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ta" sheetId="1" r:id="rId5"/>
    <sheet state="visible" name="Tahapan Leads" sheetId="2" r:id="rId6"/>
    <sheet state="hidden" name="Leads_Dela" sheetId="3" r:id="rId7"/>
    <sheet state="visible" name="Leads_Alvin" sheetId="4" r:id="rId8"/>
    <sheet state="hidden" name="Leads_Holiday" sheetId="5" r:id="rId9"/>
    <sheet state="visible" name="Dela_Pipeline" sheetId="6" r:id="rId10"/>
    <sheet state="visible" name="Leads_Harian" sheetId="7" r:id="rId11"/>
    <sheet state="visible" name="Dashboard" sheetId="8" r:id="rId12"/>
    <sheet state="visible" name="Alvin_Pipeline" sheetId="9" r:id="rId13"/>
    <sheet state="visible" name="Holiday_Pipeline" sheetId="10" r:id="rId14"/>
    <sheet state="visible" name="Kalender_Leads" sheetId="11" r:id="rId15"/>
    <sheet state="visible" name="Pipeline Dela" sheetId="12" r:id="rId16"/>
    <sheet state="hidden" name="Copy of Dashboard" sheetId="13" r:id="rId17"/>
    <sheet state="visible" name="Pipeline Alvin" sheetId="14" r:id="rId18"/>
    <sheet state="hidden" name="Pipeline Holiday" sheetId="15" r:id="rId19"/>
    <sheet state="hidden" name="Pipeline Dela_Bulanan" sheetId="16" r:id="rId20"/>
    <sheet state="hidden" name="Pipeline Alvin_Bulanan" sheetId="17" r:id="rId21"/>
    <sheet state="hidden" name="Pipeline Holiday_Bulanan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tc={1f4e8011-ff77-4875-984a-7ed421c60fbb}</author>
    <author>tc={386d3890-57fa-40be-9de2-64205cc2d941}</author>
  </authors>
  <commentList>
    <comment authorId="0" xr:uid="{1f4e8011-ff77-4875-984a-7ed421c60fbb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@dela.tripbanyuwangi@gmail.com
Ditugaskan kepada dela.tripbanyuwangi@gmail.com
Reply:
	sudah di FU belum ada jawaban mas
</t>
      </text>
    </comment>
    <comment authorId="1" xr:uid="{386d3890-57fa-40be-9de2-64205cc2d941}" ref="F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@dela.tripbanyuwangi@gmail.com Ini kapan? Statusnya bagaimana?
Ditugaskan kepada dela.tripbanyuwangi@gmail.com
Reply:
	tanggal pasti belum ada mas, cuma bilang setelah ramadhan, kemarin sudah contact tanya terkait transport ke baluran
</t>
      </text>
    </comment>
  </commentList>
</comments>
</file>

<file path=xl/sharedStrings.xml><?xml version="1.0" encoding="utf-8"?>
<sst xmlns="http://schemas.openxmlformats.org/spreadsheetml/2006/main" count="30717" uniqueCount="10230">
  <si>
    <t>KODE</t>
  </si>
  <si>
    <t>TANGGAL</t>
  </si>
  <si>
    <t>NAMA</t>
  </si>
  <si>
    <t>WHATSAPP</t>
  </si>
  <si>
    <t>SOURCE</t>
  </si>
  <si>
    <t>AGEN</t>
  </si>
  <si>
    <t>STATUS</t>
  </si>
  <si>
    <t>PAKET / DESTINASI</t>
  </si>
  <si>
    <t>TANGGAL TRIP</t>
  </si>
  <si>
    <t>PAX</t>
  </si>
  <si>
    <t>ESTIMASI NILAI ORDER</t>
  </si>
  <si>
    <t>KETERANGAN</t>
  </si>
  <si>
    <t>TAHAPAN (STATUS)</t>
  </si>
  <si>
    <t>ANALISA AI</t>
  </si>
  <si>
    <t>2601A001</t>
  </si>
  <si>
    <t>Cynthia</t>
  </si>
  <si>
    <t>081249880600</t>
  </si>
  <si>
    <t>Website</t>
  </si>
  <si>
    <t>Alvin</t>
  </si>
  <si>
    <t>Closing</t>
  </si>
  <si>
    <t>Menjangan Tabuhan</t>
  </si>
  <si>
    <t>10+1</t>
  </si>
  <si>
    <t>tambah foto video</t>
  </si>
  <si>
    <t>Nomer</t>
  </si>
  <si>
    <t>Tahapan</t>
  </si>
  <si>
    <t>Keterangan</t>
  </si>
  <si>
    <t>Next Action</t>
  </si>
  <si>
    <t>Yes</t>
  </si>
  <si>
    <t>No</t>
  </si>
  <si>
    <t>Leads Baru</t>
  </si>
  <si>
    <t>Menyapa dan tanya informasi</t>
  </si>
  <si>
    <t>Mengulik kebutuhan</t>
  </si>
  <si>
    <t>Masuk tahap 2</t>
  </si>
  <si>
    <t>Follow up ringan (H+1), jika tidak respon → arsip sementara, lebih dari seminggu jadi gagal</t>
  </si>
  <si>
    <t>Qualified</t>
  </si>
  <si>
    <t>Menyampaikan kebutuhan</t>
  </si>
  <si>
    <t>Kirim penawaran</t>
  </si>
  <si>
    <t>2601A002</t>
  </si>
  <si>
    <t>Masuk tahap 3</t>
  </si>
  <si>
    <t>Dewitri</t>
  </si>
  <si>
    <t>Edukasi ulang / klarifikasi kebutuhan (jangan kirim promo)</t>
  </si>
  <si>
    <t>085776495791</t>
  </si>
  <si>
    <t>Gagal</t>
  </si>
  <si>
    <t>Prospek</t>
  </si>
  <si>
    <t>Kawah ijen</t>
  </si>
  <si>
    <t>Sudah tertarik tapi belum komitmen</t>
  </si>
  <si>
    <t>Edukasi, beri kepercayaan, kirim voice note, tawari telfon</t>
  </si>
  <si>
    <t>Masuk tahap 4</t>
  </si>
  <si>
    <t>Jadwalkan follow up (H+2 / H+3)</t>
  </si>
  <si>
    <t>Follow Up</t>
  </si>
  <si>
    <t>Sudah dikasih edukasi tapi belum komitmen</t>
  </si>
  <si>
    <t>2601A003</t>
  </si>
  <si>
    <t>Menanyakan atau membuat janji waktu follow up</t>
  </si>
  <si>
    <t>Ulil albab</t>
  </si>
  <si>
    <t>Masuk tahap 5</t>
  </si>
  <si>
    <t>08561542812</t>
  </si>
  <si>
    <t>Pindahkan ke Warm Leads (cooling)</t>
  </si>
  <si>
    <t>Warm Leads</t>
  </si>
  <si>
    <t>Trip MT</t>
  </si>
  <si>
    <t>Sudah difollowup tapi belum komitmen juga</t>
  </si>
  <si>
    <t>Kasih urgency slot atau bonus atau promo</t>
  </si>
  <si>
    <t>Masuk tahap 6</t>
  </si>
  <si>
    <t>Pending / Dormant (tunggu momen, jangan kejar terus)</t>
  </si>
  <si>
    <t>Over budget</t>
  </si>
  <si>
    <t>Hot Leads</t>
  </si>
  <si>
    <t>Terima form reservasi / terima invoice</t>
  </si>
  <si>
    <t>2601A004</t>
  </si>
  <si>
    <t>Menanyakan DP</t>
  </si>
  <si>
    <t>Anto</t>
  </si>
  <si>
    <t>Masuk tahap 7</t>
  </si>
  <si>
    <t>0818950503</t>
  </si>
  <si>
    <t>Follow up deadline DP (H+1), jika gagal → balik ke Warm</t>
  </si>
  <si>
    <t>Sudah reservasi</t>
  </si>
  <si>
    <t>jadinya ke malang</t>
  </si>
  <si>
    <t>Input data reservasi, kirim form reservasi ke grup, kirim itinerary &amp; RAB ke Business Operation</t>
  </si>
  <si>
    <t>2601A005</t>
  </si>
  <si>
    <t>Tjen bie</t>
  </si>
  <si>
    <t>081330627337</t>
  </si>
  <si>
    <t>3H2M Z</t>
  </si>
  <si>
    <t>Review</t>
  </si>
  <si>
    <t>Jadi ke lovina</t>
  </si>
  <si>
    <t>Meminta review ke tamu setelah trip selesai</t>
  </si>
  <si>
    <t>Laporan ke Business Operation</t>
  </si>
  <si>
    <t>2601A006</t>
  </si>
  <si>
    <t>Anindita purnamasari</t>
  </si>
  <si>
    <t>082233330301</t>
  </si>
  <si>
    <t>2H1M</t>
  </si>
  <si>
    <t>Meminta itinerary dan RAB ke sales</t>
  </si>
  <si>
    <t>dikabari jika jadi ambil paketnya</t>
  </si>
  <si>
    <t>Koordinasi dengan sales vendor mana aja yang sudah dipesan dan belum dipesan</t>
  </si>
  <si>
    <t>2601A007</t>
  </si>
  <si>
    <t>Membuat list vendor yang belum dipesan sama sales</t>
  </si>
  <si>
    <t>Riska</t>
  </si>
  <si>
    <t>08994700800</t>
  </si>
  <si>
    <t>Memesan vendor yang belum dipesan sama sales</t>
  </si>
  <si>
    <t>Update data reservasi ketika sudah ready</t>
  </si>
  <si>
    <t>3H2M A</t>
  </si>
  <si>
    <t>Memastikan ulang semua ready di H-3 trip</t>
  </si>
  <si>
    <t>Monitoring saat trip berjalan</t>
  </si>
  <si>
    <t>tanya tanya, masih blm jawab follow up</t>
  </si>
  <si>
    <t>Follow up ke crew untuk meminta sumber leads tamu dan kirim link review</t>
  </si>
  <si>
    <t>Ketika trip selesai, menanyakan laporan trip ke crew yang bertugas</t>
  </si>
  <si>
    <t>2601A008</t>
  </si>
  <si>
    <t>Kirim nomer PIC ke crew yang bertugas untuk laporan operasional trip</t>
  </si>
  <si>
    <t>Helmi</t>
  </si>
  <si>
    <t>083826179860‬</t>
  </si>
  <si>
    <t>Meminta review ke tamu jika tamu belum review di google business H+3</t>
  </si>
  <si>
    <t>1D IB</t>
  </si>
  <si>
    <t>order</t>
  </si>
  <si>
    <t>2601A009</t>
  </si>
  <si>
    <t>Ruly</t>
  </si>
  <si>
    <t>08170934898</t>
  </si>
  <si>
    <t>Tidak jawab</t>
  </si>
  <si>
    <t>2601A010</t>
  </si>
  <si>
    <t>Stephan</t>
  </si>
  <si>
    <t>085105912829</t>
  </si>
  <si>
    <t>4H3M</t>
  </si>
  <si>
    <t>akhir januari</t>
  </si>
  <si>
    <t>lagi pikir-pikir, FU pertengahan januari</t>
  </si>
  <si>
    <t>2601A011</t>
  </si>
  <si>
    <t>carone</t>
  </si>
  <si>
    <t>0877933043674</t>
  </si>
  <si>
    <t>Lainnya</t>
  </si>
  <si>
    <t>3H2M</t>
  </si>
  <si>
    <t>Masih tanya tanya</t>
  </si>
  <si>
    <t>2601D001</t>
  </si>
  <si>
    <t xml:space="preserve">H </t>
  </si>
  <si>
    <t>082114698226</t>
  </si>
  <si>
    <t>Instagram</t>
  </si>
  <si>
    <t>Dela</t>
  </si>
  <si>
    <t>16-18 januari</t>
  </si>
  <si>
    <t>Nanti dikabari</t>
  </si>
  <si>
    <t>2601A012</t>
  </si>
  <si>
    <t>Giet</t>
  </si>
  <si>
    <t>085377504433</t>
  </si>
  <si>
    <t>masih tanya tanya</t>
  </si>
  <si>
    <t>2601D002</t>
  </si>
  <si>
    <t>Ari.Januari.2026</t>
  </si>
  <si>
    <t>0881036053274</t>
  </si>
  <si>
    <t>CT</t>
  </si>
  <si>
    <t>ingin paket campervan</t>
  </si>
  <si>
    <t>2601A013</t>
  </si>
  <si>
    <t>Deni Sultan</t>
  </si>
  <si>
    <t>081912435459‬</t>
  </si>
  <si>
    <t>MT</t>
  </si>
  <si>
    <t>2601D003</t>
  </si>
  <si>
    <t>Muliono</t>
  </si>
  <si>
    <t>085851219044</t>
  </si>
  <si>
    <t xml:space="preserve">Trip baluran </t>
  </si>
  <si>
    <t>2601D004</t>
  </si>
  <si>
    <t>Berliana</t>
  </si>
  <si>
    <t>085806069951</t>
  </si>
  <si>
    <t>one day trip</t>
  </si>
  <si>
    <t>2601D005</t>
  </si>
  <si>
    <t>Muhammad Amrullah a.k</t>
  </si>
  <si>
    <t>081393712742</t>
  </si>
  <si>
    <t>custom 3H2M</t>
  </si>
  <si>
    <t>Maret Akhir atau April</t>
  </si>
  <si>
    <t>tidak ada jawaban</t>
  </si>
  <si>
    <t>2601D006</t>
  </si>
  <si>
    <t>Prima Gita</t>
  </si>
  <si>
    <t>081284286428</t>
  </si>
  <si>
    <t>2H1M opsi a</t>
  </si>
  <si>
    <t>menentukan waktu</t>
  </si>
  <si>
    <t>2601D007</t>
  </si>
  <si>
    <t>Mia Bella</t>
  </si>
  <si>
    <t>08133977533</t>
  </si>
  <si>
    <t>Ijen Baluran one day trip</t>
  </si>
  <si>
    <t>1 wni 1 wna, tdk jawab</t>
  </si>
  <si>
    <t>2601D008</t>
  </si>
  <si>
    <t>Kai</t>
  </si>
  <si>
    <t>081399930501</t>
  </si>
  <si>
    <t>ot 3h2m</t>
  </si>
  <si>
    <t>9-11 Januari 26</t>
  </si>
  <si>
    <t>lewat tanggal</t>
  </si>
  <si>
    <t>2601D009</t>
  </si>
  <si>
    <t>Iin Noor Chozin</t>
  </si>
  <si>
    <t>081233197590</t>
  </si>
  <si>
    <t>Trip Menjangan Tabuhan</t>
  </si>
  <si>
    <t>menjangan tabuhan</t>
  </si>
  <si>
    <t>2601D010</t>
  </si>
  <si>
    <t>Dia Pur's</t>
  </si>
  <si>
    <t>082360390604</t>
  </si>
  <si>
    <t>custom 2h1m</t>
  </si>
  <si>
    <t>3 4 februari</t>
  </si>
  <si>
    <t>tanggal lewat</t>
  </si>
  <si>
    <t>2601D011</t>
  </si>
  <si>
    <t>Inggrid</t>
  </si>
  <si>
    <t>085156507128</t>
  </si>
  <si>
    <t>OT Januari</t>
  </si>
  <si>
    <t>Januari</t>
  </si>
  <si>
    <t>tidak jawab</t>
  </si>
  <si>
    <t>2601D012</t>
  </si>
  <si>
    <t>Kartika</t>
  </si>
  <si>
    <t>082143617625</t>
  </si>
  <si>
    <t>OT Menjangan Tabuhan</t>
  </si>
  <si>
    <t>2601D013</t>
  </si>
  <si>
    <t>Diyatrana</t>
  </si>
  <si>
    <t>085729990708</t>
  </si>
  <si>
    <t>3H2M opsi A</t>
  </si>
  <si>
    <t>2601D014</t>
  </si>
  <si>
    <t>Peni</t>
  </si>
  <si>
    <t>081553992808</t>
  </si>
  <si>
    <t>Trip Pulau Bedil</t>
  </si>
  <si>
    <t>pindah haluan liburan</t>
  </si>
  <si>
    <t>2601D015</t>
  </si>
  <si>
    <t>Kirana</t>
  </si>
  <si>
    <t>085777785090</t>
  </si>
  <si>
    <t>6 -7 Februari</t>
  </si>
  <si>
    <t>MINTA PAKET, fu akhir januari</t>
  </si>
  <si>
    <t>2601D016</t>
  </si>
  <si>
    <t>Ika W/ Ibu ms Nasir</t>
  </si>
  <si>
    <t>0882007680200</t>
  </si>
  <si>
    <t>2H1M opsi C</t>
  </si>
  <si>
    <t>ganti ke bromo</t>
  </si>
  <si>
    <t>2601D017</t>
  </si>
  <si>
    <t>Karen</t>
  </si>
  <si>
    <t>087772484641</t>
  </si>
  <si>
    <t>2 paket open trip</t>
  </si>
  <si>
    <t>4 dan 5 Maret 226</t>
  </si>
  <si>
    <t>follow up tanggal 15 februari</t>
  </si>
  <si>
    <t>2601D018</t>
  </si>
  <si>
    <t>Tiyas</t>
  </si>
  <si>
    <t>082136195477</t>
  </si>
  <si>
    <t>Custom 2h1m</t>
  </si>
  <si>
    <t>16 17 Januari 2026</t>
  </si>
  <si>
    <t>Minta Paket, fu tgl 10</t>
  </si>
  <si>
    <t>2601D019</t>
  </si>
  <si>
    <t>Beta Amrina</t>
  </si>
  <si>
    <t>082327577538</t>
  </si>
  <si>
    <t>OT</t>
  </si>
  <si>
    <t>Mei 14-16 2026</t>
  </si>
  <si>
    <t>2601D020</t>
  </si>
  <si>
    <t xml:space="preserve">Wa </t>
  </si>
  <si>
    <t>085641568779</t>
  </si>
  <si>
    <t>ot djawatan baluran</t>
  </si>
  <si>
    <t>2601D021</t>
  </si>
  <si>
    <t>Buds</t>
  </si>
  <si>
    <t>085720585703</t>
  </si>
  <si>
    <t xml:space="preserve">Baluran private </t>
  </si>
  <si>
    <t>2601D022</t>
  </si>
  <si>
    <t>Seysa</t>
  </si>
  <si>
    <t>085886980015</t>
  </si>
  <si>
    <t>trip kawah wurung</t>
  </si>
  <si>
    <t>masih pikir2 dulu, sudah lewat tgl</t>
  </si>
  <si>
    <t>2601D023</t>
  </si>
  <si>
    <t>Nothing</t>
  </si>
  <si>
    <t>085820515179</t>
  </si>
  <si>
    <t>Trip Kawah Ijen</t>
  </si>
  <si>
    <t>mepo sby atau gresik</t>
  </si>
  <si>
    <t>2601D024</t>
  </si>
  <si>
    <t>Dhevy Hariady</t>
  </si>
  <si>
    <t>082282391601</t>
  </si>
  <si>
    <t>trip djawatan baluran</t>
  </si>
  <si>
    <t>Bulan Juni</t>
  </si>
  <si>
    <t>tidak jadi liburan ke BWI</t>
  </si>
  <si>
    <t>https://docs.google.com/document/d/1wA6Vstebr_OPv-YiZuHCtRJ0dphAaw92AabZKFpW9i0/edit?tab=t.0</t>
  </si>
  <si>
    <t>2601D025</t>
  </si>
  <si>
    <t>Ratu (Bunda FazZZam)</t>
  </si>
  <si>
    <t>081806567775</t>
  </si>
  <si>
    <t>OT 3H2M</t>
  </si>
  <si>
    <t>masih ngomong ke atasan</t>
  </si>
  <si>
    <t>2601D026</t>
  </si>
  <si>
    <t>Gilang</t>
  </si>
  <si>
    <t>081221614470</t>
  </si>
  <si>
    <t>Private Trip Kawah Wurung</t>
  </si>
  <si>
    <t>2601D027</t>
  </si>
  <si>
    <t>Farus nabil</t>
  </si>
  <si>
    <t>081293944286</t>
  </si>
  <si>
    <t>Private Trip Menjangan Tabuhan</t>
  </si>
  <si>
    <t>2601D028</t>
  </si>
  <si>
    <t>Rehan</t>
  </si>
  <si>
    <t>08963381584</t>
  </si>
  <si>
    <t>24 dan 25 Maret</t>
  </si>
  <si>
    <t>2601D029</t>
  </si>
  <si>
    <t>Nella Holiday</t>
  </si>
  <si>
    <t>089672570321</t>
  </si>
  <si>
    <t>trip ijen</t>
  </si>
  <si>
    <t>SDH FOLLOW UP</t>
  </si>
  <si>
    <t>2601D030</t>
  </si>
  <si>
    <t>Cika</t>
  </si>
  <si>
    <t>085782656823</t>
  </si>
  <si>
    <t>Trip 3H2M</t>
  </si>
  <si>
    <t>Bulan April</t>
  </si>
  <si>
    <t>2601D031</t>
  </si>
  <si>
    <t>Sulistio W.N</t>
  </si>
  <si>
    <t>082137405814</t>
  </si>
  <si>
    <t>3H2M opsi B</t>
  </si>
  <si>
    <t>tanya yacht boom, fu tgl 15</t>
  </si>
  <si>
    <t>2601D032</t>
  </si>
  <si>
    <t>Thata Anggitha</t>
  </si>
  <si>
    <t>sudah follow up</t>
  </si>
  <si>
    <t>2601D033</t>
  </si>
  <si>
    <t>Aris Guntoro</t>
  </si>
  <si>
    <t>081355209321</t>
  </si>
  <si>
    <t>sudah closing</t>
  </si>
  <si>
    <t>2601D034</t>
  </si>
  <si>
    <t>Rizal Pratama</t>
  </si>
  <si>
    <t>082216912039</t>
  </si>
  <si>
    <t>Februari</t>
  </si>
  <si>
    <t>sudah sm rekan lain</t>
  </si>
  <si>
    <t>2601D035</t>
  </si>
  <si>
    <t>Surya</t>
  </si>
  <si>
    <t>081803536960</t>
  </si>
  <si>
    <t xml:space="preserve">Trip Menjangan Tabuhan </t>
  </si>
  <si>
    <t>tidak cocok harga</t>
  </si>
  <si>
    <t>2601D036</t>
  </si>
  <si>
    <t>Yaya</t>
  </si>
  <si>
    <t>089612554076</t>
  </si>
  <si>
    <t>2601D037</t>
  </si>
  <si>
    <t>Hums GPS Malang</t>
  </si>
  <si>
    <t>085888433436</t>
  </si>
  <si>
    <t>minta jpt sby</t>
  </si>
  <si>
    <t>2601D038</t>
  </si>
  <si>
    <t>Sary Maheswari</t>
  </si>
  <si>
    <t>085729077777</t>
  </si>
  <si>
    <t>9-10 Januari 26</t>
  </si>
  <si>
    <t>tanya paket, lewat tanggal</t>
  </si>
  <si>
    <t>2601D039</t>
  </si>
  <si>
    <t xml:space="preserve">Tanamalintan </t>
  </si>
  <si>
    <t>083877965575</t>
  </si>
  <si>
    <t xml:space="preserve">lebaran/libur sekolah </t>
  </si>
  <si>
    <t>tunda lebaran tahun depan</t>
  </si>
  <si>
    <t>2601D040</t>
  </si>
  <si>
    <t>Gian Septim Rohmaduri</t>
  </si>
  <si>
    <t>081328834222</t>
  </si>
  <si>
    <t>ga ada jawaban</t>
  </si>
  <si>
    <t>2601D041</t>
  </si>
  <si>
    <t>Bidadari Surga</t>
  </si>
  <si>
    <t>082136616696</t>
  </si>
  <si>
    <t>APRIL</t>
  </si>
  <si>
    <t>FU MARET</t>
  </si>
  <si>
    <t>2601D042</t>
  </si>
  <si>
    <t>Rosa Tan</t>
  </si>
  <si>
    <t>08562877979</t>
  </si>
  <si>
    <t>3H2M OR 2H1M</t>
  </si>
  <si>
    <t>bulan juni</t>
  </si>
  <si>
    <t>DESTINASI SENIOR FRIENDLY, follow up mei</t>
  </si>
  <si>
    <t>2601D043</t>
  </si>
  <si>
    <t>Dwi K</t>
  </si>
  <si>
    <t>0811822328</t>
  </si>
  <si>
    <t>OT 3h2m</t>
  </si>
  <si>
    <t>14-16 feeb</t>
  </si>
  <si>
    <t>2601D044</t>
  </si>
  <si>
    <t>Dian Indra</t>
  </si>
  <si>
    <t>08123589756</t>
  </si>
  <si>
    <t>2H1M opsi c</t>
  </si>
  <si>
    <t>2601D045</t>
  </si>
  <si>
    <t>D. Luhki</t>
  </si>
  <si>
    <t>0818575855</t>
  </si>
  <si>
    <t>2D1N</t>
  </si>
  <si>
    <t>sdh fu tanggal 17</t>
  </si>
  <si>
    <t>2601D046</t>
  </si>
  <si>
    <t>Erlangga</t>
  </si>
  <si>
    <t>0895340047293</t>
  </si>
  <si>
    <t>2601D047</t>
  </si>
  <si>
    <t xml:space="preserve">KAI WNA </t>
  </si>
  <si>
    <t>TN ALAS PURWO</t>
  </si>
  <si>
    <t>tdk ada kelanjutan</t>
  </si>
  <si>
    <t>2601D048</t>
  </si>
  <si>
    <t>Nww</t>
  </si>
  <si>
    <t>082232269773</t>
  </si>
  <si>
    <t>2601D049</t>
  </si>
  <si>
    <t>Fjr</t>
  </si>
  <si>
    <t>081937743496</t>
  </si>
  <si>
    <t xml:space="preserve">trip bedil </t>
  </si>
  <si>
    <t>AKHIR JANUARI</t>
  </si>
  <si>
    <t>2601D050</t>
  </si>
  <si>
    <t>Agus Trisunu</t>
  </si>
  <si>
    <t>082198600529</t>
  </si>
  <si>
    <t xml:space="preserve">3H2M </t>
  </si>
  <si>
    <t>batal</t>
  </si>
  <si>
    <t>2601D051</t>
  </si>
  <si>
    <t>SriH fai hai</t>
  </si>
  <si>
    <t>081317770228</t>
  </si>
  <si>
    <t>2601D052</t>
  </si>
  <si>
    <t>Athaya</t>
  </si>
  <si>
    <t>087786696160</t>
  </si>
  <si>
    <t>OT 1 day</t>
  </si>
  <si>
    <t>tidak ada barengan</t>
  </si>
  <si>
    <t>2601D053</t>
  </si>
  <si>
    <t>Beni Kosnadi</t>
  </si>
  <si>
    <t>082297981197</t>
  </si>
  <si>
    <t>OT 1 day Menjangan</t>
  </si>
  <si>
    <t>sdh dapat trip</t>
  </si>
  <si>
    <t>2601D054</t>
  </si>
  <si>
    <t>Nsyw</t>
  </si>
  <si>
    <t>085156302725</t>
  </si>
  <si>
    <t>masih liat katalog</t>
  </si>
  <si>
    <t>2601D055</t>
  </si>
  <si>
    <t xml:space="preserve">Hari setiyawati </t>
  </si>
  <si>
    <t>085921091374</t>
  </si>
  <si>
    <t>tidak jadi budged tidak cukup</t>
  </si>
  <si>
    <t>2601D056</t>
  </si>
  <si>
    <t>Robby rinaldy</t>
  </si>
  <si>
    <t>082122227424</t>
  </si>
  <si>
    <t>CARI TEMEN TRIP, lwt tanggal</t>
  </si>
  <si>
    <t>2601D057</t>
  </si>
  <si>
    <t>Farrel Raynaldi</t>
  </si>
  <si>
    <t>087762831355</t>
  </si>
  <si>
    <t>2601D058</t>
  </si>
  <si>
    <t xml:space="preserve">Hajar adiwiyana </t>
  </si>
  <si>
    <t>085755999900</t>
  </si>
  <si>
    <t>pending ke bwi</t>
  </si>
  <si>
    <t>2601D059</t>
  </si>
  <si>
    <t>Weny</t>
  </si>
  <si>
    <t>08125262656</t>
  </si>
  <si>
    <t>start sby</t>
  </si>
  <si>
    <t>2601D060</t>
  </si>
  <si>
    <t>Yande BaliBagus</t>
  </si>
  <si>
    <t>081225318054</t>
  </si>
  <si>
    <t>2H1M (trekking ijen)</t>
  </si>
  <si>
    <t>14 - 16 maret</t>
  </si>
  <si>
    <t>follow up akhir februari</t>
  </si>
  <si>
    <t>2601D061</t>
  </si>
  <si>
    <t xml:space="preserve">Sinta julianti </t>
  </si>
  <si>
    <t>085865365502</t>
  </si>
  <si>
    <t>2601D062</t>
  </si>
  <si>
    <t>Rachel</t>
  </si>
  <si>
    <t>085775220152</t>
  </si>
  <si>
    <t>2601D063</t>
  </si>
  <si>
    <t>Sobar</t>
  </si>
  <si>
    <t>081353674012</t>
  </si>
  <si>
    <t>OT D TI</t>
  </si>
  <si>
    <t>2601D064</t>
  </si>
  <si>
    <t>Nanik A</t>
  </si>
  <si>
    <t>082225737622</t>
  </si>
  <si>
    <t>Trip djawatan baluran</t>
  </si>
  <si>
    <t>sekitar tgl 3-4 feb</t>
  </si>
  <si>
    <t>nunggu jadwal cuti</t>
  </si>
  <si>
    <t>2601D065</t>
  </si>
  <si>
    <t>Ganang Age</t>
  </si>
  <si>
    <t>0895363160977</t>
  </si>
  <si>
    <t>2601D066</t>
  </si>
  <si>
    <t>Adhelia</t>
  </si>
  <si>
    <t>082335290562</t>
  </si>
  <si>
    <t>ga jawab</t>
  </si>
  <si>
    <t>2601D067</t>
  </si>
  <si>
    <t xml:space="preserve">Khoirunnisa' linaas </t>
  </si>
  <si>
    <t>081230352078</t>
  </si>
  <si>
    <t>tim building KW</t>
  </si>
  <si>
    <t>februari atau lebaran</t>
  </si>
  <si>
    <t>2601D068</t>
  </si>
  <si>
    <t>No name WNA WNI</t>
  </si>
  <si>
    <t>085784629188</t>
  </si>
  <si>
    <t>custom desinasi</t>
  </si>
  <si>
    <t>bulan feb</t>
  </si>
  <si>
    <t>buat penawaran, FU pertengahan jan</t>
  </si>
  <si>
    <t>2601D069</t>
  </si>
  <si>
    <t>No name Maret</t>
  </si>
  <si>
    <t>081236371881</t>
  </si>
  <si>
    <t>23 - 25 maret</t>
  </si>
  <si>
    <t>4</t>
  </si>
  <si>
    <t>tidak ada jawaban, sudah fu 5 kali</t>
  </si>
  <si>
    <t>2601D070</t>
  </si>
  <si>
    <t xml:space="preserve">Alfian </t>
  </si>
  <si>
    <t>085729019851</t>
  </si>
  <si>
    <t>private trip</t>
  </si>
  <si>
    <t>tanya tanya, sudah FU tgl 9</t>
  </si>
  <si>
    <t>2601D071</t>
  </si>
  <si>
    <t>Terry sukma ezaria</t>
  </si>
  <si>
    <t>081910004277</t>
  </si>
  <si>
    <t>paket custom</t>
  </si>
  <si>
    <t>15 - 17 agustus</t>
  </si>
  <si>
    <t>80</t>
  </si>
  <si>
    <t xml:space="preserve">buat penawaran, FU 2 Juni </t>
  </si>
  <si>
    <t>https://docs.google.com/document/d/1fMFdvXachGDtyak_UDLjTqjsPv8dJU-8h8riaob89KM/edit?tab=t.0</t>
  </si>
  <si>
    <t>2601D072</t>
  </si>
  <si>
    <t xml:space="preserve">Novia dian  </t>
  </si>
  <si>
    <t>087748304348</t>
  </si>
  <si>
    <t>12 19 bulan feb</t>
  </si>
  <si>
    <t>tidak ada jawaban dan barengan, lewat tanggal</t>
  </si>
  <si>
    <t>2601D073</t>
  </si>
  <si>
    <t>Nusroh Linnas</t>
  </si>
  <si>
    <t>08973257454</t>
  </si>
  <si>
    <t xml:space="preserve">tanya terkait dokumentasi </t>
  </si>
  <si>
    <t>2601D074</t>
  </si>
  <si>
    <t>Khalisa</t>
  </si>
  <si>
    <t>082159266648</t>
  </si>
  <si>
    <t>Open trip MT</t>
  </si>
  <si>
    <t xml:space="preserve">bulan juni </t>
  </si>
  <si>
    <t>gajadi liburan tahun inii</t>
  </si>
  <si>
    <t>https://docs.google.com/document/d/1vdzggSvQW_6p_JDwwPzKp9o4Qo3PymCg6LpFHcmIR1M/edit?tab=t.0</t>
  </si>
  <si>
    <t>2601D075</t>
  </si>
  <si>
    <t>Arifah</t>
  </si>
  <si>
    <t>085174307926</t>
  </si>
  <si>
    <t>Trip 4H3M</t>
  </si>
  <si>
    <t>sekitar hari raya</t>
  </si>
  <si>
    <t>sdh closing</t>
  </si>
  <si>
    <t>2601D076</t>
  </si>
  <si>
    <t>Livia</t>
  </si>
  <si>
    <t>085786328047</t>
  </si>
  <si>
    <t>maret april</t>
  </si>
  <si>
    <t>di FU tidak balas</t>
  </si>
  <si>
    <t>https://docs.google.com/document/d/1GT9NMnoa3lcZIxGW9QCfVEc-3eBA1sFnuwQzkzq4o4M/edit?tab=t.0</t>
  </si>
  <si>
    <t>2601D077</t>
  </si>
  <si>
    <t>Helsa</t>
  </si>
  <si>
    <t>085721780257</t>
  </si>
  <si>
    <t>tanya tanya, FU tgl 11</t>
  </si>
  <si>
    <t>2601D078</t>
  </si>
  <si>
    <t xml:space="preserve">Muawanah </t>
  </si>
  <si>
    <t>08111626220</t>
  </si>
  <si>
    <t>nunggu info tanggal, FU tgl 11</t>
  </si>
  <si>
    <t>2601D079</t>
  </si>
  <si>
    <t>Anis dadik</t>
  </si>
  <si>
    <t>081238722671</t>
  </si>
  <si>
    <t>menunggu kabar selanjutnya, FU tgl 11</t>
  </si>
  <si>
    <t>2601D080</t>
  </si>
  <si>
    <t>Tya mardin F.A</t>
  </si>
  <si>
    <t>081297769438</t>
  </si>
  <si>
    <t xml:space="preserve">tanya mepo </t>
  </si>
  <si>
    <t>2601D081</t>
  </si>
  <si>
    <t xml:space="preserve">Evi yemima </t>
  </si>
  <si>
    <t>08973106657</t>
  </si>
  <si>
    <t>tanya tanya</t>
  </si>
  <si>
    <t>2601D082</t>
  </si>
  <si>
    <t>Yuninda cahyani</t>
  </si>
  <si>
    <t>08562899073</t>
  </si>
  <si>
    <t>opsi 3H2M</t>
  </si>
  <si>
    <t>cuaca tidak bersahabat</t>
  </si>
  <si>
    <t>2601D083</t>
  </si>
  <si>
    <t xml:space="preserve">Pel </t>
  </si>
  <si>
    <t>081211252959</t>
  </si>
  <si>
    <t xml:space="preserve">custom 2H1M </t>
  </si>
  <si>
    <t>15 feb - 16 feb</t>
  </si>
  <si>
    <t>FU AKHIR JANUARI</t>
  </si>
  <si>
    <t>2601D084</t>
  </si>
  <si>
    <t>Wiwit supranata</t>
  </si>
  <si>
    <t>085640533187</t>
  </si>
  <si>
    <t>Tim building PT SBI</t>
  </si>
  <si>
    <t>penawaran</t>
  </si>
  <si>
    <t>2601D085</t>
  </si>
  <si>
    <t xml:space="preserve">Cindy alicia </t>
  </si>
  <si>
    <t>085782665535</t>
  </si>
  <si>
    <t>OT one day D, B</t>
  </si>
  <si>
    <t>2601D086</t>
  </si>
  <si>
    <t xml:space="preserve">Adhiww </t>
  </si>
  <si>
    <t>08921872710</t>
  </si>
  <si>
    <t>OP kawah ijen</t>
  </si>
  <si>
    <t>tanya tanya, lewat tanggal</t>
  </si>
  <si>
    <t>2601D087</t>
  </si>
  <si>
    <t>Nurhoeda</t>
  </si>
  <si>
    <t>081223809344</t>
  </si>
  <si>
    <t>Trip one day</t>
  </si>
  <si>
    <t>tanya tanya terkait fotografer</t>
  </si>
  <si>
    <t>2601D088</t>
  </si>
  <si>
    <t xml:space="preserve">Annisa </t>
  </si>
  <si>
    <t>089646617851</t>
  </si>
  <si>
    <t>OP 3H2M</t>
  </si>
  <si>
    <t>2601A014</t>
  </si>
  <si>
    <t>Asep</t>
  </si>
  <si>
    <t>085524416539</t>
  </si>
  <si>
    <t>Trip Alas Purwo</t>
  </si>
  <si>
    <t>2601D089</t>
  </si>
  <si>
    <t>Ny wiwin ysn</t>
  </si>
  <si>
    <t>081339772111</t>
  </si>
  <si>
    <t>ga sesuai dengan budget</t>
  </si>
  <si>
    <t>2601D090</t>
  </si>
  <si>
    <t>Yovita</t>
  </si>
  <si>
    <t>087811723237</t>
  </si>
  <si>
    <t>family gathering 3H2M</t>
  </si>
  <si>
    <t>1-3 Mei</t>
  </si>
  <si>
    <t>nunggu info selanjutnya, sudah FU tgl15</t>
  </si>
  <si>
    <t>2601D091</t>
  </si>
  <si>
    <t>Herman</t>
  </si>
  <si>
    <t>082125479301</t>
  </si>
  <si>
    <t>4 - 6</t>
  </si>
  <si>
    <t>sdh FU 1</t>
  </si>
  <si>
    <t>2601D092</t>
  </si>
  <si>
    <t>Nathaniaacr</t>
  </si>
  <si>
    <t>085175207678</t>
  </si>
  <si>
    <t>2H1M opsi B</t>
  </si>
  <si>
    <t>2601A015</t>
  </si>
  <si>
    <t>Istinah</t>
  </si>
  <si>
    <t>081334625968</t>
  </si>
  <si>
    <t>Trip Djawatan Baluran</t>
  </si>
  <si>
    <t>juni/juli</t>
  </si>
  <si>
    <t>masih cari informasi</t>
  </si>
  <si>
    <t>2601D093</t>
  </si>
  <si>
    <t xml:space="preserve">Mytha </t>
  </si>
  <si>
    <t>081333603433</t>
  </si>
  <si>
    <t>Trip 1 day</t>
  </si>
  <si>
    <t xml:space="preserve">masih chek katalog </t>
  </si>
  <si>
    <t>2601D094</t>
  </si>
  <si>
    <t xml:space="preserve">Sylvia mariam </t>
  </si>
  <si>
    <t>089602611056</t>
  </si>
  <si>
    <t xml:space="preserve">Trip menjangan </t>
  </si>
  <si>
    <t xml:space="preserve">nunggu info, FU tgl 14 </t>
  </si>
  <si>
    <t>2601D095</t>
  </si>
  <si>
    <t>Wahid</t>
  </si>
  <si>
    <t>081805902225</t>
  </si>
  <si>
    <t>custom destinasi 2H1M</t>
  </si>
  <si>
    <t>masih dikomunikasikan, FU tgl 14</t>
  </si>
  <si>
    <t>2601A016</t>
  </si>
  <si>
    <t>Edwin</t>
  </si>
  <si>
    <t>085659981058</t>
  </si>
  <si>
    <t>Private trip 3H2M</t>
  </si>
  <si>
    <t>15-17 Feb</t>
  </si>
  <si>
    <t>2601D096</t>
  </si>
  <si>
    <t>Fdly</t>
  </si>
  <si>
    <t>085781304728</t>
  </si>
  <si>
    <t>14 - 16 feb</t>
  </si>
  <si>
    <t>2601D097</t>
  </si>
  <si>
    <t>Epi</t>
  </si>
  <si>
    <t>081318840028</t>
  </si>
  <si>
    <t>masih liat harga</t>
  </si>
  <si>
    <t>2601D098</t>
  </si>
  <si>
    <t>Vica</t>
  </si>
  <si>
    <t>085716117974</t>
  </si>
  <si>
    <t xml:space="preserve">28 - 29 Jan </t>
  </si>
  <si>
    <t xml:space="preserve">tanya titik penjemputan </t>
  </si>
  <si>
    <t>2601D099</t>
  </si>
  <si>
    <t>N</t>
  </si>
  <si>
    <t>081260909299</t>
  </si>
  <si>
    <t>OT baluran</t>
  </si>
  <si>
    <t>2601D100</t>
  </si>
  <si>
    <t>Milly</t>
  </si>
  <si>
    <t>083893333973</t>
  </si>
  <si>
    <t>rekom 2H1M</t>
  </si>
  <si>
    <t>19 - 20 maret</t>
  </si>
  <si>
    <t>masih tanya, fu awal maret</t>
  </si>
  <si>
    <t>2601D102</t>
  </si>
  <si>
    <t xml:space="preserve">Anissa </t>
  </si>
  <si>
    <t>085729891650</t>
  </si>
  <si>
    <t>tanya paket 1 day</t>
  </si>
  <si>
    <t>2601D103</t>
  </si>
  <si>
    <t>indah syafitri</t>
  </si>
  <si>
    <t>083895563443</t>
  </si>
  <si>
    <t>sendirian aja</t>
  </si>
  <si>
    <t>2601A017</t>
  </si>
  <si>
    <t>Jessica</t>
  </si>
  <si>
    <t>08113166995</t>
  </si>
  <si>
    <t>Trip Ijen</t>
  </si>
  <si>
    <t>tidak ada respon</t>
  </si>
  <si>
    <t>2601D104</t>
  </si>
  <si>
    <t>K (WNA)</t>
  </si>
  <si>
    <t>61402375242</t>
  </si>
  <si>
    <t xml:space="preserve">OT Ijen </t>
  </si>
  <si>
    <t xml:space="preserve">minggu depan </t>
  </si>
  <si>
    <t xml:space="preserve">nunggu info OP pertengan minggu depan </t>
  </si>
  <si>
    <t>2601D105</t>
  </si>
  <si>
    <t>NadyaPR</t>
  </si>
  <si>
    <t>081910081972</t>
  </si>
  <si>
    <t>OT 1 day D, B</t>
  </si>
  <si>
    <t>tanya penjemputan dimana</t>
  </si>
  <si>
    <t>2601D106</t>
  </si>
  <si>
    <t>No name 800</t>
  </si>
  <si>
    <t>081939051800</t>
  </si>
  <si>
    <t xml:space="preserve">Private trip menjangan </t>
  </si>
  <si>
    <t>tunggu info</t>
  </si>
  <si>
    <t>2601D107</t>
  </si>
  <si>
    <t>081578949262</t>
  </si>
  <si>
    <t>tanyaa tanyaa</t>
  </si>
  <si>
    <t>2601D108</t>
  </si>
  <si>
    <t xml:space="preserve">Ami </t>
  </si>
  <si>
    <t>081384572180</t>
  </si>
  <si>
    <t>custom paket</t>
  </si>
  <si>
    <t xml:space="preserve">29 - 30 mei </t>
  </si>
  <si>
    <t>ganti destinasi</t>
  </si>
  <si>
    <t>2601A018</t>
  </si>
  <si>
    <t>Kambali khan</t>
  </si>
  <si>
    <t>081133300048</t>
  </si>
  <si>
    <t>akhir bulan januari</t>
  </si>
  <si>
    <t xml:space="preserve">tanya paket open trip </t>
  </si>
  <si>
    <t>2601D109</t>
  </si>
  <si>
    <t>Dewi nur</t>
  </si>
  <si>
    <t>087809480648</t>
  </si>
  <si>
    <t>2601D110</t>
  </si>
  <si>
    <t>No Name..</t>
  </si>
  <si>
    <t>081328364137</t>
  </si>
  <si>
    <t>2601D111</t>
  </si>
  <si>
    <t>Widiyanto</t>
  </si>
  <si>
    <t>081510101828</t>
  </si>
  <si>
    <t>custom 4H3M</t>
  </si>
  <si>
    <t>2 - 5 maret</t>
  </si>
  <si>
    <t>overbudget</t>
  </si>
  <si>
    <t>2601A019</t>
  </si>
  <si>
    <t>Harun</t>
  </si>
  <si>
    <t>085190940022</t>
  </si>
  <si>
    <t>2601D112</t>
  </si>
  <si>
    <t xml:space="preserve">Sipidt Citra </t>
  </si>
  <si>
    <t>081944941910</t>
  </si>
  <si>
    <t xml:space="preserve">Trip djawatan </t>
  </si>
  <si>
    <t>kirim katalog</t>
  </si>
  <si>
    <t>2601D113</t>
  </si>
  <si>
    <t xml:space="preserve">Elvira catrine </t>
  </si>
  <si>
    <t>082145806568</t>
  </si>
  <si>
    <t>2601D114</t>
  </si>
  <si>
    <t>Balqis Bimbel putra</t>
  </si>
  <si>
    <t>082234884236</t>
  </si>
  <si>
    <t xml:space="preserve">tanya harga perorangan </t>
  </si>
  <si>
    <t>2601A020</t>
  </si>
  <si>
    <t>Darius</t>
  </si>
  <si>
    <t>0811508236</t>
  </si>
  <si>
    <t>jadinya ke bali, temannya Aji</t>
  </si>
  <si>
    <t>2601D115</t>
  </si>
  <si>
    <t>Nuansa utama tour</t>
  </si>
  <si>
    <t>082226326555</t>
  </si>
  <si>
    <t>masih di Bandung, tidak ada jawaban</t>
  </si>
  <si>
    <t>2601D116</t>
  </si>
  <si>
    <t>Iqbal</t>
  </si>
  <si>
    <t>081253002311</t>
  </si>
  <si>
    <t>akhir tahun</t>
  </si>
  <si>
    <t>lewat tanggal trip</t>
  </si>
  <si>
    <t>https://docs.google.com/document/d/1owrFmHM_sukRfYRa4zQEBuqM7mjk6T76hgm2yyhQq7I/edit?tab=t.0</t>
  </si>
  <si>
    <t>2601D117</t>
  </si>
  <si>
    <t>Meeniik</t>
  </si>
  <si>
    <t>081231865687</t>
  </si>
  <si>
    <t xml:space="preserve">4 - 5 </t>
  </si>
  <si>
    <t xml:space="preserve">tanya tanya </t>
  </si>
  <si>
    <t>2601D118</t>
  </si>
  <si>
    <t>Tyas mariyati</t>
  </si>
  <si>
    <t>08113632667</t>
  </si>
  <si>
    <t xml:space="preserve">custom </t>
  </si>
  <si>
    <t>14 - 17 feb</t>
  </si>
  <si>
    <t xml:space="preserve">buat penawaran </t>
  </si>
  <si>
    <t>2601D119</t>
  </si>
  <si>
    <t>Achgalih</t>
  </si>
  <si>
    <t>082115142008</t>
  </si>
  <si>
    <t xml:space="preserve">Trip 1 day </t>
  </si>
  <si>
    <t>sudah FU tgl17</t>
  </si>
  <si>
    <t>2601D120</t>
  </si>
  <si>
    <t xml:space="preserve">Kfajarn </t>
  </si>
  <si>
    <t>0811262567</t>
  </si>
  <si>
    <t xml:space="preserve">tanya tanya snorkling </t>
  </si>
  <si>
    <t>2601D121</t>
  </si>
  <si>
    <t>Edi lukito</t>
  </si>
  <si>
    <t>081352095218</t>
  </si>
  <si>
    <t>Trip 1 day I, B, KW</t>
  </si>
  <si>
    <t>awal tahun depan</t>
  </si>
  <si>
    <t>jika sdh ada update, akan dihubungi lagi, FU 3 Januari 2027</t>
  </si>
  <si>
    <t>https://docs.google.com/document/d/1WNu7Cyk_CX0yd-KTveK1mhJ7xL5DhL0u4yqOI9OoKps/edit?tab=t.0</t>
  </si>
  <si>
    <t>2601D122</t>
  </si>
  <si>
    <t>Amelia wijayati</t>
  </si>
  <si>
    <t>082226189494</t>
  </si>
  <si>
    <t>tanya harga perpax</t>
  </si>
  <si>
    <t>2601D123</t>
  </si>
  <si>
    <t>Ity</t>
  </si>
  <si>
    <t>0895337453274</t>
  </si>
  <si>
    <t>tanya tanya ijen</t>
  </si>
  <si>
    <t>2601D124</t>
  </si>
  <si>
    <t>She</t>
  </si>
  <si>
    <t>088225301233</t>
  </si>
  <si>
    <t>masih milih tanggal</t>
  </si>
  <si>
    <t>2601D125</t>
  </si>
  <si>
    <t>Faa</t>
  </si>
  <si>
    <t>081229899693</t>
  </si>
  <si>
    <t>OT MT</t>
  </si>
  <si>
    <t>chek ketersediaan kapal</t>
  </si>
  <si>
    <t>2601D126</t>
  </si>
  <si>
    <t>Puput nofbriyanti</t>
  </si>
  <si>
    <t>085212437856</t>
  </si>
  <si>
    <t>2601D127</t>
  </si>
  <si>
    <t>Niaa</t>
  </si>
  <si>
    <t>085753609890</t>
  </si>
  <si>
    <t>2601A021</t>
  </si>
  <si>
    <t xml:space="preserve">Novita </t>
  </si>
  <si>
    <t>085600920652</t>
  </si>
  <si>
    <t>Trip D, B</t>
  </si>
  <si>
    <t>masih belum minat</t>
  </si>
  <si>
    <t>2601D128</t>
  </si>
  <si>
    <t xml:space="preserve">Sandra </t>
  </si>
  <si>
    <t>085158058819</t>
  </si>
  <si>
    <t>27 - 30 april</t>
  </si>
  <si>
    <t>dipending dulu biar bisa barengan</t>
  </si>
  <si>
    <t>https://docs.google.com/document/d/1LVPx6Knnjt0Zo-xWig0RuPdACmCYP4kO3oIzdCV-V3M/edit?tab=t.0</t>
  </si>
  <si>
    <t>2601D129</t>
  </si>
  <si>
    <t xml:space="preserve">Azizah </t>
  </si>
  <si>
    <t>089505500413</t>
  </si>
  <si>
    <t>2601D130</t>
  </si>
  <si>
    <t xml:space="preserve">Sartika </t>
  </si>
  <si>
    <t>01123611072</t>
  </si>
  <si>
    <t>2601D131</t>
  </si>
  <si>
    <t>Wiwit Septiyawati</t>
  </si>
  <si>
    <t>087742092442</t>
  </si>
  <si>
    <t>custom 2H1M</t>
  </si>
  <si>
    <t>bln agustus</t>
  </si>
  <si>
    <t>FU 28 Juli</t>
  </si>
  <si>
    <t>https://docs.google.com/document/d/136SMbtvX3TL4Cj5B8n8miIXkxwe4gUR4X2iSv7S4rO8/edit?tab=t.0</t>
  </si>
  <si>
    <t>2601D132</t>
  </si>
  <si>
    <t>Ha_Natsuki</t>
  </si>
  <si>
    <t>0895412476578</t>
  </si>
  <si>
    <t>habis romadhon</t>
  </si>
  <si>
    <t>gajadiiii</t>
  </si>
  <si>
    <t>https://docs.google.com/document/d/1KvgxfmxwbvtEdsYUmvDVH8AmLHY6-gICC8p8r-iFWWI/edit?tab=t.0</t>
  </si>
  <si>
    <t>2601D133</t>
  </si>
  <si>
    <t>Magdalena</t>
  </si>
  <si>
    <t>081331875161</t>
  </si>
  <si>
    <t>tanya tanyaa</t>
  </si>
  <si>
    <t>2601A022</t>
  </si>
  <si>
    <t>Abi Yuma</t>
  </si>
  <si>
    <t>08119025858</t>
  </si>
  <si>
    <t>2H3M</t>
  </si>
  <si>
    <t>2601A023</t>
  </si>
  <si>
    <t>Aji</t>
  </si>
  <si>
    <t>082211224004</t>
  </si>
  <si>
    <t>3H4M</t>
  </si>
  <si>
    <t>22-24 Maret 2026</t>
  </si>
  <si>
    <t>jadinya ke bali</t>
  </si>
  <si>
    <t>2601D134</t>
  </si>
  <si>
    <t>Giin</t>
  </si>
  <si>
    <t>087898653538</t>
  </si>
  <si>
    <t>tunggu info fiks nya</t>
  </si>
  <si>
    <t>2601D135</t>
  </si>
  <si>
    <t>085156837522</t>
  </si>
  <si>
    <t>nomr wa nya ganti</t>
  </si>
  <si>
    <t>2601D136</t>
  </si>
  <si>
    <t xml:space="preserve">Intan safira </t>
  </si>
  <si>
    <t>081230005911</t>
  </si>
  <si>
    <t xml:space="preserve">outbond kantor </t>
  </si>
  <si>
    <t>11 - 13 feb</t>
  </si>
  <si>
    <t xml:space="preserve">20 - 25 </t>
  </si>
  <si>
    <t>tunggu informasi selanjutnya</t>
  </si>
  <si>
    <t>2601D137</t>
  </si>
  <si>
    <t>Silpink</t>
  </si>
  <si>
    <t>082113390249</t>
  </si>
  <si>
    <t>2601D138</t>
  </si>
  <si>
    <t>Rhma</t>
  </si>
  <si>
    <t>087877184620</t>
  </si>
  <si>
    <t>tanya meeting point</t>
  </si>
  <si>
    <t>2601D139</t>
  </si>
  <si>
    <t>Rubya R</t>
  </si>
  <si>
    <t>082295403309</t>
  </si>
  <si>
    <t>1 day trip</t>
  </si>
  <si>
    <t>akhir bln maret</t>
  </si>
  <si>
    <t>tanya custom destinasi</t>
  </si>
  <si>
    <t>2601D140</t>
  </si>
  <si>
    <t>No Name love</t>
  </si>
  <si>
    <t>0895366283298</t>
  </si>
  <si>
    <t>tanya penjemputan dari surabaya</t>
  </si>
  <si>
    <t>2601A024</t>
  </si>
  <si>
    <t>Adi Suseno</t>
  </si>
  <si>
    <t>081293287733</t>
  </si>
  <si>
    <t>Trip ijen baluran dll</t>
  </si>
  <si>
    <t>2601A025</t>
  </si>
  <si>
    <t>Fadilah</t>
  </si>
  <si>
    <t>087715569423</t>
  </si>
  <si>
    <t>2601A026</t>
  </si>
  <si>
    <t>Okky</t>
  </si>
  <si>
    <t>081319880887</t>
  </si>
  <si>
    <t>gada balasan</t>
  </si>
  <si>
    <t>https://docs.google.com/document/d/1tO1LgOdMkFtOXA2Keh2AwL0MUaqLJDAcxzgeBUy-pmY/edit?usp=sharing</t>
  </si>
  <si>
    <t>2601A027</t>
  </si>
  <si>
    <t>Tiyan</t>
  </si>
  <si>
    <t>085159766960</t>
  </si>
  <si>
    <t>2601D141</t>
  </si>
  <si>
    <t xml:space="preserve">Salsabiila rizky </t>
  </si>
  <si>
    <t>082253199432</t>
  </si>
  <si>
    <t>2601D142</t>
  </si>
  <si>
    <t>Nabhita Maulia</t>
  </si>
  <si>
    <t>085878729443</t>
  </si>
  <si>
    <t>Sekedar nyapa</t>
  </si>
  <si>
    <t>2601D143</t>
  </si>
  <si>
    <t>deal di admin 2</t>
  </si>
  <si>
    <t>2601D144</t>
  </si>
  <si>
    <t>Anez</t>
  </si>
  <si>
    <t>085155121201</t>
  </si>
  <si>
    <t>2601D145</t>
  </si>
  <si>
    <t>Ocha</t>
  </si>
  <si>
    <t>082131670248</t>
  </si>
  <si>
    <t xml:space="preserve">tanya kapal menjangan </t>
  </si>
  <si>
    <t>2601D146</t>
  </si>
  <si>
    <t>Galihr</t>
  </si>
  <si>
    <t>087838222422</t>
  </si>
  <si>
    <t>45 - 48</t>
  </si>
  <si>
    <t>tunggu info fiks</t>
  </si>
  <si>
    <t>2601D147</t>
  </si>
  <si>
    <t>Nita</t>
  </si>
  <si>
    <t>08156533676</t>
  </si>
  <si>
    <t>Rekomendasi</t>
  </si>
  <si>
    <t>bulan Juni</t>
  </si>
  <si>
    <t>alhamdulillah orderrr</t>
  </si>
  <si>
    <t>https://docs.google.com/document/d/1LJwqoLcXbSwFP_30EVsW4KLvu-cSUrZCXBNqf3OtCww/edit?tab=t.0</t>
  </si>
  <si>
    <t>2601D148</t>
  </si>
  <si>
    <t xml:space="preserve">Pesona Trip Nusantara </t>
  </si>
  <si>
    <t>081998217087</t>
  </si>
  <si>
    <t xml:space="preserve">sudah FU 5 kali tidak ada balasan </t>
  </si>
  <si>
    <t>https://docs.google.com/document/d/1fG6ksUPanEFRm-7kRV6QZq8KIeujMhm94-N85xQ7a2s/edit?tab=t.0</t>
  </si>
  <si>
    <t>2601A028</t>
  </si>
  <si>
    <t>Roha</t>
  </si>
  <si>
    <t>23-24 januari</t>
  </si>
  <si>
    <t xml:space="preserve">tidak tertarik </t>
  </si>
  <si>
    <t>2601A029</t>
  </si>
  <si>
    <t>Tsabitah Nur</t>
  </si>
  <si>
    <t>085163058792</t>
  </si>
  <si>
    <t>2601A030</t>
  </si>
  <si>
    <t>Dwi Isti</t>
  </si>
  <si>
    <t>089671917797</t>
  </si>
  <si>
    <t>3H2M B</t>
  </si>
  <si>
    <t>3-5 April</t>
  </si>
  <si>
    <t>ALHAMDULILAH ORDER</t>
  </si>
  <si>
    <t>2601A031</t>
  </si>
  <si>
    <t>Honeymoon</t>
  </si>
  <si>
    <t>087879654866</t>
  </si>
  <si>
    <t>3H2M Opsi A</t>
  </si>
  <si>
    <t>2601A032</t>
  </si>
  <si>
    <t>Nurandita</t>
  </si>
  <si>
    <t>081317308408</t>
  </si>
  <si>
    <t>Private Trip 3H2M Custom</t>
  </si>
  <si>
    <t>2-4 Juli</t>
  </si>
  <si>
    <t>gada bbalasan</t>
  </si>
  <si>
    <t>https://docs.google.com/document/d/1hKGuEK3I6GR0h7KG7tijUbTOER93QwazXSeUlH1209s/edit?usp=sharing</t>
  </si>
  <si>
    <t>2601A033</t>
  </si>
  <si>
    <t>Thio</t>
  </si>
  <si>
    <t>081219155817</t>
  </si>
  <si>
    <t>14-16 Mei</t>
  </si>
  <si>
    <t>2601A034</t>
  </si>
  <si>
    <t>EL</t>
  </si>
  <si>
    <t>085813040343</t>
  </si>
  <si>
    <t>2601A035</t>
  </si>
  <si>
    <t>Metryayu</t>
  </si>
  <si>
    <t>081388272191</t>
  </si>
  <si>
    <t>Juli</t>
  </si>
  <si>
    <t>2601A036</t>
  </si>
  <si>
    <t>Hj.Wiwin</t>
  </si>
  <si>
    <t>085213862132</t>
  </si>
  <si>
    <t>Mei</t>
  </si>
  <si>
    <t>https://docs.google.com/document/d/1dIRrs3AubGSROJCp1oEJBYXBkQBoa1UGWgOsiAXf6oo/edit?usp=sharing</t>
  </si>
  <si>
    <t>2601A037</t>
  </si>
  <si>
    <t>082118155984</t>
  </si>
  <si>
    <t>april</t>
  </si>
  <si>
    <t>belum dapat cuti</t>
  </si>
  <si>
    <t>2601D149</t>
  </si>
  <si>
    <t>M. Syamsul Bakri</t>
  </si>
  <si>
    <t>082131651818</t>
  </si>
  <si>
    <t>2601D150</t>
  </si>
  <si>
    <t>Aldo.wp</t>
  </si>
  <si>
    <t>08165487012</t>
  </si>
  <si>
    <t>cuma satu orang</t>
  </si>
  <si>
    <t>2601D151</t>
  </si>
  <si>
    <t>Ika</t>
  </si>
  <si>
    <t>085162763767</t>
  </si>
  <si>
    <t xml:space="preserve">Trip menjangan tabuhan </t>
  </si>
  <si>
    <t xml:space="preserve">masih mempertimbamgkan </t>
  </si>
  <si>
    <t>2601D152</t>
  </si>
  <si>
    <t xml:space="preserve">Natasya charissa </t>
  </si>
  <si>
    <t>085100607474</t>
  </si>
  <si>
    <t>20 - 21 maret</t>
  </si>
  <si>
    <t>2601D153</t>
  </si>
  <si>
    <t xml:space="preserve">Sulis Fj Store </t>
  </si>
  <si>
    <t>085746940622</t>
  </si>
  <si>
    <t xml:space="preserve">tanya harga </t>
  </si>
  <si>
    <t>2601D154</t>
  </si>
  <si>
    <t>Mursida Baharuddin</t>
  </si>
  <si>
    <t>08129365865</t>
  </si>
  <si>
    <t>custom destinasi</t>
  </si>
  <si>
    <t>Bulan Mei</t>
  </si>
  <si>
    <t>alhamdulillahh orderrr</t>
  </si>
  <si>
    <t>https://docs.google.com/document/d/152d4DtQJJPMD-i4CY-UR9DxnnBB4NTjjP4XsMx9uwLg/edit?tab=t.0</t>
  </si>
  <si>
    <t>2601D155</t>
  </si>
  <si>
    <t>Lady Lucky</t>
  </si>
  <si>
    <t>081219766771</t>
  </si>
  <si>
    <t>hari rayaa</t>
  </si>
  <si>
    <t>sudah mengirim penawaran</t>
  </si>
  <si>
    <t>2601D156</t>
  </si>
  <si>
    <t>Fika fikria riasti</t>
  </si>
  <si>
    <t>087876061025</t>
  </si>
  <si>
    <t>tanya beda OT dan Private trip</t>
  </si>
  <si>
    <t>2512A001</t>
  </si>
  <si>
    <t>Kian Djiang(Agus setia budi)</t>
  </si>
  <si>
    <t>0895603297486</t>
  </si>
  <si>
    <t>Agustus</t>
  </si>
  <si>
    <t>DP bulan Juli (Trip bulan Agustus)</t>
  </si>
  <si>
    <t>2601A038</t>
  </si>
  <si>
    <t>081234323491</t>
  </si>
  <si>
    <t>OT One day Ijen Baluran</t>
  </si>
  <si>
    <t xml:space="preserve"> </t>
  </si>
  <si>
    <t>2601A039</t>
  </si>
  <si>
    <t>Ikna</t>
  </si>
  <si>
    <t>085780090877</t>
  </si>
  <si>
    <t>2601D157</t>
  </si>
  <si>
    <t>Faris Pramanakusuma</t>
  </si>
  <si>
    <t>085779991858</t>
  </si>
  <si>
    <t>custom</t>
  </si>
  <si>
    <t>1 - 3 mei</t>
  </si>
  <si>
    <t>gagall, FU tidak pernah di balas</t>
  </si>
  <si>
    <t>https://docs.google.com/document/d/127D-CAKtKzkQUrFJW4stYMujpTZfTS_5rXP8fA1PQsk/edit?tab=t.0</t>
  </si>
  <si>
    <t>2601A040</t>
  </si>
  <si>
    <t>Fida</t>
  </si>
  <si>
    <t>085869776991</t>
  </si>
  <si>
    <t>2601H001</t>
  </si>
  <si>
    <t>Imam Syaroni</t>
  </si>
  <si>
    <t>0811311157</t>
  </si>
  <si>
    <t>Holiday</t>
  </si>
  <si>
    <t>One day Baluran</t>
  </si>
  <si>
    <t>Alhamdulillah closing</t>
  </si>
  <si>
    <t>2511A001</t>
  </si>
  <si>
    <t>Andika</t>
  </si>
  <si>
    <t>082226664141</t>
  </si>
  <si>
    <t>Private Trip 3H2M Opsi A</t>
  </si>
  <si>
    <t>25-26 Januari</t>
  </si>
  <si>
    <t>2512A002</t>
  </si>
  <si>
    <t>Kiky Rizkiyah</t>
  </si>
  <si>
    <t>08123045710</t>
  </si>
  <si>
    <t>Private Trip 2H1M Custom</t>
  </si>
  <si>
    <t>16-17 Januari</t>
  </si>
  <si>
    <t>2601H002</t>
  </si>
  <si>
    <t>Puspita Anggasari</t>
  </si>
  <si>
    <t>081317773235</t>
  </si>
  <si>
    <t>2601H003</t>
  </si>
  <si>
    <t>Sri</t>
  </si>
  <si>
    <t>0816691965</t>
  </si>
  <si>
    <t>14-15 Januari</t>
  </si>
  <si>
    <t>2601H004</t>
  </si>
  <si>
    <t>Arum Radiasti</t>
  </si>
  <si>
    <t>08164844630</t>
  </si>
  <si>
    <t>16-18 Januari</t>
  </si>
  <si>
    <t>2601H005</t>
  </si>
  <si>
    <t>Gugun Gunawan</t>
  </si>
  <si>
    <t>08128010671</t>
  </si>
  <si>
    <t>2601H006</t>
  </si>
  <si>
    <t>Dzulfikri</t>
  </si>
  <si>
    <t>081385881976</t>
  </si>
  <si>
    <t>18-20 Januari</t>
  </si>
  <si>
    <t>2601H007</t>
  </si>
  <si>
    <t>Yudha KAI</t>
  </si>
  <si>
    <t>081299954736</t>
  </si>
  <si>
    <t>19-20 Januari</t>
  </si>
  <si>
    <t>2601A041</t>
  </si>
  <si>
    <t>Pras bayu</t>
  </si>
  <si>
    <t>08976412063</t>
  </si>
  <si>
    <t>Tanya tanya</t>
  </si>
  <si>
    <t>mencari driver</t>
  </si>
  <si>
    <t>2601A042</t>
  </si>
  <si>
    <t>085664690787</t>
  </si>
  <si>
    <t>idak ada respon</t>
  </si>
  <si>
    <t>2601A043</t>
  </si>
  <si>
    <t>Farras</t>
  </si>
  <si>
    <t>082326313343</t>
  </si>
  <si>
    <t>belum cocok waktu</t>
  </si>
  <si>
    <t>2601A044</t>
  </si>
  <si>
    <t>Rosta</t>
  </si>
  <si>
    <t>081382731664</t>
  </si>
  <si>
    <t>3H2M Custom</t>
  </si>
  <si>
    <t>Rencana 14 Mei</t>
  </si>
  <si>
    <t>gaada balasan lagi</t>
  </si>
  <si>
    <t>2601A045</t>
  </si>
  <si>
    <t>Yetty</t>
  </si>
  <si>
    <t>081910011543</t>
  </si>
  <si>
    <t>Rencana 20 Maret</t>
  </si>
  <si>
    <t>mau di rundingkan dulu</t>
  </si>
  <si>
    <t>2601D158</t>
  </si>
  <si>
    <t>No Name februari</t>
  </si>
  <si>
    <t>088980398815</t>
  </si>
  <si>
    <t>februari</t>
  </si>
  <si>
    <t>2601D159</t>
  </si>
  <si>
    <t>M Ridho Farisyah</t>
  </si>
  <si>
    <t>082181668773</t>
  </si>
  <si>
    <t xml:space="preserve">tanya penjemputan </t>
  </si>
  <si>
    <t>2601D160</t>
  </si>
  <si>
    <t xml:space="preserve">Kian Djiang </t>
  </si>
  <si>
    <t>akhir agustus</t>
  </si>
  <si>
    <t>sudah dihandle admin 2</t>
  </si>
  <si>
    <t>2601D161</t>
  </si>
  <si>
    <t xml:space="preserve">Gayatri Putri </t>
  </si>
  <si>
    <t>081249001530</t>
  </si>
  <si>
    <t>1 day trip D, B</t>
  </si>
  <si>
    <t>2601A046</t>
  </si>
  <si>
    <t>A Sudibyo</t>
  </si>
  <si>
    <t>085102704611</t>
  </si>
  <si>
    <t>OT Djawatan</t>
  </si>
  <si>
    <t>masih ditunda</t>
  </si>
  <si>
    <t>2601A047</t>
  </si>
  <si>
    <t>Selvy</t>
  </si>
  <si>
    <t>0811595446</t>
  </si>
  <si>
    <t>2601D162</t>
  </si>
  <si>
    <t>Shafna dinar</t>
  </si>
  <si>
    <t>085156081067</t>
  </si>
  <si>
    <t>sekitar mei-agustus</t>
  </si>
  <si>
    <t>sudah FU, FU lagi 13 Juni</t>
  </si>
  <si>
    <t>https://docs.google.com/document/d/1FChC5lKKlcfwOPMJMUHK78mBVTrB_tiworHHjIiS8_Y/edit?tab=t.0</t>
  </si>
  <si>
    <t>2601D163</t>
  </si>
  <si>
    <t>Intantrdr</t>
  </si>
  <si>
    <t>0895335113066</t>
  </si>
  <si>
    <t>custom 1 day trip</t>
  </si>
  <si>
    <t>tanya tanya harga</t>
  </si>
  <si>
    <t>2601H008</t>
  </si>
  <si>
    <t>Ricca</t>
  </si>
  <si>
    <t>08998279499</t>
  </si>
  <si>
    <t>tanya-tanya</t>
  </si>
  <si>
    <t>2601H009</t>
  </si>
  <si>
    <t>Malazza</t>
  </si>
  <si>
    <t>081311114375</t>
  </si>
  <si>
    <t>hari raya ke 3</t>
  </si>
  <si>
    <t>sdh lebih fu 5x, tidak ada jawaban lebih lanjut</t>
  </si>
  <si>
    <t>2601H010</t>
  </si>
  <si>
    <t>next time</t>
  </si>
  <si>
    <t>2601H011</t>
  </si>
  <si>
    <t>Lily suharyani</t>
  </si>
  <si>
    <t>08159288885</t>
  </si>
  <si>
    <t xml:space="preserve">tunggu cuaca mendukung, sudah FU </t>
  </si>
  <si>
    <t>2601H012</t>
  </si>
  <si>
    <t>Ronny Quarto</t>
  </si>
  <si>
    <t>08111441733</t>
  </si>
  <si>
    <t>2601H013</t>
  </si>
  <si>
    <t>Fitri</t>
  </si>
  <si>
    <t>082125355099</t>
  </si>
  <si>
    <t>Kawah Ijen Only</t>
  </si>
  <si>
    <t>2601H014</t>
  </si>
  <si>
    <t>Ilham</t>
  </si>
  <si>
    <t>089696367463</t>
  </si>
  <si>
    <t>tanya trip start jakarta, sudah FU 13 feb</t>
  </si>
  <si>
    <t>2601H015</t>
  </si>
  <si>
    <t>Neneng Juraidah</t>
  </si>
  <si>
    <t>08111339362</t>
  </si>
  <si>
    <t>hari raya</t>
  </si>
  <si>
    <t>FU lagi setelah lebaran, fu 1 juli</t>
  </si>
  <si>
    <t>https://docs.google.com/document/d/12c3T3MfymkdkNi76muU-IvFXF9oY3jOtG4N7_5v9-OI/edit?usp=drivesdk</t>
  </si>
  <si>
    <t>2601H016</t>
  </si>
  <si>
    <t>Nujiya</t>
  </si>
  <si>
    <t>085716716929</t>
  </si>
  <si>
    <t>tanya-tanya OT, FU tgl 6 feb</t>
  </si>
  <si>
    <t>2601H017</t>
  </si>
  <si>
    <t>Tanpa Nama</t>
  </si>
  <si>
    <t>087773897140</t>
  </si>
  <si>
    <t>Full Day Trip I, KW, B</t>
  </si>
  <si>
    <t>Masih dipertimbangkan karena cuman sendiri</t>
  </si>
  <si>
    <t>2601H018</t>
  </si>
  <si>
    <t>Tanpa Nama 2</t>
  </si>
  <si>
    <t>0817190695</t>
  </si>
  <si>
    <t>menarik pesan</t>
  </si>
  <si>
    <t>2601H019</t>
  </si>
  <si>
    <t>Joehernie</t>
  </si>
  <si>
    <t>085947419056</t>
  </si>
  <si>
    <t>tanya-tanya, FU belum ada respond</t>
  </si>
  <si>
    <t>2601H020</t>
  </si>
  <si>
    <t>Nawaf</t>
  </si>
  <si>
    <t>087787049591</t>
  </si>
  <si>
    <t>Half Day Trip Ijen</t>
  </si>
  <si>
    <t>rencana 28 Januari</t>
  </si>
  <si>
    <t>lain kali ke banyuwangi</t>
  </si>
  <si>
    <t>2601H021</t>
  </si>
  <si>
    <t>Firyaal Nadhira</t>
  </si>
  <si>
    <t>08978426315</t>
  </si>
  <si>
    <t>masih belum ada jawaban</t>
  </si>
  <si>
    <t>2601A048</t>
  </si>
  <si>
    <t>Des</t>
  </si>
  <si>
    <t>085314764695</t>
  </si>
  <si>
    <t>Rencana 20-22 Mei</t>
  </si>
  <si>
    <t>2601H022</t>
  </si>
  <si>
    <t>JH</t>
  </si>
  <si>
    <t>081310300909</t>
  </si>
  <si>
    <t>tanya-tanya OT I, next time ke Bwi</t>
  </si>
  <si>
    <t>2601H023</t>
  </si>
  <si>
    <t>Jameelali</t>
  </si>
  <si>
    <t>08888540196</t>
  </si>
  <si>
    <t>Fullday Trip D, GI, PM</t>
  </si>
  <si>
    <t>rencana 30 Januari</t>
  </si>
  <si>
    <t>tanggal sudah lewat, tidak balas waktu FU</t>
  </si>
  <si>
    <t>2601H024</t>
  </si>
  <si>
    <t>Hany Sintya</t>
  </si>
  <si>
    <t>085211221371</t>
  </si>
  <si>
    <t>2601H025</t>
  </si>
  <si>
    <t>Hilman Febriana</t>
  </si>
  <si>
    <t>085161498070</t>
  </si>
  <si>
    <t>3H2M Opsi B</t>
  </si>
  <si>
    <t>23-24 april</t>
  </si>
  <si>
    <t>tidak ada balasan, sudah fu</t>
  </si>
  <si>
    <t>https://docs.google.com/document/d/1MD4vKt2ZQWqX7YfPlQojeuYcf_boCFIM6q-CP2rB4XM/edit?usp=drivesdk</t>
  </si>
  <si>
    <t>2601H026</t>
  </si>
  <si>
    <t>Kirina</t>
  </si>
  <si>
    <t>0811822173</t>
  </si>
  <si>
    <t>rencana setelah lebaran</t>
  </si>
  <si>
    <t>ganti destinasi ke malaysia</t>
  </si>
  <si>
    <t>https://docs.google.com/document/d/1Cg-pxi4TaA4xqPYFa-eNTbbuCPVGyyJvF8dGS01Kl1M/edit?usp=drivesdk</t>
  </si>
  <si>
    <t>2601H027</t>
  </si>
  <si>
    <t>Titin Karyati</t>
  </si>
  <si>
    <t>085285949394</t>
  </si>
  <si>
    <t>2D1N Custom</t>
  </si>
  <si>
    <t>rencana september</t>
  </si>
  <si>
    <t xml:space="preserve">FU lagi mendekati FU 20 Agustus </t>
  </si>
  <si>
    <t>2601H028</t>
  </si>
  <si>
    <t>Jennifer Jones</t>
  </si>
  <si>
    <t>087887878902</t>
  </si>
  <si>
    <t>OT I</t>
  </si>
  <si>
    <t>2601H029</t>
  </si>
  <si>
    <t>Budi biro hb tour jakarta</t>
  </si>
  <si>
    <t>082211661806</t>
  </si>
  <si>
    <t>2H1N</t>
  </si>
  <si>
    <t>bln mei</t>
  </si>
  <si>
    <t>sdh fu, tidak ada jawaban</t>
  </si>
  <si>
    <t>https://docs.google.com/document/d/11xFRViUOnEBT_zPzld688O4yRp2PKlRGwx5LaJKdVzQ/edit?usp=drivesdk</t>
  </si>
  <si>
    <t>2601A049</t>
  </si>
  <si>
    <t>Debyo</t>
  </si>
  <si>
    <t>085643660340</t>
  </si>
  <si>
    <t>Maret</t>
  </si>
  <si>
    <t>tidak balas lagi</t>
  </si>
  <si>
    <t>2601A050</t>
  </si>
  <si>
    <t>Eka</t>
  </si>
  <si>
    <t>08112913613</t>
  </si>
  <si>
    <t xml:space="preserve"> 3H2M Opsi A</t>
  </si>
  <si>
    <t xml:space="preserve">Liburan kenaikan kelas </t>
  </si>
  <si>
    <t>2601D164</t>
  </si>
  <si>
    <t>Dinaa</t>
  </si>
  <si>
    <t>08982230715</t>
  </si>
  <si>
    <t>2601H030</t>
  </si>
  <si>
    <t>Lung</t>
  </si>
  <si>
    <t>081224146323</t>
  </si>
  <si>
    <t>4D3N Custom</t>
  </si>
  <si>
    <t>April</t>
  </si>
  <si>
    <t>tanya tanya dulu</t>
  </si>
  <si>
    <t>2601H031</t>
  </si>
  <si>
    <t>Nuke</t>
  </si>
  <si>
    <t>08170279102</t>
  </si>
  <si>
    <t>tanya tanya PL Tour Banyuwangi</t>
  </si>
  <si>
    <t>2601A051</t>
  </si>
  <si>
    <t>Cynn</t>
  </si>
  <si>
    <t>081227870375</t>
  </si>
  <si>
    <t>OT I, B</t>
  </si>
  <si>
    <t>rencana bulan april</t>
  </si>
  <si>
    <t>2601D165</t>
  </si>
  <si>
    <t>Khansaluth</t>
  </si>
  <si>
    <t>085772222054</t>
  </si>
  <si>
    <t xml:space="preserve">Open trip </t>
  </si>
  <si>
    <t>Bulan Juli</t>
  </si>
  <si>
    <t>FOLLOW UP JUNI</t>
  </si>
  <si>
    <t>https://docs.google.com/document/d/1vwA3C4sLhh6AgXzopg8bicj0mXTaouOY-CI7llsmeHU/edit?tab=t.0</t>
  </si>
  <si>
    <t>2601D166</t>
  </si>
  <si>
    <t xml:space="preserve">Kezia </t>
  </si>
  <si>
    <t>081805979771</t>
  </si>
  <si>
    <t>Privae trip D, B</t>
  </si>
  <si>
    <t>FU tgl 9 feb, ga ada jawaban</t>
  </si>
  <si>
    <t>2601D167</t>
  </si>
  <si>
    <t xml:space="preserve">Ananda </t>
  </si>
  <si>
    <t>081287066330</t>
  </si>
  <si>
    <t>2601D168</t>
  </si>
  <si>
    <t>Nico</t>
  </si>
  <si>
    <t>trip M, T</t>
  </si>
  <si>
    <t xml:space="preserve">nunggu fiks </t>
  </si>
  <si>
    <t>2601A052</t>
  </si>
  <si>
    <t>Syahnindita</t>
  </si>
  <si>
    <t>081938890390</t>
  </si>
  <si>
    <t>23-25 maret</t>
  </si>
  <si>
    <t>gadapat cuti, next mungkin dihubungi lagi</t>
  </si>
  <si>
    <t>2601A053</t>
  </si>
  <si>
    <t>Rasti</t>
  </si>
  <si>
    <t>085333556995</t>
  </si>
  <si>
    <t>2601A054</t>
  </si>
  <si>
    <t>Sendi</t>
  </si>
  <si>
    <t>082244942939</t>
  </si>
  <si>
    <t>rencana 12 Februari</t>
  </si>
  <si>
    <t>belum tertarik</t>
  </si>
  <si>
    <t>2601A055</t>
  </si>
  <si>
    <t>Hendro</t>
  </si>
  <si>
    <t>081918004080</t>
  </si>
  <si>
    <t>2601A056</t>
  </si>
  <si>
    <t>Aulia Rizky Amalia</t>
  </si>
  <si>
    <t>083189971273</t>
  </si>
  <si>
    <t>sudah kirim penawaran, masih diinfokan ke temannya</t>
  </si>
  <si>
    <t>2601A057</t>
  </si>
  <si>
    <t>Ari budiman</t>
  </si>
  <si>
    <t>081365613727</t>
  </si>
  <si>
    <t>Trip Teluk Hijau</t>
  </si>
  <si>
    <t>2601D169</t>
  </si>
  <si>
    <t xml:space="preserve">Yulia </t>
  </si>
  <si>
    <t>083830522020</t>
  </si>
  <si>
    <t>nunggu info lanjut</t>
  </si>
  <si>
    <t>2601D170</t>
  </si>
  <si>
    <t>Bajalan bareng</t>
  </si>
  <si>
    <t>08988404333</t>
  </si>
  <si>
    <t>paket private trip</t>
  </si>
  <si>
    <t>2601D171</t>
  </si>
  <si>
    <t>Muhammad akbar</t>
  </si>
  <si>
    <t>085870033173</t>
  </si>
  <si>
    <t>paket 3H2M</t>
  </si>
  <si>
    <t>blm ada balasan</t>
  </si>
  <si>
    <t>2601A058</t>
  </si>
  <si>
    <t>Caca</t>
  </si>
  <si>
    <t>081573666815</t>
  </si>
  <si>
    <t>Trip baluran</t>
  </si>
  <si>
    <t>mei/ juni</t>
  </si>
  <si>
    <t>https://docs.google.com/document/d/1dCS-DTyTB0rcOBWL6xkq6bti9h0yXz0xReLOQwOqm6Q/edit?usp=sharing</t>
  </si>
  <si>
    <t>2601D172</t>
  </si>
  <si>
    <t>Ichafelarycha</t>
  </si>
  <si>
    <t>085647857772</t>
  </si>
  <si>
    <t>2H1M custom</t>
  </si>
  <si>
    <t>9-10 feb</t>
  </si>
  <si>
    <t>2601D173</t>
  </si>
  <si>
    <t>Nadya</t>
  </si>
  <si>
    <t>085161963870</t>
  </si>
  <si>
    <t>trip 3H2M</t>
  </si>
  <si>
    <t>2601A060</t>
  </si>
  <si>
    <t>Lanny suyanto</t>
  </si>
  <si>
    <t>0817220272</t>
  </si>
  <si>
    <t>Bulan april minggu ke 2</t>
  </si>
  <si>
    <t>tidak ada jawaban lagi</t>
  </si>
  <si>
    <t>https://docs.google.com/document/d/1ByN8KaDbVn05mmAo3BQIhKqfPFfGWSR02o7DAvmWzng/edit?usp=sharing</t>
  </si>
  <si>
    <t>2601D174</t>
  </si>
  <si>
    <t>Audiif</t>
  </si>
  <si>
    <t>081808234456</t>
  </si>
  <si>
    <t xml:space="preserve">trip menjangan tabuhan </t>
  </si>
  <si>
    <t xml:space="preserve">bln februari </t>
  </si>
  <si>
    <t>fu hari rabu</t>
  </si>
  <si>
    <t>2601D175</t>
  </si>
  <si>
    <t xml:space="preserve">Syafriza Bhima </t>
  </si>
  <si>
    <t>081232232441</t>
  </si>
  <si>
    <t>2601D176</t>
  </si>
  <si>
    <t>Gonzaga</t>
  </si>
  <si>
    <t>081327249305</t>
  </si>
  <si>
    <t>blm mei</t>
  </si>
  <si>
    <t xml:space="preserve">dibuatkan penawaran </t>
  </si>
  <si>
    <t>2601D177</t>
  </si>
  <si>
    <t xml:space="preserve">Arinda </t>
  </si>
  <si>
    <t>081311105575</t>
  </si>
  <si>
    <t>Tidak ada jawaban, sdh fu 5 kali</t>
  </si>
  <si>
    <t>https://docs.google.com/document/d/1phGEX3jkoIZ26Seoz_IPs9mfRQD39g92ydREz-liX-4/edit?tab=t.0</t>
  </si>
  <si>
    <t>2601A061</t>
  </si>
  <si>
    <t>Sendy</t>
  </si>
  <si>
    <t>087776660612</t>
  </si>
  <si>
    <t>OT D, B</t>
  </si>
  <si>
    <t>Rencana tgl 7 Februari</t>
  </si>
  <si>
    <t>sendiri</t>
  </si>
  <si>
    <t>2601A062</t>
  </si>
  <si>
    <t>Anugerah Perdana</t>
  </si>
  <si>
    <t>081329762124</t>
  </si>
  <si>
    <t>17-20 April</t>
  </si>
  <si>
    <t>belum balas lagi</t>
  </si>
  <si>
    <t>https://docs.google.com/document/d/13MqIUKaT--IgfEldtUan8PJMYEDPSAHBA90UC72C-nA/edit?usp=sharing</t>
  </si>
  <si>
    <t>2601A059</t>
  </si>
  <si>
    <t>DR</t>
  </si>
  <si>
    <t>085854406666</t>
  </si>
  <si>
    <t>3-5 pril</t>
  </si>
  <si>
    <t>Gagal karna tidak ada balasan lagi</t>
  </si>
  <si>
    <t>2601A063</t>
  </si>
  <si>
    <t>Nasyajulia</t>
  </si>
  <si>
    <t>0881024866564</t>
  </si>
  <si>
    <t>2601H032</t>
  </si>
  <si>
    <t>Janny (Bambang)</t>
  </si>
  <si>
    <t>0816828184</t>
  </si>
  <si>
    <t>24-26 feb</t>
  </si>
  <si>
    <t>2601H033</t>
  </si>
  <si>
    <t>Masayuanna</t>
  </si>
  <si>
    <t>08170172205</t>
  </si>
  <si>
    <t>22-25 Maret</t>
  </si>
  <si>
    <t xml:space="preserve">alhamdulillah sudah DP </t>
  </si>
  <si>
    <t>2601H034</t>
  </si>
  <si>
    <t>Isna</t>
  </si>
  <si>
    <t>085691313250</t>
  </si>
  <si>
    <t>Halfday Trip Baluran</t>
  </si>
  <si>
    <t>tidak jadi ke banyuwangi</t>
  </si>
  <si>
    <t>2601H035</t>
  </si>
  <si>
    <t>Aul's</t>
  </si>
  <si>
    <t>08567198838</t>
  </si>
  <si>
    <t xml:space="preserve">3D2N </t>
  </si>
  <si>
    <t>tidak membalas</t>
  </si>
  <si>
    <t>2601H036</t>
  </si>
  <si>
    <t>Guruh Tolowijoyo</t>
  </si>
  <si>
    <t>081932057178</t>
  </si>
  <si>
    <t>juni</t>
  </si>
  <si>
    <t>FU kembali tgl 7 juni</t>
  </si>
  <si>
    <t>https://docs.google.com/document/d/1H4CnDuuDwcwMg5JS9tgRXEIQo7OZMjjmlc73xCMdph8/edit?usp=drivesdk</t>
  </si>
  <si>
    <t>2601H037</t>
  </si>
  <si>
    <t>Damaiyanti SM</t>
  </si>
  <si>
    <t>08121052141</t>
  </si>
  <si>
    <t>sdh fu lebih dr 5 kali, tidak ada jawaban</t>
  </si>
  <si>
    <t>https://docs.google.com/document/d/1BSzCDksfh22ZA-W6CT-fRdHgFApRaNSjaQTOWdQfND0/edit?usp=drivesdk</t>
  </si>
  <si>
    <t>2601D178</t>
  </si>
  <si>
    <t xml:space="preserve">Tika devi </t>
  </si>
  <si>
    <t>089647678594</t>
  </si>
  <si>
    <t xml:space="preserve">Trip djawatan baluran </t>
  </si>
  <si>
    <t>gajadiii</t>
  </si>
  <si>
    <t>2601D179</t>
  </si>
  <si>
    <t>Katarina angelica</t>
  </si>
  <si>
    <t>082329094963</t>
  </si>
  <si>
    <t>belum bisa di bulan ini</t>
  </si>
  <si>
    <t>2601D180</t>
  </si>
  <si>
    <t>Cak Tri</t>
  </si>
  <si>
    <t>089678451834</t>
  </si>
  <si>
    <t>luar kota</t>
  </si>
  <si>
    <t>2601D181</t>
  </si>
  <si>
    <t xml:space="preserve">Briliya Crisping </t>
  </si>
  <si>
    <t>085157474662</t>
  </si>
  <si>
    <t xml:space="preserve">minta pricelist </t>
  </si>
  <si>
    <t>2601D182</t>
  </si>
  <si>
    <t>Umi</t>
  </si>
  <si>
    <t>081326432649</t>
  </si>
  <si>
    <t>minta jemput, gagal</t>
  </si>
  <si>
    <t>2601D183</t>
  </si>
  <si>
    <t xml:space="preserve">Revand </t>
  </si>
  <si>
    <t>085231074853</t>
  </si>
  <si>
    <t>2601A064</t>
  </si>
  <si>
    <t xml:space="preserve">Hary </t>
  </si>
  <si>
    <t>085257112446</t>
  </si>
  <si>
    <t>2H1M Custom</t>
  </si>
  <si>
    <t>kurang minat karna jauh</t>
  </si>
  <si>
    <t>2601D184</t>
  </si>
  <si>
    <t>Natali</t>
  </si>
  <si>
    <t>082132282858</t>
  </si>
  <si>
    <t>ga balas</t>
  </si>
  <si>
    <t>2601H038</t>
  </si>
  <si>
    <t>Yanti</t>
  </si>
  <si>
    <t>082217222215</t>
  </si>
  <si>
    <t>2601A065</t>
  </si>
  <si>
    <t>Anna</t>
  </si>
  <si>
    <t>085829041849</t>
  </si>
  <si>
    <t>paket trip ijen</t>
  </si>
  <si>
    <t>7-8 februari</t>
  </si>
  <si>
    <t>Masih ditawarkan ke tamunya</t>
  </si>
  <si>
    <t>2601D185</t>
  </si>
  <si>
    <t>Zee</t>
  </si>
  <si>
    <t>085607907412</t>
  </si>
  <si>
    <t>`</t>
  </si>
  <si>
    <t>2601A066</t>
  </si>
  <si>
    <t>Rain</t>
  </si>
  <si>
    <t>085719601265</t>
  </si>
  <si>
    <t>gagal, tidak ada balasan</t>
  </si>
  <si>
    <t>2601H039</t>
  </si>
  <si>
    <t>Watty Purba</t>
  </si>
  <si>
    <t>089643601225</t>
  </si>
  <si>
    <t>3D2N Custom</t>
  </si>
  <si>
    <t>masih hujan, tunggu cuaca membaik</t>
  </si>
  <si>
    <t>https://docs.google.com/document/d/1IvqJVVXTDmALyuYDmJl7vBncBZdhiE8SxNMvf0WIlzs/edit?usp=drivesdk</t>
  </si>
  <si>
    <t>2601H040</t>
  </si>
  <si>
    <t>Joyce Mawuntu</t>
  </si>
  <si>
    <t>08998844499</t>
  </si>
  <si>
    <t>6D5M Custom</t>
  </si>
  <si>
    <t>5-11 Feb</t>
  </si>
  <si>
    <t xml:space="preserve">pengajuan ke manajemen </t>
  </si>
  <si>
    <t>2601D186</t>
  </si>
  <si>
    <t xml:space="preserve">Nadhillah Hulfa </t>
  </si>
  <si>
    <t>085759951914</t>
  </si>
  <si>
    <t>rencana habis lebaran</t>
  </si>
  <si>
    <t>tidak ada jawaban,udh  FU5</t>
  </si>
  <si>
    <t>2601D187</t>
  </si>
  <si>
    <t>Nisa</t>
  </si>
  <si>
    <t>089687187821</t>
  </si>
  <si>
    <t>ORDERR</t>
  </si>
  <si>
    <t>https://docs.google.com/document/d/1PayTX2QZC-lfx0CpdQpBPhmpU2Nj5Q2b9dhBJ1MOYeY/edit?tab=t.0</t>
  </si>
  <si>
    <t>2601A067</t>
  </si>
  <si>
    <t>JM Rouf</t>
  </si>
  <si>
    <t>Trip D, PM, TI</t>
  </si>
  <si>
    <t>tidak minat</t>
  </si>
  <si>
    <t>2601A068</t>
  </si>
  <si>
    <t>Mila</t>
  </si>
  <si>
    <t>081511307136</t>
  </si>
  <si>
    <t>Gagal Tidak ada respon</t>
  </si>
  <si>
    <t>2602D001</t>
  </si>
  <si>
    <t xml:space="preserve">Rangga </t>
  </si>
  <si>
    <t>083851037150</t>
  </si>
  <si>
    <t>acara famget</t>
  </si>
  <si>
    <t>2602D002</t>
  </si>
  <si>
    <t xml:space="preserve">Agoespri </t>
  </si>
  <si>
    <t>081310712196</t>
  </si>
  <si>
    <t>one day trip ijen</t>
  </si>
  <si>
    <t>https://docs.google.com/document/d/1nEuZ3HSwD3Xqnw8frE84LpIQraKDwdIcVKcHepaXuE0/edit?tab=t.0</t>
  </si>
  <si>
    <t>2602A001</t>
  </si>
  <si>
    <t>Layla</t>
  </si>
  <si>
    <t>085334674721</t>
  </si>
  <si>
    <t>Trip 1D M , B</t>
  </si>
  <si>
    <t xml:space="preserve">ALHAMDULILLAH </t>
  </si>
  <si>
    <t>https://docs.google.com/document/d/11U4STf_PzmsD-tx3NDn4KyQxOXU4Cy7IdOLpO4cHx9Y/edit?usp=sharing</t>
  </si>
  <si>
    <t>2602H001</t>
  </si>
  <si>
    <t>Purwanto</t>
  </si>
  <si>
    <t>08128200401</t>
  </si>
  <si>
    <t>tgl 2 feb</t>
  </si>
  <si>
    <t>2602D003</t>
  </si>
  <si>
    <t>Amel</t>
  </si>
  <si>
    <t>087881114085</t>
  </si>
  <si>
    <t>14-17 feb</t>
  </si>
  <si>
    <t>tidak balas</t>
  </si>
  <si>
    <t>2602A002</t>
  </si>
  <si>
    <t>Suci</t>
  </si>
  <si>
    <t>081233877184</t>
  </si>
  <si>
    <t>cancellll</t>
  </si>
  <si>
    <t>2602D004</t>
  </si>
  <si>
    <t>Ri</t>
  </si>
  <si>
    <t>083870229793</t>
  </si>
  <si>
    <t xml:space="preserve"> Custom 3H2M</t>
  </si>
  <si>
    <t>mei</t>
  </si>
  <si>
    <t>FU lagi 9 Mei</t>
  </si>
  <si>
    <t>https://docs.google.com/document/d/15RF16GQudPkbA3O0qUVk2G56Mrmc0ggT6Ql38QS4fpI/edit?tab=t.0</t>
  </si>
  <si>
    <t>2602D005</t>
  </si>
  <si>
    <t>Rochmad99</t>
  </si>
  <si>
    <t>081351474899</t>
  </si>
  <si>
    <t>3/4 Feb</t>
  </si>
  <si>
    <t>anaknya sdh ikut trip</t>
  </si>
  <si>
    <t>2602D006</t>
  </si>
  <si>
    <t>De De</t>
  </si>
  <si>
    <t>41796833424</t>
  </si>
  <si>
    <t>masalah tf dan hnya bisa tgl 4 feb</t>
  </si>
  <si>
    <t>2602D007</t>
  </si>
  <si>
    <t>Zilzi Zade</t>
  </si>
  <si>
    <t>085524718925</t>
  </si>
  <si>
    <t>4H3M, OT</t>
  </si>
  <si>
    <t>waktunya belum jelas</t>
  </si>
  <si>
    <t>2602D008</t>
  </si>
  <si>
    <t>Chao</t>
  </si>
  <si>
    <t>085248509954</t>
  </si>
  <si>
    <t>3-4 feb</t>
  </si>
  <si>
    <t>2602D009</t>
  </si>
  <si>
    <t>Nailah Putri</t>
  </si>
  <si>
    <t>085725704196</t>
  </si>
  <si>
    <t>2502H002</t>
  </si>
  <si>
    <t>Ahmad risky</t>
  </si>
  <si>
    <t>08176885123</t>
  </si>
  <si>
    <t>paket custom 2H1M</t>
  </si>
  <si>
    <t>15-16 feb</t>
  </si>
  <si>
    <t>2602D010</t>
  </si>
  <si>
    <t>A Joan</t>
  </si>
  <si>
    <t>081232254196</t>
  </si>
  <si>
    <t>Custom 2H1M (MT, D,TNB)</t>
  </si>
  <si>
    <t>15-16 maret</t>
  </si>
  <si>
    <t>2602D011</t>
  </si>
  <si>
    <t>Fadilla Riesty</t>
  </si>
  <si>
    <t>085800484767</t>
  </si>
  <si>
    <t>2602H003</t>
  </si>
  <si>
    <t>Marysa</t>
  </si>
  <si>
    <t>088905841570</t>
  </si>
  <si>
    <t>custom ijen, djawatan</t>
  </si>
  <si>
    <t>sudah FU tidak di balas, gagal</t>
  </si>
  <si>
    <t>https://docs.google.com/document/d/1g8F-5jRG-81ZEi_8FZmNfwq6CxAYL0xvst5LxvWYgkw/edit?tab=t.0</t>
  </si>
  <si>
    <t>2602D012</t>
  </si>
  <si>
    <t>Novita Utami</t>
  </si>
  <si>
    <t>0818171194</t>
  </si>
  <si>
    <t>20-23 maret</t>
  </si>
  <si>
    <t>ingin incl hotel saat highseason</t>
  </si>
  <si>
    <t>2602H004</t>
  </si>
  <si>
    <t>Dhesy aryanti</t>
  </si>
  <si>
    <t>08128504020</t>
  </si>
  <si>
    <t>FU 20 September, tunggu informasi selanjutnya</t>
  </si>
  <si>
    <t>2602D013</t>
  </si>
  <si>
    <t>Andika Savira</t>
  </si>
  <si>
    <t>082336252464</t>
  </si>
  <si>
    <t>tidak ada informasi lanjut dari temannya yg ingin pesan</t>
  </si>
  <si>
    <t>2602D014</t>
  </si>
  <si>
    <t>ipaan</t>
  </si>
  <si>
    <t>082138351869</t>
  </si>
  <si>
    <t>1D BEDIL</t>
  </si>
  <si>
    <t>2602D015</t>
  </si>
  <si>
    <t>Bella Adelia</t>
  </si>
  <si>
    <t>085784272210</t>
  </si>
  <si>
    <t>semestara belum dulu, trip ditunda</t>
  </si>
  <si>
    <t>https://docs.google.com/document/d/17HHm3vNEHgyZuevQSS1ldU2N8v39DVrl2Jocnh2KgEo/edit?tab=t.0</t>
  </si>
  <si>
    <t>2602D016</t>
  </si>
  <si>
    <t>Sally</t>
  </si>
  <si>
    <t>081314588507</t>
  </si>
  <si>
    <t>minggu depan</t>
  </si>
  <si>
    <t>2602D017</t>
  </si>
  <si>
    <t xml:space="preserve">ga ada jawaban </t>
  </si>
  <si>
    <t>08317322999</t>
  </si>
  <si>
    <t>2602A003</t>
  </si>
  <si>
    <t>Steven sieto</t>
  </si>
  <si>
    <t>08165444838</t>
  </si>
  <si>
    <t>2H1M Z</t>
  </si>
  <si>
    <t>27-28 feb</t>
  </si>
  <si>
    <t>Blm balas lagi</t>
  </si>
  <si>
    <t>2602A004</t>
  </si>
  <si>
    <t>083173513987</t>
  </si>
  <si>
    <t>one day trip banyuwangi</t>
  </si>
  <si>
    <t>2602D018</t>
  </si>
  <si>
    <t>le</t>
  </si>
  <si>
    <t>085817262943</t>
  </si>
  <si>
    <t>trip 2H1M</t>
  </si>
  <si>
    <t>minta dijemput dr malang, gagal</t>
  </si>
  <si>
    <t>2602H005</t>
  </si>
  <si>
    <t>The ramadhan</t>
  </si>
  <si>
    <t>08159852356</t>
  </si>
  <si>
    <t>masih menyapa</t>
  </si>
  <si>
    <t>2602D019</t>
  </si>
  <si>
    <t>Ratih Pratama</t>
  </si>
  <si>
    <t>082298487924</t>
  </si>
  <si>
    <t>2602A005</t>
  </si>
  <si>
    <t>Dr. Leny Erfiana</t>
  </si>
  <si>
    <t>085236381772</t>
  </si>
  <si>
    <t>nanti dikabari lagi</t>
  </si>
  <si>
    <t xml:space="preserve">Joanna Siti Fatimah </t>
  </si>
  <si>
    <t>082208226449</t>
  </si>
  <si>
    <t>14-17 februari</t>
  </si>
  <si>
    <t>tanya tanya OT, blm ada balasan lagi</t>
  </si>
  <si>
    <t>2602A006</t>
  </si>
  <si>
    <t>Akm</t>
  </si>
  <si>
    <t>085200412086</t>
  </si>
  <si>
    <t>Trip Green island</t>
  </si>
  <si>
    <t>sudah di trip lain</t>
  </si>
  <si>
    <t>2602H007</t>
  </si>
  <si>
    <t>Agam Jibran</t>
  </si>
  <si>
    <t>08118470707</t>
  </si>
  <si>
    <t>tamu ga jadi, karena ada konflik timur tengah</t>
  </si>
  <si>
    <t>https://docs.google.com/document/d/1W3rnb1JAhlTDBkWwRXbMKuEXh5hJNF5RrAaHOtOKSzE/edit?usp=drivesdk</t>
  </si>
  <si>
    <t>2602D020</t>
  </si>
  <si>
    <t>Merin</t>
  </si>
  <si>
    <t>082230308898</t>
  </si>
  <si>
    <t>1D D, B</t>
  </si>
  <si>
    <t>tidak jadi</t>
  </si>
  <si>
    <t>2602D021</t>
  </si>
  <si>
    <t>Raudhah Mariyah</t>
  </si>
  <si>
    <t>082121900204</t>
  </si>
  <si>
    <t>2602D022</t>
  </si>
  <si>
    <t>Tifenn Rosenkranz</t>
  </si>
  <si>
    <t>33621946594</t>
  </si>
  <si>
    <t>Baluran</t>
  </si>
  <si>
    <t>2602A007</t>
  </si>
  <si>
    <t>Rizka</t>
  </si>
  <si>
    <t>085280537600</t>
  </si>
  <si>
    <t>2H1M Z (1D PM, 1D KW B)</t>
  </si>
  <si>
    <t>12-13 Feb</t>
  </si>
  <si>
    <t>Sudah DP alhamdulillah</t>
  </si>
  <si>
    <t>2602H008</t>
  </si>
  <si>
    <t>Hening pram</t>
  </si>
  <si>
    <t>085649595000</t>
  </si>
  <si>
    <t>trip baluran</t>
  </si>
  <si>
    <t>tanya tanya, ragu cuaca</t>
  </si>
  <si>
    <t>2602D023</t>
  </si>
  <si>
    <t>Assyifa interior</t>
  </si>
  <si>
    <t>082329459329</t>
  </si>
  <si>
    <t>2602D024</t>
  </si>
  <si>
    <t>Elfiniama</t>
  </si>
  <si>
    <t>081332159872</t>
  </si>
  <si>
    <t>Mei (habis lebaran)</t>
  </si>
  <si>
    <t>sudah FU ga baless</t>
  </si>
  <si>
    <t>https://docs.google.com/document/d/1g9qkJm1JWRZnNc8K9G-Uxdkk8x_mBdqBJzs5XfY_eDA/edit?tab=t.0</t>
  </si>
  <si>
    <t>2602A008</t>
  </si>
  <si>
    <t>Michelle</t>
  </si>
  <si>
    <t>08111807321</t>
  </si>
  <si>
    <t>tidak ada balasan</t>
  </si>
  <si>
    <t>https://docs.google.com/document/d/1Hq7YCuakPtUJsUYKsWDb8GCrQAL7Sype9pV3jo0_5XI/edit?usp=sharing</t>
  </si>
  <si>
    <t>2602D025</t>
  </si>
  <si>
    <t>Juwita Sari Soedarto</t>
  </si>
  <si>
    <t>089512027924</t>
  </si>
  <si>
    <t>cancelll</t>
  </si>
  <si>
    <t>https://docs.google.com/document/d/193S103462jSmdwdv_4XIc_MBhcjnQr12YoKfHNnAN9Q/edit?tab=t.0</t>
  </si>
  <si>
    <t>2602H009</t>
  </si>
  <si>
    <t>Aweng</t>
  </si>
  <si>
    <t>0817125048</t>
  </si>
  <si>
    <t>FU kembali tgl 10 Juli</t>
  </si>
  <si>
    <t>2602H010</t>
  </si>
  <si>
    <t>Yuki sagita</t>
  </si>
  <si>
    <t>087893489357</t>
  </si>
  <si>
    <t>bln juni</t>
  </si>
  <si>
    <t xml:space="preserve">tanya tanya, FU kembali 10 Mei </t>
  </si>
  <si>
    <t>2602D026</t>
  </si>
  <si>
    <t>Rini Pujiastuti</t>
  </si>
  <si>
    <t>08977709082</t>
  </si>
  <si>
    <t>kehabisan tiket kereta</t>
  </si>
  <si>
    <t>2602A009</t>
  </si>
  <si>
    <t>Julinda</t>
  </si>
  <si>
    <t>08990033369</t>
  </si>
  <si>
    <t>OT Alas Purwo, D, PM</t>
  </si>
  <si>
    <t>2602A010</t>
  </si>
  <si>
    <t>Lenny</t>
  </si>
  <si>
    <t>081319190031</t>
  </si>
  <si>
    <t>OT 3H2M Everyday</t>
  </si>
  <si>
    <t>23-25 Feb</t>
  </si>
  <si>
    <t>2602D027</t>
  </si>
  <si>
    <t>PT Sonton Food Indonesia</t>
  </si>
  <si>
    <t>081180101566</t>
  </si>
  <si>
    <t>2602D028</t>
  </si>
  <si>
    <t>Herlina Intan</t>
  </si>
  <si>
    <t>085828312909</t>
  </si>
  <si>
    <t>2602D029</t>
  </si>
  <si>
    <t>M Iqbal Kurniawan</t>
  </si>
  <si>
    <t>08155059830</t>
  </si>
  <si>
    <t>2602A011</t>
  </si>
  <si>
    <t>A.M</t>
  </si>
  <si>
    <t>085141444406</t>
  </si>
  <si>
    <t>nanti dikabari jika fiks, masih di luar negri, FU 2 maret</t>
  </si>
  <si>
    <t>2602D030</t>
  </si>
  <si>
    <t>Grace</t>
  </si>
  <si>
    <t>085719171914</t>
  </si>
  <si>
    <t>21-23 Maret</t>
  </si>
  <si>
    <t>2602D031</t>
  </si>
  <si>
    <t>Taqiyya</t>
  </si>
  <si>
    <t>0811200777270</t>
  </si>
  <si>
    <t>OT 3H2M, green island</t>
  </si>
  <si>
    <t>15-17 februari</t>
  </si>
  <si>
    <t>tidak ada jawaban, tanggal lewat</t>
  </si>
  <si>
    <t>2602D032</t>
  </si>
  <si>
    <t>Najwa Wafi</t>
  </si>
  <si>
    <t>081312340975</t>
  </si>
  <si>
    <t>OT 2 hari</t>
  </si>
  <si>
    <t>25 26 maret</t>
  </si>
  <si>
    <t>full booked</t>
  </si>
  <si>
    <t>2602D033</t>
  </si>
  <si>
    <t>HudaAdi</t>
  </si>
  <si>
    <t>087837134619</t>
  </si>
  <si>
    <t>gagal, di FU gapernah balesss</t>
  </si>
  <si>
    <t>https://docs.google.com/document/d/1ULP3xXceO9XbkcvmS1t6PgcCpXO9CkeL-6btEbJOAPI/edit?tab=t.0</t>
  </si>
  <si>
    <t>2602H011</t>
  </si>
  <si>
    <t>Iren</t>
  </si>
  <si>
    <t>081286754646</t>
  </si>
  <si>
    <t>paket custom 3H2M</t>
  </si>
  <si>
    <t>19-21 feb</t>
  </si>
  <si>
    <t>blm dapat kabar dari mertua</t>
  </si>
  <si>
    <t>2602H012</t>
  </si>
  <si>
    <t>Fera Wardani</t>
  </si>
  <si>
    <t>087711258932</t>
  </si>
  <si>
    <t>insyaallah bln maret</t>
  </si>
  <si>
    <t>akan dikabarin lagi</t>
  </si>
  <si>
    <t>2602D034</t>
  </si>
  <si>
    <t>RH.Ghany</t>
  </si>
  <si>
    <t>081321845121</t>
  </si>
  <si>
    <t>besok</t>
  </si>
  <si>
    <t>2602H013</t>
  </si>
  <si>
    <t>Risda</t>
  </si>
  <si>
    <t>08895370735</t>
  </si>
  <si>
    <t>OT custom 2H1M</t>
  </si>
  <si>
    <t>16-17 feb</t>
  </si>
  <si>
    <t>pekerjaan blm bisa ditinggal</t>
  </si>
  <si>
    <t>2602D035</t>
  </si>
  <si>
    <t>bulan ini, tanggal 15</t>
  </si>
  <si>
    <t>belum ada barengan</t>
  </si>
  <si>
    <t>2602D036</t>
  </si>
  <si>
    <t>Nasron</t>
  </si>
  <si>
    <t>08980693688</t>
  </si>
  <si>
    <t>2D1N opsi B</t>
  </si>
  <si>
    <t>ganti destinasi serta waktu</t>
  </si>
  <si>
    <t>https://docs.google.com/document/d/1hYch31oVZJmoh4-CBxkGhZhr0lg3Nv2GLiazRoyUDZc/edit?tab=t.0</t>
  </si>
  <si>
    <t>2602A012</t>
  </si>
  <si>
    <t>Marina Woods</t>
  </si>
  <si>
    <t>Private Trip Ijen</t>
  </si>
  <si>
    <t>order, sdh dp</t>
  </si>
  <si>
    <t>2602A013</t>
  </si>
  <si>
    <t>Shethe</t>
  </si>
  <si>
    <t>085729951440</t>
  </si>
  <si>
    <t>2602A014</t>
  </si>
  <si>
    <t>Sunardi Edy Sukamto</t>
  </si>
  <si>
    <t>08123282494</t>
  </si>
  <si>
    <t>1 day Trip D,MU,PM</t>
  </si>
  <si>
    <t>rombongan tidak jadi berangkat</t>
  </si>
  <si>
    <t>2602A015</t>
  </si>
  <si>
    <t>Trisna</t>
  </si>
  <si>
    <t>081332193311</t>
  </si>
  <si>
    <t>Trip GI</t>
  </si>
  <si>
    <t>15-16 Feb</t>
  </si>
  <si>
    <t>gagal karna tidak tertarik</t>
  </si>
  <si>
    <t>2602H014</t>
  </si>
  <si>
    <t>Bulan - Famouz Boutique</t>
  </si>
  <si>
    <t>081901091304</t>
  </si>
  <si>
    <t xml:space="preserve">blm balas lagi, sudah FU </t>
  </si>
  <si>
    <t>2602D037</t>
  </si>
  <si>
    <t>laili</t>
  </si>
  <si>
    <t>085707952271</t>
  </si>
  <si>
    <t>minggu ini</t>
  </si>
  <si>
    <t>2602H015</t>
  </si>
  <si>
    <t>Inneke Mamina</t>
  </si>
  <si>
    <t>081342910610</t>
  </si>
  <si>
    <t xml:space="preserve">berubah rute, glamping daerah semeru  </t>
  </si>
  <si>
    <t>2602A016</t>
  </si>
  <si>
    <t>Ulul Amri</t>
  </si>
  <si>
    <t>085278155358</t>
  </si>
  <si>
    <t>lewat tanggal dan tidak balas lagi</t>
  </si>
  <si>
    <t>2602A017</t>
  </si>
  <si>
    <t>Rosidbagus</t>
  </si>
  <si>
    <t>082123031677</t>
  </si>
  <si>
    <t>gada respon</t>
  </si>
  <si>
    <t>2602A018</t>
  </si>
  <si>
    <t xml:space="preserve">Dila </t>
  </si>
  <si>
    <t>081332256246</t>
  </si>
  <si>
    <t>Open Trip Ijen</t>
  </si>
  <si>
    <t>order,</t>
  </si>
  <si>
    <t>2602D038</t>
  </si>
  <si>
    <t>evariyati</t>
  </si>
  <si>
    <t>081361638989</t>
  </si>
  <si>
    <t>1D Trip ijen</t>
  </si>
  <si>
    <t>deal di trip bwi 2</t>
  </si>
  <si>
    <t>2602D039</t>
  </si>
  <si>
    <t>Diana</t>
  </si>
  <si>
    <t>08159150518</t>
  </si>
  <si>
    <t>19-20 feb</t>
  </si>
  <si>
    <t>2602D040</t>
  </si>
  <si>
    <t>Kurniawan</t>
  </si>
  <si>
    <t>follow up Minggu tanggal 1 Maret</t>
  </si>
  <si>
    <t>3H2M custom</t>
  </si>
  <si>
    <t>orderrr</t>
  </si>
  <si>
    <t>https://docs.google.com/document/d/1ZCTQyOJEvY__WLUnORBdvw4VrWfQj4EKgywhv3O6mBw/edit?tab=t.0</t>
  </si>
  <si>
    <t>2602D041</t>
  </si>
  <si>
    <t>Bartosz</t>
  </si>
  <si>
    <t>31631776084</t>
  </si>
  <si>
    <t>I,PM,B</t>
  </si>
  <si>
    <t>follow up besok, tanggal 13</t>
  </si>
  <si>
    <t>2602D042</t>
  </si>
  <si>
    <t>Shofaatin Mardiah</t>
  </si>
  <si>
    <t>085851187800</t>
  </si>
  <si>
    <t>D,B</t>
  </si>
  <si>
    <t xml:space="preserve">privat trip </t>
  </si>
  <si>
    <t>2602D043</t>
  </si>
  <si>
    <t>Evi Rinawati</t>
  </si>
  <si>
    <t>082123333559</t>
  </si>
  <si>
    <t>ingin lihat blue fire, tp tidak ada</t>
  </si>
  <si>
    <t>2602D044</t>
  </si>
  <si>
    <t>haf</t>
  </si>
  <si>
    <t>085158139908</t>
  </si>
  <si>
    <t>trip MT</t>
  </si>
  <si>
    <t>24/25 maret</t>
  </si>
  <si>
    <t>tidak ada jawaban, sdh fu 5x</t>
  </si>
  <si>
    <t>2602D045</t>
  </si>
  <si>
    <t>Dian Rahmawati</t>
  </si>
  <si>
    <t>095814982390</t>
  </si>
  <si>
    <t>22-24 Maret</t>
  </si>
  <si>
    <t>udh order</t>
  </si>
  <si>
    <t>2602H016</t>
  </si>
  <si>
    <t xml:space="preserve">Resi Milawati </t>
  </si>
  <si>
    <t>085284074321</t>
  </si>
  <si>
    <t>bln Juli</t>
  </si>
  <si>
    <t>FU tgl 2 juli. nunggu cuti</t>
  </si>
  <si>
    <t>2602D046</t>
  </si>
  <si>
    <t>Andriono Dermawan</t>
  </si>
  <si>
    <t>081335176528</t>
  </si>
  <si>
    <t>cek katalog</t>
  </si>
  <si>
    <t>2602H017</t>
  </si>
  <si>
    <t>Sisca</t>
  </si>
  <si>
    <t>0816900261</t>
  </si>
  <si>
    <t xml:space="preserve">trip ijen </t>
  </si>
  <si>
    <t>alhamdulillah order</t>
  </si>
  <si>
    <t>2602A019</t>
  </si>
  <si>
    <t>Dev</t>
  </si>
  <si>
    <t>0895411763369</t>
  </si>
  <si>
    <t>2602A020</t>
  </si>
  <si>
    <t>Happy Petals</t>
  </si>
  <si>
    <t>08315680898</t>
  </si>
  <si>
    <t>Trip Menjangan, Ijen</t>
  </si>
  <si>
    <t>2602A021</t>
  </si>
  <si>
    <t>Owen</t>
  </si>
  <si>
    <t>085100988588</t>
  </si>
  <si>
    <t>private trip M T</t>
  </si>
  <si>
    <t xml:space="preserve"> order</t>
  </si>
  <si>
    <t>2602D047</t>
  </si>
  <si>
    <t>Dewi</t>
  </si>
  <si>
    <t>08118403311</t>
  </si>
  <si>
    <t>hari pertama puasa</t>
  </si>
  <si>
    <t>ga jadi, over budget</t>
  </si>
  <si>
    <t>2602D048</t>
  </si>
  <si>
    <t>082281836204</t>
  </si>
  <si>
    <t>3 atau 5</t>
  </si>
  <si>
    <t>2602H018</t>
  </si>
  <si>
    <t xml:space="preserve">Evi Rinawati </t>
  </si>
  <si>
    <t>1 day trip D,AP,PM</t>
  </si>
  <si>
    <t>tanya tanya, suda FU 16 feb</t>
  </si>
  <si>
    <t>2602A022</t>
  </si>
  <si>
    <t>Rahayu</t>
  </si>
  <si>
    <t>08113392183</t>
  </si>
  <si>
    <t>2602H019</t>
  </si>
  <si>
    <t xml:space="preserve">Adam </t>
  </si>
  <si>
    <t>082299137858</t>
  </si>
  <si>
    <t>sdh fu, tidak ada jawaban, gagal</t>
  </si>
  <si>
    <t>https://docs.google.com/document/d/1MJEHnwMNb0H-kPToIi46avFMNLvHY1Oplit2i7-CjAY/edit?usp=drivesdk</t>
  </si>
  <si>
    <t>2512A003</t>
  </si>
  <si>
    <t>Arif Dalan Wisata</t>
  </si>
  <si>
    <t>082121616867</t>
  </si>
  <si>
    <t>2H2M Custom</t>
  </si>
  <si>
    <t>14-15 Mei</t>
  </si>
  <si>
    <t>sudah buat penawaran</t>
  </si>
  <si>
    <t>2602D049</t>
  </si>
  <si>
    <t>Roza Amalia</t>
  </si>
  <si>
    <t>085296900029</t>
  </si>
  <si>
    <t>bulan puasa</t>
  </si>
  <si>
    <t>pakai trip sebelah</t>
  </si>
  <si>
    <t>2602A023</t>
  </si>
  <si>
    <t>Tri Handoko</t>
  </si>
  <si>
    <t>08151629111</t>
  </si>
  <si>
    <t xml:space="preserve">2602H020 </t>
  </si>
  <si>
    <t>Santi</t>
  </si>
  <si>
    <t>08159439990</t>
  </si>
  <si>
    <t>trip 1 day M,T,B</t>
  </si>
  <si>
    <t>2602D050</t>
  </si>
  <si>
    <t xml:space="preserve">Tripco Indonesia </t>
  </si>
  <si>
    <t>085156171784</t>
  </si>
  <si>
    <t xml:space="preserve">4H3M team building </t>
  </si>
  <si>
    <t xml:space="preserve">Mei atau Agustus </t>
  </si>
  <si>
    <t>mereka ada opsi selain bwi, tunggu di hubungin kembali</t>
  </si>
  <si>
    <t>https://docs.google.com/document/d/1uXyLnw8hd1fBYCW7sxMp0YnsQncnUuG1a4gA-FGNX0Q/edit?tab=t.0</t>
  </si>
  <si>
    <t>2602D051</t>
  </si>
  <si>
    <t>Ida Parwati Pramitha Sari</t>
  </si>
  <si>
    <t>081316547366</t>
  </si>
  <si>
    <t xml:space="preserve">masih nunggu waktu liburan, nanti dikabarin lagi </t>
  </si>
  <si>
    <t>https://docs.google.com/document/d/1gQe56bnjUvPXy6QNSr3cCJLYRhgE1qyx6vGTsEkwEsA/edit?tab=t.0</t>
  </si>
  <si>
    <t>2602D052</t>
  </si>
  <si>
    <t>Safana</t>
  </si>
  <si>
    <t>087820051127</t>
  </si>
  <si>
    <t>one day TN Baluran</t>
  </si>
  <si>
    <t>2602D053</t>
  </si>
  <si>
    <t>Bumigora Holidays</t>
  </si>
  <si>
    <t>085792960742</t>
  </si>
  <si>
    <t>3 bus</t>
  </si>
  <si>
    <t>2602D054</t>
  </si>
  <si>
    <t>M. Firhan Alifarichsa</t>
  </si>
  <si>
    <t>08175111515</t>
  </si>
  <si>
    <t>Tiktok</t>
  </si>
  <si>
    <t>diskus dengan keluarga</t>
  </si>
  <si>
    <t>2602D055</t>
  </si>
  <si>
    <t>Dea</t>
  </si>
  <si>
    <t>081343483155</t>
  </si>
  <si>
    <t>Paket Trip Pulau bedil + Trip Kawah Ijen</t>
  </si>
  <si>
    <t>tidak ada jawaban, sdh lbh 5 kali FU</t>
  </si>
  <si>
    <t>https://docs.google.com/document/d/1hvzIgUvJAOrhbzA6qN6tff__xq1WlQHHFPzpfbV3cN4/edit?tab=t.0</t>
  </si>
  <si>
    <t>2602D056</t>
  </si>
  <si>
    <t xml:space="preserve">Retno Wulandari </t>
  </si>
  <si>
    <t>082140799946</t>
  </si>
  <si>
    <t>2H1M opsi A</t>
  </si>
  <si>
    <t>lain waktu</t>
  </si>
  <si>
    <t>2602H021</t>
  </si>
  <si>
    <t xml:space="preserve">Endang </t>
  </si>
  <si>
    <t>081314667994</t>
  </si>
  <si>
    <t>custom 5H4M</t>
  </si>
  <si>
    <t>18-22 maret</t>
  </si>
  <si>
    <t xml:space="preserve">gajadi ke Banyuwangi </t>
  </si>
  <si>
    <t>2602H022</t>
  </si>
  <si>
    <t>Endah</t>
  </si>
  <si>
    <t>08119990526</t>
  </si>
  <si>
    <t>22-28 maret</t>
  </si>
  <si>
    <t>belum jadi ke bwi, next time</t>
  </si>
  <si>
    <t>2602D057</t>
  </si>
  <si>
    <t xml:space="preserve">Mei Fang </t>
  </si>
  <si>
    <t>085863456898</t>
  </si>
  <si>
    <t>Ijen, Menjangan (3H2M, 4H3M)</t>
  </si>
  <si>
    <t>tanggal belum sesuai, tidak jadi trip</t>
  </si>
  <si>
    <t>https://docs.google.com/document/d/17apRlemu7Vh7yfjpbiq6AkcP3cRy5ZOXpXbpQQOIqPE/edit?tab=t.0</t>
  </si>
  <si>
    <t>2602D058</t>
  </si>
  <si>
    <t xml:space="preserve">Hesti Wahyuningsih </t>
  </si>
  <si>
    <t>08126025269</t>
  </si>
  <si>
    <t>lebaran</t>
  </si>
  <si>
    <t>2602D059</t>
  </si>
  <si>
    <t>Dila</t>
  </si>
  <si>
    <t>081220151323</t>
  </si>
  <si>
    <t>Trip Menjangan Tabuhan, Djabal</t>
  </si>
  <si>
    <t>28-29 Mei 2026</t>
  </si>
  <si>
    <t>gagall, sudah FU 5 kali ga ada balasan</t>
  </si>
  <si>
    <t>https://docs.google.com/document/d/1L-7Eatb8VGovZhCBXD7YlYFS6Sg4JFCOt1-y5B_jUXQ/edit?tab=t.0</t>
  </si>
  <si>
    <t>2602D060</t>
  </si>
  <si>
    <t>Mei atau Agustus</t>
  </si>
  <si>
    <t>gagalll</t>
  </si>
  <si>
    <t>https://docs.google.com/document/d/1XNoXmGPx-ce7YDo0U4w4uSNaVU_A5EP3Lvvt9b_V91o/edit?tab=t.0</t>
  </si>
  <si>
    <t>2602D061</t>
  </si>
  <si>
    <t>Wida Dwi Hapsari</t>
  </si>
  <si>
    <t>081227783117</t>
  </si>
  <si>
    <t>1D Djawatan Baluran</t>
  </si>
  <si>
    <t>23 Maret 2026</t>
  </si>
  <si>
    <t>ga jadi</t>
  </si>
  <si>
    <t>2602D062</t>
  </si>
  <si>
    <t>Dytha Wilujeng Maharani</t>
  </si>
  <si>
    <t>085162696879</t>
  </si>
  <si>
    <t>1D snorkling</t>
  </si>
  <si>
    <t>2602D063</t>
  </si>
  <si>
    <t>Iv</t>
  </si>
  <si>
    <t>081231440369</t>
  </si>
  <si>
    <t>Bedil green island</t>
  </si>
  <si>
    <t>2602H023</t>
  </si>
  <si>
    <t>Indri</t>
  </si>
  <si>
    <t>08151655501</t>
  </si>
  <si>
    <t xml:space="preserve">  </t>
  </si>
  <si>
    <t>2602D064</t>
  </si>
  <si>
    <t xml:space="preserve">Dewi Kinanti Khasanah </t>
  </si>
  <si>
    <t>081284938856</t>
  </si>
  <si>
    <t>Baluran 1D</t>
  </si>
  <si>
    <t>2602D065</t>
  </si>
  <si>
    <t>Caitleen</t>
  </si>
  <si>
    <t>081259965685</t>
  </si>
  <si>
    <t>tanya paket</t>
  </si>
  <si>
    <t>2602D066</t>
  </si>
  <si>
    <t>Sofia</t>
  </si>
  <si>
    <t>087868903013</t>
  </si>
  <si>
    <t>18, 19, 20 Maret</t>
  </si>
  <si>
    <t>udh order, minta rincian itinerary</t>
  </si>
  <si>
    <t>2602D067</t>
  </si>
  <si>
    <t>Ditha Pratiwi</t>
  </si>
  <si>
    <t>082114830314</t>
  </si>
  <si>
    <t>2602D068</t>
  </si>
  <si>
    <t>Junio Sesar Gurning</t>
  </si>
  <si>
    <t>082111850864</t>
  </si>
  <si>
    <t>April atau Mei</t>
  </si>
  <si>
    <t>25-30</t>
  </si>
  <si>
    <t>ga baless, uda fu 5 kali</t>
  </si>
  <si>
    <t>https://docs.google.com/document/d/1y_QF_ErkjAaH2tP-dSKmn13n-VC4nuH6Z4w9Q3MrEvk/edit?tab=t.0</t>
  </si>
  <si>
    <t>2602H024</t>
  </si>
  <si>
    <t>Retna</t>
  </si>
  <si>
    <t>081210704720</t>
  </si>
  <si>
    <t>gajadi full booked</t>
  </si>
  <si>
    <t>2602D069</t>
  </si>
  <si>
    <t>Refia</t>
  </si>
  <si>
    <t>081383023858</t>
  </si>
  <si>
    <t>tidak ada jawaban, sdh fu 5 kali</t>
  </si>
  <si>
    <t>2602D070</t>
  </si>
  <si>
    <t>Ayu</t>
  </si>
  <si>
    <t>085648034881</t>
  </si>
  <si>
    <t>2602D071</t>
  </si>
  <si>
    <t>Miya</t>
  </si>
  <si>
    <t>085712888702</t>
  </si>
  <si>
    <t>Tabuhan only</t>
  </si>
  <si>
    <t>September</t>
  </si>
  <si>
    <t>follow up lagi 10 agustus</t>
  </si>
  <si>
    <t>https://docs.google.com/document/d/1HtzEQxfI4NIAUGVm294-5-2cYK9FJMhe8kG-q5hwniQ/edit?tab=t.0</t>
  </si>
  <si>
    <t>2602A024</t>
  </si>
  <si>
    <t>Dirga</t>
  </si>
  <si>
    <t>083819575522‬</t>
  </si>
  <si>
    <t>budget masih kurang</t>
  </si>
  <si>
    <t>2602A025</t>
  </si>
  <si>
    <t>083134610505‬</t>
  </si>
  <si>
    <t>habis lebaran</t>
  </si>
  <si>
    <t>2602A026</t>
  </si>
  <si>
    <t>Ira</t>
  </si>
  <si>
    <t>083820481784‬</t>
  </si>
  <si>
    <t>juni atau agustus</t>
  </si>
  <si>
    <t>https://docs.google.com/document/d/11YdmRlFi-WWKqHGELpCpy0x-_2wwvx5U7V_2f2bLfHI/edit?usp=sharing</t>
  </si>
  <si>
    <t>2602A027</t>
  </si>
  <si>
    <t>Elita</t>
  </si>
  <si>
    <t>0818669148‬</t>
  </si>
  <si>
    <t>2602A033</t>
  </si>
  <si>
    <t>sekar</t>
  </si>
  <si>
    <t>085651299413‬</t>
  </si>
  <si>
    <t>sudah di followup. tidak ada jawaban</t>
  </si>
  <si>
    <t>https://docs.google.com/document/d/1_ekJualW89sVypOKyDX_WI53TOOFaw3wtFUWP6tWIn4/edit?usp=sharing</t>
  </si>
  <si>
    <t>2602A028</t>
  </si>
  <si>
    <t>Bonnie Fredika</t>
  </si>
  <si>
    <t>085723181118‬</t>
  </si>
  <si>
    <t>JULI</t>
  </si>
  <si>
    <t>ALHAMDULILLAH CLOSING</t>
  </si>
  <si>
    <t>https://docs.google.com/document/d/1lcOU9WELHGwPNGVd_Qn8hkjTCd388v03p7F_6Wi4yMk/edit?usp=sharing</t>
  </si>
  <si>
    <t>2602D072</t>
  </si>
  <si>
    <t>Diah</t>
  </si>
  <si>
    <t>085883601711</t>
  </si>
  <si>
    <t xml:space="preserve">4H3M atau 3H2M </t>
  </si>
  <si>
    <t>akhir Juli</t>
  </si>
  <si>
    <t>FU3, FU juni</t>
  </si>
  <si>
    <t>https://docs.google.com/document/d/12yOIFO9Hc3lXlVyYyL4zOaaW2R_BdHBvgyplmpg2HVo/edit?tab=t.0</t>
  </si>
  <si>
    <t>2602D073</t>
  </si>
  <si>
    <t>Benazir Anjani</t>
  </si>
  <si>
    <t>081325834167</t>
  </si>
  <si>
    <t>open trip baluran ijen</t>
  </si>
  <si>
    <t>23 24 Maret</t>
  </si>
  <si>
    <t>2602D074</t>
  </si>
  <si>
    <t>Tri Juliana</t>
  </si>
  <si>
    <t>085706666697</t>
  </si>
  <si>
    <t>2602D075</t>
  </si>
  <si>
    <t>Silvia</t>
  </si>
  <si>
    <t>082312860266</t>
  </si>
  <si>
    <t>2602D076</t>
  </si>
  <si>
    <t>Mei Mutlimah</t>
  </si>
  <si>
    <t>085725757304</t>
  </si>
  <si>
    <t>Juni</t>
  </si>
  <si>
    <t>FU 15 Juni</t>
  </si>
  <si>
    <t>https://docs.google.com/document/d/1DRDWKmmjSOvXTvSCfoda4qfFTETdDDY0ftrb1BkuuVU/edit?tab=t.0</t>
  </si>
  <si>
    <t>2602D077</t>
  </si>
  <si>
    <t>Aya</t>
  </si>
  <si>
    <t>085220263212</t>
  </si>
  <si>
    <t>tidakk balas lagi , fu beberapa kali</t>
  </si>
  <si>
    <t>https://docs.google.com/document/d/1PWW3NnWBcbmm8ihSbOV_eZLGRVS0OlbZW_Rxr375rEk/edit?tab=t.0</t>
  </si>
  <si>
    <t>2602D078</t>
  </si>
  <si>
    <t>Martha Saphira</t>
  </si>
  <si>
    <t>081807971414</t>
  </si>
  <si>
    <t>akhir Juni</t>
  </si>
  <si>
    <t>orderrrr</t>
  </si>
  <si>
    <t>https://docs.google.com/document/d/1SQn_vx6ZxV5nuWpX0XsAC7DC1gRcOdGAO9AecFQQcJ0/edit?tab=t.0</t>
  </si>
  <si>
    <t>2602D079</t>
  </si>
  <si>
    <t>Komala Dewi</t>
  </si>
  <si>
    <t>085710902901</t>
  </si>
  <si>
    <t>2602D080</t>
  </si>
  <si>
    <t>Nurti_not</t>
  </si>
  <si>
    <t>082324996939</t>
  </si>
  <si>
    <t>gagal, trip ditunda karena ada acara lain</t>
  </si>
  <si>
    <t>https://docs.google.com/document/d/14PL6KQ09_8CRB-CN1yhQi_AVf5hGTlzOMwPUhlfSvGc/edit?tab=t.0</t>
  </si>
  <si>
    <t>2602D081</t>
  </si>
  <si>
    <t>Agustina</t>
  </si>
  <si>
    <t>0895367133459</t>
  </si>
  <si>
    <t>2H1M C</t>
  </si>
  <si>
    <t>Tahun Depan</t>
  </si>
  <si>
    <t>tanya-tanya untuk honeymoon, FU 3 Januari 2027</t>
  </si>
  <si>
    <t>https://docs.google.com/document/d/1ZVM2nG5A0QpryZ7a7SN7THwKSatwlik4_oLgFDGnrHQ/edit?tab=t.0</t>
  </si>
  <si>
    <t>2602D082</t>
  </si>
  <si>
    <t>Arum</t>
  </si>
  <si>
    <t>087789300092</t>
  </si>
  <si>
    <t xml:space="preserve">4H3M </t>
  </si>
  <si>
    <t>21-24 Maret</t>
  </si>
  <si>
    <t>ga dapat tiket pesawat</t>
  </si>
  <si>
    <t>2602A029</t>
  </si>
  <si>
    <t>Neni</t>
  </si>
  <si>
    <t>081213494140‬</t>
  </si>
  <si>
    <t>djabal</t>
  </si>
  <si>
    <t>lewat tanggal. tidak balas</t>
  </si>
  <si>
    <t>2602A030</t>
  </si>
  <si>
    <t>GA</t>
  </si>
  <si>
    <t>087701802154‬</t>
  </si>
  <si>
    <t>3H2M / 4H3M</t>
  </si>
  <si>
    <t>2602H025</t>
  </si>
  <si>
    <t>Tanpa nama 3</t>
  </si>
  <si>
    <t>menyapa saja</t>
  </si>
  <si>
    <t>2602H026</t>
  </si>
  <si>
    <t>Manda Alvita</t>
  </si>
  <si>
    <t>081901716202</t>
  </si>
  <si>
    <t xml:space="preserve">2-4 Juni </t>
  </si>
  <si>
    <t>alhamdulillah order :)</t>
  </si>
  <si>
    <t>https://docs.google.com/document/d/1YHPS3pGq9AnCPsb93QvxDKVBKql_c2scIJb52YU_7x8/edit?usp=drivesdk</t>
  </si>
  <si>
    <t>2602D083</t>
  </si>
  <si>
    <t>lulu</t>
  </si>
  <si>
    <t>082123901471</t>
  </si>
  <si>
    <t>MT,DB</t>
  </si>
  <si>
    <t>fullbooked, ga ada balasan</t>
  </si>
  <si>
    <t>https://docs.google.com/document/d/1oRyF8UkrQPn0Tse4l-gIjOvJm0ZPE8TR15M7IrFmYyQ/edit?tab=t.0</t>
  </si>
  <si>
    <t>2602D084</t>
  </si>
  <si>
    <t>maria melinda</t>
  </si>
  <si>
    <t>081365986558</t>
  </si>
  <si>
    <t>2602A031</t>
  </si>
  <si>
    <t>Zavic</t>
  </si>
  <si>
    <t>teman kendrick, pesan di trip lain</t>
  </si>
  <si>
    <t>2602A032</t>
  </si>
  <si>
    <t>Kendrick</t>
  </si>
  <si>
    <t>6587571305</t>
  </si>
  <si>
    <t>pesan di trip lain</t>
  </si>
  <si>
    <t>2602D085</t>
  </si>
  <si>
    <t>kintana</t>
  </si>
  <si>
    <t>081574797803</t>
  </si>
  <si>
    <t>sudah FU 5</t>
  </si>
  <si>
    <t>https://docs.google.com/document/d/1nyARtUsvrxgITeyFZAtQL4OYVLmutkV8NtvELVyHkrM/edit?tab=t.0</t>
  </si>
  <si>
    <t>2602D086</t>
  </si>
  <si>
    <t>Nova Pramita</t>
  </si>
  <si>
    <t>087777341697</t>
  </si>
  <si>
    <t>3h2m custom</t>
  </si>
  <si>
    <t>23-25 Maret</t>
  </si>
  <si>
    <t>Menjangan full booked</t>
  </si>
  <si>
    <t>2602H027</t>
  </si>
  <si>
    <t>Deti</t>
  </si>
  <si>
    <t>081318771766</t>
  </si>
  <si>
    <t>last fu 11 april, tidak ada jawaban, sdh di fu</t>
  </si>
  <si>
    <t>https://docs.google.com/document/d/1IGc28CUEYXoHr_bFPa9RPDgX3wiU2Fk-T4ui68R9KG8/edit?usp=drivesdk</t>
  </si>
  <si>
    <t>2602A034</t>
  </si>
  <si>
    <t>Saktia</t>
  </si>
  <si>
    <t>083840449658</t>
  </si>
  <si>
    <t>hanya menyapa</t>
  </si>
  <si>
    <t>2602A035</t>
  </si>
  <si>
    <t>Widya sanjiwani</t>
  </si>
  <si>
    <t>087857132284</t>
  </si>
  <si>
    <t>OT M T</t>
  </si>
  <si>
    <t>2602D087</t>
  </si>
  <si>
    <t>Devitaa</t>
  </si>
  <si>
    <t>08158122558</t>
  </si>
  <si>
    <t>19-21 Maret</t>
  </si>
  <si>
    <t>jadinya ke Jogja</t>
  </si>
  <si>
    <t>2602H028</t>
  </si>
  <si>
    <t xml:space="preserve">Deddy </t>
  </si>
  <si>
    <t>081323194567</t>
  </si>
  <si>
    <t>15-16 Mei</t>
  </si>
  <si>
    <t>ALHAMDULILLAH ORDER</t>
  </si>
  <si>
    <t>2602D088</t>
  </si>
  <si>
    <t>Resna</t>
  </si>
  <si>
    <t>081585383655</t>
  </si>
  <si>
    <t>OT D,B</t>
  </si>
  <si>
    <t>2602D089</t>
  </si>
  <si>
    <t>Rama</t>
  </si>
  <si>
    <t>085815842363</t>
  </si>
  <si>
    <t>2602D090</t>
  </si>
  <si>
    <t>Bagas K</t>
  </si>
  <si>
    <t>081281916862</t>
  </si>
  <si>
    <t>belum jadi</t>
  </si>
  <si>
    <t>2602D091</t>
  </si>
  <si>
    <t>vo</t>
  </si>
  <si>
    <t>085218179125</t>
  </si>
  <si>
    <t>1D trip</t>
  </si>
  <si>
    <t>ga jadi, next time aja</t>
  </si>
  <si>
    <t>2602A036</t>
  </si>
  <si>
    <t>salsabila</t>
  </si>
  <si>
    <t>081357790927‬</t>
  </si>
  <si>
    <t>setelah lebaran</t>
  </si>
  <si>
    <t>tidak ada balasan lagi</t>
  </si>
  <si>
    <t>2602A037</t>
  </si>
  <si>
    <t>ine resmisari</t>
  </si>
  <si>
    <t>089689976234‬</t>
  </si>
  <si>
    <t>13-16 agustus</t>
  </si>
  <si>
    <t>buat penawaran, fu mei</t>
  </si>
  <si>
    <t>https://docs.google.com/document/d/15qIbL8EqkYecD8xmNsC_kTkMe29yBIrWPoEF_6kHtto/edit?usp=sharing</t>
  </si>
  <si>
    <t>2602H029</t>
  </si>
  <si>
    <t>Adriana</t>
  </si>
  <si>
    <t>08128767915</t>
  </si>
  <si>
    <t xml:space="preserve">                                                                                           </t>
  </si>
  <si>
    <t>anggota blm mau</t>
  </si>
  <si>
    <t>2602H030</t>
  </si>
  <si>
    <t>KrismanD</t>
  </si>
  <si>
    <t>087877174256</t>
  </si>
  <si>
    <t>OT Ijen</t>
  </si>
  <si>
    <t>habis puasa</t>
  </si>
  <si>
    <t>ada keponakan menikah, ditunda</t>
  </si>
  <si>
    <t>https://docs.google.com/document/d/1Z7G4SkFJscs2sv1hinnOmSZDzKEgf3pmDcUNmRnHxqc/edit?usp=drivesdk</t>
  </si>
  <si>
    <t>2602D092</t>
  </si>
  <si>
    <t>Slime</t>
  </si>
  <si>
    <t>082251237082</t>
  </si>
  <si>
    <t>trip kawah ijen</t>
  </si>
  <si>
    <t>gagal karna cuma 1 org yg trip</t>
  </si>
  <si>
    <t>2602D093</t>
  </si>
  <si>
    <t>Uven Sanjay</t>
  </si>
  <si>
    <t>082277484501</t>
  </si>
  <si>
    <t>trip  D,B</t>
  </si>
  <si>
    <t>https://docs.google.com/document/d/1sUo9upmASQKQw8QiENxcDK9iyfPsCXHIligIb4ig5nA/edit?tab=t.0</t>
  </si>
  <si>
    <t>2602D094</t>
  </si>
  <si>
    <t>Erwin Juniarto</t>
  </si>
  <si>
    <t>0811428787</t>
  </si>
  <si>
    <t>saat libur lebaran</t>
  </si>
  <si>
    <t>berubah lokasi trip</t>
  </si>
  <si>
    <t>2602A038</t>
  </si>
  <si>
    <t xml:space="preserve">Dewi </t>
  </si>
  <si>
    <t>085217294719</t>
  </si>
  <si>
    <t>bulan april</t>
  </si>
  <si>
    <t>cancel</t>
  </si>
  <si>
    <t>2602H031</t>
  </si>
  <si>
    <t>Endah Yuliany</t>
  </si>
  <si>
    <t>08995550168</t>
  </si>
  <si>
    <t xml:space="preserve">kalau trip jadi akan dihubungi kembali </t>
  </si>
  <si>
    <t>2602D095</t>
  </si>
  <si>
    <t>Vanda</t>
  </si>
  <si>
    <t>082114270940</t>
  </si>
  <si>
    <t>2H1M Opsi B</t>
  </si>
  <si>
    <t>25/26 maret</t>
  </si>
  <si>
    <t>https://docs.google.com/document/d/1XBTsBc8L7tW8dQus1Z0rLhQJFDdu9hROOIL2mURXDJ0/edit?tab=t.0</t>
  </si>
  <si>
    <t>2602H032</t>
  </si>
  <si>
    <t>Lia</t>
  </si>
  <si>
    <t>081218137992</t>
  </si>
  <si>
    <t>23/24 maret</t>
  </si>
  <si>
    <t>penuh cari tiket dll, pending ke banyuwangi, gagal</t>
  </si>
  <si>
    <t>2602D096</t>
  </si>
  <si>
    <t>Syafira</t>
  </si>
  <si>
    <t>089519991115</t>
  </si>
  <si>
    <t>open trip 3h2m</t>
  </si>
  <si>
    <t>4-6 April</t>
  </si>
  <si>
    <t>cek kamar lagi</t>
  </si>
  <si>
    <t>https://docs.google.com/document/d/1V_TrD_FeaK4qHeoYg-2_qc9fw7SKmeuzfL3RgxHGOjw/edit?tab=t.0</t>
  </si>
  <si>
    <t>2602H033</t>
  </si>
  <si>
    <t>Rizki</t>
  </si>
  <si>
    <t>081138884333</t>
  </si>
  <si>
    <t>26-27 maret</t>
  </si>
  <si>
    <t>trip di tunda</t>
  </si>
  <si>
    <t>2602D097</t>
  </si>
  <si>
    <t>Cornelius Dino</t>
  </si>
  <si>
    <t>0812211100</t>
  </si>
  <si>
    <t>tanya tanya foto destinasi, FU Tanggal Bulan April tanggal 20</t>
  </si>
  <si>
    <t>https://docs.google.com/document/d/1DpONH5d7bMeK0kLiCkaBv25uBBZlLCXWnx36awKBFUU/edit?tab=t.0</t>
  </si>
  <si>
    <t>2602D098</t>
  </si>
  <si>
    <t>Siti hamidah</t>
  </si>
  <si>
    <t>085729855841</t>
  </si>
  <si>
    <t>minta itinirery</t>
  </si>
  <si>
    <t>2602A039</t>
  </si>
  <si>
    <t>Eren</t>
  </si>
  <si>
    <t>085171061151</t>
  </si>
  <si>
    <t>2602A040</t>
  </si>
  <si>
    <t>isti</t>
  </si>
  <si>
    <t>08123019533</t>
  </si>
  <si>
    <t>buat penawaran</t>
  </si>
  <si>
    <t>2602A041</t>
  </si>
  <si>
    <t>Wadihah</t>
  </si>
  <si>
    <t>60175756486</t>
  </si>
  <si>
    <t>2602A042</t>
  </si>
  <si>
    <t>Alfiani</t>
  </si>
  <si>
    <t>085183014626</t>
  </si>
  <si>
    <t>OT B</t>
  </si>
  <si>
    <t>tidak ada jawaban, lewat tanggal</t>
  </si>
  <si>
    <t>https://docs.google.com/document/d/13oz5xh7Gk9KYHvgLmnvWvhBXZhCl5tOVE0pzNMoOnJU/edit?usp=sharing</t>
  </si>
  <si>
    <t>2602D099</t>
  </si>
  <si>
    <t>Zahra Amalia</t>
  </si>
  <si>
    <t>085885609087</t>
  </si>
  <si>
    <t>tidak ada jawaban, hanya menyapa</t>
  </si>
  <si>
    <t>2602H034</t>
  </si>
  <si>
    <t xml:space="preserve">Yusuf </t>
  </si>
  <si>
    <t>081213195404</t>
  </si>
  <si>
    <t>trip AP,B</t>
  </si>
  <si>
    <t>2/3 april</t>
  </si>
  <si>
    <t>2602D100</t>
  </si>
  <si>
    <t>Ary Setyo</t>
  </si>
  <si>
    <t>085712571791</t>
  </si>
  <si>
    <t>https://docs.google.com/document/d/187QEXKWyFnHutsTlQmvxeE5f5UhR_fjPeyu0CM-4XjM/edit?tab=t.0</t>
  </si>
  <si>
    <t>2602A043</t>
  </si>
  <si>
    <t>Arlius</t>
  </si>
  <si>
    <t>082233596825</t>
  </si>
  <si>
    <t>18/21 Maret</t>
  </si>
  <si>
    <t>masih di rundingkan</t>
  </si>
  <si>
    <t>https://docs.google.com/document/d/1mJL98j3AkiC5uk0V0P0Pj-Q_iDZEpf4_Z7o3D59cy60/edit?usp=sharing</t>
  </si>
  <si>
    <t>2602D101</t>
  </si>
  <si>
    <t>Moh Nur Faizi</t>
  </si>
  <si>
    <t>082338927839</t>
  </si>
  <si>
    <t>nunggu uts, FU 5 Juni</t>
  </si>
  <si>
    <t>https://docs.google.com/document/d/1QSjLqNBg4UULazz3KLHCdoUvo5_37rPn72UHRCLXC-U/edit?tab=t.0</t>
  </si>
  <si>
    <t>2602D102</t>
  </si>
  <si>
    <t>ariedewayani</t>
  </si>
  <si>
    <t>085693320233</t>
  </si>
  <si>
    <t>teman sakit, ada rencana ke LN</t>
  </si>
  <si>
    <t>2602D103</t>
  </si>
  <si>
    <t>Obby</t>
  </si>
  <si>
    <t>081233737121</t>
  </si>
  <si>
    <t>27-29 Maret</t>
  </si>
  <si>
    <t>ada kegiatan ditanggal tsb</t>
  </si>
  <si>
    <t>2602D104</t>
  </si>
  <si>
    <t>Muhammad Anfasa Ridho</t>
  </si>
  <si>
    <t>087576489425</t>
  </si>
  <si>
    <t>fu lagi 2 April</t>
  </si>
  <si>
    <t>2602D105</t>
  </si>
  <si>
    <t>abu (bylarostransportmalang)</t>
  </si>
  <si>
    <t>082331542611</t>
  </si>
  <si>
    <t>b2b, nunggu keputusan tamu mereka</t>
  </si>
  <si>
    <t>https://docs.google.com/document/d/1t4vXE490j6K036vvo7qtTwSiVZcwn_UGE-CkkPg7csw/edit?tab=t.0</t>
  </si>
  <si>
    <t>2602D106</t>
  </si>
  <si>
    <t>.</t>
  </si>
  <si>
    <t>353857048159</t>
  </si>
  <si>
    <t>2602D107</t>
  </si>
  <si>
    <t>humairoh</t>
  </si>
  <si>
    <t>089604418127</t>
  </si>
  <si>
    <t>15-16 mei</t>
  </si>
  <si>
    <t>karna satu lain hal yg tdk bisa disampaikan</t>
  </si>
  <si>
    <t>https://docs.google.com/document/d/1WN7y1DA05qwrbXjmJztfmVh9x-_QFLFgKkp23rOWHEw/edit?tab=t.0</t>
  </si>
  <si>
    <t>2602D108</t>
  </si>
  <si>
    <t>Maudy Agustina</t>
  </si>
  <si>
    <t>082254795886</t>
  </si>
  <si>
    <t>sapa saja</t>
  </si>
  <si>
    <t>https://docs.google.com/document/d/1_4y28lQb8FybBxJSPIEHLGKiM3NEo0Gh3JhD9HrniQc/edit?tab=t.0#heading=h.589mmq9qpr5l</t>
  </si>
  <si>
    <t>2602D109</t>
  </si>
  <si>
    <t>pimaa</t>
  </si>
  <si>
    <t>089681766716</t>
  </si>
  <si>
    <t>Djawatan, Pulau Merah</t>
  </si>
  <si>
    <t>22-23 Maret</t>
  </si>
  <si>
    <t xml:space="preserve">lewat tanggal, tidak ada jawaban </t>
  </si>
  <si>
    <t>https://docs.google.com/document/d/1CzEmYuqrSTaTP5nNhucd_vqLsGJ-Us-4eTzNRkRE2Yc/edit?tab=t.0</t>
  </si>
  <si>
    <t>2602D110</t>
  </si>
  <si>
    <t>Junita</t>
  </si>
  <si>
    <t>087727111549</t>
  </si>
  <si>
    <t>16-18 Maret</t>
  </si>
  <si>
    <t xml:space="preserve">ga jadi </t>
  </si>
  <si>
    <t>2602D111</t>
  </si>
  <si>
    <t>yuri</t>
  </si>
  <si>
    <t>085863758841</t>
  </si>
  <si>
    <t>menyapa saja, tidak ada jawaban</t>
  </si>
  <si>
    <t>2602A044</t>
  </si>
  <si>
    <t>Ratih Yuniarti</t>
  </si>
  <si>
    <t>081381545499</t>
  </si>
  <si>
    <t>libur lebaran</t>
  </si>
  <si>
    <t>belum dijawab</t>
  </si>
  <si>
    <t>https://docs.google.com/document/d/1AdhRRbwiG17AT2ik6dZ2iN-CyyKyXM06F3zlLCaQE4M/edit?usp=sharing</t>
  </si>
  <si>
    <t>2602A045</t>
  </si>
  <si>
    <t>Cantika Arumi</t>
  </si>
  <si>
    <t>085335948837</t>
  </si>
  <si>
    <t>Ot Ijen</t>
  </si>
  <si>
    <t>2602A046</t>
  </si>
  <si>
    <t>Michaela Ambrozyova</t>
  </si>
  <si>
    <t>421908320035</t>
  </si>
  <si>
    <t>ijen</t>
  </si>
  <si>
    <t>2602D112</t>
  </si>
  <si>
    <t>Deandra Imarizani F</t>
  </si>
  <si>
    <t>082127158736</t>
  </si>
  <si>
    <t>2-3 Juni</t>
  </si>
  <si>
    <t>alhamdulillah orderrrr</t>
  </si>
  <si>
    <t>https://docs.google.com/document/d/1lvupcofOhejJdDM8sBg5uBnPkBVneStZOkIaMpoVIjo/edit?tab=t.0</t>
  </si>
  <si>
    <t>2602D113</t>
  </si>
  <si>
    <t>Anida</t>
  </si>
  <si>
    <t>085927351479</t>
  </si>
  <si>
    <t>trip ijen, GI,D</t>
  </si>
  <si>
    <t>https://docs.google.com/document/d/1Q6UCBWLoKLq0ITjLu-aU9tlb47HeZ2zJRfuQ8lpjMRQ/edit?tab=t.0</t>
  </si>
  <si>
    <t>2602H035</t>
  </si>
  <si>
    <t xml:space="preserve">Kaluna </t>
  </si>
  <si>
    <t>081511375046</t>
  </si>
  <si>
    <t xml:space="preserve">hanya menyapa, tidak ada balasan </t>
  </si>
  <si>
    <t>2602H036</t>
  </si>
  <si>
    <t>Sarah</t>
  </si>
  <si>
    <t>087865579642</t>
  </si>
  <si>
    <t>https://docs.google.com/document/d/1j22Zx_0yZOTJ1oxFyn2nS97rpjjRnsMMxmPyS2uhpzQ/edit?usp=drivesdk</t>
  </si>
  <si>
    <t>2602D114</t>
  </si>
  <si>
    <t>liss</t>
  </si>
  <si>
    <t>60192927672</t>
  </si>
  <si>
    <t>3H2M opsi b</t>
  </si>
  <si>
    <t>20-22 agustus</t>
  </si>
  <si>
    <t>masih diskusi, FU lagi 10 Juni</t>
  </si>
  <si>
    <t>https://docs.google.com/document/d/1UAXijAIE_KgioMdFnpJ3o33NhFhbrC1JfbDxHDAOUvs/edit?tab=t.0</t>
  </si>
  <si>
    <t>2602D115</t>
  </si>
  <si>
    <t>Faqih al ghifari</t>
  </si>
  <si>
    <t>081291207572</t>
  </si>
  <si>
    <t>4H3M custom</t>
  </si>
  <si>
    <t>27-30 april</t>
  </si>
  <si>
    <t>dialihkan ke holiday</t>
  </si>
  <si>
    <t>https://docs.google.com/document/d/1TZl9XrKj2kD-ZCqSVvaExgPnrj4GpaxuiSQasPSM-vQ/edit?tab=t.0</t>
  </si>
  <si>
    <t>2602H037</t>
  </si>
  <si>
    <t xml:space="preserve">Maya Nasution </t>
  </si>
  <si>
    <t>085261014027</t>
  </si>
  <si>
    <t xml:space="preserve">custom 3H2M </t>
  </si>
  <si>
    <t>2602D116</t>
  </si>
  <si>
    <t>Sewan</t>
  </si>
  <si>
    <t>081221452628</t>
  </si>
  <si>
    <t>fiks di agen lain</t>
  </si>
  <si>
    <t>2602D117</t>
  </si>
  <si>
    <t>Efi</t>
  </si>
  <si>
    <t>085177413814</t>
  </si>
  <si>
    <t>tidak jadi, mungkin habis lebaran</t>
  </si>
  <si>
    <t>2602A047</t>
  </si>
  <si>
    <t>Daniel</t>
  </si>
  <si>
    <t>081212195507</t>
  </si>
  <si>
    <t>Green island</t>
  </si>
  <si>
    <t>Tidak dibalas</t>
  </si>
  <si>
    <t>https://docs.google.com/document/d/19_yE0YVS9n6ZC7Bycfvsfs1HYr4maEXGpssLGsARqeQ/edit?usp=sharing</t>
  </si>
  <si>
    <t>2602A048</t>
  </si>
  <si>
    <t>Rahel Dellavany</t>
  </si>
  <si>
    <t>088213211982</t>
  </si>
  <si>
    <t>Trip D,B</t>
  </si>
  <si>
    <t>Blm balas</t>
  </si>
  <si>
    <t>https://docs.google.com/document/d/1nMlgqQ4a8WnW4OZg4eNWiGhnOBc6JBs3alM3HeQIpnw/edit?usp=sharing</t>
  </si>
  <si>
    <t>2602D118</t>
  </si>
  <si>
    <t>Hariyanto</t>
  </si>
  <si>
    <t>081256126186</t>
  </si>
  <si>
    <t>trip menjangan</t>
  </si>
  <si>
    <t>bawa tamu, sdh fullbooked</t>
  </si>
  <si>
    <t>2602D119</t>
  </si>
  <si>
    <t>Wulan</t>
  </si>
  <si>
    <t>087757339304</t>
  </si>
  <si>
    <t>open trip green island</t>
  </si>
  <si>
    <t>18-20 maret</t>
  </si>
  <si>
    <t>sdh dpt open trip lain</t>
  </si>
  <si>
    <t>https://docs.google.com/document/d/1p-WcoEuHlZkYCRCQ-Ibe4cJdemv9kHo7TegpoS88jnc/edit?tab=t.0</t>
  </si>
  <si>
    <t>2602D120</t>
  </si>
  <si>
    <t>081215563222</t>
  </si>
  <si>
    <t>3H2M  custome</t>
  </si>
  <si>
    <t>tahun depan</t>
  </si>
  <si>
    <t>FU 5 Januari 2027</t>
  </si>
  <si>
    <t>https://docs.google.com/document/d/1PvCdXPMSknCW9u_KnjAgNv-i81OcgfcDq3tU7LVFf4c/edit?tab=t.0</t>
  </si>
  <si>
    <t>2602D121</t>
  </si>
  <si>
    <t>Raki</t>
  </si>
  <si>
    <t>087771209259</t>
  </si>
  <si>
    <t>3H2M atau OT</t>
  </si>
  <si>
    <t>https://docs.google.com/document/d/1MbETcW40IbZZpFAQmyDaHWUSGZvqQ50SmS1xUXaHMY4/edit?tab=t.0</t>
  </si>
  <si>
    <t>2602D122</t>
  </si>
  <si>
    <t>Teguh</t>
  </si>
  <si>
    <t>085323102110</t>
  </si>
  <si>
    <t>lewat tanggal, tidak ada jawaban</t>
  </si>
  <si>
    <t>https://docs.google.com/document/d/1WrHosX5Xh0BRMcVVDwuDR8t4w-75bgHUpDK5D5dJIUA/edit?tab=t.0</t>
  </si>
  <si>
    <t>2602D127</t>
  </si>
  <si>
    <t>Felix Hansen</t>
  </si>
  <si>
    <t>081291586867</t>
  </si>
  <si>
    <t>nanyain tour jawa (bromo,dieng)</t>
  </si>
  <si>
    <t>2602D123</t>
  </si>
  <si>
    <t>Ylia</t>
  </si>
  <si>
    <t>081316106742</t>
  </si>
  <si>
    <t>2602H038</t>
  </si>
  <si>
    <t xml:space="preserve">Annisa Syarifah </t>
  </si>
  <si>
    <t>082110566678</t>
  </si>
  <si>
    <t>trip 2H2M</t>
  </si>
  <si>
    <t>buat penawaran, fu 25 juni</t>
  </si>
  <si>
    <t>2602H039</t>
  </si>
  <si>
    <t>Neny Triana</t>
  </si>
  <si>
    <t>087887138799</t>
  </si>
  <si>
    <t>pakai rekomendasi dari hotel</t>
  </si>
  <si>
    <t>2602D124</t>
  </si>
  <si>
    <t>Novryssa Raliani</t>
  </si>
  <si>
    <t>085248147473</t>
  </si>
  <si>
    <t>snorkeling dan hutan</t>
  </si>
  <si>
    <t>trip ditunda, cari waktu yang tepat</t>
  </si>
  <si>
    <t>https://docs.google.com/document/d/1EYh6FZNuQ3O6ltimTfuHYrAG6YTE156ES81r1af3nZM/edit?tab=t.0</t>
  </si>
  <si>
    <t>2602D125</t>
  </si>
  <si>
    <t>viananda</t>
  </si>
  <si>
    <t>083103773637</t>
  </si>
  <si>
    <t>22-23 maret</t>
  </si>
  <si>
    <t xml:space="preserve">tidak ada jawaban, sdh fu 5 kali </t>
  </si>
  <si>
    <t>https://docs.google.com/document/d/1KhXWkYPLQf77xqJU04uU3d2wh2F-atGH4ZwiSLH5Lmg/edit?tab=t.0</t>
  </si>
  <si>
    <t>2602D126</t>
  </si>
  <si>
    <t>A Cahyadin</t>
  </si>
  <si>
    <t>089648073758</t>
  </si>
  <si>
    <t>25-27 maret</t>
  </si>
  <si>
    <t>https://docs.google.com/document/d/1XNBLh8erHozdX4wbuKyKbL_urUIlh-Ays7hkuUyd2Jw/edit?tab=t.0</t>
  </si>
  <si>
    <t>2602A049</t>
  </si>
  <si>
    <t>Cahyo</t>
  </si>
  <si>
    <t>085643322282</t>
  </si>
  <si>
    <t>Paket Outbond D, B</t>
  </si>
  <si>
    <t>50-60</t>
  </si>
  <si>
    <t>https://docs.google.com/document/d/19VGX7F9Wmog6os2FQwjwP1N8EREshbOz3zYaN-irITo/edit?usp=sharing</t>
  </si>
  <si>
    <t>2602D128</t>
  </si>
  <si>
    <t>Henry</t>
  </si>
  <si>
    <t>081212641269</t>
  </si>
  <si>
    <t>3H2M opsi a</t>
  </si>
  <si>
    <t>1 Mei - 3 Mei</t>
  </si>
  <si>
    <t>kirim penawaran, FU 24 April</t>
  </si>
  <si>
    <t>https://docs.google.com/document/d/1CRlqaj6ZRa7CzeaR0m9u8rXId3WMzUTWEMLphayaeCA/edit?tab=t.0</t>
  </si>
  <si>
    <t>2602H040</t>
  </si>
  <si>
    <t>Ismu</t>
  </si>
  <si>
    <t>085711540382</t>
  </si>
  <si>
    <t>3h2m</t>
  </si>
  <si>
    <t>bln Mei</t>
  </si>
  <si>
    <t>sdh fu 5 kali, tdk ada kelanjutan</t>
  </si>
  <si>
    <t>https://docs.google.com/document/d/1YahiXkKdIVGRmYUgOM-bJ-rML-Li0FHGEhetCS7Ztxc/edit?usp=drivesdk</t>
  </si>
  <si>
    <t>2602H041</t>
  </si>
  <si>
    <t xml:space="preserve">Putri </t>
  </si>
  <si>
    <t>081568478359</t>
  </si>
  <si>
    <t>trip 4H3M</t>
  </si>
  <si>
    <t>bulan Agustus</t>
  </si>
  <si>
    <t>nanya pricelist paket, fu 25 juni</t>
  </si>
  <si>
    <t>2602D129</t>
  </si>
  <si>
    <t>Glh</t>
  </si>
  <si>
    <t>085183355430</t>
  </si>
  <si>
    <t>teluk ijo, pulau merah</t>
  </si>
  <si>
    <t>https://docs.google.com/document/d/1kKOAN5Hz1e9Ge1PK5nErHM0e1M6-xbfB1rLJ4Ehr4qk/edit?tab=t.0</t>
  </si>
  <si>
    <t>2602D130</t>
  </si>
  <si>
    <t>Momih Ceisya</t>
  </si>
  <si>
    <t>085695838737</t>
  </si>
  <si>
    <t>one day trip djawatan baluran</t>
  </si>
  <si>
    <t>over budget, nabung dulu</t>
  </si>
  <si>
    <t>2602D131</t>
  </si>
  <si>
    <t>Valenciags</t>
  </si>
  <si>
    <t>081806481806</t>
  </si>
  <si>
    <t>awal april</t>
  </si>
  <si>
    <t>minta pricelist, fu tanggal 2 april</t>
  </si>
  <si>
    <t>https://docs.google.com/document/d/141xZi6MqSxtNzt8SYKBNDsVwpYnBAbkG245i1hwRBAY/edit?tab=t.0</t>
  </si>
  <si>
    <t>2602D132</t>
  </si>
  <si>
    <t>Lukita Anggraeni Jati</t>
  </si>
  <si>
    <t>081233932620</t>
  </si>
  <si>
    <t xml:space="preserve">OT </t>
  </si>
  <si>
    <t>23-25 MARET</t>
  </si>
  <si>
    <t xml:space="preserve">ga jadi ke Banyuwangi </t>
  </si>
  <si>
    <t>https://docs.google.com/document/d/1arR3xFKib7xD8ofEpcXEB-oPtpqEnhODEFSqtBqKpgg/edit?tab=t.0</t>
  </si>
  <si>
    <t>2602D133</t>
  </si>
  <si>
    <t>Rizha Anugerah</t>
  </si>
  <si>
    <t>nunggu bulan april atau nunggu istri lahiran,lg trimester3</t>
  </si>
  <si>
    <t>https://docs.google.com/document/d/1XAFUSxNKFH6vfiCRAw3Mpj4nbZIGE1JyFFZle82s0Sc/edit?tab=t.0</t>
  </si>
  <si>
    <t xml:space="preserve">2602A050 </t>
  </si>
  <si>
    <t>Rahma</t>
  </si>
  <si>
    <t>085865278003</t>
  </si>
  <si>
    <t>OT M, T, D, B</t>
  </si>
  <si>
    <t>24-25 Maret</t>
  </si>
  <si>
    <t>https://docs.google.com/document/d/1SuiPuIr-oqpPBMpZJq-MecYt3nCB8d6RMI4PNNXxgpQ/edit?usp=sharing</t>
  </si>
  <si>
    <t>2602D134</t>
  </si>
  <si>
    <t>Elsa Oktavia</t>
  </si>
  <si>
    <t>089690342213</t>
  </si>
  <si>
    <t>https://docs.google.com/document/d/1ZuX30UKljHeGOTBVnVIfBPow6f4-Azj-UrZd_K0RPVI/edit?tab=t.0</t>
  </si>
  <si>
    <t>2602D135</t>
  </si>
  <si>
    <t>Sherly</t>
  </si>
  <si>
    <t>081292955939</t>
  </si>
  <si>
    <t>trip pulau bedil</t>
  </si>
  <si>
    <t>19 atau 20 maret</t>
  </si>
  <si>
    <t>tidak jawab alasan batal</t>
  </si>
  <si>
    <t>2603D001</t>
  </si>
  <si>
    <t>alimaa</t>
  </si>
  <si>
    <t>087775157228</t>
  </si>
  <si>
    <t>OT menjangan tabuhan</t>
  </si>
  <si>
    <t>orderr, temen sikna</t>
  </si>
  <si>
    <t>https://docs.google.com/document/d/1xCqv007F6ZYJg0DBxZhdbI4gd9st7q8GJtLZFYeyD_E/edit?tab=t.0</t>
  </si>
  <si>
    <t>2603D002</t>
  </si>
  <si>
    <t>Marita</t>
  </si>
  <si>
    <t>085945580825</t>
  </si>
  <si>
    <t>hanya menyapa, tidak ada jawaban</t>
  </si>
  <si>
    <t>2603A001</t>
  </si>
  <si>
    <t>Rachim</t>
  </si>
  <si>
    <t>081281050468</t>
  </si>
  <si>
    <t xml:space="preserve">Trip M, T </t>
  </si>
  <si>
    <t>cancel trip tanpa keterangan</t>
  </si>
  <si>
    <t>2603H001</t>
  </si>
  <si>
    <t>Rafael</t>
  </si>
  <si>
    <t>082176804310</t>
  </si>
  <si>
    <t>2603D003</t>
  </si>
  <si>
    <t>Wilda Nurrohma</t>
  </si>
  <si>
    <t>082221225119</t>
  </si>
  <si>
    <t>trip kawah wurung baluran</t>
  </si>
  <si>
    <t>belum jadi ke Banyuwangi</t>
  </si>
  <si>
    <t>https://docs.google.com/document/d/1QyxTRr285_PToTbwzWOuF6wRwG7WDDSbWVEYsbHxDeg/edit?tab=t.0</t>
  </si>
  <si>
    <t>2603D004</t>
  </si>
  <si>
    <t>febriani leni</t>
  </si>
  <si>
    <t>082284350841</t>
  </si>
  <si>
    <t>3H2M opsi B + ijen</t>
  </si>
  <si>
    <t>terkendala cutinyaaaa lur</t>
  </si>
  <si>
    <t>https://docs.google.com/document/d/1yPlH0P9L1XApDtEkix3vIAcsDQIuGmDwJZ8Vn3XG3Mw/edit?tab=t.0</t>
  </si>
  <si>
    <t>2603A002</t>
  </si>
  <si>
    <t>089601668159</t>
  </si>
  <si>
    <t>2603D005</t>
  </si>
  <si>
    <t>Riskajul</t>
  </si>
  <si>
    <t>085229037726</t>
  </si>
  <si>
    <t>tidak bisa jetski</t>
  </si>
  <si>
    <t>https://docs.google.com/document/d/1oTF9qHwExlqBQtux8l_wX1GMgfR5VCUgl4BaJS3RNbA/edit?tab=t.0</t>
  </si>
  <si>
    <t>2603D006</t>
  </si>
  <si>
    <t>Arief Amrullah</t>
  </si>
  <si>
    <t>08121881397</t>
  </si>
  <si>
    <t>2H1M / 3H2M</t>
  </si>
  <si>
    <t>sdh fu, tidak ada jawaban, gagal lewat tanggal</t>
  </si>
  <si>
    <t>https://docs.google.com/document/d/1ael5OXl1VJwm_7k4CZDlqPkzTaFT8pJOzcYGg92JB-4/edit?tab=t.0</t>
  </si>
  <si>
    <t>2603D007</t>
  </si>
  <si>
    <t>karen</t>
  </si>
  <si>
    <t>082297460743</t>
  </si>
  <si>
    <t>1 day trip djawatan baluran</t>
  </si>
  <si>
    <t>https://docs.google.com/document/d/1-GjwCUw9wU0O2EvCaf8aTTsrnxyKHRWGXiXvf7f1wjU/edit?tab=t.0</t>
  </si>
  <si>
    <t>2603D008</t>
  </si>
  <si>
    <t>irul</t>
  </si>
  <si>
    <t>08979151870</t>
  </si>
  <si>
    <t>FU 4 kali tidak balas</t>
  </si>
  <si>
    <t>https://docs.google.com/document/d/1bEmKKSZPMrS0csRaCFaVnWMqqkHIuzcBA_P3nPwsDnk/edit?tab=t.0</t>
  </si>
  <si>
    <t xml:space="preserve">masih diskusi sm istrinya, FU 24 Mei </t>
  </si>
  <si>
    <t>Dita</t>
  </si>
  <si>
    <t>08119693747</t>
  </si>
  <si>
    <t>7-10 juni</t>
  </si>
  <si>
    <t>orderrrrr</t>
  </si>
  <si>
    <t>https://docs.google.com/document/d/1aN4qmuL-VcZ9zIGOCdexdwMIFAGfK_RJ0aQkT84bF28/edit?tab=t.0</t>
  </si>
  <si>
    <t>2603D010</t>
  </si>
  <si>
    <t>Bobi</t>
  </si>
  <si>
    <t>081383336043</t>
  </si>
  <si>
    <t>custom 3D2N</t>
  </si>
  <si>
    <t>28-30 mei</t>
  </si>
  <si>
    <t>GAGALL</t>
  </si>
  <si>
    <t>https://docs.google.com/document/d/1aV94GOrQaRCGR4RIxdFXBWD-Rx0dW3jUGlYG_LTTTSA/edit?tab=t.0</t>
  </si>
  <si>
    <t>2603A003</t>
  </si>
  <si>
    <t>Tania</t>
  </si>
  <si>
    <t>081232783200</t>
  </si>
  <si>
    <t>Private Trip Menjangan</t>
  </si>
  <si>
    <t>sudah kirim penawaran, tidak balas lagi</t>
  </si>
  <si>
    <t>https://docs.google.com/document/d/1UrbZLSeM81V8Hkzor-ZwdAj93ofaLSOSez5Zc8w8QbA/edit?tab=t.0</t>
  </si>
  <si>
    <t>2603A004</t>
  </si>
  <si>
    <t>Lidya</t>
  </si>
  <si>
    <t>083198770259</t>
  </si>
  <si>
    <t>Private Trip 3H2M</t>
  </si>
  <si>
    <t>14-15 maret</t>
  </si>
  <si>
    <t>perubahan major rencana liburan</t>
  </si>
  <si>
    <t>https://docs.google.com/document/d/1rd4lhac0z7he1-OmaP93U073gQv6F7_7WIyAt2YiOro/edit?usp=sharing</t>
  </si>
  <si>
    <t>2603A005</t>
  </si>
  <si>
    <t>Isti</t>
  </si>
  <si>
    <t>61402000436</t>
  </si>
  <si>
    <t>menanyakan tanggal</t>
  </si>
  <si>
    <t>2603D011</t>
  </si>
  <si>
    <t>idairiani</t>
  </si>
  <si>
    <t>081998288104</t>
  </si>
  <si>
    <t>jadinya ke kerinci</t>
  </si>
  <si>
    <t>2603D012</t>
  </si>
  <si>
    <t>Itta</t>
  </si>
  <si>
    <t>081342989977</t>
  </si>
  <si>
    <t>3D2M opsi B</t>
  </si>
  <si>
    <t>22-24 maret</t>
  </si>
  <si>
    <t>waktunya mepet, karna harus balik tgl 24 ke semarang</t>
  </si>
  <si>
    <t>https://docs.google.com/document/d/17OZHf5u5bAj4ZF18umFwwD_s0yJ2NXYwL-LAqPBEcSo/edit?tab=t.0</t>
  </si>
  <si>
    <t>2603A006</t>
  </si>
  <si>
    <t>Isna  Valufi</t>
  </si>
  <si>
    <t>087825743455</t>
  </si>
  <si>
    <t>OT 3D2N</t>
  </si>
  <si>
    <t>13-15 April</t>
  </si>
  <si>
    <t>gajadi ambil cuti</t>
  </si>
  <si>
    <t>https://docs.google.com/document/d/1o9W6-RxtIClawdWzlAjbPoq_wSv7jb2GlhhH6IY1aMw/edit?usp=sharing</t>
  </si>
  <si>
    <t>2603D013</t>
  </si>
  <si>
    <t>Hilda</t>
  </si>
  <si>
    <t>085692636940</t>
  </si>
  <si>
    <t>24 25 Maret</t>
  </si>
  <si>
    <t>ga jadi ke Banyuwangi</t>
  </si>
  <si>
    <t>https://docs.google.com/document/d/1okHiuxbx10A9ZzQrFc6L9oqqkHcJHMn4Co3aZBSMwH4/edit?tab=t.0</t>
  </si>
  <si>
    <t>2603D014</t>
  </si>
  <si>
    <t>Tanti</t>
  </si>
  <si>
    <t>081377024301</t>
  </si>
  <si>
    <t>Menyapa saja, tidak ada jawaban</t>
  </si>
  <si>
    <t>2603A007</t>
  </si>
  <si>
    <t>Shienny</t>
  </si>
  <si>
    <t>081225369612</t>
  </si>
  <si>
    <t>20-22 maret</t>
  </si>
  <si>
    <t>2603D015</t>
  </si>
  <si>
    <t>Sarita Ayas</t>
  </si>
  <si>
    <t>085777822641</t>
  </si>
  <si>
    <t>MT, D, Alas Purwo, Pulau merah</t>
  </si>
  <si>
    <t>12-18 april</t>
  </si>
  <si>
    <t>akan dihubungi lagi kalo dah fiks</t>
  </si>
  <si>
    <t>https://docs.google.com/document/d/1VpBVKer9LpxENHOIXQEAr-MVCI3YadkLpQnCC4jVDJk/edit?tab=t.0</t>
  </si>
  <si>
    <t>2603D016</t>
  </si>
  <si>
    <t>rajaperabot.srg</t>
  </si>
  <si>
    <t>21-23 maret</t>
  </si>
  <si>
    <t>deal ke alvin</t>
  </si>
  <si>
    <t>2603D017</t>
  </si>
  <si>
    <t>ais</t>
  </si>
  <si>
    <t>081235460480</t>
  </si>
  <si>
    <t>https://docs.google.com/document/d/1tv6hCZvwASZTMUs6CeRdI9YexFDvpmhMcKwOy1q4Lxk/edit?tab=t.0</t>
  </si>
  <si>
    <t>2603D018</t>
  </si>
  <si>
    <t>Astria</t>
  </si>
  <si>
    <t>087877490080</t>
  </si>
  <si>
    <t>Alhamdulillah order</t>
  </si>
  <si>
    <t>2603D019</t>
  </si>
  <si>
    <t>Meii</t>
  </si>
  <si>
    <t>085179707599</t>
  </si>
  <si>
    <t>FU mendekati trip bulan Mei tanggal 28</t>
  </si>
  <si>
    <t>https://docs.google.com/document/d/1sXzMp55HHwyZhUaflDk_ynWTkd2LpN6_nVIFagYDum4/edit?tab=t.0</t>
  </si>
  <si>
    <t>2603D020</t>
  </si>
  <si>
    <t>rafly</t>
  </si>
  <si>
    <t>088210600087</t>
  </si>
  <si>
    <t>one day trip custom</t>
  </si>
  <si>
    <t>september</t>
  </si>
  <si>
    <t>survey ditunda dulu</t>
  </si>
  <si>
    <t>https://docs.google.com/document/d/1t5yaIXJrE8jZ9lhDjW0V7L8XSaWXoI241xlMwXmphVQ/edit?tab=t.0</t>
  </si>
  <si>
    <t>2603D021</t>
  </si>
  <si>
    <t>Lisa</t>
  </si>
  <si>
    <t>085934318627</t>
  </si>
  <si>
    <t>hanya menyapa. tidak ada jawaban</t>
  </si>
  <si>
    <t>https://docs.google.com/document/d/1vAyrTb7pEeMwo3UVFsGlxPMF-COofMXIbEZFNDwIBlQ/edit?tab=t.0</t>
  </si>
  <si>
    <t>2603D022</t>
  </si>
  <si>
    <t>Novi Nuraini</t>
  </si>
  <si>
    <t>089649186785</t>
  </si>
  <si>
    <t>6 maret</t>
  </si>
  <si>
    <t>sudah lewat tanggal</t>
  </si>
  <si>
    <t>2603D023</t>
  </si>
  <si>
    <t>Ria</t>
  </si>
  <si>
    <t>082317423539</t>
  </si>
  <si>
    <t>3H2M or 1D Ijen</t>
  </si>
  <si>
    <t>26 maret</t>
  </si>
  <si>
    <t>https://docs.google.com/document/d/1PWYXfvb0PoQLgLBAMNhYlcpZkGtXn0rmQa5XFuRy2iY/edit?tab=t.0</t>
  </si>
  <si>
    <t>2603D024</t>
  </si>
  <si>
    <t>rafidfasya</t>
  </si>
  <si>
    <t>089646312945</t>
  </si>
  <si>
    <t xml:space="preserve">3H2M opsi A atau B </t>
  </si>
  <si>
    <t>24 maret</t>
  </si>
  <si>
    <t>sdh fu lebih dr 5 kali. lewat tanggal</t>
  </si>
  <si>
    <t>https://docs.google.com/document/d/1piCjMlCAHF1HNf49gx8BgZA7N3gl1dONHtONWXV4sEU/edit?tab=t.0</t>
  </si>
  <si>
    <t>2603D025</t>
  </si>
  <si>
    <t>Darmada eka</t>
  </si>
  <si>
    <t>08563878376</t>
  </si>
  <si>
    <t>06 maret</t>
  </si>
  <si>
    <t>https://docs.google.com/document/d/1pKavIIbdbjDyBzUb-BPg9WBhHNYpqereXz355HVMpww/edit?tab=t.0</t>
  </si>
  <si>
    <t>2603D026</t>
  </si>
  <si>
    <t>Astrid Januarita</t>
  </si>
  <si>
    <t>081311029389</t>
  </si>
  <si>
    <t>waktunya pendek</t>
  </si>
  <si>
    <t>https://docs.google.com/document/d/1aMVSqHTm66T8FbK5dESswZVgK4TyV4ymV6q_SVM4hMw/edit?tab=t.0</t>
  </si>
  <si>
    <t>2603D027</t>
  </si>
  <si>
    <t xml:space="preserve">Rosa Sayentina Amin </t>
  </si>
  <si>
    <t>085601107828</t>
  </si>
  <si>
    <t>15 - 17 juni</t>
  </si>
  <si>
    <t>ganti lokasi destinasi</t>
  </si>
  <si>
    <t>https://docs.google.com/document/d/160d7q8AK3rchcLAH05Afu5W4s6W63GfSmQ7RB1DAv7A/edit?tab=t.0</t>
  </si>
  <si>
    <t>2603A008</t>
  </si>
  <si>
    <t>Kang Uu EO Adventurious</t>
  </si>
  <si>
    <t>081931299010</t>
  </si>
  <si>
    <t>One day trip D B</t>
  </si>
  <si>
    <t>Tidak ada jawaban</t>
  </si>
  <si>
    <t>https://docs.google.com/document/d/1PnwPcIwK_8xNddaf4hld_rhVJHOTJ6JY5SS3UZCALCU/edit?usp=sharing</t>
  </si>
  <si>
    <t>2603A009</t>
  </si>
  <si>
    <t>Centuryviktor</t>
  </si>
  <si>
    <t>085717505050</t>
  </si>
  <si>
    <t>cancel, jadinya ke jogja</t>
  </si>
  <si>
    <t>2603D028</t>
  </si>
  <si>
    <t>Kaka</t>
  </si>
  <si>
    <t>081542046305</t>
  </si>
  <si>
    <t>ga jadi, peserta masih pemulihan sakit</t>
  </si>
  <si>
    <t>https://docs.google.com/document/d/1BR5MmtBO7CPriqub6ebpfeF8V8Iob-1QFgyhQKoTcy0/edit?tab=t.0</t>
  </si>
  <si>
    <t>2603D029</t>
  </si>
  <si>
    <t>Bagus Fajar</t>
  </si>
  <si>
    <t>085604355420</t>
  </si>
  <si>
    <t>tanggal gabisa fleksibel</t>
  </si>
  <si>
    <t>https://docs.google.com/document/d/1jsNUUqry396_Gb3dUKxFTGTg07BQjBQYl7vI5P62b1I/edit?tab=t.0</t>
  </si>
  <si>
    <t>2603D030</t>
  </si>
  <si>
    <t>082230156632</t>
  </si>
  <si>
    <t>akhir maret</t>
  </si>
  <si>
    <t>gagal, tidak ada jawaban</t>
  </si>
  <si>
    <t>https://docs.google.com/document/d/1QQTofkemOFKftUzDPXegy1ood3tvADqKnFrmkBUjU9g/edit?tab=t.0</t>
  </si>
  <si>
    <t>2603D031</t>
  </si>
  <si>
    <t>Denavia</t>
  </si>
  <si>
    <t>085645696429</t>
  </si>
  <si>
    <t>23-24 maret</t>
  </si>
  <si>
    <t>belum tau alasannya tidak jadi</t>
  </si>
  <si>
    <t>https://docs.google.com/document/d/1Ui-eY0TeF9AeLCO-OyEerDAxiWk_VK83Fb75ZBoHNdM/edit?tab=t.0</t>
  </si>
  <si>
    <t>2603A010</t>
  </si>
  <si>
    <t>081396838385</t>
  </si>
  <si>
    <t>mau nanya-nnya dlu</t>
  </si>
  <si>
    <t>2603A011</t>
  </si>
  <si>
    <t>Edwin pramana</t>
  </si>
  <si>
    <t>085640932304</t>
  </si>
  <si>
    <t>19-20 Maret</t>
  </si>
  <si>
    <t>https://docs.google.com/document/d/1BrX-Nml2r4Ecu2-R2T4-TmWjJu9YkU8ukGMuWPxirQQ/edit?tab=t.0</t>
  </si>
  <si>
    <t>2603A012</t>
  </si>
  <si>
    <t>Shinta tata</t>
  </si>
  <si>
    <t>087783170939</t>
  </si>
  <si>
    <t>Trip I</t>
  </si>
  <si>
    <t>2603D032</t>
  </si>
  <si>
    <t>Dhea Lubis</t>
  </si>
  <si>
    <t>085359207689</t>
  </si>
  <si>
    <t>11/12 maret</t>
  </si>
  <si>
    <t>ga jadi, alasan belum tahu</t>
  </si>
  <si>
    <t>https://docs.google.com/document/d/1BF2_D6GwNtWCG5zJrnx3_udrBvTpRyoJifdRoiE8pSE/edit?tab=t.0</t>
  </si>
  <si>
    <t>Dzakiyah</t>
  </si>
  <si>
    <t>081230027737</t>
  </si>
  <si>
    <t>1day trip menjangan</t>
  </si>
  <si>
    <t>3/4 april</t>
  </si>
  <si>
    <t>tidak membalas lagi, Fu beberapa lagi</t>
  </si>
  <si>
    <t>https://docs.google.com/document/d/1YYc7gan_UBmP22ewiot4Bj7T35WCBKzCoblSBRBauas/edit?tab=t.0</t>
  </si>
  <si>
    <t>2603D034</t>
  </si>
  <si>
    <t>Meilin</t>
  </si>
  <si>
    <t>083119577736</t>
  </si>
  <si>
    <t>MT, D, B</t>
  </si>
  <si>
    <t>tidak ada jawaban. lewat tanggal</t>
  </si>
  <si>
    <t>https://docs.google.com/document/d/1trjP0noS__BYQ-f5ZNEpjM_FjkK5fLvcSbWJghhsTPA/edit?tab=t.0</t>
  </si>
  <si>
    <t>2603D035</t>
  </si>
  <si>
    <t>Kharis</t>
  </si>
  <si>
    <t>081553818001</t>
  </si>
  <si>
    <t>lewat tanggal, gagal</t>
  </si>
  <si>
    <t>https://docs.google.com/document/d/1vb3mdrXEZ1cKiA_XJRVWFArT8F6Zcku_n_L-9OWWWBk/edit?tab=t.0</t>
  </si>
  <si>
    <t>2603H002</t>
  </si>
  <si>
    <t>27-30 April</t>
  </si>
  <si>
    <t>lemparan leads dari trip bwi, tidak jadi</t>
  </si>
  <si>
    <t>2603A013</t>
  </si>
  <si>
    <t>Aisyah</t>
  </si>
  <si>
    <t>085866955933</t>
  </si>
  <si>
    <t>2603D036</t>
  </si>
  <si>
    <t>i</t>
  </si>
  <si>
    <t>082124871700</t>
  </si>
  <si>
    <t xml:space="preserve">hanya menyapa, tidak ada jawaban </t>
  </si>
  <si>
    <t>2603A014</t>
  </si>
  <si>
    <t>Saskia</t>
  </si>
  <si>
    <t>089503197071</t>
  </si>
  <si>
    <t>hanya menyapa.</t>
  </si>
  <si>
    <t>2603D037</t>
  </si>
  <si>
    <t>Mayrican A.T</t>
  </si>
  <si>
    <t>0895411879995</t>
  </si>
  <si>
    <t>paket 1 day trip pulau merah</t>
  </si>
  <si>
    <t>23 atau 24 Maret</t>
  </si>
  <si>
    <t>https://docs.google.com/document/d/1ODdoPFhIMejdIzVB3Oc4FcACfbDPhJRttFrPG-j4Sgw/edit?tab=t.0</t>
  </si>
  <si>
    <t>2603D038</t>
  </si>
  <si>
    <t>Ericka</t>
  </si>
  <si>
    <t>089608986331</t>
  </si>
  <si>
    <t>14-17 Agustus</t>
  </si>
  <si>
    <t>belum ada jawaban, fu kembali 20 Juli</t>
  </si>
  <si>
    <t>https://docs.google.com/document/d/1gW_EXGpkSe2_Y5up1f8c7DGMtM6Xb1nMiakPkC-zr9c/edit?tab=t.0</t>
  </si>
  <si>
    <t>2603A015</t>
  </si>
  <si>
    <t>fith</t>
  </si>
  <si>
    <t>089518004829</t>
  </si>
  <si>
    <t>16-17 Maret</t>
  </si>
  <si>
    <t>2603A016</t>
  </si>
  <si>
    <t>Robertus Samosir</t>
  </si>
  <si>
    <t>085363908264</t>
  </si>
  <si>
    <t>Custom 3H2M</t>
  </si>
  <si>
    <t>sejak kirim penawaran tidak ada balasan lagi</t>
  </si>
  <si>
    <t>https://docs.google.com/document/d/1-Oo9xna-eepDmWr_47y0rSdzc3lOcxL2AI2ldlGlg2o/edit?usp=sharing</t>
  </si>
  <si>
    <t>2603A017</t>
  </si>
  <si>
    <t>Thierry</t>
  </si>
  <si>
    <t>33769485350</t>
  </si>
  <si>
    <t>Trip ijen</t>
  </si>
  <si>
    <t>5-6 april</t>
  </si>
  <si>
    <t>kirim penawaran</t>
  </si>
  <si>
    <t>2603D039</t>
  </si>
  <si>
    <t>Aditya Novantiasa</t>
  </si>
  <si>
    <t>085695861182</t>
  </si>
  <si>
    <t>sedang meeting dg client, FU 3 Juli</t>
  </si>
  <si>
    <t>https://docs.google.com/document/d/1NB8XufaILagXcrmdAimDWR-rogYLQtSpvRTYBPtcaRo/edit?tab=t.0</t>
  </si>
  <si>
    <t>2603D040</t>
  </si>
  <si>
    <t xml:space="preserve">Aulia </t>
  </si>
  <si>
    <t>085176745278</t>
  </si>
  <si>
    <t>belum dibalas, FU 25  Mei</t>
  </si>
  <si>
    <t>https://docs.google.com/document/d/1es5OHEvaDxyy_XrYins0EXSxtBFIKPer9jyDGHbAFhM/edit?tab=t.0</t>
  </si>
  <si>
    <t>2603A018</t>
  </si>
  <si>
    <t>Bramantyo Saksono</t>
  </si>
  <si>
    <t>081231717107</t>
  </si>
  <si>
    <t>https://docs.google.com/document/d/13VdLjJT7irt71tXNqSoAnm8uUyhGyWZ_11iHshyAgUY/edit?usp=sharing</t>
  </si>
  <si>
    <t>2603A019</t>
  </si>
  <si>
    <t>Prista</t>
  </si>
  <si>
    <t>081219103733</t>
  </si>
  <si>
    <t>2603D041</t>
  </si>
  <si>
    <t>Ashta</t>
  </si>
  <si>
    <t>085121330989</t>
  </si>
  <si>
    <t>belum dulu</t>
  </si>
  <si>
    <t>https://docs.google.com/document/d/188WSJ__JnCjKWa2EkLpMgBOEN6GXmSGhO37ogQAysDM/edit?tab=t.0</t>
  </si>
  <si>
    <t>2603H003</t>
  </si>
  <si>
    <t>Mika anggi</t>
  </si>
  <si>
    <t>082267757603</t>
  </si>
  <si>
    <t xml:space="preserve">masih menyapa, sudah fu </t>
  </si>
  <si>
    <t>2603H004</t>
  </si>
  <si>
    <t>08161816290</t>
  </si>
  <si>
    <t>https://docs.google.com/document/d/1lD9a15JSkoUqNEWc4yAAkY9U5qc9a3NCOi3Mr2eD0dk/edit?usp=drivesdk</t>
  </si>
  <si>
    <t>2603D042</t>
  </si>
  <si>
    <t>Reni</t>
  </si>
  <si>
    <t>082233760255</t>
  </si>
  <si>
    <t>3H2M atau 2H1M</t>
  </si>
  <si>
    <t>22 / 23 Maret 2026</t>
  </si>
  <si>
    <t>https://docs.google.com/document/d/1VrGPe9lPLtS1Q6J-pimyK6scNDpKxGCsFYgmpk_6Gy8/edit?tab=t.0</t>
  </si>
  <si>
    <t>2603D043</t>
  </si>
  <si>
    <t>Kunny</t>
  </si>
  <si>
    <t>087776268365</t>
  </si>
  <si>
    <t>gada jawaban. hanya menyapa</t>
  </si>
  <si>
    <t>2603D044</t>
  </si>
  <si>
    <t>titik</t>
  </si>
  <si>
    <t>081380952392</t>
  </si>
  <si>
    <t xml:space="preserve">green island </t>
  </si>
  <si>
    <t>FU 6 April</t>
  </si>
  <si>
    <t>https://docs.google.com/document/d/1jK_20xfivfAFRwW7pxnh1HcWOlEWwF-mBfZoznxnpRM/edit?tab=t.0</t>
  </si>
  <si>
    <t>2603A020</t>
  </si>
  <si>
    <t>Tya</t>
  </si>
  <si>
    <t>085227006091</t>
  </si>
  <si>
    <t>menyusul</t>
  </si>
  <si>
    <t>gada jawaban dan kelanjutan</t>
  </si>
  <si>
    <t>https://docs.google.com/document/d/1afskSDsgsB_EZ8p_YL8a2Avvfs09xv8ZH_u3YDTOV6M/edit?usp=sharing</t>
  </si>
  <si>
    <t>2603A021</t>
  </si>
  <si>
    <t>Kheira</t>
  </si>
  <si>
    <t>082310921117</t>
  </si>
  <si>
    <t>24-26 maret</t>
  </si>
  <si>
    <t xml:space="preserve">cancel </t>
  </si>
  <si>
    <t>https://docs.google.com/document/d/1ImZ2DQqVT-2OrII48xmimrQstKre5eS0T32EmvKC2Ng/edit?usp=sharing</t>
  </si>
  <si>
    <t>2603D045</t>
  </si>
  <si>
    <t>Irvandiptr</t>
  </si>
  <si>
    <t>087830130288</t>
  </si>
  <si>
    <t>https://docs.google.com/document/d/1kLTBF4HokNJs-w_8ZEioVbjH9F6I9Fd7GZZckzsJBok/edit?tab=t.0</t>
  </si>
  <si>
    <t>2603D046</t>
  </si>
  <si>
    <t>Chacha</t>
  </si>
  <si>
    <t>085881293821</t>
  </si>
  <si>
    <t>https://docs.google.com/document/d/1WDLIQDMqF30_WieKCw0rdIX3Wb6BiHGBVCDTjGnWC2Q/edit?tab=t.0</t>
  </si>
  <si>
    <t>Christine</t>
  </si>
  <si>
    <t>14692588393</t>
  </si>
  <si>
    <t>open trip ijen</t>
  </si>
  <si>
    <t xml:space="preserve">bulan 10-20 mei </t>
  </si>
  <si>
    <t>ORDERRR</t>
  </si>
  <si>
    <t>https://docs.google.com/document/d/19vDWAEusi2UrHTFPWCkZwE741j9gzfjBiA2czAmGKag/edit?tab=t.0</t>
  </si>
  <si>
    <t>2603D048</t>
  </si>
  <si>
    <t>Anggia Desti</t>
  </si>
  <si>
    <t>085740117527</t>
  </si>
  <si>
    <t>OPEN TRIP</t>
  </si>
  <si>
    <t>24-27 MARET</t>
  </si>
  <si>
    <t>prepare belum matang</t>
  </si>
  <si>
    <t>https://docs.google.com/document/d/1df_q7FJctM2miPbdPrUsps-OMG3MusnBFgOsWrqP8dE/edit?tab=t.0</t>
  </si>
  <si>
    <t>2603D049</t>
  </si>
  <si>
    <t>Adee W</t>
  </si>
  <si>
    <t>082399441109</t>
  </si>
  <si>
    <t>open trip kawah ijen</t>
  </si>
  <si>
    <t>tiket pesawat papua mahal</t>
  </si>
  <si>
    <t>https://docs.google.com/document/d/1R0SwkfU3rmENN0-JKEl51IrzLlGkZ_b0tpxlpFEpfcE/edit?tab=t.00</t>
  </si>
  <si>
    <t>2603D050</t>
  </si>
  <si>
    <t>Zakiaaaaa</t>
  </si>
  <si>
    <t>089657364735</t>
  </si>
  <si>
    <t>27 28 Maret</t>
  </si>
  <si>
    <t>ga ada balasan, sudah fu 5x</t>
  </si>
  <si>
    <t>https://docs.google.com/document/d/1DrXYffe2okACDr27gjitlEII78Wzy80s_I7zecCY8jw/edit?tab=t.0</t>
  </si>
  <si>
    <t>2603H005</t>
  </si>
  <si>
    <t>Yani</t>
  </si>
  <si>
    <t>087780925178</t>
  </si>
  <si>
    <t xml:space="preserve">19-21 Maret </t>
  </si>
  <si>
    <t xml:space="preserve">masih tanya </t>
  </si>
  <si>
    <t>2603D051</t>
  </si>
  <si>
    <t>Syemi</t>
  </si>
  <si>
    <t>082187073907</t>
  </si>
  <si>
    <t xml:space="preserve">1D Djawatan Baluran </t>
  </si>
  <si>
    <t>tidak jadi ke banyuwangiii</t>
  </si>
  <si>
    <t>https://docs.google.com/document/d/1clmkzgr9YtTHfUz8Nxubt3phUlaV_FgZviQJQc-3wY0/edit?tab=t.0</t>
  </si>
  <si>
    <t>2603D052</t>
  </si>
  <si>
    <t>Irine</t>
  </si>
  <si>
    <t>081250667985</t>
  </si>
  <si>
    <t xml:space="preserve">open trip 3H2M </t>
  </si>
  <si>
    <t>teman syafira</t>
  </si>
  <si>
    <t>2603D053</t>
  </si>
  <si>
    <t>Rian Surya Kesuma</t>
  </si>
  <si>
    <t>0895616877302</t>
  </si>
  <si>
    <t>Ijen</t>
  </si>
  <si>
    <t>batal karena pembatasan perjalanan dinas</t>
  </si>
  <si>
    <t>https://docs.google.com/document/d/1_HeGTxRIzQ-C5-_9AoXFNAknHJX6n5zs9PDKkXjDJaY/edit?tab=t.0</t>
  </si>
  <si>
    <t>Shella</t>
  </si>
  <si>
    <t>082123875017</t>
  </si>
  <si>
    <t>Full day trip B,D,PM</t>
  </si>
  <si>
    <t>2603H007</t>
  </si>
  <si>
    <t>Hendrik</t>
  </si>
  <si>
    <t>08127880606</t>
  </si>
  <si>
    <t>OT kawah ijen</t>
  </si>
  <si>
    <t>2603H008</t>
  </si>
  <si>
    <t>Amin</t>
  </si>
  <si>
    <t>085100362378</t>
  </si>
  <si>
    <t xml:space="preserve">trip kawah ijen </t>
  </si>
  <si>
    <t>18/19 Maret</t>
  </si>
  <si>
    <t>tanyaa harga</t>
  </si>
  <si>
    <t>2603D054</t>
  </si>
  <si>
    <t>Desi Simbolon</t>
  </si>
  <si>
    <t>081513924119</t>
  </si>
  <si>
    <t>trip pulau</t>
  </si>
  <si>
    <t>Teman astrid</t>
  </si>
  <si>
    <t>2603D055</t>
  </si>
  <si>
    <t>Melisa</t>
  </si>
  <si>
    <t>081807251858</t>
  </si>
  <si>
    <t>gagal, rencana mau ke taman galuh</t>
  </si>
  <si>
    <t>https://docs.google.com/document/d/1hs7UjwoC-istj2tIDwMFr0DLvm3fruHWD2efike5fJw/edit?tab=t.0</t>
  </si>
  <si>
    <t>2603D056</t>
  </si>
  <si>
    <t>Krisna Buana</t>
  </si>
  <si>
    <t>0895387055527</t>
  </si>
  <si>
    <t>Juni atau Juli</t>
  </si>
  <si>
    <t>FU 16 Juni</t>
  </si>
  <si>
    <t>https://docs.google.com/document/d/1v6M6NA7UTXTt-9f8yhvKPLRJ9Zr_LobMfCv6MzzVjYU/edit?tab=t.0</t>
  </si>
  <si>
    <t>2603A022</t>
  </si>
  <si>
    <t>Fiona</t>
  </si>
  <si>
    <t>087751327799</t>
  </si>
  <si>
    <t>tidak jadi dulu tripnya</t>
  </si>
  <si>
    <t>https://docs.google.com/document/d/17Fe6RllYDrqiq9HPq9zBMSoG6P1X_CuBg6JajofvanE/edit?tab=t.0</t>
  </si>
  <si>
    <t>2603H009</t>
  </si>
  <si>
    <t>Nayla</t>
  </si>
  <si>
    <t>083899549083</t>
  </si>
  <si>
    <t>20-22 Maret</t>
  </si>
  <si>
    <t>ssudah di follow up, tidak ada jawaban, gagal</t>
  </si>
  <si>
    <t>2603D057</t>
  </si>
  <si>
    <t>Leyla</t>
  </si>
  <si>
    <t>085747432346</t>
  </si>
  <si>
    <t>hanya menyapa, tidak ada jawaban, gagal</t>
  </si>
  <si>
    <t>2603D058</t>
  </si>
  <si>
    <t>Deni</t>
  </si>
  <si>
    <t>087824774118</t>
  </si>
  <si>
    <t>sudah FU ga balasss</t>
  </si>
  <si>
    <t>https://docs.google.com/document/d/1yEog4NDlXHKwLQBJcgy3JZ0SiIXrLRif4gzl5qr0HHk/edit?tab=t.0</t>
  </si>
  <si>
    <t>2603A023</t>
  </si>
  <si>
    <t>Sefin</t>
  </si>
  <si>
    <t>082136353737</t>
  </si>
  <si>
    <t xml:space="preserve">cuti belum di acc </t>
  </si>
  <si>
    <t>2603A024</t>
  </si>
  <si>
    <t>Novira</t>
  </si>
  <si>
    <t>085187010197</t>
  </si>
  <si>
    <t>gaada balasan</t>
  </si>
  <si>
    <t>https://docs.google.com/document/d/1dTOmwmacoQn5Xetx_FxbPXY9SNv303UVl_ULz3Y7aao/edit?usp=sharing</t>
  </si>
  <si>
    <t>2603A025</t>
  </si>
  <si>
    <t>Melati</t>
  </si>
  <si>
    <t>085717888548</t>
  </si>
  <si>
    <t>https://docs.google.com/document/d/17AU7AT-Us9U-0GteJzfGymhI1yLH10uEfwXGS0_6GNo/edit?usp=sharing</t>
  </si>
  <si>
    <t>2603A026</t>
  </si>
  <si>
    <t>08568541948</t>
  </si>
  <si>
    <t>3-7 April</t>
  </si>
  <si>
    <t>2603A027</t>
  </si>
  <si>
    <t>Syaharani Martiza</t>
  </si>
  <si>
    <t>081280082608</t>
  </si>
  <si>
    <t>22-25 maret</t>
  </si>
  <si>
    <t>belum ada balasan</t>
  </si>
  <si>
    <t>2603H010</t>
  </si>
  <si>
    <t>iing</t>
  </si>
  <si>
    <t>081388999950</t>
  </si>
  <si>
    <t>2603H011</t>
  </si>
  <si>
    <t>Mvxlv</t>
  </si>
  <si>
    <t>082315466518</t>
  </si>
  <si>
    <t>tidak jadi, travel dari bogor</t>
  </si>
  <si>
    <t>2603H012</t>
  </si>
  <si>
    <t>Agnes Putri</t>
  </si>
  <si>
    <t>085697084349</t>
  </si>
  <si>
    <t>trip Ijen, Baluran</t>
  </si>
  <si>
    <t>5&amp;7</t>
  </si>
  <si>
    <t xml:space="preserve">trip nya diganti ke Trenggalek </t>
  </si>
  <si>
    <t>2603D059</t>
  </si>
  <si>
    <t>Gracia</t>
  </si>
  <si>
    <t>081257278990</t>
  </si>
  <si>
    <t>masih tanya2</t>
  </si>
  <si>
    <t>https://docs.google.com/document/d/1yQCCZaWiCQ5JIWpbhGA3jrnyRCX2R8WnalBaLgzrcxs/edit?tab=t.0</t>
  </si>
  <si>
    <t>2603D060</t>
  </si>
  <si>
    <t>Sikna</t>
  </si>
  <si>
    <t>087741062741</t>
  </si>
  <si>
    <t>1D Menjangan Tabuhan</t>
  </si>
  <si>
    <t>ORDERRRRRRR</t>
  </si>
  <si>
    <t>https://docs.google.com/document/d/1Bjkz56EKprWrZ2GCMvaVu5KWkYcXWDCTqjrmUyGT-Tw/edit?tab=t.0</t>
  </si>
  <si>
    <t>2603D061</t>
  </si>
  <si>
    <t>Sistha Widita</t>
  </si>
  <si>
    <t>08117338635</t>
  </si>
  <si>
    <t xml:space="preserve">open trip Menjangan Baluran </t>
  </si>
  <si>
    <t>belum ada jawaban sudah FU</t>
  </si>
  <si>
    <t>https://docs.google.com/document/d/1lJn3aSbbYIwiJo0lRHF_ZvxduZACeVkcnXIm7_w03N8/edit?tab=t.0</t>
  </si>
  <si>
    <t xml:space="preserve">2603H013 </t>
  </si>
  <si>
    <t>Fadli</t>
  </si>
  <si>
    <t>087877926169</t>
  </si>
  <si>
    <t>FU 7 juni</t>
  </si>
  <si>
    <t>2510D027</t>
  </si>
  <si>
    <t>Hanny Nurhayati</t>
  </si>
  <si>
    <t>085694425986</t>
  </si>
  <si>
    <t>4H3M  custom</t>
  </si>
  <si>
    <t xml:space="preserve">21-25 Maret </t>
  </si>
  <si>
    <t>https://docs.google.com/document/d/1luXE2yKrGR-V6Z1XfMyP0WqFccvk5ULuoGn4kfO01T4/edit?tab=t.0</t>
  </si>
  <si>
    <t>2603D062</t>
  </si>
  <si>
    <t xml:space="preserve">Joseph Wibisono </t>
  </si>
  <si>
    <t>085227893637</t>
  </si>
  <si>
    <t>3H2M custome</t>
  </si>
  <si>
    <t>https://docs.google.com/document/d/1HZzihJyG0jPC4XKKOObEkv1YexYVHyPRa97To4qMWU4/edit?tab=t.0</t>
  </si>
  <si>
    <t>2603A028</t>
  </si>
  <si>
    <t>Dhion</t>
  </si>
  <si>
    <t>0882000645161</t>
  </si>
  <si>
    <t>2H1M  Custom</t>
  </si>
  <si>
    <t>23-24 Maret</t>
  </si>
  <si>
    <t>2603A029</t>
  </si>
  <si>
    <t>Kreshna</t>
  </si>
  <si>
    <t>082286779677‬</t>
  </si>
  <si>
    <t>taman galuh</t>
  </si>
  <si>
    <t>2603D063</t>
  </si>
  <si>
    <t>Doffi</t>
  </si>
  <si>
    <t>087776868837</t>
  </si>
  <si>
    <t>3h2m Custom</t>
  </si>
  <si>
    <t>lewat tgl</t>
  </si>
  <si>
    <t>https://docs.google.com/document/d/1Ao4sruNzpRIli30JfRFhnylp1UVbTGG7X0DOROIUP8Q/edit?tab=t.0</t>
  </si>
  <si>
    <t>2603H014</t>
  </si>
  <si>
    <t>Azhar</t>
  </si>
  <si>
    <t>08161612238</t>
  </si>
  <si>
    <t>bulan 1-3 Mei</t>
  </si>
  <si>
    <t>tidak ada jawaban, sdh fu</t>
  </si>
  <si>
    <t>https://docs.google.com/document/d/16jXEDyRnYC0BQFWI7sPtGTCTtbWMJGALmVleevzy1yg/edit?usp=drivesdk</t>
  </si>
  <si>
    <t>2603H015</t>
  </si>
  <si>
    <t>085817202531</t>
  </si>
  <si>
    <t xml:space="preserve">sudah kirim penawaran, masih diskusi </t>
  </si>
  <si>
    <t>2603A030</t>
  </si>
  <si>
    <t>Atika</t>
  </si>
  <si>
    <t>081234028695</t>
  </si>
  <si>
    <t>2603D064</t>
  </si>
  <si>
    <t>Lazka Roosie</t>
  </si>
  <si>
    <t>085172092079</t>
  </si>
  <si>
    <t>tidak memberi tau alasan gagal</t>
  </si>
  <si>
    <t>https://docs.google.com/document/d/1NYk73jKp5ShqIU7SVvmCG-eJL8Y_ON9s7ZLPsIiPyTg/edit?tab=t.0</t>
  </si>
  <si>
    <t>2603D065</t>
  </si>
  <si>
    <t>081213494140</t>
  </si>
  <si>
    <t xml:space="preserve">Djawatan Baluran </t>
  </si>
  <si>
    <t>gagal, tidak jawab, lewat tanggal</t>
  </si>
  <si>
    <t>2603H016</t>
  </si>
  <si>
    <t>Rindra</t>
  </si>
  <si>
    <t>085722362657</t>
  </si>
  <si>
    <t>23/24 Maret</t>
  </si>
  <si>
    <t>2603D066</t>
  </si>
  <si>
    <t>Nur</t>
  </si>
  <si>
    <t>0895621093883</t>
  </si>
  <si>
    <t xml:space="preserve">Baluran </t>
  </si>
  <si>
    <t>belum jadi liburan</t>
  </si>
  <si>
    <t>https://docs.google.com/document/d/1azKhDvdH5hhHqmOJX12VjL6z04g3k_AKdJxhxjI9_mE/edit?tab=t.0</t>
  </si>
  <si>
    <t>2603A031</t>
  </si>
  <si>
    <t>Anisa</t>
  </si>
  <si>
    <t>089613987223‬</t>
  </si>
  <si>
    <t>trip menjangan baluran</t>
  </si>
  <si>
    <t>2603A032</t>
  </si>
  <si>
    <t>Alya nadya</t>
  </si>
  <si>
    <t>08112001339‬</t>
  </si>
  <si>
    <t>4H3M Custom</t>
  </si>
  <si>
    <t>24-27 maret</t>
  </si>
  <si>
    <t>https://docs.google.com/document/d/15tGBZYFhVJdeLWTnwFtewTfHPp56aGtS9qy4AS2Hojk/edit?usp=sharing</t>
  </si>
  <si>
    <t>2603A033</t>
  </si>
  <si>
    <t>Dewanti Ajeng</t>
  </si>
  <si>
    <t>081323981858‬</t>
  </si>
  <si>
    <t>19-23 Maret</t>
  </si>
  <si>
    <t>masih diskusi</t>
  </si>
  <si>
    <t>2603H017</t>
  </si>
  <si>
    <t>089636427447</t>
  </si>
  <si>
    <t>bln Mei/Juni</t>
  </si>
  <si>
    <t>trip ditunda karena suatu alasan</t>
  </si>
  <si>
    <t>https://docs.google.com/document/d/1_D609ow8tpoS66gAPI9ruax0NuLmvRZyjOZ0W0kB3Ao/edit?usp=drivesdk</t>
  </si>
  <si>
    <t>2603D067</t>
  </si>
  <si>
    <t>Veren</t>
  </si>
  <si>
    <t>0895630000543</t>
  </si>
  <si>
    <t xml:space="preserve">freedive </t>
  </si>
  <si>
    <t>teman Astria</t>
  </si>
  <si>
    <t>2603D068</t>
  </si>
  <si>
    <t>Bayu Setyo</t>
  </si>
  <si>
    <t>085158111827</t>
  </si>
  <si>
    <t>2H1M pantai</t>
  </si>
  <si>
    <t>25 26 Maret</t>
  </si>
  <si>
    <t>2603H018</t>
  </si>
  <si>
    <t>Wardah</t>
  </si>
  <si>
    <t>08159644745</t>
  </si>
  <si>
    <t xml:space="preserve">alhamdulillah order </t>
  </si>
  <si>
    <t>2603D069</t>
  </si>
  <si>
    <t>Farah Bahreisy</t>
  </si>
  <si>
    <t>085715571072</t>
  </si>
  <si>
    <t>Mei atau Juni</t>
  </si>
  <si>
    <t>FU 15 April</t>
  </si>
  <si>
    <t>2603A034</t>
  </si>
  <si>
    <t>Utari</t>
  </si>
  <si>
    <t>082131035023‬</t>
  </si>
  <si>
    <t>Trip + yoga</t>
  </si>
  <si>
    <t>tidak ada kelanjutan. di fu tidak ada balasan</t>
  </si>
  <si>
    <t>https://docs.google.com/document/d/1yEYYflTAtV4uS7mL7WXQx1BbbTMBuye25vXeeTuY1OY/edit?usp=sharing</t>
  </si>
  <si>
    <t>2603A035</t>
  </si>
  <si>
    <t>Della</t>
  </si>
  <si>
    <t>081296160678‬</t>
  </si>
  <si>
    <t>tidak bales lagi</t>
  </si>
  <si>
    <t>2603A036</t>
  </si>
  <si>
    <t>Anie</t>
  </si>
  <si>
    <t>08157628944‬</t>
  </si>
  <si>
    <t>14-16 mei</t>
  </si>
  <si>
    <t>gada kelanjutan</t>
  </si>
  <si>
    <t>https://docs.google.com/document/d/1CyKrL_5-hiFqvLSGzshnXcHx7kwtdIOC5RjNuUy2iFI/edit?usp=sharing</t>
  </si>
  <si>
    <t>2603A037</t>
  </si>
  <si>
    <t>Nungky</t>
  </si>
  <si>
    <t>08113040099‬</t>
  </si>
  <si>
    <t>2603A038</t>
  </si>
  <si>
    <t>Mick</t>
  </si>
  <si>
    <t>‪+32491368865‬</t>
  </si>
  <si>
    <t>1D ijen</t>
  </si>
  <si>
    <t>2603A039</t>
  </si>
  <si>
    <t>Milen</t>
  </si>
  <si>
    <t>085121117005</t>
  </si>
  <si>
    <t>Outing</t>
  </si>
  <si>
    <t>24-26 april</t>
  </si>
  <si>
    <t>tidak jadi diselenggarakan di BWI</t>
  </si>
  <si>
    <t>https://docs.google.com/document/d/1Atv9cZ86fzq5YAs1oklAxNWkBH0mudpF4hNwyKoADTY/edit?usp=sharing</t>
  </si>
  <si>
    <t>2603A040</t>
  </si>
  <si>
    <t>erika</t>
  </si>
  <si>
    <t>087878283448‬</t>
  </si>
  <si>
    <t>2603A041</t>
  </si>
  <si>
    <t>Yuliana</t>
  </si>
  <si>
    <t>081331128788‬</t>
  </si>
  <si>
    <t>1Day trip</t>
  </si>
  <si>
    <t>guide fullbooked</t>
  </si>
  <si>
    <t>,2603A042</t>
  </si>
  <si>
    <t>dhesy</t>
  </si>
  <si>
    <t>085739541848‬</t>
  </si>
  <si>
    <t>1 day trip custom</t>
  </si>
  <si>
    <t>tidak jadi liburan</t>
  </si>
  <si>
    <t>https://docs.google.com/document/d/13PBvpOXEkr5-SRwEQySm2LE0rqChjcu8q81zVmn4yik/edit?usp=sharing</t>
  </si>
  <si>
    <t>2603D070</t>
  </si>
  <si>
    <t>Hilyana</t>
  </si>
  <si>
    <t>089689734707</t>
  </si>
  <si>
    <t xml:space="preserve">tidakk balas </t>
  </si>
  <si>
    <t>https://docs.google.com/document/d/1L2KFELN8aBEyQM7-PdDpQjkUT5S4_LFfFT4nxs9Ck00/edit?tab=t.0</t>
  </si>
  <si>
    <t>2603H019</t>
  </si>
  <si>
    <t>Nanin</t>
  </si>
  <si>
    <t>085269166524</t>
  </si>
  <si>
    <t>lewat tanggal tidak balas</t>
  </si>
  <si>
    <t>2603D071</t>
  </si>
  <si>
    <t>Geri</t>
  </si>
  <si>
    <t>085711392393</t>
  </si>
  <si>
    <t xml:space="preserve">3h2m </t>
  </si>
  <si>
    <t>akhir April</t>
  </si>
  <si>
    <t>https://docs.google.com/document/d/1zHT--hvn-tgSLgQfLe-HjO40cOFxyHIiL8h3DBcS0HM/edit?tab=t.0</t>
  </si>
  <si>
    <t>2603D072</t>
  </si>
  <si>
    <t>085943691514</t>
  </si>
  <si>
    <t>tidak ada jawaban, sudah lewat tanggal</t>
  </si>
  <si>
    <t>2603A043</t>
  </si>
  <si>
    <t>Firda</t>
  </si>
  <si>
    <t>081290621363‬</t>
  </si>
  <si>
    <t>package honeymoon 3H2M</t>
  </si>
  <si>
    <t>2603A044</t>
  </si>
  <si>
    <t>Dimas</t>
  </si>
  <si>
    <t>081297736447</t>
  </si>
  <si>
    <t>2H1M opsi D</t>
  </si>
  <si>
    <t>24-25 maret</t>
  </si>
  <si>
    <t>2603A045</t>
  </si>
  <si>
    <t>081280377799‬</t>
  </si>
  <si>
    <t>trip W,B</t>
  </si>
  <si>
    <t>gaada balesan</t>
  </si>
  <si>
    <t>2603A046</t>
  </si>
  <si>
    <t>Effi</t>
  </si>
  <si>
    <t>081249343718</t>
  </si>
  <si>
    <t>tidak jadi karena banyak destinasi tutup</t>
  </si>
  <si>
    <t>2603D073</t>
  </si>
  <si>
    <t>Mega</t>
  </si>
  <si>
    <t>085608866643</t>
  </si>
  <si>
    <t>25 26 27 Maret</t>
  </si>
  <si>
    <t>sudah fu, tidk jawab, gagal lewat tanggal</t>
  </si>
  <si>
    <t>2603D074</t>
  </si>
  <si>
    <t>Gieska</t>
  </si>
  <si>
    <t>081230996849</t>
  </si>
  <si>
    <t>tidak ada jawaban, gagal lewat tanggal</t>
  </si>
  <si>
    <t>2603D075</t>
  </si>
  <si>
    <t>hnanidaaaa</t>
  </si>
  <si>
    <t>082254426334</t>
  </si>
  <si>
    <t>2h1m</t>
  </si>
  <si>
    <t>bulan Mei</t>
  </si>
  <si>
    <t>tidak balassss</t>
  </si>
  <si>
    <t>https://docs.google.com/document/d/1V3orTRx2b4SEvBXNB5sgVwC5f6dRW-FPPdx6HGTv1YQ/edit?tab=t.0</t>
  </si>
  <si>
    <t>2603D076</t>
  </si>
  <si>
    <t>Nungky Ayu Paramita</t>
  </si>
  <si>
    <t>08113040099</t>
  </si>
  <si>
    <t>memastikan. dihandle mas Alvin</t>
  </si>
  <si>
    <t>2603D077</t>
  </si>
  <si>
    <t>Diana Livia</t>
  </si>
  <si>
    <t>08156011859</t>
  </si>
  <si>
    <t>1-5 April</t>
  </si>
  <si>
    <t>gagal, berganti trip jogja, keterbatasan waktu liburan</t>
  </si>
  <si>
    <t>2603H020</t>
  </si>
  <si>
    <t>Robby</t>
  </si>
  <si>
    <t xml:space="preserve"> 087785169652</t>
  </si>
  <si>
    <t xml:space="preserve">custom 4H3M </t>
  </si>
  <si>
    <t>22-26 Mei</t>
  </si>
  <si>
    <t>ga jadi katanya</t>
  </si>
  <si>
    <t>2603H021</t>
  </si>
  <si>
    <t>Cece Ayu</t>
  </si>
  <si>
    <t>088991164964</t>
  </si>
  <si>
    <t xml:space="preserve">1 day trip </t>
  </si>
  <si>
    <t xml:space="preserve">3/4 April </t>
  </si>
  <si>
    <t>sakit, tidak jadi trip</t>
  </si>
  <si>
    <t>2603D078</t>
  </si>
  <si>
    <t>Amalia Maharani Nuril</t>
  </si>
  <si>
    <t>081331073902</t>
  </si>
  <si>
    <t>hanya menyapa. tidak menjawab</t>
  </si>
  <si>
    <t>2603D079</t>
  </si>
  <si>
    <t>Slamet</t>
  </si>
  <si>
    <t>08561122172</t>
  </si>
  <si>
    <t>2603D080</t>
  </si>
  <si>
    <t>Mizts Hendry</t>
  </si>
  <si>
    <t>08113333576</t>
  </si>
  <si>
    <t>2h1m (djawatan, green island, baluran)</t>
  </si>
  <si>
    <t xml:space="preserve">22 23 Maret </t>
  </si>
  <si>
    <t>2603D081</t>
  </si>
  <si>
    <t>Rika Yulia</t>
  </si>
  <si>
    <t>085257411886</t>
  </si>
  <si>
    <t>one day trip bedil</t>
  </si>
  <si>
    <t>ganti plan ke Jogja</t>
  </si>
  <si>
    <t>2603H022</t>
  </si>
  <si>
    <t>Keiza</t>
  </si>
  <si>
    <t>081617779529</t>
  </si>
  <si>
    <t>paket custom I, M, T</t>
  </si>
  <si>
    <t xml:space="preserve">masih diskus sm keluarga </t>
  </si>
  <si>
    <t>2603H023</t>
  </si>
  <si>
    <t>Yose</t>
  </si>
  <si>
    <t>0816100262</t>
  </si>
  <si>
    <t xml:space="preserve">menyapa </t>
  </si>
  <si>
    <t>2603H024</t>
  </si>
  <si>
    <t>ZJT</t>
  </si>
  <si>
    <t>087870159618</t>
  </si>
  <si>
    <t>Hanya menyapa saja, tidak ada jawaban</t>
  </si>
  <si>
    <t>2603D082</t>
  </si>
  <si>
    <t>Veronica P</t>
  </si>
  <si>
    <t>089677622586</t>
  </si>
  <si>
    <t xml:space="preserve">Menjangan Baluran </t>
  </si>
  <si>
    <t>tidak ada kelanjutan, gagal lewat tanggal</t>
  </si>
  <si>
    <t>2603A047</t>
  </si>
  <si>
    <t>Rahman</t>
  </si>
  <si>
    <t>081223505020</t>
  </si>
  <si>
    <t xml:space="preserve">OT 3H2M </t>
  </si>
  <si>
    <t>2603A048</t>
  </si>
  <si>
    <t>Hanim</t>
  </si>
  <si>
    <t>0818588593</t>
  </si>
  <si>
    <t xml:space="preserve">tidak balas </t>
  </si>
  <si>
    <t>2603A049</t>
  </si>
  <si>
    <t>Lora</t>
  </si>
  <si>
    <t>081328298312</t>
  </si>
  <si>
    <t>trip 1d D, B</t>
  </si>
  <si>
    <t>2603A050</t>
  </si>
  <si>
    <t>Naufal</t>
  </si>
  <si>
    <t>082242394571</t>
  </si>
  <si>
    <t>gajadi</t>
  </si>
  <si>
    <t>https://docs.google.com/document/d/1iwvos4ukbIhbx_5xESDYw6sO8W7jJRhIArHeAH_3D5M/edit?usp=sharing</t>
  </si>
  <si>
    <t>2603H025</t>
  </si>
  <si>
    <t>Ary</t>
  </si>
  <si>
    <t>081292929829</t>
  </si>
  <si>
    <t>2603D083</t>
  </si>
  <si>
    <t>carmaylinna</t>
  </si>
  <si>
    <t>082233434696</t>
  </si>
  <si>
    <t>tidak ada jawaban, sdh diberikan tawaran tanggal lain</t>
  </si>
  <si>
    <t>2603D084</t>
  </si>
  <si>
    <t>Sahat M.Manik</t>
  </si>
  <si>
    <t>08111119540</t>
  </si>
  <si>
    <t>snorkling</t>
  </si>
  <si>
    <t xml:space="preserve">sudah dapat trip lain </t>
  </si>
  <si>
    <t>2603D085</t>
  </si>
  <si>
    <t>Farahdinta</t>
  </si>
  <si>
    <t>081315681977</t>
  </si>
  <si>
    <t xml:space="preserve">Djabal </t>
  </si>
  <si>
    <t>2603D086</t>
  </si>
  <si>
    <t>Kyy</t>
  </si>
  <si>
    <t>089676415755</t>
  </si>
  <si>
    <t>tannggal tidak bisa</t>
  </si>
  <si>
    <t>2603D087</t>
  </si>
  <si>
    <t>Abel</t>
  </si>
  <si>
    <t>081703445500</t>
  </si>
  <si>
    <t>djawatan, muustika, bedil, green wedi ireng</t>
  </si>
  <si>
    <t>2603H026</t>
  </si>
  <si>
    <t>088242778250</t>
  </si>
  <si>
    <t>tanya travel penjemputan tangerang</t>
  </si>
  <si>
    <t>2603D088</t>
  </si>
  <si>
    <t>Ajikk</t>
  </si>
  <si>
    <t>085881851846</t>
  </si>
  <si>
    <t>2h1m custom</t>
  </si>
  <si>
    <t>2603D089</t>
  </si>
  <si>
    <t>Ridwan</t>
  </si>
  <si>
    <t>081973724104</t>
  </si>
  <si>
    <t xml:space="preserve">2h1m Baluran </t>
  </si>
  <si>
    <t xml:space="preserve">25 26 Maret </t>
  </si>
  <si>
    <t>tidak ada kelanjutan, lewat tanggal</t>
  </si>
  <si>
    <t xml:space="preserve">2603A051 </t>
  </si>
  <si>
    <t>Affan</t>
  </si>
  <si>
    <t>085655722271</t>
  </si>
  <si>
    <t>blm minat OT, pengennya Priv Trip</t>
  </si>
  <si>
    <t>2603A052</t>
  </si>
  <si>
    <t>081330104625</t>
  </si>
  <si>
    <t>2603A053</t>
  </si>
  <si>
    <t>Farrah</t>
  </si>
  <si>
    <t>082117932324</t>
  </si>
  <si>
    <t>2603A054</t>
  </si>
  <si>
    <t>Soraya</t>
  </si>
  <si>
    <t>085839925828</t>
  </si>
  <si>
    <t>Alhamdulillah</t>
  </si>
  <si>
    <t>2603A055</t>
  </si>
  <si>
    <t>Amalia Ridhawati</t>
  </si>
  <si>
    <t>081959744329</t>
  </si>
  <si>
    <t>Wurung Baluran</t>
  </si>
  <si>
    <t>2603A056</t>
  </si>
  <si>
    <t>Reyzan</t>
  </si>
  <si>
    <t>085158096108</t>
  </si>
  <si>
    <t>ga bales lagi</t>
  </si>
  <si>
    <t>2603A057</t>
  </si>
  <si>
    <t>1D Trip</t>
  </si>
  <si>
    <t>20-23 Maret</t>
  </si>
  <si>
    <t>2603A058</t>
  </si>
  <si>
    <t>Joseph Ferdinand</t>
  </si>
  <si>
    <t>087729390111</t>
  </si>
  <si>
    <t>24-26 Maret</t>
  </si>
  <si>
    <t>include votel manyar, 2 orang hanya ikut day 1, d2 &amp; d3 8 orang yang trip</t>
  </si>
  <si>
    <t>2603D090</t>
  </si>
  <si>
    <t>Kartika Eliyandari</t>
  </si>
  <si>
    <t>085643613528</t>
  </si>
  <si>
    <t>https://docs.google.com/document/d/1GQ-gB6RLaTJ3SbxgOJK99AU6IzHO5r6UQlrsJyaZSNM/edit?tab=t.0</t>
  </si>
  <si>
    <t>2603D091</t>
  </si>
  <si>
    <t>Moru</t>
  </si>
  <si>
    <t>085780135199</t>
  </si>
  <si>
    <t>hanya menyapa, tidak menjawab</t>
  </si>
  <si>
    <t>2603H027</t>
  </si>
  <si>
    <t>Rosa</t>
  </si>
  <si>
    <t>08111209639</t>
  </si>
  <si>
    <t xml:space="preserve">gajadi </t>
  </si>
  <si>
    <t>2603D092</t>
  </si>
  <si>
    <t>love ungu</t>
  </si>
  <si>
    <t>085168936337</t>
  </si>
  <si>
    <t>sdh pulang dr banyuwangi</t>
  </si>
  <si>
    <t>2603D093</t>
  </si>
  <si>
    <t>Aisyah Aulia</t>
  </si>
  <si>
    <t>0895363638105</t>
  </si>
  <si>
    <t>sudah FU, ga balesss</t>
  </si>
  <si>
    <t>https://docs.google.com/document/d/1poLmlCEHG7XWRuGIvRV3OpZQjReiu01uC4u7uztG-KU/edit?tab=t.0</t>
  </si>
  <si>
    <t>2603D094</t>
  </si>
  <si>
    <t>Claudia Putri Siregar</t>
  </si>
  <si>
    <t>08999021457</t>
  </si>
  <si>
    <t>tidak balas, gagal lewat taggal</t>
  </si>
  <si>
    <t>https://docs.google.com/document/d/1rkf52aNbSGvG3l7RqQmVjlrGE7XMoTt_4zmWC6P3klM/edit?tab=t.0</t>
  </si>
  <si>
    <t>2603D095</t>
  </si>
  <si>
    <t>Rifqi Athallah</t>
  </si>
  <si>
    <t>085645602833</t>
  </si>
  <si>
    <t>tidak jadi dalam waktu dekat</t>
  </si>
  <si>
    <t>https://docs.google.com/document/d/1pklc54rNUj4xRDIS8HV-QSlbFJ3cKJCTZ8RLmJXieSs/edit?tab=t.0</t>
  </si>
  <si>
    <t>2603D096</t>
  </si>
  <si>
    <t>0895405358348</t>
  </si>
  <si>
    <t>2603D097</t>
  </si>
  <si>
    <t>Hendro Wang</t>
  </si>
  <si>
    <t>082230515188</t>
  </si>
  <si>
    <t xml:space="preserve">one day trip pm </t>
  </si>
  <si>
    <t>22/23 maret</t>
  </si>
  <si>
    <t xml:space="preserve">sudah full booked </t>
  </si>
  <si>
    <t>2603D098</t>
  </si>
  <si>
    <t>Lukas Andrew</t>
  </si>
  <si>
    <t>082132322747</t>
  </si>
  <si>
    <t>ot menjangan tabuhan</t>
  </si>
  <si>
    <t xml:space="preserve">1 atau 2 April </t>
  </si>
  <si>
    <t>gagal lewat tanggal</t>
  </si>
  <si>
    <t>https://docs.google.com/document/d/15qkuA-TZio0KA-pE5Dvhy_8cmwsIwJXZRuRvcGHQosI/edit?tab=t.0</t>
  </si>
  <si>
    <t>2603D099</t>
  </si>
  <si>
    <t>Susie Koo</t>
  </si>
  <si>
    <t>0811258778</t>
  </si>
  <si>
    <t>pasti ke BWI tp belum tau kapan, mau ke china dulu</t>
  </si>
  <si>
    <t>https://docs.google.com/document/d/1NpmPjznKr8eOu33mzvIpT7C6knljoTf898xomYMjUro/edit?tab=t.0</t>
  </si>
  <si>
    <t>2603A059</t>
  </si>
  <si>
    <t>Jassoon</t>
  </si>
  <si>
    <t>085692669956</t>
  </si>
  <si>
    <t>Trip I, B, PB, Alas prwo</t>
  </si>
  <si>
    <t>21-22 maret</t>
  </si>
  <si>
    <t>gagal karna full book dan dadakan</t>
  </si>
  <si>
    <t>2603A060</t>
  </si>
  <si>
    <t>Lavita</t>
  </si>
  <si>
    <t>082139029314</t>
  </si>
  <si>
    <t>Trip B, D, M</t>
  </si>
  <si>
    <t>https://docs.google.com/document/d/1bWbEcNAAr9XMhhtrdum94C20FUPSCHL6kZSbW3MZH4k/edit?usp=sharing</t>
  </si>
  <si>
    <t>2603A061</t>
  </si>
  <si>
    <t>Nanda</t>
  </si>
  <si>
    <t>081385271542</t>
  </si>
  <si>
    <t>tanya sewa motor</t>
  </si>
  <si>
    <t>2603D100</t>
  </si>
  <si>
    <t>Revinsa</t>
  </si>
  <si>
    <t>081317000071</t>
  </si>
  <si>
    <t>2603A062</t>
  </si>
  <si>
    <t>Fatim</t>
  </si>
  <si>
    <t>085700662935</t>
  </si>
  <si>
    <t>Trip yg tersedia</t>
  </si>
  <si>
    <t>2603D101</t>
  </si>
  <si>
    <t>Risa</t>
  </si>
  <si>
    <t>082122906213</t>
  </si>
  <si>
    <t>3h2m opsi a</t>
  </si>
  <si>
    <t xml:space="preserve">awal Mei </t>
  </si>
  <si>
    <t>sudah FU ga ada balasann</t>
  </si>
  <si>
    <t>https://docs.google.com/document/d/1thtwV5znaS5XYCKBHnTVhEIrxg978zuoGDeOj2bHom8/edit?tab=t.0</t>
  </si>
  <si>
    <t>2603A063</t>
  </si>
  <si>
    <t>Asha</t>
  </si>
  <si>
    <t>085876052620</t>
  </si>
  <si>
    <t>Trip M, T</t>
  </si>
  <si>
    <t>Full Booked</t>
  </si>
  <si>
    <t>2603D102</t>
  </si>
  <si>
    <t>Anindya Luthfi S</t>
  </si>
  <si>
    <t>081247738886</t>
  </si>
  <si>
    <t xml:space="preserve">3h2m opsi a </t>
  </si>
  <si>
    <t>24-27 maret 2026</t>
  </si>
  <si>
    <t>sdh fu, tidak ada jawaban, gagal lewat taggal</t>
  </si>
  <si>
    <t>2603A064</t>
  </si>
  <si>
    <t>Mariska</t>
  </si>
  <si>
    <t>08813229259</t>
  </si>
  <si>
    <t>3H2M Everyday</t>
  </si>
  <si>
    <t>masih cek ketersediaan</t>
  </si>
  <si>
    <t>2603A065</t>
  </si>
  <si>
    <t>Tiara</t>
  </si>
  <si>
    <t>082231220446</t>
  </si>
  <si>
    <t>2603A066</t>
  </si>
  <si>
    <t>082388994261</t>
  </si>
  <si>
    <t>FUll Booked</t>
  </si>
  <si>
    <t>2603A067</t>
  </si>
  <si>
    <t>Nala</t>
  </si>
  <si>
    <t>081283022336</t>
  </si>
  <si>
    <t>Trip W</t>
  </si>
  <si>
    <t>2603A068</t>
  </si>
  <si>
    <t>Apri</t>
  </si>
  <si>
    <t>Awal mei</t>
  </si>
  <si>
    <t>sdh fu gada jawaban</t>
  </si>
  <si>
    <t>https://docs.google.com/document/d/1JRyfC1kx7oC3n22QwRQLt7_us6MB85SRPjLwGAMwBEE/edit?usp=sharing</t>
  </si>
  <si>
    <t>2603A069</t>
  </si>
  <si>
    <t>Theo</t>
  </si>
  <si>
    <t>081322307227</t>
  </si>
  <si>
    <t>2603H028</t>
  </si>
  <si>
    <t>Aurelia</t>
  </si>
  <si>
    <t>089654354284</t>
  </si>
  <si>
    <t>Trip alas purwo</t>
  </si>
  <si>
    <t xml:space="preserve">full booked </t>
  </si>
  <si>
    <t>2603D103</t>
  </si>
  <si>
    <t>sonny</t>
  </si>
  <si>
    <t>08122881781</t>
  </si>
  <si>
    <t>tabuhan menjangan</t>
  </si>
  <si>
    <t xml:space="preserve">fullbooked </t>
  </si>
  <si>
    <t>2603A070</t>
  </si>
  <si>
    <t>Gina</t>
  </si>
  <si>
    <t>081277714893‬</t>
  </si>
  <si>
    <t>guide dan transport saja,sdh Full booked</t>
  </si>
  <si>
    <t>2603H029</t>
  </si>
  <si>
    <t>Siti Aisah</t>
  </si>
  <si>
    <t>085229861829</t>
  </si>
  <si>
    <t xml:space="preserve">tanya travel </t>
  </si>
  <si>
    <t>2603H030</t>
  </si>
  <si>
    <t>Arnold</t>
  </si>
  <si>
    <t>08989068488</t>
  </si>
  <si>
    <t xml:space="preserve">trip menjangan </t>
  </si>
  <si>
    <t>2603A071</t>
  </si>
  <si>
    <t>Vina</t>
  </si>
  <si>
    <t>‪088227004534‬</t>
  </si>
  <si>
    <t>Trip menjangan</t>
  </si>
  <si>
    <t>fullbooked</t>
  </si>
  <si>
    <t>2603D104</t>
  </si>
  <si>
    <t>no name</t>
  </si>
  <si>
    <t>081233967366</t>
  </si>
  <si>
    <t>2603D105</t>
  </si>
  <si>
    <t>alita</t>
  </si>
  <si>
    <t>0818335909</t>
  </si>
  <si>
    <t xml:space="preserve">hanya menyapa. </t>
  </si>
  <si>
    <t>https://docs.google.com/document/d/1BgXKXWReknvsaVDha8u_CC2HO3oT8_bO3Bgg3JZIUMI/edit?tab=t.0</t>
  </si>
  <si>
    <t>2603D106</t>
  </si>
  <si>
    <t>085641517949</t>
  </si>
  <si>
    <t>2603D107</t>
  </si>
  <si>
    <t>Yusuf YF</t>
  </si>
  <si>
    <t>085853080073</t>
  </si>
  <si>
    <t>2h1m pelepasan tukik</t>
  </si>
  <si>
    <t>pelepasan penyu, belum tersedia. lain kali</t>
  </si>
  <si>
    <t>2603D108</t>
  </si>
  <si>
    <t>dianar</t>
  </si>
  <si>
    <t>085693302022</t>
  </si>
  <si>
    <t xml:space="preserve">wurung - Djawatan </t>
  </si>
  <si>
    <t>2603D109</t>
  </si>
  <si>
    <t>SHSUTANTO</t>
  </si>
  <si>
    <t>0817340040</t>
  </si>
  <si>
    <t>27 atau 28 april</t>
  </si>
  <si>
    <t>sudah FU tidak ada balasan</t>
  </si>
  <si>
    <t>https://docs.google.com/document/d/1BScTqXtBpVmHyV0rwDE7lm9BgAh5V5avOqfvqx7BwdQ/edit?tab=t.0</t>
  </si>
  <si>
    <t>2603D110</t>
  </si>
  <si>
    <t>Fit Ummu Kenzie</t>
  </si>
  <si>
    <t>081214842048</t>
  </si>
  <si>
    <t>gaa bales lagi</t>
  </si>
  <si>
    <t>2603D111</t>
  </si>
  <si>
    <t>Yusmianto Use</t>
  </si>
  <si>
    <t>081460004147</t>
  </si>
  <si>
    <t xml:space="preserve">trip 1d teluk ijo </t>
  </si>
  <si>
    <t>ALHAMDULILLAH ORDER LAGIII</t>
  </si>
  <si>
    <t>https://docs.google.com/document/d/1HiIhsYUVmorMXWR0uY0zfQHqNuTwlJP0ErjaqLpV__U/edit?tab=t.0</t>
  </si>
  <si>
    <t>2603A072</t>
  </si>
  <si>
    <t>Jumadi</t>
  </si>
  <si>
    <t>081329379133</t>
  </si>
  <si>
    <t>TN Baluran</t>
  </si>
  <si>
    <t>Jeep Fullbooked</t>
  </si>
  <si>
    <t>2603A073</t>
  </si>
  <si>
    <t>6591642479</t>
  </si>
  <si>
    <t>menunggu barengan OT</t>
  </si>
  <si>
    <t>2603A074</t>
  </si>
  <si>
    <t>Rizal</t>
  </si>
  <si>
    <t>08133316528</t>
  </si>
  <si>
    <t>30-1 mei</t>
  </si>
  <si>
    <t>centang 1, ga bales lagi</t>
  </si>
  <si>
    <t>2603A075</t>
  </si>
  <si>
    <t>Rofik</t>
  </si>
  <si>
    <t>081335689977</t>
  </si>
  <si>
    <t>2603A076</t>
  </si>
  <si>
    <t>Dj, TN B</t>
  </si>
  <si>
    <t>2603A077</t>
  </si>
  <si>
    <t>Dimas Bimayakti</t>
  </si>
  <si>
    <t>081233350666</t>
  </si>
  <si>
    <t>2603A078</t>
  </si>
  <si>
    <t>Nosi</t>
  </si>
  <si>
    <t>085808356934</t>
  </si>
  <si>
    <t>diskusi tanggal, fu mei</t>
  </si>
  <si>
    <t>https://docs.google.com/document/d/1KVtMRAowJ8myc7_jm588z2AFelwGA1NWrGqNGhdcD_Y/edit?usp=sharing</t>
  </si>
  <si>
    <t>2603A079</t>
  </si>
  <si>
    <t>Gita</t>
  </si>
  <si>
    <t>081385759664</t>
  </si>
  <si>
    <t>Ijen, Tn B</t>
  </si>
  <si>
    <t>14,15 Mei</t>
  </si>
  <si>
    <t>https://docs.google.com/document/d/1b1u9Bt1He2Mo5aXyEn-_ikqX0tMdouiX-GLsvkdUHHw/edit?usp=sharing</t>
  </si>
  <si>
    <t>2603A080</t>
  </si>
  <si>
    <t>Willy</t>
  </si>
  <si>
    <t>083109605882</t>
  </si>
  <si>
    <t>2603A081</t>
  </si>
  <si>
    <t>Nur Hayati</t>
  </si>
  <si>
    <t>081128889698</t>
  </si>
  <si>
    <t>Saudara tamu Aisyah</t>
  </si>
  <si>
    <t>2603A082</t>
  </si>
  <si>
    <t>Anna Rozaq</t>
  </si>
  <si>
    <t>08122860749</t>
  </si>
  <si>
    <t>ALHAMDULILLAH</t>
  </si>
  <si>
    <t>2603A083</t>
  </si>
  <si>
    <t>Jerick</t>
  </si>
  <si>
    <t>081227576654</t>
  </si>
  <si>
    <t>11-12 april</t>
  </si>
  <si>
    <t>https://docs.google.com/document/d/1JSINNaWFr_ZkP7csCGIZsC45LOomiRGplMqXsufS4lI/edit?usp=sharing</t>
  </si>
  <si>
    <t>2603A084</t>
  </si>
  <si>
    <t>Citra</t>
  </si>
  <si>
    <t>085179972674</t>
  </si>
  <si>
    <t>1-3 April</t>
  </si>
  <si>
    <t>2603A085</t>
  </si>
  <si>
    <t>Eas</t>
  </si>
  <si>
    <t>088227226909</t>
  </si>
  <si>
    <t>6-8 April</t>
  </si>
  <si>
    <t>2603D112</t>
  </si>
  <si>
    <t>Trulli</t>
  </si>
  <si>
    <t>085731608891</t>
  </si>
  <si>
    <t>hanya menyapa saja, tidak ada jawaban</t>
  </si>
  <si>
    <t>2603D113</t>
  </si>
  <si>
    <t>Fitri Kartikasari</t>
  </si>
  <si>
    <t>085183106701</t>
  </si>
  <si>
    <t>hanya menyapa saja</t>
  </si>
  <si>
    <t>2603D114</t>
  </si>
  <si>
    <t xml:space="preserve">Dina Rizkia Iskandar </t>
  </si>
  <si>
    <t>085885424452</t>
  </si>
  <si>
    <t xml:space="preserve">Menjangan Tabuhan </t>
  </si>
  <si>
    <t>2603D115</t>
  </si>
  <si>
    <t>Rina Marlina</t>
  </si>
  <si>
    <t>085779848323</t>
  </si>
  <si>
    <t>9 10 April</t>
  </si>
  <si>
    <t>sudah daftar di agent lain</t>
  </si>
  <si>
    <t>2603D116</t>
  </si>
  <si>
    <t>CC U&amp;I PRODUCT &amp; CONTRACTING (RUTH)</t>
  </si>
  <si>
    <t>081519307720</t>
  </si>
  <si>
    <t>10 12 juni</t>
  </si>
  <si>
    <t xml:space="preserve">fu 20 mei </t>
  </si>
  <si>
    <t>https://docs.google.com/document/d/1bWDLC_S1dDdqUJIl6l8SadiOJ_wEc2KGgd1yRhuL91c/edit?tab=t.0</t>
  </si>
  <si>
    <t>2603D117</t>
  </si>
  <si>
    <t>ERP Ninis</t>
  </si>
  <si>
    <t>081325285117</t>
  </si>
  <si>
    <t xml:space="preserve">3-5 April </t>
  </si>
  <si>
    <t>belum jadi untuk saat ini</t>
  </si>
  <si>
    <t>https://docs.google.com/document/d/1DMMts7_QbzPyB1W58DRSGL4WPjjxYmk128R6KzvFYrU/edit?tab=t.0</t>
  </si>
  <si>
    <t>2603A086</t>
  </si>
  <si>
    <t>Maulana</t>
  </si>
  <si>
    <t>085159991579‬</t>
  </si>
  <si>
    <t>14-16 juni</t>
  </si>
  <si>
    <t>https://docs.google.com/document/d/1q4M2dhYvM6hMcAIAESXQStHGp13E9wvTJvt2vC_5Pg0/edit?usp=sharing</t>
  </si>
  <si>
    <t>2603A087</t>
  </si>
  <si>
    <t>Hasan</t>
  </si>
  <si>
    <t>081515607686</t>
  </si>
  <si>
    <t>2603D118</t>
  </si>
  <si>
    <t>Fadzilah Fadjar</t>
  </si>
  <si>
    <t>081371900435</t>
  </si>
  <si>
    <t>orderr</t>
  </si>
  <si>
    <t>https://docs.google.com/document/d/1VPgo7XKuoTR4N0OdQnG73oienUtNQfE4-AdhXN21WHc/edit?tab=t.0</t>
  </si>
  <si>
    <t>2603D119</t>
  </si>
  <si>
    <t>085883174655</t>
  </si>
  <si>
    <t>FU 3 Juni</t>
  </si>
  <si>
    <t>https://docs.google.com/document/d/196Sv2BVHhpvzaSjUz7JM9ou9oQ7qXN_KszUVGpjnL5Q/edit?tab=t.0</t>
  </si>
  <si>
    <t>2603D120</t>
  </si>
  <si>
    <t>Mizdaaa</t>
  </si>
  <si>
    <t>085752315174</t>
  </si>
  <si>
    <t>https://docs.google.com/document/d/1f3hRHCZqueHPNaTgFUOhJNoTFlQn5jfmB6CWEv2oyto/edit?tab=t.0</t>
  </si>
  <si>
    <t>2603D121</t>
  </si>
  <si>
    <t>bungaa</t>
  </si>
  <si>
    <t>089675814346</t>
  </si>
  <si>
    <t>sudah FU tidak balass</t>
  </si>
  <si>
    <t>https://docs.google.com/document/d/1vwglbjajmwgPde8hLTU28mP5WOy0Xpq6FsriFihN_RU/edit?tab=t.0#heading=h.37ziu0z3fkpm</t>
  </si>
  <si>
    <t>2603D122</t>
  </si>
  <si>
    <t>altino</t>
  </si>
  <si>
    <t>081250683017</t>
  </si>
  <si>
    <t>ot ijen</t>
  </si>
  <si>
    <t>lewat tanggal, gada balasan</t>
  </si>
  <si>
    <t>2603D123</t>
  </si>
  <si>
    <t>Al Hasan</t>
  </si>
  <si>
    <t>085784092260</t>
  </si>
  <si>
    <t>26-28 maret</t>
  </si>
  <si>
    <t>sdh dapat yg sesuai</t>
  </si>
  <si>
    <t>2603H031</t>
  </si>
  <si>
    <t>Selvi</t>
  </si>
  <si>
    <t>085782512477</t>
  </si>
  <si>
    <t>29-30 Mei</t>
  </si>
  <si>
    <t>cancel. tidak memberi alasan</t>
  </si>
  <si>
    <t>https://docs.google.com/document/d/141DmAKKoyjeNnEJnays8YR6kSYNpWrzCtC4XzebfUYM/edit?usp=drivesdk</t>
  </si>
  <si>
    <t>2603A088</t>
  </si>
  <si>
    <t>Ima</t>
  </si>
  <si>
    <t>13654803212</t>
  </si>
  <si>
    <t>1D trip B</t>
  </si>
  <si>
    <t>2603D124</t>
  </si>
  <si>
    <t>Akbar Daulay</t>
  </si>
  <si>
    <t>087886639535</t>
  </si>
  <si>
    <t>2603D125</t>
  </si>
  <si>
    <t>Gina Almirah</t>
  </si>
  <si>
    <t>082157964277</t>
  </si>
  <si>
    <t>alhamdulillah order, for honeymoon</t>
  </si>
  <si>
    <t>https://docs.google.com/document/d/19Wcv5Zzsaq41N9o0lu1qBCUqPE_VD86GPVzZYrSIprA/edit?tab=t.0</t>
  </si>
  <si>
    <t>2603A089</t>
  </si>
  <si>
    <t>Ky</t>
  </si>
  <si>
    <t>08977155877</t>
  </si>
  <si>
    <t xml:space="preserve">1D trip </t>
  </si>
  <si>
    <t>2603H032</t>
  </si>
  <si>
    <t>Nia</t>
  </si>
  <si>
    <t>full day trip</t>
  </si>
  <si>
    <t>ditunda dulu abis melahirkan</t>
  </si>
  <si>
    <t>2603D126</t>
  </si>
  <si>
    <t>Sugianto</t>
  </si>
  <si>
    <t>081213084515</t>
  </si>
  <si>
    <t xml:space="preserve">one day trip </t>
  </si>
  <si>
    <t>gagal, tidak membalas, lewat tanggal</t>
  </si>
  <si>
    <t>https://docs.google.com/document/d/1knTzA2rx597xhY379P2qm7UoJOJAEECdfkG8v8Z9Brk/edit?tab=t.0</t>
  </si>
  <si>
    <t>2603D127</t>
  </si>
  <si>
    <t>Dftm</t>
  </si>
  <si>
    <t>085727267198</t>
  </si>
  <si>
    <t>ingin rental mobil saja</t>
  </si>
  <si>
    <t>2603D128</t>
  </si>
  <si>
    <t xml:space="preserve">YayaMaria </t>
  </si>
  <si>
    <t>0877000897770</t>
  </si>
  <si>
    <t>one day trip teluk ijo</t>
  </si>
  <si>
    <t>sdh ke teluk ijo</t>
  </si>
  <si>
    <t>https://docs.google.com/document/d/1U1YEWdYwd_w9gSEbRFPOO96ZYGCXCFi1W6Ee4rtcm20/edit?tab=t.0</t>
  </si>
  <si>
    <t>2603D129</t>
  </si>
  <si>
    <t>Elzha</t>
  </si>
  <si>
    <t>08881383969</t>
  </si>
  <si>
    <t>Private Trip Djabal</t>
  </si>
  <si>
    <t>sdh fu 5 kali tidak bales</t>
  </si>
  <si>
    <t>https://docs.google.com/document/d/1nl0bOAyUAWZYDySnobqRQUsbrIsrPaMo_ne2s4SJq64/edit?tab=t.0</t>
  </si>
  <si>
    <t>2603H033</t>
  </si>
  <si>
    <t>Wiwit</t>
  </si>
  <si>
    <t>081776091975</t>
  </si>
  <si>
    <t>budget belum cukup untuk transportasi dll</t>
  </si>
  <si>
    <t>https://docs.google.com/document/d/1SjBn-fM4OuWxWi_Qbdz7ocTzZJWUDDCZX3mFAY4fQ9U/edit?usp=drivesdk</t>
  </si>
  <si>
    <t>2603D130</t>
  </si>
  <si>
    <t>Fanny Nur Hidayah</t>
  </si>
  <si>
    <t>085870662706</t>
  </si>
  <si>
    <t>tidakk balass</t>
  </si>
  <si>
    <t>https://docs.google.com/document/d/1MP075bjEdT6KIvGm2pSURrTfcNe-a0JEFIUc_YhZ7IU/edit?tab=t.0</t>
  </si>
  <si>
    <t>2603D131</t>
  </si>
  <si>
    <t>Eliza</t>
  </si>
  <si>
    <t>085775530781</t>
  </si>
  <si>
    <t>open trip</t>
  </si>
  <si>
    <t>bulan April</t>
  </si>
  <si>
    <t>tidak balas lagiii</t>
  </si>
  <si>
    <t>https://docs.google.com/document/d/1QxNtkCHXkIexJBMZwL7Ho94bhdTlJZzzfE56ZfazSmE/edit?tab=t.0</t>
  </si>
  <si>
    <t>2603D132</t>
  </si>
  <si>
    <t>Bahrul Ulum</t>
  </si>
  <si>
    <t>082226300034</t>
  </si>
  <si>
    <t>1d pulau merah</t>
  </si>
  <si>
    <t>badan kecapekan</t>
  </si>
  <si>
    <t>2603H034</t>
  </si>
  <si>
    <t>Whiesa</t>
  </si>
  <si>
    <t>0895351124523</t>
  </si>
  <si>
    <t>Private trip Baluran</t>
  </si>
  <si>
    <t>2603A090</t>
  </si>
  <si>
    <t>Maria Fransisca</t>
  </si>
  <si>
    <t>085939380996</t>
  </si>
  <si>
    <t>OT Ijen, TN B</t>
  </si>
  <si>
    <t>https://docs.google.com/document/d/1EVLEWy5B80D9RlbiQLsSHh9HrZoLwLyZJGF-K-4xPF8/edit?usp=sharing</t>
  </si>
  <si>
    <t>2603A091</t>
  </si>
  <si>
    <t>CC Jaqline</t>
  </si>
  <si>
    <t>08113491029</t>
  </si>
  <si>
    <t>Private Trip 3H2M Custome</t>
  </si>
  <si>
    <t>16-19 april</t>
  </si>
  <si>
    <t>https://docs.google.com/document/d/153Fp-8Qar5uCr7-Ed1uVKCbe0MJ84rnUE1lrkKsc2yk/edit?usp=sharing</t>
  </si>
  <si>
    <t>2603A092</t>
  </si>
  <si>
    <t>Shafna</t>
  </si>
  <si>
    <t>ada suatu hal</t>
  </si>
  <si>
    <t>https://docs.google.com/document/d/15DUkcLQ98t1kI_XRvDXVyv1uxYRnuHTwaBqkGts8Xqo/edit?usp=sharing</t>
  </si>
  <si>
    <t>2603A093</t>
  </si>
  <si>
    <t>081225546717</t>
  </si>
  <si>
    <t>2603D133</t>
  </si>
  <si>
    <t>Reendiana</t>
  </si>
  <si>
    <t>085730017788</t>
  </si>
  <si>
    <t>2H1M Custome</t>
  </si>
  <si>
    <t xml:space="preserve">9-10 April </t>
  </si>
  <si>
    <t>https://docs.google.com/document/d/1cmgH7qVzkRdmK8pnAn9E6L2Epe24jAkxkkHjH2J0qR0/edit?tab=t.0</t>
  </si>
  <si>
    <t>2603D134</t>
  </si>
  <si>
    <t>Yeni</t>
  </si>
  <si>
    <t>083122244376</t>
  </si>
  <si>
    <t>Green Island</t>
  </si>
  <si>
    <t>https://docs.google.com/document/d/1lnI7NGkIOtGPC8yQBMcRxYNS0k1t8q2ItmmQtnlcwaE/edit?tab=t.0</t>
  </si>
  <si>
    <t>2603A094</t>
  </si>
  <si>
    <t>Tuti Hernawati</t>
  </si>
  <si>
    <t>08122006220</t>
  </si>
  <si>
    <t>2603A095</t>
  </si>
  <si>
    <t>Afif</t>
  </si>
  <si>
    <t>085138016373</t>
  </si>
  <si>
    <t>Privat Trip  2H1M Custome</t>
  </si>
  <si>
    <t>31 maret-1 april</t>
  </si>
  <si>
    <t>belum deal sm istri</t>
  </si>
  <si>
    <t>2603H035</t>
  </si>
  <si>
    <t>Wardah (Fathia)</t>
  </si>
  <si>
    <t>0895365134371</t>
  </si>
  <si>
    <t>2603H036</t>
  </si>
  <si>
    <t>Mely</t>
  </si>
  <si>
    <t>087775555912</t>
  </si>
  <si>
    <t>private trip Ijen</t>
  </si>
  <si>
    <t>sdh fu, gada jawaban</t>
  </si>
  <si>
    <t>https://docs.google.com/document/d/1dacpLVYd3LrhrmtBfdnJNFoHBfPQwrHHfiYiCrYGvIQ/edit?usp=drivesdk</t>
  </si>
  <si>
    <t>2603H037</t>
  </si>
  <si>
    <t>Toni</t>
  </si>
  <si>
    <t>081314571743</t>
  </si>
  <si>
    <t>sdh selesai trip</t>
  </si>
  <si>
    <t>https://docs.google.com/document/d/19iygmhEtsGSPuQJzLQFW2mNEhxGk_cO6HxpbkxoGPsc/edit?usp=drivesdk</t>
  </si>
  <si>
    <t>2603D135</t>
  </si>
  <si>
    <t>Agus PT TIGA PUTRA MULTIKREASI</t>
  </si>
  <si>
    <t>0818878398</t>
  </si>
  <si>
    <t>trip pantai hutan</t>
  </si>
  <si>
    <t>blm deal jadi ke bwi atau ke jogjal</t>
  </si>
  <si>
    <t>https://docs.google.com/document/d/1paOhTqvwC0KJHC6YWeQhYRygzeaGqjyy5pfncIYVeWQ/edit?tab=t.0</t>
  </si>
  <si>
    <t>2603D136</t>
  </si>
  <si>
    <t>Ischaq Sumartonohadji</t>
  </si>
  <si>
    <t>08121200813</t>
  </si>
  <si>
    <t>one day trip baluran</t>
  </si>
  <si>
    <t>https://docs.google.com/document/d/1GJDEqMFX1sxlca8uw5uy9rgB_hY2so4CA5FKZuhs5uQ/edit?tab=t.0</t>
  </si>
  <si>
    <t>2603H038</t>
  </si>
  <si>
    <t>Lan Nio</t>
  </si>
  <si>
    <t>085946474149</t>
  </si>
  <si>
    <t xml:space="preserve">1 day I,KW,D </t>
  </si>
  <si>
    <t>gajadi ke bwi, alasan tdk diketahui</t>
  </si>
  <si>
    <t>https://docs.google.com/document/d/1FQseOsrUtMKqMo20kGLHNKvZluKCNZ1lApZEDKDG63E/edit?usp=drivesdk</t>
  </si>
  <si>
    <t>2603H039</t>
  </si>
  <si>
    <t>082257033370</t>
  </si>
  <si>
    <t>2603D137</t>
  </si>
  <si>
    <t>Wina Bunda Lila</t>
  </si>
  <si>
    <t>0813106295776</t>
  </si>
  <si>
    <t>Juni /Juli</t>
  </si>
  <si>
    <t>FU lagi 17 Mei</t>
  </si>
  <si>
    <t>https://docs.google.com/document/d/1tScJgq0LFTGK-9y3qRP8nSzpLJwxFlWml9gSP56CN-k/edit?tab=t.0#heading=h.a9kqk3xbyygu</t>
  </si>
  <si>
    <t>2603D138</t>
  </si>
  <si>
    <t>Faiza</t>
  </si>
  <si>
    <t>08116720999</t>
  </si>
  <si>
    <t>orang tua sdh booking di tempat lain</t>
  </si>
  <si>
    <t>2603D139</t>
  </si>
  <si>
    <t>tyak</t>
  </si>
  <si>
    <t>089681588980</t>
  </si>
  <si>
    <t>tanya booking tiket kapal bwi-lombok</t>
  </si>
  <si>
    <t>2603A096</t>
  </si>
  <si>
    <t>Lilou</t>
  </si>
  <si>
    <t>41774641655</t>
  </si>
  <si>
    <t>2603A097</t>
  </si>
  <si>
    <t>Rere</t>
  </si>
  <si>
    <t>085743314475</t>
  </si>
  <si>
    <t>12-20</t>
  </si>
  <si>
    <t>https://docs.google.com/document/d/16w-XzVuUJ5WrsllKfo52wdl3H1Da-u9M4Ky7Y3fd-tQ/edit?usp=sharing</t>
  </si>
  <si>
    <t>2603H040</t>
  </si>
  <si>
    <t>Herman Purnawan</t>
  </si>
  <si>
    <t>081514652888</t>
  </si>
  <si>
    <t>ganti destinasi jakarta-tasik-garut-cimidey</t>
  </si>
  <si>
    <t>https://docs.google.com/document/d/1Zsn-fDM21tSBszI3cLKld7unQQGByUgIbW5u76hGlQI/edit?usp=drivesdk</t>
  </si>
  <si>
    <t>2603D140</t>
  </si>
  <si>
    <t>Eka_NS</t>
  </si>
  <si>
    <t>08569012365</t>
  </si>
  <si>
    <t>FU 1 juni</t>
  </si>
  <si>
    <t>https://docs.google.com/document/d/1b_RgaW-9UCNiTM50ldow1WNLeivh6w_tgiWEEs0Lkg4/edit?tab=t.0</t>
  </si>
  <si>
    <t>2603A098</t>
  </si>
  <si>
    <t>082322648604</t>
  </si>
  <si>
    <t>trip alas purwo</t>
  </si>
  <si>
    <t>https://docs.google.com/document/d/1CohgXFd0Lxxy1VWhOA-mS6aRqATMKa5JsyG0kTwBdOw/edit?usp=sharing</t>
  </si>
  <si>
    <t>2603D141</t>
  </si>
  <si>
    <t>Rey</t>
  </si>
  <si>
    <t>085265252689</t>
  </si>
  <si>
    <t>temannya fadjar</t>
  </si>
  <si>
    <t>2603D142</t>
  </si>
  <si>
    <t>Fitri Yani</t>
  </si>
  <si>
    <t>081413563474</t>
  </si>
  <si>
    <t>3h2m opsi A</t>
  </si>
  <si>
    <t>Orderrrr</t>
  </si>
  <si>
    <t>https://docs.google.com/document/d/1xyO-FaFnz_89ENC_61HhAUvj9_nuu3JzUMNBlJ-pIn0/edit?tab=t.0</t>
  </si>
  <si>
    <t>2603D143</t>
  </si>
  <si>
    <t>Dhifa Prilia</t>
  </si>
  <si>
    <t>082122646428</t>
  </si>
  <si>
    <t>OT3H2M</t>
  </si>
  <si>
    <t>alhamdulillah DP</t>
  </si>
  <si>
    <t>2603D144</t>
  </si>
  <si>
    <t>Novita oktaviani</t>
  </si>
  <si>
    <t>08895740103</t>
  </si>
  <si>
    <t>trip M,T</t>
  </si>
  <si>
    <t>sudah dpt yg lain</t>
  </si>
  <si>
    <t>https://docs.google.com/document/d/1ZFMAPJbIOiF32NhaYEod6gUy7kGK4LMmwjp_UVUGGmk/edit?tab=t.0</t>
  </si>
  <si>
    <t>2603D145</t>
  </si>
  <si>
    <t>MiNa Dhanty</t>
  </si>
  <si>
    <t>082125888932</t>
  </si>
  <si>
    <t>OT D,B &amp; M,T</t>
  </si>
  <si>
    <t>orderrr alhamdulillah</t>
  </si>
  <si>
    <t>2603D146</t>
  </si>
  <si>
    <t>No name WNA</t>
  </si>
  <si>
    <t>33651287386</t>
  </si>
  <si>
    <t>1 day trip Ijen</t>
  </si>
  <si>
    <t>2603A099</t>
  </si>
  <si>
    <t>Aulia</t>
  </si>
  <si>
    <t>081284714903‬</t>
  </si>
  <si>
    <t>https://docs.google.com/document/d/1S1m7WvNaCTEXfSmrMS1GGM94NKeF1GMb0NYgT4AcV_Q/edit?usp=sharing</t>
  </si>
  <si>
    <t>2603A100</t>
  </si>
  <si>
    <t>Johannes andri</t>
  </si>
  <si>
    <t>081585091369</t>
  </si>
  <si>
    <t>15-16 agustus</t>
  </si>
  <si>
    <t>fu 26 juli</t>
  </si>
  <si>
    <t>https://docs.google.com/document/d/1uAH3ykAbKawbzM_wfwn9AYQ_fp4j1HibtJPXpJZtjOU/edit?usp=sharing</t>
  </si>
  <si>
    <t>2603A101</t>
  </si>
  <si>
    <t>ervina</t>
  </si>
  <si>
    <t>081333473764</t>
  </si>
  <si>
    <t>1d ijen baluran</t>
  </si>
  <si>
    <t>ga dpt cuti</t>
  </si>
  <si>
    <t>https://docs.google.com/document/d/1Ges2XLDhWxFgWo2JZPQyhTEYs5vMQchJ2_HDLvWsZBQ/edit?usp=sharing</t>
  </si>
  <si>
    <t>2603D147</t>
  </si>
  <si>
    <t>Dyah Ayu</t>
  </si>
  <si>
    <t>087737066893</t>
  </si>
  <si>
    <t>13-15 mei</t>
  </si>
  <si>
    <t>2603D148</t>
  </si>
  <si>
    <t>Neta</t>
  </si>
  <si>
    <t>082120112988</t>
  </si>
  <si>
    <t>juii-agustus</t>
  </si>
  <si>
    <t>fu 1 juni</t>
  </si>
  <si>
    <t>https://docs.google.com/document/d/1zPw8Zfr98kjQUxz1f9zZYGpikX0vPV5fNylvqLkLIGI/edit?tab=t.0</t>
  </si>
  <si>
    <t>2603A102</t>
  </si>
  <si>
    <t>Martha</t>
  </si>
  <si>
    <t>087853537626</t>
  </si>
  <si>
    <t>OT 1D</t>
  </si>
  <si>
    <t>2603A103</t>
  </si>
  <si>
    <t>Vella</t>
  </si>
  <si>
    <t>085156904985</t>
  </si>
  <si>
    <t>awal juli</t>
  </si>
  <si>
    <t>https://docs.google.com/document/d/17h_yC1p6udV3A4QyTH4zrnxl-rb-c4BRoDeHYr7lvoE/edit?usp=sharing</t>
  </si>
  <si>
    <t>2604A001</t>
  </si>
  <si>
    <t>Silvi</t>
  </si>
  <si>
    <t>085263434303</t>
  </si>
  <si>
    <t>trip custom</t>
  </si>
  <si>
    <t>1-3 mei</t>
  </si>
  <si>
    <t>lewat tanggal. sdh fu tdk ada jawaban</t>
  </si>
  <si>
    <t>https://docs.google.com/document/d/1M-epWE9NwckP-O_bzNEcPPpRskObNZ_4zLtxEsVRGgI/edit?usp=sharing</t>
  </si>
  <si>
    <t>2604A002</t>
  </si>
  <si>
    <t>085892683767</t>
  </si>
  <si>
    <t>2h1m opsi B</t>
  </si>
  <si>
    <t>https://docs.google.com/document/d/1r888GU9xm_6FpclHpSZrb8KBLgxCNiKeE-WnHijDmUc/edit?usp=sharing</t>
  </si>
  <si>
    <t>2604A003</t>
  </si>
  <si>
    <t>Ridha Yunita</t>
  </si>
  <si>
    <t>085648223685</t>
  </si>
  <si>
    <t>OT 1D D, PM, teluk ijo</t>
  </si>
  <si>
    <t>cancel karna ada suatu hal</t>
  </si>
  <si>
    <t>https://docs.google.com/document/d/1UgR5I4bxdAxliR5vM38p6oPIveJpD6uf96LrUzjePsM/edit?usp=sharing</t>
  </si>
  <si>
    <t>2604A004</t>
  </si>
  <si>
    <t>Natasya Lavebellita</t>
  </si>
  <si>
    <t>085649074001</t>
  </si>
  <si>
    <t>1D B, D</t>
  </si>
  <si>
    <t>https://docs.google.com/document/d/1GCdEcN1x_mYBmrSC698dlrJAyCkuoAX8l1S9Ng8bSHU/edit?usp=sharing</t>
  </si>
  <si>
    <t>2604A005</t>
  </si>
  <si>
    <t>Maulina Sefi</t>
  </si>
  <si>
    <t>085730578147</t>
  </si>
  <si>
    <t>OT M, T</t>
  </si>
  <si>
    <t>2604D001</t>
  </si>
  <si>
    <t>Ald</t>
  </si>
  <si>
    <t>081221606458</t>
  </si>
  <si>
    <t>Juni awal</t>
  </si>
  <si>
    <t>FU 1 Juni</t>
  </si>
  <si>
    <t>https://docs.google.com/document/d/1LdfjBq3bM8lCIu60ZYoWWoa7Pcy45UILWjJgg9d1E_M/edit?tab=t.0</t>
  </si>
  <si>
    <t>2604D002</t>
  </si>
  <si>
    <t>Liaaa</t>
  </si>
  <si>
    <t>087834760295</t>
  </si>
  <si>
    <t>1d baluran djawatan</t>
  </si>
  <si>
    <t>awal mei</t>
  </si>
  <si>
    <t>gajadi trip karena ada hal lain</t>
  </si>
  <si>
    <t>https://docs.google.com/document/d/1l9tdypDDXJs-pBP1lW3qG6l4Iibz2jds2Iiu8s9WWmU/edit?tab=t.0</t>
  </si>
  <si>
    <t>2604D003</t>
  </si>
  <si>
    <t>Emma Ummu Dawud</t>
  </si>
  <si>
    <t>0852316277770</t>
  </si>
  <si>
    <t>2h1m opsi c</t>
  </si>
  <si>
    <t>masih belum ada lanjutan</t>
  </si>
  <si>
    <t>https://docs.google.com/document/d/1B-k6PK34SP6ONYfk4qpXAGipac6GwiuF9nUmyQWTmak/edit?tab=t.0</t>
  </si>
  <si>
    <t>2604D004</t>
  </si>
  <si>
    <t>Jihan sulistiana</t>
  </si>
  <si>
    <t>081586769984</t>
  </si>
  <si>
    <t>lewat tgl, FU tidak di balas</t>
  </si>
  <si>
    <t>https://docs.google.com/document/d/11S9_ljoNm2tka5kUc6715t9HkrRiV-nvOFzSGLImzbs/edit?tab=t.0</t>
  </si>
  <si>
    <t>2604A006</t>
  </si>
  <si>
    <t>Bila</t>
  </si>
  <si>
    <t>081223853354</t>
  </si>
  <si>
    <t>1D green island</t>
  </si>
  <si>
    <t>buat penawaran, tidak ada balasan</t>
  </si>
  <si>
    <t>https://docs.google.com/document/d/1IifxN6RzpE0HchftHxSJu9d0vWiM5pL-YjYBBa9ruso/edit?usp=sharing</t>
  </si>
  <si>
    <t>2604A007</t>
  </si>
  <si>
    <t>Novi</t>
  </si>
  <si>
    <t>08129524407</t>
  </si>
  <si>
    <t>pertengahan juli</t>
  </si>
  <si>
    <t>nanti dihubungi jika sudah fiks paxnya, fu juni</t>
  </si>
  <si>
    <t>https://docs.google.com/document/d/1SN7aHbdC8rLeai20u-MIOuy8yLHxnn3Lkxt9-8zVO5A/edit?usp=sharing</t>
  </si>
  <si>
    <t>2604A008</t>
  </si>
  <si>
    <t>Siswati Utami</t>
  </si>
  <si>
    <t>082236322033</t>
  </si>
  <si>
    <t>juli/agustus</t>
  </si>
  <si>
    <t>ga ada kelanjutan</t>
  </si>
  <si>
    <t>https://docs.google.com/document/d/17e8VmrhIqngMCuRGDngwmr-EbTK9cXfv5329ypt3K_o/edit?usp=sharing</t>
  </si>
  <si>
    <t>2604D005</t>
  </si>
  <si>
    <t>Karol</t>
  </si>
  <si>
    <t>48601515259</t>
  </si>
  <si>
    <t>trip Ijen</t>
  </si>
  <si>
    <t>https://docs.google.com/document/d/1LAfz6NaqHOTVGBlIePewMX0mVa1wm_mxqlTcoWpE7mU/edit?tab=t.0</t>
  </si>
  <si>
    <t>2604D006</t>
  </si>
  <si>
    <t>May</t>
  </si>
  <si>
    <t>082142822692</t>
  </si>
  <si>
    <t>https://docs.google.com/document/d/1cMHV-rIZTWglYrNnxoJiOWC4N9DaeUrlteaDr5AsNc0/edit?tab=t.0</t>
  </si>
  <si>
    <t>2604D007</t>
  </si>
  <si>
    <t>Maooo</t>
  </si>
  <si>
    <t>083822875840</t>
  </si>
  <si>
    <t>1 day pulau bedil</t>
  </si>
  <si>
    <t>https://docs.google.com/document/d/1lbRZvBcTYPRM8jyct_NrF6b8TmnLn7LCg-lAhupKsu0/edit?tab=t.0</t>
  </si>
  <si>
    <t>2604D008</t>
  </si>
  <si>
    <t>Nabila</t>
  </si>
  <si>
    <t>087724193982</t>
  </si>
  <si>
    <t>https://docs.google.com/document/d/1r7ggBtbT1aetrbhL-pnQpj0byi9SfvzGmybz_U5W0lg/edit?tab=t.0</t>
  </si>
  <si>
    <t>2604D009</t>
  </si>
  <si>
    <t>Din</t>
  </si>
  <si>
    <t>081217601281</t>
  </si>
  <si>
    <t>sudah fu ga balesss</t>
  </si>
  <si>
    <t>https://docs.google.com/document/d/15Hn4rDITaRld5XtGOUeMHR2ufDHW1KsJq6y31DOs_oI/edit?tab=t.0</t>
  </si>
  <si>
    <t>2604A009</t>
  </si>
  <si>
    <t>085880530215</t>
  </si>
  <si>
    <t>https://docs.google.com/document/d/1Jy8G55eoRFqTi8KELR58q94dB4vKyGFKvsBWL_Dsp3E/edit?usp=sharing</t>
  </si>
  <si>
    <t>2604D010</t>
  </si>
  <si>
    <t>Sigit Wibisono</t>
  </si>
  <si>
    <t>081357543345</t>
  </si>
  <si>
    <t>belum jadiii</t>
  </si>
  <si>
    <t>2604D011</t>
  </si>
  <si>
    <t>Hemi</t>
  </si>
  <si>
    <t>08562236424</t>
  </si>
  <si>
    <t>masih info2 ke temennya, FU lagi 19 Mei</t>
  </si>
  <si>
    <t>https://docs.google.com/document/d/15GlHt0TOCeYUfGOgOrTVVyf6Gdj6A2frJMmeHl4gw54/edit?tab=t.0</t>
  </si>
  <si>
    <t>2604H001</t>
  </si>
  <si>
    <t>Dwi Parmawati</t>
  </si>
  <si>
    <t>081282935135</t>
  </si>
  <si>
    <t>Juni liburan sekolah</t>
  </si>
  <si>
    <t>Alhamdulillah order :)))</t>
  </si>
  <si>
    <t>https://docs.google.com/document/d/1py2_RerZdnH-RzMBL_TdkZt-jfI-Tay4Q2zeNUXHDuM/edit?usp=drivesdk</t>
  </si>
  <si>
    <t>2604D012</t>
  </si>
  <si>
    <t xml:space="preserve">Galih Ragawati </t>
  </si>
  <si>
    <t>085641919435</t>
  </si>
  <si>
    <t>https://docs.google.com/document/d/1JKrfl2qUBJmXEq-A0AOFOyryon2B4FT-7B8z1Biotg4/edit?tab=t.0</t>
  </si>
  <si>
    <t>2604D013</t>
  </si>
  <si>
    <t>Chevy</t>
  </si>
  <si>
    <t>087716217985</t>
  </si>
  <si>
    <t>https://docs.google.com/document/d/1t9EPlsu_eiVjYGs9TIRQAboIlCQNTJ9bJ8z4RiD-9qI/edit?tab=t.0</t>
  </si>
  <si>
    <t>2604H002</t>
  </si>
  <si>
    <t>Diniwati Muchtar</t>
  </si>
  <si>
    <t>081581537746</t>
  </si>
  <si>
    <t>https://docs.google.com/document/d/1Nde9CzrdoxaERhJ4BCwT5VDv0ghgy2Ye-zc1lXAAIaU/edit?usp=drivesdk</t>
  </si>
  <si>
    <t>2604D014</t>
  </si>
  <si>
    <t>085727801119</t>
  </si>
  <si>
    <t>OT Baluran</t>
  </si>
  <si>
    <t xml:space="preserve">next time, ada acara dadakan </t>
  </si>
  <si>
    <t>https://docs.google.com/document/d/1hNdE9ojsS-r41C0SSpqXUVSKxjeXjcNosXvoAJph-m8/edit?tab=t.0</t>
  </si>
  <si>
    <t>2604H003</t>
  </si>
  <si>
    <t>Dr. Alifia Klinik Pratama Mawar 2</t>
  </si>
  <si>
    <t>085353110859</t>
  </si>
  <si>
    <t>4h3m atau 3h2m</t>
  </si>
  <si>
    <t>ga dapat cuti</t>
  </si>
  <si>
    <t>https://docs.google.com/document/d/1cKGDZrklnTTZuBsIpwC6io3b0BXcXvhrB_A_6y0RyJc/edit?usp=drivesdk</t>
  </si>
  <si>
    <t>2604D015</t>
  </si>
  <si>
    <t>Aprenny</t>
  </si>
  <si>
    <t>085755092376</t>
  </si>
  <si>
    <t xml:space="preserve">trip Djawatan Baluran </t>
  </si>
  <si>
    <t>gagalll, FU sudah 5 kali tdk ada balasan</t>
  </si>
  <si>
    <t>https://docs.google.com/document/d/1GRiQeZjiv2jBxkud2z9hmpZmm0f6k_cSLyjOgxW-WS0/edit?tab=t.0</t>
  </si>
  <si>
    <t>2604D016</t>
  </si>
  <si>
    <t>Azila Hatika</t>
  </si>
  <si>
    <t>081281949477</t>
  </si>
  <si>
    <t xml:space="preserve">baru menyapa </t>
  </si>
  <si>
    <t>https://docs.google.com/document/d/1MONAAMhrzI1AIle8BsD1q-yobhUClb32KYUBoJ7yoaM/edit?tab=t.0</t>
  </si>
  <si>
    <t>2604D017</t>
  </si>
  <si>
    <t>08995209826</t>
  </si>
  <si>
    <t xml:space="preserve">OT 3h2m </t>
  </si>
  <si>
    <t>reschehedule tanggal trip, akan dihubungi lagi</t>
  </si>
  <si>
    <t>https://docs.google.com/document/d/1YYj1C0XKk72COFtjtQBjoCDyzliiHz73NJVLYrlp4yE/edit?tab=t.0</t>
  </si>
  <si>
    <t>2604H004</t>
  </si>
  <si>
    <t>Djawatan Baluran</t>
  </si>
  <si>
    <t>tidak jadi, bertepatan dengan acara sekolah anak</t>
  </si>
  <si>
    <t>https://docs.google.com/document/d/1U5CRndz9mX2-sZ9USBf9BaP5U5dEZxJMIMXywi8sNGE/edit?usp=drivesdk</t>
  </si>
  <si>
    <t>2604D018</t>
  </si>
  <si>
    <t>M Yusuf Eko</t>
  </si>
  <si>
    <t>08977744823</t>
  </si>
  <si>
    <t>https://docs.google.com/document/d/1hiJ3MVzlM7pzJzCjfGbhQmGFRI7XJ8O9ym5Ou4qv3X8/edit?tab=t.0</t>
  </si>
  <si>
    <t>2604A010</t>
  </si>
  <si>
    <t>Fany</t>
  </si>
  <si>
    <t>081283753936</t>
  </si>
  <si>
    <t>3h2m opsi B</t>
  </si>
  <si>
    <t>13-15 juni</t>
  </si>
  <si>
    <t>fu mei</t>
  </si>
  <si>
    <t>https://docs.google.com/document/d/1REAXMG0es5KNvHeF-KAsTxul7WHsXn6y-H12x460mng/edit?usp=sharing</t>
  </si>
  <si>
    <t>2604A011</t>
  </si>
  <si>
    <t>OT  D, B</t>
  </si>
  <si>
    <t>https://docs.google.com/document/d/1OVA9iOWdO9AWQ9RIau5fDiDRE137Opu6r2ni8ftfVOQ/edit?usp=sharing</t>
  </si>
  <si>
    <t>2604D019</t>
  </si>
  <si>
    <t>Anggun</t>
  </si>
  <si>
    <t>081259961730</t>
  </si>
  <si>
    <t>2H1M custome</t>
  </si>
  <si>
    <t>https://docs.google.com/document/d/1Q2JSvqPvvAFnjlutBohyWwKn1mwjm4gvVKyx99SgLfU/edit?tab=t.0</t>
  </si>
  <si>
    <t>2604D020</t>
  </si>
  <si>
    <t>Jeims</t>
  </si>
  <si>
    <t>081296137594</t>
  </si>
  <si>
    <t>OT Ijen Baluran</t>
  </si>
  <si>
    <t>https://docs.google.com/document/d/1xSwno7VuWyPp5-qYM6yqsXLjREdapjNMUZSAGJ2qPSQ/edit?tab=t.0</t>
  </si>
  <si>
    <t>2604H005</t>
  </si>
  <si>
    <t>Gouw Tau Hu</t>
  </si>
  <si>
    <t>081318916892</t>
  </si>
  <si>
    <t>4h3m</t>
  </si>
  <si>
    <t>10-12 April</t>
  </si>
  <si>
    <t>2604A012</t>
  </si>
  <si>
    <t>Arina Safira</t>
  </si>
  <si>
    <t>08111990367</t>
  </si>
  <si>
    <t>trip wurung, D, B</t>
  </si>
  <si>
    <t>https://docs.google.com/document/d/1jlXAQhifCZdcHQlGp-jN66WyVWabuKT8-8LWCmZ0iWU/edit?usp=sharing</t>
  </si>
  <si>
    <t>2604H006</t>
  </si>
  <si>
    <t>Susilowati</t>
  </si>
  <si>
    <t>081291435110</t>
  </si>
  <si>
    <t>september or oktober</t>
  </si>
  <si>
    <t>blm balas. fu lagi 27 juli</t>
  </si>
  <si>
    <t>https://docs.google.com/document/d/1qskYbktmW1TouXvT76GUk6i_0WL2Id-O1eVL9uxQc6g/edit?usp=drivesdk</t>
  </si>
  <si>
    <t>2604H007</t>
  </si>
  <si>
    <t>Alia</t>
  </si>
  <si>
    <t>081328864731</t>
  </si>
  <si>
    <t>gagal, belum jadi, tidak menyampaikan alasan</t>
  </si>
  <si>
    <t>https://docs.google.com/document/d/1GEwgQ-Ah4bEugla8Br3o8yLzmMCA-PCU-yfLlACEBWw/edit?usp=drivesdk</t>
  </si>
  <si>
    <t>2604D021</t>
  </si>
  <si>
    <t>Adam</t>
  </si>
  <si>
    <t>087741134769</t>
  </si>
  <si>
    <t>OT Ijen &amp; trip pulau bedil</t>
  </si>
  <si>
    <t>21/22 April</t>
  </si>
  <si>
    <t>reschedule, akan dihubungi kembali kalo fiks</t>
  </si>
  <si>
    <t>https://docs.google.com/document/d/10-B0iQPVK_hJIDZfTn4_Ka0kwvz5M9fI6kBkC_Jvcu4/edit?tab=t.0</t>
  </si>
  <si>
    <t>2604H008</t>
  </si>
  <si>
    <t>Ferry</t>
  </si>
  <si>
    <t>081806041477</t>
  </si>
  <si>
    <t>ditunda karena suatu alasan</t>
  </si>
  <si>
    <t>https://docs.google.com/document/d/1fod8EKlkBZG-AEuLfOLlO1n0uDG0p0TVdPekgndOwIE/edit?usp=drivesdk</t>
  </si>
  <si>
    <t>2604H009</t>
  </si>
  <si>
    <t>Saini Sasa</t>
  </si>
  <si>
    <t>087780196808</t>
  </si>
  <si>
    <t>OT Djawatan Baluran</t>
  </si>
  <si>
    <t>tidak jadi dan tidak menyampaikan alasana</t>
  </si>
  <si>
    <t>2604D022</t>
  </si>
  <si>
    <t>Hanny Multazamah</t>
  </si>
  <si>
    <t>089659947965</t>
  </si>
  <si>
    <t>baruu menyapa</t>
  </si>
  <si>
    <t>https://docs.google.com/document/d/1cAZfXEmNiw9kI1_WPTtyTJhJ2lL03-_i_1GYTxbl4xQ/edit?tab=t.0</t>
  </si>
  <si>
    <t>2604A013</t>
  </si>
  <si>
    <t>Mira</t>
  </si>
  <si>
    <t>Trip Tabuhan</t>
  </si>
  <si>
    <t>https://docs.google.com/document/d/1bePgZb3XPF8gbcmy-DmW7j9NIpZuEPOMh5aXvXnK9yU/edit?usp=sharing</t>
  </si>
  <si>
    <t>2604A014</t>
  </si>
  <si>
    <t>Nabila Ratna</t>
  </si>
  <si>
    <t>081322226980</t>
  </si>
  <si>
    <t>Hanya menyapa</t>
  </si>
  <si>
    <t>https://docs.google.com/document/d/15OhD4E0gEUcQkDUjqXIjWb8UPnumXoA6Hi3AkAS1WqM/edit?usp=sharing</t>
  </si>
  <si>
    <t>2604A015</t>
  </si>
  <si>
    <t>Fadjrin</t>
  </si>
  <si>
    <t>082285208277</t>
  </si>
  <si>
    <t>3h2m / 2h1m custom</t>
  </si>
  <si>
    <t>13-15 april</t>
  </si>
  <si>
    <t>https://docs.google.com/document/d/1xkGpSN1JnGmF4EEqxB3_i3akNZk8hncXm6Uv6cb_71c/edit?usp=sharing</t>
  </si>
  <si>
    <t>2604D023</t>
  </si>
  <si>
    <t>Feelia</t>
  </si>
  <si>
    <t xml:space="preserve"> 08151650808</t>
  </si>
  <si>
    <t xml:space="preserve">trip green island </t>
  </si>
  <si>
    <t>https://docs.google.com/document/d/1LD3TMebMEIgAwyIz2wJqo2xX1a7jH3NeLoYji0nXvZE/edit?tab=t.0</t>
  </si>
  <si>
    <t>2604A016</t>
  </si>
  <si>
    <t>Mutia</t>
  </si>
  <si>
    <t>085647052939</t>
  </si>
  <si>
    <t>https://docs.google.com/document/d/1E74fSFm-llXEQjJMvoa3N8WJuffp2lrYgXqNg2ingMM/edit?usp=sharing</t>
  </si>
  <si>
    <t>2604H010</t>
  </si>
  <si>
    <t>Fina</t>
  </si>
  <si>
    <t>088210269765</t>
  </si>
  <si>
    <t>2604H011</t>
  </si>
  <si>
    <t>Yusuf Nurwahid (Bang Jep)</t>
  </si>
  <si>
    <t>081286570089</t>
  </si>
  <si>
    <t>ditunda ke bwi, karena jauh, dan pilh destinasi yg lebih dekat</t>
  </si>
  <si>
    <t>https://docs.google.com/document/d/1yvKPGjR4Kd22_KZLe-5SH2S2G1WGCcKiHCuL5WLrM68/edit?usp=drivesdk</t>
  </si>
  <si>
    <t>2604D024</t>
  </si>
  <si>
    <t>Sumarlan</t>
  </si>
  <si>
    <t>0811507442</t>
  </si>
  <si>
    <t>https://docs.google.com/document/d/13ufNfA806FOAZ3cAzYWNlAMq5IaDonbML_O1Rg7cn7g/edit?tab=t.0</t>
  </si>
  <si>
    <t>2604D025</t>
  </si>
  <si>
    <t>Sabrina</t>
  </si>
  <si>
    <t>081218123077</t>
  </si>
  <si>
    <t>2h1m cutome</t>
  </si>
  <si>
    <t>https://docs.google.com/document/d/1fQIHzbO2-j1FYE_VaIvmLPE0frUA1UKkGJbO9KlUdqg/edit?tab=t.0</t>
  </si>
  <si>
    <t>2604D026</t>
  </si>
  <si>
    <t>M. Kajanto</t>
  </si>
  <si>
    <t>08123452227</t>
  </si>
  <si>
    <t xml:space="preserve">tanya obyek wisata baru, FU lagi  </t>
  </si>
  <si>
    <t>https://docs.google.com/document/d/1E_OV4Mro0vek_NSCMZPP4kCsW9Z5qbTX4jJzOtCiHZY/edit?tab=t.0</t>
  </si>
  <si>
    <t>2604D027</t>
  </si>
  <si>
    <t>Devina Dwi</t>
  </si>
  <si>
    <t>081517222541</t>
  </si>
  <si>
    <t>tanya perbedaan paket 3h2m opsi A&amp;opsi B, FU 10 Juni</t>
  </si>
  <si>
    <t>https://docs.google.com/document/d/1rJHZSvk_7jGgi8u-pR7VZm12_hT4SqYDsgX2cOvLqE8/edit?tab=t.0</t>
  </si>
  <si>
    <t>2604D028</t>
  </si>
  <si>
    <t>2604D029</t>
  </si>
  <si>
    <t>Tri Kodrat Prasetyo</t>
  </si>
  <si>
    <t>085777314701</t>
  </si>
  <si>
    <t>https://docs.google.com/document/d/1-Lcruo5ljFzJVci_Tk-TOeAfKjvtqP1bJF4UY58U-r4/edit?tab=t.0</t>
  </si>
  <si>
    <t>2604A017</t>
  </si>
  <si>
    <t>Fuad</t>
  </si>
  <si>
    <t>089508004646‬</t>
  </si>
  <si>
    <t>2604A018</t>
  </si>
  <si>
    <t>Guntur Dwi Prakoso</t>
  </si>
  <si>
    <t>082121655422‬</t>
  </si>
  <si>
    <t>2h1m Custom</t>
  </si>
  <si>
    <t>29 april - 1 mei</t>
  </si>
  <si>
    <t>di reschedule. fu 18 juni</t>
  </si>
  <si>
    <t>https://docs.google.com/document/d/1nlkDUjK4f2dbu3E3yMwYkk8VhWAlpqNkTprb-q4o_rw/edit?usp=sharing</t>
  </si>
  <si>
    <t>2604A019</t>
  </si>
  <si>
    <t>Laili Maghfiroh</t>
  </si>
  <si>
    <t>085730946704</t>
  </si>
  <si>
    <t>Trip M, B</t>
  </si>
  <si>
    <t>Awal Juni</t>
  </si>
  <si>
    <t>FU Awal mei</t>
  </si>
  <si>
    <t>https://docs.google.com/document/d/1p6FbS35eOdJX4G5UmJlySPAi66eKpChvJtpZ2RCtn0s/edit?usp=sharing</t>
  </si>
  <si>
    <t>2604D030</t>
  </si>
  <si>
    <t>Tabitaherra</t>
  </si>
  <si>
    <t>081392624454</t>
  </si>
  <si>
    <t xml:space="preserve">tanya penginapan </t>
  </si>
  <si>
    <t>https://docs.google.com/document/d/1zT_mfHgHkhbnWdDTbCC5iedQ8UcQE042JaEIOC0-Zrk/edit?tab=t.0</t>
  </si>
  <si>
    <t>2604D031</t>
  </si>
  <si>
    <t>089521277035</t>
  </si>
  <si>
    <t>gajadii karena penjemputan di sby</t>
  </si>
  <si>
    <t>https://docs.google.com/document/d/1ZqixU84EI84vbKqeGbrTeshGxFyoVpfLf-Yw3ZK3sWU/edit?tab=t.0</t>
  </si>
  <si>
    <t>2604D032</t>
  </si>
  <si>
    <t>088291308924</t>
  </si>
  <si>
    <t>trip green island, bedil</t>
  </si>
  <si>
    <t>sudah fu, FU lagi 4 Mei</t>
  </si>
  <si>
    <t>https://docs.google.com/document/d/1cWd0qkNXFtuiAtF0DEyUxlPxR5D2vX-BSb-3f6xnIXg/edit?tab=t.0</t>
  </si>
  <si>
    <t>2604H012</t>
  </si>
  <si>
    <t xml:space="preserve">one day trip green island </t>
  </si>
  <si>
    <t>sdh fu tidak ada jawaban</t>
  </si>
  <si>
    <t>https://docs.google.com/document/d/1ysSwMtkw9XlHoHTSGQwK_6OxHHlHvnK_JDqhSUknNzQ/edit?usp=drivesdk</t>
  </si>
  <si>
    <t>2604H013</t>
  </si>
  <si>
    <t>Arman Khoirur Rizal</t>
  </si>
  <si>
    <t>085811625761</t>
  </si>
  <si>
    <t>one day trip Djabal PM</t>
  </si>
  <si>
    <t>https://docs.google.com/document/d/1gyLC2dz08-LCs4R5indO_L5_sFvnhYB7XCNqDwJl6z4/edit?usp=drivesdk</t>
  </si>
  <si>
    <t>2604D033</t>
  </si>
  <si>
    <t>Darno avian</t>
  </si>
  <si>
    <t>08123086548</t>
  </si>
  <si>
    <t xml:space="preserve">paket custom </t>
  </si>
  <si>
    <t>tanggal masih jauh, masih dirundingkan</t>
  </si>
  <si>
    <t>https://docs.google.com/document/d/1_eI_7yyf9oa3VPmio_yctFgsNo-Bai4mWIvSxme_oUI/edit?tab=t.0</t>
  </si>
  <si>
    <t>2604D034</t>
  </si>
  <si>
    <t>Nia Kusniatin</t>
  </si>
  <si>
    <t>0817430784</t>
  </si>
  <si>
    <t>private trip ijen</t>
  </si>
  <si>
    <t>b to b, nunggu dikabarin lagi</t>
  </si>
  <si>
    <t>https://docs.google.com/document/d/1R0OuFwKDTSHwj-spoYOjBF1EYgGhVfO4rj1PiVA0xV0/edit?tab=t.0</t>
  </si>
  <si>
    <t>2604D035</t>
  </si>
  <si>
    <t>Setyo Wardayati</t>
  </si>
  <si>
    <t xml:space="preserve"> 08123173933</t>
  </si>
  <si>
    <t>https://docs.google.com/document/d/1txr-s5SSLmwK-btZxN9Pgq04TGYBUh_llkUDTvxmd2o/edit?tab=t.0</t>
  </si>
  <si>
    <t>2604A020</t>
  </si>
  <si>
    <t>Joshi</t>
  </si>
  <si>
    <t>087839921505</t>
  </si>
  <si>
    <t>https://docs.google.com/document/d/19FNWrpTJ_01e2zLRWnx9eORCQbrhHfeDnQEsqlyM5CA/edit?usp=sharing</t>
  </si>
  <si>
    <t>2604A021</t>
  </si>
  <si>
    <t>Ana</t>
  </si>
  <si>
    <t>085811281799</t>
  </si>
  <si>
    <t>belum jadi pergi</t>
  </si>
  <si>
    <t>2604A022</t>
  </si>
  <si>
    <t>Suvi</t>
  </si>
  <si>
    <t>08127519858</t>
  </si>
  <si>
    <t>Akhir mei</t>
  </si>
  <si>
    <t>FU 10 mei</t>
  </si>
  <si>
    <t>https://docs.google.com/document/d/13AGnN7-A4DwLwb8t7WqtzcF3aSk3R5f5pEdD2SMe_dE/edit?usp=sharing</t>
  </si>
  <si>
    <t>2604A023</t>
  </si>
  <si>
    <t>Lea</t>
  </si>
  <si>
    <t>08996778680</t>
  </si>
  <si>
    <t>2H2M opsi A</t>
  </si>
  <si>
    <t>2604A024</t>
  </si>
  <si>
    <t>Hawari</t>
  </si>
  <si>
    <t>081316099832</t>
  </si>
  <si>
    <t>https://docs.google.com/document/d/1mNwYwi2re9rg4r-uLsNGYOv4QVER_qOVem6f2K8xaho/edit?usp=sharing</t>
  </si>
  <si>
    <t>2604D036</t>
  </si>
  <si>
    <t xml:space="preserve">Budi Bangun </t>
  </si>
  <si>
    <t>081335103322</t>
  </si>
  <si>
    <t>trip Baluran</t>
  </si>
  <si>
    <t>Belum ada tgl pasti</t>
  </si>
  <si>
    <t>https://docs.google.com/document/d/1r5GdYSSVmM4s2x4lpbeB7GN2ryRh07hfEON5MeHY5TU/edit?tab=t.0</t>
  </si>
  <si>
    <t>2604D037</t>
  </si>
  <si>
    <t>Nessa</t>
  </si>
  <si>
    <t>082112462579</t>
  </si>
  <si>
    <t>trip 2h1m</t>
  </si>
  <si>
    <t>https://docs.google.com/document/d/1JG8N3Jkp6Wq2VdmMjmE58np7zkRwq9MuOrdtsLAnMV4/edit?tab=t.0</t>
  </si>
  <si>
    <t>2604A025</t>
  </si>
  <si>
    <t>Audi firstania</t>
  </si>
  <si>
    <t>081334332305</t>
  </si>
  <si>
    <t>2604D038</t>
  </si>
  <si>
    <t>Noviaveve</t>
  </si>
  <si>
    <t>085855165695</t>
  </si>
  <si>
    <t>https://docs.google.com/document/d/1pWuheGDgrS9z3oKLNJ2QaVLoSvY682BD_9Wca9h7qtk/edit?tab=t.0</t>
  </si>
  <si>
    <t>2604D039</t>
  </si>
  <si>
    <t>deal chat di admin 2</t>
  </si>
  <si>
    <t>2604A026</t>
  </si>
  <si>
    <t>Daninta</t>
  </si>
  <si>
    <t>081384847408</t>
  </si>
  <si>
    <t>https://docs.google.com/document/d/1hdiHV-Zq4KSBlIusuqzZqoHhZ7l8WVsAbzmBLn4GIbo/edit?usp=sharing</t>
  </si>
  <si>
    <t>2604A027</t>
  </si>
  <si>
    <t>Ara</t>
  </si>
  <si>
    <t>0895635984294</t>
  </si>
  <si>
    <t>24-25 april</t>
  </si>
  <si>
    <t>https://docs.google.com/document/d/1dekJ0CZIz5oiN9ksok9u_LCyFKthcyglIlGOHgD0A-4/edit?usp=sharing</t>
  </si>
  <si>
    <t>2604D040</t>
  </si>
  <si>
    <t>Elsa</t>
  </si>
  <si>
    <t>081218256341</t>
  </si>
  <si>
    <t>private trip M,T</t>
  </si>
  <si>
    <t>yesss orderrr</t>
  </si>
  <si>
    <t>https://docs.google.com/document/d/1rzr0zDpBEkN9fgMyTkUxt78EJkeeAusTBAFnDsa4108/edit?tab=t.0</t>
  </si>
  <si>
    <t>2604H014</t>
  </si>
  <si>
    <t>Sonia</t>
  </si>
  <si>
    <t>083866677292</t>
  </si>
  <si>
    <t>30 Mei - 1 Juni</t>
  </si>
  <si>
    <t>sdh fu. tidak ada jawaban</t>
  </si>
  <si>
    <t>https://docs.google.com/document/d/1hbEYI_spdlsOQ7WSDOdBzfoNT6N7TUIIvbyG7pKwi5Y/edit?usp=drivesdk</t>
  </si>
  <si>
    <t>2604D041</t>
  </si>
  <si>
    <t>Riski</t>
  </si>
  <si>
    <t>085236599558</t>
  </si>
  <si>
    <t>OT menjanan, tabuhan</t>
  </si>
  <si>
    <t>tanya dulu, blm tau tanggal</t>
  </si>
  <si>
    <t>https://docs.google.com/document/d/1EOJTregGxriInA1A_ZMlo5O21BTMoJ9V-ZxlFph0ybQ/edit?tab=t.0</t>
  </si>
  <si>
    <t>2604D042</t>
  </si>
  <si>
    <t>Haning</t>
  </si>
  <si>
    <t>081904412811</t>
  </si>
  <si>
    <t>blm balas lagi</t>
  </si>
  <si>
    <t>https://docs.google.com/document/d/1NGrTRrS8NLaBAYL0CMZ9BXI4W99t71VWsqmVSOJSCCI/edit?tab=t.0</t>
  </si>
  <si>
    <t>2604D043</t>
  </si>
  <si>
    <t>ILHAM aji</t>
  </si>
  <si>
    <t>085770744552</t>
  </si>
  <si>
    <t xml:space="preserve">trip djawatan, baliuran </t>
  </si>
  <si>
    <t>gagalllll</t>
  </si>
  <si>
    <t>https://docs.google.com/document/d/1lcfVxI9nsqRq_UicPL0KMYSIGF2sI8g4WNqPHyLvJFY/edit?tab=t.0</t>
  </si>
  <si>
    <t>2604A028</t>
  </si>
  <si>
    <t>Dila Kurnia</t>
  </si>
  <si>
    <t>081333336180</t>
  </si>
  <si>
    <t>1D WD, BD, GI, PM</t>
  </si>
  <si>
    <t>https://docs.google.com/document/d/152z9oZmgN2nuofnY10h2vBEz8OChSwFmw-jB6sAMioU/edit?usp=sharing</t>
  </si>
  <si>
    <t>2604H015</t>
  </si>
  <si>
    <t>M Hendri (PT Puncak Jaya Wisata)</t>
  </si>
  <si>
    <t>0838116255966</t>
  </si>
  <si>
    <t>awal Juni</t>
  </si>
  <si>
    <t>https://docs.google.com/document/d/18tiWoj2zK6QVJtZcvOanOZLMFWmiIJUf6qHmS4M0n1E/edit?usp=drivesdk</t>
  </si>
  <si>
    <t>2604H016</t>
  </si>
  <si>
    <t>Sani Adiwati</t>
  </si>
  <si>
    <t>081280703155</t>
  </si>
  <si>
    <t>one day trip bwi</t>
  </si>
  <si>
    <t>batal karena anak-anak ujian</t>
  </si>
  <si>
    <t>https://docs.google.com/document/d/1NBC3uaLbAeVrKJXdgXsp89XZf9lyG-PFIUetZulx6xg/edit?usp=drivesdk</t>
  </si>
  <si>
    <t>2604D044</t>
  </si>
  <si>
    <t>Asna Hasjim</t>
  </si>
  <si>
    <t>08123521577</t>
  </si>
  <si>
    <t>paket wisata sby, malang, bwi</t>
  </si>
  <si>
    <t>di arahkan ke holiday</t>
  </si>
  <si>
    <t>2604D045</t>
  </si>
  <si>
    <t>Nugroho Fadjar Shodik</t>
  </si>
  <si>
    <t>081286772029</t>
  </si>
  <si>
    <t>paket 2H1M</t>
  </si>
  <si>
    <t>https://docs.google.com/document/d/129CR5LlITMzRfQ0-ceekbC4hAVVMG8Zi_RXypmdhIuI/edit?tab=t.0</t>
  </si>
  <si>
    <t>2604D046</t>
  </si>
  <si>
    <t>Fabian Arndtzen</t>
  </si>
  <si>
    <t>4540984393</t>
  </si>
  <si>
    <t>trip 1D teluk ijo</t>
  </si>
  <si>
    <t>gagall, karena dia mau transportasi nya aja</t>
  </si>
  <si>
    <t>2604H017</t>
  </si>
  <si>
    <t>SBY-MLG-BATU-BWI</t>
  </si>
  <si>
    <t>12-16 Mei</t>
  </si>
  <si>
    <t>gada jawaban, sdh fu</t>
  </si>
  <si>
    <t>https://docs.google.com/document/d/18-ITjJ4f6p0-LOcePTserqVwqy5dB8v6CUiw5WTm3NE/edit?usp=drivesdk</t>
  </si>
  <si>
    <t>2604H018</t>
  </si>
  <si>
    <t>Abby (Byy Me Tours)</t>
  </si>
  <si>
    <t>085168888024</t>
  </si>
  <si>
    <t>3H2M OPSI A</t>
  </si>
  <si>
    <t>22-24 Agustus</t>
  </si>
  <si>
    <t>gada jawaban</t>
  </si>
  <si>
    <t>https://docs.google.com/document/d/1cR3BncejclzBUZ2oanP5vsJnCPqrnCoqMIkH8bKFVxM/edit?usp=drivesdk</t>
  </si>
  <si>
    <t>2604D047</t>
  </si>
  <si>
    <t>081281105743</t>
  </si>
  <si>
    <t>3h2m custome</t>
  </si>
  <si>
    <t>gagallll</t>
  </si>
  <si>
    <t>https://docs.google.com/document/d/1j0LO5dOFX6tnftZnraRIH5-OEMifIzBa1BvP-suW8Y8/edit?tab=t.0</t>
  </si>
  <si>
    <t>2604D048</t>
  </si>
  <si>
    <t>Akhmad Fais</t>
  </si>
  <si>
    <t>0859187532463</t>
  </si>
  <si>
    <t>belum jadi tripp</t>
  </si>
  <si>
    <t>https://docs.google.com/document/d/1gYjevxfOUwHqdDVj0LtdMivFI51mnOIxW-aCxuQIRfI/edit?tab=t.0</t>
  </si>
  <si>
    <t>2604A029</t>
  </si>
  <si>
    <t>Triaz</t>
  </si>
  <si>
    <t>08971173658</t>
  </si>
  <si>
    <t>https://docs.google.com/document/d/19J9A9xI9qblVViymafLXjdk7rtr8w3ISomg2PClvCBg/edit?usp=sharing</t>
  </si>
  <si>
    <t>2604H019</t>
  </si>
  <si>
    <t>Sandra</t>
  </si>
  <si>
    <t>085895459898</t>
  </si>
  <si>
    <t>12-14 juni</t>
  </si>
  <si>
    <t>https://docs.google.com/document/d/1GmDZnAsI-0et-O48ogIqxgdrA7XlopwNKhw4d__W5-M/edit?usp=drivesdk</t>
  </si>
  <si>
    <t>2604D049</t>
  </si>
  <si>
    <t>Tina</t>
  </si>
  <si>
    <t>082149664011</t>
  </si>
  <si>
    <t>ditunda dulu nunggu blue fire dibuka lagi, dihubungi lagi nanti</t>
  </si>
  <si>
    <t>https://docs.google.com/document/d/1Nj4V9FWeMbisg1MNJuyWLKF9JWWhzlIphb0Oao960q0/edit?tab=t.0</t>
  </si>
  <si>
    <t>2604D050</t>
  </si>
  <si>
    <t>Alyya Delvin</t>
  </si>
  <si>
    <t>085736815515</t>
  </si>
  <si>
    <t>alhamduliillah orderrr</t>
  </si>
  <si>
    <t>2604H020</t>
  </si>
  <si>
    <t>Nina Marliana</t>
  </si>
  <si>
    <t>08119447521</t>
  </si>
  <si>
    <t>memutuskan ke labuan bajo</t>
  </si>
  <si>
    <t>https://docs.google.com/document/d/1OBF27uczIKaWaTn02-1kik1_4wu7EP5EPuP4iV0e8e8/edit?usp=drivesdk</t>
  </si>
  <si>
    <t>2604D051</t>
  </si>
  <si>
    <t>447368848471</t>
  </si>
  <si>
    <t>https://docs.google.com/document/d/1qqOPrXKUOceQYdYlfJwOu42GZKEP-qJi-FH3i5OPNZc/edit?tab=t.0</t>
  </si>
  <si>
    <t>2604D052</t>
  </si>
  <si>
    <t>Sindy</t>
  </si>
  <si>
    <t>081262384098</t>
  </si>
  <si>
    <t>https://docs.google.com/document/d/1tmCe_nCJBKHQSwugenr8t18fzSDeMNm38e5jd7oTzaM/edit?tab=t.0</t>
  </si>
  <si>
    <t>2604A030</t>
  </si>
  <si>
    <t>Febian Basyara</t>
  </si>
  <si>
    <t>082179631328</t>
  </si>
  <si>
    <t>2604A031</t>
  </si>
  <si>
    <t>Rinda</t>
  </si>
  <si>
    <t>087780084085</t>
  </si>
  <si>
    <t>Ijen baluran</t>
  </si>
  <si>
    <t>Tidak ada balasan</t>
  </si>
  <si>
    <t>https://docs.google.com/document/d/1APvbambRm0L1RbC4eH6W2R5XcMBzoVFVqfw1PzOav1o/edit?usp=sharing</t>
  </si>
  <si>
    <t>2604A032</t>
  </si>
  <si>
    <t>RCM Tour</t>
  </si>
  <si>
    <t>082258993434</t>
  </si>
  <si>
    <t>jadinya ke Bangkok</t>
  </si>
  <si>
    <t>2604D053</t>
  </si>
  <si>
    <t>Harjanto</t>
  </si>
  <si>
    <t>085812821113</t>
  </si>
  <si>
    <t>https://docs.google.com/document/d/1RoPWVIm6JUULt1efbgaRzRZM0I7AHkFiCeGCCjWNeQk/edit?tab=t.0</t>
  </si>
  <si>
    <t>2604D054</t>
  </si>
  <si>
    <t>Endyah Siwi</t>
  </si>
  <si>
    <t>082137978784</t>
  </si>
  <si>
    <t xml:space="preserve">ot 3h2m </t>
  </si>
  <si>
    <t>https://docs.google.com/document/d/1PkJd1jl6vzVgSIptaX0VfSx-icGarZYK1HwvDKK6vtE/edit?tab=t.0</t>
  </si>
  <si>
    <t>2604D055</t>
  </si>
  <si>
    <t>Hesti</t>
  </si>
  <si>
    <t>08113890797</t>
  </si>
  <si>
    <t>https://docs.google.com/document/d/1kK0Ed5Xb0k1KL0UZfA2SORvd0Ne_tKcCKIG3HES5zy4/edit?tab=t.0</t>
  </si>
  <si>
    <t>2604A033</t>
  </si>
  <si>
    <t>082334491671</t>
  </si>
  <si>
    <t>Tidak ada peserta</t>
  </si>
  <si>
    <t>2604A034</t>
  </si>
  <si>
    <t>089699872548</t>
  </si>
  <si>
    <t>https://docs.google.com/document/d/1ZDEhCNVN0JXAeZbdv_4BkZSUUHA2mJIqTGzsl-m3B6s/edit?usp=sharing</t>
  </si>
  <si>
    <t>2604A035</t>
  </si>
  <si>
    <t>Sinta Nurmawati</t>
  </si>
  <si>
    <t>08977537928</t>
  </si>
  <si>
    <t>15-17 Mei</t>
  </si>
  <si>
    <t>https://docs.google.com/document/d/1Lp0NZEyWISxzImTuDlCy2KDgKjPwz8zROY3v61HOTHc/edit?usp=sharing</t>
  </si>
  <si>
    <t>2604H021</t>
  </si>
  <si>
    <t>Subhan</t>
  </si>
  <si>
    <t>08112424428</t>
  </si>
  <si>
    <t>15-17 mei</t>
  </si>
  <si>
    <t>ingin jalan sendiri, sdh ditawarkan ot 3h2m</t>
  </si>
  <si>
    <t>https://docs.google.com/document/d/1cIvhfmSvlZcCwx_P3nJ-yjhUsG1P0X99YHRZGwK-UMg/edit?usp=drivesdk</t>
  </si>
  <si>
    <t>2604A036</t>
  </si>
  <si>
    <t>sinta</t>
  </si>
  <si>
    <t>085903711129</t>
  </si>
  <si>
    <t>29-30 April</t>
  </si>
  <si>
    <t>sudah  join di penawaran lain</t>
  </si>
  <si>
    <t>https://docs.google.com/document/d/1grhWc8zgkscGz5QpiGqjvFhB_HL0M-HKjXHwR3UrsQY/edit?usp=sharing</t>
  </si>
  <si>
    <t>2604D056</t>
  </si>
  <si>
    <t>Nadya Fitri</t>
  </si>
  <si>
    <t>085694273926</t>
  </si>
  <si>
    <t>OT MT, OT Ijen</t>
  </si>
  <si>
    <t>9-10 Mei</t>
  </si>
  <si>
    <t>yeyyyy orderrr</t>
  </si>
  <si>
    <t>https://docs.google.com/document/d/1K6_uKgU3GAxpFNWJUyOIgB2_sjIK_dDasv7rcEDaXAo/edit?tab=t.0</t>
  </si>
  <si>
    <t>2604A037</t>
  </si>
  <si>
    <t>tanti</t>
  </si>
  <si>
    <t>08121429009</t>
  </si>
  <si>
    <t>fu 10  mei</t>
  </si>
  <si>
    <t>https://docs.google.com/document/d/1tw1BYXESqh0wP9bkhQBi4V1R3etBrR0QP_d9R6VH1fU/edit?usp=sharing</t>
  </si>
  <si>
    <t>2604D057</t>
  </si>
  <si>
    <t>Resti Cendana Wiradesa</t>
  </si>
  <si>
    <t>085747254152</t>
  </si>
  <si>
    <t>kendala suami masih kerja, diskusi lagi tanggal nya</t>
  </si>
  <si>
    <t>https://docs.google.com/document/d/1oaaRNM8Pl50DfYTlEKQihdWbp9EQqwQZT6Jlukw_pP4/edit?tab=t.0</t>
  </si>
  <si>
    <t>2604A038</t>
  </si>
  <si>
    <t>No Name</t>
  </si>
  <si>
    <t>trip mandiri</t>
  </si>
  <si>
    <t>https://docs.google.com/document/d/1kV-tohbU-FdEppAwI4vUbP7iNFJoA41nFctzo1j6Iiw/edit?usp=sharing</t>
  </si>
  <si>
    <t>2604A039</t>
  </si>
  <si>
    <t>Septin</t>
  </si>
  <si>
    <t>081515771848</t>
  </si>
  <si>
    <t>https://docs.google.com/document/d/1dtx7pl6uZ54iMbdKwd3Cp2KFcgoN1SfA7uQliXjgkz0/edit?usp=sharing</t>
  </si>
  <si>
    <t>2604D058</t>
  </si>
  <si>
    <t>No name (titik)</t>
  </si>
  <si>
    <t>08893515642</t>
  </si>
  <si>
    <t>ga bls</t>
  </si>
  <si>
    <t>https://docs.google.com/document/d/1BOrx0WJp4btclLH1ASV3o9vnzD87xLZfhzFHOf098Bc/edit?tab=t.0</t>
  </si>
  <si>
    <t>2604D059</t>
  </si>
  <si>
    <t>No name garis</t>
  </si>
  <si>
    <t>gagal, di arahkan ke Holiday</t>
  </si>
  <si>
    <t>2604D060</t>
  </si>
  <si>
    <t>No name malang</t>
  </si>
  <si>
    <t>081230528752</t>
  </si>
  <si>
    <t>open trip baluran</t>
  </si>
  <si>
    <t>tidak balas lagi, minta penjemputan dari Malang</t>
  </si>
  <si>
    <t>2604D061</t>
  </si>
  <si>
    <t>Dian Agustian Hadi</t>
  </si>
  <si>
    <t>087778335988</t>
  </si>
  <si>
    <t>https://docs.google.com/document/d/1LVgVHmvL3aOZv38iKHSXcmb7s0pERBN2N5X4Y7qLvXA/edit?tab=t.0</t>
  </si>
  <si>
    <t>2604A040</t>
  </si>
  <si>
    <t>491718386314</t>
  </si>
  <si>
    <t>https://docs.google.com/document/d/1_KJiYE_jm49EUGE1_LMUgzToovUBRgJdPWdhkNP6yJo/edit?usp=sharing</t>
  </si>
  <si>
    <t>2604H022</t>
  </si>
  <si>
    <t>Hasna hafizhah Salma</t>
  </si>
  <si>
    <t>081282497701</t>
  </si>
  <si>
    <t>2604A041</t>
  </si>
  <si>
    <t>Hilman</t>
  </si>
  <si>
    <t>087851935254</t>
  </si>
  <si>
    <t xml:space="preserve">1D D, B </t>
  </si>
  <si>
    <t>https://docs.google.com/document/d/1UWKQuRQWEFDg6BdKNGG0J5S703G8PKMpGc2AeRoHVO0/edit?usp=sharing</t>
  </si>
  <si>
    <t>2604A042</t>
  </si>
  <si>
    <t>Finni yuliani</t>
  </si>
  <si>
    <t>0895320822521</t>
  </si>
  <si>
    <t>2604A043</t>
  </si>
  <si>
    <t>Haryanda bagus</t>
  </si>
  <si>
    <t>085258584658</t>
  </si>
  <si>
    <t>2604A044</t>
  </si>
  <si>
    <t>085117752548</t>
  </si>
  <si>
    <t xml:space="preserve"> OT 2D1N</t>
  </si>
  <si>
    <t>25-25 April</t>
  </si>
  <si>
    <t>https://docs.google.com/document/d/12UzPcCj8bm33B2OEzrVbY_OXwiBhfxYoD9mTTLRBeTY/edit?usp=sharing</t>
  </si>
  <si>
    <t>2604H023</t>
  </si>
  <si>
    <t>Giyanti</t>
  </si>
  <si>
    <t>081399154139</t>
  </si>
  <si>
    <t>https://docs.google.com/document/d/1EwovyVKwMADxWWM0_ycpkDgG5KtW98Z25mnFfwJOfTg/edit?usp=drivesdk</t>
  </si>
  <si>
    <t>2604A045</t>
  </si>
  <si>
    <t>Celine</t>
  </si>
  <si>
    <t>087813520145</t>
  </si>
  <si>
    <t>Trip D, B, PM, Kawah wurung</t>
  </si>
  <si>
    <t>FU 5 mei</t>
  </si>
  <si>
    <t>https://docs.google.com/document/d/1kA7lEu7PdLCfWjo5mzgEk9bw7rm4B8A2fmokR6EtvjI/edit?usp=sharing</t>
  </si>
  <si>
    <t>2604H024</t>
  </si>
  <si>
    <t>Michael Rully</t>
  </si>
  <si>
    <t>085156580342</t>
  </si>
  <si>
    <t>3h2m opsi b</t>
  </si>
  <si>
    <t>Juni akhir</t>
  </si>
  <si>
    <t>fu 18 juni</t>
  </si>
  <si>
    <t>2604H025</t>
  </si>
  <si>
    <t>D'Rona</t>
  </si>
  <si>
    <t>081314814657</t>
  </si>
  <si>
    <t>Akhir Mei</t>
  </si>
  <si>
    <t>https://docs.google.com/document/d/1g0hEU3-pIXVMgTbxmDP7E7sSAtVPNtVIKRpsNAgU3ek/edit?usp=drivesdk</t>
  </si>
  <si>
    <t>2604D062</t>
  </si>
  <si>
    <t>Awinda Dyah Paraswati</t>
  </si>
  <si>
    <t>081334443328</t>
  </si>
  <si>
    <t>private trip ijen baluran</t>
  </si>
  <si>
    <t>15 Agudtus</t>
  </si>
  <si>
    <t>memastikan jadwal dulu, minta di FU lagi 5 Juli</t>
  </si>
  <si>
    <t>https://docs.google.com/document/d/1xVbH47ibZ9li1jq8nP-jxwgBDVPbB6K58Z0g10KOPr8/edit?tab=t.0</t>
  </si>
  <si>
    <t>2604D063</t>
  </si>
  <si>
    <t>Haryandabagus</t>
  </si>
  <si>
    <t>2h1m custome</t>
  </si>
  <si>
    <t>lewat tanggal, di FU tidak balas</t>
  </si>
  <si>
    <t>2604D064</t>
  </si>
  <si>
    <t xml:space="preserve">Karina Wiyanda </t>
  </si>
  <si>
    <t>081226153369</t>
  </si>
  <si>
    <t>1 day Ijen, Djawatan</t>
  </si>
  <si>
    <t>awal Juli</t>
  </si>
  <si>
    <t>FU lagi 4 Juni</t>
  </si>
  <si>
    <t>https://docs.google.com/document/d/1Jb5ymGjxU3kv79KarXQZYoP7hpF7VeAki-qGiuF0b8o/edit?tab=t.0</t>
  </si>
  <si>
    <t>2604D065</t>
  </si>
  <si>
    <t>Ruben</t>
  </si>
  <si>
    <t>34647685658</t>
  </si>
  <si>
    <t>FU 10 Juni</t>
  </si>
  <si>
    <t>https://docs.google.com/document/d/1JSI182IsN0SjFEkKpXgdw47JPfdq9s9aMiw--Cmob1g/edit?tab=t.0</t>
  </si>
  <si>
    <t>2604D066</t>
  </si>
  <si>
    <t>Widia</t>
  </si>
  <si>
    <t>0895638969722</t>
  </si>
  <si>
    <t>OT1 day D, AP</t>
  </si>
  <si>
    <t>belum balas lagi, FU 3 Juni</t>
  </si>
  <si>
    <t>https://docs.google.com/document/d/17wJKrF-qMTsQxVnpPPLODqvJrzsIbF7SqjjwgrUQd90/edit?tab=t.0</t>
  </si>
  <si>
    <t>2604D067</t>
  </si>
  <si>
    <t>Wanti</t>
  </si>
  <si>
    <t>081524136041</t>
  </si>
  <si>
    <t>FU 2 Juni</t>
  </si>
  <si>
    <t>https://docs.google.com/document/d/1IkCwwX8gwQKwgozKKGhEbDbVIrqIZ2qZt5Njy0mLe2A/edit?tab=t.0</t>
  </si>
  <si>
    <t>2604D068</t>
  </si>
  <si>
    <t>Wrestiandini</t>
  </si>
  <si>
    <t>081776440965</t>
  </si>
  <si>
    <t>2604H026</t>
  </si>
  <si>
    <t>Ayutria</t>
  </si>
  <si>
    <t>081290960337</t>
  </si>
  <si>
    <t>one day trip wurung djabal</t>
  </si>
  <si>
    <t xml:space="preserve">Juli pertengahan </t>
  </si>
  <si>
    <t>fu 2 juli</t>
  </si>
  <si>
    <t>https://docs.google.com/document/d/1viCTTSEkRINnsUpDAAQSdL7f8x23hma-4fUulDojJfw/edit?usp=drivesdk</t>
  </si>
  <si>
    <t>2604D069</t>
  </si>
  <si>
    <t>Handoyo</t>
  </si>
  <si>
    <t>0818334587</t>
  </si>
  <si>
    <t>di arahkan ke holiday, trip tumpak sewu ke bwi</t>
  </si>
  <si>
    <t>2604D070</t>
  </si>
  <si>
    <t>Arsha</t>
  </si>
  <si>
    <t>082242790799</t>
  </si>
  <si>
    <t>idul fitri taun depan</t>
  </si>
  <si>
    <t>kasih penawaran, FU lagi 15 september</t>
  </si>
  <si>
    <t>https://docs.google.com/document/d/1_T-CuLyo7nWjfkrZgrfHthCQnf3_5agttdRGdfiO-3M/edit?tab=t.0</t>
  </si>
  <si>
    <t>2604D071</t>
  </si>
  <si>
    <t>Joko Puthut</t>
  </si>
  <si>
    <t>081390522766</t>
  </si>
  <si>
    <t xml:space="preserve">2H1M custome </t>
  </si>
  <si>
    <t>2604D072</t>
  </si>
  <si>
    <t>Abby</t>
  </si>
  <si>
    <t>3h2m cuatome</t>
  </si>
  <si>
    <t>b2b, masih tawar menawar harga</t>
  </si>
  <si>
    <t>https://docs.google.com/document/d/1mRMP_d1RnyR2VFJVUfelYJSN1lvShuZ-6xa11YnGlWE/edit?tab=t.0</t>
  </si>
  <si>
    <t>2604D073</t>
  </si>
  <si>
    <t>Ardiles</t>
  </si>
  <si>
    <t>082225097929</t>
  </si>
  <si>
    <t>2604A046</t>
  </si>
  <si>
    <t>Taju</t>
  </si>
  <si>
    <t>082134237377</t>
  </si>
  <si>
    <t>2h1m  custom</t>
  </si>
  <si>
    <t>https://docs.google.com/document/d/1cl90rx5QiUJs9HcdeolU0W9IhBVMLK02p108iit-CqM/edit?usp=sharing</t>
  </si>
  <si>
    <t>2604A047</t>
  </si>
  <si>
    <t>089514536194</t>
  </si>
  <si>
    <t>masih dishare ke grup, Fu 2 mei</t>
  </si>
  <si>
    <t>https://docs.google.com/document/d/1paIhZipVKAvm_NxzkVLzS3a8DtPRoJonkdvzfHoWmrI/edit?usp=sharing</t>
  </si>
  <si>
    <t>2604A048</t>
  </si>
  <si>
    <t>billy</t>
  </si>
  <si>
    <t>081215050763</t>
  </si>
  <si>
    <t>2604D074</t>
  </si>
  <si>
    <t>Farisfisio</t>
  </si>
  <si>
    <t>082337446500</t>
  </si>
  <si>
    <t>GAGALL, belum jadi liburan</t>
  </si>
  <si>
    <t>https://docs.google.com/document/d/1jZ7F9RgOWG4qPDAe2UMQEpPAnSaL0Qv3FLIPtq1GsFc/edit?tab=t.0</t>
  </si>
  <si>
    <t>2604D075</t>
  </si>
  <si>
    <t>Romi</t>
  </si>
  <si>
    <t>08128880882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</si>
  <si>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</si>
  <si>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https://docs.google.com/document/d/129WbEOC8OLCDbzY8FNFRP9eZLzrYIytMh5qd-ugrKeA/edit?tab=t.0</t>
  </si>
  <si>
    <t>2604H027</t>
  </si>
  <si>
    <t>Kiki</t>
  </si>
  <si>
    <t>081288110888</t>
  </si>
  <si>
    <t>BROMOO</t>
  </si>
  <si>
    <t>Mei / Juni</t>
  </si>
  <si>
    <t>tidak ada kelanjurutan</t>
  </si>
  <si>
    <t>https://docs.google.com/document/d/1quchrNqLCHGepiONa94n2Nv0BaP06nb7B2VryYpEB34/edit?usp=drivesdk</t>
  </si>
  <si>
    <t>2604H028</t>
  </si>
  <si>
    <t>Melia</t>
  </si>
  <si>
    <t>0811195318</t>
  </si>
  <si>
    <t>1d djabal</t>
  </si>
  <si>
    <t>2604D076</t>
  </si>
  <si>
    <t>di arahkan ke holiday, trip ke bromo</t>
  </si>
  <si>
    <t>2604D077</t>
  </si>
  <si>
    <t>Agung</t>
  </si>
  <si>
    <t>08123838113</t>
  </si>
  <si>
    <t>gagall</t>
  </si>
  <si>
    <t>2604D078</t>
  </si>
  <si>
    <t>Ida Farida</t>
  </si>
  <si>
    <t>081809548297</t>
  </si>
  <si>
    <t>4-5 Juni</t>
  </si>
  <si>
    <t>orderrrrrr</t>
  </si>
  <si>
    <t>2604D079</t>
  </si>
  <si>
    <t>Aisyiah Budi Utami</t>
  </si>
  <si>
    <t>088295110961</t>
  </si>
  <si>
    <t>lewat tanggal, sudah fu tidak balas</t>
  </si>
  <si>
    <t>https://docs.google.com/document/d/1ZhoIvxIjB_eJ38d8xAFAPMwbQ2uWAO5aJzvuBLw2L3s/edit?tab=t.0</t>
  </si>
  <si>
    <t>2604A049</t>
  </si>
  <si>
    <t>Eva Januari</t>
  </si>
  <si>
    <t>081348062223</t>
  </si>
  <si>
    <t>https://docs.google.com/document/d/1xrqwT6C0Vgc2QGjcJIPCeXtNyGYzpZJWizNDbhkeRx0/edit?usp=sharing</t>
  </si>
  <si>
    <t>2604A050</t>
  </si>
  <si>
    <t>Tasya Widya</t>
  </si>
  <si>
    <t>08112991307</t>
  </si>
  <si>
    <t xml:space="preserve">2H1M </t>
  </si>
  <si>
    <t>tak ada jawaban</t>
  </si>
  <si>
    <t>https://docs.google.com/document/d/1p04wQrhMyz5VeWOYHu2nvkgecjzPoH2KJ2Yc8B62kkw/edit?usp=sharing</t>
  </si>
  <si>
    <t>2604A051</t>
  </si>
  <si>
    <t>Indriya</t>
  </si>
  <si>
    <t>082271637123</t>
  </si>
  <si>
    <t>https://docs.google.com/document/d/16HUEAj4hDXhu6YcxeOlYhOKJyT8jY-eWNZLthHortcw/edit?usp=sharing</t>
  </si>
  <si>
    <t>2604A052</t>
  </si>
  <si>
    <t>kikii</t>
  </si>
  <si>
    <t>085656704404</t>
  </si>
  <si>
    <t>2H1M Opsi A</t>
  </si>
  <si>
    <t>https://docs.google.com/document/d/1tN-BDIFP4wIdtDPNc4VJGm5KmomsIJWLCspFWJ2XwKE/edit?usp=sharing</t>
  </si>
  <si>
    <t>2604A053</t>
  </si>
  <si>
    <t>089654451424</t>
  </si>
  <si>
    <t>https://docs.google.com/document/d/1aOPRpMvvQewirm47rXVCTEB-xFW7SKdTHnDsy40Ie0o/edit?usp=sharing</t>
  </si>
  <si>
    <t>2604H029</t>
  </si>
  <si>
    <t>Ibrahim</t>
  </si>
  <si>
    <t>0878773573445</t>
  </si>
  <si>
    <t>ot green island</t>
  </si>
  <si>
    <t>fu 15 mei</t>
  </si>
  <si>
    <t>https://docs.google.com/document/d/1dM6Zp8a1y5mROjlAoRCYaR7dArHSorTQ3Kc7Z5leVXs/edit?usp=drivesdk</t>
  </si>
  <si>
    <t>2604H030</t>
  </si>
  <si>
    <t>Santy</t>
  </si>
  <si>
    <t>081219708830</t>
  </si>
  <si>
    <t>gagal. tidak ada jawaban, sdh fu 5 kali</t>
  </si>
  <si>
    <t>https://docs.google.com/document/d/17F8E8d3oGrNrBb2hw5yUe2BWsRJKS7eqVtn89z9y1YE/edit?usp=drivesdk</t>
  </si>
  <si>
    <t>2604D080</t>
  </si>
  <si>
    <t>alfarizi shop</t>
  </si>
  <si>
    <t>085640511280</t>
  </si>
  <si>
    <t>iseng chat, dapet info kao bwi baguss</t>
  </si>
  <si>
    <t>https://docs.google.com/document/d/1DajiEyv3RzKPi--cxeF9R-JUw38NWnODJO6LC4rSlzY/edit?tab=t.0</t>
  </si>
  <si>
    <t>2604D081</t>
  </si>
  <si>
    <t>Parahita</t>
  </si>
  <si>
    <t>087732026218</t>
  </si>
  <si>
    <t>tidak balasss</t>
  </si>
  <si>
    <t>https://docs.google.com/document/d/15jo4z9eGQ_POaKdkaQxLjO8JvdJGQn7XwEVM2jQ99j8/edit?tab=t.0</t>
  </si>
  <si>
    <t>2604D082</t>
  </si>
  <si>
    <t>Nadia</t>
  </si>
  <si>
    <t>081357132150</t>
  </si>
  <si>
    <t>gagalll, sudah FU di read ajaaa</t>
  </si>
  <si>
    <t>https://docs.google.com/document/d/10ltkeh-LVI5NcGltJU3_TOe79x99pr9L4JJuLZhHKQc/edit?tab=t.0</t>
  </si>
  <si>
    <t>2604D083</t>
  </si>
  <si>
    <t>Aldo</t>
  </si>
  <si>
    <t>08179114506</t>
  </si>
  <si>
    <t xml:space="preserve">4h3m </t>
  </si>
  <si>
    <t>10-13 Juni</t>
  </si>
  <si>
    <t>tamu belum jadii</t>
  </si>
  <si>
    <t>https://docs.google.com/document/d/1WHVGc6pXr_NA5e8bnKxYIiD6YaWvqASNC8gVt1j0ALs/edit?tab=t.0</t>
  </si>
  <si>
    <t>2604D084</t>
  </si>
  <si>
    <t>iwatmasud</t>
  </si>
  <si>
    <t>081774174123</t>
  </si>
  <si>
    <t>2604D085</t>
  </si>
  <si>
    <t>Vishesh</t>
  </si>
  <si>
    <t>918744007799</t>
  </si>
  <si>
    <t>gagalll, sudah FU ga balass</t>
  </si>
  <si>
    <t>https://docs.google.com/document/d/1gbR_PYd-rMYlzwtKx9T4TMiE2AJquNPpuyNRqVOykPI/edit?tab=t.0</t>
  </si>
  <si>
    <t>2604D086</t>
  </si>
  <si>
    <t>Rizky M</t>
  </si>
  <si>
    <t>085733618059</t>
  </si>
  <si>
    <t>2604D087</t>
  </si>
  <si>
    <t>081358610149</t>
  </si>
  <si>
    <t>private trip djawatan, baluran</t>
  </si>
  <si>
    <t>belum jadii</t>
  </si>
  <si>
    <t>2604D088</t>
  </si>
  <si>
    <t>Angga Saputra</t>
  </si>
  <si>
    <t>08816929017</t>
  </si>
  <si>
    <t>2h1m opsi A</t>
  </si>
  <si>
    <t>kalo jadi di info</t>
  </si>
  <si>
    <t>https://docs.google.com/document/d/1H23uD1unkjsXPdPRrToI5gh9OXpr4eoISiSVyZ72fWA/edit?tab=t.0</t>
  </si>
  <si>
    <t>2604H031</t>
  </si>
  <si>
    <t>2h1m opsi a</t>
  </si>
  <si>
    <t>Agustus atau Oktober</t>
  </si>
  <si>
    <t>alhamdulilah order</t>
  </si>
  <si>
    <t>https://docs.google.com/document/d/1LK3xcqMSVnkXPq0tHBW21JOscz0FRxUcGi7LPQpDj5U/edit?usp=drivesdk</t>
  </si>
  <si>
    <t>2604H032</t>
  </si>
  <si>
    <t>Trip Pulau Merah</t>
  </si>
  <si>
    <t>Akhir April</t>
  </si>
  <si>
    <t>pengajuan cuti ditolak</t>
  </si>
  <si>
    <t>https://docs.google.com/document/d/11D0stAmTjOlqe3DuSxSukTmCpm3DzjH8MxlmM0Eyfa0/edit?usp=drivesdk</t>
  </si>
  <si>
    <t>2604H033</t>
  </si>
  <si>
    <t>Fie KOL SPECIALIST</t>
  </si>
  <si>
    <t>081210688493</t>
  </si>
  <si>
    <t>https://docs.google.com/document/d/18MWgO1buvWk8nQI37xxjszKjW0ggDc9z9OWFCC9FOSE/edit?usp=drivesdk</t>
  </si>
  <si>
    <t>2604H034</t>
  </si>
  <si>
    <t>Vitantri Anggayasti</t>
  </si>
  <si>
    <t>087880392332</t>
  </si>
  <si>
    <t>https://docs.google.com/document/d/1IQuM08vsAqb1Y1OB5s09NztU_jbbLoqT1Irk1xwyymk/edit?usp=drivesdk</t>
  </si>
  <si>
    <t>2604D089</t>
  </si>
  <si>
    <t>Odit</t>
  </si>
  <si>
    <t>08113070033</t>
  </si>
  <si>
    <t>kelewat tanggal</t>
  </si>
  <si>
    <t>https://docs.google.com/document/d/1-cwMCPH082Ptf7_zffMp1LWyiKIf3AVpdGMe4oEpiCo/edit?tab=t.0</t>
  </si>
  <si>
    <t>2604D090</t>
  </si>
  <si>
    <t>Hanif</t>
  </si>
  <si>
    <t>08985451699</t>
  </si>
  <si>
    <t>menyapaa</t>
  </si>
  <si>
    <t>https://docs.google.com/document/d/1gYTiRPC6QEoPvD6WAzjjC5Cp_rqN-Mufsw4gvFKUZKk/edit?tab=t.0</t>
  </si>
  <si>
    <t>2604D091</t>
  </si>
  <si>
    <t>082210722324</t>
  </si>
  <si>
    <t>bulan september</t>
  </si>
  <si>
    <t>FU 5 Agustus</t>
  </si>
  <si>
    <t>https://docs.google.com/document/d/1JRZn0K39ppYXfl4VxkmDOzu1LmcwBe1zyBzTdcKm8WA/edit?tab=t.0</t>
  </si>
  <si>
    <t>2604H035</t>
  </si>
  <si>
    <t>Elmy</t>
  </si>
  <si>
    <t>087774597676</t>
  </si>
  <si>
    <t>2h1m a</t>
  </si>
  <si>
    <t>tdhk ada jawaban</t>
  </si>
  <si>
    <t>2604H036</t>
  </si>
  <si>
    <t>Iswan</t>
  </si>
  <si>
    <t>088212041590</t>
  </si>
  <si>
    <t>3h2m atau 4h3m</t>
  </si>
  <si>
    <t>https://docs.google.com/document/d/1Jk9-b9kyaRW2sIDqnwUFYpOBKDLoS2gM7AWuBcHQTK4/edit?usp=drivesdk</t>
  </si>
  <si>
    <t>2604D092</t>
  </si>
  <si>
    <t>GreciaLamellae</t>
  </si>
  <si>
    <t>081459107981</t>
  </si>
  <si>
    <t>https://docs.google.com/document/d/1c5nznB_CRMCLBHzgfA1rpf1pzE6IS6xb4bTZa9yTgnQ/edit?tab=t.0</t>
  </si>
  <si>
    <t>2604D093</t>
  </si>
  <si>
    <t>Bima</t>
  </si>
  <si>
    <t>081228857646</t>
  </si>
  <si>
    <t>1 day trip DB</t>
  </si>
  <si>
    <t xml:space="preserve">Juni </t>
  </si>
  <si>
    <t>FU 1 JUNI</t>
  </si>
  <si>
    <t>https://docs.google.com/document/d/10dnotU6s3JVD-IrIEAB0vbLeWPzVBoeQpYonpSw6F8M/edit?tab=t.0</t>
  </si>
  <si>
    <t>2604H037</t>
  </si>
  <si>
    <t>Iqbal WP</t>
  </si>
  <si>
    <t>Fu nanti</t>
  </si>
  <si>
    <t>https://docs.google.com/document/d/1jNNWQMM1K-JNX3kpQHr-uTGcWSe-418PO4kp2KM2Mek/edit?usp=drivesdk</t>
  </si>
  <si>
    <t>2604A054</t>
  </si>
  <si>
    <t>Pinastika</t>
  </si>
  <si>
    <t>081990039512</t>
  </si>
  <si>
    <t>19-21 Mei</t>
  </si>
  <si>
    <t>https://docs.google.com/document/d/1ZV9arjh86y1bYWqVLM5KgWjlMvtdtx7jrIkkc5_UGxA/edit?usp=sharing</t>
  </si>
  <si>
    <t>2604A055</t>
  </si>
  <si>
    <t>08133636406</t>
  </si>
  <si>
    <t>https://docs.google.com/document/d/1JNltuh7q1Le6b0ohCth1rBp-OMXRZujqqXGLvdoOTHs/edit?usp=sharing</t>
  </si>
  <si>
    <t>2604A056</t>
  </si>
  <si>
    <t>Nesya</t>
  </si>
  <si>
    <t>0895397165196</t>
  </si>
  <si>
    <t>Gabung dengan Diah</t>
  </si>
  <si>
    <t>https://docs.google.com/document/d/1Et0BSbWrNalEVk85nZ4-6rfrtEDtHtbAfTNey3v5KH8/edit?usp=sharing</t>
  </si>
  <si>
    <t>2604A057</t>
  </si>
  <si>
    <t>Salsabila</t>
  </si>
  <si>
    <t>085264954614</t>
  </si>
  <si>
    <t>trip T, I</t>
  </si>
  <si>
    <t>https://docs.google.com/document/d/1mpqfMsTF18GGjC6WDjT8Axv5OYaworaP7cayb_z8GQo/edit?usp=sharing</t>
  </si>
  <si>
    <t>2604A058</t>
  </si>
  <si>
    <t>Ambar</t>
  </si>
  <si>
    <t>082141083242</t>
  </si>
  <si>
    <t>OT D, B, M , T</t>
  </si>
  <si>
    <t>27-28</t>
  </si>
  <si>
    <t>https://docs.google.com/document/d/1quEnHGdTJcq9hhALJ1AJUKQ-azpep4kmgHwXiKRMJ5A/edit?usp=sharing</t>
  </si>
  <si>
    <t>2604A059</t>
  </si>
  <si>
    <t>Nana</t>
  </si>
  <si>
    <t>081325151578</t>
  </si>
  <si>
    <t>agustus</t>
  </si>
  <si>
    <t>ada bbrp hal yg kuranf memungkinkan</t>
  </si>
  <si>
    <t>https://docs.google.com/document/d/1VPryGzV7tYRaZLQaV9mY9xTpe87ztOzLpu1NPBQqML8/edit?usp=sharing</t>
  </si>
  <si>
    <t>2604D094</t>
  </si>
  <si>
    <t>Bekti Bayu</t>
  </si>
  <si>
    <t>085900046463</t>
  </si>
  <si>
    <t>gagal, ada urusan mendadak</t>
  </si>
  <si>
    <t>https://docs.google.com/document/d/1PJFJOvn2faWLJ1Ux1j7Uu1bxaYrUiXoX0d45e367nEg/edit?tab=t.0</t>
  </si>
  <si>
    <t>2604D095</t>
  </si>
  <si>
    <t>085777418479</t>
  </si>
  <si>
    <t>1 day ijen baluran</t>
  </si>
  <si>
    <t>belum jadi, ada urusan mendadak</t>
  </si>
  <si>
    <t>https://docs.google.com/document/d/1c17S0pxBtYvxsGVfqW4ikoMmrpZ6XgxkgbTfn9NlNhc/edit?tab=t.0</t>
  </si>
  <si>
    <t>2604D096</t>
  </si>
  <si>
    <t>MHJ</t>
  </si>
  <si>
    <t>085361362363</t>
  </si>
  <si>
    <t>https://docs.google.com/document/d/1ubq0Ip7xPVyg8ZBjIfFDcaQ1VmWNf-BxLe8ivWxflmQ/edit?tab=t.0</t>
  </si>
  <si>
    <t>2604D097</t>
  </si>
  <si>
    <t>https://docs.google.com/document/d/1AjBY8BCoVDTovakPW8tYxCqeUYfqPlnGQWrNOT5vPHs/edit?tab=t.0</t>
  </si>
  <si>
    <t>2604A060</t>
  </si>
  <si>
    <t>Naya</t>
  </si>
  <si>
    <t>081320793223</t>
  </si>
  <si>
    <t>2h3m</t>
  </si>
  <si>
    <t>masih cari cuti</t>
  </si>
  <si>
    <t>2604H038</t>
  </si>
  <si>
    <t>evie (Elvia Charlin)</t>
  </si>
  <si>
    <t>0811172641</t>
  </si>
  <si>
    <t>3h2m b drop bali</t>
  </si>
  <si>
    <t>oktober</t>
  </si>
  <si>
    <t>2604A061</t>
  </si>
  <si>
    <t>Juniffia</t>
  </si>
  <si>
    <t>085524734259</t>
  </si>
  <si>
    <t>kirim penawaran, Akhir mei</t>
  </si>
  <si>
    <t>https://docs.google.com/document/d/1LHtpVf3NdAI-vAH9vaeB8Rj2K3uRud5DL47eGjvvoxU/edit?usp=sharing</t>
  </si>
  <si>
    <t>2604A062</t>
  </si>
  <si>
    <t>May SK</t>
  </si>
  <si>
    <t>08161133838</t>
  </si>
  <si>
    <t>fu lagi 16 mei</t>
  </si>
  <si>
    <t>https://docs.google.com/document/d/1umxVFt11vI8O4VCFAyb3nQhbvyxnjLiZCV1JrrekWJg/edit?usp=sharing</t>
  </si>
  <si>
    <t>2604A063</t>
  </si>
  <si>
    <t>Sky</t>
  </si>
  <si>
    <t>08156960491</t>
  </si>
  <si>
    <t>kirim penawaran, FU Akhir mei</t>
  </si>
  <si>
    <t>https://docs.google.com/document/d/1NMY6AVs3XJ5H-UpmXMShvrtxwceCqEsZREFZ0ipc56Y/edit?usp=sharing</t>
  </si>
  <si>
    <t>2604D098</t>
  </si>
  <si>
    <t>Dira</t>
  </si>
  <si>
    <t>083843366135</t>
  </si>
  <si>
    <t>https://docs.google.com/document/d/1TSb2qucwcTB-lnHSY8aSFKClNo8ZAAx9J3xhvspkGsw/edit?tab=t.0</t>
  </si>
  <si>
    <t>2604A064</t>
  </si>
  <si>
    <t>Erlin</t>
  </si>
  <si>
    <t>085718104191</t>
  </si>
  <si>
    <t>3H2M/2H1M</t>
  </si>
  <si>
    <t>23-25 juni</t>
  </si>
  <si>
    <t>https://docs.google.com/document/d/1WcBSlVFx0_1IChxnGbvWhPNRKRxcStqdhoSQnxnTN_k/edit?usp=sharing</t>
  </si>
  <si>
    <t>2604A065</t>
  </si>
  <si>
    <t>081937996742</t>
  </si>
  <si>
    <t>15 -17 Mei</t>
  </si>
  <si>
    <t>ALHAMDULILLAHHH</t>
  </si>
  <si>
    <t>https://docs.google.com/document/d/1OpKw15qCOlpaZu2JkZA3O2d6sUjSFfmJ9yHhssYmc50/edit?usp=sharing</t>
  </si>
  <si>
    <t>2604H039</t>
  </si>
  <si>
    <t>Dina Wahyuni</t>
  </si>
  <si>
    <t>08161148511</t>
  </si>
  <si>
    <t>ot</t>
  </si>
  <si>
    <t>fu 5 juli. ganti komunikasi ke bu dewi</t>
  </si>
  <si>
    <t>https://docs.google.com/document/d/1CA94GxrudcvCP8NP_vrGKNc8pA8Rg2kXsUuizU2635w/edit?usp=drivesdk</t>
  </si>
  <si>
    <t>2604D099</t>
  </si>
  <si>
    <t>0818410600</t>
  </si>
  <si>
    <t>bulan Juli</t>
  </si>
  <si>
    <t>belum bales lagi, FU 1 Juni</t>
  </si>
  <si>
    <t>https://docs.google.com/document/d/1a2t2xh-Q_GbId736HdtjCusOSHNyn2NFhJYQLCrw0Qg/edit?tab=t.0</t>
  </si>
  <si>
    <t>2604D100</t>
  </si>
  <si>
    <t>Rich Hans</t>
  </si>
  <si>
    <t>081393906568</t>
  </si>
  <si>
    <t>trip menjangan tabuhan</t>
  </si>
  <si>
    <t>https://docs.google.com/document/d/1cT6fLdOPeHhrUXtlP9vy3aNQrrus8gmoBWVtcQLeBQE/edit?tab=t.0</t>
  </si>
  <si>
    <t>2604A066</t>
  </si>
  <si>
    <t>Ponny</t>
  </si>
  <si>
    <t>087878896548</t>
  </si>
  <si>
    <t>Trip D, B, GI</t>
  </si>
  <si>
    <t>30 April- 1 mei</t>
  </si>
  <si>
    <t>sudah booking ditempat lain</t>
  </si>
  <si>
    <t>2604H040</t>
  </si>
  <si>
    <t>Reza IM3</t>
  </si>
  <si>
    <t>08152350888</t>
  </si>
  <si>
    <t>ijen bromo</t>
  </si>
  <si>
    <t>harus cancel, nanti dikontal lagi</t>
  </si>
  <si>
    <t>https://docs.google.com/document/d/1eH41u6Z_wfrEHrbjQdd9GH6WZt6mzTFcN6xi7p5fHPk/edit?usp=drivesdk</t>
  </si>
  <si>
    <t>2604A067</t>
  </si>
  <si>
    <t>No name</t>
  </si>
  <si>
    <t>088286131858</t>
  </si>
  <si>
    <t>2604A068</t>
  </si>
  <si>
    <t>Dhini</t>
  </si>
  <si>
    <t>082123207691</t>
  </si>
  <si>
    <t>2604H041</t>
  </si>
  <si>
    <t>Dewi (Teman bu Dina)</t>
  </si>
  <si>
    <t>081311116988</t>
  </si>
  <si>
    <t>11-13 Agustus</t>
  </si>
  <si>
    <t>alhamdulillah closing</t>
  </si>
  <si>
    <t>https://docs.google.com/document/d/1MJt_gJQOI_OL1L5eeVf9u_-1nKWpxq6J0MkRYXnDonU/edit?usp=drivesdk</t>
  </si>
  <si>
    <t>2604A069</t>
  </si>
  <si>
    <t>Javier</t>
  </si>
  <si>
    <t>085183107452</t>
  </si>
  <si>
    <t>Trip M T</t>
  </si>
  <si>
    <t>mencari yg dr sby</t>
  </si>
  <si>
    <t>2604D101</t>
  </si>
  <si>
    <t xml:space="preserve">Natasya </t>
  </si>
  <si>
    <t>085334830053</t>
  </si>
  <si>
    <t>belum jadi tripppp</t>
  </si>
  <si>
    <t>https://docs.google.com/document/d/1qCdI3qwDLku3digI-0EAyY7bralfjjk1O8wu_5CgYpg/edit?tab=t.0</t>
  </si>
  <si>
    <t>2604A070</t>
  </si>
  <si>
    <t>Jerik</t>
  </si>
  <si>
    <t>08139190325</t>
  </si>
  <si>
    <t>Trip I, AP, D,</t>
  </si>
  <si>
    <t>2-3 mei</t>
  </si>
  <si>
    <t>belum balas lagi.</t>
  </si>
  <si>
    <t>https://docs.google.com/document/d/1CkdeYIqHWUZ1H0TJ7CvOpjMTv3rtSHgw-4-lYBemljE/edit?usp=sharing</t>
  </si>
  <si>
    <t>2604A071</t>
  </si>
  <si>
    <t>Marsheilla A</t>
  </si>
  <si>
    <t>081284460967</t>
  </si>
  <si>
    <t>13-16 Mei</t>
  </si>
  <si>
    <t>https://docs.google.com/document/d/1vxa-C1iwhq7R98Ys7r-d4U_kmYRmPiliwbnsF_fmHP4/edit?usp=sharing</t>
  </si>
  <si>
    <t>2604A072</t>
  </si>
  <si>
    <t>Ria Febri</t>
  </si>
  <si>
    <t>081252405710</t>
  </si>
  <si>
    <t>2604D102</t>
  </si>
  <si>
    <t>Daffa Muhammad</t>
  </si>
  <si>
    <t>081388266430</t>
  </si>
  <si>
    <t>trip green island, bedil, wedi ireng</t>
  </si>
  <si>
    <t>diskusi duluuu, FU 1 juni</t>
  </si>
  <si>
    <t>https://docs.google.com/document/d/1X0f_5xWozLUZJFzEwcAzBKr_mGtEWeh88d4DtkMMXA0/edit?tab=t.0</t>
  </si>
  <si>
    <t>2604D103</t>
  </si>
  <si>
    <t>Dilly Genkei</t>
  </si>
  <si>
    <t>081311462880</t>
  </si>
  <si>
    <t>B2B, gagalll</t>
  </si>
  <si>
    <t>https://docs.google.com/document/d/14owENsUAna9OJBscZNOqK_QB8eD0-c4S1N9otfCRiiY/edit?tab=t.0</t>
  </si>
  <si>
    <t>2604D104</t>
  </si>
  <si>
    <t>Siska</t>
  </si>
  <si>
    <t>082138203623</t>
  </si>
  <si>
    <t>https://docs.google.com/document/d/1kQd95kaRrTTKOaLXD0rooMQF4JmGezlLDRf-ptKMh7I/edit?tab=t.0</t>
  </si>
  <si>
    <t>2604H042</t>
  </si>
  <si>
    <t>Fen</t>
  </si>
  <si>
    <t>085158598922</t>
  </si>
  <si>
    <t>gada jawaban, chat singkat2</t>
  </si>
  <si>
    <t>https://docs.google.com/document/d/1KwOPrq7ZnF0iihBSj364cchnPHB3g1tQ24mXnpuxpnk/edit?usp=drivesdk</t>
  </si>
  <si>
    <t>2604D105</t>
  </si>
  <si>
    <t>Rohma Aulia</t>
  </si>
  <si>
    <t>081910676027</t>
  </si>
  <si>
    <t xml:space="preserve">OT Green Island </t>
  </si>
  <si>
    <t>https://docs.google.com/document/d/1OIJrejhEk0YN5CbXlmD-s4POkpG8C_tJjmRZ334H8ZI/edit?tab=t.0</t>
  </si>
  <si>
    <t>2604D106</t>
  </si>
  <si>
    <t>Sri Redjeki</t>
  </si>
  <si>
    <t>08156515877</t>
  </si>
  <si>
    <t>trip 4h3m</t>
  </si>
  <si>
    <t>nyari temen dulu, FU 2 Juni</t>
  </si>
  <si>
    <t>https://docs.google.com/document/d/1o23ao31TurwoyYl_Fxn4HKpRIQ5AZViwXjLqiK9LHcc/edit?tab=t.0</t>
  </si>
  <si>
    <t>2604A073</t>
  </si>
  <si>
    <t>085156638641</t>
  </si>
  <si>
    <t>FULLBOOKED</t>
  </si>
  <si>
    <t>https://docs.google.com/document/d/1ttTERkF3-Yh8Vp4J56dJWEujJJyZlJEUDu1acbR19Hg/edit?usp=sharing</t>
  </si>
  <si>
    <t>2604A074</t>
  </si>
  <si>
    <t>Ivan</t>
  </si>
  <si>
    <t>085213014214</t>
  </si>
  <si>
    <t>13-15 Juni</t>
  </si>
  <si>
    <t>nanti diinfokan kembali, FU 10 mei</t>
  </si>
  <si>
    <t>https://docs.google.com/document/d/1BRzmkPrY-4K7f9NS6fTkubITgAmZ4yesMYBT3sI5Mdc/edit?usp=sharing</t>
  </si>
  <si>
    <t>2604A075</t>
  </si>
  <si>
    <t>Auliahelen</t>
  </si>
  <si>
    <t>085655941390</t>
  </si>
  <si>
    <t>https://docs.google.com/document/d/1kfw2EVDT_tuFmQ2la4o04ioPxfY3aQ7RyYo8xrkxJaA/edit?usp=sharing</t>
  </si>
  <si>
    <t>2604A076</t>
  </si>
  <si>
    <t xml:space="preserve">Nia </t>
  </si>
  <si>
    <t>082326666677</t>
  </si>
  <si>
    <t>https://docs.google.com/document/d/1hyfRHax52fI684-re7zvLxXKlCbz2hs0OFsWlsG2GWs/edit?usp=sharing</t>
  </si>
  <si>
    <t>2604H043</t>
  </si>
  <si>
    <t>fk</t>
  </si>
  <si>
    <t>087877279125</t>
  </si>
  <si>
    <t>gada jawaban. sdh fu</t>
  </si>
  <si>
    <t>2604H044</t>
  </si>
  <si>
    <t>Jagad</t>
  </si>
  <si>
    <t>082123328238</t>
  </si>
  <si>
    <t>2604H045</t>
  </si>
  <si>
    <t>Rika Ismet</t>
  </si>
  <si>
    <t>081322357646</t>
  </si>
  <si>
    <t>full day trip Alas Purwo-DJawatan-PM</t>
  </si>
  <si>
    <t>27-28 Juni</t>
  </si>
  <si>
    <t>banyak yg tidak bisa ikutan</t>
  </si>
  <si>
    <t>https://docs.google.com/document/d/1PUGOslj04Gira5ColPtvxI9dISq__wjTwGvM6cgJDzo/edit?usp=drivesdk</t>
  </si>
  <si>
    <t>2604D107</t>
  </si>
  <si>
    <t xml:space="preserve">Laili  </t>
  </si>
  <si>
    <t>087753967585</t>
  </si>
  <si>
    <t>kirim penawaran, belum ada balasan</t>
  </si>
  <si>
    <t>https://docs.google.com/document/d/1bKxe1ycKmo9cuWtnuOPOjlrPx29JYMR1Nj9Yznf_MaU/edit?tab=t.0</t>
  </si>
  <si>
    <t>2604D108</t>
  </si>
  <si>
    <t>Rara</t>
  </si>
  <si>
    <t>085163080638</t>
  </si>
  <si>
    <t>12/13 Juni</t>
  </si>
  <si>
    <t>30-40</t>
  </si>
  <si>
    <t>buat penawaran, FU lagi 27 Mei</t>
  </si>
  <si>
    <t>https://docs.google.com/document/d/13_wp2Rd-OLkZ5GFjOehwpUKWbNXhzwXOVTgMs8-dBYk/edit?tab=t.0</t>
  </si>
  <si>
    <t xml:space="preserve">2604D109 </t>
  </si>
  <si>
    <t>Deki Sulistiyo</t>
  </si>
  <si>
    <t>0895418947735</t>
  </si>
  <si>
    <t>belum balas lagi, 4 WNA 3 WNi, B2B. FU 2 Juni</t>
  </si>
  <si>
    <t>https://docs.google.com/document/d/1WkLKWZA8TygP9nFTYVgBd70FECJBPcigBzsef06K1qc/edit?tab=t.0</t>
  </si>
  <si>
    <t>2604H046</t>
  </si>
  <si>
    <t>Deva Mulia</t>
  </si>
  <si>
    <t>08567669986</t>
  </si>
  <si>
    <t>OT 3H2M opsi A</t>
  </si>
  <si>
    <t>21-23 mei</t>
  </si>
  <si>
    <t>alhamdulillaah order</t>
  </si>
  <si>
    <t>2604D110</t>
  </si>
  <si>
    <t>Bulan Fitria</t>
  </si>
  <si>
    <t>085161082238</t>
  </si>
  <si>
    <t>2604H047</t>
  </si>
  <si>
    <t>DENIS</t>
  </si>
  <si>
    <t>08128534418</t>
  </si>
  <si>
    <t>18-20 september</t>
  </si>
  <si>
    <t>FU 18 juni</t>
  </si>
  <si>
    <t>https://docs.google.com/document/d/1azcgmQvYmry9OxnQr7Un_vB01TziFdSuhiNj2Yth5hM/edit?usp=drivesdk</t>
  </si>
  <si>
    <t>2604D111</t>
  </si>
  <si>
    <t>Dy</t>
  </si>
  <si>
    <t>Ditunda blm tau kapan</t>
  </si>
  <si>
    <t>https://docs.google.com/document/d/1qDG5xKQw3NSkuet7vF5jjItKu_hXzf5_Hpp9a2ke-wE/edit?tab=t.0</t>
  </si>
  <si>
    <t>2604D112</t>
  </si>
  <si>
    <t>Yuli</t>
  </si>
  <si>
    <t>085779434648</t>
  </si>
  <si>
    <t>bilang ke temen, FU 8 Juni</t>
  </si>
  <si>
    <t>https://docs.google.com/document/d/1uKnkM18Fe91cFflSBe0nc4YXygjnGQozE03oMr8vpH4/edit?tab=t.0</t>
  </si>
  <si>
    <t>2604A078</t>
  </si>
  <si>
    <t>Bel</t>
  </si>
  <si>
    <t>085716233752</t>
  </si>
  <si>
    <t>OT GI</t>
  </si>
  <si>
    <t>Lempar Holiday</t>
  </si>
  <si>
    <t>2604A079</t>
  </si>
  <si>
    <t>Yulia</t>
  </si>
  <si>
    <t>085223012345</t>
  </si>
  <si>
    <t>juni akhir/awal juli</t>
  </si>
  <si>
    <t>masih dipelajari</t>
  </si>
  <si>
    <t>https://docs.google.com/document/d/14Z7_AKAFl3NTmd7F0XIN-gF5p53yZxCn0IyYOCz40v4/edit?usp=sharing</t>
  </si>
  <si>
    <t>2604A080</t>
  </si>
  <si>
    <t>Shinta</t>
  </si>
  <si>
    <t>0811218443</t>
  </si>
  <si>
    <t>Trip D, MU, PM</t>
  </si>
  <si>
    <t>dipelajari dlu</t>
  </si>
  <si>
    <t>https://docs.google.com/document/d/1crEyDPG7f_0XqK0KInVWj3it23s284T7IZ-leajieXA/edit?usp=sharing</t>
  </si>
  <si>
    <t>2604A081</t>
  </si>
  <si>
    <t>Lintang Ramadhanti</t>
  </si>
  <si>
    <t>085711471680</t>
  </si>
  <si>
    <t>https://docs.google.com/document/d/1ELoa1QhTRPv7xY4B2KRb7_QtbQrdUbPaSnvKIwV70jM/edit?usp=sharing</t>
  </si>
  <si>
    <t>2604A082</t>
  </si>
  <si>
    <t>Adela</t>
  </si>
  <si>
    <t>088233811775</t>
  </si>
  <si>
    <t>30 Mei-1 Juni</t>
  </si>
  <si>
    <t>fu 5 mei</t>
  </si>
  <si>
    <t>https://docs.google.com/document/d/1nAJHVlz5vRjq3zLEU_XS0DhSy4iXhXydO4qH5MOImQE/edit?usp=sharing</t>
  </si>
  <si>
    <t>2604A083</t>
  </si>
  <si>
    <t>085156367823</t>
  </si>
  <si>
    <t>10-12 mei</t>
  </si>
  <si>
    <t>https://docs.google.com/document/d/1mxuSOlq2UoVHUdDq9Qlb0MDNTlSWy6CJ_A4BhyryeM8/edit?usp=sharing</t>
  </si>
  <si>
    <t>2604D113</t>
  </si>
  <si>
    <t>Regina</t>
  </si>
  <si>
    <t>085962869696</t>
  </si>
  <si>
    <t>paket OT</t>
  </si>
  <si>
    <t>sudah fu 4 kali ga pernah baless</t>
  </si>
  <si>
    <t>https://docs.google.com/document/d/1JEhsed8cUIpeRhpSoeVkt_K3u-Rsjohv86_T5zNuGNA/edit?tab=t.0</t>
  </si>
  <si>
    <t>2604D114</t>
  </si>
  <si>
    <t>Aprida</t>
  </si>
  <si>
    <t>085642365218</t>
  </si>
  <si>
    <t>sudah kasih 2 opsi, FU 3 Juni</t>
  </si>
  <si>
    <t>https://docs.google.com/document/d/1kZ8sC95ZVys9F7tzKPfFAOA9ZTL8W7zP-Ie392VQKTk/edit?tab=t.0</t>
  </si>
  <si>
    <t>2604A084</t>
  </si>
  <si>
    <t>081217799593</t>
  </si>
  <si>
    <t>Jadi di Trip lain</t>
  </si>
  <si>
    <t>https://docs.google.com/document/d/13zuv92lZfm8dU5txDsd7XpYxThLYMroV8-s7ljFUxE8/edit?usp=sharing</t>
  </si>
  <si>
    <t>2604H048</t>
  </si>
  <si>
    <t>Athaya Shafa Nisya</t>
  </si>
  <si>
    <t>0895621537011</t>
  </si>
  <si>
    <t>2-9 juni</t>
  </si>
  <si>
    <t>tidak ada jawaban. sdh fu</t>
  </si>
  <si>
    <t>https://docs.google.com/document/d/12jqS9CPcDt76VRLA0J2h-BAxOngrPPe5PoacaOB0Vtw/edit?usp=drivesdk</t>
  </si>
  <si>
    <t>2604D115</t>
  </si>
  <si>
    <t>Intan</t>
  </si>
  <si>
    <t>089685639006</t>
  </si>
  <si>
    <t xml:space="preserve">trip Menjangan </t>
  </si>
  <si>
    <t>belum jadi, mama nya meninggal dunia</t>
  </si>
  <si>
    <t>2604A085</t>
  </si>
  <si>
    <t>ohandjohari</t>
  </si>
  <si>
    <t>087898652288</t>
  </si>
  <si>
    <t>4-6 mei</t>
  </si>
  <si>
    <t>fu 25 april</t>
  </si>
  <si>
    <t>https://docs.google.com/document/d/1Q3qTaUazgE9lLwQqm8vUURZqmMuH72E1TFQW2NQG2kY/edit?usp=sharing</t>
  </si>
  <si>
    <t>2604A086</t>
  </si>
  <si>
    <t>dee</t>
  </si>
  <si>
    <t>082124668365</t>
  </si>
  <si>
    <t>FU 25 April</t>
  </si>
  <si>
    <t>https://docs.google.com/document/d/1-MhHQT8Z0Ma1W4qm-jLxesBmHCQwtRm0kGn27JMhQGU/edit?usp=sharing</t>
  </si>
  <si>
    <t>2604A087</t>
  </si>
  <si>
    <t>fitri</t>
  </si>
  <si>
    <t>0811213038</t>
  </si>
  <si>
    <t>Trip GI BD</t>
  </si>
  <si>
    <t>https://docs.google.com/document/d/1ubk1wW-1mElYA-372--VhpvqOQiUdh5QFXC_BduMTa0/edit?usp=sharing</t>
  </si>
  <si>
    <t>2604H049</t>
  </si>
  <si>
    <t>Felicia</t>
  </si>
  <si>
    <t>082110434575</t>
  </si>
  <si>
    <t>akhir juni</t>
  </si>
  <si>
    <t>ada acara lain, ga jadi liburan</t>
  </si>
  <si>
    <t>https://docs.google.com/document/d/1X8jlQa1Itn_v8cp_GHGu2WLpLy9IBHGxqoCCntrixSI/edit?usp=drivesdk</t>
  </si>
  <si>
    <t>2604D116</t>
  </si>
  <si>
    <t>Febrina Mila</t>
  </si>
  <si>
    <t>085336925757</t>
  </si>
  <si>
    <t>trip Green Island</t>
  </si>
  <si>
    <t>https://docs.google.com/document/d/1rfIICJjN92fpcp9-HHu41Z4u3SfYLWBa7nWYFFSePAk/edit?tab=t.0</t>
  </si>
  <si>
    <t>2604D117</t>
  </si>
  <si>
    <t>Prisca Augustria</t>
  </si>
  <si>
    <t>081808084037</t>
  </si>
  <si>
    <t>trip Ijen Baluran</t>
  </si>
  <si>
    <t>Lewat tanggal dan tidak balas</t>
  </si>
  <si>
    <t>https://docs.google.com/document/d/1cK1b0Z2fSfWsfILIB481EGy5hGnfouFuX2k8GdvvtUw/edit?tab=t.0</t>
  </si>
  <si>
    <t>2604A088</t>
  </si>
  <si>
    <t>Ninis</t>
  </si>
  <si>
    <t>085855855990</t>
  </si>
  <si>
    <t>https://docs.google.com/document/d/1Tzj3M76jItUMwOgYFk_Z7QdY6bhW0Me6c9fjO0dZl98/edit?usp=sharing</t>
  </si>
  <si>
    <t>2604H050</t>
  </si>
  <si>
    <t>baso</t>
  </si>
  <si>
    <t>081514026092</t>
  </si>
  <si>
    <t>lanjut ke jogja</t>
  </si>
  <si>
    <t>2604A090</t>
  </si>
  <si>
    <t>vira</t>
  </si>
  <si>
    <t>087781523339</t>
  </si>
  <si>
    <t>1D M T</t>
  </si>
  <si>
    <t>2604H051</t>
  </si>
  <si>
    <t>082210475679</t>
  </si>
  <si>
    <t>https://docs.google.com/document/d/1dyqvm2xnRBSae-SWuNxYdxIIun6hrOJMiwLDbi7cOIY/edit?usp=drivesdk</t>
  </si>
  <si>
    <t>2604D118</t>
  </si>
  <si>
    <t>Gaby Rostanawa</t>
  </si>
  <si>
    <t>085648882359</t>
  </si>
  <si>
    <t xml:space="preserve">2604D119 </t>
  </si>
  <si>
    <t>Kevin</t>
  </si>
  <si>
    <t>085704064490</t>
  </si>
  <si>
    <t xml:space="preserve">OT teluk Ijo </t>
  </si>
  <si>
    <t>ORDERR, cari barengan 26 JULI</t>
  </si>
  <si>
    <t>https://docs.google.com/document/d/1EQMAU5KNut7qFBpf4Cip1yoVpIyTmHY90yH4vKktdx8/edit?tab=t.0</t>
  </si>
  <si>
    <t>2604A089</t>
  </si>
  <si>
    <t>Herfani</t>
  </si>
  <si>
    <t>081218648700</t>
  </si>
  <si>
    <t>26-28 april</t>
  </si>
  <si>
    <t>2604A091</t>
  </si>
  <si>
    <t>Dhisty</t>
  </si>
  <si>
    <t>081283753989</t>
  </si>
  <si>
    <t>https://docs.google.com/document/d/1L9HSPspX9R4zKi8QK1MZuYY0iQp2DRH5GFRrvjkeOLs/edit?usp=sharing</t>
  </si>
  <si>
    <t>2604A092</t>
  </si>
  <si>
    <t>Abednego</t>
  </si>
  <si>
    <t>081284386772</t>
  </si>
  <si>
    <t>masih sounding ke klg</t>
  </si>
  <si>
    <t>https://docs.google.com/document/d/1vteeac6aA8eiuiUJ8iHe6n1MzFrmrTpdV2sh0idIupY/edit?usp=sharing</t>
  </si>
  <si>
    <t>2604A093</t>
  </si>
  <si>
    <t>Daryanto</t>
  </si>
  <si>
    <t>081910237755</t>
  </si>
  <si>
    <t>8  mei/ 15 mei</t>
  </si>
  <si>
    <t>https://docs.google.com/document/d/1cXkin868abmMBNGqgxRbfwpBvp__EyksqLQ9mPJaLxA/edit?usp=sharing</t>
  </si>
  <si>
    <t>2604A094</t>
  </si>
  <si>
    <t>Ahmad</t>
  </si>
  <si>
    <t>082329480260</t>
  </si>
  <si>
    <t>https://docs.google.com/document/d/18TwIwxgqWojGkn7PqC3MF9HM0Jy-LD-Ihm2a6bHvEhI/edit?usp=sharing</t>
  </si>
  <si>
    <t>2604A095</t>
  </si>
  <si>
    <t xml:space="preserve">Febriana </t>
  </si>
  <si>
    <t>082128547423</t>
  </si>
  <si>
    <t>Tidak ada respon</t>
  </si>
  <si>
    <t>https://docs.google.com/document/d/1lGre8GfM8MCr9mE5gHYjSFk8T8Gjea7bAzvdLueCpj0/edit?usp=sharing</t>
  </si>
  <si>
    <t>2604A096</t>
  </si>
  <si>
    <t>Kamila</t>
  </si>
  <si>
    <t>085220860983</t>
  </si>
  <si>
    <t>https://docs.google.com/document/d/1RFpss8exRQV1AIiB65l1LJe-bN2Mkr6UYX1VqKR7GUA/edit?usp=sharing</t>
  </si>
  <si>
    <t>2604A097</t>
  </si>
  <si>
    <t>081249491409</t>
  </si>
  <si>
    <t>hanya menyapa saja. tidak ada lanjutan</t>
  </si>
  <si>
    <t>https://docs.google.com/document/d/1mcOYCeX4vgkbXEgKgQ3pJDex0IHluTezCeMMehVyNP8/edit?usp=sharing</t>
  </si>
  <si>
    <t>2604A098</t>
  </si>
  <si>
    <t>Rio</t>
  </si>
  <si>
    <t>61415927600</t>
  </si>
  <si>
    <t>28/29 mei</t>
  </si>
  <si>
    <t>tdkjawab</t>
  </si>
  <si>
    <t>https://docs.google.com/document/d/1yBNOOKl2r0NSaC2R80O14_5_IK2aCU5vIC3MrMBxGiE/edit?usp=sharing</t>
  </si>
  <si>
    <t>2604A099</t>
  </si>
  <si>
    <t>Tazkia</t>
  </si>
  <si>
    <t>081585349602</t>
  </si>
  <si>
    <t>2H1M B</t>
  </si>
  <si>
    <t>https://docs.google.com/document/d/14l3RtkaGRNNZ_I7ulRJYn7dDOhlXgk4hre3-ij3lRbQ/edit?usp=sharing</t>
  </si>
  <si>
    <t>2604A100</t>
  </si>
  <si>
    <t>Raihan</t>
  </si>
  <si>
    <t>081280746600</t>
  </si>
  <si>
    <t>15-17</t>
  </si>
  <si>
    <t>Full booked</t>
  </si>
  <si>
    <t>https://docs.google.com/document/d/1YxA_C9wR_TZUPzi34IqJ0HixsYCmgSre94cW3WVWC1o/edit?usp=sharing</t>
  </si>
  <si>
    <t>2604A101</t>
  </si>
  <si>
    <t>Regy</t>
  </si>
  <si>
    <t>082114630240</t>
  </si>
  <si>
    <t>tidak dapat kereta</t>
  </si>
  <si>
    <t>https://docs.google.com/document/d/1RN5Cp46M4Wrze4ix7Z7s72Fu9vDH3GDwE6-7Ce658yI/edit?usp=sharing</t>
  </si>
  <si>
    <t>2604A102</t>
  </si>
  <si>
    <t>Nugi</t>
  </si>
  <si>
    <t>081381534020</t>
  </si>
  <si>
    <t>Trip 1D D, B</t>
  </si>
  <si>
    <t>2604D120</t>
  </si>
  <si>
    <t>Username Jepang</t>
  </si>
  <si>
    <t>082325834235</t>
  </si>
  <si>
    <t>sudah fu tidak balasss</t>
  </si>
  <si>
    <t>https://docs.google.com/document/d/1R4h21_Q98umNU7M4vKLZtciPB8rej6eCA_CXgUFW74M/edit?tab=t.0</t>
  </si>
  <si>
    <t>2604D121</t>
  </si>
  <si>
    <t>Farraz</t>
  </si>
  <si>
    <t>085624461293</t>
  </si>
  <si>
    <t>2h1m Z</t>
  </si>
  <si>
    <t>https://docs.google.com/document/d/1BJZZMF6iC8ti9RESWrp_LQDwdt6IKegVi4GDfcb9vj8/edit?tab=t.0</t>
  </si>
  <si>
    <t>2604D122</t>
  </si>
  <si>
    <t>Bella Davidson</t>
  </si>
  <si>
    <t>082299269363</t>
  </si>
  <si>
    <t>OT DjaBal</t>
  </si>
  <si>
    <t>gajadiii, sudah dapat lain</t>
  </si>
  <si>
    <t>2604D123</t>
  </si>
  <si>
    <t>Azzat</t>
  </si>
  <si>
    <t>085353175191</t>
  </si>
  <si>
    <t>paket custome trip</t>
  </si>
  <si>
    <t>belum balas lagi dah di FU</t>
  </si>
  <si>
    <t>https://docs.google.com/document/d/1ejWc2tJqS0etMEG3hJqvd-qrKivNirSBS2K74sKgHcQ/edit?tab=t.0</t>
  </si>
  <si>
    <t>2604H052</t>
  </si>
  <si>
    <t>Tyo</t>
  </si>
  <si>
    <t>081519481132</t>
  </si>
  <si>
    <t>one day wurung baluran</t>
  </si>
  <si>
    <t>fu 26 juni</t>
  </si>
  <si>
    <t>2604A103</t>
  </si>
  <si>
    <t>082134085922</t>
  </si>
  <si>
    <t>28-20 mei</t>
  </si>
  <si>
    <t>https://docs.google.com/document/d/1SKPH9CgKJRwvJtRhzpxB_dS6MlzgksszSCgZPThJZQk/edit?usp=sharing</t>
  </si>
  <si>
    <t>2604A104</t>
  </si>
  <si>
    <t>Wati</t>
  </si>
  <si>
    <t>https://docs.google.com/document/d/1-OPncysgZtsXtKEyiniZ2gSmzQDiG_DgZ38ohiQ24kM/edit?usp=sharing</t>
  </si>
  <si>
    <t>2604D124</t>
  </si>
  <si>
    <t>Maya Syakina</t>
  </si>
  <si>
    <t>081381070613</t>
  </si>
  <si>
    <t>https://docs.google.com/document/d/1vGMO64q1Wwp2Jk704qSf6-Fy7R_81D1vUhJ-UpC5Nd0/edit?tab=t.0</t>
  </si>
  <si>
    <t>2604D125</t>
  </si>
  <si>
    <t>Sekar Pramesti</t>
  </si>
  <si>
    <t>081232003274</t>
  </si>
  <si>
    <t>trip DjaBal</t>
  </si>
  <si>
    <t>https://docs.google.com/document/d/1KLro28T6VTTx_DjhVMx8wqBU0FbwKuvqE9uBOipRrXw/edit?tab=t.0</t>
  </si>
  <si>
    <t>2604A105</t>
  </si>
  <si>
    <t>Rifqa</t>
  </si>
  <si>
    <t>081511299298</t>
  </si>
  <si>
    <t xml:space="preserve">last fu </t>
  </si>
  <si>
    <t>https://docs.google.com/document/d/1zVrrEsCLn9F_c9dQjP3VUMpO7MWKHLhZJSBqonHK5so/edit?usp=sharing</t>
  </si>
  <si>
    <t>2604A106</t>
  </si>
  <si>
    <t>Velin</t>
  </si>
  <si>
    <t>081215488294</t>
  </si>
  <si>
    <t>https://docs.google.com/document/d/1FYLPBZh9jqZeJJiQgqAdfOq1nQPZSFqldtD-swYXk0s/edit?usp=sharing</t>
  </si>
  <si>
    <t>2604H053</t>
  </si>
  <si>
    <t>Rizky BtoB</t>
  </si>
  <si>
    <t>081281102660</t>
  </si>
  <si>
    <t xml:space="preserve">ijen Baluran </t>
  </si>
  <si>
    <t>Akhir tahun</t>
  </si>
  <si>
    <t>fu 1 juli</t>
  </si>
  <si>
    <t>2604H054</t>
  </si>
  <si>
    <t>Nyoman Adiartha</t>
  </si>
  <si>
    <t>081287966354</t>
  </si>
  <si>
    <t>fu 28 april</t>
  </si>
  <si>
    <t>2604H055</t>
  </si>
  <si>
    <t>Firda Fitria_PLK_PND</t>
  </si>
  <si>
    <t>089508614381</t>
  </si>
  <si>
    <t>sdh fu, gada balasan, balas singkat2</t>
  </si>
  <si>
    <t>https://docs.google.com/document/d/1gPzlJC7WtMpWSg2FU5skpZTdfiffY7GkgOyS71mymoY/edit?usp=drivesdk</t>
  </si>
  <si>
    <t>2604D126</t>
  </si>
  <si>
    <t>Angela Isabel</t>
  </si>
  <si>
    <t>081232652016</t>
  </si>
  <si>
    <t>gagal, deal di admin 2</t>
  </si>
  <si>
    <t>2604D127</t>
  </si>
  <si>
    <t>Sheila</t>
  </si>
  <si>
    <t>085186877535</t>
  </si>
  <si>
    <t>https://docs.google.com/document/d/1U9bwj5-1gucK2W1SMlItJqY1ZPagbqeNEW3MDa5QGrs/edit?tab=t.0</t>
  </si>
  <si>
    <t>2604D128</t>
  </si>
  <si>
    <t>Addy Garage</t>
  </si>
  <si>
    <t>19122241723</t>
  </si>
  <si>
    <t>https://docs.google.com/document/d/1MsfPm7xT_D_6xe8LCjE-rNmOy4JCpmGVZOAXCj_l-xE/edit?tab=t.0</t>
  </si>
  <si>
    <t>2604D129</t>
  </si>
  <si>
    <t>Krish</t>
  </si>
  <si>
    <t>082127635128</t>
  </si>
  <si>
    <t>OT djawatan baluran</t>
  </si>
  <si>
    <t>https://docs.google.com/document/d/1FHkAO9NbIaTBp8A0SO4zUhwmaqIZvkVHxVfoEdUYL2s/edit?tab=t.0</t>
  </si>
  <si>
    <t>2604A107</t>
  </si>
  <si>
    <t>https://docs.google.com/document/d/1ztsu8Oj-4aD3nmLXbHgsA3aa_-IaPu5Xa60ftvACoNk/edit?usp=sharing</t>
  </si>
  <si>
    <t>2604A108</t>
  </si>
  <si>
    <t>Angela</t>
  </si>
  <si>
    <t>2604A109</t>
  </si>
  <si>
    <t>Firda Audia</t>
  </si>
  <si>
    <t>081294433651</t>
  </si>
  <si>
    <t>gada balasan. sdh fu</t>
  </si>
  <si>
    <t>https://docs.google.com/document/d/1yk57ha8fuRgVhXQnZC_KFlKqu_eEJ1jGYt1fEGhjAg8/edit?usp=sharing</t>
  </si>
  <si>
    <t>2604A110</t>
  </si>
  <si>
    <t>Sylvi</t>
  </si>
  <si>
    <t>0811324349</t>
  </si>
  <si>
    <t>trip 1D AP, D, PM</t>
  </si>
  <si>
    <t>reschadule, masih opname</t>
  </si>
  <si>
    <t>https://docs.google.com/document/d/12LmUlhImDvJNn0V1MKO4HEy6bRM_N22I7irWYQHppRQ/edit?usp=sharing</t>
  </si>
  <si>
    <t>2604A111</t>
  </si>
  <si>
    <t>Mifta</t>
  </si>
  <si>
    <t>081380177255</t>
  </si>
  <si>
    <t>Gagal, Vendor Full Booked</t>
  </si>
  <si>
    <t>2604A112</t>
  </si>
  <si>
    <t>Bu Minar</t>
  </si>
  <si>
    <t>081310320316</t>
  </si>
  <si>
    <t>juli</t>
  </si>
  <si>
    <t>Reschadule juli. FU pertengahan juni</t>
  </si>
  <si>
    <t>https://docs.google.com/document/d/1AEURLeT-OST2QAG-jZMSk3SeOSMAZYVFkJ2p4yrSbkw/edit?usp=sharing</t>
  </si>
  <si>
    <t>2604H056</t>
  </si>
  <si>
    <t>081222363338</t>
  </si>
  <si>
    <t>https://docs.google.com/document/d/11_Mxq1JoJD3lMn1q98LRu2wiqXDcN3eF9oOKVoMDEpw/edit?usp=drivesdk</t>
  </si>
  <si>
    <t>2604A113</t>
  </si>
  <si>
    <t>Winda</t>
  </si>
  <si>
    <t>085194589069</t>
  </si>
  <si>
    <t>https://docs.google.com/document/d/1Qj76ryx5e3IvVK4ZmnLf8b10CImepI_1_GydM4m-nBg/edit?usp=sharing</t>
  </si>
  <si>
    <t>2604H057</t>
  </si>
  <si>
    <t>Win</t>
  </si>
  <si>
    <t>081288900039</t>
  </si>
  <si>
    <t>https://docs.google.com/document/d/1r9pkyZoJ4E4pa0a7Eum00xRYoKjDu0yQKO1LwDuvE7o/edit?usp=drivesdk</t>
  </si>
  <si>
    <t>2604D130</t>
  </si>
  <si>
    <t>Dinda</t>
  </si>
  <si>
    <t>085252200823</t>
  </si>
  <si>
    <t>next timeee</t>
  </si>
  <si>
    <t>https://docs.google.com/document/d/1L3TqfYc-OUgrRkuBd1D0JRmljvW2vyYkfVzVNQbKTTg/edit?tab=t.0</t>
  </si>
  <si>
    <t>2604D131</t>
  </si>
  <si>
    <t>Anggita</t>
  </si>
  <si>
    <t>081334735285</t>
  </si>
  <si>
    <t>trip Djawatan</t>
  </si>
  <si>
    <t>https://docs.google.com/document/d/1LwFD_yT24Qlj7HSHKUYnvTtq24TR3a3jeMRKdKXsjTo/edit?tab=t.0</t>
  </si>
  <si>
    <t>2604H058</t>
  </si>
  <si>
    <t>Rani</t>
  </si>
  <si>
    <t>082118242484</t>
  </si>
  <si>
    <t>ada kegiatan pelatihan, sehingga waktu kurang cocok</t>
  </si>
  <si>
    <t>https://docs.google.com/document/d/1jH8xbbFYobjqYLoMcoKrUUjG8ix_8e3hNo50pYc4bKc/edit?usp=drivesdk</t>
  </si>
  <si>
    <t>2604A114</t>
  </si>
  <si>
    <t>Renzy</t>
  </si>
  <si>
    <t>082167892924</t>
  </si>
  <si>
    <t>2604A115</t>
  </si>
  <si>
    <t>Izul</t>
  </si>
  <si>
    <t>085866663713</t>
  </si>
  <si>
    <t>https://docs.google.com/document/d/1UmPikxR8PiBr8sMELyam9EWeGay1Z7vVE3nLypUwrik/edit?usp=sharing</t>
  </si>
  <si>
    <t>2604A116</t>
  </si>
  <si>
    <t>089637597579</t>
  </si>
  <si>
    <t>Kehabisan Tiket Transport</t>
  </si>
  <si>
    <t>2604A117</t>
  </si>
  <si>
    <t>Zira</t>
  </si>
  <si>
    <t>085718414898</t>
  </si>
  <si>
    <t xml:space="preserve">                                                                                                                                                                     </t>
  </si>
  <si>
    <t>masih diskusi dgn keluarga</t>
  </si>
  <si>
    <t>https://docs.google.com/document/d/1brynkPMUwYa0Kpun9sWpNhxfIybvBbn1qPR4oaQqBmo/edit?usp=sharing</t>
  </si>
  <si>
    <t>2604H059</t>
  </si>
  <si>
    <t>Febri</t>
  </si>
  <si>
    <t>088221153498</t>
  </si>
  <si>
    <t>full day ijen wurung baluran</t>
  </si>
  <si>
    <t>masih tanya2 open trip juga. fu 26 juni</t>
  </si>
  <si>
    <t>2604H060</t>
  </si>
  <si>
    <t>081398081190</t>
  </si>
  <si>
    <t xml:space="preserve">ot menjangan tabuhan </t>
  </si>
  <si>
    <t>2604D132</t>
  </si>
  <si>
    <t>Bambang</t>
  </si>
  <si>
    <t>08112484200</t>
  </si>
  <si>
    <t>akhir Juni/awal Juli</t>
  </si>
  <si>
    <t>sudah kirim penawaran 2 opsi paket, FU 10 Juni</t>
  </si>
  <si>
    <t>https://docs.google.com/document/d/1RZeYAuufxwMiCdA-lLrG6KxYBPvONNJ90nnjpmOoD8g/edit?tab=t.0</t>
  </si>
  <si>
    <t>2604D133</t>
  </si>
  <si>
    <t>Repli Despriyanto</t>
  </si>
  <si>
    <t>081218371755</t>
  </si>
  <si>
    <t>diskus dulu, FU 12 Juli</t>
  </si>
  <si>
    <t>https://docs.google.com/document/d/1w6jTgO3RJfzf-x01EvkuPqKmjHIeul8R4Gh4WhbSbiE/edit?tab=t.0</t>
  </si>
  <si>
    <t>2604D134</t>
  </si>
  <si>
    <t>ILMA</t>
  </si>
  <si>
    <t>081545760260</t>
  </si>
  <si>
    <t>fullbookedd</t>
  </si>
  <si>
    <t>2604D135</t>
  </si>
  <si>
    <t>Vano&amp;Freya</t>
  </si>
  <si>
    <t>082232082157</t>
  </si>
  <si>
    <t>1 Day trip baluran</t>
  </si>
  <si>
    <t>https://docs.google.com/document/d/1wwW70MxlMtdTHRAuf9pgQjo_WdTPdfBtryGA2782JWI/edit?usp=sharing</t>
  </si>
  <si>
    <t>2604A118</t>
  </si>
  <si>
    <t>Dwipa</t>
  </si>
  <si>
    <t>081294550707</t>
  </si>
  <si>
    <t>16-16 MEI</t>
  </si>
  <si>
    <t>2604A119</t>
  </si>
  <si>
    <t>3H2M A/B</t>
  </si>
  <si>
    <t>akhir juni/awal juli</t>
  </si>
  <si>
    <t>FU1 juni</t>
  </si>
  <si>
    <t>2605A001</t>
  </si>
  <si>
    <t>Henda</t>
  </si>
  <si>
    <t>081290016726</t>
  </si>
  <si>
    <t>27-29 Juli</t>
  </si>
  <si>
    <t>FU 20 Juni</t>
  </si>
  <si>
    <t>2605A002</t>
  </si>
  <si>
    <t>Ledi Fara</t>
  </si>
  <si>
    <t>088126620344</t>
  </si>
  <si>
    <t>penipu</t>
  </si>
  <si>
    <t>2605D001</t>
  </si>
  <si>
    <t>Nurfa Caesarini</t>
  </si>
  <si>
    <t>081224970222</t>
  </si>
  <si>
    <t>2605H001</t>
  </si>
  <si>
    <t>Novira Riyanti</t>
  </si>
  <si>
    <t>085213504430</t>
  </si>
  <si>
    <t>2 mei - 3 mei</t>
  </si>
  <si>
    <t>2605D002</t>
  </si>
  <si>
    <t>Yeny</t>
  </si>
  <si>
    <t>08117707008</t>
  </si>
  <si>
    <t>2605D003</t>
  </si>
  <si>
    <t>Bian</t>
  </si>
  <si>
    <t>089506107498</t>
  </si>
  <si>
    <t>2605A003</t>
  </si>
  <si>
    <t>089609977265</t>
  </si>
  <si>
    <t>Fullbooked</t>
  </si>
  <si>
    <t>2605A004</t>
  </si>
  <si>
    <t>Kharisma</t>
  </si>
  <si>
    <t>081268902321</t>
  </si>
  <si>
    <t>2605A005</t>
  </si>
  <si>
    <t>Rieska amalia</t>
  </si>
  <si>
    <t>085742479784</t>
  </si>
  <si>
    <t>2H1M A</t>
  </si>
  <si>
    <t>14-15 mei</t>
  </si>
  <si>
    <t>2605A006</t>
  </si>
  <si>
    <t>Olala</t>
  </si>
  <si>
    <t>082227708228</t>
  </si>
  <si>
    <t>Trip B / Sewa Jeep</t>
  </si>
  <si>
    <t>Tika</t>
  </si>
  <si>
    <t>082344805275</t>
  </si>
  <si>
    <t>Trip M T , B</t>
  </si>
  <si>
    <t>2605A007</t>
  </si>
  <si>
    <t>Rahayoe</t>
  </si>
  <si>
    <t>081269731661</t>
  </si>
  <si>
    <t>mei akhir atau pertengahan juni</t>
  </si>
  <si>
    <t>fu 28 mei</t>
  </si>
  <si>
    <t>2605A009</t>
  </si>
  <si>
    <t>Ameena</t>
  </si>
  <si>
    <t>082334704822</t>
  </si>
  <si>
    <t>Trip T</t>
  </si>
  <si>
    <t>masih komfir ke temannnya</t>
  </si>
  <si>
    <t>2605D004</t>
  </si>
  <si>
    <t>Muchammad Fauzan</t>
  </si>
  <si>
    <t>08813338169</t>
  </si>
  <si>
    <t>bulan juli</t>
  </si>
  <si>
    <t>masih diskus, FU 13 Juni</t>
  </si>
  <si>
    <t>https://docs.google.com/document/d/1TuWrmHDQG0B8cDSHAajLv_nuBGxt4QylHcdm7u2pSqE/edit?usp=sharing</t>
  </si>
  <si>
    <t>2605D005</t>
  </si>
  <si>
    <t>Fajar trimira</t>
  </si>
  <si>
    <t>087804047180</t>
  </si>
  <si>
    <t>OT GI,PB,I</t>
  </si>
  <si>
    <t>https://docs.google.com/document/d/1ggbhECHDIWWlkqGsYVaL4_4PR_nIDjOtET-Oo8SgU9I/edit?tab=t.0</t>
  </si>
  <si>
    <t>2605D006</t>
  </si>
  <si>
    <t>Lina</t>
  </si>
  <si>
    <t>085371330887</t>
  </si>
  <si>
    <t>2605D007</t>
  </si>
  <si>
    <t>Fahmi Ijen Estate</t>
  </si>
  <si>
    <t>082333548230</t>
  </si>
  <si>
    <t>Ijen Baluran</t>
  </si>
  <si>
    <t>kalau ada konfirmasi dari tamunya akan dihubungi lagi</t>
  </si>
  <si>
    <t>https://docs.google.com/document/d/1yIoQYJ6YWaTyn325IwmjaMgPf-g648-UhyS7w3GfX4o/edit?usp=sharing</t>
  </si>
  <si>
    <t>2605D008</t>
  </si>
  <si>
    <t>Githa Prawirawinata</t>
  </si>
  <si>
    <t>082264479161</t>
  </si>
  <si>
    <t>13 &amp; 15 Mei</t>
  </si>
  <si>
    <t>5&amp;6</t>
  </si>
  <si>
    <t>2605A010</t>
  </si>
  <si>
    <t>Miftahul Ulum</t>
  </si>
  <si>
    <t>085604046643</t>
  </si>
  <si>
    <t>2605A011</t>
  </si>
  <si>
    <t>Rony</t>
  </si>
  <si>
    <t>085863963349</t>
  </si>
  <si>
    <t xml:space="preserve">1D </t>
  </si>
  <si>
    <t>2605A012</t>
  </si>
  <si>
    <t>Reyni</t>
  </si>
  <si>
    <t>085339626665</t>
  </si>
  <si>
    <t>OTMT</t>
  </si>
  <si>
    <t>gada jawaban. gagal</t>
  </si>
  <si>
    <t>2605A013</t>
  </si>
  <si>
    <t>Egy Religya</t>
  </si>
  <si>
    <t>088901619672</t>
  </si>
  <si>
    <t>2605A014</t>
  </si>
  <si>
    <t>Amel (Safara)</t>
  </si>
  <si>
    <t>081252511149</t>
  </si>
  <si>
    <t>3H2M Z (exc. transport)</t>
  </si>
  <si>
    <t>kemungkinan perjadin</t>
  </si>
  <si>
    <t>2605A015</t>
  </si>
  <si>
    <t>Lailia M</t>
  </si>
  <si>
    <t>082143232230</t>
  </si>
  <si>
    <t>ga jadi, sdh tdk di bwi</t>
  </si>
  <si>
    <t>2605A016</t>
  </si>
  <si>
    <t>Adi</t>
  </si>
  <si>
    <t>081234584744‬</t>
  </si>
  <si>
    <t>masih dipertimbangkan</t>
  </si>
  <si>
    <t>2605A017</t>
  </si>
  <si>
    <t>Dhana</t>
  </si>
  <si>
    <t>085669866741‬</t>
  </si>
  <si>
    <t>cancell</t>
  </si>
  <si>
    <t>2605H002</t>
  </si>
  <si>
    <t>Widya</t>
  </si>
  <si>
    <t>085706144955</t>
  </si>
  <si>
    <t>OT Green Island</t>
  </si>
  <si>
    <t>fu 19 juni</t>
  </si>
  <si>
    <t>https://docs.google.com/document/d/10d1_HNFhLrWa0RFBNQ9sJiYjG9EEHCqfSvV537DNSD4/edit?usp=drivesdk</t>
  </si>
  <si>
    <t>2605A018</t>
  </si>
  <si>
    <t>Alya Belinda</t>
  </si>
  <si>
    <t>081227162986‬</t>
  </si>
  <si>
    <t>gada balasan lagi</t>
  </si>
  <si>
    <t>2605A019</t>
  </si>
  <si>
    <t>Nadine</t>
  </si>
  <si>
    <t>08886682380‬</t>
  </si>
  <si>
    <t>2605A020</t>
  </si>
  <si>
    <t>Elok</t>
  </si>
  <si>
    <t>082295407134‬</t>
  </si>
  <si>
    <t>28-30 Mei</t>
  </si>
  <si>
    <t>FU 7 Mei</t>
  </si>
  <si>
    <t>2605D009</t>
  </si>
  <si>
    <t>Arun</t>
  </si>
  <si>
    <t>081326936347</t>
  </si>
  <si>
    <t>private trip MT</t>
  </si>
  <si>
    <t>2605D010</t>
  </si>
  <si>
    <t>Elyus</t>
  </si>
  <si>
    <t>085204750074</t>
  </si>
  <si>
    <t>akhir bln juni</t>
  </si>
  <si>
    <t>B2B masih blm ada jawaban, FU  13 Juni</t>
  </si>
  <si>
    <t>https://docs.google.com/document/d/1Lf-LbXOi-qB-iaZZeumqmCheNk3IVriVuYCFtobORA0/edit?tab=t.0</t>
  </si>
  <si>
    <t>2605D011</t>
  </si>
  <si>
    <t>Sindi Anggayani</t>
  </si>
  <si>
    <t>081338965400</t>
  </si>
  <si>
    <t>2605D012</t>
  </si>
  <si>
    <t>Lyny</t>
  </si>
  <si>
    <t>08119304020</t>
  </si>
  <si>
    <t>ORDERRRR</t>
  </si>
  <si>
    <t>2605A021</t>
  </si>
  <si>
    <t>Satrya jaya</t>
  </si>
  <si>
    <t>082158024089</t>
  </si>
  <si>
    <t>nunggu peserta lain, diinfo jika sudah ada</t>
  </si>
  <si>
    <t>2605A022</t>
  </si>
  <si>
    <t>Dwi</t>
  </si>
  <si>
    <t>081216886288</t>
  </si>
  <si>
    <t>Ragillia Ramadhani</t>
  </si>
  <si>
    <t>08995373206</t>
  </si>
  <si>
    <t>ot green island - spot t - water blow</t>
  </si>
  <si>
    <t>2605D013</t>
  </si>
  <si>
    <t>Winda Yulianti</t>
  </si>
  <si>
    <t>081220288408</t>
  </si>
  <si>
    <t>2605D014</t>
  </si>
  <si>
    <t>Anggita Oktavia</t>
  </si>
  <si>
    <t>081807903434</t>
  </si>
  <si>
    <t>kirim penawaran, FU lagi 1 juni</t>
  </si>
  <si>
    <t>https://docs.google.com/document/d/1oHoo0h0KIE9ZojSF9tN8i-whNzw1nD7doKEFA7u9CJM/edit?usp=sharing</t>
  </si>
  <si>
    <t>Weni Safitri</t>
  </si>
  <si>
    <t>085267425448</t>
  </si>
  <si>
    <t xml:space="preserve">cari waktu lain, honeymoon  </t>
  </si>
  <si>
    <t>https://docs.google.com/document/d/1AQSM01m6bQcJsuP75k3TjEaMqk7XcS-NQ9qknft_5K0/edit?usp=sharing</t>
  </si>
  <si>
    <t>2605D015</t>
  </si>
  <si>
    <t>Lien Karlina</t>
  </si>
  <si>
    <t xml:space="preserve"> 081111151907</t>
  </si>
  <si>
    <t>FU 9 Mei</t>
  </si>
  <si>
    <t>https://docs.google.com/document/d/17ivz-YTQYvNp4LjODTyuRQ8zExch6b8DgVK-u6ctK3A/edit?usp=sharing</t>
  </si>
  <si>
    <t>2605D016</t>
  </si>
  <si>
    <t>Sasa</t>
  </si>
  <si>
    <t>085748099870</t>
  </si>
  <si>
    <t xml:space="preserve">1 day custome </t>
  </si>
  <si>
    <t>gagalll, gajadi tripp</t>
  </si>
  <si>
    <t>https://docs.google.com/document/d/1GLUcZNJyecrdhfsl2I3Rx-cBll0MHvJ9V1IPRUe7ayw/edit?usp=sharing</t>
  </si>
  <si>
    <t>2605D017</t>
  </si>
  <si>
    <t>Dipta Daniswara</t>
  </si>
  <si>
    <t>085640643545</t>
  </si>
  <si>
    <t>OT Djabal</t>
  </si>
  <si>
    <t>URGENSI</t>
  </si>
  <si>
    <t>https://docs.google.com/document/d/13Jm6qni_34WZX-KjQ6PL7A4tl7nXxf4EigNzYgZuA2k/edit?usp=sharing</t>
  </si>
  <si>
    <t>2605D018</t>
  </si>
  <si>
    <t>Fikamelinda</t>
  </si>
  <si>
    <t>088215725502</t>
  </si>
  <si>
    <t>3h2m Opsi B</t>
  </si>
  <si>
    <t>gajadii, cari ot green island</t>
  </si>
  <si>
    <t>2605D019</t>
  </si>
  <si>
    <t>Sandychantyka</t>
  </si>
  <si>
    <t>085864140226</t>
  </si>
  <si>
    <t>2h1m Opsi C</t>
  </si>
  <si>
    <t>kalo jadi akan dihubungi lagii</t>
  </si>
  <si>
    <t>https://docs.google.com/document/d/1dyP1DzjpVtL4dEedf_0GH93y3aGmSGBvCrAH0ja_CyQ/edit?tab=t.0</t>
  </si>
  <si>
    <t>2605H004</t>
  </si>
  <si>
    <t>Mohammad Faiz</t>
  </si>
  <si>
    <t>082295287622</t>
  </si>
  <si>
    <t>pvt 1d gi</t>
  </si>
  <si>
    <t>2605D020</t>
  </si>
  <si>
    <t>089680730407</t>
  </si>
  <si>
    <t>https://docs.google.com/document/d/1elRKRoDF9nJ6FY-bxMaewuUYmg5daKmCVPna9bj5G_U/edit?usp=sharing</t>
  </si>
  <si>
    <t>2605D021</t>
  </si>
  <si>
    <t>Heru Prihandono</t>
  </si>
  <si>
    <t>08161155135</t>
  </si>
  <si>
    <t>tidak jadi ke Banyuwangi</t>
  </si>
  <si>
    <t>2605D022</t>
  </si>
  <si>
    <t>082258275496</t>
  </si>
  <si>
    <t>https://docs.google.com/document/d/19be7I9TeaXjQcpKX0Eb2IKE5o8eQ_4TGdh4DjG30860/edit?usp=sharing</t>
  </si>
  <si>
    <t>2605D023</t>
  </si>
  <si>
    <t>Cahya Puspita</t>
  </si>
  <si>
    <t>085234768672</t>
  </si>
  <si>
    <t>https://docs.google.com/document/d/1_bxpNWTqgV45U3ll1CyRSQG6hX6eJdqGNkSG_VFc0pM/edit?tab=t.0</t>
  </si>
  <si>
    <t>2605D024</t>
  </si>
  <si>
    <t>Wahyu Ismail</t>
  </si>
  <si>
    <t>087738979188</t>
  </si>
  <si>
    <t>B2B</t>
  </si>
  <si>
    <t>https://docs.google.com/document/d/1-yIpC01ZGDcoSgBQczirpYBq5zg0qIol8COZIov61RQ/edit?usp=sharing</t>
  </si>
  <si>
    <t>2605A023</t>
  </si>
  <si>
    <t xml:space="preserve">Elia </t>
  </si>
  <si>
    <t>081389029614</t>
  </si>
  <si>
    <t>Djawatan baluran</t>
  </si>
  <si>
    <t>2605A024</t>
  </si>
  <si>
    <t>081234584744</t>
  </si>
  <si>
    <t>2h1m z</t>
  </si>
  <si>
    <t>masih dipertimbangkan. fu 4 juni</t>
  </si>
  <si>
    <t>2605A025</t>
  </si>
  <si>
    <t>Dhana caesar</t>
  </si>
  <si>
    <t>085669866741</t>
  </si>
  <si>
    <t>tidak jadi ambil paketnya</t>
  </si>
  <si>
    <t>2605A026</t>
  </si>
  <si>
    <t>Ezra</t>
  </si>
  <si>
    <t>0881080202667</t>
  </si>
  <si>
    <t>D, B</t>
  </si>
  <si>
    <t>tdk ada jawaban</t>
  </si>
  <si>
    <t>2605A027</t>
  </si>
  <si>
    <t>Nuraini</t>
  </si>
  <si>
    <t>083893689355</t>
  </si>
  <si>
    <t>2605A028</t>
  </si>
  <si>
    <t>Edward Esling</t>
  </si>
  <si>
    <t>447860207309</t>
  </si>
  <si>
    <t>2605A029</t>
  </si>
  <si>
    <t>JE</t>
  </si>
  <si>
    <t>08993838705</t>
  </si>
  <si>
    <t>30-31 mei</t>
  </si>
  <si>
    <t>2605A030</t>
  </si>
  <si>
    <t>Ery Hikmawati</t>
  </si>
  <si>
    <t>085285143243</t>
  </si>
  <si>
    <t>3-5 september</t>
  </si>
  <si>
    <t>kasi tau travel sby-bwi. fu 4 juli</t>
  </si>
  <si>
    <t>2605A031</t>
  </si>
  <si>
    <t>Natasya Aulia Izzati R</t>
  </si>
  <si>
    <t>0895395178369</t>
  </si>
  <si>
    <t>2605A032</t>
  </si>
  <si>
    <t>Kak Ayu PT Lombok Traveling Tours</t>
  </si>
  <si>
    <t>082236869216</t>
  </si>
  <si>
    <t>3-6 Juli</t>
  </si>
  <si>
    <t>fu 14 mei</t>
  </si>
  <si>
    <t>2605A033</t>
  </si>
  <si>
    <t>Bella Al Azis</t>
  </si>
  <si>
    <t>081391601261</t>
  </si>
  <si>
    <t>ot djabal</t>
  </si>
  <si>
    <t xml:space="preserve">tidak menyebutkan alasan tidak jadi </t>
  </si>
  <si>
    <t>2605A034</t>
  </si>
  <si>
    <t>Itinn</t>
  </si>
  <si>
    <t>081318848401</t>
  </si>
  <si>
    <t>2605A035</t>
  </si>
  <si>
    <t>Veny</t>
  </si>
  <si>
    <t>081384777185</t>
  </si>
  <si>
    <t>liburan sekolah juli</t>
  </si>
  <si>
    <t>2605A036</t>
  </si>
  <si>
    <t>Prasti PNP</t>
  </si>
  <si>
    <t>08119855855</t>
  </si>
  <si>
    <t>ot mt</t>
  </si>
  <si>
    <t>juni akhir</t>
  </si>
  <si>
    <t>alhamdulillah</t>
  </si>
  <si>
    <t>2605A037</t>
  </si>
  <si>
    <t>nasyab</t>
  </si>
  <si>
    <t>0882009584159</t>
  </si>
  <si>
    <t>green island</t>
  </si>
  <si>
    <t>2605A038</t>
  </si>
  <si>
    <t>085184659081</t>
  </si>
  <si>
    <t>2605A039</t>
  </si>
  <si>
    <t>FADHIL</t>
  </si>
  <si>
    <t>081229036282</t>
  </si>
  <si>
    <t>snoekling</t>
  </si>
  <si>
    <t>2605A040</t>
  </si>
  <si>
    <t>08988700324</t>
  </si>
  <si>
    <t>Open trip</t>
  </si>
  <si>
    <t>Agustus atau September</t>
  </si>
  <si>
    <t>fu 2 agustus</t>
  </si>
  <si>
    <t>2605A041</t>
  </si>
  <si>
    <t>Anabel</t>
  </si>
  <si>
    <t>08112121232</t>
  </si>
  <si>
    <t>1d djawatan green island</t>
  </si>
  <si>
    <t>2605A042</t>
  </si>
  <si>
    <t>Lilis</t>
  </si>
  <si>
    <t>081285371101</t>
  </si>
  <si>
    <t>3h2m open trip</t>
  </si>
  <si>
    <t>ditunda rencananya</t>
  </si>
  <si>
    <t>2605A043</t>
  </si>
  <si>
    <t>M. Aryawira C</t>
  </si>
  <si>
    <t>085842903250</t>
  </si>
  <si>
    <t>2605A044</t>
  </si>
  <si>
    <t>Mitaaa</t>
  </si>
  <si>
    <t>085729200538</t>
  </si>
  <si>
    <t>2605A045</t>
  </si>
  <si>
    <t>Victor</t>
  </si>
  <si>
    <t>081282815552</t>
  </si>
  <si>
    <t>2605A046</t>
  </si>
  <si>
    <t>Annisa Eka Fitrianti</t>
  </si>
  <si>
    <t>082240709074</t>
  </si>
  <si>
    <t>private trip mt</t>
  </si>
  <si>
    <t>2605A047</t>
  </si>
  <si>
    <t>Yefta Andrea</t>
  </si>
  <si>
    <t>081227001402</t>
  </si>
  <si>
    <t>2605A048</t>
  </si>
  <si>
    <t>Ani Restuning Tias</t>
  </si>
  <si>
    <t>082148480303</t>
  </si>
  <si>
    <t>18-20 mei</t>
  </si>
  <si>
    <t>trip selesai</t>
  </si>
  <si>
    <t xml:space="preserve">2605A049 </t>
  </si>
  <si>
    <t>Artha</t>
  </si>
  <si>
    <t>082220229150</t>
  </si>
  <si>
    <t>ortu sakit</t>
  </si>
  <si>
    <t>2605H005</t>
  </si>
  <si>
    <t>Firdaus</t>
  </si>
  <si>
    <t>082282178669</t>
  </si>
  <si>
    <t>maunya lihat blue fire</t>
  </si>
  <si>
    <t>2605H006</t>
  </si>
  <si>
    <t>Meila Karina</t>
  </si>
  <si>
    <t>082140233311</t>
  </si>
  <si>
    <t>https://docs.google.com/document/d/1sQFymd2FffLYyZCnGlu7qJ4_vOOyFNx4VnnU9QhxdfQ/edit?usp=drivesdk</t>
  </si>
  <si>
    <t>2605D025</t>
  </si>
  <si>
    <t>081329605303</t>
  </si>
  <si>
    <t>2605D026</t>
  </si>
  <si>
    <t>Erli Susandi</t>
  </si>
  <si>
    <t>085236743404</t>
  </si>
  <si>
    <t>masih rundingan sm temen, last FU 23 Mei</t>
  </si>
  <si>
    <t>https://docs.google.com/document/d/14nVUxQn49jSgY-IHGB_ZpviSf8lJr_HMeyKXc84oauI/edit?usp=sharing</t>
  </si>
  <si>
    <t>2605D027</t>
  </si>
  <si>
    <t>Username N</t>
  </si>
  <si>
    <t>081333004126</t>
  </si>
  <si>
    <t>https://docs.google.com/document/d/1tFfyUhfqFxF-B-eJAeH01Uo7E6YRby2LaZEDeJ7180g/edit?usp=sharing</t>
  </si>
  <si>
    <t>2605A050</t>
  </si>
  <si>
    <t>Mita</t>
  </si>
  <si>
    <t>0895339162517</t>
  </si>
  <si>
    <t>2H1M CUSTOM</t>
  </si>
  <si>
    <t>31 Mei - 1 Juni</t>
  </si>
  <si>
    <t>fu 10 mei</t>
  </si>
  <si>
    <t>2605A051</t>
  </si>
  <si>
    <t>Akuuu</t>
  </si>
  <si>
    <t>089514875765</t>
  </si>
  <si>
    <t>2605A052</t>
  </si>
  <si>
    <t>Ade</t>
  </si>
  <si>
    <t>089699870731</t>
  </si>
  <si>
    <t>ot 2h1m</t>
  </si>
  <si>
    <t>2605D028</t>
  </si>
  <si>
    <t>Fakhri</t>
  </si>
  <si>
    <t>082220555002</t>
  </si>
  <si>
    <t>sudah kasih harga, FU 11 Juni</t>
  </si>
  <si>
    <t>https://docs.google.com/document/d/1NtlzGZDLfNlt1971pPrT4aFEB86nNTHmGbbDZtSIAKk/edit?usp=sharing</t>
  </si>
  <si>
    <t>2605D029</t>
  </si>
  <si>
    <t>Herlina</t>
  </si>
  <si>
    <t>081228226656</t>
  </si>
  <si>
    <t>FU 2 kali tdk balass, FU 24 Mei</t>
  </si>
  <si>
    <t>https://docs.google.com/document/d/1w5BYt9K4-hnVW2x_E89mhsEuetKe0MW4tD-JiV5CQlc/edit?usp=sharing</t>
  </si>
  <si>
    <t>2605D030</t>
  </si>
  <si>
    <t>Binta Ali tamara</t>
  </si>
  <si>
    <t>081216822288</t>
  </si>
  <si>
    <t>gagall, ga bales lagi</t>
  </si>
  <si>
    <t>2605A053</t>
  </si>
  <si>
    <t>081280775907</t>
  </si>
  <si>
    <t>2605A054</t>
  </si>
  <si>
    <t>Hana Harsyika</t>
  </si>
  <si>
    <t>081299148988</t>
  </si>
  <si>
    <t>fu 25 mei. hitung paket</t>
  </si>
  <si>
    <t>2605A055</t>
  </si>
  <si>
    <t>Sabita</t>
  </si>
  <si>
    <t>089663948105</t>
  </si>
  <si>
    <t>open trip 2h1m</t>
  </si>
  <si>
    <t>11-14 juni</t>
  </si>
  <si>
    <t>fu 7 juni</t>
  </si>
  <si>
    <t>2605A056</t>
  </si>
  <si>
    <t>Tifa</t>
  </si>
  <si>
    <t>08998768348</t>
  </si>
  <si>
    <t>2605A057</t>
  </si>
  <si>
    <t>Faisal</t>
  </si>
  <si>
    <t>081903870457</t>
  </si>
  <si>
    <t>2605D031</t>
  </si>
  <si>
    <t>Herry Poer</t>
  </si>
  <si>
    <t>081333093581</t>
  </si>
  <si>
    <t>1 day trip GI</t>
  </si>
  <si>
    <t>akhir/awal tahun</t>
  </si>
  <si>
    <t xml:space="preserve">sudah kirim penawaran, </t>
  </si>
  <si>
    <t>https://docs.google.com/document/d/1XkoZRZYTZtCw9mFuV7U6sPx0gO3_qmUr5kwO2HmMm6o/edit?usp=sharing</t>
  </si>
  <si>
    <t>2605D032</t>
  </si>
  <si>
    <t>Dita Aulia</t>
  </si>
  <si>
    <t>083107565563</t>
  </si>
  <si>
    <t>Open trip MT, DB, I</t>
  </si>
  <si>
    <t>2605D033</t>
  </si>
  <si>
    <t>Laurie Octaviane</t>
  </si>
  <si>
    <t>081510109409</t>
  </si>
  <si>
    <t>private trip Djawatan Baluran</t>
  </si>
  <si>
    <t>2605D034</t>
  </si>
  <si>
    <t>Nono Heri</t>
  </si>
  <si>
    <t>081384192675</t>
  </si>
  <si>
    <t>2605D035</t>
  </si>
  <si>
    <t>Mama Boy</t>
  </si>
  <si>
    <t>60102003144</t>
  </si>
  <si>
    <t>masih diskuss</t>
  </si>
  <si>
    <t>https://docs.google.com/document/d/1xPan_0giyffBX4xkJJkx1CbbXnWtbmRsjkDBBx6vTFY/edit?usp=sharing</t>
  </si>
  <si>
    <t>2605H007</t>
  </si>
  <si>
    <t>Yuliastuti Bahri</t>
  </si>
  <si>
    <t>082210786654</t>
  </si>
  <si>
    <t>15 26 mei</t>
  </si>
  <si>
    <t>2605A058</t>
  </si>
  <si>
    <t>Syila</t>
  </si>
  <si>
    <t>085230222999</t>
  </si>
  <si>
    <t>ot3h2m</t>
  </si>
  <si>
    <t>2605A059</t>
  </si>
  <si>
    <t>Dania Nurrizky</t>
  </si>
  <si>
    <t>087803446447</t>
  </si>
  <si>
    <t xml:space="preserve">2605A060 </t>
  </si>
  <si>
    <t>Silmina</t>
  </si>
  <si>
    <t>0813939177291</t>
  </si>
  <si>
    <t>2605A061</t>
  </si>
  <si>
    <t>Deltaforce</t>
  </si>
  <si>
    <t>085212014707</t>
  </si>
  <si>
    <t>belum ada balasan. fu 13 mei</t>
  </si>
  <si>
    <t>2605A062</t>
  </si>
  <si>
    <t>Putu Vari Bagiarti</t>
  </si>
  <si>
    <t>0877855228338</t>
  </si>
  <si>
    <t>2605A063</t>
  </si>
  <si>
    <t>Civan</t>
  </si>
  <si>
    <t>082338486647</t>
  </si>
  <si>
    <t>2605A064</t>
  </si>
  <si>
    <t>Pawestri</t>
  </si>
  <si>
    <t>081330631454</t>
  </si>
  <si>
    <t>menjangan baluran</t>
  </si>
  <si>
    <t>2605D036</t>
  </si>
  <si>
    <t>Sisi</t>
  </si>
  <si>
    <t>081316886516</t>
  </si>
  <si>
    <t xml:space="preserve">2h1m custome </t>
  </si>
  <si>
    <t>https://docs.google.com/document/d/1AvocrKK5urav6aCROcQ9LAMDYgIbJl3RYGznd0WPdsI/edit?usp=sharing</t>
  </si>
  <si>
    <t>2605D037</t>
  </si>
  <si>
    <t>Raniah</t>
  </si>
  <si>
    <t>081296575430</t>
  </si>
  <si>
    <t>OT MT, IB</t>
  </si>
  <si>
    <t>https://docs.google.com/document/d/1G0l2Un5VkFEqv_WYzjV4_qQyrnqVLChynkyLgUrsfMw/edit?usp=sharing</t>
  </si>
  <si>
    <t>2605D038</t>
  </si>
  <si>
    <t>Regina DA</t>
  </si>
  <si>
    <t>081253317588</t>
  </si>
  <si>
    <t>trip 2h1m custome GI,I</t>
  </si>
  <si>
    <t xml:space="preserve">bulan Oktober </t>
  </si>
  <si>
    <t>https://docs.google.com/document/d/1IcU39YlcONko4OhP92nIf2FY_6RStNqsi3fxy-nVFhw/edit?usp=sharing</t>
  </si>
  <si>
    <t>2605D039</t>
  </si>
  <si>
    <t>Laksana</t>
  </si>
  <si>
    <t>081323536688</t>
  </si>
  <si>
    <t>minta penawaran, belum tau trip nya kapan</t>
  </si>
  <si>
    <t>https://docs.google.com/document/d/1JQuoQnXo77V-gAoncDa2yTF-WFWwq7xoUi0JIb1gglI/edit?usp=sharing</t>
  </si>
  <si>
    <t>2605D040</t>
  </si>
  <si>
    <t>085804387059</t>
  </si>
  <si>
    <t>OT MT, IJEN</t>
  </si>
  <si>
    <t>orrdeerrrr</t>
  </si>
  <si>
    <t>https://docs.google.com/document/d/1MRZMtb4K1mNC6IKmxtKhDrP7R3pTKIIWrBoKumQqJCc/edit?tab=t.0</t>
  </si>
  <si>
    <t>2605D041</t>
  </si>
  <si>
    <t>083134174391</t>
  </si>
  <si>
    <t>OT IJEN</t>
  </si>
  <si>
    <t>sudah di FU ga balesss, lewat tgl</t>
  </si>
  <si>
    <t>2605D042</t>
  </si>
  <si>
    <t>Selviana Daranita</t>
  </si>
  <si>
    <t>2605D043</t>
  </si>
  <si>
    <t>Wildan Dika</t>
  </si>
  <si>
    <t>085695494960</t>
  </si>
  <si>
    <t>22-23 Mei</t>
  </si>
  <si>
    <t>https://docs.google.com/document/d/1WRkteQpQfSS6LXqqj9yjC9_etwoXw0TGvCl7jRw3o7M/edit?usp=sharing</t>
  </si>
  <si>
    <t>2605D044</t>
  </si>
  <si>
    <t>085703453400</t>
  </si>
  <si>
    <t xml:space="preserve">Trip Baluran </t>
  </si>
  <si>
    <t>fuulbooked</t>
  </si>
  <si>
    <t>2605D045</t>
  </si>
  <si>
    <t>Ardan</t>
  </si>
  <si>
    <t>08133113870</t>
  </si>
  <si>
    <t>2605D046</t>
  </si>
  <si>
    <t>Rina Budi</t>
  </si>
  <si>
    <t>082116593784</t>
  </si>
  <si>
    <t xml:space="preserve">orrrderrrr </t>
  </si>
  <si>
    <t>https://docs.google.com/document/d/1IvK_efpkY1rgIua1WBOEds3pF6a1nYOXYku3bmh95Sk/edit?usp=sharing</t>
  </si>
  <si>
    <t>2605D047</t>
  </si>
  <si>
    <t>081226566964</t>
  </si>
  <si>
    <t>2h1m Opsi B</t>
  </si>
  <si>
    <t>https://docs.google.com/document/d/1TQHz_FpJpgCHX1fMcYqfwDL_vOsJ_RkmV_68R8rII6s/edit?usp=sharing</t>
  </si>
  <si>
    <t>2605H008</t>
  </si>
  <si>
    <t>cy ncy</t>
  </si>
  <si>
    <t>082124589606</t>
  </si>
  <si>
    <t>23-26 agustus</t>
  </si>
  <si>
    <t>fu 26 Juni</t>
  </si>
  <si>
    <t>2605H009</t>
  </si>
  <si>
    <t>089684929926</t>
  </si>
  <si>
    <t>2605H010</t>
  </si>
  <si>
    <t>Bayu (ikan)</t>
  </si>
  <si>
    <t>085718258132</t>
  </si>
  <si>
    <t>3h2m b</t>
  </si>
  <si>
    <t>2605H011</t>
  </si>
  <si>
    <t>Lelina</t>
  </si>
  <si>
    <t>085890770078</t>
  </si>
  <si>
    <t xml:space="preserve">ot </t>
  </si>
  <si>
    <t>fulbooked</t>
  </si>
  <si>
    <t>2605H012</t>
  </si>
  <si>
    <t>Dewi Tyas</t>
  </si>
  <si>
    <t>08170621716</t>
  </si>
  <si>
    <t>2d1n opsi a</t>
  </si>
  <si>
    <t>23-24 mei</t>
  </si>
  <si>
    <t>3 orang</t>
  </si>
  <si>
    <t>gajadi katanya</t>
  </si>
  <si>
    <t>2605H013</t>
  </si>
  <si>
    <t>SW</t>
  </si>
  <si>
    <t>082316630493</t>
  </si>
  <si>
    <t>14-17 mei</t>
  </si>
  <si>
    <t>2605H014</t>
  </si>
  <si>
    <t>Fransiana Florida</t>
  </si>
  <si>
    <t>089516923648</t>
  </si>
  <si>
    <t>2605A065</t>
  </si>
  <si>
    <t>Nanaa</t>
  </si>
  <si>
    <t>0895391374217</t>
  </si>
  <si>
    <t>2605A066</t>
  </si>
  <si>
    <t>Ariel</t>
  </si>
  <si>
    <t>089674666179</t>
  </si>
  <si>
    <t>2605A067</t>
  </si>
  <si>
    <t>Khafid syaifulloh</t>
  </si>
  <si>
    <t>085850956899</t>
  </si>
  <si>
    <t>awal juni</t>
  </si>
  <si>
    <t>2605A068</t>
  </si>
  <si>
    <t>085731314222</t>
  </si>
  <si>
    <t>2605D048</t>
  </si>
  <si>
    <t>Ayu Manik</t>
  </si>
  <si>
    <t>0895421979200</t>
  </si>
  <si>
    <t>https://docs.google.com/document/d/1YZLxa_opgGO1OmtnteVGmEaZNCo2ELaZEHs5CdLmano/edit?usp=sharing</t>
  </si>
  <si>
    <t>2605D049</t>
  </si>
  <si>
    <t>Asep Dayat</t>
  </si>
  <si>
    <t>085871271263</t>
  </si>
  <si>
    <t>baluran</t>
  </si>
  <si>
    <t>2605D050</t>
  </si>
  <si>
    <t>Chazella</t>
  </si>
  <si>
    <t>08135734838</t>
  </si>
  <si>
    <t>2605D051</t>
  </si>
  <si>
    <t xml:space="preserve">Dewi  </t>
  </si>
  <si>
    <t>085892567182</t>
  </si>
  <si>
    <t>KW, B</t>
  </si>
  <si>
    <t>2605D052</t>
  </si>
  <si>
    <t>Dian</t>
  </si>
  <si>
    <t>085748214644</t>
  </si>
  <si>
    <t>tanya sewa mobill</t>
  </si>
  <si>
    <t>2605H015</t>
  </si>
  <si>
    <t>Fitriayu</t>
  </si>
  <si>
    <t>081280520880</t>
  </si>
  <si>
    <t>2605H016</t>
  </si>
  <si>
    <t>Sinta Lestari</t>
  </si>
  <si>
    <t>085757564784</t>
  </si>
  <si>
    <t>3d2n atau 4d3n</t>
  </si>
  <si>
    <t>2605H017</t>
  </si>
  <si>
    <t>Mas Fahrul Sr</t>
  </si>
  <si>
    <t>089518874147</t>
  </si>
  <si>
    <t>2605A069</t>
  </si>
  <si>
    <t>Jess</t>
  </si>
  <si>
    <t>089508748886</t>
  </si>
  <si>
    <t>2605A070</t>
  </si>
  <si>
    <t>Alma Tiara Cindy</t>
  </si>
  <si>
    <t>081214064884</t>
  </si>
  <si>
    <t>3h2m ot alas purwo</t>
  </si>
  <si>
    <t>2605A071</t>
  </si>
  <si>
    <t>2h1m opsi b</t>
  </si>
  <si>
    <t>2605A072</t>
  </si>
  <si>
    <t>Retno Wulandari</t>
  </si>
  <si>
    <t>081333116719</t>
  </si>
  <si>
    <t>2605A073</t>
  </si>
  <si>
    <r>
      <rPr>
        <rFont val="Arial"/>
      </rPr>
      <t xml:space="preserve">Indrie </t>
    </r>
    <r>
      <rPr>
        <rFont val="Arial"/>
        <color rgb="FF1155CC"/>
        <u/>
      </rPr>
      <t>A.ch</t>
    </r>
  </si>
  <si>
    <t>089617299022</t>
  </si>
  <si>
    <t>2605A074</t>
  </si>
  <si>
    <t>0895603811349</t>
  </si>
  <si>
    <t>2605D053</t>
  </si>
  <si>
    <t>Fitri Ramayanti</t>
  </si>
  <si>
    <t>085771154647</t>
  </si>
  <si>
    <t>bulan Maret 2027</t>
  </si>
  <si>
    <t>sudah share penawaran</t>
  </si>
  <si>
    <t>https://docs.google.com/document/d/1TypYMg3aYXCbvMtvL4Kecfq4ZczuTgRbJoXE0MWp8h8/edit?usp=sharing</t>
  </si>
  <si>
    <t>2605D054</t>
  </si>
  <si>
    <t>Diego</t>
  </si>
  <si>
    <t>34665076750</t>
  </si>
  <si>
    <t>1 day trip Baluran</t>
  </si>
  <si>
    <t>https://docs.google.com/document/d/1KsUZiEOpey8CauwBJNMim9b7gTbcYdB7kkQmJUa8kP0/edit?usp=sharing</t>
  </si>
  <si>
    <t>2605H018</t>
  </si>
  <si>
    <t>Jimmy</t>
  </si>
  <si>
    <t>081805260478</t>
  </si>
  <si>
    <t>gada jawaban. ada saudara datang</t>
  </si>
  <si>
    <t>2605H019</t>
  </si>
  <si>
    <t>Mona</t>
  </si>
  <si>
    <t>081389465730</t>
  </si>
  <si>
    <t>menjangan tanbuhan baluran</t>
  </si>
  <si>
    <t>22 23 mei</t>
  </si>
  <si>
    <t>2605H020</t>
  </si>
  <si>
    <t>Priska / Danti /Rizki</t>
  </si>
  <si>
    <t>08122044545</t>
  </si>
  <si>
    <t>Djawatan, Green Island, Pulau Merah</t>
  </si>
  <si>
    <t>2605H021</t>
  </si>
  <si>
    <t>Henda M E</t>
  </si>
  <si>
    <t>2h1m opsi c + ijen</t>
  </si>
  <si>
    <t>2 juli-5 jui</t>
  </si>
  <si>
    <t>2605H022</t>
  </si>
  <si>
    <t>Aidil</t>
  </si>
  <si>
    <t>087877422991</t>
  </si>
  <si>
    <t>2605H023</t>
  </si>
  <si>
    <t>08111008820</t>
  </si>
  <si>
    <t>21 22 mei</t>
  </si>
  <si>
    <t>2605H024</t>
  </si>
  <si>
    <t>Denny Bagus</t>
  </si>
  <si>
    <t>0818900058</t>
  </si>
  <si>
    <t>tanya blue fire. kabarin kalau bluefire buka</t>
  </si>
  <si>
    <t>2605H025</t>
  </si>
  <si>
    <t>Emil</t>
  </si>
  <si>
    <t>082299201440</t>
  </si>
  <si>
    <t>masih belum ada balasan. fu 25 juli</t>
  </si>
  <si>
    <t>2605H026</t>
  </si>
  <si>
    <t>HAPPY NETI TOUR</t>
  </si>
  <si>
    <t>081280894243</t>
  </si>
  <si>
    <t>2h1m + bromo</t>
  </si>
  <si>
    <t>2605H027</t>
  </si>
  <si>
    <t>2605H028</t>
  </si>
  <si>
    <t>Aprillia</t>
  </si>
  <si>
    <t>081230039048</t>
  </si>
  <si>
    <t>7-8 Juni</t>
  </si>
  <si>
    <t>tidak ada balasan lanjutan</t>
  </si>
  <si>
    <t>2605H029</t>
  </si>
  <si>
    <t>Alphanto Juratno (Anto)</t>
  </si>
  <si>
    <t>081285905445</t>
  </si>
  <si>
    <t>2605D055</t>
  </si>
  <si>
    <t>IMAM</t>
  </si>
  <si>
    <t>0811188127</t>
  </si>
  <si>
    <t>trip wedi ireng</t>
  </si>
  <si>
    <t>2605D056</t>
  </si>
  <si>
    <t>No Name Fredive</t>
  </si>
  <si>
    <t>082143930913</t>
  </si>
  <si>
    <t>fredive menjangan</t>
  </si>
  <si>
    <t>nanti di kabarin lagi, FU 16 Juni</t>
  </si>
  <si>
    <t>https://docs.google.com/document/d/1HJKzaTjwfBvmHn0nrO_YCBoJfDg9m_2Ysi8mmb7NiZs/edit?usp=sharing</t>
  </si>
  <si>
    <t>2605D057</t>
  </si>
  <si>
    <t>Oca</t>
  </si>
  <si>
    <t>08125976622</t>
  </si>
  <si>
    <t>blm tau kapan, FU 7 Juni</t>
  </si>
  <si>
    <t>https://docs.google.com/document/d/1iQk879LN0LGJVBypwfFb2qTSlmBtnlceQXhcCxoivHQ/edit?usp=sharing</t>
  </si>
  <si>
    <t>2605D058</t>
  </si>
  <si>
    <t>Paulus</t>
  </si>
  <si>
    <t>083870097564</t>
  </si>
  <si>
    <t>https://docs.google.com/document/d/1nXFlt5PN8DmKMyAgcX4HUwwXDZjhKr3YX5LL-EjpR5E/edit?tab=t.0</t>
  </si>
  <si>
    <t>2605D059</t>
  </si>
  <si>
    <t>Dina Puspita</t>
  </si>
  <si>
    <t>085867037481</t>
  </si>
  <si>
    <t>https://docs.google.com/document/d/1QQ4LJj-KN6c9jzlyhBzf8FDeU0fe9sGslVexpZnaPo8/edit?usp=sharing</t>
  </si>
  <si>
    <t>2605D060</t>
  </si>
  <si>
    <t>Sheva</t>
  </si>
  <si>
    <t>089517052148</t>
  </si>
  <si>
    <t>private MT</t>
  </si>
  <si>
    <t>orrderr</t>
  </si>
  <si>
    <t>https://docs.google.com/document/d/1FLmCY1qsAT3s5afJsYWVEy5XQewU4Fnx5ifDIhcAd54/edit?usp=sharing</t>
  </si>
  <si>
    <t>2605D061</t>
  </si>
  <si>
    <t>SM</t>
  </si>
  <si>
    <t>085885866078</t>
  </si>
  <si>
    <t>2605D062</t>
  </si>
  <si>
    <t>Jm</t>
  </si>
  <si>
    <t>085784218421</t>
  </si>
  <si>
    <t>trip KW</t>
  </si>
  <si>
    <t>2605D063</t>
  </si>
  <si>
    <t>WNA rusia</t>
  </si>
  <si>
    <t>79623344464</t>
  </si>
  <si>
    <t>tidak ada balasannn</t>
  </si>
  <si>
    <t>https://docs.google.com/document/d/1wIM1KwKJz4ECnFQeUlQs6Ll-vhIEvguIvUfQy56B5z4/edit?usp=sharing</t>
  </si>
  <si>
    <t>2605D064</t>
  </si>
  <si>
    <t>Enan</t>
  </si>
  <si>
    <t>083821675707</t>
  </si>
  <si>
    <t>kawah ijen</t>
  </si>
  <si>
    <t>belum balas lagi, FU 1 Juni</t>
  </si>
  <si>
    <t>https://docs.google.com/document/d/15hz2PSF-2gug1lvBVLr7b30e7p5j2nYP9lcgi6OVZIg/edit?tab=t.0</t>
  </si>
  <si>
    <t>2605D065</t>
  </si>
  <si>
    <t>A.I.R</t>
  </si>
  <si>
    <t>089673994031</t>
  </si>
  <si>
    <t>tanya penjemputan Bondowoso</t>
  </si>
  <si>
    <t>2605D066</t>
  </si>
  <si>
    <t xml:space="preserve">Merysa Amelya </t>
  </si>
  <si>
    <t>085649129099</t>
  </si>
  <si>
    <t>https://docs.google.com/document/d/1cHwMOxnJExCciaKMyRceJkRibKUdvBNCPTVFTK8y0fE/edit?tab=t.0</t>
  </si>
  <si>
    <t>2605D067</t>
  </si>
  <si>
    <t>Nopal</t>
  </si>
  <si>
    <t>08132944705</t>
  </si>
  <si>
    <t>Last FU</t>
  </si>
  <si>
    <t>2605D068</t>
  </si>
  <si>
    <t>Evy</t>
  </si>
  <si>
    <t>081326610202</t>
  </si>
  <si>
    <t>2605D069</t>
  </si>
  <si>
    <t>Nurmaulia Sukma</t>
  </si>
  <si>
    <t>089619142097</t>
  </si>
  <si>
    <t>FU 2 Juni, menyapa aja</t>
  </si>
  <si>
    <t>2605D070</t>
  </si>
  <si>
    <t>Andhayu Nik</t>
  </si>
  <si>
    <t>081294491814</t>
  </si>
  <si>
    <t>2605D071</t>
  </si>
  <si>
    <t>Zahid</t>
  </si>
  <si>
    <t>087778512675</t>
  </si>
  <si>
    <t>trip ijen djawatan</t>
  </si>
  <si>
    <t>belum ada balasan lagi, FU 1 Juni</t>
  </si>
  <si>
    <t>2605D072</t>
  </si>
  <si>
    <t>Rizqi Puji</t>
  </si>
  <si>
    <t>081231574625</t>
  </si>
  <si>
    <t>2605H030</t>
  </si>
  <si>
    <t>087899928570</t>
  </si>
  <si>
    <t>21-22 mei</t>
  </si>
  <si>
    <t>tidak ada kelanjutan</t>
  </si>
  <si>
    <t>2605H031</t>
  </si>
  <si>
    <t>(Nia) Khaerunia Amalah Ga Pluit</t>
  </si>
  <si>
    <t>091586296189</t>
  </si>
  <si>
    <t>2605D073</t>
  </si>
  <si>
    <t>Saif</t>
  </si>
  <si>
    <t>082223264429</t>
  </si>
  <si>
    <t>OT Ijen, GI</t>
  </si>
  <si>
    <t>belum balas lagi, FU 1 juni</t>
  </si>
  <si>
    <t>2605D074</t>
  </si>
  <si>
    <t>Choirul Hidayat</t>
  </si>
  <si>
    <t>089527162819</t>
  </si>
  <si>
    <t>2h1m opsi A&amp;B</t>
  </si>
  <si>
    <t>B2B, sudah kirim penawaran</t>
  </si>
  <si>
    <t>2605D075</t>
  </si>
  <si>
    <t>Meliyana</t>
  </si>
  <si>
    <t>083813795762</t>
  </si>
  <si>
    <t xml:space="preserve">OT3H2M </t>
  </si>
  <si>
    <t>orrdeerrr</t>
  </si>
  <si>
    <t>2605D076</t>
  </si>
  <si>
    <t>Yoshi</t>
  </si>
  <si>
    <t>085317777587</t>
  </si>
  <si>
    <t>FU 4 Juni</t>
  </si>
  <si>
    <t>2605D077</t>
  </si>
  <si>
    <t>Ratna Budi</t>
  </si>
  <si>
    <t>081802626999</t>
  </si>
  <si>
    <t>2605D078</t>
  </si>
  <si>
    <t>Farida</t>
  </si>
  <si>
    <t>081331962444</t>
  </si>
  <si>
    <t xml:space="preserve">2h1m </t>
  </si>
  <si>
    <t>2605A075</t>
  </si>
  <si>
    <t>Veronica Merry</t>
  </si>
  <si>
    <t>08112952345</t>
  </si>
  <si>
    <t>Lilik Ratnaningsih</t>
  </si>
  <si>
    <t>082122922826</t>
  </si>
  <si>
    <t>JO</t>
  </si>
  <si>
    <t>085743383933</t>
  </si>
  <si>
    <t>jangan di FU, biar orgnya yang WA</t>
  </si>
  <si>
    <t>Hikari</t>
  </si>
  <si>
    <t>082147212206</t>
  </si>
  <si>
    <t>gagall, gajadi liburan</t>
  </si>
  <si>
    <t>2605D079</t>
  </si>
  <si>
    <t>Auudiaa</t>
  </si>
  <si>
    <t>081260055983</t>
  </si>
  <si>
    <t>waktu mepet, tiket kereta jam 5 sore KBR</t>
  </si>
  <si>
    <t>2605D080</t>
  </si>
  <si>
    <t>Nila Rau Fanza</t>
  </si>
  <si>
    <t>085310700300</t>
  </si>
  <si>
    <t>2605D081</t>
  </si>
  <si>
    <t>Nyulenta S</t>
  </si>
  <si>
    <t>085748798211</t>
  </si>
  <si>
    <t>minta penawaran</t>
  </si>
  <si>
    <t>2605D082</t>
  </si>
  <si>
    <t>Hilma Adia</t>
  </si>
  <si>
    <t>081554541159</t>
  </si>
  <si>
    <t>2605D083</t>
  </si>
  <si>
    <t>Jayanti</t>
  </si>
  <si>
    <t>082192137659</t>
  </si>
  <si>
    <t>Open Trip</t>
  </si>
  <si>
    <t>mau pesan mendadak, nanti akan dihubungi lagi</t>
  </si>
  <si>
    <t>2605D084</t>
  </si>
  <si>
    <t>Ridza</t>
  </si>
  <si>
    <t>082228082929</t>
  </si>
  <si>
    <t>1 day Djabal</t>
  </si>
  <si>
    <t>2605D085</t>
  </si>
  <si>
    <t>Liana</t>
  </si>
  <si>
    <t>081369648000</t>
  </si>
  <si>
    <t>PT Ijen</t>
  </si>
  <si>
    <t>2605D086</t>
  </si>
  <si>
    <t>Resto Pagu</t>
  </si>
  <si>
    <t>085782082239</t>
  </si>
  <si>
    <t>tidak mau kalo tidak ada blue fire, jadinya ke bromo</t>
  </si>
  <si>
    <t>2605D087</t>
  </si>
  <si>
    <t>Monika</t>
  </si>
  <si>
    <t>087777222254</t>
  </si>
  <si>
    <t>minta ganti 3h2m</t>
  </si>
  <si>
    <t>2605D088</t>
  </si>
  <si>
    <t>No Name MT</t>
  </si>
  <si>
    <t>087676059074</t>
  </si>
  <si>
    <t>2605D089</t>
  </si>
  <si>
    <t>085725110310</t>
  </si>
  <si>
    <t xml:space="preserve">akhir Mei </t>
  </si>
  <si>
    <t>2605D090</t>
  </si>
  <si>
    <t>08176396486</t>
  </si>
  <si>
    <t>nunggu pendaftar lain, FU 5 Juli</t>
  </si>
  <si>
    <t>2605D091</t>
  </si>
  <si>
    <t>Anne Pesik</t>
  </si>
  <si>
    <t>081280839119</t>
  </si>
  <si>
    <t>gagalll, menghubungi admin 2</t>
  </si>
  <si>
    <t>2605D092</t>
  </si>
  <si>
    <t xml:space="preserve">Tia  </t>
  </si>
  <si>
    <t>085648197249</t>
  </si>
  <si>
    <t>OT Kawah Ijen</t>
  </si>
  <si>
    <t>orrderrr</t>
  </si>
  <si>
    <t>2605A076</t>
  </si>
  <si>
    <t>PAWON MAMI / Diajeng TAri</t>
  </si>
  <si>
    <t>081904031152</t>
  </si>
  <si>
    <t>fu 15 november</t>
  </si>
  <si>
    <t>2605A077</t>
  </si>
  <si>
    <t>Fajar NR</t>
  </si>
  <si>
    <t>085725692529</t>
  </si>
  <si>
    <t>1 day</t>
  </si>
  <si>
    <t>8-9 agustus</t>
  </si>
  <si>
    <t>ditunda</t>
  </si>
  <si>
    <t>2605A078</t>
  </si>
  <si>
    <t>Tiara Malinda</t>
  </si>
  <si>
    <t>085273813010</t>
  </si>
  <si>
    <t>3h2m honeymoon</t>
  </si>
  <si>
    <t>2605A079</t>
  </si>
  <si>
    <t>Tike Hervianty</t>
  </si>
  <si>
    <t>082323800099</t>
  </si>
  <si>
    <t>2605A080</t>
  </si>
  <si>
    <t>Chika</t>
  </si>
  <si>
    <t>081997896316</t>
  </si>
  <si>
    <t>2605A081</t>
  </si>
  <si>
    <t>Intan Dewi Sartika</t>
  </si>
  <si>
    <t>08989681962</t>
  </si>
  <si>
    <t>22-23 juni</t>
  </si>
  <si>
    <t>2605A082</t>
  </si>
  <si>
    <t>Muhammad Fakhri M</t>
  </si>
  <si>
    <t>085226131173</t>
  </si>
  <si>
    <t>open trip menjangan</t>
  </si>
  <si>
    <t>2605A083</t>
  </si>
  <si>
    <t>Farchan</t>
  </si>
  <si>
    <t>089512860188</t>
  </si>
  <si>
    <t>2605A084</t>
  </si>
  <si>
    <t>Ika PB</t>
  </si>
  <si>
    <t>08156515800</t>
  </si>
  <si>
    <t>waktu tidak pas</t>
  </si>
  <si>
    <t>2605A085</t>
  </si>
  <si>
    <t>Rudi</t>
  </si>
  <si>
    <t>0857742850411</t>
  </si>
  <si>
    <t>masih mikir bulan yg bagus</t>
  </si>
  <si>
    <t>2605A086</t>
  </si>
  <si>
    <t>0859106863261</t>
  </si>
  <si>
    <t>pantai ketapang</t>
  </si>
  <si>
    <t>2605A087</t>
  </si>
  <si>
    <t>16-18 agustus</t>
  </si>
  <si>
    <t>2605A088</t>
  </si>
  <si>
    <t>Linson</t>
  </si>
  <si>
    <t>08114107337</t>
  </si>
  <si>
    <t>ot selatan</t>
  </si>
  <si>
    <t>2605A089</t>
  </si>
  <si>
    <t>Lia (English Course 21 Laily)</t>
  </si>
  <si>
    <t>081382380538</t>
  </si>
  <si>
    <t>3h2m a</t>
  </si>
  <si>
    <t>2605A090</t>
  </si>
  <si>
    <t>Bu'e Herni</t>
  </si>
  <si>
    <t>081226689898</t>
  </si>
  <si>
    <t>desember</t>
  </si>
  <si>
    <t>fu 4 september</t>
  </si>
  <si>
    <t>2605A091</t>
  </si>
  <si>
    <t>Esti</t>
  </si>
  <si>
    <t>08118779374</t>
  </si>
  <si>
    <t xml:space="preserve">fu 28 juni </t>
  </si>
  <si>
    <t>2605A092</t>
  </si>
  <si>
    <t>Elvy Savarina Suwenda</t>
  </si>
  <si>
    <t>081573712979</t>
  </si>
  <si>
    <t>2605A093</t>
  </si>
  <si>
    <t>Vita</t>
  </si>
  <si>
    <t>081532791437</t>
  </si>
  <si>
    <t>pv mt</t>
  </si>
  <si>
    <t>2605A094</t>
  </si>
  <si>
    <t>Munir A 88</t>
  </si>
  <si>
    <t>081230330998</t>
  </si>
  <si>
    <t>1d green island</t>
  </si>
  <si>
    <t>2605A095</t>
  </si>
  <si>
    <t>Rina Noor</t>
  </si>
  <si>
    <t>085287379772</t>
  </si>
  <si>
    <t>fu 23 mei</t>
  </si>
  <si>
    <t>2605A096</t>
  </si>
  <si>
    <t>Weta Wety</t>
  </si>
  <si>
    <t>0881010971344</t>
  </si>
  <si>
    <t>fu 22 mei</t>
  </si>
  <si>
    <t>2605A097</t>
  </si>
  <si>
    <t>Fatih</t>
  </si>
  <si>
    <t>085122906880</t>
  </si>
  <si>
    <t>priv mt</t>
  </si>
  <si>
    <t>2605A098</t>
  </si>
  <si>
    <t>Sheilla Ravi</t>
  </si>
  <si>
    <t>082243523520</t>
  </si>
  <si>
    <t>ganti destinasi bukan bwi</t>
  </si>
  <si>
    <t>2605A099</t>
  </si>
  <si>
    <t>Erika Indriani</t>
  </si>
  <si>
    <t>081294710496</t>
  </si>
  <si>
    <t>2605A100</t>
  </si>
  <si>
    <t>Ardi</t>
  </si>
  <si>
    <t>087809404555</t>
  </si>
  <si>
    <t>sep/okt</t>
  </si>
  <si>
    <t>fu 8 agustus</t>
  </si>
  <si>
    <t>2605A101</t>
  </si>
  <si>
    <t>Farida Umaiyanti</t>
  </si>
  <si>
    <t>0813331962444</t>
  </si>
  <si>
    <t>2605A102</t>
  </si>
  <si>
    <t>fayez indra</t>
  </si>
  <si>
    <t>0811891255</t>
  </si>
  <si>
    <t>28-29 mei</t>
  </si>
  <si>
    <t>fu 21 mei</t>
  </si>
  <si>
    <t>2605A103</t>
  </si>
  <si>
    <t>Su</t>
  </si>
  <si>
    <t>8613915050808</t>
  </si>
  <si>
    <t>2605A104</t>
  </si>
  <si>
    <t>Inggit Tribuana S</t>
  </si>
  <si>
    <t>087733021262</t>
  </si>
  <si>
    <t>29-30 mei</t>
  </si>
  <si>
    <t>2605A105</t>
  </si>
  <si>
    <t>Fani - Fatharani Salma N</t>
  </si>
  <si>
    <t>081222612217</t>
  </si>
  <si>
    <t>26-28 mei</t>
  </si>
  <si>
    <t>ubah leads</t>
  </si>
  <si>
    <t>2605D093</t>
  </si>
  <si>
    <t>Poppy Lestari</t>
  </si>
  <si>
    <t>08192656688</t>
  </si>
  <si>
    <t>2605H032</t>
  </si>
  <si>
    <t>Asna Ruhmiyati</t>
  </si>
  <si>
    <t>081290257006</t>
  </si>
  <si>
    <t>2605H033</t>
  </si>
  <si>
    <t>Ari Artikarini</t>
  </si>
  <si>
    <t>08522900777229</t>
  </si>
  <si>
    <t>1d bwi</t>
  </si>
  <si>
    <t>diread sj, takda jawaban</t>
  </si>
  <si>
    <t>2605H034</t>
  </si>
  <si>
    <t>Ambarwati</t>
  </si>
  <si>
    <t>085777449526</t>
  </si>
  <si>
    <t>allhamdulillah order</t>
  </si>
  <si>
    <t>2605H035</t>
  </si>
  <si>
    <t>Herni Apriyani</t>
  </si>
  <si>
    <t>081287672642</t>
  </si>
  <si>
    <t xml:space="preserve">26-27 juni </t>
  </si>
  <si>
    <t>2605H036</t>
  </si>
  <si>
    <t>Arifuddin Alie</t>
  </si>
  <si>
    <t>08179019300</t>
  </si>
  <si>
    <t>buat penawaran dulu. fu 10 september</t>
  </si>
  <si>
    <t>2605H037</t>
  </si>
  <si>
    <t>Yani YN Snack</t>
  </si>
  <si>
    <t>081291902737</t>
  </si>
  <si>
    <t xml:space="preserve">fu 25 desember </t>
  </si>
  <si>
    <t>2605D094</t>
  </si>
  <si>
    <t>Ricko Hanggoro</t>
  </si>
  <si>
    <t>61426419450</t>
  </si>
  <si>
    <t>2605D095</t>
  </si>
  <si>
    <t>Vika</t>
  </si>
  <si>
    <t>087722792004</t>
  </si>
  <si>
    <t xml:space="preserve">kirim penawaran, FU 1 Juni </t>
  </si>
  <si>
    <t>2605D096</t>
  </si>
  <si>
    <t>Gabby Demana</t>
  </si>
  <si>
    <t>082188743113</t>
  </si>
  <si>
    <t>2605D097</t>
  </si>
  <si>
    <t>Quinn</t>
  </si>
  <si>
    <t>082350402065</t>
  </si>
  <si>
    <t>3h2m Opsi A</t>
  </si>
  <si>
    <t>belum balas lagi, FU 6 Juni</t>
  </si>
  <si>
    <t>2605D098</t>
  </si>
  <si>
    <t>Andri</t>
  </si>
  <si>
    <t>081320330544</t>
  </si>
  <si>
    <t>OT Ijen, Baluran</t>
  </si>
  <si>
    <t>2605D099</t>
  </si>
  <si>
    <t>Vanessa Claudia</t>
  </si>
  <si>
    <t>085156819256</t>
  </si>
  <si>
    <t xml:space="preserve">2605D100 </t>
  </si>
  <si>
    <t>Natasha</t>
  </si>
  <si>
    <t>08990176964</t>
  </si>
  <si>
    <t>2605D101</t>
  </si>
  <si>
    <t>Exhie</t>
  </si>
  <si>
    <t>608209897</t>
  </si>
  <si>
    <t>masihh nyapa</t>
  </si>
  <si>
    <t>2605D102</t>
  </si>
  <si>
    <t>082213266871</t>
  </si>
  <si>
    <t>FU 5 Juni</t>
  </si>
  <si>
    <t>2605D103</t>
  </si>
  <si>
    <t>Tidak Dikenal</t>
  </si>
  <si>
    <t>081337769288</t>
  </si>
  <si>
    <t>2605D104</t>
  </si>
  <si>
    <t>Hai</t>
  </si>
  <si>
    <t>2605D105</t>
  </si>
  <si>
    <t>Adelia</t>
  </si>
  <si>
    <t>085179953048</t>
  </si>
  <si>
    <t>2605D106</t>
  </si>
  <si>
    <t>Chaidir Hasibuan</t>
  </si>
  <si>
    <t>082185777874</t>
  </si>
  <si>
    <t>PT Djawatan Baluran</t>
  </si>
  <si>
    <t>2605D107</t>
  </si>
  <si>
    <t>Irin</t>
  </si>
  <si>
    <t>082114140111</t>
  </si>
  <si>
    <t>2605D108</t>
  </si>
  <si>
    <t xml:space="preserve">Nindya </t>
  </si>
  <si>
    <t>081284177651</t>
  </si>
  <si>
    <t>FU 8 Juni</t>
  </si>
  <si>
    <t>2605D109</t>
  </si>
  <si>
    <t>Cucu siti Hotijah</t>
  </si>
  <si>
    <t>081214558682</t>
  </si>
  <si>
    <t>Desember</t>
  </si>
  <si>
    <t>FU mendekati bulan desember</t>
  </si>
  <si>
    <t>2605D110</t>
  </si>
  <si>
    <t xml:space="preserve">Dewi Alleta </t>
  </si>
  <si>
    <t>082140514145</t>
  </si>
  <si>
    <t>2605D111</t>
  </si>
  <si>
    <t>Maggy</t>
  </si>
  <si>
    <t>081295931151</t>
  </si>
  <si>
    <t>1 day Baluran</t>
  </si>
  <si>
    <t>Orrdeerrrr</t>
  </si>
  <si>
    <t>2605D112</t>
  </si>
  <si>
    <t>Meylanie</t>
  </si>
  <si>
    <t>085778289588</t>
  </si>
  <si>
    <t>memastikan trip anaknya</t>
  </si>
  <si>
    <t>2605A106</t>
  </si>
  <si>
    <t>FAHMI</t>
  </si>
  <si>
    <t>0877773781823</t>
  </si>
  <si>
    <t>akhir juli</t>
  </si>
  <si>
    <t>2605A107</t>
  </si>
  <si>
    <t>Evi R. Wahyuni</t>
  </si>
  <si>
    <t>08111030695</t>
  </si>
  <si>
    <t>ot djabal dan ijen</t>
  </si>
  <si>
    <t>30 mei dan 1 juni</t>
  </si>
  <si>
    <t>alhamdulillah order:)</t>
  </si>
  <si>
    <t>2605A108</t>
  </si>
  <si>
    <t>Susi Septiani</t>
  </si>
  <si>
    <t>087700511641</t>
  </si>
  <si>
    <t>3h2m z</t>
  </si>
  <si>
    <t>26-28 juni</t>
  </si>
  <si>
    <t>2605D113</t>
  </si>
  <si>
    <t>Dr. Masza</t>
  </si>
  <si>
    <t>081216909886</t>
  </si>
  <si>
    <t>FU 19 Juni</t>
  </si>
  <si>
    <t>2605D114</t>
  </si>
  <si>
    <t>Chrisfito</t>
  </si>
  <si>
    <t>082329785779</t>
  </si>
  <si>
    <t>mendadak minta hari H trip, gagalll</t>
  </si>
  <si>
    <t>2605D115</t>
  </si>
  <si>
    <t>Fy</t>
  </si>
  <si>
    <t>085157946006</t>
  </si>
  <si>
    <t>gagal</t>
  </si>
  <si>
    <t>setelah idul adha</t>
  </si>
  <si>
    <t>2605D116</t>
  </si>
  <si>
    <t xml:space="preserve">Mitarosariahermawan </t>
  </si>
  <si>
    <t>089619432035</t>
  </si>
  <si>
    <t>fullbokeed</t>
  </si>
  <si>
    <t>2605D117</t>
  </si>
  <si>
    <t>orrrdeeerrr</t>
  </si>
  <si>
    <t>2605D118</t>
  </si>
  <si>
    <t>Dilla</t>
  </si>
  <si>
    <t>081380278612</t>
  </si>
  <si>
    <t>alhamdulillah orderr</t>
  </si>
  <si>
    <t>2605D119</t>
  </si>
  <si>
    <t>Faris Al-Fatih</t>
  </si>
  <si>
    <t>081211077201</t>
  </si>
  <si>
    <t>2605D120</t>
  </si>
  <si>
    <t>Zanura</t>
  </si>
  <si>
    <t>082113925550</t>
  </si>
  <si>
    <t>akhir bulan Juni</t>
  </si>
  <si>
    <t>FU 6 Juni</t>
  </si>
  <si>
    <t>2605D121</t>
  </si>
  <si>
    <t>Sofie</t>
  </si>
  <si>
    <t>085900045354</t>
  </si>
  <si>
    <t>blm kasih tgl, FU 6 Juni</t>
  </si>
  <si>
    <t xml:space="preserve">2605D122 </t>
  </si>
  <si>
    <t xml:space="preserve">Bani </t>
  </si>
  <si>
    <t>088227967462</t>
  </si>
  <si>
    <t>OT GI, Teluk ijo</t>
  </si>
  <si>
    <t>2605D123</t>
  </si>
  <si>
    <t>Wiwik tarricone</t>
  </si>
  <si>
    <t>082236865958</t>
  </si>
  <si>
    <t>13/14 Juni</t>
  </si>
  <si>
    <t>2605D124</t>
  </si>
  <si>
    <t>Feni</t>
  </si>
  <si>
    <t>089605532749</t>
  </si>
  <si>
    <t xml:space="preserve">masih cek jadwal, FU 10 Juni </t>
  </si>
  <si>
    <t>2605D125</t>
  </si>
  <si>
    <t xml:space="preserve">Fauziah </t>
  </si>
  <si>
    <t>085820009433</t>
  </si>
  <si>
    <t>alhamdulillah orrdeerr</t>
  </si>
  <si>
    <t>2605D126</t>
  </si>
  <si>
    <t xml:space="preserve">Dhien citra </t>
  </si>
  <si>
    <t>081289081004</t>
  </si>
  <si>
    <t>FU 25 Juni</t>
  </si>
  <si>
    <t>2605D127</t>
  </si>
  <si>
    <t>Liya.amsaroh</t>
  </si>
  <si>
    <t>08112923117</t>
  </si>
  <si>
    <t>2605D128</t>
  </si>
  <si>
    <t>Shoumi Damayanti</t>
  </si>
  <si>
    <t>081905000460</t>
  </si>
  <si>
    <t>2605D129</t>
  </si>
  <si>
    <t>Abifatta</t>
  </si>
  <si>
    <t>082325777227</t>
  </si>
  <si>
    <t>OT MT, OT I</t>
  </si>
  <si>
    <t>masih diskusi, FU 25 Mei</t>
  </si>
  <si>
    <t>2605A109</t>
  </si>
  <si>
    <t>Dina Sanyoto</t>
  </si>
  <si>
    <t>08123533968</t>
  </si>
  <si>
    <t>29-31 mei</t>
  </si>
  <si>
    <t>2605H038</t>
  </si>
  <si>
    <t>Bastian</t>
  </si>
  <si>
    <t>0818576760</t>
  </si>
  <si>
    <t>ot baluran</t>
  </si>
  <si>
    <t>waktunya mepet dan masih kejar kerjaan</t>
  </si>
  <si>
    <t>2605H039</t>
  </si>
  <si>
    <t>Soegi</t>
  </si>
  <si>
    <t>087878849659</t>
  </si>
  <si>
    <t>2605H040</t>
  </si>
  <si>
    <t>Titi Murni</t>
  </si>
  <si>
    <t>081218470810</t>
  </si>
  <si>
    <t>masih tanya tanya, fu19 juni</t>
  </si>
  <si>
    <t>2605H041</t>
  </si>
  <si>
    <t>Indriana</t>
  </si>
  <si>
    <t>087875147180</t>
  </si>
  <si>
    <t>fu 20 juni</t>
  </si>
  <si>
    <t>2605H042</t>
  </si>
  <si>
    <t>Cindy Amelia</t>
  </si>
  <si>
    <t>082143742389</t>
  </si>
  <si>
    <t>djawatan baluran</t>
  </si>
  <si>
    <t>2605H043</t>
  </si>
  <si>
    <t>Dita Anggraini N.M</t>
  </si>
  <si>
    <t>082334253693</t>
  </si>
  <si>
    <t>dokumentasi kano tabuhan</t>
  </si>
  <si>
    <t>2605H044</t>
  </si>
  <si>
    <t>Edwuar</t>
  </si>
  <si>
    <t>081288178168</t>
  </si>
  <si>
    <t>2605H045</t>
  </si>
  <si>
    <t>Elly/Mamah Fadil</t>
  </si>
  <si>
    <t>085924584545</t>
  </si>
  <si>
    <t>fu 7 desember 2026</t>
  </si>
  <si>
    <t>2605H046</t>
  </si>
  <si>
    <t>Iis Wasitoh</t>
  </si>
  <si>
    <t>0811865752</t>
  </si>
  <si>
    <t>juni/awal juli</t>
  </si>
  <si>
    <t>2605H047</t>
  </si>
  <si>
    <t>Tria Ayu Safitri</t>
  </si>
  <si>
    <t>085234172937</t>
  </si>
  <si>
    <t>gerbang raung</t>
  </si>
  <si>
    <t>waktu lewat, gada konfirmasi</t>
  </si>
  <si>
    <t>2605D130</t>
  </si>
  <si>
    <t>Garry</t>
  </si>
  <si>
    <t>085692781477</t>
  </si>
  <si>
    <t>Penjemputan malang blm bisaa</t>
  </si>
  <si>
    <t>2605D131</t>
  </si>
  <si>
    <t>Ni Kadek Dwi Ariani</t>
  </si>
  <si>
    <t>088266081021</t>
  </si>
  <si>
    <t>2605D132</t>
  </si>
  <si>
    <t>Amanda</t>
  </si>
  <si>
    <t>087760110163</t>
  </si>
  <si>
    <t>belum balas lagi, FU 28 Mei</t>
  </si>
  <si>
    <t>2605D133</t>
  </si>
  <si>
    <t>Memey</t>
  </si>
  <si>
    <t>08562585352</t>
  </si>
  <si>
    <t>nanti dikabarin nunggu cuti acc, FU 1 Juni</t>
  </si>
  <si>
    <t>2605D134</t>
  </si>
  <si>
    <t>Enung Asih Gandirum</t>
  </si>
  <si>
    <t>08122180908</t>
  </si>
  <si>
    <t>blm tau tglnya, FU 1 Juni</t>
  </si>
  <si>
    <t>2605D135</t>
  </si>
  <si>
    <t>Noreen Nareswari</t>
  </si>
  <si>
    <t>083111986394</t>
  </si>
  <si>
    <t>blm bales lagi, FU 11 Juni</t>
  </si>
  <si>
    <t>2605D136</t>
  </si>
  <si>
    <t>Karina</t>
  </si>
  <si>
    <t>085156570817</t>
  </si>
  <si>
    <t xml:space="preserve">belum balas lagi   </t>
  </si>
  <si>
    <t>2605D137</t>
  </si>
  <si>
    <t>Nurin</t>
  </si>
  <si>
    <t>085784410760</t>
  </si>
  <si>
    <t>9/10 Juni</t>
  </si>
  <si>
    <t xml:space="preserve">FU 2 Juni </t>
  </si>
  <si>
    <t>2605D138</t>
  </si>
  <si>
    <t xml:space="preserve">Dhena Aloiya </t>
  </si>
  <si>
    <t>081232224190</t>
  </si>
  <si>
    <t>c</t>
  </si>
  <si>
    <t>tidak balas lagi, fullbooked</t>
  </si>
  <si>
    <t>2605D139</t>
  </si>
  <si>
    <t>Blessing</t>
  </si>
  <si>
    <t>081337042933</t>
  </si>
  <si>
    <t>2605A110</t>
  </si>
  <si>
    <t>Y. Belinda</t>
  </si>
  <si>
    <t>0817701995</t>
  </si>
  <si>
    <t>2605H048</t>
  </si>
  <si>
    <t>agunghw25</t>
  </si>
  <si>
    <t>085692467719</t>
  </si>
  <si>
    <t>ga jadi, fullbooked</t>
  </si>
  <si>
    <t>2605H049</t>
  </si>
  <si>
    <t>dedewww</t>
  </si>
  <si>
    <t>085693602638</t>
  </si>
  <si>
    <t>gada jawaban. diread saja. sdh lewat tanggal trip</t>
  </si>
  <si>
    <t>2605H050</t>
  </si>
  <si>
    <t>Desi Permatasari</t>
  </si>
  <si>
    <t>081289410535</t>
  </si>
  <si>
    <t>tidak jadi, temannya sdh pesan</t>
  </si>
  <si>
    <t>2605H051</t>
  </si>
  <si>
    <t>Edwin Dharmawan</t>
  </si>
  <si>
    <t>087787182932</t>
  </si>
  <si>
    <t>hanya menyapa, tdk ada balasan</t>
  </si>
  <si>
    <t>2605D140</t>
  </si>
  <si>
    <t>Farhan</t>
  </si>
  <si>
    <t>081380146024</t>
  </si>
  <si>
    <t>nunggu info blue fire, FU 12 Juni</t>
  </si>
  <si>
    <t>2605D141</t>
  </si>
  <si>
    <t xml:space="preserve">Angga </t>
  </si>
  <si>
    <t>08115392088</t>
  </si>
  <si>
    <t>gagall, di fu tidak pernah balas</t>
  </si>
  <si>
    <t>2605D142</t>
  </si>
  <si>
    <t>No Name korban janji</t>
  </si>
  <si>
    <t>081333550560</t>
  </si>
  <si>
    <t>belum fiks mau trip yg mana, FU 6 Juni</t>
  </si>
  <si>
    <t>2605D143</t>
  </si>
  <si>
    <t>Dedewww</t>
  </si>
  <si>
    <t>sudah fu tidakk balass</t>
  </si>
  <si>
    <t>2605D144</t>
  </si>
  <si>
    <t>Ayu Desy</t>
  </si>
  <si>
    <t>081345445626</t>
  </si>
  <si>
    <t xml:space="preserve">OT GI </t>
  </si>
  <si>
    <t>kabarin kalau ada barengan</t>
  </si>
  <si>
    <t>2605D145</t>
  </si>
  <si>
    <t>Bustomi</t>
  </si>
  <si>
    <t>081220030020</t>
  </si>
  <si>
    <t>2605D146</t>
  </si>
  <si>
    <t>2605D147</t>
  </si>
  <si>
    <t>085231166604</t>
  </si>
  <si>
    <t>2605D148</t>
  </si>
  <si>
    <t>Rann</t>
  </si>
  <si>
    <t>972544922252</t>
  </si>
  <si>
    <t>Ijen, Djawatan</t>
  </si>
  <si>
    <t>7 July</t>
  </si>
  <si>
    <t>2605D149</t>
  </si>
  <si>
    <t>Agusdrmwn</t>
  </si>
  <si>
    <t>089624718830</t>
  </si>
  <si>
    <t>22/23 Juni</t>
  </si>
  <si>
    <t>2605D150</t>
  </si>
  <si>
    <t>Risal kwee</t>
  </si>
  <si>
    <t>08977280909</t>
  </si>
  <si>
    <t>fullbookeedddd</t>
  </si>
  <si>
    <t>2605D151</t>
  </si>
  <si>
    <t>Octavishanta</t>
  </si>
  <si>
    <t>085871964453</t>
  </si>
  <si>
    <t>11/12 Juni</t>
  </si>
  <si>
    <t xml:space="preserve">FU 30 Mei </t>
  </si>
  <si>
    <t>2605d152</t>
  </si>
  <si>
    <t>08990300975</t>
  </si>
  <si>
    <t>2605D153</t>
  </si>
  <si>
    <t>082243948501</t>
  </si>
  <si>
    <t>belum balas lagi, FU 4 Juni</t>
  </si>
  <si>
    <t>2605D154</t>
  </si>
  <si>
    <t>Aldino yurizal</t>
  </si>
  <si>
    <t>081280404715</t>
  </si>
  <si>
    <t>fuulbookedd</t>
  </si>
  <si>
    <t>2605D155</t>
  </si>
  <si>
    <t>Nabilazaein</t>
  </si>
  <si>
    <t>082233703699</t>
  </si>
  <si>
    <t>2605D156</t>
  </si>
  <si>
    <t>Wawan Abner</t>
  </si>
  <si>
    <t>082216210536</t>
  </si>
  <si>
    <t>2605D157</t>
  </si>
  <si>
    <t>Zhenhe Fu</t>
  </si>
  <si>
    <t>8615912057370</t>
  </si>
  <si>
    <t>2605D158</t>
  </si>
  <si>
    <t>Firdah Tia Yuliana</t>
  </si>
  <si>
    <t>081213575770</t>
  </si>
  <si>
    <t>2605H052</t>
  </si>
  <si>
    <t>Ibnu</t>
  </si>
  <si>
    <t>08158133150</t>
  </si>
  <si>
    <t>gada jawaban, hanya menyapa</t>
  </si>
  <si>
    <t>2605H053</t>
  </si>
  <si>
    <t>Ananda</t>
  </si>
  <si>
    <t>089514598257</t>
  </si>
  <si>
    <t>2605H054</t>
  </si>
  <si>
    <t>Nimaschubby6</t>
  </si>
  <si>
    <t>081289725449</t>
  </si>
  <si>
    <t>ijen baluran</t>
  </si>
  <si>
    <t>fullbooked jeep</t>
  </si>
  <si>
    <t>2605H055</t>
  </si>
  <si>
    <t>Melinda</t>
  </si>
  <si>
    <t>085893098776</t>
  </si>
  <si>
    <t>2605H056</t>
  </si>
  <si>
    <t>Letsman Tendy</t>
  </si>
  <si>
    <t>081908168888</t>
  </si>
  <si>
    <t>2605A111</t>
  </si>
  <si>
    <t>Achmad Elyas</t>
  </si>
  <si>
    <t>081235277773</t>
  </si>
  <si>
    <t>tn baluran</t>
  </si>
  <si>
    <t>2605D159</t>
  </si>
  <si>
    <t>Name C</t>
  </si>
  <si>
    <t>081332799583</t>
  </si>
  <si>
    <t>2605A112</t>
  </si>
  <si>
    <t>Farel</t>
  </si>
  <si>
    <t>082182847878</t>
  </si>
  <si>
    <t>blm bisa melanjutkan</t>
  </si>
  <si>
    <t>2605A113</t>
  </si>
  <si>
    <t>Didyn</t>
  </si>
  <si>
    <t>087779670032</t>
  </si>
  <si>
    <t>22-25 agustus</t>
  </si>
  <si>
    <t>2605A114</t>
  </si>
  <si>
    <t>08129541224</t>
  </si>
  <si>
    <t>2605D160</t>
  </si>
  <si>
    <t>Tatat Permana</t>
  </si>
  <si>
    <t>081282904213</t>
  </si>
  <si>
    <t>2605A115</t>
  </si>
  <si>
    <t>Nan</t>
  </si>
  <si>
    <t>hanya menyapa. tidak ada lanjutan</t>
  </si>
  <si>
    <t>2605A116</t>
  </si>
  <si>
    <t>Qiboo</t>
  </si>
  <si>
    <t>081391158925</t>
  </si>
  <si>
    <t>2605D161</t>
  </si>
  <si>
    <t>No Name Kopi</t>
  </si>
  <si>
    <t>085943433983</t>
  </si>
  <si>
    <t>belum ada balasan, Fu 8 Juni</t>
  </si>
  <si>
    <t>2605D162</t>
  </si>
  <si>
    <t>Momie Soe</t>
  </si>
  <si>
    <t>087852782586</t>
  </si>
  <si>
    <t>2605D163</t>
  </si>
  <si>
    <t>Dessy</t>
  </si>
  <si>
    <t>08131586257</t>
  </si>
  <si>
    <t>tanya additional GI, FU 8 Juni</t>
  </si>
  <si>
    <t>2605A117</t>
  </si>
  <si>
    <t>Titi</t>
  </si>
  <si>
    <t>089528279993</t>
  </si>
  <si>
    <t>private mt</t>
  </si>
  <si>
    <t>2605A118</t>
  </si>
  <si>
    <t>Diky</t>
  </si>
  <si>
    <t>083861309679</t>
  </si>
  <si>
    <t>ot djawatan dan green island 1d</t>
  </si>
  <si>
    <t>2605A119</t>
  </si>
  <si>
    <t>A</t>
  </si>
  <si>
    <t>60195593369</t>
  </si>
  <si>
    <t>2605A120</t>
  </si>
  <si>
    <t>Achasaurs</t>
  </si>
  <si>
    <t>082122694354</t>
  </si>
  <si>
    <t>1d alas purwo</t>
  </si>
  <si>
    <t>2605A121</t>
  </si>
  <si>
    <t>Izna</t>
  </si>
  <si>
    <t>0817466226</t>
  </si>
  <si>
    <t>2605A122</t>
  </si>
  <si>
    <t>Nasyitha Valia</t>
  </si>
  <si>
    <t>089601307446</t>
  </si>
  <si>
    <t>2605A123</t>
  </si>
  <si>
    <t>Delia</t>
  </si>
  <si>
    <t>081294202024</t>
  </si>
  <si>
    <t>belum ada jawaban</t>
  </si>
  <si>
    <t>2605A124</t>
  </si>
  <si>
    <t>Francois Vaz</t>
  </si>
  <si>
    <t>33637680194</t>
  </si>
  <si>
    <t>ijen-tumpak sewu-bromo-malang</t>
  </si>
  <si>
    <t>diarahkan ke holiday</t>
  </si>
  <si>
    <t>2605A125</t>
  </si>
  <si>
    <t>Lusyana Sitorus</t>
  </si>
  <si>
    <t>081370159206</t>
  </si>
  <si>
    <t>28 29 mei</t>
  </si>
  <si>
    <t>2605A126</t>
  </si>
  <si>
    <t>w</t>
  </si>
  <si>
    <t>0895393730460</t>
  </si>
  <si>
    <t>minggu terakhir mei</t>
  </si>
  <si>
    <t>2605A127</t>
  </si>
  <si>
    <t>j</t>
  </si>
  <si>
    <t>085603008700</t>
  </si>
  <si>
    <t>2605A128</t>
  </si>
  <si>
    <t>Andre Martin</t>
  </si>
  <si>
    <t>0895392130140</t>
  </si>
  <si>
    <t>28 mei-6 juni</t>
  </si>
  <si>
    <t>gada barengan</t>
  </si>
  <si>
    <t>2605A129</t>
  </si>
  <si>
    <t xml:space="preserve">Evi </t>
  </si>
  <si>
    <t>081315380368</t>
  </si>
  <si>
    <t>open trip djawatan, mt</t>
  </si>
  <si>
    <t>akhir juni atau awal juli</t>
  </si>
  <si>
    <t>2605A130</t>
  </si>
  <si>
    <t>Adawiyah Salma</t>
  </si>
  <si>
    <t>08119371515</t>
  </si>
  <si>
    <t>2605A131</t>
  </si>
  <si>
    <t>a</t>
  </si>
  <si>
    <t>0811121202</t>
  </si>
  <si>
    <t xml:space="preserve">open trip  </t>
  </si>
  <si>
    <t>2605A132</t>
  </si>
  <si>
    <t>081332685738</t>
  </si>
  <si>
    <t>djawatan baluran tabuhan</t>
  </si>
  <si>
    <t>2605A133</t>
  </si>
  <si>
    <t>Assa Rohana</t>
  </si>
  <si>
    <t>081291653213</t>
  </si>
  <si>
    <t>2605A134</t>
  </si>
  <si>
    <t xml:space="preserve">Ima </t>
  </si>
  <si>
    <t>081233171118</t>
  </si>
  <si>
    <t>2605A135</t>
  </si>
  <si>
    <t>Shafna Agiska</t>
  </si>
  <si>
    <t>081246285093</t>
  </si>
  <si>
    <t>tanya warung bu har saja. tidak ikut trip</t>
  </si>
  <si>
    <t>2605A136</t>
  </si>
  <si>
    <t>REZA</t>
  </si>
  <si>
    <t>082330998760</t>
  </si>
  <si>
    <t>prvt menjangan tabuhan</t>
  </si>
  <si>
    <t>2605A137</t>
  </si>
  <si>
    <t>085710070572</t>
  </si>
  <si>
    <t>2605A138</t>
  </si>
  <si>
    <t>Asri S Rahmi</t>
  </si>
  <si>
    <t>087848774252</t>
  </si>
  <si>
    <t>2605A139</t>
  </si>
  <si>
    <t>Jan (Bibos)</t>
  </si>
  <si>
    <t>081316236303</t>
  </si>
  <si>
    <t>2605A140</t>
  </si>
  <si>
    <t>Mutiara</t>
  </si>
  <si>
    <t>085799081096</t>
  </si>
  <si>
    <t>30 31 mei</t>
  </si>
  <si>
    <t>2605A141</t>
  </si>
  <si>
    <t>Max</t>
  </si>
  <si>
    <t>601114129530</t>
  </si>
  <si>
    <t>tidak jadi pergi</t>
  </si>
  <si>
    <t>2605A142</t>
  </si>
  <si>
    <t>Nindya A</t>
  </si>
  <si>
    <t>ke admin 1</t>
  </si>
  <si>
    <t>2605A143</t>
  </si>
  <si>
    <t>27 28 mei</t>
  </si>
  <si>
    <t>2605A144</t>
  </si>
  <si>
    <t>Marcellinoo</t>
  </si>
  <si>
    <t>085649538313</t>
  </si>
  <si>
    <t>2605A145</t>
  </si>
  <si>
    <t>Vidya</t>
  </si>
  <si>
    <t>081934681839</t>
  </si>
  <si>
    <t>mepet dengan kerjaan</t>
  </si>
  <si>
    <t>2605A146</t>
  </si>
  <si>
    <t>akhhir bulan juni</t>
  </si>
  <si>
    <t>2605A147</t>
  </si>
  <si>
    <t>Kristiana</t>
  </si>
  <si>
    <t>082220182316</t>
  </si>
  <si>
    <t>2605A148</t>
  </si>
  <si>
    <t>Femy Rahma F</t>
  </si>
  <si>
    <t>081226919375</t>
  </si>
  <si>
    <t>30-21 mei</t>
  </si>
  <si>
    <t>2605A149</t>
  </si>
  <si>
    <t>Resti</t>
  </si>
  <si>
    <t>081389486106</t>
  </si>
  <si>
    <t>tiket pesawat habis</t>
  </si>
  <si>
    <t>2605A150</t>
  </si>
  <si>
    <t>Iyop Ropika</t>
  </si>
  <si>
    <t>081567861222</t>
  </si>
  <si>
    <t>1d trip</t>
  </si>
  <si>
    <t>2605A151</t>
  </si>
  <si>
    <t>cit cit cuit</t>
  </si>
  <si>
    <t>085920638180</t>
  </si>
  <si>
    <t>2605A152</t>
  </si>
  <si>
    <t>gitaningtyas9</t>
  </si>
  <si>
    <t>085232578449</t>
  </si>
  <si>
    <t>2605A153</t>
  </si>
  <si>
    <t>hanya menyapa. gada balasan</t>
  </si>
  <si>
    <t>2605A154</t>
  </si>
  <si>
    <t>Rahmad Insani Ilman</t>
  </si>
  <si>
    <t>085173255983</t>
  </si>
  <si>
    <t>ot djawatan</t>
  </si>
  <si>
    <t xml:space="preserve">gada balasan  </t>
  </si>
  <si>
    <t>2605A155</t>
  </si>
  <si>
    <t>Diandra</t>
  </si>
  <si>
    <t>081382032024</t>
  </si>
  <si>
    <t>17-20 agustus</t>
  </si>
  <si>
    <t>fu 5 juli</t>
  </si>
  <si>
    <t>2605A156</t>
  </si>
  <si>
    <t>Azkia</t>
  </si>
  <si>
    <t>085648462808</t>
  </si>
  <si>
    <t>2605A157</t>
  </si>
  <si>
    <t>vivi</t>
  </si>
  <si>
    <t>082276942844</t>
  </si>
  <si>
    <t>2605A158</t>
  </si>
  <si>
    <t>Farid</t>
  </si>
  <si>
    <t>085366752778</t>
  </si>
  <si>
    <t>ot gi</t>
  </si>
  <si>
    <t xml:space="preserve">2605A159 </t>
  </si>
  <si>
    <t>Icha Be Your Travel</t>
  </si>
  <si>
    <t>085861405067</t>
  </si>
  <si>
    <t>2605A160</t>
  </si>
  <si>
    <t>Yuniar</t>
  </si>
  <si>
    <t>085736654095</t>
  </si>
  <si>
    <t>2605A161</t>
  </si>
  <si>
    <t>nothing</t>
  </si>
  <si>
    <t>082313456020</t>
  </si>
  <si>
    <t>freediving</t>
  </si>
  <si>
    <t>2605A162</t>
  </si>
  <si>
    <t>085814920711</t>
  </si>
  <si>
    <t>2605A163</t>
  </si>
  <si>
    <t>FIfi</t>
  </si>
  <si>
    <t>082126911503</t>
  </si>
  <si>
    <t>16-18 juni</t>
  </si>
  <si>
    <t>fu 6 juni</t>
  </si>
  <si>
    <t>2605A164</t>
  </si>
  <si>
    <t>Imma Kristy</t>
  </si>
  <si>
    <t>081223647600</t>
  </si>
  <si>
    <t>gada jawaban lagi</t>
  </si>
  <si>
    <t>2605A165</t>
  </si>
  <si>
    <t>Nadiah</t>
  </si>
  <si>
    <t>082247534027</t>
  </si>
  <si>
    <t>mt</t>
  </si>
  <si>
    <t>2605A166</t>
  </si>
  <si>
    <t>Galih Mahardhika</t>
  </si>
  <si>
    <t>081390096111</t>
  </si>
  <si>
    <t>2605A167</t>
  </si>
  <si>
    <t>2605A168</t>
  </si>
  <si>
    <t>7-8 juni</t>
  </si>
  <si>
    <t>2605A169</t>
  </si>
  <si>
    <t>Astrid</t>
  </si>
  <si>
    <t>081272734381</t>
  </si>
  <si>
    <t>2605A170</t>
  </si>
  <si>
    <t>Ida Puspa Rk</t>
  </si>
  <si>
    <t>08113322328</t>
  </si>
  <si>
    <t>2605A171</t>
  </si>
  <si>
    <t>Santha</t>
  </si>
  <si>
    <t>081213035217</t>
  </si>
  <si>
    <t>gada balasan dr dia</t>
  </si>
  <si>
    <t>2605A172</t>
  </si>
  <si>
    <t>Carolina Tanzil</t>
  </si>
  <si>
    <t>08179131311</t>
  </si>
  <si>
    <t>closing</t>
  </si>
  <si>
    <t>2605A173</t>
  </si>
  <si>
    <t>Ismawati Subroto</t>
  </si>
  <si>
    <t>081554688688</t>
  </si>
  <si>
    <t>2605A174</t>
  </si>
  <si>
    <t>081807130203</t>
  </si>
  <si>
    <t>fu 12 juni</t>
  </si>
  <si>
    <t>2605A175</t>
  </si>
  <si>
    <t>082218072120</t>
  </si>
  <si>
    <t>2605A176</t>
  </si>
  <si>
    <t>Rainandri</t>
  </si>
  <si>
    <t>081298666966</t>
  </si>
  <si>
    <t>2605A177</t>
  </si>
  <si>
    <t>081805344739</t>
  </si>
  <si>
    <t>2605A178</t>
  </si>
  <si>
    <t>Helena</t>
  </si>
  <si>
    <t>081382881388</t>
  </si>
  <si>
    <t>2605A179</t>
  </si>
  <si>
    <t>Donny Ananta Putra</t>
  </si>
  <si>
    <t>089627626226</t>
  </si>
  <si>
    <t>gada jawabaan</t>
  </si>
  <si>
    <t>2605A180</t>
  </si>
  <si>
    <t>ludovic renaudin</t>
  </si>
  <si>
    <t>61421302475</t>
  </si>
  <si>
    <t>2605A181</t>
  </si>
  <si>
    <t>Dewa</t>
  </si>
  <si>
    <t>08133953708</t>
  </si>
  <si>
    <t>2605H057</t>
  </si>
  <si>
    <t>Laras MTRAVEL TIME INDONESIA</t>
  </si>
  <si>
    <t>088210941010</t>
  </si>
  <si>
    <t>2605D164</t>
  </si>
  <si>
    <t>Annisa</t>
  </si>
  <si>
    <t>085710168093</t>
  </si>
  <si>
    <t xml:space="preserve">2605D165 </t>
  </si>
  <si>
    <t>Stale</t>
  </si>
  <si>
    <t>085134579266</t>
  </si>
  <si>
    <t>2605D166</t>
  </si>
  <si>
    <t>Nofia Erika Putri</t>
  </si>
  <si>
    <t>0895334131967</t>
  </si>
  <si>
    <t>jetski Tabuhan</t>
  </si>
  <si>
    <t>masih ditanyakan</t>
  </si>
  <si>
    <t>2605D167</t>
  </si>
  <si>
    <t xml:space="preserve">Risa   </t>
  </si>
  <si>
    <t>085692525245</t>
  </si>
  <si>
    <t>31 Juni</t>
  </si>
  <si>
    <t>2605D168</t>
  </si>
  <si>
    <t>083192139399</t>
  </si>
  <si>
    <t>2605D169</t>
  </si>
  <si>
    <t xml:space="preserve">Bagus Budiono </t>
  </si>
  <si>
    <t>08812247507</t>
  </si>
  <si>
    <t>trip Ijen/Ijen Baluran</t>
  </si>
  <si>
    <t>2605D170</t>
  </si>
  <si>
    <t>Catur</t>
  </si>
  <si>
    <t>085282923654</t>
  </si>
  <si>
    <t>OT ijen</t>
  </si>
  <si>
    <t>Machlisa</t>
  </si>
  <si>
    <t>08111017917</t>
  </si>
  <si>
    <t>2605H058</t>
  </si>
  <si>
    <t>Toto Sugiarto</t>
  </si>
  <si>
    <t>08122338006</t>
  </si>
  <si>
    <t>2605H059</t>
  </si>
  <si>
    <t>Rina Cumie Kristanti</t>
  </si>
  <si>
    <t>08128749759</t>
  </si>
  <si>
    <t>ot mt dan ijen</t>
  </si>
  <si>
    <t>5 6 juni</t>
  </si>
  <si>
    <t xml:space="preserve">2605H060 </t>
  </si>
  <si>
    <t>KANAJI</t>
  </si>
  <si>
    <t>081237141000</t>
  </si>
  <si>
    <t>waktu ke bwi kurang tepat</t>
  </si>
  <si>
    <t>2605A182</t>
  </si>
  <si>
    <t>Tio Martha</t>
  </si>
  <si>
    <t>081398976079</t>
  </si>
  <si>
    <t>buat penawaran 31 mei</t>
  </si>
  <si>
    <t>2605A183</t>
  </si>
  <si>
    <t>Rudi PS</t>
  </si>
  <si>
    <t>085742850411</t>
  </si>
  <si>
    <t>3h2m a + Kawah Wurung</t>
  </si>
  <si>
    <t>28 - 30 juni 26</t>
  </si>
  <si>
    <t>2605A184</t>
  </si>
  <si>
    <t>2605D171</t>
  </si>
  <si>
    <t>Dj</t>
  </si>
  <si>
    <t>085212345656</t>
  </si>
  <si>
    <t xml:space="preserve">diskusi duluu, FU 6 Juni </t>
  </si>
  <si>
    <t>2605A185</t>
  </si>
  <si>
    <t>Atik Haidar Hernawan</t>
  </si>
  <si>
    <t>085335015678</t>
  </si>
  <si>
    <t>2605A186</t>
  </si>
  <si>
    <t>Nadiacinta</t>
  </si>
  <si>
    <t>089668201047</t>
  </si>
  <si>
    <t>2605H061</t>
  </si>
  <si>
    <t>Heri Budiono</t>
  </si>
  <si>
    <t>0817834730</t>
  </si>
  <si>
    <t>hanya menyapa. fu juni</t>
  </si>
  <si>
    <t>2605H062</t>
  </si>
  <si>
    <t>Masdar</t>
  </si>
  <si>
    <t>08111334507</t>
  </si>
  <si>
    <t>hanya menyapa. fu 7 juni</t>
  </si>
  <si>
    <t>2605D172</t>
  </si>
  <si>
    <t xml:space="preserve">Ida  </t>
  </si>
  <si>
    <t>08170442004</t>
  </si>
  <si>
    <t xml:space="preserve">bulan Agustus </t>
  </si>
  <si>
    <t>kirim penawaran, FU 15 Juni</t>
  </si>
  <si>
    <t>2605D173</t>
  </si>
  <si>
    <t>Irfandi</t>
  </si>
  <si>
    <t>081233693806</t>
  </si>
  <si>
    <t>Orrdeerrr</t>
  </si>
  <si>
    <t>2605D174</t>
  </si>
  <si>
    <t>Lili Nugroho</t>
  </si>
  <si>
    <t>087860091492</t>
  </si>
  <si>
    <t>gagalll, gajadi ke Baluran</t>
  </si>
  <si>
    <t>2605D175</t>
  </si>
  <si>
    <t>Arya Fauzi</t>
  </si>
  <si>
    <t>089636081671</t>
  </si>
  <si>
    <t>17/18 Juni</t>
  </si>
  <si>
    <t>di infokan kembali, FU 4 Juni</t>
  </si>
  <si>
    <t>2605D176</t>
  </si>
  <si>
    <t>Rnl</t>
  </si>
  <si>
    <t>081252222769</t>
  </si>
  <si>
    <t>PT MT sunrise</t>
  </si>
  <si>
    <t>belum baas lagi, FU 2 Juni</t>
  </si>
  <si>
    <t>2606D001</t>
  </si>
  <si>
    <t>Ilma Anisa</t>
  </si>
  <si>
    <t>081227619883</t>
  </si>
  <si>
    <t>diskus dulu, FU 2Juni</t>
  </si>
  <si>
    <t>2605H063</t>
  </si>
  <si>
    <t>Liza Icha</t>
  </si>
  <si>
    <t>081314233382</t>
  </si>
  <si>
    <t>2605H064</t>
  </si>
  <si>
    <t>Ayana</t>
  </si>
  <si>
    <t>0811164772</t>
  </si>
  <si>
    <t>2606H001</t>
  </si>
  <si>
    <t>Dr. Mustika</t>
  </si>
  <si>
    <t>081218888987</t>
  </si>
  <si>
    <t>ga jadi, hewan di destinasi mulai sedikit, tdk tertarik lagi</t>
  </si>
  <si>
    <t>2605A187</t>
  </si>
  <si>
    <t>propertybanten</t>
  </si>
  <si>
    <t>081219111164</t>
  </si>
  <si>
    <t>2605A188</t>
  </si>
  <si>
    <t>Dian Mawar</t>
  </si>
  <si>
    <t>085230866967</t>
  </si>
  <si>
    <t>2605A189</t>
  </si>
  <si>
    <t>Alfina Fara</t>
  </si>
  <si>
    <t>087834432980</t>
  </si>
  <si>
    <t>1d</t>
  </si>
  <si>
    <t>2605A190</t>
  </si>
  <si>
    <t>Siti Zahra</t>
  </si>
  <si>
    <t>081293799918</t>
  </si>
  <si>
    <t>22-24 juni</t>
  </si>
  <si>
    <t>2605A191</t>
  </si>
  <si>
    <t>Rob</t>
  </si>
  <si>
    <t>4915150428553</t>
  </si>
  <si>
    <t>kopi kemiren</t>
  </si>
  <si>
    <t>minimal 2 orang. gagal</t>
  </si>
  <si>
    <t>2605A192</t>
  </si>
  <si>
    <t>085930419048</t>
  </si>
  <si>
    <t>scuba dive</t>
  </si>
  <si>
    <t>2605A193</t>
  </si>
  <si>
    <t>Ratih Afrida</t>
  </si>
  <si>
    <t>082329524902</t>
  </si>
  <si>
    <t>2605A194</t>
  </si>
  <si>
    <t>Filia Harumi</t>
  </si>
  <si>
    <t>082336440688</t>
  </si>
  <si>
    <t>2605A195</t>
  </si>
  <si>
    <t>Tesa</t>
  </si>
  <si>
    <t>082131231542</t>
  </si>
  <si>
    <t>2605A196</t>
  </si>
  <si>
    <t>faisal Novianto</t>
  </si>
  <si>
    <t>085887393710</t>
  </si>
  <si>
    <t>2606A001</t>
  </si>
  <si>
    <t>Abdi/neneng</t>
  </si>
  <si>
    <t>082348709609</t>
  </si>
  <si>
    <t>2605A197</t>
  </si>
  <si>
    <t>Hui</t>
  </si>
  <si>
    <t>087771140857</t>
  </si>
  <si>
    <t>ijen wurung</t>
  </si>
  <si>
    <t>2606A002</t>
  </si>
  <si>
    <t>Andin</t>
  </si>
  <si>
    <t>08388605526</t>
  </si>
  <si>
    <t>fu 6 agustus</t>
  </si>
  <si>
    <t>2606A003</t>
  </si>
  <si>
    <t>Elly Winarni</t>
  </si>
  <si>
    <t>082218000812</t>
  </si>
  <si>
    <t>2606D002</t>
  </si>
  <si>
    <t xml:space="preserve">Devy </t>
  </si>
  <si>
    <t>081299056000</t>
  </si>
  <si>
    <t>2606D003</t>
  </si>
  <si>
    <t>Novaria Indra</t>
  </si>
  <si>
    <t>08977176449</t>
  </si>
  <si>
    <t>gagalll, minta transportasinya sajaaa</t>
  </si>
  <si>
    <t>2606D004</t>
  </si>
  <si>
    <t>Steffen Miething</t>
  </si>
  <si>
    <t>491757366094</t>
  </si>
  <si>
    <t>2606D005</t>
  </si>
  <si>
    <t>Citra Rana</t>
  </si>
  <si>
    <t>081217457637</t>
  </si>
  <si>
    <t>orrderrrr</t>
  </si>
  <si>
    <t>2606D006</t>
  </si>
  <si>
    <t>Eko Suprobo</t>
  </si>
  <si>
    <t>085727609064</t>
  </si>
  <si>
    <t>masih nentuin tripnya dan tglnya, FU 10 Juni</t>
  </si>
  <si>
    <t>2606D007</t>
  </si>
  <si>
    <t xml:space="preserve">Kezia Ayu </t>
  </si>
  <si>
    <t>081228521096</t>
  </si>
  <si>
    <t>2606D008</t>
  </si>
  <si>
    <t>Raisa</t>
  </si>
  <si>
    <t>081215551663</t>
  </si>
  <si>
    <t>baru menyapaa aja, FU 10 Juni</t>
  </si>
  <si>
    <t>2606D009</t>
  </si>
  <si>
    <t>Kannika Dee</t>
  </si>
  <si>
    <t>08113760088</t>
  </si>
  <si>
    <t>masih pelajari penawaran, FU 12 Juni</t>
  </si>
  <si>
    <t>2606D010</t>
  </si>
  <si>
    <t>Dienne Ch</t>
  </si>
  <si>
    <t>081330141507</t>
  </si>
  <si>
    <t>3h2m dan 4h3m</t>
  </si>
  <si>
    <t>masih blm fiks, FU 12 Juni</t>
  </si>
  <si>
    <t>2606D011</t>
  </si>
  <si>
    <t>Tri Joko Wintolo</t>
  </si>
  <si>
    <t>082242415557</t>
  </si>
  <si>
    <t>belum bales lagi, FU 11 Juni</t>
  </si>
  <si>
    <t>2606D012</t>
  </si>
  <si>
    <t>Aye</t>
  </si>
  <si>
    <t>085141170283</t>
  </si>
  <si>
    <t>FU 7 Juni</t>
  </si>
  <si>
    <t>2606D013</t>
  </si>
  <si>
    <t>Anes</t>
  </si>
  <si>
    <t>081460930128</t>
  </si>
  <si>
    <t>belum bales lagi, FU 16 Juni</t>
  </si>
  <si>
    <t>2606D014</t>
  </si>
  <si>
    <t>Imanda Raisa</t>
  </si>
  <si>
    <t>085795274846</t>
  </si>
  <si>
    <t>2606D015</t>
  </si>
  <si>
    <t xml:space="preserve">Electra </t>
  </si>
  <si>
    <t>0818300357</t>
  </si>
  <si>
    <t>blm bales lagi, FU 12 Juni</t>
  </si>
  <si>
    <t>2606D016</t>
  </si>
  <si>
    <t>Ach</t>
  </si>
  <si>
    <t>085648287210</t>
  </si>
  <si>
    <t>FU 11 Juni</t>
  </si>
  <si>
    <t>2606D017</t>
  </si>
  <si>
    <t xml:space="preserve">Artha Aprilla </t>
  </si>
  <si>
    <t>088806705595</t>
  </si>
  <si>
    <t>bln Juli/Agustus</t>
  </si>
  <si>
    <t>2606D018</t>
  </si>
  <si>
    <t>SMK Telkom</t>
  </si>
  <si>
    <t>08111701157</t>
  </si>
  <si>
    <t>gagalll, jadi liburan ke bandung</t>
  </si>
  <si>
    <t>2606D019</t>
  </si>
  <si>
    <t>081903852661</t>
  </si>
  <si>
    <t>2606D020</t>
  </si>
  <si>
    <t>Monica</t>
  </si>
  <si>
    <t>081280100207</t>
  </si>
  <si>
    <t>FU 9 Juni</t>
  </si>
  <si>
    <t>2606H002</t>
  </si>
  <si>
    <t>Olsho</t>
  </si>
  <si>
    <t>085695957454</t>
  </si>
  <si>
    <t xml:space="preserve"> hanya menyapa</t>
  </si>
  <si>
    <t>2606H003</t>
  </si>
  <si>
    <t>Hernowo</t>
  </si>
  <si>
    <t>081585138723</t>
  </si>
  <si>
    <t>2 - 4 juli</t>
  </si>
  <si>
    <t>alhamdulilah closing</t>
  </si>
  <si>
    <t>2606H005</t>
  </si>
  <si>
    <t>Kukuh Pradani</t>
  </si>
  <si>
    <t>08121852395</t>
  </si>
  <si>
    <t>2606A004</t>
  </si>
  <si>
    <t>081320972509</t>
  </si>
  <si>
    <t>2606A005</t>
  </si>
  <si>
    <t>kuntum</t>
  </si>
  <si>
    <t>085811967836</t>
  </si>
  <si>
    <t>2606A006</t>
  </si>
  <si>
    <t>Aini</t>
  </si>
  <si>
    <t>082384016827</t>
  </si>
  <si>
    <t>gabisa cuti</t>
  </si>
  <si>
    <t>2606A007</t>
  </si>
  <si>
    <t>Anis Binti Syahab</t>
  </si>
  <si>
    <t>085183092270</t>
  </si>
  <si>
    <t>25-26 juli</t>
  </si>
  <si>
    <t>saudara nya sakit</t>
  </si>
  <si>
    <t>2606A008</t>
  </si>
  <si>
    <t>Shanty.Fitria.id</t>
  </si>
  <si>
    <t>087751821466</t>
  </si>
  <si>
    <t xml:space="preserve">ot djabal </t>
  </si>
  <si>
    <t>16/17 juli</t>
  </si>
  <si>
    <t>fu 15 juni hanya menyapa</t>
  </si>
  <si>
    <t>2606A009</t>
  </si>
  <si>
    <t>081336558887</t>
  </si>
  <si>
    <t>24-26 juli</t>
  </si>
  <si>
    <t>fu 19 juni hanya menyapa</t>
  </si>
  <si>
    <t>2606A010</t>
  </si>
  <si>
    <t>Ahmad Yasin Yusuf</t>
  </si>
  <si>
    <t>082140573838</t>
  </si>
  <si>
    <t>1d ijen</t>
  </si>
  <si>
    <t>fu 27 juni</t>
  </si>
  <si>
    <t>2606A011</t>
  </si>
  <si>
    <t>Shinta Ayu</t>
  </si>
  <si>
    <t>082132838971</t>
  </si>
  <si>
    <t>fu 5 juni</t>
  </si>
  <si>
    <t>2606A012</t>
  </si>
  <si>
    <t>Reee</t>
  </si>
  <si>
    <t>081231263678</t>
  </si>
  <si>
    <t>pvt mt</t>
  </si>
  <si>
    <t>2606A013</t>
  </si>
  <si>
    <t>087884100669</t>
  </si>
  <si>
    <t>tetiba balik jkt, ada urusan</t>
  </si>
  <si>
    <t>2606A014</t>
  </si>
  <si>
    <t>Nabila Fathonah</t>
  </si>
  <si>
    <t>081213890303</t>
  </si>
  <si>
    <t>2606A015</t>
  </si>
  <si>
    <t>Lukyy</t>
  </si>
  <si>
    <t>085952884267</t>
  </si>
  <si>
    <t>2606A016</t>
  </si>
  <si>
    <t>Erna</t>
  </si>
  <si>
    <t>08568698886</t>
  </si>
  <si>
    <t>6-8 agustus</t>
  </si>
  <si>
    <t>fu 22 juni</t>
  </si>
  <si>
    <t>2606A017</t>
  </si>
  <si>
    <t>Fahrizal</t>
  </si>
  <si>
    <t>085329469824</t>
  </si>
  <si>
    <t>2606A018</t>
  </si>
  <si>
    <t>Boby Nusanesia</t>
  </si>
  <si>
    <t>081234747500</t>
  </si>
  <si>
    <t>2606D021</t>
  </si>
  <si>
    <t>Weliya Karisma</t>
  </si>
  <si>
    <t>082281113334</t>
  </si>
  <si>
    <t xml:space="preserve">1 orang, FU 8 Juni </t>
  </si>
  <si>
    <t>2606D022</t>
  </si>
  <si>
    <t xml:space="preserve">Atin Kurniawati </t>
  </si>
  <si>
    <t>085867185560</t>
  </si>
  <si>
    <t>2606D023</t>
  </si>
  <si>
    <t>Nur Apriliani</t>
  </si>
  <si>
    <t>08992824307</t>
  </si>
  <si>
    <t>ORDEERRR</t>
  </si>
  <si>
    <t>2606D024</t>
  </si>
  <si>
    <t>Robin</t>
  </si>
  <si>
    <t>08128048305</t>
  </si>
  <si>
    <t>2606D025</t>
  </si>
  <si>
    <t>Joko Widodo</t>
  </si>
  <si>
    <t>082146152357</t>
  </si>
  <si>
    <t>PT Djabal</t>
  </si>
  <si>
    <t>2606D026</t>
  </si>
  <si>
    <t>Leisny</t>
  </si>
  <si>
    <t>085891350910</t>
  </si>
  <si>
    <t>PT MT</t>
  </si>
  <si>
    <t>2606D027</t>
  </si>
  <si>
    <t>Fauzan</t>
  </si>
  <si>
    <t>081311539490</t>
  </si>
  <si>
    <t>4h3m custome</t>
  </si>
  <si>
    <t>FU 17 Juni</t>
  </si>
  <si>
    <t>2606D028</t>
  </si>
  <si>
    <t>Qory</t>
  </si>
  <si>
    <t>081413456263</t>
  </si>
  <si>
    <t>FU 4 Juli</t>
  </si>
  <si>
    <t>2606D029</t>
  </si>
  <si>
    <t>Krent</t>
  </si>
  <si>
    <t>082140807506</t>
  </si>
  <si>
    <t>2606D030</t>
  </si>
  <si>
    <t xml:space="preserve">Vaton </t>
  </si>
  <si>
    <t>082140319854</t>
  </si>
  <si>
    <t>2606H006</t>
  </si>
  <si>
    <t>Esra Henita Marito</t>
  </si>
  <si>
    <t>089629191295</t>
  </si>
  <si>
    <t xml:space="preserve">ot gi </t>
  </si>
  <si>
    <t>2606H007</t>
  </si>
  <si>
    <t>David Barlian</t>
  </si>
  <si>
    <t>087878934431</t>
  </si>
  <si>
    <t>buat penawaran tanggal 7 juni</t>
  </si>
  <si>
    <t>2606H008</t>
  </si>
  <si>
    <t>Aryanti</t>
  </si>
  <si>
    <t>0811907784</t>
  </si>
  <si>
    <t>2606A019</t>
  </si>
  <si>
    <t>ismail</t>
  </si>
  <si>
    <t>085819717587</t>
  </si>
  <si>
    <t>2606A020</t>
  </si>
  <si>
    <t>fiorenza</t>
  </si>
  <si>
    <t>085643427366</t>
  </si>
  <si>
    <t>2606A021</t>
  </si>
  <si>
    <t>Amanda kurnia</t>
  </si>
  <si>
    <t>081380343328</t>
  </si>
  <si>
    <t>2606A022</t>
  </si>
  <si>
    <t>Sardjono</t>
  </si>
  <si>
    <t>081575008778</t>
  </si>
  <si>
    <t>2h1m b</t>
  </si>
  <si>
    <t>2606A023</t>
  </si>
  <si>
    <t>Iman Syafirman</t>
  </si>
  <si>
    <t>081211777810</t>
  </si>
  <si>
    <t>2606A024</t>
  </si>
  <si>
    <t>alihkan ke holiday</t>
  </si>
  <si>
    <t>2606A025</t>
  </si>
  <si>
    <t>Devita Permatasari</t>
  </si>
  <si>
    <t>089518850465</t>
  </si>
  <si>
    <t>2606A026</t>
  </si>
  <si>
    <t>08129092824</t>
  </si>
  <si>
    <t>2606A027</t>
  </si>
  <si>
    <t>Linda</t>
  </si>
  <si>
    <t>082343223731</t>
  </si>
  <si>
    <t>2606A028</t>
  </si>
  <si>
    <t>qnylia</t>
  </si>
  <si>
    <t>085190882445</t>
  </si>
  <si>
    <t>2606A029</t>
  </si>
  <si>
    <t>Gunarti</t>
  </si>
  <si>
    <t>085156458302</t>
  </si>
  <si>
    <t>2606A030</t>
  </si>
  <si>
    <t>Atika (sriminartimulyono1975)</t>
  </si>
  <si>
    <t>081238241039</t>
  </si>
  <si>
    <t>ganti ke jogja</t>
  </si>
  <si>
    <t>2606A031</t>
  </si>
  <si>
    <t>Evelyn Patricia</t>
  </si>
  <si>
    <t>082255427210</t>
  </si>
  <si>
    <t>awal agustus</t>
  </si>
  <si>
    <t>fu 5 agustus</t>
  </si>
  <si>
    <t>2606A032</t>
  </si>
  <si>
    <t>Nonny</t>
  </si>
  <si>
    <t>082150000898</t>
  </si>
  <si>
    <t>2606D031</t>
  </si>
  <si>
    <t>Peggy Tyas</t>
  </si>
  <si>
    <t>082221370981</t>
  </si>
  <si>
    <t>2606D032</t>
  </si>
  <si>
    <t>Telepitu stempel</t>
  </si>
  <si>
    <t>089618500344</t>
  </si>
  <si>
    <t>2h1m/1 day trip</t>
  </si>
  <si>
    <t>2606D033</t>
  </si>
  <si>
    <t>Ridho Banahsan</t>
  </si>
  <si>
    <t>085156583478</t>
  </si>
  <si>
    <t>2606D034</t>
  </si>
  <si>
    <t>Ary Suryaning Tiyas</t>
  </si>
  <si>
    <t>088996881431</t>
  </si>
  <si>
    <t>2606D035</t>
  </si>
  <si>
    <t xml:space="preserve">Diana Silvia </t>
  </si>
  <si>
    <t>082264222010</t>
  </si>
  <si>
    <t>belum bales lagi</t>
  </si>
  <si>
    <t>2606D036</t>
  </si>
  <si>
    <t>Almanura</t>
  </si>
  <si>
    <t>085716498446</t>
  </si>
  <si>
    <t>belum bales lagi, FU 12 Juni</t>
  </si>
  <si>
    <t>2606D037</t>
  </si>
  <si>
    <t>081392398400</t>
  </si>
  <si>
    <t>FU 12 Juni</t>
  </si>
  <si>
    <t>2606D038</t>
  </si>
  <si>
    <t>Sherryl</t>
  </si>
  <si>
    <t>081355412374</t>
  </si>
  <si>
    <t>2606D039</t>
  </si>
  <si>
    <t xml:space="preserve">Bimo Ario </t>
  </si>
  <si>
    <t>087765247762</t>
  </si>
  <si>
    <t>belum balas lagi, FU 13 Juni</t>
  </si>
  <si>
    <t>2606D040</t>
  </si>
  <si>
    <t>085894302364</t>
  </si>
  <si>
    <t>gagalll, tidak ada pendaftar lain</t>
  </si>
  <si>
    <t>2606D041</t>
  </si>
  <si>
    <t>Dhinda Syahviraa</t>
  </si>
  <si>
    <t>082225550566</t>
  </si>
  <si>
    <t>2606H009</t>
  </si>
  <si>
    <t>08131323299</t>
  </si>
  <si>
    <t>2606D042</t>
  </si>
  <si>
    <t>Fanny</t>
  </si>
  <si>
    <t>08122177273</t>
  </si>
  <si>
    <t>2606D043</t>
  </si>
  <si>
    <t>Th</t>
  </si>
  <si>
    <t>082234838511</t>
  </si>
  <si>
    <t>2606D044</t>
  </si>
  <si>
    <t xml:space="preserve">belum bales lagi, FU </t>
  </si>
  <si>
    <t>2606D045</t>
  </si>
  <si>
    <t>Cornelia Melinda</t>
  </si>
  <si>
    <t>081392012961</t>
  </si>
  <si>
    <t>trip Kawah Wurung</t>
  </si>
  <si>
    <t>2606D046</t>
  </si>
  <si>
    <t xml:space="preserve">Dian Sari Magdalena </t>
  </si>
  <si>
    <t>081310612022</t>
  </si>
  <si>
    <t>2606D047</t>
  </si>
  <si>
    <t>Dwipayani</t>
  </si>
  <si>
    <t>085880632986</t>
  </si>
  <si>
    <t>2606D048</t>
  </si>
  <si>
    <t>Justine</t>
  </si>
  <si>
    <t>33633053357</t>
  </si>
  <si>
    <t>2606D049</t>
  </si>
  <si>
    <t>Noviani Rachmisari</t>
  </si>
  <si>
    <t>0818672878</t>
  </si>
  <si>
    <t>FU 13 Juni</t>
  </si>
  <si>
    <t>2606D050</t>
  </si>
  <si>
    <t>Adinda Fachreza</t>
  </si>
  <si>
    <t>085157644801</t>
  </si>
  <si>
    <t>2606A033</t>
  </si>
  <si>
    <t>FNI</t>
  </si>
  <si>
    <t>085740434420</t>
  </si>
  <si>
    <t>2606A034</t>
  </si>
  <si>
    <t>Denys (Mimi Embun)</t>
  </si>
  <si>
    <t>085645398313</t>
  </si>
  <si>
    <t>akhir juni / awal juli</t>
  </si>
  <si>
    <t>berhalangan</t>
  </si>
  <si>
    <t>2606A035</t>
  </si>
  <si>
    <t>Sabrinaa</t>
  </si>
  <si>
    <t>081329829251</t>
  </si>
  <si>
    <t>3h2m a + green island</t>
  </si>
  <si>
    <t>2606A036</t>
  </si>
  <si>
    <t>Lulu Amirah</t>
  </si>
  <si>
    <t>085793432795</t>
  </si>
  <si>
    <t>tanya-tanya aja</t>
  </si>
  <si>
    <t>2606D051</t>
  </si>
  <si>
    <t>089690908261</t>
  </si>
  <si>
    <t xml:space="preserve">FU 9 Juni  </t>
  </si>
  <si>
    <t>2606D052</t>
  </si>
  <si>
    <t>Haifa</t>
  </si>
  <si>
    <t>089636430689</t>
  </si>
  <si>
    <t>2606D053</t>
  </si>
  <si>
    <t>Feli</t>
  </si>
  <si>
    <t>085173486857</t>
  </si>
  <si>
    <t>PT djawatan baluran</t>
  </si>
  <si>
    <t>2606A037</t>
  </si>
  <si>
    <t>Rahmawati Ahmad</t>
  </si>
  <si>
    <t>081315387703</t>
  </si>
  <si>
    <t>2606A038</t>
  </si>
  <si>
    <t>faaa</t>
  </si>
  <si>
    <t>085138590590</t>
  </si>
  <si>
    <t>2606A039</t>
  </si>
  <si>
    <t>ndupandw</t>
  </si>
  <si>
    <t>0895360766092</t>
  </si>
  <si>
    <t>2606A040</t>
  </si>
  <si>
    <t>anabelle</t>
  </si>
  <si>
    <t>08179426253</t>
  </si>
  <si>
    <t>2606H010</t>
  </si>
  <si>
    <t>Mariana</t>
  </si>
  <si>
    <t>081318285566</t>
  </si>
  <si>
    <t>ot tnp ijen</t>
  </si>
  <si>
    <t>29 juni-2 juli</t>
  </si>
  <si>
    <t>2606H011</t>
  </si>
  <si>
    <t xml:space="preserve">Veronica Sulyani Sanusi </t>
  </si>
  <si>
    <t>081808081161</t>
  </si>
  <si>
    <t>pergi ke jogja</t>
  </si>
  <si>
    <t>2606A041</t>
  </si>
  <si>
    <t>andrian RW</t>
  </si>
  <si>
    <t>081388663674</t>
  </si>
  <si>
    <t>2606D054</t>
  </si>
  <si>
    <t xml:space="preserve">Kirana </t>
  </si>
  <si>
    <t>082217777309</t>
  </si>
  <si>
    <t>Ddi3</t>
  </si>
  <si>
    <t>081327081982</t>
  </si>
  <si>
    <t>13/20 Juni</t>
  </si>
  <si>
    <t>2606A042</t>
  </si>
  <si>
    <t>Thiaa</t>
  </si>
  <si>
    <t>081388330262</t>
  </si>
  <si>
    <t>2606D056</t>
  </si>
  <si>
    <t xml:space="preserve">Ana  </t>
  </si>
  <si>
    <t>081259427377</t>
  </si>
  <si>
    <t>OT MT, Djabal, GI</t>
  </si>
  <si>
    <t>masih nentuin tanggal, FU 11 Juni</t>
  </si>
  <si>
    <t>2606D057</t>
  </si>
  <si>
    <t>Muh Asyrofil</t>
  </si>
  <si>
    <t>081233627472</t>
  </si>
  <si>
    <t>2606D058</t>
  </si>
  <si>
    <t>LookMan</t>
  </si>
  <si>
    <t>08119100055</t>
  </si>
  <si>
    <t>2606H012</t>
  </si>
  <si>
    <t>Ario Isnadi</t>
  </si>
  <si>
    <t>085156381325</t>
  </si>
  <si>
    <t>id green island</t>
  </si>
  <si>
    <t>alhmadulillah</t>
  </si>
  <si>
    <t>2606D059</t>
  </si>
  <si>
    <t>Yuli Ermawati</t>
  </si>
  <si>
    <t>085290229000</t>
  </si>
  <si>
    <t>2606D060</t>
  </si>
  <si>
    <t>Yuliana Melani</t>
  </si>
  <si>
    <t>089680857762</t>
  </si>
  <si>
    <t xml:space="preserve">OT MT </t>
  </si>
  <si>
    <t>2606D061</t>
  </si>
  <si>
    <t>Ain Nurul Fadilah</t>
  </si>
  <si>
    <t>081909411660</t>
  </si>
  <si>
    <t>2606A043</t>
  </si>
  <si>
    <t>Tri nurhajati</t>
  </si>
  <si>
    <t>087777290722</t>
  </si>
  <si>
    <t>jadinya ke Bali</t>
  </si>
  <si>
    <t>2606A044</t>
  </si>
  <si>
    <t>Iin</t>
  </si>
  <si>
    <t>081296007655</t>
  </si>
  <si>
    <t>ga jadi, tdk menyebutkan alasan</t>
  </si>
  <si>
    <t>2606A045</t>
  </si>
  <si>
    <t>Desy / raja salad</t>
  </si>
  <si>
    <t>082153526000</t>
  </si>
  <si>
    <t>1h</t>
  </si>
  <si>
    <t>2606A046</t>
  </si>
  <si>
    <t>vinni</t>
  </si>
  <si>
    <t>085860596632</t>
  </si>
  <si>
    <t>2606A047</t>
  </si>
  <si>
    <t>Eny</t>
  </si>
  <si>
    <t>081945997749</t>
  </si>
  <si>
    <t>2606A048</t>
  </si>
  <si>
    <t>Anita Rismaya</t>
  </si>
  <si>
    <t>087777270743</t>
  </si>
  <si>
    <t>ot baluran dan alas purwo</t>
  </si>
  <si>
    <t>2606D062</t>
  </si>
  <si>
    <t>No Name 2h1m</t>
  </si>
  <si>
    <t>082177719919</t>
  </si>
  <si>
    <t>2606D063</t>
  </si>
  <si>
    <t>Zilfa</t>
  </si>
  <si>
    <t>083895350490</t>
  </si>
  <si>
    <t>nunggu persetujuan ortu, FU 17 Juni</t>
  </si>
  <si>
    <t>2606D064</t>
  </si>
  <si>
    <t>Anggun Tri Utami</t>
  </si>
  <si>
    <t>081398761652</t>
  </si>
  <si>
    <t>trip Djabal</t>
  </si>
  <si>
    <t>blm balas lagi, FU 17 Juni</t>
  </si>
  <si>
    <t>2606D065</t>
  </si>
  <si>
    <t>Eva yunieta</t>
  </si>
  <si>
    <t>08113191918</t>
  </si>
  <si>
    <t>2606D066</t>
  </si>
  <si>
    <t>Ira Nirmala</t>
  </si>
  <si>
    <t>085659201038</t>
  </si>
  <si>
    <t>diskus duu, FU 11 Juni</t>
  </si>
  <si>
    <t>2606D067</t>
  </si>
  <si>
    <t>Melik</t>
  </si>
  <si>
    <t>081325730022</t>
  </si>
  <si>
    <t>2606A049</t>
  </si>
  <si>
    <t>Lutfiya</t>
  </si>
  <si>
    <t>085732131060</t>
  </si>
  <si>
    <t>2606D068</t>
  </si>
  <si>
    <t>Muslih</t>
  </si>
  <si>
    <t>081231234235</t>
  </si>
  <si>
    <t>OT harian</t>
  </si>
  <si>
    <t>masih mikir pilih trip yg mana, FU 11 Juni</t>
  </si>
  <si>
    <t>2606D069</t>
  </si>
  <si>
    <t>Endi (Nur Laely)</t>
  </si>
  <si>
    <t>085723509115</t>
  </si>
  <si>
    <t>orrdeerrr, Hadiah wedding sepupu</t>
  </si>
  <si>
    <t>2606A050</t>
  </si>
  <si>
    <t>Erma Nurfajriah</t>
  </si>
  <si>
    <t>085762982172</t>
  </si>
  <si>
    <t>2606A051</t>
  </si>
  <si>
    <t xml:space="preserve">Najwa </t>
  </si>
  <si>
    <t>081339893441</t>
  </si>
  <si>
    <t>2606A052</t>
  </si>
  <si>
    <t>085787309812</t>
  </si>
  <si>
    <t>2606A053</t>
  </si>
  <si>
    <t>vivin</t>
  </si>
  <si>
    <t>089519990936</t>
  </si>
  <si>
    <t>2606A054</t>
  </si>
  <si>
    <t>Annisa fida</t>
  </si>
  <si>
    <t>082120003212</t>
  </si>
  <si>
    <t>ot ijen baluran</t>
  </si>
  <si>
    <t>2606D070</t>
  </si>
  <si>
    <t xml:space="preserve">Alora Homemade </t>
  </si>
  <si>
    <t>085156490853</t>
  </si>
  <si>
    <t>baru menyapa</t>
  </si>
  <si>
    <t>2606D071</t>
  </si>
  <si>
    <t>Via</t>
  </si>
  <si>
    <t>081388044571</t>
  </si>
  <si>
    <t>nyari OT 4h3m26, FU 13 Juni</t>
  </si>
  <si>
    <t>Nna</t>
  </si>
  <si>
    <t>082172977987</t>
  </si>
  <si>
    <t>baru menyapa, FU 13 Juni</t>
  </si>
  <si>
    <t>2606D072</t>
  </si>
  <si>
    <t>Dewi Octaviani</t>
  </si>
  <si>
    <t>082127009715</t>
  </si>
  <si>
    <t>baru nanya mepo</t>
  </si>
  <si>
    <t>2606D073</t>
  </si>
  <si>
    <t>Nida</t>
  </si>
  <si>
    <t>0895352831337</t>
  </si>
  <si>
    <t>alhamdulillah orrderr</t>
  </si>
  <si>
    <t>2606D074</t>
  </si>
  <si>
    <t>Climb</t>
  </si>
  <si>
    <t>081231230748</t>
  </si>
  <si>
    <t>2606D075</t>
  </si>
  <si>
    <t>Achmad Rizky</t>
  </si>
  <si>
    <t>081181200155</t>
  </si>
  <si>
    <t>paket custome</t>
  </si>
  <si>
    <t xml:space="preserve">B2B, FU 11 Juli  </t>
  </si>
  <si>
    <t>2606D076</t>
  </si>
  <si>
    <t>Fatin DN</t>
  </si>
  <si>
    <t>081392461331</t>
  </si>
  <si>
    <t>belum ada balasan, FU 13 Juni</t>
  </si>
  <si>
    <t>2606D077</t>
  </si>
  <si>
    <t>082244534042</t>
  </si>
  <si>
    <t xml:space="preserve">sendirian, tidak pas tglnya </t>
  </si>
  <si>
    <t>2606D078</t>
  </si>
  <si>
    <t>Tuti</t>
  </si>
  <si>
    <t>087810005045</t>
  </si>
  <si>
    <t>2606D079</t>
  </si>
  <si>
    <t>Theresia Mery</t>
  </si>
  <si>
    <t>081314160309</t>
  </si>
  <si>
    <t>2606D080</t>
  </si>
  <si>
    <t>Widhi Bhaskara</t>
  </si>
  <si>
    <t>08128008500</t>
  </si>
  <si>
    <t>2606A055</t>
  </si>
  <si>
    <t>Rifky Ballas</t>
  </si>
  <si>
    <t>081133320075</t>
  </si>
  <si>
    <t>2606A056</t>
  </si>
  <si>
    <t>Yolanda</t>
  </si>
  <si>
    <t>08179892215</t>
  </si>
  <si>
    <t>ga deal sm harganya</t>
  </si>
  <si>
    <t>2606A057</t>
  </si>
  <si>
    <t>Farren Idfila</t>
  </si>
  <si>
    <t>081901195005</t>
  </si>
  <si>
    <t>2606D081</t>
  </si>
  <si>
    <t>Azzah</t>
  </si>
  <si>
    <t>085775168075</t>
  </si>
  <si>
    <t>belum balas lagi, FU 20 Juni</t>
  </si>
  <si>
    <t>2606D082</t>
  </si>
  <si>
    <t>Ndaa</t>
  </si>
  <si>
    <t>085925081887</t>
  </si>
  <si>
    <t>2606D083</t>
  </si>
  <si>
    <t>Nuzla Ramadhani</t>
  </si>
  <si>
    <t>089686703829</t>
  </si>
  <si>
    <t>2606A058</t>
  </si>
  <si>
    <t>Bela</t>
  </si>
  <si>
    <t>08975849406</t>
  </si>
  <si>
    <t>2606A059</t>
  </si>
  <si>
    <t>Dinda N</t>
  </si>
  <si>
    <t>081291286545</t>
  </si>
  <si>
    <t>2606D084</t>
  </si>
  <si>
    <t>Selsia</t>
  </si>
  <si>
    <t>081330587777</t>
  </si>
  <si>
    <t>2606A060</t>
  </si>
  <si>
    <t>Samsul</t>
  </si>
  <si>
    <t>0817322325</t>
  </si>
  <si>
    <t>2606D085</t>
  </si>
  <si>
    <t>Binti888</t>
  </si>
  <si>
    <t>0859106908827</t>
  </si>
  <si>
    <t>tanya penjemputan dari sby</t>
  </si>
  <si>
    <t>2606D086</t>
  </si>
  <si>
    <t>Soon</t>
  </si>
  <si>
    <t>085713491813</t>
  </si>
  <si>
    <t>OT Djabal, MT</t>
  </si>
  <si>
    <t>2606D087</t>
  </si>
  <si>
    <t>Sazali</t>
  </si>
  <si>
    <t>081266359190</t>
  </si>
  <si>
    <t>2606H013</t>
  </si>
  <si>
    <t>Evi (Netty)</t>
  </si>
  <si>
    <t>087825224105</t>
  </si>
  <si>
    <t>FU 21 JUNI</t>
  </si>
  <si>
    <t>2606H014</t>
  </si>
  <si>
    <t>Aulia Putri Rahmadita</t>
  </si>
  <si>
    <t>085817418180</t>
  </si>
  <si>
    <t>cuma tanya tanya aja</t>
  </si>
  <si>
    <t>2606H015</t>
  </si>
  <si>
    <t>Rakha</t>
  </si>
  <si>
    <t>08119114704</t>
  </si>
  <si>
    <t>2606H016</t>
  </si>
  <si>
    <t>081199348</t>
  </si>
  <si>
    <t>21-23 Juni</t>
  </si>
  <si>
    <t>2606H017</t>
  </si>
  <si>
    <t>Widhi Baskara</t>
  </si>
  <si>
    <t xml:space="preserve">custome </t>
  </si>
  <si>
    <t>13-16 juni</t>
  </si>
  <si>
    <t>sdh pulang</t>
  </si>
  <si>
    <t>2606H018</t>
  </si>
  <si>
    <t>Farah</t>
  </si>
  <si>
    <t>087852361571</t>
  </si>
  <si>
    <t>2606H019</t>
  </si>
  <si>
    <t>Glory Nactasia</t>
  </si>
  <si>
    <t>082273522093</t>
  </si>
  <si>
    <t>ngilang abis dikasi form</t>
  </si>
  <si>
    <t>2606H020</t>
  </si>
  <si>
    <t>Rita</t>
  </si>
  <si>
    <t>081380107830</t>
  </si>
  <si>
    <t>2606D088</t>
  </si>
  <si>
    <t>Karmila</t>
  </si>
  <si>
    <t>085695892130</t>
  </si>
  <si>
    <t>2606D089</t>
  </si>
  <si>
    <t>Ade Sutiana DSLNG</t>
  </si>
  <si>
    <t>081287449580</t>
  </si>
  <si>
    <t>2606D090</t>
  </si>
  <si>
    <t>Devinia Angela</t>
  </si>
  <si>
    <t>081347932039</t>
  </si>
  <si>
    <t>OT Djabal, MT, GI</t>
  </si>
  <si>
    <t>2606D091</t>
  </si>
  <si>
    <t>Carrensca Wahyudi</t>
  </si>
  <si>
    <t>085715343590</t>
  </si>
  <si>
    <t>2606D092</t>
  </si>
  <si>
    <t>An</t>
  </si>
  <si>
    <t>085886299576</t>
  </si>
  <si>
    <t>2606D093</t>
  </si>
  <si>
    <t>Lidya Vera</t>
  </si>
  <si>
    <t>089633369059</t>
  </si>
  <si>
    <t>tanya beda 3h2m opsi a&amp;b</t>
  </si>
  <si>
    <t>2606D094</t>
  </si>
  <si>
    <t>081274299557</t>
  </si>
  <si>
    <t>mau transport aja ke Ijen</t>
  </si>
  <si>
    <t>2606D095</t>
  </si>
  <si>
    <t>Nur Khamid</t>
  </si>
  <si>
    <t>085236225100</t>
  </si>
  <si>
    <t>bulan Juni/Juli</t>
  </si>
  <si>
    <t>2606D096</t>
  </si>
  <si>
    <t>Esti Natsir</t>
  </si>
  <si>
    <t>081514181976</t>
  </si>
  <si>
    <t>2606A061</t>
  </si>
  <si>
    <t>LMT Production</t>
  </si>
  <si>
    <t>082225480707</t>
  </si>
  <si>
    <t>2606A062</t>
  </si>
  <si>
    <t>Yanti Hian Hwa</t>
  </si>
  <si>
    <t>081904978487</t>
  </si>
  <si>
    <t>27-30juni</t>
  </si>
  <si>
    <t>2606A063</t>
  </si>
  <si>
    <t>Adella Andi Melati</t>
  </si>
  <si>
    <t>081332178160</t>
  </si>
  <si>
    <t>2606A064</t>
  </si>
  <si>
    <t>Hendi R</t>
  </si>
  <si>
    <t>081328504598</t>
  </si>
  <si>
    <t>14-16</t>
  </si>
  <si>
    <t>2606A065</t>
  </si>
  <si>
    <t>Sinta Rossita</t>
  </si>
  <si>
    <t>081399313391</t>
  </si>
  <si>
    <t>2606A066</t>
  </si>
  <si>
    <t>Mustika Yulia Akhmi</t>
  </si>
  <si>
    <t>085794552546</t>
  </si>
  <si>
    <t>2606A067</t>
  </si>
  <si>
    <t>Kinah</t>
  </si>
  <si>
    <t>081210860625</t>
  </si>
  <si>
    <t>FU 1 JULI</t>
  </si>
  <si>
    <t>2606D097</t>
  </si>
  <si>
    <t>Stefanus</t>
  </si>
  <si>
    <t>081353359495</t>
  </si>
  <si>
    <t>1 day teluk ijo</t>
  </si>
  <si>
    <t>Orrdderrrr</t>
  </si>
  <si>
    <t>2606A068</t>
  </si>
  <si>
    <t>Avivah</t>
  </si>
  <si>
    <t>08211635729</t>
  </si>
  <si>
    <t>16-20 juni</t>
  </si>
  <si>
    <t>2606A069</t>
  </si>
  <si>
    <t>Mary Stephanie</t>
  </si>
  <si>
    <t>081297574099</t>
  </si>
  <si>
    <t>30juli-2agustus</t>
  </si>
  <si>
    <t>liburan ke hanoi</t>
  </si>
  <si>
    <t>2606H021</t>
  </si>
  <si>
    <t>Nur Faizah</t>
  </si>
  <si>
    <t>085259177468</t>
  </si>
  <si>
    <t>mt b</t>
  </si>
  <si>
    <t>2606D098</t>
  </si>
  <si>
    <t>Wiguna</t>
  </si>
  <si>
    <t>08112292225</t>
  </si>
  <si>
    <t>2606D099</t>
  </si>
  <si>
    <t xml:space="preserve">Tri Bagus </t>
  </si>
  <si>
    <t>085211132129</t>
  </si>
  <si>
    <t>2606D100</t>
  </si>
  <si>
    <t>Natsir</t>
  </si>
  <si>
    <t>081519720008</t>
  </si>
  <si>
    <t>masi tanyaa</t>
  </si>
  <si>
    <t>2606D101</t>
  </si>
  <si>
    <t>Terezia</t>
  </si>
  <si>
    <t>082332011113</t>
  </si>
  <si>
    <t>2606D102</t>
  </si>
  <si>
    <t xml:space="preserve">Widia Setiawan </t>
  </si>
  <si>
    <t>085816908273</t>
  </si>
  <si>
    <t>2606D103</t>
  </si>
  <si>
    <t>Nova Novia</t>
  </si>
  <si>
    <t>08112193391</t>
  </si>
  <si>
    <t>2606D104</t>
  </si>
  <si>
    <t xml:space="preserve">Hapsari </t>
  </si>
  <si>
    <t>087877752190</t>
  </si>
  <si>
    <t>2606D105</t>
  </si>
  <si>
    <t>Isnaini</t>
  </si>
  <si>
    <t>081295404483</t>
  </si>
  <si>
    <t>2606A070</t>
  </si>
  <si>
    <t>082221808429</t>
  </si>
  <si>
    <t>2606A071</t>
  </si>
  <si>
    <t>East Region Newspage</t>
  </si>
  <si>
    <t>081119971052</t>
  </si>
  <si>
    <t>2606A072</t>
  </si>
  <si>
    <t>Debby</t>
  </si>
  <si>
    <t>08979381708</t>
  </si>
  <si>
    <t>fu 28 september</t>
  </si>
  <si>
    <t>2606A073</t>
  </si>
  <si>
    <t>Bagus</t>
  </si>
  <si>
    <t>ke mbak dela</t>
  </si>
  <si>
    <t>2606A074</t>
  </si>
  <si>
    <t>Ana/Gemar tour</t>
  </si>
  <si>
    <t>081912800435</t>
  </si>
  <si>
    <t>3-5juli</t>
  </si>
  <si>
    <t>2606A075</t>
  </si>
  <si>
    <t>Vs</t>
  </si>
  <si>
    <t>081220542445</t>
  </si>
  <si>
    <t>2606A076</t>
  </si>
  <si>
    <t>Yuliana Rahayu</t>
  </si>
  <si>
    <t>082112272745</t>
  </si>
  <si>
    <t>28 juni - 6 juli</t>
  </si>
  <si>
    <t>2606A077</t>
  </si>
  <si>
    <t>Adika Wiroyudo - Agil</t>
  </si>
  <si>
    <t>08111104123</t>
  </si>
  <si>
    <t>Menjangan</t>
  </si>
  <si>
    <t>2606A078</t>
  </si>
  <si>
    <t>dinna sulinda</t>
  </si>
  <si>
    <t>085695366620</t>
  </si>
  <si>
    <t>2606A079</t>
  </si>
  <si>
    <t>Rizky</t>
  </si>
  <si>
    <t>08176696659</t>
  </si>
  <si>
    <t>6-9juli</t>
  </si>
  <si>
    <t>2606D106</t>
  </si>
  <si>
    <t>Husna</t>
  </si>
  <si>
    <t>085972835898</t>
  </si>
  <si>
    <t>1-4 Juli</t>
  </si>
  <si>
    <t>2606D107</t>
  </si>
  <si>
    <t>Naudi</t>
  </si>
  <si>
    <t>8618688390947</t>
  </si>
  <si>
    <t>2606D108</t>
  </si>
  <si>
    <t>Fzhr</t>
  </si>
  <si>
    <t>088297289117</t>
  </si>
  <si>
    <t>OT GI, Ijen Baluran</t>
  </si>
  <si>
    <t>3-4 Juli</t>
  </si>
  <si>
    <t>2606D109</t>
  </si>
  <si>
    <t>Nizam</t>
  </si>
  <si>
    <t>081235122895</t>
  </si>
  <si>
    <t>2606H022</t>
  </si>
  <si>
    <t>Nurul Khairat</t>
  </si>
  <si>
    <t>085710002559</t>
  </si>
  <si>
    <t>fu bulan 1 Agustus</t>
  </si>
  <si>
    <t>2606D110</t>
  </si>
  <si>
    <t xml:space="preserve">Ichsan Halwan </t>
  </si>
  <si>
    <t>082124454174</t>
  </si>
  <si>
    <t>orrdderrr</t>
  </si>
  <si>
    <t>2606H023</t>
  </si>
  <si>
    <t>Dini FItriani Noor Robiah</t>
  </si>
  <si>
    <t>085795192469</t>
  </si>
  <si>
    <t>gajadi ke Banyuwangi</t>
  </si>
  <si>
    <t>2606A080</t>
  </si>
  <si>
    <t>087700088777</t>
  </si>
  <si>
    <t>2606A081</t>
  </si>
  <si>
    <t>Kristina</t>
  </si>
  <si>
    <t>085803909655</t>
  </si>
  <si>
    <t>Dhiana</t>
  </si>
  <si>
    <t>085882731012</t>
  </si>
  <si>
    <t>fu 16 juni</t>
  </si>
  <si>
    <t>2606A082</t>
  </si>
  <si>
    <t>083892207080</t>
  </si>
  <si>
    <t>2606A083</t>
  </si>
  <si>
    <t>Fillah</t>
  </si>
  <si>
    <t>081338671112</t>
  </si>
  <si>
    <t>2606H025</t>
  </si>
  <si>
    <t>Ani</t>
  </si>
  <si>
    <t>081213653888</t>
  </si>
  <si>
    <t xml:space="preserve">waktunya </t>
  </si>
  <si>
    <t>2606D111</t>
  </si>
  <si>
    <t xml:space="preserve">Yuyun </t>
  </si>
  <si>
    <t>089666507813</t>
  </si>
  <si>
    <t>2606D112</t>
  </si>
  <si>
    <t>Ai Nurhicmah</t>
  </si>
  <si>
    <t>085267593008</t>
  </si>
  <si>
    <t>masih diskusi, FU 17 Juni</t>
  </si>
  <si>
    <t>2606D113</t>
  </si>
  <si>
    <t xml:space="preserve">Jean </t>
  </si>
  <si>
    <t>082259563022</t>
  </si>
  <si>
    <t>2606H026</t>
  </si>
  <si>
    <t>Ita Qurotul</t>
  </si>
  <si>
    <t>085730728356</t>
  </si>
  <si>
    <t>2606H027</t>
  </si>
  <si>
    <t>Imung</t>
  </si>
  <si>
    <t>081389822063</t>
  </si>
  <si>
    <t>2606A084</t>
  </si>
  <si>
    <t>Shafa</t>
  </si>
  <si>
    <t>08976211029</t>
  </si>
  <si>
    <t>ot kawah ijen</t>
  </si>
  <si>
    <t>2606A085</t>
  </si>
  <si>
    <t>081325210466</t>
  </si>
  <si>
    <t>2606A086</t>
  </si>
  <si>
    <t>Siska W. Wardhana</t>
  </si>
  <si>
    <t>087822020430</t>
  </si>
  <si>
    <t>2606A087</t>
  </si>
  <si>
    <t>Hidayat</t>
  </si>
  <si>
    <t>085325252348</t>
  </si>
  <si>
    <t>2606A088</t>
  </si>
  <si>
    <t>Pidharhyu</t>
  </si>
  <si>
    <t>083840125855</t>
  </si>
  <si>
    <t>2606A089</t>
  </si>
  <si>
    <t>Radit</t>
  </si>
  <si>
    <t>082136423185</t>
  </si>
  <si>
    <t>2606H028</t>
  </si>
  <si>
    <t>Wiilda Ivn</t>
  </si>
  <si>
    <t>088271003869</t>
  </si>
  <si>
    <t>fu 15 juni</t>
  </si>
  <si>
    <t>2606D114</t>
  </si>
  <si>
    <t xml:space="preserve">Jo  </t>
  </si>
  <si>
    <t>081212832603</t>
  </si>
  <si>
    <t>ot GI</t>
  </si>
  <si>
    <t>2606D115</t>
  </si>
  <si>
    <t>Wiwi Anik</t>
  </si>
  <si>
    <t>085718148494</t>
  </si>
  <si>
    <t>orrderrr (12pax 1 anak kecil)</t>
  </si>
  <si>
    <t>2606D116</t>
  </si>
  <si>
    <t>Wicak</t>
  </si>
  <si>
    <t>08122028374</t>
  </si>
  <si>
    <t>ganti liburan di jogjaa</t>
  </si>
  <si>
    <t>2606D117</t>
  </si>
  <si>
    <t>Wedy</t>
  </si>
  <si>
    <t>081330277999</t>
  </si>
  <si>
    <t>trip Menjangan tabuhan</t>
  </si>
  <si>
    <t>dah di FU tidakk balas</t>
  </si>
  <si>
    <t>2606D118</t>
  </si>
  <si>
    <t>Naurahel</t>
  </si>
  <si>
    <t>081312900025</t>
  </si>
  <si>
    <t>2606D119</t>
  </si>
  <si>
    <t>Hana</t>
  </si>
  <si>
    <t>082128625697</t>
  </si>
  <si>
    <t xml:space="preserve">bulan september </t>
  </si>
  <si>
    <t>ke bajo</t>
  </si>
  <si>
    <t>2606D120</t>
  </si>
  <si>
    <t xml:space="preserve">Dinda  </t>
  </si>
  <si>
    <t>08112995597</t>
  </si>
  <si>
    <t>2606A090</t>
  </si>
  <si>
    <t>Meyna</t>
  </si>
  <si>
    <t>081212488212</t>
  </si>
  <si>
    <t>2606D121</t>
  </si>
  <si>
    <t>Ipang</t>
  </si>
  <si>
    <t>081290407415</t>
  </si>
  <si>
    <t>diskusi dulu, FU 11 Juli</t>
  </si>
  <si>
    <t>2606D122</t>
  </si>
  <si>
    <t>Ahmad Soim</t>
  </si>
  <si>
    <t>08127452390</t>
  </si>
  <si>
    <t>2606D123</t>
  </si>
  <si>
    <t>089688855219</t>
  </si>
  <si>
    <t>2606D124</t>
  </si>
  <si>
    <t xml:space="preserve">Mota </t>
  </si>
  <si>
    <t xml:space="preserve">085770423505 </t>
  </si>
  <si>
    <t>2606D125</t>
  </si>
  <si>
    <t>Azzahra Salsabilla</t>
  </si>
  <si>
    <t>087788177153</t>
  </si>
  <si>
    <t>diskus dulu, FU 5 agustus</t>
  </si>
  <si>
    <t>2606D126</t>
  </si>
  <si>
    <t>Mas Karmin</t>
  </si>
  <si>
    <t>085646472493</t>
  </si>
  <si>
    <t xml:space="preserve">FU 1 Juli </t>
  </si>
  <si>
    <t>2606D127</t>
  </si>
  <si>
    <t>Susett Maria</t>
  </si>
  <si>
    <t>082361300550</t>
  </si>
  <si>
    <t>cek ketersediaan</t>
  </si>
  <si>
    <t>2606H029</t>
  </si>
  <si>
    <t>081319250775</t>
  </si>
  <si>
    <t>otmt</t>
  </si>
  <si>
    <t>24-26 juni</t>
  </si>
  <si>
    <t>ga ada balasan</t>
  </si>
  <si>
    <t>2606H030</t>
  </si>
  <si>
    <t>Priharto</t>
  </si>
  <si>
    <t>081245999494</t>
  </si>
  <si>
    <t>belum ada momennya</t>
  </si>
  <si>
    <t>2606A091</t>
  </si>
  <si>
    <t>Ida Susanti</t>
  </si>
  <si>
    <t>085283500101</t>
  </si>
  <si>
    <t>djawatan-baluran</t>
  </si>
  <si>
    <t>2606A092</t>
  </si>
  <si>
    <t>Muhammad Izza</t>
  </si>
  <si>
    <t>085820623370</t>
  </si>
  <si>
    <t>2606A093</t>
  </si>
  <si>
    <t>082257679080</t>
  </si>
  <si>
    <t>2606A094</t>
  </si>
  <si>
    <t>082164033322</t>
  </si>
  <si>
    <t>2606A095</t>
  </si>
  <si>
    <t>Azwar Mahruz</t>
  </si>
  <si>
    <t>081228290766</t>
  </si>
  <si>
    <t>2606A096</t>
  </si>
  <si>
    <t>Zulva</t>
  </si>
  <si>
    <t>081231922270</t>
  </si>
  <si>
    <t>6-7juli</t>
  </si>
  <si>
    <t>2606A097</t>
  </si>
  <si>
    <t>Ms Iren</t>
  </si>
  <si>
    <t>085651169669</t>
  </si>
  <si>
    <t>2606A098</t>
  </si>
  <si>
    <t>081909411920</t>
  </si>
  <si>
    <t>2606A099</t>
  </si>
  <si>
    <t>Dhea Putri</t>
  </si>
  <si>
    <t>082340594270</t>
  </si>
  <si>
    <t>2606A100</t>
  </si>
  <si>
    <t>Uus Ruslan Hamid</t>
  </si>
  <si>
    <t>081222477207</t>
  </si>
  <si>
    <t>28-29juni</t>
  </si>
  <si>
    <t>2606A101</t>
  </si>
  <si>
    <t>Laila</t>
  </si>
  <si>
    <t>082335617345</t>
  </si>
  <si>
    <t>2606D128</t>
  </si>
  <si>
    <t>Joko Stel</t>
  </si>
  <si>
    <t>08992230001</t>
  </si>
  <si>
    <t>bulan Desember</t>
  </si>
  <si>
    <t>2606D129</t>
  </si>
  <si>
    <t>Keisha Aziza</t>
  </si>
  <si>
    <t>081282438158</t>
  </si>
  <si>
    <t>FU 26 Juni</t>
  </si>
  <si>
    <t>2606D130</t>
  </si>
  <si>
    <t>Alfa Reza</t>
  </si>
  <si>
    <t>085389493068</t>
  </si>
  <si>
    <t>OT MT, Djabal</t>
  </si>
  <si>
    <t>belum jadi trip</t>
  </si>
  <si>
    <t>2606D131</t>
  </si>
  <si>
    <t>Hafidz Danan</t>
  </si>
  <si>
    <t>082112108038</t>
  </si>
  <si>
    <t>2606A102</t>
  </si>
  <si>
    <t>Mustika</t>
  </si>
  <si>
    <t>trip jeep</t>
  </si>
  <si>
    <t>gada kelanjutan jawaban</t>
  </si>
  <si>
    <t>2606A103</t>
  </si>
  <si>
    <t>087796840618</t>
  </si>
  <si>
    <t>terakota djawatan</t>
  </si>
  <si>
    <t>2606D132</t>
  </si>
  <si>
    <t>Pratiwi Puji Hastuti</t>
  </si>
  <si>
    <t>085103430833</t>
  </si>
  <si>
    <t>tanya Fotografer</t>
  </si>
  <si>
    <t>2606D133</t>
  </si>
  <si>
    <t>081381807350</t>
  </si>
  <si>
    <t>FU 23 Juni</t>
  </si>
  <si>
    <t>2606H031</t>
  </si>
  <si>
    <t>afan</t>
  </si>
  <si>
    <t>0882001195600</t>
  </si>
  <si>
    <t>2606H032</t>
  </si>
  <si>
    <t>Nancy</t>
  </si>
  <si>
    <t>08119461909</t>
  </si>
  <si>
    <t>2606H033</t>
  </si>
  <si>
    <t>2606H034</t>
  </si>
  <si>
    <t>Kaniakenz</t>
  </si>
  <si>
    <t>081916201006</t>
  </si>
  <si>
    <t>ot atau private green island</t>
  </si>
  <si>
    <t>2606H035</t>
  </si>
  <si>
    <t>085881222196</t>
  </si>
  <si>
    <t>ot custom 4 hari</t>
  </si>
  <si>
    <t>26-29 agustus</t>
  </si>
  <si>
    <t>fu 1 Agustus</t>
  </si>
  <si>
    <t>2606H036</t>
  </si>
  <si>
    <t>Aki Priyanggo</t>
  </si>
  <si>
    <t>081119990136</t>
  </si>
  <si>
    <t>fu 10 Agustus</t>
  </si>
  <si>
    <t>2606D134</t>
  </si>
  <si>
    <t>Bimantara</t>
  </si>
  <si>
    <t>3h2m opsi A&amp;B</t>
  </si>
  <si>
    <t>23 Juli</t>
  </si>
  <si>
    <t>ganti kota liburann</t>
  </si>
  <si>
    <t>2606A104</t>
  </si>
  <si>
    <t>Ibu Nia</t>
  </si>
  <si>
    <t>2-4juli</t>
  </si>
  <si>
    <t>2606A105</t>
  </si>
  <si>
    <t>Marta Adriana</t>
  </si>
  <si>
    <t>2606A106</t>
  </si>
  <si>
    <t>082272452929</t>
  </si>
  <si>
    <t xml:space="preserve">ot mt </t>
  </si>
  <si>
    <t>2606D135</t>
  </si>
  <si>
    <t>Flo</t>
  </si>
  <si>
    <t>08122226577</t>
  </si>
  <si>
    <t>2606H037</t>
  </si>
  <si>
    <t>Erlin Sudarwati</t>
  </si>
  <si>
    <t>08161669721</t>
  </si>
  <si>
    <t>2606H038</t>
  </si>
  <si>
    <t>Desihaliza</t>
  </si>
  <si>
    <t>081911129694</t>
  </si>
  <si>
    <t>ot pulau</t>
  </si>
  <si>
    <t>2606A107</t>
  </si>
  <si>
    <t>Yuni Ayundian</t>
  </si>
  <si>
    <t>081381340494</t>
  </si>
  <si>
    <t>2606A108</t>
  </si>
  <si>
    <t>085939478038</t>
  </si>
  <si>
    <t>2606A109</t>
  </si>
  <si>
    <t>082210164678</t>
  </si>
  <si>
    <t>ot alas purwo</t>
  </si>
  <si>
    <t>2606A110</t>
  </si>
  <si>
    <t>Ben</t>
  </si>
  <si>
    <t>087890161405</t>
  </si>
  <si>
    <t>2606H039</t>
  </si>
  <si>
    <t xml:space="preserve">Pramita </t>
  </si>
  <si>
    <t>089513059712</t>
  </si>
  <si>
    <t>2606A111</t>
  </si>
  <si>
    <t>085101408599</t>
  </si>
  <si>
    <t>2606A112</t>
  </si>
  <si>
    <t>Erlina</t>
  </si>
  <si>
    <t>0882007396294</t>
  </si>
  <si>
    <t>2606H040</t>
  </si>
  <si>
    <t>Tardi Simatupang</t>
  </si>
  <si>
    <t>0811855219</t>
  </si>
  <si>
    <t>pulau merah</t>
  </si>
  <si>
    <t>belum ada kelanjutan</t>
  </si>
  <si>
    <t>2606H041</t>
  </si>
  <si>
    <t>Ana (Maisyafriana)</t>
  </si>
  <si>
    <t>0816599036</t>
  </si>
  <si>
    <t>2606D136</t>
  </si>
  <si>
    <t>Anggie</t>
  </si>
  <si>
    <t>087882000082</t>
  </si>
  <si>
    <t>Alhamdulillah orrdeerr</t>
  </si>
  <si>
    <t>2606A113</t>
  </si>
  <si>
    <t>aisah</t>
  </si>
  <si>
    <t>0881026701834</t>
  </si>
  <si>
    <t>16-18 juli</t>
  </si>
  <si>
    <t>2606A114</t>
  </si>
  <si>
    <t>Princes feby</t>
  </si>
  <si>
    <t>0882009610223</t>
  </si>
  <si>
    <t>2606A115</t>
  </si>
  <si>
    <t>082214220424</t>
  </si>
  <si>
    <t>3H2M A + GI</t>
  </si>
  <si>
    <t>teman bu nia</t>
  </si>
  <si>
    <t>2606A116</t>
  </si>
  <si>
    <t>Ric</t>
  </si>
  <si>
    <t>081331530796</t>
  </si>
  <si>
    <t>2606A117</t>
  </si>
  <si>
    <t>Dini</t>
  </si>
  <si>
    <t>081285314396</t>
  </si>
  <si>
    <t>2606A118</t>
  </si>
  <si>
    <t>Anggi</t>
  </si>
  <si>
    <t>081252511682</t>
  </si>
  <si>
    <t>juni akhir/ juli awal</t>
  </si>
  <si>
    <t>2606A119</t>
  </si>
  <si>
    <t>Tazkia Fitri N</t>
  </si>
  <si>
    <t>082132383408</t>
  </si>
  <si>
    <t>2606A120</t>
  </si>
  <si>
    <t>Enni Riyana</t>
  </si>
  <si>
    <t>081233717129</t>
  </si>
  <si>
    <t>2606A121</t>
  </si>
  <si>
    <t>Putri</t>
  </si>
  <si>
    <t>08116665035</t>
  </si>
  <si>
    <t>2606A122</t>
  </si>
  <si>
    <t>Ratih Dewi</t>
  </si>
  <si>
    <t>081326522626</t>
  </si>
  <si>
    <t>2606H042</t>
  </si>
  <si>
    <t>0895328886777</t>
  </si>
  <si>
    <t>gada balasan. fu 21 juni</t>
  </si>
  <si>
    <t>2606A123</t>
  </si>
  <si>
    <t>085771173990</t>
  </si>
  <si>
    <t>ot menjangan-tabuhan</t>
  </si>
  <si>
    <t>29-30juli</t>
  </si>
  <si>
    <t>FU 27 juli</t>
  </si>
  <si>
    <t>2606H043</t>
  </si>
  <si>
    <t>Juniar Shanny</t>
  </si>
  <si>
    <t>08561108252</t>
  </si>
  <si>
    <t>10-12 juli</t>
  </si>
  <si>
    <t>fu 28 juni</t>
  </si>
  <si>
    <t>2606H044</t>
  </si>
  <si>
    <t>Callista Fritzie</t>
  </si>
  <si>
    <t>087783839913</t>
  </si>
  <si>
    <t>11-12 juli</t>
  </si>
  <si>
    <t>2606H045</t>
  </si>
  <si>
    <t>Monn</t>
  </si>
  <si>
    <t>085943044896</t>
  </si>
  <si>
    <t>26-27 juni</t>
  </si>
  <si>
    <t>2606H046</t>
  </si>
  <si>
    <t>Febi</t>
  </si>
  <si>
    <t>08128530835</t>
  </si>
  <si>
    <t>private ijen &amp; baluran</t>
  </si>
  <si>
    <t>2606D137</t>
  </si>
  <si>
    <t>Ruzza</t>
  </si>
  <si>
    <t>0811868567</t>
  </si>
  <si>
    <t>belum jadi duluu</t>
  </si>
  <si>
    <t>2606D138</t>
  </si>
  <si>
    <t>Raini</t>
  </si>
  <si>
    <t>082120002984</t>
  </si>
  <si>
    <t>2606D139</t>
  </si>
  <si>
    <t>Tien Rostini</t>
  </si>
  <si>
    <t>082126850024</t>
  </si>
  <si>
    <t>2606D140</t>
  </si>
  <si>
    <t xml:space="preserve">Afner Siregar </t>
  </si>
  <si>
    <t>08170109190</t>
  </si>
  <si>
    <t>OT djabal, PT MT, OT Ijen</t>
  </si>
  <si>
    <t>2606D141</t>
  </si>
  <si>
    <t>Maisyafriana</t>
  </si>
  <si>
    <t>2606D142</t>
  </si>
  <si>
    <t>Anna Enggelena</t>
  </si>
  <si>
    <t>082299688008</t>
  </si>
  <si>
    <t>private trip DjaBal</t>
  </si>
  <si>
    <t>2606D143</t>
  </si>
  <si>
    <t>Alya</t>
  </si>
  <si>
    <t>085811382464</t>
  </si>
  <si>
    <t>Ot Harian</t>
  </si>
  <si>
    <t>Fu 23 Juni</t>
  </si>
  <si>
    <t>2606D144</t>
  </si>
  <si>
    <t>Diamaulita</t>
  </si>
  <si>
    <t>085649481723</t>
  </si>
  <si>
    <t>FU 24 Juni</t>
  </si>
  <si>
    <t>2606D145</t>
  </si>
  <si>
    <t>Salsa</t>
  </si>
  <si>
    <t>081228924392</t>
  </si>
  <si>
    <t>trip green island</t>
  </si>
  <si>
    <t>2606D146</t>
  </si>
  <si>
    <t>Aurelia Mitha</t>
  </si>
  <si>
    <t>081227038958</t>
  </si>
  <si>
    <t>bulan Juli/Agustus</t>
  </si>
  <si>
    <t>kalau ada pendaftar lain dikabarin, FU 4 Juli</t>
  </si>
  <si>
    <t>2606D147</t>
  </si>
  <si>
    <t xml:space="preserve">Irma Kharisma </t>
  </si>
  <si>
    <t>081221400049</t>
  </si>
  <si>
    <t>paket family trip</t>
  </si>
  <si>
    <t xml:space="preserve">bulan Juli  </t>
  </si>
  <si>
    <t>2606D148</t>
  </si>
  <si>
    <t>081939048993</t>
  </si>
  <si>
    <t>2606D149</t>
  </si>
  <si>
    <t>Siti Fimbay</t>
  </si>
  <si>
    <t>085259020063</t>
  </si>
  <si>
    <t>belum blasa lagi, FU 27 Juni</t>
  </si>
  <si>
    <t>2696D150</t>
  </si>
  <si>
    <t>Dian Rosita</t>
  </si>
  <si>
    <t>08134053568</t>
  </si>
  <si>
    <t>yess orderr</t>
  </si>
  <si>
    <t>2606D151</t>
  </si>
  <si>
    <t>Reno Arvando</t>
  </si>
  <si>
    <t>085727001842</t>
  </si>
  <si>
    <t>3H2M opsi A Include hotel aston</t>
  </si>
  <si>
    <t>2606D152</t>
  </si>
  <si>
    <t>0895340964490</t>
  </si>
  <si>
    <t>26-29 Agustus</t>
  </si>
  <si>
    <t>diskusi dulu, FU 9 Juli</t>
  </si>
  <si>
    <t>2606D153</t>
  </si>
  <si>
    <t>Yizhuo Ying</t>
  </si>
  <si>
    <t>0447718635730</t>
  </si>
  <si>
    <t>2606D154</t>
  </si>
  <si>
    <t>Binta Ihtada</t>
  </si>
  <si>
    <t>085281202621</t>
  </si>
  <si>
    <t>bulan oktober</t>
  </si>
  <si>
    <t>FU 2 Agustus</t>
  </si>
  <si>
    <t>2606D155</t>
  </si>
  <si>
    <t>Rizkapulung</t>
  </si>
  <si>
    <t>085643119425</t>
  </si>
  <si>
    <t>belum balas lagi, FU 24 Juni</t>
  </si>
  <si>
    <t>2606D156</t>
  </si>
  <si>
    <t>Nur Syifa Azrya</t>
  </si>
  <si>
    <t>08978101222</t>
  </si>
  <si>
    <t>minta additional GI, FU 24 Juni</t>
  </si>
  <si>
    <t>2606D157</t>
  </si>
  <si>
    <t>Ichiocha</t>
  </si>
  <si>
    <t>085646688307</t>
  </si>
  <si>
    <t>tanya paddle, FU 25 Juni</t>
  </si>
  <si>
    <t>2606D158</t>
  </si>
  <si>
    <t>Abdusyekti</t>
  </si>
  <si>
    <t>085258810812</t>
  </si>
  <si>
    <t>2606H047</t>
  </si>
  <si>
    <t>Enggar JLP Acrylic</t>
  </si>
  <si>
    <t>08982360981</t>
  </si>
  <si>
    <t xml:space="preserve">tidak ada balasan </t>
  </si>
  <si>
    <t>2606D159</t>
  </si>
  <si>
    <t xml:space="preserve">Anindya </t>
  </si>
  <si>
    <t>081280135601</t>
  </si>
  <si>
    <t>alhamdulillah orrderrr</t>
  </si>
  <si>
    <t>2606H048</t>
  </si>
  <si>
    <t>Mayu DIana</t>
  </si>
  <si>
    <t>081574231080</t>
  </si>
  <si>
    <t>2606A124</t>
  </si>
  <si>
    <t>Restika Andiarini</t>
  </si>
  <si>
    <t>081312959028</t>
  </si>
  <si>
    <t>5-6 juli</t>
  </si>
  <si>
    <t>alhamdulillah closig</t>
  </si>
  <si>
    <t>2606A125</t>
  </si>
  <si>
    <t>Callista Dwi Adriani</t>
  </si>
  <si>
    <t>081281097690</t>
  </si>
  <si>
    <t>2606A126</t>
  </si>
  <si>
    <t>Yani S. Abdillah</t>
  </si>
  <si>
    <t>08122020275</t>
  </si>
  <si>
    <t>2606A127</t>
  </si>
  <si>
    <t>Shabrina Kamila</t>
  </si>
  <si>
    <t>082228618585</t>
  </si>
  <si>
    <t>fu 1 agustus</t>
  </si>
  <si>
    <t>2606A128</t>
  </si>
  <si>
    <t>Adist</t>
  </si>
  <si>
    <t>089524036828</t>
  </si>
  <si>
    <t>kawah wurung baluran</t>
  </si>
  <si>
    <t>13-14 november</t>
  </si>
  <si>
    <t>2606D160</t>
  </si>
  <si>
    <t>Frisda</t>
  </si>
  <si>
    <t>0818789246</t>
  </si>
  <si>
    <t>masih menyapa, FU 23 Juni</t>
  </si>
  <si>
    <t>2606A129</t>
  </si>
  <si>
    <t>Revy</t>
  </si>
  <si>
    <t>083134918749</t>
  </si>
  <si>
    <t>2606A130</t>
  </si>
  <si>
    <t>Abdul Rochman</t>
  </si>
  <si>
    <t>087777171801</t>
  </si>
  <si>
    <t>2606D161</t>
  </si>
  <si>
    <t>Yudha Santi</t>
  </si>
  <si>
    <t>081249580999</t>
  </si>
  <si>
    <t>tanya mepo, FU 27 Juni</t>
  </si>
  <si>
    <t>2606D162</t>
  </si>
  <si>
    <t>Faizal</t>
  </si>
  <si>
    <t>081280736569</t>
  </si>
  <si>
    <t>masih cek ketersediaan hotel, FU 25 Juni</t>
  </si>
  <si>
    <t>2606D163</t>
  </si>
  <si>
    <t>Fidelia</t>
  </si>
  <si>
    <t>08111405888</t>
  </si>
  <si>
    <t xml:space="preserve">belum balas lagi, FU 24 Juni </t>
  </si>
  <si>
    <t>2606D164</t>
  </si>
  <si>
    <t>Ecaa</t>
  </si>
  <si>
    <t>082230434813</t>
  </si>
  <si>
    <t>2606D165</t>
  </si>
  <si>
    <t>Euis Kurniawati</t>
  </si>
  <si>
    <t>08563117020</t>
  </si>
  <si>
    <t>2H1M  custome</t>
  </si>
  <si>
    <t>masih tanya, FU 25 Juni</t>
  </si>
  <si>
    <t>2606D166</t>
  </si>
  <si>
    <t>Arma</t>
  </si>
  <si>
    <t>081234039479</t>
  </si>
  <si>
    <t>family trip</t>
  </si>
  <si>
    <t>2606D167</t>
  </si>
  <si>
    <t>Dwigraha</t>
  </si>
  <si>
    <t>082230006527</t>
  </si>
  <si>
    <t>2606D168</t>
  </si>
  <si>
    <t>Dwi koraningsih</t>
  </si>
  <si>
    <t>085737140849</t>
  </si>
  <si>
    <t>4H3M custome</t>
  </si>
  <si>
    <t>2606A131</t>
  </si>
  <si>
    <t>Arvian Syach</t>
  </si>
  <si>
    <t>081333162462</t>
  </si>
  <si>
    <t>menjangan-tabuhan</t>
  </si>
  <si>
    <t>2606A132</t>
  </si>
  <si>
    <t>082391927294</t>
  </si>
  <si>
    <t>2606D169</t>
  </si>
  <si>
    <t xml:space="preserve">Ita   </t>
  </si>
  <si>
    <t>081326129991</t>
  </si>
  <si>
    <t>2606A133</t>
  </si>
  <si>
    <t>Nadhira</t>
  </si>
  <si>
    <t>081578131207</t>
  </si>
  <si>
    <t>2606D170</t>
  </si>
  <si>
    <t>Dudung</t>
  </si>
  <si>
    <t>081395501381</t>
  </si>
  <si>
    <t>2606H049</t>
  </si>
  <si>
    <t>Niputu</t>
  </si>
  <si>
    <t>0811163458</t>
  </si>
  <si>
    <t>fu 18 juli</t>
  </si>
  <si>
    <t>2606H050</t>
  </si>
  <si>
    <t>Nike Zulfarli Mawardi</t>
  </si>
  <si>
    <t>08111001580</t>
  </si>
  <si>
    <t>2606D171</t>
  </si>
  <si>
    <t>0895612974454</t>
  </si>
  <si>
    <t>tanya OT bulan Juli, FU 28 Juni</t>
  </si>
  <si>
    <t>2606D172</t>
  </si>
  <si>
    <t>Alam Mucharam</t>
  </si>
  <si>
    <t>0811227338</t>
  </si>
  <si>
    <t>20/21 Juli</t>
  </si>
  <si>
    <t>diskus dulu, FU 3 Juli</t>
  </si>
  <si>
    <t>2606D173</t>
  </si>
  <si>
    <t>Ummu Hanna</t>
  </si>
  <si>
    <t>0895616277000</t>
  </si>
  <si>
    <t>belum ada balasan, FU 28 Juni</t>
  </si>
  <si>
    <t>2606H051</t>
  </si>
  <si>
    <t>Ramses</t>
  </si>
  <si>
    <t>081310272999</t>
  </si>
  <si>
    <t>private ijen</t>
  </si>
  <si>
    <t>2606H052</t>
  </si>
  <si>
    <t>Andhika Gembul</t>
  </si>
  <si>
    <t>087852485097</t>
  </si>
  <si>
    <t>18-20 Agustus</t>
  </si>
  <si>
    <t>2606D174</t>
  </si>
  <si>
    <t>Rizfky</t>
  </si>
  <si>
    <t>089507899797</t>
  </si>
  <si>
    <t>uda FU ga ada balass</t>
  </si>
  <si>
    <t>2606D175</t>
  </si>
  <si>
    <t>No Name GI</t>
  </si>
  <si>
    <t>0881036161438</t>
  </si>
  <si>
    <t>belum ada balasan, FU 29 Juni</t>
  </si>
  <si>
    <t>2606D176</t>
  </si>
  <si>
    <t>Indra</t>
  </si>
  <si>
    <t>08161804671</t>
  </si>
  <si>
    <t>2606D177</t>
  </si>
  <si>
    <t>Maharani</t>
  </si>
  <si>
    <t>0895638996820</t>
  </si>
  <si>
    <t>2606D178</t>
  </si>
  <si>
    <t xml:space="preserve">Ichda Fitryah </t>
  </si>
  <si>
    <t>082213449486</t>
  </si>
  <si>
    <t>2606D179</t>
  </si>
  <si>
    <t xml:space="preserve">Novitha </t>
  </si>
  <si>
    <t>081215078887</t>
  </si>
  <si>
    <t>PT Menjangan Baluran</t>
  </si>
  <si>
    <t>2606D180</t>
  </si>
  <si>
    <t>Wianita Tumanggor</t>
  </si>
  <si>
    <t>082277042165</t>
  </si>
  <si>
    <t>kirim foem reservasi</t>
  </si>
  <si>
    <t>2606D181</t>
  </si>
  <si>
    <t>Pavita</t>
  </si>
  <si>
    <t>087766106692</t>
  </si>
  <si>
    <t>2606D182</t>
  </si>
  <si>
    <t>089518447815</t>
  </si>
  <si>
    <t>24/25 Juni</t>
  </si>
  <si>
    <t xml:space="preserve">belum ada balasan   </t>
  </si>
  <si>
    <t>2606D183</t>
  </si>
  <si>
    <t xml:space="preserve">CindyNH </t>
  </si>
  <si>
    <t>085721041998</t>
  </si>
  <si>
    <t>FU 2 Juli</t>
  </si>
  <si>
    <t>2606D184</t>
  </si>
  <si>
    <t xml:space="preserve">Intan </t>
  </si>
  <si>
    <t>081328062727</t>
  </si>
  <si>
    <t>2606D185</t>
  </si>
  <si>
    <t>085646682833</t>
  </si>
  <si>
    <t>2606A134</t>
  </si>
  <si>
    <t>Tasya</t>
  </si>
  <si>
    <t>085313264911</t>
  </si>
  <si>
    <t>2606A135</t>
  </si>
  <si>
    <t>Silvia Fraixedas</t>
  </si>
  <si>
    <t>34690823148</t>
  </si>
  <si>
    <t>25 dan 26 juni</t>
  </si>
  <si>
    <t>2606D186</t>
  </si>
  <si>
    <t>0895331162895</t>
  </si>
  <si>
    <t>orrddeerrr</t>
  </si>
  <si>
    <t>2606D187</t>
  </si>
  <si>
    <t>Yoga</t>
  </si>
  <si>
    <t>081227333699</t>
  </si>
  <si>
    <t>3H2M ops B</t>
  </si>
  <si>
    <t>2606D188</t>
  </si>
  <si>
    <t>Indri Wilson</t>
  </si>
  <si>
    <t>085200007722</t>
  </si>
  <si>
    <t>2606D189</t>
  </si>
  <si>
    <t>082130124287</t>
  </si>
  <si>
    <t>5H4M custome</t>
  </si>
  <si>
    <t>2606D190</t>
  </si>
  <si>
    <t>Tari Kins</t>
  </si>
  <si>
    <t>0817456563</t>
  </si>
  <si>
    <t>masih diskus, FU 29 Juni</t>
  </si>
  <si>
    <t>2606A136</t>
  </si>
  <si>
    <t>Nurman Basuki</t>
  </si>
  <si>
    <t>08111011070</t>
  </si>
  <si>
    <t>2606A137</t>
  </si>
  <si>
    <t>Nilam Mughni</t>
  </si>
  <si>
    <t>087737811823</t>
  </si>
  <si>
    <t>2606A138</t>
  </si>
  <si>
    <t>Rebimun</t>
  </si>
  <si>
    <t>081910652439</t>
  </si>
  <si>
    <t>Menjangan-Tabuhan</t>
  </si>
  <si>
    <t>2606A139</t>
  </si>
  <si>
    <t>Aulia Irvana</t>
  </si>
  <si>
    <t>0895357925773</t>
  </si>
  <si>
    <t>2606A140</t>
  </si>
  <si>
    <t>Ulfia</t>
  </si>
  <si>
    <t>081346534653</t>
  </si>
  <si>
    <t>kesibukan lain</t>
  </si>
  <si>
    <t>2606A141</t>
  </si>
  <si>
    <t>Trinur</t>
  </si>
  <si>
    <t>085201527193</t>
  </si>
  <si>
    <t>2606A142</t>
  </si>
  <si>
    <t>Andre</t>
  </si>
  <si>
    <t>082266369983</t>
  </si>
  <si>
    <t>2606A143</t>
  </si>
  <si>
    <t>Syadz</t>
  </si>
  <si>
    <t>082226203285</t>
  </si>
  <si>
    <t>2606A144</t>
  </si>
  <si>
    <t>2606A145</t>
  </si>
  <si>
    <t>Suryo Hardiono</t>
  </si>
  <si>
    <t>0818210453</t>
  </si>
  <si>
    <t>2606A146</t>
  </si>
  <si>
    <t>Rius Bukit</t>
  </si>
  <si>
    <t>081382395521</t>
  </si>
  <si>
    <t>2606A147</t>
  </si>
  <si>
    <t>Sufathonah</t>
  </si>
  <si>
    <t>082248437101</t>
  </si>
  <si>
    <t>2606A148</t>
  </si>
  <si>
    <t>Puspita</t>
  </si>
  <si>
    <t>081217386148</t>
  </si>
  <si>
    <t>2606H053</t>
  </si>
  <si>
    <t>widya</t>
  </si>
  <si>
    <t>082353713516</t>
  </si>
  <si>
    <t>1day trip</t>
  </si>
  <si>
    <t>2606H054</t>
  </si>
  <si>
    <t>Pradana Kurnia</t>
  </si>
  <si>
    <t>08118499425</t>
  </si>
  <si>
    <t>hanya menyapa. ga ada balasan</t>
  </si>
  <si>
    <t>2606H055</t>
  </si>
  <si>
    <t>Nadira</t>
  </si>
  <si>
    <t>085813800245</t>
  </si>
  <si>
    <t>2606H056</t>
  </si>
  <si>
    <t>Tamariska Citra</t>
  </si>
  <si>
    <t>085804778540</t>
  </si>
  <si>
    <t>1 day trip green island</t>
  </si>
  <si>
    <t>2606H057</t>
  </si>
  <si>
    <t>Luqi Bawafi</t>
  </si>
  <si>
    <t>08151832281</t>
  </si>
  <si>
    <t>2606H058</t>
  </si>
  <si>
    <t>Gigih Susilo (Egi)</t>
  </si>
  <si>
    <t>081294622218</t>
  </si>
  <si>
    <t>2606H059</t>
  </si>
  <si>
    <t>Achmad Soeseno</t>
  </si>
  <si>
    <t>0811824509</t>
  </si>
  <si>
    <t>2606H060</t>
  </si>
  <si>
    <t>Wijaya</t>
  </si>
  <si>
    <t>08816840342</t>
  </si>
  <si>
    <t>kawah wurung, djawatan, baluran</t>
  </si>
  <si>
    <t>2606H061</t>
  </si>
  <si>
    <t>Suheriyah</t>
  </si>
  <si>
    <t>081310347856</t>
  </si>
  <si>
    <t>2606D191</t>
  </si>
  <si>
    <t>Deya Azizah</t>
  </si>
  <si>
    <t>0881027904996</t>
  </si>
  <si>
    <t>2606D192</t>
  </si>
  <si>
    <t>Reinaldi</t>
  </si>
  <si>
    <t>2606D193</t>
  </si>
  <si>
    <t>Pak Sukotjo</t>
  </si>
  <si>
    <t>082110312277</t>
  </si>
  <si>
    <t>2606D194</t>
  </si>
  <si>
    <t>Budi Siswanto</t>
  </si>
  <si>
    <t>082310971717</t>
  </si>
  <si>
    <t>2606H062</t>
  </si>
  <si>
    <t>Puji Laksono Saudi</t>
  </si>
  <si>
    <t>966 50 513 2279</t>
  </si>
  <si>
    <t>2606A149</t>
  </si>
  <si>
    <t>Ghea Aprilia</t>
  </si>
  <si>
    <t>081310054097</t>
  </si>
  <si>
    <t>2606D195</t>
  </si>
  <si>
    <t>2606D196</t>
  </si>
  <si>
    <t>wong ashor</t>
  </si>
  <si>
    <t>089512106978</t>
  </si>
  <si>
    <t>pertengahan Juli</t>
  </si>
  <si>
    <t>FU 3 Juli</t>
  </si>
  <si>
    <t>2606D197</t>
  </si>
  <si>
    <t>angel</t>
  </si>
  <si>
    <t>082157998900</t>
  </si>
  <si>
    <t>masih nyapa, FU 26 Juni</t>
  </si>
  <si>
    <t>2606D198</t>
  </si>
  <si>
    <t xml:space="preserve">Faiz  </t>
  </si>
  <si>
    <t>0895358986343</t>
  </si>
  <si>
    <t>2606D199</t>
  </si>
  <si>
    <t>Agus Lestiono</t>
  </si>
  <si>
    <t>081225903010</t>
  </si>
  <si>
    <t>1 day GI</t>
  </si>
  <si>
    <t>2606D200</t>
  </si>
  <si>
    <t>Leman</t>
  </si>
  <si>
    <t>082240970000</t>
  </si>
  <si>
    <t>Private Ijen</t>
  </si>
  <si>
    <t>orrderrr yes</t>
  </si>
  <si>
    <t>2606D201</t>
  </si>
  <si>
    <t>No Name garis</t>
  </si>
  <si>
    <t>masih nyapa, FU 27 Juni</t>
  </si>
  <si>
    <t xml:space="preserve">2606D202 </t>
  </si>
  <si>
    <t>ibnhamzah</t>
  </si>
  <si>
    <t>087836044965</t>
  </si>
  <si>
    <t xml:space="preserve">2606D203 </t>
  </si>
  <si>
    <t xml:space="preserve">riusbukit   </t>
  </si>
  <si>
    <t>tanya mepo Surabaya</t>
  </si>
  <si>
    <t>2606D204</t>
  </si>
  <si>
    <t>Prama</t>
  </si>
  <si>
    <t>082136493980</t>
  </si>
  <si>
    <t>sudah dikonfir ga bales lagi</t>
  </si>
  <si>
    <t>2606D205</t>
  </si>
  <si>
    <t>Weni</t>
  </si>
  <si>
    <t>087880788898</t>
  </si>
  <si>
    <t>3H2M Custome</t>
  </si>
  <si>
    <t>2606D206</t>
  </si>
  <si>
    <t>Megasari</t>
  </si>
  <si>
    <t>085113333041</t>
  </si>
  <si>
    <t>FU 28 Juni</t>
  </si>
  <si>
    <t>2606D207</t>
  </si>
  <si>
    <t>Yogi</t>
  </si>
  <si>
    <t>087774140717</t>
  </si>
  <si>
    <t>FU 5 Juli</t>
  </si>
  <si>
    <t>2606D208</t>
  </si>
  <si>
    <t>Yulius</t>
  </si>
  <si>
    <t>08161103785</t>
  </si>
  <si>
    <t>2606D209</t>
  </si>
  <si>
    <t>Nindya</t>
  </si>
  <si>
    <t>085694522135</t>
  </si>
  <si>
    <t>FU 30 Juni</t>
  </si>
  <si>
    <t>2606D210</t>
  </si>
  <si>
    <t>Rifia</t>
  </si>
  <si>
    <t>082137510282</t>
  </si>
  <si>
    <t>private Ijen</t>
  </si>
  <si>
    <t>penjemputan dari Muncar, FU 29 Juni</t>
  </si>
  <si>
    <t>2606H063</t>
  </si>
  <si>
    <t>Falira</t>
  </si>
  <si>
    <t>082114059775</t>
  </si>
  <si>
    <t>awal tahun 2027</t>
  </si>
  <si>
    <t>buat penawaran. fu 2 juli</t>
  </si>
  <si>
    <t>2606H064</t>
  </si>
  <si>
    <t>Gilang Ramadhan</t>
  </si>
  <si>
    <t>081287492544</t>
  </si>
  <si>
    <t>2606H065</t>
  </si>
  <si>
    <t>Ririen Indrasari</t>
  </si>
  <si>
    <t>08118984499</t>
  </si>
  <si>
    <t>2h1m pp sby</t>
  </si>
  <si>
    <t>2606H066</t>
  </si>
  <si>
    <t>Ima Z</t>
  </si>
  <si>
    <t>082230577700</t>
  </si>
  <si>
    <t>7-10 juli</t>
  </si>
  <si>
    <t>2606A150</t>
  </si>
  <si>
    <t>Alfian CK</t>
  </si>
  <si>
    <t>08971083016</t>
  </si>
  <si>
    <t>gada kelajutan</t>
  </si>
  <si>
    <t>2606A151</t>
  </si>
  <si>
    <t>Mas Ilmi</t>
  </si>
  <si>
    <t>085730877644</t>
  </si>
  <si>
    <t>2606A152</t>
  </si>
  <si>
    <t>Ela</t>
  </si>
  <si>
    <t>08561669566</t>
  </si>
  <si>
    <t>2606A153</t>
  </si>
  <si>
    <t>Nora</t>
  </si>
  <si>
    <t>082277733031</t>
  </si>
  <si>
    <t>2606A154</t>
  </si>
  <si>
    <t>Ika Damajanti</t>
  </si>
  <si>
    <t>081949691117</t>
  </si>
  <si>
    <t>2606D211</t>
  </si>
  <si>
    <t>Rej-pul</t>
  </si>
  <si>
    <t>cek ketersediaan, FU 27 Juni</t>
  </si>
  <si>
    <t>2606D212</t>
  </si>
  <si>
    <t>087888799134</t>
  </si>
  <si>
    <t>4/5 Juli</t>
  </si>
  <si>
    <t>2606D213</t>
  </si>
  <si>
    <t>Migui</t>
  </si>
  <si>
    <t>34685271744</t>
  </si>
  <si>
    <t>OT Ijen WNA</t>
  </si>
  <si>
    <t>ga ada balasan, nawar harga</t>
  </si>
  <si>
    <t>2606D214</t>
  </si>
  <si>
    <t>Diyan Agustin</t>
  </si>
  <si>
    <t>087758189419</t>
  </si>
  <si>
    <t>mau ambil day 1 dan day 2 aja, FU 29 Juni</t>
  </si>
  <si>
    <t>2606D215</t>
  </si>
  <si>
    <t>Jenifer Christin</t>
  </si>
  <si>
    <t>082150244043</t>
  </si>
  <si>
    <t>2606D216</t>
  </si>
  <si>
    <t>Afina Ayu</t>
  </si>
  <si>
    <t>082218891759</t>
  </si>
  <si>
    <t>18/23 Agustus</t>
  </si>
  <si>
    <t>nanti di wa</t>
  </si>
  <si>
    <t>2606D217</t>
  </si>
  <si>
    <t>Wida</t>
  </si>
  <si>
    <t>08128175569</t>
  </si>
  <si>
    <t>2606A155</t>
  </si>
  <si>
    <t>Roy Desimoko</t>
  </si>
  <si>
    <t>081903974096</t>
  </si>
  <si>
    <t>2606A156</t>
  </si>
  <si>
    <t>085178114894</t>
  </si>
  <si>
    <t>2606A157</t>
  </si>
  <si>
    <t>Kantor</t>
  </si>
  <si>
    <t>081225210005</t>
  </si>
  <si>
    <t>2606A158</t>
  </si>
  <si>
    <t>Kh</t>
  </si>
  <si>
    <t>089601224903</t>
  </si>
  <si>
    <t>2606D218</t>
  </si>
  <si>
    <t>Adeyaka</t>
  </si>
  <si>
    <t>082112218293</t>
  </si>
  <si>
    <t xml:space="preserve">2606D219 </t>
  </si>
  <si>
    <t>Heru Indrawidjajanto</t>
  </si>
  <si>
    <t>08123526974</t>
  </si>
  <si>
    <t>trip 1 day</t>
  </si>
  <si>
    <t>2606D220</t>
  </si>
  <si>
    <t>Muhammad Nizam</t>
  </si>
  <si>
    <t>081319516652</t>
  </si>
  <si>
    <t>2606D221</t>
  </si>
  <si>
    <t>2606D222</t>
  </si>
  <si>
    <t xml:space="preserve">Umm  </t>
  </si>
  <si>
    <t>089646880256</t>
  </si>
  <si>
    <t>2606D223</t>
  </si>
  <si>
    <t>Rani Sulistyorini</t>
  </si>
  <si>
    <t>081252367297</t>
  </si>
  <si>
    <t>2606D224</t>
  </si>
  <si>
    <t>Pak Johar DSLNG</t>
  </si>
  <si>
    <t>08111045053</t>
  </si>
  <si>
    <t>2606H067</t>
  </si>
  <si>
    <t>Tjiptaningsih</t>
  </si>
  <si>
    <t>08161801862</t>
  </si>
  <si>
    <t>2606H068</t>
  </si>
  <si>
    <t>Tyas Ningrum</t>
  </si>
  <si>
    <t>08119670339</t>
  </si>
  <si>
    <t>2-6 juli</t>
  </si>
  <si>
    <t>2606A159</t>
  </si>
  <si>
    <t>Retno puspo dewi</t>
  </si>
  <si>
    <t>085741929888</t>
  </si>
  <si>
    <t>2606A160</t>
  </si>
  <si>
    <t>2606A161</t>
  </si>
  <si>
    <t>Hanna</t>
  </si>
  <si>
    <t>089535162399</t>
  </si>
  <si>
    <t>2606H069</t>
  </si>
  <si>
    <t>Candra Libriyanto</t>
  </si>
  <si>
    <t>085779936276</t>
  </si>
  <si>
    <t>hanya menyapa. fu 6 juli</t>
  </si>
  <si>
    <t>2606H070</t>
  </si>
  <si>
    <t>Yogi Alfionanta</t>
  </si>
  <si>
    <t>0811150708</t>
  </si>
  <si>
    <t>fu 30 juni</t>
  </si>
  <si>
    <t>2606H071</t>
  </si>
  <si>
    <t>M Shirly WUNAS</t>
  </si>
  <si>
    <t>081354584785</t>
  </si>
  <si>
    <t>2606A162</t>
  </si>
  <si>
    <t>Nova Liyanti</t>
  </si>
  <si>
    <t>082388478881</t>
  </si>
  <si>
    <t>2606A163</t>
  </si>
  <si>
    <t>Tulus</t>
  </si>
  <si>
    <t>085640344085</t>
  </si>
  <si>
    <t>fu 4 juli</t>
  </si>
  <si>
    <t>2606A164</t>
  </si>
  <si>
    <t>Ayuda</t>
  </si>
  <si>
    <t>08155188661</t>
  </si>
  <si>
    <t>2606A165</t>
  </si>
  <si>
    <t>Andres</t>
  </si>
  <si>
    <t>tumpak sewu, bromo, ijen crater</t>
  </si>
  <si>
    <t>2606D225</t>
  </si>
  <si>
    <t xml:space="preserve">Harry Smith </t>
  </si>
  <si>
    <t>447841460781</t>
  </si>
  <si>
    <t>tanya transport ajaa blm bisaa</t>
  </si>
  <si>
    <t>2606D226</t>
  </si>
  <si>
    <t>Woro Citra Imansari</t>
  </si>
  <si>
    <t>08174100790</t>
  </si>
  <si>
    <t>FU 29 Juni</t>
  </si>
  <si>
    <t>2606D227</t>
  </si>
  <si>
    <t>Widya Putri</t>
  </si>
  <si>
    <t>083120843959</t>
  </si>
  <si>
    <t>2606D228</t>
  </si>
  <si>
    <t>Aliefan</t>
  </si>
  <si>
    <t>081329139994</t>
  </si>
  <si>
    <t>Agustus/September</t>
  </si>
  <si>
    <t>FU 2 agustus</t>
  </si>
  <si>
    <t>2606D229</t>
  </si>
  <si>
    <t>J</t>
  </si>
  <si>
    <t>081238905264</t>
  </si>
  <si>
    <t>tabuhan only</t>
  </si>
  <si>
    <t>belum blas lagi</t>
  </si>
  <si>
    <t>2606D230</t>
  </si>
  <si>
    <t>Iva</t>
  </si>
  <si>
    <t>085878217585</t>
  </si>
  <si>
    <t>masih nyari temen biar 2 orang</t>
  </si>
  <si>
    <t>2606D231</t>
  </si>
  <si>
    <t>No Name senyum</t>
  </si>
  <si>
    <t>081229900076</t>
  </si>
  <si>
    <t>2606A166</t>
  </si>
  <si>
    <t>Ananda Budimulia</t>
  </si>
  <si>
    <t>0811179656</t>
  </si>
  <si>
    <t>private trip menjangan tabuhan</t>
  </si>
  <si>
    <t>2606A167</t>
  </si>
  <si>
    <t>Maya Puspitasari</t>
  </si>
  <si>
    <t>08111857666</t>
  </si>
  <si>
    <t>2606A168</t>
  </si>
  <si>
    <t>Eva Meutia</t>
  </si>
  <si>
    <t>082298063585</t>
  </si>
  <si>
    <t>2606A169</t>
  </si>
  <si>
    <t>Sebastien</t>
  </si>
  <si>
    <t>alas purwo</t>
  </si>
  <si>
    <t>2606A170</t>
  </si>
  <si>
    <t>Imasyithah</t>
  </si>
  <si>
    <t>087743823003</t>
  </si>
  <si>
    <t>7-9juli</t>
  </si>
  <si>
    <t>2606A171</t>
  </si>
  <si>
    <t>Elfathir</t>
  </si>
  <si>
    <t>087888173283</t>
  </si>
  <si>
    <t>2606A172</t>
  </si>
  <si>
    <t>085737678028</t>
  </si>
  <si>
    <t>2606D232</t>
  </si>
  <si>
    <t>Wiena</t>
  </si>
  <si>
    <t>085780066292</t>
  </si>
  <si>
    <t>diskus dulu sm temen, FU 12 Juii</t>
  </si>
  <si>
    <t>2606D234</t>
  </si>
  <si>
    <t>Firza Olivia Susan</t>
  </si>
  <si>
    <t>081390020799</t>
  </si>
  <si>
    <t>trip kawa wurung</t>
  </si>
  <si>
    <t>FU 1 Juli</t>
  </si>
  <si>
    <t>2606D235</t>
  </si>
  <si>
    <t>Moelyati</t>
  </si>
  <si>
    <t>0811913893</t>
  </si>
  <si>
    <t>2606D236</t>
  </si>
  <si>
    <t>Monicha Roosa</t>
  </si>
  <si>
    <t>089680733336</t>
  </si>
  <si>
    <t>private trip kawah wurung</t>
  </si>
  <si>
    <t>belum balas lagi, FU 29 Juni</t>
  </si>
  <si>
    <t>2606D237</t>
  </si>
  <si>
    <t>Ameera Zahwah</t>
  </si>
  <si>
    <t>082223083995</t>
  </si>
  <si>
    <t>2606D238</t>
  </si>
  <si>
    <t>Darso</t>
  </si>
  <si>
    <t>08123424513</t>
  </si>
  <si>
    <t>FU 2 juli</t>
  </si>
  <si>
    <t>2606H072</t>
  </si>
  <si>
    <t>Hamdan</t>
  </si>
  <si>
    <t>085755678335</t>
  </si>
  <si>
    <t>hana menyapa</t>
  </si>
  <si>
    <t>2606H073</t>
  </si>
  <si>
    <t>Edy</t>
  </si>
  <si>
    <t>082195284422</t>
  </si>
  <si>
    <t>17-18 agustus</t>
  </si>
  <si>
    <t>fu 15 juli. konfirmasi buka baluran</t>
  </si>
  <si>
    <t>2606H074</t>
  </si>
  <si>
    <t>Rizha Prasetya</t>
  </si>
  <si>
    <t>081779949172</t>
  </si>
  <si>
    <t>2606H075</t>
  </si>
  <si>
    <t>Dhian</t>
  </si>
  <si>
    <t>085727771009</t>
  </si>
  <si>
    <t>2606H076</t>
  </si>
  <si>
    <t>Johanna Tobing</t>
  </si>
  <si>
    <t>081294187963</t>
  </si>
  <si>
    <t>29 desember - 2 januari</t>
  </si>
  <si>
    <t>fu 20 juli</t>
  </si>
  <si>
    <t>2606H077</t>
  </si>
  <si>
    <t>Ashok</t>
  </si>
  <si>
    <t>089684005241</t>
  </si>
  <si>
    <t>2606D239</t>
  </si>
  <si>
    <t>Via Angga</t>
  </si>
  <si>
    <t>085888466244</t>
  </si>
  <si>
    <t>2606D240</t>
  </si>
  <si>
    <t>Arief Cahyadi</t>
  </si>
  <si>
    <t>081381620825</t>
  </si>
  <si>
    <t>2606A173</t>
  </si>
  <si>
    <t>Wiwien Arianti</t>
  </si>
  <si>
    <t>0818483300</t>
  </si>
  <si>
    <t>otmt dan ijen</t>
  </si>
  <si>
    <t>2606H078</t>
  </si>
  <si>
    <t>san</t>
  </si>
  <si>
    <t>082135522620</t>
  </si>
  <si>
    <t>2606H079</t>
  </si>
  <si>
    <t>DW</t>
  </si>
  <si>
    <t>0895385148361</t>
  </si>
  <si>
    <t>transportasi tidak ada</t>
  </si>
  <si>
    <t>2606H080</t>
  </si>
  <si>
    <t>URM</t>
  </si>
  <si>
    <t>081514089980</t>
  </si>
  <si>
    <t>2606H081</t>
  </si>
  <si>
    <t>Daniez</t>
  </si>
  <si>
    <t>085736335573</t>
  </si>
  <si>
    <t>2606A178</t>
  </si>
  <si>
    <t>Verry D Irianto</t>
  </si>
  <si>
    <t>082343696677</t>
  </si>
  <si>
    <t>ot menjangan tabuhan, private baluran</t>
  </si>
  <si>
    <t>2606H082</t>
  </si>
  <si>
    <t>085715229706</t>
  </si>
  <si>
    <t>fu 1 desember</t>
  </si>
  <si>
    <t>2606A179</t>
  </si>
  <si>
    <t>082316352135</t>
  </si>
  <si>
    <t>2606H083</t>
  </si>
  <si>
    <t>Etra Efendi Malin Janiah</t>
  </si>
  <si>
    <t>081381809707</t>
  </si>
  <si>
    <t>waktunya tidak tepat</t>
  </si>
  <si>
    <t>2606D241</t>
  </si>
  <si>
    <t>Agung stita</t>
  </si>
  <si>
    <t>081238555044</t>
  </si>
  <si>
    <t>8/9 Juli</t>
  </si>
  <si>
    <t>kalau ada barenagn dikabari</t>
  </si>
  <si>
    <t>2606A180</t>
  </si>
  <si>
    <t>Waaa</t>
  </si>
  <si>
    <t>2606A181</t>
  </si>
  <si>
    <t>AH</t>
  </si>
  <si>
    <t>089669687979</t>
  </si>
  <si>
    <t>2607H001</t>
  </si>
  <si>
    <t>Anisa Yasila</t>
  </si>
  <si>
    <t>085859511658</t>
  </si>
  <si>
    <t>mt dan ijen</t>
  </si>
  <si>
    <t>2607H002</t>
  </si>
  <si>
    <t>elyn</t>
  </si>
  <si>
    <t>08129594635</t>
  </si>
  <si>
    <t>2607H003</t>
  </si>
  <si>
    <t>Slamet Wardoyo</t>
  </si>
  <si>
    <t>08111526846</t>
  </si>
  <si>
    <t>slot kapal full booked</t>
  </si>
  <si>
    <t>2607H004</t>
  </si>
  <si>
    <t>Tarra</t>
  </si>
  <si>
    <t>087884963330</t>
  </si>
  <si>
    <t>mt ijen</t>
  </si>
  <si>
    <t>13-15 juli</t>
  </si>
  <si>
    <t>2606A182</t>
  </si>
  <si>
    <t>Irmayani</t>
  </si>
  <si>
    <t>082218341333</t>
  </si>
  <si>
    <t>green island, tabuhan, menjangan</t>
  </si>
  <si>
    <t>2606A183</t>
  </si>
  <si>
    <t>Rosmalia</t>
  </si>
  <si>
    <t>08158102702</t>
  </si>
  <si>
    <t>2606A184</t>
  </si>
  <si>
    <t>Ruth Velani</t>
  </si>
  <si>
    <t>08121582928</t>
  </si>
  <si>
    <t>2606A185</t>
  </si>
  <si>
    <t>Oktii Sahwati</t>
  </si>
  <si>
    <t>082314162612</t>
  </si>
  <si>
    <t>2606A186</t>
  </si>
  <si>
    <t>2606A187</t>
  </si>
  <si>
    <t>Maurilla S Imron</t>
  </si>
  <si>
    <t>2606H084</t>
  </si>
  <si>
    <t>Atik Wibawati</t>
  </si>
  <si>
    <t>0811900059</t>
  </si>
  <si>
    <t>fu 16 Juli</t>
  </si>
  <si>
    <t>2606A188</t>
  </si>
  <si>
    <t>Defi</t>
  </si>
  <si>
    <t>081369148426</t>
  </si>
  <si>
    <t>2606A189</t>
  </si>
  <si>
    <t>Rheina</t>
  </si>
  <si>
    <t>087878473633</t>
  </si>
  <si>
    <t>2607H005</t>
  </si>
  <si>
    <t>Rina</t>
  </si>
  <si>
    <t>0818127306</t>
  </si>
  <si>
    <t>5h4m</t>
  </si>
  <si>
    <t>8 juli - 12 juli</t>
  </si>
  <si>
    <t>2606A190</t>
  </si>
  <si>
    <t>Furi</t>
  </si>
  <si>
    <t>085692605967</t>
  </si>
  <si>
    <t>2607H006</t>
  </si>
  <si>
    <t>Vero</t>
  </si>
  <si>
    <t>08558899111</t>
  </si>
  <si>
    <t>2606A191</t>
  </si>
  <si>
    <t>Nicolas Viondra</t>
  </si>
  <si>
    <t>087841507976</t>
  </si>
  <si>
    <t>kawah wurung</t>
  </si>
  <si>
    <t>2606A192</t>
  </si>
  <si>
    <t>081246383680</t>
  </si>
  <si>
    <t>kawah ijen, baluran</t>
  </si>
  <si>
    <t>2607A001</t>
  </si>
  <si>
    <t>Kurnia</t>
  </si>
  <si>
    <t>08995212646</t>
  </si>
  <si>
    <t>2607A002</t>
  </si>
  <si>
    <t>Ryo</t>
  </si>
  <si>
    <t>081285321367</t>
  </si>
  <si>
    <t>2607A003</t>
  </si>
  <si>
    <t>Azwa</t>
  </si>
  <si>
    <t>085100655098</t>
  </si>
  <si>
    <t>2607A004</t>
  </si>
  <si>
    <t>menjangan</t>
  </si>
  <si>
    <t>2607A005</t>
  </si>
  <si>
    <t>Cucu Nabi</t>
  </si>
  <si>
    <t>082236936558</t>
  </si>
  <si>
    <t>ot kawah ijen, p bedil</t>
  </si>
  <si>
    <t>2607A006</t>
  </si>
  <si>
    <t>Ana CC Ari</t>
  </si>
  <si>
    <t>081338720600</t>
  </si>
  <si>
    <t>2607A007</t>
  </si>
  <si>
    <t>Kisty Trahendra</t>
  </si>
  <si>
    <t>081233086945</t>
  </si>
  <si>
    <t>2607A008</t>
  </si>
  <si>
    <t>Muhammmad Rizki</t>
  </si>
  <si>
    <t>085697279896</t>
  </si>
  <si>
    <t>2607A009</t>
  </si>
  <si>
    <t>R</t>
  </si>
  <si>
    <t>085138086133</t>
  </si>
  <si>
    <t>2607A010</t>
  </si>
  <si>
    <t>Maya louise</t>
  </si>
  <si>
    <t>082117667550</t>
  </si>
  <si>
    <t>2607A011</t>
  </si>
  <si>
    <t>Fizara</t>
  </si>
  <si>
    <t>082134045075</t>
  </si>
  <si>
    <t>2607A012</t>
  </si>
  <si>
    <t>Inne Vidyano</t>
  </si>
  <si>
    <t>081378118030</t>
  </si>
  <si>
    <t>wkatunya belum ada, kalau jadi nanti dihubungi lagi</t>
  </si>
  <si>
    <t>2607A013</t>
  </si>
  <si>
    <t>Nani Tresnaningsih</t>
  </si>
  <si>
    <t>081220806992</t>
  </si>
  <si>
    <t>2606D242</t>
  </si>
  <si>
    <t>Lilie</t>
  </si>
  <si>
    <t>082221719898</t>
  </si>
  <si>
    <t>FU 30 Juli</t>
  </si>
  <si>
    <t>2606D243</t>
  </si>
  <si>
    <t>Christian</t>
  </si>
  <si>
    <t>081283264650</t>
  </si>
  <si>
    <t>FU 7 Juli</t>
  </si>
  <si>
    <t>2606D244</t>
  </si>
  <si>
    <t>No Name peri</t>
  </si>
  <si>
    <t>085753634415</t>
  </si>
  <si>
    <t>belum ada balasan, FU 7 Juli</t>
  </si>
  <si>
    <t>2606D245</t>
  </si>
  <si>
    <t>Rohanda</t>
  </si>
  <si>
    <t>081220449539</t>
  </si>
  <si>
    <t>2606D246</t>
  </si>
  <si>
    <t>Cipta Makmur Jaya Tours</t>
  </si>
  <si>
    <t>08113373328</t>
  </si>
  <si>
    <t>2H1m custome</t>
  </si>
  <si>
    <t>2606D247</t>
  </si>
  <si>
    <t xml:space="preserve">Yetti Kurniawati </t>
  </si>
  <si>
    <t>083840547993</t>
  </si>
  <si>
    <t>2607A015</t>
  </si>
  <si>
    <t>Tiwie</t>
  </si>
  <si>
    <t>082136255566</t>
  </si>
  <si>
    <t>2607A016</t>
  </si>
  <si>
    <t>Farah Pangestuty</t>
  </si>
  <si>
    <t>0895805321900</t>
  </si>
  <si>
    <t>2607A017</t>
  </si>
  <si>
    <t>Beby</t>
  </si>
  <si>
    <t>081938069369</t>
  </si>
  <si>
    <t>2607A018</t>
  </si>
  <si>
    <t>Antonius</t>
  </si>
  <si>
    <t>08164885392</t>
  </si>
  <si>
    <t>2606D248</t>
  </si>
  <si>
    <t>08787473633</t>
  </si>
  <si>
    <t>FU 31 Juli</t>
  </si>
  <si>
    <t>2606D249</t>
  </si>
  <si>
    <t>Asti Lestari</t>
  </si>
  <si>
    <t>081394047757</t>
  </si>
  <si>
    <t xml:space="preserve">FU 3 Juli </t>
  </si>
  <si>
    <t>2606D250</t>
  </si>
  <si>
    <t>Najmuddin Kholish</t>
  </si>
  <si>
    <t>085649017879</t>
  </si>
  <si>
    <t>private Djabal</t>
  </si>
  <si>
    <t>2606D251</t>
  </si>
  <si>
    <t>Kumala</t>
  </si>
  <si>
    <t>085878304239</t>
  </si>
  <si>
    <t>OT MT, OT Alas Purwo</t>
  </si>
  <si>
    <t>2606D252</t>
  </si>
  <si>
    <t>60168641592</t>
  </si>
  <si>
    <t>Agustus tengah</t>
  </si>
  <si>
    <t>pengen blue fire</t>
  </si>
  <si>
    <t>2606D253</t>
  </si>
  <si>
    <t>Fajar Bakti</t>
  </si>
  <si>
    <t>082299559696</t>
  </si>
  <si>
    <t>FU 7 Juli, tgl lewat</t>
  </si>
  <si>
    <t>2606D254</t>
  </si>
  <si>
    <t>Halimeh</t>
  </si>
  <si>
    <t>081247057545</t>
  </si>
  <si>
    <t>blm balas lagi, FU 7 Juli</t>
  </si>
  <si>
    <t>2607D001</t>
  </si>
  <si>
    <t>V</t>
  </si>
  <si>
    <t>085649247772</t>
  </si>
  <si>
    <t xml:space="preserve">FU 4 Juli </t>
  </si>
  <si>
    <t>2607D002</t>
  </si>
  <si>
    <t>Athifa Magitasari</t>
  </si>
  <si>
    <t>082234900751</t>
  </si>
  <si>
    <t>tidakk jadi trip</t>
  </si>
  <si>
    <t>2607D003</t>
  </si>
  <si>
    <t>Maulida</t>
  </si>
  <si>
    <t>082334335533</t>
  </si>
  <si>
    <t>fullbookeddd</t>
  </si>
  <si>
    <t>2607D004</t>
  </si>
  <si>
    <t>Bontar (PPA Malang Sby)</t>
  </si>
  <si>
    <t>082150935112</t>
  </si>
  <si>
    <t>2607D005</t>
  </si>
  <si>
    <t>Andita</t>
  </si>
  <si>
    <t>085727026326</t>
  </si>
  <si>
    <t>2607D006</t>
  </si>
  <si>
    <t>Rooom</t>
  </si>
  <si>
    <t>087893735674</t>
  </si>
  <si>
    <t>belum jadi liburan ke bwi</t>
  </si>
  <si>
    <t>2607D007</t>
  </si>
  <si>
    <t>Dory Oktriandi</t>
  </si>
  <si>
    <t>081284202836</t>
  </si>
  <si>
    <t>2607D008</t>
  </si>
  <si>
    <t>Amalia</t>
  </si>
  <si>
    <t>0811226651</t>
  </si>
  <si>
    <t>2607D009</t>
  </si>
  <si>
    <t>082199727658</t>
  </si>
  <si>
    <t>2607D010</t>
  </si>
  <si>
    <t>Ds</t>
  </si>
  <si>
    <t>085248580798</t>
  </si>
  <si>
    <t>gajadii waktunya kurang passss</t>
  </si>
  <si>
    <t>2607D011</t>
  </si>
  <si>
    <t>Alieta</t>
  </si>
  <si>
    <t>08122382234</t>
  </si>
  <si>
    <t>2607D012</t>
  </si>
  <si>
    <t>082338185599</t>
  </si>
  <si>
    <t>2607D013</t>
  </si>
  <si>
    <t>Witney Calora</t>
  </si>
  <si>
    <t>085787767762</t>
  </si>
  <si>
    <t>2607D014</t>
  </si>
  <si>
    <t>Rifa</t>
  </si>
  <si>
    <t>085606820090</t>
  </si>
  <si>
    <t>2607D015</t>
  </si>
  <si>
    <t>baluran only</t>
  </si>
  <si>
    <t>2607D016</t>
  </si>
  <si>
    <t xml:space="preserve">Shinta Ayu </t>
  </si>
  <si>
    <t>082230575448</t>
  </si>
  <si>
    <t>trip Djawatan Baluran</t>
  </si>
  <si>
    <t>Jeep Fullbookeddd, ditawarin avanza gamauu</t>
  </si>
  <si>
    <t>2607D017</t>
  </si>
  <si>
    <t>PT Jaya Impian Abadi</t>
  </si>
  <si>
    <t>082312395793</t>
  </si>
  <si>
    <t>masih nyapaa</t>
  </si>
  <si>
    <t>2607H007</t>
  </si>
  <si>
    <t>085259955829</t>
  </si>
  <si>
    <t>2D</t>
  </si>
  <si>
    <t>4 dan 5 Juli</t>
  </si>
  <si>
    <t xml:space="preserve">blm ada kelanjutan </t>
  </si>
  <si>
    <t>2607H008</t>
  </si>
  <si>
    <t>qalbi mirxela</t>
  </si>
  <si>
    <t>087787401148</t>
  </si>
  <si>
    <t>19-21 juli</t>
  </si>
  <si>
    <t>2607A019</t>
  </si>
  <si>
    <t>Nurita Pratama sari</t>
  </si>
  <si>
    <t>081225783915</t>
  </si>
  <si>
    <t>2607A020</t>
  </si>
  <si>
    <t>Herwandasantoso (Angga)</t>
  </si>
  <si>
    <t>089696696312</t>
  </si>
  <si>
    <t>one day trip Green island, djawatan</t>
  </si>
  <si>
    <t>2607A021</t>
  </si>
  <si>
    <t>Martina Susanti</t>
  </si>
  <si>
    <t>082214248001</t>
  </si>
  <si>
    <t>mt fullbooked</t>
  </si>
  <si>
    <t>2607D018</t>
  </si>
  <si>
    <t>081329012486</t>
  </si>
  <si>
    <t>2607A022</t>
  </si>
  <si>
    <t>089693246388</t>
  </si>
  <si>
    <t>2607A023</t>
  </si>
  <si>
    <t>Strawberry</t>
  </si>
  <si>
    <t>081573100206</t>
  </si>
  <si>
    <t>Ayu DSLNG</t>
  </si>
  <si>
    <t>081354848245</t>
  </si>
  <si>
    <t>trip djawatan</t>
  </si>
  <si>
    <t>2607D019</t>
  </si>
  <si>
    <t>Sulistyo</t>
  </si>
  <si>
    <t>081252434153</t>
  </si>
  <si>
    <t>2607D020</t>
  </si>
  <si>
    <t xml:space="preserve">Destira </t>
  </si>
  <si>
    <t>081225600450</t>
  </si>
  <si>
    <t>1 day trip M,T,B</t>
  </si>
  <si>
    <t>cancell, jadi liburan tanpa agent</t>
  </si>
  <si>
    <t>2607D021</t>
  </si>
  <si>
    <t>Anna Lord</t>
  </si>
  <si>
    <t>081337874613</t>
  </si>
  <si>
    <t>tanya boat, fullbookedd</t>
  </si>
  <si>
    <t>2607D022</t>
  </si>
  <si>
    <t>Ikka</t>
  </si>
  <si>
    <t>085959387150</t>
  </si>
  <si>
    <t>2607D023</t>
  </si>
  <si>
    <t>Putri Sinaga</t>
  </si>
  <si>
    <t>081319102213</t>
  </si>
  <si>
    <t>FU 8 Juli</t>
  </si>
  <si>
    <t>2607D024</t>
  </si>
  <si>
    <t>Andi</t>
  </si>
  <si>
    <t>081994931195</t>
  </si>
  <si>
    <t>2607D025</t>
  </si>
  <si>
    <t>No Name Ijen</t>
  </si>
  <si>
    <t>08121028921</t>
  </si>
  <si>
    <t>2607A024</t>
  </si>
  <si>
    <t>Firdaus Ramadhan</t>
  </si>
  <si>
    <t>081213484025</t>
  </si>
  <si>
    <t>2607A025</t>
  </si>
  <si>
    <t>Suryanto</t>
  </si>
  <si>
    <t>082177890789</t>
  </si>
  <si>
    <t>pengen lihat blue fire</t>
  </si>
  <si>
    <t>2607A026</t>
  </si>
  <si>
    <t>Putri Feni Rosa Uli</t>
  </si>
  <si>
    <t>4-5 juli</t>
  </si>
  <si>
    <t>2607A027</t>
  </si>
  <si>
    <t>Bella Fahillah</t>
  </si>
  <si>
    <t>081319895179</t>
  </si>
  <si>
    <t>12-14 juli</t>
  </si>
  <si>
    <t>2607A028</t>
  </si>
  <si>
    <t>Rydha G Mayaudy</t>
  </si>
  <si>
    <t>081327357783</t>
  </si>
  <si>
    <t>2607A029</t>
  </si>
  <si>
    <t>Herry Fahamsyah</t>
  </si>
  <si>
    <t>081294234000</t>
  </si>
  <si>
    <t>2607A030</t>
  </si>
  <si>
    <t>Egi Gigih</t>
  </si>
  <si>
    <t>08985999948</t>
  </si>
  <si>
    <t>2607A031</t>
  </si>
  <si>
    <t>Abe</t>
  </si>
  <si>
    <t>08111895858</t>
  </si>
  <si>
    <t>2607A032</t>
  </si>
  <si>
    <t>Yulisa Ani</t>
  </si>
  <si>
    <t>081330713582</t>
  </si>
  <si>
    <t>Djawatan, baluran</t>
  </si>
  <si>
    <t>2607A033</t>
  </si>
  <si>
    <t>Dian Fitria</t>
  </si>
  <si>
    <t>085810088687</t>
  </si>
  <si>
    <t>2607A034</t>
  </si>
  <si>
    <t>Rahma Dj</t>
  </si>
  <si>
    <t>085293971113</t>
  </si>
  <si>
    <t>2607D026</t>
  </si>
  <si>
    <t>No Name Bunga</t>
  </si>
  <si>
    <t>081280268827</t>
  </si>
  <si>
    <t>FU 30 agustus</t>
  </si>
  <si>
    <t>2607H009</t>
  </si>
  <si>
    <t>Fifit</t>
  </si>
  <si>
    <t>081905026305</t>
  </si>
  <si>
    <t>ga kasi alasan gagal</t>
  </si>
  <si>
    <t>2607D027</t>
  </si>
  <si>
    <t>Sophia Menny Arthami</t>
  </si>
  <si>
    <t>085739024153</t>
  </si>
  <si>
    <t>2607D028</t>
  </si>
  <si>
    <t xml:space="preserve">Matayya </t>
  </si>
  <si>
    <t>082211307435</t>
  </si>
  <si>
    <t>masih tanya</t>
  </si>
  <si>
    <t>2607A035</t>
  </si>
  <si>
    <t>Dian fitria</t>
  </si>
  <si>
    <t>djawatan, green island</t>
  </si>
  <si>
    <t>2607A036</t>
  </si>
  <si>
    <t>Tri Asti</t>
  </si>
  <si>
    <t>085704142819</t>
  </si>
  <si>
    <t>2607D029</t>
  </si>
  <si>
    <t>Ihsan</t>
  </si>
  <si>
    <t>081292700079</t>
  </si>
  <si>
    <t>2607A037</t>
  </si>
  <si>
    <t>Raditya Hadi</t>
  </si>
  <si>
    <t>089669300224</t>
  </si>
  <si>
    <t>fu 1 gustus</t>
  </si>
  <si>
    <t>2607A038</t>
  </si>
  <si>
    <t>Fifi</t>
  </si>
  <si>
    <t>085156269850</t>
  </si>
  <si>
    <t>2607A039</t>
  </si>
  <si>
    <t>Benny</t>
  </si>
  <si>
    <t>081371627539</t>
  </si>
  <si>
    <t>2607A040</t>
  </si>
  <si>
    <t>Husnul utami</t>
  </si>
  <si>
    <t>08567215141</t>
  </si>
  <si>
    <t>2607A041</t>
  </si>
  <si>
    <t>putra</t>
  </si>
  <si>
    <t>082117565038</t>
  </si>
  <si>
    <t>2607A042</t>
  </si>
  <si>
    <t>Septa</t>
  </si>
  <si>
    <t>booking lewat suami (Asep)</t>
  </si>
  <si>
    <t>2607D030</t>
  </si>
  <si>
    <t>Anandita</t>
  </si>
  <si>
    <t>08211039227</t>
  </si>
  <si>
    <t>2607D031</t>
  </si>
  <si>
    <t>Fio</t>
  </si>
  <si>
    <t>081233853482</t>
  </si>
  <si>
    <t>OT kawah ijen, MT</t>
  </si>
  <si>
    <t>masih tanya, B2B</t>
  </si>
  <si>
    <t>2607D032</t>
  </si>
  <si>
    <t>Princessa Chen</t>
  </si>
  <si>
    <t>081617796318</t>
  </si>
  <si>
    <t>tanya turun terminal dimana, FU 8 Juli</t>
  </si>
  <si>
    <t>2607D033</t>
  </si>
  <si>
    <t>Husnan Yusuf</t>
  </si>
  <si>
    <t>085747438654</t>
  </si>
  <si>
    <t>FU 9Juli</t>
  </si>
  <si>
    <t>2607D034</t>
  </si>
  <si>
    <t>Risya</t>
  </si>
  <si>
    <t>081292980140</t>
  </si>
  <si>
    <t>baru menyapa, FU 9 juli</t>
  </si>
  <si>
    <t>2607D035</t>
  </si>
  <si>
    <t xml:space="preserve">Saffa </t>
  </si>
  <si>
    <t>0895634515300</t>
  </si>
  <si>
    <t>2607D036</t>
  </si>
  <si>
    <t>Sindoro medika</t>
  </si>
  <si>
    <t>081226873998</t>
  </si>
  <si>
    <t>paket diving</t>
  </si>
  <si>
    <t>2607A043</t>
  </si>
  <si>
    <t>Achmad N. Romdoni</t>
  </si>
  <si>
    <t>0818473300</t>
  </si>
  <si>
    <t>Order</t>
  </si>
  <si>
    <t>2607A044</t>
  </si>
  <si>
    <t>Junaidi</t>
  </si>
  <si>
    <t>4-5 Juli</t>
  </si>
  <si>
    <t>2607D037</t>
  </si>
  <si>
    <t>Yuni Amaya Salon</t>
  </si>
  <si>
    <t>085147632080</t>
  </si>
  <si>
    <t>16-18</t>
  </si>
  <si>
    <t>2607A045</t>
  </si>
  <si>
    <t>Obi</t>
  </si>
  <si>
    <t>089650694886</t>
  </si>
  <si>
    <t>2607H010</t>
  </si>
  <si>
    <t>Wildan</t>
  </si>
  <si>
    <t>087785913322</t>
  </si>
  <si>
    <t>pulau merah, green island</t>
  </si>
  <si>
    <t>2607H011</t>
  </si>
  <si>
    <t>Lisa Margareth</t>
  </si>
  <si>
    <t>081310905429</t>
  </si>
  <si>
    <t>10-11 Juli</t>
  </si>
  <si>
    <t>2607H012</t>
  </si>
  <si>
    <t>reynanda nadhira</t>
  </si>
  <si>
    <t>088220708108</t>
  </si>
  <si>
    <t>FU 20 Juli</t>
  </si>
  <si>
    <t>2607A046</t>
  </si>
  <si>
    <t>Rizky Ardhian</t>
  </si>
  <si>
    <t>087710103785</t>
  </si>
  <si>
    <t>2607A047</t>
  </si>
  <si>
    <t>Hotline</t>
  </si>
  <si>
    <t>0811222037</t>
  </si>
  <si>
    <t>2607A048</t>
  </si>
  <si>
    <t>Echapita</t>
  </si>
  <si>
    <t>0816692496</t>
  </si>
  <si>
    <t>djawatan, green island, pulau merah</t>
  </si>
  <si>
    <t>2607A049</t>
  </si>
  <si>
    <t>Ranie</t>
  </si>
  <si>
    <t>082231874445</t>
  </si>
  <si>
    <t>djawatan, baluran</t>
  </si>
  <si>
    <t>2607H013</t>
  </si>
  <si>
    <t>lala</t>
  </si>
  <si>
    <t>081387759309</t>
  </si>
  <si>
    <t>18-19 Juli</t>
  </si>
  <si>
    <t>2607H014</t>
  </si>
  <si>
    <t>Rudi Setiawan</t>
  </si>
  <si>
    <t>08129691597</t>
  </si>
  <si>
    <t>2607D038</t>
  </si>
  <si>
    <t>Lili Sesilia</t>
  </si>
  <si>
    <t>085785286939</t>
  </si>
  <si>
    <t>trip GI, Bedil</t>
  </si>
  <si>
    <t>2607D039</t>
  </si>
  <si>
    <t>Bela Febrya PCI</t>
  </si>
  <si>
    <t>085692046269</t>
  </si>
  <si>
    <t>kirim penawaran, FU 30 Juli</t>
  </si>
  <si>
    <t>2607D040</t>
  </si>
  <si>
    <t>Mosaz</t>
  </si>
  <si>
    <t>08113147100</t>
  </si>
  <si>
    <t>2607D041</t>
  </si>
  <si>
    <t xml:space="preserve">Fara </t>
  </si>
  <si>
    <t>085875129620</t>
  </si>
  <si>
    <t>dadakan</t>
  </si>
  <si>
    <t>2607D042</t>
  </si>
  <si>
    <t>Quin</t>
  </si>
  <si>
    <t>081567666594</t>
  </si>
  <si>
    <t>2607D043</t>
  </si>
  <si>
    <t>Nur Elyawati</t>
  </si>
  <si>
    <t>081273106999</t>
  </si>
  <si>
    <t>2607H015</t>
  </si>
  <si>
    <t>mine</t>
  </si>
  <si>
    <t>085251153623</t>
  </si>
  <si>
    <t xml:space="preserve">FU 18 Juli </t>
  </si>
  <si>
    <t>2607H016</t>
  </si>
  <si>
    <t>Widia Cahyadi</t>
  </si>
  <si>
    <t>081381222334</t>
  </si>
  <si>
    <t>8-9 juli</t>
  </si>
  <si>
    <t>2607D044</t>
  </si>
  <si>
    <t xml:space="preserve">Desy Veronika </t>
  </si>
  <si>
    <t>085261453054</t>
  </si>
  <si>
    <t>2607A050</t>
  </si>
  <si>
    <t>Asep Sanudin</t>
  </si>
  <si>
    <t>97455020935</t>
  </si>
  <si>
    <t>15 juli-19 juli</t>
  </si>
  <si>
    <t>2607D045</t>
  </si>
  <si>
    <t>Kat</t>
  </si>
  <si>
    <t>081290273672</t>
  </si>
  <si>
    <t>FU 3 Agustus</t>
  </si>
  <si>
    <t>2607D046</t>
  </si>
  <si>
    <t>081314510407</t>
  </si>
  <si>
    <t>2607D047</t>
  </si>
  <si>
    <t>Amara Maulidi</t>
  </si>
  <si>
    <t>087787151281</t>
  </si>
  <si>
    <t>FU terakhir</t>
  </si>
  <si>
    <t>Dayat</t>
  </si>
  <si>
    <t>08986944442</t>
  </si>
  <si>
    <t>2607A053</t>
  </si>
  <si>
    <t>08170929888</t>
  </si>
  <si>
    <t>ot mt, ot kawah ijen</t>
  </si>
  <si>
    <t>2607A054</t>
  </si>
  <si>
    <t>Tri Suryaningsih</t>
  </si>
  <si>
    <t>087887127156</t>
  </si>
  <si>
    <t>2607A055</t>
  </si>
  <si>
    <t>closing di holiday</t>
  </si>
  <si>
    <t>2607A056</t>
  </si>
  <si>
    <t>081385621094</t>
  </si>
  <si>
    <t>2607A057</t>
  </si>
  <si>
    <t>Sonya McGuire</t>
  </si>
  <si>
    <t>2607A058</t>
  </si>
  <si>
    <t>Anja</t>
  </si>
  <si>
    <t>089502185680</t>
  </si>
  <si>
    <t>akhir sept</t>
  </si>
  <si>
    <t>2607A059</t>
  </si>
  <si>
    <t>Welan</t>
  </si>
  <si>
    <t>081286863086</t>
  </si>
  <si>
    <t>2607A060</t>
  </si>
  <si>
    <t>Arif</t>
  </si>
  <si>
    <t>085156825258</t>
  </si>
  <si>
    <t>2607A061</t>
  </si>
  <si>
    <t>Nawal</t>
  </si>
  <si>
    <t>087727562567</t>
  </si>
  <si>
    <t>lanjutan si arif</t>
  </si>
  <si>
    <t>2607A062</t>
  </si>
  <si>
    <t>kiky Poerwanti</t>
  </si>
  <si>
    <t>085221033300</t>
  </si>
  <si>
    <t>2607A063</t>
  </si>
  <si>
    <t>Tonie</t>
  </si>
  <si>
    <t>081232639790</t>
  </si>
  <si>
    <t>djawatan</t>
  </si>
  <si>
    <t>2607A064</t>
  </si>
  <si>
    <t>iip</t>
  </si>
  <si>
    <t>082113782323</t>
  </si>
  <si>
    <t>2607A065</t>
  </si>
  <si>
    <t>SAP</t>
  </si>
  <si>
    <t>088215224940</t>
  </si>
  <si>
    <t>fu kalau ada ot 3h2m juli</t>
  </si>
  <si>
    <t>2607A066</t>
  </si>
  <si>
    <t>E</t>
  </si>
  <si>
    <t>081196911366</t>
  </si>
  <si>
    <t xml:space="preserve">1day trip gree island </t>
  </si>
  <si>
    <t>2607A067</t>
  </si>
  <si>
    <t>082160925717</t>
  </si>
  <si>
    <t>belum ada jawaban. fu 27 juli</t>
  </si>
  <si>
    <t>2607A068</t>
  </si>
  <si>
    <t>Ririn</t>
  </si>
  <si>
    <t>081395097278</t>
  </si>
  <si>
    <t>22-24 agustus</t>
  </si>
  <si>
    <t>fu 31 juli</t>
  </si>
  <si>
    <t>2607D048</t>
  </si>
  <si>
    <t>Ry</t>
  </si>
  <si>
    <t>089519684754</t>
  </si>
  <si>
    <t>baru nyapaaa</t>
  </si>
  <si>
    <t>2607D049</t>
  </si>
  <si>
    <t>082142554719</t>
  </si>
  <si>
    <t>FU 29 Juli</t>
  </si>
  <si>
    <t>2607D050</t>
  </si>
  <si>
    <t>Mukti Aray</t>
  </si>
  <si>
    <t>081289383778</t>
  </si>
  <si>
    <t xml:space="preserve">GI </t>
  </si>
  <si>
    <t>ga ada konfirmasi lagi</t>
  </si>
  <si>
    <t>2607D051</t>
  </si>
  <si>
    <t>089606428293</t>
  </si>
  <si>
    <t>FU 20 Juii</t>
  </si>
  <si>
    <t>2607D052</t>
  </si>
  <si>
    <t>Khenny Honesty</t>
  </si>
  <si>
    <t>082188000498</t>
  </si>
  <si>
    <t>17/18 Juli</t>
  </si>
  <si>
    <t>sudah fu tidak dibalas</t>
  </si>
  <si>
    <t>2607D053</t>
  </si>
  <si>
    <t>Ahzar</t>
  </si>
  <si>
    <t>087720082441</t>
  </si>
  <si>
    <t>OT MT, Ijen</t>
  </si>
  <si>
    <t>21&amp;23 Juli</t>
  </si>
  <si>
    <t>2607D054</t>
  </si>
  <si>
    <t>Yolanda Oktaviani</t>
  </si>
  <si>
    <t>082269667014</t>
  </si>
  <si>
    <t xml:space="preserve">FU 3 Agustus </t>
  </si>
  <si>
    <t>2607D055</t>
  </si>
  <si>
    <t>LAW</t>
  </si>
  <si>
    <t>081337111123</t>
  </si>
  <si>
    <t>2607D056</t>
  </si>
  <si>
    <t>HD</t>
  </si>
  <si>
    <t>087779602885</t>
  </si>
  <si>
    <t>2607D057</t>
  </si>
  <si>
    <t>Z</t>
  </si>
  <si>
    <t>081910918412</t>
  </si>
  <si>
    <t>1/8 Agustus</t>
  </si>
  <si>
    <t>gajadii, ada musibah ayahnya meninggal</t>
  </si>
  <si>
    <t>2607D058</t>
  </si>
  <si>
    <t xml:space="preserve">No Name 3h2m </t>
  </si>
  <si>
    <t>081325487738</t>
  </si>
  <si>
    <t>FU 4 Agustus</t>
  </si>
  <si>
    <t>2607D059</t>
  </si>
  <si>
    <t>Suwirman</t>
  </si>
  <si>
    <t>081510019168</t>
  </si>
  <si>
    <t>FU 6 Agustus</t>
  </si>
  <si>
    <t>2607D060</t>
  </si>
  <si>
    <t xml:space="preserve">Rahma  </t>
  </si>
  <si>
    <t>081326257762</t>
  </si>
  <si>
    <t>FU 8 Agustus</t>
  </si>
  <si>
    <t>2607A069</t>
  </si>
  <si>
    <t>Ismi Anita Rukani</t>
  </si>
  <si>
    <t>082371352381</t>
  </si>
  <si>
    <t>2607H017</t>
  </si>
  <si>
    <t>Delta Echo Nov2 Yankee</t>
  </si>
  <si>
    <t>089515196502</t>
  </si>
  <si>
    <t>fu 28 juli</t>
  </si>
  <si>
    <t>2607H018</t>
  </si>
  <si>
    <t>Lukman</t>
  </si>
  <si>
    <t>087855815777</t>
  </si>
  <si>
    <t>2607H019</t>
  </si>
  <si>
    <t>Tati Lamria</t>
  </si>
  <si>
    <t>082110499578</t>
  </si>
  <si>
    <t>hanya menyapa. fu 18 juli</t>
  </si>
  <si>
    <t>2607H020</t>
  </si>
  <si>
    <t>Astuti Nurwidiyanti</t>
  </si>
  <si>
    <t>0818119143</t>
  </si>
  <si>
    <t>2607D061</t>
  </si>
  <si>
    <t>Cella</t>
  </si>
  <si>
    <t>087883955843</t>
  </si>
  <si>
    <t>2607D062</t>
  </si>
  <si>
    <t>Sylvia Mardiani</t>
  </si>
  <si>
    <t>085101782800</t>
  </si>
  <si>
    <t>tidak jadi trip, waktunya belum cocok</t>
  </si>
  <si>
    <t>2607D063</t>
  </si>
  <si>
    <t>Nadia Rahmatazahra</t>
  </si>
  <si>
    <t>085816987741</t>
  </si>
  <si>
    <t>private trip tabuhan</t>
  </si>
  <si>
    <t>belum bisa 1 orang private</t>
  </si>
  <si>
    <t>2607D064</t>
  </si>
  <si>
    <t>Sheina</t>
  </si>
  <si>
    <t>081545571383</t>
  </si>
  <si>
    <t>2607D065</t>
  </si>
  <si>
    <t xml:space="preserve">Hannah </t>
  </si>
  <si>
    <t>0895351623399</t>
  </si>
  <si>
    <t>sudah fu tidak balas</t>
  </si>
  <si>
    <t>2607D066</t>
  </si>
  <si>
    <t xml:space="preserve">Sahda </t>
  </si>
  <si>
    <t>081233829266</t>
  </si>
  <si>
    <t>3h2M Opsi A</t>
  </si>
  <si>
    <t>2607D067</t>
  </si>
  <si>
    <t xml:space="preserve">trip 5H4M </t>
  </si>
  <si>
    <t>FU 12 Juli</t>
  </si>
  <si>
    <t>2607H021</t>
  </si>
  <si>
    <t>Risky Siregar</t>
  </si>
  <si>
    <t>08112206522</t>
  </si>
  <si>
    <t>ot ijen, baluran</t>
  </si>
  <si>
    <t>Rencana trip 14 Agustus, FU 1 Agustus</t>
  </si>
  <si>
    <t>2607A070</t>
  </si>
  <si>
    <t>Yafi Diningrat</t>
  </si>
  <si>
    <t>081461138919</t>
  </si>
  <si>
    <t>2607A071</t>
  </si>
  <si>
    <t>Dindanh</t>
  </si>
  <si>
    <t>0895611937365</t>
  </si>
  <si>
    <t>2607A072</t>
  </si>
  <si>
    <t>Kiki D Tamara</t>
  </si>
  <si>
    <t>085280034034</t>
  </si>
  <si>
    <t>2607A073</t>
  </si>
  <si>
    <t>Sahwa F</t>
  </si>
  <si>
    <t>087883257780</t>
  </si>
  <si>
    <t>2607A074</t>
  </si>
  <si>
    <t>Alviona</t>
  </si>
  <si>
    <t>081360338914</t>
  </si>
  <si>
    <t>2607D068</t>
  </si>
  <si>
    <t>Gesya Shandy</t>
  </si>
  <si>
    <t>081280122718</t>
  </si>
  <si>
    <t>blm bales lagi, FU 2 agustus</t>
  </si>
  <si>
    <t>2607D069</t>
  </si>
  <si>
    <t>Herdisyanms</t>
  </si>
  <si>
    <t>085840020359</t>
  </si>
  <si>
    <t>2607D070</t>
  </si>
  <si>
    <t>Isti Andiani</t>
  </si>
  <si>
    <t>081562780575</t>
  </si>
  <si>
    <t xml:space="preserve">FU 10 Juli </t>
  </si>
  <si>
    <t>2607D071</t>
  </si>
  <si>
    <t>Rejokencana</t>
  </si>
  <si>
    <t>085730262845</t>
  </si>
  <si>
    <t>2607D072</t>
  </si>
  <si>
    <t>No Name FG</t>
  </si>
  <si>
    <t>082137543952</t>
  </si>
  <si>
    <t>FG Ijen</t>
  </si>
  <si>
    <t>2607D073</t>
  </si>
  <si>
    <t>gajadiii, sudah di fu ga baless</t>
  </si>
  <si>
    <t>2607D074</t>
  </si>
  <si>
    <t>Rose</t>
  </si>
  <si>
    <t>089680158397</t>
  </si>
  <si>
    <t>open trip Ijen</t>
  </si>
  <si>
    <t>tanya OT, tapi gamau OT Ijen</t>
  </si>
  <si>
    <t>2607D075</t>
  </si>
  <si>
    <t>Suida</t>
  </si>
  <si>
    <t>087882828802</t>
  </si>
  <si>
    <t>2607D076</t>
  </si>
  <si>
    <t>Maulida Rizki</t>
  </si>
  <si>
    <t>083854812634</t>
  </si>
  <si>
    <t>2607A075</t>
  </si>
  <si>
    <t>089633806802</t>
  </si>
  <si>
    <t xml:space="preserve">16-18 desember </t>
  </si>
  <si>
    <t>fu 1 november</t>
  </si>
  <si>
    <t>2607D077</t>
  </si>
  <si>
    <t>Ahmad Supriadi</t>
  </si>
  <si>
    <t>082127432230</t>
  </si>
  <si>
    <t>private trip bm bisa 1 orang</t>
  </si>
  <si>
    <t>2607D078</t>
  </si>
  <si>
    <t>Cookiecology</t>
  </si>
  <si>
    <t>081213841930</t>
  </si>
  <si>
    <t>2607D079</t>
  </si>
  <si>
    <t xml:space="preserve">Del  </t>
  </si>
  <si>
    <t>081324026657</t>
  </si>
  <si>
    <t>2607D080</t>
  </si>
  <si>
    <t>No Name MTB</t>
  </si>
  <si>
    <t>082132343238</t>
  </si>
  <si>
    <t>2607D081</t>
  </si>
  <si>
    <t>082129111418</t>
  </si>
  <si>
    <t>2607D082</t>
  </si>
  <si>
    <t>Mima</t>
  </si>
  <si>
    <t>085190344454</t>
  </si>
  <si>
    <t>1 day Menjangan Baluran</t>
  </si>
  <si>
    <t>2607D083</t>
  </si>
  <si>
    <t>Ardia</t>
  </si>
  <si>
    <t>081994043386</t>
  </si>
  <si>
    <t>cancelll, ganti destinasi</t>
  </si>
  <si>
    <t>2607A076</t>
  </si>
  <si>
    <t>0895810866664</t>
  </si>
  <si>
    <t>2607A077</t>
  </si>
  <si>
    <t>Assyifaa Haris</t>
  </si>
  <si>
    <t>082110962526</t>
  </si>
  <si>
    <t>2607A078</t>
  </si>
  <si>
    <t>S</t>
  </si>
  <si>
    <t>0816522962</t>
  </si>
  <si>
    <t>2607A079</t>
  </si>
  <si>
    <t>Weriyanti</t>
  </si>
  <si>
    <t>082130675113</t>
  </si>
  <si>
    <t>2607A080</t>
  </si>
  <si>
    <t>Ayut</t>
  </si>
  <si>
    <t>081328286644</t>
  </si>
  <si>
    <t>2607D084</t>
  </si>
  <si>
    <t>088210025988</t>
  </si>
  <si>
    <t>3H2M honeymoon</t>
  </si>
  <si>
    <t xml:space="preserve">FU 5 Agustus </t>
  </si>
  <si>
    <t>2607D085</t>
  </si>
  <si>
    <t>Salamma Nadila</t>
  </si>
  <si>
    <t>081316284576</t>
  </si>
  <si>
    <t>tidak jadi ada acara mendadak</t>
  </si>
  <si>
    <t>2607A081</t>
  </si>
  <si>
    <t>Jovanka</t>
  </si>
  <si>
    <t>085121509059</t>
  </si>
  <si>
    <t>2607A082</t>
  </si>
  <si>
    <t>Angle</t>
  </si>
  <si>
    <t>082199531598</t>
  </si>
  <si>
    <t>2607A083</t>
  </si>
  <si>
    <t>Anna Jannah</t>
  </si>
  <si>
    <t>081233420014</t>
  </si>
  <si>
    <t>Dina</t>
  </si>
  <si>
    <t>081210092570</t>
  </si>
  <si>
    <t>open trip harian</t>
  </si>
  <si>
    <t>Frida</t>
  </si>
  <si>
    <t>085328722330</t>
  </si>
  <si>
    <t>2607H022</t>
  </si>
  <si>
    <t>Dewi Dahlia</t>
  </si>
  <si>
    <t>081196901118</t>
  </si>
  <si>
    <t>23-24 Agustus</t>
  </si>
  <si>
    <t>FU 1 Agustus</t>
  </si>
  <si>
    <t>2607H023</t>
  </si>
  <si>
    <t>085331277118</t>
  </si>
  <si>
    <t>gagal tidak ada balasan</t>
  </si>
  <si>
    <t>2607D086</t>
  </si>
  <si>
    <t>Christanti</t>
  </si>
  <si>
    <t>081215951574</t>
  </si>
  <si>
    <t>2607A084</t>
  </si>
  <si>
    <t>Tyas</t>
  </si>
  <si>
    <t>087815880399</t>
  </si>
  <si>
    <t>2607A085</t>
  </si>
  <si>
    <t>Azra Yasmin</t>
  </si>
  <si>
    <t>081370919897</t>
  </si>
  <si>
    <t>fu 28 agustus</t>
  </si>
  <si>
    <t>2607A086</t>
  </si>
  <si>
    <t>Novianti Nurniah</t>
  </si>
  <si>
    <t>082112952018</t>
  </si>
  <si>
    <t>2h1m djabal mt</t>
  </si>
  <si>
    <t>fu 3 agustus</t>
  </si>
  <si>
    <t>2607A087</t>
  </si>
  <si>
    <t>Comet</t>
  </si>
  <si>
    <t>08118820096</t>
  </si>
  <si>
    <t>2607A088</t>
  </si>
  <si>
    <t>Lindhuet</t>
  </si>
  <si>
    <t>082136993306</t>
  </si>
  <si>
    <t>fu 5 november</t>
  </si>
  <si>
    <t>2607A089</t>
  </si>
  <si>
    <t>louise nabila</t>
  </si>
  <si>
    <t>085713686220</t>
  </si>
  <si>
    <t>18/19 juli</t>
  </si>
  <si>
    <t>2607A090</t>
  </si>
  <si>
    <t>elies</t>
  </si>
  <si>
    <t>082117699364</t>
  </si>
  <si>
    <t>fu 27 Juli</t>
  </si>
  <si>
    <t>2607A091</t>
  </si>
  <si>
    <t>08133635580</t>
  </si>
  <si>
    <t>3h2m ot atau private</t>
  </si>
  <si>
    <t>24-26 Juli</t>
  </si>
  <si>
    <t>2607A092</t>
  </si>
  <si>
    <t>Yohana Alfine</t>
  </si>
  <si>
    <t>085133290757</t>
  </si>
  <si>
    <t>fu 18 Juli</t>
  </si>
  <si>
    <t>2607A093</t>
  </si>
  <si>
    <t>Andre Sihombing</t>
  </si>
  <si>
    <t>081808432801</t>
  </si>
  <si>
    <t>2607A094</t>
  </si>
  <si>
    <t>081392172151</t>
  </si>
  <si>
    <t>17-18 juli</t>
  </si>
  <si>
    <t>2607A095</t>
  </si>
  <si>
    <t>081287471173</t>
  </si>
  <si>
    <t>2607A096</t>
  </si>
  <si>
    <t>Rahmawati.nurf</t>
  </si>
  <si>
    <t>085524477985</t>
  </si>
  <si>
    <t>fu 25 november</t>
  </si>
  <si>
    <t>2607A097</t>
  </si>
  <si>
    <t>Abang Hafiz</t>
  </si>
  <si>
    <t>082198990220</t>
  </si>
  <si>
    <t>gada balasan, sdh fu</t>
  </si>
  <si>
    <t>2607A098</t>
  </si>
  <si>
    <t>Susy T</t>
  </si>
  <si>
    <t>085817439701</t>
  </si>
  <si>
    <t>2607A099</t>
  </si>
  <si>
    <t>085664539661</t>
  </si>
  <si>
    <t>ga jadi, tdk memberi alasan</t>
  </si>
  <si>
    <t>2607A100</t>
  </si>
  <si>
    <t>Suyati Edisun</t>
  </si>
  <si>
    <t>08158845650</t>
  </si>
  <si>
    <t>Juli/Agustus</t>
  </si>
  <si>
    <t>fu 27 juli</t>
  </si>
  <si>
    <t>2607H024</t>
  </si>
  <si>
    <t>Ingrid</t>
  </si>
  <si>
    <t>081311041396</t>
  </si>
  <si>
    <t>tiket liburan mahal lebih murah ke bali</t>
  </si>
  <si>
    <t>2607H025</t>
  </si>
  <si>
    <t>Maya</t>
  </si>
  <si>
    <t>081219107234</t>
  </si>
  <si>
    <t>2d1m custome</t>
  </si>
  <si>
    <t>FU 20 Agustus</t>
  </si>
  <si>
    <t>2607D087</t>
  </si>
  <si>
    <t>Noverio</t>
  </si>
  <si>
    <t>081336078001</t>
  </si>
  <si>
    <t>2607D088</t>
  </si>
  <si>
    <t>Notbudiharto</t>
  </si>
  <si>
    <t>082188981943</t>
  </si>
  <si>
    <t>menyapa</t>
  </si>
  <si>
    <t>2607D089</t>
  </si>
  <si>
    <t>Arini</t>
  </si>
  <si>
    <t>085648929168</t>
  </si>
  <si>
    <t>trip tabuhan</t>
  </si>
  <si>
    <t>2607D090</t>
  </si>
  <si>
    <t>Elvina Debora</t>
  </si>
  <si>
    <t>082211912128</t>
  </si>
  <si>
    <t>bulan agustus</t>
  </si>
  <si>
    <t>2607D091</t>
  </si>
  <si>
    <t>081285913069</t>
  </si>
  <si>
    <t>19 &amp; 21 Juli</t>
  </si>
  <si>
    <t>yess orrderr</t>
  </si>
  <si>
    <t>2607D092</t>
  </si>
  <si>
    <t>Yasmina</t>
  </si>
  <si>
    <t>082138580336</t>
  </si>
  <si>
    <t>tidak jadii menggunakan jasa travel</t>
  </si>
  <si>
    <t>2607D093</t>
  </si>
  <si>
    <t>Zalfaa Shine</t>
  </si>
  <si>
    <t>085117575763</t>
  </si>
  <si>
    <t>blum fiks jumlah peserta, FU 18 Juli</t>
  </si>
  <si>
    <t>2607D094</t>
  </si>
  <si>
    <t>Bagus Dwiatmojo</t>
  </si>
  <si>
    <t>081324051000</t>
  </si>
  <si>
    <t>tanya itinerary, FU 29 Juli</t>
  </si>
  <si>
    <t>2607D095</t>
  </si>
  <si>
    <t>Alfiyyah</t>
  </si>
  <si>
    <t>085959745670</t>
  </si>
  <si>
    <t>OT TI, OT baluran</t>
  </si>
  <si>
    <t>fu terakhir</t>
  </si>
  <si>
    <t>2607D096</t>
  </si>
  <si>
    <t>baru menyapa, FU 2 Agustus</t>
  </si>
  <si>
    <t>2607D097</t>
  </si>
  <si>
    <t>tanya dokumentasi, FU 31 Juli</t>
  </si>
  <si>
    <t>2607D098</t>
  </si>
  <si>
    <t>Beya</t>
  </si>
  <si>
    <t>082258521629</t>
  </si>
  <si>
    <t>FU 30 juli</t>
  </si>
  <si>
    <t>2607D099</t>
  </si>
  <si>
    <t>081328836284</t>
  </si>
  <si>
    <t>menyapa, FU 30 juli</t>
  </si>
  <si>
    <t>2607D100</t>
  </si>
  <si>
    <t>Feby Aris</t>
  </si>
  <si>
    <t>0895387144111</t>
  </si>
  <si>
    <t>FU 12 Agustus</t>
  </si>
  <si>
    <t>2607D101</t>
  </si>
  <si>
    <t>085780969178</t>
  </si>
  <si>
    <t>2607D102</t>
  </si>
  <si>
    <t>Nadine Gracella</t>
  </si>
  <si>
    <t>081110037711</t>
  </si>
  <si>
    <t>gajadi trip, next timee</t>
  </si>
  <si>
    <t>1607D103</t>
  </si>
  <si>
    <t>Huda</t>
  </si>
  <si>
    <t>6737414481</t>
  </si>
  <si>
    <t>trip kawah Ijen</t>
  </si>
  <si>
    <t>2607D104</t>
  </si>
  <si>
    <t>Eka Sari</t>
  </si>
  <si>
    <t>082157070962</t>
  </si>
  <si>
    <t>nunggu jadwal cuti, FU 14 Agustus</t>
  </si>
  <si>
    <t>2607D105</t>
  </si>
  <si>
    <t>081234835990</t>
  </si>
  <si>
    <t>minta di FU 31 Juli</t>
  </si>
  <si>
    <t>2607D106</t>
  </si>
  <si>
    <t>Venda</t>
  </si>
  <si>
    <t>081254704910</t>
  </si>
  <si>
    <t xml:space="preserve">OT Djbal, MT </t>
  </si>
  <si>
    <t>cancell, blm jadi trip</t>
  </si>
  <si>
    <t>2607A101</t>
  </si>
  <si>
    <t>Liam Donohae</t>
  </si>
  <si>
    <t>61417252421</t>
  </si>
  <si>
    <t>ot mt dan pvt ijen</t>
  </si>
  <si>
    <t>17 dan 18 juni</t>
  </si>
  <si>
    <t>2607D107</t>
  </si>
  <si>
    <t>Kak Mei</t>
  </si>
  <si>
    <t>08133369900</t>
  </si>
  <si>
    <t xml:space="preserve">OT MT  </t>
  </si>
  <si>
    <t>2607D108</t>
  </si>
  <si>
    <t>Ali Juwaidi</t>
  </si>
  <si>
    <t>081252217698</t>
  </si>
  <si>
    <t>2607A102</t>
  </si>
  <si>
    <t>Melan</t>
  </si>
  <si>
    <t>08111563390</t>
  </si>
  <si>
    <t>26-28 agustus</t>
  </si>
  <si>
    <t>fu 30 juli</t>
  </si>
  <si>
    <t>2607A103</t>
  </si>
  <si>
    <t>Jenny Susmita Susilo</t>
  </si>
  <si>
    <t>08126647030</t>
  </si>
  <si>
    <t>2607A104</t>
  </si>
  <si>
    <t>Del</t>
  </si>
  <si>
    <t>2607A105</t>
  </si>
  <si>
    <t>Ali Juwaidi ABdullah</t>
  </si>
  <si>
    <t>deal di mbak dela</t>
  </si>
  <si>
    <t>2607D109</t>
  </si>
  <si>
    <t>Shalma Anggia</t>
  </si>
  <si>
    <t>082122226660</t>
  </si>
  <si>
    <t>2607A106</t>
  </si>
  <si>
    <t>Sindi Monica</t>
  </si>
  <si>
    <t>081111815532</t>
  </si>
  <si>
    <t xml:space="preserve">fu 4 agustus </t>
  </si>
  <si>
    <t>2607D110</t>
  </si>
  <si>
    <t>Yonna Agustin</t>
  </si>
  <si>
    <t>087735368314</t>
  </si>
  <si>
    <t>2607D111</t>
  </si>
  <si>
    <t>Nada</t>
  </si>
  <si>
    <t>085774104208</t>
  </si>
  <si>
    <t>FU 3 agustus</t>
  </si>
  <si>
    <t>2607D112</t>
  </si>
  <si>
    <t xml:space="preserve">Villona </t>
  </si>
  <si>
    <t>085119991631</t>
  </si>
  <si>
    <t>2607D113</t>
  </si>
  <si>
    <t>James westcot</t>
  </si>
  <si>
    <t>447497851278</t>
  </si>
  <si>
    <t xml:space="preserve">kelewat tanggal tp tetep coba di FU </t>
  </si>
  <si>
    <t>2607A107</t>
  </si>
  <si>
    <t>Dhevy Ayuningrum</t>
  </si>
  <si>
    <t>083832561912</t>
  </si>
  <si>
    <t>2607A108</t>
  </si>
  <si>
    <t>Estu Putri</t>
  </si>
  <si>
    <t>081395096244</t>
  </si>
  <si>
    <t>2607A109</t>
  </si>
  <si>
    <t>085249058336</t>
  </si>
  <si>
    <t>2607A110</t>
  </si>
  <si>
    <t>Pauline Leolopulisa</t>
  </si>
  <si>
    <t>0818914220</t>
  </si>
  <si>
    <t>ga jadi ke bwi</t>
  </si>
  <si>
    <t>2607A111</t>
  </si>
  <si>
    <t>Aida S</t>
  </si>
  <si>
    <t>08992971712</t>
  </si>
  <si>
    <t>2-3 Agustus</t>
  </si>
  <si>
    <t>fu 29 juli</t>
  </si>
  <si>
    <t>2607A112</t>
  </si>
  <si>
    <t>082216649126</t>
  </si>
  <si>
    <t>oktober atau november</t>
  </si>
  <si>
    <t>2607D114</t>
  </si>
  <si>
    <t>Fiaa</t>
  </si>
  <si>
    <t>083847493564</t>
  </si>
  <si>
    <t>2607D115</t>
  </si>
  <si>
    <t>Sanchit Singhal</t>
  </si>
  <si>
    <t>919971188334</t>
  </si>
  <si>
    <t>rencana berubahh</t>
  </si>
  <si>
    <t>2607D116</t>
  </si>
  <si>
    <t>Aninda</t>
  </si>
  <si>
    <t>Data</t>
  </si>
  <si>
    <t>081393304508</t>
  </si>
  <si>
    <t>Request</t>
  </si>
  <si>
    <t xml:space="preserve">akhir tahun </t>
  </si>
  <si>
    <t>Notes</t>
  </si>
  <si>
    <t>GPT Result</t>
  </si>
  <si>
    <t>masih tanya2 untuk liburan akhir tahun, FU 5 oktober</t>
  </si>
  <si>
    <t>2607D117</t>
  </si>
  <si>
    <t>Column 1</t>
  </si>
  <si>
    <t>Zelda</t>
  </si>
  <si>
    <t>085695078150</t>
  </si>
  <si>
    <t>3H2M customre</t>
  </si>
  <si>
    <t>kirim penawaran, FU 22 Agustus</t>
  </si>
  <si>
    <t>2607D118</t>
  </si>
  <si>
    <t>Jopp</t>
  </si>
  <si>
    <t>0895402558037</t>
  </si>
  <si>
    <t>tanya OT underwater cave tidak ada</t>
  </si>
  <si>
    <t>2607H026</t>
  </si>
  <si>
    <t>Evi Melva</t>
  </si>
  <si>
    <t>081310040544</t>
  </si>
  <si>
    <t>FU  1 Agustus</t>
  </si>
  <si>
    <t>2607D119</t>
  </si>
  <si>
    <t>Yodi</t>
  </si>
  <si>
    <t>081389007558</t>
  </si>
  <si>
    <t>2607D120</t>
  </si>
  <si>
    <t>Aysa</t>
  </si>
  <si>
    <t>083113154413</t>
  </si>
  <si>
    <t>2607D121</t>
  </si>
  <si>
    <t>Aufa</t>
  </si>
  <si>
    <t>082143346756</t>
  </si>
  <si>
    <t>trip 2H1M custome</t>
  </si>
  <si>
    <t>dibalas "sebentar ya" FU 28 Juli</t>
  </si>
  <si>
    <t>2607D122</t>
  </si>
  <si>
    <t>Fely</t>
  </si>
  <si>
    <t>082141014839</t>
  </si>
  <si>
    <t>nanti dikabari lagi, FU 28 Juli</t>
  </si>
  <si>
    <t>2607D123</t>
  </si>
  <si>
    <t>Rika Nurhasanah</t>
  </si>
  <si>
    <t>08122234877</t>
  </si>
  <si>
    <t>masih milih antara opsi a/b, FU 1 Agustus</t>
  </si>
  <si>
    <t>2607D124</t>
  </si>
  <si>
    <t>Bella</t>
  </si>
  <si>
    <t>085257316858</t>
  </si>
  <si>
    <t>Agustus/september</t>
  </si>
  <si>
    <t>2607H027</t>
  </si>
  <si>
    <t>Risma</t>
  </si>
  <si>
    <t>085255829904</t>
  </si>
  <si>
    <t>Pulau merah</t>
  </si>
  <si>
    <t>gagal tidak dapat cuti</t>
  </si>
  <si>
    <t>2607A113</t>
  </si>
  <si>
    <t>Tabitha</t>
  </si>
  <si>
    <t>087898652273</t>
  </si>
  <si>
    <t>Kawah Ijen</t>
  </si>
  <si>
    <t>2607A114</t>
  </si>
  <si>
    <t>Angel Ginting</t>
  </si>
  <si>
    <t>081285924668</t>
  </si>
  <si>
    <t>tdk sesuai budget dan rencana</t>
  </si>
  <si>
    <t>2607A115</t>
  </si>
  <si>
    <t>Rani Advokat</t>
  </si>
  <si>
    <t>082112809533</t>
  </si>
  <si>
    <t>bulan depan</t>
  </si>
  <si>
    <t>fu 30 Juli</t>
  </si>
  <si>
    <t>2607A116</t>
  </si>
  <si>
    <t>Hani</t>
  </si>
  <si>
    <t>081294961561</t>
  </si>
  <si>
    <t>4h3m custom</t>
  </si>
  <si>
    <t>2607H028</t>
  </si>
  <si>
    <t>Ardiyan</t>
  </si>
  <si>
    <t>085217053581</t>
  </si>
  <si>
    <t>3h2m paket A</t>
  </si>
  <si>
    <t>2607H029</t>
  </si>
  <si>
    <t>Wuannjean</t>
  </si>
  <si>
    <t>8613881908296</t>
  </si>
  <si>
    <t>bromo ijen</t>
  </si>
  <si>
    <t>2607A117</t>
  </si>
  <si>
    <t>082211161338</t>
  </si>
  <si>
    <t>fu 16 Oktobber</t>
  </si>
  <si>
    <t>2607D125</t>
  </si>
  <si>
    <t>Aldi</t>
  </si>
  <si>
    <t>089522536700</t>
  </si>
  <si>
    <t>2607D126</t>
  </si>
  <si>
    <t>Zhang</t>
  </si>
  <si>
    <t>8617356571098</t>
  </si>
  <si>
    <t>OT MT WNA</t>
  </si>
  <si>
    <t>2607D127</t>
  </si>
  <si>
    <t>Mutmainah</t>
  </si>
  <si>
    <t>081329340619</t>
  </si>
  <si>
    <t>orderrr, teman ilmi ahmad</t>
  </si>
  <si>
    <t>2607D128</t>
  </si>
  <si>
    <t>Nadya Alda</t>
  </si>
  <si>
    <t>081273136571</t>
  </si>
  <si>
    <t>2607D129</t>
  </si>
  <si>
    <t>ilmi Ahmad</t>
  </si>
  <si>
    <t>088232149794</t>
  </si>
  <si>
    <t>yesss orrderr</t>
  </si>
  <si>
    <t>2607A118</t>
  </si>
  <si>
    <t>081314046102</t>
  </si>
  <si>
    <t>2607H030</t>
  </si>
  <si>
    <t>Nenny</t>
  </si>
  <si>
    <t>081296991900</t>
  </si>
  <si>
    <t>2607H031</t>
  </si>
  <si>
    <t>Sulfa Fitriani Lamunuhia</t>
  </si>
  <si>
    <t>085287322501</t>
  </si>
  <si>
    <t>2607A119</t>
  </si>
  <si>
    <t>Grasella</t>
  </si>
  <si>
    <t>081333539750</t>
  </si>
  <si>
    <t>2607H032</t>
  </si>
  <si>
    <t>Rico</t>
  </si>
  <si>
    <t>081317747818</t>
  </si>
  <si>
    <t>kawah ijen, kawah wurung, TN baluran</t>
  </si>
  <si>
    <t>2607A120</t>
  </si>
  <si>
    <t>Yudha</t>
  </si>
  <si>
    <t>081578704112</t>
  </si>
  <si>
    <t>2607A121</t>
  </si>
  <si>
    <t>087888218814</t>
  </si>
  <si>
    <t>2607A122</t>
  </si>
  <si>
    <t>Brian</t>
  </si>
  <si>
    <t>081234544110</t>
  </si>
  <si>
    <t>2h1m paketan 1 day trip</t>
  </si>
  <si>
    <t>21-22 Agustus</t>
  </si>
  <si>
    <t>2607D130</t>
  </si>
  <si>
    <t>Lala</t>
  </si>
  <si>
    <t>081331632269</t>
  </si>
  <si>
    <t>2607A123</t>
  </si>
  <si>
    <t>1 day baluran</t>
  </si>
  <si>
    <t>2607A124</t>
  </si>
  <si>
    <t>Santoso</t>
  </si>
  <si>
    <t>082228987734</t>
  </si>
  <si>
    <t>green island, djawatan</t>
  </si>
  <si>
    <t>2607A125</t>
  </si>
  <si>
    <t>Dewi Kumalasari</t>
  </si>
  <si>
    <t>081393048488</t>
  </si>
  <si>
    <t>fu 23 juli</t>
  </si>
  <si>
    <t>2607A126</t>
  </si>
  <si>
    <t>085191202656</t>
  </si>
  <si>
    <t>fu 28 Juli</t>
  </si>
  <si>
    <t>2607A127</t>
  </si>
  <si>
    <t>Ulfah</t>
  </si>
  <si>
    <t>085790757388</t>
  </si>
  <si>
    <t>ot djawatan baluran, ot kawah ijen</t>
  </si>
  <si>
    <t>2607A128</t>
  </si>
  <si>
    <t>Rihma</t>
  </si>
  <si>
    <t>087873048893</t>
  </si>
  <si>
    <t>2607A129</t>
  </si>
  <si>
    <t>Andy Regan</t>
  </si>
  <si>
    <t>085692676171</t>
  </si>
  <si>
    <t>ot menjangan tabuhan, ot ijen</t>
  </si>
  <si>
    <t>2607H033</t>
  </si>
  <si>
    <t>Vanvan</t>
  </si>
  <si>
    <t>085813318881</t>
  </si>
  <si>
    <t>agustus/ september</t>
  </si>
  <si>
    <t>fu 20 Agustus</t>
  </si>
  <si>
    <t>2607D131</t>
  </si>
  <si>
    <t>Jochebed Loekita</t>
  </si>
  <si>
    <t>081958060393</t>
  </si>
  <si>
    <t>masih pilih destinasi, nanti dikabarin</t>
  </si>
  <si>
    <t>2607D132</t>
  </si>
  <si>
    <t>Caruban Nagari</t>
  </si>
  <si>
    <t>089653444969</t>
  </si>
  <si>
    <t xml:space="preserve">baru tanya pricelist </t>
  </si>
  <si>
    <t>2607D133</t>
  </si>
  <si>
    <t>DRS</t>
  </si>
  <si>
    <t>belum fiks pilih trip yg mana, Fu 30 Juli</t>
  </si>
  <si>
    <t>2607D134</t>
  </si>
  <si>
    <t>Dafina</t>
  </si>
  <si>
    <t>085885225093</t>
  </si>
  <si>
    <t>2607D135</t>
  </si>
  <si>
    <t>Shamanth</t>
  </si>
  <si>
    <t>917026255919</t>
  </si>
  <si>
    <t>2607D136</t>
  </si>
  <si>
    <t>No name 52</t>
  </si>
  <si>
    <t>082134254303</t>
  </si>
  <si>
    <t>tanya trip ranukumbolo, gabisaa yaa</t>
  </si>
  <si>
    <t>2607D137</t>
  </si>
  <si>
    <t>Cici Amel</t>
  </si>
  <si>
    <t>08175117575</t>
  </si>
  <si>
    <t>2607D138</t>
  </si>
  <si>
    <t>MA</t>
  </si>
  <si>
    <t>0812686493961</t>
  </si>
  <si>
    <t>2607D139</t>
  </si>
  <si>
    <t>Dara Cikal SBY</t>
  </si>
  <si>
    <t>089621717553</t>
  </si>
  <si>
    <t>Repeat orderr, nunggu info selanjutnya</t>
  </si>
  <si>
    <t>2607D140</t>
  </si>
  <si>
    <t>Dhea</t>
  </si>
  <si>
    <t>082289702401</t>
  </si>
  <si>
    <t>30-50</t>
  </si>
  <si>
    <t>2607D141</t>
  </si>
  <si>
    <t>Shafa Qurratul</t>
  </si>
  <si>
    <t>089513353871</t>
  </si>
  <si>
    <t>1 day trip GI, Bedil, PM</t>
  </si>
  <si>
    <t>gagall, lewat tgl uda di FU gabaless</t>
  </si>
  <si>
    <t>2607D142</t>
  </si>
  <si>
    <t>ilham</t>
  </si>
  <si>
    <t>081809536606</t>
  </si>
  <si>
    <t>belum balas lagi, FU 31 Juli</t>
  </si>
  <si>
    <t>2607D143</t>
  </si>
  <si>
    <t>Aditya Pratama</t>
  </si>
  <si>
    <t>087716387014</t>
  </si>
  <si>
    <t>2607D144</t>
  </si>
  <si>
    <t>Rahmanisa</t>
  </si>
  <si>
    <t>082269228104</t>
  </si>
  <si>
    <t>trip Kawah Ijen</t>
  </si>
  <si>
    <t>dilanjut komunikasi dengan temannya</t>
  </si>
  <si>
    <t>2607D145</t>
  </si>
  <si>
    <t>Lil f4th</t>
  </si>
  <si>
    <t>085746008752</t>
  </si>
  <si>
    <t>Januari tahun 2027</t>
  </si>
  <si>
    <t>penyesuaian</t>
  </si>
  <si>
    <t>2607H034</t>
  </si>
  <si>
    <t>Sorta</t>
  </si>
  <si>
    <t>08116197505</t>
  </si>
  <si>
    <t>2607D146</t>
  </si>
  <si>
    <t>Aan Mardiah</t>
  </si>
  <si>
    <t>082121804806</t>
  </si>
  <si>
    <t>tanggal nya blm tau, FU 5 Agustus</t>
  </si>
  <si>
    <t>2607D147</t>
  </si>
  <si>
    <t>Sekarayu Pancawitri</t>
  </si>
  <si>
    <t>081225619832</t>
  </si>
  <si>
    <t>blm balas lagi, FU 29 Juli</t>
  </si>
  <si>
    <t>2607D148</t>
  </si>
  <si>
    <t>Irena</t>
  </si>
  <si>
    <t>085782678308</t>
  </si>
  <si>
    <t>2607D149</t>
  </si>
  <si>
    <t>Amelia Defita</t>
  </si>
  <si>
    <t>082328288883</t>
  </si>
  <si>
    <t>2607D150</t>
  </si>
  <si>
    <t>Akbar</t>
  </si>
  <si>
    <t>081331197707</t>
  </si>
  <si>
    <t>Private Trip Sunrise</t>
  </si>
  <si>
    <t>2607D151</t>
  </si>
  <si>
    <t>F</t>
  </si>
  <si>
    <t>0895365294504</t>
  </si>
  <si>
    <t>2607D152</t>
  </si>
  <si>
    <t>Nisss</t>
  </si>
  <si>
    <t>0895366615340</t>
  </si>
  <si>
    <t>belum tau tanggalnya, FU 30 Juli</t>
  </si>
  <si>
    <t>2697D153</t>
  </si>
  <si>
    <t>Aldy Yolan</t>
  </si>
  <si>
    <t>0812170902171</t>
  </si>
  <si>
    <t>2607D154</t>
  </si>
  <si>
    <t>Ersa</t>
  </si>
  <si>
    <t>085791257922</t>
  </si>
  <si>
    <t>2607H035</t>
  </si>
  <si>
    <t>Windi</t>
  </si>
  <si>
    <t>081199893689</t>
  </si>
  <si>
    <t>2607H036</t>
  </si>
  <si>
    <t>Riany Mutiara</t>
  </si>
  <si>
    <t>0818190878</t>
  </si>
  <si>
    <t>Ijen, Baluran</t>
  </si>
  <si>
    <t>FU 26 Agustus</t>
  </si>
  <si>
    <t>Aghna</t>
  </si>
  <si>
    <t>081237607801</t>
  </si>
  <si>
    <t>belum balas lagi, FU 30 Juli</t>
  </si>
  <si>
    <t>2607D155</t>
  </si>
  <si>
    <t xml:space="preserve">Alief </t>
  </si>
  <si>
    <t>085156392515</t>
  </si>
  <si>
    <t>OT MT, OT Djabal</t>
  </si>
  <si>
    <t>2607D156</t>
  </si>
  <si>
    <t>082339610400</t>
  </si>
  <si>
    <t>Private Tabuhan</t>
  </si>
  <si>
    <t>2607D157</t>
  </si>
  <si>
    <t>Lala Kantari</t>
  </si>
  <si>
    <t>082131717909</t>
  </si>
  <si>
    <t>2607A130</t>
  </si>
  <si>
    <t>Mochammad Rifqy</t>
  </si>
  <si>
    <t>081233361003</t>
  </si>
  <si>
    <t>2607A131</t>
  </si>
  <si>
    <t>Dedy Simon</t>
  </si>
  <si>
    <t>085865559424</t>
  </si>
  <si>
    <t>30 juli - 1 agustus</t>
  </si>
  <si>
    <t>2607D158</t>
  </si>
  <si>
    <t>085649775489</t>
  </si>
  <si>
    <t>OT Djabal, OT GI</t>
  </si>
  <si>
    <t>2607D159</t>
  </si>
  <si>
    <t>Natadelecoco</t>
  </si>
  <si>
    <t>0895800133618</t>
  </si>
  <si>
    <t>2607A132</t>
  </si>
  <si>
    <t>Susan</t>
  </si>
  <si>
    <t>081211966196</t>
  </si>
  <si>
    <t>2607A133</t>
  </si>
  <si>
    <t>Yosef Julius Kevin</t>
  </si>
  <si>
    <t>085924525225</t>
  </si>
  <si>
    <t>2607A134</t>
  </si>
  <si>
    <t>Astuti Istiningsih</t>
  </si>
  <si>
    <t>085865549483</t>
  </si>
  <si>
    <t>2607D160</t>
  </si>
  <si>
    <t xml:space="preserve">Valentino Teguh </t>
  </si>
  <si>
    <t>081246073008</t>
  </si>
  <si>
    <t>2607D161</t>
  </si>
  <si>
    <t>Ncip</t>
  </si>
  <si>
    <t>081214870020</t>
  </si>
  <si>
    <t>2607D162</t>
  </si>
  <si>
    <t xml:space="preserve">Febi </t>
  </si>
  <si>
    <t>08113944456</t>
  </si>
  <si>
    <t>OT Djbal, Ijen</t>
  </si>
  <si>
    <t>masih perbandingan antara OT/PT, FU 29 Juli</t>
  </si>
  <si>
    <t>2607H037</t>
  </si>
  <si>
    <t>Galih Prasetyo</t>
  </si>
  <si>
    <t>081211669667</t>
  </si>
  <si>
    <t>Hiace Bali Banyuwangi</t>
  </si>
  <si>
    <t>2607H038</t>
  </si>
  <si>
    <t>Nina Husniah</t>
  </si>
  <si>
    <t>085945485608</t>
  </si>
  <si>
    <t>2607H039</t>
  </si>
  <si>
    <t>Cyntia Elita</t>
  </si>
  <si>
    <t>081314586313</t>
  </si>
  <si>
    <t>2607D163</t>
  </si>
  <si>
    <t>Vega</t>
  </si>
  <si>
    <t>081219148054</t>
  </si>
  <si>
    <t>2607D164</t>
  </si>
  <si>
    <t>Kak.Hay</t>
  </si>
  <si>
    <t>082111426857</t>
  </si>
  <si>
    <t>2607A135</t>
  </si>
  <si>
    <t>Wilo / Graciatri</t>
  </si>
  <si>
    <t>087871797151</t>
  </si>
  <si>
    <t>2607H040</t>
  </si>
  <si>
    <t>Zulkaif</t>
  </si>
  <si>
    <t>923465376582</t>
  </si>
  <si>
    <t>2607H041</t>
  </si>
  <si>
    <t>Khan</t>
  </si>
  <si>
    <t>082318029504</t>
  </si>
  <si>
    <t>4607H042</t>
  </si>
  <si>
    <t>Lestariwika</t>
  </si>
  <si>
    <t>087821793262</t>
  </si>
  <si>
    <t>2607H043</t>
  </si>
  <si>
    <t>Yuri Shizcha</t>
  </si>
  <si>
    <t>082298566223</t>
  </si>
  <si>
    <t>8-9 september</t>
  </si>
  <si>
    <t>2607A136</t>
  </si>
  <si>
    <t>Ananda Akbar</t>
  </si>
  <si>
    <t>081313588468</t>
  </si>
  <si>
    <t>2607A137</t>
  </si>
  <si>
    <t>Mita Septiani</t>
  </si>
  <si>
    <t>085283226164</t>
  </si>
  <si>
    <t>2607A138</t>
  </si>
  <si>
    <t>Eka Annisa</t>
  </si>
  <si>
    <t>085814145826</t>
  </si>
  <si>
    <t>2607A139</t>
  </si>
  <si>
    <t>Febrina Nanda Arviani</t>
  </si>
  <si>
    <t>085643364720</t>
  </si>
  <si>
    <t>2607A140</t>
  </si>
  <si>
    <t>Elvi Dwi Yunitasari</t>
  </si>
  <si>
    <t>0895366571911</t>
  </si>
  <si>
    <t>2607A141</t>
  </si>
  <si>
    <t>Izmaa</t>
  </si>
  <si>
    <t>081909392890</t>
  </si>
  <si>
    <t>2607A142</t>
  </si>
  <si>
    <t>Ina</t>
  </si>
  <si>
    <t>085921732936</t>
  </si>
  <si>
    <t>2607A143</t>
  </si>
  <si>
    <t>Nadra</t>
  </si>
  <si>
    <t>081218670190</t>
  </si>
  <si>
    <t>2607H044</t>
  </si>
  <si>
    <t>087879068834</t>
  </si>
  <si>
    <t>Private trip 2H1M</t>
  </si>
  <si>
    <t>fu 5 Agustus</t>
  </si>
  <si>
    <t>2607H045</t>
  </si>
  <si>
    <t>Putrisastra</t>
  </si>
  <si>
    <t>08881868324</t>
  </si>
  <si>
    <t>2607H046</t>
  </si>
  <si>
    <t>Dewi Ningtyas</t>
  </si>
  <si>
    <t>085742774705</t>
  </si>
  <si>
    <t>OT Djawatan, Green Island</t>
  </si>
  <si>
    <t>14-15 Agustus</t>
  </si>
  <si>
    <t>2607D165</t>
  </si>
  <si>
    <t>Shella Trishel</t>
  </si>
  <si>
    <t>085747300036</t>
  </si>
  <si>
    <t>trip 1 day Baluran</t>
  </si>
  <si>
    <t>2607D166</t>
  </si>
  <si>
    <t>Rizkia Puri</t>
  </si>
  <si>
    <t>081229463055</t>
  </si>
  <si>
    <t>2607D167</t>
  </si>
  <si>
    <t>WNA Inggris</t>
  </si>
  <si>
    <t>447494034531</t>
  </si>
  <si>
    <t>FU 14 Agustus</t>
  </si>
  <si>
    <t>2607D168</t>
  </si>
  <si>
    <t>Intan Wulansari</t>
  </si>
  <si>
    <t>08589202869</t>
  </si>
  <si>
    <t>2607D169</t>
  </si>
  <si>
    <t>Azizah</t>
  </si>
  <si>
    <t>085289410324</t>
  </si>
  <si>
    <t>blm balas lagi, FU 30 Juli</t>
  </si>
  <si>
    <t>2607D170</t>
  </si>
  <si>
    <t>Intan Barus</t>
  </si>
  <si>
    <t>085211734314</t>
  </si>
  <si>
    <t>2607D171</t>
  </si>
  <si>
    <t xml:space="preserve">Nadia Amelia </t>
  </si>
  <si>
    <t>08192165504</t>
  </si>
  <si>
    <t>2607D172</t>
  </si>
  <si>
    <t>Andre Januar Mulya</t>
  </si>
  <si>
    <t>081519844165</t>
  </si>
  <si>
    <t>trip custome</t>
  </si>
  <si>
    <t>sudah kirim penawaran, FU 21 Agustus</t>
  </si>
  <si>
    <t>2607D173</t>
  </si>
  <si>
    <t>Zahra Athallah</t>
  </si>
  <si>
    <t>081286968037</t>
  </si>
  <si>
    <t>2607D174</t>
  </si>
  <si>
    <t>Ridha Fatmasari</t>
  </si>
  <si>
    <t>085225230819</t>
  </si>
  <si>
    <t>2807H047</t>
  </si>
  <si>
    <t>08811388172</t>
  </si>
  <si>
    <t>2807H048</t>
  </si>
  <si>
    <t>Uliana</t>
  </si>
  <si>
    <t>08176744907</t>
  </si>
  <si>
    <t>2607A144</t>
  </si>
  <si>
    <t>Ria Pradita</t>
  </si>
  <si>
    <t>082210031502</t>
  </si>
  <si>
    <t>ot menjangan tabuhann</t>
  </si>
  <si>
    <t/>
  </si>
  <si>
    <t>JUMLAH LEADS</t>
  </si>
  <si>
    <t>WEBSITE</t>
  </si>
  <si>
    <t>INSTAGRAM</t>
  </si>
  <si>
    <t>TIKTOK</t>
  </si>
  <si>
    <t>REKOMENDASI</t>
  </si>
  <si>
    <t>LAINNYA</t>
  </si>
  <si>
    <t>DELA</t>
  </si>
  <si>
    <t>ALVIN</t>
  </si>
  <si>
    <t>HOLIDAY</t>
  </si>
  <si>
    <t>B</t>
  </si>
  <si>
    <t>C</t>
  </si>
  <si>
    <t>D</t>
  </si>
  <si>
    <t>G</t>
  </si>
  <si>
    <t>H</t>
  </si>
  <si>
    <t>I</t>
  </si>
  <si>
    <t>Total Leads</t>
  </si>
  <si>
    <t>Total Closing</t>
  </si>
  <si>
    <t>Convertion Rate</t>
  </si>
  <si>
    <t>Revenue (Closing)</t>
  </si>
  <si>
    <t>Revenue (Potential)</t>
  </si>
  <si>
    <t>Revenue (Lost)</t>
  </si>
  <si>
    <t>PIPELINE</t>
  </si>
  <si>
    <t>New Leads</t>
  </si>
  <si>
    <t>Proses</t>
  </si>
  <si>
    <t>LEADERBOARD</t>
  </si>
  <si>
    <t>TOTAL LEADS</t>
  </si>
  <si>
    <t>CLOSING</t>
  </si>
  <si>
    <t>CONV RATE</t>
  </si>
  <si>
    <t>AVG DEAL VALUE</t>
  </si>
  <si>
    <t>TOTAL REVENUE</t>
  </si>
  <si>
    <t>MARKETING SOURCE</t>
  </si>
  <si>
    <t>PILIH BULAN &amp; TAHUN ➡️</t>
  </si>
  <si>
    <t>Senin</t>
  </si>
  <si>
    <t>Selasa</t>
  </si>
  <si>
    <t>Rabu</t>
  </si>
  <si>
    <t>Kamis</t>
  </si>
  <si>
    <t>Jumat</t>
  </si>
  <si>
    <t>Sabtu</t>
  </si>
  <si>
    <t>Minggu</t>
  </si>
  <si>
    <t>AGEN / PIC</t>
  </si>
  <si>
    <t>SUMBER</t>
  </si>
  <si>
    <t>JUMLAH</t>
  </si>
  <si>
    <t>Rekom</t>
  </si>
  <si>
    <t>TOTAL</t>
  </si>
  <si>
    <t>Leads Aktif</t>
  </si>
  <si>
    <t>Closing Rate</t>
  </si>
  <si>
    <t>Failure Rate</t>
  </si>
  <si>
    <t>REVENUE (CLOSING)</t>
  </si>
  <si>
    <t>REVENUE (POTENTIAL)</t>
  </si>
  <si>
    <t>REVENUE (LOST)</t>
  </si>
  <si>
    <t>HEADLINE STATS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</si>
</sst>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dd&quot;/&quot;mm&quot;/&quot;yy"/>
    <numFmt numFmtId="165" formatCode="[$Rp]#,##0"/>
    <numFmt numFmtId="166" formatCode="d/MM/yyyy"/>
    <numFmt numFmtId="167" formatCode="dd/MM/yyyy"/>
    <numFmt numFmtId="168" formatCode="d mmm"/>
    <numFmt numFmtId="169" formatCode="d mmmm"/>
    <numFmt numFmtId="170" formatCode="dd/mm/yy"/>
    <numFmt numFmtId="171" formatCode="mmmm yyyy"/>
    <numFmt numFmtId="172" formatCode="dd mmmm"/>
    <numFmt numFmtId="173" formatCode="d mmmyyyy"/>
    <numFmt numFmtId="174" formatCode="d-m"/>
    <numFmt numFmtId="175" formatCode="d mmmm yyyy"/>
    <numFmt numFmtId="176" formatCode="mm/dd/yy"/>
    <numFmt numFmtId="177" formatCode="dd mm"/>
    <numFmt numFmtId="178" formatCode="d/m"/>
    <numFmt numFmtId="179" formatCode="d mmmm yy"/>
    <numFmt numFmtId="180" formatCode="dmmmm"/>
    <numFmt numFmtId="181" formatCode="0.0%"/>
    <numFmt numFmtId="182" formatCode="&quot;Rp&quot;#,##0"/>
    <numFmt numFmtId="183" formatCode="&quot; &quot;mmmm&quot; [&quot;dd&quot;]&quot;"/>
    <numFmt numFmtId="184" formatCode="&quot;Jumlah Leads:&quot;* 0"/>
    <numFmt numFmtId="185" formatCode="[Blue]▲ #,##0; [Red]▼ #,##0; [Black]▬ 0"/>
    <numFmt numFmtId="186" formatCode="&quot;: &quot;0,0%"/>
  </numFmts>
  <fonts count="44">
    <font>
      <sz val="10.0"/>
      <color rgb="FF000000"/>
      <name val="Arial"/>
      <scheme val="minor"/>
    </font>
    <font>
      <b/>
      <color rgb="FFFFFFFF"/>
      <name val="Arial"/>
    </font>
    <font>
      <b/>
      <sz val="10.0"/>
      <color rgb="FFFFFFFF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>
      <color rgb="FF000000"/>
      <name val="Arial"/>
    </font>
    <font>
      <u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b/>
      <color theme="1"/>
      <name val="Arial"/>
    </font>
    <font>
      <u/>
      <sz val="10.0"/>
      <color rgb="FF0000FF"/>
    </font>
    <font>
      <u/>
      <sz val="10.0"/>
      <color rgb="FF0000FF"/>
      <name val="Arial"/>
    </font>
    <font>
      <u/>
      <sz val="10.0"/>
      <color rgb="FF0000FF"/>
    </font>
    <font>
      <u/>
      <color rgb="FF0000FF"/>
      <name val="Arial"/>
    </font>
    <font>
      <u/>
      <color rgb="FF0000FF"/>
      <name val="Arial"/>
    </font>
    <font>
      <b/>
      <sz val="15.0"/>
      <color rgb="FFF46524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</font>
    <font>
      <b/>
      <sz val="10.0"/>
      <color rgb="FFFFFFFF"/>
      <name val="Arial"/>
      <scheme val="minor"/>
    </font>
    <font/>
    <font>
      <b/>
      <sz val="13.0"/>
      <color theme="1"/>
      <name val="Arial"/>
      <scheme val="minor"/>
    </font>
    <font>
      <sz val="12.0"/>
      <color rgb="FF000000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color rgb="FFF46524"/>
      <name val="Arial"/>
      <scheme val="minor"/>
    </font>
    <font>
      <sz val="8.0"/>
      <color theme="1"/>
      <name val="Arial"/>
      <scheme val="minor"/>
    </font>
    <font>
      <b/>
      <color rgb="FF000000"/>
      <name val="Arial"/>
      <scheme val="minor"/>
    </font>
    <font>
      <u/>
      <color rgb="FF0000FF"/>
    </font>
    <font>
      <b/>
      <sz val="14.0"/>
      <color theme="1"/>
      <name val="Arial"/>
      <scheme val="minor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3F4F6"/>
        <bgColor rgb="FFF3F4F6"/>
      </patternFill>
    </fill>
    <fill>
      <patternFill patternType="solid">
        <fgColor rgb="FFFFEDE0"/>
        <bgColor rgb="FFFFEDE0"/>
      </patternFill>
    </fill>
    <fill>
      <patternFill patternType="solid">
        <fgColor rgb="FFFFD6BE"/>
        <bgColor rgb="FFFFD6BE"/>
      </patternFill>
    </fill>
    <fill>
      <patternFill patternType="solid">
        <fgColor rgb="FFFFC2A1"/>
        <bgColor rgb="FFFFC2A1"/>
      </patternFill>
    </fill>
    <fill>
      <patternFill patternType="solid">
        <fgColor rgb="FFFFB088"/>
        <bgColor rgb="FFFFB088"/>
      </patternFill>
    </fill>
    <fill>
      <patternFill patternType="solid">
        <fgColor rgb="FFFF9A63"/>
        <bgColor rgb="FFFF9A63"/>
      </patternFill>
    </fill>
    <fill>
      <patternFill patternType="solid">
        <fgColor rgb="FFDCFCE7"/>
        <bgColor rgb="FFDCFCE7"/>
      </patternFill>
    </fill>
    <fill>
      <patternFill patternType="solid">
        <fgColor rgb="FFE5E7EB"/>
        <bgColor rgb="FFE5E7EB"/>
      </patternFill>
    </fill>
  </fills>
  <borders count="18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46524"/>
      </left>
      <top style="thin">
        <color rgb="FFF46524"/>
      </top>
      <bottom style="thin">
        <color rgb="FFF46524"/>
      </bottom>
    </border>
    <border>
      <right style="thin">
        <color rgb="FFF46524"/>
      </right>
      <top style="thin">
        <color rgb="FFF46524"/>
      </top>
      <bottom style="thin">
        <color rgb="FFF4652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vertical="bottom"/>
    </xf>
    <xf borderId="1" fillId="3" fontId="3" numFmtId="164" xfId="0" applyAlignment="1" applyBorder="1" applyFont="1" applyNumberFormat="1">
      <alignment vertical="bottom"/>
    </xf>
    <xf borderId="1" fillId="3" fontId="3" numFmtId="164" xfId="0" applyAlignment="1" applyBorder="1" applyFont="1" applyNumberFormat="1">
      <alignment horizontal="right" vertical="bottom"/>
    </xf>
    <xf borderId="1" fillId="3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3" fontId="3" numFmtId="166" xfId="0" applyAlignment="1" applyBorder="1" applyFont="1" applyNumberFormat="1">
      <alignment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right" vertical="bottom"/>
    </xf>
    <xf borderId="1" fillId="3" fontId="3" numFmtId="165" xfId="0" applyAlignment="1" applyBorder="1" applyFont="1" applyNumberFormat="1">
      <alignment readingOrder="0" vertical="bottom"/>
    </xf>
    <xf borderId="0" fillId="0" fontId="3" numFmtId="0" xfId="0" applyAlignment="1" applyFont="1">
      <alignment vertical="bottom"/>
    </xf>
    <xf borderId="1" fillId="4" fontId="3" numFmtId="164" xfId="0" applyAlignment="1" applyBorder="1" applyFill="1" applyFont="1" applyNumberFormat="1">
      <alignment vertical="bottom"/>
    </xf>
    <xf borderId="1" fillId="4" fontId="3" numFmtId="164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4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readingOrder="0" vertical="bottom"/>
    </xf>
    <xf borderId="1" fillId="4" fontId="3" numFmtId="166" xfId="0" applyAlignment="1" applyBorder="1" applyFont="1" applyNumberFormat="1">
      <alignment vertical="bottom"/>
    </xf>
    <xf borderId="1" fillId="4" fontId="3" numFmtId="49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1" fillId="3" fontId="3" numFmtId="166" xfId="0" applyAlignment="1" applyBorder="1" applyFont="1" applyNumberFormat="1">
      <alignment horizontal="right" vertical="bottom"/>
    </xf>
    <xf borderId="1" fillId="4" fontId="3" numFmtId="165" xfId="0" applyAlignment="1" applyBorder="1" applyFont="1" applyNumberFormat="1">
      <alignment vertical="bottom"/>
    </xf>
    <xf borderId="1" fillId="3" fontId="3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1" fillId="4" fontId="3" numFmtId="165" xfId="0" applyAlignment="1" applyBorder="1" applyFont="1" applyNumberForma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Font="1"/>
    <xf borderId="1" fillId="4" fontId="3" numFmtId="165" xfId="0" applyAlignment="1" applyBorder="1" applyFont="1" applyNumberFormat="1">
      <alignment readingOrder="0" vertical="bottom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readingOrder="0" shrinkToFit="0" vertical="center" wrapText="1"/>
    </xf>
    <xf borderId="3" fillId="0" fontId="0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vertical="bottom"/>
    </xf>
    <xf borderId="2" fillId="3" fontId="8" numFmtId="0" xfId="0" applyAlignment="1" applyBorder="1" applyFont="1">
      <alignment shrinkToFit="0" vertical="bottom" wrapText="0"/>
    </xf>
    <xf borderId="1" fillId="3" fontId="3" numFmtId="165" xfId="0" applyAlignment="1" applyBorder="1" applyFont="1" applyNumberFormat="1">
      <alignment vertical="bottom"/>
    </xf>
    <xf borderId="1" fillId="4" fontId="3" numFmtId="16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readingOrder="0" vertical="bottom"/>
    </xf>
    <xf borderId="0" fillId="4" fontId="3" numFmtId="0" xfId="0" applyAlignment="1" applyFont="1">
      <alignment vertical="bottom"/>
    </xf>
    <xf borderId="2" fillId="4" fontId="8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center"/>
    </xf>
    <xf borderId="1" fillId="3" fontId="3" numFmtId="165" xfId="0" applyAlignment="1" applyBorder="1" applyFont="1" applyNumberFormat="1">
      <alignment vertical="bottom"/>
    </xf>
    <xf borderId="3" fillId="0" fontId="4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/>
    </xf>
    <xf borderId="6" fillId="0" fontId="4" numFmtId="0" xfId="0" applyBorder="1" applyFont="1"/>
    <xf borderId="6" fillId="0" fontId="4" numFmtId="0" xfId="0" applyAlignment="1" applyBorder="1" applyFont="1">
      <alignment shrinkToFit="0" wrapText="1"/>
    </xf>
    <xf borderId="7" fillId="0" fontId="5" numFmtId="0" xfId="0" applyBorder="1" applyFont="1"/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2" fillId="0" fontId="5" numFmtId="0" xfId="0" applyBorder="1" applyFont="1"/>
    <xf borderId="8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readingOrder="0"/>
    </xf>
    <xf borderId="9" fillId="0" fontId="4" numFmtId="0" xfId="0" applyBorder="1" applyFont="1"/>
    <xf borderId="9" fillId="0" fontId="4" numFmtId="0" xfId="0" applyAlignment="1" applyBorder="1" applyFont="1">
      <alignment shrinkToFit="0" wrapText="1"/>
    </xf>
    <xf borderId="10" fillId="0" fontId="5" numFmtId="0" xfId="0" applyBorder="1" applyFont="1"/>
    <xf borderId="0" fillId="4" fontId="3" numFmtId="0" xfId="0" applyAlignment="1" applyFont="1">
      <alignment readingOrder="0" vertical="bottom"/>
    </xf>
    <xf borderId="1" fillId="3" fontId="3" numFmtId="0" xfId="0" applyAlignment="1" applyBorder="1" applyFont="1">
      <alignment readingOrder="0" vertical="bottom"/>
    </xf>
    <xf borderId="2" fillId="4" fontId="8" numFmtId="0" xfId="0" applyAlignment="1" applyBorder="1" applyFont="1">
      <alignment readingOrder="0" shrinkToFit="0" vertical="bottom" wrapText="0"/>
    </xf>
    <xf borderId="1" fillId="4" fontId="3" numFmtId="166" xfId="0" applyAlignment="1" applyBorder="1" applyFont="1" applyNumberFormat="1">
      <alignment readingOrder="0" vertical="bottom"/>
    </xf>
    <xf borderId="1" fillId="3" fontId="3" numFmtId="167" xfId="0" applyAlignment="1" applyBorder="1" applyFont="1" applyNumberFormat="1">
      <alignment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4" fontId="10" numFmtId="0" xfId="0" applyAlignment="1" applyBorder="1" applyFont="1">
      <alignment readingOrder="0" vertical="bottom"/>
    </xf>
    <xf borderId="1" fillId="3" fontId="3" numFmtId="168" xfId="0" applyAlignment="1" applyBorder="1" applyFont="1" applyNumberFormat="1">
      <alignment horizontal="right" vertical="bottom"/>
    </xf>
    <xf borderId="1" fillId="4" fontId="3" numFmtId="167" xfId="0" applyAlignment="1" applyBorder="1" applyFont="1" applyNumberFormat="1">
      <alignment vertical="bottom"/>
    </xf>
    <xf borderId="0" fillId="3" fontId="3" numFmtId="0" xfId="0" applyAlignment="1" applyFont="1">
      <alignment readingOrder="0" vertical="bottom"/>
    </xf>
    <xf borderId="2" fillId="3" fontId="8" numFmtId="0" xfId="0" applyAlignment="1" applyBorder="1" applyFont="1">
      <alignment readingOrder="0" shrinkToFit="0" vertical="bottom" wrapText="0"/>
    </xf>
    <xf borderId="2" fillId="3" fontId="11" numFmtId="0" xfId="0" applyAlignment="1" applyBorder="1" applyFont="1">
      <alignment readingOrder="0" shrinkToFit="0" vertical="bottom" wrapText="0"/>
    </xf>
    <xf borderId="1" fillId="4" fontId="12" numFmtId="0" xfId="0" applyAlignment="1" applyBorder="1" applyFont="1">
      <alignment vertical="bottom"/>
    </xf>
    <xf borderId="1" fillId="3" fontId="13" numFmtId="0" xfId="0" applyAlignment="1" applyBorder="1" applyFont="1">
      <alignment readingOrder="0" vertical="bottom"/>
    </xf>
    <xf borderId="1" fillId="4" fontId="3" numFmtId="49" xfId="0" applyAlignment="1" applyBorder="1" applyFont="1" applyNumberFormat="1">
      <alignment horizontal="center" readingOrder="0" vertical="bottom"/>
    </xf>
    <xf borderId="1" fillId="4" fontId="3" numFmtId="49" xfId="0" applyAlignment="1" applyBorder="1" applyFont="1" applyNumberFormat="1">
      <alignment horizontal="right" vertical="bottom"/>
    </xf>
    <xf borderId="1" fillId="4" fontId="3" numFmtId="49" xfId="0" applyAlignment="1" applyBorder="1" applyFont="1" applyNumberFormat="1">
      <alignment horizontal="right" readingOrder="0" vertical="bottom"/>
    </xf>
    <xf borderId="1" fillId="3" fontId="3" numFmtId="166" xfId="0" applyAlignment="1" applyBorder="1" applyFont="1" applyNumberFormat="1">
      <alignment readingOrder="0" vertical="bottom"/>
    </xf>
    <xf borderId="1" fillId="3" fontId="3" numFmtId="165" xfId="0" applyAlignment="1" applyBorder="1" applyFont="1" applyNumberFormat="1">
      <alignment readingOrder="0" vertical="bottom"/>
    </xf>
    <xf borderId="1" fillId="3" fontId="3" numFmtId="49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readingOrder="0" vertical="bottom"/>
    </xf>
    <xf borderId="1" fillId="3" fontId="3" numFmtId="164" xfId="0" applyAlignment="1" applyBorder="1" applyFont="1" applyNumberFormat="1">
      <alignment readingOrder="0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49" xfId="0" applyAlignment="1" applyBorder="1" applyFont="1" applyNumberFormat="1">
      <alignment readingOrder="0" vertical="bottom"/>
    </xf>
    <xf borderId="1" fillId="3" fontId="14" numFmtId="0" xfId="0" applyAlignment="1" applyBorder="1" applyFont="1">
      <alignment vertical="bottom"/>
    </xf>
    <xf borderId="1" fillId="4" fontId="3" numFmtId="169" xfId="0" applyAlignment="1" applyBorder="1" applyFont="1" applyNumberFormat="1">
      <alignment readingOrder="0" vertical="bottom"/>
    </xf>
    <xf borderId="1" fillId="4" fontId="3" numFmtId="49" xfId="0" applyAlignment="1" applyBorder="1" applyFont="1" applyNumberFormat="1">
      <alignment readingOrder="0" vertical="bottom"/>
    </xf>
    <xf borderId="1" fillId="4" fontId="3" numFmtId="169" xfId="0" applyAlignment="1" applyBorder="1" applyFont="1" applyNumberFormat="1">
      <alignment vertical="bottom"/>
    </xf>
    <xf borderId="2" fillId="4" fontId="15" numFmtId="0" xfId="0" applyAlignment="1" applyBorder="1" applyFont="1">
      <alignment readingOrder="0" shrinkToFit="0" vertical="bottom" wrapText="0"/>
    </xf>
    <xf borderId="2" fillId="3" fontId="16" numFmtId="0" xfId="0" applyAlignment="1" applyBorder="1" applyFont="1">
      <alignment readingOrder="0" shrinkToFit="0" vertical="bottom" wrapText="0"/>
    </xf>
    <xf borderId="1" fillId="3" fontId="3" numFmtId="168" xfId="0" applyAlignment="1" applyBorder="1" applyFont="1" applyNumberFormat="1">
      <alignment readingOrder="0" vertical="bottom"/>
    </xf>
    <xf borderId="1" fillId="3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readingOrder="0" vertical="bottom"/>
    </xf>
    <xf borderId="1" fillId="4" fontId="3" numFmtId="168" xfId="0" applyAlignment="1" applyBorder="1" applyFont="1" applyNumberFormat="1">
      <alignment horizontal="right" vertical="bottom"/>
    </xf>
    <xf borderId="1" fillId="4" fontId="3" numFmtId="164" xfId="0" applyAlignment="1" applyBorder="1" applyFont="1" applyNumberFormat="1">
      <alignment readingOrder="0" vertical="bottom"/>
    </xf>
    <xf borderId="1" fillId="4" fontId="3" numFmtId="168" xfId="0" applyAlignment="1" applyBorder="1" applyFont="1" applyNumberFormat="1">
      <alignment vertical="bottom"/>
    </xf>
    <xf borderId="1" fillId="4" fontId="3" numFmtId="0" xfId="0" applyAlignment="1" applyBorder="1" applyFont="1">
      <alignment horizontal="left" readingOrder="0" vertical="bottom"/>
    </xf>
    <xf borderId="1" fillId="3" fontId="3" numFmtId="169" xfId="0" applyAlignment="1" applyBorder="1" applyFont="1" applyNumberFormat="1">
      <alignment horizontal="right" vertical="bottom"/>
    </xf>
    <xf borderId="1" fillId="3" fontId="3" numFmtId="168" xfId="0" applyAlignment="1" applyBorder="1" applyFont="1" applyNumberFormat="1">
      <alignment vertical="bottom"/>
    </xf>
    <xf borderId="2" fillId="4" fontId="17" numFmtId="0" xfId="0" applyAlignment="1" applyBorder="1" applyFont="1">
      <alignment readingOrder="0" shrinkToFit="0" vertical="bottom" wrapText="0"/>
    </xf>
    <xf borderId="1" fillId="4" fontId="3" numFmtId="169" xfId="0" applyAlignment="1" applyBorder="1" applyFont="1" applyNumberFormat="1">
      <alignment horizontal="right" vertical="bottom"/>
    </xf>
    <xf borderId="1" fillId="4" fontId="3" numFmtId="168" xfId="0" applyAlignment="1" applyBorder="1" applyFont="1" applyNumberFormat="1">
      <alignment readingOrder="0" vertical="bottom"/>
    </xf>
    <xf borderId="1" fillId="3" fontId="3" numFmtId="169" xfId="0" applyAlignment="1" applyBorder="1" applyFont="1" applyNumberFormat="1">
      <alignment readingOrder="0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3" fontId="3" numFmtId="0" xfId="0" applyAlignment="1" applyBorder="1" applyFont="1">
      <alignment horizontal="left" readingOrder="0" vertical="bottom"/>
    </xf>
    <xf borderId="1" fillId="3" fontId="3" numFmtId="170" xfId="0" applyAlignment="1" applyBorder="1" applyFont="1" applyNumberFormat="1">
      <alignment readingOrder="0" vertical="bottom"/>
    </xf>
    <xf borderId="1" fillId="4" fontId="3" numFmtId="171" xfId="0" applyAlignment="1" applyBorder="1" applyFont="1" applyNumberFormat="1">
      <alignment readingOrder="0" vertical="bottom"/>
    </xf>
    <xf borderId="0" fillId="0" fontId="18" numFmtId="0" xfId="0" applyFont="1"/>
    <xf borderId="1" fillId="4" fontId="19" numFmtId="165" xfId="0" applyAlignment="1" applyBorder="1" applyFont="1" applyNumberFormat="1">
      <alignment readingOrder="0" vertical="bottom"/>
    </xf>
    <xf borderId="1" fillId="3" fontId="3" numFmtId="172" xfId="0" applyAlignment="1" applyBorder="1" applyFont="1" applyNumberFormat="1">
      <alignment readingOrder="0" vertical="bottom"/>
    </xf>
    <xf borderId="1" fillId="4" fontId="3" numFmtId="164" xfId="0" applyAlignment="1" applyBorder="1" applyFont="1" applyNumberFormat="1">
      <alignment readingOrder="0" vertical="bottom"/>
    </xf>
    <xf borderId="1" fillId="4" fontId="3" numFmtId="172" xfId="0" applyAlignment="1" applyBorder="1" applyFont="1" applyNumberFormat="1">
      <alignment readingOrder="0" vertical="bottom"/>
    </xf>
    <xf borderId="1" fillId="3" fontId="3" numFmtId="173" xfId="0" applyAlignment="1" applyBorder="1" applyFont="1" applyNumberFormat="1">
      <alignment readingOrder="0" vertical="bottom"/>
    </xf>
    <xf borderId="1" fillId="3" fontId="3" numFmtId="174" xfId="0" applyAlignment="1" applyBorder="1" applyFont="1" applyNumberFormat="1">
      <alignment readingOrder="0" vertical="bottom"/>
    </xf>
    <xf borderId="0" fillId="0" fontId="4" numFmtId="0" xfId="0" applyFont="1"/>
    <xf borderId="1" fillId="4" fontId="3" numFmtId="175" xfId="0" applyAlignment="1" applyBorder="1" applyFont="1" applyNumberFormat="1">
      <alignment readingOrder="0" vertical="bottom"/>
    </xf>
    <xf borderId="1" fillId="4" fontId="3" numFmtId="0" xfId="0" applyAlignment="1" applyBorder="1" applyFont="1">
      <alignment readingOrder="0" vertical="bottom"/>
    </xf>
    <xf borderId="1" fillId="3" fontId="3" numFmtId="176" xfId="0" applyAlignment="1" applyBorder="1" applyFont="1" applyNumberFormat="1">
      <alignment readingOrder="0" vertical="bottom"/>
    </xf>
    <xf borderId="0" fillId="0" fontId="4" numFmtId="176" xfId="0" applyAlignment="1" applyFont="1" applyNumberFormat="1">
      <alignment readingOrder="0"/>
    </xf>
    <xf borderId="1" fillId="4" fontId="3" numFmtId="170" xfId="0" applyAlignment="1" applyBorder="1" applyFont="1" applyNumberFormat="1">
      <alignment readingOrder="0" vertical="bottom"/>
    </xf>
    <xf borderId="1" fillId="4" fontId="3" numFmtId="174" xfId="0" applyAlignment="1" applyBorder="1" applyFont="1" applyNumberFormat="1">
      <alignment readingOrder="0" vertical="bottom"/>
    </xf>
    <xf borderId="1" fillId="4" fontId="3" numFmtId="0" xfId="0" applyAlignment="1" applyBorder="1" applyFont="1">
      <alignment readingOrder="0" vertical="bottom"/>
    </xf>
    <xf borderId="1" fillId="4" fontId="20" numFmtId="0" xfId="0" applyAlignment="1" applyBorder="1" applyFont="1">
      <alignment readingOrder="0" vertical="bottom"/>
    </xf>
    <xf borderId="1" fillId="3" fontId="3" numFmtId="177" xfId="0" applyAlignment="1" applyBorder="1" applyFont="1" applyNumberFormat="1">
      <alignment readingOrder="0" vertical="bottom"/>
    </xf>
    <xf borderId="1" fillId="3" fontId="3" numFmtId="178" xfId="0" applyAlignment="1" applyBorder="1" applyFont="1" applyNumberFormat="1">
      <alignment readingOrder="0" vertical="bottom"/>
    </xf>
    <xf borderId="1" fillId="4" fontId="21" numFmtId="49" xfId="0" applyAlignment="1" applyBorder="1" applyFont="1" applyNumberFormat="1">
      <alignment horizontal="center" vertical="bottom"/>
    </xf>
    <xf borderId="1" fillId="4" fontId="21" numFmtId="0" xfId="0" applyAlignment="1" applyBorder="1" applyFont="1">
      <alignment vertical="bottom"/>
    </xf>
    <xf borderId="1" fillId="4" fontId="3" numFmtId="178" xfId="0" applyAlignment="1" applyBorder="1" applyFont="1" applyNumberFormat="1">
      <alignment readingOrder="0" vertical="bottom"/>
    </xf>
    <xf borderId="1" fillId="3" fontId="3" numFmtId="175" xfId="0" applyAlignment="1" applyBorder="1" applyFont="1" applyNumberFormat="1">
      <alignment readingOrder="0" vertical="bottom"/>
    </xf>
    <xf borderId="1" fillId="4" fontId="21" numFmtId="165" xfId="0" applyAlignment="1" applyBorder="1" applyFont="1" applyNumberFormat="1">
      <alignment vertical="bottom"/>
    </xf>
    <xf borderId="0" fillId="0" fontId="22" numFmtId="0" xfId="0" applyAlignment="1" applyFont="1">
      <alignment readingOrder="0" shrinkToFit="0" wrapText="0"/>
    </xf>
    <xf borderId="0" fillId="0" fontId="23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1" fillId="4" fontId="25" numFmtId="0" xfId="0" applyAlignment="1" applyBorder="1" applyFont="1">
      <alignment readingOrder="0" shrinkToFit="0" vertical="bottom" wrapText="0"/>
    </xf>
    <xf borderId="1" fillId="3" fontId="26" numFmtId="0" xfId="0" applyAlignment="1" applyBorder="1" applyFont="1">
      <alignment readingOrder="0" vertical="bottom"/>
    </xf>
    <xf borderId="1" fillId="3" fontId="3" numFmtId="171" xfId="0" applyAlignment="1" applyBorder="1" applyFont="1" applyNumberFormat="1">
      <alignment readingOrder="0" vertical="bottom"/>
    </xf>
    <xf borderId="1" fillId="4" fontId="3" numFmtId="179" xfId="0" applyAlignment="1" applyBorder="1" applyFont="1" applyNumberFormat="1">
      <alignment readingOrder="0" vertical="bottom"/>
    </xf>
    <xf borderId="1" fillId="3" fontId="3" numFmtId="14" xfId="0" applyAlignment="1" applyBorder="1" applyFont="1" applyNumberFormat="1">
      <alignment readingOrder="0" vertical="bottom"/>
    </xf>
    <xf borderId="1" fillId="4" fontId="3" numFmtId="180" xfId="0" applyAlignment="1" applyBorder="1" applyFont="1" applyNumberFormat="1">
      <alignment readingOrder="0" vertical="bottom"/>
    </xf>
    <xf borderId="1" fillId="3" fontId="3" numFmtId="180" xfId="0" applyAlignment="1" applyBorder="1" applyFont="1" applyNumberFormat="1">
      <alignment readingOrder="0" vertical="bottom"/>
    </xf>
    <xf borderId="2" fillId="0" fontId="4" numFmtId="0" xfId="0" applyAlignment="1" applyBorder="1" applyFont="1">
      <alignment readingOrder="0"/>
    </xf>
    <xf borderId="1" fillId="0" fontId="4" numFmtId="170" xfId="0" applyAlignment="1" applyBorder="1" applyFont="1" applyNumberFormat="1">
      <alignment readingOrder="0"/>
    </xf>
    <xf borderId="0" fillId="3" fontId="3" numFmtId="0" xfId="0" applyAlignment="1" applyFont="1">
      <alignment readingOrder="0" vertical="bottom"/>
    </xf>
    <xf borderId="0" fillId="0" fontId="4" numFmtId="170" xfId="0" applyAlignment="1" applyFont="1" applyNumberFormat="1">
      <alignment readingOrder="0"/>
    </xf>
    <xf borderId="11" fillId="3" fontId="3" numFmtId="0" xfId="0" applyAlignment="1" applyBorder="1" applyFont="1">
      <alignment vertical="bottom"/>
    </xf>
    <xf borderId="11" fillId="3" fontId="3" numFmtId="164" xfId="0" applyAlignment="1" applyBorder="1" applyFont="1" applyNumberFormat="1">
      <alignment vertical="bottom"/>
    </xf>
    <xf borderId="11" fillId="3" fontId="3" numFmtId="49" xfId="0" applyAlignment="1" applyBorder="1" applyFont="1" applyNumberFormat="1">
      <alignment vertical="bottom"/>
    </xf>
    <xf borderId="11" fillId="0" fontId="3" numFmtId="0" xfId="0" applyAlignment="1" applyBorder="1" applyFont="1">
      <alignment vertical="bottom"/>
    </xf>
    <xf borderId="11" fillId="3" fontId="3" numFmtId="49" xfId="0" applyAlignment="1" applyBorder="1" applyFont="1" applyNumberFormat="1">
      <alignment horizontal="center" vertical="bottom"/>
    </xf>
    <xf borderId="11" fillId="3" fontId="3" numFmtId="165" xfId="0" applyAlignment="1" applyBorder="1" applyFont="1" applyNumberFormat="1">
      <alignment vertical="bottom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shrinkToFit="0" textRotation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28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0" numFmtId="0" xfId="0" applyAlignment="1" applyFont="1">
      <alignment shrinkToFit="0" vertical="center" wrapText="0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right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5" fillId="2" fontId="31" numFmtId="0" xfId="0" applyAlignment="1" applyBorder="1" applyFont="1">
      <alignment horizontal="center" readingOrder="0"/>
    </xf>
    <xf borderId="7" fillId="0" fontId="32" numFmtId="0" xfId="0" applyBorder="1" applyFont="1"/>
    <xf borderId="4" fillId="0" fontId="33" numFmtId="0" xfId="0" applyAlignment="1" applyBorder="1" applyFont="1">
      <alignment horizontal="center" vertical="center"/>
    </xf>
    <xf borderId="2" fillId="0" fontId="32" numFmtId="0" xfId="0" applyBorder="1" applyFont="1"/>
    <xf borderId="4" fillId="0" fontId="33" numFmtId="181" xfId="0" applyAlignment="1" applyBorder="1" applyFont="1" applyNumberFormat="1">
      <alignment horizontal="center" vertical="center"/>
    </xf>
    <xf borderId="4" fillId="0" fontId="33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readingOrder="0"/>
    </xf>
    <xf borderId="8" fillId="0" fontId="32" numFmtId="0" xfId="0" applyBorder="1" applyFont="1"/>
    <xf borderId="10" fillId="0" fontId="32" numFmtId="0" xfId="0" applyBorder="1" applyFont="1"/>
    <xf borderId="0" fillId="5" fontId="3" numFmtId="49" xfId="0" applyAlignment="1" applyFill="1" applyFont="1" applyNumberFormat="1">
      <alignment horizontal="left" readingOrder="0" shrinkToFit="0" wrapText="1"/>
    </xf>
    <xf borderId="0" fillId="5" fontId="4" numFmtId="0" xfId="0" applyFont="1"/>
    <xf borderId="0" fillId="6" fontId="4" numFmtId="0" xfId="0" applyAlignment="1" applyFill="1" applyFont="1">
      <alignment horizontal="left" readingOrder="0"/>
    </xf>
    <xf borderId="0" fillId="6" fontId="4" numFmtId="0" xfId="0" applyFont="1"/>
    <xf borderId="0" fillId="7" fontId="4" numFmtId="0" xfId="0" applyAlignment="1" applyFill="1" applyFont="1">
      <alignment horizontal="left" readingOrder="0"/>
    </xf>
    <xf borderId="0" fillId="7" fontId="4" numFmtId="0" xfId="0" applyFont="1"/>
    <xf borderId="0" fillId="0" fontId="4" numFmtId="0" xfId="0" applyAlignment="1" applyFont="1">
      <alignment horizontal="left"/>
    </xf>
    <xf borderId="0" fillId="0" fontId="34" numFmtId="0" xfId="0" applyFont="1"/>
    <xf borderId="0" fillId="8" fontId="4" numFmtId="0" xfId="0" applyAlignment="1" applyFill="1" applyFont="1">
      <alignment horizontal="left" readingOrder="0"/>
    </xf>
    <xf borderId="0" fillId="8" fontId="4" numFmtId="0" xfId="0" applyFont="1"/>
    <xf borderId="0" fillId="9" fontId="4" numFmtId="0" xfId="0" applyAlignment="1" applyFill="1" applyFont="1">
      <alignment horizontal="left" readingOrder="0"/>
    </xf>
    <xf borderId="0" fillId="9" fontId="4" numFmtId="0" xfId="0" applyFont="1"/>
    <xf borderId="0" fillId="0" fontId="4" numFmtId="181" xfId="0" applyAlignment="1" applyFont="1" applyNumberFormat="1">
      <alignment horizontal="left"/>
    </xf>
    <xf borderId="0" fillId="10" fontId="4" numFmtId="0" xfId="0" applyAlignment="1" applyFill="1" applyFont="1">
      <alignment horizontal="left" readingOrder="0"/>
    </xf>
    <xf borderId="0" fillId="10" fontId="4" numFmtId="0" xfId="0" applyFont="1"/>
    <xf borderId="0" fillId="0" fontId="4" numFmtId="165" xfId="0" applyAlignment="1" applyFont="1" applyNumberFormat="1">
      <alignment horizontal="left"/>
    </xf>
    <xf borderId="0" fillId="11" fontId="4" numFmtId="0" xfId="0" applyAlignment="1" applyFill="1" applyFont="1">
      <alignment horizontal="left" readingOrder="0"/>
    </xf>
    <xf borderId="0" fillId="11" fontId="4" numFmtId="0" xfId="0" applyFont="1"/>
    <xf borderId="0" fillId="12" fontId="4" numFmtId="0" xfId="0" applyAlignment="1" applyFill="1" applyFont="1">
      <alignment horizontal="left" readingOrder="0"/>
    </xf>
    <xf borderId="0" fillId="12" fontId="4" numFmtId="0" xfId="0" applyFont="1"/>
    <xf borderId="0" fillId="0" fontId="6" numFmtId="0" xfId="0" applyAlignment="1" applyFont="1">
      <alignment horizontal="center" readingOrder="0"/>
    </xf>
    <xf borderId="0" fillId="0" fontId="35" numFmtId="0" xfId="0" applyFont="1"/>
    <xf borderId="0" fillId="0" fontId="4" numFmtId="181" xfId="0" applyFont="1" applyNumberFormat="1"/>
    <xf borderId="0" fillId="0" fontId="4" numFmtId="165" xfId="0" applyFont="1" applyNumberFormat="1"/>
    <xf borderId="0" fillId="0" fontId="4" numFmtId="182" xfId="0" applyAlignment="1" applyFont="1" applyNumberFormat="1">
      <alignment readingOrder="0"/>
    </xf>
    <xf borderId="0" fillId="0" fontId="4" numFmtId="182" xfId="0" applyFont="1" applyNumberFormat="1"/>
    <xf borderId="0" fillId="0" fontId="5" numFmtId="181" xfId="0" applyFont="1" applyNumberFormat="1"/>
    <xf borderId="0" fillId="0" fontId="4" numFmtId="0" xfId="0" applyAlignment="1" applyFont="1">
      <alignment readingOrder="0" vertical="center"/>
    </xf>
    <xf borderId="0" fillId="0" fontId="27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0"/>
    </xf>
    <xf borderId="0" fillId="0" fontId="36" numFmtId="0" xfId="0" applyAlignment="1" applyFont="1">
      <alignment readingOrder="0"/>
    </xf>
    <xf borderId="0" fillId="0" fontId="36" numFmtId="0" xfId="0" applyAlignment="1" applyFont="1">
      <alignment horizontal="center" readingOrder="0"/>
    </xf>
    <xf borderId="12" fillId="2" fontId="37" numFmtId="0" xfId="0" applyAlignment="1" applyBorder="1" applyFont="1">
      <alignment horizontal="center" readingOrder="0"/>
    </xf>
    <xf borderId="13" fillId="0" fontId="32" numFmtId="0" xfId="0" applyBorder="1" applyFont="1"/>
    <xf borderId="14" fillId="0" fontId="32" numFmtId="0" xfId="0" applyBorder="1" applyFont="1"/>
    <xf borderId="15" fillId="0" fontId="7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 readingOrder="0"/>
    </xf>
    <xf borderId="0" fillId="0" fontId="37" numFmtId="0" xfId="0" applyAlignment="1" applyFont="1">
      <alignment horizontal="center" readingOrder="0"/>
    </xf>
    <xf borderId="5" fillId="2" fontId="31" numFmtId="0" xfId="0" applyAlignment="1" applyBorder="1" applyFont="1">
      <alignment horizontal="center" readingOrder="0" shrinkToFit="0" wrapText="1"/>
    </xf>
    <xf borderId="6" fillId="0" fontId="32" numFmtId="0" xfId="0" applyBorder="1" applyFont="1"/>
    <xf borderId="17" fillId="2" fontId="37" numFmtId="0" xfId="0" applyAlignment="1" applyBorder="1" applyFont="1">
      <alignment horizontal="center" readingOrder="0"/>
    </xf>
    <xf borderId="0" fillId="0" fontId="38" numFmtId="183" xfId="0" applyFont="1" applyNumberFormat="1"/>
    <xf borderId="5" fillId="0" fontId="7" numFmtId="0" xfId="0" applyAlignment="1" applyBorder="1" applyFont="1">
      <alignment horizontal="center" readingOrder="0" shrinkToFit="0" wrapText="1"/>
    </xf>
    <xf borderId="1" fillId="0" fontId="38" numFmtId="183" xfId="0" applyBorder="1" applyFont="1" applyNumberFormat="1"/>
    <xf borderId="0" fillId="0" fontId="4" numFmtId="183" xfId="0" applyFont="1" applyNumberFormat="1"/>
    <xf borderId="0" fillId="0" fontId="4" numFmtId="184" xfId="0" applyFont="1" applyNumberFormat="1"/>
    <xf borderId="8" fillId="0" fontId="5" numFmtId="185" xfId="0" applyAlignment="1" applyBorder="1" applyFont="1" applyNumberFormat="1">
      <alignment horizontal="center" shrinkToFit="0" wrapText="1"/>
    </xf>
    <xf borderId="9" fillId="0" fontId="32" numFmtId="0" xfId="0" applyBorder="1" applyFont="1"/>
    <xf borderId="1" fillId="0" fontId="4" numFmtId="184" xfId="0" applyBorder="1" applyFont="1" applyNumberFormat="1"/>
    <xf borderId="0" fillId="0" fontId="39" numFmtId="184" xfId="0" applyAlignment="1" applyFont="1" applyNumberFormat="1">
      <alignment horizontal="center" shrinkToFit="0" wrapText="1"/>
    </xf>
    <xf borderId="1" fillId="0" fontId="39" numFmtId="184" xfId="0" applyAlignment="1" applyBorder="1" applyFont="1" applyNumberFormat="1">
      <alignment horizontal="center" shrinkToFit="0" wrapText="1"/>
    </xf>
    <xf borderId="0" fillId="0" fontId="39" numFmtId="184" xfId="0" applyAlignment="1" applyFont="1" applyNumberFormat="1">
      <alignment shrinkToFit="0" wrapText="1"/>
    </xf>
    <xf borderId="0" fillId="0" fontId="38" numFmtId="183" xfId="0" applyFont="1" applyNumberFormat="1"/>
    <xf borderId="5" fillId="0" fontId="5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horizontal="center" readingOrder="0" shrinkToFit="0" wrapText="1"/>
    </xf>
    <xf borderId="7" fillId="0" fontId="5" numFmtId="185" xfId="0" applyAlignment="1" applyBorder="1" applyFont="1" applyNumberFormat="1">
      <alignment horizontal="center" shrinkToFit="0" wrapText="1"/>
    </xf>
    <xf borderId="17" fillId="0" fontId="38" numFmtId="183" xfId="0" applyBorder="1" applyFont="1" applyNumberFormat="1"/>
    <xf borderId="4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2" fillId="0" fontId="5" numFmtId="185" xfId="0" applyAlignment="1" applyBorder="1" applyFont="1" applyNumberFormat="1">
      <alignment horizontal="center" shrinkToFit="0" wrapText="1"/>
    </xf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horizontal="center" readingOrder="0" shrinkToFit="0" wrapText="1"/>
    </xf>
    <xf borderId="10" fillId="0" fontId="5" numFmtId="185" xfId="0" applyAlignment="1" applyBorder="1" applyFont="1" applyNumberFormat="1">
      <alignment horizontal="center" shrinkToFit="0" wrapText="1"/>
    </xf>
    <xf borderId="0" fillId="0" fontId="5" numFmtId="0" xfId="0" applyFont="1"/>
    <xf borderId="0" fillId="0" fontId="4" numFmtId="184" xfId="0" applyAlignment="1" applyFont="1" applyNumberFormat="1">
      <alignment horizontal="center"/>
    </xf>
    <xf borderId="1" fillId="0" fontId="39" numFmtId="184" xfId="0" applyAlignment="1" applyBorder="1" applyFont="1" applyNumberFormat="1">
      <alignment shrinkToFit="0" wrapText="1"/>
    </xf>
    <xf borderId="4" fillId="0" fontId="5" numFmtId="0" xfId="0" applyAlignment="1" applyBorder="1" applyFont="1">
      <alignment readingOrder="0"/>
    </xf>
    <xf borderId="0" fillId="0" fontId="4" numFmtId="0" xfId="0" applyFont="1"/>
    <xf borderId="0" fillId="0" fontId="4" numFmtId="0" xfId="0" applyAlignment="1" applyFont="1">
      <alignment shrinkToFit="0" wrapText="0"/>
    </xf>
    <xf borderId="0" fillId="0" fontId="37" numFmtId="0" xfId="0" applyAlignment="1" applyFont="1">
      <alignment horizontal="center" shrinkToFit="0" vertical="center" wrapText="1"/>
    </xf>
    <xf borderId="12" fillId="2" fontId="37" numFmtId="0" xfId="0" applyAlignment="1" applyBorder="1" applyFont="1">
      <alignment horizontal="center" readingOrder="0" vertical="center"/>
    </xf>
    <xf borderId="14" fillId="2" fontId="37" numFmtId="0" xfId="0" applyAlignment="1" applyBorder="1" applyFont="1">
      <alignment horizontal="center" readingOrder="0" vertical="center"/>
    </xf>
    <xf borderId="17" fillId="2" fontId="3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readingOrder="0" shrinkToFit="0" wrapText="0"/>
    </xf>
    <xf borderId="17" fillId="2" fontId="37" numFmtId="0" xfId="0" applyAlignment="1" applyBorder="1" applyFont="1">
      <alignment horizontal="center" shrinkToFit="0" vertical="center" wrapText="1"/>
    </xf>
    <xf borderId="17" fillId="2" fontId="37" numFmtId="0" xfId="0" applyAlignment="1" applyBorder="1" applyFont="1">
      <alignment horizontal="center" shrinkToFit="0" vertical="center" wrapText="0"/>
    </xf>
    <xf borderId="17" fillId="2" fontId="37" numFmtId="0" xfId="0" applyAlignment="1" applyBorder="1" applyFont="1">
      <alignment horizontal="center" readingOrder="0" shrinkToFit="0" vertical="center" wrapText="1"/>
    </xf>
    <xf borderId="17" fillId="11" fontId="40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readingOrder="0" shrinkToFit="0" wrapText="1"/>
    </xf>
    <xf borderId="17" fillId="12" fontId="6" numFmtId="0" xfId="0" applyAlignment="1" applyBorder="1" applyFont="1">
      <alignment horizontal="center" shrinkToFit="0" vertical="center" wrapText="1"/>
    </xf>
    <xf borderId="4" fillId="5" fontId="3" numFmtId="49" xfId="0" applyAlignment="1" applyBorder="1" applyFont="1" applyNumberFormat="1">
      <alignment horizontal="left" readingOrder="0" shrinkToFit="0" wrapText="1"/>
    </xf>
    <xf borderId="2" fillId="5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164" xfId="0" applyBorder="1" applyFont="1" applyNumberFormat="1"/>
    <xf borderId="1" fillId="0" fontId="4" numFmtId="166" xfId="0" applyBorder="1" applyFont="1" applyNumberFormat="1"/>
    <xf borderId="1" fillId="0" fontId="4" numFmtId="0" xfId="0" applyBorder="1" applyFont="1"/>
    <xf borderId="1" fillId="0" fontId="4" numFmtId="165" xfId="0" applyBorder="1" applyFont="1" applyNumberFormat="1"/>
    <xf borderId="1" fillId="0" fontId="4" numFmtId="0" xfId="0" applyAlignment="1" applyBorder="1" applyFont="1">
      <alignment shrinkToFit="0" wrapText="0"/>
    </xf>
    <xf borderId="2" fillId="0" fontId="41" numFmtId="0" xfId="0" applyAlignment="1" applyBorder="1" applyFont="1">
      <alignment shrinkToFit="0" wrapText="0"/>
    </xf>
    <xf borderId="4" fillId="6" fontId="4" numFmtId="0" xfId="0" applyAlignment="1" applyBorder="1" applyFont="1">
      <alignment horizontal="left" readingOrder="0"/>
    </xf>
    <xf borderId="2" fillId="6" fontId="4" numFmtId="0" xfId="0" applyAlignment="1" applyBorder="1" applyFont="1">
      <alignment horizontal="center"/>
    </xf>
    <xf borderId="4" fillId="7" fontId="4" numFmtId="0" xfId="0" applyAlignment="1" applyBorder="1" applyFont="1">
      <alignment horizontal="left" readingOrder="0"/>
    </xf>
    <xf borderId="2" fillId="7" fontId="4" numFmtId="0" xfId="0" applyAlignment="1" applyBorder="1" applyFont="1">
      <alignment horizontal="center"/>
    </xf>
    <xf borderId="4" fillId="8" fontId="4" numFmtId="0" xfId="0" applyAlignment="1" applyBorder="1" applyFont="1">
      <alignment horizontal="left" readingOrder="0"/>
    </xf>
    <xf borderId="2" fillId="8" fontId="4" numFmtId="0" xfId="0" applyAlignment="1" applyBorder="1" applyFont="1">
      <alignment horizontal="center"/>
    </xf>
    <xf borderId="4" fillId="9" fontId="4" numFmtId="0" xfId="0" applyAlignment="1" applyBorder="1" applyFont="1">
      <alignment horizontal="left" readingOrder="0"/>
    </xf>
    <xf borderId="2" fillId="9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4" fillId="10" fontId="4" numFmtId="0" xfId="0" applyAlignment="1" applyBorder="1" applyFont="1">
      <alignment horizontal="left" readingOrder="0"/>
    </xf>
    <xf borderId="2" fillId="10" fontId="4" numFmtId="0" xfId="0" applyAlignment="1" applyBorder="1" applyFont="1">
      <alignment horizontal="center"/>
    </xf>
    <xf borderId="4" fillId="11" fontId="4" numFmtId="0" xfId="0" applyAlignment="1" applyBorder="1" applyFont="1">
      <alignment horizontal="left" readingOrder="0"/>
    </xf>
    <xf borderId="2" fillId="11" fontId="4" numFmtId="0" xfId="0" applyAlignment="1" applyBorder="1" applyFont="1">
      <alignment horizontal="center"/>
    </xf>
    <xf borderId="11" fillId="0" fontId="39" numFmtId="184" xfId="0" applyAlignment="1" applyBorder="1" applyFont="1" applyNumberFormat="1">
      <alignment shrinkToFit="0" wrapText="1"/>
    </xf>
    <xf borderId="4" fillId="12" fontId="4" numFmtId="0" xfId="0" applyAlignment="1" applyBorder="1" applyFont="1">
      <alignment horizontal="left" readingOrder="0"/>
    </xf>
    <xf borderId="2" fillId="12" fontId="4" numFmtId="0" xfId="0" applyAlignment="1" applyBorder="1" applyFont="1">
      <alignment horizontal="center"/>
    </xf>
    <xf borderId="8" fillId="0" fontId="6" numFmtId="0" xfId="0" applyAlignment="1" applyBorder="1" applyFont="1">
      <alignment readingOrder="0"/>
    </xf>
    <xf borderId="10" fillId="0" fontId="6" numFmtId="0" xfId="0" applyAlignment="1" applyBorder="1" applyFont="1">
      <alignment horizontal="center"/>
    </xf>
    <xf borderId="5" fillId="2" fontId="37" numFmtId="0" xfId="0" applyAlignment="1" applyBorder="1" applyFont="1">
      <alignment readingOrder="0"/>
    </xf>
    <xf borderId="7" fillId="2" fontId="37" numFmtId="186" xfId="0" applyAlignment="1" applyBorder="1" applyFont="1" applyNumberFormat="1">
      <alignment horizontal="left"/>
    </xf>
    <xf borderId="4" fillId="2" fontId="37" numFmtId="0" xfId="0" applyAlignment="1" applyBorder="1" applyFont="1">
      <alignment readingOrder="0"/>
    </xf>
    <xf borderId="2" fillId="2" fontId="37" numFmtId="186" xfId="0" applyAlignment="1" applyBorder="1" applyFont="1" applyNumberFormat="1">
      <alignment horizontal="left"/>
    </xf>
    <xf borderId="8" fillId="2" fontId="37" numFmtId="0" xfId="0" applyAlignment="1" applyBorder="1" applyFont="1">
      <alignment readingOrder="0"/>
    </xf>
    <xf borderId="10" fillId="2" fontId="37" numFmtId="186" xfId="0" applyAlignment="1" applyBorder="1" applyFont="1" applyNumberFormat="1">
      <alignment horizontal="left"/>
    </xf>
    <xf borderId="5" fillId="2" fontId="37" numFmtId="0" xfId="0" applyAlignment="1" applyBorder="1" applyFont="1">
      <alignment horizontal="center" readingOrder="0"/>
    </xf>
    <xf borderId="4" fillId="0" fontId="42" numFmtId="165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readingOrder="0"/>
    </xf>
    <xf borderId="2" fillId="0" fontId="4" numFmtId="0" xfId="0" applyAlignment="1" applyBorder="1" applyFont="1">
      <alignment shrinkToFit="0" wrapText="0"/>
    </xf>
    <xf borderId="5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left"/>
    </xf>
    <xf borderId="4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left"/>
    </xf>
    <xf borderId="2" fillId="0" fontId="4" numFmtId="181" xfId="0" applyAlignment="1" applyBorder="1" applyFont="1" applyNumberFormat="1">
      <alignment horizontal="left"/>
    </xf>
    <xf borderId="2" fillId="0" fontId="4" numFmtId="165" xfId="0" applyAlignment="1" applyBorder="1" applyFont="1" applyNumberFormat="1">
      <alignment horizontal="left"/>
    </xf>
    <xf borderId="8" fillId="0" fontId="4" numFmtId="0" xfId="0" applyAlignment="1" applyBorder="1" applyFont="1">
      <alignment readingOrder="0"/>
    </xf>
    <xf borderId="10" fillId="0" fontId="4" numFmtId="165" xfId="0" applyAlignment="1" applyBorder="1" applyFont="1" applyNumberFormat="1">
      <alignment horizontal="left"/>
    </xf>
    <xf borderId="3" fillId="2" fontId="37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17" fillId="11" fontId="40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0" fontId="4" numFmtId="164" xfId="0" applyBorder="1" applyFont="1" applyNumberFormat="1"/>
    <xf borderId="1" fillId="0" fontId="4" numFmtId="166" xfId="0" applyBorder="1" applyFont="1" applyNumberFormat="1"/>
    <xf borderId="1" fillId="0" fontId="4" numFmtId="165" xfId="0" applyBorder="1" applyFont="1" applyNumberFormat="1"/>
    <xf borderId="1" fillId="0" fontId="43" numFmtId="0" xfId="0" applyBorder="1" applyFont="1"/>
    <xf borderId="11" fillId="0" fontId="4" numFmtId="0" xfId="0" applyBorder="1" applyFont="1"/>
    <xf borderId="11" fillId="0" fontId="4" numFmtId="164" xfId="0" applyBorder="1" applyFont="1" applyNumberFormat="1"/>
    <xf borderId="11" fillId="0" fontId="4" numFmtId="166" xfId="0" applyBorder="1" applyFont="1" applyNumberFormat="1"/>
    <xf borderId="11" fillId="0" fontId="4" numFmtId="165" xfId="0" applyBorder="1" applyFont="1" applyNumberFormat="1"/>
    <xf borderId="0" fillId="0" fontId="4" numFmtId="164" xfId="0" applyFont="1" applyNumberFormat="1"/>
    <xf borderId="0" fillId="0" fontId="4" numFmtId="166" xfId="0" applyFont="1" applyNumberFormat="1"/>
    <xf borderId="0" fillId="0" fontId="4" numFmtId="165" xfId="0" applyFont="1" applyNumberFormat="1"/>
    <xf borderId="3" fillId="2" fontId="21" numFmtId="0" xfId="0" applyAlignment="1" applyBorder="1" applyFont="1">
      <alignment horizontal="center" readingOrder="0" shrinkToFit="0" vertical="center" wrapText="1"/>
    </xf>
    <xf borderId="14" fillId="2" fontId="21" numFmtId="0" xfId="0" applyAlignment="1" applyBorder="1" applyFont="1">
      <alignment horizontal="center" readingOrder="0" shrinkToFit="0" vertical="center" wrapText="1"/>
    </xf>
    <xf borderId="14" fillId="2" fontId="37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left" readingOrder="0"/>
    </xf>
    <xf borderId="4" fillId="0" fontId="4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3F4F6"/>
          <bgColor rgb="FFF3F4F6"/>
        </patternFill>
      </fill>
      <border/>
    </dxf>
    <dxf>
      <font/>
      <fill>
        <patternFill patternType="solid">
          <fgColor rgb="FFFFEDE0"/>
          <bgColor rgb="FFFFEDE0"/>
        </patternFill>
      </fill>
      <border/>
    </dxf>
    <dxf>
      <font/>
      <fill>
        <patternFill patternType="solid">
          <fgColor rgb="FFFFD6BE"/>
          <bgColor rgb="FFFFD6BE"/>
        </patternFill>
      </fill>
      <border/>
    </dxf>
    <dxf>
      <font/>
      <fill>
        <patternFill patternType="solid">
          <fgColor rgb="FFFFC2A1"/>
          <bgColor rgb="FFFFC2A1"/>
        </patternFill>
      </fill>
      <border/>
    </dxf>
    <dxf>
      <font/>
      <fill>
        <patternFill patternType="solid">
          <fgColor rgb="FFFFB088"/>
          <bgColor rgb="FFFFB088"/>
        </patternFill>
      </fill>
      <border/>
    </dxf>
    <dxf>
      <font/>
      <fill>
        <patternFill patternType="solid">
          <fgColor rgb="FFFF9A63"/>
          <bgColor rgb="FFFF9A63"/>
        </patternFill>
      </fill>
      <border/>
    </dxf>
  </dxfs>
  <tableStyles count="24">
    <tableStyle count="3" pivot="0" name="Input Data-style">
      <tableStyleElement dxfId="1" type="headerRow"/>
      <tableStyleElement dxfId="2" type="firstRowStripe"/>
      <tableStyleElement dxfId="3" type="secondRowStripe"/>
    </tableStyle>
    <tableStyle count="3" pivot="0" name="Leads_Alvin-style">
      <tableStyleElement dxfId="1" type="headerRow"/>
      <tableStyleElement dxfId="2" type="firstRowStripe"/>
      <tableStyleElement dxfId="3" type="secondRowStripe"/>
    </tableStyle>
    <tableStyle count="3" pivot="0" name="Leads_Dela-style">
      <tableStyleElement dxfId="1" type="headerRow"/>
      <tableStyleElement dxfId="2" type="firstRowStripe"/>
      <tableStyleElement dxfId="3" type="secondRowStripe"/>
    </tableStyle>
    <tableStyle count="4" pivot="0" name="Tahapan Leads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Leads_Holiday-style">
      <tableStyleElement dxfId="1" type="headerRow"/>
      <tableStyleElement dxfId="2" type="firstRowStripe"/>
      <tableStyleElement dxfId="3" type="secondRowStripe"/>
    </tableStyle>
    <tableStyle count="4" pivot="0" name="Dela_Pipeline-style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Dela_Pipeline-style 2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Dela_Pipeline-style 3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Dela_Pipeline-style 4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Dela_Pipeline-style 5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Dela_Pipeline-style 6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Alvin_Pipeline-style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Alvin_Pipeline-style 2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Alvin_Pipeline-style 3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Alvin_Pipeline-style 4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Alvin_Pipeline-style 5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Alvin_Pipeline-style 6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Holiday_Pipeline-style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Holiday_Pipeline-style 2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Holiday_Pipeline-style 3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Holiday_Pipeline-style 4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Holiday_Pipeline-style 5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4" pivot="0" name="Holiday_Pipeline-style 6">
      <tableStyleElement dxfId="1" type="headerRow"/>
      <tableStyleElement dxfId="2" type="firstRowStripe"/>
      <tableStyleElement dxfId="5" type="secondRowStripe"/>
      <tableStyleElement dxfId="6" size="0" type="wholeTable"/>
    </tableStyle>
    <tableStyle count="3" pivot="0" name="Pipeline Alvin-style">
      <tableStyleElement dxfId="7" type="headerRow"/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val>
            <c:numRef>
              <c:f>'Tahapan Leads'!$A$1</c:f>
              <c:numCache/>
            </c:numRef>
          </c:val>
        </c:ser>
        <c:axId val="1831598788"/>
        <c:axId val="2057377164"/>
      </c:barChart>
      <c:catAx>
        <c:axId val="1831598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377164"/>
      </c:catAx>
      <c:valAx>
        <c:axId val="205737716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31598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The "Battle"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Dashboard!$AA$16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Dashboard!$Z$17:$Z$19</c:f>
            </c:strRef>
          </c:cat>
          <c:val>
            <c:numRef>
              <c:f>Dashboard!$AA$17:$AA$19</c:f>
              <c:numCache/>
            </c:numRef>
          </c:val>
        </c:ser>
        <c:ser>
          <c:idx val="1"/>
          <c:order val="1"/>
          <c:tx>
            <c:strRef>
              <c:f>Dashboard!$AB$16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Dashboard!$Z$17:$Z$19</c:f>
            </c:strRef>
          </c:cat>
          <c:val>
            <c:numRef>
              <c:f>Dashboard!$AB$17:$AB$19</c:f>
              <c:numCache/>
            </c:numRef>
          </c:val>
        </c:ser>
        <c:overlap val="100"/>
        <c:axId val="1694833586"/>
        <c:axId val="1559914958"/>
      </c:barChart>
      <c:catAx>
        <c:axId val="1694833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914958"/>
      </c:catAx>
      <c:valAx>
        <c:axId val="15599149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833586"/>
      </c:valAx>
      <c:lineChart>
        <c:varyColors val="0"/>
        <c:ser>
          <c:idx val="2"/>
          <c:order val="2"/>
          <c:tx>
            <c:strRef>
              <c:f>Dashboard!$AC$16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Dashboard!$Z$17:$Z$19</c:f>
            </c:strRef>
          </c:cat>
          <c:val>
            <c:numRef>
              <c:f>Dashboard!$AC$17:$AC$19</c:f>
              <c:numCache/>
            </c:numRef>
          </c:val>
          <c:smooth val="0"/>
        </c:ser>
        <c:axId val="1960490934"/>
        <c:axId val="129007259"/>
      </c:lineChart>
      <c:catAx>
        <c:axId val="19604909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07259"/>
      </c:catAx>
      <c:valAx>
        <c:axId val="129007259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in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490934"/>
        <c:crosses val="max"/>
      </c:valAx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46524"/>
                </a:solidFill>
                <a:latin typeface="+mn-lt"/>
              </a:defRPr>
            </a:pPr>
            <a:r>
              <a:rPr b="1">
                <a:solidFill>
                  <a:srgbClr val="F46524"/>
                </a:solidFill>
                <a:latin typeface="+mn-lt"/>
              </a:rPr>
              <a:t>The Big Fish Hunter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Dashboard!$AD$16</c:f>
            </c:strRef>
          </c:tx>
          <c:spPr>
            <a:solidFill>
              <a:srgbClr val="F46524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Dashboard!$Z$17:$Z$19</c:f>
            </c:strRef>
          </c:cat>
          <c:val>
            <c:numRef>
              <c:f>Dashboard!$AD$17:$AD$19</c:f>
              <c:numCache/>
            </c:numRef>
          </c:val>
        </c:ser>
        <c:axId val="489009529"/>
        <c:axId val="1179436215"/>
      </c:bar3DChart>
      <c:catAx>
        <c:axId val="489009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436215"/>
      </c:catAx>
      <c:valAx>
        <c:axId val="1179436215"/>
        <c:scaling>
          <c:orientation val="minMax"/>
          <c:min val="20000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009529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Share of Leads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Dashboard!$AA$23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Dashboard!$Z$24:$Z$28</c:f>
            </c:strRef>
          </c:cat>
          <c:val>
            <c:numRef>
              <c:f>Dashboard!$AA$24:$AA$28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Revenue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Dashboard!$AE$23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Dashboard!$Z$24:$Z$28</c:f>
            </c:strRef>
          </c:cat>
          <c:val>
            <c:numRef>
              <c:f>Dashboard!$AE$24:$AE$28</c:f>
              <c:numCache/>
            </c:numRef>
          </c:val>
        </c:ser>
        <c:axId val="1810448525"/>
        <c:axId val="483672414"/>
      </c:bar3DChart>
      <c:catAx>
        <c:axId val="1810448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672414"/>
      </c:catAx>
      <c:valAx>
        <c:axId val="48367241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448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Pipeline Progress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F4652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Dashboard!$Z$4:$Z$9</c:f>
            </c:strRef>
          </c:cat>
          <c:val>
            <c:numRef>
              <c:f>Dashboard!$AA$4:$AA$9</c:f>
              <c:numCache/>
            </c:numRef>
          </c:val>
        </c:ser>
        <c:axId val="1571369361"/>
        <c:axId val="401661832"/>
      </c:barChart>
      <c:catAx>
        <c:axId val="15713693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661832"/>
      </c:catAx>
      <c:valAx>
        <c:axId val="401661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3693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28A745"/>
              </a:solidFill>
            </c:spPr>
          </c:dPt>
          <c:dPt>
            <c:idx val="1"/>
            <c:spPr>
              <a:solidFill>
                <a:srgbClr val="DC3545"/>
              </a:solidFill>
            </c:spPr>
          </c:dPt>
          <c:dPt>
            <c:idx val="2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Dashboard!$Z$10:$Z$12</c:f>
            </c:strRef>
          </c:cat>
          <c:val>
            <c:numRef>
              <c:f>Dashboard!$AA$10:$AA$12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The "Battle"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'Copy of Dashboard'!$C$22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Dashboard'!$B$23:$B$25</c:f>
            </c:strRef>
          </c:cat>
          <c:val>
            <c:numRef>
              <c:f>'Copy of Dashboard'!$C$23:$C$25</c:f>
              <c:numCache/>
            </c:numRef>
          </c:val>
        </c:ser>
        <c:ser>
          <c:idx val="1"/>
          <c:order val="1"/>
          <c:tx>
            <c:strRef>
              <c:f>'Copy of Dashboard'!$D$22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Dashboard'!$B$23:$B$25</c:f>
            </c:strRef>
          </c:cat>
          <c:val>
            <c:numRef>
              <c:f>'Copy of Dashboard'!$D$23:$D$25</c:f>
              <c:numCache/>
            </c:numRef>
          </c:val>
        </c:ser>
        <c:overlap val="100"/>
        <c:axId val="123573023"/>
        <c:axId val="1993699022"/>
      </c:barChart>
      <c:catAx>
        <c:axId val="123573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699022"/>
      </c:catAx>
      <c:valAx>
        <c:axId val="19936990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73023"/>
      </c:valAx>
      <c:lineChart>
        <c:varyColors val="0"/>
        <c:ser>
          <c:idx val="2"/>
          <c:order val="2"/>
          <c:tx>
            <c:strRef>
              <c:f>'Copy of Dashboard'!$E$22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Dashboard'!$B$23:$B$25</c:f>
            </c:strRef>
          </c:cat>
          <c:val>
            <c:numRef>
              <c:f>'Copy of Dashboard'!$E$23:$E$25</c:f>
              <c:numCache/>
            </c:numRef>
          </c:val>
          <c:smooth val="0"/>
        </c:ser>
        <c:axId val="1123374176"/>
        <c:axId val="2028778665"/>
      </c:lineChart>
      <c:catAx>
        <c:axId val="1123374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778665"/>
      </c:catAx>
      <c:valAx>
        <c:axId val="202877866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in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374176"/>
        <c:crosses val="max"/>
      </c:valAx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46524"/>
                </a:solidFill>
                <a:latin typeface="+mn-lt"/>
              </a:defRPr>
            </a:pPr>
            <a:r>
              <a:rPr b="1">
                <a:solidFill>
                  <a:srgbClr val="F46524"/>
                </a:solidFill>
                <a:latin typeface="+mn-lt"/>
              </a:rPr>
              <a:t>The Big Fish Hunter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'Copy of Dashboard'!$F$22</c:f>
            </c:strRef>
          </c:tx>
          <c:spPr>
            <a:solidFill>
              <a:srgbClr val="F4652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Dashboard'!$B$23:$B$25</c:f>
            </c:strRef>
          </c:cat>
          <c:val>
            <c:numRef>
              <c:f>'Copy of Dashboard'!$F$23:$F$25</c:f>
              <c:numCache/>
            </c:numRef>
          </c:val>
        </c:ser>
        <c:axId val="1025860279"/>
        <c:axId val="121161770"/>
      </c:bar3DChart>
      <c:catAx>
        <c:axId val="1025860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61770"/>
      </c:catAx>
      <c:valAx>
        <c:axId val="121161770"/>
        <c:scaling>
          <c:orientation val="minMax"/>
          <c:min val="50000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860279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Share of Leads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'Copy of Dashboard'!$C$28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'Copy of Dashboard'!$B$29:$B$33</c:f>
            </c:strRef>
          </c:cat>
          <c:val>
            <c:numRef>
              <c:f>'Copy of Dashboard'!$C$29:$C$33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Revenue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'Copy of Dashboard'!$G$28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Dashboard'!$B$29:$B$33</c:f>
            </c:strRef>
          </c:cat>
          <c:val>
            <c:numRef>
              <c:f>'Copy of Dashboard'!$G$29:$G$33</c:f>
              <c:numCache/>
            </c:numRef>
          </c:val>
        </c:ser>
        <c:axId val="1595524704"/>
        <c:axId val="1617829963"/>
      </c:bar3DChart>
      <c:catAx>
        <c:axId val="159552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829963"/>
      </c:catAx>
      <c:valAx>
        <c:axId val="16178299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524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Pipeline Progress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F4652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Dashboard'!$B$11:$B$16</c:f>
            </c:strRef>
          </c:cat>
          <c:val>
            <c:numRef>
              <c:f>'Copy of Dashboard'!$C$11:$C$16</c:f>
              <c:numCache/>
            </c:numRef>
          </c:val>
        </c:ser>
        <c:axId val="2065007854"/>
        <c:axId val="1197450796"/>
      </c:barChart>
      <c:catAx>
        <c:axId val="20650078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450796"/>
      </c:catAx>
      <c:valAx>
        <c:axId val="1197450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0078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28A745"/>
              </a:solidFill>
            </c:spPr>
          </c:dPt>
          <c:dPt>
            <c:idx val="1"/>
            <c:spPr>
              <a:solidFill>
                <a:srgbClr val="DC3545"/>
              </a:solidFill>
            </c:spPr>
          </c:dPt>
          <c:dPt>
            <c:idx val="2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Dashboard'!$B$17:$B$19</c:f>
            </c:strRef>
          </c:cat>
          <c:val>
            <c:numRef>
              <c:f>'Copy of Dashboard'!$C$17:$C$19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>
  <Task id="{2e8a738b-f9bc-48f0-a235-da71417fd439}">
    <Anchor>
      <Comment id="{386d3890-57fa-40be-9de2-64205cc2d941}"/>
    </Anchor>
    <History>
      <Event time="2026-02-07T19:02:51.00" id="{1314ee33-9432-487d-a523-f19afe251192}">
        <Attribution userId="placeholder@email.com" userName="TRIP BANYUWANGI OFFICIAL" userProvider="google-sheets"/>
        <Anchor>
          <Comment id="{386d3890-57fa-40be-9de2-64205cc2d941}"/>
        </Anchor>
        <Create/>
      </Event>
      <Event time="2026-02-07T19:02:51.00" id="{80a54dcc-e00d-466e-8c3f-c29b1b60a6dc}">
        <Attribution userId="placeholder@email.com" userName="TRIP BANYUWANGI OFFICIAL" userProvider="google-sheets"/>
        <Anchor>
          <Comment id="{386d3890-57fa-40be-9de2-64205cc2d941}"/>
        </Anchor>
        <Assign userId="dela.tripbanyuwangi@gmail.com" userName="dela.tripbanyuwangi@gmail.com" userProvider="google-sheets"/>
      </Event>
    </History>
  </Task>
  <Task id="{dd2c2749-96f3-4d88-99b1-748ae2dfa0f0}">
    <Anchor>
      <Comment id="{1f4e8011-ff77-4875-984a-7ed421c60fbb}"/>
    </Anchor>
    <History>
      <Event time="2026-02-07T19:03:43.00" id="{8ed1c704-74e0-4229-958a-31493c4db59b}">
        <Attribution userId="placeholder@email.com" userName="TRIP BANYUWANGI OFFICIAL" userProvider="google-sheets"/>
        <Anchor>
          <Comment id="{1f4e8011-ff77-4875-984a-7ed421c60fbb}"/>
        </Anchor>
        <Create/>
      </Event>
      <Event time="2026-02-07T19:03:43.00" id="{8d6e3384-1fb7-4f17-b702-f61c2a586392}">
        <Attribution userId="placeholder@email.com" userName="TRIP BANYUWANGI OFFICIAL" userProvider="google-sheets"/>
        <Anchor>
          <Comment id="{1f4e8011-ff77-4875-984a-7ed421c60fbb}"/>
        </Anchor>
        <Assign userId="dela.tripbanyuwangi@gmail.com" userName="dela.tripbanyuwangi@gmail.com"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4</xdr:row>
      <xdr:rowOff>323850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25</xdr:row>
      <xdr:rowOff>9525</xdr:rowOff>
    </xdr:from>
    <xdr:ext cx="5876925" cy="3143250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400050</xdr:colOff>
      <xdr:row>25</xdr:row>
      <xdr:rowOff>9525</xdr:rowOff>
    </xdr:from>
    <xdr:ext cx="4943475" cy="314325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295275</xdr:colOff>
      <xdr:row>42</xdr:row>
      <xdr:rowOff>104775</xdr:rowOff>
    </xdr:from>
    <xdr:ext cx="3638550" cy="3533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152400</xdr:colOff>
      <xdr:row>42</xdr:row>
      <xdr:rowOff>104775</xdr:rowOff>
    </xdr:from>
    <xdr:ext cx="7105650" cy="35337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57150</xdr:colOff>
      <xdr:row>5</xdr:row>
      <xdr:rowOff>123825</xdr:rowOff>
    </xdr:from>
    <xdr:ext cx="5715000" cy="353377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295275</xdr:colOff>
      <xdr:row>5</xdr:row>
      <xdr:rowOff>123825</xdr:rowOff>
    </xdr:from>
    <xdr:ext cx="5067300" cy="3533775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21</xdr:row>
      <xdr:rowOff>9525</xdr:rowOff>
    </xdr:from>
    <xdr:ext cx="5715000" cy="3533775"/>
    <xdr:graphicFrame>
      <xdr:nvGraphicFramePr>
        <xdr:cNvPr id="8" name="Chart 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476250</xdr:colOff>
      <xdr:row>39</xdr:row>
      <xdr:rowOff>152400</xdr:rowOff>
    </xdr:from>
    <xdr:ext cx="5715000" cy="3533775"/>
    <xdr:graphicFrame>
      <xdr:nvGraphicFramePr>
        <xdr:cNvPr id="9" name="Chart 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19050</xdr:colOff>
      <xdr:row>34</xdr:row>
      <xdr:rowOff>0</xdr:rowOff>
    </xdr:from>
    <xdr:ext cx="3638550" cy="3533775"/>
    <xdr:graphicFrame>
      <xdr:nvGraphicFramePr>
        <xdr:cNvPr id="10" name="Chart 1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52</xdr:row>
      <xdr:rowOff>66675</xdr:rowOff>
    </xdr:from>
    <xdr:ext cx="5419725" cy="2762250"/>
    <xdr:graphicFrame>
      <xdr:nvGraphicFramePr>
        <xdr:cNvPr id="11" name="Chart 1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714375</xdr:colOff>
      <xdr:row>2</xdr:row>
      <xdr:rowOff>0</xdr:rowOff>
    </xdr:from>
    <xdr:ext cx="5715000" cy="3533775"/>
    <xdr:graphicFrame>
      <xdr:nvGraphicFramePr>
        <xdr:cNvPr id="12" name="Chart 1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466725</xdr:colOff>
      <xdr:row>2</xdr:row>
      <xdr:rowOff>0</xdr:rowOff>
    </xdr:from>
    <xdr:ext cx="5067300" cy="3533775"/>
    <xdr:graphicFrame>
      <xdr:nvGraphicFramePr>
        <xdr:cNvPr id="13" name="Chart 1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a.tripbanyuwangi@gmail.com" id="{25b3b0cd-1e67-485c-980a-f5793dbc18c3}" userId="dela.tripbanyuwangi@gmail.com" providerId="google-sheets"/>
  <x18tc:person displayName="TRIP BANYUWANGI OFFICIAL" id="{5f333025-b55c-4f00-bfb7-9d15027e0495}" providerId="google-sheets"/>
  <x18tc:person displayName="Dela Trip Banyuwangi" id="{c2ce988c-bc8b-4a3a-a9e5-a7c1995b42a7}" providerId="google-sheets"/>
</x18tc:personList>
</file>

<file path=xl/tables/table1.xml><?xml version="1.0" encoding="utf-8"?>
<table xmlns="http://schemas.openxmlformats.org/spreadsheetml/2006/main" ref="A1:N5505" displayName="Table_1" name="Table_1" id="1">
  <tableColumns count="14">
    <tableColumn name="KODE" id="1"/>
    <tableColumn name="TANGGAL" id="2"/>
    <tableColumn name="NAMA" id="3"/>
    <tableColumn name="WHATSAPP" id="4"/>
    <tableColumn name="SOURCE" id="5"/>
    <tableColumn name="AGEN" id="6"/>
    <tableColumn name="STATUS" id="7"/>
    <tableColumn name="PAKET / DESTINASI" id="8"/>
    <tableColumn name="TANGGAL TRIP" id="9"/>
    <tableColumn name="PAX" id="10"/>
    <tableColumn name="ESTIMASI NILAI ORDER" id="11"/>
    <tableColumn name="KETERANGAN" id="12"/>
    <tableColumn name="TAHAPAN (STATUS)" id="13"/>
    <tableColumn name="ANALISA AI" id="14"/>
  </tableColumns>
  <tableStyleInfo name="Input Data-style" showColumnStripes="0" showFirstColumn="1" showLastColumn="1" showRowStripes="1"/>
</table>
</file>

<file path=xl/tables/table2.xml><?xml version="1.0" encoding="utf-8"?>
<table xmlns="http://schemas.openxmlformats.org/spreadsheetml/2006/main" ref="B3:G11" displayName="Tahapan_Leads" name="Tahapan_Leads" id="4">
  <tableColumns count="6">
    <tableColumn name="Nomer" id="1"/>
    <tableColumn name="Tahapan" id="2"/>
    <tableColumn name="Keterangan" id="3"/>
    <tableColumn name="Next Action" id="4"/>
    <tableColumn name="Yes" id="5"/>
    <tableColumn name="No" id="6"/>
  </tableColumns>
  <tableStyleInfo name="Tahapan Leads-style" showColumnStripes="0" showFirstColumn="1" showLastColumn="1" showRowStripes="1"/>
</table>
</file>

<file path=xl/tables/table3.xml><?xml version="1.0" encoding="utf-8"?>
<table xmlns="http://schemas.openxmlformats.org/spreadsheetml/2006/main" ref="A1:L5505" displayName="Table_3" name="Table_3" id="3">
  <tableColumns count="12">
    <tableColumn name="TANGGAL" id="1"/>
    <tableColumn name="KODE" id="2"/>
    <tableColumn name="NAMA" id="3"/>
    <tableColumn name="WHATSAPP" id="4"/>
    <tableColumn name="SOURCE" id="5"/>
    <tableColumn name="STATUS" id="6"/>
    <tableColumn name="PAKET / DESTINASI" id="7"/>
    <tableColumn name="TANGGAL TRIP" id="8"/>
    <tableColumn name="PAX" id="9"/>
    <tableColumn name="ESTIMASI NILAI ORDER" id="10"/>
    <tableColumn name="KETERANGAN" id="11"/>
    <tableColumn name="ANALISA AI" id="12"/>
  </tableColumns>
  <tableStyleInfo name="Leads_Dela-style" showColumnStripes="0" showFirstColumn="1" showLastColumn="1" showRowStripes="1"/>
</table>
</file>

<file path=xl/tables/table4.xml><?xml version="1.0" encoding="utf-8"?>
<table xmlns="http://schemas.openxmlformats.org/spreadsheetml/2006/main" ref="A1:L5505" displayName="Table_2" name="Table_2" id="2">
  <tableColumns count="12">
    <tableColumn name="TANGGAL" id="1"/>
    <tableColumn name="KODE" id="2"/>
    <tableColumn name="NAMA" id="3"/>
    <tableColumn name="WHATSAPP" id="4"/>
    <tableColumn name="SOURCE" id="5"/>
    <tableColumn name="STATUS" id="6"/>
    <tableColumn name="PAKET / DESTINASI" id="7"/>
    <tableColumn name="TANGGAL TRIP" id="8"/>
    <tableColumn name="PAX" id="9"/>
    <tableColumn name="ESTIMASI NILAI ORDER" id="10"/>
    <tableColumn name="KETERANGAN" id="11"/>
    <tableColumn name="ANALISA AI" id="12"/>
  </tableColumns>
  <tableStyleInfo name="Leads_Alvin-style" showColumnStripes="0" showFirstColumn="1" showLastColumn="1" showRowStripes="1"/>
</table>
</file>

<file path=xl/tables/table5.xml><?xml version="1.0" encoding="utf-8"?>
<table xmlns="http://schemas.openxmlformats.org/spreadsheetml/2006/main" ref="A1:L5505" displayName="Table_4" name="Table_4" id="5">
  <tableColumns count="12">
    <tableColumn name="TANGGAL" id="1"/>
    <tableColumn name="KODE" id="2"/>
    <tableColumn name="NAMA" id="3"/>
    <tableColumn name="WHATSAPP" id="4"/>
    <tableColumn name="SOURCE" id="5"/>
    <tableColumn name="STATUS" id="6"/>
    <tableColumn name="PAKET / DESTINASI" id="7"/>
    <tableColumn name="TANGGAL TRIP" id="8"/>
    <tableColumn name="PAX" id="9"/>
    <tableColumn name="ESTIMASI NILAI ORDER" id="10"/>
    <tableColumn name="KETERANGAN" id="11"/>
    <tableColumn name="ANALISA AI" id="12"/>
  </tableColumns>
  <tableStyleInfo name="Leads_Holiday-style" showColumnStripes="0" showFirstColumn="1" showLastColumn="1" showRowStripes="1"/>
</table>
</file>

<file path=xl/tables/table6.xml><?xml version="1.0" encoding="utf-8"?>
<table xmlns="http://schemas.openxmlformats.org/spreadsheetml/2006/main" ref="B3:E42" displayName="NEW_LEADS" name="NEW_LEADS" id="6">
  <tableColumns count="4">
    <tableColumn name="Data" id="1"/>
    <tableColumn name="Request" id="2"/>
    <tableColumn name="Notes" id="3"/>
    <tableColumn name="GPT Result" id="4"/>
  </tableColumns>
  <tableStyleInfo name="Dela_Pipeline-style" showColumnStripes="0" showFirstColumn="1" showLastColumn="1" showRowStripes="1"/>
</table>
</file>

<file path=xl/tables/table7.xml><?xml version="1.0" encoding="utf-8"?>
<table xmlns="http://schemas.openxmlformats.org/spreadsheetml/2006/main" ref="G3:K46" displayName="QUALIFIED" name="QUALIFIED" id="7">
  <tableColumns count="5">
    <tableColumn name="Data" id="1"/>
    <tableColumn name="Request" id="2"/>
    <tableColumn name="Notes" id="3"/>
    <tableColumn name="GPT Result" id="4"/>
    <tableColumn name="Column 1" id="5"/>
  </tableColumns>
  <tableStyleInfo name="Dela_Pipeline-style 2" showColumnStripes="0" showFirstColumn="1" showLastColumn="1" showRowStripes="1"/>
</table>
</file>

<file path=xl/tables/table8.xml><?xml version="1.0" encoding="utf-8"?>
<table xmlns="http://schemas.openxmlformats.org/spreadsheetml/2006/main" ref="L3:O19" displayName="PROSPEK" name="PROSPEK" id="8">
  <tableColumns count="4">
    <tableColumn name="Data" id="1"/>
    <tableColumn name="Request" id="2"/>
    <tableColumn name="Notes" id="3"/>
    <tableColumn name="GPT Result" id="4"/>
  </tableColumns>
  <tableStyleInfo name="Dela_Pipeline-style 3" showColumnStripes="0" showFirstColumn="1" showLastColumn="1" showRowStripes="1"/>
</table>
</file>

<file path=xl/tables/table9.xml><?xml version="1.0" encoding="utf-8"?>
<table xmlns="http://schemas.openxmlformats.org/spreadsheetml/2006/main" ref="Q3:T9" displayName="FOLLOW_UP" name="FOLLOW_UP" id="9">
  <tableColumns count="4">
    <tableColumn name="Data" id="1"/>
    <tableColumn name="Request" id="2"/>
    <tableColumn name="Notes" id="3"/>
    <tableColumn name="GPT Result" id="4"/>
  </tableColumns>
  <tableStyleInfo name="Dela_Pipeline-style 4" showColumnStripes="0" showFirstColumn="1" showLastColumn="1" showRowStripes="1"/>
</table>
</file>

<file path=xl/tables/table10.xml><?xml version="1.0" encoding="utf-8"?>
<table xmlns="http://schemas.openxmlformats.org/spreadsheetml/2006/main" ref="V3:Y7" displayName="WARM_LEADS" name="WARM_LEADS" id="10">
  <tableColumns count="4">
    <tableColumn name="Data" id="1"/>
    <tableColumn name="Request" id="2"/>
    <tableColumn name="Notes" id="3"/>
    <tableColumn name="GPT Result" id="4"/>
  </tableColumns>
  <tableStyleInfo name="Dela_Pipeline-style 5" showColumnStripes="0" showFirstColumn="1" showLastColumn="1" showRowStripes="1"/>
</table>
</file>

<file path=xl/tables/table11.xml><?xml version="1.0" encoding="utf-8"?>
<table xmlns="http://schemas.openxmlformats.org/spreadsheetml/2006/main" ref="AA3:AD4" displayName="HOT_LEADS" name="HOT_LEADS" id="11">
  <tableColumns count="4">
    <tableColumn name="Data" id="1"/>
    <tableColumn name="Request" id="2"/>
    <tableColumn name="Notes" id="3"/>
    <tableColumn name="GPT Result" id="4"/>
  </tableColumns>
  <tableStyleInfo name="Dela_Pipeline-style 6" showColumnStripes="0" showFirstColumn="1" showLastColumn="1" showRowStripes="1"/>
</table>
</file>

<file path=xl/tables/table12.xml><?xml version="1.0" encoding="utf-8"?>
<table xmlns="http://schemas.openxmlformats.org/spreadsheetml/2006/main" ref="B3:E42" displayName="NEW_LEADS_Alvin" name="NEW_LEADS_Alvin" id="12">
  <tableColumns count="4">
    <tableColumn name="Data" id="1"/>
    <tableColumn name="Request" id="2"/>
    <tableColumn name="Notes" id="3"/>
    <tableColumn name="GPT Result" id="4"/>
  </tableColumns>
  <tableStyleInfo name="Alvin_Pipeline-style" showColumnStripes="0" showFirstColumn="1" showLastColumn="1" showRowStripes="1"/>
</table>
</file>

<file path=xl/tables/table13.xml><?xml version="1.0" encoding="utf-8"?>
<table xmlns="http://schemas.openxmlformats.org/spreadsheetml/2006/main" ref="G3:J46" displayName="QUALIFIED_Alvin" name="QUALIFIED_Alvin" id="13">
  <tableColumns count="4">
    <tableColumn name="Data" id="1"/>
    <tableColumn name="Request" id="2"/>
    <tableColumn name="Notes" id="3"/>
    <tableColumn name="GPT Result" id="4"/>
  </tableColumns>
  <tableStyleInfo name="Alvin_Pipeline-style 2" showColumnStripes="0" showFirstColumn="1" showLastColumn="1" showRowStripes="1"/>
</table>
</file>

<file path=xl/tables/table14.xml><?xml version="1.0" encoding="utf-8"?>
<table xmlns="http://schemas.openxmlformats.org/spreadsheetml/2006/main" ref="L3:O19" displayName="PROSPEK_ALVIN" name="PROSPEK_ALVIN" id="14">
  <tableColumns count="4">
    <tableColumn name="Data" id="1"/>
    <tableColumn name="Request" id="2"/>
    <tableColumn name="Notes" id="3"/>
    <tableColumn name="GPT Result" id="4"/>
  </tableColumns>
  <tableStyleInfo name="Alvin_Pipeline-style 3" showColumnStripes="0" showFirstColumn="1" showLastColumn="1" showRowStripes="1"/>
</table>
</file>

<file path=xl/tables/table15.xml><?xml version="1.0" encoding="utf-8"?>
<table xmlns="http://schemas.openxmlformats.org/spreadsheetml/2006/main" ref="Q3:T9" displayName="FOLLOW_UP_ALVIN" name="FOLLOW_UP_ALVIN" id="15">
  <tableColumns count="4">
    <tableColumn name="Data" id="1"/>
    <tableColumn name="Request" id="2"/>
    <tableColumn name="Notes" id="3"/>
    <tableColumn name="GPT Result" id="4"/>
  </tableColumns>
  <tableStyleInfo name="Alvin_Pipeline-style 4" showColumnStripes="0" showFirstColumn="1" showLastColumn="1" showRowStripes="1"/>
</table>
</file>

<file path=xl/tables/table16.xml><?xml version="1.0" encoding="utf-8"?>
<table xmlns="http://schemas.openxmlformats.org/spreadsheetml/2006/main" ref="V3:Y7" displayName="WARM_LEADS_Alvin" name="WARM_LEADS_Alvin" id="16">
  <tableColumns count="4">
    <tableColumn name="Data" id="1"/>
    <tableColumn name="Request" id="2"/>
    <tableColumn name="Notes" id="3"/>
    <tableColumn name="GPT Result" id="4"/>
  </tableColumns>
  <tableStyleInfo name="Alvin_Pipeline-style 5" showColumnStripes="0" showFirstColumn="1" showLastColumn="1" showRowStripes="1"/>
</table>
</file>

<file path=xl/tables/table17.xml><?xml version="1.0" encoding="utf-8"?>
<table xmlns="http://schemas.openxmlformats.org/spreadsheetml/2006/main" ref="AA3:AD4" displayName="HOT_LEADS_Alvin" name="HOT_LEADS_Alvin" id="17">
  <tableColumns count="4">
    <tableColumn name="Data" id="1"/>
    <tableColumn name="Request" id="2"/>
    <tableColumn name="Notes" id="3"/>
    <tableColumn name="GPT Result" id="4"/>
  </tableColumns>
  <tableStyleInfo name="Alvin_Pipeline-style 6" showColumnStripes="0" showFirstColumn="1" showLastColumn="1" showRowStripes="1"/>
</table>
</file>

<file path=xl/tables/table18.xml><?xml version="1.0" encoding="utf-8"?>
<table xmlns="http://schemas.openxmlformats.org/spreadsheetml/2006/main" ref="B3:E42" displayName="NEW_LEADS_Holiday" name="NEW_LEADS_Holiday" id="18">
  <tableColumns count="4">
    <tableColumn name="Data" id="1"/>
    <tableColumn name="Request" id="2"/>
    <tableColumn name="Notes" id="3"/>
    <tableColumn name="GPT Result" id="4"/>
  </tableColumns>
  <tableStyleInfo name="Holiday_Pipeline-style" showColumnStripes="0" showFirstColumn="1" showLastColumn="1" showRowStripes="1"/>
</table>
</file>

<file path=xl/tables/table19.xml><?xml version="1.0" encoding="utf-8"?>
<table xmlns="http://schemas.openxmlformats.org/spreadsheetml/2006/main" ref="G3:J46" displayName="QUALIFIED_Holiday" name="QUALIFIED_Holiday" id="19">
  <tableColumns count="4">
    <tableColumn name="Data" id="1"/>
    <tableColumn name="Request" id="2"/>
    <tableColumn name="Notes" id="3"/>
    <tableColumn name="GPT Result" id="4"/>
  </tableColumns>
  <tableStyleInfo name="Holiday_Pipeline-style 2" showColumnStripes="0" showFirstColumn="1" showLastColumn="1" showRowStripes="1"/>
</table>
</file>

<file path=xl/tables/table20.xml><?xml version="1.0" encoding="utf-8"?>
<table xmlns="http://schemas.openxmlformats.org/spreadsheetml/2006/main" ref="L3:O19" displayName="PROSPEK_Holiday" name="PROSPEK_Holiday" id="20">
  <tableColumns count="4">
    <tableColumn name="Data" id="1"/>
    <tableColumn name="Request" id="2"/>
    <tableColumn name="Notes" id="3"/>
    <tableColumn name="GPT Result" id="4"/>
  </tableColumns>
  <tableStyleInfo name="Holiday_Pipeline-style 3" showColumnStripes="0" showFirstColumn="1" showLastColumn="1" showRowStripes="1"/>
</table>
</file>

<file path=xl/tables/table21.xml><?xml version="1.0" encoding="utf-8"?>
<table xmlns="http://schemas.openxmlformats.org/spreadsheetml/2006/main" ref="Q3:T9" displayName="FOLLOW_UP_Holiday" name="FOLLOW_UP_Holiday" id="21">
  <tableColumns count="4">
    <tableColumn name="Data" id="1"/>
    <tableColumn name="Request" id="2"/>
    <tableColumn name="Notes" id="3"/>
    <tableColumn name="GPT Result" id="4"/>
  </tableColumns>
  <tableStyleInfo name="Holiday_Pipeline-style 4" showColumnStripes="0" showFirstColumn="1" showLastColumn="1" showRowStripes="1"/>
</table>
</file>

<file path=xl/tables/table22.xml><?xml version="1.0" encoding="utf-8"?>
<table xmlns="http://schemas.openxmlformats.org/spreadsheetml/2006/main" ref="V3:Y7" displayName="WARM_LEADS_Holiday" name="WARM_LEADS_Holiday" id="22">
  <tableColumns count="4">
    <tableColumn name="Data" id="1"/>
    <tableColumn name="Request" id="2"/>
    <tableColumn name="Notes" id="3"/>
    <tableColumn name="GPT Result" id="4"/>
  </tableColumns>
  <tableStyleInfo name="Holiday_Pipeline-style 5" showColumnStripes="0" showFirstColumn="1" showLastColumn="1" showRowStripes="1"/>
</table>
</file>

<file path=xl/tables/table23.xml><?xml version="1.0" encoding="utf-8"?>
<table xmlns="http://schemas.openxmlformats.org/spreadsheetml/2006/main" ref="AA3:AD4" displayName="HOT_LEADS_Alvin_2" name="HOT_LEADS_Alvin_2" id="23">
  <tableColumns count="4">
    <tableColumn name="Data" id="1"/>
    <tableColumn name="Request" id="2"/>
    <tableColumn name="Notes" id="3"/>
    <tableColumn name="GPT Result" id="4"/>
  </tableColumns>
  <tableStyleInfo name="Holiday_Pipeline-style 6" showColumnStripes="0" showFirstColumn="1" showLastColumn="1" showRowStripes="1"/>
</table>
</file>

<file path=xl/tables/table24.xml><?xml version="1.0" encoding="utf-8"?>
<table xmlns="http://schemas.openxmlformats.org/spreadsheetml/2006/main" ref="R2:AA19" displayName="Table_5" name="Table_5" id="24">
  <tableColumns count="10">
    <tableColumn name="KODE" id="1"/>
    <tableColumn name="TANGGAL" id="2"/>
    <tableColumn name="NAMA" id="3"/>
    <tableColumn name="WHATSAPP" id="4"/>
    <tableColumn name="STATUS" id="5"/>
    <tableColumn name="PAKET / DESTINASI" id="6"/>
    <tableColumn name="TANGGAL TRIP" id="7"/>
    <tableColumn name="PAX" id="8"/>
    <tableColumn name="ESTIMASI NILAI ORDER" id="9"/>
    <tableColumn name="KETERANGAN" id="10"/>
  </tableColumns>
  <tableStyleInfo name="Pipeline Alv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7" dT="2026-02-07T19:02:51.00" personId="{5f333025-b55c-4f00-bfb7-9d15027e0495}" id="{386d3890-57fa-40be-9de2-64205cc2d941}" done="1">
    <x18tc:text xml:space="preserve">@dela.tripbanyuwangi@gmail.com Ini kapan? Statusnya bagaimana?
Ditugaskan kepada dela.tripbanyuwangi@gmail.com</x18tc:text>
    <x18tc:mentions>
      <x18tc:mention mentionpersonId="{25b3b0cd-1e67-485c-980a-f5793dbc18c3}" mentionId="{efa76ccb-7869-4133-a9b7-3f91aa5f35ab}" startIndex="0" length="30"/>
    </x18tc:mentions>
  </x18tc:threadedComment>
  <x18tc:threadedComment ref="F57" dT="2026-02-09T02:22:43.00" personId="{c2ce988c-bc8b-4a3a-a9e5-a7c1995b42a7}" id="{30418095-1a24-4ff5-b26b-b2c398c58fc5}" parentId="{386d3890-57fa-40be-9de2-64205cc2d941}">
    <x18tc:text xml:space="preserve">tanggal pasti belum ada mas, cuma bilang setelah ramadhan, kemarin sudah contact tanya terkait transport ke baluran</x18tc:text>
  </x18tc:threadedComment>
  <x18tc:threadedComment ref="F36" dT="2026-02-07T19:03:43.00" personId="{5f333025-b55c-4f00-bfb7-9d15027e0495}" id="{1f4e8011-ff77-4875-984a-7ed421c60fbb}" done="1">
    <x18tc:text xml:space="preserve">@dela.tripbanyuwangi@gmail.com
Ditugaskan kepada dela.tripbanyuwangi@gmail.com</x18tc:text>
    <x18tc:mentions>
      <x18tc:mention mentionpersonId="{25b3b0cd-1e67-485c-980a-f5793dbc18c3}" mentionId="{f88d91c2-3191-4795-9015-ddc8ea0d385a}" startIndex="0" length="30"/>
    </x18tc:mentions>
  </x18tc:threadedComment>
  <x18tc:threadedComment ref="F36" dT="2026-02-09T02:21:34.00" personId="{c2ce988c-bc8b-4a3a-a9e5-a7c1995b42a7}" id="{5bf92195-5cad-4632-9daf-532038893512}" parentId="{1f4e8011-ff77-4875-984a-7ed421c60fbb}">
    <x18tc:text xml:space="preserve">sudah di FU belum ada jawaban mas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document/d/1L-7Eatb8VGovZhCBXD7YlYFS6Sg4JFCOt1-y5B_jUXQ/edit?tab=t.0" TargetMode="External"/><Relationship Id="rId194" Type="http://schemas.openxmlformats.org/officeDocument/2006/relationships/hyperlink" Target="https://docs.google.com/document/d/1HiIhsYUVmorMXWR0uY0zfQHqNuTwlJP0ErjaqLpV__U/edit?tab=t.0" TargetMode="External"/><Relationship Id="rId193" Type="http://schemas.openxmlformats.org/officeDocument/2006/relationships/hyperlink" Target="https://docs.google.com/document/d/1BScTqXtBpVmHyV0rwDE7lm9BgAh5V5avOqfvqx7BwdQ/edit?tab=t.0" TargetMode="External"/><Relationship Id="rId192" Type="http://schemas.openxmlformats.org/officeDocument/2006/relationships/hyperlink" Target="https://docs.google.com/document/d/1BgXKXWReknvsaVDha8u_CC2HO3oT8_bO3Bgg3JZIUMI/edit?tab=t.0" TargetMode="External"/><Relationship Id="rId191" Type="http://schemas.openxmlformats.org/officeDocument/2006/relationships/hyperlink" Target="https://docs.google.com/document/d/1JRyfC1kx7oC3n22QwRQLt7_us6MB85SRPjLwGAMwBEE/edit?usp=sharing" TargetMode="External"/><Relationship Id="rId187" Type="http://schemas.openxmlformats.org/officeDocument/2006/relationships/hyperlink" Target="https://docs.google.com/document/d/1NpmPjznKr8eOu33mzvIpT7C6knljoTf898xomYMjUro/edit?tab=t.0" TargetMode="External"/><Relationship Id="rId186" Type="http://schemas.openxmlformats.org/officeDocument/2006/relationships/hyperlink" Target="https://docs.google.com/document/d/15qkuA-TZio0KA-pE5Dvhy_8cmwsIwJXZRuRvcGHQosI/edit?tab=t.0" TargetMode="External"/><Relationship Id="rId185" Type="http://schemas.openxmlformats.org/officeDocument/2006/relationships/hyperlink" Target="https://docs.google.com/document/d/1pklc54rNUj4xRDIS8HV-QSlbFJ3cKJCTZ8RLmJXieSs/edit?tab=t.0" TargetMode="External"/><Relationship Id="rId184" Type="http://schemas.openxmlformats.org/officeDocument/2006/relationships/hyperlink" Target="https://docs.google.com/document/d/1rkf52aNbSGvG3l7RqQmVjlrGE7XMoTt_4zmWC6P3klM/edit?tab=t.0" TargetMode="External"/><Relationship Id="rId189" Type="http://schemas.openxmlformats.org/officeDocument/2006/relationships/hyperlink" Target="https://docs.google.com/document/d/1thtwV5znaS5XYCKBHnTVhEIrxg978zuoGDeOj2bHom8/edit?tab=t.0" TargetMode="External"/><Relationship Id="rId188" Type="http://schemas.openxmlformats.org/officeDocument/2006/relationships/hyperlink" Target="https://docs.google.com/document/d/1bWbEcNAAr9XMhhtrdum94C20FUPSCHL6kZSbW3MZH4k/edit?usp=sharing" TargetMode="External"/><Relationship Id="rId183" Type="http://schemas.openxmlformats.org/officeDocument/2006/relationships/hyperlink" Target="https://docs.google.com/document/d/1poLmlCEHG7XWRuGIvRV3OpZQjReiu01uC4u7uztG-KU/edit?tab=t.0" TargetMode="External"/><Relationship Id="rId182" Type="http://schemas.openxmlformats.org/officeDocument/2006/relationships/hyperlink" Target="https://docs.google.com/document/d/1GQ-gB6RLaTJ3SbxgOJK99AU6IzHO5r6UQlrsJyaZSNM/edit?tab=t.0" TargetMode="External"/><Relationship Id="rId181" Type="http://schemas.openxmlformats.org/officeDocument/2006/relationships/hyperlink" Target="https://docs.google.com/document/d/1iwvos4ukbIhbx_5xESDYw6sO8W7jJRhIArHeAH_3D5M/edit?usp=sharing" TargetMode="External"/><Relationship Id="rId180" Type="http://schemas.openxmlformats.org/officeDocument/2006/relationships/hyperlink" Target="https://docs.google.com/document/d/1V3orTRx2b4SEvBXNB5sgVwC5f6dRW-FPPdx6HGTv1YQ/edit?tab=t.0" TargetMode="External"/><Relationship Id="rId176" Type="http://schemas.openxmlformats.org/officeDocument/2006/relationships/hyperlink" Target="https://docs.google.com/document/d/1Atv9cZ86fzq5YAs1oklAxNWkBH0mudpF4hNwyKoADTY/edit?usp=sharing" TargetMode="External"/><Relationship Id="rId297" Type="http://schemas.openxmlformats.org/officeDocument/2006/relationships/hyperlink" Target="https://docs.google.com/document/d/1mNwYwi2re9rg4r-uLsNGYOv4QVER_qOVem6f2K8xaho/edit?usp=sharing" TargetMode="External"/><Relationship Id="rId175" Type="http://schemas.openxmlformats.org/officeDocument/2006/relationships/hyperlink" Target="https://docs.google.com/document/d/1CyKrL_5-hiFqvLSGzshnXcHx7kwtdIOC5RjNuUy2iFI/edit?usp=sharing" TargetMode="External"/><Relationship Id="rId296" Type="http://schemas.openxmlformats.org/officeDocument/2006/relationships/hyperlink" Target="https://docs.google.com/document/d/13AGnN7-A4DwLwb8t7WqtzcF3aSk3R5f5pEdD2SMe_dE/edit?usp=sharing" TargetMode="External"/><Relationship Id="rId174" Type="http://schemas.openxmlformats.org/officeDocument/2006/relationships/hyperlink" Target="https://docs.google.com/document/d/1yEYYflTAtV4uS7mL7WXQx1BbbTMBuye25vXeeTuY1OY/edit?usp=sharing" TargetMode="External"/><Relationship Id="rId295" Type="http://schemas.openxmlformats.org/officeDocument/2006/relationships/hyperlink" Target="https://docs.google.com/document/d/19FNWrpTJ_01e2zLRWnx9eORCQbrhHfeDnQEsqlyM5CA/edit?usp=sharing" TargetMode="External"/><Relationship Id="rId173" Type="http://schemas.openxmlformats.org/officeDocument/2006/relationships/hyperlink" Target="https://docs.google.com/document/d/1_D609ow8tpoS66gAPI9ruax0NuLmvRZyjOZ0W0kB3Ao/edit?usp=drivesdk" TargetMode="External"/><Relationship Id="rId294" Type="http://schemas.openxmlformats.org/officeDocument/2006/relationships/hyperlink" Target="https://docs.google.com/document/d/1txr-s5SSLmwK-btZxN9Pgq04TGYBUh_llkUDTvxmd2o/edit?tab=t.0" TargetMode="External"/><Relationship Id="rId179" Type="http://schemas.openxmlformats.org/officeDocument/2006/relationships/hyperlink" Target="https://docs.google.com/document/d/1zHT--hvn-tgSLgQfLe-HjO40cOFxyHIiL8h3DBcS0HM/edit?tab=t.0" TargetMode="External"/><Relationship Id="rId178" Type="http://schemas.openxmlformats.org/officeDocument/2006/relationships/hyperlink" Target="https://docs.google.com/document/d/1L2KFELN8aBEyQM7-PdDpQjkUT5S4_LFfFT4nxs9Ck00/edit?tab=t.0" TargetMode="External"/><Relationship Id="rId299" Type="http://schemas.openxmlformats.org/officeDocument/2006/relationships/hyperlink" Target="https://docs.google.com/document/d/1JG8N3Jkp6Wq2VdmMjmE58np7zkRwq9MuOrdtsLAnMV4/edit?tab=t.0" TargetMode="External"/><Relationship Id="rId177" Type="http://schemas.openxmlformats.org/officeDocument/2006/relationships/hyperlink" Target="https://docs.google.com/document/d/13PBvpOXEkr5-SRwEQySm2LE0rqChjcu8q81zVmn4yik/edit?usp=sharing" TargetMode="External"/><Relationship Id="rId298" Type="http://schemas.openxmlformats.org/officeDocument/2006/relationships/hyperlink" Target="https://docs.google.com/document/d/1r5GdYSSVmM4s2x4lpbeB7GN2ryRh07hfEON5MeHY5TU/edit?tab=t.0" TargetMode="External"/><Relationship Id="rId198" Type="http://schemas.openxmlformats.org/officeDocument/2006/relationships/hyperlink" Target="https://docs.google.com/document/d/1bWDLC_S1dDdqUJIl6l8SadiOJ_wEc2KGgd1yRhuL91c/edit?tab=t.0" TargetMode="External"/><Relationship Id="rId197" Type="http://schemas.openxmlformats.org/officeDocument/2006/relationships/hyperlink" Target="https://docs.google.com/document/d/1JSINNaWFr_ZkP7csCGIZsC45LOomiRGplMqXsufS4lI/edit?usp=sharing" TargetMode="External"/><Relationship Id="rId196" Type="http://schemas.openxmlformats.org/officeDocument/2006/relationships/hyperlink" Target="https://docs.google.com/document/d/1b1u9Bt1He2Mo5aXyEn-_ikqX0tMdouiX-GLsvkdUHHw/edit?usp=sharing" TargetMode="External"/><Relationship Id="rId195" Type="http://schemas.openxmlformats.org/officeDocument/2006/relationships/hyperlink" Target="https://docs.google.com/document/d/1KVtMRAowJ8myc7_jm588z2AFelwGA1NWrGqNGhdcD_Y/edit?usp=sharing" TargetMode="External"/><Relationship Id="rId199" Type="http://schemas.openxmlformats.org/officeDocument/2006/relationships/hyperlink" Target="https://docs.google.com/document/d/1DMMts7_QbzPyB1W58DRSGL4WPjjxYmk128R6KzvFYrU/edit?tab=t.0" TargetMode="External"/><Relationship Id="rId150" Type="http://schemas.openxmlformats.org/officeDocument/2006/relationships/hyperlink" Target="https://docs.google.com/document/d/1WDLIQDMqF30_WieKCw0rdIX3Wb6BiHGBVCDTjGnWC2Q/edit?tab=t.0" TargetMode="External"/><Relationship Id="rId271" Type="http://schemas.openxmlformats.org/officeDocument/2006/relationships/hyperlink" Target="https://docs.google.com/document/d/10-B0iQPVK_hJIDZfTn4_Ka0kwvz5M9fI6kBkC_Jvcu4/edit?tab=t.0" TargetMode="External"/><Relationship Id="rId392" Type="http://schemas.openxmlformats.org/officeDocument/2006/relationships/hyperlink" Target="https://docs.google.com/document/d/1umxVFt11vI8O4VCFAyb3nQhbvyxnjLiZCV1JrrekWJg/edit?usp=sharing" TargetMode="External"/><Relationship Id="rId270" Type="http://schemas.openxmlformats.org/officeDocument/2006/relationships/hyperlink" Target="https://docs.google.com/document/d/1GEwgQ-Ah4bEugla8Br3o8yLzmMCA-PCU-yfLlACEBWw/edit?usp=drivesdk" TargetMode="External"/><Relationship Id="rId391" Type="http://schemas.openxmlformats.org/officeDocument/2006/relationships/hyperlink" Target="https://docs.google.com/document/d/1LHtpVf3NdAI-vAH9vaeB8Rj2K3uRud5DL47eGjvvoxU/edit?usp=sharing" TargetMode="External"/><Relationship Id="rId390" Type="http://schemas.openxmlformats.org/officeDocument/2006/relationships/hyperlink" Target="https://docs.google.com/document/d/1AjBY8BCoVDTovakPW8tYxCqeUYfqPlnGQWrNOT5vPHs/edit?tab=t.0" TargetMode="External"/><Relationship Id="rId1" Type="http://schemas.openxmlformats.org/officeDocument/2006/relationships/hyperlink" Target="https://docs.google.com/document/d/1wA6Vstebr_OPv-YiZuHCtRJ0dphAaw92AabZKFpW9i0/edit?tab=t.0" TargetMode="External"/><Relationship Id="rId2" Type="http://schemas.openxmlformats.org/officeDocument/2006/relationships/hyperlink" Target="https://docs.google.com/document/d/1fMFdvXachGDtyak_UDLjTqjsPv8dJU-8h8riaob89KM/edit?tab=t.0" TargetMode="External"/><Relationship Id="rId3" Type="http://schemas.openxmlformats.org/officeDocument/2006/relationships/hyperlink" Target="https://docs.google.com/document/d/1vdzggSvQW_6p_JDwwPzKp9o4Qo3PymCg6LpFHcmIR1M/edit?tab=t.0" TargetMode="External"/><Relationship Id="rId149" Type="http://schemas.openxmlformats.org/officeDocument/2006/relationships/hyperlink" Target="https://docs.google.com/document/d/1kLTBF4HokNJs-w_8ZEioVbjH9F6I9Fd7GZZckzsJBok/edit?tab=t.0" TargetMode="External"/><Relationship Id="rId4" Type="http://schemas.openxmlformats.org/officeDocument/2006/relationships/hyperlink" Target="https://docs.google.com/document/d/1GT9NMnoa3lcZIxGW9QCfVEc-3eBA1sFnuwQzkzq4o4M/edit?tab=t.0" TargetMode="External"/><Relationship Id="rId148" Type="http://schemas.openxmlformats.org/officeDocument/2006/relationships/hyperlink" Target="https://docs.google.com/document/d/1ImZ2DQqVT-2OrII48xmimrQstKre5eS0T32EmvKC2Ng/edit?usp=sharing" TargetMode="External"/><Relationship Id="rId269" Type="http://schemas.openxmlformats.org/officeDocument/2006/relationships/hyperlink" Target="https://docs.google.com/document/d/1qskYbktmW1TouXvT76GUk6i_0WL2Id-O1eVL9uxQc6g/edit?usp=drivesdk" TargetMode="External"/><Relationship Id="rId9" Type="http://schemas.openxmlformats.org/officeDocument/2006/relationships/hyperlink" Target="https://docs.google.com/document/d/1KvgxfmxwbvtEdsYUmvDVH8AmLHY6-gICC8p8r-iFWWI/edit?tab=t.0" TargetMode="External"/><Relationship Id="rId143" Type="http://schemas.openxmlformats.org/officeDocument/2006/relationships/hyperlink" Target="https://docs.google.com/document/d/188WSJ__JnCjKWa2EkLpMgBOEN6GXmSGhO37ogQAysDM/edit?tab=t.0" TargetMode="External"/><Relationship Id="rId264" Type="http://schemas.openxmlformats.org/officeDocument/2006/relationships/hyperlink" Target="https://docs.google.com/document/d/1REAXMG0es5KNvHeF-KAsTxul7WHsXn6y-H12x460mng/edit?usp=sharing" TargetMode="External"/><Relationship Id="rId385" Type="http://schemas.openxmlformats.org/officeDocument/2006/relationships/hyperlink" Target="https://docs.google.com/document/d/1quEnHGdTJcq9hhALJ1AJUKQ-azpep4kmgHwXiKRMJ5A/edit?usp=sharing" TargetMode="External"/><Relationship Id="rId142" Type="http://schemas.openxmlformats.org/officeDocument/2006/relationships/hyperlink" Target="https://docs.google.com/document/d/13VdLjJT7irt71tXNqSoAnm8uUyhGyWZ_11iHshyAgUY/edit?usp=sharing" TargetMode="External"/><Relationship Id="rId263" Type="http://schemas.openxmlformats.org/officeDocument/2006/relationships/hyperlink" Target="https://docs.google.com/document/d/1hiJ3MVzlM7pzJzCjfGbhQmGFRI7XJ8O9ym5Ou4qv3X8/edit?tab=t.0" TargetMode="External"/><Relationship Id="rId384" Type="http://schemas.openxmlformats.org/officeDocument/2006/relationships/hyperlink" Target="https://docs.google.com/document/d/1mpqfMsTF18GGjC6WDjT8Axv5OYaworaP7cayb_z8GQo/edit?usp=sharing" TargetMode="External"/><Relationship Id="rId141" Type="http://schemas.openxmlformats.org/officeDocument/2006/relationships/hyperlink" Target="https://docs.google.com/document/d/1es5OHEvaDxyy_XrYins0EXSxtBFIKPer9jyDGHbAFhM/edit?tab=t.0" TargetMode="External"/><Relationship Id="rId262" Type="http://schemas.openxmlformats.org/officeDocument/2006/relationships/hyperlink" Target="https://docs.google.com/document/d/1U5CRndz9mX2-sZ9USBf9BaP5U5dEZxJMIMXywi8sNGE/edit?usp=drivesdk" TargetMode="External"/><Relationship Id="rId383" Type="http://schemas.openxmlformats.org/officeDocument/2006/relationships/hyperlink" Target="https://docs.google.com/document/d/1Et0BSbWrNalEVk85nZ4-6rfrtEDtHtbAfTNey3v5KH8/edit?usp=sharing" TargetMode="External"/><Relationship Id="rId140" Type="http://schemas.openxmlformats.org/officeDocument/2006/relationships/hyperlink" Target="https://docs.google.com/document/d/1NB8XufaILagXcrmdAimDWR-rogYLQtSpvRTYBPtcaRo/edit?tab=t.0" TargetMode="External"/><Relationship Id="rId261" Type="http://schemas.openxmlformats.org/officeDocument/2006/relationships/hyperlink" Target="https://docs.google.com/document/d/1YYj1C0XKk72COFtjtQBjoCDyzliiHz73NJVLYrlp4yE/edit?tab=t.0" TargetMode="External"/><Relationship Id="rId382" Type="http://schemas.openxmlformats.org/officeDocument/2006/relationships/hyperlink" Target="https://docs.google.com/document/d/1JNltuh7q1Le6b0ohCth1rBp-OMXRZujqqXGLvdoOTHs/edit?usp=sharing" TargetMode="External"/><Relationship Id="rId5" Type="http://schemas.openxmlformats.org/officeDocument/2006/relationships/hyperlink" Target="https://docs.google.com/document/d/1owrFmHM_sukRfYRa4zQEBuqM7mjk6T76hgm2yyhQq7I/edit?tab=t.0" TargetMode="External"/><Relationship Id="rId147" Type="http://schemas.openxmlformats.org/officeDocument/2006/relationships/hyperlink" Target="https://docs.google.com/document/d/1afskSDsgsB_EZ8p_YL8a2Avvfs09xv8ZH_u3YDTOV6M/edit?usp=sharing" TargetMode="External"/><Relationship Id="rId268" Type="http://schemas.openxmlformats.org/officeDocument/2006/relationships/hyperlink" Target="https://docs.google.com/document/d/1jlXAQhifCZdcHQlGp-jN66WyVWabuKT8-8LWCmZ0iWU/edit?usp=sharing" TargetMode="External"/><Relationship Id="rId389" Type="http://schemas.openxmlformats.org/officeDocument/2006/relationships/hyperlink" Target="https://docs.google.com/document/d/1ubq0Ip7xPVyg8ZBjIfFDcaQ1VmWNf-BxLe8ivWxflmQ/edit?tab=t.0" TargetMode="External"/><Relationship Id="rId6" Type="http://schemas.openxmlformats.org/officeDocument/2006/relationships/hyperlink" Target="https://docs.google.com/document/d/1WNu7Cyk_CX0yd-KTveK1mhJ7xL5DhL0u4yqOI9OoKps/edit?tab=t.0" TargetMode="External"/><Relationship Id="rId146" Type="http://schemas.openxmlformats.org/officeDocument/2006/relationships/hyperlink" Target="https://docs.google.com/document/d/1jK_20xfivfAFRwW7pxnh1HcWOlEWwF-mBfZoznxnpRM/edit?tab=t.0" TargetMode="External"/><Relationship Id="rId267" Type="http://schemas.openxmlformats.org/officeDocument/2006/relationships/hyperlink" Target="https://docs.google.com/document/d/1xSwno7VuWyPp5-qYM6yqsXLjREdapjNMUZSAGJ2qPSQ/edit?tab=t.0" TargetMode="External"/><Relationship Id="rId388" Type="http://schemas.openxmlformats.org/officeDocument/2006/relationships/hyperlink" Target="https://docs.google.com/document/d/1c17S0pxBtYvxsGVfqW4ikoMmrpZ6XgxkgbTfn9NlNhc/edit?tab=t.0" TargetMode="External"/><Relationship Id="rId7" Type="http://schemas.openxmlformats.org/officeDocument/2006/relationships/hyperlink" Target="https://docs.google.com/document/d/1LVPx6Knnjt0Zo-xWig0RuPdACmCYP4kO3oIzdCV-V3M/edit?tab=t.0" TargetMode="External"/><Relationship Id="rId145" Type="http://schemas.openxmlformats.org/officeDocument/2006/relationships/hyperlink" Target="https://docs.google.com/document/d/1VrGPe9lPLtS1Q6J-pimyK6scNDpKxGCsFYgmpk_6Gy8/edit?tab=t.0" TargetMode="External"/><Relationship Id="rId266" Type="http://schemas.openxmlformats.org/officeDocument/2006/relationships/hyperlink" Target="https://docs.google.com/document/d/1Q2JSvqPvvAFnjlutBohyWwKn1mwjm4gvVKyx99SgLfU/edit?tab=t.0" TargetMode="External"/><Relationship Id="rId387" Type="http://schemas.openxmlformats.org/officeDocument/2006/relationships/hyperlink" Target="https://docs.google.com/document/d/1PJFJOvn2faWLJ1Ux1j7Uu1bxaYrUiXoX0d45e367nEg/edit?tab=t.0" TargetMode="External"/><Relationship Id="rId8" Type="http://schemas.openxmlformats.org/officeDocument/2006/relationships/hyperlink" Target="https://docs.google.com/document/d/136SMbtvX3TL4Cj5B8n8miIXkxwe4gUR4X2iSv7S4rO8/edit?tab=t.0" TargetMode="External"/><Relationship Id="rId144" Type="http://schemas.openxmlformats.org/officeDocument/2006/relationships/hyperlink" Target="https://docs.google.com/document/d/1lD9a15JSkoUqNEWc4yAAkY9U5qc9a3NCOi3Mr2eD0dk/edit?usp=drivesdk" TargetMode="External"/><Relationship Id="rId265" Type="http://schemas.openxmlformats.org/officeDocument/2006/relationships/hyperlink" Target="https://docs.google.com/document/d/1OVA9iOWdO9AWQ9RIau5fDiDRE137Opu6r2ni8ftfVOQ/edit?usp=sharing" TargetMode="External"/><Relationship Id="rId386" Type="http://schemas.openxmlformats.org/officeDocument/2006/relationships/hyperlink" Target="https://docs.google.com/document/d/1VPryGzV7tYRaZLQaV9mY9xTpe87ztOzLpu1NPBQqML8/edit?usp=sharing" TargetMode="External"/><Relationship Id="rId260" Type="http://schemas.openxmlformats.org/officeDocument/2006/relationships/hyperlink" Target="https://docs.google.com/document/d/1MONAAMhrzI1AIle8BsD1q-yobhUClb32KYUBoJ7yoaM/edit?tab=t.0" TargetMode="External"/><Relationship Id="rId381" Type="http://schemas.openxmlformats.org/officeDocument/2006/relationships/hyperlink" Target="https://docs.google.com/document/d/1ZV9arjh86y1bYWqVLM5KgWjlMvtdtx7jrIkkc5_UGxA/edit?usp=sharing" TargetMode="External"/><Relationship Id="rId380" Type="http://schemas.openxmlformats.org/officeDocument/2006/relationships/hyperlink" Target="https://docs.google.com/document/d/1jNNWQMM1K-JNX3kpQHr-uTGcWSe-418PO4kp2KM2Mek/edit?usp=drivesdk" TargetMode="External"/><Relationship Id="rId139" Type="http://schemas.openxmlformats.org/officeDocument/2006/relationships/hyperlink" Target="https://docs.google.com/document/d/1-Oo9xna-eepDmWr_47y0rSdzc3lOcxL2AI2ldlGlg2o/edit?usp=sharing" TargetMode="External"/><Relationship Id="rId138" Type="http://schemas.openxmlformats.org/officeDocument/2006/relationships/hyperlink" Target="https://docs.google.com/document/d/1gW_EXGpkSe2_Y5up1f8c7DGMtM6Xb1nMiakPkC-zr9c/edit?tab=t.0" TargetMode="External"/><Relationship Id="rId259" Type="http://schemas.openxmlformats.org/officeDocument/2006/relationships/hyperlink" Target="https://docs.google.com/document/d/1GRiQeZjiv2jBxkud2z9hmpZmm0f6k_cSLyjOgxW-WS0/edit?tab=t.0" TargetMode="External"/><Relationship Id="rId137" Type="http://schemas.openxmlformats.org/officeDocument/2006/relationships/hyperlink" Target="https://docs.google.com/document/d/1ODdoPFhIMejdIzVB3Oc4FcACfbDPhJRttFrPG-j4Sgw/edit?tab=t.0" TargetMode="External"/><Relationship Id="rId258" Type="http://schemas.openxmlformats.org/officeDocument/2006/relationships/hyperlink" Target="https://docs.google.com/document/d/1cKGDZrklnTTZuBsIpwC6io3b0BXcXvhrB_A_6y0RyJc/edit?usp=drivesdk" TargetMode="External"/><Relationship Id="rId379" Type="http://schemas.openxmlformats.org/officeDocument/2006/relationships/hyperlink" Target="https://docs.google.com/document/d/10dnotU6s3JVD-IrIEAB0vbLeWPzVBoeQpYonpSw6F8M/edit?tab=t.0" TargetMode="External"/><Relationship Id="rId132" Type="http://schemas.openxmlformats.org/officeDocument/2006/relationships/hyperlink" Target="https://docs.google.com/document/d/1BrX-Nml2r4Ecu2-R2T4-TmWjJu9YkU8ukGMuWPxirQQ/edit?tab=t.0" TargetMode="External"/><Relationship Id="rId253" Type="http://schemas.openxmlformats.org/officeDocument/2006/relationships/hyperlink" Target="https://docs.google.com/document/d/1py2_RerZdnH-RzMBL_TdkZt-jfI-Tay4Q2zeNUXHDuM/edit?usp=drivesdk" TargetMode="External"/><Relationship Id="rId374" Type="http://schemas.openxmlformats.org/officeDocument/2006/relationships/hyperlink" Target="https://docs.google.com/document/d/1-cwMCPH082Ptf7_zffMp1LWyiKIf3AVpdGMe4oEpiCo/edit?tab=t.0" TargetMode="External"/><Relationship Id="rId495" Type="http://schemas.openxmlformats.org/officeDocument/2006/relationships/hyperlink" Target="https://docs.google.com/document/d/14nVUxQn49jSgY-IHGB_ZpviSf8lJr_HMeyKXc84oauI/edit?usp=sharing" TargetMode="External"/><Relationship Id="rId131" Type="http://schemas.openxmlformats.org/officeDocument/2006/relationships/hyperlink" Target="https://docs.google.com/document/d/1Ui-eY0TeF9AeLCO-OyEerDAxiWk_VK83Fb75ZBoHNdM/edit?tab=t.0" TargetMode="External"/><Relationship Id="rId252" Type="http://schemas.openxmlformats.org/officeDocument/2006/relationships/hyperlink" Target="https://docs.google.com/document/d/15GlHt0TOCeYUfGOgOrTVVyf6Gdj6A2frJMmeHl4gw54/edit?tab=t.0" TargetMode="External"/><Relationship Id="rId373" Type="http://schemas.openxmlformats.org/officeDocument/2006/relationships/hyperlink" Target="https://docs.google.com/document/d/1IQuM08vsAqb1Y1OB5s09NztU_jbbLoqT1Irk1xwyymk/edit?usp=drivesdk" TargetMode="External"/><Relationship Id="rId494" Type="http://schemas.openxmlformats.org/officeDocument/2006/relationships/hyperlink" Target="https://docs.google.com/document/d/1sQFymd2FffLYyZCnGlu7qJ4_vOOyFNx4VnnU9QhxdfQ/edit?usp=drivesdk" TargetMode="External"/><Relationship Id="rId130" Type="http://schemas.openxmlformats.org/officeDocument/2006/relationships/hyperlink" Target="https://docs.google.com/document/d/1QQTofkemOFKftUzDPXegy1ood3tvADqKnFrmkBUjU9g/edit?tab=t.0" TargetMode="External"/><Relationship Id="rId251" Type="http://schemas.openxmlformats.org/officeDocument/2006/relationships/hyperlink" Target="https://docs.google.com/document/d/1Jy8G55eoRFqTi8KELR58q94dB4vKyGFKvsBWL_Dsp3E/edit?usp=sharing" TargetMode="External"/><Relationship Id="rId372" Type="http://schemas.openxmlformats.org/officeDocument/2006/relationships/hyperlink" Target="https://docs.google.com/document/d/18MWgO1buvWk8nQI37xxjszKjW0ggDc9z9OWFCC9FOSE/edit?usp=drivesdk" TargetMode="External"/><Relationship Id="rId493" Type="http://schemas.openxmlformats.org/officeDocument/2006/relationships/hyperlink" Target="https://docs.google.com/document/d/1-yIpC01ZGDcoSgBQczirpYBq5zg0qIol8COZIov61RQ/edit?usp=sharing" TargetMode="External"/><Relationship Id="rId250" Type="http://schemas.openxmlformats.org/officeDocument/2006/relationships/hyperlink" Target="https://docs.google.com/document/d/15Hn4rDITaRld5XtGOUeMHR2ufDHW1KsJq6y31DOs_oI/edit?tab=t.0" TargetMode="External"/><Relationship Id="rId371" Type="http://schemas.openxmlformats.org/officeDocument/2006/relationships/hyperlink" Target="https://docs.google.com/document/d/11D0stAmTjOlqe3DuSxSukTmCpm3DzjH8MxlmM0Eyfa0/edit?usp=drivesdk" TargetMode="External"/><Relationship Id="rId492" Type="http://schemas.openxmlformats.org/officeDocument/2006/relationships/hyperlink" Target="https://docs.google.com/document/d/1_bxpNWTqgV45U3ll1CyRSQG6hX6eJdqGNkSG_VFc0pM/edit?tab=t.0" TargetMode="External"/><Relationship Id="rId136" Type="http://schemas.openxmlformats.org/officeDocument/2006/relationships/hyperlink" Target="https://docs.google.com/document/d/1vb3mdrXEZ1cKiA_XJRVWFArT8F6Zcku_n_L-9OWWWBk/edit?tab=t.0" TargetMode="External"/><Relationship Id="rId257" Type="http://schemas.openxmlformats.org/officeDocument/2006/relationships/hyperlink" Target="https://docs.google.com/document/d/1hNdE9ojsS-r41C0SSpqXUVSKxjeXjcNosXvoAJph-m8/edit?tab=t.0" TargetMode="External"/><Relationship Id="rId378" Type="http://schemas.openxmlformats.org/officeDocument/2006/relationships/hyperlink" Target="https://docs.google.com/document/d/1c5nznB_CRMCLBHzgfA1rpf1pzE6IS6xb4bTZa9yTgnQ/edit?tab=t.0" TargetMode="External"/><Relationship Id="rId499" Type="http://schemas.openxmlformats.org/officeDocument/2006/relationships/hyperlink" Target="https://docs.google.com/document/d/1XkoZRZYTZtCw9mFuV7U6sPx0gO3_qmUr5kwO2HmMm6o/edit?usp=sharing" TargetMode="External"/><Relationship Id="rId135" Type="http://schemas.openxmlformats.org/officeDocument/2006/relationships/hyperlink" Target="https://docs.google.com/document/d/1trjP0noS__BYQ-f5ZNEpjM_FjkK5fLvcSbWJghhsTPA/edit?tab=t.0" TargetMode="External"/><Relationship Id="rId256" Type="http://schemas.openxmlformats.org/officeDocument/2006/relationships/hyperlink" Target="https://docs.google.com/document/d/1Nde9CzrdoxaERhJ4BCwT5VDv0ghgy2Ye-zc1lXAAIaU/edit?usp=drivesdk" TargetMode="External"/><Relationship Id="rId377" Type="http://schemas.openxmlformats.org/officeDocument/2006/relationships/hyperlink" Target="https://docs.google.com/document/d/1Jk9-b9kyaRW2sIDqnwUFYpOBKDLoS2gM7AWuBcHQTK4/edit?usp=drivesdk" TargetMode="External"/><Relationship Id="rId498" Type="http://schemas.openxmlformats.org/officeDocument/2006/relationships/hyperlink" Target="https://docs.google.com/document/d/1w5BYt9K4-hnVW2x_E89mhsEuetKe0MW4tD-JiV5CQlc/edit?usp=sharing" TargetMode="External"/><Relationship Id="rId134" Type="http://schemas.openxmlformats.org/officeDocument/2006/relationships/hyperlink" Target="https://docs.google.com/document/d/1YYc7gan_UBmP22ewiot4Bj7T35WCBKzCoblSBRBauas/edit?tab=t.0" TargetMode="External"/><Relationship Id="rId255" Type="http://schemas.openxmlformats.org/officeDocument/2006/relationships/hyperlink" Target="https://docs.google.com/document/d/1t9EPlsu_eiVjYGs9TIRQAboIlCQNTJ9bJ8z4RiD-9qI/edit?tab=t.0" TargetMode="External"/><Relationship Id="rId376" Type="http://schemas.openxmlformats.org/officeDocument/2006/relationships/hyperlink" Target="https://docs.google.com/document/d/1JRZn0K39ppYXfl4VxkmDOzu1LmcwBe1zyBzTdcKm8WA/edit?tab=t.0" TargetMode="External"/><Relationship Id="rId497" Type="http://schemas.openxmlformats.org/officeDocument/2006/relationships/hyperlink" Target="https://docs.google.com/document/d/1NtlzGZDLfNlt1971pPrT4aFEB86nNTHmGbbDZtSIAKk/edit?usp=sharing" TargetMode="External"/><Relationship Id="rId133" Type="http://schemas.openxmlformats.org/officeDocument/2006/relationships/hyperlink" Target="https://docs.google.com/document/d/1BF2_D6GwNtWCG5zJrnx3_udrBvTpRyoJifdRoiE8pSE/edit?tab=t.0" TargetMode="External"/><Relationship Id="rId254" Type="http://schemas.openxmlformats.org/officeDocument/2006/relationships/hyperlink" Target="https://docs.google.com/document/d/1JKrfl2qUBJmXEq-A0AOFOyryon2B4FT-7B8z1Biotg4/edit?tab=t.0" TargetMode="External"/><Relationship Id="rId375" Type="http://schemas.openxmlformats.org/officeDocument/2006/relationships/hyperlink" Target="https://docs.google.com/document/d/1gYTiRPC6QEoPvD6WAzjjC5Cp_rqN-Mufsw4gvFKUZKk/edit?tab=t.0" TargetMode="External"/><Relationship Id="rId496" Type="http://schemas.openxmlformats.org/officeDocument/2006/relationships/hyperlink" Target="https://docs.google.com/document/d/1tFfyUhfqFxF-B-eJAeH01Uo7E6YRby2LaZEDeJ7180g/edit?usp=sharing" TargetMode="External"/><Relationship Id="rId172" Type="http://schemas.openxmlformats.org/officeDocument/2006/relationships/hyperlink" Target="https://docs.google.com/document/d/15tGBZYFhVJdeLWTnwFtewTfHPp56aGtS9qy4AS2Hojk/edit?usp=sharing" TargetMode="External"/><Relationship Id="rId293" Type="http://schemas.openxmlformats.org/officeDocument/2006/relationships/hyperlink" Target="https://docs.google.com/document/d/1R0OuFwKDTSHwj-spoYOjBF1EYgGhVfO4rj1PiVA0xV0/edit?tab=t.0" TargetMode="External"/><Relationship Id="rId171" Type="http://schemas.openxmlformats.org/officeDocument/2006/relationships/hyperlink" Target="https://docs.google.com/document/d/1azKhDvdH5hhHqmOJX12VjL6z04g3k_AKdJxhxjI9_mE/edit?tab=t.0" TargetMode="External"/><Relationship Id="rId292" Type="http://schemas.openxmlformats.org/officeDocument/2006/relationships/hyperlink" Target="https://docs.google.com/document/d/1_eI_7yyf9oa3VPmio_yctFgsNo-Bai4mWIvSxme_oUI/edit?tab=t.0" TargetMode="External"/><Relationship Id="rId170" Type="http://schemas.openxmlformats.org/officeDocument/2006/relationships/hyperlink" Target="https://docs.google.com/document/d/1NYk73jKp5ShqIU7SVvmCG-eJL8Y_ON9s7ZLPsIiPyTg/edit?tab=t.0" TargetMode="External"/><Relationship Id="rId291" Type="http://schemas.openxmlformats.org/officeDocument/2006/relationships/hyperlink" Target="https://docs.google.com/document/d/1gyLC2dz08-LCs4R5indO_L5_sFvnhYB7XCNqDwJl6z4/edit?usp=drivesdk" TargetMode="External"/><Relationship Id="rId290" Type="http://schemas.openxmlformats.org/officeDocument/2006/relationships/hyperlink" Target="https://docs.google.com/document/d/1ysSwMtkw9XlHoHTSGQwK_6OxHHlHvnK_JDqhSUknNzQ/edit?usp=drivesdk" TargetMode="External"/><Relationship Id="rId165" Type="http://schemas.openxmlformats.org/officeDocument/2006/relationships/hyperlink" Target="https://docs.google.com/document/d/1lJn3aSbbYIwiJo0lRHF_ZvxduZACeVkcnXIm7_w03N8/edit?tab=t.0" TargetMode="External"/><Relationship Id="rId286" Type="http://schemas.openxmlformats.org/officeDocument/2006/relationships/hyperlink" Target="https://docs.google.com/document/d/1p6FbS35eOdJX4G5UmJlySPAi66eKpChvJtpZ2RCtn0s/edit?usp=sharing" TargetMode="External"/><Relationship Id="rId164" Type="http://schemas.openxmlformats.org/officeDocument/2006/relationships/hyperlink" Target="https://docs.google.com/document/d/1Bjkz56EKprWrZ2GCMvaVu5KWkYcXWDCTqjrmUyGT-Tw/edit?tab=t.0" TargetMode="External"/><Relationship Id="rId285" Type="http://schemas.openxmlformats.org/officeDocument/2006/relationships/hyperlink" Target="https://docs.google.com/document/d/1nlkDUjK4f2dbu3E3yMwYkk8VhWAlpqNkTprb-q4o_rw/edit?usp=sharing" TargetMode="External"/><Relationship Id="rId163" Type="http://schemas.openxmlformats.org/officeDocument/2006/relationships/hyperlink" Target="https://docs.google.com/document/d/1yQCCZaWiCQ5JIWpbhGA3jrnyRCX2R8WnalBaLgzrcxs/edit?tab=t.0" TargetMode="External"/><Relationship Id="rId284" Type="http://schemas.openxmlformats.org/officeDocument/2006/relationships/hyperlink" Target="https://docs.google.com/document/d/1-Lcruo5ljFzJVci_Tk-TOeAfKjvtqP1bJF4UY58U-r4/edit?tab=t.0" TargetMode="External"/><Relationship Id="rId162" Type="http://schemas.openxmlformats.org/officeDocument/2006/relationships/hyperlink" Target="https://docs.google.com/document/d/17AU7AT-Us9U-0GteJzfGymhI1yLH10uEfwXGS0_6GNo/edit?usp=sharing" TargetMode="External"/><Relationship Id="rId283" Type="http://schemas.openxmlformats.org/officeDocument/2006/relationships/hyperlink" Target="https://docs.google.com/document/d/1rJHZSvk_7jGgi8u-pR7VZm12_hT4SqYDsgX2cOvLqE8/edit?tab=t.0" TargetMode="External"/><Relationship Id="rId169" Type="http://schemas.openxmlformats.org/officeDocument/2006/relationships/hyperlink" Target="https://docs.google.com/document/d/16jXEDyRnYC0BQFWI7sPtGTCTtbWMJGALmVleevzy1yg/edit?usp=drivesdk" TargetMode="External"/><Relationship Id="rId168" Type="http://schemas.openxmlformats.org/officeDocument/2006/relationships/hyperlink" Target="https://docs.google.com/document/d/1Ao4sruNzpRIli30JfRFhnylp1UVbTGG7X0DOROIUP8Q/edit?tab=t.0" TargetMode="External"/><Relationship Id="rId289" Type="http://schemas.openxmlformats.org/officeDocument/2006/relationships/hyperlink" Target="https://docs.google.com/document/d/1cWd0qkNXFtuiAtF0DEyUxlPxR5D2vX-BSb-3f6xnIXg/edit?tab=t.0" TargetMode="External"/><Relationship Id="rId167" Type="http://schemas.openxmlformats.org/officeDocument/2006/relationships/hyperlink" Target="https://docs.google.com/document/d/1HZzihJyG0jPC4XKKOObEkv1YexYVHyPRa97To4qMWU4/edit?tab=t.0" TargetMode="External"/><Relationship Id="rId288" Type="http://schemas.openxmlformats.org/officeDocument/2006/relationships/hyperlink" Target="https://docs.google.com/document/d/1ZqixU84EI84vbKqeGbrTeshGxFyoVpfLf-Yw3ZK3sWU/edit?tab=t.0" TargetMode="External"/><Relationship Id="rId166" Type="http://schemas.openxmlformats.org/officeDocument/2006/relationships/hyperlink" Target="https://docs.google.com/document/d/1luXE2yKrGR-V6Z1XfMyP0WqFccvk5ULuoGn4kfO01T4/edit?tab=t.0" TargetMode="External"/><Relationship Id="rId287" Type="http://schemas.openxmlformats.org/officeDocument/2006/relationships/hyperlink" Target="https://docs.google.com/document/d/1zT_mfHgHkhbnWdDTbCC5iedQ8UcQE042JaEIOC0-Zrk/edit?tab=t.0" TargetMode="External"/><Relationship Id="rId161" Type="http://schemas.openxmlformats.org/officeDocument/2006/relationships/hyperlink" Target="https://docs.google.com/document/d/1dTOmwmacoQn5Xetx_FxbPXY9SNv303UVl_ULz3Y7aao/edit?usp=sharing" TargetMode="External"/><Relationship Id="rId282" Type="http://schemas.openxmlformats.org/officeDocument/2006/relationships/hyperlink" Target="https://docs.google.com/document/d/1E_OV4Mro0vek_NSCMZPP4kCsW9Z5qbTX4jJzOtCiHZY/edit?tab=t.0" TargetMode="External"/><Relationship Id="rId160" Type="http://schemas.openxmlformats.org/officeDocument/2006/relationships/hyperlink" Target="https://docs.google.com/document/d/1yEog4NDlXHKwLQBJcgy3JZ0SiIXrLRif4gzl5qr0HHk/edit?tab=t.0" TargetMode="External"/><Relationship Id="rId281" Type="http://schemas.openxmlformats.org/officeDocument/2006/relationships/hyperlink" Target="https://docs.google.com/document/d/1fQIHzbO2-j1FYE_VaIvmLPE0frUA1UKkGJbO9KlUdqg/edit?tab=t.0" TargetMode="External"/><Relationship Id="rId280" Type="http://schemas.openxmlformats.org/officeDocument/2006/relationships/hyperlink" Target="https://docs.google.com/document/d/13ufNfA806FOAZ3cAzYWNlAMq5IaDonbML_O1Rg7cn7g/edit?tab=t.0" TargetMode="External"/><Relationship Id="rId159" Type="http://schemas.openxmlformats.org/officeDocument/2006/relationships/hyperlink" Target="https://docs.google.com/document/d/17Fe6RllYDrqiq9HPq9zBMSoG6P1X_CuBg6JajofvanE/edit?tab=t.0" TargetMode="External"/><Relationship Id="rId154" Type="http://schemas.openxmlformats.org/officeDocument/2006/relationships/hyperlink" Target="https://docs.google.com/document/d/1DrXYffe2okACDr27gjitlEII78Wzy80s_I7zecCY8jw/edit?tab=t.0" TargetMode="External"/><Relationship Id="rId275" Type="http://schemas.openxmlformats.org/officeDocument/2006/relationships/hyperlink" Target="https://docs.google.com/document/d/15OhD4E0gEUcQkDUjqXIjWb8UPnumXoA6Hi3AkAS1WqM/edit?usp=sharing" TargetMode="External"/><Relationship Id="rId396" Type="http://schemas.openxmlformats.org/officeDocument/2006/relationships/hyperlink" Target="https://docs.google.com/document/d/1OpKw15qCOlpaZu2JkZA3O2d6sUjSFfmJ9yHhssYmc50/edit?usp=sharing" TargetMode="External"/><Relationship Id="rId153" Type="http://schemas.openxmlformats.org/officeDocument/2006/relationships/hyperlink" Target="https://docs.google.com/document/d/1R0SwkfU3rmENN0-JKEl51IrzLlGkZ_b0tpxlpFEpfcE/edit?tab=t.00" TargetMode="External"/><Relationship Id="rId274" Type="http://schemas.openxmlformats.org/officeDocument/2006/relationships/hyperlink" Target="https://docs.google.com/document/d/1bePgZb3XPF8gbcmy-DmW7j9NIpZuEPOMh5aXvXnK9yU/edit?usp=sharing" TargetMode="External"/><Relationship Id="rId395" Type="http://schemas.openxmlformats.org/officeDocument/2006/relationships/hyperlink" Target="https://docs.google.com/document/d/1WcBSlVFx0_1IChxnGbvWhPNRKRxcStqdhoSQnxnTN_k/edit?usp=sharing" TargetMode="External"/><Relationship Id="rId152" Type="http://schemas.openxmlformats.org/officeDocument/2006/relationships/hyperlink" Target="https://docs.google.com/document/d/1df_q7FJctM2miPbdPrUsps-OMG3MusnBFgOsWrqP8dE/edit?tab=t.0" TargetMode="External"/><Relationship Id="rId273" Type="http://schemas.openxmlformats.org/officeDocument/2006/relationships/hyperlink" Target="https://docs.google.com/document/d/1cAZfXEmNiw9kI1_WPTtyTJhJ2lL03-_i_1GYTxbl4xQ/edit?tab=t.0" TargetMode="External"/><Relationship Id="rId394" Type="http://schemas.openxmlformats.org/officeDocument/2006/relationships/hyperlink" Target="https://docs.google.com/document/d/1TSb2qucwcTB-lnHSY8aSFKClNo8ZAAx9J3xhvspkGsw/edit?tab=t.0" TargetMode="External"/><Relationship Id="rId151" Type="http://schemas.openxmlformats.org/officeDocument/2006/relationships/hyperlink" Target="https://docs.google.com/document/d/19vDWAEusi2UrHTFPWCkZwE741j9gzfjBiA2czAmGKag/edit?tab=t.0" TargetMode="External"/><Relationship Id="rId272" Type="http://schemas.openxmlformats.org/officeDocument/2006/relationships/hyperlink" Target="https://docs.google.com/document/d/1fod8EKlkBZG-AEuLfOLlO1n0uDG0p0TVdPekgndOwIE/edit?usp=drivesdk" TargetMode="External"/><Relationship Id="rId393" Type="http://schemas.openxmlformats.org/officeDocument/2006/relationships/hyperlink" Target="https://docs.google.com/document/d/1NMY6AVs3XJ5H-UpmXMShvrtxwceCqEsZREFZ0ipc56Y/edit?usp=sharing" TargetMode="External"/><Relationship Id="rId158" Type="http://schemas.openxmlformats.org/officeDocument/2006/relationships/hyperlink" Target="https://docs.google.com/document/d/1v6M6NA7UTXTt-9f8yhvKPLRJ9Zr_LobMfCv6MzzVjYU/edit?tab=t.0" TargetMode="External"/><Relationship Id="rId279" Type="http://schemas.openxmlformats.org/officeDocument/2006/relationships/hyperlink" Target="https://docs.google.com/document/d/1yvKPGjR4Kd22_KZLe-5SH2S2G1WGCcKiHCuL5WLrM68/edit?usp=drivesdk" TargetMode="External"/><Relationship Id="rId157" Type="http://schemas.openxmlformats.org/officeDocument/2006/relationships/hyperlink" Target="https://docs.google.com/document/d/1hs7UjwoC-istj2tIDwMFr0DLvm3fruHWD2efike5fJw/edit?tab=t.0" TargetMode="External"/><Relationship Id="rId278" Type="http://schemas.openxmlformats.org/officeDocument/2006/relationships/hyperlink" Target="https://docs.google.com/document/d/1E74fSFm-llXEQjJMvoa3N8WJuffp2lrYgXqNg2ingMM/edit?usp=sharing" TargetMode="External"/><Relationship Id="rId399" Type="http://schemas.openxmlformats.org/officeDocument/2006/relationships/hyperlink" Target="https://docs.google.com/document/d/1cT6fLdOPeHhrUXtlP9vy3aNQrrus8gmoBWVtcQLeBQE/edit?tab=t.0" TargetMode="External"/><Relationship Id="rId156" Type="http://schemas.openxmlformats.org/officeDocument/2006/relationships/hyperlink" Target="https://docs.google.com/document/d/1_HeGTxRIzQ-C5-_9AoXFNAknHJX6n5zs9PDKkXjDJaY/edit?tab=t.0" TargetMode="External"/><Relationship Id="rId277" Type="http://schemas.openxmlformats.org/officeDocument/2006/relationships/hyperlink" Target="https://docs.google.com/document/d/1LD3TMebMEIgAwyIz2wJqo2xX1a7jH3NeLoYji0nXvZE/edit?tab=t.0" TargetMode="External"/><Relationship Id="rId398" Type="http://schemas.openxmlformats.org/officeDocument/2006/relationships/hyperlink" Target="https://docs.google.com/document/d/1a2t2xh-Q_GbId736HdtjCusOSHNyn2NFhJYQLCrw0Qg/edit?tab=t.0" TargetMode="External"/><Relationship Id="rId155" Type="http://schemas.openxmlformats.org/officeDocument/2006/relationships/hyperlink" Target="https://docs.google.com/document/d/1clmkzgr9YtTHfUz8Nxubt3phUlaV_FgZviQJQc-3wY0/edit?tab=t.0" TargetMode="External"/><Relationship Id="rId276" Type="http://schemas.openxmlformats.org/officeDocument/2006/relationships/hyperlink" Target="https://docs.google.com/document/d/1xkGpSN1JnGmF4EEqxB3_i3akNZk8hncXm6Uv6cb_71c/edit?usp=sharing" TargetMode="External"/><Relationship Id="rId397" Type="http://schemas.openxmlformats.org/officeDocument/2006/relationships/hyperlink" Target="https://docs.google.com/document/d/1CA94GxrudcvCP8NP_vrGKNc8pA8Rg2kXsUuizU2635w/edit?usp=drivesdk" TargetMode="External"/><Relationship Id="rId40" Type="http://schemas.openxmlformats.org/officeDocument/2006/relationships/hyperlink" Target="https://docs.google.com/document/d/1ULP3xXceO9XbkcvmS1t6PgcCpXO9CkeL-6btEbJOAPI/edit?tab=t.0" TargetMode="External"/><Relationship Id="rId42" Type="http://schemas.openxmlformats.org/officeDocument/2006/relationships/hyperlink" Target="https://docs.google.com/document/d/1ZCTQyOJEvY__WLUnORBdvw4VrWfQj4EKgywhv3O6mBw/edit?tab=t.0" TargetMode="External"/><Relationship Id="rId41" Type="http://schemas.openxmlformats.org/officeDocument/2006/relationships/hyperlink" Target="https://docs.google.com/document/d/1hYch31oVZJmoh4-CBxkGhZhr0lg3Nv2GLiazRoyUDZc/edit?tab=t.0" TargetMode="External"/><Relationship Id="rId44" Type="http://schemas.openxmlformats.org/officeDocument/2006/relationships/hyperlink" Target="https://docs.google.com/document/d/1uXyLnw8hd1fBYCW7sxMp0YnsQncnUuG1a4gA-FGNX0Q/edit?tab=t.0" TargetMode="External"/><Relationship Id="rId43" Type="http://schemas.openxmlformats.org/officeDocument/2006/relationships/hyperlink" Target="https://docs.google.com/document/d/1MJEHnwMNb0H-kPToIi46avFMNLvHY1Oplit2i7-CjAY/edit?usp=drivesdk" TargetMode="External"/><Relationship Id="rId46" Type="http://schemas.openxmlformats.org/officeDocument/2006/relationships/hyperlink" Target="https://docs.google.com/document/d/1hvzIgUvJAOrhbzA6qN6tff__xq1WlQHHFPzpfbV3cN4/edit?tab=t.0" TargetMode="External"/><Relationship Id="rId45" Type="http://schemas.openxmlformats.org/officeDocument/2006/relationships/hyperlink" Target="https://docs.google.com/document/d/1gQe56bnjUvPXy6QNSr3cCJLYRhgE1qyx6vGTsEkwEsA/edit?tab=t.0" TargetMode="External"/><Relationship Id="rId509" Type="http://schemas.openxmlformats.org/officeDocument/2006/relationships/hyperlink" Target="https://docs.google.com/document/d/1YZLxa_opgGO1OmtnteVGmEaZNCo2ELaZEHs5CdLmano/edit?usp=sharing" TargetMode="External"/><Relationship Id="rId508" Type="http://schemas.openxmlformats.org/officeDocument/2006/relationships/hyperlink" Target="https://docs.google.com/document/d/1TQHz_FpJpgCHX1fMcYqfwDL_vOsJ_RkmV_68R8rII6s/edit?usp=sharing" TargetMode="External"/><Relationship Id="rId503" Type="http://schemas.openxmlformats.org/officeDocument/2006/relationships/hyperlink" Target="https://docs.google.com/document/d/1IcU39YlcONko4OhP92nIf2FY_6RStNqsi3fxy-nVFhw/edit?usp=sharing" TargetMode="External"/><Relationship Id="rId502" Type="http://schemas.openxmlformats.org/officeDocument/2006/relationships/hyperlink" Target="https://docs.google.com/document/d/1G0l2Un5VkFEqv_WYzjV4_qQyrnqVLChynkyLgUrsfMw/edit?usp=sharing" TargetMode="External"/><Relationship Id="rId501" Type="http://schemas.openxmlformats.org/officeDocument/2006/relationships/hyperlink" Target="https://docs.google.com/document/d/1AvocrKK5urav6aCROcQ9LAMDYgIbJl3RYGznd0WPdsI/edit?usp=sharing" TargetMode="External"/><Relationship Id="rId500" Type="http://schemas.openxmlformats.org/officeDocument/2006/relationships/hyperlink" Target="https://docs.google.com/document/d/1xPan_0giyffBX4xkJJkx1CbbXnWtbmRsjkDBBx6vTFY/edit?usp=sharing" TargetMode="External"/><Relationship Id="rId507" Type="http://schemas.openxmlformats.org/officeDocument/2006/relationships/hyperlink" Target="https://docs.google.com/document/d/1IvK_efpkY1rgIua1WBOEds3pF6a1nYOXYku3bmh95Sk/edit?usp=sharing" TargetMode="External"/><Relationship Id="rId506" Type="http://schemas.openxmlformats.org/officeDocument/2006/relationships/hyperlink" Target="https://docs.google.com/document/d/1WRkteQpQfSS6LXqqj9yjC9_etwoXw0TGvCl7jRw3o7M/edit?usp=sharing" TargetMode="External"/><Relationship Id="rId505" Type="http://schemas.openxmlformats.org/officeDocument/2006/relationships/hyperlink" Target="https://docs.google.com/document/d/1MRZMtb4K1mNC6IKmxtKhDrP7R3pTKIIWrBoKumQqJCc/edit?tab=t.0" TargetMode="External"/><Relationship Id="rId504" Type="http://schemas.openxmlformats.org/officeDocument/2006/relationships/hyperlink" Target="https://docs.google.com/document/d/1JQuoQnXo77V-gAoncDa2yTF-WFWwq7xoUi0JIb1gglI/edit?usp=sharing" TargetMode="External"/><Relationship Id="rId48" Type="http://schemas.openxmlformats.org/officeDocument/2006/relationships/hyperlink" Target="https://docs.google.com/document/d/1L-7Eatb8VGovZhCBXD7YlYFS6Sg4JFCOt1-y5B_jUXQ/edit?tab=t.0" TargetMode="External"/><Relationship Id="rId47" Type="http://schemas.openxmlformats.org/officeDocument/2006/relationships/hyperlink" Target="https://docs.google.com/document/d/17apRlemu7Vh7yfjpbiq6AkcP3cRy5ZOXpXbpQQOIqPE/edit?tab=t.0" TargetMode="External"/><Relationship Id="rId49" Type="http://schemas.openxmlformats.org/officeDocument/2006/relationships/hyperlink" Target="https://docs.google.com/document/d/1XNoXmGPx-ce7YDo0U4w4uSNaVU_A5EP3Lvvt9b_V91o/edit?tab=t.0" TargetMode="External"/><Relationship Id="rId31" Type="http://schemas.openxmlformats.org/officeDocument/2006/relationships/hyperlink" Target="https://docs.google.com/document/d/1nEuZ3HSwD3Xqnw8frE84LpIQraKDwdIcVKcHepaXuE0/edit?tab=t.0" TargetMode="External"/><Relationship Id="rId30" Type="http://schemas.openxmlformats.org/officeDocument/2006/relationships/hyperlink" Target="https://docs.google.com/document/d/1PayTX2QZC-lfx0CpdQpBPhmpU2Nj5Q2b9dhBJ1MOYeY/edit?tab=t.0" TargetMode="External"/><Relationship Id="rId33" Type="http://schemas.openxmlformats.org/officeDocument/2006/relationships/hyperlink" Target="https://docs.google.com/document/d/15RF16GQudPkbA3O0qUVk2G56Mrmc0ggT6Ql38QS4fpI/edit?tab=t.0" TargetMode="External"/><Relationship Id="rId32" Type="http://schemas.openxmlformats.org/officeDocument/2006/relationships/hyperlink" Target="https://docs.google.com/document/d/11U4STf_PzmsD-tx3NDn4KyQxOXU4Cy7IdOLpO4cHx9Y/edit?usp=sharing" TargetMode="External"/><Relationship Id="rId35" Type="http://schemas.openxmlformats.org/officeDocument/2006/relationships/hyperlink" Target="https://docs.google.com/document/d/17HHm3vNEHgyZuevQSS1ldU2N8v39DVrl2Jocnh2KgEo/edit?tab=t.0" TargetMode="External"/><Relationship Id="rId34" Type="http://schemas.openxmlformats.org/officeDocument/2006/relationships/hyperlink" Target="https://docs.google.com/document/d/1g8F-5jRG-81ZEi_8FZmNfwq6CxAYL0xvst5LxvWYgkw/edit?tab=t.0" TargetMode="External"/><Relationship Id="rId37" Type="http://schemas.openxmlformats.org/officeDocument/2006/relationships/hyperlink" Target="https://docs.google.com/document/d/1g9qkJm1JWRZnNc8K9G-Uxdkk8x_mBdqBJzs5XfY_eDA/edit?tab=t.0" TargetMode="External"/><Relationship Id="rId36" Type="http://schemas.openxmlformats.org/officeDocument/2006/relationships/hyperlink" Target="https://docs.google.com/document/d/1W3rnb1JAhlTDBkWwRXbMKuEXh5hJNF5RrAaHOtOKSzE/edit?usp=drivesdk" TargetMode="External"/><Relationship Id="rId39" Type="http://schemas.openxmlformats.org/officeDocument/2006/relationships/hyperlink" Target="https://docs.google.com/document/d/193S103462jSmdwdv_4XIc_MBhcjnQr12YoKfHNnAN9Q/edit?tab=t.0" TargetMode="External"/><Relationship Id="rId38" Type="http://schemas.openxmlformats.org/officeDocument/2006/relationships/hyperlink" Target="https://docs.google.com/document/d/1Hq7YCuakPtUJsUYKsWDb8GCrQAL7Sype9pV3jo0_5XI/edit?usp=sharing" TargetMode="External"/><Relationship Id="rId20" Type="http://schemas.openxmlformats.org/officeDocument/2006/relationships/hyperlink" Target="https://docs.google.com/document/d/1Cg-pxi4TaA4xqPYFa-eNTbbuCPVGyyJvF8dGS01Kl1M/edit?usp=drivesdk" TargetMode="External"/><Relationship Id="rId22" Type="http://schemas.openxmlformats.org/officeDocument/2006/relationships/hyperlink" Target="https://docs.google.com/document/d/1vwA3C4sLhh6AgXzopg8bicj0mXTaouOY-CI7llsmeHU/edit?tab=t.0" TargetMode="External"/><Relationship Id="rId21" Type="http://schemas.openxmlformats.org/officeDocument/2006/relationships/hyperlink" Target="https://docs.google.com/document/d/11xFRViUOnEBT_zPzld688O4yRp2PKlRGwx5LaJKdVzQ/edit?usp=drivesdk" TargetMode="External"/><Relationship Id="rId24" Type="http://schemas.openxmlformats.org/officeDocument/2006/relationships/hyperlink" Target="https://docs.google.com/document/d/1ByN8KaDbVn05mmAo3BQIhKqfPFfGWSR02o7DAvmWzng/edit?usp=sharing" TargetMode="External"/><Relationship Id="rId23" Type="http://schemas.openxmlformats.org/officeDocument/2006/relationships/hyperlink" Target="https://docs.google.com/document/d/1dCS-DTyTB0rcOBWL6xkq6bti9h0yXz0xReLOQwOqm6Q/edit?usp=sharing" TargetMode="External"/><Relationship Id="rId409" Type="http://schemas.openxmlformats.org/officeDocument/2006/relationships/hyperlink" Target="https://docs.google.com/document/d/1OIJrejhEk0YN5CbXlmD-s4POkpG8C_tJjmRZ334H8ZI/edit?tab=t.0" TargetMode="External"/><Relationship Id="rId404" Type="http://schemas.openxmlformats.org/officeDocument/2006/relationships/hyperlink" Target="https://docs.google.com/document/d/1vxa-C1iwhq7R98Ys7r-d4U_kmYRmPiliwbnsF_fmHP4/edit?usp=sharing" TargetMode="External"/><Relationship Id="rId403" Type="http://schemas.openxmlformats.org/officeDocument/2006/relationships/hyperlink" Target="https://docs.google.com/document/d/1CkdeYIqHWUZ1H0TJ7CvOpjMTv3rtSHgw-4-lYBemljE/edit?usp=sharing" TargetMode="External"/><Relationship Id="rId524" Type="http://schemas.openxmlformats.org/officeDocument/2006/relationships/table" Target="../tables/table1.xml"/><Relationship Id="rId402" Type="http://schemas.openxmlformats.org/officeDocument/2006/relationships/hyperlink" Target="https://docs.google.com/document/d/1qCdI3qwDLku3digI-0EAyY7bralfjjk1O8wu_5CgYpg/edit?tab=t.0" TargetMode="External"/><Relationship Id="rId401" Type="http://schemas.openxmlformats.org/officeDocument/2006/relationships/hyperlink" Target="https://docs.google.com/document/d/1MJt_gJQOI_OL1L5eeVf9u_-1nKWpxq6J0MkRYXnDonU/edit?usp=drivesdk" TargetMode="External"/><Relationship Id="rId522" Type="http://schemas.openxmlformats.org/officeDocument/2006/relationships/drawing" Target="../drawings/drawing1.xml"/><Relationship Id="rId408" Type="http://schemas.openxmlformats.org/officeDocument/2006/relationships/hyperlink" Target="https://docs.google.com/document/d/1KwOPrq7ZnF0iihBSj364cchnPHB3g1tQ24mXnpuxpnk/edit?usp=drivesdk" TargetMode="External"/><Relationship Id="rId407" Type="http://schemas.openxmlformats.org/officeDocument/2006/relationships/hyperlink" Target="https://docs.google.com/document/d/1kQd95kaRrTTKOaLXD0rooMQF4JmGezlLDRf-ptKMh7I/edit?tab=t.0" TargetMode="External"/><Relationship Id="rId406" Type="http://schemas.openxmlformats.org/officeDocument/2006/relationships/hyperlink" Target="https://docs.google.com/document/d/14owENsUAna9OJBscZNOqK_QB8eD0-c4S1N9otfCRiiY/edit?tab=t.0" TargetMode="External"/><Relationship Id="rId405" Type="http://schemas.openxmlformats.org/officeDocument/2006/relationships/hyperlink" Target="https://docs.google.com/document/d/1X0f_5xWozLUZJFzEwcAzBKr_mGtEWeh88d4DtkMMXA0/edit?tab=t.0" TargetMode="External"/><Relationship Id="rId26" Type="http://schemas.openxmlformats.org/officeDocument/2006/relationships/hyperlink" Target="https://docs.google.com/document/d/13MqIUKaT--IgfEldtUan8PJMYEDPSAHBA90UC72C-nA/edit?usp=sharing" TargetMode="External"/><Relationship Id="rId25" Type="http://schemas.openxmlformats.org/officeDocument/2006/relationships/hyperlink" Target="https://docs.google.com/document/d/1phGEX3jkoIZ26Seoz_IPs9mfRQD39g92ydREz-liX-4/edit?tab=t.0" TargetMode="External"/><Relationship Id="rId28" Type="http://schemas.openxmlformats.org/officeDocument/2006/relationships/hyperlink" Target="https://docs.google.com/document/d/1BSzCDksfh22ZA-W6CT-fRdHgFApRaNSjaQTOWdQfND0/edit?usp=drivesdk" TargetMode="External"/><Relationship Id="rId27" Type="http://schemas.openxmlformats.org/officeDocument/2006/relationships/hyperlink" Target="https://docs.google.com/document/d/1H4CnDuuDwcwMg5JS9tgRXEIQo7OZMjjmlc73xCMdph8/edit?usp=drivesdk" TargetMode="External"/><Relationship Id="rId400" Type="http://schemas.openxmlformats.org/officeDocument/2006/relationships/hyperlink" Target="https://docs.google.com/document/d/1eH41u6Z_wfrEHrbjQdd9GH6WZt6mzTFcN6xi7p5fHPk/edit?usp=drivesdk" TargetMode="External"/><Relationship Id="rId521" Type="http://schemas.openxmlformats.org/officeDocument/2006/relationships/hyperlink" Target="http://shanty.fitria.id/" TargetMode="External"/><Relationship Id="rId29" Type="http://schemas.openxmlformats.org/officeDocument/2006/relationships/hyperlink" Target="https://docs.google.com/document/d/1IvqJVVXTDmALyuYDmJl7vBncBZdhiE8SxNMvf0WIlzs/edit?usp=drivesdk" TargetMode="External"/><Relationship Id="rId520" Type="http://schemas.openxmlformats.org/officeDocument/2006/relationships/hyperlink" Target="https://docs.google.com/document/d/1cHwMOxnJExCciaKMyRceJkRibKUdvBNCPTVFTK8y0fE/edit?tab=t.0" TargetMode="External"/><Relationship Id="rId11" Type="http://schemas.openxmlformats.org/officeDocument/2006/relationships/hyperlink" Target="https://docs.google.com/document/d/1LJwqoLcXbSwFP_30EVsW4KLvu-cSUrZCXBNqf3OtCww/edit?tab=t.0" TargetMode="External"/><Relationship Id="rId10" Type="http://schemas.openxmlformats.org/officeDocument/2006/relationships/hyperlink" Target="https://docs.google.com/document/d/1tO1LgOdMkFtOXA2Keh2AwL0MUaqLJDAcxzgeBUy-pmY/edit?usp=sharing" TargetMode="External"/><Relationship Id="rId13" Type="http://schemas.openxmlformats.org/officeDocument/2006/relationships/hyperlink" Target="https://docs.google.com/document/d/1hKGuEK3I6GR0h7KG7tijUbTOER93QwazXSeUlH1209s/edit?usp=sharing" TargetMode="External"/><Relationship Id="rId12" Type="http://schemas.openxmlformats.org/officeDocument/2006/relationships/hyperlink" Target="https://docs.google.com/document/d/1fG6ksUPanEFRm-7kRV6QZq8KIeujMhm94-N85xQ7a2s/edit?tab=t.0" TargetMode="External"/><Relationship Id="rId519" Type="http://schemas.openxmlformats.org/officeDocument/2006/relationships/hyperlink" Target="https://docs.google.com/document/d/15hz2PSF-2gug1lvBVLr7b30e7p5j2nYP9lcgi6OVZIg/edit?tab=t.0" TargetMode="External"/><Relationship Id="rId514" Type="http://schemas.openxmlformats.org/officeDocument/2006/relationships/hyperlink" Target="https://docs.google.com/document/d/1iQk879LN0LGJVBypwfFb2qTSlmBtnlceQXhcCxoivHQ/edit?usp=sharing" TargetMode="External"/><Relationship Id="rId513" Type="http://schemas.openxmlformats.org/officeDocument/2006/relationships/hyperlink" Target="https://docs.google.com/document/d/1HJKzaTjwfBvmHn0nrO_YCBoJfDg9m_2Ysi8mmb7NiZs/edit?usp=sharing" TargetMode="External"/><Relationship Id="rId512" Type="http://schemas.openxmlformats.org/officeDocument/2006/relationships/hyperlink" Target="https://docs.google.com/document/d/1KsUZiEOpey8CauwBJNMim9b7gTbcYdB7kkQmJUa8kP0/edit?usp=sharing" TargetMode="External"/><Relationship Id="rId511" Type="http://schemas.openxmlformats.org/officeDocument/2006/relationships/hyperlink" Target="https://docs.google.com/document/d/1TypYMg3aYXCbvMtvL4Kecfq4ZczuTgRbJoXE0MWp8h8/edit?usp=sharing" TargetMode="External"/><Relationship Id="rId518" Type="http://schemas.openxmlformats.org/officeDocument/2006/relationships/hyperlink" Target="https://docs.google.com/document/d/1wIM1KwKJz4ECnFQeUlQs6Ll-vhIEvguIvUfQy56B5z4/edit?usp=sharing" TargetMode="External"/><Relationship Id="rId517" Type="http://schemas.openxmlformats.org/officeDocument/2006/relationships/hyperlink" Target="https://docs.google.com/document/d/1FLmCY1qsAT3s5afJsYWVEy5XQewU4Fnx5ifDIhcAd54/edit?usp=sharing" TargetMode="External"/><Relationship Id="rId516" Type="http://schemas.openxmlformats.org/officeDocument/2006/relationships/hyperlink" Target="https://docs.google.com/document/d/1QQ4LJj-KN6c9jzlyhBzf8FDeU0fe9sGslVexpZnaPo8/edit?usp=sharing" TargetMode="External"/><Relationship Id="rId515" Type="http://schemas.openxmlformats.org/officeDocument/2006/relationships/hyperlink" Target="https://docs.google.com/document/d/1nXFlt5PN8DmKMyAgcX4HUwwXDZjhKr3YX5LL-EjpR5E/edit?tab=t.0" TargetMode="External"/><Relationship Id="rId15" Type="http://schemas.openxmlformats.org/officeDocument/2006/relationships/hyperlink" Target="https://docs.google.com/document/d/152d4DtQJJPMD-i4CY-UR9DxnnBB4NTjjP4XsMx9uwLg/edit?tab=t.0" TargetMode="External"/><Relationship Id="rId14" Type="http://schemas.openxmlformats.org/officeDocument/2006/relationships/hyperlink" Target="https://docs.google.com/document/d/1dIRrs3AubGSROJCp1oEJBYXBkQBoa1UGWgOsiAXf6oo/edit?usp=sharing" TargetMode="External"/><Relationship Id="rId17" Type="http://schemas.openxmlformats.org/officeDocument/2006/relationships/hyperlink" Target="https://docs.google.com/document/d/1FChC5lKKlcfwOPMJMUHK78mBVTrB_tiworHHjIiS8_Y/edit?tab=t.0" TargetMode="External"/><Relationship Id="rId16" Type="http://schemas.openxmlformats.org/officeDocument/2006/relationships/hyperlink" Target="https://docs.google.com/document/d/127D-CAKtKzkQUrFJW4stYMujpTZfTS_5rXP8fA1PQsk/edit?tab=t.0" TargetMode="External"/><Relationship Id="rId19" Type="http://schemas.openxmlformats.org/officeDocument/2006/relationships/hyperlink" Target="https://docs.google.com/document/d/1MD4vKt2ZQWqX7YfPlQojeuYcf_boCFIM6q-CP2rB4XM/edit?usp=drivesdk" TargetMode="External"/><Relationship Id="rId510" Type="http://schemas.openxmlformats.org/officeDocument/2006/relationships/hyperlink" Target="http://a.ch/" TargetMode="External"/><Relationship Id="rId18" Type="http://schemas.openxmlformats.org/officeDocument/2006/relationships/hyperlink" Target="https://docs.google.com/document/d/12c3T3MfymkdkNi76muU-IvFXF9oY3jOtG4N7_5v9-OI/edit?usp=drivesdk" TargetMode="External"/><Relationship Id="rId84" Type="http://schemas.openxmlformats.org/officeDocument/2006/relationships/hyperlink" Target="https://docs.google.com/document/d/1TZl9XrKj2kD-ZCqSVvaExgPnrj4GpaxuiSQasPSM-vQ/edit?tab=t.0" TargetMode="External"/><Relationship Id="rId83" Type="http://schemas.openxmlformats.org/officeDocument/2006/relationships/hyperlink" Target="https://docs.google.com/document/d/1UAXijAIE_KgioMdFnpJ3o33NhFhbrC1JfbDxHDAOUvs/edit?tab=t.0" TargetMode="External"/><Relationship Id="rId86" Type="http://schemas.openxmlformats.org/officeDocument/2006/relationships/hyperlink" Target="https://docs.google.com/document/d/1nMlgqQ4a8WnW4OZg4eNWiGhnOBc6JBs3alM3HeQIpnw/edit?usp=sharing" TargetMode="External"/><Relationship Id="rId85" Type="http://schemas.openxmlformats.org/officeDocument/2006/relationships/hyperlink" Target="https://docs.google.com/document/d/19_yE0YVS9n6ZC7Bycfvsfs1HYr4maEXGpssLGsARqeQ/edit?usp=sharing" TargetMode="External"/><Relationship Id="rId88" Type="http://schemas.openxmlformats.org/officeDocument/2006/relationships/hyperlink" Target="https://docs.google.com/document/d/1PvCdXPMSknCW9u_KnjAgNv-i81OcgfcDq3tU7LVFf4c/edit?tab=t.0" TargetMode="External"/><Relationship Id="rId87" Type="http://schemas.openxmlformats.org/officeDocument/2006/relationships/hyperlink" Target="https://docs.google.com/document/d/1p-WcoEuHlZkYCRCQ-Ibe4cJdemv9kHo7TegpoS88jnc/edit?tab=t.0" TargetMode="External"/><Relationship Id="rId89" Type="http://schemas.openxmlformats.org/officeDocument/2006/relationships/hyperlink" Target="https://docs.google.com/document/d/1MbETcW40IbZZpFAQmyDaHWUSGZvqQ50SmS1xUXaHMY4/edit?tab=t.0" TargetMode="External"/><Relationship Id="rId80" Type="http://schemas.openxmlformats.org/officeDocument/2006/relationships/hyperlink" Target="https://docs.google.com/document/d/1lvupcofOhejJdDM8sBg5uBnPkBVneStZOkIaMpoVIjo/edit?tab=t.0" TargetMode="External"/><Relationship Id="rId82" Type="http://schemas.openxmlformats.org/officeDocument/2006/relationships/hyperlink" Target="https://docs.google.com/document/d/1j22Zx_0yZOTJ1oxFyn2nS97rpjjRnsMMxmPyS2uhpzQ/edit?usp=drivesdk" TargetMode="External"/><Relationship Id="rId81" Type="http://schemas.openxmlformats.org/officeDocument/2006/relationships/hyperlink" Target="https://docs.google.com/document/d/1Q6UCBWLoKLq0ITjLu-aU9tlb47HeZ2zJRfuQ8lpjMRQ/edit?tab=t.0" TargetMode="External"/><Relationship Id="rId73" Type="http://schemas.openxmlformats.org/officeDocument/2006/relationships/hyperlink" Target="https://docs.google.com/document/d/1mJL98j3AkiC5uk0V0P0Pj-Q_iDZEpf4_Z7o3D59cy60/edit?usp=sharing" TargetMode="External"/><Relationship Id="rId72" Type="http://schemas.openxmlformats.org/officeDocument/2006/relationships/hyperlink" Target="https://docs.google.com/document/d/187QEXKWyFnHutsTlQmvxeE5f5UhR_fjPeyu0CM-4XjM/edit?tab=t.0" TargetMode="External"/><Relationship Id="rId75" Type="http://schemas.openxmlformats.org/officeDocument/2006/relationships/hyperlink" Target="https://docs.google.com/document/d/1t4vXE490j6K036vvo7qtTwSiVZcwn_UGE-CkkPg7csw/edit?tab=t.0" TargetMode="External"/><Relationship Id="rId74" Type="http://schemas.openxmlformats.org/officeDocument/2006/relationships/hyperlink" Target="https://docs.google.com/document/d/1QSjLqNBg4UULazz3KLHCdoUvo5_37rPn72UHRCLXC-U/edit?tab=t.0" TargetMode="External"/><Relationship Id="rId77" Type="http://schemas.openxmlformats.org/officeDocument/2006/relationships/hyperlink" Target="https://docs.google.com/document/d/1_4y28lQb8FybBxJSPIEHLGKiM3NEo0Gh3JhD9HrniQc/edit?tab=t.0" TargetMode="External"/><Relationship Id="rId76" Type="http://schemas.openxmlformats.org/officeDocument/2006/relationships/hyperlink" Target="https://docs.google.com/document/d/1WN7y1DA05qwrbXjmJztfmVh9x-_QFLFgKkp23rOWHEw/edit?tab=t.0" TargetMode="External"/><Relationship Id="rId79" Type="http://schemas.openxmlformats.org/officeDocument/2006/relationships/hyperlink" Target="https://docs.google.com/document/d/1AdhRRbwiG17AT2ik6dZ2iN-CyyKyXM06F3zlLCaQE4M/edit?usp=sharing" TargetMode="External"/><Relationship Id="rId78" Type="http://schemas.openxmlformats.org/officeDocument/2006/relationships/hyperlink" Target="https://docs.google.com/document/d/1CzEmYuqrSTaTP5nNhucd_vqLsGJ-Us-4eTzNRkRE2Yc/edit?tab=t.0" TargetMode="External"/><Relationship Id="rId71" Type="http://schemas.openxmlformats.org/officeDocument/2006/relationships/hyperlink" Target="https://docs.google.com/document/d/13oz5xh7Gk9KYHvgLmnvWvhBXZhCl5tOVE0pzNMoOnJU/edit?usp=sharing" TargetMode="External"/><Relationship Id="rId70" Type="http://schemas.openxmlformats.org/officeDocument/2006/relationships/hyperlink" Target="https://docs.google.com/document/d/1DpONH5d7bMeK0kLiCkaBv25uBBZlLCXWnx36awKBFUU/edit?tab=t.0" TargetMode="External"/><Relationship Id="rId62" Type="http://schemas.openxmlformats.org/officeDocument/2006/relationships/hyperlink" Target="https://docs.google.com/document/d/1oRyF8UkrQPn0Tse4l-gIjOvJm0ZPE8TR15M7IrFmYyQ/edit?tab=t.0" TargetMode="External"/><Relationship Id="rId61" Type="http://schemas.openxmlformats.org/officeDocument/2006/relationships/hyperlink" Target="https://docs.google.com/document/d/1YHPS3pGq9AnCPsb93QvxDKVBKql_c2scIJb52YU_7x8/edit?usp=drivesdk" TargetMode="External"/><Relationship Id="rId64" Type="http://schemas.openxmlformats.org/officeDocument/2006/relationships/hyperlink" Target="https://docs.google.com/document/d/1IGc28CUEYXoHr_bFPa9RPDgX3wiU2Fk-T4ui68R9KG8/edit?usp=drivesdk" TargetMode="External"/><Relationship Id="rId63" Type="http://schemas.openxmlformats.org/officeDocument/2006/relationships/hyperlink" Target="https://docs.google.com/document/d/1nyARtUsvrxgITeyFZAtQL4OYVLmutkV8NtvELVyHkrM/edit?tab=t.0" TargetMode="External"/><Relationship Id="rId66" Type="http://schemas.openxmlformats.org/officeDocument/2006/relationships/hyperlink" Target="https://docs.google.com/document/d/1Z7G4SkFJscs2sv1hinnOmSZDzKEgf3pmDcUNmRnHxqc/edit?usp=drivesdk" TargetMode="External"/><Relationship Id="rId65" Type="http://schemas.openxmlformats.org/officeDocument/2006/relationships/hyperlink" Target="https://docs.google.com/document/d/15qIbL8EqkYecD8xmNsC_kTkMe29yBIrWPoEF_6kHtto/edit?usp=sharing" TargetMode="External"/><Relationship Id="rId68" Type="http://schemas.openxmlformats.org/officeDocument/2006/relationships/hyperlink" Target="https://docs.google.com/document/d/1XBTsBc8L7tW8dQus1Z0rLhQJFDdu9hROOIL2mURXDJ0/edit?tab=t.0" TargetMode="External"/><Relationship Id="rId67" Type="http://schemas.openxmlformats.org/officeDocument/2006/relationships/hyperlink" Target="https://docs.google.com/document/d/1sUo9upmASQKQw8QiENxcDK9iyfPsCXHIligIb4ig5nA/edit?tab=t.0" TargetMode="External"/><Relationship Id="rId60" Type="http://schemas.openxmlformats.org/officeDocument/2006/relationships/hyperlink" Target="https://docs.google.com/document/d/1ZVM2nG5A0QpryZ7a7SN7THwKSatwlik4_oLgFDGnrHQ/edit?tab=t.0" TargetMode="External"/><Relationship Id="rId69" Type="http://schemas.openxmlformats.org/officeDocument/2006/relationships/hyperlink" Target="https://docs.google.com/document/d/1V_TrD_FeaK4qHeoYg-2_qc9fw7SKmeuzfL3RgxHGOjw/edit?tab=t.0" TargetMode="External"/><Relationship Id="rId51" Type="http://schemas.openxmlformats.org/officeDocument/2006/relationships/hyperlink" Target="https://docs.google.com/document/d/1HtzEQxfI4NIAUGVm294-5-2cYK9FJMhe8kG-q5hwniQ/edit?tab=t.0" TargetMode="External"/><Relationship Id="rId50" Type="http://schemas.openxmlformats.org/officeDocument/2006/relationships/hyperlink" Target="https://docs.google.com/document/d/1y_QF_ErkjAaH2tP-dSKmn13n-VC4nuH6Z4w9Q3MrEvk/edit?tab=t.0" TargetMode="External"/><Relationship Id="rId53" Type="http://schemas.openxmlformats.org/officeDocument/2006/relationships/hyperlink" Target="https://docs.google.com/document/d/1_ekJualW89sVypOKyDX_WI53TOOFaw3wtFUWP6tWIn4/edit?usp=sharing" TargetMode="External"/><Relationship Id="rId52" Type="http://schemas.openxmlformats.org/officeDocument/2006/relationships/hyperlink" Target="https://docs.google.com/document/d/11YdmRlFi-WWKqHGELpCpy0x-_2wwvx5U7V_2f2bLfHI/edit?usp=sharing" TargetMode="External"/><Relationship Id="rId55" Type="http://schemas.openxmlformats.org/officeDocument/2006/relationships/hyperlink" Target="https://docs.google.com/document/d/12yOIFO9Hc3lXlVyYyL4zOaaW2R_BdHBvgyplmpg2HVo/edit?tab=t.0" TargetMode="External"/><Relationship Id="rId54" Type="http://schemas.openxmlformats.org/officeDocument/2006/relationships/hyperlink" Target="https://docs.google.com/document/d/1lcOU9WELHGwPNGVd_Qn8hkjTCd388v03p7F_6Wi4yMk/edit?usp=sharing" TargetMode="External"/><Relationship Id="rId57" Type="http://schemas.openxmlformats.org/officeDocument/2006/relationships/hyperlink" Target="https://docs.google.com/document/d/1PWW3NnWBcbmm8ihSbOV_eZLGRVS0OlbZW_Rxr375rEk/edit?tab=t.0" TargetMode="External"/><Relationship Id="rId56" Type="http://schemas.openxmlformats.org/officeDocument/2006/relationships/hyperlink" Target="https://docs.google.com/document/d/1DRDWKmmjSOvXTvSCfoda4qfFTETdDDY0ftrb1BkuuVU/edit?tab=t.0" TargetMode="External"/><Relationship Id="rId59" Type="http://schemas.openxmlformats.org/officeDocument/2006/relationships/hyperlink" Target="https://docs.google.com/document/d/14PL6KQ09_8CRB-CN1yhQi_AVf5hGTlzOMwPUhlfSvGc/edit?tab=t.0" TargetMode="External"/><Relationship Id="rId58" Type="http://schemas.openxmlformats.org/officeDocument/2006/relationships/hyperlink" Target="https://docs.google.com/document/d/1SQn_vx6ZxV5nuWpX0XsAC7DC1gRcOdGAO9AecFQQcJ0/edit?tab=t.0" TargetMode="External"/><Relationship Id="rId107" Type="http://schemas.openxmlformats.org/officeDocument/2006/relationships/hyperlink" Target="https://docs.google.com/document/d/1ael5OXl1VJwm_7k4CZDlqPkzTaFT8pJOzcYGg92JB-4/edit?tab=t.0" TargetMode="External"/><Relationship Id="rId228" Type="http://schemas.openxmlformats.org/officeDocument/2006/relationships/hyperlink" Target="https://docs.google.com/document/d/1xyO-FaFnz_89ENC_61HhAUvj9_nuu3JzUMNBlJ-pIn0/edit?tab=t.0" TargetMode="External"/><Relationship Id="rId349" Type="http://schemas.openxmlformats.org/officeDocument/2006/relationships/hyperlink" Target="https://docs.google.com/document/d/1_T-CuLyo7nWjfkrZgrfHthCQnf3_5agttdRGdfiO-3M/edit?tab=t.0" TargetMode="External"/><Relationship Id="rId106" Type="http://schemas.openxmlformats.org/officeDocument/2006/relationships/hyperlink" Target="https://docs.google.com/document/d/1oTF9qHwExlqBQtux8l_wX1GMgfR5VCUgl4BaJS3RNbA/edit?tab=t.0" TargetMode="External"/><Relationship Id="rId227" Type="http://schemas.openxmlformats.org/officeDocument/2006/relationships/hyperlink" Target="https://docs.google.com/document/d/1CohgXFd0Lxxy1VWhOA-mS6aRqATMKa5JsyG0kTwBdOw/edit?usp=sharing" TargetMode="External"/><Relationship Id="rId348" Type="http://schemas.openxmlformats.org/officeDocument/2006/relationships/hyperlink" Target="https://docs.google.com/document/d/1viCTTSEkRINnsUpDAAQSdL7f8x23hma-4fUulDojJfw/edit?usp=drivesdk" TargetMode="External"/><Relationship Id="rId469" Type="http://schemas.openxmlformats.org/officeDocument/2006/relationships/hyperlink" Target="https://docs.google.com/document/d/1Qj76ryx5e3IvVK4ZmnLf8b10CImepI_1_GydM4m-nBg/edit?usp=sharing" TargetMode="External"/><Relationship Id="rId105" Type="http://schemas.openxmlformats.org/officeDocument/2006/relationships/hyperlink" Target="https://docs.google.com/document/d/1yPlH0P9L1XApDtEkix3vIAcsDQIuGmDwJZ8Vn3XG3Mw/edit?tab=t.0" TargetMode="External"/><Relationship Id="rId226" Type="http://schemas.openxmlformats.org/officeDocument/2006/relationships/hyperlink" Target="https://docs.google.com/document/d/1b_RgaW-9UCNiTM50ldow1WNLeivh6w_tgiWEEs0Lkg4/edit?tab=t.0" TargetMode="External"/><Relationship Id="rId347" Type="http://schemas.openxmlformats.org/officeDocument/2006/relationships/hyperlink" Target="https://docs.google.com/document/d/1IkCwwX8gwQKwgozKKGhEbDbVIrqIZ2qZt5Njy0mLe2A/edit?tab=t.0" TargetMode="External"/><Relationship Id="rId468" Type="http://schemas.openxmlformats.org/officeDocument/2006/relationships/hyperlink" Target="https://docs.google.com/document/d/11_Mxq1JoJD3lMn1q98LRu2wiqXDcN3eF9oOKVoMDEpw/edit?usp=drivesdk" TargetMode="External"/><Relationship Id="rId104" Type="http://schemas.openxmlformats.org/officeDocument/2006/relationships/hyperlink" Target="https://docs.google.com/document/d/1QyxTRr285_PToTbwzWOuF6wRwG7WDDSbWVEYsbHxDeg/edit?tab=t.0" TargetMode="External"/><Relationship Id="rId225" Type="http://schemas.openxmlformats.org/officeDocument/2006/relationships/hyperlink" Target="https://docs.google.com/document/d/1Zsn-fDM21tSBszI3cLKld7unQQGByUgIbW5u76hGlQI/edit?usp=drivesdk" TargetMode="External"/><Relationship Id="rId346" Type="http://schemas.openxmlformats.org/officeDocument/2006/relationships/hyperlink" Target="https://docs.google.com/document/d/17wJKrF-qMTsQxVnpPPLODqvJrzsIbF7SqjjwgrUQd90/edit?tab=t.0" TargetMode="External"/><Relationship Id="rId467" Type="http://schemas.openxmlformats.org/officeDocument/2006/relationships/hyperlink" Target="https://docs.google.com/document/d/1AEURLeT-OST2QAG-jZMSk3SeOSMAZYVFkJ2p4yrSbkw/edit?usp=sharing" TargetMode="External"/><Relationship Id="rId109" Type="http://schemas.openxmlformats.org/officeDocument/2006/relationships/hyperlink" Target="https://docs.google.com/document/d/1bEmKKSZPMrS0csRaCFaVnWMqqkHIuzcBA_P3nPwsDnk/edit?tab=t.0" TargetMode="External"/><Relationship Id="rId108" Type="http://schemas.openxmlformats.org/officeDocument/2006/relationships/hyperlink" Target="https://docs.google.com/document/d/1-GjwCUw9wU0O2EvCaf8aTTsrnxyKHRWGXiXvf7f1wjU/edit?tab=t.0" TargetMode="External"/><Relationship Id="rId229" Type="http://schemas.openxmlformats.org/officeDocument/2006/relationships/hyperlink" Target="https://docs.google.com/document/d/1ZFMAPJbIOiF32NhaYEod6gUy7kGK4LMmwjp_UVUGGmk/edit?tab=t.0" TargetMode="External"/><Relationship Id="rId220" Type="http://schemas.openxmlformats.org/officeDocument/2006/relationships/hyperlink" Target="https://docs.google.com/document/d/1paOhTqvwC0KJHC6YWeQhYRygzeaGqjyy5pfncIYVeWQ/edit?tab=t.0" TargetMode="External"/><Relationship Id="rId341" Type="http://schemas.openxmlformats.org/officeDocument/2006/relationships/hyperlink" Target="https://docs.google.com/document/d/1kA7lEu7PdLCfWjo5mzgEk9bw7rm4B8A2fmokR6EtvjI/edit?usp=sharing" TargetMode="External"/><Relationship Id="rId462" Type="http://schemas.openxmlformats.org/officeDocument/2006/relationships/hyperlink" Target="https://docs.google.com/document/d/1MsfPm7xT_D_6xe8LCjE-rNmOy4JCpmGVZOAXCj_l-xE/edit?tab=t.0" TargetMode="External"/><Relationship Id="rId340" Type="http://schemas.openxmlformats.org/officeDocument/2006/relationships/hyperlink" Target="https://docs.google.com/document/d/1EwovyVKwMADxWWM0_ycpkDgG5KtW98Z25mnFfwJOfTg/edit?usp=drivesdk" TargetMode="External"/><Relationship Id="rId461" Type="http://schemas.openxmlformats.org/officeDocument/2006/relationships/hyperlink" Target="https://docs.google.com/document/d/1U9bwj5-1gucK2W1SMlItJqY1ZPagbqeNEW3MDa5QGrs/edit?tab=t.0" TargetMode="External"/><Relationship Id="rId460" Type="http://schemas.openxmlformats.org/officeDocument/2006/relationships/hyperlink" Target="https://docs.google.com/document/d/1gPzlJC7WtMpWSg2FU5skpZTdfiffY7GkgOyS71mymoY/edit?usp=drivesdk" TargetMode="External"/><Relationship Id="rId103" Type="http://schemas.openxmlformats.org/officeDocument/2006/relationships/hyperlink" Target="https://docs.google.com/document/d/1xCqv007F6ZYJg0DBxZhdbI4gd9st7q8GJtLZFYeyD_E/edit?tab=t.0" TargetMode="External"/><Relationship Id="rId224" Type="http://schemas.openxmlformats.org/officeDocument/2006/relationships/hyperlink" Target="https://docs.google.com/document/d/16w-XzVuUJ5WrsllKfo52wdl3H1Da-u9M4Ky7Y3fd-tQ/edit?usp=sharing" TargetMode="External"/><Relationship Id="rId345" Type="http://schemas.openxmlformats.org/officeDocument/2006/relationships/hyperlink" Target="https://docs.google.com/document/d/1JSI182IsN0SjFEkKpXgdw47JPfdq9s9aMiw--Cmob1g/edit?tab=t.0" TargetMode="External"/><Relationship Id="rId466" Type="http://schemas.openxmlformats.org/officeDocument/2006/relationships/hyperlink" Target="https://docs.google.com/document/d/12LmUlhImDvJNn0V1MKO4HEy6bRM_N22I7irWYQHppRQ/edit?usp=sharing" TargetMode="External"/><Relationship Id="rId102" Type="http://schemas.openxmlformats.org/officeDocument/2006/relationships/hyperlink" Target="https://docs.google.com/document/d/1ZuX30UKljHeGOTBVnVIfBPow6f4-Azj-UrZd_K0RPVI/edit?tab=t.0" TargetMode="External"/><Relationship Id="rId223" Type="http://schemas.openxmlformats.org/officeDocument/2006/relationships/hyperlink" Target="https://docs.google.com/document/d/1tScJgq0LFTGK-9y3qRP8nSzpLJwxFlWml9gSP56CN-k/edit?tab=t.0" TargetMode="External"/><Relationship Id="rId344" Type="http://schemas.openxmlformats.org/officeDocument/2006/relationships/hyperlink" Target="https://docs.google.com/document/d/1Jb5ymGjxU3kv79KarXQZYoP7hpF7VeAki-qGiuF0b8o/edit?tab=t.0" TargetMode="External"/><Relationship Id="rId465" Type="http://schemas.openxmlformats.org/officeDocument/2006/relationships/hyperlink" Target="https://docs.google.com/document/d/1yk57ha8fuRgVhXQnZC_KFlKqu_eEJ1jGYt1fEGhjAg8/edit?usp=sharing" TargetMode="External"/><Relationship Id="rId101" Type="http://schemas.openxmlformats.org/officeDocument/2006/relationships/hyperlink" Target="https://docs.google.com/document/d/1SuiPuIr-oqpPBMpZJq-MecYt3nCB8d6RMI4PNNXxgpQ/edit?usp=sharing" TargetMode="External"/><Relationship Id="rId222" Type="http://schemas.openxmlformats.org/officeDocument/2006/relationships/hyperlink" Target="https://docs.google.com/document/d/1FQseOsrUtMKqMo20kGLHNKvZluKCNZ1lApZEDKDG63E/edit?usp=drivesdk" TargetMode="External"/><Relationship Id="rId343" Type="http://schemas.openxmlformats.org/officeDocument/2006/relationships/hyperlink" Target="https://docs.google.com/document/d/1xVbH47ibZ9li1jq8nP-jxwgBDVPbB6K58Z0g10KOPr8/edit?tab=t.0" TargetMode="External"/><Relationship Id="rId464" Type="http://schemas.openxmlformats.org/officeDocument/2006/relationships/hyperlink" Target="https://docs.google.com/document/d/1ztsu8Oj-4aD3nmLXbHgsA3aa_-IaPu5Xa60ftvACoNk/edit?usp=sharing" TargetMode="External"/><Relationship Id="rId100" Type="http://schemas.openxmlformats.org/officeDocument/2006/relationships/hyperlink" Target="https://docs.google.com/document/d/1XAFUSxNKFH6vfiCRAw3Mpj4nbZIGE1JyFFZle82s0Sc/edit?tab=t.0" TargetMode="External"/><Relationship Id="rId221" Type="http://schemas.openxmlformats.org/officeDocument/2006/relationships/hyperlink" Target="https://docs.google.com/document/d/1GJDEqMFX1sxlca8uw5uy9rgB_hY2so4CA5FKZuhs5uQ/edit?tab=t.0" TargetMode="External"/><Relationship Id="rId342" Type="http://schemas.openxmlformats.org/officeDocument/2006/relationships/hyperlink" Target="https://docs.google.com/document/d/1g0hEU3-pIXVMgTbxmDP7E7sSAtVPNtVIKRpsNAgU3ek/edit?usp=drivesdk" TargetMode="External"/><Relationship Id="rId463" Type="http://schemas.openxmlformats.org/officeDocument/2006/relationships/hyperlink" Target="https://docs.google.com/document/d/1FHkAO9NbIaTBp8A0SO4zUhwmaqIZvkVHxVfoEdUYL2s/edit?tab=t.0" TargetMode="External"/><Relationship Id="rId217" Type="http://schemas.openxmlformats.org/officeDocument/2006/relationships/hyperlink" Target="https://docs.google.com/document/d/1lnI7NGkIOtGPC8yQBMcRxYNS0k1t8q2ItmmQtnlcwaE/edit?tab=t.0" TargetMode="External"/><Relationship Id="rId338" Type="http://schemas.openxmlformats.org/officeDocument/2006/relationships/hyperlink" Target="https://docs.google.com/document/d/1UWKQuRQWEFDg6BdKNGG0J5S703G8PKMpGc2AeRoHVO0/edit?usp=sharing" TargetMode="External"/><Relationship Id="rId459" Type="http://schemas.openxmlformats.org/officeDocument/2006/relationships/hyperlink" Target="https://docs.google.com/document/d/1FYLPBZh9jqZeJJiQgqAdfOq1nQPZSFqldtD-swYXk0s/edit?usp=sharing" TargetMode="External"/><Relationship Id="rId216" Type="http://schemas.openxmlformats.org/officeDocument/2006/relationships/hyperlink" Target="https://docs.google.com/document/d/1cmgH7qVzkRdmK8pnAn9E6L2Epe24jAkxkkHjH2J0qR0/edit?tab=t.0" TargetMode="External"/><Relationship Id="rId337" Type="http://schemas.openxmlformats.org/officeDocument/2006/relationships/hyperlink" Target="https://docs.google.com/document/d/1_KJiYE_jm49EUGE1_LMUgzToovUBRgJdPWdhkNP6yJo/edit?usp=sharing" TargetMode="External"/><Relationship Id="rId458" Type="http://schemas.openxmlformats.org/officeDocument/2006/relationships/hyperlink" Target="https://docs.google.com/document/d/1zVrrEsCLn9F_c9dQjP3VUMpO7MWKHLhZJSBqonHK5so/edit?usp=sharing" TargetMode="External"/><Relationship Id="rId215" Type="http://schemas.openxmlformats.org/officeDocument/2006/relationships/hyperlink" Target="https://docs.google.com/document/d/15DUkcLQ98t1kI_XRvDXVyv1uxYRnuHTwaBqkGts8Xqo/edit?usp=sharing" TargetMode="External"/><Relationship Id="rId336" Type="http://schemas.openxmlformats.org/officeDocument/2006/relationships/hyperlink" Target="https://docs.google.com/document/d/1LVgVHmvL3aOZv38iKHSXcmb7s0pERBN2N5X4Y7qLvXA/edit?tab=t.0" TargetMode="External"/><Relationship Id="rId457" Type="http://schemas.openxmlformats.org/officeDocument/2006/relationships/hyperlink" Target="https://docs.google.com/document/d/1KLro28T6VTTx_DjhVMx8wqBU0FbwKuvqE9uBOipRrXw/edit?tab=t.0" TargetMode="External"/><Relationship Id="rId214" Type="http://schemas.openxmlformats.org/officeDocument/2006/relationships/hyperlink" Target="https://docs.google.com/document/d/153Fp-8Qar5uCr7-Ed1uVKCbe0MJ84rnUE1lrkKsc2yk/edit?usp=sharing" TargetMode="External"/><Relationship Id="rId335" Type="http://schemas.openxmlformats.org/officeDocument/2006/relationships/hyperlink" Target="https://docs.google.com/document/d/1BOrx0WJp4btclLH1ASV3o9vnzD87xLZfhzFHOf098Bc/edit?tab=t.0" TargetMode="External"/><Relationship Id="rId456" Type="http://schemas.openxmlformats.org/officeDocument/2006/relationships/hyperlink" Target="https://docs.google.com/document/d/1vGMO64q1Wwp2Jk704qSf6-Fy7R_81D1vUhJ-UpC5Nd0/edit?tab=t.0" TargetMode="External"/><Relationship Id="rId219" Type="http://schemas.openxmlformats.org/officeDocument/2006/relationships/hyperlink" Target="https://docs.google.com/document/d/19iygmhEtsGSPuQJzLQFW2mNEhxGk_cO6HxpbkxoGPsc/edit?usp=drivesdk" TargetMode="External"/><Relationship Id="rId218" Type="http://schemas.openxmlformats.org/officeDocument/2006/relationships/hyperlink" Target="https://docs.google.com/document/d/1dacpLVYd3LrhrmtBfdnJNFoHBfPQwrHHfiYiCrYGvIQ/edit?usp=drivesdk" TargetMode="External"/><Relationship Id="rId339" Type="http://schemas.openxmlformats.org/officeDocument/2006/relationships/hyperlink" Target="https://docs.google.com/document/d/12UzPcCj8bm33B2OEzrVbY_OXwiBhfxYoD9mTTLRBeTY/edit?usp=sharing" TargetMode="External"/><Relationship Id="rId330" Type="http://schemas.openxmlformats.org/officeDocument/2006/relationships/hyperlink" Target="https://docs.google.com/document/d/1K6_uKgU3GAxpFNWJUyOIgB2_sjIK_dDasv7rcEDaXAo/edit?tab=t.0" TargetMode="External"/><Relationship Id="rId451" Type="http://schemas.openxmlformats.org/officeDocument/2006/relationships/hyperlink" Target="https://docs.google.com/document/d/1R4h21_Q98umNU7M4vKLZtciPB8rej6eCA_CXgUFW74M/edit?tab=t.0" TargetMode="External"/><Relationship Id="rId450" Type="http://schemas.openxmlformats.org/officeDocument/2006/relationships/hyperlink" Target="https://docs.google.com/document/d/1RN5Cp46M4Wrze4ix7Z7s72Fu9vDH3GDwE6-7Ce658yI/edit?usp=sharing" TargetMode="External"/><Relationship Id="rId213" Type="http://schemas.openxmlformats.org/officeDocument/2006/relationships/hyperlink" Target="https://docs.google.com/document/d/1EVLEWy5B80D9RlbiQLsSHh9HrZoLwLyZJGF-K-4xPF8/edit?usp=sharing" TargetMode="External"/><Relationship Id="rId334" Type="http://schemas.openxmlformats.org/officeDocument/2006/relationships/hyperlink" Target="https://docs.google.com/document/d/1dtx7pl6uZ54iMbdKwd3Cp2KFcgoN1SfA7uQliXjgkz0/edit?usp=sharing" TargetMode="External"/><Relationship Id="rId455" Type="http://schemas.openxmlformats.org/officeDocument/2006/relationships/hyperlink" Target="https://docs.google.com/document/d/1-OPncysgZtsXtKEyiniZ2gSmzQDiG_DgZ38ohiQ24kM/edit?usp=sharing" TargetMode="External"/><Relationship Id="rId212" Type="http://schemas.openxmlformats.org/officeDocument/2006/relationships/hyperlink" Target="https://docs.google.com/document/d/1QxNtkCHXkIexJBMZwL7Ho94bhdTlJZzzfE56ZfazSmE/edit?tab=t.0" TargetMode="External"/><Relationship Id="rId333" Type="http://schemas.openxmlformats.org/officeDocument/2006/relationships/hyperlink" Target="https://docs.google.com/document/d/1kV-tohbU-FdEppAwI4vUbP7iNFJoA41nFctzo1j6Iiw/edit?usp=sharing" TargetMode="External"/><Relationship Id="rId454" Type="http://schemas.openxmlformats.org/officeDocument/2006/relationships/hyperlink" Target="https://docs.google.com/document/d/1SKPH9CgKJRwvJtRhzpxB_dS6MlzgksszSCgZPThJZQk/edit?usp=sharing" TargetMode="External"/><Relationship Id="rId211" Type="http://schemas.openxmlformats.org/officeDocument/2006/relationships/hyperlink" Target="https://docs.google.com/document/d/1MP075bjEdT6KIvGm2pSURrTfcNe-a0JEFIUc_YhZ7IU/edit?tab=t.0" TargetMode="External"/><Relationship Id="rId332" Type="http://schemas.openxmlformats.org/officeDocument/2006/relationships/hyperlink" Target="https://docs.google.com/document/d/1oaaRNM8Pl50DfYTlEKQihdWbp9EQqwQZT6Jlukw_pP4/edit?tab=t.0" TargetMode="External"/><Relationship Id="rId453" Type="http://schemas.openxmlformats.org/officeDocument/2006/relationships/hyperlink" Target="https://docs.google.com/document/d/1ejWc2tJqS0etMEG3hJqvd-qrKivNirSBS2K74sKgHcQ/edit?tab=t.0" TargetMode="External"/><Relationship Id="rId210" Type="http://schemas.openxmlformats.org/officeDocument/2006/relationships/hyperlink" Target="https://docs.google.com/document/d/1SjBn-fM4OuWxWi_Qbdz7ocTzZJWUDDCZX3mFAY4fQ9U/edit?usp=drivesdk" TargetMode="External"/><Relationship Id="rId331" Type="http://schemas.openxmlformats.org/officeDocument/2006/relationships/hyperlink" Target="https://docs.google.com/document/d/1tw1BYXESqh0wP9bkhQBi4V1R3etBrR0QP_d9R6VH1fU/edit?usp=sharing" TargetMode="External"/><Relationship Id="rId452" Type="http://schemas.openxmlformats.org/officeDocument/2006/relationships/hyperlink" Target="https://docs.google.com/document/d/1BJZZMF6iC8ti9RESWrp_LQDwdt6IKegVi4GDfcb9vj8/edit?tab=t.0" TargetMode="External"/><Relationship Id="rId370" Type="http://schemas.openxmlformats.org/officeDocument/2006/relationships/hyperlink" Target="https://docs.google.com/document/d/1LK3xcqMSVnkXPq0tHBW21JOscz0FRxUcGi7LPQpDj5U/edit?usp=drivesdk" TargetMode="External"/><Relationship Id="rId491" Type="http://schemas.openxmlformats.org/officeDocument/2006/relationships/hyperlink" Target="https://docs.google.com/document/d/19be7I9TeaXjQcpKX0Eb2IKE5o8eQ_4TGdh4DjG30860/edit?usp=sharing" TargetMode="External"/><Relationship Id="rId490" Type="http://schemas.openxmlformats.org/officeDocument/2006/relationships/hyperlink" Target="https://docs.google.com/document/d/1elRKRoDF9nJ6FY-bxMaewuUYmg5daKmCVPna9bj5G_U/edit?usp=sharing" TargetMode="External"/><Relationship Id="rId129" Type="http://schemas.openxmlformats.org/officeDocument/2006/relationships/hyperlink" Target="https://docs.google.com/document/d/1jsNUUqry396_Gb3dUKxFTGTg07BQjBQYl7vI5P62b1I/edit?tab=t.0" TargetMode="External"/><Relationship Id="rId128" Type="http://schemas.openxmlformats.org/officeDocument/2006/relationships/hyperlink" Target="https://docs.google.com/document/d/1BR5MmtBO7CPriqub6ebpfeF8V8Iob-1QFgyhQKoTcy0/edit?tab=t.0" TargetMode="External"/><Relationship Id="rId249" Type="http://schemas.openxmlformats.org/officeDocument/2006/relationships/hyperlink" Target="https://docs.google.com/document/d/1r7ggBtbT1aetrbhL-pnQpj0byi9SfvzGmybz_U5W0lg/edit?tab=t.0" TargetMode="External"/><Relationship Id="rId127" Type="http://schemas.openxmlformats.org/officeDocument/2006/relationships/hyperlink" Target="https://docs.google.com/document/d/1PnwPcIwK_8xNddaf4hld_rhVJHOTJ6JY5SS3UZCALCU/edit?usp=sharing" TargetMode="External"/><Relationship Id="rId248" Type="http://schemas.openxmlformats.org/officeDocument/2006/relationships/hyperlink" Target="https://docs.google.com/document/d/1lbRZvBcTYPRM8jyct_NrF6b8TmnLn7LCg-lAhupKsu0/edit?tab=t.0" TargetMode="External"/><Relationship Id="rId369" Type="http://schemas.openxmlformats.org/officeDocument/2006/relationships/hyperlink" Target="https://docs.google.com/document/d/1H23uD1unkjsXPdPRrToI5gh9OXpr4eoISiSVyZ72fWA/edit?tab=t.0" TargetMode="External"/><Relationship Id="rId126" Type="http://schemas.openxmlformats.org/officeDocument/2006/relationships/hyperlink" Target="https://docs.google.com/document/d/160d7q8AK3rchcLAH05Afu5W4s6W63GfSmQ7RB1DAv7A/edit?tab=t.0" TargetMode="External"/><Relationship Id="rId247" Type="http://schemas.openxmlformats.org/officeDocument/2006/relationships/hyperlink" Target="https://docs.google.com/document/d/1cMHV-rIZTWglYrNnxoJiOWC4N9DaeUrlteaDr5AsNc0/edit?tab=t.0" TargetMode="External"/><Relationship Id="rId368" Type="http://schemas.openxmlformats.org/officeDocument/2006/relationships/hyperlink" Target="https://docs.google.com/document/d/1gbR_PYd-rMYlzwtKx9T4TMiE2AJquNPpuyNRqVOykPI/edit?tab=t.0" TargetMode="External"/><Relationship Id="rId489" Type="http://schemas.openxmlformats.org/officeDocument/2006/relationships/hyperlink" Target="https://docs.google.com/document/d/1dyP1DzjpVtL4dEedf_0GH93y3aGmSGBvCrAH0ja_CyQ/edit?tab=t.0" TargetMode="External"/><Relationship Id="rId121" Type="http://schemas.openxmlformats.org/officeDocument/2006/relationships/hyperlink" Target="https://docs.google.com/document/d/1vAyrTb7pEeMwo3UVFsGlxPMF-COofMXIbEZFNDwIBlQ/edit?tab=t.0" TargetMode="External"/><Relationship Id="rId242" Type="http://schemas.openxmlformats.org/officeDocument/2006/relationships/hyperlink" Target="https://docs.google.com/document/d/11S9_ljoNm2tka5kUc6715t9HkrRiV-nvOFzSGLImzbs/edit?tab=t.0" TargetMode="External"/><Relationship Id="rId363" Type="http://schemas.openxmlformats.org/officeDocument/2006/relationships/hyperlink" Target="https://docs.google.com/document/d/17F8E8d3oGrNrBb2hw5yUe2BWsRJKS7eqVtn89z9y1YE/edit?usp=drivesdk" TargetMode="External"/><Relationship Id="rId484" Type="http://schemas.openxmlformats.org/officeDocument/2006/relationships/hyperlink" Target="https://docs.google.com/document/d/1oHoo0h0KIE9ZojSF9tN8i-whNzw1nD7doKEFA7u9CJM/edit?usp=sharing" TargetMode="External"/><Relationship Id="rId120" Type="http://schemas.openxmlformats.org/officeDocument/2006/relationships/hyperlink" Target="https://docs.google.com/document/d/1t5yaIXJrE8jZ9lhDjW0V7L8XSaWXoI241xlMwXmphVQ/edit?tab=t.0" TargetMode="External"/><Relationship Id="rId241" Type="http://schemas.openxmlformats.org/officeDocument/2006/relationships/hyperlink" Target="https://docs.google.com/document/d/1B-k6PK34SP6ONYfk4qpXAGipac6GwiuF9nUmyQWTmak/edit?tab=t.0" TargetMode="External"/><Relationship Id="rId362" Type="http://schemas.openxmlformats.org/officeDocument/2006/relationships/hyperlink" Target="https://docs.google.com/document/d/1dM6Zp8a1y5mROjlAoRCYaR7dArHSorTQ3Kc7Z5leVXs/edit?usp=drivesdk" TargetMode="External"/><Relationship Id="rId483" Type="http://schemas.openxmlformats.org/officeDocument/2006/relationships/hyperlink" Target="https://docs.google.com/document/d/1Lf-LbXOi-qB-iaZZeumqmCheNk3IVriVuYCFtobORA0/edit?tab=t.0" TargetMode="External"/><Relationship Id="rId240" Type="http://schemas.openxmlformats.org/officeDocument/2006/relationships/hyperlink" Target="https://docs.google.com/document/d/1l9tdypDDXJs-pBP1lW3qG6l4Iibz2jds2Iiu8s9WWmU/edit?tab=t.0" TargetMode="External"/><Relationship Id="rId361" Type="http://schemas.openxmlformats.org/officeDocument/2006/relationships/hyperlink" Target="https://docs.google.com/document/d/1aOPRpMvvQewirm47rXVCTEB-xFW7SKdTHnDsy40Ie0o/edit?usp=sharing" TargetMode="External"/><Relationship Id="rId482" Type="http://schemas.openxmlformats.org/officeDocument/2006/relationships/hyperlink" Target="https://docs.google.com/document/d/10d1_HNFhLrWa0RFBNQ9sJiYjG9EEHCqfSvV537DNSD4/edit?usp=drivesdk" TargetMode="External"/><Relationship Id="rId360" Type="http://schemas.openxmlformats.org/officeDocument/2006/relationships/hyperlink" Target="https://docs.google.com/document/d/1tN-BDIFP4wIdtDPNc4VJGm5KmomsIJWLCspFWJ2XwKE/edit?usp=sharing" TargetMode="External"/><Relationship Id="rId481" Type="http://schemas.openxmlformats.org/officeDocument/2006/relationships/hyperlink" Target="https://docs.google.com/document/d/1yIoQYJ6YWaTyn325IwmjaMgPf-g648-UhyS7w3GfX4o/edit?usp=sharing" TargetMode="External"/><Relationship Id="rId125" Type="http://schemas.openxmlformats.org/officeDocument/2006/relationships/hyperlink" Target="https://docs.google.com/document/d/1aMVSqHTm66T8FbK5dESswZVgK4TyV4ymV6q_SVM4hMw/edit?tab=t.0" TargetMode="External"/><Relationship Id="rId246" Type="http://schemas.openxmlformats.org/officeDocument/2006/relationships/hyperlink" Target="https://docs.google.com/document/d/1LAfz6NaqHOTVGBlIePewMX0mVa1wm_mxqlTcoWpE7mU/edit?tab=t.0" TargetMode="External"/><Relationship Id="rId367" Type="http://schemas.openxmlformats.org/officeDocument/2006/relationships/hyperlink" Target="https://docs.google.com/document/d/1WHVGc6pXr_NA5e8bnKxYIiD6YaWvqASNC8gVt1j0ALs/edit?tab=t.0" TargetMode="External"/><Relationship Id="rId488" Type="http://schemas.openxmlformats.org/officeDocument/2006/relationships/hyperlink" Target="https://docs.google.com/document/d/13Jm6qni_34WZX-KjQ6PL7A4tl7nXxf4EigNzYgZuA2k/edit?usp=sharing" TargetMode="External"/><Relationship Id="rId124" Type="http://schemas.openxmlformats.org/officeDocument/2006/relationships/hyperlink" Target="https://docs.google.com/document/d/1pKavIIbdbjDyBzUb-BPg9WBhHNYpqereXz355HVMpww/edit?tab=t.0" TargetMode="External"/><Relationship Id="rId245" Type="http://schemas.openxmlformats.org/officeDocument/2006/relationships/hyperlink" Target="https://docs.google.com/document/d/17e8VmrhIqngMCuRGDngwmr-EbTK9cXfv5329ypt3K_o/edit?usp=sharing" TargetMode="External"/><Relationship Id="rId366" Type="http://schemas.openxmlformats.org/officeDocument/2006/relationships/hyperlink" Target="https://docs.google.com/document/d/10ltkeh-LVI5NcGltJU3_TOe79x99pr9L4JJuLZhHKQc/edit?tab=t.0" TargetMode="External"/><Relationship Id="rId487" Type="http://schemas.openxmlformats.org/officeDocument/2006/relationships/hyperlink" Target="https://docs.google.com/document/d/1GLUcZNJyecrdhfsl2I3Rx-cBll0MHvJ9V1IPRUe7ayw/edit?usp=sharing" TargetMode="External"/><Relationship Id="rId123" Type="http://schemas.openxmlformats.org/officeDocument/2006/relationships/hyperlink" Target="https://docs.google.com/document/d/1piCjMlCAHF1HNf49gx8BgZA7N3gl1dONHtONWXV4sEU/edit?tab=t.0" TargetMode="External"/><Relationship Id="rId244" Type="http://schemas.openxmlformats.org/officeDocument/2006/relationships/hyperlink" Target="https://docs.google.com/document/d/1SN7aHbdC8rLeai20u-MIOuy8yLHxnn3Lkxt9-8zVO5A/edit?usp=sharing" TargetMode="External"/><Relationship Id="rId365" Type="http://schemas.openxmlformats.org/officeDocument/2006/relationships/hyperlink" Target="https://docs.google.com/document/d/15jo4z9eGQ_POaKdkaQxLjO8JvdJGQn7XwEVM2jQ99j8/edit?tab=t.0" TargetMode="External"/><Relationship Id="rId486" Type="http://schemas.openxmlformats.org/officeDocument/2006/relationships/hyperlink" Target="https://docs.google.com/document/d/17ivz-YTQYvNp4LjODTyuRQ8zExch6b8DgVK-u6ctK3A/edit?usp=sharing" TargetMode="External"/><Relationship Id="rId122" Type="http://schemas.openxmlformats.org/officeDocument/2006/relationships/hyperlink" Target="https://docs.google.com/document/d/1PWYXfvb0PoQLgLBAMNhYlcpZkGtXn0rmQa5XFuRy2iY/edit?tab=t.0" TargetMode="External"/><Relationship Id="rId243" Type="http://schemas.openxmlformats.org/officeDocument/2006/relationships/hyperlink" Target="https://docs.google.com/document/d/1IifxN6RzpE0HchftHxSJu9d0vWiM5pL-YjYBBa9ruso/edit?usp=sharing" TargetMode="External"/><Relationship Id="rId364" Type="http://schemas.openxmlformats.org/officeDocument/2006/relationships/hyperlink" Target="https://docs.google.com/document/d/1DajiEyv3RzKPi--cxeF9R-JUw38NWnODJO6LC4rSlzY/edit?tab=t.0" TargetMode="External"/><Relationship Id="rId485" Type="http://schemas.openxmlformats.org/officeDocument/2006/relationships/hyperlink" Target="https://docs.google.com/document/d/1AQSM01m6bQcJsuP75k3TjEaMqk7XcS-NQ9qknft_5K0/edit?usp=sharing" TargetMode="External"/><Relationship Id="rId95" Type="http://schemas.openxmlformats.org/officeDocument/2006/relationships/hyperlink" Target="https://docs.google.com/document/d/1CRlqaj6ZRa7CzeaR0m9u8rXId3WMzUTWEMLphayaeCA/edit?tab=t.0" TargetMode="External"/><Relationship Id="rId94" Type="http://schemas.openxmlformats.org/officeDocument/2006/relationships/hyperlink" Target="https://docs.google.com/document/d/19VGX7F9Wmog6os2FQwjwP1N8EREshbOz3zYaN-irITo/edit?usp=sharing" TargetMode="External"/><Relationship Id="rId97" Type="http://schemas.openxmlformats.org/officeDocument/2006/relationships/hyperlink" Target="https://docs.google.com/document/d/1kKOAN5Hz1e9Ge1PK5nErHM0e1M6-xbfB1rLJ4Ehr4qk/edit?tab=t.0" TargetMode="External"/><Relationship Id="rId96" Type="http://schemas.openxmlformats.org/officeDocument/2006/relationships/hyperlink" Target="https://docs.google.com/document/d/1YahiXkKdIVGRmYUgOM-bJ-rML-Li0FHGEhetCS7Ztxc/edit?usp=drivesdk" TargetMode="External"/><Relationship Id="rId99" Type="http://schemas.openxmlformats.org/officeDocument/2006/relationships/hyperlink" Target="https://docs.google.com/document/d/1arR3xFKib7xD8ofEpcXEB-oPtpqEnhODEFSqtBqKpgg/edit?tab=t.0" TargetMode="External"/><Relationship Id="rId480" Type="http://schemas.openxmlformats.org/officeDocument/2006/relationships/hyperlink" Target="https://docs.google.com/document/d/1ggbhECHDIWWlkqGsYVaL4_4PR_nIDjOtET-Oo8SgU9I/edit?tab=t.0" TargetMode="External"/><Relationship Id="rId98" Type="http://schemas.openxmlformats.org/officeDocument/2006/relationships/hyperlink" Target="https://docs.google.com/document/d/141xZi6MqSxtNzt8SYKBNDsVwpYnBAbkG245i1hwRBAY/edit?tab=t.0" TargetMode="External"/><Relationship Id="rId91" Type="http://schemas.openxmlformats.org/officeDocument/2006/relationships/hyperlink" Target="https://docs.google.com/document/d/1EYh6FZNuQ3O6ltimTfuHYrAG6YTE156ES81r1af3nZM/edit?tab=t.0" TargetMode="External"/><Relationship Id="rId90" Type="http://schemas.openxmlformats.org/officeDocument/2006/relationships/hyperlink" Target="https://docs.google.com/document/d/1WrHosX5Xh0BRMcVVDwuDR8t4w-75bgHUpDK5D5dJIUA/edit?tab=t.0" TargetMode="External"/><Relationship Id="rId93" Type="http://schemas.openxmlformats.org/officeDocument/2006/relationships/hyperlink" Target="https://docs.google.com/document/d/1XNBLh8erHozdX4wbuKyKbL_urUIlh-Ays7hkuUyd2Jw/edit?tab=t.0" TargetMode="External"/><Relationship Id="rId92" Type="http://schemas.openxmlformats.org/officeDocument/2006/relationships/hyperlink" Target="https://docs.google.com/document/d/1KhXWkYPLQf77xqJU04uU3d2wh2F-atGH4ZwiSLH5Lmg/edit?tab=t.0" TargetMode="External"/><Relationship Id="rId118" Type="http://schemas.openxmlformats.org/officeDocument/2006/relationships/hyperlink" Target="https://docs.google.com/document/d/1tv6hCZvwASZTMUs6CeRdI9YexFDvpmhMcKwOy1q4Lxk/edit?tab=t.0" TargetMode="External"/><Relationship Id="rId239" Type="http://schemas.openxmlformats.org/officeDocument/2006/relationships/hyperlink" Target="https://docs.google.com/document/d/1LdfjBq3bM8lCIu60ZYoWWoa7Pcy45UILWjJgg9d1E_M/edit?tab=t.0" TargetMode="External"/><Relationship Id="rId117" Type="http://schemas.openxmlformats.org/officeDocument/2006/relationships/hyperlink" Target="https://docs.google.com/document/d/1VpBVKer9LpxENHOIXQEAr-MVCI3YadkLpQnCC4jVDJk/edit?tab=t.0" TargetMode="External"/><Relationship Id="rId238" Type="http://schemas.openxmlformats.org/officeDocument/2006/relationships/hyperlink" Target="https://docs.google.com/document/d/1GCdEcN1x_mYBmrSC698dlrJAyCkuoAX8l1S9Ng8bSHU/edit?usp=sharing" TargetMode="External"/><Relationship Id="rId359" Type="http://schemas.openxmlformats.org/officeDocument/2006/relationships/hyperlink" Target="https://docs.google.com/document/d/16HUEAj4hDXhu6YcxeOlYhOKJyT8jY-eWNZLthHortcw/edit?usp=sharing" TargetMode="External"/><Relationship Id="rId116" Type="http://schemas.openxmlformats.org/officeDocument/2006/relationships/hyperlink" Target="https://docs.google.com/document/d/1okHiuxbx10A9ZzQrFc6L9oqqkHcJHMn4Co3aZBSMwH4/edit?tab=t.0" TargetMode="External"/><Relationship Id="rId237" Type="http://schemas.openxmlformats.org/officeDocument/2006/relationships/hyperlink" Target="https://docs.google.com/document/d/1UgR5I4bxdAxliR5vM38p6oPIveJpD6uf96LrUzjePsM/edit?usp=sharing" TargetMode="External"/><Relationship Id="rId358" Type="http://schemas.openxmlformats.org/officeDocument/2006/relationships/hyperlink" Target="https://docs.google.com/document/d/1p04wQrhMyz5VeWOYHu2nvkgecjzPoH2KJ2Yc8B62kkw/edit?usp=sharing" TargetMode="External"/><Relationship Id="rId479" Type="http://schemas.openxmlformats.org/officeDocument/2006/relationships/hyperlink" Target="https://docs.google.com/document/d/1TuWrmHDQG0B8cDSHAajLv_nuBGxt4QylHcdm7u2pSqE/edit?usp=sharing" TargetMode="External"/><Relationship Id="rId115" Type="http://schemas.openxmlformats.org/officeDocument/2006/relationships/hyperlink" Target="https://docs.google.com/document/d/1o9W6-RxtIClawdWzlAjbPoq_wSv7jb2GlhhH6IY1aMw/edit?usp=sharing" TargetMode="External"/><Relationship Id="rId236" Type="http://schemas.openxmlformats.org/officeDocument/2006/relationships/hyperlink" Target="https://docs.google.com/document/d/1r888GU9xm_6FpclHpSZrb8KBLgxCNiKeE-WnHijDmUc/edit?usp=sharing" TargetMode="External"/><Relationship Id="rId357" Type="http://schemas.openxmlformats.org/officeDocument/2006/relationships/hyperlink" Target="https://docs.google.com/document/d/1xrqwT6C0Vgc2QGjcJIPCeXtNyGYzpZJWizNDbhkeRx0/edit?usp=sharing" TargetMode="External"/><Relationship Id="rId478" Type="http://schemas.openxmlformats.org/officeDocument/2006/relationships/hyperlink" Target="https://docs.google.com/document/d/1wwW70MxlMtdTHRAuf9pgQjo_WdTPdfBtryGA2782JWI/edit?usp=sharing" TargetMode="External"/><Relationship Id="rId119" Type="http://schemas.openxmlformats.org/officeDocument/2006/relationships/hyperlink" Target="https://docs.google.com/document/d/1sXzMp55HHwyZhUaflDk_ynWTkd2LpN6_nVIFagYDum4/edit?tab=t.0" TargetMode="External"/><Relationship Id="rId110" Type="http://schemas.openxmlformats.org/officeDocument/2006/relationships/hyperlink" Target="https://docs.google.com/document/d/1aN4qmuL-VcZ9zIGOCdexdwMIFAGfK_RJ0aQkT84bF28/edit?tab=t.0" TargetMode="External"/><Relationship Id="rId231" Type="http://schemas.openxmlformats.org/officeDocument/2006/relationships/hyperlink" Target="https://docs.google.com/document/d/1uAH3ykAbKawbzM_wfwn9AYQ_fp4j1HibtJPXpJZtjOU/edit?usp=sharing" TargetMode="External"/><Relationship Id="rId352" Type="http://schemas.openxmlformats.org/officeDocument/2006/relationships/hyperlink" Target="https://docs.google.com/document/d/1paIhZipVKAvm_NxzkVLzS3a8DtPRoJonkdvzfHoWmrI/edit?usp=sharing" TargetMode="External"/><Relationship Id="rId473" Type="http://schemas.openxmlformats.org/officeDocument/2006/relationships/hyperlink" Target="https://docs.google.com/document/d/1jH8xbbFYobjqYLoMcoKrUUjG8ix_8e3hNo50pYc4bKc/edit?usp=drivesdk" TargetMode="External"/><Relationship Id="rId230" Type="http://schemas.openxmlformats.org/officeDocument/2006/relationships/hyperlink" Target="https://docs.google.com/document/d/1S1m7WvNaCTEXfSmrMS1GGM94NKeF1GMb0NYgT4AcV_Q/edit?usp=sharing" TargetMode="External"/><Relationship Id="rId351" Type="http://schemas.openxmlformats.org/officeDocument/2006/relationships/hyperlink" Target="https://docs.google.com/document/d/1cl90rx5QiUJs9HcdeolU0W9IhBVMLK02p108iit-CqM/edit?usp=sharing" TargetMode="External"/><Relationship Id="rId472" Type="http://schemas.openxmlformats.org/officeDocument/2006/relationships/hyperlink" Target="https://docs.google.com/document/d/1LwFD_yT24Qlj7HSHKUYnvTtq24TR3a3jeMRKdKXsjTo/edit?tab=t.0" TargetMode="External"/><Relationship Id="rId350" Type="http://schemas.openxmlformats.org/officeDocument/2006/relationships/hyperlink" Target="https://docs.google.com/document/d/1mRMP_d1RnyR2VFJVUfelYJSN1lvShuZ-6xa11YnGlWE/edit?tab=t.0" TargetMode="External"/><Relationship Id="rId471" Type="http://schemas.openxmlformats.org/officeDocument/2006/relationships/hyperlink" Target="https://docs.google.com/document/d/1L3TqfYc-OUgrRkuBd1D0JRmljvW2vyYkfVzVNQbKTTg/edit?tab=t.0" TargetMode="External"/><Relationship Id="rId470" Type="http://schemas.openxmlformats.org/officeDocument/2006/relationships/hyperlink" Target="https://docs.google.com/document/d/1r9pkyZoJ4E4pa0a7Eum00xRYoKjDu0yQKO1LwDuvE7o/edit?usp=drivesdk" TargetMode="External"/><Relationship Id="rId114" Type="http://schemas.openxmlformats.org/officeDocument/2006/relationships/hyperlink" Target="https://docs.google.com/document/d/17OZHf5u5bAj4ZF18umFwwD_s0yJ2NXYwL-LAqPBEcSo/edit?tab=t.0" TargetMode="External"/><Relationship Id="rId235" Type="http://schemas.openxmlformats.org/officeDocument/2006/relationships/hyperlink" Target="https://docs.google.com/document/d/1M-epWE9NwckP-O_bzNEcPPpRskObNZ_4zLtxEsVRGgI/edit?usp=sharing" TargetMode="External"/><Relationship Id="rId356" Type="http://schemas.openxmlformats.org/officeDocument/2006/relationships/hyperlink" Target="https://docs.google.com/document/d/1ZhoIvxIjB_eJ38d8xAFAPMwbQ2uWAO5aJzvuBLw2L3s/edit?tab=t.0" TargetMode="External"/><Relationship Id="rId477" Type="http://schemas.openxmlformats.org/officeDocument/2006/relationships/hyperlink" Target="https://docs.google.com/document/d/1w6jTgO3RJfzf-x01EvkuPqKmjHIeul8R4Gh4WhbSbiE/edit?tab=t.0" TargetMode="External"/><Relationship Id="rId113" Type="http://schemas.openxmlformats.org/officeDocument/2006/relationships/hyperlink" Target="https://docs.google.com/document/d/1rd4lhac0z7he1-OmaP93U073gQv6F7_7WIyAt2YiOro/edit?usp=sharing" TargetMode="External"/><Relationship Id="rId234" Type="http://schemas.openxmlformats.org/officeDocument/2006/relationships/hyperlink" Target="https://docs.google.com/document/d/17h_yC1p6udV3A4QyTH4zrnxl-rb-c4BRoDeHYr7lvoE/edit?usp=sharing" TargetMode="External"/><Relationship Id="rId355" Type="http://schemas.openxmlformats.org/officeDocument/2006/relationships/hyperlink" Target="https://docs.google.com/document/d/1quchrNqLCHGepiONa94n2Nv0BaP06nb7B2VryYpEB34/edit?usp=drivesdk" TargetMode="External"/><Relationship Id="rId476" Type="http://schemas.openxmlformats.org/officeDocument/2006/relationships/hyperlink" Target="https://docs.google.com/document/d/1RZeYAuufxwMiCdA-lLrG6KxYBPvONNJ90nnjpmOoD8g/edit?tab=t.0" TargetMode="External"/><Relationship Id="rId112" Type="http://schemas.openxmlformats.org/officeDocument/2006/relationships/hyperlink" Target="https://docs.google.com/document/d/1UrbZLSeM81V8Hkzor-ZwdAj93ofaLSOSez5Zc8w8QbA/edit?tab=t.0" TargetMode="External"/><Relationship Id="rId233" Type="http://schemas.openxmlformats.org/officeDocument/2006/relationships/hyperlink" Target="https://docs.google.com/document/d/1zPw8Zfr98kjQUxz1f9zZYGpikX0vPV5fNylvqLkLIGI/edit?tab=t.0" TargetMode="External"/><Relationship Id="rId354" Type="http://schemas.openxmlformats.org/officeDocument/2006/relationships/hyperlink" Target="https://docs.google.com/document/d/129WbEOC8OLCDbzY8FNFRP9eZLzrYIytMh5qd-ugrKeA/edit?tab=t.0" TargetMode="External"/><Relationship Id="rId475" Type="http://schemas.openxmlformats.org/officeDocument/2006/relationships/hyperlink" Target="https://docs.google.com/document/d/1brynkPMUwYa0Kpun9sWpNhxfIybvBbn1qPR4oaQqBmo/edit?usp=sharing" TargetMode="External"/><Relationship Id="rId111" Type="http://schemas.openxmlformats.org/officeDocument/2006/relationships/hyperlink" Target="https://docs.google.com/document/d/1aV94GOrQaRCGR4RIxdFXBWD-Rx0dW3jUGlYG_LTTTSA/edit?tab=t.0" TargetMode="External"/><Relationship Id="rId232" Type="http://schemas.openxmlformats.org/officeDocument/2006/relationships/hyperlink" Target="https://docs.google.com/document/d/1Ges2XLDhWxFgWo2JZPQyhTEYs5vMQchJ2_HDLvWsZBQ/edit?usp=sharing" TargetMode="External"/><Relationship Id="rId353" Type="http://schemas.openxmlformats.org/officeDocument/2006/relationships/hyperlink" Target="https://docs.google.com/document/d/1jZ7F9RgOWG4qPDAe2UMQEpPAnSaL0Qv3FLIPtq1GsFc/edit?tab=t.0" TargetMode="External"/><Relationship Id="rId474" Type="http://schemas.openxmlformats.org/officeDocument/2006/relationships/hyperlink" Target="https://docs.google.com/document/d/1UmPikxR8PiBr8sMELyam9EWeGay1Z7vVE3nLypUwrik/edit?usp=sharing" TargetMode="External"/><Relationship Id="rId305" Type="http://schemas.openxmlformats.org/officeDocument/2006/relationships/hyperlink" Target="https://docs.google.com/document/d/1EOJTregGxriInA1A_ZMlo5O21BTMoJ9V-ZxlFph0ybQ/edit?tab=t.0" TargetMode="External"/><Relationship Id="rId426" Type="http://schemas.openxmlformats.org/officeDocument/2006/relationships/hyperlink" Target="https://docs.google.com/document/d/1mxuSOlq2UoVHUdDq9Qlb0MDNTlSWy6CJ_A4BhyryeM8/edit?usp=sharing" TargetMode="External"/><Relationship Id="rId304" Type="http://schemas.openxmlformats.org/officeDocument/2006/relationships/hyperlink" Target="https://docs.google.com/document/d/1hbEYI_spdlsOQ7WSDOdBzfoNT6N7TUIIvbyG7pKwi5Y/edit?usp=drivesdk" TargetMode="External"/><Relationship Id="rId425" Type="http://schemas.openxmlformats.org/officeDocument/2006/relationships/hyperlink" Target="https://docs.google.com/document/d/1nAJHVlz5vRjq3zLEU_XS0DhSy4iXhXydO4qH5MOImQE/edit?usp=sharing" TargetMode="External"/><Relationship Id="rId303" Type="http://schemas.openxmlformats.org/officeDocument/2006/relationships/hyperlink" Target="https://docs.google.com/document/d/1rzr0zDpBEkN9fgMyTkUxt78EJkeeAusTBAFnDsa4108/edit?tab=t.0" TargetMode="External"/><Relationship Id="rId424" Type="http://schemas.openxmlformats.org/officeDocument/2006/relationships/hyperlink" Target="https://docs.google.com/document/d/1ELoa1QhTRPv7xY4B2KRb7_QtbQrdUbPaSnvKIwV70jM/edit?usp=sharing" TargetMode="External"/><Relationship Id="rId302" Type="http://schemas.openxmlformats.org/officeDocument/2006/relationships/hyperlink" Target="https://docs.google.com/document/d/1dekJ0CZIz5oiN9ksok9u_LCyFKthcyglIlGOHgD0A-4/edit?usp=sharing" TargetMode="External"/><Relationship Id="rId423" Type="http://schemas.openxmlformats.org/officeDocument/2006/relationships/hyperlink" Target="https://docs.google.com/document/d/1crEyDPG7f_0XqK0KInVWj3it23s284T7IZ-leajieXA/edit?usp=sharing" TargetMode="External"/><Relationship Id="rId309" Type="http://schemas.openxmlformats.org/officeDocument/2006/relationships/hyperlink" Target="https://docs.google.com/document/d/18tiWoj2zK6QVJtZcvOanOZLMFWmiIJUf6qHmS4M0n1E/edit?usp=drivesdk" TargetMode="External"/><Relationship Id="rId308" Type="http://schemas.openxmlformats.org/officeDocument/2006/relationships/hyperlink" Target="https://docs.google.com/document/d/152z9oZmgN2nuofnY10h2vBEz8OChSwFmw-jB6sAMioU/edit?usp=sharing" TargetMode="External"/><Relationship Id="rId429" Type="http://schemas.openxmlformats.org/officeDocument/2006/relationships/hyperlink" Target="https://docs.google.com/document/d/13zuv92lZfm8dU5txDsd7XpYxThLYMroV8-s7ljFUxE8/edit?usp=sharing" TargetMode="External"/><Relationship Id="rId307" Type="http://schemas.openxmlformats.org/officeDocument/2006/relationships/hyperlink" Target="https://docs.google.com/document/d/1lcfVxI9nsqRq_UicPL0KMYSIGF2sI8g4WNqPHyLvJFY/edit?tab=t.0" TargetMode="External"/><Relationship Id="rId428" Type="http://schemas.openxmlformats.org/officeDocument/2006/relationships/hyperlink" Target="https://docs.google.com/document/d/1kZ8sC95ZVys9F7tzKPfFAOA9ZTL8W7zP-Ie392VQKTk/edit?tab=t.0" TargetMode="External"/><Relationship Id="rId306" Type="http://schemas.openxmlformats.org/officeDocument/2006/relationships/hyperlink" Target="https://docs.google.com/document/d/1NGrTRrS8NLaBAYL0CMZ9BXI4W99t71VWsqmVSOJSCCI/edit?tab=t.0" TargetMode="External"/><Relationship Id="rId427" Type="http://schemas.openxmlformats.org/officeDocument/2006/relationships/hyperlink" Target="https://docs.google.com/document/d/1JEhsed8cUIpeRhpSoeVkt_K3u-Rsjohv86_T5zNuGNA/edit?tab=t.0" TargetMode="External"/><Relationship Id="rId301" Type="http://schemas.openxmlformats.org/officeDocument/2006/relationships/hyperlink" Target="https://docs.google.com/document/d/1hdiHV-Zq4KSBlIusuqzZqoHhZ7l8WVsAbzmBLn4GIbo/edit?usp=sharing" TargetMode="External"/><Relationship Id="rId422" Type="http://schemas.openxmlformats.org/officeDocument/2006/relationships/hyperlink" Target="https://docs.google.com/document/d/14Z7_AKAFl3NTmd7F0XIN-gF5p53yZxCn0IyYOCz40v4/edit?usp=sharing" TargetMode="External"/><Relationship Id="rId300" Type="http://schemas.openxmlformats.org/officeDocument/2006/relationships/hyperlink" Target="https://docs.google.com/document/d/1pWuheGDgrS9z3oKLNJ2QaVLoSvY682BD_9Wca9h7qtk/edit?tab=t.0" TargetMode="External"/><Relationship Id="rId421" Type="http://schemas.openxmlformats.org/officeDocument/2006/relationships/hyperlink" Target="https://docs.google.com/document/d/1uKnkM18Fe91cFflSBe0nc4YXygjnGQozE03oMr8vpH4/edit?tab=t.0" TargetMode="External"/><Relationship Id="rId420" Type="http://schemas.openxmlformats.org/officeDocument/2006/relationships/hyperlink" Target="https://docs.google.com/document/d/1qDG5xKQw3NSkuet7vF5jjItKu_hXzf5_Hpp9a2ke-wE/edit?tab=t.0" TargetMode="External"/><Relationship Id="rId415" Type="http://schemas.openxmlformats.org/officeDocument/2006/relationships/hyperlink" Target="https://docs.google.com/document/d/1PUGOslj04Gira5ColPtvxI9dISq__wjTwGvM6cgJDzo/edit?usp=drivesdk" TargetMode="External"/><Relationship Id="rId414" Type="http://schemas.openxmlformats.org/officeDocument/2006/relationships/hyperlink" Target="https://docs.google.com/document/d/1hyfRHax52fI684-re7zvLxXKlCbz2hs0OFsWlsG2GWs/edit?usp=sharing" TargetMode="External"/><Relationship Id="rId413" Type="http://schemas.openxmlformats.org/officeDocument/2006/relationships/hyperlink" Target="https://docs.google.com/document/d/1kfw2EVDT_tuFmQ2la4o04ioPxfY3aQ7RyYo8xrkxJaA/edit?usp=sharing" TargetMode="External"/><Relationship Id="rId412" Type="http://schemas.openxmlformats.org/officeDocument/2006/relationships/hyperlink" Target="https://docs.google.com/document/d/1BRzmkPrY-4K7f9NS6fTkubITgAmZ4yesMYBT3sI5Mdc/edit?usp=sharing" TargetMode="External"/><Relationship Id="rId419" Type="http://schemas.openxmlformats.org/officeDocument/2006/relationships/hyperlink" Target="https://docs.google.com/document/d/1azcgmQvYmry9OxnQr7Un_vB01TziFdSuhiNj2Yth5hM/edit?usp=drivesdk" TargetMode="External"/><Relationship Id="rId418" Type="http://schemas.openxmlformats.org/officeDocument/2006/relationships/hyperlink" Target="https://docs.google.com/document/d/1WkLKWZA8TygP9nFTYVgBd70FECJBPcigBzsef06K1qc/edit?tab=t.0" TargetMode="External"/><Relationship Id="rId417" Type="http://schemas.openxmlformats.org/officeDocument/2006/relationships/hyperlink" Target="https://docs.google.com/document/d/13_wp2Rd-OLkZ5GFjOehwpUKWbNXhzwXOVTgMs8-dBYk/edit?tab=t.0" TargetMode="External"/><Relationship Id="rId416" Type="http://schemas.openxmlformats.org/officeDocument/2006/relationships/hyperlink" Target="https://docs.google.com/document/d/1bKxe1ycKmo9cuWtnuOPOjlrPx29JYMR1Nj9Yznf_MaU/edit?tab=t.0" TargetMode="External"/><Relationship Id="rId411" Type="http://schemas.openxmlformats.org/officeDocument/2006/relationships/hyperlink" Target="https://docs.google.com/document/d/1ttTERkF3-Yh8Vp4J56dJWEujJJyZlJEUDu1acbR19Hg/edit?usp=sharing" TargetMode="External"/><Relationship Id="rId410" Type="http://schemas.openxmlformats.org/officeDocument/2006/relationships/hyperlink" Target="https://docs.google.com/document/d/1o23ao31TurwoyYl_Fxn4HKpRIQ5AZViwXjLqiK9LHcc/edit?tab=t.0" TargetMode="External"/><Relationship Id="rId206" Type="http://schemas.openxmlformats.org/officeDocument/2006/relationships/hyperlink" Target="https://docs.google.com/document/d/19Wcv5Zzsaq41N9o0lu1qBCUqPE_VD86GPVzZYrSIprA/edit?tab=t.0" TargetMode="External"/><Relationship Id="rId327" Type="http://schemas.openxmlformats.org/officeDocument/2006/relationships/hyperlink" Target="https://docs.google.com/document/d/1Lp0NZEyWISxzImTuDlCy2KDgKjPwz8zROY3v61HOTHc/edit?usp=sharing" TargetMode="External"/><Relationship Id="rId448" Type="http://schemas.openxmlformats.org/officeDocument/2006/relationships/hyperlink" Target="https://docs.google.com/document/d/14l3RtkaGRNNZ_I7ulRJYn7dDOhlXgk4hre3-ij3lRbQ/edit?usp=sharing" TargetMode="External"/><Relationship Id="rId205" Type="http://schemas.openxmlformats.org/officeDocument/2006/relationships/hyperlink" Target="https://docs.google.com/document/d/141DmAKKoyjeNnEJnays8YR6kSYNpWrzCtC4XzebfUYM/edit?usp=drivesdk" TargetMode="External"/><Relationship Id="rId326" Type="http://schemas.openxmlformats.org/officeDocument/2006/relationships/hyperlink" Target="https://docs.google.com/document/d/1ZDEhCNVN0JXAeZbdv_4BkZSUUHA2mJIqTGzsl-m3B6s/edit?usp=sharing" TargetMode="External"/><Relationship Id="rId447" Type="http://schemas.openxmlformats.org/officeDocument/2006/relationships/hyperlink" Target="https://docs.google.com/document/d/1yBNOOKl2r0NSaC2R80O14_5_IK2aCU5vIC3MrMBxGiE/edit?usp=sharing" TargetMode="External"/><Relationship Id="rId204" Type="http://schemas.openxmlformats.org/officeDocument/2006/relationships/hyperlink" Target="https://docs.google.com/document/d/1vwglbjajmwgPde8hLTU28mP5WOy0Xpq6FsriFihN_RU/edit?tab=t.0" TargetMode="External"/><Relationship Id="rId325" Type="http://schemas.openxmlformats.org/officeDocument/2006/relationships/hyperlink" Target="https://docs.google.com/document/d/1kK0Ed5Xb0k1KL0UZfA2SORvd0Ne_tKcCKIG3HES5zy4/edit?tab=t.0" TargetMode="External"/><Relationship Id="rId446" Type="http://schemas.openxmlformats.org/officeDocument/2006/relationships/hyperlink" Target="https://docs.google.com/document/d/1mcOYCeX4vgkbXEgKgQ3pJDex0IHluTezCeMMehVyNP8/edit?usp=sharing" TargetMode="External"/><Relationship Id="rId203" Type="http://schemas.openxmlformats.org/officeDocument/2006/relationships/hyperlink" Target="https://docs.google.com/document/d/1f3hRHCZqueHPNaTgFUOhJNoTFlQn5jfmB6CWEv2oyto/edit?tab=t.0" TargetMode="External"/><Relationship Id="rId324" Type="http://schemas.openxmlformats.org/officeDocument/2006/relationships/hyperlink" Target="https://docs.google.com/document/d/1PkJd1jl6vzVgSIptaX0VfSx-icGarZYK1HwvDKK6vtE/edit?tab=t.0" TargetMode="External"/><Relationship Id="rId445" Type="http://schemas.openxmlformats.org/officeDocument/2006/relationships/hyperlink" Target="https://docs.google.com/document/d/1RFpss8exRQV1AIiB65l1LJe-bN2Mkr6UYX1VqKR7GUA/edit?usp=sharing" TargetMode="External"/><Relationship Id="rId209" Type="http://schemas.openxmlformats.org/officeDocument/2006/relationships/hyperlink" Target="https://docs.google.com/document/d/1nl0bOAyUAWZYDySnobqRQUsbrIsrPaMo_ne2s4SJq64/edit?tab=t.0" TargetMode="External"/><Relationship Id="rId208" Type="http://schemas.openxmlformats.org/officeDocument/2006/relationships/hyperlink" Target="https://docs.google.com/document/d/1U1YEWdYwd_w9gSEbRFPOO96ZYGCXCFi1W6Ee4rtcm20/edit?tab=t.0" TargetMode="External"/><Relationship Id="rId329" Type="http://schemas.openxmlformats.org/officeDocument/2006/relationships/hyperlink" Target="https://docs.google.com/document/d/1grhWc8zgkscGz5QpiGqjvFhB_HL0M-HKjXHwR3UrsQY/edit?usp=sharing" TargetMode="External"/><Relationship Id="rId207" Type="http://schemas.openxmlformats.org/officeDocument/2006/relationships/hyperlink" Target="https://docs.google.com/document/d/1knTzA2rx597xhY379P2qm7UoJOJAEECdfkG8v8Z9Brk/edit?tab=t.0" TargetMode="External"/><Relationship Id="rId328" Type="http://schemas.openxmlformats.org/officeDocument/2006/relationships/hyperlink" Target="https://docs.google.com/document/d/1cIvhfmSvlZcCwx_P3nJ-yjhUsG1P0X99YHRZGwK-UMg/edit?usp=drivesdk" TargetMode="External"/><Relationship Id="rId449" Type="http://schemas.openxmlformats.org/officeDocument/2006/relationships/hyperlink" Target="https://docs.google.com/document/d/1YxA_C9wR_TZUPzi34IqJ0HixsYCmgSre94cW3WVWC1o/edit?usp=sharing" TargetMode="External"/><Relationship Id="rId440" Type="http://schemas.openxmlformats.org/officeDocument/2006/relationships/hyperlink" Target="https://docs.google.com/document/d/1L9HSPspX9R4zKi8QK1MZuYY0iQp2DRH5GFRrvjkeOLs/edit?usp=sharing" TargetMode="External"/><Relationship Id="rId202" Type="http://schemas.openxmlformats.org/officeDocument/2006/relationships/hyperlink" Target="https://docs.google.com/document/d/196Sv2BVHhpvzaSjUz7JM9ou9oQ7qXN_KszUVGpjnL5Q/edit?tab=t.0" TargetMode="External"/><Relationship Id="rId323" Type="http://schemas.openxmlformats.org/officeDocument/2006/relationships/hyperlink" Target="https://docs.google.com/document/d/1RoPWVIm6JUULt1efbgaRzRZM0I7AHkFiCeGCCjWNeQk/edit?tab=t.0" TargetMode="External"/><Relationship Id="rId444" Type="http://schemas.openxmlformats.org/officeDocument/2006/relationships/hyperlink" Target="https://docs.google.com/document/d/1lGre8GfM8MCr9mE5gHYjSFk8T8Gjea7bAzvdLueCpj0/edit?usp=sharing" TargetMode="External"/><Relationship Id="rId201" Type="http://schemas.openxmlformats.org/officeDocument/2006/relationships/hyperlink" Target="https://docs.google.com/document/d/1VPgo7XKuoTR4N0OdQnG73oienUtNQfE4-AdhXN21WHc/edit?tab=t.0" TargetMode="External"/><Relationship Id="rId322" Type="http://schemas.openxmlformats.org/officeDocument/2006/relationships/hyperlink" Target="https://docs.google.com/document/d/1APvbambRm0L1RbC4eH6W2R5XcMBzoVFVqfw1PzOav1o/edit?usp=sharing" TargetMode="External"/><Relationship Id="rId443" Type="http://schemas.openxmlformats.org/officeDocument/2006/relationships/hyperlink" Target="https://docs.google.com/document/d/18TwIwxgqWojGkn7PqC3MF9HM0Jy-LD-Ihm2a6bHvEhI/edit?usp=sharing" TargetMode="External"/><Relationship Id="rId200" Type="http://schemas.openxmlformats.org/officeDocument/2006/relationships/hyperlink" Target="https://docs.google.com/document/d/1q4M2dhYvM6hMcAIAESXQStHGp13E9wvTJvt2vC_5Pg0/edit?usp=sharing" TargetMode="External"/><Relationship Id="rId321" Type="http://schemas.openxmlformats.org/officeDocument/2006/relationships/hyperlink" Target="https://docs.google.com/document/d/1tmCe_nCJBKHQSwugenr8t18fzSDeMNm38e5jd7oTzaM/edit?tab=t.0" TargetMode="External"/><Relationship Id="rId442" Type="http://schemas.openxmlformats.org/officeDocument/2006/relationships/hyperlink" Target="https://docs.google.com/document/d/1cXkin868abmMBNGqgxRbfwpBvp__EyksqLQ9mPJaLxA/edit?usp=sharing" TargetMode="External"/><Relationship Id="rId320" Type="http://schemas.openxmlformats.org/officeDocument/2006/relationships/hyperlink" Target="https://docs.google.com/document/d/1qqOPrXKUOceQYdYlfJwOu42GZKEP-qJi-FH3i5OPNZc/edit?tab=t.0" TargetMode="External"/><Relationship Id="rId441" Type="http://schemas.openxmlformats.org/officeDocument/2006/relationships/hyperlink" Target="https://docs.google.com/document/d/1vteeac6aA8eiuiUJ8iHe6n1MzFrmrTpdV2sh0idIupY/edit?usp=sharing" TargetMode="External"/><Relationship Id="rId316" Type="http://schemas.openxmlformats.org/officeDocument/2006/relationships/hyperlink" Target="https://docs.google.com/document/d/19J9A9xI9qblVViymafLXjdk7rtr8w3ISomg2PClvCBg/edit?usp=sharing" TargetMode="External"/><Relationship Id="rId437" Type="http://schemas.openxmlformats.org/officeDocument/2006/relationships/hyperlink" Target="https://docs.google.com/document/d/1Tzj3M76jItUMwOgYFk_Z7QdY6bhW0Me6c9fjO0dZl98/edit?usp=sharing" TargetMode="External"/><Relationship Id="rId315" Type="http://schemas.openxmlformats.org/officeDocument/2006/relationships/hyperlink" Target="https://docs.google.com/document/d/1gYjevxfOUwHqdDVj0LtdMivFI51mnOIxW-aCxuQIRfI/edit?tab=t.0" TargetMode="External"/><Relationship Id="rId436" Type="http://schemas.openxmlformats.org/officeDocument/2006/relationships/hyperlink" Target="https://docs.google.com/document/d/1cK1b0Z2fSfWsfILIB481EGy5hGnfouFuX2k8GdvvtUw/edit?tab=t.0" TargetMode="External"/><Relationship Id="rId314" Type="http://schemas.openxmlformats.org/officeDocument/2006/relationships/hyperlink" Target="https://docs.google.com/document/d/1j0LO5dOFX6tnftZnraRIH5-OEMifIzBa1BvP-suW8Y8/edit?tab=t.0" TargetMode="External"/><Relationship Id="rId435" Type="http://schemas.openxmlformats.org/officeDocument/2006/relationships/hyperlink" Target="https://docs.google.com/document/d/1rfIICJjN92fpcp9-HHu41Z4u3SfYLWBa7nWYFFSePAk/edit?tab=t.0" TargetMode="External"/><Relationship Id="rId313" Type="http://schemas.openxmlformats.org/officeDocument/2006/relationships/hyperlink" Target="https://docs.google.com/document/d/1cR3BncejclzBUZ2oanP5vsJnCPqrnCoqMIkH8bKFVxM/edit?usp=drivesdk" TargetMode="External"/><Relationship Id="rId434" Type="http://schemas.openxmlformats.org/officeDocument/2006/relationships/hyperlink" Target="https://docs.google.com/document/d/1X8jlQa1Itn_v8cp_GHGu2WLpLy9IBHGxqoCCntrixSI/edit?usp=drivesdk" TargetMode="External"/><Relationship Id="rId319" Type="http://schemas.openxmlformats.org/officeDocument/2006/relationships/hyperlink" Target="https://docs.google.com/document/d/1OBF27uczIKaWaTn02-1kik1_4wu7EP5EPuP4iV0e8e8/edit?usp=drivesdk" TargetMode="External"/><Relationship Id="rId318" Type="http://schemas.openxmlformats.org/officeDocument/2006/relationships/hyperlink" Target="https://docs.google.com/document/d/1Nj4V9FWeMbisg1MNJuyWLKF9JWWhzlIphb0Oao960q0/edit?tab=t.0" TargetMode="External"/><Relationship Id="rId439" Type="http://schemas.openxmlformats.org/officeDocument/2006/relationships/hyperlink" Target="https://docs.google.com/document/d/1EQMAU5KNut7qFBpf4Cip1yoVpIyTmHY90yH4vKktdx8/edit?tab=t.0" TargetMode="External"/><Relationship Id="rId317" Type="http://schemas.openxmlformats.org/officeDocument/2006/relationships/hyperlink" Target="https://docs.google.com/document/d/1GmDZnAsI-0et-O48ogIqxgdrA7XlopwNKhw4d__W5-M/edit?usp=drivesdk" TargetMode="External"/><Relationship Id="rId438" Type="http://schemas.openxmlformats.org/officeDocument/2006/relationships/hyperlink" Target="https://docs.google.com/document/d/1dyqvm2xnRBSae-SWuNxYdxIIun6hrOJMiwLDbi7cOIY/edit?usp=drivesdk" TargetMode="External"/><Relationship Id="rId312" Type="http://schemas.openxmlformats.org/officeDocument/2006/relationships/hyperlink" Target="https://docs.google.com/document/d/18-ITjJ4f6p0-LOcePTserqVwqy5dB8v6CUiw5WTm3NE/edit?usp=drivesdk" TargetMode="External"/><Relationship Id="rId433" Type="http://schemas.openxmlformats.org/officeDocument/2006/relationships/hyperlink" Target="https://docs.google.com/document/d/1ubk1wW-1mElYA-372--VhpvqOQiUdh5QFXC_BduMTa0/edit?usp=sharing" TargetMode="External"/><Relationship Id="rId311" Type="http://schemas.openxmlformats.org/officeDocument/2006/relationships/hyperlink" Target="https://docs.google.com/document/d/129CR5LlITMzRfQ0-ceekbC4hAVVMG8Zi_RXypmdhIuI/edit?tab=t.0" TargetMode="External"/><Relationship Id="rId432" Type="http://schemas.openxmlformats.org/officeDocument/2006/relationships/hyperlink" Target="https://docs.google.com/document/d/1-MhHQT8Z0Ma1W4qm-jLxesBmHCQwtRm0kGn27JMhQGU/edit?usp=sharing" TargetMode="External"/><Relationship Id="rId310" Type="http://schemas.openxmlformats.org/officeDocument/2006/relationships/hyperlink" Target="https://docs.google.com/document/d/1NBC3uaLbAeVrKJXdgXsp89XZf9lyG-PFIUetZulx6xg/edit?usp=drivesdk" TargetMode="External"/><Relationship Id="rId431" Type="http://schemas.openxmlformats.org/officeDocument/2006/relationships/hyperlink" Target="https://docs.google.com/document/d/1Q3qTaUazgE9lLwQqm8vUURZqmMuH72E1TFQW2NQG2kY/edit?usp=sharing" TargetMode="External"/><Relationship Id="rId430" Type="http://schemas.openxmlformats.org/officeDocument/2006/relationships/hyperlink" Target="https://docs.google.com/document/d/12jqS9CPcDt76VRLA0J2h-BAxOngrPPe5PoacaOB0Vtw/edit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document/d/1txr-s5SSLmwK-btZxN9Pgq04TGYBUh_llkUDTvxmd2o/edit?tab=t.0" TargetMode="External"/><Relationship Id="rId194" Type="http://schemas.openxmlformats.org/officeDocument/2006/relationships/hyperlink" Target="https://docs.google.com/document/d/1rzr0zDpBEkN9fgMyTkUxt78EJkeeAusTBAFnDsa4108/edit?tab=t.0" TargetMode="External"/><Relationship Id="rId193" Type="http://schemas.openxmlformats.org/officeDocument/2006/relationships/hyperlink" Target="https://docs.google.com/document/d/1pWuheGDgrS9z3oKLNJ2QaVLoSvY682BD_9Wca9h7qtk/edit?tab=t.0" TargetMode="External"/><Relationship Id="rId192" Type="http://schemas.openxmlformats.org/officeDocument/2006/relationships/hyperlink" Target="https://docs.google.com/document/d/1JG8N3Jkp6Wq2VdmMjmE58np7zkRwq9MuOrdtsLAnMV4/edit?tab=t.0" TargetMode="External"/><Relationship Id="rId191" Type="http://schemas.openxmlformats.org/officeDocument/2006/relationships/hyperlink" Target="https://docs.google.com/document/d/1r5GdYSSVmM4s2x4lpbeB7GN2ryRh07hfEON5MeHY5TU/edit?tab=t.0" TargetMode="External"/><Relationship Id="rId187" Type="http://schemas.openxmlformats.org/officeDocument/2006/relationships/hyperlink" Target="https://docs.google.com/document/d/1cWd0qkNXFtuiAtF0DEyUxlPxR5D2vX-BSb-3f6xnIXg/edit?tab=t.0" TargetMode="External"/><Relationship Id="rId186" Type="http://schemas.openxmlformats.org/officeDocument/2006/relationships/hyperlink" Target="https://docs.google.com/document/d/1ZqixU84EI84vbKqeGbrTeshGxFyoVpfLf-Yw3ZK3sWU/edit?tab=t.0" TargetMode="External"/><Relationship Id="rId185" Type="http://schemas.openxmlformats.org/officeDocument/2006/relationships/hyperlink" Target="https://docs.google.com/document/d/1zT_mfHgHkhbnWdDTbCC5iedQ8UcQE042JaEIOC0-Zrk/edit?tab=t.0" TargetMode="External"/><Relationship Id="rId184" Type="http://schemas.openxmlformats.org/officeDocument/2006/relationships/hyperlink" Target="https://docs.google.com/document/d/1-Lcruo5ljFzJVci_Tk-TOeAfKjvtqP1bJF4UY58U-r4/edit?tab=t.0" TargetMode="External"/><Relationship Id="rId189" Type="http://schemas.openxmlformats.org/officeDocument/2006/relationships/hyperlink" Target="https://docs.google.com/document/d/1R0OuFwKDTSHwj-spoYOjBF1EYgGhVfO4rj1PiVA0xV0/edit?tab=t.0" TargetMode="External"/><Relationship Id="rId188" Type="http://schemas.openxmlformats.org/officeDocument/2006/relationships/hyperlink" Target="https://docs.google.com/document/d/1_eI_7yyf9oa3VPmio_yctFgsNo-Bai4mWIvSxme_oUI/edit?tab=t.0" TargetMode="External"/><Relationship Id="rId183" Type="http://schemas.openxmlformats.org/officeDocument/2006/relationships/hyperlink" Target="https://docs.google.com/document/d/1rJHZSvk_7jGgi8u-pR7VZm12_hT4SqYDsgX2cOvLqE8/edit?tab=t.0" TargetMode="External"/><Relationship Id="rId182" Type="http://schemas.openxmlformats.org/officeDocument/2006/relationships/hyperlink" Target="https://docs.google.com/document/d/1E_OV4Mro0vek_NSCMZPP4kCsW9Z5qbTX4jJzOtCiHZY/edit?tab=t.0" TargetMode="External"/><Relationship Id="rId181" Type="http://schemas.openxmlformats.org/officeDocument/2006/relationships/hyperlink" Target="https://docs.google.com/document/d/1fQIHzbO2-j1FYE_VaIvmLPE0frUA1UKkGJbO9KlUdqg/edit?tab=t.0" TargetMode="External"/><Relationship Id="rId180" Type="http://schemas.openxmlformats.org/officeDocument/2006/relationships/hyperlink" Target="https://docs.google.com/document/d/13ufNfA806FOAZ3cAzYWNlAMq5IaDonbML_O1Rg7cn7g/edit?tab=t.0" TargetMode="External"/><Relationship Id="rId176" Type="http://schemas.openxmlformats.org/officeDocument/2006/relationships/hyperlink" Target="https://docs.google.com/document/d/1xSwno7VuWyPp5-qYM6yqsXLjREdapjNMUZSAGJ2qPSQ/edit?tab=t.0" TargetMode="External"/><Relationship Id="rId297" Type="http://schemas.openxmlformats.org/officeDocument/2006/relationships/hyperlink" Target="https://docs.google.com/document/d/1TypYMg3aYXCbvMtvL4Kecfq4ZczuTgRbJoXE0MWp8h8/edit?usp=sharing" TargetMode="External"/><Relationship Id="rId175" Type="http://schemas.openxmlformats.org/officeDocument/2006/relationships/hyperlink" Target="https://docs.google.com/document/d/1Q2JSvqPvvAFnjlutBohyWwKn1mwjm4gvVKyx99SgLfU/edit?tab=t.0" TargetMode="External"/><Relationship Id="rId296" Type="http://schemas.openxmlformats.org/officeDocument/2006/relationships/hyperlink" Target="https://docs.google.com/document/d/1YZLxa_opgGO1OmtnteVGmEaZNCo2ELaZEHs5CdLmano/edit?usp=sharing" TargetMode="External"/><Relationship Id="rId174" Type="http://schemas.openxmlformats.org/officeDocument/2006/relationships/hyperlink" Target="https://docs.google.com/document/d/1hiJ3MVzlM7pzJzCjfGbhQmGFRI7XJ8O9ym5Ou4qv3X8/edit?tab=t.0" TargetMode="External"/><Relationship Id="rId295" Type="http://schemas.openxmlformats.org/officeDocument/2006/relationships/hyperlink" Target="https://docs.google.com/document/d/1TQHz_FpJpgCHX1fMcYqfwDL_vOsJ_RkmV_68R8rII6s/edit?usp=sharing" TargetMode="External"/><Relationship Id="rId173" Type="http://schemas.openxmlformats.org/officeDocument/2006/relationships/hyperlink" Target="https://docs.google.com/document/d/1YYj1C0XKk72COFtjtQBjoCDyzliiHz73NJVLYrlp4yE/edit?tab=t.0" TargetMode="External"/><Relationship Id="rId294" Type="http://schemas.openxmlformats.org/officeDocument/2006/relationships/hyperlink" Target="https://docs.google.com/document/d/1IvK_efpkY1rgIua1WBOEds3pF6a1nYOXYku3bmh95Sk/edit?usp=sharing" TargetMode="External"/><Relationship Id="rId179" Type="http://schemas.openxmlformats.org/officeDocument/2006/relationships/hyperlink" Target="https://docs.google.com/document/d/1LD3TMebMEIgAwyIz2wJqo2xX1a7jH3NeLoYji0nXvZE/edit?tab=t.0" TargetMode="External"/><Relationship Id="rId178" Type="http://schemas.openxmlformats.org/officeDocument/2006/relationships/hyperlink" Target="https://docs.google.com/document/d/1cAZfXEmNiw9kI1_WPTtyTJhJ2lL03-_i_1GYTxbl4xQ/edit?tab=t.0" TargetMode="External"/><Relationship Id="rId299" Type="http://schemas.openxmlformats.org/officeDocument/2006/relationships/hyperlink" Target="https://docs.google.com/document/d/1HJKzaTjwfBvmHn0nrO_YCBoJfDg9m_2Ysi8mmb7NiZs/edit?usp=sharing" TargetMode="External"/><Relationship Id="rId177" Type="http://schemas.openxmlformats.org/officeDocument/2006/relationships/hyperlink" Target="https://docs.google.com/document/d/10-B0iQPVK_hJIDZfTn4_Ka0kwvz5M9fI6kBkC_Jvcu4/edit?tab=t.0" TargetMode="External"/><Relationship Id="rId298" Type="http://schemas.openxmlformats.org/officeDocument/2006/relationships/hyperlink" Target="https://docs.google.com/document/d/1KsUZiEOpey8CauwBJNMim9b7gTbcYdB7kkQmJUa8kP0/edit?usp=sharing" TargetMode="External"/><Relationship Id="rId198" Type="http://schemas.openxmlformats.org/officeDocument/2006/relationships/hyperlink" Target="https://docs.google.com/document/d/129CR5LlITMzRfQ0-ceekbC4hAVVMG8Zi_RXypmdhIuI/edit?tab=t.0" TargetMode="External"/><Relationship Id="rId197" Type="http://schemas.openxmlformats.org/officeDocument/2006/relationships/hyperlink" Target="https://docs.google.com/document/d/1lcfVxI9nsqRq_UicPL0KMYSIGF2sI8g4WNqPHyLvJFY/edit?tab=t.0" TargetMode="External"/><Relationship Id="rId196" Type="http://schemas.openxmlformats.org/officeDocument/2006/relationships/hyperlink" Target="https://docs.google.com/document/d/1NGrTRrS8NLaBAYL0CMZ9BXI4W99t71VWsqmVSOJSCCI/edit?tab=t.0" TargetMode="External"/><Relationship Id="rId195" Type="http://schemas.openxmlformats.org/officeDocument/2006/relationships/hyperlink" Target="https://docs.google.com/document/d/1EOJTregGxriInA1A_ZMlo5O21BTMoJ9V-ZxlFph0ybQ/edit?tab=t.0" TargetMode="External"/><Relationship Id="rId199" Type="http://schemas.openxmlformats.org/officeDocument/2006/relationships/hyperlink" Target="https://docs.google.com/document/d/1j0LO5dOFX6tnftZnraRIH5-OEMifIzBa1BvP-suW8Y8/edit?tab=t.0" TargetMode="External"/><Relationship Id="rId150" Type="http://schemas.openxmlformats.org/officeDocument/2006/relationships/hyperlink" Target="https://docs.google.com/document/d/1lnI7NGkIOtGPC8yQBMcRxYNS0k1t8q2ItmmQtnlcwaE/edit?tab=t.0" TargetMode="External"/><Relationship Id="rId271" Type="http://schemas.openxmlformats.org/officeDocument/2006/relationships/hyperlink" Target="https://docs.google.com/document/d/1Lf-LbXOi-qB-iaZZeumqmCheNk3IVriVuYCFtobORA0/edit?tab=t.0" TargetMode="External"/><Relationship Id="rId270" Type="http://schemas.openxmlformats.org/officeDocument/2006/relationships/hyperlink" Target="https://docs.google.com/document/d/1yIoQYJ6YWaTyn325IwmjaMgPf-g648-UhyS7w3GfX4o/edit?usp=sharing" TargetMode="External"/><Relationship Id="rId1" Type="http://schemas.openxmlformats.org/officeDocument/2006/relationships/hyperlink" Target="https://docs.google.com/document/d/1wA6Vstebr_OPv-YiZuHCtRJ0dphAaw92AabZKFpW9i0/edit?tab=t.0" TargetMode="External"/><Relationship Id="rId2" Type="http://schemas.openxmlformats.org/officeDocument/2006/relationships/hyperlink" Target="https://docs.google.com/document/d/1fMFdvXachGDtyak_UDLjTqjsPv8dJU-8h8riaob89KM/edit?tab=t.0" TargetMode="External"/><Relationship Id="rId3" Type="http://schemas.openxmlformats.org/officeDocument/2006/relationships/hyperlink" Target="https://docs.google.com/document/d/1vdzggSvQW_6p_JDwwPzKp9o4Qo3PymCg6LpFHcmIR1M/edit?tab=t.0" TargetMode="External"/><Relationship Id="rId149" Type="http://schemas.openxmlformats.org/officeDocument/2006/relationships/hyperlink" Target="https://docs.google.com/document/d/1cmgH7qVzkRdmK8pnAn9E6L2Epe24jAkxkkHjH2J0qR0/edit?tab=t.0" TargetMode="External"/><Relationship Id="rId4" Type="http://schemas.openxmlformats.org/officeDocument/2006/relationships/hyperlink" Target="https://docs.google.com/document/d/1GT9NMnoa3lcZIxGW9QCfVEc-3eBA1sFnuwQzkzq4o4M/edit?tab=t.0" TargetMode="External"/><Relationship Id="rId148" Type="http://schemas.openxmlformats.org/officeDocument/2006/relationships/hyperlink" Target="https://docs.google.com/document/d/1QxNtkCHXkIexJBMZwL7Ho94bhdTlJZzzfE56ZfazSmE/edit?tab=t.0" TargetMode="External"/><Relationship Id="rId269" Type="http://schemas.openxmlformats.org/officeDocument/2006/relationships/hyperlink" Target="https://docs.google.com/document/d/1ggbhECHDIWWlkqGsYVaL4_4PR_nIDjOtET-Oo8SgU9I/edit?tab=t.0" TargetMode="External"/><Relationship Id="rId9" Type="http://schemas.openxmlformats.org/officeDocument/2006/relationships/hyperlink" Target="https://docs.google.com/document/d/1KvgxfmxwbvtEdsYUmvDVH8AmLHY6-gICC8p8r-iFWWI/edit?tab=t.0" TargetMode="External"/><Relationship Id="rId143" Type="http://schemas.openxmlformats.org/officeDocument/2006/relationships/hyperlink" Target="https://docs.google.com/document/d/19Wcv5Zzsaq41N9o0lu1qBCUqPE_VD86GPVzZYrSIprA/edit?tab=t.0" TargetMode="External"/><Relationship Id="rId264" Type="http://schemas.openxmlformats.org/officeDocument/2006/relationships/hyperlink" Target="https://docs.google.com/document/d/1LwFD_yT24Qlj7HSHKUYnvTtq24TR3a3jeMRKdKXsjTo/edit?tab=t.0" TargetMode="External"/><Relationship Id="rId142" Type="http://schemas.openxmlformats.org/officeDocument/2006/relationships/hyperlink" Target="https://docs.google.com/document/d/1vwglbjajmwgPde8hLTU28mP5WOy0Xpq6FsriFihN_RU/edit?tab=t.0" TargetMode="External"/><Relationship Id="rId263" Type="http://schemas.openxmlformats.org/officeDocument/2006/relationships/hyperlink" Target="https://docs.google.com/document/d/1L3TqfYc-OUgrRkuBd1D0JRmljvW2vyYkfVzVNQbKTTg/edit?tab=t.0" TargetMode="External"/><Relationship Id="rId141" Type="http://schemas.openxmlformats.org/officeDocument/2006/relationships/hyperlink" Target="https://docs.google.com/document/d/1f3hRHCZqueHPNaTgFUOhJNoTFlQn5jfmB6CWEv2oyto/edit?tab=t.0" TargetMode="External"/><Relationship Id="rId262" Type="http://schemas.openxmlformats.org/officeDocument/2006/relationships/hyperlink" Target="https://docs.google.com/document/d/1FHkAO9NbIaTBp8A0SO4zUhwmaqIZvkVHxVfoEdUYL2s/edit?tab=t.0" TargetMode="External"/><Relationship Id="rId140" Type="http://schemas.openxmlformats.org/officeDocument/2006/relationships/hyperlink" Target="https://docs.google.com/document/d/196Sv2BVHhpvzaSjUz7JM9ou9oQ7qXN_KszUVGpjnL5Q/edit?tab=t.0" TargetMode="External"/><Relationship Id="rId261" Type="http://schemas.openxmlformats.org/officeDocument/2006/relationships/hyperlink" Target="https://docs.google.com/document/d/1MsfPm7xT_D_6xe8LCjE-rNmOy4JCpmGVZOAXCj_l-xE/edit?tab=t.0" TargetMode="External"/><Relationship Id="rId5" Type="http://schemas.openxmlformats.org/officeDocument/2006/relationships/hyperlink" Target="https://docs.google.com/document/d/1owrFmHM_sukRfYRa4zQEBuqM7mjk6T76hgm2yyhQq7I/edit?tab=t.0" TargetMode="External"/><Relationship Id="rId147" Type="http://schemas.openxmlformats.org/officeDocument/2006/relationships/hyperlink" Target="https://docs.google.com/document/d/1MP075bjEdT6KIvGm2pSURrTfcNe-a0JEFIUc_YhZ7IU/edit?tab=t.0" TargetMode="External"/><Relationship Id="rId268" Type="http://schemas.openxmlformats.org/officeDocument/2006/relationships/hyperlink" Target="https://docs.google.com/document/d/1TuWrmHDQG0B8cDSHAajLv_nuBGxt4QylHcdm7u2pSqE/edit?usp=sharing" TargetMode="External"/><Relationship Id="rId6" Type="http://schemas.openxmlformats.org/officeDocument/2006/relationships/hyperlink" Target="https://docs.google.com/document/d/1WNu7Cyk_CX0yd-KTveK1mhJ7xL5DhL0u4yqOI9OoKps/edit?tab=t.0" TargetMode="External"/><Relationship Id="rId146" Type="http://schemas.openxmlformats.org/officeDocument/2006/relationships/hyperlink" Target="https://docs.google.com/document/d/1nl0bOAyUAWZYDySnobqRQUsbrIsrPaMo_ne2s4SJq64/edit?tab=t.0" TargetMode="External"/><Relationship Id="rId267" Type="http://schemas.openxmlformats.org/officeDocument/2006/relationships/hyperlink" Target="https://docs.google.com/document/d/1wwW70MxlMtdTHRAuf9pgQjo_WdTPdfBtryGA2782JWI/edit?usp=sharing" TargetMode="External"/><Relationship Id="rId7" Type="http://schemas.openxmlformats.org/officeDocument/2006/relationships/hyperlink" Target="https://docs.google.com/document/d/1LVPx6Knnjt0Zo-xWig0RuPdACmCYP4kO3oIzdCV-V3M/edit?tab=t.0" TargetMode="External"/><Relationship Id="rId145" Type="http://schemas.openxmlformats.org/officeDocument/2006/relationships/hyperlink" Target="https://docs.google.com/document/d/1U1YEWdYwd_w9gSEbRFPOO96ZYGCXCFi1W6Ee4rtcm20/edit?tab=t.0" TargetMode="External"/><Relationship Id="rId266" Type="http://schemas.openxmlformats.org/officeDocument/2006/relationships/hyperlink" Target="https://docs.google.com/document/d/1w6jTgO3RJfzf-x01EvkuPqKmjHIeul8R4Gh4WhbSbiE/edit?tab=t.0" TargetMode="External"/><Relationship Id="rId8" Type="http://schemas.openxmlformats.org/officeDocument/2006/relationships/hyperlink" Target="https://docs.google.com/document/d/136SMbtvX3TL4Cj5B8n8miIXkxwe4gUR4X2iSv7S4rO8/edit?tab=t.0" TargetMode="External"/><Relationship Id="rId144" Type="http://schemas.openxmlformats.org/officeDocument/2006/relationships/hyperlink" Target="https://docs.google.com/document/d/1knTzA2rx597xhY379P2qm7UoJOJAEECdfkG8v8Z9Brk/edit?tab=t.0" TargetMode="External"/><Relationship Id="rId265" Type="http://schemas.openxmlformats.org/officeDocument/2006/relationships/hyperlink" Target="https://docs.google.com/document/d/1RZeYAuufxwMiCdA-lLrG6KxYBPvONNJ90nnjpmOoD8g/edit?tab=t.0" TargetMode="External"/><Relationship Id="rId260" Type="http://schemas.openxmlformats.org/officeDocument/2006/relationships/hyperlink" Target="https://docs.google.com/document/d/1U9bwj5-1gucK2W1SMlItJqY1ZPagbqeNEW3MDa5QGrs/edit?tab=t.0" TargetMode="External"/><Relationship Id="rId139" Type="http://schemas.openxmlformats.org/officeDocument/2006/relationships/hyperlink" Target="https://docs.google.com/document/d/1VPgo7XKuoTR4N0OdQnG73oienUtNQfE4-AdhXN21WHc/edit?tab=t.0" TargetMode="External"/><Relationship Id="rId138" Type="http://schemas.openxmlformats.org/officeDocument/2006/relationships/hyperlink" Target="https://docs.google.com/document/d/1DMMts7_QbzPyB1W58DRSGL4WPjjxYmk128R6KzvFYrU/edit?tab=t.0" TargetMode="External"/><Relationship Id="rId259" Type="http://schemas.openxmlformats.org/officeDocument/2006/relationships/hyperlink" Target="https://docs.google.com/document/d/1KLro28T6VTTx_DjhVMx8wqBU0FbwKuvqE9uBOipRrXw/edit?tab=t.0" TargetMode="External"/><Relationship Id="rId137" Type="http://schemas.openxmlformats.org/officeDocument/2006/relationships/hyperlink" Target="https://docs.google.com/document/d/1bWDLC_S1dDdqUJIl6l8SadiOJ_wEc2KGgd1yRhuL91c/edit?tab=t.0" TargetMode="External"/><Relationship Id="rId258" Type="http://schemas.openxmlformats.org/officeDocument/2006/relationships/hyperlink" Target="https://docs.google.com/document/d/1vGMO64q1Wwp2Jk704qSf6-Fy7R_81D1vUhJ-UpC5Nd0/edit?tab=t.0" TargetMode="External"/><Relationship Id="rId132" Type="http://schemas.openxmlformats.org/officeDocument/2006/relationships/hyperlink" Target="https://docs.google.com/document/d/1NpmPjznKr8eOu33mzvIpT7C6knljoTf898xomYMjUro/edit?tab=t.0" TargetMode="External"/><Relationship Id="rId253" Type="http://schemas.openxmlformats.org/officeDocument/2006/relationships/hyperlink" Target="https://docs.google.com/document/d/1cK1b0Z2fSfWsfILIB481EGy5hGnfouFuX2k8GdvvtUw/edit?tab=t.0" TargetMode="External"/><Relationship Id="rId131" Type="http://schemas.openxmlformats.org/officeDocument/2006/relationships/hyperlink" Target="https://docs.google.com/document/d/15qkuA-TZio0KA-pE5Dvhy_8cmwsIwJXZRuRvcGHQosI/edit?tab=t.0" TargetMode="External"/><Relationship Id="rId252" Type="http://schemas.openxmlformats.org/officeDocument/2006/relationships/hyperlink" Target="https://docs.google.com/document/d/1rfIICJjN92fpcp9-HHu41Z4u3SfYLWBa7nWYFFSePAk/edit?tab=t.0" TargetMode="External"/><Relationship Id="rId130" Type="http://schemas.openxmlformats.org/officeDocument/2006/relationships/hyperlink" Target="https://docs.google.com/document/d/1pklc54rNUj4xRDIS8HV-QSlbFJ3cKJCTZ8RLmJXieSs/edit?tab=t.0" TargetMode="External"/><Relationship Id="rId251" Type="http://schemas.openxmlformats.org/officeDocument/2006/relationships/hyperlink" Target="https://docs.google.com/document/d/1kZ8sC95ZVys9F7tzKPfFAOA9ZTL8W7zP-Ie392VQKTk/edit?tab=t.0" TargetMode="External"/><Relationship Id="rId250" Type="http://schemas.openxmlformats.org/officeDocument/2006/relationships/hyperlink" Target="https://docs.google.com/document/d/1JEhsed8cUIpeRhpSoeVkt_K3u-Rsjohv86_T5zNuGNA/edit?tab=t.0" TargetMode="External"/><Relationship Id="rId136" Type="http://schemas.openxmlformats.org/officeDocument/2006/relationships/hyperlink" Target="https://docs.google.com/document/d/1HiIhsYUVmorMXWR0uY0zfQHqNuTwlJP0ErjaqLpV__U/edit?tab=t.0" TargetMode="External"/><Relationship Id="rId257" Type="http://schemas.openxmlformats.org/officeDocument/2006/relationships/hyperlink" Target="https://docs.google.com/document/d/1ejWc2tJqS0etMEG3hJqvd-qrKivNirSBS2K74sKgHcQ/edit?tab=t.0" TargetMode="External"/><Relationship Id="rId135" Type="http://schemas.openxmlformats.org/officeDocument/2006/relationships/hyperlink" Target="https://docs.google.com/document/d/1BScTqXtBpVmHyV0rwDE7lm9BgAh5V5avOqfvqx7BwdQ/edit?tab=t.0" TargetMode="External"/><Relationship Id="rId256" Type="http://schemas.openxmlformats.org/officeDocument/2006/relationships/hyperlink" Target="https://docs.google.com/document/d/1BJZZMF6iC8ti9RESWrp_LQDwdt6IKegVi4GDfcb9vj8/edit?tab=t.0" TargetMode="External"/><Relationship Id="rId134" Type="http://schemas.openxmlformats.org/officeDocument/2006/relationships/hyperlink" Target="https://docs.google.com/document/d/1BgXKXWReknvsaVDha8u_CC2HO3oT8_bO3Bgg3JZIUMI/edit?tab=t.0" TargetMode="External"/><Relationship Id="rId255" Type="http://schemas.openxmlformats.org/officeDocument/2006/relationships/hyperlink" Target="https://docs.google.com/document/d/1R4h21_Q98umNU7M4vKLZtciPB8rej6eCA_CXgUFW74M/edit?tab=t.0" TargetMode="External"/><Relationship Id="rId133" Type="http://schemas.openxmlformats.org/officeDocument/2006/relationships/hyperlink" Target="https://docs.google.com/document/d/1thtwV5znaS5XYCKBHnTVhEIrxg978zuoGDeOj2bHom8/edit?tab=t.0" TargetMode="External"/><Relationship Id="rId254" Type="http://schemas.openxmlformats.org/officeDocument/2006/relationships/hyperlink" Target="https://docs.google.com/document/d/1EQMAU5KNut7qFBpf4Cip1yoVpIyTmHY90yH4vKktdx8/edit?tab=t.0" TargetMode="External"/><Relationship Id="rId172" Type="http://schemas.openxmlformats.org/officeDocument/2006/relationships/hyperlink" Target="https://docs.google.com/document/d/1MONAAMhrzI1AIle8BsD1q-yobhUClb32KYUBoJ7yoaM/edit?tab=t.0" TargetMode="External"/><Relationship Id="rId293" Type="http://schemas.openxmlformats.org/officeDocument/2006/relationships/hyperlink" Target="https://docs.google.com/document/d/1WRkteQpQfSS6LXqqj9yjC9_etwoXw0TGvCl7jRw3o7M/edit?usp=sharing" TargetMode="External"/><Relationship Id="rId171" Type="http://schemas.openxmlformats.org/officeDocument/2006/relationships/hyperlink" Target="https://docs.google.com/document/d/1GRiQeZjiv2jBxkud2z9hmpZmm0f6k_cSLyjOgxW-WS0/edit?tab=t.0" TargetMode="External"/><Relationship Id="rId292" Type="http://schemas.openxmlformats.org/officeDocument/2006/relationships/hyperlink" Target="https://docs.google.com/document/d/1MRZMtb4K1mNC6IKmxtKhDrP7R3pTKIIWrBoKumQqJCc/edit?tab=t.0" TargetMode="External"/><Relationship Id="rId170" Type="http://schemas.openxmlformats.org/officeDocument/2006/relationships/hyperlink" Target="https://docs.google.com/document/d/1hNdE9ojsS-r41C0SSpqXUVSKxjeXjcNosXvoAJph-m8/edit?tab=t.0" TargetMode="External"/><Relationship Id="rId291" Type="http://schemas.openxmlformats.org/officeDocument/2006/relationships/hyperlink" Target="https://docs.google.com/document/d/1JQuoQnXo77V-gAoncDa2yTF-WFWwq7xoUi0JIb1gglI/edit?usp=sharing" TargetMode="External"/><Relationship Id="rId290" Type="http://schemas.openxmlformats.org/officeDocument/2006/relationships/hyperlink" Target="https://docs.google.com/document/d/1IcU39YlcONko4OhP92nIf2FY_6RStNqsi3fxy-nVFhw/edit?usp=sharing" TargetMode="External"/><Relationship Id="rId165" Type="http://schemas.openxmlformats.org/officeDocument/2006/relationships/hyperlink" Target="https://docs.google.com/document/d/1r7ggBtbT1aetrbhL-pnQpj0byi9SfvzGmybz_U5W0lg/edit?tab=t.0" TargetMode="External"/><Relationship Id="rId286" Type="http://schemas.openxmlformats.org/officeDocument/2006/relationships/hyperlink" Target="https://docs.google.com/document/d/1XkoZRZYTZtCw9mFuV7U6sPx0gO3_qmUr5kwO2HmMm6o/edit?usp=sharing" TargetMode="External"/><Relationship Id="rId164" Type="http://schemas.openxmlformats.org/officeDocument/2006/relationships/hyperlink" Target="https://docs.google.com/document/d/1lbRZvBcTYPRM8jyct_NrF6b8TmnLn7LCg-lAhupKsu0/edit?tab=t.0" TargetMode="External"/><Relationship Id="rId285" Type="http://schemas.openxmlformats.org/officeDocument/2006/relationships/hyperlink" Target="https://docs.google.com/document/d/1w5BYt9K4-hnVW2x_E89mhsEuetKe0MW4tD-JiV5CQlc/edit?usp=sharing" TargetMode="External"/><Relationship Id="rId163" Type="http://schemas.openxmlformats.org/officeDocument/2006/relationships/hyperlink" Target="https://docs.google.com/document/d/1cMHV-rIZTWglYrNnxoJiOWC4N9DaeUrlteaDr5AsNc0/edit?tab=t.0" TargetMode="External"/><Relationship Id="rId284" Type="http://schemas.openxmlformats.org/officeDocument/2006/relationships/hyperlink" Target="https://docs.google.com/document/d/1NtlzGZDLfNlt1971pPrT4aFEB86nNTHmGbbDZtSIAKk/edit?usp=sharing" TargetMode="External"/><Relationship Id="rId162" Type="http://schemas.openxmlformats.org/officeDocument/2006/relationships/hyperlink" Target="https://docs.google.com/document/d/1LAfz6NaqHOTVGBlIePewMX0mVa1wm_mxqlTcoWpE7mU/edit?tab=t.0" TargetMode="External"/><Relationship Id="rId283" Type="http://schemas.openxmlformats.org/officeDocument/2006/relationships/hyperlink" Target="https://docs.google.com/document/d/1tFfyUhfqFxF-B-eJAeH01Uo7E6YRby2LaZEDeJ7180g/edit?usp=sharing" TargetMode="External"/><Relationship Id="rId169" Type="http://schemas.openxmlformats.org/officeDocument/2006/relationships/hyperlink" Target="https://docs.google.com/document/d/1t9EPlsu_eiVjYGs9TIRQAboIlCQNTJ9bJ8z4RiD-9qI/edit?tab=t.0" TargetMode="External"/><Relationship Id="rId168" Type="http://schemas.openxmlformats.org/officeDocument/2006/relationships/hyperlink" Target="https://docs.google.com/document/d/1JKrfl2qUBJmXEq-A0AOFOyryon2B4FT-7B8z1Biotg4/edit?tab=t.0" TargetMode="External"/><Relationship Id="rId289" Type="http://schemas.openxmlformats.org/officeDocument/2006/relationships/hyperlink" Target="https://docs.google.com/document/d/1G0l2Un5VkFEqv_WYzjV4_qQyrnqVLChynkyLgUrsfMw/edit?usp=sharing" TargetMode="External"/><Relationship Id="rId167" Type="http://schemas.openxmlformats.org/officeDocument/2006/relationships/hyperlink" Target="https://docs.google.com/document/d/15GlHt0TOCeYUfGOgOrTVVyf6Gdj6A2frJMmeHl4gw54/edit?tab=t.0" TargetMode="External"/><Relationship Id="rId288" Type="http://schemas.openxmlformats.org/officeDocument/2006/relationships/hyperlink" Target="https://docs.google.com/document/d/1AvocrKK5urav6aCROcQ9LAMDYgIbJl3RYGznd0WPdsI/edit?usp=sharing" TargetMode="External"/><Relationship Id="rId166" Type="http://schemas.openxmlformats.org/officeDocument/2006/relationships/hyperlink" Target="https://docs.google.com/document/d/15Hn4rDITaRld5XtGOUeMHR2ufDHW1KsJq6y31DOs_oI/edit?tab=t.0" TargetMode="External"/><Relationship Id="rId287" Type="http://schemas.openxmlformats.org/officeDocument/2006/relationships/hyperlink" Target="https://docs.google.com/document/d/1xPan_0giyffBX4xkJJkx1CbbXnWtbmRsjkDBBx6vTFY/edit?usp=sharing" TargetMode="External"/><Relationship Id="rId161" Type="http://schemas.openxmlformats.org/officeDocument/2006/relationships/hyperlink" Target="https://docs.google.com/document/d/11S9_ljoNm2tka5kUc6715t9HkrRiV-nvOFzSGLImzbs/edit?tab=t.0" TargetMode="External"/><Relationship Id="rId282" Type="http://schemas.openxmlformats.org/officeDocument/2006/relationships/hyperlink" Target="https://docs.google.com/document/d/14nVUxQn49jSgY-IHGB_ZpviSf8lJr_HMeyKXc84oauI/edit?usp=sharing" TargetMode="External"/><Relationship Id="rId160" Type="http://schemas.openxmlformats.org/officeDocument/2006/relationships/hyperlink" Target="https://docs.google.com/document/d/1B-k6PK34SP6ONYfk4qpXAGipac6GwiuF9nUmyQWTmak/edit?tab=t.0" TargetMode="External"/><Relationship Id="rId281" Type="http://schemas.openxmlformats.org/officeDocument/2006/relationships/hyperlink" Target="https://docs.google.com/document/d/1-yIpC01ZGDcoSgBQczirpYBq5zg0qIol8COZIov61RQ/edit?usp=sharing" TargetMode="External"/><Relationship Id="rId280" Type="http://schemas.openxmlformats.org/officeDocument/2006/relationships/hyperlink" Target="https://docs.google.com/document/d/1_bxpNWTqgV45U3ll1CyRSQG6hX6eJdqGNkSG_VFc0pM/edit?tab=t.0" TargetMode="External"/><Relationship Id="rId159" Type="http://schemas.openxmlformats.org/officeDocument/2006/relationships/hyperlink" Target="https://docs.google.com/document/d/1l9tdypDDXJs-pBP1lW3qG6l4Iibz2jds2Iiu8s9WWmU/edit?tab=t.0" TargetMode="External"/><Relationship Id="rId154" Type="http://schemas.openxmlformats.org/officeDocument/2006/relationships/hyperlink" Target="https://docs.google.com/document/d/1b_RgaW-9UCNiTM50ldow1WNLeivh6w_tgiWEEs0Lkg4/edit?tab=t.0" TargetMode="External"/><Relationship Id="rId275" Type="http://schemas.openxmlformats.org/officeDocument/2006/relationships/hyperlink" Target="https://docs.google.com/document/d/1GLUcZNJyecrdhfsl2I3Rx-cBll0MHvJ9V1IPRUe7ayw/edit?usp=sharing" TargetMode="External"/><Relationship Id="rId153" Type="http://schemas.openxmlformats.org/officeDocument/2006/relationships/hyperlink" Target="https://docs.google.com/document/d/1tScJgq0LFTGK-9y3qRP8nSzpLJwxFlWml9gSP56CN-k/edit?tab=t.0" TargetMode="External"/><Relationship Id="rId274" Type="http://schemas.openxmlformats.org/officeDocument/2006/relationships/hyperlink" Target="https://docs.google.com/document/d/17ivz-YTQYvNp4LjODTyuRQ8zExch6b8DgVK-u6ctK3A/edit?usp=sharing" TargetMode="External"/><Relationship Id="rId152" Type="http://schemas.openxmlformats.org/officeDocument/2006/relationships/hyperlink" Target="https://docs.google.com/document/d/1GJDEqMFX1sxlca8uw5uy9rgB_hY2so4CA5FKZuhs5uQ/edit?tab=t.0" TargetMode="External"/><Relationship Id="rId273" Type="http://schemas.openxmlformats.org/officeDocument/2006/relationships/hyperlink" Target="https://docs.google.com/document/d/1AQSM01m6bQcJsuP75k3TjEaMqk7XcS-NQ9qknft_5K0/edit?usp=sharing" TargetMode="External"/><Relationship Id="rId151" Type="http://schemas.openxmlformats.org/officeDocument/2006/relationships/hyperlink" Target="https://docs.google.com/document/d/1paOhTqvwC0KJHC6YWeQhYRygzeaGqjyy5pfncIYVeWQ/edit?tab=t.0" TargetMode="External"/><Relationship Id="rId272" Type="http://schemas.openxmlformats.org/officeDocument/2006/relationships/hyperlink" Target="https://docs.google.com/document/d/1oHoo0h0KIE9ZojSF9tN8i-whNzw1nD7doKEFA7u9CJM/edit?usp=sharing" TargetMode="External"/><Relationship Id="rId158" Type="http://schemas.openxmlformats.org/officeDocument/2006/relationships/hyperlink" Target="https://docs.google.com/document/d/1LdfjBq3bM8lCIu60ZYoWWoa7Pcy45UILWjJgg9d1E_M/edit?tab=t.0" TargetMode="External"/><Relationship Id="rId279" Type="http://schemas.openxmlformats.org/officeDocument/2006/relationships/hyperlink" Target="https://docs.google.com/document/d/19be7I9TeaXjQcpKX0Eb2IKE5o8eQ_4TGdh4DjG30860/edit?usp=sharing" TargetMode="External"/><Relationship Id="rId157" Type="http://schemas.openxmlformats.org/officeDocument/2006/relationships/hyperlink" Target="https://docs.google.com/document/d/1zPw8Zfr98kjQUxz1f9zZYGpikX0vPV5fNylvqLkLIGI/edit?tab=t.0" TargetMode="External"/><Relationship Id="rId278" Type="http://schemas.openxmlformats.org/officeDocument/2006/relationships/hyperlink" Target="https://docs.google.com/document/d/1elRKRoDF9nJ6FY-bxMaewuUYmg5daKmCVPna9bj5G_U/edit?usp=sharing" TargetMode="External"/><Relationship Id="rId156" Type="http://schemas.openxmlformats.org/officeDocument/2006/relationships/hyperlink" Target="https://docs.google.com/document/d/1ZFMAPJbIOiF32NhaYEod6gUy7kGK4LMmwjp_UVUGGmk/edit?tab=t.0" TargetMode="External"/><Relationship Id="rId277" Type="http://schemas.openxmlformats.org/officeDocument/2006/relationships/hyperlink" Target="https://docs.google.com/document/d/1dyP1DzjpVtL4dEedf_0GH93y3aGmSGBvCrAH0ja_CyQ/edit?tab=t.0" TargetMode="External"/><Relationship Id="rId155" Type="http://schemas.openxmlformats.org/officeDocument/2006/relationships/hyperlink" Target="https://docs.google.com/document/d/1xyO-FaFnz_89ENC_61HhAUvj9_nuu3JzUMNBlJ-pIn0/edit?tab=t.0" TargetMode="External"/><Relationship Id="rId276" Type="http://schemas.openxmlformats.org/officeDocument/2006/relationships/hyperlink" Target="https://docs.google.com/document/d/13Jm6qni_34WZX-KjQ6PL7A4tl7nXxf4EigNzYgZuA2k/edit?usp=sharing" TargetMode="External"/><Relationship Id="rId40" Type="http://schemas.openxmlformats.org/officeDocument/2006/relationships/hyperlink" Target="https://docs.google.com/document/d/1oRyF8UkrQPn0Tse4l-gIjOvJm0ZPE8TR15M7IrFmYyQ/edit?tab=t.0" TargetMode="External"/><Relationship Id="rId42" Type="http://schemas.openxmlformats.org/officeDocument/2006/relationships/hyperlink" Target="https://docs.google.com/document/d/1sUo9upmASQKQw8QiENxcDK9iyfPsCXHIligIb4ig5nA/edit?tab=t.0" TargetMode="External"/><Relationship Id="rId41" Type="http://schemas.openxmlformats.org/officeDocument/2006/relationships/hyperlink" Target="https://docs.google.com/document/d/1nyARtUsvrxgITeyFZAtQL4OYVLmutkV8NtvELVyHkrM/edit?tab=t.0" TargetMode="External"/><Relationship Id="rId44" Type="http://schemas.openxmlformats.org/officeDocument/2006/relationships/hyperlink" Target="https://docs.google.com/document/d/1V_TrD_FeaK4qHeoYg-2_qc9fw7SKmeuzfL3RgxHGOjw/edit?tab=t.0" TargetMode="External"/><Relationship Id="rId43" Type="http://schemas.openxmlformats.org/officeDocument/2006/relationships/hyperlink" Target="https://docs.google.com/document/d/1XBTsBc8L7tW8dQus1Z0rLhQJFDdu9hROOIL2mURXDJ0/edit?tab=t.0" TargetMode="External"/><Relationship Id="rId46" Type="http://schemas.openxmlformats.org/officeDocument/2006/relationships/hyperlink" Target="https://docs.google.com/document/d/187QEXKWyFnHutsTlQmvxeE5f5UhR_fjPeyu0CM-4XjM/edit?tab=t.0" TargetMode="External"/><Relationship Id="rId45" Type="http://schemas.openxmlformats.org/officeDocument/2006/relationships/hyperlink" Target="https://docs.google.com/document/d/1DpONH5d7bMeK0kLiCkaBv25uBBZlLCXWnx36awKBFUU/edit?tab=t.0" TargetMode="External"/><Relationship Id="rId48" Type="http://schemas.openxmlformats.org/officeDocument/2006/relationships/hyperlink" Target="https://docs.google.com/document/d/1t4vXE490j6K036vvo7qtTwSiVZcwn_UGE-CkkPg7csw/edit?tab=t.0" TargetMode="External"/><Relationship Id="rId47" Type="http://schemas.openxmlformats.org/officeDocument/2006/relationships/hyperlink" Target="https://docs.google.com/document/d/1QSjLqNBg4UULazz3KLHCdoUvo5_37rPn72UHRCLXC-U/edit?tab=t.0" TargetMode="External"/><Relationship Id="rId49" Type="http://schemas.openxmlformats.org/officeDocument/2006/relationships/hyperlink" Target="https://docs.google.com/document/d/1WN7y1DA05qwrbXjmJztfmVh9x-_QFLFgKkp23rOWHEw/edit?tab=t.0" TargetMode="External"/><Relationship Id="rId31" Type="http://schemas.openxmlformats.org/officeDocument/2006/relationships/hyperlink" Target="https://docs.google.com/document/d/1XNoXmGPx-ce7YDo0U4w4uSNaVU_A5EP3Lvvt9b_V91o/edit?tab=t.0" TargetMode="External"/><Relationship Id="rId30" Type="http://schemas.openxmlformats.org/officeDocument/2006/relationships/hyperlink" Target="https://docs.google.com/document/d/1L-7Eatb8VGovZhCBXD7YlYFS6Sg4JFCOt1-y5B_jUXQ/edit?tab=t.0" TargetMode="External"/><Relationship Id="rId33" Type="http://schemas.openxmlformats.org/officeDocument/2006/relationships/hyperlink" Target="https://docs.google.com/document/d/1HtzEQxfI4NIAUGVm294-5-2cYK9FJMhe8kG-q5hwniQ/edit?tab=t.0" TargetMode="External"/><Relationship Id="rId32" Type="http://schemas.openxmlformats.org/officeDocument/2006/relationships/hyperlink" Target="https://docs.google.com/document/d/1y_QF_ErkjAaH2tP-dSKmn13n-VC4nuH6Z4w9Q3MrEvk/edit?tab=t.0" TargetMode="External"/><Relationship Id="rId35" Type="http://schemas.openxmlformats.org/officeDocument/2006/relationships/hyperlink" Target="https://docs.google.com/document/d/1DRDWKmmjSOvXTvSCfoda4qfFTETdDDY0ftrb1BkuuVU/edit?tab=t.0" TargetMode="External"/><Relationship Id="rId34" Type="http://schemas.openxmlformats.org/officeDocument/2006/relationships/hyperlink" Target="https://docs.google.com/document/d/12yOIFO9Hc3lXlVyYyL4zOaaW2R_BdHBvgyplmpg2HVo/edit?tab=t.0" TargetMode="External"/><Relationship Id="rId37" Type="http://schemas.openxmlformats.org/officeDocument/2006/relationships/hyperlink" Target="https://docs.google.com/document/d/1SQn_vx6ZxV5nuWpX0XsAC7DC1gRcOdGAO9AecFQQcJ0/edit?tab=t.0" TargetMode="External"/><Relationship Id="rId36" Type="http://schemas.openxmlformats.org/officeDocument/2006/relationships/hyperlink" Target="https://docs.google.com/document/d/1PWW3NnWBcbmm8ihSbOV_eZLGRVS0OlbZW_Rxr375rEk/edit?tab=t.0" TargetMode="External"/><Relationship Id="rId39" Type="http://schemas.openxmlformats.org/officeDocument/2006/relationships/hyperlink" Target="https://docs.google.com/document/d/1ZVM2nG5A0QpryZ7a7SN7THwKSatwlik4_oLgFDGnrHQ/edit?tab=t.0" TargetMode="External"/><Relationship Id="rId38" Type="http://schemas.openxmlformats.org/officeDocument/2006/relationships/hyperlink" Target="https://docs.google.com/document/d/14PL6KQ09_8CRB-CN1yhQi_AVf5hGTlzOMwPUhlfSvGc/edit?tab=t.0" TargetMode="External"/><Relationship Id="rId20" Type="http://schemas.openxmlformats.org/officeDocument/2006/relationships/hyperlink" Target="https://docs.google.com/document/d/17HHm3vNEHgyZuevQSS1ldU2N8v39DVrl2Jocnh2KgEo/edit?tab=t.0" TargetMode="External"/><Relationship Id="rId22" Type="http://schemas.openxmlformats.org/officeDocument/2006/relationships/hyperlink" Target="https://docs.google.com/document/d/193S103462jSmdwdv_4XIc_MBhcjnQr12YoKfHNnAN9Q/edit?tab=t.0" TargetMode="External"/><Relationship Id="rId21" Type="http://schemas.openxmlformats.org/officeDocument/2006/relationships/hyperlink" Target="https://docs.google.com/document/d/1g9qkJm1JWRZnNc8K9G-Uxdkk8x_mBdqBJzs5XfY_eDA/edit?tab=t.0" TargetMode="External"/><Relationship Id="rId24" Type="http://schemas.openxmlformats.org/officeDocument/2006/relationships/hyperlink" Target="https://docs.google.com/document/d/1hYch31oVZJmoh4-CBxkGhZhr0lg3Nv2GLiazRoyUDZc/edit?tab=t.0" TargetMode="External"/><Relationship Id="rId23" Type="http://schemas.openxmlformats.org/officeDocument/2006/relationships/hyperlink" Target="https://docs.google.com/document/d/1ULP3xXceO9XbkcvmS1t6PgcCpXO9CkeL-6btEbJOAPI/edit?tab=t.0" TargetMode="External"/><Relationship Id="rId26" Type="http://schemas.openxmlformats.org/officeDocument/2006/relationships/hyperlink" Target="https://docs.google.com/document/d/1uXyLnw8hd1fBYCW7sxMp0YnsQncnUuG1a4gA-FGNX0Q/edit?tab=t.0" TargetMode="External"/><Relationship Id="rId25" Type="http://schemas.openxmlformats.org/officeDocument/2006/relationships/hyperlink" Target="https://docs.google.com/document/d/1ZCTQyOJEvY__WLUnORBdvw4VrWfQj4EKgywhv3O6mBw/edit?tab=t.0" TargetMode="External"/><Relationship Id="rId28" Type="http://schemas.openxmlformats.org/officeDocument/2006/relationships/hyperlink" Target="https://docs.google.com/document/d/1hvzIgUvJAOrhbzA6qN6tff__xq1WlQHHFPzpfbV3cN4/edit?tab=t.0" TargetMode="External"/><Relationship Id="rId27" Type="http://schemas.openxmlformats.org/officeDocument/2006/relationships/hyperlink" Target="https://docs.google.com/document/d/1gQe56bnjUvPXy6QNSr3cCJLYRhgE1qyx6vGTsEkwEsA/edit?tab=t.0" TargetMode="External"/><Relationship Id="rId29" Type="http://schemas.openxmlformats.org/officeDocument/2006/relationships/hyperlink" Target="https://docs.google.com/document/d/17apRlemu7Vh7yfjpbiq6AkcP3cRy5ZOXpXbpQQOIqPE/edit?tab=t.0" TargetMode="External"/><Relationship Id="rId11" Type="http://schemas.openxmlformats.org/officeDocument/2006/relationships/hyperlink" Target="https://docs.google.com/document/d/1fG6ksUPanEFRm-7kRV6QZq8KIeujMhm94-N85xQ7a2s/edit?tab=t.0" TargetMode="External"/><Relationship Id="rId10" Type="http://schemas.openxmlformats.org/officeDocument/2006/relationships/hyperlink" Target="https://docs.google.com/document/d/1LJwqoLcXbSwFP_30EVsW4KLvu-cSUrZCXBNqf3OtCww/edit?tab=t.0" TargetMode="External"/><Relationship Id="rId13" Type="http://schemas.openxmlformats.org/officeDocument/2006/relationships/hyperlink" Target="https://docs.google.com/document/d/127D-CAKtKzkQUrFJW4stYMujpTZfTS_5rXP8fA1PQsk/edit?tab=t.0" TargetMode="External"/><Relationship Id="rId12" Type="http://schemas.openxmlformats.org/officeDocument/2006/relationships/hyperlink" Target="https://docs.google.com/document/d/152d4DtQJJPMD-i4CY-UR9DxnnBB4NTjjP4XsMx9uwLg/edit?tab=t.0" TargetMode="External"/><Relationship Id="rId15" Type="http://schemas.openxmlformats.org/officeDocument/2006/relationships/hyperlink" Target="https://docs.google.com/document/d/1vwA3C4sLhh6AgXzopg8bicj0mXTaouOY-CI7llsmeHU/edit?tab=t.0" TargetMode="External"/><Relationship Id="rId14" Type="http://schemas.openxmlformats.org/officeDocument/2006/relationships/hyperlink" Target="https://docs.google.com/document/d/1FChC5lKKlcfwOPMJMUHK78mBVTrB_tiworHHjIiS8_Y/edit?tab=t.0" TargetMode="External"/><Relationship Id="rId17" Type="http://schemas.openxmlformats.org/officeDocument/2006/relationships/hyperlink" Target="https://docs.google.com/document/d/1PayTX2QZC-lfx0CpdQpBPhmpU2Nj5Q2b9dhBJ1MOYeY/edit?tab=t.0" TargetMode="External"/><Relationship Id="rId16" Type="http://schemas.openxmlformats.org/officeDocument/2006/relationships/hyperlink" Target="https://docs.google.com/document/d/1phGEX3jkoIZ26Seoz_IPs9mfRQD39g92ydREz-liX-4/edit?tab=t.0" TargetMode="External"/><Relationship Id="rId19" Type="http://schemas.openxmlformats.org/officeDocument/2006/relationships/hyperlink" Target="https://docs.google.com/document/d/15RF16GQudPkbA3O0qUVk2G56Mrmc0ggT6Ql38QS4fpI/edit?tab=t.0" TargetMode="External"/><Relationship Id="rId18" Type="http://schemas.openxmlformats.org/officeDocument/2006/relationships/hyperlink" Target="https://docs.google.com/document/d/1nEuZ3HSwD3Xqnw8frE84LpIQraKDwdIcVKcHepaXuE0/edit?tab=t.0" TargetMode="External"/><Relationship Id="rId84" Type="http://schemas.openxmlformats.org/officeDocument/2006/relationships/hyperlink" Target="https://docs.google.com/document/d/1vAyrTb7pEeMwo3UVFsGlxPMF-COofMXIbEZFNDwIBlQ/edit?tab=t.0" TargetMode="External"/><Relationship Id="rId83" Type="http://schemas.openxmlformats.org/officeDocument/2006/relationships/hyperlink" Target="https://docs.google.com/document/d/1t5yaIXJrE8jZ9lhDjW0V7L8XSaWXoI241xlMwXmphVQ/edit?tab=t.0" TargetMode="External"/><Relationship Id="rId86" Type="http://schemas.openxmlformats.org/officeDocument/2006/relationships/hyperlink" Target="https://docs.google.com/document/d/1piCjMlCAHF1HNf49gx8BgZA7N3gl1dONHtONWXV4sEU/edit?tab=t.0" TargetMode="External"/><Relationship Id="rId85" Type="http://schemas.openxmlformats.org/officeDocument/2006/relationships/hyperlink" Target="https://docs.google.com/document/d/1PWYXfvb0PoQLgLBAMNhYlcpZkGtXn0rmQa5XFuRy2iY/edit?tab=t.0" TargetMode="External"/><Relationship Id="rId88" Type="http://schemas.openxmlformats.org/officeDocument/2006/relationships/hyperlink" Target="https://docs.google.com/document/d/1aMVSqHTm66T8FbK5dESswZVgK4TyV4ymV6q_SVM4hMw/edit?tab=t.0" TargetMode="External"/><Relationship Id="rId87" Type="http://schemas.openxmlformats.org/officeDocument/2006/relationships/hyperlink" Target="https://docs.google.com/document/d/1pKavIIbdbjDyBzUb-BPg9WBhHNYpqereXz355HVMpww/edit?tab=t.0" TargetMode="External"/><Relationship Id="rId89" Type="http://schemas.openxmlformats.org/officeDocument/2006/relationships/hyperlink" Target="https://docs.google.com/document/d/160d7q8AK3rchcLAH05Afu5W4s6W63GfSmQ7RB1DAv7A/edit?tab=t.0" TargetMode="External"/><Relationship Id="rId80" Type="http://schemas.openxmlformats.org/officeDocument/2006/relationships/hyperlink" Target="https://docs.google.com/document/d/1VpBVKer9LpxENHOIXQEAr-MVCI3YadkLpQnCC4jVDJk/edit?tab=t.0" TargetMode="External"/><Relationship Id="rId82" Type="http://schemas.openxmlformats.org/officeDocument/2006/relationships/hyperlink" Target="https://docs.google.com/document/d/1sXzMp55HHwyZhUaflDk_ynWTkd2LpN6_nVIFagYDum4/edit?tab=t.0" TargetMode="External"/><Relationship Id="rId81" Type="http://schemas.openxmlformats.org/officeDocument/2006/relationships/hyperlink" Target="https://docs.google.com/document/d/1tv6hCZvwASZTMUs6CeRdI9YexFDvpmhMcKwOy1q4Lxk/edit?tab=t.0" TargetMode="External"/><Relationship Id="rId73" Type="http://schemas.openxmlformats.org/officeDocument/2006/relationships/hyperlink" Target="https://docs.google.com/document/d/1ael5OXl1VJwm_7k4CZDlqPkzTaFT8pJOzcYGg92JB-4/edit?tab=t.0" TargetMode="External"/><Relationship Id="rId72" Type="http://schemas.openxmlformats.org/officeDocument/2006/relationships/hyperlink" Target="https://docs.google.com/document/d/1oTF9qHwExlqBQtux8l_wX1GMgfR5VCUgl4BaJS3RNbA/edit?tab=t.0" TargetMode="External"/><Relationship Id="rId75" Type="http://schemas.openxmlformats.org/officeDocument/2006/relationships/hyperlink" Target="https://docs.google.com/document/d/1bEmKKSZPMrS0csRaCFaVnWMqqkHIuzcBA_P3nPwsDnk/edit?tab=t.0" TargetMode="External"/><Relationship Id="rId74" Type="http://schemas.openxmlformats.org/officeDocument/2006/relationships/hyperlink" Target="https://docs.google.com/document/d/1-GjwCUw9wU0O2EvCaf8aTTsrnxyKHRWGXiXvf7f1wjU/edit?tab=t.0" TargetMode="External"/><Relationship Id="rId77" Type="http://schemas.openxmlformats.org/officeDocument/2006/relationships/hyperlink" Target="https://docs.google.com/document/d/1aV94GOrQaRCGR4RIxdFXBWD-Rx0dW3jUGlYG_LTTTSA/edit?tab=t.0" TargetMode="External"/><Relationship Id="rId76" Type="http://schemas.openxmlformats.org/officeDocument/2006/relationships/hyperlink" Target="https://docs.google.com/document/d/1aN4qmuL-VcZ9zIGOCdexdwMIFAGfK_RJ0aQkT84bF28/edit?tab=t.0" TargetMode="External"/><Relationship Id="rId79" Type="http://schemas.openxmlformats.org/officeDocument/2006/relationships/hyperlink" Target="https://docs.google.com/document/d/1okHiuxbx10A9ZzQrFc6L9oqqkHcJHMn4Co3aZBSMwH4/edit?tab=t.0" TargetMode="External"/><Relationship Id="rId78" Type="http://schemas.openxmlformats.org/officeDocument/2006/relationships/hyperlink" Target="https://docs.google.com/document/d/17OZHf5u5bAj4ZF18umFwwD_s0yJ2NXYwL-LAqPBEcSo/edit?tab=t.0" TargetMode="External"/><Relationship Id="rId71" Type="http://schemas.openxmlformats.org/officeDocument/2006/relationships/hyperlink" Target="https://docs.google.com/document/d/1yPlH0P9L1XApDtEkix3vIAcsDQIuGmDwJZ8Vn3XG3Mw/edit?tab=t.0" TargetMode="External"/><Relationship Id="rId70" Type="http://schemas.openxmlformats.org/officeDocument/2006/relationships/hyperlink" Target="https://docs.google.com/document/d/1QyxTRr285_PToTbwzWOuF6wRwG7WDDSbWVEYsbHxDeg/edit?tab=t.0" TargetMode="External"/><Relationship Id="rId62" Type="http://schemas.openxmlformats.org/officeDocument/2006/relationships/hyperlink" Target="https://docs.google.com/document/d/1XNBLh8erHozdX4wbuKyKbL_urUIlh-Ays7hkuUyd2Jw/edit?tab=t.0" TargetMode="External"/><Relationship Id="rId61" Type="http://schemas.openxmlformats.org/officeDocument/2006/relationships/hyperlink" Target="https://docs.google.com/document/d/1KhXWkYPLQf77xqJU04uU3d2wh2F-atGH4ZwiSLH5Lmg/edit?tab=t.0" TargetMode="External"/><Relationship Id="rId64" Type="http://schemas.openxmlformats.org/officeDocument/2006/relationships/hyperlink" Target="https://docs.google.com/document/d/1kKOAN5Hz1e9Ge1PK5nErHM0e1M6-xbfB1rLJ4Ehr4qk/edit?tab=t.0" TargetMode="External"/><Relationship Id="rId63" Type="http://schemas.openxmlformats.org/officeDocument/2006/relationships/hyperlink" Target="https://docs.google.com/document/d/1CRlqaj6ZRa7CzeaR0m9u8rXId3WMzUTWEMLphayaeCA/edit?tab=t.0" TargetMode="External"/><Relationship Id="rId66" Type="http://schemas.openxmlformats.org/officeDocument/2006/relationships/hyperlink" Target="https://docs.google.com/document/d/1arR3xFKib7xD8ofEpcXEB-oPtpqEnhODEFSqtBqKpgg/edit?tab=t.0" TargetMode="External"/><Relationship Id="rId65" Type="http://schemas.openxmlformats.org/officeDocument/2006/relationships/hyperlink" Target="https://docs.google.com/document/d/141xZi6MqSxtNzt8SYKBNDsVwpYnBAbkG245i1hwRBAY/edit?tab=t.0" TargetMode="External"/><Relationship Id="rId68" Type="http://schemas.openxmlformats.org/officeDocument/2006/relationships/hyperlink" Target="https://docs.google.com/document/d/1ZuX30UKljHeGOTBVnVIfBPow6f4-Azj-UrZd_K0RPVI/edit?tab=t.0" TargetMode="External"/><Relationship Id="rId67" Type="http://schemas.openxmlformats.org/officeDocument/2006/relationships/hyperlink" Target="https://docs.google.com/document/d/1XAFUSxNKFH6vfiCRAw3Mpj4nbZIGE1JyFFZle82s0Sc/edit?tab=t.0" TargetMode="External"/><Relationship Id="rId60" Type="http://schemas.openxmlformats.org/officeDocument/2006/relationships/hyperlink" Target="https://docs.google.com/document/d/1EYh6FZNuQ3O6ltimTfuHYrAG6YTE156ES81r1af3nZM/edit?tab=t.0" TargetMode="External"/><Relationship Id="rId69" Type="http://schemas.openxmlformats.org/officeDocument/2006/relationships/hyperlink" Target="https://docs.google.com/document/d/1xCqv007F6ZYJg0DBxZhdbI4gd9st7q8GJtLZFYeyD_E/edit?tab=t.0" TargetMode="External"/><Relationship Id="rId51" Type="http://schemas.openxmlformats.org/officeDocument/2006/relationships/hyperlink" Target="https://docs.google.com/document/d/1CzEmYuqrSTaTP5nNhucd_vqLsGJ-Us-4eTzNRkRE2Yc/edit?tab=t.0" TargetMode="External"/><Relationship Id="rId50" Type="http://schemas.openxmlformats.org/officeDocument/2006/relationships/hyperlink" Target="https://docs.google.com/document/d/1_4y28lQb8FybBxJSPIEHLGKiM3NEo0Gh3JhD9HrniQc/edit?tab=t.0" TargetMode="External"/><Relationship Id="rId53" Type="http://schemas.openxmlformats.org/officeDocument/2006/relationships/hyperlink" Target="https://docs.google.com/document/d/1Q6UCBWLoKLq0ITjLu-aU9tlb47HeZ2zJRfuQ8lpjMRQ/edit?tab=t.0" TargetMode="External"/><Relationship Id="rId52" Type="http://schemas.openxmlformats.org/officeDocument/2006/relationships/hyperlink" Target="https://docs.google.com/document/d/1lvupcofOhejJdDM8sBg5uBnPkBVneStZOkIaMpoVIjo/edit?tab=t.0" TargetMode="External"/><Relationship Id="rId55" Type="http://schemas.openxmlformats.org/officeDocument/2006/relationships/hyperlink" Target="https://docs.google.com/document/d/1TZl9XrKj2kD-ZCqSVvaExgPnrj4GpaxuiSQasPSM-vQ/edit?tab=t.0" TargetMode="External"/><Relationship Id="rId54" Type="http://schemas.openxmlformats.org/officeDocument/2006/relationships/hyperlink" Target="https://docs.google.com/document/d/1UAXijAIE_KgioMdFnpJ3o33NhFhbrC1JfbDxHDAOUvs/edit?tab=t.0" TargetMode="External"/><Relationship Id="rId57" Type="http://schemas.openxmlformats.org/officeDocument/2006/relationships/hyperlink" Target="https://docs.google.com/document/d/1PvCdXPMSknCW9u_KnjAgNv-i81OcgfcDq3tU7LVFf4c/edit?tab=t.0" TargetMode="External"/><Relationship Id="rId56" Type="http://schemas.openxmlformats.org/officeDocument/2006/relationships/hyperlink" Target="https://docs.google.com/document/d/1p-WcoEuHlZkYCRCQ-Ibe4cJdemv9kHo7TegpoS88jnc/edit?tab=t.0" TargetMode="External"/><Relationship Id="rId59" Type="http://schemas.openxmlformats.org/officeDocument/2006/relationships/hyperlink" Target="https://docs.google.com/document/d/1WrHosX5Xh0BRMcVVDwuDR8t4w-75bgHUpDK5D5dJIUA/edit?tab=t.0" TargetMode="External"/><Relationship Id="rId58" Type="http://schemas.openxmlformats.org/officeDocument/2006/relationships/hyperlink" Target="https://docs.google.com/document/d/1MbETcW40IbZZpFAQmyDaHWUSGZvqQ50SmS1xUXaHMY4/edit?tab=t.0" TargetMode="External"/><Relationship Id="rId107" Type="http://schemas.openxmlformats.org/officeDocument/2006/relationships/hyperlink" Target="https://docs.google.com/document/d/19vDWAEusi2UrHTFPWCkZwE741j9gzfjBiA2czAmGKag/edit?tab=t.0" TargetMode="External"/><Relationship Id="rId228" Type="http://schemas.openxmlformats.org/officeDocument/2006/relationships/hyperlink" Target="https://docs.google.com/document/d/1gYTiRPC6QEoPvD6WAzjjC5Cp_rqN-Mufsw4gvFKUZKk/edit?tab=t.0" TargetMode="External"/><Relationship Id="rId106" Type="http://schemas.openxmlformats.org/officeDocument/2006/relationships/hyperlink" Target="https://docs.google.com/document/d/1WDLIQDMqF30_WieKCw0rdIX3Wb6BiHGBVCDTjGnWC2Q/edit?tab=t.0" TargetMode="External"/><Relationship Id="rId227" Type="http://schemas.openxmlformats.org/officeDocument/2006/relationships/hyperlink" Target="https://docs.google.com/document/d/1-cwMCPH082Ptf7_zffMp1LWyiKIf3AVpdGMe4oEpiCo/edit?tab=t.0" TargetMode="External"/><Relationship Id="rId105" Type="http://schemas.openxmlformats.org/officeDocument/2006/relationships/hyperlink" Target="https://docs.google.com/document/d/1kLTBF4HokNJs-w_8ZEioVbjH9F6I9Fd7GZZckzsJBok/edit?tab=t.0" TargetMode="External"/><Relationship Id="rId226" Type="http://schemas.openxmlformats.org/officeDocument/2006/relationships/hyperlink" Target="https://docs.google.com/document/d/1H23uD1unkjsXPdPRrToI5gh9OXpr4eoISiSVyZ72fWA/edit?tab=t.0" TargetMode="External"/><Relationship Id="rId104" Type="http://schemas.openxmlformats.org/officeDocument/2006/relationships/hyperlink" Target="https://docs.google.com/document/d/1jK_20xfivfAFRwW7pxnh1HcWOlEWwF-mBfZoznxnpRM/edit?tab=t.0" TargetMode="External"/><Relationship Id="rId225" Type="http://schemas.openxmlformats.org/officeDocument/2006/relationships/hyperlink" Target="https://docs.google.com/document/d/1gbR_PYd-rMYlzwtKx9T4TMiE2AJquNPpuyNRqVOykPI/edit?tab=t.0" TargetMode="External"/><Relationship Id="rId109" Type="http://schemas.openxmlformats.org/officeDocument/2006/relationships/hyperlink" Target="https://docs.google.com/document/d/1R0SwkfU3rmENN0-JKEl51IrzLlGkZ_b0tpxlpFEpfcE/edit?tab=t.00" TargetMode="External"/><Relationship Id="rId108" Type="http://schemas.openxmlformats.org/officeDocument/2006/relationships/hyperlink" Target="https://docs.google.com/document/d/1df_q7FJctM2miPbdPrUsps-OMG3MusnBFgOsWrqP8dE/edit?tab=t.0" TargetMode="External"/><Relationship Id="rId229" Type="http://schemas.openxmlformats.org/officeDocument/2006/relationships/hyperlink" Target="https://docs.google.com/document/d/1JRZn0K39ppYXfl4VxkmDOzu1LmcwBe1zyBzTdcKm8WA/edit?tab=t.0" TargetMode="External"/><Relationship Id="rId220" Type="http://schemas.openxmlformats.org/officeDocument/2006/relationships/hyperlink" Target="https://docs.google.com/document/d/1ZhoIvxIjB_eJ38d8xAFAPMwbQ2uWAO5aJzvuBLw2L3s/edit?tab=t.0" TargetMode="External"/><Relationship Id="rId103" Type="http://schemas.openxmlformats.org/officeDocument/2006/relationships/hyperlink" Target="https://docs.google.com/document/d/1VrGPe9lPLtS1Q6J-pimyK6scNDpKxGCsFYgmpk_6Gy8/edit?tab=t.0" TargetMode="External"/><Relationship Id="rId224" Type="http://schemas.openxmlformats.org/officeDocument/2006/relationships/hyperlink" Target="https://docs.google.com/document/d/1WHVGc6pXr_NA5e8bnKxYIiD6YaWvqASNC8gVt1j0ALs/edit?tab=t.0" TargetMode="External"/><Relationship Id="rId102" Type="http://schemas.openxmlformats.org/officeDocument/2006/relationships/hyperlink" Target="https://docs.google.com/document/d/188WSJ__JnCjKWa2EkLpMgBOEN6GXmSGhO37ogQAysDM/edit?tab=t.0" TargetMode="External"/><Relationship Id="rId223" Type="http://schemas.openxmlformats.org/officeDocument/2006/relationships/hyperlink" Target="https://docs.google.com/document/d/10ltkeh-LVI5NcGltJU3_TOe79x99pr9L4JJuLZhHKQc/edit?tab=t.0" TargetMode="External"/><Relationship Id="rId101" Type="http://schemas.openxmlformats.org/officeDocument/2006/relationships/hyperlink" Target="https://docs.google.com/document/d/1es5OHEvaDxyy_XrYins0EXSxtBFIKPer9jyDGHbAFhM/edit?tab=t.0" TargetMode="External"/><Relationship Id="rId222" Type="http://schemas.openxmlformats.org/officeDocument/2006/relationships/hyperlink" Target="https://docs.google.com/document/d/15jo4z9eGQ_POaKdkaQxLjO8JvdJGQn7XwEVM2jQ99j8/edit?tab=t.0" TargetMode="External"/><Relationship Id="rId100" Type="http://schemas.openxmlformats.org/officeDocument/2006/relationships/hyperlink" Target="https://docs.google.com/document/d/1NB8XufaILagXcrmdAimDWR-rogYLQtSpvRTYBPtcaRo/edit?tab=t.0" TargetMode="External"/><Relationship Id="rId221" Type="http://schemas.openxmlformats.org/officeDocument/2006/relationships/hyperlink" Target="https://docs.google.com/document/d/1DajiEyv3RzKPi--cxeF9R-JUw38NWnODJO6LC4rSlzY/edit?tab=t.0" TargetMode="External"/><Relationship Id="rId217" Type="http://schemas.openxmlformats.org/officeDocument/2006/relationships/hyperlink" Target="https://docs.google.com/document/d/1mRMP_d1RnyR2VFJVUfelYJSN1lvShuZ-6xa11YnGlWE/edit?tab=t.0" TargetMode="External"/><Relationship Id="rId216" Type="http://schemas.openxmlformats.org/officeDocument/2006/relationships/hyperlink" Target="https://docs.google.com/document/d/1_T-CuLyo7nWjfkrZgrfHthCQnf3_5agttdRGdfiO-3M/edit?tab=t.0" TargetMode="External"/><Relationship Id="rId215" Type="http://schemas.openxmlformats.org/officeDocument/2006/relationships/hyperlink" Target="https://docs.google.com/document/d/1IkCwwX8gwQKwgozKKGhEbDbVIrqIZ2qZt5Njy0mLe2A/edit?tab=t.0" TargetMode="External"/><Relationship Id="rId214" Type="http://schemas.openxmlformats.org/officeDocument/2006/relationships/hyperlink" Target="https://docs.google.com/document/d/17wJKrF-qMTsQxVnpPPLODqvJrzsIbF7SqjjwgrUQd90/edit?tab=t.0" TargetMode="External"/><Relationship Id="rId219" Type="http://schemas.openxmlformats.org/officeDocument/2006/relationships/hyperlink" Target="https://docs.google.com/document/d/129WbEOC8OLCDbzY8FNFRP9eZLzrYIytMh5qd-ugrKeA/edit?tab=t.0" TargetMode="External"/><Relationship Id="rId218" Type="http://schemas.openxmlformats.org/officeDocument/2006/relationships/hyperlink" Target="https://docs.google.com/document/d/1jZ7F9RgOWG4qPDAe2UMQEpPAnSaL0Qv3FLIPtq1GsFc/edit?tab=t.0" TargetMode="External"/><Relationship Id="rId213" Type="http://schemas.openxmlformats.org/officeDocument/2006/relationships/hyperlink" Target="https://docs.google.com/document/d/1JSI182IsN0SjFEkKpXgdw47JPfdq9s9aMiw--Cmob1g/edit?tab=t.0" TargetMode="External"/><Relationship Id="rId212" Type="http://schemas.openxmlformats.org/officeDocument/2006/relationships/hyperlink" Target="https://docs.google.com/document/d/1Jb5ymGjxU3kv79KarXQZYoP7hpF7VeAki-qGiuF0b8o/edit?tab=t.0" TargetMode="External"/><Relationship Id="rId211" Type="http://schemas.openxmlformats.org/officeDocument/2006/relationships/hyperlink" Target="https://docs.google.com/document/d/1xVbH47ibZ9li1jq8nP-jxwgBDVPbB6K58Z0g10KOPr8/edit?tab=t.0" TargetMode="External"/><Relationship Id="rId210" Type="http://schemas.openxmlformats.org/officeDocument/2006/relationships/hyperlink" Target="https://docs.google.com/document/d/1LVgVHmvL3aOZv38iKHSXcmb7s0pERBN2N5X4Y7qLvXA/edit?tab=t.0" TargetMode="External"/><Relationship Id="rId129" Type="http://schemas.openxmlformats.org/officeDocument/2006/relationships/hyperlink" Target="https://docs.google.com/document/d/1rkf52aNbSGvG3l7RqQmVjlrGE7XMoTt_4zmWC6P3klM/edit?tab=t.0" TargetMode="External"/><Relationship Id="rId128" Type="http://schemas.openxmlformats.org/officeDocument/2006/relationships/hyperlink" Target="https://docs.google.com/document/d/1poLmlCEHG7XWRuGIvRV3OpZQjReiu01uC4u7uztG-KU/edit?tab=t.0" TargetMode="External"/><Relationship Id="rId249" Type="http://schemas.openxmlformats.org/officeDocument/2006/relationships/hyperlink" Target="https://docs.google.com/document/d/1uKnkM18Fe91cFflSBe0nc4YXygjnGQozE03oMr8vpH4/edit?tab=t.0" TargetMode="External"/><Relationship Id="rId127" Type="http://schemas.openxmlformats.org/officeDocument/2006/relationships/hyperlink" Target="https://docs.google.com/document/d/1GQ-gB6RLaTJ3SbxgOJK99AU6IzHO5r6UQlrsJyaZSNM/edit?tab=t.0" TargetMode="External"/><Relationship Id="rId248" Type="http://schemas.openxmlformats.org/officeDocument/2006/relationships/hyperlink" Target="https://docs.google.com/document/d/1qDG5xKQw3NSkuet7vF5jjItKu_hXzf5_Hpp9a2ke-wE/edit?tab=t.0" TargetMode="External"/><Relationship Id="rId126" Type="http://schemas.openxmlformats.org/officeDocument/2006/relationships/hyperlink" Target="https://docs.google.com/document/d/1V3orTRx2b4SEvBXNB5sgVwC5f6dRW-FPPdx6HGTv1YQ/edit?tab=t.0" TargetMode="External"/><Relationship Id="rId247" Type="http://schemas.openxmlformats.org/officeDocument/2006/relationships/hyperlink" Target="https://docs.google.com/document/d/1WkLKWZA8TygP9nFTYVgBd70FECJBPcigBzsef06K1qc/edit?tab=t.0" TargetMode="External"/><Relationship Id="rId121" Type="http://schemas.openxmlformats.org/officeDocument/2006/relationships/hyperlink" Target="https://docs.google.com/document/d/1Ao4sruNzpRIli30JfRFhnylp1UVbTGG7X0DOROIUP8Q/edit?tab=t.0" TargetMode="External"/><Relationship Id="rId242" Type="http://schemas.openxmlformats.org/officeDocument/2006/relationships/hyperlink" Target="https://docs.google.com/document/d/1kQd95kaRrTTKOaLXD0rooMQF4JmGezlLDRf-ptKMh7I/edit?tab=t.0" TargetMode="External"/><Relationship Id="rId120" Type="http://schemas.openxmlformats.org/officeDocument/2006/relationships/hyperlink" Target="https://docs.google.com/document/d/1HZzihJyG0jPC4XKKOObEkv1YexYVHyPRa97To4qMWU4/edit?tab=t.0" TargetMode="External"/><Relationship Id="rId241" Type="http://schemas.openxmlformats.org/officeDocument/2006/relationships/hyperlink" Target="https://docs.google.com/document/d/14owENsUAna9OJBscZNOqK_QB8eD0-c4S1N9otfCRiiY/edit?tab=t.0" TargetMode="External"/><Relationship Id="rId240" Type="http://schemas.openxmlformats.org/officeDocument/2006/relationships/hyperlink" Target="https://docs.google.com/document/d/1X0f_5xWozLUZJFzEwcAzBKr_mGtEWeh88d4DtkMMXA0/edit?tab=t.0" TargetMode="External"/><Relationship Id="rId125" Type="http://schemas.openxmlformats.org/officeDocument/2006/relationships/hyperlink" Target="https://docs.google.com/document/d/1zHT--hvn-tgSLgQfLe-HjO40cOFxyHIiL8h3DBcS0HM/edit?tab=t.0" TargetMode="External"/><Relationship Id="rId246" Type="http://schemas.openxmlformats.org/officeDocument/2006/relationships/hyperlink" Target="https://docs.google.com/document/d/13_wp2Rd-OLkZ5GFjOehwpUKWbNXhzwXOVTgMs8-dBYk/edit?tab=t.0" TargetMode="External"/><Relationship Id="rId124" Type="http://schemas.openxmlformats.org/officeDocument/2006/relationships/hyperlink" Target="https://docs.google.com/document/d/1L2KFELN8aBEyQM7-PdDpQjkUT5S4_LFfFT4nxs9Ck00/edit?tab=t.0" TargetMode="External"/><Relationship Id="rId245" Type="http://schemas.openxmlformats.org/officeDocument/2006/relationships/hyperlink" Target="https://docs.google.com/document/d/1bKxe1ycKmo9cuWtnuOPOjlrPx29JYMR1Nj9Yznf_MaU/edit?tab=t.0" TargetMode="External"/><Relationship Id="rId123" Type="http://schemas.openxmlformats.org/officeDocument/2006/relationships/hyperlink" Target="https://docs.google.com/document/d/1azKhDvdH5hhHqmOJX12VjL6z04g3k_AKdJxhxjI9_mE/edit?tab=t.0" TargetMode="External"/><Relationship Id="rId244" Type="http://schemas.openxmlformats.org/officeDocument/2006/relationships/hyperlink" Target="https://docs.google.com/document/d/1o23ao31TurwoyYl_Fxn4HKpRIQ5AZViwXjLqiK9LHcc/edit?tab=t.0" TargetMode="External"/><Relationship Id="rId122" Type="http://schemas.openxmlformats.org/officeDocument/2006/relationships/hyperlink" Target="https://docs.google.com/document/d/1NYk73jKp5ShqIU7SVvmCG-eJL8Y_ON9s7ZLPsIiPyTg/edit?tab=t.0" TargetMode="External"/><Relationship Id="rId243" Type="http://schemas.openxmlformats.org/officeDocument/2006/relationships/hyperlink" Target="https://docs.google.com/document/d/1OIJrejhEk0YN5CbXlmD-s4POkpG8C_tJjmRZ334H8ZI/edit?tab=t.0" TargetMode="External"/><Relationship Id="rId95" Type="http://schemas.openxmlformats.org/officeDocument/2006/relationships/hyperlink" Target="https://docs.google.com/document/d/1YYc7gan_UBmP22ewiot4Bj7T35WCBKzCoblSBRBauas/edit?tab=t.0" TargetMode="External"/><Relationship Id="rId94" Type="http://schemas.openxmlformats.org/officeDocument/2006/relationships/hyperlink" Target="https://docs.google.com/document/d/1BF2_D6GwNtWCG5zJrnx3_udrBvTpRyoJifdRoiE8pSE/edit?tab=t.0" TargetMode="External"/><Relationship Id="rId97" Type="http://schemas.openxmlformats.org/officeDocument/2006/relationships/hyperlink" Target="https://docs.google.com/document/d/1vb3mdrXEZ1cKiA_XJRVWFArT8F6Zcku_n_L-9OWWWBk/edit?tab=t.0" TargetMode="External"/><Relationship Id="rId96" Type="http://schemas.openxmlformats.org/officeDocument/2006/relationships/hyperlink" Target="https://docs.google.com/document/d/1trjP0noS__BYQ-f5ZNEpjM_FjkK5fLvcSbWJghhsTPA/edit?tab=t.0" TargetMode="External"/><Relationship Id="rId99" Type="http://schemas.openxmlformats.org/officeDocument/2006/relationships/hyperlink" Target="https://docs.google.com/document/d/1gW_EXGpkSe2_Y5up1f8c7DGMtM6Xb1nMiakPkC-zr9c/edit?tab=t.0" TargetMode="External"/><Relationship Id="rId98" Type="http://schemas.openxmlformats.org/officeDocument/2006/relationships/hyperlink" Target="https://docs.google.com/document/d/1ODdoPFhIMejdIzVB3Oc4FcACfbDPhJRttFrPG-j4Sgw/edit?tab=t.0" TargetMode="External"/><Relationship Id="rId91" Type="http://schemas.openxmlformats.org/officeDocument/2006/relationships/hyperlink" Target="https://docs.google.com/document/d/1jsNUUqry396_Gb3dUKxFTGTg07BQjBQYl7vI5P62b1I/edit?tab=t.0" TargetMode="External"/><Relationship Id="rId90" Type="http://schemas.openxmlformats.org/officeDocument/2006/relationships/hyperlink" Target="https://docs.google.com/document/d/1BR5MmtBO7CPriqub6ebpfeF8V8Iob-1QFgyhQKoTcy0/edit?tab=t.0" TargetMode="External"/><Relationship Id="rId93" Type="http://schemas.openxmlformats.org/officeDocument/2006/relationships/hyperlink" Target="https://docs.google.com/document/d/1Ui-eY0TeF9AeLCO-OyEerDAxiWk_VK83Fb75ZBoHNdM/edit?tab=t.0" TargetMode="External"/><Relationship Id="rId92" Type="http://schemas.openxmlformats.org/officeDocument/2006/relationships/hyperlink" Target="https://docs.google.com/document/d/1QQTofkemOFKftUzDPXegy1ood3tvADqKnFrmkBUjU9g/edit?tab=t.0" TargetMode="External"/><Relationship Id="rId118" Type="http://schemas.openxmlformats.org/officeDocument/2006/relationships/hyperlink" Target="https://docs.google.com/document/d/1lJn3aSbbYIwiJo0lRHF_ZvxduZACeVkcnXIm7_w03N8/edit?tab=t.0" TargetMode="External"/><Relationship Id="rId239" Type="http://schemas.openxmlformats.org/officeDocument/2006/relationships/hyperlink" Target="https://docs.google.com/document/d/1qCdI3qwDLku3digI-0EAyY7bralfjjk1O8wu_5CgYpg/edit?tab=t.0" TargetMode="External"/><Relationship Id="rId117" Type="http://schemas.openxmlformats.org/officeDocument/2006/relationships/hyperlink" Target="https://docs.google.com/document/d/1Bjkz56EKprWrZ2GCMvaVu5KWkYcXWDCTqjrmUyGT-Tw/edit?tab=t.0" TargetMode="External"/><Relationship Id="rId238" Type="http://schemas.openxmlformats.org/officeDocument/2006/relationships/hyperlink" Target="https://docs.google.com/document/d/1cT6fLdOPeHhrUXtlP9vy3aNQrrus8gmoBWVtcQLeBQE/edit?tab=t.0" TargetMode="External"/><Relationship Id="rId116" Type="http://schemas.openxmlformats.org/officeDocument/2006/relationships/hyperlink" Target="https://docs.google.com/document/d/1yQCCZaWiCQ5JIWpbhGA3jrnyRCX2R8WnalBaLgzrcxs/edit?tab=t.0" TargetMode="External"/><Relationship Id="rId237" Type="http://schemas.openxmlformats.org/officeDocument/2006/relationships/hyperlink" Target="https://docs.google.com/document/d/1a2t2xh-Q_GbId736HdtjCusOSHNyn2NFhJYQLCrw0Qg/edit?tab=t.0" TargetMode="External"/><Relationship Id="rId115" Type="http://schemas.openxmlformats.org/officeDocument/2006/relationships/hyperlink" Target="https://docs.google.com/document/d/1yEog4NDlXHKwLQBJcgy3JZ0SiIXrLRif4gzl5qr0HHk/edit?tab=t.0" TargetMode="External"/><Relationship Id="rId236" Type="http://schemas.openxmlformats.org/officeDocument/2006/relationships/hyperlink" Target="https://docs.google.com/document/d/1TSb2qucwcTB-lnHSY8aSFKClNo8ZAAx9J3xhvspkGsw/edit?tab=t.0" TargetMode="External"/><Relationship Id="rId119" Type="http://schemas.openxmlformats.org/officeDocument/2006/relationships/hyperlink" Target="https://docs.google.com/document/d/1luXE2yKrGR-V6Z1XfMyP0WqFccvk5ULuoGn4kfO01T4/edit?tab=t.0" TargetMode="External"/><Relationship Id="rId110" Type="http://schemas.openxmlformats.org/officeDocument/2006/relationships/hyperlink" Target="https://docs.google.com/document/d/1DrXYffe2okACDr27gjitlEII78Wzy80s_I7zecCY8jw/edit?tab=t.0" TargetMode="External"/><Relationship Id="rId231" Type="http://schemas.openxmlformats.org/officeDocument/2006/relationships/hyperlink" Target="https://docs.google.com/document/d/10dnotU6s3JVD-IrIEAB0vbLeWPzVBoeQpYonpSw6F8M/edit?tab=t.0" TargetMode="External"/><Relationship Id="rId230" Type="http://schemas.openxmlformats.org/officeDocument/2006/relationships/hyperlink" Target="https://docs.google.com/document/d/1c5nznB_CRMCLBHzgfA1rpf1pzE6IS6xb4bTZa9yTgnQ/edit?tab=t.0" TargetMode="External"/><Relationship Id="rId114" Type="http://schemas.openxmlformats.org/officeDocument/2006/relationships/hyperlink" Target="https://docs.google.com/document/d/1v6M6NA7UTXTt-9f8yhvKPLRJ9Zr_LobMfCv6MzzVjYU/edit?tab=t.0" TargetMode="External"/><Relationship Id="rId235" Type="http://schemas.openxmlformats.org/officeDocument/2006/relationships/hyperlink" Target="https://docs.google.com/document/d/1AjBY8BCoVDTovakPW8tYxCqeUYfqPlnGQWrNOT5vPHs/edit?tab=t.0" TargetMode="External"/><Relationship Id="rId113" Type="http://schemas.openxmlformats.org/officeDocument/2006/relationships/hyperlink" Target="https://docs.google.com/document/d/1hs7UjwoC-istj2tIDwMFr0DLvm3fruHWD2efike5fJw/edit?tab=t.0" TargetMode="External"/><Relationship Id="rId234" Type="http://schemas.openxmlformats.org/officeDocument/2006/relationships/hyperlink" Target="https://docs.google.com/document/d/1ubq0Ip7xPVyg8ZBjIfFDcaQ1VmWNf-BxLe8ivWxflmQ/edit?tab=t.0" TargetMode="External"/><Relationship Id="rId112" Type="http://schemas.openxmlformats.org/officeDocument/2006/relationships/hyperlink" Target="https://docs.google.com/document/d/1_HeGTxRIzQ-C5-_9AoXFNAknHJX6n5zs9PDKkXjDJaY/edit?tab=t.0" TargetMode="External"/><Relationship Id="rId233" Type="http://schemas.openxmlformats.org/officeDocument/2006/relationships/hyperlink" Target="https://docs.google.com/document/d/1c17S0pxBtYvxsGVfqW4ikoMmrpZ6XgxkgbTfn9NlNhc/edit?tab=t.0" TargetMode="External"/><Relationship Id="rId111" Type="http://schemas.openxmlformats.org/officeDocument/2006/relationships/hyperlink" Target="https://docs.google.com/document/d/1clmkzgr9YtTHfUz8Nxubt3phUlaV_FgZviQJQc-3wY0/edit?tab=t.0" TargetMode="External"/><Relationship Id="rId232" Type="http://schemas.openxmlformats.org/officeDocument/2006/relationships/hyperlink" Target="https://docs.google.com/document/d/1PJFJOvn2faWLJ1Ux1j7Uu1bxaYrUiXoX0d45e367nEg/edit?tab=t.0" TargetMode="External"/><Relationship Id="rId305" Type="http://schemas.openxmlformats.org/officeDocument/2006/relationships/hyperlink" Target="https://docs.google.com/document/d/15hz2PSF-2gug1lvBVLr7b30e7p5j2nYP9lcgi6OVZIg/edit?tab=t.0" TargetMode="External"/><Relationship Id="rId304" Type="http://schemas.openxmlformats.org/officeDocument/2006/relationships/hyperlink" Target="https://docs.google.com/document/d/1wIM1KwKJz4ECnFQeUlQs6Ll-vhIEvguIvUfQy56B5z4/edit?usp=sharing" TargetMode="External"/><Relationship Id="rId303" Type="http://schemas.openxmlformats.org/officeDocument/2006/relationships/hyperlink" Target="https://docs.google.com/document/d/1FLmCY1qsAT3s5afJsYWVEy5XQewU4Fnx5ifDIhcAd54/edit?usp=sharing" TargetMode="External"/><Relationship Id="rId302" Type="http://schemas.openxmlformats.org/officeDocument/2006/relationships/hyperlink" Target="https://docs.google.com/document/d/1QQ4LJj-KN6c9jzlyhBzf8FDeU0fe9sGslVexpZnaPo8/edit?usp=sharing" TargetMode="External"/><Relationship Id="rId309" Type="http://schemas.openxmlformats.org/officeDocument/2006/relationships/table" Target="../tables/table3.xml"/><Relationship Id="rId307" Type="http://schemas.openxmlformats.org/officeDocument/2006/relationships/drawing" Target="../drawings/drawing3.xml"/><Relationship Id="rId306" Type="http://schemas.openxmlformats.org/officeDocument/2006/relationships/hyperlink" Target="https://docs.google.com/document/d/1cHwMOxnJExCciaKMyRceJkRibKUdvBNCPTVFTK8y0fE/edit?tab=t.0" TargetMode="External"/><Relationship Id="rId301" Type="http://schemas.openxmlformats.org/officeDocument/2006/relationships/hyperlink" Target="https://docs.google.com/document/d/1nXFlt5PN8DmKMyAgcX4HUwwXDZjhKr3YX5LL-EjpR5E/edit?tab=t.0" TargetMode="External"/><Relationship Id="rId300" Type="http://schemas.openxmlformats.org/officeDocument/2006/relationships/hyperlink" Target="https://docs.google.com/document/d/1iQk879LN0LGJVBypwfFb2qTSlmBtnlceQXhcCxoivHQ/edit?usp=sharing" TargetMode="External"/><Relationship Id="rId206" Type="http://schemas.openxmlformats.org/officeDocument/2006/relationships/hyperlink" Target="https://docs.google.com/document/d/1kK0Ed5Xb0k1KL0UZfA2SORvd0Ne_tKcCKIG3HES5zy4/edit?tab=t.0" TargetMode="External"/><Relationship Id="rId205" Type="http://schemas.openxmlformats.org/officeDocument/2006/relationships/hyperlink" Target="https://docs.google.com/document/d/1PkJd1jl6vzVgSIptaX0VfSx-icGarZYK1HwvDKK6vtE/edit?tab=t.0" TargetMode="External"/><Relationship Id="rId204" Type="http://schemas.openxmlformats.org/officeDocument/2006/relationships/hyperlink" Target="https://docs.google.com/document/d/1RoPWVIm6JUULt1efbgaRzRZM0I7AHkFiCeGCCjWNeQk/edit?tab=t.0" TargetMode="External"/><Relationship Id="rId203" Type="http://schemas.openxmlformats.org/officeDocument/2006/relationships/hyperlink" Target="https://docs.google.com/document/d/1tmCe_nCJBKHQSwugenr8t18fzSDeMNm38e5jd7oTzaM/edit?tab=t.0" TargetMode="External"/><Relationship Id="rId209" Type="http://schemas.openxmlformats.org/officeDocument/2006/relationships/hyperlink" Target="https://docs.google.com/document/d/1BOrx0WJp4btclLH1ASV3o9vnzD87xLZfhzFHOf098Bc/edit?tab=t.0" TargetMode="External"/><Relationship Id="rId208" Type="http://schemas.openxmlformats.org/officeDocument/2006/relationships/hyperlink" Target="https://docs.google.com/document/d/1oaaRNM8Pl50DfYTlEKQihdWbp9EQqwQZT6Jlukw_pP4/edit?tab=t.0" TargetMode="External"/><Relationship Id="rId207" Type="http://schemas.openxmlformats.org/officeDocument/2006/relationships/hyperlink" Target="https://docs.google.com/document/d/1K6_uKgU3GAxpFNWJUyOIgB2_sjIK_dDasv7rcEDaXAo/edit?tab=t.0" TargetMode="External"/><Relationship Id="rId202" Type="http://schemas.openxmlformats.org/officeDocument/2006/relationships/hyperlink" Target="https://docs.google.com/document/d/1qqOPrXKUOceQYdYlfJwOu42GZKEP-qJi-FH3i5OPNZc/edit?tab=t.0" TargetMode="External"/><Relationship Id="rId201" Type="http://schemas.openxmlformats.org/officeDocument/2006/relationships/hyperlink" Target="https://docs.google.com/document/d/1Nj4V9FWeMbisg1MNJuyWLKF9JWWhzlIphb0Oao960q0/edit?tab=t.0" TargetMode="External"/><Relationship Id="rId200" Type="http://schemas.openxmlformats.org/officeDocument/2006/relationships/hyperlink" Target="https://docs.google.com/document/d/1gYjevxfOUwHqdDVj0LtdMivFI51mnOIxW-aCxuQIRfI/edit?tab=t.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O1LgOdMkFtOXA2Keh2AwL0MUaqLJDAcxzgeBUy-pmY/edit?usp=sharing" TargetMode="External"/><Relationship Id="rId2" Type="http://schemas.openxmlformats.org/officeDocument/2006/relationships/hyperlink" Target="https://docs.google.com/document/d/1hKGuEK3I6GR0h7KG7tijUbTOER93QwazXSeUlH1209s/edit?usp=sharing" TargetMode="External"/><Relationship Id="rId3" Type="http://schemas.openxmlformats.org/officeDocument/2006/relationships/hyperlink" Target="https://docs.google.com/document/d/1dIRrs3AubGSROJCp1oEJBYXBkQBoa1UGWgOsiAXf6oo/edit?usp=sharing" TargetMode="External"/><Relationship Id="rId4" Type="http://schemas.openxmlformats.org/officeDocument/2006/relationships/hyperlink" Target="https://docs.google.com/document/d/1dCS-DTyTB0rcOBWL6xkq6bti9h0yXz0xReLOQwOqm6Q/edit?usp=sharing" TargetMode="External"/><Relationship Id="rId148" Type="http://schemas.openxmlformats.org/officeDocument/2006/relationships/table" Target="../tables/table4.xml"/><Relationship Id="rId9" Type="http://schemas.openxmlformats.org/officeDocument/2006/relationships/hyperlink" Target="https://docs.google.com/document/d/11YdmRlFi-WWKqHGELpCpy0x-_2wwvx5U7V_2f2bLfHI/edit?usp=sharing" TargetMode="External"/><Relationship Id="rId143" Type="http://schemas.openxmlformats.org/officeDocument/2006/relationships/hyperlink" Target="https://docs.google.com/document/d/1UmPikxR8PiBr8sMELyam9EWeGay1Z7vVE3nLypUwrik/edit?usp=sharing" TargetMode="External"/><Relationship Id="rId142" Type="http://schemas.openxmlformats.org/officeDocument/2006/relationships/hyperlink" Target="https://docs.google.com/document/d/1Qj76ryx5e3IvVK4ZmnLf8b10CImepI_1_GydM4m-nBg/edit?usp=sharing" TargetMode="External"/><Relationship Id="rId141" Type="http://schemas.openxmlformats.org/officeDocument/2006/relationships/hyperlink" Target="https://docs.google.com/document/d/1AEURLeT-OST2QAG-jZMSk3SeOSMAZYVFkJ2p4yrSbkw/edit?usp=sharing" TargetMode="External"/><Relationship Id="rId140" Type="http://schemas.openxmlformats.org/officeDocument/2006/relationships/hyperlink" Target="https://docs.google.com/document/d/12LmUlhImDvJNn0V1MKO4HEy6bRM_N22I7irWYQHppRQ/edit?usp=sharing" TargetMode="External"/><Relationship Id="rId5" Type="http://schemas.openxmlformats.org/officeDocument/2006/relationships/hyperlink" Target="https://docs.google.com/document/d/1ByN8KaDbVn05mmAo3BQIhKqfPFfGWSR02o7DAvmWzng/edit?usp=sharing" TargetMode="External"/><Relationship Id="rId6" Type="http://schemas.openxmlformats.org/officeDocument/2006/relationships/hyperlink" Target="https://docs.google.com/document/d/13MqIUKaT--IgfEldtUan8PJMYEDPSAHBA90UC72C-nA/edit?usp=sharing" TargetMode="External"/><Relationship Id="rId146" Type="http://schemas.openxmlformats.org/officeDocument/2006/relationships/drawing" Target="../drawings/drawing4.xml"/><Relationship Id="rId7" Type="http://schemas.openxmlformats.org/officeDocument/2006/relationships/hyperlink" Target="https://docs.google.com/document/d/11U4STf_PzmsD-tx3NDn4KyQxOXU4Cy7IdOLpO4cHx9Y/edit?usp=sharing" TargetMode="External"/><Relationship Id="rId145" Type="http://schemas.openxmlformats.org/officeDocument/2006/relationships/hyperlink" Target="http://shanty.fitria.id" TargetMode="External"/><Relationship Id="rId8" Type="http://schemas.openxmlformats.org/officeDocument/2006/relationships/hyperlink" Target="https://docs.google.com/document/d/1Hq7YCuakPtUJsUYKsWDb8GCrQAL7Sype9pV3jo0_5XI/edit?usp=sharing" TargetMode="External"/><Relationship Id="rId144" Type="http://schemas.openxmlformats.org/officeDocument/2006/relationships/hyperlink" Target="https://docs.google.com/document/d/1brynkPMUwYa0Kpun9sWpNhxfIybvBbn1qPR4oaQqBmo/edit?usp=sharing" TargetMode="External"/><Relationship Id="rId139" Type="http://schemas.openxmlformats.org/officeDocument/2006/relationships/hyperlink" Target="https://docs.google.com/document/d/1yk57ha8fuRgVhXQnZC_KFlKqu_eEJ1jGYt1fEGhjAg8/edit?usp=sharing" TargetMode="External"/><Relationship Id="rId138" Type="http://schemas.openxmlformats.org/officeDocument/2006/relationships/hyperlink" Target="https://docs.google.com/document/d/1ztsu8Oj-4aD3nmLXbHgsA3aa_-IaPu5Xa60ftvACoNk/edit?usp=sharing" TargetMode="External"/><Relationship Id="rId137" Type="http://schemas.openxmlformats.org/officeDocument/2006/relationships/hyperlink" Target="https://docs.google.com/document/d/1FYLPBZh9jqZeJJiQgqAdfOq1nQPZSFqldtD-swYXk0s/edit?usp=sharing" TargetMode="External"/><Relationship Id="rId132" Type="http://schemas.openxmlformats.org/officeDocument/2006/relationships/hyperlink" Target="https://docs.google.com/document/d/1YxA_C9wR_TZUPzi34IqJ0HixsYCmgSre94cW3WVWC1o/edit?usp=sharing" TargetMode="External"/><Relationship Id="rId131" Type="http://schemas.openxmlformats.org/officeDocument/2006/relationships/hyperlink" Target="https://docs.google.com/document/d/14l3RtkaGRNNZ_I7ulRJYn7dDOhlXgk4hre3-ij3lRbQ/edit?usp=sharing" TargetMode="External"/><Relationship Id="rId130" Type="http://schemas.openxmlformats.org/officeDocument/2006/relationships/hyperlink" Target="https://docs.google.com/document/d/1yBNOOKl2r0NSaC2R80O14_5_IK2aCU5vIC3MrMBxGiE/edit?usp=sharing" TargetMode="External"/><Relationship Id="rId136" Type="http://schemas.openxmlformats.org/officeDocument/2006/relationships/hyperlink" Target="https://docs.google.com/document/d/1zVrrEsCLn9F_c9dQjP3VUMpO7MWKHLhZJSBqonHK5so/edit?usp=sharing" TargetMode="External"/><Relationship Id="rId135" Type="http://schemas.openxmlformats.org/officeDocument/2006/relationships/hyperlink" Target="https://docs.google.com/document/d/1-OPncysgZtsXtKEyiniZ2gSmzQDiG_DgZ38ohiQ24kM/edit?usp=sharing" TargetMode="External"/><Relationship Id="rId134" Type="http://schemas.openxmlformats.org/officeDocument/2006/relationships/hyperlink" Target="https://docs.google.com/document/d/1SKPH9CgKJRwvJtRhzpxB_dS6MlzgksszSCgZPThJZQk/edit?usp=sharing" TargetMode="External"/><Relationship Id="rId133" Type="http://schemas.openxmlformats.org/officeDocument/2006/relationships/hyperlink" Target="https://docs.google.com/document/d/1RN5Cp46M4Wrze4ix7Z7s72Fu9vDH3GDwE6-7Ce658yI/edit?usp=sharing" TargetMode="External"/><Relationship Id="rId40" Type="http://schemas.openxmlformats.org/officeDocument/2006/relationships/hyperlink" Target="https://docs.google.com/document/d/1JRyfC1kx7oC3n22QwRQLt7_us6MB85SRPjLwGAMwBEE/edit?usp=sharing" TargetMode="External"/><Relationship Id="rId42" Type="http://schemas.openxmlformats.org/officeDocument/2006/relationships/hyperlink" Target="https://docs.google.com/document/d/1b1u9Bt1He2Mo5aXyEn-_ikqX0tMdouiX-GLsvkdUHHw/edit?usp=sharing" TargetMode="External"/><Relationship Id="rId41" Type="http://schemas.openxmlformats.org/officeDocument/2006/relationships/hyperlink" Target="https://docs.google.com/document/d/1KVtMRAowJ8myc7_jm588z2AFelwGA1NWrGqNGhdcD_Y/edit?usp=sharing" TargetMode="External"/><Relationship Id="rId44" Type="http://schemas.openxmlformats.org/officeDocument/2006/relationships/hyperlink" Target="https://docs.google.com/document/d/1q4M2dhYvM6hMcAIAESXQStHGp13E9wvTJvt2vC_5Pg0/edit?usp=sharing" TargetMode="External"/><Relationship Id="rId43" Type="http://schemas.openxmlformats.org/officeDocument/2006/relationships/hyperlink" Target="https://docs.google.com/document/d/1JSINNaWFr_ZkP7csCGIZsC45LOomiRGplMqXsufS4lI/edit?usp=sharing" TargetMode="External"/><Relationship Id="rId46" Type="http://schemas.openxmlformats.org/officeDocument/2006/relationships/hyperlink" Target="https://docs.google.com/document/d/153Fp-8Qar5uCr7-Ed1uVKCbe0MJ84rnUE1lrkKsc2yk/edit?usp=sharing" TargetMode="External"/><Relationship Id="rId45" Type="http://schemas.openxmlformats.org/officeDocument/2006/relationships/hyperlink" Target="https://docs.google.com/document/d/1EVLEWy5B80D9RlbiQLsSHh9HrZoLwLyZJGF-K-4xPF8/edit?usp=sharing" TargetMode="External"/><Relationship Id="rId48" Type="http://schemas.openxmlformats.org/officeDocument/2006/relationships/hyperlink" Target="https://docs.google.com/document/d/16w-XzVuUJ5WrsllKfo52wdl3H1Da-u9M4Ky7Y3fd-tQ/edit?usp=sharing" TargetMode="External"/><Relationship Id="rId47" Type="http://schemas.openxmlformats.org/officeDocument/2006/relationships/hyperlink" Target="https://docs.google.com/document/d/15DUkcLQ98t1kI_XRvDXVyv1uxYRnuHTwaBqkGts8Xqo/edit?usp=sharing" TargetMode="External"/><Relationship Id="rId49" Type="http://schemas.openxmlformats.org/officeDocument/2006/relationships/hyperlink" Target="https://docs.google.com/document/d/1CohgXFd0Lxxy1VWhOA-mS6aRqATMKa5JsyG0kTwBdOw/edit?usp=sharing" TargetMode="External"/><Relationship Id="rId31" Type="http://schemas.openxmlformats.org/officeDocument/2006/relationships/hyperlink" Target="https://docs.google.com/document/d/17AU7AT-Us9U-0GteJzfGymhI1yLH10uEfwXGS0_6GNo/edit?usp=sharing" TargetMode="External"/><Relationship Id="rId30" Type="http://schemas.openxmlformats.org/officeDocument/2006/relationships/hyperlink" Target="https://docs.google.com/document/d/1dTOmwmacoQn5Xetx_FxbPXY9SNv303UVl_ULz3Y7aao/edit?usp=sharing" TargetMode="External"/><Relationship Id="rId33" Type="http://schemas.openxmlformats.org/officeDocument/2006/relationships/hyperlink" Target="https://docs.google.com/document/d/1yEYYflTAtV4uS7mL7WXQx1BbbTMBuye25vXeeTuY1OY/edit?usp=sharing" TargetMode="External"/><Relationship Id="rId32" Type="http://schemas.openxmlformats.org/officeDocument/2006/relationships/hyperlink" Target="https://docs.google.com/document/d/15tGBZYFhVJdeLWTnwFtewTfHPp56aGtS9qy4AS2Hojk/edit?usp=sharing" TargetMode="External"/><Relationship Id="rId35" Type="http://schemas.openxmlformats.org/officeDocument/2006/relationships/hyperlink" Target="https://docs.google.com/document/d/1Atv9cZ86fzq5YAs1oklAxNWkBH0mudpF4hNwyKoADTY/edit?usp=sharing" TargetMode="External"/><Relationship Id="rId34" Type="http://schemas.openxmlformats.org/officeDocument/2006/relationships/hyperlink" Target="https://docs.google.com/document/d/1CyKrL_5-hiFqvLSGzshnXcHx7kwtdIOC5RjNuUy2iFI/edit?usp=sharing" TargetMode="External"/><Relationship Id="rId37" Type="http://schemas.openxmlformats.org/officeDocument/2006/relationships/hyperlink" Target="https://docs.google.com/document/d/1iwvos4ukbIhbx_5xESDYw6sO8W7jJRhIArHeAH_3D5M/edit?usp=sharing" TargetMode="External"/><Relationship Id="rId36" Type="http://schemas.openxmlformats.org/officeDocument/2006/relationships/hyperlink" Target="https://docs.google.com/document/d/13PBvpOXEkr5-SRwEQySm2LE0rqChjcu8q81zVmn4yik/edit?usp=sharing" TargetMode="External"/><Relationship Id="rId39" Type="http://schemas.openxmlformats.org/officeDocument/2006/relationships/hyperlink" Target="https://docs.google.com/document/d/1L-7Eatb8VGovZhCBXD7YlYFS6Sg4JFCOt1-y5B_jUXQ/edit?tab=t.0" TargetMode="External"/><Relationship Id="rId38" Type="http://schemas.openxmlformats.org/officeDocument/2006/relationships/hyperlink" Target="https://docs.google.com/document/d/1bWbEcNAAr9XMhhtrdum94C20FUPSCHL6kZSbW3MZH4k/edit?usp=sharing" TargetMode="External"/><Relationship Id="rId20" Type="http://schemas.openxmlformats.org/officeDocument/2006/relationships/hyperlink" Target="https://docs.google.com/document/d/1UrbZLSeM81V8Hkzor-ZwdAj93ofaLSOSez5Zc8w8QbA/edit?tab=t.0" TargetMode="External"/><Relationship Id="rId22" Type="http://schemas.openxmlformats.org/officeDocument/2006/relationships/hyperlink" Target="https://docs.google.com/document/d/1o9W6-RxtIClawdWzlAjbPoq_wSv7jb2GlhhH6IY1aMw/edit?usp=sharing" TargetMode="External"/><Relationship Id="rId21" Type="http://schemas.openxmlformats.org/officeDocument/2006/relationships/hyperlink" Target="https://docs.google.com/document/d/1rd4lhac0z7he1-OmaP93U073gQv6F7_7WIyAt2YiOro/edit?usp=sharing" TargetMode="External"/><Relationship Id="rId24" Type="http://schemas.openxmlformats.org/officeDocument/2006/relationships/hyperlink" Target="https://docs.google.com/document/d/1BrX-Nml2r4Ecu2-R2T4-TmWjJu9YkU8ukGMuWPxirQQ/edit?tab=t.0" TargetMode="External"/><Relationship Id="rId23" Type="http://schemas.openxmlformats.org/officeDocument/2006/relationships/hyperlink" Target="https://docs.google.com/document/d/1PnwPcIwK_8xNddaf4hld_rhVJHOTJ6JY5SS3UZCALCU/edit?usp=sharing" TargetMode="External"/><Relationship Id="rId26" Type="http://schemas.openxmlformats.org/officeDocument/2006/relationships/hyperlink" Target="https://docs.google.com/document/d/13VdLjJT7irt71tXNqSoAnm8uUyhGyWZ_11iHshyAgUY/edit?usp=sharing" TargetMode="External"/><Relationship Id="rId25" Type="http://schemas.openxmlformats.org/officeDocument/2006/relationships/hyperlink" Target="https://docs.google.com/document/d/1-Oo9xna-eepDmWr_47y0rSdzc3lOcxL2AI2ldlGlg2o/edit?usp=sharing" TargetMode="External"/><Relationship Id="rId28" Type="http://schemas.openxmlformats.org/officeDocument/2006/relationships/hyperlink" Target="https://docs.google.com/document/d/1ImZ2DQqVT-2OrII48xmimrQstKre5eS0T32EmvKC2Ng/edit?usp=sharing" TargetMode="External"/><Relationship Id="rId27" Type="http://schemas.openxmlformats.org/officeDocument/2006/relationships/hyperlink" Target="https://docs.google.com/document/d/1afskSDsgsB_EZ8p_YL8a2Avvfs09xv8ZH_u3YDTOV6M/edit?usp=sharing" TargetMode="External"/><Relationship Id="rId29" Type="http://schemas.openxmlformats.org/officeDocument/2006/relationships/hyperlink" Target="https://docs.google.com/document/d/17Fe6RllYDrqiq9HPq9zBMSoG6P1X_CuBg6JajofvanE/edit?tab=t.0" TargetMode="External"/><Relationship Id="rId11" Type="http://schemas.openxmlformats.org/officeDocument/2006/relationships/hyperlink" Target="https://docs.google.com/document/d/1lcOU9WELHGwPNGVd_Qn8hkjTCd388v03p7F_6Wi4yMk/edit?usp=sharing" TargetMode="External"/><Relationship Id="rId10" Type="http://schemas.openxmlformats.org/officeDocument/2006/relationships/hyperlink" Target="https://docs.google.com/document/d/1_ekJualW89sVypOKyDX_WI53TOOFaw3wtFUWP6tWIn4/edit?usp=sharing" TargetMode="External"/><Relationship Id="rId13" Type="http://schemas.openxmlformats.org/officeDocument/2006/relationships/hyperlink" Target="https://docs.google.com/document/d/13oz5xh7Gk9KYHvgLmnvWvhBXZhCl5tOVE0pzNMoOnJU/edit?usp=sharing" TargetMode="External"/><Relationship Id="rId12" Type="http://schemas.openxmlformats.org/officeDocument/2006/relationships/hyperlink" Target="https://docs.google.com/document/d/15qIbL8EqkYecD8xmNsC_kTkMe29yBIrWPoEF_6kHtto/edit?usp=sharing" TargetMode="External"/><Relationship Id="rId15" Type="http://schemas.openxmlformats.org/officeDocument/2006/relationships/hyperlink" Target="https://docs.google.com/document/d/1AdhRRbwiG17AT2ik6dZ2iN-CyyKyXM06F3zlLCaQE4M/edit?usp=sharing" TargetMode="External"/><Relationship Id="rId14" Type="http://schemas.openxmlformats.org/officeDocument/2006/relationships/hyperlink" Target="https://docs.google.com/document/d/1mJL98j3AkiC5uk0V0P0Pj-Q_iDZEpf4_Z7o3D59cy60/edit?usp=sharing" TargetMode="External"/><Relationship Id="rId17" Type="http://schemas.openxmlformats.org/officeDocument/2006/relationships/hyperlink" Target="https://docs.google.com/document/d/1nMlgqQ4a8WnW4OZg4eNWiGhnOBc6JBs3alM3HeQIpnw/edit?usp=sharing" TargetMode="External"/><Relationship Id="rId16" Type="http://schemas.openxmlformats.org/officeDocument/2006/relationships/hyperlink" Target="https://docs.google.com/document/d/19_yE0YVS9n6ZC7Bycfvsfs1HYr4maEXGpssLGsARqeQ/edit?usp=sharing" TargetMode="External"/><Relationship Id="rId19" Type="http://schemas.openxmlformats.org/officeDocument/2006/relationships/hyperlink" Target="https://docs.google.com/document/d/1SuiPuIr-oqpPBMpZJq-MecYt3nCB8d6RMI4PNNXxgpQ/edit?usp=sharing" TargetMode="External"/><Relationship Id="rId18" Type="http://schemas.openxmlformats.org/officeDocument/2006/relationships/hyperlink" Target="https://docs.google.com/document/d/19VGX7F9Wmog6os2FQwjwP1N8EREshbOz3zYaN-irITo/edit?usp=sharing" TargetMode="External"/><Relationship Id="rId84" Type="http://schemas.openxmlformats.org/officeDocument/2006/relationships/hyperlink" Target="https://docs.google.com/document/d/1dtx7pl6uZ54iMbdKwd3Cp2KFcgoN1SfA7uQliXjgkz0/edit?usp=sharing" TargetMode="External"/><Relationship Id="rId83" Type="http://schemas.openxmlformats.org/officeDocument/2006/relationships/hyperlink" Target="https://docs.google.com/document/d/1kV-tohbU-FdEppAwI4vUbP7iNFJoA41nFctzo1j6Iiw/edit?usp=sharing" TargetMode="External"/><Relationship Id="rId86" Type="http://schemas.openxmlformats.org/officeDocument/2006/relationships/hyperlink" Target="https://docs.google.com/document/d/1UWKQuRQWEFDg6BdKNGG0J5S703G8PKMpGc2AeRoHVO0/edit?usp=sharing" TargetMode="External"/><Relationship Id="rId85" Type="http://schemas.openxmlformats.org/officeDocument/2006/relationships/hyperlink" Target="https://docs.google.com/document/d/1_KJiYE_jm49EUGE1_LMUgzToovUBRgJdPWdhkNP6yJo/edit?usp=sharing" TargetMode="External"/><Relationship Id="rId88" Type="http://schemas.openxmlformats.org/officeDocument/2006/relationships/hyperlink" Target="https://docs.google.com/document/d/1kA7lEu7PdLCfWjo5mzgEk9bw7rm4B8A2fmokR6EtvjI/edit?usp=sharing" TargetMode="External"/><Relationship Id="rId87" Type="http://schemas.openxmlformats.org/officeDocument/2006/relationships/hyperlink" Target="https://docs.google.com/document/d/12UzPcCj8bm33B2OEzrVbY_OXwiBhfxYoD9mTTLRBeTY/edit?usp=sharing" TargetMode="External"/><Relationship Id="rId89" Type="http://schemas.openxmlformats.org/officeDocument/2006/relationships/hyperlink" Target="https://docs.google.com/document/d/1cl90rx5QiUJs9HcdeolU0W9IhBVMLK02p108iit-CqM/edit?usp=sharing" TargetMode="External"/><Relationship Id="rId80" Type="http://schemas.openxmlformats.org/officeDocument/2006/relationships/hyperlink" Target="https://docs.google.com/document/d/1Lp0NZEyWISxzImTuDlCy2KDgKjPwz8zROY3v61HOTHc/edit?usp=sharing" TargetMode="External"/><Relationship Id="rId82" Type="http://schemas.openxmlformats.org/officeDocument/2006/relationships/hyperlink" Target="https://docs.google.com/document/d/1tw1BYXESqh0wP9bkhQBi4V1R3etBrR0QP_d9R6VH1fU/edit?usp=sharing" TargetMode="External"/><Relationship Id="rId81" Type="http://schemas.openxmlformats.org/officeDocument/2006/relationships/hyperlink" Target="https://docs.google.com/document/d/1grhWc8zgkscGz5QpiGqjvFhB_HL0M-HKjXHwR3UrsQY/edit?usp=sharing" TargetMode="External"/><Relationship Id="rId73" Type="http://schemas.openxmlformats.org/officeDocument/2006/relationships/hyperlink" Target="https://docs.google.com/document/d/1mNwYwi2re9rg4r-uLsNGYOv4QVER_qOVem6f2K8xaho/edit?usp=sharing" TargetMode="External"/><Relationship Id="rId72" Type="http://schemas.openxmlformats.org/officeDocument/2006/relationships/hyperlink" Target="https://docs.google.com/document/d/13AGnN7-A4DwLwb8t7WqtzcF3aSk3R5f5pEdD2SMe_dE/edit?usp=sharing" TargetMode="External"/><Relationship Id="rId75" Type="http://schemas.openxmlformats.org/officeDocument/2006/relationships/hyperlink" Target="https://docs.google.com/document/d/1dekJ0CZIz5oiN9ksok9u_LCyFKthcyglIlGOHgD0A-4/edit?usp=sharing" TargetMode="External"/><Relationship Id="rId74" Type="http://schemas.openxmlformats.org/officeDocument/2006/relationships/hyperlink" Target="https://docs.google.com/document/d/1hdiHV-Zq4KSBlIusuqzZqoHhZ7l8WVsAbzmBLn4GIbo/edit?usp=sharing" TargetMode="External"/><Relationship Id="rId77" Type="http://schemas.openxmlformats.org/officeDocument/2006/relationships/hyperlink" Target="https://docs.google.com/document/d/19J9A9xI9qblVViymafLXjdk7rtr8w3ISomg2PClvCBg/edit?usp=sharing" TargetMode="External"/><Relationship Id="rId76" Type="http://schemas.openxmlformats.org/officeDocument/2006/relationships/hyperlink" Target="https://docs.google.com/document/d/152z9oZmgN2nuofnY10h2vBEz8OChSwFmw-jB6sAMioU/edit?usp=sharing" TargetMode="External"/><Relationship Id="rId79" Type="http://schemas.openxmlformats.org/officeDocument/2006/relationships/hyperlink" Target="https://docs.google.com/document/d/1ZDEhCNVN0JXAeZbdv_4BkZSUUHA2mJIqTGzsl-m3B6s/edit?usp=sharing" TargetMode="External"/><Relationship Id="rId78" Type="http://schemas.openxmlformats.org/officeDocument/2006/relationships/hyperlink" Target="https://docs.google.com/document/d/1APvbambRm0L1RbC4eH6W2R5XcMBzoVFVqfw1PzOav1o/edit?usp=sharing" TargetMode="External"/><Relationship Id="rId71" Type="http://schemas.openxmlformats.org/officeDocument/2006/relationships/hyperlink" Target="https://docs.google.com/document/d/19FNWrpTJ_01e2zLRWnx9eORCQbrhHfeDnQEsqlyM5CA/edit?usp=sharing" TargetMode="External"/><Relationship Id="rId70" Type="http://schemas.openxmlformats.org/officeDocument/2006/relationships/hyperlink" Target="https://docs.google.com/document/d/1p6FbS35eOdJX4G5UmJlySPAi66eKpChvJtpZ2RCtn0s/edit?usp=sharing" TargetMode="External"/><Relationship Id="rId62" Type="http://schemas.openxmlformats.org/officeDocument/2006/relationships/hyperlink" Target="https://docs.google.com/document/d/1REAXMG0es5KNvHeF-KAsTxul7WHsXn6y-H12x460mng/edit?usp=sharing" TargetMode="External"/><Relationship Id="rId61" Type="http://schemas.openxmlformats.org/officeDocument/2006/relationships/hyperlink" Target="https://docs.google.com/document/d/1Jy8G55eoRFqTi8KELR58q94dB4vKyGFKvsBWL_Dsp3E/edit?usp=sharing" TargetMode="External"/><Relationship Id="rId64" Type="http://schemas.openxmlformats.org/officeDocument/2006/relationships/hyperlink" Target="https://docs.google.com/document/d/1jlXAQhifCZdcHQlGp-jN66WyVWabuKT8-8LWCmZ0iWU/edit?usp=sharing" TargetMode="External"/><Relationship Id="rId63" Type="http://schemas.openxmlformats.org/officeDocument/2006/relationships/hyperlink" Target="https://docs.google.com/document/d/1OVA9iOWdO9AWQ9RIau5fDiDRE137Opu6r2ni8ftfVOQ/edit?usp=sharing" TargetMode="External"/><Relationship Id="rId66" Type="http://schemas.openxmlformats.org/officeDocument/2006/relationships/hyperlink" Target="https://docs.google.com/document/d/15OhD4E0gEUcQkDUjqXIjWb8UPnumXoA6Hi3AkAS1WqM/edit?usp=sharing" TargetMode="External"/><Relationship Id="rId65" Type="http://schemas.openxmlformats.org/officeDocument/2006/relationships/hyperlink" Target="https://docs.google.com/document/d/1bePgZb3XPF8gbcmy-DmW7j9NIpZuEPOMh5aXvXnK9yU/edit?usp=sharing" TargetMode="External"/><Relationship Id="rId68" Type="http://schemas.openxmlformats.org/officeDocument/2006/relationships/hyperlink" Target="https://docs.google.com/document/d/1E74fSFm-llXEQjJMvoa3N8WJuffp2lrYgXqNg2ingMM/edit?usp=sharing" TargetMode="External"/><Relationship Id="rId67" Type="http://schemas.openxmlformats.org/officeDocument/2006/relationships/hyperlink" Target="https://docs.google.com/document/d/1xkGpSN1JnGmF4EEqxB3_i3akNZk8hncXm6Uv6cb_71c/edit?usp=sharing" TargetMode="External"/><Relationship Id="rId60" Type="http://schemas.openxmlformats.org/officeDocument/2006/relationships/hyperlink" Target="https://docs.google.com/document/d/17e8VmrhIqngMCuRGDngwmr-EbTK9cXfv5329ypt3K_o/edit?usp=sharing" TargetMode="External"/><Relationship Id="rId69" Type="http://schemas.openxmlformats.org/officeDocument/2006/relationships/hyperlink" Target="https://docs.google.com/document/d/1nlkDUjK4f2dbu3E3yMwYkk8VhWAlpqNkTprb-q4o_rw/edit?usp=sharing" TargetMode="External"/><Relationship Id="rId51" Type="http://schemas.openxmlformats.org/officeDocument/2006/relationships/hyperlink" Target="https://docs.google.com/document/d/1uAH3ykAbKawbzM_wfwn9AYQ_fp4j1HibtJPXpJZtjOU/edit?usp=sharing" TargetMode="External"/><Relationship Id="rId50" Type="http://schemas.openxmlformats.org/officeDocument/2006/relationships/hyperlink" Target="https://docs.google.com/document/d/1S1m7WvNaCTEXfSmrMS1GGM94NKeF1GMb0NYgT4AcV_Q/edit?usp=sharing" TargetMode="External"/><Relationship Id="rId53" Type="http://schemas.openxmlformats.org/officeDocument/2006/relationships/hyperlink" Target="https://docs.google.com/document/d/17h_yC1p6udV3A4QyTH4zrnxl-rb-c4BRoDeHYr7lvoE/edit?usp=sharing" TargetMode="External"/><Relationship Id="rId52" Type="http://schemas.openxmlformats.org/officeDocument/2006/relationships/hyperlink" Target="https://docs.google.com/document/d/1Ges2XLDhWxFgWo2JZPQyhTEYs5vMQchJ2_HDLvWsZBQ/edit?usp=sharing" TargetMode="External"/><Relationship Id="rId55" Type="http://schemas.openxmlformats.org/officeDocument/2006/relationships/hyperlink" Target="https://docs.google.com/document/d/1r888GU9xm_6FpclHpSZrb8KBLgxCNiKeE-WnHijDmUc/edit?usp=sharing" TargetMode="External"/><Relationship Id="rId54" Type="http://schemas.openxmlformats.org/officeDocument/2006/relationships/hyperlink" Target="https://docs.google.com/document/d/1M-epWE9NwckP-O_bzNEcPPpRskObNZ_4zLtxEsVRGgI/edit?usp=sharing" TargetMode="External"/><Relationship Id="rId57" Type="http://schemas.openxmlformats.org/officeDocument/2006/relationships/hyperlink" Target="https://docs.google.com/document/d/1GCdEcN1x_mYBmrSC698dlrJAyCkuoAX8l1S9Ng8bSHU/edit?usp=sharing" TargetMode="External"/><Relationship Id="rId56" Type="http://schemas.openxmlformats.org/officeDocument/2006/relationships/hyperlink" Target="https://docs.google.com/document/d/1UgR5I4bxdAxliR5vM38p6oPIveJpD6uf96LrUzjePsM/edit?usp=sharing" TargetMode="External"/><Relationship Id="rId59" Type="http://schemas.openxmlformats.org/officeDocument/2006/relationships/hyperlink" Target="https://docs.google.com/document/d/1SN7aHbdC8rLeai20u-MIOuy8yLHxnn3Lkxt9-8zVO5A/edit?usp=sharing" TargetMode="External"/><Relationship Id="rId58" Type="http://schemas.openxmlformats.org/officeDocument/2006/relationships/hyperlink" Target="https://docs.google.com/document/d/1IifxN6RzpE0HchftHxSJu9d0vWiM5pL-YjYBBa9ruso/edit?usp=sharing" TargetMode="External"/><Relationship Id="rId107" Type="http://schemas.openxmlformats.org/officeDocument/2006/relationships/hyperlink" Target="https://docs.google.com/document/d/1CkdeYIqHWUZ1H0TJ7CvOpjMTv3rtSHgw-4-lYBemljE/edit?usp=sharing" TargetMode="External"/><Relationship Id="rId106" Type="http://schemas.openxmlformats.org/officeDocument/2006/relationships/hyperlink" Target="https://docs.google.com/document/d/1OpKw15qCOlpaZu2JkZA3O2d6sUjSFfmJ9yHhssYmc50/edit?usp=sharing" TargetMode="External"/><Relationship Id="rId105" Type="http://schemas.openxmlformats.org/officeDocument/2006/relationships/hyperlink" Target="https://docs.google.com/document/d/1WcBSlVFx0_1IChxnGbvWhPNRKRxcStqdhoSQnxnTN_k/edit?usp=sharing" TargetMode="External"/><Relationship Id="rId104" Type="http://schemas.openxmlformats.org/officeDocument/2006/relationships/hyperlink" Target="https://docs.google.com/document/d/1NMY6AVs3XJ5H-UpmXMShvrtxwceCqEsZREFZ0ipc56Y/edit?usp=sharing" TargetMode="External"/><Relationship Id="rId109" Type="http://schemas.openxmlformats.org/officeDocument/2006/relationships/hyperlink" Target="https://docs.google.com/document/d/1ttTERkF3-Yh8Vp4J56dJWEujJJyZlJEUDu1acbR19Hg/edit?usp=sharing" TargetMode="External"/><Relationship Id="rId108" Type="http://schemas.openxmlformats.org/officeDocument/2006/relationships/hyperlink" Target="https://docs.google.com/document/d/1vxa-C1iwhq7R98Ys7r-d4U_kmYRmPiliwbnsF_fmHP4/edit?usp=sharing" TargetMode="External"/><Relationship Id="rId103" Type="http://schemas.openxmlformats.org/officeDocument/2006/relationships/hyperlink" Target="https://docs.google.com/document/d/1umxVFt11vI8O4VCFAyb3nQhbvyxnjLiZCV1JrrekWJg/edit?usp=sharing" TargetMode="External"/><Relationship Id="rId102" Type="http://schemas.openxmlformats.org/officeDocument/2006/relationships/hyperlink" Target="https://docs.google.com/document/d/1LHtpVf3NdAI-vAH9vaeB8Rj2K3uRud5DL47eGjvvoxU/edit?usp=sharing" TargetMode="External"/><Relationship Id="rId101" Type="http://schemas.openxmlformats.org/officeDocument/2006/relationships/hyperlink" Target="https://docs.google.com/document/d/1VPryGzV7tYRaZLQaV9mY9xTpe87ztOzLpu1NPBQqML8/edit?usp=sharing" TargetMode="External"/><Relationship Id="rId100" Type="http://schemas.openxmlformats.org/officeDocument/2006/relationships/hyperlink" Target="https://docs.google.com/document/d/1quEnHGdTJcq9hhALJ1AJUKQ-azpep4kmgHwXiKRMJ5A/edit?usp=sharing" TargetMode="External"/><Relationship Id="rId129" Type="http://schemas.openxmlformats.org/officeDocument/2006/relationships/hyperlink" Target="https://docs.google.com/document/d/1mcOYCeX4vgkbXEgKgQ3pJDex0IHluTezCeMMehVyNP8/edit?usp=sharing" TargetMode="External"/><Relationship Id="rId128" Type="http://schemas.openxmlformats.org/officeDocument/2006/relationships/hyperlink" Target="https://docs.google.com/document/d/1RFpss8exRQV1AIiB65l1LJe-bN2Mkr6UYX1VqKR7GUA/edit?usp=sharing" TargetMode="External"/><Relationship Id="rId127" Type="http://schemas.openxmlformats.org/officeDocument/2006/relationships/hyperlink" Target="https://docs.google.com/document/d/1lGre8GfM8MCr9mE5gHYjSFk8T8Gjea7bAzvdLueCpj0/edit?usp=sharing" TargetMode="External"/><Relationship Id="rId126" Type="http://schemas.openxmlformats.org/officeDocument/2006/relationships/hyperlink" Target="https://docs.google.com/document/d/18TwIwxgqWojGkn7PqC3MF9HM0Jy-LD-Ihm2a6bHvEhI/edit?usp=sharing" TargetMode="External"/><Relationship Id="rId121" Type="http://schemas.openxmlformats.org/officeDocument/2006/relationships/hyperlink" Target="https://docs.google.com/document/d/1ubk1wW-1mElYA-372--VhpvqOQiUdh5QFXC_BduMTa0/edit?usp=sharing" TargetMode="External"/><Relationship Id="rId120" Type="http://schemas.openxmlformats.org/officeDocument/2006/relationships/hyperlink" Target="https://docs.google.com/document/d/1-MhHQT8Z0Ma1W4qm-jLxesBmHCQwtRm0kGn27JMhQGU/edit?usp=sharing" TargetMode="External"/><Relationship Id="rId125" Type="http://schemas.openxmlformats.org/officeDocument/2006/relationships/hyperlink" Target="https://docs.google.com/document/d/1cXkin868abmMBNGqgxRbfwpBvp__EyksqLQ9mPJaLxA/edit?usp=sharing" TargetMode="External"/><Relationship Id="rId124" Type="http://schemas.openxmlformats.org/officeDocument/2006/relationships/hyperlink" Target="https://docs.google.com/document/d/1vteeac6aA8eiuiUJ8iHe6n1MzFrmrTpdV2sh0idIupY/edit?usp=sharing" TargetMode="External"/><Relationship Id="rId123" Type="http://schemas.openxmlformats.org/officeDocument/2006/relationships/hyperlink" Target="https://docs.google.com/document/d/1L9HSPspX9R4zKi8QK1MZuYY0iQp2DRH5GFRrvjkeOLs/edit?usp=sharing" TargetMode="External"/><Relationship Id="rId122" Type="http://schemas.openxmlformats.org/officeDocument/2006/relationships/hyperlink" Target="https://docs.google.com/document/d/1Tzj3M76jItUMwOgYFk_Z7QdY6bhW0Me6c9fjO0dZl98/edit?usp=sharing" TargetMode="External"/><Relationship Id="rId95" Type="http://schemas.openxmlformats.org/officeDocument/2006/relationships/hyperlink" Target="https://docs.google.com/document/d/1aOPRpMvvQewirm47rXVCTEB-xFW7SKdTHnDsy40Ie0o/edit?usp=sharing" TargetMode="External"/><Relationship Id="rId94" Type="http://schemas.openxmlformats.org/officeDocument/2006/relationships/hyperlink" Target="https://docs.google.com/document/d/1tN-BDIFP4wIdtDPNc4VJGm5KmomsIJWLCspFWJ2XwKE/edit?usp=sharing" TargetMode="External"/><Relationship Id="rId97" Type="http://schemas.openxmlformats.org/officeDocument/2006/relationships/hyperlink" Target="https://docs.google.com/document/d/1JNltuh7q1Le6b0ohCth1rBp-OMXRZujqqXGLvdoOTHs/edit?usp=sharing" TargetMode="External"/><Relationship Id="rId96" Type="http://schemas.openxmlformats.org/officeDocument/2006/relationships/hyperlink" Target="https://docs.google.com/document/d/1ZV9arjh86y1bYWqVLM5KgWjlMvtdtx7jrIkkc5_UGxA/edit?usp=sharing" TargetMode="External"/><Relationship Id="rId99" Type="http://schemas.openxmlformats.org/officeDocument/2006/relationships/hyperlink" Target="https://docs.google.com/document/d/1mpqfMsTF18GGjC6WDjT8Axv5OYaworaP7cayb_z8GQo/edit?usp=sharing" TargetMode="External"/><Relationship Id="rId98" Type="http://schemas.openxmlformats.org/officeDocument/2006/relationships/hyperlink" Target="https://docs.google.com/document/d/1Et0BSbWrNalEVk85nZ4-6rfrtEDtHtbAfTNey3v5KH8/edit?usp=sharing" TargetMode="External"/><Relationship Id="rId91" Type="http://schemas.openxmlformats.org/officeDocument/2006/relationships/hyperlink" Target="https://docs.google.com/document/d/1xrqwT6C0Vgc2QGjcJIPCeXtNyGYzpZJWizNDbhkeRx0/edit?usp=sharing" TargetMode="External"/><Relationship Id="rId90" Type="http://schemas.openxmlformats.org/officeDocument/2006/relationships/hyperlink" Target="https://docs.google.com/document/d/1paIhZipVKAvm_NxzkVLzS3a8DtPRoJonkdvzfHoWmrI/edit?usp=sharing" TargetMode="External"/><Relationship Id="rId93" Type="http://schemas.openxmlformats.org/officeDocument/2006/relationships/hyperlink" Target="https://docs.google.com/document/d/16HUEAj4hDXhu6YcxeOlYhOKJyT8jY-eWNZLthHortcw/edit?usp=sharing" TargetMode="External"/><Relationship Id="rId92" Type="http://schemas.openxmlformats.org/officeDocument/2006/relationships/hyperlink" Target="https://docs.google.com/document/d/1p04wQrhMyz5VeWOYHu2nvkgecjzPoH2KJ2Yc8B62kkw/edit?usp=sharing" TargetMode="External"/><Relationship Id="rId118" Type="http://schemas.openxmlformats.org/officeDocument/2006/relationships/hyperlink" Target="https://docs.google.com/document/d/13zuv92lZfm8dU5txDsd7XpYxThLYMroV8-s7ljFUxE8/edit?usp=sharing" TargetMode="External"/><Relationship Id="rId117" Type="http://schemas.openxmlformats.org/officeDocument/2006/relationships/hyperlink" Target="https://docs.google.com/document/d/1mxuSOlq2UoVHUdDq9Qlb0MDNTlSWy6CJ_A4BhyryeM8/edit?usp=sharing" TargetMode="External"/><Relationship Id="rId116" Type="http://schemas.openxmlformats.org/officeDocument/2006/relationships/hyperlink" Target="https://docs.google.com/document/d/1nAJHVlz5vRjq3zLEU_XS0DhSy4iXhXydO4qH5MOImQE/edit?usp=sharing" TargetMode="External"/><Relationship Id="rId115" Type="http://schemas.openxmlformats.org/officeDocument/2006/relationships/hyperlink" Target="https://docs.google.com/document/d/1ELoa1QhTRPv7xY4B2KRb7_QtbQrdUbPaSnvKIwV70jM/edit?usp=sharing" TargetMode="External"/><Relationship Id="rId119" Type="http://schemas.openxmlformats.org/officeDocument/2006/relationships/hyperlink" Target="https://docs.google.com/document/d/1Q3qTaUazgE9lLwQqm8vUURZqmMuH72E1TFQW2NQG2kY/edit?usp=sharing" TargetMode="External"/><Relationship Id="rId110" Type="http://schemas.openxmlformats.org/officeDocument/2006/relationships/hyperlink" Target="https://docs.google.com/document/d/1BRzmkPrY-4K7f9NS6fTkubITgAmZ4yesMYBT3sI5Mdc/edit?usp=sharing" TargetMode="External"/><Relationship Id="rId114" Type="http://schemas.openxmlformats.org/officeDocument/2006/relationships/hyperlink" Target="https://docs.google.com/document/d/1crEyDPG7f_0XqK0KInVWj3it23s284T7IZ-leajieXA/edit?usp=sharing" TargetMode="External"/><Relationship Id="rId113" Type="http://schemas.openxmlformats.org/officeDocument/2006/relationships/hyperlink" Target="https://docs.google.com/document/d/14Z7_AKAFl3NTmd7F0XIN-gF5p53yZxCn0IyYOCz40v4/edit?usp=sharing" TargetMode="External"/><Relationship Id="rId112" Type="http://schemas.openxmlformats.org/officeDocument/2006/relationships/hyperlink" Target="https://docs.google.com/document/d/1hyfRHax52fI684-re7zvLxXKlCbz2hs0OFsWlsG2GWs/edit?usp=sharing" TargetMode="External"/><Relationship Id="rId111" Type="http://schemas.openxmlformats.org/officeDocument/2006/relationships/hyperlink" Target="https://docs.google.com/document/d/1kfw2EVDT_tuFmQ2la4o04ioPxfY3aQ7RyYo8xrkxJaA/edit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c3T3MfymkdkNi76muU-IvFXF9oY3jOtG4N7_5v9-OI/edit?usp=drivesdk" TargetMode="External"/><Relationship Id="rId2" Type="http://schemas.openxmlformats.org/officeDocument/2006/relationships/hyperlink" Target="https://docs.google.com/document/d/1MD4vKt2ZQWqX7YfPlQojeuYcf_boCFIM6q-CP2rB4XM/edit?usp=drivesdk" TargetMode="External"/><Relationship Id="rId3" Type="http://schemas.openxmlformats.org/officeDocument/2006/relationships/hyperlink" Target="https://docs.google.com/document/d/1Cg-pxi4TaA4xqPYFa-eNTbbuCPVGyyJvF8dGS01Kl1M/edit?usp=drivesdk" TargetMode="External"/><Relationship Id="rId4" Type="http://schemas.openxmlformats.org/officeDocument/2006/relationships/hyperlink" Target="https://docs.google.com/document/d/11xFRViUOnEBT_zPzld688O4yRp2PKlRGwx5LaJKdVzQ/edit?usp=drivesdk" TargetMode="External"/><Relationship Id="rId9" Type="http://schemas.openxmlformats.org/officeDocument/2006/relationships/hyperlink" Target="https://docs.google.com/document/d/1W3rnb1JAhlTDBkWwRXbMKuEXh5hJNF5RrAaHOtOKSzE/edit?usp=drivesdk" TargetMode="External"/><Relationship Id="rId5" Type="http://schemas.openxmlformats.org/officeDocument/2006/relationships/hyperlink" Target="https://docs.google.com/document/d/1H4CnDuuDwcwMg5JS9tgRXEIQo7OZMjjmlc73xCMdph8/edit?usp=drivesdk" TargetMode="External"/><Relationship Id="rId6" Type="http://schemas.openxmlformats.org/officeDocument/2006/relationships/hyperlink" Target="https://docs.google.com/document/d/1BSzCDksfh22ZA-W6CT-fRdHgFApRaNSjaQTOWdQfND0/edit?usp=drivesdk" TargetMode="External"/><Relationship Id="rId7" Type="http://schemas.openxmlformats.org/officeDocument/2006/relationships/hyperlink" Target="https://docs.google.com/document/d/1IvqJVVXTDmALyuYDmJl7vBncBZdhiE8SxNMvf0WIlzs/edit?usp=drivesdk" TargetMode="External"/><Relationship Id="rId8" Type="http://schemas.openxmlformats.org/officeDocument/2006/relationships/hyperlink" Target="https://docs.google.com/document/d/1g8F-5jRG-81ZEi_8FZmNfwq6CxAYL0xvst5LxvWYgkw/edit?tab=t.0" TargetMode="External"/><Relationship Id="rId40" Type="http://schemas.openxmlformats.org/officeDocument/2006/relationships/hyperlink" Target="https://docs.google.com/document/d/1GmDZnAsI-0et-O48ogIqxgdrA7XlopwNKhw4d__W5-M/edit?usp=drivesdk" TargetMode="External"/><Relationship Id="rId42" Type="http://schemas.openxmlformats.org/officeDocument/2006/relationships/hyperlink" Target="https://docs.google.com/document/d/1cIvhfmSvlZcCwx_P3nJ-yjhUsG1P0X99YHRZGwK-UMg/edit?usp=drivesdk" TargetMode="External"/><Relationship Id="rId41" Type="http://schemas.openxmlformats.org/officeDocument/2006/relationships/hyperlink" Target="https://docs.google.com/document/d/1OBF27uczIKaWaTn02-1kik1_4wu7EP5EPuP4iV0e8e8/edit?usp=drivesdk" TargetMode="External"/><Relationship Id="rId44" Type="http://schemas.openxmlformats.org/officeDocument/2006/relationships/hyperlink" Target="https://docs.google.com/document/d/1g0hEU3-pIXVMgTbxmDP7E7sSAtVPNtVIKRpsNAgU3ek/edit?usp=drivesdk" TargetMode="External"/><Relationship Id="rId43" Type="http://schemas.openxmlformats.org/officeDocument/2006/relationships/hyperlink" Target="https://docs.google.com/document/d/1EwovyVKwMADxWWM0_ycpkDgG5KtW98Z25mnFfwJOfTg/edit?usp=drivesdk" TargetMode="External"/><Relationship Id="rId46" Type="http://schemas.openxmlformats.org/officeDocument/2006/relationships/hyperlink" Target="https://docs.google.com/document/d/1quchrNqLCHGepiONa94n2Nv0BaP06nb7B2VryYpEB34/edit?usp=drivesdk" TargetMode="External"/><Relationship Id="rId45" Type="http://schemas.openxmlformats.org/officeDocument/2006/relationships/hyperlink" Target="https://docs.google.com/document/d/1viCTTSEkRINnsUpDAAQSdL7f8x23hma-4fUulDojJfw/edit?usp=drivesdk" TargetMode="External"/><Relationship Id="rId48" Type="http://schemas.openxmlformats.org/officeDocument/2006/relationships/hyperlink" Target="https://docs.google.com/document/d/17F8E8d3oGrNrBb2hw5yUe2BWsRJKS7eqVtn89z9y1YE/edit?usp=drivesdk" TargetMode="External"/><Relationship Id="rId47" Type="http://schemas.openxmlformats.org/officeDocument/2006/relationships/hyperlink" Target="https://docs.google.com/document/d/1dM6Zp8a1y5mROjlAoRCYaR7dArHSorTQ3Kc7Z5leVXs/edit?usp=drivesdk" TargetMode="External"/><Relationship Id="rId49" Type="http://schemas.openxmlformats.org/officeDocument/2006/relationships/hyperlink" Target="https://docs.google.com/document/d/1LK3xcqMSVnkXPq0tHBW21JOscz0FRxUcGi7LPQpDj5U/edit?usp=drivesdk" TargetMode="External"/><Relationship Id="rId31" Type="http://schemas.openxmlformats.org/officeDocument/2006/relationships/hyperlink" Target="https://docs.google.com/document/d/1fod8EKlkBZG-AEuLfOLlO1n0uDG0p0TVdPekgndOwIE/edit?usp=drivesdk" TargetMode="External"/><Relationship Id="rId30" Type="http://schemas.openxmlformats.org/officeDocument/2006/relationships/hyperlink" Target="https://docs.google.com/document/d/1GEwgQ-Ah4bEugla8Br3o8yLzmMCA-PCU-yfLlACEBWw/edit?usp=drivesdk" TargetMode="External"/><Relationship Id="rId33" Type="http://schemas.openxmlformats.org/officeDocument/2006/relationships/hyperlink" Target="https://docs.google.com/document/d/1ysSwMtkw9XlHoHTSGQwK_6OxHHlHvnK_JDqhSUknNzQ/edit?usp=drivesdk" TargetMode="External"/><Relationship Id="rId32" Type="http://schemas.openxmlformats.org/officeDocument/2006/relationships/hyperlink" Target="https://docs.google.com/document/d/1yvKPGjR4Kd22_KZLe-5SH2S2G1WGCcKiHCuL5WLrM68/edit?usp=drivesdk" TargetMode="External"/><Relationship Id="rId35" Type="http://schemas.openxmlformats.org/officeDocument/2006/relationships/hyperlink" Target="https://docs.google.com/document/d/1hbEYI_spdlsOQ7WSDOdBzfoNT6N7TUIIvbyG7pKwi5Y/edit?usp=drivesdk" TargetMode="External"/><Relationship Id="rId34" Type="http://schemas.openxmlformats.org/officeDocument/2006/relationships/hyperlink" Target="https://docs.google.com/document/d/1gyLC2dz08-LCs4R5indO_L5_sFvnhYB7XCNqDwJl6z4/edit?usp=drivesdk" TargetMode="External"/><Relationship Id="rId37" Type="http://schemas.openxmlformats.org/officeDocument/2006/relationships/hyperlink" Target="https://docs.google.com/document/d/1NBC3uaLbAeVrKJXdgXsp89XZf9lyG-PFIUetZulx6xg/edit?usp=drivesdk" TargetMode="External"/><Relationship Id="rId36" Type="http://schemas.openxmlformats.org/officeDocument/2006/relationships/hyperlink" Target="https://docs.google.com/document/d/18tiWoj2zK6QVJtZcvOanOZLMFWmiIJUf6qHmS4M0n1E/edit?usp=drivesdk" TargetMode="External"/><Relationship Id="rId39" Type="http://schemas.openxmlformats.org/officeDocument/2006/relationships/hyperlink" Target="https://docs.google.com/document/d/1cR3BncejclzBUZ2oanP5vsJnCPqrnCoqMIkH8bKFVxM/edit?usp=drivesdk" TargetMode="External"/><Relationship Id="rId38" Type="http://schemas.openxmlformats.org/officeDocument/2006/relationships/hyperlink" Target="https://docs.google.com/document/d/18-ITjJ4f6p0-LOcePTserqVwqy5dB8v6CUiw5WTm3NE/edit?usp=drivesdk" TargetMode="External"/><Relationship Id="rId20" Type="http://schemas.openxmlformats.org/officeDocument/2006/relationships/hyperlink" Target="https://docs.google.com/document/d/1SjBn-fM4OuWxWi_Qbdz7ocTzZJWUDDCZX3mFAY4fQ9U/edit?usp=drivesdk" TargetMode="External"/><Relationship Id="rId22" Type="http://schemas.openxmlformats.org/officeDocument/2006/relationships/hyperlink" Target="https://docs.google.com/document/d/19iygmhEtsGSPuQJzLQFW2mNEhxGk_cO6HxpbkxoGPsc/edit?usp=drivesdk" TargetMode="External"/><Relationship Id="rId21" Type="http://schemas.openxmlformats.org/officeDocument/2006/relationships/hyperlink" Target="https://docs.google.com/document/d/1dacpLVYd3LrhrmtBfdnJNFoHBfPQwrHHfiYiCrYGvIQ/edit?usp=drivesdk" TargetMode="External"/><Relationship Id="rId24" Type="http://schemas.openxmlformats.org/officeDocument/2006/relationships/hyperlink" Target="https://docs.google.com/document/d/1Zsn-fDM21tSBszI3cLKld7unQQGByUgIbW5u76hGlQI/edit?usp=drivesdk" TargetMode="External"/><Relationship Id="rId23" Type="http://schemas.openxmlformats.org/officeDocument/2006/relationships/hyperlink" Target="https://docs.google.com/document/d/1FQseOsrUtMKqMo20kGLHNKvZluKCNZ1lApZEDKDG63E/edit?usp=drivesdk" TargetMode="External"/><Relationship Id="rId26" Type="http://schemas.openxmlformats.org/officeDocument/2006/relationships/hyperlink" Target="https://docs.google.com/document/d/1Nde9CzrdoxaERhJ4BCwT5VDv0ghgy2Ye-zc1lXAAIaU/edit?usp=drivesdk" TargetMode="External"/><Relationship Id="rId25" Type="http://schemas.openxmlformats.org/officeDocument/2006/relationships/hyperlink" Target="https://docs.google.com/document/d/1py2_RerZdnH-RzMBL_TdkZt-jfI-Tay4Q2zeNUXHDuM/edit?usp=drivesdk" TargetMode="External"/><Relationship Id="rId28" Type="http://schemas.openxmlformats.org/officeDocument/2006/relationships/hyperlink" Target="https://docs.google.com/document/d/1U5CRndz9mX2-sZ9USBf9BaP5U5dEZxJMIMXywi8sNGE/edit?usp=drivesdk" TargetMode="External"/><Relationship Id="rId27" Type="http://schemas.openxmlformats.org/officeDocument/2006/relationships/hyperlink" Target="https://docs.google.com/document/d/1cKGDZrklnTTZuBsIpwC6io3b0BXcXvhrB_A_6y0RyJc/edit?usp=drivesdk" TargetMode="External"/><Relationship Id="rId29" Type="http://schemas.openxmlformats.org/officeDocument/2006/relationships/hyperlink" Target="https://docs.google.com/document/d/1qskYbktmW1TouXvT76GUk6i_0WL2Id-O1eVL9uxQc6g/edit?usp=drivesdk" TargetMode="External"/><Relationship Id="rId11" Type="http://schemas.openxmlformats.org/officeDocument/2006/relationships/hyperlink" Target="https://docs.google.com/document/d/1YHPS3pGq9AnCPsb93QvxDKVBKql_c2scIJb52YU_7x8/edit?usp=drivesdk" TargetMode="External"/><Relationship Id="rId10" Type="http://schemas.openxmlformats.org/officeDocument/2006/relationships/hyperlink" Target="https://docs.google.com/document/d/1MJEHnwMNb0H-kPToIi46avFMNLvHY1Oplit2i7-CjAY/edit?usp=drivesdk" TargetMode="External"/><Relationship Id="rId13" Type="http://schemas.openxmlformats.org/officeDocument/2006/relationships/hyperlink" Target="https://docs.google.com/document/d/1Z7G4SkFJscs2sv1hinnOmSZDzKEgf3pmDcUNmRnHxqc/edit?usp=drivesdk" TargetMode="External"/><Relationship Id="rId12" Type="http://schemas.openxmlformats.org/officeDocument/2006/relationships/hyperlink" Target="https://docs.google.com/document/d/1IGc28CUEYXoHr_bFPa9RPDgX3wiU2Fk-T4ui68R9KG8/edit?usp=drivesdk" TargetMode="External"/><Relationship Id="rId15" Type="http://schemas.openxmlformats.org/officeDocument/2006/relationships/hyperlink" Target="https://docs.google.com/document/d/1YahiXkKdIVGRmYUgOM-bJ-rML-Li0FHGEhetCS7Ztxc/edit?usp=drivesdk" TargetMode="External"/><Relationship Id="rId14" Type="http://schemas.openxmlformats.org/officeDocument/2006/relationships/hyperlink" Target="https://docs.google.com/document/d/1j22Zx_0yZOTJ1oxFyn2nS97rpjjRnsMMxmPyS2uhpzQ/edit?usp=drivesdk" TargetMode="External"/><Relationship Id="rId17" Type="http://schemas.openxmlformats.org/officeDocument/2006/relationships/hyperlink" Target="https://docs.google.com/document/d/16jXEDyRnYC0BQFWI7sPtGTCTtbWMJGALmVleevzy1yg/edit?usp=drivesdk" TargetMode="External"/><Relationship Id="rId16" Type="http://schemas.openxmlformats.org/officeDocument/2006/relationships/hyperlink" Target="https://docs.google.com/document/d/1lD9a15JSkoUqNEWc4yAAkY9U5qc9a3NCOi3Mr2eD0dk/edit?usp=drivesdk" TargetMode="External"/><Relationship Id="rId19" Type="http://schemas.openxmlformats.org/officeDocument/2006/relationships/hyperlink" Target="https://docs.google.com/document/d/141DmAKKoyjeNnEJnays8YR6kSYNpWrzCtC4XzebfUYM/edit?usp=drivesdk" TargetMode="External"/><Relationship Id="rId18" Type="http://schemas.openxmlformats.org/officeDocument/2006/relationships/hyperlink" Target="https://docs.google.com/document/d/1_D609ow8tpoS66gAPI9ruax0NuLmvRZyjOZ0W0kB3Ao/edit?usp=drivesdk" TargetMode="External"/><Relationship Id="rId72" Type="http://schemas.openxmlformats.org/officeDocument/2006/relationships/table" Target="../tables/table5.xml"/><Relationship Id="rId70" Type="http://schemas.openxmlformats.org/officeDocument/2006/relationships/drawing" Target="../drawings/drawing5.xml"/><Relationship Id="rId62" Type="http://schemas.openxmlformats.org/officeDocument/2006/relationships/hyperlink" Target="https://docs.google.com/document/d/1X8jlQa1Itn_v8cp_GHGu2WLpLy9IBHGxqoCCntrixSI/edit?usp=drivesdk" TargetMode="External"/><Relationship Id="rId61" Type="http://schemas.openxmlformats.org/officeDocument/2006/relationships/hyperlink" Target="https://docs.google.com/document/d/12jqS9CPcDt76VRLA0J2h-BAxOngrPPe5PoacaOB0Vtw/edit?usp=drivesdk" TargetMode="External"/><Relationship Id="rId64" Type="http://schemas.openxmlformats.org/officeDocument/2006/relationships/hyperlink" Target="https://docs.google.com/document/d/1gPzlJC7WtMpWSg2FU5skpZTdfiffY7GkgOyS71mymoY/edit?usp=drivesdk" TargetMode="External"/><Relationship Id="rId63" Type="http://schemas.openxmlformats.org/officeDocument/2006/relationships/hyperlink" Target="https://docs.google.com/document/d/1dyqvm2xnRBSae-SWuNxYdxIIun6hrOJMiwLDbi7cOIY/edit?usp=drivesdk" TargetMode="External"/><Relationship Id="rId66" Type="http://schemas.openxmlformats.org/officeDocument/2006/relationships/hyperlink" Target="https://docs.google.com/document/d/1r9pkyZoJ4E4pa0a7Eum00xRYoKjDu0yQKO1LwDuvE7o/edit?usp=drivesdk" TargetMode="External"/><Relationship Id="rId65" Type="http://schemas.openxmlformats.org/officeDocument/2006/relationships/hyperlink" Target="https://docs.google.com/document/d/11_Mxq1JoJD3lMn1q98LRu2wiqXDcN3eF9oOKVoMDEpw/edit?usp=drivesdk" TargetMode="External"/><Relationship Id="rId68" Type="http://schemas.openxmlformats.org/officeDocument/2006/relationships/hyperlink" Target="https://docs.google.com/document/d/10d1_HNFhLrWa0RFBNQ9sJiYjG9EEHCqfSvV537DNSD4/edit?usp=drivesdk" TargetMode="External"/><Relationship Id="rId67" Type="http://schemas.openxmlformats.org/officeDocument/2006/relationships/hyperlink" Target="https://docs.google.com/document/d/1jH8xbbFYobjqYLoMcoKrUUjG8ix_8e3hNo50pYc4bKc/edit?usp=drivesdk" TargetMode="External"/><Relationship Id="rId60" Type="http://schemas.openxmlformats.org/officeDocument/2006/relationships/hyperlink" Target="https://docs.google.com/document/d/1azcgmQvYmry9OxnQr7Un_vB01TziFdSuhiNj2Yth5hM/edit?usp=drivesdk" TargetMode="External"/><Relationship Id="rId69" Type="http://schemas.openxmlformats.org/officeDocument/2006/relationships/hyperlink" Target="https://docs.google.com/document/d/1sQFymd2FffLYyZCnGlu7qJ4_vOOyFNx4VnnU9QhxdfQ/edit?usp=drivesdk" TargetMode="External"/><Relationship Id="rId51" Type="http://schemas.openxmlformats.org/officeDocument/2006/relationships/hyperlink" Target="https://docs.google.com/document/d/18MWgO1buvWk8nQI37xxjszKjW0ggDc9z9OWFCC9FOSE/edit?usp=drivesdk" TargetMode="External"/><Relationship Id="rId50" Type="http://schemas.openxmlformats.org/officeDocument/2006/relationships/hyperlink" Target="https://docs.google.com/document/d/11D0stAmTjOlqe3DuSxSukTmCpm3DzjH8MxlmM0Eyfa0/edit?usp=drivesdk" TargetMode="External"/><Relationship Id="rId53" Type="http://schemas.openxmlformats.org/officeDocument/2006/relationships/hyperlink" Target="https://docs.google.com/document/d/1Jk9-b9kyaRW2sIDqnwUFYpOBKDLoS2gM7AWuBcHQTK4/edit?usp=drivesdk" TargetMode="External"/><Relationship Id="rId52" Type="http://schemas.openxmlformats.org/officeDocument/2006/relationships/hyperlink" Target="https://docs.google.com/document/d/1IQuM08vsAqb1Y1OB5s09NztU_jbbLoqT1Irk1xwyymk/edit?usp=drivesdk" TargetMode="External"/><Relationship Id="rId55" Type="http://schemas.openxmlformats.org/officeDocument/2006/relationships/hyperlink" Target="https://docs.google.com/document/d/1CA94GxrudcvCP8NP_vrGKNc8pA8Rg2kXsUuizU2635w/edit?usp=drivesdk" TargetMode="External"/><Relationship Id="rId54" Type="http://schemas.openxmlformats.org/officeDocument/2006/relationships/hyperlink" Target="https://docs.google.com/document/d/1jNNWQMM1K-JNX3kpQHr-uTGcWSe-418PO4kp2KM2Mek/edit?usp=drivesdk" TargetMode="External"/><Relationship Id="rId57" Type="http://schemas.openxmlformats.org/officeDocument/2006/relationships/hyperlink" Target="https://docs.google.com/document/d/1MJt_gJQOI_OL1L5eeVf9u_-1nKWpxq6J0MkRYXnDonU/edit?usp=drivesdk" TargetMode="External"/><Relationship Id="rId56" Type="http://schemas.openxmlformats.org/officeDocument/2006/relationships/hyperlink" Target="https://docs.google.com/document/d/1eH41u6Z_wfrEHrbjQdd9GH6WZt6mzTFcN6xi7p5fHPk/edit?usp=drivesdk" TargetMode="External"/><Relationship Id="rId59" Type="http://schemas.openxmlformats.org/officeDocument/2006/relationships/hyperlink" Target="https://docs.google.com/document/d/1PUGOslj04Gira5ColPtvxI9dISq__wjTwGvM6cgJDzo/edit?usp=drivesdk" TargetMode="External"/><Relationship Id="rId58" Type="http://schemas.openxmlformats.org/officeDocument/2006/relationships/hyperlink" Target="https://docs.google.com/document/d/1KwOPrq7ZnF0iihBSj364cchnPHB3g1tQ24mXnpuxpnk/edit?usp=drivesd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wA3C4sLhh6AgXzopg8bicj0mXTaouOY-CI7llsmeHU/edit?tab=t.0" TargetMode="External"/><Relationship Id="rId2" Type="http://schemas.openxmlformats.org/officeDocument/2006/relationships/hyperlink" Target="https://docs.google.com/document/d/1g9qkJm1JWRZnNc8K9G-Uxdkk8x_mBdqBJzs5XfY_eDA/edit?tab=t.0" TargetMode="External"/><Relationship Id="rId3" Type="http://schemas.openxmlformats.org/officeDocument/2006/relationships/hyperlink" Target="https://docs.google.com/document/d/1fMFdvXachGDtyak_UDLjTqjsPv8dJU-8h8riaob89KM/edit?tab=t.0" TargetMode="External"/><Relationship Id="rId4" Type="http://schemas.openxmlformats.org/officeDocument/2006/relationships/hyperlink" Target="https://docs.google.com/document/d/136SMbtvX3TL4Cj5B8n8miIXkxwe4gUR4X2iSv7S4rO8/edit?tab=t.0" TargetMode="External"/><Relationship Id="rId9" Type="http://schemas.openxmlformats.org/officeDocument/2006/relationships/hyperlink" Target="https://docs.google.com/document/d/1gW_EXGpkSe2_Y5up1f8c7DGMtM6Xb1nMiakPkC-zr9c/edit?tab=t.0" TargetMode="External"/><Relationship Id="rId5" Type="http://schemas.openxmlformats.org/officeDocument/2006/relationships/hyperlink" Target="https://docs.google.com/document/d/12yOIFO9Hc3lXlVyYyL4zOaaW2R_BdHBvgyplmpg2HVo/edit?tab=t.0" TargetMode="External"/><Relationship Id="rId6" Type="http://schemas.openxmlformats.org/officeDocument/2006/relationships/hyperlink" Target="https://docs.google.com/document/d/1HtzEQxfI4NIAUGVm294-5-2cYK9FJMhe8kG-q5hwniQ/edit?tab=t.0" TargetMode="External"/><Relationship Id="rId7" Type="http://schemas.openxmlformats.org/officeDocument/2006/relationships/hyperlink" Target="https://docs.google.com/document/d/1WNu7Cyk_CX0yd-KTveK1mhJ7xL5DhL0u4yqOI9OoKps/edit?tab=t.0" TargetMode="External"/><Relationship Id="rId8" Type="http://schemas.openxmlformats.org/officeDocument/2006/relationships/hyperlink" Target="https://docs.google.com/document/d/1FChC5lKKlcfwOPMJMUHK78mBVTrB_tiworHHjIiS8_Y/edit?tab=t.0" TargetMode="External"/><Relationship Id="rId40" Type="http://schemas.openxmlformats.org/officeDocument/2006/relationships/hyperlink" Target="https://docs.google.com/document/d/1r5GdYSSVmM4s2x4lpbeB7GN2ryRh07hfEON5MeHY5TU/edit?tab=t.0" TargetMode="External"/><Relationship Id="rId42" Type="http://schemas.openxmlformats.org/officeDocument/2006/relationships/hyperlink" Target="https://docs.google.com/document/d/1pWuheGDgrS9z3oKLNJ2QaVLoSvY682BD_9Wca9h7qtk/edit?tab=t.0" TargetMode="External"/><Relationship Id="rId41" Type="http://schemas.openxmlformats.org/officeDocument/2006/relationships/hyperlink" Target="https://docs.google.com/document/d/1mRMP_d1RnyR2VFJVUfelYJSN1lvShuZ-6xa11YnGlWE/edit?tab=t.0" TargetMode="External"/><Relationship Id="rId44" Type="http://schemas.openxmlformats.org/officeDocument/2006/relationships/hyperlink" Target="https://docs.google.com/document/d/1EOJTregGxriInA1A_ZMlo5O21BTMoJ9V-ZxlFph0ybQ/edit?tab=t.0" TargetMode="External"/><Relationship Id="rId43" Type="http://schemas.openxmlformats.org/officeDocument/2006/relationships/hyperlink" Target="https://docs.google.com/document/d/129WbEOC8OLCDbzY8FNFRP9eZLzrYIytMh5qd-ugrKeA/edit?tab=t.0" TargetMode="External"/><Relationship Id="rId46" Type="http://schemas.openxmlformats.org/officeDocument/2006/relationships/hyperlink" Target="https://docs.google.com/document/d/1NGrTRrS8NLaBAYL0CMZ9BXI4W99t71VWsqmVSOJSCCI/edit?tab=t.0" TargetMode="External"/><Relationship Id="rId45" Type="http://schemas.openxmlformats.org/officeDocument/2006/relationships/hyperlink" Target="https://docs.google.com/document/d/1TuWrmHDQG0B8cDSHAajLv_nuBGxt4QylHcdm7u2pSqE/edit?usp=sharing" TargetMode="External"/><Relationship Id="rId48" Type="http://schemas.openxmlformats.org/officeDocument/2006/relationships/hyperlink" Target="https://docs.google.com/document/d/129CR5LlITMzRfQ0-ceekbC4hAVVMG8Zi_RXypmdhIuI/edit?tab=t.0" TargetMode="External"/><Relationship Id="rId47" Type="http://schemas.openxmlformats.org/officeDocument/2006/relationships/hyperlink" Target="https://docs.google.com/document/d/1XkoZRZYTZtCw9mFuV7U6sPx0gO3_qmUr5kwO2HmMm6o/edit?usp=sharing" TargetMode="External"/><Relationship Id="rId49" Type="http://schemas.openxmlformats.org/officeDocument/2006/relationships/hyperlink" Target="https://docs.google.com/document/d/1kK0Ed5Xb0k1KL0UZfA2SORvd0Ne_tKcCKIG3HES5zy4/edit?tab=t.0" TargetMode="External"/><Relationship Id="rId31" Type="http://schemas.openxmlformats.org/officeDocument/2006/relationships/hyperlink" Target="https://docs.google.com/document/d/1b_RgaW-9UCNiTM50ldow1WNLeivh6w_tgiWEEs0Lkg4/edit?tab=t.0" TargetMode="External"/><Relationship Id="rId30" Type="http://schemas.openxmlformats.org/officeDocument/2006/relationships/hyperlink" Target="https://docs.google.com/document/d/1rJHZSvk_7jGgi8u-pR7VZm12_hT4SqYDsgX2cOvLqE8/edit?tab=t.0" TargetMode="External"/><Relationship Id="rId33" Type="http://schemas.openxmlformats.org/officeDocument/2006/relationships/hyperlink" Target="https://docs.google.com/document/d/1zPw8Zfr98kjQUxz1f9zZYGpikX0vPV5fNylvqLkLIGI/edit?tab=t.0" TargetMode="External"/><Relationship Id="rId32" Type="http://schemas.openxmlformats.org/officeDocument/2006/relationships/hyperlink" Target="https://docs.google.com/document/d/1-Lcruo5ljFzJVci_Tk-TOeAfKjvtqP1bJF4UY58U-r4/edit?tab=t.0" TargetMode="External"/><Relationship Id="rId35" Type="http://schemas.openxmlformats.org/officeDocument/2006/relationships/hyperlink" Target="https://docs.google.com/document/d/1Q2JSvqPvvAFnjlutBohyWwKn1mwjm4gvVKyx99SgLfU/edit?tab=t.0" TargetMode="External"/><Relationship Id="rId34" Type="http://schemas.openxmlformats.org/officeDocument/2006/relationships/hyperlink" Target="https://docs.google.com/document/d/1zT_mfHgHkhbnWdDTbCC5iedQ8UcQE042JaEIOC0-Zrk/edit?tab=t.0" TargetMode="External"/><Relationship Id="rId37" Type="http://schemas.openxmlformats.org/officeDocument/2006/relationships/hyperlink" Target="https://docs.google.com/document/d/1xVbH47ibZ9li1jq8nP-jxwgBDVPbB6K58Z0g10KOPr8/edit?tab=t.0" TargetMode="External"/><Relationship Id="rId36" Type="http://schemas.openxmlformats.org/officeDocument/2006/relationships/hyperlink" Target="https://docs.google.com/document/d/1_eI_7yyf9oa3VPmio_yctFgsNo-Bai4mWIvSxme_oUI/edit?tab=t.0" TargetMode="External"/><Relationship Id="rId39" Type="http://schemas.openxmlformats.org/officeDocument/2006/relationships/hyperlink" Target="https://docs.google.com/document/d/1Jb5ymGjxU3kv79KarXQZYoP7hpF7VeAki-qGiuF0b8o/edit?tab=t.0" TargetMode="External"/><Relationship Id="rId38" Type="http://schemas.openxmlformats.org/officeDocument/2006/relationships/hyperlink" Target="https://docs.google.com/document/d/1R0OuFwKDTSHwj-spoYOjBF1EYgGhVfO4rj1PiVA0xV0/edit?tab=t.0" TargetMode="External"/><Relationship Id="rId20" Type="http://schemas.openxmlformats.org/officeDocument/2006/relationships/hyperlink" Target="https://docs.google.com/document/d/1UAXijAIE_KgioMdFnpJ3o33NhFhbrC1JfbDxHDAOUvs/edit?tab=t.0" TargetMode="External"/><Relationship Id="rId22" Type="http://schemas.openxmlformats.org/officeDocument/2006/relationships/hyperlink" Target="https://docs.google.com/document/d/1B-k6PK34SP6ONYfk4qpXAGipac6GwiuF9nUmyQWTmak/edit?tab=t.0" TargetMode="External"/><Relationship Id="rId21" Type="http://schemas.openxmlformats.org/officeDocument/2006/relationships/hyperlink" Target="https://docs.google.com/document/d/1NB8XufaILagXcrmdAimDWR-rogYLQtSpvRTYBPtcaRo/edit?tab=t.0" TargetMode="External"/><Relationship Id="rId24" Type="http://schemas.openxmlformats.org/officeDocument/2006/relationships/hyperlink" Target="https://docs.google.com/document/d/15GlHt0TOCeYUfGOgOrTVVyf6Gdj6A2frJMmeHl4gw54/edit?tab=t.0" TargetMode="External"/><Relationship Id="rId23" Type="http://schemas.openxmlformats.org/officeDocument/2006/relationships/hyperlink" Target="https://docs.google.com/document/d/1PvCdXPMSknCW9u_KnjAgNv-i81OcgfcDq3tU7LVFf4c/edit?tab=t.0" TargetMode="External"/><Relationship Id="rId26" Type="http://schemas.openxmlformats.org/officeDocument/2006/relationships/hyperlink" Target="https://docs.google.com/document/d/1MONAAMhrzI1AIle8BsD1q-yobhUClb32KYUBoJ7yoaM/edit?tab=t.0" TargetMode="External"/><Relationship Id="rId25" Type="http://schemas.openxmlformats.org/officeDocument/2006/relationships/hyperlink" Target="https://docs.google.com/document/d/1sXzMp55HHwyZhUaflDk_ynWTkd2LpN6_nVIFagYDum4/edit?tab=t.0" TargetMode="External"/><Relationship Id="rId28" Type="http://schemas.openxmlformats.org/officeDocument/2006/relationships/hyperlink" Target="https://docs.google.com/document/d/1E_OV4Mro0vek_NSCMZPP4kCsW9Z5qbTX4jJzOtCiHZY/edit?tab=t.0" TargetMode="External"/><Relationship Id="rId27" Type="http://schemas.openxmlformats.org/officeDocument/2006/relationships/hyperlink" Target="https://docs.google.com/document/d/1es5OHEvaDxyy_XrYins0EXSxtBFIKPer9jyDGHbAFhM/edit?tab=t.0" TargetMode="External"/><Relationship Id="rId29" Type="http://schemas.openxmlformats.org/officeDocument/2006/relationships/hyperlink" Target="https://docs.google.com/document/d/1bWDLC_S1dDdqUJIl6l8SadiOJ_wEc2KGgd1yRhuL91c/edit?tab=t.0" TargetMode="External"/><Relationship Id="rId11" Type="http://schemas.openxmlformats.org/officeDocument/2006/relationships/hyperlink" Target="https://docs.google.com/document/d/1uXyLnw8hd1fBYCW7sxMp0YnsQncnUuG1a4gA-FGNX0Q/edit?tab=t.0" TargetMode="External"/><Relationship Id="rId10" Type="http://schemas.openxmlformats.org/officeDocument/2006/relationships/hyperlink" Target="https://docs.google.com/document/d/1ZVM2nG5A0QpryZ7a7SN7THwKSatwlik4_oLgFDGnrHQ/edit?tab=t.0" TargetMode="External"/><Relationship Id="rId13" Type="http://schemas.openxmlformats.org/officeDocument/2006/relationships/hyperlink" Target="https://docs.google.com/document/d/1v6M6NA7UTXTt-9f8yhvKPLRJ9Zr_LobMfCv6MzzVjYU/edit?tab=t.0" TargetMode="External"/><Relationship Id="rId12" Type="http://schemas.openxmlformats.org/officeDocument/2006/relationships/hyperlink" Target="https://docs.google.com/document/d/1bKxe1ycKmo9cuWtnuOPOjlrPx29JYMR1Nj9Yznf_MaU/edit?tab=t.0" TargetMode="External"/><Relationship Id="rId15" Type="http://schemas.openxmlformats.org/officeDocument/2006/relationships/hyperlink" Target="https://docs.google.com/document/d/1DRDWKmmjSOvXTvSCfoda4qfFTETdDDY0ftrb1BkuuVU/edit?tab=t.0" TargetMode="External"/><Relationship Id="rId14" Type="http://schemas.openxmlformats.org/officeDocument/2006/relationships/hyperlink" Target="https://docs.google.com/document/d/1QSjLqNBg4UULazz3KLHCdoUvo5_37rPn72UHRCLXC-U/edit?tab=t.0" TargetMode="External"/><Relationship Id="rId17" Type="http://schemas.openxmlformats.org/officeDocument/2006/relationships/hyperlink" Target="https://docs.google.com/document/d/1t4vXE490j6K036vvo7qtTwSiVZcwn_UGE-CkkPg7csw/edit?tab=t.0" TargetMode="External"/><Relationship Id="rId16" Type="http://schemas.openxmlformats.org/officeDocument/2006/relationships/hyperlink" Target="https://docs.google.com/document/d/196Sv2BVHhpvzaSjUz7JM9ou9oQ7qXN_KszUVGpjnL5Q/edit?tab=t.0" TargetMode="External"/><Relationship Id="rId19" Type="http://schemas.openxmlformats.org/officeDocument/2006/relationships/hyperlink" Target="https://docs.google.com/document/d/1tScJgq0LFTGK-9y3qRP8nSzpLJwxFlWml9gSP56CN-k/edit?tab=t.0" TargetMode="External"/><Relationship Id="rId18" Type="http://schemas.openxmlformats.org/officeDocument/2006/relationships/hyperlink" Target="https://docs.google.com/document/d/1t5yaIXJrE8jZ9lhDjW0V7L8XSaWXoI241xlMwXmphVQ/edit?tab=t.0" TargetMode="External"/><Relationship Id="rId84" Type="http://schemas.openxmlformats.org/officeDocument/2006/relationships/table" Target="../tables/table6.xml"/><Relationship Id="rId86" Type="http://schemas.openxmlformats.org/officeDocument/2006/relationships/table" Target="../tables/table8.xml"/><Relationship Id="rId85" Type="http://schemas.openxmlformats.org/officeDocument/2006/relationships/table" Target="../tables/table7.xml"/><Relationship Id="rId88" Type="http://schemas.openxmlformats.org/officeDocument/2006/relationships/table" Target="../tables/table10.xml"/><Relationship Id="rId87" Type="http://schemas.openxmlformats.org/officeDocument/2006/relationships/table" Target="../tables/table9.xml"/><Relationship Id="rId89" Type="http://schemas.openxmlformats.org/officeDocument/2006/relationships/table" Target="../tables/table11.xml"/><Relationship Id="rId73" Type="http://schemas.openxmlformats.org/officeDocument/2006/relationships/hyperlink" Target="https://docs.google.com/document/d/1iQk879LN0LGJVBypwfFb2qTSlmBtnlceQXhcCxoivHQ/edit?usp=sharing" TargetMode="External"/><Relationship Id="rId72" Type="http://schemas.openxmlformats.org/officeDocument/2006/relationships/hyperlink" Target="https://docs.google.com/document/d/1HJKzaTjwfBvmHn0nrO_YCBoJfDg9m_2Ysi8mmb7NiZs/edit?usp=sharing" TargetMode="External"/><Relationship Id="rId75" Type="http://schemas.openxmlformats.org/officeDocument/2006/relationships/hyperlink" Target="https://docs.google.com/document/d/15hz2PSF-2gug1lvBVLr7b30e7p5j2nYP9lcgi6OVZIg/edit?tab=t.0" TargetMode="External"/><Relationship Id="rId74" Type="http://schemas.openxmlformats.org/officeDocument/2006/relationships/hyperlink" Target="https://docs.google.com/document/d/1nXFlt5PN8DmKMyAgcX4HUwwXDZjhKr3YX5LL-EjpR5E/edit?tab=t.0" TargetMode="External"/><Relationship Id="rId77" Type="http://schemas.openxmlformats.org/officeDocument/2006/relationships/drawing" Target="../drawings/drawing6.xml"/><Relationship Id="rId76" Type="http://schemas.openxmlformats.org/officeDocument/2006/relationships/hyperlink" Target="https://docs.google.com/document/d/1cHwMOxnJExCciaKMyRceJkRibKUdvBNCPTVFTK8y0fE/edit?tab=t.0" TargetMode="External"/><Relationship Id="rId71" Type="http://schemas.openxmlformats.org/officeDocument/2006/relationships/hyperlink" Target="https://docs.google.com/document/d/1KsUZiEOpey8CauwBJNMim9b7gTbcYdB7kkQmJUa8kP0/edit?usp=sharing" TargetMode="External"/><Relationship Id="rId70" Type="http://schemas.openxmlformats.org/officeDocument/2006/relationships/hyperlink" Target="https://docs.google.com/document/d/1TypYMg3aYXCbvMtvL4Kecfq4ZczuTgRbJoXE0MWp8h8/edit?usp=sharing" TargetMode="External"/><Relationship Id="rId62" Type="http://schemas.openxmlformats.org/officeDocument/2006/relationships/hyperlink" Target="https://docs.google.com/document/d/1Lf-LbXOi-qB-iaZZeumqmCheNk3IVriVuYCFtobORA0/edit?tab=t.0" TargetMode="External"/><Relationship Id="rId61" Type="http://schemas.openxmlformats.org/officeDocument/2006/relationships/hyperlink" Target="https://docs.google.com/document/d/1w6jTgO3RJfzf-x01EvkuPqKmjHIeul8R4Gh4WhbSbiE/edit?tab=t.0" TargetMode="External"/><Relationship Id="rId64" Type="http://schemas.openxmlformats.org/officeDocument/2006/relationships/hyperlink" Target="https://docs.google.com/document/d/1dyP1DzjpVtL4dEedf_0GH93y3aGmSGBvCrAH0ja_CyQ/edit?tab=t.0" TargetMode="External"/><Relationship Id="rId63" Type="http://schemas.openxmlformats.org/officeDocument/2006/relationships/hyperlink" Target="https://docs.google.com/document/d/1oHoo0h0KIE9ZojSF9tN8i-whNzw1nD7doKEFA7u9CJM/edit?usp=sharing" TargetMode="External"/><Relationship Id="rId66" Type="http://schemas.openxmlformats.org/officeDocument/2006/relationships/hyperlink" Target="https://docs.google.com/document/d/1NtlzGZDLfNlt1971pPrT4aFEB86nNTHmGbbDZtSIAKk/edit?usp=sharing" TargetMode="External"/><Relationship Id="rId65" Type="http://schemas.openxmlformats.org/officeDocument/2006/relationships/hyperlink" Target="https://docs.google.com/document/d/1-yIpC01ZGDcoSgBQczirpYBq5zg0qIol8COZIov61RQ/edit?usp=sharing" TargetMode="External"/><Relationship Id="rId68" Type="http://schemas.openxmlformats.org/officeDocument/2006/relationships/hyperlink" Target="https://docs.google.com/document/d/1IcU39YlcONko4OhP92nIf2FY_6RStNqsi3fxy-nVFhw/edit?usp=sharing" TargetMode="External"/><Relationship Id="rId67" Type="http://schemas.openxmlformats.org/officeDocument/2006/relationships/hyperlink" Target="https://docs.google.com/document/d/1xPan_0giyffBX4xkJJkx1CbbXnWtbmRsjkDBBx6vTFY/edit?usp=sharing" TargetMode="External"/><Relationship Id="rId60" Type="http://schemas.openxmlformats.org/officeDocument/2006/relationships/hyperlink" Target="https://docs.google.com/document/d/1RZeYAuufxwMiCdA-lLrG6KxYBPvONNJ90nnjpmOoD8g/edit?tab=t.0" TargetMode="External"/><Relationship Id="rId69" Type="http://schemas.openxmlformats.org/officeDocument/2006/relationships/hyperlink" Target="https://docs.google.com/document/d/1JQuoQnXo77V-gAoncDa2yTF-WFWwq7xoUi0JIb1gglI/edit?usp=sharing" TargetMode="External"/><Relationship Id="rId51" Type="http://schemas.openxmlformats.org/officeDocument/2006/relationships/hyperlink" Target="https://docs.google.com/document/d/17wJKrF-qMTsQxVnpPPLODqvJrzsIbF7SqjjwgrUQd90/edit?tab=t.0" TargetMode="External"/><Relationship Id="rId50" Type="http://schemas.openxmlformats.org/officeDocument/2006/relationships/hyperlink" Target="https://docs.google.com/document/d/1JSI182IsN0SjFEkKpXgdw47JPfdq9s9aMiw--Cmob1g/edit?tab=t.0" TargetMode="External"/><Relationship Id="rId53" Type="http://schemas.openxmlformats.org/officeDocument/2006/relationships/hyperlink" Target="https://docs.google.com/document/d/1_T-CuLyo7nWjfkrZgrfHthCQnf3_5agttdRGdfiO-3M/edit?tab=t.0" TargetMode="External"/><Relationship Id="rId52" Type="http://schemas.openxmlformats.org/officeDocument/2006/relationships/hyperlink" Target="https://docs.google.com/document/d/1IkCwwX8gwQKwgozKKGhEbDbVIrqIZ2qZt5Njy0mLe2A/edit?tab=t.0" TargetMode="External"/><Relationship Id="rId55" Type="http://schemas.openxmlformats.org/officeDocument/2006/relationships/hyperlink" Target="https://docs.google.com/document/d/1ubq0Ip7xPVyg8ZBjIfFDcaQ1VmWNf-BxLe8ivWxflmQ/edit?tab=t.0" TargetMode="External"/><Relationship Id="rId54" Type="http://schemas.openxmlformats.org/officeDocument/2006/relationships/hyperlink" Target="https://docs.google.com/document/d/1JRZn0K39ppYXfl4VxkmDOzu1LmcwBe1zyBzTdcKm8WA/edit?tab=t.0" TargetMode="External"/><Relationship Id="rId57" Type="http://schemas.openxmlformats.org/officeDocument/2006/relationships/hyperlink" Target="https://docs.google.com/document/d/1o23ao31TurwoyYl_Fxn4HKpRIQ5AZViwXjLqiK9LHcc/edit?tab=t.0" TargetMode="External"/><Relationship Id="rId56" Type="http://schemas.openxmlformats.org/officeDocument/2006/relationships/hyperlink" Target="https://docs.google.com/document/d/1a2t2xh-Q_GbId736HdtjCusOSHNyn2NFhJYQLCrw0Qg/edit?tab=t.0" TargetMode="External"/><Relationship Id="rId59" Type="http://schemas.openxmlformats.org/officeDocument/2006/relationships/hyperlink" Target="https://docs.google.com/document/d/1kZ8sC95ZVys9F7tzKPfFAOA9ZTL8W7zP-Ie392VQKTk/edit?tab=t.0" TargetMode="External"/><Relationship Id="rId58" Type="http://schemas.openxmlformats.org/officeDocument/2006/relationships/hyperlink" Target="https://docs.google.com/document/d/1uKnkM18Fe91cFflSBe0nc4YXygjnGQozE03oMr8vpH4/edit?tab=t.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5qIbL8EqkYecD8xmNsC_kTkMe29yBIrWPoEF_6kHtto/edit?usp=sharing" TargetMode="External"/><Relationship Id="rId2" Type="http://schemas.openxmlformats.org/officeDocument/2006/relationships/hyperlink" Target="https://docs.google.com/document/d/1uAH3ykAbKawbzM_wfwn9AYQ_fp4j1HibtJPXpJZtjOU/edit?usp=sharing" TargetMode="External"/><Relationship Id="rId3" Type="http://schemas.openxmlformats.org/officeDocument/2006/relationships/hyperlink" Target="https://docs.google.com/document/d/1REAXMG0es5KNvHeF-KAsTxul7WHsXn6y-H12x460mng/edit?usp=sharing" TargetMode="External"/><Relationship Id="rId4" Type="http://schemas.openxmlformats.org/officeDocument/2006/relationships/hyperlink" Target="https://docs.google.com/document/d/1nlkDUjK4f2dbu3E3yMwYkk8VhWAlpqNkTprb-q4o_rw/edit?usp=sharing" TargetMode="External"/><Relationship Id="rId9" Type="http://schemas.openxmlformats.org/officeDocument/2006/relationships/hyperlink" Target="https://docs.google.com/document/d/1paIhZipVKAvm_NxzkVLzS3a8DtPRoJonkdvzfHoWmrI/edit?usp=sharing" TargetMode="External"/><Relationship Id="rId5" Type="http://schemas.openxmlformats.org/officeDocument/2006/relationships/hyperlink" Target="https://docs.google.com/document/d/1p6FbS35eOdJX4G5UmJlySPAi66eKpChvJtpZ2RCtn0s/edit?usp=sharing" TargetMode="External"/><Relationship Id="rId6" Type="http://schemas.openxmlformats.org/officeDocument/2006/relationships/hyperlink" Target="https://docs.google.com/document/d/13AGnN7-A4DwLwb8t7WqtzcF3aSk3R5f5pEdD2SMe_dE/edit?usp=sharing" TargetMode="External"/><Relationship Id="rId7" Type="http://schemas.openxmlformats.org/officeDocument/2006/relationships/hyperlink" Target="https://docs.google.com/document/d/1tw1BYXESqh0wP9bkhQBi4V1R3etBrR0QP_d9R6VH1fU/edit?usp=sharing" TargetMode="External"/><Relationship Id="rId8" Type="http://schemas.openxmlformats.org/officeDocument/2006/relationships/hyperlink" Target="https://docs.google.com/document/d/1kA7lEu7PdLCfWjo5mzgEk9bw7rm4B8A2fmokR6EtvjI/edit?usp=sharing" TargetMode="External"/><Relationship Id="rId40" Type="http://schemas.openxmlformats.org/officeDocument/2006/relationships/table" Target="../tables/table15.xml"/><Relationship Id="rId42" Type="http://schemas.openxmlformats.org/officeDocument/2006/relationships/table" Target="../tables/table17.xml"/><Relationship Id="rId41" Type="http://schemas.openxmlformats.org/officeDocument/2006/relationships/table" Target="../tables/table16.xml"/><Relationship Id="rId30" Type="http://schemas.openxmlformats.org/officeDocument/2006/relationships/drawing" Target="../drawings/drawing9.xml"/><Relationship Id="rId37" Type="http://schemas.openxmlformats.org/officeDocument/2006/relationships/table" Target="../tables/table12.xml"/><Relationship Id="rId39" Type="http://schemas.openxmlformats.org/officeDocument/2006/relationships/table" Target="../tables/table14.xml"/><Relationship Id="rId38" Type="http://schemas.openxmlformats.org/officeDocument/2006/relationships/table" Target="../tables/table13.xml"/><Relationship Id="rId20" Type="http://schemas.openxmlformats.org/officeDocument/2006/relationships/hyperlink" Target="https://docs.google.com/document/d/1ubk1wW-1mElYA-372--VhpvqOQiUdh5QFXC_BduMTa0/edit?usp=sharing" TargetMode="External"/><Relationship Id="rId22" Type="http://schemas.openxmlformats.org/officeDocument/2006/relationships/hyperlink" Target="https://docs.google.com/document/d/1vteeac6aA8eiuiUJ8iHe6n1MzFrmrTpdV2sh0idIupY/edit?usp=sharing" TargetMode="External"/><Relationship Id="rId21" Type="http://schemas.openxmlformats.org/officeDocument/2006/relationships/hyperlink" Target="https://docs.google.com/document/d/1L9HSPspX9R4zKi8QK1MZuYY0iQp2DRH5GFRrvjkeOLs/edit?usp=sharing" TargetMode="External"/><Relationship Id="rId24" Type="http://schemas.openxmlformats.org/officeDocument/2006/relationships/hyperlink" Target="https://docs.google.com/document/d/14l3RtkaGRNNZ_I7ulRJYn7dDOhlXgk4hre3-ij3lRbQ/edit?usp=sharing" TargetMode="External"/><Relationship Id="rId23" Type="http://schemas.openxmlformats.org/officeDocument/2006/relationships/hyperlink" Target="https://docs.google.com/document/d/1cXkin868abmMBNGqgxRbfwpBvp__EyksqLQ9mPJaLxA/edit?usp=sharing" TargetMode="External"/><Relationship Id="rId26" Type="http://schemas.openxmlformats.org/officeDocument/2006/relationships/hyperlink" Target="https://docs.google.com/document/d/1-OPncysgZtsXtKEyiniZ2gSmzQDiG_DgZ38ohiQ24kM/edit?usp=sharing" TargetMode="External"/><Relationship Id="rId25" Type="http://schemas.openxmlformats.org/officeDocument/2006/relationships/hyperlink" Target="https://docs.google.com/document/d/1SKPH9CgKJRwvJtRhzpxB_dS6MlzgksszSCgZPThJZQk/edit?usp=sharing" TargetMode="External"/><Relationship Id="rId28" Type="http://schemas.openxmlformats.org/officeDocument/2006/relationships/hyperlink" Target="https://docs.google.com/document/d/12LmUlhImDvJNn0V1MKO4HEy6bRM_N22I7irWYQHppRQ/edit?usp=sharing" TargetMode="External"/><Relationship Id="rId27" Type="http://schemas.openxmlformats.org/officeDocument/2006/relationships/hyperlink" Target="https://docs.google.com/document/d/1FYLPBZh9jqZeJJiQgqAdfOq1nQPZSFqldtD-swYXk0s/edit?usp=sharing" TargetMode="External"/><Relationship Id="rId29" Type="http://schemas.openxmlformats.org/officeDocument/2006/relationships/hyperlink" Target="https://docs.google.com/document/d/1AEURLeT-OST2QAG-jZMSk3SeOSMAZYVFkJ2p4yrSbkw/edit?usp=sharing" TargetMode="External"/><Relationship Id="rId11" Type="http://schemas.openxmlformats.org/officeDocument/2006/relationships/hyperlink" Target="https://docs.google.com/document/d/1aOPRpMvvQewirm47rXVCTEB-xFW7SKdTHnDsy40Ie0o/edit?usp=sharing" TargetMode="External"/><Relationship Id="rId10" Type="http://schemas.openxmlformats.org/officeDocument/2006/relationships/hyperlink" Target="https://docs.google.com/document/d/16HUEAj4hDXhu6YcxeOlYhOKJyT8jY-eWNZLthHortcw/edit?usp=sharing" TargetMode="External"/><Relationship Id="rId13" Type="http://schemas.openxmlformats.org/officeDocument/2006/relationships/hyperlink" Target="https://docs.google.com/document/d/1LHtpVf3NdAI-vAH9vaeB8Rj2K3uRud5DL47eGjvvoxU/edit?usp=sharing" TargetMode="External"/><Relationship Id="rId12" Type="http://schemas.openxmlformats.org/officeDocument/2006/relationships/hyperlink" Target="https://docs.google.com/document/d/1quEnHGdTJcq9hhALJ1AJUKQ-azpep4kmgHwXiKRMJ5A/edit?usp=sharing" TargetMode="External"/><Relationship Id="rId15" Type="http://schemas.openxmlformats.org/officeDocument/2006/relationships/hyperlink" Target="https://docs.google.com/document/d/1BRzmkPrY-4K7f9NS6fTkubITgAmZ4yesMYBT3sI5Mdc/edit?usp=sharing" TargetMode="External"/><Relationship Id="rId14" Type="http://schemas.openxmlformats.org/officeDocument/2006/relationships/hyperlink" Target="https://docs.google.com/document/d/1NMY6AVs3XJ5H-UpmXMShvrtxwceCqEsZREFZ0ipc56Y/edit?usp=sharing" TargetMode="External"/><Relationship Id="rId17" Type="http://schemas.openxmlformats.org/officeDocument/2006/relationships/hyperlink" Target="https://docs.google.com/document/d/1nAJHVlz5vRjq3zLEU_XS0DhSy4iXhXydO4qH5MOImQE/edit?usp=sharing" TargetMode="External"/><Relationship Id="rId16" Type="http://schemas.openxmlformats.org/officeDocument/2006/relationships/hyperlink" Target="https://docs.google.com/document/d/1crEyDPG7f_0XqK0KInVWj3it23s284T7IZ-leajieXA/edit?usp=sharing" TargetMode="External"/><Relationship Id="rId19" Type="http://schemas.openxmlformats.org/officeDocument/2006/relationships/hyperlink" Target="https://docs.google.com/document/d/1-MhHQT8Z0Ma1W4qm-jLxesBmHCQwtRm0kGn27JMhQGU/edit?usp=sharing" TargetMode="External"/><Relationship Id="rId18" Type="http://schemas.openxmlformats.org/officeDocument/2006/relationships/hyperlink" Target="https://docs.google.com/document/d/1Q3qTaUazgE9lLwQqm8vUURZqmMuH72E1TFQW2NQG2kY/edit?usp=sharing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NNWQMM1K-JNX3kpQHr-uTGcWSe-418PO4kp2KM2Mek/edit?usp=drivesdk" TargetMode="External"/><Relationship Id="rId2" Type="http://schemas.openxmlformats.org/officeDocument/2006/relationships/hyperlink" Target="https://docs.google.com/document/d/12c3T3MfymkdkNi76muU-IvFXF9oY3jOtG4N7_5v9-OI/edit?usp=drivesdk" TargetMode="External"/><Relationship Id="rId3" Type="http://schemas.openxmlformats.org/officeDocument/2006/relationships/hyperlink" Target="https://docs.google.com/document/d/1H4CnDuuDwcwMg5JS9tgRXEIQo7OZMjjmlc73xCMdph8/edit?usp=drivesdk" TargetMode="External"/><Relationship Id="rId4" Type="http://schemas.openxmlformats.org/officeDocument/2006/relationships/hyperlink" Target="https://docs.google.com/document/d/1viCTTSEkRINnsUpDAAQSdL7f8x23hma-4fUulDojJfw/edit?usp=drivesdk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docs.google.com/document/d/18MWgO1buvWk8nQI37xxjszKjW0ggDc9z9OWFCC9FOSE/edit?usp=drivesdk" TargetMode="External"/><Relationship Id="rId6" Type="http://schemas.openxmlformats.org/officeDocument/2006/relationships/hyperlink" Target="https://docs.google.com/document/d/1qskYbktmW1TouXvT76GUk6i_0WL2Id-O1eVL9uxQc6g/edit?usp=drivesdk" TargetMode="External"/><Relationship Id="rId7" Type="http://schemas.openxmlformats.org/officeDocument/2006/relationships/hyperlink" Target="https://docs.google.com/document/d/1azcgmQvYmry9OxnQr7Un_vB01TziFdSuhiNj2Yth5hM/edit?usp=drivesdk" TargetMode="External"/><Relationship Id="rId8" Type="http://schemas.openxmlformats.org/officeDocument/2006/relationships/hyperlink" Target="https://docs.google.com/document/d/10d1_HNFhLrWa0RFBNQ9sJiYjG9EEHCqfSvV537DNSD4/edit?usp=drivesdk" TargetMode="External"/><Relationship Id="rId20" Type="http://schemas.openxmlformats.org/officeDocument/2006/relationships/table" Target="../tables/table22.xml"/><Relationship Id="rId21" Type="http://schemas.openxmlformats.org/officeDocument/2006/relationships/table" Target="../tables/table23.xml"/><Relationship Id="rId17" Type="http://schemas.openxmlformats.org/officeDocument/2006/relationships/table" Target="../tables/table19.xml"/><Relationship Id="rId16" Type="http://schemas.openxmlformats.org/officeDocument/2006/relationships/table" Target="../tables/table18.xml"/><Relationship Id="rId19" Type="http://schemas.openxmlformats.org/officeDocument/2006/relationships/table" Target="../tables/table21.xml"/><Relationship Id="rId18" Type="http://schemas.openxmlformats.org/officeDocument/2006/relationships/table" Target="../tables/table2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vwA3C4sLhh6AgXzopg8bicj0mXTaouOY-CI7llsmeHU/edit?tab=t.0" TargetMode="External"/><Relationship Id="rId9" Type="http://schemas.openxmlformats.org/officeDocument/2006/relationships/hyperlink" Target="https://docs.google.com/document/d/1tScJgq0LFTGK-9y3qRP8nSzpLJwxFlWml9gSP56CN-k/edit?tab=t.0" TargetMode="External"/><Relationship Id="rId5" Type="http://schemas.openxmlformats.org/officeDocument/2006/relationships/hyperlink" Target="https://docs.google.com/document/d/12yOIFO9Hc3lXlVyYyL4zOaaW2R_BdHBvgyplmpg2HVo/edit?tab=t.0" TargetMode="External"/><Relationship Id="rId6" Type="http://schemas.openxmlformats.org/officeDocument/2006/relationships/hyperlink" Target="https://docs.google.com/document/d/1gW_EXGpkSe2_Y5up1f8c7DGMtM6Xb1nMiakPkC-zr9c/edit?tab=t.0" TargetMode="External"/><Relationship Id="rId7" Type="http://schemas.openxmlformats.org/officeDocument/2006/relationships/hyperlink" Target="https://docs.google.com/document/d/1v6M6NA7UTXTt-9f8yhvKPLRJ9Zr_LobMfCv6MzzVjYU/edit?tab=t.0" TargetMode="External"/><Relationship Id="rId8" Type="http://schemas.openxmlformats.org/officeDocument/2006/relationships/hyperlink" Target="https://docs.google.com/document/d/196Sv2BVHhpvzaSjUz7JM9ou9oQ7qXN_KszUVGpjnL5Q/edit?tab=t.0" TargetMode="External"/><Relationship Id="rId40" Type="http://schemas.openxmlformats.org/officeDocument/2006/relationships/hyperlink" Target="https://docs.google.com/document/d/1-yIpC01ZGDcoSgBQczirpYBq5zg0qIol8COZIov61RQ/edit?usp=sharing" TargetMode="External"/><Relationship Id="rId42" Type="http://schemas.openxmlformats.org/officeDocument/2006/relationships/hyperlink" Target="https://docs.google.com/document/d/1xPan_0giyffBX4xkJJkx1CbbXnWtbmRsjkDBBx6vTFY/edit?usp=sharing" TargetMode="External"/><Relationship Id="rId41" Type="http://schemas.openxmlformats.org/officeDocument/2006/relationships/hyperlink" Target="https://docs.google.com/document/d/1NtlzGZDLfNlt1971pPrT4aFEB86nNTHmGbbDZtSIAKk/edit?usp=sharing" TargetMode="External"/><Relationship Id="rId44" Type="http://schemas.openxmlformats.org/officeDocument/2006/relationships/hyperlink" Target="https://docs.google.com/document/d/1JQuoQnXo77V-gAoncDa2yTF-WFWwq7xoUi0JIb1gglI/edit?usp=sharing" TargetMode="External"/><Relationship Id="rId43" Type="http://schemas.openxmlformats.org/officeDocument/2006/relationships/hyperlink" Target="https://docs.google.com/document/d/1IcU39YlcONko4OhP92nIf2FY_6RStNqsi3fxy-nVFhw/edit?usp=sharing" TargetMode="External"/><Relationship Id="rId46" Type="http://schemas.openxmlformats.org/officeDocument/2006/relationships/hyperlink" Target="https://docs.google.com/document/d/1KsUZiEOpey8CauwBJNMim9b7gTbcYdB7kkQmJUa8kP0/edit?usp=sharing" TargetMode="External"/><Relationship Id="rId45" Type="http://schemas.openxmlformats.org/officeDocument/2006/relationships/hyperlink" Target="https://docs.google.com/document/d/1TypYMg3aYXCbvMtvL4Kecfq4ZczuTgRbJoXE0MWp8h8/edit?usp=sharing" TargetMode="External"/><Relationship Id="rId48" Type="http://schemas.openxmlformats.org/officeDocument/2006/relationships/hyperlink" Target="https://docs.google.com/document/d/1iQk879LN0LGJVBypwfFb2qTSlmBtnlceQXhcCxoivHQ/edit?usp=sharing" TargetMode="External"/><Relationship Id="rId47" Type="http://schemas.openxmlformats.org/officeDocument/2006/relationships/hyperlink" Target="https://docs.google.com/document/d/1HJKzaTjwfBvmHn0nrO_YCBoJfDg9m_2Ysi8mmb7NiZs/edit?usp=sharing" TargetMode="External"/><Relationship Id="rId49" Type="http://schemas.openxmlformats.org/officeDocument/2006/relationships/hyperlink" Target="https://docs.google.com/document/d/1nXFlt5PN8DmKMyAgcX4HUwwXDZjhKr3YX5LL-EjpR5E/edit?tab=t.0" TargetMode="External"/><Relationship Id="rId31" Type="http://schemas.openxmlformats.org/officeDocument/2006/relationships/hyperlink" Target="https://docs.google.com/document/d/1a2t2xh-Q_GbId736HdtjCusOSHNyn2NFhJYQLCrw0Qg/edit?tab=t.0" TargetMode="External"/><Relationship Id="rId30" Type="http://schemas.openxmlformats.org/officeDocument/2006/relationships/hyperlink" Target="https://docs.google.com/document/d/1ubq0Ip7xPVyg8ZBjIfFDcaQ1VmWNf-BxLe8ivWxflmQ/edit?tab=t.0" TargetMode="External"/><Relationship Id="rId33" Type="http://schemas.openxmlformats.org/officeDocument/2006/relationships/hyperlink" Target="https://docs.google.com/document/d/1uKnkM18Fe91cFflSBe0nc4YXygjnGQozE03oMr8vpH4/edit?tab=t.0" TargetMode="External"/><Relationship Id="rId32" Type="http://schemas.openxmlformats.org/officeDocument/2006/relationships/hyperlink" Target="https://docs.google.com/document/d/1o23ao31TurwoyYl_Fxn4HKpRIQ5AZViwXjLqiK9LHcc/edit?tab=t.0" TargetMode="External"/><Relationship Id="rId35" Type="http://schemas.openxmlformats.org/officeDocument/2006/relationships/hyperlink" Target="https://docs.google.com/document/d/1RZeYAuufxwMiCdA-lLrG6KxYBPvONNJ90nnjpmOoD8g/edit?tab=t.0" TargetMode="External"/><Relationship Id="rId34" Type="http://schemas.openxmlformats.org/officeDocument/2006/relationships/hyperlink" Target="https://docs.google.com/document/d/1kZ8sC95ZVys9F7tzKPfFAOA9ZTL8W7zP-Ie392VQKTk/edit?tab=t.0" TargetMode="External"/><Relationship Id="rId37" Type="http://schemas.openxmlformats.org/officeDocument/2006/relationships/hyperlink" Target="https://docs.google.com/document/d/1Lf-LbXOi-qB-iaZZeumqmCheNk3IVriVuYCFtobORA0/edit?tab=t.0" TargetMode="External"/><Relationship Id="rId36" Type="http://schemas.openxmlformats.org/officeDocument/2006/relationships/hyperlink" Target="https://docs.google.com/document/d/1w6jTgO3RJfzf-x01EvkuPqKmjHIeul8R4Gh4WhbSbiE/edit?tab=t.0" TargetMode="External"/><Relationship Id="rId39" Type="http://schemas.openxmlformats.org/officeDocument/2006/relationships/hyperlink" Target="https://docs.google.com/document/d/1dyP1DzjpVtL4dEedf_0GH93y3aGmSGBvCrAH0ja_CyQ/edit?tab=t.0" TargetMode="External"/><Relationship Id="rId38" Type="http://schemas.openxmlformats.org/officeDocument/2006/relationships/hyperlink" Target="https://docs.google.com/document/d/1oHoo0h0KIE9ZojSF9tN8i-whNzw1nD7doKEFA7u9CJM/edit?usp=sharing" TargetMode="External"/><Relationship Id="rId20" Type="http://schemas.openxmlformats.org/officeDocument/2006/relationships/hyperlink" Target="https://docs.google.com/document/d/1pWuheGDgrS9z3oKLNJ2QaVLoSvY682BD_9Wca9h7qtk/edit?tab=t.0" TargetMode="External"/><Relationship Id="rId22" Type="http://schemas.openxmlformats.org/officeDocument/2006/relationships/hyperlink" Target="https://docs.google.com/document/d/1NGrTRrS8NLaBAYL0CMZ9BXI4W99t71VWsqmVSOJSCCI/edit?tab=t.0" TargetMode="External"/><Relationship Id="rId21" Type="http://schemas.openxmlformats.org/officeDocument/2006/relationships/hyperlink" Target="https://docs.google.com/document/d/1EOJTregGxriInA1A_ZMlo5O21BTMoJ9V-ZxlFph0ybQ/edit?tab=t.0" TargetMode="External"/><Relationship Id="rId24" Type="http://schemas.openxmlformats.org/officeDocument/2006/relationships/hyperlink" Target="https://docs.google.com/document/d/1kK0Ed5Xb0k1KL0UZfA2SORvd0Ne_tKcCKIG3HES5zy4/edit?tab=t.0" TargetMode="External"/><Relationship Id="rId23" Type="http://schemas.openxmlformats.org/officeDocument/2006/relationships/hyperlink" Target="https://docs.google.com/document/d/129CR5LlITMzRfQ0-ceekbC4hAVVMG8Zi_RXypmdhIuI/edit?tab=t.0" TargetMode="External"/><Relationship Id="rId26" Type="http://schemas.openxmlformats.org/officeDocument/2006/relationships/hyperlink" Target="https://docs.google.com/document/d/17wJKrF-qMTsQxVnpPPLODqvJrzsIbF7SqjjwgrUQd90/edit?tab=t.0" TargetMode="External"/><Relationship Id="rId25" Type="http://schemas.openxmlformats.org/officeDocument/2006/relationships/hyperlink" Target="https://docs.google.com/document/d/1JSI182IsN0SjFEkKpXgdw47JPfdq9s9aMiw--Cmob1g/edit?tab=t.0" TargetMode="External"/><Relationship Id="rId28" Type="http://schemas.openxmlformats.org/officeDocument/2006/relationships/hyperlink" Target="https://docs.google.com/document/d/1_T-CuLyo7nWjfkrZgrfHthCQnf3_5agttdRGdfiO-3M/edit?tab=t.0" TargetMode="External"/><Relationship Id="rId27" Type="http://schemas.openxmlformats.org/officeDocument/2006/relationships/hyperlink" Target="https://docs.google.com/document/d/1IkCwwX8gwQKwgozKKGhEbDbVIrqIZ2qZt5Njy0mLe2A/edit?tab=t.0" TargetMode="External"/><Relationship Id="rId29" Type="http://schemas.openxmlformats.org/officeDocument/2006/relationships/hyperlink" Target="https://docs.google.com/document/d/1JRZn0K39ppYXfl4VxkmDOzu1LmcwBe1zyBzTdcKm8WA/edit?tab=t.0" TargetMode="External"/><Relationship Id="rId11" Type="http://schemas.openxmlformats.org/officeDocument/2006/relationships/hyperlink" Target="https://docs.google.com/document/d/15GlHt0TOCeYUfGOgOrTVVyf6Gdj6A2frJMmeHl4gw54/edit?tab=t.0" TargetMode="External"/><Relationship Id="rId10" Type="http://schemas.openxmlformats.org/officeDocument/2006/relationships/hyperlink" Target="https://docs.google.com/document/d/1B-k6PK34SP6ONYfk4qpXAGipac6GwiuF9nUmyQWTmak/edit?tab=t.0" TargetMode="External"/><Relationship Id="rId13" Type="http://schemas.openxmlformats.org/officeDocument/2006/relationships/hyperlink" Target="https://docs.google.com/document/d/1E_OV4Mro0vek_NSCMZPP4kCsW9Z5qbTX4jJzOtCiHZY/edit?tab=t.0" TargetMode="External"/><Relationship Id="rId12" Type="http://schemas.openxmlformats.org/officeDocument/2006/relationships/hyperlink" Target="https://docs.google.com/document/d/1MONAAMhrzI1AIle8BsD1q-yobhUClb32KYUBoJ7yoaM/edit?tab=t.0" TargetMode="External"/><Relationship Id="rId15" Type="http://schemas.openxmlformats.org/officeDocument/2006/relationships/hyperlink" Target="https://docs.google.com/document/d/1-Lcruo5ljFzJVci_Tk-TOeAfKjvtqP1bJF4UY58U-r4/edit?tab=t.0" TargetMode="External"/><Relationship Id="rId14" Type="http://schemas.openxmlformats.org/officeDocument/2006/relationships/hyperlink" Target="https://docs.google.com/document/d/1rJHZSvk_7jGgi8u-pR7VZm12_hT4SqYDsgX2cOvLqE8/edit?tab=t.0" TargetMode="External"/><Relationship Id="rId17" Type="http://schemas.openxmlformats.org/officeDocument/2006/relationships/hyperlink" Target="https://docs.google.com/document/d/1_eI_7yyf9oa3VPmio_yctFgsNo-Bai4mWIvSxme_oUI/edit?tab=t.0" TargetMode="External"/><Relationship Id="rId16" Type="http://schemas.openxmlformats.org/officeDocument/2006/relationships/hyperlink" Target="https://docs.google.com/document/d/1zT_mfHgHkhbnWdDTbCC5iedQ8UcQE042JaEIOC0-Zrk/edit?tab=t.0" TargetMode="External"/><Relationship Id="rId19" Type="http://schemas.openxmlformats.org/officeDocument/2006/relationships/hyperlink" Target="https://docs.google.com/document/d/1r5GdYSSVmM4s2x4lpbeB7GN2ryRh07hfEON5MeHY5TU/edit?tab=t.0" TargetMode="External"/><Relationship Id="rId18" Type="http://schemas.openxmlformats.org/officeDocument/2006/relationships/hyperlink" Target="https://docs.google.com/document/d/1R0OuFwKDTSHwj-spoYOjBF1EYgGhVfO4rj1PiVA0xV0/edit?tab=t.0" TargetMode="External"/><Relationship Id="rId80" Type="http://schemas.openxmlformats.org/officeDocument/2006/relationships/drawing" Target="../drawings/drawing12.xml"/><Relationship Id="rId81" Type="http://schemas.openxmlformats.org/officeDocument/2006/relationships/vmlDrawing" Target="../drawings/vmlDrawing1.vml"/><Relationship Id="rId73" Type="http://schemas.openxmlformats.org/officeDocument/2006/relationships/hyperlink" Target="https://docs.google.com/document/d/1uXyLnw8hd1fBYCW7sxMp0YnsQncnUuG1a4gA-FGNX0Q/edit?tab=t.0" TargetMode="External"/><Relationship Id="rId72" Type="http://schemas.openxmlformats.org/officeDocument/2006/relationships/hyperlink" Target="https://docs.google.com/document/d/1WNu7Cyk_CX0yd-KTveK1mhJ7xL5DhL0u4yqOI9OoKps/edit?tab=t.0" TargetMode="External"/><Relationship Id="rId75" Type="http://schemas.openxmlformats.org/officeDocument/2006/relationships/hyperlink" Target="https://docs.google.com/document/d/1t5yaIXJrE8jZ9lhDjW0V7L8XSaWXoI241xlMwXmphVQ/edit?tab=t.0" TargetMode="External"/><Relationship Id="rId74" Type="http://schemas.openxmlformats.org/officeDocument/2006/relationships/hyperlink" Target="https://docs.google.com/document/d/1DRDWKmmjSOvXTvSCfoda4qfFTETdDDY0ftrb1BkuuVU/edit?tab=t.0" TargetMode="External"/><Relationship Id="rId77" Type="http://schemas.openxmlformats.org/officeDocument/2006/relationships/hyperlink" Target="https://docs.google.com/document/d/136SMbtvX3TL4Cj5B8n8miIXkxwe4gUR4X2iSv7S4rO8/edit?tab=t.0" TargetMode="External"/><Relationship Id="rId76" Type="http://schemas.openxmlformats.org/officeDocument/2006/relationships/hyperlink" Target="https://docs.google.com/document/d/1NB8XufaILagXcrmdAimDWR-rogYLQtSpvRTYBPtcaRo/edit?tab=t.0" TargetMode="External"/><Relationship Id="rId79" Type="http://schemas.openxmlformats.org/officeDocument/2006/relationships/hyperlink" Target="https://docs.google.com/document/d/1bKxe1ycKmo9cuWtnuOPOjlrPx29JYMR1Nj9Yznf_MaU/edit?tab=t.0" TargetMode="External"/><Relationship Id="rId78" Type="http://schemas.openxmlformats.org/officeDocument/2006/relationships/hyperlink" Target="https://docs.google.com/document/d/1FChC5lKKlcfwOPMJMUHK78mBVTrB_tiworHHjIiS8_Y/edit?tab=t.0" TargetMode="External"/><Relationship Id="rId71" Type="http://schemas.openxmlformats.org/officeDocument/2006/relationships/hyperlink" Target="https://docs.google.com/document/d/1fMFdvXachGDtyak_UDLjTqjsPv8dJU-8h8riaob89KM/edit?tab=t.0" TargetMode="External"/><Relationship Id="rId70" Type="http://schemas.openxmlformats.org/officeDocument/2006/relationships/hyperlink" Target="https://docs.google.com/document/d/1XkoZRZYTZtCw9mFuV7U6sPx0gO3_qmUr5kwO2HmMm6o/edit?usp=sharing" TargetMode="External"/><Relationship Id="rId62" Type="http://schemas.openxmlformats.org/officeDocument/2006/relationships/hyperlink" Target="https://docs.google.com/document/d/1b_RgaW-9UCNiTM50ldow1WNLeivh6w_tgiWEEs0Lkg4/edit?tab=t.0" TargetMode="External"/><Relationship Id="rId61" Type="http://schemas.openxmlformats.org/officeDocument/2006/relationships/hyperlink" Target="https://docs.google.com/document/d/1bWDLC_S1dDdqUJIl6l8SadiOJ_wEc2KGgd1yRhuL91c/edit?tab=t.0" TargetMode="External"/><Relationship Id="rId64" Type="http://schemas.openxmlformats.org/officeDocument/2006/relationships/hyperlink" Target="https://docs.google.com/document/d/1Q2JSvqPvvAFnjlutBohyWwKn1mwjm4gvVKyx99SgLfU/edit?tab=t.0" TargetMode="External"/><Relationship Id="rId63" Type="http://schemas.openxmlformats.org/officeDocument/2006/relationships/hyperlink" Target="https://docs.google.com/document/d/1zPw8Zfr98kjQUxz1f9zZYGpikX0vPV5fNylvqLkLIGI/edit?tab=t.0" TargetMode="External"/><Relationship Id="rId66" Type="http://schemas.openxmlformats.org/officeDocument/2006/relationships/hyperlink" Target="https://docs.google.com/document/d/1Jb5ymGjxU3kv79KarXQZYoP7hpF7VeAki-qGiuF0b8o/edit?tab=t.0" TargetMode="External"/><Relationship Id="rId65" Type="http://schemas.openxmlformats.org/officeDocument/2006/relationships/hyperlink" Target="https://docs.google.com/document/d/1xVbH47ibZ9li1jq8nP-jxwgBDVPbB6K58Z0g10KOPr8/edit?tab=t.0" TargetMode="External"/><Relationship Id="rId68" Type="http://schemas.openxmlformats.org/officeDocument/2006/relationships/hyperlink" Target="https://docs.google.com/document/d/129WbEOC8OLCDbzY8FNFRP9eZLzrYIytMh5qd-ugrKeA/edit?tab=t.0" TargetMode="External"/><Relationship Id="rId67" Type="http://schemas.openxmlformats.org/officeDocument/2006/relationships/hyperlink" Target="https://docs.google.com/document/d/1mRMP_d1RnyR2VFJVUfelYJSN1lvShuZ-6xa11YnGlWE/edit?tab=t.0" TargetMode="External"/><Relationship Id="rId60" Type="http://schemas.openxmlformats.org/officeDocument/2006/relationships/hyperlink" Target="https://docs.google.com/document/d/1es5OHEvaDxyy_XrYins0EXSxtBFIKPer9jyDGHbAFhM/edit?tab=t.0" TargetMode="External"/><Relationship Id="rId69" Type="http://schemas.openxmlformats.org/officeDocument/2006/relationships/hyperlink" Target="https://docs.google.com/document/d/1TuWrmHDQG0B8cDSHAajLv_nuBGxt4QylHcdm7u2pSqE/edit?usp=sharing" TargetMode="External"/><Relationship Id="rId51" Type="http://schemas.openxmlformats.org/officeDocument/2006/relationships/hyperlink" Target="https://docs.google.com/document/d/1cHwMOxnJExCciaKMyRceJkRibKUdvBNCPTVFTK8y0fE/edit?tab=t.0" TargetMode="External"/><Relationship Id="rId50" Type="http://schemas.openxmlformats.org/officeDocument/2006/relationships/hyperlink" Target="https://docs.google.com/document/d/15hz2PSF-2gug1lvBVLr7b30e7p5j2nYP9lcgi6OVZIg/edit?tab=t.0" TargetMode="External"/><Relationship Id="rId53" Type="http://schemas.openxmlformats.org/officeDocument/2006/relationships/hyperlink" Target="https://docs.google.com/document/d/1HtzEQxfI4NIAUGVm294-5-2cYK9FJMhe8kG-q5hwniQ/edit?tab=t.0" TargetMode="External"/><Relationship Id="rId52" Type="http://schemas.openxmlformats.org/officeDocument/2006/relationships/hyperlink" Target="https://docs.google.com/document/d/1g9qkJm1JWRZnNc8K9G-Uxdkk8x_mBdqBJzs5XfY_eDA/edit?tab=t.0" TargetMode="External"/><Relationship Id="rId55" Type="http://schemas.openxmlformats.org/officeDocument/2006/relationships/hyperlink" Target="https://docs.google.com/document/d/1QSjLqNBg4UULazz3KLHCdoUvo5_37rPn72UHRCLXC-U/edit?tab=t.0" TargetMode="External"/><Relationship Id="rId54" Type="http://schemas.openxmlformats.org/officeDocument/2006/relationships/hyperlink" Target="https://docs.google.com/document/d/1ZVM2nG5A0QpryZ7a7SN7THwKSatwlik4_oLgFDGnrHQ/edit?tab=t.0" TargetMode="External"/><Relationship Id="rId57" Type="http://schemas.openxmlformats.org/officeDocument/2006/relationships/hyperlink" Target="https://docs.google.com/document/d/1UAXijAIE_KgioMdFnpJ3o33NhFhbrC1JfbDxHDAOUvs/edit?tab=t.0" TargetMode="External"/><Relationship Id="rId56" Type="http://schemas.openxmlformats.org/officeDocument/2006/relationships/hyperlink" Target="https://docs.google.com/document/d/1t4vXE490j6K036vvo7qtTwSiVZcwn_UGE-CkkPg7csw/edit?tab=t.0" TargetMode="External"/><Relationship Id="rId59" Type="http://schemas.openxmlformats.org/officeDocument/2006/relationships/hyperlink" Target="https://docs.google.com/document/d/1sXzMp55HHwyZhUaflDk_ynWTkd2LpN6_nVIFagYDum4/edit?tab=t.0" TargetMode="External"/><Relationship Id="rId58" Type="http://schemas.openxmlformats.org/officeDocument/2006/relationships/hyperlink" Target="https://docs.google.com/document/d/1PvCdXPMSknCW9u_KnjAgNv-i81OcgfcDq3tU7LVFf4c/edit?tab=t.0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5qIbL8EqkYecD8xmNsC_kTkMe29yBIrWPoEF_6kHtto/edit?usp=sharing" TargetMode="External"/><Relationship Id="rId2" Type="http://schemas.openxmlformats.org/officeDocument/2006/relationships/hyperlink" Target="https://docs.google.com/document/d/1uAH3ykAbKawbzM_wfwn9AYQ_fp4j1HibtJPXpJZtjOU/edit?usp=sharing" TargetMode="External"/><Relationship Id="rId3" Type="http://schemas.openxmlformats.org/officeDocument/2006/relationships/hyperlink" Target="https://docs.google.com/document/d/1REAXMG0es5KNvHeF-KAsTxul7WHsXn6y-H12x460mng/edit?usp=sharing" TargetMode="External"/><Relationship Id="rId4" Type="http://schemas.openxmlformats.org/officeDocument/2006/relationships/hyperlink" Target="https://docs.google.com/document/d/1nlkDUjK4f2dbu3E3yMwYkk8VhWAlpqNkTprb-q4o_rw/edit?usp=sharing" TargetMode="External"/><Relationship Id="rId9" Type="http://schemas.openxmlformats.org/officeDocument/2006/relationships/hyperlink" Target="https://docs.google.com/document/d/1paIhZipVKAvm_NxzkVLzS3a8DtPRoJonkdvzfHoWmrI/edit?usp=sharing" TargetMode="External"/><Relationship Id="rId5" Type="http://schemas.openxmlformats.org/officeDocument/2006/relationships/hyperlink" Target="https://docs.google.com/document/d/1p6FbS35eOdJX4G5UmJlySPAi66eKpChvJtpZ2RCtn0s/edit?usp=sharing" TargetMode="External"/><Relationship Id="rId6" Type="http://schemas.openxmlformats.org/officeDocument/2006/relationships/hyperlink" Target="https://docs.google.com/document/d/13AGnN7-A4DwLwb8t7WqtzcF3aSk3R5f5pEdD2SMe_dE/edit?usp=sharing" TargetMode="External"/><Relationship Id="rId7" Type="http://schemas.openxmlformats.org/officeDocument/2006/relationships/hyperlink" Target="https://docs.google.com/document/d/1tw1BYXESqh0wP9bkhQBi4V1R3etBrR0QP_d9R6VH1fU/edit?usp=sharing" TargetMode="External"/><Relationship Id="rId8" Type="http://schemas.openxmlformats.org/officeDocument/2006/relationships/hyperlink" Target="https://docs.google.com/document/d/1kA7lEu7PdLCfWjo5mzgEk9bw7rm4B8A2fmokR6EtvjI/edit?usp=sharing" TargetMode="External"/><Relationship Id="rId31" Type="http://schemas.openxmlformats.org/officeDocument/2006/relationships/drawing" Target="../drawings/drawing14.xml"/><Relationship Id="rId30" Type="http://schemas.openxmlformats.org/officeDocument/2006/relationships/hyperlink" Target="http://shanty.fitria.id" TargetMode="External"/><Relationship Id="rId33" Type="http://schemas.openxmlformats.org/officeDocument/2006/relationships/table" Target="../tables/table24.xml"/><Relationship Id="rId20" Type="http://schemas.openxmlformats.org/officeDocument/2006/relationships/hyperlink" Target="https://docs.google.com/document/d/1ubk1wW-1mElYA-372--VhpvqOQiUdh5QFXC_BduMTa0/edit?usp=sharing" TargetMode="External"/><Relationship Id="rId22" Type="http://schemas.openxmlformats.org/officeDocument/2006/relationships/hyperlink" Target="https://docs.google.com/document/d/1vteeac6aA8eiuiUJ8iHe6n1MzFrmrTpdV2sh0idIupY/edit?usp=sharing" TargetMode="External"/><Relationship Id="rId21" Type="http://schemas.openxmlformats.org/officeDocument/2006/relationships/hyperlink" Target="https://docs.google.com/document/d/1L9HSPspX9R4zKi8QK1MZuYY0iQp2DRH5GFRrvjkeOLs/edit?usp=sharing" TargetMode="External"/><Relationship Id="rId24" Type="http://schemas.openxmlformats.org/officeDocument/2006/relationships/hyperlink" Target="https://docs.google.com/document/d/14l3RtkaGRNNZ_I7ulRJYn7dDOhlXgk4hre3-ij3lRbQ/edit?usp=sharing" TargetMode="External"/><Relationship Id="rId23" Type="http://schemas.openxmlformats.org/officeDocument/2006/relationships/hyperlink" Target="https://docs.google.com/document/d/1cXkin868abmMBNGqgxRbfwpBvp__EyksqLQ9mPJaLxA/edit?usp=sharing" TargetMode="External"/><Relationship Id="rId26" Type="http://schemas.openxmlformats.org/officeDocument/2006/relationships/hyperlink" Target="https://docs.google.com/document/d/1-OPncysgZtsXtKEyiniZ2gSmzQDiG_DgZ38ohiQ24kM/edit?usp=sharing" TargetMode="External"/><Relationship Id="rId25" Type="http://schemas.openxmlformats.org/officeDocument/2006/relationships/hyperlink" Target="https://docs.google.com/document/d/1SKPH9CgKJRwvJtRhzpxB_dS6MlzgksszSCgZPThJZQk/edit?usp=sharing" TargetMode="External"/><Relationship Id="rId28" Type="http://schemas.openxmlformats.org/officeDocument/2006/relationships/hyperlink" Target="https://docs.google.com/document/d/12LmUlhImDvJNn0V1MKO4HEy6bRM_N22I7irWYQHppRQ/edit?usp=sharing" TargetMode="External"/><Relationship Id="rId27" Type="http://schemas.openxmlformats.org/officeDocument/2006/relationships/hyperlink" Target="https://docs.google.com/document/d/1FYLPBZh9jqZeJJiQgqAdfOq1nQPZSFqldtD-swYXk0s/edit?usp=sharing" TargetMode="External"/><Relationship Id="rId29" Type="http://schemas.openxmlformats.org/officeDocument/2006/relationships/hyperlink" Target="https://docs.google.com/document/d/1AEURLeT-OST2QAG-jZMSk3SeOSMAZYVFkJ2p4yrSbkw/edit?usp=sharing" TargetMode="External"/><Relationship Id="rId11" Type="http://schemas.openxmlformats.org/officeDocument/2006/relationships/hyperlink" Target="https://docs.google.com/document/d/1aOPRpMvvQewirm47rXVCTEB-xFW7SKdTHnDsy40Ie0o/edit?usp=sharing" TargetMode="External"/><Relationship Id="rId10" Type="http://schemas.openxmlformats.org/officeDocument/2006/relationships/hyperlink" Target="https://docs.google.com/document/d/16HUEAj4hDXhu6YcxeOlYhOKJyT8jY-eWNZLthHortcw/edit?usp=sharing" TargetMode="External"/><Relationship Id="rId13" Type="http://schemas.openxmlformats.org/officeDocument/2006/relationships/hyperlink" Target="https://docs.google.com/document/d/1LHtpVf3NdAI-vAH9vaeB8Rj2K3uRud5DL47eGjvvoxU/edit?usp=sharing" TargetMode="External"/><Relationship Id="rId12" Type="http://schemas.openxmlformats.org/officeDocument/2006/relationships/hyperlink" Target="https://docs.google.com/document/d/1quEnHGdTJcq9hhALJ1AJUKQ-azpep4kmgHwXiKRMJ5A/edit?usp=sharing" TargetMode="External"/><Relationship Id="rId15" Type="http://schemas.openxmlformats.org/officeDocument/2006/relationships/hyperlink" Target="https://docs.google.com/document/d/1BRzmkPrY-4K7f9NS6fTkubITgAmZ4yesMYBT3sI5Mdc/edit?usp=sharing" TargetMode="External"/><Relationship Id="rId14" Type="http://schemas.openxmlformats.org/officeDocument/2006/relationships/hyperlink" Target="https://docs.google.com/document/d/1NMY6AVs3XJ5H-UpmXMShvrtxwceCqEsZREFZ0ipc56Y/edit?usp=sharing" TargetMode="External"/><Relationship Id="rId17" Type="http://schemas.openxmlformats.org/officeDocument/2006/relationships/hyperlink" Target="https://docs.google.com/document/d/1nAJHVlz5vRjq3zLEU_XS0DhSy4iXhXydO4qH5MOImQE/edit?usp=sharing" TargetMode="External"/><Relationship Id="rId16" Type="http://schemas.openxmlformats.org/officeDocument/2006/relationships/hyperlink" Target="https://docs.google.com/document/d/1crEyDPG7f_0XqK0KInVWj3it23s284T7IZ-leajieXA/edit?usp=sharing" TargetMode="External"/><Relationship Id="rId19" Type="http://schemas.openxmlformats.org/officeDocument/2006/relationships/hyperlink" Target="https://docs.google.com/document/d/1-MhHQT8Z0Ma1W4qm-jLxesBmHCQwtRm0kGn27JMhQGU/edit?usp=sharing" TargetMode="External"/><Relationship Id="rId18" Type="http://schemas.openxmlformats.org/officeDocument/2006/relationships/hyperlink" Target="https://docs.google.com/document/d/1Q3qTaUazgE9lLwQqm8vUURZqmMuH72E1TFQW2NQG2kY/edit?usp=sharing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75"/>
    <col customWidth="1" min="2" max="2" width="9.13"/>
    <col customWidth="1" min="3" max="3" width="25.5"/>
    <col customWidth="1" min="5" max="5" width="14.38"/>
    <col customWidth="1" min="6" max="6" width="11.5"/>
    <col customWidth="1" min="7" max="7" width="18.75"/>
    <col customWidth="1" min="8" max="8" width="33.13"/>
    <col customWidth="1" min="9" max="9" width="18.25"/>
    <col customWidth="1" min="10" max="10" width="6.0"/>
    <col customWidth="1" min="11" max="11" width="13.38"/>
    <col customWidth="1" min="12" max="12" width="54.88"/>
    <col customWidth="1" min="15" max="15" width="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1" t="s">
        <v>7</v>
      </c>
      <c r="I1" s="5" t="s">
        <v>8</v>
      </c>
      <c r="J1" s="3" t="s">
        <v>9</v>
      </c>
      <c r="K1" s="6" t="s">
        <v>10</v>
      </c>
      <c r="L1" s="3" t="s">
        <v>11</v>
      </c>
      <c r="M1" s="7" t="s">
        <v>12</v>
      </c>
      <c r="N1" s="8" t="s">
        <v>13</v>
      </c>
      <c r="O1" s="9"/>
      <c r="P1" s="9"/>
      <c r="Q1" s="9"/>
      <c r="R1" s="9"/>
      <c r="S1" s="9"/>
    </row>
    <row r="2">
      <c r="A2" s="10" t="s">
        <v>14</v>
      </c>
      <c r="B2" s="12">
        <v>46023.0</v>
      </c>
      <c r="C2" s="10" t="s">
        <v>15</v>
      </c>
      <c r="D2" s="13" t="s">
        <v>16</v>
      </c>
      <c r="E2" s="14" t="s">
        <v>17</v>
      </c>
      <c r="F2" s="14" t="s">
        <v>18</v>
      </c>
      <c r="G2" s="15" t="s">
        <v>19</v>
      </c>
      <c r="H2" s="10" t="s">
        <v>20</v>
      </c>
      <c r="I2" s="29">
        <v>46025.0</v>
      </c>
      <c r="J2" s="31" t="s">
        <v>21</v>
      </c>
      <c r="K2" s="19">
        <v>7905000.0</v>
      </c>
      <c r="L2" s="10" t="s">
        <v>22</v>
      </c>
      <c r="M2" s="44">
        <f t="array" ref="M2:M5505">IF(
  G2:G5505="",
  "",
  IFERROR(
   IFS(
    G2:G5505="Leads Baru",1,
    G2:G5505="Qualified",2,
    G2:G5505="Prospek",3,
    G2:G5505="Follow Up",4,
    G2:G5505="Warm Leads",5,
    G2:G5505="Hot Leads",6,
    G2:G5505="Closing",7,
    G2:G5505="Gagal",8
   ),
   99
  )
 )
</f>
        <v>7</v>
      </c>
      <c r="N2" s="45"/>
      <c r="O2" s="20"/>
      <c r="P2" s="20"/>
      <c r="Q2" s="20"/>
      <c r="R2" s="20"/>
      <c r="S2" s="20"/>
    </row>
    <row r="3">
      <c r="A3" s="23" t="s">
        <v>37</v>
      </c>
      <c r="B3" s="22">
        <v>46023.0</v>
      </c>
      <c r="C3" s="23" t="s">
        <v>39</v>
      </c>
      <c r="D3" s="24" t="s">
        <v>41</v>
      </c>
      <c r="E3" s="14" t="s">
        <v>17</v>
      </c>
      <c r="F3" s="14" t="s">
        <v>18</v>
      </c>
      <c r="G3" s="25" t="s">
        <v>42</v>
      </c>
      <c r="H3" s="23" t="s">
        <v>44</v>
      </c>
      <c r="I3" s="47">
        <v>46023.0</v>
      </c>
      <c r="J3" s="48">
        <v>3.0</v>
      </c>
      <c r="K3" s="30"/>
      <c r="L3" s="23"/>
      <c r="M3" s="50">
        <v>8.0</v>
      </c>
      <c r="N3" s="51"/>
      <c r="O3" s="52"/>
      <c r="P3" s="20"/>
      <c r="Q3" s="20"/>
      <c r="R3" s="20"/>
      <c r="S3" s="20"/>
    </row>
    <row r="4">
      <c r="A4" s="10" t="s">
        <v>51</v>
      </c>
      <c r="B4" s="12">
        <v>46024.0</v>
      </c>
      <c r="C4" s="10" t="s">
        <v>53</v>
      </c>
      <c r="D4" s="13" t="s">
        <v>55</v>
      </c>
      <c r="E4" s="14" t="s">
        <v>17</v>
      </c>
      <c r="F4" s="14" t="s">
        <v>18</v>
      </c>
      <c r="G4" s="14" t="s">
        <v>42</v>
      </c>
      <c r="H4" s="10" t="s">
        <v>58</v>
      </c>
      <c r="I4" s="29">
        <v>46024.0</v>
      </c>
      <c r="J4" s="31">
        <v>4.0</v>
      </c>
      <c r="K4" s="19"/>
      <c r="L4" s="10" t="s">
        <v>63</v>
      </c>
      <c r="M4" s="44">
        <v>8.0</v>
      </c>
      <c r="N4" s="45"/>
      <c r="O4" s="52"/>
      <c r="P4" s="20"/>
      <c r="Q4" s="20"/>
      <c r="R4" s="20"/>
      <c r="S4" s="20"/>
    </row>
    <row r="5">
      <c r="A5" s="23" t="s">
        <v>66</v>
      </c>
      <c r="B5" s="22">
        <v>46024.0</v>
      </c>
      <c r="C5" s="23" t="s">
        <v>68</v>
      </c>
      <c r="D5" s="24" t="s">
        <v>70</v>
      </c>
      <c r="E5" s="14" t="s">
        <v>17</v>
      </c>
      <c r="F5" s="14" t="s">
        <v>18</v>
      </c>
      <c r="G5" s="15" t="s">
        <v>42</v>
      </c>
      <c r="H5" s="23"/>
      <c r="I5" s="26"/>
      <c r="J5" s="23"/>
      <c r="K5" s="36"/>
      <c r="L5" s="23" t="s">
        <v>73</v>
      </c>
      <c r="M5" s="50">
        <v>8.0</v>
      </c>
      <c r="N5" s="51"/>
      <c r="O5" s="52"/>
      <c r="P5" s="20"/>
      <c r="Q5" s="20"/>
      <c r="R5" s="20"/>
      <c r="S5" s="20"/>
    </row>
    <row r="6">
      <c r="A6" s="10" t="s">
        <v>75</v>
      </c>
      <c r="B6" s="12">
        <v>46026.0</v>
      </c>
      <c r="C6" s="10" t="s">
        <v>76</v>
      </c>
      <c r="D6" s="13" t="s">
        <v>77</v>
      </c>
      <c r="E6" s="14" t="s">
        <v>17</v>
      </c>
      <c r="F6" s="14" t="s">
        <v>18</v>
      </c>
      <c r="G6" s="14" t="s">
        <v>42</v>
      </c>
      <c r="H6" s="10" t="s">
        <v>78</v>
      </c>
      <c r="I6" s="29">
        <v>46027.0</v>
      </c>
      <c r="J6" s="31">
        <v>2.0</v>
      </c>
      <c r="K6" s="19"/>
      <c r="L6" s="10" t="s">
        <v>80</v>
      </c>
      <c r="M6" s="44">
        <v>8.0</v>
      </c>
      <c r="N6" s="45"/>
      <c r="O6" s="52"/>
      <c r="P6" s="20"/>
      <c r="Q6" s="20"/>
      <c r="R6" s="20"/>
      <c r="S6" s="20"/>
    </row>
    <row r="7">
      <c r="A7" s="23" t="s">
        <v>83</v>
      </c>
      <c r="B7" s="22">
        <v>46027.0</v>
      </c>
      <c r="C7" s="23" t="s">
        <v>84</v>
      </c>
      <c r="D7" s="24" t="s">
        <v>85</v>
      </c>
      <c r="E7" s="14" t="s">
        <v>17</v>
      </c>
      <c r="F7" s="14" t="s">
        <v>18</v>
      </c>
      <c r="G7" s="14" t="s">
        <v>42</v>
      </c>
      <c r="H7" s="23" t="s">
        <v>86</v>
      </c>
      <c r="I7" s="26"/>
      <c r="J7" s="48">
        <v>2.0</v>
      </c>
      <c r="K7" s="30"/>
      <c r="L7" s="23" t="s">
        <v>88</v>
      </c>
      <c r="M7" s="50">
        <v>8.0</v>
      </c>
      <c r="N7" s="51"/>
      <c r="O7" s="52"/>
      <c r="P7" s="20"/>
      <c r="Q7" s="20"/>
      <c r="R7" s="20"/>
      <c r="S7" s="20"/>
    </row>
    <row r="8">
      <c r="A8" s="10" t="s">
        <v>90</v>
      </c>
      <c r="B8" s="12">
        <v>46027.0</v>
      </c>
      <c r="C8" s="10" t="s">
        <v>92</v>
      </c>
      <c r="D8" s="13" t="s">
        <v>93</v>
      </c>
      <c r="E8" s="14" t="s">
        <v>17</v>
      </c>
      <c r="F8" s="14" t="s">
        <v>18</v>
      </c>
      <c r="G8" s="14" t="s">
        <v>42</v>
      </c>
      <c r="H8" s="10" t="s">
        <v>96</v>
      </c>
      <c r="I8" s="16"/>
      <c r="J8" s="31">
        <v>10.0</v>
      </c>
      <c r="K8" s="46"/>
      <c r="L8" s="10" t="s">
        <v>99</v>
      </c>
      <c r="M8" s="44">
        <v>8.0</v>
      </c>
      <c r="N8" s="45"/>
      <c r="O8" s="52"/>
      <c r="P8" s="20"/>
      <c r="Q8" s="20"/>
      <c r="R8" s="20"/>
      <c r="S8" s="20"/>
    </row>
    <row r="9">
      <c r="A9" s="23" t="s">
        <v>102</v>
      </c>
      <c r="B9" s="22">
        <v>46029.0</v>
      </c>
      <c r="C9" s="23" t="s">
        <v>104</v>
      </c>
      <c r="D9" s="24" t="s">
        <v>105</v>
      </c>
      <c r="E9" s="14" t="s">
        <v>17</v>
      </c>
      <c r="F9" s="14" t="s">
        <v>18</v>
      </c>
      <c r="G9" s="25" t="s">
        <v>42</v>
      </c>
      <c r="H9" s="23" t="s">
        <v>107</v>
      </c>
      <c r="I9" s="47">
        <v>46030.0</v>
      </c>
      <c r="J9" s="48">
        <v>3.0</v>
      </c>
      <c r="K9" s="36">
        <v>2076000.0</v>
      </c>
      <c r="L9" s="49" t="s">
        <v>108</v>
      </c>
      <c r="M9" s="75">
        <v>8.0</v>
      </c>
      <c r="N9" s="77"/>
      <c r="O9" s="52"/>
      <c r="P9" s="20"/>
      <c r="Q9" s="20"/>
      <c r="R9" s="20"/>
      <c r="S9" s="20"/>
    </row>
    <row r="10">
      <c r="A10" s="10" t="s">
        <v>109</v>
      </c>
      <c r="B10" s="12">
        <v>46030.0</v>
      </c>
      <c r="C10" s="10" t="s">
        <v>110</v>
      </c>
      <c r="D10" s="13" t="s">
        <v>111</v>
      </c>
      <c r="E10" s="14" t="s">
        <v>17</v>
      </c>
      <c r="F10" s="14" t="s">
        <v>18</v>
      </c>
      <c r="G10" s="14" t="s">
        <v>42</v>
      </c>
      <c r="H10" s="10" t="s">
        <v>96</v>
      </c>
      <c r="I10" s="79"/>
      <c r="J10" s="31">
        <v>2.0</v>
      </c>
      <c r="K10" s="46"/>
      <c r="L10" s="10" t="s">
        <v>112</v>
      </c>
      <c r="M10" s="44">
        <v>8.0</v>
      </c>
      <c r="N10" s="45"/>
      <c r="O10" s="52"/>
      <c r="P10" s="20"/>
      <c r="Q10" s="20"/>
      <c r="R10" s="20"/>
      <c r="S10" s="20"/>
    </row>
    <row r="11">
      <c r="A11" s="23" t="s">
        <v>113</v>
      </c>
      <c r="B11" s="22">
        <v>46030.0</v>
      </c>
      <c r="C11" s="23" t="s">
        <v>114</v>
      </c>
      <c r="D11" s="24" t="s">
        <v>115</v>
      </c>
      <c r="E11" s="14" t="s">
        <v>17</v>
      </c>
      <c r="F11" s="14" t="s">
        <v>18</v>
      </c>
      <c r="G11" s="14" t="s">
        <v>42</v>
      </c>
      <c r="H11" s="23" t="s">
        <v>116</v>
      </c>
      <c r="I11" s="23" t="s">
        <v>117</v>
      </c>
      <c r="J11" s="48">
        <v>2.0</v>
      </c>
      <c r="K11" s="30"/>
      <c r="L11" s="23" t="s">
        <v>118</v>
      </c>
      <c r="M11" s="50">
        <v>8.0</v>
      </c>
      <c r="N11" s="51"/>
      <c r="O11" s="52"/>
      <c r="P11" s="20"/>
      <c r="Q11" s="20"/>
      <c r="R11" s="20"/>
      <c r="S11" s="20"/>
    </row>
    <row r="12">
      <c r="A12" s="10" t="s">
        <v>119</v>
      </c>
      <c r="B12" s="12">
        <v>46031.0</v>
      </c>
      <c r="C12" s="10" t="s">
        <v>120</v>
      </c>
      <c r="D12" s="13" t="s">
        <v>121</v>
      </c>
      <c r="E12" s="14" t="s">
        <v>122</v>
      </c>
      <c r="F12" s="14" t="s">
        <v>18</v>
      </c>
      <c r="G12" s="14" t="s">
        <v>42</v>
      </c>
      <c r="H12" s="10" t="s">
        <v>123</v>
      </c>
      <c r="I12" s="16"/>
      <c r="J12" s="10"/>
      <c r="K12" s="46"/>
      <c r="L12" s="10" t="s">
        <v>124</v>
      </c>
      <c r="M12" s="44">
        <v>8.0</v>
      </c>
      <c r="N12" s="45"/>
      <c r="O12" s="52"/>
      <c r="P12" s="20"/>
      <c r="Q12" s="20"/>
      <c r="R12" s="20"/>
      <c r="S12" s="20"/>
    </row>
    <row r="13">
      <c r="A13" s="23" t="s">
        <v>125</v>
      </c>
      <c r="B13" s="22">
        <v>46023.0</v>
      </c>
      <c r="C13" s="23" t="s">
        <v>126</v>
      </c>
      <c r="D13" s="24" t="s">
        <v>127</v>
      </c>
      <c r="E13" s="14" t="s">
        <v>128</v>
      </c>
      <c r="F13" s="14" t="s">
        <v>129</v>
      </c>
      <c r="G13" s="14" t="s">
        <v>42</v>
      </c>
      <c r="H13" s="23" t="s">
        <v>86</v>
      </c>
      <c r="I13" s="26" t="s">
        <v>130</v>
      </c>
      <c r="J13" s="23"/>
      <c r="K13" s="30"/>
      <c r="L13" s="23" t="s">
        <v>131</v>
      </c>
      <c r="M13" s="50">
        <v>8.0</v>
      </c>
      <c r="N13" s="51"/>
      <c r="O13" s="52"/>
      <c r="P13" s="20"/>
      <c r="Q13" s="20"/>
      <c r="R13" s="20"/>
      <c r="S13" s="20"/>
    </row>
    <row r="14">
      <c r="A14" s="10" t="s">
        <v>132</v>
      </c>
      <c r="B14" s="12">
        <v>46031.0</v>
      </c>
      <c r="C14" s="10" t="s">
        <v>133</v>
      </c>
      <c r="D14" s="13" t="s">
        <v>134</v>
      </c>
      <c r="E14" s="14" t="s">
        <v>17</v>
      </c>
      <c r="F14" s="14" t="s">
        <v>18</v>
      </c>
      <c r="G14" s="14" t="s">
        <v>42</v>
      </c>
      <c r="H14" s="10" t="s">
        <v>123</v>
      </c>
      <c r="I14" s="79"/>
      <c r="J14" s="10"/>
      <c r="K14" s="46"/>
      <c r="L14" s="10" t="s">
        <v>135</v>
      </c>
      <c r="M14" s="44">
        <v>8.0</v>
      </c>
      <c r="N14" s="45"/>
      <c r="O14" s="52"/>
      <c r="P14" s="20"/>
      <c r="Q14" s="20"/>
      <c r="R14" s="20"/>
      <c r="S14" s="20"/>
    </row>
    <row r="15">
      <c r="A15" s="23" t="s">
        <v>136</v>
      </c>
      <c r="B15" s="22">
        <v>46023.0</v>
      </c>
      <c r="C15" s="23" t="s">
        <v>137</v>
      </c>
      <c r="D15" s="24" t="s">
        <v>138</v>
      </c>
      <c r="E15" s="14" t="s">
        <v>17</v>
      </c>
      <c r="F15" s="14" t="s">
        <v>129</v>
      </c>
      <c r="G15" s="14" t="s">
        <v>42</v>
      </c>
      <c r="H15" s="23" t="s">
        <v>139</v>
      </c>
      <c r="I15" s="23"/>
      <c r="J15" s="23"/>
      <c r="K15" s="30"/>
      <c r="L15" s="23" t="s">
        <v>140</v>
      </c>
      <c r="M15" s="50">
        <v>8.0</v>
      </c>
      <c r="N15" s="51"/>
      <c r="O15" s="20"/>
      <c r="P15" s="20"/>
      <c r="Q15" s="20"/>
      <c r="R15" s="20"/>
      <c r="S15" s="20"/>
    </row>
    <row r="16">
      <c r="A16" s="10" t="s">
        <v>141</v>
      </c>
      <c r="B16" s="12">
        <v>46032.0</v>
      </c>
      <c r="C16" s="10" t="s">
        <v>142</v>
      </c>
      <c r="D16" s="13" t="s">
        <v>143</v>
      </c>
      <c r="E16" s="14" t="s">
        <v>17</v>
      </c>
      <c r="F16" s="14" t="s">
        <v>18</v>
      </c>
      <c r="G16" s="15" t="s">
        <v>19</v>
      </c>
      <c r="H16" s="10" t="s">
        <v>144</v>
      </c>
      <c r="I16" s="82">
        <v>46046.0</v>
      </c>
      <c r="J16" s="31">
        <v>2.0</v>
      </c>
      <c r="K16" s="19">
        <v>590000.0</v>
      </c>
      <c r="L16" s="10" t="s">
        <v>108</v>
      </c>
      <c r="M16" s="44">
        <v>7.0</v>
      </c>
      <c r="N16" s="45"/>
      <c r="O16" s="20"/>
      <c r="P16" s="20"/>
      <c r="Q16" s="20"/>
      <c r="R16" s="20"/>
      <c r="S16" s="20"/>
    </row>
    <row r="17">
      <c r="A17" s="23" t="s">
        <v>145</v>
      </c>
      <c r="B17" s="22">
        <v>46023.0</v>
      </c>
      <c r="C17" s="23" t="s">
        <v>146</v>
      </c>
      <c r="D17" s="24" t="s">
        <v>147</v>
      </c>
      <c r="E17" s="14" t="s">
        <v>17</v>
      </c>
      <c r="F17" s="14" t="s">
        <v>129</v>
      </c>
      <c r="G17" s="14" t="s">
        <v>42</v>
      </c>
      <c r="H17" s="23" t="s">
        <v>148</v>
      </c>
      <c r="I17" s="83"/>
      <c r="J17" s="48">
        <v>7.0</v>
      </c>
      <c r="K17" s="36"/>
      <c r="L17" s="49" t="s">
        <v>112</v>
      </c>
      <c r="M17" s="75">
        <v>8.0</v>
      </c>
      <c r="N17" s="77"/>
      <c r="O17" s="20"/>
      <c r="P17" s="20"/>
      <c r="Q17" s="20"/>
      <c r="R17" s="20"/>
      <c r="S17" s="20"/>
    </row>
    <row r="18">
      <c r="A18" s="10" t="s">
        <v>149</v>
      </c>
      <c r="B18" s="12">
        <v>46023.0</v>
      </c>
      <c r="C18" s="10" t="s">
        <v>150</v>
      </c>
      <c r="D18" s="13" t="s">
        <v>151</v>
      </c>
      <c r="E18" s="14" t="s">
        <v>128</v>
      </c>
      <c r="F18" s="14" t="s">
        <v>129</v>
      </c>
      <c r="G18" s="14" t="s">
        <v>42</v>
      </c>
      <c r="H18" s="10" t="s">
        <v>152</v>
      </c>
      <c r="I18" s="10"/>
      <c r="J18" s="10"/>
      <c r="K18" s="19"/>
      <c r="L18" s="76" t="s">
        <v>112</v>
      </c>
      <c r="M18" s="84">
        <v>8.0</v>
      </c>
      <c r="N18" s="85"/>
      <c r="O18" s="20"/>
      <c r="P18" s="20"/>
      <c r="Q18" s="20"/>
      <c r="R18" s="20"/>
      <c r="S18" s="20"/>
    </row>
    <row r="19">
      <c r="A19" s="23" t="s">
        <v>153</v>
      </c>
      <c r="B19" s="22">
        <v>46023.0</v>
      </c>
      <c r="C19" s="23" t="s">
        <v>154</v>
      </c>
      <c r="D19" s="24" t="s">
        <v>155</v>
      </c>
      <c r="E19" s="14" t="s">
        <v>128</v>
      </c>
      <c r="F19" s="14" t="s">
        <v>129</v>
      </c>
      <c r="G19" s="25" t="s">
        <v>42</v>
      </c>
      <c r="H19" s="49" t="s">
        <v>156</v>
      </c>
      <c r="I19" s="83" t="s">
        <v>157</v>
      </c>
      <c r="J19" s="48">
        <v>7.0</v>
      </c>
      <c r="K19" s="36">
        <f>1603393*7</f>
        <v>11223751</v>
      </c>
      <c r="L19" s="49" t="s">
        <v>158</v>
      </c>
      <c r="M19" s="75">
        <v>8.0</v>
      </c>
      <c r="N19" s="77"/>
      <c r="O19" s="20"/>
      <c r="P19" s="20"/>
      <c r="Q19" s="20"/>
      <c r="R19" s="20"/>
      <c r="S19" s="20"/>
    </row>
    <row r="20">
      <c r="A20" s="10" t="s">
        <v>159</v>
      </c>
      <c r="B20" s="12">
        <v>46023.0</v>
      </c>
      <c r="C20" s="76" t="s">
        <v>160</v>
      </c>
      <c r="D20" s="13" t="s">
        <v>161</v>
      </c>
      <c r="E20" s="14" t="s">
        <v>128</v>
      </c>
      <c r="F20" s="14" t="s">
        <v>129</v>
      </c>
      <c r="G20" s="25" t="s">
        <v>42</v>
      </c>
      <c r="H20" s="10" t="s">
        <v>162</v>
      </c>
      <c r="I20" s="76" t="s">
        <v>163</v>
      </c>
      <c r="J20" s="10"/>
      <c r="K20" s="19"/>
      <c r="L20" s="76" t="s">
        <v>112</v>
      </c>
      <c r="M20" s="84">
        <v>8.0</v>
      </c>
      <c r="N20" s="85"/>
      <c r="O20" s="20"/>
      <c r="P20" s="20"/>
      <c r="Q20" s="20"/>
      <c r="R20" s="20"/>
      <c r="S20" s="20"/>
    </row>
    <row r="21">
      <c r="A21" s="23" t="s">
        <v>164</v>
      </c>
      <c r="B21" s="22">
        <v>46023.0</v>
      </c>
      <c r="C21" s="23" t="s">
        <v>165</v>
      </c>
      <c r="D21" s="24" t="s">
        <v>166</v>
      </c>
      <c r="E21" s="14" t="s">
        <v>128</v>
      </c>
      <c r="F21" s="14" t="s">
        <v>129</v>
      </c>
      <c r="G21" s="14" t="s">
        <v>42</v>
      </c>
      <c r="H21" s="23" t="s">
        <v>167</v>
      </c>
      <c r="I21" s="83">
        <v>46026.0</v>
      </c>
      <c r="J21" s="48">
        <v>2.0</v>
      </c>
      <c r="K21" s="36"/>
      <c r="L21" s="49" t="s">
        <v>168</v>
      </c>
      <c r="M21" s="75">
        <v>8.0</v>
      </c>
      <c r="N21" s="77"/>
      <c r="O21" s="20"/>
      <c r="P21" s="20"/>
      <c r="Q21" s="20"/>
      <c r="R21" s="20"/>
      <c r="S21" s="20"/>
    </row>
    <row r="22">
      <c r="A22" s="10" t="s">
        <v>169</v>
      </c>
      <c r="B22" s="12">
        <v>46023.0</v>
      </c>
      <c r="C22" s="10" t="s">
        <v>170</v>
      </c>
      <c r="D22" s="13" t="s">
        <v>171</v>
      </c>
      <c r="E22" s="14" t="s">
        <v>128</v>
      </c>
      <c r="F22" s="14" t="s">
        <v>129</v>
      </c>
      <c r="G22" s="14" t="s">
        <v>42</v>
      </c>
      <c r="H22" s="10" t="s">
        <v>172</v>
      </c>
      <c r="I22" s="10" t="s">
        <v>173</v>
      </c>
      <c r="J22" s="10"/>
      <c r="K22" s="46"/>
      <c r="L22" s="10" t="s">
        <v>174</v>
      </c>
      <c r="M22" s="44">
        <v>8.0</v>
      </c>
      <c r="N22" s="45"/>
      <c r="O22" s="20"/>
      <c r="P22" s="20"/>
      <c r="Q22" s="20"/>
      <c r="R22" s="20"/>
      <c r="S22" s="20"/>
    </row>
    <row r="23">
      <c r="A23" s="23" t="s">
        <v>175</v>
      </c>
      <c r="B23" s="22">
        <v>46024.0</v>
      </c>
      <c r="C23" s="23" t="s">
        <v>176</v>
      </c>
      <c r="D23" s="24" t="s">
        <v>177</v>
      </c>
      <c r="E23" s="14" t="s">
        <v>17</v>
      </c>
      <c r="F23" s="14" t="s">
        <v>129</v>
      </c>
      <c r="G23" s="15" t="s">
        <v>19</v>
      </c>
      <c r="H23" s="24" t="s">
        <v>178</v>
      </c>
      <c r="I23" s="83">
        <v>46025.0</v>
      </c>
      <c r="J23" s="48">
        <v>6.0</v>
      </c>
      <c r="K23" s="30">
        <f>410000*6</f>
        <v>2460000</v>
      </c>
      <c r="L23" s="23" t="s">
        <v>179</v>
      </c>
      <c r="M23" s="50">
        <v>7.0</v>
      </c>
      <c r="N23" s="51"/>
      <c r="O23" s="20"/>
      <c r="P23" s="20"/>
      <c r="Q23" s="20"/>
      <c r="R23" s="20"/>
      <c r="S23" s="20"/>
    </row>
    <row r="24">
      <c r="A24" s="10" t="s">
        <v>180</v>
      </c>
      <c r="B24" s="12">
        <v>46024.0</v>
      </c>
      <c r="C24" s="10" t="s">
        <v>181</v>
      </c>
      <c r="D24" s="13" t="s">
        <v>182</v>
      </c>
      <c r="E24" s="14" t="s">
        <v>128</v>
      </c>
      <c r="F24" s="14" t="s">
        <v>129</v>
      </c>
      <c r="G24" s="15" t="s">
        <v>42</v>
      </c>
      <c r="H24" s="10" t="s">
        <v>183</v>
      </c>
      <c r="I24" s="10" t="s">
        <v>184</v>
      </c>
      <c r="J24" s="31">
        <v>4.0</v>
      </c>
      <c r="K24" s="19"/>
      <c r="L24" s="76" t="s">
        <v>185</v>
      </c>
      <c r="M24" s="84">
        <v>8.0</v>
      </c>
      <c r="N24" s="85"/>
      <c r="O24" s="20"/>
      <c r="P24" s="20"/>
      <c r="Q24" s="20"/>
      <c r="R24" s="20"/>
      <c r="S24" s="20"/>
    </row>
    <row r="25">
      <c r="A25" s="23" t="s">
        <v>186</v>
      </c>
      <c r="B25" s="22">
        <v>46024.0</v>
      </c>
      <c r="C25" s="23" t="s">
        <v>187</v>
      </c>
      <c r="D25" s="24" t="s">
        <v>188</v>
      </c>
      <c r="E25" s="14" t="s">
        <v>128</v>
      </c>
      <c r="F25" s="14" t="s">
        <v>129</v>
      </c>
      <c r="G25" s="14" t="s">
        <v>42</v>
      </c>
      <c r="H25" s="23" t="s">
        <v>189</v>
      </c>
      <c r="I25" s="23" t="s">
        <v>190</v>
      </c>
      <c r="J25" s="23"/>
      <c r="K25" s="36"/>
      <c r="L25" s="49" t="s">
        <v>191</v>
      </c>
      <c r="M25" s="75">
        <v>8.0</v>
      </c>
      <c r="N25" s="77"/>
      <c r="O25" s="20"/>
      <c r="P25" s="20"/>
      <c r="Q25" s="20"/>
      <c r="R25" s="20"/>
      <c r="S25" s="20"/>
    </row>
    <row r="26">
      <c r="A26" s="10" t="s">
        <v>192</v>
      </c>
      <c r="B26" s="12">
        <v>46024.0</v>
      </c>
      <c r="C26" s="10" t="s">
        <v>193</v>
      </c>
      <c r="D26" s="13" t="s">
        <v>194</v>
      </c>
      <c r="E26" s="14" t="s">
        <v>17</v>
      </c>
      <c r="F26" s="14" t="s">
        <v>129</v>
      </c>
      <c r="G26" s="15" t="s">
        <v>19</v>
      </c>
      <c r="H26" s="10" t="s">
        <v>195</v>
      </c>
      <c r="I26" s="79">
        <v>46033.0</v>
      </c>
      <c r="J26" s="31">
        <v>4.0</v>
      </c>
      <c r="K26" s="46">
        <f>295000*4</f>
        <v>1180000</v>
      </c>
      <c r="L26" s="10"/>
      <c r="M26" s="44">
        <v>7.0</v>
      </c>
      <c r="N26" s="45"/>
      <c r="O26" s="20"/>
      <c r="P26" s="20"/>
      <c r="Q26" s="20"/>
      <c r="R26" s="20"/>
      <c r="S26" s="20"/>
    </row>
    <row r="27">
      <c r="A27" s="23" t="s">
        <v>196</v>
      </c>
      <c r="B27" s="22">
        <v>46024.0</v>
      </c>
      <c r="C27" s="23" t="s">
        <v>197</v>
      </c>
      <c r="D27" s="24" t="s">
        <v>198</v>
      </c>
      <c r="E27" s="14" t="s">
        <v>128</v>
      </c>
      <c r="F27" s="14" t="s">
        <v>129</v>
      </c>
      <c r="G27" s="14" t="s">
        <v>42</v>
      </c>
      <c r="H27" s="23" t="s">
        <v>199</v>
      </c>
      <c r="I27" s="83"/>
      <c r="J27" s="23"/>
      <c r="K27" s="36"/>
      <c r="L27" s="49" t="s">
        <v>191</v>
      </c>
      <c r="M27" s="75">
        <v>8.0</v>
      </c>
      <c r="N27" s="77"/>
      <c r="O27" s="20"/>
      <c r="P27" s="20"/>
      <c r="Q27" s="20"/>
      <c r="R27" s="20"/>
      <c r="S27" s="20"/>
    </row>
    <row r="28">
      <c r="A28" s="10" t="s">
        <v>200</v>
      </c>
      <c r="B28" s="12">
        <v>46024.0</v>
      </c>
      <c r="C28" s="10" t="s">
        <v>201</v>
      </c>
      <c r="D28" s="13" t="s">
        <v>202</v>
      </c>
      <c r="E28" s="14" t="s">
        <v>128</v>
      </c>
      <c r="F28" s="14" t="s">
        <v>129</v>
      </c>
      <c r="G28" s="25" t="s">
        <v>42</v>
      </c>
      <c r="H28" s="10" t="s">
        <v>203</v>
      </c>
      <c r="I28" s="79">
        <v>46104.0</v>
      </c>
      <c r="J28" s="31">
        <v>4.0</v>
      </c>
      <c r="K28" s="19">
        <f>640000+192000*4</f>
        <v>1408000</v>
      </c>
      <c r="L28" s="76" t="s">
        <v>204</v>
      </c>
      <c r="M28" s="84">
        <v>8.0</v>
      </c>
      <c r="N28" s="85"/>
      <c r="O28" s="20"/>
      <c r="P28" s="20"/>
      <c r="Q28" s="20"/>
      <c r="R28" s="20"/>
      <c r="S28" s="20"/>
    </row>
    <row r="29">
      <c r="A29" s="23" t="s">
        <v>205</v>
      </c>
      <c r="B29" s="22">
        <v>46024.0</v>
      </c>
      <c r="C29" s="23" t="s">
        <v>206</v>
      </c>
      <c r="D29" s="24" t="s">
        <v>207</v>
      </c>
      <c r="E29" s="14" t="s">
        <v>17</v>
      </c>
      <c r="F29" s="14" t="s">
        <v>129</v>
      </c>
      <c r="G29" s="25" t="s">
        <v>79</v>
      </c>
      <c r="H29" s="23" t="s">
        <v>183</v>
      </c>
      <c r="I29" s="23" t="s">
        <v>208</v>
      </c>
      <c r="J29" s="48">
        <v>40.0</v>
      </c>
      <c r="K29" s="36">
        <f>2051220*20</f>
        <v>41024400</v>
      </c>
      <c r="L29" s="49" t="s">
        <v>209</v>
      </c>
      <c r="M29" s="75">
        <v>99.0</v>
      </c>
      <c r="N29" s="77"/>
      <c r="O29" s="20"/>
      <c r="P29" s="20"/>
      <c r="Q29" s="20"/>
      <c r="R29" s="20"/>
      <c r="S29" s="20"/>
    </row>
    <row r="30">
      <c r="A30" s="10" t="s">
        <v>210</v>
      </c>
      <c r="B30" s="12">
        <v>46024.0</v>
      </c>
      <c r="C30" s="10" t="s">
        <v>211</v>
      </c>
      <c r="D30" s="13" t="s">
        <v>212</v>
      </c>
      <c r="E30" s="14" t="s">
        <v>17</v>
      </c>
      <c r="F30" s="14" t="s">
        <v>129</v>
      </c>
      <c r="G30" s="14" t="s">
        <v>42</v>
      </c>
      <c r="H30" s="10" t="s">
        <v>213</v>
      </c>
      <c r="I30" s="79">
        <v>46170.0</v>
      </c>
      <c r="J30" s="31">
        <v>17.0</v>
      </c>
      <c r="K30" s="19"/>
      <c r="L30" s="76" t="s">
        <v>214</v>
      </c>
      <c r="M30" s="84">
        <v>8.0</v>
      </c>
      <c r="N30" s="85"/>
      <c r="O30" s="20"/>
      <c r="P30" s="20"/>
      <c r="Q30" s="20"/>
      <c r="R30" s="20"/>
      <c r="S30" s="20"/>
    </row>
    <row r="31">
      <c r="A31" s="23" t="s">
        <v>215</v>
      </c>
      <c r="B31" s="22">
        <v>46024.0</v>
      </c>
      <c r="C31" s="23" t="s">
        <v>216</v>
      </c>
      <c r="D31" s="24" t="s">
        <v>217</v>
      </c>
      <c r="E31" s="14" t="s">
        <v>128</v>
      </c>
      <c r="F31" s="14" t="s">
        <v>129</v>
      </c>
      <c r="G31" s="25" t="s">
        <v>42</v>
      </c>
      <c r="H31" s="23" t="s">
        <v>218</v>
      </c>
      <c r="I31" s="83" t="s">
        <v>219</v>
      </c>
      <c r="J31" s="48">
        <v>2.0</v>
      </c>
      <c r="K31" s="36">
        <f>525000*2</f>
        <v>1050000</v>
      </c>
      <c r="L31" s="49" t="s">
        <v>220</v>
      </c>
      <c r="M31" s="75">
        <v>8.0</v>
      </c>
      <c r="N31" s="77"/>
      <c r="O31" s="20"/>
      <c r="P31" s="20"/>
      <c r="Q31" s="20"/>
      <c r="R31" s="20"/>
      <c r="S31" s="20"/>
    </row>
    <row r="32">
      <c r="A32" s="10" t="s">
        <v>221</v>
      </c>
      <c r="B32" s="12">
        <v>46024.0</v>
      </c>
      <c r="C32" s="10" t="s">
        <v>222</v>
      </c>
      <c r="D32" s="13" t="s">
        <v>223</v>
      </c>
      <c r="E32" s="14" t="s">
        <v>122</v>
      </c>
      <c r="F32" s="14" t="s">
        <v>129</v>
      </c>
      <c r="G32" s="14" t="s">
        <v>42</v>
      </c>
      <c r="H32" s="13" t="s">
        <v>224</v>
      </c>
      <c r="I32" s="79" t="s">
        <v>225</v>
      </c>
      <c r="J32" s="31">
        <v>2.0</v>
      </c>
      <c r="K32" s="46"/>
      <c r="L32" s="10" t="s">
        <v>226</v>
      </c>
      <c r="M32" s="44">
        <v>8.0</v>
      </c>
      <c r="N32" s="45"/>
      <c r="O32" s="20"/>
      <c r="P32" s="20"/>
      <c r="Q32" s="20"/>
      <c r="R32" s="20"/>
      <c r="S32" s="20"/>
    </row>
    <row r="33">
      <c r="A33" s="23" t="s">
        <v>227</v>
      </c>
      <c r="B33" s="22">
        <v>46025.0</v>
      </c>
      <c r="C33" s="23" t="s">
        <v>228</v>
      </c>
      <c r="D33" s="24" t="s">
        <v>229</v>
      </c>
      <c r="E33" s="14" t="s">
        <v>128</v>
      </c>
      <c r="F33" s="14" t="s">
        <v>129</v>
      </c>
      <c r="G33" s="25" t="s">
        <v>42</v>
      </c>
      <c r="H33" s="23" t="s">
        <v>230</v>
      </c>
      <c r="I33" s="23" t="s">
        <v>231</v>
      </c>
      <c r="J33" s="48">
        <v>3.0</v>
      </c>
      <c r="K33" s="36">
        <f>1600000*3</f>
        <v>4800000</v>
      </c>
      <c r="L33" s="49" t="s">
        <v>191</v>
      </c>
      <c r="M33" s="75">
        <v>8.0</v>
      </c>
      <c r="N33" s="77"/>
      <c r="O33" s="20"/>
      <c r="P33" s="20"/>
      <c r="Q33" s="20"/>
      <c r="R33" s="20"/>
      <c r="S33" s="20"/>
    </row>
    <row r="34">
      <c r="A34" s="10" t="s">
        <v>232</v>
      </c>
      <c r="B34" s="12">
        <v>46025.0</v>
      </c>
      <c r="C34" s="10" t="s">
        <v>233</v>
      </c>
      <c r="D34" s="13" t="s">
        <v>234</v>
      </c>
      <c r="E34" s="14" t="s">
        <v>122</v>
      </c>
      <c r="F34" s="14" t="s">
        <v>129</v>
      </c>
      <c r="G34" s="14" t="s">
        <v>42</v>
      </c>
      <c r="H34" s="10" t="s">
        <v>235</v>
      </c>
      <c r="I34" s="79"/>
      <c r="J34" s="10"/>
      <c r="K34" s="19"/>
      <c r="L34" s="76" t="s">
        <v>191</v>
      </c>
      <c r="M34" s="84">
        <v>8.0</v>
      </c>
      <c r="N34" s="85"/>
      <c r="O34" s="20"/>
      <c r="P34" s="20"/>
      <c r="Q34" s="20"/>
      <c r="R34" s="20"/>
      <c r="S34" s="20"/>
    </row>
    <row r="35">
      <c r="A35" s="23" t="s">
        <v>236</v>
      </c>
      <c r="B35" s="22">
        <v>46025.0</v>
      </c>
      <c r="C35" s="23" t="s">
        <v>237</v>
      </c>
      <c r="D35" s="24" t="s">
        <v>238</v>
      </c>
      <c r="E35" s="14" t="s">
        <v>17</v>
      </c>
      <c r="F35" s="14" t="s">
        <v>129</v>
      </c>
      <c r="G35" s="14" t="s">
        <v>42</v>
      </c>
      <c r="H35" s="23" t="s">
        <v>239</v>
      </c>
      <c r="I35" s="26"/>
      <c r="J35" s="23"/>
      <c r="K35" s="36"/>
      <c r="L35" s="49" t="s">
        <v>191</v>
      </c>
      <c r="M35" s="75">
        <v>8.0</v>
      </c>
      <c r="N35" s="77"/>
      <c r="O35" s="20"/>
      <c r="P35" s="20"/>
      <c r="Q35" s="20"/>
      <c r="R35" s="20"/>
      <c r="S35" s="20"/>
    </row>
    <row r="36">
      <c r="A36" s="10" t="s">
        <v>240</v>
      </c>
      <c r="B36" s="12">
        <v>46025.0</v>
      </c>
      <c r="C36" s="10" t="s">
        <v>241</v>
      </c>
      <c r="D36" s="13" t="s">
        <v>242</v>
      </c>
      <c r="E36" s="14" t="s">
        <v>128</v>
      </c>
      <c r="F36" s="14" t="s">
        <v>129</v>
      </c>
      <c r="G36" s="14" t="s">
        <v>42</v>
      </c>
      <c r="H36" s="10" t="s">
        <v>243</v>
      </c>
      <c r="I36" s="79">
        <v>46028.0</v>
      </c>
      <c r="J36" s="31">
        <v>3.0</v>
      </c>
      <c r="K36" s="46"/>
      <c r="L36" s="10" t="s">
        <v>244</v>
      </c>
      <c r="M36" s="44">
        <v>8.0</v>
      </c>
      <c r="N36" s="45"/>
      <c r="O36" s="20"/>
      <c r="P36" s="20"/>
      <c r="Q36" s="20"/>
      <c r="R36" s="20"/>
      <c r="S36" s="20"/>
    </row>
    <row r="37">
      <c r="A37" s="23" t="s">
        <v>245</v>
      </c>
      <c r="B37" s="22">
        <v>46025.0</v>
      </c>
      <c r="C37" s="23" t="s">
        <v>246</v>
      </c>
      <c r="D37" s="24" t="s">
        <v>247</v>
      </c>
      <c r="E37" s="14" t="s">
        <v>17</v>
      </c>
      <c r="F37" s="14" t="s">
        <v>129</v>
      </c>
      <c r="G37" s="14" t="s">
        <v>42</v>
      </c>
      <c r="H37" s="23" t="s">
        <v>248</v>
      </c>
      <c r="I37" s="23"/>
      <c r="J37" s="23"/>
      <c r="K37" s="30"/>
      <c r="L37" s="23" t="s">
        <v>249</v>
      </c>
      <c r="M37" s="50">
        <v>8.0</v>
      </c>
      <c r="N37" s="51"/>
      <c r="O37" s="20"/>
      <c r="P37" s="20"/>
      <c r="Q37" s="20"/>
      <c r="R37" s="20"/>
      <c r="S37" s="20"/>
    </row>
    <row r="38">
      <c r="A38" s="10" t="s">
        <v>250</v>
      </c>
      <c r="B38" s="12">
        <v>46025.0</v>
      </c>
      <c r="C38" s="10" t="s">
        <v>251</v>
      </c>
      <c r="D38" s="13" t="s">
        <v>252</v>
      </c>
      <c r="E38" s="14" t="s">
        <v>128</v>
      </c>
      <c r="F38" s="14" t="s">
        <v>129</v>
      </c>
      <c r="G38" s="25" t="s">
        <v>42</v>
      </c>
      <c r="H38" s="10" t="s">
        <v>253</v>
      </c>
      <c r="I38" s="10" t="s">
        <v>254</v>
      </c>
      <c r="J38" s="31">
        <v>4.0</v>
      </c>
      <c r="K38" s="46">
        <f>499000*4</f>
        <v>1996000</v>
      </c>
      <c r="L38" s="76" t="s">
        <v>255</v>
      </c>
      <c r="M38" s="44">
        <v>8.0</v>
      </c>
      <c r="N38" s="86" t="s">
        <v>256</v>
      </c>
      <c r="O38" s="20"/>
      <c r="P38" s="20"/>
      <c r="Q38" s="20"/>
      <c r="R38" s="20"/>
      <c r="S38" s="20"/>
    </row>
    <row r="39">
      <c r="A39" s="23" t="s">
        <v>257</v>
      </c>
      <c r="B39" s="22">
        <v>46025.0</v>
      </c>
      <c r="C39" s="23" t="s">
        <v>258</v>
      </c>
      <c r="D39" s="24" t="s">
        <v>259</v>
      </c>
      <c r="E39" s="14" t="s">
        <v>128</v>
      </c>
      <c r="F39" s="14" t="s">
        <v>129</v>
      </c>
      <c r="G39" s="15" t="s">
        <v>42</v>
      </c>
      <c r="H39" s="23" t="s">
        <v>260</v>
      </c>
      <c r="I39" s="83"/>
      <c r="J39" s="23"/>
      <c r="K39" s="30"/>
      <c r="L39" s="23" t="s">
        <v>261</v>
      </c>
      <c r="M39" s="50">
        <v>8.0</v>
      </c>
      <c r="N39" s="51"/>
      <c r="O39" s="20"/>
      <c r="P39" s="20"/>
      <c r="Q39" s="20"/>
      <c r="R39" s="20"/>
      <c r="S39" s="20"/>
    </row>
    <row r="40">
      <c r="A40" s="10" t="s">
        <v>262</v>
      </c>
      <c r="B40" s="12">
        <v>46025.0</v>
      </c>
      <c r="C40" s="10" t="s">
        <v>263</v>
      </c>
      <c r="D40" s="13" t="s">
        <v>264</v>
      </c>
      <c r="E40" s="14" t="s">
        <v>17</v>
      </c>
      <c r="F40" s="14" t="s">
        <v>129</v>
      </c>
      <c r="G40" s="15" t="s">
        <v>19</v>
      </c>
      <c r="H40" s="10" t="s">
        <v>265</v>
      </c>
      <c r="I40" s="79">
        <v>46026.0</v>
      </c>
      <c r="J40" s="31">
        <v>1.0</v>
      </c>
      <c r="K40" s="19">
        <v>2318100.0</v>
      </c>
      <c r="L40" s="10"/>
      <c r="M40" s="44">
        <v>7.0</v>
      </c>
      <c r="N40" s="45"/>
      <c r="O40" s="20"/>
      <c r="P40" s="20"/>
      <c r="Q40" s="20"/>
      <c r="R40" s="20"/>
      <c r="S40" s="20"/>
    </row>
    <row r="41">
      <c r="A41" s="23" t="s">
        <v>266</v>
      </c>
      <c r="B41" s="22">
        <v>46025.0</v>
      </c>
      <c r="C41" s="23" t="s">
        <v>267</v>
      </c>
      <c r="D41" s="24" t="s">
        <v>268</v>
      </c>
      <c r="E41" s="14" t="s">
        <v>128</v>
      </c>
      <c r="F41" s="14" t="s">
        <v>129</v>
      </c>
      <c r="G41" s="15" t="s">
        <v>19</v>
      </c>
      <c r="H41" s="23" t="s">
        <v>269</v>
      </c>
      <c r="I41" s="83">
        <v>46032.0</v>
      </c>
      <c r="J41" s="48">
        <v>5.0</v>
      </c>
      <c r="K41" s="36">
        <v>2300000.0</v>
      </c>
      <c r="L41" s="23"/>
      <c r="M41" s="50">
        <v>7.0</v>
      </c>
      <c r="N41" s="51"/>
      <c r="O41" s="20"/>
      <c r="P41" s="20"/>
      <c r="Q41" s="20"/>
      <c r="R41" s="20"/>
      <c r="S41" s="20"/>
    </row>
    <row r="42">
      <c r="A42" s="10" t="s">
        <v>270</v>
      </c>
      <c r="B42" s="12">
        <v>46025.0</v>
      </c>
      <c r="C42" s="10" t="s">
        <v>271</v>
      </c>
      <c r="D42" s="13" t="s">
        <v>272</v>
      </c>
      <c r="E42" s="14" t="s">
        <v>128</v>
      </c>
      <c r="F42" s="14" t="s">
        <v>129</v>
      </c>
      <c r="G42" s="25" t="s">
        <v>42</v>
      </c>
      <c r="H42" s="10" t="s">
        <v>86</v>
      </c>
      <c r="I42" s="10" t="s">
        <v>273</v>
      </c>
      <c r="J42" s="31">
        <v>5.0</v>
      </c>
      <c r="K42" s="19">
        <f>1845000*5</f>
        <v>9225000</v>
      </c>
      <c r="L42" s="76" t="s">
        <v>158</v>
      </c>
      <c r="M42" s="84">
        <v>8.0</v>
      </c>
      <c r="N42" s="85"/>
      <c r="O42" s="20"/>
      <c r="P42" s="20"/>
      <c r="Q42" s="20"/>
      <c r="R42" s="20"/>
      <c r="S42" s="20"/>
    </row>
    <row r="43">
      <c r="A43" s="23" t="s">
        <v>274</v>
      </c>
      <c r="B43" s="22">
        <v>46025.0</v>
      </c>
      <c r="C43" s="23" t="s">
        <v>275</v>
      </c>
      <c r="D43" s="24" t="s">
        <v>276</v>
      </c>
      <c r="E43" s="14" t="s">
        <v>17</v>
      </c>
      <c r="F43" s="14" t="s">
        <v>129</v>
      </c>
      <c r="G43" s="14" t="s">
        <v>42</v>
      </c>
      <c r="H43" s="23" t="s">
        <v>277</v>
      </c>
      <c r="I43" s="83">
        <v>46039.0</v>
      </c>
      <c r="J43" s="48">
        <v>14.0</v>
      </c>
      <c r="K43" s="30"/>
      <c r="L43" s="23" t="s">
        <v>278</v>
      </c>
      <c r="M43" s="50">
        <v>8.0</v>
      </c>
      <c r="N43" s="51"/>
      <c r="O43" s="20"/>
      <c r="P43" s="20"/>
      <c r="Q43" s="20"/>
      <c r="R43" s="20"/>
      <c r="S43" s="20"/>
    </row>
    <row r="44">
      <c r="A44" s="10" t="s">
        <v>279</v>
      </c>
      <c r="B44" s="12">
        <v>46026.0</v>
      </c>
      <c r="C44" s="10" t="s">
        <v>280</v>
      </c>
      <c r="D44" s="13" t="s">
        <v>281</v>
      </c>
      <c r="E44" s="14" t="s">
        <v>128</v>
      </c>
      <c r="F44" s="14" t="s">
        <v>129</v>
      </c>
      <c r="G44" s="25" t="s">
        <v>42</v>
      </c>
      <c r="H44" s="10" t="s">
        <v>282</v>
      </c>
      <c r="I44" s="10" t="s">
        <v>283</v>
      </c>
      <c r="J44" s="10"/>
      <c r="K44" s="19"/>
      <c r="L44" s="76" t="s">
        <v>158</v>
      </c>
      <c r="M44" s="84">
        <v>8.0</v>
      </c>
      <c r="N44" s="85"/>
      <c r="O44" s="20"/>
      <c r="P44" s="20"/>
      <c r="Q44" s="20"/>
      <c r="R44" s="20"/>
      <c r="S44" s="20"/>
    </row>
    <row r="45">
      <c r="A45" s="23" t="s">
        <v>284</v>
      </c>
      <c r="B45" s="22">
        <v>46026.0</v>
      </c>
      <c r="C45" s="23" t="s">
        <v>285</v>
      </c>
      <c r="D45" s="24" t="s">
        <v>286</v>
      </c>
      <c r="E45" s="14" t="s">
        <v>17</v>
      </c>
      <c r="F45" s="14" t="s">
        <v>129</v>
      </c>
      <c r="G45" s="14" t="s">
        <v>42</v>
      </c>
      <c r="H45" s="23" t="s">
        <v>287</v>
      </c>
      <c r="I45" s="26"/>
      <c r="J45" s="23"/>
      <c r="K45" s="30"/>
      <c r="L45" s="23" t="s">
        <v>288</v>
      </c>
      <c r="M45" s="50">
        <v>8.0</v>
      </c>
      <c r="N45" s="51"/>
      <c r="O45" s="20"/>
      <c r="P45" s="20"/>
      <c r="Q45" s="20"/>
      <c r="R45" s="20"/>
      <c r="S45" s="20"/>
    </row>
    <row r="46">
      <c r="A46" s="10" t="s">
        <v>289</v>
      </c>
      <c r="B46" s="12">
        <v>46026.0</v>
      </c>
      <c r="C46" s="10" t="s">
        <v>290</v>
      </c>
      <c r="D46" s="13" t="s">
        <v>286</v>
      </c>
      <c r="E46" s="14" t="s">
        <v>128</v>
      </c>
      <c r="F46" s="14" t="s">
        <v>129</v>
      </c>
      <c r="G46" s="14" t="s">
        <v>42</v>
      </c>
      <c r="H46" s="10"/>
      <c r="I46" s="16"/>
      <c r="J46" s="31">
        <v>2.0</v>
      </c>
      <c r="K46" s="46"/>
      <c r="L46" s="10" t="s">
        <v>291</v>
      </c>
      <c r="M46" s="44">
        <v>8.0</v>
      </c>
      <c r="N46" s="45"/>
      <c r="O46" s="20"/>
      <c r="P46" s="20"/>
      <c r="Q46" s="20"/>
      <c r="R46" s="20"/>
      <c r="S46" s="20"/>
    </row>
    <row r="47">
      <c r="A47" s="23" t="s">
        <v>292</v>
      </c>
      <c r="B47" s="22">
        <v>46026.0</v>
      </c>
      <c r="C47" s="23" t="s">
        <v>293</v>
      </c>
      <c r="D47" s="24" t="s">
        <v>294</v>
      </c>
      <c r="E47" s="14" t="s">
        <v>17</v>
      </c>
      <c r="F47" s="14" t="s">
        <v>129</v>
      </c>
      <c r="G47" s="15" t="s">
        <v>19</v>
      </c>
      <c r="H47" s="23" t="s">
        <v>248</v>
      </c>
      <c r="I47" s="83">
        <v>46038.0</v>
      </c>
      <c r="J47" s="48">
        <v>4.0</v>
      </c>
      <c r="K47" s="30">
        <f>314000*5</f>
        <v>1570000</v>
      </c>
      <c r="L47" s="49" t="s">
        <v>295</v>
      </c>
      <c r="M47" s="50">
        <v>7.0</v>
      </c>
      <c r="N47" s="51"/>
      <c r="O47" s="20"/>
      <c r="P47" s="20"/>
      <c r="Q47" s="20"/>
      <c r="R47" s="20"/>
      <c r="S47" s="20"/>
    </row>
    <row r="48">
      <c r="A48" s="10" t="s">
        <v>296</v>
      </c>
      <c r="B48" s="12">
        <v>46026.0</v>
      </c>
      <c r="C48" s="10" t="s">
        <v>297</v>
      </c>
      <c r="D48" s="13" t="s">
        <v>298</v>
      </c>
      <c r="E48" s="14" t="s">
        <v>128</v>
      </c>
      <c r="F48" s="14" t="s">
        <v>129</v>
      </c>
      <c r="G48" s="15" t="s">
        <v>42</v>
      </c>
      <c r="H48" s="10" t="s">
        <v>199</v>
      </c>
      <c r="I48" s="10" t="s">
        <v>299</v>
      </c>
      <c r="J48" s="31">
        <v>30.0</v>
      </c>
      <c r="K48" s="19"/>
      <c r="L48" s="76" t="s">
        <v>300</v>
      </c>
      <c r="M48" s="84">
        <v>8.0</v>
      </c>
      <c r="N48" s="85"/>
      <c r="O48" s="20"/>
      <c r="P48" s="20"/>
      <c r="Q48" s="20"/>
      <c r="R48" s="20"/>
      <c r="S48" s="20"/>
    </row>
    <row r="49">
      <c r="A49" s="23" t="s">
        <v>301</v>
      </c>
      <c r="B49" s="22">
        <v>46026.0</v>
      </c>
      <c r="C49" s="23" t="s">
        <v>302</v>
      </c>
      <c r="D49" s="24" t="s">
        <v>303</v>
      </c>
      <c r="E49" s="14" t="s">
        <v>17</v>
      </c>
      <c r="F49" s="14" t="s">
        <v>129</v>
      </c>
      <c r="G49" s="14" t="s">
        <v>42</v>
      </c>
      <c r="H49" s="23" t="s">
        <v>304</v>
      </c>
      <c r="I49" s="23"/>
      <c r="J49" s="48">
        <v>25.0</v>
      </c>
      <c r="K49" s="30"/>
      <c r="L49" s="23" t="s">
        <v>305</v>
      </c>
      <c r="M49" s="50">
        <v>8.0</v>
      </c>
      <c r="N49" s="51"/>
      <c r="O49" s="20"/>
      <c r="P49" s="20"/>
      <c r="Q49" s="20"/>
      <c r="R49" s="20"/>
      <c r="S49" s="20"/>
    </row>
    <row r="50">
      <c r="A50" s="10" t="s">
        <v>306</v>
      </c>
      <c r="B50" s="12">
        <v>46026.0</v>
      </c>
      <c r="C50" s="10" t="s">
        <v>307</v>
      </c>
      <c r="D50" s="13" t="s">
        <v>308</v>
      </c>
      <c r="E50" s="14" t="s">
        <v>128</v>
      </c>
      <c r="F50" s="14" t="s">
        <v>129</v>
      </c>
      <c r="G50" s="14" t="s">
        <v>42</v>
      </c>
      <c r="H50" s="10" t="s">
        <v>260</v>
      </c>
      <c r="I50" s="79"/>
      <c r="J50" s="10"/>
      <c r="K50" s="19"/>
      <c r="L50" s="76" t="s">
        <v>191</v>
      </c>
      <c r="M50" s="84">
        <v>8.0</v>
      </c>
      <c r="N50" s="85"/>
      <c r="O50" s="20"/>
      <c r="P50" s="20"/>
      <c r="Q50" s="20"/>
      <c r="R50" s="20"/>
      <c r="S50" s="20"/>
    </row>
    <row r="51">
      <c r="A51" s="23" t="s">
        <v>309</v>
      </c>
      <c r="B51" s="22">
        <v>46026.0</v>
      </c>
      <c r="C51" s="23" t="s">
        <v>310</v>
      </c>
      <c r="D51" s="24" t="s">
        <v>311</v>
      </c>
      <c r="E51" s="14" t="s">
        <v>128</v>
      </c>
      <c r="F51" s="14" t="s">
        <v>129</v>
      </c>
      <c r="G51" s="14" t="s">
        <v>42</v>
      </c>
      <c r="H51" s="23" t="s">
        <v>86</v>
      </c>
      <c r="I51" s="23"/>
      <c r="J51" s="23"/>
      <c r="K51" s="36"/>
      <c r="L51" s="49" t="s">
        <v>312</v>
      </c>
      <c r="M51" s="75">
        <v>8.0</v>
      </c>
      <c r="N51" s="77"/>
      <c r="O51" s="20"/>
      <c r="P51" s="20"/>
      <c r="Q51" s="20"/>
      <c r="R51" s="20"/>
      <c r="S51" s="20"/>
    </row>
    <row r="52">
      <c r="A52" s="10" t="s">
        <v>313</v>
      </c>
      <c r="B52" s="12">
        <v>46026.0</v>
      </c>
      <c r="C52" s="10" t="s">
        <v>314</v>
      </c>
      <c r="D52" s="13" t="s">
        <v>315</v>
      </c>
      <c r="E52" s="14" t="s">
        <v>128</v>
      </c>
      <c r="F52" s="14" t="s">
        <v>129</v>
      </c>
      <c r="G52" s="14" t="s">
        <v>42</v>
      </c>
      <c r="H52" s="10" t="s">
        <v>86</v>
      </c>
      <c r="I52" s="10" t="s">
        <v>316</v>
      </c>
      <c r="J52" s="31">
        <v>6.0</v>
      </c>
      <c r="K52" s="46"/>
      <c r="L52" s="10" t="s">
        <v>317</v>
      </c>
      <c r="M52" s="44">
        <v>8.0</v>
      </c>
      <c r="N52" s="45"/>
      <c r="O52" s="20"/>
      <c r="P52" s="20"/>
      <c r="Q52" s="20"/>
      <c r="R52" s="20"/>
      <c r="S52" s="20"/>
    </row>
    <row r="53">
      <c r="A53" s="23" t="s">
        <v>318</v>
      </c>
      <c r="B53" s="22">
        <v>46027.0</v>
      </c>
      <c r="C53" s="23" t="s">
        <v>319</v>
      </c>
      <c r="D53" s="24" t="s">
        <v>320</v>
      </c>
      <c r="E53" s="14" t="s">
        <v>17</v>
      </c>
      <c r="F53" s="14" t="s">
        <v>129</v>
      </c>
      <c r="G53" s="15" t="s">
        <v>42</v>
      </c>
      <c r="H53" s="23" t="s">
        <v>86</v>
      </c>
      <c r="I53" s="23" t="s">
        <v>321</v>
      </c>
      <c r="J53" s="48">
        <v>60.0</v>
      </c>
      <c r="K53" s="36"/>
      <c r="L53" s="49" t="s">
        <v>322</v>
      </c>
      <c r="M53" s="75">
        <v>8.0</v>
      </c>
      <c r="N53" s="77"/>
      <c r="O53" s="20"/>
      <c r="P53" s="20"/>
      <c r="Q53" s="20"/>
      <c r="R53" s="20"/>
      <c r="S53" s="20"/>
    </row>
    <row r="54">
      <c r="A54" s="10" t="s">
        <v>323</v>
      </c>
      <c r="B54" s="12">
        <v>46027.0</v>
      </c>
      <c r="C54" s="10" t="s">
        <v>324</v>
      </c>
      <c r="D54" s="13" t="s">
        <v>325</v>
      </c>
      <c r="E54" s="14" t="s">
        <v>128</v>
      </c>
      <c r="F54" s="14" t="s">
        <v>129</v>
      </c>
      <c r="G54" s="15" t="s">
        <v>42</v>
      </c>
      <c r="H54" s="10"/>
      <c r="I54" s="10"/>
      <c r="J54" s="31">
        <v>10.0</v>
      </c>
      <c r="K54" s="19"/>
      <c r="L54" s="76" t="s">
        <v>326</v>
      </c>
      <c r="M54" s="84">
        <v>8.0</v>
      </c>
      <c r="N54" s="85"/>
      <c r="O54" s="20"/>
      <c r="P54" s="20"/>
      <c r="Q54" s="20"/>
      <c r="R54" s="20"/>
      <c r="S54" s="20"/>
    </row>
    <row r="55">
      <c r="A55" s="23" t="s">
        <v>327</v>
      </c>
      <c r="B55" s="22">
        <v>46027.0</v>
      </c>
      <c r="C55" s="23" t="s">
        <v>328</v>
      </c>
      <c r="D55" s="24" t="s">
        <v>329</v>
      </c>
      <c r="E55" s="14" t="s">
        <v>128</v>
      </c>
      <c r="F55" s="14" t="s">
        <v>129</v>
      </c>
      <c r="G55" s="15" t="s">
        <v>42</v>
      </c>
      <c r="H55" s="23" t="s">
        <v>123</v>
      </c>
      <c r="I55" s="23" t="s">
        <v>330</v>
      </c>
      <c r="J55" s="48">
        <v>27.0</v>
      </c>
      <c r="K55" s="30"/>
      <c r="L55" s="23" t="s">
        <v>331</v>
      </c>
      <c r="M55" s="50">
        <v>8.0</v>
      </c>
      <c r="N55" s="51"/>
      <c r="O55" s="20"/>
      <c r="P55" s="20"/>
      <c r="Q55" s="20"/>
      <c r="R55" s="20"/>
      <c r="S55" s="20"/>
    </row>
    <row r="56">
      <c r="A56" s="10" t="s">
        <v>332</v>
      </c>
      <c r="B56" s="12">
        <v>46027.0</v>
      </c>
      <c r="C56" s="10" t="s">
        <v>333</v>
      </c>
      <c r="D56" s="13" t="s">
        <v>334</v>
      </c>
      <c r="E56" s="14" t="s">
        <v>122</v>
      </c>
      <c r="F56" s="14" t="s">
        <v>129</v>
      </c>
      <c r="G56" s="25" t="s">
        <v>42</v>
      </c>
      <c r="H56" s="10" t="s">
        <v>335</v>
      </c>
      <c r="I56" s="76" t="s">
        <v>336</v>
      </c>
      <c r="J56" s="31">
        <v>50.0</v>
      </c>
      <c r="K56" s="46">
        <f>900000*50</f>
        <v>45000000</v>
      </c>
      <c r="L56" s="10" t="s">
        <v>337</v>
      </c>
      <c r="M56" s="44">
        <v>8.0</v>
      </c>
      <c r="N56" s="45"/>
      <c r="O56" s="20"/>
      <c r="P56" s="20"/>
      <c r="Q56" s="20"/>
      <c r="R56" s="20"/>
      <c r="S56" s="20"/>
    </row>
    <row r="57">
      <c r="A57" s="23" t="s">
        <v>338</v>
      </c>
      <c r="B57" s="22">
        <v>46027.0</v>
      </c>
      <c r="C57" s="23" t="s">
        <v>339</v>
      </c>
      <c r="D57" s="24" t="s">
        <v>340</v>
      </c>
      <c r="E57" s="14" t="s">
        <v>17</v>
      </c>
      <c r="F57" s="14" t="s">
        <v>129</v>
      </c>
      <c r="G57" s="15" t="s">
        <v>42</v>
      </c>
      <c r="H57" s="23" t="s">
        <v>341</v>
      </c>
      <c r="I57" s="83" t="s">
        <v>342</v>
      </c>
      <c r="J57" s="23"/>
      <c r="K57" s="36"/>
      <c r="L57" s="49" t="s">
        <v>191</v>
      </c>
      <c r="M57" s="75">
        <v>8.0</v>
      </c>
      <c r="N57" s="77"/>
      <c r="O57" s="20"/>
      <c r="P57" s="20"/>
      <c r="Q57" s="20"/>
      <c r="R57" s="20"/>
      <c r="S57" s="20"/>
    </row>
    <row r="58">
      <c r="A58" s="10" t="s">
        <v>343</v>
      </c>
      <c r="B58" s="12">
        <v>46027.0</v>
      </c>
      <c r="C58" s="10" t="s">
        <v>344</v>
      </c>
      <c r="D58" s="13" t="s">
        <v>345</v>
      </c>
      <c r="E58" s="14" t="s">
        <v>128</v>
      </c>
      <c r="F58" s="14" t="s">
        <v>129</v>
      </c>
      <c r="G58" s="15" t="s">
        <v>19</v>
      </c>
      <c r="H58" s="10" t="s">
        <v>346</v>
      </c>
      <c r="I58" s="10"/>
      <c r="J58" s="31">
        <v>4.0</v>
      </c>
      <c r="K58" s="19">
        <v>4090000.0</v>
      </c>
      <c r="L58" s="76" t="s">
        <v>295</v>
      </c>
      <c r="M58" s="44">
        <v>7.0</v>
      </c>
      <c r="N58" s="45"/>
      <c r="O58" s="20"/>
      <c r="P58" s="20"/>
      <c r="Q58" s="20"/>
      <c r="R58" s="20"/>
      <c r="S58" s="20"/>
    </row>
    <row r="59">
      <c r="A59" s="23" t="s">
        <v>347</v>
      </c>
      <c r="B59" s="22">
        <v>46027.0</v>
      </c>
      <c r="C59" s="23" t="s">
        <v>348</v>
      </c>
      <c r="D59" s="24" t="s">
        <v>349</v>
      </c>
      <c r="E59" s="14" t="s">
        <v>122</v>
      </c>
      <c r="F59" s="14" t="s">
        <v>129</v>
      </c>
      <c r="G59" s="14" t="s">
        <v>42</v>
      </c>
      <c r="H59" s="23" t="s">
        <v>350</v>
      </c>
      <c r="I59" s="83"/>
      <c r="J59" s="48">
        <v>60.0</v>
      </c>
      <c r="K59" s="30"/>
      <c r="L59" s="23" t="s">
        <v>351</v>
      </c>
      <c r="M59" s="50">
        <v>8.0</v>
      </c>
      <c r="N59" s="51"/>
      <c r="O59" s="20"/>
      <c r="P59" s="20"/>
      <c r="Q59" s="20"/>
      <c r="R59" s="20"/>
      <c r="S59" s="20"/>
    </row>
    <row r="60">
      <c r="A60" s="10" t="s">
        <v>352</v>
      </c>
      <c r="B60" s="12">
        <v>46027.0</v>
      </c>
      <c r="C60" s="10" t="s">
        <v>353</v>
      </c>
      <c r="D60" s="13" t="s">
        <v>354</v>
      </c>
      <c r="E60" s="14" t="s">
        <v>17</v>
      </c>
      <c r="F60" s="14" t="s">
        <v>129</v>
      </c>
      <c r="G60" s="25" t="s">
        <v>42</v>
      </c>
      <c r="H60" s="10" t="s">
        <v>123</v>
      </c>
      <c r="I60" s="79" t="s">
        <v>299</v>
      </c>
      <c r="J60" s="31">
        <v>100.0</v>
      </c>
      <c r="K60" s="19">
        <v>1.346E8</v>
      </c>
      <c r="L60" s="76" t="s">
        <v>158</v>
      </c>
      <c r="M60" s="84">
        <v>8.0</v>
      </c>
      <c r="N60" s="85"/>
      <c r="O60" s="20"/>
      <c r="P60" s="20"/>
      <c r="Q60" s="20"/>
      <c r="R60" s="20"/>
      <c r="S60" s="20"/>
    </row>
    <row r="61">
      <c r="A61" s="23" t="s">
        <v>355</v>
      </c>
      <c r="B61" s="22">
        <v>46027.0</v>
      </c>
      <c r="C61" s="23" t="s">
        <v>356</v>
      </c>
      <c r="D61" s="24">
        <v>4915736805277</v>
      </c>
      <c r="E61" s="14" t="s">
        <v>17</v>
      </c>
      <c r="F61" s="14" t="s">
        <v>129</v>
      </c>
      <c r="G61" s="14" t="s">
        <v>42</v>
      </c>
      <c r="H61" s="23" t="s">
        <v>357</v>
      </c>
      <c r="I61" s="23"/>
      <c r="J61" s="48">
        <v>2.0</v>
      </c>
      <c r="K61" s="30"/>
      <c r="L61" s="23" t="s">
        <v>358</v>
      </c>
      <c r="M61" s="50">
        <v>8.0</v>
      </c>
      <c r="N61" s="51"/>
      <c r="O61" s="20"/>
      <c r="P61" s="20"/>
      <c r="Q61" s="20"/>
      <c r="R61" s="20"/>
      <c r="S61" s="20"/>
    </row>
    <row r="62">
      <c r="A62" s="10" t="s">
        <v>359</v>
      </c>
      <c r="B62" s="12">
        <v>46027.0</v>
      </c>
      <c r="C62" s="10" t="s">
        <v>360</v>
      </c>
      <c r="D62" s="13" t="s">
        <v>361</v>
      </c>
      <c r="E62" s="14" t="s">
        <v>17</v>
      </c>
      <c r="F62" s="14" t="s">
        <v>129</v>
      </c>
      <c r="G62" s="14" t="s">
        <v>42</v>
      </c>
      <c r="H62" s="10"/>
      <c r="I62" s="10"/>
      <c r="J62" s="10"/>
      <c r="K62" s="46"/>
      <c r="L62" s="10"/>
      <c r="M62" s="44">
        <v>8.0</v>
      </c>
      <c r="N62" s="45"/>
      <c r="O62" s="20"/>
      <c r="P62" s="20"/>
      <c r="Q62" s="20"/>
      <c r="R62" s="20"/>
      <c r="S62" s="20"/>
    </row>
    <row r="63">
      <c r="A63" s="23" t="s">
        <v>362</v>
      </c>
      <c r="B63" s="22">
        <v>46027.0</v>
      </c>
      <c r="C63" s="23" t="s">
        <v>363</v>
      </c>
      <c r="D63" s="24" t="s">
        <v>364</v>
      </c>
      <c r="E63" s="14" t="s">
        <v>128</v>
      </c>
      <c r="F63" s="14" t="s">
        <v>129</v>
      </c>
      <c r="G63" s="15" t="s">
        <v>42</v>
      </c>
      <c r="H63" s="83" t="s">
        <v>365</v>
      </c>
      <c r="I63" s="83" t="s">
        <v>366</v>
      </c>
      <c r="J63" s="23"/>
      <c r="K63" s="36"/>
      <c r="L63" s="49" t="s">
        <v>191</v>
      </c>
      <c r="M63" s="75">
        <v>8.0</v>
      </c>
      <c r="N63" s="77"/>
      <c r="O63" s="20"/>
      <c r="P63" s="20"/>
      <c r="Q63" s="20"/>
      <c r="R63" s="20"/>
      <c r="S63" s="20"/>
    </row>
    <row r="64">
      <c r="A64" s="10" t="s">
        <v>367</v>
      </c>
      <c r="B64" s="12">
        <v>46027.0</v>
      </c>
      <c r="C64" s="10" t="s">
        <v>368</v>
      </c>
      <c r="D64" s="13" t="s">
        <v>369</v>
      </c>
      <c r="E64" s="14" t="s">
        <v>17</v>
      </c>
      <c r="F64" s="14" t="s">
        <v>129</v>
      </c>
      <c r="G64" s="14" t="s">
        <v>42</v>
      </c>
      <c r="H64" s="10" t="s">
        <v>370</v>
      </c>
      <c r="I64" s="79">
        <v>46042.0</v>
      </c>
      <c r="J64" s="31">
        <v>2.0</v>
      </c>
      <c r="K64" s="19"/>
      <c r="L64" s="76" t="s">
        <v>371</v>
      </c>
      <c r="M64" s="84">
        <v>8.0</v>
      </c>
      <c r="N64" s="85"/>
      <c r="O64" s="20"/>
      <c r="P64" s="20"/>
      <c r="Q64" s="20"/>
      <c r="R64" s="20"/>
      <c r="S64" s="20"/>
    </row>
    <row r="65">
      <c r="A65" s="23" t="s">
        <v>372</v>
      </c>
      <c r="B65" s="22">
        <v>46027.0</v>
      </c>
      <c r="C65" s="23" t="s">
        <v>373</v>
      </c>
      <c r="D65" s="24" t="s">
        <v>374</v>
      </c>
      <c r="E65" s="14" t="s">
        <v>128</v>
      </c>
      <c r="F65" s="14" t="s">
        <v>129</v>
      </c>
      <c r="G65" s="15" t="s">
        <v>19</v>
      </c>
      <c r="H65" s="23" t="s">
        <v>123</v>
      </c>
      <c r="I65" s="23"/>
      <c r="J65" s="23"/>
      <c r="K65" s="36">
        <v>6400000.0</v>
      </c>
      <c r="L65" s="23"/>
      <c r="M65" s="50">
        <v>7.0</v>
      </c>
      <c r="N65" s="51"/>
      <c r="O65" s="20"/>
      <c r="P65" s="20"/>
      <c r="Q65" s="20"/>
      <c r="R65" s="20"/>
      <c r="S65" s="20"/>
    </row>
    <row r="66">
      <c r="A66" s="10" t="s">
        <v>375</v>
      </c>
      <c r="B66" s="12">
        <v>46027.0</v>
      </c>
      <c r="C66" s="10" t="s">
        <v>376</v>
      </c>
      <c r="D66" s="13" t="s">
        <v>377</v>
      </c>
      <c r="E66" s="14" t="s">
        <v>122</v>
      </c>
      <c r="F66" s="14" t="s">
        <v>129</v>
      </c>
      <c r="G66" s="14" t="s">
        <v>42</v>
      </c>
      <c r="H66" s="10" t="s">
        <v>378</v>
      </c>
      <c r="I66" s="79">
        <v>46042.0</v>
      </c>
      <c r="J66" s="31">
        <v>1.0</v>
      </c>
      <c r="K66" s="19"/>
      <c r="L66" s="76" t="s">
        <v>379</v>
      </c>
      <c r="M66" s="84">
        <v>8.0</v>
      </c>
      <c r="N66" s="85"/>
      <c r="O66" s="20"/>
      <c r="P66" s="20"/>
      <c r="Q66" s="20"/>
      <c r="R66" s="20"/>
      <c r="S66" s="20"/>
    </row>
    <row r="67">
      <c r="A67" s="23" t="s">
        <v>380</v>
      </c>
      <c r="B67" s="22">
        <v>46028.0</v>
      </c>
      <c r="C67" s="23" t="s">
        <v>381</v>
      </c>
      <c r="D67" s="24" t="s">
        <v>382</v>
      </c>
      <c r="E67" s="14" t="s">
        <v>128</v>
      </c>
      <c r="F67" s="14" t="s">
        <v>129</v>
      </c>
      <c r="G67" s="14" t="s">
        <v>42</v>
      </c>
      <c r="H67" s="23" t="s">
        <v>383</v>
      </c>
      <c r="I67" s="83">
        <v>46039.0</v>
      </c>
      <c r="J67" s="48">
        <v>1.0</v>
      </c>
      <c r="K67" s="36"/>
      <c r="L67" s="49" t="s">
        <v>384</v>
      </c>
      <c r="M67" s="75">
        <v>8.0</v>
      </c>
      <c r="N67" s="77"/>
      <c r="O67" s="20"/>
      <c r="P67" s="20"/>
      <c r="Q67" s="20"/>
      <c r="R67" s="20"/>
      <c r="S67" s="20"/>
    </row>
    <row r="68">
      <c r="A68" s="10" t="s">
        <v>385</v>
      </c>
      <c r="B68" s="12">
        <v>46028.0</v>
      </c>
      <c r="C68" s="10" t="s">
        <v>386</v>
      </c>
      <c r="D68" s="13" t="s">
        <v>387</v>
      </c>
      <c r="E68" s="14" t="s">
        <v>128</v>
      </c>
      <c r="F68" s="14" t="s">
        <v>129</v>
      </c>
      <c r="G68" s="14" t="s">
        <v>42</v>
      </c>
      <c r="H68" s="10" t="s">
        <v>260</v>
      </c>
      <c r="I68" s="10"/>
      <c r="J68" s="10"/>
      <c r="K68" s="46"/>
      <c r="L68" s="10" t="s">
        <v>388</v>
      </c>
      <c r="M68" s="44">
        <v>8.0</v>
      </c>
      <c r="N68" s="45"/>
      <c r="O68" s="20"/>
      <c r="P68" s="20"/>
      <c r="Q68" s="20"/>
      <c r="R68" s="20"/>
      <c r="S68" s="20"/>
    </row>
    <row r="69">
      <c r="A69" s="23" t="s">
        <v>389</v>
      </c>
      <c r="B69" s="22">
        <v>46028.0</v>
      </c>
      <c r="C69" s="23" t="s">
        <v>390</v>
      </c>
      <c r="D69" s="24" t="s">
        <v>391</v>
      </c>
      <c r="E69" s="14" t="s">
        <v>17</v>
      </c>
      <c r="F69" s="14" t="s">
        <v>129</v>
      </c>
      <c r="G69" s="14" t="s">
        <v>42</v>
      </c>
      <c r="H69" s="23" t="s">
        <v>156</v>
      </c>
      <c r="I69" s="26"/>
      <c r="J69" s="48">
        <v>18.0</v>
      </c>
      <c r="K69" s="30"/>
      <c r="L69" s="23" t="s">
        <v>392</v>
      </c>
      <c r="M69" s="50">
        <v>8.0</v>
      </c>
      <c r="N69" s="51"/>
      <c r="O69" s="20"/>
      <c r="P69" s="20"/>
      <c r="Q69" s="20"/>
      <c r="R69" s="20"/>
      <c r="S69" s="20"/>
    </row>
    <row r="70">
      <c r="A70" s="10" t="s">
        <v>393</v>
      </c>
      <c r="B70" s="12">
        <v>46028.0</v>
      </c>
      <c r="C70" s="10" t="s">
        <v>394</v>
      </c>
      <c r="D70" s="13" t="s">
        <v>395</v>
      </c>
      <c r="E70" s="14" t="s">
        <v>128</v>
      </c>
      <c r="F70" s="14" t="s">
        <v>129</v>
      </c>
      <c r="G70" s="14" t="s">
        <v>42</v>
      </c>
      <c r="H70" s="79"/>
      <c r="I70" s="79">
        <v>46038.0</v>
      </c>
      <c r="J70" s="31">
        <v>1.0</v>
      </c>
      <c r="K70" s="46"/>
      <c r="L70" s="10" t="s">
        <v>396</v>
      </c>
      <c r="M70" s="44">
        <v>8.0</v>
      </c>
      <c r="N70" s="45"/>
      <c r="O70" s="20"/>
      <c r="P70" s="20"/>
      <c r="Q70" s="20"/>
      <c r="R70" s="20"/>
      <c r="S70" s="20"/>
    </row>
    <row r="71">
      <c r="A71" s="23" t="s">
        <v>397</v>
      </c>
      <c r="B71" s="22">
        <v>46028.0</v>
      </c>
      <c r="C71" s="23" t="s">
        <v>398</v>
      </c>
      <c r="D71" s="24" t="s">
        <v>399</v>
      </c>
      <c r="E71" s="14" t="s">
        <v>17</v>
      </c>
      <c r="F71" s="14" t="s">
        <v>129</v>
      </c>
      <c r="G71" s="15" t="s">
        <v>42</v>
      </c>
      <c r="H71" s="23" t="s">
        <v>123</v>
      </c>
      <c r="I71" s="23"/>
      <c r="J71" s="48">
        <v>30.0</v>
      </c>
      <c r="K71" s="36"/>
      <c r="L71" s="49" t="s">
        <v>191</v>
      </c>
      <c r="M71" s="75">
        <v>8.0</v>
      </c>
      <c r="N71" s="77"/>
      <c r="O71" s="20"/>
      <c r="P71" s="20"/>
      <c r="Q71" s="20"/>
      <c r="R71" s="20"/>
      <c r="S71" s="20"/>
    </row>
    <row r="72">
      <c r="A72" s="10" t="s">
        <v>400</v>
      </c>
      <c r="B72" s="12">
        <v>46028.0</v>
      </c>
      <c r="C72" s="10" t="s">
        <v>401</v>
      </c>
      <c r="D72" s="13" t="s">
        <v>402</v>
      </c>
      <c r="E72" s="14" t="s">
        <v>128</v>
      </c>
      <c r="F72" s="14" t="s">
        <v>129</v>
      </c>
      <c r="G72" s="14" t="s">
        <v>42</v>
      </c>
      <c r="H72" s="10" t="s">
        <v>86</v>
      </c>
      <c r="I72" s="10"/>
      <c r="J72" s="31">
        <v>2.0</v>
      </c>
      <c r="K72" s="19"/>
      <c r="L72" s="76" t="s">
        <v>403</v>
      </c>
      <c r="M72" s="84">
        <v>8.0</v>
      </c>
      <c r="N72" s="85"/>
      <c r="O72" s="20"/>
      <c r="P72" s="20"/>
      <c r="Q72" s="20"/>
      <c r="R72" s="20"/>
      <c r="S72" s="20"/>
    </row>
    <row r="73">
      <c r="A73" s="23" t="s">
        <v>404</v>
      </c>
      <c r="B73" s="22">
        <v>46028.0</v>
      </c>
      <c r="C73" s="23" t="s">
        <v>405</v>
      </c>
      <c r="D73" s="24" t="s">
        <v>406</v>
      </c>
      <c r="E73" s="14" t="s">
        <v>17</v>
      </c>
      <c r="F73" s="14" t="s">
        <v>129</v>
      </c>
      <c r="G73" s="14" t="s">
        <v>42</v>
      </c>
      <c r="H73" s="23" t="s">
        <v>86</v>
      </c>
      <c r="I73" s="23"/>
      <c r="J73" s="23"/>
      <c r="K73" s="36"/>
      <c r="L73" s="49" t="s">
        <v>407</v>
      </c>
      <c r="M73" s="75">
        <v>8.0</v>
      </c>
      <c r="N73" s="77"/>
      <c r="O73" s="20"/>
      <c r="P73" s="20"/>
      <c r="Q73" s="20"/>
      <c r="R73" s="20"/>
      <c r="S73" s="20"/>
    </row>
    <row r="74">
      <c r="A74" s="10" t="s">
        <v>408</v>
      </c>
      <c r="B74" s="12">
        <v>46028.0</v>
      </c>
      <c r="C74" s="10" t="s">
        <v>409</v>
      </c>
      <c r="D74" s="13" t="s">
        <v>410</v>
      </c>
      <c r="E74" s="14" t="s">
        <v>17</v>
      </c>
      <c r="F74" s="14" t="s">
        <v>129</v>
      </c>
      <c r="G74" s="25" t="s">
        <v>42</v>
      </c>
      <c r="H74" s="10" t="s">
        <v>411</v>
      </c>
      <c r="I74" s="10" t="s">
        <v>412</v>
      </c>
      <c r="J74" s="31">
        <v>4.0</v>
      </c>
      <c r="K74" s="19">
        <f>3300000*2</f>
        <v>6600000</v>
      </c>
      <c r="L74" s="76" t="s">
        <v>413</v>
      </c>
      <c r="M74" s="84">
        <v>8.0</v>
      </c>
      <c r="N74" s="85"/>
      <c r="O74" s="20"/>
      <c r="P74" s="20"/>
      <c r="Q74" s="20"/>
      <c r="R74" s="20"/>
      <c r="S74" s="20"/>
    </row>
    <row r="75">
      <c r="A75" s="23" t="s">
        <v>414</v>
      </c>
      <c r="B75" s="22">
        <v>46028.0</v>
      </c>
      <c r="C75" s="23" t="s">
        <v>415</v>
      </c>
      <c r="D75" s="24" t="s">
        <v>416</v>
      </c>
      <c r="E75" s="14" t="s">
        <v>128</v>
      </c>
      <c r="F75" s="14" t="s">
        <v>129</v>
      </c>
      <c r="G75" s="14" t="s">
        <v>42</v>
      </c>
      <c r="H75" s="23"/>
      <c r="I75" s="23"/>
      <c r="J75" s="23"/>
      <c r="K75" s="36"/>
      <c r="L75" s="49" t="s">
        <v>191</v>
      </c>
      <c r="M75" s="75">
        <v>8.0</v>
      </c>
      <c r="N75" s="77"/>
      <c r="O75" s="20"/>
      <c r="P75" s="20"/>
      <c r="Q75" s="20"/>
      <c r="R75" s="20"/>
      <c r="S75" s="20"/>
    </row>
    <row r="76">
      <c r="A76" s="10" t="s">
        <v>417</v>
      </c>
      <c r="B76" s="12">
        <v>46029.0</v>
      </c>
      <c r="C76" s="10" t="s">
        <v>418</v>
      </c>
      <c r="D76" s="13" t="s">
        <v>419</v>
      </c>
      <c r="E76" s="14" t="s">
        <v>128</v>
      </c>
      <c r="F76" s="14" t="s">
        <v>129</v>
      </c>
      <c r="G76" s="14" t="s">
        <v>42</v>
      </c>
      <c r="H76" s="10"/>
      <c r="I76" s="79">
        <v>46038.0</v>
      </c>
      <c r="J76" s="10"/>
      <c r="K76" s="19"/>
      <c r="L76" s="76" t="s">
        <v>191</v>
      </c>
      <c r="M76" s="84">
        <v>8.0</v>
      </c>
      <c r="N76" s="85"/>
      <c r="O76" s="20"/>
      <c r="P76" s="20"/>
      <c r="Q76" s="20"/>
      <c r="R76" s="20"/>
      <c r="S76" s="20"/>
    </row>
    <row r="77">
      <c r="A77" s="23" t="s">
        <v>420</v>
      </c>
      <c r="B77" s="22">
        <v>46029.0</v>
      </c>
      <c r="C77" s="23" t="s">
        <v>421</v>
      </c>
      <c r="D77" s="24" t="s">
        <v>422</v>
      </c>
      <c r="E77" s="14" t="s">
        <v>122</v>
      </c>
      <c r="F77" s="14" t="s">
        <v>129</v>
      </c>
      <c r="G77" s="14" t="s">
        <v>42</v>
      </c>
      <c r="H77" s="49" t="s">
        <v>423</v>
      </c>
      <c r="I77" s="101">
        <v>46030.0</v>
      </c>
      <c r="J77" s="48">
        <v>1.0</v>
      </c>
      <c r="K77" s="36"/>
      <c r="L77" s="49" t="s">
        <v>379</v>
      </c>
      <c r="M77" s="75">
        <v>8.0</v>
      </c>
      <c r="N77" s="77"/>
      <c r="O77" s="20"/>
      <c r="P77" s="20"/>
      <c r="Q77" s="20"/>
      <c r="R77" s="20"/>
      <c r="S77" s="20"/>
    </row>
    <row r="78">
      <c r="A78" s="10" t="s">
        <v>424</v>
      </c>
      <c r="B78" s="12">
        <v>46030.0</v>
      </c>
      <c r="C78" s="10" t="s">
        <v>425</v>
      </c>
      <c r="D78" s="13" t="s">
        <v>426</v>
      </c>
      <c r="E78" s="14" t="s">
        <v>128</v>
      </c>
      <c r="F78" s="14" t="s">
        <v>129</v>
      </c>
      <c r="G78" s="14" t="s">
        <v>42</v>
      </c>
      <c r="H78" s="10" t="s">
        <v>427</v>
      </c>
      <c r="I78" s="10" t="s">
        <v>428</v>
      </c>
      <c r="J78" s="31">
        <v>3.0</v>
      </c>
      <c r="K78" s="46"/>
      <c r="L78" s="10" t="s">
        <v>429</v>
      </c>
      <c r="M78" s="44">
        <v>8.0</v>
      </c>
      <c r="N78" s="45"/>
      <c r="O78" s="20"/>
      <c r="P78" s="20"/>
      <c r="Q78" s="20"/>
      <c r="R78" s="20"/>
      <c r="S78" s="20"/>
    </row>
    <row r="79">
      <c r="A79" s="23" t="s">
        <v>430</v>
      </c>
      <c r="B79" s="22">
        <v>46030.0</v>
      </c>
      <c r="C79" s="23" t="s">
        <v>431</v>
      </c>
      <c r="D79" s="24" t="s">
        <v>432</v>
      </c>
      <c r="E79" s="14" t="s">
        <v>122</v>
      </c>
      <c r="F79" s="14" t="s">
        <v>129</v>
      </c>
      <c r="G79" s="14" t="s">
        <v>42</v>
      </c>
      <c r="H79" s="23"/>
      <c r="I79" s="23"/>
      <c r="J79" s="24"/>
      <c r="K79" s="36"/>
      <c r="L79" s="49" t="s">
        <v>191</v>
      </c>
      <c r="M79" s="75">
        <v>8.0</v>
      </c>
      <c r="N79" s="77"/>
      <c r="O79" s="20"/>
      <c r="P79" s="20"/>
      <c r="Q79" s="20"/>
      <c r="R79" s="20"/>
      <c r="S79" s="20"/>
    </row>
    <row r="80">
      <c r="A80" s="10" t="s">
        <v>433</v>
      </c>
      <c r="B80" s="12">
        <v>46030.0</v>
      </c>
      <c r="C80" s="10" t="s">
        <v>434</v>
      </c>
      <c r="D80" s="13" t="s">
        <v>435</v>
      </c>
      <c r="E80" s="14" t="s">
        <v>122</v>
      </c>
      <c r="F80" s="14" t="s">
        <v>129</v>
      </c>
      <c r="G80" s="14" t="s">
        <v>42</v>
      </c>
      <c r="H80" s="10" t="s">
        <v>148</v>
      </c>
      <c r="I80" s="10"/>
      <c r="J80" s="31">
        <v>4.0</v>
      </c>
      <c r="K80" s="19"/>
      <c r="L80" s="76" t="s">
        <v>436</v>
      </c>
      <c r="M80" s="84">
        <v>8.0</v>
      </c>
      <c r="N80" s="85"/>
      <c r="O80" s="20"/>
      <c r="P80" s="20"/>
      <c r="Q80" s="20"/>
      <c r="R80" s="20"/>
      <c r="S80" s="20"/>
    </row>
    <row r="81">
      <c r="A81" s="23" t="s">
        <v>437</v>
      </c>
      <c r="B81" s="22">
        <v>46030.0</v>
      </c>
      <c r="C81" s="23" t="s">
        <v>438</v>
      </c>
      <c r="D81" s="24" t="s">
        <v>439</v>
      </c>
      <c r="E81" s="14" t="s">
        <v>128</v>
      </c>
      <c r="F81" s="14" t="s">
        <v>129</v>
      </c>
      <c r="G81" s="25" t="s">
        <v>42</v>
      </c>
      <c r="H81" s="23" t="s">
        <v>440</v>
      </c>
      <c r="I81" s="49" t="s">
        <v>441</v>
      </c>
      <c r="J81" s="90">
        <v>100.0</v>
      </c>
      <c r="K81" s="36">
        <f>350000*50</f>
        <v>17500000</v>
      </c>
      <c r="L81" s="49" t="s">
        <v>158</v>
      </c>
      <c r="M81" s="75">
        <v>8.0</v>
      </c>
      <c r="N81" s="77"/>
      <c r="O81" s="20"/>
      <c r="P81" s="20"/>
      <c r="Q81" s="20"/>
      <c r="R81" s="20"/>
      <c r="S81" s="20"/>
    </row>
    <row r="82">
      <c r="A82" s="10" t="s">
        <v>442</v>
      </c>
      <c r="B82" s="12">
        <v>46030.0</v>
      </c>
      <c r="C82" s="10" t="s">
        <v>443</v>
      </c>
      <c r="D82" s="13" t="s">
        <v>444</v>
      </c>
      <c r="E82" s="14" t="s">
        <v>122</v>
      </c>
      <c r="F82" s="14" t="s">
        <v>129</v>
      </c>
      <c r="G82" s="15" t="s">
        <v>42</v>
      </c>
      <c r="H82" s="10" t="s">
        <v>445</v>
      </c>
      <c r="I82" s="10" t="s">
        <v>446</v>
      </c>
      <c r="J82" s="31">
        <v>2.0</v>
      </c>
      <c r="K82" s="46"/>
      <c r="L82" s="10" t="s">
        <v>447</v>
      </c>
      <c r="M82" s="44">
        <v>8.0</v>
      </c>
      <c r="N82" s="45"/>
      <c r="O82" s="20"/>
      <c r="P82" s="20"/>
      <c r="Q82" s="20"/>
      <c r="R82" s="20"/>
      <c r="S82" s="20"/>
    </row>
    <row r="83">
      <c r="A83" s="23" t="s">
        <v>448</v>
      </c>
      <c r="B83" s="22">
        <v>46030.0</v>
      </c>
      <c r="C83" s="23" t="s">
        <v>449</v>
      </c>
      <c r="D83" s="24" t="s">
        <v>450</v>
      </c>
      <c r="E83" s="14" t="s">
        <v>128</v>
      </c>
      <c r="F83" s="14" t="s">
        <v>129</v>
      </c>
      <c r="G83" s="25" t="s">
        <v>42</v>
      </c>
      <c r="H83" s="49" t="s">
        <v>260</v>
      </c>
      <c r="I83" s="23" t="s">
        <v>451</v>
      </c>
      <c r="J83" s="91" t="s">
        <v>452</v>
      </c>
      <c r="K83" s="30">
        <f>1600000*4</f>
        <v>6400000</v>
      </c>
      <c r="L83" s="49" t="s">
        <v>453</v>
      </c>
      <c r="M83" s="50">
        <v>8.0</v>
      </c>
      <c r="N83" s="51"/>
      <c r="O83" s="20"/>
      <c r="P83" s="20"/>
      <c r="Q83" s="20"/>
      <c r="R83" s="20"/>
      <c r="S83" s="20"/>
    </row>
    <row r="84">
      <c r="A84" s="10" t="s">
        <v>454</v>
      </c>
      <c r="B84" s="12">
        <v>46030.0</v>
      </c>
      <c r="C84" s="10" t="s">
        <v>455</v>
      </c>
      <c r="D84" s="13" t="s">
        <v>456</v>
      </c>
      <c r="E84" s="14" t="s">
        <v>122</v>
      </c>
      <c r="F84" s="14" t="s">
        <v>129</v>
      </c>
      <c r="G84" s="14" t="s">
        <v>42</v>
      </c>
      <c r="H84" s="10" t="s">
        <v>457</v>
      </c>
      <c r="I84" s="10"/>
      <c r="J84" s="31">
        <v>5.0</v>
      </c>
      <c r="K84" s="46"/>
      <c r="L84" s="10" t="s">
        <v>458</v>
      </c>
      <c r="M84" s="44">
        <v>8.0</v>
      </c>
      <c r="N84" s="45"/>
      <c r="O84" s="20"/>
      <c r="P84" s="20"/>
      <c r="Q84" s="20"/>
      <c r="R84" s="20"/>
      <c r="S84" s="20"/>
    </row>
    <row r="85">
      <c r="A85" s="23" t="s">
        <v>459</v>
      </c>
      <c r="B85" s="22">
        <v>46030.0</v>
      </c>
      <c r="C85" s="49" t="s">
        <v>460</v>
      </c>
      <c r="D85" s="24" t="s">
        <v>461</v>
      </c>
      <c r="E85" s="14" t="s">
        <v>128</v>
      </c>
      <c r="F85" s="14" t="s">
        <v>129</v>
      </c>
      <c r="G85" s="14" t="s">
        <v>43</v>
      </c>
      <c r="H85" s="23" t="s">
        <v>462</v>
      </c>
      <c r="I85" s="103" t="s">
        <v>463</v>
      </c>
      <c r="J85" s="91" t="s">
        <v>464</v>
      </c>
      <c r="K85" s="30">
        <f>1800000*80</f>
        <v>144000000</v>
      </c>
      <c r="L85" s="49" t="s">
        <v>465</v>
      </c>
      <c r="M85" s="50">
        <v>3.0</v>
      </c>
      <c r="N85" s="104" t="s">
        <v>466</v>
      </c>
      <c r="O85" s="20"/>
      <c r="P85" s="20"/>
      <c r="Q85" s="20"/>
      <c r="R85" s="20"/>
      <c r="S85" s="20"/>
    </row>
    <row r="86">
      <c r="A86" s="10" t="s">
        <v>467</v>
      </c>
      <c r="B86" s="12">
        <v>46030.0</v>
      </c>
      <c r="C86" s="10" t="s">
        <v>468</v>
      </c>
      <c r="D86" s="13" t="s">
        <v>469</v>
      </c>
      <c r="E86" s="14" t="s">
        <v>128</v>
      </c>
      <c r="F86" s="14" t="s">
        <v>129</v>
      </c>
      <c r="G86" s="25" t="s">
        <v>42</v>
      </c>
      <c r="H86" s="76" t="s">
        <v>260</v>
      </c>
      <c r="I86" s="76" t="s">
        <v>470</v>
      </c>
      <c r="J86" s="76">
        <v>1.0</v>
      </c>
      <c r="K86" s="19"/>
      <c r="L86" s="76" t="s">
        <v>471</v>
      </c>
      <c r="M86" s="84">
        <v>8.0</v>
      </c>
      <c r="N86" s="85"/>
      <c r="O86" s="20"/>
      <c r="P86" s="20"/>
      <c r="Q86" s="20"/>
      <c r="R86" s="20"/>
      <c r="S86" s="20"/>
    </row>
    <row r="87">
      <c r="A87" s="23" t="s">
        <v>472</v>
      </c>
      <c r="B87" s="22">
        <v>46031.0</v>
      </c>
      <c r="C87" s="23" t="s">
        <v>473</v>
      </c>
      <c r="D87" s="24" t="s">
        <v>474</v>
      </c>
      <c r="E87" s="14" t="s">
        <v>128</v>
      </c>
      <c r="F87" s="14" t="s">
        <v>129</v>
      </c>
      <c r="G87" s="14" t="s">
        <v>42</v>
      </c>
      <c r="H87" s="23"/>
      <c r="I87" s="23"/>
      <c r="J87" s="24"/>
      <c r="K87" s="30"/>
      <c r="L87" s="23" t="s">
        <v>475</v>
      </c>
      <c r="M87" s="50">
        <v>8.0</v>
      </c>
      <c r="N87" s="51"/>
      <c r="O87" s="20"/>
      <c r="P87" s="20"/>
      <c r="Q87" s="20"/>
      <c r="R87" s="20"/>
      <c r="S87" s="20"/>
    </row>
    <row r="88">
      <c r="A88" s="10" t="s">
        <v>476</v>
      </c>
      <c r="B88" s="12">
        <v>46031.0</v>
      </c>
      <c r="C88" s="10" t="s">
        <v>477</v>
      </c>
      <c r="D88" s="13" t="s">
        <v>478</v>
      </c>
      <c r="E88" s="14" t="s">
        <v>128</v>
      </c>
      <c r="F88" s="14" t="s">
        <v>129</v>
      </c>
      <c r="G88" s="25" t="s">
        <v>42</v>
      </c>
      <c r="H88" s="10" t="s">
        <v>479</v>
      </c>
      <c r="I88" s="10" t="s">
        <v>480</v>
      </c>
      <c r="J88" s="94" t="s">
        <v>452</v>
      </c>
      <c r="K88" s="46">
        <f>295000*5</f>
        <v>1475000</v>
      </c>
      <c r="L88" s="76" t="s">
        <v>481</v>
      </c>
      <c r="M88" s="44">
        <v>8.0</v>
      </c>
      <c r="N88" s="86" t="s">
        <v>482</v>
      </c>
      <c r="O88" s="20"/>
      <c r="P88" s="20"/>
      <c r="Q88" s="20"/>
      <c r="R88" s="20"/>
      <c r="S88" s="20"/>
    </row>
    <row r="89">
      <c r="A89" s="23" t="s">
        <v>483</v>
      </c>
      <c r="B89" s="22">
        <v>46031.0</v>
      </c>
      <c r="C89" s="23" t="s">
        <v>484</v>
      </c>
      <c r="D89" s="24" t="s">
        <v>485</v>
      </c>
      <c r="E89" s="14" t="s">
        <v>128</v>
      </c>
      <c r="F89" s="14" t="s">
        <v>129</v>
      </c>
      <c r="G89" s="25" t="s">
        <v>79</v>
      </c>
      <c r="H89" s="23" t="s">
        <v>486</v>
      </c>
      <c r="I89" s="23" t="s">
        <v>487</v>
      </c>
      <c r="J89" s="48">
        <v>4.0</v>
      </c>
      <c r="K89" s="36">
        <f>2115000*4</f>
        <v>8460000</v>
      </c>
      <c r="L89" s="49" t="s">
        <v>488</v>
      </c>
      <c r="M89" s="75">
        <v>99.0</v>
      </c>
      <c r="N89" s="77"/>
      <c r="O89" s="20"/>
      <c r="P89" s="20"/>
      <c r="Q89" s="20"/>
      <c r="R89" s="20"/>
      <c r="S89" s="20"/>
    </row>
    <row r="90">
      <c r="A90" s="10" t="s">
        <v>489</v>
      </c>
      <c r="B90" s="12">
        <v>46031.0</v>
      </c>
      <c r="C90" s="10" t="s">
        <v>490</v>
      </c>
      <c r="D90" s="13" t="s">
        <v>491</v>
      </c>
      <c r="E90" s="14" t="s">
        <v>128</v>
      </c>
      <c r="F90" s="14" t="s">
        <v>129</v>
      </c>
      <c r="G90" s="25" t="s">
        <v>42</v>
      </c>
      <c r="H90" s="10"/>
      <c r="I90" s="76" t="s">
        <v>492</v>
      </c>
      <c r="J90" s="10"/>
      <c r="K90" s="19"/>
      <c r="L90" s="76" t="s">
        <v>493</v>
      </c>
      <c r="M90" s="84">
        <v>8.0</v>
      </c>
      <c r="N90" s="105" t="s">
        <v>494</v>
      </c>
      <c r="O90" s="20"/>
      <c r="P90" s="20"/>
      <c r="Q90" s="20"/>
      <c r="R90" s="20"/>
      <c r="S90" s="20"/>
    </row>
    <row r="91">
      <c r="A91" s="23" t="s">
        <v>495</v>
      </c>
      <c r="B91" s="22">
        <v>46031.0</v>
      </c>
      <c r="C91" s="23" t="s">
        <v>496</v>
      </c>
      <c r="D91" s="24" t="s">
        <v>497</v>
      </c>
      <c r="E91" s="14" t="s">
        <v>128</v>
      </c>
      <c r="F91" s="14" t="s">
        <v>129</v>
      </c>
      <c r="G91" s="14" t="s">
        <v>42</v>
      </c>
      <c r="H91" s="23"/>
      <c r="I91" s="23"/>
      <c r="J91" s="48">
        <v>2.0</v>
      </c>
      <c r="K91" s="30"/>
      <c r="L91" s="23" t="s">
        <v>498</v>
      </c>
      <c r="M91" s="50">
        <v>8.0</v>
      </c>
      <c r="N91" s="51"/>
      <c r="O91" s="20"/>
      <c r="P91" s="20"/>
      <c r="Q91" s="20"/>
      <c r="R91" s="20"/>
      <c r="S91" s="20"/>
    </row>
    <row r="92">
      <c r="A92" s="10" t="s">
        <v>499</v>
      </c>
      <c r="B92" s="12">
        <v>46031.0</v>
      </c>
      <c r="C92" s="10" t="s">
        <v>500</v>
      </c>
      <c r="D92" s="13" t="s">
        <v>501</v>
      </c>
      <c r="E92" s="14" t="s">
        <v>122</v>
      </c>
      <c r="F92" s="14" t="s">
        <v>129</v>
      </c>
      <c r="G92" s="15" t="s">
        <v>42</v>
      </c>
      <c r="H92" s="76" t="s">
        <v>260</v>
      </c>
      <c r="I92" s="10"/>
      <c r="J92" s="10"/>
      <c r="K92" s="46"/>
      <c r="L92" s="10" t="s">
        <v>502</v>
      </c>
      <c r="M92" s="44">
        <v>8.0</v>
      </c>
      <c r="N92" s="45"/>
      <c r="O92" s="20"/>
      <c r="P92" s="20"/>
      <c r="Q92" s="20"/>
      <c r="R92" s="20"/>
      <c r="S92" s="20"/>
    </row>
    <row r="93">
      <c r="A93" s="23" t="s">
        <v>503</v>
      </c>
      <c r="B93" s="22">
        <v>46031.0</v>
      </c>
      <c r="C93" s="23" t="s">
        <v>504</v>
      </c>
      <c r="D93" s="24" t="s">
        <v>505</v>
      </c>
      <c r="E93" s="14" t="s">
        <v>128</v>
      </c>
      <c r="F93" s="14" t="s">
        <v>129</v>
      </c>
      <c r="G93" s="14" t="s">
        <v>42</v>
      </c>
      <c r="H93" s="23" t="s">
        <v>282</v>
      </c>
      <c r="I93" s="23"/>
      <c r="J93" s="48">
        <v>2.0</v>
      </c>
      <c r="K93" s="30"/>
      <c r="L93" s="23" t="s">
        <v>506</v>
      </c>
      <c r="M93" s="50">
        <v>8.0</v>
      </c>
      <c r="N93" s="51"/>
      <c r="O93" s="20"/>
      <c r="P93" s="20"/>
      <c r="Q93" s="20"/>
      <c r="R93" s="20"/>
      <c r="S93" s="20"/>
    </row>
    <row r="94">
      <c r="A94" s="10" t="s">
        <v>507</v>
      </c>
      <c r="B94" s="12">
        <v>46031.0</v>
      </c>
      <c r="C94" s="10" t="s">
        <v>508</v>
      </c>
      <c r="D94" s="13" t="s">
        <v>509</v>
      </c>
      <c r="E94" s="14" t="s">
        <v>122</v>
      </c>
      <c r="F94" s="14" t="s">
        <v>129</v>
      </c>
      <c r="G94" s="14" t="s">
        <v>42</v>
      </c>
      <c r="H94" s="10"/>
      <c r="I94" s="76"/>
      <c r="J94" s="10"/>
      <c r="K94" s="46"/>
      <c r="L94" s="10" t="s">
        <v>510</v>
      </c>
      <c r="M94" s="44">
        <v>8.0</v>
      </c>
      <c r="N94" s="45"/>
      <c r="O94" s="20"/>
      <c r="P94" s="20"/>
      <c r="Q94" s="20"/>
      <c r="R94" s="20"/>
      <c r="S94" s="20"/>
    </row>
    <row r="95">
      <c r="A95" s="23" t="s">
        <v>511</v>
      </c>
      <c r="B95" s="22">
        <v>46032.0</v>
      </c>
      <c r="C95" s="23" t="s">
        <v>512</v>
      </c>
      <c r="D95" s="24" t="s">
        <v>513</v>
      </c>
      <c r="E95" s="14" t="s">
        <v>128</v>
      </c>
      <c r="F95" s="14" t="s">
        <v>129</v>
      </c>
      <c r="G95" s="15" t="s">
        <v>42</v>
      </c>
      <c r="H95" s="23" t="s">
        <v>213</v>
      </c>
      <c r="I95" s="23"/>
      <c r="J95" s="23"/>
      <c r="K95" s="30"/>
      <c r="L95" s="23" t="s">
        <v>514</v>
      </c>
      <c r="M95" s="50">
        <v>8.0</v>
      </c>
      <c r="N95" s="51"/>
      <c r="O95" s="20"/>
      <c r="P95" s="20"/>
      <c r="Q95" s="20"/>
      <c r="R95" s="20"/>
      <c r="S95" s="20"/>
    </row>
    <row r="96">
      <c r="A96" s="10" t="s">
        <v>515</v>
      </c>
      <c r="B96" s="12">
        <v>46032.0</v>
      </c>
      <c r="C96" s="10" t="s">
        <v>516</v>
      </c>
      <c r="D96" s="13" t="s">
        <v>517</v>
      </c>
      <c r="E96" s="14" t="s">
        <v>122</v>
      </c>
      <c r="F96" s="14" t="s">
        <v>129</v>
      </c>
      <c r="G96" s="14" t="s">
        <v>42</v>
      </c>
      <c r="H96" s="10" t="s">
        <v>518</v>
      </c>
      <c r="I96" s="10"/>
      <c r="J96" s="10"/>
      <c r="K96" s="46"/>
      <c r="L96" s="10" t="s">
        <v>519</v>
      </c>
      <c r="M96" s="44">
        <v>8.0</v>
      </c>
      <c r="N96" s="45"/>
      <c r="O96" s="20"/>
      <c r="P96" s="20"/>
      <c r="Q96" s="20"/>
      <c r="R96" s="20"/>
      <c r="S96" s="20"/>
    </row>
    <row r="97">
      <c r="A97" s="23" t="s">
        <v>520</v>
      </c>
      <c r="B97" s="22">
        <v>46032.0</v>
      </c>
      <c r="C97" s="23" t="s">
        <v>521</v>
      </c>
      <c r="D97" s="24" t="s">
        <v>522</v>
      </c>
      <c r="E97" s="14" t="s">
        <v>128</v>
      </c>
      <c r="F97" s="14" t="s">
        <v>129</v>
      </c>
      <c r="G97" s="25" t="s">
        <v>79</v>
      </c>
      <c r="H97" s="23" t="s">
        <v>523</v>
      </c>
      <c r="I97" s="23" t="s">
        <v>524</v>
      </c>
      <c r="J97" s="48">
        <v>4.0</v>
      </c>
      <c r="K97" s="36">
        <v>6800000.0</v>
      </c>
      <c r="L97" s="23" t="s">
        <v>525</v>
      </c>
      <c r="M97" s="50">
        <v>99.0</v>
      </c>
      <c r="N97" s="51"/>
      <c r="O97" s="20"/>
      <c r="P97" s="20"/>
      <c r="Q97" s="20"/>
      <c r="R97" s="20"/>
      <c r="S97" s="20"/>
    </row>
    <row r="98">
      <c r="A98" s="10" t="s">
        <v>526</v>
      </c>
      <c r="B98" s="12">
        <v>46032.0</v>
      </c>
      <c r="C98" s="10" t="s">
        <v>527</v>
      </c>
      <c r="D98" s="13" t="s">
        <v>528</v>
      </c>
      <c r="E98" s="14" t="s">
        <v>122</v>
      </c>
      <c r="F98" s="14" t="s">
        <v>129</v>
      </c>
      <c r="G98" s="25" t="s">
        <v>79</v>
      </c>
      <c r="H98" s="10" t="s">
        <v>529</v>
      </c>
      <c r="I98" s="106">
        <v>46066.0</v>
      </c>
      <c r="J98" s="107">
        <v>38.0</v>
      </c>
      <c r="K98" s="19">
        <v>3.6753E7</v>
      </c>
      <c r="L98" s="10" t="s">
        <v>530</v>
      </c>
      <c r="M98" s="44">
        <v>99.0</v>
      </c>
      <c r="N98" s="45"/>
      <c r="O98" s="20"/>
      <c r="P98" s="20"/>
      <c r="Q98" s="20"/>
      <c r="R98" s="20"/>
      <c r="S98" s="20"/>
    </row>
    <row r="99">
      <c r="A99" s="23" t="s">
        <v>531</v>
      </c>
      <c r="B99" s="22">
        <v>46032.0</v>
      </c>
      <c r="C99" s="23" t="s">
        <v>532</v>
      </c>
      <c r="D99" s="24" t="s">
        <v>533</v>
      </c>
      <c r="E99" s="14" t="s">
        <v>128</v>
      </c>
      <c r="F99" s="14" t="s">
        <v>129</v>
      </c>
      <c r="G99" s="15" t="s">
        <v>19</v>
      </c>
      <c r="H99" s="23" t="s">
        <v>534</v>
      </c>
      <c r="I99" s="83">
        <v>46037.0</v>
      </c>
      <c r="J99" s="48">
        <v>3.0</v>
      </c>
      <c r="K99" s="36">
        <f>550000*3</f>
        <v>1650000</v>
      </c>
      <c r="L99" s="23"/>
      <c r="M99" s="50">
        <v>7.0</v>
      </c>
      <c r="N99" s="51"/>
      <c r="O99" s="20"/>
      <c r="P99" s="20"/>
      <c r="Q99" s="20"/>
      <c r="R99" s="20"/>
      <c r="S99" s="20"/>
    </row>
    <row r="100">
      <c r="A100" s="10" t="s">
        <v>535</v>
      </c>
      <c r="B100" s="12">
        <v>46032.0</v>
      </c>
      <c r="C100" s="10" t="s">
        <v>536</v>
      </c>
      <c r="D100" s="13" t="s">
        <v>537</v>
      </c>
      <c r="E100" s="14" t="s">
        <v>17</v>
      </c>
      <c r="F100" s="14" t="s">
        <v>129</v>
      </c>
      <c r="G100" s="14" t="s">
        <v>42</v>
      </c>
      <c r="H100" s="10" t="s">
        <v>538</v>
      </c>
      <c r="I100" s="82">
        <v>46038.0</v>
      </c>
      <c r="J100" s="31">
        <v>2.0</v>
      </c>
      <c r="K100" s="46"/>
      <c r="L100" s="10" t="s">
        <v>539</v>
      </c>
      <c r="M100" s="44">
        <v>8.0</v>
      </c>
      <c r="N100" s="45"/>
      <c r="O100" s="20"/>
      <c r="P100" s="20"/>
      <c r="Q100" s="20"/>
      <c r="R100" s="20"/>
      <c r="S100" s="20"/>
    </row>
    <row r="101">
      <c r="A101" s="23" t="s">
        <v>540</v>
      </c>
      <c r="B101" s="22">
        <v>46033.0</v>
      </c>
      <c r="C101" s="23" t="s">
        <v>541</v>
      </c>
      <c r="D101" s="24" t="s">
        <v>542</v>
      </c>
      <c r="E101" s="14" t="s">
        <v>122</v>
      </c>
      <c r="F101" s="14" t="s">
        <v>129</v>
      </c>
      <c r="G101" s="15" t="s">
        <v>42</v>
      </c>
      <c r="H101" s="23" t="s">
        <v>543</v>
      </c>
      <c r="I101" s="23"/>
      <c r="J101" s="23"/>
      <c r="K101" s="30"/>
      <c r="L101" s="23" t="s">
        <v>544</v>
      </c>
      <c r="M101" s="50">
        <v>8.0</v>
      </c>
      <c r="N101" s="51"/>
      <c r="O101" s="20"/>
      <c r="P101" s="20"/>
      <c r="Q101" s="20"/>
      <c r="R101" s="20"/>
      <c r="S101" s="20"/>
    </row>
    <row r="102">
      <c r="A102" s="10" t="s">
        <v>545</v>
      </c>
      <c r="B102" s="12">
        <v>46033.0</v>
      </c>
      <c r="C102" s="10" t="s">
        <v>546</v>
      </c>
      <c r="D102" s="13" t="s">
        <v>547</v>
      </c>
      <c r="E102" s="14" t="s">
        <v>17</v>
      </c>
      <c r="F102" s="14" t="s">
        <v>129</v>
      </c>
      <c r="G102" s="15" t="s">
        <v>42</v>
      </c>
      <c r="H102" s="10" t="s">
        <v>548</v>
      </c>
      <c r="I102" s="10"/>
      <c r="J102" s="31">
        <v>2.0</v>
      </c>
      <c r="K102" s="46"/>
      <c r="L102" s="10" t="s">
        <v>514</v>
      </c>
      <c r="M102" s="44">
        <v>8.0</v>
      </c>
      <c r="N102" s="45"/>
      <c r="O102" s="20"/>
      <c r="P102" s="20"/>
      <c r="Q102" s="20"/>
      <c r="R102" s="20"/>
      <c r="S102" s="20"/>
    </row>
    <row r="103">
      <c r="A103" s="23" t="s">
        <v>549</v>
      </c>
      <c r="B103" s="22">
        <v>46031.0</v>
      </c>
      <c r="C103" s="23" t="s">
        <v>550</v>
      </c>
      <c r="D103" s="24" t="s">
        <v>551</v>
      </c>
      <c r="E103" s="14" t="s">
        <v>17</v>
      </c>
      <c r="F103" s="14" t="s">
        <v>18</v>
      </c>
      <c r="G103" s="14" t="s">
        <v>42</v>
      </c>
      <c r="H103" s="23" t="s">
        <v>552</v>
      </c>
      <c r="I103" s="103"/>
      <c r="J103" s="48">
        <v>10.0</v>
      </c>
      <c r="K103" s="30"/>
      <c r="L103" s="23" t="s">
        <v>514</v>
      </c>
      <c r="M103" s="50">
        <v>8.0</v>
      </c>
      <c r="N103" s="51"/>
      <c r="O103" s="20"/>
      <c r="P103" s="20"/>
      <c r="Q103" s="20"/>
      <c r="R103" s="20"/>
      <c r="S103" s="20"/>
    </row>
    <row r="104">
      <c r="A104" s="10" t="s">
        <v>553</v>
      </c>
      <c r="B104" s="12">
        <v>46033.0</v>
      </c>
      <c r="C104" s="10" t="s">
        <v>554</v>
      </c>
      <c r="D104" s="13" t="s">
        <v>555</v>
      </c>
      <c r="E104" s="14" t="s">
        <v>122</v>
      </c>
      <c r="F104" s="14" t="s">
        <v>129</v>
      </c>
      <c r="G104" s="14" t="s">
        <v>42</v>
      </c>
      <c r="H104" s="10" t="s">
        <v>523</v>
      </c>
      <c r="I104" s="10"/>
      <c r="J104" s="31">
        <v>3.0</v>
      </c>
      <c r="K104" s="46"/>
      <c r="L104" s="10" t="s">
        <v>556</v>
      </c>
      <c r="M104" s="44">
        <v>8.0</v>
      </c>
      <c r="N104" s="45"/>
      <c r="O104" s="20"/>
      <c r="P104" s="20"/>
      <c r="Q104" s="20"/>
      <c r="R104" s="20"/>
      <c r="S104" s="20"/>
    </row>
    <row r="105">
      <c r="A105" s="23" t="s">
        <v>557</v>
      </c>
      <c r="B105" s="22">
        <v>46033.0</v>
      </c>
      <c r="C105" s="23" t="s">
        <v>558</v>
      </c>
      <c r="D105" s="24" t="s">
        <v>559</v>
      </c>
      <c r="E105" s="14" t="s">
        <v>128</v>
      </c>
      <c r="F105" s="14" t="s">
        <v>129</v>
      </c>
      <c r="G105" s="15" t="s">
        <v>42</v>
      </c>
      <c r="H105" s="23" t="s">
        <v>560</v>
      </c>
      <c r="I105" s="108" t="s">
        <v>561</v>
      </c>
      <c r="J105" s="49">
        <v>20.0</v>
      </c>
      <c r="K105" s="30"/>
      <c r="L105" s="23" t="s">
        <v>562</v>
      </c>
      <c r="M105" s="50">
        <v>8.0</v>
      </c>
      <c r="N105" s="51"/>
      <c r="O105" s="20"/>
      <c r="P105" s="20"/>
      <c r="Q105" s="20"/>
      <c r="R105" s="20"/>
      <c r="S105" s="20"/>
    </row>
    <row r="106">
      <c r="A106" s="10" t="s">
        <v>563</v>
      </c>
      <c r="B106" s="12">
        <v>46033.0</v>
      </c>
      <c r="C106" s="10" t="s">
        <v>564</v>
      </c>
      <c r="D106" s="13" t="s">
        <v>565</v>
      </c>
      <c r="E106" s="14" t="s">
        <v>122</v>
      </c>
      <c r="F106" s="14" t="s">
        <v>129</v>
      </c>
      <c r="G106" s="14" t="s">
        <v>42</v>
      </c>
      <c r="H106" s="10" t="s">
        <v>123</v>
      </c>
      <c r="I106" s="10"/>
      <c r="J106" s="31" t="s">
        <v>566</v>
      </c>
      <c r="K106" s="46"/>
      <c r="L106" s="10" t="s">
        <v>567</v>
      </c>
      <c r="M106" s="44">
        <v>8.0</v>
      </c>
      <c r="N106" s="45"/>
      <c r="O106" s="20"/>
      <c r="P106" s="20"/>
      <c r="Q106" s="20"/>
      <c r="R106" s="20"/>
      <c r="S106" s="20"/>
    </row>
    <row r="107">
      <c r="A107" s="23" t="s">
        <v>568</v>
      </c>
      <c r="B107" s="22">
        <v>46033.0</v>
      </c>
      <c r="C107" s="23" t="s">
        <v>569</v>
      </c>
      <c r="D107" s="24" t="s">
        <v>570</v>
      </c>
      <c r="E107" s="14" t="s">
        <v>128</v>
      </c>
      <c r="F107" s="14" t="s">
        <v>129</v>
      </c>
      <c r="G107" s="15" t="s">
        <v>19</v>
      </c>
      <c r="H107" s="23" t="s">
        <v>571</v>
      </c>
      <c r="I107" s="109">
        <v>46048.0</v>
      </c>
      <c r="J107" s="48">
        <v>2.0</v>
      </c>
      <c r="K107" s="36">
        <v>3920000.0</v>
      </c>
      <c r="L107" s="23"/>
      <c r="M107" s="50">
        <v>7.0</v>
      </c>
      <c r="N107" s="51"/>
      <c r="O107" s="20"/>
      <c r="P107" s="20"/>
      <c r="Q107" s="20"/>
      <c r="R107" s="20"/>
      <c r="S107" s="20"/>
    </row>
    <row r="108">
      <c r="A108" s="10" t="s">
        <v>572</v>
      </c>
      <c r="B108" s="12">
        <v>46033.0</v>
      </c>
      <c r="C108" s="10" t="s">
        <v>573</v>
      </c>
      <c r="D108" s="13" t="s">
        <v>574</v>
      </c>
      <c r="E108" s="14" t="s">
        <v>17</v>
      </c>
      <c r="F108" s="14" t="s">
        <v>18</v>
      </c>
      <c r="G108" s="14" t="s">
        <v>42</v>
      </c>
      <c r="H108" s="10" t="s">
        <v>575</v>
      </c>
      <c r="I108" s="10" t="s">
        <v>576</v>
      </c>
      <c r="J108" s="31">
        <v>10.0</v>
      </c>
      <c r="K108" s="46"/>
      <c r="L108" s="76" t="s">
        <v>577</v>
      </c>
      <c r="M108" s="44">
        <v>8.0</v>
      </c>
      <c r="N108" s="45"/>
      <c r="O108" s="20"/>
      <c r="P108" s="20"/>
      <c r="Q108" s="20"/>
      <c r="R108" s="20"/>
      <c r="S108" s="20"/>
    </row>
    <row r="109">
      <c r="A109" s="23" t="s">
        <v>578</v>
      </c>
      <c r="B109" s="22">
        <v>46033.0</v>
      </c>
      <c r="C109" s="23" t="s">
        <v>579</v>
      </c>
      <c r="D109" s="24" t="s">
        <v>580</v>
      </c>
      <c r="E109" s="14" t="s">
        <v>128</v>
      </c>
      <c r="F109" s="14" t="s">
        <v>129</v>
      </c>
      <c r="G109" s="15" t="s">
        <v>42</v>
      </c>
      <c r="H109" s="23" t="s">
        <v>581</v>
      </c>
      <c r="I109" s="23"/>
      <c r="J109" s="23"/>
      <c r="K109" s="30"/>
      <c r="L109" s="23" t="s">
        <v>582</v>
      </c>
      <c r="M109" s="50">
        <v>8.0</v>
      </c>
      <c r="N109" s="51"/>
      <c r="O109" s="20"/>
      <c r="P109" s="20"/>
      <c r="Q109" s="20"/>
      <c r="R109" s="20"/>
      <c r="S109" s="20"/>
    </row>
    <row r="110">
      <c r="A110" s="10" t="s">
        <v>583</v>
      </c>
      <c r="B110" s="12">
        <v>46033.0</v>
      </c>
      <c r="C110" s="10" t="s">
        <v>584</v>
      </c>
      <c r="D110" s="13" t="s">
        <v>585</v>
      </c>
      <c r="E110" s="14" t="s">
        <v>128</v>
      </c>
      <c r="F110" s="14" t="s">
        <v>129</v>
      </c>
      <c r="G110" s="15" t="s">
        <v>42</v>
      </c>
      <c r="H110" s="10" t="s">
        <v>586</v>
      </c>
      <c r="I110" s="10"/>
      <c r="J110" s="31">
        <v>2.0</v>
      </c>
      <c r="K110" s="46"/>
      <c r="L110" s="10" t="s">
        <v>587</v>
      </c>
      <c r="M110" s="44">
        <v>8.0</v>
      </c>
      <c r="N110" s="45"/>
      <c r="O110" s="20"/>
      <c r="P110" s="20"/>
      <c r="Q110" s="20"/>
      <c r="R110" s="20"/>
      <c r="S110" s="20"/>
    </row>
    <row r="111">
      <c r="A111" s="23" t="s">
        <v>588</v>
      </c>
      <c r="B111" s="22">
        <v>46033.0</v>
      </c>
      <c r="C111" s="23" t="s">
        <v>589</v>
      </c>
      <c r="D111" s="24" t="s">
        <v>590</v>
      </c>
      <c r="E111" s="14" t="s">
        <v>122</v>
      </c>
      <c r="F111" s="14" t="s">
        <v>129</v>
      </c>
      <c r="G111" s="14" t="s">
        <v>42</v>
      </c>
      <c r="H111" s="23" t="s">
        <v>591</v>
      </c>
      <c r="I111" s="23"/>
      <c r="J111" s="48">
        <v>2.0</v>
      </c>
      <c r="K111" s="30"/>
      <c r="L111" s="23" t="s">
        <v>592</v>
      </c>
      <c r="M111" s="50">
        <v>8.0</v>
      </c>
      <c r="N111" s="51"/>
      <c r="O111" s="20"/>
      <c r="P111" s="20"/>
      <c r="Q111" s="20"/>
      <c r="R111" s="20"/>
      <c r="S111" s="20"/>
    </row>
    <row r="112">
      <c r="A112" s="76" t="s">
        <v>593</v>
      </c>
      <c r="B112" s="98">
        <v>46033.0</v>
      </c>
      <c r="C112" s="76" t="s">
        <v>594</v>
      </c>
      <c r="D112" s="99" t="s">
        <v>595</v>
      </c>
      <c r="E112" s="25" t="s">
        <v>17</v>
      </c>
      <c r="F112" s="25" t="s">
        <v>18</v>
      </c>
      <c r="G112" s="25" t="s">
        <v>19</v>
      </c>
      <c r="H112" s="76" t="s">
        <v>596</v>
      </c>
      <c r="I112" s="76" t="s">
        <v>597</v>
      </c>
      <c r="J112" s="107">
        <v>2.0</v>
      </c>
      <c r="K112" s="19">
        <v>6794000.0</v>
      </c>
      <c r="L112" s="76" t="s">
        <v>108</v>
      </c>
      <c r="M112" s="44">
        <v>7.0</v>
      </c>
      <c r="N112" s="45"/>
      <c r="O112" s="20"/>
      <c r="P112" s="20"/>
      <c r="Q112" s="20"/>
      <c r="R112" s="20"/>
      <c r="S112" s="20"/>
    </row>
    <row r="113">
      <c r="A113" s="23" t="s">
        <v>598</v>
      </c>
      <c r="B113" s="22">
        <v>46034.0</v>
      </c>
      <c r="C113" s="23" t="s">
        <v>599</v>
      </c>
      <c r="D113" s="24" t="s">
        <v>600</v>
      </c>
      <c r="E113" s="14" t="s">
        <v>122</v>
      </c>
      <c r="F113" s="14" t="s">
        <v>129</v>
      </c>
      <c r="G113" s="14" t="s">
        <v>42</v>
      </c>
      <c r="H113" s="23"/>
      <c r="I113" s="23" t="s">
        <v>601</v>
      </c>
      <c r="J113" s="23"/>
      <c r="K113" s="30"/>
      <c r="L113" s="23"/>
      <c r="M113" s="50">
        <v>8.0</v>
      </c>
      <c r="N113" s="51"/>
      <c r="O113" s="20"/>
      <c r="P113" s="20"/>
      <c r="Q113" s="20"/>
      <c r="R113" s="20"/>
      <c r="S113" s="20"/>
    </row>
    <row r="114">
      <c r="A114" s="10" t="s">
        <v>602</v>
      </c>
      <c r="B114" s="12">
        <v>46034.0</v>
      </c>
      <c r="C114" s="10" t="s">
        <v>603</v>
      </c>
      <c r="D114" s="13" t="s">
        <v>604</v>
      </c>
      <c r="E114" s="14" t="s">
        <v>128</v>
      </c>
      <c r="F114" s="14" t="s">
        <v>129</v>
      </c>
      <c r="G114" s="15" t="s">
        <v>42</v>
      </c>
      <c r="H114" s="10" t="s">
        <v>199</v>
      </c>
      <c r="I114" s="10"/>
      <c r="J114" s="31">
        <v>5.0</v>
      </c>
      <c r="K114" s="46"/>
      <c r="L114" s="10" t="s">
        <v>605</v>
      </c>
      <c r="M114" s="44">
        <v>8.0</v>
      </c>
      <c r="N114" s="45"/>
      <c r="O114" s="20"/>
      <c r="P114" s="20"/>
      <c r="Q114" s="20"/>
      <c r="R114" s="20"/>
      <c r="S114" s="20"/>
    </row>
    <row r="115">
      <c r="A115" s="23" t="s">
        <v>606</v>
      </c>
      <c r="B115" s="22">
        <v>46034.0</v>
      </c>
      <c r="C115" s="49" t="s">
        <v>607</v>
      </c>
      <c r="D115" s="24" t="s">
        <v>608</v>
      </c>
      <c r="E115" s="14" t="s">
        <v>128</v>
      </c>
      <c r="F115" s="14" t="s">
        <v>129</v>
      </c>
      <c r="G115" s="15" t="s">
        <v>42</v>
      </c>
      <c r="H115" s="23" t="s">
        <v>86</v>
      </c>
      <c r="I115" s="111" t="s">
        <v>609</v>
      </c>
      <c r="J115" s="48">
        <v>4.0</v>
      </c>
      <c r="K115" s="30"/>
      <c r="L115" s="23" t="s">
        <v>610</v>
      </c>
      <c r="M115" s="50">
        <v>8.0</v>
      </c>
      <c r="N115" s="51"/>
      <c r="O115" s="20"/>
      <c r="P115" s="20"/>
      <c r="Q115" s="20"/>
      <c r="R115" s="20"/>
      <c r="S115" s="20"/>
    </row>
    <row r="116">
      <c r="A116" s="10" t="s">
        <v>611</v>
      </c>
      <c r="B116" s="12">
        <v>46034.0</v>
      </c>
      <c r="C116" s="10" t="s">
        <v>612</v>
      </c>
      <c r="D116" s="13" t="s">
        <v>613</v>
      </c>
      <c r="E116" s="14" t="s">
        <v>128</v>
      </c>
      <c r="F116" s="14" t="s">
        <v>129</v>
      </c>
      <c r="G116" s="15" t="s">
        <v>42</v>
      </c>
      <c r="H116" s="10" t="s">
        <v>614</v>
      </c>
      <c r="I116" s="82">
        <v>46039.0</v>
      </c>
      <c r="J116" s="10"/>
      <c r="K116" s="19"/>
      <c r="L116" s="76" t="s">
        <v>174</v>
      </c>
      <c r="M116" s="84">
        <v>8.0</v>
      </c>
      <c r="N116" s="85"/>
      <c r="O116" s="20"/>
      <c r="P116" s="20"/>
      <c r="Q116" s="20"/>
      <c r="R116" s="20"/>
      <c r="S116" s="20"/>
    </row>
    <row r="117">
      <c r="A117" s="23" t="s">
        <v>615</v>
      </c>
      <c r="B117" s="22">
        <v>46035.0</v>
      </c>
      <c r="C117" s="23" t="s">
        <v>616</v>
      </c>
      <c r="D117" s="24" t="s">
        <v>617</v>
      </c>
      <c r="E117" s="14" t="s">
        <v>128</v>
      </c>
      <c r="F117" s="14" t="s">
        <v>129</v>
      </c>
      <c r="G117" s="15" t="s">
        <v>42</v>
      </c>
      <c r="H117" s="23" t="s">
        <v>618</v>
      </c>
      <c r="I117" s="23" t="s">
        <v>619</v>
      </c>
      <c r="J117" s="48">
        <v>5.0</v>
      </c>
      <c r="K117" s="30"/>
      <c r="L117" s="23" t="s">
        <v>620</v>
      </c>
      <c r="M117" s="50">
        <v>8.0</v>
      </c>
      <c r="N117" s="51"/>
      <c r="O117" s="20"/>
      <c r="P117" s="20"/>
      <c r="Q117" s="20"/>
      <c r="R117" s="20"/>
      <c r="S117" s="20"/>
    </row>
    <row r="118">
      <c r="A118" s="10" t="s">
        <v>621</v>
      </c>
      <c r="B118" s="12">
        <v>46035.0</v>
      </c>
      <c r="C118" s="10" t="s">
        <v>622</v>
      </c>
      <c r="D118" s="13" t="s">
        <v>623</v>
      </c>
      <c r="E118" s="14" t="s">
        <v>128</v>
      </c>
      <c r="F118" s="14" t="s">
        <v>129</v>
      </c>
      <c r="G118" s="15" t="s">
        <v>42</v>
      </c>
      <c r="H118" s="10" t="s">
        <v>581</v>
      </c>
      <c r="I118" s="10"/>
      <c r="J118" s="10"/>
      <c r="K118" s="46"/>
      <c r="L118" s="10" t="s">
        <v>624</v>
      </c>
      <c r="M118" s="44">
        <v>8.0</v>
      </c>
      <c r="N118" s="45"/>
      <c r="O118" s="20"/>
      <c r="P118" s="20"/>
      <c r="Q118" s="20"/>
      <c r="R118" s="20"/>
      <c r="S118" s="20"/>
    </row>
    <row r="119">
      <c r="A119" s="23" t="s">
        <v>625</v>
      </c>
      <c r="B119" s="22">
        <v>46035.0</v>
      </c>
      <c r="C119" s="23" t="s">
        <v>626</v>
      </c>
      <c r="D119" s="24" t="s">
        <v>627</v>
      </c>
      <c r="E119" s="14" t="s">
        <v>128</v>
      </c>
      <c r="F119" s="14" t="s">
        <v>129</v>
      </c>
      <c r="G119" s="15" t="s">
        <v>42</v>
      </c>
      <c r="H119" s="23" t="s">
        <v>260</v>
      </c>
      <c r="I119" s="109">
        <v>46052.0</v>
      </c>
      <c r="J119" s="48">
        <v>1.0</v>
      </c>
      <c r="K119" s="36"/>
      <c r="L119" s="49" t="s">
        <v>628</v>
      </c>
      <c r="M119" s="75">
        <v>8.0</v>
      </c>
      <c r="N119" s="77"/>
      <c r="O119" s="20"/>
      <c r="P119" s="20"/>
      <c r="Q119" s="20"/>
      <c r="R119" s="20"/>
      <c r="S119" s="20"/>
    </row>
    <row r="120">
      <c r="A120" s="10" t="s">
        <v>629</v>
      </c>
      <c r="B120" s="12">
        <v>46035.0</v>
      </c>
      <c r="C120" s="10" t="s">
        <v>630</v>
      </c>
      <c r="D120" s="13" t="s">
        <v>631</v>
      </c>
      <c r="E120" s="14" t="s">
        <v>17</v>
      </c>
      <c r="F120" s="14" t="s">
        <v>18</v>
      </c>
      <c r="G120" s="14" t="s">
        <v>42</v>
      </c>
      <c r="H120" s="10" t="s">
        <v>632</v>
      </c>
      <c r="I120" s="10"/>
      <c r="J120" s="10"/>
      <c r="K120" s="46"/>
      <c r="L120" s="76" t="s">
        <v>633</v>
      </c>
      <c r="M120" s="84">
        <v>8.0</v>
      </c>
      <c r="N120" s="85"/>
      <c r="O120" s="20"/>
      <c r="P120" s="20"/>
      <c r="Q120" s="20"/>
      <c r="R120" s="20"/>
      <c r="S120" s="20"/>
    </row>
    <row r="121">
      <c r="A121" s="23" t="s">
        <v>634</v>
      </c>
      <c r="B121" s="22">
        <v>46035.0</v>
      </c>
      <c r="C121" s="23" t="s">
        <v>635</v>
      </c>
      <c r="D121" s="102" t="s">
        <v>636</v>
      </c>
      <c r="E121" s="14" t="s">
        <v>122</v>
      </c>
      <c r="F121" s="14" t="s">
        <v>129</v>
      </c>
      <c r="G121" s="14" t="s">
        <v>42</v>
      </c>
      <c r="H121" s="23" t="s">
        <v>637</v>
      </c>
      <c r="I121" s="23" t="s">
        <v>638</v>
      </c>
      <c r="J121" s="48">
        <v>1.0</v>
      </c>
      <c r="K121" s="30"/>
      <c r="L121" s="23" t="s">
        <v>639</v>
      </c>
      <c r="M121" s="50">
        <v>8.0</v>
      </c>
      <c r="N121" s="51"/>
      <c r="O121" s="20"/>
      <c r="P121" s="20"/>
      <c r="Q121" s="20"/>
      <c r="R121" s="20"/>
      <c r="S121" s="20"/>
    </row>
    <row r="122">
      <c r="A122" s="10" t="s">
        <v>640</v>
      </c>
      <c r="B122" s="12">
        <v>46035.0</v>
      </c>
      <c r="C122" s="10" t="s">
        <v>641</v>
      </c>
      <c r="D122" s="13" t="s">
        <v>642</v>
      </c>
      <c r="E122" s="14" t="s">
        <v>128</v>
      </c>
      <c r="F122" s="14" t="s">
        <v>129</v>
      </c>
      <c r="G122" s="15" t="s">
        <v>42</v>
      </c>
      <c r="H122" s="10" t="s">
        <v>643</v>
      </c>
      <c r="I122" s="10"/>
      <c r="J122" s="10"/>
      <c r="K122" s="46"/>
      <c r="L122" s="10" t="s">
        <v>644</v>
      </c>
      <c r="M122" s="44">
        <v>8.0</v>
      </c>
      <c r="N122" s="45"/>
      <c r="O122" s="20"/>
      <c r="P122" s="20"/>
      <c r="Q122" s="20"/>
      <c r="R122" s="20"/>
      <c r="S122" s="20"/>
    </row>
    <row r="123">
      <c r="A123" s="23" t="s">
        <v>645</v>
      </c>
      <c r="B123" s="22">
        <v>46035.0</v>
      </c>
      <c r="C123" s="23" t="s">
        <v>646</v>
      </c>
      <c r="D123" s="24" t="s">
        <v>647</v>
      </c>
      <c r="E123" s="14" t="s">
        <v>122</v>
      </c>
      <c r="F123" s="14" t="s">
        <v>129</v>
      </c>
      <c r="G123" s="14" t="s">
        <v>42</v>
      </c>
      <c r="H123" s="23" t="s">
        <v>648</v>
      </c>
      <c r="I123" s="23"/>
      <c r="J123" s="48">
        <v>2.0</v>
      </c>
      <c r="K123" s="30"/>
      <c r="L123" s="23" t="s">
        <v>649</v>
      </c>
      <c r="M123" s="50">
        <v>8.0</v>
      </c>
      <c r="N123" s="51"/>
      <c r="O123" s="20"/>
      <c r="P123" s="20"/>
      <c r="Q123" s="20"/>
      <c r="R123" s="20"/>
      <c r="S123" s="20"/>
    </row>
    <row r="124">
      <c r="A124" s="10" t="s">
        <v>650</v>
      </c>
      <c r="B124" s="12">
        <v>46035.0</v>
      </c>
      <c r="C124" s="10" t="s">
        <v>630</v>
      </c>
      <c r="D124" s="13" t="s">
        <v>651</v>
      </c>
      <c r="E124" s="14" t="s">
        <v>128</v>
      </c>
      <c r="F124" s="14" t="s">
        <v>129</v>
      </c>
      <c r="G124" s="15" t="s">
        <v>42</v>
      </c>
      <c r="H124" s="10" t="s">
        <v>58</v>
      </c>
      <c r="I124" s="10"/>
      <c r="J124" s="31">
        <v>3.0</v>
      </c>
      <c r="K124" s="46"/>
      <c r="L124" s="10" t="s">
        <v>652</v>
      </c>
      <c r="M124" s="44">
        <v>8.0</v>
      </c>
      <c r="N124" s="45"/>
      <c r="O124" s="20"/>
      <c r="P124" s="20"/>
      <c r="Q124" s="20"/>
      <c r="R124" s="20"/>
      <c r="S124" s="20"/>
    </row>
    <row r="125">
      <c r="A125" s="23" t="s">
        <v>653</v>
      </c>
      <c r="B125" s="22">
        <v>46035.0</v>
      </c>
      <c r="C125" s="23" t="s">
        <v>654</v>
      </c>
      <c r="D125" s="24" t="s">
        <v>655</v>
      </c>
      <c r="E125" s="14" t="s">
        <v>122</v>
      </c>
      <c r="F125" s="14" t="s">
        <v>129</v>
      </c>
      <c r="G125" s="15" t="s">
        <v>42</v>
      </c>
      <c r="H125" s="23" t="s">
        <v>656</v>
      </c>
      <c r="I125" s="23" t="s">
        <v>657</v>
      </c>
      <c r="J125" s="48">
        <v>5.0</v>
      </c>
      <c r="K125" s="36"/>
      <c r="L125" s="49" t="s">
        <v>658</v>
      </c>
      <c r="M125" s="75">
        <v>8.0</v>
      </c>
      <c r="N125" s="77"/>
      <c r="O125" s="20"/>
      <c r="P125" s="20"/>
      <c r="Q125" s="20"/>
      <c r="R125" s="20"/>
      <c r="S125" s="20"/>
    </row>
    <row r="126">
      <c r="A126" s="10" t="s">
        <v>659</v>
      </c>
      <c r="B126" s="12">
        <v>46036.0</v>
      </c>
      <c r="C126" s="10" t="s">
        <v>660</v>
      </c>
      <c r="D126" s="13" t="s">
        <v>661</v>
      </c>
      <c r="E126" s="14" t="s">
        <v>17</v>
      </c>
      <c r="F126" s="14" t="s">
        <v>18</v>
      </c>
      <c r="G126" s="14" t="s">
        <v>42</v>
      </c>
      <c r="H126" s="10" t="s">
        <v>618</v>
      </c>
      <c r="I126" s="10" t="s">
        <v>662</v>
      </c>
      <c r="J126" s="31">
        <v>7.0</v>
      </c>
      <c r="K126" s="46"/>
      <c r="L126" s="10" t="s">
        <v>663</v>
      </c>
      <c r="M126" s="44">
        <v>8.0</v>
      </c>
      <c r="N126" s="45"/>
      <c r="O126" s="20"/>
      <c r="P126" s="20"/>
      <c r="Q126" s="20"/>
      <c r="R126" s="20"/>
      <c r="S126" s="20"/>
    </row>
    <row r="127">
      <c r="A127" s="23" t="s">
        <v>664</v>
      </c>
      <c r="B127" s="22">
        <v>46036.0</v>
      </c>
      <c r="C127" s="23" t="s">
        <v>665</v>
      </c>
      <c r="D127" s="24" t="s">
        <v>666</v>
      </c>
      <c r="E127" s="14" t="s">
        <v>128</v>
      </c>
      <c r="F127" s="14" t="s">
        <v>129</v>
      </c>
      <c r="G127" s="15" t="s">
        <v>42</v>
      </c>
      <c r="H127" s="23"/>
      <c r="I127" s="23"/>
      <c r="J127" s="23"/>
      <c r="K127" s="30"/>
      <c r="L127" s="23"/>
      <c r="M127" s="50">
        <v>8.0</v>
      </c>
      <c r="N127" s="51"/>
      <c r="O127" s="20"/>
      <c r="P127" s="20"/>
      <c r="Q127" s="20"/>
      <c r="R127" s="20"/>
      <c r="S127" s="20"/>
    </row>
    <row r="128">
      <c r="A128" s="10" t="s">
        <v>667</v>
      </c>
      <c r="B128" s="12">
        <v>46036.0</v>
      </c>
      <c r="C128" s="10" t="s">
        <v>668</v>
      </c>
      <c r="D128" s="13" t="s">
        <v>669</v>
      </c>
      <c r="E128" s="14" t="s">
        <v>128</v>
      </c>
      <c r="F128" s="14" t="s">
        <v>129</v>
      </c>
      <c r="G128" s="15" t="s">
        <v>42</v>
      </c>
      <c r="H128" s="10" t="s">
        <v>123</v>
      </c>
      <c r="I128" s="10"/>
      <c r="J128" s="10"/>
      <c r="K128" s="46"/>
      <c r="L128" s="10" t="s">
        <v>582</v>
      </c>
      <c r="M128" s="44">
        <v>8.0</v>
      </c>
      <c r="N128" s="45"/>
      <c r="O128" s="20"/>
      <c r="P128" s="20"/>
      <c r="Q128" s="20"/>
      <c r="R128" s="20"/>
      <c r="S128" s="20"/>
    </row>
    <row r="129">
      <c r="A129" s="23" t="s">
        <v>670</v>
      </c>
      <c r="B129" s="22">
        <v>46036.0</v>
      </c>
      <c r="C129" s="23" t="s">
        <v>671</v>
      </c>
      <c r="D129" s="24" t="s">
        <v>672</v>
      </c>
      <c r="E129" s="14" t="s">
        <v>17</v>
      </c>
      <c r="F129" s="14" t="s">
        <v>129</v>
      </c>
      <c r="G129" s="15" t="s">
        <v>42</v>
      </c>
      <c r="H129" s="23" t="s">
        <v>673</v>
      </c>
      <c r="I129" s="23" t="s">
        <v>674</v>
      </c>
      <c r="J129" s="48">
        <v>12.0</v>
      </c>
      <c r="K129" s="30"/>
      <c r="L129" s="49" t="s">
        <v>675</v>
      </c>
      <c r="M129" s="50">
        <v>8.0</v>
      </c>
      <c r="N129" s="51"/>
      <c r="O129" s="20"/>
      <c r="P129" s="20"/>
      <c r="Q129" s="20"/>
      <c r="R129" s="20"/>
      <c r="S129" s="20"/>
    </row>
    <row r="130">
      <c r="A130" s="10" t="s">
        <v>676</v>
      </c>
      <c r="B130" s="12">
        <v>46036.0</v>
      </c>
      <c r="C130" s="10" t="s">
        <v>677</v>
      </c>
      <c r="D130" s="13" t="s">
        <v>678</v>
      </c>
      <c r="E130" s="14" t="s">
        <v>17</v>
      </c>
      <c r="F130" s="14" t="s">
        <v>18</v>
      </c>
      <c r="G130" s="14" t="s">
        <v>42</v>
      </c>
      <c r="H130" s="10"/>
      <c r="I130" s="10"/>
      <c r="J130" s="10"/>
      <c r="K130" s="46"/>
      <c r="L130" s="76" t="s">
        <v>633</v>
      </c>
      <c r="M130" s="84">
        <v>8.0</v>
      </c>
      <c r="N130" s="85"/>
      <c r="O130" s="20"/>
      <c r="P130" s="20"/>
      <c r="Q130" s="20"/>
      <c r="R130" s="20"/>
      <c r="S130" s="20"/>
    </row>
    <row r="131">
      <c r="A131" s="23" t="s">
        <v>679</v>
      </c>
      <c r="B131" s="22">
        <v>46037.0</v>
      </c>
      <c r="C131" s="23" t="s">
        <v>680</v>
      </c>
      <c r="D131" s="24" t="s">
        <v>681</v>
      </c>
      <c r="E131" s="14" t="s">
        <v>17</v>
      </c>
      <c r="F131" s="14" t="s">
        <v>129</v>
      </c>
      <c r="G131" s="15" t="s">
        <v>42</v>
      </c>
      <c r="H131" s="23" t="s">
        <v>682</v>
      </c>
      <c r="I131" s="23"/>
      <c r="J131" s="48">
        <v>2.0</v>
      </c>
      <c r="K131" s="30"/>
      <c r="L131" s="23" t="s">
        <v>683</v>
      </c>
      <c r="M131" s="50">
        <v>8.0</v>
      </c>
      <c r="N131" s="51"/>
      <c r="O131" s="20"/>
      <c r="P131" s="20"/>
      <c r="Q131" s="20"/>
      <c r="R131" s="20"/>
      <c r="S131" s="20"/>
    </row>
    <row r="132">
      <c r="A132" s="10" t="s">
        <v>684</v>
      </c>
      <c r="B132" s="12">
        <v>46037.0</v>
      </c>
      <c r="C132" s="10" t="s">
        <v>685</v>
      </c>
      <c r="D132" s="13" t="s">
        <v>686</v>
      </c>
      <c r="E132" s="14" t="s">
        <v>128</v>
      </c>
      <c r="F132" s="14" t="s">
        <v>129</v>
      </c>
      <c r="G132" s="14" t="s">
        <v>42</v>
      </c>
      <c r="H132" s="10" t="s">
        <v>148</v>
      </c>
      <c r="I132" s="113">
        <v>46037.0</v>
      </c>
      <c r="J132" s="10"/>
      <c r="K132" s="46"/>
      <c r="L132" s="10" t="s">
        <v>174</v>
      </c>
      <c r="M132" s="44">
        <v>8.0</v>
      </c>
      <c r="N132" s="45"/>
      <c r="O132" s="20"/>
      <c r="P132" s="20"/>
      <c r="Q132" s="20"/>
      <c r="R132" s="20"/>
      <c r="S132" s="20"/>
    </row>
    <row r="133">
      <c r="A133" s="23" t="s">
        <v>687</v>
      </c>
      <c r="B133" s="22">
        <v>46037.0</v>
      </c>
      <c r="C133" s="23" t="s">
        <v>688</v>
      </c>
      <c r="D133" s="24" t="s">
        <v>689</v>
      </c>
      <c r="E133" s="14" t="s">
        <v>128</v>
      </c>
      <c r="F133" s="14" t="s">
        <v>129</v>
      </c>
      <c r="G133" s="14" t="s">
        <v>42</v>
      </c>
      <c r="H133" s="23"/>
      <c r="I133" s="23"/>
      <c r="J133" s="23"/>
      <c r="K133" s="30"/>
      <c r="L133" s="23" t="s">
        <v>690</v>
      </c>
      <c r="M133" s="50">
        <v>8.0</v>
      </c>
      <c r="N133" s="51"/>
      <c r="O133" s="20"/>
      <c r="P133" s="20"/>
      <c r="Q133" s="20"/>
      <c r="R133" s="20"/>
      <c r="S133" s="20"/>
    </row>
    <row r="134">
      <c r="A134" s="10" t="s">
        <v>691</v>
      </c>
      <c r="B134" s="12">
        <v>46037.0</v>
      </c>
      <c r="C134" s="10" t="s">
        <v>692</v>
      </c>
      <c r="D134" s="13" t="s">
        <v>693</v>
      </c>
      <c r="E134" s="14" t="s">
        <v>17</v>
      </c>
      <c r="F134" s="14" t="s">
        <v>18</v>
      </c>
      <c r="G134" s="15" t="s">
        <v>42</v>
      </c>
      <c r="H134" s="10" t="s">
        <v>116</v>
      </c>
      <c r="I134" s="10"/>
      <c r="J134" s="31">
        <v>10.0</v>
      </c>
      <c r="K134" s="46"/>
      <c r="L134" s="76" t="s">
        <v>694</v>
      </c>
      <c r="M134" s="84">
        <v>8.0</v>
      </c>
      <c r="N134" s="85"/>
      <c r="O134" s="20"/>
      <c r="P134" s="20"/>
      <c r="Q134" s="20"/>
      <c r="R134" s="20"/>
      <c r="S134" s="20"/>
    </row>
    <row r="135">
      <c r="A135" s="23" t="s">
        <v>695</v>
      </c>
      <c r="B135" s="22">
        <v>46037.0</v>
      </c>
      <c r="C135" s="23" t="s">
        <v>696</v>
      </c>
      <c r="D135" s="24" t="s">
        <v>697</v>
      </c>
      <c r="E135" s="14" t="s">
        <v>17</v>
      </c>
      <c r="F135" s="14" t="s">
        <v>129</v>
      </c>
      <c r="G135" s="25" t="s">
        <v>42</v>
      </c>
      <c r="H135" s="23"/>
      <c r="I135" s="23"/>
      <c r="J135" s="23"/>
      <c r="K135" s="36"/>
      <c r="L135" s="49" t="s">
        <v>698</v>
      </c>
      <c r="M135" s="75">
        <v>8.0</v>
      </c>
      <c r="N135" s="77"/>
      <c r="O135" s="20"/>
      <c r="P135" s="20"/>
      <c r="Q135" s="20"/>
      <c r="R135" s="20"/>
      <c r="S135" s="20"/>
    </row>
    <row r="136">
      <c r="A136" s="10" t="s">
        <v>699</v>
      </c>
      <c r="B136" s="12">
        <v>46037.0</v>
      </c>
      <c r="C136" s="10" t="s">
        <v>700</v>
      </c>
      <c r="D136" s="13" t="s">
        <v>701</v>
      </c>
      <c r="E136" s="14" t="s">
        <v>17</v>
      </c>
      <c r="F136" s="14" t="s">
        <v>129</v>
      </c>
      <c r="G136" s="25" t="s">
        <v>42</v>
      </c>
      <c r="H136" s="10" t="s">
        <v>123</v>
      </c>
      <c r="I136" s="76" t="s">
        <v>702</v>
      </c>
      <c r="J136" s="10"/>
      <c r="K136" s="19"/>
      <c r="L136" s="76" t="s">
        <v>703</v>
      </c>
      <c r="M136" s="84">
        <v>8.0</v>
      </c>
      <c r="N136" s="86" t="s">
        <v>704</v>
      </c>
      <c r="O136" s="20"/>
      <c r="P136" s="20"/>
      <c r="Q136" s="20"/>
      <c r="R136" s="20"/>
      <c r="S136" s="20"/>
    </row>
    <row r="137">
      <c r="A137" s="23" t="s">
        <v>705</v>
      </c>
      <c r="B137" s="22">
        <v>46037.0</v>
      </c>
      <c r="C137" s="23" t="s">
        <v>706</v>
      </c>
      <c r="D137" s="24" t="s">
        <v>707</v>
      </c>
      <c r="E137" s="14" t="s">
        <v>128</v>
      </c>
      <c r="F137" s="14" t="s">
        <v>129</v>
      </c>
      <c r="G137" s="15" t="s">
        <v>42</v>
      </c>
      <c r="H137" s="23" t="s">
        <v>457</v>
      </c>
      <c r="I137" s="23"/>
      <c r="J137" s="48" t="s">
        <v>708</v>
      </c>
      <c r="K137" s="30"/>
      <c r="L137" s="23" t="s">
        <v>709</v>
      </c>
      <c r="M137" s="50">
        <v>8.0</v>
      </c>
      <c r="N137" s="51"/>
      <c r="O137" s="20"/>
      <c r="P137" s="20"/>
      <c r="Q137" s="20"/>
      <c r="R137" s="20"/>
      <c r="S137" s="20"/>
    </row>
    <row r="138">
      <c r="A138" s="10" t="s">
        <v>710</v>
      </c>
      <c r="B138" s="12">
        <v>46037.0</v>
      </c>
      <c r="C138" s="10" t="s">
        <v>711</v>
      </c>
      <c r="D138" s="13" t="s">
        <v>712</v>
      </c>
      <c r="E138" s="14" t="s">
        <v>17</v>
      </c>
      <c r="F138" s="14" t="s">
        <v>129</v>
      </c>
      <c r="G138" s="25" t="s">
        <v>79</v>
      </c>
      <c r="H138" s="10" t="s">
        <v>713</v>
      </c>
      <c r="I138" s="10" t="s">
        <v>714</v>
      </c>
      <c r="J138" s="31">
        <v>15.0</v>
      </c>
      <c r="K138" s="46">
        <f>1300000*33</f>
        <v>42900000</v>
      </c>
      <c r="L138" s="10" t="s">
        <v>715</v>
      </c>
      <c r="M138" s="44">
        <v>99.0</v>
      </c>
      <c r="N138" s="45"/>
      <c r="O138" s="20"/>
      <c r="P138" s="20"/>
      <c r="Q138" s="20"/>
      <c r="R138" s="20"/>
      <c r="S138" s="20"/>
    </row>
    <row r="139">
      <c r="A139" s="23" t="s">
        <v>716</v>
      </c>
      <c r="B139" s="22">
        <v>46037.0</v>
      </c>
      <c r="C139" s="23" t="s">
        <v>717</v>
      </c>
      <c r="D139" s="24" t="s">
        <v>718</v>
      </c>
      <c r="E139" s="14" t="s">
        <v>128</v>
      </c>
      <c r="F139" s="14" t="s">
        <v>129</v>
      </c>
      <c r="G139" s="15" t="s">
        <v>42</v>
      </c>
      <c r="H139" s="23" t="s">
        <v>719</v>
      </c>
      <c r="I139" s="23"/>
      <c r="J139" s="48">
        <v>2.0</v>
      </c>
      <c r="K139" s="30"/>
      <c r="L139" s="23" t="s">
        <v>720</v>
      </c>
      <c r="M139" s="50">
        <v>8.0</v>
      </c>
      <c r="N139" s="51"/>
      <c r="O139" s="20"/>
      <c r="P139" s="20"/>
      <c r="Q139" s="20"/>
      <c r="R139" s="20"/>
      <c r="S139" s="20"/>
    </row>
    <row r="140">
      <c r="A140" s="10" t="s">
        <v>721</v>
      </c>
      <c r="B140" s="12">
        <v>46037.0</v>
      </c>
      <c r="C140" s="10" t="s">
        <v>722</v>
      </c>
      <c r="D140" s="13" t="s">
        <v>723</v>
      </c>
      <c r="E140" s="14" t="s">
        <v>17</v>
      </c>
      <c r="F140" s="14" t="s">
        <v>129</v>
      </c>
      <c r="G140" s="15" t="s">
        <v>42</v>
      </c>
      <c r="H140" s="10"/>
      <c r="I140" s="114"/>
      <c r="J140" s="10"/>
      <c r="K140" s="46"/>
      <c r="L140" s="10" t="s">
        <v>724</v>
      </c>
      <c r="M140" s="44">
        <v>8.0</v>
      </c>
      <c r="N140" s="45"/>
      <c r="O140" s="20"/>
      <c r="P140" s="20"/>
      <c r="Q140" s="20"/>
      <c r="R140" s="20"/>
      <c r="S140" s="20"/>
    </row>
    <row r="141">
      <c r="A141" s="23" t="s">
        <v>725</v>
      </c>
      <c r="B141" s="22">
        <v>46038.0</v>
      </c>
      <c r="C141" s="23" t="s">
        <v>726</v>
      </c>
      <c r="D141" s="24" t="s">
        <v>727</v>
      </c>
      <c r="E141" s="14" t="s">
        <v>128</v>
      </c>
      <c r="F141" s="14" t="s">
        <v>129</v>
      </c>
      <c r="G141" s="15" t="s">
        <v>43</v>
      </c>
      <c r="H141" s="23" t="s">
        <v>728</v>
      </c>
      <c r="I141" s="49" t="s">
        <v>729</v>
      </c>
      <c r="J141" s="48">
        <v>30.0</v>
      </c>
      <c r="K141" s="30">
        <f>800000*30</f>
        <v>24000000</v>
      </c>
      <c r="L141" s="49" t="s">
        <v>730</v>
      </c>
      <c r="M141" s="50">
        <v>3.0</v>
      </c>
      <c r="N141" s="104" t="s">
        <v>731</v>
      </c>
      <c r="O141" s="20"/>
      <c r="P141" s="20"/>
      <c r="Q141" s="20"/>
      <c r="R141" s="20"/>
      <c r="S141" s="20"/>
    </row>
    <row r="142">
      <c r="A142" s="10" t="s">
        <v>732</v>
      </c>
      <c r="B142" s="12">
        <v>46038.0</v>
      </c>
      <c r="C142" s="10" t="s">
        <v>733</v>
      </c>
      <c r="D142" s="13" t="s">
        <v>734</v>
      </c>
      <c r="E142" s="14" t="s">
        <v>128</v>
      </c>
      <c r="F142" s="14" t="s">
        <v>129</v>
      </c>
      <c r="G142" s="14" t="s">
        <v>42</v>
      </c>
      <c r="H142" s="10"/>
      <c r="I142" s="10"/>
      <c r="J142" s="10"/>
      <c r="K142" s="46"/>
      <c r="L142" s="10" t="s">
        <v>735</v>
      </c>
      <c r="M142" s="44">
        <v>8.0</v>
      </c>
      <c r="N142" s="45"/>
      <c r="O142" s="20"/>
      <c r="P142" s="20"/>
      <c r="Q142" s="20"/>
      <c r="R142" s="20"/>
      <c r="S142" s="20"/>
    </row>
    <row r="143">
      <c r="A143" s="23" t="s">
        <v>736</v>
      </c>
      <c r="B143" s="22">
        <v>46038.0</v>
      </c>
      <c r="C143" s="23" t="s">
        <v>737</v>
      </c>
      <c r="D143" s="24" t="s">
        <v>738</v>
      </c>
      <c r="E143" s="14" t="s">
        <v>128</v>
      </c>
      <c r="F143" s="14" t="s">
        <v>129</v>
      </c>
      <c r="G143" s="15" t="s">
        <v>42</v>
      </c>
      <c r="H143" s="23" t="s">
        <v>260</v>
      </c>
      <c r="I143" s="23"/>
      <c r="J143" s="23"/>
      <c r="K143" s="30"/>
      <c r="L143" s="23" t="s">
        <v>739</v>
      </c>
      <c r="M143" s="50">
        <v>8.0</v>
      </c>
      <c r="N143" s="51"/>
      <c r="O143" s="20"/>
      <c r="P143" s="20"/>
      <c r="Q143" s="20"/>
      <c r="R143" s="20"/>
      <c r="S143" s="20"/>
    </row>
    <row r="144">
      <c r="A144" s="10" t="s">
        <v>740</v>
      </c>
      <c r="B144" s="12">
        <v>46038.0</v>
      </c>
      <c r="C144" s="10" t="s">
        <v>741</v>
      </c>
      <c r="D144" s="13" t="s">
        <v>742</v>
      </c>
      <c r="E144" s="14" t="s">
        <v>128</v>
      </c>
      <c r="F144" s="14" t="s">
        <v>129</v>
      </c>
      <c r="G144" s="15" t="s">
        <v>42</v>
      </c>
      <c r="H144" s="10" t="s">
        <v>260</v>
      </c>
      <c r="I144" s="10"/>
      <c r="J144" s="31">
        <v>2.0</v>
      </c>
      <c r="K144" s="46"/>
      <c r="L144" s="10" t="s">
        <v>743</v>
      </c>
      <c r="M144" s="44">
        <v>8.0</v>
      </c>
      <c r="N144" s="45"/>
      <c r="O144" s="20"/>
      <c r="P144" s="20"/>
      <c r="Q144" s="20"/>
      <c r="R144" s="20"/>
      <c r="S144" s="20"/>
    </row>
    <row r="145">
      <c r="A145" s="23" t="s">
        <v>744</v>
      </c>
      <c r="B145" s="22">
        <v>46038.0</v>
      </c>
      <c r="C145" s="23" t="s">
        <v>745</v>
      </c>
      <c r="D145" s="24" t="s">
        <v>746</v>
      </c>
      <c r="E145" s="14" t="s">
        <v>128</v>
      </c>
      <c r="F145" s="14" t="s">
        <v>129</v>
      </c>
      <c r="G145" s="14" t="s">
        <v>42</v>
      </c>
      <c r="H145" s="23" t="s">
        <v>747</v>
      </c>
      <c r="I145" s="109">
        <v>46057.0</v>
      </c>
      <c r="J145" s="23"/>
      <c r="K145" s="30"/>
      <c r="L145" s="23" t="s">
        <v>748</v>
      </c>
      <c r="M145" s="50">
        <v>8.0</v>
      </c>
      <c r="N145" s="51"/>
      <c r="O145" s="20"/>
      <c r="P145" s="20"/>
      <c r="Q145" s="20"/>
      <c r="R145" s="20"/>
      <c r="S145" s="20"/>
    </row>
    <row r="146">
      <c r="A146" s="10" t="s">
        <v>749</v>
      </c>
      <c r="B146" s="12">
        <v>46038.0</v>
      </c>
      <c r="C146" s="10" t="s">
        <v>750</v>
      </c>
      <c r="D146" s="13" t="s">
        <v>751</v>
      </c>
      <c r="E146" s="14" t="s">
        <v>128</v>
      </c>
      <c r="F146" s="14" t="s">
        <v>129</v>
      </c>
      <c r="G146" s="14" t="s">
        <v>42</v>
      </c>
      <c r="H146" s="10" t="s">
        <v>486</v>
      </c>
      <c r="I146" s="10"/>
      <c r="J146" s="31">
        <v>1.0</v>
      </c>
      <c r="K146" s="46"/>
      <c r="L146" s="10" t="s">
        <v>709</v>
      </c>
      <c r="M146" s="44">
        <v>8.0</v>
      </c>
      <c r="N146" s="45"/>
      <c r="O146" s="20"/>
      <c r="P146" s="20"/>
      <c r="Q146" s="20"/>
      <c r="R146" s="20"/>
      <c r="S146" s="20"/>
    </row>
    <row r="147">
      <c r="A147" s="23" t="s">
        <v>752</v>
      </c>
      <c r="B147" s="22">
        <v>46038.0</v>
      </c>
      <c r="C147" s="23" t="s">
        <v>753</v>
      </c>
      <c r="D147" s="24" t="s">
        <v>754</v>
      </c>
      <c r="E147" s="14" t="s">
        <v>128</v>
      </c>
      <c r="F147" s="14" t="s">
        <v>129</v>
      </c>
      <c r="G147" s="15" t="s">
        <v>42</v>
      </c>
      <c r="H147" s="23"/>
      <c r="I147" s="23"/>
      <c r="J147" s="23"/>
      <c r="K147" s="30"/>
      <c r="L147" s="23"/>
      <c r="M147" s="50">
        <v>8.0</v>
      </c>
      <c r="N147" s="51"/>
      <c r="O147" s="20"/>
      <c r="P147" s="20"/>
      <c r="Q147" s="20"/>
      <c r="R147" s="20"/>
      <c r="S147" s="20"/>
    </row>
    <row r="148">
      <c r="A148" s="10" t="s">
        <v>755</v>
      </c>
      <c r="B148" s="12">
        <v>46038.0</v>
      </c>
      <c r="C148" s="10" t="s">
        <v>756</v>
      </c>
      <c r="D148" s="13" t="s">
        <v>757</v>
      </c>
      <c r="E148" s="14" t="s">
        <v>17</v>
      </c>
      <c r="F148" s="14" t="s">
        <v>18</v>
      </c>
      <c r="G148" s="15" t="s">
        <v>42</v>
      </c>
      <c r="H148" s="10" t="s">
        <v>758</v>
      </c>
      <c r="I148" s="82">
        <v>46046.0</v>
      </c>
      <c r="J148" s="10"/>
      <c r="K148" s="19"/>
      <c r="L148" s="76" t="s">
        <v>759</v>
      </c>
      <c r="M148" s="84">
        <v>8.0</v>
      </c>
      <c r="N148" s="85"/>
      <c r="O148" s="20"/>
      <c r="P148" s="20"/>
      <c r="Q148" s="20"/>
      <c r="R148" s="20"/>
      <c r="S148" s="20"/>
    </row>
    <row r="149">
      <c r="A149" s="23" t="s">
        <v>760</v>
      </c>
      <c r="B149" s="22">
        <v>46038.0</v>
      </c>
      <c r="C149" s="23" t="s">
        <v>761</v>
      </c>
      <c r="D149" s="24" t="s">
        <v>762</v>
      </c>
      <c r="E149" s="14" t="s">
        <v>128</v>
      </c>
      <c r="F149" s="14" t="s">
        <v>129</v>
      </c>
      <c r="G149" s="25" t="s">
        <v>42</v>
      </c>
      <c r="H149" s="23" t="s">
        <v>123</v>
      </c>
      <c r="I149" s="23" t="s">
        <v>763</v>
      </c>
      <c r="J149" s="48">
        <v>2.0</v>
      </c>
      <c r="K149" s="36">
        <f>306000*2</f>
        <v>612000</v>
      </c>
      <c r="L149" s="49" t="s">
        <v>764</v>
      </c>
      <c r="M149" s="75">
        <v>8.0</v>
      </c>
      <c r="N149" s="104" t="s">
        <v>765</v>
      </c>
      <c r="O149" s="20"/>
      <c r="P149" s="20"/>
      <c r="Q149" s="20"/>
      <c r="R149" s="20"/>
      <c r="S149" s="20"/>
    </row>
    <row r="150">
      <c r="A150" s="10" t="s">
        <v>766</v>
      </c>
      <c r="B150" s="12">
        <v>46038.0</v>
      </c>
      <c r="C150" s="10" t="s">
        <v>767</v>
      </c>
      <c r="D150" s="13" t="s">
        <v>768</v>
      </c>
      <c r="E150" s="14" t="s">
        <v>128</v>
      </c>
      <c r="F150" s="14" t="s">
        <v>129</v>
      </c>
      <c r="G150" s="14" t="s">
        <v>42</v>
      </c>
      <c r="H150" s="10"/>
      <c r="I150" s="10"/>
      <c r="J150" s="10"/>
      <c r="K150" s="46"/>
      <c r="L150" s="10"/>
      <c r="M150" s="44">
        <v>8.0</v>
      </c>
      <c r="N150" s="45"/>
      <c r="O150" s="20"/>
      <c r="P150" s="20"/>
      <c r="Q150" s="20"/>
      <c r="R150" s="20"/>
      <c r="S150" s="20"/>
    </row>
    <row r="151">
      <c r="A151" s="23" t="s">
        <v>769</v>
      </c>
      <c r="B151" s="22">
        <v>46039.0</v>
      </c>
      <c r="C151" s="23" t="s">
        <v>770</v>
      </c>
      <c r="D151" s="24" t="s">
        <v>771</v>
      </c>
      <c r="E151" s="14" t="s">
        <v>128</v>
      </c>
      <c r="F151" s="14" t="s">
        <v>129</v>
      </c>
      <c r="G151" s="15" t="s">
        <v>42</v>
      </c>
      <c r="H151" s="23"/>
      <c r="I151" s="23"/>
      <c r="J151" s="23"/>
      <c r="K151" s="30"/>
      <c r="L151" s="23"/>
      <c r="M151" s="50">
        <v>8.0</v>
      </c>
      <c r="N151" s="51"/>
      <c r="O151" s="20"/>
      <c r="P151" s="20"/>
      <c r="Q151" s="20"/>
      <c r="R151" s="20"/>
      <c r="S151" s="20"/>
    </row>
    <row r="152">
      <c r="A152" s="10" t="s">
        <v>772</v>
      </c>
      <c r="B152" s="12">
        <v>46039.0</v>
      </c>
      <c r="C152" s="10" t="s">
        <v>773</v>
      </c>
      <c r="D152" s="13" t="s">
        <v>774</v>
      </c>
      <c r="E152" s="14" t="s">
        <v>128</v>
      </c>
      <c r="F152" s="14" t="s">
        <v>129</v>
      </c>
      <c r="G152" s="15" t="s">
        <v>49</v>
      </c>
      <c r="H152" s="10" t="s">
        <v>775</v>
      </c>
      <c r="I152" s="10" t="s">
        <v>776</v>
      </c>
      <c r="J152" s="31">
        <v>2.0</v>
      </c>
      <c r="K152" s="19">
        <f>1700000*2</f>
        <v>3400000</v>
      </c>
      <c r="L152" s="76" t="s">
        <v>777</v>
      </c>
      <c r="M152" s="84">
        <v>4.0</v>
      </c>
      <c r="N152" s="86" t="s">
        <v>778</v>
      </c>
      <c r="O152" s="20"/>
      <c r="P152" s="20"/>
      <c r="Q152" s="20"/>
      <c r="R152" s="20"/>
      <c r="S152" s="20"/>
    </row>
    <row r="153">
      <c r="A153" s="23" t="s">
        <v>779</v>
      </c>
      <c r="B153" s="22">
        <v>46039.0</v>
      </c>
      <c r="C153" s="23" t="s">
        <v>780</v>
      </c>
      <c r="D153" s="24" t="s">
        <v>781</v>
      </c>
      <c r="E153" s="14" t="s">
        <v>128</v>
      </c>
      <c r="F153" s="14" t="s">
        <v>129</v>
      </c>
      <c r="G153" s="25" t="s">
        <v>42</v>
      </c>
      <c r="H153" s="49" t="s">
        <v>260</v>
      </c>
      <c r="I153" s="49" t="s">
        <v>782</v>
      </c>
      <c r="J153" s="49">
        <v>2.0</v>
      </c>
      <c r="K153" s="36">
        <f>2000000*2</f>
        <v>4000000</v>
      </c>
      <c r="L153" s="49" t="s">
        <v>783</v>
      </c>
      <c r="M153" s="75">
        <v>8.0</v>
      </c>
      <c r="N153" s="115" t="s">
        <v>784</v>
      </c>
      <c r="O153" s="20"/>
      <c r="P153" s="20"/>
      <c r="Q153" s="20"/>
      <c r="R153" s="20"/>
      <c r="S153" s="20"/>
    </row>
    <row r="154">
      <c r="A154" s="10" t="s">
        <v>785</v>
      </c>
      <c r="B154" s="12">
        <v>46039.0</v>
      </c>
      <c r="C154" s="10" t="s">
        <v>786</v>
      </c>
      <c r="D154" s="13" t="s">
        <v>787</v>
      </c>
      <c r="E154" s="14" t="s">
        <v>122</v>
      </c>
      <c r="F154" s="14" t="s">
        <v>129</v>
      </c>
      <c r="G154" s="15" t="s">
        <v>42</v>
      </c>
      <c r="H154" s="10" t="s">
        <v>123</v>
      </c>
      <c r="I154" s="10"/>
      <c r="J154" s="10"/>
      <c r="K154" s="46"/>
      <c r="L154" s="10" t="s">
        <v>788</v>
      </c>
      <c r="M154" s="44">
        <v>8.0</v>
      </c>
      <c r="N154" s="45"/>
      <c r="O154" s="20"/>
      <c r="P154" s="20"/>
      <c r="Q154" s="20"/>
      <c r="R154" s="20"/>
      <c r="S154" s="20"/>
    </row>
    <row r="155">
      <c r="A155" s="23" t="s">
        <v>789</v>
      </c>
      <c r="B155" s="22">
        <v>46039.0</v>
      </c>
      <c r="C155" s="23" t="s">
        <v>790</v>
      </c>
      <c r="D155" s="24" t="s">
        <v>791</v>
      </c>
      <c r="E155" s="14" t="s">
        <v>17</v>
      </c>
      <c r="F155" s="14" t="s">
        <v>18</v>
      </c>
      <c r="G155" s="15" t="s">
        <v>42</v>
      </c>
      <c r="H155" s="23" t="s">
        <v>792</v>
      </c>
      <c r="I155" s="23"/>
      <c r="J155" s="23"/>
      <c r="K155" s="30"/>
      <c r="L155" s="49" t="s">
        <v>191</v>
      </c>
      <c r="M155" s="75">
        <v>8.0</v>
      </c>
      <c r="N155" s="77"/>
      <c r="O155" s="20"/>
      <c r="P155" s="20"/>
      <c r="Q155" s="20"/>
      <c r="R155" s="20"/>
      <c r="S155" s="20"/>
    </row>
    <row r="156">
      <c r="A156" s="10" t="s">
        <v>793</v>
      </c>
      <c r="B156" s="12">
        <v>46039.0</v>
      </c>
      <c r="C156" s="10" t="s">
        <v>794</v>
      </c>
      <c r="D156" s="13" t="s">
        <v>795</v>
      </c>
      <c r="E156" s="14" t="s">
        <v>122</v>
      </c>
      <c r="F156" s="14" t="s">
        <v>18</v>
      </c>
      <c r="G156" s="15" t="s">
        <v>42</v>
      </c>
      <c r="H156" s="10" t="s">
        <v>796</v>
      </c>
      <c r="I156" s="10" t="s">
        <v>797</v>
      </c>
      <c r="J156" s="10"/>
      <c r="K156" s="46"/>
      <c r="L156" s="76" t="s">
        <v>798</v>
      </c>
      <c r="M156" s="84">
        <v>8.0</v>
      </c>
      <c r="N156" s="85"/>
      <c r="O156" s="20"/>
      <c r="P156" s="20"/>
      <c r="Q156" s="20"/>
      <c r="R156" s="20"/>
      <c r="S156" s="20"/>
    </row>
    <row r="157">
      <c r="A157" s="23" t="s">
        <v>799</v>
      </c>
      <c r="B157" s="22">
        <v>46040.0</v>
      </c>
      <c r="C157" s="23" t="s">
        <v>800</v>
      </c>
      <c r="D157" s="24" t="s">
        <v>801</v>
      </c>
      <c r="E157" s="14" t="s">
        <v>128</v>
      </c>
      <c r="F157" s="14" t="s">
        <v>129</v>
      </c>
      <c r="G157" s="15" t="s">
        <v>42</v>
      </c>
      <c r="H157" s="23" t="s">
        <v>747</v>
      </c>
      <c r="I157" s="111"/>
      <c r="J157" s="48">
        <v>1.0</v>
      </c>
      <c r="K157" s="30"/>
      <c r="L157" s="23" t="s">
        <v>802</v>
      </c>
      <c r="M157" s="50">
        <v>8.0</v>
      </c>
      <c r="N157" s="51"/>
      <c r="O157" s="20"/>
      <c r="P157" s="20"/>
      <c r="Q157" s="20"/>
      <c r="R157" s="20"/>
      <c r="S157" s="20"/>
    </row>
    <row r="158">
      <c r="A158" s="10" t="s">
        <v>803</v>
      </c>
      <c r="B158" s="12">
        <v>46040.0</v>
      </c>
      <c r="C158" s="10" t="s">
        <v>142</v>
      </c>
      <c r="D158" s="13" t="s">
        <v>804</v>
      </c>
      <c r="E158" s="14" t="s">
        <v>128</v>
      </c>
      <c r="F158" s="14" t="s">
        <v>129</v>
      </c>
      <c r="G158" s="15" t="s">
        <v>42</v>
      </c>
      <c r="H158" s="10" t="s">
        <v>747</v>
      </c>
      <c r="I158" s="82">
        <v>46046.0</v>
      </c>
      <c r="J158" s="10"/>
      <c r="K158" s="46"/>
      <c r="L158" s="10" t="s">
        <v>805</v>
      </c>
      <c r="M158" s="44">
        <v>8.0</v>
      </c>
      <c r="N158" s="45"/>
      <c r="O158" s="20"/>
      <c r="P158" s="20"/>
      <c r="Q158" s="20"/>
      <c r="R158" s="20"/>
      <c r="S158" s="20"/>
    </row>
    <row r="159">
      <c r="A159" s="23" t="s">
        <v>806</v>
      </c>
      <c r="B159" s="22">
        <v>46040.0</v>
      </c>
      <c r="C159" s="23" t="s">
        <v>807</v>
      </c>
      <c r="D159" s="24" t="s">
        <v>808</v>
      </c>
      <c r="E159" s="14" t="s">
        <v>128</v>
      </c>
      <c r="F159" s="14" t="s">
        <v>129</v>
      </c>
      <c r="G159" s="15" t="s">
        <v>42</v>
      </c>
      <c r="H159" s="23" t="s">
        <v>809</v>
      </c>
      <c r="I159" s="23" t="s">
        <v>810</v>
      </c>
      <c r="J159" s="23" t="s">
        <v>811</v>
      </c>
      <c r="K159" s="30"/>
      <c r="L159" s="23" t="s">
        <v>812</v>
      </c>
      <c r="M159" s="50">
        <v>8.0</v>
      </c>
      <c r="N159" s="51"/>
      <c r="O159" s="20"/>
      <c r="P159" s="20"/>
      <c r="Q159" s="20"/>
      <c r="R159" s="20"/>
      <c r="S159" s="20"/>
    </row>
    <row r="160">
      <c r="A160" s="10" t="s">
        <v>813</v>
      </c>
      <c r="B160" s="12">
        <v>46040.0</v>
      </c>
      <c r="C160" s="10" t="s">
        <v>814</v>
      </c>
      <c r="D160" s="13" t="s">
        <v>815</v>
      </c>
      <c r="E160" s="14" t="s">
        <v>128</v>
      </c>
      <c r="F160" s="14" t="s">
        <v>129</v>
      </c>
      <c r="G160" s="14" t="s">
        <v>42</v>
      </c>
      <c r="H160" s="10" t="s">
        <v>713</v>
      </c>
      <c r="I160" s="10"/>
      <c r="J160" s="10"/>
      <c r="K160" s="46"/>
      <c r="L160" s="10" t="s">
        <v>514</v>
      </c>
      <c r="M160" s="44">
        <v>8.0</v>
      </c>
      <c r="N160" s="45"/>
      <c r="O160" s="20"/>
      <c r="P160" s="20"/>
      <c r="Q160" s="20"/>
      <c r="R160" s="20"/>
      <c r="S160" s="20"/>
    </row>
    <row r="161">
      <c r="A161" s="23" t="s">
        <v>816</v>
      </c>
      <c r="B161" s="22">
        <v>46040.0</v>
      </c>
      <c r="C161" s="23" t="s">
        <v>817</v>
      </c>
      <c r="D161" s="24" t="s">
        <v>818</v>
      </c>
      <c r="E161" s="14" t="s">
        <v>128</v>
      </c>
      <c r="F161" s="14" t="s">
        <v>129</v>
      </c>
      <c r="G161" s="14" t="s">
        <v>42</v>
      </c>
      <c r="H161" s="23"/>
      <c r="I161" s="23"/>
      <c r="J161" s="23"/>
      <c r="K161" s="30"/>
      <c r="L161" s="23" t="s">
        <v>819</v>
      </c>
      <c r="M161" s="50">
        <v>8.0</v>
      </c>
      <c r="N161" s="51"/>
      <c r="O161" s="20"/>
      <c r="P161" s="20"/>
      <c r="Q161" s="20"/>
      <c r="R161" s="20"/>
      <c r="S161" s="20"/>
    </row>
    <row r="162">
      <c r="A162" s="10" t="s">
        <v>820</v>
      </c>
      <c r="B162" s="12">
        <v>46040.0</v>
      </c>
      <c r="C162" s="10" t="s">
        <v>821</v>
      </c>
      <c r="D162" s="13" t="s">
        <v>822</v>
      </c>
      <c r="E162" s="14" t="s">
        <v>128</v>
      </c>
      <c r="F162" s="14" t="s">
        <v>129</v>
      </c>
      <c r="G162" s="15" t="s">
        <v>42</v>
      </c>
      <c r="H162" s="10" t="s">
        <v>823</v>
      </c>
      <c r="I162" s="10" t="s">
        <v>824</v>
      </c>
      <c r="J162" s="10"/>
      <c r="K162" s="46"/>
      <c r="L162" s="10" t="s">
        <v>825</v>
      </c>
      <c r="M162" s="44">
        <v>8.0</v>
      </c>
      <c r="N162" s="45"/>
      <c r="O162" s="20"/>
      <c r="P162" s="20"/>
      <c r="Q162" s="20"/>
      <c r="R162" s="20"/>
      <c r="S162" s="20"/>
    </row>
    <row r="163">
      <c r="A163" s="23" t="s">
        <v>826</v>
      </c>
      <c r="B163" s="22">
        <v>46040.0</v>
      </c>
      <c r="C163" s="23" t="s">
        <v>827</v>
      </c>
      <c r="D163" s="24" t="s">
        <v>828</v>
      </c>
      <c r="E163" s="14" t="s">
        <v>128</v>
      </c>
      <c r="F163" s="14" t="s">
        <v>129</v>
      </c>
      <c r="G163" s="14" t="s">
        <v>42</v>
      </c>
      <c r="H163" s="23"/>
      <c r="I163" s="111"/>
      <c r="J163" s="23"/>
      <c r="K163" s="30"/>
      <c r="L163" s="23" t="s">
        <v>829</v>
      </c>
      <c r="M163" s="50">
        <v>8.0</v>
      </c>
      <c r="N163" s="51"/>
      <c r="O163" s="20"/>
      <c r="P163" s="20"/>
      <c r="Q163" s="20"/>
      <c r="R163" s="20"/>
      <c r="S163" s="20"/>
    </row>
    <row r="164">
      <c r="A164" s="10" t="s">
        <v>830</v>
      </c>
      <c r="B164" s="12">
        <v>46041.0</v>
      </c>
      <c r="C164" s="10" t="s">
        <v>831</v>
      </c>
      <c r="D164" s="13" t="s">
        <v>832</v>
      </c>
      <c r="E164" s="14" t="s">
        <v>17</v>
      </c>
      <c r="F164" s="14" t="s">
        <v>18</v>
      </c>
      <c r="G164" s="15" t="s">
        <v>19</v>
      </c>
      <c r="H164" s="10" t="s">
        <v>833</v>
      </c>
      <c r="I164" s="82">
        <v>46042.0</v>
      </c>
      <c r="J164" s="10"/>
      <c r="K164" s="19">
        <v>3820000.0</v>
      </c>
      <c r="L164" s="76" t="s">
        <v>108</v>
      </c>
      <c r="M164" s="84">
        <v>7.0</v>
      </c>
      <c r="N164" s="85"/>
      <c r="O164" s="20"/>
      <c r="P164" s="20"/>
      <c r="Q164" s="20"/>
      <c r="R164" s="20"/>
      <c r="S164" s="20"/>
    </row>
    <row r="165">
      <c r="A165" s="49" t="s">
        <v>834</v>
      </c>
      <c r="B165" s="22">
        <v>46041.0</v>
      </c>
      <c r="C165" s="23" t="s">
        <v>835</v>
      </c>
      <c r="D165" s="24" t="s">
        <v>836</v>
      </c>
      <c r="E165" s="14" t="s">
        <v>17</v>
      </c>
      <c r="F165" s="14" t="s">
        <v>18</v>
      </c>
      <c r="G165" s="15" t="s">
        <v>42</v>
      </c>
      <c r="H165" s="23" t="s">
        <v>116</v>
      </c>
      <c r="I165" s="23"/>
      <c r="J165" s="23"/>
      <c r="K165" s="30"/>
      <c r="L165" s="23"/>
      <c r="M165" s="50">
        <v>8.0</v>
      </c>
      <c r="N165" s="51"/>
      <c r="O165" s="20"/>
      <c r="P165" s="20"/>
      <c r="Q165" s="20"/>
      <c r="R165" s="20"/>
      <c r="S165" s="20"/>
    </row>
    <row r="166">
      <c r="A166" s="76" t="s">
        <v>837</v>
      </c>
      <c r="B166" s="12">
        <v>46041.0</v>
      </c>
      <c r="C166" s="10" t="s">
        <v>838</v>
      </c>
      <c r="D166" s="13" t="s">
        <v>839</v>
      </c>
      <c r="E166" s="14" t="s">
        <v>17</v>
      </c>
      <c r="F166" s="14" t="s">
        <v>18</v>
      </c>
      <c r="G166" s="25" t="s">
        <v>42</v>
      </c>
      <c r="H166" s="76" t="s">
        <v>96</v>
      </c>
      <c r="I166" s="10" t="s">
        <v>336</v>
      </c>
      <c r="J166" s="31">
        <v>4.0</v>
      </c>
      <c r="K166" s="19">
        <f>1702000*4</f>
        <v>6808000</v>
      </c>
      <c r="L166" s="76" t="s">
        <v>840</v>
      </c>
      <c r="M166" s="84">
        <v>8.0</v>
      </c>
      <c r="N166" s="86" t="s">
        <v>841</v>
      </c>
      <c r="O166" s="20"/>
      <c r="P166" s="20"/>
      <c r="Q166" s="20"/>
      <c r="R166" s="20"/>
      <c r="S166" s="20"/>
    </row>
    <row r="167">
      <c r="A167" s="49" t="s">
        <v>842</v>
      </c>
      <c r="B167" s="22">
        <v>46041.0</v>
      </c>
      <c r="C167" s="23" t="s">
        <v>843</v>
      </c>
      <c r="D167" s="24" t="s">
        <v>844</v>
      </c>
      <c r="E167" s="14" t="s">
        <v>17</v>
      </c>
      <c r="F167" s="14" t="s">
        <v>18</v>
      </c>
      <c r="G167" s="15" t="s">
        <v>42</v>
      </c>
      <c r="H167" s="23" t="s">
        <v>123</v>
      </c>
      <c r="I167" s="23"/>
      <c r="J167" s="23"/>
      <c r="K167" s="30"/>
      <c r="L167" s="49" t="s">
        <v>633</v>
      </c>
      <c r="M167" s="75">
        <v>8.0</v>
      </c>
      <c r="N167" s="77"/>
      <c r="O167" s="20"/>
      <c r="P167" s="20"/>
      <c r="Q167" s="20"/>
      <c r="R167" s="20"/>
      <c r="S167" s="20"/>
    </row>
    <row r="168">
      <c r="A168" s="10" t="s">
        <v>845</v>
      </c>
      <c r="B168" s="12">
        <v>46041.0</v>
      </c>
      <c r="C168" s="10" t="s">
        <v>846</v>
      </c>
      <c r="D168" s="13" t="s">
        <v>847</v>
      </c>
      <c r="E168" s="14" t="s">
        <v>128</v>
      </c>
      <c r="F168" s="14" t="s">
        <v>129</v>
      </c>
      <c r="G168" s="15" t="s">
        <v>42</v>
      </c>
      <c r="H168" s="10" t="s">
        <v>116</v>
      </c>
      <c r="I168" s="10"/>
      <c r="J168" s="10"/>
      <c r="K168" s="46"/>
      <c r="L168" s="10" t="s">
        <v>709</v>
      </c>
      <c r="M168" s="44">
        <v>8.0</v>
      </c>
      <c r="N168" s="45"/>
      <c r="O168" s="20"/>
      <c r="P168" s="20"/>
      <c r="Q168" s="20"/>
      <c r="R168" s="20"/>
      <c r="S168" s="20"/>
    </row>
    <row r="169">
      <c r="A169" s="23" t="s">
        <v>848</v>
      </c>
      <c r="B169" s="22">
        <v>46041.0</v>
      </c>
      <c r="C169" s="23" t="s">
        <v>849</v>
      </c>
      <c r="D169" s="24" t="s">
        <v>850</v>
      </c>
      <c r="E169" s="14" t="s">
        <v>128</v>
      </c>
      <c r="F169" s="14" t="s">
        <v>129</v>
      </c>
      <c r="G169" s="15" t="s">
        <v>42</v>
      </c>
      <c r="H169" s="23"/>
      <c r="I169" s="23"/>
      <c r="J169" s="23"/>
      <c r="K169" s="30"/>
      <c r="L169" s="49" t="s">
        <v>851</v>
      </c>
      <c r="M169" s="75">
        <v>8.0</v>
      </c>
      <c r="N169" s="77"/>
      <c r="O169" s="20"/>
      <c r="P169" s="20"/>
      <c r="Q169" s="20"/>
      <c r="R169" s="20"/>
      <c r="S169" s="20"/>
    </row>
    <row r="170">
      <c r="A170" s="10" t="s">
        <v>852</v>
      </c>
      <c r="B170" s="12">
        <v>46041.0</v>
      </c>
      <c r="C170" s="10" t="s">
        <v>831</v>
      </c>
      <c r="D170" s="13" t="s">
        <v>832</v>
      </c>
      <c r="E170" s="14" t="s">
        <v>17</v>
      </c>
      <c r="F170" s="14" t="s">
        <v>129</v>
      </c>
      <c r="G170" s="14" t="s">
        <v>42</v>
      </c>
      <c r="H170" s="10"/>
      <c r="I170" s="10"/>
      <c r="J170" s="10"/>
      <c r="K170" s="46"/>
      <c r="L170" s="10" t="s">
        <v>853</v>
      </c>
      <c r="M170" s="44">
        <v>8.0</v>
      </c>
      <c r="N170" s="45"/>
      <c r="O170" s="20"/>
      <c r="P170" s="20"/>
      <c r="Q170" s="20"/>
      <c r="R170" s="20"/>
      <c r="S170" s="20"/>
    </row>
    <row r="171">
      <c r="A171" s="23" t="s">
        <v>854</v>
      </c>
      <c r="B171" s="22">
        <v>46041.0</v>
      </c>
      <c r="C171" s="23" t="s">
        <v>855</v>
      </c>
      <c r="D171" s="24" t="s">
        <v>856</v>
      </c>
      <c r="E171" s="14" t="s">
        <v>122</v>
      </c>
      <c r="F171" s="14" t="s">
        <v>129</v>
      </c>
      <c r="G171" s="15" t="s">
        <v>42</v>
      </c>
      <c r="H171" s="23"/>
      <c r="I171" s="23"/>
      <c r="J171" s="23"/>
      <c r="K171" s="30"/>
      <c r="L171" s="49" t="s">
        <v>851</v>
      </c>
      <c r="M171" s="75">
        <v>8.0</v>
      </c>
      <c r="N171" s="77"/>
      <c r="O171" s="20"/>
      <c r="P171" s="20"/>
      <c r="Q171" s="20"/>
      <c r="R171" s="20"/>
      <c r="S171" s="20"/>
    </row>
    <row r="172">
      <c r="A172" s="10" t="s">
        <v>857</v>
      </c>
      <c r="B172" s="12">
        <v>46041.0</v>
      </c>
      <c r="C172" s="10" t="s">
        <v>858</v>
      </c>
      <c r="D172" s="13" t="s">
        <v>859</v>
      </c>
      <c r="E172" s="14" t="s">
        <v>17</v>
      </c>
      <c r="F172" s="14" t="s">
        <v>129</v>
      </c>
      <c r="G172" s="15" t="s">
        <v>42</v>
      </c>
      <c r="H172" s="76" t="s">
        <v>144</v>
      </c>
      <c r="I172" s="10"/>
      <c r="J172" s="10"/>
      <c r="K172" s="46"/>
      <c r="L172" s="10" t="s">
        <v>860</v>
      </c>
      <c r="M172" s="44">
        <v>8.0</v>
      </c>
      <c r="N172" s="45"/>
      <c r="O172" s="20"/>
      <c r="P172" s="20"/>
      <c r="Q172" s="20"/>
      <c r="R172" s="20"/>
      <c r="S172" s="20"/>
    </row>
    <row r="173">
      <c r="A173" s="23" t="s">
        <v>861</v>
      </c>
      <c r="B173" s="22">
        <v>46042.0</v>
      </c>
      <c r="C173" s="23" t="s">
        <v>862</v>
      </c>
      <c r="D173" s="24" t="s">
        <v>863</v>
      </c>
      <c r="E173" s="14" t="s">
        <v>17</v>
      </c>
      <c r="F173" s="14" t="s">
        <v>129</v>
      </c>
      <c r="G173" s="15" t="s">
        <v>42</v>
      </c>
      <c r="H173" s="49" t="s">
        <v>116</v>
      </c>
      <c r="I173" s="23"/>
      <c r="J173" s="23" t="s">
        <v>864</v>
      </c>
      <c r="K173" s="30"/>
      <c r="L173" s="23" t="s">
        <v>865</v>
      </c>
      <c r="M173" s="50">
        <v>8.0</v>
      </c>
      <c r="N173" s="51"/>
      <c r="O173" s="20"/>
      <c r="P173" s="20"/>
      <c r="Q173" s="20"/>
      <c r="R173" s="20"/>
      <c r="S173" s="20"/>
    </row>
    <row r="174">
      <c r="A174" s="10" t="s">
        <v>866</v>
      </c>
      <c r="B174" s="12">
        <v>46042.0</v>
      </c>
      <c r="C174" s="10" t="s">
        <v>867</v>
      </c>
      <c r="D174" s="13" t="s">
        <v>868</v>
      </c>
      <c r="E174" s="14" t="s">
        <v>869</v>
      </c>
      <c r="F174" s="14" t="s">
        <v>129</v>
      </c>
      <c r="G174" s="25" t="s">
        <v>19</v>
      </c>
      <c r="H174" s="76" t="s">
        <v>199</v>
      </c>
      <c r="I174" s="76" t="s">
        <v>870</v>
      </c>
      <c r="J174" s="76">
        <v>20.0</v>
      </c>
      <c r="K174" s="19">
        <f>2750000*20</f>
        <v>55000000</v>
      </c>
      <c r="L174" s="76" t="s">
        <v>871</v>
      </c>
      <c r="M174" s="84">
        <v>7.0</v>
      </c>
      <c r="N174" s="105" t="s">
        <v>872</v>
      </c>
      <c r="O174" s="20"/>
      <c r="P174" s="20"/>
      <c r="Q174" s="20"/>
      <c r="R174" s="20"/>
      <c r="S174" s="20"/>
    </row>
    <row r="175">
      <c r="A175" s="23" t="s">
        <v>873</v>
      </c>
      <c r="B175" s="22">
        <v>46042.0</v>
      </c>
      <c r="C175" s="23" t="s">
        <v>874</v>
      </c>
      <c r="D175" s="24" t="s">
        <v>875</v>
      </c>
      <c r="E175" s="14" t="s">
        <v>17</v>
      </c>
      <c r="F175" s="14" t="s">
        <v>129</v>
      </c>
      <c r="G175" s="25" t="s">
        <v>42</v>
      </c>
      <c r="H175" s="23" t="s">
        <v>775</v>
      </c>
      <c r="I175" s="116">
        <v>46172.0</v>
      </c>
      <c r="J175" s="48">
        <v>150.0</v>
      </c>
      <c r="K175" s="36">
        <f>700000*150</f>
        <v>105000000</v>
      </c>
      <c r="L175" s="49" t="s">
        <v>876</v>
      </c>
      <c r="M175" s="75">
        <v>8.0</v>
      </c>
      <c r="N175" s="104" t="s">
        <v>877</v>
      </c>
      <c r="O175" s="20"/>
      <c r="P175" s="20"/>
      <c r="Q175" s="20"/>
      <c r="R175" s="20"/>
      <c r="S175" s="20"/>
    </row>
    <row r="176">
      <c r="A176" s="76" t="s">
        <v>878</v>
      </c>
      <c r="B176" s="97">
        <v>46041.0</v>
      </c>
      <c r="C176" s="76" t="s">
        <v>879</v>
      </c>
      <c r="D176" s="13">
        <f>923344633856</f>
        <v>923344633856</v>
      </c>
      <c r="E176" s="25" t="s">
        <v>17</v>
      </c>
      <c r="F176" s="25" t="s">
        <v>18</v>
      </c>
      <c r="G176" s="15" t="s">
        <v>42</v>
      </c>
      <c r="H176" s="76" t="s">
        <v>253</v>
      </c>
      <c r="I176" s="76" t="s">
        <v>880</v>
      </c>
      <c r="J176" s="76">
        <v>2.0</v>
      </c>
      <c r="K176" s="46"/>
      <c r="L176" s="76" t="s">
        <v>881</v>
      </c>
      <c r="M176" s="84">
        <v>8.0</v>
      </c>
      <c r="N176" s="85"/>
      <c r="O176" s="20"/>
      <c r="P176" s="20"/>
      <c r="Q176" s="20"/>
      <c r="R176" s="20"/>
      <c r="S176" s="20"/>
    </row>
    <row r="177">
      <c r="A177" s="49" t="s">
        <v>882</v>
      </c>
      <c r="B177" s="110">
        <v>46041.0</v>
      </c>
      <c r="C177" s="49" t="s">
        <v>883</v>
      </c>
      <c r="D177" s="102" t="s">
        <v>884</v>
      </c>
      <c r="E177" s="25" t="s">
        <v>17</v>
      </c>
      <c r="F177" s="25" t="s">
        <v>18</v>
      </c>
      <c r="G177" s="15" t="s">
        <v>42</v>
      </c>
      <c r="H177" s="23"/>
      <c r="I177" s="23"/>
      <c r="J177" s="23"/>
      <c r="K177" s="30"/>
      <c r="L177" s="49" t="s">
        <v>633</v>
      </c>
      <c r="M177" s="75">
        <v>8.0</v>
      </c>
      <c r="N177" s="77"/>
      <c r="O177" s="20"/>
      <c r="P177" s="20"/>
      <c r="Q177" s="20"/>
      <c r="R177" s="20"/>
      <c r="S177" s="20"/>
    </row>
    <row r="178">
      <c r="A178" s="76" t="s">
        <v>885</v>
      </c>
      <c r="B178" s="97">
        <v>46042.0</v>
      </c>
      <c r="C178" s="76" t="s">
        <v>886</v>
      </c>
      <c r="D178" s="99" t="s">
        <v>887</v>
      </c>
      <c r="E178" s="25" t="s">
        <v>17</v>
      </c>
      <c r="F178" s="25" t="s">
        <v>18</v>
      </c>
      <c r="G178" s="25" t="s">
        <v>19</v>
      </c>
      <c r="H178" s="76" t="s">
        <v>888</v>
      </c>
      <c r="I178" s="76" t="s">
        <v>889</v>
      </c>
      <c r="J178" s="10"/>
      <c r="K178" s="19">
        <v>8603000.0</v>
      </c>
      <c r="L178" s="76" t="s">
        <v>890</v>
      </c>
      <c r="M178" s="84">
        <v>7.0</v>
      </c>
      <c r="N178" s="85"/>
      <c r="O178" s="20"/>
      <c r="P178" s="20"/>
      <c r="Q178" s="20"/>
      <c r="R178" s="20"/>
      <c r="S178" s="20"/>
    </row>
    <row r="179">
      <c r="A179" s="49" t="s">
        <v>891</v>
      </c>
      <c r="B179" s="110">
        <v>46042.0</v>
      </c>
      <c r="C179" s="49" t="s">
        <v>892</v>
      </c>
      <c r="D179" s="102" t="s">
        <v>893</v>
      </c>
      <c r="E179" s="25" t="s">
        <v>17</v>
      </c>
      <c r="F179" s="25" t="s">
        <v>18</v>
      </c>
      <c r="G179" s="15" t="s">
        <v>42</v>
      </c>
      <c r="H179" s="49" t="s">
        <v>894</v>
      </c>
      <c r="I179" s="23"/>
      <c r="J179" s="23"/>
      <c r="K179" s="30"/>
      <c r="L179" s="49" t="s">
        <v>633</v>
      </c>
      <c r="M179" s="75">
        <v>8.0</v>
      </c>
      <c r="N179" s="77"/>
      <c r="O179" s="20"/>
      <c r="P179" s="20"/>
      <c r="Q179" s="20"/>
      <c r="R179" s="20"/>
      <c r="S179" s="20"/>
    </row>
    <row r="180">
      <c r="A180" s="76" t="s">
        <v>895</v>
      </c>
      <c r="B180" s="97">
        <v>46042.0</v>
      </c>
      <c r="C180" s="76" t="s">
        <v>896</v>
      </c>
      <c r="D180" s="99" t="s">
        <v>897</v>
      </c>
      <c r="E180" s="25" t="s">
        <v>17</v>
      </c>
      <c r="F180" s="25" t="s">
        <v>18</v>
      </c>
      <c r="G180" s="25" t="s">
        <v>42</v>
      </c>
      <c r="H180" s="76" t="s">
        <v>898</v>
      </c>
      <c r="I180" s="76" t="s">
        <v>899</v>
      </c>
      <c r="J180" s="76">
        <v>21.0</v>
      </c>
      <c r="K180" s="19">
        <v>5.166E7</v>
      </c>
      <c r="L180" s="76" t="s">
        <v>900</v>
      </c>
      <c r="M180" s="84">
        <v>8.0</v>
      </c>
      <c r="N180" s="86" t="s">
        <v>901</v>
      </c>
      <c r="O180" s="20"/>
      <c r="P180" s="20"/>
      <c r="Q180" s="20"/>
      <c r="R180" s="20"/>
      <c r="S180" s="20"/>
    </row>
    <row r="181">
      <c r="A181" s="49" t="s">
        <v>902</v>
      </c>
      <c r="B181" s="110">
        <v>46042.0</v>
      </c>
      <c r="C181" s="49" t="s">
        <v>903</v>
      </c>
      <c r="D181" s="102" t="s">
        <v>904</v>
      </c>
      <c r="E181" s="25" t="s">
        <v>17</v>
      </c>
      <c r="F181" s="25" t="s">
        <v>18</v>
      </c>
      <c r="G181" s="15" t="s">
        <v>42</v>
      </c>
      <c r="H181" s="49" t="s">
        <v>123</v>
      </c>
      <c r="I181" s="49" t="s">
        <v>905</v>
      </c>
      <c r="J181" s="49">
        <v>7.0</v>
      </c>
      <c r="K181" s="30"/>
      <c r="L181" s="49" t="s">
        <v>514</v>
      </c>
      <c r="M181" s="75">
        <v>8.0</v>
      </c>
      <c r="N181" s="77"/>
      <c r="O181" s="20"/>
      <c r="P181" s="20"/>
      <c r="Q181" s="20"/>
      <c r="R181" s="20"/>
      <c r="S181" s="20"/>
    </row>
    <row r="182">
      <c r="A182" s="76" t="s">
        <v>906</v>
      </c>
      <c r="B182" s="97">
        <v>46042.0</v>
      </c>
      <c r="C182" s="76" t="s">
        <v>907</v>
      </c>
      <c r="D182" s="99" t="s">
        <v>908</v>
      </c>
      <c r="E182" s="25" t="s">
        <v>17</v>
      </c>
      <c r="F182" s="25" t="s">
        <v>18</v>
      </c>
      <c r="G182" s="15" t="s">
        <v>42</v>
      </c>
      <c r="H182" s="76" t="s">
        <v>123</v>
      </c>
      <c r="I182" s="76" t="s">
        <v>299</v>
      </c>
      <c r="J182" s="10"/>
      <c r="K182" s="46"/>
      <c r="L182" s="10"/>
      <c r="M182" s="44">
        <v>8.0</v>
      </c>
      <c r="N182" s="45"/>
      <c r="O182" s="20"/>
      <c r="P182" s="20"/>
      <c r="Q182" s="20"/>
      <c r="R182" s="20"/>
      <c r="S182" s="20"/>
    </row>
    <row r="183">
      <c r="A183" s="49" t="s">
        <v>909</v>
      </c>
      <c r="B183" s="110">
        <v>46043.0</v>
      </c>
      <c r="C183" s="49" t="s">
        <v>910</v>
      </c>
      <c r="D183" s="102" t="s">
        <v>911</v>
      </c>
      <c r="E183" s="25" t="s">
        <v>122</v>
      </c>
      <c r="F183" s="25" t="s">
        <v>18</v>
      </c>
      <c r="G183" s="15" t="s">
        <v>42</v>
      </c>
      <c r="H183" s="49" t="s">
        <v>575</v>
      </c>
      <c r="I183" s="49" t="s">
        <v>912</v>
      </c>
      <c r="J183" s="49">
        <v>5.0</v>
      </c>
      <c r="K183" s="30"/>
      <c r="L183" s="49" t="s">
        <v>633</v>
      </c>
      <c r="M183" s="75">
        <v>8.0</v>
      </c>
      <c r="N183" s="77"/>
      <c r="O183" s="20"/>
      <c r="P183" s="20"/>
      <c r="Q183" s="20"/>
      <c r="R183" s="20"/>
      <c r="S183" s="20"/>
    </row>
    <row r="184">
      <c r="A184" s="76" t="s">
        <v>913</v>
      </c>
      <c r="B184" s="110">
        <v>46043.0</v>
      </c>
      <c r="C184" s="76" t="s">
        <v>914</v>
      </c>
      <c r="D184" s="99" t="s">
        <v>915</v>
      </c>
      <c r="E184" s="25" t="s">
        <v>17</v>
      </c>
      <c r="F184" s="25" t="s">
        <v>18</v>
      </c>
      <c r="G184" s="25" t="s">
        <v>42</v>
      </c>
      <c r="H184" s="76" t="s">
        <v>123</v>
      </c>
      <c r="I184" s="76" t="s">
        <v>916</v>
      </c>
      <c r="J184" s="76">
        <v>10.0</v>
      </c>
      <c r="K184" s="19">
        <v>2.865E7</v>
      </c>
      <c r="L184" s="76" t="s">
        <v>633</v>
      </c>
      <c r="M184" s="84">
        <v>8.0</v>
      </c>
      <c r="N184" s="86" t="s">
        <v>917</v>
      </c>
      <c r="O184" s="20"/>
      <c r="P184" s="20"/>
      <c r="Q184" s="20"/>
      <c r="R184" s="20"/>
      <c r="S184" s="20"/>
    </row>
    <row r="185">
      <c r="A185" s="49" t="s">
        <v>918</v>
      </c>
      <c r="B185" s="110">
        <v>46043.0</v>
      </c>
      <c r="C185" s="112">
        <v>8.2118155984E10</v>
      </c>
      <c r="D185" s="102" t="s">
        <v>919</v>
      </c>
      <c r="E185" s="25" t="s">
        <v>17</v>
      </c>
      <c r="F185" s="25" t="s">
        <v>18</v>
      </c>
      <c r="G185" s="25" t="s">
        <v>42</v>
      </c>
      <c r="H185" s="49" t="s">
        <v>123</v>
      </c>
      <c r="I185" s="49" t="s">
        <v>920</v>
      </c>
      <c r="J185" s="49">
        <v>3.0</v>
      </c>
      <c r="K185" s="36">
        <f>3064000*3</f>
        <v>9192000</v>
      </c>
      <c r="L185" s="49" t="s">
        <v>921</v>
      </c>
      <c r="M185" s="75">
        <v>8.0</v>
      </c>
      <c r="N185" s="77"/>
      <c r="O185" s="20"/>
      <c r="P185" s="20"/>
      <c r="Q185" s="20"/>
      <c r="R185" s="20"/>
      <c r="S185" s="20"/>
    </row>
    <row r="186">
      <c r="A186" s="76" t="s">
        <v>922</v>
      </c>
      <c r="B186" s="97">
        <v>46043.0</v>
      </c>
      <c r="C186" s="76" t="s">
        <v>923</v>
      </c>
      <c r="D186" s="99" t="s">
        <v>924</v>
      </c>
      <c r="E186" s="25" t="s">
        <v>17</v>
      </c>
      <c r="F186" s="25" t="s">
        <v>129</v>
      </c>
      <c r="G186" s="15" t="s">
        <v>42</v>
      </c>
      <c r="H186" s="10"/>
      <c r="I186" s="10"/>
      <c r="J186" s="76">
        <v>4.0</v>
      </c>
      <c r="K186" s="19"/>
      <c r="L186" s="76" t="s">
        <v>658</v>
      </c>
      <c r="M186" s="84">
        <v>8.0</v>
      </c>
      <c r="N186" s="85"/>
      <c r="O186" s="20"/>
      <c r="P186" s="20"/>
      <c r="Q186" s="20"/>
      <c r="R186" s="20"/>
      <c r="S186" s="20"/>
    </row>
    <row r="187">
      <c r="A187" s="49" t="s">
        <v>925</v>
      </c>
      <c r="B187" s="110">
        <v>46043.0</v>
      </c>
      <c r="C187" s="49" t="s">
        <v>926</v>
      </c>
      <c r="D187" s="102" t="s">
        <v>927</v>
      </c>
      <c r="E187" s="25" t="s">
        <v>122</v>
      </c>
      <c r="F187" s="25" t="s">
        <v>129</v>
      </c>
      <c r="G187" s="15" t="s">
        <v>42</v>
      </c>
      <c r="H187" s="49" t="s">
        <v>586</v>
      </c>
      <c r="I187" s="117">
        <v>46045.0</v>
      </c>
      <c r="J187" s="23"/>
      <c r="K187" s="36"/>
      <c r="L187" s="49" t="s">
        <v>928</v>
      </c>
      <c r="M187" s="75">
        <v>8.0</v>
      </c>
      <c r="N187" s="77"/>
      <c r="O187" s="20"/>
      <c r="P187" s="20"/>
      <c r="Q187" s="20"/>
      <c r="R187" s="20"/>
      <c r="S187" s="20"/>
    </row>
    <row r="188">
      <c r="A188" s="76" t="s">
        <v>929</v>
      </c>
      <c r="B188" s="97">
        <v>46043.0</v>
      </c>
      <c r="C188" s="76" t="s">
        <v>930</v>
      </c>
      <c r="D188" s="99" t="s">
        <v>931</v>
      </c>
      <c r="E188" s="25" t="s">
        <v>17</v>
      </c>
      <c r="F188" s="25" t="s">
        <v>129</v>
      </c>
      <c r="G188" s="15" t="s">
        <v>42</v>
      </c>
      <c r="H188" s="76" t="s">
        <v>932</v>
      </c>
      <c r="I188" s="10"/>
      <c r="J188" s="10"/>
      <c r="K188" s="19"/>
      <c r="L188" s="76" t="s">
        <v>933</v>
      </c>
      <c r="M188" s="84">
        <v>8.0</v>
      </c>
      <c r="N188" s="85"/>
      <c r="O188" s="20"/>
      <c r="P188" s="20"/>
      <c r="Q188" s="20"/>
      <c r="R188" s="20"/>
      <c r="S188" s="20"/>
    </row>
    <row r="189">
      <c r="A189" s="49" t="s">
        <v>934</v>
      </c>
      <c r="B189" s="110">
        <v>46043.0</v>
      </c>
      <c r="C189" s="49" t="s">
        <v>935</v>
      </c>
      <c r="D189" s="102" t="s">
        <v>936</v>
      </c>
      <c r="E189" s="25" t="s">
        <v>17</v>
      </c>
      <c r="F189" s="25" t="s">
        <v>129</v>
      </c>
      <c r="G189" s="25" t="s">
        <v>79</v>
      </c>
      <c r="H189" s="49"/>
      <c r="I189" s="49" t="s">
        <v>937</v>
      </c>
      <c r="J189" s="49">
        <v>2.0</v>
      </c>
      <c r="K189" s="36">
        <v>1690000.0</v>
      </c>
      <c r="L189" s="49"/>
      <c r="M189" s="50">
        <v>99.0</v>
      </c>
      <c r="N189" s="51"/>
      <c r="O189" s="20"/>
      <c r="P189" s="20"/>
      <c r="Q189" s="20"/>
      <c r="R189" s="20"/>
      <c r="S189" s="20"/>
    </row>
    <row r="190">
      <c r="A190" s="76" t="s">
        <v>938</v>
      </c>
      <c r="B190" s="97">
        <v>46043.0</v>
      </c>
      <c r="C190" s="76" t="s">
        <v>939</v>
      </c>
      <c r="D190" s="99" t="s">
        <v>940</v>
      </c>
      <c r="E190" s="25" t="s">
        <v>122</v>
      </c>
      <c r="F190" s="25" t="s">
        <v>129</v>
      </c>
      <c r="G190" s="15" t="s">
        <v>42</v>
      </c>
      <c r="H190" s="76" t="s">
        <v>346</v>
      </c>
      <c r="I190" s="10"/>
      <c r="J190" s="10"/>
      <c r="K190" s="19"/>
      <c r="L190" s="76" t="s">
        <v>941</v>
      </c>
      <c r="M190" s="84">
        <v>8.0</v>
      </c>
      <c r="N190" s="85"/>
      <c r="O190" s="20"/>
      <c r="P190" s="20"/>
      <c r="Q190" s="20"/>
      <c r="R190" s="20"/>
      <c r="S190" s="20"/>
    </row>
    <row r="191">
      <c r="A191" s="49" t="s">
        <v>942</v>
      </c>
      <c r="B191" s="110">
        <v>46043.0</v>
      </c>
      <c r="C191" s="49" t="s">
        <v>943</v>
      </c>
      <c r="D191" s="102" t="s">
        <v>944</v>
      </c>
      <c r="E191" s="25" t="s">
        <v>122</v>
      </c>
      <c r="F191" s="25" t="s">
        <v>129</v>
      </c>
      <c r="G191" s="25" t="s">
        <v>19</v>
      </c>
      <c r="H191" s="49" t="s">
        <v>945</v>
      </c>
      <c r="I191" s="49" t="s">
        <v>946</v>
      </c>
      <c r="J191" s="49">
        <v>8.0</v>
      </c>
      <c r="K191" s="36">
        <v>1.6904E7</v>
      </c>
      <c r="L191" s="49" t="s">
        <v>947</v>
      </c>
      <c r="M191" s="75">
        <v>7.0</v>
      </c>
      <c r="N191" s="115" t="s">
        <v>948</v>
      </c>
      <c r="O191" s="20"/>
      <c r="P191" s="20"/>
      <c r="Q191" s="20"/>
      <c r="R191" s="20"/>
      <c r="S191" s="20"/>
    </row>
    <row r="192">
      <c r="A192" s="76" t="s">
        <v>949</v>
      </c>
      <c r="B192" s="97">
        <v>46043.0</v>
      </c>
      <c r="C192" s="76" t="s">
        <v>950</v>
      </c>
      <c r="D192" s="99" t="s">
        <v>951</v>
      </c>
      <c r="E192" s="25" t="s">
        <v>17</v>
      </c>
      <c r="F192" s="25" t="s">
        <v>129</v>
      </c>
      <c r="G192" s="25" t="s">
        <v>79</v>
      </c>
      <c r="H192" s="76" t="s">
        <v>945</v>
      </c>
      <c r="I192" s="76" t="s">
        <v>952</v>
      </c>
      <c r="J192" s="76">
        <v>5.0</v>
      </c>
      <c r="K192" s="19">
        <f>6950000*5</f>
        <v>34750000</v>
      </c>
      <c r="L192" s="76" t="s">
        <v>953</v>
      </c>
      <c r="M192" s="84">
        <v>99.0</v>
      </c>
      <c r="N192" s="85"/>
      <c r="O192" s="20"/>
      <c r="P192" s="20"/>
      <c r="Q192" s="20"/>
      <c r="R192" s="20"/>
      <c r="S192" s="20"/>
    </row>
    <row r="193">
      <c r="A193" s="49" t="s">
        <v>954</v>
      </c>
      <c r="B193" s="110">
        <v>46043.0</v>
      </c>
      <c r="C193" s="49" t="s">
        <v>955</v>
      </c>
      <c r="D193" s="102" t="s">
        <v>956</v>
      </c>
      <c r="E193" s="25" t="s">
        <v>17</v>
      </c>
      <c r="F193" s="25" t="s">
        <v>129</v>
      </c>
      <c r="G193" s="15" t="s">
        <v>42</v>
      </c>
      <c r="H193" s="23"/>
      <c r="I193" s="23"/>
      <c r="J193" s="23"/>
      <c r="K193" s="36"/>
      <c r="L193" s="49" t="s">
        <v>957</v>
      </c>
      <c r="M193" s="75">
        <v>8.0</v>
      </c>
      <c r="N193" s="77"/>
      <c r="O193" s="20"/>
      <c r="P193" s="20"/>
      <c r="Q193" s="20"/>
      <c r="R193" s="20"/>
      <c r="S193" s="20"/>
    </row>
    <row r="194">
      <c r="A194" s="76" t="s">
        <v>958</v>
      </c>
      <c r="B194" s="97">
        <v>45996.0</v>
      </c>
      <c r="C194" s="76" t="s">
        <v>959</v>
      </c>
      <c r="D194" s="99" t="s">
        <v>960</v>
      </c>
      <c r="E194" s="25" t="s">
        <v>17</v>
      </c>
      <c r="F194" s="25" t="s">
        <v>18</v>
      </c>
      <c r="G194" s="15" t="s">
        <v>57</v>
      </c>
      <c r="H194" s="76" t="s">
        <v>116</v>
      </c>
      <c r="I194" s="76" t="s">
        <v>961</v>
      </c>
      <c r="J194" s="76">
        <v>50.0</v>
      </c>
      <c r="K194" s="19">
        <v>1.257E8</v>
      </c>
      <c r="L194" s="76" t="s">
        <v>962</v>
      </c>
      <c r="M194" s="84">
        <v>5.0</v>
      </c>
      <c r="N194" s="85"/>
      <c r="O194" s="20"/>
      <c r="P194" s="20"/>
      <c r="Q194" s="20"/>
      <c r="R194" s="20"/>
      <c r="S194" s="20"/>
    </row>
    <row r="195">
      <c r="A195" s="49" t="s">
        <v>963</v>
      </c>
      <c r="B195" s="110">
        <v>46044.0</v>
      </c>
      <c r="C195" s="112">
        <v>8.1234323491E10</v>
      </c>
      <c r="D195" s="102" t="s">
        <v>964</v>
      </c>
      <c r="E195" s="25" t="s">
        <v>17</v>
      </c>
      <c r="F195" s="25" t="s">
        <v>18</v>
      </c>
      <c r="G195" s="15" t="s">
        <v>42</v>
      </c>
      <c r="H195" s="49" t="s">
        <v>965</v>
      </c>
      <c r="I195" s="49" t="s">
        <v>966</v>
      </c>
      <c r="J195" s="23"/>
      <c r="K195" s="30"/>
      <c r="L195" s="23"/>
      <c r="M195" s="50">
        <v>8.0</v>
      </c>
      <c r="N195" s="51"/>
      <c r="O195" s="20"/>
      <c r="P195" s="20"/>
      <c r="Q195" s="20"/>
      <c r="R195" s="20"/>
      <c r="S195" s="20"/>
    </row>
    <row r="196">
      <c r="A196" s="76" t="s">
        <v>967</v>
      </c>
      <c r="B196" s="97">
        <v>46044.0</v>
      </c>
      <c r="C196" s="76" t="s">
        <v>968</v>
      </c>
      <c r="D196" s="99" t="s">
        <v>969</v>
      </c>
      <c r="E196" s="25" t="s">
        <v>17</v>
      </c>
      <c r="F196" s="25" t="s">
        <v>18</v>
      </c>
      <c r="G196" s="15" t="s">
        <v>42</v>
      </c>
      <c r="H196" s="76" t="s">
        <v>86</v>
      </c>
      <c r="I196" s="10"/>
      <c r="J196" s="10"/>
      <c r="K196" s="46"/>
      <c r="L196" s="10"/>
      <c r="M196" s="44">
        <v>8.0</v>
      </c>
      <c r="N196" s="45"/>
      <c r="O196" s="20"/>
      <c r="P196" s="20"/>
      <c r="Q196" s="20"/>
      <c r="R196" s="20"/>
      <c r="S196" s="20"/>
    </row>
    <row r="197">
      <c r="A197" s="49" t="s">
        <v>970</v>
      </c>
      <c r="B197" s="110">
        <v>46044.0</v>
      </c>
      <c r="C197" s="49" t="s">
        <v>971</v>
      </c>
      <c r="D197" s="102" t="s">
        <v>972</v>
      </c>
      <c r="E197" s="25" t="s">
        <v>17</v>
      </c>
      <c r="F197" s="25" t="s">
        <v>129</v>
      </c>
      <c r="G197" s="25" t="s">
        <v>42</v>
      </c>
      <c r="H197" s="49" t="s">
        <v>973</v>
      </c>
      <c r="I197" s="49" t="s">
        <v>974</v>
      </c>
      <c r="J197" s="49">
        <v>13.0</v>
      </c>
      <c r="K197" s="36">
        <f>5800000*13</f>
        <v>75400000</v>
      </c>
      <c r="L197" s="49" t="s">
        <v>975</v>
      </c>
      <c r="M197" s="75">
        <v>8.0</v>
      </c>
      <c r="N197" s="104" t="s">
        <v>976</v>
      </c>
      <c r="O197" s="20"/>
      <c r="P197" s="20"/>
      <c r="Q197" s="20"/>
      <c r="R197" s="20"/>
      <c r="S197" s="20"/>
    </row>
    <row r="198">
      <c r="A198" s="76" t="s">
        <v>977</v>
      </c>
      <c r="B198" s="97">
        <v>46044.0</v>
      </c>
      <c r="C198" s="76" t="s">
        <v>978</v>
      </c>
      <c r="D198" s="99" t="s">
        <v>979</v>
      </c>
      <c r="E198" s="25" t="s">
        <v>17</v>
      </c>
      <c r="F198" s="25" t="s">
        <v>18</v>
      </c>
      <c r="G198" s="15" t="s">
        <v>42</v>
      </c>
      <c r="H198" s="76" t="s">
        <v>123</v>
      </c>
      <c r="I198" s="10"/>
      <c r="J198" s="10"/>
      <c r="K198" s="46"/>
      <c r="L198" s="76" t="s">
        <v>514</v>
      </c>
      <c r="M198" s="84">
        <v>8.0</v>
      </c>
      <c r="N198" s="85"/>
      <c r="O198" s="20"/>
      <c r="P198" s="20"/>
      <c r="Q198" s="20"/>
      <c r="R198" s="20"/>
      <c r="S198" s="20"/>
    </row>
    <row r="199">
      <c r="A199" s="49" t="s">
        <v>980</v>
      </c>
      <c r="B199" s="110">
        <v>46023.0</v>
      </c>
      <c r="C199" s="49" t="s">
        <v>981</v>
      </c>
      <c r="D199" s="102" t="s">
        <v>982</v>
      </c>
      <c r="E199" s="25" t="s">
        <v>17</v>
      </c>
      <c r="F199" s="25" t="s">
        <v>983</v>
      </c>
      <c r="G199" s="15" t="s">
        <v>19</v>
      </c>
      <c r="H199" s="49" t="s">
        <v>984</v>
      </c>
      <c r="I199" s="101">
        <v>46023.0</v>
      </c>
      <c r="J199" s="49">
        <v>3.0</v>
      </c>
      <c r="K199" s="30"/>
      <c r="L199" s="49" t="s">
        <v>985</v>
      </c>
      <c r="M199" s="50">
        <v>7.0</v>
      </c>
      <c r="N199" s="51"/>
      <c r="O199" s="20"/>
      <c r="P199" s="20"/>
      <c r="Q199" s="20"/>
      <c r="R199" s="20"/>
      <c r="S199" s="20"/>
    </row>
    <row r="200">
      <c r="A200" s="76" t="s">
        <v>986</v>
      </c>
      <c r="B200" s="97">
        <v>45969.0</v>
      </c>
      <c r="C200" s="76" t="s">
        <v>987</v>
      </c>
      <c r="D200" s="99" t="s">
        <v>988</v>
      </c>
      <c r="E200" s="25" t="s">
        <v>17</v>
      </c>
      <c r="F200" s="25" t="s">
        <v>18</v>
      </c>
      <c r="G200" s="15" t="s">
        <v>19</v>
      </c>
      <c r="H200" s="76" t="s">
        <v>989</v>
      </c>
      <c r="I200" s="76" t="s">
        <v>990</v>
      </c>
      <c r="J200" s="76">
        <v>6.0</v>
      </c>
      <c r="K200" s="19">
        <v>1.3638E7</v>
      </c>
      <c r="L200" s="76" t="s">
        <v>108</v>
      </c>
      <c r="M200" s="84">
        <v>7.0</v>
      </c>
      <c r="N200" s="85"/>
      <c r="O200" s="20"/>
      <c r="P200" s="20"/>
      <c r="Q200" s="20"/>
      <c r="R200" s="20"/>
      <c r="S200" s="20"/>
    </row>
    <row r="201">
      <c r="A201" s="49" t="s">
        <v>991</v>
      </c>
      <c r="B201" s="110">
        <v>46021.0</v>
      </c>
      <c r="C201" s="49" t="s">
        <v>992</v>
      </c>
      <c r="D201" s="102" t="s">
        <v>993</v>
      </c>
      <c r="E201" s="25" t="s">
        <v>17</v>
      </c>
      <c r="F201" s="25" t="s">
        <v>18</v>
      </c>
      <c r="G201" s="15" t="s">
        <v>19</v>
      </c>
      <c r="H201" s="49" t="s">
        <v>994</v>
      </c>
      <c r="I201" s="49" t="s">
        <v>995</v>
      </c>
      <c r="J201" s="23"/>
      <c r="K201" s="36">
        <v>7000000.0</v>
      </c>
      <c r="L201" s="49" t="s">
        <v>108</v>
      </c>
      <c r="M201" s="75">
        <v>7.0</v>
      </c>
      <c r="N201" s="77"/>
      <c r="O201" s="20"/>
      <c r="P201" s="20"/>
      <c r="Q201" s="20"/>
      <c r="R201" s="20"/>
      <c r="S201" s="20"/>
    </row>
    <row r="202">
      <c r="A202" s="76" t="s">
        <v>996</v>
      </c>
      <c r="B202" s="97">
        <v>46022.0</v>
      </c>
      <c r="C202" s="76" t="s">
        <v>997</v>
      </c>
      <c r="D202" s="99" t="s">
        <v>998</v>
      </c>
      <c r="E202" s="25" t="s">
        <v>17</v>
      </c>
      <c r="F202" s="25" t="s">
        <v>983</v>
      </c>
      <c r="G202" s="15" t="s">
        <v>19</v>
      </c>
      <c r="H202" s="10"/>
      <c r="I202" s="118">
        <v>46025.0</v>
      </c>
      <c r="J202" s="76">
        <v>5.0</v>
      </c>
      <c r="K202" s="46"/>
      <c r="L202" s="10"/>
      <c r="M202" s="44">
        <v>7.0</v>
      </c>
      <c r="N202" s="45"/>
      <c r="O202" s="20"/>
      <c r="P202" s="20"/>
      <c r="Q202" s="20"/>
      <c r="R202" s="20"/>
      <c r="S202" s="20"/>
    </row>
    <row r="203">
      <c r="A203" s="49" t="s">
        <v>999</v>
      </c>
      <c r="B203" s="110">
        <v>46003.0</v>
      </c>
      <c r="C203" s="49" t="s">
        <v>1000</v>
      </c>
      <c r="D203" s="102" t="s">
        <v>1001</v>
      </c>
      <c r="E203" s="25" t="s">
        <v>17</v>
      </c>
      <c r="F203" s="25" t="s">
        <v>983</v>
      </c>
      <c r="G203" s="15" t="s">
        <v>19</v>
      </c>
      <c r="H203" s="23"/>
      <c r="I203" s="49" t="s">
        <v>1002</v>
      </c>
      <c r="J203" s="49">
        <v>10.0</v>
      </c>
      <c r="K203" s="36">
        <v>6870000.0</v>
      </c>
      <c r="L203" s="23"/>
      <c r="M203" s="50">
        <v>7.0</v>
      </c>
      <c r="N203" s="51"/>
      <c r="O203" s="20"/>
      <c r="P203" s="20"/>
      <c r="Q203" s="20"/>
      <c r="R203" s="20"/>
      <c r="S203" s="20"/>
    </row>
    <row r="204">
      <c r="A204" s="76" t="s">
        <v>1003</v>
      </c>
      <c r="B204" s="97">
        <v>46034.0</v>
      </c>
      <c r="C204" s="76" t="s">
        <v>1004</v>
      </c>
      <c r="D204" s="99" t="s">
        <v>1005</v>
      </c>
      <c r="E204" s="25" t="s">
        <v>17</v>
      </c>
      <c r="F204" s="25" t="s">
        <v>983</v>
      </c>
      <c r="G204" s="15" t="s">
        <v>19</v>
      </c>
      <c r="H204" s="10"/>
      <c r="I204" s="76" t="s">
        <v>1006</v>
      </c>
      <c r="J204" s="76">
        <v>5.0</v>
      </c>
      <c r="K204" s="19">
        <v>6650000.0</v>
      </c>
      <c r="L204" s="10"/>
      <c r="M204" s="44">
        <v>7.0</v>
      </c>
      <c r="N204" s="45"/>
      <c r="O204" s="20"/>
      <c r="P204" s="20"/>
      <c r="Q204" s="20"/>
      <c r="R204" s="20"/>
      <c r="S204" s="20"/>
    </row>
    <row r="205">
      <c r="A205" s="49" t="s">
        <v>1007</v>
      </c>
      <c r="B205" s="110">
        <v>46027.0</v>
      </c>
      <c r="C205" s="49" t="s">
        <v>1008</v>
      </c>
      <c r="D205" s="102" t="s">
        <v>1009</v>
      </c>
      <c r="E205" s="25" t="s">
        <v>17</v>
      </c>
      <c r="F205" s="25" t="s">
        <v>983</v>
      </c>
      <c r="G205" s="15" t="s">
        <v>19</v>
      </c>
      <c r="H205" s="23"/>
      <c r="I205" s="101">
        <v>46039.0</v>
      </c>
      <c r="J205" s="49">
        <v>4.0</v>
      </c>
      <c r="K205" s="36">
        <v>3872000.0</v>
      </c>
      <c r="L205" s="23"/>
      <c r="M205" s="50">
        <v>7.0</v>
      </c>
      <c r="N205" s="51"/>
      <c r="O205" s="20"/>
      <c r="P205" s="20"/>
      <c r="Q205" s="20"/>
      <c r="R205" s="20"/>
      <c r="S205" s="20"/>
    </row>
    <row r="206">
      <c r="A206" s="76" t="s">
        <v>1010</v>
      </c>
      <c r="B206" s="97">
        <v>46033.0</v>
      </c>
      <c r="C206" s="76" t="s">
        <v>1011</v>
      </c>
      <c r="D206" s="99" t="s">
        <v>1012</v>
      </c>
      <c r="E206" s="25" t="s">
        <v>17</v>
      </c>
      <c r="F206" s="25" t="s">
        <v>983</v>
      </c>
      <c r="G206" s="15" t="s">
        <v>19</v>
      </c>
      <c r="H206" s="10"/>
      <c r="I206" s="76" t="s">
        <v>1013</v>
      </c>
      <c r="J206" s="76">
        <v>5.0</v>
      </c>
      <c r="K206" s="19">
        <v>8465000.0</v>
      </c>
      <c r="L206" s="10"/>
      <c r="M206" s="44">
        <v>7.0</v>
      </c>
      <c r="N206" s="45"/>
      <c r="O206" s="20"/>
      <c r="P206" s="20"/>
      <c r="Q206" s="20"/>
      <c r="R206" s="20"/>
      <c r="S206" s="20"/>
    </row>
    <row r="207">
      <c r="A207" s="49" t="s">
        <v>1014</v>
      </c>
      <c r="B207" s="110">
        <v>46041.0</v>
      </c>
      <c r="C207" s="49" t="s">
        <v>1015</v>
      </c>
      <c r="D207" s="102" t="s">
        <v>1016</v>
      </c>
      <c r="E207" s="25" t="s">
        <v>17</v>
      </c>
      <c r="F207" s="25" t="s">
        <v>983</v>
      </c>
      <c r="G207" s="15" t="s">
        <v>19</v>
      </c>
      <c r="H207" s="23"/>
      <c r="I207" s="49" t="s">
        <v>1017</v>
      </c>
      <c r="J207" s="49">
        <v>15.0</v>
      </c>
      <c r="K207" s="36">
        <v>7275000.0</v>
      </c>
      <c r="L207" s="23"/>
      <c r="M207" s="50">
        <v>7.0</v>
      </c>
      <c r="N207" s="51"/>
      <c r="O207" s="20"/>
      <c r="P207" s="20"/>
      <c r="Q207" s="20"/>
      <c r="R207" s="20"/>
      <c r="S207" s="20"/>
    </row>
    <row r="208">
      <c r="A208" s="76" t="s">
        <v>1018</v>
      </c>
      <c r="B208" s="97">
        <v>46044.0</v>
      </c>
      <c r="C208" s="76" t="s">
        <v>1019</v>
      </c>
      <c r="D208" s="99" t="s">
        <v>1020</v>
      </c>
      <c r="E208" s="25" t="s">
        <v>17</v>
      </c>
      <c r="F208" s="25" t="s">
        <v>18</v>
      </c>
      <c r="G208" s="15" t="s">
        <v>42</v>
      </c>
      <c r="H208" s="76" t="s">
        <v>1021</v>
      </c>
      <c r="I208" s="10"/>
      <c r="J208" s="10"/>
      <c r="K208" s="19"/>
      <c r="L208" s="76" t="s">
        <v>1022</v>
      </c>
      <c r="M208" s="84">
        <v>8.0</v>
      </c>
      <c r="N208" s="85"/>
      <c r="O208" s="20"/>
      <c r="P208" s="20"/>
      <c r="Q208" s="20"/>
      <c r="R208" s="20"/>
      <c r="S208" s="20"/>
    </row>
    <row r="209">
      <c r="A209" s="49" t="s">
        <v>1023</v>
      </c>
      <c r="B209" s="110">
        <v>46044.0</v>
      </c>
      <c r="C209" s="112">
        <v>8.5664690787E10</v>
      </c>
      <c r="D209" s="102" t="s">
        <v>1024</v>
      </c>
      <c r="E209" s="25" t="s">
        <v>17</v>
      </c>
      <c r="F209" s="25" t="s">
        <v>18</v>
      </c>
      <c r="G209" s="15" t="s">
        <v>42</v>
      </c>
      <c r="H209" s="23"/>
      <c r="I209" s="23"/>
      <c r="J209" s="23"/>
      <c r="K209" s="36"/>
      <c r="L209" s="36" t="s">
        <v>1025</v>
      </c>
      <c r="M209" s="75">
        <v>8.0</v>
      </c>
      <c r="N209" s="77"/>
      <c r="O209" s="20"/>
      <c r="P209" s="20"/>
      <c r="Q209" s="20"/>
      <c r="R209" s="20"/>
      <c r="S209" s="20"/>
    </row>
    <row r="210">
      <c r="A210" s="76" t="s">
        <v>1026</v>
      </c>
      <c r="B210" s="97">
        <v>46045.0</v>
      </c>
      <c r="C210" s="76" t="s">
        <v>1027</v>
      </c>
      <c r="D210" s="99" t="s">
        <v>1028</v>
      </c>
      <c r="E210" s="25" t="s">
        <v>17</v>
      </c>
      <c r="F210" s="25" t="s">
        <v>18</v>
      </c>
      <c r="G210" s="15" t="s">
        <v>42</v>
      </c>
      <c r="H210" s="76" t="s">
        <v>116</v>
      </c>
      <c r="I210" s="118">
        <v>46048.0</v>
      </c>
      <c r="J210" s="76">
        <v>2.0</v>
      </c>
      <c r="K210" s="19"/>
      <c r="L210" s="19" t="s">
        <v>1029</v>
      </c>
      <c r="M210" s="84">
        <v>8.0</v>
      </c>
      <c r="N210" s="85"/>
      <c r="O210" s="20"/>
      <c r="P210" s="20"/>
      <c r="Q210" s="20"/>
      <c r="R210" s="20"/>
      <c r="S210" s="20"/>
    </row>
    <row r="211">
      <c r="A211" s="49" t="s">
        <v>1030</v>
      </c>
      <c r="B211" s="110">
        <v>46045.0</v>
      </c>
      <c r="C211" s="49" t="s">
        <v>1031</v>
      </c>
      <c r="D211" s="102" t="s">
        <v>1032</v>
      </c>
      <c r="E211" s="25" t="s">
        <v>17</v>
      </c>
      <c r="F211" s="25" t="s">
        <v>18</v>
      </c>
      <c r="G211" s="25" t="s">
        <v>42</v>
      </c>
      <c r="H211" s="49" t="s">
        <v>1033</v>
      </c>
      <c r="I211" s="49" t="s">
        <v>1034</v>
      </c>
      <c r="J211" s="49">
        <v>60.0</v>
      </c>
      <c r="K211" s="36">
        <v>1.5E8</v>
      </c>
      <c r="L211" s="49" t="s">
        <v>1035</v>
      </c>
      <c r="M211" s="75">
        <v>8.0</v>
      </c>
      <c r="N211" s="77"/>
      <c r="O211" s="20"/>
      <c r="P211" s="20"/>
      <c r="Q211" s="20"/>
      <c r="R211" s="20"/>
      <c r="S211" s="20"/>
    </row>
    <row r="212">
      <c r="A212" s="76" t="s">
        <v>1036</v>
      </c>
      <c r="B212" s="97">
        <v>46045.0</v>
      </c>
      <c r="C212" s="76" t="s">
        <v>1037</v>
      </c>
      <c r="D212" s="99" t="s">
        <v>1038</v>
      </c>
      <c r="E212" s="25" t="s">
        <v>17</v>
      </c>
      <c r="F212" s="25" t="s">
        <v>18</v>
      </c>
      <c r="G212" s="15" t="s">
        <v>42</v>
      </c>
      <c r="H212" s="76" t="s">
        <v>632</v>
      </c>
      <c r="I212" s="76" t="s">
        <v>1039</v>
      </c>
      <c r="J212" s="76">
        <v>6.0</v>
      </c>
      <c r="K212" s="19"/>
      <c r="L212" s="76" t="s">
        <v>1040</v>
      </c>
      <c r="M212" s="84">
        <v>8.0</v>
      </c>
      <c r="N212" s="85"/>
      <c r="O212" s="20"/>
      <c r="P212" s="20"/>
      <c r="Q212" s="20"/>
      <c r="R212" s="20"/>
      <c r="S212" s="20"/>
    </row>
    <row r="213">
      <c r="A213" s="49" t="s">
        <v>1041</v>
      </c>
      <c r="B213" s="110">
        <v>46044.0</v>
      </c>
      <c r="C213" s="49" t="s">
        <v>1042</v>
      </c>
      <c r="D213" s="102" t="s">
        <v>1043</v>
      </c>
      <c r="E213" s="25" t="s">
        <v>17</v>
      </c>
      <c r="F213" s="25" t="s">
        <v>129</v>
      </c>
      <c r="G213" s="15" t="s">
        <v>42</v>
      </c>
      <c r="H213" s="23"/>
      <c r="I213" s="49" t="s">
        <v>1044</v>
      </c>
      <c r="J213" s="23"/>
      <c r="K213" s="36"/>
      <c r="L213" s="49" t="s">
        <v>514</v>
      </c>
      <c r="M213" s="75">
        <v>8.0</v>
      </c>
      <c r="N213" s="77"/>
      <c r="O213" s="20"/>
      <c r="P213" s="20"/>
      <c r="Q213" s="20"/>
      <c r="R213" s="20"/>
      <c r="S213" s="20"/>
    </row>
    <row r="214">
      <c r="A214" s="76" t="s">
        <v>1045</v>
      </c>
      <c r="B214" s="97">
        <v>46045.0</v>
      </c>
      <c r="C214" s="76" t="s">
        <v>1046</v>
      </c>
      <c r="D214" s="99" t="s">
        <v>1047</v>
      </c>
      <c r="E214" s="25" t="s">
        <v>17</v>
      </c>
      <c r="F214" s="25" t="s">
        <v>129</v>
      </c>
      <c r="G214" s="15" t="s">
        <v>42</v>
      </c>
      <c r="H214" s="10"/>
      <c r="I214" s="10"/>
      <c r="J214" s="76">
        <v>2.0</v>
      </c>
      <c r="K214" s="19"/>
      <c r="L214" s="76" t="s">
        <v>1048</v>
      </c>
      <c r="M214" s="84">
        <v>8.0</v>
      </c>
      <c r="N214" s="85"/>
      <c r="O214" s="20"/>
      <c r="P214" s="20"/>
      <c r="Q214" s="20"/>
      <c r="R214" s="20"/>
      <c r="S214" s="20"/>
    </row>
    <row r="215">
      <c r="A215" s="49" t="s">
        <v>1049</v>
      </c>
      <c r="B215" s="110">
        <v>46045.0</v>
      </c>
      <c r="C215" s="49" t="s">
        <v>1050</v>
      </c>
      <c r="D215" s="102" t="s">
        <v>960</v>
      </c>
      <c r="E215" s="25" t="s">
        <v>122</v>
      </c>
      <c r="F215" s="25" t="s">
        <v>129</v>
      </c>
      <c r="G215" s="15" t="s">
        <v>42</v>
      </c>
      <c r="H215" s="49" t="s">
        <v>973</v>
      </c>
      <c r="I215" s="49" t="s">
        <v>1051</v>
      </c>
      <c r="J215" s="49">
        <v>50.0</v>
      </c>
      <c r="K215" s="36"/>
      <c r="L215" s="49" t="s">
        <v>1052</v>
      </c>
      <c r="M215" s="75">
        <v>8.0</v>
      </c>
      <c r="N215" s="77"/>
      <c r="O215" s="20"/>
      <c r="P215" s="20"/>
      <c r="Q215" s="20"/>
      <c r="R215" s="20"/>
      <c r="S215" s="20"/>
    </row>
    <row r="216">
      <c r="A216" s="76" t="s">
        <v>1053</v>
      </c>
      <c r="B216" s="97">
        <v>46045.0</v>
      </c>
      <c r="C216" s="76" t="s">
        <v>1054</v>
      </c>
      <c r="D216" s="99" t="s">
        <v>1055</v>
      </c>
      <c r="E216" s="25" t="s">
        <v>17</v>
      </c>
      <c r="F216" s="25" t="s">
        <v>129</v>
      </c>
      <c r="G216" s="15" t="s">
        <v>19</v>
      </c>
      <c r="H216" s="76" t="s">
        <v>1056</v>
      </c>
      <c r="I216" s="106">
        <v>46046.0</v>
      </c>
      <c r="J216" s="76">
        <v>3.0</v>
      </c>
      <c r="K216" s="19">
        <v>1875000.0</v>
      </c>
      <c r="L216" s="76"/>
      <c r="M216" s="84">
        <v>7.0</v>
      </c>
      <c r="N216" s="85"/>
      <c r="O216" s="20"/>
      <c r="P216" s="20"/>
      <c r="Q216" s="20"/>
      <c r="R216" s="20"/>
      <c r="S216" s="20"/>
    </row>
    <row r="217">
      <c r="A217" s="49" t="s">
        <v>1057</v>
      </c>
      <c r="B217" s="110">
        <v>46046.0</v>
      </c>
      <c r="C217" s="49" t="s">
        <v>1058</v>
      </c>
      <c r="D217" s="102" t="s">
        <v>1059</v>
      </c>
      <c r="E217" s="25" t="s">
        <v>17</v>
      </c>
      <c r="F217" s="25" t="s">
        <v>18</v>
      </c>
      <c r="G217" s="25" t="s">
        <v>42</v>
      </c>
      <c r="H217" s="49" t="s">
        <v>1060</v>
      </c>
      <c r="I217" s="49" t="s">
        <v>920</v>
      </c>
      <c r="J217" s="49">
        <v>2.0</v>
      </c>
      <c r="K217" s="36">
        <v>1100000.0</v>
      </c>
      <c r="L217" s="49" t="s">
        <v>1061</v>
      </c>
      <c r="M217" s="75">
        <v>8.0</v>
      </c>
      <c r="N217" s="77"/>
      <c r="O217" s="20"/>
      <c r="P217" s="20"/>
      <c r="Q217" s="20"/>
      <c r="R217" s="20"/>
      <c r="S217" s="20"/>
    </row>
    <row r="218">
      <c r="A218" s="76" t="s">
        <v>1062</v>
      </c>
      <c r="B218" s="97">
        <v>46046.0</v>
      </c>
      <c r="C218" s="76" t="s">
        <v>1063</v>
      </c>
      <c r="D218" s="99" t="s">
        <v>1064</v>
      </c>
      <c r="E218" s="25" t="s">
        <v>17</v>
      </c>
      <c r="F218" s="25" t="s">
        <v>18</v>
      </c>
      <c r="G218" s="15" t="s">
        <v>42</v>
      </c>
      <c r="H218" s="10"/>
      <c r="I218" s="10"/>
      <c r="J218" s="10"/>
      <c r="K218" s="46"/>
      <c r="L218" s="76" t="s">
        <v>633</v>
      </c>
      <c r="M218" s="84">
        <v>8.0</v>
      </c>
      <c r="N218" s="85"/>
      <c r="O218" s="20"/>
      <c r="P218" s="20"/>
      <c r="Q218" s="20"/>
      <c r="R218" s="20"/>
      <c r="S218" s="20"/>
    </row>
    <row r="219">
      <c r="A219" s="49" t="s">
        <v>1065</v>
      </c>
      <c r="B219" s="110">
        <v>46045.0</v>
      </c>
      <c r="C219" s="49" t="s">
        <v>1066</v>
      </c>
      <c r="D219" s="102" t="s">
        <v>1067</v>
      </c>
      <c r="E219" s="25" t="s">
        <v>17</v>
      </c>
      <c r="F219" s="25" t="s">
        <v>129</v>
      </c>
      <c r="G219" s="15" t="s">
        <v>49</v>
      </c>
      <c r="H219" s="49" t="s">
        <v>260</v>
      </c>
      <c r="I219" s="49" t="s">
        <v>1068</v>
      </c>
      <c r="J219" s="49">
        <v>2.0</v>
      </c>
      <c r="K219" s="36">
        <f>1600000*2</f>
        <v>3200000</v>
      </c>
      <c r="L219" s="49" t="s">
        <v>1069</v>
      </c>
      <c r="M219" s="75">
        <v>4.0</v>
      </c>
      <c r="N219" s="104" t="s">
        <v>1070</v>
      </c>
      <c r="O219" s="20"/>
      <c r="P219" s="20"/>
      <c r="Q219" s="20"/>
      <c r="R219" s="20"/>
      <c r="S219" s="20"/>
    </row>
    <row r="220">
      <c r="A220" s="76" t="s">
        <v>1071</v>
      </c>
      <c r="B220" s="97">
        <v>46045.0</v>
      </c>
      <c r="C220" s="76" t="s">
        <v>1072</v>
      </c>
      <c r="D220" s="99" t="s">
        <v>1073</v>
      </c>
      <c r="E220" s="25" t="s">
        <v>17</v>
      </c>
      <c r="F220" s="25" t="s">
        <v>129</v>
      </c>
      <c r="G220" s="15" t="s">
        <v>42</v>
      </c>
      <c r="H220" s="76" t="s">
        <v>1074</v>
      </c>
      <c r="I220" s="10"/>
      <c r="J220" s="76">
        <v>2.0</v>
      </c>
      <c r="K220" s="19"/>
      <c r="L220" s="76" t="s">
        <v>1075</v>
      </c>
      <c r="M220" s="84">
        <v>8.0</v>
      </c>
      <c r="N220" s="85"/>
      <c r="O220" s="20"/>
      <c r="P220" s="20"/>
      <c r="Q220" s="20"/>
      <c r="R220" s="20"/>
      <c r="S220" s="20"/>
    </row>
    <row r="221">
      <c r="A221" s="49" t="s">
        <v>1076</v>
      </c>
      <c r="B221" s="110">
        <v>46036.0</v>
      </c>
      <c r="C221" s="49" t="s">
        <v>1077</v>
      </c>
      <c r="D221" s="102" t="s">
        <v>1078</v>
      </c>
      <c r="E221" s="25" t="s">
        <v>17</v>
      </c>
      <c r="F221" s="25" t="s">
        <v>983</v>
      </c>
      <c r="G221" s="25" t="s">
        <v>42</v>
      </c>
      <c r="H221" s="23"/>
      <c r="I221" s="49"/>
      <c r="J221" s="23"/>
      <c r="K221" s="36"/>
      <c r="L221" s="49" t="s">
        <v>1079</v>
      </c>
      <c r="M221" s="75">
        <v>8.0</v>
      </c>
      <c r="N221" s="77"/>
      <c r="O221" s="20"/>
      <c r="P221" s="20"/>
      <c r="Q221" s="20"/>
      <c r="R221" s="20"/>
      <c r="S221" s="20"/>
    </row>
    <row r="222">
      <c r="A222" s="76" t="s">
        <v>1080</v>
      </c>
      <c r="B222" s="97">
        <v>46036.0</v>
      </c>
      <c r="C222" s="76" t="s">
        <v>1081</v>
      </c>
      <c r="D222" s="99" t="s">
        <v>1082</v>
      </c>
      <c r="E222" s="25" t="s">
        <v>17</v>
      </c>
      <c r="F222" s="25" t="s">
        <v>983</v>
      </c>
      <c r="G222" s="25" t="s">
        <v>42</v>
      </c>
      <c r="H222" s="10"/>
      <c r="I222" s="49" t="s">
        <v>1083</v>
      </c>
      <c r="J222" s="76">
        <v>15.0</v>
      </c>
      <c r="K222" s="19">
        <v>3750000.0</v>
      </c>
      <c r="L222" s="76" t="s">
        <v>1084</v>
      </c>
      <c r="M222" s="84">
        <v>8.0</v>
      </c>
      <c r="N222" s="85"/>
      <c r="O222" s="20"/>
      <c r="P222" s="20"/>
      <c r="Q222" s="20"/>
      <c r="R222" s="20"/>
      <c r="S222" s="20"/>
    </row>
    <row r="223">
      <c r="A223" s="49" t="s">
        <v>1085</v>
      </c>
      <c r="B223" s="110">
        <v>46036.0</v>
      </c>
      <c r="C223" s="49" t="s">
        <v>607</v>
      </c>
      <c r="D223" s="102" t="s">
        <v>608</v>
      </c>
      <c r="E223" s="25" t="s">
        <v>17</v>
      </c>
      <c r="F223" s="25" t="s">
        <v>983</v>
      </c>
      <c r="G223" s="15" t="s">
        <v>42</v>
      </c>
      <c r="H223" s="23"/>
      <c r="I223" s="23"/>
      <c r="J223" s="23"/>
      <c r="K223" s="36"/>
      <c r="L223" s="49" t="s">
        <v>1086</v>
      </c>
      <c r="M223" s="75">
        <v>8.0</v>
      </c>
      <c r="N223" s="77"/>
      <c r="O223" s="20"/>
      <c r="P223" s="20"/>
      <c r="Q223" s="20"/>
      <c r="R223" s="20"/>
      <c r="S223" s="20"/>
    </row>
    <row r="224">
      <c r="A224" s="76" t="s">
        <v>1087</v>
      </c>
      <c r="B224" s="97">
        <v>46034.0</v>
      </c>
      <c r="C224" s="76" t="s">
        <v>1088</v>
      </c>
      <c r="D224" s="99" t="s">
        <v>1089</v>
      </c>
      <c r="E224" s="25" t="s">
        <v>17</v>
      </c>
      <c r="F224" s="25" t="s">
        <v>983</v>
      </c>
      <c r="G224" s="25" t="s">
        <v>42</v>
      </c>
      <c r="H224" s="10"/>
      <c r="I224" s="10"/>
      <c r="J224" s="10"/>
      <c r="K224" s="19"/>
      <c r="L224" s="76" t="s">
        <v>1090</v>
      </c>
      <c r="M224" s="84">
        <v>8.0</v>
      </c>
      <c r="N224" s="85"/>
      <c r="O224" s="20"/>
      <c r="P224" s="20"/>
      <c r="Q224" s="20"/>
      <c r="R224" s="20"/>
      <c r="S224" s="20"/>
    </row>
    <row r="225">
      <c r="A225" s="49" t="s">
        <v>1091</v>
      </c>
      <c r="B225" s="110">
        <v>46036.0</v>
      </c>
      <c r="C225" s="49" t="s">
        <v>1092</v>
      </c>
      <c r="D225" s="102" t="s">
        <v>1093</v>
      </c>
      <c r="E225" s="25" t="s">
        <v>17</v>
      </c>
      <c r="F225" s="25" t="s">
        <v>983</v>
      </c>
      <c r="G225" s="25" t="s">
        <v>42</v>
      </c>
      <c r="H225" s="23"/>
      <c r="I225" s="23"/>
      <c r="J225" s="23"/>
      <c r="K225" s="36"/>
      <c r="L225" s="49" t="s">
        <v>1079</v>
      </c>
      <c r="M225" s="75">
        <v>8.0</v>
      </c>
      <c r="N225" s="77"/>
      <c r="O225" s="20"/>
      <c r="P225" s="20"/>
      <c r="Q225" s="20"/>
      <c r="R225" s="20"/>
      <c r="S225" s="20"/>
    </row>
    <row r="226">
      <c r="A226" s="76" t="s">
        <v>1094</v>
      </c>
      <c r="B226" s="97">
        <v>46035.0</v>
      </c>
      <c r="C226" s="76" t="s">
        <v>1095</v>
      </c>
      <c r="D226" s="99" t="s">
        <v>1096</v>
      </c>
      <c r="E226" s="25" t="s">
        <v>17</v>
      </c>
      <c r="F226" s="25" t="s">
        <v>983</v>
      </c>
      <c r="G226" s="15" t="s">
        <v>42</v>
      </c>
      <c r="H226" s="76" t="s">
        <v>1097</v>
      </c>
      <c r="I226" s="10"/>
      <c r="J226" s="76">
        <v>2.0</v>
      </c>
      <c r="K226" s="19"/>
      <c r="L226" s="76" t="s">
        <v>1086</v>
      </c>
      <c r="M226" s="84">
        <v>8.0</v>
      </c>
      <c r="N226" s="85"/>
      <c r="O226" s="20"/>
      <c r="P226" s="20"/>
      <c r="Q226" s="20"/>
      <c r="R226" s="20"/>
      <c r="S226" s="20"/>
    </row>
    <row r="227">
      <c r="A227" s="49" t="s">
        <v>1098</v>
      </c>
      <c r="B227" s="110">
        <v>46038.0</v>
      </c>
      <c r="C227" s="49" t="s">
        <v>1099</v>
      </c>
      <c r="D227" s="102" t="s">
        <v>1100</v>
      </c>
      <c r="E227" s="25" t="s">
        <v>17</v>
      </c>
      <c r="F227" s="25" t="s">
        <v>983</v>
      </c>
      <c r="G227" s="25" t="s">
        <v>42</v>
      </c>
      <c r="H227" s="23"/>
      <c r="I227" s="23"/>
      <c r="J227" s="23"/>
      <c r="K227" s="36"/>
      <c r="L227" s="49" t="s">
        <v>1101</v>
      </c>
      <c r="M227" s="75">
        <v>8.0</v>
      </c>
      <c r="N227" s="77"/>
      <c r="O227" s="20"/>
      <c r="P227" s="20"/>
      <c r="Q227" s="20"/>
      <c r="R227" s="20"/>
      <c r="S227" s="20"/>
    </row>
    <row r="228">
      <c r="A228" s="76" t="s">
        <v>1102</v>
      </c>
      <c r="B228" s="97">
        <v>46038.0</v>
      </c>
      <c r="C228" s="76" t="s">
        <v>1103</v>
      </c>
      <c r="D228" s="99" t="s">
        <v>1104</v>
      </c>
      <c r="E228" s="25" t="s">
        <v>17</v>
      </c>
      <c r="F228" s="25" t="s">
        <v>983</v>
      </c>
      <c r="G228" s="25" t="s">
        <v>34</v>
      </c>
      <c r="H228" s="76" t="s">
        <v>1033</v>
      </c>
      <c r="I228" s="76" t="s">
        <v>1105</v>
      </c>
      <c r="J228" s="76">
        <v>7.0</v>
      </c>
      <c r="K228" s="19">
        <v>1.7108888E7</v>
      </c>
      <c r="L228" s="76" t="s">
        <v>1106</v>
      </c>
      <c r="M228" s="84">
        <v>2.0</v>
      </c>
      <c r="N228" s="86" t="s">
        <v>1107</v>
      </c>
      <c r="O228" s="20"/>
      <c r="P228" s="20"/>
      <c r="Q228" s="20"/>
      <c r="R228" s="20"/>
      <c r="S228" s="20"/>
    </row>
    <row r="229">
      <c r="A229" s="49" t="s">
        <v>1108</v>
      </c>
      <c r="B229" s="110">
        <v>46038.0</v>
      </c>
      <c r="C229" s="49" t="s">
        <v>1109</v>
      </c>
      <c r="D229" s="102" t="s">
        <v>1110</v>
      </c>
      <c r="E229" s="25" t="s">
        <v>17</v>
      </c>
      <c r="F229" s="25" t="s">
        <v>983</v>
      </c>
      <c r="G229" s="25" t="s">
        <v>42</v>
      </c>
      <c r="H229" s="49" t="s">
        <v>260</v>
      </c>
      <c r="I229" s="23"/>
      <c r="J229" s="23"/>
      <c r="K229" s="36"/>
      <c r="L229" s="49" t="s">
        <v>1111</v>
      </c>
      <c r="M229" s="75">
        <v>8.0</v>
      </c>
      <c r="N229" s="77"/>
      <c r="O229" s="20"/>
      <c r="P229" s="20"/>
      <c r="Q229" s="20"/>
      <c r="R229" s="20"/>
      <c r="S229" s="20"/>
    </row>
    <row r="230">
      <c r="A230" s="76" t="s">
        <v>1112</v>
      </c>
      <c r="B230" s="97">
        <v>46039.0</v>
      </c>
      <c r="C230" s="76" t="s">
        <v>1113</v>
      </c>
      <c r="D230" s="99" t="s">
        <v>1114</v>
      </c>
      <c r="E230" s="25" t="s">
        <v>17</v>
      </c>
      <c r="F230" s="25" t="s">
        <v>983</v>
      </c>
      <c r="G230" s="15" t="s">
        <v>42</v>
      </c>
      <c r="H230" s="76" t="s">
        <v>1115</v>
      </c>
      <c r="I230" s="10"/>
      <c r="J230" s="76">
        <v>1.0</v>
      </c>
      <c r="K230" s="19"/>
      <c r="L230" s="76" t="s">
        <v>1116</v>
      </c>
      <c r="M230" s="84">
        <v>8.0</v>
      </c>
      <c r="N230" s="85"/>
      <c r="O230" s="20"/>
      <c r="P230" s="20"/>
      <c r="Q230" s="20"/>
      <c r="R230" s="20"/>
      <c r="S230" s="20"/>
    </row>
    <row r="231">
      <c r="A231" s="49" t="s">
        <v>1117</v>
      </c>
      <c r="B231" s="110">
        <v>46041.0</v>
      </c>
      <c r="C231" s="49" t="s">
        <v>1118</v>
      </c>
      <c r="D231" s="102" t="s">
        <v>1119</v>
      </c>
      <c r="E231" s="25" t="s">
        <v>122</v>
      </c>
      <c r="F231" s="25" t="s">
        <v>983</v>
      </c>
      <c r="G231" s="15" t="s">
        <v>42</v>
      </c>
      <c r="H231" s="23"/>
      <c r="I231" s="23"/>
      <c r="J231" s="23"/>
      <c r="K231" s="36"/>
      <c r="L231" s="49" t="s">
        <v>1120</v>
      </c>
      <c r="M231" s="75">
        <v>8.0</v>
      </c>
      <c r="N231" s="77"/>
      <c r="O231" s="20"/>
      <c r="P231" s="20"/>
      <c r="Q231" s="20"/>
      <c r="R231" s="20"/>
      <c r="S231" s="20"/>
    </row>
    <row r="232">
      <c r="A232" s="76" t="s">
        <v>1121</v>
      </c>
      <c r="B232" s="97">
        <v>46041.0</v>
      </c>
      <c r="C232" s="76" t="s">
        <v>1122</v>
      </c>
      <c r="D232" s="99" t="s">
        <v>1123</v>
      </c>
      <c r="E232" s="25" t="s">
        <v>17</v>
      </c>
      <c r="F232" s="25" t="s">
        <v>983</v>
      </c>
      <c r="G232" s="15" t="s">
        <v>42</v>
      </c>
      <c r="H232" s="10"/>
      <c r="I232" s="10"/>
      <c r="J232" s="10"/>
      <c r="K232" s="19"/>
      <c r="L232" s="76" t="s">
        <v>1124</v>
      </c>
      <c r="M232" s="84">
        <v>8.0</v>
      </c>
      <c r="N232" s="85"/>
      <c r="O232" s="20"/>
      <c r="P232" s="20"/>
      <c r="Q232" s="20"/>
      <c r="R232" s="20"/>
      <c r="S232" s="20"/>
    </row>
    <row r="233">
      <c r="A233" s="49" t="s">
        <v>1125</v>
      </c>
      <c r="B233" s="110">
        <v>46041.0</v>
      </c>
      <c r="C233" s="49" t="s">
        <v>1126</v>
      </c>
      <c r="D233" s="102" t="s">
        <v>1127</v>
      </c>
      <c r="E233" s="25" t="s">
        <v>17</v>
      </c>
      <c r="F233" s="25" t="s">
        <v>983</v>
      </c>
      <c r="G233" s="15" t="s">
        <v>42</v>
      </c>
      <c r="H233" s="49" t="s">
        <v>1128</v>
      </c>
      <c r="I233" s="49" t="s">
        <v>1129</v>
      </c>
      <c r="J233" s="49">
        <v>20.0</v>
      </c>
      <c r="K233" s="36"/>
      <c r="L233" s="49" t="s">
        <v>1130</v>
      </c>
      <c r="M233" s="75">
        <v>8.0</v>
      </c>
      <c r="N233" s="77"/>
      <c r="O233" s="20"/>
      <c r="P233" s="20"/>
      <c r="Q233" s="20"/>
      <c r="R233" s="20"/>
      <c r="S233" s="20"/>
    </row>
    <row r="234">
      <c r="A234" s="76" t="s">
        <v>1131</v>
      </c>
      <c r="B234" s="97">
        <v>46036.0</v>
      </c>
      <c r="C234" s="76" t="s">
        <v>1132</v>
      </c>
      <c r="D234" s="99" t="s">
        <v>1133</v>
      </c>
      <c r="E234" s="25" t="s">
        <v>17</v>
      </c>
      <c r="F234" s="25" t="s">
        <v>983</v>
      </c>
      <c r="G234" s="25" t="s">
        <v>42</v>
      </c>
      <c r="H234" s="76" t="s">
        <v>1033</v>
      </c>
      <c r="I234" s="10"/>
      <c r="J234" s="76">
        <v>9.0</v>
      </c>
      <c r="K234" s="19">
        <v>1.2204E7</v>
      </c>
      <c r="L234" s="76" t="s">
        <v>1134</v>
      </c>
      <c r="M234" s="84">
        <v>8.0</v>
      </c>
      <c r="N234" s="85"/>
      <c r="O234" s="20"/>
      <c r="P234" s="20"/>
      <c r="Q234" s="20"/>
      <c r="R234" s="20"/>
      <c r="S234" s="20"/>
    </row>
    <row r="235">
      <c r="A235" s="49" t="s">
        <v>1135</v>
      </c>
      <c r="B235" s="110">
        <v>46046.0</v>
      </c>
      <c r="C235" s="49" t="s">
        <v>1136</v>
      </c>
      <c r="D235" s="102" t="s">
        <v>1137</v>
      </c>
      <c r="E235" s="25" t="s">
        <v>17</v>
      </c>
      <c r="F235" s="25" t="s">
        <v>18</v>
      </c>
      <c r="G235" s="15" t="s">
        <v>42</v>
      </c>
      <c r="H235" s="49" t="s">
        <v>123</v>
      </c>
      <c r="I235" s="49" t="s">
        <v>1138</v>
      </c>
      <c r="J235" s="49">
        <v>1.0</v>
      </c>
      <c r="K235" s="30"/>
      <c r="L235" s="49" t="s">
        <v>633</v>
      </c>
      <c r="M235" s="75">
        <v>8.0</v>
      </c>
      <c r="N235" s="77"/>
      <c r="O235" s="20"/>
      <c r="P235" s="20"/>
      <c r="Q235" s="20"/>
      <c r="R235" s="20"/>
      <c r="S235" s="20"/>
    </row>
    <row r="236">
      <c r="A236" s="76" t="s">
        <v>1139</v>
      </c>
      <c r="B236" s="97">
        <v>46036.0</v>
      </c>
      <c r="C236" s="76" t="s">
        <v>1140</v>
      </c>
      <c r="D236" s="99" t="s">
        <v>1141</v>
      </c>
      <c r="E236" s="25" t="s">
        <v>17</v>
      </c>
      <c r="F236" s="25" t="s">
        <v>983</v>
      </c>
      <c r="G236" s="15" t="s">
        <v>42</v>
      </c>
      <c r="H236" s="10"/>
      <c r="I236" s="10"/>
      <c r="J236" s="10"/>
      <c r="K236" s="19"/>
      <c r="L236" s="76" t="s">
        <v>1142</v>
      </c>
      <c r="M236" s="84">
        <v>8.0</v>
      </c>
      <c r="N236" s="85"/>
      <c r="O236" s="20"/>
      <c r="P236" s="20"/>
      <c r="Q236" s="20"/>
      <c r="R236" s="20"/>
      <c r="S236" s="20"/>
    </row>
    <row r="237">
      <c r="A237" s="49" t="s">
        <v>1143</v>
      </c>
      <c r="B237" s="110">
        <v>46043.0</v>
      </c>
      <c r="C237" s="49" t="s">
        <v>1144</v>
      </c>
      <c r="D237" s="102" t="s">
        <v>1145</v>
      </c>
      <c r="E237" s="25" t="s">
        <v>17</v>
      </c>
      <c r="F237" s="25" t="s">
        <v>983</v>
      </c>
      <c r="G237" s="25" t="s">
        <v>42</v>
      </c>
      <c r="H237" s="49" t="s">
        <v>1146</v>
      </c>
      <c r="I237" s="49" t="s">
        <v>1147</v>
      </c>
      <c r="J237" s="49">
        <v>2.0</v>
      </c>
      <c r="K237" s="36">
        <v>1512000.0</v>
      </c>
      <c r="L237" s="49" t="s">
        <v>1148</v>
      </c>
      <c r="M237" s="75">
        <v>8.0</v>
      </c>
      <c r="N237" s="77"/>
      <c r="O237" s="20"/>
      <c r="P237" s="20"/>
      <c r="Q237" s="20"/>
      <c r="R237" s="20"/>
      <c r="S237" s="20"/>
    </row>
    <row r="238">
      <c r="A238" s="76" t="s">
        <v>1149</v>
      </c>
      <c r="B238" s="97">
        <v>46043.0</v>
      </c>
      <c r="C238" s="76" t="s">
        <v>1150</v>
      </c>
      <c r="D238" s="99" t="s">
        <v>1151</v>
      </c>
      <c r="E238" s="25" t="s">
        <v>17</v>
      </c>
      <c r="F238" s="25" t="s">
        <v>983</v>
      </c>
      <c r="G238" s="25" t="s">
        <v>42</v>
      </c>
      <c r="H238" s="10"/>
      <c r="I238" s="10"/>
      <c r="J238" s="10"/>
      <c r="K238" s="46"/>
      <c r="L238" s="76" t="s">
        <v>966</v>
      </c>
      <c r="M238" s="84">
        <v>8.0</v>
      </c>
      <c r="N238" s="85"/>
      <c r="O238" s="20"/>
      <c r="P238" s="20"/>
      <c r="Q238" s="20"/>
      <c r="R238" s="20"/>
      <c r="S238" s="20"/>
    </row>
    <row r="239">
      <c r="A239" s="49" t="s">
        <v>1152</v>
      </c>
      <c r="B239" s="110">
        <v>46043.0</v>
      </c>
      <c r="C239" s="49" t="s">
        <v>1153</v>
      </c>
      <c r="D239" s="102" t="s">
        <v>1154</v>
      </c>
      <c r="E239" s="25" t="s">
        <v>17</v>
      </c>
      <c r="F239" s="25" t="s">
        <v>983</v>
      </c>
      <c r="G239" s="25" t="s">
        <v>42</v>
      </c>
      <c r="H239" s="49" t="s">
        <v>1155</v>
      </c>
      <c r="I239" s="49" t="s">
        <v>1156</v>
      </c>
      <c r="J239" s="49">
        <v>5.0</v>
      </c>
      <c r="K239" s="36">
        <v>1.0825E7</v>
      </c>
      <c r="L239" s="49" t="s">
        <v>1157</v>
      </c>
      <c r="M239" s="75">
        <v>8.0</v>
      </c>
      <c r="N239" s="104" t="s">
        <v>1158</v>
      </c>
      <c r="O239" s="20"/>
      <c r="P239" s="20"/>
      <c r="Q239" s="20"/>
      <c r="R239" s="20"/>
      <c r="S239" s="20"/>
    </row>
    <row r="240">
      <c r="A240" s="76" t="s">
        <v>1159</v>
      </c>
      <c r="B240" s="97">
        <v>46039.0</v>
      </c>
      <c r="C240" s="76" t="s">
        <v>1160</v>
      </c>
      <c r="D240" s="99" t="s">
        <v>1161</v>
      </c>
      <c r="E240" s="25" t="s">
        <v>17</v>
      </c>
      <c r="F240" s="25" t="s">
        <v>983</v>
      </c>
      <c r="G240" s="25" t="s">
        <v>42</v>
      </c>
      <c r="H240" s="76" t="s">
        <v>1033</v>
      </c>
      <c r="I240" s="76" t="s">
        <v>1162</v>
      </c>
      <c r="J240" s="76">
        <v>17.0</v>
      </c>
      <c r="K240" s="19">
        <v>2.295E7</v>
      </c>
      <c r="L240" s="76" t="s">
        <v>1163</v>
      </c>
      <c r="M240" s="44">
        <v>8.0</v>
      </c>
      <c r="N240" s="86" t="s">
        <v>1164</v>
      </c>
      <c r="O240" s="20"/>
      <c r="P240" s="20"/>
      <c r="Q240" s="20"/>
      <c r="R240" s="20"/>
      <c r="S240" s="20"/>
    </row>
    <row r="241">
      <c r="A241" s="49" t="s">
        <v>1165</v>
      </c>
      <c r="B241" s="110">
        <v>46046.0</v>
      </c>
      <c r="C241" s="49" t="s">
        <v>1166</v>
      </c>
      <c r="D241" s="102" t="s">
        <v>1167</v>
      </c>
      <c r="E241" s="25" t="s">
        <v>122</v>
      </c>
      <c r="F241" s="25" t="s">
        <v>983</v>
      </c>
      <c r="G241" s="25" t="s">
        <v>34</v>
      </c>
      <c r="H241" s="49" t="s">
        <v>1168</v>
      </c>
      <c r="I241" s="49" t="s">
        <v>1169</v>
      </c>
      <c r="J241" s="49">
        <v>25.0</v>
      </c>
      <c r="K241" s="36">
        <v>3.175E7</v>
      </c>
      <c r="L241" s="49" t="s">
        <v>1170</v>
      </c>
      <c r="M241" s="75">
        <v>2.0</v>
      </c>
      <c r="N241" s="77"/>
      <c r="O241" s="20"/>
      <c r="P241" s="20"/>
      <c r="Q241" s="20"/>
      <c r="R241" s="20"/>
      <c r="S241" s="20"/>
    </row>
    <row r="242">
      <c r="A242" s="76" t="s">
        <v>1171</v>
      </c>
      <c r="B242" s="97">
        <v>46045.0</v>
      </c>
      <c r="C242" s="76" t="s">
        <v>1172</v>
      </c>
      <c r="D242" s="99" t="s">
        <v>1173</v>
      </c>
      <c r="E242" s="25" t="s">
        <v>17</v>
      </c>
      <c r="F242" s="25" t="s">
        <v>983</v>
      </c>
      <c r="G242" s="15" t="s">
        <v>19</v>
      </c>
      <c r="H242" s="76" t="s">
        <v>1174</v>
      </c>
      <c r="I242" s="121">
        <v>46048.0</v>
      </c>
      <c r="J242" s="76">
        <v>1.0</v>
      </c>
      <c r="K242" s="19">
        <v>325000.0</v>
      </c>
      <c r="L242" s="76" t="s">
        <v>108</v>
      </c>
      <c r="M242" s="44">
        <v>7.0</v>
      </c>
      <c r="N242" s="45"/>
      <c r="O242" s="20"/>
      <c r="P242" s="20"/>
      <c r="Q242" s="20"/>
      <c r="R242" s="20"/>
      <c r="S242" s="20"/>
    </row>
    <row r="243">
      <c r="A243" s="49" t="s">
        <v>1175</v>
      </c>
      <c r="B243" s="110">
        <v>46046.0</v>
      </c>
      <c r="C243" s="49" t="s">
        <v>1176</v>
      </c>
      <c r="D243" s="102" t="s">
        <v>1177</v>
      </c>
      <c r="E243" s="25" t="s">
        <v>17</v>
      </c>
      <c r="F243" s="25" t="s">
        <v>983</v>
      </c>
      <c r="G243" s="25" t="s">
        <v>42</v>
      </c>
      <c r="H243" s="49" t="s">
        <v>1178</v>
      </c>
      <c r="I243" s="49" t="s">
        <v>1179</v>
      </c>
      <c r="J243" s="49">
        <v>36.0</v>
      </c>
      <c r="K243" s="36">
        <v>2.52E7</v>
      </c>
      <c r="L243" s="49" t="s">
        <v>1180</v>
      </c>
      <c r="M243" s="50">
        <v>8.0</v>
      </c>
      <c r="N243" s="104" t="s">
        <v>1181</v>
      </c>
      <c r="O243" s="20"/>
      <c r="P243" s="20"/>
      <c r="Q243" s="20"/>
      <c r="R243" s="20"/>
      <c r="S243" s="20"/>
    </row>
    <row r="244">
      <c r="A244" s="76" t="s">
        <v>1182</v>
      </c>
      <c r="B244" s="97">
        <v>46046.0</v>
      </c>
      <c r="C244" s="76" t="s">
        <v>1183</v>
      </c>
      <c r="D244" s="99" t="s">
        <v>1184</v>
      </c>
      <c r="E244" s="25" t="s">
        <v>17</v>
      </c>
      <c r="F244" s="25" t="s">
        <v>18</v>
      </c>
      <c r="G244" s="25" t="s">
        <v>42</v>
      </c>
      <c r="H244" s="76" t="s">
        <v>116</v>
      </c>
      <c r="I244" s="76" t="s">
        <v>1185</v>
      </c>
      <c r="J244" s="76">
        <v>80.0</v>
      </c>
      <c r="K244" s="19">
        <v>2.12E8</v>
      </c>
      <c r="L244" s="76" t="s">
        <v>1186</v>
      </c>
      <c r="M244" s="84">
        <v>8.0</v>
      </c>
      <c r="N244" s="85"/>
      <c r="O244" s="20"/>
      <c r="P244" s="20"/>
      <c r="Q244" s="20"/>
      <c r="R244" s="20"/>
      <c r="S244" s="20"/>
    </row>
    <row r="245">
      <c r="A245" s="49" t="s">
        <v>1187</v>
      </c>
      <c r="B245" s="110">
        <v>46047.0</v>
      </c>
      <c r="C245" s="49" t="s">
        <v>1188</v>
      </c>
      <c r="D245" s="102" t="s">
        <v>1189</v>
      </c>
      <c r="E245" s="25" t="s">
        <v>17</v>
      </c>
      <c r="F245" s="25" t="s">
        <v>18</v>
      </c>
      <c r="G245" s="25" t="s">
        <v>42</v>
      </c>
      <c r="H245" s="49" t="s">
        <v>1190</v>
      </c>
      <c r="I245" s="49" t="s">
        <v>1191</v>
      </c>
      <c r="J245" s="49">
        <v>9.0</v>
      </c>
      <c r="K245" s="36">
        <v>1.1043E7</v>
      </c>
      <c r="L245" s="49" t="s">
        <v>840</v>
      </c>
      <c r="M245" s="75">
        <v>8.0</v>
      </c>
      <c r="N245" s="77"/>
      <c r="O245" s="20"/>
      <c r="P245" s="20"/>
      <c r="Q245" s="20"/>
      <c r="R245" s="20"/>
      <c r="S245" s="20"/>
    </row>
    <row r="246">
      <c r="A246" s="76" t="s">
        <v>1192</v>
      </c>
      <c r="B246" s="97">
        <v>46047.0</v>
      </c>
      <c r="C246" s="76" t="s">
        <v>1193</v>
      </c>
      <c r="D246" s="99" t="s">
        <v>1194</v>
      </c>
      <c r="E246" s="25" t="s">
        <v>17</v>
      </c>
      <c r="F246" s="25" t="s">
        <v>129</v>
      </c>
      <c r="G246" s="15" t="s">
        <v>42</v>
      </c>
      <c r="H246" s="76" t="s">
        <v>758</v>
      </c>
      <c r="I246" s="10"/>
      <c r="J246" s="76">
        <v>2.0</v>
      </c>
      <c r="K246" s="19"/>
      <c r="L246" s="76" t="s">
        <v>514</v>
      </c>
      <c r="M246" s="84">
        <v>8.0</v>
      </c>
      <c r="N246" s="85"/>
      <c r="O246" s="20"/>
      <c r="P246" s="20"/>
      <c r="Q246" s="20"/>
      <c r="R246" s="20"/>
      <c r="S246" s="20"/>
    </row>
    <row r="247">
      <c r="A247" s="49" t="s">
        <v>1195</v>
      </c>
      <c r="B247" s="110">
        <v>46047.0</v>
      </c>
      <c r="C247" s="49" t="s">
        <v>1196</v>
      </c>
      <c r="D247" s="102" t="s">
        <v>1197</v>
      </c>
      <c r="E247" s="25" t="s">
        <v>17</v>
      </c>
      <c r="F247" s="25" t="s">
        <v>983</v>
      </c>
      <c r="G247" s="25" t="s">
        <v>42</v>
      </c>
      <c r="H247" s="49" t="s">
        <v>1198</v>
      </c>
      <c r="I247" s="49" t="s">
        <v>1199</v>
      </c>
      <c r="J247" s="49">
        <v>2.0</v>
      </c>
      <c r="K247" s="36">
        <v>6990000.0</v>
      </c>
      <c r="L247" s="49" t="s">
        <v>1200</v>
      </c>
      <c r="M247" s="75">
        <v>8.0</v>
      </c>
      <c r="N247" s="77"/>
      <c r="O247" s="20"/>
      <c r="P247" s="20"/>
      <c r="Q247" s="20"/>
      <c r="R247" s="20"/>
      <c r="S247" s="20"/>
    </row>
    <row r="248">
      <c r="A248" s="76" t="s">
        <v>1201</v>
      </c>
      <c r="B248" s="97">
        <v>46047.0</v>
      </c>
      <c r="C248" s="76" t="s">
        <v>1202</v>
      </c>
      <c r="D248" s="99" t="s">
        <v>1203</v>
      </c>
      <c r="E248" s="25" t="s">
        <v>17</v>
      </c>
      <c r="F248" s="25" t="s">
        <v>983</v>
      </c>
      <c r="G248" s="25" t="s">
        <v>42</v>
      </c>
      <c r="H248" s="10"/>
      <c r="I248" s="76" t="s">
        <v>1199</v>
      </c>
      <c r="J248" s="10"/>
      <c r="K248" s="19"/>
      <c r="L248" s="76" t="s">
        <v>1204</v>
      </c>
      <c r="M248" s="84">
        <v>8.0</v>
      </c>
      <c r="N248" s="85"/>
      <c r="O248" s="20"/>
      <c r="P248" s="20"/>
      <c r="Q248" s="20"/>
      <c r="R248" s="20"/>
      <c r="S248" s="20"/>
    </row>
    <row r="249">
      <c r="A249" s="49" t="s">
        <v>1205</v>
      </c>
      <c r="B249" s="110">
        <v>46047.0</v>
      </c>
      <c r="C249" s="49" t="s">
        <v>1206</v>
      </c>
      <c r="D249" s="102" t="s">
        <v>1207</v>
      </c>
      <c r="E249" s="25" t="s">
        <v>17</v>
      </c>
      <c r="F249" s="25" t="s">
        <v>18</v>
      </c>
      <c r="G249" s="15" t="s">
        <v>42</v>
      </c>
      <c r="H249" s="49" t="s">
        <v>1208</v>
      </c>
      <c r="I249" s="49" t="s">
        <v>1209</v>
      </c>
      <c r="J249" s="49">
        <v>2.0</v>
      </c>
      <c r="K249" s="30"/>
      <c r="L249" s="49" t="s">
        <v>514</v>
      </c>
      <c r="M249" s="75">
        <v>8.0</v>
      </c>
      <c r="N249" s="77"/>
      <c r="O249" s="20"/>
      <c r="P249" s="20"/>
      <c r="Q249" s="20"/>
      <c r="R249" s="20"/>
      <c r="S249" s="20"/>
    </row>
    <row r="250">
      <c r="A250" s="76" t="s">
        <v>1210</v>
      </c>
      <c r="B250" s="97">
        <v>46047.0</v>
      </c>
      <c r="C250" s="76" t="s">
        <v>1211</v>
      </c>
      <c r="D250" s="99" t="s">
        <v>1212</v>
      </c>
      <c r="E250" s="25" t="s">
        <v>17</v>
      </c>
      <c r="F250" s="25" t="s">
        <v>129</v>
      </c>
      <c r="G250" s="25" t="s">
        <v>29</v>
      </c>
      <c r="H250" s="76" t="s">
        <v>1213</v>
      </c>
      <c r="I250" s="76" t="s">
        <v>1214</v>
      </c>
      <c r="J250" s="10"/>
      <c r="K250" s="19"/>
      <c r="L250" s="76" t="s">
        <v>1215</v>
      </c>
      <c r="M250" s="84">
        <v>1.0</v>
      </c>
      <c r="N250" s="86" t="s">
        <v>1216</v>
      </c>
      <c r="O250" s="20"/>
      <c r="P250" s="20"/>
      <c r="Q250" s="20"/>
      <c r="R250" s="20"/>
      <c r="S250" s="20"/>
    </row>
    <row r="251">
      <c r="A251" s="49" t="s">
        <v>1217</v>
      </c>
      <c r="B251" s="110">
        <v>46047.0</v>
      </c>
      <c r="C251" s="49" t="s">
        <v>1218</v>
      </c>
      <c r="D251" s="102" t="s">
        <v>1219</v>
      </c>
      <c r="E251" s="25" t="s">
        <v>17</v>
      </c>
      <c r="F251" s="25" t="s">
        <v>129</v>
      </c>
      <c r="G251" s="25" t="s">
        <v>42</v>
      </c>
      <c r="H251" s="49" t="s">
        <v>1220</v>
      </c>
      <c r="I251" s="101">
        <v>46068.0</v>
      </c>
      <c r="J251" s="49">
        <v>4.0</v>
      </c>
      <c r="K251" s="19">
        <f>499000*4</f>
        <v>1996000</v>
      </c>
      <c r="L251" s="76" t="s">
        <v>1221</v>
      </c>
      <c r="M251" s="84">
        <v>8.0</v>
      </c>
      <c r="N251" s="85"/>
      <c r="O251" s="20"/>
      <c r="P251" s="20"/>
      <c r="Q251" s="20"/>
      <c r="R251" s="20"/>
      <c r="S251" s="20"/>
    </row>
    <row r="252">
      <c r="A252" s="76" t="s">
        <v>1222</v>
      </c>
      <c r="B252" s="97">
        <v>46048.0</v>
      </c>
      <c r="C252" s="76" t="s">
        <v>1223</v>
      </c>
      <c r="D252" s="99" t="s">
        <v>1224</v>
      </c>
      <c r="E252" s="25" t="s">
        <v>17</v>
      </c>
      <c r="F252" s="25" t="s">
        <v>129</v>
      </c>
      <c r="G252" s="15" t="s">
        <v>42</v>
      </c>
      <c r="H252" s="76" t="s">
        <v>179</v>
      </c>
      <c r="I252" s="106">
        <v>46049.0</v>
      </c>
      <c r="J252" s="76">
        <v>9.0</v>
      </c>
      <c r="K252" s="19"/>
      <c r="L252" s="76" t="s">
        <v>174</v>
      </c>
      <c r="M252" s="84">
        <v>8.0</v>
      </c>
      <c r="N252" s="85"/>
      <c r="O252" s="20"/>
      <c r="P252" s="20"/>
      <c r="Q252" s="20"/>
      <c r="R252" s="20"/>
      <c r="S252" s="20"/>
    </row>
    <row r="253">
      <c r="A253" s="49" t="s">
        <v>1225</v>
      </c>
      <c r="B253" s="110">
        <v>46048.0</v>
      </c>
      <c r="C253" s="49" t="s">
        <v>1226</v>
      </c>
      <c r="D253" s="102">
        <f>61422937349</f>
        <v>61422937349</v>
      </c>
      <c r="E253" s="25" t="s">
        <v>122</v>
      </c>
      <c r="F253" s="25" t="s">
        <v>129</v>
      </c>
      <c r="G253" s="15" t="s">
        <v>42</v>
      </c>
      <c r="H253" s="76" t="s">
        <v>1227</v>
      </c>
      <c r="I253" s="117">
        <v>46053.0</v>
      </c>
      <c r="J253" s="49">
        <v>4.0</v>
      </c>
      <c r="K253" s="36"/>
      <c r="L253" s="49" t="s">
        <v>1228</v>
      </c>
      <c r="M253" s="75">
        <v>8.0</v>
      </c>
      <c r="N253" s="77"/>
      <c r="O253" s="20"/>
      <c r="P253" s="20"/>
      <c r="Q253" s="20"/>
      <c r="R253" s="20"/>
      <c r="S253" s="20"/>
    </row>
    <row r="254">
      <c r="A254" s="76" t="s">
        <v>1229</v>
      </c>
      <c r="B254" s="97">
        <v>46048.0</v>
      </c>
      <c r="C254" s="76" t="s">
        <v>1230</v>
      </c>
      <c r="D254" s="99" t="s">
        <v>1231</v>
      </c>
      <c r="E254" s="25" t="s">
        <v>17</v>
      </c>
      <c r="F254" s="25" t="s">
        <v>18</v>
      </c>
      <c r="G254" s="25" t="s">
        <v>42</v>
      </c>
      <c r="H254" s="76" t="s">
        <v>1033</v>
      </c>
      <c r="I254" s="76" t="s">
        <v>1232</v>
      </c>
      <c r="J254" s="76">
        <v>7.0</v>
      </c>
      <c r="K254" s="19">
        <v>2.4661E7</v>
      </c>
      <c r="L254" s="76" t="s">
        <v>1233</v>
      </c>
      <c r="M254" s="84">
        <v>8.0</v>
      </c>
      <c r="N254" s="85"/>
      <c r="O254" s="20"/>
      <c r="P254" s="20"/>
      <c r="Q254" s="20"/>
      <c r="R254" s="20"/>
      <c r="S254" s="20"/>
    </row>
    <row r="255">
      <c r="A255" s="49" t="s">
        <v>1234</v>
      </c>
      <c r="B255" s="110">
        <v>46048.0</v>
      </c>
      <c r="C255" s="49" t="s">
        <v>1235</v>
      </c>
      <c r="D255" s="102" t="s">
        <v>1236</v>
      </c>
      <c r="E255" s="25" t="s">
        <v>17</v>
      </c>
      <c r="F255" s="25" t="s">
        <v>18</v>
      </c>
      <c r="G255" s="15" t="s">
        <v>42</v>
      </c>
      <c r="H255" s="23"/>
      <c r="I255" s="23"/>
      <c r="J255" s="23"/>
      <c r="K255" s="30"/>
      <c r="L255" s="49" t="s">
        <v>633</v>
      </c>
      <c r="M255" s="75">
        <v>8.0</v>
      </c>
      <c r="N255" s="77"/>
      <c r="O255" s="20"/>
      <c r="P255" s="20"/>
      <c r="Q255" s="20"/>
      <c r="R255" s="20"/>
      <c r="S255" s="20"/>
    </row>
    <row r="256">
      <c r="A256" s="76" t="s">
        <v>1237</v>
      </c>
      <c r="B256" s="97">
        <v>46048.0</v>
      </c>
      <c r="C256" s="76" t="s">
        <v>1238</v>
      </c>
      <c r="D256" s="99" t="s">
        <v>1239</v>
      </c>
      <c r="E256" s="25" t="s">
        <v>17</v>
      </c>
      <c r="F256" s="25" t="s">
        <v>18</v>
      </c>
      <c r="G256" s="15" t="s">
        <v>42</v>
      </c>
      <c r="H256" s="76" t="s">
        <v>575</v>
      </c>
      <c r="I256" s="76" t="s">
        <v>1240</v>
      </c>
      <c r="J256" s="76">
        <v>4.0</v>
      </c>
      <c r="K256" s="46"/>
      <c r="L256" s="76" t="s">
        <v>1241</v>
      </c>
      <c r="M256" s="84">
        <v>8.0</v>
      </c>
      <c r="N256" s="85"/>
      <c r="O256" s="20"/>
      <c r="P256" s="20"/>
      <c r="Q256" s="20"/>
      <c r="R256" s="20"/>
      <c r="S256" s="20"/>
    </row>
    <row r="257">
      <c r="A257" s="49" t="s">
        <v>1242</v>
      </c>
      <c r="B257" s="110">
        <v>46048.0</v>
      </c>
      <c r="C257" s="49" t="s">
        <v>1243</v>
      </c>
      <c r="D257" s="102" t="s">
        <v>1244</v>
      </c>
      <c r="E257" s="25" t="s">
        <v>17</v>
      </c>
      <c r="F257" s="25" t="s">
        <v>18</v>
      </c>
      <c r="G257" s="15" t="s">
        <v>42</v>
      </c>
      <c r="H257" s="76" t="s">
        <v>575</v>
      </c>
      <c r="I257" s="23"/>
      <c r="J257" s="49">
        <v>2.0</v>
      </c>
      <c r="K257" s="30"/>
      <c r="L257" s="49" t="s">
        <v>633</v>
      </c>
      <c r="M257" s="75">
        <v>8.0</v>
      </c>
      <c r="N257" s="77"/>
      <c r="O257" s="20"/>
      <c r="P257" s="20"/>
      <c r="Q257" s="20"/>
      <c r="R257" s="20"/>
      <c r="S257" s="20"/>
    </row>
    <row r="258">
      <c r="A258" s="76" t="s">
        <v>1245</v>
      </c>
      <c r="B258" s="97">
        <v>46049.0</v>
      </c>
      <c r="C258" s="76" t="s">
        <v>1246</v>
      </c>
      <c r="D258" s="99" t="s">
        <v>1247</v>
      </c>
      <c r="E258" s="25" t="s">
        <v>17</v>
      </c>
      <c r="F258" s="25" t="s">
        <v>18</v>
      </c>
      <c r="G258" s="25" t="s">
        <v>42</v>
      </c>
      <c r="H258" s="76" t="s">
        <v>775</v>
      </c>
      <c r="I258" s="10"/>
      <c r="J258" s="76">
        <v>5.0</v>
      </c>
      <c r="K258" s="46"/>
      <c r="L258" s="76" t="s">
        <v>1248</v>
      </c>
      <c r="M258" s="84">
        <v>8.0</v>
      </c>
      <c r="N258" s="85"/>
      <c r="O258" s="20"/>
      <c r="P258" s="20"/>
      <c r="Q258" s="20"/>
      <c r="R258" s="20"/>
      <c r="S258" s="20"/>
    </row>
    <row r="259">
      <c r="A259" s="49" t="s">
        <v>1249</v>
      </c>
      <c r="B259" s="97">
        <v>46049.0</v>
      </c>
      <c r="C259" s="49" t="s">
        <v>1250</v>
      </c>
      <c r="D259" s="102" t="s">
        <v>1251</v>
      </c>
      <c r="E259" s="25" t="s">
        <v>17</v>
      </c>
      <c r="F259" s="25" t="s">
        <v>18</v>
      </c>
      <c r="G259" s="15" t="s">
        <v>19</v>
      </c>
      <c r="H259" s="49" t="s">
        <v>1252</v>
      </c>
      <c r="I259" s="23"/>
      <c r="J259" s="49">
        <v>5.0</v>
      </c>
      <c r="K259" s="36">
        <v>2250000.0</v>
      </c>
      <c r="L259" s="49" t="s">
        <v>108</v>
      </c>
      <c r="M259" s="75">
        <v>7.0</v>
      </c>
      <c r="N259" s="77"/>
      <c r="O259" s="20"/>
      <c r="P259" s="20"/>
      <c r="Q259" s="20"/>
      <c r="R259" s="20"/>
      <c r="S259" s="20"/>
    </row>
    <row r="260">
      <c r="A260" s="76" t="s">
        <v>1253</v>
      </c>
      <c r="B260" s="97">
        <v>46048.0</v>
      </c>
      <c r="C260" s="76" t="s">
        <v>1254</v>
      </c>
      <c r="D260" s="99" t="s">
        <v>1255</v>
      </c>
      <c r="E260" s="25" t="s">
        <v>17</v>
      </c>
      <c r="F260" s="25" t="s">
        <v>129</v>
      </c>
      <c r="G260" s="15" t="s">
        <v>42</v>
      </c>
      <c r="H260" s="76" t="s">
        <v>123</v>
      </c>
      <c r="I260" s="118">
        <v>46103.0</v>
      </c>
      <c r="J260" s="76">
        <v>10.0</v>
      </c>
      <c r="K260" s="19"/>
      <c r="L260" s="76" t="s">
        <v>1256</v>
      </c>
      <c r="M260" s="84">
        <v>8.0</v>
      </c>
      <c r="N260" s="85"/>
      <c r="O260" s="20"/>
      <c r="P260" s="20"/>
      <c r="Q260" s="20"/>
      <c r="R260" s="20"/>
      <c r="S260" s="20"/>
    </row>
    <row r="261">
      <c r="A261" s="49" t="s">
        <v>1257</v>
      </c>
      <c r="B261" s="110">
        <v>46048.0</v>
      </c>
      <c r="C261" s="49" t="s">
        <v>1258</v>
      </c>
      <c r="D261" s="102" t="s">
        <v>1259</v>
      </c>
      <c r="E261" s="25" t="s">
        <v>17</v>
      </c>
      <c r="F261" s="25" t="s">
        <v>129</v>
      </c>
      <c r="G261" s="15" t="s">
        <v>42</v>
      </c>
      <c r="H261" s="49" t="s">
        <v>1260</v>
      </c>
      <c r="I261" s="23"/>
      <c r="J261" s="49">
        <v>6.0</v>
      </c>
      <c r="K261" s="19"/>
      <c r="L261" s="76" t="s">
        <v>514</v>
      </c>
      <c r="M261" s="84">
        <v>8.0</v>
      </c>
      <c r="N261" s="85"/>
      <c r="O261" s="20"/>
      <c r="P261" s="20"/>
      <c r="Q261" s="20"/>
      <c r="R261" s="20"/>
      <c r="S261" s="20"/>
    </row>
    <row r="262">
      <c r="A262" s="76" t="s">
        <v>1261</v>
      </c>
      <c r="B262" s="97">
        <v>46049.0</v>
      </c>
      <c r="C262" s="76" t="s">
        <v>1262</v>
      </c>
      <c r="D262" s="99" t="s">
        <v>1263</v>
      </c>
      <c r="E262" s="25" t="s">
        <v>122</v>
      </c>
      <c r="F262" s="25" t="s">
        <v>129</v>
      </c>
      <c r="G262" s="15" t="s">
        <v>42</v>
      </c>
      <c r="H262" s="76" t="s">
        <v>1264</v>
      </c>
      <c r="I262" s="10"/>
      <c r="J262" s="10"/>
      <c r="K262" s="19"/>
      <c r="L262" s="76" t="s">
        <v>1265</v>
      </c>
      <c r="M262" s="84">
        <v>8.0</v>
      </c>
      <c r="N262" s="85"/>
      <c r="O262" s="20"/>
      <c r="P262" s="20"/>
      <c r="Q262" s="20"/>
      <c r="R262" s="20"/>
      <c r="S262" s="20"/>
    </row>
    <row r="263">
      <c r="A263" s="49" t="s">
        <v>1266</v>
      </c>
      <c r="B263" s="110">
        <v>46049.0</v>
      </c>
      <c r="C263" s="102" t="s">
        <v>1267</v>
      </c>
      <c r="D263" s="102" t="s">
        <v>1268</v>
      </c>
      <c r="E263" s="25" t="s">
        <v>17</v>
      </c>
      <c r="F263" s="25" t="s">
        <v>18</v>
      </c>
      <c r="G263" s="25" t="s">
        <v>42</v>
      </c>
      <c r="H263" s="49" t="s">
        <v>1269</v>
      </c>
      <c r="I263" s="49" t="s">
        <v>1270</v>
      </c>
      <c r="J263" s="49">
        <v>15.0</v>
      </c>
      <c r="K263" s="36">
        <v>3900000.0</v>
      </c>
      <c r="L263" s="49" t="s">
        <v>158</v>
      </c>
      <c r="M263" s="75">
        <v>8.0</v>
      </c>
      <c r="N263" s="104" t="s">
        <v>1271</v>
      </c>
      <c r="O263" s="20"/>
      <c r="P263" s="20"/>
      <c r="Q263" s="20"/>
      <c r="R263" s="20"/>
      <c r="S263" s="20"/>
    </row>
    <row r="264">
      <c r="A264" s="76" t="s">
        <v>1272</v>
      </c>
      <c r="B264" s="97">
        <v>46049.0</v>
      </c>
      <c r="C264" s="76" t="s">
        <v>1273</v>
      </c>
      <c r="D264" s="99" t="s">
        <v>1274</v>
      </c>
      <c r="E264" s="25" t="s">
        <v>17</v>
      </c>
      <c r="F264" s="25" t="s">
        <v>129</v>
      </c>
      <c r="G264" s="15" t="s">
        <v>42</v>
      </c>
      <c r="H264" s="76" t="s">
        <v>1275</v>
      </c>
      <c r="I264" s="76" t="s">
        <v>1276</v>
      </c>
      <c r="J264" s="76">
        <v>4.0</v>
      </c>
      <c r="K264" s="19"/>
      <c r="L264" s="76" t="s">
        <v>1228</v>
      </c>
      <c r="M264" s="84">
        <v>8.0</v>
      </c>
      <c r="N264" s="85"/>
      <c r="O264" s="20"/>
      <c r="P264" s="20"/>
      <c r="Q264" s="20"/>
      <c r="R264" s="20"/>
      <c r="S264" s="20"/>
    </row>
    <row r="265">
      <c r="A265" s="49" t="s">
        <v>1277</v>
      </c>
      <c r="B265" s="110">
        <v>46050.0</v>
      </c>
      <c r="C265" s="49" t="s">
        <v>1278</v>
      </c>
      <c r="D265" s="102" t="s">
        <v>1279</v>
      </c>
      <c r="E265" s="25" t="s">
        <v>17</v>
      </c>
      <c r="F265" s="25" t="s">
        <v>129</v>
      </c>
      <c r="G265" s="15" t="s">
        <v>42</v>
      </c>
      <c r="H265" s="49" t="s">
        <v>1280</v>
      </c>
      <c r="I265" s="117">
        <v>46053.0</v>
      </c>
      <c r="J265" s="49">
        <v>2.0</v>
      </c>
      <c r="K265" s="36"/>
      <c r="L265" s="49" t="s">
        <v>174</v>
      </c>
      <c r="M265" s="75">
        <v>8.0</v>
      </c>
      <c r="N265" s="77"/>
      <c r="O265" s="20"/>
      <c r="P265" s="20"/>
      <c r="Q265" s="20"/>
      <c r="R265" s="20"/>
      <c r="S265" s="20"/>
    </row>
    <row r="266">
      <c r="A266" s="76" t="s">
        <v>1281</v>
      </c>
      <c r="B266" s="97">
        <v>46050.0</v>
      </c>
      <c r="C266" s="76" t="s">
        <v>1282</v>
      </c>
      <c r="D266" s="99" t="s">
        <v>1283</v>
      </c>
      <c r="E266" s="25" t="s">
        <v>17</v>
      </c>
      <c r="F266" s="25" t="s">
        <v>18</v>
      </c>
      <c r="G266" s="25" t="s">
        <v>42</v>
      </c>
      <c r="H266" s="76" t="s">
        <v>116</v>
      </c>
      <c r="I266" s="76" t="s">
        <v>1284</v>
      </c>
      <c r="J266" s="76">
        <v>30.0</v>
      </c>
      <c r="K266" s="19">
        <v>6.36E7</v>
      </c>
      <c r="L266" s="76" t="s">
        <v>1285</v>
      </c>
      <c r="M266" s="84">
        <v>8.0</v>
      </c>
      <c r="N266" s="86" t="s">
        <v>1286</v>
      </c>
      <c r="O266" s="20"/>
      <c r="P266" s="20"/>
      <c r="Q266" s="20"/>
      <c r="R266" s="20"/>
      <c r="S266" s="20"/>
    </row>
    <row r="267">
      <c r="A267" s="49" t="s">
        <v>1287</v>
      </c>
      <c r="B267" s="110">
        <v>46050.0</v>
      </c>
      <c r="C267" s="49" t="s">
        <v>1288</v>
      </c>
      <c r="D267" s="102" t="s">
        <v>1289</v>
      </c>
      <c r="E267" s="25" t="s">
        <v>17</v>
      </c>
      <c r="F267" s="25" t="s">
        <v>129</v>
      </c>
      <c r="G267" s="15" t="s">
        <v>42</v>
      </c>
      <c r="H267" s="49" t="s">
        <v>1290</v>
      </c>
      <c r="I267" s="49" t="s">
        <v>1291</v>
      </c>
      <c r="J267" s="23"/>
      <c r="K267" s="36"/>
      <c r="L267" s="49" t="s">
        <v>1292</v>
      </c>
      <c r="M267" s="75">
        <v>8.0</v>
      </c>
      <c r="N267" s="77"/>
      <c r="O267" s="20"/>
      <c r="P267" s="20"/>
      <c r="Q267" s="20"/>
      <c r="R267" s="20"/>
      <c r="S267" s="20"/>
    </row>
    <row r="268">
      <c r="A268" s="76" t="s">
        <v>1293</v>
      </c>
      <c r="B268" s="97">
        <v>46050.0</v>
      </c>
      <c r="C268" s="76" t="s">
        <v>1294</v>
      </c>
      <c r="D268" s="99" t="s">
        <v>1295</v>
      </c>
      <c r="E268" s="25" t="s">
        <v>17</v>
      </c>
      <c r="F268" s="25" t="s">
        <v>129</v>
      </c>
      <c r="G268" s="25" t="s">
        <v>79</v>
      </c>
      <c r="H268" s="76" t="s">
        <v>277</v>
      </c>
      <c r="I268" s="118">
        <v>46060.0</v>
      </c>
      <c r="J268" s="76">
        <v>6.0</v>
      </c>
      <c r="K268" s="19">
        <v>2800000.0</v>
      </c>
      <c r="L268" s="76" t="s">
        <v>135</v>
      </c>
      <c r="M268" s="84">
        <v>99.0</v>
      </c>
      <c r="N268" s="85"/>
      <c r="O268" s="20"/>
      <c r="P268" s="20"/>
      <c r="Q268" s="20"/>
      <c r="R268" s="20"/>
      <c r="S268" s="20"/>
    </row>
    <row r="269">
      <c r="A269" s="49" t="s">
        <v>1296</v>
      </c>
      <c r="B269" s="110">
        <v>46050.0</v>
      </c>
      <c r="C269" s="49" t="s">
        <v>1297</v>
      </c>
      <c r="D269" s="102" t="s">
        <v>1298</v>
      </c>
      <c r="E269" s="25" t="s">
        <v>122</v>
      </c>
      <c r="F269" s="25" t="s">
        <v>129</v>
      </c>
      <c r="G269" s="15" t="s">
        <v>42</v>
      </c>
      <c r="H269" s="49" t="s">
        <v>462</v>
      </c>
      <c r="I269" s="49" t="s">
        <v>1299</v>
      </c>
      <c r="J269" s="49">
        <v>30.0</v>
      </c>
      <c r="K269" s="36"/>
      <c r="L269" s="49" t="s">
        <v>1300</v>
      </c>
      <c r="M269" s="75">
        <v>8.0</v>
      </c>
      <c r="N269" s="77"/>
      <c r="O269" s="20"/>
      <c r="P269" s="20"/>
      <c r="Q269" s="20"/>
      <c r="R269" s="20"/>
      <c r="S269" s="20"/>
    </row>
    <row r="270">
      <c r="A270" s="76" t="s">
        <v>1301</v>
      </c>
      <c r="B270" s="97">
        <v>46050.0</v>
      </c>
      <c r="C270" s="76" t="s">
        <v>1302</v>
      </c>
      <c r="D270" s="99" t="s">
        <v>1303</v>
      </c>
      <c r="E270" s="25" t="s">
        <v>17</v>
      </c>
      <c r="F270" s="25" t="s">
        <v>129</v>
      </c>
      <c r="G270" s="25" t="s">
        <v>42</v>
      </c>
      <c r="H270" s="76" t="s">
        <v>427</v>
      </c>
      <c r="I270" s="118">
        <v>46108.0</v>
      </c>
      <c r="J270" s="76">
        <v>5.0</v>
      </c>
      <c r="K270" s="19">
        <v>2415000.0</v>
      </c>
      <c r="L270" s="76" t="s">
        <v>1304</v>
      </c>
      <c r="M270" s="84">
        <v>8.0</v>
      </c>
      <c r="N270" s="105" t="s">
        <v>1305</v>
      </c>
      <c r="O270" s="20"/>
      <c r="P270" s="20"/>
      <c r="Q270" s="20"/>
      <c r="R270" s="20"/>
      <c r="S270" s="20"/>
    </row>
    <row r="271">
      <c r="A271" s="49" t="s">
        <v>1306</v>
      </c>
      <c r="B271" s="110">
        <v>46050.0</v>
      </c>
      <c r="C271" s="49" t="s">
        <v>1307</v>
      </c>
      <c r="D271" s="102" t="s">
        <v>1308</v>
      </c>
      <c r="E271" s="25" t="s">
        <v>17</v>
      </c>
      <c r="F271" s="25" t="s">
        <v>18</v>
      </c>
      <c r="G271" s="25" t="s">
        <v>42</v>
      </c>
      <c r="H271" s="49" t="s">
        <v>1309</v>
      </c>
      <c r="I271" s="49" t="s">
        <v>1310</v>
      </c>
      <c r="J271" s="23"/>
      <c r="K271" s="30"/>
      <c r="L271" s="49" t="s">
        <v>1311</v>
      </c>
      <c r="M271" s="75">
        <v>8.0</v>
      </c>
      <c r="N271" s="77"/>
      <c r="O271" s="20"/>
      <c r="P271" s="20"/>
      <c r="Q271" s="20"/>
      <c r="R271" s="20"/>
      <c r="S271" s="20"/>
    </row>
    <row r="272">
      <c r="A272" s="76" t="s">
        <v>1312</v>
      </c>
      <c r="B272" s="97">
        <v>46051.0</v>
      </c>
      <c r="C272" s="76" t="s">
        <v>1313</v>
      </c>
      <c r="D272" s="99" t="s">
        <v>1314</v>
      </c>
      <c r="E272" s="25" t="s">
        <v>17</v>
      </c>
      <c r="F272" s="25" t="s">
        <v>18</v>
      </c>
      <c r="G272" s="25" t="s">
        <v>42</v>
      </c>
      <c r="H272" s="76" t="s">
        <v>894</v>
      </c>
      <c r="I272" s="76" t="s">
        <v>1315</v>
      </c>
      <c r="J272" s="76">
        <v>2.0</v>
      </c>
      <c r="K272" s="19">
        <v>6128000.0</v>
      </c>
      <c r="L272" s="76" t="s">
        <v>1316</v>
      </c>
      <c r="M272" s="84">
        <v>8.0</v>
      </c>
      <c r="N272" s="86" t="s">
        <v>1317</v>
      </c>
      <c r="O272" s="20"/>
      <c r="P272" s="20"/>
      <c r="Q272" s="20"/>
      <c r="R272" s="20"/>
      <c r="S272" s="20"/>
    </row>
    <row r="273">
      <c r="A273" s="49" t="s">
        <v>1318</v>
      </c>
      <c r="B273" s="110">
        <v>46049.0</v>
      </c>
      <c r="C273" s="49" t="s">
        <v>1319</v>
      </c>
      <c r="D273" s="102" t="s">
        <v>1320</v>
      </c>
      <c r="E273" s="25" t="s">
        <v>17</v>
      </c>
      <c r="F273" s="25" t="s">
        <v>18</v>
      </c>
      <c r="G273" s="25" t="s">
        <v>42</v>
      </c>
      <c r="H273" s="49" t="s">
        <v>1155</v>
      </c>
      <c r="I273" s="49" t="s">
        <v>1321</v>
      </c>
      <c r="J273" s="49">
        <v>5.0</v>
      </c>
      <c r="K273" s="30"/>
      <c r="L273" s="49" t="s">
        <v>1322</v>
      </c>
      <c r="M273" s="75">
        <v>8.0</v>
      </c>
      <c r="N273" s="77"/>
      <c r="O273" s="20"/>
      <c r="P273" s="20"/>
      <c r="Q273" s="20"/>
      <c r="R273" s="20"/>
      <c r="S273" s="20"/>
    </row>
    <row r="274">
      <c r="A274" s="76" t="s">
        <v>1323</v>
      </c>
      <c r="B274" s="97">
        <v>46051.0</v>
      </c>
      <c r="C274" s="76" t="s">
        <v>1324</v>
      </c>
      <c r="D274" s="99" t="s">
        <v>1325</v>
      </c>
      <c r="E274" s="25" t="s">
        <v>17</v>
      </c>
      <c r="F274" s="25" t="s">
        <v>18</v>
      </c>
      <c r="G274" s="15" t="s">
        <v>42</v>
      </c>
      <c r="H274" s="10"/>
      <c r="I274" s="10"/>
      <c r="J274" s="10"/>
      <c r="K274" s="46"/>
      <c r="L274" s="76" t="s">
        <v>1241</v>
      </c>
      <c r="M274" s="84">
        <v>8.0</v>
      </c>
      <c r="N274" s="85"/>
      <c r="O274" s="20"/>
      <c r="P274" s="20"/>
      <c r="Q274" s="20"/>
      <c r="R274" s="20"/>
      <c r="S274" s="20"/>
    </row>
    <row r="275">
      <c r="A275" s="49" t="s">
        <v>1326</v>
      </c>
      <c r="B275" s="110">
        <v>46047.0</v>
      </c>
      <c r="C275" s="49" t="s">
        <v>1327</v>
      </c>
      <c r="D275" s="102" t="s">
        <v>1328</v>
      </c>
      <c r="E275" s="25" t="s">
        <v>122</v>
      </c>
      <c r="F275" s="25" t="s">
        <v>983</v>
      </c>
      <c r="G275" s="25" t="s">
        <v>19</v>
      </c>
      <c r="H275" s="49" t="s">
        <v>462</v>
      </c>
      <c r="I275" s="49" t="s">
        <v>1329</v>
      </c>
      <c r="J275" s="49">
        <v>12.0</v>
      </c>
      <c r="K275" s="36">
        <v>1.3988E7</v>
      </c>
      <c r="L275" s="49" t="s">
        <v>108</v>
      </c>
      <c r="M275" s="75">
        <v>7.0</v>
      </c>
      <c r="N275" s="77"/>
      <c r="O275" s="20"/>
      <c r="P275" s="20"/>
      <c r="Q275" s="20"/>
      <c r="R275" s="20"/>
      <c r="S275" s="20"/>
    </row>
    <row r="276">
      <c r="A276" s="76" t="s">
        <v>1330</v>
      </c>
      <c r="B276" s="97">
        <v>46034.0</v>
      </c>
      <c r="C276" s="76" t="s">
        <v>1331</v>
      </c>
      <c r="D276" s="99" t="s">
        <v>1332</v>
      </c>
      <c r="E276" s="25" t="s">
        <v>17</v>
      </c>
      <c r="F276" s="25" t="s">
        <v>983</v>
      </c>
      <c r="G276" s="25" t="s">
        <v>19</v>
      </c>
      <c r="H276" s="76" t="s">
        <v>1198</v>
      </c>
      <c r="I276" s="76" t="s">
        <v>1333</v>
      </c>
      <c r="J276" s="76">
        <v>11.0</v>
      </c>
      <c r="K276" s="19">
        <v>9936000.0</v>
      </c>
      <c r="L276" s="76" t="s">
        <v>1334</v>
      </c>
      <c r="M276" s="84">
        <v>7.0</v>
      </c>
      <c r="N276" s="85"/>
      <c r="O276" s="20"/>
      <c r="P276" s="20"/>
      <c r="Q276" s="20"/>
      <c r="R276" s="20"/>
      <c r="S276" s="20"/>
    </row>
    <row r="277">
      <c r="A277" s="49" t="s">
        <v>1335</v>
      </c>
      <c r="B277" s="110">
        <v>46050.0</v>
      </c>
      <c r="C277" s="49" t="s">
        <v>1336</v>
      </c>
      <c r="D277" s="102" t="s">
        <v>1337</v>
      </c>
      <c r="E277" s="25" t="s">
        <v>122</v>
      </c>
      <c r="F277" s="25" t="s">
        <v>983</v>
      </c>
      <c r="G277" s="15" t="s">
        <v>42</v>
      </c>
      <c r="H277" s="49" t="s">
        <v>1338</v>
      </c>
      <c r="I277" s="23"/>
      <c r="J277" s="49">
        <v>2.0</v>
      </c>
      <c r="K277" s="36"/>
      <c r="L277" s="49" t="s">
        <v>1339</v>
      </c>
      <c r="M277" s="75">
        <v>8.0</v>
      </c>
      <c r="N277" s="77"/>
      <c r="O277" s="20"/>
      <c r="P277" s="20"/>
      <c r="Q277" s="20"/>
      <c r="R277" s="20"/>
      <c r="S277" s="20"/>
    </row>
    <row r="278">
      <c r="A278" s="76" t="s">
        <v>1340</v>
      </c>
      <c r="B278" s="97">
        <v>46050.0</v>
      </c>
      <c r="C278" s="76" t="s">
        <v>1341</v>
      </c>
      <c r="D278" s="99" t="s">
        <v>1342</v>
      </c>
      <c r="E278" s="25" t="s">
        <v>17</v>
      </c>
      <c r="F278" s="25" t="s">
        <v>983</v>
      </c>
      <c r="G278" s="25" t="s">
        <v>42</v>
      </c>
      <c r="H278" s="76" t="s">
        <v>1343</v>
      </c>
      <c r="I278" s="10"/>
      <c r="J278" s="76">
        <v>20.0</v>
      </c>
      <c r="K278" s="46"/>
      <c r="L278" s="76" t="s">
        <v>1344</v>
      </c>
      <c r="M278" s="84">
        <v>8.0</v>
      </c>
      <c r="N278" s="85"/>
      <c r="O278" s="20"/>
      <c r="P278" s="20"/>
      <c r="Q278" s="20"/>
      <c r="R278" s="20"/>
      <c r="S278" s="20"/>
    </row>
    <row r="279">
      <c r="A279" s="49" t="s">
        <v>1345</v>
      </c>
      <c r="B279" s="110">
        <v>46050.0</v>
      </c>
      <c r="C279" s="49" t="s">
        <v>1346</v>
      </c>
      <c r="D279" s="102" t="s">
        <v>1347</v>
      </c>
      <c r="E279" s="25" t="s">
        <v>122</v>
      </c>
      <c r="F279" s="25" t="s">
        <v>983</v>
      </c>
      <c r="G279" s="25" t="s">
        <v>43</v>
      </c>
      <c r="H279" s="49" t="s">
        <v>1168</v>
      </c>
      <c r="I279" s="49" t="s">
        <v>1348</v>
      </c>
      <c r="J279" s="49">
        <v>30.0</v>
      </c>
      <c r="K279" s="36">
        <v>5.355E7</v>
      </c>
      <c r="L279" s="76" t="s">
        <v>1349</v>
      </c>
      <c r="M279" s="75">
        <v>3.0</v>
      </c>
      <c r="N279" s="104" t="s">
        <v>1350</v>
      </c>
      <c r="O279" s="20"/>
      <c r="P279" s="20"/>
      <c r="Q279" s="20"/>
      <c r="R279" s="20"/>
      <c r="S279" s="20"/>
    </row>
    <row r="280">
      <c r="A280" s="76" t="s">
        <v>1351</v>
      </c>
      <c r="B280" s="97">
        <v>46051.0</v>
      </c>
      <c r="C280" s="76" t="s">
        <v>1352</v>
      </c>
      <c r="D280" s="99" t="s">
        <v>1353</v>
      </c>
      <c r="E280" s="25" t="s">
        <v>17</v>
      </c>
      <c r="F280" s="25" t="s">
        <v>983</v>
      </c>
      <c r="G280" s="25" t="s">
        <v>42</v>
      </c>
      <c r="H280" s="76" t="s">
        <v>156</v>
      </c>
      <c r="I280" s="10"/>
      <c r="J280" s="76">
        <v>11.0</v>
      </c>
      <c r="K280" s="19">
        <v>2.5135E7</v>
      </c>
      <c r="L280" s="76" t="s">
        <v>1354</v>
      </c>
      <c r="M280" s="84">
        <v>8.0</v>
      </c>
      <c r="N280" s="105" t="s">
        <v>1355</v>
      </c>
      <c r="O280" s="20"/>
      <c r="P280" s="20"/>
      <c r="Q280" s="20"/>
      <c r="R280" s="20"/>
      <c r="S280" s="20"/>
    </row>
    <row r="281">
      <c r="A281" s="49" t="s">
        <v>1356</v>
      </c>
      <c r="B281" s="110">
        <v>46051.0</v>
      </c>
      <c r="C281" s="49" t="s">
        <v>1357</v>
      </c>
      <c r="D281" s="102" t="s">
        <v>1358</v>
      </c>
      <c r="E281" s="25" t="s">
        <v>122</v>
      </c>
      <c r="F281" s="25" t="s">
        <v>129</v>
      </c>
      <c r="G281" s="25" t="s">
        <v>42</v>
      </c>
      <c r="H281" s="49" t="s">
        <v>1359</v>
      </c>
      <c r="I281" s="117">
        <v>46070.0</v>
      </c>
      <c r="J281" s="49">
        <v>2.0</v>
      </c>
      <c r="K281" s="36">
        <f>877000*2</f>
        <v>1754000</v>
      </c>
      <c r="L281" s="49" t="s">
        <v>1360</v>
      </c>
      <c r="M281" s="75">
        <v>8.0</v>
      </c>
      <c r="N281" s="77"/>
      <c r="O281" s="20"/>
      <c r="P281" s="20"/>
      <c r="Q281" s="20"/>
      <c r="R281" s="20"/>
      <c r="S281" s="20"/>
    </row>
    <row r="282">
      <c r="A282" s="76" t="s">
        <v>1361</v>
      </c>
      <c r="B282" s="97">
        <v>46051.0</v>
      </c>
      <c r="C282" s="76" t="s">
        <v>1362</v>
      </c>
      <c r="D282" s="99" t="s">
        <v>1363</v>
      </c>
      <c r="E282" s="25" t="s">
        <v>122</v>
      </c>
      <c r="F282" s="25" t="s">
        <v>129</v>
      </c>
      <c r="G282" s="25" t="s">
        <v>42</v>
      </c>
      <c r="H282" s="76" t="s">
        <v>123</v>
      </c>
      <c r="I282" s="118">
        <v>46104.0</v>
      </c>
      <c r="J282" s="76">
        <v>5.0</v>
      </c>
      <c r="K282" s="19">
        <f>2000000*6</f>
        <v>12000000</v>
      </c>
      <c r="L282" s="76" t="s">
        <v>1364</v>
      </c>
      <c r="M282" s="84">
        <v>8.0</v>
      </c>
      <c r="N282" s="85"/>
      <c r="O282" s="20"/>
      <c r="P282" s="20"/>
      <c r="Q282" s="20"/>
      <c r="R282" s="20"/>
      <c r="S282" s="20"/>
    </row>
    <row r="283">
      <c r="A283" s="49" t="s">
        <v>1365</v>
      </c>
      <c r="B283" s="110">
        <v>46051.0</v>
      </c>
      <c r="C283" s="49" t="s">
        <v>1366</v>
      </c>
      <c r="D283" s="102" t="s">
        <v>1367</v>
      </c>
      <c r="E283" s="25" t="s">
        <v>17</v>
      </c>
      <c r="F283" s="25" t="s">
        <v>129</v>
      </c>
      <c r="G283" s="15" t="s">
        <v>42</v>
      </c>
      <c r="H283" s="23"/>
      <c r="I283" s="23"/>
      <c r="J283" s="49">
        <v>20.0</v>
      </c>
      <c r="K283" s="36"/>
      <c r="L283" s="49" t="s">
        <v>1368</v>
      </c>
      <c r="M283" s="75">
        <v>8.0</v>
      </c>
      <c r="N283" s="77"/>
      <c r="O283" s="20"/>
      <c r="P283" s="20"/>
      <c r="Q283" s="20"/>
      <c r="R283" s="20"/>
      <c r="S283" s="20"/>
    </row>
    <row r="284">
      <c r="A284" s="76" t="s">
        <v>1369</v>
      </c>
      <c r="B284" s="97">
        <v>46051.0</v>
      </c>
      <c r="C284" s="76" t="s">
        <v>1370</v>
      </c>
      <c r="D284" s="99" t="s">
        <v>1371</v>
      </c>
      <c r="E284" s="25" t="s">
        <v>17</v>
      </c>
      <c r="F284" s="25" t="s">
        <v>129</v>
      </c>
      <c r="G284" s="15" t="s">
        <v>42</v>
      </c>
      <c r="H284" s="10"/>
      <c r="I284" s="10"/>
      <c r="J284" s="10"/>
      <c r="K284" s="19"/>
      <c r="L284" s="76" t="s">
        <v>1372</v>
      </c>
      <c r="M284" s="84">
        <v>8.0</v>
      </c>
      <c r="N284" s="85"/>
      <c r="O284" s="20"/>
      <c r="P284" s="20"/>
      <c r="Q284" s="20"/>
      <c r="R284" s="20"/>
      <c r="S284" s="20"/>
    </row>
    <row r="285">
      <c r="A285" s="49" t="s">
        <v>1373</v>
      </c>
      <c r="B285" s="110">
        <v>46051.0</v>
      </c>
      <c r="C285" s="49" t="s">
        <v>1374</v>
      </c>
      <c r="D285" s="102" t="s">
        <v>1375</v>
      </c>
      <c r="E285" s="25" t="s">
        <v>17</v>
      </c>
      <c r="F285" s="25" t="s">
        <v>129</v>
      </c>
      <c r="G285" s="15" t="s">
        <v>42</v>
      </c>
      <c r="H285" s="49" t="s">
        <v>1290</v>
      </c>
      <c r="I285" s="117">
        <v>46069.0</v>
      </c>
      <c r="J285" s="49">
        <v>3.0</v>
      </c>
      <c r="K285" s="36"/>
      <c r="L285" s="49" t="s">
        <v>1376</v>
      </c>
      <c r="M285" s="75">
        <v>8.0</v>
      </c>
      <c r="N285" s="77"/>
      <c r="O285" s="20"/>
      <c r="P285" s="20"/>
      <c r="Q285" s="20"/>
      <c r="R285" s="20"/>
      <c r="S285" s="20"/>
    </row>
    <row r="286">
      <c r="A286" s="76" t="s">
        <v>1377</v>
      </c>
      <c r="B286" s="97">
        <v>46051.0</v>
      </c>
      <c r="C286" s="76" t="s">
        <v>1378</v>
      </c>
      <c r="D286" s="99" t="s">
        <v>1379</v>
      </c>
      <c r="E286" s="25" t="s">
        <v>17</v>
      </c>
      <c r="F286" s="25" t="s">
        <v>129</v>
      </c>
      <c r="G286" s="15" t="s">
        <v>42</v>
      </c>
      <c r="H286" s="76" t="s">
        <v>86</v>
      </c>
      <c r="I286" s="10"/>
      <c r="J286" s="10"/>
      <c r="K286" s="19"/>
      <c r="L286" s="76" t="s">
        <v>514</v>
      </c>
      <c r="M286" s="84">
        <v>8.0</v>
      </c>
      <c r="N286" s="85"/>
      <c r="O286" s="20"/>
      <c r="P286" s="20"/>
      <c r="Q286" s="20"/>
      <c r="R286" s="20"/>
      <c r="S286" s="20"/>
    </row>
    <row r="287">
      <c r="A287" s="49" t="s">
        <v>1380</v>
      </c>
      <c r="B287" s="110">
        <v>46052.0</v>
      </c>
      <c r="C287" s="49" t="s">
        <v>1381</v>
      </c>
      <c r="D287" s="102" t="s">
        <v>1382</v>
      </c>
      <c r="E287" s="25" t="s">
        <v>17</v>
      </c>
      <c r="F287" s="25" t="s">
        <v>18</v>
      </c>
      <c r="G287" s="15" t="s">
        <v>42</v>
      </c>
      <c r="H287" s="49" t="s">
        <v>1383</v>
      </c>
      <c r="I287" s="23"/>
      <c r="J287" s="49">
        <v>2.0</v>
      </c>
      <c r="K287" s="30"/>
      <c r="L287" s="49" t="s">
        <v>1384</v>
      </c>
      <c r="M287" s="75">
        <v>8.0</v>
      </c>
      <c r="N287" s="77"/>
      <c r="O287" s="20"/>
      <c r="P287" s="20"/>
      <c r="Q287" s="20"/>
      <c r="R287" s="20"/>
      <c r="S287" s="20"/>
    </row>
    <row r="288">
      <c r="A288" s="76" t="s">
        <v>1385</v>
      </c>
      <c r="B288" s="97">
        <v>46052.0</v>
      </c>
      <c r="C288" s="76" t="s">
        <v>1386</v>
      </c>
      <c r="D288" s="99" t="s">
        <v>1387</v>
      </c>
      <c r="E288" s="25" t="s">
        <v>122</v>
      </c>
      <c r="F288" s="25" t="s">
        <v>129</v>
      </c>
      <c r="G288" s="15" t="s">
        <v>42</v>
      </c>
      <c r="H288" s="10"/>
      <c r="I288" s="10"/>
      <c r="J288" s="10"/>
      <c r="K288" s="19"/>
      <c r="L288" s="76" t="s">
        <v>1388</v>
      </c>
      <c r="M288" s="84">
        <v>8.0</v>
      </c>
      <c r="N288" s="85"/>
      <c r="O288" s="20"/>
      <c r="P288" s="20"/>
      <c r="Q288" s="20"/>
      <c r="R288" s="20"/>
      <c r="S288" s="20"/>
    </row>
    <row r="289">
      <c r="A289" s="49" t="s">
        <v>1389</v>
      </c>
      <c r="B289" s="110">
        <v>46051.0</v>
      </c>
      <c r="C289" s="49" t="s">
        <v>1390</v>
      </c>
      <c r="D289" s="102" t="s">
        <v>1391</v>
      </c>
      <c r="E289" s="25" t="s">
        <v>17</v>
      </c>
      <c r="F289" s="25" t="s">
        <v>983</v>
      </c>
      <c r="G289" s="25" t="s">
        <v>42</v>
      </c>
      <c r="H289" s="49" t="s">
        <v>1168</v>
      </c>
      <c r="I289" s="122">
        <v>46235.0</v>
      </c>
      <c r="J289" s="49">
        <v>25.0</v>
      </c>
      <c r="K289" s="36">
        <v>1.3875E7</v>
      </c>
      <c r="L289" s="49" t="s">
        <v>1360</v>
      </c>
      <c r="M289" s="75">
        <v>8.0</v>
      </c>
      <c r="N289" s="77"/>
      <c r="O289" s="20"/>
      <c r="P289" s="20"/>
      <c r="Q289" s="20"/>
      <c r="R289" s="20"/>
      <c r="S289" s="20"/>
    </row>
    <row r="290">
      <c r="A290" s="76" t="s">
        <v>1392</v>
      </c>
      <c r="B290" s="97">
        <v>46053.0</v>
      </c>
      <c r="C290" s="76" t="s">
        <v>1393</v>
      </c>
      <c r="D290" s="99" t="s">
        <v>1394</v>
      </c>
      <c r="E290" s="25" t="s">
        <v>17</v>
      </c>
      <c r="F290" s="25" t="s">
        <v>18</v>
      </c>
      <c r="G290" s="15" t="s">
        <v>42</v>
      </c>
      <c r="H290" s="76" t="s">
        <v>1395</v>
      </c>
      <c r="I290" s="76" t="s">
        <v>1396</v>
      </c>
      <c r="J290" s="76">
        <v>12.0</v>
      </c>
      <c r="K290" s="19"/>
      <c r="L290" s="76" t="s">
        <v>1397</v>
      </c>
      <c r="M290" s="84">
        <v>8.0</v>
      </c>
      <c r="N290" s="85"/>
      <c r="O290" s="20"/>
      <c r="P290" s="20"/>
      <c r="Q290" s="20"/>
      <c r="R290" s="20"/>
      <c r="S290" s="20"/>
    </row>
    <row r="291">
      <c r="A291" s="49" t="s">
        <v>1398</v>
      </c>
      <c r="B291" s="110">
        <v>46053.0</v>
      </c>
      <c r="C291" s="49" t="s">
        <v>1399</v>
      </c>
      <c r="D291" s="102" t="s">
        <v>1400</v>
      </c>
      <c r="E291" s="25" t="s">
        <v>122</v>
      </c>
      <c r="F291" s="25" t="s">
        <v>129</v>
      </c>
      <c r="G291" s="15" t="s">
        <v>42</v>
      </c>
      <c r="H291" s="23"/>
      <c r="I291" s="101">
        <v>46054.0</v>
      </c>
      <c r="J291" s="49">
        <v>2.0</v>
      </c>
      <c r="K291" s="36"/>
      <c r="L291" s="49" t="s">
        <v>1401</v>
      </c>
      <c r="M291" s="75">
        <v>8.0</v>
      </c>
      <c r="N291" s="77"/>
      <c r="O291" s="20"/>
      <c r="P291" s="20"/>
      <c r="Q291" s="20"/>
      <c r="R291" s="20"/>
      <c r="S291" s="20"/>
    </row>
    <row r="292">
      <c r="A292" s="76" t="s">
        <v>1402</v>
      </c>
      <c r="B292" s="97">
        <v>46053.0</v>
      </c>
      <c r="C292" s="76" t="s">
        <v>1403</v>
      </c>
      <c r="D292" s="99" t="s">
        <v>1404</v>
      </c>
      <c r="E292" s="25" t="s">
        <v>17</v>
      </c>
      <c r="F292" s="25" t="s">
        <v>18</v>
      </c>
      <c r="G292" s="25" t="s">
        <v>42</v>
      </c>
      <c r="H292" s="10"/>
      <c r="I292" s="10"/>
      <c r="J292" s="10"/>
      <c r="K292" s="46"/>
      <c r="L292" s="76" t="s">
        <v>1405</v>
      </c>
      <c r="M292" s="84">
        <v>8.0</v>
      </c>
      <c r="N292" s="85"/>
      <c r="O292" s="20"/>
      <c r="P292" s="20"/>
      <c r="Q292" s="20"/>
      <c r="R292" s="20"/>
      <c r="S292" s="20"/>
    </row>
    <row r="293">
      <c r="A293" s="49" t="s">
        <v>1406</v>
      </c>
      <c r="B293" s="110">
        <v>46052.0</v>
      </c>
      <c r="C293" s="49" t="s">
        <v>1407</v>
      </c>
      <c r="D293" s="102" t="s">
        <v>1408</v>
      </c>
      <c r="E293" s="25" t="s">
        <v>122</v>
      </c>
      <c r="F293" s="25" t="s">
        <v>983</v>
      </c>
      <c r="G293" s="25" t="s">
        <v>42</v>
      </c>
      <c r="H293" s="49" t="s">
        <v>1409</v>
      </c>
      <c r="I293" s="49" t="s">
        <v>1185</v>
      </c>
      <c r="J293" s="49">
        <v>4.0</v>
      </c>
      <c r="K293" s="36">
        <v>1.178E7</v>
      </c>
      <c r="L293" s="49" t="s">
        <v>1410</v>
      </c>
      <c r="M293" s="75">
        <v>8.0</v>
      </c>
      <c r="N293" s="104" t="s">
        <v>1411</v>
      </c>
      <c r="O293" s="20"/>
      <c r="P293" s="20"/>
      <c r="Q293" s="20"/>
      <c r="R293" s="20"/>
      <c r="S293" s="20"/>
    </row>
    <row r="294">
      <c r="A294" s="76" t="s">
        <v>1412</v>
      </c>
      <c r="B294" s="97">
        <v>46052.0</v>
      </c>
      <c r="C294" s="76" t="s">
        <v>1413</v>
      </c>
      <c r="D294" s="99" t="s">
        <v>1414</v>
      </c>
      <c r="E294" s="25" t="s">
        <v>122</v>
      </c>
      <c r="F294" s="25" t="s">
        <v>983</v>
      </c>
      <c r="G294" s="15" t="s">
        <v>42</v>
      </c>
      <c r="H294" s="76" t="s">
        <v>1415</v>
      </c>
      <c r="I294" s="76" t="s">
        <v>1416</v>
      </c>
      <c r="J294" s="76">
        <v>26.0</v>
      </c>
      <c r="K294" s="19"/>
      <c r="L294" s="76" t="s">
        <v>1417</v>
      </c>
      <c r="M294" s="84">
        <v>8.0</v>
      </c>
      <c r="N294" s="85"/>
      <c r="O294" s="20"/>
      <c r="P294" s="20"/>
      <c r="Q294" s="20"/>
      <c r="R294" s="20"/>
      <c r="S294" s="20"/>
    </row>
    <row r="295">
      <c r="A295" s="49" t="s">
        <v>1418</v>
      </c>
      <c r="B295" s="110">
        <v>46053.0</v>
      </c>
      <c r="C295" s="49" t="s">
        <v>1419</v>
      </c>
      <c r="D295" s="102" t="s">
        <v>1420</v>
      </c>
      <c r="E295" s="25" t="s">
        <v>122</v>
      </c>
      <c r="F295" s="25" t="s">
        <v>129</v>
      </c>
      <c r="G295" s="25" t="s">
        <v>42</v>
      </c>
      <c r="H295" s="23"/>
      <c r="I295" s="49" t="s">
        <v>1421</v>
      </c>
      <c r="J295" s="23"/>
      <c r="K295" s="19"/>
      <c r="L295" s="76" t="s">
        <v>1422</v>
      </c>
      <c r="M295" s="84">
        <v>8.0</v>
      </c>
      <c r="N295" s="85"/>
      <c r="O295" s="20"/>
      <c r="P295" s="20"/>
      <c r="Q295" s="20"/>
      <c r="R295" s="20"/>
      <c r="S295" s="20"/>
    </row>
    <row r="296">
      <c r="A296" s="76" t="s">
        <v>1423</v>
      </c>
      <c r="B296" s="110">
        <v>46053.0</v>
      </c>
      <c r="C296" s="76" t="s">
        <v>1424</v>
      </c>
      <c r="D296" s="99" t="s">
        <v>1425</v>
      </c>
      <c r="E296" s="25" t="s">
        <v>128</v>
      </c>
      <c r="F296" s="25" t="s">
        <v>129</v>
      </c>
      <c r="G296" s="25" t="s">
        <v>19</v>
      </c>
      <c r="H296" s="76" t="s">
        <v>747</v>
      </c>
      <c r="I296" s="118">
        <v>46175.0</v>
      </c>
      <c r="J296" s="76">
        <v>3.0</v>
      </c>
      <c r="K296" s="19"/>
      <c r="L296" s="76" t="s">
        <v>1426</v>
      </c>
      <c r="M296" s="84">
        <v>7.0</v>
      </c>
      <c r="N296" s="86" t="s">
        <v>1427</v>
      </c>
      <c r="O296" s="20"/>
      <c r="P296" s="20"/>
      <c r="Q296" s="20"/>
      <c r="R296" s="20"/>
      <c r="S296" s="20"/>
    </row>
    <row r="297">
      <c r="A297" s="49" t="s">
        <v>1428</v>
      </c>
      <c r="B297" s="110">
        <v>46053.0</v>
      </c>
      <c r="C297" s="49" t="s">
        <v>1429</v>
      </c>
      <c r="D297" s="102">
        <f>33617373308</f>
        <v>33617373308</v>
      </c>
      <c r="E297" s="25" t="s">
        <v>17</v>
      </c>
      <c r="F297" s="25" t="s">
        <v>18</v>
      </c>
      <c r="G297" s="15" t="s">
        <v>42</v>
      </c>
      <c r="H297" s="49" t="s">
        <v>1430</v>
      </c>
      <c r="I297" s="23"/>
      <c r="J297" s="23"/>
      <c r="K297" s="30"/>
      <c r="L297" s="49" t="s">
        <v>1431</v>
      </c>
      <c r="M297" s="75">
        <v>8.0</v>
      </c>
      <c r="N297" s="77"/>
      <c r="O297" s="20"/>
      <c r="P297" s="20"/>
      <c r="Q297" s="20"/>
      <c r="R297" s="20"/>
      <c r="S297" s="20"/>
    </row>
    <row r="298">
      <c r="A298" s="76" t="s">
        <v>1432</v>
      </c>
      <c r="B298" s="97">
        <v>46053.0</v>
      </c>
      <c r="C298" s="49" t="s">
        <v>1433</v>
      </c>
      <c r="D298" s="102" t="s">
        <v>1434</v>
      </c>
      <c r="E298" s="25" t="s">
        <v>17</v>
      </c>
      <c r="F298" s="25" t="s">
        <v>18</v>
      </c>
      <c r="G298" s="25" t="s">
        <v>42</v>
      </c>
      <c r="H298" s="10"/>
      <c r="I298" s="10"/>
      <c r="J298" s="10"/>
      <c r="K298" s="46"/>
      <c r="L298" s="76" t="s">
        <v>1435</v>
      </c>
      <c r="M298" s="84">
        <v>8.0</v>
      </c>
      <c r="N298" s="85"/>
      <c r="O298" s="20"/>
      <c r="P298" s="20"/>
      <c r="Q298" s="20"/>
      <c r="R298" s="20"/>
      <c r="S298" s="20"/>
    </row>
    <row r="299">
      <c r="A299" s="49" t="s">
        <v>1436</v>
      </c>
      <c r="B299" s="119">
        <v>46054.0</v>
      </c>
      <c r="C299" s="49" t="s">
        <v>1437</v>
      </c>
      <c r="D299" s="102" t="s">
        <v>1438</v>
      </c>
      <c r="E299" s="25" t="s">
        <v>122</v>
      </c>
      <c r="F299" s="25" t="s">
        <v>129</v>
      </c>
      <c r="G299" s="25" t="s">
        <v>42</v>
      </c>
      <c r="H299" s="49" t="s">
        <v>1439</v>
      </c>
      <c r="I299" s="49" t="s">
        <v>1044</v>
      </c>
      <c r="J299" s="49">
        <v>36.0</v>
      </c>
      <c r="K299" s="36">
        <f>2400000*36</f>
        <v>86400000</v>
      </c>
      <c r="L299" s="49" t="s">
        <v>715</v>
      </c>
      <c r="M299" s="75">
        <v>8.0</v>
      </c>
      <c r="N299" s="77"/>
      <c r="O299" s="20"/>
      <c r="P299" s="20"/>
      <c r="Q299" s="20"/>
      <c r="R299" s="20"/>
      <c r="S299" s="20"/>
    </row>
    <row r="300">
      <c r="A300" s="76" t="s">
        <v>1440</v>
      </c>
      <c r="B300" s="97">
        <v>46054.0</v>
      </c>
      <c r="C300" s="76" t="s">
        <v>1441</v>
      </c>
      <c r="D300" s="99" t="s">
        <v>1442</v>
      </c>
      <c r="E300" s="25" t="s">
        <v>17</v>
      </c>
      <c r="F300" s="25" t="s">
        <v>129</v>
      </c>
      <c r="G300" s="25" t="s">
        <v>79</v>
      </c>
      <c r="H300" s="76" t="s">
        <v>1443</v>
      </c>
      <c r="I300" s="118">
        <v>46104.0</v>
      </c>
      <c r="J300" s="76">
        <v>5.0</v>
      </c>
      <c r="K300" s="19">
        <v>2000000.0</v>
      </c>
      <c r="L300" s="76" t="s">
        <v>295</v>
      </c>
      <c r="M300" s="84">
        <v>99.0</v>
      </c>
      <c r="N300" s="105" t="s">
        <v>1444</v>
      </c>
      <c r="O300" s="20"/>
      <c r="P300" s="20"/>
      <c r="Q300" s="20"/>
      <c r="R300" s="20"/>
      <c r="S300" s="20"/>
    </row>
    <row r="301">
      <c r="A301" s="49" t="s">
        <v>1445</v>
      </c>
      <c r="B301" s="110">
        <v>46023.0</v>
      </c>
      <c r="C301" s="49" t="s">
        <v>1446</v>
      </c>
      <c r="D301" s="102" t="s">
        <v>1447</v>
      </c>
      <c r="E301" s="25" t="s">
        <v>17</v>
      </c>
      <c r="F301" s="25" t="s">
        <v>18</v>
      </c>
      <c r="G301" s="25" t="s">
        <v>19</v>
      </c>
      <c r="H301" s="49" t="s">
        <v>1448</v>
      </c>
      <c r="I301" s="101">
        <v>46172.0</v>
      </c>
      <c r="J301" s="49">
        <v>4.0</v>
      </c>
      <c r="K301" s="36">
        <v>3708000.0</v>
      </c>
      <c r="L301" s="49" t="s">
        <v>1449</v>
      </c>
      <c r="M301" s="75">
        <v>7.0</v>
      </c>
      <c r="N301" s="104" t="s">
        <v>1450</v>
      </c>
      <c r="O301" s="20"/>
      <c r="P301" s="20"/>
      <c r="Q301" s="20"/>
      <c r="R301" s="20"/>
      <c r="S301" s="20"/>
    </row>
    <row r="302">
      <c r="A302" s="76" t="s">
        <v>1451</v>
      </c>
      <c r="B302" s="97">
        <v>46054.0</v>
      </c>
      <c r="C302" s="76" t="s">
        <v>1452</v>
      </c>
      <c r="D302" s="99" t="s">
        <v>1453</v>
      </c>
      <c r="E302" s="25" t="s">
        <v>122</v>
      </c>
      <c r="F302" s="25" t="s">
        <v>983</v>
      </c>
      <c r="G302" s="15" t="s">
        <v>42</v>
      </c>
      <c r="H302" s="10"/>
      <c r="I302" s="76" t="s">
        <v>1454</v>
      </c>
      <c r="J302" s="10"/>
      <c r="K302" s="19"/>
      <c r="L302" s="76" t="s">
        <v>514</v>
      </c>
      <c r="M302" s="84">
        <v>8.0</v>
      </c>
      <c r="N302" s="85"/>
      <c r="O302" s="20"/>
      <c r="P302" s="20"/>
      <c r="Q302" s="20"/>
      <c r="R302" s="20"/>
      <c r="S302" s="20"/>
    </row>
    <row r="303">
      <c r="A303" s="49" t="s">
        <v>1455</v>
      </c>
      <c r="B303" s="110">
        <v>46054.0</v>
      </c>
      <c r="C303" s="49" t="s">
        <v>1456</v>
      </c>
      <c r="D303" s="102" t="s">
        <v>1457</v>
      </c>
      <c r="E303" s="25" t="s">
        <v>122</v>
      </c>
      <c r="F303" s="25" t="s">
        <v>129</v>
      </c>
      <c r="G303" s="25" t="s">
        <v>42</v>
      </c>
      <c r="H303" s="23"/>
      <c r="I303" s="49" t="s">
        <v>1458</v>
      </c>
      <c r="J303" s="23"/>
      <c r="K303" s="36"/>
      <c r="L303" s="49" t="s">
        <v>1459</v>
      </c>
      <c r="M303" s="75">
        <v>8.0</v>
      </c>
      <c r="N303" s="77"/>
      <c r="O303" s="20"/>
      <c r="P303" s="20"/>
      <c r="Q303" s="20"/>
      <c r="R303" s="20"/>
      <c r="S303" s="20"/>
    </row>
    <row r="304">
      <c r="A304" s="76" t="s">
        <v>1460</v>
      </c>
      <c r="B304" s="97">
        <v>46055.0</v>
      </c>
      <c r="C304" s="76" t="s">
        <v>1461</v>
      </c>
      <c r="D304" s="99" t="s">
        <v>1462</v>
      </c>
      <c r="E304" s="25" t="s">
        <v>17</v>
      </c>
      <c r="F304" s="25" t="s">
        <v>18</v>
      </c>
      <c r="G304" s="15" t="s">
        <v>42</v>
      </c>
      <c r="H304" s="76" t="s">
        <v>1155</v>
      </c>
      <c r="I304" s="118">
        <v>46117.0</v>
      </c>
      <c r="J304" s="76">
        <v>4.0</v>
      </c>
      <c r="K304" s="46"/>
      <c r="L304" s="76" t="s">
        <v>1463</v>
      </c>
      <c r="M304" s="84">
        <v>8.0</v>
      </c>
      <c r="N304" s="85"/>
      <c r="O304" s="20"/>
      <c r="P304" s="20"/>
      <c r="Q304" s="20"/>
      <c r="R304" s="20"/>
      <c r="S304" s="20"/>
    </row>
    <row r="305">
      <c r="A305" s="49" t="s">
        <v>1464</v>
      </c>
      <c r="B305" s="110">
        <v>46055.0</v>
      </c>
      <c r="C305" s="49" t="s">
        <v>1465</v>
      </c>
      <c r="D305" s="102" t="s">
        <v>1466</v>
      </c>
      <c r="E305" s="25" t="s">
        <v>122</v>
      </c>
      <c r="F305" s="25" t="s">
        <v>129</v>
      </c>
      <c r="G305" s="25" t="s">
        <v>42</v>
      </c>
      <c r="H305" s="49" t="s">
        <v>1467</v>
      </c>
      <c r="I305" s="49" t="s">
        <v>1468</v>
      </c>
      <c r="J305" s="49">
        <v>3.0</v>
      </c>
      <c r="K305" s="36">
        <f>2200000*3</f>
        <v>6600000</v>
      </c>
      <c r="L305" s="49" t="s">
        <v>1469</v>
      </c>
      <c r="M305" s="75">
        <v>8.0</v>
      </c>
      <c r="N305" s="104" t="s">
        <v>1470</v>
      </c>
      <c r="O305" s="20"/>
      <c r="P305" s="20"/>
      <c r="Q305" s="20"/>
      <c r="R305" s="20"/>
      <c r="S305" s="20"/>
    </row>
    <row r="306">
      <c r="A306" s="76" t="s">
        <v>1471</v>
      </c>
      <c r="B306" s="97">
        <v>46055.0</v>
      </c>
      <c r="C306" s="76" t="s">
        <v>1472</v>
      </c>
      <c r="D306" s="99" t="s">
        <v>1473</v>
      </c>
      <c r="E306" s="25" t="s">
        <v>17</v>
      </c>
      <c r="F306" s="25" t="s">
        <v>129</v>
      </c>
      <c r="G306" s="15" t="s">
        <v>42</v>
      </c>
      <c r="H306" s="76" t="s">
        <v>58</v>
      </c>
      <c r="I306" s="76" t="s">
        <v>1474</v>
      </c>
      <c r="J306" s="76">
        <v>5.0</v>
      </c>
      <c r="K306" s="19"/>
      <c r="L306" s="76" t="s">
        <v>1475</v>
      </c>
      <c r="M306" s="84">
        <v>8.0</v>
      </c>
      <c r="N306" s="85"/>
      <c r="O306" s="20"/>
      <c r="P306" s="20"/>
      <c r="Q306" s="20"/>
      <c r="R306" s="20"/>
      <c r="S306" s="20"/>
    </row>
    <row r="307">
      <c r="A307" s="49" t="s">
        <v>1476</v>
      </c>
      <c r="B307" s="110">
        <v>46055.0</v>
      </c>
      <c r="C307" s="49" t="s">
        <v>1477</v>
      </c>
      <c r="D307" s="102" t="s">
        <v>1478</v>
      </c>
      <c r="E307" s="25" t="s">
        <v>17</v>
      </c>
      <c r="F307" s="25" t="s">
        <v>129</v>
      </c>
      <c r="G307" s="15" t="s">
        <v>42</v>
      </c>
      <c r="H307" s="49" t="s">
        <v>1252</v>
      </c>
      <c r="I307" s="117">
        <v>46057.0</v>
      </c>
      <c r="J307" s="49">
        <v>2.0</v>
      </c>
      <c r="K307" s="36"/>
      <c r="L307" s="49" t="s">
        <v>1479</v>
      </c>
      <c r="M307" s="75">
        <v>8.0</v>
      </c>
      <c r="N307" s="77"/>
      <c r="O307" s="20"/>
      <c r="P307" s="20"/>
      <c r="Q307" s="20"/>
      <c r="R307" s="20"/>
      <c r="S307" s="20"/>
    </row>
    <row r="308">
      <c r="A308" s="76" t="s">
        <v>1480</v>
      </c>
      <c r="B308" s="97">
        <v>46055.0</v>
      </c>
      <c r="C308" s="76" t="s">
        <v>1481</v>
      </c>
      <c r="D308" s="99" t="s">
        <v>1482</v>
      </c>
      <c r="E308" s="25" t="s">
        <v>122</v>
      </c>
      <c r="F308" s="25" t="s">
        <v>129</v>
      </c>
      <c r="G308" s="25" t="s">
        <v>42</v>
      </c>
      <c r="H308" s="76" t="s">
        <v>1483</v>
      </c>
      <c r="I308" s="10"/>
      <c r="J308" s="10"/>
      <c r="K308" s="19"/>
      <c r="L308" s="76" t="s">
        <v>1484</v>
      </c>
      <c r="M308" s="84">
        <v>8.0</v>
      </c>
      <c r="N308" s="85"/>
      <c r="O308" s="20"/>
      <c r="P308" s="20"/>
      <c r="Q308" s="20"/>
      <c r="R308" s="20"/>
      <c r="S308" s="20"/>
    </row>
    <row r="309">
      <c r="A309" s="49" t="s">
        <v>1485</v>
      </c>
      <c r="B309" s="110">
        <v>46055.0</v>
      </c>
      <c r="C309" s="49" t="s">
        <v>1486</v>
      </c>
      <c r="D309" s="102" t="s">
        <v>1487</v>
      </c>
      <c r="E309" s="25" t="s">
        <v>122</v>
      </c>
      <c r="F309" s="25" t="s">
        <v>129</v>
      </c>
      <c r="G309" s="15" t="s">
        <v>19</v>
      </c>
      <c r="H309" s="23"/>
      <c r="I309" s="49" t="s">
        <v>1488</v>
      </c>
      <c r="J309" s="49">
        <v>2.0</v>
      </c>
      <c r="K309" s="36">
        <v>3000000.0</v>
      </c>
      <c r="L309" s="49"/>
      <c r="M309" s="75">
        <v>7.0</v>
      </c>
      <c r="N309" s="77"/>
      <c r="O309" s="20"/>
      <c r="P309" s="20"/>
      <c r="Q309" s="20"/>
      <c r="R309" s="20"/>
      <c r="S309" s="20"/>
    </row>
    <row r="310">
      <c r="A310" s="76" t="s">
        <v>1489</v>
      </c>
      <c r="B310" s="97">
        <v>46055.0</v>
      </c>
      <c r="C310" s="76" t="s">
        <v>1490</v>
      </c>
      <c r="D310" s="99" t="s">
        <v>1491</v>
      </c>
      <c r="E310" s="25" t="s">
        <v>122</v>
      </c>
      <c r="F310" s="25" t="s">
        <v>129</v>
      </c>
      <c r="G310" s="25" t="s">
        <v>42</v>
      </c>
      <c r="H310" s="10"/>
      <c r="I310" s="10"/>
      <c r="J310" s="10"/>
      <c r="K310" s="19"/>
      <c r="L310" s="76" t="s">
        <v>158</v>
      </c>
      <c r="M310" s="84">
        <v>8.0</v>
      </c>
      <c r="N310" s="85"/>
      <c r="O310" s="20"/>
      <c r="P310" s="20"/>
      <c r="Q310" s="20"/>
      <c r="R310" s="20"/>
      <c r="S310" s="20"/>
    </row>
    <row r="311">
      <c r="A311" s="49" t="s">
        <v>1492</v>
      </c>
      <c r="B311" s="110">
        <v>46055.0</v>
      </c>
      <c r="C311" s="49" t="s">
        <v>1493</v>
      </c>
      <c r="D311" s="102" t="s">
        <v>1494</v>
      </c>
      <c r="E311" s="25" t="s">
        <v>17</v>
      </c>
      <c r="F311" s="25" t="s">
        <v>983</v>
      </c>
      <c r="G311" s="25" t="s">
        <v>19</v>
      </c>
      <c r="H311" s="49" t="s">
        <v>1495</v>
      </c>
      <c r="I311" s="49" t="s">
        <v>1496</v>
      </c>
      <c r="J311" s="49">
        <v>4.0</v>
      </c>
      <c r="K311" s="36">
        <v>3000000.0</v>
      </c>
      <c r="L311" s="49" t="s">
        <v>108</v>
      </c>
      <c r="M311" s="75">
        <v>7.0</v>
      </c>
      <c r="N311" s="77"/>
      <c r="O311" s="20"/>
      <c r="P311" s="20"/>
      <c r="Q311" s="20"/>
      <c r="R311" s="20"/>
      <c r="S311" s="20"/>
    </row>
    <row r="312">
      <c r="A312" s="76" t="s">
        <v>1497</v>
      </c>
      <c r="B312" s="97">
        <v>46056.0</v>
      </c>
      <c r="C312" s="76" t="s">
        <v>1498</v>
      </c>
      <c r="D312" s="99" t="s">
        <v>1499</v>
      </c>
      <c r="E312" s="25" t="s">
        <v>122</v>
      </c>
      <c r="F312" s="25" t="s">
        <v>129</v>
      </c>
      <c r="G312" s="25" t="s">
        <v>79</v>
      </c>
      <c r="H312" s="76" t="s">
        <v>1500</v>
      </c>
      <c r="I312" s="76" t="s">
        <v>1501</v>
      </c>
      <c r="J312" s="76">
        <v>3.0</v>
      </c>
      <c r="K312" s="19">
        <v>4816500.0</v>
      </c>
      <c r="L312" s="76"/>
      <c r="M312" s="84">
        <v>99.0</v>
      </c>
      <c r="N312" s="85"/>
      <c r="O312" s="20"/>
      <c r="P312" s="20"/>
      <c r="Q312" s="20"/>
      <c r="R312" s="20"/>
      <c r="S312" s="20"/>
    </row>
    <row r="313">
      <c r="A313" s="49" t="s">
        <v>1502</v>
      </c>
      <c r="B313" s="110">
        <v>46056.0</v>
      </c>
      <c r="C313" s="49" t="s">
        <v>1503</v>
      </c>
      <c r="D313" s="102" t="s">
        <v>1504</v>
      </c>
      <c r="E313" s="25" t="s">
        <v>122</v>
      </c>
      <c r="F313" s="25" t="s">
        <v>129</v>
      </c>
      <c r="G313" s="25" t="s">
        <v>42</v>
      </c>
      <c r="H313" s="49" t="s">
        <v>116</v>
      </c>
      <c r="I313" s="23"/>
      <c r="J313" s="23"/>
      <c r="K313" s="36"/>
      <c r="L313" s="49" t="s">
        <v>158</v>
      </c>
      <c r="M313" s="75">
        <v>8.0</v>
      </c>
      <c r="N313" s="77"/>
      <c r="O313" s="20"/>
      <c r="P313" s="20"/>
      <c r="Q313" s="20"/>
      <c r="R313" s="20"/>
      <c r="S313" s="20"/>
    </row>
    <row r="314">
      <c r="A314" s="76" t="s">
        <v>1505</v>
      </c>
      <c r="B314" s="97">
        <v>46056.0</v>
      </c>
      <c r="C314" s="76" t="s">
        <v>1506</v>
      </c>
      <c r="D314" s="99" t="s">
        <v>1507</v>
      </c>
      <c r="E314" s="25" t="s">
        <v>122</v>
      </c>
      <c r="F314" s="25" t="s">
        <v>983</v>
      </c>
      <c r="G314" s="25" t="s">
        <v>42</v>
      </c>
      <c r="H314" s="76" t="s">
        <v>1508</v>
      </c>
      <c r="I314" s="118">
        <v>46100.0</v>
      </c>
      <c r="J314" s="76">
        <v>3.0</v>
      </c>
      <c r="K314" s="19">
        <v>1575000.0</v>
      </c>
      <c r="L314" s="76" t="s">
        <v>1509</v>
      </c>
      <c r="M314" s="84">
        <v>8.0</v>
      </c>
      <c r="N314" s="86" t="s">
        <v>1510</v>
      </c>
      <c r="O314" s="20"/>
      <c r="P314" s="20"/>
      <c r="Q314" s="20"/>
      <c r="R314" s="20"/>
      <c r="S314" s="20"/>
    </row>
    <row r="315">
      <c r="A315" s="49" t="s">
        <v>1511</v>
      </c>
      <c r="B315" s="110">
        <v>46056.0</v>
      </c>
      <c r="C315" s="49" t="s">
        <v>1512</v>
      </c>
      <c r="D315" s="102" t="s">
        <v>1513</v>
      </c>
      <c r="E315" s="25" t="s">
        <v>122</v>
      </c>
      <c r="F315" s="25" t="s">
        <v>129</v>
      </c>
      <c r="G315" s="15" t="s">
        <v>42</v>
      </c>
      <c r="H315" s="49" t="s">
        <v>116</v>
      </c>
      <c r="I315" s="49" t="s">
        <v>1514</v>
      </c>
      <c r="J315" s="49">
        <v>19.0</v>
      </c>
      <c r="K315" s="36"/>
      <c r="L315" s="49" t="s">
        <v>1515</v>
      </c>
      <c r="M315" s="75">
        <v>8.0</v>
      </c>
      <c r="N315" s="77"/>
      <c r="O315" s="20"/>
      <c r="P315" s="20"/>
      <c r="Q315" s="20"/>
      <c r="R315" s="20"/>
      <c r="S315" s="20"/>
    </row>
    <row r="316">
      <c r="A316" s="76" t="s">
        <v>1516</v>
      </c>
      <c r="B316" s="97">
        <v>46057.0</v>
      </c>
      <c r="C316" s="76" t="s">
        <v>1517</v>
      </c>
      <c r="D316" s="99" t="s">
        <v>1518</v>
      </c>
      <c r="E316" s="25" t="s">
        <v>122</v>
      </c>
      <c r="F316" s="25" t="s">
        <v>983</v>
      </c>
      <c r="G316" s="25" t="s">
        <v>34</v>
      </c>
      <c r="H316" s="76" t="s">
        <v>823</v>
      </c>
      <c r="I316" s="118">
        <v>46382.0</v>
      </c>
      <c r="J316" s="76">
        <v>4.0</v>
      </c>
      <c r="K316" s="19">
        <v>1940000.0</v>
      </c>
      <c r="L316" s="76" t="s">
        <v>1519</v>
      </c>
      <c r="M316" s="84">
        <v>2.0</v>
      </c>
      <c r="N316" s="85"/>
      <c r="O316" s="20"/>
      <c r="P316" s="20"/>
      <c r="Q316" s="20"/>
      <c r="R316" s="20"/>
      <c r="S316" s="20"/>
    </row>
    <row r="317">
      <c r="A317" s="49" t="s">
        <v>1520</v>
      </c>
      <c r="B317" s="110">
        <v>46057.0</v>
      </c>
      <c r="C317" s="49" t="s">
        <v>1521</v>
      </c>
      <c r="D317" s="102" t="s">
        <v>1522</v>
      </c>
      <c r="E317" s="25" t="s">
        <v>17</v>
      </c>
      <c r="F317" s="25" t="s">
        <v>129</v>
      </c>
      <c r="G317" s="25" t="s">
        <v>42</v>
      </c>
      <c r="H317" s="23"/>
      <c r="I317" s="23"/>
      <c r="J317" s="23"/>
      <c r="K317" s="36"/>
      <c r="L317" s="49" t="s">
        <v>1523</v>
      </c>
      <c r="M317" s="75">
        <v>8.0</v>
      </c>
      <c r="N317" s="77"/>
      <c r="O317" s="20"/>
      <c r="P317" s="20"/>
      <c r="Q317" s="20"/>
      <c r="R317" s="20"/>
      <c r="S317" s="20"/>
    </row>
    <row r="318">
      <c r="A318" s="76" t="s">
        <v>1524</v>
      </c>
      <c r="B318" s="97">
        <v>46057.0</v>
      </c>
      <c r="C318" s="76" t="s">
        <v>1525</v>
      </c>
      <c r="D318" s="99" t="s">
        <v>1526</v>
      </c>
      <c r="E318" s="25" t="s">
        <v>122</v>
      </c>
      <c r="F318" s="25" t="s">
        <v>129</v>
      </c>
      <c r="G318" s="25" t="s">
        <v>42</v>
      </c>
      <c r="H318" s="76" t="s">
        <v>1527</v>
      </c>
      <c r="I318" s="10"/>
      <c r="J318" s="10"/>
      <c r="K318" s="19"/>
      <c r="L318" s="76" t="s">
        <v>158</v>
      </c>
      <c r="M318" s="84">
        <v>8.0</v>
      </c>
      <c r="N318" s="85"/>
      <c r="O318" s="20"/>
      <c r="P318" s="20"/>
      <c r="Q318" s="20"/>
      <c r="R318" s="20"/>
      <c r="S318" s="20"/>
    </row>
    <row r="319">
      <c r="A319" s="49" t="s">
        <v>1528</v>
      </c>
      <c r="B319" s="110">
        <v>46057.0</v>
      </c>
      <c r="C319" s="49" t="s">
        <v>1529</v>
      </c>
      <c r="D319" s="102" t="s">
        <v>1530</v>
      </c>
      <c r="E319" s="25" t="s">
        <v>122</v>
      </c>
      <c r="F319" s="25" t="s">
        <v>129</v>
      </c>
      <c r="G319" s="25" t="s">
        <v>42</v>
      </c>
      <c r="H319" s="49" t="s">
        <v>1527</v>
      </c>
      <c r="I319" s="23"/>
      <c r="J319" s="49">
        <v>15.0</v>
      </c>
      <c r="K319" s="36">
        <f>350000*20</f>
        <v>7000000</v>
      </c>
      <c r="L319" s="49" t="s">
        <v>1531</v>
      </c>
      <c r="M319" s="75">
        <v>8.0</v>
      </c>
      <c r="N319" s="115" t="s">
        <v>1532</v>
      </c>
      <c r="O319" s="20"/>
      <c r="P319" s="20"/>
      <c r="Q319" s="20"/>
      <c r="R319" s="20"/>
      <c r="S319" s="20"/>
    </row>
    <row r="320">
      <c r="A320" s="76" t="s">
        <v>1533</v>
      </c>
      <c r="B320" s="97">
        <v>46057.0</v>
      </c>
      <c r="C320" s="76" t="s">
        <v>1534</v>
      </c>
      <c r="D320" s="99" t="s">
        <v>1535</v>
      </c>
      <c r="E320" s="25" t="s">
        <v>17</v>
      </c>
      <c r="F320" s="25" t="s">
        <v>129</v>
      </c>
      <c r="G320" s="25" t="s">
        <v>42</v>
      </c>
      <c r="H320" s="76" t="s">
        <v>823</v>
      </c>
      <c r="I320" s="76" t="s">
        <v>1536</v>
      </c>
      <c r="J320" s="76">
        <v>3.0</v>
      </c>
      <c r="K320" s="19"/>
      <c r="L320" s="76" t="s">
        <v>158</v>
      </c>
      <c r="M320" s="84">
        <v>8.0</v>
      </c>
      <c r="N320" s="85"/>
      <c r="O320" s="20"/>
      <c r="P320" s="20"/>
      <c r="Q320" s="20"/>
      <c r="R320" s="20"/>
      <c r="S320" s="20"/>
    </row>
    <row r="321">
      <c r="A321" s="49" t="s">
        <v>1537</v>
      </c>
      <c r="B321" s="110">
        <v>46057.0</v>
      </c>
      <c r="C321" s="49" t="s">
        <v>1538</v>
      </c>
      <c r="D321" s="102" t="s">
        <v>1539</v>
      </c>
      <c r="E321" s="25" t="s">
        <v>17</v>
      </c>
      <c r="F321" s="25" t="s">
        <v>129</v>
      </c>
      <c r="G321" s="25" t="s">
        <v>42</v>
      </c>
      <c r="H321" s="23"/>
      <c r="I321" s="23"/>
      <c r="J321" s="23"/>
      <c r="K321" s="30"/>
      <c r="L321" s="49" t="s">
        <v>158</v>
      </c>
      <c r="M321" s="50">
        <v>8.0</v>
      </c>
      <c r="N321" s="51"/>
      <c r="O321" s="20"/>
      <c r="P321" s="20"/>
      <c r="Q321" s="20"/>
      <c r="R321" s="20"/>
      <c r="S321" s="20"/>
    </row>
    <row r="322">
      <c r="A322" s="49" t="s">
        <v>1540</v>
      </c>
      <c r="B322" s="110">
        <v>46056.0</v>
      </c>
      <c r="C322" s="49" t="s">
        <v>1541</v>
      </c>
      <c r="D322" s="102" t="s">
        <v>1542</v>
      </c>
      <c r="E322" s="25" t="s">
        <v>17</v>
      </c>
      <c r="F322" s="25" t="s">
        <v>18</v>
      </c>
      <c r="G322" s="25" t="s">
        <v>42</v>
      </c>
      <c r="H322" s="49" t="s">
        <v>1543</v>
      </c>
      <c r="I322" s="49" t="s">
        <v>1544</v>
      </c>
      <c r="J322" s="49">
        <v>20.0</v>
      </c>
      <c r="K322" s="36">
        <v>1.5E7</v>
      </c>
      <c r="L322" s="49" t="s">
        <v>1545</v>
      </c>
      <c r="M322" s="75">
        <v>8.0</v>
      </c>
      <c r="N322" s="77"/>
      <c r="O322" s="20"/>
      <c r="P322" s="20"/>
      <c r="Q322" s="20"/>
      <c r="R322" s="20"/>
      <c r="S322" s="20"/>
    </row>
    <row r="323">
      <c r="A323" s="76" t="s">
        <v>1546</v>
      </c>
      <c r="B323" s="97">
        <v>46057.0</v>
      </c>
      <c r="C323" s="120">
        <v>8.3173513987E10</v>
      </c>
      <c r="D323" s="99" t="s">
        <v>1547</v>
      </c>
      <c r="E323" s="25" t="s">
        <v>17</v>
      </c>
      <c r="F323" s="25" t="s">
        <v>18</v>
      </c>
      <c r="G323" s="25" t="s">
        <v>42</v>
      </c>
      <c r="H323" s="76" t="s">
        <v>1548</v>
      </c>
      <c r="I323" s="10"/>
      <c r="J323" s="76">
        <v>1.0</v>
      </c>
      <c r="K323" s="46"/>
      <c r="L323" s="76"/>
      <c r="M323" s="84">
        <v>8.0</v>
      </c>
      <c r="N323" s="85"/>
      <c r="O323" s="20"/>
      <c r="P323" s="20"/>
      <c r="Q323" s="20"/>
      <c r="R323" s="20"/>
      <c r="S323" s="20"/>
    </row>
    <row r="324">
      <c r="A324" s="49" t="s">
        <v>1549</v>
      </c>
      <c r="B324" s="110">
        <v>46057.0</v>
      </c>
      <c r="C324" s="49" t="s">
        <v>1550</v>
      </c>
      <c r="D324" s="102" t="s">
        <v>1551</v>
      </c>
      <c r="E324" s="25" t="s">
        <v>122</v>
      </c>
      <c r="F324" s="25" t="s">
        <v>129</v>
      </c>
      <c r="G324" s="25" t="s">
        <v>42</v>
      </c>
      <c r="H324" s="49" t="s">
        <v>1552</v>
      </c>
      <c r="I324" s="101">
        <v>46101.0</v>
      </c>
      <c r="J324" s="49">
        <v>6.0</v>
      </c>
      <c r="K324" s="36">
        <f>1074000*6</f>
        <v>6444000</v>
      </c>
      <c r="L324" s="49" t="s">
        <v>1553</v>
      </c>
      <c r="M324" s="75">
        <v>8.0</v>
      </c>
      <c r="N324" s="77"/>
      <c r="O324" s="20"/>
      <c r="P324" s="20"/>
      <c r="Q324" s="20"/>
      <c r="R324" s="20"/>
      <c r="S324" s="20"/>
    </row>
    <row r="325">
      <c r="A325" s="76" t="s">
        <v>1554</v>
      </c>
      <c r="B325" s="97">
        <v>46058.0</v>
      </c>
      <c r="C325" s="76" t="s">
        <v>1555</v>
      </c>
      <c r="D325" s="99" t="s">
        <v>1556</v>
      </c>
      <c r="E325" s="25" t="s">
        <v>122</v>
      </c>
      <c r="F325" s="25" t="s">
        <v>983</v>
      </c>
      <c r="G325" s="15" t="s">
        <v>42</v>
      </c>
      <c r="H325" s="10"/>
      <c r="I325" s="10"/>
      <c r="J325" s="10"/>
      <c r="K325" s="19"/>
      <c r="L325" s="76" t="s">
        <v>1557</v>
      </c>
      <c r="M325" s="84">
        <v>8.0</v>
      </c>
      <c r="N325" s="85"/>
      <c r="O325" s="20"/>
      <c r="P325" s="20"/>
      <c r="Q325" s="20"/>
      <c r="R325" s="20"/>
      <c r="S325" s="20"/>
    </row>
    <row r="326">
      <c r="A326" s="49" t="s">
        <v>1558</v>
      </c>
      <c r="B326" s="110">
        <v>46058.0</v>
      </c>
      <c r="C326" s="49" t="s">
        <v>1559</v>
      </c>
      <c r="D326" s="102" t="s">
        <v>1560</v>
      </c>
      <c r="E326" s="25" t="s">
        <v>17</v>
      </c>
      <c r="F326" s="25" t="s">
        <v>129</v>
      </c>
      <c r="G326" s="25" t="s">
        <v>19</v>
      </c>
      <c r="H326" s="49" t="s">
        <v>144</v>
      </c>
      <c r="I326" s="101">
        <v>46104.0</v>
      </c>
      <c r="J326" s="23"/>
      <c r="K326" s="36">
        <v>2600000.0</v>
      </c>
      <c r="L326" s="49"/>
      <c r="M326" s="75">
        <v>7.0</v>
      </c>
      <c r="N326" s="77"/>
      <c r="O326" s="20"/>
      <c r="P326" s="20"/>
      <c r="Q326" s="20"/>
      <c r="R326" s="20"/>
      <c r="S326" s="20"/>
    </row>
    <row r="327">
      <c r="A327" s="76" t="s">
        <v>1561</v>
      </c>
      <c r="B327" s="97">
        <v>46058.0</v>
      </c>
      <c r="C327" s="76" t="s">
        <v>1562</v>
      </c>
      <c r="D327" s="99" t="s">
        <v>1563</v>
      </c>
      <c r="E327" s="25" t="s">
        <v>17</v>
      </c>
      <c r="F327" s="25" t="s">
        <v>18</v>
      </c>
      <c r="G327" s="25" t="s">
        <v>42</v>
      </c>
      <c r="H327" s="76" t="s">
        <v>1280</v>
      </c>
      <c r="I327" s="125">
        <v>46097.0</v>
      </c>
      <c r="J327" s="76">
        <v>3.0</v>
      </c>
      <c r="K327" s="19">
        <v>6402000.0</v>
      </c>
      <c r="L327" s="76" t="s">
        <v>1564</v>
      </c>
      <c r="M327" s="84">
        <v>8.0</v>
      </c>
      <c r="N327" s="85"/>
      <c r="O327" s="20"/>
      <c r="P327" s="20"/>
      <c r="Q327" s="20"/>
      <c r="R327" s="20"/>
      <c r="S327" s="20"/>
    </row>
    <row r="328">
      <c r="A328" s="49" t="s">
        <v>1010</v>
      </c>
      <c r="B328" s="110">
        <v>46058.0</v>
      </c>
      <c r="C328" s="49" t="s">
        <v>1565</v>
      </c>
      <c r="D328" s="102" t="s">
        <v>1566</v>
      </c>
      <c r="E328" s="25" t="s">
        <v>122</v>
      </c>
      <c r="F328" s="25" t="s">
        <v>983</v>
      </c>
      <c r="G328" s="25" t="s">
        <v>42</v>
      </c>
      <c r="H328" s="49" t="s">
        <v>260</v>
      </c>
      <c r="I328" s="49" t="s">
        <v>1567</v>
      </c>
      <c r="J328" s="49">
        <v>1.0</v>
      </c>
      <c r="K328" s="36">
        <v>1600000.0</v>
      </c>
      <c r="L328" s="49" t="s">
        <v>1568</v>
      </c>
      <c r="M328" s="75">
        <v>8.0</v>
      </c>
      <c r="N328" s="77"/>
      <c r="O328" s="20"/>
      <c r="P328" s="20"/>
      <c r="Q328" s="20"/>
      <c r="R328" s="20"/>
      <c r="S328" s="20"/>
    </row>
    <row r="329">
      <c r="A329" s="76" t="s">
        <v>1569</v>
      </c>
      <c r="B329" s="110">
        <v>46058.0</v>
      </c>
      <c r="C329" s="76" t="s">
        <v>1570</v>
      </c>
      <c r="D329" s="99" t="s">
        <v>1571</v>
      </c>
      <c r="E329" s="25" t="s">
        <v>122</v>
      </c>
      <c r="F329" s="25" t="s">
        <v>18</v>
      </c>
      <c r="G329" s="25" t="s">
        <v>42</v>
      </c>
      <c r="H329" s="76" t="s">
        <v>1572</v>
      </c>
      <c r="I329" s="10"/>
      <c r="J329" s="76">
        <v>1.0</v>
      </c>
      <c r="K329" s="46"/>
      <c r="L329" s="76" t="s">
        <v>1573</v>
      </c>
      <c r="M329" s="84">
        <v>8.0</v>
      </c>
      <c r="N329" s="85"/>
      <c r="O329" s="20"/>
      <c r="P329" s="20"/>
      <c r="Q329" s="20"/>
      <c r="R329" s="20"/>
      <c r="S329" s="20"/>
    </row>
    <row r="330">
      <c r="A330" s="49" t="s">
        <v>1574</v>
      </c>
      <c r="B330" s="110">
        <v>46058.0</v>
      </c>
      <c r="C330" s="49" t="s">
        <v>1575</v>
      </c>
      <c r="D330" s="102" t="s">
        <v>1576</v>
      </c>
      <c r="E330" s="25" t="s">
        <v>17</v>
      </c>
      <c r="F330" s="25" t="s">
        <v>983</v>
      </c>
      <c r="G330" s="25" t="s">
        <v>42</v>
      </c>
      <c r="H330" s="23"/>
      <c r="I330" s="23"/>
      <c r="J330" s="49">
        <v>8.0</v>
      </c>
      <c r="K330" s="36"/>
      <c r="L330" s="49" t="s">
        <v>1577</v>
      </c>
      <c r="M330" s="75">
        <v>8.0</v>
      </c>
      <c r="N330" s="104" t="s">
        <v>1578</v>
      </c>
      <c r="O330" s="20"/>
      <c r="P330" s="20"/>
      <c r="Q330" s="20"/>
      <c r="R330" s="20"/>
      <c r="S330" s="20"/>
    </row>
    <row r="331">
      <c r="A331" s="76" t="s">
        <v>1579</v>
      </c>
      <c r="B331" s="97">
        <v>46058.0</v>
      </c>
      <c r="C331" s="76" t="s">
        <v>1580</v>
      </c>
      <c r="D331" s="99" t="s">
        <v>1581</v>
      </c>
      <c r="E331" s="25" t="s">
        <v>17</v>
      </c>
      <c r="F331" s="25" t="s">
        <v>129</v>
      </c>
      <c r="G331" s="25" t="s">
        <v>42</v>
      </c>
      <c r="H331" s="76" t="s">
        <v>1582</v>
      </c>
      <c r="I331" s="10"/>
      <c r="J331" s="76">
        <v>15.0</v>
      </c>
      <c r="K331" s="19"/>
      <c r="L331" s="76" t="s">
        <v>1583</v>
      </c>
      <c r="M331" s="84">
        <v>8.0</v>
      </c>
      <c r="N331" s="85"/>
      <c r="O331" s="20"/>
      <c r="P331" s="20"/>
      <c r="Q331" s="20"/>
      <c r="R331" s="20"/>
      <c r="S331" s="20"/>
    </row>
    <row r="332">
      <c r="A332" s="49" t="s">
        <v>1584</v>
      </c>
      <c r="B332" s="110">
        <v>46058.0</v>
      </c>
      <c r="C332" s="49" t="s">
        <v>1585</v>
      </c>
      <c r="D332" s="102" t="s">
        <v>1586</v>
      </c>
      <c r="E332" s="25" t="s">
        <v>122</v>
      </c>
      <c r="F332" s="25" t="s">
        <v>129</v>
      </c>
      <c r="G332" s="25" t="s">
        <v>42</v>
      </c>
      <c r="H332" s="49" t="s">
        <v>1056</v>
      </c>
      <c r="I332" s="101">
        <v>46061.0</v>
      </c>
      <c r="J332" s="49">
        <v>2.0</v>
      </c>
      <c r="K332" s="36">
        <v>1754000.0</v>
      </c>
      <c r="L332" s="49" t="s">
        <v>158</v>
      </c>
      <c r="M332" s="75">
        <v>8.0</v>
      </c>
      <c r="N332" s="77"/>
      <c r="O332" s="20"/>
      <c r="P332" s="20"/>
      <c r="Q332" s="20"/>
      <c r="R332" s="20"/>
      <c r="S332" s="20"/>
    </row>
    <row r="333">
      <c r="A333" s="76" t="s">
        <v>1587</v>
      </c>
      <c r="B333" s="97">
        <v>46058.0</v>
      </c>
      <c r="C333" s="76" t="s">
        <v>1588</v>
      </c>
      <c r="D333" s="99" t="s">
        <v>1589</v>
      </c>
      <c r="E333" s="25" t="s">
        <v>122</v>
      </c>
      <c r="F333" s="25" t="s">
        <v>129</v>
      </c>
      <c r="G333" s="25" t="s">
        <v>42</v>
      </c>
      <c r="H333" s="76" t="s">
        <v>1590</v>
      </c>
      <c r="I333" s="10"/>
      <c r="J333" s="10"/>
      <c r="K333" s="46"/>
      <c r="L333" s="76" t="s">
        <v>158</v>
      </c>
      <c r="M333" s="44">
        <v>8.0</v>
      </c>
      <c r="N333" s="45"/>
      <c r="O333" s="20"/>
      <c r="P333" s="20"/>
      <c r="Q333" s="20"/>
      <c r="R333" s="20"/>
      <c r="S333" s="20"/>
    </row>
    <row r="334">
      <c r="A334" s="49" t="s">
        <v>1591</v>
      </c>
      <c r="B334" s="110">
        <v>46058.0</v>
      </c>
      <c r="C334" s="49" t="s">
        <v>1592</v>
      </c>
      <c r="D334" s="102" t="s">
        <v>1593</v>
      </c>
      <c r="E334" s="25" t="s">
        <v>17</v>
      </c>
      <c r="F334" s="25" t="s">
        <v>18</v>
      </c>
      <c r="G334" s="25" t="s">
        <v>19</v>
      </c>
      <c r="H334" s="49" t="s">
        <v>1594</v>
      </c>
      <c r="I334" s="49" t="s">
        <v>1595</v>
      </c>
      <c r="J334" s="49">
        <v>4.0</v>
      </c>
      <c r="K334" s="36">
        <v>3840000.0</v>
      </c>
      <c r="L334" s="49" t="s">
        <v>1596</v>
      </c>
      <c r="M334" s="75">
        <v>7.0</v>
      </c>
      <c r="N334" s="77"/>
      <c r="O334" s="20"/>
      <c r="P334" s="20"/>
      <c r="Q334" s="20"/>
      <c r="R334" s="20"/>
      <c r="S334" s="20"/>
    </row>
    <row r="335">
      <c r="A335" s="76" t="s">
        <v>1597</v>
      </c>
      <c r="B335" s="97">
        <v>46058.0</v>
      </c>
      <c r="C335" s="76" t="s">
        <v>1598</v>
      </c>
      <c r="D335" s="99" t="s">
        <v>1599</v>
      </c>
      <c r="E335" s="25" t="s">
        <v>128</v>
      </c>
      <c r="F335" s="25" t="s">
        <v>983</v>
      </c>
      <c r="G335" s="25" t="s">
        <v>42</v>
      </c>
      <c r="H335" s="76" t="s">
        <v>1600</v>
      </c>
      <c r="I335" s="76"/>
      <c r="J335" s="76">
        <v>1.0</v>
      </c>
      <c r="K335" s="19">
        <v>710000.0</v>
      </c>
      <c r="L335" s="49" t="s">
        <v>1601</v>
      </c>
      <c r="M335" s="44">
        <v>8.0</v>
      </c>
      <c r="N335" s="45"/>
      <c r="O335" s="20"/>
      <c r="P335" s="20"/>
      <c r="Q335" s="20"/>
      <c r="R335" s="20"/>
      <c r="S335" s="20"/>
    </row>
    <row r="336">
      <c r="A336" s="49" t="s">
        <v>1602</v>
      </c>
      <c r="B336" s="110">
        <v>46059.0</v>
      </c>
      <c r="C336" s="49" t="s">
        <v>1603</v>
      </c>
      <c r="D336" s="102" t="s">
        <v>1604</v>
      </c>
      <c r="E336" s="25" t="s">
        <v>122</v>
      </c>
      <c r="F336" s="25" t="s">
        <v>129</v>
      </c>
      <c r="G336" s="25" t="s">
        <v>42</v>
      </c>
      <c r="H336" s="23"/>
      <c r="I336" s="23"/>
      <c r="J336" s="23"/>
      <c r="K336" s="30"/>
      <c r="L336" s="49" t="s">
        <v>158</v>
      </c>
      <c r="M336" s="50">
        <v>8.0</v>
      </c>
      <c r="N336" s="51"/>
      <c r="O336" s="20"/>
      <c r="P336" s="20"/>
      <c r="Q336" s="20"/>
      <c r="R336" s="20"/>
      <c r="S336" s="20"/>
    </row>
    <row r="337">
      <c r="A337" s="76" t="s">
        <v>1605</v>
      </c>
      <c r="B337" s="97">
        <v>46059.0</v>
      </c>
      <c r="C337" s="76" t="s">
        <v>1606</v>
      </c>
      <c r="D337" s="99" t="s">
        <v>1607</v>
      </c>
      <c r="E337" s="25" t="s">
        <v>17</v>
      </c>
      <c r="F337" s="25" t="s">
        <v>129</v>
      </c>
      <c r="G337" s="25" t="s">
        <v>34</v>
      </c>
      <c r="H337" s="76" t="s">
        <v>86</v>
      </c>
      <c r="I337" s="76" t="s">
        <v>1608</v>
      </c>
      <c r="J337" s="76">
        <v>14.0</v>
      </c>
      <c r="K337" s="46">
        <f>1100000*14</f>
        <v>15400000</v>
      </c>
      <c r="L337" s="76" t="s">
        <v>1609</v>
      </c>
      <c r="M337" s="44">
        <v>2.0</v>
      </c>
      <c r="N337" s="105" t="s">
        <v>1610</v>
      </c>
      <c r="O337" s="20"/>
      <c r="P337" s="20"/>
      <c r="Q337" s="20"/>
      <c r="R337" s="20"/>
      <c r="S337" s="20"/>
    </row>
    <row r="338">
      <c r="A338" s="49" t="s">
        <v>1611</v>
      </c>
      <c r="B338" s="110">
        <v>46059.0</v>
      </c>
      <c r="C338" s="49" t="s">
        <v>1612</v>
      </c>
      <c r="D338" s="102" t="s">
        <v>1613</v>
      </c>
      <c r="E338" s="25" t="s">
        <v>17</v>
      </c>
      <c r="F338" s="25" t="s">
        <v>18</v>
      </c>
      <c r="G338" s="25" t="s">
        <v>42</v>
      </c>
      <c r="H338" s="49" t="s">
        <v>1252</v>
      </c>
      <c r="I338" s="101">
        <v>46158.0</v>
      </c>
      <c r="J338" s="49">
        <v>6.0</v>
      </c>
      <c r="K338" s="36">
        <v>3090000.0</v>
      </c>
      <c r="L338" s="49" t="s">
        <v>1614</v>
      </c>
      <c r="M338" s="50">
        <v>8.0</v>
      </c>
      <c r="N338" s="104" t="s">
        <v>1615</v>
      </c>
      <c r="O338" s="20"/>
      <c r="P338" s="20"/>
      <c r="Q338" s="20"/>
      <c r="R338" s="20"/>
      <c r="S338" s="20"/>
    </row>
    <row r="339">
      <c r="A339" s="76" t="s">
        <v>1616</v>
      </c>
      <c r="B339" s="97">
        <v>46058.0</v>
      </c>
      <c r="C339" s="76" t="s">
        <v>1617</v>
      </c>
      <c r="D339" s="99" t="s">
        <v>1618</v>
      </c>
      <c r="E339" s="25" t="s">
        <v>122</v>
      </c>
      <c r="F339" s="25" t="s">
        <v>129</v>
      </c>
      <c r="G339" s="25" t="s">
        <v>42</v>
      </c>
      <c r="H339" s="76"/>
      <c r="I339" s="76" t="s">
        <v>1199</v>
      </c>
      <c r="J339" s="76">
        <v>2.0</v>
      </c>
      <c r="K339" s="46"/>
      <c r="L339" s="76" t="s">
        <v>1619</v>
      </c>
      <c r="M339" s="44">
        <v>8.0</v>
      </c>
      <c r="N339" s="86" t="s">
        <v>1620</v>
      </c>
      <c r="O339" s="20"/>
      <c r="P339" s="20"/>
      <c r="Q339" s="20"/>
      <c r="R339" s="20"/>
      <c r="S339" s="20"/>
    </row>
    <row r="340">
      <c r="A340" s="49" t="s">
        <v>1621</v>
      </c>
      <c r="B340" s="110">
        <v>46058.0</v>
      </c>
      <c r="C340" s="49" t="s">
        <v>1622</v>
      </c>
      <c r="D340" s="102" t="s">
        <v>1623</v>
      </c>
      <c r="E340" s="25" t="s">
        <v>17</v>
      </c>
      <c r="F340" s="25" t="s">
        <v>983</v>
      </c>
      <c r="G340" s="25" t="s">
        <v>43</v>
      </c>
      <c r="H340" s="49" t="s">
        <v>775</v>
      </c>
      <c r="I340" s="49" t="s">
        <v>776</v>
      </c>
      <c r="J340" s="49">
        <v>12.0</v>
      </c>
      <c r="K340" s="36">
        <v>1.2E7</v>
      </c>
      <c r="L340" s="49" t="s">
        <v>1624</v>
      </c>
      <c r="M340" s="50">
        <v>3.0</v>
      </c>
      <c r="N340" s="51"/>
      <c r="O340" s="20"/>
      <c r="P340" s="20"/>
      <c r="Q340" s="20"/>
      <c r="R340" s="20"/>
      <c r="S340" s="20"/>
    </row>
    <row r="341">
      <c r="A341" s="76" t="s">
        <v>1625</v>
      </c>
      <c r="B341" s="97">
        <v>46058.0</v>
      </c>
      <c r="C341" s="76" t="s">
        <v>1626</v>
      </c>
      <c r="D341" s="99" t="s">
        <v>1627</v>
      </c>
      <c r="E341" s="25" t="s">
        <v>17</v>
      </c>
      <c r="F341" s="25" t="s">
        <v>983</v>
      </c>
      <c r="G341" s="25" t="s">
        <v>42</v>
      </c>
      <c r="H341" s="76" t="s">
        <v>277</v>
      </c>
      <c r="I341" s="76" t="s">
        <v>1628</v>
      </c>
      <c r="J341" s="10"/>
      <c r="K341" s="46"/>
      <c r="L341" s="76" t="s">
        <v>1629</v>
      </c>
      <c r="M341" s="44">
        <v>8.0</v>
      </c>
      <c r="N341" s="45"/>
      <c r="O341" s="20"/>
      <c r="P341" s="20"/>
      <c r="Q341" s="20"/>
      <c r="R341" s="20"/>
      <c r="S341" s="20"/>
    </row>
    <row r="342">
      <c r="A342" s="49" t="s">
        <v>1630</v>
      </c>
      <c r="B342" s="110">
        <v>46060.0</v>
      </c>
      <c r="C342" s="49" t="s">
        <v>1631</v>
      </c>
      <c r="D342" s="102" t="s">
        <v>1632</v>
      </c>
      <c r="E342" s="25" t="s">
        <v>122</v>
      </c>
      <c r="F342" s="25" t="s">
        <v>129</v>
      </c>
      <c r="G342" s="25" t="s">
        <v>42</v>
      </c>
      <c r="H342" s="49" t="s">
        <v>230</v>
      </c>
      <c r="I342" s="101">
        <v>46104.0</v>
      </c>
      <c r="J342" s="49">
        <v>1.0</v>
      </c>
      <c r="K342" s="30"/>
      <c r="L342" s="49" t="s">
        <v>1633</v>
      </c>
      <c r="M342" s="50">
        <v>8.0</v>
      </c>
      <c r="N342" s="51"/>
      <c r="O342" s="20"/>
      <c r="P342" s="20"/>
      <c r="Q342" s="20"/>
      <c r="R342" s="20"/>
      <c r="S342" s="20"/>
    </row>
    <row r="343">
      <c r="A343" s="76" t="s">
        <v>1634</v>
      </c>
      <c r="B343" s="97">
        <v>46060.0</v>
      </c>
      <c r="C343" s="76" t="s">
        <v>1635</v>
      </c>
      <c r="D343" s="99" t="s">
        <v>1636</v>
      </c>
      <c r="E343" s="25" t="s">
        <v>17</v>
      </c>
      <c r="F343" s="25" t="s">
        <v>18</v>
      </c>
      <c r="G343" s="25" t="s">
        <v>42</v>
      </c>
      <c r="H343" s="76" t="s">
        <v>1637</v>
      </c>
      <c r="I343" s="118">
        <v>46061.0</v>
      </c>
      <c r="J343" s="76">
        <v>2.0</v>
      </c>
      <c r="K343" s="46"/>
      <c r="L343" s="76" t="s">
        <v>1316</v>
      </c>
      <c r="M343" s="44">
        <v>8.0</v>
      </c>
      <c r="N343" s="45"/>
      <c r="O343" s="20"/>
      <c r="P343" s="20"/>
      <c r="Q343" s="20"/>
      <c r="R343" s="20"/>
      <c r="S343" s="20"/>
    </row>
    <row r="344">
      <c r="A344" s="49" t="s">
        <v>1638</v>
      </c>
      <c r="B344" s="110">
        <v>46060.0</v>
      </c>
      <c r="C344" s="49" t="s">
        <v>1639</v>
      </c>
      <c r="D344" s="102" t="s">
        <v>1640</v>
      </c>
      <c r="E344" s="25" t="s">
        <v>17</v>
      </c>
      <c r="F344" s="25" t="s">
        <v>18</v>
      </c>
      <c r="G344" s="25" t="s">
        <v>42</v>
      </c>
      <c r="H344" s="49" t="s">
        <v>1641</v>
      </c>
      <c r="I344" s="49" t="s">
        <v>1642</v>
      </c>
      <c r="J344" s="49">
        <v>2.0</v>
      </c>
      <c r="K344" s="36">
        <v>3200000.0</v>
      </c>
      <c r="L344" s="49" t="s">
        <v>135</v>
      </c>
      <c r="M344" s="50">
        <v>8.0</v>
      </c>
      <c r="N344" s="51"/>
      <c r="O344" s="20"/>
      <c r="P344" s="20"/>
      <c r="Q344" s="20"/>
      <c r="R344" s="20"/>
      <c r="S344" s="20"/>
    </row>
    <row r="345">
      <c r="A345" s="76" t="s">
        <v>1643</v>
      </c>
      <c r="B345" s="97">
        <v>46060.0</v>
      </c>
      <c r="C345" s="76" t="s">
        <v>1644</v>
      </c>
      <c r="D345" s="99" t="s">
        <v>1645</v>
      </c>
      <c r="E345" s="25" t="s">
        <v>122</v>
      </c>
      <c r="F345" s="25" t="s">
        <v>129</v>
      </c>
      <c r="G345" s="25" t="s">
        <v>42</v>
      </c>
      <c r="H345" s="10"/>
      <c r="I345" s="10"/>
      <c r="J345" s="10"/>
      <c r="K345" s="46"/>
      <c r="L345" s="76" t="s">
        <v>158</v>
      </c>
      <c r="M345" s="44">
        <v>8.0</v>
      </c>
      <c r="N345" s="45"/>
      <c r="O345" s="20"/>
      <c r="P345" s="20"/>
      <c r="Q345" s="20"/>
      <c r="R345" s="20"/>
      <c r="S345" s="20"/>
    </row>
    <row r="346">
      <c r="A346" s="76" t="s">
        <v>1646</v>
      </c>
      <c r="B346" s="110">
        <v>46061.0</v>
      </c>
      <c r="C346" s="49" t="s">
        <v>1647</v>
      </c>
      <c r="D346" s="102" t="s">
        <v>1648</v>
      </c>
      <c r="E346" s="25" t="s">
        <v>122</v>
      </c>
      <c r="F346" s="25" t="s">
        <v>129</v>
      </c>
      <c r="G346" s="25" t="s">
        <v>42</v>
      </c>
      <c r="H346" s="49" t="s">
        <v>195</v>
      </c>
      <c r="I346" s="23"/>
      <c r="J346" s="23"/>
      <c r="K346" s="30"/>
      <c r="L346" s="49" t="s">
        <v>158</v>
      </c>
      <c r="M346" s="50">
        <v>8.0</v>
      </c>
      <c r="N346" s="51"/>
      <c r="O346" s="20"/>
      <c r="P346" s="20"/>
      <c r="Q346" s="20"/>
      <c r="R346" s="20"/>
      <c r="S346" s="20"/>
    </row>
    <row r="347">
      <c r="A347" s="76" t="s">
        <v>1649</v>
      </c>
      <c r="B347" s="110">
        <v>46061.0</v>
      </c>
      <c r="C347" s="76" t="s">
        <v>1650</v>
      </c>
      <c r="D347" s="99" t="s">
        <v>1651</v>
      </c>
      <c r="E347" s="25" t="s">
        <v>17</v>
      </c>
      <c r="F347" s="25" t="s">
        <v>129</v>
      </c>
      <c r="G347" s="25" t="s">
        <v>42</v>
      </c>
      <c r="H347" s="10"/>
      <c r="I347" s="10"/>
      <c r="J347" s="10"/>
      <c r="K347" s="46"/>
      <c r="L347" s="76" t="s">
        <v>158</v>
      </c>
      <c r="M347" s="44">
        <v>8.0</v>
      </c>
      <c r="N347" s="45"/>
      <c r="O347" s="20"/>
      <c r="P347" s="20"/>
      <c r="Q347" s="20"/>
      <c r="R347" s="20"/>
      <c r="S347" s="20"/>
    </row>
    <row r="348">
      <c r="A348" s="49" t="s">
        <v>1652</v>
      </c>
      <c r="B348" s="110">
        <v>46061.0</v>
      </c>
      <c r="C348" s="49" t="s">
        <v>1653</v>
      </c>
      <c r="D348" s="102" t="s">
        <v>1654</v>
      </c>
      <c r="E348" s="25" t="s">
        <v>122</v>
      </c>
      <c r="F348" s="25" t="s">
        <v>18</v>
      </c>
      <c r="G348" s="25" t="s">
        <v>42</v>
      </c>
      <c r="H348" s="49" t="s">
        <v>1309</v>
      </c>
      <c r="I348" s="117">
        <v>46068.0</v>
      </c>
      <c r="J348" s="49">
        <v>2.0</v>
      </c>
      <c r="K348" s="36">
        <v>1100000.0</v>
      </c>
      <c r="L348" s="49" t="s">
        <v>1655</v>
      </c>
      <c r="M348" s="50">
        <v>8.0</v>
      </c>
      <c r="N348" s="51"/>
      <c r="O348" s="20"/>
      <c r="P348" s="20"/>
      <c r="Q348" s="20"/>
      <c r="R348" s="20"/>
      <c r="S348" s="20"/>
    </row>
    <row r="349">
      <c r="A349" s="76" t="s">
        <v>1656</v>
      </c>
      <c r="B349" s="97">
        <v>46061.0</v>
      </c>
      <c r="C349" s="76" t="s">
        <v>1657</v>
      </c>
      <c r="D349" s="99" t="s">
        <v>1658</v>
      </c>
      <c r="E349" s="25" t="s">
        <v>122</v>
      </c>
      <c r="F349" s="25" t="s">
        <v>129</v>
      </c>
      <c r="G349" s="25" t="s">
        <v>42</v>
      </c>
      <c r="H349" s="76" t="s">
        <v>260</v>
      </c>
      <c r="I349" s="76" t="s">
        <v>1659</v>
      </c>
      <c r="J349" s="76">
        <v>6.0</v>
      </c>
      <c r="K349" s="46">
        <f>1600000*6</f>
        <v>9600000</v>
      </c>
      <c r="L349" s="76" t="s">
        <v>158</v>
      </c>
      <c r="M349" s="44">
        <v>8.0</v>
      </c>
      <c r="N349" s="45"/>
      <c r="O349" s="20"/>
      <c r="P349" s="20"/>
      <c r="Q349" s="20"/>
      <c r="R349" s="20"/>
      <c r="S349" s="20"/>
    </row>
    <row r="350">
      <c r="A350" s="49" t="s">
        <v>1660</v>
      </c>
      <c r="B350" s="110">
        <v>46061.0</v>
      </c>
      <c r="C350" s="49" t="s">
        <v>1661</v>
      </c>
      <c r="D350" s="102" t="s">
        <v>1662</v>
      </c>
      <c r="E350" s="25" t="s">
        <v>122</v>
      </c>
      <c r="F350" s="25" t="s">
        <v>129</v>
      </c>
      <c r="G350" s="25" t="s">
        <v>42</v>
      </c>
      <c r="H350" s="49" t="s">
        <v>1663</v>
      </c>
      <c r="I350" s="49" t="s">
        <v>1664</v>
      </c>
      <c r="J350" s="49">
        <v>2.0</v>
      </c>
      <c r="K350" s="30"/>
      <c r="L350" s="49" t="s">
        <v>1665</v>
      </c>
      <c r="M350" s="50">
        <v>8.0</v>
      </c>
      <c r="N350" s="51"/>
      <c r="O350" s="20"/>
      <c r="P350" s="20"/>
      <c r="Q350" s="20"/>
      <c r="R350" s="20"/>
      <c r="S350" s="20"/>
    </row>
    <row r="351">
      <c r="A351" s="76" t="s">
        <v>1666</v>
      </c>
      <c r="B351" s="97">
        <v>46061.0</v>
      </c>
      <c r="C351" s="76" t="s">
        <v>1667</v>
      </c>
      <c r="D351" s="99" t="s">
        <v>1668</v>
      </c>
      <c r="E351" s="25" t="s">
        <v>122</v>
      </c>
      <c r="F351" s="25" t="s">
        <v>129</v>
      </c>
      <c r="G351" s="25" t="s">
        <v>42</v>
      </c>
      <c r="H351" s="76" t="s">
        <v>1669</v>
      </c>
      <c r="I351" s="76" t="s">
        <v>1670</v>
      </c>
      <c r="J351" s="76">
        <v>4.0</v>
      </c>
      <c r="K351" s="46"/>
      <c r="L351" s="76" t="s">
        <v>1671</v>
      </c>
      <c r="M351" s="44">
        <v>8.0</v>
      </c>
      <c r="N351" s="45"/>
      <c r="O351" s="20"/>
      <c r="P351" s="20"/>
      <c r="Q351" s="20"/>
      <c r="R351" s="20"/>
      <c r="S351" s="20"/>
    </row>
    <row r="352">
      <c r="A352" s="49" t="s">
        <v>1672</v>
      </c>
      <c r="B352" s="110">
        <v>46061.0</v>
      </c>
      <c r="C352" s="49" t="s">
        <v>1673</v>
      </c>
      <c r="D352" s="102" t="s">
        <v>1674</v>
      </c>
      <c r="E352" s="25" t="s">
        <v>122</v>
      </c>
      <c r="F352" s="25" t="s">
        <v>129</v>
      </c>
      <c r="G352" s="25" t="s">
        <v>42</v>
      </c>
      <c r="H352" s="49" t="s">
        <v>123</v>
      </c>
      <c r="I352" s="127">
        <v>46121.0</v>
      </c>
      <c r="J352" s="49">
        <v>100.0</v>
      </c>
      <c r="K352" s="30">
        <f>2500000*100</f>
        <v>250000000</v>
      </c>
      <c r="L352" s="49" t="s">
        <v>1675</v>
      </c>
      <c r="M352" s="50">
        <v>8.0</v>
      </c>
      <c r="N352" s="115" t="s">
        <v>1676</v>
      </c>
      <c r="O352" s="20"/>
      <c r="P352" s="20"/>
      <c r="Q352" s="20"/>
      <c r="R352" s="20"/>
      <c r="S352" s="20"/>
    </row>
    <row r="353">
      <c r="A353" s="76" t="s">
        <v>1677</v>
      </c>
      <c r="B353" s="97">
        <v>46061.0</v>
      </c>
      <c r="C353" s="76" t="s">
        <v>1678</v>
      </c>
      <c r="D353" s="99" t="s">
        <v>1679</v>
      </c>
      <c r="E353" s="25" t="s">
        <v>122</v>
      </c>
      <c r="F353" s="25" t="s">
        <v>983</v>
      </c>
      <c r="G353" s="25" t="s">
        <v>42</v>
      </c>
      <c r="H353" s="76" t="s">
        <v>1680</v>
      </c>
      <c r="I353" s="76" t="s">
        <v>1681</v>
      </c>
      <c r="J353" s="10"/>
      <c r="K353" s="46"/>
      <c r="L353" s="76" t="s">
        <v>1682</v>
      </c>
      <c r="M353" s="44">
        <v>8.0</v>
      </c>
      <c r="N353" s="45"/>
      <c r="O353" s="20"/>
      <c r="P353" s="20"/>
      <c r="Q353" s="20"/>
      <c r="R353" s="20"/>
      <c r="S353" s="20"/>
    </row>
    <row r="354">
      <c r="A354" s="49" t="s">
        <v>1683</v>
      </c>
      <c r="B354" s="110">
        <v>46061.0</v>
      </c>
      <c r="C354" s="49" t="s">
        <v>1684</v>
      </c>
      <c r="D354" s="102" t="s">
        <v>1685</v>
      </c>
      <c r="E354" s="25" t="s">
        <v>122</v>
      </c>
      <c r="F354" s="25" t="s">
        <v>983</v>
      </c>
      <c r="G354" s="25" t="s">
        <v>42</v>
      </c>
      <c r="H354" s="49" t="s">
        <v>1495</v>
      </c>
      <c r="I354" s="49" t="s">
        <v>1686</v>
      </c>
      <c r="J354" s="49">
        <v>3.0</v>
      </c>
      <c r="K354" s="30"/>
      <c r="L354" s="49" t="s">
        <v>1687</v>
      </c>
      <c r="M354" s="50">
        <v>8.0</v>
      </c>
      <c r="N354" s="51"/>
      <c r="O354" s="20"/>
      <c r="P354" s="20"/>
      <c r="Q354" s="20"/>
      <c r="R354" s="20"/>
      <c r="S354" s="20"/>
    </row>
    <row r="355">
      <c r="A355" s="76" t="s">
        <v>1688</v>
      </c>
      <c r="B355" s="97">
        <v>46061.0</v>
      </c>
      <c r="C355" s="76" t="s">
        <v>1689</v>
      </c>
      <c r="D355" s="99" t="s">
        <v>1690</v>
      </c>
      <c r="E355" s="25" t="s">
        <v>122</v>
      </c>
      <c r="F355" s="25" t="s">
        <v>129</v>
      </c>
      <c r="G355" s="25" t="s">
        <v>42</v>
      </c>
      <c r="H355" s="76" t="s">
        <v>144</v>
      </c>
      <c r="I355" s="76" t="s">
        <v>1691</v>
      </c>
      <c r="J355" s="76">
        <v>3.0</v>
      </c>
      <c r="K355" s="46"/>
      <c r="L355" s="76" t="s">
        <v>514</v>
      </c>
      <c r="M355" s="44">
        <v>8.0</v>
      </c>
      <c r="N355" s="45"/>
      <c r="O355" s="20"/>
      <c r="P355" s="20"/>
      <c r="Q355" s="20"/>
      <c r="R355" s="20"/>
      <c r="S355" s="20"/>
    </row>
    <row r="356">
      <c r="A356" s="49" t="s">
        <v>1692</v>
      </c>
      <c r="B356" s="110">
        <v>46062.0</v>
      </c>
      <c r="C356" s="49" t="s">
        <v>1693</v>
      </c>
      <c r="D356" s="102" t="s">
        <v>1694</v>
      </c>
      <c r="E356" s="25" t="s">
        <v>122</v>
      </c>
      <c r="F356" s="25" t="s">
        <v>983</v>
      </c>
      <c r="G356" s="25" t="s">
        <v>42</v>
      </c>
      <c r="H356" s="49" t="s">
        <v>1695</v>
      </c>
      <c r="I356" s="49" t="s">
        <v>1696</v>
      </c>
      <c r="J356" s="23"/>
      <c r="K356" s="30"/>
      <c r="L356" s="76" t="s">
        <v>1697</v>
      </c>
      <c r="M356" s="50">
        <v>8.0</v>
      </c>
      <c r="N356" s="51"/>
      <c r="O356" s="20"/>
      <c r="P356" s="20"/>
      <c r="Q356" s="20"/>
      <c r="R356" s="20"/>
      <c r="S356" s="20"/>
    </row>
    <row r="357">
      <c r="A357" s="76" t="s">
        <v>1698</v>
      </c>
      <c r="B357" s="97">
        <v>46062.0</v>
      </c>
      <c r="C357" s="76" t="s">
        <v>1693</v>
      </c>
      <c r="D357" s="99" t="s">
        <v>1694</v>
      </c>
      <c r="E357" s="25" t="s">
        <v>17</v>
      </c>
      <c r="F357" s="25" t="s">
        <v>129</v>
      </c>
      <c r="G357" s="25" t="s">
        <v>42</v>
      </c>
      <c r="H357" s="76" t="s">
        <v>230</v>
      </c>
      <c r="I357" s="76" t="s">
        <v>1699</v>
      </c>
      <c r="J357" s="76">
        <v>1.0</v>
      </c>
      <c r="K357" s="46"/>
      <c r="L357" s="76" t="s">
        <v>1700</v>
      </c>
      <c r="M357" s="44">
        <v>8.0</v>
      </c>
      <c r="N357" s="45"/>
      <c r="O357" s="20"/>
      <c r="P357" s="20"/>
      <c r="Q357" s="20"/>
      <c r="R357" s="20"/>
      <c r="S357" s="20"/>
    </row>
    <row r="358">
      <c r="A358" s="49" t="s">
        <v>1701</v>
      </c>
      <c r="B358" s="110">
        <v>46062.0</v>
      </c>
      <c r="C358" s="49" t="s">
        <v>1702</v>
      </c>
      <c r="D358" s="102" t="s">
        <v>1703</v>
      </c>
      <c r="E358" s="25" t="s">
        <v>128</v>
      </c>
      <c r="F358" s="25" t="s">
        <v>129</v>
      </c>
      <c r="G358" s="25" t="s">
        <v>42</v>
      </c>
      <c r="H358" s="49" t="s">
        <v>1704</v>
      </c>
      <c r="I358" s="101">
        <v>46119.0</v>
      </c>
      <c r="J358" s="49">
        <v>2.0</v>
      </c>
      <c r="K358" s="30">
        <f>2060000*2</f>
        <v>4120000</v>
      </c>
      <c r="L358" s="49" t="s">
        <v>1705</v>
      </c>
      <c r="M358" s="50">
        <v>8.0</v>
      </c>
      <c r="N358" s="104" t="s">
        <v>1706</v>
      </c>
      <c r="O358" s="20"/>
      <c r="P358" s="20"/>
      <c r="Q358" s="20"/>
      <c r="R358" s="20"/>
      <c r="S358" s="20"/>
    </row>
    <row r="359">
      <c r="A359" s="76" t="s">
        <v>1707</v>
      </c>
      <c r="B359" s="97">
        <v>46061.0</v>
      </c>
      <c r="C359" s="76" t="s">
        <v>1708</v>
      </c>
      <c r="D359" s="13">
        <f>447899367364</f>
        <v>447899367364</v>
      </c>
      <c r="E359" s="25" t="s">
        <v>17</v>
      </c>
      <c r="F359" s="25" t="s">
        <v>18</v>
      </c>
      <c r="G359" s="25" t="s">
        <v>19</v>
      </c>
      <c r="H359" s="76" t="s">
        <v>1709</v>
      </c>
      <c r="I359" s="118">
        <v>46062.0</v>
      </c>
      <c r="J359" s="76">
        <v>2.0</v>
      </c>
      <c r="K359" s="19">
        <v>1600000.0</v>
      </c>
      <c r="L359" s="76" t="s">
        <v>1710</v>
      </c>
      <c r="M359" s="44">
        <v>7.0</v>
      </c>
      <c r="N359" s="45"/>
      <c r="O359" s="20"/>
      <c r="P359" s="20"/>
      <c r="Q359" s="20"/>
      <c r="R359" s="20"/>
      <c r="S359" s="20"/>
    </row>
    <row r="360">
      <c r="A360" s="49" t="s">
        <v>1711</v>
      </c>
      <c r="B360" s="110">
        <v>46062.0</v>
      </c>
      <c r="C360" s="49" t="s">
        <v>1712</v>
      </c>
      <c r="D360" s="102" t="s">
        <v>1713</v>
      </c>
      <c r="E360" s="25" t="s">
        <v>17</v>
      </c>
      <c r="F360" s="25" t="s">
        <v>18</v>
      </c>
      <c r="G360" s="25" t="s">
        <v>42</v>
      </c>
      <c r="H360" s="49" t="s">
        <v>632</v>
      </c>
      <c r="I360" s="23"/>
      <c r="J360" s="49">
        <v>5.0</v>
      </c>
      <c r="K360" s="36"/>
      <c r="L360" s="49" t="s">
        <v>514</v>
      </c>
      <c r="M360" s="50">
        <v>8.0</v>
      </c>
      <c r="N360" s="51"/>
      <c r="O360" s="20"/>
      <c r="P360" s="20"/>
      <c r="Q360" s="20"/>
      <c r="R360" s="20"/>
      <c r="S360" s="20"/>
    </row>
    <row r="361">
      <c r="A361" s="76" t="s">
        <v>1714</v>
      </c>
      <c r="B361" s="97">
        <v>46062.0</v>
      </c>
      <c r="C361" s="76" t="s">
        <v>1715</v>
      </c>
      <c r="D361" s="99" t="s">
        <v>1716</v>
      </c>
      <c r="E361" s="25" t="s">
        <v>17</v>
      </c>
      <c r="F361" s="25" t="s">
        <v>18</v>
      </c>
      <c r="G361" s="25" t="s">
        <v>42</v>
      </c>
      <c r="H361" s="76" t="s">
        <v>1717</v>
      </c>
      <c r="I361" s="118">
        <v>46067.0</v>
      </c>
      <c r="J361" s="76">
        <v>32.0</v>
      </c>
      <c r="K361" s="19">
        <v>7360000.0</v>
      </c>
      <c r="L361" s="76" t="s">
        <v>1718</v>
      </c>
      <c r="M361" s="44">
        <v>8.0</v>
      </c>
      <c r="N361" s="45"/>
      <c r="O361" s="20"/>
      <c r="P361" s="20"/>
      <c r="Q361" s="20"/>
      <c r="R361" s="20"/>
      <c r="S361" s="20"/>
    </row>
    <row r="362">
      <c r="A362" s="49" t="s">
        <v>1719</v>
      </c>
      <c r="B362" s="110">
        <v>46062.0</v>
      </c>
      <c r="C362" s="49" t="s">
        <v>1720</v>
      </c>
      <c r="D362" s="102" t="s">
        <v>1721</v>
      </c>
      <c r="E362" s="25" t="s">
        <v>17</v>
      </c>
      <c r="F362" s="25" t="s">
        <v>18</v>
      </c>
      <c r="G362" s="25" t="s">
        <v>42</v>
      </c>
      <c r="H362" s="49" t="s">
        <v>1722</v>
      </c>
      <c r="I362" s="49" t="s">
        <v>1723</v>
      </c>
      <c r="J362" s="49">
        <v>2.0</v>
      </c>
      <c r="K362" s="30"/>
      <c r="L362" s="49" t="s">
        <v>1724</v>
      </c>
      <c r="M362" s="50">
        <v>8.0</v>
      </c>
      <c r="N362" s="51"/>
      <c r="O362" s="20"/>
      <c r="P362" s="20"/>
      <c r="Q362" s="20"/>
      <c r="R362" s="20"/>
      <c r="S362" s="20"/>
    </row>
    <row r="363">
      <c r="A363" s="76" t="s">
        <v>1725</v>
      </c>
      <c r="B363" s="97">
        <v>46062.0</v>
      </c>
      <c r="C363" s="76" t="s">
        <v>1726</v>
      </c>
      <c r="D363" s="99" t="s">
        <v>1727</v>
      </c>
      <c r="E363" s="25" t="s">
        <v>122</v>
      </c>
      <c r="F363" s="25" t="s">
        <v>983</v>
      </c>
      <c r="G363" s="25" t="s">
        <v>42</v>
      </c>
      <c r="H363" s="76" t="s">
        <v>277</v>
      </c>
      <c r="I363" s="128"/>
      <c r="J363" s="76">
        <v>2.0</v>
      </c>
      <c r="K363" s="46"/>
      <c r="L363" s="76" t="s">
        <v>1728</v>
      </c>
      <c r="M363" s="44">
        <v>8.0</v>
      </c>
      <c r="N363" s="45"/>
      <c r="O363" s="20"/>
      <c r="P363" s="20"/>
      <c r="Q363" s="20"/>
      <c r="R363" s="20"/>
      <c r="S363" s="20"/>
    </row>
    <row r="364">
      <c r="A364" s="49" t="s">
        <v>1729</v>
      </c>
      <c r="B364" s="110">
        <v>46062.0</v>
      </c>
      <c r="C364" s="49" t="s">
        <v>1730</v>
      </c>
      <c r="D364" s="102" t="s">
        <v>1731</v>
      </c>
      <c r="E364" s="25" t="s">
        <v>122</v>
      </c>
      <c r="F364" s="25" t="s">
        <v>129</v>
      </c>
      <c r="G364" s="25" t="s">
        <v>42</v>
      </c>
      <c r="H364" s="49" t="s">
        <v>277</v>
      </c>
      <c r="I364" s="49" t="s">
        <v>1732</v>
      </c>
      <c r="J364" s="23"/>
      <c r="K364" s="30"/>
      <c r="L364" s="49" t="s">
        <v>158</v>
      </c>
      <c r="M364" s="50">
        <v>8.0</v>
      </c>
      <c r="N364" s="51"/>
      <c r="O364" s="20"/>
      <c r="P364" s="20"/>
      <c r="Q364" s="20"/>
      <c r="R364" s="20"/>
      <c r="S364" s="20"/>
    </row>
    <row r="365">
      <c r="A365" s="76" t="s">
        <v>1733</v>
      </c>
      <c r="B365" s="97">
        <v>46062.0</v>
      </c>
      <c r="C365" s="76" t="s">
        <v>1734</v>
      </c>
      <c r="D365" s="99" t="s">
        <v>1735</v>
      </c>
      <c r="E365" s="25" t="s">
        <v>122</v>
      </c>
      <c r="F365" s="25" t="s">
        <v>983</v>
      </c>
      <c r="G365" s="25" t="s">
        <v>42</v>
      </c>
      <c r="H365" s="76" t="s">
        <v>86</v>
      </c>
      <c r="I365" s="118">
        <v>46102.0</v>
      </c>
      <c r="J365" s="10"/>
      <c r="K365" s="46"/>
      <c r="L365" s="76" t="s">
        <v>1736</v>
      </c>
      <c r="M365" s="44">
        <v>8.0</v>
      </c>
      <c r="N365" s="45"/>
      <c r="O365" s="20"/>
      <c r="P365" s="20"/>
      <c r="Q365" s="20"/>
      <c r="R365" s="20"/>
      <c r="S365" s="20"/>
    </row>
    <row r="366">
      <c r="A366" s="49" t="s">
        <v>1737</v>
      </c>
      <c r="B366" s="110">
        <v>46062.0</v>
      </c>
      <c r="C366" s="49" t="s">
        <v>1738</v>
      </c>
      <c r="D366" s="102" t="s">
        <v>1739</v>
      </c>
      <c r="E366" s="25" t="s">
        <v>17</v>
      </c>
      <c r="F366" s="25" t="s">
        <v>18</v>
      </c>
      <c r="G366" s="25" t="s">
        <v>42</v>
      </c>
      <c r="H366" s="49" t="s">
        <v>632</v>
      </c>
      <c r="I366" s="117">
        <v>46067.0</v>
      </c>
      <c r="J366" s="49">
        <v>5.0</v>
      </c>
      <c r="K366" s="30"/>
      <c r="L366" s="49" t="s">
        <v>1740</v>
      </c>
      <c r="M366" s="50">
        <v>8.0</v>
      </c>
      <c r="N366" s="51"/>
      <c r="O366" s="20"/>
      <c r="P366" s="20"/>
      <c r="Q366" s="20"/>
      <c r="R366" s="20"/>
      <c r="S366" s="20"/>
    </row>
    <row r="367">
      <c r="A367" s="76" t="s">
        <v>1741</v>
      </c>
      <c r="B367" s="97">
        <v>46063.0</v>
      </c>
      <c r="C367" s="76" t="s">
        <v>1742</v>
      </c>
      <c r="D367" s="99" t="s">
        <v>1743</v>
      </c>
      <c r="E367" s="25" t="s">
        <v>17</v>
      </c>
      <c r="F367" s="25" t="s">
        <v>18</v>
      </c>
      <c r="G367" s="25" t="s">
        <v>42</v>
      </c>
      <c r="H367" s="76" t="s">
        <v>758</v>
      </c>
      <c r="I367" s="118">
        <v>46105.0</v>
      </c>
      <c r="J367" s="76">
        <v>6.0</v>
      </c>
      <c r="K367" s="19">
        <v>4290000.0</v>
      </c>
      <c r="L367" s="76" t="s">
        <v>1744</v>
      </c>
      <c r="M367" s="44">
        <v>8.0</v>
      </c>
      <c r="N367" s="45"/>
      <c r="O367" s="20"/>
      <c r="P367" s="20"/>
      <c r="Q367" s="20"/>
      <c r="R367" s="20"/>
      <c r="S367" s="20"/>
    </row>
    <row r="368">
      <c r="A368" s="49" t="s">
        <v>1745</v>
      </c>
      <c r="B368" s="110">
        <v>46063.0</v>
      </c>
      <c r="C368" s="49" t="s">
        <v>1746</v>
      </c>
      <c r="D368" s="102" t="s">
        <v>1747</v>
      </c>
      <c r="E368" s="25" t="s">
        <v>17</v>
      </c>
      <c r="F368" s="25" t="s">
        <v>18</v>
      </c>
      <c r="G368" s="25" t="s">
        <v>19</v>
      </c>
      <c r="H368" s="49" t="s">
        <v>1748</v>
      </c>
      <c r="I368" s="117">
        <v>46069.0</v>
      </c>
      <c r="J368" s="49">
        <v>4.0</v>
      </c>
      <c r="K368" s="36">
        <v>1000000.0</v>
      </c>
      <c r="L368" s="49" t="s">
        <v>1749</v>
      </c>
      <c r="M368" s="50">
        <v>7.0</v>
      </c>
      <c r="N368" s="51"/>
      <c r="O368" s="20"/>
      <c r="P368" s="20"/>
      <c r="Q368" s="20"/>
      <c r="R368" s="20"/>
      <c r="S368" s="20"/>
    </row>
    <row r="369">
      <c r="A369" s="76" t="s">
        <v>1750</v>
      </c>
      <c r="B369" s="97">
        <v>46063.0</v>
      </c>
      <c r="C369" s="76" t="s">
        <v>1751</v>
      </c>
      <c r="D369" s="99" t="s">
        <v>1752</v>
      </c>
      <c r="E369" s="25" t="s">
        <v>122</v>
      </c>
      <c r="F369" s="25" t="s">
        <v>129</v>
      </c>
      <c r="G369" s="25" t="s">
        <v>42</v>
      </c>
      <c r="H369" s="76" t="s">
        <v>1753</v>
      </c>
      <c r="I369" s="106">
        <v>46069.0</v>
      </c>
      <c r="J369" s="76">
        <v>7.0</v>
      </c>
      <c r="K369" s="46"/>
      <c r="L369" s="76" t="s">
        <v>1754</v>
      </c>
      <c r="M369" s="44">
        <v>8.0</v>
      </c>
      <c r="N369" s="45"/>
      <c r="O369" s="20"/>
      <c r="P369" s="20"/>
      <c r="Q369" s="20"/>
      <c r="R369" s="20"/>
      <c r="S369" s="20"/>
    </row>
    <row r="370">
      <c r="A370" s="49" t="s">
        <v>1755</v>
      </c>
      <c r="B370" s="110">
        <v>46063.0</v>
      </c>
      <c r="C370" s="49" t="s">
        <v>1756</v>
      </c>
      <c r="D370" s="102" t="s">
        <v>1757</v>
      </c>
      <c r="E370" s="25" t="s">
        <v>17</v>
      </c>
      <c r="F370" s="25" t="s">
        <v>129</v>
      </c>
      <c r="G370" s="25" t="s">
        <v>79</v>
      </c>
      <c r="H370" s="49" t="s">
        <v>86</v>
      </c>
      <c r="I370" s="49" t="s">
        <v>1758</v>
      </c>
      <c r="J370" s="49">
        <v>2.0</v>
      </c>
      <c r="K370" s="36">
        <v>3000000.0</v>
      </c>
      <c r="L370" s="49" t="s">
        <v>514</v>
      </c>
      <c r="M370" s="50">
        <v>99.0</v>
      </c>
      <c r="N370" s="51"/>
      <c r="O370" s="20"/>
      <c r="P370" s="20"/>
      <c r="Q370" s="20"/>
      <c r="R370" s="20"/>
      <c r="S370" s="20"/>
    </row>
    <row r="371">
      <c r="A371" s="76" t="s">
        <v>1759</v>
      </c>
      <c r="B371" s="97">
        <v>46062.0</v>
      </c>
      <c r="C371" s="76" t="s">
        <v>1760</v>
      </c>
      <c r="D371" s="76" t="s">
        <v>1761</v>
      </c>
      <c r="E371" s="25" t="s">
        <v>122</v>
      </c>
      <c r="F371" s="25" t="s">
        <v>129</v>
      </c>
      <c r="G371" s="25" t="s">
        <v>19</v>
      </c>
      <c r="H371" s="76" t="s">
        <v>1762</v>
      </c>
      <c r="I371" s="76" t="s">
        <v>1348</v>
      </c>
      <c r="J371" s="76">
        <v>2.0</v>
      </c>
      <c r="K371" s="19">
        <f>1450000*15</f>
        <v>21750000</v>
      </c>
      <c r="L371" s="68" t="s">
        <v>1763</v>
      </c>
      <c r="M371" s="44">
        <v>7.0</v>
      </c>
      <c r="N371" s="105" t="s">
        <v>1764</v>
      </c>
      <c r="O371" s="20"/>
      <c r="P371" s="20"/>
      <c r="Q371" s="20"/>
      <c r="R371" s="20"/>
      <c r="S371" s="20"/>
    </row>
    <row r="372">
      <c r="A372" s="49" t="s">
        <v>1765</v>
      </c>
      <c r="B372" s="110">
        <v>46063.0</v>
      </c>
      <c r="C372" s="49" t="s">
        <v>1766</v>
      </c>
      <c r="D372" s="102" t="s">
        <v>1767</v>
      </c>
      <c r="E372" s="25" t="s">
        <v>122</v>
      </c>
      <c r="F372" s="25" t="s">
        <v>129</v>
      </c>
      <c r="G372" s="25" t="s">
        <v>42</v>
      </c>
      <c r="H372" s="49" t="s">
        <v>1768</v>
      </c>
      <c r="I372" s="117">
        <v>46071.0</v>
      </c>
      <c r="J372" s="23"/>
      <c r="K372" s="30"/>
      <c r="L372" s="49" t="s">
        <v>1769</v>
      </c>
      <c r="M372" s="50">
        <v>8.0</v>
      </c>
      <c r="N372" s="51"/>
      <c r="O372" s="20"/>
      <c r="P372" s="20"/>
      <c r="Q372" s="20"/>
      <c r="R372" s="20"/>
      <c r="S372" s="20"/>
    </row>
    <row r="373">
      <c r="A373" s="76" t="s">
        <v>1770</v>
      </c>
      <c r="B373" s="97">
        <v>46064.0</v>
      </c>
      <c r="C373" s="76" t="s">
        <v>1771</v>
      </c>
      <c r="D373" s="99" t="s">
        <v>1772</v>
      </c>
      <c r="E373" s="25" t="s">
        <v>122</v>
      </c>
      <c r="F373" s="25" t="s">
        <v>129</v>
      </c>
      <c r="G373" s="25" t="s">
        <v>19</v>
      </c>
      <c r="H373" s="76" t="s">
        <v>1773</v>
      </c>
      <c r="I373" s="106">
        <v>46068.0</v>
      </c>
      <c r="J373" s="76">
        <v>3.0</v>
      </c>
      <c r="K373" s="19">
        <v>1875000.0</v>
      </c>
      <c r="L373" s="76" t="s">
        <v>1774</v>
      </c>
      <c r="M373" s="44">
        <v>7.0</v>
      </c>
      <c r="N373" s="45"/>
      <c r="O373" s="20"/>
      <c r="P373" s="20"/>
      <c r="Q373" s="20"/>
      <c r="R373" s="20"/>
      <c r="S373" s="20"/>
    </row>
    <row r="374">
      <c r="A374" s="49" t="s">
        <v>1775</v>
      </c>
      <c r="B374" s="110">
        <v>46064.0</v>
      </c>
      <c r="C374" s="49" t="s">
        <v>1776</v>
      </c>
      <c r="D374" s="102" t="s">
        <v>1777</v>
      </c>
      <c r="E374" s="25" t="s">
        <v>122</v>
      </c>
      <c r="F374" s="25" t="s">
        <v>129</v>
      </c>
      <c r="G374" s="25" t="s">
        <v>42</v>
      </c>
      <c r="H374" s="49" t="s">
        <v>277</v>
      </c>
      <c r="I374" s="117">
        <v>46067.0</v>
      </c>
      <c r="J374" s="49">
        <v>3.0</v>
      </c>
      <c r="K374" s="30"/>
      <c r="L374" s="49" t="s">
        <v>1778</v>
      </c>
      <c r="M374" s="50">
        <v>8.0</v>
      </c>
      <c r="N374" s="51"/>
      <c r="O374" s="20"/>
      <c r="P374" s="20"/>
      <c r="Q374" s="20"/>
      <c r="R374" s="20"/>
      <c r="S374" s="20"/>
    </row>
    <row r="375">
      <c r="A375" s="76" t="s">
        <v>1779</v>
      </c>
      <c r="B375" s="97">
        <v>46064.0</v>
      </c>
      <c r="C375" s="76" t="s">
        <v>1780</v>
      </c>
      <c r="D375" s="99" t="s">
        <v>1781</v>
      </c>
      <c r="E375" s="25" t="s">
        <v>122</v>
      </c>
      <c r="F375" s="25" t="s">
        <v>129</v>
      </c>
      <c r="G375" s="25" t="s">
        <v>42</v>
      </c>
      <c r="H375" s="76" t="s">
        <v>1782</v>
      </c>
      <c r="I375" s="76" t="s">
        <v>1783</v>
      </c>
      <c r="J375" s="76">
        <v>3.0</v>
      </c>
      <c r="K375" s="46">
        <f>793000*3</f>
        <v>2379000</v>
      </c>
      <c r="L375" s="76" t="s">
        <v>1784</v>
      </c>
      <c r="M375" s="44">
        <v>8.0</v>
      </c>
      <c r="N375" s="45"/>
      <c r="O375" s="20"/>
      <c r="P375" s="20"/>
      <c r="Q375" s="20"/>
      <c r="R375" s="20"/>
      <c r="S375" s="20"/>
    </row>
    <row r="376">
      <c r="A376" s="76" t="s">
        <v>1785</v>
      </c>
      <c r="B376" s="97">
        <v>46065.0</v>
      </c>
      <c r="C376" s="76" t="s">
        <v>1786</v>
      </c>
      <c r="D376" s="99" t="s">
        <v>1787</v>
      </c>
      <c r="E376" s="25" t="s">
        <v>17</v>
      </c>
      <c r="F376" s="25" t="s">
        <v>129</v>
      </c>
      <c r="G376" s="25" t="s">
        <v>19</v>
      </c>
      <c r="H376" s="76" t="s">
        <v>123</v>
      </c>
      <c r="I376" s="76" t="s">
        <v>1788</v>
      </c>
      <c r="J376" s="76">
        <v>4.0</v>
      </c>
      <c r="K376" s="46">
        <f>1735500*4</f>
        <v>6942000</v>
      </c>
      <c r="L376" s="76" t="s">
        <v>1789</v>
      </c>
      <c r="M376" s="44">
        <v>7.0</v>
      </c>
      <c r="N376" s="45"/>
      <c r="O376" s="20"/>
      <c r="P376" s="20"/>
      <c r="Q376" s="20"/>
      <c r="R376" s="20"/>
      <c r="S376" s="20"/>
    </row>
    <row r="377">
      <c r="A377" s="49" t="s">
        <v>1790</v>
      </c>
      <c r="B377" s="110">
        <v>46065.0</v>
      </c>
      <c r="C377" s="49" t="s">
        <v>1791</v>
      </c>
      <c r="D377" s="102" t="s">
        <v>1792</v>
      </c>
      <c r="E377" s="25" t="s">
        <v>122</v>
      </c>
      <c r="F377" s="25" t="s">
        <v>983</v>
      </c>
      <c r="G377" s="25" t="s">
        <v>34</v>
      </c>
      <c r="H377" s="76" t="s">
        <v>123</v>
      </c>
      <c r="I377" s="49" t="s">
        <v>1793</v>
      </c>
      <c r="J377" s="49">
        <v>2.0</v>
      </c>
      <c r="K377" s="36">
        <v>6270000.0</v>
      </c>
      <c r="L377" s="76" t="s">
        <v>1794</v>
      </c>
      <c r="M377" s="50">
        <v>2.0</v>
      </c>
      <c r="N377" s="51"/>
      <c r="O377" s="20"/>
      <c r="P377" s="20"/>
      <c r="Q377" s="20"/>
      <c r="R377" s="20"/>
      <c r="S377" s="20"/>
    </row>
    <row r="378">
      <c r="A378" s="76" t="s">
        <v>1795</v>
      </c>
      <c r="B378" s="97">
        <v>46065.0</v>
      </c>
      <c r="C378" s="76" t="s">
        <v>1796</v>
      </c>
      <c r="D378" s="99" t="s">
        <v>1797</v>
      </c>
      <c r="E378" s="25" t="s">
        <v>122</v>
      </c>
      <c r="F378" s="25" t="s">
        <v>129</v>
      </c>
      <c r="G378" s="25" t="s">
        <v>42</v>
      </c>
      <c r="H378" s="76" t="s">
        <v>823</v>
      </c>
      <c r="I378" s="10"/>
      <c r="J378" s="10"/>
      <c r="K378" s="19" t="s">
        <v>966</v>
      </c>
      <c r="L378" s="76" t="s">
        <v>1798</v>
      </c>
      <c r="M378" s="44">
        <v>8.0</v>
      </c>
      <c r="N378" s="45"/>
      <c r="O378" s="20"/>
      <c r="P378" s="20"/>
      <c r="Q378" s="20"/>
      <c r="R378" s="20"/>
      <c r="S378" s="20"/>
    </row>
    <row r="379">
      <c r="A379" s="49" t="s">
        <v>1799</v>
      </c>
      <c r="B379" s="110">
        <v>46065.0</v>
      </c>
      <c r="C379" s="49" t="s">
        <v>1800</v>
      </c>
      <c r="D379" s="102" t="s">
        <v>1801</v>
      </c>
      <c r="E379" s="25" t="s">
        <v>122</v>
      </c>
      <c r="F379" s="25" t="s">
        <v>983</v>
      </c>
      <c r="G379" s="25" t="s">
        <v>19</v>
      </c>
      <c r="H379" s="49" t="s">
        <v>1802</v>
      </c>
      <c r="I379" s="101">
        <v>46151.0</v>
      </c>
      <c r="J379" s="49">
        <v>5.0</v>
      </c>
      <c r="K379" s="36">
        <v>1.222E7</v>
      </c>
      <c r="L379" s="49" t="s">
        <v>1803</v>
      </c>
      <c r="M379" s="50">
        <v>7.0</v>
      </c>
      <c r="N379" s="51"/>
      <c r="O379" s="20"/>
      <c r="P379" s="20"/>
      <c r="Q379" s="20"/>
      <c r="R379" s="20"/>
      <c r="S379" s="20"/>
    </row>
    <row r="380">
      <c r="A380" s="76" t="s">
        <v>1804</v>
      </c>
      <c r="B380" s="97">
        <v>46066.0</v>
      </c>
      <c r="C380" s="76" t="s">
        <v>1805</v>
      </c>
      <c r="D380" s="99" t="s">
        <v>1806</v>
      </c>
      <c r="E380" s="25" t="s">
        <v>17</v>
      </c>
      <c r="F380" s="25" t="s">
        <v>18</v>
      </c>
      <c r="G380" s="25" t="s">
        <v>42</v>
      </c>
      <c r="H380" s="10"/>
      <c r="I380" s="10"/>
      <c r="J380" s="10"/>
      <c r="K380" s="46"/>
      <c r="L380" s="10"/>
      <c r="M380" s="44">
        <v>8.0</v>
      </c>
      <c r="N380" s="45"/>
      <c r="O380" s="20"/>
      <c r="P380" s="20"/>
      <c r="Q380" s="20"/>
      <c r="R380" s="20"/>
      <c r="S380" s="20"/>
    </row>
    <row r="381">
      <c r="A381" s="49" t="s">
        <v>1807</v>
      </c>
      <c r="B381" s="110">
        <v>46066.0</v>
      </c>
      <c r="C381" s="49" t="s">
        <v>1808</v>
      </c>
      <c r="D381" s="102" t="s">
        <v>1809</v>
      </c>
      <c r="E381" s="25" t="s">
        <v>17</v>
      </c>
      <c r="F381" s="25" t="s">
        <v>18</v>
      </c>
      <c r="G381" s="25" t="s">
        <v>42</v>
      </c>
      <c r="H381" s="49" t="s">
        <v>1810</v>
      </c>
      <c r="I381" s="23"/>
      <c r="J381" s="49">
        <v>3.0</v>
      </c>
      <c r="K381" s="30"/>
      <c r="L381" s="49" t="s">
        <v>514</v>
      </c>
      <c r="M381" s="50">
        <v>8.0</v>
      </c>
      <c r="N381" s="51"/>
      <c r="O381" s="20"/>
      <c r="P381" s="20"/>
      <c r="Q381" s="20"/>
      <c r="R381" s="20"/>
      <c r="S381" s="20"/>
    </row>
    <row r="382">
      <c r="A382" s="76" t="s">
        <v>1811</v>
      </c>
      <c r="B382" s="97">
        <v>46066.0</v>
      </c>
      <c r="C382" s="76" t="s">
        <v>1812</v>
      </c>
      <c r="D382" s="99" t="s">
        <v>1813</v>
      </c>
      <c r="E382" s="25" t="s">
        <v>128</v>
      </c>
      <c r="F382" s="25" t="s">
        <v>18</v>
      </c>
      <c r="G382" s="25" t="s">
        <v>19</v>
      </c>
      <c r="H382" s="76" t="s">
        <v>1814</v>
      </c>
      <c r="I382" s="106">
        <v>46074.0</v>
      </c>
      <c r="J382" s="76">
        <v>3.0</v>
      </c>
      <c r="K382" s="19">
        <v>1830000.0</v>
      </c>
      <c r="L382" s="76" t="s">
        <v>1815</v>
      </c>
      <c r="M382" s="44">
        <v>7.0</v>
      </c>
      <c r="N382" s="45"/>
      <c r="O382" s="20"/>
      <c r="P382" s="20"/>
      <c r="Q382" s="20"/>
      <c r="R382" s="20"/>
      <c r="S382" s="20"/>
    </row>
    <row r="383">
      <c r="A383" s="49" t="s">
        <v>1816</v>
      </c>
      <c r="B383" s="110">
        <v>46066.0</v>
      </c>
      <c r="C383" s="49" t="s">
        <v>1817</v>
      </c>
      <c r="D383" s="102" t="s">
        <v>1818</v>
      </c>
      <c r="E383" s="25" t="s">
        <v>17</v>
      </c>
      <c r="F383" s="25" t="s">
        <v>129</v>
      </c>
      <c r="G383" s="25" t="s">
        <v>42</v>
      </c>
      <c r="H383" s="49" t="s">
        <v>632</v>
      </c>
      <c r="I383" s="49" t="s">
        <v>1819</v>
      </c>
      <c r="J383" s="49">
        <v>5.0</v>
      </c>
      <c r="K383" s="30"/>
      <c r="L383" s="49" t="s">
        <v>1820</v>
      </c>
      <c r="M383" s="50">
        <v>8.0</v>
      </c>
      <c r="N383" s="51"/>
      <c r="O383" s="20"/>
      <c r="P383" s="20"/>
      <c r="Q383" s="20"/>
      <c r="R383" s="20"/>
      <c r="S383" s="20"/>
    </row>
    <row r="384">
      <c r="A384" s="76" t="s">
        <v>1821</v>
      </c>
      <c r="B384" s="97">
        <v>46066.0</v>
      </c>
      <c r="C384" s="76">
        <v>12.0</v>
      </c>
      <c r="D384" s="99" t="s">
        <v>1822</v>
      </c>
      <c r="E384" s="25" t="s">
        <v>122</v>
      </c>
      <c r="F384" s="25" t="s">
        <v>129</v>
      </c>
      <c r="G384" s="25" t="s">
        <v>42</v>
      </c>
      <c r="H384" s="76" t="s">
        <v>123</v>
      </c>
      <c r="I384" s="118">
        <v>46104.0</v>
      </c>
      <c r="J384" s="76" t="s">
        <v>1823</v>
      </c>
      <c r="K384" s="46">
        <f>1416000*5</f>
        <v>7080000</v>
      </c>
      <c r="L384" s="76" t="s">
        <v>158</v>
      </c>
      <c r="M384" s="44">
        <v>8.0</v>
      </c>
      <c r="N384" s="45"/>
      <c r="O384" s="20"/>
      <c r="P384" s="20"/>
      <c r="Q384" s="20"/>
      <c r="R384" s="20"/>
      <c r="S384" s="20"/>
    </row>
    <row r="385">
      <c r="A385" s="49" t="s">
        <v>1824</v>
      </c>
      <c r="B385" s="110">
        <v>46067.0</v>
      </c>
      <c r="C385" s="49" t="s">
        <v>1825</v>
      </c>
      <c r="D385" s="102" t="s">
        <v>1777</v>
      </c>
      <c r="E385" s="25" t="s">
        <v>17</v>
      </c>
      <c r="F385" s="25" t="s">
        <v>983</v>
      </c>
      <c r="G385" s="25" t="s">
        <v>42</v>
      </c>
      <c r="H385" s="49" t="s">
        <v>1826</v>
      </c>
      <c r="I385" s="23"/>
      <c r="J385" s="49">
        <v>3.0</v>
      </c>
      <c r="K385" s="30"/>
      <c r="L385" s="76" t="s">
        <v>1827</v>
      </c>
      <c r="M385" s="50">
        <v>8.0</v>
      </c>
      <c r="N385" s="51"/>
      <c r="O385" s="20"/>
      <c r="P385" s="20"/>
      <c r="Q385" s="20"/>
      <c r="R385" s="20"/>
      <c r="S385" s="20"/>
    </row>
    <row r="386">
      <c r="A386" s="76" t="s">
        <v>1828</v>
      </c>
      <c r="B386" s="97">
        <v>46067.0</v>
      </c>
      <c r="C386" s="76" t="s">
        <v>1829</v>
      </c>
      <c r="D386" s="99" t="s">
        <v>1830</v>
      </c>
      <c r="E386" s="25" t="s">
        <v>17</v>
      </c>
      <c r="F386" s="25" t="s">
        <v>18</v>
      </c>
      <c r="G386" s="25" t="s">
        <v>42</v>
      </c>
      <c r="H386" s="76" t="s">
        <v>86</v>
      </c>
      <c r="I386" s="76" t="s">
        <v>1044</v>
      </c>
      <c r="J386" s="76">
        <v>1.0</v>
      </c>
      <c r="K386" s="19">
        <v>4680000.0</v>
      </c>
      <c r="L386" s="76" t="s">
        <v>1316</v>
      </c>
      <c r="M386" s="44">
        <v>8.0</v>
      </c>
      <c r="N386" s="45"/>
      <c r="O386" s="20"/>
      <c r="P386" s="20"/>
      <c r="Q386" s="20"/>
      <c r="R386" s="20"/>
      <c r="S386" s="20"/>
    </row>
    <row r="387">
      <c r="A387" s="49" t="s">
        <v>1831</v>
      </c>
      <c r="B387" s="110">
        <v>46065.0</v>
      </c>
      <c r="C387" s="49" t="s">
        <v>1832</v>
      </c>
      <c r="D387" s="102" t="s">
        <v>1833</v>
      </c>
      <c r="E387" s="25" t="s">
        <v>122</v>
      </c>
      <c r="F387" s="25" t="s">
        <v>983</v>
      </c>
      <c r="G387" s="25" t="s">
        <v>42</v>
      </c>
      <c r="H387" s="49" t="s">
        <v>775</v>
      </c>
      <c r="I387" s="23"/>
      <c r="J387" s="23"/>
      <c r="K387" s="36"/>
      <c r="L387" s="49" t="s">
        <v>1834</v>
      </c>
      <c r="M387" s="50">
        <v>8.0</v>
      </c>
      <c r="N387" s="104" t="s">
        <v>1835</v>
      </c>
      <c r="O387" s="20"/>
      <c r="P387" s="20"/>
      <c r="Q387" s="20"/>
      <c r="R387" s="20"/>
      <c r="S387" s="20"/>
    </row>
    <row r="388">
      <c r="A388" s="76" t="s">
        <v>1836</v>
      </c>
      <c r="B388" s="97">
        <v>46067.0</v>
      </c>
      <c r="C388" s="76" t="s">
        <v>1837</v>
      </c>
      <c r="D388" s="99" t="s">
        <v>1838</v>
      </c>
      <c r="E388" s="25" t="s">
        <v>17</v>
      </c>
      <c r="F388" s="25" t="s">
        <v>18</v>
      </c>
      <c r="G388" s="25" t="s">
        <v>42</v>
      </c>
      <c r="H388" s="76" t="s">
        <v>1839</v>
      </c>
      <c r="I388" s="76" t="s">
        <v>1840</v>
      </c>
      <c r="J388" s="76">
        <v>35.0</v>
      </c>
      <c r="K388" s="19">
        <v>5.25E7</v>
      </c>
      <c r="L388" s="76" t="s">
        <v>1841</v>
      </c>
      <c r="M388" s="44">
        <v>8.0</v>
      </c>
      <c r="N388" s="45"/>
      <c r="O388" s="20"/>
      <c r="P388" s="20"/>
      <c r="Q388" s="20"/>
      <c r="R388" s="20"/>
      <c r="S388" s="20"/>
    </row>
    <row r="389">
      <c r="A389" s="49" t="s">
        <v>1842</v>
      </c>
      <c r="B389" s="110">
        <v>46067.0</v>
      </c>
      <c r="C389" s="49" t="s">
        <v>1843</v>
      </c>
      <c r="D389" s="102" t="s">
        <v>1844</v>
      </c>
      <c r="E389" s="25" t="s">
        <v>122</v>
      </c>
      <c r="F389" s="25" t="s">
        <v>129</v>
      </c>
      <c r="G389" s="25" t="s">
        <v>42</v>
      </c>
      <c r="H389" s="49" t="s">
        <v>1600</v>
      </c>
      <c r="I389" s="49" t="s">
        <v>1845</v>
      </c>
      <c r="J389" s="23"/>
      <c r="K389" s="30"/>
      <c r="L389" s="49" t="s">
        <v>1846</v>
      </c>
      <c r="M389" s="50">
        <v>8.0</v>
      </c>
      <c r="N389" s="51"/>
      <c r="O389" s="20"/>
      <c r="P389" s="20"/>
      <c r="Q389" s="20"/>
      <c r="R389" s="20"/>
      <c r="S389" s="20"/>
    </row>
    <row r="390">
      <c r="A390" s="76" t="s">
        <v>1847</v>
      </c>
      <c r="B390" s="97">
        <v>46067.0</v>
      </c>
      <c r="C390" s="76" t="s">
        <v>1848</v>
      </c>
      <c r="D390" s="99" t="s">
        <v>1849</v>
      </c>
      <c r="E390" s="25" t="s">
        <v>17</v>
      </c>
      <c r="F390" s="25" t="s">
        <v>18</v>
      </c>
      <c r="G390" s="25" t="s">
        <v>19</v>
      </c>
      <c r="H390" s="76" t="s">
        <v>178</v>
      </c>
      <c r="I390" s="106">
        <v>46069.0</v>
      </c>
      <c r="J390" s="76">
        <v>6.0</v>
      </c>
      <c r="K390" s="19">
        <v>2460000.0</v>
      </c>
      <c r="L390" s="76" t="s">
        <v>108</v>
      </c>
      <c r="M390" s="44">
        <v>7.0</v>
      </c>
      <c r="N390" s="45"/>
      <c r="O390" s="20"/>
      <c r="P390" s="20"/>
      <c r="Q390" s="20"/>
      <c r="R390" s="20"/>
      <c r="S390" s="20"/>
    </row>
    <row r="391">
      <c r="A391" s="49" t="s">
        <v>1850</v>
      </c>
      <c r="B391" s="97">
        <v>46067.0</v>
      </c>
      <c r="C391" s="49" t="s">
        <v>1851</v>
      </c>
      <c r="D391" s="102" t="s">
        <v>1852</v>
      </c>
      <c r="E391" s="25" t="s">
        <v>128</v>
      </c>
      <c r="F391" s="25" t="s">
        <v>983</v>
      </c>
      <c r="G391" s="25" t="s">
        <v>19</v>
      </c>
      <c r="H391" s="49" t="s">
        <v>1853</v>
      </c>
      <c r="I391" s="117">
        <v>46068.0</v>
      </c>
      <c r="J391" s="49">
        <v>2.0</v>
      </c>
      <c r="K391" s="36">
        <v>3070000.0</v>
      </c>
      <c r="L391" s="49" t="s">
        <v>1803</v>
      </c>
      <c r="M391" s="50">
        <v>7.0</v>
      </c>
      <c r="N391" s="51"/>
      <c r="O391" s="20"/>
      <c r="P391" s="20"/>
      <c r="Q391" s="20"/>
      <c r="R391" s="20"/>
      <c r="S391" s="20"/>
    </row>
    <row r="392">
      <c r="A392" s="76" t="s">
        <v>1854</v>
      </c>
      <c r="B392" s="97">
        <v>46067.0</v>
      </c>
      <c r="C392" s="76" t="s">
        <v>1855</v>
      </c>
      <c r="D392" s="99" t="s">
        <v>1856</v>
      </c>
      <c r="E392" s="25" t="s">
        <v>122</v>
      </c>
      <c r="F392" s="25" t="s">
        <v>129</v>
      </c>
      <c r="G392" s="25" t="s">
        <v>43</v>
      </c>
      <c r="H392" s="76" t="s">
        <v>1857</v>
      </c>
      <c r="I392" s="76" t="s">
        <v>1858</v>
      </c>
      <c r="J392" s="76">
        <v>45.0</v>
      </c>
      <c r="K392" s="46">
        <f>6000000*45</f>
        <v>270000000</v>
      </c>
      <c r="L392" s="76" t="s">
        <v>1859</v>
      </c>
      <c r="M392" s="44">
        <v>3.0</v>
      </c>
      <c r="N392" s="86" t="s">
        <v>1860</v>
      </c>
      <c r="O392" s="20"/>
      <c r="P392" s="20"/>
      <c r="Q392" s="20"/>
      <c r="R392" s="20"/>
      <c r="S392" s="20"/>
    </row>
    <row r="393">
      <c r="A393" s="49" t="s">
        <v>1861</v>
      </c>
      <c r="B393" s="110">
        <v>46067.0</v>
      </c>
      <c r="C393" s="49" t="s">
        <v>1862</v>
      </c>
      <c r="D393" s="102" t="s">
        <v>1863</v>
      </c>
      <c r="E393" s="25" t="s">
        <v>122</v>
      </c>
      <c r="F393" s="25" t="s">
        <v>129</v>
      </c>
      <c r="G393" s="25" t="s">
        <v>42</v>
      </c>
      <c r="H393" s="49" t="s">
        <v>287</v>
      </c>
      <c r="I393" s="101">
        <v>46186.0</v>
      </c>
      <c r="J393" s="49">
        <v>6.0</v>
      </c>
      <c r="K393" s="30">
        <f>2069000*6</f>
        <v>12414000</v>
      </c>
      <c r="L393" s="49" t="s">
        <v>1864</v>
      </c>
      <c r="M393" s="50">
        <v>8.0</v>
      </c>
      <c r="N393" s="115" t="s">
        <v>1865</v>
      </c>
      <c r="O393" s="20"/>
      <c r="P393" s="20"/>
      <c r="Q393" s="20"/>
      <c r="R393" s="20"/>
      <c r="S393" s="20"/>
    </row>
    <row r="394">
      <c r="A394" s="76" t="s">
        <v>1866</v>
      </c>
      <c r="B394" s="97">
        <v>46068.0</v>
      </c>
      <c r="C394" s="76" t="s">
        <v>1867</v>
      </c>
      <c r="D394" s="99" t="s">
        <v>1868</v>
      </c>
      <c r="E394" s="25" t="s">
        <v>122</v>
      </c>
      <c r="F394" s="25" t="s">
        <v>129</v>
      </c>
      <c r="G394" s="25" t="s">
        <v>42</v>
      </c>
      <c r="H394" s="76" t="s">
        <v>1869</v>
      </c>
      <c r="I394" s="118">
        <v>46068.0</v>
      </c>
      <c r="J394" s="76">
        <v>3.0</v>
      </c>
      <c r="K394" s="46">
        <f>558000*3</f>
        <v>1674000</v>
      </c>
      <c r="L394" s="76" t="s">
        <v>1671</v>
      </c>
      <c r="M394" s="44">
        <v>8.0</v>
      </c>
      <c r="N394" s="45"/>
      <c r="O394" s="20"/>
      <c r="P394" s="20"/>
      <c r="Q394" s="20"/>
      <c r="R394" s="20"/>
      <c r="S394" s="20"/>
    </row>
    <row r="395">
      <c r="A395" s="49" t="s">
        <v>1870</v>
      </c>
      <c r="B395" s="110">
        <v>46068.0</v>
      </c>
      <c r="C395" s="49" t="s">
        <v>1871</v>
      </c>
      <c r="D395" s="102" t="s">
        <v>1872</v>
      </c>
      <c r="E395" s="25" t="s">
        <v>122</v>
      </c>
      <c r="F395" s="25" t="s">
        <v>129</v>
      </c>
      <c r="G395" s="25" t="s">
        <v>42</v>
      </c>
      <c r="H395" s="49" t="s">
        <v>152</v>
      </c>
      <c r="I395" s="23"/>
      <c r="J395" s="49" t="s">
        <v>1873</v>
      </c>
      <c r="K395" s="30"/>
      <c r="L395" s="49" t="s">
        <v>675</v>
      </c>
      <c r="M395" s="50">
        <v>8.0</v>
      </c>
      <c r="N395" s="51"/>
      <c r="O395" s="20"/>
      <c r="P395" s="20"/>
      <c r="Q395" s="20"/>
      <c r="R395" s="20"/>
      <c r="S395" s="20"/>
    </row>
    <row r="396">
      <c r="A396" s="76" t="s">
        <v>1874</v>
      </c>
      <c r="B396" s="97">
        <v>46068.0</v>
      </c>
      <c r="C396" s="76" t="s">
        <v>1875</v>
      </c>
      <c r="D396" s="99" t="s">
        <v>1876</v>
      </c>
      <c r="E396" s="25" t="s">
        <v>1877</v>
      </c>
      <c r="F396" s="25" t="s">
        <v>129</v>
      </c>
      <c r="G396" s="25" t="s">
        <v>79</v>
      </c>
      <c r="H396" s="76" t="s">
        <v>152</v>
      </c>
      <c r="I396" s="118">
        <v>46069.0</v>
      </c>
      <c r="J396" s="10"/>
      <c r="K396" s="19">
        <v>2075000.0</v>
      </c>
      <c r="L396" s="76" t="s">
        <v>1878</v>
      </c>
      <c r="M396" s="44">
        <v>99.0</v>
      </c>
      <c r="N396" s="45"/>
      <c r="O396" s="20"/>
      <c r="P396" s="20"/>
      <c r="Q396" s="20"/>
      <c r="R396" s="20"/>
      <c r="S396" s="20"/>
    </row>
    <row r="397">
      <c r="A397" s="49" t="s">
        <v>1879</v>
      </c>
      <c r="B397" s="110">
        <v>46068.0</v>
      </c>
      <c r="C397" s="49" t="s">
        <v>1880</v>
      </c>
      <c r="D397" s="102" t="s">
        <v>1881</v>
      </c>
      <c r="E397" s="25" t="s">
        <v>1877</v>
      </c>
      <c r="F397" s="25" t="s">
        <v>129</v>
      </c>
      <c r="G397" s="25" t="s">
        <v>42</v>
      </c>
      <c r="H397" s="49" t="s">
        <v>1882</v>
      </c>
      <c r="I397" s="23"/>
      <c r="J397" s="49">
        <v>2.0</v>
      </c>
      <c r="K397" s="30"/>
      <c r="L397" s="49" t="s">
        <v>1883</v>
      </c>
      <c r="M397" s="50">
        <v>8.0</v>
      </c>
      <c r="N397" s="115" t="s">
        <v>1884</v>
      </c>
      <c r="O397" s="20"/>
      <c r="P397" s="20"/>
      <c r="Q397" s="20"/>
      <c r="R397" s="20"/>
      <c r="S397" s="20"/>
    </row>
    <row r="398">
      <c r="A398" s="76" t="s">
        <v>1885</v>
      </c>
      <c r="B398" s="97">
        <v>46068.0</v>
      </c>
      <c r="C398" s="76" t="s">
        <v>1886</v>
      </c>
      <c r="D398" s="99" t="s">
        <v>1887</v>
      </c>
      <c r="E398" s="25" t="s">
        <v>122</v>
      </c>
      <c r="F398" s="25" t="s">
        <v>129</v>
      </c>
      <c r="G398" s="25" t="s">
        <v>42</v>
      </c>
      <c r="H398" s="76" t="s">
        <v>1888</v>
      </c>
      <c r="I398" s="118">
        <v>46069.0</v>
      </c>
      <c r="J398" s="76">
        <v>3.0</v>
      </c>
      <c r="K398" s="46"/>
      <c r="L398" s="76" t="s">
        <v>1889</v>
      </c>
      <c r="M398" s="44">
        <v>8.0</v>
      </c>
      <c r="N398" s="45"/>
      <c r="O398" s="20"/>
      <c r="P398" s="20"/>
      <c r="Q398" s="20"/>
      <c r="R398" s="20"/>
      <c r="S398" s="20"/>
    </row>
    <row r="399">
      <c r="A399" s="49" t="s">
        <v>1890</v>
      </c>
      <c r="B399" s="110">
        <v>46068.0</v>
      </c>
      <c r="C399" s="49" t="s">
        <v>1891</v>
      </c>
      <c r="D399" s="102" t="s">
        <v>1892</v>
      </c>
      <c r="E399" s="25" t="s">
        <v>122</v>
      </c>
      <c r="F399" s="25" t="s">
        <v>983</v>
      </c>
      <c r="G399" s="25" t="s">
        <v>42</v>
      </c>
      <c r="H399" s="76" t="s">
        <v>1893</v>
      </c>
      <c r="I399" s="49" t="s">
        <v>1894</v>
      </c>
      <c r="J399" s="49">
        <v>5.0</v>
      </c>
      <c r="K399" s="36">
        <v>1.8175E7</v>
      </c>
      <c r="L399" s="76" t="s">
        <v>1895</v>
      </c>
      <c r="M399" s="50">
        <v>8.0</v>
      </c>
      <c r="N399" s="51"/>
      <c r="O399" s="20"/>
      <c r="P399" s="20"/>
      <c r="Q399" s="20"/>
      <c r="R399" s="20"/>
      <c r="S399" s="20"/>
    </row>
    <row r="400">
      <c r="A400" s="76" t="s">
        <v>1896</v>
      </c>
      <c r="B400" s="97">
        <v>46068.0</v>
      </c>
      <c r="C400" s="76" t="s">
        <v>1897</v>
      </c>
      <c r="D400" s="99" t="s">
        <v>1898</v>
      </c>
      <c r="E400" s="25" t="s">
        <v>122</v>
      </c>
      <c r="F400" s="25" t="s">
        <v>983</v>
      </c>
      <c r="G400" s="25" t="s">
        <v>42</v>
      </c>
      <c r="H400" s="76" t="s">
        <v>1893</v>
      </c>
      <c r="I400" s="76" t="s">
        <v>1899</v>
      </c>
      <c r="J400" s="76">
        <v>4.0</v>
      </c>
      <c r="K400" s="19">
        <v>1.306E7</v>
      </c>
      <c r="L400" s="76" t="s">
        <v>1900</v>
      </c>
      <c r="M400" s="44">
        <v>8.0</v>
      </c>
      <c r="N400" s="45"/>
      <c r="O400" s="20"/>
      <c r="P400" s="20"/>
      <c r="Q400" s="20"/>
      <c r="R400" s="20"/>
      <c r="S400" s="20"/>
    </row>
    <row r="401">
      <c r="A401" s="49" t="s">
        <v>1901</v>
      </c>
      <c r="B401" s="110">
        <v>46068.0</v>
      </c>
      <c r="C401" s="49" t="s">
        <v>1902</v>
      </c>
      <c r="D401" s="102" t="s">
        <v>1903</v>
      </c>
      <c r="E401" s="25" t="s">
        <v>122</v>
      </c>
      <c r="F401" s="25" t="s">
        <v>129</v>
      </c>
      <c r="G401" s="25" t="s">
        <v>42</v>
      </c>
      <c r="H401" s="49" t="s">
        <v>1904</v>
      </c>
      <c r="I401" s="101">
        <v>46102.0</v>
      </c>
      <c r="J401" s="49">
        <v>5.0</v>
      </c>
      <c r="K401" s="30"/>
      <c r="L401" s="49" t="s">
        <v>1905</v>
      </c>
      <c r="M401" s="50">
        <v>8.0</v>
      </c>
      <c r="N401" s="115" t="s">
        <v>1906</v>
      </c>
      <c r="O401" s="20"/>
      <c r="P401" s="20"/>
      <c r="Q401" s="20"/>
      <c r="R401" s="20"/>
      <c r="S401" s="20"/>
    </row>
    <row r="402">
      <c r="A402" s="76" t="s">
        <v>1907</v>
      </c>
      <c r="B402" s="97">
        <v>46068.0</v>
      </c>
      <c r="C402" s="76" t="s">
        <v>1908</v>
      </c>
      <c r="D402" s="99" t="s">
        <v>1909</v>
      </c>
      <c r="E402" s="25" t="s">
        <v>122</v>
      </c>
      <c r="F402" s="25" t="s">
        <v>129</v>
      </c>
      <c r="G402" s="25" t="s">
        <v>19</v>
      </c>
      <c r="H402" s="76" t="s">
        <v>123</v>
      </c>
      <c r="I402" s="76" t="s">
        <v>1910</v>
      </c>
      <c r="J402" s="76">
        <v>5.0</v>
      </c>
      <c r="K402" s="19">
        <v>1.95E7</v>
      </c>
      <c r="L402" s="76"/>
      <c r="M402" s="44">
        <v>7.0</v>
      </c>
      <c r="N402" s="45"/>
      <c r="O402" s="20"/>
      <c r="P402" s="20"/>
      <c r="Q402" s="20"/>
      <c r="R402" s="20"/>
      <c r="S402" s="20"/>
    </row>
    <row r="403">
      <c r="A403" s="49" t="s">
        <v>1911</v>
      </c>
      <c r="B403" s="110">
        <v>46068.0</v>
      </c>
      <c r="C403" s="49" t="s">
        <v>1912</v>
      </c>
      <c r="D403" s="102" t="s">
        <v>1913</v>
      </c>
      <c r="E403" s="25" t="s">
        <v>122</v>
      </c>
      <c r="F403" s="25" t="s">
        <v>129</v>
      </c>
      <c r="G403" s="25" t="s">
        <v>42</v>
      </c>
      <c r="H403" s="49" t="s">
        <v>1914</v>
      </c>
      <c r="I403" s="49" t="s">
        <v>1915</v>
      </c>
      <c r="J403" s="49">
        <v>2.0</v>
      </c>
      <c r="K403" s="30">
        <f>850000*2</f>
        <v>1700000</v>
      </c>
      <c r="L403" s="49" t="s">
        <v>1916</v>
      </c>
      <c r="M403" s="50">
        <v>8.0</v>
      </c>
      <c r="N403" s="104" t="s">
        <v>1917</v>
      </c>
      <c r="O403" s="20"/>
      <c r="P403" s="20"/>
      <c r="Q403" s="20"/>
      <c r="R403" s="20"/>
      <c r="S403" s="20"/>
    </row>
    <row r="404">
      <c r="A404" s="76" t="s">
        <v>1918</v>
      </c>
      <c r="B404" s="98">
        <v>46069.0</v>
      </c>
      <c r="C404" s="76" t="s">
        <v>1099</v>
      </c>
      <c r="D404" s="99" t="s">
        <v>1100</v>
      </c>
      <c r="E404" s="25" t="s">
        <v>122</v>
      </c>
      <c r="F404" s="25" t="s">
        <v>129</v>
      </c>
      <c r="G404" s="25" t="s">
        <v>42</v>
      </c>
      <c r="H404" s="76" t="s">
        <v>260</v>
      </c>
      <c r="I404" s="76" t="s">
        <v>1919</v>
      </c>
      <c r="J404" s="76">
        <v>9.0</v>
      </c>
      <c r="K404" s="46">
        <f>1600000*9</f>
        <v>14400000</v>
      </c>
      <c r="L404" s="76" t="s">
        <v>1920</v>
      </c>
      <c r="M404" s="44">
        <v>8.0</v>
      </c>
      <c r="N404" s="86" t="s">
        <v>1921</v>
      </c>
      <c r="O404" s="20"/>
      <c r="P404" s="20"/>
      <c r="Q404" s="20"/>
      <c r="R404" s="20"/>
      <c r="S404" s="20"/>
    </row>
    <row r="405">
      <c r="A405" s="49" t="s">
        <v>1922</v>
      </c>
      <c r="B405" s="119">
        <v>46069.0</v>
      </c>
      <c r="C405" s="49" t="s">
        <v>1923</v>
      </c>
      <c r="D405" s="102" t="s">
        <v>1924</v>
      </c>
      <c r="E405" s="25" t="s">
        <v>122</v>
      </c>
      <c r="F405" s="25" t="s">
        <v>129</v>
      </c>
      <c r="G405" s="25" t="s">
        <v>42</v>
      </c>
      <c r="H405" s="49" t="s">
        <v>1925</v>
      </c>
      <c r="I405" s="49" t="s">
        <v>1926</v>
      </c>
      <c r="J405" s="49">
        <v>6.0</v>
      </c>
      <c r="K405" s="36">
        <v>4290000.0</v>
      </c>
      <c r="L405" s="49" t="s">
        <v>1927</v>
      </c>
      <c r="M405" s="50">
        <v>8.0</v>
      </c>
      <c r="N405" s="51"/>
      <c r="O405" s="20"/>
      <c r="P405" s="20"/>
      <c r="Q405" s="20"/>
      <c r="R405" s="20"/>
      <c r="S405" s="20"/>
    </row>
    <row r="406">
      <c r="A406" s="76" t="s">
        <v>1928</v>
      </c>
      <c r="B406" s="98">
        <v>46069.0</v>
      </c>
      <c r="C406" s="76" t="s">
        <v>1929</v>
      </c>
      <c r="D406" s="99" t="s">
        <v>1930</v>
      </c>
      <c r="E406" s="25" t="s">
        <v>122</v>
      </c>
      <c r="F406" s="25" t="s">
        <v>129</v>
      </c>
      <c r="G406" s="25" t="s">
        <v>19</v>
      </c>
      <c r="H406" s="76" t="s">
        <v>1931</v>
      </c>
      <c r="I406" s="118">
        <v>46107.0</v>
      </c>
      <c r="J406" s="76">
        <v>3.0</v>
      </c>
      <c r="K406" s="46">
        <f>650000*4</f>
        <v>2600000</v>
      </c>
      <c r="L406" s="76"/>
      <c r="M406" s="44">
        <v>7.0</v>
      </c>
      <c r="N406" s="45"/>
      <c r="O406" s="20"/>
      <c r="P406" s="20"/>
      <c r="Q406" s="20"/>
      <c r="R406" s="20"/>
      <c r="S406" s="20"/>
    </row>
    <row r="407">
      <c r="A407" s="49" t="s">
        <v>1932</v>
      </c>
      <c r="B407" s="119">
        <v>46069.0</v>
      </c>
      <c r="C407" s="49" t="s">
        <v>1933</v>
      </c>
      <c r="D407" s="102" t="s">
        <v>1934</v>
      </c>
      <c r="E407" s="25" t="s">
        <v>122</v>
      </c>
      <c r="F407" s="25" t="s">
        <v>129</v>
      </c>
      <c r="G407" s="25" t="s">
        <v>42</v>
      </c>
      <c r="H407" s="49" t="s">
        <v>1935</v>
      </c>
      <c r="I407" s="23"/>
      <c r="J407" s="23"/>
      <c r="K407" s="30"/>
      <c r="L407" s="49" t="s">
        <v>1614</v>
      </c>
      <c r="M407" s="50">
        <v>8.0</v>
      </c>
      <c r="N407" s="51"/>
      <c r="O407" s="20"/>
      <c r="P407" s="20"/>
      <c r="Q407" s="20"/>
      <c r="R407" s="20"/>
      <c r="S407" s="20"/>
    </row>
    <row r="408">
      <c r="A408" s="76" t="s">
        <v>1936</v>
      </c>
      <c r="B408" s="97">
        <v>46069.0</v>
      </c>
      <c r="C408" s="76" t="s">
        <v>1937</v>
      </c>
      <c r="D408" s="99" t="s">
        <v>1938</v>
      </c>
      <c r="E408" s="25" t="s">
        <v>122</v>
      </c>
      <c r="F408" s="25" t="s">
        <v>983</v>
      </c>
      <c r="G408" s="25" t="s">
        <v>42</v>
      </c>
      <c r="H408" s="76" t="s">
        <v>156</v>
      </c>
      <c r="I408" s="76" t="s">
        <v>1939</v>
      </c>
      <c r="J408" s="76">
        <v>2.0</v>
      </c>
      <c r="K408" s="19">
        <v>7116000.0</v>
      </c>
      <c r="L408" s="76" t="s">
        <v>1583</v>
      </c>
      <c r="M408" s="44">
        <v>8.0</v>
      </c>
      <c r="N408" s="45"/>
      <c r="O408" s="20"/>
      <c r="P408" s="20"/>
      <c r="Q408" s="20"/>
      <c r="R408" s="20"/>
      <c r="S408" s="20"/>
    </row>
    <row r="409">
      <c r="A409" s="49" t="s">
        <v>1940</v>
      </c>
      <c r="B409" s="110">
        <v>46069.0</v>
      </c>
      <c r="C409" s="49" t="s">
        <v>1941</v>
      </c>
      <c r="D409" s="102" t="s">
        <v>1942</v>
      </c>
      <c r="E409" s="25" t="s">
        <v>122</v>
      </c>
      <c r="F409" s="25" t="s">
        <v>129</v>
      </c>
      <c r="G409" s="25" t="s">
        <v>79</v>
      </c>
      <c r="H409" s="49" t="s">
        <v>1943</v>
      </c>
      <c r="I409" s="131">
        <v>46070.0</v>
      </c>
      <c r="J409" s="49">
        <v>4.0</v>
      </c>
      <c r="K409" s="36">
        <v>2915000.0</v>
      </c>
      <c r="L409" s="23"/>
      <c r="M409" s="50">
        <v>99.0</v>
      </c>
      <c r="N409" s="51"/>
      <c r="O409" s="20"/>
      <c r="P409" s="20"/>
      <c r="Q409" s="20"/>
      <c r="R409" s="20"/>
      <c r="S409" s="20"/>
    </row>
    <row r="410">
      <c r="A410" s="49" t="s">
        <v>1944</v>
      </c>
      <c r="B410" s="110">
        <v>46069.0</v>
      </c>
      <c r="C410" s="49" t="s">
        <v>1945</v>
      </c>
      <c r="D410" s="102" t="s">
        <v>1946</v>
      </c>
      <c r="E410" s="25" t="s">
        <v>122</v>
      </c>
      <c r="F410" s="25" t="s">
        <v>129</v>
      </c>
      <c r="G410" s="25" t="s">
        <v>42</v>
      </c>
      <c r="H410" s="49" t="s">
        <v>1947</v>
      </c>
      <c r="I410" s="23"/>
      <c r="J410" s="23"/>
      <c r="K410" s="30"/>
      <c r="L410" s="49" t="s">
        <v>158</v>
      </c>
      <c r="M410" s="50">
        <v>8.0</v>
      </c>
      <c r="N410" s="51"/>
      <c r="O410" s="20"/>
      <c r="P410" s="20"/>
      <c r="Q410" s="20"/>
      <c r="R410" s="20"/>
      <c r="S410" s="20"/>
    </row>
    <row r="411">
      <c r="A411" s="76" t="s">
        <v>1948</v>
      </c>
      <c r="B411" s="97">
        <v>46069.0</v>
      </c>
      <c r="C411" s="76" t="s">
        <v>1949</v>
      </c>
      <c r="D411" s="99" t="s">
        <v>1950</v>
      </c>
      <c r="E411" s="25" t="s">
        <v>122</v>
      </c>
      <c r="F411" s="25" t="s">
        <v>129</v>
      </c>
      <c r="G411" s="25" t="s">
        <v>79</v>
      </c>
      <c r="H411" s="76" t="s">
        <v>199</v>
      </c>
      <c r="I411" s="76" t="s">
        <v>1951</v>
      </c>
      <c r="J411" s="76">
        <v>3.0</v>
      </c>
      <c r="K411" s="46"/>
      <c r="L411" s="76" t="s">
        <v>1952</v>
      </c>
      <c r="M411" s="44">
        <v>99.0</v>
      </c>
      <c r="N411" s="45"/>
      <c r="O411" s="20"/>
      <c r="P411" s="20"/>
      <c r="Q411" s="20"/>
      <c r="R411" s="20"/>
      <c r="S411" s="20"/>
    </row>
    <row r="412">
      <c r="A412" s="49" t="s">
        <v>1953</v>
      </c>
      <c r="B412" s="110">
        <v>46069.0</v>
      </c>
      <c r="C412" s="49" t="s">
        <v>1954</v>
      </c>
      <c r="D412" s="102" t="s">
        <v>1955</v>
      </c>
      <c r="E412" s="25" t="s">
        <v>17</v>
      </c>
      <c r="F412" s="25" t="s">
        <v>129</v>
      </c>
      <c r="G412" s="25" t="s">
        <v>42</v>
      </c>
      <c r="H412" s="49" t="s">
        <v>116</v>
      </c>
      <c r="I412" s="23"/>
      <c r="J412" s="23"/>
      <c r="K412" s="30"/>
      <c r="L412" s="49" t="s">
        <v>158</v>
      </c>
      <c r="M412" s="50">
        <v>8.0</v>
      </c>
      <c r="N412" s="51"/>
      <c r="O412" s="20"/>
      <c r="P412" s="20"/>
      <c r="Q412" s="20"/>
      <c r="R412" s="20"/>
      <c r="S412" s="20"/>
    </row>
    <row r="413">
      <c r="A413" s="76" t="s">
        <v>1956</v>
      </c>
      <c r="B413" s="97">
        <v>46069.0</v>
      </c>
      <c r="C413" s="76" t="s">
        <v>1957</v>
      </c>
      <c r="D413" s="99" t="s">
        <v>1958</v>
      </c>
      <c r="E413" s="25" t="s">
        <v>17</v>
      </c>
      <c r="F413" s="25" t="s">
        <v>129</v>
      </c>
      <c r="G413" s="25" t="s">
        <v>42</v>
      </c>
      <c r="H413" s="76" t="s">
        <v>116</v>
      </c>
      <c r="I413" s="76" t="s">
        <v>1959</v>
      </c>
      <c r="J413" s="76" t="s">
        <v>1960</v>
      </c>
      <c r="K413" s="46">
        <f>5600000*30</f>
        <v>168000000</v>
      </c>
      <c r="L413" s="76" t="s">
        <v>1961</v>
      </c>
      <c r="M413" s="44">
        <v>8.0</v>
      </c>
      <c r="N413" s="105" t="s">
        <v>1962</v>
      </c>
      <c r="O413" s="20"/>
      <c r="P413" s="20"/>
      <c r="Q413" s="20"/>
      <c r="R413" s="20"/>
      <c r="S413" s="20"/>
    </row>
    <row r="414">
      <c r="A414" s="76" t="s">
        <v>1963</v>
      </c>
      <c r="B414" s="97">
        <v>46070.0</v>
      </c>
      <c r="C414" s="76" t="s">
        <v>1964</v>
      </c>
      <c r="D414" s="99" t="s">
        <v>1965</v>
      </c>
      <c r="E414" s="25" t="s">
        <v>17</v>
      </c>
      <c r="F414" s="25" t="s">
        <v>983</v>
      </c>
      <c r="G414" s="25" t="s">
        <v>42</v>
      </c>
      <c r="H414" s="76" t="s">
        <v>123</v>
      </c>
      <c r="I414" s="118">
        <v>46101.0</v>
      </c>
      <c r="J414" s="76">
        <v>5.0</v>
      </c>
      <c r="K414" s="19">
        <v>7000000.0</v>
      </c>
      <c r="L414" s="76" t="s">
        <v>1966</v>
      </c>
      <c r="M414" s="44">
        <v>8.0</v>
      </c>
      <c r="N414" s="45"/>
      <c r="O414" s="20"/>
      <c r="P414" s="20"/>
      <c r="Q414" s="20"/>
      <c r="R414" s="20"/>
      <c r="S414" s="20"/>
    </row>
    <row r="415">
      <c r="A415" s="76" t="s">
        <v>1967</v>
      </c>
      <c r="B415" s="97">
        <v>46070.0</v>
      </c>
      <c r="C415" s="76" t="s">
        <v>1968</v>
      </c>
      <c r="D415" s="99" t="s">
        <v>1969</v>
      </c>
      <c r="E415" s="25" t="s">
        <v>128</v>
      </c>
      <c r="F415" s="25" t="s">
        <v>129</v>
      </c>
      <c r="G415" s="25" t="s">
        <v>42</v>
      </c>
      <c r="H415" s="76" t="s">
        <v>86</v>
      </c>
      <c r="I415" s="10"/>
      <c r="J415" s="76">
        <v>2.0</v>
      </c>
      <c r="K415" s="46"/>
      <c r="L415" s="76" t="s">
        <v>1970</v>
      </c>
      <c r="M415" s="44">
        <v>8.0</v>
      </c>
      <c r="N415" s="45"/>
      <c r="O415" s="20"/>
      <c r="P415" s="20"/>
      <c r="Q415" s="20"/>
      <c r="R415" s="20"/>
      <c r="S415" s="20"/>
    </row>
    <row r="416">
      <c r="A416" s="49" t="s">
        <v>1971</v>
      </c>
      <c r="B416" s="110">
        <v>46070.0</v>
      </c>
      <c r="C416" s="49" t="s">
        <v>1972</v>
      </c>
      <c r="D416" s="102" t="s">
        <v>1973</v>
      </c>
      <c r="E416" s="25" t="s">
        <v>17</v>
      </c>
      <c r="F416" s="25" t="s">
        <v>129</v>
      </c>
      <c r="G416" s="25" t="s">
        <v>42</v>
      </c>
      <c r="H416" s="23"/>
      <c r="I416" s="23"/>
      <c r="J416" s="23"/>
      <c r="K416" s="30"/>
      <c r="L416" s="49" t="s">
        <v>158</v>
      </c>
      <c r="M416" s="50">
        <v>8.0</v>
      </c>
      <c r="N416" s="51"/>
      <c r="O416" s="20"/>
      <c r="P416" s="20"/>
      <c r="Q416" s="20"/>
      <c r="R416" s="20"/>
      <c r="S416" s="20"/>
    </row>
    <row r="417">
      <c r="A417" s="49" t="s">
        <v>1974</v>
      </c>
      <c r="B417" s="110">
        <v>46070.0</v>
      </c>
      <c r="C417" s="49" t="s">
        <v>1975</v>
      </c>
      <c r="D417" s="102" t="s">
        <v>1976</v>
      </c>
      <c r="E417" s="25" t="s">
        <v>122</v>
      </c>
      <c r="F417" s="25" t="s">
        <v>129</v>
      </c>
      <c r="G417" s="25" t="s">
        <v>34</v>
      </c>
      <c r="H417" s="49" t="s">
        <v>1977</v>
      </c>
      <c r="I417" s="49" t="s">
        <v>1978</v>
      </c>
      <c r="J417" s="49">
        <v>6.0</v>
      </c>
      <c r="K417" s="30">
        <f>960000*6</f>
        <v>5760000</v>
      </c>
      <c r="L417" s="49" t="s">
        <v>1979</v>
      </c>
      <c r="M417" s="50">
        <v>2.0</v>
      </c>
      <c r="N417" s="104" t="s">
        <v>1980</v>
      </c>
      <c r="O417" s="20"/>
      <c r="P417" s="20"/>
      <c r="Q417" s="20"/>
      <c r="R417" s="20"/>
      <c r="S417" s="20"/>
    </row>
    <row r="418">
      <c r="A418" s="49" t="s">
        <v>1981</v>
      </c>
      <c r="B418" s="110">
        <v>46069.0</v>
      </c>
      <c r="C418" s="49" t="s">
        <v>1982</v>
      </c>
      <c r="D418" s="102" t="s">
        <v>1983</v>
      </c>
      <c r="E418" s="25" t="s">
        <v>122</v>
      </c>
      <c r="F418" s="25" t="s">
        <v>18</v>
      </c>
      <c r="G418" s="25" t="s">
        <v>42</v>
      </c>
      <c r="H418" s="49" t="s">
        <v>123</v>
      </c>
      <c r="I418" s="23"/>
      <c r="J418" s="49">
        <v>2.0</v>
      </c>
      <c r="K418" s="30"/>
      <c r="L418" s="49" t="s">
        <v>1984</v>
      </c>
      <c r="M418" s="50">
        <v>8.0</v>
      </c>
      <c r="N418" s="51"/>
      <c r="O418" s="20"/>
      <c r="P418" s="20"/>
      <c r="Q418" s="20"/>
      <c r="R418" s="20"/>
      <c r="S418" s="20"/>
    </row>
    <row r="419">
      <c r="A419" s="76" t="s">
        <v>1985</v>
      </c>
      <c r="B419" s="97">
        <v>46069.0</v>
      </c>
      <c r="C419" s="76" t="s">
        <v>1986</v>
      </c>
      <c r="D419" s="99" t="s">
        <v>1986</v>
      </c>
      <c r="E419" s="25" t="s">
        <v>17</v>
      </c>
      <c r="F419" s="25" t="s">
        <v>18</v>
      </c>
      <c r="G419" s="25" t="s">
        <v>42</v>
      </c>
      <c r="H419" s="76" t="s">
        <v>123</v>
      </c>
      <c r="I419" s="76" t="s">
        <v>1987</v>
      </c>
      <c r="J419" s="76">
        <v>2.0</v>
      </c>
      <c r="K419" s="46"/>
      <c r="L419" s="76" t="s">
        <v>158</v>
      </c>
      <c r="M419" s="44">
        <v>8.0</v>
      </c>
      <c r="N419" s="45"/>
      <c r="O419" s="20"/>
      <c r="P419" s="20"/>
      <c r="Q419" s="20"/>
      <c r="R419" s="20"/>
      <c r="S419" s="20"/>
    </row>
    <row r="420">
      <c r="A420" s="49" t="s">
        <v>1988</v>
      </c>
      <c r="B420" s="110">
        <v>46069.0</v>
      </c>
      <c r="C420" s="49" t="s">
        <v>1989</v>
      </c>
      <c r="D420" s="102" t="s">
        <v>1990</v>
      </c>
      <c r="E420" s="25" t="s">
        <v>122</v>
      </c>
      <c r="F420" s="25" t="s">
        <v>18</v>
      </c>
      <c r="G420" s="25" t="s">
        <v>42</v>
      </c>
      <c r="H420" s="49" t="s">
        <v>123</v>
      </c>
      <c r="I420" s="49" t="s">
        <v>1991</v>
      </c>
      <c r="J420" s="49">
        <v>2.0</v>
      </c>
      <c r="K420" s="30"/>
      <c r="L420" s="49" t="s">
        <v>840</v>
      </c>
      <c r="M420" s="50">
        <v>8.0</v>
      </c>
      <c r="N420" s="104" t="s">
        <v>1992</v>
      </c>
      <c r="O420" s="20"/>
      <c r="P420" s="20"/>
      <c r="Q420" s="20"/>
      <c r="R420" s="20"/>
      <c r="S420" s="20"/>
    </row>
    <row r="421">
      <c r="A421" s="76" t="s">
        <v>1993</v>
      </c>
      <c r="B421" s="97">
        <v>46070.0</v>
      </c>
      <c r="C421" s="76" t="s">
        <v>1994</v>
      </c>
      <c r="D421" s="99" t="s">
        <v>1995</v>
      </c>
      <c r="E421" s="25" t="s">
        <v>17</v>
      </c>
      <c r="F421" s="25" t="s">
        <v>18</v>
      </c>
      <c r="G421" s="25" t="s">
        <v>42</v>
      </c>
      <c r="H421" s="76" t="s">
        <v>86</v>
      </c>
      <c r="I421" s="10"/>
      <c r="J421" s="10"/>
      <c r="K421" s="46"/>
      <c r="L421" s="76" t="s">
        <v>158</v>
      </c>
      <c r="M421" s="44">
        <v>8.0</v>
      </c>
      <c r="N421" s="45"/>
      <c r="O421" s="20"/>
      <c r="P421" s="20"/>
      <c r="Q421" s="20"/>
      <c r="R421" s="20"/>
      <c r="S421" s="20"/>
    </row>
    <row r="422">
      <c r="A422" s="49" t="s">
        <v>1996</v>
      </c>
      <c r="B422" s="110">
        <v>46070.0</v>
      </c>
      <c r="C422" s="49" t="s">
        <v>1997</v>
      </c>
      <c r="D422" s="102" t="s">
        <v>1998</v>
      </c>
      <c r="E422" s="25" t="s">
        <v>17</v>
      </c>
      <c r="F422" s="25" t="s">
        <v>18</v>
      </c>
      <c r="G422" s="25" t="s">
        <v>42</v>
      </c>
      <c r="H422" s="49" t="s">
        <v>86</v>
      </c>
      <c r="I422" s="49" t="s">
        <v>1468</v>
      </c>
      <c r="J422" s="49">
        <v>12.0</v>
      </c>
      <c r="K422" s="36">
        <v>1.14E7</v>
      </c>
      <c r="L422" s="49" t="s">
        <v>1999</v>
      </c>
      <c r="M422" s="50">
        <v>8.0</v>
      </c>
      <c r="N422" s="104" t="s">
        <v>2000</v>
      </c>
      <c r="O422" s="20"/>
      <c r="P422" s="20"/>
      <c r="Q422" s="20"/>
      <c r="R422" s="20"/>
      <c r="S422" s="20"/>
    </row>
    <row r="423">
      <c r="A423" s="76" t="s">
        <v>2001</v>
      </c>
      <c r="B423" s="97">
        <v>46070.0</v>
      </c>
      <c r="C423" s="76" t="s">
        <v>2002</v>
      </c>
      <c r="D423" s="99" t="s">
        <v>2003</v>
      </c>
      <c r="E423" s="25" t="s">
        <v>17</v>
      </c>
      <c r="F423" s="25" t="s">
        <v>18</v>
      </c>
      <c r="G423" s="25" t="s">
        <v>79</v>
      </c>
      <c r="H423" s="76" t="s">
        <v>123</v>
      </c>
      <c r="I423" s="76" t="s">
        <v>2004</v>
      </c>
      <c r="J423" s="76">
        <v>10.0</v>
      </c>
      <c r="K423" s="19">
        <v>1.1E7</v>
      </c>
      <c r="L423" s="76" t="s">
        <v>2005</v>
      </c>
      <c r="M423" s="44">
        <v>99.0</v>
      </c>
      <c r="N423" s="86" t="s">
        <v>2006</v>
      </c>
      <c r="O423" s="20"/>
      <c r="P423" s="20"/>
      <c r="Q423" s="20"/>
      <c r="R423" s="20"/>
      <c r="S423" s="20"/>
    </row>
    <row r="424">
      <c r="A424" s="76" t="s">
        <v>2007</v>
      </c>
      <c r="B424" s="97">
        <v>46070.0</v>
      </c>
      <c r="C424" s="76" t="s">
        <v>2008</v>
      </c>
      <c r="D424" s="99" t="s">
        <v>2009</v>
      </c>
      <c r="E424" s="25" t="s">
        <v>128</v>
      </c>
      <c r="F424" s="25" t="s">
        <v>129</v>
      </c>
      <c r="G424" s="25" t="s">
        <v>29</v>
      </c>
      <c r="H424" s="76" t="s">
        <v>2010</v>
      </c>
      <c r="I424" s="76" t="s">
        <v>2011</v>
      </c>
      <c r="J424" s="76">
        <v>30.0</v>
      </c>
      <c r="K424" s="46"/>
      <c r="L424" s="76" t="s">
        <v>2012</v>
      </c>
      <c r="M424" s="44">
        <v>1.0</v>
      </c>
      <c r="N424" s="105" t="s">
        <v>2013</v>
      </c>
      <c r="O424" s="20"/>
      <c r="P424" s="20"/>
      <c r="Q424" s="20"/>
      <c r="R424" s="20"/>
      <c r="S424" s="20"/>
    </row>
    <row r="425">
      <c r="A425" s="49" t="s">
        <v>2014</v>
      </c>
      <c r="B425" s="110">
        <v>46070.0</v>
      </c>
      <c r="C425" s="49" t="s">
        <v>2015</v>
      </c>
      <c r="D425" s="102" t="s">
        <v>2016</v>
      </c>
      <c r="E425" s="25" t="s">
        <v>128</v>
      </c>
      <c r="F425" s="25" t="s">
        <v>129</v>
      </c>
      <c r="G425" s="25" t="s">
        <v>42</v>
      </c>
      <c r="H425" s="49" t="s">
        <v>2017</v>
      </c>
      <c r="I425" s="49" t="s">
        <v>2018</v>
      </c>
      <c r="J425" s="49">
        <v>2.0</v>
      </c>
      <c r="K425" s="30">
        <f>1274000*2</f>
        <v>2548000</v>
      </c>
      <c r="L425" s="49" t="s">
        <v>158</v>
      </c>
      <c r="M425" s="50">
        <v>8.0</v>
      </c>
      <c r="N425" s="51"/>
      <c r="O425" s="20"/>
      <c r="P425" s="20"/>
      <c r="Q425" s="20"/>
      <c r="R425" s="20"/>
      <c r="S425" s="20"/>
    </row>
    <row r="426">
      <c r="A426" s="76" t="s">
        <v>2019</v>
      </c>
      <c r="B426" s="97">
        <v>46070.0</v>
      </c>
      <c r="C426" s="76" t="s">
        <v>2020</v>
      </c>
      <c r="D426" s="99" t="s">
        <v>2021</v>
      </c>
      <c r="E426" s="25" t="s">
        <v>128</v>
      </c>
      <c r="F426" s="25" t="s">
        <v>129</v>
      </c>
      <c r="G426" s="25" t="s">
        <v>42</v>
      </c>
      <c r="H426" s="10"/>
      <c r="I426" s="10"/>
      <c r="J426" s="10"/>
      <c r="K426" s="46"/>
      <c r="L426" s="76" t="s">
        <v>158</v>
      </c>
      <c r="M426" s="44">
        <v>8.0</v>
      </c>
      <c r="N426" s="45"/>
      <c r="O426" s="20"/>
      <c r="P426" s="20"/>
      <c r="Q426" s="20"/>
      <c r="R426" s="20"/>
      <c r="S426" s="20"/>
    </row>
    <row r="427">
      <c r="A427" s="49" t="s">
        <v>2022</v>
      </c>
      <c r="B427" s="110">
        <v>46070.0</v>
      </c>
      <c r="C427" s="49" t="s">
        <v>2023</v>
      </c>
      <c r="D427" s="102" t="s">
        <v>2024</v>
      </c>
      <c r="E427" s="25" t="s">
        <v>128</v>
      </c>
      <c r="F427" s="25" t="s">
        <v>129</v>
      </c>
      <c r="G427" s="25" t="s">
        <v>42</v>
      </c>
      <c r="H427" s="23"/>
      <c r="I427" s="23"/>
      <c r="J427" s="23"/>
      <c r="K427" s="30"/>
      <c r="L427" s="49" t="s">
        <v>158</v>
      </c>
      <c r="M427" s="50">
        <v>8.0</v>
      </c>
      <c r="N427" s="51"/>
      <c r="O427" s="20"/>
      <c r="P427" s="20"/>
      <c r="Q427" s="20"/>
      <c r="R427" s="20"/>
      <c r="S427" s="20"/>
    </row>
    <row r="428">
      <c r="A428" s="76" t="s">
        <v>2025</v>
      </c>
      <c r="B428" s="97">
        <v>46070.0</v>
      </c>
      <c r="C428" s="76" t="s">
        <v>2026</v>
      </c>
      <c r="D428" s="99" t="s">
        <v>2027</v>
      </c>
      <c r="E428" s="25" t="s">
        <v>128</v>
      </c>
      <c r="F428" s="25" t="s">
        <v>129</v>
      </c>
      <c r="G428" s="25" t="s">
        <v>43</v>
      </c>
      <c r="H428" s="76" t="s">
        <v>260</v>
      </c>
      <c r="I428" s="76" t="s">
        <v>2028</v>
      </c>
      <c r="J428" s="76">
        <v>1.0</v>
      </c>
      <c r="K428" s="19">
        <v>1600000.0</v>
      </c>
      <c r="L428" s="76" t="s">
        <v>2029</v>
      </c>
      <c r="M428" s="44">
        <v>3.0</v>
      </c>
      <c r="N428" s="86" t="s">
        <v>2030</v>
      </c>
      <c r="O428" s="20"/>
      <c r="P428" s="20"/>
      <c r="Q428" s="20"/>
      <c r="R428" s="20"/>
      <c r="S428" s="20"/>
    </row>
    <row r="429">
      <c r="A429" s="49" t="s">
        <v>2031</v>
      </c>
      <c r="B429" s="110">
        <v>46070.0</v>
      </c>
      <c r="C429" s="49" t="s">
        <v>2032</v>
      </c>
      <c r="D429" s="102" t="s">
        <v>2033</v>
      </c>
      <c r="E429" s="25" t="s">
        <v>128</v>
      </c>
      <c r="F429" s="25" t="s">
        <v>129</v>
      </c>
      <c r="G429" s="25" t="s">
        <v>42</v>
      </c>
      <c r="H429" s="49" t="s">
        <v>123</v>
      </c>
      <c r="I429" s="49" t="s">
        <v>1199</v>
      </c>
      <c r="J429" s="49">
        <v>2.0</v>
      </c>
      <c r="K429" s="30">
        <f>3064000*2</f>
        <v>6128000</v>
      </c>
      <c r="L429" s="49" t="s">
        <v>2034</v>
      </c>
      <c r="M429" s="50">
        <v>8.0</v>
      </c>
      <c r="N429" s="115" t="s">
        <v>2035</v>
      </c>
      <c r="O429" s="20"/>
      <c r="P429" s="20"/>
      <c r="Q429" s="20"/>
      <c r="R429" s="20"/>
      <c r="S429" s="20"/>
    </row>
    <row r="430">
      <c r="A430" s="76" t="s">
        <v>2036</v>
      </c>
      <c r="B430" s="97">
        <v>46070.0</v>
      </c>
      <c r="C430" s="76" t="s">
        <v>2037</v>
      </c>
      <c r="D430" s="99" t="s">
        <v>2038</v>
      </c>
      <c r="E430" s="25" t="s">
        <v>128</v>
      </c>
      <c r="F430" s="25" t="s">
        <v>129</v>
      </c>
      <c r="G430" s="25" t="s">
        <v>19</v>
      </c>
      <c r="H430" s="76" t="s">
        <v>370</v>
      </c>
      <c r="I430" s="76" t="s">
        <v>2039</v>
      </c>
      <c r="J430" s="76">
        <v>8.0</v>
      </c>
      <c r="K430" s="46">
        <f>1925000*8</f>
        <v>15400000</v>
      </c>
      <c r="L430" s="76" t="s">
        <v>2040</v>
      </c>
      <c r="M430" s="44">
        <v>7.0</v>
      </c>
      <c r="N430" s="86" t="s">
        <v>2041</v>
      </c>
      <c r="O430" s="20"/>
      <c r="P430" s="20"/>
      <c r="Q430" s="20"/>
      <c r="R430" s="20"/>
      <c r="S430" s="20"/>
    </row>
    <row r="431">
      <c r="A431" s="132" t="s">
        <v>2042</v>
      </c>
      <c r="B431" s="110">
        <v>46070.0</v>
      </c>
      <c r="C431" s="49" t="s">
        <v>2043</v>
      </c>
      <c r="D431" s="102" t="s">
        <v>2044</v>
      </c>
      <c r="E431" s="25" t="s">
        <v>128</v>
      </c>
      <c r="F431" s="25" t="s">
        <v>129</v>
      </c>
      <c r="G431" s="25" t="s">
        <v>42</v>
      </c>
      <c r="H431" s="49" t="s">
        <v>96</v>
      </c>
      <c r="I431" s="23"/>
      <c r="J431" s="23"/>
      <c r="K431" s="30"/>
      <c r="L431" s="49" t="s">
        <v>158</v>
      </c>
      <c r="M431" s="50">
        <v>8.0</v>
      </c>
      <c r="N431" s="51"/>
      <c r="O431" s="20"/>
      <c r="P431" s="20"/>
      <c r="Q431" s="20"/>
      <c r="R431" s="20"/>
      <c r="S431" s="20"/>
    </row>
    <row r="432">
      <c r="A432" s="76" t="s">
        <v>2045</v>
      </c>
      <c r="B432" s="97">
        <v>46071.0</v>
      </c>
      <c r="C432" s="76" t="s">
        <v>2046</v>
      </c>
      <c r="D432" s="99" t="s">
        <v>2047</v>
      </c>
      <c r="E432" s="25" t="s">
        <v>122</v>
      </c>
      <c r="F432" s="25" t="s">
        <v>129</v>
      </c>
      <c r="G432" s="25" t="s">
        <v>42</v>
      </c>
      <c r="H432" s="76" t="s">
        <v>86</v>
      </c>
      <c r="I432" s="118">
        <v>46143.0</v>
      </c>
      <c r="J432" s="76">
        <v>2.0</v>
      </c>
      <c r="K432" s="46">
        <f>2340000*2</f>
        <v>4680000</v>
      </c>
      <c r="L432" s="76" t="s">
        <v>2048</v>
      </c>
      <c r="M432" s="44">
        <v>8.0</v>
      </c>
      <c r="N432" s="86" t="s">
        <v>2049</v>
      </c>
      <c r="O432" s="20"/>
      <c r="P432" s="20"/>
      <c r="Q432" s="20"/>
      <c r="R432" s="20"/>
      <c r="S432" s="20"/>
    </row>
    <row r="433">
      <c r="A433" s="49" t="s">
        <v>2050</v>
      </c>
      <c r="B433" s="110">
        <v>46071.0</v>
      </c>
      <c r="C433" s="49" t="s">
        <v>2051</v>
      </c>
      <c r="D433" s="102" t="s">
        <v>2052</v>
      </c>
      <c r="E433" s="25" t="s">
        <v>128</v>
      </c>
      <c r="F433" s="25" t="s">
        <v>129</v>
      </c>
      <c r="G433" s="25" t="s">
        <v>34</v>
      </c>
      <c r="H433" s="49" t="s">
        <v>2053</v>
      </c>
      <c r="I433" s="49" t="s">
        <v>2054</v>
      </c>
      <c r="J433" s="49">
        <v>2.0</v>
      </c>
      <c r="K433" s="30">
        <f>1500000*2</f>
        <v>3000000</v>
      </c>
      <c r="L433" s="49" t="s">
        <v>2055</v>
      </c>
      <c r="M433" s="50">
        <v>2.0</v>
      </c>
      <c r="N433" s="104" t="s">
        <v>2056</v>
      </c>
      <c r="O433" s="20"/>
      <c r="P433" s="20"/>
      <c r="Q433" s="20"/>
      <c r="R433" s="20"/>
      <c r="S433" s="20"/>
    </row>
    <row r="434">
      <c r="A434" s="76" t="s">
        <v>2057</v>
      </c>
      <c r="B434" s="97">
        <v>46071.0</v>
      </c>
      <c r="C434" s="76" t="s">
        <v>2058</v>
      </c>
      <c r="D434" s="99" t="s">
        <v>2059</v>
      </c>
      <c r="E434" s="25" t="s">
        <v>128</v>
      </c>
      <c r="F434" s="25" t="s">
        <v>129</v>
      </c>
      <c r="G434" s="25" t="s">
        <v>42</v>
      </c>
      <c r="H434" s="76" t="s">
        <v>2060</v>
      </c>
      <c r="I434" s="76" t="s">
        <v>2061</v>
      </c>
      <c r="J434" s="76">
        <v>4.0</v>
      </c>
      <c r="K434" s="46">
        <f>2115000*4</f>
        <v>8460000</v>
      </c>
      <c r="L434" s="76" t="s">
        <v>2062</v>
      </c>
      <c r="M434" s="44">
        <v>8.0</v>
      </c>
      <c r="N434" s="45"/>
      <c r="O434" s="20"/>
      <c r="P434" s="20"/>
      <c r="Q434" s="20"/>
      <c r="R434" s="20"/>
      <c r="S434" s="20"/>
    </row>
    <row r="435">
      <c r="A435" s="49" t="s">
        <v>2063</v>
      </c>
      <c r="B435" s="110">
        <v>46071.0</v>
      </c>
      <c r="C435" s="49" t="s">
        <v>2064</v>
      </c>
      <c r="D435" s="102" t="s">
        <v>2065</v>
      </c>
      <c r="E435" s="25" t="s">
        <v>122</v>
      </c>
      <c r="F435" s="25" t="s">
        <v>18</v>
      </c>
      <c r="G435" s="25" t="s">
        <v>42</v>
      </c>
      <c r="H435" s="49" t="s">
        <v>2066</v>
      </c>
      <c r="I435" s="101">
        <v>46105.0</v>
      </c>
      <c r="J435" s="49">
        <v>2.0</v>
      </c>
      <c r="K435" s="30">
        <f>1140100*2</f>
        <v>2280200</v>
      </c>
      <c r="L435" s="49" t="s">
        <v>2067</v>
      </c>
      <c r="M435" s="50">
        <v>8.0</v>
      </c>
      <c r="N435" s="51"/>
      <c r="O435" s="20"/>
      <c r="P435" s="20"/>
      <c r="Q435" s="20"/>
      <c r="R435" s="20"/>
      <c r="S435" s="20"/>
    </row>
    <row r="436">
      <c r="A436" s="76" t="s">
        <v>2068</v>
      </c>
      <c r="B436" s="97">
        <v>46071.0</v>
      </c>
      <c r="C436" s="76" t="s">
        <v>2069</v>
      </c>
      <c r="D436" s="99" t="s">
        <v>2070</v>
      </c>
      <c r="E436" s="25" t="s">
        <v>122</v>
      </c>
      <c r="F436" s="25" t="s">
        <v>18</v>
      </c>
      <c r="G436" s="25" t="s">
        <v>42</v>
      </c>
      <c r="H436" s="76" t="s">
        <v>2071</v>
      </c>
      <c r="I436" s="10"/>
      <c r="J436" s="10"/>
      <c r="K436" s="46"/>
      <c r="L436" s="76" t="s">
        <v>900</v>
      </c>
      <c r="M436" s="44">
        <v>8.0</v>
      </c>
      <c r="N436" s="45"/>
      <c r="O436" s="20"/>
      <c r="P436" s="20"/>
      <c r="Q436" s="20"/>
      <c r="R436" s="20"/>
      <c r="S436" s="20"/>
    </row>
    <row r="437">
      <c r="A437" s="49" t="s">
        <v>2072</v>
      </c>
      <c r="B437" s="110">
        <v>46071.0</v>
      </c>
      <c r="C437" s="49" t="s">
        <v>2073</v>
      </c>
      <c r="D437" s="102" t="s">
        <v>2059</v>
      </c>
      <c r="E437" s="25" t="s">
        <v>122</v>
      </c>
      <c r="F437" s="25" t="s">
        <v>983</v>
      </c>
      <c r="G437" s="25" t="s">
        <v>42</v>
      </c>
      <c r="H437" s="23"/>
      <c r="I437" s="23"/>
      <c r="J437" s="23"/>
      <c r="K437" s="30"/>
      <c r="L437" s="49" t="s">
        <v>2074</v>
      </c>
      <c r="M437" s="50">
        <v>8.0</v>
      </c>
      <c r="N437" s="51"/>
      <c r="O437" s="20"/>
      <c r="P437" s="20"/>
      <c r="Q437" s="20"/>
      <c r="R437" s="20"/>
      <c r="S437" s="20"/>
    </row>
    <row r="438">
      <c r="A438" s="76" t="s">
        <v>2075</v>
      </c>
      <c r="B438" s="97">
        <v>46071.0</v>
      </c>
      <c r="C438" s="76" t="s">
        <v>2076</v>
      </c>
      <c r="D438" s="99" t="s">
        <v>2077</v>
      </c>
      <c r="E438" s="25" t="s">
        <v>17</v>
      </c>
      <c r="F438" s="25" t="s">
        <v>983</v>
      </c>
      <c r="G438" s="25" t="s">
        <v>19</v>
      </c>
      <c r="H438" s="76" t="s">
        <v>156</v>
      </c>
      <c r="I438" s="76" t="s">
        <v>2078</v>
      </c>
      <c r="J438" s="76">
        <v>3.0</v>
      </c>
      <c r="K438" s="19">
        <f>1894000*3</f>
        <v>5682000</v>
      </c>
      <c r="L438" s="76" t="s">
        <v>2079</v>
      </c>
      <c r="M438" s="44">
        <v>7.0</v>
      </c>
      <c r="N438" s="86" t="s">
        <v>2080</v>
      </c>
      <c r="O438" s="20"/>
      <c r="P438" s="20"/>
      <c r="Q438" s="20"/>
      <c r="R438" s="20"/>
      <c r="S438" s="20"/>
    </row>
    <row r="439">
      <c r="A439" s="49" t="s">
        <v>2081</v>
      </c>
      <c r="B439" s="110">
        <v>46071.0</v>
      </c>
      <c r="C439" s="49" t="s">
        <v>2082</v>
      </c>
      <c r="D439" s="102" t="s">
        <v>2083</v>
      </c>
      <c r="E439" s="25" t="s">
        <v>122</v>
      </c>
      <c r="F439" s="25" t="s">
        <v>129</v>
      </c>
      <c r="G439" s="25" t="s">
        <v>42</v>
      </c>
      <c r="H439" s="49" t="s">
        <v>2084</v>
      </c>
      <c r="I439" s="101">
        <v>46157.0</v>
      </c>
      <c r="J439" s="49">
        <v>2.0</v>
      </c>
      <c r="K439" s="30">
        <f>950000*2</f>
        <v>1900000</v>
      </c>
      <c r="L439" s="49" t="s">
        <v>2085</v>
      </c>
      <c r="M439" s="50">
        <v>8.0</v>
      </c>
      <c r="N439" s="104" t="s">
        <v>2086</v>
      </c>
      <c r="O439" s="20"/>
      <c r="P439" s="20"/>
      <c r="Q439" s="20"/>
      <c r="R439" s="20"/>
      <c r="S439" s="20"/>
    </row>
    <row r="440">
      <c r="A440" s="76" t="s">
        <v>2087</v>
      </c>
      <c r="B440" s="97">
        <v>46071.0</v>
      </c>
      <c r="C440" s="76" t="s">
        <v>2088</v>
      </c>
      <c r="D440" s="99" t="s">
        <v>2089</v>
      </c>
      <c r="E440" s="25" t="s">
        <v>122</v>
      </c>
      <c r="F440" s="25" t="s">
        <v>129</v>
      </c>
      <c r="G440" s="25" t="s">
        <v>42</v>
      </c>
      <c r="H440" s="76" t="s">
        <v>123</v>
      </c>
      <c r="I440" s="10"/>
      <c r="J440" s="76">
        <v>3.0</v>
      </c>
      <c r="K440" s="46"/>
      <c r="L440" s="76" t="s">
        <v>158</v>
      </c>
      <c r="M440" s="44">
        <v>8.0</v>
      </c>
      <c r="N440" s="45"/>
      <c r="O440" s="20"/>
      <c r="P440" s="20"/>
      <c r="Q440" s="20"/>
      <c r="R440" s="20"/>
      <c r="S440" s="20"/>
    </row>
    <row r="441">
      <c r="A441" s="49" t="s">
        <v>2090</v>
      </c>
      <c r="B441" s="110">
        <v>46071.0</v>
      </c>
      <c r="C441" s="49" t="s">
        <v>2091</v>
      </c>
      <c r="D441" s="24">
        <f>6588137243</f>
        <v>6588137243</v>
      </c>
      <c r="E441" s="25" t="s">
        <v>122</v>
      </c>
      <c r="F441" s="25" t="s">
        <v>18</v>
      </c>
      <c r="G441" s="25" t="s">
        <v>42</v>
      </c>
      <c r="H441" s="49" t="s">
        <v>758</v>
      </c>
      <c r="I441" s="101">
        <v>46086.0</v>
      </c>
      <c r="J441" s="49">
        <v>3.0</v>
      </c>
      <c r="K441" s="30"/>
      <c r="L441" s="49" t="s">
        <v>2092</v>
      </c>
      <c r="M441" s="50">
        <v>8.0</v>
      </c>
      <c r="N441" s="51"/>
      <c r="O441" s="20"/>
      <c r="P441" s="20"/>
      <c r="Q441" s="20"/>
      <c r="R441" s="20"/>
      <c r="S441" s="20"/>
    </row>
    <row r="442">
      <c r="A442" s="76" t="s">
        <v>2093</v>
      </c>
      <c r="B442" s="97">
        <v>46071.0</v>
      </c>
      <c r="C442" s="76" t="s">
        <v>2094</v>
      </c>
      <c r="D442" s="99" t="s">
        <v>2095</v>
      </c>
      <c r="E442" s="25" t="s">
        <v>122</v>
      </c>
      <c r="F442" s="25" t="s">
        <v>18</v>
      </c>
      <c r="G442" s="25" t="s">
        <v>42</v>
      </c>
      <c r="H442" s="49" t="s">
        <v>758</v>
      </c>
      <c r="I442" s="118">
        <v>46085.0</v>
      </c>
      <c r="J442" s="76">
        <v>3.0</v>
      </c>
      <c r="K442" s="46"/>
      <c r="L442" s="76" t="s">
        <v>2096</v>
      </c>
      <c r="M442" s="44">
        <v>8.0</v>
      </c>
      <c r="N442" s="45"/>
      <c r="O442" s="20"/>
      <c r="P442" s="20"/>
      <c r="Q442" s="20"/>
      <c r="R442" s="20"/>
      <c r="S442" s="20"/>
    </row>
    <row r="443">
      <c r="A443" s="49" t="s">
        <v>2097</v>
      </c>
      <c r="B443" s="110">
        <v>46071.0</v>
      </c>
      <c r="C443" s="49" t="s">
        <v>2098</v>
      </c>
      <c r="D443" s="102" t="s">
        <v>2099</v>
      </c>
      <c r="E443" s="25" t="s">
        <v>122</v>
      </c>
      <c r="F443" s="25" t="s">
        <v>129</v>
      </c>
      <c r="G443" s="25" t="s">
        <v>42</v>
      </c>
      <c r="H443" s="49" t="s">
        <v>1033</v>
      </c>
      <c r="I443" s="101">
        <v>46106.0</v>
      </c>
      <c r="J443" s="49">
        <v>2.0</v>
      </c>
      <c r="K443" s="36">
        <v>1.0E7</v>
      </c>
      <c r="L443" s="49" t="s">
        <v>2100</v>
      </c>
      <c r="M443" s="50">
        <v>8.0</v>
      </c>
      <c r="N443" s="115" t="s">
        <v>2101</v>
      </c>
      <c r="O443" s="20"/>
      <c r="P443" s="20"/>
      <c r="Q443" s="20"/>
      <c r="R443" s="20"/>
      <c r="S443" s="20"/>
    </row>
    <row r="444">
      <c r="A444" s="76" t="s">
        <v>2102</v>
      </c>
      <c r="B444" s="97">
        <v>46071.0</v>
      </c>
      <c r="C444" s="76" t="s">
        <v>2103</v>
      </c>
      <c r="D444" s="99" t="s">
        <v>2104</v>
      </c>
      <c r="E444" s="25" t="s">
        <v>128</v>
      </c>
      <c r="F444" s="25" t="s">
        <v>129</v>
      </c>
      <c r="G444" s="25" t="s">
        <v>42</v>
      </c>
      <c r="H444" s="76" t="s">
        <v>2105</v>
      </c>
      <c r="I444" s="76" t="s">
        <v>2106</v>
      </c>
      <c r="J444" s="76">
        <v>6.0</v>
      </c>
      <c r="K444" s="46"/>
      <c r="L444" s="76" t="s">
        <v>2107</v>
      </c>
      <c r="M444" s="44">
        <v>8.0</v>
      </c>
      <c r="N444" s="45"/>
      <c r="O444" s="20"/>
      <c r="P444" s="20"/>
      <c r="Q444" s="20"/>
      <c r="R444" s="20"/>
      <c r="S444" s="20"/>
    </row>
    <row r="445">
      <c r="A445" s="49" t="s">
        <v>2108</v>
      </c>
      <c r="B445" s="110">
        <v>46072.0</v>
      </c>
      <c r="C445" s="49" t="s">
        <v>2109</v>
      </c>
      <c r="D445" s="102" t="s">
        <v>2110</v>
      </c>
      <c r="E445" s="25" t="s">
        <v>122</v>
      </c>
      <c r="F445" s="25" t="s">
        <v>983</v>
      </c>
      <c r="G445" s="25" t="s">
        <v>42</v>
      </c>
      <c r="H445" s="49" t="s">
        <v>123</v>
      </c>
      <c r="I445" s="23"/>
      <c r="J445" s="23"/>
      <c r="K445" s="30"/>
      <c r="L445" s="76" t="s">
        <v>2111</v>
      </c>
      <c r="M445" s="50">
        <v>8.0</v>
      </c>
      <c r="N445" s="104" t="s">
        <v>2112</v>
      </c>
      <c r="O445" s="20"/>
      <c r="P445" s="20"/>
      <c r="Q445" s="20"/>
      <c r="R445" s="20"/>
      <c r="S445" s="20"/>
    </row>
    <row r="446">
      <c r="A446" s="76" t="s">
        <v>2113</v>
      </c>
      <c r="B446" s="97">
        <v>46072.0</v>
      </c>
      <c r="C446" s="76" t="s">
        <v>2114</v>
      </c>
      <c r="D446" s="99" t="s">
        <v>2115</v>
      </c>
      <c r="E446" s="25" t="s">
        <v>17</v>
      </c>
      <c r="F446" s="25" t="s">
        <v>18</v>
      </c>
      <c r="G446" s="25" t="s">
        <v>42</v>
      </c>
      <c r="H446" s="10"/>
      <c r="I446" s="10"/>
      <c r="J446" s="10"/>
      <c r="K446" s="46"/>
      <c r="L446" s="76" t="s">
        <v>2116</v>
      </c>
      <c r="M446" s="44">
        <v>8.0</v>
      </c>
      <c r="N446" s="45"/>
      <c r="O446" s="20"/>
      <c r="P446" s="20"/>
      <c r="Q446" s="20"/>
      <c r="R446" s="20"/>
      <c r="S446" s="20"/>
    </row>
    <row r="447">
      <c r="A447" s="49" t="s">
        <v>2117</v>
      </c>
      <c r="B447" s="110">
        <v>46072.0</v>
      </c>
      <c r="C447" s="49" t="s">
        <v>2118</v>
      </c>
      <c r="D447" s="102" t="s">
        <v>2119</v>
      </c>
      <c r="E447" s="25" t="s">
        <v>1877</v>
      </c>
      <c r="F447" s="25" t="s">
        <v>18</v>
      </c>
      <c r="G447" s="25" t="s">
        <v>19</v>
      </c>
      <c r="H447" s="49" t="s">
        <v>2120</v>
      </c>
      <c r="I447" s="117">
        <v>46075.0</v>
      </c>
      <c r="J447" s="49">
        <v>2.0</v>
      </c>
      <c r="K447" s="36">
        <v>590000.0</v>
      </c>
      <c r="L447" s="49" t="s">
        <v>108</v>
      </c>
      <c r="M447" s="50">
        <v>7.0</v>
      </c>
      <c r="N447" s="51"/>
      <c r="O447" s="20"/>
      <c r="P447" s="20"/>
      <c r="Q447" s="20"/>
      <c r="R447" s="20"/>
      <c r="S447" s="20"/>
    </row>
    <row r="448">
      <c r="A448" s="76" t="s">
        <v>2121</v>
      </c>
      <c r="B448" s="97">
        <v>46072.0</v>
      </c>
      <c r="C448" s="76" t="s">
        <v>2122</v>
      </c>
      <c r="D448" s="99" t="s">
        <v>2123</v>
      </c>
      <c r="E448" s="25" t="s">
        <v>128</v>
      </c>
      <c r="F448" s="25" t="s">
        <v>129</v>
      </c>
      <c r="G448" s="25" t="s">
        <v>42</v>
      </c>
      <c r="H448" s="76" t="s">
        <v>123</v>
      </c>
      <c r="I448" s="76" t="s">
        <v>2124</v>
      </c>
      <c r="J448" s="10"/>
      <c r="K448" s="46"/>
      <c r="L448" s="76" t="s">
        <v>2125</v>
      </c>
      <c r="M448" s="44">
        <v>8.0</v>
      </c>
      <c r="N448" s="45"/>
      <c r="O448" s="20"/>
      <c r="P448" s="20"/>
      <c r="Q448" s="20"/>
      <c r="R448" s="20"/>
      <c r="S448" s="20"/>
    </row>
    <row r="449">
      <c r="A449" s="49" t="s">
        <v>2126</v>
      </c>
      <c r="B449" s="110">
        <v>46072.0</v>
      </c>
      <c r="C449" s="49" t="s">
        <v>2127</v>
      </c>
      <c r="D449" s="102" t="s">
        <v>2128</v>
      </c>
      <c r="E449" s="25" t="s">
        <v>17</v>
      </c>
      <c r="F449" s="25" t="s">
        <v>983</v>
      </c>
      <c r="G449" s="25" t="s">
        <v>19</v>
      </c>
      <c r="H449" s="49" t="s">
        <v>775</v>
      </c>
      <c r="I449" s="49" t="s">
        <v>2129</v>
      </c>
      <c r="J449" s="49">
        <v>6.0</v>
      </c>
      <c r="K449" s="36">
        <v>8262000.0</v>
      </c>
      <c r="L449" s="49" t="s">
        <v>2130</v>
      </c>
      <c r="M449" s="50">
        <v>7.0</v>
      </c>
      <c r="N449" s="51"/>
      <c r="O449" s="20"/>
      <c r="P449" s="20"/>
      <c r="Q449" s="20"/>
      <c r="R449" s="20"/>
      <c r="S449" s="20"/>
    </row>
    <row r="450">
      <c r="A450" s="76" t="s">
        <v>2131</v>
      </c>
      <c r="B450" s="97">
        <v>46072.0</v>
      </c>
      <c r="C450" s="76" t="s">
        <v>2132</v>
      </c>
      <c r="D450" s="99" t="s">
        <v>2133</v>
      </c>
      <c r="E450" s="25" t="s">
        <v>122</v>
      </c>
      <c r="F450" s="25" t="s">
        <v>129</v>
      </c>
      <c r="G450" s="25" t="s">
        <v>42</v>
      </c>
      <c r="H450" s="76" t="s">
        <v>2134</v>
      </c>
      <c r="I450" s="76" t="s">
        <v>1185</v>
      </c>
      <c r="J450" s="10"/>
      <c r="K450" s="46"/>
      <c r="L450" s="76" t="s">
        <v>158</v>
      </c>
      <c r="M450" s="44">
        <v>8.0</v>
      </c>
      <c r="N450" s="45"/>
      <c r="O450" s="20"/>
      <c r="P450" s="20"/>
      <c r="Q450" s="20"/>
      <c r="R450" s="20"/>
      <c r="S450" s="20"/>
    </row>
    <row r="451">
      <c r="A451" s="49" t="s">
        <v>2135</v>
      </c>
      <c r="B451" s="110">
        <v>46073.0</v>
      </c>
      <c r="C451" s="49" t="s">
        <v>2136</v>
      </c>
      <c r="D451" s="102" t="s">
        <v>2137</v>
      </c>
      <c r="E451" s="25" t="s">
        <v>128</v>
      </c>
      <c r="F451" s="25" t="s">
        <v>129</v>
      </c>
      <c r="G451" s="25" t="s">
        <v>42</v>
      </c>
      <c r="H451" s="23"/>
      <c r="I451" s="23"/>
      <c r="J451" s="23"/>
      <c r="K451" s="30"/>
      <c r="L451" s="49" t="s">
        <v>158</v>
      </c>
      <c r="M451" s="50">
        <v>8.0</v>
      </c>
      <c r="N451" s="51"/>
      <c r="O451" s="20"/>
      <c r="P451" s="20"/>
      <c r="Q451" s="20"/>
      <c r="R451" s="20"/>
      <c r="S451" s="20"/>
    </row>
    <row r="452">
      <c r="A452" s="76" t="s">
        <v>2138</v>
      </c>
      <c r="B452" s="97">
        <v>46073.0</v>
      </c>
      <c r="C452" s="76" t="s">
        <v>2139</v>
      </c>
      <c r="D452" s="99" t="s">
        <v>2140</v>
      </c>
      <c r="E452" s="25" t="s">
        <v>128</v>
      </c>
      <c r="F452" s="25" t="s">
        <v>129</v>
      </c>
      <c r="G452" s="25" t="s">
        <v>42</v>
      </c>
      <c r="H452" s="76" t="s">
        <v>195</v>
      </c>
      <c r="I452" s="118">
        <v>46107.0</v>
      </c>
      <c r="J452" s="76">
        <v>5.0</v>
      </c>
      <c r="K452" s="46">
        <f>575000*5</f>
        <v>2875000</v>
      </c>
      <c r="L452" s="76" t="s">
        <v>2141</v>
      </c>
      <c r="M452" s="44">
        <v>8.0</v>
      </c>
      <c r="N452" s="45"/>
      <c r="O452" s="20"/>
      <c r="P452" s="20"/>
      <c r="Q452" s="20"/>
      <c r="R452" s="20"/>
      <c r="S452" s="20"/>
    </row>
    <row r="453">
      <c r="A453" s="49" t="s">
        <v>2142</v>
      </c>
      <c r="B453" s="110">
        <v>46073.0</v>
      </c>
      <c r="C453" s="49" t="s">
        <v>2143</v>
      </c>
      <c r="D453" s="102" t="s">
        <v>2144</v>
      </c>
      <c r="E453" s="25" t="s">
        <v>128</v>
      </c>
      <c r="F453" s="25" t="s">
        <v>129</v>
      </c>
      <c r="G453" s="25" t="s">
        <v>42</v>
      </c>
      <c r="H453" s="49" t="s">
        <v>2145</v>
      </c>
      <c r="I453" s="101">
        <v>46108.0</v>
      </c>
      <c r="J453" s="23"/>
      <c r="K453" s="30"/>
      <c r="L453" s="49" t="s">
        <v>2146</v>
      </c>
      <c r="M453" s="50">
        <v>8.0</v>
      </c>
      <c r="N453" s="51"/>
      <c r="O453" s="20"/>
      <c r="P453" s="20"/>
      <c r="Q453" s="20"/>
      <c r="R453" s="20"/>
      <c r="S453" s="20"/>
    </row>
    <row r="454">
      <c r="A454" s="76" t="s">
        <v>2147</v>
      </c>
      <c r="B454" s="97">
        <v>46072.0</v>
      </c>
      <c r="C454" s="76" t="s">
        <v>2148</v>
      </c>
      <c r="D454" s="99" t="s">
        <v>2149</v>
      </c>
      <c r="E454" s="25" t="s">
        <v>128</v>
      </c>
      <c r="F454" s="25" t="s">
        <v>18</v>
      </c>
      <c r="G454" s="25" t="s">
        <v>42</v>
      </c>
      <c r="H454" s="76" t="s">
        <v>86</v>
      </c>
      <c r="I454" s="76" t="s">
        <v>2150</v>
      </c>
      <c r="J454" s="129">
        <v>46115.0</v>
      </c>
      <c r="K454" s="19">
        <v>5400000.0</v>
      </c>
      <c r="L454" s="76" t="s">
        <v>2151</v>
      </c>
      <c r="M454" s="44">
        <v>8.0</v>
      </c>
      <c r="N454" s="45"/>
      <c r="O454" s="20"/>
      <c r="P454" s="20"/>
      <c r="Q454" s="20"/>
      <c r="R454" s="20"/>
      <c r="S454" s="20"/>
    </row>
    <row r="455">
      <c r="A455" s="49" t="s">
        <v>2152</v>
      </c>
      <c r="B455" s="110">
        <v>46073.0</v>
      </c>
      <c r="C455" s="49" t="s">
        <v>2153</v>
      </c>
      <c r="D455" s="102" t="s">
        <v>2154</v>
      </c>
      <c r="E455" s="25" t="s">
        <v>17</v>
      </c>
      <c r="F455" s="25" t="s">
        <v>18</v>
      </c>
      <c r="G455" s="25" t="s">
        <v>34</v>
      </c>
      <c r="H455" s="49" t="s">
        <v>116</v>
      </c>
      <c r="I455" s="49" t="s">
        <v>2155</v>
      </c>
      <c r="J455" s="49">
        <v>48.0</v>
      </c>
      <c r="K455" s="36">
        <v>7.92E7</v>
      </c>
      <c r="L455" s="49" t="s">
        <v>2156</v>
      </c>
      <c r="M455" s="50">
        <v>2.0</v>
      </c>
      <c r="N455" s="104" t="s">
        <v>2157</v>
      </c>
      <c r="O455" s="20"/>
      <c r="P455" s="20"/>
      <c r="Q455" s="20"/>
      <c r="R455" s="20"/>
      <c r="S455" s="20"/>
    </row>
    <row r="456">
      <c r="A456" s="76" t="s">
        <v>2158</v>
      </c>
      <c r="B456" s="97">
        <v>46073.0</v>
      </c>
      <c r="C456" s="76" t="s">
        <v>2159</v>
      </c>
      <c r="D456" s="99" t="s">
        <v>2160</v>
      </c>
      <c r="E456" s="25" t="s">
        <v>122</v>
      </c>
      <c r="F456" s="25" t="s">
        <v>983</v>
      </c>
      <c r="G456" s="25" t="s">
        <v>42</v>
      </c>
      <c r="H456" s="76" t="s">
        <v>2161</v>
      </c>
      <c r="I456" s="76" t="s">
        <v>1793</v>
      </c>
      <c r="J456" s="76">
        <v>25.0</v>
      </c>
      <c r="K456" s="19">
        <v>1.0562E7</v>
      </c>
      <c r="L456" s="76" t="s">
        <v>2162</v>
      </c>
      <c r="M456" s="44">
        <v>8.0</v>
      </c>
      <c r="N456" s="45"/>
      <c r="O456" s="20"/>
      <c r="P456" s="20"/>
      <c r="Q456" s="20"/>
      <c r="R456" s="20"/>
      <c r="S456" s="20"/>
    </row>
    <row r="457">
      <c r="A457" s="49" t="s">
        <v>2163</v>
      </c>
      <c r="B457" s="110">
        <v>46073.0</v>
      </c>
      <c r="C457" s="49" t="s">
        <v>2164</v>
      </c>
      <c r="D457" s="102" t="s">
        <v>2165</v>
      </c>
      <c r="E457" s="25" t="s">
        <v>122</v>
      </c>
      <c r="F457" s="25" t="s">
        <v>983</v>
      </c>
      <c r="G457" s="25" t="s">
        <v>42</v>
      </c>
      <c r="H457" s="49" t="s">
        <v>2166</v>
      </c>
      <c r="I457" s="49" t="s">
        <v>2167</v>
      </c>
      <c r="J457" s="49">
        <v>2.0</v>
      </c>
      <c r="K457" s="36">
        <v>590000.0</v>
      </c>
      <c r="L457" s="49" t="s">
        <v>2168</v>
      </c>
      <c r="M457" s="50">
        <v>8.0</v>
      </c>
      <c r="N457" s="104" t="s">
        <v>2169</v>
      </c>
      <c r="O457" s="20"/>
      <c r="P457" s="20"/>
      <c r="Q457" s="20"/>
      <c r="R457" s="20"/>
      <c r="S457" s="20"/>
    </row>
    <row r="458">
      <c r="A458" s="76" t="s">
        <v>2170</v>
      </c>
      <c r="B458" s="97">
        <v>46073.0</v>
      </c>
      <c r="C458" s="76" t="s">
        <v>2171</v>
      </c>
      <c r="D458" s="99" t="s">
        <v>2172</v>
      </c>
      <c r="E458" s="25" t="s">
        <v>122</v>
      </c>
      <c r="F458" s="25" t="s">
        <v>129</v>
      </c>
      <c r="G458" s="25" t="s">
        <v>42</v>
      </c>
      <c r="H458" s="76" t="s">
        <v>2173</v>
      </c>
      <c r="I458" s="106">
        <v>46080.0</v>
      </c>
      <c r="J458" s="76">
        <v>1.0</v>
      </c>
      <c r="K458" s="19">
        <v>250000.0</v>
      </c>
      <c r="L458" s="76" t="s">
        <v>2174</v>
      </c>
      <c r="M458" s="44">
        <v>8.0</v>
      </c>
      <c r="N458" s="45"/>
      <c r="O458" s="20"/>
      <c r="P458" s="20"/>
      <c r="Q458" s="20"/>
      <c r="R458" s="20"/>
      <c r="S458" s="20"/>
    </row>
    <row r="459">
      <c r="A459" s="49" t="s">
        <v>2175</v>
      </c>
      <c r="B459" s="110">
        <v>46073.0</v>
      </c>
      <c r="C459" s="49" t="s">
        <v>2176</v>
      </c>
      <c r="D459" s="102" t="s">
        <v>2177</v>
      </c>
      <c r="E459" s="25" t="s">
        <v>17</v>
      </c>
      <c r="F459" s="25" t="s">
        <v>129</v>
      </c>
      <c r="G459" s="25" t="s">
        <v>42</v>
      </c>
      <c r="H459" s="49" t="s">
        <v>2178</v>
      </c>
      <c r="I459" s="23"/>
      <c r="J459" s="49">
        <v>3.0</v>
      </c>
      <c r="K459" s="30"/>
      <c r="L459" s="49" t="s">
        <v>453</v>
      </c>
      <c r="M459" s="50">
        <v>8.0</v>
      </c>
      <c r="N459" s="115" t="s">
        <v>2179</v>
      </c>
      <c r="O459" s="20"/>
      <c r="P459" s="20"/>
      <c r="Q459" s="20"/>
      <c r="R459" s="20"/>
      <c r="S459" s="20"/>
    </row>
    <row r="460">
      <c r="A460" s="76" t="s">
        <v>2180</v>
      </c>
      <c r="B460" s="97">
        <v>46073.0</v>
      </c>
      <c r="C460" s="76" t="s">
        <v>2181</v>
      </c>
      <c r="D460" s="99" t="s">
        <v>2182</v>
      </c>
      <c r="E460" s="25" t="s">
        <v>122</v>
      </c>
      <c r="F460" s="25" t="s">
        <v>129</v>
      </c>
      <c r="G460" s="25" t="s">
        <v>42</v>
      </c>
      <c r="H460" s="76"/>
      <c r="I460" s="76" t="s">
        <v>2183</v>
      </c>
      <c r="J460" s="76">
        <v>3.0</v>
      </c>
      <c r="K460" s="46"/>
      <c r="L460" s="76" t="s">
        <v>2184</v>
      </c>
      <c r="M460" s="44">
        <v>8.0</v>
      </c>
      <c r="N460" s="45"/>
      <c r="O460" s="20"/>
      <c r="P460" s="20"/>
      <c r="Q460" s="20"/>
      <c r="R460" s="20"/>
      <c r="S460" s="20"/>
    </row>
    <row r="461">
      <c r="A461" s="49" t="s">
        <v>2185</v>
      </c>
      <c r="B461" s="110">
        <v>46074.0</v>
      </c>
      <c r="C461" s="49" t="s">
        <v>2186</v>
      </c>
      <c r="D461" s="102" t="s">
        <v>2187</v>
      </c>
      <c r="E461" s="25" t="s">
        <v>128</v>
      </c>
      <c r="F461" s="25" t="s">
        <v>18</v>
      </c>
      <c r="G461" s="25" t="s">
        <v>42</v>
      </c>
      <c r="H461" s="49" t="s">
        <v>96</v>
      </c>
      <c r="I461" s="49" t="s">
        <v>2188</v>
      </c>
      <c r="J461" s="49">
        <v>2.0</v>
      </c>
      <c r="K461" s="36">
        <v>7194000.0</v>
      </c>
      <c r="L461" s="49" t="s">
        <v>2189</v>
      </c>
      <c r="M461" s="50">
        <v>8.0</v>
      </c>
      <c r="N461" s="51"/>
      <c r="O461" s="20"/>
      <c r="P461" s="20"/>
      <c r="Q461" s="20"/>
      <c r="R461" s="20"/>
      <c r="S461" s="20"/>
    </row>
    <row r="462">
      <c r="A462" s="76" t="s">
        <v>2190</v>
      </c>
      <c r="B462" s="97">
        <v>46074.0</v>
      </c>
      <c r="C462" s="76" t="s">
        <v>2191</v>
      </c>
      <c r="D462" s="99" t="s">
        <v>2192</v>
      </c>
      <c r="E462" s="25" t="s">
        <v>122</v>
      </c>
      <c r="F462" s="25" t="s">
        <v>983</v>
      </c>
      <c r="G462" s="25" t="s">
        <v>42</v>
      </c>
      <c r="H462" s="76" t="s">
        <v>156</v>
      </c>
      <c r="I462" s="10"/>
      <c r="J462" s="76">
        <v>3.0</v>
      </c>
      <c r="K462" s="19">
        <v>5700000.0</v>
      </c>
      <c r="L462" s="49" t="s">
        <v>2193</v>
      </c>
      <c r="M462" s="44">
        <v>8.0</v>
      </c>
      <c r="N462" s="45"/>
      <c r="O462" s="20"/>
      <c r="P462" s="20"/>
      <c r="Q462" s="20"/>
      <c r="R462" s="20"/>
      <c r="S462" s="20"/>
    </row>
    <row r="463">
      <c r="A463" s="49" t="s">
        <v>2194</v>
      </c>
      <c r="B463" s="110">
        <v>46074.0</v>
      </c>
      <c r="C463" s="49" t="s">
        <v>2195</v>
      </c>
      <c r="D463" s="102" t="s">
        <v>2196</v>
      </c>
      <c r="E463" s="25" t="s">
        <v>128</v>
      </c>
      <c r="F463" s="25" t="s">
        <v>129</v>
      </c>
      <c r="G463" s="25" t="s">
        <v>42</v>
      </c>
      <c r="H463" s="49" t="s">
        <v>2197</v>
      </c>
      <c r="I463" s="49" t="s">
        <v>2198</v>
      </c>
      <c r="J463" s="49">
        <v>4.0</v>
      </c>
      <c r="K463" s="30">
        <f>1348100*4</f>
        <v>5392400</v>
      </c>
      <c r="L463" s="49" t="s">
        <v>1970</v>
      </c>
      <c r="M463" s="50">
        <v>8.0</v>
      </c>
      <c r="N463" s="115" t="s">
        <v>2199</v>
      </c>
      <c r="O463" s="20"/>
      <c r="P463" s="20"/>
      <c r="Q463" s="20"/>
      <c r="R463" s="20"/>
      <c r="S463" s="20"/>
    </row>
    <row r="464">
      <c r="A464" s="76" t="s">
        <v>2200</v>
      </c>
      <c r="B464" s="97">
        <v>46074.0</v>
      </c>
      <c r="C464" s="76" t="s">
        <v>2201</v>
      </c>
      <c r="D464" s="99" t="s">
        <v>2202</v>
      </c>
      <c r="E464" s="25" t="s">
        <v>122</v>
      </c>
      <c r="F464" s="25" t="s">
        <v>983</v>
      </c>
      <c r="G464" s="25" t="s">
        <v>42</v>
      </c>
      <c r="H464" s="76" t="s">
        <v>116</v>
      </c>
      <c r="I464" s="76" t="s">
        <v>2203</v>
      </c>
      <c r="J464" s="76">
        <v>4.0</v>
      </c>
      <c r="K464" s="19">
        <v>1.4204E7</v>
      </c>
      <c r="L464" s="49" t="s">
        <v>2204</v>
      </c>
      <c r="M464" s="44">
        <v>8.0</v>
      </c>
      <c r="N464" s="45"/>
      <c r="O464" s="20"/>
      <c r="P464" s="20"/>
      <c r="Q464" s="20"/>
      <c r="R464" s="20"/>
      <c r="S464" s="20"/>
    </row>
    <row r="465">
      <c r="A465" s="49" t="s">
        <v>2205</v>
      </c>
      <c r="B465" s="110">
        <v>46074.0</v>
      </c>
      <c r="C465" s="49" t="s">
        <v>2206</v>
      </c>
      <c r="D465" s="102" t="s">
        <v>2207</v>
      </c>
      <c r="E465" s="25" t="s">
        <v>128</v>
      </c>
      <c r="F465" s="25" t="s">
        <v>129</v>
      </c>
      <c r="G465" s="25" t="s">
        <v>19</v>
      </c>
      <c r="H465" s="49" t="s">
        <v>2208</v>
      </c>
      <c r="I465" s="49" t="s">
        <v>2209</v>
      </c>
      <c r="J465" s="49">
        <v>2.0</v>
      </c>
      <c r="K465" s="30">
        <f>1600000*2</f>
        <v>3200000</v>
      </c>
      <c r="L465" s="49" t="s">
        <v>2210</v>
      </c>
      <c r="M465" s="50">
        <v>7.0</v>
      </c>
      <c r="N465" s="104" t="s">
        <v>2211</v>
      </c>
      <c r="O465" s="20"/>
      <c r="P465" s="20"/>
      <c r="Q465" s="20"/>
      <c r="R465" s="20"/>
      <c r="S465" s="20"/>
    </row>
    <row r="466">
      <c r="A466" s="76" t="s">
        <v>2212</v>
      </c>
      <c r="B466" s="97">
        <v>46074.0</v>
      </c>
      <c r="C466" s="76" t="s">
        <v>2213</v>
      </c>
      <c r="D466" s="99" t="s">
        <v>2214</v>
      </c>
      <c r="E466" s="25" t="s">
        <v>17</v>
      </c>
      <c r="F466" s="25" t="s">
        <v>983</v>
      </c>
      <c r="G466" s="25" t="s">
        <v>42</v>
      </c>
      <c r="H466" s="76" t="s">
        <v>775</v>
      </c>
      <c r="I466" s="76" t="s">
        <v>2215</v>
      </c>
      <c r="J466" s="76">
        <v>4.0</v>
      </c>
      <c r="K466" s="19">
        <v>8800000.0</v>
      </c>
      <c r="L466" s="76" t="s">
        <v>2216</v>
      </c>
      <c r="M466" s="44">
        <v>8.0</v>
      </c>
      <c r="N466" s="45"/>
      <c r="O466" s="20"/>
      <c r="P466" s="20"/>
      <c r="Q466" s="20"/>
      <c r="R466" s="20"/>
      <c r="S466" s="20"/>
    </row>
    <row r="467">
      <c r="A467" s="49" t="s">
        <v>2217</v>
      </c>
      <c r="B467" s="110">
        <v>46075.0</v>
      </c>
      <c r="C467" s="49" t="s">
        <v>2218</v>
      </c>
      <c r="D467" s="102" t="s">
        <v>2219</v>
      </c>
      <c r="E467" s="25" t="s">
        <v>122</v>
      </c>
      <c r="F467" s="25" t="s">
        <v>129</v>
      </c>
      <c r="G467" s="25" t="s">
        <v>19</v>
      </c>
      <c r="H467" s="49" t="s">
        <v>86</v>
      </c>
      <c r="I467" s="49" t="s">
        <v>1468</v>
      </c>
      <c r="J467" s="49">
        <v>6.0</v>
      </c>
      <c r="K467" s="30">
        <f>1416000*6</f>
        <v>8496000</v>
      </c>
      <c r="L467" s="49" t="s">
        <v>2220</v>
      </c>
      <c r="M467" s="50">
        <v>7.0</v>
      </c>
      <c r="N467" s="115" t="s">
        <v>2221</v>
      </c>
      <c r="O467" s="20"/>
      <c r="P467" s="20"/>
      <c r="Q467" s="20"/>
      <c r="R467" s="20"/>
      <c r="S467" s="20"/>
    </row>
    <row r="468">
      <c r="A468" s="76" t="s">
        <v>2222</v>
      </c>
      <c r="B468" s="97">
        <v>46075.0</v>
      </c>
      <c r="C468" s="76" t="s">
        <v>2223</v>
      </c>
      <c r="D468" s="99" t="s">
        <v>2224</v>
      </c>
      <c r="E468" s="25" t="s">
        <v>122</v>
      </c>
      <c r="F468" s="25" t="s">
        <v>129</v>
      </c>
      <c r="G468" s="25" t="s">
        <v>19</v>
      </c>
      <c r="H468" s="76" t="s">
        <v>2053</v>
      </c>
      <c r="I468" s="118">
        <v>46105.0</v>
      </c>
      <c r="J468" s="76">
        <v>6.0</v>
      </c>
      <c r="K468" s="19">
        <v>8916600.0</v>
      </c>
      <c r="L468" s="76" t="s">
        <v>2225</v>
      </c>
      <c r="M468" s="44">
        <v>7.0</v>
      </c>
      <c r="N468" s="45"/>
      <c r="O468" s="20"/>
      <c r="P468" s="20"/>
      <c r="Q468" s="20"/>
      <c r="R468" s="20"/>
      <c r="S468" s="20"/>
    </row>
    <row r="469">
      <c r="A469" s="49" t="s">
        <v>2226</v>
      </c>
      <c r="B469" s="110">
        <v>46074.0</v>
      </c>
      <c r="C469" s="49" t="s">
        <v>2227</v>
      </c>
      <c r="D469" s="102" t="s">
        <v>2228</v>
      </c>
      <c r="E469" s="25" t="s">
        <v>128</v>
      </c>
      <c r="F469" s="25" t="s">
        <v>18</v>
      </c>
      <c r="G469" s="25" t="s">
        <v>42</v>
      </c>
      <c r="H469" s="23"/>
      <c r="I469" s="23"/>
      <c r="J469" s="23"/>
      <c r="K469" s="30"/>
      <c r="L469" s="49" t="s">
        <v>2116</v>
      </c>
      <c r="M469" s="50">
        <v>8.0</v>
      </c>
      <c r="N469" s="51"/>
      <c r="O469" s="20"/>
      <c r="P469" s="20"/>
      <c r="Q469" s="20"/>
      <c r="R469" s="20"/>
      <c r="S469" s="20"/>
    </row>
    <row r="470">
      <c r="A470" s="76" t="s">
        <v>2229</v>
      </c>
      <c r="B470" s="97">
        <v>46075.0</v>
      </c>
      <c r="C470" s="76" t="s">
        <v>2230</v>
      </c>
      <c r="D470" s="99" t="s">
        <v>2231</v>
      </c>
      <c r="E470" s="25" t="s">
        <v>17</v>
      </c>
      <c r="F470" s="25" t="s">
        <v>18</v>
      </c>
      <c r="G470" s="25" t="s">
        <v>42</v>
      </c>
      <c r="H470" s="76" t="s">
        <v>2053</v>
      </c>
      <c r="I470" s="118">
        <v>46103.0</v>
      </c>
      <c r="J470" s="76">
        <v>15.0</v>
      </c>
      <c r="K470" s="19">
        <v>1.245E7</v>
      </c>
      <c r="L470" s="76" t="s">
        <v>2232</v>
      </c>
      <c r="M470" s="44">
        <v>8.0</v>
      </c>
      <c r="N470" s="45"/>
      <c r="O470" s="20"/>
      <c r="P470" s="20"/>
      <c r="Q470" s="20"/>
      <c r="R470" s="20"/>
      <c r="S470" s="20"/>
    </row>
    <row r="471">
      <c r="A471" s="49" t="s">
        <v>2233</v>
      </c>
      <c r="B471" s="110">
        <v>46075.0</v>
      </c>
      <c r="C471" s="49" t="s">
        <v>2234</v>
      </c>
      <c r="D471" s="102" t="s">
        <v>2235</v>
      </c>
      <c r="E471" s="25" t="s">
        <v>128</v>
      </c>
      <c r="F471" s="25" t="s">
        <v>18</v>
      </c>
      <c r="G471" s="25" t="s">
        <v>42</v>
      </c>
      <c r="H471" s="49" t="s">
        <v>116</v>
      </c>
      <c r="I471" s="23"/>
      <c r="J471" s="49">
        <v>3.0</v>
      </c>
      <c r="K471" s="36"/>
      <c r="L471" s="49"/>
      <c r="M471" s="50">
        <v>8.0</v>
      </c>
      <c r="N471" s="51"/>
      <c r="O471" s="20"/>
      <c r="P471" s="20"/>
      <c r="Q471" s="20"/>
      <c r="R471" s="20"/>
      <c r="S471" s="20"/>
    </row>
    <row r="472">
      <c r="A472" s="76" t="s">
        <v>2236</v>
      </c>
      <c r="B472" s="97">
        <v>46075.0</v>
      </c>
      <c r="C472" s="76" t="s">
        <v>2237</v>
      </c>
      <c r="D472" s="99" t="s">
        <v>2238</v>
      </c>
      <c r="E472" s="25" t="s">
        <v>128</v>
      </c>
      <c r="F472" s="25" t="s">
        <v>18</v>
      </c>
      <c r="G472" s="25" t="s">
        <v>42</v>
      </c>
      <c r="H472" s="76" t="s">
        <v>2239</v>
      </c>
      <c r="I472" s="118">
        <v>46143.0</v>
      </c>
      <c r="J472" s="76">
        <v>1.0</v>
      </c>
      <c r="K472" s="46"/>
      <c r="L472" s="76" t="s">
        <v>2240</v>
      </c>
      <c r="M472" s="44">
        <v>8.0</v>
      </c>
      <c r="N472" s="86" t="s">
        <v>2241</v>
      </c>
      <c r="O472" s="20"/>
      <c r="P472" s="20"/>
      <c r="Q472" s="20"/>
      <c r="R472" s="20"/>
      <c r="S472" s="20"/>
    </row>
    <row r="473">
      <c r="A473" s="49" t="s">
        <v>2242</v>
      </c>
      <c r="B473" s="110">
        <v>46075.0</v>
      </c>
      <c r="C473" s="49" t="s">
        <v>2243</v>
      </c>
      <c r="D473" s="102" t="s">
        <v>2244</v>
      </c>
      <c r="E473" s="25" t="s">
        <v>128</v>
      </c>
      <c r="F473" s="25" t="s">
        <v>129</v>
      </c>
      <c r="G473" s="25" t="s">
        <v>42</v>
      </c>
      <c r="H473" s="23"/>
      <c r="I473" s="23"/>
      <c r="J473" s="23"/>
      <c r="K473" s="30"/>
      <c r="L473" s="49" t="s">
        <v>2245</v>
      </c>
      <c r="M473" s="50">
        <v>8.0</v>
      </c>
      <c r="N473" s="51"/>
      <c r="O473" s="20"/>
      <c r="P473" s="20"/>
      <c r="Q473" s="20"/>
      <c r="R473" s="20"/>
      <c r="S473" s="20"/>
    </row>
    <row r="474">
      <c r="A474" s="76" t="s">
        <v>2246</v>
      </c>
      <c r="B474" s="110">
        <v>46076.0</v>
      </c>
      <c r="C474" s="76" t="s">
        <v>2247</v>
      </c>
      <c r="D474" s="99" t="s">
        <v>2248</v>
      </c>
      <c r="E474" s="25" t="s">
        <v>17</v>
      </c>
      <c r="F474" s="25" t="s">
        <v>983</v>
      </c>
      <c r="G474" s="25" t="s">
        <v>42</v>
      </c>
      <c r="H474" s="76" t="s">
        <v>2249</v>
      </c>
      <c r="I474" s="76" t="s">
        <v>2250</v>
      </c>
      <c r="J474" s="76">
        <v>1.0</v>
      </c>
      <c r="K474" s="19">
        <v>1175000.0</v>
      </c>
      <c r="L474" s="76" t="s">
        <v>921</v>
      </c>
      <c r="M474" s="44">
        <v>8.0</v>
      </c>
      <c r="N474" s="45"/>
      <c r="O474" s="20"/>
      <c r="P474" s="20"/>
      <c r="Q474" s="20"/>
      <c r="R474" s="20"/>
      <c r="S474" s="20"/>
    </row>
    <row r="475">
      <c r="A475" s="49" t="s">
        <v>2251</v>
      </c>
      <c r="B475" s="110">
        <v>46076.0</v>
      </c>
      <c r="C475" s="49" t="s">
        <v>2252</v>
      </c>
      <c r="D475" s="102" t="s">
        <v>2253</v>
      </c>
      <c r="E475" s="25" t="s">
        <v>17</v>
      </c>
      <c r="F475" s="25" t="s">
        <v>129</v>
      </c>
      <c r="G475" s="25" t="s">
        <v>19</v>
      </c>
      <c r="H475" s="49" t="s">
        <v>123</v>
      </c>
      <c r="I475" s="101">
        <v>46129.0</v>
      </c>
      <c r="J475" s="49">
        <v>10.0</v>
      </c>
      <c r="K475" s="30">
        <f>930000*10</f>
        <v>9300000</v>
      </c>
      <c r="L475" s="49" t="s">
        <v>2130</v>
      </c>
      <c r="M475" s="50">
        <v>7.0</v>
      </c>
      <c r="N475" s="115" t="s">
        <v>2254</v>
      </c>
      <c r="O475" s="20"/>
      <c r="P475" s="20"/>
      <c r="Q475" s="20"/>
      <c r="R475" s="20"/>
      <c r="S475" s="20"/>
    </row>
    <row r="476">
      <c r="A476" s="76" t="s">
        <v>2255</v>
      </c>
      <c r="B476" s="110">
        <v>46076.0</v>
      </c>
      <c r="C476" s="76" t="s">
        <v>2256</v>
      </c>
      <c r="D476" s="99" t="s">
        <v>2257</v>
      </c>
      <c r="E476" s="25" t="s">
        <v>17</v>
      </c>
      <c r="F476" s="25" t="s">
        <v>18</v>
      </c>
      <c r="G476" s="25" t="s">
        <v>42</v>
      </c>
      <c r="H476" s="76" t="s">
        <v>287</v>
      </c>
      <c r="I476" s="76" t="s">
        <v>2258</v>
      </c>
      <c r="J476" s="76">
        <v>5.0</v>
      </c>
      <c r="K476" s="19">
        <v>5225000.0</v>
      </c>
      <c r="L476" s="76" t="s">
        <v>2259</v>
      </c>
      <c r="M476" s="44">
        <v>8.0</v>
      </c>
      <c r="N476" s="86" t="s">
        <v>2260</v>
      </c>
      <c r="O476" s="20"/>
      <c r="P476" s="20"/>
      <c r="Q476" s="20"/>
      <c r="R476" s="20"/>
      <c r="S476" s="20"/>
    </row>
    <row r="477">
      <c r="A477" s="49" t="s">
        <v>2261</v>
      </c>
      <c r="B477" s="110">
        <v>46076.0</v>
      </c>
      <c r="C477" s="49" t="s">
        <v>2262</v>
      </c>
      <c r="D477" s="102" t="s">
        <v>2263</v>
      </c>
      <c r="E477" s="25" t="s">
        <v>1877</v>
      </c>
      <c r="F477" s="25" t="s">
        <v>129</v>
      </c>
      <c r="G477" s="25" t="s">
        <v>34</v>
      </c>
      <c r="H477" s="49" t="s">
        <v>20</v>
      </c>
      <c r="I477" s="49" t="s">
        <v>2150</v>
      </c>
      <c r="J477" s="49">
        <v>4.0</v>
      </c>
      <c r="K477" s="30">
        <f>650000*4</f>
        <v>2600000</v>
      </c>
      <c r="L477" s="49" t="s">
        <v>2264</v>
      </c>
      <c r="M477" s="50">
        <v>2.0</v>
      </c>
      <c r="N477" s="104" t="s">
        <v>2265</v>
      </c>
      <c r="O477" s="20"/>
      <c r="P477" s="20"/>
      <c r="Q477" s="20"/>
      <c r="R477" s="20"/>
      <c r="S477" s="20"/>
    </row>
    <row r="478">
      <c r="A478" s="76" t="s">
        <v>2266</v>
      </c>
      <c r="B478" s="97">
        <v>46076.0</v>
      </c>
      <c r="C478" s="76" t="s">
        <v>2267</v>
      </c>
      <c r="D478" s="99" t="s">
        <v>2268</v>
      </c>
      <c r="E478" s="25" t="s">
        <v>128</v>
      </c>
      <c r="F478" s="25" t="s">
        <v>129</v>
      </c>
      <c r="G478" s="25" t="s">
        <v>42</v>
      </c>
      <c r="H478" s="76" t="s">
        <v>1762</v>
      </c>
      <c r="I478" s="76" t="s">
        <v>1199</v>
      </c>
      <c r="J478" s="76">
        <v>2.0</v>
      </c>
      <c r="K478" s="46">
        <f>3535000*2</f>
        <v>7070000</v>
      </c>
      <c r="L478" s="76" t="s">
        <v>2269</v>
      </c>
      <c r="M478" s="44">
        <v>8.0</v>
      </c>
      <c r="N478" s="45"/>
      <c r="O478" s="20"/>
      <c r="P478" s="20"/>
      <c r="Q478" s="20"/>
      <c r="R478" s="20"/>
      <c r="S478" s="20"/>
    </row>
    <row r="479">
      <c r="A479" s="49" t="s">
        <v>2270</v>
      </c>
      <c r="B479" s="110">
        <v>46076.0</v>
      </c>
      <c r="C479" s="49" t="s">
        <v>2271</v>
      </c>
      <c r="D479" s="102" t="s">
        <v>2272</v>
      </c>
      <c r="E479" s="25" t="s">
        <v>17</v>
      </c>
      <c r="F479" s="25" t="s">
        <v>129</v>
      </c>
      <c r="G479" s="25" t="s">
        <v>42</v>
      </c>
      <c r="H479" s="23"/>
      <c r="I479" s="49" t="s">
        <v>2273</v>
      </c>
      <c r="J479" s="49">
        <v>3.0</v>
      </c>
      <c r="K479" s="30"/>
      <c r="L479" s="49" t="s">
        <v>2274</v>
      </c>
      <c r="M479" s="50">
        <v>8.0</v>
      </c>
      <c r="N479" s="51"/>
      <c r="O479" s="20"/>
      <c r="P479" s="20"/>
      <c r="Q479" s="20"/>
      <c r="R479" s="20"/>
      <c r="S479" s="20"/>
    </row>
    <row r="480">
      <c r="A480" s="76" t="s">
        <v>2275</v>
      </c>
      <c r="B480" s="97">
        <v>46076.0</v>
      </c>
      <c r="C480" s="76" t="s">
        <v>2276</v>
      </c>
      <c r="D480" s="99" t="s">
        <v>2277</v>
      </c>
      <c r="E480" s="25" t="s">
        <v>128</v>
      </c>
      <c r="F480" s="25" t="s">
        <v>129</v>
      </c>
      <c r="G480" s="25" t="s">
        <v>42</v>
      </c>
      <c r="H480" s="76" t="s">
        <v>86</v>
      </c>
      <c r="I480" s="76" t="s">
        <v>1199</v>
      </c>
      <c r="J480" s="76">
        <v>2.0</v>
      </c>
      <c r="K480" s="46">
        <f>2174000*2</f>
        <v>4348000</v>
      </c>
      <c r="L480" s="76" t="s">
        <v>2278</v>
      </c>
      <c r="M480" s="44">
        <v>8.0</v>
      </c>
      <c r="N480" s="45"/>
      <c r="O480" s="20"/>
      <c r="P480" s="20"/>
      <c r="Q480" s="20"/>
      <c r="R480" s="20"/>
      <c r="S480" s="20"/>
    </row>
    <row r="481">
      <c r="A481" s="49" t="s">
        <v>2279</v>
      </c>
      <c r="B481" s="110">
        <v>46076.0</v>
      </c>
      <c r="C481" s="49" t="s">
        <v>2280</v>
      </c>
      <c r="D481" s="102" t="s">
        <v>2281</v>
      </c>
      <c r="E481" s="25" t="s">
        <v>122</v>
      </c>
      <c r="F481" s="25" t="s">
        <v>129</v>
      </c>
      <c r="G481" s="25" t="s">
        <v>34</v>
      </c>
      <c r="H481" s="49" t="s">
        <v>350</v>
      </c>
      <c r="I481" s="49"/>
      <c r="J481" s="49">
        <v>3.0</v>
      </c>
      <c r="K481" s="30">
        <f>2050000*3</f>
        <v>6150000</v>
      </c>
      <c r="L481" s="49" t="s">
        <v>2282</v>
      </c>
      <c r="M481" s="50">
        <v>2.0</v>
      </c>
      <c r="N481" s="104" t="s">
        <v>2283</v>
      </c>
      <c r="O481" s="20"/>
      <c r="P481" s="20"/>
      <c r="Q481" s="20"/>
      <c r="R481" s="20"/>
      <c r="S481" s="20"/>
    </row>
    <row r="482">
      <c r="A482" s="49" t="s">
        <v>2284</v>
      </c>
      <c r="B482" s="110">
        <v>46076.0</v>
      </c>
      <c r="C482" s="49" t="s">
        <v>2285</v>
      </c>
      <c r="D482" s="102" t="s">
        <v>2286</v>
      </c>
      <c r="E482" s="25" t="s">
        <v>122</v>
      </c>
      <c r="F482" s="25" t="s">
        <v>129</v>
      </c>
      <c r="G482" s="25" t="s">
        <v>42</v>
      </c>
      <c r="H482" s="49" t="s">
        <v>1600</v>
      </c>
      <c r="I482" s="49"/>
      <c r="J482" s="49"/>
      <c r="K482" s="30"/>
      <c r="L482" s="49" t="s">
        <v>2174</v>
      </c>
      <c r="M482" s="50">
        <v>8.0</v>
      </c>
      <c r="N482" s="51"/>
      <c r="O482" s="20"/>
      <c r="P482" s="20"/>
      <c r="Q482" s="20"/>
      <c r="R482" s="20"/>
      <c r="S482" s="20"/>
    </row>
    <row r="483">
      <c r="A483" s="49" t="s">
        <v>2287</v>
      </c>
      <c r="B483" s="110">
        <v>46076.0</v>
      </c>
      <c r="C483" s="49" t="s">
        <v>2288</v>
      </c>
      <c r="D483" s="102" t="s">
        <v>2289</v>
      </c>
      <c r="E483" s="25" t="s">
        <v>17</v>
      </c>
      <c r="F483" s="25" t="s">
        <v>129</v>
      </c>
      <c r="G483" s="25" t="s">
        <v>42</v>
      </c>
      <c r="H483" s="49" t="s">
        <v>1178</v>
      </c>
      <c r="I483" s="49" t="s">
        <v>2290</v>
      </c>
      <c r="J483" s="49">
        <v>5.0</v>
      </c>
      <c r="K483" s="30">
        <f>886000*5</f>
        <v>4430000</v>
      </c>
      <c r="L483" s="49" t="s">
        <v>2291</v>
      </c>
      <c r="M483" s="50">
        <v>8.0</v>
      </c>
      <c r="N483" s="115" t="s">
        <v>2292</v>
      </c>
      <c r="O483" s="20"/>
      <c r="P483" s="20"/>
      <c r="Q483" s="20"/>
      <c r="R483" s="20"/>
      <c r="S483" s="20"/>
    </row>
    <row r="484">
      <c r="A484" s="76" t="s">
        <v>2293</v>
      </c>
      <c r="B484" s="97">
        <v>46077.0</v>
      </c>
      <c r="C484" s="76" t="s">
        <v>2294</v>
      </c>
      <c r="D484" s="99" t="s">
        <v>2295</v>
      </c>
      <c r="E484" s="25" t="s">
        <v>128</v>
      </c>
      <c r="F484" s="25" t="s">
        <v>129</v>
      </c>
      <c r="G484" s="25" t="s">
        <v>42</v>
      </c>
      <c r="H484" s="76" t="s">
        <v>199</v>
      </c>
      <c r="I484" s="76" t="s">
        <v>1199</v>
      </c>
      <c r="J484" s="10"/>
      <c r="K484" s="46"/>
      <c r="L484" s="76" t="s">
        <v>2296</v>
      </c>
      <c r="M484" s="44">
        <v>8.0</v>
      </c>
      <c r="N484" s="105" t="s">
        <v>2297</v>
      </c>
      <c r="O484" s="20"/>
      <c r="P484" s="20"/>
      <c r="Q484" s="20"/>
      <c r="R484" s="20"/>
      <c r="S484" s="20"/>
    </row>
    <row r="485">
      <c r="A485" s="49" t="s">
        <v>2298</v>
      </c>
      <c r="B485" s="110">
        <v>46077.0</v>
      </c>
      <c r="C485" s="49" t="s">
        <v>2299</v>
      </c>
      <c r="D485" s="102" t="s">
        <v>2300</v>
      </c>
      <c r="E485" s="25" t="s">
        <v>128</v>
      </c>
      <c r="F485" s="25" t="s">
        <v>129</v>
      </c>
      <c r="G485" s="25" t="s">
        <v>42</v>
      </c>
      <c r="H485" s="49" t="s">
        <v>2301</v>
      </c>
      <c r="I485" s="49" t="s">
        <v>2302</v>
      </c>
      <c r="J485" s="49">
        <v>1.0</v>
      </c>
      <c r="K485" s="36">
        <v>550000.0</v>
      </c>
      <c r="L485" s="49" t="s">
        <v>2303</v>
      </c>
      <c r="M485" s="50">
        <v>8.0</v>
      </c>
      <c r="N485" s="115" t="s">
        <v>2304</v>
      </c>
      <c r="O485" s="20"/>
      <c r="P485" s="20"/>
      <c r="Q485" s="20"/>
      <c r="R485" s="20"/>
      <c r="S485" s="20"/>
    </row>
    <row r="486">
      <c r="A486" s="76" t="s">
        <v>2305</v>
      </c>
      <c r="B486" s="97">
        <v>46077.0</v>
      </c>
      <c r="C486" s="76" t="s">
        <v>2306</v>
      </c>
      <c r="D486" s="99" t="s">
        <v>2307</v>
      </c>
      <c r="E486" s="25" t="s">
        <v>128</v>
      </c>
      <c r="F486" s="25" t="s">
        <v>129</v>
      </c>
      <c r="G486" s="25" t="s">
        <v>42</v>
      </c>
      <c r="H486" s="76" t="s">
        <v>123</v>
      </c>
      <c r="I486" s="76" t="s">
        <v>2308</v>
      </c>
      <c r="J486" s="76">
        <v>4.0</v>
      </c>
      <c r="K486" s="46">
        <f>1702000*4</f>
        <v>6808000</v>
      </c>
      <c r="L486" s="76" t="s">
        <v>2309</v>
      </c>
      <c r="M486" s="44">
        <v>8.0</v>
      </c>
      <c r="N486" s="45"/>
      <c r="O486" s="20"/>
      <c r="P486" s="20"/>
      <c r="Q486" s="20"/>
      <c r="R486" s="20"/>
      <c r="S486" s="20"/>
    </row>
    <row r="487">
      <c r="A487" s="49" t="s">
        <v>2310</v>
      </c>
      <c r="B487" s="110">
        <v>46077.0</v>
      </c>
      <c r="C487" s="49" t="s">
        <v>2311</v>
      </c>
      <c r="D487" s="102" t="s">
        <v>2312</v>
      </c>
      <c r="E487" s="25" t="s">
        <v>128</v>
      </c>
      <c r="F487" s="25" t="s">
        <v>129</v>
      </c>
      <c r="G487" s="25" t="s">
        <v>42</v>
      </c>
      <c r="H487" s="23"/>
      <c r="I487" s="23"/>
      <c r="J487" s="23"/>
      <c r="K487" s="30"/>
      <c r="L487" s="49" t="s">
        <v>2313</v>
      </c>
      <c r="M487" s="50">
        <v>8.0</v>
      </c>
      <c r="N487" s="51"/>
      <c r="O487" s="20"/>
      <c r="P487" s="20"/>
      <c r="Q487" s="20"/>
      <c r="R487" s="20"/>
      <c r="S487" s="20"/>
    </row>
    <row r="488">
      <c r="A488" s="76" t="s">
        <v>2314</v>
      </c>
      <c r="B488" s="97">
        <v>46076.0</v>
      </c>
      <c r="C488" s="76" t="s">
        <v>2315</v>
      </c>
      <c r="D488" s="99" t="s">
        <v>2316</v>
      </c>
      <c r="E488" s="25" t="s">
        <v>128</v>
      </c>
      <c r="F488" s="25" t="s">
        <v>18</v>
      </c>
      <c r="G488" s="25" t="s">
        <v>42</v>
      </c>
      <c r="H488" s="76"/>
      <c r="I488" s="76" t="s">
        <v>2317</v>
      </c>
      <c r="J488" s="76">
        <v>2.0</v>
      </c>
      <c r="K488" s="46"/>
      <c r="L488" s="76" t="s">
        <v>2318</v>
      </c>
      <c r="M488" s="44">
        <v>8.0</v>
      </c>
      <c r="N488" s="86" t="s">
        <v>2319</v>
      </c>
      <c r="O488" s="20"/>
      <c r="P488" s="20"/>
      <c r="Q488" s="20"/>
      <c r="R488" s="20"/>
      <c r="S488" s="20"/>
    </row>
    <row r="489">
      <c r="A489" s="49" t="s">
        <v>2320</v>
      </c>
      <c r="B489" s="110">
        <v>46076.0</v>
      </c>
      <c r="C489" s="49" t="s">
        <v>2321</v>
      </c>
      <c r="D489" s="102" t="s">
        <v>2322</v>
      </c>
      <c r="E489" s="25" t="s">
        <v>128</v>
      </c>
      <c r="F489" s="25" t="s">
        <v>18</v>
      </c>
      <c r="G489" s="25" t="s">
        <v>79</v>
      </c>
      <c r="H489" s="49" t="s">
        <v>2323</v>
      </c>
      <c r="I489" s="101">
        <v>46083.0</v>
      </c>
      <c r="J489" s="49">
        <v>1.0</v>
      </c>
      <c r="K489" s="36">
        <v>250000.0</v>
      </c>
      <c r="L489" s="49" t="s">
        <v>108</v>
      </c>
      <c r="M489" s="50">
        <v>99.0</v>
      </c>
      <c r="N489" s="51"/>
      <c r="O489" s="20"/>
      <c r="P489" s="20"/>
      <c r="Q489" s="20"/>
      <c r="R489" s="20"/>
      <c r="S489" s="20"/>
    </row>
    <row r="490">
      <c r="A490" s="76" t="s">
        <v>2324</v>
      </c>
      <c r="B490" s="97">
        <v>46077.0</v>
      </c>
      <c r="C490" s="76" t="s">
        <v>2325</v>
      </c>
      <c r="D490" s="99" t="s">
        <v>2326</v>
      </c>
      <c r="E490" s="25" t="s">
        <v>122</v>
      </c>
      <c r="F490" s="25" t="s">
        <v>18</v>
      </c>
      <c r="G490" s="25" t="s">
        <v>42</v>
      </c>
      <c r="H490" s="76" t="s">
        <v>2327</v>
      </c>
      <c r="I490" s="10"/>
      <c r="J490" s="10"/>
      <c r="K490" s="46"/>
      <c r="L490" s="10"/>
      <c r="M490" s="44">
        <v>8.0</v>
      </c>
      <c r="N490" s="45"/>
      <c r="O490" s="20"/>
      <c r="P490" s="20"/>
      <c r="Q490" s="20"/>
      <c r="R490" s="20"/>
      <c r="S490" s="20"/>
    </row>
    <row r="491">
      <c r="A491" s="49" t="s">
        <v>2328</v>
      </c>
      <c r="B491" s="110">
        <v>46077.0</v>
      </c>
      <c r="C491" s="49" t="s">
        <v>2329</v>
      </c>
      <c r="D491" s="102" t="s">
        <v>2330</v>
      </c>
      <c r="E491" s="25" t="s">
        <v>128</v>
      </c>
      <c r="F491" s="25" t="s">
        <v>129</v>
      </c>
      <c r="G491" s="25" t="s">
        <v>19</v>
      </c>
      <c r="H491" s="49" t="s">
        <v>287</v>
      </c>
      <c r="I491" s="49" t="s">
        <v>2331</v>
      </c>
      <c r="J491" s="49">
        <v>2.0</v>
      </c>
      <c r="K491" s="30">
        <f>3064000*2</f>
        <v>6128000</v>
      </c>
      <c r="L491" s="49" t="s">
        <v>2332</v>
      </c>
      <c r="M491" s="50">
        <v>7.0</v>
      </c>
      <c r="N491" s="104" t="s">
        <v>2333</v>
      </c>
      <c r="O491" s="20"/>
      <c r="P491" s="20"/>
      <c r="Q491" s="20"/>
      <c r="R491" s="20"/>
      <c r="S491" s="20"/>
    </row>
    <row r="492">
      <c r="A492" s="76" t="s">
        <v>2334</v>
      </c>
      <c r="B492" s="97">
        <v>46077.0</v>
      </c>
      <c r="C492" s="76" t="s">
        <v>2335</v>
      </c>
      <c r="D492" s="99" t="s">
        <v>2336</v>
      </c>
      <c r="E492" s="25" t="s">
        <v>17</v>
      </c>
      <c r="F492" s="25" t="s">
        <v>129</v>
      </c>
      <c r="G492" s="25" t="s">
        <v>42</v>
      </c>
      <c r="H492" s="76" t="s">
        <v>2337</v>
      </c>
      <c r="I492" s="118">
        <v>46107.0</v>
      </c>
      <c r="J492" s="76">
        <v>2.0</v>
      </c>
      <c r="K492" s="46">
        <f>1194000*2</f>
        <v>2388000</v>
      </c>
      <c r="L492" s="76" t="s">
        <v>453</v>
      </c>
      <c r="M492" s="44">
        <v>8.0</v>
      </c>
      <c r="N492" s="105" t="s">
        <v>2338</v>
      </c>
      <c r="O492" s="20"/>
      <c r="P492" s="20"/>
      <c r="Q492" s="20"/>
      <c r="R492" s="20"/>
      <c r="S492" s="20"/>
    </row>
    <row r="493">
      <c r="A493" s="49" t="s">
        <v>2339</v>
      </c>
      <c r="B493" s="110">
        <v>46078.0</v>
      </c>
      <c r="C493" s="49" t="s">
        <v>2340</v>
      </c>
      <c r="D493" s="102" t="s">
        <v>2341</v>
      </c>
      <c r="E493" s="25" t="s">
        <v>17</v>
      </c>
      <c r="F493" s="25" t="s">
        <v>983</v>
      </c>
      <c r="G493" s="25" t="s">
        <v>42</v>
      </c>
      <c r="H493" s="23"/>
      <c r="I493" s="23"/>
      <c r="J493" s="23"/>
      <c r="K493" s="30"/>
      <c r="L493" s="49" t="s">
        <v>2342</v>
      </c>
      <c r="M493" s="50">
        <v>8.0</v>
      </c>
      <c r="N493" s="51"/>
      <c r="O493" s="20"/>
      <c r="P493" s="20"/>
      <c r="Q493" s="20"/>
      <c r="R493" s="20"/>
      <c r="S493" s="20"/>
    </row>
    <row r="494">
      <c r="A494" s="49" t="s">
        <v>2343</v>
      </c>
      <c r="B494" s="110">
        <v>46078.0</v>
      </c>
      <c r="C494" s="76" t="s">
        <v>2344</v>
      </c>
      <c r="D494" s="99" t="s">
        <v>2345</v>
      </c>
      <c r="E494" s="25" t="s">
        <v>122</v>
      </c>
      <c r="F494" s="25" t="s">
        <v>983</v>
      </c>
      <c r="G494" s="25" t="s">
        <v>42</v>
      </c>
      <c r="H494" s="76" t="s">
        <v>2166</v>
      </c>
      <c r="I494" s="10"/>
      <c r="J494" s="76">
        <v>1.0</v>
      </c>
      <c r="K494" s="46"/>
      <c r="L494" s="76" t="s">
        <v>1180</v>
      </c>
      <c r="M494" s="44">
        <v>8.0</v>
      </c>
      <c r="N494" s="86" t="s">
        <v>2346</v>
      </c>
      <c r="O494" s="20"/>
      <c r="P494" s="20"/>
      <c r="Q494" s="20"/>
      <c r="R494" s="20"/>
      <c r="S494" s="20"/>
    </row>
    <row r="495">
      <c r="A495" s="49" t="s">
        <v>2347</v>
      </c>
      <c r="B495" s="110">
        <v>46078.0</v>
      </c>
      <c r="C495" s="49" t="s">
        <v>2348</v>
      </c>
      <c r="D495" s="102" t="s">
        <v>2349</v>
      </c>
      <c r="E495" s="25" t="s">
        <v>128</v>
      </c>
      <c r="F495" s="25" t="s">
        <v>129</v>
      </c>
      <c r="G495" s="25" t="s">
        <v>34</v>
      </c>
      <c r="H495" s="49" t="s">
        <v>2350</v>
      </c>
      <c r="I495" s="49" t="s">
        <v>2351</v>
      </c>
      <c r="J495" s="49">
        <v>6.0</v>
      </c>
      <c r="K495" s="30">
        <f>1269000*6</f>
        <v>7614000</v>
      </c>
      <c r="L495" s="49" t="s">
        <v>2352</v>
      </c>
      <c r="M495" s="50">
        <v>2.0</v>
      </c>
      <c r="N495" s="115" t="s">
        <v>2353</v>
      </c>
      <c r="O495" s="20"/>
      <c r="P495" s="20"/>
      <c r="Q495" s="20"/>
      <c r="R495" s="20"/>
      <c r="S495" s="20"/>
    </row>
    <row r="496">
      <c r="A496" s="76" t="s">
        <v>2354</v>
      </c>
      <c r="B496" s="97">
        <v>46078.0</v>
      </c>
      <c r="C496" s="76" t="s">
        <v>2355</v>
      </c>
      <c r="D496" s="99" t="s">
        <v>2356</v>
      </c>
      <c r="E496" s="25" t="s">
        <v>17</v>
      </c>
      <c r="F496" s="25" t="s">
        <v>129</v>
      </c>
      <c r="G496" s="25" t="s">
        <v>42</v>
      </c>
      <c r="H496" s="76" t="s">
        <v>2357</v>
      </c>
      <c r="I496" s="76" t="s">
        <v>2358</v>
      </c>
      <c r="J496" s="76">
        <v>70.0</v>
      </c>
      <c r="K496" s="46"/>
      <c r="L496" s="76" t="s">
        <v>2359</v>
      </c>
      <c r="M496" s="44">
        <v>8.0</v>
      </c>
      <c r="N496" s="105" t="s">
        <v>2360</v>
      </c>
      <c r="O496" s="20"/>
      <c r="P496" s="20"/>
      <c r="Q496" s="20"/>
      <c r="R496" s="20"/>
      <c r="S496" s="20"/>
    </row>
    <row r="497">
      <c r="A497" s="49" t="s">
        <v>2361</v>
      </c>
      <c r="B497" s="110">
        <v>46078.0</v>
      </c>
      <c r="C497" s="49" t="s">
        <v>2362</v>
      </c>
      <c r="D497" s="102" t="s">
        <v>2363</v>
      </c>
      <c r="E497" s="25" t="s">
        <v>122</v>
      </c>
      <c r="F497" s="25" t="s">
        <v>983</v>
      </c>
      <c r="G497" s="25" t="s">
        <v>42</v>
      </c>
      <c r="H497" s="49" t="s">
        <v>2364</v>
      </c>
      <c r="I497" s="101">
        <v>46105.0</v>
      </c>
      <c r="J497" s="49">
        <v>3.0</v>
      </c>
      <c r="K497" s="36">
        <v>1.17E7</v>
      </c>
      <c r="L497" s="49" t="s">
        <v>1583</v>
      </c>
      <c r="M497" s="50">
        <v>8.0</v>
      </c>
      <c r="N497" s="51"/>
      <c r="O497" s="20"/>
      <c r="P497" s="20"/>
      <c r="Q497" s="20"/>
      <c r="R497" s="20"/>
      <c r="S497" s="20"/>
    </row>
    <row r="498">
      <c r="A498" s="76" t="s">
        <v>2365</v>
      </c>
      <c r="B498" s="97">
        <v>46078.0</v>
      </c>
      <c r="C498" s="76" t="s">
        <v>2366</v>
      </c>
      <c r="D498" s="99" t="s">
        <v>2367</v>
      </c>
      <c r="E498" s="25" t="s">
        <v>17</v>
      </c>
      <c r="F498" s="25" t="s">
        <v>129</v>
      </c>
      <c r="G498" s="25" t="s">
        <v>42</v>
      </c>
      <c r="H498" s="76" t="s">
        <v>2364</v>
      </c>
      <c r="I498" s="76" t="s">
        <v>1232</v>
      </c>
      <c r="J498" s="76">
        <v>5.0</v>
      </c>
      <c r="K498" s="46"/>
      <c r="L498" s="76" t="s">
        <v>2368</v>
      </c>
      <c r="M498" s="44">
        <v>8.0</v>
      </c>
      <c r="N498" s="45"/>
      <c r="O498" s="20"/>
      <c r="P498" s="20"/>
      <c r="Q498" s="20"/>
      <c r="R498" s="20"/>
      <c r="S498" s="20"/>
    </row>
    <row r="499">
      <c r="A499" s="49" t="s">
        <v>2369</v>
      </c>
      <c r="B499" s="110">
        <v>46078.0</v>
      </c>
      <c r="C499" s="49" t="s">
        <v>2370</v>
      </c>
      <c r="D499" s="102" t="s">
        <v>2371</v>
      </c>
      <c r="E499" s="25" t="s">
        <v>17</v>
      </c>
      <c r="F499" s="25" t="s">
        <v>129</v>
      </c>
      <c r="G499" s="25" t="s">
        <v>42</v>
      </c>
      <c r="H499" s="49" t="s">
        <v>277</v>
      </c>
      <c r="I499" s="101">
        <v>46104.0</v>
      </c>
      <c r="J499" s="49">
        <v>7.0</v>
      </c>
      <c r="K499" s="30">
        <f>520000*7</f>
        <v>3640000</v>
      </c>
      <c r="L499" s="49" t="s">
        <v>2372</v>
      </c>
      <c r="M499" s="50">
        <v>8.0</v>
      </c>
      <c r="N499" s="51"/>
      <c r="O499" s="20"/>
      <c r="P499" s="20"/>
      <c r="Q499" s="20"/>
      <c r="R499" s="20"/>
      <c r="S499" s="20"/>
    </row>
    <row r="500">
      <c r="A500" s="76" t="s">
        <v>2373</v>
      </c>
      <c r="B500" s="97">
        <v>46078.0</v>
      </c>
      <c r="C500" s="76" t="s">
        <v>2374</v>
      </c>
      <c r="D500" s="99" t="s">
        <v>2375</v>
      </c>
      <c r="E500" s="25" t="s">
        <v>17</v>
      </c>
      <c r="F500" s="25" t="s">
        <v>18</v>
      </c>
      <c r="G500" s="25" t="s">
        <v>42</v>
      </c>
      <c r="H500" s="76" t="s">
        <v>2376</v>
      </c>
      <c r="I500" s="118">
        <v>46100.0</v>
      </c>
      <c r="J500" s="76">
        <v>4.0</v>
      </c>
      <c r="K500" s="19">
        <v>3328000.0</v>
      </c>
      <c r="L500" s="76" t="s">
        <v>2377</v>
      </c>
      <c r="M500" s="44">
        <v>8.0</v>
      </c>
      <c r="N500" s="86" t="s">
        <v>2378</v>
      </c>
      <c r="O500" s="20"/>
      <c r="P500" s="20"/>
      <c r="Q500" s="20"/>
      <c r="R500" s="20"/>
      <c r="S500" s="20"/>
    </row>
    <row r="501">
      <c r="A501" s="49" t="s">
        <v>2379</v>
      </c>
      <c r="B501" s="110">
        <v>46079.0</v>
      </c>
      <c r="C501" s="49" t="s">
        <v>2380</v>
      </c>
      <c r="D501" s="102" t="s">
        <v>2381</v>
      </c>
      <c r="E501" s="25" t="s">
        <v>128</v>
      </c>
      <c r="F501" s="25" t="s">
        <v>18</v>
      </c>
      <c r="G501" s="25" t="s">
        <v>42</v>
      </c>
      <c r="H501" s="49" t="s">
        <v>2382</v>
      </c>
      <c r="I501" s="101">
        <v>46110.0</v>
      </c>
      <c r="J501" s="49">
        <v>6.0</v>
      </c>
      <c r="K501" s="36">
        <v>4290000.0</v>
      </c>
      <c r="L501" s="49" t="s">
        <v>2383</v>
      </c>
      <c r="M501" s="50">
        <v>8.0</v>
      </c>
      <c r="N501" s="104" t="s">
        <v>2384</v>
      </c>
      <c r="O501" s="20"/>
      <c r="P501" s="20"/>
      <c r="Q501" s="20"/>
      <c r="R501" s="20"/>
      <c r="S501" s="20"/>
    </row>
    <row r="502">
      <c r="A502" s="76" t="s">
        <v>2385</v>
      </c>
      <c r="B502" s="97">
        <v>46079.0</v>
      </c>
      <c r="C502" s="76" t="s">
        <v>2386</v>
      </c>
      <c r="D502" s="99" t="s">
        <v>2387</v>
      </c>
      <c r="E502" s="25" t="s">
        <v>122</v>
      </c>
      <c r="F502" s="25" t="s">
        <v>129</v>
      </c>
      <c r="G502" s="25" t="s">
        <v>42</v>
      </c>
      <c r="H502" s="76" t="s">
        <v>2388</v>
      </c>
      <c r="I502" s="10"/>
      <c r="J502" s="10"/>
      <c r="K502" s="46"/>
      <c r="L502" s="76" t="s">
        <v>2389</v>
      </c>
      <c r="M502" s="44">
        <v>8.0</v>
      </c>
      <c r="N502" s="45"/>
      <c r="O502" s="20"/>
      <c r="P502" s="20"/>
      <c r="Q502" s="20"/>
      <c r="R502" s="20"/>
      <c r="S502" s="20"/>
    </row>
    <row r="503">
      <c r="A503" s="49" t="s">
        <v>2390</v>
      </c>
      <c r="B503" s="110">
        <v>46079.0</v>
      </c>
      <c r="C503" s="49" t="s">
        <v>2391</v>
      </c>
      <c r="D503" s="102" t="s">
        <v>2392</v>
      </c>
      <c r="E503" s="25" t="s">
        <v>128</v>
      </c>
      <c r="F503" s="25" t="s">
        <v>129</v>
      </c>
      <c r="G503" s="25" t="s">
        <v>42</v>
      </c>
      <c r="H503" s="49" t="s">
        <v>2393</v>
      </c>
      <c r="I503" s="49" t="s">
        <v>2394</v>
      </c>
      <c r="J503" s="49">
        <v>2.0</v>
      </c>
      <c r="K503" s="30">
        <f>3080000*2</f>
        <v>6160000</v>
      </c>
      <c r="L503" s="49" t="s">
        <v>2395</v>
      </c>
      <c r="M503" s="50">
        <v>8.0</v>
      </c>
      <c r="N503" s="115" t="s">
        <v>2396</v>
      </c>
      <c r="O503" s="20"/>
      <c r="P503" s="20"/>
      <c r="Q503" s="20"/>
      <c r="R503" s="20"/>
      <c r="S503" s="20"/>
    </row>
    <row r="504">
      <c r="A504" s="76" t="s">
        <v>2397</v>
      </c>
      <c r="B504" s="97">
        <v>46079.0</v>
      </c>
      <c r="C504" s="76" t="s">
        <v>1851</v>
      </c>
      <c r="D504" s="99" t="s">
        <v>2398</v>
      </c>
      <c r="E504" s="25" t="s">
        <v>122</v>
      </c>
      <c r="F504" s="25" t="s">
        <v>129</v>
      </c>
      <c r="G504" s="25" t="s">
        <v>34</v>
      </c>
      <c r="H504" s="76" t="s">
        <v>2399</v>
      </c>
      <c r="I504" s="76" t="s">
        <v>2400</v>
      </c>
      <c r="J504" s="76">
        <v>100.0</v>
      </c>
      <c r="K504" s="46">
        <f>2000000*100</f>
        <v>200000000</v>
      </c>
      <c r="L504" s="76" t="s">
        <v>2401</v>
      </c>
      <c r="M504" s="44">
        <v>2.0</v>
      </c>
      <c r="N504" s="105" t="s">
        <v>2402</v>
      </c>
      <c r="O504" s="20"/>
      <c r="P504" s="20"/>
      <c r="Q504" s="20"/>
      <c r="R504" s="20"/>
      <c r="S504" s="20"/>
    </row>
    <row r="505">
      <c r="A505" s="49" t="s">
        <v>2403</v>
      </c>
      <c r="B505" s="110">
        <v>46079.0</v>
      </c>
      <c r="C505" s="49" t="s">
        <v>2404</v>
      </c>
      <c r="D505" s="102" t="s">
        <v>2405</v>
      </c>
      <c r="E505" s="25" t="s">
        <v>128</v>
      </c>
      <c r="F505" s="25" t="s">
        <v>129</v>
      </c>
      <c r="G505" s="25" t="s">
        <v>42</v>
      </c>
      <c r="H505" s="49" t="s">
        <v>2406</v>
      </c>
      <c r="I505" s="23"/>
      <c r="J505" s="49">
        <v>3.0</v>
      </c>
      <c r="K505" s="30"/>
      <c r="L505" s="49" t="s">
        <v>1970</v>
      </c>
      <c r="M505" s="50">
        <v>8.0</v>
      </c>
      <c r="N505" s="115" t="s">
        <v>2407</v>
      </c>
      <c r="O505" s="20"/>
      <c r="P505" s="20"/>
      <c r="Q505" s="20"/>
      <c r="R505" s="20"/>
      <c r="S505" s="20"/>
    </row>
    <row r="506">
      <c r="A506" s="76" t="s">
        <v>2408</v>
      </c>
      <c r="B506" s="97">
        <v>46079.0</v>
      </c>
      <c r="C506" s="76" t="s">
        <v>2409</v>
      </c>
      <c r="D506" s="99" t="s">
        <v>2410</v>
      </c>
      <c r="E506" s="25" t="s">
        <v>17</v>
      </c>
      <c r="F506" s="25" t="s">
        <v>129</v>
      </c>
      <c r="G506" s="25" t="s">
        <v>42</v>
      </c>
      <c r="H506" s="76" t="s">
        <v>277</v>
      </c>
      <c r="I506" s="118">
        <v>46131.0</v>
      </c>
      <c r="J506" s="76">
        <v>1.0</v>
      </c>
      <c r="K506" s="19">
        <v>250000.0</v>
      </c>
      <c r="L506" s="76" t="s">
        <v>2411</v>
      </c>
      <c r="M506" s="44">
        <v>8.0</v>
      </c>
      <c r="N506" s="86" t="s">
        <v>2412</v>
      </c>
      <c r="O506" s="20"/>
      <c r="P506" s="20"/>
      <c r="Q506" s="20"/>
      <c r="R506" s="20"/>
      <c r="S506" s="20"/>
    </row>
    <row r="507">
      <c r="A507" s="76" t="s">
        <v>2413</v>
      </c>
      <c r="B507" s="97">
        <v>46079.0</v>
      </c>
      <c r="C507" s="76" t="s">
        <v>2414</v>
      </c>
      <c r="D507" s="99" t="s">
        <v>2415</v>
      </c>
      <c r="E507" s="25" t="s">
        <v>122</v>
      </c>
      <c r="F507" s="25" t="s">
        <v>129</v>
      </c>
      <c r="G507" s="25" t="s">
        <v>42</v>
      </c>
      <c r="H507" s="10"/>
      <c r="I507" s="10"/>
      <c r="J507" s="10"/>
      <c r="K507" s="46"/>
      <c r="L507" s="76" t="s">
        <v>2416</v>
      </c>
      <c r="M507" s="44">
        <v>8.0</v>
      </c>
      <c r="N507" s="45"/>
      <c r="O507" s="20"/>
      <c r="P507" s="20"/>
      <c r="Q507" s="20"/>
      <c r="R507" s="20"/>
      <c r="S507" s="20"/>
    </row>
    <row r="508">
      <c r="A508" s="49" t="s">
        <v>2417</v>
      </c>
      <c r="B508" s="110">
        <v>46080.0</v>
      </c>
      <c r="C508" s="49" t="s">
        <v>2418</v>
      </c>
      <c r="D508" s="102" t="s">
        <v>2419</v>
      </c>
      <c r="E508" s="25" t="s">
        <v>122</v>
      </c>
      <c r="F508" s="25" t="s">
        <v>129</v>
      </c>
      <c r="G508" s="25" t="s">
        <v>42</v>
      </c>
      <c r="H508" s="23"/>
      <c r="I508" s="23"/>
      <c r="J508" s="23"/>
      <c r="K508" s="30"/>
      <c r="L508" s="49" t="s">
        <v>2245</v>
      </c>
      <c r="M508" s="50">
        <v>8.0</v>
      </c>
      <c r="N508" s="51"/>
      <c r="O508" s="20"/>
      <c r="P508" s="20"/>
      <c r="Q508" s="20"/>
      <c r="R508" s="20"/>
      <c r="S508" s="20"/>
    </row>
    <row r="509">
      <c r="A509" s="76" t="s">
        <v>2420</v>
      </c>
      <c r="B509" s="97">
        <v>46080.0</v>
      </c>
      <c r="C509" s="76" t="s">
        <v>2421</v>
      </c>
      <c r="D509" s="99" t="s">
        <v>2422</v>
      </c>
      <c r="E509" s="25" t="s">
        <v>122</v>
      </c>
      <c r="F509" s="25" t="s">
        <v>983</v>
      </c>
      <c r="G509" s="25" t="s">
        <v>34</v>
      </c>
      <c r="H509" s="76" t="s">
        <v>2423</v>
      </c>
      <c r="I509" s="118">
        <v>46214.0</v>
      </c>
      <c r="J509" s="76">
        <v>3.0</v>
      </c>
      <c r="K509" s="19">
        <v>4050000.0</v>
      </c>
      <c r="L509" s="76" t="s">
        <v>2424</v>
      </c>
      <c r="M509" s="44">
        <v>2.0</v>
      </c>
      <c r="N509" s="45"/>
      <c r="O509" s="20"/>
      <c r="P509" s="20"/>
      <c r="Q509" s="20"/>
      <c r="R509" s="20"/>
      <c r="S509" s="20"/>
    </row>
    <row r="510">
      <c r="A510" s="49" t="s">
        <v>2425</v>
      </c>
      <c r="B510" s="110">
        <v>46080.0</v>
      </c>
      <c r="C510" s="49" t="s">
        <v>2426</v>
      </c>
      <c r="D510" s="102" t="s">
        <v>2427</v>
      </c>
      <c r="E510" s="25" t="s">
        <v>122</v>
      </c>
      <c r="F510" s="25" t="s">
        <v>983</v>
      </c>
      <c r="G510" s="25" t="s">
        <v>42</v>
      </c>
      <c r="H510" s="49" t="s">
        <v>775</v>
      </c>
      <c r="I510" s="23"/>
      <c r="J510" s="49">
        <v>34.0</v>
      </c>
      <c r="K510" s="36">
        <v>2.669E7</v>
      </c>
      <c r="L510" s="49" t="s">
        <v>2428</v>
      </c>
      <c r="M510" s="50">
        <v>8.0</v>
      </c>
      <c r="N510" s="51"/>
      <c r="O510" s="20"/>
      <c r="P510" s="20"/>
      <c r="Q510" s="20"/>
      <c r="R510" s="20"/>
      <c r="S510" s="20"/>
    </row>
    <row r="511">
      <c r="A511" s="76" t="s">
        <v>2429</v>
      </c>
      <c r="B511" s="97">
        <v>46080.0</v>
      </c>
      <c r="C511" s="76" t="s">
        <v>2430</v>
      </c>
      <c r="D511" s="99" t="s">
        <v>2431</v>
      </c>
      <c r="E511" s="25" t="s">
        <v>128</v>
      </c>
      <c r="F511" s="25" t="s">
        <v>129</v>
      </c>
      <c r="G511" s="25" t="s">
        <v>42</v>
      </c>
      <c r="H511" s="76" t="s">
        <v>2432</v>
      </c>
      <c r="I511" s="76" t="s">
        <v>920</v>
      </c>
      <c r="J511" s="76">
        <v>5.0</v>
      </c>
      <c r="K511" s="46"/>
      <c r="L511" s="76" t="s">
        <v>2433</v>
      </c>
      <c r="M511" s="44">
        <v>8.0</v>
      </c>
      <c r="N511" s="105" t="s">
        <v>2434</v>
      </c>
      <c r="O511" s="20"/>
      <c r="P511" s="20"/>
      <c r="Q511" s="20"/>
      <c r="R511" s="20"/>
      <c r="S511" s="20"/>
    </row>
    <row r="512">
      <c r="A512" s="49" t="s">
        <v>2435</v>
      </c>
      <c r="B512" s="110">
        <v>46080.0</v>
      </c>
      <c r="C512" s="49" t="s">
        <v>2436</v>
      </c>
      <c r="D512" s="102" t="s">
        <v>2437</v>
      </c>
      <c r="E512" s="25" t="s">
        <v>122</v>
      </c>
      <c r="F512" s="25" t="s">
        <v>129</v>
      </c>
      <c r="G512" s="25" t="s">
        <v>42</v>
      </c>
      <c r="H512" s="23"/>
      <c r="I512" s="49" t="s">
        <v>2438</v>
      </c>
      <c r="J512" s="49">
        <v>2.0</v>
      </c>
      <c r="K512" s="30"/>
      <c r="L512" s="49" t="s">
        <v>2439</v>
      </c>
      <c r="M512" s="50">
        <v>8.0</v>
      </c>
      <c r="N512" s="115" t="s">
        <v>2440</v>
      </c>
      <c r="O512" s="20"/>
      <c r="P512" s="20"/>
      <c r="Q512" s="20"/>
      <c r="R512" s="20"/>
      <c r="S512" s="20"/>
    </row>
    <row r="513">
      <c r="A513" s="76" t="s">
        <v>2441</v>
      </c>
      <c r="B513" s="97">
        <v>46080.0</v>
      </c>
      <c r="C513" s="76" t="s">
        <v>2442</v>
      </c>
      <c r="D513" s="99" t="s">
        <v>2443</v>
      </c>
      <c r="E513" s="25" t="s">
        <v>1877</v>
      </c>
      <c r="F513" s="25" t="s">
        <v>129</v>
      </c>
      <c r="G513" s="25" t="s">
        <v>42</v>
      </c>
      <c r="H513" s="10"/>
      <c r="I513" s="76" t="s">
        <v>2444</v>
      </c>
      <c r="J513" s="76">
        <v>2.0</v>
      </c>
      <c r="K513" s="46"/>
      <c r="L513" s="76" t="s">
        <v>1970</v>
      </c>
      <c r="M513" s="44">
        <v>8.0</v>
      </c>
      <c r="N513" s="105" t="s">
        <v>2445</v>
      </c>
      <c r="O513" s="20"/>
      <c r="P513" s="20"/>
      <c r="Q513" s="20"/>
      <c r="R513" s="20"/>
      <c r="S513" s="20"/>
    </row>
    <row r="514">
      <c r="A514" s="49" t="s">
        <v>2446</v>
      </c>
      <c r="B514" s="110">
        <v>46080.0</v>
      </c>
      <c r="C514" s="49" t="s">
        <v>2447</v>
      </c>
      <c r="D514" s="102" t="s">
        <v>2448</v>
      </c>
      <c r="E514" s="25" t="s">
        <v>17</v>
      </c>
      <c r="F514" s="25" t="s">
        <v>18</v>
      </c>
      <c r="G514" s="25" t="s">
        <v>42</v>
      </c>
      <c r="H514" s="49" t="s">
        <v>2449</v>
      </c>
      <c r="I514" s="49" t="s">
        <v>961</v>
      </c>
      <c r="J514" s="49" t="s">
        <v>2450</v>
      </c>
      <c r="K514" s="36">
        <v>3.18E7</v>
      </c>
      <c r="L514" s="49" t="s">
        <v>2156</v>
      </c>
      <c r="M514" s="50">
        <v>8.0</v>
      </c>
      <c r="N514" s="104" t="s">
        <v>2451</v>
      </c>
      <c r="O514" s="20"/>
      <c r="P514" s="20"/>
      <c r="Q514" s="20"/>
      <c r="R514" s="20"/>
      <c r="S514" s="20"/>
    </row>
    <row r="515">
      <c r="A515" s="49" t="s">
        <v>2452</v>
      </c>
      <c r="B515" s="110">
        <v>46080.0</v>
      </c>
      <c r="C515" s="49" t="s">
        <v>2453</v>
      </c>
      <c r="D515" s="102" t="s">
        <v>2454</v>
      </c>
      <c r="E515" s="25" t="s">
        <v>122</v>
      </c>
      <c r="F515" s="25" t="s">
        <v>129</v>
      </c>
      <c r="G515" s="25" t="s">
        <v>42</v>
      </c>
      <c r="H515" s="49" t="s">
        <v>2455</v>
      </c>
      <c r="I515" s="49" t="s">
        <v>2456</v>
      </c>
      <c r="J515" s="49">
        <v>12.0</v>
      </c>
      <c r="K515" s="30">
        <f>1061000*12</f>
        <v>12732000</v>
      </c>
      <c r="L515" s="49" t="s">
        <v>2457</v>
      </c>
      <c r="M515" s="50">
        <v>8.0</v>
      </c>
      <c r="N515" s="104" t="s">
        <v>2458</v>
      </c>
      <c r="O515" s="20"/>
      <c r="P515" s="20"/>
      <c r="Q515" s="20"/>
      <c r="R515" s="20"/>
      <c r="S515" s="20"/>
    </row>
    <row r="516">
      <c r="A516" s="76" t="s">
        <v>2459</v>
      </c>
      <c r="B516" s="97">
        <v>46080.0</v>
      </c>
      <c r="C516" s="76" t="s">
        <v>2460</v>
      </c>
      <c r="D516" s="99" t="s">
        <v>2461</v>
      </c>
      <c r="E516" s="25" t="s">
        <v>122</v>
      </c>
      <c r="F516" s="25" t="s">
        <v>983</v>
      </c>
      <c r="G516" s="25" t="s">
        <v>42</v>
      </c>
      <c r="H516" s="76" t="s">
        <v>2462</v>
      </c>
      <c r="I516" s="76" t="s">
        <v>2463</v>
      </c>
      <c r="J516" s="76">
        <v>3.0</v>
      </c>
      <c r="K516" s="46">
        <f>2158000*3</f>
        <v>6474000</v>
      </c>
      <c r="L516" s="76" t="s">
        <v>2464</v>
      </c>
      <c r="M516" s="44">
        <v>8.0</v>
      </c>
      <c r="N516" s="86" t="s">
        <v>2465</v>
      </c>
      <c r="O516" s="20"/>
      <c r="P516" s="20"/>
      <c r="Q516" s="20"/>
      <c r="R516" s="20"/>
      <c r="S516" s="20"/>
    </row>
    <row r="517">
      <c r="A517" s="49" t="s">
        <v>2466</v>
      </c>
      <c r="B517" s="110">
        <v>46080.0</v>
      </c>
      <c r="C517" s="49" t="s">
        <v>2467</v>
      </c>
      <c r="D517" s="102" t="s">
        <v>2468</v>
      </c>
      <c r="E517" s="25" t="s">
        <v>17</v>
      </c>
      <c r="F517" s="25" t="s">
        <v>983</v>
      </c>
      <c r="G517" s="25" t="s">
        <v>34</v>
      </c>
      <c r="H517" s="49" t="s">
        <v>2469</v>
      </c>
      <c r="I517" s="49" t="s">
        <v>2470</v>
      </c>
      <c r="J517" s="49">
        <v>22.0</v>
      </c>
      <c r="K517" s="30">
        <f>1462000*20</f>
        <v>29240000</v>
      </c>
      <c r="L517" s="49" t="s">
        <v>2471</v>
      </c>
      <c r="M517" s="50">
        <v>2.0</v>
      </c>
      <c r="N517" s="51"/>
      <c r="O517" s="20"/>
      <c r="P517" s="20"/>
      <c r="Q517" s="20"/>
      <c r="R517" s="20"/>
      <c r="S517" s="20"/>
    </row>
    <row r="518">
      <c r="A518" s="76" t="s">
        <v>2472</v>
      </c>
      <c r="B518" s="97">
        <v>46080.0</v>
      </c>
      <c r="C518" s="76" t="s">
        <v>2473</v>
      </c>
      <c r="D518" s="99" t="s">
        <v>2474</v>
      </c>
      <c r="E518" s="25" t="s">
        <v>128</v>
      </c>
      <c r="F518" s="25" t="s">
        <v>129</v>
      </c>
      <c r="G518" s="25" t="s">
        <v>42</v>
      </c>
      <c r="H518" s="76" t="s">
        <v>2475</v>
      </c>
      <c r="I518" s="118">
        <v>46104.0</v>
      </c>
      <c r="J518" s="76">
        <v>6.0</v>
      </c>
      <c r="K518" s="46">
        <f>515000*6</f>
        <v>3090000</v>
      </c>
      <c r="L518" s="76" t="s">
        <v>2411</v>
      </c>
      <c r="M518" s="44">
        <v>8.0</v>
      </c>
      <c r="N518" s="105" t="s">
        <v>2476</v>
      </c>
      <c r="O518" s="20"/>
      <c r="P518" s="20"/>
      <c r="Q518" s="20"/>
      <c r="R518" s="20"/>
      <c r="S518" s="20"/>
    </row>
    <row r="519">
      <c r="A519" s="49" t="s">
        <v>2477</v>
      </c>
      <c r="B519" s="110">
        <v>46080.0</v>
      </c>
      <c r="C519" s="49" t="s">
        <v>2478</v>
      </c>
      <c r="D519" s="102" t="s">
        <v>2479</v>
      </c>
      <c r="E519" s="25" t="s">
        <v>122</v>
      </c>
      <c r="F519" s="25" t="s">
        <v>129</v>
      </c>
      <c r="G519" s="25" t="s">
        <v>42</v>
      </c>
      <c r="H519" s="49" t="s">
        <v>2480</v>
      </c>
      <c r="I519" s="101">
        <v>46107.0</v>
      </c>
      <c r="J519" s="49">
        <v>4.0</v>
      </c>
      <c r="K519" s="30">
        <f>499000*4</f>
        <v>1996000</v>
      </c>
      <c r="L519" s="49" t="s">
        <v>2481</v>
      </c>
      <c r="M519" s="50">
        <v>8.0</v>
      </c>
      <c r="N519" s="51"/>
      <c r="O519" s="20"/>
      <c r="P519" s="20"/>
      <c r="Q519" s="20"/>
      <c r="R519" s="20"/>
      <c r="S519" s="20"/>
    </row>
    <row r="520">
      <c r="A520" s="76" t="s">
        <v>2482</v>
      </c>
      <c r="B520" s="97">
        <v>46080.0</v>
      </c>
      <c r="C520" s="76" t="s">
        <v>2483</v>
      </c>
      <c r="D520" s="99" t="s">
        <v>2484</v>
      </c>
      <c r="E520" s="25" t="s">
        <v>128</v>
      </c>
      <c r="F520" s="25" t="s">
        <v>129</v>
      </c>
      <c r="G520" s="25" t="s">
        <v>42</v>
      </c>
      <c r="H520" s="76" t="s">
        <v>86</v>
      </c>
      <c r="I520" s="76" t="s">
        <v>2485</v>
      </c>
      <c r="J520" s="76">
        <v>2.0</v>
      </c>
      <c r="K520" s="46">
        <f>1941000*2</f>
        <v>3882000</v>
      </c>
      <c r="L520" s="76" t="s">
        <v>2486</v>
      </c>
      <c r="M520" s="44">
        <v>8.0</v>
      </c>
      <c r="N520" s="105" t="s">
        <v>2487</v>
      </c>
      <c r="O520" s="20"/>
      <c r="P520" s="20"/>
      <c r="Q520" s="20"/>
      <c r="R520" s="20"/>
      <c r="S520" s="20"/>
    </row>
    <row r="521">
      <c r="A521" s="49" t="s">
        <v>2488</v>
      </c>
      <c r="B521" s="110">
        <v>46080.0</v>
      </c>
      <c r="C521" s="49" t="s">
        <v>2489</v>
      </c>
      <c r="D521" s="102" t="s">
        <v>2490</v>
      </c>
      <c r="E521" s="25" t="s">
        <v>17</v>
      </c>
      <c r="F521" s="25" t="s">
        <v>129</v>
      </c>
      <c r="G521" s="25" t="s">
        <v>42</v>
      </c>
      <c r="H521" s="49" t="s">
        <v>2491</v>
      </c>
      <c r="I521" s="49" t="s">
        <v>2492</v>
      </c>
      <c r="J521" s="49">
        <v>3.0</v>
      </c>
      <c r="K521" s="30"/>
      <c r="L521" s="49" t="s">
        <v>2493</v>
      </c>
      <c r="M521" s="50">
        <v>8.0</v>
      </c>
      <c r="N521" s="115" t="s">
        <v>2494</v>
      </c>
      <c r="O521" s="20"/>
      <c r="P521" s="20"/>
      <c r="Q521" s="20"/>
      <c r="R521" s="20"/>
      <c r="S521" s="20"/>
    </row>
    <row r="522">
      <c r="A522" s="76" t="s">
        <v>2495</v>
      </c>
      <c r="B522" s="97">
        <v>46081.0</v>
      </c>
      <c r="C522" s="76" t="s">
        <v>2496</v>
      </c>
      <c r="D522" s="99" t="s">
        <v>2490</v>
      </c>
      <c r="E522" s="25" t="s">
        <v>122</v>
      </c>
      <c r="F522" s="25" t="s">
        <v>129</v>
      </c>
      <c r="G522" s="25" t="s">
        <v>42</v>
      </c>
      <c r="H522" s="76" t="s">
        <v>123</v>
      </c>
      <c r="I522" s="10"/>
      <c r="J522" s="10"/>
      <c r="K522" s="46"/>
      <c r="L522" s="76" t="s">
        <v>2497</v>
      </c>
      <c r="M522" s="44">
        <v>8.0</v>
      </c>
      <c r="N522" s="105" t="s">
        <v>2498</v>
      </c>
      <c r="O522" s="20"/>
      <c r="P522" s="20"/>
      <c r="Q522" s="20"/>
      <c r="R522" s="20"/>
      <c r="S522" s="20"/>
    </row>
    <row r="523">
      <c r="A523" s="49" t="s">
        <v>2499</v>
      </c>
      <c r="B523" s="110">
        <v>46079.0</v>
      </c>
      <c r="C523" s="49" t="s">
        <v>2500</v>
      </c>
      <c r="D523" s="102" t="s">
        <v>2501</v>
      </c>
      <c r="E523" s="25" t="s">
        <v>122</v>
      </c>
      <c r="F523" s="25" t="s">
        <v>18</v>
      </c>
      <c r="G523" s="25" t="s">
        <v>42</v>
      </c>
      <c r="H523" s="49" t="s">
        <v>2502</v>
      </c>
      <c r="I523" s="49" t="s">
        <v>2503</v>
      </c>
      <c r="J523" s="23"/>
      <c r="K523" s="30"/>
      <c r="L523" s="49" t="s">
        <v>1186</v>
      </c>
      <c r="M523" s="50">
        <v>8.0</v>
      </c>
      <c r="N523" s="104" t="s">
        <v>2504</v>
      </c>
      <c r="O523" s="20"/>
      <c r="P523" s="20"/>
      <c r="Q523" s="20"/>
      <c r="R523" s="20"/>
      <c r="S523" s="20"/>
    </row>
    <row r="524">
      <c r="A524" s="76" t="s">
        <v>2505</v>
      </c>
      <c r="B524" s="121">
        <v>46081.0</v>
      </c>
      <c r="C524" s="76" t="s">
        <v>2506</v>
      </c>
      <c r="D524" s="99" t="s">
        <v>2507</v>
      </c>
      <c r="E524" s="25" t="s">
        <v>128</v>
      </c>
      <c r="F524" s="25" t="s">
        <v>129</v>
      </c>
      <c r="G524" s="25" t="s">
        <v>42</v>
      </c>
      <c r="H524" s="76" t="s">
        <v>243</v>
      </c>
      <c r="I524" s="10"/>
      <c r="J524" s="76">
        <v>2.0</v>
      </c>
      <c r="K524" s="46"/>
      <c r="L524" s="76" t="s">
        <v>2439</v>
      </c>
      <c r="M524" s="44">
        <v>8.0</v>
      </c>
      <c r="N524" s="105" t="s">
        <v>2508</v>
      </c>
      <c r="O524" s="20"/>
      <c r="P524" s="20"/>
      <c r="Q524" s="20"/>
      <c r="R524" s="20"/>
      <c r="S524" s="20"/>
    </row>
    <row r="525">
      <c r="A525" s="49" t="s">
        <v>2509</v>
      </c>
      <c r="B525" s="110">
        <v>46081.0</v>
      </c>
      <c r="C525" s="49" t="s">
        <v>2510</v>
      </c>
      <c r="D525" s="102" t="s">
        <v>2511</v>
      </c>
      <c r="E525" s="25" t="s">
        <v>122</v>
      </c>
      <c r="F525" s="25" t="s">
        <v>129</v>
      </c>
      <c r="G525" s="25" t="s">
        <v>42</v>
      </c>
      <c r="H525" s="49" t="s">
        <v>2512</v>
      </c>
      <c r="I525" s="49" t="s">
        <v>2513</v>
      </c>
      <c r="J525" s="49">
        <v>2.0</v>
      </c>
      <c r="K525" s="30">
        <f>1552200*2</f>
        <v>3104400</v>
      </c>
      <c r="L525" s="49" t="s">
        <v>2514</v>
      </c>
      <c r="M525" s="50">
        <v>8.0</v>
      </c>
      <c r="N525" s="51"/>
      <c r="O525" s="20"/>
      <c r="P525" s="20"/>
      <c r="Q525" s="20"/>
      <c r="R525" s="20"/>
      <c r="S525" s="20"/>
    </row>
    <row r="526">
      <c r="A526" s="76" t="s">
        <v>2515</v>
      </c>
      <c r="B526" s="97">
        <v>46082.0</v>
      </c>
      <c r="C526" s="76" t="s">
        <v>2516</v>
      </c>
      <c r="D526" s="99" t="s">
        <v>2517</v>
      </c>
      <c r="E526" s="25" t="s">
        <v>128</v>
      </c>
      <c r="F526" s="25" t="s">
        <v>129</v>
      </c>
      <c r="G526" s="25" t="s">
        <v>19</v>
      </c>
      <c r="H526" s="76" t="s">
        <v>2518</v>
      </c>
      <c r="I526" s="76" t="s">
        <v>920</v>
      </c>
      <c r="J526" s="76">
        <v>4.0</v>
      </c>
      <c r="K526" s="46">
        <f>295000*4</f>
        <v>1180000</v>
      </c>
      <c r="L526" s="76" t="s">
        <v>2519</v>
      </c>
      <c r="M526" s="44">
        <v>7.0</v>
      </c>
      <c r="N526" s="105" t="s">
        <v>2520</v>
      </c>
      <c r="O526" s="20"/>
      <c r="P526" s="20"/>
      <c r="Q526" s="20"/>
      <c r="R526" s="20"/>
      <c r="S526" s="20"/>
    </row>
    <row r="527">
      <c r="A527" s="49" t="s">
        <v>2521</v>
      </c>
      <c r="B527" s="110">
        <v>46082.0</v>
      </c>
      <c r="C527" s="49" t="s">
        <v>2522</v>
      </c>
      <c r="D527" s="102" t="s">
        <v>2523</v>
      </c>
      <c r="E527" s="25" t="s">
        <v>128</v>
      </c>
      <c r="F527" s="25" t="s">
        <v>129</v>
      </c>
      <c r="G527" s="25" t="s">
        <v>42</v>
      </c>
      <c r="H527" s="23"/>
      <c r="I527" s="23"/>
      <c r="J527" s="23"/>
      <c r="K527" s="30"/>
      <c r="L527" s="49" t="s">
        <v>2524</v>
      </c>
      <c r="M527" s="50">
        <v>8.0</v>
      </c>
      <c r="N527" s="51"/>
      <c r="O527" s="20"/>
      <c r="P527" s="20"/>
      <c r="Q527" s="20"/>
      <c r="R527" s="20"/>
      <c r="S527" s="20"/>
    </row>
    <row r="528">
      <c r="A528" s="76" t="s">
        <v>2525</v>
      </c>
      <c r="B528" s="97">
        <v>46054.0</v>
      </c>
      <c r="C528" s="76" t="s">
        <v>2526</v>
      </c>
      <c r="D528" s="99" t="s">
        <v>2527</v>
      </c>
      <c r="E528" s="25" t="s">
        <v>17</v>
      </c>
      <c r="F528" s="25" t="s">
        <v>18</v>
      </c>
      <c r="G528" s="25" t="s">
        <v>42</v>
      </c>
      <c r="H528" s="76" t="s">
        <v>2528</v>
      </c>
      <c r="I528" s="118">
        <v>46107.0</v>
      </c>
      <c r="J528" s="129">
        <v>46178.0</v>
      </c>
      <c r="K528" s="46"/>
      <c r="L528" s="76" t="s">
        <v>2529</v>
      </c>
      <c r="M528" s="44">
        <v>8.0</v>
      </c>
      <c r="N528" s="45"/>
      <c r="O528" s="20"/>
      <c r="P528" s="20"/>
      <c r="Q528" s="20"/>
      <c r="R528" s="20"/>
      <c r="S528" s="20"/>
    </row>
    <row r="529">
      <c r="A529" s="49" t="s">
        <v>2530</v>
      </c>
      <c r="B529" s="110">
        <v>46082.0</v>
      </c>
      <c r="C529" s="49" t="s">
        <v>2531</v>
      </c>
      <c r="D529" s="102" t="s">
        <v>2532</v>
      </c>
      <c r="E529" s="25" t="s">
        <v>122</v>
      </c>
      <c r="F529" s="25" t="s">
        <v>983</v>
      </c>
      <c r="G529" s="25" t="s">
        <v>42</v>
      </c>
      <c r="H529" s="49" t="s">
        <v>775</v>
      </c>
      <c r="I529" s="101">
        <v>46103.0</v>
      </c>
      <c r="J529" s="49">
        <v>5.0</v>
      </c>
      <c r="K529" s="36">
        <v>5750000.0</v>
      </c>
      <c r="L529" s="49" t="s">
        <v>1895</v>
      </c>
      <c r="M529" s="50">
        <v>8.0</v>
      </c>
      <c r="N529" s="51"/>
      <c r="O529" s="20"/>
      <c r="P529" s="20"/>
      <c r="Q529" s="20"/>
      <c r="R529" s="20"/>
      <c r="S529" s="20"/>
    </row>
    <row r="530">
      <c r="A530" s="76" t="s">
        <v>2533</v>
      </c>
      <c r="B530" s="97">
        <v>46082.0</v>
      </c>
      <c r="C530" s="76" t="s">
        <v>2534</v>
      </c>
      <c r="D530" s="99" t="s">
        <v>2535</v>
      </c>
      <c r="E530" s="25" t="s">
        <v>128</v>
      </c>
      <c r="F530" s="25" t="s">
        <v>129</v>
      </c>
      <c r="G530" s="25" t="s">
        <v>42</v>
      </c>
      <c r="H530" s="76" t="s">
        <v>2536</v>
      </c>
      <c r="I530" s="118">
        <v>46105.0</v>
      </c>
      <c r="J530" s="76">
        <v>5.0</v>
      </c>
      <c r="K530" s="46">
        <f>627900*5</f>
        <v>3139500</v>
      </c>
      <c r="L530" s="76" t="s">
        <v>2537</v>
      </c>
      <c r="M530" s="44">
        <v>8.0</v>
      </c>
      <c r="N530" s="105" t="s">
        <v>2538</v>
      </c>
      <c r="O530" s="20"/>
      <c r="P530" s="20"/>
      <c r="Q530" s="20"/>
      <c r="R530" s="20"/>
      <c r="S530" s="20"/>
    </row>
    <row r="531">
      <c r="A531" s="49" t="s">
        <v>2539</v>
      </c>
      <c r="B531" s="110">
        <v>46054.0</v>
      </c>
      <c r="C531" s="49" t="s">
        <v>2540</v>
      </c>
      <c r="D531" s="102" t="s">
        <v>2541</v>
      </c>
      <c r="E531" s="25" t="s">
        <v>128</v>
      </c>
      <c r="F531" s="25" t="s">
        <v>129</v>
      </c>
      <c r="G531" s="25" t="s">
        <v>42</v>
      </c>
      <c r="H531" s="49" t="s">
        <v>2542</v>
      </c>
      <c r="I531" s="49" t="s">
        <v>1468</v>
      </c>
      <c r="J531" s="49">
        <v>3.0</v>
      </c>
      <c r="K531" s="30">
        <f>1618800*3</f>
        <v>4856400</v>
      </c>
      <c r="L531" s="49" t="s">
        <v>2543</v>
      </c>
      <c r="M531" s="50">
        <v>8.0</v>
      </c>
      <c r="N531" s="115" t="s">
        <v>2544</v>
      </c>
      <c r="O531" s="20"/>
      <c r="P531" s="20"/>
      <c r="Q531" s="20"/>
      <c r="R531" s="20"/>
      <c r="S531" s="20"/>
    </row>
    <row r="532">
      <c r="A532" s="76" t="s">
        <v>2545</v>
      </c>
      <c r="B532" s="97">
        <v>46082.0</v>
      </c>
      <c r="C532" s="76" t="s">
        <v>18</v>
      </c>
      <c r="D532" s="99" t="s">
        <v>2546</v>
      </c>
      <c r="E532" s="25" t="s">
        <v>17</v>
      </c>
      <c r="F532" s="25" t="s">
        <v>18</v>
      </c>
      <c r="G532" s="25" t="s">
        <v>42</v>
      </c>
      <c r="H532" s="76" t="s">
        <v>116</v>
      </c>
      <c r="I532" s="118">
        <v>46098.0</v>
      </c>
      <c r="J532" s="76">
        <v>5.0</v>
      </c>
      <c r="K532" s="19">
        <v>1.85E7</v>
      </c>
      <c r="L532" s="76" t="s">
        <v>840</v>
      </c>
      <c r="M532" s="44">
        <v>8.0</v>
      </c>
      <c r="N532" s="45"/>
      <c r="O532" s="20"/>
      <c r="P532" s="20"/>
      <c r="Q532" s="20"/>
      <c r="R532" s="20"/>
      <c r="S532" s="20"/>
    </row>
    <row r="533">
      <c r="A533" s="49" t="s">
        <v>2547</v>
      </c>
      <c r="B533" s="110">
        <v>46082.0</v>
      </c>
      <c r="C533" s="49" t="s">
        <v>2548</v>
      </c>
      <c r="D533" s="102" t="s">
        <v>2549</v>
      </c>
      <c r="E533" s="25" t="s">
        <v>122</v>
      </c>
      <c r="F533" s="25" t="s">
        <v>129</v>
      </c>
      <c r="G533" s="25" t="s">
        <v>42</v>
      </c>
      <c r="H533" s="23"/>
      <c r="I533" s="23"/>
      <c r="J533" s="23"/>
      <c r="K533" s="30"/>
      <c r="L533" s="49" t="s">
        <v>2550</v>
      </c>
      <c r="M533" s="50">
        <v>8.0</v>
      </c>
      <c r="N533" s="115" t="s">
        <v>2551</v>
      </c>
      <c r="O533" s="20"/>
      <c r="P533" s="20"/>
      <c r="Q533" s="20"/>
      <c r="R533" s="20"/>
      <c r="S533" s="20"/>
    </row>
    <row r="534">
      <c r="A534" s="76" t="s">
        <v>2552</v>
      </c>
      <c r="B534" s="97">
        <v>46083.0</v>
      </c>
      <c r="C534" s="76" t="s">
        <v>2553</v>
      </c>
      <c r="D534" s="99" t="s">
        <v>2554</v>
      </c>
      <c r="E534" s="25" t="s">
        <v>122</v>
      </c>
      <c r="F534" s="25" t="s">
        <v>129</v>
      </c>
      <c r="G534" s="25" t="s">
        <v>42</v>
      </c>
      <c r="H534" s="76" t="s">
        <v>2555</v>
      </c>
      <c r="I534" s="118">
        <v>46104.0</v>
      </c>
      <c r="J534" s="76">
        <v>4.0</v>
      </c>
      <c r="K534" s="46">
        <f>1677000*4</f>
        <v>6708000</v>
      </c>
      <c r="L534" s="76" t="s">
        <v>2556</v>
      </c>
      <c r="M534" s="44">
        <v>8.0</v>
      </c>
      <c r="N534" s="105" t="s">
        <v>2557</v>
      </c>
      <c r="O534" s="20"/>
      <c r="P534" s="20"/>
      <c r="Q534" s="20"/>
      <c r="R534" s="20"/>
      <c r="S534" s="20"/>
    </row>
    <row r="535">
      <c r="A535" s="49" t="s">
        <v>2558</v>
      </c>
      <c r="B535" s="110">
        <v>46083.0</v>
      </c>
      <c r="C535" s="49" t="s">
        <v>2559</v>
      </c>
      <c r="D535" s="102" t="s">
        <v>2560</v>
      </c>
      <c r="E535" s="25" t="s">
        <v>128</v>
      </c>
      <c r="F535" s="25" t="s">
        <v>129</v>
      </c>
      <c r="G535" s="25" t="s">
        <v>42</v>
      </c>
      <c r="H535" s="49" t="s">
        <v>2561</v>
      </c>
      <c r="I535" s="101">
        <v>46106.0</v>
      </c>
      <c r="J535" s="49">
        <v>6.0</v>
      </c>
      <c r="K535" s="30">
        <f>715000*6</f>
        <v>4290000</v>
      </c>
      <c r="L535" s="76" t="s">
        <v>1970</v>
      </c>
      <c r="M535" s="50">
        <v>8.0</v>
      </c>
      <c r="N535" s="115" t="s">
        <v>2562</v>
      </c>
      <c r="O535" s="20"/>
      <c r="P535" s="20"/>
      <c r="Q535" s="20"/>
      <c r="R535" s="20"/>
      <c r="S535" s="20"/>
    </row>
    <row r="536">
      <c r="A536" s="76" t="s">
        <v>2563</v>
      </c>
      <c r="B536" s="97">
        <v>46083.0</v>
      </c>
      <c r="C536" s="76" t="s">
        <v>2564</v>
      </c>
      <c r="D536" s="99" t="s">
        <v>2565</v>
      </c>
      <c r="E536" s="25" t="s">
        <v>122</v>
      </c>
      <c r="F536" s="25" t="s">
        <v>129</v>
      </c>
      <c r="G536" s="25" t="s">
        <v>42</v>
      </c>
      <c r="H536" s="10"/>
      <c r="I536" s="10"/>
      <c r="J536" s="76">
        <v>2.0</v>
      </c>
      <c r="K536" s="46"/>
      <c r="L536" s="76" t="s">
        <v>2566</v>
      </c>
      <c r="M536" s="44">
        <v>8.0</v>
      </c>
      <c r="N536" s="105" t="s">
        <v>2567</v>
      </c>
      <c r="O536" s="20"/>
      <c r="P536" s="20"/>
      <c r="Q536" s="20"/>
      <c r="R536" s="20"/>
      <c r="S536" s="20"/>
    </row>
    <row r="537">
      <c r="A537" s="49" t="s">
        <v>2568</v>
      </c>
      <c r="B537" s="110">
        <v>46083.0</v>
      </c>
      <c r="C537" s="49" t="s">
        <v>2569</v>
      </c>
      <c r="D537" s="102" t="s">
        <v>2570</v>
      </c>
      <c r="E537" s="25" t="s">
        <v>128</v>
      </c>
      <c r="F537" s="25" t="s">
        <v>129</v>
      </c>
      <c r="G537" s="25" t="s">
        <v>19</v>
      </c>
      <c r="H537" s="49" t="s">
        <v>116</v>
      </c>
      <c r="I537" s="49" t="s">
        <v>2571</v>
      </c>
      <c r="J537" s="49">
        <v>66.0</v>
      </c>
      <c r="K537" s="30"/>
      <c r="L537" s="49" t="s">
        <v>2572</v>
      </c>
      <c r="M537" s="50">
        <v>7.0</v>
      </c>
      <c r="N537" s="104" t="s">
        <v>2573</v>
      </c>
      <c r="O537" s="20"/>
      <c r="P537" s="20"/>
      <c r="Q537" s="20"/>
      <c r="R537" s="20"/>
      <c r="S537" s="20"/>
    </row>
    <row r="538">
      <c r="A538" s="76" t="s">
        <v>2574</v>
      </c>
      <c r="B538" s="97">
        <v>46083.0</v>
      </c>
      <c r="C538" s="76" t="s">
        <v>2575</v>
      </c>
      <c r="D538" s="99" t="s">
        <v>2576</v>
      </c>
      <c r="E538" s="25" t="s">
        <v>122</v>
      </c>
      <c r="F538" s="25" t="s">
        <v>129</v>
      </c>
      <c r="G538" s="25" t="s">
        <v>42</v>
      </c>
      <c r="H538" s="76" t="s">
        <v>2577</v>
      </c>
      <c r="I538" s="76" t="s">
        <v>2578</v>
      </c>
      <c r="J538" s="76">
        <v>7.0</v>
      </c>
      <c r="K538" s="46">
        <f>2030000*7</f>
        <v>14210000</v>
      </c>
      <c r="L538" s="76" t="s">
        <v>2579</v>
      </c>
      <c r="M538" s="44">
        <v>8.0</v>
      </c>
      <c r="N538" s="105" t="s">
        <v>2580</v>
      </c>
      <c r="O538" s="20"/>
      <c r="P538" s="20"/>
      <c r="Q538" s="20"/>
      <c r="R538" s="20"/>
      <c r="S538" s="20"/>
    </row>
    <row r="539">
      <c r="A539" s="49" t="s">
        <v>2581</v>
      </c>
      <c r="B539" s="110">
        <v>46082.0</v>
      </c>
      <c r="C539" s="49" t="s">
        <v>2582</v>
      </c>
      <c r="D539" s="102" t="s">
        <v>2583</v>
      </c>
      <c r="E539" s="25" t="s">
        <v>128</v>
      </c>
      <c r="F539" s="25" t="s">
        <v>18</v>
      </c>
      <c r="G539" s="25" t="s">
        <v>42</v>
      </c>
      <c r="H539" s="49" t="s">
        <v>2584</v>
      </c>
      <c r="I539" s="101">
        <v>46103.0</v>
      </c>
      <c r="J539" s="49">
        <v>3.0</v>
      </c>
      <c r="K539" s="36">
        <v>2379000.0</v>
      </c>
      <c r="L539" s="49" t="s">
        <v>2585</v>
      </c>
      <c r="M539" s="50">
        <v>8.0</v>
      </c>
      <c r="N539" s="104" t="s">
        <v>2586</v>
      </c>
      <c r="O539" s="20"/>
      <c r="P539" s="20"/>
      <c r="Q539" s="20"/>
      <c r="R539" s="20"/>
      <c r="S539" s="20"/>
    </row>
    <row r="540">
      <c r="A540" s="76" t="s">
        <v>2587</v>
      </c>
      <c r="B540" s="97">
        <v>46082.0</v>
      </c>
      <c r="C540" s="76" t="s">
        <v>2588</v>
      </c>
      <c r="D540" s="99" t="s">
        <v>2589</v>
      </c>
      <c r="E540" s="25" t="s">
        <v>128</v>
      </c>
      <c r="F540" s="25" t="s">
        <v>18</v>
      </c>
      <c r="G540" s="25" t="s">
        <v>42</v>
      </c>
      <c r="H540" s="76" t="s">
        <v>2590</v>
      </c>
      <c r="I540" s="76" t="s">
        <v>2591</v>
      </c>
      <c r="J540" s="129">
        <v>46146.0</v>
      </c>
      <c r="K540" s="19">
        <v>7100000.0</v>
      </c>
      <c r="L540" s="76" t="s">
        <v>2592</v>
      </c>
      <c r="M540" s="44">
        <v>8.0</v>
      </c>
      <c r="N540" s="86" t="s">
        <v>2593</v>
      </c>
      <c r="O540" s="20"/>
      <c r="P540" s="20"/>
      <c r="Q540" s="20"/>
      <c r="R540" s="20"/>
      <c r="S540" s="20"/>
    </row>
    <row r="541">
      <c r="A541" s="49" t="s">
        <v>2594</v>
      </c>
      <c r="B541" s="110">
        <v>46082.0</v>
      </c>
      <c r="C541" s="49" t="s">
        <v>2595</v>
      </c>
      <c r="D541" s="102" t="s">
        <v>2596</v>
      </c>
      <c r="E541" s="25" t="s">
        <v>128</v>
      </c>
      <c r="F541" s="25" t="s">
        <v>18</v>
      </c>
      <c r="G541" s="25" t="s">
        <v>42</v>
      </c>
      <c r="H541" s="23"/>
      <c r="I541" s="23"/>
      <c r="J541" s="49">
        <v>1.0</v>
      </c>
      <c r="K541" s="30"/>
      <c r="L541" s="49" t="s">
        <v>2597</v>
      </c>
      <c r="M541" s="50">
        <v>8.0</v>
      </c>
      <c r="N541" s="51"/>
      <c r="O541" s="20"/>
      <c r="P541" s="20"/>
      <c r="Q541" s="20"/>
      <c r="R541" s="20"/>
      <c r="S541" s="20"/>
    </row>
    <row r="542">
      <c r="A542" s="76" t="s">
        <v>2598</v>
      </c>
      <c r="B542" s="121">
        <v>46083.0</v>
      </c>
      <c r="C542" s="76" t="s">
        <v>2599</v>
      </c>
      <c r="D542" s="99" t="s">
        <v>2600</v>
      </c>
      <c r="E542" s="25" t="s">
        <v>122</v>
      </c>
      <c r="F542" s="25" t="s">
        <v>129</v>
      </c>
      <c r="G542" s="25" t="s">
        <v>42</v>
      </c>
      <c r="H542" s="76" t="s">
        <v>230</v>
      </c>
      <c r="I542" s="118">
        <v>46106.0</v>
      </c>
      <c r="J542" s="76">
        <v>2.0</v>
      </c>
      <c r="K542" s="46"/>
      <c r="L542" s="76" t="s">
        <v>2601</v>
      </c>
      <c r="M542" s="44">
        <v>8.0</v>
      </c>
      <c r="N542" s="45"/>
      <c r="O542" s="20"/>
      <c r="P542" s="20"/>
      <c r="Q542" s="20"/>
      <c r="R542" s="20"/>
      <c r="S542" s="20"/>
    </row>
    <row r="543">
      <c r="A543" s="49" t="s">
        <v>2602</v>
      </c>
      <c r="B543" s="110">
        <v>46083.0</v>
      </c>
      <c r="C543" s="49" t="s">
        <v>2603</v>
      </c>
      <c r="D543" s="102" t="s">
        <v>2604</v>
      </c>
      <c r="E543" s="25" t="s">
        <v>128</v>
      </c>
      <c r="F543" s="25" t="s">
        <v>129</v>
      </c>
      <c r="G543" s="25" t="s">
        <v>42</v>
      </c>
      <c r="H543" s="49" t="s">
        <v>2605</v>
      </c>
      <c r="I543" s="49" t="s">
        <v>2606</v>
      </c>
      <c r="J543" s="49">
        <v>6.0</v>
      </c>
      <c r="K543" s="30">
        <f>1649700*6</f>
        <v>9898200</v>
      </c>
      <c r="L543" s="76" t="s">
        <v>2607</v>
      </c>
      <c r="M543" s="50">
        <v>8.0</v>
      </c>
      <c r="N543" s="115" t="s">
        <v>2608</v>
      </c>
      <c r="O543" s="20"/>
      <c r="P543" s="20"/>
      <c r="Q543" s="20"/>
      <c r="R543" s="20"/>
      <c r="S543" s="20"/>
    </row>
    <row r="544">
      <c r="A544" s="76" t="s">
        <v>2609</v>
      </c>
      <c r="B544" s="97">
        <v>46084.0</v>
      </c>
      <c r="C544" s="76" t="s">
        <v>2610</v>
      </c>
      <c r="D544" s="99" t="s">
        <v>2611</v>
      </c>
      <c r="E544" s="25" t="s">
        <v>128</v>
      </c>
      <c r="F544" s="25" t="s">
        <v>18</v>
      </c>
      <c r="G544" s="25" t="s">
        <v>42</v>
      </c>
      <c r="H544" s="76" t="s">
        <v>2612</v>
      </c>
      <c r="I544" s="76" t="s">
        <v>2613</v>
      </c>
      <c r="J544" s="76">
        <v>1.0</v>
      </c>
      <c r="K544" s="19">
        <v>1600000.0</v>
      </c>
      <c r="L544" s="76" t="s">
        <v>2614</v>
      </c>
      <c r="M544" s="44">
        <v>8.0</v>
      </c>
      <c r="N544" s="86" t="s">
        <v>2615</v>
      </c>
      <c r="O544" s="20"/>
      <c r="P544" s="20"/>
      <c r="Q544" s="20"/>
      <c r="R544" s="20"/>
      <c r="S544" s="20"/>
    </row>
    <row r="545">
      <c r="A545" s="49" t="s">
        <v>2616</v>
      </c>
      <c r="B545" s="110">
        <v>46084.0</v>
      </c>
      <c r="C545" s="49" t="s">
        <v>2617</v>
      </c>
      <c r="D545" s="102" t="s">
        <v>2618</v>
      </c>
      <c r="E545" s="25" t="s">
        <v>128</v>
      </c>
      <c r="F545" s="25" t="s">
        <v>129</v>
      </c>
      <c r="G545" s="25" t="s">
        <v>42</v>
      </c>
      <c r="H545" s="49" t="s">
        <v>86</v>
      </c>
      <c r="I545" s="49" t="s">
        <v>2619</v>
      </c>
      <c r="J545" s="49">
        <v>5.0</v>
      </c>
      <c r="K545" s="30">
        <f>1669200*5</f>
        <v>8346000</v>
      </c>
      <c r="L545" s="49" t="s">
        <v>2620</v>
      </c>
      <c r="M545" s="50">
        <v>8.0</v>
      </c>
      <c r="N545" s="115" t="s">
        <v>2621</v>
      </c>
      <c r="O545" s="20"/>
      <c r="P545" s="20"/>
      <c r="Q545" s="20"/>
      <c r="R545" s="20"/>
      <c r="S545" s="20"/>
    </row>
    <row r="546">
      <c r="A546" s="76" t="s">
        <v>2622</v>
      </c>
      <c r="B546" s="97">
        <v>46084.0</v>
      </c>
      <c r="C546" s="76" t="s">
        <v>2623</v>
      </c>
      <c r="D546" s="99" t="s">
        <v>2624</v>
      </c>
      <c r="E546" s="25" t="s">
        <v>128</v>
      </c>
      <c r="F546" s="25" t="s">
        <v>129</v>
      </c>
      <c r="G546" s="25" t="s">
        <v>42</v>
      </c>
      <c r="H546" s="10"/>
      <c r="I546" s="10"/>
      <c r="J546" s="10"/>
      <c r="K546" s="46"/>
      <c r="L546" s="76" t="s">
        <v>2625</v>
      </c>
      <c r="M546" s="44">
        <v>8.0</v>
      </c>
      <c r="N546" s="45"/>
      <c r="O546" s="20"/>
      <c r="P546" s="20"/>
      <c r="Q546" s="20"/>
      <c r="R546" s="20"/>
      <c r="S546" s="20"/>
    </row>
    <row r="547">
      <c r="A547" s="49" t="s">
        <v>2626</v>
      </c>
      <c r="B547" s="110">
        <v>46085.0</v>
      </c>
      <c r="C547" s="49" t="s">
        <v>2627</v>
      </c>
      <c r="D547" s="102" t="s">
        <v>2628</v>
      </c>
      <c r="E547" s="25" t="s">
        <v>869</v>
      </c>
      <c r="F547" s="25" t="s">
        <v>18</v>
      </c>
      <c r="G547" s="25" t="s">
        <v>19</v>
      </c>
      <c r="H547" s="76" t="s">
        <v>1762</v>
      </c>
      <c r="I547" s="49" t="s">
        <v>2629</v>
      </c>
      <c r="J547" s="49">
        <v>3.0</v>
      </c>
      <c r="K547" s="36">
        <f>3500000*3</f>
        <v>10500000</v>
      </c>
      <c r="L547" s="49" t="s">
        <v>108</v>
      </c>
      <c r="M547" s="50">
        <v>7.0</v>
      </c>
      <c r="N547" s="51"/>
      <c r="O547" s="20"/>
      <c r="P547" s="20"/>
      <c r="Q547" s="20"/>
      <c r="R547" s="20"/>
      <c r="S547" s="20"/>
    </row>
    <row r="548">
      <c r="A548" s="76" t="s">
        <v>2630</v>
      </c>
      <c r="B548" s="97">
        <v>46084.0</v>
      </c>
      <c r="C548" s="76" t="s">
        <v>2631</v>
      </c>
      <c r="D548" s="99" t="s">
        <v>2632</v>
      </c>
      <c r="E548" s="25" t="s">
        <v>128</v>
      </c>
      <c r="F548" s="25" t="s">
        <v>129</v>
      </c>
      <c r="G548" s="25" t="s">
        <v>42</v>
      </c>
      <c r="H548" s="76" t="s">
        <v>2633</v>
      </c>
      <c r="I548" s="76" t="s">
        <v>2634</v>
      </c>
      <c r="J548" s="76">
        <v>2.0</v>
      </c>
      <c r="K548" s="46">
        <f>2750000*2</f>
        <v>5500000</v>
      </c>
      <c r="L548" s="76" t="s">
        <v>2635</v>
      </c>
      <c r="M548" s="44">
        <v>8.0</v>
      </c>
      <c r="N548" s="105" t="s">
        <v>2636</v>
      </c>
      <c r="O548" s="20"/>
      <c r="P548" s="20"/>
      <c r="Q548" s="20"/>
      <c r="R548" s="20"/>
      <c r="S548" s="20"/>
    </row>
    <row r="549">
      <c r="A549" s="76" t="s">
        <v>2637</v>
      </c>
      <c r="B549" s="97">
        <v>46085.0</v>
      </c>
      <c r="C549" s="76" t="s">
        <v>2638</v>
      </c>
      <c r="D549" s="99" t="s">
        <v>2628</v>
      </c>
      <c r="E549" s="25" t="s">
        <v>128</v>
      </c>
      <c r="F549" s="25" t="s">
        <v>129</v>
      </c>
      <c r="G549" s="25" t="s">
        <v>42</v>
      </c>
      <c r="H549" s="76" t="s">
        <v>230</v>
      </c>
      <c r="I549" s="76" t="s">
        <v>2639</v>
      </c>
      <c r="J549" s="76">
        <v>4.0</v>
      </c>
      <c r="K549" s="46">
        <f>295000*4</f>
        <v>1180000</v>
      </c>
      <c r="L549" s="76" t="s">
        <v>2640</v>
      </c>
      <c r="M549" s="44">
        <v>8.0</v>
      </c>
      <c r="N549" s="45"/>
      <c r="O549" s="20"/>
      <c r="P549" s="20"/>
      <c r="Q549" s="20"/>
      <c r="R549" s="20"/>
      <c r="S549" s="20"/>
    </row>
    <row r="550">
      <c r="A550" s="49" t="s">
        <v>2641</v>
      </c>
      <c r="B550" s="110">
        <v>46085.0</v>
      </c>
      <c r="C550" s="49" t="s">
        <v>2642</v>
      </c>
      <c r="D550" s="102" t="s">
        <v>2643</v>
      </c>
      <c r="E550" s="25" t="s">
        <v>128</v>
      </c>
      <c r="F550" s="25" t="s">
        <v>129</v>
      </c>
      <c r="G550" s="25" t="s">
        <v>42</v>
      </c>
      <c r="H550" s="49" t="s">
        <v>144</v>
      </c>
      <c r="I550" s="101">
        <v>46103.0</v>
      </c>
      <c r="J550" s="49">
        <v>2.0</v>
      </c>
      <c r="K550" s="30">
        <f>295000*2</f>
        <v>590000</v>
      </c>
      <c r="L550" s="49" t="s">
        <v>2439</v>
      </c>
      <c r="M550" s="50">
        <v>8.0</v>
      </c>
      <c r="N550" s="115" t="s">
        <v>2644</v>
      </c>
      <c r="O550" s="20"/>
      <c r="P550" s="20"/>
      <c r="Q550" s="20"/>
      <c r="R550" s="20"/>
      <c r="S550" s="20"/>
    </row>
    <row r="551">
      <c r="A551" s="49" t="s">
        <v>2645</v>
      </c>
      <c r="B551" s="110">
        <v>46085.0</v>
      </c>
      <c r="C551" s="49" t="s">
        <v>2646</v>
      </c>
      <c r="D551" s="102" t="s">
        <v>2647</v>
      </c>
      <c r="E551" s="25" t="s">
        <v>128</v>
      </c>
      <c r="F551" s="25" t="s">
        <v>129</v>
      </c>
      <c r="G551" s="25" t="s">
        <v>19</v>
      </c>
      <c r="H551" s="49" t="s">
        <v>123</v>
      </c>
      <c r="I551" s="49" t="s">
        <v>920</v>
      </c>
      <c r="J551" s="49">
        <v>3.0</v>
      </c>
      <c r="K551" s="30">
        <f>1600000*3</f>
        <v>4800000</v>
      </c>
      <c r="L551" s="49" t="s">
        <v>2648</v>
      </c>
      <c r="M551" s="50">
        <v>7.0</v>
      </c>
      <c r="N551" s="51"/>
      <c r="O551" s="20"/>
      <c r="P551" s="20"/>
      <c r="Q551" s="20"/>
      <c r="R551" s="20"/>
      <c r="S551" s="20"/>
    </row>
    <row r="552">
      <c r="A552" s="76" t="s">
        <v>2649</v>
      </c>
      <c r="B552" s="97">
        <v>46085.0</v>
      </c>
      <c r="C552" s="76" t="s">
        <v>2650</v>
      </c>
      <c r="D552" s="99" t="s">
        <v>2651</v>
      </c>
      <c r="E552" s="25" t="s">
        <v>128</v>
      </c>
      <c r="F552" s="25" t="s">
        <v>129</v>
      </c>
      <c r="G552" s="25" t="s">
        <v>34</v>
      </c>
      <c r="H552" s="76" t="s">
        <v>486</v>
      </c>
      <c r="I552" s="76" t="s">
        <v>576</v>
      </c>
      <c r="J552" s="76">
        <v>4.0</v>
      </c>
      <c r="K552" s="46">
        <f>2115000*4</f>
        <v>8460000</v>
      </c>
      <c r="L552" s="76" t="s">
        <v>2652</v>
      </c>
      <c r="M552" s="44">
        <v>2.0</v>
      </c>
      <c r="N552" s="105" t="s">
        <v>2653</v>
      </c>
      <c r="O552" s="20"/>
      <c r="P552" s="20"/>
      <c r="Q552" s="20"/>
      <c r="R552" s="20"/>
      <c r="S552" s="20"/>
    </row>
    <row r="553">
      <c r="A553" s="49" t="s">
        <v>2654</v>
      </c>
      <c r="B553" s="110">
        <v>46085.0</v>
      </c>
      <c r="C553" s="49" t="s">
        <v>2655</v>
      </c>
      <c r="D553" s="102" t="s">
        <v>2656</v>
      </c>
      <c r="E553" s="25" t="s">
        <v>122</v>
      </c>
      <c r="F553" s="25" t="s">
        <v>129</v>
      </c>
      <c r="G553" s="25" t="s">
        <v>43</v>
      </c>
      <c r="H553" s="49" t="s">
        <v>2657</v>
      </c>
      <c r="I553" s="49" t="s">
        <v>2658</v>
      </c>
      <c r="J553" s="49">
        <v>50.0</v>
      </c>
      <c r="K553" s="30">
        <f>800000*50</f>
        <v>40000000</v>
      </c>
      <c r="L553" s="49" t="s">
        <v>2659</v>
      </c>
      <c r="M553" s="50">
        <v>3.0</v>
      </c>
      <c r="N553" s="115" t="s">
        <v>2660</v>
      </c>
      <c r="O553" s="20"/>
      <c r="P553" s="20"/>
      <c r="Q553" s="20"/>
      <c r="R553" s="20"/>
      <c r="S553" s="20"/>
    </row>
    <row r="554">
      <c r="A554" s="76" t="s">
        <v>2661</v>
      </c>
      <c r="B554" s="97">
        <v>46085.0</v>
      </c>
      <c r="C554" s="76" t="s">
        <v>2662</v>
      </c>
      <c r="D554" s="99" t="s">
        <v>2663</v>
      </c>
      <c r="E554" s="25" t="s">
        <v>128</v>
      </c>
      <c r="F554" s="25" t="s">
        <v>129</v>
      </c>
      <c r="G554" s="25" t="s">
        <v>42</v>
      </c>
      <c r="H554" s="76" t="s">
        <v>243</v>
      </c>
      <c r="I554" s="10"/>
      <c r="J554" s="10"/>
      <c r="K554" s="46"/>
      <c r="L554" s="76" t="s">
        <v>2664</v>
      </c>
      <c r="M554" s="44">
        <v>8.0</v>
      </c>
      <c r="N554" s="105" t="s">
        <v>2665</v>
      </c>
      <c r="O554" s="20"/>
      <c r="P554" s="20"/>
      <c r="Q554" s="20"/>
      <c r="R554" s="20"/>
      <c r="S554" s="20"/>
    </row>
    <row r="555">
      <c r="A555" s="49" t="s">
        <v>2666</v>
      </c>
      <c r="B555" s="110">
        <v>46085.0</v>
      </c>
      <c r="C555" s="49" t="s">
        <v>2667</v>
      </c>
      <c r="D555" s="102" t="s">
        <v>2668</v>
      </c>
      <c r="E555" s="25" t="s">
        <v>1877</v>
      </c>
      <c r="F555" s="25" t="s">
        <v>129</v>
      </c>
      <c r="G555" s="25" t="s">
        <v>42</v>
      </c>
      <c r="H555" s="49" t="s">
        <v>123</v>
      </c>
      <c r="I555" s="49" t="s">
        <v>2669</v>
      </c>
      <c r="J555" s="49">
        <v>3.0</v>
      </c>
      <c r="K555" s="30">
        <f>1600000*3</f>
        <v>4800000</v>
      </c>
      <c r="L555" s="49" t="s">
        <v>2670</v>
      </c>
      <c r="M555" s="50">
        <v>8.0</v>
      </c>
      <c r="N555" s="51"/>
      <c r="O555" s="20"/>
      <c r="P555" s="20"/>
      <c r="Q555" s="20"/>
      <c r="R555" s="20"/>
      <c r="S555" s="20"/>
    </row>
    <row r="556">
      <c r="A556" s="76" t="s">
        <v>2671</v>
      </c>
      <c r="B556" s="133">
        <v>46115.0</v>
      </c>
      <c r="C556" s="76" t="s">
        <v>2672</v>
      </c>
      <c r="D556" s="99" t="s">
        <v>2673</v>
      </c>
      <c r="E556" s="25" t="s">
        <v>128</v>
      </c>
      <c r="F556" s="25" t="s">
        <v>129</v>
      </c>
      <c r="G556" s="25" t="s">
        <v>42</v>
      </c>
      <c r="H556" s="76" t="s">
        <v>2674</v>
      </c>
      <c r="I556" s="76" t="s">
        <v>2675</v>
      </c>
      <c r="J556" s="76">
        <v>2.0</v>
      </c>
      <c r="K556" s="46">
        <f>614000*2</f>
        <v>1228000</v>
      </c>
      <c r="L556" s="76" t="s">
        <v>2439</v>
      </c>
      <c r="M556" s="44">
        <v>8.0</v>
      </c>
      <c r="N556" s="105" t="s">
        <v>2676</v>
      </c>
      <c r="O556" s="20"/>
      <c r="P556" s="20"/>
      <c r="Q556" s="20"/>
      <c r="R556" s="20"/>
      <c r="S556" s="20"/>
    </row>
    <row r="557">
      <c r="A557" s="49" t="s">
        <v>2677</v>
      </c>
      <c r="B557" s="110">
        <v>46086.0</v>
      </c>
      <c r="C557" s="49" t="s">
        <v>2678</v>
      </c>
      <c r="D557" s="102" t="s">
        <v>2679</v>
      </c>
      <c r="E557" s="25" t="s">
        <v>128</v>
      </c>
      <c r="F557" s="25" t="s">
        <v>129</v>
      </c>
      <c r="G557" s="25" t="s">
        <v>42</v>
      </c>
      <c r="H557" s="49" t="s">
        <v>2680</v>
      </c>
      <c r="I557" s="49" t="s">
        <v>2681</v>
      </c>
      <c r="J557" s="49">
        <v>2.0</v>
      </c>
      <c r="K557" s="30"/>
      <c r="L557" s="49" t="s">
        <v>2682</v>
      </c>
      <c r="M557" s="50">
        <v>8.0</v>
      </c>
      <c r="N557" s="115" t="s">
        <v>2683</v>
      </c>
      <c r="O557" s="20"/>
      <c r="P557" s="20"/>
      <c r="Q557" s="20"/>
      <c r="R557" s="20"/>
      <c r="S557" s="20"/>
    </row>
    <row r="558">
      <c r="A558" s="76" t="s">
        <v>2684</v>
      </c>
      <c r="B558" s="134">
        <v>46086.0</v>
      </c>
      <c r="C558" s="76" t="s">
        <v>2685</v>
      </c>
      <c r="D558" s="99" t="s">
        <v>2686</v>
      </c>
      <c r="E558" s="25" t="s">
        <v>122</v>
      </c>
      <c r="F558" s="25" t="s">
        <v>129</v>
      </c>
      <c r="G558" s="25" t="s">
        <v>42</v>
      </c>
      <c r="H558" s="76" t="s">
        <v>195</v>
      </c>
      <c r="I558" s="76" t="s">
        <v>2687</v>
      </c>
      <c r="J558" s="76">
        <v>2.0</v>
      </c>
      <c r="K558" s="46"/>
      <c r="L558" s="76" t="s">
        <v>2670</v>
      </c>
      <c r="M558" s="44">
        <v>8.0</v>
      </c>
      <c r="N558" s="105" t="s">
        <v>2688</v>
      </c>
      <c r="O558" s="20"/>
      <c r="P558" s="20"/>
      <c r="Q558" s="20"/>
      <c r="R558" s="20"/>
      <c r="S558" s="20"/>
    </row>
    <row r="559">
      <c r="A559" s="49" t="s">
        <v>2689</v>
      </c>
      <c r="B559" s="110">
        <v>46086.0</v>
      </c>
      <c r="C559" s="49" t="s">
        <v>2690</v>
      </c>
      <c r="D559" s="102" t="s">
        <v>2691</v>
      </c>
      <c r="E559" s="25" t="s">
        <v>122</v>
      </c>
      <c r="F559" s="25" t="s">
        <v>129</v>
      </c>
      <c r="G559" s="25" t="s">
        <v>19</v>
      </c>
      <c r="H559" s="49" t="s">
        <v>260</v>
      </c>
      <c r="I559" s="49" t="s">
        <v>2394</v>
      </c>
      <c r="J559" s="49">
        <v>2.0</v>
      </c>
      <c r="K559" s="30">
        <f t="shared" ref="K559:K560" si="1">1600000*2</f>
        <v>3200000</v>
      </c>
      <c r="L559" s="49" t="s">
        <v>2692</v>
      </c>
      <c r="M559" s="50">
        <v>7.0</v>
      </c>
      <c r="N559" s="115" t="s">
        <v>2693</v>
      </c>
      <c r="O559" s="20"/>
      <c r="P559" s="20"/>
      <c r="Q559" s="20"/>
      <c r="R559" s="20"/>
      <c r="S559" s="20"/>
    </row>
    <row r="560">
      <c r="A560" s="76" t="s">
        <v>2694</v>
      </c>
      <c r="B560" s="97">
        <v>46086.0</v>
      </c>
      <c r="C560" s="76" t="s">
        <v>2695</v>
      </c>
      <c r="D560" s="99" t="s">
        <v>2696</v>
      </c>
      <c r="E560" s="25" t="s">
        <v>128</v>
      </c>
      <c r="F560" s="25" t="s">
        <v>129</v>
      </c>
      <c r="G560" s="25" t="s">
        <v>42</v>
      </c>
      <c r="H560" s="76" t="s">
        <v>260</v>
      </c>
      <c r="I560" s="76" t="s">
        <v>2697</v>
      </c>
      <c r="J560" s="76">
        <v>2.0</v>
      </c>
      <c r="K560" s="46">
        <f t="shared" si="1"/>
        <v>3200000</v>
      </c>
      <c r="L560" s="76" t="s">
        <v>2698</v>
      </c>
      <c r="M560" s="44">
        <v>8.0</v>
      </c>
      <c r="N560" s="105" t="s">
        <v>2699</v>
      </c>
      <c r="O560" s="20"/>
      <c r="P560" s="20"/>
      <c r="Q560" s="20"/>
      <c r="R560" s="20"/>
      <c r="S560" s="20"/>
    </row>
    <row r="561">
      <c r="A561" s="49" t="s">
        <v>2700</v>
      </c>
      <c r="B561" s="110">
        <v>46086.0</v>
      </c>
      <c r="C561" s="49" t="s">
        <v>2701</v>
      </c>
      <c r="D561" s="102" t="s">
        <v>2702</v>
      </c>
      <c r="E561" s="25" t="s">
        <v>17</v>
      </c>
      <c r="F561" s="25" t="s">
        <v>18</v>
      </c>
      <c r="G561" s="25" t="s">
        <v>42</v>
      </c>
      <c r="H561" s="49" t="s">
        <v>2703</v>
      </c>
      <c r="I561" s="101">
        <v>46121.0</v>
      </c>
      <c r="J561" s="49">
        <v>23.0</v>
      </c>
      <c r="K561" s="36">
        <v>1.403E7</v>
      </c>
      <c r="L561" s="49" t="s">
        <v>2704</v>
      </c>
      <c r="M561" s="50">
        <v>8.0</v>
      </c>
      <c r="N561" s="104" t="s">
        <v>2705</v>
      </c>
      <c r="O561" s="20"/>
      <c r="P561" s="20"/>
      <c r="Q561" s="20"/>
      <c r="R561" s="20"/>
      <c r="S561" s="20"/>
    </row>
    <row r="562">
      <c r="A562" s="76" t="s">
        <v>2706</v>
      </c>
      <c r="B562" s="97">
        <v>46086.0</v>
      </c>
      <c r="C562" s="76" t="s">
        <v>2707</v>
      </c>
      <c r="D562" s="99" t="s">
        <v>2708</v>
      </c>
      <c r="E562" s="25" t="s">
        <v>17</v>
      </c>
      <c r="F562" s="25" t="s">
        <v>18</v>
      </c>
      <c r="G562" s="25" t="s">
        <v>42</v>
      </c>
      <c r="H562" s="76" t="s">
        <v>2060</v>
      </c>
      <c r="I562" s="118">
        <v>46101.0</v>
      </c>
      <c r="J562" s="76">
        <v>4.0</v>
      </c>
      <c r="K562" s="19">
        <v>1.6E7</v>
      </c>
      <c r="L562" s="76" t="s">
        <v>2709</v>
      </c>
      <c r="M562" s="44">
        <v>8.0</v>
      </c>
      <c r="N562" s="45"/>
      <c r="O562" s="20"/>
      <c r="P562" s="20"/>
      <c r="Q562" s="20"/>
      <c r="R562" s="20"/>
      <c r="S562" s="20"/>
    </row>
    <row r="563">
      <c r="A563" s="49" t="s">
        <v>2710</v>
      </c>
      <c r="B563" s="110">
        <v>46086.0</v>
      </c>
      <c r="C563" s="49" t="s">
        <v>2711</v>
      </c>
      <c r="D563" s="102" t="s">
        <v>2712</v>
      </c>
      <c r="E563" s="25" t="s">
        <v>128</v>
      </c>
      <c r="F563" s="25" t="s">
        <v>129</v>
      </c>
      <c r="G563" s="25" t="s">
        <v>42</v>
      </c>
      <c r="H563" s="49" t="s">
        <v>775</v>
      </c>
      <c r="I563" s="49" t="s">
        <v>2198</v>
      </c>
      <c r="J563" s="49">
        <v>7.0</v>
      </c>
      <c r="K563" s="36">
        <v>1.403E7</v>
      </c>
      <c r="L563" s="49" t="s">
        <v>2713</v>
      </c>
      <c r="M563" s="50">
        <v>8.0</v>
      </c>
      <c r="N563" s="115" t="s">
        <v>2714</v>
      </c>
      <c r="O563" s="20"/>
      <c r="P563" s="20"/>
      <c r="Q563" s="20"/>
      <c r="R563" s="20"/>
      <c r="S563" s="20"/>
    </row>
    <row r="564">
      <c r="A564" s="76" t="s">
        <v>2715</v>
      </c>
      <c r="B564" s="97">
        <v>46087.0</v>
      </c>
      <c r="C564" s="76" t="s">
        <v>2716</v>
      </c>
      <c r="D564" s="99" t="s">
        <v>2717</v>
      </c>
      <c r="E564" s="25" t="s">
        <v>128</v>
      </c>
      <c r="F564" s="25" t="s">
        <v>129</v>
      </c>
      <c r="G564" s="25" t="s">
        <v>42</v>
      </c>
      <c r="H564" s="76" t="s">
        <v>260</v>
      </c>
      <c r="I564" s="118">
        <v>46115.0</v>
      </c>
      <c r="J564" s="76">
        <v>1.0</v>
      </c>
      <c r="K564" s="19">
        <v>1600000.0</v>
      </c>
      <c r="L564" s="76" t="s">
        <v>2718</v>
      </c>
      <c r="M564" s="44">
        <v>8.0</v>
      </c>
      <c r="N564" s="105" t="s">
        <v>2719</v>
      </c>
      <c r="O564" s="20"/>
      <c r="P564" s="20"/>
      <c r="Q564" s="20"/>
      <c r="R564" s="20"/>
      <c r="S564" s="20"/>
    </row>
    <row r="565">
      <c r="A565" s="49" t="s">
        <v>2720</v>
      </c>
      <c r="B565" s="110">
        <v>46087.0</v>
      </c>
      <c r="C565" s="49" t="s">
        <v>1657</v>
      </c>
      <c r="D565" s="102" t="s">
        <v>2721</v>
      </c>
      <c r="E565" s="25" t="s">
        <v>128</v>
      </c>
      <c r="F565" s="25" t="s">
        <v>129</v>
      </c>
      <c r="G565" s="25" t="s">
        <v>42</v>
      </c>
      <c r="H565" s="49"/>
      <c r="I565" s="49" t="s">
        <v>2722</v>
      </c>
      <c r="J565" s="49">
        <v>5.0</v>
      </c>
      <c r="K565" s="30"/>
      <c r="L565" s="49" t="s">
        <v>2723</v>
      </c>
      <c r="M565" s="50">
        <v>8.0</v>
      </c>
      <c r="N565" s="115" t="s">
        <v>2724</v>
      </c>
      <c r="O565" s="20"/>
      <c r="P565" s="20"/>
      <c r="Q565" s="20"/>
      <c r="R565" s="20"/>
      <c r="S565" s="20"/>
    </row>
    <row r="566">
      <c r="A566" s="76" t="s">
        <v>2725</v>
      </c>
      <c r="B566" s="97">
        <v>46087.0</v>
      </c>
      <c r="C566" s="76" t="s">
        <v>2726</v>
      </c>
      <c r="D566" s="99" t="s">
        <v>2727</v>
      </c>
      <c r="E566" s="25" t="s">
        <v>128</v>
      </c>
      <c r="F566" s="25" t="s">
        <v>129</v>
      </c>
      <c r="G566" s="25" t="s">
        <v>42</v>
      </c>
      <c r="H566" s="76" t="s">
        <v>230</v>
      </c>
      <c r="I566" s="76" t="s">
        <v>2728</v>
      </c>
      <c r="J566" s="76">
        <v>2.0</v>
      </c>
      <c r="K566" s="46"/>
      <c r="L566" s="76" t="s">
        <v>2729</v>
      </c>
      <c r="M566" s="44">
        <v>8.0</v>
      </c>
      <c r="N566" s="105" t="s">
        <v>2730</v>
      </c>
      <c r="O566" s="20"/>
      <c r="P566" s="20"/>
      <c r="Q566" s="20"/>
      <c r="R566" s="20"/>
      <c r="S566" s="20"/>
    </row>
    <row r="567">
      <c r="A567" s="49" t="s">
        <v>2731</v>
      </c>
      <c r="B567" s="110">
        <v>46087.0</v>
      </c>
      <c r="C567" s="49" t="s">
        <v>2617</v>
      </c>
      <c r="D567" s="102" t="s">
        <v>2732</v>
      </c>
      <c r="E567" s="25" t="s">
        <v>128</v>
      </c>
      <c r="F567" s="25" t="s">
        <v>18</v>
      </c>
      <c r="G567" s="25" t="s">
        <v>42</v>
      </c>
      <c r="H567" s="49" t="s">
        <v>1174</v>
      </c>
      <c r="I567" s="23"/>
      <c r="J567" s="23"/>
      <c r="K567" s="30"/>
      <c r="L567" s="49" t="s">
        <v>2733</v>
      </c>
      <c r="M567" s="50">
        <v>8.0</v>
      </c>
      <c r="N567" s="51"/>
      <c r="O567" s="20"/>
      <c r="P567" s="20"/>
      <c r="Q567" s="20"/>
      <c r="R567" s="20"/>
      <c r="S567" s="20"/>
    </row>
    <row r="568">
      <c r="A568" s="76" t="s">
        <v>2734</v>
      </c>
      <c r="B568" s="97">
        <v>46087.0</v>
      </c>
      <c r="C568" s="76" t="s">
        <v>2735</v>
      </c>
      <c r="D568" s="99" t="s">
        <v>2736</v>
      </c>
      <c r="E568" s="25" t="s">
        <v>17</v>
      </c>
      <c r="F568" s="25" t="s">
        <v>18</v>
      </c>
      <c r="G568" s="25" t="s">
        <v>42</v>
      </c>
      <c r="H568" s="76" t="s">
        <v>1033</v>
      </c>
      <c r="I568" s="76" t="s">
        <v>2737</v>
      </c>
      <c r="J568" s="76">
        <v>4.0</v>
      </c>
      <c r="K568" s="19">
        <v>7120000.0</v>
      </c>
      <c r="L568" s="76" t="s">
        <v>2151</v>
      </c>
      <c r="M568" s="44">
        <v>8.0</v>
      </c>
      <c r="N568" s="86" t="s">
        <v>2738</v>
      </c>
      <c r="O568" s="20"/>
      <c r="P568" s="20"/>
      <c r="Q568" s="20"/>
      <c r="R568" s="20"/>
      <c r="S568" s="20"/>
    </row>
    <row r="569">
      <c r="A569" s="49" t="s">
        <v>2739</v>
      </c>
      <c r="B569" s="110">
        <v>46087.0</v>
      </c>
      <c r="C569" s="49" t="s">
        <v>2740</v>
      </c>
      <c r="D569" s="102" t="s">
        <v>2741</v>
      </c>
      <c r="E569" s="25" t="s">
        <v>17</v>
      </c>
      <c r="F569" s="25" t="s">
        <v>18</v>
      </c>
      <c r="G569" s="25" t="s">
        <v>42</v>
      </c>
      <c r="H569" s="49" t="s">
        <v>2742</v>
      </c>
      <c r="I569" s="23"/>
      <c r="J569" s="49">
        <v>2.0</v>
      </c>
      <c r="K569" s="30"/>
      <c r="L569" s="23"/>
      <c r="M569" s="50">
        <v>8.0</v>
      </c>
      <c r="N569" s="51"/>
      <c r="O569" s="20"/>
      <c r="P569" s="20"/>
      <c r="Q569" s="20"/>
      <c r="R569" s="20"/>
      <c r="S569" s="20"/>
    </row>
    <row r="570">
      <c r="A570" s="76" t="s">
        <v>2743</v>
      </c>
      <c r="B570" s="97">
        <v>46087.0</v>
      </c>
      <c r="C570" s="76" t="s">
        <v>2744</v>
      </c>
      <c r="D570" s="99" t="s">
        <v>2745</v>
      </c>
      <c r="E570" s="25" t="s">
        <v>128</v>
      </c>
      <c r="F570" s="25" t="s">
        <v>129</v>
      </c>
      <c r="G570" s="25" t="s">
        <v>42</v>
      </c>
      <c r="H570" s="76" t="s">
        <v>775</v>
      </c>
      <c r="I570" s="76" t="s">
        <v>2746</v>
      </c>
      <c r="J570" s="76">
        <v>3.0</v>
      </c>
      <c r="K570" s="46"/>
      <c r="L570" s="76" t="s">
        <v>2747</v>
      </c>
      <c r="M570" s="44">
        <v>8.0</v>
      </c>
      <c r="N570" s="105" t="s">
        <v>2748</v>
      </c>
      <c r="O570" s="20"/>
      <c r="P570" s="20"/>
      <c r="Q570" s="20"/>
      <c r="R570" s="20"/>
      <c r="S570" s="20"/>
    </row>
    <row r="571">
      <c r="A571" s="49" t="s">
        <v>1672</v>
      </c>
      <c r="B571" s="110">
        <v>46088.0</v>
      </c>
      <c r="C571" s="49" t="s">
        <v>2749</v>
      </c>
      <c r="D571" s="102" t="s">
        <v>2750</v>
      </c>
      <c r="E571" s="25" t="s">
        <v>128</v>
      </c>
      <c r="F571" s="25" t="s">
        <v>129</v>
      </c>
      <c r="G571" s="25" t="s">
        <v>42</v>
      </c>
      <c r="H571" s="49" t="s">
        <v>2751</v>
      </c>
      <c r="I571" s="49" t="s">
        <v>2752</v>
      </c>
      <c r="J571" s="49">
        <v>3.0</v>
      </c>
      <c r="K571" s="30">
        <f>610000*3</f>
        <v>1830000</v>
      </c>
      <c r="L571" s="49" t="s">
        <v>2753</v>
      </c>
      <c r="M571" s="50">
        <v>8.0</v>
      </c>
      <c r="N571" s="115" t="s">
        <v>2754</v>
      </c>
      <c r="O571" s="20"/>
      <c r="P571" s="20"/>
      <c r="Q571" s="20"/>
      <c r="R571" s="20"/>
      <c r="S571" s="20"/>
    </row>
    <row r="572">
      <c r="A572" s="76" t="s">
        <v>2755</v>
      </c>
      <c r="B572" s="97">
        <v>46088.0</v>
      </c>
      <c r="C572" s="76" t="s">
        <v>2756</v>
      </c>
      <c r="D572" s="99" t="s">
        <v>2757</v>
      </c>
      <c r="E572" s="25" t="s">
        <v>128</v>
      </c>
      <c r="F572" s="25" t="s">
        <v>129</v>
      </c>
      <c r="G572" s="25" t="s">
        <v>42</v>
      </c>
      <c r="H572" s="76" t="s">
        <v>2758</v>
      </c>
      <c r="I572" s="76" t="s">
        <v>2438</v>
      </c>
      <c r="J572" s="10"/>
      <c r="K572" s="46"/>
      <c r="L572" s="76" t="s">
        <v>2759</v>
      </c>
      <c r="M572" s="44">
        <v>8.0</v>
      </c>
      <c r="N572" s="105" t="s">
        <v>2760</v>
      </c>
      <c r="O572" s="20"/>
      <c r="P572" s="20"/>
      <c r="Q572" s="20"/>
      <c r="R572" s="20"/>
      <c r="S572" s="20"/>
    </row>
    <row r="573">
      <c r="A573" s="49" t="s">
        <v>2761</v>
      </c>
      <c r="B573" s="110">
        <v>46088.0</v>
      </c>
      <c r="C573" s="49" t="s">
        <v>2762</v>
      </c>
      <c r="D573" s="102" t="s">
        <v>2763</v>
      </c>
      <c r="E573" s="25" t="s">
        <v>128</v>
      </c>
      <c r="F573" s="25" t="s">
        <v>129</v>
      </c>
      <c r="G573" s="25" t="s">
        <v>42</v>
      </c>
      <c r="H573" s="49" t="s">
        <v>123</v>
      </c>
      <c r="I573" s="101">
        <v>46106.0</v>
      </c>
      <c r="J573" s="49">
        <v>3.0</v>
      </c>
      <c r="K573" s="30">
        <f>2850000*3</f>
        <v>8550000</v>
      </c>
      <c r="L573" s="49" t="s">
        <v>2764</v>
      </c>
      <c r="M573" s="50">
        <v>8.0</v>
      </c>
      <c r="N573" s="115" t="s">
        <v>2765</v>
      </c>
      <c r="O573" s="20"/>
      <c r="P573" s="20"/>
      <c r="Q573" s="20"/>
      <c r="R573" s="20"/>
      <c r="S573" s="20"/>
    </row>
    <row r="574">
      <c r="A574" s="76" t="s">
        <v>2766</v>
      </c>
      <c r="B574" s="97">
        <v>46206.0</v>
      </c>
      <c r="C574" s="76" t="s">
        <v>2355</v>
      </c>
      <c r="D574" s="99" t="s">
        <v>2356</v>
      </c>
      <c r="E574" s="25" t="s">
        <v>122</v>
      </c>
      <c r="F574" s="25" t="s">
        <v>983</v>
      </c>
      <c r="G574" s="25" t="s">
        <v>42</v>
      </c>
      <c r="H574" s="76" t="s">
        <v>116</v>
      </c>
      <c r="I574" s="76" t="s">
        <v>2767</v>
      </c>
      <c r="J574" s="76">
        <v>70.0</v>
      </c>
      <c r="K574" s="46"/>
      <c r="L574" s="49" t="s">
        <v>2768</v>
      </c>
      <c r="M574" s="44">
        <v>8.0</v>
      </c>
      <c r="N574" s="45"/>
      <c r="O574" s="20"/>
      <c r="P574" s="20"/>
      <c r="Q574" s="20"/>
      <c r="R574" s="20"/>
      <c r="S574" s="20"/>
    </row>
    <row r="575">
      <c r="A575" s="49" t="s">
        <v>2769</v>
      </c>
      <c r="B575" s="110">
        <v>46088.0</v>
      </c>
      <c r="C575" s="49" t="s">
        <v>2770</v>
      </c>
      <c r="D575" s="102" t="s">
        <v>2771</v>
      </c>
      <c r="E575" s="25" t="s">
        <v>128</v>
      </c>
      <c r="F575" s="25" t="s">
        <v>18</v>
      </c>
      <c r="G575" s="25" t="s">
        <v>19</v>
      </c>
      <c r="H575" s="49" t="s">
        <v>1033</v>
      </c>
      <c r="I575" s="49" t="s">
        <v>1232</v>
      </c>
      <c r="J575" s="49">
        <v>6.0</v>
      </c>
      <c r="K575" s="36">
        <v>5780000.0</v>
      </c>
      <c r="L575" s="49" t="s">
        <v>108</v>
      </c>
      <c r="M575" s="50">
        <v>7.0</v>
      </c>
      <c r="N575" s="51"/>
      <c r="O575" s="20"/>
      <c r="P575" s="20"/>
      <c r="Q575" s="20"/>
      <c r="R575" s="20"/>
      <c r="S575" s="20"/>
    </row>
    <row r="576">
      <c r="A576" s="76" t="s">
        <v>2772</v>
      </c>
      <c r="B576" s="97">
        <v>46088.0</v>
      </c>
      <c r="C576" s="76" t="s">
        <v>2773</v>
      </c>
      <c r="D576" s="99" t="s">
        <v>2774</v>
      </c>
      <c r="E576" s="25" t="s">
        <v>128</v>
      </c>
      <c r="F576" s="25" t="s">
        <v>129</v>
      </c>
      <c r="G576" s="25" t="s">
        <v>42</v>
      </c>
      <c r="H576" s="10"/>
      <c r="I576" s="10"/>
      <c r="J576" s="10"/>
      <c r="K576" s="46"/>
      <c r="L576" s="76" t="s">
        <v>2775</v>
      </c>
      <c r="M576" s="44">
        <v>8.0</v>
      </c>
      <c r="N576" s="45"/>
      <c r="O576" s="20"/>
      <c r="P576" s="20"/>
      <c r="Q576" s="20"/>
      <c r="R576" s="20"/>
      <c r="S576" s="20"/>
    </row>
    <row r="577">
      <c r="A577" s="49" t="s">
        <v>2776</v>
      </c>
      <c r="B577" s="110">
        <v>46088.0</v>
      </c>
      <c r="C577" s="49" t="s">
        <v>2777</v>
      </c>
      <c r="D577" s="102" t="s">
        <v>2778</v>
      </c>
      <c r="E577" s="25" t="s">
        <v>128</v>
      </c>
      <c r="F577" s="25" t="s">
        <v>18</v>
      </c>
      <c r="G577" s="25" t="s">
        <v>42</v>
      </c>
      <c r="H577" s="23"/>
      <c r="I577" s="23"/>
      <c r="J577" s="23"/>
      <c r="K577" s="30"/>
      <c r="L577" s="49" t="s">
        <v>2779</v>
      </c>
      <c r="M577" s="50">
        <v>8.0</v>
      </c>
      <c r="N577" s="51"/>
      <c r="O577" s="20"/>
      <c r="P577" s="20"/>
      <c r="Q577" s="20"/>
      <c r="R577" s="20"/>
      <c r="S577" s="20"/>
    </row>
    <row r="578">
      <c r="A578" s="76" t="s">
        <v>2780</v>
      </c>
      <c r="B578" s="97">
        <v>46089.0</v>
      </c>
      <c r="C578" s="76" t="s">
        <v>2781</v>
      </c>
      <c r="D578" s="99" t="s">
        <v>2782</v>
      </c>
      <c r="E578" s="25" t="s">
        <v>128</v>
      </c>
      <c r="F578" s="25" t="s">
        <v>129</v>
      </c>
      <c r="G578" s="25" t="s">
        <v>42</v>
      </c>
      <c r="H578" s="76" t="s">
        <v>2783</v>
      </c>
      <c r="I578" s="76" t="s">
        <v>2784</v>
      </c>
      <c r="J578" s="76">
        <v>3.0</v>
      </c>
      <c r="K578" s="46">
        <f>516000*3</f>
        <v>1548000</v>
      </c>
      <c r="L578" s="76" t="s">
        <v>2747</v>
      </c>
      <c r="M578" s="44">
        <v>8.0</v>
      </c>
      <c r="N578" s="105" t="s">
        <v>2785</v>
      </c>
      <c r="O578" s="20"/>
      <c r="P578" s="20"/>
      <c r="Q578" s="20"/>
      <c r="R578" s="20"/>
      <c r="S578" s="20"/>
    </row>
    <row r="579">
      <c r="A579" s="49" t="s">
        <v>2786</v>
      </c>
      <c r="B579" s="110">
        <v>46089.0</v>
      </c>
      <c r="C579" s="49" t="s">
        <v>2787</v>
      </c>
      <c r="D579" s="102" t="s">
        <v>2788</v>
      </c>
      <c r="E579" s="25" t="s">
        <v>128</v>
      </c>
      <c r="F579" s="25" t="s">
        <v>129</v>
      </c>
      <c r="G579" s="25" t="s">
        <v>29</v>
      </c>
      <c r="H579" s="23"/>
      <c r="I579" s="49" t="s">
        <v>2789</v>
      </c>
      <c r="J579" s="23"/>
      <c r="K579" s="30"/>
      <c r="L579" s="49" t="s">
        <v>2790</v>
      </c>
      <c r="M579" s="50">
        <v>1.0</v>
      </c>
      <c r="N579" s="115" t="s">
        <v>2791</v>
      </c>
      <c r="O579" s="20"/>
      <c r="P579" s="20"/>
      <c r="Q579" s="20"/>
      <c r="R579" s="20"/>
      <c r="S579" s="20"/>
    </row>
    <row r="580">
      <c r="A580" s="76" t="s">
        <v>2792</v>
      </c>
      <c r="B580" s="97">
        <v>46088.0</v>
      </c>
      <c r="C580" s="76" t="s">
        <v>2793</v>
      </c>
      <c r="D580" s="99" t="s">
        <v>2794</v>
      </c>
      <c r="E580" s="25" t="s">
        <v>17</v>
      </c>
      <c r="F580" s="25" t="s">
        <v>18</v>
      </c>
      <c r="G580" s="25" t="s">
        <v>42</v>
      </c>
      <c r="H580" s="76" t="s">
        <v>123</v>
      </c>
      <c r="I580" s="76" t="s">
        <v>2795</v>
      </c>
      <c r="J580" s="76">
        <v>2.0</v>
      </c>
      <c r="K580" s="46"/>
      <c r="L580" s="10"/>
      <c r="M580" s="44">
        <v>8.0</v>
      </c>
      <c r="N580" s="45"/>
      <c r="O580" s="20"/>
      <c r="P580" s="20"/>
      <c r="Q580" s="20"/>
      <c r="R580" s="20"/>
      <c r="S580" s="20"/>
    </row>
    <row r="581">
      <c r="A581" s="76" t="s">
        <v>2796</v>
      </c>
      <c r="B581" s="97">
        <v>46088.0</v>
      </c>
      <c r="C581" s="76" t="s">
        <v>2797</v>
      </c>
      <c r="D581" s="99" t="s">
        <v>2798</v>
      </c>
      <c r="E581" s="25" t="s">
        <v>17</v>
      </c>
      <c r="F581" s="25" t="s">
        <v>18</v>
      </c>
      <c r="G581" s="25" t="s">
        <v>42</v>
      </c>
      <c r="H581" s="76" t="s">
        <v>2799</v>
      </c>
      <c r="I581" s="76" t="s">
        <v>2124</v>
      </c>
      <c r="J581" s="76">
        <v>5.0</v>
      </c>
      <c r="K581" s="19">
        <v>8515000.0</v>
      </c>
      <c r="L581" s="76" t="s">
        <v>2800</v>
      </c>
      <c r="M581" s="44">
        <v>8.0</v>
      </c>
      <c r="N581" s="86" t="s">
        <v>2801</v>
      </c>
      <c r="O581" s="20"/>
      <c r="P581" s="20"/>
      <c r="Q581" s="20"/>
      <c r="R581" s="20"/>
      <c r="S581" s="20"/>
    </row>
    <row r="582">
      <c r="A582" s="49" t="s">
        <v>2802</v>
      </c>
      <c r="B582" s="110">
        <v>46089.0</v>
      </c>
      <c r="C582" s="49" t="s">
        <v>2803</v>
      </c>
      <c r="D582" s="102" t="s">
        <v>2804</v>
      </c>
      <c r="E582" s="25" t="s">
        <v>128</v>
      </c>
      <c r="F582" s="25" t="s">
        <v>18</v>
      </c>
      <c r="G582" s="25" t="s">
        <v>42</v>
      </c>
      <c r="H582" s="49" t="s">
        <v>2805</v>
      </c>
      <c r="I582" s="49" t="s">
        <v>2806</v>
      </c>
      <c r="J582" s="49">
        <v>1.0</v>
      </c>
      <c r="K582" s="36">
        <v>500000.0</v>
      </c>
      <c r="L582" s="49" t="s">
        <v>2807</v>
      </c>
      <c r="M582" s="50">
        <v>8.0</v>
      </c>
      <c r="N582" s="51"/>
      <c r="O582" s="20"/>
      <c r="P582" s="20"/>
      <c r="Q582" s="20"/>
      <c r="R582" s="20"/>
      <c r="S582" s="20"/>
    </row>
    <row r="583">
      <c r="A583" s="76" t="s">
        <v>2808</v>
      </c>
      <c r="B583" s="97">
        <v>46089.0</v>
      </c>
      <c r="C583" s="76" t="s">
        <v>2809</v>
      </c>
      <c r="D583" s="99" t="s">
        <v>2810</v>
      </c>
      <c r="E583" s="25" t="s">
        <v>122</v>
      </c>
      <c r="F583" s="25" t="s">
        <v>129</v>
      </c>
      <c r="G583" s="25" t="s">
        <v>43</v>
      </c>
      <c r="H583" s="76" t="s">
        <v>123</v>
      </c>
      <c r="I583" s="76" t="s">
        <v>961</v>
      </c>
      <c r="J583" s="76">
        <v>60.0</v>
      </c>
      <c r="K583" s="46">
        <f>2385000*60</f>
        <v>143100000</v>
      </c>
      <c r="L583" s="76" t="s">
        <v>2811</v>
      </c>
      <c r="M583" s="44">
        <v>3.0</v>
      </c>
      <c r="N583" s="86" t="s">
        <v>2812</v>
      </c>
      <c r="O583" s="20"/>
      <c r="P583" s="20"/>
      <c r="Q583" s="20"/>
      <c r="R583" s="20"/>
      <c r="S583" s="20"/>
    </row>
    <row r="584">
      <c r="A584" s="49" t="s">
        <v>2813</v>
      </c>
      <c r="B584" s="110">
        <v>46089.0</v>
      </c>
      <c r="C584" s="49" t="s">
        <v>2814</v>
      </c>
      <c r="D584" s="102" t="s">
        <v>2815</v>
      </c>
      <c r="E584" s="25" t="s">
        <v>128</v>
      </c>
      <c r="F584" s="25" t="s">
        <v>129</v>
      </c>
      <c r="G584" s="25" t="s">
        <v>34</v>
      </c>
      <c r="H584" s="49" t="s">
        <v>260</v>
      </c>
      <c r="I584" s="101">
        <v>46179.0</v>
      </c>
      <c r="J584" s="49">
        <v>2.0</v>
      </c>
      <c r="K584" s="30">
        <f>1600000*2</f>
        <v>3200000</v>
      </c>
      <c r="L584" s="49" t="s">
        <v>2816</v>
      </c>
      <c r="M584" s="50">
        <v>2.0</v>
      </c>
      <c r="N584" s="104" t="s">
        <v>2817</v>
      </c>
      <c r="O584" s="20"/>
      <c r="P584" s="20"/>
      <c r="Q584" s="20"/>
      <c r="R584" s="20"/>
      <c r="S584" s="20"/>
    </row>
    <row r="585">
      <c r="A585" s="76" t="s">
        <v>2818</v>
      </c>
      <c r="B585" s="97">
        <v>46089.0</v>
      </c>
      <c r="C585" s="76" t="s">
        <v>2819</v>
      </c>
      <c r="D585" s="99" t="s">
        <v>2820</v>
      </c>
      <c r="E585" s="25" t="s">
        <v>17</v>
      </c>
      <c r="F585" s="25" t="s">
        <v>18</v>
      </c>
      <c r="G585" s="25" t="s">
        <v>42</v>
      </c>
      <c r="H585" s="76" t="s">
        <v>2799</v>
      </c>
      <c r="I585" s="76" t="s">
        <v>2106</v>
      </c>
      <c r="J585" s="76">
        <v>4.0</v>
      </c>
      <c r="K585" s="19">
        <v>1.066E7</v>
      </c>
      <c r="L585" s="76" t="s">
        <v>2800</v>
      </c>
      <c r="M585" s="44">
        <v>8.0</v>
      </c>
      <c r="N585" s="86" t="s">
        <v>2821</v>
      </c>
      <c r="O585" s="20"/>
      <c r="P585" s="20"/>
      <c r="Q585" s="20"/>
      <c r="R585" s="20"/>
      <c r="S585" s="20"/>
    </row>
    <row r="586">
      <c r="A586" s="49" t="s">
        <v>2822</v>
      </c>
      <c r="B586" s="110">
        <v>46089.0</v>
      </c>
      <c r="C586" s="49" t="s">
        <v>2823</v>
      </c>
      <c r="D586" s="102" t="s">
        <v>2824</v>
      </c>
      <c r="E586" s="25" t="s">
        <v>128</v>
      </c>
      <c r="F586" s="25" t="s">
        <v>18</v>
      </c>
      <c r="G586" s="25" t="s">
        <v>42</v>
      </c>
      <c r="H586" s="23"/>
      <c r="I586" s="23"/>
      <c r="J586" s="23"/>
      <c r="K586" s="30"/>
      <c r="L586" s="49" t="s">
        <v>2116</v>
      </c>
      <c r="M586" s="50">
        <v>8.0</v>
      </c>
      <c r="N586" s="51"/>
      <c r="O586" s="20"/>
      <c r="P586" s="20"/>
      <c r="Q586" s="20"/>
      <c r="R586" s="20"/>
      <c r="S586" s="20"/>
    </row>
    <row r="587">
      <c r="A587" s="76" t="s">
        <v>2825</v>
      </c>
      <c r="B587" s="97">
        <v>46090.0</v>
      </c>
      <c r="C587" s="76" t="s">
        <v>2826</v>
      </c>
      <c r="D587" s="99" t="s">
        <v>2827</v>
      </c>
      <c r="E587" s="25" t="s">
        <v>122</v>
      </c>
      <c r="F587" s="25" t="s">
        <v>129</v>
      </c>
      <c r="G587" s="25" t="s">
        <v>42</v>
      </c>
      <c r="H587" s="10"/>
      <c r="I587" s="144">
        <v>46107.0</v>
      </c>
      <c r="J587" s="76">
        <v>2.0</v>
      </c>
      <c r="K587" s="46"/>
      <c r="L587" s="76" t="s">
        <v>2828</v>
      </c>
      <c r="M587" s="44">
        <v>8.0</v>
      </c>
      <c r="N587" s="105" t="s">
        <v>2829</v>
      </c>
      <c r="O587" s="20"/>
      <c r="P587" s="20"/>
      <c r="Q587" s="20"/>
      <c r="R587" s="20"/>
      <c r="S587" s="20"/>
    </row>
    <row r="588">
      <c r="A588" s="49" t="s">
        <v>2830</v>
      </c>
      <c r="B588" s="110">
        <v>46089.0</v>
      </c>
      <c r="C588" s="49" t="s">
        <v>2831</v>
      </c>
      <c r="D588" s="102" t="s">
        <v>2832</v>
      </c>
      <c r="E588" s="25" t="s">
        <v>17</v>
      </c>
      <c r="F588" s="25" t="s">
        <v>983</v>
      </c>
      <c r="G588" s="25" t="s">
        <v>42</v>
      </c>
      <c r="H588" s="23"/>
      <c r="I588" s="23"/>
      <c r="J588" s="23"/>
      <c r="K588" s="30"/>
      <c r="L588" s="49" t="s">
        <v>2833</v>
      </c>
      <c r="M588" s="50">
        <v>8.0</v>
      </c>
      <c r="N588" s="51"/>
      <c r="O588" s="20"/>
      <c r="P588" s="20"/>
      <c r="Q588" s="20"/>
      <c r="R588" s="20"/>
      <c r="S588" s="20"/>
    </row>
    <row r="589">
      <c r="A589" s="76" t="s">
        <v>2834</v>
      </c>
      <c r="B589" s="97">
        <v>46090.0</v>
      </c>
      <c r="C589" s="76" t="s">
        <v>930</v>
      </c>
      <c r="D589" s="99" t="s">
        <v>2835</v>
      </c>
      <c r="E589" s="25" t="s">
        <v>122</v>
      </c>
      <c r="F589" s="25" t="s">
        <v>983</v>
      </c>
      <c r="G589" s="25" t="s">
        <v>42</v>
      </c>
      <c r="H589" s="10"/>
      <c r="I589" s="10"/>
      <c r="J589" s="10"/>
      <c r="K589" s="46"/>
      <c r="L589" s="76" t="s">
        <v>1180</v>
      </c>
      <c r="M589" s="44">
        <v>8.0</v>
      </c>
      <c r="N589" s="86" t="s">
        <v>2836</v>
      </c>
      <c r="O589" s="20"/>
      <c r="P589" s="20"/>
      <c r="Q589" s="20"/>
      <c r="R589" s="20"/>
      <c r="S589" s="20"/>
    </row>
    <row r="590">
      <c r="A590" s="49" t="s">
        <v>2837</v>
      </c>
      <c r="B590" s="135">
        <v>46090.0</v>
      </c>
      <c r="C590" s="49" t="s">
        <v>2838</v>
      </c>
      <c r="D590" s="102" t="s">
        <v>2839</v>
      </c>
      <c r="E590" s="25" t="s">
        <v>122</v>
      </c>
      <c r="F590" s="25" t="s">
        <v>129</v>
      </c>
      <c r="G590" s="25" t="s">
        <v>42</v>
      </c>
      <c r="H590" s="49" t="s">
        <v>2840</v>
      </c>
      <c r="I590" s="49" t="s">
        <v>2841</v>
      </c>
      <c r="J590" s="49">
        <v>8.0</v>
      </c>
      <c r="K590" s="30"/>
      <c r="L590" s="49" t="s">
        <v>2240</v>
      </c>
      <c r="M590" s="50">
        <v>8.0</v>
      </c>
      <c r="N590" s="115" t="s">
        <v>2842</v>
      </c>
      <c r="O590" s="20"/>
      <c r="P590" s="20"/>
      <c r="Q590" s="20"/>
      <c r="R590" s="20"/>
      <c r="S590" s="20"/>
    </row>
    <row r="591">
      <c r="A591" s="76" t="s">
        <v>2843</v>
      </c>
      <c r="B591" s="97">
        <v>46091.0</v>
      </c>
      <c r="C591" s="76" t="s">
        <v>2844</v>
      </c>
      <c r="D591" s="99" t="s">
        <v>2845</v>
      </c>
      <c r="E591" s="25" t="s">
        <v>128</v>
      </c>
      <c r="F591" s="25" t="s">
        <v>129</v>
      </c>
      <c r="G591" s="25" t="s">
        <v>42</v>
      </c>
      <c r="H591" s="10"/>
      <c r="I591" s="10"/>
      <c r="J591" s="10"/>
      <c r="K591" s="46"/>
      <c r="L591" s="76" t="s">
        <v>2846</v>
      </c>
      <c r="M591" s="44">
        <v>8.0</v>
      </c>
      <c r="N591" s="45"/>
      <c r="O591" s="20"/>
      <c r="P591" s="20"/>
      <c r="Q591" s="20"/>
      <c r="R591" s="20"/>
      <c r="S591" s="20"/>
    </row>
    <row r="592">
      <c r="A592" s="49" t="s">
        <v>2847</v>
      </c>
      <c r="B592" s="110">
        <v>46091.0</v>
      </c>
      <c r="C592" s="49" t="s">
        <v>2848</v>
      </c>
      <c r="D592" s="102" t="s">
        <v>2849</v>
      </c>
      <c r="E592" s="25" t="s">
        <v>128</v>
      </c>
      <c r="F592" s="25" t="s">
        <v>129</v>
      </c>
      <c r="G592" s="25" t="s">
        <v>42</v>
      </c>
      <c r="H592" s="49" t="s">
        <v>2850</v>
      </c>
      <c r="I592" s="101">
        <v>46123.0</v>
      </c>
      <c r="J592" s="49">
        <v>3.0</v>
      </c>
      <c r="K592" s="30">
        <f>825000*3</f>
        <v>2475000</v>
      </c>
      <c r="L592" s="49" t="s">
        <v>2851</v>
      </c>
      <c r="M592" s="50">
        <v>8.0</v>
      </c>
      <c r="N592" s="115" t="s">
        <v>2852</v>
      </c>
      <c r="O592" s="20"/>
      <c r="P592" s="20"/>
      <c r="Q592" s="20"/>
      <c r="R592" s="20"/>
      <c r="S592" s="20"/>
    </row>
    <row r="593">
      <c r="A593" s="76" t="s">
        <v>2853</v>
      </c>
      <c r="B593" s="97">
        <v>46090.0</v>
      </c>
      <c r="C593" s="76" t="s">
        <v>2854</v>
      </c>
      <c r="D593" s="99" t="s">
        <v>2855</v>
      </c>
      <c r="E593" s="25" t="s">
        <v>17</v>
      </c>
      <c r="F593" s="25" t="s">
        <v>18</v>
      </c>
      <c r="G593" s="25" t="s">
        <v>42</v>
      </c>
      <c r="H593" s="76" t="s">
        <v>1275</v>
      </c>
      <c r="I593" s="76" t="s">
        <v>2856</v>
      </c>
      <c r="J593" s="76">
        <v>2.0</v>
      </c>
      <c r="K593" s="46">
        <f>2610000*2</f>
        <v>5220000</v>
      </c>
      <c r="L593" s="76" t="s">
        <v>2857</v>
      </c>
      <c r="M593" s="44">
        <v>8.0</v>
      </c>
      <c r="N593" s="86" t="s">
        <v>2858</v>
      </c>
      <c r="O593" s="20"/>
      <c r="P593" s="20"/>
      <c r="Q593" s="20"/>
      <c r="R593" s="20"/>
      <c r="S593" s="20"/>
    </row>
    <row r="594">
      <c r="A594" s="49" t="s">
        <v>2859</v>
      </c>
      <c r="B594" s="110">
        <v>46091.0</v>
      </c>
      <c r="C594" s="49" t="s">
        <v>2860</v>
      </c>
      <c r="D594" s="102" t="s">
        <v>2861</v>
      </c>
      <c r="E594" s="25" t="s">
        <v>17</v>
      </c>
      <c r="F594" s="25" t="s">
        <v>18</v>
      </c>
      <c r="G594" s="25" t="s">
        <v>42</v>
      </c>
      <c r="H594" s="49" t="s">
        <v>1033</v>
      </c>
      <c r="I594" s="49" t="s">
        <v>2862</v>
      </c>
      <c r="J594" s="49">
        <v>6.0</v>
      </c>
      <c r="K594" s="36">
        <v>1.377E7</v>
      </c>
      <c r="L594" s="49" t="s">
        <v>2863</v>
      </c>
      <c r="M594" s="50">
        <v>8.0</v>
      </c>
      <c r="N594" s="104" t="s">
        <v>2864</v>
      </c>
      <c r="O594" s="20"/>
      <c r="P594" s="20"/>
      <c r="Q594" s="20"/>
      <c r="R594" s="20"/>
      <c r="S594" s="20"/>
    </row>
    <row r="595">
      <c r="A595" s="76" t="s">
        <v>2865</v>
      </c>
      <c r="B595" s="97">
        <v>46091.0</v>
      </c>
      <c r="C595" s="76" t="s">
        <v>2866</v>
      </c>
      <c r="D595" s="99" t="s">
        <v>2867</v>
      </c>
      <c r="E595" s="25" t="s">
        <v>128</v>
      </c>
      <c r="F595" s="25" t="s">
        <v>129</v>
      </c>
      <c r="G595" s="25" t="s">
        <v>42</v>
      </c>
      <c r="H595" s="76" t="s">
        <v>123</v>
      </c>
      <c r="I595" s="118">
        <v>46104.0</v>
      </c>
      <c r="J595" s="76">
        <v>10.0</v>
      </c>
      <c r="K595" s="46">
        <f>1100000*10</f>
        <v>11000000</v>
      </c>
      <c r="L595" s="76" t="s">
        <v>2303</v>
      </c>
      <c r="M595" s="44">
        <v>8.0</v>
      </c>
      <c r="N595" s="105" t="s">
        <v>2868</v>
      </c>
      <c r="O595" s="20"/>
      <c r="P595" s="20"/>
      <c r="Q595" s="20"/>
      <c r="R595" s="20"/>
      <c r="S595" s="20"/>
    </row>
    <row r="596">
      <c r="A596" s="49" t="s">
        <v>2869</v>
      </c>
      <c r="B596" s="110">
        <v>46091.0</v>
      </c>
      <c r="C596" s="49" t="s">
        <v>2870</v>
      </c>
      <c r="D596" s="102" t="s">
        <v>2871</v>
      </c>
      <c r="E596" s="25" t="s">
        <v>128</v>
      </c>
      <c r="F596" s="25" t="s">
        <v>129</v>
      </c>
      <c r="G596" s="25" t="s">
        <v>42</v>
      </c>
      <c r="H596" s="49" t="s">
        <v>116</v>
      </c>
      <c r="I596" s="49" t="s">
        <v>1333</v>
      </c>
      <c r="J596" s="49">
        <v>6.0</v>
      </c>
      <c r="K596" s="30">
        <f>1895000*6</f>
        <v>11370000</v>
      </c>
      <c r="L596" s="49" t="s">
        <v>2303</v>
      </c>
      <c r="M596" s="50">
        <v>8.0</v>
      </c>
      <c r="N596" s="115" t="s">
        <v>2872</v>
      </c>
      <c r="O596" s="20"/>
      <c r="P596" s="20"/>
      <c r="Q596" s="20"/>
      <c r="R596" s="20"/>
      <c r="S596" s="20"/>
    </row>
    <row r="597">
      <c r="A597" s="76" t="s">
        <v>1816</v>
      </c>
      <c r="B597" s="97">
        <v>46092.0</v>
      </c>
      <c r="C597" s="76" t="s">
        <v>2873</v>
      </c>
      <c r="D597" s="99" t="s">
        <v>2874</v>
      </c>
      <c r="E597" s="25" t="s">
        <v>17</v>
      </c>
      <c r="F597" s="25" t="s">
        <v>129</v>
      </c>
      <c r="G597" s="25" t="s">
        <v>19</v>
      </c>
      <c r="H597" s="76" t="s">
        <v>2875</v>
      </c>
      <c r="I597" s="76" t="s">
        <v>2876</v>
      </c>
      <c r="J597" s="76">
        <v>1.0</v>
      </c>
      <c r="K597" s="19">
        <v>250000.0</v>
      </c>
      <c r="L597" s="76" t="s">
        <v>2877</v>
      </c>
      <c r="M597" s="44">
        <v>7.0</v>
      </c>
      <c r="N597" s="105" t="s">
        <v>2878</v>
      </c>
      <c r="O597" s="20"/>
      <c r="P597" s="20"/>
      <c r="Q597" s="20"/>
      <c r="R597" s="20"/>
      <c r="S597" s="20"/>
    </row>
    <row r="598">
      <c r="A598" s="49" t="s">
        <v>2879</v>
      </c>
      <c r="B598" s="110">
        <v>46092.0</v>
      </c>
      <c r="C598" s="49" t="s">
        <v>2880</v>
      </c>
      <c r="D598" s="102" t="s">
        <v>2881</v>
      </c>
      <c r="E598" s="25" t="s">
        <v>17</v>
      </c>
      <c r="F598" s="25" t="s">
        <v>129</v>
      </c>
      <c r="G598" s="25" t="s">
        <v>42</v>
      </c>
      <c r="H598" s="49" t="s">
        <v>2882</v>
      </c>
      <c r="I598" s="49" t="s">
        <v>2883</v>
      </c>
      <c r="J598" s="49">
        <v>2.0</v>
      </c>
      <c r="K598" s="30">
        <f>875000*2</f>
        <v>1750000</v>
      </c>
      <c r="L598" s="49" t="s">
        <v>2884</v>
      </c>
      <c r="M598" s="50">
        <v>8.0</v>
      </c>
      <c r="N598" s="115" t="s">
        <v>2885</v>
      </c>
      <c r="O598" s="20"/>
      <c r="P598" s="20"/>
      <c r="Q598" s="20"/>
      <c r="R598" s="20"/>
      <c r="S598" s="20"/>
    </row>
    <row r="599">
      <c r="A599" s="76" t="s">
        <v>2886</v>
      </c>
      <c r="B599" s="97">
        <v>46092.0</v>
      </c>
      <c r="C599" s="76" t="s">
        <v>2887</v>
      </c>
      <c r="D599" s="99" t="s">
        <v>2888</v>
      </c>
      <c r="E599" s="25" t="s">
        <v>122</v>
      </c>
      <c r="F599" s="25" t="s">
        <v>129</v>
      </c>
      <c r="G599" s="25" t="s">
        <v>42</v>
      </c>
      <c r="H599" s="76" t="s">
        <v>2889</v>
      </c>
      <c r="I599" s="76" t="s">
        <v>1199</v>
      </c>
      <c r="J599" s="76">
        <v>1.0</v>
      </c>
      <c r="K599" s="19">
        <v>250000.0</v>
      </c>
      <c r="L599" s="76" t="s">
        <v>2890</v>
      </c>
      <c r="M599" s="44">
        <v>8.0</v>
      </c>
      <c r="N599" s="105" t="s">
        <v>2891</v>
      </c>
      <c r="O599" s="20"/>
      <c r="P599" s="20"/>
      <c r="Q599" s="20"/>
      <c r="R599" s="20"/>
      <c r="S599" s="20"/>
    </row>
    <row r="600">
      <c r="A600" s="49" t="s">
        <v>2892</v>
      </c>
      <c r="B600" s="110">
        <v>46092.0</v>
      </c>
      <c r="C600" s="49" t="s">
        <v>2893</v>
      </c>
      <c r="D600" s="102" t="s">
        <v>2894</v>
      </c>
      <c r="E600" s="25" t="s">
        <v>128</v>
      </c>
      <c r="F600" s="25" t="s">
        <v>129</v>
      </c>
      <c r="G600" s="25" t="s">
        <v>42</v>
      </c>
      <c r="H600" s="49" t="s">
        <v>1888</v>
      </c>
      <c r="I600" s="49" t="s">
        <v>2895</v>
      </c>
      <c r="J600" s="49">
        <v>2.0</v>
      </c>
      <c r="K600" s="30">
        <f>2340000*2</f>
        <v>4680000</v>
      </c>
      <c r="L600" s="49" t="s">
        <v>2896</v>
      </c>
      <c r="M600" s="50">
        <v>8.0</v>
      </c>
      <c r="N600" s="115" t="s">
        <v>2897</v>
      </c>
      <c r="O600" s="20"/>
      <c r="P600" s="20"/>
      <c r="Q600" s="20"/>
      <c r="R600" s="20"/>
      <c r="S600" s="20"/>
    </row>
    <row r="601">
      <c r="A601" s="76" t="s">
        <v>2898</v>
      </c>
      <c r="B601" s="97">
        <v>46092.0</v>
      </c>
      <c r="C601" s="76" t="s">
        <v>2899</v>
      </c>
      <c r="D601" s="99" t="s">
        <v>2900</v>
      </c>
      <c r="E601" s="25" t="s">
        <v>17</v>
      </c>
      <c r="F601" s="25" t="s">
        <v>983</v>
      </c>
      <c r="G601" s="25" t="s">
        <v>42</v>
      </c>
      <c r="H601" s="76" t="s">
        <v>199</v>
      </c>
      <c r="I601" s="76" t="s">
        <v>2901</v>
      </c>
      <c r="J601" s="76">
        <v>5.0</v>
      </c>
      <c r="K601" s="19">
        <v>9100000.0</v>
      </c>
      <c r="L601" s="76" t="s">
        <v>2902</v>
      </c>
      <c r="M601" s="44">
        <v>8.0</v>
      </c>
      <c r="N601" s="45"/>
      <c r="O601" s="20"/>
      <c r="P601" s="20"/>
      <c r="Q601" s="20"/>
      <c r="R601" s="20"/>
      <c r="S601" s="20"/>
    </row>
    <row r="602">
      <c r="A602" s="49" t="s">
        <v>2903</v>
      </c>
      <c r="B602" s="110">
        <v>46092.0</v>
      </c>
      <c r="C602" s="49" t="s">
        <v>2904</v>
      </c>
      <c r="D602" s="102" t="s">
        <v>2905</v>
      </c>
      <c r="E602" s="25" t="s">
        <v>128</v>
      </c>
      <c r="F602" s="25" t="s">
        <v>129</v>
      </c>
      <c r="G602" s="25" t="s">
        <v>42</v>
      </c>
      <c r="H602" s="49" t="s">
        <v>2906</v>
      </c>
      <c r="I602" s="101">
        <v>46147.0</v>
      </c>
      <c r="J602" s="49">
        <v>3.0</v>
      </c>
      <c r="K602" s="30">
        <f>625000*3</f>
        <v>1875000</v>
      </c>
      <c r="L602" s="49" t="s">
        <v>2907</v>
      </c>
      <c r="M602" s="50">
        <v>8.0</v>
      </c>
      <c r="N602" s="115" t="s">
        <v>2908</v>
      </c>
      <c r="O602" s="20"/>
      <c r="P602" s="20"/>
      <c r="Q602" s="20"/>
      <c r="R602" s="20"/>
      <c r="S602" s="20"/>
    </row>
    <row r="603">
      <c r="A603" s="76" t="s">
        <v>2909</v>
      </c>
      <c r="B603" s="97">
        <v>46092.0</v>
      </c>
      <c r="C603" s="76" t="s">
        <v>2910</v>
      </c>
      <c r="D603" s="99" t="s">
        <v>2911</v>
      </c>
      <c r="E603" s="25" t="s">
        <v>128</v>
      </c>
      <c r="F603" s="25" t="s">
        <v>129</v>
      </c>
      <c r="G603" s="25" t="s">
        <v>19</v>
      </c>
      <c r="H603" s="76" t="s">
        <v>2912</v>
      </c>
      <c r="I603" s="76" t="s">
        <v>1199</v>
      </c>
      <c r="J603" s="76">
        <v>3.0</v>
      </c>
      <c r="K603" s="46">
        <f>1600000*3</f>
        <v>4800000</v>
      </c>
      <c r="L603" s="76" t="s">
        <v>2913</v>
      </c>
      <c r="M603" s="44">
        <v>7.0</v>
      </c>
      <c r="N603" s="45"/>
      <c r="O603" s="20"/>
      <c r="P603" s="20"/>
      <c r="Q603" s="20"/>
      <c r="R603" s="20"/>
      <c r="S603" s="20"/>
    </row>
    <row r="604">
      <c r="A604" s="49" t="s">
        <v>2914</v>
      </c>
      <c r="B604" s="110">
        <v>46092.0</v>
      </c>
      <c r="C604" s="49" t="s">
        <v>2915</v>
      </c>
      <c r="D604" s="102" t="s">
        <v>2916</v>
      </c>
      <c r="E604" s="25" t="s">
        <v>128</v>
      </c>
      <c r="F604" s="25" t="s">
        <v>129</v>
      </c>
      <c r="G604" s="25" t="s">
        <v>42</v>
      </c>
      <c r="H604" s="49" t="s">
        <v>2917</v>
      </c>
      <c r="I604" s="101">
        <v>46142.0</v>
      </c>
      <c r="J604" s="49">
        <v>30.0</v>
      </c>
      <c r="K604" s="30">
        <f>350000*30</f>
        <v>10500000</v>
      </c>
      <c r="L604" s="49" t="s">
        <v>2918</v>
      </c>
      <c r="M604" s="50">
        <v>8.0</v>
      </c>
      <c r="N604" s="104" t="s">
        <v>2919</v>
      </c>
      <c r="O604" s="20"/>
      <c r="P604" s="20"/>
      <c r="Q604" s="20"/>
      <c r="R604" s="20"/>
      <c r="S604" s="20"/>
    </row>
    <row r="605">
      <c r="A605" s="76" t="s">
        <v>2552</v>
      </c>
      <c r="B605" s="97">
        <v>46092.0</v>
      </c>
      <c r="C605" s="76" t="s">
        <v>2920</v>
      </c>
      <c r="D605" s="99" t="s">
        <v>2921</v>
      </c>
      <c r="E605" s="25" t="s">
        <v>122</v>
      </c>
      <c r="F605" s="25" t="s">
        <v>983</v>
      </c>
      <c r="G605" s="25" t="s">
        <v>19</v>
      </c>
      <c r="H605" s="76" t="s">
        <v>2922</v>
      </c>
      <c r="I605" s="118">
        <v>46100.0</v>
      </c>
      <c r="J605" s="76">
        <v>6.0</v>
      </c>
      <c r="K605" s="19">
        <v>2850000.0</v>
      </c>
      <c r="L605" s="76" t="s">
        <v>1763</v>
      </c>
      <c r="M605" s="44">
        <v>7.0</v>
      </c>
      <c r="N605" s="45"/>
      <c r="O605" s="20"/>
      <c r="P605" s="20"/>
      <c r="Q605" s="20"/>
      <c r="R605" s="20"/>
      <c r="S605" s="20"/>
    </row>
    <row r="606">
      <c r="A606" s="49" t="s">
        <v>2923</v>
      </c>
      <c r="B606" s="110">
        <v>46092.0</v>
      </c>
      <c r="C606" s="49" t="s">
        <v>2924</v>
      </c>
      <c r="D606" s="102" t="s">
        <v>2925</v>
      </c>
      <c r="E606" s="25" t="s">
        <v>122</v>
      </c>
      <c r="F606" s="25" t="s">
        <v>983</v>
      </c>
      <c r="G606" s="25" t="s">
        <v>42</v>
      </c>
      <c r="H606" s="49" t="s">
        <v>2926</v>
      </c>
      <c r="I606" s="101">
        <v>46102.0</v>
      </c>
      <c r="J606" s="49">
        <v>4.0</v>
      </c>
      <c r="K606" s="36">
        <v>1400000.0</v>
      </c>
      <c r="L606" s="49" t="s">
        <v>709</v>
      </c>
      <c r="M606" s="50">
        <v>8.0</v>
      </c>
      <c r="N606" s="51"/>
      <c r="O606" s="20"/>
      <c r="P606" s="20"/>
      <c r="Q606" s="20"/>
      <c r="R606" s="20"/>
      <c r="S606" s="20"/>
    </row>
    <row r="607">
      <c r="A607" s="76" t="s">
        <v>2927</v>
      </c>
      <c r="B607" s="97">
        <v>46092.0</v>
      </c>
      <c r="C607" s="76" t="s">
        <v>2928</v>
      </c>
      <c r="D607" s="99" t="s">
        <v>2929</v>
      </c>
      <c r="E607" s="25" t="s">
        <v>122</v>
      </c>
      <c r="F607" s="25" t="s">
        <v>983</v>
      </c>
      <c r="G607" s="25" t="s">
        <v>42</v>
      </c>
      <c r="H607" s="76" t="s">
        <v>2930</v>
      </c>
      <c r="I607" s="76" t="s">
        <v>2931</v>
      </c>
      <c r="J607" s="76">
        <v>38.0</v>
      </c>
      <c r="K607" s="19">
        <v>1.425E7</v>
      </c>
      <c r="L607" s="76" t="s">
        <v>2932</v>
      </c>
      <c r="M607" s="44">
        <v>8.0</v>
      </c>
      <c r="N607" s="45"/>
      <c r="O607" s="20"/>
      <c r="P607" s="20"/>
      <c r="Q607" s="20"/>
      <c r="R607" s="20"/>
      <c r="S607" s="20"/>
    </row>
    <row r="608">
      <c r="A608" s="49" t="s">
        <v>2933</v>
      </c>
      <c r="B608" s="110">
        <v>46092.0</v>
      </c>
      <c r="C608" s="49" t="s">
        <v>2934</v>
      </c>
      <c r="D608" s="102" t="s">
        <v>2935</v>
      </c>
      <c r="E608" s="25" t="s">
        <v>128</v>
      </c>
      <c r="F608" s="25" t="s">
        <v>129</v>
      </c>
      <c r="G608" s="25" t="s">
        <v>19</v>
      </c>
      <c r="H608" s="49" t="s">
        <v>2936</v>
      </c>
      <c r="I608" s="101">
        <v>46104.0</v>
      </c>
      <c r="J608" s="49">
        <v>1.0</v>
      </c>
      <c r="K608" s="30"/>
      <c r="L608" s="49" t="s">
        <v>2937</v>
      </c>
      <c r="M608" s="50">
        <v>7.0</v>
      </c>
      <c r="N608" s="51"/>
      <c r="O608" s="20"/>
      <c r="P608" s="20"/>
      <c r="Q608" s="20"/>
      <c r="R608" s="20"/>
      <c r="S608" s="20"/>
    </row>
    <row r="609">
      <c r="A609" s="76" t="s">
        <v>2938</v>
      </c>
      <c r="B609" s="97">
        <v>46093.0</v>
      </c>
      <c r="C609" s="76" t="s">
        <v>2939</v>
      </c>
      <c r="D609" s="99" t="s">
        <v>2940</v>
      </c>
      <c r="E609" s="25" t="s">
        <v>17</v>
      </c>
      <c r="F609" s="25" t="s">
        <v>129</v>
      </c>
      <c r="G609" s="25" t="s">
        <v>42</v>
      </c>
      <c r="H609" s="76" t="s">
        <v>2840</v>
      </c>
      <c r="I609" s="118">
        <v>46118.0</v>
      </c>
      <c r="J609" s="76">
        <v>2.0</v>
      </c>
      <c r="K609" s="46"/>
      <c r="L609" s="76" t="s">
        <v>2941</v>
      </c>
      <c r="M609" s="44">
        <v>8.0</v>
      </c>
      <c r="N609" s="86" t="s">
        <v>2942</v>
      </c>
      <c r="O609" s="20"/>
      <c r="P609" s="20"/>
      <c r="Q609" s="20"/>
      <c r="R609" s="20"/>
      <c r="S609" s="20"/>
    </row>
    <row r="610">
      <c r="A610" s="49" t="s">
        <v>2943</v>
      </c>
      <c r="B610" s="110">
        <v>46093.0</v>
      </c>
      <c r="C610" s="49" t="s">
        <v>2944</v>
      </c>
      <c r="D610" s="102" t="s">
        <v>2945</v>
      </c>
      <c r="E610" s="25" t="s">
        <v>128</v>
      </c>
      <c r="F610" s="25" t="s">
        <v>129</v>
      </c>
      <c r="G610" s="25" t="s">
        <v>29</v>
      </c>
      <c r="H610" s="49" t="s">
        <v>123</v>
      </c>
      <c r="I610" s="49" t="s">
        <v>2946</v>
      </c>
      <c r="J610" s="23"/>
      <c r="K610" s="30"/>
      <c r="L610" s="49" t="s">
        <v>2947</v>
      </c>
      <c r="M610" s="50">
        <v>1.0</v>
      </c>
      <c r="N610" s="104" t="s">
        <v>2948</v>
      </c>
      <c r="O610" s="20"/>
      <c r="P610" s="20"/>
      <c r="Q610" s="20"/>
      <c r="R610" s="20"/>
      <c r="S610" s="20"/>
    </row>
    <row r="611">
      <c r="A611" s="76" t="s">
        <v>2949</v>
      </c>
      <c r="B611" s="97">
        <v>46093.0</v>
      </c>
      <c r="C611" s="76" t="s">
        <v>2950</v>
      </c>
      <c r="D611" s="99" t="s">
        <v>2951</v>
      </c>
      <c r="E611" s="25" t="s">
        <v>17</v>
      </c>
      <c r="F611" s="25" t="s">
        <v>18</v>
      </c>
      <c r="G611" s="25" t="s">
        <v>42</v>
      </c>
      <c r="H611" s="76" t="s">
        <v>2376</v>
      </c>
      <c r="I611" s="118">
        <v>46103.0</v>
      </c>
      <c r="J611" s="76">
        <v>8.0</v>
      </c>
      <c r="K611" s="46">
        <f>665000*J611</f>
        <v>5320000</v>
      </c>
      <c r="L611" s="76" t="s">
        <v>2952</v>
      </c>
      <c r="M611" s="44">
        <v>8.0</v>
      </c>
      <c r="N611" s="86" t="s">
        <v>2953</v>
      </c>
      <c r="O611" s="20"/>
      <c r="P611" s="20"/>
      <c r="Q611" s="20"/>
      <c r="R611" s="20"/>
      <c r="S611" s="20"/>
    </row>
    <row r="612">
      <c r="A612" s="49" t="s">
        <v>2954</v>
      </c>
      <c r="B612" s="110">
        <v>46093.0</v>
      </c>
      <c r="C612" s="49" t="s">
        <v>2955</v>
      </c>
      <c r="D612" s="102" t="s">
        <v>2956</v>
      </c>
      <c r="E612" s="25" t="s">
        <v>122</v>
      </c>
      <c r="F612" s="25" t="s">
        <v>983</v>
      </c>
      <c r="G612" s="25" t="s">
        <v>42</v>
      </c>
      <c r="H612" s="49" t="s">
        <v>156</v>
      </c>
      <c r="I612" s="49" t="s">
        <v>2957</v>
      </c>
      <c r="J612" s="49">
        <v>2.0</v>
      </c>
      <c r="K612" s="36">
        <v>8190000.0</v>
      </c>
      <c r="L612" s="49" t="s">
        <v>2958</v>
      </c>
      <c r="M612" s="50">
        <v>8.0</v>
      </c>
      <c r="N612" s="51"/>
      <c r="O612" s="20"/>
      <c r="P612" s="20"/>
      <c r="Q612" s="20"/>
      <c r="R612" s="20"/>
      <c r="S612" s="20"/>
    </row>
    <row r="613">
      <c r="A613" s="76" t="s">
        <v>2959</v>
      </c>
      <c r="B613" s="97">
        <v>46094.0</v>
      </c>
      <c r="C613" s="76" t="s">
        <v>2960</v>
      </c>
      <c r="D613" s="99" t="s">
        <v>2961</v>
      </c>
      <c r="E613" s="25" t="s">
        <v>128</v>
      </c>
      <c r="F613" s="25" t="s">
        <v>129</v>
      </c>
      <c r="G613" s="25" t="s">
        <v>42</v>
      </c>
      <c r="H613" s="10"/>
      <c r="I613" s="10"/>
      <c r="J613" s="10"/>
      <c r="K613" s="46"/>
      <c r="L613" s="76" t="s">
        <v>2962</v>
      </c>
      <c r="M613" s="44">
        <v>8.0</v>
      </c>
      <c r="N613" s="45"/>
      <c r="O613" s="20"/>
      <c r="P613" s="20"/>
      <c r="Q613" s="20"/>
      <c r="R613" s="20"/>
      <c r="S613" s="20"/>
    </row>
    <row r="614">
      <c r="A614" s="49" t="s">
        <v>2963</v>
      </c>
      <c r="B614" s="110">
        <v>46094.0</v>
      </c>
      <c r="C614" s="49" t="s">
        <v>2964</v>
      </c>
      <c r="D614" s="102" t="s">
        <v>2965</v>
      </c>
      <c r="E614" s="25" t="s">
        <v>122</v>
      </c>
      <c r="F614" s="25" t="s">
        <v>129</v>
      </c>
      <c r="G614" s="25" t="s">
        <v>42</v>
      </c>
      <c r="H614" s="49" t="s">
        <v>199</v>
      </c>
      <c r="I614" s="23"/>
      <c r="J614" s="136">
        <v>46364.0</v>
      </c>
      <c r="K614" s="30">
        <f>1313000*8</f>
        <v>10504000</v>
      </c>
      <c r="L614" s="49" t="s">
        <v>2966</v>
      </c>
      <c r="M614" s="50">
        <v>8.0</v>
      </c>
      <c r="N614" s="104" t="s">
        <v>2967</v>
      </c>
      <c r="O614" s="20"/>
      <c r="P614" s="20"/>
      <c r="Q614" s="20"/>
      <c r="R614" s="20"/>
      <c r="S614" s="20"/>
    </row>
    <row r="615">
      <c r="A615" s="76" t="s">
        <v>2968</v>
      </c>
      <c r="B615" s="97">
        <v>46093.0</v>
      </c>
      <c r="C615" s="76" t="s">
        <v>2969</v>
      </c>
      <c r="D615" s="99" t="s">
        <v>2970</v>
      </c>
      <c r="E615" s="25" t="s">
        <v>128</v>
      </c>
      <c r="F615" s="25" t="s">
        <v>18</v>
      </c>
      <c r="G615" s="25" t="s">
        <v>42</v>
      </c>
      <c r="H615" s="76" t="s">
        <v>123</v>
      </c>
      <c r="I615" s="76" t="s">
        <v>889</v>
      </c>
      <c r="J615" s="76">
        <v>2.0</v>
      </c>
      <c r="K615" s="19">
        <v>6128000.0</v>
      </c>
      <c r="L615" s="76" t="s">
        <v>2971</v>
      </c>
      <c r="M615" s="44">
        <v>8.0</v>
      </c>
      <c r="N615" s="45"/>
      <c r="O615" s="20"/>
      <c r="P615" s="20"/>
      <c r="Q615" s="20"/>
      <c r="R615" s="20"/>
      <c r="S615" s="20"/>
    </row>
    <row r="616">
      <c r="A616" s="49" t="s">
        <v>2972</v>
      </c>
      <c r="B616" s="110">
        <v>46094.0</v>
      </c>
      <c r="C616" s="49" t="s">
        <v>2973</v>
      </c>
      <c r="D616" s="102" t="s">
        <v>2974</v>
      </c>
      <c r="E616" s="25" t="s">
        <v>128</v>
      </c>
      <c r="F616" s="25" t="s">
        <v>18</v>
      </c>
      <c r="G616" s="25" t="s">
        <v>42</v>
      </c>
      <c r="H616" s="49" t="s">
        <v>758</v>
      </c>
      <c r="I616" s="101">
        <v>46104.0</v>
      </c>
      <c r="J616" s="49">
        <v>3.0</v>
      </c>
      <c r="K616" s="30">
        <f>750000*3</f>
        <v>2250000</v>
      </c>
      <c r="L616" s="49" t="s">
        <v>2975</v>
      </c>
      <c r="M616" s="50">
        <v>8.0</v>
      </c>
      <c r="N616" s="104" t="s">
        <v>2976</v>
      </c>
      <c r="O616" s="20"/>
      <c r="P616" s="20"/>
      <c r="Q616" s="20"/>
      <c r="R616" s="20"/>
      <c r="S616" s="20"/>
    </row>
    <row r="617">
      <c r="A617" s="76" t="s">
        <v>2977</v>
      </c>
      <c r="B617" s="97">
        <v>46094.0</v>
      </c>
      <c r="C617" s="76" t="s">
        <v>2978</v>
      </c>
      <c r="D617" s="99" t="s">
        <v>2979</v>
      </c>
      <c r="E617" s="25" t="s">
        <v>128</v>
      </c>
      <c r="F617" s="25" t="s">
        <v>18</v>
      </c>
      <c r="G617" s="25" t="s">
        <v>42</v>
      </c>
      <c r="H617" s="76" t="s">
        <v>1383</v>
      </c>
      <c r="I617" s="118">
        <v>46115.0</v>
      </c>
      <c r="J617" s="76">
        <v>4.0</v>
      </c>
      <c r="K617" s="19">
        <v>5400000.0</v>
      </c>
      <c r="L617" s="76" t="s">
        <v>2232</v>
      </c>
      <c r="M617" s="44">
        <v>8.0</v>
      </c>
      <c r="N617" s="86" t="s">
        <v>2980</v>
      </c>
      <c r="O617" s="20"/>
      <c r="P617" s="20"/>
      <c r="Q617" s="20"/>
      <c r="R617" s="20"/>
      <c r="S617" s="20"/>
    </row>
    <row r="618">
      <c r="A618" s="49" t="s">
        <v>2981</v>
      </c>
      <c r="B618" s="110">
        <v>46094.0</v>
      </c>
      <c r="C618" s="49" t="s">
        <v>2201</v>
      </c>
      <c r="D618" s="102" t="s">
        <v>2982</v>
      </c>
      <c r="E618" s="25" t="s">
        <v>128</v>
      </c>
      <c r="F618" s="25" t="s">
        <v>18</v>
      </c>
      <c r="G618" s="25" t="s">
        <v>19</v>
      </c>
      <c r="H618" s="49" t="s">
        <v>260</v>
      </c>
      <c r="I618" s="49" t="s">
        <v>2983</v>
      </c>
      <c r="J618" s="49">
        <v>1.0</v>
      </c>
      <c r="K618" s="36">
        <v>1600000.0</v>
      </c>
      <c r="L618" s="49" t="s">
        <v>108</v>
      </c>
      <c r="M618" s="50">
        <v>7.0</v>
      </c>
      <c r="N618" s="51"/>
      <c r="O618" s="20"/>
      <c r="P618" s="20"/>
      <c r="Q618" s="20"/>
      <c r="R618" s="20"/>
      <c r="S618" s="20"/>
    </row>
    <row r="619">
      <c r="A619" s="76" t="s">
        <v>2984</v>
      </c>
      <c r="B619" s="97">
        <v>46094.0</v>
      </c>
      <c r="C619" s="76" t="s">
        <v>2985</v>
      </c>
      <c r="D619" s="99" t="s">
        <v>2986</v>
      </c>
      <c r="E619" s="25" t="s">
        <v>128</v>
      </c>
      <c r="F619" s="25" t="s">
        <v>18</v>
      </c>
      <c r="G619" s="25" t="s">
        <v>42</v>
      </c>
      <c r="H619" s="76" t="s">
        <v>1033</v>
      </c>
      <c r="I619" s="76" t="s">
        <v>2987</v>
      </c>
      <c r="J619" s="76">
        <v>5.0</v>
      </c>
      <c r="K619" s="46"/>
      <c r="L619" s="76" t="s">
        <v>2988</v>
      </c>
      <c r="M619" s="44">
        <v>8.0</v>
      </c>
      <c r="N619" s="45"/>
      <c r="O619" s="20"/>
      <c r="P619" s="20"/>
      <c r="Q619" s="20"/>
      <c r="R619" s="20"/>
      <c r="S619" s="20"/>
    </row>
    <row r="620">
      <c r="A620" s="49" t="s">
        <v>2989</v>
      </c>
      <c r="B620" s="110">
        <v>46094.0</v>
      </c>
      <c r="C620" s="49" t="s">
        <v>2990</v>
      </c>
      <c r="D620" s="102" t="s">
        <v>2991</v>
      </c>
      <c r="E620" s="25" t="s">
        <v>122</v>
      </c>
      <c r="F620" s="25" t="s">
        <v>983</v>
      </c>
      <c r="G620" s="25" t="s">
        <v>42</v>
      </c>
      <c r="H620" s="49" t="s">
        <v>123</v>
      </c>
      <c r="I620" s="101">
        <v>46100.0</v>
      </c>
      <c r="J620" s="49">
        <v>4.0</v>
      </c>
      <c r="K620" s="36">
        <v>1.27E7</v>
      </c>
      <c r="L620" s="49" t="s">
        <v>1671</v>
      </c>
      <c r="M620" s="50">
        <v>8.0</v>
      </c>
      <c r="N620" s="51"/>
      <c r="O620" s="20"/>
      <c r="P620" s="20"/>
      <c r="Q620" s="20"/>
      <c r="R620" s="20"/>
      <c r="S620" s="20"/>
    </row>
    <row r="621">
      <c r="A621" s="76" t="s">
        <v>2992</v>
      </c>
      <c r="B621" s="97">
        <v>46094.0</v>
      </c>
      <c r="C621" s="76" t="s">
        <v>2993</v>
      </c>
      <c r="D621" s="99" t="s">
        <v>2994</v>
      </c>
      <c r="E621" s="25" t="s">
        <v>122</v>
      </c>
      <c r="F621" s="25" t="s">
        <v>983</v>
      </c>
      <c r="G621" s="25" t="s">
        <v>42</v>
      </c>
      <c r="H621" s="10"/>
      <c r="I621" s="10"/>
      <c r="J621" s="10"/>
      <c r="K621" s="46"/>
      <c r="L621" s="76" t="s">
        <v>2995</v>
      </c>
      <c r="M621" s="44">
        <v>8.0</v>
      </c>
      <c r="N621" s="45"/>
      <c r="O621" s="20"/>
      <c r="P621" s="20"/>
      <c r="Q621" s="20"/>
      <c r="R621" s="20"/>
      <c r="S621" s="20"/>
    </row>
    <row r="622">
      <c r="A622" s="49" t="s">
        <v>2996</v>
      </c>
      <c r="B622" s="110">
        <v>46094.0</v>
      </c>
      <c r="C622" s="49" t="s">
        <v>2997</v>
      </c>
      <c r="D622" s="102" t="s">
        <v>2998</v>
      </c>
      <c r="E622" s="25" t="s">
        <v>122</v>
      </c>
      <c r="F622" s="25" t="s">
        <v>983</v>
      </c>
      <c r="G622" s="25" t="s">
        <v>42</v>
      </c>
      <c r="H622" s="49" t="s">
        <v>2999</v>
      </c>
      <c r="I622" s="101">
        <v>46098.0</v>
      </c>
      <c r="J622" s="49" t="s">
        <v>3000</v>
      </c>
      <c r="K622" s="30"/>
      <c r="L622" s="49" t="s">
        <v>3001</v>
      </c>
      <c r="M622" s="50">
        <v>8.0</v>
      </c>
      <c r="N622" s="51"/>
      <c r="O622" s="20"/>
      <c r="P622" s="20"/>
      <c r="Q622" s="20"/>
      <c r="R622" s="20"/>
      <c r="S622" s="20"/>
    </row>
    <row r="623">
      <c r="A623" s="76" t="s">
        <v>3002</v>
      </c>
      <c r="B623" s="97">
        <v>46094.0</v>
      </c>
      <c r="C623" s="76" t="s">
        <v>3003</v>
      </c>
      <c r="D623" s="99" t="s">
        <v>3004</v>
      </c>
      <c r="E623" s="25" t="s">
        <v>128</v>
      </c>
      <c r="F623" s="25" t="s">
        <v>129</v>
      </c>
      <c r="G623" s="25" t="s">
        <v>19</v>
      </c>
      <c r="H623" s="76" t="s">
        <v>2906</v>
      </c>
      <c r="I623" s="76" t="s">
        <v>1199</v>
      </c>
      <c r="J623" s="76">
        <v>4.0</v>
      </c>
      <c r="K623" s="46">
        <f>547000*4</f>
        <v>2188000</v>
      </c>
      <c r="L623" s="76" t="s">
        <v>3005</v>
      </c>
      <c r="M623" s="44">
        <v>7.0</v>
      </c>
      <c r="N623" s="105" t="s">
        <v>3006</v>
      </c>
      <c r="O623" s="20"/>
      <c r="P623" s="20"/>
      <c r="Q623" s="20"/>
      <c r="R623" s="20"/>
      <c r="S623" s="20"/>
    </row>
    <row r="624">
      <c r="A624" s="49" t="s">
        <v>3007</v>
      </c>
      <c r="B624" s="110">
        <v>46095.0</v>
      </c>
      <c r="C624" s="49" t="s">
        <v>3008</v>
      </c>
      <c r="D624" s="102" t="s">
        <v>3009</v>
      </c>
      <c r="E624" s="25" t="s">
        <v>128</v>
      </c>
      <c r="F624" s="25" t="s">
        <v>129</v>
      </c>
      <c r="G624" s="25" t="s">
        <v>19</v>
      </c>
      <c r="H624" s="49" t="s">
        <v>3010</v>
      </c>
      <c r="I624" s="101">
        <v>46115.0</v>
      </c>
      <c r="J624" s="49">
        <v>4.0</v>
      </c>
      <c r="K624" s="36">
        <v>2000000.0</v>
      </c>
      <c r="L624" s="137" t="s">
        <v>3011</v>
      </c>
      <c r="M624" s="50">
        <v>7.0</v>
      </c>
      <c r="N624" s="115" t="s">
        <v>3012</v>
      </c>
      <c r="O624" s="20"/>
      <c r="P624" s="20"/>
      <c r="Q624" s="20"/>
      <c r="R624" s="20"/>
      <c r="S624" s="20"/>
    </row>
    <row r="625">
      <c r="A625" s="76" t="s">
        <v>3013</v>
      </c>
      <c r="B625" s="97">
        <v>46095.0</v>
      </c>
      <c r="C625" s="76" t="s">
        <v>3014</v>
      </c>
      <c r="D625" s="99" t="s">
        <v>3015</v>
      </c>
      <c r="E625" s="25" t="s">
        <v>128</v>
      </c>
      <c r="F625" s="25" t="s">
        <v>129</v>
      </c>
      <c r="G625" s="25" t="s">
        <v>42</v>
      </c>
      <c r="H625" s="76" t="s">
        <v>3016</v>
      </c>
      <c r="I625" s="10"/>
      <c r="J625" s="76">
        <v>2.0</v>
      </c>
      <c r="K625" s="46"/>
      <c r="L625" s="76" t="s">
        <v>3017</v>
      </c>
      <c r="M625" s="44">
        <v>8.0</v>
      </c>
      <c r="N625" s="105" t="s">
        <v>3018</v>
      </c>
      <c r="O625" s="20"/>
      <c r="P625" s="20"/>
      <c r="Q625" s="20"/>
      <c r="R625" s="20"/>
      <c r="S625" s="20"/>
    </row>
    <row r="626">
      <c r="A626" s="49" t="s">
        <v>3019</v>
      </c>
      <c r="B626" s="110">
        <v>46095.0</v>
      </c>
      <c r="C626" s="49" t="s">
        <v>3020</v>
      </c>
      <c r="D626" s="102" t="s">
        <v>3021</v>
      </c>
      <c r="E626" s="25" t="s">
        <v>122</v>
      </c>
      <c r="F626" s="25" t="s">
        <v>983</v>
      </c>
      <c r="G626" s="25" t="s">
        <v>43</v>
      </c>
      <c r="H626" s="49" t="s">
        <v>123</v>
      </c>
      <c r="I626" s="49" t="s">
        <v>2028</v>
      </c>
      <c r="J626" s="49">
        <v>140.0</v>
      </c>
      <c r="K626" s="30">
        <f>4500000*140</f>
        <v>630000000</v>
      </c>
      <c r="L626" s="49" t="s">
        <v>3022</v>
      </c>
      <c r="M626" s="50">
        <v>3.0</v>
      </c>
      <c r="N626" s="51"/>
      <c r="O626" s="20"/>
      <c r="P626" s="20"/>
      <c r="Q626" s="20"/>
      <c r="R626" s="20"/>
      <c r="S626" s="20"/>
    </row>
    <row r="627">
      <c r="A627" s="76" t="s">
        <v>3023</v>
      </c>
      <c r="B627" s="97">
        <v>45938.0</v>
      </c>
      <c r="C627" s="76" t="s">
        <v>3024</v>
      </c>
      <c r="D627" s="99" t="s">
        <v>3025</v>
      </c>
      <c r="E627" s="25" t="s">
        <v>128</v>
      </c>
      <c r="F627" s="25" t="s">
        <v>129</v>
      </c>
      <c r="G627" s="25" t="s">
        <v>19</v>
      </c>
      <c r="H627" s="76" t="s">
        <v>3026</v>
      </c>
      <c r="I627" s="76" t="s">
        <v>3027</v>
      </c>
      <c r="J627" s="76">
        <v>9.0</v>
      </c>
      <c r="K627" s="19">
        <v>1.71E7</v>
      </c>
      <c r="L627" s="76" t="s">
        <v>2648</v>
      </c>
      <c r="M627" s="44">
        <v>7.0</v>
      </c>
      <c r="N627" s="105" t="s">
        <v>3028</v>
      </c>
      <c r="O627" s="20"/>
      <c r="P627" s="20"/>
      <c r="Q627" s="20"/>
      <c r="R627" s="20"/>
      <c r="S627" s="20"/>
    </row>
    <row r="628">
      <c r="A628" s="49" t="s">
        <v>3029</v>
      </c>
      <c r="B628" s="110">
        <v>46095.0</v>
      </c>
      <c r="C628" s="49" t="s">
        <v>3030</v>
      </c>
      <c r="D628" s="102" t="s">
        <v>3031</v>
      </c>
      <c r="E628" s="25" t="s">
        <v>17</v>
      </c>
      <c r="F628" s="25" t="s">
        <v>129</v>
      </c>
      <c r="G628" s="25" t="s">
        <v>19</v>
      </c>
      <c r="H628" s="49" t="s">
        <v>3032</v>
      </c>
      <c r="I628" s="49" t="s">
        <v>2273</v>
      </c>
      <c r="J628" s="49">
        <v>2.0</v>
      </c>
      <c r="K628" s="30"/>
      <c r="L628" s="49" t="s">
        <v>3011</v>
      </c>
      <c r="M628" s="50">
        <v>7.0</v>
      </c>
      <c r="N628" s="115" t="s">
        <v>3033</v>
      </c>
      <c r="O628" s="20"/>
      <c r="P628" s="20"/>
      <c r="Q628" s="20"/>
      <c r="R628" s="20"/>
      <c r="S628" s="20"/>
    </row>
    <row r="629">
      <c r="A629" s="76" t="s">
        <v>3034</v>
      </c>
      <c r="B629" s="97">
        <v>46095.0</v>
      </c>
      <c r="C629" s="76" t="s">
        <v>3035</v>
      </c>
      <c r="D629" s="99" t="s">
        <v>3036</v>
      </c>
      <c r="E629" s="25" t="s">
        <v>17</v>
      </c>
      <c r="F629" s="25" t="s">
        <v>18</v>
      </c>
      <c r="G629" s="25" t="s">
        <v>19</v>
      </c>
      <c r="H629" s="76" t="s">
        <v>3037</v>
      </c>
      <c r="I629" s="76" t="s">
        <v>3038</v>
      </c>
      <c r="J629" s="76">
        <v>5.0</v>
      </c>
      <c r="K629" s="46">
        <f>900000*5</f>
        <v>4500000</v>
      </c>
      <c r="L629" s="76" t="s">
        <v>2807</v>
      </c>
      <c r="M629" s="44">
        <v>7.0</v>
      </c>
      <c r="N629" s="45"/>
      <c r="O629" s="20"/>
      <c r="P629" s="20"/>
      <c r="Q629" s="20"/>
      <c r="R629" s="20"/>
      <c r="S629" s="20"/>
    </row>
    <row r="630">
      <c r="A630" s="49" t="s">
        <v>3039</v>
      </c>
      <c r="B630" s="110">
        <v>46094.0</v>
      </c>
      <c r="C630" s="49" t="s">
        <v>3040</v>
      </c>
      <c r="D630" s="102" t="s">
        <v>3041</v>
      </c>
      <c r="E630" s="25" t="s">
        <v>17</v>
      </c>
      <c r="F630" s="25" t="s">
        <v>18</v>
      </c>
      <c r="G630" s="25" t="s">
        <v>42</v>
      </c>
      <c r="H630" s="49" t="s">
        <v>3042</v>
      </c>
      <c r="I630" s="23"/>
      <c r="J630" s="23"/>
      <c r="K630" s="30"/>
      <c r="L630" s="49" t="s">
        <v>2941</v>
      </c>
      <c r="M630" s="50">
        <v>8.0</v>
      </c>
      <c r="N630" s="51"/>
      <c r="O630" s="20"/>
      <c r="P630" s="20"/>
      <c r="Q630" s="20"/>
      <c r="R630" s="20"/>
      <c r="S630" s="20"/>
    </row>
    <row r="631">
      <c r="A631" s="76" t="s">
        <v>3043</v>
      </c>
      <c r="B631" s="97">
        <v>46095.0</v>
      </c>
      <c r="C631" s="76" t="s">
        <v>3044</v>
      </c>
      <c r="D631" s="99" t="s">
        <v>3045</v>
      </c>
      <c r="E631" s="25" t="s">
        <v>128</v>
      </c>
      <c r="F631" s="25" t="s">
        <v>129</v>
      </c>
      <c r="G631" s="25" t="s">
        <v>42</v>
      </c>
      <c r="H631" s="76" t="s">
        <v>3046</v>
      </c>
      <c r="I631" s="118">
        <v>46169.0</v>
      </c>
      <c r="J631" s="76">
        <v>11.0</v>
      </c>
      <c r="K631" s="46">
        <f>1700000*11</f>
        <v>18700000</v>
      </c>
      <c r="L631" s="76" t="s">
        <v>3047</v>
      </c>
      <c r="M631" s="44">
        <v>8.0</v>
      </c>
      <c r="N631" s="105" t="s">
        <v>3048</v>
      </c>
      <c r="O631" s="20"/>
      <c r="P631" s="20"/>
      <c r="Q631" s="20"/>
      <c r="R631" s="20"/>
      <c r="S631" s="20"/>
    </row>
    <row r="632">
      <c r="A632" s="49" t="s">
        <v>3049</v>
      </c>
      <c r="B632" s="110">
        <v>46095.0</v>
      </c>
      <c r="C632" s="49" t="s">
        <v>3050</v>
      </c>
      <c r="D632" s="102" t="s">
        <v>3051</v>
      </c>
      <c r="E632" s="25" t="s">
        <v>122</v>
      </c>
      <c r="F632" s="25" t="s">
        <v>983</v>
      </c>
      <c r="G632" s="25" t="s">
        <v>42</v>
      </c>
      <c r="H632" s="49" t="s">
        <v>523</v>
      </c>
      <c r="I632" s="49" t="s">
        <v>3052</v>
      </c>
      <c r="J632" s="49">
        <v>3.0</v>
      </c>
      <c r="K632" s="36">
        <v>8315000.0</v>
      </c>
      <c r="L632" s="49" t="s">
        <v>3053</v>
      </c>
      <c r="M632" s="50">
        <v>8.0</v>
      </c>
      <c r="N632" s="104" t="s">
        <v>3054</v>
      </c>
      <c r="O632" s="20"/>
      <c r="P632" s="20"/>
      <c r="Q632" s="20"/>
      <c r="R632" s="20"/>
      <c r="S632" s="20"/>
    </row>
    <row r="633">
      <c r="A633" s="76" t="s">
        <v>3055</v>
      </c>
      <c r="B633" s="97">
        <v>46095.0</v>
      </c>
      <c r="C633" s="76" t="s">
        <v>2595</v>
      </c>
      <c r="D633" s="99" t="s">
        <v>3056</v>
      </c>
      <c r="E633" s="25" t="s">
        <v>122</v>
      </c>
      <c r="F633" s="25" t="s">
        <v>983</v>
      </c>
      <c r="G633" s="25" t="s">
        <v>42</v>
      </c>
      <c r="H633" s="76" t="s">
        <v>462</v>
      </c>
      <c r="I633" s="118">
        <v>46104.0</v>
      </c>
      <c r="J633" s="76">
        <v>4.0</v>
      </c>
      <c r="K633" s="19">
        <v>7148000.0</v>
      </c>
      <c r="L633" s="76" t="s">
        <v>3057</v>
      </c>
      <c r="M633" s="44">
        <v>8.0</v>
      </c>
      <c r="N633" s="45"/>
      <c r="O633" s="20"/>
      <c r="P633" s="20"/>
      <c r="Q633" s="20"/>
      <c r="R633" s="20"/>
      <c r="S633" s="20"/>
    </row>
    <row r="634">
      <c r="A634" s="49" t="s">
        <v>3058</v>
      </c>
      <c r="B634" s="110">
        <v>46095.0</v>
      </c>
      <c r="C634" s="49" t="s">
        <v>3059</v>
      </c>
      <c r="D634" s="102" t="s">
        <v>3060</v>
      </c>
      <c r="E634" s="25" t="s">
        <v>128</v>
      </c>
      <c r="F634" s="25" t="s">
        <v>18</v>
      </c>
      <c r="G634" s="25" t="s">
        <v>42</v>
      </c>
      <c r="H634" s="49" t="s">
        <v>86</v>
      </c>
      <c r="I634" s="49" t="s">
        <v>2302</v>
      </c>
      <c r="J634" s="49">
        <v>5.0</v>
      </c>
      <c r="K634" s="36">
        <v>4750000.0</v>
      </c>
      <c r="L634" s="23"/>
      <c r="M634" s="50">
        <v>8.0</v>
      </c>
      <c r="N634" s="51"/>
      <c r="O634" s="20"/>
      <c r="P634" s="20"/>
      <c r="Q634" s="20"/>
      <c r="R634" s="20"/>
      <c r="S634" s="20"/>
    </row>
    <row r="635">
      <c r="A635" s="76" t="s">
        <v>3061</v>
      </c>
      <c r="B635" s="97">
        <v>46095.0</v>
      </c>
      <c r="C635" s="76" t="s">
        <v>3062</v>
      </c>
      <c r="D635" s="99" t="s">
        <v>3063</v>
      </c>
      <c r="E635" s="25" t="s">
        <v>128</v>
      </c>
      <c r="F635" s="25" t="s">
        <v>129</v>
      </c>
      <c r="G635" s="25" t="s">
        <v>42</v>
      </c>
      <c r="H635" s="10"/>
      <c r="I635" s="10"/>
      <c r="J635" s="10"/>
      <c r="K635" s="46"/>
      <c r="L635" s="76" t="s">
        <v>3064</v>
      </c>
      <c r="M635" s="44">
        <v>8.0</v>
      </c>
      <c r="N635" s="105" t="s">
        <v>3065</v>
      </c>
      <c r="O635" s="20"/>
      <c r="P635" s="20"/>
      <c r="Q635" s="20"/>
      <c r="R635" s="20"/>
      <c r="S635" s="20"/>
    </row>
    <row r="636">
      <c r="A636" s="49" t="s">
        <v>3066</v>
      </c>
      <c r="B636" s="110">
        <v>46096.0</v>
      </c>
      <c r="C636" s="49" t="s">
        <v>2064</v>
      </c>
      <c r="D636" s="102" t="s">
        <v>3067</v>
      </c>
      <c r="E636" s="25" t="s">
        <v>128</v>
      </c>
      <c r="F636" s="25" t="s">
        <v>129</v>
      </c>
      <c r="G636" s="25" t="s">
        <v>42</v>
      </c>
      <c r="H636" s="49" t="s">
        <v>3068</v>
      </c>
      <c r="I636" s="101">
        <v>46105.0</v>
      </c>
      <c r="J636" s="49">
        <v>2.0</v>
      </c>
      <c r="K636" s="30">
        <f>1140100*2</f>
        <v>2280200</v>
      </c>
      <c r="L636" s="49" t="s">
        <v>3069</v>
      </c>
      <c r="M636" s="50">
        <v>8.0</v>
      </c>
      <c r="N636" s="51"/>
      <c r="O636" s="20"/>
      <c r="P636" s="20"/>
      <c r="Q636" s="20"/>
      <c r="R636" s="20"/>
      <c r="S636" s="20"/>
    </row>
    <row r="637">
      <c r="A637" s="76" t="s">
        <v>3070</v>
      </c>
      <c r="B637" s="97">
        <v>46096.0</v>
      </c>
      <c r="C637" s="76" t="s">
        <v>3071</v>
      </c>
      <c r="D637" s="99" t="s">
        <v>3072</v>
      </c>
      <c r="E637" s="25" t="s">
        <v>122</v>
      </c>
      <c r="F637" s="25" t="s">
        <v>983</v>
      </c>
      <c r="G637" s="25" t="s">
        <v>42</v>
      </c>
      <c r="H637" s="76" t="s">
        <v>673</v>
      </c>
      <c r="I637" s="76" t="s">
        <v>3073</v>
      </c>
      <c r="J637" s="76">
        <v>2.0</v>
      </c>
      <c r="K637" s="46"/>
      <c r="L637" s="76" t="s">
        <v>1200</v>
      </c>
      <c r="M637" s="44">
        <v>8.0</v>
      </c>
      <c r="N637" s="45"/>
      <c r="O637" s="20"/>
      <c r="P637" s="20"/>
      <c r="Q637" s="20"/>
      <c r="R637" s="20"/>
      <c r="S637" s="20"/>
    </row>
    <row r="638">
      <c r="A638" s="49" t="s">
        <v>3074</v>
      </c>
      <c r="B638" s="135">
        <v>46096.0</v>
      </c>
      <c r="C638" s="49" t="s">
        <v>3075</v>
      </c>
      <c r="D638" s="102" t="s">
        <v>3076</v>
      </c>
      <c r="E638" s="25" t="s">
        <v>128</v>
      </c>
      <c r="F638" s="25" t="s">
        <v>129</v>
      </c>
      <c r="G638" s="25" t="s">
        <v>42</v>
      </c>
      <c r="H638" s="49" t="s">
        <v>3077</v>
      </c>
      <c r="I638" s="23"/>
      <c r="J638" s="49">
        <v>7.0</v>
      </c>
      <c r="K638" s="30"/>
      <c r="L638" s="49" t="s">
        <v>3078</v>
      </c>
      <c r="M638" s="50">
        <v>8.0</v>
      </c>
      <c r="N638" s="115" t="s">
        <v>3079</v>
      </c>
      <c r="O638" s="20"/>
      <c r="P638" s="20"/>
      <c r="Q638" s="20"/>
      <c r="R638" s="20"/>
      <c r="S638" s="20"/>
    </row>
    <row r="639">
      <c r="A639" s="76" t="s">
        <v>3080</v>
      </c>
      <c r="B639" s="97">
        <v>46096.0</v>
      </c>
      <c r="C639" s="76" t="s">
        <v>3081</v>
      </c>
      <c r="D639" s="99" t="s">
        <v>3082</v>
      </c>
      <c r="E639" s="25" t="s">
        <v>128</v>
      </c>
      <c r="F639" s="25" t="s">
        <v>18</v>
      </c>
      <c r="G639" s="25" t="s">
        <v>42</v>
      </c>
      <c r="H639" s="76" t="s">
        <v>3083</v>
      </c>
      <c r="I639" s="118">
        <v>46105.0</v>
      </c>
      <c r="J639" s="76">
        <v>2.0</v>
      </c>
      <c r="K639" s="46"/>
      <c r="L639" s="10"/>
      <c r="M639" s="44">
        <v>8.0</v>
      </c>
      <c r="N639" s="45"/>
      <c r="O639" s="20"/>
      <c r="P639" s="20"/>
      <c r="Q639" s="20"/>
      <c r="R639" s="20"/>
      <c r="S639" s="20"/>
    </row>
    <row r="640">
      <c r="A640" s="49" t="s">
        <v>3084</v>
      </c>
      <c r="B640" s="110">
        <v>46096.0</v>
      </c>
      <c r="C640" s="49" t="s">
        <v>3085</v>
      </c>
      <c r="D640" s="102" t="s">
        <v>3086</v>
      </c>
      <c r="E640" s="25" t="s">
        <v>128</v>
      </c>
      <c r="F640" s="25" t="s">
        <v>18</v>
      </c>
      <c r="G640" s="25" t="s">
        <v>42</v>
      </c>
      <c r="H640" s="49" t="s">
        <v>3087</v>
      </c>
      <c r="I640" s="49" t="s">
        <v>3088</v>
      </c>
      <c r="J640" s="49">
        <v>6.0</v>
      </c>
      <c r="K640" s="36">
        <v>1.4781E7</v>
      </c>
      <c r="L640" s="23"/>
      <c r="M640" s="50">
        <v>8.0</v>
      </c>
      <c r="N640" s="104" t="s">
        <v>3089</v>
      </c>
      <c r="O640" s="20"/>
      <c r="P640" s="20"/>
      <c r="Q640" s="20"/>
      <c r="R640" s="20"/>
      <c r="S640" s="20"/>
    </row>
    <row r="641">
      <c r="A641" s="76" t="s">
        <v>3090</v>
      </c>
      <c r="B641" s="97">
        <v>46096.0</v>
      </c>
      <c r="C641" s="76" t="s">
        <v>3091</v>
      </c>
      <c r="D641" s="99" t="s">
        <v>3092</v>
      </c>
      <c r="E641" s="25" t="s">
        <v>128</v>
      </c>
      <c r="F641" s="25" t="s">
        <v>18</v>
      </c>
      <c r="G641" s="25" t="s">
        <v>42</v>
      </c>
      <c r="H641" s="76" t="s">
        <v>1383</v>
      </c>
      <c r="I641" s="76" t="s">
        <v>3093</v>
      </c>
      <c r="J641" s="76">
        <v>2.0</v>
      </c>
      <c r="K641" s="19">
        <v>5400000.0</v>
      </c>
      <c r="L641" s="76" t="s">
        <v>3094</v>
      </c>
      <c r="M641" s="44">
        <v>8.0</v>
      </c>
      <c r="N641" s="45"/>
      <c r="O641" s="20"/>
      <c r="P641" s="20"/>
      <c r="Q641" s="20"/>
      <c r="R641" s="20"/>
      <c r="S641" s="20"/>
    </row>
    <row r="642">
      <c r="A642" s="49" t="s">
        <v>3095</v>
      </c>
      <c r="B642" s="110">
        <v>46096.0</v>
      </c>
      <c r="C642" s="49" t="s">
        <v>2777</v>
      </c>
      <c r="D642" s="102" t="s">
        <v>3096</v>
      </c>
      <c r="E642" s="25" t="s">
        <v>122</v>
      </c>
      <c r="F642" s="25" t="s">
        <v>983</v>
      </c>
      <c r="G642" s="25" t="s">
        <v>42</v>
      </c>
      <c r="H642" s="49" t="s">
        <v>116</v>
      </c>
      <c r="I642" s="49" t="s">
        <v>3097</v>
      </c>
      <c r="J642" s="49">
        <v>3.0</v>
      </c>
      <c r="K642" s="36">
        <v>7002000.0</v>
      </c>
      <c r="L642" s="49" t="s">
        <v>3098</v>
      </c>
      <c r="M642" s="50">
        <v>8.0</v>
      </c>
      <c r="N642" s="104" t="s">
        <v>3099</v>
      </c>
      <c r="O642" s="20"/>
      <c r="P642" s="20"/>
      <c r="Q642" s="20"/>
      <c r="R642" s="20"/>
      <c r="S642" s="20"/>
    </row>
    <row r="643">
      <c r="A643" s="76" t="s">
        <v>3100</v>
      </c>
      <c r="B643" s="97">
        <v>46097.0</v>
      </c>
      <c r="C643" s="76" t="s">
        <v>3101</v>
      </c>
      <c r="D643" s="99" t="s">
        <v>3102</v>
      </c>
      <c r="E643" s="25" t="s">
        <v>869</v>
      </c>
      <c r="F643" s="25" t="s">
        <v>129</v>
      </c>
      <c r="G643" s="25" t="s">
        <v>19</v>
      </c>
      <c r="H643" s="76" t="s">
        <v>3103</v>
      </c>
      <c r="I643" s="10"/>
      <c r="J643" s="10"/>
      <c r="K643" s="46"/>
      <c r="L643" s="76" t="s">
        <v>3104</v>
      </c>
      <c r="M643" s="44">
        <v>7.0</v>
      </c>
      <c r="N643" s="45"/>
      <c r="O643" s="20"/>
      <c r="P643" s="20"/>
      <c r="Q643" s="20"/>
      <c r="R643" s="20"/>
      <c r="S643" s="20"/>
    </row>
    <row r="644">
      <c r="A644" s="49" t="s">
        <v>3105</v>
      </c>
      <c r="B644" s="110">
        <v>46097.0</v>
      </c>
      <c r="C644" s="49" t="s">
        <v>3106</v>
      </c>
      <c r="D644" s="102" t="s">
        <v>3107</v>
      </c>
      <c r="E644" s="25" t="s">
        <v>128</v>
      </c>
      <c r="F644" s="25" t="s">
        <v>129</v>
      </c>
      <c r="G644" s="25" t="s">
        <v>42</v>
      </c>
      <c r="H644" s="49" t="s">
        <v>3108</v>
      </c>
      <c r="I644" s="49" t="s">
        <v>3109</v>
      </c>
      <c r="J644" s="49">
        <v>2.0</v>
      </c>
      <c r="K644" s="30"/>
      <c r="L644" s="49" t="s">
        <v>2240</v>
      </c>
      <c r="M644" s="50">
        <v>8.0</v>
      </c>
      <c r="N644" s="51"/>
      <c r="O644" s="20"/>
      <c r="P644" s="20"/>
      <c r="Q644" s="20"/>
      <c r="R644" s="20"/>
      <c r="S644" s="20"/>
    </row>
    <row r="645">
      <c r="A645" s="76" t="s">
        <v>3110</v>
      </c>
      <c r="B645" s="97">
        <v>46097.0</v>
      </c>
      <c r="C645" s="76" t="s">
        <v>3111</v>
      </c>
      <c r="D645" s="99" t="s">
        <v>3112</v>
      </c>
      <c r="E645" s="25" t="s">
        <v>122</v>
      </c>
      <c r="F645" s="25" t="s">
        <v>983</v>
      </c>
      <c r="G645" s="25" t="s">
        <v>19</v>
      </c>
      <c r="H645" s="76" t="s">
        <v>123</v>
      </c>
      <c r="I645" s="10"/>
      <c r="J645" s="76">
        <v>8.0</v>
      </c>
      <c r="K645" s="19">
        <v>1.42E7</v>
      </c>
      <c r="L645" s="76" t="s">
        <v>3113</v>
      </c>
      <c r="M645" s="44">
        <v>7.0</v>
      </c>
      <c r="N645" s="45"/>
      <c r="O645" s="20"/>
      <c r="P645" s="20"/>
      <c r="Q645" s="20"/>
      <c r="R645" s="20"/>
      <c r="S645" s="20"/>
    </row>
    <row r="646">
      <c r="A646" s="49" t="s">
        <v>3114</v>
      </c>
      <c r="B646" s="110">
        <v>46097.0</v>
      </c>
      <c r="C646" s="49" t="s">
        <v>3115</v>
      </c>
      <c r="D646" s="102" t="s">
        <v>3116</v>
      </c>
      <c r="E646" s="25" t="s">
        <v>128</v>
      </c>
      <c r="F646" s="25" t="s">
        <v>129</v>
      </c>
      <c r="G646" s="25" t="s">
        <v>42</v>
      </c>
      <c r="H646" s="49" t="s">
        <v>123</v>
      </c>
      <c r="I646" s="49" t="s">
        <v>3117</v>
      </c>
      <c r="J646" s="49">
        <v>2.0</v>
      </c>
      <c r="K646" s="30">
        <f>2050000*2</f>
        <v>4100000</v>
      </c>
      <c r="L646" s="49" t="s">
        <v>3118</v>
      </c>
      <c r="M646" s="50">
        <v>8.0</v>
      </c>
      <c r="N646" s="51"/>
      <c r="O646" s="20"/>
      <c r="P646" s="20"/>
      <c r="Q646" s="20"/>
      <c r="R646" s="20"/>
      <c r="S646" s="20"/>
    </row>
    <row r="647">
      <c r="A647" s="76" t="s">
        <v>3119</v>
      </c>
      <c r="B647" s="97">
        <v>46096.0</v>
      </c>
      <c r="C647" s="76" t="s">
        <v>3120</v>
      </c>
      <c r="D647" s="99" t="s">
        <v>3121</v>
      </c>
      <c r="E647" s="25" t="s">
        <v>128</v>
      </c>
      <c r="F647" s="25" t="s">
        <v>18</v>
      </c>
      <c r="G647" s="25" t="s">
        <v>42</v>
      </c>
      <c r="H647" s="76" t="s">
        <v>3122</v>
      </c>
      <c r="I647" s="10"/>
      <c r="J647" s="76">
        <v>20.0</v>
      </c>
      <c r="K647" s="46"/>
      <c r="L647" s="76" t="s">
        <v>3123</v>
      </c>
      <c r="M647" s="44">
        <v>8.0</v>
      </c>
      <c r="N647" s="86" t="s">
        <v>3124</v>
      </c>
      <c r="O647" s="20"/>
      <c r="P647" s="20"/>
      <c r="Q647" s="20"/>
      <c r="R647" s="20"/>
      <c r="S647" s="20"/>
    </row>
    <row r="648">
      <c r="A648" s="49" t="s">
        <v>3125</v>
      </c>
      <c r="B648" s="110">
        <v>46096.0</v>
      </c>
      <c r="C648" s="49" t="s">
        <v>3126</v>
      </c>
      <c r="D648" s="102" t="s">
        <v>3127</v>
      </c>
      <c r="E648" s="25" t="s">
        <v>128</v>
      </c>
      <c r="F648" s="25" t="s">
        <v>18</v>
      </c>
      <c r="G648" s="25" t="s">
        <v>42</v>
      </c>
      <c r="H648" s="49" t="s">
        <v>1033</v>
      </c>
      <c r="I648" s="101">
        <v>46108.0</v>
      </c>
      <c r="J648" s="49">
        <v>10.0</v>
      </c>
      <c r="K648" s="30"/>
      <c r="L648" s="49" t="s">
        <v>3128</v>
      </c>
      <c r="M648" s="50">
        <v>8.0</v>
      </c>
      <c r="N648" s="51"/>
      <c r="O648" s="20"/>
      <c r="P648" s="20"/>
      <c r="Q648" s="20"/>
      <c r="R648" s="20"/>
      <c r="S648" s="20"/>
    </row>
    <row r="649">
      <c r="A649" s="76" t="s">
        <v>3129</v>
      </c>
      <c r="B649" s="97">
        <v>46097.0</v>
      </c>
      <c r="C649" s="76" t="s">
        <v>3130</v>
      </c>
      <c r="D649" s="99" t="s">
        <v>3131</v>
      </c>
      <c r="E649" s="25" t="s">
        <v>128</v>
      </c>
      <c r="F649" s="25" t="s">
        <v>18</v>
      </c>
      <c r="G649" s="25" t="s">
        <v>42</v>
      </c>
      <c r="H649" s="76" t="s">
        <v>199</v>
      </c>
      <c r="I649" s="76" t="s">
        <v>3132</v>
      </c>
      <c r="J649" s="76">
        <v>4.0</v>
      </c>
      <c r="K649" s="19">
        <v>6808000.0</v>
      </c>
      <c r="L649" s="76" t="s">
        <v>3133</v>
      </c>
      <c r="M649" s="44">
        <v>8.0</v>
      </c>
      <c r="N649" s="86" t="s">
        <v>3134</v>
      </c>
      <c r="O649" s="20"/>
      <c r="P649" s="20"/>
      <c r="Q649" s="20"/>
      <c r="R649" s="20"/>
      <c r="S649" s="20"/>
    </row>
    <row r="650">
      <c r="A650" s="49" t="s">
        <v>3135</v>
      </c>
      <c r="B650" s="110">
        <v>46097.0</v>
      </c>
      <c r="C650" s="49" t="s">
        <v>3136</v>
      </c>
      <c r="D650" s="102" t="s">
        <v>3137</v>
      </c>
      <c r="E650" s="25" t="s">
        <v>128</v>
      </c>
      <c r="F650" s="25" t="s">
        <v>18</v>
      </c>
      <c r="G650" s="25" t="s">
        <v>19</v>
      </c>
      <c r="H650" s="49" t="s">
        <v>823</v>
      </c>
      <c r="I650" s="101">
        <v>46109.0</v>
      </c>
      <c r="J650" s="49">
        <v>4.0</v>
      </c>
      <c r="K650" s="36">
        <v>2560000.0</v>
      </c>
      <c r="L650" s="76" t="s">
        <v>3113</v>
      </c>
      <c r="M650" s="50">
        <v>7.0</v>
      </c>
      <c r="N650" s="51"/>
      <c r="O650" s="20"/>
      <c r="P650" s="20"/>
      <c r="Q650" s="20"/>
      <c r="R650" s="20"/>
      <c r="S650" s="20"/>
    </row>
    <row r="651">
      <c r="A651" s="76" t="s">
        <v>3138</v>
      </c>
      <c r="B651" s="97">
        <v>46097.0</v>
      </c>
      <c r="C651" s="76" t="s">
        <v>3139</v>
      </c>
      <c r="D651" s="99" t="s">
        <v>3140</v>
      </c>
      <c r="E651" s="25" t="s">
        <v>128</v>
      </c>
      <c r="F651" s="25" t="s">
        <v>18</v>
      </c>
      <c r="G651" s="25" t="s">
        <v>42</v>
      </c>
      <c r="H651" s="76" t="s">
        <v>3141</v>
      </c>
      <c r="I651" s="139">
        <v>46097.0</v>
      </c>
      <c r="J651" s="76">
        <v>1.0</v>
      </c>
      <c r="K651" s="19">
        <v>500000.0</v>
      </c>
      <c r="L651" s="10"/>
      <c r="M651" s="44">
        <v>8.0</v>
      </c>
      <c r="N651" s="45"/>
      <c r="O651" s="20"/>
      <c r="P651" s="20"/>
      <c r="Q651" s="20"/>
      <c r="R651" s="20"/>
      <c r="S651" s="20"/>
    </row>
    <row r="652">
      <c r="A652" s="49" t="s">
        <v>3142</v>
      </c>
      <c r="B652" s="97">
        <v>46097.0</v>
      </c>
      <c r="C652" s="49" t="s">
        <v>3143</v>
      </c>
      <c r="D652" s="102" t="s">
        <v>3144</v>
      </c>
      <c r="E652" s="25" t="s">
        <v>128</v>
      </c>
      <c r="F652" s="25" t="s">
        <v>18</v>
      </c>
      <c r="G652" s="25" t="s">
        <v>42</v>
      </c>
      <c r="H652" s="49" t="s">
        <v>3145</v>
      </c>
      <c r="I652" s="49" t="s">
        <v>3146</v>
      </c>
      <c r="J652" s="49">
        <v>55.0</v>
      </c>
      <c r="K652" s="36">
        <v>7.975E7</v>
      </c>
      <c r="L652" s="49" t="s">
        <v>3147</v>
      </c>
      <c r="M652" s="50">
        <v>8.0</v>
      </c>
      <c r="N652" s="104" t="s">
        <v>3148</v>
      </c>
      <c r="O652" s="20"/>
      <c r="P652" s="20"/>
      <c r="Q652" s="20"/>
      <c r="R652" s="20"/>
      <c r="S652" s="20"/>
    </row>
    <row r="653">
      <c r="A653" s="76" t="s">
        <v>3149</v>
      </c>
      <c r="B653" s="97">
        <v>46097.0</v>
      </c>
      <c r="C653" s="76" t="s">
        <v>3150</v>
      </c>
      <c r="D653" s="99" t="s">
        <v>3151</v>
      </c>
      <c r="E653" s="25" t="s">
        <v>128</v>
      </c>
      <c r="F653" s="25" t="s">
        <v>18</v>
      </c>
      <c r="G653" s="25" t="s">
        <v>42</v>
      </c>
      <c r="H653" s="76" t="s">
        <v>86</v>
      </c>
      <c r="I653" s="118">
        <v>46104.0</v>
      </c>
      <c r="J653" s="76">
        <v>2.0</v>
      </c>
      <c r="K653" s="46"/>
      <c r="L653" s="76" t="s">
        <v>174</v>
      </c>
      <c r="M653" s="44">
        <v>8.0</v>
      </c>
      <c r="N653" s="45"/>
      <c r="O653" s="20"/>
      <c r="P653" s="20"/>
      <c r="Q653" s="20"/>
      <c r="R653" s="20"/>
      <c r="S653" s="20"/>
    </row>
    <row r="654">
      <c r="A654" s="49" t="s">
        <v>3152</v>
      </c>
      <c r="B654" s="110">
        <v>46097.0</v>
      </c>
      <c r="C654" s="49" t="s">
        <v>3153</v>
      </c>
      <c r="D654" s="102" t="s">
        <v>3154</v>
      </c>
      <c r="E654" s="25" t="s">
        <v>17</v>
      </c>
      <c r="F654" s="25" t="s">
        <v>18</v>
      </c>
      <c r="G654" s="25" t="s">
        <v>42</v>
      </c>
      <c r="H654" s="49" t="s">
        <v>3155</v>
      </c>
      <c r="I654" s="101">
        <v>46101.0</v>
      </c>
      <c r="J654" s="49">
        <v>4.0</v>
      </c>
      <c r="K654" s="36">
        <v>2200000.0</v>
      </c>
      <c r="L654" s="49" t="s">
        <v>3156</v>
      </c>
      <c r="M654" s="50">
        <v>8.0</v>
      </c>
      <c r="N654" s="51"/>
      <c r="O654" s="20"/>
      <c r="P654" s="20"/>
      <c r="Q654" s="20"/>
      <c r="R654" s="20"/>
      <c r="S654" s="20"/>
    </row>
    <row r="655">
      <c r="A655" s="76" t="s">
        <v>3157</v>
      </c>
      <c r="B655" s="97">
        <v>46097.0</v>
      </c>
      <c r="C655" s="76" t="s">
        <v>3158</v>
      </c>
      <c r="D655" s="99" t="s">
        <v>3159</v>
      </c>
      <c r="E655" s="25" t="s">
        <v>17</v>
      </c>
      <c r="F655" s="25" t="s">
        <v>18</v>
      </c>
      <c r="G655" s="25" t="s">
        <v>42</v>
      </c>
      <c r="H655" s="76" t="s">
        <v>3160</v>
      </c>
      <c r="I655" s="118">
        <v>46115.0</v>
      </c>
      <c r="J655" s="76">
        <v>2.0</v>
      </c>
      <c r="K655" s="19">
        <v>3454000.0</v>
      </c>
      <c r="L655" s="76" t="s">
        <v>3161</v>
      </c>
      <c r="M655" s="44">
        <v>8.0</v>
      </c>
      <c r="N655" s="105" t="s">
        <v>3162</v>
      </c>
      <c r="O655" s="20"/>
      <c r="P655" s="20"/>
      <c r="Q655" s="20"/>
      <c r="R655" s="20"/>
      <c r="S655" s="20"/>
    </row>
    <row r="656">
      <c r="A656" s="49" t="s">
        <v>3163</v>
      </c>
      <c r="B656" s="110">
        <v>46097.0</v>
      </c>
      <c r="C656" s="49" t="s">
        <v>3164</v>
      </c>
      <c r="D656" s="102" t="s">
        <v>3165</v>
      </c>
      <c r="E656" s="25" t="s">
        <v>128</v>
      </c>
      <c r="F656" s="25" t="s">
        <v>129</v>
      </c>
      <c r="G656" s="25" t="s">
        <v>42</v>
      </c>
      <c r="H656" s="49" t="s">
        <v>20</v>
      </c>
      <c r="I656" s="49" t="s">
        <v>1199</v>
      </c>
      <c r="J656" s="49">
        <v>5.0</v>
      </c>
      <c r="K656" s="30">
        <f>460000*5</f>
        <v>2300000</v>
      </c>
      <c r="L656" s="49" t="s">
        <v>3166</v>
      </c>
      <c r="M656" s="50">
        <v>8.0</v>
      </c>
      <c r="N656" s="104" t="s">
        <v>3167</v>
      </c>
      <c r="O656" s="20"/>
      <c r="P656" s="20"/>
      <c r="Q656" s="20"/>
      <c r="R656" s="20"/>
      <c r="S656" s="20"/>
    </row>
    <row r="657">
      <c r="A657" s="76" t="s">
        <v>3168</v>
      </c>
      <c r="B657" s="97">
        <v>46097.0</v>
      </c>
      <c r="C657" s="76" t="s">
        <v>3169</v>
      </c>
      <c r="D657" s="99" t="s">
        <v>3170</v>
      </c>
      <c r="E657" s="25" t="s">
        <v>122</v>
      </c>
      <c r="F657" s="25" t="s">
        <v>983</v>
      </c>
      <c r="G657" s="25" t="s">
        <v>42</v>
      </c>
      <c r="H657" s="76" t="s">
        <v>156</v>
      </c>
      <c r="I657" s="118">
        <v>46102.0</v>
      </c>
      <c r="J657" s="76">
        <v>4.0</v>
      </c>
      <c r="K657" s="19">
        <v>1.356E7</v>
      </c>
      <c r="L657" s="76" t="s">
        <v>3171</v>
      </c>
      <c r="M657" s="44">
        <v>8.0</v>
      </c>
      <c r="N657" s="45"/>
      <c r="O657" s="20"/>
      <c r="P657" s="20"/>
      <c r="Q657" s="20"/>
      <c r="R657" s="20"/>
      <c r="S657" s="20"/>
    </row>
    <row r="658">
      <c r="A658" s="49" t="s">
        <v>3172</v>
      </c>
      <c r="B658" s="110">
        <v>46098.0</v>
      </c>
      <c r="C658" s="49" t="s">
        <v>3173</v>
      </c>
      <c r="D658" s="102" t="s">
        <v>3174</v>
      </c>
      <c r="E658" s="25" t="s">
        <v>128</v>
      </c>
      <c r="F658" s="25" t="s">
        <v>129</v>
      </c>
      <c r="G658" s="25" t="s">
        <v>42</v>
      </c>
      <c r="H658" s="49" t="s">
        <v>3175</v>
      </c>
      <c r="I658" s="49" t="s">
        <v>3176</v>
      </c>
      <c r="J658" s="49">
        <v>2.0</v>
      </c>
      <c r="K658" s="30">
        <f>3064000*2</f>
        <v>6128000</v>
      </c>
      <c r="L658" s="49" t="s">
        <v>1619</v>
      </c>
      <c r="M658" s="50">
        <v>8.0</v>
      </c>
      <c r="N658" s="104" t="s">
        <v>3177</v>
      </c>
      <c r="O658" s="20"/>
      <c r="P658" s="20"/>
      <c r="Q658" s="20"/>
      <c r="R658" s="20"/>
      <c r="S658" s="20"/>
    </row>
    <row r="659">
      <c r="A659" s="76" t="s">
        <v>3178</v>
      </c>
      <c r="B659" s="97">
        <v>46098.0</v>
      </c>
      <c r="C659" s="76" t="s">
        <v>490</v>
      </c>
      <c r="D659" s="99" t="s">
        <v>3179</v>
      </c>
      <c r="E659" s="25" t="s">
        <v>122</v>
      </c>
      <c r="F659" s="25" t="s">
        <v>129</v>
      </c>
      <c r="G659" s="25" t="s">
        <v>42</v>
      </c>
      <c r="H659" s="76" t="s">
        <v>2462</v>
      </c>
      <c r="I659" s="118">
        <v>46102.0</v>
      </c>
      <c r="J659" s="76">
        <v>2.0</v>
      </c>
      <c r="K659" s="46"/>
      <c r="L659" s="76" t="s">
        <v>3180</v>
      </c>
      <c r="M659" s="44">
        <v>8.0</v>
      </c>
      <c r="N659" s="45"/>
      <c r="O659" s="20"/>
      <c r="P659" s="20"/>
      <c r="Q659" s="20"/>
      <c r="R659" s="20"/>
      <c r="S659" s="20"/>
    </row>
    <row r="660">
      <c r="A660" s="49" t="s">
        <v>3181</v>
      </c>
      <c r="B660" s="110">
        <v>46098.0</v>
      </c>
      <c r="C660" s="49" t="s">
        <v>3182</v>
      </c>
      <c r="D660" s="102" t="s">
        <v>3183</v>
      </c>
      <c r="E660" s="25" t="s">
        <v>128</v>
      </c>
      <c r="F660" s="25" t="s">
        <v>18</v>
      </c>
      <c r="G660" s="25" t="s">
        <v>42</v>
      </c>
      <c r="H660" s="49" t="s">
        <v>3184</v>
      </c>
      <c r="I660" s="101">
        <v>46118.0</v>
      </c>
      <c r="J660" s="49">
        <v>2.0</v>
      </c>
      <c r="K660" s="36">
        <v>5600000.0</v>
      </c>
      <c r="L660" s="49" t="s">
        <v>2232</v>
      </c>
      <c r="M660" s="50">
        <v>8.0</v>
      </c>
      <c r="N660" s="51"/>
      <c r="O660" s="20"/>
      <c r="P660" s="20"/>
      <c r="Q660" s="20"/>
      <c r="R660" s="20"/>
      <c r="S660" s="20"/>
    </row>
    <row r="661">
      <c r="A661" s="76" t="s">
        <v>3185</v>
      </c>
      <c r="B661" s="97">
        <v>46098.0</v>
      </c>
      <c r="C661" s="76" t="s">
        <v>3186</v>
      </c>
      <c r="D661" s="99" t="s">
        <v>3187</v>
      </c>
      <c r="E661" s="25" t="s">
        <v>17</v>
      </c>
      <c r="F661" s="25" t="s">
        <v>18</v>
      </c>
      <c r="G661" s="25" t="s">
        <v>19</v>
      </c>
      <c r="H661" s="76" t="s">
        <v>3188</v>
      </c>
      <c r="I661" s="76" t="s">
        <v>3189</v>
      </c>
      <c r="J661" s="76">
        <v>4.0</v>
      </c>
      <c r="K661" s="46">
        <f>1200000*4</f>
        <v>4800000</v>
      </c>
      <c r="L661" s="76" t="s">
        <v>3113</v>
      </c>
      <c r="M661" s="44">
        <v>7.0</v>
      </c>
      <c r="N661" s="45"/>
      <c r="O661" s="20"/>
      <c r="P661" s="20"/>
      <c r="Q661" s="20"/>
      <c r="R661" s="20"/>
      <c r="S661" s="20"/>
    </row>
    <row r="662">
      <c r="A662" s="49" t="s">
        <v>3190</v>
      </c>
      <c r="B662" s="110">
        <v>46098.0</v>
      </c>
      <c r="C662" s="102" t="s">
        <v>3191</v>
      </c>
      <c r="D662" s="102" t="s">
        <v>3191</v>
      </c>
      <c r="E662" s="25" t="s">
        <v>17</v>
      </c>
      <c r="F662" s="25" t="s">
        <v>18</v>
      </c>
      <c r="G662" s="25" t="s">
        <v>42</v>
      </c>
      <c r="H662" s="49" t="s">
        <v>3192</v>
      </c>
      <c r="I662" s="101">
        <v>46102.0</v>
      </c>
      <c r="J662" s="49">
        <v>8.0</v>
      </c>
      <c r="K662" s="30"/>
      <c r="L662" s="49" t="s">
        <v>3193</v>
      </c>
      <c r="M662" s="50">
        <v>8.0</v>
      </c>
      <c r="N662" s="51"/>
      <c r="O662" s="20"/>
      <c r="P662" s="20"/>
      <c r="Q662" s="20"/>
      <c r="R662" s="20"/>
      <c r="S662" s="20"/>
    </row>
    <row r="663">
      <c r="A663" s="76" t="s">
        <v>3194</v>
      </c>
      <c r="B663" s="97">
        <v>46098.0</v>
      </c>
      <c r="C663" s="76" t="s">
        <v>3195</v>
      </c>
      <c r="D663" s="99" t="s">
        <v>3196</v>
      </c>
      <c r="E663" s="25" t="s">
        <v>17</v>
      </c>
      <c r="F663" s="25" t="s">
        <v>18</v>
      </c>
      <c r="G663" s="25" t="s">
        <v>42</v>
      </c>
      <c r="H663" s="76" t="s">
        <v>116</v>
      </c>
      <c r="I663" s="118">
        <v>46100.0</v>
      </c>
      <c r="J663" s="76">
        <v>5.0</v>
      </c>
      <c r="K663" s="19">
        <v>1.1375E7</v>
      </c>
      <c r="L663" s="76" t="s">
        <v>3197</v>
      </c>
      <c r="M663" s="44">
        <v>8.0</v>
      </c>
      <c r="N663" s="45"/>
      <c r="O663" s="20"/>
      <c r="P663" s="20"/>
      <c r="Q663" s="20"/>
      <c r="R663" s="20"/>
      <c r="S663" s="20"/>
    </row>
    <row r="664">
      <c r="A664" s="49" t="s">
        <v>3198</v>
      </c>
      <c r="B664" s="110">
        <v>46098.0</v>
      </c>
      <c r="C664" s="49" t="s">
        <v>3199</v>
      </c>
      <c r="D664" s="102" t="s">
        <v>3200</v>
      </c>
      <c r="E664" s="25" t="s">
        <v>128</v>
      </c>
      <c r="F664" s="25" t="s">
        <v>129</v>
      </c>
      <c r="G664" s="25" t="s">
        <v>42</v>
      </c>
      <c r="H664" s="49" t="s">
        <v>86</v>
      </c>
      <c r="I664" s="49" t="s">
        <v>3201</v>
      </c>
      <c r="J664" s="49">
        <v>2.0</v>
      </c>
      <c r="K664" s="30"/>
      <c r="L664" s="49" t="s">
        <v>3202</v>
      </c>
      <c r="M664" s="50">
        <v>8.0</v>
      </c>
      <c r="N664" s="51"/>
      <c r="O664" s="20"/>
      <c r="P664" s="20"/>
      <c r="Q664" s="20"/>
      <c r="R664" s="20"/>
      <c r="S664" s="20"/>
    </row>
    <row r="665">
      <c r="A665" s="76" t="s">
        <v>3203</v>
      </c>
      <c r="B665" s="97">
        <v>46098.0</v>
      </c>
      <c r="C665" s="76" t="s">
        <v>3204</v>
      </c>
      <c r="D665" s="99" t="s">
        <v>3205</v>
      </c>
      <c r="E665" s="25" t="s">
        <v>128</v>
      </c>
      <c r="F665" s="25" t="s">
        <v>129</v>
      </c>
      <c r="G665" s="25" t="s">
        <v>42</v>
      </c>
      <c r="H665" s="76" t="s">
        <v>20</v>
      </c>
      <c r="I665" s="144">
        <v>46103.0</v>
      </c>
      <c r="J665" s="76">
        <v>4.0</v>
      </c>
      <c r="K665" s="46">
        <f>675000*4</f>
        <v>2700000</v>
      </c>
      <c r="L665" s="76" t="s">
        <v>3206</v>
      </c>
      <c r="M665" s="44">
        <v>8.0</v>
      </c>
      <c r="N665" s="45"/>
      <c r="O665" s="20"/>
      <c r="P665" s="20"/>
      <c r="Q665" s="20"/>
      <c r="R665" s="20"/>
      <c r="S665" s="20"/>
    </row>
    <row r="666">
      <c r="A666" s="49" t="s">
        <v>3207</v>
      </c>
      <c r="B666" s="110">
        <v>46098.0</v>
      </c>
      <c r="C666" s="49" t="s">
        <v>3208</v>
      </c>
      <c r="D666" s="102" t="s">
        <v>3209</v>
      </c>
      <c r="E666" s="25" t="s">
        <v>128</v>
      </c>
      <c r="F666" s="25" t="s">
        <v>129</v>
      </c>
      <c r="G666" s="25" t="s">
        <v>42</v>
      </c>
      <c r="H666" s="49" t="s">
        <v>3210</v>
      </c>
      <c r="I666" s="49" t="s">
        <v>3211</v>
      </c>
      <c r="J666" s="49">
        <v>2.0</v>
      </c>
      <c r="K666" s="30">
        <f>1820000*2</f>
        <v>3640000</v>
      </c>
      <c r="L666" s="49" t="s">
        <v>3212</v>
      </c>
      <c r="M666" s="50">
        <v>8.0</v>
      </c>
      <c r="N666" s="115" t="s">
        <v>3213</v>
      </c>
      <c r="O666" s="20"/>
      <c r="P666" s="20"/>
      <c r="Q666" s="20"/>
      <c r="R666" s="20"/>
      <c r="S666" s="20"/>
    </row>
    <row r="667">
      <c r="A667" s="76" t="s">
        <v>3214</v>
      </c>
      <c r="B667" s="97">
        <v>46099.0</v>
      </c>
      <c r="C667" s="76" t="s">
        <v>3215</v>
      </c>
      <c r="D667" s="99" t="s">
        <v>3216</v>
      </c>
      <c r="E667" s="25" t="s">
        <v>128</v>
      </c>
      <c r="F667" s="25" t="s">
        <v>129</v>
      </c>
      <c r="G667" s="25" t="s">
        <v>42</v>
      </c>
      <c r="H667" s="10"/>
      <c r="I667" s="10"/>
      <c r="J667" s="10"/>
      <c r="K667" s="46"/>
      <c r="L667" s="76" t="s">
        <v>3217</v>
      </c>
      <c r="M667" s="44">
        <v>8.0</v>
      </c>
      <c r="N667" s="45"/>
      <c r="O667" s="20"/>
      <c r="P667" s="20"/>
      <c r="Q667" s="20"/>
      <c r="R667" s="20"/>
      <c r="S667" s="20"/>
    </row>
    <row r="668">
      <c r="A668" s="49" t="s">
        <v>3218</v>
      </c>
      <c r="B668" s="110">
        <v>46099.0</v>
      </c>
      <c r="C668" s="49" t="s">
        <v>3219</v>
      </c>
      <c r="D668" s="102" t="s">
        <v>3220</v>
      </c>
      <c r="E668" s="25" t="s">
        <v>17</v>
      </c>
      <c r="F668" s="25" t="s">
        <v>129</v>
      </c>
      <c r="G668" s="25" t="s">
        <v>42</v>
      </c>
      <c r="H668" s="49" t="s">
        <v>2105</v>
      </c>
      <c r="I668" s="49" t="s">
        <v>3221</v>
      </c>
      <c r="J668" s="49">
        <v>4.0</v>
      </c>
      <c r="K668" s="30">
        <f>2035000*4</f>
        <v>8140000</v>
      </c>
      <c r="L668" s="49" t="s">
        <v>3222</v>
      </c>
      <c r="M668" s="50">
        <v>8.0</v>
      </c>
      <c r="N668" s="51"/>
      <c r="O668" s="20"/>
      <c r="P668" s="20"/>
      <c r="Q668" s="20"/>
      <c r="R668" s="20"/>
      <c r="S668" s="20"/>
    </row>
    <row r="669">
      <c r="A669" s="76" t="s">
        <v>3223</v>
      </c>
      <c r="B669" s="97">
        <v>46099.0</v>
      </c>
      <c r="C669" s="76" t="s">
        <v>3224</v>
      </c>
      <c r="D669" s="99" t="s">
        <v>3225</v>
      </c>
      <c r="E669" s="25" t="s">
        <v>17</v>
      </c>
      <c r="F669" s="25" t="s">
        <v>983</v>
      </c>
      <c r="G669" s="25" t="s">
        <v>42</v>
      </c>
      <c r="H669" s="76" t="s">
        <v>3226</v>
      </c>
      <c r="I669" s="76" t="s">
        <v>3227</v>
      </c>
      <c r="J669" s="76">
        <v>3.0</v>
      </c>
      <c r="K669" s="19">
        <v>1.0719E7</v>
      </c>
      <c r="L669" s="76" t="s">
        <v>3228</v>
      </c>
      <c r="M669" s="44">
        <v>8.0</v>
      </c>
      <c r="N669" s="45"/>
      <c r="O669" s="20"/>
      <c r="P669" s="20"/>
      <c r="Q669" s="20"/>
      <c r="R669" s="20"/>
      <c r="S669" s="20"/>
    </row>
    <row r="670">
      <c r="A670" s="49" t="s">
        <v>3229</v>
      </c>
      <c r="B670" s="110">
        <v>46099.0</v>
      </c>
      <c r="C670" s="49" t="s">
        <v>3230</v>
      </c>
      <c r="D670" s="102" t="s">
        <v>3231</v>
      </c>
      <c r="E670" s="25" t="s">
        <v>122</v>
      </c>
      <c r="F670" s="25" t="s">
        <v>983</v>
      </c>
      <c r="G670" s="25" t="s">
        <v>42</v>
      </c>
      <c r="H670" s="49" t="s">
        <v>3232</v>
      </c>
      <c r="I670" s="49" t="s">
        <v>3233</v>
      </c>
      <c r="J670" s="49">
        <v>3.0</v>
      </c>
      <c r="K670" s="36">
        <v>3300000.0</v>
      </c>
      <c r="L670" s="49" t="s">
        <v>3234</v>
      </c>
      <c r="M670" s="50">
        <v>8.0</v>
      </c>
      <c r="N670" s="51"/>
      <c r="O670" s="20"/>
      <c r="P670" s="20"/>
      <c r="Q670" s="20"/>
      <c r="R670" s="20"/>
      <c r="S670" s="20"/>
    </row>
    <row r="671">
      <c r="A671" s="76" t="s">
        <v>3235</v>
      </c>
      <c r="B671" s="97">
        <v>46099.0</v>
      </c>
      <c r="C671" s="76" t="s">
        <v>3236</v>
      </c>
      <c r="D671" s="99" t="s">
        <v>3237</v>
      </c>
      <c r="E671" s="25" t="s">
        <v>128</v>
      </c>
      <c r="F671" s="25" t="s">
        <v>129</v>
      </c>
      <c r="G671" s="25" t="s">
        <v>42</v>
      </c>
      <c r="H671" s="10"/>
      <c r="I671" s="10"/>
      <c r="J671" s="10"/>
      <c r="K671" s="46"/>
      <c r="L671" s="76" t="s">
        <v>3238</v>
      </c>
      <c r="M671" s="44">
        <v>8.0</v>
      </c>
      <c r="N671" s="45"/>
      <c r="O671" s="20"/>
      <c r="P671" s="20"/>
      <c r="Q671" s="20"/>
      <c r="R671" s="20"/>
      <c r="S671" s="20"/>
    </row>
    <row r="672">
      <c r="A672" s="49" t="s">
        <v>3239</v>
      </c>
      <c r="B672" s="110">
        <v>46099.0</v>
      </c>
      <c r="C672" s="49" t="s">
        <v>3240</v>
      </c>
      <c r="D672" s="102" t="s">
        <v>3241</v>
      </c>
      <c r="E672" s="25" t="s">
        <v>128</v>
      </c>
      <c r="F672" s="25" t="s">
        <v>129</v>
      </c>
      <c r="G672" s="25" t="s">
        <v>42</v>
      </c>
      <c r="H672" s="49" t="s">
        <v>179</v>
      </c>
      <c r="I672" s="101">
        <v>46106.0</v>
      </c>
      <c r="J672" s="23"/>
      <c r="K672" s="30"/>
      <c r="L672" s="49" t="s">
        <v>2411</v>
      </c>
      <c r="M672" s="50">
        <v>8.0</v>
      </c>
      <c r="N672" s="51"/>
      <c r="O672" s="20"/>
      <c r="P672" s="20"/>
      <c r="Q672" s="20"/>
      <c r="R672" s="20"/>
      <c r="S672" s="20"/>
    </row>
    <row r="673">
      <c r="A673" s="76" t="s">
        <v>3242</v>
      </c>
      <c r="B673" s="97">
        <v>46831.0</v>
      </c>
      <c r="C673" s="76" t="s">
        <v>3243</v>
      </c>
      <c r="D673" s="99" t="s">
        <v>3244</v>
      </c>
      <c r="E673" s="25" t="s">
        <v>122</v>
      </c>
      <c r="F673" s="25" t="s">
        <v>129</v>
      </c>
      <c r="G673" s="25" t="s">
        <v>42</v>
      </c>
      <c r="H673" s="76" t="s">
        <v>3245</v>
      </c>
      <c r="I673" s="76" t="s">
        <v>3246</v>
      </c>
      <c r="J673" s="76">
        <v>3.0</v>
      </c>
      <c r="K673" s="46"/>
      <c r="L673" s="76" t="s">
        <v>2411</v>
      </c>
      <c r="M673" s="44">
        <v>8.0</v>
      </c>
      <c r="N673" s="45"/>
      <c r="O673" s="20"/>
      <c r="P673" s="20"/>
      <c r="Q673" s="20"/>
      <c r="R673" s="20"/>
      <c r="S673" s="20"/>
    </row>
    <row r="674">
      <c r="A674" s="49" t="s">
        <v>3247</v>
      </c>
      <c r="B674" s="110">
        <v>46100.0</v>
      </c>
      <c r="C674" s="49" t="s">
        <v>3248</v>
      </c>
      <c r="D674" s="102" t="s">
        <v>3249</v>
      </c>
      <c r="E674" s="25" t="s">
        <v>17</v>
      </c>
      <c r="F674" s="25" t="s">
        <v>129</v>
      </c>
      <c r="G674" s="25" t="s">
        <v>42</v>
      </c>
      <c r="H674" s="49" t="s">
        <v>3250</v>
      </c>
      <c r="I674" s="101">
        <v>46103.0</v>
      </c>
      <c r="J674" s="49">
        <v>6.0</v>
      </c>
      <c r="K674" s="30">
        <f>803250*6</f>
        <v>4819500</v>
      </c>
      <c r="L674" s="49" t="s">
        <v>3251</v>
      </c>
      <c r="M674" s="50">
        <v>8.0</v>
      </c>
      <c r="N674" s="51"/>
      <c r="O674" s="20"/>
      <c r="P674" s="20"/>
      <c r="Q674" s="20"/>
      <c r="R674" s="20"/>
      <c r="S674" s="20"/>
    </row>
    <row r="675">
      <c r="A675" s="76" t="s">
        <v>3252</v>
      </c>
      <c r="B675" s="97">
        <v>46100.0</v>
      </c>
      <c r="C675" s="76" t="s">
        <v>3253</v>
      </c>
      <c r="D675" s="99" t="s">
        <v>3254</v>
      </c>
      <c r="E675" s="25" t="s">
        <v>122</v>
      </c>
      <c r="F675" s="25" t="s">
        <v>983</v>
      </c>
      <c r="G675" s="25" t="s">
        <v>42</v>
      </c>
      <c r="H675" s="76" t="s">
        <v>3255</v>
      </c>
      <c r="I675" s="118">
        <v>46106.0</v>
      </c>
      <c r="J675" s="76">
        <v>6.0</v>
      </c>
      <c r="K675" s="46"/>
      <c r="L675" s="76" t="s">
        <v>3256</v>
      </c>
      <c r="M675" s="44">
        <v>8.0</v>
      </c>
      <c r="N675" s="45"/>
      <c r="O675" s="20"/>
      <c r="P675" s="20"/>
      <c r="Q675" s="20"/>
      <c r="R675" s="20"/>
      <c r="S675" s="20"/>
    </row>
    <row r="676">
      <c r="A676" s="49" t="s">
        <v>3257</v>
      </c>
      <c r="B676" s="110">
        <v>46100.0</v>
      </c>
      <c r="C676" s="49" t="s">
        <v>3258</v>
      </c>
      <c r="D676" s="102" t="s">
        <v>3259</v>
      </c>
      <c r="E676" s="25" t="s">
        <v>17</v>
      </c>
      <c r="F676" s="25" t="s">
        <v>983</v>
      </c>
      <c r="G676" s="25" t="s">
        <v>42</v>
      </c>
      <c r="H676" s="23"/>
      <c r="I676" s="23"/>
      <c r="J676" s="23"/>
      <c r="K676" s="30"/>
      <c r="L676" s="49" t="s">
        <v>3260</v>
      </c>
      <c r="M676" s="50">
        <v>8.0</v>
      </c>
      <c r="N676" s="51"/>
      <c r="O676" s="20"/>
      <c r="P676" s="20"/>
      <c r="Q676" s="20"/>
      <c r="R676" s="20"/>
      <c r="S676" s="20"/>
    </row>
    <row r="677">
      <c r="A677" s="76" t="s">
        <v>3261</v>
      </c>
      <c r="B677" s="97">
        <v>46099.0</v>
      </c>
      <c r="C677" s="76" t="s">
        <v>3262</v>
      </c>
      <c r="D677" s="99" t="s">
        <v>3263</v>
      </c>
      <c r="E677" s="25" t="s">
        <v>122</v>
      </c>
      <c r="F677" s="25" t="s">
        <v>983</v>
      </c>
      <c r="G677" s="25" t="s">
        <v>42</v>
      </c>
      <c r="H677" s="10"/>
      <c r="I677" s="10"/>
      <c r="J677" s="10"/>
      <c r="K677" s="46"/>
      <c r="L677" s="76" t="s">
        <v>3264</v>
      </c>
      <c r="M677" s="44">
        <v>8.0</v>
      </c>
      <c r="N677" s="45"/>
      <c r="O677" s="20"/>
      <c r="P677" s="20"/>
      <c r="Q677" s="20"/>
      <c r="R677" s="20"/>
      <c r="S677" s="20"/>
    </row>
    <row r="678">
      <c r="A678" s="49" t="s">
        <v>3265</v>
      </c>
      <c r="B678" s="110">
        <v>46100.0</v>
      </c>
      <c r="C678" s="49" t="s">
        <v>3266</v>
      </c>
      <c r="D678" s="102" t="s">
        <v>3267</v>
      </c>
      <c r="E678" s="25" t="s">
        <v>122</v>
      </c>
      <c r="F678" s="25" t="s">
        <v>129</v>
      </c>
      <c r="G678" s="25" t="s">
        <v>42</v>
      </c>
      <c r="H678" s="49" t="s">
        <v>3268</v>
      </c>
      <c r="I678" s="101">
        <v>46107.0</v>
      </c>
      <c r="J678" s="49">
        <v>4.0</v>
      </c>
      <c r="K678" s="36">
        <v>261.0</v>
      </c>
      <c r="L678" s="49" t="s">
        <v>3269</v>
      </c>
      <c r="M678" s="50">
        <v>8.0</v>
      </c>
      <c r="N678" s="51"/>
      <c r="O678" s="20"/>
      <c r="P678" s="20"/>
      <c r="Q678" s="20"/>
      <c r="R678" s="20"/>
      <c r="S678" s="20"/>
    </row>
    <row r="679">
      <c r="A679" s="76" t="s">
        <v>3270</v>
      </c>
      <c r="B679" s="97">
        <v>46100.0</v>
      </c>
      <c r="C679" s="76" t="s">
        <v>3271</v>
      </c>
      <c r="D679" s="99" t="s">
        <v>3272</v>
      </c>
      <c r="E679" s="25" t="s">
        <v>128</v>
      </c>
      <c r="F679" s="25" t="s">
        <v>18</v>
      </c>
      <c r="G679" s="25" t="s">
        <v>42</v>
      </c>
      <c r="H679" s="76" t="s">
        <v>3273</v>
      </c>
      <c r="I679" s="76" t="s">
        <v>2028</v>
      </c>
      <c r="J679" s="76">
        <v>2.0</v>
      </c>
      <c r="K679" s="46"/>
      <c r="L679" s="76" t="s">
        <v>3193</v>
      </c>
      <c r="M679" s="44">
        <v>8.0</v>
      </c>
      <c r="N679" s="45"/>
      <c r="O679" s="20"/>
      <c r="P679" s="20"/>
      <c r="Q679" s="20"/>
      <c r="R679" s="20"/>
      <c r="S679" s="20"/>
    </row>
    <row r="680">
      <c r="A680" s="49" t="s">
        <v>3274</v>
      </c>
      <c r="B680" s="110">
        <v>46100.0</v>
      </c>
      <c r="C680" s="49" t="s">
        <v>3275</v>
      </c>
      <c r="D680" s="102" t="s">
        <v>3276</v>
      </c>
      <c r="E680" s="25" t="s">
        <v>128</v>
      </c>
      <c r="F680" s="25" t="s">
        <v>18</v>
      </c>
      <c r="G680" s="25" t="s">
        <v>42</v>
      </c>
      <c r="H680" s="49" t="s">
        <v>199</v>
      </c>
      <c r="I680" s="101">
        <v>46107.0</v>
      </c>
      <c r="J680" s="49">
        <v>6.0</v>
      </c>
      <c r="K680" s="36">
        <v>1615000.0</v>
      </c>
      <c r="L680" s="49" t="s">
        <v>3277</v>
      </c>
      <c r="M680" s="50">
        <v>8.0</v>
      </c>
      <c r="N680" s="51"/>
      <c r="O680" s="20"/>
      <c r="P680" s="20"/>
      <c r="Q680" s="20"/>
      <c r="R680" s="20"/>
      <c r="S680" s="20"/>
    </row>
    <row r="681">
      <c r="A681" s="76" t="s">
        <v>3278</v>
      </c>
      <c r="B681" s="97">
        <v>46100.0</v>
      </c>
      <c r="C681" s="76" t="s">
        <v>3279</v>
      </c>
      <c r="D681" s="99" t="s">
        <v>3280</v>
      </c>
      <c r="E681" s="25" t="s">
        <v>128</v>
      </c>
      <c r="F681" s="25" t="s">
        <v>18</v>
      </c>
      <c r="G681" s="25" t="s">
        <v>42</v>
      </c>
      <c r="H681" s="76" t="s">
        <v>3281</v>
      </c>
      <c r="I681" s="118">
        <v>46105.0</v>
      </c>
      <c r="J681" s="76">
        <v>5.0</v>
      </c>
      <c r="K681" s="19">
        <v>2750000.0</v>
      </c>
      <c r="L681" s="76" t="s">
        <v>3277</v>
      </c>
      <c r="M681" s="44">
        <v>8.0</v>
      </c>
      <c r="N681" s="45"/>
      <c r="O681" s="20"/>
      <c r="P681" s="20"/>
      <c r="Q681" s="20"/>
      <c r="R681" s="20"/>
      <c r="S681" s="20"/>
    </row>
    <row r="682">
      <c r="A682" s="49" t="s">
        <v>3282</v>
      </c>
      <c r="B682" s="110">
        <v>46100.0</v>
      </c>
      <c r="C682" s="49" t="s">
        <v>3283</v>
      </c>
      <c r="D682" s="99" t="s">
        <v>3284</v>
      </c>
      <c r="E682" s="25" t="s">
        <v>128</v>
      </c>
      <c r="F682" s="25" t="s">
        <v>18</v>
      </c>
      <c r="G682" s="25" t="s">
        <v>42</v>
      </c>
      <c r="H682" s="49" t="s">
        <v>2742</v>
      </c>
      <c r="I682" s="101">
        <v>46115.0</v>
      </c>
      <c r="J682" s="49">
        <v>2.0</v>
      </c>
      <c r="K682" s="36">
        <v>1228000.0</v>
      </c>
      <c r="L682" s="49" t="s">
        <v>3285</v>
      </c>
      <c r="M682" s="50">
        <v>8.0</v>
      </c>
      <c r="N682" s="104" t="s">
        <v>3286</v>
      </c>
      <c r="O682" s="20"/>
      <c r="P682" s="20"/>
      <c r="Q682" s="20"/>
      <c r="R682" s="20"/>
      <c r="S682" s="20"/>
    </row>
    <row r="683">
      <c r="A683" s="76" t="s">
        <v>3287</v>
      </c>
      <c r="B683" s="97">
        <v>46100.0</v>
      </c>
      <c r="C683" s="76" t="s">
        <v>3288</v>
      </c>
      <c r="D683" s="99" t="s">
        <v>3289</v>
      </c>
      <c r="E683" s="25" t="s">
        <v>17</v>
      </c>
      <c r="F683" s="25" t="s">
        <v>983</v>
      </c>
      <c r="G683" s="25" t="s">
        <v>42</v>
      </c>
      <c r="H683" s="10"/>
      <c r="I683" s="10"/>
      <c r="J683" s="10"/>
      <c r="K683" s="46"/>
      <c r="L683" s="76" t="s">
        <v>3128</v>
      </c>
      <c r="M683" s="44">
        <v>8.0</v>
      </c>
      <c r="N683" s="45"/>
      <c r="O683" s="20"/>
      <c r="P683" s="20"/>
      <c r="Q683" s="20"/>
      <c r="R683" s="20"/>
      <c r="S683" s="20"/>
    </row>
    <row r="684">
      <c r="A684" s="49" t="s">
        <v>3290</v>
      </c>
      <c r="B684" s="110">
        <v>46100.0</v>
      </c>
      <c r="C684" s="49" t="s">
        <v>3291</v>
      </c>
      <c r="D684" s="102" t="s">
        <v>3292</v>
      </c>
      <c r="E684" s="25" t="s">
        <v>17</v>
      </c>
      <c r="F684" s="25" t="s">
        <v>129</v>
      </c>
      <c r="G684" s="25" t="s">
        <v>42</v>
      </c>
      <c r="H684" s="49" t="s">
        <v>2512</v>
      </c>
      <c r="I684" s="101">
        <v>46101.0</v>
      </c>
      <c r="J684" s="23"/>
      <c r="K684" s="30"/>
      <c r="L684" s="49" t="s">
        <v>3293</v>
      </c>
      <c r="M684" s="50">
        <v>8.0</v>
      </c>
      <c r="N684" s="51"/>
      <c r="O684" s="20"/>
      <c r="P684" s="20"/>
      <c r="Q684" s="20"/>
      <c r="R684" s="20"/>
      <c r="S684" s="20"/>
    </row>
    <row r="685">
      <c r="A685" s="76" t="s">
        <v>3294</v>
      </c>
      <c r="B685" s="97">
        <v>46100.0</v>
      </c>
      <c r="C685" s="76" t="s">
        <v>3295</v>
      </c>
      <c r="D685" s="99" t="s">
        <v>3296</v>
      </c>
      <c r="E685" s="25" t="s">
        <v>122</v>
      </c>
      <c r="F685" s="25" t="s">
        <v>129</v>
      </c>
      <c r="G685" s="25" t="s">
        <v>42</v>
      </c>
      <c r="H685" s="76" t="s">
        <v>3297</v>
      </c>
      <c r="I685" s="118">
        <v>46101.0</v>
      </c>
      <c r="J685" s="76">
        <v>4.0</v>
      </c>
      <c r="K685" s="46">
        <f>650000*4</f>
        <v>2600000</v>
      </c>
      <c r="L685" s="76" t="s">
        <v>3298</v>
      </c>
      <c r="M685" s="44">
        <v>8.0</v>
      </c>
      <c r="N685" s="45"/>
      <c r="O685" s="20"/>
      <c r="P685" s="20"/>
      <c r="Q685" s="20"/>
      <c r="R685" s="20"/>
      <c r="S685" s="20"/>
    </row>
    <row r="686">
      <c r="A686" s="49" t="s">
        <v>3299</v>
      </c>
      <c r="B686" s="110">
        <v>46100.0</v>
      </c>
      <c r="C686" s="49" t="s">
        <v>3300</v>
      </c>
      <c r="D686" s="102" t="s">
        <v>3301</v>
      </c>
      <c r="E686" s="25" t="s">
        <v>128</v>
      </c>
      <c r="F686" s="25" t="s">
        <v>129</v>
      </c>
      <c r="G686" s="25" t="s">
        <v>42</v>
      </c>
      <c r="H686" s="49" t="s">
        <v>3302</v>
      </c>
      <c r="I686" s="101">
        <v>46105.0</v>
      </c>
      <c r="J686" s="49">
        <v>4.0</v>
      </c>
      <c r="K686" s="30">
        <f>423000*3</f>
        <v>1269000</v>
      </c>
      <c r="L686" s="49" t="s">
        <v>3171</v>
      </c>
      <c r="M686" s="50">
        <v>8.0</v>
      </c>
      <c r="N686" s="51"/>
      <c r="O686" s="20"/>
      <c r="P686" s="20"/>
      <c r="Q686" s="20"/>
      <c r="R686" s="20"/>
      <c r="S686" s="20"/>
    </row>
    <row r="687">
      <c r="A687" s="76" t="s">
        <v>3303</v>
      </c>
      <c r="B687" s="97">
        <v>46100.0</v>
      </c>
      <c r="C687" s="76" t="s">
        <v>3304</v>
      </c>
      <c r="D687" s="99" t="s">
        <v>3305</v>
      </c>
      <c r="E687" s="25" t="s">
        <v>122</v>
      </c>
      <c r="F687" s="25" t="s">
        <v>129</v>
      </c>
      <c r="G687" s="25" t="s">
        <v>42</v>
      </c>
      <c r="H687" s="76" t="s">
        <v>20</v>
      </c>
      <c r="I687" s="118">
        <v>46105.0</v>
      </c>
      <c r="J687" s="76">
        <v>2.0</v>
      </c>
      <c r="K687" s="46">
        <f>1147500*2</f>
        <v>2295000</v>
      </c>
      <c r="L687" s="76" t="s">
        <v>3306</v>
      </c>
      <c r="M687" s="44">
        <v>8.0</v>
      </c>
      <c r="N687" s="45"/>
      <c r="O687" s="20"/>
      <c r="P687" s="20"/>
      <c r="Q687" s="20"/>
      <c r="R687" s="20"/>
      <c r="S687" s="20"/>
    </row>
    <row r="688">
      <c r="A688" s="49" t="s">
        <v>3307</v>
      </c>
      <c r="B688" s="110">
        <v>46101.0</v>
      </c>
      <c r="C688" s="49" t="s">
        <v>3308</v>
      </c>
      <c r="D688" s="102" t="s">
        <v>3309</v>
      </c>
      <c r="E688" s="25" t="s">
        <v>128</v>
      </c>
      <c r="F688" s="25" t="s">
        <v>129</v>
      </c>
      <c r="G688" s="25" t="s">
        <v>79</v>
      </c>
      <c r="H688" s="49" t="s">
        <v>3310</v>
      </c>
      <c r="I688" s="101">
        <v>46103.0</v>
      </c>
      <c r="J688" s="49">
        <v>5.0</v>
      </c>
      <c r="K688" s="36">
        <v>6000000.0</v>
      </c>
      <c r="L688" s="49" t="s">
        <v>1803</v>
      </c>
      <c r="M688" s="50">
        <v>99.0</v>
      </c>
      <c r="N688" s="51"/>
      <c r="O688" s="20"/>
      <c r="P688" s="20"/>
      <c r="Q688" s="20"/>
      <c r="R688" s="20"/>
      <c r="S688" s="20"/>
    </row>
    <row r="689">
      <c r="A689" s="76" t="s">
        <v>3311</v>
      </c>
      <c r="B689" s="97">
        <v>46101.0</v>
      </c>
      <c r="C689" s="76" t="s">
        <v>1756</v>
      </c>
      <c r="D689" s="99" t="s">
        <v>3312</v>
      </c>
      <c r="E689" s="25" t="s">
        <v>122</v>
      </c>
      <c r="F689" s="25" t="s">
        <v>983</v>
      </c>
      <c r="G689" s="25" t="s">
        <v>42</v>
      </c>
      <c r="H689" s="10"/>
      <c r="I689" s="10"/>
      <c r="J689" s="10"/>
      <c r="K689" s="46"/>
      <c r="L689" s="76" t="s">
        <v>3313</v>
      </c>
      <c r="M689" s="44">
        <v>8.0</v>
      </c>
      <c r="N689" s="45"/>
      <c r="O689" s="20"/>
      <c r="P689" s="20"/>
      <c r="Q689" s="20"/>
      <c r="R689" s="20"/>
      <c r="S689" s="20"/>
    </row>
    <row r="690">
      <c r="A690" s="49" t="s">
        <v>3314</v>
      </c>
      <c r="B690" s="110">
        <v>46101.0</v>
      </c>
      <c r="C690" s="49" t="s">
        <v>3315</v>
      </c>
      <c r="D690" s="102" t="s">
        <v>3316</v>
      </c>
      <c r="E690" s="25" t="s">
        <v>128</v>
      </c>
      <c r="F690" s="25" t="s">
        <v>129</v>
      </c>
      <c r="G690" s="25" t="s">
        <v>19</v>
      </c>
      <c r="H690" s="49" t="s">
        <v>3317</v>
      </c>
      <c r="I690" s="101">
        <v>46105.0</v>
      </c>
      <c r="J690" s="49">
        <v>5.0</v>
      </c>
      <c r="K690" s="36">
        <v>5600000.0</v>
      </c>
      <c r="L690" s="49" t="s">
        <v>1803</v>
      </c>
      <c r="M690" s="50">
        <v>7.0</v>
      </c>
      <c r="N690" s="51"/>
      <c r="O690" s="20"/>
      <c r="P690" s="20"/>
      <c r="Q690" s="20"/>
      <c r="R690" s="20"/>
      <c r="S690" s="20"/>
    </row>
    <row r="691">
      <c r="A691" s="76" t="s">
        <v>3318</v>
      </c>
      <c r="B691" s="97">
        <v>46101.0</v>
      </c>
      <c r="C691" s="76" t="s">
        <v>3319</v>
      </c>
      <c r="D691" s="99" t="s">
        <v>3320</v>
      </c>
      <c r="E691" s="25" t="s">
        <v>17</v>
      </c>
      <c r="F691" s="25" t="s">
        <v>129</v>
      </c>
      <c r="G691" s="25" t="s">
        <v>42</v>
      </c>
      <c r="H691" s="76" t="s">
        <v>3321</v>
      </c>
      <c r="I691" s="76" t="s">
        <v>3322</v>
      </c>
      <c r="J691" s="76">
        <v>6.0</v>
      </c>
      <c r="K691" s="46"/>
      <c r="L691" s="76" t="s">
        <v>3323</v>
      </c>
      <c r="M691" s="44">
        <v>8.0</v>
      </c>
      <c r="N691" s="45"/>
      <c r="O691" s="20"/>
      <c r="P691" s="20"/>
      <c r="Q691" s="20"/>
      <c r="R691" s="20"/>
      <c r="S691" s="20"/>
    </row>
    <row r="692">
      <c r="A692" s="49" t="s">
        <v>3324</v>
      </c>
      <c r="B692" s="110">
        <v>46100.0</v>
      </c>
      <c r="C692" s="49" t="s">
        <v>3325</v>
      </c>
      <c r="D692" s="102" t="s">
        <v>3326</v>
      </c>
      <c r="E692" s="25" t="s">
        <v>128</v>
      </c>
      <c r="F692" s="25" t="s">
        <v>18</v>
      </c>
      <c r="G692" s="25" t="s">
        <v>42</v>
      </c>
      <c r="H692" s="49" t="s">
        <v>2742</v>
      </c>
      <c r="I692" s="101">
        <v>46104.0</v>
      </c>
      <c r="J692" s="49">
        <v>4.0</v>
      </c>
      <c r="K692" s="30"/>
      <c r="L692" s="49" t="s">
        <v>3327</v>
      </c>
      <c r="M692" s="50">
        <v>8.0</v>
      </c>
      <c r="N692" s="51"/>
      <c r="O692" s="20"/>
      <c r="P692" s="20"/>
      <c r="Q692" s="20"/>
      <c r="R692" s="20"/>
      <c r="S692" s="20"/>
    </row>
    <row r="693">
      <c r="A693" s="76" t="s">
        <v>3328</v>
      </c>
      <c r="B693" s="97">
        <v>46100.0</v>
      </c>
      <c r="C693" s="120">
        <v>8.1330104625E10</v>
      </c>
      <c r="D693" s="99" t="s">
        <v>3329</v>
      </c>
      <c r="E693" s="25" t="s">
        <v>17</v>
      </c>
      <c r="F693" s="25" t="s">
        <v>18</v>
      </c>
      <c r="G693" s="25" t="s">
        <v>42</v>
      </c>
      <c r="H693" s="10"/>
      <c r="I693" s="10"/>
      <c r="J693" s="10"/>
      <c r="K693" s="46"/>
      <c r="L693" s="76" t="s">
        <v>2116</v>
      </c>
      <c r="M693" s="44">
        <v>8.0</v>
      </c>
      <c r="N693" s="45"/>
      <c r="O693" s="20"/>
      <c r="P693" s="20"/>
      <c r="Q693" s="20"/>
      <c r="R693" s="20"/>
      <c r="S693" s="20"/>
    </row>
    <row r="694">
      <c r="A694" s="49" t="s">
        <v>3330</v>
      </c>
      <c r="B694" s="110">
        <v>46100.0</v>
      </c>
      <c r="C694" s="49" t="s">
        <v>3331</v>
      </c>
      <c r="D694" s="102" t="s">
        <v>3332</v>
      </c>
      <c r="E694" s="25" t="s">
        <v>128</v>
      </c>
      <c r="F694" s="25" t="s">
        <v>18</v>
      </c>
      <c r="G694" s="25" t="s">
        <v>42</v>
      </c>
      <c r="H694" s="23"/>
      <c r="I694" s="101">
        <v>46104.0</v>
      </c>
      <c r="J694" s="23"/>
      <c r="K694" s="30"/>
      <c r="L694" s="76" t="s">
        <v>2116</v>
      </c>
      <c r="M694" s="50">
        <v>8.0</v>
      </c>
      <c r="N694" s="51"/>
      <c r="O694" s="20"/>
      <c r="P694" s="20"/>
      <c r="Q694" s="20"/>
      <c r="R694" s="20"/>
      <c r="S694" s="20"/>
    </row>
    <row r="695">
      <c r="A695" s="49" t="s">
        <v>3333</v>
      </c>
      <c r="B695" s="110">
        <v>46100.0</v>
      </c>
      <c r="C695" s="76" t="s">
        <v>3334</v>
      </c>
      <c r="D695" s="99" t="s">
        <v>3335</v>
      </c>
      <c r="E695" s="25" t="s">
        <v>128</v>
      </c>
      <c r="F695" s="25" t="s">
        <v>18</v>
      </c>
      <c r="G695" s="25" t="s">
        <v>19</v>
      </c>
      <c r="H695" s="76" t="s">
        <v>2120</v>
      </c>
      <c r="I695" s="118">
        <v>46104.0</v>
      </c>
      <c r="J695" s="76">
        <v>3.0</v>
      </c>
      <c r="K695" s="19">
        <v>1050000.0</v>
      </c>
      <c r="L695" s="76" t="s">
        <v>3336</v>
      </c>
      <c r="M695" s="44">
        <v>7.0</v>
      </c>
      <c r="N695" s="45"/>
      <c r="O695" s="20"/>
      <c r="P695" s="20"/>
      <c r="Q695" s="20"/>
      <c r="R695" s="20"/>
      <c r="S695" s="20"/>
    </row>
    <row r="696">
      <c r="A696" s="49" t="s">
        <v>3337</v>
      </c>
      <c r="B696" s="110">
        <v>46101.0</v>
      </c>
      <c r="C696" s="49" t="s">
        <v>3338</v>
      </c>
      <c r="D696" s="102" t="s">
        <v>3339</v>
      </c>
      <c r="E696" s="25" t="s">
        <v>128</v>
      </c>
      <c r="F696" s="25" t="s">
        <v>18</v>
      </c>
      <c r="G696" s="25" t="s">
        <v>42</v>
      </c>
      <c r="H696" s="49" t="s">
        <v>3340</v>
      </c>
      <c r="I696" s="101">
        <v>46104.0</v>
      </c>
      <c r="J696" s="49">
        <v>5.0</v>
      </c>
      <c r="K696" s="36">
        <v>3140000.0</v>
      </c>
      <c r="L696" s="49" t="s">
        <v>3298</v>
      </c>
      <c r="M696" s="50">
        <v>8.0</v>
      </c>
      <c r="N696" s="51"/>
      <c r="O696" s="20"/>
      <c r="P696" s="20"/>
      <c r="Q696" s="20"/>
      <c r="R696" s="20"/>
      <c r="S696" s="20"/>
    </row>
    <row r="697">
      <c r="A697" s="76" t="s">
        <v>3341</v>
      </c>
      <c r="B697" s="97">
        <v>46101.0</v>
      </c>
      <c r="C697" s="76" t="s">
        <v>3342</v>
      </c>
      <c r="D697" s="99" t="s">
        <v>3343</v>
      </c>
      <c r="E697" s="25" t="s">
        <v>17</v>
      </c>
      <c r="F697" s="25" t="s">
        <v>18</v>
      </c>
      <c r="G697" s="25" t="s">
        <v>42</v>
      </c>
      <c r="H697" s="139"/>
      <c r="I697" s="10"/>
      <c r="J697" s="76">
        <v>1.0</v>
      </c>
      <c r="K697" s="46"/>
      <c r="L697" s="76" t="s">
        <v>3344</v>
      </c>
      <c r="M697" s="44">
        <v>8.0</v>
      </c>
      <c r="N697" s="45"/>
      <c r="O697" s="20"/>
      <c r="P697" s="20"/>
      <c r="Q697" s="20"/>
      <c r="R697" s="20"/>
      <c r="S697" s="20"/>
    </row>
    <row r="698">
      <c r="A698" s="49" t="s">
        <v>3345</v>
      </c>
      <c r="B698" s="110">
        <v>46101.0</v>
      </c>
      <c r="C698" s="76" t="s">
        <v>3308</v>
      </c>
      <c r="D698" s="99" t="s">
        <v>3309</v>
      </c>
      <c r="E698" s="25" t="s">
        <v>128</v>
      </c>
      <c r="F698" s="25" t="s">
        <v>18</v>
      </c>
      <c r="G698" s="25" t="s">
        <v>42</v>
      </c>
      <c r="H698" s="76" t="s">
        <v>3346</v>
      </c>
      <c r="I698" s="76" t="s">
        <v>3347</v>
      </c>
      <c r="J698" s="49">
        <v>3.0</v>
      </c>
      <c r="K698" s="30"/>
      <c r="L698" s="23"/>
      <c r="M698" s="50">
        <v>8.0</v>
      </c>
      <c r="N698" s="51"/>
      <c r="O698" s="20"/>
      <c r="P698" s="20"/>
      <c r="Q698" s="20"/>
      <c r="R698" s="20"/>
      <c r="S698" s="20"/>
    </row>
    <row r="699">
      <c r="A699" s="76" t="s">
        <v>3348</v>
      </c>
      <c r="B699" s="97">
        <v>46101.0</v>
      </c>
      <c r="C699" s="76" t="s">
        <v>3349</v>
      </c>
      <c r="D699" s="99" t="s">
        <v>3350</v>
      </c>
      <c r="E699" s="25" t="s">
        <v>17</v>
      </c>
      <c r="F699" s="25" t="s">
        <v>18</v>
      </c>
      <c r="G699" s="25" t="s">
        <v>19</v>
      </c>
      <c r="H699" s="76" t="s">
        <v>123</v>
      </c>
      <c r="I699" s="76" t="s">
        <v>3351</v>
      </c>
      <c r="J699" s="76">
        <v>10.0</v>
      </c>
      <c r="K699" s="19">
        <f>2615000*8+530000*2</f>
        <v>21980000</v>
      </c>
      <c r="L699" s="76" t="s">
        <v>3352</v>
      </c>
      <c r="M699" s="44">
        <v>7.0</v>
      </c>
      <c r="N699" s="45"/>
      <c r="O699" s="20"/>
      <c r="P699" s="20"/>
      <c r="Q699" s="20"/>
      <c r="R699" s="20"/>
      <c r="S699" s="20"/>
    </row>
    <row r="700">
      <c r="A700" s="49" t="s">
        <v>3353</v>
      </c>
      <c r="B700" s="110">
        <v>46101.0</v>
      </c>
      <c r="C700" s="49" t="s">
        <v>3354</v>
      </c>
      <c r="D700" s="102" t="s">
        <v>3355</v>
      </c>
      <c r="E700" s="25" t="s">
        <v>122</v>
      </c>
      <c r="F700" s="25" t="s">
        <v>129</v>
      </c>
      <c r="G700" s="25" t="s">
        <v>42</v>
      </c>
      <c r="H700" s="23"/>
      <c r="I700" s="23"/>
      <c r="J700" s="23"/>
      <c r="K700" s="30"/>
      <c r="L700" s="49" t="s">
        <v>1459</v>
      </c>
      <c r="M700" s="50">
        <v>8.0</v>
      </c>
      <c r="N700" s="104" t="s">
        <v>3356</v>
      </c>
      <c r="O700" s="20"/>
      <c r="P700" s="20"/>
      <c r="Q700" s="20"/>
      <c r="R700" s="20"/>
      <c r="S700" s="20"/>
    </row>
    <row r="701">
      <c r="A701" s="76" t="s">
        <v>3357</v>
      </c>
      <c r="B701" s="97">
        <v>46101.0</v>
      </c>
      <c r="C701" s="76" t="s">
        <v>3358</v>
      </c>
      <c r="D701" s="99" t="s">
        <v>3359</v>
      </c>
      <c r="E701" s="25" t="s">
        <v>128</v>
      </c>
      <c r="F701" s="25" t="s">
        <v>129</v>
      </c>
      <c r="G701" s="25" t="s">
        <v>42</v>
      </c>
      <c r="H701" s="10"/>
      <c r="I701" s="10"/>
      <c r="J701" s="10"/>
      <c r="K701" s="46"/>
      <c r="L701" s="76" t="s">
        <v>3360</v>
      </c>
      <c r="M701" s="44">
        <v>8.0</v>
      </c>
      <c r="N701" s="45"/>
      <c r="O701" s="20"/>
      <c r="P701" s="20"/>
      <c r="Q701" s="20"/>
      <c r="R701" s="20"/>
      <c r="S701" s="20"/>
    </row>
    <row r="702">
      <c r="A702" s="49" t="s">
        <v>3361</v>
      </c>
      <c r="B702" s="110">
        <v>46101.0</v>
      </c>
      <c r="C702" s="49" t="s">
        <v>3362</v>
      </c>
      <c r="D702" s="102" t="s">
        <v>3363</v>
      </c>
      <c r="E702" s="25" t="s">
        <v>122</v>
      </c>
      <c r="F702" s="25" t="s">
        <v>983</v>
      </c>
      <c r="G702" s="25" t="s">
        <v>42</v>
      </c>
      <c r="H702" s="49" t="s">
        <v>2926</v>
      </c>
      <c r="I702" s="23"/>
      <c r="J702" s="49">
        <v>3.0</v>
      </c>
      <c r="K702" s="30"/>
      <c r="L702" s="49" t="s">
        <v>3364</v>
      </c>
      <c r="M702" s="50">
        <v>8.0</v>
      </c>
      <c r="N702" s="51"/>
      <c r="O702" s="20"/>
      <c r="P702" s="20"/>
      <c r="Q702" s="20"/>
      <c r="R702" s="20"/>
      <c r="S702" s="20"/>
    </row>
    <row r="703">
      <c r="A703" s="76" t="s">
        <v>3365</v>
      </c>
      <c r="B703" s="97">
        <v>46101.0</v>
      </c>
      <c r="C703" s="76" t="s">
        <v>3366</v>
      </c>
      <c r="D703" s="99" t="s">
        <v>3367</v>
      </c>
      <c r="E703" s="25" t="s">
        <v>122</v>
      </c>
      <c r="F703" s="25" t="s">
        <v>129</v>
      </c>
      <c r="G703" s="25" t="s">
        <v>42</v>
      </c>
      <c r="H703" s="10"/>
      <c r="I703" s="10"/>
      <c r="J703" s="10"/>
      <c r="K703" s="46"/>
      <c r="L703" s="76" t="s">
        <v>3368</v>
      </c>
      <c r="M703" s="44">
        <v>8.0</v>
      </c>
      <c r="N703" s="45"/>
      <c r="O703" s="20"/>
      <c r="P703" s="20"/>
      <c r="Q703" s="20"/>
      <c r="R703" s="20"/>
      <c r="S703" s="20"/>
    </row>
    <row r="704">
      <c r="A704" s="49" t="s">
        <v>3369</v>
      </c>
      <c r="B704" s="110">
        <v>46101.0</v>
      </c>
      <c r="C704" s="49" t="s">
        <v>3370</v>
      </c>
      <c r="D704" s="102" t="s">
        <v>3371</v>
      </c>
      <c r="E704" s="25" t="s">
        <v>128</v>
      </c>
      <c r="F704" s="25" t="s">
        <v>129</v>
      </c>
      <c r="G704" s="25" t="s">
        <v>42</v>
      </c>
      <c r="H704" s="49" t="s">
        <v>86</v>
      </c>
      <c r="I704" s="23"/>
      <c r="J704" s="23"/>
      <c r="K704" s="30"/>
      <c r="L704" s="49" t="s">
        <v>3372</v>
      </c>
      <c r="M704" s="50">
        <v>8.0</v>
      </c>
      <c r="N704" s="104" t="s">
        <v>3373</v>
      </c>
      <c r="O704" s="20"/>
      <c r="P704" s="20"/>
      <c r="Q704" s="20"/>
      <c r="R704" s="20"/>
      <c r="S704" s="20"/>
    </row>
    <row r="705">
      <c r="A705" s="76" t="s">
        <v>3374</v>
      </c>
      <c r="B705" s="97">
        <v>46101.0</v>
      </c>
      <c r="C705" s="76" t="s">
        <v>3375</v>
      </c>
      <c r="D705" s="99" t="s">
        <v>3376</v>
      </c>
      <c r="E705" s="25" t="s">
        <v>17</v>
      </c>
      <c r="F705" s="25" t="s">
        <v>129</v>
      </c>
      <c r="G705" s="25" t="s">
        <v>42</v>
      </c>
      <c r="H705" s="76" t="s">
        <v>2327</v>
      </c>
      <c r="I705" s="118">
        <v>46110.0</v>
      </c>
      <c r="J705" s="76">
        <v>4.0</v>
      </c>
      <c r="K705" s="46">
        <f>364000*4</f>
        <v>1456000</v>
      </c>
      <c r="L705" s="76" t="s">
        <v>3377</v>
      </c>
      <c r="M705" s="44">
        <v>8.0</v>
      </c>
      <c r="N705" s="105" t="s">
        <v>3378</v>
      </c>
      <c r="O705" s="20"/>
      <c r="P705" s="20"/>
      <c r="Q705" s="20"/>
      <c r="R705" s="20"/>
      <c r="S705" s="20"/>
    </row>
    <row r="706">
      <c r="A706" s="49" t="s">
        <v>3379</v>
      </c>
      <c r="B706" s="110">
        <v>46101.0</v>
      </c>
      <c r="C706" s="49" t="s">
        <v>3380</v>
      </c>
      <c r="D706" s="102" t="s">
        <v>3381</v>
      </c>
      <c r="E706" s="25" t="s">
        <v>128</v>
      </c>
      <c r="F706" s="25" t="s">
        <v>129</v>
      </c>
      <c r="G706" s="25" t="s">
        <v>42</v>
      </c>
      <c r="H706" s="49" t="s">
        <v>287</v>
      </c>
      <c r="I706" s="49" t="s">
        <v>920</v>
      </c>
      <c r="J706" s="49">
        <v>2.0</v>
      </c>
      <c r="K706" s="30">
        <f>2667000*2</f>
        <v>5334000</v>
      </c>
      <c r="L706" s="49" t="s">
        <v>3382</v>
      </c>
      <c r="M706" s="50">
        <v>8.0</v>
      </c>
      <c r="N706" s="115" t="s">
        <v>3383</v>
      </c>
      <c r="O706" s="20"/>
      <c r="P706" s="20"/>
      <c r="Q706" s="20"/>
      <c r="R706" s="20"/>
      <c r="S706" s="20"/>
    </row>
    <row r="707">
      <c r="A707" s="76" t="s">
        <v>3384</v>
      </c>
      <c r="B707" s="97">
        <v>46102.0</v>
      </c>
      <c r="C707" s="76" t="s">
        <v>1612</v>
      </c>
      <c r="D707" s="99" t="s">
        <v>3385</v>
      </c>
      <c r="E707" s="25" t="s">
        <v>128</v>
      </c>
      <c r="F707" s="25" t="s">
        <v>129</v>
      </c>
      <c r="G707" s="25" t="s">
        <v>42</v>
      </c>
      <c r="H707" s="10"/>
      <c r="I707" s="10"/>
      <c r="J707" s="10"/>
      <c r="K707" s="46"/>
      <c r="L707" s="76" t="s">
        <v>3360</v>
      </c>
      <c r="M707" s="44">
        <v>8.0</v>
      </c>
      <c r="N707" s="45"/>
      <c r="O707" s="20"/>
      <c r="P707" s="20"/>
      <c r="Q707" s="20"/>
      <c r="R707" s="20"/>
      <c r="S707" s="20"/>
    </row>
    <row r="708">
      <c r="A708" s="49" t="s">
        <v>3386</v>
      </c>
      <c r="B708" s="110">
        <v>46102.0</v>
      </c>
      <c r="C708" s="49" t="s">
        <v>3387</v>
      </c>
      <c r="D708" s="102" t="s">
        <v>3388</v>
      </c>
      <c r="E708" s="25" t="s">
        <v>17</v>
      </c>
      <c r="F708" s="25" t="s">
        <v>129</v>
      </c>
      <c r="G708" s="25" t="s">
        <v>42</v>
      </c>
      <c r="H708" s="49" t="s">
        <v>3389</v>
      </c>
      <c r="I708" s="49" t="s">
        <v>3390</v>
      </c>
      <c r="J708" s="49">
        <v>4.0</v>
      </c>
      <c r="K708" s="30">
        <f>412000*4</f>
        <v>1648000</v>
      </c>
      <c r="L708" s="49" t="s">
        <v>3391</v>
      </c>
      <c r="M708" s="50">
        <v>8.0</v>
      </c>
      <c r="N708" s="51"/>
      <c r="O708" s="20"/>
      <c r="P708" s="20"/>
      <c r="Q708" s="20"/>
      <c r="R708" s="20"/>
      <c r="S708" s="20"/>
    </row>
    <row r="709">
      <c r="A709" s="76" t="s">
        <v>3392</v>
      </c>
      <c r="B709" s="97">
        <v>46102.0</v>
      </c>
      <c r="C709" s="76" t="s">
        <v>3393</v>
      </c>
      <c r="D709" s="99" t="s">
        <v>3394</v>
      </c>
      <c r="E709" s="25" t="s">
        <v>128</v>
      </c>
      <c r="F709" s="25" t="s">
        <v>129</v>
      </c>
      <c r="G709" s="25" t="s">
        <v>42</v>
      </c>
      <c r="H709" s="76" t="s">
        <v>3395</v>
      </c>
      <c r="I709" s="76" t="s">
        <v>3396</v>
      </c>
      <c r="J709" s="76">
        <v>2.0</v>
      </c>
      <c r="K709" s="46">
        <f>525000*2</f>
        <v>1050000</v>
      </c>
      <c r="L709" s="76" t="s">
        <v>3397</v>
      </c>
      <c r="M709" s="44">
        <v>8.0</v>
      </c>
      <c r="N709" s="105" t="s">
        <v>3398</v>
      </c>
      <c r="O709" s="20"/>
      <c r="P709" s="20"/>
      <c r="Q709" s="20"/>
      <c r="R709" s="20"/>
      <c r="S709" s="20"/>
    </row>
    <row r="710">
      <c r="A710" s="49" t="s">
        <v>3399</v>
      </c>
      <c r="B710" s="110">
        <v>46102.0</v>
      </c>
      <c r="C710" s="49" t="s">
        <v>3400</v>
      </c>
      <c r="D710" s="102" t="s">
        <v>3401</v>
      </c>
      <c r="E710" s="25" t="s">
        <v>869</v>
      </c>
      <c r="F710" s="25" t="s">
        <v>129</v>
      </c>
      <c r="G710" s="25" t="s">
        <v>42</v>
      </c>
      <c r="H710" s="49" t="s">
        <v>370</v>
      </c>
      <c r="I710" s="23"/>
      <c r="J710" s="49">
        <v>2.0</v>
      </c>
      <c r="K710" s="30"/>
      <c r="L710" s="49" t="s">
        <v>3402</v>
      </c>
      <c r="M710" s="50">
        <v>8.0</v>
      </c>
      <c r="N710" s="104" t="s">
        <v>3403</v>
      </c>
      <c r="O710" s="20"/>
      <c r="P710" s="20"/>
      <c r="Q710" s="20"/>
      <c r="R710" s="20"/>
      <c r="S710" s="20"/>
    </row>
    <row r="711">
      <c r="A711" s="76" t="s">
        <v>3404</v>
      </c>
      <c r="B711" s="97">
        <v>46101.0</v>
      </c>
      <c r="C711" s="76" t="s">
        <v>3405</v>
      </c>
      <c r="D711" s="99" t="s">
        <v>3406</v>
      </c>
      <c r="E711" s="25" t="s">
        <v>128</v>
      </c>
      <c r="F711" s="25" t="s">
        <v>18</v>
      </c>
      <c r="G711" s="25" t="s">
        <v>42</v>
      </c>
      <c r="H711" s="76" t="s">
        <v>3407</v>
      </c>
      <c r="I711" s="76" t="s">
        <v>3408</v>
      </c>
      <c r="J711" s="76">
        <v>7.0</v>
      </c>
      <c r="K711" s="46"/>
      <c r="L711" s="76" t="s">
        <v>3409</v>
      </c>
      <c r="M711" s="44">
        <v>8.0</v>
      </c>
      <c r="N711" s="45"/>
      <c r="O711" s="20"/>
      <c r="P711" s="20"/>
      <c r="Q711" s="20"/>
      <c r="R711" s="20"/>
      <c r="S711" s="20"/>
    </row>
    <row r="712">
      <c r="A712" s="49" t="s">
        <v>3410</v>
      </c>
      <c r="B712" s="110">
        <v>46101.0</v>
      </c>
      <c r="C712" s="49" t="s">
        <v>3411</v>
      </c>
      <c r="D712" s="102" t="s">
        <v>3412</v>
      </c>
      <c r="E712" s="25" t="s">
        <v>128</v>
      </c>
      <c r="F712" s="25" t="s">
        <v>18</v>
      </c>
      <c r="G712" s="25" t="s">
        <v>42</v>
      </c>
      <c r="H712" s="76" t="s">
        <v>3413</v>
      </c>
      <c r="I712" s="118">
        <v>46115.0</v>
      </c>
      <c r="J712" s="49">
        <v>8.0</v>
      </c>
      <c r="K712" s="30"/>
      <c r="L712" s="23"/>
      <c r="M712" s="50">
        <v>8.0</v>
      </c>
      <c r="N712" s="104" t="s">
        <v>3414</v>
      </c>
      <c r="O712" s="20"/>
      <c r="P712" s="20"/>
      <c r="Q712" s="20"/>
      <c r="R712" s="20"/>
      <c r="S712" s="20"/>
    </row>
    <row r="713">
      <c r="A713" s="76" t="s">
        <v>3415</v>
      </c>
      <c r="B713" s="97">
        <v>46102.0</v>
      </c>
      <c r="C713" s="76" t="s">
        <v>3416</v>
      </c>
      <c r="D713" s="99" t="s">
        <v>3417</v>
      </c>
      <c r="E713" s="25" t="s">
        <v>17</v>
      </c>
      <c r="F713" s="25" t="s">
        <v>18</v>
      </c>
      <c r="G713" s="25" t="s">
        <v>42</v>
      </c>
      <c r="H713" s="76"/>
      <c r="I713" s="118">
        <v>46102.0</v>
      </c>
      <c r="J713" s="76"/>
      <c r="K713" s="46"/>
      <c r="L713" s="76" t="s">
        <v>3418</v>
      </c>
      <c r="M713" s="44">
        <v>8.0</v>
      </c>
      <c r="N713" s="45"/>
      <c r="O713" s="20"/>
      <c r="P713" s="20"/>
      <c r="Q713" s="20"/>
      <c r="R713" s="20"/>
      <c r="S713" s="20"/>
    </row>
    <row r="714">
      <c r="A714" s="49" t="s">
        <v>3419</v>
      </c>
      <c r="B714" s="135">
        <v>46102.0</v>
      </c>
      <c r="C714" s="49" t="s">
        <v>3420</v>
      </c>
      <c r="D714" s="102" t="s">
        <v>3421</v>
      </c>
      <c r="E714" s="25" t="s">
        <v>122</v>
      </c>
      <c r="F714" s="25" t="s">
        <v>129</v>
      </c>
      <c r="G714" s="25" t="s">
        <v>42</v>
      </c>
      <c r="H714" s="23"/>
      <c r="I714" s="23"/>
      <c r="J714" s="23"/>
      <c r="K714" s="30"/>
      <c r="L714" s="49" t="s">
        <v>2524</v>
      </c>
      <c r="M714" s="50">
        <v>8.0</v>
      </c>
      <c r="N714" s="51"/>
      <c r="O714" s="20"/>
      <c r="P714" s="20"/>
      <c r="Q714" s="20"/>
      <c r="R714" s="20"/>
      <c r="S714" s="20"/>
    </row>
    <row r="715">
      <c r="A715" s="76" t="s">
        <v>3422</v>
      </c>
      <c r="B715" s="97">
        <v>46101.0</v>
      </c>
      <c r="C715" s="76" t="s">
        <v>3423</v>
      </c>
      <c r="D715" s="99" t="s">
        <v>3424</v>
      </c>
      <c r="E715" s="25" t="s">
        <v>128</v>
      </c>
      <c r="F715" s="25" t="s">
        <v>18</v>
      </c>
      <c r="G715" s="25" t="s">
        <v>42</v>
      </c>
      <c r="H715" s="76" t="s">
        <v>3425</v>
      </c>
      <c r="I715" s="76" t="s">
        <v>1232</v>
      </c>
      <c r="J715" s="76">
        <v>2.0</v>
      </c>
      <c r="K715" s="46"/>
      <c r="L715" s="10"/>
      <c r="M715" s="44">
        <v>8.0</v>
      </c>
      <c r="N715" s="45"/>
      <c r="O715" s="20"/>
      <c r="P715" s="20"/>
      <c r="Q715" s="20"/>
      <c r="R715" s="20"/>
      <c r="S715" s="20"/>
    </row>
    <row r="716">
      <c r="A716" s="49" t="s">
        <v>3426</v>
      </c>
      <c r="B716" s="110">
        <v>46102.0</v>
      </c>
      <c r="C716" s="49" t="s">
        <v>3427</v>
      </c>
      <c r="D716" s="102" t="s">
        <v>3428</v>
      </c>
      <c r="E716" s="25" t="s">
        <v>128</v>
      </c>
      <c r="F716" s="25" t="s">
        <v>129</v>
      </c>
      <c r="G716" s="25" t="s">
        <v>42</v>
      </c>
      <c r="H716" s="49" t="s">
        <v>3429</v>
      </c>
      <c r="I716" s="49" t="s">
        <v>3430</v>
      </c>
      <c r="J716" s="49">
        <v>3.0</v>
      </c>
      <c r="K716" s="30">
        <f>2134000*3</f>
        <v>6402000</v>
      </c>
      <c r="L716" s="49" t="s">
        <v>3431</v>
      </c>
      <c r="M716" s="50">
        <v>8.0</v>
      </c>
      <c r="N716" s="104" t="s">
        <v>3432</v>
      </c>
      <c r="O716" s="20"/>
      <c r="P716" s="20"/>
      <c r="Q716" s="20"/>
      <c r="R716" s="20"/>
      <c r="S716" s="20"/>
    </row>
    <row r="717">
      <c r="A717" s="76" t="s">
        <v>3433</v>
      </c>
      <c r="B717" s="97">
        <v>46102.0</v>
      </c>
      <c r="C717" s="76" t="s">
        <v>3434</v>
      </c>
      <c r="D717" s="99" t="s">
        <v>3435</v>
      </c>
      <c r="E717" s="25" t="s">
        <v>128</v>
      </c>
      <c r="F717" s="25" t="s">
        <v>18</v>
      </c>
      <c r="G717" s="25" t="s">
        <v>42</v>
      </c>
      <c r="H717" s="76" t="s">
        <v>3436</v>
      </c>
      <c r="I717" s="118">
        <v>46103.0</v>
      </c>
      <c r="J717" s="10"/>
      <c r="K717" s="46"/>
      <c r="L717" s="76" t="s">
        <v>3437</v>
      </c>
      <c r="M717" s="44">
        <v>8.0</v>
      </c>
      <c r="N717" s="45"/>
      <c r="O717" s="20"/>
      <c r="P717" s="20"/>
      <c r="Q717" s="20"/>
      <c r="R717" s="20"/>
      <c r="S717" s="20"/>
    </row>
    <row r="718">
      <c r="A718" s="49" t="s">
        <v>3438</v>
      </c>
      <c r="B718" s="110">
        <v>46102.0</v>
      </c>
      <c r="C718" s="49" t="s">
        <v>3439</v>
      </c>
      <c r="D718" s="102" t="s">
        <v>3440</v>
      </c>
      <c r="E718" s="25" t="s">
        <v>128</v>
      </c>
      <c r="F718" s="25" t="s">
        <v>129</v>
      </c>
      <c r="G718" s="25" t="s">
        <v>42</v>
      </c>
      <c r="H718" s="49" t="s">
        <v>3441</v>
      </c>
      <c r="I718" s="49" t="s">
        <v>3442</v>
      </c>
      <c r="J718" s="49">
        <v>3.0</v>
      </c>
      <c r="K718" s="30">
        <f>2880900*3</f>
        <v>8642700</v>
      </c>
      <c r="L718" s="49" t="s">
        <v>3443</v>
      </c>
      <c r="M718" s="50">
        <v>8.0</v>
      </c>
      <c r="N718" s="51"/>
      <c r="O718" s="20"/>
      <c r="P718" s="20"/>
      <c r="Q718" s="20"/>
      <c r="R718" s="20"/>
      <c r="S718" s="20"/>
    </row>
    <row r="719">
      <c r="A719" s="76" t="s">
        <v>3444</v>
      </c>
      <c r="B719" s="110">
        <v>46102.0</v>
      </c>
      <c r="C719" s="76" t="s">
        <v>3445</v>
      </c>
      <c r="D719" s="99" t="s">
        <v>3446</v>
      </c>
      <c r="E719" s="25" t="s">
        <v>128</v>
      </c>
      <c r="F719" s="25" t="s">
        <v>18</v>
      </c>
      <c r="G719" s="25" t="s">
        <v>42</v>
      </c>
      <c r="H719" s="76" t="s">
        <v>3447</v>
      </c>
      <c r="I719" s="118">
        <v>46104.0</v>
      </c>
      <c r="J719" s="76">
        <v>2.0</v>
      </c>
      <c r="K719" s="46"/>
      <c r="L719" s="76" t="s">
        <v>3448</v>
      </c>
      <c r="M719" s="44">
        <v>8.0</v>
      </c>
      <c r="N719" s="45"/>
      <c r="O719" s="20"/>
      <c r="P719" s="20"/>
      <c r="Q719" s="20"/>
      <c r="R719" s="20"/>
      <c r="S719" s="20"/>
    </row>
    <row r="720">
      <c r="A720" s="49" t="s">
        <v>3449</v>
      </c>
      <c r="B720" s="110">
        <v>46102.0</v>
      </c>
      <c r="C720" s="49" t="s">
        <v>3450</v>
      </c>
      <c r="D720" s="102" t="s">
        <v>3451</v>
      </c>
      <c r="E720" s="25" t="s">
        <v>128</v>
      </c>
      <c r="F720" s="25" t="s">
        <v>18</v>
      </c>
      <c r="G720" s="25" t="s">
        <v>42</v>
      </c>
      <c r="H720" s="49" t="s">
        <v>3436</v>
      </c>
      <c r="I720" s="101">
        <v>46103.0</v>
      </c>
      <c r="J720" s="49">
        <v>3.0</v>
      </c>
      <c r="K720" s="30"/>
      <c r="L720" s="49" t="s">
        <v>3437</v>
      </c>
      <c r="M720" s="50">
        <v>8.0</v>
      </c>
      <c r="N720" s="51"/>
      <c r="O720" s="20"/>
      <c r="P720" s="20"/>
      <c r="Q720" s="20"/>
      <c r="R720" s="20"/>
      <c r="S720" s="20"/>
    </row>
    <row r="721">
      <c r="A721" s="76" t="s">
        <v>3452</v>
      </c>
      <c r="B721" s="97">
        <v>46074.0</v>
      </c>
      <c r="C721" s="76" t="s">
        <v>1912</v>
      </c>
      <c r="D721" s="99" t="s">
        <v>3453</v>
      </c>
      <c r="E721" s="25" t="s">
        <v>128</v>
      </c>
      <c r="F721" s="25" t="s">
        <v>18</v>
      </c>
      <c r="G721" s="25" t="s">
        <v>42</v>
      </c>
      <c r="H721" s="76" t="s">
        <v>1033</v>
      </c>
      <c r="I721" s="76" t="s">
        <v>3351</v>
      </c>
      <c r="J721" s="76">
        <v>7.0</v>
      </c>
      <c r="K721" s="46"/>
      <c r="L721" s="76" t="s">
        <v>3454</v>
      </c>
      <c r="M721" s="44">
        <v>8.0</v>
      </c>
      <c r="N721" s="86" t="s">
        <v>1917</v>
      </c>
      <c r="O721" s="20"/>
      <c r="P721" s="20"/>
      <c r="Q721" s="20"/>
      <c r="R721" s="20"/>
      <c r="S721" s="20"/>
    </row>
    <row r="722">
      <c r="A722" s="49" t="s">
        <v>3455</v>
      </c>
      <c r="B722" s="110">
        <v>46102.0</v>
      </c>
      <c r="C722" s="49" t="s">
        <v>3456</v>
      </c>
      <c r="D722" s="102" t="s">
        <v>3457</v>
      </c>
      <c r="E722" s="25" t="s">
        <v>128</v>
      </c>
      <c r="F722" s="25" t="s">
        <v>18</v>
      </c>
      <c r="G722" s="25" t="s">
        <v>42</v>
      </c>
      <c r="H722" s="49" t="s">
        <v>3458</v>
      </c>
      <c r="I722" s="101">
        <v>46103.0</v>
      </c>
      <c r="J722" s="49">
        <v>4.0</v>
      </c>
      <c r="K722" s="30"/>
      <c r="L722" s="23"/>
      <c r="M722" s="50">
        <v>8.0</v>
      </c>
      <c r="N722" s="51"/>
      <c r="O722" s="20"/>
      <c r="P722" s="20"/>
      <c r="Q722" s="20"/>
      <c r="R722" s="20"/>
      <c r="S722" s="20"/>
    </row>
    <row r="723">
      <c r="A723" s="76" t="s">
        <v>3459</v>
      </c>
      <c r="B723" s="97">
        <v>46102.0</v>
      </c>
      <c r="C723" s="76" t="s">
        <v>3460</v>
      </c>
      <c r="D723" s="99" t="s">
        <v>3428</v>
      </c>
      <c r="E723" s="25" t="s">
        <v>128</v>
      </c>
      <c r="F723" s="25" t="s">
        <v>18</v>
      </c>
      <c r="G723" s="25" t="s">
        <v>42</v>
      </c>
      <c r="H723" s="76" t="s">
        <v>1155</v>
      </c>
      <c r="I723" s="76" t="s">
        <v>3461</v>
      </c>
      <c r="J723" s="129">
        <v>46115.0</v>
      </c>
      <c r="K723" s="19">
        <v>4854000.0</v>
      </c>
      <c r="L723" s="76" t="s">
        <v>3462</v>
      </c>
      <c r="M723" s="44">
        <v>8.0</v>
      </c>
      <c r="N723" s="86" t="s">
        <v>3463</v>
      </c>
      <c r="O723" s="20"/>
      <c r="P723" s="20"/>
      <c r="Q723" s="20"/>
      <c r="R723" s="20"/>
      <c r="S723" s="20"/>
    </row>
    <row r="724">
      <c r="A724" s="49" t="s">
        <v>3464</v>
      </c>
      <c r="B724" s="110">
        <v>46102.0</v>
      </c>
      <c r="C724" s="49" t="s">
        <v>3465</v>
      </c>
      <c r="D724" s="102" t="s">
        <v>3466</v>
      </c>
      <c r="E724" s="25" t="s">
        <v>869</v>
      </c>
      <c r="F724" s="25" t="s">
        <v>18</v>
      </c>
      <c r="G724" s="25" t="s">
        <v>19</v>
      </c>
      <c r="H724" s="49" t="s">
        <v>3175</v>
      </c>
      <c r="I724" s="49" t="s">
        <v>3351</v>
      </c>
      <c r="J724" s="49">
        <v>9.0</v>
      </c>
      <c r="K724" s="36"/>
      <c r="L724" s="49" t="s">
        <v>2130</v>
      </c>
      <c r="M724" s="50">
        <v>7.0</v>
      </c>
      <c r="N724" s="51"/>
      <c r="O724" s="20"/>
      <c r="P724" s="20"/>
      <c r="Q724" s="20"/>
      <c r="R724" s="20"/>
      <c r="S724" s="20"/>
    </row>
    <row r="725">
      <c r="A725" s="76" t="s">
        <v>3467</v>
      </c>
      <c r="B725" s="97">
        <v>46102.0</v>
      </c>
      <c r="C725" s="76" t="s">
        <v>3468</v>
      </c>
      <c r="D725" s="99" t="s">
        <v>3469</v>
      </c>
      <c r="E725" s="25" t="s">
        <v>122</v>
      </c>
      <c r="F725" s="25" t="s">
        <v>983</v>
      </c>
      <c r="G725" s="25" t="s">
        <v>42</v>
      </c>
      <c r="H725" s="76" t="s">
        <v>3470</v>
      </c>
      <c r="I725" s="118"/>
      <c r="J725" s="76">
        <v>4.0</v>
      </c>
      <c r="K725" s="46"/>
      <c r="L725" s="76" t="s">
        <v>3471</v>
      </c>
      <c r="M725" s="44">
        <v>8.0</v>
      </c>
      <c r="N725" s="45"/>
      <c r="O725" s="20"/>
      <c r="P725" s="20"/>
      <c r="Q725" s="20"/>
      <c r="R725" s="20"/>
      <c r="S725" s="20"/>
    </row>
    <row r="726">
      <c r="A726" s="49" t="s">
        <v>3472</v>
      </c>
      <c r="B726" s="110">
        <v>46103.0</v>
      </c>
      <c r="C726" s="49" t="s">
        <v>3473</v>
      </c>
      <c r="D726" s="102" t="s">
        <v>3474</v>
      </c>
      <c r="E726" s="25" t="s">
        <v>17</v>
      </c>
      <c r="F726" s="25" t="s">
        <v>129</v>
      </c>
      <c r="G726" s="25" t="s">
        <v>42</v>
      </c>
      <c r="H726" s="49" t="s">
        <v>3475</v>
      </c>
      <c r="I726" s="101">
        <v>46104.0</v>
      </c>
      <c r="J726" s="49">
        <v>8.0</v>
      </c>
      <c r="K726" s="30">
        <f>442000*8</f>
        <v>3536000</v>
      </c>
      <c r="L726" s="49" t="s">
        <v>3476</v>
      </c>
      <c r="M726" s="50">
        <v>8.0</v>
      </c>
      <c r="N726" s="51"/>
      <c r="O726" s="20"/>
      <c r="P726" s="20"/>
      <c r="Q726" s="20"/>
      <c r="R726" s="20"/>
      <c r="S726" s="20"/>
    </row>
    <row r="727">
      <c r="A727" s="76" t="s">
        <v>3477</v>
      </c>
      <c r="B727" s="97">
        <v>46103.0</v>
      </c>
      <c r="C727" s="76" t="s">
        <v>3478</v>
      </c>
      <c r="D727" s="99" t="s">
        <v>3479</v>
      </c>
      <c r="E727" s="25" t="s">
        <v>128</v>
      </c>
      <c r="F727" s="25" t="s">
        <v>18</v>
      </c>
      <c r="G727" s="25" t="s">
        <v>42</v>
      </c>
      <c r="H727" s="76" t="s">
        <v>3210</v>
      </c>
      <c r="I727" s="139">
        <v>46103.0</v>
      </c>
      <c r="J727" s="76">
        <v>3.0</v>
      </c>
      <c r="K727" s="46"/>
      <c r="L727" s="76" t="s">
        <v>3480</v>
      </c>
      <c r="M727" s="44">
        <v>8.0</v>
      </c>
      <c r="N727" s="45"/>
      <c r="O727" s="20"/>
      <c r="P727" s="20"/>
      <c r="Q727" s="20"/>
      <c r="R727" s="20"/>
      <c r="S727" s="20"/>
    </row>
    <row r="728">
      <c r="A728" s="49" t="s">
        <v>3481</v>
      </c>
      <c r="B728" s="110">
        <v>46103.0</v>
      </c>
      <c r="C728" s="49" t="s">
        <v>3482</v>
      </c>
      <c r="D728" s="102" t="s">
        <v>3483</v>
      </c>
      <c r="E728" s="25" t="s">
        <v>122</v>
      </c>
      <c r="F728" s="25" t="s">
        <v>983</v>
      </c>
      <c r="G728" s="25" t="s">
        <v>42</v>
      </c>
      <c r="H728" s="23"/>
      <c r="I728" s="23"/>
      <c r="J728" s="23"/>
      <c r="K728" s="30"/>
      <c r="L728" s="49" t="s">
        <v>3484</v>
      </c>
      <c r="M728" s="50">
        <v>8.0</v>
      </c>
      <c r="N728" s="51"/>
      <c r="O728" s="20"/>
      <c r="P728" s="20"/>
      <c r="Q728" s="20"/>
      <c r="R728" s="20"/>
      <c r="S728" s="20"/>
    </row>
    <row r="729">
      <c r="A729" s="76" t="s">
        <v>3485</v>
      </c>
      <c r="B729" s="97">
        <v>46103.0</v>
      </c>
      <c r="C729" s="76" t="s">
        <v>3486</v>
      </c>
      <c r="D729" s="99" t="s">
        <v>3487</v>
      </c>
      <c r="E729" s="25" t="s">
        <v>122</v>
      </c>
      <c r="F729" s="25" t="s">
        <v>983</v>
      </c>
      <c r="G729" s="25" t="s">
        <v>42</v>
      </c>
      <c r="H729" s="76" t="s">
        <v>3488</v>
      </c>
      <c r="I729" s="118">
        <v>46104.0</v>
      </c>
      <c r="J729" s="76">
        <v>1.0</v>
      </c>
      <c r="K729" s="46"/>
      <c r="L729" s="76" t="s">
        <v>3471</v>
      </c>
      <c r="M729" s="44">
        <v>8.0</v>
      </c>
      <c r="N729" s="45"/>
      <c r="O729" s="20"/>
      <c r="P729" s="20"/>
      <c r="Q729" s="20"/>
      <c r="R729" s="20"/>
      <c r="S729" s="20"/>
    </row>
    <row r="730">
      <c r="A730" s="49" t="s">
        <v>3489</v>
      </c>
      <c r="B730" s="110">
        <v>46103.0</v>
      </c>
      <c r="C730" s="49" t="s">
        <v>3490</v>
      </c>
      <c r="D730" s="102" t="s">
        <v>3491</v>
      </c>
      <c r="E730" s="25" t="s">
        <v>128</v>
      </c>
      <c r="F730" s="25" t="s">
        <v>18</v>
      </c>
      <c r="G730" s="25" t="s">
        <v>42</v>
      </c>
      <c r="H730" s="49" t="s">
        <v>3492</v>
      </c>
      <c r="I730" s="101">
        <v>46104.0</v>
      </c>
      <c r="J730" s="49">
        <v>2.0</v>
      </c>
      <c r="K730" s="30"/>
      <c r="L730" s="49" t="s">
        <v>3493</v>
      </c>
      <c r="M730" s="50">
        <v>8.0</v>
      </c>
      <c r="N730" s="51"/>
      <c r="O730" s="20"/>
      <c r="P730" s="20"/>
      <c r="Q730" s="20"/>
      <c r="R730" s="20"/>
      <c r="S730" s="20"/>
    </row>
    <row r="731">
      <c r="A731" s="76" t="s">
        <v>3494</v>
      </c>
      <c r="B731" s="97">
        <v>46103.0</v>
      </c>
      <c r="C731" s="76" t="s">
        <v>3495</v>
      </c>
      <c r="D731" s="99" t="s">
        <v>3496</v>
      </c>
      <c r="E731" s="25" t="s">
        <v>122</v>
      </c>
      <c r="F731" s="25" t="s">
        <v>129</v>
      </c>
      <c r="G731" s="25" t="s">
        <v>42</v>
      </c>
      <c r="H731" s="76" t="s">
        <v>152</v>
      </c>
      <c r="I731" s="118">
        <v>46104.0</v>
      </c>
      <c r="J731" s="10"/>
      <c r="K731" s="46"/>
      <c r="L731" s="76" t="s">
        <v>3476</v>
      </c>
      <c r="M731" s="44">
        <v>8.0</v>
      </c>
      <c r="N731" s="45"/>
      <c r="O731" s="20"/>
      <c r="P731" s="20"/>
      <c r="Q731" s="20"/>
      <c r="R731" s="20"/>
      <c r="S731" s="20"/>
    </row>
    <row r="732">
      <c r="A732" s="49" t="s">
        <v>3497</v>
      </c>
      <c r="B732" s="110">
        <v>46103.0</v>
      </c>
      <c r="C732" s="49" t="s">
        <v>3498</v>
      </c>
      <c r="D732" s="102" t="s">
        <v>3499</v>
      </c>
      <c r="E732" s="25" t="s">
        <v>128</v>
      </c>
      <c r="F732" s="25" t="s">
        <v>129</v>
      </c>
      <c r="G732" s="25" t="s">
        <v>42</v>
      </c>
      <c r="H732" s="23"/>
      <c r="I732" s="23"/>
      <c r="J732" s="23"/>
      <c r="K732" s="30"/>
      <c r="L732" s="49" t="s">
        <v>3500</v>
      </c>
      <c r="M732" s="50">
        <v>8.0</v>
      </c>
      <c r="N732" s="104" t="s">
        <v>3501</v>
      </c>
      <c r="O732" s="20"/>
      <c r="P732" s="20"/>
      <c r="Q732" s="20"/>
      <c r="R732" s="20"/>
      <c r="S732" s="20"/>
    </row>
    <row r="733">
      <c r="A733" s="76" t="s">
        <v>3502</v>
      </c>
      <c r="B733" s="97">
        <v>46104.0</v>
      </c>
      <c r="C733" s="76" t="s">
        <v>3495</v>
      </c>
      <c r="D733" s="99" t="s">
        <v>3503</v>
      </c>
      <c r="E733" s="25" t="s">
        <v>128</v>
      </c>
      <c r="F733" s="25" t="s">
        <v>129</v>
      </c>
      <c r="G733" s="25" t="s">
        <v>42</v>
      </c>
      <c r="H733" s="76" t="s">
        <v>2906</v>
      </c>
      <c r="I733" s="118">
        <v>46104.0</v>
      </c>
      <c r="J733" s="10"/>
      <c r="K733" s="46"/>
      <c r="L733" s="76" t="s">
        <v>3476</v>
      </c>
      <c r="M733" s="44">
        <v>8.0</v>
      </c>
      <c r="N733" s="45"/>
      <c r="O733" s="20"/>
      <c r="P733" s="20"/>
      <c r="Q733" s="20"/>
      <c r="R733" s="20"/>
      <c r="S733" s="20"/>
    </row>
    <row r="734">
      <c r="A734" s="49" t="s">
        <v>3504</v>
      </c>
      <c r="B734" s="110">
        <v>46104.0</v>
      </c>
      <c r="C734" s="49" t="s">
        <v>3505</v>
      </c>
      <c r="D734" s="102" t="s">
        <v>3506</v>
      </c>
      <c r="E734" s="25" t="s">
        <v>17</v>
      </c>
      <c r="F734" s="25" t="s">
        <v>129</v>
      </c>
      <c r="G734" s="25" t="s">
        <v>42</v>
      </c>
      <c r="H734" s="49" t="s">
        <v>3507</v>
      </c>
      <c r="I734" s="101">
        <v>46110.0</v>
      </c>
      <c r="J734" s="49">
        <v>3.0</v>
      </c>
      <c r="K734" s="30"/>
      <c r="L734" s="49" t="s">
        <v>3508</v>
      </c>
      <c r="M734" s="50">
        <v>8.0</v>
      </c>
      <c r="N734" s="51"/>
      <c r="O734" s="20"/>
      <c r="P734" s="20"/>
      <c r="Q734" s="20"/>
      <c r="R734" s="20"/>
      <c r="S734" s="20"/>
    </row>
    <row r="735">
      <c r="A735" s="76" t="s">
        <v>3509</v>
      </c>
      <c r="B735" s="97">
        <v>46104.0</v>
      </c>
      <c r="C735" s="76" t="s">
        <v>3510</v>
      </c>
      <c r="D735" s="99" t="s">
        <v>3511</v>
      </c>
      <c r="E735" s="25" t="s">
        <v>17</v>
      </c>
      <c r="F735" s="25" t="s">
        <v>129</v>
      </c>
      <c r="G735" s="25" t="s">
        <v>42</v>
      </c>
      <c r="H735" s="76" t="s">
        <v>3512</v>
      </c>
      <c r="I735" s="118">
        <v>46106.0</v>
      </c>
      <c r="J735" s="76">
        <v>7.0</v>
      </c>
      <c r="K735" s="46">
        <f>915000*7</f>
        <v>6405000</v>
      </c>
      <c r="L735" s="76" t="s">
        <v>2764</v>
      </c>
      <c r="M735" s="44">
        <v>8.0</v>
      </c>
      <c r="N735" s="45"/>
      <c r="O735" s="20"/>
      <c r="P735" s="20"/>
      <c r="Q735" s="20"/>
      <c r="R735" s="20"/>
      <c r="S735" s="20"/>
    </row>
    <row r="736">
      <c r="A736" s="49" t="s">
        <v>3513</v>
      </c>
      <c r="B736" s="110">
        <v>46104.0</v>
      </c>
      <c r="C736" s="49" t="s">
        <v>3514</v>
      </c>
      <c r="D736" s="102" t="s">
        <v>3515</v>
      </c>
      <c r="E736" s="25" t="s">
        <v>122</v>
      </c>
      <c r="F736" s="25" t="s">
        <v>129</v>
      </c>
      <c r="G736" s="25" t="s">
        <v>42</v>
      </c>
      <c r="H736" s="49" t="s">
        <v>3317</v>
      </c>
      <c r="I736" s="49" t="s">
        <v>3516</v>
      </c>
      <c r="J736" s="49">
        <v>2.0</v>
      </c>
      <c r="K736" s="30">
        <f>1400000*2</f>
        <v>2800000</v>
      </c>
      <c r="L736" s="49" t="s">
        <v>3517</v>
      </c>
      <c r="M736" s="50">
        <v>8.0</v>
      </c>
      <c r="N736" s="104" t="s">
        <v>3518</v>
      </c>
      <c r="O736" s="20"/>
      <c r="P736" s="20"/>
      <c r="Q736" s="20"/>
      <c r="R736" s="20"/>
      <c r="S736" s="20"/>
    </row>
    <row r="737">
      <c r="A737" s="76" t="s">
        <v>3519</v>
      </c>
      <c r="B737" s="97">
        <v>46104.0</v>
      </c>
      <c r="C737" s="76" t="s">
        <v>3520</v>
      </c>
      <c r="D737" s="99" t="s">
        <v>3521</v>
      </c>
      <c r="E737" s="25" t="s">
        <v>128</v>
      </c>
      <c r="F737" s="25" t="s">
        <v>129</v>
      </c>
      <c r="G737" s="25" t="s">
        <v>42</v>
      </c>
      <c r="H737" s="10"/>
      <c r="I737" s="10"/>
      <c r="J737" s="10"/>
      <c r="K737" s="46"/>
      <c r="L737" s="76" t="s">
        <v>3522</v>
      </c>
      <c r="M737" s="44">
        <v>8.0</v>
      </c>
      <c r="N737" s="45"/>
      <c r="O737" s="20"/>
      <c r="P737" s="20"/>
      <c r="Q737" s="20"/>
      <c r="R737" s="20"/>
      <c r="S737" s="20"/>
    </row>
    <row r="738">
      <c r="A738" s="49" t="s">
        <v>3523</v>
      </c>
      <c r="B738" s="110">
        <v>46105.0</v>
      </c>
      <c r="C738" s="49" t="s">
        <v>3524</v>
      </c>
      <c r="D738" s="102" t="s">
        <v>3525</v>
      </c>
      <c r="E738" s="25" t="s">
        <v>17</v>
      </c>
      <c r="F738" s="25" t="s">
        <v>129</v>
      </c>
      <c r="G738" s="25" t="s">
        <v>19</v>
      </c>
      <c r="H738" s="49" t="s">
        <v>3526</v>
      </c>
      <c r="I738" s="101">
        <v>46107.0</v>
      </c>
      <c r="J738" s="49">
        <v>5.0</v>
      </c>
      <c r="K738" s="30">
        <f>607500*5</f>
        <v>3037500</v>
      </c>
      <c r="L738" s="49" t="s">
        <v>3527</v>
      </c>
      <c r="M738" s="50">
        <v>7.0</v>
      </c>
      <c r="N738" s="115" t="s">
        <v>3528</v>
      </c>
      <c r="O738" s="20"/>
      <c r="P738" s="20"/>
      <c r="Q738" s="20"/>
      <c r="R738" s="20"/>
      <c r="S738" s="20"/>
    </row>
    <row r="739">
      <c r="A739" s="76" t="s">
        <v>3529</v>
      </c>
      <c r="B739" s="97">
        <v>46104.0</v>
      </c>
      <c r="C739" s="76" t="s">
        <v>3530</v>
      </c>
      <c r="D739" s="99" t="s">
        <v>3531</v>
      </c>
      <c r="E739" s="25" t="s">
        <v>122</v>
      </c>
      <c r="F739" s="25" t="s">
        <v>18</v>
      </c>
      <c r="G739" s="25" t="s">
        <v>42</v>
      </c>
      <c r="H739" s="76" t="s">
        <v>3532</v>
      </c>
      <c r="I739" s="118">
        <v>46105.0</v>
      </c>
      <c r="J739" s="76">
        <v>6.0</v>
      </c>
      <c r="K739" s="46"/>
      <c r="L739" s="76" t="s">
        <v>3533</v>
      </c>
      <c r="M739" s="44">
        <v>8.0</v>
      </c>
      <c r="N739" s="45"/>
      <c r="O739" s="20"/>
      <c r="P739" s="20"/>
      <c r="Q739" s="20"/>
      <c r="R739" s="20"/>
      <c r="S739" s="20"/>
    </row>
    <row r="740">
      <c r="A740" s="49" t="s">
        <v>3534</v>
      </c>
      <c r="B740" s="110">
        <v>46104.0</v>
      </c>
      <c r="C740" s="49" t="s">
        <v>1972</v>
      </c>
      <c r="D740" s="102" t="s">
        <v>3535</v>
      </c>
      <c r="E740" s="25" t="s">
        <v>128</v>
      </c>
      <c r="F740" s="25" t="s">
        <v>18</v>
      </c>
      <c r="G740" s="25" t="s">
        <v>42</v>
      </c>
      <c r="H740" s="49" t="s">
        <v>1060</v>
      </c>
      <c r="I740" s="101">
        <v>46106.0</v>
      </c>
      <c r="J740" s="49">
        <v>1.0</v>
      </c>
      <c r="K740" s="30"/>
      <c r="L740" s="49" t="s">
        <v>3536</v>
      </c>
      <c r="M740" s="50">
        <v>8.0</v>
      </c>
      <c r="N740" s="51"/>
      <c r="O740" s="20"/>
      <c r="P740" s="20"/>
      <c r="Q740" s="20"/>
      <c r="R740" s="20"/>
      <c r="S740" s="20"/>
    </row>
    <row r="741">
      <c r="A741" s="76" t="s">
        <v>3537</v>
      </c>
      <c r="B741" s="97">
        <v>46104.0</v>
      </c>
      <c r="C741" s="76" t="s">
        <v>3538</v>
      </c>
      <c r="D741" s="99" t="s">
        <v>3539</v>
      </c>
      <c r="E741" s="25" t="s">
        <v>128</v>
      </c>
      <c r="F741" s="25" t="s">
        <v>18</v>
      </c>
      <c r="G741" s="25" t="s">
        <v>42</v>
      </c>
      <c r="H741" s="76" t="s">
        <v>123</v>
      </c>
      <c r="I741" s="76" t="s">
        <v>3540</v>
      </c>
      <c r="J741" s="76">
        <v>2.0</v>
      </c>
      <c r="K741" s="19">
        <v>4800000.0</v>
      </c>
      <c r="L741" s="76" t="s">
        <v>3541</v>
      </c>
      <c r="M741" s="44">
        <v>8.0</v>
      </c>
      <c r="N741" s="45"/>
      <c r="O741" s="20"/>
      <c r="P741" s="20"/>
      <c r="Q741" s="20"/>
      <c r="R741" s="20"/>
      <c r="S741" s="20"/>
    </row>
    <row r="742">
      <c r="A742" s="76" t="s">
        <v>3542</v>
      </c>
      <c r="B742" s="97">
        <v>46104.0</v>
      </c>
      <c r="C742" s="49" t="s">
        <v>3543</v>
      </c>
      <c r="D742" s="102" t="s">
        <v>3544</v>
      </c>
      <c r="E742" s="25" t="s">
        <v>128</v>
      </c>
      <c r="F742" s="25" t="s">
        <v>18</v>
      </c>
      <c r="G742" s="25" t="s">
        <v>42</v>
      </c>
      <c r="H742" s="49" t="s">
        <v>203</v>
      </c>
      <c r="I742" s="101">
        <v>46107.0</v>
      </c>
      <c r="J742" s="49">
        <v>4.0</v>
      </c>
      <c r="K742" s="30"/>
      <c r="L742" s="23"/>
      <c r="M742" s="50">
        <v>8.0</v>
      </c>
      <c r="N742" s="51"/>
      <c r="O742" s="20"/>
      <c r="P742" s="20"/>
      <c r="Q742" s="20"/>
      <c r="R742" s="20"/>
      <c r="S742" s="20"/>
    </row>
    <row r="743">
      <c r="A743" s="76" t="s">
        <v>3545</v>
      </c>
      <c r="B743" s="97">
        <v>46104.0</v>
      </c>
      <c r="C743" s="76" t="s">
        <v>3520</v>
      </c>
      <c r="D743" s="99" t="s">
        <v>3521</v>
      </c>
      <c r="E743" s="25" t="s">
        <v>128</v>
      </c>
      <c r="F743" s="25" t="s">
        <v>18</v>
      </c>
      <c r="G743" s="25" t="s">
        <v>42</v>
      </c>
      <c r="H743" s="76" t="s">
        <v>3546</v>
      </c>
      <c r="I743" s="10"/>
      <c r="J743" s="76">
        <v>3.0</v>
      </c>
      <c r="K743" s="46"/>
      <c r="L743" s="76" t="s">
        <v>2116</v>
      </c>
      <c r="M743" s="44">
        <v>8.0</v>
      </c>
      <c r="N743" s="45"/>
      <c r="O743" s="20"/>
      <c r="P743" s="20"/>
      <c r="Q743" s="20"/>
      <c r="R743" s="20"/>
      <c r="S743" s="20"/>
    </row>
    <row r="744">
      <c r="A744" s="76" t="s">
        <v>3547</v>
      </c>
      <c r="B744" s="110">
        <v>46104.0</v>
      </c>
      <c r="C744" s="49" t="s">
        <v>3548</v>
      </c>
      <c r="D744" s="102" t="s">
        <v>3549</v>
      </c>
      <c r="E744" s="25" t="s">
        <v>128</v>
      </c>
      <c r="F744" s="25" t="s">
        <v>18</v>
      </c>
      <c r="G744" s="25" t="s">
        <v>42</v>
      </c>
      <c r="H744" s="23"/>
      <c r="I744" s="23"/>
      <c r="J744" s="23"/>
      <c r="K744" s="30"/>
      <c r="L744" s="49" t="s">
        <v>2116</v>
      </c>
      <c r="M744" s="50">
        <v>8.0</v>
      </c>
      <c r="N744" s="51"/>
      <c r="O744" s="20"/>
      <c r="P744" s="20"/>
      <c r="Q744" s="20"/>
      <c r="R744" s="20"/>
      <c r="S744" s="20"/>
    </row>
    <row r="745">
      <c r="A745" s="76" t="s">
        <v>3550</v>
      </c>
      <c r="B745" s="97">
        <v>46104.0</v>
      </c>
      <c r="C745" s="76" t="s">
        <v>3551</v>
      </c>
      <c r="D745" s="99" t="s">
        <v>3552</v>
      </c>
      <c r="E745" s="25" t="s">
        <v>128</v>
      </c>
      <c r="F745" s="25" t="s">
        <v>18</v>
      </c>
      <c r="G745" s="25" t="s">
        <v>42</v>
      </c>
      <c r="H745" s="76" t="s">
        <v>260</v>
      </c>
      <c r="I745" s="76" t="s">
        <v>2028</v>
      </c>
      <c r="J745" s="76">
        <v>3.0</v>
      </c>
      <c r="K745" s="19">
        <v>4800000.0</v>
      </c>
      <c r="L745" s="76" t="s">
        <v>3553</v>
      </c>
      <c r="M745" s="44">
        <v>8.0</v>
      </c>
      <c r="N745" s="86" t="s">
        <v>3554</v>
      </c>
      <c r="O745" s="20"/>
      <c r="P745" s="20"/>
      <c r="Q745" s="20"/>
      <c r="R745" s="20"/>
      <c r="S745" s="20"/>
    </row>
    <row r="746">
      <c r="A746" s="76" t="s">
        <v>3555</v>
      </c>
      <c r="B746" s="110">
        <v>46104.0</v>
      </c>
      <c r="C746" s="49" t="s">
        <v>3556</v>
      </c>
      <c r="D746" s="102" t="s">
        <v>3557</v>
      </c>
      <c r="E746" s="25" t="s">
        <v>128</v>
      </c>
      <c r="F746" s="25" t="s">
        <v>18</v>
      </c>
      <c r="G746" s="25" t="s">
        <v>42</v>
      </c>
      <c r="H746" s="49" t="s">
        <v>3558</v>
      </c>
      <c r="I746" s="49" t="s">
        <v>3559</v>
      </c>
      <c r="J746" s="136">
        <v>46114.0</v>
      </c>
      <c r="K746" s="30"/>
      <c r="L746" s="49" t="s">
        <v>158</v>
      </c>
      <c r="M746" s="50">
        <v>8.0</v>
      </c>
      <c r="N746" s="104" t="s">
        <v>3560</v>
      </c>
      <c r="O746" s="20"/>
      <c r="P746" s="20"/>
      <c r="Q746" s="20"/>
      <c r="R746" s="20"/>
      <c r="S746" s="20"/>
    </row>
    <row r="747">
      <c r="A747" s="76" t="s">
        <v>3561</v>
      </c>
      <c r="B747" s="97">
        <v>46105.0</v>
      </c>
      <c r="C747" s="76" t="s">
        <v>3562</v>
      </c>
      <c r="D747" s="99" t="s">
        <v>3563</v>
      </c>
      <c r="E747" s="25" t="s">
        <v>128</v>
      </c>
      <c r="F747" s="25" t="s">
        <v>18</v>
      </c>
      <c r="G747" s="25" t="s">
        <v>42</v>
      </c>
      <c r="H747" s="76" t="s">
        <v>123</v>
      </c>
      <c r="I747" s="10"/>
      <c r="J747" s="76">
        <v>2.0</v>
      </c>
      <c r="K747" s="46"/>
      <c r="L747" s="76" t="s">
        <v>3344</v>
      </c>
      <c r="M747" s="44">
        <v>8.0</v>
      </c>
      <c r="N747" s="45"/>
      <c r="O747" s="20"/>
      <c r="P747" s="20"/>
      <c r="Q747" s="20"/>
      <c r="R747" s="20"/>
      <c r="S747" s="20"/>
    </row>
    <row r="748">
      <c r="A748" s="76" t="s">
        <v>3564</v>
      </c>
      <c r="B748" s="110">
        <v>46105.0</v>
      </c>
      <c r="C748" s="49" t="s">
        <v>3565</v>
      </c>
      <c r="D748" s="102" t="s">
        <v>3566</v>
      </c>
      <c r="E748" s="25" t="s">
        <v>122</v>
      </c>
      <c r="F748" s="25" t="s">
        <v>18</v>
      </c>
      <c r="G748" s="25" t="s">
        <v>19</v>
      </c>
      <c r="H748" s="23"/>
      <c r="I748" s="23"/>
      <c r="J748" s="23"/>
      <c r="K748" s="30"/>
      <c r="L748" s="49" t="s">
        <v>3567</v>
      </c>
      <c r="M748" s="50">
        <v>7.0</v>
      </c>
      <c r="N748" s="51"/>
      <c r="O748" s="20"/>
      <c r="P748" s="20"/>
      <c r="Q748" s="20"/>
      <c r="R748" s="20"/>
      <c r="S748" s="20"/>
    </row>
    <row r="749">
      <c r="A749" s="76" t="s">
        <v>3568</v>
      </c>
      <c r="B749" s="97">
        <v>46105.0</v>
      </c>
      <c r="C749" s="76" t="s">
        <v>3569</v>
      </c>
      <c r="D749" s="99" t="s">
        <v>3570</v>
      </c>
      <c r="E749" s="25" t="s">
        <v>17</v>
      </c>
      <c r="F749" s="25" t="s">
        <v>18</v>
      </c>
      <c r="G749" s="25" t="s">
        <v>19</v>
      </c>
      <c r="H749" s="76" t="s">
        <v>2166</v>
      </c>
      <c r="I749" s="118">
        <v>46107.0</v>
      </c>
      <c r="J749" s="76">
        <v>3.0</v>
      </c>
      <c r="K749" s="19">
        <v>975000.0</v>
      </c>
      <c r="L749" s="76" t="s">
        <v>3571</v>
      </c>
      <c r="M749" s="44">
        <v>7.0</v>
      </c>
      <c r="N749" s="45"/>
      <c r="O749" s="20"/>
      <c r="P749" s="20"/>
      <c r="Q749" s="20"/>
      <c r="R749" s="20"/>
      <c r="S749" s="20"/>
    </row>
    <row r="750">
      <c r="A750" s="76" t="s">
        <v>3572</v>
      </c>
      <c r="B750" s="110">
        <v>46105.0</v>
      </c>
      <c r="C750" s="49" t="s">
        <v>3573</v>
      </c>
      <c r="D750" s="102" t="s">
        <v>3574</v>
      </c>
      <c r="E750" s="25" t="s">
        <v>128</v>
      </c>
      <c r="F750" s="25" t="s">
        <v>18</v>
      </c>
      <c r="G750" s="25" t="s">
        <v>42</v>
      </c>
      <c r="H750" s="49" t="s">
        <v>86</v>
      </c>
      <c r="I750" s="49" t="s">
        <v>3575</v>
      </c>
      <c r="J750" s="49">
        <v>3.0</v>
      </c>
      <c r="K750" s="30"/>
      <c r="L750" s="23"/>
      <c r="M750" s="50">
        <v>8.0</v>
      </c>
      <c r="N750" s="104" t="s">
        <v>3576</v>
      </c>
      <c r="O750" s="20"/>
      <c r="P750" s="20"/>
      <c r="Q750" s="20"/>
      <c r="R750" s="20"/>
      <c r="S750" s="20"/>
    </row>
    <row r="751">
      <c r="A751" s="76" t="s">
        <v>3577</v>
      </c>
      <c r="B751" s="97">
        <v>46105.0</v>
      </c>
      <c r="C751" s="120" t="s">
        <v>3578</v>
      </c>
      <c r="D751" s="99" t="s">
        <v>3579</v>
      </c>
      <c r="E751" s="25" t="s">
        <v>128</v>
      </c>
      <c r="F751" s="25" t="s">
        <v>18</v>
      </c>
      <c r="G751" s="25" t="s">
        <v>42</v>
      </c>
      <c r="H751" s="10"/>
      <c r="I751" s="76" t="s">
        <v>3580</v>
      </c>
      <c r="J751" s="10"/>
      <c r="K751" s="46"/>
      <c r="L751" s="76" t="s">
        <v>3344</v>
      </c>
      <c r="M751" s="44">
        <v>8.0</v>
      </c>
      <c r="N751" s="45"/>
      <c r="O751" s="20"/>
      <c r="P751" s="20"/>
      <c r="Q751" s="20"/>
      <c r="R751" s="20"/>
      <c r="S751" s="20"/>
    </row>
    <row r="752">
      <c r="A752" s="76" t="s">
        <v>3581</v>
      </c>
      <c r="B752" s="110">
        <v>46105.0</v>
      </c>
      <c r="C752" s="49" t="s">
        <v>3582</v>
      </c>
      <c r="D752" s="102" t="s">
        <v>3583</v>
      </c>
      <c r="E752" s="25" t="s">
        <v>128</v>
      </c>
      <c r="F752" s="25" t="s">
        <v>18</v>
      </c>
      <c r="G752" s="25" t="s">
        <v>42</v>
      </c>
      <c r="H752" s="49" t="s">
        <v>260</v>
      </c>
      <c r="I752" s="49" t="s">
        <v>3584</v>
      </c>
      <c r="J752" s="136">
        <v>46083.0</v>
      </c>
      <c r="K752" s="36">
        <v>1600000.0</v>
      </c>
      <c r="L752" s="49" t="s">
        <v>2988</v>
      </c>
      <c r="M752" s="50">
        <v>8.0</v>
      </c>
      <c r="N752" s="51"/>
      <c r="O752" s="20"/>
      <c r="P752" s="20"/>
      <c r="Q752" s="20"/>
      <c r="R752" s="20"/>
      <c r="S752" s="20"/>
    </row>
    <row r="753">
      <c r="A753" s="76" t="s">
        <v>3585</v>
      </c>
      <c r="B753" s="97">
        <v>46105.0</v>
      </c>
      <c r="C753" s="76" t="s">
        <v>3586</v>
      </c>
      <c r="D753" s="99" t="s">
        <v>3587</v>
      </c>
      <c r="E753" s="25" t="s">
        <v>17</v>
      </c>
      <c r="F753" s="25" t="s">
        <v>129</v>
      </c>
      <c r="G753" s="25" t="s">
        <v>42</v>
      </c>
      <c r="H753" s="10"/>
      <c r="I753" s="10"/>
      <c r="J753" s="10"/>
      <c r="K753" s="46"/>
      <c r="L753" s="76" t="s">
        <v>3588</v>
      </c>
      <c r="M753" s="44">
        <v>8.0</v>
      </c>
      <c r="N753" s="45"/>
      <c r="O753" s="20"/>
      <c r="P753" s="20"/>
      <c r="Q753" s="20"/>
      <c r="R753" s="20"/>
      <c r="S753" s="20"/>
    </row>
    <row r="754">
      <c r="A754" s="49" t="s">
        <v>3589</v>
      </c>
      <c r="B754" s="110">
        <v>46105.0</v>
      </c>
      <c r="C754" s="49" t="s">
        <v>3590</v>
      </c>
      <c r="D754" s="102" t="s">
        <v>3591</v>
      </c>
      <c r="E754" s="25" t="s">
        <v>128</v>
      </c>
      <c r="F754" s="25" t="s">
        <v>129</v>
      </c>
      <c r="G754" s="25" t="s">
        <v>42</v>
      </c>
      <c r="H754" s="23"/>
      <c r="I754" s="23"/>
      <c r="J754" s="23"/>
      <c r="K754" s="30"/>
      <c r="L754" s="49" t="s">
        <v>3592</v>
      </c>
      <c r="M754" s="50">
        <v>8.0</v>
      </c>
      <c r="N754" s="51"/>
      <c r="O754" s="20"/>
      <c r="P754" s="20"/>
      <c r="Q754" s="20"/>
      <c r="R754" s="20"/>
      <c r="S754" s="20"/>
    </row>
    <row r="755">
      <c r="A755" s="76" t="s">
        <v>3593</v>
      </c>
      <c r="B755" s="97">
        <v>46105.0</v>
      </c>
      <c r="C755" s="76" t="s">
        <v>3594</v>
      </c>
      <c r="D755" s="99" t="s">
        <v>3595</v>
      </c>
      <c r="E755" s="25" t="s">
        <v>128</v>
      </c>
      <c r="F755" s="25" t="s">
        <v>129</v>
      </c>
      <c r="G755" s="25" t="s">
        <v>19</v>
      </c>
      <c r="H755" s="76" t="s">
        <v>3596</v>
      </c>
      <c r="I755" s="118">
        <v>46157.0</v>
      </c>
      <c r="J755" s="76">
        <v>2.0</v>
      </c>
      <c r="K755" s="46">
        <f>850000*2</f>
        <v>1700000</v>
      </c>
      <c r="L755" s="76" t="s">
        <v>1763</v>
      </c>
      <c r="M755" s="44">
        <v>7.0</v>
      </c>
      <c r="N755" s="45"/>
      <c r="O755" s="20"/>
      <c r="P755" s="20"/>
      <c r="Q755" s="20"/>
      <c r="R755" s="20"/>
      <c r="S755" s="20"/>
    </row>
    <row r="756">
      <c r="A756" s="49" t="s">
        <v>3597</v>
      </c>
      <c r="B756" s="110">
        <v>46105.0</v>
      </c>
      <c r="C756" s="49" t="s">
        <v>3598</v>
      </c>
      <c r="D756" s="102" t="s">
        <v>3599</v>
      </c>
      <c r="E756" s="25" t="s">
        <v>128</v>
      </c>
      <c r="F756" s="25" t="s">
        <v>129</v>
      </c>
      <c r="G756" s="25" t="s">
        <v>42</v>
      </c>
      <c r="H756" s="49" t="s">
        <v>370</v>
      </c>
      <c r="I756" s="49" t="s">
        <v>3600</v>
      </c>
      <c r="J756" s="49">
        <v>1.0</v>
      </c>
      <c r="K756" s="36">
        <v>1600000.0</v>
      </c>
      <c r="L756" s="49" t="s">
        <v>3601</v>
      </c>
      <c r="M756" s="50">
        <v>8.0</v>
      </c>
      <c r="N756" s="51"/>
      <c r="O756" s="20"/>
      <c r="P756" s="20"/>
      <c r="Q756" s="20"/>
      <c r="R756" s="20"/>
      <c r="S756" s="20"/>
    </row>
    <row r="757">
      <c r="A757" s="76" t="s">
        <v>3602</v>
      </c>
      <c r="B757" s="97">
        <v>46105.0</v>
      </c>
      <c r="C757" s="76" t="s">
        <v>3603</v>
      </c>
      <c r="D757" s="99" t="s">
        <v>3604</v>
      </c>
      <c r="E757" s="25" t="s">
        <v>122</v>
      </c>
      <c r="F757" s="25" t="s">
        <v>129</v>
      </c>
      <c r="G757" s="25" t="s">
        <v>34</v>
      </c>
      <c r="H757" s="76" t="s">
        <v>2327</v>
      </c>
      <c r="I757" s="76" t="s">
        <v>3605</v>
      </c>
      <c r="J757" s="140">
        <v>46083.0</v>
      </c>
      <c r="K757" s="46">
        <f>1425000*2</f>
        <v>2850000</v>
      </c>
      <c r="L757" s="76" t="s">
        <v>3606</v>
      </c>
      <c r="M757" s="44">
        <v>2.0</v>
      </c>
      <c r="N757" s="86" t="s">
        <v>3607</v>
      </c>
      <c r="O757" s="20"/>
      <c r="P757" s="20"/>
      <c r="Q757" s="20"/>
      <c r="R757" s="20"/>
      <c r="S757" s="20"/>
    </row>
    <row r="758">
      <c r="A758" s="49" t="s">
        <v>3608</v>
      </c>
      <c r="B758" s="110">
        <v>46105.0</v>
      </c>
      <c r="C758" s="49" t="s">
        <v>3609</v>
      </c>
      <c r="D758" s="102" t="s">
        <v>3610</v>
      </c>
      <c r="E758" s="25" t="s">
        <v>122</v>
      </c>
      <c r="F758" s="25" t="s">
        <v>129</v>
      </c>
      <c r="G758" s="25" t="s">
        <v>42</v>
      </c>
      <c r="H758" s="49" t="s">
        <v>3175</v>
      </c>
      <c r="I758" s="49" t="s">
        <v>3611</v>
      </c>
      <c r="J758" s="49">
        <v>2.0</v>
      </c>
      <c r="K758" s="30">
        <f>3064000*2</f>
        <v>6128000</v>
      </c>
      <c r="L758" s="49" t="s">
        <v>3612</v>
      </c>
      <c r="M758" s="50">
        <v>8.0</v>
      </c>
      <c r="N758" s="104" t="s">
        <v>3613</v>
      </c>
      <c r="O758" s="20"/>
      <c r="P758" s="20"/>
      <c r="Q758" s="20"/>
      <c r="R758" s="20"/>
      <c r="S758" s="20"/>
    </row>
    <row r="759">
      <c r="A759" s="76" t="s">
        <v>3614</v>
      </c>
      <c r="B759" s="97">
        <v>46105.0</v>
      </c>
      <c r="C759" s="76" t="s">
        <v>3615</v>
      </c>
      <c r="D759" s="99" t="s">
        <v>3616</v>
      </c>
      <c r="E759" s="25" t="s">
        <v>17</v>
      </c>
      <c r="F759" s="25" t="s">
        <v>18</v>
      </c>
      <c r="G759" s="25" t="s">
        <v>42</v>
      </c>
      <c r="H759" s="76" t="s">
        <v>86</v>
      </c>
      <c r="I759" s="76" t="s">
        <v>3617</v>
      </c>
      <c r="J759" s="76">
        <v>15.0</v>
      </c>
      <c r="K759" s="19">
        <v>1.125E7</v>
      </c>
      <c r="L759" s="76" t="s">
        <v>1614</v>
      </c>
      <c r="M759" s="44">
        <v>8.0</v>
      </c>
      <c r="N759" s="86" t="s">
        <v>3618</v>
      </c>
      <c r="O759" s="20"/>
      <c r="P759" s="20"/>
      <c r="Q759" s="20"/>
      <c r="R759" s="20"/>
      <c r="S759" s="20"/>
    </row>
    <row r="760">
      <c r="A760" s="49" t="s">
        <v>3619</v>
      </c>
      <c r="B760" s="110">
        <v>46105.0</v>
      </c>
      <c r="C760" s="49" t="s">
        <v>3620</v>
      </c>
      <c r="D760" s="102" t="s">
        <v>3621</v>
      </c>
      <c r="E760" s="25" t="s">
        <v>128</v>
      </c>
      <c r="F760" s="25" t="s">
        <v>18</v>
      </c>
      <c r="G760" s="25" t="s">
        <v>42</v>
      </c>
      <c r="H760" s="23"/>
      <c r="I760" s="23"/>
      <c r="J760" s="23"/>
      <c r="K760" s="30"/>
      <c r="L760" s="49" t="s">
        <v>2116</v>
      </c>
      <c r="M760" s="50">
        <v>8.0</v>
      </c>
      <c r="N760" s="51"/>
      <c r="O760" s="20"/>
      <c r="P760" s="20"/>
      <c r="Q760" s="20"/>
      <c r="R760" s="20"/>
      <c r="S760" s="20"/>
    </row>
    <row r="761">
      <c r="A761" s="76" t="s">
        <v>3622</v>
      </c>
      <c r="B761" s="97">
        <v>46105.0</v>
      </c>
      <c r="C761" s="76" t="s">
        <v>3623</v>
      </c>
      <c r="D761" s="99" t="s">
        <v>3624</v>
      </c>
      <c r="E761" s="25" t="s">
        <v>128</v>
      </c>
      <c r="F761" s="25" t="s">
        <v>129</v>
      </c>
      <c r="G761" s="25" t="s">
        <v>79</v>
      </c>
      <c r="H761" s="76" t="s">
        <v>123</v>
      </c>
      <c r="I761" s="118">
        <v>46112.0</v>
      </c>
      <c r="J761" s="76">
        <v>2.0</v>
      </c>
      <c r="K761" s="19">
        <v>2050000.0</v>
      </c>
      <c r="L761" s="76" t="s">
        <v>3625</v>
      </c>
      <c r="M761" s="44">
        <v>99.0</v>
      </c>
      <c r="N761" s="86" t="s">
        <v>3626</v>
      </c>
      <c r="O761" s="20"/>
      <c r="P761" s="20"/>
      <c r="Q761" s="20"/>
      <c r="R761" s="20"/>
      <c r="S761" s="20"/>
    </row>
    <row r="762">
      <c r="A762" s="49" t="s">
        <v>3627</v>
      </c>
      <c r="B762" s="110">
        <v>46105.0</v>
      </c>
      <c r="C762" s="49" t="s">
        <v>2467</v>
      </c>
      <c r="D762" s="102" t="s">
        <v>3628</v>
      </c>
      <c r="E762" s="25" t="s">
        <v>128</v>
      </c>
      <c r="F762" s="25" t="s">
        <v>129</v>
      </c>
      <c r="G762" s="25" t="s">
        <v>29</v>
      </c>
      <c r="H762" s="49" t="s">
        <v>370</v>
      </c>
      <c r="I762" s="142"/>
      <c r="J762" s="49">
        <v>2.0</v>
      </c>
      <c r="K762" s="30"/>
      <c r="L762" s="49" t="s">
        <v>3629</v>
      </c>
      <c r="M762" s="50">
        <v>1.0</v>
      </c>
      <c r="N762" s="104" t="s">
        <v>3630</v>
      </c>
      <c r="O762" s="20"/>
      <c r="P762" s="20"/>
      <c r="Q762" s="20"/>
      <c r="R762" s="20"/>
      <c r="S762" s="20"/>
    </row>
    <row r="763">
      <c r="A763" s="76" t="s">
        <v>3631</v>
      </c>
      <c r="B763" s="97">
        <v>46105.0</v>
      </c>
      <c r="C763" s="76" t="s">
        <v>3632</v>
      </c>
      <c r="D763" s="99" t="s">
        <v>3633</v>
      </c>
      <c r="E763" s="25" t="s">
        <v>128</v>
      </c>
      <c r="F763" s="25" t="s">
        <v>129</v>
      </c>
      <c r="G763" s="25" t="s">
        <v>42</v>
      </c>
      <c r="H763" s="10"/>
      <c r="I763" s="10"/>
      <c r="J763" s="10"/>
      <c r="K763" s="46"/>
      <c r="L763" s="76" t="s">
        <v>2074</v>
      </c>
      <c r="M763" s="44">
        <v>8.0</v>
      </c>
      <c r="N763" s="86" t="s">
        <v>3634</v>
      </c>
      <c r="O763" s="20"/>
      <c r="P763" s="20"/>
      <c r="Q763" s="20"/>
      <c r="R763" s="20"/>
      <c r="S763" s="20"/>
    </row>
    <row r="764">
      <c r="A764" s="49" t="s">
        <v>3635</v>
      </c>
      <c r="B764" s="110">
        <v>46105.0</v>
      </c>
      <c r="C764" s="49" t="s">
        <v>3636</v>
      </c>
      <c r="D764" s="102" t="s">
        <v>3637</v>
      </c>
      <c r="E764" s="25" t="s">
        <v>128</v>
      </c>
      <c r="F764" s="25" t="s">
        <v>129</v>
      </c>
      <c r="G764" s="25" t="s">
        <v>42</v>
      </c>
      <c r="H764" s="49" t="s">
        <v>3429</v>
      </c>
      <c r="I764" s="23"/>
      <c r="J764" s="142"/>
      <c r="K764" s="30"/>
      <c r="L764" s="49" t="s">
        <v>3638</v>
      </c>
      <c r="M764" s="50">
        <v>8.0</v>
      </c>
      <c r="N764" s="115" t="s">
        <v>3639</v>
      </c>
      <c r="O764" s="20"/>
      <c r="P764" s="20"/>
      <c r="Q764" s="20"/>
      <c r="R764" s="20"/>
      <c r="S764" s="20"/>
    </row>
    <row r="765">
      <c r="A765" s="76" t="s">
        <v>3640</v>
      </c>
      <c r="B765" s="97">
        <v>46106.0</v>
      </c>
      <c r="C765" s="76" t="s">
        <v>3641</v>
      </c>
      <c r="D765" s="99" t="s">
        <v>3642</v>
      </c>
      <c r="E765" s="25" t="s">
        <v>122</v>
      </c>
      <c r="F765" s="25" t="s">
        <v>129</v>
      </c>
      <c r="G765" s="25" t="s">
        <v>42</v>
      </c>
      <c r="H765" s="76" t="s">
        <v>3643</v>
      </c>
      <c r="I765" s="118">
        <v>46107.0</v>
      </c>
      <c r="J765" s="76">
        <v>1.0</v>
      </c>
      <c r="K765" s="19">
        <v>300000.0</v>
      </c>
      <c r="L765" s="76" t="s">
        <v>3644</v>
      </c>
      <c r="M765" s="44">
        <v>8.0</v>
      </c>
      <c r="N765" s="45"/>
      <c r="O765" s="20"/>
      <c r="P765" s="20"/>
      <c r="Q765" s="20"/>
      <c r="R765" s="20"/>
      <c r="S765" s="20"/>
    </row>
    <row r="766">
      <c r="A766" s="49" t="s">
        <v>3645</v>
      </c>
      <c r="B766" s="110">
        <v>46106.0</v>
      </c>
      <c r="C766" s="49" t="s">
        <v>3646</v>
      </c>
      <c r="D766" s="102" t="s">
        <v>3647</v>
      </c>
      <c r="E766" s="25" t="s">
        <v>128</v>
      </c>
      <c r="F766" s="25" t="s">
        <v>129</v>
      </c>
      <c r="G766" s="25" t="s">
        <v>42</v>
      </c>
      <c r="H766" s="49" t="s">
        <v>3273</v>
      </c>
      <c r="I766" s="49" t="s">
        <v>3648</v>
      </c>
      <c r="J766" s="49">
        <v>1.0</v>
      </c>
      <c r="K766" s="30"/>
      <c r="L766" s="49" t="s">
        <v>3649</v>
      </c>
      <c r="M766" s="50">
        <v>8.0</v>
      </c>
      <c r="N766" s="51"/>
      <c r="O766" s="20"/>
      <c r="P766" s="20"/>
      <c r="Q766" s="20"/>
      <c r="R766" s="20"/>
      <c r="S766" s="20"/>
    </row>
    <row r="767">
      <c r="A767" s="76" t="s">
        <v>3650</v>
      </c>
      <c r="B767" s="97">
        <v>46047.0</v>
      </c>
      <c r="C767" s="76" t="s">
        <v>3651</v>
      </c>
      <c r="D767" s="99" t="s">
        <v>3652</v>
      </c>
      <c r="E767" s="25" t="s">
        <v>122</v>
      </c>
      <c r="F767" s="25" t="s">
        <v>983</v>
      </c>
      <c r="G767" s="25" t="s">
        <v>42</v>
      </c>
      <c r="H767" s="76" t="s">
        <v>86</v>
      </c>
      <c r="I767" s="76" t="s">
        <v>3653</v>
      </c>
      <c r="J767" s="76">
        <v>4.0</v>
      </c>
      <c r="K767" s="19">
        <v>5372000.0</v>
      </c>
      <c r="L767" s="76" t="s">
        <v>3654</v>
      </c>
      <c r="M767" s="44">
        <v>8.0</v>
      </c>
      <c r="N767" s="86" t="s">
        <v>3655</v>
      </c>
      <c r="O767" s="20"/>
      <c r="P767" s="20"/>
      <c r="Q767" s="20"/>
      <c r="R767" s="20"/>
      <c r="S767" s="20"/>
    </row>
    <row r="768">
      <c r="A768" s="49" t="s">
        <v>3656</v>
      </c>
      <c r="B768" s="110">
        <v>46106.0</v>
      </c>
      <c r="C768" s="49" t="s">
        <v>3657</v>
      </c>
      <c r="D768" s="102" t="s">
        <v>3658</v>
      </c>
      <c r="E768" s="25" t="s">
        <v>128</v>
      </c>
      <c r="F768" s="25" t="s">
        <v>18</v>
      </c>
      <c r="G768" s="25" t="s">
        <v>42</v>
      </c>
      <c r="H768" s="49" t="s">
        <v>3659</v>
      </c>
      <c r="I768" s="23"/>
      <c r="J768" s="49"/>
      <c r="K768" s="30"/>
      <c r="L768" s="49"/>
      <c r="M768" s="50">
        <v>8.0</v>
      </c>
      <c r="N768" s="51"/>
      <c r="O768" s="20"/>
      <c r="P768" s="20"/>
      <c r="Q768" s="20"/>
      <c r="R768" s="20"/>
      <c r="S768" s="20"/>
    </row>
    <row r="769">
      <c r="A769" s="76" t="s">
        <v>3660</v>
      </c>
      <c r="B769" s="97">
        <v>46106.0</v>
      </c>
      <c r="C769" s="76" t="s">
        <v>3661</v>
      </c>
      <c r="D769" s="99" t="s">
        <v>3662</v>
      </c>
      <c r="E769" s="25" t="s">
        <v>128</v>
      </c>
      <c r="F769" s="25" t="s">
        <v>129</v>
      </c>
      <c r="G769" s="25" t="s">
        <v>42</v>
      </c>
      <c r="H769" s="10"/>
      <c r="I769" s="10"/>
      <c r="J769" s="10"/>
      <c r="K769" s="46"/>
      <c r="L769" s="76" t="s">
        <v>2116</v>
      </c>
      <c r="M769" s="44">
        <v>8.0</v>
      </c>
      <c r="N769" s="45"/>
      <c r="O769" s="20"/>
      <c r="P769" s="20"/>
      <c r="Q769" s="20"/>
      <c r="R769" s="20"/>
      <c r="S769" s="20"/>
    </row>
    <row r="770">
      <c r="A770" s="49" t="s">
        <v>3663</v>
      </c>
      <c r="B770" s="110">
        <v>46106.0</v>
      </c>
      <c r="C770" s="49" t="s">
        <v>3664</v>
      </c>
      <c r="D770" s="102" t="s">
        <v>3665</v>
      </c>
      <c r="E770" s="25" t="s">
        <v>17</v>
      </c>
      <c r="F770" s="25" t="s">
        <v>129</v>
      </c>
      <c r="G770" s="25" t="s">
        <v>79</v>
      </c>
      <c r="H770" s="49" t="s">
        <v>3210</v>
      </c>
      <c r="I770" s="131">
        <v>46113.0</v>
      </c>
      <c r="J770" s="49">
        <v>2.0</v>
      </c>
      <c r="K770" s="36">
        <v>7000000.0</v>
      </c>
      <c r="L770" s="49" t="s">
        <v>3666</v>
      </c>
      <c r="M770" s="50">
        <v>99.0</v>
      </c>
      <c r="N770" s="104" t="s">
        <v>3667</v>
      </c>
      <c r="O770" s="20"/>
      <c r="P770" s="20"/>
      <c r="Q770" s="20"/>
      <c r="R770" s="20"/>
      <c r="S770" s="20"/>
    </row>
    <row r="771">
      <c r="A771" s="76" t="s">
        <v>3668</v>
      </c>
      <c r="B771" s="97">
        <v>46107.0</v>
      </c>
      <c r="C771" s="76" t="s">
        <v>3669</v>
      </c>
      <c r="D771" s="99" t="s">
        <v>3670</v>
      </c>
      <c r="E771" s="25" t="s">
        <v>128</v>
      </c>
      <c r="F771" s="25" t="s">
        <v>18</v>
      </c>
      <c r="G771" s="25" t="s">
        <v>42</v>
      </c>
      <c r="H771" s="76" t="s">
        <v>3671</v>
      </c>
      <c r="I771" s="118">
        <v>46122.0</v>
      </c>
      <c r="J771" s="10"/>
      <c r="K771" s="46"/>
      <c r="L771" s="10"/>
      <c r="M771" s="44">
        <v>8.0</v>
      </c>
      <c r="N771" s="45"/>
      <c r="O771" s="20"/>
      <c r="P771" s="20"/>
      <c r="Q771" s="20"/>
      <c r="R771" s="20"/>
      <c r="S771" s="20"/>
    </row>
    <row r="772">
      <c r="A772" s="49" t="s">
        <v>3672</v>
      </c>
      <c r="B772" s="110">
        <v>46107.0</v>
      </c>
      <c r="C772" s="49" t="s">
        <v>3673</v>
      </c>
      <c r="D772" s="99" t="s">
        <v>3670</v>
      </c>
      <c r="E772" s="25" t="s">
        <v>122</v>
      </c>
      <c r="F772" s="25" t="s">
        <v>983</v>
      </c>
      <c r="G772" s="25" t="s">
        <v>42</v>
      </c>
      <c r="H772" s="49" t="s">
        <v>3674</v>
      </c>
      <c r="I772" s="101">
        <v>46123.0</v>
      </c>
      <c r="J772" s="49">
        <v>3.0</v>
      </c>
      <c r="K772" s="30"/>
      <c r="L772" s="49" t="s">
        <v>3675</v>
      </c>
      <c r="M772" s="50">
        <v>8.0</v>
      </c>
      <c r="N772" s="51"/>
      <c r="O772" s="20"/>
      <c r="P772" s="20"/>
      <c r="Q772" s="20"/>
      <c r="R772" s="20"/>
      <c r="S772" s="20"/>
    </row>
    <row r="773">
      <c r="A773" s="76" t="s">
        <v>3676</v>
      </c>
      <c r="B773" s="110">
        <v>46107.0</v>
      </c>
      <c r="C773" s="76" t="s">
        <v>3677</v>
      </c>
      <c r="D773" s="99" t="s">
        <v>3678</v>
      </c>
      <c r="E773" s="25" t="s">
        <v>17</v>
      </c>
      <c r="F773" s="25" t="s">
        <v>129</v>
      </c>
      <c r="G773" s="25" t="s">
        <v>42</v>
      </c>
      <c r="H773" s="76" t="s">
        <v>3679</v>
      </c>
      <c r="I773" s="76" t="s">
        <v>966</v>
      </c>
      <c r="J773" s="76">
        <v>5.0</v>
      </c>
      <c r="K773" s="46"/>
      <c r="L773" s="76" t="s">
        <v>3680</v>
      </c>
      <c r="M773" s="44">
        <v>8.0</v>
      </c>
      <c r="N773" s="105" t="s">
        <v>3681</v>
      </c>
      <c r="O773" s="20"/>
      <c r="P773" s="20"/>
      <c r="Q773" s="20"/>
      <c r="R773" s="20"/>
      <c r="S773" s="20"/>
    </row>
    <row r="774">
      <c r="A774" s="49" t="s">
        <v>3682</v>
      </c>
      <c r="B774" s="110">
        <v>46107.0</v>
      </c>
      <c r="C774" s="49" t="s">
        <v>3683</v>
      </c>
      <c r="D774" s="102" t="s">
        <v>3684</v>
      </c>
      <c r="E774" s="25" t="s">
        <v>1877</v>
      </c>
      <c r="F774" s="25" t="s">
        <v>129</v>
      </c>
      <c r="G774" s="25" t="s">
        <v>42</v>
      </c>
      <c r="H774" s="23"/>
      <c r="I774" s="23"/>
      <c r="J774" s="23"/>
      <c r="K774" s="30"/>
      <c r="L774" s="49" t="s">
        <v>3685</v>
      </c>
      <c r="M774" s="50">
        <v>8.0</v>
      </c>
      <c r="N774" s="51"/>
      <c r="O774" s="20"/>
      <c r="P774" s="20"/>
      <c r="Q774" s="20"/>
      <c r="R774" s="20"/>
      <c r="S774" s="20"/>
    </row>
    <row r="775">
      <c r="A775" s="76" t="s">
        <v>3686</v>
      </c>
      <c r="B775" s="110">
        <v>46107.0</v>
      </c>
      <c r="C775" s="76" t="s">
        <v>3687</v>
      </c>
      <c r="D775" s="99" t="s">
        <v>3688</v>
      </c>
      <c r="E775" s="25" t="s">
        <v>128</v>
      </c>
      <c r="F775" s="25" t="s">
        <v>129</v>
      </c>
      <c r="G775" s="25" t="s">
        <v>42</v>
      </c>
      <c r="H775" s="76" t="s">
        <v>3689</v>
      </c>
      <c r="I775" s="118">
        <v>46108.0</v>
      </c>
      <c r="J775" s="76">
        <v>5.0</v>
      </c>
      <c r="K775" s="46">
        <f>607500*5</f>
        <v>3037500</v>
      </c>
      <c r="L775" s="76" t="s">
        <v>3690</v>
      </c>
      <c r="M775" s="44">
        <v>8.0</v>
      </c>
      <c r="N775" s="105" t="s">
        <v>3691</v>
      </c>
      <c r="O775" s="20"/>
      <c r="P775" s="20"/>
      <c r="Q775" s="20"/>
      <c r="R775" s="20"/>
      <c r="S775" s="20"/>
    </row>
    <row r="776">
      <c r="A776" s="49" t="s">
        <v>3692</v>
      </c>
      <c r="B776" s="110">
        <v>46107.0</v>
      </c>
      <c r="C776" s="49" t="s">
        <v>3693</v>
      </c>
      <c r="D776" s="102" t="s">
        <v>3694</v>
      </c>
      <c r="E776" s="25" t="s">
        <v>869</v>
      </c>
      <c r="F776" s="25" t="s">
        <v>129</v>
      </c>
      <c r="G776" s="25" t="s">
        <v>42</v>
      </c>
      <c r="H776" s="49" t="s">
        <v>3695</v>
      </c>
      <c r="I776" s="101">
        <v>46131.0</v>
      </c>
      <c r="J776" s="49">
        <v>5.0</v>
      </c>
      <c r="K776" s="30">
        <f>423000*5</f>
        <v>2115000</v>
      </c>
      <c r="L776" s="49" t="s">
        <v>3696</v>
      </c>
      <c r="M776" s="50">
        <v>8.0</v>
      </c>
      <c r="N776" s="115" t="s">
        <v>3697</v>
      </c>
      <c r="O776" s="20"/>
      <c r="P776" s="20"/>
      <c r="Q776" s="20"/>
      <c r="R776" s="20"/>
      <c r="S776" s="20"/>
    </row>
    <row r="777">
      <c r="A777" s="76" t="s">
        <v>3698</v>
      </c>
      <c r="B777" s="97">
        <v>46108.0</v>
      </c>
      <c r="C777" s="76" t="s">
        <v>3699</v>
      </c>
      <c r="D777" s="99" t="s">
        <v>3700</v>
      </c>
      <c r="E777" s="25" t="s">
        <v>122</v>
      </c>
      <c r="F777" s="25" t="s">
        <v>983</v>
      </c>
      <c r="G777" s="25" t="s">
        <v>42</v>
      </c>
      <c r="H777" s="76" t="s">
        <v>1275</v>
      </c>
      <c r="I777" s="10"/>
      <c r="J777" s="129">
        <v>46302.0</v>
      </c>
      <c r="K777" s="46"/>
      <c r="L777" s="76" t="s">
        <v>3701</v>
      </c>
      <c r="M777" s="44">
        <v>8.0</v>
      </c>
      <c r="N777" s="86" t="s">
        <v>3702</v>
      </c>
      <c r="O777" s="20"/>
      <c r="P777" s="20"/>
      <c r="Q777" s="20"/>
      <c r="R777" s="20"/>
      <c r="S777" s="20"/>
    </row>
    <row r="778">
      <c r="A778" s="49" t="s">
        <v>3703</v>
      </c>
      <c r="B778" s="110">
        <v>46108.0</v>
      </c>
      <c r="C778" s="49" t="s">
        <v>3704</v>
      </c>
      <c r="D778" s="102" t="s">
        <v>3705</v>
      </c>
      <c r="E778" s="25" t="s">
        <v>122</v>
      </c>
      <c r="F778" s="25" t="s">
        <v>129</v>
      </c>
      <c r="G778" s="25" t="s">
        <v>42</v>
      </c>
      <c r="H778" s="49" t="s">
        <v>123</v>
      </c>
      <c r="I778" s="49" t="s">
        <v>916</v>
      </c>
      <c r="J778" s="143">
        <v>46115.0</v>
      </c>
      <c r="K778" s="30"/>
      <c r="L778" s="49" t="s">
        <v>3706</v>
      </c>
      <c r="M778" s="50">
        <v>8.0</v>
      </c>
      <c r="N778" s="104" t="s">
        <v>3707</v>
      </c>
      <c r="O778" s="20"/>
      <c r="P778" s="20"/>
      <c r="Q778" s="20"/>
      <c r="R778" s="20"/>
      <c r="S778" s="20"/>
    </row>
    <row r="779">
      <c r="A779" s="76" t="s">
        <v>3708</v>
      </c>
      <c r="B779" s="97">
        <v>46108.0</v>
      </c>
      <c r="C779" s="76" t="s">
        <v>3709</v>
      </c>
      <c r="D779" s="99" t="s">
        <v>3710</v>
      </c>
      <c r="E779" s="25" t="s">
        <v>122</v>
      </c>
      <c r="F779" s="25" t="s">
        <v>129</v>
      </c>
      <c r="G779" s="25" t="s">
        <v>42</v>
      </c>
      <c r="H779" s="76" t="s">
        <v>3711</v>
      </c>
      <c r="I779" s="76" t="s">
        <v>3712</v>
      </c>
      <c r="J779" s="76">
        <v>1.0</v>
      </c>
      <c r="K779" s="19">
        <v>1600000.0</v>
      </c>
      <c r="L779" s="76" t="s">
        <v>3713</v>
      </c>
      <c r="M779" s="44">
        <v>8.0</v>
      </c>
      <c r="N779" s="105" t="s">
        <v>3714</v>
      </c>
      <c r="O779" s="20"/>
      <c r="P779" s="20"/>
      <c r="Q779" s="20"/>
      <c r="R779" s="20"/>
      <c r="S779" s="20"/>
    </row>
    <row r="780">
      <c r="A780" s="49" t="s">
        <v>3715</v>
      </c>
      <c r="B780" s="110">
        <v>46108.0</v>
      </c>
      <c r="C780" s="49" t="s">
        <v>3716</v>
      </c>
      <c r="D780" s="102" t="s">
        <v>3717</v>
      </c>
      <c r="E780" s="25" t="s">
        <v>17</v>
      </c>
      <c r="F780" s="25" t="s">
        <v>129</v>
      </c>
      <c r="G780" s="25" t="s">
        <v>42</v>
      </c>
      <c r="H780" s="49" t="s">
        <v>3718</v>
      </c>
      <c r="I780" s="101">
        <v>46109.0</v>
      </c>
      <c r="J780" s="49">
        <v>4.0</v>
      </c>
      <c r="K780" s="30">
        <f>412000*4</f>
        <v>1648000</v>
      </c>
      <c r="L780" s="49" t="s">
        <v>3719</v>
      </c>
      <c r="M780" s="50">
        <v>8.0</v>
      </c>
      <c r="N780" s="51"/>
      <c r="O780" s="20"/>
      <c r="P780" s="20"/>
      <c r="Q780" s="20"/>
      <c r="R780" s="20"/>
      <c r="S780" s="20"/>
    </row>
    <row r="781">
      <c r="A781" s="76" t="s">
        <v>3720</v>
      </c>
      <c r="B781" s="97">
        <v>46104.0</v>
      </c>
      <c r="C781" s="76" t="s">
        <v>3721</v>
      </c>
      <c r="D781" s="99" t="s">
        <v>3722</v>
      </c>
      <c r="E781" s="25" t="s">
        <v>122</v>
      </c>
      <c r="F781" s="25" t="s">
        <v>983</v>
      </c>
      <c r="G781" s="25" t="s">
        <v>19</v>
      </c>
      <c r="H781" s="76" t="s">
        <v>3723</v>
      </c>
      <c r="I781" s="118">
        <v>46105.0</v>
      </c>
      <c r="J781" s="76">
        <v>4.0</v>
      </c>
      <c r="K781" s="19">
        <v>1800000.0</v>
      </c>
      <c r="L781" s="76" t="s">
        <v>1763</v>
      </c>
      <c r="M781" s="44">
        <v>7.0</v>
      </c>
      <c r="N781" s="45"/>
      <c r="O781" s="20"/>
      <c r="P781" s="20"/>
      <c r="Q781" s="20"/>
      <c r="R781" s="20"/>
      <c r="S781" s="20"/>
    </row>
    <row r="782">
      <c r="A782" s="49" t="s">
        <v>3724</v>
      </c>
      <c r="B782" s="110">
        <v>46108.0</v>
      </c>
      <c r="C782" s="49" t="s">
        <v>3725</v>
      </c>
      <c r="D782" s="102" t="s">
        <v>3726</v>
      </c>
      <c r="E782" s="25" t="s">
        <v>122</v>
      </c>
      <c r="F782" s="25" t="s">
        <v>18</v>
      </c>
      <c r="G782" s="25" t="s">
        <v>42</v>
      </c>
      <c r="H782" s="49" t="s">
        <v>3727</v>
      </c>
      <c r="I782" s="101">
        <v>46142.0</v>
      </c>
      <c r="J782" s="49">
        <v>2.0</v>
      </c>
      <c r="K782" s="36">
        <v>1960000.0</v>
      </c>
      <c r="L782" s="49" t="s">
        <v>1583</v>
      </c>
      <c r="M782" s="50">
        <v>8.0</v>
      </c>
      <c r="N782" s="104" t="s">
        <v>3728</v>
      </c>
      <c r="O782" s="20"/>
      <c r="P782" s="20"/>
      <c r="Q782" s="20"/>
      <c r="R782" s="20"/>
      <c r="S782" s="20"/>
    </row>
    <row r="783">
      <c r="A783" s="76" t="s">
        <v>3729</v>
      </c>
      <c r="B783" s="97">
        <v>46108.0</v>
      </c>
      <c r="C783" s="76" t="s">
        <v>3730</v>
      </c>
      <c r="D783" s="99" t="s">
        <v>3731</v>
      </c>
      <c r="E783" s="25" t="s">
        <v>17</v>
      </c>
      <c r="F783" s="25" t="s">
        <v>18</v>
      </c>
      <c r="G783" s="25" t="s">
        <v>42</v>
      </c>
      <c r="H783" s="76" t="s">
        <v>3732</v>
      </c>
      <c r="I783" s="76" t="s">
        <v>3733</v>
      </c>
      <c r="J783" s="129">
        <v>46115.0</v>
      </c>
      <c r="K783" s="19">
        <v>5940000.0</v>
      </c>
      <c r="L783" s="76" t="s">
        <v>840</v>
      </c>
      <c r="M783" s="44">
        <v>8.0</v>
      </c>
      <c r="N783" s="86" t="s">
        <v>3734</v>
      </c>
      <c r="O783" s="20"/>
      <c r="P783" s="20"/>
      <c r="Q783" s="20"/>
      <c r="R783" s="20"/>
      <c r="S783" s="20"/>
    </row>
    <row r="784">
      <c r="A784" s="49" t="s">
        <v>3735</v>
      </c>
      <c r="B784" s="110">
        <v>46109.0</v>
      </c>
      <c r="C784" s="49" t="s">
        <v>3736</v>
      </c>
      <c r="D784" s="102" t="s">
        <v>1067</v>
      </c>
      <c r="E784" s="25" t="s">
        <v>128</v>
      </c>
      <c r="F784" s="25" t="s">
        <v>18</v>
      </c>
      <c r="G784" s="25" t="s">
        <v>42</v>
      </c>
      <c r="H784" s="49" t="s">
        <v>2105</v>
      </c>
      <c r="I784" s="49" t="s">
        <v>905</v>
      </c>
      <c r="J784" s="49">
        <v>2.0</v>
      </c>
      <c r="K784" s="36">
        <v>3250000.0</v>
      </c>
      <c r="L784" s="49" t="s">
        <v>3737</v>
      </c>
      <c r="M784" s="50">
        <v>8.0</v>
      </c>
      <c r="N784" s="104" t="s">
        <v>3738</v>
      </c>
      <c r="O784" s="20"/>
      <c r="P784" s="20"/>
      <c r="Q784" s="20"/>
      <c r="R784" s="20"/>
      <c r="S784" s="20"/>
    </row>
    <row r="785">
      <c r="A785" s="76" t="s">
        <v>3739</v>
      </c>
      <c r="B785" s="97">
        <v>46109.0</v>
      </c>
      <c r="C785" s="76" t="s">
        <v>2569</v>
      </c>
      <c r="D785" s="99" t="s">
        <v>3740</v>
      </c>
      <c r="E785" s="25" t="s">
        <v>128</v>
      </c>
      <c r="F785" s="25" t="s">
        <v>18</v>
      </c>
      <c r="G785" s="25" t="s">
        <v>42</v>
      </c>
      <c r="H785" s="10"/>
      <c r="I785" s="10"/>
      <c r="J785" s="10"/>
      <c r="K785" s="46"/>
      <c r="L785" s="76" t="s">
        <v>2116</v>
      </c>
      <c r="M785" s="44">
        <v>8.0</v>
      </c>
      <c r="N785" s="45"/>
      <c r="O785" s="20"/>
      <c r="P785" s="20"/>
      <c r="Q785" s="20"/>
      <c r="R785" s="20"/>
      <c r="S785" s="20"/>
    </row>
    <row r="786">
      <c r="A786" s="49" t="s">
        <v>3741</v>
      </c>
      <c r="B786" s="135">
        <v>46109.0</v>
      </c>
      <c r="C786" s="49" t="s">
        <v>3742</v>
      </c>
      <c r="D786" s="102" t="s">
        <v>3743</v>
      </c>
      <c r="E786" s="25" t="s">
        <v>122</v>
      </c>
      <c r="F786" s="25" t="s">
        <v>129</v>
      </c>
      <c r="G786" s="25" t="s">
        <v>19</v>
      </c>
      <c r="H786" s="49" t="s">
        <v>3744</v>
      </c>
      <c r="I786" s="49" t="s">
        <v>3745</v>
      </c>
      <c r="J786" s="49">
        <v>2.0</v>
      </c>
      <c r="K786" s="36">
        <v>3850000.0</v>
      </c>
      <c r="L786" s="49" t="s">
        <v>1763</v>
      </c>
      <c r="M786" s="50">
        <v>7.0</v>
      </c>
      <c r="N786" s="115" t="s">
        <v>3746</v>
      </c>
      <c r="O786" s="20"/>
      <c r="P786" s="20"/>
      <c r="Q786" s="20"/>
      <c r="R786" s="20"/>
      <c r="S786" s="20"/>
    </row>
    <row r="787">
      <c r="A787" s="76" t="s">
        <v>3747</v>
      </c>
      <c r="B787" s="97">
        <v>46109.0</v>
      </c>
      <c r="C787" s="76" t="s">
        <v>3748</v>
      </c>
      <c r="D787" s="99" t="s">
        <v>3749</v>
      </c>
      <c r="E787" s="25" t="s">
        <v>1877</v>
      </c>
      <c r="F787" s="25" t="s">
        <v>129</v>
      </c>
      <c r="G787" s="25" t="s">
        <v>42</v>
      </c>
      <c r="H787" s="76" t="s">
        <v>3750</v>
      </c>
      <c r="I787" s="118">
        <v>46116.0</v>
      </c>
      <c r="J787" s="76">
        <v>14.0</v>
      </c>
      <c r="K787" s="46">
        <f>425000*14</f>
        <v>5950000</v>
      </c>
      <c r="L787" s="76" t="s">
        <v>3078</v>
      </c>
      <c r="M787" s="44">
        <v>8.0</v>
      </c>
      <c r="N787" s="105" t="s">
        <v>3751</v>
      </c>
      <c r="O787" s="20"/>
      <c r="P787" s="20"/>
      <c r="Q787" s="20"/>
      <c r="R787" s="20"/>
      <c r="S787" s="20"/>
    </row>
    <row r="788">
      <c r="A788" s="49" t="s">
        <v>3752</v>
      </c>
      <c r="B788" s="110">
        <v>46109.0</v>
      </c>
      <c r="C788" s="49" t="s">
        <v>3753</v>
      </c>
      <c r="D788" s="102" t="s">
        <v>3754</v>
      </c>
      <c r="E788" s="25" t="s">
        <v>17</v>
      </c>
      <c r="F788" s="25" t="s">
        <v>18</v>
      </c>
      <c r="G788" s="25" t="s">
        <v>42</v>
      </c>
      <c r="H788" s="23"/>
      <c r="I788" s="23"/>
      <c r="J788" s="23"/>
      <c r="K788" s="30"/>
      <c r="L788" s="49" t="s">
        <v>2116</v>
      </c>
      <c r="M788" s="50">
        <v>8.0</v>
      </c>
      <c r="N788" s="51"/>
      <c r="O788" s="20"/>
      <c r="P788" s="20"/>
      <c r="Q788" s="20"/>
      <c r="R788" s="20"/>
      <c r="S788" s="20"/>
    </row>
    <row r="789">
      <c r="A789" s="49" t="s">
        <v>3755</v>
      </c>
      <c r="B789" s="97">
        <v>46109.0</v>
      </c>
      <c r="C789" s="76" t="s">
        <v>3756</v>
      </c>
      <c r="D789" s="99" t="s">
        <v>3757</v>
      </c>
      <c r="E789" s="25" t="s">
        <v>17</v>
      </c>
      <c r="F789" s="25" t="s">
        <v>18</v>
      </c>
      <c r="G789" s="25" t="s">
        <v>42</v>
      </c>
      <c r="H789" s="76" t="s">
        <v>3758</v>
      </c>
      <c r="I789" s="76" t="s">
        <v>3759</v>
      </c>
      <c r="J789" s="76">
        <v>5.0</v>
      </c>
      <c r="K789" s="19">
        <v>1040000.0</v>
      </c>
      <c r="L789" s="76" t="s">
        <v>3760</v>
      </c>
      <c r="M789" s="44">
        <v>8.0</v>
      </c>
      <c r="N789" s="45"/>
      <c r="O789" s="20"/>
      <c r="P789" s="20"/>
      <c r="Q789" s="20"/>
      <c r="R789" s="20"/>
      <c r="S789" s="20"/>
    </row>
    <row r="790">
      <c r="A790" s="49" t="s">
        <v>3761</v>
      </c>
      <c r="B790" s="110">
        <v>46109.0</v>
      </c>
      <c r="C790" s="49" t="s">
        <v>3762</v>
      </c>
      <c r="D790" s="102" t="s">
        <v>3763</v>
      </c>
      <c r="E790" s="25" t="s">
        <v>122</v>
      </c>
      <c r="F790" s="25" t="s">
        <v>983</v>
      </c>
      <c r="G790" s="25" t="s">
        <v>19</v>
      </c>
      <c r="H790" s="49" t="s">
        <v>2166</v>
      </c>
      <c r="I790" s="101">
        <v>46109.0</v>
      </c>
      <c r="J790" s="49">
        <v>1.0</v>
      </c>
      <c r="K790" s="30"/>
      <c r="L790" s="49" t="s">
        <v>3625</v>
      </c>
      <c r="M790" s="50">
        <v>7.0</v>
      </c>
      <c r="N790" s="51"/>
      <c r="O790" s="20"/>
      <c r="P790" s="20"/>
      <c r="Q790" s="20"/>
      <c r="R790" s="20"/>
      <c r="S790" s="20"/>
    </row>
    <row r="791">
      <c r="A791" s="76" t="s">
        <v>3764</v>
      </c>
      <c r="B791" s="97">
        <v>46109.0</v>
      </c>
      <c r="C791" s="76" t="s">
        <v>3765</v>
      </c>
      <c r="D791" s="99" t="s">
        <v>3766</v>
      </c>
      <c r="E791" s="25" t="s">
        <v>122</v>
      </c>
      <c r="F791" s="25" t="s">
        <v>983</v>
      </c>
      <c r="G791" s="25" t="s">
        <v>42</v>
      </c>
      <c r="H791" s="76" t="s">
        <v>3767</v>
      </c>
      <c r="I791" s="118">
        <v>46148.0</v>
      </c>
      <c r="J791" s="76">
        <v>4.0</v>
      </c>
      <c r="K791" s="19">
        <v>1160000.0</v>
      </c>
      <c r="L791" s="76" t="s">
        <v>3768</v>
      </c>
      <c r="M791" s="44">
        <v>8.0</v>
      </c>
      <c r="N791" s="86" t="s">
        <v>3769</v>
      </c>
      <c r="O791" s="20"/>
      <c r="P791" s="20"/>
      <c r="Q791" s="20"/>
      <c r="R791" s="20"/>
      <c r="S791" s="20"/>
    </row>
    <row r="792">
      <c r="A792" s="49" t="s">
        <v>3770</v>
      </c>
      <c r="B792" s="110">
        <v>46109.0</v>
      </c>
      <c r="C792" s="49" t="s">
        <v>3771</v>
      </c>
      <c r="D792" s="102" t="s">
        <v>3772</v>
      </c>
      <c r="E792" s="25" t="s">
        <v>122</v>
      </c>
      <c r="F792" s="25" t="s">
        <v>983</v>
      </c>
      <c r="G792" s="25" t="s">
        <v>42</v>
      </c>
      <c r="H792" s="23"/>
      <c r="I792" s="131">
        <v>46109.0</v>
      </c>
      <c r="J792" s="23"/>
      <c r="K792" s="30"/>
      <c r="L792" s="49" t="s">
        <v>3773</v>
      </c>
      <c r="M792" s="50">
        <v>8.0</v>
      </c>
      <c r="N792" s="104" t="s">
        <v>3774</v>
      </c>
      <c r="O792" s="20"/>
      <c r="P792" s="20"/>
      <c r="Q792" s="20"/>
      <c r="R792" s="20"/>
      <c r="S792" s="20"/>
    </row>
    <row r="793">
      <c r="A793" s="76" t="s">
        <v>3775</v>
      </c>
      <c r="B793" s="97">
        <v>46109.0</v>
      </c>
      <c r="C793" s="76" t="s">
        <v>3776</v>
      </c>
      <c r="D793" s="99" t="s">
        <v>3777</v>
      </c>
      <c r="E793" s="25" t="s">
        <v>122</v>
      </c>
      <c r="F793" s="25" t="s">
        <v>129</v>
      </c>
      <c r="G793" s="25" t="s">
        <v>42</v>
      </c>
      <c r="H793" s="76" t="s">
        <v>3778</v>
      </c>
      <c r="I793" s="10"/>
      <c r="J793" s="76">
        <v>7.0</v>
      </c>
      <c r="K793" s="46"/>
      <c r="L793" s="76" t="s">
        <v>3779</v>
      </c>
      <c r="M793" s="44">
        <v>8.0</v>
      </c>
      <c r="N793" s="86" t="s">
        <v>3780</v>
      </c>
      <c r="O793" s="20"/>
      <c r="P793" s="20"/>
      <c r="Q793" s="20"/>
      <c r="R793" s="20"/>
      <c r="S793" s="20"/>
    </row>
    <row r="794">
      <c r="A794" s="49" t="s">
        <v>3781</v>
      </c>
      <c r="B794" s="110">
        <v>46109.0</v>
      </c>
      <c r="C794" s="49" t="s">
        <v>3782</v>
      </c>
      <c r="D794" s="102" t="s">
        <v>3783</v>
      </c>
      <c r="E794" s="25" t="s">
        <v>17</v>
      </c>
      <c r="F794" s="25" t="s">
        <v>129</v>
      </c>
      <c r="G794" s="25" t="s">
        <v>19</v>
      </c>
      <c r="H794" s="49" t="s">
        <v>3784</v>
      </c>
      <c r="I794" s="101">
        <v>46114.0</v>
      </c>
      <c r="J794" s="49">
        <v>4.0</v>
      </c>
      <c r="K794" s="30">
        <f>499000*4</f>
        <v>1996000</v>
      </c>
      <c r="L794" s="49" t="s">
        <v>2130</v>
      </c>
      <c r="M794" s="50">
        <v>7.0</v>
      </c>
      <c r="N794" s="104" t="s">
        <v>3785</v>
      </c>
      <c r="O794" s="20"/>
      <c r="P794" s="20"/>
      <c r="Q794" s="20"/>
      <c r="R794" s="20"/>
      <c r="S794" s="20"/>
    </row>
    <row r="795">
      <c r="A795" s="76" t="s">
        <v>3786</v>
      </c>
      <c r="B795" s="97">
        <v>46110.0</v>
      </c>
      <c r="C795" s="76" t="s">
        <v>3787</v>
      </c>
      <c r="D795" s="99" t="s">
        <v>3788</v>
      </c>
      <c r="E795" s="25" t="s">
        <v>122</v>
      </c>
      <c r="F795" s="25" t="s">
        <v>983</v>
      </c>
      <c r="G795" s="25" t="s">
        <v>42</v>
      </c>
      <c r="H795" s="76" t="s">
        <v>3789</v>
      </c>
      <c r="I795" s="76" t="s">
        <v>2463</v>
      </c>
      <c r="J795" s="76">
        <v>24.0</v>
      </c>
      <c r="K795" s="19">
        <v>1.6125E7</v>
      </c>
      <c r="L795" s="76" t="s">
        <v>3790</v>
      </c>
      <c r="M795" s="44">
        <v>8.0</v>
      </c>
      <c r="N795" s="86" t="s">
        <v>3791</v>
      </c>
      <c r="O795" s="20"/>
      <c r="P795" s="20"/>
      <c r="Q795" s="20"/>
      <c r="R795" s="20"/>
      <c r="S795" s="20"/>
    </row>
    <row r="796">
      <c r="A796" s="49" t="s">
        <v>3792</v>
      </c>
      <c r="B796" s="110">
        <v>46110.0</v>
      </c>
      <c r="C796" s="49" t="s">
        <v>484</v>
      </c>
      <c r="D796" s="102" t="s">
        <v>3793</v>
      </c>
      <c r="E796" s="25" t="s">
        <v>122</v>
      </c>
      <c r="F796" s="25" t="s">
        <v>983</v>
      </c>
      <c r="G796" s="25" t="s">
        <v>42</v>
      </c>
      <c r="H796" s="49" t="s">
        <v>775</v>
      </c>
      <c r="I796" s="101">
        <v>46116.0</v>
      </c>
      <c r="J796" s="49">
        <v>2.0</v>
      </c>
      <c r="K796" s="30"/>
      <c r="L796" s="49" t="s">
        <v>3078</v>
      </c>
      <c r="M796" s="50">
        <v>8.0</v>
      </c>
      <c r="N796" s="51"/>
      <c r="O796" s="20"/>
      <c r="P796" s="20"/>
      <c r="Q796" s="20"/>
      <c r="R796" s="20"/>
      <c r="S796" s="20"/>
    </row>
    <row r="797">
      <c r="A797" s="76" t="s">
        <v>3794</v>
      </c>
      <c r="B797" s="97">
        <v>46110.0</v>
      </c>
      <c r="C797" s="76" t="s">
        <v>3795</v>
      </c>
      <c r="D797" s="99" t="s">
        <v>3796</v>
      </c>
      <c r="E797" s="25" t="s">
        <v>122</v>
      </c>
      <c r="F797" s="25" t="s">
        <v>129</v>
      </c>
      <c r="G797" s="25" t="s">
        <v>29</v>
      </c>
      <c r="H797" s="10"/>
      <c r="I797" s="76" t="s">
        <v>3797</v>
      </c>
      <c r="J797" s="76">
        <v>4.0</v>
      </c>
      <c r="K797" s="46"/>
      <c r="L797" s="76" t="s">
        <v>3798</v>
      </c>
      <c r="M797" s="44">
        <v>1.0</v>
      </c>
      <c r="N797" s="86" t="s">
        <v>3799</v>
      </c>
      <c r="O797" s="20"/>
      <c r="P797" s="20"/>
      <c r="Q797" s="20"/>
      <c r="R797" s="20"/>
      <c r="S797" s="20"/>
    </row>
    <row r="798">
      <c r="A798" s="49" t="s">
        <v>3800</v>
      </c>
      <c r="B798" s="110">
        <v>46110.0</v>
      </c>
      <c r="C798" s="49" t="s">
        <v>3801</v>
      </c>
      <c r="D798" s="102" t="s">
        <v>3802</v>
      </c>
      <c r="E798" s="25" t="s">
        <v>17</v>
      </c>
      <c r="F798" s="25" t="s">
        <v>129</v>
      </c>
      <c r="G798" s="25" t="s">
        <v>42</v>
      </c>
      <c r="H798" s="49" t="s">
        <v>20</v>
      </c>
      <c r="I798" s="101">
        <v>46111.0</v>
      </c>
      <c r="J798" s="49">
        <v>4.0</v>
      </c>
      <c r="K798" s="30">
        <f>500000*4</f>
        <v>2000000</v>
      </c>
      <c r="L798" s="49" t="s">
        <v>3803</v>
      </c>
      <c r="M798" s="50">
        <v>8.0</v>
      </c>
      <c r="N798" s="51"/>
      <c r="O798" s="20"/>
      <c r="P798" s="20"/>
      <c r="Q798" s="20"/>
      <c r="R798" s="20"/>
      <c r="S798" s="20"/>
    </row>
    <row r="799">
      <c r="A799" s="76" t="s">
        <v>3804</v>
      </c>
      <c r="B799" s="97">
        <v>46110.0</v>
      </c>
      <c r="C799" s="76" t="s">
        <v>3805</v>
      </c>
      <c r="D799" s="99" t="s">
        <v>3806</v>
      </c>
      <c r="E799" s="25" t="s">
        <v>122</v>
      </c>
      <c r="F799" s="25" t="s">
        <v>129</v>
      </c>
      <c r="G799" s="25" t="s">
        <v>42</v>
      </c>
      <c r="H799" s="10"/>
      <c r="I799" s="10"/>
      <c r="J799" s="10"/>
      <c r="K799" s="46"/>
      <c r="L799" s="76" t="s">
        <v>3807</v>
      </c>
      <c r="M799" s="44">
        <v>8.0</v>
      </c>
      <c r="N799" s="45"/>
      <c r="O799" s="20"/>
      <c r="P799" s="20"/>
      <c r="Q799" s="20"/>
      <c r="R799" s="20"/>
      <c r="S799" s="20"/>
    </row>
    <row r="800">
      <c r="A800" s="49" t="s">
        <v>3808</v>
      </c>
      <c r="B800" s="110">
        <v>46110.0</v>
      </c>
      <c r="C800" s="49" t="s">
        <v>3809</v>
      </c>
      <c r="D800" s="102" t="s">
        <v>3810</v>
      </c>
      <c r="E800" s="25" t="s">
        <v>128</v>
      </c>
      <c r="F800" s="25" t="s">
        <v>18</v>
      </c>
      <c r="G800" s="25" t="s">
        <v>19</v>
      </c>
      <c r="H800" s="49" t="s">
        <v>2120</v>
      </c>
      <c r="I800" s="101">
        <v>46113.0</v>
      </c>
      <c r="J800" s="49">
        <v>1.0</v>
      </c>
      <c r="K800" s="36">
        <v>755000.0</v>
      </c>
      <c r="L800" s="49" t="s">
        <v>3625</v>
      </c>
      <c r="M800" s="50">
        <v>7.0</v>
      </c>
      <c r="N800" s="51"/>
      <c r="O800" s="20"/>
      <c r="P800" s="20"/>
      <c r="Q800" s="20"/>
      <c r="R800" s="20"/>
      <c r="S800" s="20"/>
    </row>
    <row r="801">
      <c r="A801" s="76" t="s">
        <v>3811</v>
      </c>
      <c r="B801" s="97">
        <v>46111.0</v>
      </c>
      <c r="C801" s="76" t="s">
        <v>3812</v>
      </c>
      <c r="D801" s="99" t="s">
        <v>3813</v>
      </c>
      <c r="E801" s="25" t="s">
        <v>128</v>
      </c>
      <c r="F801" s="25" t="s">
        <v>18</v>
      </c>
      <c r="G801" s="25" t="s">
        <v>19</v>
      </c>
      <c r="H801" s="76" t="s">
        <v>894</v>
      </c>
      <c r="I801" s="76" t="s">
        <v>3132</v>
      </c>
      <c r="J801" s="76" t="s">
        <v>3814</v>
      </c>
      <c r="K801" s="19">
        <v>2.11E7</v>
      </c>
      <c r="L801" s="76" t="s">
        <v>2232</v>
      </c>
      <c r="M801" s="44">
        <v>7.0</v>
      </c>
      <c r="N801" s="86" t="s">
        <v>3815</v>
      </c>
      <c r="O801" s="20"/>
      <c r="P801" s="20"/>
      <c r="Q801" s="20"/>
      <c r="R801" s="20"/>
      <c r="S801" s="20"/>
    </row>
    <row r="802">
      <c r="A802" s="49" t="s">
        <v>3816</v>
      </c>
      <c r="B802" s="110">
        <v>46111.0</v>
      </c>
      <c r="C802" s="49" t="s">
        <v>3817</v>
      </c>
      <c r="D802" s="102" t="s">
        <v>3818</v>
      </c>
      <c r="E802" s="25" t="s">
        <v>17</v>
      </c>
      <c r="F802" s="25" t="s">
        <v>983</v>
      </c>
      <c r="G802" s="25" t="s">
        <v>42</v>
      </c>
      <c r="H802" s="49" t="s">
        <v>287</v>
      </c>
      <c r="I802" s="101">
        <v>46168.0</v>
      </c>
      <c r="J802" s="49">
        <v>30.0</v>
      </c>
      <c r="K802" s="36">
        <v>5.895E7</v>
      </c>
      <c r="L802" s="49" t="s">
        <v>3819</v>
      </c>
      <c r="M802" s="50">
        <v>8.0</v>
      </c>
      <c r="N802" s="104" t="s">
        <v>3820</v>
      </c>
      <c r="O802" s="20"/>
      <c r="P802" s="20"/>
      <c r="Q802" s="20"/>
      <c r="R802" s="20"/>
      <c r="S802" s="20"/>
    </row>
    <row r="803">
      <c r="A803" s="76" t="s">
        <v>3821</v>
      </c>
      <c r="B803" s="97">
        <v>46111.0</v>
      </c>
      <c r="C803" s="76" t="s">
        <v>3822</v>
      </c>
      <c r="D803" s="99" t="s">
        <v>3823</v>
      </c>
      <c r="E803" s="25" t="s">
        <v>128</v>
      </c>
      <c r="F803" s="25" t="s">
        <v>129</v>
      </c>
      <c r="G803" s="25" t="s">
        <v>34</v>
      </c>
      <c r="H803" s="76" t="s">
        <v>116</v>
      </c>
      <c r="I803" s="118">
        <v>46187.0</v>
      </c>
      <c r="J803" s="76">
        <v>25.0</v>
      </c>
      <c r="K803" s="19">
        <v>2.75E7</v>
      </c>
      <c r="L803" s="76" t="s">
        <v>3824</v>
      </c>
      <c r="M803" s="44">
        <v>2.0</v>
      </c>
      <c r="N803" s="86" t="s">
        <v>3825</v>
      </c>
      <c r="O803" s="20"/>
      <c r="P803" s="20"/>
      <c r="Q803" s="20"/>
      <c r="R803" s="20"/>
      <c r="S803" s="20"/>
    </row>
    <row r="804">
      <c r="A804" s="49" t="s">
        <v>3826</v>
      </c>
      <c r="B804" s="110">
        <v>46111.0</v>
      </c>
      <c r="C804" s="102" t="s">
        <v>3827</v>
      </c>
      <c r="D804" s="102" t="s">
        <v>3827</v>
      </c>
      <c r="E804" s="25" t="s">
        <v>128</v>
      </c>
      <c r="F804" s="25" t="s">
        <v>18</v>
      </c>
      <c r="G804" s="25" t="s">
        <v>42</v>
      </c>
      <c r="H804" s="49" t="s">
        <v>3828</v>
      </c>
      <c r="I804" s="101">
        <v>46131.0</v>
      </c>
      <c r="J804" s="23"/>
      <c r="K804" s="30"/>
      <c r="L804" s="49" t="s">
        <v>840</v>
      </c>
      <c r="M804" s="50">
        <v>8.0</v>
      </c>
      <c r="N804" s="104" t="s">
        <v>3829</v>
      </c>
      <c r="O804" s="20"/>
      <c r="P804" s="20"/>
      <c r="Q804" s="20"/>
      <c r="R804" s="20"/>
      <c r="S804" s="20"/>
    </row>
    <row r="805">
      <c r="A805" s="76" t="s">
        <v>3830</v>
      </c>
      <c r="B805" s="97">
        <v>46111.0</v>
      </c>
      <c r="C805" s="76" t="s">
        <v>3831</v>
      </c>
      <c r="D805" s="99" t="s">
        <v>3832</v>
      </c>
      <c r="E805" s="25" t="s">
        <v>128</v>
      </c>
      <c r="F805" s="25" t="s">
        <v>129</v>
      </c>
      <c r="G805" s="25" t="s">
        <v>19</v>
      </c>
      <c r="H805" s="76" t="s">
        <v>3833</v>
      </c>
      <c r="I805" s="10"/>
      <c r="J805" s="10"/>
      <c r="K805" s="46"/>
      <c r="L805" s="10"/>
      <c r="M805" s="44">
        <v>7.0</v>
      </c>
      <c r="N805" s="45"/>
      <c r="O805" s="20"/>
      <c r="P805" s="20"/>
      <c r="Q805" s="20"/>
      <c r="R805" s="20"/>
      <c r="S805" s="20"/>
    </row>
    <row r="806">
      <c r="A806" s="49" t="s">
        <v>3834</v>
      </c>
      <c r="B806" s="110">
        <v>46111.0</v>
      </c>
      <c r="C806" s="49" t="s">
        <v>3835</v>
      </c>
      <c r="D806" s="102" t="s">
        <v>3836</v>
      </c>
      <c r="E806" s="25" t="s">
        <v>122</v>
      </c>
      <c r="F806" s="25" t="s">
        <v>129</v>
      </c>
      <c r="G806" s="25" t="s">
        <v>19</v>
      </c>
      <c r="H806" s="49" t="s">
        <v>3837</v>
      </c>
      <c r="I806" s="101">
        <v>46164.0</v>
      </c>
      <c r="J806" s="49">
        <v>2.0</v>
      </c>
      <c r="K806" s="36">
        <v>7194000.0</v>
      </c>
      <c r="L806" s="49" t="s">
        <v>3838</v>
      </c>
      <c r="M806" s="50">
        <v>7.0</v>
      </c>
      <c r="N806" s="104" t="s">
        <v>3839</v>
      </c>
      <c r="O806" s="20"/>
      <c r="P806" s="20"/>
      <c r="Q806" s="20"/>
      <c r="R806" s="20"/>
      <c r="S806" s="20"/>
    </row>
    <row r="807">
      <c r="A807" s="76" t="s">
        <v>3840</v>
      </c>
      <c r="B807" s="97">
        <v>46111.0</v>
      </c>
      <c r="C807" s="76" t="s">
        <v>3841</v>
      </c>
      <c r="D807" s="99" t="s">
        <v>3842</v>
      </c>
      <c r="E807" s="25" t="s">
        <v>122</v>
      </c>
      <c r="F807" s="25" t="s">
        <v>129</v>
      </c>
      <c r="G807" s="25" t="s">
        <v>19</v>
      </c>
      <c r="H807" s="76" t="s">
        <v>3843</v>
      </c>
      <c r="I807" s="118">
        <v>46143.0</v>
      </c>
      <c r="J807" s="129">
        <v>46083.0</v>
      </c>
      <c r="K807" s="19">
        <v>4800000.0</v>
      </c>
      <c r="L807" s="76" t="s">
        <v>3844</v>
      </c>
      <c r="M807" s="44">
        <v>7.0</v>
      </c>
      <c r="N807" s="45"/>
      <c r="O807" s="20"/>
      <c r="P807" s="20"/>
      <c r="Q807" s="20"/>
      <c r="R807" s="20"/>
      <c r="S807" s="20"/>
    </row>
    <row r="808">
      <c r="A808" s="49" t="s">
        <v>3845</v>
      </c>
      <c r="B808" s="110">
        <v>46111.0</v>
      </c>
      <c r="C808" s="49" t="s">
        <v>3846</v>
      </c>
      <c r="D808" s="102" t="s">
        <v>3847</v>
      </c>
      <c r="E808" s="25" t="s">
        <v>128</v>
      </c>
      <c r="F808" s="25" t="s">
        <v>129</v>
      </c>
      <c r="G808" s="25" t="s">
        <v>42</v>
      </c>
      <c r="H808" s="49" t="s">
        <v>3848</v>
      </c>
      <c r="I808" s="101">
        <v>46161.0</v>
      </c>
      <c r="J808" s="49">
        <v>2.0</v>
      </c>
      <c r="K808" s="36">
        <v>2388000.0</v>
      </c>
      <c r="L808" s="49" t="s">
        <v>3849</v>
      </c>
      <c r="M808" s="50">
        <v>8.0</v>
      </c>
      <c r="N808" s="104" t="s">
        <v>3850</v>
      </c>
      <c r="O808" s="20"/>
      <c r="P808" s="20"/>
      <c r="Q808" s="20"/>
      <c r="R808" s="20"/>
      <c r="S808" s="20"/>
    </row>
    <row r="809">
      <c r="A809" s="49" t="s">
        <v>3851</v>
      </c>
      <c r="B809" s="110">
        <v>46112.0</v>
      </c>
      <c r="C809" s="49" t="s">
        <v>3852</v>
      </c>
      <c r="D809" s="102" t="s">
        <v>3853</v>
      </c>
      <c r="E809" s="25" t="s">
        <v>128</v>
      </c>
      <c r="F809" s="25" t="s">
        <v>129</v>
      </c>
      <c r="G809" s="25" t="s">
        <v>19</v>
      </c>
      <c r="H809" s="49" t="s">
        <v>3854</v>
      </c>
      <c r="I809" s="101">
        <v>46116.0</v>
      </c>
      <c r="J809" s="49">
        <v>1.0</v>
      </c>
      <c r="K809" s="36">
        <v>845000.0</v>
      </c>
      <c r="L809" s="49" t="s">
        <v>3855</v>
      </c>
      <c r="M809" s="50">
        <v>7.0</v>
      </c>
      <c r="N809" s="51"/>
      <c r="O809" s="20"/>
      <c r="P809" s="20"/>
      <c r="Q809" s="20"/>
      <c r="R809" s="20"/>
      <c r="S809" s="20"/>
    </row>
    <row r="810">
      <c r="A810" s="76" t="s">
        <v>3856</v>
      </c>
      <c r="B810" s="97">
        <v>46112.0</v>
      </c>
      <c r="C810" s="76" t="s">
        <v>3857</v>
      </c>
      <c r="D810" s="99" t="s">
        <v>3858</v>
      </c>
      <c r="E810" s="25" t="s">
        <v>122</v>
      </c>
      <c r="F810" s="25" t="s">
        <v>129</v>
      </c>
      <c r="G810" s="25" t="s">
        <v>42</v>
      </c>
      <c r="H810" s="76" t="s">
        <v>3859</v>
      </c>
      <c r="I810" s="118">
        <v>46113.0</v>
      </c>
      <c r="J810" s="76">
        <v>2.0</v>
      </c>
      <c r="K810" s="46"/>
      <c r="L810" s="76" t="s">
        <v>158</v>
      </c>
      <c r="M810" s="44">
        <v>8.0</v>
      </c>
      <c r="N810" s="45"/>
      <c r="O810" s="20"/>
      <c r="P810" s="20"/>
      <c r="Q810" s="20"/>
      <c r="R810" s="20"/>
      <c r="S810" s="20"/>
    </row>
    <row r="811">
      <c r="A811" s="76" t="s">
        <v>3860</v>
      </c>
      <c r="B811" s="97">
        <v>46112.0</v>
      </c>
      <c r="C811" s="76" t="s">
        <v>3861</v>
      </c>
      <c r="D811" s="99" t="s">
        <v>3862</v>
      </c>
      <c r="E811" s="25" t="s">
        <v>128</v>
      </c>
      <c r="F811" s="25" t="s">
        <v>18</v>
      </c>
      <c r="G811" s="25" t="s">
        <v>42</v>
      </c>
      <c r="H811" s="76" t="s">
        <v>1383</v>
      </c>
      <c r="I811" s="10"/>
      <c r="J811" s="76">
        <v>2.0</v>
      </c>
      <c r="K811" s="19">
        <v>3300000.0</v>
      </c>
      <c r="L811" s="76" t="s">
        <v>840</v>
      </c>
      <c r="M811" s="44">
        <v>8.0</v>
      </c>
      <c r="N811" s="86" t="s">
        <v>3863</v>
      </c>
      <c r="O811" s="20"/>
      <c r="P811" s="20"/>
      <c r="Q811" s="20"/>
      <c r="R811" s="20"/>
      <c r="S811" s="20"/>
    </row>
    <row r="812">
      <c r="A812" s="49" t="s">
        <v>3864</v>
      </c>
      <c r="B812" s="97">
        <v>46112.0</v>
      </c>
      <c r="C812" s="49" t="s">
        <v>3865</v>
      </c>
      <c r="D812" s="102" t="s">
        <v>3866</v>
      </c>
      <c r="E812" s="25" t="s">
        <v>128</v>
      </c>
      <c r="F812" s="25" t="s">
        <v>18</v>
      </c>
      <c r="G812" s="25" t="s">
        <v>34</v>
      </c>
      <c r="H812" s="49" t="s">
        <v>3317</v>
      </c>
      <c r="I812" s="49" t="s">
        <v>3867</v>
      </c>
      <c r="J812" s="49">
        <v>5.0</v>
      </c>
      <c r="K812" s="36">
        <v>4500000.0</v>
      </c>
      <c r="L812" s="49" t="s">
        <v>3868</v>
      </c>
      <c r="M812" s="50">
        <v>2.0</v>
      </c>
      <c r="N812" s="104" t="s">
        <v>3869</v>
      </c>
      <c r="O812" s="20"/>
      <c r="P812" s="20"/>
      <c r="Q812" s="20"/>
      <c r="R812" s="20"/>
      <c r="S812" s="20"/>
    </row>
    <row r="813">
      <c r="A813" s="76" t="s">
        <v>3870</v>
      </c>
      <c r="B813" s="97">
        <v>46112.0</v>
      </c>
      <c r="C813" s="76" t="s">
        <v>3871</v>
      </c>
      <c r="D813" s="99" t="s">
        <v>3872</v>
      </c>
      <c r="E813" s="25" t="s">
        <v>128</v>
      </c>
      <c r="F813" s="25" t="s">
        <v>18</v>
      </c>
      <c r="G813" s="25" t="s">
        <v>42</v>
      </c>
      <c r="H813" s="76" t="s">
        <v>3873</v>
      </c>
      <c r="I813" s="76" t="s">
        <v>3867</v>
      </c>
      <c r="J813" s="76">
        <v>3.0</v>
      </c>
      <c r="K813" s="19">
        <v>2076000.0</v>
      </c>
      <c r="L813" s="76" t="s">
        <v>3874</v>
      </c>
      <c r="M813" s="44">
        <v>8.0</v>
      </c>
      <c r="N813" s="86" t="s">
        <v>3875</v>
      </c>
      <c r="O813" s="20"/>
      <c r="P813" s="20"/>
      <c r="Q813" s="20"/>
      <c r="R813" s="20"/>
      <c r="S813" s="20"/>
    </row>
    <row r="814">
      <c r="A814" s="49" t="s">
        <v>3876</v>
      </c>
      <c r="B814" s="110">
        <v>46112.0</v>
      </c>
      <c r="C814" s="49" t="s">
        <v>3877</v>
      </c>
      <c r="D814" s="102" t="s">
        <v>3878</v>
      </c>
      <c r="E814" s="25" t="s">
        <v>128</v>
      </c>
      <c r="F814" s="25" t="s">
        <v>129</v>
      </c>
      <c r="G814" s="25" t="s">
        <v>19</v>
      </c>
      <c r="H814" s="49" t="s">
        <v>2208</v>
      </c>
      <c r="I814" s="49" t="s">
        <v>3879</v>
      </c>
      <c r="J814" s="49">
        <v>2.0</v>
      </c>
      <c r="K814" s="30">
        <f>1600000*2</f>
        <v>3200000</v>
      </c>
      <c r="L814" s="49" t="s">
        <v>1763</v>
      </c>
      <c r="M814" s="50">
        <v>7.0</v>
      </c>
      <c r="N814" s="51"/>
      <c r="O814" s="20"/>
      <c r="P814" s="20"/>
      <c r="Q814" s="20"/>
      <c r="R814" s="20"/>
      <c r="S814" s="20"/>
    </row>
    <row r="815">
      <c r="A815" s="76" t="s">
        <v>3880</v>
      </c>
      <c r="B815" s="97">
        <v>46112.0</v>
      </c>
      <c r="C815" s="76" t="s">
        <v>3881</v>
      </c>
      <c r="D815" s="99" t="s">
        <v>3882</v>
      </c>
      <c r="E815" s="25" t="s">
        <v>128</v>
      </c>
      <c r="F815" s="25" t="s">
        <v>129</v>
      </c>
      <c r="G815" s="25" t="s">
        <v>34</v>
      </c>
      <c r="H815" s="76" t="s">
        <v>3429</v>
      </c>
      <c r="I815" s="76" t="s">
        <v>3883</v>
      </c>
      <c r="J815" s="76">
        <v>4.0</v>
      </c>
      <c r="K815" s="46">
        <f>1702000*4</f>
        <v>6808000</v>
      </c>
      <c r="L815" s="76" t="s">
        <v>3884</v>
      </c>
      <c r="M815" s="44">
        <v>2.0</v>
      </c>
      <c r="N815" s="86" t="s">
        <v>3885</v>
      </c>
      <c r="O815" s="20"/>
      <c r="P815" s="20"/>
      <c r="Q815" s="20"/>
      <c r="R815" s="20"/>
      <c r="S815" s="20"/>
    </row>
    <row r="816">
      <c r="A816" s="49" t="s">
        <v>3886</v>
      </c>
      <c r="B816" s="97">
        <v>46112.0</v>
      </c>
      <c r="C816" s="49" t="s">
        <v>3887</v>
      </c>
      <c r="D816" s="102" t="s">
        <v>3888</v>
      </c>
      <c r="E816" s="25" t="s">
        <v>17</v>
      </c>
      <c r="F816" s="25" t="s">
        <v>18</v>
      </c>
      <c r="G816" s="25" t="s">
        <v>42</v>
      </c>
      <c r="H816" s="49" t="s">
        <v>3889</v>
      </c>
      <c r="I816" s="101">
        <v>46114.0</v>
      </c>
      <c r="J816" s="49">
        <v>2.0</v>
      </c>
      <c r="K816" s="36">
        <v>1100000.0</v>
      </c>
      <c r="L816" s="49" t="s">
        <v>158</v>
      </c>
      <c r="M816" s="50">
        <v>8.0</v>
      </c>
      <c r="N816" s="51"/>
      <c r="O816" s="20"/>
      <c r="P816" s="20"/>
      <c r="Q816" s="20"/>
      <c r="R816" s="20"/>
      <c r="S816" s="20"/>
    </row>
    <row r="817">
      <c r="A817" s="76" t="s">
        <v>3890</v>
      </c>
      <c r="B817" s="97">
        <v>46112.0</v>
      </c>
      <c r="C817" s="76" t="s">
        <v>3891</v>
      </c>
      <c r="D817" s="99" t="s">
        <v>3892</v>
      </c>
      <c r="E817" s="25" t="s">
        <v>128</v>
      </c>
      <c r="F817" s="25" t="s">
        <v>18</v>
      </c>
      <c r="G817" s="25" t="s">
        <v>42</v>
      </c>
      <c r="H817" s="76" t="s">
        <v>86</v>
      </c>
      <c r="I817" s="76" t="s">
        <v>3893</v>
      </c>
      <c r="J817" s="76">
        <v>4.0</v>
      </c>
      <c r="K817" s="46"/>
      <c r="L817" s="76" t="s">
        <v>3133</v>
      </c>
      <c r="M817" s="44">
        <v>8.0</v>
      </c>
      <c r="N817" s="86" t="s">
        <v>3894</v>
      </c>
      <c r="O817" s="20"/>
      <c r="P817" s="20"/>
      <c r="Q817" s="20"/>
      <c r="R817" s="20"/>
      <c r="S817" s="20"/>
    </row>
    <row r="818">
      <c r="A818" s="49" t="s">
        <v>3895</v>
      </c>
      <c r="B818" s="110">
        <v>46113.0</v>
      </c>
      <c r="C818" s="49" t="s">
        <v>3896</v>
      </c>
      <c r="D818" s="102" t="s">
        <v>3897</v>
      </c>
      <c r="E818" s="25" t="s">
        <v>128</v>
      </c>
      <c r="F818" s="25" t="s">
        <v>18</v>
      </c>
      <c r="G818" s="25" t="s">
        <v>42</v>
      </c>
      <c r="H818" s="49" t="s">
        <v>3898</v>
      </c>
      <c r="I818" s="49" t="s">
        <v>3899</v>
      </c>
      <c r="J818" s="49">
        <v>2.0</v>
      </c>
      <c r="K818" s="30"/>
      <c r="L818" s="49" t="s">
        <v>3900</v>
      </c>
      <c r="M818" s="50">
        <v>8.0</v>
      </c>
      <c r="N818" s="104" t="s">
        <v>3901</v>
      </c>
      <c r="O818" s="20"/>
      <c r="P818" s="20"/>
      <c r="Q818" s="20"/>
      <c r="R818" s="20"/>
      <c r="S818" s="20"/>
    </row>
    <row r="819">
      <c r="A819" s="76" t="s">
        <v>3902</v>
      </c>
      <c r="B819" s="97">
        <v>46113.0</v>
      </c>
      <c r="C819" s="76" t="s">
        <v>2617</v>
      </c>
      <c r="D819" s="99" t="s">
        <v>3903</v>
      </c>
      <c r="E819" s="25" t="s">
        <v>128</v>
      </c>
      <c r="F819" s="25" t="s">
        <v>18</v>
      </c>
      <c r="G819" s="25" t="s">
        <v>42</v>
      </c>
      <c r="H819" s="76" t="s">
        <v>3904</v>
      </c>
      <c r="I819" s="10"/>
      <c r="J819" s="76">
        <v>3.0</v>
      </c>
      <c r="K819" s="46"/>
      <c r="L819" s="76" t="s">
        <v>840</v>
      </c>
      <c r="M819" s="44">
        <v>8.0</v>
      </c>
      <c r="N819" s="86" t="s">
        <v>3905</v>
      </c>
      <c r="O819" s="20"/>
      <c r="P819" s="20"/>
      <c r="Q819" s="20"/>
      <c r="R819" s="20"/>
      <c r="S819" s="20"/>
    </row>
    <row r="820">
      <c r="A820" s="49" t="s">
        <v>3906</v>
      </c>
      <c r="B820" s="110">
        <v>46113.0</v>
      </c>
      <c r="C820" s="49" t="s">
        <v>3907</v>
      </c>
      <c r="D820" s="102" t="s">
        <v>3908</v>
      </c>
      <c r="E820" s="25" t="s">
        <v>17</v>
      </c>
      <c r="F820" s="25" t="s">
        <v>18</v>
      </c>
      <c r="G820" s="25" t="s">
        <v>42</v>
      </c>
      <c r="H820" s="49" t="s">
        <v>3909</v>
      </c>
      <c r="I820" s="23"/>
      <c r="J820" s="49">
        <v>3.0</v>
      </c>
      <c r="K820" s="30"/>
      <c r="L820" s="49" t="s">
        <v>3910</v>
      </c>
      <c r="M820" s="50">
        <v>8.0</v>
      </c>
      <c r="N820" s="104" t="s">
        <v>3911</v>
      </c>
      <c r="O820" s="20"/>
      <c r="P820" s="20"/>
      <c r="Q820" s="20"/>
      <c r="R820" s="20"/>
      <c r="S820" s="20"/>
    </row>
    <row r="821">
      <c r="A821" s="76" t="s">
        <v>3912</v>
      </c>
      <c r="B821" s="97">
        <v>46113.0</v>
      </c>
      <c r="C821" s="76" t="s">
        <v>3913</v>
      </c>
      <c r="D821" s="99" t="s">
        <v>3914</v>
      </c>
      <c r="E821" s="25" t="s">
        <v>17</v>
      </c>
      <c r="F821" s="25" t="s">
        <v>18</v>
      </c>
      <c r="G821" s="25" t="s">
        <v>42</v>
      </c>
      <c r="H821" s="76" t="s">
        <v>3915</v>
      </c>
      <c r="I821" s="118">
        <v>46123.0</v>
      </c>
      <c r="J821" s="10"/>
      <c r="K821" s="46"/>
      <c r="L821" s="76" t="s">
        <v>1614</v>
      </c>
      <c r="M821" s="44">
        <v>8.0</v>
      </c>
      <c r="N821" s="86" t="s">
        <v>3916</v>
      </c>
      <c r="O821" s="20"/>
      <c r="P821" s="20"/>
      <c r="Q821" s="20"/>
      <c r="R821" s="20"/>
      <c r="S821" s="20"/>
    </row>
    <row r="822">
      <c r="A822" s="49" t="s">
        <v>3917</v>
      </c>
      <c r="B822" s="110">
        <v>46113.0</v>
      </c>
      <c r="C822" s="49" t="s">
        <v>3918</v>
      </c>
      <c r="D822" s="102" t="s">
        <v>3919</v>
      </c>
      <c r="E822" s="25" t="s">
        <v>128</v>
      </c>
      <c r="F822" s="25" t="s">
        <v>18</v>
      </c>
      <c r="G822" s="25" t="s">
        <v>42</v>
      </c>
      <c r="H822" s="49" t="s">
        <v>3920</v>
      </c>
      <c r="I822" s="101">
        <v>46117.0</v>
      </c>
      <c r="J822" s="49">
        <v>2.0</v>
      </c>
      <c r="K822" s="36">
        <v>295000.0</v>
      </c>
      <c r="L822" s="49" t="s">
        <v>1583</v>
      </c>
      <c r="M822" s="50">
        <v>8.0</v>
      </c>
      <c r="N822" s="51"/>
      <c r="O822" s="20"/>
      <c r="P822" s="20"/>
      <c r="Q822" s="20"/>
      <c r="R822" s="20"/>
      <c r="S822" s="20"/>
    </row>
    <row r="823">
      <c r="A823" s="76" t="s">
        <v>3921</v>
      </c>
      <c r="B823" s="97">
        <v>46113.0</v>
      </c>
      <c r="C823" s="49" t="s">
        <v>3922</v>
      </c>
      <c r="D823" s="102" t="s">
        <v>3923</v>
      </c>
      <c r="E823" s="25" t="s">
        <v>122</v>
      </c>
      <c r="F823" s="25" t="s">
        <v>129</v>
      </c>
      <c r="G823" s="25" t="s">
        <v>42</v>
      </c>
      <c r="H823" s="76" t="s">
        <v>3470</v>
      </c>
      <c r="I823" s="76" t="s">
        <v>3924</v>
      </c>
      <c r="J823" s="76">
        <v>2.0</v>
      </c>
      <c r="K823" s="46">
        <f>884000*2</f>
        <v>1768000</v>
      </c>
      <c r="L823" s="76" t="s">
        <v>3925</v>
      </c>
      <c r="M823" s="44">
        <v>8.0</v>
      </c>
      <c r="N823" s="86" t="s">
        <v>3926</v>
      </c>
      <c r="O823" s="20"/>
      <c r="P823" s="20"/>
      <c r="Q823" s="20"/>
      <c r="R823" s="20"/>
      <c r="S823" s="20"/>
    </row>
    <row r="824">
      <c r="A824" s="49" t="s">
        <v>3927</v>
      </c>
      <c r="B824" s="97">
        <v>46113.0</v>
      </c>
      <c r="C824" s="49" t="s">
        <v>3928</v>
      </c>
      <c r="D824" s="102" t="s">
        <v>3929</v>
      </c>
      <c r="E824" s="25" t="s">
        <v>128</v>
      </c>
      <c r="F824" s="25" t="s">
        <v>129</v>
      </c>
      <c r="G824" s="25" t="s">
        <v>42</v>
      </c>
      <c r="H824" s="49" t="s">
        <v>3930</v>
      </c>
      <c r="I824" s="49" t="s">
        <v>3931</v>
      </c>
      <c r="J824" s="49">
        <v>2.0</v>
      </c>
      <c r="K824" s="30">
        <f>877000*2</f>
        <v>1754000</v>
      </c>
      <c r="L824" s="76" t="s">
        <v>3932</v>
      </c>
      <c r="M824" s="50">
        <v>8.0</v>
      </c>
      <c r="N824" s="104" t="s">
        <v>3933</v>
      </c>
      <c r="O824" s="20"/>
      <c r="P824" s="20"/>
      <c r="Q824" s="20"/>
      <c r="R824" s="20"/>
      <c r="S824" s="20"/>
    </row>
    <row r="825">
      <c r="A825" s="76" t="s">
        <v>3934</v>
      </c>
      <c r="B825" s="97">
        <v>46114.0</v>
      </c>
      <c r="C825" s="49" t="s">
        <v>3935</v>
      </c>
      <c r="D825" s="102" t="s">
        <v>3936</v>
      </c>
      <c r="E825" s="25" t="s">
        <v>122</v>
      </c>
      <c r="F825" s="25" t="s">
        <v>129</v>
      </c>
      <c r="G825" s="25" t="s">
        <v>29</v>
      </c>
      <c r="H825" s="76" t="s">
        <v>3937</v>
      </c>
      <c r="I825" s="76"/>
      <c r="J825" s="76"/>
      <c r="K825" s="46"/>
      <c r="L825" s="76" t="s">
        <v>3938</v>
      </c>
      <c r="M825" s="44">
        <v>1.0</v>
      </c>
      <c r="N825" s="86" t="s">
        <v>3939</v>
      </c>
      <c r="O825" s="20"/>
      <c r="P825" s="20"/>
      <c r="Q825" s="20"/>
      <c r="R825" s="20"/>
      <c r="S825" s="20"/>
    </row>
    <row r="826">
      <c r="A826" s="49" t="s">
        <v>3940</v>
      </c>
      <c r="B826" s="110">
        <v>46114.0</v>
      </c>
      <c r="C826" s="49" t="s">
        <v>3941</v>
      </c>
      <c r="D826" s="102" t="s">
        <v>3942</v>
      </c>
      <c r="E826" s="25" t="s">
        <v>122</v>
      </c>
      <c r="F826" s="25" t="s">
        <v>129</v>
      </c>
      <c r="G826" s="25" t="s">
        <v>42</v>
      </c>
      <c r="H826" s="49" t="s">
        <v>260</v>
      </c>
      <c r="I826" s="101">
        <v>46126.0</v>
      </c>
      <c r="J826" s="49">
        <v>2.0</v>
      </c>
      <c r="K826" s="36">
        <v>3200000.0</v>
      </c>
      <c r="L826" s="49" t="s">
        <v>3943</v>
      </c>
      <c r="M826" s="50">
        <v>8.0</v>
      </c>
      <c r="N826" s="104" t="s">
        <v>3944</v>
      </c>
      <c r="O826" s="20"/>
      <c r="P826" s="20"/>
      <c r="Q826" s="20"/>
      <c r="R826" s="20"/>
      <c r="S826" s="20"/>
    </row>
    <row r="827">
      <c r="A827" s="76" t="s">
        <v>3945</v>
      </c>
      <c r="B827" s="97">
        <v>46114.0</v>
      </c>
      <c r="C827" s="49" t="s">
        <v>3946</v>
      </c>
      <c r="D827" s="102" t="s">
        <v>3947</v>
      </c>
      <c r="E827" s="25" t="s">
        <v>128</v>
      </c>
      <c r="F827" s="25" t="s">
        <v>18</v>
      </c>
      <c r="G827" s="25" t="s">
        <v>42</v>
      </c>
      <c r="H827" s="76" t="s">
        <v>3948</v>
      </c>
      <c r="I827" s="10"/>
      <c r="J827" s="76">
        <v>7.0</v>
      </c>
      <c r="K827" s="19">
        <v>3822000.0</v>
      </c>
      <c r="L827" s="76" t="s">
        <v>3949</v>
      </c>
      <c r="M827" s="44">
        <v>8.0</v>
      </c>
      <c r="N827" s="86" t="s">
        <v>3950</v>
      </c>
      <c r="O827" s="20"/>
      <c r="P827" s="20"/>
      <c r="Q827" s="20"/>
      <c r="R827" s="20"/>
      <c r="S827" s="20"/>
    </row>
    <row r="828">
      <c r="A828" s="49" t="s">
        <v>3951</v>
      </c>
      <c r="B828" s="110">
        <v>46114.0</v>
      </c>
      <c r="C828" s="49" t="s">
        <v>3952</v>
      </c>
      <c r="D828" s="102" t="s">
        <v>3953</v>
      </c>
      <c r="E828" s="25" t="s">
        <v>128</v>
      </c>
      <c r="F828" s="25" t="s">
        <v>18</v>
      </c>
      <c r="G828" s="25" t="s">
        <v>42</v>
      </c>
      <c r="H828" s="49" t="s">
        <v>2197</v>
      </c>
      <c r="I828" s="49" t="s">
        <v>3954</v>
      </c>
      <c r="J828" s="49">
        <v>6.0</v>
      </c>
      <c r="K828" s="36">
        <v>8040000.0</v>
      </c>
      <c r="L828" s="49" t="s">
        <v>3955</v>
      </c>
      <c r="M828" s="50">
        <v>8.0</v>
      </c>
      <c r="N828" s="104" t="s">
        <v>3956</v>
      </c>
      <c r="O828" s="20"/>
      <c r="P828" s="20"/>
      <c r="Q828" s="20"/>
      <c r="R828" s="20"/>
      <c r="S828" s="20"/>
    </row>
    <row r="829">
      <c r="A829" s="76" t="s">
        <v>3957</v>
      </c>
      <c r="B829" s="110">
        <v>46114.0</v>
      </c>
      <c r="C829" s="76" t="s">
        <v>3958</v>
      </c>
      <c r="D829" s="99" t="s">
        <v>3959</v>
      </c>
      <c r="E829" s="25" t="s">
        <v>128</v>
      </c>
      <c r="F829" s="25" t="s">
        <v>18</v>
      </c>
      <c r="G829" s="25" t="s">
        <v>42</v>
      </c>
      <c r="H829" s="76" t="s">
        <v>1582</v>
      </c>
      <c r="I829" s="76" t="s">
        <v>3960</v>
      </c>
      <c r="J829" s="76">
        <v>3.0</v>
      </c>
      <c r="K829" s="19">
        <v>1875000.0</v>
      </c>
      <c r="L829" s="76" t="s">
        <v>3961</v>
      </c>
      <c r="M829" s="44">
        <v>8.0</v>
      </c>
      <c r="N829" s="86" t="s">
        <v>3962</v>
      </c>
      <c r="O829" s="20"/>
      <c r="P829" s="20"/>
      <c r="Q829" s="20"/>
      <c r="R829" s="20"/>
      <c r="S829" s="20"/>
    </row>
    <row r="830">
      <c r="A830" s="49" t="s">
        <v>3963</v>
      </c>
      <c r="B830" s="110">
        <v>46114.0</v>
      </c>
      <c r="C830" s="49" t="s">
        <v>3964</v>
      </c>
      <c r="D830" s="102" t="s">
        <v>3965</v>
      </c>
      <c r="E830" s="25" t="s">
        <v>122</v>
      </c>
      <c r="F830" s="25" t="s">
        <v>129</v>
      </c>
      <c r="G830" s="25" t="s">
        <v>42</v>
      </c>
      <c r="H830" s="49" t="s">
        <v>3966</v>
      </c>
      <c r="I830" s="49" t="s">
        <v>2028</v>
      </c>
      <c r="J830" s="49">
        <v>2.0</v>
      </c>
      <c r="K830" s="30"/>
      <c r="L830" s="49" t="s">
        <v>783</v>
      </c>
      <c r="M830" s="50">
        <v>8.0</v>
      </c>
      <c r="N830" s="104" t="s">
        <v>3967</v>
      </c>
      <c r="O830" s="20"/>
      <c r="P830" s="20"/>
      <c r="Q830" s="20"/>
      <c r="R830" s="20"/>
      <c r="S830" s="20"/>
    </row>
    <row r="831">
      <c r="A831" s="76" t="s">
        <v>3968</v>
      </c>
      <c r="B831" s="97">
        <v>46115.0</v>
      </c>
      <c r="C831" s="76" t="s">
        <v>3969</v>
      </c>
      <c r="D831" s="99" t="s">
        <v>3970</v>
      </c>
      <c r="E831" s="25" t="s">
        <v>122</v>
      </c>
      <c r="F831" s="25" t="s">
        <v>129</v>
      </c>
      <c r="G831" s="25" t="s">
        <v>42</v>
      </c>
      <c r="H831" s="76" t="s">
        <v>2512</v>
      </c>
      <c r="I831" s="76" t="s">
        <v>916</v>
      </c>
      <c r="J831" s="76">
        <v>1.0</v>
      </c>
      <c r="K831" s="36">
        <v>1194000.0</v>
      </c>
      <c r="L831" s="76" t="s">
        <v>3706</v>
      </c>
      <c r="M831" s="44">
        <v>8.0</v>
      </c>
      <c r="N831" s="86" t="s">
        <v>3971</v>
      </c>
      <c r="O831" s="20"/>
      <c r="P831" s="20"/>
      <c r="Q831" s="20"/>
      <c r="R831" s="20"/>
      <c r="S831" s="20"/>
    </row>
    <row r="832">
      <c r="A832" s="49" t="s">
        <v>3972</v>
      </c>
      <c r="B832" s="110">
        <v>46115.0</v>
      </c>
      <c r="C832" s="49" t="s">
        <v>3973</v>
      </c>
      <c r="D832" s="102" t="s">
        <v>3974</v>
      </c>
      <c r="E832" s="25" t="s">
        <v>128</v>
      </c>
      <c r="F832" s="25" t="s">
        <v>129</v>
      </c>
      <c r="G832" s="25" t="s">
        <v>42</v>
      </c>
      <c r="H832" s="49" t="s">
        <v>3975</v>
      </c>
      <c r="I832" s="101">
        <v>46131.0</v>
      </c>
      <c r="J832" s="49">
        <v>1.0</v>
      </c>
      <c r="K832" s="36"/>
      <c r="L832" s="49" t="s">
        <v>3638</v>
      </c>
      <c r="M832" s="50">
        <v>8.0</v>
      </c>
      <c r="N832" s="104" t="s">
        <v>3976</v>
      </c>
      <c r="O832" s="20"/>
      <c r="P832" s="20"/>
      <c r="Q832" s="20"/>
      <c r="R832" s="20"/>
      <c r="S832" s="20"/>
    </row>
    <row r="833">
      <c r="A833" s="76" t="s">
        <v>3977</v>
      </c>
      <c r="B833" s="97">
        <v>46115.0</v>
      </c>
      <c r="C833" s="76" t="s">
        <v>3978</v>
      </c>
      <c r="D833" s="99" t="s">
        <v>3979</v>
      </c>
      <c r="E833" s="25" t="s">
        <v>128</v>
      </c>
      <c r="F833" s="25" t="s">
        <v>129</v>
      </c>
      <c r="G833" s="25" t="s">
        <v>42</v>
      </c>
      <c r="H833" s="76" t="s">
        <v>2166</v>
      </c>
      <c r="I833" s="118">
        <v>46121.0</v>
      </c>
      <c r="J833" s="76">
        <v>1.0</v>
      </c>
      <c r="K833" s="19">
        <v>250000.0</v>
      </c>
      <c r="L833" s="76" t="s">
        <v>3047</v>
      </c>
      <c r="M833" s="44">
        <v>8.0</v>
      </c>
      <c r="N833" s="86" t="s">
        <v>3980</v>
      </c>
      <c r="O833" s="20"/>
      <c r="P833" s="20"/>
      <c r="Q833" s="20"/>
      <c r="R833" s="20"/>
      <c r="S833" s="20"/>
    </row>
    <row r="834">
      <c r="A834" s="49" t="s">
        <v>3981</v>
      </c>
      <c r="B834" s="110">
        <v>46115.0</v>
      </c>
      <c r="C834" s="49" t="s">
        <v>3982</v>
      </c>
      <c r="D834" s="102" t="s">
        <v>3983</v>
      </c>
      <c r="E834" s="25" t="s">
        <v>128</v>
      </c>
      <c r="F834" s="25" t="s">
        <v>129</v>
      </c>
      <c r="G834" s="25" t="s">
        <v>42</v>
      </c>
      <c r="H834" s="49" t="s">
        <v>2518</v>
      </c>
      <c r="I834" s="101">
        <v>46144.0</v>
      </c>
      <c r="J834" s="49">
        <v>3.0</v>
      </c>
      <c r="K834" s="36">
        <v>885000.0</v>
      </c>
      <c r="L834" s="49" t="s">
        <v>3984</v>
      </c>
      <c r="M834" s="50">
        <v>8.0</v>
      </c>
      <c r="N834" s="104" t="s">
        <v>3985</v>
      </c>
      <c r="O834" s="20"/>
      <c r="P834" s="20"/>
      <c r="Q834" s="20"/>
      <c r="R834" s="20"/>
      <c r="S834" s="20"/>
    </row>
    <row r="835">
      <c r="A835" s="76" t="s">
        <v>3986</v>
      </c>
      <c r="B835" s="97">
        <v>46115.0</v>
      </c>
      <c r="C835" s="76" t="s">
        <v>1817</v>
      </c>
      <c r="D835" s="99" t="s">
        <v>3987</v>
      </c>
      <c r="E835" s="25" t="s">
        <v>128</v>
      </c>
      <c r="F835" s="25" t="s">
        <v>18</v>
      </c>
      <c r="G835" s="25" t="s">
        <v>42</v>
      </c>
      <c r="H835" s="76" t="s">
        <v>199</v>
      </c>
      <c r="I835" s="10"/>
      <c r="J835" s="76">
        <v>2.0</v>
      </c>
      <c r="K835" s="46"/>
      <c r="L835" s="76" t="s">
        <v>840</v>
      </c>
      <c r="M835" s="44">
        <v>8.0</v>
      </c>
      <c r="N835" s="86" t="s">
        <v>3988</v>
      </c>
      <c r="O835" s="20"/>
      <c r="P835" s="20"/>
      <c r="Q835" s="20"/>
      <c r="R835" s="20"/>
      <c r="S835" s="20"/>
    </row>
    <row r="836">
      <c r="A836" s="49" t="s">
        <v>3989</v>
      </c>
      <c r="B836" s="110">
        <v>46115.0</v>
      </c>
      <c r="C836" s="49" t="s">
        <v>3990</v>
      </c>
      <c r="D836" s="102" t="s">
        <v>3991</v>
      </c>
      <c r="E836" s="25" t="s">
        <v>17</v>
      </c>
      <c r="F836" s="25" t="s">
        <v>129</v>
      </c>
      <c r="G836" s="25" t="s">
        <v>42</v>
      </c>
      <c r="H836" s="49" t="s">
        <v>2518</v>
      </c>
      <c r="I836" s="101">
        <v>46116.0</v>
      </c>
      <c r="J836" s="49">
        <v>4.0</v>
      </c>
      <c r="K836" s="30"/>
      <c r="L836" s="49" t="s">
        <v>3992</v>
      </c>
      <c r="M836" s="50">
        <v>8.0</v>
      </c>
      <c r="N836" s="51"/>
      <c r="O836" s="20"/>
      <c r="P836" s="20"/>
      <c r="Q836" s="20"/>
      <c r="R836" s="20"/>
      <c r="S836" s="20"/>
    </row>
    <row r="837">
      <c r="A837" s="76" t="s">
        <v>3993</v>
      </c>
      <c r="B837" s="97">
        <v>46116.0</v>
      </c>
      <c r="C837" s="76" t="s">
        <v>3994</v>
      </c>
      <c r="D837" s="99" t="s">
        <v>3995</v>
      </c>
      <c r="E837" s="25" t="s">
        <v>122</v>
      </c>
      <c r="F837" s="25" t="s">
        <v>129</v>
      </c>
      <c r="G837" s="25" t="s">
        <v>29</v>
      </c>
      <c r="H837" s="10"/>
      <c r="I837" s="10"/>
      <c r="J837" s="10"/>
      <c r="K837" s="46"/>
      <c r="L837" s="76" t="s">
        <v>3996</v>
      </c>
      <c r="M837" s="44">
        <v>1.0</v>
      </c>
      <c r="N837" s="86" t="s">
        <v>3997</v>
      </c>
      <c r="O837" s="20"/>
      <c r="P837" s="20"/>
      <c r="Q837" s="20"/>
      <c r="R837" s="20"/>
      <c r="S837" s="20"/>
    </row>
    <row r="838">
      <c r="A838" s="49" t="s">
        <v>3998</v>
      </c>
      <c r="B838" s="110">
        <v>46116.0</v>
      </c>
      <c r="C838" s="49" t="s">
        <v>3999</v>
      </c>
      <c r="D838" s="102" t="s">
        <v>4000</v>
      </c>
      <c r="E838" s="25" t="s">
        <v>122</v>
      </c>
      <c r="F838" s="25" t="s">
        <v>983</v>
      </c>
      <c r="G838" s="25" t="s">
        <v>19</v>
      </c>
      <c r="H838" s="49" t="s">
        <v>199</v>
      </c>
      <c r="I838" s="49" t="s">
        <v>4001</v>
      </c>
      <c r="J838" s="49">
        <v>4.0</v>
      </c>
      <c r="K838" s="30">
        <f>1887000*4</f>
        <v>7548000</v>
      </c>
      <c r="L838" s="49" t="s">
        <v>4002</v>
      </c>
      <c r="M838" s="50">
        <v>7.0</v>
      </c>
      <c r="N838" s="104" t="s">
        <v>4003</v>
      </c>
      <c r="O838" s="20"/>
      <c r="P838" s="20"/>
      <c r="Q838" s="20"/>
      <c r="R838" s="20"/>
      <c r="S838" s="20"/>
    </row>
    <row r="839">
      <c r="A839" s="76" t="s">
        <v>4004</v>
      </c>
      <c r="B839" s="97">
        <v>46116.0</v>
      </c>
      <c r="C839" s="76" t="s">
        <v>4005</v>
      </c>
      <c r="D839" s="99" t="s">
        <v>4006</v>
      </c>
      <c r="E839" s="25" t="s">
        <v>128</v>
      </c>
      <c r="F839" s="25" t="s">
        <v>129</v>
      </c>
      <c r="G839" s="25" t="s">
        <v>42</v>
      </c>
      <c r="H839" s="10"/>
      <c r="I839" s="10"/>
      <c r="J839" s="10"/>
      <c r="K839" s="46"/>
      <c r="L839" s="76" t="s">
        <v>1614</v>
      </c>
      <c r="M839" s="44">
        <v>8.0</v>
      </c>
      <c r="N839" s="86" t="s">
        <v>4007</v>
      </c>
      <c r="O839" s="20"/>
      <c r="P839" s="20"/>
      <c r="Q839" s="20"/>
      <c r="R839" s="20"/>
      <c r="S839" s="20"/>
    </row>
    <row r="840">
      <c r="A840" s="49" t="s">
        <v>4008</v>
      </c>
      <c r="B840" s="110">
        <v>46116.0</v>
      </c>
      <c r="C840" s="49" t="s">
        <v>4009</v>
      </c>
      <c r="D840" s="102" t="s">
        <v>4010</v>
      </c>
      <c r="E840" s="25" t="s">
        <v>128</v>
      </c>
      <c r="F840" s="25" t="s">
        <v>129</v>
      </c>
      <c r="G840" s="25" t="s">
        <v>42</v>
      </c>
      <c r="H840" s="23"/>
      <c r="I840" s="23"/>
      <c r="J840" s="23"/>
      <c r="K840" s="30"/>
      <c r="L840" s="49" t="s">
        <v>2116</v>
      </c>
      <c r="M840" s="50">
        <v>8.0</v>
      </c>
      <c r="N840" s="104" t="s">
        <v>4011</v>
      </c>
      <c r="O840" s="20"/>
      <c r="P840" s="20"/>
      <c r="Q840" s="20"/>
      <c r="R840" s="20"/>
      <c r="S840" s="20"/>
    </row>
    <row r="841">
      <c r="A841" s="76" t="s">
        <v>4012</v>
      </c>
      <c r="B841" s="97">
        <v>46116.0</v>
      </c>
      <c r="C841" s="76" t="s">
        <v>4013</v>
      </c>
      <c r="D841" s="99" t="s">
        <v>4014</v>
      </c>
      <c r="E841" s="25" t="s">
        <v>122</v>
      </c>
      <c r="F841" s="25" t="s">
        <v>983</v>
      </c>
      <c r="G841" s="25" t="s">
        <v>42</v>
      </c>
      <c r="H841" s="10"/>
      <c r="I841" s="76" t="s">
        <v>2946</v>
      </c>
      <c r="J841" s="10"/>
      <c r="K841" s="46"/>
      <c r="L841" s="76" t="s">
        <v>158</v>
      </c>
      <c r="M841" s="44">
        <v>8.0</v>
      </c>
      <c r="N841" s="105" t="s">
        <v>4015</v>
      </c>
      <c r="O841" s="20"/>
      <c r="P841" s="20"/>
      <c r="Q841" s="20"/>
      <c r="R841" s="20"/>
      <c r="S841" s="20"/>
    </row>
    <row r="842">
      <c r="A842" s="49" t="s">
        <v>4016</v>
      </c>
      <c r="B842" s="110">
        <v>46116.0</v>
      </c>
      <c r="C842" s="49" t="s">
        <v>68</v>
      </c>
      <c r="D842" s="102" t="s">
        <v>4017</v>
      </c>
      <c r="E842" s="25" t="s">
        <v>17</v>
      </c>
      <c r="F842" s="25" t="s">
        <v>129</v>
      </c>
      <c r="G842" s="25" t="s">
        <v>42</v>
      </c>
      <c r="H842" s="49" t="s">
        <v>4018</v>
      </c>
      <c r="I842" s="101">
        <v>46119.0</v>
      </c>
      <c r="J842" s="49">
        <v>2.0</v>
      </c>
      <c r="K842" s="36">
        <v>700000.0</v>
      </c>
      <c r="L842" s="49" t="s">
        <v>4019</v>
      </c>
      <c r="M842" s="50">
        <v>8.0</v>
      </c>
      <c r="N842" s="104" t="s">
        <v>4020</v>
      </c>
      <c r="O842" s="20"/>
      <c r="P842" s="20"/>
      <c r="Q842" s="20"/>
      <c r="R842" s="20"/>
      <c r="S842" s="20"/>
    </row>
    <row r="843">
      <c r="A843" s="76" t="s">
        <v>4021</v>
      </c>
      <c r="B843" s="97">
        <v>46116.0</v>
      </c>
      <c r="C843" s="76" t="s">
        <v>4022</v>
      </c>
      <c r="D843" s="99" t="s">
        <v>4023</v>
      </c>
      <c r="E843" s="25" t="s">
        <v>122</v>
      </c>
      <c r="F843" s="25" t="s">
        <v>983</v>
      </c>
      <c r="G843" s="25" t="s">
        <v>42</v>
      </c>
      <c r="H843" s="76" t="s">
        <v>4024</v>
      </c>
      <c r="I843" s="118">
        <v>46131.0</v>
      </c>
      <c r="J843" s="76">
        <v>2.0</v>
      </c>
      <c r="K843" s="46">
        <f>3135000*2</f>
        <v>6270000</v>
      </c>
      <c r="L843" s="76" t="s">
        <v>4025</v>
      </c>
      <c r="M843" s="44">
        <v>8.0</v>
      </c>
      <c r="N843" s="86" t="s">
        <v>4026</v>
      </c>
      <c r="O843" s="20"/>
      <c r="P843" s="20"/>
      <c r="Q843" s="20"/>
      <c r="R843" s="20"/>
      <c r="S843" s="20"/>
    </row>
    <row r="844">
      <c r="A844" s="49" t="s">
        <v>4027</v>
      </c>
      <c r="B844" s="110">
        <v>46116.0</v>
      </c>
      <c r="C844" s="49" t="s">
        <v>4028</v>
      </c>
      <c r="D844" s="102" t="s">
        <v>4029</v>
      </c>
      <c r="E844" s="25" t="s">
        <v>17</v>
      </c>
      <c r="F844" s="25" t="s">
        <v>129</v>
      </c>
      <c r="G844" s="25" t="s">
        <v>42</v>
      </c>
      <c r="H844" s="49" t="s">
        <v>4030</v>
      </c>
      <c r="I844" s="49" t="s">
        <v>916</v>
      </c>
      <c r="J844" s="49">
        <v>4.0</v>
      </c>
      <c r="K844" s="36">
        <v>1996000.0</v>
      </c>
      <c r="L844" s="49" t="s">
        <v>4031</v>
      </c>
      <c r="M844" s="50">
        <v>8.0</v>
      </c>
      <c r="N844" s="146" t="s">
        <v>4032</v>
      </c>
      <c r="O844" s="20"/>
      <c r="P844" s="20"/>
      <c r="Q844" s="20"/>
      <c r="R844" s="20"/>
      <c r="S844" s="20"/>
    </row>
    <row r="845">
      <c r="A845" s="76" t="s">
        <v>4033</v>
      </c>
      <c r="B845" s="97">
        <v>46116.0</v>
      </c>
      <c r="C845" s="76" t="s">
        <v>4034</v>
      </c>
      <c r="D845" s="99" t="s">
        <v>4035</v>
      </c>
      <c r="E845" s="25" t="s">
        <v>128</v>
      </c>
      <c r="F845" s="25" t="s">
        <v>129</v>
      </c>
      <c r="G845" s="25" t="s">
        <v>29</v>
      </c>
      <c r="H845" s="10"/>
      <c r="I845" s="10"/>
      <c r="J845" s="10"/>
      <c r="K845" s="46"/>
      <c r="L845" s="76" t="s">
        <v>4036</v>
      </c>
      <c r="M845" s="44">
        <v>1.0</v>
      </c>
      <c r="N845" s="146" t="s">
        <v>4037</v>
      </c>
      <c r="O845" s="20"/>
      <c r="P845" s="20"/>
      <c r="Q845" s="20"/>
      <c r="R845" s="20"/>
      <c r="S845" s="20"/>
    </row>
    <row r="846">
      <c r="A846" s="49" t="s">
        <v>4038</v>
      </c>
      <c r="B846" s="110">
        <v>46116.0</v>
      </c>
      <c r="C846" s="49" t="s">
        <v>1336</v>
      </c>
      <c r="D846" s="102" t="s">
        <v>4039</v>
      </c>
      <c r="E846" s="25" t="s">
        <v>128</v>
      </c>
      <c r="F846" s="25" t="s">
        <v>129</v>
      </c>
      <c r="G846" s="25" t="s">
        <v>42</v>
      </c>
      <c r="H846" s="49" t="s">
        <v>4040</v>
      </c>
      <c r="I846" s="101">
        <v>46156.0</v>
      </c>
      <c r="J846" s="49">
        <v>2.0</v>
      </c>
      <c r="K846" s="36">
        <v>3200000.0</v>
      </c>
      <c r="L846" s="49" t="s">
        <v>4041</v>
      </c>
      <c r="M846" s="50">
        <v>8.0</v>
      </c>
      <c r="N846" s="146" t="s">
        <v>4042</v>
      </c>
      <c r="O846" s="20"/>
      <c r="P846" s="20"/>
      <c r="Q846" s="20"/>
      <c r="R846" s="20"/>
      <c r="S846" s="20"/>
    </row>
    <row r="847">
      <c r="A847" s="49" t="s">
        <v>4043</v>
      </c>
      <c r="B847" s="110">
        <v>46116.0</v>
      </c>
      <c r="C847" s="49" t="s">
        <v>2838</v>
      </c>
      <c r="D847" s="102" t="s">
        <v>4029</v>
      </c>
      <c r="E847" s="25" t="s">
        <v>128</v>
      </c>
      <c r="F847" s="25" t="s">
        <v>983</v>
      </c>
      <c r="G847" s="25" t="s">
        <v>42</v>
      </c>
      <c r="H847" s="49" t="s">
        <v>4044</v>
      </c>
      <c r="I847" s="49" t="s">
        <v>916</v>
      </c>
      <c r="J847" s="49">
        <v>4.0</v>
      </c>
      <c r="K847" s="30">
        <f>455000*4</f>
        <v>1820000</v>
      </c>
      <c r="L847" s="49" t="s">
        <v>4045</v>
      </c>
      <c r="M847" s="50">
        <v>8.0</v>
      </c>
      <c r="N847" s="147" t="s">
        <v>4046</v>
      </c>
      <c r="O847" s="20"/>
      <c r="P847" s="20"/>
      <c r="Q847" s="20"/>
      <c r="R847" s="20"/>
      <c r="S847" s="20"/>
    </row>
    <row r="848">
      <c r="A848" s="76" t="s">
        <v>4047</v>
      </c>
      <c r="B848" s="97">
        <v>46117.0</v>
      </c>
      <c r="C848" s="76" t="s">
        <v>4048</v>
      </c>
      <c r="D848" s="99" t="s">
        <v>4049</v>
      </c>
      <c r="E848" s="25" t="s">
        <v>17</v>
      </c>
      <c r="F848" s="25" t="s">
        <v>129</v>
      </c>
      <c r="G848" s="25" t="s">
        <v>42</v>
      </c>
      <c r="H848" s="10"/>
      <c r="I848" s="10"/>
      <c r="J848" s="10"/>
      <c r="K848" s="46"/>
      <c r="L848" s="76" t="s">
        <v>2116</v>
      </c>
      <c r="M848" s="44">
        <v>8.0</v>
      </c>
      <c r="N848" s="146" t="s">
        <v>4050</v>
      </c>
      <c r="O848" s="20"/>
      <c r="P848" s="20"/>
      <c r="Q848" s="20"/>
      <c r="R848" s="20"/>
      <c r="S848" s="20"/>
    </row>
    <row r="849">
      <c r="A849" s="76" t="s">
        <v>4051</v>
      </c>
      <c r="B849" s="97">
        <v>46116.0</v>
      </c>
      <c r="C849" s="76" t="s">
        <v>4052</v>
      </c>
      <c r="D849" s="99" t="s">
        <v>4053</v>
      </c>
      <c r="E849" s="25" t="s">
        <v>128</v>
      </c>
      <c r="F849" s="25" t="s">
        <v>18</v>
      </c>
      <c r="G849" s="25" t="s">
        <v>34</v>
      </c>
      <c r="H849" s="76" t="s">
        <v>4054</v>
      </c>
      <c r="I849" s="76" t="s">
        <v>4055</v>
      </c>
      <c r="J849" s="76">
        <v>5.0</v>
      </c>
      <c r="K849" s="19">
        <v>5225000.0</v>
      </c>
      <c r="L849" s="76" t="s">
        <v>4056</v>
      </c>
      <c r="M849" s="44">
        <v>2.0</v>
      </c>
      <c r="N849" s="146" t="s">
        <v>4057</v>
      </c>
      <c r="O849" s="20"/>
      <c r="P849" s="20"/>
      <c r="Q849" s="20"/>
      <c r="R849" s="20"/>
      <c r="S849" s="20"/>
    </row>
    <row r="850">
      <c r="A850" s="49" t="s">
        <v>4058</v>
      </c>
      <c r="B850" s="110">
        <v>46116.0</v>
      </c>
      <c r="C850" s="49" t="s">
        <v>68</v>
      </c>
      <c r="D850" s="102" t="s">
        <v>4017</v>
      </c>
      <c r="E850" s="25" t="s">
        <v>17</v>
      </c>
      <c r="F850" s="25" t="s">
        <v>18</v>
      </c>
      <c r="G850" s="25" t="s">
        <v>42</v>
      </c>
      <c r="H850" s="49" t="s">
        <v>4059</v>
      </c>
      <c r="I850" s="101">
        <v>46119.0</v>
      </c>
      <c r="J850" s="49">
        <v>2.0</v>
      </c>
      <c r="K850" s="36">
        <v>1100000.0</v>
      </c>
      <c r="L850" s="49" t="s">
        <v>633</v>
      </c>
      <c r="M850" s="50">
        <v>8.0</v>
      </c>
      <c r="N850" s="146" t="s">
        <v>4060</v>
      </c>
      <c r="O850" s="20"/>
      <c r="P850" s="20"/>
      <c r="Q850" s="20"/>
      <c r="R850" s="20"/>
      <c r="S850" s="20"/>
    </row>
    <row r="851">
      <c r="A851" s="76" t="s">
        <v>4061</v>
      </c>
      <c r="B851" s="97">
        <v>46117.0</v>
      </c>
      <c r="C851" s="76" t="s">
        <v>4062</v>
      </c>
      <c r="D851" s="99" t="s">
        <v>4063</v>
      </c>
      <c r="E851" s="25" t="s">
        <v>17</v>
      </c>
      <c r="F851" s="25" t="s">
        <v>129</v>
      </c>
      <c r="G851" s="25" t="s">
        <v>34</v>
      </c>
      <c r="H851" s="76" t="s">
        <v>4064</v>
      </c>
      <c r="I851" s="76" t="s">
        <v>912</v>
      </c>
      <c r="J851" s="76">
        <v>3.0</v>
      </c>
      <c r="K851" s="19">
        <v>5991000.0</v>
      </c>
      <c r="L851" s="76" t="s">
        <v>3925</v>
      </c>
      <c r="M851" s="44">
        <v>2.0</v>
      </c>
      <c r="N851" s="146" t="s">
        <v>4065</v>
      </c>
      <c r="O851" s="20"/>
      <c r="P851" s="20"/>
      <c r="Q851" s="20"/>
      <c r="R851" s="20"/>
      <c r="S851" s="20"/>
    </row>
    <row r="852">
      <c r="A852" s="49" t="s">
        <v>4066</v>
      </c>
      <c r="B852" s="110">
        <v>46117.0</v>
      </c>
      <c r="C852" s="49" t="s">
        <v>4067</v>
      </c>
      <c r="D852" s="102" t="s">
        <v>4068</v>
      </c>
      <c r="E852" s="25" t="s">
        <v>17</v>
      </c>
      <c r="F852" s="25" t="s">
        <v>129</v>
      </c>
      <c r="G852" s="25" t="s">
        <v>42</v>
      </c>
      <c r="H852" s="49" t="s">
        <v>4069</v>
      </c>
      <c r="I852" s="101">
        <v>46156.0</v>
      </c>
      <c r="J852" s="49">
        <v>2.0</v>
      </c>
      <c r="K852" s="36">
        <v>1000000.0</v>
      </c>
      <c r="L852" s="49" t="s">
        <v>1360</v>
      </c>
      <c r="M852" s="50">
        <v>8.0</v>
      </c>
      <c r="N852" s="146" t="s">
        <v>4070</v>
      </c>
      <c r="O852" s="20"/>
      <c r="P852" s="20"/>
      <c r="Q852" s="20"/>
      <c r="R852" s="20"/>
      <c r="S852" s="20"/>
    </row>
    <row r="853">
      <c r="A853" s="76" t="s">
        <v>4071</v>
      </c>
      <c r="B853" s="97">
        <v>46117.0</v>
      </c>
      <c r="C853" s="76" t="s">
        <v>4072</v>
      </c>
      <c r="D853" s="99" t="s">
        <v>4073</v>
      </c>
      <c r="E853" s="25" t="s">
        <v>1877</v>
      </c>
      <c r="F853" s="25" t="s">
        <v>983</v>
      </c>
      <c r="G853" s="25" t="s">
        <v>19</v>
      </c>
      <c r="H853" s="76" t="s">
        <v>4074</v>
      </c>
      <c r="I853" s="76" t="s">
        <v>4075</v>
      </c>
      <c r="J853" s="76">
        <v>2.0</v>
      </c>
      <c r="K853" s="46">
        <f>3517000*2</f>
        <v>7034000</v>
      </c>
      <c r="L853" s="76" t="s">
        <v>2079</v>
      </c>
      <c r="M853" s="44">
        <v>7.0</v>
      </c>
      <c r="N853" s="148"/>
      <c r="O853" s="20"/>
      <c r="P853" s="20"/>
      <c r="Q853" s="20"/>
      <c r="R853" s="20"/>
      <c r="S853" s="20"/>
    </row>
    <row r="854">
      <c r="A854" s="49" t="s">
        <v>4076</v>
      </c>
      <c r="B854" s="110">
        <v>46118.0</v>
      </c>
      <c r="C854" s="49" t="s">
        <v>4077</v>
      </c>
      <c r="D854" s="102" t="s">
        <v>4078</v>
      </c>
      <c r="E854" s="25" t="s">
        <v>128</v>
      </c>
      <c r="F854" s="25" t="s">
        <v>18</v>
      </c>
      <c r="G854" s="25" t="s">
        <v>42</v>
      </c>
      <c r="H854" s="49" t="s">
        <v>4079</v>
      </c>
      <c r="I854" s="23"/>
      <c r="J854" s="23"/>
      <c r="K854" s="30"/>
      <c r="L854" s="49" t="s">
        <v>3285</v>
      </c>
      <c r="M854" s="50">
        <v>8.0</v>
      </c>
      <c r="N854" s="146" t="s">
        <v>4080</v>
      </c>
      <c r="O854" s="20"/>
      <c r="P854" s="20"/>
      <c r="Q854" s="20"/>
      <c r="R854" s="20"/>
      <c r="S854" s="20"/>
    </row>
    <row r="855">
      <c r="A855" s="76" t="s">
        <v>4081</v>
      </c>
      <c r="B855" s="121">
        <v>46118.0</v>
      </c>
      <c r="C855" s="76" t="s">
        <v>4082</v>
      </c>
      <c r="D855" s="99" t="s">
        <v>4083</v>
      </c>
      <c r="E855" s="25" t="s">
        <v>122</v>
      </c>
      <c r="F855" s="25" t="s">
        <v>983</v>
      </c>
      <c r="G855" s="25" t="s">
        <v>34</v>
      </c>
      <c r="H855" s="76" t="s">
        <v>2462</v>
      </c>
      <c r="I855" s="76" t="s">
        <v>4084</v>
      </c>
      <c r="J855" s="76">
        <v>10.0</v>
      </c>
      <c r="K855" s="46">
        <f>1700000*10</f>
        <v>17000000</v>
      </c>
      <c r="L855" s="76" t="s">
        <v>4085</v>
      </c>
      <c r="M855" s="44">
        <v>2.0</v>
      </c>
      <c r="N855" s="149" t="s">
        <v>4086</v>
      </c>
      <c r="O855" s="20"/>
      <c r="P855" s="20"/>
      <c r="Q855" s="20"/>
      <c r="R855" s="20"/>
      <c r="S855" s="20"/>
    </row>
    <row r="856">
      <c r="A856" s="49" t="s">
        <v>4087</v>
      </c>
      <c r="B856" s="110">
        <v>46118.0</v>
      </c>
      <c r="C856" s="49" t="s">
        <v>4088</v>
      </c>
      <c r="D856" s="102" t="s">
        <v>4089</v>
      </c>
      <c r="E856" s="25" t="s">
        <v>17</v>
      </c>
      <c r="F856" s="25" t="s">
        <v>983</v>
      </c>
      <c r="G856" s="25" t="s">
        <v>42</v>
      </c>
      <c r="H856" s="49" t="s">
        <v>632</v>
      </c>
      <c r="I856" s="101">
        <v>46158.0</v>
      </c>
      <c r="J856" s="49">
        <v>3.0</v>
      </c>
      <c r="K856" s="36">
        <v>3150000.0</v>
      </c>
      <c r="L856" s="49" t="s">
        <v>4090</v>
      </c>
      <c r="M856" s="50">
        <v>8.0</v>
      </c>
      <c r="N856" s="146" t="s">
        <v>4091</v>
      </c>
      <c r="O856" s="20"/>
      <c r="P856" s="20"/>
      <c r="Q856" s="20"/>
      <c r="R856" s="20"/>
      <c r="S856" s="20"/>
    </row>
    <row r="857">
      <c r="A857" s="76" t="s">
        <v>4092</v>
      </c>
      <c r="B857" s="97">
        <v>46118.0</v>
      </c>
      <c r="C857" s="76" t="s">
        <v>4093</v>
      </c>
      <c r="D857" s="99" t="s">
        <v>4094</v>
      </c>
      <c r="E857" s="25" t="s">
        <v>122</v>
      </c>
      <c r="F857" s="25" t="s">
        <v>129</v>
      </c>
      <c r="G857" s="25" t="s">
        <v>42</v>
      </c>
      <c r="H857" s="76" t="s">
        <v>4095</v>
      </c>
      <c r="I857" s="76" t="s">
        <v>4096</v>
      </c>
      <c r="J857" s="76">
        <v>3.0</v>
      </c>
      <c r="K857" s="46"/>
      <c r="L857" s="76" t="s">
        <v>4097</v>
      </c>
      <c r="M857" s="44">
        <v>8.0</v>
      </c>
      <c r="N857" s="149" t="s">
        <v>4098</v>
      </c>
      <c r="O857" s="20"/>
      <c r="P857" s="20"/>
      <c r="Q857" s="20"/>
      <c r="R857" s="20"/>
      <c r="S857" s="20"/>
    </row>
    <row r="858">
      <c r="A858" s="49" t="s">
        <v>4099</v>
      </c>
      <c r="B858" s="110">
        <v>46118.0</v>
      </c>
      <c r="C858" s="49" t="s">
        <v>4100</v>
      </c>
      <c r="D858" s="102" t="s">
        <v>4101</v>
      </c>
      <c r="E858" s="25" t="s">
        <v>17</v>
      </c>
      <c r="F858" s="25" t="s">
        <v>983</v>
      </c>
      <c r="G858" s="25" t="s">
        <v>42</v>
      </c>
      <c r="H858" s="49" t="s">
        <v>1275</v>
      </c>
      <c r="I858" s="49" t="s">
        <v>2028</v>
      </c>
      <c r="J858" s="49">
        <v>15.0</v>
      </c>
      <c r="K858" s="36">
        <v>1.242E7</v>
      </c>
      <c r="L858" s="49" t="s">
        <v>4102</v>
      </c>
      <c r="M858" s="50">
        <v>8.0</v>
      </c>
      <c r="N858" s="146" t="s">
        <v>4103</v>
      </c>
      <c r="O858" s="20"/>
      <c r="P858" s="20"/>
      <c r="Q858" s="20"/>
      <c r="R858" s="20"/>
      <c r="S858" s="20"/>
    </row>
    <row r="859">
      <c r="A859" s="76" t="s">
        <v>4104</v>
      </c>
      <c r="B859" s="97">
        <v>46118.0</v>
      </c>
      <c r="C859" s="76" t="s">
        <v>4105</v>
      </c>
      <c r="D859" s="99" t="s">
        <v>4106</v>
      </c>
      <c r="E859" s="25" t="s">
        <v>122</v>
      </c>
      <c r="F859" s="25" t="s">
        <v>983</v>
      </c>
      <c r="G859" s="25" t="s">
        <v>42</v>
      </c>
      <c r="H859" s="76" t="s">
        <v>4107</v>
      </c>
      <c r="I859" s="118">
        <v>46119.0</v>
      </c>
      <c r="J859" s="76">
        <v>1.0</v>
      </c>
      <c r="K859" s="19">
        <v>550000.0</v>
      </c>
      <c r="L859" s="76" t="s">
        <v>4108</v>
      </c>
      <c r="M859" s="44">
        <v>8.0</v>
      </c>
      <c r="N859" s="148"/>
      <c r="O859" s="20"/>
      <c r="P859" s="20"/>
      <c r="Q859" s="20"/>
      <c r="R859" s="20"/>
      <c r="S859" s="20"/>
    </row>
    <row r="860">
      <c r="A860" s="49" t="s">
        <v>4109</v>
      </c>
      <c r="B860" s="97">
        <v>46118.0</v>
      </c>
      <c r="C860" s="49" t="s">
        <v>4110</v>
      </c>
      <c r="D860" s="102" t="s">
        <v>4111</v>
      </c>
      <c r="E860" s="25" t="s">
        <v>17</v>
      </c>
      <c r="F860" s="25" t="s">
        <v>129</v>
      </c>
      <c r="G860" s="25" t="s">
        <v>42</v>
      </c>
      <c r="H860" s="23"/>
      <c r="I860" s="23"/>
      <c r="J860" s="23"/>
      <c r="K860" s="30"/>
      <c r="L860" s="49" t="s">
        <v>4112</v>
      </c>
      <c r="M860" s="50">
        <v>8.0</v>
      </c>
      <c r="N860" s="146" t="s">
        <v>4113</v>
      </c>
      <c r="O860" s="20"/>
      <c r="P860" s="20"/>
      <c r="Q860" s="20"/>
      <c r="R860" s="20"/>
      <c r="S860" s="20"/>
    </row>
    <row r="861">
      <c r="A861" s="76" t="s">
        <v>4114</v>
      </c>
      <c r="B861" s="97">
        <v>46118.0</v>
      </c>
      <c r="C861" s="76" t="s">
        <v>4115</v>
      </c>
      <c r="D861" s="13">
        <f>60195025953</f>
        <v>60195025953</v>
      </c>
      <c r="E861" s="25" t="s">
        <v>128</v>
      </c>
      <c r="F861" s="25" t="s">
        <v>18</v>
      </c>
      <c r="G861" s="25" t="s">
        <v>42</v>
      </c>
      <c r="H861" s="76" t="s">
        <v>4116</v>
      </c>
      <c r="I861" s="10"/>
      <c r="J861" s="76">
        <v>2.0</v>
      </c>
      <c r="K861" s="46"/>
      <c r="L861" s="76" t="s">
        <v>1614</v>
      </c>
      <c r="M861" s="44">
        <v>8.0</v>
      </c>
      <c r="N861" s="146" t="s">
        <v>4117</v>
      </c>
      <c r="O861" s="20"/>
      <c r="P861" s="20"/>
      <c r="Q861" s="20"/>
      <c r="R861" s="20"/>
      <c r="S861" s="20"/>
    </row>
    <row r="862">
      <c r="A862" s="49" t="s">
        <v>4118</v>
      </c>
      <c r="B862" s="110">
        <v>46118.0</v>
      </c>
      <c r="C862" s="49" t="s">
        <v>4119</v>
      </c>
      <c r="D862" s="102" t="s">
        <v>4120</v>
      </c>
      <c r="E862" s="25" t="s">
        <v>128</v>
      </c>
      <c r="F862" s="25" t="s">
        <v>18</v>
      </c>
      <c r="G862" s="25" t="s">
        <v>42</v>
      </c>
      <c r="H862" s="23"/>
      <c r="I862" s="23"/>
      <c r="J862" s="23"/>
      <c r="K862" s="30"/>
      <c r="L862" s="49" t="s">
        <v>4121</v>
      </c>
      <c r="M862" s="50">
        <v>8.0</v>
      </c>
      <c r="N862" s="146" t="s">
        <v>4122</v>
      </c>
      <c r="O862" s="20"/>
      <c r="P862" s="20"/>
      <c r="Q862" s="20"/>
      <c r="R862" s="20"/>
      <c r="S862" s="20"/>
    </row>
    <row r="863">
      <c r="A863" s="76" t="s">
        <v>4123</v>
      </c>
      <c r="B863" s="97">
        <v>46118.0</v>
      </c>
      <c r="C863" s="76" t="s">
        <v>4124</v>
      </c>
      <c r="D863" s="99" t="s">
        <v>4125</v>
      </c>
      <c r="E863" s="25" t="s">
        <v>17</v>
      </c>
      <c r="F863" s="25" t="s">
        <v>18</v>
      </c>
      <c r="G863" s="25" t="s">
        <v>42</v>
      </c>
      <c r="H863" s="76" t="s">
        <v>4126</v>
      </c>
      <c r="I863" s="76" t="s">
        <v>4127</v>
      </c>
      <c r="J863" s="76">
        <v>22.0</v>
      </c>
      <c r="K863" s="19">
        <v>3.696E7</v>
      </c>
      <c r="L863" s="76" t="s">
        <v>1614</v>
      </c>
      <c r="M863" s="44">
        <v>8.0</v>
      </c>
      <c r="N863" s="146" t="s">
        <v>4128</v>
      </c>
      <c r="O863" s="20"/>
      <c r="P863" s="20"/>
      <c r="Q863" s="20"/>
      <c r="R863" s="20"/>
      <c r="S863" s="20"/>
    </row>
    <row r="864">
      <c r="A864" s="49" t="s">
        <v>4129</v>
      </c>
      <c r="B864" s="110">
        <v>46119.0</v>
      </c>
      <c r="C864" s="49" t="s">
        <v>4130</v>
      </c>
      <c r="D864" s="102" t="s">
        <v>4131</v>
      </c>
      <c r="E864" s="25" t="s">
        <v>122</v>
      </c>
      <c r="F864" s="25" t="s">
        <v>129</v>
      </c>
      <c r="G864" s="25" t="s">
        <v>42</v>
      </c>
      <c r="H864" s="49" t="s">
        <v>4132</v>
      </c>
      <c r="I864" s="101">
        <v>46120.0</v>
      </c>
      <c r="J864" s="49">
        <v>2.0</v>
      </c>
      <c r="K864" s="30"/>
      <c r="L864" s="49" t="s">
        <v>1920</v>
      </c>
      <c r="M864" s="50">
        <v>8.0</v>
      </c>
      <c r="N864" s="146" t="s">
        <v>4133</v>
      </c>
      <c r="O864" s="20"/>
      <c r="P864" s="20"/>
      <c r="Q864" s="20"/>
      <c r="R864" s="20"/>
      <c r="S864" s="20"/>
    </row>
    <row r="865">
      <c r="A865" s="76" t="s">
        <v>4134</v>
      </c>
      <c r="B865" s="97">
        <v>46118.0</v>
      </c>
      <c r="C865" s="76" t="s">
        <v>4135</v>
      </c>
      <c r="D865" s="99" t="s">
        <v>4136</v>
      </c>
      <c r="E865" s="25" t="s">
        <v>128</v>
      </c>
      <c r="F865" s="25" t="s">
        <v>18</v>
      </c>
      <c r="G865" s="25" t="s">
        <v>19</v>
      </c>
      <c r="H865" s="76" t="s">
        <v>1383</v>
      </c>
      <c r="I865" s="76" t="s">
        <v>2290</v>
      </c>
      <c r="J865" s="76">
        <v>6.0</v>
      </c>
      <c r="K865" s="19">
        <v>6360000.0</v>
      </c>
      <c r="L865" s="76" t="s">
        <v>3336</v>
      </c>
      <c r="M865" s="44">
        <v>7.0</v>
      </c>
      <c r="N865" s="146" t="s">
        <v>4137</v>
      </c>
      <c r="O865" s="20"/>
      <c r="P865" s="20"/>
      <c r="Q865" s="20"/>
      <c r="R865" s="20"/>
      <c r="S865" s="20"/>
    </row>
    <row r="866">
      <c r="A866" s="49" t="s">
        <v>4138</v>
      </c>
      <c r="B866" s="110">
        <v>46119.0</v>
      </c>
      <c r="C866" s="49" t="s">
        <v>4139</v>
      </c>
      <c r="D866" s="102" t="s">
        <v>4140</v>
      </c>
      <c r="E866" s="25" t="s">
        <v>122</v>
      </c>
      <c r="F866" s="25" t="s">
        <v>983</v>
      </c>
      <c r="G866" s="25" t="s">
        <v>19</v>
      </c>
      <c r="H866" s="49" t="s">
        <v>3643</v>
      </c>
      <c r="I866" s="101">
        <v>46122.0</v>
      </c>
      <c r="J866" s="49">
        <v>1.0</v>
      </c>
      <c r="K866" s="36">
        <v>250000.0</v>
      </c>
      <c r="L866" s="68" t="s">
        <v>2130</v>
      </c>
      <c r="M866" s="50">
        <v>7.0</v>
      </c>
      <c r="N866" s="148"/>
      <c r="O866" s="20"/>
      <c r="P866" s="20"/>
      <c r="Q866" s="20"/>
      <c r="R866" s="20"/>
      <c r="S866" s="20"/>
    </row>
    <row r="867">
      <c r="A867" s="76" t="s">
        <v>4141</v>
      </c>
      <c r="B867" s="97">
        <v>46119.0</v>
      </c>
      <c r="C867" s="76" t="s">
        <v>4142</v>
      </c>
      <c r="D867" s="99" t="s">
        <v>4143</v>
      </c>
      <c r="E867" s="25" t="s">
        <v>17</v>
      </c>
      <c r="F867" s="25" t="s">
        <v>983</v>
      </c>
      <c r="G867" s="25" t="s">
        <v>42</v>
      </c>
      <c r="H867" s="76" t="s">
        <v>2462</v>
      </c>
      <c r="I867" s="10"/>
      <c r="J867" s="76">
        <v>115.0</v>
      </c>
      <c r="K867" s="46">
        <f>1500000*115</f>
        <v>172500000</v>
      </c>
      <c r="L867" s="76" t="s">
        <v>4144</v>
      </c>
      <c r="M867" s="44">
        <v>8.0</v>
      </c>
      <c r="N867" s="146" t="s">
        <v>4145</v>
      </c>
      <c r="O867" s="20"/>
      <c r="P867" s="20"/>
      <c r="Q867" s="20"/>
      <c r="R867" s="20"/>
      <c r="S867" s="20"/>
    </row>
    <row r="868">
      <c r="A868" s="49" t="s">
        <v>4146</v>
      </c>
      <c r="B868" s="110">
        <v>46119.0</v>
      </c>
      <c r="C868" s="49" t="s">
        <v>4147</v>
      </c>
      <c r="D868" s="102" t="s">
        <v>4148</v>
      </c>
      <c r="E868" s="25" t="s">
        <v>122</v>
      </c>
      <c r="F868" s="25" t="s">
        <v>129</v>
      </c>
      <c r="G868" s="25" t="s">
        <v>42</v>
      </c>
      <c r="H868" s="49" t="s">
        <v>86</v>
      </c>
      <c r="I868" s="101">
        <v>46120.0</v>
      </c>
      <c r="J868" s="49">
        <v>2.0</v>
      </c>
      <c r="K868" s="30"/>
      <c r="L868" s="49" t="s">
        <v>3047</v>
      </c>
      <c r="M868" s="50">
        <v>8.0</v>
      </c>
      <c r="N868" s="146" t="s">
        <v>4149</v>
      </c>
      <c r="O868" s="20"/>
      <c r="P868" s="20"/>
      <c r="Q868" s="20"/>
      <c r="R868" s="20"/>
      <c r="S868" s="20"/>
    </row>
    <row r="869">
      <c r="A869" s="76" t="s">
        <v>4150</v>
      </c>
      <c r="B869" s="97">
        <v>46119.0</v>
      </c>
      <c r="C869" s="76" t="s">
        <v>4151</v>
      </c>
      <c r="D869" s="99" t="s">
        <v>4152</v>
      </c>
      <c r="E869" s="25" t="s">
        <v>122</v>
      </c>
      <c r="F869" s="25" t="s">
        <v>129</v>
      </c>
      <c r="G869" s="25" t="s">
        <v>19</v>
      </c>
      <c r="H869" s="76" t="s">
        <v>4153</v>
      </c>
      <c r="I869" s="118">
        <v>46183.0</v>
      </c>
      <c r="J869" s="76">
        <v>2.0</v>
      </c>
      <c r="K869" s="19">
        <v>5350000.0</v>
      </c>
      <c r="L869" s="76" t="s">
        <v>3838</v>
      </c>
      <c r="M869" s="44">
        <v>7.0</v>
      </c>
      <c r="N869" s="146" t="s">
        <v>4154</v>
      </c>
      <c r="O869" s="20"/>
      <c r="P869" s="20"/>
      <c r="Q869" s="20"/>
      <c r="R869" s="20"/>
      <c r="S869" s="20"/>
    </row>
    <row r="870">
      <c r="A870" s="49" t="s">
        <v>4155</v>
      </c>
      <c r="B870" s="110">
        <v>46119.0</v>
      </c>
      <c r="C870" s="49" t="s">
        <v>4156</v>
      </c>
      <c r="D870" s="102" t="s">
        <v>4157</v>
      </c>
      <c r="E870" s="25" t="s">
        <v>122</v>
      </c>
      <c r="F870" s="25" t="s">
        <v>129</v>
      </c>
      <c r="G870" s="25" t="s">
        <v>29</v>
      </c>
      <c r="H870" s="23"/>
      <c r="I870" s="23"/>
      <c r="J870" s="49">
        <v>15.0</v>
      </c>
      <c r="K870" s="30"/>
      <c r="L870" s="49" t="s">
        <v>4158</v>
      </c>
      <c r="M870" s="50">
        <v>1.0</v>
      </c>
      <c r="N870" s="146" t="s">
        <v>4159</v>
      </c>
      <c r="O870" s="20"/>
      <c r="P870" s="20"/>
      <c r="Q870" s="20"/>
      <c r="R870" s="20"/>
      <c r="S870" s="20"/>
    </row>
    <row r="871">
      <c r="A871" s="76" t="s">
        <v>4160</v>
      </c>
      <c r="B871" s="97">
        <v>46119.0</v>
      </c>
      <c r="C871" s="76" t="s">
        <v>4161</v>
      </c>
      <c r="D871" s="99" t="s">
        <v>4162</v>
      </c>
      <c r="E871" s="25" t="s">
        <v>128</v>
      </c>
      <c r="F871" s="25" t="s">
        <v>129</v>
      </c>
      <c r="G871" s="25" t="s">
        <v>29</v>
      </c>
      <c r="H871" s="10"/>
      <c r="I871" s="10"/>
      <c r="J871" s="10"/>
      <c r="K871" s="46"/>
      <c r="L871" s="76" t="s">
        <v>4163</v>
      </c>
      <c r="M871" s="44">
        <v>1.0</v>
      </c>
      <c r="N871" s="146" t="s">
        <v>4164</v>
      </c>
      <c r="O871" s="20"/>
      <c r="P871" s="20"/>
      <c r="Q871" s="20"/>
      <c r="R871" s="20"/>
      <c r="S871" s="20"/>
    </row>
    <row r="872">
      <c r="A872" s="49" t="s">
        <v>4165</v>
      </c>
      <c r="B872" s="110">
        <v>46119.0</v>
      </c>
      <c r="C872" s="49" t="s">
        <v>2076</v>
      </c>
      <c r="D872" s="102" t="s">
        <v>2077</v>
      </c>
      <c r="E872" s="25" t="s">
        <v>128</v>
      </c>
      <c r="F872" s="25" t="s">
        <v>129</v>
      </c>
      <c r="G872" s="25" t="s">
        <v>42</v>
      </c>
      <c r="H872" s="49" t="s">
        <v>3032</v>
      </c>
      <c r="I872" s="49" t="s">
        <v>870</v>
      </c>
      <c r="J872" s="49">
        <v>3.0</v>
      </c>
      <c r="K872" s="30"/>
      <c r="L872" s="49" t="s">
        <v>1316</v>
      </c>
      <c r="M872" s="50">
        <v>8.0</v>
      </c>
      <c r="N872" s="150"/>
      <c r="O872" s="20"/>
      <c r="P872" s="20"/>
      <c r="Q872" s="20"/>
      <c r="R872" s="20"/>
      <c r="S872" s="20"/>
    </row>
    <row r="873">
      <c r="A873" s="76" t="s">
        <v>4166</v>
      </c>
      <c r="B873" s="97">
        <v>46119.0</v>
      </c>
      <c r="C873" s="76" t="s">
        <v>4167</v>
      </c>
      <c r="D873" s="99" t="s">
        <v>4168</v>
      </c>
      <c r="E873" s="25" t="s">
        <v>17</v>
      </c>
      <c r="F873" s="25" t="s">
        <v>129</v>
      </c>
      <c r="G873" s="25" t="s">
        <v>29</v>
      </c>
      <c r="H873" s="76"/>
      <c r="I873" s="118"/>
      <c r="J873" s="76"/>
      <c r="K873" s="46"/>
      <c r="L873" s="10"/>
      <c r="M873" s="44">
        <v>1.0</v>
      </c>
      <c r="N873" s="146" t="s">
        <v>4169</v>
      </c>
      <c r="O873" s="20"/>
      <c r="P873" s="20"/>
      <c r="Q873" s="20"/>
      <c r="R873" s="20"/>
      <c r="S873" s="20"/>
    </row>
    <row r="874">
      <c r="A874" s="49" t="s">
        <v>4170</v>
      </c>
      <c r="B874" s="110">
        <v>46119.0</v>
      </c>
      <c r="C874" s="49" t="s">
        <v>4171</v>
      </c>
      <c r="D874" s="102" t="s">
        <v>4172</v>
      </c>
      <c r="E874" s="25" t="s">
        <v>128</v>
      </c>
      <c r="F874" s="25" t="s">
        <v>18</v>
      </c>
      <c r="G874" s="25" t="s">
        <v>19</v>
      </c>
      <c r="H874" s="49" t="s">
        <v>1275</v>
      </c>
      <c r="I874" s="101">
        <v>46120.0</v>
      </c>
      <c r="J874" s="49">
        <v>2.0</v>
      </c>
      <c r="K874" s="36">
        <v>4670000.0</v>
      </c>
      <c r="L874" s="49" t="s">
        <v>3571</v>
      </c>
      <c r="M874" s="50">
        <v>7.0</v>
      </c>
      <c r="N874" s="150"/>
      <c r="O874" s="20"/>
      <c r="P874" s="20"/>
      <c r="Q874" s="20"/>
      <c r="R874" s="20"/>
      <c r="S874" s="20"/>
    </row>
    <row r="875">
      <c r="A875" s="76" t="s">
        <v>4173</v>
      </c>
      <c r="B875" s="97">
        <v>46119.0</v>
      </c>
      <c r="C875" s="76" t="s">
        <v>4174</v>
      </c>
      <c r="D875" s="99" t="s">
        <v>4175</v>
      </c>
      <c r="E875" s="25" t="s">
        <v>128</v>
      </c>
      <c r="F875" s="25" t="s">
        <v>18</v>
      </c>
      <c r="G875" s="25" t="s">
        <v>34</v>
      </c>
      <c r="H875" s="76" t="s">
        <v>4176</v>
      </c>
      <c r="I875" s="76" t="s">
        <v>4177</v>
      </c>
      <c r="J875" s="76">
        <v>3.0</v>
      </c>
      <c r="K875" s="19"/>
      <c r="L875" s="76" t="s">
        <v>4178</v>
      </c>
      <c r="M875" s="44">
        <v>2.0</v>
      </c>
      <c r="N875" s="151" t="s">
        <v>4179</v>
      </c>
      <c r="O875" s="20"/>
      <c r="P875" s="20"/>
      <c r="Q875" s="20"/>
      <c r="R875" s="20"/>
      <c r="S875" s="20"/>
    </row>
    <row r="876">
      <c r="A876" s="49" t="s">
        <v>4180</v>
      </c>
      <c r="B876" s="110">
        <v>46119.0</v>
      </c>
      <c r="C876" s="49" t="s">
        <v>4181</v>
      </c>
      <c r="D876" s="102" t="s">
        <v>4182</v>
      </c>
      <c r="E876" s="25" t="s">
        <v>128</v>
      </c>
      <c r="F876" s="25" t="s">
        <v>18</v>
      </c>
      <c r="G876" s="25" t="s">
        <v>34</v>
      </c>
      <c r="H876" s="49" t="s">
        <v>4183</v>
      </c>
      <c r="I876" s="49" t="s">
        <v>4184</v>
      </c>
      <c r="J876" s="49">
        <v>3.0</v>
      </c>
      <c r="K876" s="36">
        <v>3516000.0</v>
      </c>
      <c r="L876" s="49" t="s">
        <v>4185</v>
      </c>
      <c r="M876" s="50">
        <v>2.0</v>
      </c>
      <c r="N876" s="146" t="s">
        <v>4186</v>
      </c>
      <c r="O876" s="20"/>
      <c r="P876" s="20"/>
      <c r="Q876" s="20"/>
      <c r="R876" s="20"/>
      <c r="S876" s="20"/>
    </row>
    <row r="877">
      <c r="A877" s="76" t="s">
        <v>4187</v>
      </c>
      <c r="B877" s="97">
        <v>46119.0</v>
      </c>
      <c r="C877" s="76" t="s">
        <v>4188</v>
      </c>
      <c r="D877" s="99" t="s">
        <v>4189</v>
      </c>
      <c r="E877" s="25" t="s">
        <v>128</v>
      </c>
      <c r="F877" s="25" t="s">
        <v>129</v>
      </c>
      <c r="G877" s="25" t="s">
        <v>29</v>
      </c>
      <c r="H877" s="76" t="s">
        <v>341</v>
      </c>
      <c r="I877" s="10"/>
      <c r="J877" s="10"/>
      <c r="K877" s="46"/>
      <c r="L877" s="76" t="s">
        <v>4190</v>
      </c>
      <c r="M877" s="44">
        <v>1.0</v>
      </c>
      <c r="N877" s="146" t="s">
        <v>4191</v>
      </c>
      <c r="O877" s="20"/>
      <c r="P877" s="20"/>
      <c r="Q877" s="20"/>
      <c r="R877" s="20"/>
      <c r="S877" s="20"/>
    </row>
    <row r="878">
      <c r="A878" s="49" t="s">
        <v>4192</v>
      </c>
      <c r="B878" s="110">
        <v>46119.0</v>
      </c>
      <c r="C878" s="49" t="s">
        <v>2467</v>
      </c>
      <c r="D878" s="102" t="s">
        <v>4193</v>
      </c>
      <c r="E878" s="25" t="s">
        <v>128</v>
      </c>
      <c r="F878" s="25" t="s">
        <v>129</v>
      </c>
      <c r="G878" s="25" t="s">
        <v>42</v>
      </c>
      <c r="H878" s="23"/>
      <c r="I878" s="23"/>
      <c r="J878" s="23"/>
      <c r="K878" s="30"/>
      <c r="L878" s="49" t="s">
        <v>4194</v>
      </c>
      <c r="M878" s="50">
        <v>8.0</v>
      </c>
      <c r="N878" s="146" t="s">
        <v>4195</v>
      </c>
      <c r="O878" s="20"/>
      <c r="P878" s="20"/>
      <c r="Q878" s="20"/>
      <c r="R878" s="20"/>
      <c r="S878" s="20"/>
    </row>
    <row r="879">
      <c r="A879" s="76" t="s">
        <v>4196</v>
      </c>
      <c r="B879" s="97">
        <v>46119.0</v>
      </c>
      <c r="C879" s="76" t="s">
        <v>1461</v>
      </c>
      <c r="D879" s="99" t="s">
        <v>4197</v>
      </c>
      <c r="E879" s="25" t="s">
        <v>122</v>
      </c>
      <c r="F879" s="25" t="s">
        <v>129</v>
      </c>
      <c r="G879" s="25" t="s">
        <v>42</v>
      </c>
      <c r="H879" s="76" t="s">
        <v>4198</v>
      </c>
      <c r="I879" s="118">
        <v>46157.0</v>
      </c>
      <c r="J879" s="76">
        <v>2.0</v>
      </c>
      <c r="K879" s="19">
        <v>2700000.0</v>
      </c>
      <c r="L879" s="76" t="s">
        <v>4199</v>
      </c>
      <c r="M879" s="44">
        <v>8.0</v>
      </c>
      <c r="N879" s="146" t="s">
        <v>4200</v>
      </c>
      <c r="O879" s="20"/>
      <c r="P879" s="20"/>
      <c r="Q879" s="20"/>
      <c r="R879" s="20"/>
      <c r="S879" s="20"/>
    </row>
    <row r="880">
      <c r="A880" s="49" t="s">
        <v>4201</v>
      </c>
      <c r="B880" s="110">
        <v>46119.0</v>
      </c>
      <c r="C880" s="49" t="s">
        <v>4167</v>
      </c>
      <c r="D880" s="102" t="s">
        <v>4168</v>
      </c>
      <c r="E880" s="25" t="s">
        <v>122</v>
      </c>
      <c r="F880" s="25" t="s">
        <v>983</v>
      </c>
      <c r="G880" s="25" t="s">
        <v>42</v>
      </c>
      <c r="H880" s="49" t="s">
        <v>4202</v>
      </c>
      <c r="I880" s="101">
        <v>46130.0</v>
      </c>
      <c r="J880" s="49">
        <v>2.0</v>
      </c>
      <c r="K880" s="30">
        <f>756000*2</f>
        <v>1512000</v>
      </c>
      <c r="L880" s="49" t="s">
        <v>4203</v>
      </c>
      <c r="M880" s="50">
        <v>8.0</v>
      </c>
      <c r="N880" s="146" t="s">
        <v>4204</v>
      </c>
      <c r="O880" s="20"/>
      <c r="P880" s="20"/>
      <c r="Q880" s="20"/>
      <c r="R880" s="20"/>
      <c r="S880" s="20"/>
    </row>
    <row r="881">
      <c r="A881" s="76" t="s">
        <v>4205</v>
      </c>
      <c r="B881" s="97">
        <v>46120.0</v>
      </c>
      <c r="C881" s="76" t="s">
        <v>4206</v>
      </c>
      <c r="D881" s="99" t="s">
        <v>4207</v>
      </c>
      <c r="E881" s="25" t="s">
        <v>128</v>
      </c>
      <c r="F881" s="25" t="s">
        <v>983</v>
      </c>
      <c r="G881" s="25" t="s">
        <v>19</v>
      </c>
      <c r="H881" s="76" t="s">
        <v>4208</v>
      </c>
      <c r="I881" s="118">
        <v>46155.0</v>
      </c>
      <c r="J881" s="76">
        <v>2.0</v>
      </c>
      <c r="K881" s="19">
        <v>3240000.0</v>
      </c>
      <c r="L881" s="76" t="s">
        <v>1803</v>
      </c>
      <c r="M881" s="44">
        <v>7.0</v>
      </c>
      <c r="N881" s="146" t="s">
        <v>4209</v>
      </c>
      <c r="O881" s="20"/>
      <c r="P881" s="20"/>
      <c r="Q881" s="20"/>
      <c r="R881" s="20"/>
      <c r="S881" s="20"/>
    </row>
    <row r="882">
      <c r="A882" s="49" t="s">
        <v>4210</v>
      </c>
      <c r="B882" s="110">
        <v>46120.0</v>
      </c>
      <c r="C882" s="49" t="s">
        <v>4211</v>
      </c>
      <c r="D882" s="102" t="s">
        <v>4212</v>
      </c>
      <c r="E882" s="25" t="s">
        <v>122</v>
      </c>
      <c r="F882" s="25" t="s">
        <v>129</v>
      </c>
      <c r="G882" s="25" t="s">
        <v>29</v>
      </c>
      <c r="H882" s="49" t="s">
        <v>4213</v>
      </c>
      <c r="I882" s="23"/>
      <c r="J882" s="49">
        <v>50.0</v>
      </c>
      <c r="K882" s="30"/>
      <c r="L882" s="49" t="s">
        <v>4214</v>
      </c>
      <c r="M882" s="50">
        <v>1.0</v>
      </c>
      <c r="N882" s="146" t="s">
        <v>4215</v>
      </c>
      <c r="O882" s="20"/>
      <c r="P882" s="20"/>
      <c r="Q882" s="20"/>
      <c r="R882" s="20"/>
      <c r="S882" s="20"/>
    </row>
    <row r="883">
      <c r="A883" s="76" t="s">
        <v>4216</v>
      </c>
      <c r="B883" s="97">
        <v>46120.0</v>
      </c>
      <c r="C883" s="76" t="s">
        <v>4217</v>
      </c>
      <c r="D883" s="99" t="s">
        <v>4218</v>
      </c>
      <c r="E883" s="25" t="s">
        <v>122</v>
      </c>
      <c r="F883" s="25" t="s">
        <v>129</v>
      </c>
      <c r="G883" s="25" t="s">
        <v>29</v>
      </c>
      <c r="H883" s="76" t="s">
        <v>4219</v>
      </c>
      <c r="I883" s="76" t="s">
        <v>870</v>
      </c>
      <c r="J883" s="76">
        <v>6.0</v>
      </c>
      <c r="K883" s="19">
        <v>1.068E7</v>
      </c>
      <c r="L883" s="76" t="s">
        <v>4220</v>
      </c>
      <c r="M883" s="44">
        <v>1.0</v>
      </c>
      <c r="N883" s="146" t="s">
        <v>4221</v>
      </c>
      <c r="O883" s="20"/>
      <c r="P883" s="20"/>
      <c r="Q883" s="20"/>
      <c r="R883" s="20"/>
      <c r="S883" s="20"/>
    </row>
    <row r="884">
      <c r="A884" s="49" t="s">
        <v>4222</v>
      </c>
      <c r="B884" s="110">
        <v>46120.0</v>
      </c>
      <c r="C884" s="49" t="s">
        <v>4223</v>
      </c>
      <c r="D884" s="102" t="s">
        <v>4224</v>
      </c>
      <c r="E884" s="25" t="s">
        <v>17</v>
      </c>
      <c r="F884" s="25" t="s">
        <v>129</v>
      </c>
      <c r="G884" s="25" t="s">
        <v>42</v>
      </c>
      <c r="H884" s="49" t="s">
        <v>3317</v>
      </c>
      <c r="I884" s="101">
        <v>46157.0</v>
      </c>
      <c r="J884" s="49">
        <v>3.0</v>
      </c>
      <c r="K884" s="30"/>
      <c r="L884" s="49" t="s">
        <v>3493</v>
      </c>
      <c r="M884" s="50">
        <v>8.0</v>
      </c>
      <c r="N884" s="146" t="s">
        <v>4225</v>
      </c>
      <c r="O884" s="20"/>
      <c r="P884" s="20"/>
      <c r="Q884" s="20"/>
      <c r="R884" s="20"/>
      <c r="S884" s="20"/>
    </row>
    <row r="885">
      <c r="A885" s="76" t="s">
        <v>4226</v>
      </c>
      <c r="B885" s="97">
        <v>46119.0</v>
      </c>
      <c r="C885" s="76" t="s">
        <v>4227</v>
      </c>
      <c r="D885" s="99" t="s">
        <v>4228</v>
      </c>
      <c r="E885" s="25" t="s">
        <v>128</v>
      </c>
      <c r="F885" s="25" t="s">
        <v>18</v>
      </c>
      <c r="G885" s="25" t="s">
        <v>42</v>
      </c>
      <c r="H885" s="10"/>
      <c r="I885" s="10"/>
      <c r="J885" s="10"/>
      <c r="K885" s="46"/>
      <c r="L885" s="76" t="s">
        <v>2116</v>
      </c>
      <c r="M885" s="44">
        <v>8.0</v>
      </c>
      <c r="N885" s="146" t="s">
        <v>4229</v>
      </c>
      <c r="O885" s="20"/>
      <c r="P885" s="20"/>
      <c r="Q885" s="20"/>
      <c r="R885" s="20"/>
      <c r="S885" s="20"/>
    </row>
    <row r="886">
      <c r="A886" s="49" t="s">
        <v>4230</v>
      </c>
      <c r="B886" s="110">
        <v>46120.0</v>
      </c>
      <c r="C886" s="49" t="s">
        <v>4231</v>
      </c>
      <c r="D886" s="102" t="s">
        <v>4232</v>
      </c>
      <c r="E886" s="25" t="s">
        <v>17</v>
      </c>
      <c r="F886" s="25" t="s">
        <v>18</v>
      </c>
      <c r="G886" s="25" t="s">
        <v>42</v>
      </c>
      <c r="H886" s="49" t="s">
        <v>3141</v>
      </c>
      <c r="I886" s="101">
        <v>46142.0</v>
      </c>
      <c r="J886" s="49">
        <v>5.0</v>
      </c>
      <c r="K886" s="36">
        <v>2135000.0</v>
      </c>
      <c r="L886" s="49" t="s">
        <v>4233</v>
      </c>
      <c r="M886" s="50">
        <v>8.0</v>
      </c>
      <c r="N886" s="150"/>
      <c r="O886" s="20"/>
      <c r="P886" s="20"/>
      <c r="Q886" s="20"/>
      <c r="R886" s="20"/>
      <c r="S886" s="20"/>
    </row>
    <row r="887">
      <c r="A887" s="76" t="s">
        <v>4234</v>
      </c>
      <c r="B887" s="97">
        <v>46120.0</v>
      </c>
      <c r="C887" s="76" t="s">
        <v>4235</v>
      </c>
      <c r="D887" s="99" t="s">
        <v>4236</v>
      </c>
      <c r="E887" s="25" t="s">
        <v>128</v>
      </c>
      <c r="F887" s="25" t="s">
        <v>18</v>
      </c>
      <c r="G887" s="25" t="s">
        <v>34</v>
      </c>
      <c r="H887" s="76" t="s">
        <v>2071</v>
      </c>
      <c r="I887" s="76" t="s">
        <v>4237</v>
      </c>
      <c r="J887" s="76">
        <v>6.0</v>
      </c>
      <c r="K887" s="46"/>
      <c r="L887" s="76" t="s">
        <v>4238</v>
      </c>
      <c r="M887" s="44">
        <v>2.0</v>
      </c>
      <c r="N887" s="146" t="s">
        <v>4239</v>
      </c>
      <c r="O887" s="20"/>
      <c r="P887" s="20"/>
      <c r="Q887" s="20"/>
      <c r="R887" s="20"/>
      <c r="S887" s="20"/>
    </row>
    <row r="888">
      <c r="A888" s="49" t="s">
        <v>4240</v>
      </c>
      <c r="B888" s="110">
        <v>46120.0</v>
      </c>
      <c r="C888" s="49" t="s">
        <v>4241</v>
      </c>
      <c r="D888" s="102" t="s">
        <v>4242</v>
      </c>
      <c r="E888" s="25" t="s">
        <v>128</v>
      </c>
      <c r="F888" s="25" t="s">
        <v>18</v>
      </c>
      <c r="G888" s="25" t="s">
        <v>19</v>
      </c>
      <c r="H888" s="49" t="s">
        <v>4243</v>
      </c>
      <c r="I888" s="101">
        <v>46121.0</v>
      </c>
      <c r="J888" s="49">
        <v>2.0</v>
      </c>
      <c r="K888" s="36">
        <v>5714000.0</v>
      </c>
      <c r="L888" s="49" t="s">
        <v>3571</v>
      </c>
      <c r="M888" s="50">
        <v>7.0</v>
      </c>
      <c r="N888" s="150"/>
      <c r="O888" s="20"/>
      <c r="P888" s="20"/>
      <c r="Q888" s="20"/>
      <c r="R888" s="20"/>
      <c r="S888" s="20"/>
    </row>
    <row r="889">
      <c r="A889" s="76" t="s">
        <v>4244</v>
      </c>
      <c r="B889" s="97">
        <v>46120.0</v>
      </c>
      <c r="C889" s="76" t="s">
        <v>4245</v>
      </c>
      <c r="D889" s="99" t="s">
        <v>4246</v>
      </c>
      <c r="E889" s="25" t="s">
        <v>17</v>
      </c>
      <c r="F889" s="25" t="s">
        <v>18</v>
      </c>
      <c r="G889" s="25" t="s">
        <v>42</v>
      </c>
      <c r="H889" s="76" t="s">
        <v>123</v>
      </c>
      <c r="I889" s="76" t="s">
        <v>3899</v>
      </c>
      <c r="J889" s="129">
        <v>46083.0</v>
      </c>
      <c r="K889" s="46"/>
      <c r="L889" s="76" t="s">
        <v>1614</v>
      </c>
      <c r="M889" s="44">
        <v>8.0</v>
      </c>
      <c r="N889" s="146" t="s">
        <v>4247</v>
      </c>
      <c r="O889" s="20"/>
      <c r="P889" s="20"/>
      <c r="Q889" s="20"/>
      <c r="R889" s="20"/>
      <c r="S889" s="20"/>
    </row>
    <row r="890">
      <c r="A890" s="49" t="s">
        <v>4248</v>
      </c>
      <c r="B890" s="110">
        <v>46120.0</v>
      </c>
      <c r="C890" s="49" t="s">
        <v>4249</v>
      </c>
      <c r="D890" s="102" t="s">
        <v>4250</v>
      </c>
      <c r="E890" s="25" t="s">
        <v>122</v>
      </c>
      <c r="F890" s="25" t="s">
        <v>129</v>
      </c>
      <c r="G890" s="25" t="s">
        <v>29</v>
      </c>
      <c r="H890" s="49" t="s">
        <v>4251</v>
      </c>
      <c r="I890" s="23"/>
      <c r="J890" s="23"/>
      <c r="K890" s="30"/>
      <c r="L890" s="49" t="s">
        <v>4252</v>
      </c>
      <c r="M890" s="50">
        <v>1.0</v>
      </c>
      <c r="N890" s="146" t="s">
        <v>4253</v>
      </c>
      <c r="O890" s="20"/>
      <c r="P890" s="20"/>
      <c r="Q890" s="20"/>
      <c r="R890" s="20"/>
      <c r="S890" s="20"/>
    </row>
    <row r="891">
      <c r="A891" s="76" t="s">
        <v>4254</v>
      </c>
      <c r="B891" s="97">
        <v>46120.0</v>
      </c>
      <c r="C891" s="76" t="s">
        <v>4255</v>
      </c>
      <c r="D891" s="99" t="s">
        <v>4256</v>
      </c>
      <c r="E891" s="25" t="s">
        <v>17</v>
      </c>
      <c r="F891" s="25" t="s">
        <v>129</v>
      </c>
      <c r="G891" s="25" t="s">
        <v>42</v>
      </c>
      <c r="H891" s="76" t="s">
        <v>4257</v>
      </c>
      <c r="I891" s="118">
        <v>46157.0</v>
      </c>
      <c r="J891" s="76">
        <v>4.0</v>
      </c>
      <c r="K891" s="19">
        <v>3440000.0</v>
      </c>
      <c r="L891" s="76" t="s">
        <v>3493</v>
      </c>
      <c r="M891" s="44">
        <v>8.0</v>
      </c>
      <c r="N891" s="146" t="s">
        <v>4258</v>
      </c>
      <c r="O891" s="20"/>
      <c r="P891" s="20"/>
      <c r="Q891" s="20"/>
      <c r="R891" s="20"/>
      <c r="S891" s="20"/>
    </row>
    <row r="892">
      <c r="A892" s="49" t="s">
        <v>4259</v>
      </c>
      <c r="B892" s="110">
        <v>46120.0</v>
      </c>
      <c r="C892" s="49" t="s">
        <v>4260</v>
      </c>
      <c r="D892" s="102" t="s">
        <v>4261</v>
      </c>
      <c r="E892" s="25" t="s">
        <v>128</v>
      </c>
      <c r="F892" s="25" t="s">
        <v>18</v>
      </c>
      <c r="G892" s="25" t="s">
        <v>19</v>
      </c>
      <c r="H892" s="49" t="s">
        <v>1174</v>
      </c>
      <c r="I892" s="101">
        <v>46123.0</v>
      </c>
      <c r="J892" s="49">
        <v>2.0</v>
      </c>
      <c r="K892" s="36">
        <v>500000.0</v>
      </c>
      <c r="L892" s="49" t="s">
        <v>3571</v>
      </c>
      <c r="M892" s="50">
        <v>7.0</v>
      </c>
      <c r="N892" s="150"/>
      <c r="O892" s="20"/>
      <c r="P892" s="20"/>
      <c r="Q892" s="20"/>
      <c r="R892" s="20"/>
      <c r="S892" s="20"/>
    </row>
    <row r="893">
      <c r="A893" s="76" t="s">
        <v>4262</v>
      </c>
      <c r="B893" s="97">
        <v>46120.0</v>
      </c>
      <c r="C893" s="76" t="s">
        <v>4263</v>
      </c>
      <c r="D893" s="99" t="s">
        <v>4264</v>
      </c>
      <c r="E893" s="25" t="s">
        <v>128</v>
      </c>
      <c r="F893" s="25" t="s">
        <v>129</v>
      </c>
      <c r="G893" s="25" t="s">
        <v>29</v>
      </c>
      <c r="H893" s="10"/>
      <c r="I893" s="10"/>
      <c r="J893" s="10"/>
      <c r="K893" s="46"/>
      <c r="L893" s="10"/>
      <c r="M893" s="44">
        <v>1.0</v>
      </c>
      <c r="N893" s="146" t="s">
        <v>4265</v>
      </c>
      <c r="O893" s="20"/>
      <c r="P893" s="20"/>
      <c r="Q893" s="20"/>
      <c r="R893" s="20"/>
      <c r="S893" s="20"/>
    </row>
    <row r="894">
      <c r="A894" s="49" t="s">
        <v>4266</v>
      </c>
      <c r="B894" s="110">
        <v>46120.0</v>
      </c>
      <c r="C894" s="49" t="s">
        <v>4260</v>
      </c>
      <c r="D894" s="102" t="s">
        <v>4261</v>
      </c>
      <c r="E894" s="25" t="s">
        <v>122</v>
      </c>
      <c r="F894" s="25" t="s">
        <v>129</v>
      </c>
      <c r="G894" s="25" t="s">
        <v>42</v>
      </c>
      <c r="H894" s="23"/>
      <c r="I894" s="23"/>
      <c r="J894" s="23"/>
      <c r="K894" s="30"/>
      <c r="L894" s="49" t="s">
        <v>4267</v>
      </c>
      <c r="M894" s="50">
        <v>8.0</v>
      </c>
      <c r="N894" s="150"/>
      <c r="O894" s="20"/>
      <c r="P894" s="20"/>
      <c r="Q894" s="20"/>
      <c r="R894" s="20"/>
      <c r="S894" s="20"/>
    </row>
    <row r="895">
      <c r="A895" s="76" t="s">
        <v>4268</v>
      </c>
      <c r="B895" s="97">
        <v>46120.0</v>
      </c>
      <c r="C895" s="76" t="s">
        <v>4269</v>
      </c>
      <c r="D895" s="99" t="s">
        <v>4270</v>
      </c>
      <c r="E895" s="25" t="s">
        <v>128</v>
      </c>
      <c r="F895" s="25" t="s">
        <v>18</v>
      </c>
      <c r="G895" s="25" t="s">
        <v>19</v>
      </c>
      <c r="H895" s="76" t="s">
        <v>2120</v>
      </c>
      <c r="I895" s="118">
        <v>46128.0</v>
      </c>
      <c r="J895" s="76">
        <v>1.0</v>
      </c>
      <c r="K895" s="19">
        <v>525000.0</v>
      </c>
      <c r="L895" s="76" t="s">
        <v>3838</v>
      </c>
      <c r="M895" s="44">
        <v>7.0</v>
      </c>
      <c r="N895" s="146" t="s">
        <v>4271</v>
      </c>
      <c r="O895" s="20"/>
      <c r="P895" s="20"/>
      <c r="Q895" s="20"/>
      <c r="R895" s="20"/>
      <c r="S895" s="20"/>
    </row>
    <row r="896">
      <c r="A896" s="49" t="s">
        <v>4272</v>
      </c>
      <c r="B896" s="110">
        <v>46120.0</v>
      </c>
      <c r="C896" s="49" t="s">
        <v>4273</v>
      </c>
      <c r="D896" s="102" t="s">
        <v>4274</v>
      </c>
      <c r="E896" s="25" t="s">
        <v>17</v>
      </c>
      <c r="F896" s="25" t="s">
        <v>18</v>
      </c>
      <c r="G896" s="25" t="s">
        <v>42</v>
      </c>
      <c r="H896" s="23"/>
      <c r="I896" s="49" t="s">
        <v>4275</v>
      </c>
      <c r="J896" s="23"/>
      <c r="K896" s="30"/>
      <c r="L896" s="49" t="s">
        <v>840</v>
      </c>
      <c r="M896" s="50">
        <v>8.0</v>
      </c>
      <c r="N896" s="146" t="s">
        <v>4276</v>
      </c>
      <c r="O896" s="20"/>
      <c r="P896" s="20"/>
      <c r="Q896" s="20"/>
      <c r="R896" s="20"/>
      <c r="S896" s="20"/>
    </row>
    <row r="897">
      <c r="A897" s="76" t="s">
        <v>4277</v>
      </c>
      <c r="B897" s="97">
        <v>46120.0</v>
      </c>
      <c r="C897" s="76" t="s">
        <v>4278</v>
      </c>
      <c r="D897" s="99" t="s">
        <v>4279</v>
      </c>
      <c r="E897" s="25" t="s">
        <v>128</v>
      </c>
      <c r="F897" s="25" t="s">
        <v>129</v>
      </c>
      <c r="G897" s="25" t="s">
        <v>19</v>
      </c>
      <c r="H897" s="76" t="s">
        <v>4280</v>
      </c>
      <c r="I897" s="118">
        <v>46167.0</v>
      </c>
      <c r="J897" s="76">
        <v>2.0</v>
      </c>
      <c r="K897" s="19">
        <v>1700000.0</v>
      </c>
      <c r="L897" s="76" t="s">
        <v>4281</v>
      </c>
      <c r="M897" s="44">
        <v>7.0</v>
      </c>
      <c r="N897" s="146" t="s">
        <v>4282</v>
      </c>
      <c r="O897" s="20"/>
      <c r="P897" s="20"/>
      <c r="Q897" s="20"/>
      <c r="R897" s="20"/>
      <c r="S897" s="20"/>
    </row>
    <row r="898">
      <c r="A898" s="49" t="s">
        <v>4283</v>
      </c>
      <c r="B898" s="110">
        <v>46120.0</v>
      </c>
      <c r="C898" s="49" t="s">
        <v>4284</v>
      </c>
      <c r="D898" s="102" t="s">
        <v>4285</v>
      </c>
      <c r="E898" s="25" t="s">
        <v>122</v>
      </c>
      <c r="F898" s="25" t="s">
        <v>983</v>
      </c>
      <c r="G898" s="25" t="s">
        <v>42</v>
      </c>
      <c r="H898" s="49" t="s">
        <v>370</v>
      </c>
      <c r="I898" s="49" t="s">
        <v>4286</v>
      </c>
      <c r="J898" s="49">
        <v>70.0</v>
      </c>
      <c r="K898" s="30"/>
      <c r="L898" s="49" t="s">
        <v>4287</v>
      </c>
      <c r="M898" s="50">
        <v>8.0</v>
      </c>
      <c r="N898" s="146" t="s">
        <v>4288</v>
      </c>
      <c r="O898" s="20"/>
      <c r="P898" s="20"/>
      <c r="Q898" s="20"/>
      <c r="R898" s="20"/>
      <c r="S898" s="20"/>
    </row>
    <row r="899">
      <c r="A899" s="76" t="s">
        <v>4289</v>
      </c>
      <c r="B899" s="97">
        <v>46120.0</v>
      </c>
      <c r="C899" s="76" t="s">
        <v>4290</v>
      </c>
      <c r="D899" s="99" t="s">
        <v>4291</v>
      </c>
      <c r="E899" s="25" t="s">
        <v>128</v>
      </c>
      <c r="F899" s="25" t="s">
        <v>129</v>
      </c>
      <c r="G899" s="25" t="s">
        <v>29</v>
      </c>
      <c r="H899" s="76" t="s">
        <v>4292</v>
      </c>
      <c r="I899" s="76"/>
      <c r="J899" s="10"/>
      <c r="K899" s="19"/>
      <c r="L899" s="19" t="s">
        <v>4293</v>
      </c>
      <c r="M899" s="44">
        <v>1.0</v>
      </c>
      <c r="N899" s="146" t="s">
        <v>4294</v>
      </c>
      <c r="O899" s="20"/>
      <c r="P899" s="20"/>
      <c r="Q899" s="20"/>
      <c r="R899" s="20"/>
      <c r="S899" s="20"/>
    </row>
    <row r="900">
      <c r="A900" s="49" t="s">
        <v>4295</v>
      </c>
      <c r="B900" s="110">
        <v>46120.0</v>
      </c>
      <c r="C900" s="49" t="s">
        <v>4296</v>
      </c>
      <c r="D900" s="102" t="s">
        <v>4297</v>
      </c>
      <c r="E900" s="25" t="s">
        <v>128</v>
      </c>
      <c r="F900" s="25" t="s">
        <v>129</v>
      </c>
      <c r="G900" s="25" t="s">
        <v>29</v>
      </c>
      <c r="H900" s="23"/>
      <c r="I900" s="23"/>
      <c r="J900" s="23"/>
      <c r="K900" s="36"/>
      <c r="L900" s="36" t="s">
        <v>4298</v>
      </c>
      <c r="M900" s="50">
        <v>1.0</v>
      </c>
      <c r="N900" s="146" t="s">
        <v>4299</v>
      </c>
      <c r="O900" s="20"/>
      <c r="P900" s="20"/>
      <c r="Q900" s="20"/>
      <c r="R900" s="20"/>
      <c r="S900" s="20"/>
    </row>
    <row r="901">
      <c r="A901" s="76" t="s">
        <v>4300</v>
      </c>
      <c r="B901" s="97">
        <v>46121.0</v>
      </c>
      <c r="C901" s="76" t="s">
        <v>4301</v>
      </c>
      <c r="D901" s="99" t="s">
        <v>4302</v>
      </c>
      <c r="E901" s="25" t="s">
        <v>128</v>
      </c>
      <c r="F901" s="25" t="s">
        <v>129</v>
      </c>
      <c r="G901" s="25" t="s">
        <v>42</v>
      </c>
      <c r="H901" s="76" t="s">
        <v>4303</v>
      </c>
      <c r="I901" s="118">
        <v>46136.0</v>
      </c>
      <c r="J901" s="76">
        <v>2.0</v>
      </c>
      <c r="K901" s="46"/>
      <c r="L901" s="76" t="s">
        <v>4304</v>
      </c>
      <c r="M901" s="44">
        <v>8.0</v>
      </c>
      <c r="N901" s="146" t="s">
        <v>4305</v>
      </c>
      <c r="O901" s="20"/>
      <c r="P901" s="20"/>
      <c r="Q901" s="20"/>
      <c r="R901" s="20"/>
      <c r="S901" s="20"/>
    </row>
    <row r="902">
      <c r="A902" s="49" t="s">
        <v>4306</v>
      </c>
      <c r="B902" s="110">
        <v>46121.0</v>
      </c>
      <c r="C902" s="49" t="s">
        <v>4307</v>
      </c>
      <c r="D902" s="102" t="s">
        <v>4308</v>
      </c>
      <c r="E902" s="25" t="s">
        <v>128</v>
      </c>
      <c r="F902" s="25" t="s">
        <v>18</v>
      </c>
      <c r="G902" s="25" t="s">
        <v>19</v>
      </c>
      <c r="H902" s="49" t="s">
        <v>4309</v>
      </c>
      <c r="I902" s="101">
        <v>46143.0</v>
      </c>
      <c r="J902" s="49">
        <v>10.0</v>
      </c>
      <c r="K902" s="36">
        <v>6100000.0</v>
      </c>
      <c r="L902" s="49" t="s">
        <v>3838</v>
      </c>
      <c r="M902" s="50">
        <v>7.0</v>
      </c>
      <c r="N902" s="146" t="s">
        <v>4310</v>
      </c>
      <c r="O902" s="20"/>
      <c r="P902" s="20"/>
      <c r="Q902" s="20"/>
      <c r="R902" s="20"/>
      <c r="S902" s="20"/>
    </row>
    <row r="903">
      <c r="A903" s="76" t="s">
        <v>4311</v>
      </c>
      <c r="B903" s="97">
        <v>46121.0</v>
      </c>
      <c r="C903" s="76" t="s">
        <v>4312</v>
      </c>
      <c r="D903" s="99" t="s">
        <v>4313</v>
      </c>
      <c r="E903" s="25" t="s">
        <v>122</v>
      </c>
      <c r="F903" s="25" t="s">
        <v>983</v>
      </c>
      <c r="G903" s="25" t="s">
        <v>42</v>
      </c>
      <c r="H903" s="76" t="s">
        <v>199</v>
      </c>
      <c r="I903" s="76" t="s">
        <v>4314</v>
      </c>
      <c r="J903" s="76">
        <v>44.0</v>
      </c>
      <c r="K903" s="46"/>
      <c r="L903" s="76" t="s">
        <v>3133</v>
      </c>
      <c r="M903" s="44">
        <v>8.0</v>
      </c>
      <c r="N903" s="146" t="s">
        <v>4315</v>
      </c>
      <c r="O903" s="20"/>
      <c r="P903" s="20"/>
      <c r="Q903" s="20"/>
      <c r="R903" s="20"/>
      <c r="S903" s="20"/>
    </row>
    <row r="904">
      <c r="A904" s="49" t="s">
        <v>4316</v>
      </c>
      <c r="B904" s="110">
        <v>46121.0</v>
      </c>
      <c r="C904" s="49" t="s">
        <v>4317</v>
      </c>
      <c r="D904" s="102" t="s">
        <v>4318</v>
      </c>
      <c r="E904" s="25" t="s">
        <v>122</v>
      </c>
      <c r="F904" s="25" t="s">
        <v>983</v>
      </c>
      <c r="G904" s="25" t="s">
        <v>42</v>
      </c>
      <c r="H904" s="49" t="s">
        <v>4319</v>
      </c>
      <c r="I904" s="101">
        <v>46143.0</v>
      </c>
      <c r="J904" s="23"/>
      <c r="K904" s="30"/>
      <c r="L904" s="49" t="s">
        <v>4320</v>
      </c>
      <c r="M904" s="50">
        <v>8.0</v>
      </c>
      <c r="N904" s="146" t="s">
        <v>4321</v>
      </c>
      <c r="O904" s="20"/>
      <c r="P904" s="20"/>
      <c r="Q904" s="20"/>
      <c r="R904" s="20"/>
      <c r="S904" s="20"/>
    </row>
    <row r="905">
      <c r="A905" s="76" t="s">
        <v>4322</v>
      </c>
      <c r="B905" s="97">
        <v>46121.0</v>
      </c>
      <c r="C905" s="76" t="s">
        <v>4323</v>
      </c>
      <c r="D905" s="99" t="s">
        <v>4324</v>
      </c>
      <c r="E905" s="25" t="s">
        <v>122</v>
      </c>
      <c r="F905" s="25" t="s">
        <v>129</v>
      </c>
      <c r="G905" s="25" t="s">
        <v>42</v>
      </c>
      <c r="H905" s="76" t="s">
        <v>4325</v>
      </c>
      <c r="I905" s="10"/>
      <c r="J905" s="76">
        <v>10.0</v>
      </c>
      <c r="K905" s="46"/>
      <c r="L905" s="76" t="s">
        <v>4326</v>
      </c>
      <c r="M905" s="44">
        <v>8.0</v>
      </c>
      <c r="N905" s="148"/>
      <c r="O905" s="20"/>
      <c r="P905" s="20"/>
      <c r="Q905" s="20"/>
      <c r="R905" s="20"/>
      <c r="S905" s="20"/>
    </row>
    <row r="906">
      <c r="A906" s="49" t="s">
        <v>4327</v>
      </c>
      <c r="B906" s="110">
        <v>46121.0</v>
      </c>
      <c r="C906" s="49" t="s">
        <v>4328</v>
      </c>
      <c r="D906" s="102" t="s">
        <v>4329</v>
      </c>
      <c r="E906" s="25" t="s">
        <v>17</v>
      </c>
      <c r="F906" s="25" t="s">
        <v>129</v>
      </c>
      <c r="G906" s="25" t="s">
        <v>29</v>
      </c>
      <c r="H906" s="49" t="s">
        <v>4330</v>
      </c>
      <c r="I906" s="49" t="s">
        <v>870</v>
      </c>
      <c r="J906" s="49">
        <v>12.0</v>
      </c>
      <c r="K906" s="30"/>
      <c r="L906" s="49" t="s">
        <v>715</v>
      </c>
      <c r="M906" s="50">
        <v>1.0</v>
      </c>
      <c r="N906" s="146" t="s">
        <v>4331</v>
      </c>
      <c r="O906" s="20"/>
      <c r="P906" s="20"/>
      <c r="Q906" s="20"/>
      <c r="R906" s="20"/>
      <c r="S906" s="20"/>
    </row>
    <row r="907">
      <c r="A907" s="76" t="s">
        <v>4332</v>
      </c>
      <c r="B907" s="97">
        <v>46121.0</v>
      </c>
      <c r="C907" s="76" t="s">
        <v>4333</v>
      </c>
      <c r="D907" s="99" t="s">
        <v>4334</v>
      </c>
      <c r="E907" s="25" t="s">
        <v>122</v>
      </c>
      <c r="F907" s="25" t="s">
        <v>129</v>
      </c>
      <c r="G907" s="25" t="s">
        <v>42</v>
      </c>
      <c r="H907" s="76" t="s">
        <v>4335</v>
      </c>
      <c r="I907" s="10"/>
      <c r="J907" s="76">
        <v>2.0</v>
      </c>
      <c r="K907" s="46"/>
      <c r="L907" s="76" t="s">
        <v>4336</v>
      </c>
      <c r="M907" s="44">
        <v>8.0</v>
      </c>
      <c r="N907" s="148"/>
      <c r="O907" s="20"/>
      <c r="P907" s="20"/>
      <c r="Q907" s="20"/>
      <c r="R907" s="20"/>
      <c r="S907" s="20"/>
    </row>
    <row r="908">
      <c r="A908" s="49" t="s">
        <v>4337</v>
      </c>
      <c r="B908" s="110">
        <v>46121.0</v>
      </c>
      <c r="C908" s="49" t="s">
        <v>4323</v>
      </c>
      <c r="D908" s="102" t="s">
        <v>4324</v>
      </c>
      <c r="E908" s="25" t="s">
        <v>869</v>
      </c>
      <c r="F908" s="25" t="s">
        <v>983</v>
      </c>
      <c r="G908" s="25" t="s">
        <v>42</v>
      </c>
      <c r="H908" s="49" t="s">
        <v>4338</v>
      </c>
      <c r="I908" s="49" t="s">
        <v>4339</v>
      </c>
      <c r="J908" s="49">
        <v>10.0</v>
      </c>
      <c r="K908" s="30">
        <f>4175000*10</f>
        <v>41750000</v>
      </c>
      <c r="L908" s="49" t="s">
        <v>4340</v>
      </c>
      <c r="M908" s="50">
        <v>8.0</v>
      </c>
      <c r="N908" s="146" t="s">
        <v>4341</v>
      </c>
      <c r="O908" s="20"/>
      <c r="P908" s="20"/>
      <c r="Q908" s="20"/>
      <c r="R908" s="20"/>
      <c r="S908" s="20"/>
    </row>
    <row r="909">
      <c r="A909" s="76" t="s">
        <v>4342</v>
      </c>
      <c r="B909" s="97">
        <v>46121.0</v>
      </c>
      <c r="C909" s="76" t="s">
        <v>4343</v>
      </c>
      <c r="D909" s="99" t="s">
        <v>4344</v>
      </c>
      <c r="E909" s="25" t="s">
        <v>122</v>
      </c>
      <c r="F909" s="25" t="s">
        <v>983</v>
      </c>
      <c r="G909" s="25" t="s">
        <v>42</v>
      </c>
      <c r="H909" s="76" t="s">
        <v>4345</v>
      </c>
      <c r="I909" s="76" t="s">
        <v>4346</v>
      </c>
      <c r="J909" s="129">
        <v>46301.0</v>
      </c>
      <c r="K909" s="46"/>
      <c r="L909" s="76" t="s">
        <v>4347</v>
      </c>
      <c r="M909" s="44">
        <v>8.0</v>
      </c>
      <c r="N909" s="146" t="s">
        <v>4348</v>
      </c>
      <c r="O909" s="20"/>
      <c r="P909" s="20"/>
      <c r="Q909" s="20"/>
      <c r="R909" s="20"/>
      <c r="S909" s="20"/>
    </row>
    <row r="910">
      <c r="A910" s="49" t="s">
        <v>4349</v>
      </c>
      <c r="B910" s="110">
        <v>46122.0</v>
      </c>
      <c r="C910" s="49" t="s">
        <v>1390</v>
      </c>
      <c r="D910" s="102" t="s">
        <v>4350</v>
      </c>
      <c r="E910" s="25" t="s">
        <v>128</v>
      </c>
      <c r="F910" s="25" t="s">
        <v>129</v>
      </c>
      <c r="G910" s="25" t="s">
        <v>42</v>
      </c>
      <c r="H910" s="49" t="s">
        <v>4351</v>
      </c>
      <c r="I910" s="101">
        <v>46156.0</v>
      </c>
      <c r="J910" s="49">
        <v>4.0</v>
      </c>
      <c r="K910" s="36">
        <v>6040000.0</v>
      </c>
      <c r="L910" s="49" t="s">
        <v>4352</v>
      </c>
      <c r="M910" s="50">
        <v>8.0</v>
      </c>
      <c r="N910" s="146" t="s">
        <v>4353</v>
      </c>
      <c r="O910" s="20"/>
      <c r="P910" s="20"/>
      <c r="Q910" s="20"/>
      <c r="R910" s="20"/>
      <c r="S910" s="20"/>
    </row>
    <row r="911">
      <c r="A911" s="76" t="s">
        <v>4354</v>
      </c>
      <c r="B911" s="97">
        <v>46122.0</v>
      </c>
      <c r="C911" s="76" t="s">
        <v>4355</v>
      </c>
      <c r="D911" s="99" t="s">
        <v>4356</v>
      </c>
      <c r="E911" s="25" t="s">
        <v>128</v>
      </c>
      <c r="F911" s="25" t="s">
        <v>129</v>
      </c>
      <c r="G911" s="25" t="s">
        <v>42</v>
      </c>
      <c r="H911" s="76" t="s">
        <v>1290</v>
      </c>
      <c r="I911" s="118">
        <v>46135.0</v>
      </c>
      <c r="J911" s="76">
        <v>5.0</v>
      </c>
      <c r="K911" s="46"/>
      <c r="L911" s="76" t="s">
        <v>4357</v>
      </c>
      <c r="M911" s="44">
        <v>8.0</v>
      </c>
      <c r="N911" s="146" t="s">
        <v>4358</v>
      </c>
      <c r="O911" s="20"/>
      <c r="P911" s="20"/>
      <c r="Q911" s="20"/>
      <c r="R911" s="20"/>
      <c r="S911" s="20"/>
    </row>
    <row r="912">
      <c r="A912" s="49" t="s">
        <v>4359</v>
      </c>
      <c r="B912" s="110">
        <v>46122.0</v>
      </c>
      <c r="C912" s="49" t="s">
        <v>4360</v>
      </c>
      <c r="D912" s="102" t="s">
        <v>4361</v>
      </c>
      <c r="E912" s="25" t="s">
        <v>17</v>
      </c>
      <c r="F912" s="25" t="s">
        <v>18</v>
      </c>
      <c r="G912" s="25" t="s">
        <v>42</v>
      </c>
      <c r="H912" s="49" t="s">
        <v>2145</v>
      </c>
      <c r="I912" s="23"/>
      <c r="J912" s="49">
        <v>3.0</v>
      </c>
      <c r="K912" s="36">
        <v>1500000.0</v>
      </c>
      <c r="L912" s="49" t="s">
        <v>1614</v>
      </c>
      <c r="M912" s="50">
        <v>8.0</v>
      </c>
      <c r="N912" s="146" t="s">
        <v>4362</v>
      </c>
      <c r="O912" s="20"/>
      <c r="P912" s="20"/>
      <c r="Q912" s="20"/>
      <c r="R912" s="20"/>
      <c r="S912" s="20"/>
    </row>
    <row r="913">
      <c r="A913" s="76" t="s">
        <v>4363</v>
      </c>
      <c r="B913" s="97">
        <v>46122.0</v>
      </c>
      <c r="C913" s="76" t="s">
        <v>4364</v>
      </c>
      <c r="D913" s="99" t="s">
        <v>4365</v>
      </c>
      <c r="E913" s="25" t="s">
        <v>122</v>
      </c>
      <c r="F913" s="25" t="s">
        <v>983</v>
      </c>
      <c r="G913" s="25" t="s">
        <v>42</v>
      </c>
      <c r="H913" s="76" t="s">
        <v>2105</v>
      </c>
      <c r="I913" s="76" t="s">
        <v>4366</v>
      </c>
      <c r="J913" s="76">
        <v>24.0</v>
      </c>
      <c r="K913" s="46">
        <f>3210000*24</f>
        <v>77040000</v>
      </c>
      <c r="L913" s="76" t="s">
        <v>3768</v>
      </c>
      <c r="M913" s="44">
        <v>8.0</v>
      </c>
      <c r="N913" s="146" t="s">
        <v>4367</v>
      </c>
      <c r="O913" s="20"/>
      <c r="P913" s="20"/>
      <c r="Q913" s="20"/>
      <c r="R913" s="20"/>
      <c r="S913" s="20"/>
    </row>
    <row r="914">
      <c r="A914" s="49" t="s">
        <v>4368</v>
      </c>
      <c r="B914" s="110">
        <v>46122.0</v>
      </c>
      <c r="C914" s="49" t="s">
        <v>4369</v>
      </c>
      <c r="D914" s="102" t="s">
        <v>4370</v>
      </c>
      <c r="E914" s="25" t="s">
        <v>122</v>
      </c>
      <c r="F914" s="25" t="s">
        <v>129</v>
      </c>
      <c r="G914" s="25" t="s">
        <v>42</v>
      </c>
      <c r="H914" s="49" t="s">
        <v>277</v>
      </c>
      <c r="I914" s="101">
        <v>46144.0</v>
      </c>
      <c r="J914" s="49">
        <v>1.0</v>
      </c>
      <c r="K914" s="30"/>
      <c r="L914" s="49" t="s">
        <v>4371</v>
      </c>
      <c r="M914" s="50">
        <v>8.0</v>
      </c>
      <c r="N914" s="146" t="s">
        <v>4372</v>
      </c>
      <c r="O914" s="20"/>
      <c r="P914" s="20"/>
      <c r="Q914" s="20"/>
      <c r="R914" s="20"/>
      <c r="S914" s="20"/>
    </row>
    <row r="915">
      <c r="A915" s="76" t="s">
        <v>4373</v>
      </c>
      <c r="B915" s="97">
        <v>46122.0</v>
      </c>
      <c r="C915" s="76" t="s">
        <v>4374</v>
      </c>
      <c r="D915" s="99" t="s">
        <v>4375</v>
      </c>
      <c r="E915" s="25" t="s">
        <v>128</v>
      </c>
      <c r="F915" s="25" t="s">
        <v>129</v>
      </c>
      <c r="G915" s="25" t="s">
        <v>19</v>
      </c>
      <c r="H915" s="76" t="s">
        <v>3032</v>
      </c>
      <c r="I915" s="118">
        <v>46123.0</v>
      </c>
      <c r="J915" s="76">
        <v>4.0</v>
      </c>
      <c r="K915" s="19">
        <v>7700000.0</v>
      </c>
      <c r="L915" s="76" t="s">
        <v>4376</v>
      </c>
      <c r="M915" s="44">
        <v>7.0</v>
      </c>
      <c r="N915" s="148"/>
      <c r="O915" s="20"/>
      <c r="P915" s="20"/>
      <c r="Q915" s="20"/>
      <c r="R915" s="20"/>
      <c r="S915" s="20"/>
    </row>
    <row r="916">
      <c r="A916" s="76" t="s">
        <v>4377</v>
      </c>
      <c r="B916" s="97">
        <v>46122.0</v>
      </c>
      <c r="C916" s="76" t="s">
        <v>4378</v>
      </c>
      <c r="D916" s="99" t="s">
        <v>4379</v>
      </c>
      <c r="E916" s="25" t="s">
        <v>122</v>
      </c>
      <c r="F916" s="25" t="s">
        <v>983</v>
      </c>
      <c r="G916" s="25" t="s">
        <v>42</v>
      </c>
      <c r="H916" s="10"/>
      <c r="I916" s="10"/>
      <c r="J916" s="10"/>
      <c r="K916" s="46"/>
      <c r="L916" s="76" t="s">
        <v>4380</v>
      </c>
      <c r="M916" s="44">
        <v>8.0</v>
      </c>
      <c r="N916" s="146" t="s">
        <v>4381</v>
      </c>
      <c r="O916" s="20"/>
      <c r="P916" s="20"/>
      <c r="Q916" s="20"/>
      <c r="R916" s="20"/>
      <c r="S916" s="20"/>
    </row>
    <row r="917">
      <c r="A917" s="49" t="s">
        <v>4382</v>
      </c>
      <c r="B917" s="110">
        <v>46123.0</v>
      </c>
      <c r="C917" s="49" t="s">
        <v>2672</v>
      </c>
      <c r="D917" s="102" t="s">
        <v>4383</v>
      </c>
      <c r="E917" s="25" t="s">
        <v>17</v>
      </c>
      <c r="F917" s="25" t="s">
        <v>129</v>
      </c>
      <c r="G917" s="25" t="s">
        <v>42</v>
      </c>
      <c r="H917" s="23"/>
      <c r="I917" s="23"/>
      <c r="J917" s="23"/>
      <c r="K917" s="30"/>
      <c r="L917" s="49" t="s">
        <v>2116</v>
      </c>
      <c r="M917" s="50">
        <v>8.0</v>
      </c>
      <c r="N917" s="146" t="s">
        <v>4384</v>
      </c>
      <c r="O917" s="20"/>
      <c r="P917" s="20"/>
      <c r="Q917" s="20"/>
      <c r="R917" s="20"/>
      <c r="S917" s="20"/>
    </row>
    <row r="918">
      <c r="A918" s="76" t="s">
        <v>4385</v>
      </c>
      <c r="B918" s="97">
        <v>46123.0</v>
      </c>
      <c r="C918" s="76" t="s">
        <v>4386</v>
      </c>
      <c r="D918" s="99" t="s">
        <v>4387</v>
      </c>
      <c r="E918" s="25" t="s">
        <v>128</v>
      </c>
      <c r="F918" s="25" t="s">
        <v>129</v>
      </c>
      <c r="G918" s="25" t="s">
        <v>19</v>
      </c>
      <c r="H918" s="76" t="s">
        <v>2518</v>
      </c>
      <c r="I918" s="118">
        <v>46128.0</v>
      </c>
      <c r="J918" s="76">
        <v>2.0</v>
      </c>
      <c r="K918" s="19">
        <v>1650000.0</v>
      </c>
      <c r="L918" s="76" t="s">
        <v>3838</v>
      </c>
      <c r="M918" s="44">
        <v>7.0</v>
      </c>
      <c r="N918" s="146" t="s">
        <v>4388</v>
      </c>
      <c r="O918" s="20"/>
      <c r="P918" s="20"/>
      <c r="Q918" s="20"/>
      <c r="R918" s="20"/>
      <c r="S918" s="20"/>
    </row>
    <row r="919">
      <c r="A919" s="49" t="s">
        <v>4389</v>
      </c>
      <c r="B919" s="110">
        <v>46122.0</v>
      </c>
      <c r="C919" s="49" t="s">
        <v>4390</v>
      </c>
      <c r="D919" s="102" t="s">
        <v>4391</v>
      </c>
      <c r="E919" s="25" t="s">
        <v>128</v>
      </c>
      <c r="F919" s="25" t="s">
        <v>18</v>
      </c>
      <c r="G919" s="25" t="s">
        <v>42</v>
      </c>
      <c r="H919" s="23"/>
      <c r="I919" s="23"/>
      <c r="J919" s="23"/>
      <c r="K919" s="30"/>
      <c r="L919" s="49" t="s">
        <v>2116</v>
      </c>
      <c r="M919" s="50">
        <v>8.0</v>
      </c>
      <c r="N919" s="150"/>
      <c r="O919" s="20"/>
      <c r="P919" s="20"/>
      <c r="Q919" s="20"/>
      <c r="R919" s="20"/>
      <c r="S919" s="20"/>
    </row>
    <row r="920">
      <c r="A920" s="49" t="s">
        <v>4392</v>
      </c>
      <c r="B920" s="110">
        <v>46123.0</v>
      </c>
      <c r="C920" s="49" t="s">
        <v>4393</v>
      </c>
      <c r="D920" s="102" t="s">
        <v>4394</v>
      </c>
      <c r="E920" s="25" t="s">
        <v>128</v>
      </c>
      <c r="F920" s="25" t="s">
        <v>18</v>
      </c>
      <c r="G920" s="25" t="s">
        <v>42</v>
      </c>
      <c r="H920" s="49" t="s">
        <v>4395</v>
      </c>
      <c r="I920" s="101">
        <v>46130.0</v>
      </c>
      <c r="J920" s="49">
        <v>3.0</v>
      </c>
      <c r="K920" s="36">
        <v>2076000.0</v>
      </c>
      <c r="L920" s="49" t="s">
        <v>4396</v>
      </c>
      <c r="M920" s="50">
        <v>8.0</v>
      </c>
      <c r="N920" s="146" t="s">
        <v>4397</v>
      </c>
      <c r="O920" s="20"/>
      <c r="P920" s="20"/>
      <c r="Q920" s="20"/>
      <c r="R920" s="20"/>
      <c r="S920" s="20"/>
    </row>
    <row r="921">
      <c r="A921" s="76" t="s">
        <v>4398</v>
      </c>
      <c r="B921" s="97">
        <v>46123.0</v>
      </c>
      <c r="C921" s="76" t="s">
        <v>4399</v>
      </c>
      <c r="D921" s="99" t="s">
        <v>4400</v>
      </c>
      <c r="E921" s="25" t="s">
        <v>17</v>
      </c>
      <c r="F921" s="25" t="s">
        <v>18</v>
      </c>
      <c r="G921" s="25" t="s">
        <v>42</v>
      </c>
      <c r="H921" s="76" t="s">
        <v>2462</v>
      </c>
      <c r="I921" s="76" t="s">
        <v>3899</v>
      </c>
      <c r="J921" s="76">
        <v>20.0</v>
      </c>
      <c r="K921" s="19">
        <v>3.2E7</v>
      </c>
      <c r="L921" s="76" t="s">
        <v>4401</v>
      </c>
      <c r="M921" s="44">
        <v>8.0</v>
      </c>
      <c r="N921" s="150"/>
      <c r="O921" s="20"/>
      <c r="P921" s="20"/>
      <c r="Q921" s="20"/>
      <c r="R921" s="20"/>
      <c r="S921" s="20"/>
    </row>
    <row r="922">
      <c r="A922" s="49" t="s">
        <v>4402</v>
      </c>
      <c r="B922" s="110">
        <v>46123.0</v>
      </c>
      <c r="C922" s="49" t="s">
        <v>4403</v>
      </c>
      <c r="D922" s="102" t="s">
        <v>4404</v>
      </c>
      <c r="E922" s="25" t="s">
        <v>128</v>
      </c>
      <c r="F922" s="25" t="s">
        <v>129</v>
      </c>
      <c r="G922" s="25" t="s">
        <v>42</v>
      </c>
      <c r="H922" s="49" t="s">
        <v>116</v>
      </c>
      <c r="I922" s="101">
        <v>46154.0</v>
      </c>
      <c r="J922" s="49">
        <v>2.0</v>
      </c>
      <c r="K922" s="30"/>
      <c r="L922" s="49" t="s">
        <v>174</v>
      </c>
      <c r="M922" s="50">
        <v>8.0</v>
      </c>
      <c r="N922" s="146" t="s">
        <v>4405</v>
      </c>
      <c r="O922" s="20"/>
      <c r="P922" s="20"/>
      <c r="Q922" s="20"/>
      <c r="R922" s="20"/>
      <c r="S922" s="20"/>
    </row>
    <row r="923">
      <c r="A923" s="76" t="s">
        <v>4406</v>
      </c>
      <c r="B923" s="97">
        <v>46123.0</v>
      </c>
      <c r="C923" s="76" t="s">
        <v>4407</v>
      </c>
      <c r="D923" s="99" t="s">
        <v>4408</v>
      </c>
      <c r="E923" s="25" t="s">
        <v>128</v>
      </c>
      <c r="F923" s="25" t="s">
        <v>129</v>
      </c>
      <c r="G923" s="25" t="s">
        <v>42</v>
      </c>
      <c r="H923" s="76" t="s">
        <v>4409</v>
      </c>
      <c r="I923" s="10"/>
      <c r="J923" s="76">
        <v>1.0</v>
      </c>
      <c r="K923" s="46"/>
      <c r="L923" s="76" t="s">
        <v>4352</v>
      </c>
      <c r="M923" s="44">
        <v>8.0</v>
      </c>
      <c r="N923" s="146" t="s">
        <v>4410</v>
      </c>
      <c r="O923" s="20"/>
      <c r="P923" s="20"/>
      <c r="Q923" s="20"/>
      <c r="R923" s="20"/>
      <c r="S923" s="20"/>
    </row>
    <row r="924">
      <c r="A924" s="49" t="s">
        <v>4411</v>
      </c>
      <c r="B924" s="110">
        <v>46123.0</v>
      </c>
      <c r="C924" s="49" t="s">
        <v>4412</v>
      </c>
      <c r="D924" s="102" t="s">
        <v>4413</v>
      </c>
      <c r="E924" s="25" t="s">
        <v>128</v>
      </c>
      <c r="F924" s="25" t="s">
        <v>129</v>
      </c>
      <c r="G924" s="25" t="s">
        <v>29</v>
      </c>
      <c r="H924" s="49" t="s">
        <v>235</v>
      </c>
      <c r="I924" s="49" t="s">
        <v>336</v>
      </c>
      <c r="J924" s="49">
        <v>2.0</v>
      </c>
      <c r="K924" s="30"/>
      <c r="L924" s="49" t="s">
        <v>1316</v>
      </c>
      <c r="M924" s="50">
        <v>1.0</v>
      </c>
      <c r="N924" s="146" t="s">
        <v>4414</v>
      </c>
      <c r="O924" s="20"/>
      <c r="P924" s="20"/>
      <c r="Q924" s="20"/>
      <c r="R924" s="20"/>
      <c r="S924" s="20"/>
    </row>
    <row r="925">
      <c r="A925" s="76" t="s">
        <v>4415</v>
      </c>
      <c r="B925" s="97">
        <v>46121.0</v>
      </c>
      <c r="C925" s="76" t="s">
        <v>3126</v>
      </c>
      <c r="D925" s="99" t="s">
        <v>4416</v>
      </c>
      <c r="E925" s="25" t="s">
        <v>128</v>
      </c>
      <c r="F925" s="25" t="s">
        <v>18</v>
      </c>
      <c r="G925" s="25" t="s">
        <v>42</v>
      </c>
      <c r="H925" s="76" t="s">
        <v>2120</v>
      </c>
      <c r="I925" s="118">
        <v>46132.0</v>
      </c>
      <c r="J925" s="76">
        <v>1.0</v>
      </c>
      <c r="K925" s="19">
        <v>525000.0</v>
      </c>
      <c r="L925" s="76" t="s">
        <v>4417</v>
      </c>
      <c r="M925" s="44">
        <v>8.0</v>
      </c>
      <c r="N925" s="148"/>
      <c r="O925" s="20"/>
      <c r="P925" s="20"/>
      <c r="Q925" s="20"/>
      <c r="R925" s="20"/>
      <c r="S925" s="20"/>
    </row>
    <row r="926">
      <c r="A926" s="49" t="s">
        <v>4418</v>
      </c>
      <c r="B926" s="110">
        <v>46121.0</v>
      </c>
      <c r="C926" s="49" t="s">
        <v>930</v>
      </c>
      <c r="D926" s="102" t="s">
        <v>4419</v>
      </c>
      <c r="E926" s="25" t="s">
        <v>128</v>
      </c>
      <c r="F926" s="25" t="s">
        <v>18</v>
      </c>
      <c r="G926" s="25" t="s">
        <v>42</v>
      </c>
      <c r="H926" s="49" t="s">
        <v>1174</v>
      </c>
      <c r="I926" s="23"/>
      <c r="J926" s="23"/>
      <c r="K926" s="30"/>
      <c r="L926" s="49" t="s">
        <v>1614</v>
      </c>
      <c r="M926" s="50">
        <v>8.0</v>
      </c>
      <c r="N926" s="146" t="s">
        <v>4420</v>
      </c>
      <c r="O926" s="20"/>
      <c r="P926" s="20"/>
      <c r="Q926" s="20"/>
      <c r="R926" s="20"/>
      <c r="S926" s="20"/>
    </row>
    <row r="927">
      <c r="A927" s="76" t="s">
        <v>4421</v>
      </c>
      <c r="B927" s="97">
        <v>46121.0</v>
      </c>
      <c r="C927" s="76" t="s">
        <v>4422</v>
      </c>
      <c r="D927" s="99" t="s">
        <v>4423</v>
      </c>
      <c r="E927" s="25" t="s">
        <v>128</v>
      </c>
      <c r="F927" s="25" t="s">
        <v>18</v>
      </c>
      <c r="G927" s="25" t="s">
        <v>42</v>
      </c>
      <c r="H927" s="76" t="s">
        <v>4409</v>
      </c>
      <c r="I927" s="76" t="s">
        <v>4424</v>
      </c>
      <c r="J927" s="76">
        <v>2.0</v>
      </c>
      <c r="K927" s="19">
        <v>3200000.0</v>
      </c>
      <c r="L927" s="76" t="s">
        <v>4396</v>
      </c>
      <c r="M927" s="44">
        <v>8.0</v>
      </c>
      <c r="N927" s="146" t="s">
        <v>4425</v>
      </c>
      <c r="O927" s="20"/>
      <c r="P927" s="20"/>
      <c r="Q927" s="20"/>
      <c r="R927" s="20"/>
      <c r="S927" s="20"/>
    </row>
    <row r="928">
      <c r="A928" s="49" t="s">
        <v>4426</v>
      </c>
      <c r="B928" s="110">
        <v>46123.0</v>
      </c>
      <c r="C928" s="49" t="s">
        <v>4427</v>
      </c>
      <c r="D928" s="102" t="s">
        <v>4428</v>
      </c>
      <c r="E928" s="25" t="s">
        <v>17</v>
      </c>
      <c r="F928" s="25" t="s">
        <v>983</v>
      </c>
      <c r="G928" s="25" t="s">
        <v>42</v>
      </c>
      <c r="H928" s="49" t="s">
        <v>2462</v>
      </c>
      <c r="I928" s="49" t="s">
        <v>4429</v>
      </c>
      <c r="J928" s="49">
        <v>2.0</v>
      </c>
      <c r="K928" s="30"/>
      <c r="L928" s="49" t="s">
        <v>4430</v>
      </c>
      <c r="M928" s="50">
        <v>8.0</v>
      </c>
      <c r="N928" s="146" t="s">
        <v>4431</v>
      </c>
      <c r="O928" s="20"/>
      <c r="P928" s="20"/>
      <c r="Q928" s="20"/>
      <c r="R928" s="20"/>
      <c r="S928" s="20"/>
    </row>
    <row r="929">
      <c r="A929" s="76" t="s">
        <v>4432</v>
      </c>
      <c r="B929" s="97">
        <v>46123.0</v>
      </c>
      <c r="C929" s="76" t="s">
        <v>4433</v>
      </c>
      <c r="D929" s="99" t="s">
        <v>4434</v>
      </c>
      <c r="E929" s="25" t="s">
        <v>128</v>
      </c>
      <c r="F929" s="25" t="s">
        <v>18</v>
      </c>
      <c r="G929" s="25" t="s">
        <v>42</v>
      </c>
      <c r="H929" s="76" t="s">
        <v>1155</v>
      </c>
      <c r="I929" s="76" t="s">
        <v>4435</v>
      </c>
      <c r="J929" s="76">
        <v>5.0</v>
      </c>
      <c r="K929" s="19">
        <v>5225000.0</v>
      </c>
      <c r="L929" s="76" t="s">
        <v>4436</v>
      </c>
      <c r="M929" s="44">
        <v>8.0</v>
      </c>
      <c r="N929" s="146" t="s">
        <v>4437</v>
      </c>
      <c r="O929" s="20"/>
      <c r="P929" s="20"/>
      <c r="Q929" s="20"/>
      <c r="R929" s="20"/>
      <c r="S929" s="20"/>
    </row>
    <row r="930">
      <c r="A930" s="49" t="s">
        <v>4438</v>
      </c>
      <c r="B930" s="110">
        <v>46123.0</v>
      </c>
      <c r="C930" s="49" t="s">
        <v>4439</v>
      </c>
      <c r="D930" s="102" t="s">
        <v>4440</v>
      </c>
      <c r="E930" s="25" t="s">
        <v>128</v>
      </c>
      <c r="F930" s="25" t="s">
        <v>129</v>
      </c>
      <c r="G930" s="25" t="s">
        <v>19</v>
      </c>
      <c r="H930" s="49" t="s">
        <v>4441</v>
      </c>
      <c r="I930" s="49" t="s">
        <v>4442</v>
      </c>
      <c r="J930" s="49">
        <v>2.0</v>
      </c>
      <c r="K930" s="36">
        <f>SUM(500000+590000)</f>
        <v>1090000</v>
      </c>
      <c r="L930" s="49" t="s">
        <v>4443</v>
      </c>
      <c r="M930" s="50">
        <v>7.0</v>
      </c>
      <c r="N930" s="146" t="s">
        <v>4444</v>
      </c>
      <c r="O930" s="20"/>
      <c r="P930" s="20"/>
      <c r="Q930" s="20"/>
      <c r="R930" s="20"/>
      <c r="S930" s="20"/>
    </row>
    <row r="931">
      <c r="A931" s="76" t="s">
        <v>4445</v>
      </c>
      <c r="B931" s="97">
        <v>46123.0</v>
      </c>
      <c r="C931" s="76" t="s">
        <v>4446</v>
      </c>
      <c r="D931" s="99" t="s">
        <v>4447</v>
      </c>
      <c r="E931" s="25" t="s">
        <v>17</v>
      </c>
      <c r="F931" s="25" t="s">
        <v>18</v>
      </c>
      <c r="G931" s="25" t="s">
        <v>34</v>
      </c>
      <c r="H931" s="76" t="s">
        <v>260</v>
      </c>
      <c r="I931" s="76" t="s">
        <v>4429</v>
      </c>
      <c r="J931" s="76">
        <v>2.0</v>
      </c>
      <c r="K931" s="19">
        <v>3200000.0</v>
      </c>
      <c r="L931" s="76" t="s">
        <v>4448</v>
      </c>
      <c r="M931" s="44">
        <v>2.0</v>
      </c>
      <c r="N931" s="146" t="s">
        <v>4449</v>
      </c>
      <c r="O931" s="20"/>
      <c r="P931" s="20"/>
      <c r="Q931" s="20"/>
      <c r="R931" s="20"/>
      <c r="S931" s="20"/>
    </row>
    <row r="932">
      <c r="A932" s="49" t="s">
        <v>4450</v>
      </c>
      <c r="B932" s="97">
        <v>46123.0</v>
      </c>
      <c r="C932" s="49" t="s">
        <v>4451</v>
      </c>
      <c r="D932" s="102" t="s">
        <v>4452</v>
      </c>
      <c r="E932" s="25" t="s">
        <v>17</v>
      </c>
      <c r="F932" s="25" t="s">
        <v>129</v>
      </c>
      <c r="G932" s="25" t="s">
        <v>42</v>
      </c>
      <c r="H932" s="49" t="s">
        <v>747</v>
      </c>
      <c r="I932" s="49"/>
      <c r="J932" s="49">
        <v>2.0</v>
      </c>
      <c r="K932" s="36">
        <v>590000.0</v>
      </c>
      <c r="L932" s="49" t="s">
        <v>4453</v>
      </c>
      <c r="M932" s="50">
        <v>8.0</v>
      </c>
      <c r="N932" s="146" t="s">
        <v>4454</v>
      </c>
      <c r="O932" s="20"/>
      <c r="P932" s="20"/>
      <c r="Q932" s="20"/>
      <c r="R932" s="20"/>
      <c r="S932" s="20"/>
    </row>
    <row r="933">
      <c r="A933" s="76" t="s">
        <v>4455</v>
      </c>
      <c r="B933" s="97">
        <v>46123.0</v>
      </c>
      <c r="C933" s="76" t="s">
        <v>4456</v>
      </c>
      <c r="D933" s="99" t="s">
        <v>4428</v>
      </c>
      <c r="E933" s="25" t="s">
        <v>17</v>
      </c>
      <c r="F933" s="25" t="s">
        <v>18</v>
      </c>
      <c r="G933" s="25" t="s">
        <v>42</v>
      </c>
      <c r="H933" s="76" t="s">
        <v>260</v>
      </c>
      <c r="I933" s="118">
        <v>46156.0</v>
      </c>
      <c r="J933" s="76">
        <v>2.0</v>
      </c>
      <c r="K933" s="19">
        <v>3200000.0</v>
      </c>
      <c r="L933" s="76" t="s">
        <v>4457</v>
      </c>
      <c r="M933" s="44">
        <v>8.0</v>
      </c>
      <c r="N933" s="149" t="s">
        <v>4458</v>
      </c>
      <c r="O933" s="20"/>
      <c r="P933" s="20"/>
      <c r="Q933" s="20"/>
      <c r="R933" s="20"/>
      <c r="S933" s="20"/>
    </row>
    <row r="934">
      <c r="A934" s="49" t="s">
        <v>4459</v>
      </c>
      <c r="B934" s="110">
        <v>46123.0</v>
      </c>
      <c r="C934" s="49" t="s">
        <v>4460</v>
      </c>
      <c r="D934" s="102" t="s">
        <v>4461</v>
      </c>
      <c r="E934" s="25" t="s">
        <v>128</v>
      </c>
      <c r="F934" s="25" t="s">
        <v>18</v>
      </c>
      <c r="G934" s="25" t="s">
        <v>42</v>
      </c>
      <c r="H934" s="49" t="s">
        <v>1722</v>
      </c>
      <c r="I934" s="101">
        <v>46157.0</v>
      </c>
      <c r="J934" s="49">
        <v>6.0</v>
      </c>
      <c r="K934" s="36">
        <v>3570000.0</v>
      </c>
      <c r="L934" s="49" t="s">
        <v>158</v>
      </c>
      <c r="M934" s="50">
        <v>8.0</v>
      </c>
      <c r="N934" s="146" t="s">
        <v>4462</v>
      </c>
      <c r="O934" s="20"/>
      <c r="P934" s="20"/>
      <c r="Q934" s="20"/>
      <c r="R934" s="20"/>
      <c r="S934" s="20"/>
    </row>
    <row r="935">
      <c r="A935" s="76" t="s">
        <v>4463</v>
      </c>
      <c r="B935" s="97">
        <v>46124.0</v>
      </c>
      <c r="C935" s="76" t="s">
        <v>4464</v>
      </c>
      <c r="D935" s="99" t="s">
        <v>4465</v>
      </c>
      <c r="E935" s="25" t="s">
        <v>128</v>
      </c>
      <c r="F935" s="25" t="s">
        <v>129</v>
      </c>
      <c r="G935" s="25" t="s">
        <v>42</v>
      </c>
      <c r="H935" s="10"/>
      <c r="I935" s="10"/>
      <c r="J935" s="10"/>
      <c r="K935" s="46"/>
      <c r="L935" s="76" t="s">
        <v>4466</v>
      </c>
      <c r="M935" s="44">
        <v>8.0</v>
      </c>
      <c r="N935" s="146" t="s">
        <v>4467</v>
      </c>
      <c r="O935" s="20"/>
      <c r="P935" s="20"/>
      <c r="Q935" s="20"/>
      <c r="R935" s="20"/>
      <c r="S935" s="20"/>
    </row>
    <row r="936">
      <c r="A936" s="49" t="s">
        <v>4468</v>
      </c>
      <c r="B936" s="110">
        <v>46123.0</v>
      </c>
      <c r="C936" s="49" t="s">
        <v>4469</v>
      </c>
      <c r="D936" s="102" t="s">
        <v>4428</v>
      </c>
      <c r="E936" s="25" t="s">
        <v>17</v>
      </c>
      <c r="F936" s="25" t="s">
        <v>129</v>
      </c>
      <c r="G936" s="25" t="s">
        <v>42</v>
      </c>
      <c r="H936" s="23"/>
      <c r="I936" s="23"/>
      <c r="J936" s="23"/>
      <c r="K936" s="30"/>
      <c r="L936" s="49" t="s">
        <v>4470</v>
      </c>
      <c r="M936" s="50">
        <v>8.0</v>
      </c>
      <c r="N936" s="148"/>
      <c r="O936" s="20"/>
      <c r="P936" s="20"/>
      <c r="Q936" s="20"/>
      <c r="R936" s="20"/>
      <c r="S936" s="20"/>
    </row>
    <row r="937">
      <c r="A937" s="76" t="s">
        <v>4471</v>
      </c>
      <c r="B937" s="97">
        <v>46122.0</v>
      </c>
      <c r="C937" s="76" t="s">
        <v>4472</v>
      </c>
      <c r="D937" s="99" t="s">
        <v>4473</v>
      </c>
      <c r="E937" s="25" t="s">
        <v>128</v>
      </c>
      <c r="F937" s="25" t="s">
        <v>129</v>
      </c>
      <c r="G937" s="25" t="s">
        <v>42</v>
      </c>
      <c r="H937" s="76" t="s">
        <v>4474</v>
      </c>
      <c r="I937" s="10"/>
      <c r="J937" s="10"/>
      <c r="K937" s="46"/>
      <c r="L937" s="76" t="s">
        <v>4475</v>
      </c>
      <c r="M937" s="44">
        <v>8.0</v>
      </c>
      <c r="N937" s="148"/>
      <c r="O937" s="20"/>
      <c r="P937" s="20"/>
      <c r="Q937" s="20"/>
      <c r="R937" s="20"/>
      <c r="S937" s="20"/>
    </row>
    <row r="938">
      <c r="A938" s="49" t="s">
        <v>4476</v>
      </c>
      <c r="B938" s="110">
        <v>46124.0</v>
      </c>
      <c r="C938" s="49" t="s">
        <v>4477</v>
      </c>
      <c r="D938" s="102" t="s">
        <v>4478</v>
      </c>
      <c r="E938" s="25" t="s">
        <v>17</v>
      </c>
      <c r="F938" s="25" t="s">
        <v>129</v>
      </c>
      <c r="G938" s="25" t="s">
        <v>42</v>
      </c>
      <c r="H938" s="49" t="s">
        <v>2060</v>
      </c>
      <c r="I938" s="101">
        <v>46142.0</v>
      </c>
      <c r="J938" s="49">
        <v>5.0</v>
      </c>
      <c r="K938" s="30"/>
      <c r="L938" s="49" t="s">
        <v>783</v>
      </c>
      <c r="M938" s="50">
        <v>8.0</v>
      </c>
      <c r="N938" s="146" t="s">
        <v>4479</v>
      </c>
      <c r="O938" s="20"/>
      <c r="P938" s="20"/>
      <c r="Q938" s="20"/>
      <c r="R938" s="20"/>
      <c r="S938" s="20"/>
    </row>
    <row r="939">
      <c r="A939" s="76" t="s">
        <v>4480</v>
      </c>
      <c r="B939" s="97">
        <v>46124.0</v>
      </c>
      <c r="C939" s="76" t="s">
        <v>2374</v>
      </c>
      <c r="D939" s="99" t="s">
        <v>4481</v>
      </c>
      <c r="E939" s="25" t="s">
        <v>17</v>
      </c>
      <c r="F939" s="25" t="s">
        <v>18</v>
      </c>
      <c r="G939" s="25" t="s">
        <v>19</v>
      </c>
      <c r="H939" s="76" t="s">
        <v>2805</v>
      </c>
      <c r="I939" s="10"/>
      <c r="J939" s="76">
        <v>4.0</v>
      </c>
      <c r="K939" s="19">
        <v>2256000.0</v>
      </c>
      <c r="L939" s="76" t="s">
        <v>3625</v>
      </c>
      <c r="M939" s="44">
        <v>7.0</v>
      </c>
      <c r="N939" s="146" t="s">
        <v>4482</v>
      </c>
      <c r="O939" s="20"/>
      <c r="P939" s="20"/>
      <c r="Q939" s="20"/>
      <c r="R939" s="20"/>
      <c r="S939" s="20"/>
    </row>
    <row r="940">
      <c r="A940" s="49" t="s">
        <v>4483</v>
      </c>
      <c r="B940" s="110">
        <v>46124.0</v>
      </c>
      <c r="C940" s="49" t="s">
        <v>4484</v>
      </c>
      <c r="D940" s="102" t="s">
        <v>4485</v>
      </c>
      <c r="E940" s="25" t="s">
        <v>122</v>
      </c>
      <c r="F940" s="25" t="s">
        <v>983</v>
      </c>
      <c r="G940" s="25" t="s">
        <v>19</v>
      </c>
      <c r="H940" s="49" t="s">
        <v>172</v>
      </c>
      <c r="I940" s="49" t="s">
        <v>3899</v>
      </c>
      <c r="J940" s="49">
        <v>1.0</v>
      </c>
      <c r="K940" s="36">
        <v>1600000.0</v>
      </c>
      <c r="L940" s="49" t="s">
        <v>1803</v>
      </c>
      <c r="M940" s="50">
        <v>7.0</v>
      </c>
      <c r="N940" s="150"/>
      <c r="O940" s="20"/>
      <c r="P940" s="20"/>
      <c r="Q940" s="20"/>
      <c r="R940" s="20"/>
      <c r="S940" s="20"/>
    </row>
    <row r="941">
      <c r="A941" s="76" t="s">
        <v>4486</v>
      </c>
      <c r="B941" s="97">
        <v>46124.0</v>
      </c>
      <c r="C941" s="76" t="s">
        <v>4487</v>
      </c>
      <c r="D941" s="99" t="s">
        <v>4488</v>
      </c>
      <c r="E941" s="25" t="s">
        <v>17</v>
      </c>
      <c r="F941" s="25" t="s">
        <v>18</v>
      </c>
      <c r="G941" s="25" t="s">
        <v>42</v>
      </c>
      <c r="H941" s="76" t="s">
        <v>4489</v>
      </c>
      <c r="I941" s="118">
        <v>46144.0</v>
      </c>
      <c r="J941" s="76">
        <v>5.0</v>
      </c>
      <c r="K941" s="19">
        <v>2115000.0</v>
      </c>
      <c r="L941" s="76" t="s">
        <v>158</v>
      </c>
      <c r="M941" s="44">
        <v>8.0</v>
      </c>
      <c r="N941" s="146" t="s">
        <v>4490</v>
      </c>
      <c r="O941" s="20"/>
      <c r="P941" s="20"/>
      <c r="Q941" s="20"/>
      <c r="R941" s="20"/>
      <c r="S941" s="20"/>
    </row>
    <row r="942">
      <c r="A942" s="49" t="s">
        <v>4491</v>
      </c>
      <c r="B942" s="110">
        <v>46124.0</v>
      </c>
      <c r="C942" s="49" t="s">
        <v>4492</v>
      </c>
      <c r="D942" s="102" t="s">
        <v>4493</v>
      </c>
      <c r="E942" s="25" t="s">
        <v>128</v>
      </c>
      <c r="F942" s="25" t="s">
        <v>18</v>
      </c>
      <c r="G942" s="25" t="s">
        <v>42</v>
      </c>
      <c r="H942" s="23"/>
      <c r="I942" s="23"/>
      <c r="J942" s="23"/>
      <c r="K942" s="30"/>
      <c r="L942" s="49" t="s">
        <v>4121</v>
      </c>
      <c r="M942" s="50">
        <v>8.0</v>
      </c>
      <c r="N942" s="148"/>
      <c r="O942" s="20"/>
      <c r="P942" s="20"/>
      <c r="Q942" s="20"/>
      <c r="R942" s="20"/>
      <c r="S942" s="20"/>
    </row>
    <row r="943">
      <c r="A943" s="76" t="s">
        <v>4494</v>
      </c>
      <c r="B943" s="97">
        <v>46124.0</v>
      </c>
      <c r="C943" s="76" t="s">
        <v>4495</v>
      </c>
      <c r="D943" s="99" t="s">
        <v>4496</v>
      </c>
      <c r="E943" s="25" t="s">
        <v>128</v>
      </c>
      <c r="F943" s="25" t="s">
        <v>18</v>
      </c>
      <c r="G943" s="25" t="s">
        <v>42</v>
      </c>
      <c r="H943" s="10"/>
      <c r="I943" s="10"/>
      <c r="J943" s="10"/>
      <c r="K943" s="46"/>
      <c r="L943" s="76" t="s">
        <v>4121</v>
      </c>
      <c r="M943" s="44">
        <v>8.0</v>
      </c>
      <c r="N943" s="148"/>
      <c r="O943" s="20"/>
      <c r="P943" s="20"/>
      <c r="Q943" s="20"/>
      <c r="R943" s="20"/>
      <c r="S943" s="20"/>
    </row>
    <row r="944">
      <c r="A944" s="49" t="s">
        <v>4497</v>
      </c>
      <c r="B944" s="110">
        <v>46124.0</v>
      </c>
      <c r="C944" s="49" t="s">
        <v>4456</v>
      </c>
      <c r="D944" s="102" t="s">
        <v>4498</v>
      </c>
      <c r="E944" s="25" t="s">
        <v>128</v>
      </c>
      <c r="F944" s="25" t="s">
        <v>18</v>
      </c>
      <c r="G944" s="25" t="s">
        <v>42</v>
      </c>
      <c r="H944" s="49" t="s">
        <v>4499</v>
      </c>
      <c r="I944" s="49" t="s">
        <v>4500</v>
      </c>
      <c r="J944" s="49">
        <v>1.0</v>
      </c>
      <c r="K944" s="30"/>
      <c r="L944" s="49" t="s">
        <v>840</v>
      </c>
      <c r="M944" s="50">
        <v>8.0</v>
      </c>
      <c r="N944" s="146" t="s">
        <v>4501</v>
      </c>
      <c r="O944" s="20"/>
      <c r="P944" s="20"/>
      <c r="Q944" s="20"/>
      <c r="R944" s="20"/>
      <c r="S944" s="20"/>
    </row>
    <row r="945">
      <c r="A945" s="76" t="s">
        <v>4502</v>
      </c>
      <c r="B945" s="97">
        <v>46124.0</v>
      </c>
      <c r="C945" s="76" t="s">
        <v>4503</v>
      </c>
      <c r="D945" s="99" t="s">
        <v>4504</v>
      </c>
      <c r="E945" s="25" t="s">
        <v>122</v>
      </c>
      <c r="F945" s="25" t="s">
        <v>983</v>
      </c>
      <c r="G945" s="25" t="s">
        <v>42</v>
      </c>
      <c r="H945" s="76" t="s">
        <v>3429</v>
      </c>
      <c r="I945" s="118">
        <v>46155.0</v>
      </c>
      <c r="J945" s="76">
        <v>7.0</v>
      </c>
      <c r="K945" s="46">
        <f>1461000*7</f>
        <v>10227000</v>
      </c>
      <c r="L945" s="76" t="s">
        <v>1970</v>
      </c>
      <c r="M945" s="44">
        <v>8.0</v>
      </c>
      <c r="N945" s="146" t="s">
        <v>4505</v>
      </c>
      <c r="O945" s="20"/>
      <c r="P945" s="20"/>
      <c r="Q945" s="20"/>
      <c r="R945" s="20"/>
      <c r="S945" s="20"/>
    </row>
    <row r="946">
      <c r="A946" s="49" t="s">
        <v>4506</v>
      </c>
      <c r="B946" s="110">
        <v>46124.0</v>
      </c>
      <c r="C946" s="49" t="s">
        <v>4507</v>
      </c>
      <c r="D946" s="102" t="s">
        <v>4508</v>
      </c>
      <c r="E946" s="25" t="s">
        <v>128</v>
      </c>
      <c r="F946" s="25" t="s">
        <v>18</v>
      </c>
      <c r="G946" s="25" t="s">
        <v>34</v>
      </c>
      <c r="H946" s="49" t="s">
        <v>4509</v>
      </c>
      <c r="I946" s="49" t="s">
        <v>1348</v>
      </c>
      <c r="J946" s="49">
        <v>3.0</v>
      </c>
      <c r="K946" s="36">
        <v>3540000.0</v>
      </c>
      <c r="L946" s="49" t="s">
        <v>4510</v>
      </c>
      <c r="M946" s="50">
        <v>2.0</v>
      </c>
      <c r="N946" s="146" t="s">
        <v>4511</v>
      </c>
      <c r="O946" s="20"/>
      <c r="P946" s="20"/>
      <c r="Q946" s="20"/>
      <c r="R946" s="20"/>
      <c r="S946" s="20"/>
    </row>
    <row r="947">
      <c r="A947" s="76" t="s">
        <v>4512</v>
      </c>
      <c r="B947" s="97">
        <v>46125.0</v>
      </c>
      <c r="C947" s="76" t="s">
        <v>4513</v>
      </c>
      <c r="D947" s="99" t="s">
        <v>4514</v>
      </c>
      <c r="E947" s="25" t="s">
        <v>122</v>
      </c>
      <c r="F947" s="25" t="s">
        <v>983</v>
      </c>
      <c r="G947" s="25" t="s">
        <v>34</v>
      </c>
      <c r="H947" s="76" t="s">
        <v>4515</v>
      </c>
      <c r="I947" s="76" t="s">
        <v>4516</v>
      </c>
      <c r="J947" s="76">
        <v>2.0</v>
      </c>
      <c r="K947" s="46">
        <f>2832000*2</f>
        <v>5664000</v>
      </c>
      <c r="L947" s="76" t="s">
        <v>4517</v>
      </c>
      <c r="M947" s="44">
        <v>2.0</v>
      </c>
      <c r="N947" s="148"/>
      <c r="O947" s="20"/>
      <c r="P947" s="20"/>
      <c r="Q947" s="20"/>
      <c r="R947" s="20"/>
      <c r="S947" s="20"/>
    </row>
    <row r="948">
      <c r="A948" s="49" t="s">
        <v>4518</v>
      </c>
      <c r="B948" s="110">
        <v>46125.0</v>
      </c>
      <c r="C948" s="49" t="s">
        <v>4519</v>
      </c>
      <c r="D948" s="102" t="s">
        <v>4520</v>
      </c>
      <c r="E948" s="25" t="s">
        <v>122</v>
      </c>
      <c r="F948" s="25" t="s">
        <v>983</v>
      </c>
      <c r="G948" s="25" t="s">
        <v>42</v>
      </c>
      <c r="H948" s="49" t="s">
        <v>3711</v>
      </c>
      <c r="I948" s="49" t="s">
        <v>4521</v>
      </c>
      <c r="J948" s="49">
        <v>2.0</v>
      </c>
      <c r="K948" s="30">
        <f>1600000*2</f>
        <v>3200000</v>
      </c>
      <c r="L948" s="49" t="s">
        <v>4347</v>
      </c>
      <c r="M948" s="50">
        <v>8.0</v>
      </c>
      <c r="N948" s="146" t="s">
        <v>4522</v>
      </c>
      <c r="O948" s="20"/>
      <c r="P948" s="20"/>
      <c r="Q948" s="20"/>
      <c r="R948" s="20"/>
      <c r="S948" s="20"/>
    </row>
    <row r="949">
      <c r="A949" s="76" t="s">
        <v>4523</v>
      </c>
      <c r="B949" s="97">
        <v>46124.0</v>
      </c>
      <c r="C949" s="76" t="s">
        <v>4524</v>
      </c>
      <c r="D949" s="99" t="s">
        <v>4525</v>
      </c>
      <c r="E949" s="25" t="s">
        <v>122</v>
      </c>
      <c r="F949" s="25" t="s">
        <v>129</v>
      </c>
      <c r="G949" s="25" t="s">
        <v>34</v>
      </c>
      <c r="H949" s="76" t="s">
        <v>4526</v>
      </c>
      <c r="I949" s="76" t="s">
        <v>4527</v>
      </c>
      <c r="J949" s="76">
        <v>2.0</v>
      </c>
      <c r="K949" s="19">
        <v>1960000.0</v>
      </c>
      <c r="L949" s="76" t="s">
        <v>4528</v>
      </c>
      <c r="M949" s="44">
        <v>2.0</v>
      </c>
      <c r="N949" s="146" t="s">
        <v>4529</v>
      </c>
      <c r="O949" s="20"/>
      <c r="P949" s="20"/>
      <c r="Q949" s="20"/>
      <c r="R949" s="20"/>
      <c r="S949" s="20"/>
    </row>
    <row r="950">
      <c r="A950" s="49" t="s">
        <v>4530</v>
      </c>
      <c r="B950" s="110">
        <v>46124.0</v>
      </c>
      <c r="C950" s="49" t="s">
        <v>4531</v>
      </c>
      <c r="D950" s="102" t="s">
        <v>4496</v>
      </c>
      <c r="E950" s="25" t="s">
        <v>128</v>
      </c>
      <c r="F950" s="25" t="s">
        <v>129</v>
      </c>
      <c r="G950" s="25" t="s">
        <v>42</v>
      </c>
      <c r="H950" s="49" t="s">
        <v>4532</v>
      </c>
      <c r="I950" s="101">
        <v>46127.0</v>
      </c>
      <c r="J950" s="49">
        <v>4.0</v>
      </c>
      <c r="K950" s="36">
        <v>4600000.0</v>
      </c>
      <c r="L950" s="49" t="s">
        <v>4533</v>
      </c>
      <c r="M950" s="50">
        <v>8.0</v>
      </c>
      <c r="N950" s="150"/>
      <c r="O950" s="20"/>
      <c r="P950" s="20"/>
      <c r="Q950" s="20"/>
      <c r="R950" s="20"/>
      <c r="S950" s="20"/>
    </row>
    <row r="951">
      <c r="A951" s="76" t="s">
        <v>4534</v>
      </c>
      <c r="B951" s="97">
        <v>46125.0</v>
      </c>
      <c r="C951" s="76" t="s">
        <v>4535</v>
      </c>
      <c r="D951" s="99" t="s">
        <v>4536</v>
      </c>
      <c r="E951" s="25" t="s">
        <v>17</v>
      </c>
      <c r="F951" s="25" t="s">
        <v>129</v>
      </c>
      <c r="G951" s="25" t="s">
        <v>34</v>
      </c>
      <c r="H951" s="76" t="s">
        <v>4537</v>
      </c>
      <c r="I951" s="76" t="s">
        <v>4538</v>
      </c>
      <c r="J951" s="76">
        <v>3.0</v>
      </c>
      <c r="K951" s="19">
        <v>2067000.0</v>
      </c>
      <c r="L951" s="76" t="s">
        <v>4539</v>
      </c>
      <c r="M951" s="44">
        <v>2.0</v>
      </c>
      <c r="N951" s="146" t="s">
        <v>4540</v>
      </c>
      <c r="O951" s="20"/>
      <c r="P951" s="20"/>
      <c r="Q951" s="20"/>
      <c r="R951" s="20"/>
      <c r="S951" s="20"/>
    </row>
    <row r="952">
      <c r="A952" s="49" t="s">
        <v>4541</v>
      </c>
      <c r="B952" s="110">
        <v>46125.0</v>
      </c>
      <c r="C952" s="49" t="s">
        <v>4542</v>
      </c>
      <c r="D952" s="102" t="s">
        <v>4543</v>
      </c>
      <c r="E952" s="25" t="s">
        <v>128</v>
      </c>
      <c r="F952" s="25" t="s">
        <v>129</v>
      </c>
      <c r="G952" s="25" t="s">
        <v>29</v>
      </c>
      <c r="H952" s="23"/>
      <c r="I952" s="49" t="s">
        <v>961</v>
      </c>
      <c r="J952" s="49">
        <v>2.0</v>
      </c>
      <c r="K952" s="30"/>
      <c r="L952" s="49" t="s">
        <v>4544</v>
      </c>
      <c r="M952" s="50">
        <v>1.0</v>
      </c>
      <c r="N952" s="146" t="s">
        <v>4545</v>
      </c>
      <c r="O952" s="20"/>
      <c r="P952" s="20"/>
      <c r="Q952" s="20"/>
      <c r="R952" s="20"/>
      <c r="S952" s="20"/>
    </row>
    <row r="953">
      <c r="A953" s="76" t="s">
        <v>4546</v>
      </c>
      <c r="B953" s="97">
        <v>46125.0</v>
      </c>
      <c r="C953" s="76" t="s">
        <v>4547</v>
      </c>
      <c r="D953" s="99" t="s">
        <v>4548</v>
      </c>
      <c r="E953" s="25" t="s">
        <v>128</v>
      </c>
      <c r="F953" s="25" t="s">
        <v>129</v>
      </c>
      <c r="G953" s="25" t="s">
        <v>29</v>
      </c>
      <c r="H953" s="76" t="s">
        <v>4549</v>
      </c>
      <c r="I953" s="101">
        <v>46188.0</v>
      </c>
      <c r="J953" s="76">
        <v>2.0</v>
      </c>
      <c r="K953" s="46"/>
      <c r="L953" s="49" t="s">
        <v>4550</v>
      </c>
      <c r="M953" s="44">
        <v>1.0</v>
      </c>
      <c r="N953" s="146" t="s">
        <v>4551</v>
      </c>
      <c r="O953" s="20"/>
      <c r="P953" s="20"/>
      <c r="Q953" s="20"/>
      <c r="R953" s="20"/>
      <c r="S953" s="20"/>
    </row>
    <row r="954">
      <c r="A954" s="49" t="s">
        <v>4552</v>
      </c>
      <c r="B954" s="110">
        <v>46125.0</v>
      </c>
      <c r="C954" s="49" t="s">
        <v>4553</v>
      </c>
      <c r="D954" s="102" t="s">
        <v>4554</v>
      </c>
      <c r="E954" s="25" t="s">
        <v>122</v>
      </c>
      <c r="F954" s="25" t="s">
        <v>129</v>
      </c>
      <c r="G954" s="25" t="s">
        <v>29</v>
      </c>
      <c r="H954" s="49" t="s">
        <v>123</v>
      </c>
      <c r="I954" s="49" t="s">
        <v>870</v>
      </c>
      <c r="J954" s="49">
        <v>2.0</v>
      </c>
      <c r="K954" s="30"/>
      <c r="L954" s="49" t="s">
        <v>4555</v>
      </c>
      <c r="M954" s="50">
        <v>1.0</v>
      </c>
      <c r="N954" s="146" t="s">
        <v>4556</v>
      </c>
      <c r="O954" s="20"/>
      <c r="P954" s="20"/>
      <c r="Q954" s="20"/>
      <c r="R954" s="20"/>
      <c r="S954" s="20"/>
    </row>
    <row r="955">
      <c r="A955" s="76" t="s">
        <v>4557</v>
      </c>
      <c r="B955" s="97">
        <v>46125.0</v>
      </c>
      <c r="C955" s="76" t="s">
        <v>4558</v>
      </c>
      <c r="D955" s="99" t="s">
        <v>4559</v>
      </c>
      <c r="E955" s="25" t="s">
        <v>128</v>
      </c>
      <c r="F955" s="25" t="s">
        <v>129</v>
      </c>
      <c r="G955" s="25" t="s">
        <v>19</v>
      </c>
      <c r="H955" s="76" t="s">
        <v>4532</v>
      </c>
      <c r="I955" s="118">
        <v>46127.0</v>
      </c>
      <c r="J955" s="76">
        <v>4.0</v>
      </c>
      <c r="K955" s="19">
        <v>4900000.0</v>
      </c>
      <c r="L955" s="76" t="s">
        <v>2877</v>
      </c>
      <c r="M955" s="44">
        <v>7.0</v>
      </c>
      <c r="N955" s="148"/>
      <c r="O955" s="20"/>
      <c r="P955" s="20"/>
      <c r="Q955" s="20"/>
      <c r="R955" s="20"/>
      <c r="S955" s="20"/>
    </row>
    <row r="956">
      <c r="A956" s="49" t="s">
        <v>4560</v>
      </c>
      <c r="B956" s="110">
        <v>46125.0</v>
      </c>
      <c r="C956" s="49" t="s">
        <v>4561</v>
      </c>
      <c r="D956" s="102" t="s">
        <v>4562</v>
      </c>
      <c r="E956" s="25" t="s">
        <v>128</v>
      </c>
      <c r="F956" s="25" t="s">
        <v>983</v>
      </c>
      <c r="G956" s="25" t="s">
        <v>43</v>
      </c>
      <c r="H956" s="49" t="s">
        <v>4563</v>
      </c>
      <c r="I956" s="49" t="s">
        <v>4564</v>
      </c>
      <c r="J956" s="49">
        <v>4.0</v>
      </c>
      <c r="K956" s="30">
        <f>408000*4</f>
        <v>1632000</v>
      </c>
      <c r="L956" s="49" t="s">
        <v>4565</v>
      </c>
      <c r="M956" s="50">
        <v>3.0</v>
      </c>
      <c r="N956" s="146" t="s">
        <v>4566</v>
      </c>
      <c r="O956" s="20"/>
      <c r="P956" s="20"/>
      <c r="Q956" s="20"/>
      <c r="R956" s="20"/>
      <c r="S956" s="20"/>
    </row>
    <row r="957">
      <c r="A957" s="76" t="s">
        <v>4567</v>
      </c>
      <c r="B957" s="97">
        <v>46125.0</v>
      </c>
      <c r="C957" s="76" t="s">
        <v>4568</v>
      </c>
      <c r="D957" s="99" t="s">
        <v>4569</v>
      </c>
      <c r="E957" s="25" t="s">
        <v>122</v>
      </c>
      <c r="F957" s="25" t="s">
        <v>129</v>
      </c>
      <c r="G957" s="25" t="s">
        <v>42</v>
      </c>
      <c r="H957" s="10"/>
      <c r="I957" s="10"/>
      <c r="J957" s="10"/>
      <c r="K957" s="46"/>
      <c r="L957" s="76" t="s">
        <v>4570</v>
      </c>
      <c r="M957" s="44">
        <v>8.0</v>
      </c>
      <c r="N957" s="148"/>
      <c r="O957" s="20"/>
      <c r="P957" s="20"/>
      <c r="Q957" s="20"/>
      <c r="R957" s="20"/>
      <c r="S957" s="20"/>
    </row>
    <row r="958">
      <c r="A958" s="49" t="s">
        <v>4571</v>
      </c>
      <c r="B958" s="110">
        <v>46125.0</v>
      </c>
      <c r="C958" s="49" t="s">
        <v>4572</v>
      </c>
      <c r="D958" s="102" t="s">
        <v>4573</v>
      </c>
      <c r="E958" s="25" t="s">
        <v>128</v>
      </c>
      <c r="F958" s="25" t="s">
        <v>129</v>
      </c>
      <c r="G958" s="25" t="s">
        <v>29</v>
      </c>
      <c r="H958" s="49" t="s">
        <v>4351</v>
      </c>
      <c r="I958" s="49" t="s">
        <v>4574</v>
      </c>
      <c r="J958" s="49">
        <v>55.0</v>
      </c>
      <c r="K958" s="36">
        <v>7.8375E7</v>
      </c>
      <c r="L958" s="49" t="s">
        <v>4575</v>
      </c>
      <c r="M958" s="50">
        <v>1.0</v>
      </c>
      <c r="N958" s="146" t="s">
        <v>4576</v>
      </c>
      <c r="O958" s="20"/>
      <c r="P958" s="20"/>
      <c r="Q958" s="20"/>
      <c r="R958" s="20"/>
      <c r="S958" s="20"/>
    </row>
    <row r="959">
      <c r="A959" s="76" t="s">
        <v>4577</v>
      </c>
      <c r="B959" s="97">
        <v>46125.0</v>
      </c>
      <c r="C959" s="76" t="s">
        <v>4578</v>
      </c>
      <c r="D959" s="99" t="s">
        <v>4579</v>
      </c>
      <c r="E959" s="25" t="s">
        <v>17</v>
      </c>
      <c r="F959" s="25" t="s">
        <v>129</v>
      </c>
      <c r="G959" s="25" t="s">
        <v>42</v>
      </c>
      <c r="H959" s="76" t="s">
        <v>4580</v>
      </c>
      <c r="I959" s="118">
        <v>46156.0</v>
      </c>
      <c r="J959" s="76">
        <v>10.0</v>
      </c>
      <c r="K959" s="19">
        <v>8950000.0</v>
      </c>
      <c r="L959" s="76" t="s">
        <v>1619</v>
      </c>
      <c r="M959" s="44">
        <v>8.0</v>
      </c>
      <c r="N959" s="148"/>
      <c r="O959" s="20"/>
      <c r="P959" s="20"/>
      <c r="Q959" s="20"/>
      <c r="R959" s="20"/>
      <c r="S959" s="20"/>
    </row>
    <row r="960">
      <c r="A960" s="49" t="s">
        <v>4581</v>
      </c>
      <c r="B960" s="110">
        <v>46125.0</v>
      </c>
      <c r="C960" s="49" t="s">
        <v>4582</v>
      </c>
      <c r="D960" s="102" t="s">
        <v>4344</v>
      </c>
      <c r="E960" s="25" t="s">
        <v>17</v>
      </c>
      <c r="F960" s="25" t="s">
        <v>129</v>
      </c>
      <c r="G960" s="25" t="s">
        <v>34</v>
      </c>
      <c r="H960" s="49" t="s">
        <v>4583</v>
      </c>
      <c r="I960" s="101">
        <v>46256.0</v>
      </c>
      <c r="J960" s="49">
        <v>10.0</v>
      </c>
      <c r="K960" s="36">
        <v>2.29E7</v>
      </c>
      <c r="L960" s="49" t="s">
        <v>4584</v>
      </c>
      <c r="M960" s="50">
        <v>2.0</v>
      </c>
      <c r="N960" s="146" t="s">
        <v>4585</v>
      </c>
      <c r="O960" s="20"/>
      <c r="P960" s="20"/>
      <c r="Q960" s="20"/>
      <c r="R960" s="20"/>
      <c r="S960" s="20"/>
    </row>
    <row r="961">
      <c r="A961" s="76" t="s">
        <v>4586</v>
      </c>
      <c r="B961" s="97">
        <v>46126.0</v>
      </c>
      <c r="C961" s="76" t="s">
        <v>4587</v>
      </c>
      <c r="D961" s="99" t="s">
        <v>4588</v>
      </c>
      <c r="E961" s="25" t="s">
        <v>122</v>
      </c>
      <c r="F961" s="25" t="s">
        <v>129</v>
      </c>
      <c r="G961" s="25" t="s">
        <v>19</v>
      </c>
      <c r="H961" s="76" t="s">
        <v>747</v>
      </c>
      <c r="I961" s="118">
        <v>46130.0</v>
      </c>
      <c r="J961" s="76">
        <v>2.0</v>
      </c>
      <c r="K961" s="19">
        <v>590000.0</v>
      </c>
      <c r="L961" s="76" t="s">
        <v>3625</v>
      </c>
      <c r="M961" s="44">
        <v>7.0</v>
      </c>
      <c r="N961" s="148"/>
      <c r="O961" s="20"/>
      <c r="P961" s="20"/>
      <c r="Q961" s="20"/>
      <c r="R961" s="20"/>
      <c r="S961" s="20"/>
    </row>
    <row r="962">
      <c r="A962" s="49" t="s">
        <v>4589</v>
      </c>
      <c r="B962" s="110">
        <v>46125.0</v>
      </c>
      <c r="C962" s="49" t="s">
        <v>4590</v>
      </c>
      <c r="D962" s="102" t="s">
        <v>4591</v>
      </c>
      <c r="E962" s="25" t="s">
        <v>128</v>
      </c>
      <c r="F962" s="25" t="s">
        <v>18</v>
      </c>
      <c r="G962" s="25" t="s">
        <v>42</v>
      </c>
      <c r="H962" s="49" t="s">
        <v>4592</v>
      </c>
      <c r="I962" s="23"/>
      <c r="J962" s="49">
        <v>6.0</v>
      </c>
      <c r="K962" s="36">
        <v>7800000.0</v>
      </c>
      <c r="L962" s="49" t="s">
        <v>4340</v>
      </c>
      <c r="M962" s="50">
        <v>8.0</v>
      </c>
      <c r="N962" s="146" t="s">
        <v>4593</v>
      </c>
      <c r="O962" s="20"/>
      <c r="P962" s="20"/>
      <c r="Q962" s="20"/>
      <c r="R962" s="20"/>
      <c r="S962" s="20"/>
    </row>
    <row r="963">
      <c r="A963" s="76" t="s">
        <v>4594</v>
      </c>
      <c r="B963" s="97">
        <v>46126.0</v>
      </c>
      <c r="C963" s="76" t="s">
        <v>4139</v>
      </c>
      <c r="D963" s="99" t="s">
        <v>4595</v>
      </c>
      <c r="E963" s="25" t="s">
        <v>17</v>
      </c>
      <c r="F963" s="25" t="s">
        <v>18</v>
      </c>
      <c r="G963" s="25" t="s">
        <v>34</v>
      </c>
      <c r="H963" s="76" t="s">
        <v>3837</v>
      </c>
      <c r="I963" s="76" t="s">
        <v>4055</v>
      </c>
      <c r="J963" s="76">
        <v>8.0</v>
      </c>
      <c r="K963" s="19">
        <v>1.5E7</v>
      </c>
      <c r="L963" s="76" t="s">
        <v>4596</v>
      </c>
      <c r="M963" s="44">
        <v>2.0</v>
      </c>
      <c r="N963" s="146" t="s">
        <v>4597</v>
      </c>
      <c r="O963" s="20"/>
      <c r="P963" s="20"/>
      <c r="Q963" s="20"/>
      <c r="R963" s="20"/>
      <c r="S963" s="20"/>
    </row>
    <row r="964">
      <c r="A964" s="49" t="s">
        <v>4598</v>
      </c>
      <c r="B964" s="110">
        <v>46126.0</v>
      </c>
      <c r="C964" s="49" t="s">
        <v>4599</v>
      </c>
      <c r="D964" s="102" t="s">
        <v>4600</v>
      </c>
      <c r="E964" s="25" t="s">
        <v>17</v>
      </c>
      <c r="F964" s="25" t="s">
        <v>18</v>
      </c>
      <c r="G964" s="25" t="s">
        <v>42</v>
      </c>
      <c r="H964" s="23"/>
      <c r="I964" s="23"/>
      <c r="J964" s="23"/>
      <c r="K964" s="30"/>
      <c r="L964" s="49" t="s">
        <v>2116</v>
      </c>
      <c r="M964" s="50">
        <v>8.0</v>
      </c>
      <c r="N964" s="150"/>
      <c r="O964" s="20"/>
      <c r="P964" s="20"/>
      <c r="Q964" s="20"/>
      <c r="R964" s="20"/>
      <c r="S964" s="20"/>
    </row>
    <row r="965">
      <c r="A965" s="76" t="s">
        <v>4601</v>
      </c>
      <c r="B965" s="97">
        <v>46126.0</v>
      </c>
      <c r="C965" s="76" t="s">
        <v>4602</v>
      </c>
      <c r="D965" s="99" t="s">
        <v>4603</v>
      </c>
      <c r="E965" s="25" t="s">
        <v>17</v>
      </c>
      <c r="F965" s="25" t="s">
        <v>129</v>
      </c>
      <c r="G965" s="25" t="s">
        <v>42</v>
      </c>
      <c r="H965" s="76" t="s">
        <v>1782</v>
      </c>
      <c r="I965" s="118">
        <v>46156.0</v>
      </c>
      <c r="J965" s="76"/>
      <c r="K965" s="19">
        <v>1.264E7</v>
      </c>
      <c r="L965" s="76" t="s">
        <v>4604</v>
      </c>
      <c r="M965" s="44">
        <v>8.0</v>
      </c>
      <c r="N965" s="146" t="s">
        <v>4605</v>
      </c>
      <c r="O965" s="20"/>
      <c r="P965" s="20"/>
      <c r="Q965" s="20"/>
      <c r="R965" s="20"/>
      <c r="S965" s="20"/>
    </row>
    <row r="966">
      <c r="A966" s="49" t="s">
        <v>4606</v>
      </c>
      <c r="B966" s="110">
        <v>46126.0</v>
      </c>
      <c r="C966" s="49" t="s">
        <v>4607</v>
      </c>
      <c r="D966" s="102" t="s">
        <v>4608</v>
      </c>
      <c r="E966" s="25" t="s">
        <v>17</v>
      </c>
      <c r="F966" s="25" t="s">
        <v>129</v>
      </c>
      <c r="G966" s="25" t="s">
        <v>34</v>
      </c>
      <c r="H966" s="49" t="s">
        <v>4054</v>
      </c>
      <c r="I966" s="101">
        <v>46196.0</v>
      </c>
      <c r="J966" s="49">
        <v>4.0</v>
      </c>
      <c r="K966" s="36">
        <v>5040000.0</v>
      </c>
      <c r="L966" s="49" t="s">
        <v>4609</v>
      </c>
      <c r="M966" s="50">
        <v>2.0</v>
      </c>
      <c r="N966" s="146" t="s">
        <v>4610</v>
      </c>
      <c r="O966" s="20"/>
      <c r="P966" s="20"/>
      <c r="Q966" s="20"/>
      <c r="R966" s="20"/>
      <c r="S966" s="20"/>
    </row>
    <row r="967">
      <c r="A967" s="76" t="s">
        <v>4611</v>
      </c>
      <c r="B967" s="97">
        <v>46126.0</v>
      </c>
      <c r="C967" s="76" t="s">
        <v>4612</v>
      </c>
      <c r="D967" s="99" t="s">
        <v>4613</v>
      </c>
      <c r="E967" s="25" t="s">
        <v>122</v>
      </c>
      <c r="F967" s="25" t="s">
        <v>983</v>
      </c>
      <c r="G967" s="25" t="s">
        <v>42</v>
      </c>
      <c r="H967" s="76" t="s">
        <v>4614</v>
      </c>
      <c r="I967" s="76" t="s">
        <v>4615</v>
      </c>
      <c r="J967" s="76">
        <v>5.0</v>
      </c>
      <c r="K967" s="46"/>
      <c r="L967" s="76" t="s">
        <v>4616</v>
      </c>
      <c r="M967" s="44">
        <v>8.0</v>
      </c>
      <c r="N967" s="146" t="s">
        <v>4617</v>
      </c>
      <c r="O967" s="20"/>
      <c r="P967" s="20"/>
      <c r="Q967" s="20"/>
      <c r="R967" s="20"/>
      <c r="S967" s="20"/>
    </row>
    <row r="968">
      <c r="A968" s="49" t="s">
        <v>4618</v>
      </c>
      <c r="B968" s="110">
        <v>46126.0</v>
      </c>
      <c r="C968" s="49" t="s">
        <v>4619</v>
      </c>
      <c r="D968" s="102" t="s">
        <v>4620</v>
      </c>
      <c r="E968" s="25" t="s">
        <v>122</v>
      </c>
      <c r="F968" s="25" t="s">
        <v>983</v>
      </c>
      <c r="G968" s="25" t="s">
        <v>42</v>
      </c>
      <c r="H968" s="49" t="s">
        <v>4621</v>
      </c>
      <c r="I968" s="101">
        <v>46128.0</v>
      </c>
      <c r="J968" s="49">
        <v>4.0</v>
      </c>
      <c r="K968" s="30">
        <f>330000*4</f>
        <v>1320000</v>
      </c>
      <c r="L968" s="49"/>
      <c r="M968" s="50">
        <v>8.0</v>
      </c>
      <c r="N968" s="148"/>
      <c r="O968" s="20"/>
      <c r="P968" s="20"/>
      <c r="Q968" s="20"/>
      <c r="R968" s="20"/>
      <c r="S968" s="20"/>
    </row>
    <row r="969">
      <c r="A969" s="76" t="s">
        <v>4622</v>
      </c>
      <c r="B969" s="97">
        <v>46126.0</v>
      </c>
      <c r="C969" s="76" t="s">
        <v>4612</v>
      </c>
      <c r="D969" s="99" t="s">
        <v>4613</v>
      </c>
      <c r="E969" s="25" t="s">
        <v>122</v>
      </c>
      <c r="F969" s="25" t="s">
        <v>129</v>
      </c>
      <c r="G969" s="25" t="s">
        <v>42</v>
      </c>
      <c r="H969" s="10"/>
      <c r="I969" s="10"/>
      <c r="J969" s="10"/>
      <c r="K969" s="46"/>
      <c r="L969" s="76" t="s">
        <v>4623</v>
      </c>
      <c r="M969" s="44">
        <v>8.0</v>
      </c>
      <c r="N969" s="150"/>
      <c r="O969" s="20"/>
      <c r="P969" s="20"/>
      <c r="Q969" s="20"/>
      <c r="R969" s="20"/>
      <c r="S969" s="20"/>
    </row>
    <row r="970">
      <c r="A970" s="49" t="s">
        <v>4624</v>
      </c>
      <c r="B970" s="97">
        <v>46126.0</v>
      </c>
      <c r="C970" s="49" t="s">
        <v>4625</v>
      </c>
      <c r="D970" s="102" t="s">
        <v>4626</v>
      </c>
      <c r="E970" s="25" t="s">
        <v>17</v>
      </c>
      <c r="F970" s="25" t="s">
        <v>129</v>
      </c>
      <c r="G970" s="25" t="s">
        <v>42</v>
      </c>
      <c r="H970" s="23"/>
      <c r="I970" s="23"/>
      <c r="J970" s="23"/>
      <c r="K970" s="30"/>
      <c r="L970" s="49" t="s">
        <v>4627</v>
      </c>
      <c r="M970" s="50">
        <v>8.0</v>
      </c>
      <c r="N970" s="148"/>
      <c r="O970" s="20"/>
      <c r="P970" s="20"/>
      <c r="Q970" s="20"/>
      <c r="R970" s="20"/>
      <c r="S970" s="20"/>
    </row>
    <row r="971">
      <c r="A971" s="76" t="s">
        <v>4628</v>
      </c>
      <c r="B971" s="97">
        <v>46127.0</v>
      </c>
      <c r="C971" s="76" t="s">
        <v>4629</v>
      </c>
      <c r="D971" s="99" t="s">
        <v>4630</v>
      </c>
      <c r="E971" s="25" t="s">
        <v>122</v>
      </c>
      <c r="F971" s="25" t="s">
        <v>129</v>
      </c>
      <c r="G971" s="25" t="s">
        <v>19</v>
      </c>
      <c r="H971" s="76" t="s">
        <v>4532</v>
      </c>
      <c r="I971" s="76" t="s">
        <v>4631</v>
      </c>
      <c r="J971" s="76">
        <v>5.0</v>
      </c>
      <c r="K971" s="46"/>
      <c r="L971" s="76" t="s">
        <v>4632</v>
      </c>
      <c r="M971" s="44">
        <v>7.0</v>
      </c>
      <c r="N971" s="150"/>
      <c r="O971" s="20"/>
      <c r="P971" s="20"/>
      <c r="Q971" s="20"/>
      <c r="R971" s="20"/>
      <c r="S971" s="20"/>
    </row>
    <row r="972">
      <c r="A972" s="49" t="s">
        <v>4633</v>
      </c>
      <c r="B972" s="110">
        <v>46127.0</v>
      </c>
      <c r="C972" s="49" t="s">
        <v>4634</v>
      </c>
      <c r="D972" s="102" t="s">
        <v>4635</v>
      </c>
      <c r="E972" s="25" t="s">
        <v>128</v>
      </c>
      <c r="F972" s="25" t="s">
        <v>129</v>
      </c>
      <c r="G972" s="25" t="s">
        <v>42</v>
      </c>
      <c r="H972" s="49" t="s">
        <v>3837</v>
      </c>
      <c r="I972" s="49" t="s">
        <v>561</v>
      </c>
      <c r="J972" s="23"/>
      <c r="K972" s="30"/>
      <c r="L972" s="49" t="s">
        <v>4636</v>
      </c>
      <c r="M972" s="50">
        <v>8.0</v>
      </c>
      <c r="N972" s="146" t="s">
        <v>4637</v>
      </c>
      <c r="O972" s="20"/>
      <c r="P972" s="20"/>
      <c r="Q972" s="20"/>
      <c r="R972" s="20"/>
      <c r="S972" s="20"/>
    </row>
    <row r="973">
      <c r="A973" s="76" t="s">
        <v>4638</v>
      </c>
      <c r="B973" s="97">
        <v>46126.0</v>
      </c>
      <c r="C973" s="76" t="s">
        <v>4639</v>
      </c>
      <c r="D973" s="99" t="s">
        <v>4640</v>
      </c>
      <c r="E973" s="25" t="s">
        <v>128</v>
      </c>
      <c r="F973" s="25" t="s">
        <v>18</v>
      </c>
      <c r="G973" s="25" t="s">
        <v>42</v>
      </c>
      <c r="H973" s="76" t="s">
        <v>3210</v>
      </c>
      <c r="I973" s="10"/>
      <c r="J973" s="10"/>
      <c r="K973" s="46"/>
      <c r="L973" s="76" t="s">
        <v>840</v>
      </c>
      <c r="M973" s="44">
        <v>8.0</v>
      </c>
      <c r="N973" s="146" t="s">
        <v>4641</v>
      </c>
      <c r="O973" s="20"/>
      <c r="P973" s="20"/>
      <c r="Q973" s="20"/>
      <c r="R973" s="20"/>
      <c r="S973" s="20"/>
    </row>
    <row r="974">
      <c r="A974" s="49" t="s">
        <v>4642</v>
      </c>
      <c r="B974" s="110">
        <v>46126.0</v>
      </c>
      <c r="C974" s="49" t="s">
        <v>4643</v>
      </c>
      <c r="D974" s="102" t="s">
        <v>4644</v>
      </c>
      <c r="E974" s="25" t="s">
        <v>128</v>
      </c>
      <c r="F974" s="25" t="s">
        <v>18</v>
      </c>
      <c r="G974" s="25" t="s">
        <v>42</v>
      </c>
      <c r="H974" s="49" t="s">
        <v>4645</v>
      </c>
      <c r="I974" s="23"/>
      <c r="J974" s="49">
        <v>3.0</v>
      </c>
      <c r="K974" s="36">
        <v>5850000.0</v>
      </c>
      <c r="L974" s="49" t="s">
        <v>4646</v>
      </c>
      <c r="M974" s="50">
        <v>8.0</v>
      </c>
      <c r="N974" s="146" t="s">
        <v>4647</v>
      </c>
      <c r="O974" s="20"/>
      <c r="P974" s="20"/>
      <c r="Q974" s="20"/>
      <c r="R974" s="20"/>
      <c r="S974" s="20"/>
    </row>
    <row r="975">
      <c r="A975" s="76" t="s">
        <v>4648</v>
      </c>
      <c r="B975" s="97">
        <v>46126.0</v>
      </c>
      <c r="C975" s="76" t="s">
        <v>4649</v>
      </c>
      <c r="D975" s="99" t="s">
        <v>4650</v>
      </c>
      <c r="E975" s="25" t="s">
        <v>128</v>
      </c>
      <c r="F975" s="25" t="s">
        <v>18</v>
      </c>
      <c r="G975" s="25" t="s">
        <v>34</v>
      </c>
      <c r="H975" s="76" t="s">
        <v>116</v>
      </c>
      <c r="I975" s="118">
        <v>46223.0</v>
      </c>
      <c r="J975" s="76">
        <v>4.0</v>
      </c>
      <c r="K975" s="19">
        <v>8460000.0</v>
      </c>
      <c r="L975" s="76"/>
      <c r="M975" s="44">
        <v>2.0</v>
      </c>
      <c r="N975" s="146" t="s">
        <v>4651</v>
      </c>
      <c r="O975" s="20"/>
      <c r="P975" s="20"/>
      <c r="Q975" s="20"/>
      <c r="R975" s="20"/>
      <c r="S975" s="20"/>
    </row>
    <row r="976">
      <c r="A976" s="49" t="s">
        <v>4652</v>
      </c>
      <c r="B976" s="110">
        <v>46126.0</v>
      </c>
      <c r="C976" s="49" t="s">
        <v>4653</v>
      </c>
      <c r="D976" s="102" t="s">
        <v>4654</v>
      </c>
      <c r="E976" s="25" t="s">
        <v>128</v>
      </c>
      <c r="F976" s="25" t="s">
        <v>18</v>
      </c>
      <c r="G976" s="25" t="s">
        <v>42</v>
      </c>
      <c r="H976" s="49" t="s">
        <v>4655</v>
      </c>
      <c r="I976" s="23"/>
      <c r="J976" s="49">
        <v>2.0</v>
      </c>
      <c r="K976" s="30"/>
      <c r="L976" s="49" t="s">
        <v>840</v>
      </c>
      <c r="M976" s="50">
        <v>8.0</v>
      </c>
      <c r="N976" s="146" t="s">
        <v>4656</v>
      </c>
      <c r="O976" s="20"/>
      <c r="P976" s="20"/>
      <c r="Q976" s="20"/>
      <c r="R976" s="20"/>
      <c r="S976" s="20"/>
    </row>
    <row r="977">
      <c r="A977" s="76" t="s">
        <v>4657</v>
      </c>
      <c r="B977" s="97">
        <v>46127.0</v>
      </c>
      <c r="C977" s="76" t="s">
        <v>4456</v>
      </c>
      <c r="D977" s="99" t="s">
        <v>4658</v>
      </c>
      <c r="E977" s="25" t="s">
        <v>128</v>
      </c>
      <c r="F977" s="25" t="s">
        <v>18</v>
      </c>
      <c r="G977" s="25" t="s">
        <v>34</v>
      </c>
      <c r="H977" s="76" t="s">
        <v>894</v>
      </c>
      <c r="I977" s="10"/>
      <c r="J977" s="76">
        <v>3.0</v>
      </c>
      <c r="K977" s="19">
        <v>6402000.0</v>
      </c>
      <c r="L977" s="76"/>
      <c r="M977" s="44">
        <v>2.0</v>
      </c>
      <c r="N977" s="146" t="s">
        <v>4659</v>
      </c>
      <c r="O977" s="20"/>
      <c r="P977" s="20"/>
      <c r="Q977" s="20"/>
      <c r="R977" s="20"/>
      <c r="S977" s="20"/>
    </row>
    <row r="978">
      <c r="A978" s="49" t="s">
        <v>4660</v>
      </c>
      <c r="B978" s="110">
        <v>46128.0</v>
      </c>
      <c r="C978" s="49" t="s">
        <v>4661</v>
      </c>
      <c r="D978" s="102" t="s">
        <v>4662</v>
      </c>
      <c r="E978" s="25" t="s">
        <v>17</v>
      </c>
      <c r="F978" s="25" t="s">
        <v>983</v>
      </c>
      <c r="G978" s="25" t="s">
        <v>19</v>
      </c>
      <c r="H978" s="49" t="s">
        <v>4663</v>
      </c>
      <c r="I978" s="101">
        <v>46158.0</v>
      </c>
      <c r="J978" s="49">
        <v>2.0</v>
      </c>
      <c r="K978" s="30">
        <f>200000*2</f>
        <v>400000</v>
      </c>
      <c r="L978" s="49" t="s">
        <v>4664</v>
      </c>
      <c r="M978" s="50">
        <v>7.0</v>
      </c>
      <c r="N978" s="146" t="s">
        <v>4665</v>
      </c>
      <c r="O978" s="20"/>
      <c r="P978" s="20"/>
      <c r="Q978" s="20"/>
      <c r="R978" s="20"/>
      <c r="S978" s="20"/>
    </row>
    <row r="979">
      <c r="A979" s="76" t="s">
        <v>4666</v>
      </c>
      <c r="B979" s="97">
        <v>46128.0</v>
      </c>
      <c r="C979" s="76" t="s">
        <v>4667</v>
      </c>
      <c r="D979" s="99" t="s">
        <v>4668</v>
      </c>
      <c r="E979" s="25" t="s">
        <v>17</v>
      </c>
      <c r="F979" s="25" t="s">
        <v>983</v>
      </c>
      <c r="G979" s="25" t="s">
        <v>42</v>
      </c>
      <c r="H979" s="76" t="s">
        <v>3429</v>
      </c>
      <c r="I979" s="10"/>
      <c r="J979" s="76">
        <v>7.0</v>
      </c>
      <c r="K979" s="46">
        <f>1461000*7</f>
        <v>10227000</v>
      </c>
      <c r="L979" s="76" t="s">
        <v>4669</v>
      </c>
      <c r="M979" s="44">
        <v>8.0</v>
      </c>
      <c r="N979" s="146" t="s">
        <v>4670</v>
      </c>
      <c r="O979" s="20"/>
      <c r="P979" s="20"/>
      <c r="Q979" s="20"/>
      <c r="R979" s="20"/>
      <c r="S979" s="20"/>
    </row>
    <row r="980">
      <c r="A980" s="49" t="s">
        <v>4671</v>
      </c>
      <c r="B980" s="110">
        <v>46127.0</v>
      </c>
      <c r="C980" s="49" t="s">
        <v>4672</v>
      </c>
      <c r="D980" s="102" t="s">
        <v>4673</v>
      </c>
      <c r="E980" s="25" t="s">
        <v>17</v>
      </c>
      <c r="F980" s="25" t="s">
        <v>129</v>
      </c>
      <c r="G980" s="25" t="s">
        <v>42</v>
      </c>
      <c r="H980" s="23"/>
      <c r="I980" s="23"/>
      <c r="J980" s="23"/>
      <c r="K980" s="30"/>
      <c r="L980" s="49" t="s">
        <v>4674</v>
      </c>
      <c r="M980" s="50">
        <v>8.0</v>
      </c>
      <c r="N980" s="146" t="s">
        <v>4675</v>
      </c>
      <c r="O980" s="20"/>
      <c r="P980" s="20"/>
      <c r="Q980" s="20"/>
      <c r="R980" s="20"/>
      <c r="S980" s="20"/>
    </row>
    <row r="981">
      <c r="A981" s="76" t="s">
        <v>4676</v>
      </c>
      <c r="B981" s="97">
        <v>46127.0</v>
      </c>
      <c r="C981" s="76" t="s">
        <v>4677</v>
      </c>
      <c r="D981" s="99" t="s">
        <v>4678</v>
      </c>
      <c r="E981" s="25" t="s">
        <v>122</v>
      </c>
      <c r="F981" s="25" t="s">
        <v>129</v>
      </c>
      <c r="G981" s="25" t="s">
        <v>42</v>
      </c>
      <c r="H981" s="10"/>
      <c r="I981" s="10"/>
      <c r="J981" s="10"/>
      <c r="K981" s="46"/>
      <c r="L981" s="76" t="s">
        <v>4679</v>
      </c>
      <c r="M981" s="44">
        <v>8.0</v>
      </c>
      <c r="N981" s="146" t="s">
        <v>4680</v>
      </c>
      <c r="O981" s="20"/>
      <c r="P981" s="20"/>
      <c r="Q981" s="20"/>
      <c r="R981" s="20"/>
      <c r="S981" s="20"/>
    </row>
    <row r="982">
      <c r="A982" s="49" t="s">
        <v>4681</v>
      </c>
      <c r="B982" s="110">
        <v>46128.0</v>
      </c>
      <c r="C982" s="49" t="s">
        <v>4682</v>
      </c>
      <c r="D982" s="102" t="s">
        <v>4683</v>
      </c>
      <c r="E982" s="25" t="s">
        <v>128</v>
      </c>
      <c r="F982" s="25" t="s">
        <v>129</v>
      </c>
      <c r="G982" s="25" t="s">
        <v>42</v>
      </c>
      <c r="H982" s="49" t="s">
        <v>614</v>
      </c>
      <c r="I982" s="101">
        <v>46138.0</v>
      </c>
      <c r="J982" s="49">
        <v>2.0</v>
      </c>
      <c r="K982" s="30"/>
      <c r="L982" s="49" t="s">
        <v>4684</v>
      </c>
      <c r="M982" s="50">
        <v>8.0</v>
      </c>
      <c r="N982" s="146" t="s">
        <v>4685</v>
      </c>
      <c r="O982" s="20"/>
      <c r="P982" s="20"/>
      <c r="Q982" s="20"/>
      <c r="R982" s="20"/>
      <c r="S982" s="20"/>
    </row>
    <row r="983">
      <c r="A983" s="76" t="s">
        <v>4686</v>
      </c>
      <c r="B983" s="97">
        <v>46128.0</v>
      </c>
      <c r="C983" s="76" t="s">
        <v>4687</v>
      </c>
      <c r="D983" s="99" t="s">
        <v>4688</v>
      </c>
      <c r="E983" s="25" t="s">
        <v>122</v>
      </c>
      <c r="F983" s="25" t="s">
        <v>129</v>
      </c>
      <c r="G983" s="25" t="s">
        <v>42</v>
      </c>
      <c r="H983" s="76" t="s">
        <v>4689</v>
      </c>
      <c r="I983" s="76" t="s">
        <v>4690</v>
      </c>
      <c r="J983" s="76">
        <v>150.0</v>
      </c>
      <c r="K983" s="46"/>
      <c r="L983" s="76" t="s">
        <v>4691</v>
      </c>
      <c r="M983" s="44">
        <v>8.0</v>
      </c>
      <c r="N983" s="146" t="s">
        <v>4692</v>
      </c>
      <c r="O983" s="20"/>
      <c r="P983" s="20"/>
      <c r="Q983" s="20"/>
      <c r="R983" s="20"/>
      <c r="S983" s="20"/>
    </row>
    <row r="984">
      <c r="A984" s="49" t="s">
        <v>4693</v>
      </c>
      <c r="B984" s="110">
        <v>46127.0</v>
      </c>
      <c r="C984" s="49" t="s">
        <v>4694</v>
      </c>
      <c r="D984" s="102" t="s">
        <v>4695</v>
      </c>
      <c r="E984" s="25" t="s">
        <v>128</v>
      </c>
      <c r="F984" s="25" t="s">
        <v>129</v>
      </c>
      <c r="G984" s="25" t="s">
        <v>42</v>
      </c>
      <c r="H984" s="23"/>
      <c r="I984" s="23"/>
      <c r="J984" s="23"/>
      <c r="K984" s="30"/>
      <c r="L984" s="49" t="s">
        <v>4326</v>
      </c>
      <c r="M984" s="50">
        <v>8.0</v>
      </c>
      <c r="N984" s="150"/>
      <c r="O984" s="20"/>
      <c r="P984" s="20"/>
      <c r="Q984" s="20"/>
      <c r="R984" s="20"/>
      <c r="S984" s="20"/>
    </row>
    <row r="985">
      <c r="A985" s="76" t="s">
        <v>4696</v>
      </c>
      <c r="B985" s="110">
        <v>46128.0</v>
      </c>
      <c r="C985" s="76" t="s">
        <v>4697</v>
      </c>
      <c r="D985" s="99" t="s">
        <v>4698</v>
      </c>
      <c r="E985" s="25" t="s">
        <v>122</v>
      </c>
      <c r="F985" s="25" t="s">
        <v>129</v>
      </c>
      <c r="G985" s="25" t="s">
        <v>42</v>
      </c>
      <c r="H985" s="10"/>
      <c r="I985" s="10"/>
      <c r="J985" s="10"/>
      <c r="K985" s="46"/>
      <c r="L985" s="76" t="s">
        <v>4699</v>
      </c>
      <c r="M985" s="44">
        <v>8.0</v>
      </c>
      <c r="N985" s="146" t="s">
        <v>4700</v>
      </c>
      <c r="O985" s="20"/>
      <c r="P985" s="20"/>
      <c r="Q985" s="20"/>
      <c r="R985" s="20"/>
      <c r="S985" s="20"/>
    </row>
    <row r="986">
      <c r="A986" s="49" t="s">
        <v>4701</v>
      </c>
      <c r="B986" s="110">
        <v>46127.0</v>
      </c>
      <c r="C986" s="49" t="s">
        <v>4702</v>
      </c>
      <c r="D986" s="102" t="s">
        <v>4703</v>
      </c>
      <c r="E986" s="25" t="s">
        <v>128</v>
      </c>
      <c r="F986" s="25" t="s">
        <v>129</v>
      </c>
      <c r="G986" s="25" t="s">
        <v>42</v>
      </c>
      <c r="H986" s="23"/>
      <c r="I986" s="23"/>
      <c r="J986" s="23"/>
      <c r="K986" s="30"/>
      <c r="L986" s="49" t="s">
        <v>4326</v>
      </c>
      <c r="M986" s="50">
        <v>8.0</v>
      </c>
      <c r="N986" s="150"/>
      <c r="O986" s="20"/>
      <c r="P986" s="20"/>
      <c r="Q986" s="20"/>
      <c r="R986" s="20"/>
      <c r="S986" s="20"/>
    </row>
    <row r="987">
      <c r="A987" s="76" t="s">
        <v>4704</v>
      </c>
      <c r="B987" s="97">
        <v>46128.0</v>
      </c>
      <c r="C987" s="76" t="s">
        <v>1972</v>
      </c>
      <c r="D987" s="99" t="s">
        <v>4705</v>
      </c>
      <c r="E987" s="25" t="s">
        <v>128</v>
      </c>
      <c r="F987" s="25" t="s">
        <v>129</v>
      </c>
      <c r="G987" s="25" t="s">
        <v>42</v>
      </c>
      <c r="H987" s="76" t="s">
        <v>4706</v>
      </c>
      <c r="I987" s="118">
        <v>46173.0</v>
      </c>
      <c r="J987" s="76">
        <v>3.0</v>
      </c>
      <c r="K987" s="19">
        <v>1875000.0</v>
      </c>
      <c r="L987" s="76" t="s">
        <v>4707</v>
      </c>
      <c r="M987" s="44">
        <v>8.0</v>
      </c>
      <c r="N987" s="148"/>
      <c r="O987" s="20"/>
      <c r="P987" s="20"/>
      <c r="Q987" s="20"/>
      <c r="R987" s="20"/>
      <c r="S987" s="20"/>
    </row>
    <row r="988">
      <c r="A988" s="49" t="s">
        <v>4708</v>
      </c>
      <c r="B988" s="110">
        <v>46128.0</v>
      </c>
      <c r="C988" s="49" t="s">
        <v>4709</v>
      </c>
      <c r="D988" s="102" t="s">
        <v>4710</v>
      </c>
      <c r="E988" s="25" t="s">
        <v>128</v>
      </c>
      <c r="F988" s="25" t="s">
        <v>129</v>
      </c>
      <c r="G988" s="25" t="s">
        <v>42</v>
      </c>
      <c r="H988" s="49" t="s">
        <v>4711</v>
      </c>
      <c r="I988" s="23"/>
      <c r="J988" s="49">
        <v>2.0</v>
      </c>
      <c r="K988" s="30"/>
      <c r="L988" s="49" t="s">
        <v>4712</v>
      </c>
      <c r="M988" s="50">
        <v>8.0</v>
      </c>
      <c r="N988" s="146" t="s">
        <v>4713</v>
      </c>
      <c r="O988" s="20"/>
      <c r="P988" s="20"/>
      <c r="Q988" s="20"/>
      <c r="R988" s="20"/>
      <c r="S988" s="20"/>
    </row>
    <row r="989">
      <c r="A989" s="76" t="s">
        <v>4714</v>
      </c>
      <c r="B989" s="110">
        <v>46128.0</v>
      </c>
      <c r="C989" s="76" t="s">
        <v>4694</v>
      </c>
      <c r="D989" s="102" t="s">
        <v>4695</v>
      </c>
      <c r="E989" s="25" t="s">
        <v>869</v>
      </c>
      <c r="F989" s="25" t="s">
        <v>983</v>
      </c>
      <c r="G989" s="25" t="s">
        <v>19</v>
      </c>
      <c r="H989" s="76" t="s">
        <v>4715</v>
      </c>
      <c r="I989" s="76" t="s">
        <v>4716</v>
      </c>
      <c r="J989" s="76">
        <v>1.0</v>
      </c>
      <c r="K989" s="19">
        <v>3324000.0</v>
      </c>
      <c r="L989" s="76" t="s">
        <v>4717</v>
      </c>
      <c r="M989" s="44">
        <v>7.0</v>
      </c>
      <c r="N989" s="146" t="s">
        <v>4718</v>
      </c>
      <c r="O989" s="20"/>
      <c r="P989" s="20"/>
      <c r="Q989" s="20"/>
      <c r="R989" s="20"/>
      <c r="S989" s="20"/>
    </row>
    <row r="990">
      <c r="A990" s="49" t="s">
        <v>4719</v>
      </c>
      <c r="B990" s="110">
        <v>46128.0</v>
      </c>
      <c r="C990" s="49" t="s">
        <v>4702</v>
      </c>
      <c r="D990" s="102" t="s">
        <v>4703</v>
      </c>
      <c r="E990" s="25" t="s">
        <v>869</v>
      </c>
      <c r="F990" s="25" t="s">
        <v>983</v>
      </c>
      <c r="G990" s="25" t="s">
        <v>42</v>
      </c>
      <c r="H990" s="49" t="s">
        <v>4720</v>
      </c>
      <c r="I990" s="49" t="s">
        <v>4721</v>
      </c>
      <c r="J990" s="49">
        <v>1.0</v>
      </c>
      <c r="K990" s="36">
        <v>740000.0</v>
      </c>
      <c r="L990" s="49" t="s">
        <v>4722</v>
      </c>
      <c r="M990" s="50">
        <v>8.0</v>
      </c>
      <c r="N990" s="146" t="s">
        <v>4723</v>
      </c>
      <c r="O990" s="20"/>
      <c r="P990" s="20"/>
      <c r="Q990" s="20"/>
      <c r="R990" s="20"/>
      <c r="S990" s="20"/>
    </row>
    <row r="991">
      <c r="A991" s="76" t="s">
        <v>4724</v>
      </c>
      <c r="B991" s="110">
        <v>46128.0</v>
      </c>
      <c r="C991" s="76" t="s">
        <v>4725</v>
      </c>
      <c r="D991" s="99" t="s">
        <v>4726</v>
      </c>
      <c r="E991" s="25" t="s">
        <v>128</v>
      </c>
      <c r="F991" s="25" t="s">
        <v>983</v>
      </c>
      <c r="G991" s="25" t="s">
        <v>43</v>
      </c>
      <c r="H991" s="76" t="s">
        <v>123</v>
      </c>
      <c r="I991" s="118">
        <v>46261.0</v>
      </c>
      <c r="J991" s="76">
        <v>2.0</v>
      </c>
      <c r="K991" s="46">
        <f>1600000*2</f>
        <v>3200000</v>
      </c>
      <c r="L991" s="76" t="s">
        <v>4565</v>
      </c>
      <c r="M991" s="44">
        <v>3.0</v>
      </c>
      <c r="N991" s="146" t="s">
        <v>4727</v>
      </c>
      <c r="O991" s="20"/>
      <c r="P991" s="20"/>
      <c r="Q991" s="20"/>
      <c r="R991" s="20"/>
      <c r="S991" s="20"/>
    </row>
    <row r="992">
      <c r="A992" s="49" t="s">
        <v>4728</v>
      </c>
      <c r="B992" s="110">
        <v>46128.0</v>
      </c>
      <c r="C992" s="49" t="s">
        <v>4729</v>
      </c>
      <c r="D992" s="102" t="s">
        <v>4730</v>
      </c>
      <c r="E992" s="25" t="s">
        <v>122</v>
      </c>
      <c r="F992" s="25" t="s">
        <v>983</v>
      </c>
      <c r="G992" s="25" t="s">
        <v>42</v>
      </c>
      <c r="H992" s="49" t="s">
        <v>2462</v>
      </c>
      <c r="I992" s="49" t="s">
        <v>4424</v>
      </c>
      <c r="J992" s="49">
        <v>3.0</v>
      </c>
      <c r="K992" s="30">
        <f>2408000*3</f>
        <v>7224000</v>
      </c>
      <c r="L992" s="49" t="s">
        <v>158</v>
      </c>
      <c r="M992" s="50">
        <v>8.0</v>
      </c>
      <c r="N992" s="146" t="s">
        <v>4731</v>
      </c>
      <c r="O992" s="20"/>
      <c r="P992" s="20"/>
      <c r="Q992" s="20"/>
      <c r="R992" s="20"/>
      <c r="S992" s="20"/>
    </row>
    <row r="993">
      <c r="A993" s="76" t="s">
        <v>4732</v>
      </c>
      <c r="B993" s="110">
        <v>46128.0</v>
      </c>
      <c r="C993" s="76" t="s">
        <v>4733</v>
      </c>
      <c r="D993" s="99" t="s">
        <v>4734</v>
      </c>
      <c r="E993" s="25" t="s">
        <v>128</v>
      </c>
      <c r="F993" s="25" t="s">
        <v>129</v>
      </c>
      <c r="G993" s="25" t="s">
        <v>42</v>
      </c>
      <c r="H993" s="76" t="s">
        <v>4532</v>
      </c>
      <c r="I993" s="118">
        <v>46150.0</v>
      </c>
      <c r="J993" s="76">
        <v>4.0</v>
      </c>
      <c r="K993" s="46"/>
      <c r="L993" s="76" t="s">
        <v>4735</v>
      </c>
      <c r="M993" s="44">
        <v>8.0</v>
      </c>
      <c r="N993" s="146" t="s">
        <v>4736</v>
      </c>
      <c r="O993" s="20"/>
      <c r="P993" s="20"/>
      <c r="Q993" s="20"/>
      <c r="R993" s="20"/>
      <c r="S993" s="20"/>
    </row>
    <row r="994">
      <c r="A994" s="49" t="s">
        <v>4737</v>
      </c>
      <c r="B994" s="110">
        <v>46128.0</v>
      </c>
      <c r="C994" s="49" t="s">
        <v>4738</v>
      </c>
      <c r="D994" s="102" t="s">
        <v>4739</v>
      </c>
      <c r="E994" s="25" t="s">
        <v>128</v>
      </c>
      <c r="F994" s="25" t="s">
        <v>129</v>
      </c>
      <c r="G994" s="25" t="s">
        <v>42</v>
      </c>
      <c r="H994" s="23"/>
      <c r="I994" s="23"/>
      <c r="J994" s="23"/>
      <c r="K994" s="30"/>
      <c r="L994" s="49" t="s">
        <v>4740</v>
      </c>
      <c r="M994" s="50">
        <v>8.0</v>
      </c>
      <c r="N994" s="146" t="s">
        <v>4741</v>
      </c>
      <c r="O994" s="20"/>
      <c r="P994" s="20"/>
      <c r="Q994" s="20"/>
      <c r="R994" s="20"/>
      <c r="S994" s="20"/>
    </row>
    <row r="995">
      <c r="A995" s="76" t="s">
        <v>4742</v>
      </c>
      <c r="B995" s="97">
        <v>46128.0</v>
      </c>
      <c r="C995" s="76" t="s">
        <v>700</v>
      </c>
      <c r="D995" s="99" t="s">
        <v>4743</v>
      </c>
      <c r="E995" s="25" t="s">
        <v>128</v>
      </c>
      <c r="F995" s="25" t="s">
        <v>129</v>
      </c>
      <c r="G995" s="25" t="s">
        <v>29</v>
      </c>
      <c r="H995" s="76" t="s">
        <v>4351</v>
      </c>
      <c r="I995" s="76" t="s">
        <v>4744</v>
      </c>
      <c r="J995" s="76">
        <v>150.0</v>
      </c>
      <c r="K995" s="46"/>
      <c r="L995" s="76" t="s">
        <v>4745</v>
      </c>
      <c r="M995" s="44">
        <v>1.0</v>
      </c>
      <c r="N995" s="146" t="s">
        <v>4746</v>
      </c>
      <c r="O995" s="20"/>
      <c r="P995" s="20"/>
      <c r="Q995" s="20"/>
      <c r="R995" s="20"/>
      <c r="S995" s="20"/>
    </row>
    <row r="996">
      <c r="A996" s="49" t="s">
        <v>4747</v>
      </c>
      <c r="B996" s="110">
        <v>46129.0</v>
      </c>
      <c r="C996" s="49" t="s">
        <v>4748</v>
      </c>
      <c r="D996" s="102" t="s">
        <v>4749</v>
      </c>
      <c r="E996" s="25" t="s">
        <v>17</v>
      </c>
      <c r="F996" s="25" t="s">
        <v>983</v>
      </c>
      <c r="G996" s="25" t="s">
        <v>42</v>
      </c>
      <c r="H996" s="49" t="s">
        <v>4750</v>
      </c>
      <c r="I996" s="101">
        <v>46192.0</v>
      </c>
      <c r="J996" s="49">
        <v>4.0</v>
      </c>
      <c r="K996" s="30">
        <f>971000*4</f>
        <v>3884000</v>
      </c>
      <c r="L996" s="49" t="s">
        <v>4751</v>
      </c>
      <c r="M996" s="50">
        <v>8.0</v>
      </c>
      <c r="N996" s="148"/>
      <c r="O996" s="20"/>
      <c r="P996" s="20"/>
      <c r="Q996" s="20"/>
      <c r="R996" s="20"/>
      <c r="S996" s="20"/>
    </row>
    <row r="997">
      <c r="A997" s="76" t="s">
        <v>4752</v>
      </c>
      <c r="B997" s="97">
        <v>46129.0</v>
      </c>
      <c r="C997" s="76" t="s">
        <v>4753</v>
      </c>
      <c r="D997" s="99" t="s">
        <v>4754</v>
      </c>
      <c r="E997" s="25" t="s">
        <v>122</v>
      </c>
      <c r="F997" s="25" t="s">
        <v>983</v>
      </c>
      <c r="G997" s="25" t="s">
        <v>42</v>
      </c>
      <c r="H997" s="76" t="s">
        <v>4755</v>
      </c>
      <c r="I997" s="10"/>
      <c r="J997" s="76">
        <v>10.0</v>
      </c>
      <c r="K997" s="46">
        <f>1170000*10</f>
        <v>11700000</v>
      </c>
      <c r="L997" s="76" t="s">
        <v>633</v>
      </c>
      <c r="M997" s="44">
        <v>8.0</v>
      </c>
      <c r="N997" s="146" t="s">
        <v>4756</v>
      </c>
      <c r="O997" s="20"/>
      <c r="P997" s="20"/>
      <c r="Q997" s="20"/>
      <c r="R997" s="20"/>
      <c r="S997" s="20"/>
    </row>
    <row r="998">
      <c r="A998" s="49" t="s">
        <v>4757</v>
      </c>
      <c r="B998" s="110">
        <v>46129.0</v>
      </c>
      <c r="C998" s="49" t="s">
        <v>4758</v>
      </c>
      <c r="D998" s="102" t="s">
        <v>4759</v>
      </c>
      <c r="E998" s="25" t="s">
        <v>128</v>
      </c>
      <c r="F998" s="25" t="s">
        <v>129</v>
      </c>
      <c r="G998" s="25" t="s">
        <v>19</v>
      </c>
      <c r="H998" s="49" t="s">
        <v>4532</v>
      </c>
      <c r="I998" s="101">
        <v>46156.0</v>
      </c>
      <c r="J998" s="49">
        <v>20.0</v>
      </c>
      <c r="K998" s="36">
        <v>1.256E7</v>
      </c>
      <c r="L998" s="49" t="s">
        <v>2040</v>
      </c>
      <c r="M998" s="50">
        <v>7.0</v>
      </c>
      <c r="N998" s="146" t="s">
        <v>4760</v>
      </c>
      <c r="O998" s="20"/>
      <c r="P998" s="20"/>
      <c r="Q998" s="20"/>
      <c r="R998" s="20"/>
      <c r="S998" s="20"/>
    </row>
    <row r="999">
      <c r="A999" s="76" t="s">
        <v>4761</v>
      </c>
      <c r="B999" s="97">
        <v>46129.0</v>
      </c>
      <c r="C999" s="76" t="s">
        <v>4762</v>
      </c>
      <c r="D999" s="99" t="s">
        <v>4763</v>
      </c>
      <c r="E999" s="25" t="s">
        <v>128</v>
      </c>
      <c r="F999" s="25" t="s">
        <v>129</v>
      </c>
      <c r="G999" s="25" t="s">
        <v>42</v>
      </c>
      <c r="H999" s="76" t="s">
        <v>4764</v>
      </c>
      <c r="I999" s="76" t="s">
        <v>4765</v>
      </c>
      <c r="J999" s="76">
        <v>2.0</v>
      </c>
      <c r="K999" s="46"/>
      <c r="L999" s="76" t="s">
        <v>4766</v>
      </c>
      <c r="M999" s="44">
        <v>8.0</v>
      </c>
      <c r="N999" s="146" t="s">
        <v>4767</v>
      </c>
      <c r="O999" s="20"/>
      <c r="P999" s="20"/>
      <c r="Q999" s="20"/>
      <c r="R999" s="20"/>
      <c r="S999" s="20"/>
    </row>
    <row r="1000">
      <c r="A1000" s="49" t="s">
        <v>4768</v>
      </c>
      <c r="B1000" s="97">
        <v>46129.0</v>
      </c>
      <c r="C1000" s="49" t="s">
        <v>4769</v>
      </c>
      <c r="D1000" s="99" t="s">
        <v>4743</v>
      </c>
      <c r="E1000" s="25" t="s">
        <v>122</v>
      </c>
      <c r="F1000" s="25" t="s">
        <v>983</v>
      </c>
      <c r="G1000" s="25" t="s">
        <v>29</v>
      </c>
      <c r="H1000" s="49" t="s">
        <v>4515</v>
      </c>
      <c r="I1000" s="49" t="s">
        <v>2658</v>
      </c>
      <c r="J1000" s="49">
        <v>150.0</v>
      </c>
      <c r="K1000" s="30">
        <f>1405000*150</f>
        <v>210750000</v>
      </c>
      <c r="L1000" s="49" t="s">
        <v>4770</v>
      </c>
      <c r="M1000" s="50">
        <v>1.0</v>
      </c>
      <c r="N1000" s="146" t="s">
        <v>4771</v>
      </c>
      <c r="O1000" s="20"/>
      <c r="P1000" s="20"/>
      <c r="Q1000" s="20"/>
      <c r="R1000" s="20"/>
      <c r="S1000" s="20"/>
    </row>
    <row r="1001">
      <c r="A1001" s="76" t="s">
        <v>4772</v>
      </c>
      <c r="B1001" s="97">
        <v>46128.0</v>
      </c>
      <c r="C1001" s="76" t="s">
        <v>4773</v>
      </c>
      <c r="D1001" s="99" t="s">
        <v>4774</v>
      </c>
      <c r="E1001" s="25" t="s">
        <v>128</v>
      </c>
      <c r="F1001" s="25" t="s">
        <v>18</v>
      </c>
      <c r="G1001" s="25" t="s">
        <v>42</v>
      </c>
      <c r="H1001" s="76" t="s">
        <v>2462</v>
      </c>
      <c r="I1001" s="76" t="s">
        <v>4775</v>
      </c>
      <c r="J1001" s="76">
        <v>3.0</v>
      </c>
      <c r="K1001" s="46"/>
      <c r="L1001" s="76" t="s">
        <v>840</v>
      </c>
      <c r="M1001" s="44">
        <v>8.0</v>
      </c>
      <c r="N1001" s="146" t="s">
        <v>4776</v>
      </c>
      <c r="O1001" s="20"/>
      <c r="P1001" s="20"/>
      <c r="Q1001" s="20"/>
      <c r="R1001" s="20"/>
      <c r="S1001" s="20"/>
    </row>
    <row r="1002">
      <c r="A1002" s="49" t="s">
        <v>4777</v>
      </c>
      <c r="B1002" s="110">
        <v>46128.0</v>
      </c>
      <c r="C1002" s="49" t="s">
        <v>1994</v>
      </c>
      <c r="D1002" s="102" t="s">
        <v>4778</v>
      </c>
      <c r="E1002" s="25" t="s">
        <v>128</v>
      </c>
      <c r="F1002" s="25" t="s">
        <v>18</v>
      </c>
      <c r="G1002" s="25" t="s">
        <v>42</v>
      </c>
      <c r="H1002" s="49" t="s">
        <v>2239</v>
      </c>
      <c r="I1002" s="101">
        <v>46131.0</v>
      </c>
      <c r="J1002" s="49">
        <v>2.0</v>
      </c>
      <c r="K1002" s="36">
        <v>700000.0</v>
      </c>
      <c r="L1002" s="49" t="s">
        <v>1614</v>
      </c>
      <c r="M1002" s="50">
        <v>8.0</v>
      </c>
      <c r="N1002" s="146" t="s">
        <v>4779</v>
      </c>
      <c r="O1002" s="20"/>
      <c r="P1002" s="20"/>
      <c r="Q1002" s="20"/>
      <c r="R1002" s="20"/>
      <c r="S1002" s="20"/>
    </row>
    <row r="1003">
      <c r="A1003" s="76" t="s">
        <v>4780</v>
      </c>
      <c r="B1003" s="97">
        <v>46129.0</v>
      </c>
      <c r="C1003" s="76" t="s">
        <v>4781</v>
      </c>
      <c r="D1003" s="99" t="s">
        <v>4782</v>
      </c>
      <c r="E1003" s="25" t="s">
        <v>128</v>
      </c>
      <c r="F1003" s="25" t="s">
        <v>18</v>
      </c>
      <c r="G1003" s="25" t="s">
        <v>19</v>
      </c>
      <c r="H1003" s="76" t="s">
        <v>199</v>
      </c>
      <c r="I1003" s="76" t="s">
        <v>3132</v>
      </c>
      <c r="J1003" s="76">
        <v>7.0</v>
      </c>
      <c r="K1003" s="19">
        <v>1.0094E7</v>
      </c>
      <c r="L1003" s="76" t="s">
        <v>4783</v>
      </c>
      <c r="M1003" s="44">
        <v>7.0</v>
      </c>
      <c r="N1003" s="146" t="s">
        <v>4784</v>
      </c>
      <c r="O1003" s="20"/>
      <c r="P1003" s="20"/>
      <c r="Q1003" s="20"/>
      <c r="R1003" s="20"/>
      <c r="S1003" s="20"/>
    </row>
    <row r="1004">
      <c r="A1004" s="49" t="s">
        <v>4785</v>
      </c>
      <c r="B1004" s="110">
        <v>46129.0</v>
      </c>
      <c r="C1004" s="49" t="s">
        <v>4786</v>
      </c>
      <c r="D1004" s="102" t="s">
        <v>4787</v>
      </c>
      <c r="E1004" s="25" t="s">
        <v>128</v>
      </c>
      <c r="F1004" s="25" t="s">
        <v>18</v>
      </c>
      <c r="G1004" s="25" t="s">
        <v>42</v>
      </c>
      <c r="H1004" s="49" t="s">
        <v>4788</v>
      </c>
      <c r="I1004" s="101">
        <v>46139.0</v>
      </c>
      <c r="J1004" s="49">
        <v>1.0</v>
      </c>
      <c r="K1004" s="36">
        <v>525000.0</v>
      </c>
      <c r="L1004" s="49" t="s">
        <v>4646</v>
      </c>
      <c r="M1004" s="50">
        <v>8.0</v>
      </c>
      <c r="N1004" s="146" t="s">
        <v>4789</v>
      </c>
      <c r="O1004" s="20"/>
      <c r="P1004" s="20"/>
      <c r="Q1004" s="20"/>
      <c r="R1004" s="20"/>
      <c r="S1004" s="20"/>
    </row>
    <row r="1005">
      <c r="A1005" s="76" t="s">
        <v>4790</v>
      </c>
      <c r="B1005" s="97">
        <v>46130.0</v>
      </c>
      <c r="C1005" s="76" t="s">
        <v>4791</v>
      </c>
      <c r="D1005" s="99" t="s">
        <v>4792</v>
      </c>
      <c r="E1005" s="25" t="s">
        <v>128</v>
      </c>
      <c r="F1005" s="25" t="s">
        <v>18</v>
      </c>
      <c r="G1005" s="25" t="s">
        <v>34</v>
      </c>
      <c r="H1005" s="76" t="s">
        <v>4793</v>
      </c>
      <c r="I1005" s="76" t="s">
        <v>4794</v>
      </c>
      <c r="J1005" s="76">
        <v>2.0</v>
      </c>
      <c r="K1005" s="19">
        <v>1100000.0</v>
      </c>
      <c r="L1005" s="76"/>
      <c r="M1005" s="44">
        <v>2.0</v>
      </c>
      <c r="N1005" s="146" t="s">
        <v>4795</v>
      </c>
      <c r="O1005" s="20"/>
      <c r="P1005" s="20"/>
      <c r="Q1005" s="20"/>
      <c r="R1005" s="20"/>
      <c r="S1005" s="20"/>
    </row>
    <row r="1006">
      <c r="A1006" s="49" t="s">
        <v>4796</v>
      </c>
      <c r="B1006" s="110">
        <v>46130.0</v>
      </c>
      <c r="C1006" s="49" t="s">
        <v>4797</v>
      </c>
      <c r="D1006" s="102" t="s">
        <v>4798</v>
      </c>
      <c r="E1006" s="25" t="s">
        <v>17</v>
      </c>
      <c r="F1006" s="25" t="s">
        <v>18</v>
      </c>
      <c r="G1006" s="25" t="s">
        <v>42</v>
      </c>
      <c r="H1006" s="49" t="s">
        <v>282</v>
      </c>
      <c r="I1006" s="49" t="s">
        <v>4799</v>
      </c>
      <c r="J1006" s="49">
        <v>10.0</v>
      </c>
      <c r="K1006" s="30"/>
      <c r="L1006" s="49" t="s">
        <v>4800</v>
      </c>
      <c r="M1006" s="50">
        <v>8.0</v>
      </c>
      <c r="N1006" s="146" t="s">
        <v>4801</v>
      </c>
      <c r="O1006" s="20"/>
      <c r="P1006" s="20"/>
      <c r="Q1006" s="20"/>
      <c r="R1006" s="20"/>
      <c r="S1006" s="20"/>
    </row>
    <row r="1007">
      <c r="A1007" s="76" t="s">
        <v>4802</v>
      </c>
      <c r="B1007" s="97">
        <v>46129.0</v>
      </c>
      <c r="C1007" s="76" t="s">
        <v>4803</v>
      </c>
      <c r="D1007" s="99" t="s">
        <v>4804</v>
      </c>
      <c r="E1007" s="25" t="s">
        <v>122</v>
      </c>
      <c r="F1007" s="25" t="s">
        <v>129</v>
      </c>
      <c r="G1007" s="25" t="s">
        <v>42</v>
      </c>
      <c r="H1007" s="10"/>
      <c r="I1007" s="10"/>
      <c r="J1007" s="76">
        <v>1.0</v>
      </c>
      <c r="K1007" s="46"/>
      <c r="L1007" s="76" t="s">
        <v>4805</v>
      </c>
      <c r="M1007" s="44">
        <v>8.0</v>
      </c>
      <c r="N1007" s="146" t="s">
        <v>4806</v>
      </c>
      <c r="O1007" s="20"/>
      <c r="P1007" s="20"/>
      <c r="Q1007" s="20"/>
      <c r="R1007" s="20"/>
      <c r="S1007" s="20"/>
    </row>
    <row r="1008">
      <c r="A1008" s="49" t="s">
        <v>4807</v>
      </c>
      <c r="B1008" s="110">
        <v>46129.0</v>
      </c>
      <c r="C1008" s="49" t="s">
        <v>3562</v>
      </c>
      <c r="D1008" s="102" t="s">
        <v>4808</v>
      </c>
      <c r="E1008" s="25" t="s">
        <v>122</v>
      </c>
      <c r="F1008" s="25" t="s">
        <v>129</v>
      </c>
      <c r="G1008" s="25" t="s">
        <v>42</v>
      </c>
      <c r="H1008" s="49" t="s">
        <v>4809</v>
      </c>
      <c r="I1008" s="23"/>
      <c r="J1008" s="49">
        <v>2.0</v>
      </c>
      <c r="K1008" s="30"/>
      <c r="L1008" s="49" t="s">
        <v>4810</v>
      </c>
      <c r="M1008" s="50">
        <v>8.0</v>
      </c>
      <c r="N1008" s="146" t="s">
        <v>4811</v>
      </c>
      <c r="O1008" s="20"/>
      <c r="P1008" s="20"/>
      <c r="Q1008" s="20"/>
      <c r="R1008" s="20"/>
      <c r="S1008" s="20"/>
    </row>
    <row r="1009">
      <c r="A1009" s="76" t="s">
        <v>4812</v>
      </c>
      <c r="B1009" s="97">
        <v>46130.0</v>
      </c>
      <c r="C1009" s="76" t="s">
        <v>4813</v>
      </c>
      <c r="D1009" s="99" t="s">
        <v>4814</v>
      </c>
      <c r="E1009" s="25" t="s">
        <v>17</v>
      </c>
      <c r="F1009" s="25" t="s">
        <v>129</v>
      </c>
      <c r="G1009" s="25" t="s">
        <v>29</v>
      </c>
      <c r="H1009" s="76" t="s">
        <v>4054</v>
      </c>
      <c r="I1009" s="10"/>
      <c r="J1009" s="76">
        <v>4.0</v>
      </c>
      <c r="K1009" s="46"/>
      <c r="L1009" s="10"/>
      <c r="M1009" s="44">
        <v>1.0</v>
      </c>
      <c r="N1009" s="146" t="s">
        <v>4815</v>
      </c>
      <c r="O1009" s="20"/>
      <c r="P1009" s="20"/>
      <c r="Q1009" s="20"/>
      <c r="R1009" s="20"/>
      <c r="S1009" s="52" t="s">
        <v>966</v>
      </c>
    </row>
    <row r="1010">
      <c r="A1010" s="49" t="s">
        <v>4816</v>
      </c>
      <c r="B1010" s="110">
        <v>46130.0</v>
      </c>
      <c r="C1010" s="49" t="s">
        <v>4773</v>
      </c>
      <c r="D1010" s="102" t="s">
        <v>4774</v>
      </c>
      <c r="E1010" s="25" t="s">
        <v>128</v>
      </c>
      <c r="F1010" s="25" t="s">
        <v>129</v>
      </c>
      <c r="G1010" s="25" t="s">
        <v>42</v>
      </c>
      <c r="H1010" s="76" t="s">
        <v>4351</v>
      </c>
      <c r="I1010" s="49" t="s">
        <v>4775</v>
      </c>
      <c r="J1010" s="49">
        <v>3.0</v>
      </c>
      <c r="K1010" s="30"/>
      <c r="L1010" s="49" t="s">
        <v>174</v>
      </c>
      <c r="M1010" s="50">
        <v>8.0</v>
      </c>
      <c r="N1010" s="146" t="s">
        <v>4817</v>
      </c>
      <c r="O1010" s="20"/>
      <c r="P1010" s="20"/>
      <c r="Q1010" s="20"/>
      <c r="R1010" s="20"/>
      <c r="S1010" s="20"/>
    </row>
    <row r="1011">
      <c r="A1011" s="76" t="s">
        <v>4818</v>
      </c>
      <c r="B1011" s="97">
        <v>46130.0</v>
      </c>
      <c r="C1011" s="76" t="s">
        <v>4819</v>
      </c>
      <c r="D1011" s="99" t="s">
        <v>4820</v>
      </c>
      <c r="E1011" s="25" t="s">
        <v>128</v>
      </c>
      <c r="F1011" s="25" t="s">
        <v>18</v>
      </c>
      <c r="G1011" s="25" t="s">
        <v>42</v>
      </c>
      <c r="H1011" s="76" t="s">
        <v>4821</v>
      </c>
      <c r="I1011" s="76" t="s">
        <v>3931</v>
      </c>
      <c r="J1011" s="76">
        <v>4.0</v>
      </c>
      <c r="K1011" s="19">
        <v>4480000.0</v>
      </c>
      <c r="L1011" s="76" t="s">
        <v>4822</v>
      </c>
      <c r="M1011" s="44">
        <v>8.0</v>
      </c>
      <c r="N1011" s="150"/>
      <c r="O1011" s="20"/>
      <c r="P1011" s="20"/>
      <c r="Q1011" s="20"/>
      <c r="R1011" s="20"/>
      <c r="S1011" s="20"/>
    </row>
    <row r="1012">
      <c r="A1012" s="49" t="s">
        <v>4823</v>
      </c>
      <c r="B1012" s="110">
        <v>46130.0</v>
      </c>
      <c r="C1012" s="49" t="s">
        <v>4824</v>
      </c>
      <c r="D1012" s="102" t="s">
        <v>4825</v>
      </c>
      <c r="E1012" s="25" t="s">
        <v>122</v>
      </c>
      <c r="F1012" s="25" t="s">
        <v>983</v>
      </c>
      <c r="G1012" s="25" t="s">
        <v>19</v>
      </c>
      <c r="H1012" s="49" t="s">
        <v>4826</v>
      </c>
      <c r="I1012" s="49" t="s">
        <v>4827</v>
      </c>
      <c r="J1012" s="49">
        <v>16.0</v>
      </c>
      <c r="K1012" s="30">
        <f>2100000*16</f>
        <v>33600000</v>
      </c>
      <c r="L1012" s="49" t="s">
        <v>1803</v>
      </c>
      <c r="M1012" s="50">
        <v>7.0</v>
      </c>
      <c r="N1012" s="148"/>
      <c r="O1012" s="20"/>
      <c r="P1012" s="20"/>
      <c r="Q1012" s="20"/>
      <c r="R1012" s="20"/>
      <c r="S1012" s="20"/>
    </row>
    <row r="1013">
      <c r="A1013" s="76" t="s">
        <v>4828</v>
      </c>
      <c r="B1013" s="97">
        <v>46131.0</v>
      </c>
      <c r="C1013" s="76" t="s">
        <v>4829</v>
      </c>
      <c r="D1013" s="99" t="s">
        <v>4830</v>
      </c>
      <c r="E1013" s="25" t="s">
        <v>128</v>
      </c>
      <c r="F1013" s="25" t="s">
        <v>18</v>
      </c>
      <c r="G1013" s="25" t="s">
        <v>34</v>
      </c>
      <c r="H1013" s="76" t="s">
        <v>3210</v>
      </c>
      <c r="I1013" s="118">
        <v>46185.0</v>
      </c>
      <c r="J1013" s="76">
        <v>2.0</v>
      </c>
      <c r="K1013" s="19">
        <v>3780000.0</v>
      </c>
      <c r="L1013" s="76" t="s">
        <v>4831</v>
      </c>
      <c r="M1013" s="44">
        <v>2.0</v>
      </c>
      <c r="N1013" s="146" t="s">
        <v>4832</v>
      </c>
      <c r="O1013" s="20"/>
      <c r="P1013" s="20"/>
      <c r="Q1013" s="20"/>
      <c r="R1013" s="20"/>
      <c r="S1013" s="20"/>
    </row>
    <row r="1014">
      <c r="A1014" s="49" t="s">
        <v>4833</v>
      </c>
      <c r="B1014" s="110">
        <v>46131.0</v>
      </c>
      <c r="C1014" s="49" t="s">
        <v>4834</v>
      </c>
      <c r="D1014" s="102" t="s">
        <v>4835</v>
      </c>
      <c r="E1014" s="25" t="s">
        <v>17</v>
      </c>
      <c r="F1014" s="25" t="s">
        <v>18</v>
      </c>
      <c r="G1014" s="25" t="s">
        <v>42</v>
      </c>
      <c r="H1014" s="49" t="s">
        <v>2462</v>
      </c>
      <c r="I1014" s="23"/>
      <c r="J1014" s="49">
        <v>2.0</v>
      </c>
      <c r="K1014" s="30"/>
      <c r="L1014" s="49" t="s">
        <v>4836</v>
      </c>
      <c r="M1014" s="50">
        <v>8.0</v>
      </c>
      <c r="N1014" s="146" t="s">
        <v>4837</v>
      </c>
      <c r="O1014" s="20"/>
      <c r="P1014" s="20"/>
      <c r="Q1014" s="20"/>
      <c r="R1014" s="20"/>
      <c r="S1014" s="20"/>
    </row>
    <row r="1015">
      <c r="A1015" s="76" t="s">
        <v>4838</v>
      </c>
      <c r="B1015" s="97">
        <v>46131.0</v>
      </c>
      <c r="C1015" s="76" t="s">
        <v>4839</v>
      </c>
      <c r="D1015" s="99" t="s">
        <v>4840</v>
      </c>
      <c r="E1015" s="25" t="s">
        <v>128</v>
      </c>
      <c r="F1015" s="25" t="s">
        <v>18</v>
      </c>
      <c r="G1015" s="25" t="s">
        <v>34</v>
      </c>
      <c r="H1015" s="76" t="s">
        <v>199</v>
      </c>
      <c r="I1015" s="76" t="s">
        <v>254</v>
      </c>
      <c r="J1015" s="76">
        <v>2.0</v>
      </c>
      <c r="K1015" s="19">
        <v>6828000.0</v>
      </c>
      <c r="L1015" s="76" t="s">
        <v>4841</v>
      </c>
      <c r="M1015" s="44">
        <v>2.0</v>
      </c>
      <c r="N1015" s="146" t="s">
        <v>4842</v>
      </c>
      <c r="O1015" s="20"/>
      <c r="P1015" s="20"/>
      <c r="Q1015" s="20"/>
      <c r="R1015" s="20"/>
      <c r="S1015" s="20"/>
    </row>
    <row r="1016">
      <c r="A1016" s="49" t="s">
        <v>4843</v>
      </c>
      <c r="B1016" s="110">
        <v>46131.0</v>
      </c>
      <c r="C1016" s="49" t="s">
        <v>4844</v>
      </c>
      <c r="D1016" s="102" t="s">
        <v>4845</v>
      </c>
      <c r="E1016" s="25" t="s">
        <v>1877</v>
      </c>
      <c r="F1016" s="25" t="s">
        <v>129</v>
      </c>
      <c r="G1016" s="25" t="s">
        <v>19</v>
      </c>
      <c r="H1016" s="49" t="s">
        <v>2166</v>
      </c>
      <c r="I1016" s="101">
        <v>46157.0</v>
      </c>
      <c r="J1016" s="49">
        <v>2.0</v>
      </c>
      <c r="K1016" s="36">
        <v>500000.0</v>
      </c>
      <c r="L1016" s="49" t="s">
        <v>2040</v>
      </c>
      <c r="M1016" s="50">
        <v>7.0</v>
      </c>
      <c r="N1016" s="146" t="s">
        <v>4846</v>
      </c>
      <c r="O1016" s="20"/>
      <c r="P1016" s="20"/>
      <c r="Q1016" s="20"/>
      <c r="R1016" s="20"/>
      <c r="S1016" s="20"/>
    </row>
    <row r="1017">
      <c r="A1017" s="76" t="s">
        <v>4847</v>
      </c>
      <c r="B1017" s="97">
        <v>46131.0</v>
      </c>
      <c r="C1017" s="76" t="s">
        <v>4848</v>
      </c>
      <c r="D1017" s="99" t="s">
        <v>4849</v>
      </c>
      <c r="E1017" s="25" t="s">
        <v>128</v>
      </c>
      <c r="F1017" s="25" t="s">
        <v>18</v>
      </c>
      <c r="G1017" s="25" t="s">
        <v>19</v>
      </c>
      <c r="H1017" s="76" t="s">
        <v>4850</v>
      </c>
      <c r="I1017" s="76" t="s">
        <v>4851</v>
      </c>
      <c r="J1017" s="76">
        <v>11.0</v>
      </c>
      <c r="K1017" s="19">
        <v>1.28E7</v>
      </c>
      <c r="L1017" s="76" t="s">
        <v>1803</v>
      </c>
      <c r="M1017" s="44">
        <v>7.0</v>
      </c>
      <c r="N1017" s="146" t="s">
        <v>4852</v>
      </c>
      <c r="O1017" s="20"/>
      <c r="P1017" s="20"/>
      <c r="Q1017" s="20"/>
      <c r="R1017" s="20"/>
      <c r="S1017" s="20"/>
    </row>
    <row r="1018">
      <c r="A1018" s="49" t="s">
        <v>4853</v>
      </c>
      <c r="B1018" s="110">
        <v>46131.0</v>
      </c>
      <c r="C1018" s="49" t="s">
        <v>2008</v>
      </c>
      <c r="D1018" s="102" t="s">
        <v>4854</v>
      </c>
      <c r="E1018" s="25" t="s">
        <v>17</v>
      </c>
      <c r="F1018" s="25" t="s">
        <v>18</v>
      </c>
      <c r="G1018" s="25" t="s">
        <v>19</v>
      </c>
      <c r="H1018" s="49" t="s">
        <v>199</v>
      </c>
      <c r="I1018" s="49" t="s">
        <v>4855</v>
      </c>
      <c r="J1018" s="49">
        <v>7.0</v>
      </c>
      <c r="K1018" s="36">
        <v>1.5632E7</v>
      </c>
      <c r="L1018" s="49" t="s">
        <v>4856</v>
      </c>
      <c r="M1018" s="50">
        <v>7.0</v>
      </c>
      <c r="N1018" s="146" t="s">
        <v>4857</v>
      </c>
      <c r="O1018" s="20"/>
      <c r="P1018" s="20"/>
      <c r="Q1018" s="20"/>
      <c r="R1018" s="20"/>
      <c r="S1018" s="20"/>
    </row>
    <row r="1019">
      <c r="A1019" s="76" t="s">
        <v>4858</v>
      </c>
      <c r="B1019" s="97">
        <v>46131.0</v>
      </c>
      <c r="C1019" s="76" t="s">
        <v>4859</v>
      </c>
      <c r="D1019" s="99" t="s">
        <v>4860</v>
      </c>
      <c r="E1019" s="25" t="s">
        <v>17</v>
      </c>
      <c r="F1019" s="25" t="s">
        <v>983</v>
      </c>
      <c r="G1019" s="25" t="s">
        <v>42</v>
      </c>
      <c r="H1019" s="76" t="s">
        <v>4861</v>
      </c>
      <c r="I1019" s="10"/>
      <c r="J1019" s="76">
        <v>4.0</v>
      </c>
      <c r="K1019" s="46"/>
      <c r="L1019" s="76" t="s">
        <v>4862</v>
      </c>
      <c r="M1019" s="44">
        <v>8.0</v>
      </c>
      <c r="N1019" s="146" t="s">
        <v>4863</v>
      </c>
      <c r="O1019" s="20"/>
      <c r="P1019" s="20"/>
      <c r="Q1019" s="20"/>
      <c r="R1019" s="20"/>
      <c r="S1019" s="20"/>
    </row>
    <row r="1020">
      <c r="A1020" s="49" t="s">
        <v>4864</v>
      </c>
      <c r="B1020" s="110">
        <v>46131.0</v>
      </c>
      <c r="C1020" s="49" t="s">
        <v>2201</v>
      </c>
      <c r="D1020" s="102" t="s">
        <v>4865</v>
      </c>
      <c r="E1020" s="25" t="s">
        <v>128</v>
      </c>
      <c r="F1020" s="25" t="s">
        <v>129</v>
      </c>
      <c r="G1020" s="25" t="s">
        <v>29</v>
      </c>
      <c r="H1020" s="49" t="s">
        <v>4532</v>
      </c>
      <c r="I1020" s="49" t="s">
        <v>4866</v>
      </c>
      <c r="J1020" s="49">
        <v>4.0</v>
      </c>
      <c r="K1020" s="30"/>
      <c r="L1020" s="49" t="s">
        <v>4867</v>
      </c>
      <c r="M1020" s="50">
        <v>1.0</v>
      </c>
      <c r="N1020" s="146" t="s">
        <v>4868</v>
      </c>
      <c r="O1020" s="20"/>
      <c r="P1020" s="20"/>
      <c r="Q1020" s="20"/>
      <c r="R1020" s="20"/>
      <c r="S1020" s="20"/>
    </row>
    <row r="1021">
      <c r="A1021" s="76" t="s">
        <v>4869</v>
      </c>
      <c r="B1021" s="97">
        <v>46131.0</v>
      </c>
      <c r="C1021" s="76" t="s">
        <v>4870</v>
      </c>
      <c r="D1021" s="99" t="s">
        <v>4871</v>
      </c>
      <c r="E1021" s="25" t="s">
        <v>122</v>
      </c>
      <c r="F1021" s="25" t="s">
        <v>129</v>
      </c>
      <c r="G1021" s="25" t="s">
        <v>42</v>
      </c>
      <c r="H1021" s="76" t="s">
        <v>4872</v>
      </c>
      <c r="I1021" s="118">
        <v>46152.0</v>
      </c>
      <c r="J1021" s="76">
        <v>4.0</v>
      </c>
      <c r="K1021" s="46"/>
      <c r="L1021" s="76" t="s">
        <v>174</v>
      </c>
      <c r="M1021" s="44">
        <v>8.0</v>
      </c>
      <c r="N1021" s="146" t="s">
        <v>4873</v>
      </c>
      <c r="O1021" s="20"/>
      <c r="P1021" s="20"/>
      <c r="Q1021" s="20"/>
      <c r="R1021" s="20"/>
      <c r="S1021" s="20"/>
    </row>
    <row r="1022">
      <c r="A1022" s="49" t="s">
        <v>4874</v>
      </c>
      <c r="B1022" s="110">
        <v>46131.0</v>
      </c>
      <c r="C1022" s="49" t="s">
        <v>4875</v>
      </c>
      <c r="D1022" s="102" t="s">
        <v>4876</v>
      </c>
      <c r="E1022" s="25" t="s">
        <v>128</v>
      </c>
      <c r="F1022" s="25" t="s">
        <v>18</v>
      </c>
      <c r="G1022" s="25" t="s">
        <v>42</v>
      </c>
      <c r="H1022" s="49" t="s">
        <v>4877</v>
      </c>
      <c r="I1022" s="49" t="s">
        <v>4878</v>
      </c>
      <c r="J1022" s="49">
        <v>2.0</v>
      </c>
      <c r="K1022" s="36">
        <v>2740000.0</v>
      </c>
      <c r="L1022" s="49" t="s">
        <v>4879</v>
      </c>
      <c r="M1022" s="50">
        <v>8.0</v>
      </c>
      <c r="N1022" s="148"/>
      <c r="O1022" s="20"/>
      <c r="P1022" s="20"/>
      <c r="Q1022" s="20"/>
      <c r="R1022" s="20"/>
      <c r="S1022" s="20"/>
    </row>
    <row r="1023">
      <c r="A1023" s="76" t="s">
        <v>4880</v>
      </c>
      <c r="B1023" s="97">
        <v>46131.0</v>
      </c>
      <c r="C1023" s="76" t="s">
        <v>4881</v>
      </c>
      <c r="D1023" s="99" t="s">
        <v>4882</v>
      </c>
      <c r="E1023" s="25" t="s">
        <v>122</v>
      </c>
      <c r="F1023" s="25" t="s">
        <v>983</v>
      </c>
      <c r="G1023" s="25" t="s">
        <v>42</v>
      </c>
      <c r="H1023" s="76" t="s">
        <v>4883</v>
      </c>
      <c r="I1023" s="76" t="s">
        <v>1468</v>
      </c>
      <c r="J1023" s="76">
        <v>2.0</v>
      </c>
      <c r="K1023" s="19">
        <v>7000000.0</v>
      </c>
      <c r="L1023" s="76" t="s">
        <v>4884</v>
      </c>
      <c r="M1023" s="44">
        <v>8.0</v>
      </c>
      <c r="N1023" s="146" t="s">
        <v>4885</v>
      </c>
      <c r="O1023" s="20"/>
      <c r="P1023" s="20"/>
      <c r="Q1023" s="20"/>
      <c r="R1023" s="20"/>
      <c r="S1023" s="20"/>
    </row>
    <row r="1024">
      <c r="A1024" s="49" t="s">
        <v>4886</v>
      </c>
      <c r="B1024" s="110">
        <v>46131.0</v>
      </c>
      <c r="C1024" s="49" t="s">
        <v>4887</v>
      </c>
      <c r="D1024" s="102" t="s">
        <v>4888</v>
      </c>
      <c r="E1024" s="25" t="s">
        <v>128</v>
      </c>
      <c r="F1024" s="25" t="s">
        <v>18</v>
      </c>
      <c r="G1024" s="25" t="s">
        <v>42</v>
      </c>
      <c r="H1024" s="23"/>
      <c r="I1024" s="23"/>
      <c r="J1024" s="23"/>
      <c r="K1024" s="30"/>
      <c r="L1024" s="49"/>
      <c r="M1024" s="50">
        <v>8.0</v>
      </c>
      <c r="N1024" s="51"/>
      <c r="O1024" s="20"/>
      <c r="P1024" s="20"/>
      <c r="Q1024" s="20"/>
      <c r="R1024" s="20"/>
      <c r="S1024" s="20"/>
    </row>
    <row r="1025">
      <c r="A1025" s="76" t="s">
        <v>4889</v>
      </c>
      <c r="B1025" s="97">
        <v>46131.0</v>
      </c>
      <c r="C1025" s="76" t="s">
        <v>4890</v>
      </c>
      <c r="D1025" s="99" t="s">
        <v>4891</v>
      </c>
      <c r="E1025" s="25" t="s">
        <v>128</v>
      </c>
      <c r="F1025" s="25" t="s">
        <v>18</v>
      </c>
      <c r="G1025" s="25" t="s">
        <v>42</v>
      </c>
      <c r="H1025" s="76" t="s">
        <v>260</v>
      </c>
      <c r="I1025" s="76" t="s">
        <v>4424</v>
      </c>
      <c r="J1025" s="76">
        <v>2.0</v>
      </c>
      <c r="K1025" s="36">
        <v>3200000.0</v>
      </c>
      <c r="L1025" s="49" t="s">
        <v>4347</v>
      </c>
      <c r="M1025" s="44">
        <v>8.0</v>
      </c>
      <c r="N1025" s="45"/>
      <c r="O1025" s="20"/>
      <c r="P1025" s="20"/>
      <c r="Q1025" s="20"/>
      <c r="R1025" s="20"/>
      <c r="S1025" s="20"/>
    </row>
    <row r="1026">
      <c r="A1026" s="49" t="s">
        <v>4892</v>
      </c>
      <c r="B1026" s="110">
        <v>46131.0</v>
      </c>
      <c r="C1026" s="49" t="s">
        <v>4893</v>
      </c>
      <c r="D1026" s="102" t="s">
        <v>4894</v>
      </c>
      <c r="E1026" s="25" t="s">
        <v>869</v>
      </c>
      <c r="F1026" s="25" t="s">
        <v>983</v>
      </c>
      <c r="G1026" s="25" t="s">
        <v>19</v>
      </c>
      <c r="H1026" s="49" t="s">
        <v>2462</v>
      </c>
      <c r="I1026" s="49" t="s">
        <v>4895</v>
      </c>
      <c r="J1026" s="49">
        <v>4.0</v>
      </c>
      <c r="K1026" s="36">
        <f>2050000*4</f>
        <v>8200000</v>
      </c>
      <c r="L1026" s="49" t="s">
        <v>4896</v>
      </c>
      <c r="M1026" s="50">
        <v>7.0</v>
      </c>
      <c r="N1026" s="104" t="s">
        <v>4897</v>
      </c>
      <c r="O1026" s="20"/>
      <c r="P1026" s="20"/>
      <c r="Q1026" s="20"/>
      <c r="R1026" s="20"/>
      <c r="S1026" s="20"/>
    </row>
    <row r="1027">
      <c r="A1027" s="76" t="s">
        <v>4898</v>
      </c>
      <c r="B1027" s="97">
        <v>46131.0</v>
      </c>
      <c r="C1027" s="76" t="s">
        <v>4899</v>
      </c>
      <c r="D1027" s="99" t="s">
        <v>4900</v>
      </c>
      <c r="E1027" s="25" t="s">
        <v>128</v>
      </c>
      <c r="F1027" s="25" t="s">
        <v>18</v>
      </c>
      <c r="G1027" s="25" t="s">
        <v>42</v>
      </c>
      <c r="H1027" s="76" t="s">
        <v>4901</v>
      </c>
      <c r="I1027" s="49" t="s">
        <v>4878</v>
      </c>
      <c r="J1027" s="76">
        <v>2.0</v>
      </c>
      <c r="K1027" s="19">
        <v>1050000.0</v>
      </c>
      <c r="L1027" s="76" t="s">
        <v>4902</v>
      </c>
      <c r="M1027" s="44">
        <v>8.0</v>
      </c>
      <c r="N1027" s="45"/>
      <c r="O1027" s="20"/>
      <c r="P1027" s="20"/>
      <c r="Q1027" s="20"/>
      <c r="R1027" s="20"/>
      <c r="S1027" s="20"/>
    </row>
    <row r="1028">
      <c r="A1028" s="49" t="s">
        <v>4903</v>
      </c>
      <c r="B1028" s="110">
        <v>46131.0</v>
      </c>
      <c r="C1028" s="49" t="s">
        <v>4904</v>
      </c>
      <c r="D1028" s="102" t="s">
        <v>4905</v>
      </c>
      <c r="E1028" s="25" t="s">
        <v>128</v>
      </c>
      <c r="F1028" s="25" t="s">
        <v>129</v>
      </c>
      <c r="G1028" s="25" t="s">
        <v>42</v>
      </c>
      <c r="H1028" s="49" t="s">
        <v>260</v>
      </c>
      <c r="I1028" s="49" t="s">
        <v>4424</v>
      </c>
      <c r="J1028" s="49">
        <v>4.0</v>
      </c>
      <c r="K1028" s="30"/>
      <c r="L1028" s="49" t="s">
        <v>4906</v>
      </c>
      <c r="M1028" s="50">
        <v>8.0</v>
      </c>
      <c r="N1028" s="104" t="s">
        <v>4907</v>
      </c>
      <c r="O1028" s="20"/>
      <c r="P1028" s="20"/>
      <c r="Q1028" s="20"/>
      <c r="R1028" s="20"/>
      <c r="S1028" s="20"/>
    </row>
    <row r="1029">
      <c r="A1029" s="76" t="s">
        <v>4908</v>
      </c>
      <c r="B1029" s="97">
        <v>46131.0</v>
      </c>
      <c r="C1029" s="76" t="s">
        <v>4909</v>
      </c>
      <c r="D1029" s="99" t="s">
        <v>4910</v>
      </c>
      <c r="E1029" s="25" t="s">
        <v>128</v>
      </c>
      <c r="F1029" s="25" t="s">
        <v>18</v>
      </c>
      <c r="G1029" s="25" t="s">
        <v>42</v>
      </c>
      <c r="H1029" s="76" t="s">
        <v>4911</v>
      </c>
      <c r="I1029" s="76" t="s">
        <v>4912</v>
      </c>
      <c r="J1029" s="76"/>
      <c r="K1029" s="19"/>
      <c r="L1029" s="76" t="s">
        <v>4913</v>
      </c>
      <c r="M1029" s="44">
        <v>8.0</v>
      </c>
      <c r="N1029" s="86" t="s">
        <v>4914</v>
      </c>
      <c r="O1029" s="20"/>
      <c r="P1029" s="20"/>
      <c r="Q1029" s="20"/>
      <c r="R1029" s="20"/>
      <c r="S1029" s="20"/>
    </row>
    <row r="1030">
      <c r="A1030" s="49" t="s">
        <v>4915</v>
      </c>
      <c r="B1030" s="110">
        <v>46132.0</v>
      </c>
      <c r="C1030" s="76" t="s">
        <v>4916</v>
      </c>
      <c r="D1030" s="99" t="s">
        <v>4917</v>
      </c>
      <c r="E1030" s="25" t="s">
        <v>128</v>
      </c>
      <c r="F1030" s="25" t="s">
        <v>18</v>
      </c>
      <c r="G1030" s="25" t="s">
        <v>42</v>
      </c>
      <c r="H1030" s="49" t="s">
        <v>116</v>
      </c>
      <c r="I1030" s="49" t="s">
        <v>4918</v>
      </c>
      <c r="J1030" s="49">
        <v>2.0</v>
      </c>
      <c r="K1030" s="36">
        <v>7820000.0</v>
      </c>
      <c r="L1030" s="49" t="s">
        <v>4347</v>
      </c>
      <c r="M1030" s="50">
        <v>8.0</v>
      </c>
      <c r="N1030" s="104" t="s">
        <v>4919</v>
      </c>
      <c r="O1030" s="20"/>
      <c r="P1030" s="20"/>
      <c r="Q1030" s="20"/>
      <c r="R1030" s="20"/>
      <c r="S1030" s="20"/>
    </row>
    <row r="1031">
      <c r="A1031" s="76" t="s">
        <v>4920</v>
      </c>
      <c r="B1031" s="97">
        <v>46132.0</v>
      </c>
      <c r="C1031" s="49" t="s">
        <v>4921</v>
      </c>
      <c r="D1031" s="102" t="s">
        <v>4922</v>
      </c>
      <c r="E1031" s="25" t="s">
        <v>122</v>
      </c>
      <c r="F1031" s="25" t="s">
        <v>18</v>
      </c>
      <c r="G1031" s="25" t="s">
        <v>42</v>
      </c>
      <c r="H1031" s="76" t="s">
        <v>2120</v>
      </c>
      <c r="I1031" s="10"/>
      <c r="J1031" s="10"/>
      <c r="K1031" s="46"/>
      <c r="L1031" s="76" t="s">
        <v>1614</v>
      </c>
      <c r="M1031" s="44">
        <v>8.0</v>
      </c>
      <c r="N1031" s="45"/>
      <c r="O1031" s="20"/>
      <c r="P1031" s="20"/>
      <c r="Q1031" s="20"/>
      <c r="R1031" s="20"/>
      <c r="S1031" s="20"/>
    </row>
    <row r="1032">
      <c r="A1032" s="49" t="s">
        <v>4923</v>
      </c>
      <c r="B1032" s="110">
        <v>46132.0</v>
      </c>
      <c r="C1032" s="49" t="s">
        <v>4924</v>
      </c>
      <c r="D1032" s="102" t="s">
        <v>4925</v>
      </c>
      <c r="E1032" s="25" t="s">
        <v>122</v>
      </c>
      <c r="F1032" s="25" t="s">
        <v>129</v>
      </c>
      <c r="G1032" s="25" t="s">
        <v>42</v>
      </c>
      <c r="H1032" s="49" t="s">
        <v>4926</v>
      </c>
      <c r="I1032" s="101">
        <v>46182.0</v>
      </c>
      <c r="J1032" s="49">
        <v>2.0</v>
      </c>
      <c r="K1032" s="36">
        <v>3050000.0</v>
      </c>
      <c r="L1032" s="49" t="s">
        <v>4927</v>
      </c>
      <c r="M1032" s="50">
        <v>8.0</v>
      </c>
      <c r="N1032" s="104" t="s">
        <v>4928</v>
      </c>
      <c r="O1032" s="20"/>
      <c r="P1032" s="20"/>
      <c r="Q1032" s="20"/>
      <c r="R1032" s="20"/>
      <c r="S1032" s="20"/>
    </row>
    <row r="1033">
      <c r="A1033" s="76" t="s">
        <v>4929</v>
      </c>
      <c r="B1033" s="97">
        <v>46133.0</v>
      </c>
      <c r="C1033" s="76" t="s">
        <v>4930</v>
      </c>
      <c r="D1033" s="99" t="s">
        <v>4931</v>
      </c>
      <c r="E1033" s="25" t="s">
        <v>17</v>
      </c>
      <c r="F1033" s="25" t="s">
        <v>129</v>
      </c>
      <c r="G1033" s="25" t="s">
        <v>42</v>
      </c>
      <c r="H1033" s="76" t="s">
        <v>3175</v>
      </c>
      <c r="I1033" s="76" t="s">
        <v>3211</v>
      </c>
      <c r="J1033" s="76">
        <v>15.0</v>
      </c>
      <c r="K1033" s="46"/>
      <c r="L1033" s="76" t="s">
        <v>4932</v>
      </c>
      <c r="M1033" s="44">
        <v>8.0</v>
      </c>
      <c r="N1033" s="86" t="s">
        <v>4933</v>
      </c>
      <c r="O1033" s="20"/>
      <c r="P1033" s="20"/>
      <c r="Q1033" s="20"/>
      <c r="R1033" s="20"/>
      <c r="S1033" s="20"/>
    </row>
    <row r="1034">
      <c r="A1034" s="49" t="s">
        <v>4934</v>
      </c>
      <c r="B1034" s="110">
        <v>46132.0</v>
      </c>
      <c r="C1034" s="49" t="s">
        <v>4935</v>
      </c>
      <c r="D1034" s="102" t="s">
        <v>4936</v>
      </c>
      <c r="E1034" s="25" t="s">
        <v>128</v>
      </c>
      <c r="F1034" s="25" t="s">
        <v>129</v>
      </c>
      <c r="G1034" s="25" t="s">
        <v>42</v>
      </c>
      <c r="H1034" s="49" t="s">
        <v>172</v>
      </c>
      <c r="I1034" s="23"/>
      <c r="J1034" s="49">
        <v>5.0</v>
      </c>
      <c r="K1034" s="30"/>
      <c r="L1034" s="49" t="s">
        <v>4906</v>
      </c>
      <c r="M1034" s="50">
        <v>8.0</v>
      </c>
      <c r="N1034" s="104" t="s">
        <v>4937</v>
      </c>
      <c r="O1034" s="20"/>
      <c r="P1034" s="20"/>
      <c r="Q1034" s="20"/>
      <c r="R1034" s="20"/>
      <c r="S1034" s="20"/>
    </row>
    <row r="1035">
      <c r="A1035" s="76" t="s">
        <v>4938</v>
      </c>
      <c r="B1035" s="97">
        <v>46133.0</v>
      </c>
      <c r="C1035" s="76" t="s">
        <v>4939</v>
      </c>
      <c r="D1035" s="99" t="s">
        <v>4940</v>
      </c>
      <c r="E1035" s="25" t="s">
        <v>128</v>
      </c>
      <c r="F1035" s="25" t="s">
        <v>983</v>
      </c>
      <c r="G1035" s="25" t="s">
        <v>42</v>
      </c>
      <c r="H1035" s="76" t="s">
        <v>2850</v>
      </c>
      <c r="I1035" s="10"/>
      <c r="J1035" s="10"/>
      <c r="K1035" s="46"/>
      <c r="L1035" s="76" t="s">
        <v>4941</v>
      </c>
      <c r="M1035" s="44">
        <v>8.0</v>
      </c>
      <c r="N1035" s="86" t="s">
        <v>4942</v>
      </c>
      <c r="O1035" s="20"/>
      <c r="P1035" s="20"/>
      <c r="Q1035" s="20"/>
      <c r="R1035" s="20"/>
      <c r="S1035" s="20"/>
    </row>
    <row r="1036">
      <c r="A1036" s="49" t="s">
        <v>4943</v>
      </c>
      <c r="B1036" s="110">
        <v>46133.0</v>
      </c>
      <c r="C1036" s="49" t="s">
        <v>4944</v>
      </c>
      <c r="D1036" s="102" t="s">
        <v>4945</v>
      </c>
      <c r="E1036" s="25" t="s">
        <v>128</v>
      </c>
      <c r="F1036" s="25" t="s">
        <v>129</v>
      </c>
      <c r="G1036" s="25" t="s">
        <v>19</v>
      </c>
      <c r="H1036" s="49" t="s">
        <v>4946</v>
      </c>
      <c r="I1036" s="101">
        <v>46188.0</v>
      </c>
      <c r="J1036" s="49">
        <v>2.0</v>
      </c>
      <c r="K1036" s="30">
        <f>SUM(550000*2)</f>
        <v>1100000</v>
      </c>
      <c r="L1036" s="49" t="s">
        <v>2572</v>
      </c>
      <c r="M1036" s="50">
        <v>7.0</v>
      </c>
      <c r="N1036" s="104" t="s">
        <v>4947</v>
      </c>
      <c r="O1036" s="20"/>
      <c r="P1036" s="20"/>
      <c r="Q1036" s="20"/>
      <c r="R1036" s="20"/>
      <c r="S1036" s="20"/>
    </row>
    <row r="1037">
      <c r="A1037" s="76" t="s">
        <v>4948</v>
      </c>
      <c r="B1037" s="97">
        <v>46133.0</v>
      </c>
      <c r="C1037" s="76" t="s">
        <v>4949</v>
      </c>
      <c r="D1037" s="99" t="s">
        <v>4950</v>
      </c>
      <c r="E1037" s="25" t="s">
        <v>17</v>
      </c>
      <c r="F1037" s="25" t="s">
        <v>129</v>
      </c>
      <c r="G1037" s="25" t="s">
        <v>29</v>
      </c>
      <c r="H1037" s="76" t="s">
        <v>4951</v>
      </c>
      <c r="I1037" s="76" t="s">
        <v>870</v>
      </c>
      <c r="J1037" s="10"/>
      <c r="K1037" s="46"/>
      <c r="L1037" s="76" t="s">
        <v>4952</v>
      </c>
      <c r="M1037" s="44">
        <v>1.0</v>
      </c>
      <c r="N1037" s="86" t="s">
        <v>4953</v>
      </c>
      <c r="O1037" s="20"/>
      <c r="P1037" s="20"/>
      <c r="Q1037" s="20"/>
      <c r="R1037" s="20"/>
      <c r="S1037" s="20"/>
    </row>
    <row r="1038">
      <c r="A1038" s="49" t="s">
        <v>4954</v>
      </c>
      <c r="B1038" s="110">
        <v>46133.0</v>
      </c>
      <c r="C1038" s="49" t="s">
        <v>4456</v>
      </c>
      <c r="D1038" s="102" t="s">
        <v>4955</v>
      </c>
      <c r="E1038" s="25" t="s">
        <v>128</v>
      </c>
      <c r="F1038" s="25" t="s">
        <v>18</v>
      </c>
      <c r="G1038" s="25" t="s">
        <v>42</v>
      </c>
      <c r="H1038" s="49" t="s">
        <v>260</v>
      </c>
      <c r="I1038" s="49" t="s">
        <v>4429</v>
      </c>
      <c r="J1038" s="49">
        <v>2.0</v>
      </c>
      <c r="K1038" s="30"/>
      <c r="L1038" s="49" t="s">
        <v>4956</v>
      </c>
      <c r="M1038" s="50">
        <v>8.0</v>
      </c>
      <c r="N1038" s="104" t="s">
        <v>4957</v>
      </c>
      <c r="O1038" s="20"/>
      <c r="P1038" s="20"/>
      <c r="Q1038" s="20"/>
      <c r="R1038" s="20"/>
      <c r="S1038" s="20"/>
    </row>
    <row r="1039">
      <c r="A1039" s="76" t="s">
        <v>4958</v>
      </c>
      <c r="B1039" s="97">
        <v>46133.0</v>
      </c>
      <c r="C1039" s="76" t="s">
        <v>4959</v>
      </c>
      <c r="D1039" s="99" t="s">
        <v>4960</v>
      </c>
      <c r="E1039" s="25" t="s">
        <v>128</v>
      </c>
      <c r="F1039" s="25" t="s">
        <v>18</v>
      </c>
      <c r="G1039" s="25" t="s">
        <v>34</v>
      </c>
      <c r="H1039" s="76" t="s">
        <v>260</v>
      </c>
      <c r="I1039" s="76" t="s">
        <v>4961</v>
      </c>
      <c r="J1039" s="76">
        <v>6.0</v>
      </c>
      <c r="K1039" s="19">
        <v>9600000.0</v>
      </c>
      <c r="L1039" s="76" t="s">
        <v>4962</v>
      </c>
      <c r="M1039" s="44">
        <v>2.0</v>
      </c>
      <c r="N1039" s="86" t="s">
        <v>4963</v>
      </c>
      <c r="O1039" s="20"/>
      <c r="P1039" s="20"/>
      <c r="Q1039" s="20"/>
      <c r="R1039" s="20"/>
      <c r="S1039" s="20"/>
    </row>
    <row r="1040">
      <c r="A1040" s="49" t="s">
        <v>4964</v>
      </c>
      <c r="B1040" s="110">
        <v>46133.0</v>
      </c>
      <c r="C1040" s="49" t="s">
        <v>4965</v>
      </c>
      <c r="D1040" s="102" t="s">
        <v>4966</v>
      </c>
      <c r="E1040" s="25" t="s">
        <v>128</v>
      </c>
      <c r="F1040" s="25" t="s">
        <v>18</v>
      </c>
      <c r="G1040" s="25" t="s">
        <v>42</v>
      </c>
      <c r="H1040" s="49" t="s">
        <v>213</v>
      </c>
      <c r="I1040" s="23"/>
      <c r="J1040" s="49">
        <v>4.0</v>
      </c>
      <c r="K1040" s="30"/>
      <c r="L1040" s="49" t="s">
        <v>840</v>
      </c>
      <c r="M1040" s="50">
        <v>8.0</v>
      </c>
      <c r="N1040" s="104" t="s">
        <v>4967</v>
      </c>
      <c r="O1040" s="20"/>
      <c r="P1040" s="20"/>
      <c r="Q1040" s="20"/>
      <c r="R1040" s="20"/>
      <c r="S1040" s="20"/>
    </row>
    <row r="1041">
      <c r="A1041" s="76" t="s">
        <v>4968</v>
      </c>
      <c r="B1041" s="97">
        <v>46133.0</v>
      </c>
      <c r="C1041" s="76" t="s">
        <v>4969</v>
      </c>
      <c r="D1041" s="99" t="s">
        <v>4970</v>
      </c>
      <c r="E1041" s="25" t="s">
        <v>128</v>
      </c>
      <c r="F1041" s="25" t="s">
        <v>18</v>
      </c>
      <c r="G1041" s="25" t="s">
        <v>42</v>
      </c>
      <c r="H1041" s="76" t="s">
        <v>58</v>
      </c>
      <c r="I1041" s="76" t="s">
        <v>2028</v>
      </c>
      <c r="J1041" s="76">
        <v>5.0</v>
      </c>
      <c r="K1041" s="46"/>
      <c r="L1041" s="76" t="s">
        <v>840</v>
      </c>
      <c r="M1041" s="44">
        <v>8.0</v>
      </c>
      <c r="N1041" s="86" t="s">
        <v>4971</v>
      </c>
      <c r="O1041" s="20"/>
      <c r="P1041" s="20"/>
      <c r="Q1041" s="20"/>
      <c r="R1041" s="20"/>
      <c r="S1041" s="20"/>
    </row>
    <row r="1042">
      <c r="A1042" s="49" t="s">
        <v>4972</v>
      </c>
      <c r="B1042" s="110">
        <v>46133.0</v>
      </c>
      <c r="C1042" s="49" t="s">
        <v>4973</v>
      </c>
      <c r="D1042" s="102" t="s">
        <v>4974</v>
      </c>
      <c r="E1042" s="25" t="s">
        <v>122</v>
      </c>
      <c r="F1042" s="25" t="s">
        <v>983</v>
      </c>
      <c r="G1042" s="25" t="s">
        <v>42</v>
      </c>
      <c r="H1042" s="49" t="s">
        <v>4861</v>
      </c>
      <c r="I1042" s="23"/>
      <c r="J1042" s="49">
        <v>1.0</v>
      </c>
      <c r="K1042" s="30"/>
      <c r="L1042" s="49" t="s">
        <v>4975</v>
      </c>
      <c r="M1042" s="50">
        <v>8.0</v>
      </c>
      <c r="N1042" s="51"/>
      <c r="O1042" s="20"/>
      <c r="P1042" s="20"/>
      <c r="Q1042" s="20"/>
      <c r="R1042" s="20"/>
      <c r="S1042" s="20"/>
    </row>
    <row r="1043">
      <c r="A1043" s="76" t="s">
        <v>4976</v>
      </c>
      <c r="B1043" s="97">
        <v>46133.0</v>
      </c>
      <c r="C1043" s="76" t="s">
        <v>4977</v>
      </c>
      <c r="D1043" s="99" t="s">
        <v>4978</v>
      </c>
      <c r="E1043" s="25" t="s">
        <v>122</v>
      </c>
      <c r="F1043" s="25" t="s">
        <v>983</v>
      </c>
      <c r="G1043" s="25" t="s">
        <v>42</v>
      </c>
      <c r="H1043" s="10"/>
      <c r="I1043" s="10"/>
      <c r="J1043" s="10"/>
      <c r="K1043" s="46"/>
      <c r="L1043" s="76"/>
      <c r="M1043" s="44">
        <v>8.0</v>
      </c>
      <c r="N1043" s="45"/>
      <c r="O1043" s="20"/>
      <c r="P1043" s="20"/>
      <c r="Q1043" s="20"/>
      <c r="R1043" s="20"/>
      <c r="S1043" s="20"/>
    </row>
    <row r="1044">
      <c r="A1044" s="49" t="s">
        <v>4979</v>
      </c>
      <c r="B1044" s="110">
        <v>46134.0</v>
      </c>
      <c r="C1044" s="49" t="s">
        <v>4980</v>
      </c>
      <c r="D1044" s="102" t="s">
        <v>4981</v>
      </c>
      <c r="E1044" s="25" t="s">
        <v>122</v>
      </c>
      <c r="F1044" s="25" t="s">
        <v>983</v>
      </c>
      <c r="G1044" s="25" t="s">
        <v>42</v>
      </c>
      <c r="H1044" s="49" t="s">
        <v>4982</v>
      </c>
      <c r="I1044" s="49" t="s">
        <v>4983</v>
      </c>
      <c r="J1044" s="49">
        <v>10.0</v>
      </c>
      <c r="K1044" s="30">
        <f>450000*10</f>
        <v>4500000</v>
      </c>
      <c r="L1044" s="49" t="s">
        <v>4984</v>
      </c>
      <c r="M1044" s="50">
        <v>8.0</v>
      </c>
      <c r="N1044" s="104" t="s">
        <v>4985</v>
      </c>
      <c r="O1044" s="20"/>
      <c r="P1044" s="20"/>
      <c r="Q1044" s="20"/>
      <c r="R1044" s="20"/>
      <c r="S1044" s="20"/>
    </row>
    <row r="1045">
      <c r="A1045" s="76" t="s">
        <v>4986</v>
      </c>
      <c r="B1045" s="97">
        <v>46133.0</v>
      </c>
      <c r="C1045" s="76" t="s">
        <v>4987</v>
      </c>
      <c r="D1045" s="99" t="s">
        <v>4988</v>
      </c>
      <c r="E1045" s="25" t="s">
        <v>128</v>
      </c>
      <c r="F1045" s="25" t="s">
        <v>129</v>
      </c>
      <c r="G1045" s="25" t="s">
        <v>49</v>
      </c>
      <c r="H1045" s="76" t="s">
        <v>3175</v>
      </c>
      <c r="I1045" s="76" t="s">
        <v>870</v>
      </c>
      <c r="J1045" s="76">
        <v>60.0</v>
      </c>
      <c r="K1045" s="19">
        <v>8.31E7</v>
      </c>
      <c r="L1045" s="76" t="s">
        <v>4989</v>
      </c>
      <c r="M1045" s="44">
        <v>4.0</v>
      </c>
      <c r="N1045" s="86" t="s">
        <v>4990</v>
      </c>
      <c r="O1045" s="20"/>
      <c r="P1045" s="20"/>
      <c r="Q1045" s="20"/>
      <c r="R1045" s="20"/>
      <c r="S1045" s="20"/>
    </row>
    <row r="1046">
      <c r="A1046" s="49" t="s">
        <v>4991</v>
      </c>
      <c r="B1046" s="110">
        <v>46134.0</v>
      </c>
      <c r="C1046" s="49" t="s">
        <v>4992</v>
      </c>
      <c r="D1046" s="102" t="s">
        <v>4993</v>
      </c>
      <c r="E1046" s="25" t="s">
        <v>128</v>
      </c>
      <c r="F1046" s="25" t="s">
        <v>129</v>
      </c>
      <c r="G1046" s="25" t="s">
        <v>42</v>
      </c>
      <c r="H1046" s="49" t="s">
        <v>823</v>
      </c>
      <c r="I1046" s="49" t="s">
        <v>4994</v>
      </c>
      <c r="J1046" s="49" t="s">
        <v>4995</v>
      </c>
      <c r="K1046" s="30"/>
      <c r="L1046" s="49" t="s">
        <v>4996</v>
      </c>
      <c r="M1046" s="50">
        <v>8.0</v>
      </c>
      <c r="N1046" s="104" t="s">
        <v>4997</v>
      </c>
      <c r="O1046" s="20"/>
      <c r="P1046" s="20"/>
      <c r="Q1046" s="20"/>
      <c r="R1046" s="20"/>
      <c r="S1046" s="20"/>
    </row>
    <row r="1047">
      <c r="A1047" s="76" t="s">
        <v>4998</v>
      </c>
      <c r="B1047" s="97">
        <v>46134.0</v>
      </c>
      <c r="C1047" s="76" t="s">
        <v>4999</v>
      </c>
      <c r="D1047" s="99" t="s">
        <v>5000</v>
      </c>
      <c r="E1047" s="25" t="s">
        <v>122</v>
      </c>
      <c r="F1047" s="25" t="s">
        <v>129</v>
      </c>
      <c r="G1047" s="25" t="s">
        <v>42</v>
      </c>
      <c r="H1047" s="76" t="s">
        <v>3767</v>
      </c>
      <c r="I1047" s="118">
        <v>46185.0</v>
      </c>
      <c r="J1047" s="76">
        <v>7.0</v>
      </c>
      <c r="K1047" s="46"/>
      <c r="L1047" s="76" t="s">
        <v>5001</v>
      </c>
      <c r="M1047" s="44">
        <v>8.0</v>
      </c>
      <c r="N1047" s="86" t="s">
        <v>5002</v>
      </c>
      <c r="O1047" s="20"/>
      <c r="P1047" s="20"/>
      <c r="Q1047" s="20"/>
      <c r="R1047" s="20"/>
      <c r="S1047" s="20"/>
    </row>
    <row r="1048">
      <c r="A1048" s="49" t="s">
        <v>5003</v>
      </c>
      <c r="B1048" s="110">
        <v>46134.0</v>
      </c>
      <c r="C1048" s="49" t="s">
        <v>5004</v>
      </c>
      <c r="D1048" s="102" t="s">
        <v>5005</v>
      </c>
      <c r="E1048" s="25" t="s">
        <v>17</v>
      </c>
      <c r="F1048" s="25" t="s">
        <v>983</v>
      </c>
      <c r="G1048" s="25" t="s">
        <v>19</v>
      </c>
      <c r="H1048" s="49" t="s">
        <v>5006</v>
      </c>
      <c r="I1048" s="49" t="s">
        <v>5007</v>
      </c>
      <c r="J1048" s="49">
        <v>3.0</v>
      </c>
      <c r="K1048" s="30">
        <f>2158000*3</f>
        <v>6474000</v>
      </c>
      <c r="L1048" s="49" t="s">
        <v>5008</v>
      </c>
      <c r="M1048" s="50">
        <v>7.0</v>
      </c>
      <c r="N1048" s="51"/>
      <c r="O1048" s="20"/>
      <c r="P1048" s="20"/>
      <c r="Q1048" s="20"/>
      <c r="R1048" s="20"/>
      <c r="S1048" s="20"/>
    </row>
    <row r="1049">
      <c r="A1049" s="76" t="s">
        <v>5009</v>
      </c>
      <c r="B1049" s="97">
        <v>45767.0</v>
      </c>
      <c r="C1049" s="76" t="s">
        <v>5010</v>
      </c>
      <c r="D1049" s="99" t="s">
        <v>5011</v>
      </c>
      <c r="E1049" s="25" t="s">
        <v>869</v>
      </c>
      <c r="F1049" s="25" t="s">
        <v>129</v>
      </c>
      <c r="G1049" s="25" t="s">
        <v>19</v>
      </c>
      <c r="H1049" s="76" t="s">
        <v>2926</v>
      </c>
      <c r="I1049" s="118">
        <v>46139.0</v>
      </c>
      <c r="J1049" s="76">
        <v>1.0</v>
      </c>
      <c r="K1049" s="19">
        <v>250000.0</v>
      </c>
      <c r="L1049" s="76" t="s">
        <v>2040</v>
      </c>
      <c r="M1049" s="44">
        <v>7.0</v>
      </c>
      <c r="N1049" s="45"/>
      <c r="O1049" s="20"/>
      <c r="P1049" s="20"/>
      <c r="Q1049" s="20"/>
      <c r="R1049" s="20"/>
      <c r="S1049" s="20"/>
    </row>
    <row r="1050">
      <c r="A1050" s="49" t="s">
        <v>5012</v>
      </c>
      <c r="B1050" s="110">
        <v>46134.0</v>
      </c>
      <c r="C1050" s="49" t="s">
        <v>5013</v>
      </c>
      <c r="D1050" s="102" t="s">
        <v>5014</v>
      </c>
      <c r="E1050" s="25" t="s">
        <v>122</v>
      </c>
      <c r="F1050" s="25" t="s">
        <v>983</v>
      </c>
      <c r="G1050" s="25" t="s">
        <v>34</v>
      </c>
      <c r="H1050" s="49" t="s">
        <v>2462</v>
      </c>
      <c r="I1050" s="49" t="s">
        <v>5015</v>
      </c>
      <c r="J1050" s="49">
        <v>40.0</v>
      </c>
      <c r="K1050" s="30">
        <f>2100000*40</f>
        <v>84000000</v>
      </c>
      <c r="L1050" s="49" t="s">
        <v>5016</v>
      </c>
      <c r="M1050" s="50">
        <v>2.0</v>
      </c>
      <c r="N1050" s="104" t="s">
        <v>5017</v>
      </c>
      <c r="O1050" s="20"/>
      <c r="P1050" s="20"/>
      <c r="Q1050" s="20"/>
      <c r="R1050" s="20"/>
      <c r="S1050" s="20"/>
    </row>
    <row r="1051">
      <c r="A1051" s="76" t="s">
        <v>5018</v>
      </c>
      <c r="B1051" s="97">
        <v>46134.0</v>
      </c>
      <c r="C1051" s="76" t="s">
        <v>5019</v>
      </c>
      <c r="D1051" s="99" t="s">
        <v>4894</v>
      </c>
      <c r="E1051" s="25" t="s">
        <v>17</v>
      </c>
      <c r="F1051" s="25" t="s">
        <v>129</v>
      </c>
      <c r="G1051" s="25" t="s">
        <v>42</v>
      </c>
      <c r="H1051" s="76" t="s">
        <v>4054</v>
      </c>
      <c r="I1051" s="118">
        <v>46161.0</v>
      </c>
      <c r="J1051" s="76">
        <v>4.0</v>
      </c>
      <c r="K1051" s="19">
        <v>6376000.0</v>
      </c>
      <c r="L1051" s="76" t="s">
        <v>5020</v>
      </c>
      <c r="M1051" s="44">
        <v>8.0</v>
      </c>
      <c r="N1051" s="86" t="s">
        <v>5021</v>
      </c>
      <c r="O1051" s="20"/>
      <c r="P1051" s="20"/>
      <c r="Q1051" s="20"/>
      <c r="R1051" s="20"/>
      <c r="S1051" s="20"/>
    </row>
    <row r="1052">
      <c r="A1052" s="49" t="s">
        <v>5022</v>
      </c>
      <c r="B1052" s="110">
        <v>46134.0</v>
      </c>
      <c r="C1052" s="49" t="s">
        <v>5023</v>
      </c>
      <c r="D1052" s="102" t="s">
        <v>5024</v>
      </c>
      <c r="E1052" s="25" t="s">
        <v>128</v>
      </c>
      <c r="F1052" s="25" t="s">
        <v>129</v>
      </c>
      <c r="G1052" s="25" t="s">
        <v>29</v>
      </c>
      <c r="H1052" s="49" t="s">
        <v>341</v>
      </c>
      <c r="I1052" s="49" t="s">
        <v>4866</v>
      </c>
      <c r="J1052" s="49">
        <v>3.0</v>
      </c>
      <c r="K1052" s="30"/>
      <c r="L1052" s="68" t="s">
        <v>5025</v>
      </c>
      <c r="M1052" s="50">
        <v>1.0</v>
      </c>
      <c r="N1052" s="104" t="s">
        <v>5026</v>
      </c>
      <c r="O1052" s="20"/>
      <c r="P1052" s="20"/>
      <c r="Q1052" s="20"/>
      <c r="R1052" s="20"/>
      <c r="S1052" s="20"/>
    </row>
    <row r="1053">
      <c r="A1053" s="76" t="s">
        <v>5027</v>
      </c>
      <c r="B1053" s="97">
        <v>46133.0</v>
      </c>
      <c r="C1053" s="76" t="s">
        <v>5028</v>
      </c>
      <c r="D1053" s="99" t="s">
        <v>5029</v>
      </c>
      <c r="E1053" s="25" t="s">
        <v>128</v>
      </c>
      <c r="F1053" s="25" t="s">
        <v>18</v>
      </c>
      <c r="G1053" s="25" t="s">
        <v>42</v>
      </c>
      <c r="H1053" s="76" t="s">
        <v>5030</v>
      </c>
      <c r="I1053" s="10"/>
      <c r="J1053" s="76">
        <v>1.0</v>
      </c>
      <c r="K1053" s="46"/>
      <c r="L1053" s="76" t="s">
        <v>5031</v>
      </c>
      <c r="M1053" s="44">
        <v>8.0</v>
      </c>
      <c r="N1053" s="45"/>
      <c r="O1053" s="20"/>
      <c r="P1053" s="20"/>
      <c r="Q1053" s="20"/>
      <c r="R1053" s="20"/>
      <c r="S1053" s="20"/>
    </row>
    <row r="1054">
      <c r="A1054" s="49" t="s">
        <v>5032</v>
      </c>
      <c r="B1054" s="110">
        <v>46134.0</v>
      </c>
      <c r="C1054" s="49" t="s">
        <v>5033</v>
      </c>
      <c r="D1054" s="102" t="s">
        <v>5034</v>
      </c>
      <c r="E1054" s="25" t="s">
        <v>17</v>
      </c>
      <c r="F1054" s="25" t="s">
        <v>18</v>
      </c>
      <c r="G1054" s="25" t="s">
        <v>19</v>
      </c>
      <c r="H1054" s="49" t="s">
        <v>96</v>
      </c>
      <c r="I1054" s="49" t="s">
        <v>5035</v>
      </c>
      <c r="J1054" s="49">
        <v>13.0</v>
      </c>
      <c r="K1054" s="36">
        <v>1.495E7</v>
      </c>
      <c r="L1054" s="49" t="s">
        <v>5036</v>
      </c>
      <c r="M1054" s="50">
        <v>7.0</v>
      </c>
      <c r="N1054" s="104" t="s">
        <v>5037</v>
      </c>
      <c r="O1054" s="20"/>
      <c r="P1054" s="20"/>
      <c r="Q1054" s="20"/>
      <c r="R1054" s="20"/>
      <c r="S1054" s="20"/>
    </row>
    <row r="1055">
      <c r="A1055" s="76" t="s">
        <v>5038</v>
      </c>
      <c r="B1055" s="97">
        <v>46134.0</v>
      </c>
      <c r="C1055" s="76" t="s">
        <v>5039</v>
      </c>
      <c r="D1055" s="99" t="s">
        <v>5040</v>
      </c>
      <c r="E1055" s="25" t="s">
        <v>128</v>
      </c>
      <c r="F1055" s="25" t="s">
        <v>18</v>
      </c>
      <c r="G1055" s="25" t="s">
        <v>34</v>
      </c>
      <c r="H1055" s="76" t="s">
        <v>5041</v>
      </c>
      <c r="I1055" s="10"/>
      <c r="J1055" s="76">
        <v>10.0</v>
      </c>
      <c r="K1055" s="19">
        <v>2980000.0</v>
      </c>
      <c r="L1055" s="76" t="s">
        <v>5042</v>
      </c>
      <c r="M1055" s="44">
        <v>2.0</v>
      </c>
      <c r="N1055" s="86" t="s">
        <v>5043</v>
      </c>
      <c r="O1055" s="20"/>
      <c r="P1055" s="20"/>
      <c r="Q1055" s="20"/>
      <c r="R1055" s="20"/>
      <c r="S1055" s="20"/>
    </row>
    <row r="1056">
      <c r="A1056" s="49" t="s">
        <v>5044</v>
      </c>
      <c r="B1056" s="110">
        <v>46134.0</v>
      </c>
      <c r="C1056" s="49" t="s">
        <v>5045</v>
      </c>
      <c r="D1056" s="102" t="s">
        <v>5046</v>
      </c>
      <c r="E1056" s="25" t="s">
        <v>128</v>
      </c>
      <c r="F1056" s="25" t="s">
        <v>18</v>
      </c>
      <c r="G1056" s="25" t="s">
        <v>42</v>
      </c>
      <c r="H1056" s="49" t="s">
        <v>2120</v>
      </c>
      <c r="I1056" s="101">
        <v>46144.0</v>
      </c>
      <c r="J1056" s="49">
        <v>2.0</v>
      </c>
      <c r="K1056" s="36">
        <v>590000.0</v>
      </c>
      <c r="L1056" s="49" t="s">
        <v>1614</v>
      </c>
      <c r="M1056" s="50">
        <v>8.0</v>
      </c>
      <c r="N1056" s="104" t="s">
        <v>5047</v>
      </c>
      <c r="O1056" s="20"/>
      <c r="P1056" s="20"/>
      <c r="Q1056" s="20"/>
      <c r="R1056" s="20"/>
      <c r="S1056" s="20"/>
    </row>
    <row r="1057">
      <c r="A1057" s="76" t="s">
        <v>5048</v>
      </c>
      <c r="B1057" s="97">
        <v>46134.0</v>
      </c>
      <c r="C1057" s="76" t="s">
        <v>5049</v>
      </c>
      <c r="D1057" s="99" t="s">
        <v>5050</v>
      </c>
      <c r="E1057" s="25" t="s">
        <v>128</v>
      </c>
      <c r="F1057" s="25" t="s">
        <v>18</v>
      </c>
      <c r="G1057" s="25" t="s">
        <v>34</v>
      </c>
      <c r="H1057" s="10"/>
      <c r="I1057" s="76" t="s">
        <v>5051</v>
      </c>
      <c r="J1057" s="129">
        <v>46272.0</v>
      </c>
      <c r="K1057" s="19">
        <v>1.215E7</v>
      </c>
      <c r="L1057" s="76" t="s">
        <v>5052</v>
      </c>
      <c r="M1057" s="44">
        <v>2.0</v>
      </c>
      <c r="N1057" s="86" t="s">
        <v>5053</v>
      </c>
      <c r="O1057" s="20"/>
      <c r="P1057" s="20"/>
      <c r="Q1057" s="20"/>
      <c r="R1057" s="20"/>
      <c r="S1057" s="20"/>
    </row>
    <row r="1058">
      <c r="A1058" s="49" t="s">
        <v>5054</v>
      </c>
      <c r="B1058" s="97">
        <v>46135.0</v>
      </c>
      <c r="C1058" s="49" t="s">
        <v>3556</v>
      </c>
      <c r="D1058" s="102" t="s">
        <v>5055</v>
      </c>
      <c r="E1058" s="25" t="s">
        <v>17</v>
      </c>
      <c r="F1058" s="25" t="s">
        <v>18</v>
      </c>
      <c r="G1058" s="25" t="s">
        <v>19</v>
      </c>
      <c r="H1058" s="49" t="s">
        <v>1033</v>
      </c>
      <c r="I1058" s="49" t="s">
        <v>5056</v>
      </c>
      <c r="J1058" s="49">
        <v>2.0</v>
      </c>
      <c r="K1058" s="36">
        <v>7240000.0</v>
      </c>
      <c r="L1058" s="49" t="s">
        <v>3571</v>
      </c>
      <c r="M1058" s="50">
        <v>7.0</v>
      </c>
      <c r="N1058" s="104" t="s">
        <v>5057</v>
      </c>
      <c r="O1058" s="20"/>
      <c r="P1058" s="20"/>
      <c r="Q1058" s="20"/>
      <c r="R1058" s="20"/>
      <c r="S1058" s="20"/>
    </row>
    <row r="1059">
      <c r="A1059" s="76" t="s">
        <v>5058</v>
      </c>
      <c r="B1059" s="97">
        <v>46135.0</v>
      </c>
      <c r="C1059" s="76" t="s">
        <v>5059</v>
      </c>
      <c r="D1059" s="99" t="s">
        <v>5060</v>
      </c>
      <c r="E1059" s="25" t="s">
        <v>17</v>
      </c>
      <c r="F1059" s="25" t="s">
        <v>129</v>
      </c>
      <c r="G1059" s="25" t="s">
        <v>42</v>
      </c>
      <c r="H1059" s="76" t="s">
        <v>5061</v>
      </c>
      <c r="I1059" s="76" t="s">
        <v>1840</v>
      </c>
      <c r="J1059" s="76">
        <v>1.0</v>
      </c>
      <c r="K1059" s="46"/>
      <c r="L1059" s="76" t="s">
        <v>5062</v>
      </c>
      <c r="M1059" s="44">
        <v>8.0</v>
      </c>
      <c r="N1059" s="86" t="s">
        <v>5063</v>
      </c>
      <c r="O1059" s="20"/>
      <c r="P1059" s="20"/>
      <c r="Q1059" s="20"/>
      <c r="R1059" s="20"/>
      <c r="S1059" s="20"/>
    </row>
    <row r="1060">
      <c r="A1060" s="49" t="s">
        <v>5064</v>
      </c>
      <c r="B1060" s="110">
        <v>46135.0</v>
      </c>
      <c r="C1060" s="49" t="s">
        <v>5065</v>
      </c>
      <c r="D1060" s="102" t="s">
        <v>5066</v>
      </c>
      <c r="E1060" s="25" t="s">
        <v>128</v>
      </c>
      <c r="F1060" s="25" t="s">
        <v>129</v>
      </c>
      <c r="G1060" s="25" t="s">
        <v>29</v>
      </c>
      <c r="H1060" s="49" t="s">
        <v>823</v>
      </c>
      <c r="I1060" s="23"/>
      <c r="J1060" s="49">
        <v>2.0</v>
      </c>
      <c r="K1060" s="30"/>
      <c r="L1060" s="49" t="s">
        <v>5067</v>
      </c>
      <c r="M1060" s="50">
        <v>1.0</v>
      </c>
      <c r="N1060" s="104" t="s">
        <v>5068</v>
      </c>
      <c r="O1060" s="20"/>
      <c r="P1060" s="20"/>
      <c r="Q1060" s="20"/>
      <c r="R1060" s="20"/>
      <c r="S1060" s="20"/>
    </row>
    <row r="1061">
      <c r="A1061" s="76" t="s">
        <v>5069</v>
      </c>
      <c r="B1061" s="97">
        <v>46104.0</v>
      </c>
      <c r="C1061" s="76" t="s">
        <v>307</v>
      </c>
      <c r="D1061" s="99" t="s">
        <v>5070</v>
      </c>
      <c r="E1061" s="25" t="s">
        <v>128</v>
      </c>
      <c r="F1061" s="25" t="s">
        <v>18</v>
      </c>
      <c r="G1061" s="25" t="s">
        <v>42</v>
      </c>
      <c r="H1061" s="76" t="s">
        <v>260</v>
      </c>
      <c r="I1061" s="76" t="s">
        <v>4429</v>
      </c>
      <c r="J1061" s="76">
        <v>4.0</v>
      </c>
      <c r="K1061" s="19">
        <v>6400000.0</v>
      </c>
      <c r="L1061" s="76" t="s">
        <v>5071</v>
      </c>
      <c r="M1061" s="44">
        <v>8.0</v>
      </c>
      <c r="N1061" s="86" t="s">
        <v>5072</v>
      </c>
      <c r="O1061" s="20"/>
      <c r="P1061" s="20"/>
      <c r="Q1061" s="20"/>
      <c r="R1061" s="20"/>
      <c r="S1061" s="20"/>
    </row>
    <row r="1062">
      <c r="A1062" s="49" t="s">
        <v>5073</v>
      </c>
      <c r="B1062" s="110">
        <v>46136.0</v>
      </c>
      <c r="C1062" s="49" t="s">
        <v>5074</v>
      </c>
      <c r="D1062" s="102" t="s">
        <v>5075</v>
      </c>
      <c r="E1062" s="25" t="s">
        <v>122</v>
      </c>
      <c r="F1062" s="25" t="s">
        <v>983</v>
      </c>
      <c r="G1062" s="25" t="s">
        <v>42</v>
      </c>
      <c r="H1062" s="49" t="s">
        <v>3395</v>
      </c>
      <c r="I1062" s="49" t="s">
        <v>5076</v>
      </c>
      <c r="J1062" s="49">
        <v>1.0</v>
      </c>
      <c r="K1062" s="30">
        <f>295000</f>
        <v>295000</v>
      </c>
      <c r="L1062" s="49" t="s">
        <v>5077</v>
      </c>
      <c r="M1062" s="50">
        <v>8.0</v>
      </c>
      <c r="N1062" s="104" t="s">
        <v>5078</v>
      </c>
      <c r="O1062" s="20"/>
      <c r="P1062" s="20"/>
      <c r="Q1062" s="20"/>
      <c r="R1062" s="20"/>
      <c r="S1062" s="20"/>
    </row>
    <row r="1063">
      <c r="A1063" s="76" t="s">
        <v>5079</v>
      </c>
      <c r="B1063" s="97">
        <v>46135.0</v>
      </c>
      <c r="C1063" s="76" t="s">
        <v>5080</v>
      </c>
      <c r="D1063" s="99" t="s">
        <v>5081</v>
      </c>
      <c r="E1063" s="25" t="s">
        <v>869</v>
      </c>
      <c r="F1063" s="25" t="s">
        <v>129</v>
      </c>
      <c r="G1063" s="25" t="s">
        <v>42</v>
      </c>
      <c r="H1063" s="76" t="s">
        <v>5082</v>
      </c>
      <c r="I1063" s="10"/>
      <c r="J1063" s="76">
        <v>2.0</v>
      </c>
      <c r="K1063" s="46"/>
      <c r="L1063" s="76" t="s">
        <v>5083</v>
      </c>
      <c r="M1063" s="44">
        <v>8.0</v>
      </c>
      <c r="N1063" s="45"/>
      <c r="O1063" s="20"/>
      <c r="P1063" s="20"/>
      <c r="Q1063" s="20"/>
      <c r="R1063" s="20"/>
      <c r="S1063" s="20"/>
    </row>
    <row r="1064">
      <c r="A1064" s="49" t="s">
        <v>5084</v>
      </c>
      <c r="B1064" s="110">
        <v>46135.0</v>
      </c>
      <c r="C1064" s="49" t="s">
        <v>5085</v>
      </c>
      <c r="D1064" s="102" t="s">
        <v>5086</v>
      </c>
      <c r="E1064" s="25" t="s">
        <v>122</v>
      </c>
      <c r="F1064" s="25" t="s">
        <v>18</v>
      </c>
      <c r="G1064" s="25" t="s">
        <v>34</v>
      </c>
      <c r="H1064" s="49" t="s">
        <v>86</v>
      </c>
      <c r="I1064" s="49" t="s">
        <v>5087</v>
      </c>
      <c r="J1064" s="49">
        <v>15.0</v>
      </c>
      <c r="K1064" s="36">
        <v>1.275E7</v>
      </c>
      <c r="L1064" s="49" t="s">
        <v>5088</v>
      </c>
      <c r="M1064" s="50">
        <v>2.0</v>
      </c>
      <c r="N1064" s="104" t="s">
        <v>5089</v>
      </c>
      <c r="O1064" s="20"/>
      <c r="P1064" s="20"/>
      <c r="Q1064" s="20"/>
      <c r="R1064" s="20"/>
      <c r="S1064" s="20"/>
    </row>
    <row r="1065">
      <c r="A1065" s="76" t="s">
        <v>5090</v>
      </c>
      <c r="B1065" s="97">
        <v>46136.0</v>
      </c>
      <c r="C1065" s="76" t="s">
        <v>5091</v>
      </c>
      <c r="D1065" s="99" t="s">
        <v>5092</v>
      </c>
      <c r="E1065" s="25" t="s">
        <v>128</v>
      </c>
      <c r="F1065" s="25" t="s">
        <v>18</v>
      </c>
      <c r="G1065" s="25" t="s">
        <v>34</v>
      </c>
      <c r="H1065" s="76" t="s">
        <v>2120</v>
      </c>
      <c r="I1065" s="118">
        <v>46144.0</v>
      </c>
      <c r="J1065" s="76">
        <v>10.0</v>
      </c>
      <c r="K1065" s="19">
        <v>2950000.0</v>
      </c>
      <c r="L1065" s="76" t="s">
        <v>5093</v>
      </c>
      <c r="M1065" s="44">
        <v>2.0</v>
      </c>
      <c r="N1065" s="86" t="s">
        <v>5094</v>
      </c>
      <c r="O1065" s="20"/>
      <c r="P1065" s="20"/>
      <c r="Q1065" s="20"/>
      <c r="R1065" s="20"/>
      <c r="S1065" s="20"/>
    </row>
    <row r="1066">
      <c r="A1066" s="49" t="s">
        <v>5095</v>
      </c>
      <c r="B1066" s="110">
        <v>46136.0</v>
      </c>
      <c r="C1066" s="49" t="s">
        <v>5096</v>
      </c>
      <c r="D1066" s="102" t="s">
        <v>5097</v>
      </c>
      <c r="E1066" s="25" t="s">
        <v>128</v>
      </c>
      <c r="F1066" s="25" t="s">
        <v>18</v>
      </c>
      <c r="G1066" s="25" t="s">
        <v>34</v>
      </c>
      <c r="H1066" s="49" t="s">
        <v>5098</v>
      </c>
      <c r="I1066" s="101">
        <v>46157.0</v>
      </c>
      <c r="J1066" s="49">
        <v>4.0</v>
      </c>
      <c r="K1066" s="36">
        <v>1540000.0</v>
      </c>
      <c r="L1066" s="49" t="s">
        <v>36</v>
      </c>
      <c r="M1066" s="50">
        <v>2.0</v>
      </c>
      <c r="N1066" s="104" t="s">
        <v>5099</v>
      </c>
      <c r="O1066" s="20"/>
      <c r="P1066" s="20"/>
      <c r="Q1066" s="20"/>
      <c r="R1066" s="20"/>
      <c r="S1066" s="20"/>
    </row>
    <row r="1067">
      <c r="A1067" s="76" t="s">
        <v>5100</v>
      </c>
      <c r="B1067" s="110">
        <v>46136.0</v>
      </c>
      <c r="C1067" s="76" t="s">
        <v>5101</v>
      </c>
      <c r="D1067" s="99" t="s">
        <v>5102</v>
      </c>
      <c r="E1067" s="25" t="s">
        <v>17</v>
      </c>
      <c r="F1067" s="25" t="s">
        <v>983</v>
      </c>
      <c r="G1067" s="25" t="s">
        <v>42</v>
      </c>
      <c r="H1067" s="76" t="s">
        <v>3937</v>
      </c>
      <c r="I1067" s="76" t="s">
        <v>5103</v>
      </c>
      <c r="J1067" s="76">
        <v>4.0</v>
      </c>
      <c r="K1067" s="19">
        <f>1322000*4</f>
        <v>5288000</v>
      </c>
      <c r="L1067" s="76" t="s">
        <v>5104</v>
      </c>
      <c r="M1067" s="44">
        <v>8.0</v>
      </c>
      <c r="N1067" s="86" t="s">
        <v>5105</v>
      </c>
      <c r="O1067" s="20"/>
      <c r="P1067" s="20"/>
      <c r="Q1067" s="20"/>
      <c r="R1067" s="20"/>
      <c r="S1067" s="20"/>
    </row>
    <row r="1068">
      <c r="A1068" s="49" t="s">
        <v>5106</v>
      </c>
      <c r="B1068" s="110">
        <v>45770.0</v>
      </c>
      <c r="C1068" s="49" t="s">
        <v>5107</v>
      </c>
      <c r="D1068" s="102" t="s">
        <v>5108</v>
      </c>
      <c r="E1068" s="25" t="s">
        <v>128</v>
      </c>
      <c r="F1068" s="25" t="s">
        <v>129</v>
      </c>
      <c r="G1068" s="25" t="s">
        <v>42</v>
      </c>
      <c r="H1068" s="49" t="s">
        <v>5109</v>
      </c>
      <c r="I1068" s="101">
        <v>46158.0</v>
      </c>
      <c r="J1068" s="23"/>
      <c r="K1068" s="30"/>
      <c r="L1068" s="49" t="s">
        <v>3047</v>
      </c>
      <c r="M1068" s="50">
        <v>8.0</v>
      </c>
      <c r="N1068" s="104" t="s">
        <v>5110</v>
      </c>
      <c r="O1068" s="20"/>
      <c r="P1068" s="20"/>
      <c r="Q1068" s="20"/>
      <c r="R1068" s="20"/>
      <c r="S1068" s="20"/>
    </row>
    <row r="1069">
      <c r="A1069" s="76" t="s">
        <v>5111</v>
      </c>
      <c r="B1069" s="97">
        <v>46136.0</v>
      </c>
      <c r="C1069" s="76" t="s">
        <v>5112</v>
      </c>
      <c r="D1069" s="99" t="s">
        <v>5113</v>
      </c>
      <c r="E1069" s="25" t="s">
        <v>128</v>
      </c>
      <c r="F1069" s="25" t="s">
        <v>129</v>
      </c>
      <c r="G1069" s="25" t="s">
        <v>42</v>
      </c>
      <c r="H1069" s="76" t="s">
        <v>5114</v>
      </c>
      <c r="I1069" s="118">
        <v>46158.0</v>
      </c>
      <c r="J1069" s="76">
        <v>4.0</v>
      </c>
      <c r="K1069" s="46">
        <f>SUM(547000*J1069)</f>
        <v>2188000</v>
      </c>
      <c r="L1069" s="76" t="s">
        <v>5115</v>
      </c>
      <c r="M1069" s="44">
        <v>8.0</v>
      </c>
      <c r="N1069" s="86" t="s">
        <v>5116</v>
      </c>
      <c r="O1069" s="20"/>
      <c r="P1069" s="20"/>
      <c r="Q1069" s="20"/>
      <c r="R1069" s="20"/>
      <c r="S1069" s="20"/>
    </row>
    <row r="1070">
      <c r="A1070" s="49" t="s">
        <v>5117</v>
      </c>
      <c r="B1070" s="110">
        <v>46136.0</v>
      </c>
      <c r="C1070" s="49" t="s">
        <v>5118</v>
      </c>
      <c r="D1070" s="102" t="s">
        <v>5119</v>
      </c>
      <c r="E1070" s="25" t="s">
        <v>17</v>
      </c>
      <c r="F1070" s="25" t="s">
        <v>18</v>
      </c>
      <c r="G1070" s="25" t="s">
        <v>42</v>
      </c>
      <c r="H1070" s="23"/>
      <c r="I1070" s="23"/>
      <c r="J1070" s="23"/>
      <c r="K1070" s="30"/>
      <c r="L1070" s="49" t="s">
        <v>1583</v>
      </c>
      <c r="M1070" s="50">
        <v>8.0</v>
      </c>
      <c r="N1070" s="104" t="s">
        <v>5120</v>
      </c>
      <c r="O1070" s="20"/>
      <c r="P1070" s="20"/>
      <c r="Q1070" s="20"/>
      <c r="R1070" s="20"/>
      <c r="S1070" s="20"/>
    </row>
    <row r="1071">
      <c r="A1071" s="76" t="s">
        <v>5121</v>
      </c>
      <c r="B1071" s="110">
        <v>46136.0</v>
      </c>
      <c r="C1071" s="76" t="s">
        <v>5122</v>
      </c>
      <c r="D1071" s="99" t="s">
        <v>5123</v>
      </c>
      <c r="E1071" s="25" t="s">
        <v>122</v>
      </c>
      <c r="F1071" s="25" t="s">
        <v>983</v>
      </c>
      <c r="G1071" s="25" t="s">
        <v>42</v>
      </c>
      <c r="H1071" s="76" t="s">
        <v>3210</v>
      </c>
      <c r="I1071" s="118">
        <v>46137.0</v>
      </c>
      <c r="J1071" s="76">
        <v>2.0</v>
      </c>
      <c r="K1071" s="19">
        <v>6000000.0</v>
      </c>
      <c r="L1071" s="76" t="s">
        <v>5124</v>
      </c>
      <c r="M1071" s="44">
        <v>8.0</v>
      </c>
      <c r="N1071" s="45"/>
      <c r="O1071" s="20"/>
      <c r="P1071" s="20"/>
      <c r="Q1071" s="20"/>
      <c r="R1071" s="20"/>
      <c r="S1071" s="20"/>
    </row>
    <row r="1072">
      <c r="A1072" s="49" t="s">
        <v>5125</v>
      </c>
      <c r="B1072" s="110">
        <v>46136.0</v>
      </c>
      <c r="C1072" s="49" t="s">
        <v>5126</v>
      </c>
      <c r="D1072" s="102" t="s">
        <v>5127</v>
      </c>
      <c r="E1072" s="25" t="s">
        <v>17</v>
      </c>
      <c r="F1072" s="25" t="s">
        <v>18</v>
      </c>
      <c r="G1072" s="25" t="s">
        <v>19</v>
      </c>
      <c r="H1072" s="49" t="s">
        <v>5128</v>
      </c>
      <c r="I1072" s="101">
        <v>46147.0</v>
      </c>
      <c r="J1072" s="49">
        <v>2.0</v>
      </c>
      <c r="K1072" s="36">
        <v>1700000.0</v>
      </c>
      <c r="L1072" s="49" t="s">
        <v>3571</v>
      </c>
      <c r="M1072" s="50">
        <v>7.0</v>
      </c>
      <c r="N1072" s="51"/>
      <c r="O1072" s="20"/>
      <c r="P1072" s="20"/>
      <c r="Q1072" s="20"/>
      <c r="R1072" s="20"/>
      <c r="S1072" s="20"/>
    </row>
    <row r="1073">
      <c r="A1073" s="76" t="s">
        <v>5129</v>
      </c>
      <c r="B1073" s="97">
        <v>46137.0</v>
      </c>
      <c r="C1073" s="76" t="s">
        <v>1095</v>
      </c>
      <c r="D1073" s="99" t="s">
        <v>5130</v>
      </c>
      <c r="E1073" s="25" t="s">
        <v>122</v>
      </c>
      <c r="F1073" s="25" t="s">
        <v>983</v>
      </c>
      <c r="G1073" s="25" t="s">
        <v>19</v>
      </c>
      <c r="H1073" s="76" t="s">
        <v>2327</v>
      </c>
      <c r="I1073" s="118">
        <v>46157.0</v>
      </c>
      <c r="J1073" s="76">
        <v>14.0</v>
      </c>
      <c r="K1073" s="46">
        <f>330000*14</f>
        <v>4620000</v>
      </c>
      <c r="L1073" s="76" t="s">
        <v>1803</v>
      </c>
      <c r="M1073" s="44">
        <v>7.0</v>
      </c>
      <c r="N1073" s="86" t="s">
        <v>5131</v>
      </c>
      <c r="O1073" s="20"/>
      <c r="P1073" s="20"/>
      <c r="Q1073" s="20"/>
      <c r="R1073" s="20"/>
      <c r="S1073" s="20"/>
    </row>
    <row r="1074">
      <c r="A1074" s="49" t="s">
        <v>5132</v>
      </c>
      <c r="B1074" s="110">
        <v>46137.0</v>
      </c>
      <c r="C1074" s="49" t="s">
        <v>5133</v>
      </c>
      <c r="D1074" s="102" t="s">
        <v>5134</v>
      </c>
      <c r="E1074" s="25" t="s">
        <v>122</v>
      </c>
      <c r="F1074" s="25" t="s">
        <v>129</v>
      </c>
      <c r="G1074" s="25" t="s">
        <v>19</v>
      </c>
      <c r="H1074" s="49" t="s">
        <v>195</v>
      </c>
      <c r="I1074" s="101">
        <v>46151.0</v>
      </c>
      <c r="J1074" s="49">
        <v>2.0</v>
      </c>
      <c r="K1074" s="36">
        <v>590000.0</v>
      </c>
      <c r="L1074" s="49" t="s">
        <v>1426</v>
      </c>
      <c r="M1074" s="50">
        <v>7.0</v>
      </c>
      <c r="N1074" s="51"/>
      <c r="O1074" s="20"/>
      <c r="P1074" s="20"/>
      <c r="Q1074" s="20"/>
      <c r="R1074" s="20"/>
      <c r="S1074" s="20"/>
    </row>
    <row r="1075">
      <c r="A1075" s="76" t="s">
        <v>5135</v>
      </c>
      <c r="B1075" s="97">
        <v>46137.0</v>
      </c>
      <c r="C1075" s="76" t="s">
        <v>5136</v>
      </c>
      <c r="D1075" s="99" t="s">
        <v>5137</v>
      </c>
      <c r="E1075" s="25" t="s">
        <v>122</v>
      </c>
      <c r="F1075" s="25" t="s">
        <v>129</v>
      </c>
      <c r="G1075" s="25" t="s">
        <v>19</v>
      </c>
      <c r="H1075" s="76" t="s">
        <v>5138</v>
      </c>
      <c r="I1075" s="118">
        <v>46229.0</v>
      </c>
      <c r="J1075" s="76">
        <v>1.0</v>
      </c>
      <c r="K1075" s="19">
        <v>600000.0</v>
      </c>
      <c r="L1075" s="76" t="s">
        <v>5139</v>
      </c>
      <c r="M1075" s="44">
        <v>7.0</v>
      </c>
      <c r="N1075" s="86" t="s">
        <v>5140</v>
      </c>
      <c r="O1075" s="20"/>
      <c r="P1075" s="20"/>
      <c r="Q1075" s="20"/>
      <c r="R1075" s="20"/>
      <c r="S1075" s="20"/>
    </row>
    <row r="1076">
      <c r="A1076" s="49" t="s">
        <v>5141</v>
      </c>
      <c r="B1076" s="110">
        <v>46136.0</v>
      </c>
      <c r="C1076" s="49" t="s">
        <v>5142</v>
      </c>
      <c r="D1076" s="102" t="s">
        <v>5143</v>
      </c>
      <c r="E1076" s="25" t="s">
        <v>17</v>
      </c>
      <c r="F1076" s="25" t="s">
        <v>18</v>
      </c>
      <c r="G1076" s="25" t="s">
        <v>19</v>
      </c>
      <c r="H1076" s="49" t="s">
        <v>96</v>
      </c>
      <c r="I1076" s="49" t="s">
        <v>5144</v>
      </c>
      <c r="J1076" s="49">
        <v>2.0</v>
      </c>
      <c r="K1076" s="36">
        <v>6000000.0</v>
      </c>
      <c r="L1076" s="49" t="s">
        <v>3571</v>
      </c>
      <c r="M1076" s="50">
        <v>7.0</v>
      </c>
      <c r="N1076" s="51"/>
      <c r="O1076" s="20"/>
      <c r="P1076" s="20"/>
      <c r="Q1076" s="20"/>
      <c r="R1076" s="20"/>
      <c r="S1076" s="20"/>
    </row>
    <row r="1077">
      <c r="A1077" s="76" t="s">
        <v>5145</v>
      </c>
      <c r="B1077" s="97">
        <v>46137.0</v>
      </c>
      <c r="C1077" s="76" t="s">
        <v>5146</v>
      </c>
      <c r="D1077" s="99" t="s">
        <v>5147</v>
      </c>
      <c r="E1077" s="25" t="s">
        <v>128</v>
      </c>
      <c r="F1077" s="25" t="s">
        <v>18</v>
      </c>
      <c r="G1077" s="25" t="s">
        <v>34</v>
      </c>
      <c r="H1077" s="76" t="s">
        <v>2120</v>
      </c>
      <c r="I1077" s="118">
        <v>46158.0</v>
      </c>
      <c r="J1077" s="76">
        <v>5.0</v>
      </c>
      <c r="K1077" s="19">
        <v>1475000.0</v>
      </c>
      <c r="L1077" s="10"/>
      <c r="M1077" s="44">
        <v>2.0</v>
      </c>
      <c r="N1077" s="86" t="s">
        <v>5148</v>
      </c>
      <c r="O1077" s="20"/>
      <c r="P1077" s="20"/>
      <c r="Q1077" s="20"/>
      <c r="R1077" s="20"/>
      <c r="S1077" s="20"/>
    </row>
    <row r="1078">
      <c r="A1078" s="49" t="s">
        <v>5149</v>
      </c>
      <c r="B1078" s="110">
        <v>46137.0</v>
      </c>
      <c r="C1078" s="49" t="s">
        <v>5150</v>
      </c>
      <c r="D1078" s="102" t="s">
        <v>5151</v>
      </c>
      <c r="E1078" s="25" t="s">
        <v>17</v>
      </c>
      <c r="F1078" s="25" t="s">
        <v>18</v>
      </c>
      <c r="G1078" s="25" t="s">
        <v>34</v>
      </c>
      <c r="H1078" s="49" t="s">
        <v>1275</v>
      </c>
      <c r="I1078" s="101">
        <v>46170.0</v>
      </c>
      <c r="J1078" s="49">
        <v>3.0</v>
      </c>
      <c r="K1078" s="36">
        <v>5985000.0</v>
      </c>
      <c r="L1078" s="49" t="s">
        <v>5152</v>
      </c>
      <c r="M1078" s="50">
        <v>2.0</v>
      </c>
      <c r="N1078" s="104" t="s">
        <v>5153</v>
      </c>
      <c r="O1078" s="20"/>
      <c r="P1078" s="20"/>
      <c r="Q1078" s="20"/>
      <c r="R1078" s="20"/>
      <c r="S1078" s="20"/>
    </row>
    <row r="1079">
      <c r="A1079" s="76" t="s">
        <v>5154</v>
      </c>
      <c r="B1079" s="97">
        <v>46137.0</v>
      </c>
      <c r="C1079" s="76" t="s">
        <v>5155</v>
      </c>
      <c r="D1079" s="99" t="s">
        <v>5156</v>
      </c>
      <c r="E1079" s="25" t="s">
        <v>17</v>
      </c>
      <c r="F1079" s="25" t="s">
        <v>18</v>
      </c>
      <c r="G1079" s="25" t="s">
        <v>34</v>
      </c>
      <c r="H1079" s="76" t="s">
        <v>370</v>
      </c>
      <c r="I1079" s="76" t="s">
        <v>5157</v>
      </c>
      <c r="J1079" s="76">
        <v>2.0</v>
      </c>
      <c r="K1079" s="19">
        <v>4500000.0</v>
      </c>
      <c r="L1079" s="10"/>
      <c r="M1079" s="44">
        <v>2.0</v>
      </c>
      <c r="N1079" s="86" t="s">
        <v>5158</v>
      </c>
      <c r="O1079" s="20"/>
      <c r="P1079" s="20"/>
      <c r="Q1079" s="20"/>
      <c r="R1079" s="20"/>
      <c r="S1079" s="20"/>
    </row>
    <row r="1080">
      <c r="A1080" s="49" t="s">
        <v>5159</v>
      </c>
      <c r="B1080" s="110">
        <v>46137.0</v>
      </c>
      <c r="C1080" s="49" t="s">
        <v>5160</v>
      </c>
      <c r="D1080" s="102" t="s">
        <v>5161</v>
      </c>
      <c r="E1080" s="25" t="s">
        <v>128</v>
      </c>
      <c r="F1080" s="25" t="s">
        <v>18</v>
      </c>
      <c r="G1080" s="25" t="s">
        <v>42</v>
      </c>
      <c r="H1080" s="49" t="s">
        <v>2120</v>
      </c>
      <c r="I1080" s="101">
        <v>46144.0</v>
      </c>
      <c r="J1080" s="49">
        <v>6.0</v>
      </c>
      <c r="K1080" s="36">
        <v>1770000.0</v>
      </c>
      <c r="L1080" s="49" t="s">
        <v>1583</v>
      </c>
      <c r="M1080" s="50">
        <v>8.0</v>
      </c>
      <c r="N1080" s="104" t="s">
        <v>5162</v>
      </c>
      <c r="O1080" s="20"/>
      <c r="P1080" s="20"/>
      <c r="Q1080" s="20"/>
      <c r="R1080" s="20"/>
      <c r="S1080" s="20"/>
    </row>
    <row r="1081">
      <c r="A1081" s="76" t="s">
        <v>5163</v>
      </c>
      <c r="B1081" s="97">
        <v>46137.0</v>
      </c>
      <c r="C1081" s="76" t="s">
        <v>5164</v>
      </c>
      <c r="D1081" s="99" t="s">
        <v>5165</v>
      </c>
      <c r="E1081" s="25" t="s">
        <v>128</v>
      </c>
      <c r="F1081" s="25" t="s">
        <v>18</v>
      </c>
      <c r="G1081" s="25" t="s">
        <v>42</v>
      </c>
      <c r="H1081" s="76" t="s">
        <v>2120</v>
      </c>
      <c r="I1081" s="118">
        <v>46143.0</v>
      </c>
      <c r="J1081" s="76">
        <v>2.0</v>
      </c>
      <c r="K1081" s="19">
        <v>590000.0</v>
      </c>
      <c r="L1081" s="76" t="s">
        <v>5166</v>
      </c>
      <c r="M1081" s="44">
        <v>8.0</v>
      </c>
      <c r="N1081" s="86" t="s">
        <v>5167</v>
      </c>
      <c r="O1081" s="20"/>
      <c r="P1081" s="20"/>
      <c r="Q1081" s="20"/>
      <c r="R1081" s="20"/>
      <c r="S1081" s="20"/>
    </row>
    <row r="1082">
      <c r="A1082" s="49" t="s">
        <v>5168</v>
      </c>
      <c r="B1082" s="110">
        <v>46137.0</v>
      </c>
      <c r="C1082" s="49" t="s">
        <v>5169</v>
      </c>
      <c r="D1082" s="102" t="s">
        <v>5170</v>
      </c>
      <c r="E1082" s="25" t="s">
        <v>17</v>
      </c>
      <c r="F1082" s="25" t="s">
        <v>18</v>
      </c>
      <c r="G1082" s="25" t="s">
        <v>42</v>
      </c>
      <c r="H1082" s="49" t="s">
        <v>199</v>
      </c>
      <c r="I1082" s="23"/>
      <c r="J1082" s="23"/>
      <c r="K1082" s="30"/>
      <c r="L1082" s="49" t="s">
        <v>158</v>
      </c>
      <c r="M1082" s="50">
        <v>8.0</v>
      </c>
      <c r="N1082" s="104" t="s">
        <v>5171</v>
      </c>
      <c r="O1082" s="20"/>
      <c r="P1082" s="20"/>
      <c r="Q1082" s="20"/>
      <c r="R1082" s="20"/>
      <c r="S1082" s="20"/>
    </row>
    <row r="1083">
      <c r="A1083" s="76" t="s">
        <v>5172</v>
      </c>
      <c r="B1083" s="97">
        <v>46137.0</v>
      </c>
      <c r="C1083" s="76" t="s">
        <v>4456</v>
      </c>
      <c r="D1083" s="99" t="s">
        <v>5173</v>
      </c>
      <c r="E1083" s="25" t="s">
        <v>17</v>
      </c>
      <c r="F1083" s="25" t="s">
        <v>18</v>
      </c>
      <c r="G1083" s="25" t="s">
        <v>42</v>
      </c>
      <c r="H1083" s="10"/>
      <c r="I1083" s="10"/>
      <c r="J1083" s="10"/>
      <c r="K1083" s="46"/>
      <c r="L1083" s="76" t="s">
        <v>5174</v>
      </c>
      <c r="M1083" s="44">
        <v>8.0</v>
      </c>
      <c r="N1083" s="86" t="s">
        <v>5175</v>
      </c>
      <c r="O1083" s="20"/>
      <c r="P1083" s="20"/>
      <c r="Q1083" s="20"/>
      <c r="R1083" s="20"/>
      <c r="S1083" s="20"/>
    </row>
    <row r="1084">
      <c r="A1084" s="49" t="s">
        <v>5176</v>
      </c>
      <c r="B1084" s="110">
        <v>46138.0</v>
      </c>
      <c r="C1084" s="49" t="s">
        <v>5177</v>
      </c>
      <c r="D1084" s="102" t="s">
        <v>5178</v>
      </c>
      <c r="E1084" s="25" t="s">
        <v>128</v>
      </c>
      <c r="F1084" s="25" t="s">
        <v>18</v>
      </c>
      <c r="G1084" s="25" t="s">
        <v>42</v>
      </c>
      <c r="H1084" s="49" t="s">
        <v>1174</v>
      </c>
      <c r="I1084" s="49" t="s">
        <v>5179</v>
      </c>
      <c r="J1084" s="49">
        <v>1.0</v>
      </c>
      <c r="K1084" s="36">
        <v>450000.0</v>
      </c>
      <c r="L1084" s="49" t="s">
        <v>5180</v>
      </c>
      <c r="M1084" s="50">
        <v>8.0</v>
      </c>
      <c r="N1084" s="104" t="s">
        <v>5181</v>
      </c>
      <c r="O1084" s="20"/>
      <c r="P1084" s="20"/>
      <c r="Q1084" s="20"/>
      <c r="R1084" s="20"/>
      <c r="S1084" s="20"/>
    </row>
    <row r="1085">
      <c r="A1085" s="76" t="s">
        <v>5182</v>
      </c>
      <c r="B1085" s="97">
        <v>46138.0</v>
      </c>
      <c r="C1085" s="76" t="s">
        <v>5183</v>
      </c>
      <c r="D1085" s="99" t="s">
        <v>5184</v>
      </c>
      <c r="E1085" s="25" t="s">
        <v>122</v>
      </c>
      <c r="F1085" s="25" t="s">
        <v>18</v>
      </c>
      <c r="G1085" s="25" t="s">
        <v>34</v>
      </c>
      <c r="H1085" s="76" t="s">
        <v>5185</v>
      </c>
      <c r="I1085" s="76" t="s">
        <v>2290</v>
      </c>
      <c r="J1085" s="76">
        <v>5.0</v>
      </c>
      <c r="K1085" s="19">
        <v>4430000.0</v>
      </c>
      <c r="L1085" s="76" t="s">
        <v>3094</v>
      </c>
      <c r="M1085" s="44">
        <v>2.0</v>
      </c>
      <c r="N1085" s="86" t="s">
        <v>5186</v>
      </c>
      <c r="O1085" s="20"/>
      <c r="P1085" s="20"/>
      <c r="Q1085" s="20"/>
      <c r="R1085" s="20"/>
      <c r="S1085" s="20"/>
    </row>
    <row r="1086">
      <c r="A1086" s="49" t="s">
        <v>5187</v>
      </c>
      <c r="B1086" s="110">
        <v>46138.0</v>
      </c>
      <c r="C1086" s="49" t="s">
        <v>5188</v>
      </c>
      <c r="D1086" s="102" t="s">
        <v>5189</v>
      </c>
      <c r="E1086" s="25" t="s">
        <v>17</v>
      </c>
      <c r="F1086" s="25" t="s">
        <v>18</v>
      </c>
      <c r="G1086" s="25" t="s">
        <v>42</v>
      </c>
      <c r="H1086" s="49" t="s">
        <v>260</v>
      </c>
      <c r="I1086" s="49" t="s">
        <v>5190</v>
      </c>
      <c r="J1086" s="49">
        <v>1.0</v>
      </c>
      <c r="K1086" s="30"/>
      <c r="L1086" s="49" t="s">
        <v>5191</v>
      </c>
      <c r="M1086" s="50">
        <v>8.0</v>
      </c>
      <c r="N1086" s="104" t="s">
        <v>5192</v>
      </c>
      <c r="O1086" s="20"/>
      <c r="P1086" s="20"/>
      <c r="Q1086" s="20"/>
      <c r="R1086" s="20"/>
      <c r="S1086" s="20"/>
    </row>
    <row r="1087">
      <c r="A1087" s="76" t="s">
        <v>5193</v>
      </c>
      <c r="B1087" s="110">
        <v>46138.0</v>
      </c>
      <c r="C1087" s="76" t="s">
        <v>5194</v>
      </c>
      <c r="D1087" s="99" t="s">
        <v>5195</v>
      </c>
      <c r="E1087" s="25" t="s">
        <v>128</v>
      </c>
      <c r="F1087" s="25" t="s">
        <v>18</v>
      </c>
      <c r="G1087" s="25" t="s">
        <v>42</v>
      </c>
      <c r="H1087" s="76" t="s">
        <v>260</v>
      </c>
      <c r="I1087" s="118"/>
      <c r="J1087" s="76"/>
      <c r="K1087" s="46"/>
      <c r="L1087" s="76" t="s">
        <v>5196</v>
      </c>
      <c r="M1087" s="44">
        <v>8.0</v>
      </c>
      <c r="N1087" s="86" t="s">
        <v>5197</v>
      </c>
      <c r="O1087" s="20"/>
      <c r="P1087" s="20"/>
      <c r="Q1087" s="20"/>
      <c r="R1087" s="20"/>
      <c r="S1087" s="20"/>
    </row>
    <row r="1088">
      <c r="A1088" s="76" t="s">
        <v>5198</v>
      </c>
      <c r="B1088" s="110">
        <v>46138.0</v>
      </c>
      <c r="C1088" s="76" t="s">
        <v>5199</v>
      </c>
      <c r="D1088" s="99" t="s">
        <v>5200</v>
      </c>
      <c r="E1088" s="25" t="s">
        <v>17</v>
      </c>
      <c r="F1088" s="25" t="s">
        <v>18</v>
      </c>
      <c r="G1088" s="25" t="s">
        <v>19</v>
      </c>
      <c r="H1088" s="76" t="s">
        <v>5201</v>
      </c>
      <c r="I1088" s="118">
        <v>46156.0</v>
      </c>
      <c r="J1088" s="76">
        <v>2.0</v>
      </c>
      <c r="K1088" s="36">
        <v>1754000.0</v>
      </c>
      <c r="L1088" s="76" t="s">
        <v>3571</v>
      </c>
      <c r="M1088" s="50">
        <v>7.0</v>
      </c>
      <c r="N1088" s="51"/>
      <c r="O1088" s="20"/>
      <c r="P1088" s="20"/>
      <c r="Q1088" s="20"/>
      <c r="R1088" s="20"/>
      <c r="S1088" s="20"/>
    </row>
    <row r="1089">
      <c r="A1089" s="76" t="s">
        <v>5202</v>
      </c>
      <c r="B1089" s="110">
        <v>46137.0</v>
      </c>
      <c r="C1089" s="76" t="s">
        <v>5203</v>
      </c>
      <c r="D1089" s="99" t="s">
        <v>5204</v>
      </c>
      <c r="E1089" s="25" t="s">
        <v>17</v>
      </c>
      <c r="F1089" s="25" t="s">
        <v>129</v>
      </c>
      <c r="G1089" s="25" t="s">
        <v>42</v>
      </c>
      <c r="H1089" s="76" t="s">
        <v>2462</v>
      </c>
      <c r="I1089" s="118">
        <v>46152.0</v>
      </c>
      <c r="J1089" s="76">
        <v>2.0</v>
      </c>
      <c r="K1089" s="46"/>
      <c r="L1089" s="76" t="s">
        <v>5205</v>
      </c>
      <c r="M1089" s="44">
        <v>8.0</v>
      </c>
      <c r="N1089" s="86" t="s">
        <v>5206</v>
      </c>
      <c r="O1089" s="20"/>
      <c r="P1089" s="20"/>
      <c r="Q1089" s="20"/>
      <c r="R1089" s="20"/>
      <c r="S1089" s="20"/>
    </row>
    <row r="1090">
      <c r="A1090" s="49" t="s">
        <v>5207</v>
      </c>
      <c r="B1090" s="110">
        <v>46138.0</v>
      </c>
      <c r="C1090" s="49" t="s">
        <v>5208</v>
      </c>
      <c r="D1090" s="102" t="s">
        <v>5209</v>
      </c>
      <c r="E1090" s="25" t="s">
        <v>128</v>
      </c>
      <c r="F1090" s="25" t="s">
        <v>129</v>
      </c>
      <c r="G1090" s="25" t="s">
        <v>19</v>
      </c>
      <c r="H1090" s="49" t="s">
        <v>5210</v>
      </c>
      <c r="I1090" s="101">
        <v>46179.0</v>
      </c>
      <c r="J1090" s="49">
        <v>8.0</v>
      </c>
      <c r="K1090" s="36">
        <v>8800000.0</v>
      </c>
      <c r="L1090" s="49" t="s">
        <v>2877</v>
      </c>
      <c r="M1090" s="50">
        <v>7.0</v>
      </c>
      <c r="N1090" s="104" t="s">
        <v>5211</v>
      </c>
      <c r="O1090" s="20"/>
      <c r="P1090" s="20"/>
      <c r="Q1090" s="20"/>
      <c r="R1090" s="20"/>
      <c r="S1090" s="20"/>
    </row>
    <row r="1091">
      <c r="A1091" s="76" t="s">
        <v>5212</v>
      </c>
      <c r="B1091" s="97">
        <v>46138.0</v>
      </c>
      <c r="C1091" s="76" t="s">
        <v>5213</v>
      </c>
      <c r="D1091" s="99" t="s">
        <v>5214</v>
      </c>
      <c r="E1091" s="25" t="s">
        <v>128</v>
      </c>
      <c r="F1091" s="25" t="s">
        <v>129</v>
      </c>
      <c r="G1091" s="25" t="s">
        <v>42</v>
      </c>
      <c r="H1091" s="76" t="s">
        <v>5215</v>
      </c>
      <c r="I1091" s="118">
        <v>46144.0</v>
      </c>
      <c r="J1091" s="76">
        <v>1.0</v>
      </c>
      <c r="K1091" s="46"/>
      <c r="L1091" s="76" t="s">
        <v>5216</v>
      </c>
      <c r="M1091" s="44">
        <v>8.0</v>
      </c>
      <c r="N1091" s="45"/>
      <c r="O1091" s="20"/>
      <c r="P1091" s="20"/>
      <c r="Q1091" s="20"/>
      <c r="R1091" s="20"/>
      <c r="S1091" s="20"/>
    </row>
    <row r="1092">
      <c r="A1092" s="49" t="s">
        <v>5217</v>
      </c>
      <c r="B1092" s="110">
        <v>46138.0</v>
      </c>
      <c r="C1092" s="49" t="s">
        <v>5218</v>
      </c>
      <c r="D1092" s="102" t="s">
        <v>5219</v>
      </c>
      <c r="E1092" s="25" t="s">
        <v>128</v>
      </c>
      <c r="F1092" s="25" t="s">
        <v>129</v>
      </c>
      <c r="G1092" s="25" t="s">
        <v>42</v>
      </c>
      <c r="H1092" s="49" t="s">
        <v>5220</v>
      </c>
      <c r="I1092" s="101">
        <v>46157.0</v>
      </c>
      <c r="J1092" s="49">
        <v>2.0</v>
      </c>
      <c r="K1092" s="30"/>
      <c r="L1092" s="49" t="s">
        <v>5221</v>
      </c>
      <c r="M1092" s="50">
        <v>8.0</v>
      </c>
      <c r="N1092" s="104" t="s">
        <v>5222</v>
      </c>
      <c r="O1092" s="20"/>
      <c r="P1092" s="20"/>
      <c r="Q1092" s="20"/>
      <c r="R1092" s="20"/>
      <c r="S1092" s="20"/>
    </row>
    <row r="1093">
      <c r="A1093" s="76" t="s">
        <v>5223</v>
      </c>
      <c r="B1093" s="110">
        <v>46138.0</v>
      </c>
      <c r="C1093" s="76" t="s">
        <v>5224</v>
      </c>
      <c r="D1093" s="99" t="s">
        <v>5225</v>
      </c>
      <c r="E1093" s="25" t="s">
        <v>122</v>
      </c>
      <c r="F1093" s="25" t="s">
        <v>983</v>
      </c>
      <c r="G1093" s="25" t="s">
        <v>34</v>
      </c>
      <c r="H1093" s="76" t="s">
        <v>5226</v>
      </c>
      <c r="I1093" s="118">
        <v>46207.0</v>
      </c>
      <c r="J1093" s="76">
        <v>2.0</v>
      </c>
      <c r="K1093" s="46">
        <f>775000*2</f>
        <v>1550000</v>
      </c>
      <c r="L1093" s="76" t="s">
        <v>5227</v>
      </c>
      <c r="M1093" s="44">
        <v>2.0</v>
      </c>
      <c r="N1093" s="45"/>
      <c r="O1093" s="20"/>
      <c r="P1093" s="20"/>
      <c r="Q1093" s="20"/>
      <c r="R1093" s="20"/>
      <c r="S1093" s="20"/>
    </row>
    <row r="1094">
      <c r="A1094" s="49" t="s">
        <v>5228</v>
      </c>
      <c r="B1094" s="110">
        <v>46138.0</v>
      </c>
      <c r="C1094" s="49" t="s">
        <v>5049</v>
      </c>
      <c r="D1094" s="102" t="s">
        <v>5229</v>
      </c>
      <c r="E1094" s="25" t="s">
        <v>17</v>
      </c>
      <c r="F1094" s="25" t="s">
        <v>18</v>
      </c>
      <c r="G1094" s="25" t="s">
        <v>34</v>
      </c>
      <c r="H1094" s="49" t="s">
        <v>96</v>
      </c>
      <c r="I1094" s="49" t="s">
        <v>5230</v>
      </c>
      <c r="J1094" s="49">
        <v>2.0</v>
      </c>
      <c r="K1094" s="36">
        <v>6128000.0</v>
      </c>
      <c r="L1094" s="49" t="s">
        <v>2232</v>
      </c>
      <c r="M1094" s="50">
        <v>2.0</v>
      </c>
      <c r="N1094" s="104" t="s">
        <v>5231</v>
      </c>
      <c r="O1094" s="20"/>
      <c r="P1094" s="20"/>
      <c r="Q1094" s="20"/>
      <c r="R1094" s="20"/>
      <c r="S1094" s="20"/>
    </row>
    <row r="1095">
      <c r="A1095" s="76" t="s">
        <v>5232</v>
      </c>
      <c r="B1095" s="97">
        <v>46139.0</v>
      </c>
      <c r="C1095" s="76" t="s">
        <v>5233</v>
      </c>
      <c r="D1095" s="99" t="s">
        <v>4083</v>
      </c>
      <c r="E1095" s="25" t="s">
        <v>17</v>
      </c>
      <c r="F1095" s="25" t="s">
        <v>18</v>
      </c>
      <c r="G1095" s="25" t="s">
        <v>34</v>
      </c>
      <c r="H1095" s="76" t="s">
        <v>3210</v>
      </c>
      <c r="I1095" s="106">
        <v>46324.0</v>
      </c>
      <c r="J1095" s="76">
        <v>12.0</v>
      </c>
      <c r="K1095" s="19">
        <v>1.17E7</v>
      </c>
      <c r="L1095" s="76" t="s">
        <v>2232</v>
      </c>
      <c r="M1095" s="44">
        <v>2.0</v>
      </c>
      <c r="N1095" s="86" t="s">
        <v>5234</v>
      </c>
      <c r="O1095" s="20"/>
      <c r="P1095" s="20"/>
      <c r="Q1095" s="20"/>
      <c r="R1095" s="20"/>
      <c r="S1095" s="20"/>
    </row>
    <row r="1096">
      <c r="A1096" s="49" t="s">
        <v>5235</v>
      </c>
      <c r="B1096" s="110">
        <v>46138.0</v>
      </c>
      <c r="C1096" s="49" t="s">
        <v>5236</v>
      </c>
      <c r="D1096" s="102" t="s">
        <v>5237</v>
      </c>
      <c r="E1096" s="25" t="s">
        <v>128</v>
      </c>
      <c r="F1096" s="25" t="s">
        <v>129</v>
      </c>
      <c r="G1096" s="25" t="s">
        <v>42</v>
      </c>
      <c r="H1096" s="49" t="s">
        <v>2462</v>
      </c>
      <c r="I1096" s="101">
        <v>46157.0</v>
      </c>
      <c r="J1096" s="49">
        <v>2.0</v>
      </c>
      <c r="K1096" s="30"/>
      <c r="L1096" s="49" t="s">
        <v>5205</v>
      </c>
      <c r="M1096" s="50">
        <v>8.0</v>
      </c>
      <c r="N1096" s="104" t="s">
        <v>5238</v>
      </c>
      <c r="O1096" s="20"/>
      <c r="P1096" s="20"/>
      <c r="Q1096" s="20"/>
      <c r="R1096" s="20"/>
      <c r="S1096" s="20"/>
    </row>
    <row r="1097">
      <c r="A1097" s="76" t="s">
        <v>5239</v>
      </c>
      <c r="B1097" s="97">
        <v>46139.0</v>
      </c>
      <c r="C1097" s="76" t="s">
        <v>5240</v>
      </c>
      <c r="D1097" s="99" t="s">
        <v>5241</v>
      </c>
      <c r="E1097" s="25" t="s">
        <v>17</v>
      </c>
      <c r="F1097" s="25" t="s">
        <v>129</v>
      </c>
      <c r="G1097" s="25" t="s">
        <v>42</v>
      </c>
      <c r="H1097" s="76" t="s">
        <v>5242</v>
      </c>
      <c r="I1097" s="76" t="s">
        <v>946</v>
      </c>
      <c r="J1097" s="76">
        <v>4.0</v>
      </c>
      <c r="K1097" s="46"/>
      <c r="L1097" s="76" t="s">
        <v>174</v>
      </c>
      <c r="M1097" s="44">
        <v>8.0</v>
      </c>
      <c r="N1097" s="86" t="s">
        <v>5243</v>
      </c>
      <c r="O1097" s="20"/>
      <c r="P1097" s="20"/>
      <c r="Q1097" s="20"/>
      <c r="R1097" s="20"/>
      <c r="S1097" s="20"/>
    </row>
    <row r="1098">
      <c r="A1098" s="49" t="s">
        <v>5244</v>
      </c>
      <c r="B1098" s="110">
        <v>46139.0</v>
      </c>
      <c r="C1098" s="49" t="s">
        <v>5245</v>
      </c>
      <c r="D1098" s="102" t="s">
        <v>5246</v>
      </c>
      <c r="E1098" s="25" t="s">
        <v>128</v>
      </c>
      <c r="F1098" s="25" t="s">
        <v>18</v>
      </c>
      <c r="G1098" s="25" t="s">
        <v>42</v>
      </c>
      <c r="H1098" s="23"/>
      <c r="I1098" s="23"/>
      <c r="J1098" s="23"/>
      <c r="K1098" s="30"/>
      <c r="L1098" s="49" t="s">
        <v>5247</v>
      </c>
      <c r="M1098" s="50">
        <v>8.0</v>
      </c>
      <c r="N1098" s="104" t="s">
        <v>5248</v>
      </c>
      <c r="O1098" s="20"/>
      <c r="P1098" s="20"/>
      <c r="Q1098" s="20"/>
      <c r="R1098" s="20"/>
      <c r="S1098" s="20"/>
    </row>
    <row r="1099">
      <c r="A1099" s="76" t="s">
        <v>5249</v>
      </c>
      <c r="B1099" s="97">
        <v>46139.0</v>
      </c>
      <c r="C1099" s="76" t="s">
        <v>5250</v>
      </c>
      <c r="D1099" s="99" t="s">
        <v>5251</v>
      </c>
      <c r="E1099" s="25" t="s">
        <v>128</v>
      </c>
      <c r="F1099" s="25" t="s">
        <v>18</v>
      </c>
      <c r="G1099" s="25" t="s">
        <v>34</v>
      </c>
      <c r="H1099" s="76" t="s">
        <v>123</v>
      </c>
      <c r="I1099" s="76" t="s">
        <v>4429</v>
      </c>
      <c r="J1099" s="76">
        <v>2.0</v>
      </c>
      <c r="K1099" s="19">
        <v>6920000.0</v>
      </c>
      <c r="L1099" s="76" t="s">
        <v>2232</v>
      </c>
      <c r="M1099" s="44">
        <v>2.0</v>
      </c>
      <c r="N1099" s="86" t="s">
        <v>5252</v>
      </c>
      <c r="O1099" s="20"/>
      <c r="P1099" s="20"/>
      <c r="Q1099" s="20"/>
      <c r="R1099" s="20"/>
      <c r="S1099" s="20"/>
    </row>
    <row r="1100">
      <c r="A1100" s="49" t="s">
        <v>5253</v>
      </c>
      <c r="B1100" s="110">
        <v>46139.0</v>
      </c>
      <c r="C1100" s="49" t="s">
        <v>5254</v>
      </c>
      <c r="D1100" s="102" t="s">
        <v>5255</v>
      </c>
      <c r="E1100" s="25" t="s">
        <v>122</v>
      </c>
      <c r="F1100" s="25" t="s">
        <v>983</v>
      </c>
      <c r="G1100" s="25" t="s">
        <v>29</v>
      </c>
      <c r="H1100" s="49" t="s">
        <v>5256</v>
      </c>
      <c r="I1100" s="49" t="s">
        <v>5257</v>
      </c>
      <c r="J1100" s="49" t="s">
        <v>1401</v>
      </c>
      <c r="K1100" s="30"/>
      <c r="L1100" s="49" t="s">
        <v>5258</v>
      </c>
      <c r="M1100" s="50">
        <v>1.0</v>
      </c>
      <c r="N1100" s="51"/>
      <c r="O1100" s="20"/>
      <c r="P1100" s="20"/>
      <c r="Q1100" s="20"/>
      <c r="R1100" s="20"/>
      <c r="S1100" s="20"/>
    </row>
    <row r="1101">
      <c r="A1101" s="76" t="s">
        <v>5259</v>
      </c>
      <c r="B1101" s="97">
        <v>46139.0</v>
      </c>
      <c r="C1101" s="76" t="s">
        <v>5260</v>
      </c>
      <c r="D1101" s="99" t="s">
        <v>5261</v>
      </c>
      <c r="E1101" s="25" t="s">
        <v>17</v>
      </c>
      <c r="F1101" s="25" t="s">
        <v>983</v>
      </c>
      <c r="G1101" s="25" t="s">
        <v>19</v>
      </c>
      <c r="H1101" s="76" t="s">
        <v>2327</v>
      </c>
      <c r="I1101" s="118">
        <v>46192.0</v>
      </c>
      <c r="J1101" s="76">
        <v>3.0</v>
      </c>
      <c r="K1101" s="46">
        <f>367000*3</f>
        <v>1101000</v>
      </c>
      <c r="L1101" s="76" t="s">
        <v>5262</v>
      </c>
      <c r="M1101" s="44">
        <v>7.0</v>
      </c>
      <c r="N1101" s="45"/>
      <c r="O1101" s="20"/>
      <c r="P1101" s="20"/>
      <c r="Q1101" s="20"/>
      <c r="R1101" s="20"/>
      <c r="S1101" s="20"/>
    </row>
    <row r="1102">
      <c r="A1102" s="49" t="s">
        <v>5263</v>
      </c>
      <c r="B1102" s="110">
        <v>46139.0</v>
      </c>
      <c r="C1102" s="49" t="s">
        <v>5264</v>
      </c>
      <c r="D1102" s="102" t="s">
        <v>5265</v>
      </c>
      <c r="E1102" s="25" t="s">
        <v>122</v>
      </c>
      <c r="F1102" s="25" t="s">
        <v>983</v>
      </c>
      <c r="G1102" s="25" t="s">
        <v>42</v>
      </c>
      <c r="H1102" s="23"/>
      <c r="I1102" s="131">
        <v>46144.0</v>
      </c>
      <c r="J1102" s="49">
        <v>1.0</v>
      </c>
      <c r="K1102" s="30"/>
      <c r="L1102" s="49" t="s">
        <v>5266</v>
      </c>
      <c r="M1102" s="50">
        <v>8.0</v>
      </c>
      <c r="N1102" s="104" t="s">
        <v>5267</v>
      </c>
      <c r="O1102" s="20"/>
      <c r="P1102" s="20"/>
      <c r="Q1102" s="20"/>
      <c r="R1102" s="20"/>
      <c r="S1102" s="20"/>
    </row>
    <row r="1103">
      <c r="A1103" s="76" t="s">
        <v>5268</v>
      </c>
      <c r="B1103" s="97">
        <v>46139.0</v>
      </c>
      <c r="C1103" s="76" t="s">
        <v>5269</v>
      </c>
      <c r="D1103" s="99" t="s">
        <v>5270</v>
      </c>
      <c r="E1103" s="25" t="s">
        <v>128</v>
      </c>
      <c r="F1103" s="25" t="s">
        <v>129</v>
      </c>
      <c r="G1103" s="25" t="s">
        <v>42</v>
      </c>
      <c r="H1103" s="76" t="s">
        <v>4532</v>
      </c>
      <c r="I1103" s="76" t="s">
        <v>561</v>
      </c>
      <c r="J1103" s="76">
        <v>3.0</v>
      </c>
      <c r="K1103" s="46"/>
      <c r="L1103" s="76" t="s">
        <v>5271</v>
      </c>
      <c r="M1103" s="44">
        <v>8.0</v>
      </c>
      <c r="N1103" s="45"/>
      <c r="O1103" s="20"/>
      <c r="P1103" s="20"/>
      <c r="Q1103" s="20"/>
      <c r="R1103" s="20"/>
      <c r="S1103" s="20"/>
    </row>
    <row r="1104">
      <c r="A1104" s="49" t="s">
        <v>5272</v>
      </c>
      <c r="B1104" s="110">
        <v>46140.0</v>
      </c>
      <c r="C1104" s="49" t="s">
        <v>5273</v>
      </c>
      <c r="D1104" s="102" t="s">
        <v>5274</v>
      </c>
      <c r="E1104" s="25" t="s">
        <v>128</v>
      </c>
      <c r="F1104" s="25" t="s">
        <v>129</v>
      </c>
      <c r="G1104" s="25" t="s">
        <v>42</v>
      </c>
      <c r="H1104" s="49" t="s">
        <v>1290</v>
      </c>
      <c r="I1104" s="101">
        <v>46167.0</v>
      </c>
      <c r="J1104" s="49">
        <v>2.0</v>
      </c>
      <c r="K1104" s="30"/>
      <c r="L1104" s="49" t="s">
        <v>5205</v>
      </c>
      <c r="M1104" s="50">
        <v>8.0</v>
      </c>
      <c r="N1104" s="104" t="s">
        <v>5275</v>
      </c>
      <c r="O1104" s="20"/>
      <c r="P1104" s="20"/>
      <c r="Q1104" s="20"/>
      <c r="R1104" s="20"/>
      <c r="S1104" s="20"/>
    </row>
    <row r="1105">
      <c r="A1105" s="76" t="s">
        <v>5276</v>
      </c>
      <c r="B1105" s="97">
        <v>46141.0</v>
      </c>
      <c r="C1105" s="76" t="s">
        <v>5277</v>
      </c>
      <c r="D1105" s="102" t="s">
        <v>5278</v>
      </c>
      <c r="E1105" s="25" t="s">
        <v>122</v>
      </c>
      <c r="F1105" s="25" t="s">
        <v>129</v>
      </c>
      <c r="G1105" s="25" t="s">
        <v>19</v>
      </c>
      <c r="H1105" s="76" t="s">
        <v>3837</v>
      </c>
      <c r="I1105" s="118">
        <v>46182.0</v>
      </c>
      <c r="J1105" s="76">
        <v>5.0</v>
      </c>
      <c r="K1105" s="46">
        <f>SUM(1750000*J1105)</f>
        <v>8750000</v>
      </c>
      <c r="L1105" s="76" t="s">
        <v>871</v>
      </c>
      <c r="M1105" s="44">
        <v>7.0</v>
      </c>
      <c r="N1105" s="86" t="s">
        <v>5279</v>
      </c>
      <c r="O1105" s="20"/>
      <c r="P1105" s="20"/>
      <c r="Q1105" s="20"/>
      <c r="R1105" s="20"/>
      <c r="S1105" s="20"/>
    </row>
    <row r="1106">
      <c r="A1106" s="49" t="s">
        <v>5280</v>
      </c>
      <c r="B1106" s="110">
        <v>46141.0</v>
      </c>
      <c r="C1106" s="49" t="s">
        <v>5281</v>
      </c>
      <c r="D1106" s="102" t="s">
        <v>5282</v>
      </c>
      <c r="E1106" s="25" t="s">
        <v>128</v>
      </c>
      <c r="F1106" s="25" t="s">
        <v>129</v>
      </c>
      <c r="G1106" s="25" t="s">
        <v>42</v>
      </c>
      <c r="H1106" s="49" t="s">
        <v>5283</v>
      </c>
      <c r="I1106" s="101">
        <v>46143.0</v>
      </c>
      <c r="J1106" s="23"/>
      <c r="K1106" s="30"/>
      <c r="L1106" s="49" t="s">
        <v>5191</v>
      </c>
      <c r="M1106" s="50">
        <v>8.0</v>
      </c>
      <c r="N1106" s="104" t="s">
        <v>5284</v>
      </c>
      <c r="O1106" s="20"/>
      <c r="P1106" s="20"/>
      <c r="Q1106" s="20"/>
      <c r="R1106" s="20"/>
      <c r="S1106" s="20"/>
    </row>
    <row r="1107">
      <c r="A1107" s="76" t="s">
        <v>5285</v>
      </c>
      <c r="B1107" s="97">
        <v>46139.0</v>
      </c>
      <c r="C1107" s="76" t="s">
        <v>3182</v>
      </c>
      <c r="D1107" s="99" t="s">
        <v>5265</v>
      </c>
      <c r="E1107" s="25" t="s">
        <v>17</v>
      </c>
      <c r="F1107" s="25" t="s">
        <v>18</v>
      </c>
      <c r="G1107" s="25" t="s">
        <v>42</v>
      </c>
      <c r="H1107" s="76" t="s">
        <v>2742</v>
      </c>
      <c r="I1107" s="118">
        <v>46144.0</v>
      </c>
      <c r="J1107" s="76">
        <v>1.0</v>
      </c>
      <c r="K1107" s="19">
        <v>250000.0</v>
      </c>
      <c r="L1107" s="76" t="s">
        <v>3285</v>
      </c>
      <c r="M1107" s="44">
        <v>8.0</v>
      </c>
      <c r="N1107" s="86" t="s">
        <v>5286</v>
      </c>
      <c r="O1107" s="20"/>
      <c r="P1107" s="20"/>
      <c r="Q1107" s="20"/>
      <c r="R1107" s="20"/>
      <c r="S1107" s="20"/>
    </row>
    <row r="1108">
      <c r="A1108" s="49" t="s">
        <v>5287</v>
      </c>
      <c r="B1108" s="110">
        <v>46139.0</v>
      </c>
      <c r="C1108" s="49" t="s">
        <v>5288</v>
      </c>
      <c r="D1108" s="102" t="s">
        <v>5270</v>
      </c>
      <c r="E1108" s="25" t="s">
        <v>128</v>
      </c>
      <c r="F1108" s="25" t="s">
        <v>18</v>
      </c>
      <c r="G1108" s="25" t="s">
        <v>19</v>
      </c>
      <c r="H1108" s="49" t="s">
        <v>1383</v>
      </c>
      <c r="I1108" s="49" t="s">
        <v>4912</v>
      </c>
      <c r="J1108" s="49">
        <v>2.0</v>
      </c>
      <c r="K1108" s="36">
        <v>4100000.0</v>
      </c>
      <c r="L1108" s="49" t="s">
        <v>3571</v>
      </c>
      <c r="M1108" s="50">
        <v>7.0</v>
      </c>
      <c r="N1108" s="51"/>
      <c r="O1108" s="20"/>
      <c r="P1108" s="20"/>
      <c r="Q1108" s="20"/>
      <c r="R1108" s="20"/>
      <c r="S1108" s="20"/>
    </row>
    <row r="1109">
      <c r="A1109" s="76" t="s">
        <v>5289</v>
      </c>
      <c r="B1109" s="110">
        <v>46139.0</v>
      </c>
      <c r="C1109" s="76" t="s">
        <v>5290</v>
      </c>
      <c r="D1109" s="99" t="s">
        <v>5291</v>
      </c>
      <c r="E1109" s="25" t="s">
        <v>128</v>
      </c>
      <c r="F1109" s="25" t="s">
        <v>18</v>
      </c>
      <c r="G1109" s="25" t="s">
        <v>42</v>
      </c>
      <c r="H1109" s="76" t="s">
        <v>86</v>
      </c>
      <c r="I1109" s="76" t="s">
        <v>2290</v>
      </c>
      <c r="J1109" s="76">
        <v>12.0</v>
      </c>
      <c r="K1109" s="46"/>
      <c r="L1109" s="76" t="s">
        <v>5292</v>
      </c>
      <c r="M1109" s="44">
        <v>8.0</v>
      </c>
      <c r="N1109" s="86" t="s">
        <v>5293</v>
      </c>
      <c r="O1109" s="20"/>
      <c r="P1109" s="20"/>
      <c r="Q1109" s="20"/>
      <c r="R1109" s="20"/>
      <c r="S1109" s="20"/>
    </row>
    <row r="1110">
      <c r="A1110" s="49" t="s">
        <v>5294</v>
      </c>
      <c r="B1110" s="110">
        <v>46140.0</v>
      </c>
      <c r="C1110" s="49" t="s">
        <v>5295</v>
      </c>
      <c r="D1110" s="102" t="s">
        <v>5296</v>
      </c>
      <c r="E1110" s="25" t="s">
        <v>17</v>
      </c>
      <c r="F1110" s="25" t="s">
        <v>18</v>
      </c>
      <c r="G1110" s="25" t="s">
        <v>34</v>
      </c>
      <c r="H1110" s="49" t="s">
        <v>5297</v>
      </c>
      <c r="I1110" s="101">
        <v>46157.0</v>
      </c>
      <c r="J1110" s="49">
        <v>2.0</v>
      </c>
      <c r="K1110" s="36">
        <v>1768000.0</v>
      </c>
      <c r="L1110" s="49" t="s">
        <v>5298</v>
      </c>
      <c r="M1110" s="50">
        <v>2.0</v>
      </c>
      <c r="N1110" s="104" t="s">
        <v>5299</v>
      </c>
      <c r="O1110" s="20"/>
      <c r="P1110" s="20"/>
      <c r="Q1110" s="20"/>
      <c r="R1110" s="20"/>
      <c r="S1110" s="20"/>
    </row>
    <row r="1111">
      <c r="A1111" s="76" t="s">
        <v>5300</v>
      </c>
      <c r="B1111" s="97">
        <v>46140.0</v>
      </c>
      <c r="C1111" s="76" t="s">
        <v>5301</v>
      </c>
      <c r="D1111" s="99" t="s">
        <v>5302</v>
      </c>
      <c r="E1111" s="25" t="s">
        <v>128</v>
      </c>
      <c r="F1111" s="25" t="s">
        <v>18</v>
      </c>
      <c r="G1111" s="25" t="s">
        <v>42</v>
      </c>
      <c r="H1111" s="76" t="s">
        <v>260</v>
      </c>
      <c r="I1111" s="76" t="s">
        <v>905</v>
      </c>
      <c r="J1111" s="76">
        <v>2.0</v>
      </c>
      <c r="K1111" s="19">
        <v>3200000.0</v>
      </c>
      <c r="L1111" s="76" t="s">
        <v>5303</v>
      </c>
      <c r="M1111" s="44">
        <v>8.0</v>
      </c>
      <c r="N1111" s="45"/>
      <c r="O1111" s="20"/>
      <c r="P1111" s="20"/>
      <c r="Q1111" s="20"/>
      <c r="R1111" s="20"/>
      <c r="S1111" s="20"/>
    </row>
    <row r="1112">
      <c r="A1112" s="49" t="s">
        <v>5304</v>
      </c>
      <c r="B1112" s="110">
        <v>46140.0</v>
      </c>
      <c r="C1112" s="49" t="s">
        <v>5305</v>
      </c>
      <c r="D1112" s="102" t="s">
        <v>5306</v>
      </c>
      <c r="E1112" s="25" t="s">
        <v>17</v>
      </c>
      <c r="F1112" s="25" t="s">
        <v>18</v>
      </c>
      <c r="G1112" s="25" t="s">
        <v>34</v>
      </c>
      <c r="H1112" s="49" t="s">
        <v>116</v>
      </c>
      <c r="I1112" s="49" t="s">
        <v>5307</v>
      </c>
      <c r="J1112" s="49">
        <v>4.0</v>
      </c>
      <c r="K1112" s="36">
        <v>8460000.0</v>
      </c>
      <c r="L1112" s="49" t="s">
        <v>5308</v>
      </c>
      <c r="M1112" s="50">
        <v>2.0</v>
      </c>
      <c r="N1112" s="104" t="s">
        <v>5309</v>
      </c>
      <c r="O1112" s="20"/>
      <c r="P1112" s="20"/>
      <c r="Q1112" s="20"/>
      <c r="R1112" s="20"/>
      <c r="S1112" s="20"/>
    </row>
    <row r="1113">
      <c r="A1113" s="76" t="s">
        <v>5310</v>
      </c>
      <c r="B1113" s="97">
        <v>46140.0</v>
      </c>
      <c r="C1113" s="76" t="s">
        <v>1937</v>
      </c>
      <c r="D1113" s="99" t="s">
        <v>5311</v>
      </c>
      <c r="E1113" s="25" t="s">
        <v>122</v>
      </c>
      <c r="F1113" s="25" t="s">
        <v>983</v>
      </c>
      <c r="G1113" s="25" t="s">
        <v>42</v>
      </c>
      <c r="H1113" s="76" t="s">
        <v>2462</v>
      </c>
      <c r="I1113" s="76" t="s">
        <v>3132</v>
      </c>
      <c r="J1113" s="76">
        <v>5.0</v>
      </c>
      <c r="K1113" s="46"/>
      <c r="L1113" s="76" t="s">
        <v>1614</v>
      </c>
      <c r="M1113" s="44">
        <v>8.0</v>
      </c>
      <c r="N1113" s="86" t="s">
        <v>5312</v>
      </c>
      <c r="O1113" s="20"/>
      <c r="P1113" s="20"/>
      <c r="Q1113" s="20"/>
      <c r="R1113" s="20"/>
      <c r="S1113" s="20"/>
    </row>
    <row r="1114">
      <c r="A1114" s="49" t="s">
        <v>5313</v>
      </c>
      <c r="B1114" s="110">
        <v>46140.0</v>
      </c>
      <c r="C1114" s="49" t="s">
        <v>5314</v>
      </c>
      <c r="D1114" s="102" t="s">
        <v>5315</v>
      </c>
      <c r="E1114" s="25" t="s">
        <v>128</v>
      </c>
      <c r="F1114" s="25" t="s">
        <v>18</v>
      </c>
      <c r="G1114" s="25" t="s">
        <v>42</v>
      </c>
      <c r="H1114" s="49" t="s">
        <v>2120</v>
      </c>
      <c r="I1114" s="101">
        <v>46143.0</v>
      </c>
      <c r="J1114" s="49">
        <v>2.0</v>
      </c>
      <c r="K1114" s="36">
        <v>1050000.0</v>
      </c>
      <c r="L1114" s="49" t="s">
        <v>3437</v>
      </c>
      <c r="M1114" s="50">
        <v>8.0</v>
      </c>
      <c r="N1114" s="104" t="s">
        <v>5316</v>
      </c>
      <c r="O1114" s="20"/>
      <c r="P1114" s="20"/>
      <c r="Q1114" s="20"/>
      <c r="R1114" s="20"/>
      <c r="S1114" s="20"/>
    </row>
    <row r="1115">
      <c r="A1115" s="76" t="s">
        <v>5317</v>
      </c>
      <c r="B1115" s="97">
        <v>46141.0</v>
      </c>
      <c r="C1115" s="76" t="s">
        <v>5318</v>
      </c>
      <c r="D1115" s="99" t="s">
        <v>5319</v>
      </c>
      <c r="E1115" s="25" t="s">
        <v>17</v>
      </c>
      <c r="F1115" s="25" t="s">
        <v>983</v>
      </c>
      <c r="G1115" s="25" t="s">
        <v>42</v>
      </c>
      <c r="H1115" s="76" t="s">
        <v>3210</v>
      </c>
      <c r="I1115" s="10"/>
      <c r="J1115" s="10"/>
      <c r="K1115" s="46"/>
      <c r="L1115" s="76" t="s">
        <v>5292</v>
      </c>
      <c r="M1115" s="44">
        <v>8.0</v>
      </c>
      <c r="N1115" s="86" t="s">
        <v>5320</v>
      </c>
      <c r="O1115" s="20"/>
      <c r="P1115" s="20"/>
      <c r="Q1115" s="20"/>
      <c r="R1115" s="20"/>
      <c r="S1115" s="20"/>
    </row>
    <row r="1116">
      <c r="A1116" s="49" t="s">
        <v>5321</v>
      </c>
      <c r="B1116" s="110">
        <v>46141.0</v>
      </c>
      <c r="C1116" s="49" t="s">
        <v>5322</v>
      </c>
      <c r="D1116" s="102" t="s">
        <v>5323</v>
      </c>
      <c r="E1116" s="25" t="s">
        <v>128</v>
      </c>
      <c r="F1116" s="25" t="s">
        <v>129</v>
      </c>
      <c r="G1116" s="25" t="s">
        <v>42</v>
      </c>
      <c r="H1116" s="49" t="s">
        <v>5283</v>
      </c>
      <c r="I1116" s="101">
        <v>46159.0</v>
      </c>
      <c r="J1116" s="49">
        <v>1.0</v>
      </c>
      <c r="K1116" s="30"/>
      <c r="L1116" s="49" t="s">
        <v>5324</v>
      </c>
      <c r="M1116" s="50">
        <v>8.0</v>
      </c>
      <c r="N1116" s="104" t="s">
        <v>5325</v>
      </c>
      <c r="O1116" s="20"/>
      <c r="P1116" s="20"/>
      <c r="Q1116" s="20"/>
      <c r="R1116" s="20"/>
      <c r="S1116" s="20"/>
    </row>
    <row r="1117">
      <c r="A1117" s="76" t="s">
        <v>5326</v>
      </c>
      <c r="B1117" s="97">
        <v>46141.0</v>
      </c>
      <c r="C1117" s="76" t="s">
        <v>5327</v>
      </c>
      <c r="D1117" s="99" t="s">
        <v>5328</v>
      </c>
      <c r="E1117" s="25" t="s">
        <v>17</v>
      </c>
      <c r="F1117" s="25" t="s">
        <v>129</v>
      </c>
      <c r="G1117" s="25" t="s">
        <v>42</v>
      </c>
      <c r="H1117" s="76" t="s">
        <v>5329</v>
      </c>
      <c r="I1117" s="118">
        <v>46157.0</v>
      </c>
      <c r="J1117" s="76">
        <v>4.0</v>
      </c>
      <c r="K1117" s="46"/>
      <c r="L1117" s="76" t="s">
        <v>5221</v>
      </c>
      <c r="M1117" s="44">
        <v>8.0</v>
      </c>
      <c r="N1117" s="86" t="s">
        <v>5330</v>
      </c>
      <c r="O1117" s="20"/>
      <c r="P1117" s="20"/>
      <c r="Q1117" s="20"/>
      <c r="R1117" s="20"/>
      <c r="S1117" s="20"/>
    </row>
    <row r="1118">
      <c r="A1118" s="49" t="s">
        <v>5331</v>
      </c>
      <c r="B1118" s="110">
        <v>46142.0</v>
      </c>
      <c r="C1118" s="49" t="s">
        <v>5332</v>
      </c>
      <c r="D1118" s="102" t="s">
        <v>5333</v>
      </c>
      <c r="E1118" s="25" t="s">
        <v>17</v>
      </c>
      <c r="F1118" s="25" t="s">
        <v>983</v>
      </c>
      <c r="G1118" s="25" t="s">
        <v>42</v>
      </c>
      <c r="H1118" s="49" t="s">
        <v>2462</v>
      </c>
      <c r="I1118" s="101">
        <v>46193.0</v>
      </c>
      <c r="J1118" s="49">
        <v>5.0</v>
      </c>
      <c r="K1118" s="30">
        <f>2110000*5</f>
        <v>10550000</v>
      </c>
      <c r="L1118" s="49" t="s">
        <v>5334</v>
      </c>
      <c r="M1118" s="50">
        <v>8.0</v>
      </c>
      <c r="N1118" s="104" t="s">
        <v>5335</v>
      </c>
      <c r="O1118" s="20"/>
      <c r="P1118" s="20"/>
      <c r="Q1118" s="20"/>
      <c r="R1118" s="20"/>
      <c r="S1118" s="20"/>
    </row>
    <row r="1119">
      <c r="A1119" s="76" t="s">
        <v>5336</v>
      </c>
      <c r="B1119" s="97">
        <v>46141.0</v>
      </c>
      <c r="C1119" s="76" t="s">
        <v>5337</v>
      </c>
      <c r="D1119" s="99" t="s">
        <v>5338</v>
      </c>
      <c r="E1119" s="25" t="s">
        <v>128</v>
      </c>
      <c r="F1119" s="25" t="s">
        <v>18</v>
      </c>
      <c r="G1119" s="25" t="s">
        <v>42</v>
      </c>
      <c r="H1119" s="76" t="s">
        <v>260</v>
      </c>
      <c r="I1119" s="118">
        <v>46143.0</v>
      </c>
      <c r="J1119" s="76">
        <v>1.0</v>
      </c>
      <c r="K1119" s="19">
        <v>1600000.0</v>
      </c>
      <c r="L1119" s="76" t="s">
        <v>3437</v>
      </c>
      <c r="M1119" s="44">
        <v>8.0</v>
      </c>
      <c r="N1119" s="45"/>
      <c r="O1119" s="20"/>
      <c r="P1119" s="20"/>
      <c r="Q1119" s="20"/>
      <c r="R1119" s="20"/>
      <c r="S1119" s="20"/>
    </row>
    <row r="1120">
      <c r="A1120" s="49" t="s">
        <v>5339</v>
      </c>
      <c r="B1120" s="110">
        <v>46141.0</v>
      </c>
      <c r="C1120" s="49" t="s">
        <v>5340</v>
      </c>
      <c r="D1120" s="102" t="s">
        <v>5341</v>
      </c>
      <c r="E1120" s="25" t="s">
        <v>122</v>
      </c>
      <c r="F1120" s="25" t="s">
        <v>18</v>
      </c>
      <c r="G1120" s="25" t="s">
        <v>42</v>
      </c>
      <c r="H1120" s="23"/>
      <c r="I1120" s="101">
        <v>46157.0</v>
      </c>
      <c r="J1120" s="23"/>
      <c r="K1120" s="30"/>
      <c r="L1120" s="49" t="s">
        <v>1614</v>
      </c>
      <c r="M1120" s="50">
        <v>8.0</v>
      </c>
      <c r="N1120" s="115" t="s">
        <v>5342</v>
      </c>
      <c r="O1120" s="20"/>
      <c r="P1120" s="20"/>
      <c r="Q1120" s="20"/>
      <c r="R1120" s="20"/>
      <c r="S1120" s="20"/>
    </row>
    <row r="1121">
      <c r="A1121" s="76" t="s">
        <v>5343</v>
      </c>
      <c r="B1121" s="97">
        <v>46141.0</v>
      </c>
      <c r="C1121" s="76" t="s">
        <v>2201</v>
      </c>
      <c r="D1121" s="99" t="s">
        <v>5344</v>
      </c>
      <c r="E1121" s="25" t="s">
        <v>128</v>
      </c>
      <c r="F1121" s="25" t="s">
        <v>18</v>
      </c>
      <c r="G1121" s="25" t="s">
        <v>42</v>
      </c>
      <c r="H1121" s="76" t="s">
        <v>86</v>
      </c>
      <c r="I1121" s="76" t="s">
        <v>561</v>
      </c>
      <c r="J1121" s="76">
        <v>5.0</v>
      </c>
      <c r="K1121" s="19">
        <v>4430000.0</v>
      </c>
      <c r="L1121" s="76" t="s">
        <v>5345</v>
      </c>
      <c r="M1121" s="44">
        <v>8.0</v>
      </c>
      <c r="N1121" s="45"/>
      <c r="O1121" s="20"/>
      <c r="P1121" s="20"/>
      <c r="Q1121" s="20"/>
      <c r="R1121" s="20"/>
      <c r="S1121" s="20"/>
    </row>
    <row r="1122">
      <c r="A1122" s="49" t="s">
        <v>5346</v>
      </c>
      <c r="B1122" s="110">
        <v>46142.0</v>
      </c>
      <c r="C1122" s="49" t="s">
        <v>5347</v>
      </c>
      <c r="D1122" s="102" t="s">
        <v>5348</v>
      </c>
      <c r="E1122" s="25" t="s">
        <v>17</v>
      </c>
      <c r="F1122" s="25" t="s">
        <v>18</v>
      </c>
      <c r="G1122" s="25" t="s">
        <v>19</v>
      </c>
      <c r="H1122" s="49" t="s">
        <v>96</v>
      </c>
      <c r="I1122" s="49" t="s">
        <v>5349</v>
      </c>
      <c r="J1122" s="49">
        <v>4.0</v>
      </c>
      <c r="K1122" s="36">
        <v>6808000.0</v>
      </c>
      <c r="L1122" s="49" t="s">
        <v>5350</v>
      </c>
      <c r="M1122" s="50">
        <v>7.0</v>
      </c>
      <c r="N1122" s="104" t="s">
        <v>5351</v>
      </c>
      <c r="O1122" s="20"/>
      <c r="P1122" s="20"/>
      <c r="Q1122" s="20"/>
      <c r="R1122" s="20"/>
      <c r="S1122" s="20"/>
    </row>
    <row r="1123">
      <c r="A1123" s="76" t="s">
        <v>5352</v>
      </c>
      <c r="B1123" s="97">
        <v>46142.0</v>
      </c>
      <c r="C1123" s="76" t="s">
        <v>5353</v>
      </c>
      <c r="D1123" s="99" t="s">
        <v>5354</v>
      </c>
      <c r="E1123" s="25" t="s">
        <v>122</v>
      </c>
      <c r="F1123" s="25" t="s">
        <v>983</v>
      </c>
      <c r="G1123" s="25" t="s">
        <v>34</v>
      </c>
      <c r="H1123" s="76" t="s">
        <v>5355</v>
      </c>
      <c r="I1123" s="76" t="s">
        <v>4799</v>
      </c>
      <c r="J1123" s="76">
        <v>3.0</v>
      </c>
      <c r="K1123" s="46">
        <f>702000*3</f>
        <v>2106000</v>
      </c>
      <c r="L1123" s="76" t="s">
        <v>5356</v>
      </c>
      <c r="M1123" s="44">
        <v>2.0</v>
      </c>
      <c r="N1123" s="45"/>
      <c r="O1123" s="20"/>
      <c r="P1123" s="20"/>
      <c r="Q1123" s="20"/>
      <c r="R1123" s="20"/>
      <c r="S1123" s="20"/>
    </row>
    <row r="1124">
      <c r="A1124" s="49" t="s">
        <v>5357</v>
      </c>
      <c r="B1124" s="110">
        <v>46142.0</v>
      </c>
      <c r="C1124" s="49" t="s">
        <v>4797</v>
      </c>
      <c r="D1124" s="102" t="s">
        <v>5358</v>
      </c>
      <c r="E1124" s="25" t="s">
        <v>122</v>
      </c>
      <c r="F1124" s="25" t="s">
        <v>983</v>
      </c>
      <c r="G1124" s="25" t="s">
        <v>19</v>
      </c>
      <c r="H1124" s="49" t="s">
        <v>5359</v>
      </c>
      <c r="I1124" s="101">
        <v>46145.0</v>
      </c>
      <c r="J1124" s="49">
        <v>2.0</v>
      </c>
      <c r="K1124" s="30">
        <f>295000*2</f>
        <v>590000</v>
      </c>
      <c r="L1124" s="49" t="s">
        <v>1803</v>
      </c>
      <c r="M1124" s="50">
        <v>7.0</v>
      </c>
      <c r="N1124" s="51"/>
      <c r="O1124" s="20"/>
      <c r="P1124" s="20"/>
      <c r="Q1124" s="20"/>
      <c r="R1124" s="20"/>
      <c r="S1124" s="20"/>
    </row>
    <row r="1125">
      <c r="A1125" s="76" t="s">
        <v>5360</v>
      </c>
      <c r="B1125" s="97">
        <v>46142.0</v>
      </c>
      <c r="C1125" s="76" t="s">
        <v>5361</v>
      </c>
      <c r="D1125" s="99" t="s">
        <v>5362</v>
      </c>
      <c r="E1125" s="25" t="s">
        <v>17</v>
      </c>
      <c r="F1125" s="25" t="s">
        <v>129</v>
      </c>
      <c r="G1125" s="25" t="s">
        <v>29</v>
      </c>
      <c r="H1125" s="76" t="s">
        <v>2462</v>
      </c>
      <c r="I1125" s="76" t="s">
        <v>5363</v>
      </c>
      <c r="J1125" s="76">
        <v>30.0</v>
      </c>
      <c r="K1125" s="46"/>
      <c r="L1125" s="76" t="s">
        <v>5364</v>
      </c>
      <c r="M1125" s="44">
        <v>1.0</v>
      </c>
      <c r="N1125" s="86" t="s">
        <v>5365</v>
      </c>
      <c r="O1125" s="20"/>
      <c r="P1125" s="20"/>
      <c r="Q1125" s="20"/>
      <c r="R1125" s="20"/>
      <c r="S1125" s="20"/>
    </row>
    <row r="1126">
      <c r="A1126" s="49" t="s">
        <v>5366</v>
      </c>
      <c r="B1126" s="110">
        <v>46142.0</v>
      </c>
      <c r="C1126" s="49" t="s">
        <v>5367</v>
      </c>
      <c r="D1126" s="102" t="s">
        <v>5368</v>
      </c>
      <c r="E1126" s="25" t="s">
        <v>128</v>
      </c>
      <c r="F1126" s="25" t="s">
        <v>129</v>
      </c>
      <c r="G1126" s="25" t="s">
        <v>29</v>
      </c>
      <c r="H1126" s="49" t="s">
        <v>3837</v>
      </c>
      <c r="I1126" s="49" t="s">
        <v>2470</v>
      </c>
      <c r="J1126" s="136">
        <v>46240.0</v>
      </c>
      <c r="K1126" s="30"/>
      <c r="L1126" s="49" t="s">
        <v>5369</v>
      </c>
      <c r="M1126" s="50">
        <v>1.0</v>
      </c>
      <c r="N1126" s="104" t="s">
        <v>5370</v>
      </c>
      <c r="O1126" s="20"/>
      <c r="P1126" s="20"/>
      <c r="Q1126" s="20"/>
      <c r="R1126" s="20"/>
      <c r="S1126" s="20"/>
    </row>
    <row r="1127">
      <c r="A1127" s="76" t="s">
        <v>5371</v>
      </c>
      <c r="B1127" s="97">
        <v>46142.0</v>
      </c>
      <c r="C1127" s="76" t="s">
        <v>5372</v>
      </c>
      <c r="D1127" s="99" t="s">
        <v>5373</v>
      </c>
      <c r="E1127" s="25" t="s">
        <v>17</v>
      </c>
      <c r="F1127" s="25" t="s">
        <v>129</v>
      </c>
      <c r="G1127" s="25" t="s">
        <v>42</v>
      </c>
      <c r="H1127" s="76" t="s">
        <v>1782</v>
      </c>
      <c r="I1127" s="10"/>
      <c r="J1127" s="76">
        <v>3.0</v>
      </c>
      <c r="K1127" s="46"/>
      <c r="L1127" s="76" t="s">
        <v>5374</v>
      </c>
      <c r="M1127" s="44">
        <v>8.0</v>
      </c>
      <c r="N1127" s="45"/>
      <c r="O1127" s="20"/>
      <c r="P1127" s="20"/>
      <c r="Q1127" s="20"/>
      <c r="R1127" s="20"/>
      <c r="S1127" s="20"/>
    </row>
    <row r="1128">
      <c r="A1128" s="49" t="s">
        <v>5375</v>
      </c>
      <c r="B1128" s="97">
        <v>46142.0</v>
      </c>
      <c r="C1128" s="49" t="s">
        <v>5376</v>
      </c>
      <c r="D1128" s="102" t="s">
        <v>5377</v>
      </c>
      <c r="E1128" s="25" t="s">
        <v>128</v>
      </c>
      <c r="F1128" s="25" t="s">
        <v>129</v>
      </c>
      <c r="G1128" s="25" t="s">
        <v>42</v>
      </c>
      <c r="H1128" s="49" t="s">
        <v>5378</v>
      </c>
      <c r="I1128" s="101">
        <v>46144.0</v>
      </c>
      <c r="J1128" s="49">
        <v>6.0</v>
      </c>
      <c r="K1128" s="30"/>
      <c r="L1128" s="49" t="s">
        <v>783</v>
      </c>
      <c r="M1128" s="50">
        <v>8.0</v>
      </c>
      <c r="N1128" s="104" t="s">
        <v>5379</v>
      </c>
      <c r="O1128" s="20"/>
      <c r="P1128" s="20"/>
      <c r="Q1128" s="20"/>
      <c r="R1128" s="20"/>
      <c r="S1128" s="20"/>
    </row>
    <row r="1129">
      <c r="A1129" s="76" t="s">
        <v>5380</v>
      </c>
      <c r="B1129" s="97">
        <v>46142.0</v>
      </c>
      <c r="C1129" s="76" t="s">
        <v>5381</v>
      </c>
      <c r="D1129" s="99" t="s">
        <v>5382</v>
      </c>
      <c r="E1129" s="25" t="s">
        <v>128</v>
      </c>
      <c r="F1129" s="25" t="s">
        <v>18</v>
      </c>
      <c r="G1129" s="25" t="s">
        <v>42</v>
      </c>
      <c r="H1129" s="76" t="s">
        <v>2120</v>
      </c>
      <c r="I1129" s="76" t="s">
        <v>5383</v>
      </c>
      <c r="J1129" s="10"/>
      <c r="K1129" s="46"/>
      <c r="L1129" s="76" t="s">
        <v>5374</v>
      </c>
      <c r="M1129" s="44">
        <v>8.0</v>
      </c>
      <c r="N1129" s="45"/>
      <c r="O1129" s="20"/>
      <c r="P1129" s="20"/>
      <c r="Q1129" s="20"/>
      <c r="R1129" s="20"/>
      <c r="S1129" s="20"/>
    </row>
    <row r="1130">
      <c r="A1130" s="49" t="s">
        <v>5384</v>
      </c>
      <c r="B1130" s="110">
        <v>46142.0</v>
      </c>
      <c r="C1130" s="49" t="s">
        <v>5361</v>
      </c>
      <c r="D1130" s="102" t="s">
        <v>5362</v>
      </c>
      <c r="E1130" s="25" t="s">
        <v>17</v>
      </c>
      <c r="F1130" s="25" t="s">
        <v>18</v>
      </c>
      <c r="G1130" s="25" t="s">
        <v>34</v>
      </c>
      <c r="H1130" s="49" t="s">
        <v>5385</v>
      </c>
      <c r="I1130" s="49" t="s">
        <v>5386</v>
      </c>
      <c r="J1130" s="49">
        <v>30.0</v>
      </c>
      <c r="K1130" s="36">
        <v>4.44E7</v>
      </c>
      <c r="L1130" s="49" t="s">
        <v>5387</v>
      </c>
      <c r="M1130" s="50">
        <v>2.0</v>
      </c>
      <c r="N1130" s="51"/>
      <c r="O1130" s="20"/>
      <c r="P1130" s="20"/>
      <c r="Q1130" s="20"/>
      <c r="R1130" s="20"/>
      <c r="S1130" s="20"/>
    </row>
    <row r="1131">
      <c r="A1131" s="76" t="s">
        <v>5388</v>
      </c>
      <c r="B1131" s="97">
        <v>46143.0</v>
      </c>
      <c r="C1131" s="76" t="s">
        <v>5389</v>
      </c>
      <c r="D1131" s="99" t="s">
        <v>5390</v>
      </c>
      <c r="E1131" s="25" t="s">
        <v>17</v>
      </c>
      <c r="F1131" s="25" t="s">
        <v>18</v>
      </c>
      <c r="G1131" s="25" t="s">
        <v>34</v>
      </c>
      <c r="H1131" s="76" t="s">
        <v>260</v>
      </c>
      <c r="I1131" s="76" t="s">
        <v>5391</v>
      </c>
      <c r="J1131" s="76">
        <v>3.0</v>
      </c>
      <c r="K1131" s="19">
        <v>4800000.0</v>
      </c>
      <c r="L1131" s="76" t="s">
        <v>5392</v>
      </c>
      <c r="M1131" s="44">
        <v>2.0</v>
      </c>
      <c r="N1131" s="45"/>
      <c r="O1131" s="20"/>
      <c r="P1131" s="20"/>
      <c r="Q1131" s="20"/>
      <c r="R1131" s="20"/>
      <c r="S1131" s="20"/>
    </row>
    <row r="1132">
      <c r="A1132" s="49" t="s">
        <v>5393</v>
      </c>
      <c r="B1132" s="110">
        <v>46143.0</v>
      </c>
      <c r="C1132" s="49" t="s">
        <v>5394</v>
      </c>
      <c r="D1132" s="102" t="s">
        <v>5395</v>
      </c>
      <c r="E1132" s="25" t="s">
        <v>17</v>
      </c>
      <c r="F1132" s="25" t="s">
        <v>18</v>
      </c>
      <c r="G1132" s="25" t="s">
        <v>42</v>
      </c>
      <c r="H1132" s="49" t="s">
        <v>2742</v>
      </c>
      <c r="I1132" s="101">
        <v>46144.0</v>
      </c>
      <c r="J1132" s="49">
        <v>5.0</v>
      </c>
      <c r="K1132" s="36">
        <v>1820000.0</v>
      </c>
      <c r="L1132" s="49" t="s">
        <v>5396</v>
      </c>
      <c r="M1132" s="50">
        <v>8.0</v>
      </c>
      <c r="N1132" s="51"/>
      <c r="O1132" s="20"/>
      <c r="P1132" s="20"/>
      <c r="Q1132" s="20"/>
      <c r="R1132" s="20"/>
      <c r="S1132" s="20"/>
    </row>
    <row r="1133">
      <c r="A1133" s="76" t="s">
        <v>5397</v>
      </c>
      <c r="B1133" s="97">
        <v>46143.0</v>
      </c>
      <c r="C1133" s="76" t="s">
        <v>5398</v>
      </c>
      <c r="D1133" s="99" t="s">
        <v>5399</v>
      </c>
      <c r="E1133" s="25" t="s">
        <v>128</v>
      </c>
      <c r="F1133" s="25" t="s">
        <v>129</v>
      </c>
      <c r="G1133" s="25" t="s">
        <v>19</v>
      </c>
      <c r="H1133" s="76" t="s">
        <v>4532</v>
      </c>
      <c r="I1133" s="118">
        <v>46156.0</v>
      </c>
      <c r="J1133" s="76">
        <v>4.0</v>
      </c>
      <c r="K1133" s="19">
        <v>3452000.0</v>
      </c>
      <c r="L1133" s="76" t="s">
        <v>2877</v>
      </c>
      <c r="M1133" s="44">
        <v>7.0</v>
      </c>
      <c r="N1133" s="45"/>
      <c r="O1133" s="20"/>
      <c r="P1133" s="20"/>
      <c r="Q1133" s="20"/>
      <c r="R1133" s="20"/>
      <c r="S1133" s="20"/>
    </row>
    <row r="1134">
      <c r="A1134" s="49" t="s">
        <v>5400</v>
      </c>
      <c r="B1134" s="97">
        <v>46143.0</v>
      </c>
      <c r="C1134" s="49" t="s">
        <v>5401</v>
      </c>
      <c r="D1134" s="102" t="s">
        <v>5402</v>
      </c>
      <c r="E1134" s="25" t="s">
        <v>122</v>
      </c>
      <c r="F1134" s="25" t="s">
        <v>983</v>
      </c>
      <c r="G1134" s="25" t="s">
        <v>19</v>
      </c>
      <c r="H1134" s="49" t="s">
        <v>3317</v>
      </c>
      <c r="I1134" s="49" t="s">
        <v>5403</v>
      </c>
      <c r="J1134" s="49">
        <v>2.0</v>
      </c>
      <c r="K1134" s="36">
        <v>5500000.0</v>
      </c>
      <c r="L1134" s="49" t="s">
        <v>1803</v>
      </c>
      <c r="M1134" s="50">
        <v>7.0</v>
      </c>
      <c r="N1134" s="51"/>
      <c r="O1134" s="20"/>
      <c r="P1134" s="20"/>
      <c r="Q1134" s="20"/>
      <c r="R1134" s="20"/>
      <c r="S1134" s="20"/>
    </row>
    <row r="1135">
      <c r="A1135" s="76" t="s">
        <v>5404</v>
      </c>
      <c r="B1135" s="97">
        <v>46143.0</v>
      </c>
      <c r="C1135" s="76" t="s">
        <v>5405</v>
      </c>
      <c r="D1135" s="99" t="s">
        <v>5406</v>
      </c>
      <c r="E1135" s="25" t="s">
        <v>17</v>
      </c>
      <c r="F1135" s="25" t="s">
        <v>129</v>
      </c>
      <c r="G1135" s="25" t="s">
        <v>19</v>
      </c>
      <c r="H1135" s="76" t="s">
        <v>3175</v>
      </c>
      <c r="I1135" s="118">
        <v>46170.0</v>
      </c>
      <c r="J1135" s="76">
        <v>4.0</v>
      </c>
      <c r="K1135" s="19">
        <v>8600000.0</v>
      </c>
      <c r="L1135" s="76" t="s">
        <v>2130</v>
      </c>
      <c r="M1135" s="44">
        <v>7.0</v>
      </c>
      <c r="N1135" s="45"/>
      <c r="O1135" s="20"/>
      <c r="P1135" s="20"/>
      <c r="Q1135" s="20"/>
      <c r="R1135" s="20"/>
      <c r="S1135" s="20"/>
    </row>
    <row r="1136">
      <c r="A1136" s="49" t="s">
        <v>5407</v>
      </c>
      <c r="B1136" s="110">
        <v>46143.0</v>
      </c>
      <c r="C1136" s="49" t="s">
        <v>5408</v>
      </c>
      <c r="D1136" s="102" t="s">
        <v>5409</v>
      </c>
      <c r="E1136" s="25" t="s">
        <v>869</v>
      </c>
      <c r="F1136" s="25" t="s">
        <v>129</v>
      </c>
      <c r="G1136" s="25" t="s">
        <v>19</v>
      </c>
      <c r="H1136" s="49" t="s">
        <v>747</v>
      </c>
      <c r="I1136" s="101">
        <v>46159.0</v>
      </c>
      <c r="J1136" s="49">
        <v>2.0</v>
      </c>
      <c r="K1136" s="36">
        <v>590000.0</v>
      </c>
      <c r="L1136" s="49" t="s">
        <v>1763</v>
      </c>
      <c r="M1136" s="50">
        <v>7.0</v>
      </c>
      <c r="N1136" s="51"/>
      <c r="O1136" s="20"/>
      <c r="P1136" s="20"/>
      <c r="Q1136" s="20"/>
      <c r="R1136" s="20"/>
      <c r="S1136" s="20"/>
    </row>
    <row r="1137">
      <c r="A1137" s="76" t="s">
        <v>5410</v>
      </c>
      <c r="B1137" s="97">
        <v>46143.0</v>
      </c>
      <c r="C1137" s="76" t="s">
        <v>3478</v>
      </c>
      <c r="D1137" s="99" t="s">
        <v>5411</v>
      </c>
      <c r="E1137" s="25" t="s">
        <v>128</v>
      </c>
      <c r="F1137" s="25" t="s">
        <v>18</v>
      </c>
      <c r="G1137" s="25" t="s">
        <v>42</v>
      </c>
      <c r="H1137" s="76" t="s">
        <v>747</v>
      </c>
      <c r="I1137" s="118">
        <v>46144.0</v>
      </c>
      <c r="J1137" s="10"/>
      <c r="K1137" s="46"/>
      <c r="L1137" s="76" t="s">
        <v>5412</v>
      </c>
      <c r="M1137" s="44">
        <v>8.0</v>
      </c>
      <c r="N1137" s="45"/>
      <c r="O1137" s="20"/>
      <c r="P1137" s="20"/>
      <c r="Q1137" s="20"/>
      <c r="R1137" s="20"/>
      <c r="S1137" s="20"/>
    </row>
    <row r="1138">
      <c r="A1138" s="49" t="s">
        <v>5413</v>
      </c>
      <c r="B1138" s="110">
        <v>46143.0</v>
      </c>
      <c r="C1138" s="49" t="s">
        <v>5414</v>
      </c>
      <c r="D1138" s="102" t="s">
        <v>5415</v>
      </c>
      <c r="E1138" s="25" t="s">
        <v>128</v>
      </c>
      <c r="F1138" s="25" t="s">
        <v>18</v>
      </c>
      <c r="G1138" s="25" t="s">
        <v>42</v>
      </c>
      <c r="H1138" s="49" t="s">
        <v>747</v>
      </c>
      <c r="I1138" s="101">
        <v>46157.0</v>
      </c>
      <c r="J1138" s="49">
        <v>2.0</v>
      </c>
      <c r="K1138" s="30"/>
      <c r="L1138" s="49" t="s">
        <v>5412</v>
      </c>
      <c r="M1138" s="50">
        <v>8.0</v>
      </c>
      <c r="N1138" s="51"/>
      <c r="O1138" s="20"/>
      <c r="P1138" s="20"/>
      <c r="Q1138" s="20"/>
      <c r="R1138" s="20"/>
      <c r="S1138" s="20"/>
    </row>
    <row r="1139">
      <c r="A1139" s="76" t="s">
        <v>5416</v>
      </c>
      <c r="B1139" s="97">
        <v>46143.0</v>
      </c>
      <c r="C1139" s="76" t="s">
        <v>5417</v>
      </c>
      <c r="D1139" s="99" t="s">
        <v>5418</v>
      </c>
      <c r="E1139" s="25" t="s">
        <v>128</v>
      </c>
      <c r="F1139" s="25" t="s">
        <v>18</v>
      </c>
      <c r="G1139" s="25" t="s">
        <v>42</v>
      </c>
      <c r="H1139" s="76" t="s">
        <v>5419</v>
      </c>
      <c r="I1139" s="76" t="s">
        <v>5420</v>
      </c>
      <c r="J1139" s="76">
        <v>11.0</v>
      </c>
      <c r="K1139" s="46"/>
      <c r="L1139" s="76" t="s">
        <v>5412</v>
      </c>
      <c r="M1139" s="44">
        <v>8.0</v>
      </c>
      <c r="N1139" s="45"/>
      <c r="O1139" s="20"/>
      <c r="P1139" s="20"/>
      <c r="Q1139" s="20"/>
      <c r="R1139" s="20"/>
      <c r="S1139" s="20"/>
    </row>
    <row r="1140">
      <c r="A1140" s="49" t="s">
        <v>5421</v>
      </c>
      <c r="B1140" s="110">
        <v>46143.0</v>
      </c>
      <c r="C1140" s="49" t="s">
        <v>5422</v>
      </c>
      <c r="D1140" s="102" t="s">
        <v>5423</v>
      </c>
      <c r="E1140" s="25" t="s">
        <v>122</v>
      </c>
      <c r="F1140" s="25" t="s">
        <v>18</v>
      </c>
      <c r="G1140" s="25" t="s">
        <v>42</v>
      </c>
      <c r="H1140" s="49" t="s">
        <v>5424</v>
      </c>
      <c r="I1140" s="101">
        <v>46157.0</v>
      </c>
      <c r="J1140" s="23"/>
      <c r="K1140" s="30"/>
      <c r="L1140" s="49" t="s">
        <v>5412</v>
      </c>
      <c r="M1140" s="50">
        <v>8.0</v>
      </c>
      <c r="N1140" s="51"/>
      <c r="O1140" s="20"/>
      <c r="P1140" s="20"/>
      <c r="Q1140" s="20"/>
      <c r="R1140" s="20"/>
      <c r="S1140" s="20"/>
    </row>
    <row r="1141">
      <c r="A1141" s="76" t="s">
        <v>5421</v>
      </c>
      <c r="B1141" s="97">
        <v>46143.0</v>
      </c>
      <c r="C1141" s="76" t="s">
        <v>5425</v>
      </c>
      <c r="D1141" s="99" t="s">
        <v>5426</v>
      </c>
      <c r="E1141" s="25" t="s">
        <v>128</v>
      </c>
      <c r="F1141" s="25" t="s">
        <v>18</v>
      </c>
      <c r="G1141" s="25" t="s">
        <v>42</v>
      </c>
      <c r="H1141" s="76" t="s">
        <v>5427</v>
      </c>
      <c r="I1141" s="118">
        <v>46156.0</v>
      </c>
      <c r="J1141" s="76">
        <v>2.0</v>
      </c>
      <c r="K1141" s="46"/>
      <c r="L1141" s="76" t="s">
        <v>3493</v>
      </c>
      <c r="M1141" s="44">
        <v>8.0</v>
      </c>
      <c r="N1141" s="45"/>
      <c r="O1141" s="20"/>
      <c r="P1141" s="20"/>
      <c r="Q1141" s="20"/>
      <c r="R1141" s="20"/>
      <c r="S1141" s="20"/>
    </row>
    <row r="1142">
      <c r="A1142" s="49" t="s">
        <v>5428</v>
      </c>
      <c r="B1142" s="110">
        <v>46143.0</v>
      </c>
      <c r="C1142" s="49" t="s">
        <v>5429</v>
      </c>
      <c r="D1142" s="102" t="s">
        <v>5430</v>
      </c>
      <c r="E1142" s="25" t="s">
        <v>17</v>
      </c>
      <c r="F1142" s="25" t="s">
        <v>18</v>
      </c>
      <c r="G1142" s="25" t="s">
        <v>34</v>
      </c>
      <c r="H1142" s="49" t="s">
        <v>123</v>
      </c>
      <c r="I1142" s="49" t="s">
        <v>5431</v>
      </c>
      <c r="J1142" s="49">
        <v>5.0</v>
      </c>
      <c r="K1142" s="30"/>
      <c r="L1142" s="49" t="s">
        <v>5432</v>
      </c>
      <c r="M1142" s="50">
        <v>2.0</v>
      </c>
      <c r="N1142" s="51"/>
      <c r="O1142" s="20"/>
      <c r="P1142" s="20"/>
      <c r="Q1142" s="20"/>
      <c r="R1142" s="20"/>
      <c r="S1142" s="20"/>
    </row>
    <row r="1143">
      <c r="A1143" s="76" t="s">
        <v>5433</v>
      </c>
      <c r="B1143" s="97">
        <v>46144.0</v>
      </c>
      <c r="C1143" s="76" t="s">
        <v>5434</v>
      </c>
      <c r="D1143" s="99" t="s">
        <v>5435</v>
      </c>
      <c r="E1143" s="25" t="s">
        <v>128</v>
      </c>
      <c r="F1143" s="25" t="s">
        <v>18</v>
      </c>
      <c r="G1143" s="25" t="s">
        <v>34</v>
      </c>
      <c r="H1143" s="76" t="s">
        <v>5436</v>
      </c>
      <c r="I1143" s="76" t="s">
        <v>254</v>
      </c>
      <c r="J1143" s="76">
        <v>4.0</v>
      </c>
      <c r="K1143" s="19">
        <v>2000000.0</v>
      </c>
      <c r="L1143" s="76" t="s">
        <v>5437</v>
      </c>
      <c r="M1143" s="44">
        <v>2.0</v>
      </c>
      <c r="N1143" s="45"/>
      <c r="O1143" s="20"/>
      <c r="P1143" s="20"/>
      <c r="Q1143" s="20"/>
      <c r="R1143" s="20"/>
      <c r="S1143" s="20"/>
    </row>
    <row r="1144">
      <c r="A1144" s="49" t="s">
        <v>5438</v>
      </c>
      <c r="B1144" s="110">
        <v>46144.0</v>
      </c>
      <c r="C1144" s="49" t="s">
        <v>5439</v>
      </c>
      <c r="D1144" s="102" t="s">
        <v>5440</v>
      </c>
      <c r="E1144" s="25" t="s">
        <v>122</v>
      </c>
      <c r="F1144" s="25" t="s">
        <v>129</v>
      </c>
      <c r="G1144" s="25" t="s">
        <v>34</v>
      </c>
      <c r="H1144" s="49" t="s">
        <v>4054</v>
      </c>
      <c r="I1144" s="49" t="s">
        <v>5441</v>
      </c>
      <c r="J1144" s="49">
        <v>2.0</v>
      </c>
      <c r="K1144" s="30">
        <f>SUM(2667000*2)</f>
        <v>5334000</v>
      </c>
      <c r="L1144" s="49" t="s">
        <v>5442</v>
      </c>
      <c r="M1144" s="50">
        <v>2.0</v>
      </c>
      <c r="N1144" s="104" t="s">
        <v>5443</v>
      </c>
      <c r="O1144" s="20"/>
      <c r="P1144" s="20"/>
      <c r="Q1144" s="20"/>
      <c r="R1144" s="20"/>
      <c r="S1144" s="20"/>
    </row>
    <row r="1145">
      <c r="A1145" s="76" t="s">
        <v>5444</v>
      </c>
      <c r="B1145" s="97">
        <v>46144.0</v>
      </c>
      <c r="C1145" s="76" t="s">
        <v>5445</v>
      </c>
      <c r="D1145" s="99" t="s">
        <v>5446</v>
      </c>
      <c r="E1145" s="25" t="s">
        <v>122</v>
      </c>
      <c r="F1145" s="25" t="s">
        <v>129</v>
      </c>
      <c r="G1145" s="25" t="s">
        <v>19</v>
      </c>
      <c r="H1145" s="76" t="s">
        <v>5447</v>
      </c>
      <c r="I1145" s="118">
        <v>46158.0</v>
      </c>
      <c r="J1145" s="76">
        <v>1.0</v>
      </c>
      <c r="K1145" s="19">
        <v>800000.0</v>
      </c>
      <c r="L1145" s="76" t="s">
        <v>4632</v>
      </c>
      <c r="M1145" s="44">
        <v>7.0</v>
      </c>
      <c r="N1145" s="86" t="s">
        <v>5448</v>
      </c>
      <c r="O1145" s="20"/>
      <c r="P1145" s="20"/>
      <c r="Q1145" s="20"/>
      <c r="R1145" s="20"/>
      <c r="S1145" s="20"/>
    </row>
    <row r="1146">
      <c r="A1146" s="49" t="s">
        <v>5449</v>
      </c>
      <c r="B1146" s="110">
        <v>46145.0</v>
      </c>
      <c r="C1146" s="49" t="s">
        <v>5450</v>
      </c>
      <c r="D1146" s="102" t="s">
        <v>5451</v>
      </c>
      <c r="E1146" s="25" t="s">
        <v>128</v>
      </c>
      <c r="F1146" s="25" t="s">
        <v>129</v>
      </c>
      <c r="G1146" s="25" t="s">
        <v>19</v>
      </c>
      <c r="H1146" s="49" t="s">
        <v>4040</v>
      </c>
      <c r="I1146" s="49" t="s">
        <v>4961</v>
      </c>
      <c r="J1146" s="49">
        <v>2.0</v>
      </c>
      <c r="K1146" s="30">
        <f>SUM(1600000*2)</f>
        <v>3200000</v>
      </c>
      <c r="L1146" s="49" t="s">
        <v>1426</v>
      </c>
      <c r="M1146" s="50">
        <v>7.0</v>
      </c>
      <c r="N1146" s="51"/>
      <c r="O1146" s="20"/>
      <c r="P1146" s="20"/>
      <c r="Q1146" s="20"/>
      <c r="R1146" s="20"/>
      <c r="S1146" s="20"/>
    </row>
    <row r="1147">
      <c r="A1147" s="76" t="s">
        <v>5452</v>
      </c>
      <c r="B1147" s="97">
        <v>46144.0</v>
      </c>
      <c r="C1147" s="76" t="s">
        <v>5453</v>
      </c>
      <c r="D1147" s="99" t="s">
        <v>5454</v>
      </c>
      <c r="E1147" s="25" t="s">
        <v>122</v>
      </c>
      <c r="F1147" s="25" t="s">
        <v>129</v>
      </c>
      <c r="G1147" s="25" t="s">
        <v>42</v>
      </c>
      <c r="H1147" s="76" t="s">
        <v>5455</v>
      </c>
      <c r="I1147" s="118">
        <v>46152.0</v>
      </c>
      <c r="J1147" s="76">
        <v>4.0</v>
      </c>
      <c r="K1147" s="46"/>
      <c r="L1147" s="76" t="s">
        <v>5456</v>
      </c>
      <c r="M1147" s="44">
        <v>8.0</v>
      </c>
      <c r="N1147" s="86" t="s">
        <v>5457</v>
      </c>
      <c r="O1147" s="20"/>
      <c r="P1147" s="20"/>
      <c r="Q1147" s="20"/>
      <c r="R1147" s="20"/>
      <c r="S1147" s="20"/>
    </row>
    <row r="1148">
      <c r="A1148" s="49" t="s">
        <v>5458</v>
      </c>
      <c r="B1148" s="97">
        <v>46144.0</v>
      </c>
      <c r="C1148" s="49" t="s">
        <v>5459</v>
      </c>
      <c r="D1148" s="102" t="s">
        <v>5460</v>
      </c>
      <c r="E1148" s="25" t="s">
        <v>128</v>
      </c>
      <c r="F1148" s="25" t="s">
        <v>129</v>
      </c>
      <c r="G1148" s="25" t="s">
        <v>19</v>
      </c>
      <c r="H1148" s="49" t="s">
        <v>4532</v>
      </c>
      <c r="I1148" s="49" t="s">
        <v>5461</v>
      </c>
      <c r="J1148" s="49" t="s">
        <v>5462</v>
      </c>
      <c r="K1148" s="30"/>
      <c r="L1148" s="49" t="s">
        <v>4632</v>
      </c>
      <c r="M1148" s="50">
        <v>7.0</v>
      </c>
      <c r="N1148" s="51"/>
      <c r="O1148" s="20"/>
      <c r="P1148" s="20"/>
      <c r="Q1148" s="20"/>
      <c r="R1148" s="20"/>
      <c r="S1148" s="20"/>
    </row>
    <row r="1149">
      <c r="A1149" s="76" t="s">
        <v>5463</v>
      </c>
      <c r="B1149" s="97">
        <v>46144.0</v>
      </c>
      <c r="C1149" s="76" t="s">
        <v>5464</v>
      </c>
      <c r="D1149" s="99" t="s">
        <v>5465</v>
      </c>
      <c r="E1149" s="25" t="s">
        <v>122</v>
      </c>
      <c r="F1149" s="25" t="s">
        <v>18</v>
      </c>
      <c r="G1149" s="25" t="s">
        <v>42</v>
      </c>
      <c r="H1149" s="10"/>
      <c r="I1149" s="10"/>
      <c r="J1149" s="10"/>
      <c r="K1149" s="46"/>
      <c r="L1149" s="76" t="s">
        <v>840</v>
      </c>
      <c r="M1149" s="44">
        <v>8.0</v>
      </c>
      <c r="N1149" s="45"/>
      <c r="O1149" s="20"/>
      <c r="P1149" s="20"/>
      <c r="Q1149" s="20"/>
      <c r="R1149" s="20"/>
      <c r="S1149" s="20"/>
    </row>
    <row r="1150">
      <c r="A1150" s="49" t="s">
        <v>5466</v>
      </c>
      <c r="B1150" s="97">
        <v>46145.0</v>
      </c>
      <c r="C1150" s="49" t="s">
        <v>5467</v>
      </c>
      <c r="D1150" s="102" t="s">
        <v>5468</v>
      </c>
      <c r="E1150" s="25" t="s">
        <v>128</v>
      </c>
      <c r="F1150" s="25" t="s">
        <v>18</v>
      </c>
      <c r="G1150" s="25" t="s">
        <v>42</v>
      </c>
      <c r="H1150" s="49" t="s">
        <v>5469</v>
      </c>
      <c r="I1150" s="101">
        <v>46173.0</v>
      </c>
      <c r="J1150" s="136">
        <v>46300.0</v>
      </c>
      <c r="K1150" s="30"/>
      <c r="L1150" s="49" t="s">
        <v>1614</v>
      </c>
      <c r="M1150" s="50">
        <v>8.0</v>
      </c>
      <c r="N1150" s="51"/>
      <c r="O1150" s="20"/>
      <c r="P1150" s="20"/>
      <c r="Q1150" s="20"/>
      <c r="R1150" s="20"/>
      <c r="S1150" s="20"/>
    </row>
    <row r="1151">
      <c r="A1151" s="76" t="s">
        <v>5470</v>
      </c>
      <c r="B1151" s="97">
        <v>46145.0</v>
      </c>
      <c r="C1151" s="76" t="s">
        <v>5471</v>
      </c>
      <c r="D1151" s="99" t="s">
        <v>5472</v>
      </c>
      <c r="E1151" s="25" t="s">
        <v>122</v>
      </c>
      <c r="F1151" s="25" t="s">
        <v>18</v>
      </c>
      <c r="G1151" s="25" t="s">
        <v>42</v>
      </c>
      <c r="H1151" s="76" t="s">
        <v>5473</v>
      </c>
      <c r="I1151" s="118">
        <v>46170.0</v>
      </c>
      <c r="J1151" s="76">
        <v>2.0</v>
      </c>
      <c r="K1151" s="46">
        <f>525000*2</f>
        <v>1050000</v>
      </c>
      <c r="L1151" s="76" t="s">
        <v>5474</v>
      </c>
      <c r="M1151" s="44">
        <v>8.0</v>
      </c>
      <c r="N1151" s="45"/>
      <c r="O1151" s="20"/>
      <c r="P1151" s="20"/>
      <c r="Q1151" s="20"/>
      <c r="R1151" s="20"/>
      <c r="S1151" s="20"/>
    </row>
    <row r="1152">
      <c r="A1152" s="49" t="s">
        <v>5475</v>
      </c>
      <c r="B1152" s="110">
        <v>46145.0</v>
      </c>
      <c r="C1152" s="49" t="s">
        <v>5476</v>
      </c>
      <c r="D1152" s="102" t="s">
        <v>5477</v>
      </c>
      <c r="E1152" s="25" t="s">
        <v>122</v>
      </c>
      <c r="F1152" s="25" t="s">
        <v>18</v>
      </c>
      <c r="G1152" s="25" t="s">
        <v>19</v>
      </c>
      <c r="H1152" s="49" t="s">
        <v>78</v>
      </c>
      <c r="I1152" s="49" t="s">
        <v>905</v>
      </c>
      <c r="J1152" s="49">
        <v>3.0</v>
      </c>
      <c r="K1152" s="36">
        <v>3885000.0</v>
      </c>
      <c r="L1152" s="49" t="s">
        <v>1426</v>
      </c>
      <c r="M1152" s="50">
        <v>7.0</v>
      </c>
      <c r="N1152" s="51"/>
      <c r="O1152" s="20"/>
      <c r="P1152" s="20"/>
      <c r="Q1152" s="20"/>
      <c r="R1152" s="20"/>
      <c r="S1152" s="20"/>
    </row>
    <row r="1153">
      <c r="A1153" s="49" t="s">
        <v>5478</v>
      </c>
      <c r="B1153" s="97">
        <v>46145.0</v>
      </c>
      <c r="C1153" s="76" t="s">
        <v>5479</v>
      </c>
      <c r="D1153" s="99" t="s">
        <v>5480</v>
      </c>
      <c r="E1153" s="25" t="s">
        <v>128</v>
      </c>
      <c r="F1153" s="25" t="s">
        <v>18</v>
      </c>
      <c r="G1153" s="25" t="s">
        <v>42</v>
      </c>
      <c r="H1153" s="76" t="s">
        <v>5481</v>
      </c>
      <c r="I1153" s="76" t="s">
        <v>4429</v>
      </c>
      <c r="J1153" s="76">
        <v>2.0</v>
      </c>
      <c r="K1153" s="46">
        <f>1300000*2</f>
        <v>2600000</v>
      </c>
      <c r="L1153" s="76" t="s">
        <v>5482</v>
      </c>
      <c r="M1153" s="44">
        <v>8.0</v>
      </c>
      <c r="N1153" s="45"/>
      <c r="O1153" s="20"/>
      <c r="P1153" s="20"/>
      <c r="Q1153" s="20"/>
      <c r="R1153" s="20"/>
      <c r="S1153" s="20"/>
    </row>
    <row r="1154">
      <c r="A1154" s="49" t="s">
        <v>5483</v>
      </c>
      <c r="B1154" s="110">
        <v>46144.0</v>
      </c>
      <c r="C1154" s="49" t="s">
        <v>5484</v>
      </c>
      <c r="D1154" s="102" t="s">
        <v>5485</v>
      </c>
      <c r="E1154" s="25" t="s">
        <v>122</v>
      </c>
      <c r="F1154" s="25" t="s">
        <v>18</v>
      </c>
      <c r="G1154" s="25" t="s">
        <v>42</v>
      </c>
      <c r="H1154" s="23"/>
      <c r="I1154" s="23"/>
      <c r="J1154" s="23"/>
      <c r="K1154" s="30"/>
      <c r="L1154" s="49" t="s">
        <v>5486</v>
      </c>
      <c r="M1154" s="50">
        <v>8.0</v>
      </c>
      <c r="N1154" s="51"/>
      <c r="O1154" s="20"/>
      <c r="P1154" s="20"/>
      <c r="Q1154" s="20"/>
      <c r="R1154" s="20"/>
      <c r="S1154" s="20"/>
    </row>
    <row r="1155">
      <c r="A1155" s="76" t="s">
        <v>5487</v>
      </c>
      <c r="B1155" s="97">
        <v>46145.0</v>
      </c>
      <c r="C1155" s="76" t="s">
        <v>5488</v>
      </c>
      <c r="D1155" s="99" t="s">
        <v>5489</v>
      </c>
      <c r="E1155" s="25" t="s">
        <v>128</v>
      </c>
      <c r="F1155" s="25" t="s">
        <v>18</v>
      </c>
      <c r="G1155" s="25" t="s">
        <v>34</v>
      </c>
      <c r="H1155" s="76" t="s">
        <v>1383</v>
      </c>
      <c r="I1155" s="76" t="s">
        <v>3893</v>
      </c>
      <c r="J1155" s="76">
        <v>3.0</v>
      </c>
      <c r="K1155" s="19">
        <v>2970000.0</v>
      </c>
      <c r="L1155" s="76" t="s">
        <v>5490</v>
      </c>
      <c r="M1155" s="44">
        <v>2.0</v>
      </c>
      <c r="N1155" s="45"/>
      <c r="O1155" s="20"/>
      <c r="P1155" s="20"/>
      <c r="Q1155" s="20"/>
      <c r="R1155" s="20"/>
      <c r="S1155" s="20"/>
    </row>
    <row r="1156">
      <c r="A1156" s="49" t="s">
        <v>5491</v>
      </c>
      <c r="B1156" s="110">
        <v>46145.0</v>
      </c>
      <c r="C1156" s="49" t="s">
        <v>5492</v>
      </c>
      <c r="D1156" s="102" t="s">
        <v>5493</v>
      </c>
      <c r="E1156" s="25" t="s">
        <v>128</v>
      </c>
      <c r="F1156" s="25" t="s">
        <v>18</v>
      </c>
      <c r="G1156" s="25" t="s">
        <v>42</v>
      </c>
      <c r="H1156" s="49" t="s">
        <v>2120</v>
      </c>
      <c r="I1156" s="101">
        <v>46157.0</v>
      </c>
      <c r="J1156" s="49">
        <v>6.0</v>
      </c>
      <c r="K1156" s="36">
        <v>3150000.0</v>
      </c>
      <c r="L1156" s="49" t="s">
        <v>5494</v>
      </c>
      <c r="M1156" s="50">
        <v>8.0</v>
      </c>
      <c r="N1156" s="51"/>
      <c r="O1156" s="20"/>
      <c r="P1156" s="20"/>
      <c r="Q1156" s="20"/>
      <c r="R1156" s="20"/>
      <c r="S1156" s="20"/>
    </row>
    <row r="1157">
      <c r="A1157" s="76" t="s">
        <v>5495</v>
      </c>
      <c r="B1157" s="97">
        <v>46143.0</v>
      </c>
      <c r="C1157" s="76" t="s">
        <v>5496</v>
      </c>
      <c r="D1157" s="99" t="s">
        <v>5497</v>
      </c>
      <c r="E1157" s="25" t="s">
        <v>122</v>
      </c>
      <c r="F1157" s="25" t="s">
        <v>983</v>
      </c>
      <c r="G1157" s="25" t="s">
        <v>34</v>
      </c>
      <c r="H1157" s="76" t="s">
        <v>5498</v>
      </c>
      <c r="I1157" s="76" t="s">
        <v>2028</v>
      </c>
      <c r="J1157" s="10"/>
      <c r="K1157" s="46"/>
      <c r="L1157" s="76" t="s">
        <v>5499</v>
      </c>
      <c r="M1157" s="44">
        <v>2.0</v>
      </c>
      <c r="N1157" s="86" t="s">
        <v>5500</v>
      </c>
      <c r="O1157" s="20"/>
      <c r="P1157" s="20"/>
      <c r="Q1157" s="20"/>
      <c r="R1157" s="20"/>
      <c r="S1157" s="20"/>
    </row>
    <row r="1158">
      <c r="A1158" s="49" t="s">
        <v>5501</v>
      </c>
      <c r="B1158" s="110">
        <v>46145.0</v>
      </c>
      <c r="C1158" s="49" t="s">
        <v>5502</v>
      </c>
      <c r="D1158" s="102" t="s">
        <v>5503</v>
      </c>
      <c r="E1158" s="25" t="s">
        <v>128</v>
      </c>
      <c r="F1158" s="25" t="s">
        <v>18</v>
      </c>
      <c r="G1158" s="25" t="s">
        <v>42</v>
      </c>
      <c r="H1158" s="49" t="s">
        <v>4901</v>
      </c>
      <c r="I1158" s="101">
        <v>46158.0</v>
      </c>
      <c r="J1158" s="49">
        <v>3.0</v>
      </c>
      <c r="K1158" s="30"/>
      <c r="L1158" s="49" t="s">
        <v>5504</v>
      </c>
      <c r="M1158" s="50">
        <v>8.0</v>
      </c>
      <c r="N1158" s="51"/>
      <c r="O1158" s="20"/>
      <c r="P1158" s="20"/>
      <c r="Q1158" s="20"/>
      <c r="R1158" s="20"/>
      <c r="S1158" s="20"/>
    </row>
    <row r="1159">
      <c r="A1159" s="76" t="s">
        <v>5505</v>
      </c>
      <c r="B1159" s="97">
        <v>46115.0</v>
      </c>
      <c r="C1159" s="76" t="s">
        <v>5506</v>
      </c>
      <c r="D1159" s="99" t="s">
        <v>5507</v>
      </c>
      <c r="E1159" s="25" t="s">
        <v>128</v>
      </c>
      <c r="F1159" s="25" t="s">
        <v>18</v>
      </c>
      <c r="G1159" s="25" t="s">
        <v>42</v>
      </c>
      <c r="H1159" s="76" t="s">
        <v>4901</v>
      </c>
      <c r="I1159" s="118">
        <v>46158.0</v>
      </c>
      <c r="J1159" s="10"/>
      <c r="K1159" s="46"/>
      <c r="L1159" s="76" t="s">
        <v>840</v>
      </c>
      <c r="M1159" s="44">
        <v>8.0</v>
      </c>
      <c r="N1159" s="45"/>
      <c r="O1159" s="20"/>
      <c r="P1159" s="20"/>
      <c r="Q1159" s="20"/>
      <c r="R1159" s="20"/>
      <c r="S1159" s="20"/>
    </row>
    <row r="1160">
      <c r="A1160" s="49" t="s">
        <v>5508</v>
      </c>
      <c r="B1160" s="110">
        <v>46146.0</v>
      </c>
      <c r="C1160" s="49" t="s">
        <v>5509</v>
      </c>
      <c r="D1160" s="102" t="s">
        <v>5510</v>
      </c>
      <c r="E1160" s="25" t="s">
        <v>128</v>
      </c>
      <c r="F1160" s="25" t="s">
        <v>18</v>
      </c>
      <c r="G1160" s="25" t="s">
        <v>34</v>
      </c>
      <c r="H1160" s="49" t="s">
        <v>2555</v>
      </c>
      <c r="I1160" s="49" t="s">
        <v>5511</v>
      </c>
      <c r="J1160" s="49">
        <v>2.0</v>
      </c>
      <c r="K1160" s="36">
        <v>7200000.0</v>
      </c>
      <c r="L1160" s="49" t="s">
        <v>5512</v>
      </c>
      <c r="M1160" s="50">
        <v>2.0</v>
      </c>
      <c r="N1160" s="51"/>
      <c r="O1160" s="20"/>
      <c r="P1160" s="20"/>
      <c r="Q1160" s="20"/>
      <c r="R1160" s="20"/>
      <c r="S1160" s="20"/>
    </row>
    <row r="1161">
      <c r="A1161" s="76" t="s">
        <v>5513</v>
      </c>
      <c r="B1161" s="97">
        <v>46145.0</v>
      </c>
      <c r="C1161" s="76" t="s">
        <v>5514</v>
      </c>
      <c r="D1161" s="99" t="s">
        <v>5515</v>
      </c>
      <c r="E1161" s="25" t="s">
        <v>128</v>
      </c>
      <c r="F1161" s="25" t="s">
        <v>129</v>
      </c>
      <c r="G1161" s="25" t="s">
        <v>19</v>
      </c>
      <c r="H1161" s="76" t="s">
        <v>5516</v>
      </c>
      <c r="I1161" s="118">
        <v>46155.0</v>
      </c>
      <c r="J1161" s="76">
        <v>5.0</v>
      </c>
      <c r="K1161" s="19">
        <v>4350000.0</v>
      </c>
      <c r="L1161" s="76" t="s">
        <v>1426</v>
      </c>
      <c r="M1161" s="44">
        <v>7.0</v>
      </c>
      <c r="N1161" s="45"/>
      <c r="O1161" s="20"/>
      <c r="P1161" s="20"/>
      <c r="Q1161" s="20"/>
      <c r="R1161" s="20"/>
      <c r="S1161" s="20"/>
    </row>
    <row r="1162">
      <c r="A1162" s="49" t="s">
        <v>5517</v>
      </c>
      <c r="B1162" s="110">
        <v>46146.0</v>
      </c>
      <c r="C1162" s="49" t="s">
        <v>5518</v>
      </c>
      <c r="D1162" s="102" t="s">
        <v>5519</v>
      </c>
      <c r="E1162" s="25" t="s">
        <v>122</v>
      </c>
      <c r="F1162" s="25" t="s">
        <v>129</v>
      </c>
      <c r="G1162" s="25" t="s">
        <v>29</v>
      </c>
      <c r="H1162" s="49" t="s">
        <v>4351</v>
      </c>
      <c r="I1162" s="49" t="s">
        <v>5520</v>
      </c>
      <c r="J1162" s="49">
        <v>50.0</v>
      </c>
      <c r="K1162" s="30"/>
      <c r="L1162" s="49" t="s">
        <v>5521</v>
      </c>
      <c r="M1162" s="50">
        <v>1.0</v>
      </c>
      <c r="N1162" s="104" t="s">
        <v>5522</v>
      </c>
      <c r="O1162" s="20"/>
      <c r="P1162" s="20"/>
      <c r="Q1162" s="20"/>
      <c r="R1162" s="20"/>
      <c r="S1162" s="20"/>
    </row>
    <row r="1163">
      <c r="A1163" s="76" t="s">
        <v>5523</v>
      </c>
      <c r="B1163" s="97">
        <v>46146.0</v>
      </c>
      <c r="C1163" s="76" t="s">
        <v>5524</v>
      </c>
      <c r="D1163" s="99" t="s">
        <v>5525</v>
      </c>
      <c r="E1163" s="25" t="s">
        <v>122</v>
      </c>
      <c r="F1163" s="25" t="s">
        <v>129</v>
      </c>
      <c r="G1163" s="25" t="s">
        <v>19</v>
      </c>
      <c r="H1163" s="76" t="s">
        <v>747</v>
      </c>
      <c r="I1163" s="118">
        <v>46156.0</v>
      </c>
      <c r="J1163" s="76">
        <v>4.0</v>
      </c>
      <c r="K1163" s="46">
        <f>SUM(295000*4)</f>
        <v>1180000</v>
      </c>
      <c r="L1163" s="76" t="s">
        <v>4632</v>
      </c>
      <c r="M1163" s="44">
        <v>7.0</v>
      </c>
      <c r="N1163" s="45"/>
      <c r="O1163" s="20"/>
      <c r="P1163" s="20"/>
      <c r="Q1163" s="20"/>
      <c r="R1163" s="20"/>
      <c r="S1163" s="20"/>
    </row>
    <row r="1164">
      <c r="A1164" s="49" t="s">
        <v>5526</v>
      </c>
      <c r="B1164" s="110">
        <v>46145.0</v>
      </c>
      <c r="C1164" s="49" t="s">
        <v>5527</v>
      </c>
      <c r="D1164" s="102" t="s">
        <v>5528</v>
      </c>
      <c r="E1164" s="25" t="s">
        <v>128</v>
      </c>
      <c r="F1164" s="25" t="s">
        <v>129</v>
      </c>
      <c r="G1164" s="25" t="s">
        <v>19</v>
      </c>
      <c r="H1164" s="49" t="s">
        <v>4054</v>
      </c>
      <c r="I1164" s="101">
        <v>46154.0</v>
      </c>
      <c r="J1164" s="49">
        <v>2.0</v>
      </c>
      <c r="K1164" s="30">
        <f>SUM(3064000*J1164)</f>
        <v>6128000</v>
      </c>
      <c r="L1164" s="49" t="s">
        <v>5529</v>
      </c>
      <c r="M1164" s="50">
        <v>7.0</v>
      </c>
      <c r="N1164" s="51"/>
      <c r="O1164" s="20"/>
      <c r="P1164" s="20"/>
      <c r="Q1164" s="20"/>
      <c r="R1164" s="20"/>
      <c r="S1164" s="20"/>
    </row>
    <row r="1165">
      <c r="A1165" s="76" t="s">
        <v>5530</v>
      </c>
      <c r="B1165" s="97">
        <v>46146.0</v>
      </c>
      <c r="C1165" s="76" t="s">
        <v>5531</v>
      </c>
      <c r="D1165" s="99" t="s">
        <v>5532</v>
      </c>
      <c r="E1165" s="25" t="s">
        <v>128</v>
      </c>
      <c r="F1165" s="25" t="s">
        <v>18</v>
      </c>
      <c r="G1165" s="25" t="s">
        <v>42</v>
      </c>
      <c r="H1165" s="76" t="s">
        <v>747</v>
      </c>
      <c r="I1165" s="118">
        <v>46158.0</v>
      </c>
      <c r="J1165" s="76">
        <v>3.0</v>
      </c>
      <c r="K1165" s="19">
        <v>885000.0</v>
      </c>
      <c r="L1165" s="76" t="s">
        <v>5533</v>
      </c>
      <c r="M1165" s="44">
        <v>8.0</v>
      </c>
      <c r="N1165" s="45"/>
      <c r="O1165" s="20"/>
      <c r="P1165" s="20"/>
      <c r="Q1165" s="20"/>
      <c r="R1165" s="20"/>
      <c r="S1165" s="20"/>
    </row>
    <row r="1166">
      <c r="A1166" s="49" t="s">
        <v>5534</v>
      </c>
      <c r="B1166" s="110">
        <v>46146.0</v>
      </c>
      <c r="C1166" s="49" t="s">
        <v>5535</v>
      </c>
      <c r="D1166" s="102" t="s">
        <v>5536</v>
      </c>
      <c r="E1166" s="25" t="s">
        <v>128</v>
      </c>
      <c r="F1166" s="25" t="s">
        <v>18</v>
      </c>
      <c r="G1166" s="25" t="s">
        <v>19</v>
      </c>
      <c r="H1166" s="49" t="s">
        <v>747</v>
      </c>
      <c r="I1166" s="101">
        <v>46192.0</v>
      </c>
      <c r="J1166" s="49">
        <v>2.0</v>
      </c>
      <c r="K1166" s="36">
        <v>525000.0</v>
      </c>
      <c r="L1166" s="49" t="s">
        <v>2877</v>
      </c>
      <c r="M1166" s="50">
        <v>7.0</v>
      </c>
      <c r="N1166" s="51"/>
      <c r="O1166" s="20"/>
      <c r="P1166" s="20"/>
      <c r="Q1166" s="20"/>
      <c r="R1166" s="20"/>
      <c r="S1166" s="20"/>
    </row>
    <row r="1167">
      <c r="A1167" s="76" t="s">
        <v>5410</v>
      </c>
      <c r="B1167" s="97">
        <v>46146.0</v>
      </c>
      <c r="C1167" s="76" t="s">
        <v>5537</v>
      </c>
      <c r="D1167" s="99" t="s">
        <v>5538</v>
      </c>
      <c r="E1167" s="25" t="s">
        <v>1877</v>
      </c>
      <c r="F1167" s="25" t="s">
        <v>983</v>
      </c>
      <c r="G1167" s="25" t="s">
        <v>42</v>
      </c>
      <c r="H1167" s="76" t="s">
        <v>5539</v>
      </c>
      <c r="I1167" s="118">
        <v>46177.0</v>
      </c>
      <c r="J1167" s="76">
        <v>2.0</v>
      </c>
      <c r="K1167" s="46">
        <f>550000*2</f>
        <v>1100000</v>
      </c>
      <c r="L1167" s="76" t="s">
        <v>3053</v>
      </c>
      <c r="M1167" s="44">
        <v>8.0</v>
      </c>
      <c r="N1167" s="45"/>
      <c r="O1167" s="20"/>
      <c r="P1167" s="20"/>
      <c r="Q1167" s="20"/>
      <c r="R1167" s="20"/>
      <c r="S1167" s="20"/>
    </row>
    <row r="1168">
      <c r="A1168" s="49" t="s">
        <v>5540</v>
      </c>
      <c r="B1168" s="110">
        <v>46147.0</v>
      </c>
      <c r="C1168" s="49" t="s">
        <v>5541</v>
      </c>
      <c r="D1168" s="102" t="s">
        <v>5542</v>
      </c>
      <c r="E1168" s="25" t="s">
        <v>128</v>
      </c>
      <c r="F1168" s="25" t="s">
        <v>129</v>
      </c>
      <c r="G1168" s="25" t="s">
        <v>19</v>
      </c>
      <c r="H1168" s="49" t="s">
        <v>3904</v>
      </c>
      <c r="I1168" s="101">
        <v>46157.0</v>
      </c>
      <c r="J1168" s="49">
        <v>2.0</v>
      </c>
      <c r="K1168" s="30">
        <f>SUM(1794000*2)</f>
        <v>3588000</v>
      </c>
      <c r="L1168" s="49" t="s">
        <v>1763</v>
      </c>
      <c r="M1168" s="50">
        <v>7.0</v>
      </c>
      <c r="N1168" s="51"/>
      <c r="O1168" s="20"/>
      <c r="P1168" s="20"/>
      <c r="Q1168" s="20"/>
      <c r="R1168" s="20"/>
      <c r="S1168" s="20"/>
    </row>
    <row r="1169">
      <c r="A1169" s="76" t="s">
        <v>5543</v>
      </c>
      <c r="B1169" s="97">
        <v>46147.0</v>
      </c>
      <c r="C1169" s="76" t="s">
        <v>5544</v>
      </c>
      <c r="D1169" s="99" t="s">
        <v>5545</v>
      </c>
      <c r="E1169" s="25" t="s">
        <v>128</v>
      </c>
      <c r="F1169" s="25" t="s">
        <v>129</v>
      </c>
      <c r="G1169" s="25" t="s">
        <v>29</v>
      </c>
      <c r="H1169" s="76" t="s">
        <v>4074</v>
      </c>
      <c r="I1169" s="118">
        <v>46206.0</v>
      </c>
      <c r="J1169" s="76">
        <v>44.0</v>
      </c>
      <c r="K1169" s="46"/>
      <c r="L1169" s="76" t="s">
        <v>5546</v>
      </c>
      <c r="M1169" s="44">
        <v>1.0</v>
      </c>
      <c r="N1169" s="86" t="s">
        <v>5547</v>
      </c>
      <c r="O1169" s="20"/>
      <c r="P1169" s="20"/>
      <c r="Q1169" s="20"/>
      <c r="R1169" s="20"/>
      <c r="S1169" s="20"/>
    </row>
    <row r="1170">
      <c r="A1170" s="49" t="s">
        <v>5543</v>
      </c>
      <c r="B1170" s="110">
        <v>46146.0</v>
      </c>
      <c r="C1170" s="49" t="s">
        <v>5548</v>
      </c>
      <c r="D1170" s="102" t="s">
        <v>5549</v>
      </c>
      <c r="E1170" s="25" t="s">
        <v>17</v>
      </c>
      <c r="F1170" s="25" t="s">
        <v>129</v>
      </c>
      <c r="G1170" s="25" t="s">
        <v>42</v>
      </c>
      <c r="H1170" s="49" t="s">
        <v>3904</v>
      </c>
      <c r="I1170" s="101">
        <v>46156.0</v>
      </c>
      <c r="J1170" s="49">
        <v>2.0</v>
      </c>
      <c r="K1170" s="30"/>
      <c r="L1170" s="49" t="s">
        <v>5550</v>
      </c>
      <c r="M1170" s="50">
        <v>8.0</v>
      </c>
      <c r="N1170" s="104" t="s">
        <v>5551</v>
      </c>
      <c r="O1170" s="20"/>
      <c r="P1170" s="20"/>
      <c r="Q1170" s="20"/>
      <c r="R1170" s="20"/>
      <c r="S1170" s="20"/>
    </row>
    <row r="1171">
      <c r="A1171" s="76" t="s">
        <v>5552</v>
      </c>
      <c r="B1171" s="97">
        <v>46146.0</v>
      </c>
      <c r="C1171" s="76" t="s">
        <v>5553</v>
      </c>
      <c r="D1171" s="99" t="s">
        <v>5554</v>
      </c>
      <c r="E1171" s="25" t="s">
        <v>128</v>
      </c>
      <c r="F1171" s="25" t="s">
        <v>129</v>
      </c>
      <c r="G1171" s="25" t="s">
        <v>42</v>
      </c>
      <c r="H1171" s="76" t="s">
        <v>3904</v>
      </c>
      <c r="I1171" s="118">
        <v>46156.0</v>
      </c>
      <c r="J1171" s="76">
        <v>4.0</v>
      </c>
      <c r="K1171" s="46"/>
      <c r="L1171" s="76" t="s">
        <v>5555</v>
      </c>
      <c r="M1171" s="44">
        <v>8.0</v>
      </c>
      <c r="N1171" s="86" t="s">
        <v>5556</v>
      </c>
      <c r="O1171" s="20"/>
      <c r="P1171" s="20"/>
      <c r="Q1171" s="20"/>
      <c r="R1171" s="20"/>
      <c r="S1171" s="20"/>
    </row>
    <row r="1172">
      <c r="A1172" s="49" t="s">
        <v>5557</v>
      </c>
      <c r="B1172" s="110">
        <v>46146.0</v>
      </c>
      <c r="C1172" s="49" t="s">
        <v>5558</v>
      </c>
      <c r="D1172" s="102" t="s">
        <v>5559</v>
      </c>
      <c r="E1172" s="25" t="s">
        <v>128</v>
      </c>
      <c r="F1172" s="25" t="s">
        <v>129</v>
      </c>
      <c r="G1172" s="25" t="s">
        <v>42</v>
      </c>
      <c r="H1172" s="49" t="s">
        <v>5560</v>
      </c>
      <c r="I1172" s="101">
        <v>46151.0</v>
      </c>
      <c r="J1172" s="49">
        <v>10.0</v>
      </c>
      <c r="K1172" s="30"/>
      <c r="L1172" s="49" t="s">
        <v>5561</v>
      </c>
      <c r="M1172" s="50">
        <v>8.0</v>
      </c>
      <c r="N1172" s="104" t="s">
        <v>5562</v>
      </c>
      <c r="O1172" s="20"/>
      <c r="P1172" s="20"/>
      <c r="Q1172" s="20"/>
      <c r="R1172" s="20"/>
      <c r="S1172" s="20"/>
    </row>
    <row r="1173">
      <c r="A1173" s="76" t="s">
        <v>5563</v>
      </c>
      <c r="B1173" s="97">
        <v>46147.0</v>
      </c>
      <c r="C1173" s="76" t="s">
        <v>5564</v>
      </c>
      <c r="D1173" s="99" t="s">
        <v>5565</v>
      </c>
      <c r="E1173" s="25" t="s">
        <v>128</v>
      </c>
      <c r="F1173" s="25" t="s">
        <v>129</v>
      </c>
      <c r="G1173" s="25" t="s">
        <v>42</v>
      </c>
      <c r="H1173" s="76" t="s">
        <v>5566</v>
      </c>
      <c r="I1173" s="118">
        <v>46174.0</v>
      </c>
      <c r="J1173" s="76">
        <v>2.0</v>
      </c>
      <c r="K1173" s="46"/>
      <c r="L1173" s="76" t="s">
        <v>5567</v>
      </c>
      <c r="M1173" s="44">
        <v>8.0</v>
      </c>
      <c r="N1173" s="86" t="s">
        <v>5568</v>
      </c>
      <c r="O1173" s="20"/>
      <c r="P1173" s="20"/>
      <c r="Q1173" s="20"/>
      <c r="R1173" s="20"/>
      <c r="S1173" s="20"/>
    </row>
    <row r="1174">
      <c r="A1174" s="49" t="s">
        <v>5569</v>
      </c>
      <c r="B1174" s="110">
        <v>46147.0</v>
      </c>
      <c r="C1174" s="49" t="s">
        <v>5570</v>
      </c>
      <c r="D1174" s="102" t="s">
        <v>5571</v>
      </c>
      <c r="E1174" s="25" t="s">
        <v>128</v>
      </c>
      <c r="F1174" s="25" t="s">
        <v>129</v>
      </c>
      <c r="G1174" s="25" t="s">
        <v>42</v>
      </c>
      <c r="H1174" s="49" t="s">
        <v>5572</v>
      </c>
      <c r="I1174" s="49" t="s">
        <v>4184</v>
      </c>
      <c r="J1174" s="49">
        <v>5.0</v>
      </c>
      <c r="K1174" s="30"/>
      <c r="L1174" s="49" t="s">
        <v>5573</v>
      </c>
      <c r="M1174" s="50">
        <v>8.0</v>
      </c>
      <c r="N1174" s="51"/>
      <c r="O1174" s="20"/>
      <c r="P1174" s="20"/>
      <c r="Q1174" s="20"/>
      <c r="R1174" s="20"/>
      <c r="S1174" s="20"/>
    </row>
    <row r="1175">
      <c r="A1175" s="76" t="s">
        <v>5574</v>
      </c>
      <c r="B1175" s="97">
        <v>46148.0</v>
      </c>
      <c r="C1175" s="76" t="s">
        <v>5575</v>
      </c>
      <c r="D1175" s="99" t="s">
        <v>5576</v>
      </c>
      <c r="E1175" s="25" t="s">
        <v>128</v>
      </c>
      <c r="F1175" s="25" t="s">
        <v>129</v>
      </c>
      <c r="G1175" s="25" t="s">
        <v>29</v>
      </c>
      <c r="H1175" s="76" t="s">
        <v>5577</v>
      </c>
      <c r="I1175" s="76" t="s">
        <v>2400</v>
      </c>
      <c r="J1175" s="76">
        <v>2.0</v>
      </c>
      <c r="K1175" s="46"/>
      <c r="L1175" s="76" t="s">
        <v>5578</v>
      </c>
      <c r="M1175" s="44">
        <v>1.0</v>
      </c>
      <c r="N1175" s="86" t="s">
        <v>5579</v>
      </c>
      <c r="O1175" s="20"/>
      <c r="P1175" s="20"/>
      <c r="Q1175" s="20"/>
      <c r="R1175" s="20"/>
      <c r="S1175" s="20"/>
    </row>
    <row r="1176">
      <c r="A1176" s="49" t="s">
        <v>5580</v>
      </c>
      <c r="B1176" s="110">
        <v>46148.0</v>
      </c>
      <c r="C1176" s="49" t="s">
        <v>5581</v>
      </c>
      <c r="D1176" s="102" t="s">
        <v>5582</v>
      </c>
      <c r="E1176" s="25" t="s">
        <v>128</v>
      </c>
      <c r="F1176" s="25" t="s">
        <v>983</v>
      </c>
      <c r="G1176" s="25" t="s">
        <v>19</v>
      </c>
      <c r="H1176" s="49" t="s">
        <v>5583</v>
      </c>
      <c r="I1176" s="101">
        <v>46188.0</v>
      </c>
      <c r="J1176" s="49">
        <v>2.0</v>
      </c>
      <c r="K1176" s="30">
        <f>756000*2</f>
        <v>1512000</v>
      </c>
      <c r="L1176" s="49" t="s">
        <v>4717</v>
      </c>
      <c r="M1176" s="50">
        <v>7.0</v>
      </c>
      <c r="N1176" s="51"/>
      <c r="O1176" s="20"/>
      <c r="P1176" s="20"/>
      <c r="Q1176" s="20"/>
      <c r="R1176" s="20"/>
      <c r="S1176" s="20"/>
    </row>
    <row r="1177">
      <c r="A1177" s="76" t="s">
        <v>5584</v>
      </c>
      <c r="B1177" s="97">
        <v>46148.0</v>
      </c>
      <c r="C1177" s="76" t="s">
        <v>930</v>
      </c>
      <c r="D1177" s="99" t="s">
        <v>5585</v>
      </c>
      <c r="E1177" s="25" t="s">
        <v>128</v>
      </c>
      <c r="F1177" s="25" t="s">
        <v>129</v>
      </c>
      <c r="G1177" s="25" t="s">
        <v>42</v>
      </c>
      <c r="H1177" s="76" t="s">
        <v>3210</v>
      </c>
      <c r="I1177" s="118">
        <v>46157.0</v>
      </c>
      <c r="J1177" s="76">
        <v>2.0</v>
      </c>
      <c r="K1177" s="46"/>
      <c r="L1177" s="76" t="s">
        <v>3493</v>
      </c>
      <c r="M1177" s="44">
        <v>8.0</v>
      </c>
      <c r="N1177" s="86" t="s">
        <v>5586</v>
      </c>
      <c r="O1177" s="20"/>
      <c r="P1177" s="20"/>
      <c r="Q1177" s="20"/>
      <c r="R1177" s="20"/>
      <c r="S1177" s="20"/>
    </row>
    <row r="1178">
      <c r="A1178" s="49" t="s">
        <v>5587</v>
      </c>
      <c r="B1178" s="110">
        <v>46146.0</v>
      </c>
      <c r="C1178" s="49" t="s">
        <v>5588</v>
      </c>
      <c r="D1178" s="102" t="s">
        <v>5589</v>
      </c>
      <c r="E1178" s="25" t="s">
        <v>122</v>
      </c>
      <c r="F1178" s="25" t="s">
        <v>129</v>
      </c>
      <c r="G1178" s="25" t="s">
        <v>42</v>
      </c>
      <c r="H1178" s="49" t="s">
        <v>3904</v>
      </c>
      <c r="I1178" s="101">
        <v>46157.0</v>
      </c>
      <c r="J1178" s="49">
        <v>13.0</v>
      </c>
      <c r="K1178" s="30"/>
      <c r="L1178" s="49" t="s">
        <v>5590</v>
      </c>
      <c r="M1178" s="50">
        <v>8.0</v>
      </c>
      <c r="N1178" s="51"/>
      <c r="O1178" s="20"/>
      <c r="P1178" s="20"/>
      <c r="Q1178" s="20"/>
      <c r="R1178" s="20"/>
      <c r="S1178" s="20"/>
    </row>
    <row r="1179">
      <c r="A1179" s="76" t="s">
        <v>5591</v>
      </c>
      <c r="B1179" s="97">
        <v>46148.0</v>
      </c>
      <c r="C1179" s="76" t="s">
        <v>4231</v>
      </c>
      <c r="D1179" s="99" t="s">
        <v>5592</v>
      </c>
      <c r="E1179" s="25" t="s">
        <v>122</v>
      </c>
      <c r="F1179" s="25" t="s">
        <v>129</v>
      </c>
      <c r="G1179" s="25" t="s">
        <v>42</v>
      </c>
      <c r="H1179" s="10"/>
      <c r="I1179" s="118">
        <v>46157.0</v>
      </c>
      <c r="J1179" s="76">
        <v>2.0</v>
      </c>
      <c r="K1179" s="46"/>
      <c r="L1179" s="76" t="s">
        <v>3493</v>
      </c>
      <c r="M1179" s="44">
        <v>8.0</v>
      </c>
      <c r="N1179" s="86" t="s">
        <v>5593</v>
      </c>
      <c r="O1179" s="20"/>
      <c r="P1179" s="20"/>
      <c r="Q1179" s="20"/>
      <c r="R1179" s="20"/>
      <c r="S1179" s="20"/>
    </row>
    <row r="1180">
      <c r="A1180" s="49" t="s">
        <v>5594</v>
      </c>
      <c r="B1180" s="110">
        <v>46148.0</v>
      </c>
      <c r="C1180" s="49" t="s">
        <v>5595</v>
      </c>
      <c r="D1180" s="102" t="s">
        <v>5596</v>
      </c>
      <c r="E1180" s="25" t="s">
        <v>128</v>
      </c>
      <c r="F1180" s="25" t="s">
        <v>129</v>
      </c>
      <c r="G1180" s="25" t="s">
        <v>19</v>
      </c>
      <c r="H1180" s="49" t="s">
        <v>2166</v>
      </c>
      <c r="I1180" s="101">
        <v>46172.0</v>
      </c>
      <c r="J1180" s="49">
        <v>4.0</v>
      </c>
      <c r="K1180" s="30">
        <f>SUM(250000*4)</f>
        <v>1000000</v>
      </c>
      <c r="L1180" s="49" t="s">
        <v>2572</v>
      </c>
      <c r="M1180" s="50">
        <v>7.0</v>
      </c>
      <c r="N1180" s="104" t="s">
        <v>5597</v>
      </c>
      <c r="O1180" s="20"/>
      <c r="P1180" s="20"/>
      <c r="Q1180" s="20"/>
      <c r="R1180" s="20"/>
      <c r="S1180" s="20"/>
    </row>
    <row r="1181">
      <c r="A1181" s="76" t="s">
        <v>5598</v>
      </c>
      <c r="B1181" s="97">
        <v>46148.0</v>
      </c>
      <c r="C1181" s="76" t="s">
        <v>5599</v>
      </c>
      <c r="D1181" s="99" t="s">
        <v>5600</v>
      </c>
      <c r="E1181" s="25" t="s">
        <v>122</v>
      </c>
      <c r="F1181" s="25" t="s">
        <v>129</v>
      </c>
      <c r="G1181" s="25" t="s">
        <v>29</v>
      </c>
      <c r="H1181" s="10"/>
      <c r="I1181" s="10"/>
      <c r="J1181" s="10"/>
      <c r="K1181" s="46"/>
      <c r="L1181" s="76" t="s">
        <v>5601</v>
      </c>
      <c r="M1181" s="44">
        <v>1.0</v>
      </c>
      <c r="N1181" s="86" t="s">
        <v>5602</v>
      </c>
      <c r="O1181" s="20"/>
      <c r="P1181" s="20"/>
      <c r="Q1181" s="20"/>
      <c r="R1181" s="20"/>
      <c r="S1181" s="20"/>
    </row>
    <row r="1182">
      <c r="A1182" s="49" t="s">
        <v>5603</v>
      </c>
      <c r="B1182" s="110">
        <v>46145.0</v>
      </c>
      <c r="C1182" s="49" t="s">
        <v>5604</v>
      </c>
      <c r="D1182" s="102" t="s">
        <v>5605</v>
      </c>
      <c r="E1182" s="25" t="s">
        <v>128</v>
      </c>
      <c r="F1182" s="25" t="s">
        <v>18</v>
      </c>
      <c r="G1182" s="25" t="s">
        <v>19</v>
      </c>
      <c r="H1182" s="49" t="s">
        <v>5606</v>
      </c>
      <c r="I1182" s="101">
        <v>46164.0</v>
      </c>
      <c r="J1182" s="49">
        <v>2.0</v>
      </c>
      <c r="K1182" s="36">
        <v>1754000.0</v>
      </c>
      <c r="L1182" s="49" t="s">
        <v>1803</v>
      </c>
      <c r="M1182" s="50">
        <v>7.0</v>
      </c>
      <c r="N1182" s="51"/>
      <c r="O1182" s="20"/>
      <c r="P1182" s="20"/>
      <c r="Q1182" s="20"/>
      <c r="R1182" s="20"/>
      <c r="S1182" s="20"/>
    </row>
    <row r="1183">
      <c r="A1183" s="49" t="s">
        <v>5607</v>
      </c>
      <c r="B1183" s="110">
        <v>46145.0</v>
      </c>
      <c r="C1183" s="76" t="s">
        <v>5488</v>
      </c>
      <c r="D1183" s="99" t="s">
        <v>5608</v>
      </c>
      <c r="E1183" s="25" t="s">
        <v>128</v>
      </c>
      <c r="F1183" s="25" t="s">
        <v>18</v>
      </c>
      <c r="G1183" s="25" t="s">
        <v>34</v>
      </c>
      <c r="H1183" s="76" t="s">
        <v>5609</v>
      </c>
      <c r="I1183" s="76" t="s">
        <v>3893</v>
      </c>
      <c r="J1183" s="10"/>
      <c r="K1183" s="46">
        <f>990000*3</f>
        <v>2970000</v>
      </c>
      <c r="L1183" s="76" t="s">
        <v>5610</v>
      </c>
      <c r="M1183" s="44">
        <v>2.0</v>
      </c>
      <c r="N1183" s="45"/>
      <c r="O1183" s="20"/>
      <c r="P1183" s="20"/>
      <c r="Q1183" s="20"/>
      <c r="R1183" s="20"/>
      <c r="S1183" s="20"/>
    </row>
    <row r="1184">
      <c r="A1184" s="49" t="s">
        <v>5611</v>
      </c>
      <c r="B1184" s="110">
        <v>46145.0</v>
      </c>
      <c r="C1184" s="49" t="s">
        <v>5612</v>
      </c>
      <c r="D1184" s="102" t="s">
        <v>5613</v>
      </c>
      <c r="E1184" s="25" t="s">
        <v>128</v>
      </c>
      <c r="F1184" s="25" t="s">
        <v>18</v>
      </c>
      <c r="G1184" s="25" t="s">
        <v>42</v>
      </c>
      <c r="H1184" s="49" t="s">
        <v>5473</v>
      </c>
      <c r="I1184" s="101">
        <v>46157.0</v>
      </c>
      <c r="J1184" s="49">
        <v>6.0</v>
      </c>
      <c r="K1184" s="30">
        <f>275000*6</f>
        <v>1650000</v>
      </c>
      <c r="L1184" s="49" t="s">
        <v>5614</v>
      </c>
      <c r="M1184" s="50">
        <v>8.0</v>
      </c>
      <c r="N1184" s="51"/>
      <c r="O1184" s="20"/>
      <c r="P1184" s="20"/>
      <c r="Q1184" s="20"/>
      <c r="R1184" s="20"/>
      <c r="S1184" s="20"/>
    </row>
    <row r="1185">
      <c r="A1185" s="49" t="s">
        <v>5615</v>
      </c>
      <c r="B1185" s="110">
        <v>46146.0</v>
      </c>
      <c r="C1185" s="76" t="s">
        <v>5616</v>
      </c>
      <c r="D1185" s="99" t="s">
        <v>5617</v>
      </c>
      <c r="E1185" s="25" t="s">
        <v>128</v>
      </c>
      <c r="F1185" s="25" t="s">
        <v>18</v>
      </c>
      <c r="G1185" s="25" t="s">
        <v>42</v>
      </c>
      <c r="H1185" s="76" t="s">
        <v>5618</v>
      </c>
      <c r="I1185" s="10"/>
      <c r="J1185" s="10"/>
      <c r="K1185" s="46"/>
      <c r="L1185" s="76" t="s">
        <v>5619</v>
      </c>
      <c r="M1185" s="44">
        <v>8.0</v>
      </c>
      <c r="N1185" s="45"/>
      <c r="O1185" s="20"/>
      <c r="P1185" s="20"/>
      <c r="Q1185" s="20"/>
      <c r="R1185" s="20"/>
      <c r="S1185" s="20"/>
    </row>
    <row r="1186">
      <c r="A1186" s="49" t="s">
        <v>5620</v>
      </c>
      <c r="B1186" s="110">
        <v>46146.0</v>
      </c>
      <c r="C1186" s="49" t="s">
        <v>5621</v>
      </c>
      <c r="D1186" s="102" t="s">
        <v>5622</v>
      </c>
      <c r="E1186" s="25" t="s">
        <v>122</v>
      </c>
      <c r="F1186" s="25" t="s">
        <v>18</v>
      </c>
      <c r="G1186" s="25" t="s">
        <v>34</v>
      </c>
      <c r="H1186" s="49" t="s">
        <v>5473</v>
      </c>
      <c r="I1186" s="101">
        <v>46158.0</v>
      </c>
      <c r="J1186" s="49">
        <v>2.0</v>
      </c>
      <c r="K1186" s="30">
        <f>295000*J1186</f>
        <v>590000</v>
      </c>
      <c r="L1186" s="49" t="s">
        <v>4298</v>
      </c>
      <c r="M1186" s="50">
        <v>2.0</v>
      </c>
      <c r="N1186" s="51"/>
      <c r="O1186" s="20"/>
      <c r="P1186" s="20"/>
      <c r="Q1186" s="20"/>
      <c r="R1186" s="20"/>
      <c r="S1186" s="20"/>
    </row>
    <row r="1187">
      <c r="A1187" s="49" t="s">
        <v>5623</v>
      </c>
      <c r="B1187" s="110">
        <v>46147.0</v>
      </c>
      <c r="C1187" s="76" t="s">
        <v>5624</v>
      </c>
      <c r="D1187" s="99" t="s">
        <v>5625</v>
      </c>
      <c r="E1187" s="25" t="s">
        <v>122</v>
      </c>
      <c r="F1187" s="25" t="s">
        <v>18</v>
      </c>
      <c r="G1187" s="25" t="s">
        <v>19</v>
      </c>
      <c r="H1187" s="76" t="s">
        <v>2327</v>
      </c>
      <c r="I1187" s="118">
        <v>46148.0</v>
      </c>
      <c r="J1187" s="76">
        <v>2.0</v>
      </c>
      <c r="K1187" s="46">
        <f>850000*2</f>
        <v>1700000</v>
      </c>
      <c r="L1187" s="76" t="s">
        <v>2130</v>
      </c>
      <c r="M1187" s="44">
        <v>7.0</v>
      </c>
      <c r="N1187" s="45"/>
      <c r="O1187" s="20"/>
      <c r="P1187" s="20"/>
      <c r="Q1187" s="20"/>
      <c r="R1187" s="20"/>
      <c r="S1187" s="20"/>
    </row>
    <row r="1188">
      <c r="A1188" s="49" t="s">
        <v>5626</v>
      </c>
      <c r="B1188" s="110">
        <v>46147.0</v>
      </c>
      <c r="C1188" s="49" t="s">
        <v>5627</v>
      </c>
      <c r="D1188" s="102" t="s">
        <v>5628</v>
      </c>
      <c r="E1188" s="25" t="s">
        <v>128</v>
      </c>
      <c r="F1188" s="25" t="s">
        <v>18</v>
      </c>
      <c r="G1188" s="25" t="s">
        <v>19</v>
      </c>
      <c r="H1188" s="23"/>
      <c r="I1188" s="49" t="s">
        <v>5629</v>
      </c>
      <c r="J1188" s="49">
        <v>22.0</v>
      </c>
      <c r="K1188" s="30"/>
      <c r="L1188" s="49" t="s">
        <v>4896</v>
      </c>
      <c r="M1188" s="50">
        <v>7.0</v>
      </c>
      <c r="N1188" s="51"/>
      <c r="O1188" s="20"/>
      <c r="P1188" s="20"/>
      <c r="Q1188" s="20"/>
      <c r="R1188" s="20"/>
      <c r="S1188" s="20"/>
    </row>
    <row r="1189">
      <c r="A1189" s="76" t="s">
        <v>5630</v>
      </c>
      <c r="B1189" s="97">
        <v>46147.0</v>
      </c>
      <c r="C1189" s="76" t="s">
        <v>5631</v>
      </c>
      <c r="D1189" s="99" t="s">
        <v>5632</v>
      </c>
      <c r="E1189" s="25" t="s">
        <v>122</v>
      </c>
      <c r="F1189" s="25" t="s">
        <v>18</v>
      </c>
      <c r="G1189" s="25" t="s">
        <v>34</v>
      </c>
      <c r="H1189" s="76" t="s">
        <v>172</v>
      </c>
      <c r="I1189" s="76" t="s">
        <v>5633</v>
      </c>
      <c r="J1189" s="76">
        <v>4.0</v>
      </c>
      <c r="K1189" s="46">
        <f>1600000*4</f>
        <v>6400000</v>
      </c>
      <c r="L1189" s="76" t="s">
        <v>5634</v>
      </c>
      <c r="M1189" s="44">
        <v>2.0</v>
      </c>
      <c r="N1189" s="45"/>
      <c r="O1189" s="20"/>
      <c r="P1189" s="20"/>
      <c r="Q1189" s="20"/>
      <c r="R1189" s="20"/>
      <c r="S1189" s="20"/>
    </row>
    <row r="1190">
      <c r="A1190" s="49" t="s">
        <v>5635</v>
      </c>
      <c r="B1190" s="110">
        <v>46148.0</v>
      </c>
      <c r="C1190" s="49" t="s">
        <v>5636</v>
      </c>
      <c r="D1190" s="102" t="s">
        <v>5637</v>
      </c>
      <c r="E1190" s="25" t="s">
        <v>128</v>
      </c>
      <c r="F1190" s="25" t="s">
        <v>18</v>
      </c>
      <c r="G1190" s="25" t="s">
        <v>42</v>
      </c>
      <c r="H1190" s="49" t="s">
        <v>179</v>
      </c>
      <c r="I1190" s="101">
        <v>46157.0</v>
      </c>
      <c r="J1190" s="49">
        <v>4.0</v>
      </c>
      <c r="K1190" s="30">
        <f>500000*4</f>
        <v>2000000</v>
      </c>
      <c r="L1190" s="49" t="s">
        <v>4956</v>
      </c>
      <c r="M1190" s="50">
        <v>8.0</v>
      </c>
      <c r="N1190" s="51"/>
      <c r="O1190" s="20"/>
      <c r="P1190" s="20"/>
      <c r="Q1190" s="20"/>
      <c r="R1190" s="20"/>
      <c r="S1190" s="20"/>
    </row>
    <row r="1191">
      <c r="A1191" s="76" t="s">
        <v>5638</v>
      </c>
      <c r="B1191" s="97">
        <v>46149.0</v>
      </c>
      <c r="C1191" s="76" t="s">
        <v>5639</v>
      </c>
      <c r="D1191" s="99" t="s">
        <v>5640</v>
      </c>
      <c r="E1191" s="25" t="s">
        <v>17</v>
      </c>
      <c r="F1191" s="25" t="s">
        <v>18</v>
      </c>
      <c r="G1191" s="25" t="s">
        <v>34</v>
      </c>
      <c r="H1191" s="76" t="s">
        <v>4074</v>
      </c>
      <c r="I1191" s="76" t="s">
        <v>5641</v>
      </c>
      <c r="J1191" s="76">
        <v>55.0</v>
      </c>
      <c r="K1191" s="46">
        <f>5050000*55</f>
        <v>277750000</v>
      </c>
      <c r="L1191" s="76" t="s">
        <v>5642</v>
      </c>
      <c r="M1191" s="44">
        <v>2.0</v>
      </c>
      <c r="N1191" s="45"/>
      <c r="O1191" s="20"/>
      <c r="P1191" s="20"/>
      <c r="Q1191" s="20"/>
      <c r="R1191" s="20"/>
      <c r="S1191" s="20"/>
    </row>
    <row r="1192">
      <c r="A1192" s="49" t="s">
        <v>5643</v>
      </c>
      <c r="B1192" s="110">
        <v>46147.0</v>
      </c>
      <c r="C1192" s="49" t="s">
        <v>5644</v>
      </c>
      <c r="D1192" s="102" t="s">
        <v>5645</v>
      </c>
      <c r="E1192" s="25" t="s">
        <v>128</v>
      </c>
      <c r="F1192" s="25" t="s">
        <v>18</v>
      </c>
      <c r="G1192" s="25" t="s">
        <v>42</v>
      </c>
      <c r="H1192" s="49" t="s">
        <v>5646</v>
      </c>
      <c r="I1192" s="101">
        <v>46159.0</v>
      </c>
      <c r="J1192" s="49">
        <v>2.0</v>
      </c>
      <c r="K1192" s="30">
        <f>550000*2</f>
        <v>1100000</v>
      </c>
      <c r="L1192" s="49" t="s">
        <v>5647</v>
      </c>
      <c r="M1192" s="50">
        <v>8.0</v>
      </c>
      <c r="N1192" s="51"/>
      <c r="O1192" s="20"/>
      <c r="P1192" s="20"/>
      <c r="Q1192" s="20"/>
      <c r="R1192" s="20"/>
      <c r="S1192" s="20"/>
    </row>
    <row r="1193">
      <c r="A1193" s="76" t="s">
        <v>5648</v>
      </c>
      <c r="B1193" s="97">
        <v>46150.0</v>
      </c>
      <c r="C1193" s="76" t="s">
        <v>5649</v>
      </c>
      <c r="D1193" s="99" t="s">
        <v>5650</v>
      </c>
      <c r="E1193" s="25" t="s">
        <v>128</v>
      </c>
      <c r="F1193" s="25" t="s">
        <v>18</v>
      </c>
      <c r="G1193" s="25" t="s">
        <v>19</v>
      </c>
      <c r="H1193" s="76" t="s">
        <v>199</v>
      </c>
      <c r="I1193" s="118">
        <v>46168.0</v>
      </c>
      <c r="J1193" s="76">
        <v>2.0</v>
      </c>
      <c r="K1193" s="46">
        <f>3064000*2</f>
        <v>6128000</v>
      </c>
      <c r="L1193" s="76" t="s">
        <v>2648</v>
      </c>
      <c r="M1193" s="44">
        <v>7.0</v>
      </c>
      <c r="N1193" s="45"/>
      <c r="O1193" s="20"/>
      <c r="P1193" s="20"/>
      <c r="Q1193" s="20"/>
      <c r="R1193" s="20"/>
      <c r="S1193" s="20"/>
    </row>
    <row r="1194">
      <c r="A1194" s="49" t="s">
        <v>5651</v>
      </c>
      <c r="B1194" s="110">
        <v>46147.0</v>
      </c>
      <c r="C1194" s="49" t="s">
        <v>5652</v>
      </c>
      <c r="D1194" s="102" t="s">
        <v>5653</v>
      </c>
      <c r="E1194" s="25" t="s">
        <v>128</v>
      </c>
      <c r="F1194" s="25" t="s">
        <v>18</v>
      </c>
      <c r="G1194" s="25" t="s">
        <v>43</v>
      </c>
      <c r="H1194" s="49" t="s">
        <v>86</v>
      </c>
      <c r="I1194" s="49" t="s">
        <v>5654</v>
      </c>
      <c r="J1194" s="49">
        <v>4.0</v>
      </c>
      <c r="K1194" s="30">
        <f>1000000*4</f>
        <v>4000000</v>
      </c>
      <c r="L1194" s="49" t="s">
        <v>4664</v>
      </c>
      <c r="M1194" s="50">
        <v>3.0</v>
      </c>
      <c r="N1194" s="51"/>
      <c r="O1194" s="20"/>
      <c r="P1194" s="20"/>
      <c r="Q1194" s="20"/>
      <c r="R1194" s="20"/>
      <c r="S1194" s="20"/>
    </row>
    <row r="1195">
      <c r="A1195" s="76" t="s">
        <v>5655</v>
      </c>
      <c r="B1195" s="97">
        <v>46148.0</v>
      </c>
      <c r="C1195" s="76" t="s">
        <v>5656</v>
      </c>
      <c r="D1195" s="99" t="s">
        <v>5657</v>
      </c>
      <c r="E1195" s="25" t="s">
        <v>122</v>
      </c>
      <c r="F1195" s="25" t="s">
        <v>18</v>
      </c>
      <c r="G1195" s="25" t="s">
        <v>19</v>
      </c>
      <c r="H1195" s="76" t="s">
        <v>5658</v>
      </c>
      <c r="I1195" s="76" t="s">
        <v>5659</v>
      </c>
      <c r="J1195" s="76">
        <v>3.0</v>
      </c>
      <c r="K1195" s="46"/>
      <c r="L1195" s="76" t="s">
        <v>5660</v>
      </c>
      <c r="M1195" s="44">
        <v>7.0</v>
      </c>
      <c r="N1195" s="45"/>
      <c r="O1195" s="20"/>
      <c r="P1195" s="20"/>
      <c r="Q1195" s="20"/>
      <c r="R1195" s="20"/>
      <c r="S1195" s="20"/>
    </row>
    <row r="1196">
      <c r="A1196" s="49" t="s">
        <v>5661</v>
      </c>
      <c r="B1196" s="110">
        <v>46148.0</v>
      </c>
      <c r="C1196" s="49" t="s">
        <v>5662</v>
      </c>
      <c r="D1196" s="102" t="s">
        <v>5663</v>
      </c>
      <c r="E1196" s="25" t="s">
        <v>122</v>
      </c>
      <c r="F1196" s="25" t="s">
        <v>18</v>
      </c>
      <c r="G1196" s="25" t="s">
        <v>42</v>
      </c>
      <c r="H1196" s="49" t="s">
        <v>5664</v>
      </c>
      <c r="I1196" s="23"/>
      <c r="J1196" s="49">
        <v>5.0</v>
      </c>
      <c r="K1196" s="30">
        <f>530000*5</f>
        <v>2650000</v>
      </c>
      <c r="L1196" s="49" t="s">
        <v>840</v>
      </c>
      <c r="M1196" s="50">
        <v>8.0</v>
      </c>
      <c r="N1196" s="51"/>
      <c r="O1196" s="20"/>
      <c r="P1196" s="20"/>
      <c r="Q1196" s="20"/>
      <c r="R1196" s="20"/>
      <c r="S1196" s="20"/>
    </row>
    <row r="1197">
      <c r="A1197" s="76" t="s">
        <v>5665</v>
      </c>
      <c r="B1197" s="121">
        <v>46147.0</v>
      </c>
      <c r="C1197" s="10"/>
      <c r="D1197" s="99" t="s">
        <v>5666</v>
      </c>
      <c r="E1197" s="25" t="s">
        <v>128</v>
      </c>
      <c r="F1197" s="25" t="s">
        <v>18</v>
      </c>
      <c r="G1197" s="25" t="s">
        <v>42</v>
      </c>
      <c r="H1197" s="76" t="s">
        <v>5646</v>
      </c>
      <c r="I1197" s="118">
        <v>46157.0</v>
      </c>
      <c r="J1197" s="10"/>
      <c r="K1197" s="46"/>
      <c r="L1197" s="76" t="s">
        <v>4956</v>
      </c>
      <c r="M1197" s="44">
        <v>8.0</v>
      </c>
      <c r="N1197" s="45"/>
      <c r="O1197" s="20"/>
      <c r="P1197" s="20"/>
      <c r="Q1197" s="20"/>
      <c r="R1197" s="20"/>
      <c r="S1197" s="20"/>
    </row>
    <row r="1198">
      <c r="A1198" s="49" t="s">
        <v>5667</v>
      </c>
      <c r="B1198" s="110">
        <v>46148.0</v>
      </c>
      <c r="C1198" s="49" t="s">
        <v>5668</v>
      </c>
      <c r="D1198" s="102" t="s">
        <v>5669</v>
      </c>
      <c r="E1198" s="25" t="s">
        <v>122</v>
      </c>
      <c r="F1198" s="25" t="s">
        <v>18</v>
      </c>
      <c r="G1198" s="25" t="s">
        <v>42</v>
      </c>
      <c r="H1198" s="49" t="s">
        <v>5670</v>
      </c>
      <c r="I1198" s="131">
        <v>46151.0</v>
      </c>
      <c r="J1198" s="49">
        <v>2.0</v>
      </c>
      <c r="K1198" s="30"/>
      <c r="L1198" s="49" t="s">
        <v>5474</v>
      </c>
      <c r="M1198" s="50">
        <v>8.0</v>
      </c>
      <c r="N1198" s="51"/>
      <c r="O1198" s="20"/>
      <c r="P1198" s="20"/>
      <c r="Q1198" s="20"/>
      <c r="R1198" s="20"/>
      <c r="S1198" s="20"/>
    </row>
    <row r="1199">
      <c r="A1199" s="76" t="s">
        <v>5671</v>
      </c>
      <c r="B1199" s="97">
        <v>46147.0</v>
      </c>
      <c r="C1199" s="76" t="s">
        <v>2344</v>
      </c>
      <c r="D1199" s="99" t="s">
        <v>5672</v>
      </c>
      <c r="E1199" s="25" t="s">
        <v>122</v>
      </c>
      <c r="F1199" s="25" t="s">
        <v>18</v>
      </c>
      <c r="G1199" s="25" t="s">
        <v>34</v>
      </c>
      <c r="H1199" s="76" t="s">
        <v>5673</v>
      </c>
      <c r="I1199" s="76" t="s">
        <v>5674</v>
      </c>
      <c r="J1199" s="76">
        <v>2.0</v>
      </c>
      <c r="K1199" s="46"/>
      <c r="L1199" s="76" t="s">
        <v>5675</v>
      </c>
      <c r="M1199" s="44">
        <v>2.0</v>
      </c>
      <c r="N1199" s="45"/>
      <c r="O1199" s="20"/>
      <c r="P1199" s="20"/>
      <c r="Q1199" s="20"/>
      <c r="R1199" s="20"/>
      <c r="S1199" s="20"/>
    </row>
    <row r="1200">
      <c r="A1200" s="49" t="s">
        <v>5676</v>
      </c>
      <c r="B1200" s="110">
        <v>46149.0</v>
      </c>
      <c r="C1200" s="49" t="s">
        <v>5677</v>
      </c>
      <c r="D1200" s="102" t="s">
        <v>5678</v>
      </c>
      <c r="E1200" s="25" t="s">
        <v>122</v>
      </c>
      <c r="F1200" s="25" t="s">
        <v>18</v>
      </c>
      <c r="G1200" s="25" t="s">
        <v>34</v>
      </c>
      <c r="H1200" s="49" t="s">
        <v>5679</v>
      </c>
      <c r="I1200" s="101">
        <v>46186.0</v>
      </c>
      <c r="J1200" s="49">
        <v>4.0</v>
      </c>
      <c r="K1200" s="30">
        <f>575000*4</f>
        <v>2300000</v>
      </c>
      <c r="L1200" s="49" t="s">
        <v>5432</v>
      </c>
      <c r="M1200" s="50">
        <v>2.0</v>
      </c>
      <c r="N1200" s="51"/>
      <c r="O1200" s="20"/>
      <c r="P1200" s="20"/>
      <c r="Q1200" s="20"/>
      <c r="R1200" s="20"/>
      <c r="S1200" s="20"/>
    </row>
    <row r="1201">
      <c r="A1201" s="76" t="s">
        <v>5680</v>
      </c>
      <c r="B1201" s="97">
        <v>46149.0</v>
      </c>
      <c r="C1201" s="76" t="s">
        <v>5681</v>
      </c>
      <c r="D1201" s="99" t="s">
        <v>5682</v>
      </c>
      <c r="E1201" s="25" t="s">
        <v>122</v>
      </c>
      <c r="F1201" s="25" t="s">
        <v>18</v>
      </c>
      <c r="G1201" s="25" t="s">
        <v>42</v>
      </c>
      <c r="H1201" s="76" t="s">
        <v>5683</v>
      </c>
      <c r="I1201" s="118">
        <v>46166.0</v>
      </c>
      <c r="J1201" s="76">
        <v>1.0</v>
      </c>
      <c r="K1201" s="46"/>
      <c r="L1201" s="76" t="s">
        <v>5684</v>
      </c>
      <c r="M1201" s="44">
        <v>8.0</v>
      </c>
      <c r="N1201" s="45"/>
      <c r="O1201" s="20"/>
      <c r="P1201" s="20"/>
      <c r="Q1201" s="20"/>
      <c r="R1201" s="20"/>
      <c r="S1201" s="20"/>
    </row>
    <row r="1202">
      <c r="A1202" s="49" t="s">
        <v>5685</v>
      </c>
      <c r="B1202" s="110">
        <v>46149.0</v>
      </c>
      <c r="C1202" s="49" t="s">
        <v>5686</v>
      </c>
      <c r="D1202" s="102" t="s">
        <v>5687</v>
      </c>
      <c r="E1202" s="25" t="s">
        <v>122</v>
      </c>
      <c r="F1202" s="25" t="s">
        <v>18</v>
      </c>
      <c r="G1202" s="25" t="s">
        <v>42</v>
      </c>
      <c r="H1202" s="49" t="s">
        <v>172</v>
      </c>
      <c r="I1202" s="23"/>
      <c r="J1202" s="23"/>
      <c r="K1202" s="30"/>
      <c r="L1202" s="49" t="s">
        <v>5504</v>
      </c>
      <c r="M1202" s="50">
        <v>8.0</v>
      </c>
      <c r="N1202" s="51"/>
      <c r="O1202" s="20"/>
      <c r="P1202" s="20"/>
      <c r="Q1202" s="20"/>
      <c r="R1202" s="20"/>
      <c r="S1202" s="20"/>
    </row>
    <row r="1203">
      <c r="A1203" s="76" t="s">
        <v>5688</v>
      </c>
      <c r="B1203" s="97">
        <v>46150.0</v>
      </c>
      <c r="C1203" s="76" t="s">
        <v>5689</v>
      </c>
      <c r="D1203" s="99" t="s">
        <v>5690</v>
      </c>
      <c r="E1203" s="25" t="s">
        <v>122</v>
      </c>
      <c r="F1203" s="25" t="s">
        <v>18</v>
      </c>
      <c r="G1203" s="25" t="s">
        <v>42</v>
      </c>
      <c r="H1203" s="76" t="s">
        <v>2462</v>
      </c>
      <c r="I1203" s="76" t="s">
        <v>4429</v>
      </c>
      <c r="J1203" s="76">
        <v>2.0</v>
      </c>
      <c r="K1203" s="46"/>
      <c r="L1203" s="76" t="s">
        <v>840</v>
      </c>
      <c r="M1203" s="44">
        <v>8.0</v>
      </c>
      <c r="N1203" s="45"/>
      <c r="O1203" s="20"/>
      <c r="P1203" s="20"/>
      <c r="Q1203" s="20"/>
      <c r="R1203" s="20"/>
      <c r="S1203" s="20"/>
    </row>
    <row r="1204">
      <c r="A1204" s="49" t="s">
        <v>5691</v>
      </c>
      <c r="B1204" s="110">
        <v>46151.0</v>
      </c>
      <c r="C1204" s="49" t="s">
        <v>5692</v>
      </c>
      <c r="D1204" s="102" t="s">
        <v>5693</v>
      </c>
      <c r="E1204" s="25" t="s">
        <v>128</v>
      </c>
      <c r="F1204" s="25" t="s">
        <v>18</v>
      </c>
      <c r="G1204" s="25" t="s">
        <v>19</v>
      </c>
      <c r="H1204" s="49" t="s">
        <v>3643</v>
      </c>
      <c r="I1204" s="101">
        <v>46157.0</v>
      </c>
      <c r="J1204" s="49">
        <v>2.0</v>
      </c>
      <c r="K1204" s="30">
        <f>250000*2</f>
        <v>500000</v>
      </c>
      <c r="L1204" s="49" t="s">
        <v>2648</v>
      </c>
      <c r="M1204" s="50">
        <v>7.0</v>
      </c>
      <c r="N1204" s="51"/>
      <c r="O1204" s="20"/>
      <c r="P1204" s="20"/>
      <c r="Q1204" s="20"/>
      <c r="R1204" s="20"/>
      <c r="S1204" s="20"/>
    </row>
    <row r="1205">
      <c r="A1205" s="76" t="s">
        <v>5694</v>
      </c>
      <c r="B1205" s="97">
        <v>46149.0</v>
      </c>
      <c r="C1205" s="76" t="s">
        <v>5695</v>
      </c>
      <c r="D1205" s="99" t="s">
        <v>5696</v>
      </c>
      <c r="E1205" s="25" t="s">
        <v>128</v>
      </c>
      <c r="F1205" s="25" t="s">
        <v>18</v>
      </c>
      <c r="G1205" s="25" t="s">
        <v>42</v>
      </c>
      <c r="H1205" s="76" t="s">
        <v>5697</v>
      </c>
      <c r="I1205" s="118">
        <v>46158.0</v>
      </c>
      <c r="J1205" s="76">
        <v>3.0</v>
      </c>
      <c r="K1205" s="46"/>
      <c r="L1205" s="76" t="s">
        <v>5474</v>
      </c>
      <c r="M1205" s="44">
        <v>8.0</v>
      </c>
      <c r="N1205" s="45"/>
      <c r="O1205" s="20"/>
      <c r="P1205" s="20"/>
      <c r="Q1205" s="20"/>
      <c r="R1205" s="20"/>
      <c r="S1205" s="20"/>
    </row>
    <row r="1206">
      <c r="A1206" s="49" t="s">
        <v>5698</v>
      </c>
      <c r="B1206" s="110">
        <v>46151.0</v>
      </c>
      <c r="C1206" s="49" t="s">
        <v>5699</v>
      </c>
      <c r="D1206" s="102" t="s">
        <v>5700</v>
      </c>
      <c r="E1206" s="25" t="s">
        <v>122</v>
      </c>
      <c r="F1206" s="25" t="s">
        <v>18</v>
      </c>
      <c r="G1206" s="25" t="s">
        <v>42</v>
      </c>
      <c r="H1206" s="49" t="s">
        <v>2462</v>
      </c>
      <c r="I1206" s="49" t="s">
        <v>905</v>
      </c>
      <c r="J1206" s="49">
        <v>2.0</v>
      </c>
      <c r="K1206" s="30"/>
      <c r="L1206" s="49"/>
      <c r="M1206" s="50">
        <v>8.0</v>
      </c>
      <c r="N1206" s="51"/>
      <c r="O1206" s="20"/>
      <c r="P1206" s="20"/>
      <c r="Q1206" s="20"/>
      <c r="R1206" s="20"/>
      <c r="S1206" s="20"/>
    </row>
    <row r="1207">
      <c r="A1207" s="76" t="s">
        <v>5701</v>
      </c>
      <c r="B1207" s="97">
        <v>46150.0</v>
      </c>
      <c r="C1207" s="76" t="s">
        <v>5702</v>
      </c>
      <c r="D1207" s="99" t="s">
        <v>5703</v>
      </c>
      <c r="E1207" s="25" t="s">
        <v>128</v>
      </c>
      <c r="F1207" s="25" t="s">
        <v>18</v>
      </c>
      <c r="G1207" s="25" t="s">
        <v>19</v>
      </c>
      <c r="H1207" s="76" t="s">
        <v>172</v>
      </c>
      <c r="I1207" s="76" t="s">
        <v>5704</v>
      </c>
      <c r="J1207" s="76">
        <v>4.0</v>
      </c>
      <c r="K1207" s="46">
        <f>1600000*4</f>
        <v>6400000</v>
      </c>
      <c r="L1207" s="76" t="s">
        <v>5705</v>
      </c>
      <c r="M1207" s="44">
        <v>7.0</v>
      </c>
      <c r="N1207" s="45"/>
      <c r="O1207" s="20"/>
      <c r="P1207" s="20"/>
      <c r="Q1207" s="20"/>
      <c r="R1207" s="20"/>
      <c r="S1207" s="20"/>
    </row>
    <row r="1208">
      <c r="A1208" s="49" t="s">
        <v>5706</v>
      </c>
      <c r="B1208" s="110">
        <v>46150.0</v>
      </c>
      <c r="C1208" s="49" t="s">
        <v>5707</v>
      </c>
      <c r="D1208" s="102" t="s">
        <v>5708</v>
      </c>
      <c r="E1208" s="25" t="s">
        <v>122</v>
      </c>
      <c r="F1208" s="25" t="s">
        <v>18</v>
      </c>
      <c r="G1208" s="25" t="s">
        <v>42</v>
      </c>
      <c r="H1208" s="49" t="s">
        <v>2066</v>
      </c>
      <c r="I1208" s="101">
        <v>46157.0</v>
      </c>
      <c r="J1208" s="49">
        <v>2.0</v>
      </c>
      <c r="K1208" s="30">
        <f>877000*2</f>
        <v>1754000</v>
      </c>
      <c r="L1208" s="49" t="s">
        <v>5709</v>
      </c>
      <c r="M1208" s="50">
        <v>8.0</v>
      </c>
      <c r="N1208" s="51"/>
      <c r="O1208" s="20"/>
      <c r="P1208" s="20"/>
      <c r="Q1208" s="20"/>
      <c r="R1208" s="20"/>
      <c r="S1208" s="20"/>
    </row>
    <row r="1209">
      <c r="A1209" s="76" t="s">
        <v>5710</v>
      </c>
      <c r="B1209" s="97">
        <v>46150.0</v>
      </c>
      <c r="C1209" s="76" t="s">
        <v>5711</v>
      </c>
      <c r="D1209" s="99" t="s">
        <v>5712</v>
      </c>
      <c r="E1209" s="25" t="s">
        <v>128</v>
      </c>
      <c r="F1209" s="25" t="s">
        <v>983</v>
      </c>
      <c r="G1209" s="25" t="s">
        <v>42</v>
      </c>
      <c r="H1209" s="76" t="s">
        <v>2327</v>
      </c>
      <c r="I1209" s="10"/>
      <c r="J1209" s="76">
        <v>1.0</v>
      </c>
      <c r="K1209" s="19">
        <v>250000.0</v>
      </c>
      <c r="L1209" s="76" t="s">
        <v>5713</v>
      </c>
      <c r="M1209" s="44">
        <v>8.0</v>
      </c>
      <c r="N1209" s="45"/>
      <c r="O1209" s="20"/>
      <c r="P1209" s="20"/>
      <c r="Q1209" s="20"/>
      <c r="R1209" s="20"/>
      <c r="S1209" s="20"/>
    </row>
    <row r="1210">
      <c r="A1210" s="49" t="s">
        <v>5714</v>
      </c>
      <c r="B1210" s="97">
        <v>46150.0</v>
      </c>
      <c r="C1210" s="49" t="s">
        <v>5715</v>
      </c>
      <c r="D1210" s="102" t="s">
        <v>5716</v>
      </c>
      <c r="E1210" s="25" t="s">
        <v>869</v>
      </c>
      <c r="F1210" s="25" t="s">
        <v>983</v>
      </c>
      <c r="G1210" s="25" t="s">
        <v>19</v>
      </c>
      <c r="H1210" s="49" t="s">
        <v>152</v>
      </c>
      <c r="I1210" s="101">
        <v>46172.0</v>
      </c>
      <c r="J1210" s="49">
        <v>10.0</v>
      </c>
      <c r="K1210" s="36">
        <v>6600000.0</v>
      </c>
      <c r="L1210" s="49" t="s">
        <v>2648</v>
      </c>
      <c r="M1210" s="50">
        <v>7.0</v>
      </c>
      <c r="N1210" s="104" t="s">
        <v>5717</v>
      </c>
      <c r="O1210" s="20"/>
      <c r="P1210" s="20"/>
      <c r="Q1210" s="20"/>
      <c r="R1210" s="20"/>
      <c r="S1210" s="20"/>
    </row>
    <row r="1211">
      <c r="A1211" s="76" t="s">
        <v>5718</v>
      </c>
      <c r="B1211" s="97">
        <v>46149.0</v>
      </c>
      <c r="C1211" s="76" t="s">
        <v>1433</v>
      </c>
      <c r="D1211" s="99" t="s">
        <v>5719</v>
      </c>
      <c r="E1211" s="25" t="s">
        <v>122</v>
      </c>
      <c r="F1211" s="25" t="s">
        <v>129</v>
      </c>
      <c r="G1211" s="25" t="s">
        <v>42</v>
      </c>
      <c r="H1211" s="76" t="s">
        <v>4054</v>
      </c>
      <c r="I1211" s="118">
        <v>46156.0</v>
      </c>
      <c r="J1211" s="76">
        <v>4.0</v>
      </c>
      <c r="K1211" s="46"/>
      <c r="L1211" s="76" t="s">
        <v>3706</v>
      </c>
      <c r="M1211" s="44">
        <v>8.0</v>
      </c>
      <c r="N1211" s="45"/>
      <c r="O1211" s="20"/>
      <c r="P1211" s="20"/>
      <c r="Q1211" s="20"/>
      <c r="R1211" s="20"/>
      <c r="S1211" s="20"/>
    </row>
    <row r="1212">
      <c r="A1212" s="49" t="s">
        <v>5720</v>
      </c>
      <c r="B1212" s="110">
        <v>46150.0</v>
      </c>
      <c r="C1212" s="49" t="s">
        <v>5721</v>
      </c>
      <c r="D1212" s="102" t="s">
        <v>5722</v>
      </c>
      <c r="E1212" s="25" t="s">
        <v>122</v>
      </c>
      <c r="F1212" s="25" t="s">
        <v>129</v>
      </c>
      <c r="G1212" s="25" t="s">
        <v>42</v>
      </c>
      <c r="H1212" s="49" t="s">
        <v>1782</v>
      </c>
      <c r="I1212" s="101">
        <v>46166.0</v>
      </c>
      <c r="J1212" s="23"/>
      <c r="K1212" s="30"/>
      <c r="L1212" s="49" t="s">
        <v>5723</v>
      </c>
      <c r="M1212" s="50">
        <v>8.0</v>
      </c>
      <c r="N1212" s="104" t="s">
        <v>5724</v>
      </c>
      <c r="O1212" s="20"/>
      <c r="P1212" s="20"/>
      <c r="Q1212" s="20"/>
      <c r="R1212" s="20"/>
      <c r="S1212" s="20"/>
    </row>
    <row r="1213">
      <c r="A1213" s="76" t="s">
        <v>5725</v>
      </c>
      <c r="B1213" s="97">
        <v>46151.0</v>
      </c>
      <c r="C1213" s="76" t="s">
        <v>5726</v>
      </c>
      <c r="D1213" s="99" t="s">
        <v>5727</v>
      </c>
      <c r="E1213" s="25" t="s">
        <v>128</v>
      </c>
      <c r="F1213" s="25" t="s">
        <v>129</v>
      </c>
      <c r="G1213" s="25" t="s">
        <v>42</v>
      </c>
      <c r="H1213" s="76" t="s">
        <v>5577</v>
      </c>
      <c r="I1213" s="118">
        <v>46158.0</v>
      </c>
      <c r="J1213" s="76">
        <v>3.0</v>
      </c>
      <c r="K1213" s="46">
        <f>SUM(1074000*3)</f>
        <v>3222000</v>
      </c>
      <c r="L1213" s="76" t="s">
        <v>5412</v>
      </c>
      <c r="M1213" s="44">
        <v>8.0</v>
      </c>
      <c r="N1213" s="86" t="s">
        <v>5728</v>
      </c>
      <c r="O1213" s="20"/>
      <c r="P1213" s="20"/>
      <c r="Q1213" s="20"/>
      <c r="R1213" s="20"/>
      <c r="S1213" s="20"/>
    </row>
    <row r="1214">
      <c r="A1214" s="49" t="s">
        <v>5729</v>
      </c>
      <c r="B1214" s="97">
        <v>46151.0</v>
      </c>
      <c r="C1214" s="49" t="s">
        <v>5730</v>
      </c>
      <c r="D1214" s="102" t="s">
        <v>5731</v>
      </c>
      <c r="E1214" s="25" t="s">
        <v>122</v>
      </c>
      <c r="F1214" s="25" t="s">
        <v>18</v>
      </c>
      <c r="G1214" s="25" t="s">
        <v>34</v>
      </c>
      <c r="H1214" s="49" t="s">
        <v>5732</v>
      </c>
      <c r="I1214" s="49" t="s">
        <v>5733</v>
      </c>
      <c r="J1214" s="49">
        <v>2.0</v>
      </c>
      <c r="K1214" s="30">
        <f>2270000*2</f>
        <v>4540000</v>
      </c>
      <c r="L1214" s="49" t="s">
        <v>5734</v>
      </c>
      <c r="M1214" s="50">
        <v>2.0</v>
      </c>
      <c r="N1214" s="51"/>
      <c r="O1214" s="20"/>
      <c r="P1214" s="20"/>
      <c r="Q1214" s="20"/>
      <c r="R1214" s="20"/>
      <c r="S1214" s="20"/>
    </row>
    <row r="1215">
      <c r="A1215" s="76" t="s">
        <v>5735</v>
      </c>
      <c r="B1215" s="97">
        <v>46152.0</v>
      </c>
      <c r="C1215" s="76" t="s">
        <v>5736</v>
      </c>
      <c r="D1215" s="99" t="s">
        <v>5737</v>
      </c>
      <c r="E1215" s="25" t="s">
        <v>128</v>
      </c>
      <c r="F1215" s="25" t="s">
        <v>18</v>
      </c>
      <c r="G1215" s="25" t="s">
        <v>42</v>
      </c>
      <c r="H1215" s="10"/>
      <c r="I1215" s="10"/>
      <c r="J1215" s="10"/>
      <c r="K1215" s="46"/>
      <c r="L1215" s="76" t="s">
        <v>840</v>
      </c>
      <c r="M1215" s="44">
        <v>8.0</v>
      </c>
      <c r="N1215" s="45"/>
      <c r="O1215" s="20"/>
      <c r="P1215" s="20"/>
      <c r="Q1215" s="20"/>
      <c r="R1215" s="20"/>
      <c r="S1215" s="20"/>
    </row>
    <row r="1216">
      <c r="A1216" s="49" t="s">
        <v>5738</v>
      </c>
      <c r="B1216" s="97">
        <v>46152.0</v>
      </c>
      <c r="C1216" s="49" t="s">
        <v>5739</v>
      </c>
      <c r="D1216" s="102" t="s">
        <v>5740</v>
      </c>
      <c r="E1216" s="25" t="s">
        <v>128</v>
      </c>
      <c r="F1216" s="25" t="s">
        <v>18</v>
      </c>
      <c r="G1216" s="25" t="s">
        <v>34</v>
      </c>
      <c r="H1216" s="49" t="s">
        <v>5741</v>
      </c>
      <c r="I1216" s="49" t="s">
        <v>5307</v>
      </c>
      <c r="J1216" s="49">
        <v>4.0</v>
      </c>
      <c r="K1216" s="30">
        <f>975000*4</f>
        <v>3900000</v>
      </c>
      <c r="L1216" s="49" t="s">
        <v>5642</v>
      </c>
      <c r="M1216" s="50">
        <v>2.0</v>
      </c>
      <c r="N1216" s="51"/>
      <c r="O1216" s="20"/>
      <c r="P1216" s="20"/>
      <c r="Q1216" s="20"/>
      <c r="R1216" s="20"/>
      <c r="S1216" s="20"/>
    </row>
    <row r="1217">
      <c r="A1217" s="76" t="s">
        <v>5742</v>
      </c>
      <c r="B1217" s="97">
        <v>46152.0</v>
      </c>
      <c r="C1217" s="76" t="s">
        <v>5743</v>
      </c>
      <c r="D1217" s="99" t="s">
        <v>5744</v>
      </c>
      <c r="E1217" s="25" t="s">
        <v>17</v>
      </c>
      <c r="F1217" s="25" t="s">
        <v>129</v>
      </c>
      <c r="G1217" s="25" t="s">
        <v>29</v>
      </c>
      <c r="H1217" s="76" t="s">
        <v>116</v>
      </c>
      <c r="I1217" s="76" t="s">
        <v>870</v>
      </c>
      <c r="J1217" s="76">
        <v>2.0</v>
      </c>
      <c r="K1217" s="46"/>
      <c r="L1217" s="76" t="s">
        <v>5745</v>
      </c>
      <c r="M1217" s="44">
        <v>1.0</v>
      </c>
      <c r="N1217" s="86" t="s">
        <v>5746</v>
      </c>
      <c r="O1217" s="20"/>
      <c r="P1217" s="20"/>
      <c r="Q1217" s="20"/>
      <c r="R1217" s="20"/>
      <c r="S1217" s="20"/>
    </row>
    <row r="1218">
      <c r="A1218" s="49" t="s">
        <v>5747</v>
      </c>
      <c r="B1218" s="110">
        <v>46152.0</v>
      </c>
      <c r="C1218" s="49" t="s">
        <v>5748</v>
      </c>
      <c r="D1218" s="102" t="s">
        <v>5749</v>
      </c>
      <c r="E1218" s="25" t="s">
        <v>122</v>
      </c>
      <c r="F1218" s="25" t="s">
        <v>129</v>
      </c>
      <c r="G1218" s="25" t="s">
        <v>42</v>
      </c>
      <c r="H1218" s="49" t="s">
        <v>123</v>
      </c>
      <c r="I1218" s="101">
        <v>46169.0</v>
      </c>
      <c r="J1218" s="143">
        <v>46083.0</v>
      </c>
      <c r="K1218" s="30"/>
      <c r="L1218" s="49" t="s">
        <v>5750</v>
      </c>
      <c r="M1218" s="50">
        <v>8.0</v>
      </c>
      <c r="N1218" s="104" t="s">
        <v>5751</v>
      </c>
      <c r="O1218" s="20"/>
      <c r="P1218" s="20"/>
      <c r="Q1218" s="20"/>
      <c r="R1218" s="20"/>
      <c r="S1218" s="20"/>
    </row>
    <row r="1219">
      <c r="A1219" s="76" t="s">
        <v>5752</v>
      </c>
      <c r="B1219" s="97">
        <v>46149.0</v>
      </c>
      <c r="C1219" s="76" t="s">
        <v>5753</v>
      </c>
      <c r="D1219" s="99" t="s">
        <v>5754</v>
      </c>
      <c r="E1219" s="25" t="s">
        <v>17</v>
      </c>
      <c r="F1219" s="25" t="s">
        <v>129</v>
      </c>
      <c r="G1219" s="25" t="s">
        <v>42</v>
      </c>
      <c r="H1219" s="76" t="s">
        <v>4532</v>
      </c>
      <c r="I1219" s="10"/>
      <c r="J1219" s="10"/>
      <c r="K1219" s="46"/>
      <c r="L1219" s="76" t="s">
        <v>5755</v>
      </c>
      <c r="M1219" s="44">
        <v>8.0</v>
      </c>
      <c r="N1219" s="45"/>
      <c r="O1219" s="20"/>
      <c r="P1219" s="20"/>
      <c r="Q1219" s="20"/>
      <c r="R1219" s="20"/>
      <c r="S1219" s="20"/>
    </row>
    <row r="1220">
      <c r="A1220" s="49" t="s">
        <v>5756</v>
      </c>
      <c r="B1220" s="135">
        <v>46152.0</v>
      </c>
      <c r="C1220" s="49" t="s">
        <v>5080</v>
      </c>
      <c r="D1220" s="102" t="s">
        <v>5757</v>
      </c>
      <c r="E1220" s="25" t="s">
        <v>122</v>
      </c>
      <c r="F1220" s="25" t="s">
        <v>18</v>
      </c>
      <c r="G1220" s="25" t="s">
        <v>42</v>
      </c>
      <c r="H1220" s="49" t="s">
        <v>260</v>
      </c>
      <c r="I1220" s="49" t="s">
        <v>4424</v>
      </c>
      <c r="J1220" s="49">
        <v>4.0</v>
      </c>
      <c r="K1220" s="30">
        <f>1600000*4</f>
        <v>6400000</v>
      </c>
      <c r="L1220" s="49" t="s">
        <v>5412</v>
      </c>
      <c r="M1220" s="50">
        <v>8.0</v>
      </c>
      <c r="N1220" s="51"/>
      <c r="O1220" s="20"/>
      <c r="P1220" s="20"/>
      <c r="Q1220" s="20"/>
      <c r="R1220" s="20"/>
      <c r="S1220" s="20"/>
    </row>
    <row r="1221">
      <c r="A1221" s="76" t="s">
        <v>5758</v>
      </c>
      <c r="B1221" s="97">
        <v>46152.0</v>
      </c>
      <c r="C1221" s="76" t="s">
        <v>5759</v>
      </c>
      <c r="D1221" s="99" t="s">
        <v>5760</v>
      </c>
      <c r="E1221" s="25" t="s">
        <v>17</v>
      </c>
      <c r="F1221" s="25" t="s">
        <v>18</v>
      </c>
      <c r="G1221" s="25" t="s">
        <v>34</v>
      </c>
      <c r="H1221" s="76" t="s">
        <v>2105</v>
      </c>
      <c r="I1221" s="76" t="s">
        <v>3617</v>
      </c>
      <c r="J1221" s="76">
        <v>5.0</v>
      </c>
      <c r="K1221" s="46"/>
      <c r="L1221" s="76" t="s">
        <v>5761</v>
      </c>
      <c r="M1221" s="44">
        <v>2.0</v>
      </c>
      <c r="N1221" s="45"/>
      <c r="O1221" s="20"/>
      <c r="P1221" s="20"/>
      <c r="Q1221" s="20"/>
      <c r="R1221" s="20"/>
      <c r="S1221" s="20"/>
    </row>
    <row r="1222">
      <c r="A1222" s="49" t="s">
        <v>5762</v>
      </c>
      <c r="B1222" s="110">
        <v>46152.0</v>
      </c>
      <c r="C1222" s="49" t="s">
        <v>5763</v>
      </c>
      <c r="D1222" s="102" t="s">
        <v>5764</v>
      </c>
      <c r="E1222" s="25" t="s">
        <v>122</v>
      </c>
      <c r="F1222" s="25" t="s">
        <v>18</v>
      </c>
      <c r="G1222" s="25" t="s">
        <v>34</v>
      </c>
      <c r="H1222" s="49" t="s">
        <v>5765</v>
      </c>
      <c r="I1222" s="49" t="s">
        <v>5766</v>
      </c>
      <c r="J1222" s="49">
        <v>2.0</v>
      </c>
      <c r="K1222" s="30">
        <f>(550000+275000)*2</f>
        <v>1650000</v>
      </c>
      <c r="L1222" s="49" t="s">
        <v>5767</v>
      </c>
      <c r="M1222" s="50">
        <v>2.0</v>
      </c>
      <c r="N1222" s="51"/>
      <c r="O1222" s="20"/>
      <c r="P1222" s="20"/>
      <c r="Q1222" s="20"/>
      <c r="R1222" s="20"/>
      <c r="S1222" s="20"/>
    </row>
    <row r="1223">
      <c r="A1223" s="76" t="s">
        <v>5768</v>
      </c>
      <c r="B1223" s="97">
        <v>46152.0</v>
      </c>
      <c r="C1223" s="76" t="s">
        <v>5769</v>
      </c>
      <c r="D1223" s="99" t="s">
        <v>5770</v>
      </c>
      <c r="E1223" s="25" t="s">
        <v>128</v>
      </c>
      <c r="F1223" s="25" t="s">
        <v>18</v>
      </c>
      <c r="G1223" s="25" t="s">
        <v>42</v>
      </c>
      <c r="H1223" s="10"/>
      <c r="I1223" s="10"/>
      <c r="J1223" s="10"/>
      <c r="K1223" s="46"/>
      <c r="L1223" s="76" t="s">
        <v>840</v>
      </c>
      <c r="M1223" s="44">
        <v>8.0</v>
      </c>
      <c r="N1223" s="45"/>
      <c r="O1223" s="20"/>
      <c r="P1223" s="20"/>
      <c r="Q1223" s="20"/>
      <c r="R1223" s="20"/>
      <c r="S1223" s="20"/>
    </row>
    <row r="1224">
      <c r="A1224" s="49" t="s">
        <v>5771</v>
      </c>
      <c r="B1224" s="110">
        <v>46152.0</v>
      </c>
      <c r="C1224" s="49" t="s">
        <v>5772</v>
      </c>
      <c r="D1224" s="102" t="s">
        <v>5773</v>
      </c>
      <c r="E1224" s="25" t="s">
        <v>128</v>
      </c>
      <c r="F1224" s="25" t="s">
        <v>18</v>
      </c>
      <c r="G1224" s="25" t="s">
        <v>34</v>
      </c>
      <c r="H1224" s="49" t="s">
        <v>179</v>
      </c>
      <c r="I1224" s="101">
        <v>46207.0</v>
      </c>
      <c r="J1224" s="49">
        <v>15.0</v>
      </c>
      <c r="K1224" s="30">
        <f>295000*15</f>
        <v>4425000</v>
      </c>
      <c r="L1224" s="49" t="s">
        <v>5258</v>
      </c>
      <c r="M1224" s="50">
        <v>2.0</v>
      </c>
      <c r="N1224" s="51"/>
      <c r="O1224" s="20"/>
      <c r="P1224" s="20"/>
      <c r="Q1224" s="20"/>
      <c r="R1224" s="20"/>
      <c r="S1224" s="20"/>
    </row>
    <row r="1225">
      <c r="A1225" s="76" t="s">
        <v>5774</v>
      </c>
      <c r="B1225" s="97">
        <v>46153.0</v>
      </c>
      <c r="C1225" s="76" t="s">
        <v>5775</v>
      </c>
      <c r="D1225" s="99" t="s">
        <v>5776</v>
      </c>
      <c r="E1225" s="25" t="s">
        <v>128</v>
      </c>
      <c r="F1225" s="25" t="s">
        <v>129</v>
      </c>
      <c r="G1225" s="25" t="s">
        <v>34</v>
      </c>
      <c r="H1225" s="76" t="s">
        <v>5777</v>
      </c>
      <c r="I1225" s="76" t="s">
        <v>5778</v>
      </c>
      <c r="J1225" s="76">
        <v>35.0</v>
      </c>
      <c r="K1225" s="46"/>
      <c r="L1225" s="76" t="s">
        <v>5779</v>
      </c>
      <c r="M1225" s="44">
        <v>2.0</v>
      </c>
      <c r="N1225" s="86" t="s">
        <v>5780</v>
      </c>
      <c r="O1225" s="20"/>
      <c r="P1225" s="20"/>
      <c r="Q1225" s="20"/>
      <c r="R1225" s="20"/>
      <c r="S1225" s="20"/>
    </row>
    <row r="1226">
      <c r="A1226" s="49" t="s">
        <v>5781</v>
      </c>
      <c r="B1226" s="110">
        <v>46153.0</v>
      </c>
      <c r="C1226" s="49" t="s">
        <v>5782</v>
      </c>
      <c r="D1226" s="102" t="s">
        <v>5783</v>
      </c>
      <c r="E1226" s="25" t="s">
        <v>128</v>
      </c>
      <c r="F1226" s="25" t="s">
        <v>129</v>
      </c>
      <c r="G1226" s="25" t="s">
        <v>19</v>
      </c>
      <c r="H1226" s="49" t="s">
        <v>5784</v>
      </c>
      <c r="I1226" s="101">
        <v>46159.0</v>
      </c>
      <c r="J1226" s="49">
        <v>1.0</v>
      </c>
      <c r="K1226" s="36">
        <v>1725000.0</v>
      </c>
      <c r="L1226" s="49" t="s">
        <v>1763</v>
      </c>
      <c r="M1226" s="50">
        <v>7.0</v>
      </c>
      <c r="N1226" s="51"/>
      <c r="O1226" s="20"/>
      <c r="P1226" s="20"/>
      <c r="Q1226" s="20"/>
      <c r="R1226" s="20"/>
      <c r="S1226" s="20"/>
    </row>
    <row r="1227">
      <c r="A1227" s="76" t="s">
        <v>5785</v>
      </c>
      <c r="B1227" s="97">
        <v>46153.0</v>
      </c>
      <c r="C1227" s="76" t="s">
        <v>5786</v>
      </c>
      <c r="D1227" s="99" t="s">
        <v>5787</v>
      </c>
      <c r="E1227" s="25" t="s">
        <v>17</v>
      </c>
      <c r="F1227" s="25" t="s">
        <v>129</v>
      </c>
      <c r="G1227" s="25" t="s">
        <v>19</v>
      </c>
      <c r="H1227" s="76" t="s">
        <v>5788</v>
      </c>
      <c r="I1227" s="118">
        <v>46172.0</v>
      </c>
      <c r="J1227" s="76">
        <v>3.0</v>
      </c>
      <c r="K1227" s="46">
        <f>SUM(625000*3)</f>
        <v>1875000</v>
      </c>
      <c r="L1227" s="76" t="s">
        <v>2040</v>
      </c>
      <c r="M1227" s="44">
        <v>7.0</v>
      </c>
      <c r="N1227" s="45"/>
      <c r="O1227" s="20"/>
      <c r="P1227" s="20"/>
      <c r="Q1227" s="20"/>
      <c r="R1227" s="20"/>
      <c r="S1227" s="20"/>
    </row>
    <row r="1228">
      <c r="A1228" s="49" t="s">
        <v>5789</v>
      </c>
      <c r="B1228" s="110">
        <v>46153.0</v>
      </c>
      <c r="C1228" s="49" t="s">
        <v>5790</v>
      </c>
      <c r="D1228" s="102" t="s">
        <v>5791</v>
      </c>
      <c r="E1228" s="25" t="s">
        <v>17</v>
      </c>
      <c r="F1228" s="25" t="s">
        <v>129</v>
      </c>
      <c r="G1228" s="25" t="s">
        <v>42</v>
      </c>
      <c r="H1228" s="49" t="s">
        <v>747</v>
      </c>
      <c r="I1228" s="101">
        <v>46159.0</v>
      </c>
      <c r="J1228" s="49">
        <v>4.0</v>
      </c>
      <c r="K1228" s="30">
        <f>SUM(275000*4)</f>
        <v>1100000</v>
      </c>
      <c r="L1228" s="49" t="s">
        <v>1619</v>
      </c>
      <c r="M1228" s="50">
        <v>8.0</v>
      </c>
      <c r="N1228" s="51"/>
      <c r="O1228" s="20"/>
      <c r="P1228" s="20"/>
      <c r="Q1228" s="20"/>
      <c r="R1228" s="20"/>
      <c r="S1228" s="20"/>
    </row>
    <row r="1229">
      <c r="A1229" s="76" t="s">
        <v>5792</v>
      </c>
      <c r="B1229" s="97">
        <v>46153.0</v>
      </c>
      <c r="C1229" s="76" t="s">
        <v>5793</v>
      </c>
      <c r="D1229" s="99" t="s">
        <v>5794</v>
      </c>
      <c r="E1229" s="25" t="s">
        <v>17</v>
      </c>
      <c r="F1229" s="25" t="s">
        <v>129</v>
      </c>
      <c r="G1229" s="25" t="s">
        <v>29</v>
      </c>
      <c r="H1229" s="76" t="s">
        <v>3937</v>
      </c>
      <c r="I1229" s="76" t="s">
        <v>5103</v>
      </c>
      <c r="J1229" s="76">
        <v>3.0</v>
      </c>
      <c r="K1229" s="46"/>
      <c r="L1229" s="76" t="s">
        <v>5795</v>
      </c>
      <c r="M1229" s="44">
        <v>1.0</v>
      </c>
      <c r="N1229" s="86" t="s">
        <v>5796</v>
      </c>
      <c r="O1229" s="20"/>
      <c r="P1229" s="20"/>
      <c r="Q1229" s="20"/>
      <c r="R1229" s="20"/>
      <c r="S1229" s="20"/>
    </row>
    <row r="1230">
      <c r="A1230" s="49" t="s">
        <v>5797</v>
      </c>
      <c r="B1230" s="110">
        <v>46153.0</v>
      </c>
      <c r="C1230" s="49" t="s">
        <v>5798</v>
      </c>
      <c r="D1230" s="102" t="s">
        <v>5799</v>
      </c>
      <c r="E1230" s="25" t="s">
        <v>17</v>
      </c>
      <c r="F1230" s="25" t="s">
        <v>983</v>
      </c>
      <c r="G1230" s="25" t="s">
        <v>19</v>
      </c>
      <c r="H1230" s="49" t="s">
        <v>3317</v>
      </c>
      <c r="I1230" s="49" t="s">
        <v>5800</v>
      </c>
      <c r="J1230" s="49">
        <v>3.0</v>
      </c>
      <c r="K1230" s="30">
        <f>(424000*3)+(367000*3)</f>
        <v>2373000</v>
      </c>
      <c r="L1230" s="49" t="s">
        <v>2648</v>
      </c>
      <c r="M1230" s="50">
        <v>7.0</v>
      </c>
      <c r="N1230" s="51"/>
      <c r="O1230" s="20"/>
      <c r="P1230" s="20"/>
      <c r="Q1230" s="20"/>
      <c r="R1230" s="20"/>
      <c r="S1230" s="20"/>
    </row>
    <row r="1231">
      <c r="A1231" s="76" t="s">
        <v>5801</v>
      </c>
      <c r="B1231" s="97">
        <v>46153.0</v>
      </c>
      <c r="C1231" s="76" t="s">
        <v>5802</v>
      </c>
      <c r="D1231" s="99" t="s">
        <v>5803</v>
      </c>
      <c r="E1231" s="25" t="s">
        <v>17</v>
      </c>
      <c r="F1231" s="25" t="s">
        <v>18</v>
      </c>
      <c r="G1231" s="25" t="s">
        <v>42</v>
      </c>
      <c r="H1231" s="76" t="s">
        <v>5804</v>
      </c>
      <c r="I1231" s="76" t="s">
        <v>4429</v>
      </c>
      <c r="J1231" s="76">
        <v>1.0</v>
      </c>
      <c r="K1231" s="19">
        <v>1.6E7</v>
      </c>
      <c r="L1231" s="76" t="s">
        <v>3493</v>
      </c>
      <c r="M1231" s="44">
        <v>8.0</v>
      </c>
      <c r="N1231" s="45"/>
      <c r="O1231" s="20"/>
      <c r="P1231" s="20"/>
      <c r="Q1231" s="20"/>
      <c r="R1231" s="20"/>
      <c r="S1231" s="20"/>
    </row>
    <row r="1232">
      <c r="A1232" s="49" t="s">
        <v>5805</v>
      </c>
      <c r="B1232" s="97">
        <v>46153.0</v>
      </c>
      <c r="C1232" s="49" t="s">
        <v>5806</v>
      </c>
      <c r="D1232" s="102" t="s">
        <v>5807</v>
      </c>
      <c r="E1232" s="25" t="s">
        <v>128</v>
      </c>
      <c r="F1232" s="25" t="s">
        <v>18</v>
      </c>
      <c r="G1232" s="25" t="s">
        <v>42</v>
      </c>
      <c r="H1232" s="23"/>
      <c r="I1232" s="23"/>
      <c r="J1232" s="23"/>
      <c r="K1232" s="30"/>
      <c r="L1232" s="49" t="s">
        <v>840</v>
      </c>
      <c r="M1232" s="50">
        <v>8.0</v>
      </c>
      <c r="N1232" s="51"/>
      <c r="O1232" s="20"/>
      <c r="P1232" s="20"/>
      <c r="Q1232" s="20"/>
      <c r="R1232" s="20"/>
      <c r="S1232" s="20"/>
    </row>
    <row r="1233">
      <c r="A1233" s="76" t="s">
        <v>5808</v>
      </c>
      <c r="B1233" s="97">
        <v>46154.0</v>
      </c>
      <c r="C1233" s="76" t="s">
        <v>5809</v>
      </c>
      <c r="D1233" s="99" t="s">
        <v>5810</v>
      </c>
      <c r="E1233" s="25" t="s">
        <v>122</v>
      </c>
      <c r="F1233" s="25" t="s">
        <v>18</v>
      </c>
      <c r="G1233" s="25" t="s">
        <v>42</v>
      </c>
      <c r="H1233" s="76" t="s">
        <v>3395</v>
      </c>
      <c r="I1233" s="118">
        <v>46156.0</v>
      </c>
      <c r="J1233" s="76">
        <v>2.0</v>
      </c>
      <c r="K1233" s="46">
        <f>400000*2</f>
        <v>800000</v>
      </c>
      <c r="L1233" s="76" t="s">
        <v>3493</v>
      </c>
      <c r="M1233" s="44">
        <v>8.0</v>
      </c>
      <c r="N1233" s="45"/>
      <c r="O1233" s="20"/>
      <c r="P1233" s="20"/>
      <c r="Q1233" s="20"/>
      <c r="R1233" s="20"/>
      <c r="S1233" s="20"/>
    </row>
    <row r="1234">
      <c r="A1234" s="49" t="s">
        <v>5811</v>
      </c>
      <c r="B1234" s="110">
        <v>46154.0</v>
      </c>
      <c r="C1234" s="49" t="s">
        <v>5812</v>
      </c>
      <c r="D1234" s="102" t="s">
        <v>5813</v>
      </c>
      <c r="E1234" s="25" t="s">
        <v>122</v>
      </c>
      <c r="F1234" s="25" t="s">
        <v>18</v>
      </c>
      <c r="G1234" s="25" t="s">
        <v>34</v>
      </c>
      <c r="H1234" s="76" t="s">
        <v>3395</v>
      </c>
      <c r="I1234" s="101">
        <v>46158.0</v>
      </c>
      <c r="J1234" s="49">
        <v>2.0</v>
      </c>
      <c r="K1234" s="30">
        <f>275000*2</f>
        <v>550000</v>
      </c>
      <c r="L1234" s="49" t="s">
        <v>5814</v>
      </c>
      <c r="M1234" s="50">
        <v>2.0</v>
      </c>
      <c r="N1234" s="51"/>
      <c r="O1234" s="20"/>
      <c r="P1234" s="20"/>
      <c r="Q1234" s="20"/>
      <c r="R1234" s="20"/>
      <c r="S1234" s="20"/>
    </row>
    <row r="1235">
      <c r="A1235" s="76" t="s">
        <v>5815</v>
      </c>
      <c r="B1235" s="110">
        <v>46154.0</v>
      </c>
      <c r="C1235" s="49" t="s">
        <v>5816</v>
      </c>
      <c r="D1235" s="99" t="s">
        <v>5817</v>
      </c>
      <c r="E1235" s="25" t="s">
        <v>122</v>
      </c>
      <c r="F1235" s="25" t="s">
        <v>18</v>
      </c>
      <c r="G1235" s="25" t="s">
        <v>19</v>
      </c>
      <c r="H1235" s="76" t="s">
        <v>2327</v>
      </c>
      <c r="I1235" s="118">
        <v>46157.0</v>
      </c>
      <c r="J1235" s="76">
        <v>5.0</v>
      </c>
      <c r="K1235" s="46">
        <f>364000*5</f>
        <v>1820000</v>
      </c>
      <c r="L1235" s="76" t="s">
        <v>2648</v>
      </c>
      <c r="M1235" s="44">
        <v>7.0</v>
      </c>
      <c r="N1235" s="45"/>
      <c r="O1235" s="20"/>
      <c r="P1235" s="20"/>
      <c r="Q1235" s="20"/>
      <c r="R1235" s="20"/>
      <c r="S1235" s="20"/>
    </row>
    <row r="1236">
      <c r="A1236" s="49" t="s">
        <v>5818</v>
      </c>
      <c r="B1236" s="110">
        <v>46153.0</v>
      </c>
      <c r="C1236" s="49" t="s">
        <v>5819</v>
      </c>
      <c r="D1236" s="102" t="s">
        <v>5820</v>
      </c>
      <c r="E1236" s="25" t="s">
        <v>128</v>
      </c>
      <c r="F1236" s="25" t="s">
        <v>18</v>
      </c>
      <c r="G1236" s="25" t="s">
        <v>19</v>
      </c>
      <c r="H1236" s="49" t="s">
        <v>5658</v>
      </c>
      <c r="I1236" s="101">
        <v>46155.0</v>
      </c>
      <c r="J1236" s="49">
        <v>2.0</v>
      </c>
      <c r="K1236" s="36">
        <v>800000.0</v>
      </c>
      <c r="L1236" s="49" t="s">
        <v>2648</v>
      </c>
      <c r="M1236" s="50">
        <v>7.0</v>
      </c>
      <c r="N1236" s="51"/>
      <c r="O1236" s="20"/>
      <c r="P1236" s="20"/>
      <c r="Q1236" s="20"/>
      <c r="R1236" s="20"/>
      <c r="S1236" s="20"/>
    </row>
    <row r="1237">
      <c r="A1237" s="76" t="s">
        <v>5821</v>
      </c>
      <c r="B1237" s="110">
        <v>46154.0</v>
      </c>
      <c r="C1237" s="76" t="s">
        <v>5822</v>
      </c>
      <c r="D1237" s="99" t="s">
        <v>5823</v>
      </c>
      <c r="E1237" s="25" t="s">
        <v>128</v>
      </c>
      <c r="F1237" s="25" t="s">
        <v>18</v>
      </c>
      <c r="G1237" s="25" t="s">
        <v>42</v>
      </c>
      <c r="H1237" s="76" t="s">
        <v>5824</v>
      </c>
      <c r="I1237" s="10"/>
      <c r="J1237" s="76">
        <v>2.0</v>
      </c>
      <c r="K1237" s="46">
        <f>1727000*2</f>
        <v>3454000</v>
      </c>
      <c r="L1237" s="76" t="s">
        <v>840</v>
      </c>
      <c r="M1237" s="44">
        <v>8.0</v>
      </c>
      <c r="N1237" s="45"/>
      <c r="O1237" s="20"/>
      <c r="P1237" s="20"/>
      <c r="Q1237" s="20"/>
      <c r="R1237" s="20"/>
      <c r="S1237" s="20"/>
    </row>
    <row r="1238">
      <c r="A1238" s="49" t="s">
        <v>5825</v>
      </c>
      <c r="B1238" s="110">
        <v>46154.0</v>
      </c>
      <c r="C1238" s="49" t="s">
        <v>5826</v>
      </c>
      <c r="D1238" s="102" t="s">
        <v>5827</v>
      </c>
      <c r="E1238" s="25" t="s">
        <v>128</v>
      </c>
      <c r="F1238" s="25" t="s">
        <v>129</v>
      </c>
      <c r="G1238" s="25" t="s">
        <v>42</v>
      </c>
      <c r="H1238" s="49" t="s">
        <v>5828</v>
      </c>
      <c r="I1238" s="101">
        <v>46158.0</v>
      </c>
      <c r="J1238" s="49">
        <v>2.0</v>
      </c>
      <c r="K1238" s="30"/>
      <c r="L1238" s="23"/>
      <c r="M1238" s="50">
        <v>8.0</v>
      </c>
      <c r="N1238" s="104" t="s">
        <v>5829</v>
      </c>
      <c r="O1238" s="20"/>
      <c r="P1238" s="20"/>
      <c r="Q1238" s="20"/>
      <c r="R1238" s="20"/>
      <c r="S1238" s="20"/>
    </row>
    <row r="1239">
      <c r="A1239" s="76" t="s">
        <v>5830</v>
      </c>
      <c r="B1239" s="97">
        <v>46154.0</v>
      </c>
      <c r="C1239" s="76" t="s">
        <v>5831</v>
      </c>
      <c r="D1239" s="99" t="s">
        <v>5832</v>
      </c>
      <c r="E1239" s="25" t="s">
        <v>128</v>
      </c>
      <c r="F1239" s="25" t="s">
        <v>129</v>
      </c>
      <c r="G1239" s="25" t="s">
        <v>42</v>
      </c>
      <c r="H1239" s="76" t="s">
        <v>5833</v>
      </c>
      <c r="I1239" s="118">
        <v>46177.0</v>
      </c>
      <c r="J1239" s="76">
        <v>3.0</v>
      </c>
      <c r="K1239" s="46"/>
      <c r="L1239" s="10"/>
      <c r="M1239" s="44">
        <v>8.0</v>
      </c>
      <c r="N1239" s="86" t="s">
        <v>5834</v>
      </c>
      <c r="O1239" s="20"/>
      <c r="P1239" s="20"/>
      <c r="Q1239" s="20"/>
      <c r="R1239" s="20"/>
      <c r="S1239" s="20"/>
    </row>
    <row r="1240">
      <c r="A1240" s="49" t="s">
        <v>5835</v>
      </c>
      <c r="B1240" s="110">
        <v>46154.0</v>
      </c>
      <c r="C1240" s="49" t="s">
        <v>5836</v>
      </c>
      <c r="D1240" s="102" t="s">
        <v>5837</v>
      </c>
      <c r="E1240" s="25" t="s">
        <v>128</v>
      </c>
      <c r="F1240" s="25" t="s">
        <v>129</v>
      </c>
      <c r="G1240" s="25" t="s">
        <v>29</v>
      </c>
      <c r="H1240" s="49" t="s">
        <v>5838</v>
      </c>
      <c r="I1240" s="49" t="s">
        <v>5839</v>
      </c>
      <c r="J1240" s="49">
        <v>2.0</v>
      </c>
      <c r="K1240" s="30"/>
      <c r="L1240" s="23"/>
      <c r="M1240" s="50">
        <v>1.0</v>
      </c>
      <c r="N1240" s="104" t="s">
        <v>5840</v>
      </c>
      <c r="O1240" s="20"/>
      <c r="P1240" s="20"/>
      <c r="Q1240" s="20"/>
      <c r="R1240" s="20"/>
      <c r="S1240" s="20"/>
    </row>
    <row r="1241">
      <c r="A1241" s="76" t="s">
        <v>5841</v>
      </c>
      <c r="B1241" s="97">
        <v>46153.0</v>
      </c>
      <c r="C1241" s="76" t="s">
        <v>5842</v>
      </c>
      <c r="D1241" s="99" t="s">
        <v>5843</v>
      </c>
      <c r="E1241" s="25" t="s">
        <v>128</v>
      </c>
      <c r="F1241" s="25" t="s">
        <v>129</v>
      </c>
      <c r="G1241" s="25" t="s">
        <v>29</v>
      </c>
      <c r="H1241" s="76" t="s">
        <v>3904</v>
      </c>
      <c r="I1241" s="10"/>
      <c r="J1241" s="76">
        <v>40.0</v>
      </c>
      <c r="K1241" s="46"/>
      <c r="L1241" s="76" t="s">
        <v>5844</v>
      </c>
      <c r="M1241" s="44">
        <v>1.0</v>
      </c>
      <c r="N1241" s="86" t="s">
        <v>5845</v>
      </c>
      <c r="O1241" s="20"/>
      <c r="P1241" s="20"/>
      <c r="Q1241" s="20"/>
      <c r="R1241" s="20"/>
      <c r="S1241" s="20"/>
    </row>
    <row r="1242">
      <c r="A1242" s="49" t="s">
        <v>5846</v>
      </c>
      <c r="B1242" s="110">
        <v>46153.0</v>
      </c>
      <c r="C1242" s="49" t="s">
        <v>1760</v>
      </c>
      <c r="D1242" s="102" t="s">
        <v>5847</v>
      </c>
      <c r="E1242" s="25" t="s">
        <v>17</v>
      </c>
      <c r="F1242" s="25" t="s">
        <v>129</v>
      </c>
      <c r="G1242" s="25" t="s">
        <v>19</v>
      </c>
      <c r="H1242" s="49" t="s">
        <v>5848</v>
      </c>
      <c r="I1242" s="101">
        <v>46187.0</v>
      </c>
      <c r="J1242" s="49">
        <v>2.0</v>
      </c>
      <c r="K1242" s="36">
        <v>1150000.0</v>
      </c>
      <c r="L1242" s="49" t="s">
        <v>5849</v>
      </c>
      <c r="M1242" s="50">
        <v>7.0</v>
      </c>
      <c r="N1242" s="104" t="s">
        <v>5850</v>
      </c>
      <c r="O1242" s="20"/>
      <c r="P1242" s="20"/>
      <c r="Q1242" s="20"/>
      <c r="R1242" s="20"/>
      <c r="S1242" s="20"/>
    </row>
    <row r="1243">
      <c r="A1243" s="76" t="s">
        <v>5851</v>
      </c>
      <c r="B1243" s="97">
        <v>46154.0</v>
      </c>
      <c r="C1243" s="76" t="s">
        <v>4456</v>
      </c>
      <c r="D1243" s="99" t="s">
        <v>5852</v>
      </c>
      <c r="E1243" s="25" t="s">
        <v>128</v>
      </c>
      <c r="F1243" s="25" t="s">
        <v>129</v>
      </c>
      <c r="G1243" s="25" t="s">
        <v>42</v>
      </c>
      <c r="H1243" s="76" t="s">
        <v>5853</v>
      </c>
      <c r="I1243" s="118">
        <v>46156.0</v>
      </c>
      <c r="J1243" s="76">
        <v>1.0</v>
      </c>
      <c r="K1243" s="19">
        <v>250000.0</v>
      </c>
      <c r="L1243" s="76" t="s">
        <v>5854</v>
      </c>
      <c r="M1243" s="44">
        <v>8.0</v>
      </c>
      <c r="N1243" s="45"/>
      <c r="O1243" s="20"/>
      <c r="P1243" s="20"/>
      <c r="Q1243" s="20"/>
      <c r="R1243" s="20"/>
      <c r="S1243" s="20"/>
    </row>
    <row r="1244">
      <c r="A1244" s="49" t="s">
        <v>5855</v>
      </c>
      <c r="B1244" s="110">
        <v>46154.0</v>
      </c>
      <c r="C1244" s="49" t="s">
        <v>5856</v>
      </c>
      <c r="D1244" s="102" t="s">
        <v>3652</v>
      </c>
      <c r="E1244" s="25" t="s">
        <v>17</v>
      </c>
      <c r="F1244" s="25" t="s">
        <v>129</v>
      </c>
      <c r="G1244" s="25" t="s">
        <v>19</v>
      </c>
      <c r="H1244" s="49" t="s">
        <v>5828</v>
      </c>
      <c r="I1244" s="101">
        <v>46171.0</v>
      </c>
      <c r="J1244" s="49">
        <v>3.0</v>
      </c>
      <c r="K1244" s="30">
        <f>SUM(1350000*4)</f>
        <v>5400000</v>
      </c>
      <c r="L1244" s="49" t="s">
        <v>2040</v>
      </c>
      <c r="M1244" s="50">
        <v>7.0</v>
      </c>
      <c r="N1244" s="51"/>
      <c r="O1244" s="20"/>
      <c r="P1244" s="20"/>
      <c r="Q1244" s="20"/>
      <c r="R1244" s="20"/>
      <c r="S1244" s="20"/>
    </row>
    <row r="1245">
      <c r="A1245" s="76" t="s">
        <v>5857</v>
      </c>
      <c r="B1245" s="97">
        <v>46154.0</v>
      </c>
      <c r="C1245" s="76" t="s">
        <v>5858</v>
      </c>
      <c r="D1245" s="99" t="s">
        <v>5859</v>
      </c>
      <c r="E1245" s="25" t="s">
        <v>128</v>
      </c>
      <c r="F1245" s="25" t="s">
        <v>129</v>
      </c>
      <c r="G1245" s="25" t="s">
        <v>42</v>
      </c>
      <c r="H1245" s="76" t="s">
        <v>3904</v>
      </c>
      <c r="I1245" s="76" t="s">
        <v>5860</v>
      </c>
      <c r="J1245" s="76">
        <v>10.0</v>
      </c>
      <c r="K1245" s="46"/>
      <c r="L1245" s="76" t="s">
        <v>3047</v>
      </c>
      <c r="M1245" s="44">
        <v>8.0</v>
      </c>
      <c r="N1245" s="86" t="s">
        <v>5861</v>
      </c>
      <c r="O1245" s="20"/>
      <c r="P1245" s="20"/>
      <c r="Q1245" s="20"/>
      <c r="R1245" s="20"/>
      <c r="S1245" s="20"/>
    </row>
    <row r="1246">
      <c r="A1246" s="49" t="s">
        <v>5862</v>
      </c>
      <c r="B1246" s="110">
        <v>46155.0</v>
      </c>
      <c r="C1246" s="49" t="s">
        <v>1000</v>
      </c>
      <c r="D1246" s="102" t="s">
        <v>5863</v>
      </c>
      <c r="E1246" s="25" t="s">
        <v>128</v>
      </c>
      <c r="F1246" s="25" t="s">
        <v>129</v>
      </c>
      <c r="G1246" s="25" t="s">
        <v>42</v>
      </c>
      <c r="H1246" s="49" t="s">
        <v>5864</v>
      </c>
      <c r="I1246" s="101">
        <v>46158.0</v>
      </c>
      <c r="J1246" s="49">
        <v>4.0</v>
      </c>
      <c r="K1246" s="30"/>
      <c r="L1246" s="49" t="s">
        <v>5865</v>
      </c>
      <c r="M1246" s="50">
        <v>8.0</v>
      </c>
      <c r="N1246" s="51"/>
      <c r="O1246" s="20"/>
      <c r="P1246" s="20"/>
      <c r="Q1246" s="20"/>
      <c r="R1246" s="20"/>
      <c r="S1246" s="20"/>
    </row>
    <row r="1247">
      <c r="A1247" s="76" t="s">
        <v>5866</v>
      </c>
      <c r="B1247" s="97">
        <v>46154.0</v>
      </c>
      <c r="C1247" s="76" t="s">
        <v>5867</v>
      </c>
      <c r="D1247" s="99" t="s">
        <v>5868</v>
      </c>
      <c r="E1247" s="25" t="s">
        <v>128</v>
      </c>
      <c r="F1247" s="25" t="s">
        <v>129</v>
      </c>
      <c r="G1247" s="25" t="s">
        <v>19</v>
      </c>
      <c r="H1247" s="76" t="s">
        <v>5853</v>
      </c>
      <c r="I1247" s="118">
        <v>46160.0</v>
      </c>
      <c r="J1247" s="76">
        <v>1.0</v>
      </c>
      <c r="K1247" s="19">
        <v>250000.0</v>
      </c>
      <c r="L1247" s="76" t="s">
        <v>2040</v>
      </c>
      <c r="M1247" s="44">
        <v>7.0</v>
      </c>
      <c r="N1247" s="45"/>
      <c r="O1247" s="20"/>
      <c r="P1247" s="20"/>
      <c r="Q1247" s="20"/>
      <c r="R1247" s="20"/>
      <c r="S1247" s="20"/>
    </row>
    <row r="1248">
      <c r="A1248" s="49" t="s">
        <v>5869</v>
      </c>
      <c r="B1248" s="110">
        <v>46155.0</v>
      </c>
      <c r="C1248" s="49" t="s">
        <v>5870</v>
      </c>
      <c r="D1248" s="102" t="s">
        <v>5871</v>
      </c>
      <c r="E1248" s="25" t="s">
        <v>17</v>
      </c>
      <c r="F1248" s="25" t="s">
        <v>129</v>
      </c>
      <c r="G1248" s="25" t="s">
        <v>19</v>
      </c>
      <c r="H1248" s="49" t="s">
        <v>3317</v>
      </c>
      <c r="I1248" s="101">
        <v>46171.0</v>
      </c>
      <c r="J1248" s="49">
        <v>2.0</v>
      </c>
      <c r="K1248" s="36">
        <v>2800000.0</v>
      </c>
      <c r="L1248" s="49" t="s">
        <v>5872</v>
      </c>
      <c r="M1248" s="50">
        <v>7.0</v>
      </c>
      <c r="N1248" s="104" t="s">
        <v>5873</v>
      </c>
      <c r="O1248" s="20"/>
      <c r="P1248" s="20"/>
      <c r="Q1248" s="20"/>
      <c r="R1248" s="20"/>
      <c r="S1248" s="20"/>
    </row>
    <row r="1249">
      <c r="A1249" s="76" t="s">
        <v>5874</v>
      </c>
      <c r="B1249" s="97">
        <v>46154.0</v>
      </c>
      <c r="C1249" s="76" t="s">
        <v>3861</v>
      </c>
      <c r="D1249" s="99" t="s">
        <v>5875</v>
      </c>
      <c r="E1249" s="25" t="s">
        <v>128</v>
      </c>
      <c r="F1249" s="25" t="s">
        <v>129</v>
      </c>
      <c r="G1249" s="25" t="s">
        <v>42</v>
      </c>
      <c r="H1249" s="76" t="s">
        <v>5876</v>
      </c>
      <c r="I1249" s="118">
        <v>46163.0</v>
      </c>
      <c r="J1249" s="76">
        <v>2.0</v>
      </c>
      <c r="K1249" s="46"/>
      <c r="L1249" s="76" t="s">
        <v>3047</v>
      </c>
      <c r="M1249" s="44">
        <v>8.0</v>
      </c>
      <c r="N1249" s="86" t="s">
        <v>5877</v>
      </c>
      <c r="O1249" s="20"/>
      <c r="P1249" s="20"/>
      <c r="Q1249" s="20"/>
      <c r="R1249" s="20"/>
      <c r="S1249" s="20"/>
    </row>
    <row r="1250">
      <c r="A1250" s="49" t="s">
        <v>5878</v>
      </c>
      <c r="B1250" s="110">
        <v>46154.0</v>
      </c>
      <c r="C1250" s="49" t="s">
        <v>5879</v>
      </c>
      <c r="D1250" s="102" t="s">
        <v>5880</v>
      </c>
      <c r="E1250" s="25" t="s">
        <v>122</v>
      </c>
      <c r="F1250" s="25" t="s">
        <v>983</v>
      </c>
      <c r="G1250" s="25" t="s">
        <v>34</v>
      </c>
      <c r="H1250" s="49" t="s">
        <v>2462</v>
      </c>
      <c r="I1250" s="49" t="s">
        <v>5881</v>
      </c>
      <c r="J1250" s="49">
        <v>30.0</v>
      </c>
      <c r="K1250" s="30">
        <f>1725000*30</f>
        <v>51750000</v>
      </c>
      <c r="L1250" s="49" t="s">
        <v>5882</v>
      </c>
      <c r="M1250" s="50">
        <v>2.0</v>
      </c>
      <c r="N1250" s="51"/>
      <c r="O1250" s="20"/>
      <c r="P1250" s="20"/>
      <c r="Q1250" s="20"/>
      <c r="R1250" s="20"/>
      <c r="S1250" s="20"/>
    </row>
    <row r="1251">
      <c r="A1251" s="76" t="s">
        <v>5883</v>
      </c>
      <c r="B1251" s="97">
        <v>46154.0</v>
      </c>
      <c r="C1251" s="76" t="s">
        <v>2285</v>
      </c>
      <c r="D1251" s="99" t="s">
        <v>5884</v>
      </c>
      <c r="E1251" s="25" t="s">
        <v>122</v>
      </c>
      <c r="F1251" s="25" t="s">
        <v>983</v>
      </c>
      <c r="G1251" s="25" t="s">
        <v>42</v>
      </c>
      <c r="H1251" s="10"/>
      <c r="I1251" s="10"/>
      <c r="J1251" s="10"/>
      <c r="K1251" s="46"/>
      <c r="L1251" s="76" t="s">
        <v>4347</v>
      </c>
      <c r="M1251" s="44">
        <v>8.0</v>
      </c>
      <c r="N1251" s="45"/>
      <c r="O1251" s="20"/>
      <c r="P1251" s="20"/>
      <c r="Q1251" s="20"/>
      <c r="R1251" s="20"/>
      <c r="S1251" s="20"/>
    </row>
    <row r="1252">
      <c r="A1252" s="49" t="s">
        <v>5885</v>
      </c>
      <c r="B1252" s="110">
        <v>46154.0</v>
      </c>
      <c r="C1252" s="49" t="s">
        <v>5886</v>
      </c>
      <c r="D1252" s="102" t="s">
        <v>5887</v>
      </c>
      <c r="E1252" s="25" t="s">
        <v>17</v>
      </c>
      <c r="F1252" s="25" t="s">
        <v>983</v>
      </c>
      <c r="G1252" s="25" t="s">
        <v>34</v>
      </c>
      <c r="H1252" s="49" t="s">
        <v>5888</v>
      </c>
      <c r="I1252" s="49" t="s">
        <v>5103</v>
      </c>
      <c r="J1252" s="49">
        <v>2.0</v>
      </c>
      <c r="K1252" s="30">
        <f>2832000*2</f>
        <v>5664000</v>
      </c>
      <c r="L1252" s="49" t="s">
        <v>4517</v>
      </c>
      <c r="M1252" s="50">
        <v>2.0</v>
      </c>
      <c r="N1252" s="51"/>
      <c r="O1252" s="20"/>
      <c r="P1252" s="20"/>
      <c r="Q1252" s="20"/>
      <c r="R1252" s="20"/>
      <c r="S1252" s="20"/>
    </row>
    <row r="1253">
      <c r="A1253" s="76" t="s">
        <v>5889</v>
      </c>
      <c r="B1253" s="97">
        <v>46154.0</v>
      </c>
      <c r="C1253" s="76" t="s">
        <v>5890</v>
      </c>
      <c r="D1253" s="99" t="s">
        <v>5891</v>
      </c>
      <c r="E1253" s="25" t="s">
        <v>122</v>
      </c>
      <c r="F1253" s="25" t="s">
        <v>983</v>
      </c>
      <c r="G1253" s="25" t="s">
        <v>42</v>
      </c>
      <c r="H1253" s="76" t="s">
        <v>5892</v>
      </c>
      <c r="I1253" s="76" t="s">
        <v>2290</v>
      </c>
      <c r="J1253" s="76">
        <v>2.0</v>
      </c>
      <c r="K1253" s="46"/>
      <c r="L1253" s="76" t="s">
        <v>5893</v>
      </c>
      <c r="M1253" s="44">
        <v>8.0</v>
      </c>
      <c r="N1253" s="45"/>
      <c r="O1253" s="20"/>
      <c r="P1253" s="20"/>
      <c r="Q1253" s="20"/>
      <c r="R1253" s="20"/>
      <c r="S1253" s="20"/>
    </row>
    <row r="1254">
      <c r="A1254" s="49" t="s">
        <v>5894</v>
      </c>
      <c r="B1254" s="110">
        <v>46155.0</v>
      </c>
      <c r="C1254" s="49" t="s">
        <v>5895</v>
      </c>
      <c r="D1254" s="102" t="s">
        <v>5896</v>
      </c>
      <c r="E1254" s="25" t="s">
        <v>122</v>
      </c>
      <c r="F1254" s="25" t="s">
        <v>983</v>
      </c>
      <c r="G1254" s="25" t="s">
        <v>42</v>
      </c>
      <c r="H1254" s="49" t="s">
        <v>5897</v>
      </c>
      <c r="I1254" s="49" t="s">
        <v>5898</v>
      </c>
      <c r="J1254" s="49" t="s">
        <v>5899</v>
      </c>
      <c r="K1254" s="30">
        <f>1232000*3</f>
        <v>3696000</v>
      </c>
      <c r="L1254" s="49" t="s">
        <v>5900</v>
      </c>
      <c r="M1254" s="50">
        <v>8.0</v>
      </c>
      <c r="N1254" s="51"/>
      <c r="O1254" s="20"/>
      <c r="P1254" s="20"/>
      <c r="Q1254" s="20"/>
      <c r="R1254" s="20"/>
      <c r="S1254" s="20"/>
    </row>
    <row r="1255">
      <c r="A1255" s="76" t="s">
        <v>5901</v>
      </c>
      <c r="B1255" s="97">
        <v>46154.0</v>
      </c>
      <c r="C1255" s="76" t="s">
        <v>5902</v>
      </c>
      <c r="D1255" s="99" t="s">
        <v>5903</v>
      </c>
      <c r="E1255" s="25" t="s">
        <v>122</v>
      </c>
      <c r="F1255" s="25" t="s">
        <v>983</v>
      </c>
      <c r="G1255" s="25" t="s">
        <v>42</v>
      </c>
      <c r="H1255" s="10"/>
      <c r="I1255" s="76" t="s">
        <v>5904</v>
      </c>
      <c r="J1255" s="10"/>
      <c r="K1255" s="46"/>
      <c r="L1255" s="76" t="s">
        <v>3493</v>
      </c>
      <c r="M1255" s="44">
        <v>8.0</v>
      </c>
      <c r="N1255" s="45"/>
      <c r="O1255" s="20"/>
      <c r="P1255" s="20"/>
      <c r="Q1255" s="20"/>
      <c r="R1255" s="20"/>
      <c r="S1255" s="20"/>
    </row>
    <row r="1256">
      <c r="A1256" s="49" t="s">
        <v>5905</v>
      </c>
      <c r="B1256" s="110">
        <v>46154.0</v>
      </c>
      <c r="C1256" s="49" t="s">
        <v>5906</v>
      </c>
      <c r="D1256" s="102" t="s">
        <v>5907</v>
      </c>
      <c r="E1256" s="25" t="s">
        <v>122</v>
      </c>
      <c r="F1256" s="25" t="s">
        <v>983</v>
      </c>
      <c r="G1256" s="25" t="s">
        <v>42</v>
      </c>
      <c r="H1256" s="23"/>
      <c r="I1256" s="23"/>
      <c r="J1256" s="23"/>
      <c r="K1256" s="30"/>
      <c r="L1256" s="49" t="s">
        <v>3133</v>
      </c>
      <c r="M1256" s="50">
        <v>8.0</v>
      </c>
      <c r="N1256" s="51"/>
      <c r="O1256" s="20"/>
      <c r="P1256" s="20"/>
      <c r="Q1256" s="20"/>
      <c r="R1256" s="20"/>
      <c r="S1256" s="20"/>
    </row>
    <row r="1257">
      <c r="A1257" s="76" t="s">
        <v>5908</v>
      </c>
      <c r="B1257" s="97">
        <v>46154.0</v>
      </c>
      <c r="C1257" s="76" t="s">
        <v>5909</v>
      </c>
      <c r="D1257" s="99" t="s">
        <v>5910</v>
      </c>
      <c r="E1257" s="25" t="s">
        <v>128</v>
      </c>
      <c r="F1257" s="25" t="s">
        <v>18</v>
      </c>
      <c r="G1257" s="25" t="s">
        <v>42</v>
      </c>
      <c r="H1257" s="76" t="s">
        <v>2462</v>
      </c>
      <c r="I1257" s="76" t="s">
        <v>5904</v>
      </c>
      <c r="J1257" s="76">
        <v>4.0</v>
      </c>
      <c r="K1257" s="19"/>
      <c r="L1257" s="76" t="s">
        <v>3493</v>
      </c>
      <c r="M1257" s="44">
        <v>8.0</v>
      </c>
      <c r="N1257" s="45"/>
      <c r="O1257" s="20"/>
      <c r="P1257" s="20"/>
      <c r="Q1257" s="20"/>
      <c r="R1257" s="20"/>
      <c r="S1257" s="20"/>
    </row>
    <row r="1258">
      <c r="A1258" s="49" t="s">
        <v>5911</v>
      </c>
      <c r="B1258" s="110">
        <v>46155.0</v>
      </c>
      <c r="C1258" s="49" t="s">
        <v>5912</v>
      </c>
      <c r="D1258" s="102" t="s">
        <v>5913</v>
      </c>
      <c r="E1258" s="25" t="s">
        <v>17</v>
      </c>
      <c r="F1258" s="25" t="s">
        <v>18</v>
      </c>
      <c r="G1258" s="25" t="s">
        <v>42</v>
      </c>
      <c r="H1258" s="49" t="s">
        <v>179</v>
      </c>
      <c r="I1258" s="101">
        <v>46171.0</v>
      </c>
      <c r="J1258" s="49">
        <v>2.0</v>
      </c>
      <c r="K1258" s="30">
        <f>400000*2</f>
        <v>800000</v>
      </c>
      <c r="L1258" s="49" t="s">
        <v>840</v>
      </c>
      <c r="M1258" s="50">
        <v>8.0</v>
      </c>
      <c r="N1258" s="51"/>
      <c r="O1258" s="20"/>
      <c r="P1258" s="20"/>
      <c r="Q1258" s="20"/>
      <c r="R1258" s="20"/>
      <c r="S1258" s="20"/>
    </row>
    <row r="1259">
      <c r="A1259" s="76" t="s">
        <v>5914</v>
      </c>
      <c r="B1259" s="97">
        <v>46155.0</v>
      </c>
      <c r="C1259" s="76" t="s">
        <v>5915</v>
      </c>
      <c r="D1259" s="99" t="s">
        <v>5916</v>
      </c>
      <c r="E1259" s="25" t="s">
        <v>128</v>
      </c>
      <c r="F1259" s="25" t="s">
        <v>18</v>
      </c>
      <c r="G1259" s="25" t="s">
        <v>42</v>
      </c>
      <c r="H1259" s="76" t="s">
        <v>3395</v>
      </c>
      <c r="I1259" s="76" t="s">
        <v>5917</v>
      </c>
      <c r="J1259" s="76">
        <v>2.0</v>
      </c>
      <c r="K1259" s="46"/>
      <c r="L1259" s="76" t="s">
        <v>840</v>
      </c>
      <c r="M1259" s="44">
        <v>8.0</v>
      </c>
      <c r="N1259" s="45"/>
      <c r="O1259" s="20"/>
      <c r="P1259" s="20"/>
      <c r="Q1259" s="20"/>
      <c r="R1259" s="20"/>
      <c r="S1259" s="20"/>
    </row>
    <row r="1260">
      <c r="A1260" s="49" t="s">
        <v>5918</v>
      </c>
      <c r="B1260" s="110">
        <v>46155.0</v>
      </c>
      <c r="C1260" s="49" t="s">
        <v>5496</v>
      </c>
      <c r="D1260" s="102" t="s">
        <v>5919</v>
      </c>
      <c r="E1260" s="25" t="s">
        <v>128</v>
      </c>
      <c r="F1260" s="25" t="s">
        <v>18</v>
      </c>
      <c r="G1260" s="25" t="s">
        <v>42</v>
      </c>
      <c r="H1260" s="49" t="s">
        <v>5664</v>
      </c>
      <c r="I1260" s="101">
        <v>46156.0</v>
      </c>
      <c r="J1260" s="49">
        <v>2.0</v>
      </c>
      <c r="K1260" s="30"/>
      <c r="L1260" s="49" t="s">
        <v>3493</v>
      </c>
      <c r="M1260" s="50">
        <v>8.0</v>
      </c>
      <c r="N1260" s="51"/>
      <c r="O1260" s="20"/>
      <c r="P1260" s="20"/>
      <c r="Q1260" s="20"/>
      <c r="R1260" s="20"/>
      <c r="S1260" s="20"/>
    </row>
    <row r="1261">
      <c r="A1261" s="76" t="s">
        <v>5920</v>
      </c>
      <c r="B1261" s="97">
        <v>46155.0</v>
      </c>
      <c r="C1261" s="76" t="s">
        <v>5921</v>
      </c>
      <c r="D1261" s="99" t="s">
        <v>5922</v>
      </c>
      <c r="E1261" s="25" t="s">
        <v>17</v>
      </c>
      <c r="F1261" s="25" t="s">
        <v>129</v>
      </c>
      <c r="G1261" s="25" t="s">
        <v>42</v>
      </c>
      <c r="H1261" s="76" t="s">
        <v>3828</v>
      </c>
      <c r="I1261" s="118">
        <v>46169.0</v>
      </c>
      <c r="J1261" s="76">
        <v>100.0</v>
      </c>
      <c r="K1261" s="46"/>
      <c r="L1261" s="76" t="s">
        <v>3047</v>
      </c>
      <c r="M1261" s="44">
        <v>8.0</v>
      </c>
      <c r="N1261" s="86" t="s">
        <v>5923</v>
      </c>
      <c r="O1261" s="20"/>
      <c r="P1261" s="20"/>
      <c r="Q1261" s="20"/>
      <c r="R1261" s="20"/>
      <c r="S1261" s="20"/>
    </row>
    <row r="1262">
      <c r="A1262" s="49" t="s">
        <v>5924</v>
      </c>
      <c r="B1262" s="110">
        <v>46125.0</v>
      </c>
      <c r="C1262" s="49" t="s">
        <v>5925</v>
      </c>
      <c r="D1262" s="102" t="s">
        <v>5926</v>
      </c>
      <c r="E1262" s="25" t="s">
        <v>128</v>
      </c>
      <c r="F1262" s="25" t="s">
        <v>129</v>
      </c>
      <c r="G1262" s="25" t="s">
        <v>42</v>
      </c>
      <c r="H1262" s="49" t="s">
        <v>5927</v>
      </c>
      <c r="I1262" s="101">
        <v>46156.0</v>
      </c>
      <c r="J1262" s="23"/>
      <c r="K1262" s="30"/>
      <c r="L1262" s="49" t="s">
        <v>3493</v>
      </c>
      <c r="M1262" s="50">
        <v>8.0</v>
      </c>
      <c r="N1262" s="51"/>
      <c r="O1262" s="20"/>
      <c r="P1262" s="20"/>
      <c r="Q1262" s="20"/>
      <c r="R1262" s="20"/>
      <c r="S1262" s="20"/>
    </row>
    <row r="1263">
      <c r="A1263" s="76" t="s">
        <v>5928</v>
      </c>
      <c r="B1263" s="97">
        <v>46155.0</v>
      </c>
      <c r="C1263" s="76" t="s">
        <v>5929</v>
      </c>
      <c r="D1263" s="99" t="s">
        <v>5930</v>
      </c>
      <c r="E1263" s="25" t="s">
        <v>128</v>
      </c>
      <c r="F1263" s="25" t="s">
        <v>129</v>
      </c>
      <c r="G1263" s="25" t="s">
        <v>42</v>
      </c>
      <c r="H1263" s="10"/>
      <c r="I1263" s="118">
        <v>46157.0</v>
      </c>
      <c r="J1263" s="76">
        <v>2.0</v>
      </c>
      <c r="K1263" s="46"/>
      <c r="L1263" s="76" t="s">
        <v>3493</v>
      </c>
      <c r="M1263" s="44">
        <v>8.0</v>
      </c>
      <c r="N1263" s="45"/>
      <c r="O1263" s="20"/>
      <c r="P1263" s="20"/>
      <c r="Q1263" s="20"/>
      <c r="R1263" s="20"/>
      <c r="S1263" s="20"/>
    </row>
    <row r="1264">
      <c r="A1264" s="49" t="s">
        <v>5931</v>
      </c>
      <c r="B1264" s="110">
        <v>46155.0</v>
      </c>
      <c r="C1264" s="49" t="s">
        <v>5932</v>
      </c>
      <c r="D1264" s="102" t="s">
        <v>5933</v>
      </c>
      <c r="E1264" s="25" t="s">
        <v>128</v>
      </c>
      <c r="F1264" s="25" t="s">
        <v>129</v>
      </c>
      <c r="G1264" s="25" t="s">
        <v>42</v>
      </c>
      <c r="H1264" s="49" t="s">
        <v>5934</v>
      </c>
      <c r="I1264" s="101">
        <v>46157.0</v>
      </c>
      <c r="J1264" s="23"/>
      <c r="K1264" s="30"/>
      <c r="L1264" s="49" t="s">
        <v>3493</v>
      </c>
      <c r="M1264" s="50">
        <v>8.0</v>
      </c>
      <c r="N1264" s="51"/>
      <c r="O1264" s="20"/>
      <c r="P1264" s="20"/>
      <c r="Q1264" s="20"/>
      <c r="R1264" s="20"/>
      <c r="S1264" s="20"/>
    </row>
    <row r="1265">
      <c r="A1265" s="76" t="s">
        <v>5935</v>
      </c>
      <c r="B1265" s="97">
        <v>46155.0</v>
      </c>
      <c r="C1265" s="76" t="s">
        <v>5936</v>
      </c>
      <c r="D1265" s="99" t="s">
        <v>5937</v>
      </c>
      <c r="E1265" s="25" t="s">
        <v>17</v>
      </c>
      <c r="F1265" s="25" t="s">
        <v>129</v>
      </c>
      <c r="G1265" s="25" t="s">
        <v>42</v>
      </c>
      <c r="H1265" s="10"/>
      <c r="I1265" s="10"/>
      <c r="J1265" s="10"/>
      <c r="K1265" s="46"/>
      <c r="L1265" s="76" t="s">
        <v>5938</v>
      </c>
      <c r="M1265" s="44">
        <v>8.0</v>
      </c>
      <c r="N1265" s="45"/>
      <c r="O1265" s="20"/>
      <c r="P1265" s="20"/>
      <c r="Q1265" s="20"/>
      <c r="R1265" s="20"/>
      <c r="S1265" s="20"/>
    </row>
    <row r="1266">
      <c r="A1266" s="49" t="s">
        <v>5939</v>
      </c>
      <c r="B1266" s="110">
        <v>46155.0</v>
      </c>
      <c r="C1266" s="49" t="s">
        <v>5940</v>
      </c>
      <c r="D1266" s="102" t="s">
        <v>5941</v>
      </c>
      <c r="E1266" s="25" t="s">
        <v>128</v>
      </c>
      <c r="F1266" s="25" t="s">
        <v>983</v>
      </c>
      <c r="G1266" s="25" t="s">
        <v>42</v>
      </c>
      <c r="H1266" s="49" t="s">
        <v>3750</v>
      </c>
      <c r="I1266" s="101">
        <v>46158.0</v>
      </c>
      <c r="J1266" s="49">
        <v>3.0</v>
      </c>
      <c r="K1266" s="30">
        <f>550000*3</f>
        <v>1650000</v>
      </c>
      <c r="L1266" s="49" t="s">
        <v>3493</v>
      </c>
      <c r="M1266" s="50">
        <v>8.0</v>
      </c>
      <c r="N1266" s="51"/>
      <c r="O1266" s="20"/>
      <c r="P1266" s="20"/>
      <c r="Q1266" s="20"/>
      <c r="R1266" s="20"/>
      <c r="S1266" s="20"/>
    </row>
    <row r="1267">
      <c r="A1267" s="49" t="s">
        <v>5942</v>
      </c>
      <c r="B1267" s="110">
        <v>46155.0</v>
      </c>
      <c r="C1267" s="49" t="s">
        <v>5943</v>
      </c>
      <c r="D1267" s="102" t="s">
        <v>5944</v>
      </c>
      <c r="E1267" s="25" t="s">
        <v>122</v>
      </c>
      <c r="F1267" s="25" t="s">
        <v>983</v>
      </c>
      <c r="G1267" s="25" t="s">
        <v>42</v>
      </c>
      <c r="H1267" s="49" t="s">
        <v>5945</v>
      </c>
      <c r="I1267" s="23"/>
      <c r="J1267" s="23"/>
      <c r="K1267" s="30"/>
      <c r="L1267" s="49" t="s">
        <v>4347</v>
      </c>
      <c r="M1267" s="50">
        <v>8.0</v>
      </c>
      <c r="N1267" s="51"/>
      <c r="O1267" s="20"/>
      <c r="P1267" s="20"/>
      <c r="Q1267" s="20"/>
      <c r="R1267" s="20"/>
      <c r="S1267" s="20"/>
    </row>
    <row r="1268">
      <c r="A1268" s="76" t="s">
        <v>5946</v>
      </c>
      <c r="B1268" s="97">
        <v>46156.0</v>
      </c>
      <c r="C1268" s="76" t="s">
        <v>5947</v>
      </c>
      <c r="D1268" s="99" t="s">
        <v>5948</v>
      </c>
      <c r="E1268" s="25" t="s">
        <v>122</v>
      </c>
      <c r="F1268" s="25" t="s">
        <v>983</v>
      </c>
      <c r="G1268" s="25" t="s">
        <v>42</v>
      </c>
      <c r="H1268" s="10"/>
      <c r="I1268" s="10"/>
      <c r="J1268" s="10"/>
      <c r="K1268" s="46"/>
      <c r="L1268" s="76" t="s">
        <v>4347</v>
      </c>
      <c r="M1268" s="44">
        <v>8.0</v>
      </c>
      <c r="N1268" s="45"/>
      <c r="O1268" s="20"/>
      <c r="P1268" s="20"/>
      <c r="Q1268" s="20"/>
      <c r="R1268" s="20"/>
      <c r="S1268" s="20"/>
    </row>
    <row r="1269">
      <c r="A1269" s="76" t="s">
        <v>5949</v>
      </c>
      <c r="B1269" s="97">
        <v>46155.0</v>
      </c>
      <c r="C1269" s="76" t="s">
        <v>5950</v>
      </c>
      <c r="D1269" s="99" t="s">
        <v>5951</v>
      </c>
      <c r="E1269" s="25" t="s">
        <v>122</v>
      </c>
      <c r="F1269" s="25" t="s">
        <v>18</v>
      </c>
      <c r="G1269" s="25" t="s">
        <v>34</v>
      </c>
      <c r="H1269" s="76" t="s">
        <v>179</v>
      </c>
      <c r="I1269" s="118">
        <v>46202.0</v>
      </c>
      <c r="J1269" s="76">
        <v>2.0</v>
      </c>
      <c r="K1269" s="46">
        <f>400000*2</f>
        <v>800000</v>
      </c>
      <c r="L1269" s="76" t="s">
        <v>5642</v>
      </c>
      <c r="M1269" s="44">
        <v>2.0</v>
      </c>
      <c r="N1269" s="45"/>
      <c r="O1269" s="20"/>
      <c r="P1269" s="20"/>
      <c r="Q1269" s="20"/>
      <c r="R1269" s="20"/>
      <c r="S1269" s="20"/>
    </row>
    <row r="1270">
      <c r="A1270" s="49" t="s">
        <v>5952</v>
      </c>
      <c r="B1270" s="110">
        <v>46155.0</v>
      </c>
      <c r="C1270" s="49" t="s">
        <v>5953</v>
      </c>
      <c r="D1270" s="102" t="s">
        <v>5954</v>
      </c>
      <c r="E1270" s="25" t="s">
        <v>128</v>
      </c>
      <c r="F1270" s="25" t="s">
        <v>18</v>
      </c>
      <c r="G1270" s="25" t="s">
        <v>34</v>
      </c>
      <c r="H1270" s="49" t="s">
        <v>5955</v>
      </c>
      <c r="I1270" s="49" t="s">
        <v>5441</v>
      </c>
      <c r="J1270" s="49">
        <v>5.0</v>
      </c>
      <c r="K1270" s="30">
        <f>1600000*5</f>
        <v>8000000</v>
      </c>
      <c r="L1270" s="49" t="s">
        <v>5642</v>
      </c>
      <c r="M1270" s="50">
        <v>2.0</v>
      </c>
      <c r="N1270" s="51"/>
      <c r="O1270" s="20"/>
      <c r="P1270" s="20"/>
      <c r="Q1270" s="20"/>
      <c r="R1270" s="20"/>
      <c r="S1270" s="20"/>
    </row>
    <row r="1271">
      <c r="A1271" s="76" t="s">
        <v>5956</v>
      </c>
      <c r="B1271" s="97">
        <v>46155.0</v>
      </c>
      <c r="C1271" s="76" t="s">
        <v>5895</v>
      </c>
      <c r="D1271" s="99" t="s">
        <v>5896</v>
      </c>
      <c r="E1271" s="25" t="s">
        <v>17</v>
      </c>
      <c r="F1271" s="25" t="s">
        <v>18</v>
      </c>
      <c r="G1271" s="25" t="s">
        <v>34</v>
      </c>
      <c r="H1271" s="76" t="s">
        <v>5957</v>
      </c>
      <c r="I1271" s="76" t="s">
        <v>5898</v>
      </c>
      <c r="J1271" s="76">
        <v>3.0</v>
      </c>
      <c r="K1271" s="46">
        <f>1289000*3</f>
        <v>3867000</v>
      </c>
      <c r="L1271" s="76" t="s">
        <v>5642</v>
      </c>
      <c r="M1271" s="44">
        <v>2.0</v>
      </c>
      <c r="N1271" s="45"/>
      <c r="O1271" s="20"/>
      <c r="P1271" s="20"/>
      <c r="Q1271" s="20"/>
      <c r="R1271" s="20"/>
      <c r="S1271" s="20"/>
    </row>
    <row r="1272">
      <c r="A1272" s="49" t="s">
        <v>5958</v>
      </c>
      <c r="B1272" s="110">
        <v>46155.0</v>
      </c>
      <c r="C1272" s="49" t="s">
        <v>5959</v>
      </c>
      <c r="D1272" s="102" t="s">
        <v>5960</v>
      </c>
      <c r="E1272" s="25" t="s">
        <v>17</v>
      </c>
      <c r="F1272" s="25" t="s">
        <v>18</v>
      </c>
      <c r="G1272" s="25" t="s">
        <v>42</v>
      </c>
      <c r="H1272" s="23"/>
      <c r="I1272" s="101">
        <v>46157.0</v>
      </c>
      <c r="J1272" s="23"/>
      <c r="K1272" s="30"/>
      <c r="L1272" s="49" t="s">
        <v>3493</v>
      </c>
      <c r="M1272" s="50">
        <v>8.0</v>
      </c>
      <c r="N1272" s="51"/>
      <c r="O1272" s="20"/>
      <c r="P1272" s="20"/>
      <c r="Q1272" s="20"/>
      <c r="R1272" s="20"/>
      <c r="S1272" s="20"/>
    </row>
    <row r="1273">
      <c r="A1273" s="76" t="s">
        <v>5961</v>
      </c>
      <c r="B1273" s="97">
        <v>46156.0</v>
      </c>
      <c r="C1273" s="152" t="s">
        <v>5962</v>
      </c>
      <c r="D1273" s="99" t="s">
        <v>5963</v>
      </c>
      <c r="E1273" s="25" t="s">
        <v>17</v>
      </c>
      <c r="F1273" s="25" t="s">
        <v>18</v>
      </c>
      <c r="G1273" s="25" t="s">
        <v>42</v>
      </c>
      <c r="H1273" s="10"/>
      <c r="I1273" s="10"/>
      <c r="J1273" s="10"/>
      <c r="K1273" s="46"/>
      <c r="L1273" s="76" t="s">
        <v>840</v>
      </c>
      <c r="M1273" s="44">
        <v>8.0</v>
      </c>
      <c r="N1273" s="45"/>
      <c r="O1273" s="20"/>
      <c r="P1273" s="20"/>
      <c r="Q1273" s="20"/>
      <c r="R1273" s="20"/>
      <c r="S1273" s="20"/>
    </row>
    <row r="1274">
      <c r="A1274" s="49" t="s">
        <v>5964</v>
      </c>
      <c r="B1274" s="110">
        <v>46156.0</v>
      </c>
      <c r="C1274" s="49" t="s">
        <v>5450</v>
      </c>
      <c r="D1274" s="102" t="s">
        <v>5965</v>
      </c>
      <c r="E1274" s="25" t="s">
        <v>122</v>
      </c>
      <c r="F1274" s="25" t="s">
        <v>18</v>
      </c>
      <c r="G1274" s="25" t="s">
        <v>19</v>
      </c>
      <c r="H1274" s="49" t="s">
        <v>5658</v>
      </c>
      <c r="I1274" s="101">
        <v>46166.0</v>
      </c>
      <c r="J1274" s="49">
        <v>6.0</v>
      </c>
      <c r="K1274" s="30">
        <f>275000*6</f>
        <v>1650000</v>
      </c>
      <c r="L1274" s="49" t="s">
        <v>1803</v>
      </c>
      <c r="M1274" s="50">
        <v>7.0</v>
      </c>
      <c r="N1274" s="51"/>
      <c r="O1274" s="20"/>
      <c r="P1274" s="20"/>
      <c r="Q1274" s="20"/>
      <c r="R1274" s="20"/>
      <c r="S1274" s="20"/>
    </row>
    <row r="1275">
      <c r="A1275" s="76" t="s">
        <v>5966</v>
      </c>
      <c r="B1275" s="97">
        <v>46156.0</v>
      </c>
      <c r="C1275" s="76" t="s">
        <v>5967</v>
      </c>
      <c r="D1275" s="99" t="s">
        <v>5968</v>
      </c>
      <c r="E1275" s="25" t="s">
        <v>17</v>
      </c>
      <c r="F1275" s="25" t="s">
        <v>129</v>
      </c>
      <c r="G1275" s="25" t="s">
        <v>29</v>
      </c>
      <c r="H1275" s="76" t="s">
        <v>4074</v>
      </c>
      <c r="I1275" s="76" t="s">
        <v>5969</v>
      </c>
      <c r="J1275" s="129">
        <v>46177.0</v>
      </c>
      <c r="K1275" s="46"/>
      <c r="L1275" s="76" t="s">
        <v>5970</v>
      </c>
      <c r="M1275" s="44">
        <v>1.0</v>
      </c>
      <c r="N1275" s="86" t="s">
        <v>5971</v>
      </c>
      <c r="O1275" s="20"/>
      <c r="P1275" s="20"/>
      <c r="Q1275" s="20"/>
      <c r="R1275" s="20"/>
      <c r="S1275" s="20"/>
    </row>
    <row r="1276">
      <c r="A1276" s="49" t="s">
        <v>5972</v>
      </c>
      <c r="B1276" s="110">
        <v>46156.0</v>
      </c>
      <c r="C1276" s="49" t="s">
        <v>5973</v>
      </c>
      <c r="D1276" s="102" t="s">
        <v>5974</v>
      </c>
      <c r="E1276" s="25" t="s">
        <v>128</v>
      </c>
      <c r="F1276" s="25" t="s">
        <v>129</v>
      </c>
      <c r="G1276" s="25" t="s">
        <v>29</v>
      </c>
      <c r="H1276" s="49" t="s">
        <v>5975</v>
      </c>
      <c r="I1276" s="101">
        <v>46295.0</v>
      </c>
      <c r="J1276" s="49">
        <v>2.0</v>
      </c>
      <c r="K1276" s="30"/>
      <c r="L1276" s="23"/>
      <c r="M1276" s="50">
        <v>1.0</v>
      </c>
      <c r="N1276" s="104" t="s">
        <v>5976</v>
      </c>
      <c r="O1276" s="20"/>
      <c r="P1276" s="20"/>
      <c r="Q1276" s="20"/>
      <c r="R1276" s="20"/>
      <c r="S1276" s="20"/>
    </row>
    <row r="1277">
      <c r="A1277" s="76" t="s">
        <v>5977</v>
      </c>
      <c r="B1277" s="97">
        <v>46156.0</v>
      </c>
      <c r="C1277" s="76" t="s">
        <v>5978</v>
      </c>
      <c r="D1277" s="99" t="s">
        <v>5979</v>
      </c>
      <c r="E1277" s="25" t="s">
        <v>122</v>
      </c>
      <c r="F1277" s="25" t="s">
        <v>983</v>
      </c>
      <c r="G1277" s="25" t="s">
        <v>42</v>
      </c>
      <c r="H1277" s="76" t="s">
        <v>3210</v>
      </c>
      <c r="I1277" s="118">
        <v>46181.0</v>
      </c>
      <c r="J1277" s="10"/>
      <c r="K1277" s="46"/>
      <c r="L1277" s="76" t="s">
        <v>5980</v>
      </c>
      <c r="M1277" s="44">
        <v>8.0</v>
      </c>
      <c r="N1277" s="45"/>
      <c r="O1277" s="20"/>
      <c r="P1277" s="20"/>
      <c r="Q1277" s="20"/>
      <c r="R1277" s="20"/>
      <c r="S1277" s="20"/>
    </row>
    <row r="1278">
      <c r="A1278" s="49" t="s">
        <v>5981</v>
      </c>
      <c r="B1278" s="110">
        <v>46156.0</v>
      </c>
      <c r="C1278" s="49" t="s">
        <v>5982</v>
      </c>
      <c r="D1278" s="102" t="s">
        <v>5983</v>
      </c>
      <c r="E1278" s="25" t="s">
        <v>17</v>
      </c>
      <c r="F1278" s="25" t="s">
        <v>983</v>
      </c>
      <c r="G1278" s="25" t="s">
        <v>42</v>
      </c>
      <c r="H1278" s="49" t="s">
        <v>5984</v>
      </c>
      <c r="I1278" s="49" t="s">
        <v>5985</v>
      </c>
      <c r="J1278" s="49">
        <v>4.0</v>
      </c>
      <c r="K1278" s="30">
        <f>818000*4</f>
        <v>3272000</v>
      </c>
      <c r="L1278" s="49" t="s">
        <v>840</v>
      </c>
      <c r="M1278" s="50">
        <v>8.0</v>
      </c>
      <c r="N1278" s="51"/>
      <c r="O1278" s="20"/>
      <c r="P1278" s="20"/>
      <c r="Q1278" s="20"/>
      <c r="R1278" s="20"/>
      <c r="S1278" s="20"/>
    </row>
    <row r="1279">
      <c r="A1279" s="76" t="s">
        <v>5986</v>
      </c>
      <c r="B1279" s="97">
        <v>46157.0</v>
      </c>
      <c r="C1279" s="76" t="s">
        <v>5987</v>
      </c>
      <c r="D1279" s="99" t="s">
        <v>5988</v>
      </c>
      <c r="E1279" s="25" t="s">
        <v>128</v>
      </c>
      <c r="F1279" s="25" t="s">
        <v>983</v>
      </c>
      <c r="G1279" s="25" t="s">
        <v>19</v>
      </c>
      <c r="H1279" s="76" t="s">
        <v>5989</v>
      </c>
      <c r="I1279" s="118">
        <v>46160.0</v>
      </c>
      <c r="J1279" s="76">
        <v>4.0</v>
      </c>
      <c r="K1279" s="46">
        <f>409000*4</f>
        <v>1636000</v>
      </c>
      <c r="L1279" s="76" t="s">
        <v>4717</v>
      </c>
      <c r="M1279" s="44">
        <v>7.0</v>
      </c>
      <c r="N1279" s="45"/>
      <c r="O1279" s="20"/>
      <c r="P1279" s="20"/>
      <c r="Q1279" s="20"/>
      <c r="R1279" s="20"/>
      <c r="S1279" s="20"/>
    </row>
    <row r="1280">
      <c r="A1280" s="49" t="s">
        <v>5990</v>
      </c>
      <c r="B1280" s="110">
        <v>46156.0</v>
      </c>
      <c r="C1280" s="49" t="s">
        <v>5991</v>
      </c>
      <c r="D1280" s="102" t="s">
        <v>5390</v>
      </c>
      <c r="E1280" s="25" t="s">
        <v>128</v>
      </c>
      <c r="F1280" s="25" t="s">
        <v>983</v>
      </c>
      <c r="G1280" s="25" t="s">
        <v>34</v>
      </c>
      <c r="H1280" s="49" t="s">
        <v>5992</v>
      </c>
      <c r="I1280" s="49" t="s">
        <v>5993</v>
      </c>
      <c r="J1280" s="49">
        <v>6.0</v>
      </c>
      <c r="K1280" s="30">
        <f>1230000*6</f>
        <v>7380000</v>
      </c>
      <c r="L1280" s="49" t="s">
        <v>4517</v>
      </c>
      <c r="M1280" s="50">
        <v>2.0</v>
      </c>
      <c r="N1280" s="51"/>
      <c r="O1280" s="20"/>
      <c r="P1280" s="20"/>
      <c r="Q1280" s="20"/>
      <c r="R1280" s="20"/>
      <c r="S1280" s="20"/>
    </row>
    <row r="1281">
      <c r="A1281" s="76" t="s">
        <v>5994</v>
      </c>
      <c r="B1281" s="97">
        <v>46157.0</v>
      </c>
      <c r="C1281" s="76" t="s">
        <v>5995</v>
      </c>
      <c r="D1281" s="99" t="s">
        <v>5996</v>
      </c>
      <c r="E1281" s="25" t="s">
        <v>122</v>
      </c>
      <c r="F1281" s="25" t="s">
        <v>983</v>
      </c>
      <c r="G1281" s="25" t="s">
        <v>42</v>
      </c>
      <c r="H1281" s="76" t="s">
        <v>2462</v>
      </c>
      <c r="I1281" s="10"/>
      <c r="J1281" s="10"/>
      <c r="K1281" s="46"/>
      <c r="L1281" s="76" t="s">
        <v>4975</v>
      </c>
      <c r="M1281" s="44">
        <v>8.0</v>
      </c>
      <c r="N1281" s="45"/>
      <c r="O1281" s="20"/>
      <c r="P1281" s="20"/>
      <c r="Q1281" s="20"/>
      <c r="R1281" s="20"/>
      <c r="S1281" s="20"/>
    </row>
    <row r="1282">
      <c r="A1282" s="49" t="s">
        <v>5997</v>
      </c>
      <c r="B1282" s="110">
        <v>46157.0</v>
      </c>
      <c r="C1282" s="49" t="s">
        <v>2344</v>
      </c>
      <c r="D1282" s="102" t="s">
        <v>5998</v>
      </c>
      <c r="E1282" s="25" t="s">
        <v>17</v>
      </c>
      <c r="F1282" s="25" t="s">
        <v>983</v>
      </c>
      <c r="G1282" s="25" t="s">
        <v>42</v>
      </c>
      <c r="H1282" s="49" t="s">
        <v>3937</v>
      </c>
      <c r="I1282" s="49" t="s">
        <v>5999</v>
      </c>
      <c r="J1282" s="49">
        <v>3.0</v>
      </c>
      <c r="K1282" s="30">
        <f>1678000*3</f>
        <v>5034000</v>
      </c>
      <c r="L1282" s="49" t="s">
        <v>4347</v>
      </c>
      <c r="M1282" s="50">
        <v>8.0</v>
      </c>
      <c r="N1282" s="51"/>
      <c r="O1282" s="20"/>
      <c r="P1282" s="20"/>
      <c r="Q1282" s="20"/>
      <c r="R1282" s="20"/>
      <c r="S1282" s="20"/>
    </row>
    <row r="1283">
      <c r="A1283" s="76" t="s">
        <v>6000</v>
      </c>
      <c r="B1283" s="97">
        <v>46158.0</v>
      </c>
      <c r="C1283" s="76" t="s">
        <v>6001</v>
      </c>
      <c r="D1283" s="99" t="s">
        <v>6002</v>
      </c>
      <c r="E1283" s="25" t="s">
        <v>17</v>
      </c>
      <c r="F1283" s="25" t="s">
        <v>983</v>
      </c>
      <c r="G1283" s="25" t="s">
        <v>29</v>
      </c>
      <c r="H1283" s="76" t="s">
        <v>2917</v>
      </c>
      <c r="I1283" s="10"/>
      <c r="J1283" s="10"/>
      <c r="K1283" s="46"/>
      <c r="L1283" s="76" t="s">
        <v>6003</v>
      </c>
      <c r="M1283" s="44">
        <v>1.0</v>
      </c>
      <c r="N1283" s="45"/>
      <c r="O1283" s="20"/>
      <c r="P1283" s="20"/>
      <c r="Q1283" s="20"/>
      <c r="R1283" s="20"/>
      <c r="S1283" s="20"/>
    </row>
    <row r="1284">
      <c r="A1284" s="49" t="s">
        <v>6004</v>
      </c>
      <c r="B1284" s="110">
        <v>46158.0</v>
      </c>
      <c r="C1284" s="49" t="s">
        <v>6005</v>
      </c>
      <c r="D1284" s="102" t="s">
        <v>6006</v>
      </c>
      <c r="E1284" s="25" t="s">
        <v>122</v>
      </c>
      <c r="F1284" s="25" t="s">
        <v>983</v>
      </c>
      <c r="G1284" s="25" t="s">
        <v>34</v>
      </c>
      <c r="H1284" s="49" t="s">
        <v>2462</v>
      </c>
      <c r="I1284" s="23"/>
      <c r="J1284" s="49">
        <v>6.0</v>
      </c>
      <c r="K1284" s="30">
        <f>1612000*6</f>
        <v>9672000</v>
      </c>
      <c r="L1284" s="49" t="s">
        <v>6007</v>
      </c>
      <c r="M1284" s="50">
        <v>2.0</v>
      </c>
      <c r="N1284" s="51"/>
      <c r="O1284" s="20"/>
      <c r="P1284" s="20"/>
      <c r="Q1284" s="20"/>
      <c r="R1284" s="20"/>
      <c r="S1284" s="20"/>
    </row>
    <row r="1285">
      <c r="A1285" s="76" t="s">
        <v>6008</v>
      </c>
      <c r="B1285" s="97">
        <v>46158.0</v>
      </c>
      <c r="C1285" s="76" t="s">
        <v>6009</v>
      </c>
      <c r="D1285" s="99" t="s">
        <v>6010</v>
      </c>
      <c r="E1285" s="25" t="s">
        <v>122</v>
      </c>
      <c r="F1285" s="25" t="s">
        <v>983</v>
      </c>
      <c r="G1285" s="25" t="s">
        <v>42</v>
      </c>
      <c r="H1285" s="76" t="s">
        <v>6011</v>
      </c>
      <c r="I1285" s="10"/>
      <c r="J1285" s="76">
        <v>20.0</v>
      </c>
      <c r="K1285" s="46"/>
      <c r="L1285" s="76" t="s">
        <v>3133</v>
      </c>
      <c r="M1285" s="44">
        <v>8.0</v>
      </c>
      <c r="N1285" s="45"/>
      <c r="O1285" s="20"/>
      <c r="P1285" s="20"/>
      <c r="Q1285" s="20"/>
      <c r="R1285" s="20"/>
      <c r="S1285" s="20"/>
    </row>
    <row r="1286">
      <c r="A1286" s="49" t="s">
        <v>6012</v>
      </c>
      <c r="B1286" s="110">
        <v>46153.0</v>
      </c>
      <c r="C1286" s="49" t="s">
        <v>5802</v>
      </c>
      <c r="D1286" s="102" t="s">
        <v>5803</v>
      </c>
      <c r="E1286" s="25" t="s">
        <v>122</v>
      </c>
      <c r="F1286" s="25" t="s">
        <v>983</v>
      </c>
      <c r="G1286" s="25" t="s">
        <v>42</v>
      </c>
      <c r="H1286" s="49" t="s">
        <v>172</v>
      </c>
      <c r="I1286" s="49" t="s">
        <v>4429</v>
      </c>
      <c r="J1286" s="49">
        <v>1.0</v>
      </c>
      <c r="K1286" s="30"/>
      <c r="L1286" s="49" t="s">
        <v>3493</v>
      </c>
      <c r="M1286" s="50">
        <v>8.0</v>
      </c>
      <c r="N1286" s="51"/>
      <c r="O1286" s="20"/>
      <c r="P1286" s="20"/>
      <c r="Q1286" s="20"/>
      <c r="R1286" s="20"/>
      <c r="S1286" s="20"/>
    </row>
    <row r="1287">
      <c r="A1287" s="76" t="s">
        <v>6013</v>
      </c>
      <c r="B1287" s="97">
        <v>46158.0</v>
      </c>
      <c r="C1287" s="76" t="s">
        <v>6014</v>
      </c>
      <c r="D1287" s="99" t="s">
        <v>6015</v>
      </c>
      <c r="E1287" s="25" t="s">
        <v>122</v>
      </c>
      <c r="F1287" s="25" t="s">
        <v>983</v>
      </c>
      <c r="G1287" s="25" t="s">
        <v>42</v>
      </c>
      <c r="H1287" s="76" t="s">
        <v>213</v>
      </c>
      <c r="I1287" s="76" t="s">
        <v>6016</v>
      </c>
      <c r="J1287" s="76">
        <v>5.0</v>
      </c>
      <c r="K1287" s="46">
        <f>1084000*5</f>
        <v>5420000</v>
      </c>
      <c r="L1287" s="76" t="s">
        <v>6017</v>
      </c>
      <c r="M1287" s="44">
        <v>8.0</v>
      </c>
      <c r="N1287" s="45"/>
      <c r="O1287" s="20"/>
      <c r="P1287" s="20"/>
      <c r="Q1287" s="20"/>
      <c r="R1287" s="20"/>
      <c r="S1287" s="20"/>
    </row>
    <row r="1288">
      <c r="A1288" s="49" t="s">
        <v>6018</v>
      </c>
      <c r="B1288" s="110">
        <v>46159.0</v>
      </c>
      <c r="C1288" s="49" t="s">
        <v>6019</v>
      </c>
      <c r="D1288" s="102" t="s">
        <v>6020</v>
      </c>
      <c r="E1288" s="25" t="s">
        <v>122</v>
      </c>
      <c r="F1288" s="25" t="s">
        <v>983</v>
      </c>
      <c r="G1288" s="25" t="s">
        <v>42</v>
      </c>
      <c r="H1288" s="23"/>
      <c r="I1288" s="23"/>
      <c r="J1288" s="23"/>
      <c r="K1288" s="30"/>
      <c r="L1288" s="49" t="s">
        <v>4347</v>
      </c>
      <c r="M1288" s="50">
        <v>8.0</v>
      </c>
      <c r="N1288" s="51"/>
      <c r="O1288" s="20"/>
      <c r="P1288" s="20"/>
      <c r="Q1288" s="20"/>
      <c r="R1288" s="20"/>
      <c r="S1288" s="20"/>
    </row>
    <row r="1289">
      <c r="A1289" s="76" t="s">
        <v>6021</v>
      </c>
      <c r="B1289" s="97">
        <v>46152.0</v>
      </c>
      <c r="C1289" s="76" t="s">
        <v>6022</v>
      </c>
      <c r="D1289" s="99" t="s">
        <v>6023</v>
      </c>
      <c r="E1289" s="25" t="s">
        <v>17</v>
      </c>
      <c r="F1289" s="25" t="s">
        <v>129</v>
      </c>
      <c r="G1289" s="25" t="s">
        <v>42</v>
      </c>
      <c r="H1289" s="76" t="s">
        <v>6024</v>
      </c>
      <c r="I1289" s="76" t="s">
        <v>3132</v>
      </c>
      <c r="J1289" s="10"/>
      <c r="K1289" s="46"/>
      <c r="L1289" s="76" t="s">
        <v>3493</v>
      </c>
      <c r="M1289" s="44">
        <v>8.0</v>
      </c>
      <c r="N1289" s="45"/>
      <c r="O1289" s="20"/>
      <c r="P1289" s="20"/>
      <c r="Q1289" s="20"/>
      <c r="R1289" s="20"/>
      <c r="S1289" s="20"/>
    </row>
    <row r="1290">
      <c r="A1290" s="49" t="s">
        <v>6025</v>
      </c>
      <c r="B1290" s="110">
        <v>46152.0</v>
      </c>
      <c r="C1290" s="49" t="s">
        <v>6026</v>
      </c>
      <c r="D1290" s="102" t="s">
        <v>6027</v>
      </c>
      <c r="E1290" s="25" t="s">
        <v>17</v>
      </c>
      <c r="F1290" s="25" t="s">
        <v>129</v>
      </c>
      <c r="G1290" s="25" t="s">
        <v>29</v>
      </c>
      <c r="H1290" s="49" t="s">
        <v>6028</v>
      </c>
      <c r="I1290" s="23"/>
      <c r="J1290" s="136">
        <v>46083.0</v>
      </c>
      <c r="K1290" s="30"/>
      <c r="L1290" s="49" t="s">
        <v>6029</v>
      </c>
      <c r="M1290" s="50">
        <v>1.0</v>
      </c>
      <c r="N1290" s="104" t="s">
        <v>6030</v>
      </c>
      <c r="O1290" s="20"/>
      <c r="P1290" s="20"/>
      <c r="Q1290" s="20"/>
      <c r="R1290" s="20"/>
      <c r="S1290" s="20"/>
    </row>
    <row r="1291">
      <c r="A1291" s="76" t="s">
        <v>6031</v>
      </c>
      <c r="B1291" s="97">
        <v>46152.0</v>
      </c>
      <c r="C1291" s="76" t="s">
        <v>6032</v>
      </c>
      <c r="D1291" s="99" t="s">
        <v>6033</v>
      </c>
      <c r="E1291" s="25" t="s">
        <v>128</v>
      </c>
      <c r="F1291" s="25" t="s">
        <v>129</v>
      </c>
      <c r="G1291" s="25" t="s">
        <v>29</v>
      </c>
      <c r="H1291" s="76" t="s">
        <v>4251</v>
      </c>
      <c r="I1291" s="10"/>
      <c r="J1291" s="76">
        <v>18.0</v>
      </c>
      <c r="K1291" s="46"/>
      <c r="L1291" s="76" t="s">
        <v>6034</v>
      </c>
      <c r="M1291" s="44">
        <v>1.0</v>
      </c>
      <c r="N1291" s="86" t="s">
        <v>6035</v>
      </c>
      <c r="O1291" s="20"/>
      <c r="P1291" s="20"/>
      <c r="Q1291" s="20"/>
      <c r="R1291" s="20"/>
      <c r="S1291" s="20"/>
    </row>
    <row r="1292">
      <c r="A1292" s="49" t="s">
        <v>6036</v>
      </c>
      <c r="B1292" s="110">
        <v>46156.0</v>
      </c>
      <c r="C1292" s="49" t="s">
        <v>6037</v>
      </c>
      <c r="D1292" s="102" t="s">
        <v>6038</v>
      </c>
      <c r="E1292" s="25" t="s">
        <v>128</v>
      </c>
      <c r="F1292" s="25" t="s">
        <v>129</v>
      </c>
      <c r="G1292" s="25" t="s">
        <v>29</v>
      </c>
      <c r="H1292" s="23"/>
      <c r="I1292" s="23"/>
      <c r="J1292" s="23"/>
      <c r="K1292" s="30"/>
      <c r="L1292" s="49" t="s">
        <v>2029</v>
      </c>
      <c r="M1292" s="50">
        <v>1.0</v>
      </c>
      <c r="N1292" s="104" t="s">
        <v>6039</v>
      </c>
      <c r="O1292" s="20"/>
      <c r="P1292" s="20"/>
      <c r="Q1292" s="20"/>
      <c r="R1292" s="20"/>
      <c r="S1292" s="20"/>
    </row>
    <row r="1293">
      <c r="A1293" s="76" t="s">
        <v>6040</v>
      </c>
      <c r="B1293" s="97">
        <v>46156.0</v>
      </c>
      <c r="C1293" s="76" t="s">
        <v>6041</v>
      </c>
      <c r="D1293" s="99" t="s">
        <v>6042</v>
      </c>
      <c r="E1293" s="25" t="s">
        <v>128</v>
      </c>
      <c r="F1293" s="25" t="s">
        <v>129</v>
      </c>
      <c r="G1293" s="25" t="s">
        <v>42</v>
      </c>
      <c r="H1293" s="76" t="s">
        <v>179</v>
      </c>
      <c r="I1293" s="118">
        <v>46163.0</v>
      </c>
      <c r="J1293" s="76">
        <v>2.0</v>
      </c>
      <c r="K1293" s="46"/>
      <c r="L1293" s="76" t="s">
        <v>1920</v>
      </c>
      <c r="M1293" s="44">
        <v>8.0</v>
      </c>
      <c r="N1293" s="86" t="s">
        <v>6043</v>
      </c>
      <c r="O1293" s="20"/>
      <c r="P1293" s="20"/>
      <c r="Q1293" s="20"/>
      <c r="R1293" s="20"/>
      <c r="S1293" s="20"/>
    </row>
    <row r="1294">
      <c r="A1294" s="49" t="s">
        <v>6044</v>
      </c>
      <c r="B1294" s="110">
        <v>46156.0</v>
      </c>
      <c r="C1294" s="49" t="s">
        <v>6045</v>
      </c>
      <c r="D1294" s="102" t="s">
        <v>6046</v>
      </c>
      <c r="E1294" s="25" t="s">
        <v>128</v>
      </c>
      <c r="F1294" s="25" t="s">
        <v>129</v>
      </c>
      <c r="G1294" s="25" t="s">
        <v>19</v>
      </c>
      <c r="H1294" s="49" t="s">
        <v>6047</v>
      </c>
      <c r="I1294" s="101">
        <v>46226.0</v>
      </c>
      <c r="J1294" s="49">
        <v>2.0</v>
      </c>
      <c r="K1294" s="36">
        <v>2000000.0</v>
      </c>
      <c r="L1294" s="49" t="s">
        <v>6048</v>
      </c>
      <c r="M1294" s="50">
        <v>7.0</v>
      </c>
      <c r="N1294" s="104" t="s">
        <v>6049</v>
      </c>
      <c r="O1294" s="20"/>
      <c r="P1294" s="20"/>
      <c r="Q1294" s="20"/>
      <c r="R1294" s="20"/>
      <c r="S1294" s="20"/>
    </row>
    <row r="1295">
      <c r="A1295" s="76" t="s">
        <v>6050</v>
      </c>
      <c r="B1295" s="97">
        <v>46156.0</v>
      </c>
      <c r="C1295" s="76" t="s">
        <v>6051</v>
      </c>
      <c r="D1295" s="99" t="s">
        <v>6052</v>
      </c>
      <c r="E1295" s="25" t="s">
        <v>17</v>
      </c>
      <c r="F1295" s="25" t="s">
        <v>129</v>
      </c>
      <c r="G1295" s="25" t="s">
        <v>42</v>
      </c>
      <c r="H1295" s="76" t="s">
        <v>179</v>
      </c>
      <c r="I1295" s="10"/>
      <c r="J1295" s="10"/>
      <c r="K1295" s="46"/>
      <c r="L1295" s="76" t="s">
        <v>3493</v>
      </c>
      <c r="M1295" s="44">
        <v>8.0</v>
      </c>
      <c r="N1295" s="45"/>
      <c r="O1295" s="20"/>
      <c r="P1295" s="20"/>
      <c r="Q1295" s="20"/>
      <c r="R1295" s="20"/>
      <c r="S1295" s="20"/>
    </row>
    <row r="1296">
      <c r="A1296" s="49" t="s">
        <v>6053</v>
      </c>
      <c r="B1296" s="110">
        <v>46156.0</v>
      </c>
      <c r="C1296" s="49" t="s">
        <v>6054</v>
      </c>
      <c r="D1296" s="102" t="s">
        <v>6055</v>
      </c>
      <c r="E1296" s="25" t="s">
        <v>128</v>
      </c>
      <c r="F1296" s="25" t="s">
        <v>129</v>
      </c>
      <c r="G1296" s="25" t="s">
        <v>42</v>
      </c>
      <c r="H1296" s="49" t="s">
        <v>6056</v>
      </c>
      <c r="I1296" s="101">
        <v>46159.0</v>
      </c>
      <c r="J1296" s="49">
        <v>5.0</v>
      </c>
      <c r="K1296" s="30"/>
      <c r="L1296" s="49" t="s">
        <v>3493</v>
      </c>
      <c r="M1296" s="50">
        <v>8.0</v>
      </c>
      <c r="N1296" s="51"/>
      <c r="O1296" s="20"/>
      <c r="P1296" s="20"/>
      <c r="Q1296" s="20"/>
      <c r="R1296" s="20"/>
      <c r="S1296" s="20"/>
    </row>
    <row r="1297">
      <c r="A1297" s="76" t="s">
        <v>6057</v>
      </c>
      <c r="B1297" s="97">
        <v>46157.0</v>
      </c>
      <c r="C1297" s="76" t="s">
        <v>6058</v>
      </c>
      <c r="D1297" s="99" t="s">
        <v>6059</v>
      </c>
      <c r="E1297" s="25" t="s">
        <v>128</v>
      </c>
      <c r="F1297" s="25" t="s">
        <v>129</v>
      </c>
      <c r="G1297" s="25" t="s">
        <v>42</v>
      </c>
      <c r="H1297" s="76" t="s">
        <v>2917</v>
      </c>
      <c r="I1297" s="118">
        <v>46163.0</v>
      </c>
      <c r="J1297" s="76">
        <v>2.0</v>
      </c>
      <c r="K1297" s="46"/>
      <c r="L1297" s="76" t="s">
        <v>6060</v>
      </c>
      <c r="M1297" s="44">
        <v>8.0</v>
      </c>
      <c r="N1297" s="86" t="s">
        <v>6061</v>
      </c>
      <c r="O1297" s="20"/>
      <c r="P1297" s="20"/>
      <c r="Q1297" s="20"/>
      <c r="R1297" s="20"/>
      <c r="S1297" s="20"/>
    </row>
    <row r="1298">
      <c r="A1298" s="49" t="s">
        <v>6062</v>
      </c>
      <c r="B1298" s="97">
        <v>46157.0</v>
      </c>
      <c r="C1298" s="49" t="s">
        <v>6063</v>
      </c>
      <c r="D1298" s="102" t="s">
        <v>6064</v>
      </c>
      <c r="E1298" s="25" t="s">
        <v>128</v>
      </c>
      <c r="F1298" s="25" t="s">
        <v>129</v>
      </c>
      <c r="G1298" s="25" t="s">
        <v>29</v>
      </c>
      <c r="H1298" s="49" t="s">
        <v>6065</v>
      </c>
      <c r="I1298" s="23"/>
      <c r="J1298" s="23"/>
      <c r="K1298" s="30"/>
      <c r="L1298" s="49" t="s">
        <v>6066</v>
      </c>
      <c r="M1298" s="50">
        <v>1.0</v>
      </c>
      <c r="N1298" s="104" t="s">
        <v>6067</v>
      </c>
      <c r="O1298" s="20"/>
      <c r="P1298" s="20"/>
      <c r="Q1298" s="20"/>
      <c r="R1298" s="20"/>
      <c r="S1298" s="20"/>
    </row>
    <row r="1299">
      <c r="A1299" s="76" t="s">
        <v>6068</v>
      </c>
      <c r="B1299" s="97">
        <v>46157.0</v>
      </c>
      <c r="C1299" s="76" t="s">
        <v>6069</v>
      </c>
      <c r="D1299" s="99" t="s">
        <v>6070</v>
      </c>
      <c r="E1299" s="25" t="s">
        <v>1877</v>
      </c>
      <c r="F1299" s="25" t="s">
        <v>129</v>
      </c>
      <c r="G1299" s="25" t="s">
        <v>42</v>
      </c>
      <c r="H1299" s="76" t="s">
        <v>2166</v>
      </c>
      <c r="I1299" s="118">
        <v>46162.0</v>
      </c>
      <c r="J1299" s="76">
        <v>1.0</v>
      </c>
      <c r="K1299" s="46"/>
      <c r="L1299" s="76" t="s">
        <v>6071</v>
      </c>
      <c r="M1299" s="44">
        <v>8.0</v>
      </c>
      <c r="N1299" s="45"/>
      <c r="O1299" s="20"/>
      <c r="P1299" s="20"/>
      <c r="Q1299" s="20"/>
      <c r="R1299" s="20"/>
      <c r="S1299" s="20"/>
    </row>
    <row r="1300">
      <c r="A1300" s="49" t="s">
        <v>6072</v>
      </c>
      <c r="B1300" s="110">
        <v>46157.0</v>
      </c>
      <c r="C1300" s="49" t="s">
        <v>6073</v>
      </c>
      <c r="D1300" s="102" t="s">
        <v>6074</v>
      </c>
      <c r="E1300" s="25" t="s">
        <v>17</v>
      </c>
      <c r="F1300" s="25" t="s">
        <v>129</v>
      </c>
      <c r="G1300" s="25" t="s">
        <v>29</v>
      </c>
      <c r="H1300" s="49" t="s">
        <v>4251</v>
      </c>
      <c r="I1300" s="23"/>
      <c r="J1300" s="49">
        <v>3.0</v>
      </c>
      <c r="K1300" s="30"/>
      <c r="L1300" s="49" t="s">
        <v>6066</v>
      </c>
      <c r="M1300" s="50">
        <v>1.0</v>
      </c>
      <c r="N1300" s="104" t="s">
        <v>6075</v>
      </c>
      <c r="O1300" s="20"/>
      <c r="P1300" s="20"/>
      <c r="Q1300" s="20"/>
      <c r="R1300" s="20"/>
      <c r="S1300" s="20"/>
    </row>
    <row r="1301">
      <c r="A1301" s="76" t="s">
        <v>6076</v>
      </c>
      <c r="B1301" s="97">
        <v>46157.0</v>
      </c>
      <c r="C1301" s="76" t="s">
        <v>6077</v>
      </c>
      <c r="D1301" s="99" t="s">
        <v>6078</v>
      </c>
      <c r="E1301" s="25" t="s">
        <v>128</v>
      </c>
      <c r="F1301" s="25" t="s">
        <v>129</v>
      </c>
      <c r="G1301" s="25" t="s">
        <v>29</v>
      </c>
      <c r="H1301" s="10"/>
      <c r="I1301" s="10"/>
      <c r="J1301" s="10"/>
      <c r="K1301" s="46"/>
      <c r="L1301" s="76" t="s">
        <v>6079</v>
      </c>
      <c r="M1301" s="44">
        <v>1.0</v>
      </c>
      <c r="N1301" s="45"/>
      <c r="O1301" s="20"/>
      <c r="P1301" s="20"/>
      <c r="Q1301" s="20"/>
      <c r="R1301" s="20"/>
      <c r="S1301" s="20"/>
    </row>
    <row r="1302">
      <c r="A1302" s="49" t="s">
        <v>6080</v>
      </c>
      <c r="B1302" s="110">
        <v>46158.0</v>
      </c>
      <c r="C1302" s="49" t="s">
        <v>6081</v>
      </c>
      <c r="D1302" s="102" t="s">
        <v>6082</v>
      </c>
      <c r="E1302" s="25" t="s">
        <v>17</v>
      </c>
      <c r="F1302" s="25" t="s">
        <v>129</v>
      </c>
      <c r="G1302" s="25" t="s">
        <v>29</v>
      </c>
      <c r="H1302" s="49" t="s">
        <v>3210</v>
      </c>
      <c r="I1302" s="23"/>
      <c r="J1302" s="49">
        <v>20.0</v>
      </c>
      <c r="K1302" s="30"/>
      <c r="L1302" s="49" t="s">
        <v>3925</v>
      </c>
      <c r="M1302" s="50">
        <v>1.0</v>
      </c>
      <c r="N1302" s="51"/>
      <c r="O1302" s="20"/>
      <c r="P1302" s="20"/>
      <c r="Q1302" s="20"/>
      <c r="R1302" s="20"/>
      <c r="S1302" s="20"/>
    </row>
    <row r="1303">
      <c r="A1303" s="76" t="s">
        <v>6083</v>
      </c>
      <c r="B1303" s="97">
        <v>46158.0</v>
      </c>
      <c r="C1303" s="76" t="s">
        <v>6084</v>
      </c>
      <c r="D1303" s="99" t="s">
        <v>6085</v>
      </c>
      <c r="E1303" s="25" t="s">
        <v>17</v>
      </c>
      <c r="F1303" s="25" t="s">
        <v>129</v>
      </c>
      <c r="G1303" s="25" t="s">
        <v>29</v>
      </c>
      <c r="H1303" s="10"/>
      <c r="I1303" s="10"/>
      <c r="J1303" s="10"/>
      <c r="K1303" s="46"/>
      <c r="L1303" s="76" t="s">
        <v>6086</v>
      </c>
      <c r="M1303" s="44">
        <v>1.0</v>
      </c>
      <c r="N1303" s="45"/>
      <c r="O1303" s="20"/>
      <c r="P1303" s="20"/>
      <c r="Q1303" s="20"/>
      <c r="R1303" s="20"/>
      <c r="S1303" s="20"/>
    </row>
    <row r="1304">
      <c r="A1304" s="49" t="s">
        <v>6087</v>
      </c>
      <c r="B1304" s="110">
        <v>46158.0</v>
      </c>
      <c r="C1304" s="49" t="s">
        <v>6088</v>
      </c>
      <c r="D1304" s="102" t="s">
        <v>6089</v>
      </c>
      <c r="E1304" s="25" t="s">
        <v>128</v>
      </c>
      <c r="F1304" s="25" t="s">
        <v>129</v>
      </c>
      <c r="G1304" s="25" t="s">
        <v>29</v>
      </c>
      <c r="H1304" s="23"/>
      <c r="I1304" s="23"/>
      <c r="J1304" s="23"/>
      <c r="K1304" s="30"/>
      <c r="L1304" s="76" t="s">
        <v>6086</v>
      </c>
      <c r="M1304" s="50">
        <v>1.0</v>
      </c>
      <c r="N1304" s="51"/>
      <c r="O1304" s="20"/>
      <c r="P1304" s="20"/>
      <c r="Q1304" s="20"/>
      <c r="R1304" s="20"/>
      <c r="S1304" s="20"/>
    </row>
    <row r="1305">
      <c r="A1305" s="76" t="s">
        <v>6090</v>
      </c>
      <c r="B1305" s="97">
        <v>46159.0</v>
      </c>
      <c r="C1305" s="76" t="s">
        <v>6091</v>
      </c>
      <c r="D1305" s="99" t="s">
        <v>6092</v>
      </c>
      <c r="E1305" s="25" t="s">
        <v>17</v>
      </c>
      <c r="F1305" s="25" t="s">
        <v>129</v>
      </c>
      <c r="G1305" s="25" t="s">
        <v>29</v>
      </c>
      <c r="H1305" s="76" t="s">
        <v>6093</v>
      </c>
      <c r="I1305" s="10"/>
      <c r="J1305" s="10"/>
      <c r="K1305" s="46"/>
      <c r="L1305" s="76" t="s">
        <v>6094</v>
      </c>
      <c r="M1305" s="44">
        <v>1.0</v>
      </c>
      <c r="N1305" s="45"/>
      <c r="O1305" s="20"/>
      <c r="P1305" s="20"/>
      <c r="Q1305" s="20"/>
      <c r="R1305" s="20"/>
      <c r="S1305" s="20"/>
    </row>
    <row r="1306">
      <c r="A1306" s="49" t="s">
        <v>6095</v>
      </c>
      <c r="B1306" s="110">
        <v>46158.0</v>
      </c>
      <c r="C1306" s="49" t="s">
        <v>6096</v>
      </c>
      <c r="D1306" s="102" t="s">
        <v>6097</v>
      </c>
      <c r="E1306" s="25" t="s">
        <v>17</v>
      </c>
      <c r="F1306" s="25" t="s">
        <v>129</v>
      </c>
      <c r="G1306" s="25" t="s">
        <v>42</v>
      </c>
      <c r="H1306" s="49" t="s">
        <v>1782</v>
      </c>
      <c r="I1306" s="101">
        <v>46158.0</v>
      </c>
      <c r="J1306" s="23"/>
      <c r="K1306" s="30"/>
      <c r="L1306" s="49" t="s">
        <v>3493</v>
      </c>
      <c r="M1306" s="50">
        <v>8.0</v>
      </c>
      <c r="N1306" s="51"/>
      <c r="O1306" s="20"/>
      <c r="P1306" s="20"/>
      <c r="Q1306" s="20"/>
      <c r="R1306" s="20"/>
      <c r="S1306" s="20"/>
    </row>
    <row r="1307">
      <c r="A1307" s="76" t="s">
        <v>6098</v>
      </c>
      <c r="B1307" s="97">
        <v>46159.0</v>
      </c>
      <c r="C1307" s="76" t="s">
        <v>3199</v>
      </c>
      <c r="D1307" s="99" t="s">
        <v>6099</v>
      </c>
      <c r="E1307" s="25" t="s">
        <v>122</v>
      </c>
      <c r="F1307" s="25" t="s">
        <v>983</v>
      </c>
      <c r="G1307" s="25" t="s">
        <v>42</v>
      </c>
      <c r="H1307" s="76" t="s">
        <v>5609</v>
      </c>
      <c r="I1307" s="76" t="s">
        <v>6100</v>
      </c>
      <c r="J1307" s="76">
        <v>4.0</v>
      </c>
      <c r="K1307" s="46">
        <f>889000*4</f>
        <v>3556000</v>
      </c>
      <c r="L1307" s="76" t="s">
        <v>6101</v>
      </c>
      <c r="M1307" s="44">
        <v>8.0</v>
      </c>
      <c r="N1307" s="45"/>
      <c r="O1307" s="20"/>
      <c r="P1307" s="20"/>
      <c r="Q1307" s="20"/>
      <c r="R1307" s="20"/>
      <c r="S1307" s="20"/>
    </row>
    <row r="1308">
      <c r="A1308" s="49" t="s">
        <v>6102</v>
      </c>
      <c r="B1308" s="110">
        <v>46159.0</v>
      </c>
      <c r="C1308" s="49" t="s">
        <v>6103</v>
      </c>
      <c r="D1308" s="102" t="s">
        <v>6104</v>
      </c>
      <c r="E1308" s="25" t="s">
        <v>122</v>
      </c>
      <c r="F1308" s="25" t="s">
        <v>983</v>
      </c>
      <c r="G1308" s="25" t="s">
        <v>42</v>
      </c>
      <c r="H1308" s="23"/>
      <c r="I1308" s="23"/>
      <c r="J1308" s="49">
        <v>3.0</v>
      </c>
      <c r="K1308" s="30"/>
      <c r="L1308" s="49" t="s">
        <v>4347</v>
      </c>
      <c r="M1308" s="50">
        <v>8.0</v>
      </c>
      <c r="N1308" s="51"/>
      <c r="O1308" s="20"/>
      <c r="P1308" s="20"/>
      <c r="Q1308" s="20"/>
      <c r="R1308" s="20"/>
      <c r="S1308" s="20"/>
    </row>
    <row r="1309">
      <c r="A1309" s="76" t="s">
        <v>6105</v>
      </c>
      <c r="B1309" s="97">
        <v>46159.0</v>
      </c>
      <c r="C1309" s="76" t="s">
        <v>6106</v>
      </c>
      <c r="D1309" s="99" t="s">
        <v>6107</v>
      </c>
      <c r="E1309" s="25" t="s">
        <v>128</v>
      </c>
      <c r="F1309" s="25" t="s">
        <v>129</v>
      </c>
      <c r="G1309" s="25" t="s">
        <v>42</v>
      </c>
      <c r="H1309" s="76" t="s">
        <v>6108</v>
      </c>
      <c r="I1309" s="118">
        <v>46176.0</v>
      </c>
      <c r="J1309" s="76">
        <v>2.0</v>
      </c>
      <c r="K1309" s="46"/>
      <c r="L1309" s="76" t="s">
        <v>6109</v>
      </c>
      <c r="M1309" s="44">
        <v>8.0</v>
      </c>
      <c r="N1309" s="45"/>
      <c r="O1309" s="20"/>
      <c r="P1309" s="20"/>
      <c r="Q1309" s="20"/>
      <c r="R1309" s="20"/>
      <c r="S1309" s="20"/>
    </row>
    <row r="1310">
      <c r="A1310" s="49" t="s">
        <v>6110</v>
      </c>
      <c r="B1310" s="110">
        <v>46159.0</v>
      </c>
      <c r="C1310" s="49" t="s">
        <v>6111</v>
      </c>
      <c r="D1310" s="102" t="s">
        <v>6112</v>
      </c>
      <c r="E1310" s="25" t="s">
        <v>128</v>
      </c>
      <c r="F1310" s="25" t="s">
        <v>129</v>
      </c>
      <c r="G1310" s="25" t="s">
        <v>29</v>
      </c>
      <c r="H1310" s="49" t="s">
        <v>6113</v>
      </c>
      <c r="I1310" s="23"/>
      <c r="J1310" s="49">
        <v>50.0</v>
      </c>
      <c r="K1310" s="30"/>
      <c r="L1310" s="49" t="s">
        <v>6114</v>
      </c>
      <c r="M1310" s="50">
        <v>1.0</v>
      </c>
      <c r="N1310" s="51"/>
      <c r="O1310" s="20"/>
      <c r="P1310" s="20"/>
      <c r="Q1310" s="20"/>
      <c r="R1310" s="20"/>
      <c r="S1310" s="20"/>
    </row>
    <row r="1311">
      <c r="A1311" s="76" t="s">
        <v>6115</v>
      </c>
      <c r="B1311" s="97">
        <v>46159.0</v>
      </c>
      <c r="C1311" s="76" t="s">
        <v>6116</v>
      </c>
      <c r="D1311" s="99" t="s">
        <v>6117</v>
      </c>
      <c r="E1311" s="25" t="s">
        <v>128</v>
      </c>
      <c r="F1311" s="25" t="s">
        <v>129</v>
      </c>
      <c r="G1311" s="25" t="s">
        <v>19</v>
      </c>
      <c r="H1311" s="76" t="s">
        <v>6118</v>
      </c>
      <c r="I1311" s="118">
        <v>46250.0</v>
      </c>
      <c r="J1311" s="76">
        <v>2.0</v>
      </c>
      <c r="K1311" s="46">
        <f>SUM(1600000*2)</f>
        <v>3200000</v>
      </c>
      <c r="L1311" s="76" t="s">
        <v>6119</v>
      </c>
      <c r="M1311" s="44">
        <v>7.0</v>
      </c>
      <c r="N1311" s="45"/>
      <c r="O1311" s="20"/>
      <c r="P1311" s="20"/>
      <c r="Q1311" s="20"/>
      <c r="R1311" s="20"/>
      <c r="S1311" s="20"/>
    </row>
    <row r="1312">
      <c r="A1312" s="49" t="s">
        <v>6120</v>
      </c>
      <c r="B1312" s="110">
        <v>46160.0</v>
      </c>
      <c r="C1312" s="49" t="s">
        <v>6121</v>
      </c>
      <c r="D1312" s="102" t="s">
        <v>6122</v>
      </c>
      <c r="E1312" s="25" t="s">
        <v>128</v>
      </c>
      <c r="F1312" s="25" t="s">
        <v>129</v>
      </c>
      <c r="G1312" s="25" t="s">
        <v>29</v>
      </c>
      <c r="H1312" s="49" t="s">
        <v>4645</v>
      </c>
      <c r="I1312" s="101">
        <v>46190.0</v>
      </c>
      <c r="J1312" s="49">
        <v>2.0</v>
      </c>
      <c r="K1312" s="30"/>
      <c r="L1312" s="49" t="s">
        <v>6123</v>
      </c>
      <c r="M1312" s="50">
        <v>1.0</v>
      </c>
      <c r="N1312" s="51"/>
      <c r="O1312" s="20"/>
      <c r="P1312" s="20"/>
      <c r="Q1312" s="20"/>
      <c r="R1312" s="20"/>
      <c r="S1312" s="20"/>
    </row>
    <row r="1313">
      <c r="A1313" s="76" t="s">
        <v>6124</v>
      </c>
      <c r="B1313" s="97">
        <v>46160.0</v>
      </c>
      <c r="C1313" s="76" t="s">
        <v>6125</v>
      </c>
      <c r="D1313" s="99" t="s">
        <v>6126</v>
      </c>
      <c r="E1313" s="25" t="s">
        <v>17</v>
      </c>
      <c r="F1313" s="25" t="s">
        <v>129</v>
      </c>
      <c r="G1313" s="25" t="s">
        <v>29</v>
      </c>
      <c r="H1313" s="76" t="s">
        <v>571</v>
      </c>
      <c r="I1313" s="10"/>
      <c r="J1313" s="129">
        <v>46083.0</v>
      </c>
      <c r="K1313" s="46"/>
      <c r="L1313" s="76" t="s">
        <v>5567</v>
      </c>
      <c r="M1313" s="44">
        <v>1.0</v>
      </c>
      <c r="N1313" s="45"/>
      <c r="O1313" s="20"/>
      <c r="P1313" s="20"/>
      <c r="Q1313" s="20"/>
      <c r="R1313" s="20"/>
      <c r="S1313" s="20"/>
    </row>
    <row r="1314">
      <c r="A1314" s="49" t="s">
        <v>6127</v>
      </c>
      <c r="B1314" s="110">
        <v>46160.0</v>
      </c>
      <c r="C1314" s="49" t="s">
        <v>6128</v>
      </c>
      <c r="D1314" s="102" t="s">
        <v>6129</v>
      </c>
      <c r="E1314" s="25" t="s">
        <v>17</v>
      </c>
      <c r="F1314" s="25" t="s">
        <v>129</v>
      </c>
      <c r="G1314" s="25" t="s">
        <v>42</v>
      </c>
      <c r="H1314" s="49" t="s">
        <v>6130</v>
      </c>
      <c r="I1314" s="101">
        <v>46172.0</v>
      </c>
      <c r="J1314" s="49">
        <v>3.0</v>
      </c>
      <c r="K1314" s="30"/>
      <c r="L1314" s="49"/>
      <c r="M1314" s="50">
        <v>8.0</v>
      </c>
      <c r="N1314" s="51"/>
      <c r="O1314" s="20"/>
      <c r="P1314" s="20"/>
      <c r="Q1314" s="20"/>
      <c r="R1314" s="20"/>
      <c r="S1314" s="20"/>
    </row>
    <row r="1315">
      <c r="A1315" s="76" t="s">
        <v>6131</v>
      </c>
      <c r="B1315" s="97">
        <v>46160.0</v>
      </c>
      <c r="C1315" s="76" t="s">
        <v>6132</v>
      </c>
      <c r="D1315" s="99" t="s">
        <v>6133</v>
      </c>
      <c r="E1315" s="25" t="s">
        <v>128</v>
      </c>
      <c r="F1315" s="25" t="s">
        <v>18</v>
      </c>
      <c r="G1315" s="25" t="s">
        <v>19</v>
      </c>
      <c r="H1315" s="76" t="s">
        <v>5658</v>
      </c>
      <c r="I1315" s="118">
        <v>46262.0</v>
      </c>
      <c r="J1315" s="76">
        <v>2.0</v>
      </c>
      <c r="K1315" s="46">
        <f>400000*2</f>
        <v>800000</v>
      </c>
      <c r="L1315" s="76" t="s">
        <v>1803</v>
      </c>
      <c r="M1315" s="44">
        <v>7.0</v>
      </c>
      <c r="N1315" s="45"/>
      <c r="O1315" s="20"/>
      <c r="P1315" s="20"/>
      <c r="Q1315" s="20"/>
      <c r="R1315" s="20"/>
      <c r="S1315" s="20"/>
    </row>
    <row r="1316">
      <c r="A1316" s="49" t="s">
        <v>6120</v>
      </c>
      <c r="B1316" s="110">
        <v>46160.0</v>
      </c>
      <c r="C1316" s="49" t="s">
        <v>6134</v>
      </c>
      <c r="D1316" s="102" t="s">
        <v>6135</v>
      </c>
      <c r="E1316" s="25" t="s">
        <v>1877</v>
      </c>
      <c r="F1316" s="25" t="s">
        <v>129</v>
      </c>
      <c r="G1316" s="25" t="s">
        <v>19</v>
      </c>
      <c r="H1316" s="49" t="s">
        <v>571</v>
      </c>
      <c r="I1316" s="101">
        <v>46191.0</v>
      </c>
      <c r="J1316" s="49">
        <v>5.0</v>
      </c>
      <c r="K1316" s="30">
        <f>SUM(990000*5)</f>
        <v>4950000</v>
      </c>
      <c r="L1316" s="49" t="s">
        <v>3838</v>
      </c>
      <c r="M1316" s="50">
        <v>7.0</v>
      </c>
      <c r="N1316" s="51"/>
      <c r="O1316" s="20"/>
      <c r="P1316" s="20"/>
      <c r="Q1316" s="20"/>
      <c r="R1316" s="20"/>
      <c r="S1316" s="20"/>
    </row>
    <row r="1317">
      <c r="A1317" s="76" t="s">
        <v>6124</v>
      </c>
      <c r="B1317" s="97">
        <v>46160.0</v>
      </c>
      <c r="C1317" s="76" t="s">
        <v>6136</v>
      </c>
      <c r="D1317" s="99" t="s">
        <v>6137</v>
      </c>
      <c r="E1317" s="25" t="s">
        <v>17</v>
      </c>
      <c r="F1317" s="25" t="s">
        <v>129</v>
      </c>
      <c r="G1317" s="25" t="s">
        <v>29</v>
      </c>
      <c r="H1317" s="76" t="s">
        <v>86</v>
      </c>
      <c r="I1317" s="76" t="s">
        <v>870</v>
      </c>
      <c r="J1317" s="10"/>
      <c r="K1317" s="46"/>
      <c r="L1317" s="49" t="s">
        <v>6138</v>
      </c>
      <c r="M1317" s="44">
        <v>1.0</v>
      </c>
      <c r="N1317" s="45"/>
      <c r="O1317" s="20"/>
      <c r="P1317" s="20"/>
      <c r="Q1317" s="20"/>
      <c r="R1317" s="20"/>
      <c r="S1317" s="20"/>
    </row>
    <row r="1318">
      <c r="A1318" s="49" t="s">
        <v>6127</v>
      </c>
      <c r="B1318" s="110">
        <v>46160.0</v>
      </c>
      <c r="C1318" s="49" t="s">
        <v>6139</v>
      </c>
      <c r="D1318" s="102" t="s">
        <v>6140</v>
      </c>
      <c r="E1318" s="25" t="s">
        <v>128</v>
      </c>
      <c r="F1318" s="25" t="s">
        <v>129</v>
      </c>
      <c r="G1318" s="25" t="s">
        <v>42</v>
      </c>
      <c r="H1318" s="49" t="s">
        <v>5566</v>
      </c>
      <c r="I1318" s="117">
        <v>46174.0</v>
      </c>
      <c r="J1318" s="49">
        <v>1.0</v>
      </c>
      <c r="K1318" s="30"/>
      <c r="L1318" s="49" t="s">
        <v>6141</v>
      </c>
      <c r="M1318" s="50">
        <v>8.0</v>
      </c>
      <c r="N1318" s="51"/>
      <c r="O1318" s="20"/>
      <c r="P1318" s="20"/>
      <c r="Q1318" s="20"/>
      <c r="R1318" s="20"/>
      <c r="S1318" s="20"/>
    </row>
    <row r="1319">
      <c r="A1319" s="76" t="s">
        <v>6142</v>
      </c>
      <c r="B1319" s="97">
        <v>46160.0</v>
      </c>
      <c r="C1319" s="76" t="s">
        <v>6143</v>
      </c>
      <c r="D1319" s="99" t="s">
        <v>6144</v>
      </c>
      <c r="E1319" s="25" t="s">
        <v>128</v>
      </c>
      <c r="F1319" s="25" t="s">
        <v>129</v>
      </c>
      <c r="G1319" s="25" t="s">
        <v>42</v>
      </c>
      <c r="H1319" s="76" t="s">
        <v>5566</v>
      </c>
      <c r="I1319" s="118">
        <v>46188.0</v>
      </c>
      <c r="J1319" s="76">
        <v>1.0</v>
      </c>
      <c r="K1319" s="46"/>
      <c r="L1319" s="76" t="s">
        <v>6145</v>
      </c>
      <c r="M1319" s="44">
        <v>8.0</v>
      </c>
      <c r="N1319" s="45"/>
      <c r="O1319" s="20"/>
      <c r="P1319" s="20"/>
      <c r="Q1319" s="20"/>
      <c r="R1319" s="20"/>
      <c r="S1319" s="20"/>
    </row>
    <row r="1320">
      <c r="A1320" s="49" t="s">
        <v>6146</v>
      </c>
      <c r="B1320" s="110">
        <v>46160.0</v>
      </c>
      <c r="C1320" s="49" t="s">
        <v>6147</v>
      </c>
      <c r="D1320" s="102" t="s">
        <v>6148</v>
      </c>
      <c r="E1320" s="25" t="s">
        <v>128</v>
      </c>
      <c r="F1320" s="25" t="s">
        <v>129</v>
      </c>
      <c r="G1320" s="25" t="s">
        <v>19</v>
      </c>
      <c r="H1320" s="49" t="s">
        <v>4532</v>
      </c>
      <c r="I1320" s="101">
        <v>46171.0</v>
      </c>
      <c r="J1320" s="49">
        <v>4.0</v>
      </c>
      <c r="K1320" s="30"/>
      <c r="L1320" s="49" t="s">
        <v>2040</v>
      </c>
      <c r="M1320" s="50">
        <v>7.0</v>
      </c>
      <c r="N1320" s="51"/>
      <c r="O1320" s="20"/>
      <c r="P1320" s="20"/>
      <c r="Q1320" s="20"/>
      <c r="R1320" s="20"/>
      <c r="S1320" s="20"/>
    </row>
    <row r="1321">
      <c r="A1321" s="76" t="s">
        <v>6149</v>
      </c>
      <c r="B1321" s="97">
        <v>46160.0</v>
      </c>
      <c r="C1321" s="76" t="s">
        <v>6150</v>
      </c>
      <c r="D1321" s="99" t="s">
        <v>6151</v>
      </c>
      <c r="E1321" s="25" t="s">
        <v>128</v>
      </c>
      <c r="F1321" s="25" t="s">
        <v>129</v>
      </c>
      <c r="G1321" s="25" t="s">
        <v>29</v>
      </c>
      <c r="H1321" s="10"/>
      <c r="I1321" s="10"/>
      <c r="J1321" s="129">
        <v>46115.0</v>
      </c>
      <c r="K1321" s="46"/>
      <c r="L1321" s="76" t="s">
        <v>6152</v>
      </c>
      <c r="M1321" s="44">
        <v>1.0</v>
      </c>
      <c r="N1321" s="45"/>
      <c r="O1321" s="20"/>
      <c r="P1321" s="20"/>
      <c r="Q1321" s="20"/>
      <c r="R1321" s="20"/>
      <c r="S1321" s="20"/>
    </row>
    <row r="1322">
      <c r="A1322" s="49" t="s">
        <v>6153</v>
      </c>
      <c r="B1322" s="110">
        <v>46160.0</v>
      </c>
      <c r="C1322" s="49" t="s">
        <v>6154</v>
      </c>
      <c r="D1322" s="102" t="s">
        <v>6155</v>
      </c>
      <c r="E1322" s="25" t="s">
        <v>17</v>
      </c>
      <c r="F1322" s="25" t="s">
        <v>129</v>
      </c>
      <c r="G1322" s="25" t="s">
        <v>29</v>
      </c>
      <c r="H1322" s="23"/>
      <c r="I1322" s="23"/>
      <c r="J1322" s="23"/>
      <c r="K1322" s="30"/>
      <c r="L1322" s="23"/>
      <c r="M1322" s="50">
        <v>1.0</v>
      </c>
      <c r="N1322" s="51"/>
      <c r="O1322" s="20"/>
      <c r="P1322" s="20"/>
      <c r="Q1322" s="20"/>
      <c r="R1322" s="20"/>
      <c r="S1322" s="20"/>
    </row>
    <row r="1323">
      <c r="A1323" s="76" t="s">
        <v>6156</v>
      </c>
      <c r="B1323" s="97">
        <v>46161.0</v>
      </c>
      <c r="C1323" s="76" t="s">
        <v>6157</v>
      </c>
      <c r="D1323" s="99" t="s">
        <v>6158</v>
      </c>
      <c r="E1323" s="25" t="s">
        <v>17</v>
      </c>
      <c r="F1323" s="25" t="s">
        <v>129</v>
      </c>
      <c r="G1323" s="25" t="s">
        <v>29</v>
      </c>
      <c r="H1323" s="76" t="s">
        <v>6159</v>
      </c>
      <c r="I1323" s="10"/>
      <c r="J1323" s="76">
        <v>1.0</v>
      </c>
      <c r="K1323" s="46"/>
      <c r="L1323" s="76" t="s">
        <v>6160</v>
      </c>
      <c r="M1323" s="44">
        <v>1.0</v>
      </c>
      <c r="N1323" s="45"/>
      <c r="O1323" s="20"/>
      <c r="P1323" s="20"/>
      <c r="Q1323" s="20"/>
      <c r="R1323" s="20"/>
      <c r="S1323" s="20"/>
    </row>
    <row r="1324">
      <c r="A1324" s="49" t="s">
        <v>6161</v>
      </c>
      <c r="B1324" s="135">
        <v>46161.0</v>
      </c>
      <c r="C1324" s="49" t="s">
        <v>6162</v>
      </c>
      <c r="D1324" s="102" t="s">
        <v>6163</v>
      </c>
      <c r="E1324" s="25" t="s">
        <v>128</v>
      </c>
      <c r="F1324" s="25" t="s">
        <v>129</v>
      </c>
      <c r="G1324" s="25" t="s">
        <v>29</v>
      </c>
      <c r="H1324" s="49" t="s">
        <v>6164</v>
      </c>
      <c r="I1324" s="49" t="s">
        <v>870</v>
      </c>
      <c r="J1324" s="49">
        <v>4.0</v>
      </c>
      <c r="K1324" s="30"/>
      <c r="L1324" s="49" t="s">
        <v>2947</v>
      </c>
      <c r="M1324" s="50">
        <v>1.0</v>
      </c>
      <c r="N1324" s="51"/>
      <c r="O1324" s="20"/>
      <c r="P1324" s="20"/>
      <c r="Q1324" s="20"/>
      <c r="R1324" s="20"/>
      <c r="S1324" s="20"/>
    </row>
    <row r="1325">
      <c r="A1325" s="76" t="s">
        <v>6165</v>
      </c>
      <c r="B1325" s="97">
        <v>46161.0</v>
      </c>
      <c r="C1325" s="76" t="s">
        <v>6166</v>
      </c>
      <c r="D1325" s="99" t="s">
        <v>6167</v>
      </c>
      <c r="E1325" s="25" t="s">
        <v>17</v>
      </c>
      <c r="F1325" s="25" t="s">
        <v>129</v>
      </c>
      <c r="G1325" s="25" t="s">
        <v>19</v>
      </c>
      <c r="H1325" s="76" t="s">
        <v>6168</v>
      </c>
      <c r="I1325" s="76" t="s">
        <v>2470</v>
      </c>
      <c r="J1325" s="76">
        <v>3.0</v>
      </c>
      <c r="K1325" s="46">
        <f>SUM(614000*2)</f>
        <v>1228000</v>
      </c>
      <c r="L1325" s="76" t="s">
        <v>2040</v>
      </c>
      <c r="M1325" s="44">
        <v>7.0</v>
      </c>
      <c r="N1325" s="45"/>
      <c r="O1325" s="20"/>
      <c r="P1325" s="20"/>
      <c r="Q1325" s="20"/>
      <c r="R1325" s="20"/>
      <c r="S1325" s="20"/>
    </row>
    <row r="1326">
      <c r="A1326" s="49" t="s">
        <v>6169</v>
      </c>
      <c r="B1326" s="110">
        <v>46161.0</v>
      </c>
      <c r="C1326" s="49" t="s">
        <v>6170</v>
      </c>
      <c r="D1326" s="102" t="s">
        <v>6171</v>
      </c>
      <c r="E1326" s="25" t="s">
        <v>17</v>
      </c>
      <c r="F1326" s="25" t="s">
        <v>129</v>
      </c>
      <c r="G1326" s="25" t="s">
        <v>42</v>
      </c>
      <c r="H1326" s="49" t="s">
        <v>2166</v>
      </c>
      <c r="I1326" s="101">
        <v>46162.0</v>
      </c>
      <c r="J1326" s="49">
        <v>3.0</v>
      </c>
      <c r="K1326" s="30"/>
      <c r="L1326" s="49" t="s">
        <v>6172</v>
      </c>
      <c r="M1326" s="50">
        <v>8.0</v>
      </c>
      <c r="N1326" s="51"/>
      <c r="O1326" s="20"/>
      <c r="P1326" s="20"/>
      <c r="Q1326" s="20"/>
      <c r="R1326" s="20"/>
      <c r="S1326" s="20"/>
    </row>
    <row r="1327">
      <c r="A1327" s="76" t="s">
        <v>6173</v>
      </c>
      <c r="B1327" s="97">
        <v>46162.0</v>
      </c>
      <c r="C1327" s="76" t="s">
        <v>6174</v>
      </c>
      <c r="D1327" s="99" t="s">
        <v>6175</v>
      </c>
      <c r="E1327" s="25" t="s">
        <v>128</v>
      </c>
      <c r="F1327" s="25" t="s">
        <v>129</v>
      </c>
      <c r="G1327" s="25" t="s">
        <v>29</v>
      </c>
      <c r="H1327" s="76" t="s">
        <v>4074</v>
      </c>
      <c r="I1327" s="76" t="s">
        <v>870</v>
      </c>
      <c r="J1327" s="76">
        <v>20.0</v>
      </c>
      <c r="K1327" s="46"/>
      <c r="L1327" s="76" t="s">
        <v>6176</v>
      </c>
      <c r="M1327" s="44">
        <v>1.0</v>
      </c>
      <c r="N1327" s="45"/>
      <c r="O1327" s="20"/>
      <c r="P1327" s="20"/>
      <c r="Q1327" s="20"/>
      <c r="R1327" s="20"/>
      <c r="S1327" s="20"/>
    </row>
    <row r="1328">
      <c r="A1328" s="49" t="s">
        <v>6177</v>
      </c>
      <c r="B1328" s="110">
        <v>46162.0</v>
      </c>
      <c r="C1328" s="49" t="s">
        <v>6178</v>
      </c>
      <c r="D1328" s="102" t="s">
        <v>6179</v>
      </c>
      <c r="E1328" s="25" t="s">
        <v>128</v>
      </c>
      <c r="F1328" s="25" t="s">
        <v>129</v>
      </c>
      <c r="G1328" s="25" t="s">
        <v>42</v>
      </c>
      <c r="H1328" s="49" t="s">
        <v>58</v>
      </c>
      <c r="I1328" s="23"/>
      <c r="J1328" s="49">
        <v>2.0</v>
      </c>
      <c r="K1328" s="30"/>
      <c r="L1328" s="49" t="s">
        <v>1316</v>
      </c>
      <c r="M1328" s="50">
        <v>8.0</v>
      </c>
      <c r="N1328" s="51"/>
      <c r="O1328" s="20"/>
      <c r="P1328" s="20"/>
      <c r="Q1328" s="20"/>
      <c r="R1328" s="20"/>
      <c r="S1328" s="20"/>
    </row>
    <row r="1329">
      <c r="A1329" s="76" t="s">
        <v>6180</v>
      </c>
      <c r="B1329" s="97">
        <v>46162.0</v>
      </c>
      <c r="C1329" s="76" t="s">
        <v>2032</v>
      </c>
      <c r="D1329" s="99" t="s">
        <v>6181</v>
      </c>
      <c r="E1329" s="25" t="s">
        <v>128</v>
      </c>
      <c r="F1329" s="25" t="s">
        <v>129</v>
      </c>
      <c r="G1329" s="25" t="s">
        <v>42</v>
      </c>
      <c r="H1329" s="76" t="s">
        <v>260</v>
      </c>
      <c r="I1329" s="76" t="s">
        <v>6182</v>
      </c>
      <c r="J1329" s="76">
        <v>1.0</v>
      </c>
      <c r="K1329" s="46"/>
      <c r="L1329" s="76" t="s">
        <v>3493</v>
      </c>
      <c r="M1329" s="44">
        <v>8.0</v>
      </c>
      <c r="N1329" s="45"/>
      <c r="O1329" s="20"/>
      <c r="P1329" s="20"/>
      <c r="Q1329" s="20"/>
      <c r="R1329" s="20"/>
      <c r="S1329" s="20"/>
    </row>
    <row r="1330">
      <c r="A1330" s="49" t="s">
        <v>6183</v>
      </c>
      <c r="B1330" s="135">
        <v>46162.0</v>
      </c>
      <c r="C1330" s="49" t="s">
        <v>3969</v>
      </c>
      <c r="D1330" s="102" t="s">
        <v>6184</v>
      </c>
      <c r="E1330" s="25" t="s">
        <v>17</v>
      </c>
      <c r="F1330" s="25" t="s">
        <v>129</v>
      </c>
      <c r="G1330" s="25" t="s">
        <v>29</v>
      </c>
      <c r="H1330" s="49" t="s">
        <v>260</v>
      </c>
      <c r="I1330" s="49" t="s">
        <v>2470</v>
      </c>
      <c r="J1330" s="49">
        <v>1.0</v>
      </c>
      <c r="K1330" s="30"/>
      <c r="L1330" s="49" t="s">
        <v>6185</v>
      </c>
      <c r="M1330" s="50">
        <v>1.0</v>
      </c>
      <c r="N1330" s="51"/>
      <c r="O1330" s="20"/>
      <c r="P1330" s="20"/>
      <c r="Q1330" s="20"/>
      <c r="R1330" s="20"/>
      <c r="S1330" s="20"/>
    </row>
    <row r="1331">
      <c r="A1331" s="76" t="s">
        <v>6186</v>
      </c>
      <c r="B1331" s="97">
        <v>46162.0</v>
      </c>
      <c r="C1331" s="76" t="s">
        <v>6187</v>
      </c>
      <c r="D1331" s="99" t="s">
        <v>6188</v>
      </c>
      <c r="E1331" s="25" t="s">
        <v>17</v>
      </c>
      <c r="F1331" s="25" t="s">
        <v>129</v>
      </c>
      <c r="G1331" s="25" t="s">
        <v>29</v>
      </c>
      <c r="H1331" s="76" t="s">
        <v>260</v>
      </c>
      <c r="I1331" s="118">
        <v>46199.0</v>
      </c>
      <c r="J1331" s="76">
        <v>8.0</v>
      </c>
      <c r="K1331" s="46"/>
      <c r="L1331" s="76" t="s">
        <v>6189</v>
      </c>
      <c r="M1331" s="44">
        <v>1.0</v>
      </c>
      <c r="N1331" s="45"/>
      <c r="O1331" s="20"/>
      <c r="P1331" s="20"/>
      <c r="Q1331" s="20"/>
      <c r="R1331" s="20"/>
      <c r="S1331" s="20"/>
    </row>
    <row r="1332">
      <c r="A1332" s="49" t="s">
        <v>6190</v>
      </c>
      <c r="B1332" s="110">
        <v>46162.0</v>
      </c>
      <c r="C1332" s="49" t="s">
        <v>6191</v>
      </c>
      <c r="D1332" s="102" t="s">
        <v>6192</v>
      </c>
      <c r="E1332" s="25" t="s">
        <v>128</v>
      </c>
      <c r="F1332" s="25" t="s">
        <v>129</v>
      </c>
      <c r="G1332" s="25" t="s">
        <v>19</v>
      </c>
      <c r="H1332" s="49" t="s">
        <v>6193</v>
      </c>
      <c r="I1332" s="101">
        <v>46176.0</v>
      </c>
      <c r="J1332" s="49">
        <v>3.0</v>
      </c>
      <c r="K1332" s="36">
        <v>750000.0</v>
      </c>
      <c r="L1332" s="49" t="s">
        <v>6194</v>
      </c>
      <c r="M1332" s="50">
        <v>7.0</v>
      </c>
      <c r="N1332" s="51"/>
      <c r="O1332" s="20"/>
      <c r="P1332" s="20"/>
      <c r="Q1332" s="20"/>
      <c r="R1332" s="20"/>
      <c r="S1332" s="20"/>
    </row>
    <row r="1333">
      <c r="A1333" s="76" t="s">
        <v>6195</v>
      </c>
      <c r="B1333" s="97">
        <v>46157.0</v>
      </c>
      <c r="C1333" s="76" t="s">
        <v>6196</v>
      </c>
      <c r="D1333" s="99" t="s">
        <v>6197</v>
      </c>
      <c r="E1333" s="25" t="s">
        <v>122</v>
      </c>
      <c r="F1333" s="25" t="s">
        <v>18</v>
      </c>
      <c r="G1333" s="25" t="s">
        <v>29</v>
      </c>
      <c r="H1333" s="76" t="s">
        <v>2462</v>
      </c>
      <c r="I1333" s="76" t="s">
        <v>702</v>
      </c>
      <c r="J1333" s="76">
        <v>2.0</v>
      </c>
      <c r="K1333" s="46"/>
      <c r="L1333" s="76" t="s">
        <v>6198</v>
      </c>
      <c r="M1333" s="44">
        <v>1.0</v>
      </c>
      <c r="N1333" s="45"/>
      <c r="O1333" s="20"/>
      <c r="P1333" s="20"/>
      <c r="Q1333" s="20"/>
      <c r="R1333" s="20"/>
      <c r="S1333" s="20"/>
    </row>
    <row r="1334">
      <c r="A1334" s="49" t="s">
        <v>6199</v>
      </c>
      <c r="B1334" s="110">
        <v>46157.0</v>
      </c>
      <c r="C1334" s="49" t="s">
        <v>6200</v>
      </c>
      <c r="D1334" s="102" t="s">
        <v>6201</v>
      </c>
      <c r="E1334" s="25" t="s">
        <v>17</v>
      </c>
      <c r="F1334" s="25" t="s">
        <v>18</v>
      </c>
      <c r="G1334" s="25" t="s">
        <v>42</v>
      </c>
      <c r="H1334" s="49" t="s">
        <v>6202</v>
      </c>
      <c r="I1334" s="49" t="s">
        <v>6203</v>
      </c>
      <c r="J1334" s="23"/>
      <c r="K1334" s="30"/>
      <c r="L1334" s="49" t="s">
        <v>6204</v>
      </c>
      <c r="M1334" s="50">
        <v>8.0</v>
      </c>
      <c r="N1334" s="51"/>
      <c r="O1334" s="20"/>
      <c r="P1334" s="20"/>
      <c r="Q1334" s="20"/>
      <c r="R1334" s="20"/>
      <c r="S1334" s="20"/>
    </row>
    <row r="1335">
      <c r="A1335" s="76" t="s">
        <v>6205</v>
      </c>
      <c r="B1335" s="97">
        <v>46157.0</v>
      </c>
      <c r="C1335" s="76" t="s">
        <v>6206</v>
      </c>
      <c r="D1335" s="99" t="s">
        <v>6207</v>
      </c>
      <c r="E1335" s="25" t="s">
        <v>128</v>
      </c>
      <c r="F1335" s="25" t="s">
        <v>18</v>
      </c>
      <c r="G1335" s="25" t="s">
        <v>42</v>
      </c>
      <c r="H1335" s="76" t="s">
        <v>6208</v>
      </c>
      <c r="I1335" s="76" t="s">
        <v>1348</v>
      </c>
      <c r="J1335" s="76">
        <v>2.0</v>
      </c>
      <c r="K1335" s="46"/>
      <c r="L1335" s="76" t="s">
        <v>174</v>
      </c>
      <c r="M1335" s="44">
        <v>8.0</v>
      </c>
      <c r="N1335" s="45"/>
      <c r="O1335" s="20"/>
      <c r="P1335" s="20"/>
      <c r="Q1335" s="20"/>
      <c r="R1335" s="20"/>
      <c r="S1335" s="20"/>
    </row>
    <row r="1336">
      <c r="A1336" s="49" t="s">
        <v>6209</v>
      </c>
      <c r="B1336" s="110">
        <v>46157.0</v>
      </c>
      <c r="C1336" s="49" t="s">
        <v>6210</v>
      </c>
      <c r="D1336" s="102" t="s">
        <v>6211</v>
      </c>
      <c r="E1336" s="25" t="s">
        <v>122</v>
      </c>
      <c r="F1336" s="25" t="s">
        <v>18</v>
      </c>
      <c r="G1336" s="25" t="s">
        <v>42</v>
      </c>
      <c r="H1336" s="49" t="s">
        <v>5658</v>
      </c>
      <c r="I1336" s="101">
        <v>46184.0</v>
      </c>
      <c r="J1336" s="49">
        <v>2.0</v>
      </c>
      <c r="K1336" s="36">
        <v>800000.0</v>
      </c>
      <c r="L1336" s="49" t="s">
        <v>174</v>
      </c>
      <c r="M1336" s="50">
        <v>8.0</v>
      </c>
      <c r="N1336" s="51"/>
      <c r="O1336" s="20"/>
      <c r="P1336" s="20"/>
      <c r="Q1336" s="20"/>
      <c r="R1336" s="20"/>
      <c r="S1336" s="20"/>
    </row>
    <row r="1337">
      <c r="A1337" s="76" t="s">
        <v>6212</v>
      </c>
      <c r="B1337" s="97">
        <v>46157.0</v>
      </c>
      <c r="C1337" s="76" t="s">
        <v>6213</v>
      </c>
      <c r="D1337" s="99" t="s">
        <v>6214</v>
      </c>
      <c r="E1337" s="25" t="s">
        <v>122</v>
      </c>
      <c r="F1337" s="25" t="s">
        <v>18</v>
      </c>
      <c r="G1337" s="25" t="s">
        <v>42</v>
      </c>
      <c r="H1337" s="76" t="s">
        <v>5609</v>
      </c>
      <c r="I1337" s="118">
        <v>46187.0</v>
      </c>
      <c r="J1337" s="76">
        <v>2.0</v>
      </c>
      <c r="K1337" s="46">
        <f>2258000*2</f>
        <v>4516000</v>
      </c>
      <c r="L1337" s="76" t="s">
        <v>174</v>
      </c>
      <c r="M1337" s="44">
        <v>8.0</v>
      </c>
      <c r="N1337" s="45"/>
      <c r="O1337" s="20"/>
      <c r="P1337" s="20"/>
      <c r="Q1337" s="20"/>
      <c r="R1337" s="20"/>
      <c r="S1337" s="20"/>
    </row>
    <row r="1338">
      <c r="A1338" s="49" t="s">
        <v>6215</v>
      </c>
      <c r="B1338" s="110">
        <v>46157.0</v>
      </c>
      <c r="C1338" s="49" t="s">
        <v>6216</v>
      </c>
      <c r="D1338" s="102" t="s">
        <v>6217</v>
      </c>
      <c r="E1338" s="25" t="s">
        <v>128</v>
      </c>
      <c r="F1338" s="25" t="s">
        <v>18</v>
      </c>
      <c r="G1338" s="25" t="s">
        <v>42</v>
      </c>
      <c r="H1338" s="49" t="s">
        <v>3711</v>
      </c>
      <c r="I1338" s="49" t="s">
        <v>6218</v>
      </c>
      <c r="J1338" s="23"/>
      <c r="K1338" s="30"/>
      <c r="L1338" s="49" t="s">
        <v>174</v>
      </c>
      <c r="M1338" s="50">
        <v>8.0</v>
      </c>
      <c r="N1338" s="51"/>
      <c r="O1338" s="20"/>
      <c r="P1338" s="20"/>
      <c r="Q1338" s="20"/>
      <c r="R1338" s="20"/>
      <c r="S1338" s="20"/>
    </row>
    <row r="1339">
      <c r="A1339" s="76" t="s">
        <v>6219</v>
      </c>
      <c r="B1339" s="97">
        <v>46158.0</v>
      </c>
      <c r="C1339" s="76" t="s">
        <v>6220</v>
      </c>
      <c r="D1339" s="99" t="s">
        <v>6221</v>
      </c>
      <c r="E1339" s="25" t="s">
        <v>17</v>
      </c>
      <c r="F1339" s="25" t="s">
        <v>18</v>
      </c>
      <c r="G1339" s="25" t="s">
        <v>42</v>
      </c>
      <c r="H1339" s="76" t="s">
        <v>6222</v>
      </c>
      <c r="I1339" s="118">
        <v>46186.0</v>
      </c>
      <c r="J1339" s="76">
        <v>1.0</v>
      </c>
      <c r="K1339" s="46"/>
      <c r="L1339" s="76" t="s">
        <v>174</v>
      </c>
      <c r="M1339" s="44">
        <v>8.0</v>
      </c>
      <c r="N1339" s="45"/>
      <c r="O1339" s="20"/>
      <c r="P1339" s="20"/>
      <c r="Q1339" s="20"/>
      <c r="R1339" s="20"/>
      <c r="S1339" s="20"/>
    </row>
    <row r="1340">
      <c r="A1340" s="49" t="s">
        <v>6223</v>
      </c>
      <c r="B1340" s="110">
        <v>46159.0</v>
      </c>
      <c r="C1340" s="49" t="s">
        <v>6224</v>
      </c>
      <c r="D1340" s="102" t="s">
        <v>6225</v>
      </c>
      <c r="E1340" s="25" t="s">
        <v>122</v>
      </c>
      <c r="F1340" s="25" t="s">
        <v>18</v>
      </c>
      <c r="G1340" s="25" t="s">
        <v>42</v>
      </c>
      <c r="H1340" s="49" t="s">
        <v>5658</v>
      </c>
      <c r="I1340" s="49" t="s">
        <v>5103</v>
      </c>
      <c r="J1340" s="49">
        <v>6.0</v>
      </c>
      <c r="K1340" s="30"/>
      <c r="L1340" s="49" t="s">
        <v>174</v>
      </c>
      <c r="M1340" s="50">
        <v>8.0</v>
      </c>
      <c r="N1340" s="51"/>
      <c r="O1340" s="20"/>
      <c r="P1340" s="20"/>
      <c r="Q1340" s="20"/>
      <c r="R1340" s="20"/>
      <c r="S1340" s="20"/>
    </row>
    <row r="1341">
      <c r="A1341" s="76" t="s">
        <v>6226</v>
      </c>
      <c r="B1341" s="121">
        <v>46159.0</v>
      </c>
      <c r="C1341" s="76" t="s">
        <v>6227</v>
      </c>
      <c r="D1341" s="99" t="s">
        <v>6228</v>
      </c>
      <c r="E1341" s="25" t="s">
        <v>122</v>
      </c>
      <c r="F1341" s="25" t="s">
        <v>18</v>
      </c>
      <c r="G1341" s="25" t="s">
        <v>42</v>
      </c>
      <c r="H1341" s="76" t="s">
        <v>2462</v>
      </c>
      <c r="I1341" s="76" t="s">
        <v>5307</v>
      </c>
      <c r="J1341" s="76">
        <v>2.0</v>
      </c>
      <c r="K1341" s="46"/>
      <c r="L1341" s="76" t="s">
        <v>6229</v>
      </c>
      <c r="M1341" s="44">
        <v>8.0</v>
      </c>
      <c r="N1341" s="45"/>
      <c r="O1341" s="20"/>
      <c r="P1341" s="20"/>
      <c r="Q1341" s="20"/>
      <c r="R1341" s="20"/>
      <c r="S1341" s="20"/>
    </row>
    <row r="1342">
      <c r="A1342" s="49" t="s">
        <v>6230</v>
      </c>
      <c r="B1342" s="110">
        <v>46159.0</v>
      </c>
      <c r="C1342" s="49" t="s">
        <v>6231</v>
      </c>
      <c r="D1342" s="102" t="s">
        <v>6232</v>
      </c>
      <c r="E1342" s="25" t="s">
        <v>17</v>
      </c>
      <c r="F1342" s="25" t="s">
        <v>18</v>
      </c>
      <c r="G1342" s="25" t="s">
        <v>42</v>
      </c>
      <c r="H1342" s="49" t="s">
        <v>3429</v>
      </c>
      <c r="I1342" s="49" t="s">
        <v>6233</v>
      </c>
      <c r="J1342" s="49">
        <v>2.0</v>
      </c>
      <c r="K1342" s="30">
        <f>3064000*2</f>
        <v>6128000</v>
      </c>
      <c r="L1342" s="49" t="s">
        <v>840</v>
      </c>
      <c r="M1342" s="50">
        <v>8.0</v>
      </c>
      <c r="N1342" s="51"/>
      <c r="O1342" s="20"/>
      <c r="P1342" s="20"/>
      <c r="Q1342" s="20"/>
      <c r="R1342" s="20"/>
      <c r="S1342" s="20"/>
    </row>
    <row r="1343">
      <c r="A1343" s="76" t="s">
        <v>6234</v>
      </c>
      <c r="B1343" s="97">
        <v>46159.0</v>
      </c>
      <c r="C1343" s="76" t="s">
        <v>1452</v>
      </c>
      <c r="D1343" s="99" t="s">
        <v>6235</v>
      </c>
      <c r="E1343" s="25" t="s">
        <v>17</v>
      </c>
      <c r="F1343" s="25" t="s">
        <v>18</v>
      </c>
      <c r="G1343" s="25" t="s">
        <v>42</v>
      </c>
      <c r="H1343" s="76" t="s">
        <v>6236</v>
      </c>
      <c r="I1343" s="118">
        <v>46205.0</v>
      </c>
      <c r="J1343" s="76">
        <v>5.0</v>
      </c>
      <c r="K1343" s="46"/>
      <c r="L1343" s="76" t="s">
        <v>840</v>
      </c>
      <c r="M1343" s="44">
        <v>8.0</v>
      </c>
      <c r="N1343" s="45"/>
      <c r="O1343" s="20"/>
      <c r="P1343" s="20"/>
      <c r="Q1343" s="20"/>
      <c r="R1343" s="20"/>
      <c r="S1343" s="20"/>
    </row>
    <row r="1344">
      <c r="A1344" s="49" t="s">
        <v>6237</v>
      </c>
      <c r="B1344" s="110">
        <v>46159.0</v>
      </c>
      <c r="C1344" s="49" t="s">
        <v>6116</v>
      </c>
      <c r="D1344" s="102" t="s">
        <v>6117</v>
      </c>
      <c r="E1344" s="25" t="s">
        <v>122</v>
      </c>
      <c r="F1344" s="25" t="s">
        <v>18</v>
      </c>
      <c r="G1344" s="25" t="s">
        <v>42</v>
      </c>
      <c r="H1344" s="49" t="s">
        <v>172</v>
      </c>
      <c r="I1344" s="49" t="s">
        <v>6238</v>
      </c>
      <c r="J1344" s="23"/>
      <c r="K1344" s="30"/>
      <c r="L1344" s="49" t="s">
        <v>840</v>
      </c>
      <c r="M1344" s="50">
        <v>8.0</v>
      </c>
      <c r="N1344" s="51"/>
      <c r="O1344" s="20"/>
      <c r="P1344" s="20"/>
      <c r="Q1344" s="20"/>
      <c r="R1344" s="20"/>
      <c r="S1344" s="20"/>
    </row>
    <row r="1345">
      <c r="A1345" s="76" t="s">
        <v>6239</v>
      </c>
      <c r="B1345" s="97">
        <v>46160.0</v>
      </c>
      <c r="C1345" s="76" t="s">
        <v>6240</v>
      </c>
      <c r="D1345" s="99" t="s">
        <v>6241</v>
      </c>
      <c r="E1345" s="25" t="s">
        <v>17</v>
      </c>
      <c r="F1345" s="25" t="s">
        <v>18</v>
      </c>
      <c r="G1345" s="25" t="s">
        <v>42</v>
      </c>
      <c r="H1345" s="76" t="s">
        <v>6242</v>
      </c>
      <c r="I1345" s="118">
        <v>46169.0</v>
      </c>
      <c r="J1345" s="76">
        <v>2.0</v>
      </c>
      <c r="K1345" s="46">
        <f>1049000*2</f>
        <v>2098000</v>
      </c>
      <c r="L1345" s="76" t="s">
        <v>4347</v>
      </c>
      <c r="M1345" s="44">
        <v>8.0</v>
      </c>
      <c r="N1345" s="45"/>
      <c r="O1345" s="20"/>
      <c r="P1345" s="20"/>
      <c r="Q1345" s="20"/>
      <c r="R1345" s="20"/>
      <c r="S1345" s="20"/>
    </row>
    <row r="1346">
      <c r="A1346" s="49" t="s">
        <v>6243</v>
      </c>
      <c r="B1346" s="110">
        <v>46159.0</v>
      </c>
      <c r="C1346" s="49" t="s">
        <v>6244</v>
      </c>
      <c r="D1346" s="102" t="s">
        <v>6245</v>
      </c>
      <c r="E1346" s="25" t="s">
        <v>17</v>
      </c>
      <c r="F1346" s="25" t="s">
        <v>18</v>
      </c>
      <c r="G1346" s="25" t="s">
        <v>42</v>
      </c>
      <c r="H1346" s="49" t="s">
        <v>6246</v>
      </c>
      <c r="I1346" s="23"/>
      <c r="J1346" s="49">
        <v>2.0</v>
      </c>
      <c r="K1346" s="30">
        <f>3597000*2</f>
        <v>7194000</v>
      </c>
      <c r="L1346" s="49" t="s">
        <v>840</v>
      </c>
      <c r="M1346" s="50">
        <v>8.0</v>
      </c>
      <c r="N1346" s="51"/>
      <c r="O1346" s="20"/>
      <c r="P1346" s="20"/>
      <c r="Q1346" s="20"/>
      <c r="R1346" s="20"/>
      <c r="S1346" s="20"/>
    </row>
    <row r="1347">
      <c r="A1347" s="76" t="s">
        <v>6247</v>
      </c>
      <c r="B1347" s="97">
        <v>46159.0</v>
      </c>
      <c r="C1347" s="76" t="s">
        <v>6248</v>
      </c>
      <c r="D1347" s="99" t="s">
        <v>6249</v>
      </c>
      <c r="E1347" s="25" t="s">
        <v>17</v>
      </c>
      <c r="F1347" s="25" t="s">
        <v>18</v>
      </c>
      <c r="G1347" s="25" t="s">
        <v>34</v>
      </c>
      <c r="H1347" s="76" t="s">
        <v>4074</v>
      </c>
      <c r="I1347" s="76" t="s">
        <v>6250</v>
      </c>
      <c r="J1347" s="76">
        <v>10.0</v>
      </c>
      <c r="K1347" s="46">
        <f>1418000*10</f>
        <v>14180000</v>
      </c>
      <c r="L1347" s="76" t="s">
        <v>6251</v>
      </c>
      <c r="M1347" s="44">
        <v>2.0</v>
      </c>
      <c r="N1347" s="45"/>
      <c r="O1347" s="20"/>
      <c r="P1347" s="20"/>
      <c r="Q1347" s="20"/>
      <c r="R1347" s="20"/>
      <c r="S1347" s="20"/>
    </row>
    <row r="1348">
      <c r="A1348" s="49" t="s">
        <v>6252</v>
      </c>
      <c r="B1348" s="110">
        <v>46158.0</v>
      </c>
      <c r="C1348" s="49" t="s">
        <v>6253</v>
      </c>
      <c r="D1348" s="102" t="s">
        <v>6254</v>
      </c>
      <c r="E1348" s="25" t="s">
        <v>17</v>
      </c>
      <c r="F1348" s="25" t="s">
        <v>18</v>
      </c>
      <c r="G1348" s="25" t="s">
        <v>34</v>
      </c>
      <c r="H1348" s="49" t="s">
        <v>4515</v>
      </c>
      <c r="I1348" s="49" t="s">
        <v>4799</v>
      </c>
      <c r="J1348" s="49">
        <v>7.0</v>
      </c>
      <c r="K1348" s="30">
        <f>1229000*7</f>
        <v>8603000</v>
      </c>
      <c r="L1348" s="49" t="s">
        <v>6255</v>
      </c>
      <c r="M1348" s="50">
        <v>2.0</v>
      </c>
      <c r="N1348" s="51"/>
      <c r="O1348" s="20"/>
      <c r="P1348" s="20"/>
      <c r="Q1348" s="20"/>
      <c r="R1348" s="20"/>
      <c r="S1348" s="20"/>
    </row>
    <row r="1349">
      <c r="A1349" s="76" t="s">
        <v>6256</v>
      </c>
      <c r="B1349" s="97">
        <v>46158.0</v>
      </c>
      <c r="C1349" s="76" t="s">
        <v>6257</v>
      </c>
      <c r="D1349" s="99" t="s">
        <v>6258</v>
      </c>
      <c r="E1349" s="25" t="s">
        <v>122</v>
      </c>
      <c r="F1349" s="25" t="s">
        <v>18</v>
      </c>
      <c r="G1349" s="25" t="s">
        <v>19</v>
      </c>
      <c r="H1349" s="76" t="s">
        <v>2462</v>
      </c>
      <c r="I1349" s="118">
        <v>46198.0</v>
      </c>
      <c r="J1349" s="76">
        <v>9.0</v>
      </c>
      <c r="K1349" s="19">
        <v>1.2043E7</v>
      </c>
      <c r="L1349" s="76" t="s">
        <v>4896</v>
      </c>
      <c r="M1349" s="44">
        <v>7.0</v>
      </c>
      <c r="N1349" s="45"/>
      <c r="O1349" s="20"/>
      <c r="P1349" s="20"/>
      <c r="Q1349" s="20"/>
      <c r="R1349" s="20"/>
      <c r="S1349" s="20"/>
    </row>
    <row r="1350">
      <c r="A1350" s="49" t="s">
        <v>6259</v>
      </c>
      <c r="B1350" s="110">
        <v>46161.0</v>
      </c>
      <c r="C1350" s="49" t="s">
        <v>6260</v>
      </c>
      <c r="D1350" s="102" t="s">
        <v>6261</v>
      </c>
      <c r="E1350" s="25" t="s">
        <v>122</v>
      </c>
      <c r="F1350" s="25" t="s">
        <v>18</v>
      </c>
      <c r="G1350" s="25" t="s">
        <v>42</v>
      </c>
      <c r="H1350" s="49" t="s">
        <v>6262</v>
      </c>
      <c r="I1350" s="101">
        <v>46167.0</v>
      </c>
      <c r="J1350" s="49">
        <v>7.0</v>
      </c>
      <c r="K1350" s="30">
        <f>370000*7</f>
        <v>2590000</v>
      </c>
      <c r="L1350" s="49" t="s">
        <v>174</v>
      </c>
      <c r="M1350" s="50">
        <v>8.0</v>
      </c>
      <c r="N1350" s="51"/>
      <c r="O1350" s="20"/>
      <c r="P1350" s="20"/>
      <c r="Q1350" s="20"/>
      <c r="R1350" s="20"/>
      <c r="S1350" s="20"/>
    </row>
    <row r="1351">
      <c r="A1351" s="76" t="s">
        <v>6263</v>
      </c>
      <c r="B1351" s="97">
        <v>46161.0</v>
      </c>
      <c r="C1351" s="76" t="s">
        <v>6264</v>
      </c>
      <c r="D1351" s="99" t="s">
        <v>6265</v>
      </c>
      <c r="E1351" s="25" t="s">
        <v>17</v>
      </c>
      <c r="F1351" s="25" t="s">
        <v>18</v>
      </c>
      <c r="G1351" s="25" t="s">
        <v>42</v>
      </c>
      <c r="H1351" s="76" t="s">
        <v>6266</v>
      </c>
      <c r="I1351" s="76" t="s">
        <v>1348</v>
      </c>
      <c r="J1351" s="76">
        <v>6.0</v>
      </c>
      <c r="K1351" s="46">
        <f>695000*6</f>
        <v>4170000</v>
      </c>
      <c r="L1351" s="76" t="s">
        <v>840</v>
      </c>
      <c r="M1351" s="44">
        <v>8.0</v>
      </c>
      <c r="N1351" s="45"/>
      <c r="O1351" s="20"/>
      <c r="P1351" s="20"/>
      <c r="Q1351" s="20"/>
      <c r="R1351" s="20"/>
      <c r="S1351" s="20"/>
    </row>
    <row r="1352">
      <c r="A1352" s="49" t="s">
        <v>6267</v>
      </c>
      <c r="B1352" s="110">
        <v>46160.0</v>
      </c>
      <c r="C1352" s="49" t="s">
        <v>6268</v>
      </c>
      <c r="D1352" s="102" t="s">
        <v>6269</v>
      </c>
      <c r="E1352" s="25" t="s">
        <v>17</v>
      </c>
      <c r="F1352" s="25" t="s">
        <v>18</v>
      </c>
      <c r="G1352" s="25" t="s">
        <v>34</v>
      </c>
      <c r="H1352" s="49" t="s">
        <v>2462</v>
      </c>
      <c r="I1352" s="23"/>
      <c r="J1352" s="49">
        <v>50.0</v>
      </c>
      <c r="K1352" s="30">
        <f>1490000*50</f>
        <v>74500000</v>
      </c>
      <c r="L1352" s="49" t="s">
        <v>6270</v>
      </c>
      <c r="M1352" s="50">
        <v>2.0</v>
      </c>
      <c r="N1352" s="51"/>
      <c r="O1352" s="20"/>
      <c r="P1352" s="20"/>
      <c r="Q1352" s="20"/>
      <c r="R1352" s="20"/>
      <c r="S1352" s="20"/>
    </row>
    <row r="1353">
      <c r="A1353" s="76" t="s">
        <v>6271</v>
      </c>
      <c r="B1353" s="97">
        <v>46161.0</v>
      </c>
      <c r="C1353" s="76" t="s">
        <v>6272</v>
      </c>
      <c r="D1353" s="99" t="s">
        <v>6273</v>
      </c>
      <c r="E1353" s="25" t="s">
        <v>128</v>
      </c>
      <c r="F1353" s="25" t="s">
        <v>18</v>
      </c>
      <c r="G1353" s="25" t="s">
        <v>42</v>
      </c>
      <c r="H1353" s="76" t="s">
        <v>5658</v>
      </c>
      <c r="I1353" s="118">
        <v>46172.0</v>
      </c>
      <c r="J1353" s="76">
        <v>3.0</v>
      </c>
      <c r="K1353" s="46">
        <f>275000*3</f>
        <v>825000</v>
      </c>
      <c r="L1353" s="76" t="s">
        <v>6274</v>
      </c>
      <c r="M1353" s="44">
        <v>8.0</v>
      </c>
      <c r="N1353" s="45"/>
      <c r="O1353" s="20"/>
      <c r="P1353" s="20"/>
      <c r="Q1353" s="20"/>
      <c r="R1353" s="20"/>
      <c r="S1353" s="20"/>
    </row>
    <row r="1354">
      <c r="A1354" s="49" t="s">
        <v>6275</v>
      </c>
      <c r="B1354" s="110">
        <v>46161.0</v>
      </c>
      <c r="C1354" s="49" t="s">
        <v>6276</v>
      </c>
      <c r="D1354" s="102" t="s">
        <v>6277</v>
      </c>
      <c r="E1354" s="25" t="s">
        <v>17</v>
      </c>
      <c r="F1354" s="25" t="s">
        <v>18</v>
      </c>
      <c r="G1354" s="25" t="s">
        <v>42</v>
      </c>
      <c r="H1354" s="49" t="s">
        <v>6278</v>
      </c>
      <c r="I1354" s="101">
        <v>46194.0</v>
      </c>
      <c r="J1354" s="49">
        <v>2.0</v>
      </c>
      <c r="K1354" s="30">
        <f>850000*2</f>
        <v>1700000</v>
      </c>
      <c r="L1354" s="49" t="s">
        <v>840</v>
      </c>
      <c r="M1354" s="50">
        <v>8.0</v>
      </c>
      <c r="N1354" s="51"/>
      <c r="O1354" s="20"/>
      <c r="P1354" s="20"/>
      <c r="Q1354" s="20"/>
      <c r="R1354" s="20"/>
      <c r="S1354" s="20"/>
    </row>
    <row r="1355">
      <c r="A1355" s="76" t="s">
        <v>6279</v>
      </c>
      <c r="B1355" s="97">
        <v>46157.0</v>
      </c>
      <c r="C1355" s="76" t="s">
        <v>6280</v>
      </c>
      <c r="D1355" s="99" t="s">
        <v>6281</v>
      </c>
      <c r="E1355" s="25" t="s">
        <v>128</v>
      </c>
      <c r="F1355" s="25" t="s">
        <v>18</v>
      </c>
      <c r="G1355" s="25" t="s">
        <v>42</v>
      </c>
      <c r="H1355" s="76" t="s">
        <v>6246</v>
      </c>
      <c r="I1355" s="76" t="s">
        <v>4799</v>
      </c>
      <c r="J1355" s="76">
        <v>2.0</v>
      </c>
      <c r="K1355" s="46">
        <f>3064000*2</f>
        <v>6128000</v>
      </c>
      <c r="L1355" s="76" t="s">
        <v>6282</v>
      </c>
      <c r="M1355" s="44">
        <v>8.0</v>
      </c>
      <c r="N1355" s="45"/>
      <c r="O1355" s="20"/>
      <c r="P1355" s="20"/>
      <c r="Q1355" s="20"/>
      <c r="R1355" s="20"/>
      <c r="S1355" s="20"/>
    </row>
    <row r="1356">
      <c r="A1356" s="49" t="s">
        <v>6283</v>
      </c>
      <c r="B1356" s="110">
        <v>46161.0</v>
      </c>
      <c r="C1356" s="49" t="s">
        <v>6284</v>
      </c>
      <c r="D1356" s="102" t="s">
        <v>6285</v>
      </c>
      <c r="E1356" s="25" t="s">
        <v>128</v>
      </c>
      <c r="F1356" s="25" t="s">
        <v>18</v>
      </c>
      <c r="G1356" s="25" t="s">
        <v>19</v>
      </c>
      <c r="H1356" s="49" t="s">
        <v>2462</v>
      </c>
      <c r="I1356" s="49" t="s">
        <v>4055</v>
      </c>
      <c r="J1356" s="49">
        <v>3.0</v>
      </c>
      <c r="K1356" s="30">
        <f>2384000*3</f>
        <v>7152000</v>
      </c>
      <c r="L1356" s="49" t="s">
        <v>1803</v>
      </c>
      <c r="M1356" s="50">
        <v>7.0</v>
      </c>
      <c r="N1356" s="51"/>
      <c r="O1356" s="20"/>
      <c r="P1356" s="20"/>
      <c r="Q1356" s="20"/>
      <c r="R1356" s="20"/>
      <c r="S1356" s="20"/>
    </row>
    <row r="1357">
      <c r="A1357" s="76" t="s">
        <v>6286</v>
      </c>
      <c r="B1357" s="97">
        <v>46160.0</v>
      </c>
      <c r="C1357" s="76" t="s">
        <v>6287</v>
      </c>
      <c r="D1357" s="99" t="s">
        <v>6288</v>
      </c>
      <c r="E1357" s="25" t="s">
        <v>128</v>
      </c>
      <c r="F1357" s="25" t="s">
        <v>18</v>
      </c>
      <c r="G1357" s="25" t="s">
        <v>43</v>
      </c>
      <c r="H1357" s="76" t="s">
        <v>6246</v>
      </c>
      <c r="I1357" s="76" t="s">
        <v>6289</v>
      </c>
      <c r="J1357" s="76">
        <v>75.0</v>
      </c>
      <c r="K1357" s="46">
        <f>1800000*75</f>
        <v>135000000</v>
      </c>
      <c r="L1357" s="76" t="s">
        <v>6290</v>
      </c>
      <c r="M1357" s="44">
        <v>3.0</v>
      </c>
      <c r="N1357" s="45"/>
      <c r="O1357" s="20"/>
      <c r="P1357" s="20"/>
      <c r="Q1357" s="20"/>
      <c r="R1357" s="20"/>
      <c r="S1357" s="20"/>
    </row>
    <row r="1358">
      <c r="A1358" s="49" t="s">
        <v>6291</v>
      </c>
      <c r="B1358" s="110">
        <v>46162.0</v>
      </c>
      <c r="C1358" s="49" t="s">
        <v>6292</v>
      </c>
      <c r="D1358" s="102" t="s">
        <v>6293</v>
      </c>
      <c r="E1358" s="25" t="s">
        <v>17</v>
      </c>
      <c r="F1358" s="25" t="s">
        <v>18</v>
      </c>
      <c r="G1358" s="25" t="s">
        <v>42</v>
      </c>
      <c r="H1358" s="49" t="s">
        <v>3210</v>
      </c>
      <c r="I1358" s="101">
        <v>46172.0</v>
      </c>
      <c r="J1358" s="49">
        <v>3.0</v>
      </c>
      <c r="K1358" s="30">
        <f>1580000*3</f>
        <v>4740000</v>
      </c>
      <c r="L1358" s="49"/>
      <c r="M1358" s="50">
        <v>8.0</v>
      </c>
      <c r="N1358" s="51"/>
      <c r="O1358" s="20"/>
      <c r="P1358" s="20"/>
      <c r="Q1358" s="20"/>
      <c r="R1358" s="20"/>
      <c r="S1358" s="20"/>
    </row>
    <row r="1359">
      <c r="A1359" s="76" t="s">
        <v>6294</v>
      </c>
      <c r="B1359" s="97">
        <v>46160.0</v>
      </c>
      <c r="C1359" s="76" t="s">
        <v>6295</v>
      </c>
      <c r="D1359" s="99" t="s">
        <v>6296</v>
      </c>
      <c r="E1359" s="25" t="s">
        <v>17</v>
      </c>
      <c r="F1359" s="25" t="s">
        <v>18</v>
      </c>
      <c r="G1359" s="25" t="s">
        <v>19</v>
      </c>
      <c r="H1359" s="76" t="s">
        <v>3210</v>
      </c>
      <c r="I1359" s="76" t="s">
        <v>6297</v>
      </c>
      <c r="J1359" s="76">
        <v>3.0</v>
      </c>
      <c r="K1359" s="46">
        <f>1645000*3</f>
        <v>4935000</v>
      </c>
      <c r="L1359" s="76" t="s">
        <v>6298</v>
      </c>
      <c r="M1359" s="44">
        <v>7.0</v>
      </c>
      <c r="N1359" s="45"/>
      <c r="O1359" s="20"/>
      <c r="P1359" s="20"/>
      <c r="Q1359" s="20"/>
      <c r="R1359" s="20"/>
      <c r="S1359" s="20"/>
    </row>
    <row r="1360">
      <c r="A1360" s="49" t="s">
        <v>6299</v>
      </c>
      <c r="B1360" s="110">
        <v>46162.0</v>
      </c>
      <c r="C1360" s="49" t="s">
        <v>6300</v>
      </c>
      <c r="D1360" s="102" t="s">
        <v>6301</v>
      </c>
      <c r="E1360" s="25" t="s">
        <v>17</v>
      </c>
      <c r="F1360" s="25" t="s">
        <v>18</v>
      </c>
      <c r="G1360" s="25" t="s">
        <v>42</v>
      </c>
      <c r="H1360" s="49" t="s">
        <v>5658</v>
      </c>
      <c r="I1360" s="101">
        <v>46164.0</v>
      </c>
      <c r="J1360" s="49">
        <v>3.0</v>
      </c>
      <c r="K1360" s="30">
        <f>600000*3</f>
        <v>1800000</v>
      </c>
      <c r="L1360" s="49" t="s">
        <v>6298</v>
      </c>
      <c r="M1360" s="50">
        <v>8.0</v>
      </c>
      <c r="N1360" s="51"/>
      <c r="O1360" s="20"/>
      <c r="P1360" s="20"/>
      <c r="Q1360" s="20"/>
      <c r="R1360" s="20"/>
      <c r="S1360" s="20"/>
    </row>
    <row r="1361">
      <c r="A1361" s="76" t="s">
        <v>6302</v>
      </c>
      <c r="B1361" s="97">
        <v>46159.0</v>
      </c>
      <c r="C1361" s="76" t="s">
        <v>6303</v>
      </c>
      <c r="D1361" s="99" t="s">
        <v>6304</v>
      </c>
      <c r="E1361" s="25" t="s">
        <v>128</v>
      </c>
      <c r="F1361" s="25" t="s">
        <v>18</v>
      </c>
      <c r="G1361" s="25" t="s">
        <v>19</v>
      </c>
      <c r="H1361" s="76" t="s">
        <v>3210</v>
      </c>
      <c r="I1361" s="76" t="s">
        <v>6305</v>
      </c>
      <c r="J1361" s="76">
        <v>5.0</v>
      </c>
      <c r="K1361" s="46">
        <f>560000*5+(400000*5)</f>
        <v>4800000</v>
      </c>
      <c r="L1361" s="76" t="s">
        <v>1803</v>
      </c>
      <c r="M1361" s="44">
        <v>7.0</v>
      </c>
      <c r="N1361" s="45"/>
      <c r="O1361" s="20"/>
      <c r="P1361" s="20"/>
      <c r="Q1361" s="20"/>
      <c r="R1361" s="20"/>
      <c r="S1361" s="20"/>
    </row>
    <row r="1362">
      <c r="A1362" s="49" t="s">
        <v>6306</v>
      </c>
      <c r="B1362" s="110">
        <v>46161.0</v>
      </c>
      <c r="C1362" s="49" t="s">
        <v>6307</v>
      </c>
      <c r="D1362" s="102" t="s">
        <v>6308</v>
      </c>
      <c r="E1362" s="25" t="s">
        <v>128</v>
      </c>
      <c r="F1362" s="25" t="s">
        <v>18</v>
      </c>
      <c r="G1362" s="25" t="s">
        <v>19</v>
      </c>
      <c r="H1362" s="49" t="s">
        <v>172</v>
      </c>
      <c r="I1362" s="49" t="s">
        <v>6309</v>
      </c>
      <c r="J1362" s="49">
        <v>2.0</v>
      </c>
      <c r="K1362" s="30">
        <f>1600000*2</f>
        <v>3200000</v>
      </c>
      <c r="L1362" s="49" t="s">
        <v>6310</v>
      </c>
      <c r="M1362" s="50">
        <v>7.0</v>
      </c>
      <c r="N1362" s="51"/>
      <c r="O1362" s="20"/>
      <c r="P1362" s="20"/>
      <c r="Q1362" s="20"/>
      <c r="R1362" s="20"/>
      <c r="S1362" s="20"/>
    </row>
    <row r="1363">
      <c r="A1363" s="76" t="s">
        <v>6311</v>
      </c>
      <c r="B1363" s="97">
        <v>46162.0</v>
      </c>
      <c r="C1363" s="76" t="s">
        <v>6312</v>
      </c>
      <c r="D1363" s="99" t="s">
        <v>6313</v>
      </c>
      <c r="E1363" s="25" t="s">
        <v>128</v>
      </c>
      <c r="F1363" s="25" t="s">
        <v>129</v>
      </c>
      <c r="G1363" s="25" t="s">
        <v>29</v>
      </c>
      <c r="H1363" s="76" t="s">
        <v>3210</v>
      </c>
      <c r="I1363" s="10"/>
      <c r="J1363" s="76">
        <v>6.0</v>
      </c>
      <c r="K1363" s="46"/>
      <c r="L1363" s="76" t="s">
        <v>2232</v>
      </c>
      <c r="M1363" s="44">
        <v>1.0</v>
      </c>
      <c r="N1363" s="45"/>
      <c r="O1363" s="20"/>
      <c r="P1363" s="20"/>
      <c r="Q1363" s="20"/>
      <c r="R1363" s="20"/>
      <c r="S1363" s="20"/>
    </row>
    <row r="1364">
      <c r="A1364" s="49" t="s">
        <v>6314</v>
      </c>
      <c r="B1364" s="110">
        <v>46160.0</v>
      </c>
      <c r="C1364" s="49" t="s">
        <v>6315</v>
      </c>
      <c r="D1364" s="102" t="s">
        <v>6316</v>
      </c>
      <c r="E1364" s="25" t="s">
        <v>122</v>
      </c>
      <c r="F1364" s="25" t="s">
        <v>983</v>
      </c>
      <c r="G1364" s="25" t="s">
        <v>29</v>
      </c>
      <c r="H1364" s="49" t="s">
        <v>3711</v>
      </c>
      <c r="I1364" s="49" t="s">
        <v>4799</v>
      </c>
      <c r="J1364" s="23"/>
      <c r="K1364" s="30"/>
      <c r="L1364" s="49" t="s">
        <v>4565</v>
      </c>
      <c r="M1364" s="50">
        <v>1.0</v>
      </c>
      <c r="N1364" s="51"/>
      <c r="O1364" s="20"/>
      <c r="P1364" s="20"/>
      <c r="Q1364" s="20"/>
      <c r="R1364" s="20"/>
      <c r="S1364" s="20"/>
    </row>
    <row r="1365">
      <c r="A1365" s="76" t="s">
        <v>6317</v>
      </c>
      <c r="B1365" s="97">
        <v>46161.0</v>
      </c>
      <c r="C1365" s="76" t="s">
        <v>6318</v>
      </c>
      <c r="D1365" s="99" t="s">
        <v>6319</v>
      </c>
      <c r="E1365" s="25" t="s">
        <v>122</v>
      </c>
      <c r="F1365" s="25" t="s">
        <v>983</v>
      </c>
      <c r="G1365" s="25" t="s">
        <v>42</v>
      </c>
      <c r="H1365" s="76" t="s">
        <v>6320</v>
      </c>
      <c r="I1365" s="10"/>
      <c r="J1365" s="10"/>
      <c r="K1365" s="46"/>
      <c r="L1365" s="76" t="s">
        <v>6321</v>
      </c>
      <c r="M1365" s="44">
        <v>8.0</v>
      </c>
      <c r="N1365" s="45"/>
      <c r="O1365" s="20"/>
      <c r="P1365" s="20"/>
      <c r="Q1365" s="20"/>
      <c r="R1365" s="20"/>
      <c r="S1365" s="20"/>
    </row>
    <row r="1366">
      <c r="A1366" s="49" t="s">
        <v>6322</v>
      </c>
      <c r="B1366" s="110">
        <v>46161.0</v>
      </c>
      <c r="C1366" s="49" t="s">
        <v>6323</v>
      </c>
      <c r="D1366" s="102" t="s">
        <v>6324</v>
      </c>
      <c r="E1366" s="25" t="s">
        <v>128</v>
      </c>
      <c r="F1366" s="25" t="s">
        <v>983</v>
      </c>
      <c r="G1366" s="25" t="s">
        <v>19</v>
      </c>
      <c r="H1366" s="49" t="s">
        <v>2066</v>
      </c>
      <c r="I1366" s="101">
        <v>46168.0</v>
      </c>
      <c r="J1366" s="49">
        <v>4.0</v>
      </c>
      <c r="K1366" s="30">
        <f>330000*4</f>
        <v>1320000</v>
      </c>
      <c r="L1366" s="49" t="s">
        <v>6325</v>
      </c>
      <c r="M1366" s="50">
        <v>7.0</v>
      </c>
      <c r="N1366" s="51"/>
      <c r="O1366" s="20"/>
      <c r="P1366" s="20"/>
      <c r="Q1366" s="20"/>
      <c r="R1366" s="20"/>
      <c r="S1366" s="20"/>
    </row>
    <row r="1367">
      <c r="A1367" s="76" t="s">
        <v>6326</v>
      </c>
      <c r="B1367" s="97">
        <v>46161.0</v>
      </c>
      <c r="C1367" s="76" t="s">
        <v>6327</v>
      </c>
      <c r="D1367" s="99" t="s">
        <v>6328</v>
      </c>
      <c r="E1367" s="25" t="s">
        <v>122</v>
      </c>
      <c r="F1367" s="25" t="s">
        <v>983</v>
      </c>
      <c r="G1367" s="25" t="s">
        <v>19</v>
      </c>
      <c r="H1367" s="76" t="s">
        <v>5897</v>
      </c>
      <c r="I1367" s="76" t="s">
        <v>6329</v>
      </c>
      <c r="J1367" s="76">
        <v>4.0</v>
      </c>
      <c r="K1367" s="19">
        <v>2196000.0</v>
      </c>
      <c r="L1367" s="76" t="s">
        <v>4717</v>
      </c>
      <c r="M1367" s="44">
        <v>7.0</v>
      </c>
      <c r="N1367" s="45"/>
      <c r="O1367" s="20"/>
      <c r="P1367" s="20"/>
      <c r="Q1367" s="20"/>
      <c r="R1367" s="20"/>
      <c r="S1367" s="20"/>
    </row>
    <row r="1368">
      <c r="A1368" s="49" t="s">
        <v>6330</v>
      </c>
      <c r="B1368" s="110">
        <v>46162.0</v>
      </c>
      <c r="C1368" s="49" t="s">
        <v>6331</v>
      </c>
      <c r="D1368" s="102" t="s">
        <v>6332</v>
      </c>
      <c r="E1368" s="25" t="s">
        <v>122</v>
      </c>
      <c r="F1368" s="25" t="s">
        <v>983</v>
      </c>
      <c r="G1368" s="25" t="s">
        <v>29</v>
      </c>
      <c r="H1368" s="49" t="s">
        <v>2462</v>
      </c>
      <c r="I1368" s="49" t="s">
        <v>4827</v>
      </c>
      <c r="J1368" s="49">
        <v>15.0</v>
      </c>
      <c r="K1368" s="30"/>
      <c r="L1368" s="49" t="s">
        <v>6333</v>
      </c>
      <c r="M1368" s="50">
        <v>1.0</v>
      </c>
      <c r="N1368" s="51"/>
      <c r="O1368" s="20"/>
      <c r="P1368" s="20"/>
      <c r="Q1368" s="20"/>
      <c r="R1368" s="20"/>
      <c r="S1368" s="20"/>
    </row>
    <row r="1369">
      <c r="A1369" s="76" t="s">
        <v>6334</v>
      </c>
      <c r="B1369" s="97">
        <v>46163.0</v>
      </c>
      <c r="C1369" s="76" t="s">
        <v>6335</v>
      </c>
      <c r="D1369" s="99" t="s">
        <v>6336</v>
      </c>
      <c r="E1369" s="25" t="s">
        <v>122</v>
      </c>
      <c r="F1369" s="25" t="s">
        <v>983</v>
      </c>
      <c r="G1369" s="25" t="s">
        <v>29</v>
      </c>
      <c r="H1369" s="10"/>
      <c r="I1369" s="76">
        <v>2027.0</v>
      </c>
      <c r="J1369" s="10"/>
      <c r="K1369" s="46"/>
      <c r="L1369" s="76" t="s">
        <v>6337</v>
      </c>
      <c r="M1369" s="44">
        <v>1.0</v>
      </c>
      <c r="N1369" s="45"/>
      <c r="O1369" s="20"/>
      <c r="P1369" s="20"/>
      <c r="Q1369" s="20"/>
      <c r="R1369" s="20"/>
      <c r="S1369" s="20"/>
    </row>
    <row r="1370">
      <c r="A1370" s="49" t="s">
        <v>6338</v>
      </c>
      <c r="B1370" s="110">
        <v>46163.0</v>
      </c>
      <c r="C1370" s="49" t="s">
        <v>6339</v>
      </c>
      <c r="D1370" s="102" t="s">
        <v>6340</v>
      </c>
      <c r="E1370" s="25" t="s">
        <v>128</v>
      </c>
      <c r="F1370" s="25" t="s">
        <v>129</v>
      </c>
      <c r="G1370" s="25" t="s">
        <v>42</v>
      </c>
      <c r="H1370" s="49" t="s">
        <v>2166</v>
      </c>
      <c r="I1370" s="101">
        <v>46184.0</v>
      </c>
      <c r="J1370" s="49">
        <v>2.0</v>
      </c>
      <c r="K1370" s="30"/>
      <c r="L1370" s="49" t="s">
        <v>3925</v>
      </c>
      <c r="M1370" s="50">
        <v>8.0</v>
      </c>
      <c r="N1370" s="51"/>
      <c r="O1370" s="20"/>
      <c r="P1370" s="20"/>
      <c r="Q1370" s="20"/>
      <c r="R1370" s="20"/>
      <c r="S1370" s="20"/>
    </row>
    <row r="1371">
      <c r="A1371" s="76" t="s">
        <v>6341</v>
      </c>
      <c r="B1371" s="97">
        <v>38858.0</v>
      </c>
      <c r="C1371" s="76" t="s">
        <v>6342</v>
      </c>
      <c r="D1371" s="99" t="s">
        <v>6343</v>
      </c>
      <c r="E1371" s="25" t="s">
        <v>128</v>
      </c>
      <c r="F1371" s="25" t="s">
        <v>129</v>
      </c>
      <c r="G1371" s="25" t="s">
        <v>42</v>
      </c>
      <c r="H1371" s="76" t="s">
        <v>123</v>
      </c>
      <c r="I1371" s="118">
        <v>46186.0</v>
      </c>
      <c r="J1371" s="76">
        <v>25.0</v>
      </c>
      <c r="K1371" s="46"/>
      <c r="L1371" s="76" t="s">
        <v>6344</v>
      </c>
      <c r="M1371" s="44">
        <v>8.0</v>
      </c>
      <c r="N1371" s="45"/>
      <c r="O1371" s="20"/>
      <c r="P1371" s="20"/>
      <c r="Q1371" s="20"/>
      <c r="R1371" s="20"/>
      <c r="S1371" s="20"/>
    </row>
    <row r="1372">
      <c r="A1372" s="49" t="s">
        <v>6345</v>
      </c>
      <c r="B1372" s="110">
        <v>46163.0</v>
      </c>
      <c r="C1372" s="49" t="s">
        <v>6346</v>
      </c>
      <c r="D1372" s="102" t="s">
        <v>6347</v>
      </c>
      <c r="E1372" s="25" t="s">
        <v>17</v>
      </c>
      <c r="F1372" s="25" t="s">
        <v>129</v>
      </c>
      <c r="G1372" s="25" t="s">
        <v>19</v>
      </c>
      <c r="H1372" s="49" t="s">
        <v>213</v>
      </c>
      <c r="I1372" s="101">
        <v>46172.0</v>
      </c>
      <c r="J1372" s="49">
        <v>2.0</v>
      </c>
      <c r="K1372" s="36">
        <v>3600000.0</v>
      </c>
      <c r="L1372" s="49" t="s">
        <v>2572</v>
      </c>
      <c r="M1372" s="50">
        <v>7.0</v>
      </c>
      <c r="N1372" s="51"/>
      <c r="O1372" s="20"/>
      <c r="P1372" s="20"/>
      <c r="Q1372" s="20"/>
      <c r="R1372" s="20"/>
      <c r="S1372" s="20"/>
    </row>
    <row r="1373">
      <c r="A1373" s="76" t="s">
        <v>6348</v>
      </c>
      <c r="B1373" s="97">
        <v>46163.0</v>
      </c>
      <c r="C1373" s="76" t="s">
        <v>6349</v>
      </c>
      <c r="D1373" s="99" t="s">
        <v>6350</v>
      </c>
      <c r="E1373" s="25" t="s">
        <v>128</v>
      </c>
      <c r="F1373" s="25" t="s">
        <v>129</v>
      </c>
      <c r="G1373" s="25" t="s">
        <v>29</v>
      </c>
      <c r="H1373" s="76" t="s">
        <v>6351</v>
      </c>
      <c r="I1373" s="118">
        <v>46195.0</v>
      </c>
      <c r="J1373" s="76">
        <v>4.0</v>
      </c>
      <c r="K1373" s="46"/>
      <c r="L1373" s="76" t="s">
        <v>6352</v>
      </c>
      <c r="M1373" s="44">
        <v>1.0</v>
      </c>
      <c r="N1373" s="45"/>
      <c r="O1373" s="20"/>
      <c r="P1373" s="20"/>
      <c r="Q1373" s="20"/>
      <c r="R1373" s="20"/>
      <c r="S1373" s="20"/>
    </row>
    <row r="1374">
      <c r="A1374" s="49" t="s">
        <v>6353</v>
      </c>
      <c r="B1374" s="110">
        <v>46163.0</v>
      </c>
      <c r="C1374" s="49" t="s">
        <v>6354</v>
      </c>
      <c r="D1374" s="102" t="s">
        <v>6355</v>
      </c>
      <c r="E1374" s="25" t="s">
        <v>17</v>
      </c>
      <c r="F1374" s="25" t="s">
        <v>129</v>
      </c>
      <c r="G1374" s="25" t="s">
        <v>19</v>
      </c>
      <c r="H1374" s="49" t="s">
        <v>6356</v>
      </c>
      <c r="I1374" s="101">
        <v>46170.0</v>
      </c>
      <c r="J1374" s="49">
        <v>2.0</v>
      </c>
      <c r="K1374" s="30">
        <f>SUM(500000*2)</f>
        <v>1000000</v>
      </c>
      <c r="L1374" s="49" t="s">
        <v>2877</v>
      </c>
      <c r="M1374" s="50">
        <v>7.0</v>
      </c>
      <c r="N1374" s="51"/>
      <c r="O1374" s="20"/>
      <c r="P1374" s="20"/>
      <c r="Q1374" s="20"/>
      <c r="R1374" s="20"/>
      <c r="S1374" s="20"/>
    </row>
    <row r="1375">
      <c r="A1375" s="76" t="s">
        <v>6357</v>
      </c>
      <c r="B1375" s="97">
        <v>46164.0</v>
      </c>
      <c r="C1375" s="76" t="s">
        <v>6358</v>
      </c>
      <c r="D1375" s="99" t="s">
        <v>6359</v>
      </c>
      <c r="E1375" s="25" t="s">
        <v>128</v>
      </c>
      <c r="F1375" s="25" t="s">
        <v>129</v>
      </c>
      <c r="G1375" s="25" t="s">
        <v>29</v>
      </c>
      <c r="H1375" s="76" t="s">
        <v>6351</v>
      </c>
      <c r="I1375" s="10"/>
      <c r="J1375" s="10"/>
      <c r="K1375" s="46"/>
      <c r="L1375" s="76" t="s">
        <v>6109</v>
      </c>
      <c r="M1375" s="44">
        <v>1.0</v>
      </c>
      <c r="N1375" s="45"/>
      <c r="O1375" s="20"/>
      <c r="P1375" s="20"/>
      <c r="Q1375" s="20"/>
      <c r="R1375" s="20"/>
      <c r="S1375" s="20"/>
    </row>
    <row r="1376">
      <c r="A1376" s="49" t="s">
        <v>6360</v>
      </c>
      <c r="B1376" s="110">
        <v>46163.0</v>
      </c>
      <c r="C1376" s="49" t="s">
        <v>6361</v>
      </c>
      <c r="D1376" s="102" t="s">
        <v>6362</v>
      </c>
      <c r="E1376" s="25" t="s">
        <v>128</v>
      </c>
      <c r="F1376" s="25" t="s">
        <v>129</v>
      </c>
      <c r="G1376" s="25" t="s">
        <v>42</v>
      </c>
      <c r="H1376" s="49" t="s">
        <v>1782</v>
      </c>
      <c r="I1376" s="101">
        <v>46171.0</v>
      </c>
      <c r="J1376" s="49">
        <v>2.0</v>
      </c>
      <c r="K1376" s="30"/>
      <c r="L1376" s="49" t="s">
        <v>3493</v>
      </c>
      <c r="M1376" s="50">
        <v>8.0</v>
      </c>
      <c r="N1376" s="51"/>
      <c r="O1376" s="20"/>
      <c r="P1376" s="20"/>
      <c r="Q1376" s="20"/>
      <c r="R1376" s="20"/>
      <c r="S1376" s="20"/>
    </row>
    <row r="1377">
      <c r="A1377" s="76" t="s">
        <v>6363</v>
      </c>
      <c r="B1377" s="97">
        <v>46164.0</v>
      </c>
      <c r="C1377" s="76" t="s">
        <v>6364</v>
      </c>
      <c r="D1377" s="99" t="s">
        <v>6365</v>
      </c>
      <c r="E1377" s="25" t="s">
        <v>1877</v>
      </c>
      <c r="F1377" s="25" t="s">
        <v>129</v>
      </c>
      <c r="G1377" s="25" t="s">
        <v>29</v>
      </c>
      <c r="H1377" s="10"/>
      <c r="I1377" s="10"/>
      <c r="J1377" s="10"/>
      <c r="K1377" s="46"/>
      <c r="L1377" s="76" t="s">
        <v>6366</v>
      </c>
      <c r="M1377" s="44">
        <v>1.0</v>
      </c>
      <c r="N1377" s="45"/>
      <c r="O1377" s="20"/>
      <c r="P1377" s="20"/>
      <c r="Q1377" s="20"/>
      <c r="R1377" s="20"/>
      <c r="S1377" s="20"/>
    </row>
    <row r="1378">
      <c r="A1378" s="49" t="s">
        <v>6367</v>
      </c>
      <c r="B1378" s="110">
        <v>46164.0</v>
      </c>
      <c r="C1378" s="49" t="s">
        <v>1800</v>
      </c>
      <c r="D1378" s="102" t="s">
        <v>6368</v>
      </c>
      <c r="E1378" s="25" t="s">
        <v>17</v>
      </c>
      <c r="F1378" s="25" t="s">
        <v>129</v>
      </c>
      <c r="G1378" s="25" t="s">
        <v>29</v>
      </c>
      <c r="H1378" s="49" t="s">
        <v>199</v>
      </c>
      <c r="I1378" s="49" t="s">
        <v>2028</v>
      </c>
      <c r="J1378" s="49">
        <v>2.0</v>
      </c>
      <c r="K1378" s="30"/>
      <c r="L1378" s="49" t="s">
        <v>6369</v>
      </c>
      <c r="M1378" s="50">
        <v>1.0</v>
      </c>
      <c r="N1378" s="51"/>
      <c r="O1378" s="20"/>
      <c r="P1378" s="20"/>
      <c r="Q1378" s="20"/>
      <c r="R1378" s="20"/>
      <c r="S1378" s="20"/>
    </row>
    <row r="1379">
      <c r="A1379" s="76" t="s">
        <v>6370</v>
      </c>
      <c r="B1379" s="97">
        <v>46164.0</v>
      </c>
      <c r="C1379" s="76" t="s">
        <v>6371</v>
      </c>
      <c r="D1379" s="99" t="s">
        <v>6372</v>
      </c>
      <c r="E1379" s="25" t="s">
        <v>17</v>
      </c>
      <c r="F1379" s="25" t="s">
        <v>129</v>
      </c>
      <c r="G1379" s="25" t="s">
        <v>29</v>
      </c>
      <c r="H1379" s="76" t="s">
        <v>4074</v>
      </c>
      <c r="I1379" s="76" t="s">
        <v>2028</v>
      </c>
      <c r="J1379" s="76">
        <v>3.0</v>
      </c>
      <c r="K1379" s="46"/>
      <c r="L1379" s="76" t="s">
        <v>5392</v>
      </c>
      <c r="M1379" s="44">
        <v>1.0</v>
      </c>
      <c r="N1379" s="45"/>
      <c r="O1379" s="20"/>
      <c r="P1379" s="20"/>
      <c r="Q1379" s="20"/>
      <c r="R1379" s="20"/>
      <c r="S1379" s="20"/>
    </row>
    <row r="1380">
      <c r="A1380" s="49" t="s">
        <v>6373</v>
      </c>
      <c r="B1380" s="110">
        <v>46164.0</v>
      </c>
      <c r="C1380" s="49" t="s">
        <v>6374</v>
      </c>
      <c r="D1380" s="102" t="s">
        <v>6277</v>
      </c>
      <c r="E1380" s="25" t="s">
        <v>17</v>
      </c>
      <c r="F1380" s="25" t="s">
        <v>129</v>
      </c>
      <c r="G1380" s="25" t="s">
        <v>29</v>
      </c>
      <c r="H1380" s="49" t="s">
        <v>747</v>
      </c>
      <c r="I1380" s="101">
        <v>46194.0</v>
      </c>
      <c r="J1380" s="49">
        <v>2.0</v>
      </c>
      <c r="K1380" s="30"/>
      <c r="L1380" s="49" t="s">
        <v>3629</v>
      </c>
      <c r="M1380" s="50">
        <v>1.0</v>
      </c>
      <c r="N1380" s="51"/>
      <c r="O1380" s="20"/>
      <c r="P1380" s="20"/>
      <c r="Q1380" s="20"/>
      <c r="R1380" s="20"/>
      <c r="S1380" s="20"/>
    </row>
    <row r="1381">
      <c r="A1381" s="76" t="s">
        <v>6375</v>
      </c>
      <c r="B1381" s="97">
        <v>46164.0</v>
      </c>
      <c r="C1381" s="76" t="s">
        <v>6376</v>
      </c>
      <c r="D1381" s="99" t="s">
        <v>6377</v>
      </c>
      <c r="E1381" s="25" t="s">
        <v>128</v>
      </c>
      <c r="F1381" s="25" t="s">
        <v>129</v>
      </c>
      <c r="G1381" s="25" t="s">
        <v>42</v>
      </c>
      <c r="H1381" s="76" t="s">
        <v>144</v>
      </c>
      <c r="I1381" s="118">
        <v>46172.0</v>
      </c>
      <c r="J1381" s="76">
        <v>4.0</v>
      </c>
      <c r="K1381" s="46"/>
      <c r="L1381" s="76" t="s">
        <v>3493</v>
      </c>
      <c r="M1381" s="44">
        <v>8.0</v>
      </c>
      <c r="N1381" s="45"/>
      <c r="O1381" s="20"/>
      <c r="P1381" s="20"/>
      <c r="Q1381" s="20"/>
      <c r="R1381" s="20"/>
      <c r="S1381" s="20"/>
    </row>
    <row r="1382">
      <c r="A1382" s="49" t="s">
        <v>6378</v>
      </c>
      <c r="B1382" s="110">
        <v>46165.0</v>
      </c>
      <c r="C1382" s="49" t="s">
        <v>6379</v>
      </c>
      <c r="D1382" s="102" t="s">
        <v>6380</v>
      </c>
      <c r="E1382" s="25" t="s">
        <v>17</v>
      </c>
      <c r="F1382" s="25" t="s">
        <v>129</v>
      </c>
      <c r="G1382" s="25" t="s">
        <v>19</v>
      </c>
      <c r="H1382" s="49" t="s">
        <v>6381</v>
      </c>
      <c r="I1382" s="101">
        <v>46166.0</v>
      </c>
      <c r="J1382" s="49">
        <v>2.0</v>
      </c>
      <c r="K1382" s="30">
        <f>SUM(877000*2)</f>
        <v>1754000</v>
      </c>
      <c r="L1382" s="49" t="s">
        <v>2572</v>
      </c>
      <c r="M1382" s="50">
        <v>7.0</v>
      </c>
      <c r="N1382" s="51"/>
      <c r="O1382" s="20"/>
      <c r="P1382" s="20"/>
      <c r="Q1382" s="20"/>
      <c r="R1382" s="20"/>
      <c r="S1382" s="20"/>
    </row>
    <row r="1383">
      <c r="A1383" s="76" t="s">
        <v>6382</v>
      </c>
      <c r="B1383" s="97">
        <v>46165.0</v>
      </c>
      <c r="C1383" s="76" t="s">
        <v>6383</v>
      </c>
      <c r="D1383" s="99" t="s">
        <v>6384</v>
      </c>
      <c r="E1383" s="25" t="s">
        <v>17</v>
      </c>
      <c r="F1383" s="25" t="s">
        <v>129</v>
      </c>
      <c r="G1383" s="25" t="s">
        <v>29</v>
      </c>
      <c r="H1383" s="10"/>
      <c r="I1383" s="10"/>
      <c r="J1383" s="10"/>
      <c r="K1383" s="46"/>
      <c r="L1383" s="76" t="s">
        <v>6366</v>
      </c>
      <c r="M1383" s="44">
        <v>1.0</v>
      </c>
      <c r="N1383" s="45"/>
      <c r="O1383" s="20"/>
      <c r="P1383" s="20"/>
      <c r="Q1383" s="20"/>
      <c r="R1383" s="20"/>
      <c r="S1383" s="20"/>
    </row>
    <row r="1384">
      <c r="A1384" s="49" t="s">
        <v>6385</v>
      </c>
      <c r="B1384" s="110">
        <v>46165.0</v>
      </c>
      <c r="C1384" s="49" t="s">
        <v>6386</v>
      </c>
      <c r="D1384" s="102" t="s">
        <v>6387</v>
      </c>
      <c r="E1384" s="25" t="s">
        <v>17</v>
      </c>
      <c r="F1384" s="25" t="s">
        <v>129</v>
      </c>
      <c r="G1384" s="25" t="s">
        <v>29</v>
      </c>
      <c r="H1384" s="49" t="s">
        <v>571</v>
      </c>
      <c r="I1384" s="101">
        <v>46203.0</v>
      </c>
      <c r="J1384" s="49">
        <v>3.0</v>
      </c>
      <c r="K1384" s="30"/>
      <c r="L1384" s="49" t="s">
        <v>6388</v>
      </c>
      <c r="M1384" s="50">
        <v>1.0</v>
      </c>
      <c r="N1384" s="51"/>
      <c r="O1384" s="20"/>
      <c r="P1384" s="20"/>
      <c r="Q1384" s="20"/>
      <c r="R1384" s="20"/>
      <c r="S1384" s="20"/>
    </row>
    <row r="1385">
      <c r="A1385" s="76" t="s">
        <v>6389</v>
      </c>
      <c r="B1385" s="97">
        <v>46165.0</v>
      </c>
      <c r="C1385" s="76" t="s">
        <v>6390</v>
      </c>
      <c r="D1385" s="99" t="s">
        <v>6391</v>
      </c>
      <c r="E1385" s="25" t="s">
        <v>17</v>
      </c>
      <c r="F1385" s="25" t="s">
        <v>129</v>
      </c>
      <c r="G1385" s="25" t="s">
        <v>29</v>
      </c>
      <c r="H1385" s="76" t="s">
        <v>123</v>
      </c>
      <c r="I1385" s="76" t="s">
        <v>6392</v>
      </c>
      <c r="J1385" s="76">
        <v>2.0</v>
      </c>
      <c r="K1385" s="46"/>
      <c r="L1385" s="76" t="s">
        <v>6393</v>
      </c>
      <c r="M1385" s="44">
        <v>1.0</v>
      </c>
      <c r="N1385" s="45"/>
      <c r="O1385" s="20"/>
      <c r="P1385" s="20"/>
      <c r="Q1385" s="20"/>
      <c r="R1385" s="20"/>
      <c r="S1385" s="20"/>
    </row>
    <row r="1386">
      <c r="A1386" s="49" t="s">
        <v>6394</v>
      </c>
      <c r="B1386" s="110">
        <v>46165.0</v>
      </c>
      <c r="C1386" s="49" t="s">
        <v>6395</v>
      </c>
      <c r="D1386" s="102" t="s">
        <v>6396</v>
      </c>
      <c r="E1386" s="25" t="s">
        <v>17</v>
      </c>
      <c r="F1386" s="25" t="s">
        <v>129</v>
      </c>
      <c r="G1386" s="25" t="s">
        <v>42</v>
      </c>
      <c r="H1386" s="49" t="s">
        <v>5566</v>
      </c>
      <c r="I1386" s="101">
        <v>46172.0</v>
      </c>
      <c r="J1386" s="49">
        <v>1.0</v>
      </c>
      <c r="K1386" s="30"/>
      <c r="L1386" s="49" t="s">
        <v>3493</v>
      </c>
      <c r="M1386" s="50">
        <v>8.0</v>
      </c>
      <c r="N1386" s="51"/>
      <c r="O1386" s="20"/>
      <c r="P1386" s="20"/>
      <c r="Q1386" s="20"/>
      <c r="R1386" s="20"/>
      <c r="S1386" s="20"/>
    </row>
    <row r="1387">
      <c r="A1387" s="76" t="s">
        <v>6397</v>
      </c>
      <c r="B1387" s="97">
        <v>46165.0</v>
      </c>
      <c r="C1387" s="76" t="s">
        <v>6398</v>
      </c>
      <c r="D1387" s="99" t="s">
        <v>6399</v>
      </c>
      <c r="E1387" s="25" t="s">
        <v>17</v>
      </c>
      <c r="F1387" s="25" t="s">
        <v>129</v>
      </c>
      <c r="G1387" s="25" t="s">
        <v>19</v>
      </c>
      <c r="H1387" s="76" t="s">
        <v>6400</v>
      </c>
      <c r="I1387" s="118">
        <v>46174.0</v>
      </c>
      <c r="J1387" s="76">
        <v>2.0</v>
      </c>
      <c r="K1387" s="19">
        <v>1750000.0</v>
      </c>
      <c r="L1387" s="76" t="s">
        <v>6401</v>
      </c>
      <c r="M1387" s="44">
        <v>7.0</v>
      </c>
      <c r="N1387" s="45"/>
      <c r="O1387" s="20"/>
      <c r="P1387" s="20"/>
      <c r="Q1387" s="20"/>
      <c r="R1387" s="20"/>
      <c r="S1387" s="20"/>
    </row>
    <row r="1388">
      <c r="A1388" s="49" t="s">
        <v>6402</v>
      </c>
      <c r="B1388" s="110">
        <v>46163.0</v>
      </c>
      <c r="C1388" s="49" t="s">
        <v>6403</v>
      </c>
      <c r="D1388" s="102" t="s">
        <v>6404</v>
      </c>
      <c r="E1388" s="25" t="s">
        <v>122</v>
      </c>
      <c r="F1388" s="25" t="s">
        <v>129</v>
      </c>
      <c r="G1388" s="25" t="s">
        <v>42</v>
      </c>
      <c r="H1388" s="23"/>
      <c r="I1388" s="23"/>
      <c r="J1388" s="49">
        <v>3.0</v>
      </c>
      <c r="K1388" s="30"/>
      <c r="L1388" s="49" t="s">
        <v>6405</v>
      </c>
      <c r="M1388" s="50">
        <v>8.0</v>
      </c>
      <c r="N1388" s="51"/>
      <c r="O1388" s="20"/>
      <c r="P1388" s="20"/>
      <c r="Q1388" s="20"/>
      <c r="R1388" s="20"/>
      <c r="S1388" s="20"/>
    </row>
    <row r="1389">
      <c r="A1389" s="76" t="s">
        <v>6406</v>
      </c>
      <c r="B1389" s="97">
        <v>46162.0</v>
      </c>
      <c r="C1389" s="76" t="s">
        <v>6407</v>
      </c>
      <c r="D1389" s="99" t="s">
        <v>6408</v>
      </c>
      <c r="E1389" s="25" t="s">
        <v>17</v>
      </c>
      <c r="F1389" s="25" t="s">
        <v>18</v>
      </c>
      <c r="G1389" s="25" t="s">
        <v>19</v>
      </c>
      <c r="H1389" s="76" t="s">
        <v>3210</v>
      </c>
      <c r="I1389" s="76" t="s">
        <v>6409</v>
      </c>
      <c r="J1389" s="76">
        <v>7.0</v>
      </c>
      <c r="K1389" s="46">
        <f>1625000*7</f>
        <v>11375000</v>
      </c>
      <c r="L1389" s="76" t="s">
        <v>2005</v>
      </c>
      <c r="M1389" s="44">
        <v>7.0</v>
      </c>
      <c r="N1389" s="45"/>
      <c r="O1389" s="20"/>
      <c r="P1389" s="20"/>
      <c r="Q1389" s="20"/>
      <c r="R1389" s="20"/>
      <c r="S1389" s="20"/>
    </row>
    <row r="1390">
      <c r="A1390" s="49" t="s">
        <v>6410</v>
      </c>
      <c r="B1390" s="110">
        <v>46165.0</v>
      </c>
      <c r="C1390" s="49" t="s">
        <v>6411</v>
      </c>
      <c r="D1390" s="102" t="s">
        <v>6412</v>
      </c>
      <c r="E1390" s="25" t="s">
        <v>128</v>
      </c>
      <c r="F1390" s="25" t="s">
        <v>18</v>
      </c>
      <c r="G1390" s="25" t="s">
        <v>19</v>
      </c>
      <c r="H1390" s="49" t="s">
        <v>6413</v>
      </c>
      <c r="I1390" s="49" t="s">
        <v>6414</v>
      </c>
      <c r="J1390" s="49">
        <v>2.0</v>
      </c>
      <c r="K1390" s="30">
        <f>250000*2+(550000*2)</f>
        <v>1600000</v>
      </c>
      <c r="L1390" s="49" t="s">
        <v>6415</v>
      </c>
      <c r="M1390" s="50">
        <v>7.0</v>
      </c>
      <c r="N1390" s="51"/>
      <c r="O1390" s="20"/>
      <c r="P1390" s="20"/>
      <c r="Q1390" s="20"/>
      <c r="R1390" s="20"/>
      <c r="S1390" s="20"/>
    </row>
    <row r="1391">
      <c r="A1391" s="76" t="s">
        <v>6416</v>
      </c>
      <c r="B1391" s="97">
        <v>46165.0</v>
      </c>
      <c r="C1391" s="76" t="s">
        <v>6417</v>
      </c>
      <c r="D1391" s="99" t="s">
        <v>6418</v>
      </c>
      <c r="E1391" s="25" t="s">
        <v>17</v>
      </c>
      <c r="F1391" s="25" t="s">
        <v>18</v>
      </c>
      <c r="G1391" s="25" t="s">
        <v>19</v>
      </c>
      <c r="H1391" s="76" t="s">
        <v>6419</v>
      </c>
      <c r="I1391" s="76" t="s">
        <v>6420</v>
      </c>
      <c r="J1391" s="76">
        <v>4.0</v>
      </c>
      <c r="K1391" s="46">
        <f>2850000*4</f>
        <v>11400000</v>
      </c>
      <c r="L1391" s="76" t="s">
        <v>6415</v>
      </c>
      <c r="M1391" s="44">
        <v>7.0</v>
      </c>
      <c r="N1391" s="45"/>
      <c r="O1391" s="20"/>
      <c r="P1391" s="20"/>
      <c r="Q1391" s="20"/>
      <c r="R1391" s="20"/>
      <c r="S1391" s="20"/>
    </row>
    <row r="1392">
      <c r="A1392" s="49" t="s">
        <v>6421</v>
      </c>
      <c r="B1392" s="110">
        <v>46165.0</v>
      </c>
      <c r="C1392" s="49" t="s">
        <v>6422</v>
      </c>
      <c r="D1392" s="102" t="s">
        <v>6423</v>
      </c>
      <c r="E1392" s="25" t="s">
        <v>122</v>
      </c>
      <c r="F1392" s="25" t="s">
        <v>129</v>
      </c>
      <c r="G1392" s="25" t="s">
        <v>29</v>
      </c>
      <c r="H1392" s="49" t="s">
        <v>747</v>
      </c>
      <c r="I1392" s="49" t="s">
        <v>4866</v>
      </c>
      <c r="J1392" s="49">
        <v>3.0</v>
      </c>
      <c r="K1392" s="30"/>
      <c r="L1392" s="49" t="s">
        <v>6424</v>
      </c>
      <c r="M1392" s="50">
        <v>1.0</v>
      </c>
      <c r="N1392" s="51"/>
      <c r="O1392" s="20"/>
      <c r="P1392" s="20"/>
      <c r="Q1392" s="20"/>
      <c r="R1392" s="20"/>
      <c r="S1392" s="20"/>
    </row>
    <row r="1393">
      <c r="A1393" s="76" t="s">
        <v>6425</v>
      </c>
      <c r="B1393" s="97">
        <v>46165.0</v>
      </c>
      <c r="C1393" s="76" t="s">
        <v>6426</v>
      </c>
      <c r="D1393" s="99" t="s">
        <v>6427</v>
      </c>
      <c r="E1393" s="25" t="s">
        <v>128</v>
      </c>
      <c r="F1393" s="25" t="s">
        <v>129</v>
      </c>
      <c r="G1393" s="25" t="s">
        <v>42</v>
      </c>
      <c r="H1393" s="76" t="s">
        <v>5030</v>
      </c>
      <c r="I1393" s="10"/>
      <c r="J1393" s="10"/>
      <c r="K1393" s="46"/>
      <c r="L1393" s="76" t="s">
        <v>6428</v>
      </c>
      <c r="M1393" s="44">
        <v>8.0</v>
      </c>
      <c r="N1393" s="45"/>
      <c r="O1393" s="20"/>
      <c r="P1393" s="20"/>
      <c r="Q1393" s="20"/>
      <c r="R1393" s="20"/>
      <c r="S1393" s="20"/>
    </row>
    <row r="1394">
      <c r="A1394" s="49" t="s">
        <v>6429</v>
      </c>
      <c r="B1394" s="110">
        <v>46165.0</v>
      </c>
      <c r="C1394" s="49" t="s">
        <v>6430</v>
      </c>
      <c r="D1394" s="102" t="s">
        <v>6431</v>
      </c>
      <c r="E1394" s="25" t="s">
        <v>128</v>
      </c>
      <c r="F1394" s="25" t="s">
        <v>129</v>
      </c>
      <c r="G1394" s="25" t="s">
        <v>6432</v>
      </c>
      <c r="H1394" s="49" t="s">
        <v>747</v>
      </c>
      <c r="I1394" s="49" t="s">
        <v>6433</v>
      </c>
      <c r="J1394" s="49">
        <v>1.0</v>
      </c>
      <c r="K1394" s="30"/>
      <c r="L1394" s="49" t="s">
        <v>3493</v>
      </c>
      <c r="M1394" s="50">
        <v>8.0</v>
      </c>
      <c r="N1394" s="51"/>
      <c r="O1394" s="20"/>
      <c r="P1394" s="20"/>
      <c r="Q1394" s="20"/>
      <c r="R1394" s="20"/>
      <c r="S1394" s="20"/>
    </row>
    <row r="1395">
      <c r="A1395" s="76" t="s">
        <v>6434</v>
      </c>
      <c r="B1395" s="97">
        <v>46165.0</v>
      </c>
      <c r="C1395" s="76" t="s">
        <v>6435</v>
      </c>
      <c r="D1395" s="99" t="s">
        <v>6436</v>
      </c>
      <c r="E1395" s="25" t="s">
        <v>128</v>
      </c>
      <c r="F1395" s="25" t="s">
        <v>129</v>
      </c>
      <c r="G1395" s="25" t="s">
        <v>42</v>
      </c>
      <c r="H1395" s="49" t="s">
        <v>747</v>
      </c>
      <c r="I1395" s="10"/>
      <c r="J1395" s="10"/>
      <c r="K1395" s="46"/>
      <c r="L1395" s="76" t="s">
        <v>6437</v>
      </c>
      <c r="M1395" s="44">
        <v>8.0</v>
      </c>
      <c r="N1395" s="45"/>
      <c r="O1395" s="20"/>
      <c r="P1395" s="20"/>
      <c r="Q1395" s="20"/>
      <c r="R1395" s="20"/>
      <c r="S1395" s="20"/>
    </row>
    <row r="1396">
      <c r="A1396" s="49" t="s">
        <v>6438</v>
      </c>
      <c r="B1396" s="110">
        <v>46165.0</v>
      </c>
      <c r="C1396" s="49" t="s">
        <v>6411</v>
      </c>
      <c r="D1396" s="102" t="s">
        <v>6412</v>
      </c>
      <c r="E1396" s="25" t="s">
        <v>128</v>
      </c>
      <c r="F1396" s="25" t="s">
        <v>129</v>
      </c>
      <c r="G1396" s="25" t="s">
        <v>19</v>
      </c>
      <c r="H1396" s="49" t="s">
        <v>747</v>
      </c>
      <c r="I1396" s="101">
        <v>46173.0</v>
      </c>
      <c r="J1396" s="49">
        <v>2.0</v>
      </c>
      <c r="K1396" s="30">
        <f>SUM(275000*2)</f>
        <v>550000</v>
      </c>
      <c r="L1396" s="49" t="s">
        <v>6439</v>
      </c>
      <c r="M1396" s="50">
        <v>7.0</v>
      </c>
      <c r="N1396" s="51"/>
      <c r="O1396" s="20"/>
      <c r="P1396" s="20"/>
      <c r="Q1396" s="20"/>
      <c r="R1396" s="20"/>
      <c r="S1396" s="20"/>
    </row>
    <row r="1397">
      <c r="A1397" s="76" t="s">
        <v>6440</v>
      </c>
      <c r="B1397" s="97">
        <v>46165.0</v>
      </c>
      <c r="C1397" s="76" t="s">
        <v>6441</v>
      </c>
      <c r="D1397" s="99" t="s">
        <v>6442</v>
      </c>
      <c r="E1397" s="25" t="s">
        <v>128</v>
      </c>
      <c r="F1397" s="25" t="s">
        <v>129</v>
      </c>
      <c r="G1397" s="25" t="s">
        <v>19</v>
      </c>
      <c r="H1397" s="76" t="s">
        <v>1888</v>
      </c>
      <c r="I1397" s="118">
        <v>46169.0</v>
      </c>
      <c r="J1397" s="76">
        <v>2.0</v>
      </c>
      <c r="K1397" s="46"/>
      <c r="L1397" s="76" t="s">
        <v>6443</v>
      </c>
      <c r="M1397" s="44">
        <v>7.0</v>
      </c>
      <c r="N1397" s="45"/>
      <c r="O1397" s="20"/>
      <c r="P1397" s="20"/>
      <c r="Q1397" s="20"/>
      <c r="R1397" s="20"/>
      <c r="S1397" s="20"/>
    </row>
    <row r="1398">
      <c r="A1398" s="49" t="s">
        <v>6444</v>
      </c>
      <c r="B1398" s="110">
        <v>46166.0</v>
      </c>
      <c r="C1398" s="49" t="s">
        <v>6445</v>
      </c>
      <c r="D1398" s="102" t="s">
        <v>6446</v>
      </c>
      <c r="E1398" s="25" t="s">
        <v>128</v>
      </c>
      <c r="F1398" s="25" t="s">
        <v>129</v>
      </c>
      <c r="G1398" s="25" t="s">
        <v>42</v>
      </c>
      <c r="H1398" s="49" t="s">
        <v>747</v>
      </c>
      <c r="I1398" s="101">
        <v>46168.0</v>
      </c>
      <c r="J1398" s="49">
        <v>1.0</v>
      </c>
      <c r="K1398" s="30"/>
      <c r="L1398" s="23"/>
      <c r="M1398" s="50">
        <v>8.0</v>
      </c>
      <c r="N1398" s="51"/>
      <c r="O1398" s="20"/>
      <c r="P1398" s="20"/>
      <c r="Q1398" s="20"/>
      <c r="R1398" s="20"/>
      <c r="S1398" s="20"/>
    </row>
    <row r="1399">
      <c r="A1399" s="76" t="s">
        <v>6447</v>
      </c>
      <c r="B1399" s="97">
        <v>46166.0</v>
      </c>
      <c r="C1399" s="76" t="s">
        <v>6448</v>
      </c>
      <c r="D1399" s="99" t="s">
        <v>6449</v>
      </c>
      <c r="E1399" s="25" t="s">
        <v>17</v>
      </c>
      <c r="F1399" s="25" t="s">
        <v>129</v>
      </c>
      <c r="G1399" s="25" t="s">
        <v>29</v>
      </c>
      <c r="H1399" s="76" t="s">
        <v>3032</v>
      </c>
      <c r="I1399" s="76" t="s">
        <v>6450</v>
      </c>
      <c r="J1399" s="76">
        <v>4.0</v>
      </c>
      <c r="K1399" s="46"/>
      <c r="L1399" s="76" t="s">
        <v>6451</v>
      </c>
      <c r="M1399" s="44">
        <v>1.0</v>
      </c>
      <c r="N1399" s="45"/>
      <c r="O1399" s="20"/>
      <c r="P1399" s="20"/>
      <c r="Q1399" s="20"/>
      <c r="R1399" s="20"/>
      <c r="S1399" s="20"/>
    </row>
    <row r="1400">
      <c r="A1400" s="49" t="s">
        <v>6452</v>
      </c>
      <c r="B1400" s="110">
        <v>46166.0</v>
      </c>
      <c r="C1400" s="49" t="s">
        <v>6453</v>
      </c>
      <c r="D1400" s="102" t="s">
        <v>6454</v>
      </c>
      <c r="E1400" s="25" t="s">
        <v>128</v>
      </c>
      <c r="F1400" s="25" t="s">
        <v>129</v>
      </c>
      <c r="G1400" s="25" t="s">
        <v>29</v>
      </c>
      <c r="H1400" s="49" t="s">
        <v>4040</v>
      </c>
      <c r="I1400" s="101">
        <v>46203.0</v>
      </c>
      <c r="J1400" s="23"/>
      <c r="K1400" s="30"/>
      <c r="L1400" s="49" t="s">
        <v>6455</v>
      </c>
      <c r="M1400" s="50">
        <v>1.0</v>
      </c>
      <c r="N1400" s="51"/>
      <c r="O1400" s="20"/>
      <c r="P1400" s="20"/>
      <c r="Q1400" s="20"/>
      <c r="R1400" s="20"/>
      <c r="S1400" s="20"/>
    </row>
    <row r="1401">
      <c r="A1401" s="76" t="s">
        <v>6456</v>
      </c>
      <c r="B1401" s="97">
        <v>46166.0</v>
      </c>
      <c r="C1401" s="76" t="s">
        <v>6457</v>
      </c>
      <c r="D1401" s="99" t="s">
        <v>6458</v>
      </c>
      <c r="E1401" s="25" t="s">
        <v>17</v>
      </c>
      <c r="F1401" s="25" t="s">
        <v>129</v>
      </c>
      <c r="G1401" s="25" t="s">
        <v>29</v>
      </c>
      <c r="H1401" s="76" t="s">
        <v>6459</v>
      </c>
      <c r="I1401" s="118">
        <v>46187.0</v>
      </c>
      <c r="J1401" s="76">
        <v>2.0</v>
      </c>
      <c r="K1401" s="46"/>
      <c r="L1401" s="76" t="s">
        <v>6123</v>
      </c>
      <c r="M1401" s="44">
        <v>1.0</v>
      </c>
      <c r="N1401" s="45"/>
      <c r="O1401" s="20"/>
      <c r="P1401" s="20"/>
      <c r="Q1401" s="20"/>
      <c r="R1401" s="20"/>
      <c r="S1401" s="20"/>
    </row>
    <row r="1402">
      <c r="A1402" s="49" t="s">
        <v>6460</v>
      </c>
      <c r="B1402" s="110">
        <v>46166.0</v>
      </c>
      <c r="C1402" s="49" t="s">
        <v>6461</v>
      </c>
      <c r="D1402" s="102" t="s">
        <v>6462</v>
      </c>
      <c r="E1402" s="25" t="s">
        <v>17</v>
      </c>
      <c r="F1402" s="25" t="s">
        <v>129</v>
      </c>
      <c r="G1402" s="25" t="s">
        <v>19</v>
      </c>
      <c r="H1402" s="49" t="s">
        <v>747</v>
      </c>
      <c r="I1402" s="49" t="s">
        <v>6463</v>
      </c>
      <c r="J1402" s="49">
        <v>4.0</v>
      </c>
      <c r="K1402" s="30"/>
      <c r="L1402" s="49" t="s">
        <v>5849</v>
      </c>
      <c r="M1402" s="50">
        <v>7.0</v>
      </c>
      <c r="N1402" s="51"/>
      <c r="O1402" s="20"/>
      <c r="P1402" s="20"/>
      <c r="Q1402" s="20"/>
      <c r="R1402" s="20"/>
      <c r="S1402" s="20"/>
    </row>
    <row r="1403">
      <c r="A1403" s="76" t="s">
        <v>6464</v>
      </c>
      <c r="B1403" s="97">
        <v>46166.0</v>
      </c>
      <c r="C1403" s="76" t="s">
        <v>6465</v>
      </c>
      <c r="D1403" s="99" t="s">
        <v>6466</v>
      </c>
      <c r="E1403" s="25" t="s">
        <v>17</v>
      </c>
      <c r="F1403" s="25" t="s">
        <v>129</v>
      </c>
      <c r="G1403" s="25" t="s">
        <v>29</v>
      </c>
      <c r="H1403" s="49" t="s">
        <v>747</v>
      </c>
      <c r="I1403" s="10"/>
      <c r="J1403" s="10"/>
      <c r="K1403" s="46"/>
      <c r="L1403" s="76" t="s">
        <v>6467</v>
      </c>
      <c r="M1403" s="44">
        <v>1.0</v>
      </c>
      <c r="N1403" s="45"/>
      <c r="O1403" s="20"/>
      <c r="P1403" s="20"/>
      <c r="Q1403" s="20"/>
      <c r="R1403" s="20"/>
      <c r="S1403" s="20"/>
    </row>
    <row r="1404">
      <c r="A1404" s="49" t="s">
        <v>6468</v>
      </c>
      <c r="B1404" s="110">
        <v>46166.0</v>
      </c>
      <c r="C1404" s="49" t="s">
        <v>6469</v>
      </c>
      <c r="D1404" s="102" t="s">
        <v>6470</v>
      </c>
      <c r="E1404" s="25" t="s">
        <v>128</v>
      </c>
      <c r="F1404" s="25" t="s">
        <v>129</v>
      </c>
      <c r="G1404" s="25" t="s">
        <v>19</v>
      </c>
      <c r="H1404" s="49" t="s">
        <v>3032</v>
      </c>
      <c r="I1404" s="101">
        <v>46190.0</v>
      </c>
      <c r="J1404" s="49">
        <v>2.0</v>
      </c>
      <c r="K1404" s="30">
        <f>SUM(2350000*2)</f>
        <v>4700000</v>
      </c>
      <c r="L1404" s="49" t="s">
        <v>6471</v>
      </c>
      <c r="M1404" s="50">
        <v>7.0</v>
      </c>
      <c r="N1404" s="51"/>
      <c r="O1404" s="20"/>
      <c r="P1404" s="20"/>
      <c r="Q1404" s="20"/>
      <c r="R1404" s="20"/>
      <c r="S1404" s="20"/>
    </row>
    <row r="1405">
      <c r="A1405" s="76" t="s">
        <v>6472</v>
      </c>
      <c r="B1405" s="97">
        <v>46166.0</v>
      </c>
      <c r="C1405" s="76" t="s">
        <v>6473</v>
      </c>
      <c r="D1405" s="99" t="s">
        <v>6474</v>
      </c>
      <c r="E1405" s="25" t="s">
        <v>128</v>
      </c>
      <c r="F1405" s="25" t="s">
        <v>129</v>
      </c>
      <c r="G1405" s="25" t="s">
        <v>29</v>
      </c>
      <c r="H1405" s="49" t="s">
        <v>4040</v>
      </c>
      <c r="I1405" s="118">
        <v>46244.0</v>
      </c>
      <c r="J1405" s="76">
        <v>2.0</v>
      </c>
      <c r="K1405" s="46"/>
      <c r="L1405" s="76" t="s">
        <v>6475</v>
      </c>
      <c r="M1405" s="44">
        <v>1.0</v>
      </c>
      <c r="N1405" s="45"/>
      <c r="O1405" s="20"/>
      <c r="P1405" s="20"/>
      <c r="Q1405" s="20"/>
      <c r="R1405" s="20"/>
      <c r="S1405" s="20"/>
    </row>
    <row r="1406">
      <c r="A1406" s="49" t="s">
        <v>6476</v>
      </c>
      <c r="B1406" s="110">
        <v>46166.0</v>
      </c>
      <c r="C1406" s="49" t="s">
        <v>6477</v>
      </c>
      <c r="D1406" s="102" t="s">
        <v>6478</v>
      </c>
      <c r="E1406" s="25" t="s">
        <v>128</v>
      </c>
      <c r="F1406" s="25" t="s">
        <v>129</v>
      </c>
      <c r="G1406" s="25" t="s">
        <v>29</v>
      </c>
      <c r="H1406" s="49" t="s">
        <v>4532</v>
      </c>
      <c r="I1406" s="101">
        <v>46194.0</v>
      </c>
      <c r="J1406" s="49">
        <v>4.0</v>
      </c>
      <c r="K1406" s="30"/>
      <c r="L1406" s="49" t="s">
        <v>1372</v>
      </c>
      <c r="M1406" s="50">
        <v>1.0</v>
      </c>
      <c r="N1406" s="51"/>
      <c r="O1406" s="20"/>
      <c r="P1406" s="20"/>
      <c r="Q1406" s="20"/>
      <c r="R1406" s="20"/>
      <c r="S1406" s="20"/>
    </row>
    <row r="1407">
      <c r="A1407" s="76" t="s">
        <v>6479</v>
      </c>
      <c r="B1407" s="97">
        <v>46166.0</v>
      </c>
      <c r="C1407" s="76" t="s">
        <v>6480</v>
      </c>
      <c r="D1407" s="99" t="s">
        <v>6481</v>
      </c>
      <c r="E1407" s="25" t="s">
        <v>17</v>
      </c>
      <c r="F1407" s="25" t="s">
        <v>129</v>
      </c>
      <c r="G1407" s="25" t="s">
        <v>29</v>
      </c>
      <c r="H1407" s="76" t="s">
        <v>3837</v>
      </c>
      <c r="I1407" s="118">
        <v>46194.0</v>
      </c>
      <c r="J1407" s="76">
        <v>10.0</v>
      </c>
      <c r="K1407" s="46"/>
      <c r="L1407" s="10"/>
      <c r="M1407" s="44">
        <v>1.0</v>
      </c>
      <c r="N1407" s="45"/>
      <c r="O1407" s="20"/>
      <c r="P1407" s="20"/>
      <c r="Q1407" s="20"/>
      <c r="R1407" s="20"/>
      <c r="S1407" s="20"/>
    </row>
    <row r="1408">
      <c r="A1408" s="49" t="s">
        <v>6482</v>
      </c>
      <c r="B1408" s="97">
        <v>46166.0</v>
      </c>
      <c r="C1408" s="49" t="s">
        <v>6483</v>
      </c>
      <c r="D1408" s="102" t="s">
        <v>6484</v>
      </c>
      <c r="E1408" s="25" t="s">
        <v>128</v>
      </c>
      <c r="F1408" s="25" t="s">
        <v>129</v>
      </c>
      <c r="G1408" s="25" t="s">
        <v>42</v>
      </c>
      <c r="H1408" s="49" t="s">
        <v>6485</v>
      </c>
      <c r="I1408" s="101">
        <v>46170.0</v>
      </c>
      <c r="J1408" s="49">
        <v>5.0</v>
      </c>
      <c r="K1408" s="30"/>
      <c r="L1408" s="49" t="s">
        <v>6486</v>
      </c>
      <c r="M1408" s="50">
        <v>8.0</v>
      </c>
      <c r="N1408" s="51"/>
      <c r="O1408" s="20"/>
      <c r="P1408" s="20"/>
      <c r="Q1408" s="20"/>
      <c r="R1408" s="20"/>
      <c r="S1408" s="20"/>
    </row>
    <row r="1409">
      <c r="A1409" s="76" t="s">
        <v>6487</v>
      </c>
      <c r="B1409" s="97">
        <v>46165.0</v>
      </c>
      <c r="C1409" s="76" t="s">
        <v>6488</v>
      </c>
      <c r="D1409" s="99" t="s">
        <v>6489</v>
      </c>
      <c r="E1409" s="25" t="s">
        <v>128</v>
      </c>
      <c r="F1409" s="25" t="s">
        <v>18</v>
      </c>
      <c r="G1409" s="25" t="s">
        <v>19</v>
      </c>
      <c r="H1409" s="76" t="s">
        <v>4351</v>
      </c>
      <c r="I1409" s="76" t="s">
        <v>6490</v>
      </c>
      <c r="J1409" s="76">
        <v>3.0</v>
      </c>
      <c r="K1409" s="46">
        <f>1800000*3</f>
        <v>5400000</v>
      </c>
      <c r="L1409" s="76" t="s">
        <v>4896</v>
      </c>
      <c r="M1409" s="44">
        <v>7.0</v>
      </c>
      <c r="N1409" s="45"/>
      <c r="O1409" s="20"/>
      <c r="P1409" s="20"/>
      <c r="Q1409" s="20"/>
      <c r="R1409" s="20"/>
      <c r="S1409" s="20"/>
    </row>
    <row r="1410">
      <c r="A1410" s="49" t="s">
        <v>6491</v>
      </c>
      <c r="B1410" s="110">
        <v>46161.0</v>
      </c>
      <c r="C1410" s="49" t="s">
        <v>6492</v>
      </c>
      <c r="D1410" s="102" t="s">
        <v>6493</v>
      </c>
      <c r="E1410" s="25" t="s">
        <v>122</v>
      </c>
      <c r="F1410" s="25" t="s">
        <v>983</v>
      </c>
      <c r="G1410" s="25" t="s">
        <v>42</v>
      </c>
      <c r="H1410" s="49" t="s">
        <v>6494</v>
      </c>
      <c r="I1410" s="135">
        <v>46161.0</v>
      </c>
      <c r="J1410" s="49">
        <v>1.0</v>
      </c>
      <c r="K1410" s="30"/>
      <c r="L1410" s="49" t="s">
        <v>6495</v>
      </c>
      <c r="M1410" s="50">
        <v>8.0</v>
      </c>
      <c r="N1410" s="51"/>
      <c r="O1410" s="20"/>
      <c r="P1410" s="20"/>
      <c r="Q1410" s="20"/>
      <c r="R1410" s="20"/>
      <c r="S1410" s="20"/>
    </row>
    <row r="1411">
      <c r="A1411" s="76" t="s">
        <v>6496</v>
      </c>
      <c r="B1411" s="97">
        <v>46163.0</v>
      </c>
      <c r="C1411" s="76" t="s">
        <v>6497</v>
      </c>
      <c r="D1411" s="99" t="s">
        <v>6498</v>
      </c>
      <c r="E1411" s="25" t="s">
        <v>17</v>
      </c>
      <c r="F1411" s="25" t="s">
        <v>983</v>
      </c>
      <c r="G1411" s="25" t="s">
        <v>42</v>
      </c>
      <c r="H1411" s="10"/>
      <c r="I1411" s="10"/>
      <c r="J1411" s="10"/>
      <c r="K1411" s="46"/>
      <c r="L1411" s="76" t="s">
        <v>4347</v>
      </c>
      <c r="M1411" s="44">
        <v>8.0</v>
      </c>
      <c r="N1411" s="45"/>
      <c r="O1411" s="20"/>
      <c r="P1411" s="20"/>
      <c r="Q1411" s="20"/>
      <c r="R1411" s="20"/>
      <c r="S1411" s="20"/>
    </row>
    <row r="1412">
      <c r="A1412" s="49" t="s">
        <v>6499</v>
      </c>
      <c r="B1412" s="110">
        <v>46164.0</v>
      </c>
      <c r="C1412" s="49" t="s">
        <v>6500</v>
      </c>
      <c r="D1412" s="102" t="s">
        <v>6501</v>
      </c>
      <c r="E1412" s="25" t="s">
        <v>122</v>
      </c>
      <c r="F1412" s="25" t="s">
        <v>983</v>
      </c>
      <c r="G1412" s="25" t="s">
        <v>29</v>
      </c>
      <c r="H1412" s="23"/>
      <c r="I1412" s="23"/>
      <c r="J1412" s="23"/>
      <c r="K1412" s="30"/>
      <c r="L1412" s="49" t="s">
        <v>6502</v>
      </c>
      <c r="M1412" s="50">
        <v>1.0</v>
      </c>
      <c r="N1412" s="51"/>
      <c r="O1412" s="20"/>
      <c r="P1412" s="20"/>
      <c r="Q1412" s="20"/>
      <c r="R1412" s="20"/>
      <c r="S1412" s="20"/>
    </row>
    <row r="1413">
      <c r="A1413" s="76" t="s">
        <v>6503</v>
      </c>
      <c r="B1413" s="97">
        <v>46164.0</v>
      </c>
      <c r="C1413" s="76" t="s">
        <v>6504</v>
      </c>
      <c r="D1413" s="99" t="s">
        <v>6505</v>
      </c>
      <c r="E1413" s="25" t="s">
        <v>122</v>
      </c>
      <c r="F1413" s="25" t="s">
        <v>983</v>
      </c>
      <c r="G1413" s="25" t="s">
        <v>34</v>
      </c>
      <c r="H1413" s="76" t="s">
        <v>5927</v>
      </c>
      <c r="I1413" s="118">
        <v>46204.0</v>
      </c>
      <c r="J1413" s="76">
        <v>2.0</v>
      </c>
      <c r="K1413" s="46">
        <f>775000*2</f>
        <v>1550000</v>
      </c>
      <c r="L1413" s="76" t="s">
        <v>6506</v>
      </c>
      <c r="M1413" s="44">
        <v>2.0</v>
      </c>
      <c r="N1413" s="45"/>
      <c r="O1413" s="20"/>
      <c r="P1413" s="20"/>
      <c r="Q1413" s="20"/>
      <c r="R1413" s="20"/>
      <c r="S1413" s="20"/>
    </row>
    <row r="1414">
      <c r="A1414" s="49" t="s">
        <v>6507</v>
      </c>
      <c r="B1414" s="110">
        <v>46164.0</v>
      </c>
      <c r="C1414" s="49" t="s">
        <v>6508</v>
      </c>
      <c r="D1414" s="102" t="s">
        <v>6509</v>
      </c>
      <c r="E1414" s="25" t="s">
        <v>128</v>
      </c>
      <c r="F1414" s="25" t="s">
        <v>983</v>
      </c>
      <c r="G1414" s="25" t="s">
        <v>42</v>
      </c>
      <c r="H1414" s="49" t="s">
        <v>6510</v>
      </c>
      <c r="I1414" s="101">
        <v>46170.0</v>
      </c>
      <c r="J1414" s="49">
        <v>7.0</v>
      </c>
      <c r="K1414" s="30">
        <f>336000*7</f>
        <v>2352000</v>
      </c>
      <c r="L1414" s="49" t="s">
        <v>174</v>
      </c>
      <c r="M1414" s="50">
        <v>8.0</v>
      </c>
      <c r="N1414" s="51"/>
      <c r="O1414" s="20"/>
      <c r="P1414" s="20"/>
      <c r="Q1414" s="20"/>
      <c r="R1414" s="20"/>
      <c r="S1414" s="20"/>
    </row>
    <row r="1415">
      <c r="A1415" s="76" t="s">
        <v>6511</v>
      </c>
      <c r="B1415" s="97">
        <v>46166.0</v>
      </c>
      <c r="C1415" s="76" t="s">
        <v>6512</v>
      </c>
      <c r="D1415" s="99" t="s">
        <v>6513</v>
      </c>
      <c r="E1415" s="25" t="s">
        <v>122</v>
      </c>
      <c r="F1415" s="25" t="s">
        <v>983</v>
      </c>
      <c r="G1415" s="25" t="s">
        <v>42</v>
      </c>
      <c r="H1415" s="76" t="s">
        <v>6514</v>
      </c>
      <c r="I1415" s="10"/>
      <c r="J1415" s="10"/>
      <c r="K1415" s="19">
        <v>2500000.0</v>
      </c>
      <c r="L1415" s="76" t="s">
        <v>4347</v>
      </c>
      <c r="M1415" s="44">
        <v>8.0</v>
      </c>
      <c r="N1415" s="45"/>
      <c r="O1415" s="20"/>
      <c r="P1415" s="20"/>
      <c r="Q1415" s="20"/>
      <c r="R1415" s="20"/>
      <c r="S1415" s="20"/>
    </row>
    <row r="1416">
      <c r="A1416" s="49" t="s">
        <v>6515</v>
      </c>
      <c r="B1416" s="110">
        <v>46167.0</v>
      </c>
      <c r="C1416" s="49" t="s">
        <v>6516</v>
      </c>
      <c r="D1416" s="102" t="s">
        <v>6517</v>
      </c>
      <c r="E1416" s="25" t="s">
        <v>122</v>
      </c>
      <c r="F1416" s="25" t="s">
        <v>983</v>
      </c>
      <c r="G1416" s="25" t="s">
        <v>42</v>
      </c>
      <c r="H1416" s="49" t="s">
        <v>3210</v>
      </c>
      <c r="I1416" s="101">
        <v>46170.0</v>
      </c>
      <c r="J1416" s="49">
        <v>2.0</v>
      </c>
      <c r="K1416" s="30">
        <f>1392000*2</f>
        <v>2784000</v>
      </c>
      <c r="L1416" s="49" t="s">
        <v>174</v>
      </c>
      <c r="M1416" s="50">
        <v>8.0</v>
      </c>
      <c r="N1416" s="51"/>
      <c r="O1416" s="20"/>
      <c r="P1416" s="20"/>
      <c r="Q1416" s="20"/>
      <c r="R1416" s="20"/>
      <c r="S1416" s="20"/>
    </row>
    <row r="1417">
      <c r="A1417" s="76" t="s">
        <v>6518</v>
      </c>
      <c r="B1417" s="97">
        <v>46166.0</v>
      </c>
      <c r="C1417" s="76" t="s">
        <v>6519</v>
      </c>
      <c r="D1417" s="99" t="s">
        <v>6520</v>
      </c>
      <c r="E1417" s="25" t="s">
        <v>122</v>
      </c>
      <c r="F1417" s="25" t="s">
        <v>983</v>
      </c>
      <c r="G1417" s="25" t="s">
        <v>34</v>
      </c>
      <c r="H1417" s="76" t="s">
        <v>2462</v>
      </c>
      <c r="I1417" s="153">
        <v>46661.0</v>
      </c>
      <c r="J1417" s="76">
        <v>48.0</v>
      </c>
      <c r="K1417" s="46">
        <f>1850000*48</f>
        <v>88800000</v>
      </c>
      <c r="L1417" s="76" t="s">
        <v>6521</v>
      </c>
      <c r="M1417" s="44">
        <v>2.0</v>
      </c>
      <c r="N1417" s="45"/>
      <c r="O1417" s="20"/>
      <c r="P1417" s="20"/>
      <c r="Q1417" s="20"/>
      <c r="R1417" s="20"/>
      <c r="S1417" s="20"/>
    </row>
    <row r="1418">
      <c r="A1418" s="49" t="s">
        <v>6522</v>
      </c>
      <c r="B1418" s="110">
        <v>46167.0</v>
      </c>
      <c r="C1418" s="49" t="s">
        <v>6523</v>
      </c>
      <c r="D1418" s="102" t="s">
        <v>6524</v>
      </c>
      <c r="E1418" s="25" t="s">
        <v>122</v>
      </c>
      <c r="F1418" s="25" t="s">
        <v>983</v>
      </c>
      <c r="G1418" s="25" t="s">
        <v>34</v>
      </c>
      <c r="H1418" s="49" t="s">
        <v>4074</v>
      </c>
      <c r="I1418" s="49" t="s">
        <v>6525</v>
      </c>
      <c r="J1418" s="49">
        <v>5.0</v>
      </c>
      <c r="K1418" s="30">
        <f>2250000*5</f>
        <v>11250000</v>
      </c>
      <c r="L1418" s="49" t="s">
        <v>4517</v>
      </c>
      <c r="M1418" s="50">
        <v>2.0</v>
      </c>
      <c r="N1418" s="51"/>
      <c r="O1418" s="20"/>
      <c r="P1418" s="20"/>
      <c r="Q1418" s="20"/>
      <c r="R1418" s="20"/>
      <c r="S1418" s="20"/>
    </row>
    <row r="1419">
      <c r="A1419" s="76" t="s">
        <v>6526</v>
      </c>
      <c r="B1419" s="97">
        <v>46167.0</v>
      </c>
      <c r="C1419" s="76" t="s">
        <v>6527</v>
      </c>
      <c r="D1419" s="99" t="s">
        <v>6528</v>
      </c>
      <c r="E1419" s="25" t="s">
        <v>122</v>
      </c>
      <c r="F1419" s="25" t="s">
        <v>983</v>
      </c>
      <c r="G1419" s="25" t="s">
        <v>42</v>
      </c>
      <c r="H1419" s="76" t="s">
        <v>6529</v>
      </c>
      <c r="I1419" s="144">
        <v>46169.0</v>
      </c>
      <c r="J1419" s="76">
        <v>30.0</v>
      </c>
      <c r="K1419" s="46"/>
      <c r="L1419" s="76" t="s">
        <v>6530</v>
      </c>
      <c r="M1419" s="44">
        <v>8.0</v>
      </c>
      <c r="N1419" s="45"/>
      <c r="O1419" s="20"/>
      <c r="P1419" s="20"/>
      <c r="Q1419" s="20"/>
      <c r="R1419" s="20"/>
      <c r="S1419" s="20"/>
    </row>
    <row r="1420">
      <c r="A1420" s="49" t="s">
        <v>6531</v>
      </c>
      <c r="B1420" s="110">
        <v>46167.0</v>
      </c>
      <c r="C1420" s="49" t="s">
        <v>6532</v>
      </c>
      <c r="D1420" s="102" t="s">
        <v>6533</v>
      </c>
      <c r="E1420" s="25" t="s">
        <v>17</v>
      </c>
      <c r="F1420" s="25" t="s">
        <v>129</v>
      </c>
      <c r="G1420" s="25" t="s">
        <v>42</v>
      </c>
      <c r="H1420" s="49" t="s">
        <v>5516</v>
      </c>
      <c r="I1420" s="101">
        <v>46172.0</v>
      </c>
      <c r="J1420" s="49">
        <v>1.0</v>
      </c>
      <c r="K1420" s="30"/>
      <c r="L1420" s="49" t="s">
        <v>6534</v>
      </c>
      <c r="M1420" s="50">
        <v>8.0</v>
      </c>
      <c r="N1420" s="51"/>
      <c r="O1420" s="20"/>
      <c r="P1420" s="20"/>
      <c r="Q1420" s="20"/>
      <c r="R1420" s="20"/>
      <c r="S1420" s="20"/>
    </row>
    <row r="1421">
      <c r="A1421" s="76" t="s">
        <v>6535</v>
      </c>
      <c r="B1421" s="97">
        <v>46167.0</v>
      </c>
      <c r="C1421" s="76" t="s">
        <v>6536</v>
      </c>
      <c r="D1421" s="99" t="s">
        <v>6537</v>
      </c>
      <c r="E1421" s="25" t="s">
        <v>128</v>
      </c>
      <c r="F1421" s="25" t="s">
        <v>129</v>
      </c>
      <c r="G1421" s="25" t="s">
        <v>19</v>
      </c>
      <c r="H1421" s="76" t="s">
        <v>5566</v>
      </c>
      <c r="I1421" s="118">
        <v>46171.0</v>
      </c>
      <c r="J1421" s="76">
        <v>2.0</v>
      </c>
      <c r="K1421" s="46">
        <f>SUM(550000*2)</f>
        <v>1100000</v>
      </c>
      <c r="L1421" s="76" t="s">
        <v>6194</v>
      </c>
      <c r="M1421" s="44">
        <v>7.0</v>
      </c>
      <c r="N1421" s="45"/>
      <c r="O1421" s="20"/>
      <c r="P1421" s="20"/>
      <c r="Q1421" s="20"/>
      <c r="R1421" s="20"/>
      <c r="S1421" s="20"/>
    </row>
    <row r="1422">
      <c r="A1422" s="49" t="s">
        <v>6538</v>
      </c>
      <c r="B1422" s="110">
        <v>46167.0</v>
      </c>
      <c r="C1422" s="49" t="s">
        <v>6539</v>
      </c>
      <c r="D1422" s="102" t="s">
        <v>6540</v>
      </c>
      <c r="E1422" s="25" t="s">
        <v>128</v>
      </c>
      <c r="F1422" s="25" t="s">
        <v>129</v>
      </c>
      <c r="G1422" s="25" t="s">
        <v>42</v>
      </c>
      <c r="H1422" s="76" t="s">
        <v>5566</v>
      </c>
      <c r="I1422" s="101">
        <v>46171.0</v>
      </c>
      <c r="J1422" s="49">
        <v>2.0</v>
      </c>
      <c r="K1422" s="30"/>
      <c r="L1422" s="49" t="s">
        <v>6541</v>
      </c>
      <c r="M1422" s="50">
        <v>8.0</v>
      </c>
      <c r="N1422" s="51"/>
      <c r="O1422" s="20"/>
      <c r="P1422" s="20"/>
      <c r="Q1422" s="20"/>
      <c r="R1422" s="20"/>
      <c r="S1422" s="20"/>
    </row>
    <row r="1423">
      <c r="A1423" s="76" t="s">
        <v>6542</v>
      </c>
      <c r="B1423" s="97">
        <v>46167.0</v>
      </c>
      <c r="C1423" s="76" t="s">
        <v>6543</v>
      </c>
      <c r="D1423" s="99" t="s">
        <v>6544</v>
      </c>
      <c r="E1423" s="25" t="s">
        <v>128</v>
      </c>
      <c r="F1423" s="25" t="s">
        <v>129</v>
      </c>
      <c r="G1423" s="25" t="s">
        <v>29</v>
      </c>
      <c r="H1423" s="76" t="s">
        <v>4064</v>
      </c>
      <c r="I1423" s="10"/>
      <c r="J1423" s="76">
        <v>2.0</v>
      </c>
      <c r="K1423" s="46"/>
      <c r="L1423" s="76" t="s">
        <v>6545</v>
      </c>
      <c r="M1423" s="44">
        <v>1.0</v>
      </c>
      <c r="N1423" s="45"/>
      <c r="O1423" s="20"/>
      <c r="P1423" s="20"/>
      <c r="Q1423" s="20"/>
      <c r="R1423" s="20"/>
      <c r="S1423" s="20"/>
    </row>
    <row r="1424">
      <c r="A1424" s="49" t="s">
        <v>6546</v>
      </c>
      <c r="B1424" s="110">
        <v>46167.0</v>
      </c>
      <c r="C1424" s="49" t="s">
        <v>6547</v>
      </c>
      <c r="D1424" s="102" t="s">
        <v>6548</v>
      </c>
      <c r="E1424" s="25" t="s">
        <v>17</v>
      </c>
      <c r="F1424" s="25" t="s">
        <v>129</v>
      </c>
      <c r="G1424" s="25" t="s">
        <v>29</v>
      </c>
      <c r="H1424" s="49" t="s">
        <v>213</v>
      </c>
      <c r="I1424" s="23"/>
      <c r="J1424" s="49">
        <v>2.0</v>
      </c>
      <c r="K1424" s="30"/>
      <c r="L1424" s="49" t="s">
        <v>6549</v>
      </c>
      <c r="M1424" s="50">
        <v>1.0</v>
      </c>
      <c r="N1424" s="51"/>
      <c r="O1424" s="20"/>
      <c r="P1424" s="20"/>
      <c r="Q1424" s="20"/>
      <c r="R1424" s="20"/>
      <c r="S1424" s="20"/>
    </row>
    <row r="1425">
      <c r="A1425" s="76" t="s">
        <v>6550</v>
      </c>
      <c r="B1425" s="97">
        <v>46167.0</v>
      </c>
      <c r="C1425" s="76" t="s">
        <v>6551</v>
      </c>
      <c r="D1425" s="99" t="s">
        <v>6552</v>
      </c>
      <c r="E1425" s="25" t="s">
        <v>128</v>
      </c>
      <c r="F1425" s="25" t="s">
        <v>129</v>
      </c>
      <c r="G1425" s="25" t="s">
        <v>42</v>
      </c>
      <c r="H1425" s="76" t="s">
        <v>637</v>
      </c>
      <c r="I1425" s="118">
        <v>46175.0</v>
      </c>
      <c r="J1425" s="76">
        <v>2.0</v>
      </c>
      <c r="K1425" s="46"/>
      <c r="L1425" s="76" t="s">
        <v>6553</v>
      </c>
      <c r="M1425" s="44">
        <v>8.0</v>
      </c>
      <c r="N1425" s="45"/>
      <c r="O1425" s="20"/>
      <c r="P1425" s="20"/>
      <c r="Q1425" s="20"/>
      <c r="R1425" s="20"/>
      <c r="S1425" s="20"/>
    </row>
    <row r="1426">
      <c r="A1426" s="49" t="s">
        <v>6554</v>
      </c>
      <c r="B1426" s="110">
        <v>46167.0</v>
      </c>
      <c r="C1426" s="49" t="s">
        <v>6555</v>
      </c>
      <c r="D1426" s="102" t="s">
        <v>6556</v>
      </c>
      <c r="E1426" s="25" t="s">
        <v>128</v>
      </c>
      <c r="F1426" s="25" t="s">
        <v>129</v>
      </c>
      <c r="G1426" s="25" t="s">
        <v>29</v>
      </c>
      <c r="H1426" s="49" t="s">
        <v>116</v>
      </c>
      <c r="I1426" s="23"/>
      <c r="J1426" s="23"/>
      <c r="K1426" s="30"/>
      <c r="L1426" s="49" t="s">
        <v>6557</v>
      </c>
      <c r="M1426" s="50">
        <v>1.0</v>
      </c>
      <c r="N1426" s="51"/>
      <c r="O1426" s="20"/>
      <c r="P1426" s="20"/>
      <c r="Q1426" s="20"/>
      <c r="R1426" s="20"/>
      <c r="S1426" s="20"/>
    </row>
    <row r="1427">
      <c r="A1427" s="76" t="s">
        <v>6558</v>
      </c>
      <c r="B1427" s="97">
        <v>46167.0</v>
      </c>
      <c r="C1427" s="76" t="s">
        <v>6559</v>
      </c>
      <c r="D1427" s="99" t="s">
        <v>6560</v>
      </c>
      <c r="E1427" s="25" t="s">
        <v>128</v>
      </c>
      <c r="F1427" s="25" t="s">
        <v>129</v>
      </c>
      <c r="G1427" s="25" t="s">
        <v>42</v>
      </c>
      <c r="H1427" s="76" t="s">
        <v>637</v>
      </c>
      <c r="I1427" s="76" t="s">
        <v>6561</v>
      </c>
      <c r="J1427" s="129">
        <v>46146.0</v>
      </c>
      <c r="K1427" s="46"/>
      <c r="L1427" s="76" t="s">
        <v>6562</v>
      </c>
      <c r="M1427" s="44">
        <v>8.0</v>
      </c>
      <c r="N1427" s="45"/>
      <c r="O1427" s="20"/>
      <c r="P1427" s="20"/>
      <c r="Q1427" s="20"/>
      <c r="R1427" s="20"/>
      <c r="S1427" s="20"/>
    </row>
    <row r="1428">
      <c r="A1428" s="49" t="s">
        <v>6563</v>
      </c>
      <c r="B1428" s="110">
        <v>46168.0</v>
      </c>
      <c r="C1428" s="49" t="s">
        <v>6564</v>
      </c>
      <c r="D1428" s="102" t="s">
        <v>6565</v>
      </c>
      <c r="E1428" s="25" t="s">
        <v>128</v>
      </c>
      <c r="F1428" s="25" t="s">
        <v>129</v>
      </c>
      <c r="G1428" s="25" t="s">
        <v>42</v>
      </c>
      <c r="H1428" s="49" t="s">
        <v>6566</v>
      </c>
      <c r="I1428" s="101">
        <v>46170.0</v>
      </c>
      <c r="J1428" s="49">
        <v>1.0</v>
      </c>
      <c r="K1428" s="30"/>
      <c r="L1428" s="49" t="s">
        <v>6567</v>
      </c>
      <c r="M1428" s="50">
        <v>8.0</v>
      </c>
      <c r="N1428" s="51"/>
      <c r="O1428" s="20"/>
      <c r="P1428" s="20"/>
      <c r="Q1428" s="20"/>
      <c r="R1428" s="20"/>
      <c r="S1428" s="20"/>
    </row>
    <row r="1429">
      <c r="A1429" s="76" t="s">
        <v>6568</v>
      </c>
      <c r="B1429" s="97">
        <v>46168.0</v>
      </c>
      <c r="C1429" s="76" t="s">
        <v>6569</v>
      </c>
      <c r="D1429" s="99" t="s">
        <v>6570</v>
      </c>
      <c r="E1429" s="25" t="s">
        <v>17</v>
      </c>
      <c r="F1429" s="25" t="s">
        <v>129</v>
      </c>
      <c r="G1429" s="25" t="s">
        <v>42</v>
      </c>
      <c r="H1429" s="76" t="s">
        <v>637</v>
      </c>
      <c r="I1429" s="118">
        <v>46171.0</v>
      </c>
      <c r="J1429" s="76">
        <v>1.0</v>
      </c>
      <c r="K1429" s="46"/>
      <c r="L1429" s="10"/>
      <c r="M1429" s="44">
        <v>8.0</v>
      </c>
      <c r="N1429" s="45"/>
      <c r="O1429" s="20"/>
      <c r="P1429" s="20"/>
      <c r="Q1429" s="20"/>
      <c r="R1429" s="20"/>
      <c r="S1429" s="20"/>
    </row>
    <row r="1430">
      <c r="A1430" s="49" t="s">
        <v>6571</v>
      </c>
      <c r="B1430" s="110">
        <v>46167.0</v>
      </c>
      <c r="C1430" s="49" t="s">
        <v>6572</v>
      </c>
      <c r="D1430" s="102" t="s">
        <v>6573</v>
      </c>
      <c r="E1430" s="25" t="s">
        <v>17</v>
      </c>
      <c r="F1430" s="25" t="s">
        <v>18</v>
      </c>
      <c r="G1430" s="25" t="s">
        <v>19</v>
      </c>
      <c r="H1430" s="49" t="s">
        <v>2105</v>
      </c>
      <c r="I1430" s="49" t="s">
        <v>2578</v>
      </c>
      <c r="J1430" s="49">
        <v>1.0</v>
      </c>
      <c r="K1430" s="30">
        <f>3680000+400000</f>
        <v>4080000</v>
      </c>
      <c r="L1430" s="49" t="s">
        <v>1803</v>
      </c>
      <c r="M1430" s="50">
        <v>7.0</v>
      </c>
      <c r="N1430" s="51"/>
      <c r="O1430" s="20"/>
      <c r="P1430" s="20"/>
      <c r="Q1430" s="20"/>
      <c r="R1430" s="20"/>
      <c r="S1430" s="20"/>
    </row>
    <row r="1431">
      <c r="A1431" s="76" t="s">
        <v>6574</v>
      </c>
      <c r="B1431" s="97">
        <v>46168.0</v>
      </c>
      <c r="C1431" s="76" t="s">
        <v>6575</v>
      </c>
      <c r="D1431" s="99" t="s">
        <v>6576</v>
      </c>
      <c r="E1431" s="25" t="s">
        <v>17</v>
      </c>
      <c r="F1431" s="25" t="s">
        <v>983</v>
      </c>
      <c r="G1431" s="25" t="s">
        <v>42</v>
      </c>
      <c r="H1431" s="76" t="s">
        <v>3210</v>
      </c>
      <c r="I1431" s="76" t="s">
        <v>6305</v>
      </c>
      <c r="J1431" s="76">
        <v>5.0</v>
      </c>
      <c r="K1431" s="46">
        <f>1084000*5</f>
        <v>5420000</v>
      </c>
      <c r="L1431" s="76" t="s">
        <v>6577</v>
      </c>
      <c r="M1431" s="44">
        <v>8.0</v>
      </c>
      <c r="N1431" s="45"/>
      <c r="O1431" s="20"/>
      <c r="P1431" s="20"/>
      <c r="Q1431" s="20"/>
      <c r="R1431" s="20"/>
      <c r="S1431" s="20"/>
    </row>
    <row r="1432">
      <c r="A1432" s="49" t="s">
        <v>6578</v>
      </c>
      <c r="B1432" s="110">
        <v>46168.0</v>
      </c>
      <c r="C1432" s="49" t="s">
        <v>6579</v>
      </c>
      <c r="D1432" s="102" t="s">
        <v>6580</v>
      </c>
      <c r="E1432" s="25" t="s">
        <v>122</v>
      </c>
      <c r="F1432" s="25" t="s">
        <v>983</v>
      </c>
      <c r="G1432" s="25" t="s">
        <v>42</v>
      </c>
      <c r="H1432" s="23"/>
      <c r="I1432" s="49" t="s">
        <v>5179</v>
      </c>
      <c r="J1432" s="49">
        <v>3.0</v>
      </c>
      <c r="K1432" s="30"/>
      <c r="L1432" s="49" t="s">
        <v>6581</v>
      </c>
      <c r="M1432" s="50">
        <v>8.0</v>
      </c>
      <c r="N1432" s="51"/>
      <c r="O1432" s="20"/>
      <c r="P1432" s="20"/>
      <c r="Q1432" s="20"/>
      <c r="R1432" s="20"/>
      <c r="S1432" s="20"/>
    </row>
    <row r="1433">
      <c r="A1433" s="76" t="s">
        <v>6582</v>
      </c>
      <c r="B1433" s="97">
        <v>46168.0</v>
      </c>
      <c r="C1433" s="76" t="s">
        <v>6583</v>
      </c>
      <c r="D1433" s="99" t="s">
        <v>6584</v>
      </c>
      <c r="E1433" s="25" t="s">
        <v>122</v>
      </c>
      <c r="F1433" s="25" t="s">
        <v>983</v>
      </c>
      <c r="G1433" s="25" t="s">
        <v>42</v>
      </c>
      <c r="H1433" s="76" t="s">
        <v>3210</v>
      </c>
      <c r="I1433" s="118">
        <v>46203.0</v>
      </c>
      <c r="J1433" s="76">
        <v>2.0</v>
      </c>
      <c r="K1433" s="46">
        <f>1182000*2</f>
        <v>2364000</v>
      </c>
      <c r="L1433" s="76" t="s">
        <v>6585</v>
      </c>
      <c r="M1433" s="44">
        <v>8.0</v>
      </c>
      <c r="N1433" s="45"/>
      <c r="O1433" s="20"/>
      <c r="P1433" s="20"/>
      <c r="Q1433" s="20"/>
      <c r="R1433" s="20"/>
      <c r="S1433" s="20"/>
    </row>
    <row r="1434">
      <c r="A1434" s="49" t="s">
        <v>6586</v>
      </c>
      <c r="B1434" s="110">
        <v>46169.0</v>
      </c>
      <c r="C1434" s="49" t="s">
        <v>6587</v>
      </c>
      <c r="D1434" s="102" t="s">
        <v>6588</v>
      </c>
      <c r="E1434" s="25" t="s">
        <v>122</v>
      </c>
      <c r="F1434" s="25" t="s">
        <v>983</v>
      </c>
      <c r="G1434" s="25" t="s">
        <v>42</v>
      </c>
      <c r="H1434" s="23"/>
      <c r="I1434" s="23"/>
      <c r="J1434" s="23"/>
      <c r="K1434" s="30"/>
      <c r="L1434" s="49" t="s">
        <v>6589</v>
      </c>
      <c r="M1434" s="50">
        <v>8.0</v>
      </c>
      <c r="N1434" s="51"/>
      <c r="O1434" s="20"/>
      <c r="P1434" s="20"/>
      <c r="Q1434" s="20"/>
      <c r="R1434" s="20"/>
      <c r="S1434" s="20"/>
    </row>
    <row r="1435">
      <c r="A1435" s="76" t="s">
        <v>6590</v>
      </c>
      <c r="B1435" s="97">
        <v>46167.0</v>
      </c>
      <c r="C1435" s="76" t="s">
        <v>6591</v>
      </c>
      <c r="D1435" s="99" t="s">
        <v>6592</v>
      </c>
      <c r="E1435" s="25" t="s">
        <v>128</v>
      </c>
      <c r="F1435" s="25" t="s">
        <v>129</v>
      </c>
      <c r="G1435" s="25" t="s">
        <v>29</v>
      </c>
      <c r="H1435" s="76" t="s">
        <v>199</v>
      </c>
      <c r="I1435" s="118">
        <v>46209.0</v>
      </c>
      <c r="J1435" s="76">
        <v>2.0</v>
      </c>
      <c r="K1435" s="46"/>
      <c r="L1435" s="76" t="s">
        <v>6593</v>
      </c>
      <c r="M1435" s="44">
        <v>1.0</v>
      </c>
      <c r="N1435" s="45"/>
      <c r="O1435" s="20"/>
      <c r="P1435" s="20"/>
      <c r="Q1435" s="20"/>
      <c r="R1435" s="20"/>
      <c r="S1435" s="20"/>
    </row>
    <row r="1436">
      <c r="A1436" s="49" t="s">
        <v>6594</v>
      </c>
      <c r="B1436" s="110">
        <v>46168.0</v>
      </c>
      <c r="C1436" s="49" t="s">
        <v>6595</v>
      </c>
      <c r="D1436" s="102" t="s">
        <v>6596</v>
      </c>
      <c r="E1436" s="25" t="s">
        <v>122</v>
      </c>
      <c r="F1436" s="25" t="s">
        <v>129</v>
      </c>
      <c r="G1436" s="25" t="s">
        <v>42</v>
      </c>
      <c r="H1436" s="76" t="s">
        <v>637</v>
      </c>
      <c r="I1436" s="23"/>
      <c r="J1436" s="49">
        <v>3.0</v>
      </c>
      <c r="K1436" s="30"/>
      <c r="L1436" s="49" t="s">
        <v>6597</v>
      </c>
      <c r="M1436" s="50">
        <v>8.0</v>
      </c>
      <c r="N1436" s="51"/>
      <c r="O1436" s="20"/>
      <c r="P1436" s="20"/>
      <c r="Q1436" s="20"/>
      <c r="R1436" s="20"/>
      <c r="S1436" s="20"/>
    </row>
    <row r="1437">
      <c r="A1437" s="76" t="s">
        <v>6598</v>
      </c>
      <c r="B1437" s="97">
        <v>46168.0</v>
      </c>
      <c r="C1437" s="76" t="s">
        <v>6599</v>
      </c>
      <c r="D1437" s="99" t="s">
        <v>6600</v>
      </c>
      <c r="E1437" s="25" t="s">
        <v>1877</v>
      </c>
      <c r="F1437" s="25" t="s">
        <v>129</v>
      </c>
      <c r="G1437" s="25" t="s">
        <v>29</v>
      </c>
      <c r="H1437" s="10"/>
      <c r="I1437" s="10"/>
      <c r="J1437" s="76">
        <v>1.0</v>
      </c>
      <c r="K1437" s="46"/>
      <c r="L1437" s="76" t="s">
        <v>6601</v>
      </c>
      <c r="M1437" s="44">
        <v>1.0</v>
      </c>
      <c r="N1437" s="45"/>
      <c r="O1437" s="20"/>
      <c r="P1437" s="20"/>
      <c r="Q1437" s="20"/>
      <c r="R1437" s="20"/>
      <c r="S1437" s="20"/>
    </row>
    <row r="1438">
      <c r="A1438" s="76" t="s">
        <v>6602</v>
      </c>
      <c r="B1438" s="110">
        <v>46167.0</v>
      </c>
      <c r="C1438" s="49" t="s">
        <v>6603</v>
      </c>
      <c r="D1438" s="102" t="s">
        <v>6580</v>
      </c>
      <c r="E1438" s="25" t="s">
        <v>128</v>
      </c>
      <c r="F1438" s="25" t="s">
        <v>129</v>
      </c>
      <c r="G1438" s="25" t="s">
        <v>42</v>
      </c>
      <c r="H1438" s="23"/>
      <c r="I1438" s="23"/>
      <c r="J1438" s="23"/>
      <c r="K1438" s="30"/>
      <c r="L1438" s="49" t="s">
        <v>6604</v>
      </c>
      <c r="M1438" s="50">
        <v>8.0</v>
      </c>
      <c r="N1438" s="51"/>
      <c r="O1438" s="20"/>
      <c r="P1438" s="20"/>
      <c r="Q1438" s="20"/>
      <c r="R1438" s="20"/>
      <c r="S1438" s="20"/>
    </row>
    <row r="1439">
      <c r="A1439" s="76" t="s">
        <v>6605</v>
      </c>
      <c r="B1439" s="97">
        <v>46168.0</v>
      </c>
      <c r="C1439" s="76" t="s">
        <v>6606</v>
      </c>
      <c r="D1439" s="99" t="s">
        <v>6607</v>
      </c>
      <c r="E1439" s="25" t="s">
        <v>128</v>
      </c>
      <c r="F1439" s="25" t="s">
        <v>129</v>
      </c>
      <c r="G1439" s="25" t="s">
        <v>42</v>
      </c>
      <c r="H1439" s="76" t="s">
        <v>6608</v>
      </c>
      <c r="I1439" s="118">
        <v>46173.0</v>
      </c>
      <c r="J1439" s="76">
        <v>1.0</v>
      </c>
      <c r="K1439" s="46"/>
      <c r="L1439" s="76" t="s">
        <v>6609</v>
      </c>
      <c r="M1439" s="44">
        <v>8.0</v>
      </c>
      <c r="N1439" s="45"/>
      <c r="O1439" s="20"/>
      <c r="P1439" s="20"/>
      <c r="Q1439" s="20"/>
      <c r="R1439" s="20"/>
      <c r="S1439" s="20"/>
    </row>
    <row r="1440">
      <c r="A1440" s="49" t="s">
        <v>6610</v>
      </c>
      <c r="B1440" s="110">
        <v>46168.0</v>
      </c>
      <c r="C1440" s="49" t="s">
        <v>6611</v>
      </c>
      <c r="D1440" s="102" t="s">
        <v>6612</v>
      </c>
      <c r="E1440" s="25" t="s">
        <v>17</v>
      </c>
      <c r="F1440" s="25" t="s">
        <v>129</v>
      </c>
      <c r="G1440" s="25" t="s">
        <v>29</v>
      </c>
      <c r="H1440" s="49" t="s">
        <v>3175</v>
      </c>
      <c r="I1440" s="122">
        <v>46388.0</v>
      </c>
      <c r="J1440" s="49">
        <v>8.0</v>
      </c>
      <c r="K1440" s="30"/>
      <c r="L1440" s="49" t="s">
        <v>2232</v>
      </c>
      <c r="M1440" s="50">
        <v>1.0</v>
      </c>
      <c r="N1440" s="51"/>
      <c r="O1440" s="20"/>
      <c r="P1440" s="20"/>
      <c r="Q1440" s="20"/>
      <c r="R1440" s="20"/>
      <c r="S1440" s="20"/>
    </row>
    <row r="1441">
      <c r="A1441" s="76" t="s">
        <v>6613</v>
      </c>
      <c r="B1441" s="97">
        <v>46168.0</v>
      </c>
      <c r="C1441" s="76" t="s">
        <v>6575</v>
      </c>
      <c r="D1441" s="99" t="s">
        <v>6576</v>
      </c>
      <c r="E1441" s="25" t="s">
        <v>17</v>
      </c>
      <c r="F1441" s="25" t="s">
        <v>129</v>
      </c>
      <c r="G1441" s="25" t="s">
        <v>42</v>
      </c>
      <c r="H1441" s="76" t="s">
        <v>3210</v>
      </c>
      <c r="I1441" s="118">
        <v>46171.0</v>
      </c>
      <c r="J1441" s="76">
        <v>5.0</v>
      </c>
      <c r="K1441" s="46"/>
      <c r="L1441" s="76" t="s">
        <v>5374</v>
      </c>
      <c r="M1441" s="44">
        <v>8.0</v>
      </c>
      <c r="N1441" s="45"/>
      <c r="O1441" s="20"/>
      <c r="P1441" s="20"/>
      <c r="Q1441" s="20"/>
      <c r="R1441" s="20"/>
      <c r="S1441" s="20"/>
    </row>
    <row r="1442">
      <c r="A1442" s="49" t="s">
        <v>6614</v>
      </c>
      <c r="B1442" s="110">
        <v>46168.0</v>
      </c>
      <c r="C1442" s="49" t="s">
        <v>1829</v>
      </c>
      <c r="D1442" s="102" t="s">
        <v>6615</v>
      </c>
      <c r="E1442" s="25" t="s">
        <v>17</v>
      </c>
      <c r="F1442" s="25" t="s">
        <v>129</v>
      </c>
      <c r="G1442" s="25" t="s">
        <v>29</v>
      </c>
      <c r="H1442" s="49" t="s">
        <v>4532</v>
      </c>
      <c r="I1442" s="23"/>
      <c r="J1442" s="49">
        <v>4.0</v>
      </c>
      <c r="K1442" s="30"/>
      <c r="L1442" s="23"/>
      <c r="M1442" s="50">
        <v>1.0</v>
      </c>
      <c r="N1442" s="51"/>
      <c r="O1442" s="20"/>
      <c r="P1442" s="20"/>
      <c r="Q1442" s="20"/>
      <c r="R1442" s="20"/>
      <c r="S1442" s="20"/>
    </row>
    <row r="1443">
      <c r="A1443" s="76" t="s">
        <v>6616</v>
      </c>
      <c r="B1443" s="97">
        <v>46169.0</v>
      </c>
      <c r="C1443" s="76" t="s">
        <v>6617</v>
      </c>
      <c r="D1443" s="99" t="s">
        <v>6618</v>
      </c>
      <c r="E1443" s="25" t="s">
        <v>128</v>
      </c>
      <c r="F1443" s="25" t="s">
        <v>129</v>
      </c>
      <c r="G1443" s="25" t="s">
        <v>29</v>
      </c>
      <c r="H1443" s="76" t="s">
        <v>6619</v>
      </c>
      <c r="I1443" s="76" t="s">
        <v>6620</v>
      </c>
      <c r="J1443" s="76">
        <v>2.0</v>
      </c>
      <c r="K1443" s="46"/>
      <c r="L1443" s="76" t="s">
        <v>1316</v>
      </c>
      <c r="M1443" s="44">
        <v>1.0</v>
      </c>
      <c r="N1443" s="45"/>
      <c r="O1443" s="20"/>
      <c r="P1443" s="20"/>
      <c r="Q1443" s="20"/>
      <c r="R1443" s="20"/>
      <c r="S1443" s="20"/>
    </row>
    <row r="1444">
      <c r="A1444" s="49" t="s">
        <v>6621</v>
      </c>
      <c r="B1444" s="97">
        <v>46169.0</v>
      </c>
      <c r="C1444" s="49" t="s">
        <v>6622</v>
      </c>
      <c r="D1444" s="102" t="s">
        <v>6623</v>
      </c>
      <c r="E1444" s="25" t="s">
        <v>128</v>
      </c>
      <c r="F1444" s="25" t="s">
        <v>129</v>
      </c>
      <c r="G1444" s="25" t="s">
        <v>29</v>
      </c>
      <c r="H1444" s="49" t="s">
        <v>2145</v>
      </c>
      <c r="I1444" s="49" t="s">
        <v>6624</v>
      </c>
      <c r="J1444" s="136">
        <v>46114.0</v>
      </c>
      <c r="K1444" s="30"/>
      <c r="L1444" s="49" t="s">
        <v>6451</v>
      </c>
      <c r="M1444" s="50">
        <v>1.0</v>
      </c>
      <c r="N1444" s="51"/>
      <c r="O1444" s="20"/>
      <c r="P1444" s="20"/>
      <c r="Q1444" s="20"/>
      <c r="R1444" s="20"/>
      <c r="S1444" s="20"/>
    </row>
    <row r="1445">
      <c r="A1445" s="76" t="s">
        <v>6625</v>
      </c>
      <c r="B1445" s="97">
        <v>46169.0</v>
      </c>
      <c r="C1445" s="76" t="s">
        <v>6626</v>
      </c>
      <c r="D1445" s="99" t="s">
        <v>6627</v>
      </c>
      <c r="E1445" s="25" t="s">
        <v>128</v>
      </c>
      <c r="F1445" s="25" t="s">
        <v>129</v>
      </c>
      <c r="G1445" s="25" t="s">
        <v>42</v>
      </c>
      <c r="H1445" s="76" t="s">
        <v>3273</v>
      </c>
      <c r="I1445" s="118">
        <v>46171.0</v>
      </c>
      <c r="J1445" s="76">
        <v>2.0</v>
      </c>
      <c r="K1445" s="46"/>
      <c r="L1445" s="76" t="s">
        <v>6628</v>
      </c>
      <c r="M1445" s="44">
        <v>8.0</v>
      </c>
      <c r="N1445" s="45"/>
      <c r="O1445" s="20"/>
      <c r="P1445" s="20"/>
      <c r="Q1445" s="20"/>
      <c r="R1445" s="20"/>
      <c r="S1445" s="20"/>
    </row>
    <row r="1446">
      <c r="A1446" s="49" t="s">
        <v>6629</v>
      </c>
      <c r="B1446" s="110">
        <v>46169.0</v>
      </c>
      <c r="C1446" s="49" t="s">
        <v>6630</v>
      </c>
      <c r="D1446" s="102" t="s">
        <v>6631</v>
      </c>
      <c r="E1446" s="25" t="s">
        <v>128</v>
      </c>
      <c r="F1446" s="25" t="s">
        <v>129</v>
      </c>
      <c r="G1446" s="25" t="s">
        <v>42</v>
      </c>
      <c r="H1446" s="49" t="s">
        <v>747</v>
      </c>
      <c r="I1446" s="49" t="s">
        <v>6632</v>
      </c>
      <c r="J1446" s="49">
        <v>2.0</v>
      </c>
      <c r="K1446" s="30"/>
      <c r="L1446" s="49" t="s">
        <v>6633</v>
      </c>
      <c r="M1446" s="50">
        <v>8.0</v>
      </c>
      <c r="N1446" s="51"/>
      <c r="O1446" s="20"/>
      <c r="P1446" s="20"/>
      <c r="Q1446" s="20"/>
      <c r="R1446" s="20"/>
      <c r="S1446" s="20"/>
    </row>
    <row r="1447">
      <c r="A1447" s="76" t="s">
        <v>6634</v>
      </c>
      <c r="B1447" s="97">
        <v>46169.0</v>
      </c>
      <c r="C1447" s="76" t="s">
        <v>6178</v>
      </c>
      <c r="D1447" s="99" t="s">
        <v>6635</v>
      </c>
      <c r="E1447" s="25" t="s">
        <v>128</v>
      </c>
      <c r="F1447" s="25" t="s">
        <v>129</v>
      </c>
      <c r="G1447" s="25" t="s">
        <v>42</v>
      </c>
      <c r="H1447" s="49" t="s">
        <v>747</v>
      </c>
      <c r="I1447" s="118">
        <v>46171.0</v>
      </c>
      <c r="J1447" s="76">
        <v>2.0</v>
      </c>
      <c r="K1447" s="46"/>
      <c r="L1447" s="76" t="s">
        <v>5374</v>
      </c>
      <c r="M1447" s="44">
        <v>8.0</v>
      </c>
      <c r="N1447" s="45"/>
      <c r="O1447" s="20"/>
      <c r="P1447" s="20"/>
      <c r="Q1447" s="20"/>
      <c r="R1447" s="20"/>
      <c r="S1447" s="20"/>
    </row>
    <row r="1448">
      <c r="A1448" s="49" t="s">
        <v>6636</v>
      </c>
      <c r="B1448" s="110">
        <v>46170.0</v>
      </c>
      <c r="C1448" s="49" t="s">
        <v>2201</v>
      </c>
      <c r="D1448" s="102" t="s">
        <v>6637</v>
      </c>
      <c r="E1448" s="25" t="s">
        <v>128</v>
      </c>
      <c r="F1448" s="25" t="s">
        <v>129</v>
      </c>
      <c r="G1448" s="25" t="s">
        <v>29</v>
      </c>
      <c r="H1448" s="49" t="s">
        <v>747</v>
      </c>
      <c r="I1448" s="23"/>
      <c r="J1448" s="23"/>
      <c r="K1448" s="30"/>
      <c r="L1448" s="49" t="s">
        <v>6638</v>
      </c>
      <c r="M1448" s="50">
        <v>1.0</v>
      </c>
      <c r="N1448" s="51"/>
      <c r="O1448" s="20"/>
      <c r="P1448" s="20"/>
      <c r="Q1448" s="20"/>
      <c r="R1448" s="20"/>
      <c r="S1448" s="20"/>
    </row>
    <row r="1449">
      <c r="A1449" s="76" t="s">
        <v>6639</v>
      </c>
      <c r="B1449" s="97">
        <v>46170.0</v>
      </c>
      <c r="C1449" s="76" t="s">
        <v>6640</v>
      </c>
      <c r="D1449" s="99" t="s">
        <v>6641</v>
      </c>
      <c r="E1449" s="25" t="s">
        <v>128</v>
      </c>
      <c r="F1449" s="25" t="s">
        <v>129</v>
      </c>
      <c r="G1449" s="25" t="s">
        <v>42</v>
      </c>
      <c r="H1449" s="76" t="s">
        <v>3273</v>
      </c>
      <c r="I1449" s="118">
        <v>46172.0</v>
      </c>
      <c r="J1449" s="76">
        <v>2.0</v>
      </c>
      <c r="K1449" s="46"/>
      <c r="L1449" s="76" t="s">
        <v>6642</v>
      </c>
      <c r="M1449" s="44">
        <v>8.0</v>
      </c>
      <c r="N1449" s="45"/>
      <c r="O1449" s="20"/>
      <c r="P1449" s="20"/>
      <c r="Q1449" s="20"/>
      <c r="R1449" s="20"/>
      <c r="S1449" s="20"/>
    </row>
    <row r="1450">
      <c r="A1450" s="49" t="s">
        <v>6643</v>
      </c>
      <c r="B1450" s="110">
        <v>46170.0</v>
      </c>
      <c r="C1450" s="49" t="s">
        <v>6644</v>
      </c>
      <c r="D1450" s="102" t="s">
        <v>6645</v>
      </c>
      <c r="E1450" s="25" t="s">
        <v>128</v>
      </c>
      <c r="F1450" s="25" t="s">
        <v>129</v>
      </c>
      <c r="G1450" s="25" t="s">
        <v>42</v>
      </c>
      <c r="H1450" s="49" t="s">
        <v>747</v>
      </c>
      <c r="I1450" s="101">
        <v>46172.0</v>
      </c>
      <c r="J1450" s="23"/>
      <c r="K1450" s="30"/>
      <c r="L1450" s="76" t="s">
        <v>6642</v>
      </c>
      <c r="M1450" s="50">
        <v>8.0</v>
      </c>
      <c r="N1450" s="51"/>
      <c r="O1450" s="20"/>
      <c r="P1450" s="20"/>
      <c r="Q1450" s="20"/>
      <c r="R1450" s="20"/>
      <c r="S1450" s="20"/>
    </row>
    <row r="1451">
      <c r="A1451" s="76" t="s">
        <v>6646</v>
      </c>
      <c r="B1451" s="97">
        <v>46170.0</v>
      </c>
      <c r="C1451" s="76" t="s">
        <v>6647</v>
      </c>
      <c r="D1451" s="99" t="s">
        <v>6648</v>
      </c>
      <c r="E1451" s="25" t="s">
        <v>17</v>
      </c>
      <c r="F1451" s="25" t="s">
        <v>129</v>
      </c>
      <c r="G1451" s="25" t="s">
        <v>42</v>
      </c>
      <c r="H1451" s="49" t="s">
        <v>747</v>
      </c>
      <c r="I1451" s="118">
        <v>46172.0</v>
      </c>
      <c r="J1451" s="10"/>
      <c r="K1451" s="46"/>
      <c r="L1451" s="76" t="s">
        <v>6642</v>
      </c>
      <c r="M1451" s="44">
        <v>8.0</v>
      </c>
      <c r="N1451" s="45"/>
      <c r="O1451" s="20"/>
      <c r="P1451" s="20"/>
      <c r="Q1451" s="20"/>
      <c r="R1451" s="20"/>
      <c r="S1451" s="20"/>
    </row>
    <row r="1452">
      <c r="A1452" s="49" t="s">
        <v>6649</v>
      </c>
      <c r="B1452" s="110">
        <v>46170.0</v>
      </c>
      <c r="C1452" s="49" t="s">
        <v>6650</v>
      </c>
      <c r="D1452" s="102" t="s">
        <v>6651</v>
      </c>
      <c r="E1452" s="25" t="s">
        <v>128</v>
      </c>
      <c r="F1452" s="25" t="s">
        <v>129</v>
      </c>
      <c r="G1452" s="25" t="s">
        <v>19</v>
      </c>
      <c r="H1452" s="76" t="s">
        <v>637</v>
      </c>
      <c r="I1452" s="101">
        <v>46172.0</v>
      </c>
      <c r="J1452" s="49">
        <v>1.0</v>
      </c>
      <c r="K1452" s="36">
        <v>500000.0</v>
      </c>
      <c r="L1452" s="49" t="s">
        <v>2040</v>
      </c>
      <c r="M1452" s="50">
        <v>7.0</v>
      </c>
      <c r="N1452" s="51"/>
      <c r="O1452" s="20"/>
      <c r="P1452" s="20"/>
      <c r="Q1452" s="20"/>
      <c r="R1452" s="20"/>
      <c r="S1452" s="20"/>
    </row>
    <row r="1453">
      <c r="A1453" s="76" t="s">
        <v>6652</v>
      </c>
      <c r="B1453" s="97">
        <v>46170.0</v>
      </c>
      <c r="C1453" s="76" t="s">
        <v>6653</v>
      </c>
      <c r="D1453" s="99" t="s">
        <v>6654</v>
      </c>
      <c r="E1453" s="25" t="s">
        <v>17</v>
      </c>
      <c r="F1453" s="25" t="s">
        <v>129</v>
      </c>
      <c r="G1453" s="25" t="s">
        <v>29</v>
      </c>
      <c r="H1453" s="76" t="s">
        <v>199</v>
      </c>
      <c r="I1453" s="10"/>
      <c r="J1453" s="76">
        <v>17.0</v>
      </c>
      <c r="K1453" s="46"/>
      <c r="L1453" s="76" t="s">
        <v>2232</v>
      </c>
      <c r="M1453" s="44">
        <v>1.0</v>
      </c>
      <c r="N1453" s="45"/>
      <c r="O1453" s="20"/>
      <c r="P1453" s="20"/>
      <c r="Q1453" s="20"/>
      <c r="R1453" s="20"/>
      <c r="S1453" s="20"/>
    </row>
    <row r="1454">
      <c r="A1454" s="49" t="s">
        <v>6655</v>
      </c>
      <c r="B1454" s="110">
        <v>46170.0</v>
      </c>
      <c r="C1454" s="49" t="s">
        <v>6656</v>
      </c>
      <c r="D1454" s="102" t="s">
        <v>6657</v>
      </c>
      <c r="E1454" s="25" t="s">
        <v>17</v>
      </c>
      <c r="F1454" s="25" t="s">
        <v>983</v>
      </c>
      <c r="G1454" s="25" t="s">
        <v>42</v>
      </c>
      <c r="H1454" s="23"/>
      <c r="I1454" s="23"/>
      <c r="J1454" s="23"/>
      <c r="K1454" s="30"/>
      <c r="L1454" s="49" t="s">
        <v>6658</v>
      </c>
      <c r="M1454" s="50">
        <v>8.0</v>
      </c>
      <c r="N1454" s="51"/>
      <c r="O1454" s="20"/>
      <c r="P1454" s="20"/>
      <c r="Q1454" s="20"/>
      <c r="R1454" s="20"/>
      <c r="S1454" s="20"/>
    </row>
    <row r="1455">
      <c r="A1455" s="76" t="s">
        <v>6659</v>
      </c>
      <c r="B1455" s="97">
        <v>46170.0</v>
      </c>
      <c r="C1455" s="76" t="s">
        <v>6660</v>
      </c>
      <c r="D1455" s="99" t="s">
        <v>6661</v>
      </c>
      <c r="E1455" s="25" t="s">
        <v>122</v>
      </c>
      <c r="F1455" s="25" t="s">
        <v>983</v>
      </c>
      <c r="G1455" s="25" t="s">
        <v>42</v>
      </c>
      <c r="H1455" s="10"/>
      <c r="I1455" s="10"/>
      <c r="J1455" s="10"/>
      <c r="K1455" s="46"/>
      <c r="L1455" s="76" t="s">
        <v>6658</v>
      </c>
      <c r="M1455" s="44">
        <v>8.0</v>
      </c>
      <c r="N1455" s="45"/>
      <c r="O1455" s="20"/>
      <c r="P1455" s="20"/>
      <c r="Q1455" s="20"/>
      <c r="R1455" s="20"/>
      <c r="S1455" s="20"/>
    </row>
    <row r="1456">
      <c r="A1456" s="49" t="s">
        <v>6662</v>
      </c>
      <c r="B1456" s="97">
        <v>46170.0</v>
      </c>
      <c r="C1456" s="49" t="s">
        <v>6663</v>
      </c>
      <c r="D1456" s="102" t="s">
        <v>6664</v>
      </c>
      <c r="E1456" s="25" t="s">
        <v>122</v>
      </c>
      <c r="F1456" s="25" t="s">
        <v>983</v>
      </c>
      <c r="G1456" s="25" t="s">
        <v>42</v>
      </c>
      <c r="H1456" s="49" t="s">
        <v>6665</v>
      </c>
      <c r="I1456" s="101">
        <v>46172.0</v>
      </c>
      <c r="J1456" s="49">
        <v>1.0</v>
      </c>
      <c r="K1456" s="30"/>
      <c r="L1456" s="49" t="s">
        <v>6666</v>
      </c>
      <c r="M1456" s="50">
        <v>8.0</v>
      </c>
      <c r="N1456" s="51"/>
      <c r="O1456" s="20"/>
      <c r="P1456" s="20"/>
      <c r="Q1456" s="20"/>
      <c r="R1456" s="20"/>
      <c r="S1456" s="20"/>
    </row>
    <row r="1457">
      <c r="A1457" s="76" t="s">
        <v>6667</v>
      </c>
      <c r="B1457" s="97">
        <v>46171.0</v>
      </c>
      <c r="C1457" s="76" t="s">
        <v>6668</v>
      </c>
      <c r="D1457" s="99" t="s">
        <v>6669</v>
      </c>
      <c r="E1457" s="25" t="s">
        <v>122</v>
      </c>
      <c r="F1457" s="25" t="s">
        <v>983</v>
      </c>
      <c r="G1457" s="25" t="s">
        <v>42</v>
      </c>
      <c r="H1457" s="10"/>
      <c r="I1457" s="10"/>
      <c r="J1457" s="10"/>
      <c r="K1457" s="46"/>
      <c r="L1457" s="76" t="s">
        <v>6658</v>
      </c>
      <c r="M1457" s="44">
        <v>8.0</v>
      </c>
      <c r="N1457" s="45"/>
      <c r="O1457" s="20"/>
      <c r="P1457" s="20"/>
      <c r="Q1457" s="20"/>
      <c r="R1457" s="20"/>
      <c r="S1457" s="20"/>
    </row>
    <row r="1458">
      <c r="A1458" s="49" t="s">
        <v>6670</v>
      </c>
      <c r="B1458" s="110">
        <v>46171.0</v>
      </c>
      <c r="C1458" s="49" t="s">
        <v>6671</v>
      </c>
      <c r="D1458" s="102" t="s">
        <v>6672</v>
      </c>
      <c r="E1458" s="25" t="s">
        <v>122</v>
      </c>
      <c r="F1458" s="25" t="s">
        <v>983</v>
      </c>
      <c r="G1458" s="25" t="s">
        <v>29</v>
      </c>
      <c r="H1458" s="49" t="s">
        <v>2462</v>
      </c>
      <c r="I1458" s="23"/>
      <c r="J1458" s="49">
        <v>10.0</v>
      </c>
      <c r="K1458" s="30">
        <f>953000*10</f>
        <v>9530000</v>
      </c>
      <c r="L1458" s="49" t="s">
        <v>5767</v>
      </c>
      <c r="M1458" s="50">
        <v>1.0</v>
      </c>
      <c r="N1458" s="51"/>
      <c r="O1458" s="20"/>
      <c r="P1458" s="20"/>
      <c r="Q1458" s="20"/>
      <c r="R1458" s="20"/>
      <c r="S1458" s="20"/>
    </row>
    <row r="1459">
      <c r="A1459" s="76" t="s">
        <v>6673</v>
      </c>
      <c r="B1459" s="97">
        <v>46160.0</v>
      </c>
      <c r="C1459" s="76" t="s">
        <v>6674</v>
      </c>
      <c r="D1459" s="99" t="s">
        <v>6675</v>
      </c>
      <c r="E1459" s="25" t="s">
        <v>128</v>
      </c>
      <c r="F1459" s="25" t="s">
        <v>18</v>
      </c>
      <c r="G1459" s="25" t="s">
        <v>42</v>
      </c>
      <c r="H1459" s="76" t="s">
        <v>6676</v>
      </c>
      <c r="I1459" s="10"/>
      <c r="J1459" s="10"/>
      <c r="K1459" s="46"/>
      <c r="L1459" s="76" t="s">
        <v>6658</v>
      </c>
      <c r="M1459" s="44">
        <v>8.0</v>
      </c>
      <c r="N1459" s="45"/>
      <c r="O1459" s="20"/>
      <c r="P1459" s="20"/>
      <c r="Q1459" s="20"/>
      <c r="R1459" s="20"/>
      <c r="S1459" s="20"/>
    </row>
    <row r="1460">
      <c r="A1460" s="49" t="s">
        <v>6677</v>
      </c>
      <c r="B1460" s="110">
        <v>46170.0</v>
      </c>
      <c r="C1460" s="49" t="s">
        <v>6678</v>
      </c>
      <c r="D1460" s="102" t="s">
        <v>6679</v>
      </c>
      <c r="E1460" s="25" t="s">
        <v>128</v>
      </c>
      <c r="F1460" s="25" t="s">
        <v>129</v>
      </c>
      <c r="G1460" s="25" t="s">
        <v>34</v>
      </c>
      <c r="H1460" s="49" t="s">
        <v>4532</v>
      </c>
      <c r="I1460" s="49" t="s">
        <v>870</v>
      </c>
      <c r="J1460" s="49">
        <v>3.0</v>
      </c>
      <c r="K1460" s="30">
        <f>SUM(1950000*3)</f>
        <v>5850000</v>
      </c>
      <c r="L1460" s="49" t="s">
        <v>4555</v>
      </c>
      <c r="M1460" s="50">
        <v>2.0</v>
      </c>
      <c r="N1460" s="51"/>
      <c r="O1460" s="20"/>
      <c r="P1460" s="20"/>
      <c r="Q1460" s="20"/>
      <c r="R1460" s="20"/>
      <c r="S1460" s="20"/>
    </row>
    <row r="1461">
      <c r="A1461" s="76" t="s">
        <v>6680</v>
      </c>
      <c r="B1461" s="97">
        <v>46156.0</v>
      </c>
      <c r="C1461" s="76" t="s">
        <v>6681</v>
      </c>
      <c r="D1461" s="99" t="s">
        <v>6682</v>
      </c>
      <c r="E1461" s="25" t="s">
        <v>128</v>
      </c>
      <c r="F1461" s="25" t="s">
        <v>18</v>
      </c>
      <c r="G1461" s="25" t="s">
        <v>42</v>
      </c>
      <c r="H1461" s="76" t="s">
        <v>2462</v>
      </c>
      <c r="I1461" s="10"/>
      <c r="J1461" s="76">
        <v>4.0</v>
      </c>
      <c r="K1461" s="46">
        <f>1702000*4</f>
        <v>6808000</v>
      </c>
      <c r="L1461" s="76" t="s">
        <v>6683</v>
      </c>
      <c r="M1461" s="44">
        <v>8.0</v>
      </c>
      <c r="N1461" s="45"/>
      <c r="O1461" s="20"/>
      <c r="P1461" s="20"/>
      <c r="Q1461" s="20"/>
      <c r="R1461" s="20"/>
      <c r="S1461" s="20"/>
    </row>
    <row r="1462">
      <c r="A1462" s="49" t="s">
        <v>6684</v>
      </c>
      <c r="B1462" s="110">
        <v>46156.0</v>
      </c>
      <c r="C1462" s="49" t="s">
        <v>6685</v>
      </c>
      <c r="D1462" s="102" t="s">
        <v>6686</v>
      </c>
      <c r="E1462" s="25" t="s">
        <v>17</v>
      </c>
      <c r="F1462" s="25" t="s">
        <v>18</v>
      </c>
      <c r="G1462" s="25" t="s">
        <v>42</v>
      </c>
      <c r="H1462" s="49" t="s">
        <v>2462</v>
      </c>
      <c r="I1462" s="49" t="s">
        <v>6687</v>
      </c>
      <c r="J1462" s="49">
        <v>15.0</v>
      </c>
      <c r="K1462" s="30"/>
      <c r="L1462" s="49"/>
      <c r="M1462" s="50">
        <v>8.0</v>
      </c>
      <c r="N1462" s="51"/>
      <c r="O1462" s="20"/>
      <c r="P1462" s="20"/>
      <c r="Q1462" s="20"/>
      <c r="R1462" s="20"/>
      <c r="S1462" s="20"/>
    </row>
    <row r="1463">
      <c r="A1463" s="76" t="s">
        <v>6688</v>
      </c>
      <c r="B1463" s="97">
        <v>46157.0</v>
      </c>
      <c r="C1463" s="76" t="s">
        <v>2391</v>
      </c>
      <c r="D1463" s="99" t="s">
        <v>6689</v>
      </c>
      <c r="E1463" s="25" t="s">
        <v>17</v>
      </c>
      <c r="F1463" s="25" t="s">
        <v>18</v>
      </c>
      <c r="G1463" s="25" t="s">
        <v>42</v>
      </c>
      <c r="H1463" s="76" t="s">
        <v>5658</v>
      </c>
      <c r="I1463" s="118">
        <v>46158.0</v>
      </c>
      <c r="J1463" s="10"/>
      <c r="K1463" s="46"/>
      <c r="L1463" s="76" t="s">
        <v>3493</v>
      </c>
      <c r="M1463" s="44">
        <v>8.0</v>
      </c>
      <c r="N1463" s="45"/>
      <c r="O1463" s="20"/>
      <c r="P1463" s="20"/>
      <c r="Q1463" s="20"/>
      <c r="R1463" s="20"/>
      <c r="S1463" s="20"/>
    </row>
    <row r="1464">
      <c r="A1464" s="49" t="s">
        <v>6690</v>
      </c>
      <c r="B1464" s="110">
        <v>46170.0</v>
      </c>
      <c r="C1464" s="49" t="s">
        <v>6691</v>
      </c>
      <c r="D1464" s="102" t="s">
        <v>6692</v>
      </c>
      <c r="E1464" s="25" t="s">
        <v>122</v>
      </c>
      <c r="F1464" s="25" t="s">
        <v>129</v>
      </c>
      <c r="G1464" s="25" t="s">
        <v>42</v>
      </c>
      <c r="H1464" s="49" t="s">
        <v>1782</v>
      </c>
      <c r="I1464" s="101">
        <v>46171.0</v>
      </c>
      <c r="J1464" s="23"/>
      <c r="K1464" s="30"/>
      <c r="L1464" s="49" t="s">
        <v>3493</v>
      </c>
      <c r="M1464" s="50">
        <v>8.0</v>
      </c>
      <c r="N1464" s="51"/>
      <c r="O1464" s="20"/>
      <c r="P1464" s="20"/>
      <c r="Q1464" s="20"/>
      <c r="R1464" s="20"/>
      <c r="S1464" s="20"/>
    </row>
    <row r="1465">
      <c r="A1465" s="76" t="s">
        <v>6693</v>
      </c>
      <c r="B1465" s="97">
        <v>46157.0</v>
      </c>
      <c r="C1465" s="76" t="s">
        <v>6694</v>
      </c>
      <c r="D1465" s="99" t="s">
        <v>6064</v>
      </c>
      <c r="E1465" s="25" t="s">
        <v>128</v>
      </c>
      <c r="F1465" s="25" t="s">
        <v>18</v>
      </c>
      <c r="G1465" s="25" t="s">
        <v>42</v>
      </c>
      <c r="H1465" s="76" t="s">
        <v>5658</v>
      </c>
      <c r="I1465" s="10"/>
      <c r="J1465" s="10"/>
      <c r="K1465" s="46"/>
      <c r="L1465" s="76" t="s">
        <v>6695</v>
      </c>
      <c r="M1465" s="44">
        <v>8.0</v>
      </c>
      <c r="N1465" s="45"/>
      <c r="O1465" s="20"/>
      <c r="P1465" s="20"/>
      <c r="Q1465" s="20"/>
      <c r="R1465" s="20"/>
      <c r="S1465" s="20"/>
    </row>
    <row r="1466">
      <c r="A1466" s="49" t="s">
        <v>6696</v>
      </c>
      <c r="B1466" s="110">
        <v>46157.0</v>
      </c>
      <c r="C1466" s="49" t="s">
        <v>6697</v>
      </c>
      <c r="D1466" s="102" t="s">
        <v>6698</v>
      </c>
      <c r="E1466" s="25" t="s">
        <v>122</v>
      </c>
      <c r="F1466" s="25" t="s">
        <v>18</v>
      </c>
      <c r="G1466" s="25" t="s">
        <v>42</v>
      </c>
      <c r="H1466" s="23"/>
      <c r="I1466" s="23"/>
      <c r="J1466" s="23"/>
      <c r="K1466" s="30"/>
      <c r="L1466" s="49" t="s">
        <v>6695</v>
      </c>
      <c r="M1466" s="50">
        <v>8.0</v>
      </c>
      <c r="N1466" s="51"/>
      <c r="O1466" s="20"/>
      <c r="P1466" s="20"/>
      <c r="Q1466" s="20"/>
      <c r="R1466" s="20"/>
      <c r="S1466" s="20"/>
    </row>
    <row r="1467">
      <c r="A1467" s="76" t="s">
        <v>6699</v>
      </c>
      <c r="B1467" s="97">
        <v>46170.0</v>
      </c>
      <c r="C1467" s="76" t="s">
        <v>6700</v>
      </c>
      <c r="D1467" s="99" t="s">
        <v>6701</v>
      </c>
      <c r="E1467" s="25" t="s">
        <v>128</v>
      </c>
      <c r="F1467" s="25" t="s">
        <v>129</v>
      </c>
      <c r="G1467" s="25" t="s">
        <v>29</v>
      </c>
      <c r="H1467" s="76" t="s">
        <v>3273</v>
      </c>
      <c r="I1467" s="10"/>
      <c r="J1467" s="10"/>
      <c r="K1467" s="46"/>
      <c r="L1467" s="76" t="s">
        <v>6702</v>
      </c>
      <c r="M1467" s="44">
        <v>1.0</v>
      </c>
      <c r="N1467" s="45"/>
      <c r="O1467" s="20"/>
      <c r="P1467" s="20"/>
      <c r="Q1467" s="20"/>
      <c r="R1467" s="20"/>
      <c r="S1467" s="20"/>
    </row>
    <row r="1468">
      <c r="A1468" s="49" t="s">
        <v>6703</v>
      </c>
      <c r="B1468" s="110">
        <v>46171.0</v>
      </c>
      <c r="C1468" s="49" t="s">
        <v>6704</v>
      </c>
      <c r="D1468" s="102" t="s">
        <v>6705</v>
      </c>
      <c r="E1468" s="25" t="s">
        <v>122</v>
      </c>
      <c r="F1468" s="25" t="s">
        <v>129</v>
      </c>
      <c r="G1468" s="25" t="s">
        <v>29</v>
      </c>
      <c r="H1468" s="49" t="s">
        <v>253</v>
      </c>
      <c r="I1468" s="23"/>
      <c r="J1468" s="23"/>
      <c r="K1468" s="30"/>
      <c r="L1468" s="49" t="s">
        <v>6702</v>
      </c>
      <c r="M1468" s="50">
        <v>1.0</v>
      </c>
      <c r="N1468" s="51"/>
      <c r="O1468" s="20"/>
      <c r="P1468" s="20"/>
      <c r="Q1468" s="20"/>
      <c r="R1468" s="20"/>
      <c r="S1468" s="20"/>
    </row>
    <row r="1469">
      <c r="A1469" s="76" t="s">
        <v>6706</v>
      </c>
      <c r="B1469" s="97">
        <v>46171.0</v>
      </c>
      <c r="C1469" s="76" t="s">
        <v>6707</v>
      </c>
      <c r="D1469" s="99" t="s">
        <v>6708</v>
      </c>
      <c r="E1469" s="25" t="s">
        <v>128</v>
      </c>
      <c r="F1469" s="25" t="s">
        <v>129</v>
      </c>
      <c r="G1469" s="25" t="s">
        <v>29</v>
      </c>
      <c r="H1469" s="76" t="s">
        <v>3837</v>
      </c>
      <c r="I1469" s="10"/>
      <c r="J1469" s="10"/>
      <c r="K1469" s="46"/>
      <c r="L1469" s="76" t="s">
        <v>6709</v>
      </c>
      <c r="M1469" s="44">
        <v>1.0</v>
      </c>
      <c r="N1469" s="45"/>
      <c r="O1469" s="20"/>
      <c r="P1469" s="20"/>
      <c r="Q1469" s="20"/>
      <c r="R1469" s="20"/>
      <c r="S1469" s="20"/>
    </row>
    <row r="1470">
      <c r="A1470" s="49" t="s">
        <v>6710</v>
      </c>
      <c r="B1470" s="110">
        <v>46157.0</v>
      </c>
      <c r="C1470" s="49" t="s">
        <v>6711</v>
      </c>
      <c r="D1470" s="102" t="s">
        <v>6712</v>
      </c>
      <c r="E1470" s="25" t="s">
        <v>122</v>
      </c>
      <c r="F1470" s="25" t="s">
        <v>18</v>
      </c>
      <c r="G1470" s="25" t="s">
        <v>42</v>
      </c>
      <c r="H1470" s="49" t="s">
        <v>6713</v>
      </c>
      <c r="I1470" s="101">
        <v>46158.0</v>
      </c>
      <c r="J1470" s="49">
        <v>2.0</v>
      </c>
      <c r="K1470" s="30"/>
      <c r="L1470" s="49" t="s">
        <v>3493</v>
      </c>
      <c r="M1470" s="50">
        <v>8.0</v>
      </c>
      <c r="N1470" s="51"/>
      <c r="O1470" s="20"/>
      <c r="P1470" s="20"/>
      <c r="Q1470" s="20"/>
      <c r="R1470" s="20"/>
      <c r="S1470" s="20"/>
    </row>
    <row r="1471">
      <c r="A1471" s="76" t="s">
        <v>6714</v>
      </c>
      <c r="B1471" s="97">
        <v>46158.0</v>
      </c>
      <c r="C1471" s="76" t="s">
        <v>6715</v>
      </c>
      <c r="D1471" s="99" t="s">
        <v>6716</v>
      </c>
      <c r="E1471" s="25" t="s">
        <v>1877</v>
      </c>
      <c r="F1471" s="25" t="s">
        <v>18</v>
      </c>
      <c r="G1471" s="25" t="s">
        <v>42</v>
      </c>
      <c r="H1471" s="76" t="s">
        <v>6717</v>
      </c>
      <c r="I1471" s="10"/>
      <c r="J1471" s="10"/>
      <c r="K1471" s="46"/>
      <c r="L1471" s="76" t="s">
        <v>158</v>
      </c>
      <c r="M1471" s="44">
        <v>8.0</v>
      </c>
      <c r="N1471" s="45"/>
      <c r="O1471" s="20"/>
      <c r="P1471" s="20"/>
      <c r="Q1471" s="20"/>
      <c r="R1471" s="20"/>
      <c r="S1471" s="20"/>
    </row>
    <row r="1472">
      <c r="A1472" s="49" t="s">
        <v>6718</v>
      </c>
      <c r="B1472" s="110">
        <v>46159.0</v>
      </c>
      <c r="C1472" s="49" t="s">
        <v>6719</v>
      </c>
      <c r="D1472" s="102" t="s">
        <v>6720</v>
      </c>
      <c r="E1472" s="25" t="s">
        <v>122</v>
      </c>
      <c r="F1472" s="25" t="s">
        <v>18</v>
      </c>
      <c r="G1472" s="25" t="s">
        <v>42</v>
      </c>
      <c r="H1472" s="23"/>
      <c r="I1472" s="23"/>
      <c r="J1472" s="23"/>
      <c r="K1472" s="30"/>
      <c r="L1472" s="49" t="s">
        <v>6695</v>
      </c>
      <c r="M1472" s="50">
        <v>8.0</v>
      </c>
      <c r="N1472" s="51"/>
      <c r="O1472" s="20"/>
      <c r="P1472" s="20"/>
      <c r="Q1472" s="20"/>
      <c r="R1472" s="20"/>
      <c r="S1472" s="20"/>
    </row>
    <row r="1473">
      <c r="A1473" s="76" t="s">
        <v>6721</v>
      </c>
      <c r="B1473" s="97">
        <v>46159.0</v>
      </c>
      <c r="C1473" s="76" t="s">
        <v>6722</v>
      </c>
      <c r="D1473" s="99" t="s">
        <v>6723</v>
      </c>
      <c r="E1473" s="25" t="s">
        <v>17</v>
      </c>
      <c r="F1473" s="25" t="s">
        <v>18</v>
      </c>
      <c r="G1473" s="25" t="s">
        <v>42</v>
      </c>
      <c r="H1473" s="76" t="s">
        <v>6724</v>
      </c>
      <c r="I1473" s="10"/>
      <c r="J1473" s="76">
        <v>5.0</v>
      </c>
      <c r="K1473" s="46"/>
      <c r="L1473" s="76" t="s">
        <v>840</v>
      </c>
      <c r="M1473" s="44">
        <v>8.0</v>
      </c>
      <c r="N1473" s="45"/>
      <c r="O1473" s="20"/>
      <c r="P1473" s="20"/>
      <c r="Q1473" s="20"/>
      <c r="R1473" s="20"/>
      <c r="S1473" s="20"/>
    </row>
    <row r="1474">
      <c r="A1474" s="49" t="s">
        <v>6725</v>
      </c>
      <c r="B1474" s="110">
        <v>46158.0</v>
      </c>
      <c r="C1474" s="49" t="s">
        <v>6726</v>
      </c>
      <c r="D1474" s="102" t="s">
        <v>6727</v>
      </c>
      <c r="E1474" s="25" t="s">
        <v>122</v>
      </c>
      <c r="F1474" s="25" t="s">
        <v>18</v>
      </c>
      <c r="G1474" s="25" t="s">
        <v>42</v>
      </c>
      <c r="H1474" s="49" t="s">
        <v>5658</v>
      </c>
      <c r="I1474" s="101">
        <v>46161.0</v>
      </c>
      <c r="J1474" s="49">
        <v>3.0</v>
      </c>
      <c r="K1474" s="30"/>
      <c r="L1474" s="49" t="s">
        <v>4347</v>
      </c>
      <c r="M1474" s="50">
        <v>8.0</v>
      </c>
      <c r="N1474" s="51"/>
      <c r="O1474" s="20"/>
      <c r="P1474" s="20"/>
      <c r="Q1474" s="20"/>
      <c r="R1474" s="20"/>
      <c r="S1474" s="20"/>
    </row>
    <row r="1475">
      <c r="A1475" s="76" t="s">
        <v>6728</v>
      </c>
      <c r="B1475" s="97">
        <v>46160.0</v>
      </c>
      <c r="C1475" s="76" t="s">
        <v>6729</v>
      </c>
      <c r="D1475" s="99" t="s">
        <v>6730</v>
      </c>
      <c r="E1475" s="25" t="s">
        <v>122</v>
      </c>
      <c r="F1475" s="25" t="s">
        <v>18</v>
      </c>
      <c r="G1475" s="25" t="s">
        <v>42</v>
      </c>
      <c r="H1475" s="10"/>
      <c r="I1475" s="10"/>
      <c r="J1475" s="10"/>
      <c r="K1475" s="46"/>
      <c r="L1475" s="76" t="s">
        <v>4347</v>
      </c>
      <c r="M1475" s="44">
        <v>8.0</v>
      </c>
      <c r="N1475" s="45"/>
      <c r="O1475" s="20"/>
      <c r="P1475" s="20"/>
      <c r="Q1475" s="20"/>
      <c r="R1475" s="20"/>
      <c r="S1475" s="20"/>
    </row>
    <row r="1476">
      <c r="A1476" s="49" t="s">
        <v>6731</v>
      </c>
      <c r="B1476" s="110">
        <v>46160.0</v>
      </c>
      <c r="C1476" s="49" t="s">
        <v>6732</v>
      </c>
      <c r="D1476" s="102" t="s">
        <v>6733</v>
      </c>
      <c r="E1476" s="25" t="s">
        <v>122</v>
      </c>
      <c r="F1476" s="25" t="s">
        <v>18</v>
      </c>
      <c r="G1476" s="25" t="s">
        <v>42</v>
      </c>
      <c r="H1476" s="49" t="s">
        <v>4861</v>
      </c>
      <c r="I1476" s="49" t="s">
        <v>5917</v>
      </c>
      <c r="J1476" s="49">
        <v>1.0</v>
      </c>
      <c r="K1476" s="30"/>
      <c r="L1476" s="49" t="s">
        <v>6734</v>
      </c>
      <c r="M1476" s="50">
        <v>8.0</v>
      </c>
      <c r="N1476" s="51"/>
      <c r="O1476" s="20"/>
      <c r="P1476" s="20"/>
      <c r="Q1476" s="20"/>
      <c r="R1476" s="20"/>
      <c r="S1476" s="20"/>
    </row>
    <row r="1477">
      <c r="A1477" s="76" t="s">
        <v>6735</v>
      </c>
      <c r="B1477" s="97">
        <v>46161.0</v>
      </c>
      <c r="C1477" s="76" t="s">
        <v>6736</v>
      </c>
      <c r="D1477" s="99" t="s">
        <v>6737</v>
      </c>
      <c r="E1477" s="25" t="s">
        <v>17</v>
      </c>
      <c r="F1477" s="25" t="s">
        <v>18</v>
      </c>
      <c r="G1477" s="25" t="s">
        <v>42</v>
      </c>
      <c r="H1477" s="76" t="s">
        <v>6738</v>
      </c>
      <c r="I1477" s="118">
        <v>46173.0</v>
      </c>
      <c r="J1477" s="76">
        <v>3.0</v>
      </c>
      <c r="K1477" s="46"/>
      <c r="L1477" s="76" t="s">
        <v>6739</v>
      </c>
      <c r="M1477" s="44">
        <v>8.0</v>
      </c>
      <c r="N1477" s="45"/>
      <c r="O1477" s="20"/>
      <c r="P1477" s="20"/>
      <c r="Q1477" s="20"/>
      <c r="R1477" s="20"/>
      <c r="S1477" s="20"/>
    </row>
    <row r="1478">
      <c r="A1478" s="49" t="s">
        <v>6740</v>
      </c>
      <c r="B1478" s="110">
        <v>46161.0</v>
      </c>
      <c r="C1478" s="49" t="s">
        <v>6741</v>
      </c>
      <c r="D1478" s="102" t="s">
        <v>6742</v>
      </c>
      <c r="E1478" s="25" t="s">
        <v>17</v>
      </c>
      <c r="F1478" s="25" t="s">
        <v>18</v>
      </c>
      <c r="G1478" s="25" t="s">
        <v>42</v>
      </c>
      <c r="H1478" s="23"/>
      <c r="I1478" s="49" t="s">
        <v>6743</v>
      </c>
      <c r="J1478" s="23"/>
      <c r="K1478" s="30"/>
      <c r="L1478" s="49" t="s">
        <v>4347</v>
      </c>
      <c r="M1478" s="50">
        <v>8.0</v>
      </c>
      <c r="N1478" s="51"/>
      <c r="O1478" s="20"/>
      <c r="P1478" s="20"/>
      <c r="Q1478" s="20"/>
      <c r="R1478" s="20"/>
      <c r="S1478" s="20"/>
    </row>
    <row r="1479">
      <c r="A1479" s="76" t="s">
        <v>6744</v>
      </c>
      <c r="B1479" s="97">
        <v>46162.0</v>
      </c>
      <c r="C1479" s="76" t="s">
        <v>6745</v>
      </c>
      <c r="D1479" s="99" t="s">
        <v>6746</v>
      </c>
      <c r="E1479" s="25" t="s">
        <v>128</v>
      </c>
      <c r="F1479" s="25" t="s">
        <v>18</v>
      </c>
      <c r="G1479" s="25" t="s">
        <v>42</v>
      </c>
      <c r="H1479" s="76" t="s">
        <v>5664</v>
      </c>
      <c r="I1479" s="76" t="s">
        <v>6747</v>
      </c>
      <c r="J1479" s="10"/>
      <c r="K1479" s="46"/>
      <c r="L1479" s="76" t="s">
        <v>4347</v>
      </c>
      <c r="M1479" s="44">
        <v>8.0</v>
      </c>
      <c r="N1479" s="45"/>
      <c r="O1479" s="20"/>
      <c r="P1479" s="20"/>
      <c r="Q1479" s="20"/>
      <c r="R1479" s="20"/>
      <c r="S1479" s="20"/>
    </row>
    <row r="1480">
      <c r="A1480" s="49" t="s">
        <v>6748</v>
      </c>
      <c r="B1480" s="110">
        <v>46162.0</v>
      </c>
      <c r="C1480" s="49" t="s">
        <v>6749</v>
      </c>
      <c r="D1480" s="102" t="s">
        <v>6750</v>
      </c>
      <c r="E1480" s="25" t="s">
        <v>122</v>
      </c>
      <c r="F1480" s="25" t="s">
        <v>18</v>
      </c>
      <c r="G1480" s="25" t="s">
        <v>42</v>
      </c>
      <c r="H1480" s="49" t="s">
        <v>5658</v>
      </c>
      <c r="I1480" s="101">
        <v>46163.0</v>
      </c>
      <c r="J1480" s="23"/>
      <c r="K1480" s="30"/>
      <c r="L1480" s="49" t="s">
        <v>4347</v>
      </c>
      <c r="M1480" s="50">
        <v>8.0</v>
      </c>
      <c r="N1480" s="51"/>
      <c r="O1480" s="20"/>
      <c r="P1480" s="20"/>
      <c r="Q1480" s="20"/>
      <c r="R1480" s="20"/>
      <c r="S1480" s="20"/>
    </row>
    <row r="1481">
      <c r="A1481" s="76" t="s">
        <v>6751</v>
      </c>
      <c r="B1481" s="97">
        <v>46161.0</v>
      </c>
      <c r="C1481" s="76" t="s">
        <v>6752</v>
      </c>
      <c r="D1481" s="99" t="s">
        <v>6753</v>
      </c>
      <c r="E1481" s="25" t="s">
        <v>128</v>
      </c>
      <c r="F1481" s="25" t="s">
        <v>18</v>
      </c>
      <c r="G1481" s="25" t="s">
        <v>42</v>
      </c>
      <c r="H1481" s="76" t="s">
        <v>4409</v>
      </c>
      <c r="I1481" s="76" t="s">
        <v>6754</v>
      </c>
      <c r="J1481" s="76">
        <v>1.0</v>
      </c>
      <c r="K1481" s="19">
        <v>1600000.0</v>
      </c>
      <c r="L1481" s="76" t="s">
        <v>6755</v>
      </c>
      <c r="M1481" s="44">
        <v>8.0</v>
      </c>
      <c r="N1481" s="45"/>
      <c r="O1481" s="20"/>
      <c r="P1481" s="20"/>
      <c r="Q1481" s="20"/>
      <c r="R1481" s="20"/>
      <c r="S1481" s="20"/>
    </row>
    <row r="1482">
      <c r="A1482" s="49" t="s">
        <v>6756</v>
      </c>
      <c r="B1482" s="110">
        <v>46162.0</v>
      </c>
      <c r="C1482" s="49" t="s">
        <v>6757</v>
      </c>
      <c r="D1482" s="102" t="s">
        <v>6758</v>
      </c>
      <c r="E1482" s="25" t="s">
        <v>128</v>
      </c>
      <c r="F1482" s="25" t="s">
        <v>18</v>
      </c>
      <c r="G1482" s="25" t="s">
        <v>42</v>
      </c>
      <c r="H1482" s="49" t="s">
        <v>6759</v>
      </c>
      <c r="I1482" s="49" t="s">
        <v>6760</v>
      </c>
      <c r="J1482" s="23"/>
      <c r="K1482" s="30">
        <f>350000+400000</f>
        <v>750000</v>
      </c>
      <c r="L1482" s="49"/>
      <c r="M1482" s="50">
        <v>8.0</v>
      </c>
      <c r="N1482" s="51"/>
      <c r="O1482" s="20"/>
      <c r="P1482" s="20"/>
      <c r="Q1482" s="20"/>
      <c r="R1482" s="20"/>
      <c r="S1482" s="20"/>
    </row>
    <row r="1483">
      <c r="A1483" s="76" t="s">
        <v>6761</v>
      </c>
      <c r="B1483" s="97">
        <v>46163.0</v>
      </c>
      <c r="C1483" s="76" t="s">
        <v>6762</v>
      </c>
      <c r="D1483" s="99" t="s">
        <v>6763</v>
      </c>
      <c r="E1483" s="25" t="s">
        <v>128</v>
      </c>
      <c r="F1483" s="25" t="s">
        <v>18</v>
      </c>
      <c r="G1483" s="25" t="s">
        <v>42</v>
      </c>
      <c r="H1483" s="76" t="s">
        <v>5658</v>
      </c>
      <c r="I1483" s="118">
        <v>46173.0</v>
      </c>
      <c r="J1483" s="76">
        <v>2.0</v>
      </c>
      <c r="K1483" s="46">
        <f>275000*2</f>
        <v>550000</v>
      </c>
      <c r="L1483" s="76" t="s">
        <v>3493</v>
      </c>
      <c r="M1483" s="44">
        <v>8.0</v>
      </c>
      <c r="N1483" s="45"/>
      <c r="O1483" s="20"/>
      <c r="P1483" s="20"/>
      <c r="Q1483" s="20"/>
      <c r="R1483" s="20"/>
      <c r="S1483" s="20"/>
    </row>
    <row r="1484">
      <c r="A1484" s="49" t="s">
        <v>6764</v>
      </c>
      <c r="B1484" s="110">
        <v>46162.0</v>
      </c>
      <c r="C1484" s="49" t="s">
        <v>6765</v>
      </c>
      <c r="D1484" s="102" t="s">
        <v>6766</v>
      </c>
      <c r="E1484" s="25" t="s">
        <v>128</v>
      </c>
      <c r="F1484" s="25" t="s">
        <v>18</v>
      </c>
      <c r="G1484" s="25" t="s">
        <v>42</v>
      </c>
      <c r="H1484" s="49" t="s">
        <v>6767</v>
      </c>
      <c r="I1484" s="23"/>
      <c r="J1484" s="23"/>
      <c r="K1484" s="30"/>
      <c r="L1484" s="49" t="s">
        <v>3133</v>
      </c>
      <c r="M1484" s="50">
        <v>8.0</v>
      </c>
      <c r="N1484" s="51"/>
      <c r="O1484" s="20"/>
      <c r="P1484" s="20"/>
      <c r="Q1484" s="20"/>
      <c r="R1484" s="20"/>
      <c r="S1484" s="20"/>
    </row>
    <row r="1485">
      <c r="A1485" s="76" t="s">
        <v>6768</v>
      </c>
      <c r="B1485" s="97">
        <v>46159.0</v>
      </c>
      <c r="C1485" s="76" t="s">
        <v>4062</v>
      </c>
      <c r="D1485" s="99" t="s">
        <v>6769</v>
      </c>
      <c r="E1485" s="25" t="s">
        <v>128</v>
      </c>
      <c r="F1485" s="25" t="s">
        <v>18</v>
      </c>
      <c r="G1485" s="25" t="s">
        <v>42</v>
      </c>
      <c r="H1485" s="76" t="s">
        <v>6770</v>
      </c>
      <c r="I1485" s="118">
        <v>46169.0</v>
      </c>
      <c r="J1485" s="76">
        <v>7.0</v>
      </c>
      <c r="K1485" s="19">
        <v>8120000.0</v>
      </c>
      <c r="L1485" s="76" t="s">
        <v>3133</v>
      </c>
      <c r="M1485" s="44">
        <v>8.0</v>
      </c>
      <c r="N1485" s="45"/>
      <c r="O1485" s="20"/>
      <c r="P1485" s="20"/>
      <c r="Q1485" s="20"/>
      <c r="R1485" s="20"/>
      <c r="S1485" s="20"/>
    </row>
    <row r="1486">
      <c r="A1486" s="49" t="s">
        <v>6771</v>
      </c>
      <c r="B1486" s="110">
        <v>46158.0</v>
      </c>
      <c r="C1486" s="49" t="s">
        <v>6772</v>
      </c>
      <c r="D1486" s="102" t="s">
        <v>6773</v>
      </c>
      <c r="E1486" s="25" t="s">
        <v>128</v>
      </c>
      <c r="F1486" s="25" t="s">
        <v>18</v>
      </c>
      <c r="G1486" s="25" t="s">
        <v>42</v>
      </c>
      <c r="H1486" s="49" t="s">
        <v>6266</v>
      </c>
      <c r="I1486" s="101">
        <v>46165.0</v>
      </c>
      <c r="J1486" s="49">
        <v>1.0</v>
      </c>
      <c r="K1486" s="30">
        <f>2388000</f>
        <v>2388000</v>
      </c>
      <c r="L1486" s="49" t="s">
        <v>840</v>
      </c>
      <c r="M1486" s="50">
        <v>8.0</v>
      </c>
      <c r="N1486" s="51"/>
      <c r="O1486" s="20"/>
      <c r="P1486" s="20"/>
      <c r="Q1486" s="20"/>
      <c r="R1486" s="20"/>
      <c r="S1486" s="20"/>
    </row>
    <row r="1487">
      <c r="A1487" s="76" t="s">
        <v>6774</v>
      </c>
      <c r="B1487" s="97">
        <v>46158.0</v>
      </c>
      <c r="C1487" s="76" t="s">
        <v>6775</v>
      </c>
      <c r="D1487" s="99" t="s">
        <v>6776</v>
      </c>
      <c r="E1487" s="25" t="s">
        <v>17</v>
      </c>
      <c r="F1487" s="25" t="s">
        <v>18</v>
      </c>
      <c r="G1487" s="25" t="s">
        <v>42</v>
      </c>
      <c r="H1487" s="76" t="s">
        <v>3210</v>
      </c>
      <c r="I1487" s="76" t="s">
        <v>1468</v>
      </c>
      <c r="J1487" s="76">
        <v>5.0</v>
      </c>
      <c r="K1487" s="46">
        <f>820000*5</f>
        <v>4100000</v>
      </c>
      <c r="L1487" s="76" t="s">
        <v>840</v>
      </c>
      <c r="M1487" s="44">
        <v>8.0</v>
      </c>
      <c r="N1487" s="45"/>
      <c r="O1487" s="20"/>
      <c r="P1487" s="20"/>
      <c r="Q1487" s="20"/>
      <c r="R1487" s="20"/>
      <c r="S1487" s="20"/>
    </row>
    <row r="1488">
      <c r="A1488" s="49" t="s">
        <v>6777</v>
      </c>
      <c r="B1488" s="110">
        <v>46163.0</v>
      </c>
      <c r="C1488" s="49" t="s">
        <v>6778</v>
      </c>
      <c r="D1488" s="102" t="s">
        <v>6779</v>
      </c>
      <c r="E1488" s="25" t="s">
        <v>122</v>
      </c>
      <c r="F1488" s="25" t="s">
        <v>18</v>
      </c>
      <c r="G1488" s="25" t="s">
        <v>42</v>
      </c>
      <c r="H1488" s="23"/>
      <c r="I1488" s="23"/>
      <c r="J1488" s="23"/>
      <c r="K1488" s="30"/>
      <c r="L1488" s="49" t="s">
        <v>6780</v>
      </c>
      <c r="M1488" s="50">
        <v>8.0</v>
      </c>
      <c r="N1488" s="51"/>
      <c r="O1488" s="20"/>
      <c r="P1488" s="20"/>
      <c r="Q1488" s="20"/>
      <c r="R1488" s="20"/>
      <c r="S1488" s="20"/>
    </row>
    <row r="1489">
      <c r="A1489" s="76" t="s">
        <v>6781</v>
      </c>
      <c r="B1489" s="97">
        <v>46163.0</v>
      </c>
      <c r="C1489" s="76" t="s">
        <v>6782</v>
      </c>
      <c r="D1489" s="99" t="s">
        <v>6783</v>
      </c>
      <c r="E1489" s="25" t="s">
        <v>128</v>
      </c>
      <c r="F1489" s="25" t="s">
        <v>18</v>
      </c>
      <c r="G1489" s="25" t="s">
        <v>42</v>
      </c>
      <c r="H1489" s="76" t="s">
        <v>6784</v>
      </c>
      <c r="I1489" s="118">
        <v>46172.0</v>
      </c>
      <c r="J1489" s="76">
        <v>6.0</v>
      </c>
      <c r="K1489" s="46"/>
      <c r="L1489" s="76" t="s">
        <v>3493</v>
      </c>
      <c r="M1489" s="44">
        <v>8.0</v>
      </c>
      <c r="N1489" s="45"/>
      <c r="O1489" s="20"/>
      <c r="P1489" s="20"/>
      <c r="Q1489" s="20"/>
      <c r="R1489" s="20"/>
      <c r="S1489" s="20"/>
    </row>
    <row r="1490">
      <c r="A1490" s="49" t="s">
        <v>6785</v>
      </c>
      <c r="B1490" s="110">
        <v>46164.0</v>
      </c>
      <c r="C1490" s="49" t="s">
        <v>3126</v>
      </c>
      <c r="D1490" s="102" t="s">
        <v>6786</v>
      </c>
      <c r="E1490" s="25" t="s">
        <v>1877</v>
      </c>
      <c r="F1490" s="25" t="s">
        <v>18</v>
      </c>
      <c r="G1490" s="25" t="s">
        <v>42</v>
      </c>
      <c r="H1490" s="49" t="s">
        <v>5646</v>
      </c>
      <c r="I1490" s="101">
        <v>46196.0</v>
      </c>
      <c r="J1490" s="49">
        <v>2.0</v>
      </c>
      <c r="K1490" s="30">
        <f>550000*2</f>
        <v>1100000</v>
      </c>
      <c r="L1490" s="49" t="s">
        <v>4347</v>
      </c>
      <c r="M1490" s="50">
        <v>8.0</v>
      </c>
      <c r="N1490" s="51"/>
      <c r="O1490" s="20"/>
      <c r="P1490" s="20"/>
      <c r="Q1490" s="20"/>
      <c r="R1490" s="20"/>
      <c r="S1490" s="20"/>
    </row>
    <row r="1491">
      <c r="A1491" s="76" t="s">
        <v>6787</v>
      </c>
      <c r="B1491" s="97">
        <v>46164.0</v>
      </c>
      <c r="C1491" s="76" t="s">
        <v>6788</v>
      </c>
      <c r="D1491" s="99" t="s">
        <v>6789</v>
      </c>
      <c r="E1491" s="25" t="s">
        <v>128</v>
      </c>
      <c r="F1491" s="25" t="s">
        <v>18</v>
      </c>
      <c r="G1491" s="25" t="s">
        <v>42</v>
      </c>
      <c r="H1491" s="76" t="s">
        <v>6784</v>
      </c>
      <c r="I1491" s="118">
        <v>46171.0</v>
      </c>
      <c r="J1491" s="76">
        <v>5.0</v>
      </c>
      <c r="K1491" s="46"/>
      <c r="L1491" s="76" t="s">
        <v>174</v>
      </c>
      <c r="M1491" s="44">
        <v>8.0</v>
      </c>
      <c r="N1491" s="45"/>
      <c r="O1491" s="20"/>
      <c r="P1491" s="20"/>
      <c r="Q1491" s="20"/>
      <c r="R1491" s="20"/>
      <c r="S1491" s="20"/>
    </row>
    <row r="1492">
      <c r="A1492" s="49" t="s">
        <v>6790</v>
      </c>
      <c r="B1492" s="110">
        <v>46164.0</v>
      </c>
      <c r="C1492" s="49" t="s">
        <v>6791</v>
      </c>
      <c r="D1492" s="102" t="s">
        <v>6792</v>
      </c>
      <c r="E1492" s="25" t="s">
        <v>17</v>
      </c>
      <c r="F1492" s="25" t="s">
        <v>18</v>
      </c>
      <c r="G1492" s="25" t="s">
        <v>42</v>
      </c>
      <c r="H1492" s="49" t="s">
        <v>3750</v>
      </c>
      <c r="I1492" s="23"/>
      <c r="J1492" s="49">
        <v>2.0</v>
      </c>
      <c r="K1492" s="30">
        <f>950000*2</f>
        <v>1900000</v>
      </c>
      <c r="L1492" s="49" t="s">
        <v>1927</v>
      </c>
      <c r="M1492" s="50">
        <v>8.0</v>
      </c>
      <c r="N1492" s="51"/>
      <c r="O1492" s="20"/>
      <c r="P1492" s="20"/>
      <c r="Q1492" s="20"/>
      <c r="R1492" s="20"/>
      <c r="S1492" s="20"/>
    </row>
    <row r="1493">
      <c r="A1493" s="76" t="s">
        <v>6793</v>
      </c>
      <c r="B1493" s="97">
        <v>46165.0</v>
      </c>
      <c r="C1493" s="76" t="s">
        <v>6794</v>
      </c>
      <c r="D1493" s="99" t="s">
        <v>6795</v>
      </c>
      <c r="E1493" s="25" t="s">
        <v>128</v>
      </c>
      <c r="F1493" s="25" t="s">
        <v>18</v>
      </c>
      <c r="G1493" s="25" t="s">
        <v>42</v>
      </c>
      <c r="H1493" s="76" t="s">
        <v>5658</v>
      </c>
      <c r="I1493" s="76" t="s">
        <v>6796</v>
      </c>
      <c r="J1493" s="76">
        <v>2.0</v>
      </c>
      <c r="K1493" s="46">
        <f>275000*2</f>
        <v>550000</v>
      </c>
      <c r="L1493" s="76" t="s">
        <v>3493</v>
      </c>
      <c r="M1493" s="44">
        <v>8.0</v>
      </c>
      <c r="N1493" s="45"/>
      <c r="O1493" s="20"/>
      <c r="P1493" s="20"/>
      <c r="Q1493" s="20"/>
      <c r="R1493" s="20"/>
      <c r="S1493" s="20"/>
    </row>
    <row r="1494">
      <c r="A1494" s="49" t="s">
        <v>6797</v>
      </c>
      <c r="B1494" s="110">
        <v>46164.0</v>
      </c>
      <c r="C1494" s="49" t="s">
        <v>6798</v>
      </c>
      <c r="D1494" s="102" t="s">
        <v>6799</v>
      </c>
      <c r="E1494" s="25" t="s">
        <v>122</v>
      </c>
      <c r="F1494" s="25" t="s">
        <v>18</v>
      </c>
      <c r="G1494" s="25" t="s">
        <v>42</v>
      </c>
      <c r="H1494" s="49" t="s">
        <v>2066</v>
      </c>
      <c r="I1494" s="101">
        <v>46222.0</v>
      </c>
      <c r="J1494" s="49">
        <v>2.0</v>
      </c>
      <c r="K1494" s="30">
        <f>1150000*2</f>
        <v>2300000</v>
      </c>
      <c r="L1494" s="49" t="s">
        <v>6800</v>
      </c>
      <c r="M1494" s="50">
        <v>8.0</v>
      </c>
      <c r="N1494" s="51"/>
      <c r="O1494" s="20"/>
      <c r="P1494" s="20"/>
      <c r="Q1494" s="20"/>
      <c r="R1494" s="20"/>
      <c r="S1494" s="20"/>
    </row>
    <row r="1495">
      <c r="A1495" s="76" t="s">
        <v>6801</v>
      </c>
      <c r="B1495" s="97">
        <v>46164.0</v>
      </c>
      <c r="C1495" s="76" t="s">
        <v>6802</v>
      </c>
      <c r="D1495" s="99" t="s">
        <v>6387</v>
      </c>
      <c r="E1495" s="25" t="s">
        <v>122</v>
      </c>
      <c r="F1495" s="25" t="s">
        <v>18</v>
      </c>
      <c r="G1495" s="25" t="s">
        <v>42</v>
      </c>
      <c r="H1495" s="10"/>
      <c r="I1495" s="10"/>
      <c r="J1495" s="10"/>
      <c r="K1495" s="46"/>
      <c r="L1495" s="76" t="s">
        <v>6803</v>
      </c>
      <c r="M1495" s="44">
        <v>8.0</v>
      </c>
      <c r="N1495" s="45"/>
      <c r="O1495" s="20"/>
      <c r="P1495" s="20"/>
      <c r="Q1495" s="20"/>
      <c r="R1495" s="20"/>
      <c r="S1495" s="20"/>
    </row>
    <row r="1496">
      <c r="A1496" s="49" t="s">
        <v>6804</v>
      </c>
      <c r="B1496" s="110">
        <v>46165.0</v>
      </c>
      <c r="C1496" s="49" t="s">
        <v>6441</v>
      </c>
      <c r="D1496" s="102" t="s">
        <v>6442</v>
      </c>
      <c r="E1496" s="25" t="s">
        <v>128</v>
      </c>
      <c r="F1496" s="25" t="s">
        <v>18</v>
      </c>
      <c r="G1496" s="25" t="s">
        <v>42</v>
      </c>
      <c r="H1496" s="49" t="s">
        <v>4715</v>
      </c>
      <c r="I1496" s="49" t="s">
        <v>6805</v>
      </c>
      <c r="J1496" s="49">
        <v>2.0</v>
      </c>
      <c r="K1496" s="30"/>
      <c r="L1496" s="49" t="s">
        <v>840</v>
      </c>
      <c r="M1496" s="50">
        <v>8.0</v>
      </c>
      <c r="N1496" s="51"/>
      <c r="O1496" s="20"/>
      <c r="P1496" s="20"/>
      <c r="Q1496" s="20"/>
      <c r="R1496" s="20"/>
      <c r="S1496" s="20"/>
    </row>
    <row r="1497">
      <c r="A1497" s="76" t="s">
        <v>6806</v>
      </c>
      <c r="B1497" s="97">
        <v>46165.0</v>
      </c>
      <c r="C1497" s="76" t="s">
        <v>6807</v>
      </c>
      <c r="D1497" s="99" t="s">
        <v>6808</v>
      </c>
      <c r="E1497" s="25" t="s">
        <v>128</v>
      </c>
      <c r="F1497" s="25" t="s">
        <v>18</v>
      </c>
      <c r="G1497" s="25" t="s">
        <v>42</v>
      </c>
      <c r="H1497" s="76" t="s">
        <v>5658</v>
      </c>
      <c r="I1497" s="118">
        <v>46173.0</v>
      </c>
      <c r="J1497" s="76">
        <v>4.0</v>
      </c>
      <c r="K1497" s="46"/>
      <c r="L1497" s="76" t="s">
        <v>3493</v>
      </c>
      <c r="M1497" s="44">
        <v>8.0</v>
      </c>
      <c r="N1497" s="45"/>
      <c r="O1497" s="20"/>
      <c r="P1497" s="20"/>
      <c r="Q1497" s="20"/>
      <c r="R1497" s="20"/>
      <c r="S1497" s="20"/>
    </row>
    <row r="1498">
      <c r="A1498" s="49" t="s">
        <v>6809</v>
      </c>
      <c r="B1498" s="110">
        <v>46165.0</v>
      </c>
      <c r="C1498" s="49" t="s">
        <v>6810</v>
      </c>
      <c r="D1498" s="102" t="s">
        <v>6811</v>
      </c>
      <c r="E1498" s="25" t="s">
        <v>128</v>
      </c>
      <c r="F1498" s="25" t="s">
        <v>18</v>
      </c>
      <c r="G1498" s="25" t="s">
        <v>42</v>
      </c>
      <c r="H1498" s="49" t="s">
        <v>3210</v>
      </c>
      <c r="I1498" s="101">
        <v>46172.0</v>
      </c>
      <c r="J1498" s="49">
        <v>2.0</v>
      </c>
      <c r="K1498" s="30">
        <f>2445000*2</f>
        <v>4890000</v>
      </c>
      <c r="L1498" s="49" t="s">
        <v>6812</v>
      </c>
      <c r="M1498" s="50">
        <v>8.0</v>
      </c>
      <c r="N1498" s="51"/>
      <c r="O1498" s="20"/>
      <c r="P1498" s="20"/>
      <c r="Q1498" s="20"/>
      <c r="R1498" s="20"/>
      <c r="S1498" s="20"/>
    </row>
    <row r="1499">
      <c r="A1499" s="76" t="s">
        <v>6813</v>
      </c>
      <c r="B1499" s="97">
        <v>46166.0</v>
      </c>
      <c r="C1499" s="76" t="s">
        <v>6448</v>
      </c>
      <c r="D1499" s="99" t="s">
        <v>6449</v>
      </c>
      <c r="E1499" s="25" t="s">
        <v>17</v>
      </c>
      <c r="F1499" s="25" t="s">
        <v>18</v>
      </c>
      <c r="G1499" s="25" t="s">
        <v>42</v>
      </c>
      <c r="H1499" s="76" t="s">
        <v>2462</v>
      </c>
      <c r="I1499" s="76" t="s">
        <v>6814</v>
      </c>
      <c r="J1499" s="76">
        <v>4.0</v>
      </c>
      <c r="K1499" s="46">
        <f>2375000*4</f>
        <v>9500000</v>
      </c>
      <c r="L1499" s="76" t="s">
        <v>840</v>
      </c>
      <c r="M1499" s="44">
        <v>8.0</v>
      </c>
      <c r="N1499" s="45"/>
      <c r="O1499" s="20"/>
      <c r="P1499" s="20"/>
      <c r="Q1499" s="20"/>
      <c r="R1499" s="20"/>
      <c r="S1499" s="20"/>
    </row>
    <row r="1500">
      <c r="A1500" s="49" t="s">
        <v>6815</v>
      </c>
      <c r="B1500" s="110">
        <v>46166.0</v>
      </c>
      <c r="C1500" s="49" t="s">
        <v>6816</v>
      </c>
      <c r="D1500" s="102" t="s">
        <v>6817</v>
      </c>
      <c r="E1500" s="25" t="s">
        <v>17</v>
      </c>
      <c r="F1500" s="25" t="s">
        <v>18</v>
      </c>
      <c r="G1500" s="25" t="s">
        <v>42</v>
      </c>
      <c r="H1500" s="49" t="s">
        <v>179</v>
      </c>
      <c r="I1500" s="101">
        <v>46172.0</v>
      </c>
      <c r="J1500" s="49">
        <v>5.0</v>
      </c>
      <c r="K1500" s="30"/>
      <c r="L1500" s="49" t="s">
        <v>3493</v>
      </c>
      <c r="M1500" s="50">
        <v>8.0</v>
      </c>
      <c r="N1500" s="51"/>
      <c r="O1500" s="20"/>
      <c r="P1500" s="20"/>
      <c r="Q1500" s="20"/>
      <c r="R1500" s="20"/>
      <c r="S1500" s="20"/>
    </row>
    <row r="1501">
      <c r="A1501" s="76" t="s">
        <v>6818</v>
      </c>
      <c r="B1501" s="97">
        <v>46166.0</v>
      </c>
      <c r="C1501" s="76" t="s">
        <v>6819</v>
      </c>
      <c r="D1501" s="99" t="s">
        <v>6820</v>
      </c>
      <c r="E1501" s="25" t="s">
        <v>128</v>
      </c>
      <c r="F1501" s="25" t="s">
        <v>18</v>
      </c>
      <c r="G1501" s="25" t="s">
        <v>42</v>
      </c>
      <c r="H1501" s="76" t="s">
        <v>5957</v>
      </c>
      <c r="I1501" s="76" t="s">
        <v>6821</v>
      </c>
      <c r="J1501" s="76">
        <v>2.0</v>
      </c>
      <c r="K1501" s="46">
        <f>1794000*2</f>
        <v>3588000</v>
      </c>
      <c r="L1501" s="76" t="s">
        <v>6734</v>
      </c>
      <c r="M1501" s="44">
        <v>8.0</v>
      </c>
      <c r="N1501" s="45"/>
      <c r="O1501" s="20"/>
      <c r="P1501" s="20"/>
      <c r="Q1501" s="20"/>
      <c r="R1501" s="20"/>
      <c r="S1501" s="20"/>
    </row>
    <row r="1502">
      <c r="A1502" s="49" t="s">
        <v>6822</v>
      </c>
      <c r="B1502" s="110">
        <v>46166.0</v>
      </c>
      <c r="C1502" s="49" t="s">
        <v>6823</v>
      </c>
      <c r="D1502" s="102" t="s">
        <v>6824</v>
      </c>
      <c r="E1502" s="25" t="s">
        <v>17</v>
      </c>
      <c r="F1502" s="25" t="s">
        <v>18</v>
      </c>
      <c r="G1502" s="25" t="s">
        <v>42</v>
      </c>
      <c r="H1502" s="49" t="s">
        <v>2462</v>
      </c>
      <c r="I1502" s="49" t="s">
        <v>1348</v>
      </c>
      <c r="J1502" s="49">
        <v>15.0</v>
      </c>
      <c r="K1502" s="30">
        <f>1030000*15</f>
        <v>15450000</v>
      </c>
      <c r="L1502" s="49" t="s">
        <v>6825</v>
      </c>
      <c r="M1502" s="50">
        <v>8.0</v>
      </c>
      <c r="N1502" s="51"/>
      <c r="O1502" s="20"/>
      <c r="P1502" s="20"/>
      <c r="Q1502" s="20"/>
      <c r="R1502" s="20"/>
      <c r="S1502" s="20"/>
    </row>
    <row r="1503">
      <c r="A1503" s="76" t="s">
        <v>6826</v>
      </c>
      <c r="B1503" s="97">
        <v>46166.0</v>
      </c>
      <c r="C1503" s="76" t="s">
        <v>6827</v>
      </c>
      <c r="D1503" s="99" t="s">
        <v>6828</v>
      </c>
      <c r="E1503" s="25" t="s">
        <v>122</v>
      </c>
      <c r="F1503" s="25" t="s">
        <v>18</v>
      </c>
      <c r="G1503" s="25" t="s">
        <v>19</v>
      </c>
      <c r="H1503" s="76" t="s">
        <v>6829</v>
      </c>
      <c r="I1503" s="10"/>
      <c r="J1503" s="76">
        <v>5.0</v>
      </c>
      <c r="K1503" s="46">
        <f>460000*5</f>
        <v>2300000</v>
      </c>
      <c r="L1503" s="76" t="s">
        <v>4896</v>
      </c>
      <c r="M1503" s="44">
        <v>7.0</v>
      </c>
      <c r="N1503" s="45"/>
      <c r="O1503" s="20"/>
      <c r="P1503" s="20"/>
      <c r="Q1503" s="20"/>
      <c r="R1503" s="20"/>
      <c r="S1503" s="20"/>
    </row>
    <row r="1504">
      <c r="A1504" s="49" t="s">
        <v>6830</v>
      </c>
      <c r="B1504" s="110">
        <v>46166.0</v>
      </c>
      <c r="C1504" s="49" t="s">
        <v>6831</v>
      </c>
      <c r="D1504" s="102" t="s">
        <v>6832</v>
      </c>
      <c r="E1504" s="25" t="s">
        <v>122</v>
      </c>
      <c r="F1504" s="25" t="s">
        <v>18</v>
      </c>
      <c r="G1504" s="25" t="s">
        <v>42</v>
      </c>
      <c r="H1504" s="49" t="s">
        <v>5664</v>
      </c>
      <c r="I1504" s="101">
        <v>46179.0</v>
      </c>
      <c r="J1504" s="49">
        <v>3.0</v>
      </c>
      <c r="K1504" s="30">
        <f>733000*3</f>
        <v>2199000</v>
      </c>
      <c r="L1504" s="49"/>
      <c r="M1504" s="50">
        <v>8.0</v>
      </c>
      <c r="N1504" s="51"/>
      <c r="O1504" s="20"/>
      <c r="P1504" s="20"/>
      <c r="Q1504" s="20"/>
      <c r="R1504" s="20"/>
      <c r="S1504" s="20"/>
    </row>
    <row r="1505">
      <c r="A1505" s="76" t="s">
        <v>6833</v>
      </c>
      <c r="B1505" s="97">
        <v>46167.0</v>
      </c>
      <c r="C1505" s="76" t="s">
        <v>6834</v>
      </c>
      <c r="D1505" s="99" t="s">
        <v>6835</v>
      </c>
      <c r="E1505" s="25" t="s">
        <v>128</v>
      </c>
      <c r="F1505" s="25" t="s">
        <v>18</v>
      </c>
      <c r="G1505" s="25" t="s">
        <v>42</v>
      </c>
      <c r="H1505" s="76" t="s">
        <v>5646</v>
      </c>
      <c r="I1505" s="76" t="s">
        <v>5441</v>
      </c>
      <c r="J1505" s="76">
        <v>4.0</v>
      </c>
      <c r="K1505" s="46">
        <f>550000*4</f>
        <v>2200000</v>
      </c>
      <c r="L1505" s="76"/>
      <c r="M1505" s="44">
        <v>8.0</v>
      </c>
      <c r="N1505" s="45"/>
      <c r="O1505" s="20"/>
      <c r="P1505" s="20"/>
      <c r="Q1505" s="20"/>
      <c r="R1505" s="20"/>
      <c r="S1505" s="20"/>
    </row>
    <row r="1506">
      <c r="A1506" s="49" t="s">
        <v>6836</v>
      </c>
      <c r="B1506" s="110">
        <v>46167.0</v>
      </c>
      <c r="C1506" s="49" t="s">
        <v>2285</v>
      </c>
      <c r="D1506" s="102" t="s">
        <v>6560</v>
      </c>
      <c r="E1506" s="25" t="s">
        <v>128</v>
      </c>
      <c r="F1506" s="25" t="s">
        <v>18</v>
      </c>
      <c r="G1506" s="25" t="s">
        <v>42</v>
      </c>
      <c r="H1506" s="23"/>
      <c r="I1506" s="23"/>
      <c r="J1506" s="23"/>
      <c r="K1506" s="30"/>
      <c r="L1506" s="49" t="s">
        <v>6837</v>
      </c>
      <c r="M1506" s="50">
        <v>8.0</v>
      </c>
      <c r="N1506" s="51"/>
      <c r="O1506" s="20"/>
      <c r="P1506" s="20"/>
      <c r="Q1506" s="20"/>
      <c r="R1506" s="20"/>
      <c r="S1506" s="20"/>
    </row>
    <row r="1507">
      <c r="A1507" s="76" t="s">
        <v>6838</v>
      </c>
      <c r="B1507" s="97">
        <v>46167.0</v>
      </c>
      <c r="C1507" s="76" t="s">
        <v>6839</v>
      </c>
      <c r="D1507" s="99" t="s">
        <v>6840</v>
      </c>
      <c r="E1507" s="25" t="s">
        <v>17</v>
      </c>
      <c r="F1507" s="25" t="s">
        <v>18</v>
      </c>
      <c r="G1507" s="25" t="s">
        <v>42</v>
      </c>
      <c r="H1507" s="76" t="s">
        <v>6841</v>
      </c>
      <c r="I1507" s="118">
        <v>46193.0</v>
      </c>
      <c r="J1507" s="10"/>
      <c r="K1507" s="46"/>
      <c r="L1507" s="76" t="s">
        <v>6842</v>
      </c>
      <c r="M1507" s="44">
        <v>8.0</v>
      </c>
      <c r="N1507" s="45"/>
      <c r="O1507" s="20"/>
      <c r="P1507" s="20"/>
      <c r="Q1507" s="20"/>
      <c r="R1507" s="20"/>
      <c r="S1507" s="20"/>
    </row>
    <row r="1508">
      <c r="A1508" s="49" t="s">
        <v>6843</v>
      </c>
      <c r="B1508" s="110">
        <v>46167.0</v>
      </c>
      <c r="C1508" s="49" t="s">
        <v>6844</v>
      </c>
      <c r="D1508" s="102" t="s">
        <v>6845</v>
      </c>
      <c r="E1508" s="25" t="s">
        <v>128</v>
      </c>
      <c r="F1508" s="25" t="s">
        <v>18</v>
      </c>
      <c r="G1508" s="25" t="s">
        <v>34</v>
      </c>
      <c r="H1508" s="49" t="s">
        <v>2462</v>
      </c>
      <c r="I1508" s="49" t="s">
        <v>6846</v>
      </c>
      <c r="J1508" s="49">
        <v>2.0</v>
      </c>
      <c r="K1508" s="30">
        <f>3064000*2</f>
        <v>6128000</v>
      </c>
      <c r="L1508" s="49" t="s">
        <v>6847</v>
      </c>
      <c r="M1508" s="50">
        <v>2.0</v>
      </c>
      <c r="N1508" s="51"/>
      <c r="O1508" s="20"/>
      <c r="P1508" s="20"/>
      <c r="Q1508" s="20"/>
      <c r="R1508" s="20"/>
      <c r="S1508" s="20"/>
    </row>
    <row r="1509">
      <c r="A1509" s="76" t="s">
        <v>6848</v>
      </c>
      <c r="B1509" s="97">
        <v>46168.0</v>
      </c>
      <c r="C1509" s="76" t="s">
        <v>6849</v>
      </c>
      <c r="D1509" s="99" t="s">
        <v>6850</v>
      </c>
      <c r="E1509" s="25" t="s">
        <v>17</v>
      </c>
      <c r="F1509" s="25" t="s">
        <v>18</v>
      </c>
      <c r="G1509" s="25" t="s">
        <v>42</v>
      </c>
      <c r="H1509" s="76" t="s">
        <v>3643</v>
      </c>
      <c r="I1509" s="118">
        <v>46172.0</v>
      </c>
      <c r="J1509" s="76">
        <v>2.0</v>
      </c>
      <c r="K1509" s="19">
        <v>500000.0</v>
      </c>
      <c r="L1509" s="76" t="s">
        <v>2141</v>
      </c>
      <c r="M1509" s="44">
        <v>8.0</v>
      </c>
      <c r="N1509" s="45"/>
      <c r="O1509" s="20"/>
      <c r="P1509" s="20"/>
      <c r="Q1509" s="20"/>
      <c r="R1509" s="20"/>
      <c r="S1509" s="20"/>
    </row>
    <row r="1510">
      <c r="A1510" s="49" t="s">
        <v>6851</v>
      </c>
      <c r="B1510" s="110">
        <v>46167.0</v>
      </c>
      <c r="C1510" s="49" t="s">
        <v>6852</v>
      </c>
      <c r="D1510" s="102" t="s">
        <v>6853</v>
      </c>
      <c r="E1510" s="25" t="s">
        <v>128</v>
      </c>
      <c r="F1510" s="25" t="s">
        <v>18</v>
      </c>
      <c r="G1510" s="25" t="s">
        <v>42</v>
      </c>
      <c r="H1510" s="49" t="s">
        <v>3711</v>
      </c>
      <c r="I1510" s="23"/>
      <c r="J1510" s="23"/>
      <c r="K1510" s="30"/>
      <c r="L1510" s="49" t="s">
        <v>3133</v>
      </c>
      <c r="M1510" s="50">
        <v>8.0</v>
      </c>
      <c r="N1510" s="51"/>
      <c r="O1510" s="20"/>
      <c r="P1510" s="20"/>
      <c r="Q1510" s="20"/>
      <c r="R1510" s="20"/>
      <c r="S1510" s="20"/>
    </row>
    <row r="1511">
      <c r="A1511" s="76" t="s">
        <v>6854</v>
      </c>
      <c r="B1511" s="97">
        <v>46167.0</v>
      </c>
      <c r="C1511" s="76" t="s">
        <v>6855</v>
      </c>
      <c r="D1511" s="99" t="s">
        <v>6856</v>
      </c>
      <c r="E1511" s="25" t="s">
        <v>122</v>
      </c>
      <c r="F1511" s="25" t="s">
        <v>18</v>
      </c>
      <c r="G1511" s="25" t="s">
        <v>42</v>
      </c>
      <c r="H1511" s="76" t="s">
        <v>6857</v>
      </c>
      <c r="I1511" s="118">
        <v>46171.0</v>
      </c>
      <c r="J1511" s="76">
        <v>1.0</v>
      </c>
      <c r="K1511" s="19">
        <v>160000.0</v>
      </c>
      <c r="L1511" s="76" t="s">
        <v>3133</v>
      </c>
      <c r="M1511" s="44">
        <v>8.0</v>
      </c>
      <c r="N1511" s="45"/>
      <c r="O1511" s="20"/>
      <c r="P1511" s="20"/>
      <c r="Q1511" s="20"/>
      <c r="R1511" s="20"/>
      <c r="S1511" s="20"/>
    </row>
    <row r="1512">
      <c r="A1512" s="49" t="s">
        <v>6858</v>
      </c>
      <c r="B1512" s="110">
        <v>46167.0</v>
      </c>
      <c r="C1512" s="49" t="s">
        <v>6859</v>
      </c>
      <c r="D1512" s="102" t="s">
        <v>6860</v>
      </c>
      <c r="E1512" s="25" t="s">
        <v>17</v>
      </c>
      <c r="F1512" s="25" t="s">
        <v>18</v>
      </c>
      <c r="G1512" s="25" t="s">
        <v>42</v>
      </c>
      <c r="H1512" s="49" t="s">
        <v>2462</v>
      </c>
      <c r="I1512" s="49" t="s">
        <v>4827</v>
      </c>
      <c r="J1512" s="49">
        <v>50.0</v>
      </c>
      <c r="K1512" s="30"/>
      <c r="L1512" s="49"/>
      <c r="M1512" s="50">
        <v>8.0</v>
      </c>
      <c r="N1512" s="51"/>
      <c r="O1512" s="20"/>
      <c r="P1512" s="20"/>
      <c r="Q1512" s="20"/>
      <c r="R1512" s="20"/>
      <c r="S1512" s="20"/>
    </row>
    <row r="1513">
      <c r="A1513" s="76" t="s">
        <v>6861</v>
      </c>
      <c r="B1513" s="97">
        <v>46168.0</v>
      </c>
      <c r="C1513" s="76" t="s">
        <v>6862</v>
      </c>
      <c r="D1513" s="99" t="s">
        <v>6863</v>
      </c>
      <c r="E1513" s="25" t="s">
        <v>128</v>
      </c>
      <c r="F1513" s="25" t="s">
        <v>18</v>
      </c>
      <c r="G1513" s="25" t="s">
        <v>42</v>
      </c>
      <c r="H1513" s="76" t="s">
        <v>5658</v>
      </c>
      <c r="I1513" s="76" t="s">
        <v>1348</v>
      </c>
      <c r="J1513" s="76">
        <v>3.0</v>
      </c>
      <c r="K1513" s="46"/>
      <c r="L1513" s="76" t="s">
        <v>174</v>
      </c>
      <c r="M1513" s="44">
        <v>8.0</v>
      </c>
      <c r="N1513" s="45"/>
      <c r="O1513" s="20"/>
      <c r="P1513" s="20"/>
      <c r="Q1513" s="20"/>
      <c r="R1513" s="20"/>
      <c r="S1513" s="20"/>
    </row>
    <row r="1514">
      <c r="A1514" s="49" t="s">
        <v>6864</v>
      </c>
      <c r="B1514" s="110">
        <v>46168.0</v>
      </c>
      <c r="C1514" s="49" t="s">
        <v>6865</v>
      </c>
      <c r="D1514" s="102" t="s">
        <v>6866</v>
      </c>
      <c r="E1514" s="25" t="s">
        <v>17</v>
      </c>
      <c r="F1514" s="25" t="s">
        <v>18</v>
      </c>
      <c r="G1514" s="25" t="s">
        <v>42</v>
      </c>
      <c r="H1514" s="49" t="s">
        <v>6867</v>
      </c>
      <c r="I1514" s="101">
        <v>46170.0</v>
      </c>
      <c r="J1514" s="23"/>
      <c r="K1514" s="30"/>
      <c r="L1514" s="49" t="s">
        <v>4347</v>
      </c>
      <c r="M1514" s="50">
        <v>8.0</v>
      </c>
      <c r="N1514" s="51"/>
      <c r="O1514" s="20"/>
      <c r="P1514" s="20"/>
      <c r="Q1514" s="20"/>
      <c r="R1514" s="20"/>
      <c r="S1514" s="20"/>
    </row>
    <row r="1515">
      <c r="A1515" s="76" t="s">
        <v>6868</v>
      </c>
      <c r="B1515" s="97">
        <v>46168.0</v>
      </c>
      <c r="C1515" s="76" t="s">
        <v>2285</v>
      </c>
      <c r="D1515" s="99" t="s">
        <v>6869</v>
      </c>
      <c r="E1515" s="25" t="s">
        <v>128</v>
      </c>
      <c r="F1515" s="25" t="s">
        <v>18</v>
      </c>
      <c r="G1515" s="25" t="s">
        <v>42</v>
      </c>
      <c r="H1515" s="76" t="s">
        <v>5646</v>
      </c>
      <c r="I1515" s="10"/>
      <c r="J1515" s="76">
        <v>3.0</v>
      </c>
      <c r="K1515" s="46">
        <f>550000*3</f>
        <v>1650000</v>
      </c>
      <c r="L1515" s="76" t="s">
        <v>4347</v>
      </c>
      <c r="M1515" s="44">
        <v>8.0</v>
      </c>
      <c r="N1515" s="45"/>
      <c r="O1515" s="20"/>
      <c r="P1515" s="20"/>
      <c r="Q1515" s="20"/>
      <c r="R1515" s="20"/>
      <c r="S1515" s="20"/>
    </row>
    <row r="1516">
      <c r="A1516" s="49" t="s">
        <v>6870</v>
      </c>
      <c r="B1516" s="110">
        <v>46164.0</v>
      </c>
      <c r="C1516" s="49" t="s">
        <v>6871</v>
      </c>
      <c r="D1516" s="102" t="s">
        <v>6872</v>
      </c>
      <c r="E1516" s="25" t="s">
        <v>17</v>
      </c>
      <c r="F1516" s="25" t="s">
        <v>18</v>
      </c>
      <c r="G1516" s="25" t="s">
        <v>19</v>
      </c>
      <c r="H1516" s="49" t="s">
        <v>2462</v>
      </c>
      <c r="I1516" s="49" t="s">
        <v>6873</v>
      </c>
      <c r="J1516" s="49">
        <v>5.0</v>
      </c>
      <c r="K1516" s="30">
        <f>1545000*5</f>
        <v>7725000</v>
      </c>
      <c r="L1516" s="49" t="s">
        <v>6874</v>
      </c>
      <c r="M1516" s="50">
        <v>7.0</v>
      </c>
      <c r="N1516" s="51"/>
      <c r="O1516" s="20"/>
      <c r="P1516" s="20"/>
      <c r="Q1516" s="20"/>
      <c r="R1516" s="20"/>
      <c r="S1516" s="20"/>
    </row>
    <row r="1517">
      <c r="A1517" s="76" t="s">
        <v>6875</v>
      </c>
      <c r="B1517" s="97">
        <v>46169.0</v>
      </c>
      <c r="C1517" s="76" t="s">
        <v>6876</v>
      </c>
      <c r="D1517" s="99" t="s">
        <v>6877</v>
      </c>
      <c r="E1517" s="25" t="s">
        <v>122</v>
      </c>
      <c r="F1517" s="25" t="s">
        <v>18</v>
      </c>
      <c r="G1517" s="25" t="s">
        <v>42</v>
      </c>
      <c r="H1517" s="76" t="s">
        <v>3429</v>
      </c>
      <c r="I1517" s="76" t="s">
        <v>4851</v>
      </c>
      <c r="J1517" s="76">
        <v>2.0</v>
      </c>
      <c r="K1517" s="19">
        <v>8378000.0</v>
      </c>
      <c r="L1517" s="76" t="s">
        <v>6878</v>
      </c>
      <c r="M1517" s="44">
        <v>8.0</v>
      </c>
      <c r="N1517" s="45"/>
      <c r="O1517" s="20"/>
      <c r="P1517" s="20"/>
      <c r="Q1517" s="20"/>
      <c r="R1517" s="20"/>
      <c r="S1517" s="20"/>
    </row>
    <row r="1518">
      <c r="A1518" s="49" t="s">
        <v>6879</v>
      </c>
      <c r="B1518" s="110">
        <v>46158.0</v>
      </c>
      <c r="C1518" s="49" t="s">
        <v>6880</v>
      </c>
      <c r="D1518" s="102" t="s">
        <v>6881</v>
      </c>
      <c r="E1518" s="25" t="s">
        <v>122</v>
      </c>
      <c r="F1518" s="25" t="s">
        <v>18</v>
      </c>
      <c r="G1518" s="25" t="s">
        <v>42</v>
      </c>
      <c r="H1518" s="49" t="s">
        <v>6882</v>
      </c>
      <c r="I1518" s="101">
        <v>46172.0</v>
      </c>
      <c r="J1518" s="23"/>
      <c r="K1518" s="30"/>
      <c r="L1518" s="49" t="s">
        <v>3493</v>
      </c>
      <c r="M1518" s="50">
        <v>8.0</v>
      </c>
      <c r="N1518" s="51"/>
      <c r="O1518" s="20"/>
      <c r="P1518" s="20"/>
      <c r="Q1518" s="20"/>
      <c r="R1518" s="20"/>
      <c r="S1518" s="20"/>
    </row>
    <row r="1519">
      <c r="A1519" s="76" t="s">
        <v>6883</v>
      </c>
      <c r="B1519" s="97">
        <v>46169.0</v>
      </c>
      <c r="C1519" s="76" t="s">
        <v>6884</v>
      </c>
      <c r="D1519" s="99" t="s">
        <v>6885</v>
      </c>
      <c r="E1519" s="25" t="s">
        <v>128</v>
      </c>
      <c r="F1519" s="25" t="s">
        <v>18</v>
      </c>
      <c r="G1519" s="25" t="s">
        <v>42</v>
      </c>
      <c r="H1519" s="10"/>
      <c r="I1519" s="10"/>
      <c r="J1519" s="10"/>
      <c r="K1519" s="46"/>
      <c r="L1519" s="76" t="s">
        <v>4347</v>
      </c>
      <c r="M1519" s="44">
        <v>8.0</v>
      </c>
      <c r="N1519" s="45"/>
      <c r="O1519" s="20"/>
      <c r="P1519" s="20"/>
      <c r="Q1519" s="20"/>
      <c r="R1519" s="20"/>
      <c r="S1519" s="20"/>
    </row>
    <row r="1520">
      <c r="A1520" s="49" t="s">
        <v>6886</v>
      </c>
      <c r="B1520" s="110">
        <v>46169.0</v>
      </c>
      <c r="C1520" s="49" t="s">
        <v>6630</v>
      </c>
      <c r="D1520" s="102" t="s">
        <v>6631</v>
      </c>
      <c r="E1520" s="25" t="s">
        <v>128</v>
      </c>
      <c r="F1520" s="25" t="s">
        <v>18</v>
      </c>
      <c r="G1520" s="25" t="s">
        <v>42</v>
      </c>
      <c r="H1520" s="49" t="s">
        <v>5658</v>
      </c>
      <c r="I1520" s="23"/>
      <c r="J1520" s="23"/>
      <c r="K1520" s="30"/>
      <c r="L1520" s="49" t="s">
        <v>4347</v>
      </c>
      <c r="M1520" s="50">
        <v>8.0</v>
      </c>
      <c r="N1520" s="51"/>
      <c r="O1520" s="20"/>
      <c r="P1520" s="20"/>
      <c r="Q1520" s="20"/>
      <c r="R1520" s="20"/>
      <c r="S1520" s="20"/>
    </row>
    <row r="1521">
      <c r="A1521" s="76" t="s">
        <v>6887</v>
      </c>
      <c r="B1521" s="97">
        <v>46168.0</v>
      </c>
      <c r="C1521" s="76" t="s">
        <v>6014</v>
      </c>
      <c r="D1521" s="99" t="s">
        <v>6015</v>
      </c>
      <c r="E1521" s="25" t="s">
        <v>17</v>
      </c>
      <c r="F1521" s="25" t="s">
        <v>18</v>
      </c>
      <c r="G1521" s="25" t="s">
        <v>42</v>
      </c>
      <c r="H1521" s="76" t="s">
        <v>3210</v>
      </c>
      <c r="I1521" s="76" t="s">
        <v>6888</v>
      </c>
      <c r="J1521" s="76">
        <v>5.0</v>
      </c>
      <c r="K1521" s="46">
        <f>1185000*5</f>
        <v>5925000</v>
      </c>
      <c r="L1521" s="76" t="s">
        <v>4347</v>
      </c>
      <c r="M1521" s="44">
        <v>8.0</v>
      </c>
      <c r="N1521" s="45"/>
      <c r="O1521" s="20"/>
      <c r="P1521" s="20"/>
      <c r="Q1521" s="20"/>
      <c r="R1521" s="20"/>
      <c r="S1521" s="20"/>
    </row>
    <row r="1522">
      <c r="A1522" s="49" t="s">
        <v>6889</v>
      </c>
      <c r="B1522" s="110">
        <v>46169.0</v>
      </c>
      <c r="C1522" s="49" t="s">
        <v>6890</v>
      </c>
      <c r="D1522" s="102" t="s">
        <v>6891</v>
      </c>
      <c r="E1522" s="25" t="s">
        <v>128</v>
      </c>
      <c r="F1522" s="25" t="s">
        <v>18</v>
      </c>
      <c r="G1522" s="25" t="s">
        <v>42</v>
      </c>
      <c r="H1522" s="49" t="s">
        <v>4074</v>
      </c>
      <c r="I1522" s="49" t="s">
        <v>5307</v>
      </c>
      <c r="J1522" s="49">
        <v>40.0</v>
      </c>
      <c r="K1522" s="30"/>
      <c r="L1522" s="49"/>
      <c r="M1522" s="50">
        <v>8.0</v>
      </c>
      <c r="N1522" s="51"/>
      <c r="O1522" s="20"/>
      <c r="P1522" s="20"/>
      <c r="Q1522" s="20"/>
      <c r="R1522" s="20"/>
      <c r="S1522" s="20"/>
    </row>
    <row r="1523">
      <c r="A1523" s="76" t="s">
        <v>6892</v>
      </c>
      <c r="B1523" s="97">
        <v>46170.0</v>
      </c>
      <c r="C1523" s="76" t="s">
        <v>6893</v>
      </c>
      <c r="D1523" s="99" t="s">
        <v>6894</v>
      </c>
      <c r="E1523" s="25" t="s">
        <v>17</v>
      </c>
      <c r="F1523" s="25" t="s">
        <v>18</v>
      </c>
      <c r="G1523" s="25" t="s">
        <v>42</v>
      </c>
      <c r="H1523" s="76" t="s">
        <v>6882</v>
      </c>
      <c r="I1523" s="118">
        <v>46172.0</v>
      </c>
      <c r="J1523" s="76">
        <v>4.0</v>
      </c>
      <c r="K1523" s="46"/>
      <c r="L1523" s="76" t="s">
        <v>3493</v>
      </c>
      <c r="M1523" s="44">
        <v>8.0</v>
      </c>
      <c r="N1523" s="45"/>
      <c r="O1523" s="20"/>
      <c r="P1523" s="20"/>
      <c r="Q1523" s="20"/>
      <c r="R1523" s="20"/>
      <c r="S1523" s="20"/>
    </row>
    <row r="1524">
      <c r="A1524" s="49" t="s">
        <v>6895</v>
      </c>
      <c r="B1524" s="110">
        <v>46170.0</v>
      </c>
      <c r="C1524" s="49" t="s">
        <v>6896</v>
      </c>
      <c r="D1524" s="102" t="s">
        <v>6897</v>
      </c>
      <c r="E1524" s="25" t="s">
        <v>128</v>
      </c>
      <c r="F1524" s="25" t="s">
        <v>18</v>
      </c>
      <c r="G1524" s="25" t="s">
        <v>42</v>
      </c>
      <c r="H1524" s="49" t="s">
        <v>172</v>
      </c>
      <c r="I1524" s="101">
        <v>46186.0</v>
      </c>
      <c r="J1524" s="49">
        <v>2.0</v>
      </c>
      <c r="K1524" s="30">
        <f>1600000*2</f>
        <v>3200000</v>
      </c>
      <c r="L1524" s="49" t="s">
        <v>6898</v>
      </c>
      <c r="M1524" s="50">
        <v>8.0</v>
      </c>
      <c r="N1524" s="51"/>
      <c r="O1524" s="20"/>
      <c r="P1524" s="20"/>
      <c r="Q1524" s="20"/>
      <c r="R1524" s="20"/>
      <c r="S1524" s="20"/>
    </row>
    <row r="1525">
      <c r="A1525" s="76" t="s">
        <v>6899</v>
      </c>
      <c r="B1525" s="97">
        <v>46169.0</v>
      </c>
      <c r="C1525" s="76" t="s">
        <v>6900</v>
      </c>
      <c r="D1525" s="99" t="s">
        <v>6901</v>
      </c>
      <c r="E1525" s="25" t="s">
        <v>128</v>
      </c>
      <c r="F1525" s="25" t="s">
        <v>18</v>
      </c>
      <c r="G1525" s="25" t="s">
        <v>79</v>
      </c>
      <c r="H1525" s="76" t="s">
        <v>5957</v>
      </c>
      <c r="I1525" s="10"/>
      <c r="J1525" s="76">
        <v>3.0</v>
      </c>
      <c r="K1525" s="46"/>
      <c r="L1525" s="76" t="s">
        <v>6902</v>
      </c>
      <c r="M1525" s="44">
        <v>99.0</v>
      </c>
      <c r="N1525" s="45"/>
      <c r="O1525" s="20"/>
      <c r="P1525" s="20"/>
      <c r="Q1525" s="20"/>
      <c r="R1525" s="20"/>
      <c r="S1525" s="20"/>
    </row>
    <row r="1526">
      <c r="A1526" s="49" t="s">
        <v>6903</v>
      </c>
      <c r="B1526" s="110">
        <v>46170.0</v>
      </c>
      <c r="C1526" s="49" t="s">
        <v>6904</v>
      </c>
      <c r="D1526" s="102" t="s">
        <v>6905</v>
      </c>
      <c r="E1526" s="25" t="s">
        <v>17</v>
      </c>
      <c r="F1526" s="25" t="s">
        <v>18</v>
      </c>
      <c r="G1526" s="25" t="s">
        <v>42</v>
      </c>
      <c r="H1526" s="49" t="s">
        <v>3429</v>
      </c>
      <c r="I1526" s="101">
        <v>46210.0</v>
      </c>
      <c r="J1526" s="49">
        <v>3.0</v>
      </c>
      <c r="K1526" s="30">
        <f>2467000*3</f>
        <v>7401000</v>
      </c>
      <c r="L1526" s="49" t="s">
        <v>5619</v>
      </c>
      <c r="M1526" s="50">
        <v>8.0</v>
      </c>
      <c r="N1526" s="51"/>
      <c r="O1526" s="20"/>
      <c r="P1526" s="20"/>
      <c r="Q1526" s="20"/>
      <c r="R1526" s="20"/>
      <c r="S1526" s="20"/>
    </row>
    <row r="1527">
      <c r="A1527" s="76" t="s">
        <v>6906</v>
      </c>
      <c r="B1527" s="97">
        <v>46163.0</v>
      </c>
      <c r="C1527" s="76" t="s">
        <v>187</v>
      </c>
      <c r="D1527" s="99" t="s">
        <v>6907</v>
      </c>
      <c r="E1527" s="25" t="s">
        <v>122</v>
      </c>
      <c r="F1527" s="25" t="s">
        <v>18</v>
      </c>
      <c r="G1527" s="25" t="s">
        <v>43</v>
      </c>
      <c r="H1527" s="76" t="s">
        <v>2462</v>
      </c>
      <c r="I1527" s="10"/>
      <c r="J1527" s="10"/>
      <c r="K1527" s="46"/>
      <c r="L1527" s="76" t="s">
        <v>6908</v>
      </c>
      <c r="M1527" s="44">
        <v>3.0</v>
      </c>
      <c r="N1527" s="45"/>
      <c r="O1527" s="20"/>
      <c r="P1527" s="20"/>
      <c r="Q1527" s="20"/>
      <c r="R1527" s="20"/>
      <c r="S1527" s="20"/>
    </row>
    <row r="1528">
      <c r="A1528" s="49" t="s">
        <v>6909</v>
      </c>
      <c r="B1528" s="110">
        <v>46170.0</v>
      </c>
      <c r="C1528" s="49" t="s">
        <v>1424</v>
      </c>
      <c r="D1528" s="102" t="s">
        <v>6910</v>
      </c>
      <c r="E1528" s="25" t="s">
        <v>128</v>
      </c>
      <c r="F1528" s="25" t="s">
        <v>18</v>
      </c>
      <c r="G1528" s="25" t="s">
        <v>42</v>
      </c>
      <c r="H1528" s="49" t="s">
        <v>5658</v>
      </c>
      <c r="I1528" s="101">
        <v>46171.0</v>
      </c>
      <c r="J1528" s="49">
        <v>3.0</v>
      </c>
      <c r="K1528" s="30"/>
      <c r="L1528" s="49" t="s">
        <v>3493</v>
      </c>
      <c r="M1528" s="50">
        <v>8.0</v>
      </c>
      <c r="N1528" s="51"/>
      <c r="O1528" s="20"/>
      <c r="P1528" s="20"/>
      <c r="Q1528" s="20"/>
      <c r="R1528" s="20"/>
      <c r="S1528" s="20"/>
    </row>
    <row r="1529">
      <c r="A1529" s="76" t="s">
        <v>6911</v>
      </c>
      <c r="B1529" s="97">
        <v>46166.0</v>
      </c>
      <c r="C1529" s="76" t="s">
        <v>6912</v>
      </c>
      <c r="D1529" s="99" t="s">
        <v>6913</v>
      </c>
      <c r="E1529" s="25" t="s">
        <v>17</v>
      </c>
      <c r="F1529" s="25" t="s">
        <v>18</v>
      </c>
      <c r="G1529" s="25" t="s">
        <v>42</v>
      </c>
      <c r="H1529" s="76" t="s">
        <v>6246</v>
      </c>
      <c r="I1529" s="10"/>
      <c r="J1529" s="76">
        <v>3.0</v>
      </c>
      <c r="K1529" s="46">
        <f>2134000*3</f>
        <v>6402000</v>
      </c>
      <c r="L1529" s="76" t="s">
        <v>6734</v>
      </c>
      <c r="M1529" s="44">
        <v>8.0</v>
      </c>
      <c r="N1529" s="45"/>
      <c r="O1529" s="20"/>
      <c r="P1529" s="20"/>
      <c r="Q1529" s="20"/>
      <c r="R1529" s="20"/>
      <c r="S1529" s="20"/>
    </row>
    <row r="1530">
      <c r="A1530" s="49" t="s">
        <v>6914</v>
      </c>
      <c r="B1530" s="110">
        <v>46171.0</v>
      </c>
      <c r="C1530" s="49" t="s">
        <v>1461</v>
      </c>
      <c r="D1530" s="102" t="s">
        <v>6915</v>
      </c>
      <c r="E1530" s="25" t="s">
        <v>17</v>
      </c>
      <c r="F1530" s="25" t="s">
        <v>18</v>
      </c>
      <c r="G1530" s="25" t="s">
        <v>42</v>
      </c>
      <c r="H1530" s="49" t="s">
        <v>2066</v>
      </c>
      <c r="I1530" s="23"/>
      <c r="J1530" s="49">
        <v>3.0</v>
      </c>
      <c r="K1530" s="30">
        <f>625000*3</f>
        <v>1875000</v>
      </c>
      <c r="L1530" s="49" t="s">
        <v>6734</v>
      </c>
      <c r="M1530" s="50">
        <v>8.0</v>
      </c>
      <c r="N1530" s="51"/>
      <c r="O1530" s="20"/>
      <c r="P1530" s="20"/>
      <c r="Q1530" s="20"/>
      <c r="R1530" s="20"/>
      <c r="S1530" s="20"/>
    </row>
    <row r="1531">
      <c r="A1531" s="76" t="s">
        <v>6916</v>
      </c>
      <c r="B1531" s="97">
        <v>46171.0</v>
      </c>
      <c r="C1531" s="76" t="s">
        <v>6917</v>
      </c>
      <c r="D1531" s="99" t="s">
        <v>6918</v>
      </c>
      <c r="E1531" s="25" t="s">
        <v>17</v>
      </c>
      <c r="F1531" s="25" t="s">
        <v>18</v>
      </c>
      <c r="G1531" s="25" t="s">
        <v>42</v>
      </c>
      <c r="H1531" s="76" t="s">
        <v>5927</v>
      </c>
      <c r="I1531" s="10"/>
      <c r="J1531" s="76">
        <v>2.0</v>
      </c>
      <c r="K1531" s="46"/>
      <c r="L1531" s="76" t="s">
        <v>6898</v>
      </c>
      <c r="M1531" s="44">
        <v>8.0</v>
      </c>
      <c r="N1531" s="45"/>
      <c r="O1531" s="20"/>
      <c r="P1531" s="20"/>
      <c r="Q1531" s="20"/>
      <c r="R1531" s="20"/>
      <c r="S1531" s="20"/>
    </row>
    <row r="1532">
      <c r="A1532" s="49" t="s">
        <v>6919</v>
      </c>
      <c r="B1532" s="110">
        <v>46171.0</v>
      </c>
      <c r="C1532" s="49" t="s">
        <v>6920</v>
      </c>
      <c r="D1532" s="102" t="s">
        <v>6921</v>
      </c>
      <c r="E1532" s="25" t="s">
        <v>128</v>
      </c>
      <c r="F1532" s="25" t="s">
        <v>18</v>
      </c>
      <c r="G1532" s="25" t="s">
        <v>42</v>
      </c>
      <c r="H1532" s="49" t="s">
        <v>6829</v>
      </c>
      <c r="I1532" s="49" t="s">
        <v>5103</v>
      </c>
      <c r="J1532" s="49">
        <v>2.0</v>
      </c>
      <c r="K1532" s="30"/>
      <c r="L1532" s="49" t="s">
        <v>6922</v>
      </c>
      <c r="M1532" s="50">
        <v>8.0</v>
      </c>
      <c r="N1532" s="51"/>
      <c r="O1532" s="20"/>
      <c r="P1532" s="20"/>
      <c r="Q1532" s="20"/>
      <c r="R1532" s="20"/>
      <c r="S1532" s="20"/>
    </row>
    <row r="1533">
      <c r="A1533" s="76" t="s">
        <v>6923</v>
      </c>
      <c r="B1533" s="97">
        <v>46171.0</v>
      </c>
      <c r="C1533" s="76" t="s">
        <v>6924</v>
      </c>
      <c r="D1533" s="99" t="s">
        <v>6925</v>
      </c>
      <c r="E1533" s="25" t="s">
        <v>122</v>
      </c>
      <c r="F1533" s="25" t="s">
        <v>18</v>
      </c>
      <c r="G1533" s="25" t="s">
        <v>42</v>
      </c>
      <c r="H1533" s="76" t="s">
        <v>2327</v>
      </c>
      <c r="I1533" s="118">
        <v>46172.0</v>
      </c>
      <c r="J1533" s="10"/>
      <c r="K1533" s="46"/>
      <c r="L1533" s="76" t="s">
        <v>3133</v>
      </c>
      <c r="M1533" s="44">
        <v>8.0</v>
      </c>
      <c r="N1533" s="45"/>
      <c r="O1533" s="20"/>
      <c r="P1533" s="20"/>
      <c r="Q1533" s="20"/>
      <c r="R1533" s="20"/>
      <c r="S1533" s="20"/>
    </row>
    <row r="1534">
      <c r="A1534" s="49" t="s">
        <v>6926</v>
      </c>
      <c r="B1534" s="110">
        <v>46171.0</v>
      </c>
      <c r="C1534" s="49" t="s">
        <v>6927</v>
      </c>
      <c r="D1534" s="102" t="s">
        <v>6928</v>
      </c>
      <c r="E1534" s="25" t="s">
        <v>128</v>
      </c>
      <c r="F1534" s="25" t="s">
        <v>18</v>
      </c>
      <c r="G1534" s="25" t="s">
        <v>42</v>
      </c>
      <c r="H1534" s="49" t="s">
        <v>6882</v>
      </c>
      <c r="I1534" s="101">
        <v>46173.0</v>
      </c>
      <c r="J1534" s="23"/>
      <c r="K1534" s="30"/>
      <c r="L1534" s="49" t="s">
        <v>3493</v>
      </c>
      <c r="M1534" s="50">
        <v>8.0</v>
      </c>
      <c r="N1534" s="51"/>
      <c r="O1534" s="20"/>
      <c r="P1534" s="20"/>
      <c r="Q1534" s="20"/>
      <c r="R1534" s="20"/>
      <c r="S1534" s="20"/>
    </row>
    <row r="1535">
      <c r="A1535" s="76" t="s">
        <v>6929</v>
      </c>
      <c r="B1535" s="97">
        <v>46171.0</v>
      </c>
      <c r="C1535" s="76" t="s">
        <v>6930</v>
      </c>
      <c r="D1535" s="99" t="s">
        <v>6931</v>
      </c>
      <c r="E1535" s="25" t="s">
        <v>122</v>
      </c>
      <c r="F1535" s="25" t="s">
        <v>983</v>
      </c>
      <c r="G1535" s="25" t="s">
        <v>42</v>
      </c>
      <c r="H1535" s="76" t="s">
        <v>6882</v>
      </c>
      <c r="I1535" s="118">
        <v>46172.0</v>
      </c>
      <c r="J1535" s="76">
        <v>3.0</v>
      </c>
      <c r="K1535" s="46"/>
      <c r="L1535" s="76" t="s">
        <v>3493</v>
      </c>
      <c r="M1535" s="44">
        <v>8.0</v>
      </c>
      <c r="N1535" s="45"/>
      <c r="O1535" s="20"/>
      <c r="P1535" s="20"/>
      <c r="Q1535" s="20"/>
      <c r="R1535" s="20"/>
      <c r="S1535" s="20"/>
    </row>
    <row r="1536">
      <c r="A1536" s="49" t="s">
        <v>6932</v>
      </c>
      <c r="B1536" s="110">
        <v>46171.0</v>
      </c>
      <c r="C1536" s="49" t="s">
        <v>6933</v>
      </c>
      <c r="D1536" s="102" t="s">
        <v>6934</v>
      </c>
      <c r="E1536" s="25" t="s">
        <v>128</v>
      </c>
      <c r="F1536" s="25" t="s">
        <v>129</v>
      </c>
      <c r="G1536" s="25" t="s">
        <v>29</v>
      </c>
      <c r="H1536" s="76" t="s">
        <v>6608</v>
      </c>
      <c r="I1536" s="101">
        <v>46195.0</v>
      </c>
      <c r="J1536" s="49">
        <v>2.0</v>
      </c>
      <c r="K1536" s="30"/>
      <c r="L1536" s="49" t="s">
        <v>6451</v>
      </c>
      <c r="M1536" s="50">
        <v>1.0</v>
      </c>
      <c r="N1536" s="51"/>
      <c r="O1536" s="20"/>
      <c r="P1536" s="20"/>
      <c r="Q1536" s="20"/>
      <c r="R1536" s="20"/>
      <c r="S1536" s="20"/>
    </row>
    <row r="1537">
      <c r="A1537" s="76" t="s">
        <v>6935</v>
      </c>
      <c r="B1537" s="97">
        <v>46171.0</v>
      </c>
      <c r="C1537" s="76" t="s">
        <v>6936</v>
      </c>
      <c r="D1537" s="102" t="s">
        <v>6937</v>
      </c>
      <c r="E1537" s="25" t="s">
        <v>128</v>
      </c>
      <c r="F1537" s="25" t="s">
        <v>129</v>
      </c>
      <c r="G1537" s="25" t="s">
        <v>29</v>
      </c>
      <c r="H1537" s="76" t="s">
        <v>3837</v>
      </c>
      <c r="I1537" s="10"/>
      <c r="J1537" s="76">
        <v>2.0</v>
      </c>
      <c r="K1537" s="46"/>
      <c r="L1537" s="76" t="s">
        <v>4555</v>
      </c>
      <c r="M1537" s="44">
        <v>1.0</v>
      </c>
      <c r="N1537" s="45"/>
      <c r="O1537" s="20"/>
      <c r="P1537" s="20"/>
      <c r="Q1537" s="20"/>
      <c r="R1537" s="20"/>
      <c r="S1537" s="20"/>
    </row>
    <row r="1538">
      <c r="A1538" s="49" t="s">
        <v>6938</v>
      </c>
      <c r="B1538" s="110">
        <v>46172.0</v>
      </c>
      <c r="C1538" s="49" t="s">
        <v>6939</v>
      </c>
      <c r="D1538" s="102" t="s">
        <v>6940</v>
      </c>
      <c r="E1538" s="25" t="s">
        <v>128</v>
      </c>
      <c r="F1538" s="25" t="s">
        <v>129</v>
      </c>
      <c r="G1538" s="25" t="s">
        <v>42</v>
      </c>
      <c r="H1538" s="49" t="s">
        <v>6941</v>
      </c>
      <c r="I1538" s="101">
        <v>46174.0</v>
      </c>
      <c r="J1538" s="23"/>
      <c r="K1538" s="30"/>
      <c r="L1538" s="49" t="s">
        <v>6942</v>
      </c>
      <c r="M1538" s="50">
        <v>8.0</v>
      </c>
      <c r="N1538" s="51"/>
      <c r="O1538" s="20"/>
      <c r="P1538" s="20"/>
      <c r="Q1538" s="20"/>
      <c r="R1538" s="20"/>
      <c r="S1538" s="20"/>
    </row>
    <row r="1539">
      <c r="A1539" s="76" t="s">
        <v>6943</v>
      </c>
      <c r="B1539" s="97">
        <v>46172.0</v>
      </c>
      <c r="C1539" s="76" t="s">
        <v>6944</v>
      </c>
      <c r="D1539" s="99" t="s">
        <v>6945</v>
      </c>
      <c r="E1539" s="25" t="s">
        <v>128</v>
      </c>
      <c r="F1539" s="25" t="s">
        <v>129</v>
      </c>
      <c r="G1539" s="25" t="s">
        <v>42</v>
      </c>
      <c r="H1539" s="49" t="s">
        <v>747</v>
      </c>
      <c r="I1539" s="76" t="s">
        <v>6946</v>
      </c>
      <c r="J1539" s="76">
        <v>2.0</v>
      </c>
      <c r="K1539" s="46"/>
      <c r="L1539" s="76" t="s">
        <v>3493</v>
      </c>
      <c r="M1539" s="44">
        <v>8.0</v>
      </c>
      <c r="N1539" s="45"/>
      <c r="O1539" s="20"/>
      <c r="P1539" s="20"/>
      <c r="Q1539" s="20"/>
      <c r="R1539" s="20"/>
      <c r="S1539" s="20"/>
    </row>
    <row r="1540">
      <c r="A1540" s="49" t="s">
        <v>6947</v>
      </c>
      <c r="B1540" s="110">
        <v>46172.0</v>
      </c>
      <c r="C1540" s="49" t="s">
        <v>550</v>
      </c>
      <c r="D1540" s="102" t="s">
        <v>6948</v>
      </c>
      <c r="E1540" s="25" t="s">
        <v>128</v>
      </c>
      <c r="F1540" s="25" t="s">
        <v>129</v>
      </c>
      <c r="G1540" s="25" t="s">
        <v>19</v>
      </c>
      <c r="H1540" s="49" t="s">
        <v>747</v>
      </c>
      <c r="I1540" s="101">
        <v>46177.0</v>
      </c>
      <c r="J1540" s="49">
        <v>2.0</v>
      </c>
      <c r="K1540" s="30">
        <f>SUM(400000*J1540)</f>
        <v>800000</v>
      </c>
      <c r="L1540" s="49" t="s">
        <v>6194</v>
      </c>
      <c r="M1540" s="50">
        <v>7.0</v>
      </c>
      <c r="N1540" s="51"/>
      <c r="O1540" s="20"/>
      <c r="P1540" s="20"/>
      <c r="Q1540" s="20"/>
      <c r="R1540" s="20"/>
      <c r="S1540" s="20"/>
    </row>
    <row r="1541">
      <c r="A1541" s="76" t="s">
        <v>6949</v>
      </c>
      <c r="B1541" s="97">
        <v>46172.0</v>
      </c>
      <c r="C1541" s="76" t="s">
        <v>6950</v>
      </c>
      <c r="D1541" s="99" t="s">
        <v>6951</v>
      </c>
      <c r="E1541" s="25" t="s">
        <v>128</v>
      </c>
      <c r="F1541" s="25" t="s">
        <v>129</v>
      </c>
      <c r="G1541" s="25" t="s">
        <v>29</v>
      </c>
      <c r="H1541" s="76" t="s">
        <v>6952</v>
      </c>
      <c r="I1541" s="118">
        <v>46204.0</v>
      </c>
      <c r="J1541" s="76">
        <v>20.0</v>
      </c>
      <c r="K1541" s="46"/>
      <c r="L1541" s="10"/>
      <c r="M1541" s="44">
        <v>1.0</v>
      </c>
      <c r="N1541" s="45"/>
      <c r="O1541" s="20"/>
      <c r="P1541" s="20"/>
      <c r="Q1541" s="20"/>
      <c r="R1541" s="20"/>
      <c r="S1541" s="20"/>
    </row>
    <row r="1542">
      <c r="A1542" s="49" t="s">
        <v>6953</v>
      </c>
      <c r="B1542" s="110">
        <v>46172.0</v>
      </c>
      <c r="C1542" s="49" t="s">
        <v>6954</v>
      </c>
      <c r="D1542" s="102" t="s">
        <v>6955</v>
      </c>
      <c r="E1542" s="25" t="s">
        <v>17</v>
      </c>
      <c r="F1542" s="25" t="s">
        <v>129</v>
      </c>
      <c r="G1542" s="25" t="s">
        <v>19</v>
      </c>
      <c r="H1542" s="49" t="s">
        <v>6956</v>
      </c>
      <c r="I1542" s="101">
        <v>46183.0</v>
      </c>
      <c r="J1542" s="49">
        <v>2.0</v>
      </c>
      <c r="K1542" s="36">
        <v>500000.0</v>
      </c>
      <c r="L1542" s="49" t="s">
        <v>2572</v>
      </c>
      <c r="M1542" s="50">
        <v>7.0</v>
      </c>
      <c r="N1542" s="51"/>
      <c r="O1542" s="20"/>
      <c r="P1542" s="20"/>
      <c r="Q1542" s="20"/>
      <c r="R1542" s="20"/>
      <c r="S1542" s="20"/>
    </row>
    <row r="1543">
      <c r="A1543" s="76" t="s">
        <v>6929</v>
      </c>
      <c r="B1543" s="97">
        <v>46172.0</v>
      </c>
      <c r="C1543" s="76" t="s">
        <v>6957</v>
      </c>
      <c r="D1543" s="99" t="s">
        <v>6958</v>
      </c>
      <c r="E1543" s="25" t="s">
        <v>122</v>
      </c>
      <c r="F1543" s="25" t="s">
        <v>983</v>
      </c>
      <c r="G1543" s="25" t="s">
        <v>42</v>
      </c>
      <c r="H1543" s="76" t="s">
        <v>5658</v>
      </c>
      <c r="I1543" s="118">
        <v>46173.0</v>
      </c>
      <c r="J1543" s="10"/>
      <c r="K1543" s="46"/>
      <c r="L1543" s="76" t="s">
        <v>3493</v>
      </c>
      <c r="M1543" s="44">
        <v>8.0</v>
      </c>
      <c r="N1543" s="45"/>
      <c r="O1543" s="20"/>
      <c r="P1543" s="20"/>
      <c r="Q1543" s="20"/>
      <c r="R1543" s="20"/>
      <c r="S1543" s="20"/>
    </row>
    <row r="1544">
      <c r="A1544" s="49" t="s">
        <v>6959</v>
      </c>
      <c r="B1544" s="110">
        <v>46172.0</v>
      </c>
      <c r="C1544" s="49" t="s">
        <v>6960</v>
      </c>
      <c r="D1544" s="102" t="s">
        <v>6961</v>
      </c>
      <c r="E1544" s="25" t="s">
        <v>17</v>
      </c>
      <c r="F1544" s="25" t="s">
        <v>983</v>
      </c>
      <c r="G1544" s="25" t="s">
        <v>42</v>
      </c>
      <c r="H1544" s="49" t="s">
        <v>2462</v>
      </c>
      <c r="I1544" s="49" t="s">
        <v>4055</v>
      </c>
      <c r="J1544" s="49">
        <v>2.0</v>
      </c>
      <c r="K1544" s="30"/>
      <c r="L1544" s="49" t="s">
        <v>4347</v>
      </c>
      <c r="M1544" s="50">
        <v>8.0</v>
      </c>
      <c r="N1544" s="51"/>
      <c r="O1544" s="20"/>
      <c r="P1544" s="20"/>
      <c r="Q1544" s="20"/>
      <c r="R1544" s="20"/>
      <c r="S1544" s="20"/>
    </row>
    <row r="1545">
      <c r="A1545" s="76" t="s">
        <v>6962</v>
      </c>
      <c r="B1545" s="97">
        <v>46172.0</v>
      </c>
      <c r="C1545" s="76" t="s">
        <v>6963</v>
      </c>
      <c r="D1545" s="99" t="s">
        <v>6964</v>
      </c>
      <c r="E1545" s="25" t="s">
        <v>122</v>
      </c>
      <c r="F1545" s="25" t="s">
        <v>983</v>
      </c>
      <c r="G1545" s="25" t="s">
        <v>19</v>
      </c>
      <c r="H1545" s="76" t="s">
        <v>6965</v>
      </c>
      <c r="I1545" s="76" t="s">
        <v>6966</v>
      </c>
      <c r="J1545" s="76">
        <v>1.0</v>
      </c>
      <c r="K1545" s="46"/>
      <c r="L1545" s="76" t="s">
        <v>1803</v>
      </c>
      <c r="M1545" s="44">
        <v>7.0</v>
      </c>
      <c r="N1545" s="45"/>
      <c r="O1545" s="20"/>
      <c r="P1545" s="20"/>
      <c r="Q1545" s="20"/>
      <c r="R1545" s="20"/>
      <c r="S1545" s="20"/>
    </row>
    <row r="1546">
      <c r="A1546" s="49" t="s">
        <v>6967</v>
      </c>
      <c r="B1546" s="110">
        <v>46172.0</v>
      </c>
      <c r="C1546" s="49" t="s">
        <v>6968</v>
      </c>
      <c r="D1546" s="102" t="s">
        <v>6969</v>
      </c>
      <c r="E1546" s="25" t="s">
        <v>128</v>
      </c>
      <c r="F1546" s="25" t="s">
        <v>983</v>
      </c>
      <c r="G1546" s="25" t="s">
        <v>42</v>
      </c>
      <c r="H1546" s="49" t="s">
        <v>5664</v>
      </c>
      <c r="I1546" s="23"/>
      <c r="J1546" s="49">
        <v>2.0</v>
      </c>
      <c r="K1546" s="30"/>
      <c r="L1546" s="49" t="s">
        <v>6970</v>
      </c>
      <c r="M1546" s="50">
        <v>8.0</v>
      </c>
      <c r="N1546" s="51"/>
      <c r="O1546" s="20"/>
      <c r="P1546" s="20"/>
      <c r="Q1546" s="20"/>
      <c r="R1546" s="20"/>
      <c r="S1546" s="20"/>
    </row>
    <row r="1547">
      <c r="A1547" s="76" t="s">
        <v>6971</v>
      </c>
      <c r="B1547" s="97">
        <v>46172.0</v>
      </c>
      <c r="C1547" s="76" t="s">
        <v>6972</v>
      </c>
      <c r="D1547" s="99" t="s">
        <v>6973</v>
      </c>
      <c r="E1547" s="25" t="s">
        <v>128</v>
      </c>
      <c r="F1547" s="25" t="s">
        <v>18</v>
      </c>
      <c r="G1547" s="25" t="s">
        <v>34</v>
      </c>
      <c r="H1547" s="76" t="s">
        <v>6246</v>
      </c>
      <c r="I1547" s="118">
        <v>46256.0</v>
      </c>
      <c r="J1547" s="76">
        <v>6.0</v>
      </c>
      <c r="K1547" s="46"/>
      <c r="L1547" s="76" t="s">
        <v>6974</v>
      </c>
      <c r="M1547" s="44">
        <v>2.0</v>
      </c>
      <c r="N1547" s="45"/>
      <c r="O1547" s="20"/>
      <c r="P1547" s="20"/>
      <c r="Q1547" s="20"/>
      <c r="R1547" s="20"/>
      <c r="S1547" s="20"/>
    </row>
    <row r="1548">
      <c r="A1548" s="49" t="s">
        <v>6975</v>
      </c>
      <c r="B1548" s="110">
        <v>46159.0</v>
      </c>
      <c r="C1548" s="49" t="s">
        <v>6976</v>
      </c>
      <c r="D1548" s="102" t="s">
        <v>6977</v>
      </c>
      <c r="E1548" s="25" t="s">
        <v>17</v>
      </c>
      <c r="F1548" s="25" t="s">
        <v>18</v>
      </c>
      <c r="G1548" s="25" t="s">
        <v>19</v>
      </c>
      <c r="H1548" s="49" t="s">
        <v>6978</v>
      </c>
      <c r="I1548" s="49" t="s">
        <v>6979</v>
      </c>
      <c r="J1548" s="49">
        <v>2.0</v>
      </c>
      <c r="K1548" s="30">
        <f>325000*2</f>
        <v>650000</v>
      </c>
      <c r="L1548" s="49" t="s">
        <v>5660</v>
      </c>
      <c r="M1548" s="50">
        <v>7.0</v>
      </c>
      <c r="N1548" s="51"/>
      <c r="O1548" s="20"/>
      <c r="P1548" s="20"/>
      <c r="Q1548" s="20"/>
      <c r="R1548" s="20"/>
      <c r="S1548" s="20"/>
    </row>
    <row r="1549">
      <c r="A1549" s="76" t="s">
        <v>6980</v>
      </c>
      <c r="B1549" s="97">
        <v>46172.0</v>
      </c>
      <c r="C1549" s="76" t="s">
        <v>6960</v>
      </c>
      <c r="D1549" s="102" t="s">
        <v>6961</v>
      </c>
      <c r="E1549" s="25" t="s">
        <v>17</v>
      </c>
      <c r="F1549" s="25" t="s">
        <v>18</v>
      </c>
      <c r="G1549" s="25" t="s">
        <v>19</v>
      </c>
      <c r="H1549" s="76" t="s">
        <v>4515</v>
      </c>
      <c r="I1549" s="76" t="s">
        <v>4055</v>
      </c>
      <c r="J1549" s="76">
        <v>2.0</v>
      </c>
      <c r="K1549" s="19">
        <v>4720000.0</v>
      </c>
      <c r="L1549" s="76" t="s">
        <v>6902</v>
      </c>
      <c r="M1549" s="44">
        <v>7.0</v>
      </c>
      <c r="N1549" s="45"/>
      <c r="O1549" s="20"/>
      <c r="P1549" s="20"/>
      <c r="Q1549" s="20"/>
      <c r="R1549" s="20"/>
      <c r="S1549" s="20"/>
    </row>
    <row r="1550">
      <c r="A1550" s="49" t="s">
        <v>6981</v>
      </c>
      <c r="B1550" s="110">
        <v>46173.0</v>
      </c>
      <c r="C1550" s="49" t="s">
        <v>6982</v>
      </c>
      <c r="D1550" s="102" t="s">
        <v>6983</v>
      </c>
      <c r="E1550" s="25" t="s">
        <v>122</v>
      </c>
      <c r="F1550" s="25" t="s">
        <v>129</v>
      </c>
      <c r="G1550" s="25" t="s">
        <v>29</v>
      </c>
      <c r="H1550" s="49" t="s">
        <v>3175</v>
      </c>
      <c r="I1550" s="49" t="s">
        <v>2028</v>
      </c>
      <c r="J1550" s="49">
        <v>2.0</v>
      </c>
      <c r="K1550" s="30"/>
      <c r="L1550" s="49" t="s">
        <v>6984</v>
      </c>
      <c r="M1550" s="50">
        <v>1.0</v>
      </c>
      <c r="N1550" s="51"/>
      <c r="O1550" s="20"/>
      <c r="P1550" s="20"/>
      <c r="Q1550" s="20"/>
      <c r="R1550" s="20"/>
      <c r="S1550" s="20"/>
    </row>
    <row r="1551">
      <c r="A1551" s="76" t="s">
        <v>6985</v>
      </c>
      <c r="B1551" s="97">
        <v>46173.0</v>
      </c>
      <c r="C1551" s="76" t="s">
        <v>6986</v>
      </c>
      <c r="D1551" s="99" t="s">
        <v>6987</v>
      </c>
      <c r="E1551" s="25" t="s">
        <v>122</v>
      </c>
      <c r="F1551" s="25" t="s">
        <v>18</v>
      </c>
      <c r="G1551" s="25" t="s">
        <v>34</v>
      </c>
      <c r="H1551" s="76" t="s">
        <v>2462</v>
      </c>
      <c r="I1551" s="76" t="s">
        <v>6760</v>
      </c>
      <c r="J1551" s="76">
        <v>3.0</v>
      </c>
      <c r="K1551" s="46"/>
      <c r="L1551" s="76" t="s">
        <v>6506</v>
      </c>
      <c r="M1551" s="44">
        <v>2.0</v>
      </c>
      <c r="N1551" s="45"/>
      <c r="O1551" s="20"/>
      <c r="P1551" s="20"/>
      <c r="Q1551" s="20"/>
      <c r="R1551" s="20"/>
      <c r="S1551" s="20"/>
    </row>
    <row r="1552">
      <c r="A1552" s="49" t="s">
        <v>6988</v>
      </c>
      <c r="B1552" s="110">
        <v>46171.0</v>
      </c>
      <c r="C1552" s="49" t="s">
        <v>6989</v>
      </c>
      <c r="D1552" s="102" t="s">
        <v>6990</v>
      </c>
      <c r="E1552" s="25" t="s">
        <v>128</v>
      </c>
      <c r="F1552" s="25" t="s">
        <v>18</v>
      </c>
      <c r="G1552" s="25" t="s">
        <v>42</v>
      </c>
      <c r="H1552" s="49" t="s">
        <v>3210</v>
      </c>
      <c r="I1552" s="23"/>
      <c r="J1552" s="49">
        <v>7.0</v>
      </c>
      <c r="K1552" s="30">
        <f>1085000*7</f>
        <v>7595000</v>
      </c>
      <c r="L1552" s="23"/>
      <c r="M1552" s="50">
        <v>8.0</v>
      </c>
      <c r="N1552" s="51"/>
      <c r="O1552" s="20"/>
      <c r="P1552" s="20"/>
      <c r="Q1552" s="20"/>
      <c r="R1552" s="20"/>
      <c r="S1552" s="20"/>
    </row>
    <row r="1553">
      <c r="A1553" s="76" t="s">
        <v>6991</v>
      </c>
      <c r="B1553" s="97">
        <v>46173.0</v>
      </c>
      <c r="C1553" s="76" t="s">
        <v>6992</v>
      </c>
      <c r="D1553" s="99" t="s">
        <v>6993</v>
      </c>
      <c r="E1553" s="25" t="s">
        <v>17</v>
      </c>
      <c r="F1553" s="25" t="s">
        <v>983</v>
      </c>
      <c r="G1553" s="25" t="s">
        <v>29</v>
      </c>
      <c r="H1553" s="10"/>
      <c r="I1553" s="10"/>
      <c r="J1553" s="10"/>
      <c r="K1553" s="46"/>
      <c r="L1553" s="76" t="s">
        <v>6994</v>
      </c>
      <c r="M1553" s="44">
        <v>1.0</v>
      </c>
      <c r="N1553" s="45"/>
      <c r="O1553" s="20"/>
      <c r="P1553" s="20"/>
      <c r="Q1553" s="20"/>
      <c r="R1553" s="20"/>
      <c r="S1553" s="20"/>
    </row>
    <row r="1554">
      <c r="A1554" s="49" t="s">
        <v>6995</v>
      </c>
      <c r="B1554" s="97">
        <v>46173.0</v>
      </c>
      <c r="C1554" s="49" t="s">
        <v>6996</v>
      </c>
      <c r="D1554" s="102" t="s">
        <v>6997</v>
      </c>
      <c r="E1554" s="25" t="s">
        <v>17</v>
      </c>
      <c r="F1554" s="25" t="s">
        <v>983</v>
      </c>
      <c r="G1554" s="25" t="s">
        <v>29</v>
      </c>
      <c r="H1554" s="23"/>
      <c r="I1554" s="23"/>
      <c r="J1554" s="23"/>
      <c r="K1554" s="30"/>
      <c r="L1554" s="49" t="s">
        <v>6998</v>
      </c>
      <c r="M1554" s="50">
        <v>1.0</v>
      </c>
      <c r="N1554" s="51"/>
      <c r="O1554" s="20"/>
      <c r="P1554" s="20"/>
      <c r="Q1554" s="20"/>
      <c r="R1554" s="20"/>
      <c r="S1554" s="20"/>
    </row>
    <row r="1555">
      <c r="A1555" s="76" t="s">
        <v>6999</v>
      </c>
      <c r="B1555" s="97">
        <v>46173.0</v>
      </c>
      <c r="C1555" s="76" t="s">
        <v>7000</v>
      </c>
      <c r="D1555" s="99" t="s">
        <v>7001</v>
      </c>
      <c r="E1555" s="25" t="s">
        <v>17</v>
      </c>
      <c r="F1555" s="25" t="s">
        <v>129</v>
      </c>
      <c r="G1555" s="25" t="s">
        <v>29</v>
      </c>
      <c r="H1555" s="76" t="s">
        <v>4351</v>
      </c>
      <c r="I1555" s="76" t="s">
        <v>7002</v>
      </c>
      <c r="J1555" s="76">
        <v>20.0</v>
      </c>
      <c r="K1555" s="46"/>
      <c r="L1555" s="76" t="s">
        <v>7003</v>
      </c>
      <c r="M1555" s="44">
        <v>1.0</v>
      </c>
      <c r="N1555" s="45"/>
      <c r="O1555" s="20"/>
      <c r="P1555" s="20"/>
      <c r="Q1555" s="20"/>
      <c r="R1555" s="20"/>
      <c r="S1555" s="20"/>
    </row>
    <row r="1556">
      <c r="A1556" s="49" t="s">
        <v>7004</v>
      </c>
      <c r="B1556" s="110">
        <v>46173.0</v>
      </c>
      <c r="C1556" s="49" t="s">
        <v>7005</v>
      </c>
      <c r="D1556" s="102" t="s">
        <v>7006</v>
      </c>
      <c r="E1556" s="25" t="s">
        <v>128</v>
      </c>
      <c r="F1556" s="25" t="s">
        <v>129</v>
      </c>
      <c r="G1556" s="25" t="s">
        <v>19</v>
      </c>
      <c r="H1556" s="49" t="s">
        <v>341</v>
      </c>
      <c r="I1556" s="101">
        <v>46182.0</v>
      </c>
      <c r="J1556" s="49">
        <v>2.0</v>
      </c>
      <c r="K1556" s="30">
        <f>SUM(1600000*2)</f>
        <v>3200000</v>
      </c>
      <c r="L1556" s="49" t="s">
        <v>7007</v>
      </c>
      <c r="M1556" s="50">
        <v>7.0</v>
      </c>
      <c r="N1556" s="51"/>
      <c r="O1556" s="20"/>
      <c r="P1556" s="20"/>
      <c r="Q1556" s="20"/>
      <c r="R1556" s="20"/>
      <c r="S1556" s="20"/>
    </row>
    <row r="1557">
      <c r="A1557" s="76" t="s">
        <v>7008</v>
      </c>
      <c r="B1557" s="97">
        <v>46173.0</v>
      </c>
      <c r="C1557" s="76" t="s">
        <v>7009</v>
      </c>
      <c r="D1557" s="99" t="s">
        <v>7010</v>
      </c>
      <c r="E1557" s="25" t="s">
        <v>128</v>
      </c>
      <c r="F1557" s="25" t="s">
        <v>129</v>
      </c>
      <c r="G1557" s="25" t="s">
        <v>42</v>
      </c>
      <c r="H1557" s="76" t="s">
        <v>4251</v>
      </c>
      <c r="I1557" s="118">
        <v>46173.0</v>
      </c>
      <c r="J1557" s="76">
        <v>2.0</v>
      </c>
      <c r="K1557" s="46"/>
      <c r="L1557" s="76" t="s">
        <v>7011</v>
      </c>
      <c r="M1557" s="44">
        <v>8.0</v>
      </c>
      <c r="N1557" s="45"/>
      <c r="O1557" s="20"/>
      <c r="P1557" s="20"/>
      <c r="Q1557" s="20"/>
      <c r="R1557" s="20"/>
      <c r="S1557" s="20"/>
    </row>
    <row r="1558">
      <c r="A1558" s="49" t="s">
        <v>7012</v>
      </c>
      <c r="B1558" s="110">
        <v>46173.0</v>
      </c>
      <c r="C1558" s="49" t="s">
        <v>7013</v>
      </c>
      <c r="D1558" s="102" t="s">
        <v>7014</v>
      </c>
      <c r="E1558" s="25" t="s">
        <v>128</v>
      </c>
      <c r="F1558" s="25" t="s">
        <v>129</v>
      </c>
      <c r="G1558" s="25" t="s">
        <v>29</v>
      </c>
      <c r="H1558" s="49" t="s">
        <v>3837</v>
      </c>
      <c r="I1558" s="49" t="s">
        <v>7015</v>
      </c>
      <c r="J1558" s="49">
        <v>2.0</v>
      </c>
      <c r="K1558" s="30"/>
      <c r="L1558" s="49" t="s">
        <v>7016</v>
      </c>
      <c r="M1558" s="50">
        <v>1.0</v>
      </c>
      <c r="N1558" s="51"/>
      <c r="O1558" s="20"/>
      <c r="P1558" s="20"/>
      <c r="Q1558" s="20"/>
      <c r="R1558" s="20"/>
      <c r="S1558" s="20"/>
    </row>
    <row r="1559">
      <c r="A1559" s="76" t="s">
        <v>7017</v>
      </c>
      <c r="B1559" s="97">
        <v>46173.0</v>
      </c>
      <c r="C1559" s="76" t="s">
        <v>7018</v>
      </c>
      <c r="D1559" s="99" t="s">
        <v>7019</v>
      </c>
      <c r="E1559" s="25" t="s">
        <v>128</v>
      </c>
      <c r="F1559" s="25" t="s">
        <v>129</v>
      </c>
      <c r="G1559" s="25" t="s">
        <v>42</v>
      </c>
      <c r="H1559" s="76" t="s">
        <v>7020</v>
      </c>
      <c r="I1559" s="118">
        <v>46177.0</v>
      </c>
      <c r="J1559" s="76">
        <v>2.0</v>
      </c>
      <c r="K1559" s="46"/>
      <c r="L1559" s="76" t="s">
        <v>7021</v>
      </c>
      <c r="M1559" s="44">
        <v>8.0</v>
      </c>
      <c r="N1559" s="45"/>
      <c r="O1559" s="20"/>
      <c r="P1559" s="20"/>
      <c r="Q1559" s="20"/>
      <c r="R1559" s="20"/>
      <c r="S1559" s="20"/>
    </row>
    <row r="1560">
      <c r="A1560" s="49" t="s">
        <v>7022</v>
      </c>
      <c r="B1560" s="110">
        <v>46174.0</v>
      </c>
      <c r="C1560" s="49" t="s">
        <v>7023</v>
      </c>
      <c r="D1560" s="102" t="s">
        <v>7024</v>
      </c>
      <c r="E1560" s="25" t="s">
        <v>128</v>
      </c>
      <c r="F1560" s="25" t="s">
        <v>129</v>
      </c>
      <c r="G1560" s="25" t="s">
        <v>42</v>
      </c>
      <c r="H1560" s="49" t="s">
        <v>747</v>
      </c>
      <c r="I1560" s="101">
        <v>46183.0</v>
      </c>
      <c r="J1560" s="49">
        <v>2.0</v>
      </c>
      <c r="K1560" s="30"/>
      <c r="L1560" s="49" t="s">
        <v>7025</v>
      </c>
      <c r="M1560" s="50">
        <v>8.0</v>
      </c>
      <c r="N1560" s="51"/>
      <c r="O1560" s="20"/>
      <c r="P1560" s="20"/>
      <c r="Q1560" s="20"/>
      <c r="R1560" s="20"/>
      <c r="S1560" s="20"/>
    </row>
    <row r="1561">
      <c r="A1561" s="76" t="s">
        <v>7026</v>
      </c>
      <c r="B1561" s="97">
        <v>46173.0</v>
      </c>
      <c r="C1561" s="76" t="s">
        <v>7027</v>
      </c>
      <c r="D1561" s="99" t="s">
        <v>7028</v>
      </c>
      <c r="E1561" s="25" t="s">
        <v>122</v>
      </c>
      <c r="F1561" s="25" t="s">
        <v>983</v>
      </c>
      <c r="G1561" s="25" t="s">
        <v>29</v>
      </c>
      <c r="H1561" s="10"/>
      <c r="I1561" s="10"/>
      <c r="J1561" s="10"/>
      <c r="K1561" s="46"/>
      <c r="L1561" s="76" t="s">
        <v>5767</v>
      </c>
      <c r="M1561" s="44">
        <v>1.0</v>
      </c>
      <c r="N1561" s="45"/>
      <c r="O1561" s="20"/>
      <c r="P1561" s="20"/>
      <c r="Q1561" s="20"/>
      <c r="R1561" s="20"/>
      <c r="S1561" s="20"/>
    </row>
    <row r="1562">
      <c r="A1562" s="49" t="s">
        <v>7029</v>
      </c>
      <c r="B1562" s="110">
        <v>46173.0</v>
      </c>
      <c r="C1562" s="49" t="s">
        <v>7030</v>
      </c>
      <c r="D1562" s="102" t="s">
        <v>7031</v>
      </c>
      <c r="E1562" s="25" t="s">
        <v>122</v>
      </c>
      <c r="F1562" s="25" t="s">
        <v>983</v>
      </c>
      <c r="G1562" s="25" t="s">
        <v>19</v>
      </c>
      <c r="H1562" s="49" t="s">
        <v>2066</v>
      </c>
      <c r="I1562" s="101">
        <v>46203.0</v>
      </c>
      <c r="J1562" s="49">
        <v>4.0</v>
      </c>
      <c r="K1562" s="30">
        <f>330000*4</f>
        <v>1320000</v>
      </c>
      <c r="L1562" s="49" t="s">
        <v>1803</v>
      </c>
      <c r="M1562" s="50">
        <v>7.0</v>
      </c>
      <c r="N1562" s="51"/>
      <c r="O1562" s="20"/>
      <c r="P1562" s="20"/>
      <c r="Q1562" s="20"/>
      <c r="R1562" s="20"/>
      <c r="S1562" s="20"/>
    </row>
    <row r="1563">
      <c r="A1563" s="76" t="s">
        <v>7032</v>
      </c>
      <c r="B1563" s="97">
        <v>46174.0</v>
      </c>
      <c r="C1563" s="76" t="s">
        <v>7033</v>
      </c>
      <c r="D1563" s="99" t="s">
        <v>7034</v>
      </c>
      <c r="E1563" s="25" t="s">
        <v>17</v>
      </c>
      <c r="F1563" s="25" t="s">
        <v>983</v>
      </c>
      <c r="G1563" s="25" t="s">
        <v>42</v>
      </c>
      <c r="H1563" s="76" t="s">
        <v>4883</v>
      </c>
      <c r="I1563" s="10"/>
      <c r="J1563" s="76">
        <v>3.0</v>
      </c>
      <c r="K1563" s="46"/>
      <c r="L1563" s="76" t="s">
        <v>7035</v>
      </c>
      <c r="M1563" s="44">
        <v>8.0</v>
      </c>
      <c r="N1563" s="45"/>
      <c r="O1563" s="20"/>
      <c r="P1563" s="20"/>
      <c r="Q1563" s="20"/>
      <c r="R1563" s="20"/>
      <c r="S1563" s="20"/>
    </row>
    <row r="1564">
      <c r="A1564" s="49" t="s">
        <v>7036</v>
      </c>
      <c r="B1564" s="110">
        <v>46172.0</v>
      </c>
      <c r="C1564" s="49" t="s">
        <v>7037</v>
      </c>
      <c r="D1564" s="102" t="s">
        <v>7038</v>
      </c>
      <c r="E1564" s="25" t="s">
        <v>17</v>
      </c>
      <c r="F1564" s="25" t="s">
        <v>18</v>
      </c>
      <c r="G1564" s="25" t="s">
        <v>42</v>
      </c>
      <c r="H1564" s="23"/>
      <c r="I1564" s="23"/>
      <c r="J1564" s="23"/>
      <c r="K1564" s="30"/>
      <c r="L1564" s="49" t="s">
        <v>2116</v>
      </c>
      <c r="M1564" s="50">
        <v>8.0</v>
      </c>
      <c r="N1564" s="51"/>
      <c r="O1564" s="20"/>
      <c r="P1564" s="20"/>
      <c r="Q1564" s="20"/>
      <c r="R1564" s="20"/>
      <c r="S1564" s="20"/>
    </row>
    <row r="1565">
      <c r="A1565" s="76" t="s">
        <v>7039</v>
      </c>
      <c r="B1565" s="97">
        <v>46172.0</v>
      </c>
      <c r="C1565" s="76" t="s">
        <v>7040</v>
      </c>
      <c r="D1565" s="99" t="s">
        <v>7041</v>
      </c>
      <c r="E1565" s="25" t="s">
        <v>128</v>
      </c>
      <c r="F1565" s="25" t="s">
        <v>18</v>
      </c>
      <c r="G1565" s="25" t="s">
        <v>42</v>
      </c>
      <c r="H1565" s="10"/>
      <c r="I1565" s="10"/>
      <c r="J1565" s="10"/>
      <c r="K1565" s="46"/>
      <c r="L1565" s="76" t="s">
        <v>2116</v>
      </c>
      <c r="M1565" s="44">
        <v>8.0</v>
      </c>
      <c r="N1565" s="45"/>
      <c r="O1565" s="20"/>
      <c r="P1565" s="20"/>
      <c r="Q1565" s="20"/>
      <c r="R1565" s="20"/>
      <c r="S1565" s="20"/>
    </row>
    <row r="1566">
      <c r="A1566" s="49" t="s">
        <v>7042</v>
      </c>
      <c r="B1566" s="110">
        <v>46171.0</v>
      </c>
      <c r="C1566" s="49" t="s">
        <v>7043</v>
      </c>
      <c r="D1566" s="102" t="s">
        <v>7044</v>
      </c>
      <c r="E1566" s="25" t="s">
        <v>128</v>
      </c>
      <c r="F1566" s="25" t="s">
        <v>18</v>
      </c>
      <c r="G1566" s="25" t="s">
        <v>42</v>
      </c>
      <c r="H1566" s="49" t="s">
        <v>7045</v>
      </c>
      <c r="I1566" s="131">
        <v>46184.0</v>
      </c>
      <c r="J1566" s="49">
        <v>80.0</v>
      </c>
      <c r="K1566" s="30">
        <f>780000*80</f>
        <v>62400000</v>
      </c>
      <c r="L1566" s="49" t="s">
        <v>840</v>
      </c>
      <c r="M1566" s="50">
        <v>8.0</v>
      </c>
      <c r="N1566" s="51"/>
      <c r="O1566" s="20"/>
      <c r="P1566" s="20"/>
      <c r="Q1566" s="20"/>
      <c r="R1566" s="20"/>
      <c r="S1566" s="20"/>
    </row>
    <row r="1567">
      <c r="A1567" s="76" t="s">
        <v>7046</v>
      </c>
      <c r="B1567" s="97">
        <v>46172.0</v>
      </c>
      <c r="C1567" s="76" t="s">
        <v>7047</v>
      </c>
      <c r="D1567" s="99" t="s">
        <v>7048</v>
      </c>
      <c r="E1567" s="25" t="s">
        <v>128</v>
      </c>
      <c r="F1567" s="25" t="s">
        <v>18</v>
      </c>
      <c r="G1567" s="25" t="s">
        <v>42</v>
      </c>
      <c r="H1567" s="76" t="s">
        <v>6246</v>
      </c>
      <c r="I1567" s="76" t="s">
        <v>7049</v>
      </c>
      <c r="J1567" s="10"/>
      <c r="K1567" s="46"/>
      <c r="L1567" s="76" t="s">
        <v>840</v>
      </c>
      <c r="M1567" s="44">
        <v>8.0</v>
      </c>
      <c r="N1567" s="45"/>
      <c r="O1567" s="20"/>
      <c r="P1567" s="20"/>
      <c r="Q1567" s="20"/>
      <c r="R1567" s="20"/>
      <c r="S1567" s="20"/>
    </row>
    <row r="1568">
      <c r="A1568" s="49" t="s">
        <v>7050</v>
      </c>
      <c r="B1568" s="110">
        <v>46172.0</v>
      </c>
      <c r="C1568" s="49" t="s">
        <v>7051</v>
      </c>
      <c r="D1568" s="102" t="s">
        <v>7052</v>
      </c>
      <c r="E1568" s="25" t="s">
        <v>122</v>
      </c>
      <c r="F1568" s="25" t="s">
        <v>18</v>
      </c>
      <c r="G1568" s="25" t="s">
        <v>42</v>
      </c>
      <c r="H1568" s="49" t="s">
        <v>7053</v>
      </c>
      <c r="I1568" s="23"/>
      <c r="J1568" s="49">
        <v>1.0</v>
      </c>
      <c r="K1568" s="30"/>
      <c r="L1568" s="49" t="s">
        <v>7054</v>
      </c>
      <c r="M1568" s="50">
        <v>8.0</v>
      </c>
      <c r="N1568" s="51"/>
      <c r="O1568" s="20"/>
      <c r="P1568" s="20"/>
      <c r="Q1568" s="20"/>
      <c r="R1568" s="20"/>
      <c r="S1568" s="20"/>
    </row>
    <row r="1569">
      <c r="A1569" s="76" t="s">
        <v>7055</v>
      </c>
      <c r="B1569" s="97">
        <v>46172.0</v>
      </c>
      <c r="C1569" s="76" t="s">
        <v>2285</v>
      </c>
      <c r="D1569" s="99" t="s">
        <v>7056</v>
      </c>
      <c r="E1569" s="25" t="s">
        <v>128</v>
      </c>
      <c r="F1569" s="25" t="s">
        <v>18</v>
      </c>
      <c r="G1569" s="25" t="s">
        <v>42</v>
      </c>
      <c r="H1569" s="76" t="s">
        <v>7057</v>
      </c>
      <c r="I1569" s="10"/>
      <c r="J1569" s="76">
        <v>1.0</v>
      </c>
      <c r="K1569" s="46"/>
      <c r="L1569" s="76" t="s">
        <v>6734</v>
      </c>
      <c r="M1569" s="44">
        <v>8.0</v>
      </c>
      <c r="N1569" s="45"/>
      <c r="O1569" s="20"/>
      <c r="P1569" s="20"/>
      <c r="Q1569" s="20"/>
      <c r="R1569" s="20"/>
      <c r="S1569" s="20"/>
    </row>
    <row r="1570">
      <c r="A1570" s="49" t="s">
        <v>7058</v>
      </c>
      <c r="B1570" s="110">
        <v>46173.0</v>
      </c>
      <c r="C1570" s="49" t="s">
        <v>7059</v>
      </c>
      <c r="D1570" s="102" t="s">
        <v>7060</v>
      </c>
      <c r="E1570" s="25" t="s">
        <v>1877</v>
      </c>
      <c r="F1570" s="25" t="s">
        <v>18</v>
      </c>
      <c r="G1570" s="25" t="s">
        <v>42</v>
      </c>
      <c r="H1570" s="49" t="s">
        <v>4074</v>
      </c>
      <c r="I1570" s="49" t="s">
        <v>5917</v>
      </c>
      <c r="J1570" s="49">
        <v>1.0</v>
      </c>
      <c r="K1570" s="30"/>
      <c r="L1570" s="49" t="s">
        <v>840</v>
      </c>
      <c r="M1570" s="50">
        <v>8.0</v>
      </c>
      <c r="N1570" s="51"/>
      <c r="O1570" s="20"/>
      <c r="P1570" s="20"/>
      <c r="Q1570" s="20"/>
      <c r="R1570" s="20"/>
      <c r="S1570" s="20"/>
    </row>
    <row r="1571">
      <c r="A1571" s="76" t="s">
        <v>7061</v>
      </c>
      <c r="B1571" s="97">
        <v>46173.0</v>
      </c>
      <c r="C1571" s="76" t="s">
        <v>7062</v>
      </c>
      <c r="D1571" s="99" t="s">
        <v>7063</v>
      </c>
      <c r="E1571" s="25" t="s">
        <v>17</v>
      </c>
      <c r="F1571" s="25" t="s">
        <v>18</v>
      </c>
      <c r="G1571" s="25" t="s">
        <v>42</v>
      </c>
      <c r="H1571" s="76" t="s">
        <v>3210</v>
      </c>
      <c r="I1571" s="10"/>
      <c r="J1571" s="76">
        <v>7.0</v>
      </c>
      <c r="K1571" s="46"/>
      <c r="L1571" s="76" t="s">
        <v>840</v>
      </c>
      <c r="M1571" s="44">
        <v>8.0</v>
      </c>
      <c r="N1571" s="45"/>
      <c r="O1571" s="20"/>
      <c r="P1571" s="20"/>
      <c r="Q1571" s="20"/>
      <c r="R1571" s="20"/>
      <c r="S1571" s="20"/>
    </row>
    <row r="1572">
      <c r="A1572" s="49" t="s">
        <v>7064</v>
      </c>
      <c r="B1572" s="110">
        <v>46173.0</v>
      </c>
      <c r="C1572" s="49" t="s">
        <v>7065</v>
      </c>
      <c r="D1572" s="102" t="s">
        <v>7066</v>
      </c>
      <c r="E1572" s="25" t="s">
        <v>17</v>
      </c>
      <c r="F1572" s="25" t="s">
        <v>18</v>
      </c>
      <c r="G1572" s="25" t="s">
        <v>42</v>
      </c>
      <c r="H1572" s="49" t="s">
        <v>6510</v>
      </c>
      <c r="I1572" s="101">
        <v>46174.0</v>
      </c>
      <c r="J1572" s="23"/>
      <c r="K1572" s="30"/>
      <c r="L1572" s="49" t="s">
        <v>158</v>
      </c>
      <c r="M1572" s="50">
        <v>8.0</v>
      </c>
      <c r="N1572" s="51"/>
      <c r="O1572" s="20"/>
      <c r="P1572" s="20"/>
      <c r="Q1572" s="20"/>
      <c r="R1572" s="20"/>
      <c r="S1572" s="20"/>
    </row>
    <row r="1573">
      <c r="A1573" s="76" t="s">
        <v>7067</v>
      </c>
      <c r="B1573" s="97">
        <v>46173.0</v>
      </c>
      <c r="C1573" s="76" t="s">
        <v>7068</v>
      </c>
      <c r="D1573" s="99" t="s">
        <v>7069</v>
      </c>
      <c r="E1573" s="25" t="s">
        <v>128</v>
      </c>
      <c r="F1573" s="25" t="s">
        <v>18</v>
      </c>
      <c r="G1573" s="25" t="s">
        <v>42</v>
      </c>
      <c r="H1573" s="76" t="s">
        <v>3395</v>
      </c>
      <c r="I1573" s="118">
        <v>46202.0</v>
      </c>
      <c r="J1573" s="76">
        <v>1.0</v>
      </c>
      <c r="K1573" s="19">
        <v>400000.0</v>
      </c>
      <c r="L1573" s="76" t="s">
        <v>3133</v>
      </c>
      <c r="M1573" s="44">
        <v>8.0</v>
      </c>
      <c r="N1573" s="45"/>
      <c r="O1573" s="20"/>
      <c r="P1573" s="20"/>
      <c r="Q1573" s="20"/>
      <c r="R1573" s="20"/>
      <c r="S1573" s="20"/>
    </row>
    <row r="1574">
      <c r="A1574" s="49" t="s">
        <v>7070</v>
      </c>
      <c r="B1574" s="110">
        <v>46174.0</v>
      </c>
      <c r="C1574" s="49" t="s">
        <v>7071</v>
      </c>
      <c r="D1574" s="102" t="s">
        <v>7072</v>
      </c>
      <c r="E1574" s="25" t="s">
        <v>869</v>
      </c>
      <c r="F1574" s="25" t="s">
        <v>18</v>
      </c>
      <c r="G1574" s="25" t="s">
        <v>19</v>
      </c>
      <c r="H1574" s="49" t="s">
        <v>3395</v>
      </c>
      <c r="I1574" s="101">
        <v>46174.0</v>
      </c>
      <c r="J1574" s="49">
        <v>3.0</v>
      </c>
      <c r="K1574" s="30">
        <f>275000*3</f>
        <v>825000</v>
      </c>
      <c r="L1574" s="49" t="s">
        <v>1803</v>
      </c>
      <c r="M1574" s="50">
        <v>7.0</v>
      </c>
      <c r="N1574" s="51"/>
      <c r="O1574" s="20"/>
      <c r="P1574" s="20"/>
      <c r="Q1574" s="20"/>
      <c r="R1574" s="20"/>
      <c r="S1574" s="20"/>
    </row>
    <row r="1575">
      <c r="A1575" s="76" t="s">
        <v>7073</v>
      </c>
      <c r="B1575" s="97">
        <v>46173.0</v>
      </c>
      <c r="C1575" s="76" t="s">
        <v>7074</v>
      </c>
      <c r="D1575" s="99" t="s">
        <v>7075</v>
      </c>
      <c r="E1575" s="25" t="s">
        <v>17</v>
      </c>
      <c r="F1575" s="25" t="s">
        <v>18</v>
      </c>
      <c r="G1575" s="25" t="s">
        <v>19</v>
      </c>
      <c r="H1575" s="76" t="s">
        <v>7076</v>
      </c>
      <c r="I1575" s="118">
        <v>46186.0</v>
      </c>
      <c r="J1575" s="76">
        <v>4.0</v>
      </c>
      <c r="K1575" s="46">
        <f>510000*4</f>
        <v>2040000</v>
      </c>
      <c r="L1575" s="76" t="s">
        <v>1803</v>
      </c>
      <c r="M1575" s="44">
        <v>7.0</v>
      </c>
      <c r="N1575" s="45"/>
      <c r="O1575" s="20"/>
      <c r="P1575" s="20"/>
      <c r="Q1575" s="20"/>
      <c r="R1575" s="20"/>
      <c r="S1575" s="20"/>
    </row>
    <row r="1576">
      <c r="A1576" s="49" t="s">
        <v>7077</v>
      </c>
      <c r="B1576" s="110">
        <v>46174.0</v>
      </c>
      <c r="C1576" s="49" t="s">
        <v>7078</v>
      </c>
      <c r="D1576" s="102" t="s">
        <v>7079</v>
      </c>
      <c r="E1576" s="25" t="s">
        <v>128</v>
      </c>
      <c r="F1576" s="25" t="s">
        <v>18</v>
      </c>
      <c r="G1576" s="25" t="s">
        <v>43</v>
      </c>
      <c r="H1576" s="49" t="s">
        <v>3429</v>
      </c>
      <c r="I1576" s="49" t="s">
        <v>4799</v>
      </c>
      <c r="J1576" s="49">
        <v>2.0</v>
      </c>
      <c r="K1576" s="30">
        <f>3064000*2</f>
        <v>6128000</v>
      </c>
      <c r="L1576" s="49" t="s">
        <v>7080</v>
      </c>
      <c r="M1576" s="50">
        <v>3.0</v>
      </c>
      <c r="N1576" s="51"/>
      <c r="O1576" s="20"/>
      <c r="P1576" s="20"/>
      <c r="Q1576" s="20"/>
      <c r="R1576" s="20"/>
      <c r="S1576" s="20"/>
    </row>
    <row r="1577">
      <c r="A1577" s="76" t="s">
        <v>7081</v>
      </c>
      <c r="B1577" s="97">
        <v>46174.0</v>
      </c>
      <c r="C1577" s="76" t="s">
        <v>7082</v>
      </c>
      <c r="D1577" s="99" t="s">
        <v>7083</v>
      </c>
      <c r="E1577" s="25" t="s">
        <v>128</v>
      </c>
      <c r="F1577" s="25" t="s">
        <v>18</v>
      </c>
      <c r="G1577" s="25" t="s">
        <v>42</v>
      </c>
      <c r="H1577" s="76" t="s">
        <v>5664</v>
      </c>
      <c r="I1577" s="10"/>
      <c r="J1577" s="10"/>
      <c r="K1577" s="46"/>
      <c r="L1577" s="76" t="s">
        <v>840</v>
      </c>
      <c r="M1577" s="44">
        <v>8.0</v>
      </c>
      <c r="N1577" s="45"/>
      <c r="O1577" s="20"/>
      <c r="P1577" s="20"/>
      <c r="Q1577" s="20"/>
      <c r="R1577" s="20"/>
      <c r="S1577" s="20"/>
    </row>
    <row r="1578">
      <c r="A1578" s="49" t="s">
        <v>7084</v>
      </c>
      <c r="B1578" s="110">
        <v>46174.0</v>
      </c>
      <c r="C1578" s="49" t="s">
        <v>7085</v>
      </c>
      <c r="D1578" s="102" t="s">
        <v>7086</v>
      </c>
      <c r="E1578" s="25" t="s">
        <v>17</v>
      </c>
      <c r="F1578" s="25" t="s">
        <v>129</v>
      </c>
      <c r="G1578" s="25" t="s">
        <v>29</v>
      </c>
      <c r="H1578" s="49" t="s">
        <v>6130</v>
      </c>
      <c r="I1578" s="23"/>
      <c r="J1578" s="49">
        <v>2.0</v>
      </c>
      <c r="K1578" s="30"/>
      <c r="L1578" s="49" t="s">
        <v>6388</v>
      </c>
      <c r="M1578" s="50">
        <v>1.0</v>
      </c>
      <c r="N1578" s="51"/>
      <c r="O1578" s="20"/>
      <c r="P1578" s="20"/>
      <c r="Q1578" s="20"/>
      <c r="R1578" s="20"/>
      <c r="S1578" s="20"/>
    </row>
    <row r="1579">
      <c r="A1579" s="76" t="s">
        <v>7087</v>
      </c>
      <c r="B1579" s="97">
        <v>46174.0</v>
      </c>
      <c r="C1579" s="76" t="s">
        <v>7088</v>
      </c>
      <c r="D1579" s="99" t="s">
        <v>7089</v>
      </c>
      <c r="E1579" s="25" t="s">
        <v>128</v>
      </c>
      <c r="F1579" s="25" t="s">
        <v>129</v>
      </c>
      <c r="G1579" s="25" t="s">
        <v>42</v>
      </c>
      <c r="H1579" s="10"/>
      <c r="I1579" s="10"/>
      <c r="J1579" s="10"/>
      <c r="K1579" s="46"/>
      <c r="L1579" s="76" t="s">
        <v>7090</v>
      </c>
      <c r="M1579" s="44">
        <v>8.0</v>
      </c>
      <c r="N1579" s="45"/>
      <c r="O1579" s="20"/>
      <c r="P1579" s="20"/>
      <c r="Q1579" s="20"/>
      <c r="R1579" s="20"/>
      <c r="S1579" s="20"/>
    </row>
    <row r="1580">
      <c r="A1580" s="49" t="s">
        <v>7091</v>
      </c>
      <c r="B1580" s="110">
        <v>46174.0</v>
      </c>
      <c r="C1580" s="49" t="s">
        <v>7092</v>
      </c>
      <c r="D1580" s="102" t="s">
        <v>7093</v>
      </c>
      <c r="E1580" s="25" t="s">
        <v>122</v>
      </c>
      <c r="F1580" s="25" t="s">
        <v>129</v>
      </c>
      <c r="G1580" s="25" t="s">
        <v>42</v>
      </c>
      <c r="H1580" s="23"/>
      <c r="I1580" s="23"/>
      <c r="J1580" s="23"/>
      <c r="K1580" s="30"/>
      <c r="L1580" s="76" t="s">
        <v>7090</v>
      </c>
      <c r="M1580" s="50">
        <v>8.0</v>
      </c>
      <c r="N1580" s="51"/>
      <c r="O1580" s="20"/>
      <c r="P1580" s="20"/>
      <c r="Q1580" s="20"/>
      <c r="R1580" s="20"/>
      <c r="S1580" s="20"/>
    </row>
    <row r="1581">
      <c r="A1581" s="76" t="s">
        <v>7094</v>
      </c>
      <c r="B1581" s="97">
        <v>46175.0</v>
      </c>
      <c r="C1581" s="76" t="s">
        <v>7095</v>
      </c>
      <c r="D1581" s="99" t="s">
        <v>7096</v>
      </c>
      <c r="E1581" s="25" t="s">
        <v>128</v>
      </c>
      <c r="F1581" s="25" t="s">
        <v>129</v>
      </c>
      <c r="G1581" s="25" t="s">
        <v>19</v>
      </c>
      <c r="H1581" s="49" t="s">
        <v>3395</v>
      </c>
      <c r="I1581" s="118">
        <v>46193.0</v>
      </c>
      <c r="J1581" s="76">
        <v>7.0</v>
      </c>
      <c r="K1581" s="46">
        <f>SUM(275000*7)</f>
        <v>1925000</v>
      </c>
      <c r="L1581" s="76" t="s">
        <v>7097</v>
      </c>
      <c r="M1581" s="44">
        <v>7.0</v>
      </c>
      <c r="N1581" s="45"/>
      <c r="O1581" s="20"/>
      <c r="P1581" s="20"/>
      <c r="Q1581" s="20"/>
      <c r="R1581" s="20"/>
      <c r="S1581" s="20"/>
    </row>
    <row r="1582">
      <c r="A1582" s="49" t="s">
        <v>7098</v>
      </c>
      <c r="B1582" s="110">
        <v>46175.0</v>
      </c>
      <c r="C1582" s="49" t="s">
        <v>7099</v>
      </c>
      <c r="D1582" s="102" t="s">
        <v>7100</v>
      </c>
      <c r="E1582" s="25" t="s">
        <v>128</v>
      </c>
      <c r="F1582" s="25" t="s">
        <v>129</v>
      </c>
      <c r="G1582" s="25" t="s">
        <v>29</v>
      </c>
      <c r="H1582" s="49" t="s">
        <v>823</v>
      </c>
      <c r="I1582" s="23"/>
      <c r="J1582" s="23"/>
      <c r="K1582" s="30"/>
      <c r="L1582" s="49" t="s">
        <v>7101</v>
      </c>
      <c r="M1582" s="50">
        <v>1.0</v>
      </c>
      <c r="N1582" s="51"/>
      <c r="O1582" s="20"/>
      <c r="P1582" s="20"/>
      <c r="Q1582" s="20"/>
      <c r="R1582" s="20"/>
      <c r="S1582" s="20"/>
    </row>
    <row r="1583">
      <c r="A1583" s="76" t="s">
        <v>7102</v>
      </c>
      <c r="B1583" s="97">
        <v>46175.0</v>
      </c>
      <c r="C1583" s="76" t="s">
        <v>7103</v>
      </c>
      <c r="D1583" s="99" t="s">
        <v>7104</v>
      </c>
      <c r="E1583" s="25" t="s">
        <v>128</v>
      </c>
      <c r="F1583" s="25" t="s">
        <v>129</v>
      </c>
      <c r="G1583" s="25" t="s">
        <v>42</v>
      </c>
      <c r="H1583" s="76" t="s">
        <v>3273</v>
      </c>
      <c r="I1583" s="76" t="s">
        <v>2470</v>
      </c>
      <c r="J1583" s="10"/>
      <c r="K1583" s="46"/>
      <c r="L1583" s="76" t="s">
        <v>1920</v>
      </c>
      <c r="M1583" s="44">
        <v>8.0</v>
      </c>
      <c r="N1583" s="45"/>
      <c r="O1583" s="20"/>
      <c r="P1583" s="20"/>
      <c r="Q1583" s="20"/>
      <c r="R1583" s="20"/>
      <c r="S1583" s="20"/>
    </row>
    <row r="1584">
      <c r="A1584" s="49" t="s">
        <v>7105</v>
      </c>
      <c r="B1584" s="110">
        <v>46175.0</v>
      </c>
      <c r="C1584" s="49" t="s">
        <v>7106</v>
      </c>
      <c r="D1584" s="102" t="s">
        <v>7107</v>
      </c>
      <c r="E1584" s="25" t="s">
        <v>128</v>
      </c>
      <c r="F1584" s="25" t="s">
        <v>129</v>
      </c>
      <c r="G1584" s="25" t="s">
        <v>29</v>
      </c>
      <c r="H1584" s="23"/>
      <c r="I1584" s="23"/>
      <c r="J1584" s="23"/>
      <c r="K1584" s="30"/>
      <c r="L1584" s="49" t="s">
        <v>7108</v>
      </c>
      <c r="M1584" s="50">
        <v>1.0</v>
      </c>
      <c r="N1584" s="51"/>
      <c r="O1584" s="20"/>
      <c r="P1584" s="20"/>
      <c r="Q1584" s="20"/>
      <c r="R1584" s="20"/>
      <c r="S1584" s="20"/>
    </row>
    <row r="1585">
      <c r="A1585" s="76" t="s">
        <v>7109</v>
      </c>
      <c r="B1585" s="97">
        <v>46175.0</v>
      </c>
      <c r="C1585" s="76" t="s">
        <v>7110</v>
      </c>
      <c r="D1585" s="99" t="s">
        <v>7111</v>
      </c>
      <c r="E1585" s="25" t="s">
        <v>17</v>
      </c>
      <c r="F1585" s="25" t="s">
        <v>129</v>
      </c>
      <c r="G1585" s="25" t="s">
        <v>29</v>
      </c>
      <c r="H1585" s="76" t="s">
        <v>2462</v>
      </c>
      <c r="I1585" s="10"/>
      <c r="J1585" s="10"/>
      <c r="K1585" s="46"/>
      <c r="L1585" s="76" t="s">
        <v>7112</v>
      </c>
      <c r="M1585" s="44">
        <v>1.0</v>
      </c>
      <c r="N1585" s="45"/>
      <c r="O1585" s="20"/>
      <c r="P1585" s="20"/>
      <c r="Q1585" s="20"/>
      <c r="R1585" s="20"/>
      <c r="S1585" s="20"/>
    </row>
    <row r="1586">
      <c r="A1586" s="49" t="s">
        <v>7113</v>
      </c>
      <c r="B1586" s="110">
        <v>46175.0</v>
      </c>
      <c r="C1586" s="49" t="s">
        <v>7114</v>
      </c>
      <c r="D1586" s="102" t="s">
        <v>7115</v>
      </c>
      <c r="E1586" s="25" t="s">
        <v>17</v>
      </c>
      <c r="F1586" s="25" t="s">
        <v>129</v>
      </c>
      <c r="G1586" s="25" t="s">
        <v>29</v>
      </c>
      <c r="H1586" s="49" t="s">
        <v>7116</v>
      </c>
      <c r="I1586" s="23"/>
      <c r="J1586" s="49">
        <v>2.0</v>
      </c>
      <c r="K1586" s="30"/>
      <c r="L1586" s="49" t="s">
        <v>7117</v>
      </c>
      <c r="M1586" s="50">
        <v>1.0</v>
      </c>
      <c r="N1586" s="51"/>
      <c r="O1586" s="20"/>
      <c r="P1586" s="20"/>
      <c r="Q1586" s="20"/>
      <c r="R1586" s="20"/>
      <c r="S1586" s="20"/>
    </row>
    <row r="1587">
      <c r="A1587" s="76" t="s">
        <v>7118</v>
      </c>
      <c r="B1587" s="97">
        <v>46175.0</v>
      </c>
      <c r="C1587" s="76" t="s">
        <v>7119</v>
      </c>
      <c r="D1587" s="99" t="s">
        <v>7120</v>
      </c>
      <c r="E1587" s="25" t="s">
        <v>122</v>
      </c>
      <c r="F1587" s="25" t="s">
        <v>129</v>
      </c>
      <c r="G1587" s="25" t="s">
        <v>29</v>
      </c>
      <c r="H1587" s="76" t="s">
        <v>3711</v>
      </c>
      <c r="I1587" s="10"/>
      <c r="J1587" s="10"/>
      <c r="K1587" s="46"/>
      <c r="L1587" s="76" t="s">
        <v>7121</v>
      </c>
      <c r="M1587" s="44">
        <v>1.0</v>
      </c>
      <c r="N1587" s="45"/>
      <c r="O1587" s="20"/>
      <c r="P1587" s="20"/>
      <c r="Q1587" s="20"/>
      <c r="R1587" s="20"/>
      <c r="S1587" s="20"/>
    </row>
    <row r="1588">
      <c r="A1588" s="49" t="s">
        <v>7122</v>
      </c>
      <c r="B1588" s="110">
        <v>46175.0</v>
      </c>
      <c r="C1588" s="49" t="s">
        <v>7123</v>
      </c>
      <c r="D1588" s="102" t="s">
        <v>7124</v>
      </c>
      <c r="E1588" s="25" t="s">
        <v>128</v>
      </c>
      <c r="F1588" s="25" t="s">
        <v>129</v>
      </c>
      <c r="G1588" s="25" t="s">
        <v>42</v>
      </c>
      <c r="H1588" s="76" t="s">
        <v>3395</v>
      </c>
      <c r="I1588" s="49" t="s">
        <v>6632</v>
      </c>
      <c r="J1588" s="23"/>
      <c r="K1588" s="30"/>
      <c r="L1588" s="49" t="s">
        <v>7125</v>
      </c>
      <c r="M1588" s="50">
        <v>8.0</v>
      </c>
      <c r="N1588" s="51"/>
      <c r="O1588" s="20"/>
      <c r="P1588" s="20"/>
      <c r="Q1588" s="20"/>
      <c r="R1588" s="20"/>
      <c r="S1588" s="20"/>
    </row>
    <row r="1589">
      <c r="A1589" s="76" t="s">
        <v>7126</v>
      </c>
      <c r="B1589" s="97">
        <v>46175.0</v>
      </c>
      <c r="C1589" s="76" t="s">
        <v>7127</v>
      </c>
      <c r="D1589" s="99" t="s">
        <v>7128</v>
      </c>
      <c r="E1589" s="25" t="s">
        <v>1877</v>
      </c>
      <c r="F1589" s="25" t="s">
        <v>129</v>
      </c>
      <c r="G1589" s="25" t="s">
        <v>29</v>
      </c>
      <c r="H1589" s="76" t="s">
        <v>6608</v>
      </c>
      <c r="I1589" s="118">
        <v>46212.0</v>
      </c>
      <c r="J1589" s="76">
        <v>2.0</v>
      </c>
      <c r="K1589" s="46"/>
      <c r="L1589" s="76" t="s">
        <v>7129</v>
      </c>
      <c r="M1589" s="44">
        <v>1.0</v>
      </c>
      <c r="N1589" s="45"/>
      <c r="O1589" s="20"/>
      <c r="P1589" s="20"/>
      <c r="Q1589" s="20"/>
      <c r="R1589" s="20"/>
      <c r="S1589" s="20"/>
    </row>
    <row r="1590">
      <c r="A1590" s="49" t="s">
        <v>7130</v>
      </c>
      <c r="B1590" s="110">
        <v>46174.0</v>
      </c>
      <c r="C1590" s="49" t="s">
        <v>7131</v>
      </c>
      <c r="D1590" s="102" t="s">
        <v>7132</v>
      </c>
      <c r="E1590" s="25" t="s">
        <v>128</v>
      </c>
      <c r="F1590" s="25" t="s">
        <v>129</v>
      </c>
      <c r="G1590" s="25" t="s">
        <v>29</v>
      </c>
      <c r="H1590" s="49" t="s">
        <v>3032</v>
      </c>
      <c r="I1590" s="23"/>
      <c r="J1590" s="49">
        <v>10.0</v>
      </c>
      <c r="K1590" s="30"/>
      <c r="L1590" s="49" t="s">
        <v>6451</v>
      </c>
      <c r="M1590" s="50">
        <v>1.0</v>
      </c>
      <c r="N1590" s="51"/>
      <c r="O1590" s="20"/>
      <c r="P1590" s="20"/>
      <c r="Q1590" s="20"/>
      <c r="R1590" s="20"/>
      <c r="S1590" s="20"/>
    </row>
    <row r="1591">
      <c r="A1591" s="76" t="s">
        <v>7133</v>
      </c>
      <c r="B1591" s="97">
        <v>46176.0</v>
      </c>
      <c r="C1591" s="76" t="s">
        <v>7134</v>
      </c>
      <c r="D1591" s="99" t="s">
        <v>7135</v>
      </c>
      <c r="E1591" s="25" t="s">
        <v>17</v>
      </c>
      <c r="F1591" s="25" t="s">
        <v>129</v>
      </c>
      <c r="G1591" s="25" t="s">
        <v>29</v>
      </c>
      <c r="H1591" s="76" t="s">
        <v>3273</v>
      </c>
      <c r="I1591" s="10"/>
      <c r="J1591" s="10"/>
      <c r="K1591" s="46"/>
      <c r="L1591" s="76" t="s">
        <v>7136</v>
      </c>
      <c r="M1591" s="44">
        <v>1.0</v>
      </c>
      <c r="N1591" s="45"/>
      <c r="O1591" s="20"/>
      <c r="P1591" s="20"/>
      <c r="Q1591" s="20"/>
      <c r="R1591" s="20"/>
      <c r="S1591" s="20"/>
    </row>
    <row r="1592">
      <c r="A1592" s="49" t="s">
        <v>7137</v>
      </c>
      <c r="B1592" s="110">
        <v>46176.0</v>
      </c>
      <c r="C1592" s="49" t="s">
        <v>7138</v>
      </c>
      <c r="D1592" s="102" t="s">
        <v>7139</v>
      </c>
      <c r="E1592" s="25" t="s">
        <v>128</v>
      </c>
      <c r="F1592" s="25" t="s">
        <v>129</v>
      </c>
      <c r="G1592" s="25" t="s">
        <v>29</v>
      </c>
      <c r="H1592" s="49" t="s">
        <v>3837</v>
      </c>
      <c r="I1592" s="23"/>
      <c r="J1592" s="49">
        <v>2.0</v>
      </c>
      <c r="K1592" s="30"/>
      <c r="L1592" s="49" t="s">
        <v>7140</v>
      </c>
      <c r="M1592" s="50">
        <v>1.0</v>
      </c>
      <c r="N1592" s="51"/>
      <c r="O1592" s="20"/>
      <c r="P1592" s="20"/>
      <c r="Q1592" s="20"/>
      <c r="R1592" s="20"/>
      <c r="S1592" s="20"/>
    </row>
    <row r="1593">
      <c r="A1593" s="76" t="s">
        <v>7141</v>
      </c>
      <c r="B1593" s="97">
        <v>46175.0</v>
      </c>
      <c r="C1593" s="76" t="s">
        <v>7142</v>
      </c>
      <c r="D1593" s="99" t="s">
        <v>7143</v>
      </c>
      <c r="E1593" s="25" t="s">
        <v>128</v>
      </c>
      <c r="F1593" s="25" t="s">
        <v>129</v>
      </c>
      <c r="G1593" s="25" t="s">
        <v>29</v>
      </c>
      <c r="H1593" s="76" t="s">
        <v>3210</v>
      </c>
      <c r="I1593" s="76" t="s">
        <v>7144</v>
      </c>
      <c r="J1593" s="76">
        <v>100.0</v>
      </c>
      <c r="K1593" s="46"/>
      <c r="L1593" s="76" t="s">
        <v>7140</v>
      </c>
      <c r="M1593" s="44">
        <v>1.0</v>
      </c>
      <c r="N1593" s="45"/>
      <c r="O1593" s="20"/>
      <c r="P1593" s="20"/>
      <c r="Q1593" s="20"/>
      <c r="R1593" s="20"/>
      <c r="S1593" s="20"/>
    </row>
    <row r="1594">
      <c r="A1594" s="49" t="s">
        <v>7145</v>
      </c>
      <c r="B1594" s="110">
        <v>46176.0</v>
      </c>
      <c r="C1594" s="49" t="s">
        <v>7146</v>
      </c>
      <c r="D1594" s="102" t="s">
        <v>7147</v>
      </c>
      <c r="E1594" s="25" t="s">
        <v>17</v>
      </c>
      <c r="F1594" s="25" t="s">
        <v>129</v>
      </c>
      <c r="G1594" s="25" t="s">
        <v>42</v>
      </c>
      <c r="H1594" s="49" t="s">
        <v>2462</v>
      </c>
      <c r="I1594" s="23"/>
      <c r="J1594" s="49">
        <v>80.0</v>
      </c>
      <c r="K1594" s="30"/>
      <c r="L1594" s="49" t="s">
        <v>7148</v>
      </c>
      <c r="M1594" s="50">
        <v>8.0</v>
      </c>
      <c r="N1594" s="51"/>
      <c r="O1594" s="20"/>
      <c r="P1594" s="20"/>
      <c r="Q1594" s="20"/>
      <c r="R1594" s="20"/>
      <c r="S1594" s="20"/>
    </row>
    <row r="1595">
      <c r="A1595" s="76" t="s">
        <v>7149</v>
      </c>
      <c r="B1595" s="97">
        <v>46176.0</v>
      </c>
      <c r="C1595" s="76" t="s">
        <v>3952</v>
      </c>
      <c r="D1595" s="99" t="s">
        <v>7150</v>
      </c>
      <c r="E1595" s="25" t="s">
        <v>17</v>
      </c>
      <c r="F1595" s="25" t="s">
        <v>129</v>
      </c>
      <c r="G1595" s="25" t="s">
        <v>29</v>
      </c>
      <c r="H1595" s="76" t="s">
        <v>6351</v>
      </c>
      <c r="I1595" s="118">
        <v>46199.0</v>
      </c>
      <c r="J1595" s="76">
        <v>14.0</v>
      </c>
      <c r="K1595" s="46"/>
      <c r="L1595" s="76" t="s">
        <v>6451</v>
      </c>
      <c r="M1595" s="44">
        <v>1.0</v>
      </c>
      <c r="N1595" s="45"/>
      <c r="O1595" s="20"/>
      <c r="P1595" s="20"/>
      <c r="Q1595" s="20"/>
      <c r="R1595" s="20"/>
      <c r="S1595" s="20"/>
    </row>
    <row r="1596">
      <c r="A1596" s="49" t="s">
        <v>7151</v>
      </c>
      <c r="B1596" s="110">
        <v>46176.0</v>
      </c>
      <c r="C1596" s="49" t="s">
        <v>7152</v>
      </c>
      <c r="D1596" s="102" t="s">
        <v>7153</v>
      </c>
      <c r="E1596" s="25" t="s">
        <v>128</v>
      </c>
      <c r="F1596" s="25" t="s">
        <v>129</v>
      </c>
      <c r="G1596" s="25" t="s">
        <v>29</v>
      </c>
      <c r="H1596" s="49" t="s">
        <v>6351</v>
      </c>
      <c r="I1596" s="23"/>
      <c r="J1596" s="49">
        <v>6.0</v>
      </c>
      <c r="K1596" s="30"/>
      <c r="L1596" s="49" t="s">
        <v>7154</v>
      </c>
      <c r="M1596" s="50">
        <v>1.0</v>
      </c>
      <c r="N1596" s="51"/>
      <c r="O1596" s="20"/>
      <c r="P1596" s="20"/>
      <c r="Q1596" s="20"/>
      <c r="R1596" s="20"/>
      <c r="S1596" s="20"/>
    </row>
    <row r="1597">
      <c r="A1597" s="76" t="s">
        <v>7155</v>
      </c>
      <c r="B1597" s="97">
        <v>46175.0</v>
      </c>
      <c r="C1597" s="76" t="s">
        <v>7156</v>
      </c>
      <c r="D1597" s="99" t="s">
        <v>7157</v>
      </c>
      <c r="E1597" s="25" t="s">
        <v>122</v>
      </c>
      <c r="F1597" s="25" t="s">
        <v>983</v>
      </c>
      <c r="G1597" s="25" t="s">
        <v>42</v>
      </c>
      <c r="H1597" s="10"/>
      <c r="I1597" s="10"/>
      <c r="J1597" s="10"/>
      <c r="K1597" s="46"/>
      <c r="L1597" s="76" t="s">
        <v>7158</v>
      </c>
      <c r="M1597" s="44">
        <v>8.0</v>
      </c>
      <c r="N1597" s="45"/>
      <c r="O1597" s="20"/>
      <c r="P1597" s="20"/>
      <c r="Q1597" s="20"/>
      <c r="R1597" s="20"/>
      <c r="S1597" s="20"/>
    </row>
    <row r="1598">
      <c r="A1598" s="49" t="s">
        <v>7159</v>
      </c>
      <c r="B1598" s="110">
        <v>46175.0</v>
      </c>
      <c r="C1598" s="49" t="s">
        <v>7160</v>
      </c>
      <c r="D1598" s="102" t="s">
        <v>7161</v>
      </c>
      <c r="E1598" s="25" t="s">
        <v>122</v>
      </c>
      <c r="F1598" s="25" t="s">
        <v>983</v>
      </c>
      <c r="G1598" s="25" t="s">
        <v>19</v>
      </c>
      <c r="H1598" s="49" t="s">
        <v>123</v>
      </c>
      <c r="I1598" s="49" t="s">
        <v>7162</v>
      </c>
      <c r="J1598" s="49">
        <v>5.0</v>
      </c>
      <c r="K1598" s="36">
        <f>1400000*5</f>
        <v>7000000</v>
      </c>
      <c r="L1598" s="49" t="s">
        <v>7163</v>
      </c>
      <c r="M1598" s="50">
        <v>7.0</v>
      </c>
      <c r="N1598" s="51"/>
      <c r="O1598" s="20"/>
      <c r="P1598" s="20"/>
      <c r="Q1598" s="20"/>
      <c r="R1598" s="20"/>
      <c r="S1598" s="20"/>
    </row>
    <row r="1599">
      <c r="A1599" s="76" t="s">
        <v>7164</v>
      </c>
      <c r="B1599" s="97">
        <v>46176.0</v>
      </c>
      <c r="C1599" s="76" t="s">
        <v>7165</v>
      </c>
      <c r="D1599" s="99" t="s">
        <v>7166</v>
      </c>
      <c r="E1599" s="25" t="s">
        <v>17</v>
      </c>
      <c r="F1599" s="25" t="s">
        <v>983</v>
      </c>
      <c r="G1599" s="25" t="s">
        <v>42</v>
      </c>
      <c r="H1599" s="76" t="s">
        <v>5646</v>
      </c>
      <c r="I1599" s="118">
        <v>46181.0</v>
      </c>
      <c r="J1599" s="76">
        <v>2.0</v>
      </c>
      <c r="K1599" s="46">
        <f>550000*2</f>
        <v>1100000</v>
      </c>
      <c r="L1599" s="76" t="s">
        <v>326</v>
      </c>
      <c r="M1599" s="44">
        <v>8.0</v>
      </c>
      <c r="N1599" s="45"/>
      <c r="O1599" s="20"/>
      <c r="P1599" s="20"/>
      <c r="Q1599" s="20"/>
      <c r="R1599" s="20"/>
      <c r="S1599" s="20"/>
    </row>
    <row r="1600">
      <c r="A1600" s="49" t="s">
        <v>7167</v>
      </c>
      <c r="B1600" s="110">
        <v>46174.0</v>
      </c>
      <c r="C1600" s="49" t="s">
        <v>6810</v>
      </c>
      <c r="D1600" s="102" t="s">
        <v>7168</v>
      </c>
      <c r="E1600" s="25" t="s">
        <v>128</v>
      </c>
      <c r="F1600" s="25" t="s">
        <v>18</v>
      </c>
      <c r="G1600" s="25" t="s">
        <v>42</v>
      </c>
      <c r="H1600" s="49" t="s">
        <v>5658</v>
      </c>
      <c r="I1600" s="101">
        <v>46192.0</v>
      </c>
      <c r="J1600" s="23"/>
      <c r="K1600" s="30"/>
      <c r="L1600" s="23"/>
      <c r="M1600" s="50">
        <v>8.0</v>
      </c>
      <c r="N1600" s="51"/>
      <c r="O1600" s="20"/>
      <c r="P1600" s="20"/>
      <c r="Q1600" s="20"/>
      <c r="R1600" s="20"/>
      <c r="S1600" s="20"/>
    </row>
    <row r="1601">
      <c r="A1601" s="76" t="s">
        <v>7169</v>
      </c>
      <c r="B1601" s="97">
        <v>46174.0</v>
      </c>
      <c r="C1601" s="76" t="s">
        <v>7170</v>
      </c>
      <c r="D1601" s="99" t="s">
        <v>7171</v>
      </c>
      <c r="E1601" s="25" t="s">
        <v>128</v>
      </c>
      <c r="F1601" s="25" t="s">
        <v>18</v>
      </c>
      <c r="G1601" s="25" t="s">
        <v>42</v>
      </c>
      <c r="H1601" s="10"/>
      <c r="I1601" s="10"/>
      <c r="J1601" s="10"/>
      <c r="K1601" s="46"/>
      <c r="L1601" s="76" t="s">
        <v>2116</v>
      </c>
      <c r="M1601" s="44">
        <v>8.0</v>
      </c>
      <c r="N1601" s="45"/>
      <c r="O1601" s="20"/>
      <c r="P1601" s="20"/>
      <c r="Q1601" s="20"/>
      <c r="R1601" s="20"/>
      <c r="S1601" s="20"/>
    </row>
    <row r="1602">
      <c r="A1602" s="49" t="s">
        <v>7172</v>
      </c>
      <c r="B1602" s="110">
        <v>46175.0</v>
      </c>
      <c r="C1602" s="49" t="s">
        <v>7173</v>
      </c>
      <c r="D1602" s="102" t="s">
        <v>7174</v>
      </c>
      <c r="E1602" s="25" t="s">
        <v>1877</v>
      </c>
      <c r="F1602" s="25" t="s">
        <v>18</v>
      </c>
      <c r="G1602" s="25" t="s">
        <v>42</v>
      </c>
      <c r="H1602" s="49" t="s">
        <v>4074</v>
      </c>
      <c r="I1602" s="49" t="s">
        <v>2789</v>
      </c>
      <c r="J1602" s="49">
        <v>2.0</v>
      </c>
      <c r="K1602" s="30">
        <f>3910000*2</f>
        <v>7820000</v>
      </c>
      <c r="L1602" s="49" t="s">
        <v>7175</v>
      </c>
      <c r="M1602" s="50">
        <v>8.0</v>
      </c>
      <c r="N1602" s="51"/>
      <c r="O1602" s="20"/>
      <c r="P1602" s="20"/>
      <c r="Q1602" s="20"/>
      <c r="R1602" s="20"/>
      <c r="S1602" s="20"/>
    </row>
    <row r="1603">
      <c r="A1603" s="76" t="s">
        <v>7176</v>
      </c>
      <c r="B1603" s="97">
        <v>46175.0</v>
      </c>
      <c r="C1603" s="76" t="s">
        <v>7177</v>
      </c>
      <c r="D1603" s="99" t="s">
        <v>7178</v>
      </c>
      <c r="E1603" s="25" t="s">
        <v>128</v>
      </c>
      <c r="F1603" s="25" t="s">
        <v>18</v>
      </c>
      <c r="G1603" s="25" t="s">
        <v>42</v>
      </c>
      <c r="H1603" s="76" t="s">
        <v>3210</v>
      </c>
      <c r="I1603" s="76" t="s">
        <v>7179</v>
      </c>
      <c r="J1603" s="76">
        <v>5.0</v>
      </c>
      <c r="K1603" s="46">
        <f>1125000*5</f>
        <v>5625000</v>
      </c>
      <c r="L1603" s="76" t="s">
        <v>7180</v>
      </c>
      <c r="M1603" s="44">
        <v>8.0</v>
      </c>
      <c r="N1603" s="45"/>
      <c r="O1603" s="20"/>
      <c r="P1603" s="20"/>
      <c r="Q1603" s="20"/>
      <c r="R1603" s="20"/>
      <c r="S1603" s="20"/>
    </row>
    <row r="1604">
      <c r="A1604" s="49" t="s">
        <v>7181</v>
      </c>
      <c r="B1604" s="110">
        <v>46175.0</v>
      </c>
      <c r="C1604" s="138" t="s">
        <v>7182</v>
      </c>
      <c r="D1604" s="102" t="s">
        <v>7183</v>
      </c>
      <c r="E1604" s="25" t="s">
        <v>128</v>
      </c>
      <c r="F1604" s="25" t="s">
        <v>18</v>
      </c>
      <c r="G1604" s="25" t="s">
        <v>43</v>
      </c>
      <c r="H1604" s="49" t="s">
        <v>7184</v>
      </c>
      <c r="I1604" s="49" t="s">
        <v>7185</v>
      </c>
      <c r="J1604" s="49">
        <v>1.0</v>
      </c>
      <c r="K1604" s="36">
        <v>550000.0</v>
      </c>
      <c r="L1604" s="49" t="s">
        <v>7186</v>
      </c>
      <c r="M1604" s="50">
        <v>3.0</v>
      </c>
      <c r="N1604" s="51"/>
      <c r="O1604" s="20"/>
      <c r="P1604" s="20"/>
      <c r="Q1604" s="20"/>
      <c r="R1604" s="20"/>
      <c r="S1604" s="20"/>
    </row>
    <row r="1605">
      <c r="A1605" s="76" t="s">
        <v>7187</v>
      </c>
      <c r="B1605" s="97">
        <v>46176.0</v>
      </c>
      <c r="C1605" s="76" t="s">
        <v>1456</v>
      </c>
      <c r="D1605" s="99" t="s">
        <v>7188</v>
      </c>
      <c r="E1605" s="25" t="s">
        <v>17</v>
      </c>
      <c r="F1605" s="25" t="s">
        <v>18</v>
      </c>
      <c r="G1605" s="25" t="s">
        <v>34</v>
      </c>
      <c r="H1605" s="76" t="s">
        <v>4532</v>
      </c>
      <c r="I1605" s="76" t="s">
        <v>7189</v>
      </c>
      <c r="J1605" s="76">
        <v>2.0</v>
      </c>
      <c r="K1605" s="46">
        <f>2420000*2</f>
        <v>4840000</v>
      </c>
      <c r="L1605" s="76" t="s">
        <v>7190</v>
      </c>
      <c r="M1605" s="44">
        <v>2.0</v>
      </c>
      <c r="N1605" s="45"/>
      <c r="O1605" s="20"/>
      <c r="P1605" s="20"/>
      <c r="Q1605" s="20"/>
      <c r="R1605" s="20"/>
      <c r="S1605" s="20"/>
    </row>
    <row r="1606">
      <c r="A1606" s="49" t="s">
        <v>7191</v>
      </c>
      <c r="B1606" s="110">
        <v>46176.0</v>
      </c>
      <c r="C1606" s="49" t="s">
        <v>7192</v>
      </c>
      <c r="D1606" s="102" t="s">
        <v>7193</v>
      </c>
      <c r="E1606" s="25" t="s">
        <v>17</v>
      </c>
      <c r="F1606" s="25" t="s">
        <v>18</v>
      </c>
      <c r="G1606" s="25" t="s">
        <v>34</v>
      </c>
      <c r="H1606" s="49" t="s">
        <v>7194</v>
      </c>
      <c r="I1606" s="101">
        <v>46249.0</v>
      </c>
      <c r="J1606" s="49">
        <v>14.0</v>
      </c>
      <c r="K1606" s="30">
        <f>280000*14</f>
        <v>3920000</v>
      </c>
      <c r="L1606" s="49" t="s">
        <v>7195</v>
      </c>
      <c r="M1606" s="50">
        <v>2.0</v>
      </c>
      <c r="N1606" s="51"/>
      <c r="O1606" s="20"/>
      <c r="P1606" s="20"/>
      <c r="Q1606" s="20"/>
      <c r="R1606" s="20"/>
      <c r="S1606" s="20"/>
    </row>
    <row r="1607">
      <c r="A1607" s="76" t="s">
        <v>7196</v>
      </c>
      <c r="B1607" s="97">
        <v>46176.0</v>
      </c>
      <c r="C1607" s="76" t="s">
        <v>7197</v>
      </c>
      <c r="D1607" s="99" t="s">
        <v>7198</v>
      </c>
      <c r="E1607" s="25" t="s">
        <v>128</v>
      </c>
      <c r="F1607" s="25" t="s">
        <v>18</v>
      </c>
      <c r="G1607" s="25" t="s">
        <v>34</v>
      </c>
      <c r="H1607" s="76" t="s">
        <v>6246</v>
      </c>
      <c r="I1607" s="118">
        <v>46184.0</v>
      </c>
      <c r="J1607" s="76">
        <v>2.0</v>
      </c>
      <c r="K1607" s="19">
        <f>2270000*2</f>
        <v>4540000</v>
      </c>
      <c r="L1607" s="76" t="s">
        <v>7199</v>
      </c>
      <c r="M1607" s="44">
        <v>2.0</v>
      </c>
      <c r="N1607" s="45"/>
      <c r="O1607" s="20"/>
      <c r="P1607" s="20"/>
      <c r="Q1607" s="20"/>
      <c r="R1607" s="20"/>
      <c r="S1607" s="20"/>
    </row>
    <row r="1608">
      <c r="A1608" s="49" t="s">
        <v>7200</v>
      </c>
      <c r="B1608" s="110">
        <v>46176.0</v>
      </c>
      <c r="C1608" s="49" t="s">
        <v>7201</v>
      </c>
      <c r="D1608" s="102" t="s">
        <v>7202</v>
      </c>
      <c r="E1608" s="25" t="s">
        <v>122</v>
      </c>
      <c r="F1608" s="25" t="s">
        <v>18</v>
      </c>
      <c r="G1608" s="25" t="s">
        <v>34</v>
      </c>
      <c r="H1608" s="49" t="s">
        <v>7203</v>
      </c>
      <c r="I1608" s="101">
        <v>46186.0</v>
      </c>
      <c r="J1608" s="49">
        <v>5.0</v>
      </c>
      <c r="K1608" s="30">
        <f>460000*5</f>
        <v>2300000</v>
      </c>
      <c r="L1608" s="49" t="s">
        <v>7199</v>
      </c>
      <c r="M1608" s="50">
        <v>2.0</v>
      </c>
      <c r="N1608" s="51"/>
      <c r="O1608" s="20"/>
      <c r="P1608" s="20"/>
      <c r="Q1608" s="20"/>
      <c r="R1608" s="20"/>
      <c r="S1608" s="20"/>
    </row>
    <row r="1609">
      <c r="A1609" s="76" t="s">
        <v>7204</v>
      </c>
      <c r="B1609" s="97">
        <v>46176.0</v>
      </c>
      <c r="C1609" s="76" t="s">
        <v>5936</v>
      </c>
      <c r="D1609" s="99" t="s">
        <v>7205</v>
      </c>
      <c r="E1609" s="25" t="s">
        <v>128</v>
      </c>
      <c r="F1609" s="25" t="s">
        <v>18</v>
      </c>
      <c r="G1609" s="25" t="s">
        <v>42</v>
      </c>
      <c r="H1609" s="76" t="s">
        <v>3643</v>
      </c>
      <c r="I1609" s="118">
        <v>46178.0</v>
      </c>
      <c r="J1609" s="76">
        <v>1.0</v>
      </c>
      <c r="K1609" s="19">
        <v>250000.0</v>
      </c>
      <c r="L1609" s="76" t="s">
        <v>7206</v>
      </c>
      <c r="M1609" s="44">
        <v>8.0</v>
      </c>
      <c r="N1609" s="45"/>
      <c r="O1609" s="20"/>
      <c r="P1609" s="20"/>
      <c r="Q1609" s="20"/>
      <c r="R1609" s="20"/>
      <c r="S1609" s="20"/>
    </row>
    <row r="1610">
      <c r="A1610" s="49" t="s">
        <v>7207</v>
      </c>
      <c r="B1610" s="110">
        <v>46175.0</v>
      </c>
      <c r="C1610" s="49" t="s">
        <v>7208</v>
      </c>
      <c r="D1610" s="102" t="s">
        <v>7209</v>
      </c>
      <c r="E1610" s="25" t="s">
        <v>128</v>
      </c>
      <c r="F1610" s="25" t="s">
        <v>18</v>
      </c>
      <c r="G1610" s="25" t="s">
        <v>19</v>
      </c>
      <c r="H1610" s="49" t="s">
        <v>5658</v>
      </c>
      <c r="I1610" s="101">
        <v>46179.0</v>
      </c>
      <c r="J1610" s="49">
        <v>3.0</v>
      </c>
      <c r="K1610" s="30">
        <f>275000*3</f>
        <v>825000</v>
      </c>
      <c r="L1610" s="49" t="s">
        <v>5660</v>
      </c>
      <c r="M1610" s="50">
        <v>7.0</v>
      </c>
      <c r="N1610" s="51"/>
      <c r="O1610" s="20"/>
      <c r="P1610" s="20"/>
      <c r="Q1610" s="20"/>
      <c r="R1610" s="20"/>
      <c r="S1610" s="20"/>
    </row>
    <row r="1611">
      <c r="A1611" s="76" t="s">
        <v>7210</v>
      </c>
      <c r="B1611" s="97">
        <v>46177.0</v>
      </c>
      <c r="C1611" s="76" t="s">
        <v>7211</v>
      </c>
      <c r="D1611" s="99" t="s">
        <v>7212</v>
      </c>
      <c r="E1611" s="25" t="s">
        <v>128</v>
      </c>
      <c r="F1611" s="25" t="s">
        <v>18</v>
      </c>
      <c r="G1611" s="25" t="s">
        <v>42</v>
      </c>
      <c r="H1611" s="76" t="s">
        <v>2462</v>
      </c>
      <c r="I1611" s="10"/>
      <c r="J1611" s="76">
        <v>3.0</v>
      </c>
      <c r="K1611" s="46">
        <f>2134000*3</f>
        <v>6402000</v>
      </c>
      <c r="L1611" s="76" t="s">
        <v>840</v>
      </c>
      <c r="M1611" s="44">
        <v>8.0</v>
      </c>
      <c r="N1611" s="45"/>
      <c r="O1611" s="20"/>
      <c r="P1611" s="20"/>
      <c r="Q1611" s="20"/>
      <c r="R1611" s="20"/>
      <c r="S1611" s="20"/>
    </row>
    <row r="1612">
      <c r="A1612" s="49" t="s">
        <v>7213</v>
      </c>
      <c r="B1612" s="110">
        <v>46176.0</v>
      </c>
      <c r="C1612" s="49" t="s">
        <v>7214</v>
      </c>
      <c r="D1612" s="102" t="s">
        <v>7215</v>
      </c>
      <c r="E1612" s="25" t="s">
        <v>128</v>
      </c>
      <c r="F1612" s="25" t="s">
        <v>18</v>
      </c>
      <c r="G1612" s="25" t="s">
        <v>43</v>
      </c>
      <c r="H1612" s="49" t="s">
        <v>2462</v>
      </c>
      <c r="I1612" s="49" t="s">
        <v>7216</v>
      </c>
      <c r="J1612" s="49">
        <v>4.0</v>
      </c>
      <c r="K1612" s="30">
        <f>765000*4</f>
        <v>3060000</v>
      </c>
      <c r="L1612" s="49" t="s">
        <v>7217</v>
      </c>
      <c r="M1612" s="50">
        <v>3.0</v>
      </c>
      <c r="N1612" s="51"/>
      <c r="O1612" s="20"/>
      <c r="P1612" s="20"/>
      <c r="Q1612" s="20"/>
      <c r="R1612" s="20"/>
      <c r="S1612" s="20"/>
    </row>
    <row r="1613">
      <c r="A1613" s="76" t="s">
        <v>7218</v>
      </c>
      <c r="B1613" s="97">
        <v>46177.0</v>
      </c>
      <c r="C1613" s="76" t="s">
        <v>7219</v>
      </c>
      <c r="D1613" s="99" t="s">
        <v>7220</v>
      </c>
      <c r="E1613" s="25" t="s">
        <v>128</v>
      </c>
      <c r="F1613" s="25" t="s">
        <v>18</v>
      </c>
      <c r="G1613" s="25" t="s">
        <v>42</v>
      </c>
      <c r="H1613" s="76" t="s">
        <v>3210</v>
      </c>
      <c r="I1613" s="118">
        <v>46181.0</v>
      </c>
      <c r="J1613" s="76">
        <v>2.0</v>
      </c>
      <c r="K1613" s="46"/>
      <c r="L1613" s="76"/>
      <c r="M1613" s="44">
        <v>8.0</v>
      </c>
      <c r="N1613" s="45"/>
      <c r="O1613" s="20"/>
      <c r="P1613" s="20"/>
      <c r="Q1613" s="20"/>
      <c r="R1613" s="20"/>
      <c r="S1613" s="20"/>
    </row>
    <row r="1614">
      <c r="A1614" s="49" t="s">
        <v>7221</v>
      </c>
      <c r="B1614" s="110">
        <v>46174.0</v>
      </c>
      <c r="C1614" s="49" t="s">
        <v>7222</v>
      </c>
      <c r="D1614" s="102" t="s">
        <v>7223</v>
      </c>
      <c r="E1614" s="25" t="s">
        <v>122</v>
      </c>
      <c r="F1614" s="25" t="s">
        <v>18</v>
      </c>
      <c r="G1614" s="25" t="s">
        <v>42</v>
      </c>
      <c r="H1614" s="23"/>
      <c r="I1614" s="23"/>
      <c r="J1614" s="49">
        <v>8.0</v>
      </c>
      <c r="K1614" s="30"/>
      <c r="L1614" s="49" t="s">
        <v>840</v>
      </c>
      <c r="M1614" s="50">
        <v>8.0</v>
      </c>
      <c r="N1614" s="51"/>
      <c r="O1614" s="20"/>
      <c r="P1614" s="20"/>
      <c r="Q1614" s="20"/>
      <c r="R1614" s="20"/>
      <c r="S1614" s="20"/>
    </row>
    <row r="1615">
      <c r="A1615" s="76" t="s">
        <v>7224</v>
      </c>
      <c r="B1615" s="97">
        <v>46176.0</v>
      </c>
      <c r="C1615" s="76" t="s">
        <v>7225</v>
      </c>
      <c r="D1615" s="99" t="s">
        <v>7226</v>
      </c>
      <c r="E1615" s="25" t="s">
        <v>128</v>
      </c>
      <c r="F1615" s="25" t="s">
        <v>129</v>
      </c>
      <c r="G1615" s="25" t="s">
        <v>29</v>
      </c>
      <c r="H1615" s="76" t="s">
        <v>6956</v>
      </c>
      <c r="I1615" s="118">
        <v>46194.0</v>
      </c>
      <c r="J1615" s="76">
        <v>1.0</v>
      </c>
      <c r="K1615" s="46"/>
      <c r="L1615" s="76" t="s">
        <v>7227</v>
      </c>
      <c r="M1615" s="44">
        <v>1.0</v>
      </c>
      <c r="N1615" s="45"/>
      <c r="O1615" s="20"/>
      <c r="P1615" s="20"/>
      <c r="Q1615" s="20"/>
      <c r="R1615" s="20"/>
      <c r="S1615" s="20"/>
    </row>
    <row r="1616">
      <c r="A1616" s="49" t="s">
        <v>7228</v>
      </c>
      <c r="B1616" s="110">
        <v>46177.0</v>
      </c>
      <c r="C1616" s="49" t="s">
        <v>7229</v>
      </c>
      <c r="D1616" s="102" t="s">
        <v>7230</v>
      </c>
      <c r="E1616" s="25" t="s">
        <v>17</v>
      </c>
      <c r="F1616" s="25" t="s">
        <v>129</v>
      </c>
      <c r="G1616" s="25" t="s">
        <v>29</v>
      </c>
      <c r="H1616" s="23"/>
      <c r="I1616" s="23"/>
      <c r="J1616" s="23"/>
      <c r="K1616" s="30"/>
      <c r="L1616" s="23"/>
      <c r="M1616" s="50">
        <v>1.0</v>
      </c>
      <c r="N1616" s="51"/>
      <c r="O1616" s="20"/>
      <c r="P1616" s="20"/>
      <c r="Q1616" s="20"/>
      <c r="R1616" s="20"/>
      <c r="S1616" s="20"/>
    </row>
    <row r="1617">
      <c r="A1617" s="76" t="s">
        <v>7231</v>
      </c>
      <c r="B1617" s="110">
        <v>46178.0</v>
      </c>
      <c r="C1617" s="76" t="s">
        <v>7232</v>
      </c>
      <c r="D1617" s="99" t="s">
        <v>7233</v>
      </c>
      <c r="E1617" s="25" t="s">
        <v>128</v>
      </c>
      <c r="F1617" s="25" t="s">
        <v>129</v>
      </c>
      <c r="G1617" s="25" t="s">
        <v>19</v>
      </c>
      <c r="H1617" s="76" t="s">
        <v>2166</v>
      </c>
      <c r="I1617" s="118">
        <v>46179.0</v>
      </c>
      <c r="J1617" s="76">
        <v>1.0</v>
      </c>
      <c r="K1617" s="19">
        <v>250000.0</v>
      </c>
      <c r="L1617" s="76" t="s">
        <v>7234</v>
      </c>
      <c r="M1617" s="44">
        <v>7.0</v>
      </c>
      <c r="N1617" s="45"/>
      <c r="O1617" s="20"/>
      <c r="P1617" s="20"/>
      <c r="Q1617" s="20"/>
      <c r="R1617" s="20"/>
      <c r="S1617" s="20"/>
    </row>
    <row r="1618">
      <c r="A1618" s="49" t="s">
        <v>7235</v>
      </c>
      <c r="B1618" s="110">
        <v>46178.0</v>
      </c>
      <c r="C1618" s="49" t="s">
        <v>7236</v>
      </c>
      <c r="D1618" s="102" t="s">
        <v>7237</v>
      </c>
      <c r="E1618" s="25" t="s">
        <v>17</v>
      </c>
      <c r="F1618" s="25" t="s">
        <v>129</v>
      </c>
      <c r="G1618" s="25" t="s">
        <v>19</v>
      </c>
      <c r="H1618" s="49" t="s">
        <v>4351</v>
      </c>
      <c r="I1618" s="101">
        <v>46186.0</v>
      </c>
      <c r="J1618" s="49">
        <v>3.0</v>
      </c>
      <c r="K1618" s="30">
        <f>SUM(2275000*3)</f>
        <v>6825000</v>
      </c>
      <c r="L1618" s="49" t="s">
        <v>7234</v>
      </c>
      <c r="M1618" s="50">
        <v>7.0</v>
      </c>
      <c r="N1618" s="51"/>
      <c r="O1618" s="20"/>
      <c r="P1618" s="20"/>
      <c r="Q1618" s="20"/>
      <c r="R1618" s="20"/>
      <c r="S1618" s="20"/>
    </row>
    <row r="1619">
      <c r="A1619" s="76" t="s">
        <v>7238</v>
      </c>
      <c r="B1619" s="97">
        <v>46178.0</v>
      </c>
      <c r="C1619" s="76" t="s">
        <v>7239</v>
      </c>
      <c r="D1619" s="99" t="s">
        <v>7240</v>
      </c>
      <c r="E1619" s="25" t="s">
        <v>17</v>
      </c>
      <c r="F1619" s="25" t="s">
        <v>129</v>
      </c>
      <c r="G1619" s="25" t="s">
        <v>19</v>
      </c>
      <c r="H1619" s="76" t="s">
        <v>7241</v>
      </c>
      <c r="I1619" s="118">
        <v>46180.0</v>
      </c>
      <c r="J1619" s="76">
        <v>3.0</v>
      </c>
      <c r="K1619" s="46">
        <f>SUM(625000*3)</f>
        <v>1875000</v>
      </c>
      <c r="L1619" s="76" t="s">
        <v>7234</v>
      </c>
      <c r="M1619" s="44">
        <v>7.0</v>
      </c>
      <c r="N1619" s="45"/>
      <c r="O1619" s="20"/>
      <c r="P1619" s="20"/>
      <c r="Q1619" s="20"/>
      <c r="R1619" s="20"/>
      <c r="S1619" s="20"/>
    </row>
    <row r="1620">
      <c r="A1620" s="49" t="s">
        <v>7242</v>
      </c>
      <c r="B1620" s="110">
        <v>46178.0</v>
      </c>
      <c r="C1620" s="49" t="s">
        <v>7243</v>
      </c>
      <c r="D1620" s="102" t="s">
        <v>7244</v>
      </c>
      <c r="E1620" s="25" t="s">
        <v>128</v>
      </c>
      <c r="F1620" s="25" t="s">
        <v>129</v>
      </c>
      <c r="G1620" s="25" t="s">
        <v>19</v>
      </c>
      <c r="H1620" s="49" t="s">
        <v>7245</v>
      </c>
      <c r="I1620" s="101">
        <v>46201.0</v>
      </c>
      <c r="J1620" s="49">
        <v>4.0</v>
      </c>
      <c r="K1620" s="36">
        <v>2000000.0</v>
      </c>
      <c r="L1620" s="49" t="s">
        <v>7234</v>
      </c>
      <c r="M1620" s="50">
        <v>7.0</v>
      </c>
      <c r="N1620" s="51"/>
      <c r="O1620" s="20"/>
      <c r="P1620" s="20"/>
      <c r="Q1620" s="20"/>
      <c r="R1620" s="20"/>
      <c r="S1620" s="20"/>
    </row>
    <row r="1621">
      <c r="A1621" s="76" t="s">
        <v>7246</v>
      </c>
      <c r="B1621" s="97">
        <v>46174.0</v>
      </c>
      <c r="C1621" s="76" t="s">
        <v>7247</v>
      </c>
      <c r="D1621" s="99" t="s">
        <v>7248</v>
      </c>
      <c r="E1621" s="25" t="s">
        <v>17</v>
      </c>
      <c r="F1621" s="25" t="s">
        <v>129</v>
      </c>
      <c r="G1621" s="25" t="s">
        <v>29</v>
      </c>
      <c r="H1621" s="76" t="s">
        <v>7249</v>
      </c>
      <c r="I1621" s="118">
        <v>46243.0</v>
      </c>
      <c r="J1621" s="76">
        <v>3.0</v>
      </c>
      <c r="K1621" s="46"/>
      <c r="L1621" s="76" t="s">
        <v>7250</v>
      </c>
      <c r="M1621" s="44">
        <v>1.0</v>
      </c>
      <c r="N1621" s="45"/>
      <c r="O1621" s="20"/>
      <c r="P1621" s="20"/>
      <c r="Q1621" s="20"/>
      <c r="R1621" s="20"/>
      <c r="S1621" s="20"/>
    </row>
    <row r="1622">
      <c r="A1622" s="49" t="s">
        <v>7251</v>
      </c>
      <c r="B1622" s="110">
        <v>46177.0</v>
      </c>
      <c r="C1622" s="49" t="s">
        <v>7252</v>
      </c>
      <c r="D1622" s="102" t="s">
        <v>7253</v>
      </c>
      <c r="E1622" s="25" t="s">
        <v>128</v>
      </c>
      <c r="F1622" s="25" t="s">
        <v>129</v>
      </c>
      <c r="G1622" s="25" t="s">
        <v>29</v>
      </c>
      <c r="H1622" s="49" t="s">
        <v>3837</v>
      </c>
      <c r="I1622" s="101">
        <v>46256.0</v>
      </c>
      <c r="J1622" s="23"/>
      <c r="K1622" s="30"/>
      <c r="L1622" s="49" t="s">
        <v>7254</v>
      </c>
      <c r="M1622" s="50">
        <v>1.0</v>
      </c>
      <c r="N1622" s="51"/>
      <c r="O1622" s="20"/>
      <c r="P1622" s="20"/>
      <c r="Q1622" s="20"/>
      <c r="R1622" s="20"/>
      <c r="S1622" s="20"/>
    </row>
    <row r="1623">
      <c r="A1623" s="76" t="s">
        <v>7255</v>
      </c>
      <c r="B1623" s="97">
        <v>46177.0</v>
      </c>
      <c r="C1623" s="76" t="s">
        <v>7256</v>
      </c>
      <c r="D1623" s="99" t="s">
        <v>7257</v>
      </c>
      <c r="E1623" s="25" t="s">
        <v>17</v>
      </c>
      <c r="F1623" s="25" t="s">
        <v>129</v>
      </c>
      <c r="G1623" s="25" t="s">
        <v>29</v>
      </c>
      <c r="H1623" s="76" t="s">
        <v>4711</v>
      </c>
      <c r="I1623" s="10"/>
      <c r="J1623" s="10"/>
      <c r="K1623" s="46"/>
      <c r="L1623" s="76" t="s">
        <v>7154</v>
      </c>
      <c r="M1623" s="44">
        <v>1.0</v>
      </c>
      <c r="N1623" s="45"/>
      <c r="O1623" s="20"/>
      <c r="P1623" s="20"/>
      <c r="Q1623" s="20"/>
      <c r="R1623" s="20"/>
      <c r="S1623" s="20"/>
    </row>
    <row r="1624">
      <c r="A1624" s="49" t="s">
        <v>7258</v>
      </c>
      <c r="B1624" s="110">
        <v>46177.0</v>
      </c>
      <c r="C1624" s="49" t="s">
        <v>7259</v>
      </c>
      <c r="D1624" s="102" t="s">
        <v>7260</v>
      </c>
      <c r="E1624" s="25" t="s">
        <v>17</v>
      </c>
      <c r="F1624" s="25" t="s">
        <v>129</v>
      </c>
      <c r="G1624" s="25" t="s">
        <v>29</v>
      </c>
      <c r="H1624" s="49" t="s">
        <v>747</v>
      </c>
      <c r="I1624" s="23"/>
      <c r="J1624" s="23"/>
      <c r="K1624" s="30"/>
      <c r="L1624" s="49" t="s">
        <v>6388</v>
      </c>
      <c r="M1624" s="50">
        <v>1.0</v>
      </c>
      <c r="N1624" s="51"/>
      <c r="O1624" s="20"/>
      <c r="P1624" s="20"/>
      <c r="Q1624" s="20"/>
      <c r="R1624" s="20"/>
      <c r="S1624" s="20"/>
    </row>
    <row r="1625">
      <c r="A1625" s="76" t="s">
        <v>7261</v>
      </c>
      <c r="B1625" s="97">
        <v>46178.0</v>
      </c>
      <c r="C1625" s="76" t="s">
        <v>7262</v>
      </c>
      <c r="D1625" s="99" t="s">
        <v>7263</v>
      </c>
      <c r="E1625" s="25" t="s">
        <v>122</v>
      </c>
      <c r="F1625" s="25" t="s">
        <v>983</v>
      </c>
      <c r="G1625" s="25" t="s">
        <v>42</v>
      </c>
      <c r="H1625" s="76" t="s">
        <v>7264</v>
      </c>
      <c r="I1625" s="118">
        <v>46189.0</v>
      </c>
      <c r="J1625" s="10"/>
      <c r="K1625" s="46"/>
      <c r="L1625" s="76" t="s">
        <v>158</v>
      </c>
      <c r="M1625" s="44">
        <v>8.0</v>
      </c>
      <c r="N1625" s="45"/>
      <c r="O1625" s="20"/>
      <c r="P1625" s="20"/>
      <c r="Q1625" s="20"/>
      <c r="R1625" s="20"/>
      <c r="S1625" s="20"/>
    </row>
    <row r="1626">
      <c r="A1626" s="49" t="s">
        <v>7265</v>
      </c>
      <c r="B1626" s="110">
        <v>46178.0</v>
      </c>
      <c r="C1626" s="49" t="s">
        <v>7266</v>
      </c>
      <c r="D1626" s="102" t="s">
        <v>7267</v>
      </c>
      <c r="E1626" s="25" t="s">
        <v>17</v>
      </c>
      <c r="F1626" s="25" t="s">
        <v>983</v>
      </c>
      <c r="G1626" s="25" t="s">
        <v>29</v>
      </c>
      <c r="H1626" s="49" t="s">
        <v>4515</v>
      </c>
      <c r="I1626" s="23"/>
      <c r="J1626" s="49">
        <v>25.0</v>
      </c>
      <c r="K1626" s="30"/>
      <c r="L1626" s="49" t="s">
        <v>7268</v>
      </c>
      <c r="M1626" s="50">
        <v>1.0</v>
      </c>
      <c r="N1626" s="51"/>
      <c r="O1626" s="20"/>
      <c r="P1626" s="20"/>
      <c r="Q1626" s="20"/>
      <c r="R1626" s="20"/>
      <c r="S1626" s="20"/>
    </row>
    <row r="1627">
      <c r="A1627" s="76" t="s">
        <v>7269</v>
      </c>
      <c r="B1627" s="97">
        <v>46179.0</v>
      </c>
      <c r="C1627" s="76" t="s">
        <v>7270</v>
      </c>
      <c r="D1627" s="99" t="s">
        <v>7271</v>
      </c>
      <c r="E1627" s="25" t="s">
        <v>122</v>
      </c>
      <c r="F1627" s="25" t="s">
        <v>983</v>
      </c>
      <c r="G1627" s="25" t="s">
        <v>19</v>
      </c>
      <c r="H1627" s="76" t="s">
        <v>6665</v>
      </c>
      <c r="I1627" s="118">
        <v>46191.0</v>
      </c>
      <c r="J1627" s="76">
        <v>4.0</v>
      </c>
      <c r="K1627" s="46">
        <f>563000*4</f>
        <v>2252000</v>
      </c>
      <c r="L1627" s="76" t="s">
        <v>4896</v>
      </c>
      <c r="M1627" s="44">
        <v>7.0</v>
      </c>
      <c r="N1627" s="45"/>
      <c r="O1627" s="20"/>
      <c r="P1627" s="20"/>
      <c r="Q1627" s="20"/>
      <c r="R1627" s="20"/>
      <c r="S1627" s="20"/>
    </row>
    <row r="1628">
      <c r="A1628" s="49" t="s">
        <v>7272</v>
      </c>
      <c r="B1628" s="110">
        <v>46177.0</v>
      </c>
      <c r="C1628" s="49" t="s">
        <v>7273</v>
      </c>
      <c r="D1628" s="102" t="s">
        <v>7274</v>
      </c>
      <c r="E1628" s="25" t="s">
        <v>128</v>
      </c>
      <c r="F1628" s="25" t="s">
        <v>18</v>
      </c>
      <c r="G1628" s="25" t="s">
        <v>42</v>
      </c>
      <c r="H1628" s="49" t="s">
        <v>2066</v>
      </c>
      <c r="I1628" s="23"/>
      <c r="J1628" s="49">
        <v>1.0</v>
      </c>
      <c r="K1628" s="30"/>
      <c r="L1628" s="49" t="s">
        <v>840</v>
      </c>
      <c r="M1628" s="50">
        <v>8.0</v>
      </c>
      <c r="N1628" s="51"/>
      <c r="O1628" s="20"/>
      <c r="P1628" s="20"/>
      <c r="Q1628" s="20"/>
      <c r="R1628" s="20"/>
      <c r="S1628" s="20"/>
    </row>
    <row r="1629">
      <c r="A1629" s="76" t="s">
        <v>7275</v>
      </c>
      <c r="B1629" s="97">
        <v>46177.0</v>
      </c>
      <c r="C1629" s="76" t="s">
        <v>7276</v>
      </c>
      <c r="D1629" s="99" t="s">
        <v>7277</v>
      </c>
      <c r="E1629" s="25" t="s">
        <v>128</v>
      </c>
      <c r="F1629" s="25" t="s">
        <v>18</v>
      </c>
      <c r="G1629" s="25" t="s">
        <v>42</v>
      </c>
      <c r="H1629" s="76" t="s">
        <v>4515</v>
      </c>
      <c r="I1629" s="10"/>
      <c r="J1629" s="76">
        <v>13.0</v>
      </c>
      <c r="K1629" s="46"/>
      <c r="L1629" s="76" t="s">
        <v>840</v>
      </c>
      <c r="M1629" s="44">
        <v>8.0</v>
      </c>
      <c r="N1629" s="45"/>
      <c r="O1629" s="20"/>
      <c r="P1629" s="20"/>
      <c r="Q1629" s="20"/>
      <c r="R1629" s="20"/>
      <c r="S1629" s="20"/>
    </row>
    <row r="1630">
      <c r="A1630" s="49" t="s">
        <v>7278</v>
      </c>
      <c r="B1630" s="110">
        <v>46177.0</v>
      </c>
      <c r="C1630" s="49" t="s">
        <v>7279</v>
      </c>
      <c r="D1630" s="102" t="s">
        <v>7280</v>
      </c>
      <c r="E1630" s="25" t="s">
        <v>128</v>
      </c>
      <c r="F1630" s="25" t="s">
        <v>18</v>
      </c>
      <c r="G1630" s="25" t="s">
        <v>42</v>
      </c>
      <c r="H1630" s="49" t="s">
        <v>5646</v>
      </c>
      <c r="I1630" s="23"/>
      <c r="J1630" s="23"/>
      <c r="K1630" s="30"/>
      <c r="L1630" s="49" t="s">
        <v>840</v>
      </c>
      <c r="M1630" s="50">
        <v>8.0</v>
      </c>
      <c r="N1630" s="51"/>
      <c r="O1630" s="20"/>
      <c r="P1630" s="20"/>
      <c r="Q1630" s="20"/>
      <c r="R1630" s="20"/>
      <c r="S1630" s="20"/>
    </row>
    <row r="1631">
      <c r="A1631" s="76" t="s">
        <v>7281</v>
      </c>
      <c r="B1631" s="97">
        <v>46178.0</v>
      </c>
      <c r="C1631" s="76" t="s">
        <v>7282</v>
      </c>
      <c r="D1631" s="99" t="s">
        <v>7283</v>
      </c>
      <c r="E1631" s="25" t="s">
        <v>17</v>
      </c>
      <c r="F1631" s="25" t="s">
        <v>18</v>
      </c>
      <c r="G1631" s="25" t="s">
        <v>42</v>
      </c>
      <c r="H1631" s="76" t="s">
        <v>7284</v>
      </c>
      <c r="I1631" s="10"/>
      <c r="J1631" s="76">
        <v>4.0</v>
      </c>
      <c r="K1631" s="46">
        <f>1037000*4</f>
        <v>4148000</v>
      </c>
      <c r="L1631" s="76" t="s">
        <v>840</v>
      </c>
      <c r="M1631" s="44">
        <v>8.0</v>
      </c>
      <c r="N1631" s="45"/>
      <c r="O1631" s="20"/>
      <c r="P1631" s="20"/>
      <c r="Q1631" s="20"/>
      <c r="R1631" s="20"/>
      <c r="S1631" s="20"/>
    </row>
    <row r="1632">
      <c r="A1632" s="49" t="s">
        <v>7285</v>
      </c>
      <c r="B1632" s="110">
        <v>46178.0</v>
      </c>
      <c r="C1632" s="49" t="s">
        <v>7286</v>
      </c>
      <c r="D1632" s="102" t="s">
        <v>7287</v>
      </c>
      <c r="E1632" s="25" t="s">
        <v>17</v>
      </c>
      <c r="F1632" s="25" t="s">
        <v>18</v>
      </c>
      <c r="G1632" s="25" t="s">
        <v>42</v>
      </c>
      <c r="H1632" s="49" t="s">
        <v>5888</v>
      </c>
      <c r="I1632" s="101">
        <v>46209.0</v>
      </c>
      <c r="J1632" s="49">
        <v>5.0</v>
      </c>
      <c r="K1632" s="30"/>
      <c r="L1632" s="49" t="s">
        <v>840</v>
      </c>
      <c r="M1632" s="50">
        <v>8.0</v>
      </c>
      <c r="N1632" s="51"/>
      <c r="O1632" s="20"/>
      <c r="P1632" s="20"/>
      <c r="Q1632" s="20"/>
      <c r="R1632" s="20"/>
      <c r="S1632" s="20"/>
    </row>
    <row r="1633">
      <c r="A1633" s="76" t="s">
        <v>7288</v>
      </c>
      <c r="B1633" s="97">
        <v>46178.0</v>
      </c>
      <c r="C1633" s="76" t="s">
        <v>7262</v>
      </c>
      <c r="D1633" s="99" t="s">
        <v>7263</v>
      </c>
      <c r="E1633" s="25" t="s">
        <v>128</v>
      </c>
      <c r="F1633" s="25" t="s">
        <v>18</v>
      </c>
      <c r="G1633" s="25" t="s">
        <v>42</v>
      </c>
      <c r="H1633" s="76" t="s">
        <v>7264</v>
      </c>
      <c r="I1633" s="118">
        <v>46189.0</v>
      </c>
      <c r="J1633" s="76">
        <v>2.0</v>
      </c>
      <c r="K1633" s="46"/>
      <c r="L1633" s="76" t="s">
        <v>7289</v>
      </c>
      <c r="M1633" s="44">
        <v>8.0</v>
      </c>
      <c r="N1633" s="45"/>
      <c r="O1633" s="20"/>
      <c r="P1633" s="20"/>
      <c r="Q1633" s="20"/>
      <c r="R1633" s="20"/>
      <c r="S1633" s="20"/>
    </row>
    <row r="1634">
      <c r="A1634" s="49" t="s">
        <v>7290</v>
      </c>
      <c r="B1634" s="110">
        <v>46178.0</v>
      </c>
      <c r="C1634" s="49" t="s">
        <v>7291</v>
      </c>
      <c r="D1634" s="102" t="s">
        <v>7292</v>
      </c>
      <c r="E1634" s="25" t="s">
        <v>128</v>
      </c>
      <c r="F1634" s="25" t="s">
        <v>18</v>
      </c>
      <c r="G1634" s="25" t="s">
        <v>42</v>
      </c>
      <c r="H1634" s="49" t="s">
        <v>5646</v>
      </c>
      <c r="I1634" s="23"/>
      <c r="J1634" s="49">
        <v>2.0</v>
      </c>
      <c r="K1634" s="30"/>
      <c r="L1634" s="49" t="s">
        <v>3133</v>
      </c>
      <c r="M1634" s="50">
        <v>8.0</v>
      </c>
      <c r="N1634" s="51"/>
      <c r="O1634" s="20"/>
      <c r="P1634" s="20"/>
      <c r="Q1634" s="20"/>
      <c r="R1634" s="20"/>
      <c r="S1634" s="20"/>
    </row>
    <row r="1635">
      <c r="A1635" s="76" t="s">
        <v>7293</v>
      </c>
      <c r="B1635" s="97">
        <v>46179.0</v>
      </c>
      <c r="C1635" s="76" t="s">
        <v>5681</v>
      </c>
      <c r="D1635" s="99" t="s">
        <v>7294</v>
      </c>
      <c r="E1635" s="25" t="s">
        <v>17</v>
      </c>
      <c r="F1635" s="25" t="s">
        <v>18</v>
      </c>
      <c r="G1635" s="25" t="s">
        <v>42</v>
      </c>
      <c r="H1635" s="10"/>
      <c r="I1635" s="10"/>
      <c r="J1635" s="10"/>
      <c r="K1635" s="46"/>
      <c r="L1635" s="76" t="s">
        <v>2116</v>
      </c>
      <c r="M1635" s="44">
        <v>8.0</v>
      </c>
      <c r="N1635" s="45"/>
      <c r="O1635" s="20"/>
      <c r="P1635" s="20"/>
      <c r="Q1635" s="20"/>
      <c r="R1635" s="20"/>
      <c r="S1635" s="20"/>
    </row>
    <row r="1636">
      <c r="A1636" s="49" t="s">
        <v>7295</v>
      </c>
      <c r="B1636" s="110">
        <v>46179.0</v>
      </c>
      <c r="C1636" s="49" t="s">
        <v>7296</v>
      </c>
      <c r="D1636" s="102" t="s">
        <v>7297</v>
      </c>
      <c r="E1636" s="25" t="s">
        <v>128</v>
      </c>
      <c r="F1636" s="25" t="s">
        <v>18</v>
      </c>
      <c r="G1636" s="25" t="s">
        <v>42</v>
      </c>
      <c r="H1636" s="23"/>
      <c r="I1636" s="23"/>
      <c r="J1636" s="23"/>
      <c r="K1636" s="30"/>
      <c r="L1636" s="49" t="s">
        <v>2116</v>
      </c>
      <c r="M1636" s="50">
        <v>8.0</v>
      </c>
      <c r="N1636" s="51"/>
      <c r="O1636" s="20"/>
      <c r="P1636" s="20"/>
      <c r="Q1636" s="20"/>
      <c r="R1636" s="20"/>
      <c r="S1636" s="20"/>
    </row>
    <row r="1637">
      <c r="A1637" s="76" t="s">
        <v>7298</v>
      </c>
      <c r="B1637" s="97">
        <v>46179.0</v>
      </c>
      <c r="C1637" s="76" t="s">
        <v>7299</v>
      </c>
      <c r="D1637" s="99" t="s">
        <v>7300</v>
      </c>
      <c r="E1637" s="25" t="s">
        <v>128</v>
      </c>
      <c r="F1637" s="25" t="s">
        <v>18</v>
      </c>
      <c r="G1637" s="25" t="s">
        <v>42</v>
      </c>
      <c r="H1637" s="76" t="s">
        <v>7284</v>
      </c>
      <c r="I1637" s="10"/>
      <c r="J1637" s="76">
        <v>4.0</v>
      </c>
      <c r="K1637" s="46"/>
      <c r="L1637" s="76" t="s">
        <v>3133</v>
      </c>
      <c r="M1637" s="44">
        <v>8.0</v>
      </c>
      <c r="N1637" s="45"/>
      <c r="O1637" s="20"/>
      <c r="P1637" s="20"/>
      <c r="Q1637" s="20"/>
      <c r="R1637" s="20"/>
      <c r="S1637" s="20"/>
    </row>
    <row r="1638">
      <c r="A1638" s="49" t="s">
        <v>7301</v>
      </c>
      <c r="B1638" s="110">
        <v>46178.0</v>
      </c>
      <c r="C1638" s="49" t="s">
        <v>7302</v>
      </c>
      <c r="D1638" s="102" t="s">
        <v>7303</v>
      </c>
      <c r="E1638" s="25" t="s">
        <v>128</v>
      </c>
      <c r="F1638" s="25" t="s">
        <v>18</v>
      </c>
      <c r="G1638" s="25" t="s">
        <v>19</v>
      </c>
      <c r="H1638" s="49" t="s">
        <v>5658</v>
      </c>
      <c r="I1638" s="154">
        <v>46180.0</v>
      </c>
      <c r="J1638" s="49">
        <v>2.0</v>
      </c>
      <c r="K1638" s="30">
        <f>275000*2</f>
        <v>550000</v>
      </c>
      <c r="L1638" s="49" t="s">
        <v>1803</v>
      </c>
      <c r="M1638" s="50">
        <v>7.0</v>
      </c>
      <c r="N1638" s="51"/>
      <c r="O1638" s="20"/>
      <c r="P1638" s="20"/>
      <c r="Q1638" s="20"/>
      <c r="R1638" s="20"/>
      <c r="S1638" s="20"/>
    </row>
    <row r="1639">
      <c r="A1639" s="76" t="s">
        <v>7304</v>
      </c>
      <c r="B1639" s="97">
        <v>46179.0</v>
      </c>
      <c r="C1639" s="76" t="s">
        <v>7305</v>
      </c>
      <c r="D1639" s="99" t="s">
        <v>7306</v>
      </c>
      <c r="E1639" s="25" t="s">
        <v>128</v>
      </c>
      <c r="F1639" s="25" t="s">
        <v>18</v>
      </c>
      <c r="G1639" s="25" t="s">
        <v>42</v>
      </c>
      <c r="H1639" s="76" t="s">
        <v>5664</v>
      </c>
      <c r="I1639" s="10"/>
      <c r="J1639" s="76">
        <v>5.0</v>
      </c>
      <c r="K1639" s="46">
        <f>530000*5</f>
        <v>2650000</v>
      </c>
      <c r="L1639" s="76" t="s">
        <v>7307</v>
      </c>
      <c r="M1639" s="44">
        <v>8.0</v>
      </c>
      <c r="N1639" s="45"/>
      <c r="O1639" s="20"/>
      <c r="P1639" s="20"/>
      <c r="Q1639" s="20"/>
      <c r="R1639" s="20"/>
      <c r="S1639" s="20"/>
    </row>
    <row r="1640">
      <c r="A1640" s="49" t="s">
        <v>7308</v>
      </c>
      <c r="B1640" s="110">
        <v>46179.0</v>
      </c>
      <c r="C1640" s="49" t="s">
        <v>7309</v>
      </c>
      <c r="D1640" s="102" t="s">
        <v>7310</v>
      </c>
      <c r="E1640" s="25" t="s">
        <v>128</v>
      </c>
      <c r="F1640" s="25" t="s">
        <v>18</v>
      </c>
      <c r="G1640" s="25" t="s">
        <v>43</v>
      </c>
      <c r="H1640" s="49" t="s">
        <v>172</v>
      </c>
      <c r="I1640" s="49" t="s">
        <v>7311</v>
      </c>
      <c r="J1640" s="49">
        <v>3.0</v>
      </c>
      <c r="K1640" s="30">
        <f>1600000*3</f>
        <v>4800000</v>
      </c>
      <c r="L1640" s="49" t="s">
        <v>7312</v>
      </c>
      <c r="M1640" s="50">
        <v>3.0</v>
      </c>
      <c r="N1640" s="51"/>
      <c r="O1640" s="20"/>
      <c r="P1640" s="20"/>
      <c r="Q1640" s="20"/>
      <c r="R1640" s="20"/>
      <c r="S1640" s="20"/>
    </row>
    <row r="1641">
      <c r="A1641" s="76" t="s">
        <v>7313</v>
      </c>
      <c r="B1641" s="97">
        <v>46179.0</v>
      </c>
      <c r="C1641" s="76" t="s">
        <v>7314</v>
      </c>
      <c r="D1641" s="99" t="s">
        <v>7315</v>
      </c>
      <c r="E1641" s="25" t="s">
        <v>122</v>
      </c>
      <c r="F1641" s="25" t="s">
        <v>18</v>
      </c>
      <c r="G1641" s="25" t="s">
        <v>29</v>
      </c>
      <c r="H1641" s="10"/>
      <c r="I1641" s="10"/>
      <c r="J1641" s="76">
        <v>2.0</v>
      </c>
      <c r="K1641" s="46"/>
      <c r="L1641" s="10"/>
      <c r="M1641" s="44">
        <v>1.0</v>
      </c>
      <c r="N1641" s="45"/>
      <c r="O1641" s="20"/>
      <c r="P1641" s="20"/>
      <c r="Q1641" s="20"/>
      <c r="R1641" s="20"/>
      <c r="S1641" s="20"/>
    </row>
    <row r="1642">
      <c r="A1642" s="49" t="s">
        <v>7316</v>
      </c>
      <c r="B1642" s="110">
        <v>46176.0</v>
      </c>
      <c r="C1642" s="49" t="s">
        <v>7317</v>
      </c>
      <c r="D1642" s="102" t="s">
        <v>7318</v>
      </c>
      <c r="E1642" s="25" t="s">
        <v>128</v>
      </c>
      <c r="F1642" s="25" t="s">
        <v>129</v>
      </c>
      <c r="G1642" s="25" t="s">
        <v>29</v>
      </c>
      <c r="H1642" s="49" t="s">
        <v>86</v>
      </c>
      <c r="I1642" s="23"/>
      <c r="J1642" s="49">
        <v>2.0</v>
      </c>
      <c r="K1642" s="30"/>
      <c r="L1642" s="49" t="s">
        <v>7154</v>
      </c>
      <c r="M1642" s="50">
        <v>1.0</v>
      </c>
      <c r="N1642" s="51"/>
      <c r="O1642" s="20"/>
      <c r="P1642" s="20"/>
      <c r="Q1642" s="20"/>
      <c r="R1642" s="20"/>
      <c r="S1642" s="20"/>
    </row>
    <row r="1643">
      <c r="A1643" s="76" t="s">
        <v>7319</v>
      </c>
      <c r="B1643" s="97">
        <v>46177.0</v>
      </c>
      <c r="C1643" s="76" t="s">
        <v>7320</v>
      </c>
      <c r="D1643" s="99" t="s">
        <v>7321</v>
      </c>
      <c r="E1643" s="25" t="s">
        <v>122</v>
      </c>
      <c r="F1643" s="25" t="s">
        <v>129</v>
      </c>
      <c r="G1643" s="25" t="s">
        <v>29</v>
      </c>
      <c r="H1643" s="76" t="s">
        <v>7322</v>
      </c>
      <c r="I1643" s="10"/>
      <c r="J1643" s="76">
        <v>12.0</v>
      </c>
      <c r="K1643" s="46"/>
      <c r="L1643" s="76" t="s">
        <v>2232</v>
      </c>
      <c r="M1643" s="44">
        <v>1.0</v>
      </c>
      <c r="N1643" s="45"/>
      <c r="O1643" s="20"/>
      <c r="P1643" s="20"/>
      <c r="Q1643" s="20"/>
      <c r="R1643" s="20"/>
      <c r="S1643" s="20"/>
    </row>
    <row r="1644">
      <c r="A1644" s="49" t="s">
        <v>7323</v>
      </c>
      <c r="B1644" s="110">
        <v>46177.0</v>
      </c>
      <c r="C1644" s="49" t="s">
        <v>7324</v>
      </c>
      <c r="D1644" s="102" t="s">
        <v>7325</v>
      </c>
      <c r="E1644" s="25" t="s">
        <v>128</v>
      </c>
      <c r="F1644" s="25" t="s">
        <v>129</v>
      </c>
      <c r="G1644" s="25" t="s">
        <v>29</v>
      </c>
      <c r="H1644" s="49" t="s">
        <v>747</v>
      </c>
      <c r="I1644" s="23"/>
      <c r="J1644" s="23"/>
      <c r="K1644" s="30"/>
      <c r="L1644" s="49" t="s">
        <v>7154</v>
      </c>
      <c r="M1644" s="50">
        <v>1.0</v>
      </c>
      <c r="N1644" s="51"/>
      <c r="O1644" s="20"/>
      <c r="P1644" s="20"/>
      <c r="Q1644" s="20"/>
      <c r="R1644" s="20"/>
      <c r="S1644" s="20"/>
    </row>
    <row r="1645">
      <c r="A1645" s="76" t="s">
        <v>7326</v>
      </c>
      <c r="B1645" s="97">
        <v>46177.0</v>
      </c>
      <c r="C1645" s="76" t="s">
        <v>7327</v>
      </c>
      <c r="D1645" s="99" t="s">
        <v>7328</v>
      </c>
      <c r="E1645" s="25" t="s">
        <v>128</v>
      </c>
      <c r="F1645" s="25" t="s">
        <v>129</v>
      </c>
      <c r="G1645" s="25" t="s">
        <v>29</v>
      </c>
      <c r="H1645" s="76" t="s">
        <v>3232</v>
      </c>
      <c r="I1645" s="76" t="s">
        <v>4516</v>
      </c>
      <c r="J1645" s="76">
        <v>12.0</v>
      </c>
      <c r="K1645" s="46"/>
      <c r="L1645" s="76" t="s">
        <v>4544</v>
      </c>
      <c r="M1645" s="44">
        <v>1.0</v>
      </c>
      <c r="N1645" s="45"/>
      <c r="O1645" s="20"/>
      <c r="P1645" s="20"/>
      <c r="Q1645" s="20"/>
      <c r="R1645" s="20"/>
      <c r="S1645" s="20"/>
    </row>
    <row r="1646">
      <c r="A1646" s="49" t="s">
        <v>7329</v>
      </c>
      <c r="B1646" s="110">
        <v>46177.0</v>
      </c>
      <c r="C1646" s="49" t="s">
        <v>7330</v>
      </c>
      <c r="D1646" s="102" t="s">
        <v>7331</v>
      </c>
      <c r="E1646" s="25" t="s">
        <v>128</v>
      </c>
      <c r="F1646" s="25" t="s">
        <v>129</v>
      </c>
      <c r="G1646" s="25" t="s">
        <v>29</v>
      </c>
      <c r="H1646" s="23"/>
      <c r="I1646" s="23"/>
      <c r="J1646" s="23"/>
      <c r="K1646" s="30"/>
      <c r="L1646" s="49" t="s">
        <v>7332</v>
      </c>
      <c r="M1646" s="50">
        <v>1.0</v>
      </c>
      <c r="N1646" s="51"/>
      <c r="O1646" s="20"/>
      <c r="P1646" s="20"/>
      <c r="Q1646" s="20"/>
      <c r="R1646" s="20"/>
      <c r="S1646" s="20"/>
    </row>
    <row r="1647">
      <c r="A1647" s="76" t="s">
        <v>7333</v>
      </c>
      <c r="B1647" s="97">
        <v>46178.0</v>
      </c>
      <c r="C1647" s="76" t="s">
        <v>7334</v>
      </c>
      <c r="D1647" s="99" t="s">
        <v>7335</v>
      </c>
      <c r="E1647" s="25" t="s">
        <v>128</v>
      </c>
      <c r="F1647" s="25" t="s">
        <v>129</v>
      </c>
      <c r="G1647" s="25" t="s">
        <v>29</v>
      </c>
      <c r="H1647" s="76" t="s">
        <v>3904</v>
      </c>
      <c r="I1647" s="10"/>
      <c r="J1647" s="10"/>
      <c r="K1647" s="46"/>
      <c r="L1647" s="76" t="s">
        <v>7336</v>
      </c>
      <c r="M1647" s="44">
        <v>1.0</v>
      </c>
      <c r="N1647" s="45"/>
      <c r="O1647" s="20"/>
      <c r="P1647" s="20"/>
      <c r="Q1647" s="20"/>
      <c r="R1647" s="20"/>
      <c r="S1647" s="20"/>
    </row>
    <row r="1648">
      <c r="A1648" s="49" t="s">
        <v>7337</v>
      </c>
      <c r="B1648" s="110">
        <v>46178.0</v>
      </c>
      <c r="C1648" s="49" t="s">
        <v>5361</v>
      </c>
      <c r="D1648" s="102" t="s">
        <v>7338</v>
      </c>
      <c r="E1648" s="25" t="s">
        <v>122</v>
      </c>
      <c r="F1648" s="25" t="s">
        <v>129</v>
      </c>
      <c r="G1648" s="25" t="s">
        <v>29</v>
      </c>
      <c r="H1648" s="76" t="s">
        <v>7322</v>
      </c>
      <c r="I1648" s="23"/>
      <c r="J1648" s="23"/>
      <c r="K1648" s="30"/>
      <c r="L1648" s="49" t="s">
        <v>7339</v>
      </c>
      <c r="M1648" s="50">
        <v>1.0</v>
      </c>
      <c r="N1648" s="51"/>
      <c r="O1648" s="20"/>
      <c r="P1648" s="20"/>
      <c r="Q1648" s="20"/>
      <c r="R1648" s="20"/>
      <c r="S1648" s="20"/>
    </row>
    <row r="1649">
      <c r="A1649" s="76" t="s">
        <v>7340</v>
      </c>
      <c r="B1649" s="97">
        <v>46178.0</v>
      </c>
      <c r="C1649" s="76" t="s">
        <v>7341</v>
      </c>
      <c r="D1649" s="99" t="s">
        <v>7342</v>
      </c>
      <c r="E1649" s="25" t="s">
        <v>128</v>
      </c>
      <c r="F1649" s="25" t="s">
        <v>129</v>
      </c>
      <c r="G1649" s="25" t="s">
        <v>29</v>
      </c>
      <c r="H1649" s="10"/>
      <c r="I1649" s="10"/>
      <c r="J1649" s="10"/>
      <c r="K1649" s="46"/>
      <c r="L1649" s="76" t="s">
        <v>7339</v>
      </c>
      <c r="M1649" s="44">
        <v>1.0</v>
      </c>
      <c r="N1649" s="45"/>
      <c r="O1649" s="20"/>
      <c r="P1649" s="20"/>
      <c r="Q1649" s="20"/>
      <c r="R1649" s="20"/>
      <c r="S1649" s="20"/>
    </row>
    <row r="1650">
      <c r="A1650" s="49" t="s">
        <v>7343</v>
      </c>
      <c r="B1650" s="110">
        <v>46178.0</v>
      </c>
      <c r="C1650" s="49" t="s">
        <v>7344</v>
      </c>
      <c r="D1650" s="102" t="s">
        <v>7345</v>
      </c>
      <c r="E1650" s="25" t="s">
        <v>128</v>
      </c>
      <c r="F1650" s="25" t="s">
        <v>129</v>
      </c>
      <c r="G1650" s="25" t="s">
        <v>29</v>
      </c>
      <c r="H1650" s="49" t="s">
        <v>123</v>
      </c>
      <c r="I1650" s="23"/>
      <c r="J1650" s="23"/>
      <c r="K1650" s="30"/>
      <c r="L1650" s="49" t="s">
        <v>7346</v>
      </c>
      <c r="M1650" s="50">
        <v>1.0</v>
      </c>
      <c r="N1650" s="51"/>
      <c r="O1650" s="20"/>
      <c r="P1650" s="20"/>
      <c r="Q1650" s="20"/>
      <c r="R1650" s="20"/>
      <c r="S1650" s="20"/>
    </row>
    <row r="1651">
      <c r="A1651" s="76" t="s">
        <v>7347</v>
      </c>
      <c r="B1651" s="97">
        <v>46178.0</v>
      </c>
      <c r="C1651" s="76" t="s">
        <v>7037</v>
      </c>
      <c r="D1651" s="99" t="s">
        <v>7348</v>
      </c>
      <c r="E1651" s="25" t="s">
        <v>122</v>
      </c>
      <c r="F1651" s="25" t="s">
        <v>129</v>
      </c>
      <c r="G1651" s="25" t="s">
        <v>42</v>
      </c>
      <c r="H1651" s="76" t="s">
        <v>2512</v>
      </c>
      <c r="I1651" s="118">
        <v>46178.0</v>
      </c>
      <c r="J1651" s="76">
        <v>1.0</v>
      </c>
      <c r="K1651" s="46"/>
      <c r="L1651" s="76" t="s">
        <v>7349</v>
      </c>
      <c r="M1651" s="44">
        <v>8.0</v>
      </c>
      <c r="N1651" s="45"/>
      <c r="O1651" s="20"/>
      <c r="P1651" s="20"/>
      <c r="Q1651" s="20"/>
      <c r="R1651" s="20"/>
      <c r="S1651" s="20"/>
    </row>
    <row r="1652">
      <c r="A1652" s="49" t="s">
        <v>7350</v>
      </c>
      <c r="B1652" s="110">
        <v>46178.0</v>
      </c>
      <c r="C1652" s="49" t="s">
        <v>7351</v>
      </c>
      <c r="D1652" s="102" t="s">
        <v>7352</v>
      </c>
      <c r="E1652" s="25" t="s">
        <v>128</v>
      </c>
      <c r="F1652" s="25" t="s">
        <v>129</v>
      </c>
      <c r="G1652" s="25" t="s">
        <v>29</v>
      </c>
      <c r="H1652" s="49" t="s">
        <v>4251</v>
      </c>
      <c r="I1652" s="23"/>
      <c r="J1652" s="49">
        <v>2.0</v>
      </c>
      <c r="K1652" s="30"/>
      <c r="L1652" s="23"/>
      <c r="M1652" s="50">
        <v>1.0</v>
      </c>
      <c r="N1652" s="51"/>
      <c r="O1652" s="20"/>
      <c r="P1652" s="20"/>
      <c r="Q1652" s="20"/>
      <c r="R1652" s="20"/>
      <c r="S1652" s="20"/>
    </row>
    <row r="1653">
      <c r="A1653" s="76" t="s">
        <v>7353</v>
      </c>
      <c r="B1653" s="97">
        <v>46179.0</v>
      </c>
      <c r="C1653" s="76" t="s">
        <v>5023</v>
      </c>
      <c r="D1653" s="99" t="s">
        <v>7354</v>
      </c>
      <c r="E1653" s="25" t="s">
        <v>122</v>
      </c>
      <c r="F1653" s="25" t="s">
        <v>983</v>
      </c>
      <c r="G1653" s="25" t="s">
        <v>42</v>
      </c>
      <c r="H1653" s="10"/>
      <c r="I1653" s="10"/>
      <c r="J1653" s="10"/>
      <c r="K1653" s="46"/>
      <c r="L1653" s="76" t="s">
        <v>326</v>
      </c>
      <c r="M1653" s="44">
        <v>8.0</v>
      </c>
      <c r="N1653" s="45"/>
      <c r="O1653" s="20"/>
      <c r="P1653" s="20"/>
      <c r="Q1653" s="20"/>
      <c r="R1653" s="20"/>
      <c r="S1653" s="20"/>
    </row>
    <row r="1654">
      <c r="A1654" s="49" t="s">
        <v>7355</v>
      </c>
      <c r="B1654" s="110">
        <v>46178.0</v>
      </c>
      <c r="C1654" s="49" t="s">
        <v>7356</v>
      </c>
      <c r="D1654" s="102" t="s">
        <v>7357</v>
      </c>
      <c r="E1654" s="25" t="s">
        <v>17</v>
      </c>
      <c r="F1654" s="25" t="s">
        <v>129</v>
      </c>
      <c r="G1654" s="25" t="s">
        <v>29</v>
      </c>
      <c r="H1654" s="49" t="s">
        <v>199</v>
      </c>
      <c r="I1654" s="23"/>
      <c r="J1654" s="49">
        <v>10.0</v>
      </c>
      <c r="K1654" s="30"/>
      <c r="L1654" s="49" t="s">
        <v>7140</v>
      </c>
      <c r="M1654" s="50">
        <v>1.0</v>
      </c>
      <c r="N1654" s="51"/>
      <c r="O1654" s="20"/>
      <c r="P1654" s="20"/>
      <c r="Q1654" s="20"/>
      <c r="R1654" s="20"/>
      <c r="S1654" s="20"/>
    </row>
    <row r="1655">
      <c r="A1655" s="76" t="s">
        <v>7358</v>
      </c>
      <c r="B1655" s="97">
        <v>46178.0</v>
      </c>
      <c r="C1655" s="76" t="s">
        <v>7359</v>
      </c>
      <c r="D1655" s="99" t="s">
        <v>7360</v>
      </c>
      <c r="E1655" s="25" t="s">
        <v>122</v>
      </c>
      <c r="F1655" s="25" t="s">
        <v>129</v>
      </c>
      <c r="G1655" s="25" t="s">
        <v>29</v>
      </c>
      <c r="H1655" s="49" t="s">
        <v>199</v>
      </c>
      <c r="I1655" s="118">
        <v>46210.0</v>
      </c>
      <c r="J1655" s="76">
        <v>2.0</v>
      </c>
      <c r="K1655" s="46"/>
      <c r="L1655" s="76" t="s">
        <v>2029</v>
      </c>
      <c r="M1655" s="44">
        <v>1.0</v>
      </c>
      <c r="N1655" s="45"/>
      <c r="O1655" s="20"/>
      <c r="P1655" s="20"/>
      <c r="Q1655" s="20"/>
      <c r="R1655" s="20"/>
      <c r="S1655" s="20"/>
    </row>
    <row r="1656">
      <c r="A1656" s="49" t="s">
        <v>7361</v>
      </c>
      <c r="B1656" s="110">
        <v>46179.0</v>
      </c>
      <c r="C1656" s="49" t="s">
        <v>5681</v>
      </c>
      <c r="D1656" s="102" t="s">
        <v>7294</v>
      </c>
      <c r="E1656" s="25" t="s">
        <v>17</v>
      </c>
      <c r="F1656" s="25" t="s">
        <v>129</v>
      </c>
      <c r="G1656" s="25" t="s">
        <v>29</v>
      </c>
      <c r="H1656" s="49" t="s">
        <v>86</v>
      </c>
      <c r="I1656" s="23"/>
      <c r="J1656" s="23"/>
      <c r="K1656" s="30"/>
      <c r="L1656" s="49" t="s">
        <v>7362</v>
      </c>
      <c r="M1656" s="50">
        <v>1.0</v>
      </c>
      <c r="N1656" s="51"/>
      <c r="O1656" s="20"/>
      <c r="P1656" s="20"/>
      <c r="Q1656" s="20"/>
      <c r="R1656" s="20"/>
      <c r="S1656" s="20"/>
    </row>
    <row r="1657">
      <c r="A1657" s="76" t="s">
        <v>7363</v>
      </c>
      <c r="B1657" s="97">
        <v>46179.0</v>
      </c>
      <c r="C1657" s="76" t="s">
        <v>7364</v>
      </c>
      <c r="D1657" s="99" t="s">
        <v>7365</v>
      </c>
      <c r="E1657" s="25" t="s">
        <v>128</v>
      </c>
      <c r="F1657" s="25" t="s">
        <v>129</v>
      </c>
      <c r="G1657" s="25" t="s">
        <v>34</v>
      </c>
      <c r="H1657" s="76" t="s">
        <v>7366</v>
      </c>
      <c r="I1657" s="10"/>
      <c r="J1657" s="76">
        <v>3.0</v>
      </c>
      <c r="K1657" s="46">
        <f>SUM(503000*J1657)</f>
        <v>1509000</v>
      </c>
      <c r="L1657" s="76" t="s">
        <v>6388</v>
      </c>
      <c r="M1657" s="44">
        <v>2.0</v>
      </c>
      <c r="N1657" s="45"/>
      <c r="O1657" s="20"/>
      <c r="P1657" s="20"/>
      <c r="Q1657" s="20"/>
      <c r="R1657" s="20"/>
      <c r="S1657" s="20"/>
    </row>
    <row r="1658">
      <c r="A1658" s="49" t="s">
        <v>7367</v>
      </c>
      <c r="B1658" s="110">
        <v>46179.0</v>
      </c>
      <c r="C1658" s="49" t="s">
        <v>7368</v>
      </c>
      <c r="D1658" s="102" t="s">
        <v>7369</v>
      </c>
      <c r="E1658" s="25" t="s">
        <v>17</v>
      </c>
      <c r="F1658" s="25" t="s">
        <v>129</v>
      </c>
      <c r="G1658" s="25" t="s">
        <v>29</v>
      </c>
      <c r="H1658" s="49" t="s">
        <v>341</v>
      </c>
      <c r="I1658" s="49" t="s">
        <v>2028</v>
      </c>
      <c r="J1658" s="49">
        <v>2.0</v>
      </c>
      <c r="K1658" s="30"/>
      <c r="L1658" s="49" t="s">
        <v>7154</v>
      </c>
      <c r="M1658" s="50">
        <v>1.0</v>
      </c>
      <c r="N1658" s="51"/>
      <c r="O1658" s="20"/>
      <c r="P1658" s="20"/>
      <c r="Q1658" s="20"/>
      <c r="R1658" s="20"/>
      <c r="S1658" s="20"/>
    </row>
    <row r="1659">
      <c r="A1659" s="76" t="s">
        <v>7370</v>
      </c>
      <c r="B1659" s="97">
        <v>46179.0</v>
      </c>
      <c r="C1659" s="76" t="s">
        <v>7371</v>
      </c>
      <c r="D1659" s="99" t="s">
        <v>7372</v>
      </c>
      <c r="E1659" s="25" t="s">
        <v>17</v>
      </c>
      <c r="F1659" s="25" t="s">
        <v>129</v>
      </c>
      <c r="G1659" s="25" t="s">
        <v>29</v>
      </c>
      <c r="H1659" s="76" t="s">
        <v>747</v>
      </c>
      <c r="I1659" s="118">
        <v>46192.0</v>
      </c>
      <c r="J1659" s="76">
        <v>2.0</v>
      </c>
      <c r="K1659" s="46"/>
      <c r="L1659" s="76" t="s">
        <v>7154</v>
      </c>
      <c r="M1659" s="44">
        <v>1.0</v>
      </c>
      <c r="N1659" s="45"/>
      <c r="O1659" s="20"/>
      <c r="P1659" s="20"/>
      <c r="Q1659" s="20"/>
      <c r="R1659" s="20"/>
      <c r="S1659" s="20"/>
    </row>
    <row r="1660">
      <c r="A1660" s="49" t="s">
        <v>7373</v>
      </c>
      <c r="B1660" s="110">
        <v>46179.0</v>
      </c>
      <c r="C1660" s="49" t="s">
        <v>7374</v>
      </c>
      <c r="D1660" s="102" t="s">
        <v>7375</v>
      </c>
      <c r="E1660" s="25" t="s">
        <v>128</v>
      </c>
      <c r="F1660" s="25" t="s">
        <v>129</v>
      </c>
      <c r="G1660" s="25" t="s">
        <v>42</v>
      </c>
      <c r="H1660" s="49" t="s">
        <v>2173</v>
      </c>
      <c r="I1660" s="101">
        <v>46184.0</v>
      </c>
      <c r="J1660" s="49">
        <v>2.0</v>
      </c>
      <c r="K1660" s="30"/>
      <c r="L1660" s="49" t="s">
        <v>6388</v>
      </c>
      <c r="M1660" s="50">
        <v>8.0</v>
      </c>
      <c r="N1660" s="51"/>
      <c r="O1660" s="20"/>
      <c r="P1660" s="20"/>
      <c r="Q1660" s="20"/>
      <c r="R1660" s="20"/>
      <c r="S1660" s="20"/>
    </row>
    <row r="1661">
      <c r="A1661" s="76" t="s">
        <v>7376</v>
      </c>
      <c r="B1661" s="97">
        <v>46179.0</v>
      </c>
      <c r="C1661" s="76" t="s">
        <v>7377</v>
      </c>
      <c r="D1661" s="99" t="s">
        <v>7378</v>
      </c>
      <c r="E1661" s="25" t="s">
        <v>17</v>
      </c>
      <c r="F1661" s="25" t="s">
        <v>129</v>
      </c>
      <c r="G1661" s="25" t="s">
        <v>29</v>
      </c>
      <c r="H1661" s="76" t="s">
        <v>199</v>
      </c>
      <c r="I1661" s="118">
        <v>46202.0</v>
      </c>
      <c r="J1661" s="76">
        <v>7.0</v>
      </c>
      <c r="K1661" s="46"/>
      <c r="L1661" s="76" t="s">
        <v>7379</v>
      </c>
      <c r="M1661" s="44">
        <v>1.0</v>
      </c>
      <c r="N1661" s="45"/>
      <c r="O1661" s="20"/>
      <c r="P1661" s="20"/>
      <c r="Q1661" s="20"/>
      <c r="R1661" s="20"/>
      <c r="S1661" s="20"/>
    </row>
    <row r="1662">
      <c r="A1662" s="49" t="s">
        <v>7380</v>
      </c>
      <c r="B1662" s="110">
        <v>46179.0</v>
      </c>
      <c r="C1662" s="49" t="s">
        <v>7381</v>
      </c>
      <c r="D1662" s="102" t="s">
        <v>7382</v>
      </c>
      <c r="E1662" s="25" t="s">
        <v>128</v>
      </c>
      <c r="F1662" s="25" t="s">
        <v>129</v>
      </c>
      <c r="G1662" s="25" t="s">
        <v>29</v>
      </c>
      <c r="H1662" s="49" t="s">
        <v>7245</v>
      </c>
      <c r="I1662" s="49" t="s">
        <v>4538</v>
      </c>
      <c r="J1662" s="49">
        <v>10.0</v>
      </c>
      <c r="K1662" s="30"/>
      <c r="L1662" s="49" t="s">
        <v>6424</v>
      </c>
      <c r="M1662" s="50">
        <v>1.0</v>
      </c>
      <c r="N1662" s="51"/>
      <c r="O1662" s="20"/>
      <c r="P1662" s="20"/>
      <c r="Q1662" s="20"/>
      <c r="R1662" s="20"/>
      <c r="S1662" s="20"/>
    </row>
    <row r="1663">
      <c r="A1663" s="76" t="s">
        <v>7383</v>
      </c>
      <c r="B1663" s="97">
        <v>46179.0</v>
      </c>
      <c r="C1663" s="76" t="s">
        <v>7384</v>
      </c>
      <c r="D1663" s="99" t="s">
        <v>7385</v>
      </c>
      <c r="E1663" s="25" t="s">
        <v>128</v>
      </c>
      <c r="F1663" s="25" t="s">
        <v>18</v>
      </c>
      <c r="G1663" s="25" t="s">
        <v>42</v>
      </c>
      <c r="H1663" s="76" t="s">
        <v>7203</v>
      </c>
      <c r="I1663" s="118">
        <v>46207.0</v>
      </c>
      <c r="J1663" s="76">
        <v>3.0</v>
      </c>
      <c r="K1663" s="46">
        <f>610000*3</f>
        <v>1830000</v>
      </c>
      <c r="L1663" s="76" t="s">
        <v>840</v>
      </c>
      <c r="M1663" s="44">
        <v>8.0</v>
      </c>
      <c r="N1663" s="45"/>
      <c r="O1663" s="20"/>
      <c r="P1663" s="20"/>
      <c r="Q1663" s="20"/>
      <c r="R1663" s="20"/>
      <c r="S1663" s="20"/>
    </row>
    <row r="1664">
      <c r="A1664" s="49" t="s">
        <v>7386</v>
      </c>
      <c r="B1664" s="110">
        <v>46179.0</v>
      </c>
      <c r="C1664" s="49" t="s">
        <v>7387</v>
      </c>
      <c r="D1664" s="102" t="s">
        <v>7388</v>
      </c>
      <c r="E1664" s="25" t="s">
        <v>128</v>
      </c>
      <c r="F1664" s="25" t="s">
        <v>18</v>
      </c>
      <c r="G1664" s="25" t="s">
        <v>42</v>
      </c>
      <c r="H1664" s="49" t="s">
        <v>5888</v>
      </c>
      <c r="I1664" s="49" t="s">
        <v>7389</v>
      </c>
      <c r="J1664" s="49">
        <v>5.0</v>
      </c>
      <c r="K1664" s="30">
        <f>1045000*5</f>
        <v>5225000</v>
      </c>
      <c r="L1664" s="49" t="s">
        <v>7390</v>
      </c>
      <c r="M1664" s="50">
        <v>8.0</v>
      </c>
      <c r="N1664" s="51"/>
      <c r="O1664" s="20"/>
      <c r="P1664" s="20"/>
      <c r="Q1664" s="20"/>
      <c r="R1664" s="20"/>
      <c r="S1664" s="20"/>
    </row>
    <row r="1665">
      <c r="A1665" s="76" t="s">
        <v>7391</v>
      </c>
      <c r="B1665" s="97">
        <v>46179.0</v>
      </c>
      <c r="C1665" s="76" t="s">
        <v>7392</v>
      </c>
      <c r="D1665" s="99" t="s">
        <v>7393</v>
      </c>
      <c r="E1665" s="25" t="s">
        <v>128</v>
      </c>
      <c r="F1665" s="25" t="s">
        <v>18</v>
      </c>
      <c r="G1665" s="25" t="s">
        <v>42</v>
      </c>
      <c r="H1665" s="76" t="s">
        <v>7394</v>
      </c>
      <c r="I1665" s="10"/>
      <c r="J1665" s="76">
        <v>5.0</v>
      </c>
      <c r="K1665" s="46"/>
      <c r="L1665" s="76" t="s">
        <v>840</v>
      </c>
      <c r="M1665" s="44">
        <v>8.0</v>
      </c>
      <c r="N1665" s="45"/>
      <c r="O1665" s="20"/>
      <c r="P1665" s="20"/>
      <c r="Q1665" s="20"/>
      <c r="R1665" s="20"/>
      <c r="S1665" s="20"/>
    </row>
    <row r="1666">
      <c r="A1666" s="49" t="s">
        <v>7395</v>
      </c>
      <c r="B1666" s="110">
        <v>46180.0</v>
      </c>
      <c r="C1666" s="49" t="s">
        <v>7396</v>
      </c>
      <c r="D1666" s="102" t="s">
        <v>7397</v>
      </c>
      <c r="E1666" s="25" t="s">
        <v>128</v>
      </c>
      <c r="F1666" s="25" t="s">
        <v>18</v>
      </c>
      <c r="G1666" s="25" t="s">
        <v>42</v>
      </c>
      <c r="H1666" s="23"/>
      <c r="I1666" s="23"/>
      <c r="J1666" s="23"/>
      <c r="K1666" s="30"/>
      <c r="L1666" s="49" t="s">
        <v>7398</v>
      </c>
      <c r="M1666" s="50">
        <v>8.0</v>
      </c>
      <c r="N1666" s="51"/>
      <c r="O1666" s="20"/>
      <c r="P1666" s="20"/>
      <c r="Q1666" s="20"/>
      <c r="R1666" s="20"/>
      <c r="S1666" s="20"/>
    </row>
    <row r="1667">
      <c r="A1667" s="76" t="s">
        <v>7399</v>
      </c>
      <c r="B1667" s="97">
        <v>46178.0</v>
      </c>
      <c r="C1667" s="76" t="s">
        <v>2672</v>
      </c>
      <c r="D1667" s="99" t="s">
        <v>7400</v>
      </c>
      <c r="E1667" s="25" t="s">
        <v>128</v>
      </c>
      <c r="F1667" s="25" t="s">
        <v>129</v>
      </c>
      <c r="G1667" s="25" t="s">
        <v>29</v>
      </c>
      <c r="H1667" s="76"/>
      <c r="I1667" s="10"/>
      <c r="J1667" s="76">
        <v>2.0</v>
      </c>
      <c r="K1667" s="46"/>
      <c r="L1667" s="76" t="s">
        <v>7401</v>
      </c>
      <c r="M1667" s="44">
        <v>1.0</v>
      </c>
      <c r="N1667" s="45"/>
      <c r="O1667" s="20"/>
      <c r="P1667" s="20"/>
      <c r="Q1667" s="20"/>
      <c r="R1667" s="20"/>
      <c r="S1667" s="20"/>
    </row>
    <row r="1668">
      <c r="A1668" s="49" t="s">
        <v>7402</v>
      </c>
      <c r="B1668" s="110">
        <v>46179.0</v>
      </c>
      <c r="C1668" s="49" t="s">
        <v>7403</v>
      </c>
      <c r="D1668" s="102" t="s">
        <v>7404</v>
      </c>
      <c r="E1668" s="25" t="s">
        <v>128</v>
      </c>
      <c r="F1668" s="25" t="s">
        <v>129</v>
      </c>
      <c r="G1668" s="25" t="s">
        <v>29</v>
      </c>
      <c r="H1668" s="76" t="s">
        <v>6351</v>
      </c>
      <c r="I1668" s="23"/>
      <c r="J1668" s="23"/>
      <c r="K1668" s="30"/>
      <c r="L1668" s="49" t="s">
        <v>4544</v>
      </c>
      <c r="M1668" s="50">
        <v>1.0</v>
      </c>
      <c r="N1668" s="51"/>
      <c r="O1668" s="20"/>
      <c r="P1668" s="20"/>
      <c r="Q1668" s="20"/>
      <c r="R1668" s="20"/>
      <c r="S1668" s="20"/>
    </row>
    <row r="1669">
      <c r="A1669" s="76" t="s">
        <v>7405</v>
      </c>
      <c r="B1669" s="97">
        <v>46179.0</v>
      </c>
      <c r="C1669" s="76" t="s">
        <v>7406</v>
      </c>
      <c r="D1669" s="99" t="s">
        <v>7407</v>
      </c>
      <c r="E1669" s="25" t="s">
        <v>869</v>
      </c>
      <c r="F1669" s="25" t="s">
        <v>129</v>
      </c>
      <c r="G1669" s="25" t="s">
        <v>19</v>
      </c>
      <c r="H1669" s="76" t="s">
        <v>7408</v>
      </c>
      <c r="I1669" s="118">
        <v>46180.0</v>
      </c>
      <c r="J1669" s="76">
        <v>4.0</v>
      </c>
      <c r="K1669" s="46">
        <f>SUM(499000*J1669)</f>
        <v>1996000</v>
      </c>
      <c r="L1669" s="76" t="s">
        <v>6401</v>
      </c>
      <c r="M1669" s="44">
        <v>7.0</v>
      </c>
      <c r="N1669" s="45"/>
      <c r="O1669" s="20"/>
      <c r="P1669" s="20"/>
      <c r="Q1669" s="20"/>
      <c r="R1669" s="20"/>
      <c r="S1669" s="20"/>
    </row>
    <row r="1670">
      <c r="A1670" s="49" t="s">
        <v>7409</v>
      </c>
      <c r="B1670" s="110">
        <v>46180.0</v>
      </c>
      <c r="C1670" s="49" t="s">
        <v>7410</v>
      </c>
      <c r="D1670" s="102" t="s">
        <v>7411</v>
      </c>
      <c r="E1670" s="25" t="s">
        <v>17</v>
      </c>
      <c r="F1670" s="25" t="s">
        <v>18</v>
      </c>
      <c r="G1670" s="25" t="s">
        <v>19</v>
      </c>
      <c r="H1670" s="49" t="s">
        <v>6130</v>
      </c>
      <c r="I1670" s="101">
        <v>46216.0</v>
      </c>
      <c r="J1670" s="49">
        <v>5.0</v>
      </c>
      <c r="K1670" s="30">
        <f>886000*5</f>
        <v>4430000</v>
      </c>
      <c r="L1670" s="49" t="s">
        <v>108</v>
      </c>
      <c r="M1670" s="50">
        <v>7.0</v>
      </c>
      <c r="N1670" s="51"/>
      <c r="O1670" s="20"/>
      <c r="P1670" s="20"/>
      <c r="Q1670" s="20"/>
      <c r="R1670" s="20"/>
      <c r="S1670" s="20"/>
    </row>
    <row r="1671">
      <c r="A1671" s="76" t="s">
        <v>7412</v>
      </c>
      <c r="B1671" s="97">
        <v>46180.0</v>
      </c>
      <c r="C1671" s="76" t="s">
        <v>7413</v>
      </c>
      <c r="D1671" s="99" t="s">
        <v>7414</v>
      </c>
      <c r="E1671" s="25" t="s">
        <v>128</v>
      </c>
      <c r="F1671" s="25" t="s">
        <v>18</v>
      </c>
      <c r="G1671" s="25" t="s">
        <v>42</v>
      </c>
      <c r="H1671" s="76" t="s">
        <v>5888</v>
      </c>
      <c r="I1671" s="10"/>
      <c r="J1671" s="10"/>
      <c r="K1671" s="46"/>
      <c r="L1671" s="76" t="s">
        <v>840</v>
      </c>
      <c r="M1671" s="44">
        <v>8.0</v>
      </c>
      <c r="N1671" s="45"/>
      <c r="O1671" s="20"/>
      <c r="P1671" s="20"/>
      <c r="Q1671" s="20"/>
      <c r="R1671" s="20"/>
      <c r="S1671" s="20"/>
    </row>
    <row r="1672">
      <c r="A1672" s="49" t="s">
        <v>7415</v>
      </c>
      <c r="B1672" s="110">
        <v>46179.0</v>
      </c>
      <c r="C1672" s="49" t="s">
        <v>7416</v>
      </c>
      <c r="D1672" s="102" t="s">
        <v>7417</v>
      </c>
      <c r="E1672" s="25" t="s">
        <v>128</v>
      </c>
      <c r="F1672" s="25" t="s">
        <v>18</v>
      </c>
      <c r="G1672" s="25" t="s">
        <v>42</v>
      </c>
      <c r="H1672" s="49" t="s">
        <v>5741</v>
      </c>
      <c r="I1672" s="23"/>
      <c r="J1672" s="23"/>
      <c r="K1672" s="30"/>
      <c r="L1672" s="49" t="s">
        <v>174</v>
      </c>
      <c r="M1672" s="50">
        <v>8.0</v>
      </c>
      <c r="N1672" s="51"/>
      <c r="O1672" s="20"/>
      <c r="P1672" s="20"/>
      <c r="Q1672" s="20"/>
      <c r="R1672" s="20"/>
      <c r="S1672" s="20"/>
    </row>
    <row r="1673">
      <c r="A1673" s="76" t="s">
        <v>7418</v>
      </c>
      <c r="B1673" s="97">
        <v>46180.0</v>
      </c>
      <c r="C1673" s="76" t="s">
        <v>7419</v>
      </c>
      <c r="D1673" s="99" t="s">
        <v>7420</v>
      </c>
      <c r="E1673" s="25" t="s">
        <v>128</v>
      </c>
      <c r="F1673" s="25" t="s">
        <v>18</v>
      </c>
      <c r="G1673" s="25" t="s">
        <v>42</v>
      </c>
      <c r="H1673" s="76" t="s">
        <v>172</v>
      </c>
      <c r="I1673" s="76" t="s">
        <v>1348</v>
      </c>
      <c r="J1673" s="76">
        <v>7.0</v>
      </c>
      <c r="K1673" s="46">
        <f>1600000*J1673</f>
        <v>11200000</v>
      </c>
      <c r="L1673" s="10"/>
      <c r="M1673" s="44">
        <v>8.0</v>
      </c>
      <c r="N1673" s="45"/>
      <c r="O1673" s="20"/>
      <c r="P1673" s="20"/>
      <c r="Q1673" s="20"/>
      <c r="R1673" s="20"/>
      <c r="S1673" s="20"/>
    </row>
    <row r="1674">
      <c r="A1674" s="49" t="s">
        <v>7421</v>
      </c>
      <c r="B1674" s="110">
        <v>46180.0</v>
      </c>
      <c r="C1674" s="49" t="s">
        <v>7422</v>
      </c>
      <c r="D1674" s="102" t="s">
        <v>7423</v>
      </c>
      <c r="E1674" s="25" t="s">
        <v>17</v>
      </c>
      <c r="F1674" s="25" t="s">
        <v>983</v>
      </c>
      <c r="G1674" s="25" t="s">
        <v>42</v>
      </c>
      <c r="H1674" s="49" t="s">
        <v>7424</v>
      </c>
      <c r="I1674" s="49" t="s">
        <v>7425</v>
      </c>
      <c r="J1674" s="49">
        <v>3.0</v>
      </c>
      <c r="K1674" s="30"/>
      <c r="L1674" s="49" t="s">
        <v>840</v>
      </c>
      <c r="M1674" s="50">
        <v>8.0</v>
      </c>
      <c r="N1674" s="51"/>
      <c r="O1674" s="20"/>
      <c r="P1674" s="20"/>
      <c r="Q1674" s="20"/>
      <c r="R1674" s="20"/>
      <c r="S1674" s="20"/>
    </row>
    <row r="1675">
      <c r="A1675" s="76" t="s">
        <v>7426</v>
      </c>
      <c r="B1675" s="155">
        <v>46180.0</v>
      </c>
      <c r="C1675" s="76" t="s">
        <v>7427</v>
      </c>
      <c r="D1675" s="99" t="s">
        <v>7428</v>
      </c>
      <c r="E1675" s="25" t="s">
        <v>122</v>
      </c>
      <c r="F1675" s="25" t="s">
        <v>983</v>
      </c>
      <c r="G1675" s="25" t="s">
        <v>42</v>
      </c>
      <c r="H1675" s="76" t="s">
        <v>4861</v>
      </c>
      <c r="I1675" s="10"/>
      <c r="J1675" s="76">
        <v>3.0</v>
      </c>
      <c r="K1675" s="46"/>
      <c r="L1675" s="76" t="s">
        <v>7429</v>
      </c>
      <c r="M1675" s="44">
        <v>8.0</v>
      </c>
      <c r="N1675" s="45"/>
      <c r="O1675" s="20"/>
      <c r="P1675" s="20"/>
      <c r="Q1675" s="20"/>
      <c r="R1675" s="20"/>
      <c r="S1675" s="20"/>
    </row>
    <row r="1676">
      <c r="A1676" s="49" t="s">
        <v>7430</v>
      </c>
      <c r="B1676" s="110">
        <v>46180.0</v>
      </c>
      <c r="C1676" s="49" t="s">
        <v>7431</v>
      </c>
      <c r="D1676" s="102" t="s">
        <v>7432</v>
      </c>
      <c r="E1676" s="25" t="s">
        <v>128</v>
      </c>
      <c r="F1676" s="25" t="s">
        <v>18</v>
      </c>
      <c r="G1676" s="25" t="s">
        <v>42</v>
      </c>
      <c r="H1676" s="49" t="s">
        <v>3210</v>
      </c>
      <c r="I1676" s="23"/>
      <c r="J1676" s="23"/>
      <c r="K1676" s="30"/>
      <c r="L1676" s="49" t="s">
        <v>840</v>
      </c>
      <c r="M1676" s="50">
        <v>8.0</v>
      </c>
      <c r="N1676" s="51"/>
      <c r="O1676" s="20"/>
      <c r="P1676" s="20"/>
      <c r="Q1676" s="20"/>
      <c r="R1676" s="20"/>
      <c r="S1676" s="20"/>
    </row>
    <row r="1677">
      <c r="A1677" s="76" t="s">
        <v>7433</v>
      </c>
      <c r="B1677" s="97">
        <v>46180.0</v>
      </c>
      <c r="C1677" s="76" t="s">
        <v>7434</v>
      </c>
      <c r="D1677" s="99" t="s">
        <v>7435</v>
      </c>
      <c r="E1677" s="25" t="s">
        <v>128</v>
      </c>
      <c r="F1677" s="25" t="s">
        <v>129</v>
      </c>
      <c r="G1677" s="25" t="s">
        <v>29</v>
      </c>
      <c r="H1677" s="76" t="s">
        <v>199</v>
      </c>
      <c r="I1677" s="118">
        <v>46186.0</v>
      </c>
      <c r="J1677" s="76">
        <v>3.0</v>
      </c>
      <c r="K1677" s="46"/>
      <c r="L1677" s="76" t="s">
        <v>7154</v>
      </c>
      <c r="M1677" s="44">
        <v>1.0</v>
      </c>
      <c r="N1677" s="45"/>
      <c r="O1677" s="20"/>
      <c r="P1677" s="20"/>
      <c r="Q1677" s="20"/>
      <c r="R1677" s="20"/>
      <c r="S1677" s="20"/>
    </row>
    <row r="1678">
      <c r="A1678" s="49" t="s">
        <v>1879</v>
      </c>
      <c r="B1678" s="110">
        <v>46180.0</v>
      </c>
      <c r="C1678" s="49" t="s">
        <v>7436</v>
      </c>
      <c r="D1678" s="102" t="s">
        <v>7437</v>
      </c>
      <c r="E1678" s="25" t="s">
        <v>17</v>
      </c>
      <c r="F1678" s="25" t="s">
        <v>129</v>
      </c>
      <c r="G1678" s="25" t="s">
        <v>29</v>
      </c>
      <c r="H1678" s="23"/>
      <c r="I1678" s="49" t="s">
        <v>7438</v>
      </c>
      <c r="J1678" s="49">
        <v>3.0</v>
      </c>
      <c r="K1678" s="30"/>
      <c r="L1678" s="49" t="s">
        <v>7154</v>
      </c>
      <c r="M1678" s="50">
        <v>1.0</v>
      </c>
      <c r="N1678" s="51"/>
      <c r="O1678" s="20"/>
      <c r="P1678" s="20"/>
      <c r="Q1678" s="20"/>
      <c r="R1678" s="20"/>
      <c r="S1678" s="20"/>
    </row>
    <row r="1679">
      <c r="A1679" s="76" t="s">
        <v>7439</v>
      </c>
      <c r="B1679" s="97">
        <v>46180.0</v>
      </c>
      <c r="C1679" s="76" t="s">
        <v>7440</v>
      </c>
      <c r="D1679" s="99" t="s">
        <v>7441</v>
      </c>
      <c r="E1679" s="25" t="s">
        <v>128</v>
      </c>
      <c r="F1679" s="25" t="s">
        <v>18</v>
      </c>
      <c r="G1679" s="25" t="s">
        <v>42</v>
      </c>
      <c r="H1679" s="76" t="s">
        <v>5658</v>
      </c>
      <c r="I1679" s="76" t="s">
        <v>1348</v>
      </c>
      <c r="J1679" s="10"/>
      <c r="K1679" s="46"/>
      <c r="L1679" s="76" t="s">
        <v>840</v>
      </c>
      <c r="M1679" s="44">
        <v>8.0</v>
      </c>
      <c r="N1679" s="45"/>
      <c r="O1679" s="20"/>
      <c r="P1679" s="20"/>
      <c r="Q1679" s="20"/>
      <c r="R1679" s="20"/>
      <c r="S1679" s="20"/>
    </row>
    <row r="1680">
      <c r="A1680" s="49" t="s">
        <v>7442</v>
      </c>
      <c r="B1680" s="110">
        <v>46180.0</v>
      </c>
      <c r="C1680" s="49" t="s">
        <v>7443</v>
      </c>
      <c r="D1680" s="102" t="s">
        <v>7444</v>
      </c>
      <c r="E1680" s="25" t="s">
        <v>17</v>
      </c>
      <c r="F1680" s="25" t="s">
        <v>129</v>
      </c>
      <c r="G1680" s="25" t="s">
        <v>29</v>
      </c>
      <c r="H1680" s="49" t="s">
        <v>7445</v>
      </c>
      <c r="I1680" s="23"/>
      <c r="J1680" s="49">
        <v>2.0</v>
      </c>
      <c r="K1680" s="30"/>
      <c r="L1680" s="49" t="s">
        <v>7446</v>
      </c>
      <c r="M1680" s="50">
        <v>1.0</v>
      </c>
      <c r="N1680" s="51"/>
      <c r="O1680" s="20"/>
      <c r="P1680" s="20"/>
      <c r="Q1680" s="20"/>
      <c r="R1680" s="20"/>
      <c r="S1680" s="20"/>
    </row>
    <row r="1681">
      <c r="A1681" s="76" t="s">
        <v>7447</v>
      </c>
      <c r="B1681" s="97">
        <v>46180.0</v>
      </c>
      <c r="C1681" s="76" t="s">
        <v>7448</v>
      </c>
      <c r="D1681" s="99" t="s">
        <v>7449</v>
      </c>
      <c r="E1681" s="25" t="s">
        <v>17</v>
      </c>
      <c r="F1681" s="25" t="s">
        <v>129</v>
      </c>
      <c r="G1681" s="25" t="s">
        <v>29</v>
      </c>
      <c r="H1681" s="76" t="s">
        <v>2388</v>
      </c>
      <c r="I1681" s="10"/>
      <c r="J1681" s="10"/>
      <c r="K1681" s="46"/>
      <c r="L1681" s="76" t="s">
        <v>4740</v>
      </c>
      <c r="M1681" s="44">
        <v>1.0</v>
      </c>
      <c r="N1681" s="45"/>
      <c r="O1681" s="20"/>
      <c r="P1681" s="20"/>
      <c r="Q1681" s="20"/>
      <c r="R1681" s="20"/>
      <c r="S1681" s="20"/>
    </row>
    <row r="1682">
      <c r="A1682" s="49" t="s">
        <v>7450</v>
      </c>
      <c r="B1682" s="110">
        <v>46181.0</v>
      </c>
      <c r="C1682" s="49" t="s">
        <v>7451</v>
      </c>
      <c r="D1682" s="102" t="s">
        <v>7452</v>
      </c>
      <c r="E1682" s="25" t="s">
        <v>17</v>
      </c>
      <c r="F1682" s="25" t="s">
        <v>129</v>
      </c>
      <c r="G1682" s="25" t="s">
        <v>29</v>
      </c>
      <c r="H1682" s="49" t="s">
        <v>1888</v>
      </c>
      <c r="I1682" s="23"/>
      <c r="J1682" s="23"/>
      <c r="K1682" s="30"/>
      <c r="L1682" s="23"/>
      <c r="M1682" s="50">
        <v>1.0</v>
      </c>
      <c r="N1682" s="51"/>
      <c r="O1682" s="20"/>
      <c r="P1682" s="20"/>
      <c r="Q1682" s="20"/>
      <c r="R1682" s="20"/>
      <c r="S1682" s="20"/>
    </row>
    <row r="1683">
      <c r="A1683" s="76" t="s">
        <v>7453</v>
      </c>
      <c r="B1683" s="97">
        <v>46181.0</v>
      </c>
      <c r="C1683" s="76" t="s">
        <v>7454</v>
      </c>
      <c r="D1683" s="99" t="s">
        <v>7455</v>
      </c>
      <c r="E1683" s="25" t="s">
        <v>122</v>
      </c>
      <c r="F1683" s="25" t="s">
        <v>983</v>
      </c>
      <c r="G1683" s="25" t="s">
        <v>19</v>
      </c>
      <c r="H1683" s="76" t="s">
        <v>7456</v>
      </c>
      <c r="I1683" s="118">
        <v>46207.0</v>
      </c>
      <c r="J1683" s="76">
        <v>4.0</v>
      </c>
      <c r="K1683" s="46">
        <f>409000*4</f>
        <v>1636000</v>
      </c>
      <c r="L1683" s="76" t="s">
        <v>7457</v>
      </c>
      <c r="M1683" s="44">
        <v>7.0</v>
      </c>
      <c r="N1683" s="45"/>
      <c r="O1683" s="20"/>
      <c r="P1683" s="20"/>
      <c r="Q1683" s="20"/>
      <c r="R1683" s="20"/>
      <c r="S1683" s="20"/>
    </row>
    <row r="1684">
      <c r="A1684" s="49" t="s">
        <v>7458</v>
      </c>
      <c r="B1684" s="110">
        <v>46181.0</v>
      </c>
      <c r="C1684" s="49" t="s">
        <v>7459</v>
      </c>
      <c r="D1684" s="102" t="s">
        <v>7460</v>
      </c>
      <c r="E1684" s="25" t="s">
        <v>128</v>
      </c>
      <c r="F1684" s="25" t="s">
        <v>129</v>
      </c>
      <c r="G1684" s="25" t="s">
        <v>29</v>
      </c>
      <c r="H1684" s="49" t="s">
        <v>3032</v>
      </c>
      <c r="I1684" s="23"/>
      <c r="J1684" s="49">
        <v>30.0</v>
      </c>
      <c r="K1684" s="30"/>
      <c r="L1684" s="49" t="s">
        <v>2232</v>
      </c>
      <c r="M1684" s="50">
        <v>1.0</v>
      </c>
      <c r="N1684" s="51"/>
      <c r="O1684" s="20"/>
      <c r="P1684" s="20"/>
      <c r="Q1684" s="20"/>
      <c r="R1684" s="20"/>
      <c r="S1684" s="20"/>
    </row>
    <row r="1685">
      <c r="A1685" s="76" t="s">
        <v>7461</v>
      </c>
      <c r="B1685" s="97">
        <v>46181.0</v>
      </c>
      <c r="C1685" s="76" t="s">
        <v>7462</v>
      </c>
      <c r="D1685" s="99" t="s">
        <v>7463</v>
      </c>
      <c r="E1685" s="25" t="s">
        <v>17</v>
      </c>
      <c r="F1685" s="25" t="s">
        <v>129</v>
      </c>
      <c r="G1685" s="25" t="s">
        <v>42</v>
      </c>
      <c r="H1685" s="76" t="s">
        <v>7464</v>
      </c>
      <c r="I1685" s="118">
        <v>46186.0</v>
      </c>
      <c r="J1685" s="76">
        <v>9.0</v>
      </c>
      <c r="K1685" s="46"/>
      <c r="L1685" s="10"/>
      <c r="M1685" s="44">
        <v>8.0</v>
      </c>
      <c r="N1685" s="45"/>
      <c r="O1685" s="20"/>
      <c r="P1685" s="20"/>
      <c r="Q1685" s="20"/>
      <c r="R1685" s="20"/>
      <c r="S1685" s="20"/>
    </row>
    <row r="1686">
      <c r="A1686" s="49" t="s">
        <v>7465</v>
      </c>
      <c r="B1686" s="110">
        <v>46181.0</v>
      </c>
      <c r="C1686" s="49" t="s">
        <v>7466</v>
      </c>
      <c r="D1686" s="102" t="s">
        <v>7467</v>
      </c>
      <c r="E1686" s="25" t="s">
        <v>128</v>
      </c>
      <c r="F1686" s="25" t="s">
        <v>129</v>
      </c>
      <c r="G1686" s="25" t="s">
        <v>19</v>
      </c>
      <c r="H1686" s="49" t="s">
        <v>3273</v>
      </c>
      <c r="I1686" s="101">
        <v>46196.0</v>
      </c>
      <c r="J1686" s="49">
        <v>2.0</v>
      </c>
      <c r="K1686" s="36">
        <v>3200000.0</v>
      </c>
      <c r="L1686" s="49" t="s">
        <v>6119</v>
      </c>
      <c r="M1686" s="50">
        <v>7.0</v>
      </c>
      <c r="N1686" s="51"/>
      <c r="O1686" s="20"/>
      <c r="P1686" s="20"/>
      <c r="Q1686" s="20"/>
      <c r="R1686" s="20"/>
      <c r="S1686" s="20"/>
    </row>
    <row r="1687">
      <c r="A1687" s="76" t="s">
        <v>7468</v>
      </c>
      <c r="B1687" s="97">
        <v>46181.0</v>
      </c>
      <c r="C1687" s="76" t="s">
        <v>7469</v>
      </c>
      <c r="D1687" s="99" t="s">
        <v>7470</v>
      </c>
      <c r="E1687" s="25" t="s">
        <v>17</v>
      </c>
      <c r="F1687" s="25" t="s">
        <v>18</v>
      </c>
      <c r="G1687" s="25" t="s">
        <v>42</v>
      </c>
      <c r="H1687" s="76" t="s">
        <v>2462</v>
      </c>
      <c r="I1687" s="10"/>
      <c r="J1687" s="76">
        <v>7.0</v>
      </c>
      <c r="K1687" s="46"/>
      <c r="L1687" s="76" t="s">
        <v>7471</v>
      </c>
      <c r="M1687" s="44">
        <v>8.0</v>
      </c>
      <c r="N1687" s="45"/>
      <c r="O1687" s="20"/>
      <c r="P1687" s="20"/>
      <c r="Q1687" s="20"/>
      <c r="R1687" s="20"/>
      <c r="S1687" s="20"/>
    </row>
    <row r="1688">
      <c r="A1688" s="49" t="s">
        <v>7472</v>
      </c>
      <c r="B1688" s="110">
        <v>46181.0</v>
      </c>
      <c r="C1688" s="49" t="s">
        <v>7473</v>
      </c>
      <c r="D1688" s="102" t="s">
        <v>7474</v>
      </c>
      <c r="E1688" s="25" t="s">
        <v>128</v>
      </c>
      <c r="F1688" s="25" t="s">
        <v>18</v>
      </c>
      <c r="G1688" s="25" t="s">
        <v>42</v>
      </c>
      <c r="H1688" s="49" t="s">
        <v>3210</v>
      </c>
      <c r="I1688" s="23"/>
      <c r="J1688" s="23"/>
      <c r="K1688" s="30"/>
      <c r="L1688" s="49" t="s">
        <v>7475</v>
      </c>
      <c r="M1688" s="50">
        <v>8.0</v>
      </c>
      <c r="N1688" s="51"/>
      <c r="O1688" s="20"/>
      <c r="P1688" s="20"/>
      <c r="Q1688" s="20"/>
      <c r="R1688" s="20"/>
      <c r="S1688" s="20"/>
    </row>
    <row r="1689">
      <c r="A1689" s="76" t="s">
        <v>7476</v>
      </c>
      <c r="B1689" s="97">
        <v>46181.0</v>
      </c>
      <c r="C1689" s="76" t="s">
        <v>7477</v>
      </c>
      <c r="D1689" s="99" t="s">
        <v>7478</v>
      </c>
      <c r="E1689" s="25" t="s">
        <v>17</v>
      </c>
      <c r="F1689" s="25" t="s">
        <v>18</v>
      </c>
      <c r="G1689" s="25" t="s">
        <v>42</v>
      </c>
      <c r="H1689" s="76" t="s">
        <v>7479</v>
      </c>
      <c r="I1689" s="10"/>
      <c r="J1689" s="76">
        <v>18.0</v>
      </c>
      <c r="K1689" s="46"/>
      <c r="L1689" s="76" t="s">
        <v>840</v>
      </c>
      <c r="M1689" s="44">
        <v>8.0</v>
      </c>
      <c r="N1689" s="45"/>
      <c r="O1689" s="20"/>
      <c r="P1689" s="20"/>
      <c r="Q1689" s="20"/>
      <c r="R1689" s="20"/>
      <c r="S1689" s="20"/>
    </row>
    <row r="1690">
      <c r="A1690" s="49" t="s">
        <v>7480</v>
      </c>
      <c r="B1690" s="110">
        <v>46181.0</v>
      </c>
      <c r="C1690" s="49" t="s">
        <v>7481</v>
      </c>
      <c r="D1690" s="102" t="s">
        <v>7482</v>
      </c>
      <c r="E1690" s="25" t="s">
        <v>17</v>
      </c>
      <c r="F1690" s="25" t="s">
        <v>18</v>
      </c>
      <c r="G1690" s="25" t="s">
        <v>19</v>
      </c>
      <c r="H1690" s="49" t="s">
        <v>3210</v>
      </c>
      <c r="I1690" s="49" t="s">
        <v>4799</v>
      </c>
      <c r="J1690" s="49">
        <v>14.0</v>
      </c>
      <c r="K1690" s="36">
        <f>1535000*13</f>
        <v>19955000</v>
      </c>
      <c r="L1690" s="49" t="s">
        <v>1803</v>
      </c>
      <c r="M1690" s="50">
        <v>7.0</v>
      </c>
      <c r="N1690" s="51"/>
      <c r="O1690" s="20"/>
      <c r="P1690" s="20"/>
      <c r="Q1690" s="20"/>
      <c r="R1690" s="20"/>
      <c r="S1690" s="20"/>
    </row>
    <row r="1691">
      <c r="A1691" s="76" t="s">
        <v>7483</v>
      </c>
      <c r="B1691" s="97">
        <v>46181.0</v>
      </c>
      <c r="C1691" s="76" t="s">
        <v>7484</v>
      </c>
      <c r="D1691" s="99" t="s">
        <v>7485</v>
      </c>
      <c r="E1691" s="25" t="s">
        <v>122</v>
      </c>
      <c r="F1691" s="25" t="s">
        <v>18</v>
      </c>
      <c r="G1691" s="25" t="s">
        <v>19</v>
      </c>
      <c r="H1691" s="76" t="s">
        <v>2462</v>
      </c>
      <c r="I1691" s="118">
        <v>46202.0</v>
      </c>
      <c r="J1691" s="76">
        <v>8.0</v>
      </c>
      <c r="K1691" s="19">
        <v>1.04E7</v>
      </c>
      <c r="L1691" s="10"/>
      <c r="M1691" s="44">
        <v>7.0</v>
      </c>
      <c r="N1691" s="45"/>
      <c r="O1691" s="20"/>
      <c r="P1691" s="20"/>
      <c r="Q1691" s="20"/>
      <c r="R1691" s="20"/>
      <c r="S1691" s="20"/>
    </row>
    <row r="1692">
      <c r="A1692" s="49" t="s">
        <v>7486</v>
      </c>
      <c r="B1692" s="110">
        <v>46181.0</v>
      </c>
      <c r="C1692" s="49" t="s">
        <v>7487</v>
      </c>
      <c r="D1692" s="102" t="s">
        <v>7488</v>
      </c>
      <c r="E1692" s="25" t="s">
        <v>128</v>
      </c>
      <c r="F1692" s="25" t="s">
        <v>18</v>
      </c>
      <c r="G1692" s="25" t="s">
        <v>42</v>
      </c>
      <c r="H1692" s="49" t="s">
        <v>7489</v>
      </c>
      <c r="I1692" s="23"/>
      <c r="J1692" s="23"/>
      <c r="K1692" s="30"/>
      <c r="L1692" s="49" t="s">
        <v>840</v>
      </c>
      <c r="M1692" s="50">
        <v>8.0</v>
      </c>
      <c r="N1692" s="51"/>
      <c r="O1692" s="20"/>
      <c r="P1692" s="20"/>
      <c r="Q1692" s="20"/>
      <c r="R1692" s="20"/>
      <c r="S1692" s="20"/>
    </row>
    <row r="1693">
      <c r="A1693" s="76" t="s">
        <v>7490</v>
      </c>
      <c r="B1693" s="97">
        <v>46181.0</v>
      </c>
      <c r="C1693" s="76" t="s">
        <v>7491</v>
      </c>
      <c r="D1693" s="99" t="s">
        <v>7492</v>
      </c>
      <c r="E1693" s="25" t="s">
        <v>128</v>
      </c>
      <c r="F1693" s="25" t="s">
        <v>129</v>
      </c>
      <c r="G1693" s="25" t="s">
        <v>29</v>
      </c>
      <c r="H1693" s="76" t="s">
        <v>3904</v>
      </c>
      <c r="I1693" s="10"/>
      <c r="J1693" s="10"/>
      <c r="K1693" s="46"/>
      <c r="L1693" s="10"/>
      <c r="M1693" s="44">
        <v>1.0</v>
      </c>
      <c r="N1693" s="45"/>
      <c r="O1693" s="20"/>
      <c r="P1693" s="20"/>
      <c r="Q1693" s="20"/>
      <c r="R1693" s="20"/>
      <c r="S1693" s="20"/>
    </row>
    <row r="1694">
      <c r="A1694" s="49" t="s">
        <v>7493</v>
      </c>
      <c r="B1694" s="110">
        <v>46181.0</v>
      </c>
      <c r="C1694" s="49" t="s">
        <v>7494</v>
      </c>
      <c r="D1694" s="102" t="s">
        <v>7495</v>
      </c>
      <c r="E1694" s="25" t="s">
        <v>128</v>
      </c>
      <c r="F1694" s="25" t="s">
        <v>129</v>
      </c>
      <c r="G1694" s="25" t="s">
        <v>34</v>
      </c>
      <c r="H1694" s="49" t="s">
        <v>4532</v>
      </c>
      <c r="I1694" s="23"/>
      <c r="J1694" s="49">
        <v>4.0</v>
      </c>
      <c r="K1694" s="30"/>
      <c r="L1694" s="49" t="s">
        <v>7496</v>
      </c>
      <c r="M1694" s="50">
        <v>2.0</v>
      </c>
      <c r="N1694" s="51"/>
      <c r="O1694" s="20"/>
      <c r="P1694" s="20"/>
      <c r="Q1694" s="20"/>
      <c r="R1694" s="20"/>
      <c r="S1694" s="20"/>
    </row>
    <row r="1695">
      <c r="A1695" s="76" t="s">
        <v>7497</v>
      </c>
      <c r="B1695" s="97">
        <v>46182.0</v>
      </c>
      <c r="C1695" s="76" t="s">
        <v>7498</v>
      </c>
      <c r="D1695" s="99" t="s">
        <v>7499</v>
      </c>
      <c r="E1695" s="25" t="s">
        <v>128</v>
      </c>
      <c r="F1695" s="25" t="s">
        <v>129</v>
      </c>
      <c r="G1695" s="25" t="s">
        <v>29</v>
      </c>
      <c r="H1695" s="76" t="s">
        <v>7500</v>
      </c>
      <c r="I1695" s="10"/>
      <c r="J1695" s="10"/>
      <c r="K1695" s="46"/>
      <c r="L1695" s="76" t="s">
        <v>7501</v>
      </c>
      <c r="M1695" s="44">
        <v>1.0</v>
      </c>
      <c r="N1695" s="45"/>
      <c r="O1695" s="20"/>
      <c r="P1695" s="20"/>
      <c r="Q1695" s="20"/>
      <c r="R1695" s="20"/>
      <c r="S1695" s="20"/>
    </row>
    <row r="1696">
      <c r="A1696" s="49" t="s">
        <v>7502</v>
      </c>
      <c r="B1696" s="110">
        <v>46181.0</v>
      </c>
      <c r="C1696" s="49" t="s">
        <v>7503</v>
      </c>
      <c r="D1696" s="102" t="s">
        <v>7504</v>
      </c>
      <c r="E1696" s="25" t="s">
        <v>17</v>
      </c>
      <c r="F1696" s="25" t="s">
        <v>129</v>
      </c>
      <c r="G1696" s="25" t="s">
        <v>19</v>
      </c>
      <c r="H1696" s="49" t="s">
        <v>3429</v>
      </c>
      <c r="I1696" s="101">
        <v>46195.0</v>
      </c>
      <c r="J1696" s="49">
        <v>11.0</v>
      </c>
      <c r="K1696" s="30"/>
      <c r="L1696" s="49" t="s">
        <v>6194</v>
      </c>
      <c r="M1696" s="50">
        <v>7.0</v>
      </c>
      <c r="N1696" s="51"/>
      <c r="O1696" s="20"/>
      <c r="P1696" s="20"/>
      <c r="Q1696" s="20"/>
      <c r="R1696" s="20"/>
      <c r="S1696" s="20"/>
    </row>
    <row r="1697">
      <c r="A1697" s="76" t="s">
        <v>7505</v>
      </c>
      <c r="B1697" s="97">
        <v>46182.0</v>
      </c>
      <c r="C1697" s="76" t="s">
        <v>7506</v>
      </c>
      <c r="D1697" s="99" t="s">
        <v>7507</v>
      </c>
      <c r="E1697" s="25" t="s">
        <v>17</v>
      </c>
      <c r="F1697" s="25" t="s">
        <v>129</v>
      </c>
      <c r="G1697" s="25" t="s">
        <v>29</v>
      </c>
      <c r="H1697" s="76" t="s">
        <v>3837</v>
      </c>
      <c r="I1697" s="10"/>
      <c r="J1697" s="76">
        <v>5.0</v>
      </c>
      <c r="K1697" s="46"/>
      <c r="L1697" s="76" t="s">
        <v>7508</v>
      </c>
      <c r="M1697" s="44">
        <v>1.0</v>
      </c>
      <c r="N1697" s="45"/>
      <c r="O1697" s="20"/>
      <c r="P1697" s="20"/>
      <c r="Q1697" s="20"/>
      <c r="R1697" s="20"/>
      <c r="S1697" s="20"/>
    </row>
    <row r="1698">
      <c r="A1698" s="49" t="s">
        <v>7509</v>
      </c>
      <c r="B1698" s="110">
        <v>46182.0</v>
      </c>
      <c r="C1698" s="49" t="s">
        <v>7510</v>
      </c>
      <c r="D1698" s="102" t="s">
        <v>7511</v>
      </c>
      <c r="E1698" s="25" t="s">
        <v>17</v>
      </c>
      <c r="F1698" s="25" t="s">
        <v>129</v>
      </c>
      <c r="G1698" s="25" t="s">
        <v>29</v>
      </c>
      <c r="H1698" s="49" t="s">
        <v>2462</v>
      </c>
      <c r="I1698" s="23"/>
      <c r="J1698" s="49" t="s">
        <v>4995</v>
      </c>
      <c r="K1698" s="30"/>
      <c r="L1698" s="49" t="s">
        <v>2232</v>
      </c>
      <c r="M1698" s="50">
        <v>1.0</v>
      </c>
      <c r="N1698" s="51"/>
      <c r="O1698" s="20"/>
      <c r="P1698" s="20"/>
      <c r="Q1698" s="20"/>
      <c r="R1698" s="20"/>
      <c r="S1698" s="20"/>
    </row>
    <row r="1699">
      <c r="A1699" s="76" t="s">
        <v>7512</v>
      </c>
      <c r="B1699" s="97">
        <v>46182.0</v>
      </c>
      <c r="C1699" s="76" t="s">
        <v>7513</v>
      </c>
      <c r="D1699" s="99" t="s">
        <v>7514</v>
      </c>
      <c r="E1699" s="25" t="s">
        <v>128</v>
      </c>
      <c r="F1699" s="25" t="s">
        <v>18</v>
      </c>
      <c r="G1699" s="25" t="s">
        <v>19</v>
      </c>
      <c r="H1699" s="76" t="s">
        <v>5658</v>
      </c>
      <c r="I1699" s="118">
        <v>46187.0</v>
      </c>
      <c r="J1699" s="76">
        <v>2.0</v>
      </c>
      <c r="K1699" s="46">
        <f>275000*2</f>
        <v>550000</v>
      </c>
      <c r="L1699" s="76" t="s">
        <v>4896</v>
      </c>
      <c r="M1699" s="44">
        <v>7.0</v>
      </c>
      <c r="N1699" s="45"/>
      <c r="O1699" s="20"/>
      <c r="P1699" s="20"/>
      <c r="Q1699" s="20"/>
      <c r="R1699" s="20"/>
      <c r="S1699" s="20"/>
    </row>
    <row r="1700">
      <c r="A1700" s="49" t="s">
        <v>7515</v>
      </c>
      <c r="B1700" s="110">
        <v>46182.0</v>
      </c>
      <c r="C1700" s="49" t="s">
        <v>7516</v>
      </c>
      <c r="D1700" s="102" t="s">
        <v>7517</v>
      </c>
      <c r="E1700" s="25" t="s">
        <v>17</v>
      </c>
      <c r="F1700" s="25" t="s">
        <v>129</v>
      </c>
      <c r="G1700" s="25" t="s">
        <v>29</v>
      </c>
      <c r="H1700" s="49" t="s">
        <v>7518</v>
      </c>
      <c r="I1700" s="23"/>
      <c r="J1700" s="49">
        <v>1.0</v>
      </c>
      <c r="K1700" s="30"/>
      <c r="L1700" s="49" t="s">
        <v>7519</v>
      </c>
      <c r="M1700" s="50">
        <v>1.0</v>
      </c>
      <c r="N1700" s="51"/>
      <c r="O1700" s="20"/>
      <c r="P1700" s="20"/>
      <c r="Q1700" s="20"/>
      <c r="R1700" s="20"/>
      <c r="S1700" s="20"/>
    </row>
    <row r="1701">
      <c r="A1701" s="76" t="s">
        <v>7520</v>
      </c>
      <c r="B1701" s="97">
        <v>46182.0</v>
      </c>
      <c r="C1701" s="76" t="s">
        <v>7521</v>
      </c>
      <c r="D1701" s="99" t="s">
        <v>7522</v>
      </c>
      <c r="E1701" s="25" t="s">
        <v>128</v>
      </c>
      <c r="F1701" s="25" t="s">
        <v>129</v>
      </c>
      <c r="G1701" s="25" t="s">
        <v>19</v>
      </c>
      <c r="H1701" s="76" t="s">
        <v>4351</v>
      </c>
      <c r="I1701" s="118">
        <v>46192.0</v>
      </c>
      <c r="J1701" s="76">
        <v>2.0</v>
      </c>
      <c r="K1701" s="19">
        <v>6850000.0</v>
      </c>
      <c r="L1701" s="76" t="s">
        <v>7523</v>
      </c>
      <c r="M1701" s="44">
        <v>7.0</v>
      </c>
      <c r="N1701" s="45"/>
      <c r="O1701" s="20"/>
      <c r="P1701" s="20"/>
      <c r="Q1701" s="20"/>
      <c r="R1701" s="20"/>
      <c r="S1701" s="20"/>
    </row>
    <row r="1702">
      <c r="A1702" s="49" t="s">
        <v>7524</v>
      </c>
      <c r="B1702" s="110">
        <v>46182.0</v>
      </c>
      <c r="C1702" s="49" t="s">
        <v>7525</v>
      </c>
      <c r="D1702" s="102" t="s">
        <v>7526</v>
      </c>
      <c r="E1702" s="25" t="s">
        <v>128</v>
      </c>
      <c r="F1702" s="25" t="s">
        <v>18</v>
      </c>
      <c r="G1702" s="25" t="s">
        <v>34</v>
      </c>
      <c r="H1702" s="23"/>
      <c r="I1702" s="101">
        <v>46184.0</v>
      </c>
      <c r="J1702" s="23"/>
      <c r="K1702" s="30"/>
      <c r="L1702" s="23"/>
      <c r="M1702" s="50">
        <v>2.0</v>
      </c>
      <c r="N1702" s="51"/>
      <c r="O1702" s="20"/>
      <c r="P1702" s="20"/>
      <c r="Q1702" s="20"/>
      <c r="R1702" s="20"/>
      <c r="S1702" s="20"/>
    </row>
    <row r="1703">
      <c r="A1703" s="76" t="s">
        <v>7527</v>
      </c>
      <c r="B1703" s="97">
        <v>46182.0</v>
      </c>
      <c r="C1703" s="76" t="s">
        <v>7528</v>
      </c>
      <c r="D1703" s="99" t="s">
        <v>7529</v>
      </c>
      <c r="E1703" s="25" t="s">
        <v>128</v>
      </c>
      <c r="F1703" s="25" t="s">
        <v>18</v>
      </c>
      <c r="G1703" s="25" t="s">
        <v>42</v>
      </c>
      <c r="H1703" s="76" t="s">
        <v>4621</v>
      </c>
      <c r="I1703" s="118">
        <v>46188.0</v>
      </c>
      <c r="J1703" s="76">
        <v>3.0</v>
      </c>
      <c r="K1703" s="46"/>
      <c r="L1703" s="10"/>
      <c r="M1703" s="44">
        <v>8.0</v>
      </c>
      <c r="N1703" s="45"/>
      <c r="O1703" s="20"/>
      <c r="P1703" s="20"/>
      <c r="Q1703" s="20"/>
      <c r="R1703" s="20"/>
      <c r="S1703" s="20"/>
    </row>
    <row r="1704">
      <c r="A1704" s="49" t="s">
        <v>7530</v>
      </c>
      <c r="B1704" s="110">
        <v>46182.0</v>
      </c>
      <c r="C1704" s="49" t="s">
        <v>6823</v>
      </c>
      <c r="D1704" s="102" t="s">
        <v>7531</v>
      </c>
      <c r="E1704" s="25" t="s">
        <v>122</v>
      </c>
      <c r="F1704" s="25" t="s">
        <v>18</v>
      </c>
      <c r="G1704" s="25" t="s">
        <v>42</v>
      </c>
      <c r="H1704" s="23"/>
      <c r="I1704" s="23"/>
      <c r="J1704" s="49">
        <v>30.0</v>
      </c>
      <c r="K1704" s="30"/>
      <c r="L1704" s="49" t="s">
        <v>6825</v>
      </c>
      <c r="M1704" s="50">
        <v>8.0</v>
      </c>
      <c r="N1704" s="51"/>
      <c r="O1704" s="20"/>
      <c r="P1704" s="20"/>
      <c r="Q1704" s="20"/>
      <c r="R1704" s="20"/>
      <c r="S1704" s="20"/>
    </row>
    <row r="1705">
      <c r="A1705" s="76" t="s">
        <v>7532</v>
      </c>
      <c r="B1705" s="97">
        <v>46183.0</v>
      </c>
      <c r="C1705" s="76" t="s">
        <v>7533</v>
      </c>
      <c r="D1705" s="99" t="s">
        <v>7534</v>
      </c>
      <c r="E1705" s="25" t="s">
        <v>1877</v>
      </c>
      <c r="F1705" s="25" t="s">
        <v>18</v>
      </c>
      <c r="G1705" s="25" t="s">
        <v>42</v>
      </c>
      <c r="H1705" s="76" t="s">
        <v>172</v>
      </c>
      <c r="I1705" s="118">
        <v>46193.0</v>
      </c>
      <c r="J1705" s="76">
        <v>1.0</v>
      </c>
      <c r="K1705" s="46"/>
      <c r="L1705" s="76" t="s">
        <v>840</v>
      </c>
      <c r="M1705" s="44">
        <v>8.0</v>
      </c>
      <c r="N1705" s="45"/>
      <c r="O1705" s="20"/>
      <c r="P1705" s="20"/>
      <c r="Q1705" s="20"/>
      <c r="R1705" s="20"/>
      <c r="S1705" s="20"/>
    </row>
    <row r="1706">
      <c r="A1706" s="49" t="s">
        <v>7535</v>
      </c>
      <c r="B1706" s="110">
        <v>46183.0</v>
      </c>
      <c r="C1706" s="49" t="s">
        <v>7536</v>
      </c>
      <c r="D1706" s="102" t="s">
        <v>7537</v>
      </c>
      <c r="E1706" s="25" t="s">
        <v>128</v>
      </c>
      <c r="F1706" s="25" t="s">
        <v>18</v>
      </c>
      <c r="G1706" s="25" t="s">
        <v>42</v>
      </c>
      <c r="H1706" s="49" t="s">
        <v>7538</v>
      </c>
      <c r="I1706" s="101">
        <v>46210.0</v>
      </c>
      <c r="J1706" s="49">
        <v>4.0</v>
      </c>
      <c r="K1706" s="30"/>
      <c r="L1706" s="49" t="s">
        <v>840</v>
      </c>
      <c r="M1706" s="50">
        <v>8.0</v>
      </c>
      <c r="N1706" s="51"/>
      <c r="O1706" s="20"/>
      <c r="P1706" s="20"/>
      <c r="Q1706" s="20"/>
      <c r="R1706" s="20"/>
      <c r="S1706" s="20"/>
    </row>
    <row r="1707">
      <c r="A1707" s="76" t="s">
        <v>7539</v>
      </c>
      <c r="B1707" s="97">
        <v>46180.0</v>
      </c>
      <c r="C1707" s="76" t="s">
        <v>7540</v>
      </c>
      <c r="D1707" s="99" t="s">
        <v>7541</v>
      </c>
      <c r="E1707" s="25" t="s">
        <v>128</v>
      </c>
      <c r="F1707" s="25" t="s">
        <v>129</v>
      </c>
      <c r="G1707" s="25" t="s">
        <v>29</v>
      </c>
      <c r="H1707" s="10"/>
      <c r="I1707" s="10"/>
      <c r="J1707" s="10"/>
      <c r="K1707" s="46"/>
      <c r="L1707" s="76" t="s">
        <v>7542</v>
      </c>
      <c r="M1707" s="44">
        <v>1.0</v>
      </c>
      <c r="N1707" s="45"/>
      <c r="O1707" s="20"/>
      <c r="P1707" s="20"/>
      <c r="Q1707" s="20"/>
      <c r="R1707" s="20"/>
      <c r="S1707" s="20"/>
    </row>
    <row r="1708">
      <c r="A1708" s="49" t="s">
        <v>7543</v>
      </c>
      <c r="B1708" s="110">
        <v>46180.0</v>
      </c>
      <c r="C1708" s="49" t="s">
        <v>7544</v>
      </c>
      <c r="D1708" s="102" t="s">
        <v>7545</v>
      </c>
      <c r="E1708" s="25" t="s">
        <v>1877</v>
      </c>
      <c r="F1708" s="25" t="s">
        <v>129</v>
      </c>
      <c r="G1708" s="25" t="s">
        <v>29</v>
      </c>
      <c r="H1708" s="23"/>
      <c r="I1708" s="23"/>
      <c r="J1708" s="23"/>
      <c r="K1708" s="30"/>
      <c r="L1708" s="49" t="s">
        <v>7546</v>
      </c>
      <c r="M1708" s="50">
        <v>1.0</v>
      </c>
      <c r="N1708" s="51"/>
      <c r="O1708" s="20"/>
      <c r="P1708" s="20"/>
      <c r="Q1708" s="20"/>
      <c r="R1708" s="20"/>
      <c r="S1708" s="20"/>
    </row>
    <row r="1709">
      <c r="A1709" s="76" t="s">
        <v>7543</v>
      </c>
      <c r="B1709" s="97">
        <v>46182.0</v>
      </c>
      <c r="C1709" s="76" t="s">
        <v>7547</v>
      </c>
      <c r="D1709" s="99" t="s">
        <v>7548</v>
      </c>
      <c r="E1709" s="25" t="s">
        <v>17</v>
      </c>
      <c r="F1709" s="25" t="s">
        <v>129</v>
      </c>
      <c r="G1709" s="25" t="s">
        <v>29</v>
      </c>
      <c r="H1709" s="10"/>
      <c r="I1709" s="10"/>
      <c r="J1709" s="10"/>
      <c r="K1709" s="46"/>
      <c r="L1709" s="76" t="s">
        <v>7549</v>
      </c>
      <c r="M1709" s="44">
        <v>1.0</v>
      </c>
      <c r="N1709" s="45"/>
      <c r="O1709" s="20"/>
      <c r="P1709" s="20"/>
      <c r="Q1709" s="20"/>
      <c r="R1709" s="20"/>
      <c r="S1709" s="20"/>
    </row>
    <row r="1710">
      <c r="A1710" s="49" t="s">
        <v>7550</v>
      </c>
      <c r="B1710" s="110">
        <v>46182.0</v>
      </c>
      <c r="C1710" s="49" t="s">
        <v>7551</v>
      </c>
      <c r="D1710" s="102" t="s">
        <v>7552</v>
      </c>
      <c r="E1710" s="25" t="s">
        <v>128</v>
      </c>
      <c r="F1710" s="25" t="s">
        <v>129</v>
      </c>
      <c r="G1710" s="25" t="s">
        <v>29</v>
      </c>
      <c r="H1710" s="23"/>
      <c r="I1710" s="23"/>
      <c r="J1710" s="23"/>
      <c r="K1710" s="30"/>
      <c r="L1710" s="49" t="s">
        <v>7553</v>
      </c>
      <c r="M1710" s="50">
        <v>1.0</v>
      </c>
      <c r="N1710" s="51"/>
      <c r="O1710" s="20"/>
      <c r="P1710" s="20"/>
      <c r="Q1710" s="20"/>
      <c r="R1710" s="20"/>
      <c r="S1710" s="20"/>
    </row>
    <row r="1711">
      <c r="A1711" s="76" t="s">
        <v>7554</v>
      </c>
      <c r="B1711" s="97">
        <v>46182.0</v>
      </c>
      <c r="C1711" s="76" t="s">
        <v>7555</v>
      </c>
      <c r="D1711" s="99" t="s">
        <v>7556</v>
      </c>
      <c r="E1711" s="25" t="s">
        <v>128</v>
      </c>
      <c r="F1711" s="25" t="s">
        <v>129</v>
      </c>
      <c r="G1711" s="25" t="s">
        <v>19</v>
      </c>
      <c r="H1711" s="76" t="s">
        <v>3837</v>
      </c>
      <c r="I1711" s="118">
        <v>46256.0</v>
      </c>
      <c r="J1711" s="76">
        <v>3.0</v>
      </c>
      <c r="K1711" s="46">
        <f>SUM(2667000*3)</f>
        <v>8001000</v>
      </c>
      <c r="L1711" s="76" t="s">
        <v>7557</v>
      </c>
      <c r="M1711" s="44">
        <v>7.0</v>
      </c>
      <c r="N1711" s="45"/>
      <c r="O1711" s="20"/>
      <c r="P1711" s="20"/>
      <c r="Q1711" s="20"/>
      <c r="R1711" s="20"/>
      <c r="S1711" s="20"/>
    </row>
    <row r="1712">
      <c r="A1712" s="49" t="s">
        <v>7558</v>
      </c>
      <c r="B1712" s="110">
        <v>46182.0</v>
      </c>
      <c r="C1712" s="137" t="s">
        <v>7559</v>
      </c>
      <c r="D1712" s="102" t="s">
        <v>7560</v>
      </c>
      <c r="E1712" s="25" t="s">
        <v>17</v>
      </c>
      <c r="F1712" s="25" t="s">
        <v>129</v>
      </c>
      <c r="G1712" s="25" t="s">
        <v>34</v>
      </c>
      <c r="H1712" s="49" t="s">
        <v>747</v>
      </c>
      <c r="I1712" s="49" t="s">
        <v>6463</v>
      </c>
      <c r="J1712" s="49">
        <v>1.0</v>
      </c>
      <c r="K1712" s="36">
        <v>275000.0</v>
      </c>
      <c r="L1712" s="49" t="s">
        <v>7140</v>
      </c>
      <c r="M1712" s="50">
        <v>2.0</v>
      </c>
      <c r="N1712" s="51"/>
      <c r="O1712" s="20"/>
      <c r="P1712" s="20"/>
      <c r="Q1712" s="20"/>
      <c r="R1712" s="20"/>
      <c r="S1712" s="20"/>
    </row>
    <row r="1713">
      <c r="A1713" s="76" t="s">
        <v>7561</v>
      </c>
      <c r="B1713" s="97">
        <v>46183.0</v>
      </c>
      <c r="C1713" s="76" t="s">
        <v>7562</v>
      </c>
      <c r="D1713" s="99" t="s">
        <v>7563</v>
      </c>
      <c r="E1713" s="25" t="s">
        <v>17</v>
      </c>
      <c r="F1713" s="25" t="s">
        <v>129</v>
      </c>
      <c r="G1713" s="25" t="s">
        <v>29</v>
      </c>
      <c r="H1713" s="76" t="s">
        <v>7564</v>
      </c>
      <c r="I1713" s="118">
        <v>46244.0</v>
      </c>
      <c r="J1713" s="76">
        <v>50.0</v>
      </c>
      <c r="K1713" s="46"/>
      <c r="L1713" s="76" t="s">
        <v>7565</v>
      </c>
      <c r="M1713" s="44">
        <v>1.0</v>
      </c>
      <c r="N1713" s="45"/>
      <c r="O1713" s="20"/>
      <c r="P1713" s="20"/>
      <c r="Q1713" s="20"/>
      <c r="R1713" s="20"/>
      <c r="S1713" s="20"/>
    </row>
    <row r="1714">
      <c r="A1714" s="49" t="s">
        <v>7566</v>
      </c>
      <c r="B1714" s="110">
        <v>46183.0</v>
      </c>
      <c r="C1714" s="49" t="s">
        <v>7567</v>
      </c>
      <c r="D1714" s="102" t="s">
        <v>7568</v>
      </c>
      <c r="E1714" s="25" t="s">
        <v>128</v>
      </c>
      <c r="F1714" s="25" t="s">
        <v>129</v>
      </c>
      <c r="G1714" s="25" t="s">
        <v>29</v>
      </c>
      <c r="H1714" s="49" t="s">
        <v>4532</v>
      </c>
      <c r="I1714" s="23"/>
      <c r="J1714" s="23"/>
      <c r="K1714" s="30"/>
      <c r="L1714" s="49" t="s">
        <v>7569</v>
      </c>
      <c r="M1714" s="50">
        <v>1.0</v>
      </c>
      <c r="N1714" s="51"/>
      <c r="O1714" s="20"/>
      <c r="P1714" s="20"/>
      <c r="Q1714" s="20"/>
      <c r="R1714" s="20"/>
      <c r="S1714" s="20"/>
    </row>
    <row r="1715">
      <c r="A1715" s="76" t="s">
        <v>7570</v>
      </c>
      <c r="B1715" s="97">
        <v>46183.0</v>
      </c>
      <c r="C1715" s="76" t="s">
        <v>3673</v>
      </c>
      <c r="D1715" s="99" t="s">
        <v>7571</v>
      </c>
      <c r="E1715" s="25" t="s">
        <v>128</v>
      </c>
      <c r="F1715" s="25" t="s">
        <v>129</v>
      </c>
      <c r="G1715" s="25" t="s">
        <v>29</v>
      </c>
      <c r="H1715" s="49" t="s">
        <v>260</v>
      </c>
      <c r="I1715" s="10"/>
      <c r="J1715" s="76">
        <v>1.0</v>
      </c>
      <c r="K1715" s="46"/>
      <c r="L1715" s="76" t="s">
        <v>7572</v>
      </c>
      <c r="M1715" s="44">
        <v>1.0</v>
      </c>
      <c r="N1715" s="45"/>
      <c r="O1715" s="20"/>
      <c r="P1715" s="20"/>
      <c r="Q1715" s="20"/>
      <c r="R1715" s="20"/>
      <c r="S1715" s="20"/>
    </row>
    <row r="1716">
      <c r="A1716" s="49" t="s">
        <v>7573</v>
      </c>
      <c r="B1716" s="110">
        <v>46183.0</v>
      </c>
      <c r="C1716" s="49" t="s">
        <v>7574</v>
      </c>
      <c r="D1716" s="102" t="s">
        <v>7575</v>
      </c>
      <c r="E1716" s="25" t="s">
        <v>128</v>
      </c>
      <c r="F1716" s="25" t="s">
        <v>129</v>
      </c>
      <c r="G1716" s="25" t="s">
        <v>29</v>
      </c>
      <c r="H1716" s="49" t="s">
        <v>3837</v>
      </c>
      <c r="I1716" s="23"/>
      <c r="J1716" s="49">
        <v>2.0</v>
      </c>
      <c r="K1716" s="30"/>
      <c r="L1716" s="49" t="s">
        <v>7250</v>
      </c>
      <c r="M1716" s="50">
        <v>1.0</v>
      </c>
      <c r="N1716" s="51"/>
      <c r="O1716" s="20"/>
      <c r="P1716" s="20"/>
      <c r="Q1716" s="20"/>
      <c r="R1716" s="20"/>
      <c r="S1716" s="20"/>
    </row>
    <row r="1717">
      <c r="A1717" s="76" t="s">
        <v>7576</v>
      </c>
      <c r="B1717" s="97">
        <v>46183.0</v>
      </c>
      <c r="C1717" s="76" t="s">
        <v>7577</v>
      </c>
      <c r="D1717" s="99" t="s">
        <v>7578</v>
      </c>
      <c r="E1717" s="25" t="s">
        <v>128</v>
      </c>
      <c r="F1717" s="25" t="s">
        <v>129</v>
      </c>
      <c r="G1717" s="25" t="s">
        <v>29</v>
      </c>
      <c r="H1717" s="49" t="s">
        <v>260</v>
      </c>
      <c r="I1717" s="118">
        <v>46195.0</v>
      </c>
      <c r="J1717" s="76">
        <v>4.0</v>
      </c>
      <c r="K1717" s="46"/>
      <c r="L1717" s="76" t="s">
        <v>7379</v>
      </c>
      <c r="M1717" s="44">
        <v>1.0</v>
      </c>
      <c r="N1717" s="45"/>
      <c r="O1717" s="20"/>
      <c r="P1717" s="20"/>
      <c r="Q1717" s="20"/>
      <c r="R1717" s="20"/>
      <c r="S1717" s="20"/>
    </row>
    <row r="1718">
      <c r="A1718" s="49" t="s">
        <v>7579</v>
      </c>
      <c r="B1718" s="110">
        <v>46183.0</v>
      </c>
      <c r="C1718" s="49" t="s">
        <v>7580</v>
      </c>
      <c r="D1718" s="102" t="s">
        <v>7581</v>
      </c>
      <c r="E1718" s="25" t="s">
        <v>17</v>
      </c>
      <c r="F1718" s="25" t="s">
        <v>129</v>
      </c>
      <c r="G1718" s="25" t="s">
        <v>42</v>
      </c>
      <c r="H1718" s="49" t="s">
        <v>3837</v>
      </c>
      <c r="I1718" s="101">
        <v>46187.0</v>
      </c>
      <c r="J1718" s="49">
        <v>2.0</v>
      </c>
      <c r="K1718" s="30"/>
      <c r="L1718" s="49" t="s">
        <v>7140</v>
      </c>
      <c r="M1718" s="50">
        <v>8.0</v>
      </c>
      <c r="N1718" s="51"/>
      <c r="O1718" s="20"/>
      <c r="P1718" s="20"/>
      <c r="Q1718" s="20"/>
      <c r="R1718" s="20"/>
      <c r="S1718" s="20"/>
    </row>
    <row r="1719">
      <c r="A1719" s="76" t="s">
        <v>7582</v>
      </c>
      <c r="B1719" s="97">
        <v>46183.0</v>
      </c>
      <c r="C1719" s="76" t="s">
        <v>7583</v>
      </c>
      <c r="D1719" s="99" t="s">
        <v>7584</v>
      </c>
      <c r="E1719" s="25" t="s">
        <v>17</v>
      </c>
      <c r="F1719" s="25" t="s">
        <v>18</v>
      </c>
      <c r="G1719" s="25" t="s">
        <v>42</v>
      </c>
      <c r="H1719" s="76" t="s">
        <v>4074</v>
      </c>
      <c r="I1719" s="10"/>
      <c r="J1719" s="76">
        <v>5.0</v>
      </c>
      <c r="K1719" s="46">
        <f>2000000*5</f>
        <v>10000000</v>
      </c>
      <c r="L1719" s="76" t="s">
        <v>1927</v>
      </c>
      <c r="M1719" s="44">
        <v>8.0</v>
      </c>
      <c r="N1719" s="45"/>
      <c r="O1719" s="20"/>
      <c r="P1719" s="20"/>
      <c r="Q1719" s="20"/>
      <c r="R1719" s="20"/>
      <c r="S1719" s="20"/>
    </row>
    <row r="1720">
      <c r="A1720" s="49" t="s">
        <v>7585</v>
      </c>
      <c r="B1720" s="110">
        <v>46183.0</v>
      </c>
      <c r="C1720" s="49" t="s">
        <v>7586</v>
      </c>
      <c r="D1720" s="102" t="s">
        <v>7587</v>
      </c>
      <c r="E1720" s="25" t="s">
        <v>128</v>
      </c>
      <c r="F1720" s="25" t="s">
        <v>18</v>
      </c>
      <c r="G1720" s="25" t="s">
        <v>42</v>
      </c>
      <c r="H1720" s="49" t="s">
        <v>5664</v>
      </c>
      <c r="I1720" s="156">
        <v>46184.0</v>
      </c>
      <c r="J1720" s="49">
        <v>4.0</v>
      </c>
      <c r="K1720" s="30"/>
      <c r="L1720" s="49" t="s">
        <v>7588</v>
      </c>
      <c r="M1720" s="50">
        <v>8.0</v>
      </c>
      <c r="N1720" s="51"/>
      <c r="O1720" s="20"/>
      <c r="P1720" s="20"/>
      <c r="Q1720" s="20"/>
      <c r="R1720" s="20"/>
      <c r="S1720" s="20"/>
    </row>
    <row r="1721">
      <c r="A1721" s="76" t="s">
        <v>7589</v>
      </c>
      <c r="B1721" s="97">
        <v>46183.0</v>
      </c>
      <c r="C1721" s="76" t="s">
        <v>7590</v>
      </c>
      <c r="D1721" s="99" t="s">
        <v>7591</v>
      </c>
      <c r="E1721" s="25" t="s">
        <v>128</v>
      </c>
      <c r="F1721" s="25" t="s">
        <v>18</v>
      </c>
      <c r="G1721" s="25" t="s">
        <v>42</v>
      </c>
      <c r="H1721" s="76" t="s">
        <v>3210</v>
      </c>
      <c r="I1721" s="157">
        <v>46188.0</v>
      </c>
      <c r="J1721" s="76">
        <v>2.0</v>
      </c>
      <c r="K1721" s="46"/>
      <c r="L1721" s="76" t="s">
        <v>840</v>
      </c>
      <c r="M1721" s="44">
        <v>8.0</v>
      </c>
      <c r="N1721" s="45"/>
      <c r="O1721" s="20"/>
      <c r="P1721" s="20"/>
      <c r="Q1721" s="20"/>
      <c r="R1721" s="20"/>
      <c r="S1721" s="20"/>
    </row>
    <row r="1722">
      <c r="A1722" s="49" t="s">
        <v>7592</v>
      </c>
      <c r="B1722" s="110">
        <v>46183.0</v>
      </c>
      <c r="C1722" s="49" t="s">
        <v>7593</v>
      </c>
      <c r="D1722" s="102" t="s">
        <v>7594</v>
      </c>
      <c r="E1722" s="25" t="s">
        <v>128</v>
      </c>
      <c r="F1722" s="25" t="s">
        <v>129</v>
      </c>
      <c r="G1722" s="25" t="s">
        <v>29</v>
      </c>
      <c r="H1722" s="23"/>
      <c r="I1722" s="49" t="s">
        <v>2470</v>
      </c>
      <c r="J1722" s="23"/>
      <c r="K1722" s="30"/>
      <c r="L1722" s="49" t="s">
        <v>7595</v>
      </c>
      <c r="M1722" s="50">
        <v>1.0</v>
      </c>
      <c r="N1722" s="51"/>
      <c r="O1722" s="20"/>
      <c r="P1722" s="20"/>
      <c r="Q1722" s="20"/>
      <c r="R1722" s="20"/>
      <c r="S1722" s="20"/>
    </row>
    <row r="1723">
      <c r="A1723" s="76" t="s">
        <v>7596</v>
      </c>
      <c r="B1723" s="97">
        <v>46183.0</v>
      </c>
      <c r="C1723" s="76" t="s">
        <v>7597</v>
      </c>
      <c r="D1723" s="99" t="s">
        <v>7598</v>
      </c>
      <c r="E1723" s="25" t="s">
        <v>128</v>
      </c>
      <c r="F1723" s="25" t="s">
        <v>129</v>
      </c>
      <c r="G1723" s="25" t="s">
        <v>42</v>
      </c>
      <c r="H1723" s="49" t="s">
        <v>747</v>
      </c>
      <c r="I1723" s="118">
        <v>46229.0</v>
      </c>
      <c r="J1723" s="76">
        <v>2.0</v>
      </c>
      <c r="K1723" s="46"/>
      <c r="L1723" s="76"/>
      <c r="M1723" s="44">
        <v>8.0</v>
      </c>
      <c r="N1723" s="45"/>
      <c r="O1723" s="20"/>
      <c r="P1723" s="20"/>
      <c r="Q1723" s="20"/>
      <c r="R1723" s="20"/>
      <c r="S1723" s="20"/>
    </row>
    <row r="1724">
      <c r="A1724" s="49" t="s">
        <v>7599</v>
      </c>
      <c r="B1724" s="110">
        <v>46183.0</v>
      </c>
      <c r="C1724" s="49" t="s">
        <v>7600</v>
      </c>
      <c r="D1724" s="102" t="s">
        <v>7601</v>
      </c>
      <c r="E1724" s="25" t="s">
        <v>128</v>
      </c>
      <c r="F1724" s="25" t="s">
        <v>129</v>
      </c>
      <c r="G1724" s="25" t="s">
        <v>29</v>
      </c>
      <c r="H1724" s="49" t="s">
        <v>747</v>
      </c>
      <c r="I1724" s="23"/>
      <c r="J1724" s="23"/>
      <c r="K1724" s="30"/>
      <c r="L1724" s="49" t="s">
        <v>7339</v>
      </c>
      <c r="M1724" s="50">
        <v>1.0</v>
      </c>
      <c r="N1724" s="51"/>
      <c r="O1724" s="20"/>
      <c r="P1724" s="20"/>
      <c r="Q1724" s="20"/>
      <c r="R1724" s="20"/>
      <c r="S1724" s="20"/>
    </row>
    <row r="1725">
      <c r="A1725" s="76" t="s">
        <v>7602</v>
      </c>
      <c r="B1725" s="97">
        <v>46183.0</v>
      </c>
      <c r="C1725" s="76" t="s">
        <v>7603</v>
      </c>
      <c r="D1725" s="99" t="s">
        <v>7604</v>
      </c>
      <c r="E1725" s="25" t="s">
        <v>128</v>
      </c>
      <c r="F1725" s="25" t="s">
        <v>18</v>
      </c>
      <c r="G1725" s="25" t="s">
        <v>42</v>
      </c>
      <c r="H1725" s="76" t="s">
        <v>5664</v>
      </c>
      <c r="I1725" s="157">
        <v>46186.0</v>
      </c>
      <c r="J1725" s="76">
        <v>3.0</v>
      </c>
      <c r="K1725" s="46"/>
      <c r="L1725" s="76" t="s">
        <v>174</v>
      </c>
      <c r="M1725" s="44">
        <v>8.0</v>
      </c>
      <c r="N1725" s="45"/>
      <c r="O1725" s="20"/>
      <c r="P1725" s="20"/>
      <c r="Q1725" s="20"/>
      <c r="R1725" s="20"/>
      <c r="S1725" s="20"/>
    </row>
    <row r="1726">
      <c r="A1726" s="49" t="s">
        <v>7605</v>
      </c>
      <c r="B1726" s="110">
        <v>46183.0</v>
      </c>
      <c r="C1726" s="49" t="s">
        <v>7606</v>
      </c>
      <c r="D1726" s="102" t="s">
        <v>7607</v>
      </c>
      <c r="E1726" s="25" t="s">
        <v>128</v>
      </c>
      <c r="F1726" s="25" t="s">
        <v>18</v>
      </c>
      <c r="G1726" s="25" t="s">
        <v>42</v>
      </c>
      <c r="H1726" s="49" t="s">
        <v>4044</v>
      </c>
      <c r="I1726" s="156">
        <v>46203.0</v>
      </c>
      <c r="J1726" s="49">
        <v>4.0</v>
      </c>
      <c r="K1726" s="30"/>
      <c r="L1726" s="49" t="s">
        <v>5392</v>
      </c>
      <c r="M1726" s="50">
        <v>8.0</v>
      </c>
      <c r="N1726" s="51"/>
      <c r="O1726" s="20"/>
      <c r="P1726" s="20"/>
      <c r="Q1726" s="20"/>
      <c r="R1726" s="20"/>
      <c r="S1726" s="20"/>
    </row>
    <row r="1727">
      <c r="A1727" s="76" t="s">
        <v>7608</v>
      </c>
      <c r="B1727" s="97">
        <v>46184.0</v>
      </c>
      <c r="C1727" s="76" t="s">
        <v>7609</v>
      </c>
      <c r="D1727" s="99" t="s">
        <v>7610</v>
      </c>
      <c r="E1727" s="25" t="s">
        <v>17</v>
      </c>
      <c r="F1727" s="25" t="s">
        <v>129</v>
      </c>
      <c r="G1727" s="25" t="s">
        <v>29</v>
      </c>
      <c r="H1727" s="49" t="s">
        <v>747</v>
      </c>
      <c r="I1727" s="118">
        <v>46191.0</v>
      </c>
      <c r="J1727" s="76">
        <v>5.0</v>
      </c>
      <c r="K1727" s="46"/>
      <c r="L1727" s="10"/>
      <c r="M1727" s="44">
        <v>1.0</v>
      </c>
      <c r="N1727" s="45"/>
      <c r="O1727" s="20"/>
      <c r="P1727" s="20"/>
      <c r="Q1727" s="20"/>
      <c r="R1727" s="20"/>
      <c r="S1727" s="20"/>
    </row>
    <row r="1728">
      <c r="A1728" s="49" t="s">
        <v>7611</v>
      </c>
      <c r="B1728" s="110">
        <v>46184.0</v>
      </c>
      <c r="C1728" s="49" t="s">
        <v>7612</v>
      </c>
      <c r="D1728" s="102" t="s">
        <v>7613</v>
      </c>
      <c r="E1728" s="25" t="s">
        <v>17</v>
      </c>
      <c r="F1728" s="25" t="s">
        <v>18</v>
      </c>
      <c r="G1728" s="25" t="s">
        <v>42</v>
      </c>
      <c r="H1728" s="49" t="s">
        <v>6266</v>
      </c>
      <c r="I1728" s="101">
        <v>46188.0</v>
      </c>
      <c r="J1728" s="49">
        <v>4.0</v>
      </c>
      <c r="K1728" s="30">
        <f>640000*4</f>
        <v>2560000</v>
      </c>
      <c r="L1728" s="49" t="s">
        <v>4025</v>
      </c>
      <c r="M1728" s="50">
        <v>8.0</v>
      </c>
      <c r="N1728" s="51"/>
      <c r="O1728" s="20"/>
      <c r="P1728" s="20"/>
      <c r="Q1728" s="20"/>
      <c r="R1728" s="20"/>
      <c r="S1728" s="20"/>
    </row>
    <row r="1729">
      <c r="A1729" s="76" t="s">
        <v>7614</v>
      </c>
      <c r="B1729" s="97">
        <v>46184.0</v>
      </c>
      <c r="C1729" s="76" t="s">
        <v>7615</v>
      </c>
      <c r="D1729" s="99" t="s">
        <v>7616</v>
      </c>
      <c r="E1729" s="25" t="s">
        <v>128</v>
      </c>
      <c r="F1729" s="25" t="s">
        <v>129</v>
      </c>
      <c r="G1729" s="25" t="s">
        <v>29</v>
      </c>
      <c r="H1729" s="49" t="s">
        <v>747</v>
      </c>
      <c r="I1729" s="10"/>
      <c r="J1729" s="10"/>
      <c r="K1729" s="46"/>
      <c r="L1729" s="76" t="s">
        <v>7617</v>
      </c>
      <c r="M1729" s="44">
        <v>1.0</v>
      </c>
      <c r="N1729" s="45"/>
      <c r="O1729" s="20"/>
      <c r="P1729" s="20"/>
      <c r="Q1729" s="20"/>
      <c r="R1729" s="20"/>
      <c r="S1729" s="20"/>
    </row>
    <row r="1730">
      <c r="A1730" s="49" t="s">
        <v>7618</v>
      </c>
      <c r="B1730" s="110">
        <v>46184.0</v>
      </c>
      <c r="C1730" s="49" t="s">
        <v>7619</v>
      </c>
      <c r="D1730" s="102" t="s">
        <v>7620</v>
      </c>
      <c r="E1730" s="25" t="s">
        <v>128</v>
      </c>
      <c r="F1730" s="25" t="s">
        <v>129</v>
      </c>
      <c r="G1730" s="25" t="s">
        <v>42</v>
      </c>
      <c r="H1730" s="49" t="s">
        <v>7621</v>
      </c>
      <c r="I1730" s="101">
        <v>46187.0</v>
      </c>
      <c r="J1730" s="49">
        <v>2.0</v>
      </c>
      <c r="K1730" s="30"/>
      <c r="L1730" s="23"/>
      <c r="M1730" s="50">
        <v>8.0</v>
      </c>
      <c r="N1730" s="51"/>
      <c r="O1730" s="20"/>
      <c r="P1730" s="20"/>
      <c r="Q1730" s="20"/>
      <c r="R1730" s="20"/>
      <c r="S1730" s="20"/>
    </row>
    <row r="1731">
      <c r="A1731" s="76" t="s">
        <v>7622</v>
      </c>
      <c r="B1731" s="97">
        <v>46184.0</v>
      </c>
      <c r="C1731" s="76" t="s">
        <v>7623</v>
      </c>
      <c r="D1731" s="99" t="s">
        <v>7624</v>
      </c>
      <c r="E1731" s="25" t="s">
        <v>17</v>
      </c>
      <c r="F1731" s="25" t="s">
        <v>129</v>
      </c>
      <c r="G1731" s="25" t="s">
        <v>29</v>
      </c>
      <c r="H1731" s="76" t="s">
        <v>7249</v>
      </c>
      <c r="I1731" s="118">
        <v>46195.0</v>
      </c>
      <c r="J1731" s="76">
        <v>3.0</v>
      </c>
      <c r="K1731" s="46"/>
      <c r="L1731" s="76" t="s">
        <v>7250</v>
      </c>
      <c r="M1731" s="44">
        <v>1.0</v>
      </c>
      <c r="N1731" s="45"/>
      <c r="O1731" s="20"/>
      <c r="P1731" s="20"/>
      <c r="Q1731" s="20"/>
      <c r="R1731" s="20"/>
      <c r="S1731" s="20"/>
    </row>
    <row r="1732">
      <c r="A1732" s="49" t="s">
        <v>7625</v>
      </c>
      <c r="B1732" s="110">
        <v>46182.0</v>
      </c>
      <c r="C1732" s="49" t="s">
        <v>7626</v>
      </c>
      <c r="D1732" s="102" t="s">
        <v>7627</v>
      </c>
      <c r="E1732" s="25" t="s">
        <v>122</v>
      </c>
      <c r="F1732" s="25" t="s">
        <v>983</v>
      </c>
      <c r="G1732" s="25" t="s">
        <v>34</v>
      </c>
      <c r="H1732" s="49" t="s">
        <v>6246</v>
      </c>
      <c r="I1732" s="101">
        <v>46198.0</v>
      </c>
      <c r="J1732" s="49">
        <v>8.0</v>
      </c>
      <c r="K1732" s="30">
        <f>1355000*8</f>
        <v>10840000</v>
      </c>
      <c r="L1732" s="49" t="s">
        <v>7628</v>
      </c>
      <c r="M1732" s="50">
        <v>2.0</v>
      </c>
      <c r="N1732" s="51"/>
      <c r="O1732" s="20"/>
      <c r="P1732" s="20"/>
      <c r="Q1732" s="20"/>
      <c r="R1732" s="20"/>
      <c r="S1732" s="20"/>
    </row>
    <row r="1733">
      <c r="A1733" s="76" t="s">
        <v>7629</v>
      </c>
      <c r="B1733" s="97">
        <v>46183.0</v>
      </c>
      <c r="C1733" s="76" t="s">
        <v>7630</v>
      </c>
      <c r="D1733" s="99" t="s">
        <v>7631</v>
      </c>
      <c r="E1733" s="25" t="s">
        <v>17</v>
      </c>
      <c r="F1733" s="25" t="s">
        <v>983</v>
      </c>
      <c r="G1733" s="25" t="s">
        <v>42</v>
      </c>
      <c r="H1733" s="76" t="s">
        <v>5664</v>
      </c>
      <c r="I1733" s="10"/>
      <c r="J1733" s="10"/>
      <c r="K1733" s="46"/>
      <c r="L1733" s="76" t="s">
        <v>7632</v>
      </c>
      <c r="M1733" s="44">
        <v>8.0</v>
      </c>
      <c r="N1733" s="45"/>
      <c r="O1733" s="20"/>
      <c r="P1733" s="20"/>
      <c r="Q1733" s="20"/>
      <c r="R1733" s="20"/>
      <c r="S1733" s="20"/>
    </row>
    <row r="1734">
      <c r="A1734" s="49" t="s">
        <v>7633</v>
      </c>
      <c r="B1734" s="110">
        <v>46183.0</v>
      </c>
      <c r="C1734" s="49" t="s">
        <v>7634</v>
      </c>
      <c r="D1734" s="102" t="s">
        <v>7635</v>
      </c>
      <c r="E1734" s="25" t="s">
        <v>122</v>
      </c>
      <c r="F1734" s="25" t="s">
        <v>983</v>
      </c>
      <c r="G1734" s="25" t="s">
        <v>42</v>
      </c>
      <c r="H1734" s="49" t="s">
        <v>3210</v>
      </c>
      <c r="I1734" s="101">
        <v>46198.0</v>
      </c>
      <c r="J1734" s="49">
        <v>3.0</v>
      </c>
      <c r="K1734" s="30"/>
      <c r="L1734" s="49" t="s">
        <v>326</v>
      </c>
      <c r="M1734" s="50">
        <v>8.0</v>
      </c>
      <c r="N1734" s="51"/>
      <c r="O1734" s="20"/>
      <c r="P1734" s="20"/>
      <c r="Q1734" s="20"/>
      <c r="R1734" s="20"/>
      <c r="S1734" s="20"/>
    </row>
    <row r="1735">
      <c r="A1735" s="76" t="s">
        <v>7636</v>
      </c>
      <c r="B1735" s="97">
        <v>46183.0</v>
      </c>
      <c r="C1735" s="76" t="s">
        <v>2391</v>
      </c>
      <c r="D1735" s="99" t="s">
        <v>7637</v>
      </c>
      <c r="E1735" s="25" t="s">
        <v>122</v>
      </c>
      <c r="F1735" s="25" t="s">
        <v>983</v>
      </c>
      <c r="G1735" s="25" t="s">
        <v>19</v>
      </c>
      <c r="H1735" s="76" t="s">
        <v>4351</v>
      </c>
      <c r="I1735" s="76" t="s">
        <v>7638</v>
      </c>
      <c r="J1735" s="76">
        <v>4.0</v>
      </c>
      <c r="K1735" s="19">
        <v>5800000.0</v>
      </c>
      <c r="L1735" s="76" t="s">
        <v>1803</v>
      </c>
      <c r="M1735" s="44">
        <v>7.0</v>
      </c>
      <c r="N1735" s="45"/>
      <c r="O1735" s="20"/>
      <c r="P1735" s="20"/>
      <c r="Q1735" s="20"/>
      <c r="R1735" s="20"/>
      <c r="S1735" s="20"/>
    </row>
    <row r="1736">
      <c r="A1736" s="49" t="s">
        <v>7639</v>
      </c>
      <c r="B1736" s="110">
        <v>46183.0</v>
      </c>
      <c r="C1736" s="49" t="s">
        <v>7640</v>
      </c>
      <c r="D1736" s="102" t="s">
        <v>7581</v>
      </c>
      <c r="E1736" s="25" t="s">
        <v>122</v>
      </c>
      <c r="F1736" s="25" t="s">
        <v>983</v>
      </c>
      <c r="G1736" s="25" t="s">
        <v>42</v>
      </c>
      <c r="H1736" s="49" t="s">
        <v>7641</v>
      </c>
      <c r="I1736" s="49" t="s">
        <v>7642</v>
      </c>
      <c r="J1736" s="49">
        <v>2.0</v>
      </c>
      <c r="K1736" s="30"/>
      <c r="L1736" s="49" t="s">
        <v>7643</v>
      </c>
      <c r="M1736" s="50">
        <v>8.0</v>
      </c>
      <c r="N1736" s="51"/>
      <c r="O1736" s="20"/>
      <c r="P1736" s="20"/>
      <c r="Q1736" s="20"/>
      <c r="R1736" s="20"/>
      <c r="S1736" s="20"/>
    </row>
    <row r="1737">
      <c r="A1737" s="76" t="s">
        <v>7644</v>
      </c>
      <c r="B1737" s="97">
        <v>46184.0</v>
      </c>
      <c r="C1737" s="76" t="s">
        <v>7645</v>
      </c>
      <c r="D1737" s="99" t="s">
        <v>7646</v>
      </c>
      <c r="E1737" s="25" t="s">
        <v>128</v>
      </c>
      <c r="F1737" s="25" t="s">
        <v>983</v>
      </c>
      <c r="G1737" s="25" t="s">
        <v>42</v>
      </c>
      <c r="H1737" s="76" t="s">
        <v>179</v>
      </c>
      <c r="I1737" s="118">
        <v>46188.0</v>
      </c>
      <c r="J1737" s="76">
        <v>4.0</v>
      </c>
      <c r="K1737" s="46"/>
      <c r="L1737" s="76" t="s">
        <v>840</v>
      </c>
      <c r="M1737" s="44">
        <v>8.0</v>
      </c>
      <c r="N1737" s="45"/>
      <c r="O1737" s="20"/>
      <c r="P1737" s="20"/>
      <c r="Q1737" s="20"/>
      <c r="R1737" s="20"/>
      <c r="S1737" s="20"/>
    </row>
    <row r="1738">
      <c r="A1738" s="49" t="s">
        <v>7647</v>
      </c>
      <c r="B1738" s="110">
        <v>46184.0</v>
      </c>
      <c r="C1738" s="49" t="s">
        <v>7648</v>
      </c>
      <c r="D1738" s="102" t="s">
        <v>7649</v>
      </c>
      <c r="E1738" s="25" t="s">
        <v>122</v>
      </c>
      <c r="F1738" s="25" t="s">
        <v>983</v>
      </c>
      <c r="G1738" s="25" t="s">
        <v>42</v>
      </c>
      <c r="H1738" s="49" t="s">
        <v>3429</v>
      </c>
      <c r="I1738" s="101">
        <v>46192.0</v>
      </c>
      <c r="J1738" s="49">
        <v>2.0</v>
      </c>
      <c r="K1738" s="30">
        <f>3135000</f>
        <v>3135000</v>
      </c>
      <c r="L1738" s="49" t="s">
        <v>7650</v>
      </c>
      <c r="M1738" s="50">
        <v>8.0</v>
      </c>
      <c r="N1738" s="51"/>
      <c r="O1738" s="20"/>
      <c r="P1738" s="20"/>
      <c r="Q1738" s="20"/>
      <c r="R1738" s="20"/>
      <c r="S1738" s="20"/>
    </row>
    <row r="1739">
      <c r="A1739" s="76" t="s">
        <v>7651</v>
      </c>
      <c r="B1739" s="97">
        <v>46184.0</v>
      </c>
      <c r="C1739" s="76" t="s">
        <v>7652</v>
      </c>
      <c r="D1739" s="99" t="s">
        <v>7653</v>
      </c>
      <c r="E1739" s="25" t="s">
        <v>128</v>
      </c>
      <c r="F1739" s="25" t="s">
        <v>983</v>
      </c>
      <c r="G1739" s="25" t="s">
        <v>43</v>
      </c>
      <c r="H1739" s="76" t="s">
        <v>3429</v>
      </c>
      <c r="I1739" s="118">
        <v>46195.0</v>
      </c>
      <c r="J1739" s="76">
        <v>5.0</v>
      </c>
      <c r="K1739" s="46">
        <f>1400000*5</f>
        <v>7000000</v>
      </c>
      <c r="L1739" s="76" t="s">
        <v>5499</v>
      </c>
      <c r="M1739" s="44">
        <v>3.0</v>
      </c>
      <c r="N1739" s="45"/>
      <c r="O1739" s="20"/>
      <c r="P1739" s="20"/>
      <c r="Q1739" s="20"/>
      <c r="R1739" s="20"/>
      <c r="S1739" s="20"/>
    </row>
    <row r="1740">
      <c r="A1740" s="49" t="s">
        <v>7654</v>
      </c>
      <c r="B1740" s="110">
        <v>46184.0</v>
      </c>
      <c r="C1740" s="49" t="s">
        <v>7655</v>
      </c>
      <c r="D1740" s="102" t="s">
        <v>7656</v>
      </c>
      <c r="E1740" s="25" t="s">
        <v>128</v>
      </c>
      <c r="F1740" s="25" t="s">
        <v>129</v>
      </c>
      <c r="G1740" s="25" t="s">
        <v>19</v>
      </c>
      <c r="H1740" s="49" t="s">
        <v>747</v>
      </c>
      <c r="I1740" s="101">
        <v>46191.0</v>
      </c>
      <c r="J1740" s="49">
        <v>2.0</v>
      </c>
      <c r="K1740" s="30">
        <f>SUM(275000*2)</f>
        <v>550000</v>
      </c>
      <c r="L1740" s="49" t="s">
        <v>7097</v>
      </c>
      <c r="M1740" s="50">
        <v>7.0</v>
      </c>
      <c r="N1740" s="51"/>
      <c r="O1740" s="20"/>
      <c r="P1740" s="20"/>
      <c r="Q1740" s="20"/>
      <c r="R1740" s="20"/>
      <c r="S1740" s="20"/>
    </row>
    <row r="1741">
      <c r="A1741" s="76" t="s">
        <v>7657</v>
      </c>
      <c r="B1741" s="97">
        <v>46184.0</v>
      </c>
      <c r="C1741" s="76" t="s">
        <v>7658</v>
      </c>
      <c r="D1741" s="99" t="s">
        <v>7659</v>
      </c>
      <c r="E1741" s="25" t="s">
        <v>869</v>
      </c>
      <c r="F1741" s="25" t="s">
        <v>129</v>
      </c>
      <c r="G1741" s="25" t="s">
        <v>29</v>
      </c>
      <c r="H1741" s="10"/>
      <c r="I1741" s="10"/>
      <c r="J1741" s="10"/>
      <c r="K1741" s="46"/>
      <c r="L1741" s="10"/>
      <c r="M1741" s="44">
        <v>1.0</v>
      </c>
      <c r="N1741" s="45"/>
      <c r="O1741" s="20"/>
      <c r="P1741" s="20"/>
      <c r="Q1741" s="20"/>
      <c r="R1741" s="20"/>
      <c r="S1741" s="20"/>
    </row>
    <row r="1742">
      <c r="A1742" s="49" t="s">
        <v>7660</v>
      </c>
      <c r="B1742" s="110">
        <v>46184.0</v>
      </c>
      <c r="C1742" s="49" t="s">
        <v>7661</v>
      </c>
      <c r="D1742" s="102" t="s">
        <v>7662</v>
      </c>
      <c r="E1742" s="25" t="s">
        <v>128</v>
      </c>
      <c r="F1742" s="25" t="s">
        <v>129</v>
      </c>
      <c r="G1742" s="25" t="s">
        <v>29</v>
      </c>
      <c r="H1742" s="49" t="s">
        <v>7663</v>
      </c>
      <c r="I1742" s="23"/>
      <c r="J1742" s="49">
        <v>2.0</v>
      </c>
      <c r="K1742" s="30"/>
      <c r="L1742" s="23"/>
      <c r="M1742" s="50">
        <v>1.0</v>
      </c>
      <c r="N1742" s="51"/>
      <c r="O1742" s="20"/>
      <c r="P1742" s="20"/>
      <c r="Q1742" s="20"/>
      <c r="R1742" s="20"/>
      <c r="S1742" s="20"/>
    </row>
    <row r="1743">
      <c r="A1743" s="76" t="s">
        <v>7664</v>
      </c>
      <c r="B1743" s="97">
        <v>46184.0</v>
      </c>
      <c r="C1743" s="76" t="s">
        <v>7665</v>
      </c>
      <c r="D1743" s="99" t="s">
        <v>7666</v>
      </c>
      <c r="E1743" s="25" t="s">
        <v>128</v>
      </c>
      <c r="F1743" s="25" t="s">
        <v>129</v>
      </c>
      <c r="G1743" s="25" t="s">
        <v>29</v>
      </c>
      <c r="H1743" s="76" t="s">
        <v>3904</v>
      </c>
      <c r="I1743" s="10"/>
      <c r="J1743" s="129">
        <v>46083.0</v>
      </c>
      <c r="K1743" s="46"/>
      <c r="L1743" s="76"/>
      <c r="M1743" s="44">
        <v>1.0</v>
      </c>
      <c r="N1743" s="45"/>
      <c r="O1743" s="20"/>
      <c r="P1743" s="20"/>
      <c r="Q1743" s="20"/>
      <c r="R1743" s="20"/>
      <c r="S1743" s="20"/>
    </row>
    <row r="1744">
      <c r="A1744" s="49" t="s">
        <v>7667</v>
      </c>
      <c r="B1744" s="110">
        <v>46184.0</v>
      </c>
      <c r="C1744" s="49" t="s">
        <v>7668</v>
      </c>
      <c r="D1744" s="102" t="s">
        <v>7669</v>
      </c>
      <c r="E1744" s="25" t="s">
        <v>17</v>
      </c>
      <c r="F1744" s="25" t="s">
        <v>129</v>
      </c>
      <c r="G1744" s="25" t="s">
        <v>29</v>
      </c>
      <c r="H1744" s="23"/>
      <c r="I1744" s="23"/>
      <c r="J1744" s="23"/>
      <c r="K1744" s="30"/>
      <c r="L1744" s="76" t="s">
        <v>7542</v>
      </c>
      <c r="M1744" s="50">
        <v>1.0</v>
      </c>
      <c r="N1744" s="51"/>
      <c r="O1744" s="20"/>
      <c r="P1744" s="20"/>
      <c r="Q1744" s="20"/>
      <c r="R1744" s="20"/>
      <c r="S1744" s="20"/>
    </row>
    <row r="1745">
      <c r="A1745" s="76" t="s">
        <v>7670</v>
      </c>
      <c r="B1745" s="97">
        <v>46184.0</v>
      </c>
      <c r="C1745" s="76" t="s">
        <v>7671</v>
      </c>
      <c r="D1745" s="99" t="s">
        <v>7672</v>
      </c>
      <c r="E1745" s="25" t="s">
        <v>128</v>
      </c>
      <c r="F1745" s="25" t="s">
        <v>129</v>
      </c>
      <c r="G1745" s="25" t="s">
        <v>29</v>
      </c>
      <c r="H1745" s="10"/>
      <c r="I1745" s="10"/>
      <c r="J1745" s="10"/>
      <c r="K1745" s="46"/>
      <c r="L1745" s="76" t="s">
        <v>7673</v>
      </c>
      <c r="M1745" s="44">
        <v>1.0</v>
      </c>
      <c r="N1745" s="45"/>
      <c r="O1745" s="20"/>
      <c r="P1745" s="20"/>
      <c r="Q1745" s="20"/>
      <c r="R1745" s="20"/>
      <c r="S1745" s="20"/>
    </row>
    <row r="1746">
      <c r="A1746" s="49" t="s">
        <v>7674</v>
      </c>
      <c r="B1746" s="110">
        <v>46184.0</v>
      </c>
      <c r="C1746" s="49" t="s">
        <v>4625</v>
      </c>
      <c r="D1746" s="102" t="s">
        <v>7675</v>
      </c>
      <c r="E1746" s="25" t="s">
        <v>128</v>
      </c>
      <c r="F1746" s="25" t="s">
        <v>129</v>
      </c>
      <c r="G1746" s="25" t="s">
        <v>42</v>
      </c>
      <c r="H1746" s="23"/>
      <c r="I1746" s="23"/>
      <c r="J1746" s="23"/>
      <c r="K1746" s="30"/>
      <c r="L1746" s="49" t="s">
        <v>7676</v>
      </c>
      <c r="M1746" s="50">
        <v>8.0</v>
      </c>
      <c r="N1746" s="51"/>
      <c r="O1746" s="20"/>
      <c r="P1746" s="20"/>
      <c r="Q1746" s="20"/>
      <c r="R1746" s="20"/>
      <c r="S1746" s="20"/>
    </row>
    <row r="1747">
      <c r="A1747" s="76" t="s">
        <v>7677</v>
      </c>
      <c r="B1747" s="97">
        <v>46185.0</v>
      </c>
      <c r="C1747" s="76" t="s">
        <v>7678</v>
      </c>
      <c r="D1747" s="99" t="s">
        <v>7679</v>
      </c>
      <c r="E1747" s="25" t="s">
        <v>1877</v>
      </c>
      <c r="F1747" s="25" t="s">
        <v>129</v>
      </c>
      <c r="G1747" s="25" t="s">
        <v>29</v>
      </c>
      <c r="H1747" s="76" t="s">
        <v>4074</v>
      </c>
      <c r="I1747" s="76" t="s">
        <v>7680</v>
      </c>
      <c r="J1747" s="76">
        <v>2.0</v>
      </c>
      <c r="K1747" s="46"/>
      <c r="L1747" s="76" t="s">
        <v>2947</v>
      </c>
      <c r="M1747" s="44">
        <v>1.0</v>
      </c>
      <c r="N1747" s="45"/>
      <c r="O1747" s="20"/>
      <c r="P1747" s="20"/>
      <c r="Q1747" s="20"/>
      <c r="R1747" s="20"/>
      <c r="S1747" s="20"/>
    </row>
    <row r="1748">
      <c r="A1748" s="49" t="s">
        <v>7681</v>
      </c>
      <c r="B1748" s="110">
        <v>46185.0</v>
      </c>
      <c r="C1748" s="49" t="s">
        <v>7682</v>
      </c>
      <c r="D1748" s="102" t="s">
        <v>7683</v>
      </c>
      <c r="E1748" s="25" t="s">
        <v>128</v>
      </c>
      <c r="F1748" s="25" t="s">
        <v>129</v>
      </c>
      <c r="G1748" s="25" t="s">
        <v>42</v>
      </c>
      <c r="H1748" s="49" t="s">
        <v>3966</v>
      </c>
      <c r="I1748" s="101">
        <v>46186.0</v>
      </c>
      <c r="J1748" s="49">
        <v>2.0</v>
      </c>
      <c r="K1748" s="30"/>
      <c r="L1748" s="49" t="s">
        <v>783</v>
      </c>
      <c r="M1748" s="50">
        <v>8.0</v>
      </c>
      <c r="N1748" s="51"/>
      <c r="O1748" s="20"/>
      <c r="P1748" s="20"/>
      <c r="Q1748" s="20"/>
      <c r="R1748" s="20"/>
      <c r="S1748" s="20"/>
    </row>
    <row r="1749">
      <c r="A1749" s="76" t="s">
        <v>7684</v>
      </c>
      <c r="B1749" s="97">
        <v>46184.0</v>
      </c>
      <c r="C1749" s="76" t="s">
        <v>7685</v>
      </c>
      <c r="D1749" s="99" t="s">
        <v>7686</v>
      </c>
      <c r="E1749" s="25" t="s">
        <v>17</v>
      </c>
      <c r="F1749" s="25" t="s">
        <v>18</v>
      </c>
      <c r="G1749" s="25" t="s">
        <v>42</v>
      </c>
      <c r="H1749" s="76" t="s">
        <v>5658</v>
      </c>
      <c r="I1749" s="10"/>
      <c r="J1749" s="10"/>
      <c r="K1749" s="46"/>
      <c r="L1749" s="76" t="s">
        <v>4347</v>
      </c>
      <c r="M1749" s="44">
        <v>8.0</v>
      </c>
      <c r="N1749" s="45"/>
      <c r="O1749" s="20"/>
      <c r="P1749" s="20"/>
      <c r="Q1749" s="20"/>
      <c r="R1749" s="20"/>
      <c r="S1749" s="20"/>
    </row>
    <row r="1750">
      <c r="A1750" s="49" t="s">
        <v>7687</v>
      </c>
      <c r="B1750" s="110">
        <v>46184.0</v>
      </c>
      <c r="C1750" s="49" t="s">
        <v>7688</v>
      </c>
      <c r="D1750" s="102" t="s">
        <v>7689</v>
      </c>
      <c r="E1750" s="25" t="s">
        <v>17</v>
      </c>
      <c r="F1750" s="25" t="s">
        <v>18</v>
      </c>
      <c r="G1750" s="25" t="s">
        <v>19</v>
      </c>
      <c r="H1750" s="49" t="s">
        <v>4074</v>
      </c>
      <c r="I1750" s="49" t="s">
        <v>7690</v>
      </c>
      <c r="J1750" s="136">
        <v>46303.0</v>
      </c>
      <c r="K1750" s="30"/>
      <c r="L1750" s="23"/>
      <c r="M1750" s="50">
        <v>7.0</v>
      </c>
      <c r="N1750" s="51"/>
      <c r="O1750" s="20"/>
      <c r="P1750" s="20"/>
      <c r="Q1750" s="20"/>
      <c r="R1750" s="20"/>
      <c r="S1750" s="20"/>
    </row>
    <row r="1751">
      <c r="A1751" s="76" t="s">
        <v>7691</v>
      </c>
      <c r="B1751" s="97">
        <v>46184.0</v>
      </c>
      <c r="C1751" s="76" t="s">
        <v>7692</v>
      </c>
      <c r="D1751" s="99" t="s">
        <v>7693</v>
      </c>
      <c r="E1751" s="25" t="s">
        <v>128</v>
      </c>
      <c r="F1751" s="25" t="s">
        <v>18</v>
      </c>
      <c r="G1751" s="25" t="s">
        <v>42</v>
      </c>
      <c r="H1751" s="76" t="s">
        <v>5664</v>
      </c>
      <c r="I1751" s="10"/>
      <c r="J1751" s="76">
        <v>6.0</v>
      </c>
      <c r="K1751" s="46"/>
      <c r="L1751" s="76" t="s">
        <v>840</v>
      </c>
      <c r="M1751" s="44">
        <v>8.0</v>
      </c>
      <c r="N1751" s="45"/>
      <c r="O1751" s="20"/>
      <c r="P1751" s="20"/>
      <c r="Q1751" s="20"/>
      <c r="R1751" s="20"/>
      <c r="S1751" s="20"/>
    </row>
    <row r="1752">
      <c r="A1752" s="49" t="s">
        <v>7694</v>
      </c>
      <c r="B1752" s="110">
        <v>46184.0</v>
      </c>
      <c r="C1752" s="49" t="s">
        <v>7695</v>
      </c>
      <c r="D1752" s="102" t="s">
        <v>7696</v>
      </c>
      <c r="E1752" s="25" t="s">
        <v>122</v>
      </c>
      <c r="F1752" s="25" t="s">
        <v>18</v>
      </c>
      <c r="G1752" s="25" t="s">
        <v>19</v>
      </c>
      <c r="H1752" s="49" t="s">
        <v>2462</v>
      </c>
      <c r="I1752" s="49" t="s">
        <v>7697</v>
      </c>
      <c r="J1752" s="49">
        <v>6.0</v>
      </c>
      <c r="K1752" s="30"/>
      <c r="L1752" s="49" t="s">
        <v>2130</v>
      </c>
      <c r="M1752" s="50">
        <v>7.0</v>
      </c>
      <c r="N1752" s="51"/>
      <c r="O1752" s="20"/>
      <c r="P1752" s="20"/>
      <c r="Q1752" s="20"/>
      <c r="R1752" s="20"/>
      <c r="S1752" s="20"/>
    </row>
    <row r="1753">
      <c r="A1753" s="76" t="s">
        <v>7698</v>
      </c>
      <c r="B1753" s="97">
        <v>46185.0</v>
      </c>
      <c r="C1753" s="76" t="s">
        <v>7699</v>
      </c>
      <c r="D1753" s="99" t="s">
        <v>7700</v>
      </c>
      <c r="E1753" s="25" t="s">
        <v>128</v>
      </c>
      <c r="F1753" s="25" t="s">
        <v>18</v>
      </c>
      <c r="G1753" s="25" t="s">
        <v>29</v>
      </c>
      <c r="H1753" s="10"/>
      <c r="I1753" s="10"/>
      <c r="J1753" s="10"/>
      <c r="K1753" s="46"/>
      <c r="L1753" s="76" t="s">
        <v>3868</v>
      </c>
      <c r="M1753" s="44">
        <v>1.0</v>
      </c>
      <c r="N1753" s="45"/>
      <c r="O1753" s="20"/>
      <c r="P1753" s="20"/>
      <c r="Q1753" s="20"/>
      <c r="R1753" s="20"/>
      <c r="S1753" s="20"/>
    </row>
    <row r="1754">
      <c r="A1754" s="49" t="s">
        <v>7701</v>
      </c>
      <c r="B1754" s="110">
        <v>46181.0</v>
      </c>
      <c r="C1754" s="49" t="s">
        <v>7702</v>
      </c>
      <c r="D1754" s="102" t="s">
        <v>7703</v>
      </c>
      <c r="E1754" s="25" t="s">
        <v>128</v>
      </c>
      <c r="F1754" s="25" t="s">
        <v>18</v>
      </c>
      <c r="G1754" s="25" t="s">
        <v>42</v>
      </c>
      <c r="H1754" s="49" t="s">
        <v>3210</v>
      </c>
      <c r="I1754" s="23"/>
      <c r="J1754" s="49">
        <v>2.0</v>
      </c>
      <c r="K1754" s="30"/>
      <c r="L1754" s="49" t="s">
        <v>840</v>
      </c>
      <c r="M1754" s="50">
        <v>8.0</v>
      </c>
      <c r="N1754" s="51"/>
      <c r="O1754" s="20"/>
      <c r="P1754" s="20"/>
      <c r="Q1754" s="20"/>
      <c r="R1754" s="20"/>
      <c r="S1754" s="20"/>
    </row>
    <row r="1755">
      <c r="A1755" s="76" t="s">
        <v>7704</v>
      </c>
      <c r="B1755" s="97">
        <v>46185.0</v>
      </c>
      <c r="C1755" s="76" t="s">
        <v>7705</v>
      </c>
      <c r="D1755" s="99" t="s">
        <v>7706</v>
      </c>
      <c r="E1755" s="25" t="s">
        <v>128</v>
      </c>
      <c r="F1755" s="25" t="s">
        <v>18</v>
      </c>
      <c r="G1755" s="25" t="s">
        <v>19</v>
      </c>
      <c r="H1755" s="76" t="s">
        <v>5473</v>
      </c>
      <c r="I1755" s="76" t="s">
        <v>5307</v>
      </c>
      <c r="J1755" s="76">
        <v>2.0</v>
      </c>
      <c r="K1755" s="19">
        <v>500000.0</v>
      </c>
      <c r="L1755" s="76" t="s">
        <v>7707</v>
      </c>
      <c r="M1755" s="44">
        <v>7.0</v>
      </c>
      <c r="N1755" s="45"/>
      <c r="O1755" s="20"/>
      <c r="P1755" s="20"/>
      <c r="Q1755" s="20"/>
      <c r="R1755" s="20"/>
      <c r="S1755" s="20"/>
    </row>
    <row r="1756">
      <c r="A1756" s="49" t="s">
        <v>7708</v>
      </c>
      <c r="B1756" s="110">
        <v>46185.0</v>
      </c>
      <c r="C1756" s="49" t="s">
        <v>7709</v>
      </c>
      <c r="D1756" s="102" t="s">
        <v>7710</v>
      </c>
      <c r="E1756" s="25" t="s">
        <v>17</v>
      </c>
      <c r="F1756" s="25" t="s">
        <v>129</v>
      </c>
      <c r="G1756" s="25" t="s">
        <v>19</v>
      </c>
      <c r="H1756" s="49" t="s">
        <v>7711</v>
      </c>
      <c r="I1756" s="101">
        <v>46259.0</v>
      </c>
      <c r="J1756" s="49">
        <v>7.0</v>
      </c>
      <c r="K1756" s="30">
        <f>SUM(466000*7)</f>
        <v>3262000</v>
      </c>
      <c r="L1756" s="49" t="s">
        <v>7712</v>
      </c>
      <c r="M1756" s="50">
        <v>7.0</v>
      </c>
      <c r="N1756" s="51"/>
      <c r="O1756" s="20"/>
      <c r="P1756" s="20"/>
      <c r="Q1756" s="20"/>
      <c r="R1756" s="20"/>
      <c r="S1756" s="20"/>
    </row>
    <row r="1757">
      <c r="A1757" s="76" t="s">
        <v>7713</v>
      </c>
      <c r="B1757" s="97">
        <v>46185.0</v>
      </c>
      <c r="C1757" s="76" t="s">
        <v>7714</v>
      </c>
      <c r="D1757" s="99" t="s">
        <v>7715</v>
      </c>
      <c r="E1757" s="25" t="s">
        <v>128</v>
      </c>
      <c r="F1757" s="25" t="s">
        <v>18</v>
      </c>
      <c r="G1757" s="25" t="s">
        <v>42</v>
      </c>
      <c r="H1757" s="76" t="s">
        <v>2462</v>
      </c>
      <c r="I1757" s="76" t="s">
        <v>7716</v>
      </c>
      <c r="J1757" s="76">
        <v>2.0</v>
      </c>
      <c r="K1757" s="46"/>
      <c r="L1757" s="76" t="s">
        <v>6101</v>
      </c>
      <c r="M1757" s="44">
        <v>8.0</v>
      </c>
      <c r="N1757" s="45"/>
      <c r="O1757" s="20"/>
      <c r="P1757" s="20"/>
      <c r="Q1757" s="20"/>
      <c r="R1757" s="20"/>
      <c r="S1757" s="20"/>
    </row>
    <row r="1758">
      <c r="A1758" s="49" t="s">
        <v>7717</v>
      </c>
      <c r="B1758" s="110">
        <v>46185.0</v>
      </c>
      <c r="C1758" s="49" t="s">
        <v>7718</v>
      </c>
      <c r="D1758" s="102" t="s">
        <v>7719</v>
      </c>
      <c r="E1758" s="25" t="s">
        <v>128</v>
      </c>
      <c r="F1758" s="25" t="s">
        <v>18</v>
      </c>
      <c r="G1758" s="25" t="s">
        <v>42</v>
      </c>
      <c r="H1758" s="49" t="s">
        <v>4074</v>
      </c>
      <c r="I1758" s="49" t="s">
        <v>7720</v>
      </c>
      <c r="J1758" s="49">
        <v>21.0</v>
      </c>
      <c r="K1758" s="30"/>
      <c r="L1758" s="49" t="s">
        <v>7721</v>
      </c>
      <c r="M1758" s="50">
        <v>8.0</v>
      </c>
      <c r="N1758" s="51"/>
      <c r="O1758" s="20"/>
      <c r="P1758" s="20"/>
      <c r="Q1758" s="20"/>
      <c r="R1758" s="20"/>
      <c r="S1758" s="20"/>
    </row>
    <row r="1759">
      <c r="A1759" s="76" t="s">
        <v>7722</v>
      </c>
      <c r="B1759" s="97">
        <v>46185.0</v>
      </c>
      <c r="C1759" s="76" t="s">
        <v>7723</v>
      </c>
      <c r="D1759" s="99" t="s">
        <v>7724</v>
      </c>
      <c r="E1759" s="25" t="s">
        <v>122</v>
      </c>
      <c r="F1759" s="25" t="s">
        <v>983</v>
      </c>
      <c r="G1759" s="25" t="s">
        <v>42</v>
      </c>
      <c r="H1759" s="76" t="s">
        <v>7725</v>
      </c>
      <c r="I1759" s="118">
        <v>46186.0</v>
      </c>
      <c r="J1759" s="76">
        <v>2.0</v>
      </c>
      <c r="K1759" s="46">
        <f>1535000*2</f>
        <v>3070000</v>
      </c>
      <c r="L1759" s="76" t="s">
        <v>326</v>
      </c>
      <c r="M1759" s="44">
        <v>8.0</v>
      </c>
      <c r="N1759" s="45"/>
      <c r="O1759" s="20"/>
      <c r="P1759" s="20"/>
      <c r="Q1759" s="20"/>
      <c r="R1759" s="20"/>
      <c r="S1759" s="20"/>
    </row>
    <row r="1760">
      <c r="A1760" s="49" t="s">
        <v>7726</v>
      </c>
      <c r="B1760" s="110">
        <v>46185.0</v>
      </c>
      <c r="C1760" s="49" t="s">
        <v>7727</v>
      </c>
      <c r="D1760" s="102" t="s">
        <v>7728</v>
      </c>
      <c r="E1760" s="25" t="s">
        <v>128</v>
      </c>
      <c r="F1760" s="25" t="s">
        <v>129</v>
      </c>
      <c r="G1760" s="25" t="s">
        <v>19</v>
      </c>
      <c r="H1760" s="49" t="s">
        <v>747</v>
      </c>
      <c r="I1760" s="101">
        <v>46186.0</v>
      </c>
      <c r="J1760" s="49">
        <v>5.0</v>
      </c>
      <c r="K1760" s="30">
        <f>SUM(275000*J1760)</f>
        <v>1375000</v>
      </c>
      <c r="L1760" s="49" t="s">
        <v>5849</v>
      </c>
      <c r="M1760" s="50">
        <v>7.0</v>
      </c>
      <c r="N1760" s="51"/>
      <c r="O1760" s="20"/>
      <c r="P1760" s="20"/>
      <c r="Q1760" s="20"/>
      <c r="R1760" s="20"/>
      <c r="S1760" s="20"/>
    </row>
    <row r="1761">
      <c r="A1761" s="76" t="s">
        <v>7729</v>
      </c>
      <c r="B1761" s="97">
        <v>46185.0</v>
      </c>
      <c r="C1761" s="76" t="s">
        <v>7730</v>
      </c>
      <c r="D1761" s="99" t="s">
        <v>7731</v>
      </c>
      <c r="E1761" s="25" t="s">
        <v>128</v>
      </c>
      <c r="F1761" s="25" t="s">
        <v>129</v>
      </c>
      <c r="G1761" s="25" t="s">
        <v>19</v>
      </c>
      <c r="H1761" s="49" t="s">
        <v>2166</v>
      </c>
      <c r="I1761" s="118">
        <v>46186.0</v>
      </c>
      <c r="J1761" s="76">
        <v>2.0</v>
      </c>
      <c r="K1761" s="19">
        <v>500000.0</v>
      </c>
      <c r="L1761" s="76" t="s">
        <v>5849</v>
      </c>
      <c r="M1761" s="44">
        <v>7.0</v>
      </c>
      <c r="N1761" s="45"/>
      <c r="O1761" s="20"/>
      <c r="P1761" s="20"/>
      <c r="Q1761" s="20"/>
      <c r="R1761" s="20"/>
      <c r="S1761" s="20"/>
    </row>
    <row r="1762">
      <c r="A1762" s="49" t="s">
        <v>7732</v>
      </c>
      <c r="B1762" s="110">
        <v>46185.0</v>
      </c>
      <c r="C1762" s="49" t="s">
        <v>7733</v>
      </c>
      <c r="D1762" s="102" t="s">
        <v>7734</v>
      </c>
      <c r="E1762" s="25" t="s">
        <v>17</v>
      </c>
      <c r="F1762" s="25" t="s">
        <v>129</v>
      </c>
      <c r="G1762" s="25" t="s">
        <v>29</v>
      </c>
      <c r="H1762" s="49" t="s">
        <v>3966</v>
      </c>
      <c r="I1762" s="23"/>
      <c r="J1762" s="23"/>
      <c r="K1762" s="30"/>
      <c r="L1762" s="49" t="s">
        <v>7735</v>
      </c>
      <c r="M1762" s="50">
        <v>1.0</v>
      </c>
      <c r="N1762" s="51"/>
      <c r="O1762" s="20"/>
      <c r="P1762" s="20"/>
      <c r="Q1762" s="20"/>
      <c r="R1762" s="20"/>
      <c r="S1762" s="20"/>
    </row>
    <row r="1763">
      <c r="A1763" s="76" t="s">
        <v>7736</v>
      </c>
      <c r="B1763" s="97">
        <v>46185.0</v>
      </c>
      <c r="C1763" s="76" t="s">
        <v>7737</v>
      </c>
      <c r="D1763" s="99" t="s">
        <v>7738</v>
      </c>
      <c r="E1763" s="25" t="s">
        <v>128</v>
      </c>
      <c r="F1763" s="25" t="s">
        <v>129</v>
      </c>
      <c r="G1763" s="25" t="s">
        <v>42</v>
      </c>
      <c r="H1763" s="49" t="s">
        <v>747</v>
      </c>
      <c r="I1763" s="118">
        <v>46187.0</v>
      </c>
      <c r="J1763" s="76">
        <v>6.0</v>
      </c>
      <c r="K1763" s="46"/>
      <c r="L1763" s="10"/>
      <c r="M1763" s="44">
        <v>8.0</v>
      </c>
      <c r="N1763" s="45"/>
      <c r="O1763" s="20"/>
      <c r="P1763" s="20"/>
      <c r="Q1763" s="20"/>
      <c r="R1763" s="20"/>
      <c r="S1763" s="20"/>
    </row>
    <row r="1764">
      <c r="A1764" s="49" t="s">
        <v>7739</v>
      </c>
      <c r="B1764" s="110">
        <v>46188.0</v>
      </c>
      <c r="C1764" s="49" t="s">
        <v>7740</v>
      </c>
      <c r="D1764" s="102" t="s">
        <v>7741</v>
      </c>
      <c r="E1764" s="25" t="s">
        <v>17</v>
      </c>
      <c r="F1764" s="25" t="s">
        <v>129</v>
      </c>
      <c r="G1764" s="25" t="s">
        <v>19</v>
      </c>
      <c r="H1764" s="49" t="s">
        <v>2166</v>
      </c>
      <c r="I1764" s="101">
        <v>46189.0</v>
      </c>
      <c r="J1764" s="49">
        <v>1.0</v>
      </c>
      <c r="K1764" s="36">
        <v>250000.0</v>
      </c>
      <c r="L1764" s="49" t="s">
        <v>6194</v>
      </c>
      <c r="M1764" s="50">
        <v>7.0</v>
      </c>
      <c r="N1764" s="51"/>
      <c r="O1764" s="20"/>
      <c r="P1764" s="20"/>
      <c r="Q1764" s="20"/>
      <c r="R1764" s="20"/>
      <c r="S1764" s="20"/>
    </row>
    <row r="1765">
      <c r="A1765" s="76" t="s">
        <v>7742</v>
      </c>
      <c r="B1765" s="97">
        <v>46186.0</v>
      </c>
      <c r="C1765" s="76" t="s">
        <v>7743</v>
      </c>
      <c r="D1765" s="99" t="s">
        <v>7744</v>
      </c>
      <c r="E1765" s="25" t="s">
        <v>17</v>
      </c>
      <c r="F1765" s="25" t="s">
        <v>129</v>
      </c>
      <c r="G1765" s="25" t="s">
        <v>29</v>
      </c>
      <c r="H1765" s="76" t="s">
        <v>823</v>
      </c>
      <c r="I1765" s="10"/>
      <c r="J1765" s="10"/>
      <c r="K1765" s="46"/>
      <c r="L1765" s="10"/>
      <c r="M1765" s="44">
        <v>1.0</v>
      </c>
      <c r="N1765" s="45"/>
      <c r="O1765" s="20"/>
      <c r="P1765" s="20"/>
      <c r="Q1765" s="20"/>
      <c r="R1765" s="20"/>
      <c r="S1765" s="20"/>
    </row>
    <row r="1766">
      <c r="A1766" s="49" t="s">
        <v>7745</v>
      </c>
      <c r="B1766" s="110">
        <v>46186.0</v>
      </c>
      <c r="C1766" s="49" t="s">
        <v>7746</v>
      </c>
      <c r="D1766" s="102" t="s">
        <v>7747</v>
      </c>
      <c r="E1766" s="25" t="s">
        <v>128</v>
      </c>
      <c r="F1766" s="25" t="s">
        <v>129</v>
      </c>
      <c r="G1766" s="25" t="s">
        <v>19</v>
      </c>
      <c r="H1766" s="49" t="s">
        <v>116</v>
      </c>
      <c r="I1766" s="101">
        <v>46200.0</v>
      </c>
      <c r="J1766" s="49">
        <v>5.0</v>
      </c>
      <c r="K1766" s="30">
        <f>SUM(1550000*5)</f>
        <v>7750000</v>
      </c>
      <c r="L1766" s="49" t="s">
        <v>6194</v>
      </c>
      <c r="M1766" s="50">
        <v>7.0</v>
      </c>
      <c r="N1766" s="51"/>
      <c r="O1766" s="20"/>
      <c r="P1766" s="20"/>
      <c r="Q1766" s="20"/>
      <c r="R1766" s="20"/>
      <c r="S1766" s="20"/>
    </row>
    <row r="1767">
      <c r="A1767" s="76" t="s">
        <v>7748</v>
      </c>
      <c r="B1767" s="97">
        <v>46186.0</v>
      </c>
      <c r="C1767" s="76" t="s">
        <v>7749</v>
      </c>
      <c r="D1767" s="99" t="s">
        <v>7750</v>
      </c>
      <c r="E1767" s="25" t="s">
        <v>17</v>
      </c>
      <c r="F1767" s="25" t="s">
        <v>129</v>
      </c>
      <c r="G1767" s="25" t="s">
        <v>19</v>
      </c>
      <c r="H1767" s="76" t="s">
        <v>3837</v>
      </c>
      <c r="I1767" s="118">
        <v>46211.0</v>
      </c>
      <c r="J1767" s="76">
        <v>2.0</v>
      </c>
      <c r="K1767" s="46">
        <f>SUM(3597000*2)</f>
        <v>7194000</v>
      </c>
      <c r="L1767" s="76" t="s">
        <v>7557</v>
      </c>
      <c r="M1767" s="44">
        <v>7.0</v>
      </c>
      <c r="N1767" s="45"/>
      <c r="O1767" s="20"/>
      <c r="P1767" s="20"/>
      <c r="Q1767" s="20"/>
      <c r="R1767" s="20"/>
      <c r="S1767" s="20"/>
    </row>
    <row r="1768">
      <c r="A1768" s="49" t="s">
        <v>7751</v>
      </c>
      <c r="B1768" s="110">
        <v>46185.0</v>
      </c>
      <c r="C1768" s="49" t="s">
        <v>4369</v>
      </c>
      <c r="D1768" s="102" t="s">
        <v>7752</v>
      </c>
      <c r="E1768" s="25" t="s">
        <v>17</v>
      </c>
      <c r="F1768" s="25" t="s">
        <v>18</v>
      </c>
      <c r="G1768" s="25" t="s">
        <v>42</v>
      </c>
      <c r="H1768" s="49" t="s">
        <v>3210</v>
      </c>
      <c r="I1768" s="156">
        <v>46205.0</v>
      </c>
      <c r="J1768" s="49">
        <v>2.0</v>
      </c>
      <c r="K1768" s="30"/>
      <c r="L1768" s="49" t="s">
        <v>840</v>
      </c>
      <c r="M1768" s="50">
        <v>8.0</v>
      </c>
      <c r="N1768" s="51"/>
      <c r="O1768" s="20"/>
      <c r="P1768" s="20"/>
      <c r="Q1768" s="20"/>
      <c r="R1768" s="20"/>
      <c r="S1768" s="20"/>
    </row>
    <row r="1769">
      <c r="A1769" s="76" t="s">
        <v>7753</v>
      </c>
      <c r="B1769" s="97">
        <v>46185.0</v>
      </c>
      <c r="C1769" s="76" t="s">
        <v>7754</v>
      </c>
      <c r="D1769" s="99" t="s">
        <v>7755</v>
      </c>
      <c r="E1769" s="25" t="s">
        <v>17</v>
      </c>
      <c r="F1769" s="25" t="s">
        <v>18</v>
      </c>
      <c r="G1769" s="25" t="s">
        <v>42</v>
      </c>
      <c r="H1769" s="76" t="s">
        <v>2327</v>
      </c>
      <c r="I1769" s="118">
        <v>46186.0</v>
      </c>
      <c r="J1769" s="10"/>
      <c r="K1769" s="46"/>
      <c r="L1769" s="76" t="s">
        <v>4347</v>
      </c>
      <c r="M1769" s="44">
        <v>8.0</v>
      </c>
      <c r="N1769" s="45"/>
      <c r="O1769" s="20"/>
      <c r="P1769" s="20"/>
      <c r="Q1769" s="20"/>
      <c r="R1769" s="20"/>
      <c r="S1769" s="20"/>
    </row>
    <row r="1770">
      <c r="A1770" s="49" t="s">
        <v>7756</v>
      </c>
      <c r="B1770" s="110">
        <v>46185.0</v>
      </c>
      <c r="C1770" s="49" t="s">
        <v>7757</v>
      </c>
      <c r="D1770" s="102" t="s">
        <v>7758</v>
      </c>
      <c r="E1770" s="25" t="s">
        <v>17</v>
      </c>
      <c r="F1770" s="25" t="s">
        <v>18</v>
      </c>
      <c r="G1770" s="25" t="s">
        <v>29</v>
      </c>
      <c r="H1770" s="49" t="s">
        <v>2462</v>
      </c>
      <c r="I1770" s="49" t="s">
        <v>4827</v>
      </c>
      <c r="J1770" s="49">
        <v>3.0</v>
      </c>
      <c r="K1770" s="30"/>
      <c r="L1770" s="49" t="s">
        <v>7759</v>
      </c>
      <c r="M1770" s="50">
        <v>1.0</v>
      </c>
      <c r="N1770" s="51"/>
      <c r="O1770" s="20"/>
      <c r="P1770" s="20"/>
      <c r="Q1770" s="20"/>
      <c r="R1770" s="20"/>
      <c r="S1770" s="20"/>
    </row>
    <row r="1771">
      <c r="A1771" s="76" t="s">
        <v>7760</v>
      </c>
      <c r="B1771" s="97">
        <v>46185.0</v>
      </c>
      <c r="C1771" s="76" t="s">
        <v>7761</v>
      </c>
      <c r="D1771" s="99" t="s">
        <v>7731</v>
      </c>
      <c r="E1771" s="25" t="s">
        <v>128</v>
      </c>
      <c r="F1771" s="25" t="s">
        <v>18</v>
      </c>
      <c r="G1771" s="25" t="s">
        <v>42</v>
      </c>
      <c r="H1771" s="76" t="s">
        <v>6065</v>
      </c>
      <c r="I1771" s="157">
        <v>46185.0</v>
      </c>
      <c r="J1771" s="76">
        <v>2.0</v>
      </c>
      <c r="K1771" s="46"/>
      <c r="L1771" s="76" t="s">
        <v>7762</v>
      </c>
      <c r="M1771" s="44">
        <v>8.0</v>
      </c>
      <c r="N1771" s="45"/>
      <c r="O1771" s="20"/>
      <c r="P1771" s="20"/>
      <c r="Q1771" s="20"/>
      <c r="R1771" s="20"/>
      <c r="S1771" s="20"/>
    </row>
    <row r="1772">
      <c r="A1772" s="49" t="s">
        <v>7763</v>
      </c>
      <c r="B1772" s="110">
        <v>46181.0</v>
      </c>
      <c r="C1772" s="49" t="s">
        <v>7764</v>
      </c>
      <c r="D1772" s="102" t="s">
        <v>7765</v>
      </c>
      <c r="E1772" s="25" t="s">
        <v>128</v>
      </c>
      <c r="F1772" s="25" t="s">
        <v>18</v>
      </c>
      <c r="G1772" s="25" t="s">
        <v>42</v>
      </c>
      <c r="H1772" s="49" t="s">
        <v>2462</v>
      </c>
      <c r="I1772" s="49" t="s">
        <v>7766</v>
      </c>
      <c r="J1772" s="49">
        <v>30.0</v>
      </c>
      <c r="K1772" s="30"/>
      <c r="L1772" s="49" t="s">
        <v>5504</v>
      </c>
      <c r="M1772" s="50">
        <v>8.0</v>
      </c>
      <c r="N1772" s="51"/>
      <c r="O1772" s="20"/>
      <c r="P1772" s="20"/>
      <c r="Q1772" s="20"/>
      <c r="R1772" s="20"/>
      <c r="S1772" s="20"/>
    </row>
    <row r="1773">
      <c r="A1773" s="76" t="s">
        <v>7767</v>
      </c>
      <c r="B1773" s="97">
        <v>46186.0</v>
      </c>
      <c r="C1773" s="76" t="s">
        <v>7768</v>
      </c>
      <c r="D1773" s="99" t="s">
        <v>7769</v>
      </c>
      <c r="E1773" s="25" t="s">
        <v>17</v>
      </c>
      <c r="F1773" s="25" t="s">
        <v>18</v>
      </c>
      <c r="G1773" s="25" t="s">
        <v>42</v>
      </c>
      <c r="H1773" s="10"/>
      <c r="I1773" s="10"/>
      <c r="J1773" s="76">
        <v>4.0</v>
      </c>
      <c r="K1773" s="46"/>
      <c r="L1773" s="76" t="s">
        <v>3133</v>
      </c>
      <c r="M1773" s="44">
        <v>8.0</v>
      </c>
      <c r="N1773" s="45"/>
      <c r="O1773" s="20"/>
      <c r="P1773" s="20"/>
      <c r="Q1773" s="20"/>
      <c r="R1773" s="20"/>
      <c r="S1773" s="20"/>
    </row>
    <row r="1774">
      <c r="A1774" s="49" t="s">
        <v>7770</v>
      </c>
      <c r="B1774" s="110">
        <v>46186.0</v>
      </c>
      <c r="C1774" s="49" t="s">
        <v>7771</v>
      </c>
      <c r="D1774" s="102" t="s">
        <v>7772</v>
      </c>
      <c r="E1774" s="25" t="s">
        <v>17</v>
      </c>
      <c r="F1774" s="25" t="s">
        <v>18</v>
      </c>
      <c r="G1774" s="25" t="s">
        <v>42</v>
      </c>
      <c r="H1774" s="49" t="s">
        <v>260</v>
      </c>
      <c r="I1774" s="49" t="s">
        <v>7773</v>
      </c>
      <c r="J1774" s="23"/>
      <c r="K1774" s="30"/>
      <c r="L1774" s="49" t="s">
        <v>3133</v>
      </c>
      <c r="M1774" s="50">
        <v>8.0</v>
      </c>
      <c r="N1774" s="51"/>
      <c r="O1774" s="20"/>
      <c r="P1774" s="20"/>
      <c r="Q1774" s="20"/>
      <c r="R1774" s="20"/>
      <c r="S1774" s="20"/>
    </row>
    <row r="1775">
      <c r="A1775" s="76" t="s">
        <v>7774</v>
      </c>
      <c r="B1775" s="97">
        <v>46186.0</v>
      </c>
      <c r="C1775" s="76" t="s">
        <v>7775</v>
      </c>
      <c r="D1775" s="99" t="s">
        <v>7776</v>
      </c>
      <c r="E1775" s="25" t="s">
        <v>128</v>
      </c>
      <c r="F1775" s="25" t="s">
        <v>18</v>
      </c>
      <c r="G1775" s="25" t="s">
        <v>42</v>
      </c>
      <c r="H1775" s="76" t="s">
        <v>7777</v>
      </c>
      <c r="I1775" s="157">
        <v>46189.0</v>
      </c>
      <c r="J1775" s="76">
        <v>3.0</v>
      </c>
      <c r="K1775" s="46"/>
      <c r="L1775" s="76" t="s">
        <v>3493</v>
      </c>
      <c r="M1775" s="44">
        <v>8.0</v>
      </c>
      <c r="N1775" s="45"/>
      <c r="O1775" s="20"/>
      <c r="P1775" s="20"/>
      <c r="Q1775" s="20"/>
      <c r="R1775" s="20"/>
      <c r="S1775" s="20"/>
    </row>
    <row r="1776">
      <c r="A1776" s="49" t="s">
        <v>7778</v>
      </c>
      <c r="B1776" s="110">
        <v>46182.0</v>
      </c>
      <c r="C1776" s="49" t="s">
        <v>7779</v>
      </c>
      <c r="D1776" s="102" t="s">
        <v>7780</v>
      </c>
      <c r="E1776" s="25" t="s">
        <v>17</v>
      </c>
      <c r="F1776" s="25" t="s">
        <v>18</v>
      </c>
      <c r="G1776" s="25" t="s">
        <v>42</v>
      </c>
      <c r="H1776" s="49" t="s">
        <v>5927</v>
      </c>
      <c r="I1776" s="101">
        <v>46189.0</v>
      </c>
      <c r="J1776" s="49">
        <v>7.0</v>
      </c>
      <c r="K1776" s="30">
        <f>430000*7</f>
        <v>3010000</v>
      </c>
      <c r="L1776" s="49" t="s">
        <v>1927</v>
      </c>
      <c r="M1776" s="50">
        <v>8.0</v>
      </c>
      <c r="N1776" s="51"/>
      <c r="O1776" s="20"/>
      <c r="P1776" s="20"/>
      <c r="Q1776" s="20"/>
      <c r="R1776" s="20"/>
      <c r="S1776" s="20"/>
    </row>
    <row r="1777">
      <c r="A1777" s="76" t="s">
        <v>7781</v>
      </c>
      <c r="B1777" s="97">
        <v>46186.0</v>
      </c>
      <c r="C1777" s="76" t="s">
        <v>7782</v>
      </c>
      <c r="D1777" s="99" t="s">
        <v>7783</v>
      </c>
      <c r="E1777" s="25" t="s">
        <v>128</v>
      </c>
      <c r="F1777" s="25" t="s">
        <v>18</v>
      </c>
      <c r="G1777" s="25" t="s">
        <v>42</v>
      </c>
      <c r="H1777" s="76" t="s">
        <v>2462</v>
      </c>
      <c r="I1777" s="76" t="s">
        <v>7784</v>
      </c>
      <c r="J1777" s="76">
        <v>2.0</v>
      </c>
      <c r="K1777" s="46"/>
      <c r="L1777" s="76"/>
      <c r="M1777" s="44">
        <v>8.0</v>
      </c>
      <c r="N1777" s="45"/>
      <c r="O1777" s="20"/>
      <c r="P1777" s="20"/>
      <c r="Q1777" s="20"/>
      <c r="R1777" s="20"/>
      <c r="S1777" s="20"/>
    </row>
    <row r="1778">
      <c r="A1778" s="49" t="s">
        <v>7785</v>
      </c>
      <c r="B1778" s="110">
        <v>46186.0</v>
      </c>
      <c r="C1778" s="49" t="s">
        <v>7786</v>
      </c>
      <c r="D1778" s="102" t="s">
        <v>7787</v>
      </c>
      <c r="E1778" s="25" t="s">
        <v>128</v>
      </c>
      <c r="F1778" s="25" t="s">
        <v>129</v>
      </c>
      <c r="G1778" s="25" t="s">
        <v>29</v>
      </c>
      <c r="H1778" s="49" t="s">
        <v>116</v>
      </c>
      <c r="I1778" s="49" t="s">
        <v>7788</v>
      </c>
      <c r="J1778" s="49">
        <v>31.0</v>
      </c>
      <c r="K1778" s="30"/>
      <c r="L1778" s="23"/>
      <c r="M1778" s="50">
        <v>1.0</v>
      </c>
      <c r="N1778" s="51"/>
      <c r="O1778" s="20"/>
      <c r="P1778" s="20"/>
      <c r="Q1778" s="20"/>
      <c r="R1778" s="20"/>
      <c r="S1778" s="20"/>
    </row>
    <row r="1779">
      <c r="A1779" s="76" t="s">
        <v>7789</v>
      </c>
      <c r="B1779" s="97">
        <v>46186.0</v>
      </c>
      <c r="C1779" s="76" t="s">
        <v>7790</v>
      </c>
      <c r="D1779" s="99" t="s">
        <v>7791</v>
      </c>
      <c r="E1779" s="25" t="s">
        <v>128</v>
      </c>
      <c r="F1779" s="25" t="s">
        <v>129</v>
      </c>
      <c r="G1779" s="25" t="s">
        <v>19</v>
      </c>
      <c r="H1779" s="49" t="s">
        <v>260</v>
      </c>
      <c r="I1779" s="118">
        <v>46214.0</v>
      </c>
      <c r="J1779" s="76">
        <v>2.0</v>
      </c>
      <c r="K1779" s="19">
        <v>3200000.0</v>
      </c>
      <c r="L1779" s="76" t="s">
        <v>6194</v>
      </c>
      <c r="M1779" s="44">
        <v>7.0</v>
      </c>
      <c r="N1779" s="45"/>
      <c r="O1779" s="20"/>
      <c r="P1779" s="20"/>
      <c r="Q1779" s="20"/>
      <c r="R1779" s="20"/>
      <c r="S1779" s="20"/>
    </row>
    <row r="1780">
      <c r="A1780" s="49" t="s">
        <v>7792</v>
      </c>
      <c r="B1780" s="110">
        <v>46186.0</v>
      </c>
      <c r="C1780" s="49" t="s">
        <v>7793</v>
      </c>
      <c r="D1780" s="102" t="s">
        <v>7794</v>
      </c>
      <c r="E1780" s="25" t="s">
        <v>122</v>
      </c>
      <c r="F1780" s="25" t="s">
        <v>129</v>
      </c>
      <c r="G1780" s="25" t="s">
        <v>29</v>
      </c>
      <c r="H1780" s="49" t="s">
        <v>7795</v>
      </c>
      <c r="I1780" s="49" t="s">
        <v>7796</v>
      </c>
      <c r="J1780" s="49">
        <v>2.0</v>
      </c>
      <c r="K1780" s="30"/>
      <c r="L1780" s="49" t="s">
        <v>2029</v>
      </c>
      <c r="M1780" s="50">
        <v>1.0</v>
      </c>
      <c r="N1780" s="51"/>
      <c r="O1780" s="20"/>
      <c r="P1780" s="20"/>
      <c r="Q1780" s="20"/>
      <c r="R1780" s="20"/>
      <c r="S1780" s="20"/>
    </row>
    <row r="1781">
      <c r="A1781" s="76" t="s">
        <v>7797</v>
      </c>
      <c r="B1781" s="97">
        <v>46186.0</v>
      </c>
      <c r="C1781" s="76" t="s">
        <v>7798</v>
      </c>
      <c r="D1781" s="99" t="s">
        <v>7799</v>
      </c>
      <c r="E1781" s="25" t="s">
        <v>1877</v>
      </c>
      <c r="F1781" s="25" t="s">
        <v>129</v>
      </c>
      <c r="G1781" s="25" t="s">
        <v>19</v>
      </c>
      <c r="H1781" s="49" t="s">
        <v>747</v>
      </c>
      <c r="I1781" s="118">
        <v>46215.0</v>
      </c>
      <c r="J1781" s="76">
        <v>6.0</v>
      </c>
      <c r="K1781" s="46">
        <f>SUM(275000*6)</f>
        <v>1650000</v>
      </c>
      <c r="L1781" s="76" t="s">
        <v>6194</v>
      </c>
      <c r="M1781" s="44">
        <v>7.0</v>
      </c>
      <c r="N1781" s="45"/>
      <c r="O1781" s="20"/>
      <c r="P1781" s="20"/>
      <c r="Q1781" s="20"/>
      <c r="R1781" s="20"/>
      <c r="S1781" s="20"/>
    </row>
    <row r="1782">
      <c r="A1782" s="49" t="s">
        <v>7800</v>
      </c>
      <c r="B1782" s="110">
        <v>46187.0</v>
      </c>
      <c r="C1782" s="49" t="s">
        <v>7801</v>
      </c>
      <c r="D1782" s="102" t="s">
        <v>7802</v>
      </c>
      <c r="E1782" s="25" t="s">
        <v>122</v>
      </c>
      <c r="F1782" s="25" t="s">
        <v>983</v>
      </c>
      <c r="G1782" s="25" t="s">
        <v>34</v>
      </c>
      <c r="H1782" s="49" t="s">
        <v>5888</v>
      </c>
      <c r="I1782" s="101">
        <v>46255.0</v>
      </c>
      <c r="J1782" s="49">
        <v>8.0</v>
      </c>
      <c r="K1782" s="30">
        <f>1140000*8</f>
        <v>9120000</v>
      </c>
      <c r="L1782" s="49" t="s">
        <v>7803</v>
      </c>
      <c r="M1782" s="50">
        <v>2.0</v>
      </c>
      <c r="N1782" s="51"/>
      <c r="O1782" s="20"/>
      <c r="P1782" s="20"/>
      <c r="Q1782" s="20"/>
      <c r="R1782" s="20"/>
      <c r="S1782" s="20"/>
    </row>
    <row r="1783">
      <c r="A1783" s="76" t="s">
        <v>7804</v>
      </c>
      <c r="B1783" s="97">
        <v>46186.0</v>
      </c>
      <c r="C1783" s="76" t="s">
        <v>7805</v>
      </c>
      <c r="D1783" s="99" t="s">
        <v>7806</v>
      </c>
      <c r="E1783" s="25" t="s">
        <v>128</v>
      </c>
      <c r="F1783" s="25" t="s">
        <v>129</v>
      </c>
      <c r="G1783" s="25" t="s">
        <v>19</v>
      </c>
      <c r="H1783" s="49" t="s">
        <v>747</v>
      </c>
      <c r="I1783" s="118">
        <v>46201.0</v>
      </c>
      <c r="J1783" s="76">
        <v>5.0</v>
      </c>
      <c r="K1783" s="46">
        <f>SUM(275000*5)</f>
        <v>1375000</v>
      </c>
      <c r="L1783" s="76" t="s">
        <v>7807</v>
      </c>
      <c r="M1783" s="44">
        <v>7.0</v>
      </c>
      <c r="N1783" s="45"/>
      <c r="O1783" s="20"/>
      <c r="P1783" s="20"/>
      <c r="Q1783" s="20"/>
      <c r="R1783" s="20"/>
      <c r="S1783" s="20"/>
    </row>
    <row r="1784">
      <c r="A1784" s="49" t="s">
        <v>7808</v>
      </c>
      <c r="B1784" s="110">
        <v>46187.0</v>
      </c>
      <c r="C1784" s="49" t="s">
        <v>7809</v>
      </c>
      <c r="D1784" s="102" t="s">
        <v>7810</v>
      </c>
      <c r="E1784" s="25" t="s">
        <v>128</v>
      </c>
      <c r="F1784" s="25" t="s">
        <v>983</v>
      </c>
      <c r="G1784" s="25" t="s">
        <v>42</v>
      </c>
      <c r="H1784" s="23"/>
      <c r="I1784" s="23"/>
      <c r="J1784" s="23"/>
      <c r="K1784" s="30"/>
      <c r="L1784" s="49" t="s">
        <v>7811</v>
      </c>
      <c r="M1784" s="50">
        <v>8.0</v>
      </c>
      <c r="N1784" s="51"/>
      <c r="O1784" s="20"/>
      <c r="P1784" s="20"/>
      <c r="Q1784" s="20"/>
      <c r="R1784" s="20"/>
      <c r="S1784" s="20"/>
    </row>
    <row r="1785">
      <c r="A1785" s="76" t="s">
        <v>7812</v>
      </c>
      <c r="B1785" s="97">
        <v>46187.0</v>
      </c>
      <c r="C1785" s="76" t="s">
        <v>1817</v>
      </c>
      <c r="D1785" s="99" t="s">
        <v>7813</v>
      </c>
      <c r="E1785" s="25" t="s">
        <v>17</v>
      </c>
      <c r="F1785" s="25" t="s">
        <v>18</v>
      </c>
      <c r="G1785" s="25" t="s">
        <v>42</v>
      </c>
      <c r="H1785" s="76" t="s">
        <v>2462</v>
      </c>
      <c r="I1785" s="157">
        <v>46195.0</v>
      </c>
      <c r="J1785" s="10"/>
      <c r="K1785" s="46"/>
      <c r="L1785" s="76" t="s">
        <v>840</v>
      </c>
      <c r="M1785" s="44">
        <v>8.0</v>
      </c>
      <c r="N1785" s="45"/>
      <c r="O1785" s="20"/>
      <c r="P1785" s="20"/>
      <c r="Q1785" s="20"/>
      <c r="R1785" s="20"/>
      <c r="S1785" s="20"/>
    </row>
    <row r="1786">
      <c r="A1786" s="49" t="s">
        <v>7814</v>
      </c>
      <c r="B1786" s="110">
        <v>46187.0</v>
      </c>
      <c r="C1786" s="49" t="s">
        <v>7815</v>
      </c>
      <c r="D1786" s="102" t="s">
        <v>7816</v>
      </c>
      <c r="E1786" s="25" t="s">
        <v>128</v>
      </c>
      <c r="F1786" s="25" t="s">
        <v>18</v>
      </c>
      <c r="G1786" s="25" t="s">
        <v>42</v>
      </c>
      <c r="H1786" s="49" t="s">
        <v>2462</v>
      </c>
      <c r="I1786" s="156">
        <v>46188.0</v>
      </c>
      <c r="J1786" s="49">
        <v>1.0</v>
      </c>
      <c r="K1786" s="30"/>
      <c r="L1786" s="49" t="s">
        <v>4025</v>
      </c>
      <c r="M1786" s="50">
        <v>8.0</v>
      </c>
      <c r="N1786" s="51"/>
      <c r="O1786" s="20"/>
      <c r="P1786" s="20"/>
      <c r="Q1786" s="20"/>
      <c r="R1786" s="20"/>
      <c r="S1786" s="20"/>
    </row>
    <row r="1787">
      <c r="A1787" s="76" t="s">
        <v>7288</v>
      </c>
      <c r="B1787" s="97">
        <v>46187.0</v>
      </c>
      <c r="C1787" s="76" t="s">
        <v>7817</v>
      </c>
      <c r="D1787" s="99" t="s">
        <v>7818</v>
      </c>
      <c r="E1787" s="25" t="s">
        <v>122</v>
      </c>
      <c r="F1787" s="25" t="s">
        <v>983</v>
      </c>
      <c r="G1787" s="25" t="s">
        <v>49</v>
      </c>
      <c r="H1787" s="76" t="s">
        <v>4663</v>
      </c>
      <c r="I1787" s="118">
        <v>46190.0</v>
      </c>
      <c r="J1787" s="76">
        <v>2.0</v>
      </c>
      <c r="K1787" s="46">
        <f>550000*2</f>
        <v>1100000</v>
      </c>
      <c r="L1787" s="76" t="s">
        <v>7819</v>
      </c>
      <c r="M1787" s="44">
        <v>4.0</v>
      </c>
      <c r="N1787" s="45"/>
      <c r="O1787" s="20"/>
      <c r="P1787" s="20"/>
      <c r="Q1787" s="20"/>
      <c r="R1787" s="20"/>
      <c r="S1787" s="20"/>
    </row>
    <row r="1788">
      <c r="A1788" s="49" t="s">
        <v>7820</v>
      </c>
      <c r="B1788" s="110">
        <v>46187.0</v>
      </c>
      <c r="C1788" s="49" t="s">
        <v>930</v>
      </c>
      <c r="D1788" s="102" t="s">
        <v>7821</v>
      </c>
      <c r="E1788" s="25" t="s">
        <v>128</v>
      </c>
      <c r="F1788" s="25" t="s">
        <v>18</v>
      </c>
      <c r="G1788" s="25" t="s">
        <v>42</v>
      </c>
      <c r="H1788" s="49" t="s">
        <v>172</v>
      </c>
      <c r="I1788" s="156">
        <v>46212.0</v>
      </c>
      <c r="J1788" s="23"/>
      <c r="K1788" s="30"/>
      <c r="L1788" s="49" t="s">
        <v>840</v>
      </c>
      <c r="M1788" s="50">
        <v>8.0</v>
      </c>
      <c r="N1788" s="51"/>
      <c r="O1788" s="20"/>
      <c r="P1788" s="20"/>
      <c r="Q1788" s="20"/>
      <c r="R1788" s="20"/>
      <c r="S1788" s="20"/>
    </row>
    <row r="1789">
      <c r="A1789" s="76" t="s">
        <v>7822</v>
      </c>
      <c r="B1789" s="97">
        <v>46187.0</v>
      </c>
      <c r="C1789" s="76" t="s">
        <v>7823</v>
      </c>
      <c r="D1789" s="99" t="s">
        <v>7824</v>
      </c>
      <c r="E1789" s="25" t="s">
        <v>128</v>
      </c>
      <c r="F1789" s="25" t="s">
        <v>18</v>
      </c>
      <c r="G1789" s="25" t="s">
        <v>42</v>
      </c>
      <c r="H1789" s="10"/>
      <c r="I1789" s="10"/>
      <c r="J1789" s="10"/>
      <c r="K1789" s="46"/>
      <c r="L1789" s="76" t="s">
        <v>3133</v>
      </c>
      <c r="M1789" s="44">
        <v>8.0</v>
      </c>
      <c r="N1789" s="45"/>
      <c r="O1789" s="20"/>
      <c r="P1789" s="20"/>
      <c r="Q1789" s="20"/>
      <c r="R1789" s="20"/>
      <c r="S1789" s="20"/>
    </row>
    <row r="1790">
      <c r="A1790" s="49" t="s">
        <v>7825</v>
      </c>
      <c r="B1790" s="110">
        <v>46187.0</v>
      </c>
      <c r="C1790" s="49" t="s">
        <v>7826</v>
      </c>
      <c r="D1790" s="102" t="s">
        <v>7827</v>
      </c>
      <c r="E1790" s="25" t="s">
        <v>122</v>
      </c>
      <c r="F1790" s="25" t="s">
        <v>983</v>
      </c>
      <c r="G1790" s="25" t="s">
        <v>42</v>
      </c>
      <c r="H1790" s="49" t="s">
        <v>2327</v>
      </c>
      <c r="I1790" s="101">
        <v>46203.0</v>
      </c>
      <c r="J1790" s="49">
        <v>3.0</v>
      </c>
      <c r="K1790" s="30">
        <f>367000*3</f>
        <v>1101000</v>
      </c>
      <c r="L1790" s="49" t="s">
        <v>7828</v>
      </c>
      <c r="M1790" s="50">
        <v>8.0</v>
      </c>
      <c r="N1790" s="51"/>
      <c r="O1790" s="20"/>
      <c r="P1790" s="20"/>
      <c r="Q1790" s="20"/>
      <c r="R1790" s="20"/>
      <c r="S1790" s="20"/>
    </row>
    <row r="1791">
      <c r="A1791" s="76" t="s">
        <v>7829</v>
      </c>
      <c r="B1791" s="97">
        <v>46187.0</v>
      </c>
      <c r="C1791" s="76" t="s">
        <v>7830</v>
      </c>
      <c r="D1791" s="99" t="s">
        <v>7831</v>
      </c>
      <c r="E1791" s="25" t="s">
        <v>128</v>
      </c>
      <c r="F1791" s="25" t="s">
        <v>129</v>
      </c>
      <c r="G1791" s="25" t="s">
        <v>29</v>
      </c>
      <c r="H1791" s="49" t="s">
        <v>4018</v>
      </c>
      <c r="I1791" s="118">
        <v>46200.0</v>
      </c>
      <c r="J1791" s="76">
        <v>4.0</v>
      </c>
      <c r="K1791" s="46"/>
      <c r="L1791" s="76" t="s">
        <v>2947</v>
      </c>
      <c r="M1791" s="44">
        <v>1.0</v>
      </c>
      <c r="N1791" s="45"/>
      <c r="O1791" s="20"/>
      <c r="P1791" s="20"/>
      <c r="Q1791" s="20"/>
      <c r="R1791" s="20"/>
      <c r="S1791" s="20"/>
    </row>
    <row r="1792">
      <c r="A1792" s="49" t="s">
        <v>7832</v>
      </c>
      <c r="B1792" s="110">
        <v>46187.0</v>
      </c>
      <c r="C1792" s="49" t="s">
        <v>7833</v>
      </c>
      <c r="D1792" s="102" t="s">
        <v>7834</v>
      </c>
      <c r="E1792" s="25" t="s">
        <v>128</v>
      </c>
      <c r="F1792" s="25" t="s">
        <v>129</v>
      </c>
      <c r="G1792" s="25" t="s">
        <v>29</v>
      </c>
      <c r="H1792" s="49" t="s">
        <v>172</v>
      </c>
      <c r="I1792" s="23"/>
      <c r="J1792" s="49">
        <v>4.0</v>
      </c>
      <c r="K1792" s="30"/>
      <c r="L1792" s="49" t="s">
        <v>7835</v>
      </c>
      <c r="M1792" s="50">
        <v>1.0</v>
      </c>
      <c r="N1792" s="51"/>
      <c r="O1792" s="20"/>
      <c r="P1792" s="20"/>
      <c r="Q1792" s="20"/>
      <c r="R1792" s="20"/>
      <c r="S1792" s="20"/>
    </row>
    <row r="1793">
      <c r="A1793" s="76" t="s">
        <v>7836</v>
      </c>
      <c r="B1793" s="97">
        <v>46187.0</v>
      </c>
      <c r="C1793" s="76" t="s">
        <v>7837</v>
      </c>
      <c r="D1793" s="99" t="s">
        <v>7838</v>
      </c>
      <c r="E1793" s="25" t="s">
        <v>1877</v>
      </c>
      <c r="F1793" s="25" t="s">
        <v>129</v>
      </c>
      <c r="G1793" s="25" t="s">
        <v>29</v>
      </c>
      <c r="H1793" s="49" t="s">
        <v>2166</v>
      </c>
      <c r="I1793" s="118">
        <v>46200.0</v>
      </c>
      <c r="J1793" s="76">
        <v>2.0</v>
      </c>
      <c r="K1793" s="46"/>
      <c r="L1793" s="76" t="s">
        <v>5392</v>
      </c>
      <c r="M1793" s="44">
        <v>1.0</v>
      </c>
      <c r="N1793" s="45"/>
      <c r="O1793" s="20"/>
      <c r="P1793" s="20"/>
      <c r="Q1793" s="20"/>
      <c r="R1793" s="20"/>
      <c r="S1793" s="20"/>
    </row>
    <row r="1794">
      <c r="A1794" s="49" t="s">
        <v>7839</v>
      </c>
      <c r="B1794" s="110">
        <v>46187.0</v>
      </c>
      <c r="C1794" s="49" t="s">
        <v>7840</v>
      </c>
      <c r="D1794" s="102" t="s">
        <v>7841</v>
      </c>
      <c r="E1794" s="25" t="s">
        <v>122</v>
      </c>
      <c r="F1794" s="25" t="s">
        <v>983</v>
      </c>
      <c r="G1794" s="25" t="s">
        <v>19</v>
      </c>
      <c r="H1794" s="49" t="s">
        <v>6266</v>
      </c>
      <c r="I1794" s="101">
        <v>46203.0</v>
      </c>
      <c r="J1794" s="49">
        <v>2.0</v>
      </c>
      <c r="K1794" s="30">
        <f>1008000*2</f>
        <v>2016000</v>
      </c>
      <c r="L1794" s="49" t="s">
        <v>985</v>
      </c>
      <c r="M1794" s="50">
        <v>7.0</v>
      </c>
      <c r="N1794" s="51"/>
      <c r="O1794" s="20"/>
      <c r="P1794" s="20"/>
      <c r="Q1794" s="20"/>
      <c r="R1794" s="20"/>
      <c r="S1794" s="20"/>
    </row>
    <row r="1795">
      <c r="A1795" s="76" t="s">
        <v>7842</v>
      </c>
      <c r="B1795" s="97">
        <v>46188.0</v>
      </c>
      <c r="C1795" s="76" t="s">
        <v>7843</v>
      </c>
      <c r="D1795" s="99" t="s">
        <v>7844</v>
      </c>
      <c r="E1795" s="25" t="s">
        <v>17</v>
      </c>
      <c r="F1795" s="25" t="s">
        <v>983</v>
      </c>
      <c r="G1795" s="25" t="s">
        <v>34</v>
      </c>
      <c r="H1795" s="76" t="s">
        <v>2462</v>
      </c>
      <c r="I1795" s="118">
        <v>46203.0</v>
      </c>
      <c r="J1795" s="76">
        <v>4.0</v>
      </c>
      <c r="K1795" s="46"/>
      <c r="L1795" s="76" t="s">
        <v>6506</v>
      </c>
      <c r="M1795" s="44">
        <v>2.0</v>
      </c>
      <c r="N1795" s="45"/>
      <c r="O1795" s="20"/>
      <c r="P1795" s="20"/>
      <c r="Q1795" s="20"/>
      <c r="R1795" s="20"/>
      <c r="S1795" s="20"/>
    </row>
    <row r="1796">
      <c r="A1796" s="49" t="s">
        <v>7845</v>
      </c>
      <c r="B1796" s="110">
        <v>46187.0</v>
      </c>
      <c r="C1796" s="49" t="s">
        <v>7846</v>
      </c>
      <c r="D1796" s="102" t="s">
        <v>7847</v>
      </c>
      <c r="E1796" s="25" t="s">
        <v>128</v>
      </c>
      <c r="F1796" s="25" t="s">
        <v>18</v>
      </c>
      <c r="G1796" s="25" t="s">
        <v>42</v>
      </c>
      <c r="H1796" s="49" t="s">
        <v>7848</v>
      </c>
      <c r="I1796" s="156">
        <v>46208.0</v>
      </c>
      <c r="J1796" s="49">
        <v>4.0</v>
      </c>
      <c r="K1796" s="30"/>
      <c r="L1796" s="23"/>
      <c r="M1796" s="50">
        <v>8.0</v>
      </c>
      <c r="N1796" s="51"/>
      <c r="O1796" s="20"/>
      <c r="P1796" s="20"/>
      <c r="Q1796" s="20"/>
      <c r="R1796" s="20"/>
      <c r="S1796" s="20"/>
    </row>
    <row r="1797">
      <c r="A1797" s="76" t="s">
        <v>7849</v>
      </c>
      <c r="B1797" s="97">
        <v>46187.0</v>
      </c>
      <c r="C1797" s="76" t="s">
        <v>987</v>
      </c>
      <c r="D1797" s="99" t="s">
        <v>7850</v>
      </c>
      <c r="E1797" s="25" t="s">
        <v>128</v>
      </c>
      <c r="F1797" s="25" t="s">
        <v>18</v>
      </c>
      <c r="G1797" s="25" t="s">
        <v>42</v>
      </c>
      <c r="H1797" s="10"/>
      <c r="I1797" s="10"/>
      <c r="J1797" s="10"/>
      <c r="K1797" s="46"/>
      <c r="L1797" s="10"/>
      <c r="M1797" s="44">
        <v>8.0</v>
      </c>
      <c r="N1797" s="45"/>
      <c r="O1797" s="20"/>
      <c r="P1797" s="20"/>
      <c r="Q1797" s="20"/>
      <c r="R1797" s="20"/>
      <c r="S1797" s="20"/>
    </row>
    <row r="1798">
      <c r="A1798" s="49" t="s">
        <v>7851</v>
      </c>
      <c r="B1798" s="110">
        <v>46187.0</v>
      </c>
      <c r="C1798" s="49" t="s">
        <v>7852</v>
      </c>
      <c r="D1798" s="102" t="s">
        <v>7853</v>
      </c>
      <c r="E1798" s="25" t="s">
        <v>17</v>
      </c>
      <c r="F1798" s="25" t="s">
        <v>18</v>
      </c>
      <c r="G1798" s="25" t="s">
        <v>19</v>
      </c>
      <c r="H1798" s="49" t="s">
        <v>2462</v>
      </c>
      <c r="I1798" s="156">
        <v>46192.0</v>
      </c>
      <c r="J1798" s="23"/>
      <c r="K1798" s="30"/>
      <c r="L1798" s="23"/>
      <c r="M1798" s="50">
        <v>7.0</v>
      </c>
      <c r="N1798" s="51"/>
      <c r="O1798" s="20"/>
      <c r="P1798" s="20"/>
      <c r="Q1798" s="20"/>
      <c r="R1798" s="20"/>
      <c r="S1798" s="20"/>
    </row>
    <row r="1799">
      <c r="A1799" s="76" t="s">
        <v>7854</v>
      </c>
      <c r="B1799" s="97">
        <v>46187.0</v>
      </c>
      <c r="C1799" s="76" t="s">
        <v>7855</v>
      </c>
      <c r="D1799" s="99" t="s">
        <v>7856</v>
      </c>
      <c r="E1799" s="25" t="s">
        <v>128</v>
      </c>
      <c r="F1799" s="25" t="s">
        <v>18</v>
      </c>
      <c r="G1799" s="25" t="s">
        <v>42</v>
      </c>
      <c r="H1799" s="10"/>
      <c r="I1799" s="10"/>
      <c r="J1799" s="10"/>
      <c r="K1799" s="46"/>
      <c r="L1799" s="10"/>
      <c r="M1799" s="44">
        <v>8.0</v>
      </c>
      <c r="N1799" s="45"/>
      <c r="O1799" s="20"/>
      <c r="P1799" s="20"/>
      <c r="Q1799" s="20"/>
      <c r="R1799" s="20"/>
      <c r="S1799" s="20"/>
    </row>
    <row r="1800">
      <c r="A1800" s="49" t="s">
        <v>7857</v>
      </c>
      <c r="B1800" s="110">
        <v>46188.0</v>
      </c>
      <c r="C1800" s="49" t="s">
        <v>7858</v>
      </c>
      <c r="D1800" s="102" t="s">
        <v>7859</v>
      </c>
      <c r="E1800" s="25" t="s">
        <v>128</v>
      </c>
      <c r="F1800" s="25" t="s">
        <v>18</v>
      </c>
      <c r="G1800" s="25" t="s">
        <v>42</v>
      </c>
      <c r="H1800" s="49" t="s">
        <v>3441</v>
      </c>
      <c r="I1800" s="49" t="s">
        <v>5441</v>
      </c>
      <c r="J1800" s="49">
        <v>2.0</v>
      </c>
      <c r="K1800" s="30">
        <f>3064000*2</f>
        <v>6128000</v>
      </c>
      <c r="L1800" s="49"/>
      <c r="M1800" s="50">
        <v>8.0</v>
      </c>
      <c r="N1800" s="51"/>
      <c r="O1800" s="20"/>
      <c r="P1800" s="20"/>
      <c r="Q1800" s="20"/>
      <c r="R1800" s="20"/>
      <c r="S1800" s="20"/>
    </row>
    <row r="1801">
      <c r="A1801" s="76" t="s">
        <v>7860</v>
      </c>
      <c r="B1801" s="97">
        <v>46188.0</v>
      </c>
      <c r="C1801" s="76" t="s">
        <v>7861</v>
      </c>
      <c r="D1801" s="99" t="s">
        <v>7862</v>
      </c>
      <c r="E1801" s="25" t="s">
        <v>128</v>
      </c>
      <c r="F1801" s="25" t="s">
        <v>18</v>
      </c>
      <c r="G1801" s="25" t="s">
        <v>42</v>
      </c>
      <c r="H1801" s="76" t="s">
        <v>4074</v>
      </c>
      <c r="I1801" s="76" t="s">
        <v>3893</v>
      </c>
      <c r="J1801" s="76">
        <v>5.0</v>
      </c>
      <c r="K1801" s="46"/>
      <c r="L1801" s="10"/>
      <c r="M1801" s="44">
        <v>8.0</v>
      </c>
      <c r="N1801" s="45"/>
      <c r="O1801" s="20"/>
      <c r="P1801" s="20"/>
      <c r="Q1801" s="20"/>
      <c r="R1801" s="20"/>
      <c r="S1801" s="20"/>
    </row>
    <row r="1802">
      <c r="A1802" s="49" t="s">
        <v>7863</v>
      </c>
      <c r="B1802" s="110">
        <v>46188.0</v>
      </c>
      <c r="C1802" s="49" t="s">
        <v>7864</v>
      </c>
      <c r="D1802" s="102" t="s">
        <v>7865</v>
      </c>
      <c r="E1802" s="25" t="s">
        <v>128</v>
      </c>
      <c r="F1802" s="25" t="s">
        <v>983</v>
      </c>
      <c r="G1802" s="25" t="s">
        <v>34</v>
      </c>
      <c r="H1802" s="49" t="s">
        <v>5658</v>
      </c>
      <c r="I1802" s="101">
        <v>46188.0</v>
      </c>
      <c r="J1802" s="49">
        <v>1.0</v>
      </c>
      <c r="K1802" s="36">
        <v>500000.0</v>
      </c>
      <c r="L1802" s="49" t="s">
        <v>7866</v>
      </c>
      <c r="M1802" s="50">
        <v>2.0</v>
      </c>
      <c r="N1802" s="51"/>
      <c r="O1802" s="20"/>
      <c r="P1802" s="20"/>
      <c r="Q1802" s="20"/>
      <c r="R1802" s="20"/>
      <c r="S1802" s="20"/>
    </row>
    <row r="1803">
      <c r="A1803" s="76" t="s">
        <v>7867</v>
      </c>
      <c r="B1803" s="97">
        <v>46187.0</v>
      </c>
      <c r="C1803" s="76" t="s">
        <v>7868</v>
      </c>
      <c r="D1803" s="99" t="s">
        <v>7869</v>
      </c>
      <c r="E1803" s="25" t="s">
        <v>17</v>
      </c>
      <c r="F1803" s="25" t="s">
        <v>129</v>
      </c>
      <c r="G1803" s="25" t="s">
        <v>42</v>
      </c>
      <c r="H1803" s="76" t="s">
        <v>7870</v>
      </c>
      <c r="I1803" s="118">
        <v>46190.0</v>
      </c>
      <c r="J1803" s="76">
        <v>1.0</v>
      </c>
      <c r="K1803" s="46"/>
      <c r="L1803" s="10"/>
      <c r="M1803" s="44">
        <v>8.0</v>
      </c>
      <c r="N1803" s="45"/>
      <c r="O1803" s="20"/>
      <c r="P1803" s="20"/>
      <c r="Q1803" s="20"/>
      <c r="R1803" s="20"/>
      <c r="S1803" s="20"/>
    </row>
    <row r="1804">
      <c r="A1804" s="49" t="s">
        <v>7871</v>
      </c>
      <c r="B1804" s="110">
        <v>46188.0</v>
      </c>
      <c r="C1804" s="49" t="s">
        <v>7872</v>
      </c>
      <c r="D1804" s="102" t="s">
        <v>7873</v>
      </c>
      <c r="E1804" s="25" t="s">
        <v>128</v>
      </c>
      <c r="F1804" s="25" t="s">
        <v>129</v>
      </c>
      <c r="G1804" s="25" t="s">
        <v>19</v>
      </c>
      <c r="H1804" s="49" t="s">
        <v>4064</v>
      </c>
      <c r="I1804" s="101">
        <v>46303.0</v>
      </c>
      <c r="J1804" s="49">
        <v>11.0</v>
      </c>
      <c r="K1804" s="30">
        <f>SUM(1025000*11)</f>
        <v>11275000</v>
      </c>
      <c r="L1804" s="49" t="s">
        <v>7874</v>
      </c>
      <c r="M1804" s="50">
        <v>7.0</v>
      </c>
      <c r="N1804" s="51"/>
      <c r="O1804" s="20"/>
      <c r="P1804" s="20"/>
      <c r="Q1804" s="20"/>
      <c r="R1804" s="20"/>
      <c r="S1804" s="20"/>
    </row>
    <row r="1805">
      <c r="A1805" s="76" t="s">
        <v>7875</v>
      </c>
      <c r="B1805" s="97">
        <v>46188.0</v>
      </c>
      <c r="C1805" s="76" t="s">
        <v>7876</v>
      </c>
      <c r="D1805" s="99" t="s">
        <v>7877</v>
      </c>
      <c r="E1805" s="25" t="s">
        <v>17</v>
      </c>
      <c r="F1805" s="25" t="s">
        <v>129</v>
      </c>
      <c r="G1805" s="25" t="s">
        <v>42</v>
      </c>
      <c r="H1805" s="76" t="s">
        <v>7249</v>
      </c>
      <c r="I1805" s="118">
        <v>46190.0</v>
      </c>
      <c r="J1805" s="76">
        <v>5.0</v>
      </c>
      <c r="K1805" s="46">
        <f>SUM(2000000*J1805)</f>
        <v>10000000</v>
      </c>
      <c r="L1805" s="76" t="s">
        <v>7878</v>
      </c>
      <c r="M1805" s="44">
        <v>8.0</v>
      </c>
      <c r="N1805" s="45"/>
      <c r="O1805" s="20"/>
      <c r="P1805" s="20"/>
      <c r="Q1805" s="20"/>
      <c r="R1805" s="20"/>
      <c r="S1805" s="20"/>
    </row>
    <row r="1806">
      <c r="A1806" s="49" t="s">
        <v>7879</v>
      </c>
      <c r="B1806" s="110">
        <v>46188.0</v>
      </c>
      <c r="C1806" s="49" t="s">
        <v>7880</v>
      </c>
      <c r="D1806" s="102" t="s">
        <v>7881</v>
      </c>
      <c r="E1806" s="25" t="s">
        <v>17</v>
      </c>
      <c r="F1806" s="25" t="s">
        <v>129</v>
      </c>
      <c r="G1806" s="25" t="s">
        <v>42</v>
      </c>
      <c r="H1806" s="49" t="s">
        <v>7882</v>
      </c>
      <c r="I1806" s="101">
        <v>46191.0</v>
      </c>
      <c r="J1806" s="49">
        <v>5.0</v>
      </c>
      <c r="K1806" s="30"/>
      <c r="L1806" s="49" t="s">
        <v>7883</v>
      </c>
      <c r="M1806" s="50">
        <v>8.0</v>
      </c>
      <c r="N1806" s="51"/>
      <c r="O1806" s="20"/>
      <c r="P1806" s="20"/>
      <c r="Q1806" s="20"/>
      <c r="R1806" s="20"/>
      <c r="S1806" s="20"/>
    </row>
    <row r="1807">
      <c r="A1807" s="76" t="s">
        <v>7884</v>
      </c>
      <c r="B1807" s="97">
        <v>46188.0</v>
      </c>
      <c r="C1807" s="76" t="s">
        <v>7885</v>
      </c>
      <c r="D1807" s="99" t="s">
        <v>7886</v>
      </c>
      <c r="E1807" s="25" t="s">
        <v>128</v>
      </c>
      <c r="F1807" s="25" t="s">
        <v>129</v>
      </c>
      <c r="G1807" s="25" t="s">
        <v>29</v>
      </c>
      <c r="H1807" s="76" t="s">
        <v>116</v>
      </c>
      <c r="I1807" s="10"/>
      <c r="J1807" s="140">
        <v>46178.0</v>
      </c>
      <c r="K1807" s="46"/>
      <c r="L1807" s="76" t="s">
        <v>5392</v>
      </c>
      <c r="M1807" s="44">
        <v>1.0</v>
      </c>
      <c r="N1807" s="45"/>
      <c r="O1807" s="20"/>
      <c r="P1807" s="20"/>
      <c r="Q1807" s="20"/>
      <c r="R1807" s="20"/>
      <c r="S1807" s="20"/>
    </row>
    <row r="1808">
      <c r="A1808" s="49" t="s">
        <v>7887</v>
      </c>
      <c r="B1808" s="110">
        <v>46189.0</v>
      </c>
      <c r="C1808" s="49" t="s">
        <v>7888</v>
      </c>
      <c r="D1808" s="102" t="s">
        <v>7889</v>
      </c>
      <c r="E1808" s="25" t="s">
        <v>17</v>
      </c>
      <c r="F1808" s="25" t="s">
        <v>129</v>
      </c>
      <c r="G1808" s="25" t="s">
        <v>42</v>
      </c>
      <c r="H1808" s="49" t="s">
        <v>260</v>
      </c>
      <c r="I1808" s="49" t="s">
        <v>7890</v>
      </c>
      <c r="J1808" s="23"/>
      <c r="K1808" s="30"/>
      <c r="L1808" s="49" t="s">
        <v>7891</v>
      </c>
      <c r="M1808" s="50">
        <v>8.0</v>
      </c>
      <c r="N1808" s="51"/>
      <c r="O1808" s="20"/>
      <c r="P1808" s="20"/>
      <c r="Q1808" s="20"/>
      <c r="R1808" s="20"/>
      <c r="S1808" s="20"/>
    </row>
    <row r="1809">
      <c r="A1809" s="76" t="s">
        <v>7892</v>
      </c>
      <c r="B1809" s="97">
        <v>46189.0</v>
      </c>
      <c r="C1809" s="76" t="s">
        <v>7893</v>
      </c>
      <c r="D1809" s="99" t="s">
        <v>7894</v>
      </c>
      <c r="E1809" s="25" t="s">
        <v>128</v>
      </c>
      <c r="F1809" s="25" t="s">
        <v>129</v>
      </c>
      <c r="G1809" s="25" t="s">
        <v>34</v>
      </c>
      <c r="H1809" s="76" t="s">
        <v>4532</v>
      </c>
      <c r="I1809" s="10"/>
      <c r="J1809" s="76">
        <v>9.0</v>
      </c>
      <c r="K1809" s="46">
        <f>SUM(775000*9)</f>
        <v>6975000</v>
      </c>
      <c r="L1809" s="76" t="s">
        <v>6424</v>
      </c>
      <c r="M1809" s="44">
        <v>2.0</v>
      </c>
      <c r="N1809" s="45"/>
      <c r="O1809" s="20"/>
      <c r="P1809" s="20"/>
      <c r="Q1809" s="20"/>
      <c r="R1809" s="20"/>
      <c r="S1809" s="20"/>
    </row>
    <row r="1810">
      <c r="A1810" s="49" t="s">
        <v>7895</v>
      </c>
      <c r="B1810" s="110">
        <v>46189.0</v>
      </c>
      <c r="C1810" s="49" t="s">
        <v>7896</v>
      </c>
      <c r="D1810" s="102" t="s">
        <v>7897</v>
      </c>
      <c r="E1810" s="25" t="s">
        <v>128</v>
      </c>
      <c r="F1810" s="25" t="s">
        <v>18</v>
      </c>
      <c r="G1810" s="25" t="s">
        <v>19</v>
      </c>
      <c r="H1810" s="49" t="s">
        <v>6278</v>
      </c>
      <c r="I1810" s="101">
        <v>46191.0</v>
      </c>
      <c r="J1810" s="49">
        <v>3.0</v>
      </c>
      <c r="K1810" s="30">
        <f>610000*3</f>
        <v>1830000</v>
      </c>
      <c r="L1810" s="49" t="s">
        <v>2332</v>
      </c>
      <c r="M1810" s="50">
        <v>7.0</v>
      </c>
      <c r="N1810" s="51"/>
      <c r="O1810" s="20"/>
      <c r="P1810" s="20"/>
      <c r="Q1810" s="20"/>
      <c r="R1810" s="20"/>
      <c r="S1810" s="20"/>
    </row>
    <row r="1811">
      <c r="A1811" s="76" t="s">
        <v>7898</v>
      </c>
      <c r="B1811" s="97">
        <v>46189.0</v>
      </c>
      <c r="C1811" s="76" t="s">
        <v>7899</v>
      </c>
      <c r="D1811" s="99" t="s">
        <v>7900</v>
      </c>
      <c r="E1811" s="25" t="s">
        <v>128</v>
      </c>
      <c r="F1811" s="25" t="s">
        <v>129</v>
      </c>
      <c r="G1811" s="25" t="s">
        <v>29</v>
      </c>
      <c r="H1811" s="76" t="s">
        <v>199</v>
      </c>
      <c r="I1811" s="76" t="s">
        <v>2470</v>
      </c>
      <c r="J1811" s="76">
        <v>8.0</v>
      </c>
      <c r="K1811" s="19"/>
      <c r="L1811" s="76" t="s">
        <v>7901</v>
      </c>
      <c r="M1811" s="44">
        <v>1.0</v>
      </c>
      <c r="N1811" s="45"/>
      <c r="O1811" s="20"/>
      <c r="P1811" s="20"/>
      <c r="Q1811" s="20"/>
      <c r="R1811" s="20"/>
      <c r="S1811" s="20"/>
    </row>
    <row r="1812">
      <c r="A1812" s="49" t="s">
        <v>7902</v>
      </c>
      <c r="B1812" s="110">
        <v>46189.0</v>
      </c>
      <c r="C1812" s="49" t="s">
        <v>7903</v>
      </c>
      <c r="D1812" s="102" t="s">
        <v>7904</v>
      </c>
      <c r="E1812" s="25" t="s">
        <v>17</v>
      </c>
      <c r="F1812" s="25" t="s">
        <v>129</v>
      </c>
      <c r="G1812" s="25" t="s">
        <v>19</v>
      </c>
      <c r="H1812" s="49" t="s">
        <v>4351</v>
      </c>
      <c r="I1812" s="101">
        <v>46202.0</v>
      </c>
      <c r="J1812" s="49">
        <v>5.0</v>
      </c>
      <c r="K1812" s="19">
        <v>1.185E7</v>
      </c>
      <c r="L1812" s="49" t="s">
        <v>6194</v>
      </c>
      <c r="M1812" s="50">
        <v>7.0</v>
      </c>
      <c r="N1812" s="51"/>
      <c r="O1812" s="20"/>
      <c r="P1812" s="20"/>
      <c r="Q1812" s="20"/>
      <c r="R1812" s="20"/>
      <c r="S1812" s="20"/>
    </row>
    <row r="1813">
      <c r="A1813" s="76" t="s">
        <v>7905</v>
      </c>
      <c r="B1813" s="97">
        <v>46189.0</v>
      </c>
      <c r="C1813" s="76" t="s">
        <v>6539</v>
      </c>
      <c r="D1813" s="99" t="s">
        <v>7906</v>
      </c>
      <c r="E1813" s="25" t="s">
        <v>17</v>
      </c>
      <c r="F1813" s="25" t="s">
        <v>129</v>
      </c>
      <c r="G1813" s="25" t="s">
        <v>19</v>
      </c>
      <c r="H1813" s="49" t="s">
        <v>5566</v>
      </c>
      <c r="I1813" s="118">
        <v>46191.0</v>
      </c>
      <c r="J1813" s="76">
        <v>2.0</v>
      </c>
      <c r="K1813" s="19">
        <v>1100000.0</v>
      </c>
      <c r="L1813" s="76" t="s">
        <v>6194</v>
      </c>
      <c r="M1813" s="44">
        <v>7.0</v>
      </c>
      <c r="N1813" s="45"/>
      <c r="O1813" s="20"/>
      <c r="P1813" s="20"/>
      <c r="Q1813" s="20"/>
      <c r="R1813" s="20"/>
      <c r="S1813" s="20"/>
    </row>
    <row r="1814">
      <c r="A1814" s="49" t="s">
        <v>7907</v>
      </c>
      <c r="B1814" s="110">
        <v>46189.0</v>
      </c>
      <c r="C1814" s="49" t="s">
        <v>7908</v>
      </c>
      <c r="D1814" s="102" t="s">
        <v>7909</v>
      </c>
      <c r="E1814" s="25" t="s">
        <v>128</v>
      </c>
      <c r="F1814" s="25" t="s">
        <v>129</v>
      </c>
      <c r="G1814" s="25" t="s">
        <v>19</v>
      </c>
      <c r="H1814" s="49" t="s">
        <v>747</v>
      </c>
      <c r="I1814" s="101">
        <v>46191.0</v>
      </c>
      <c r="J1814" s="49">
        <v>2.0</v>
      </c>
      <c r="K1814" s="36">
        <v>800000.0</v>
      </c>
      <c r="L1814" s="49" t="s">
        <v>6194</v>
      </c>
      <c r="M1814" s="50">
        <v>7.0</v>
      </c>
      <c r="N1814" s="51"/>
      <c r="O1814" s="20"/>
      <c r="P1814" s="20"/>
      <c r="Q1814" s="20"/>
      <c r="R1814" s="20"/>
      <c r="S1814" s="20"/>
    </row>
    <row r="1815">
      <c r="A1815" s="76" t="s">
        <v>7910</v>
      </c>
      <c r="B1815" s="97">
        <v>46189.0</v>
      </c>
      <c r="C1815" s="76" t="s">
        <v>7911</v>
      </c>
      <c r="D1815" s="99" t="s">
        <v>7912</v>
      </c>
      <c r="E1815" s="25" t="s">
        <v>128</v>
      </c>
      <c r="F1815" s="25" t="s">
        <v>129</v>
      </c>
      <c r="G1815" s="25" t="s">
        <v>29</v>
      </c>
      <c r="H1815" s="76" t="s">
        <v>3837</v>
      </c>
      <c r="I1815" s="118">
        <v>46261.0</v>
      </c>
      <c r="J1815" s="76">
        <v>5.0</v>
      </c>
      <c r="K1815" s="46"/>
      <c r="L1815" s="76" t="s">
        <v>7913</v>
      </c>
      <c r="M1815" s="44">
        <v>1.0</v>
      </c>
      <c r="N1815" s="45"/>
      <c r="O1815" s="20"/>
      <c r="P1815" s="20"/>
      <c r="Q1815" s="20"/>
      <c r="R1815" s="20"/>
      <c r="S1815" s="20"/>
    </row>
    <row r="1816">
      <c r="A1816" s="49" t="s">
        <v>7914</v>
      </c>
      <c r="B1816" s="110">
        <v>46190.0</v>
      </c>
      <c r="C1816" s="49" t="s">
        <v>7915</v>
      </c>
      <c r="D1816" s="102" t="s">
        <v>7916</v>
      </c>
      <c r="E1816" s="25" t="s">
        <v>17</v>
      </c>
      <c r="F1816" s="25" t="s">
        <v>129</v>
      </c>
      <c r="G1816" s="25" t="s">
        <v>29</v>
      </c>
      <c r="H1816" s="23"/>
      <c r="I1816" s="23"/>
      <c r="J1816" s="49">
        <v>30.0</v>
      </c>
      <c r="K1816" s="30"/>
      <c r="L1816" s="49" t="s">
        <v>7917</v>
      </c>
      <c r="M1816" s="50">
        <v>1.0</v>
      </c>
      <c r="N1816" s="51"/>
      <c r="O1816" s="20"/>
      <c r="P1816" s="20"/>
      <c r="Q1816" s="20"/>
      <c r="R1816" s="20"/>
      <c r="S1816" s="20"/>
    </row>
    <row r="1817">
      <c r="A1817" s="76" t="s">
        <v>7918</v>
      </c>
      <c r="B1817" s="97">
        <v>46190.0</v>
      </c>
      <c r="C1817" s="76" t="s">
        <v>7919</v>
      </c>
      <c r="D1817" s="99" t="s">
        <v>7920</v>
      </c>
      <c r="E1817" s="25" t="s">
        <v>128</v>
      </c>
      <c r="F1817" s="25" t="s">
        <v>129</v>
      </c>
      <c r="G1817" s="25" t="s">
        <v>29</v>
      </c>
      <c r="H1817" s="49" t="s">
        <v>747</v>
      </c>
      <c r="I1817" s="118">
        <v>46191.0</v>
      </c>
      <c r="J1817" s="76">
        <v>2.0</v>
      </c>
      <c r="K1817" s="46"/>
      <c r="L1817" s="76" t="s">
        <v>7921</v>
      </c>
      <c r="M1817" s="44">
        <v>1.0</v>
      </c>
      <c r="N1817" s="45"/>
      <c r="O1817" s="20"/>
      <c r="P1817" s="20"/>
      <c r="Q1817" s="20"/>
      <c r="R1817" s="20"/>
      <c r="S1817" s="20"/>
    </row>
    <row r="1818">
      <c r="A1818" s="49" t="s">
        <v>7922</v>
      </c>
      <c r="B1818" s="110">
        <v>46190.0</v>
      </c>
      <c r="C1818" s="49" t="s">
        <v>6707</v>
      </c>
      <c r="D1818" s="102" t="s">
        <v>7923</v>
      </c>
      <c r="E1818" s="25" t="s">
        <v>17</v>
      </c>
      <c r="F1818" s="25" t="s">
        <v>983</v>
      </c>
      <c r="G1818" s="25" t="s">
        <v>42</v>
      </c>
      <c r="H1818" s="49" t="s">
        <v>7924</v>
      </c>
      <c r="I1818" s="49" t="s">
        <v>7925</v>
      </c>
      <c r="J1818" s="49">
        <v>3.0</v>
      </c>
      <c r="K1818" s="30">
        <f>500000*3</f>
        <v>1500000</v>
      </c>
      <c r="L1818" s="49" t="s">
        <v>7926</v>
      </c>
      <c r="M1818" s="50">
        <v>8.0</v>
      </c>
      <c r="N1818" s="51"/>
      <c r="O1818" s="20"/>
      <c r="P1818" s="20"/>
      <c r="Q1818" s="20"/>
      <c r="R1818" s="20"/>
      <c r="S1818" s="20"/>
    </row>
    <row r="1819">
      <c r="A1819" s="76" t="s">
        <v>7927</v>
      </c>
      <c r="B1819" s="97">
        <v>46190.0</v>
      </c>
      <c r="C1819" s="76" t="s">
        <v>7928</v>
      </c>
      <c r="D1819" s="99" t="s">
        <v>7929</v>
      </c>
      <c r="E1819" s="25" t="s">
        <v>17</v>
      </c>
      <c r="F1819" s="25" t="s">
        <v>983</v>
      </c>
      <c r="G1819" s="25" t="s">
        <v>42</v>
      </c>
      <c r="H1819" s="76" t="s">
        <v>4861</v>
      </c>
      <c r="I1819" s="118">
        <v>46208.0</v>
      </c>
      <c r="J1819" s="10"/>
      <c r="K1819" s="46"/>
      <c r="L1819" s="76" t="s">
        <v>7930</v>
      </c>
      <c r="M1819" s="44">
        <v>8.0</v>
      </c>
      <c r="N1819" s="45"/>
      <c r="O1819" s="20"/>
      <c r="P1819" s="20"/>
      <c r="Q1819" s="20"/>
      <c r="R1819" s="20"/>
      <c r="S1819" s="20"/>
    </row>
    <row r="1820">
      <c r="A1820" s="49" t="s">
        <v>7931</v>
      </c>
      <c r="B1820" s="110">
        <v>46188.0</v>
      </c>
      <c r="C1820" s="49" t="s">
        <v>7932</v>
      </c>
      <c r="D1820" s="102" t="s">
        <v>7933</v>
      </c>
      <c r="E1820" s="25" t="s">
        <v>17</v>
      </c>
      <c r="F1820" s="25" t="s">
        <v>18</v>
      </c>
      <c r="G1820" s="25" t="s">
        <v>42</v>
      </c>
      <c r="H1820" s="49" t="s">
        <v>7934</v>
      </c>
      <c r="I1820" s="156">
        <v>46191.0</v>
      </c>
      <c r="J1820" s="49">
        <v>5.0</v>
      </c>
      <c r="K1820" s="30"/>
      <c r="L1820" s="23"/>
      <c r="M1820" s="50">
        <v>8.0</v>
      </c>
      <c r="N1820" s="51"/>
      <c r="O1820" s="20"/>
      <c r="P1820" s="20"/>
      <c r="Q1820" s="20"/>
      <c r="R1820" s="20"/>
      <c r="S1820" s="20"/>
    </row>
    <row r="1821">
      <c r="A1821" s="76" t="s">
        <v>7935</v>
      </c>
      <c r="B1821" s="97">
        <v>46188.0</v>
      </c>
      <c r="C1821" s="76" t="s">
        <v>7936</v>
      </c>
      <c r="D1821" s="99" t="s">
        <v>7937</v>
      </c>
      <c r="E1821" s="25" t="s">
        <v>17</v>
      </c>
      <c r="F1821" s="25" t="s">
        <v>18</v>
      </c>
      <c r="G1821" s="25" t="s">
        <v>42</v>
      </c>
      <c r="H1821" s="10"/>
      <c r="I1821" s="10"/>
      <c r="J1821" s="10"/>
      <c r="K1821" s="46"/>
      <c r="L1821" s="10"/>
      <c r="M1821" s="44">
        <v>8.0</v>
      </c>
      <c r="N1821" s="45"/>
      <c r="O1821" s="20"/>
      <c r="P1821" s="20"/>
      <c r="Q1821" s="20"/>
      <c r="R1821" s="20"/>
      <c r="S1821" s="20"/>
    </row>
    <row r="1822">
      <c r="A1822" s="49" t="s">
        <v>7938</v>
      </c>
      <c r="B1822" s="110">
        <v>46189.0</v>
      </c>
      <c r="C1822" s="49" t="s">
        <v>4151</v>
      </c>
      <c r="D1822" s="102" t="s">
        <v>7939</v>
      </c>
      <c r="E1822" s="25" t="s">
        <v>128</v>
      </c>
      <c r="F1822" s="25" t="s">
        <v>18</v>
      </c>
      <c r="G1822" s="25" t="s">
        <v>42</v>
      </c>
      <c r="H1822" s="23"/>
      <c r="I1822" s="23"/>
      <c r="J1822" s="23"/>
      <c r="K1822" s="30"/>
      <c r="L1822" s="23"/>
      <c r="M1822" s="50">
        <v>8.0</v>
      </c>
      <c r="N1822" s="51"/>
      <c r="O1822" s="20"/>
      <c r="P1822" s="20"/>
      <c r="Q1822" s="20"/>
      <c r="R1822" s="20"/>
      <c r="S1822" s="20"/>
    </row>
    <row r="1823">
      <c r="A1823" s="76" t="s">
        <v>7940</v>
      </c>
      <c r="B1823" s="97">
        <v>46189.0</v>
      </c>
      <c r="C1823" s="76" t="s">
        <v>5488</v>
      </c>
      <c r="D1823" s="99" t="s">
        <v>7941</v>
      </c>
      <c r="E1823" s="25" t="s">
        <v>17</v>
      </c>
      <c r="F1823" s="25" t="s">
        <v>18</v>
      </c>
      <c r="G1823" s="25" t="s">
        <v>42</v>
      </c>
      <c r="H1823" s="10"/>
      <c r="I1823" s="10"/>
      <c r="J1823" s="10"/>
      <c r="K1823" s="46"/>
      <c r="L1823" s="10"/>
      <c r="M1823" s="44">
        <v>8.0</v>
      </c>
      <c r="N1823" s="45"/>
      <c r="O1823" s="20"/>
      <c r="P1823" s="20"/>
      <c r="Q1823" s="20"/>
      <c r="R1823" s="20"/>
      <c r="S1823" s="20"/>
    </row>
    <row r="1824">
      <c r="A1824" s="49" t="s">
        <v>7942</v>
      </c>
      <c r="B1824" s="110">
        <v>46189.0</v>
      </c>
      <c r="C1824" s="49" t="s">
        <v>7943</v>
      </c>
      <c r="D1824" s="102" t="s">
        <v>7944</v>
      </c>
      <c r="E1824" s="25" t="s">
        <v>128</v>
      </c>
      <c r="F1824" s="25" t="s">
        <v>18</v>
      </c>
      <c r="G1824" s="25" t="s">
        <v>42</v>
      </c>
      <c r="H1824" s="23"/>
      <c r="I1824" s="23"/>
      <c r="J1824" s="23"/>
      <c r="K1824" s="30"/>
      <c r="L1824" s="23"/>
      <c r="M1824" s="50">
        <v>8.0</v>
      </c>
      <c r="N1824" s="51"/>
      <c r="O1824" s="20"/>
      <c r="P1824" s="20"/>
      <c r="Q1824" s="20"/>
      <c r="R1824" s="20"/>
      <c r="S1824" s="20"/>
    </row>
    <row r="1825">
      <c r="A1825" s="76" t="s">
        <v>7945</v>
      </c>
      <c r="B1825" s="97">
        <v>46189.0</v>
      </c>
      <c r="C1825" s="76" t="s">
        <v>7946</v>
      </c>
      <c r="D1825" s="99" t="s">
        <v>7947</v>
      </c>
      <c r="E1825" s="25" t="s">
        <v>128</v>
      </c>
      <c r="F1825" s="25" t="s">
        <v>18</v>
      </c>
      <c r="G1825" s="25" t="s">
        <v>19</v>
      </c>
      <c r="H1825" s="76" t="s">
        <v>3210</v>
      </c>
      <c r="I1825" s="76" t="s">
        <v>7948</v>
      </c>
      <c r="J1825" s="76">
        <v>3.0</v>
      </c>
      <c r="K1825" s="46"/>
      <c r="L1825" s="10"/>
      <c r="M1825" s="44">
        <v>7.0</v>
      </c>
      <c r="N1825" s="45"/>
      <c r="O1825" s="20"/>
      <c r="P1825" s="20"/>
      <c r="Q1825" s="20"/>
      <c r="R1825" s="20"/>
      <c r="S1825" s="20"/>
    </row>
    <row r="1826">
      <c r="A1826" s="49" t="s">
        <v>7949</v>
      </c>
      <c r="B1826" s="110">
        <v>46190.0</v>
      </c>
      <c r="C1826" s="49" t="s">
        <v>7950</v>
      </c>
      <c r="D1826" s="102" t="s">
        <v>7951</v>
      </c>
      <c r="E1826" s="25" t="s">
        <v>128</v>
      </c>
      <c r="F1826" s="25" t="s">
        <v>18</v>
      </c>
      <c r="G1826" s="25" t="s">
        <v>42</v>
      </c>
      <c r="H1826" s="23"/>
      <c r="I1826" s="23"/>
      <c r="J1826" s="23"/>
      <c r="K1826" s="30"/>
      <c r="L1826" s="23"/>
      <c r="M1826" s="50">
        <v>8.0</v>
      </c>
      <c r="N1826" s="51"/>
      <c r="O1826" s="20"/>
      <c r="P1826" s="20"/>
      <c r="Q1826" s="20"/>
      <c r="R1826" s="20"/>
      <c r="S1826" s="20"/>
    </row>
    <row r="1827">
      <c r="A1827" s="76" t="s">
        <v>7952</v>
      </c>
      <c r="B1827" s="97">
        <v>46190.0</v>
      </c>
      <c r="C1827" s="76" t="s">
        <v>3946</v>
      </c>
      <c r="D1827" s="99" t="s">
        <v>7953</v>
      </c>
      <c r="E1827" s="25" t="s">
        <v>128</v>
      </c>
      <c r="F1827" s="25" t="s">
        <v>18</v>
      </c>
      <c r="G1827" s="25" t="s">
        <v>42</v>
      </c>
      <c r="H1827" s="76" t="s">
        <v>3210</v>
      </c>
      <c r="I1827" s="157">
        <v>46215.0</v>
      </c>
      <c r="J1827" s="76"/>
      <c r="K1827" s="46">
        <f>1194000*2</f>
        <v>2388000</v>
      </c>
      <c r="L1827" s="76" t="s">
        <v>5258</v>
      </c>
      <c r="M1827" s="44">
        <v>8.0</v>
      </c>
      <c r="N1827" s="45"/>
      <c r="O1827" s="20"/>
      <c r="P1827" s="20"/>
      <c r="Q1827" s="20"/>
      <c r="R1827" s="20"/>
      <c r="S1827" s="20"/>
    </row>
    <row r="1828">
      <c r="A1828" s="49" t="s">
        <v>7954</v>
      </c>
      <c r="B1828" s="110">
        <v>46190.0</v>
      </c>
      <c r="C1828" s="49" t="s">
        <v>7955</v>
      </c>
      <c r="D1828" s="102" t="s">
        <v>7956</v>
      </c>
      <c r="E1828" s="25" t="s">
        <v>128</v>
      </c>
      <c r="F1828" s="25" t="s">
        <v>18</v>
      </c>
      <c r="G1828" s="25" t="s">
        <v>42</v>
      </c>
      <c r="H1828" s="23"/>
      <c r="I1828" s="23"/>
      <c r="J1828" s="23"/>
      <c r="K1828" s="30"/>
      <c r="L1828" s="23"/>
      <c r="M1828" s="50">
        <v>8.0</v>
      </c>
      <c r="N1828" s="51"/>
      <c r="O1828" s="20"/>
      <c r="P1828" s="20"/>
      <c r="Q1828" s="20"/>
      <c r="R1828" s="20"/>
      <c r="S1828" s="20"/>
    </row>
    <row r="1829">
      <c r="A1829" s="76" t="s">
        <v>7957</v>
      </c>
      <c r="B1829" s="97">
        <v>46189.0</v>
      </c>
      <c r="C1829" s="76" t="s">
        <v>7958</v>
      </c>
      <c r="D1829" s="99" t="s">
        <v>7959</v>
      </c>
      <c r="E1829" s="25" t="s">
        <v>17</v>
      </c>
      <c r="F1829" s="25" t="s">
        <v>18</v>
      </c>
      <c r="G1829" s="25" t="s">
        <v>19</v>
      </c>
      <c r="H1829" s="76" t="s">
        <v>3210</v>
      </c>
      <c r="I1829" s="76" t="s">
        <v>7960</v>
      </c>
      <c r="J1829" s="76">
        <v>11.0</v>
      </c>
      <c r="K1829" s="19">
        <v>7480000.0</v>
      </c>
      <c r="L1829" s="10"/>
      <c r="M1829" s="44">
        <v>7.0</v>
      </c>
      <c r="N1829" s="45"/>
      <c r="O1829" s="20"/>
      <c r="P1829" s="20"/>
      <c r="Q1829" s="20"/>
      <c r="R1829" s="20"/>
      <c r="S1829" s="20"/>
    </row>
    <row r="1830">
      <c r="A1830" s="49" t="s">
        <v>7961</v>
      </c>
      <c r="B1830" s="110">
        <v>46190.0</v>
      </c>
      <c r="C1830" s="49" t="s">
        <v>7962</v>
      </c>
      <c r="D1830" s="102" t="s">
        <v>7963</v>
      </c>
      <c r="E1830" s="25" t="s">
        <v>17</v>
      </c>
      <c r="F1830" s="25" t="s">
        <v>18</v>
      </c>
      <c r="G1830" s="25" t="s">
        <v>42</v>
      </c>
      <c r="H1830" s="23"/>
      <c r="I1830" s="23"/>
      <c r="J1830" s="23"/>
      <c r="K1830" s="30"/>
      <c r="L1830" s="23"/>
      <c r="M1830" s="50">
        <v>8.0</v>
      </c>
      <c r="N1830" s="51"/>
      <c r="O1830" s="20"/>
      <c r="P1830" s="20"/>
      <c r="Q1830" s="20"/>
      <c r="R1830" s="20"/>
      <c r="S1830" s="20"/>
    </row>
    <row r="1831">
      <c r="A1831" s="76" t="s">
        <v>7964</v>
      </c>
      <c r="B1831" s="97">
        <v>46190.0</v>
      </c>
      <c r="C1831" s="76" t="s">
        <v>7965</v>
      </c>
      <c r="D1831" s="99" t="s">
        <v>7966</v>
      </c>
      <c r="E1831" s="25" t="s">
        <v>17</v>
      </c>
      <c r="F1831" s="25" t="s">
        <v>129</v>
      </c>
      <c r="G1831" s="25" t="s">
        <v>29</v>
      </c>
      <c r="H1831" s="76" t="s">
        <v>894</v>
      </c>
      <c r="I1831" s="76" t="s">
        <v>7967</v>
      </c>
      <c r="J1831" s="76">
        <v>25.0</v>
      </c>
      <c r="K1831" s="46"/>
      <c r="L1831" s="76" t="s">
        <v>2232</v>
      </c>
      <c r="M1831" s="44">
        <v>1.0</v>
      </c>
      <c r="N1831" s="45"/>
      <c r="O1831" s="20"/>
      <c r="P1831" s="20"/>
      <c r="Q1831" s="20"/>
      <c r="R1831" s="20"/>
      <c r="S1831" s="20"/>
    </row>
    <row r="1832">
      <c r="A1832" s="49" t="s">
        <v>7968</v>
      </c>
      <c r="B1832" s="110">
        <v>46190.0</v>
      </c>
      <c r="C1832" s="49" t="s">
        <v>7969</v>
      </c>
      <c r="D1832" s="102" t="s">
        <v>7970</v>
      </c>
      <c r="E1832" s="25" t="s">
        <v>128</v>
      </c>
      <c r="F1832" s="25" t="s">
        <v>129</v>
      </c>
      <c r="G1832" s="25" t="s">
        <v>29</v>
      </c>
      <c r="H1832" s="49" t="s">
        <v>260</v>
      </c>
      <c r="I1832" s="49" t="s">
        <v>4866</v>
      </c>
      <c r="J1832" s="49">
        <v>3.0</v>
      </c>
      <c r="K1832" s="30"/>
      <c r="L1832" s="49" t="s">
        <v>7971</v>
      </c>
      <c r="M1832" s="50">
        <v>1.0</v>
      </c>
      <c r="N1832" s="51"/>
      <c r="O1832" s="20"/>
      <c r="P1832" s="20"/>
      <c r="Q1832" s="20"/>
      <c r="R1832" s="20"/>
      <c r="S1832" s="20"/>
    </row>
    <row r="1833">
      <c r="A1833" s="76" t="s">
        <v>7972</v>
      </c>
      <c r="B1833" s="97">
        <v>46190.0</v>
      </c>
      <c r="C1833" s="76" t="s">
        <v>7973</v>
      </c>
      <c r="D1833" s="99" t="s">
        <v>7974</v>
      </c>
      <c r="E1833" s="25" t="s">
        <v>128</v>
      </c>
      <c r="F1833" s="25" t="s">
        <v>129</v>
      </c>
      <c r="G1833" s="25" t="s">
        <v>42</v>
      </c>
      <c r="H1833" s="76" t="s">
        <v>7975</v>
      </c>
      <c r="I1833" s="118">
        <v>46192.0</v>
      </c>
      <c r="J1833" s="76">
        <v>1.0</v>
      </c>
      <c r="K1833" s="46"/>
      <c r="L1833" s="76" t="s">
        <v>7976</v>
      </c>
      <c r="M1833" s="44">
        <v>8.0</v>
      </c>
      <c r="N1833" s="45"/>
      <c r="O1833" s="20"/>
      <c r="P1833" s="20"/>
      <c r="Q1833" s="20"/>
      <c r="R1833" s="20"/>
      <c r="S1833" s="20"/>
    </row>
    <row r="1834">
      <c r="A1834" s="49" t="s">
        <v>7977</v>
      </c>
      <c r="B1834" s="110">
        <v>42538.0</v>
      </c>
      <c r="C1834" s="49" t="s">
        <v>7978</v>
      </c>
      <c r="D1834" s="102" t="s">
        <v>7979</v>
      </c>
      <c r="E1834" s="25" t="s">
        <v>128</v>
      </c>
      <c r="F1834" s="25" t="s">
        <v>129</v>
      </c>
      <c r="G1834" s="25" t="s">
        <v>29</v>
      </c>
      <c r="H1834" s="49" t="s">
        <v>5876</v>
      </c>
      <c r="I1834" s="101">
        <v>46192.0</v>
      </c>
      <c r="J1834" s="49">
        <v>4.0</v>
      </c>
      <c r="K1834" s="30"/>
      <c r="L1834" s="23"/>
      <c r="M1834" s="50">
        <v>1.0</v>
      </c>
      <c r="N1834" s="51"/>
      <c r="O1834" s="20"/>
      <c r="P1834" s="20"/>
      <c r="Q1834" s="20"/>
      <c r="R1834" s="20"/>
      <c r="S1834" s="20"/>
    </row>
    <row r="1835">
      <c r="A1835" s="76" t="s">
        <v>7980</v>
      </c>
      <c r="B1835" s="97">
        <v>46191.0</v>
      </c>
      <c r="C1835" s="76" t="s">
        <v>7981</v>
      </c>
      <c r="D1835" s="99" t="s">
        <v>7034</v>
      </c>
      <c r="E1835" s="25" t="s">
        <v>17</v>
      </c>
      <c r="F1835" s="25" t="s">
        <v>18</v>
      </c>
      <c r="G1835" s="25" t="s">
        <v>42</v>
      </c>
      <c r="H1835" s="76" t="s">
        <v>7982</v>
      </c>
      <c r="I1835" s="118">
        <v>46191.0</v>
      </c>
      <c r="J1835" s="10"/>
      <c r="K1835" s="46"/>
      <c r="L1835" s="76" t="s">
        <v>7983</v>
      </c>
      <c r="M1835" s="44">
        <v>8.0</v>
      </c>
      <c r="N1835" s="45"/>
      <c r="O1835" s="20"/>
      <c r="P1835" s="20"/>
      <c r="Q1835" s="20"/>
      <c r="R1835" s="20"/>
      <c r="S1835" s="20"/>
    </row>
    <row r="1836">
      <c r="A1836" s="49" t="s">
        <v>7984</v>
      </c>
      <c r="B1836" s="110">
        <v>46191.0</v>
      </c>
      <c r="C1836" s="49" t="s">
        <v>1433</v>
      </c>
      <c r="D1836" s="102" t="s">
        <v>7985</v>
      </c>
      <c r="E1836" s="25" t="s">
        <v>17</v>
      </c>
      <c r="F1836" s="25" t="s">
        <v>18</v>
      </c>
      <c r="G1836" s="25" t="s">
        <v>42</v>
      </c>
      <c r="H1836" s="49" t="s">
        <v>7986</v>
      </c>
      <c r="I1836" s="101">
        <v>46191.0</v>
      </c>
      <c r="J1836" s="49">
        <v>2.0</v>
      </c>
      <c r="K1836" s="30">
        <f>850000*2</f>
        <v>1700000</v>
      </c>
      <c r="L1836" s="49" t="s">
        <v>7983</v>
      </c>
      <c r="M1836" s="50">
        <v>8.0</v>
      </c>
      <c r="N1836" s="51"/>
      <c r="O1836" s="20"/>
      <c r="P1836" s="20"/>
      <c r="Q1836" s="20"/>
      <c r="R1836" s="20"/>
      <c r="S1836" s="20"/>
    </row>
    <row r="1837">
      <c r="A1837" s="76" t="s">
        <v>7987</v>
      </c>
      <c r="B1837" s="97">
        <v>46191.0</v>
      </c>
      <c r="C1837" s="76" t="s">
        <v>7988</v>
      </c>
      <c r="D1837" s="99" t="s">
        <v>7989</v>
      </c>
      <c r="E1837" s="25" t="s">
        <v>17</v>
      </c>
      <c r="F1837" s="25" t="s">
        <v>129</v>
      </c>
      <c r="G1837" s="25" t="s">
        <v>29</v>
      </c>
      <c r="H1837" s="10"/>
      <c r="I1837" s="10"/>
      <c r="J1837" s="10"/>
      <c r="K1837" s="46"/>
      <c r="L1837" s="76" t="s">
        <v>7990</v>
      </c>
      <c r="M1837" s="44">
        <v>1.0</v>
      </c>
      <c r="N1837" s="45"/>
      <c r="O1837" s="20"/>
      <c r="P1837" s="20"/>
      <c r="Q1837" s="20"/>
      <c r="R1837" s="20"/>
      <c r="S1837" s="20"/>
    </row>
    <row r="1838">
      <c r="A1838" s="49" t="s">
        <v>7991</v>
      </c>
      <c r="B1838" s="110">
        <v>46191.0</v>
      </c>
      <c r="C1838" s="49" t="s">
        <v>5936</v>
      </c>
      <c r="D1838" s="102" t="s">
        <v>7992</v>
      </c>
      <c r="E1838" s="25" t="s">
        <v>17</v>
      </c>
      <c r="F1838" s="25" t="s">
        <v>129</v>
      </c>
      <c r="G1838" s="25" t="s">
        <v>29</v>
      </c>
      <c r="H1838" s="49" t="s">
        <v>5516</v>
      </c>
      <c r="I1838" s="101">
        <v>46198.0</v>
      </c>
      <c r="J1838" s="49">
        <v>2.0</v>
      </c>
      <c r="K1838" s="30"/>
      <c r="L1838" s="49" t="s">
        <v>7993</v>
      </c>
      <c r="M1838" s="50">
        <v>1.0</v>
      </c>
      <c r="N1838" s="51"/>
      <c r="O1838" s="20"/>
      <c r="P1838" s="20"/>
      <c r="Q1838" s="20"/>
      <c r="R1838" s="20"/>
      <c r="S1838" s="20"/>
    </row>
    <row r="1839">
      <c r="A1839" s="76" t="s">
        <v>7994</v>
      </c>
      <c r="B1839" s="97">
        <v>46188.0</v>
      </c>
      <c r="C1839" s="76" t="s">
        <v>7995</v>
      </c>
      <c r="D1839" s="99" t="s">
        <v>7996</v>
      </c>
      <c r="E1839" s="25" t="s">
        <v>17</v>
      </c>
      <c r="F1839" s="25" t="s">
        <v>983</v>
      </c>
      <c r="G1839" s="25" t="s">
        <v>42</v>
      </c>
      <c r="H1839" s="10"/>
      <c r="I1839" s="10"/>
      <c r="J1839" s="10"/>
      <c r="K1839" s="46"/>
      <c r="L1839" s="76" t="s">
        <v>840</v>
      </c>
      <c r="M1839" s="44">
        <v>8.0</v>
      </c>
      <c r="N1839" s="45"/>
      <c r="O1839" s="20"/>
      <c r="P1839" s="20"/>
      <c r="Q1839" s="20"/>
      <c r="R1839" s="20"/>
      <c r="S1839" s="20"/>
    </row>
    <row r="1840">
      <c r="A1840" s="49" t="s">
        <v>7997</v>
      </c>
      <c r="B1840" s="110">
        <v>46188.0</v>
      </c>
      <c r="C1840" s="49" t="s">
        <v>7998</v>
      </c>
      <c r="D1840" s="102" t="s">
        <v>7999</v>
      </c>
      <c r="E1840" s="25" t="s">
        <v>17</v>
      </c>
      <c r="F1840" s="25" t="s">
        <v>983</v>
      </c>
      <c r="G1840" s="25" t="s">
        <v>42</v>
      </c>
      <c r="H1840" s="23"/>
      <c r="I1840" s="23"/>
      <c r="J1840" s="23"/>
      <c r="K1840" s="30"/>
      <c r="L1840" s="49" t="s">
        <v>840</v>
      </c>
      <c r="M1840" s="50">
        <v>8.0</v>
      </c>
      <c r="N1840" s="51"/>
      <c r="O1840" s="20"/>
      <c r="P1840" s="20"/>
      <c r="Q1840" s="20"/>
      <c r="R1840" s="20"/>
      <c r="S1840" s="20"/>
    </row>
    <row r="1841">
      <c r="A1841" s="76" t="s">
        <v>8000</v>
      </c>
      <c r="B1841" s="97">
        <v>46190.0</v>
      </c>
      <c r="C1841" s="76" t="s">
        <v>7973</v>
      </c>
      <c r="D1841" s="99" t="s">
        <v>7974</v>
      </c>
      <c r="E1841" s="25" t="s">
        <v>128</v>
      </c>
      <c r="F1841" s="25" t="s">
        <v>983</v>
      </c>
      <c r="G1841" s="25" t="s">
        <v>34</v>
      </c>
      <c r="H1841" s="10"/>
      <c r="I1841" s="10"/>
      <c r="J1841" s="10"/>
      <c r="K1841" s="46"/>
      <c r="L1841" s="76" t="s">
        <v>2116</v>
      </c>
      <c r="M1841" s="44">
        <v>2.0</v>
      </c>
      <c r="N1841" s="45"/>
      <c r="O1841" s="20"/>
      <c r="P1841" s="20"/>
      <c r="Q1841" s="20"/>
      <c r="R1841" s="20"/>
      <c r="S1841" s="20"/>
    </row>
    <row r="1842">
      <c r="A1842" s="49" t="s">
        <v>8001</v>
      </c>
      <c r="B1842" s="110">
        <v>46190.0</v>
      </c>
      <c r="C1842" s="49" t="s">
        <v>8002</v>
      </c>
      <c r="D1842" s="102" t="s">
        <v>8003</v>
      </c>
      <c r="E1842" s="25" t="s">
        <v>17</v>
      </c>
      <c r="F1842" s="25" t="s">
        <v>983</v>
      </c>
      <c r="G1842" s="25" t="s">
        <v>34</v>
      </c>
      <c r="H1842" s="49" t="s">
        <v>8004</v>
      </c>
      <c r="I1842" s="101">
        <v>46192.0</v>
      </c>
      <c r="J1842" s="49">
        <v>2.0</v>
      </c>
      <c r="K1842" s="30">
        <f>550000*2</f>
        <v>1100000</v>
      </c>
      <c r="L1842" s="49" t="s">
        <v>4517</v>
      </c>
      <c r="M1842" s="50">
        <v>2.0</v>
      </c>
      <c r="N1842" s="51"/>
      <c r="O1842" s="20"/>
      <c r="P1842" s="20"/>
      <c r="Q1842" s="20"/>
      <c r="R1842" s="20"/>
      <c r="S1842" s="20"/>
    </row>
    <row r="1843">
      <c r="A1843" s="76" t="s">
        <v>8005</v>
      </c>
      <c r="B1843" s="97">
        <v>46191.0</v>
      </c>
      <c r="C1843" s="76" t="s">
        <v>1095</v>
      </c>
      <c r="D1843" s="99" t="s">
        <v>8006</v>
      </c>
      <c r="E1843" s="25" t="s">
        <v>17</v>
      </c>
      <c r="F1843" s="25" t="s">
        <v>983</v>
      </c>
      <c r="G1843" s="25" t="s">
        <v>34</v>
      </c>
      <c r="H1843" s="76" t="s">
        <v>8007</v>
      </c>
      <c r="I1843" s="76" t="s">
        <v>8008</v>
      </c>
      <c r="J1843" s="76">
        <v>4.0</v>
      </c>
      <c r="K1843" s="46">
        <f>(400000+450000+275000+550000)*4</f>
        <v>6700000</v>
      </c>
      <c r="L1843" s="76" t="s">
        <v>8009</v>
      </c>
      <c r="M1843" s="44">
        <v>2.0</v>
      </c>
      <c r="N1843" s="45"/>
      <c r="O1843" s="20"/>
      <c r="P1843" s="20"/>
      <c r="Q1843" s="20"/>
      <c r="R1843" s="20"/>
      <c r="S1843" s="20"/>
    </row>
    <row r="1844">
      <c r="A1844" s="49" t="s">
        <v>8010</v>
      </c>
      <c r="B1844" s="110">
        <v>46191.0</v>
      </c>
      <c r="C1844" s="49" t="s">
        <v>8011</v>
      </c>
      <c r="D1844" s="102" t="s">
        <v>8012</v>
      </c>
      <c r="E1844" s="25" t="s">
        <v>122</v>
      </c>
      <c r="F1844" s="25" t="s">
        <v>983</v>
      </c>
      <c r="G1844" s="25" t="s">
        <v>34</v>
      </c>
      <c r="H1844" s="49" t="s">
        <v>4074</v>
      </c>
      <c r="I1844" s="122">
        <v>46539.0</v>
      </c>
      <c r="J1844" s="49">
        <v>18.0</v>
      </c>
      <c r="K1844" s="30"/>
      <c r="L1844" s="49" t="s">
        <v>8013</v>
      </c>
      <c r="M1844" s="50">
        <v>2.0</v>
      </c>
      <c r="N1844" s="51"/>
      <c r="O1844" s="20"/>
      <c r="P1844" s="20"/>
      <c r="Q1844" s="20"/>
      <c r="R1844" s="20"/>
      <c r="S1844" s="20"/>
    </row>
    <row r="1845">
      <c r="A1845" s="68" t="s">
        <v>8014</v>
      </c>
      <c r="B1845" s="110">
        <v>46191.0</v>
      </c>
      <c r="C1845" s="158" t="s">
        <v>8015</v>
      </c>
      <c r="D1845" s="68">
        <v>8.5156911247E10</v>
      </c>
      <c r="E1845" s="25" t="s">
        <v>122</v>
      </c>
      <c r="F1845" s="25" t="s">
        <v>129</v>
      </c>
      <c r="G1845" s="25" t="s">
        <v>42</v>
      </c>
      <c r="H1845" s="76" t="s">
        <v>8016</v>
      </c>
      <c r="I1845" s="99" t="s">
        <v>8017</v>
      </c>
      <c r="J1845" s="76">
        <v>90.0</v>
      </c>
      <c r="K1845" s="46"/>
      <c r="L1845" s="76" t="s">
        <v>8018</v>
      </c>
      <c r="M1845" s="44">
        <v>8.0</v>
      </c>
      <c r="N1845" s="45"/>
      <c r="O1845" s="20"/>
      <c r="P1845" s="20"/>
      <c r="Q1845" s="20"/>
      <c r="R1845" s="20"/>
      <c r="S1845" s="20"/>
    </row>
    <row r="1846">
      <c r="A1846" s="68" t="s">
        <v>8019</v>
      </c>
      <c r="B1846" s="159">
        <v>46191.0</v>
      </c>
      <c r="C1846" s="158" t="s">
        <v>8020</v>
      </c>
      <c r="D1846" s="68">
        <v>8.9685150775E10</v>
      </c>
      <c r="E1846" s="25" t="s">
        <v>122</v>
      </c>
      <c r="F1846" s="25" t="s">
        <v>18</v>
      </c>
      <c r="G1846" s="25" t="s">
        <v>42</v>
      </c>
      <c r="H1846" s="49" t="s">
        <v>2462</v>
      </c>
      <c r="I1846" s="102" t="s">
        <v>8021</v>
      </c>
      <c r="J1846" s="49">
        <v>10.0</v>
      </c>
      <c r="K1846" s="30"/>
      <c r="L1846" s="49" t="s">
        <v>1927</v>
      </c>
      <c r="M1846" s="50">
        <v>8.0</v>
      </c>
      <c r="N1846" s="51"/>
      <c r="O1846" s="20"/>
      <c r="P1846" s="20"/>
      <c r="Q1846" s="20"/>
      <c r="R1846" s="20"/>
      <c r="S1846" s="20"/>
    </row>
    <row r="1847">
      <c r="A1847" s="68" t="s">
        <v>8022</v>
      </c>
      <c r="B1847" s="159">
        <v>46191.0</v>
      </c>
      <c r="C1847" s="158" t="s">
        <v>8023</v>
      </c>
      <c r="D1847" s="68">
        <v>8.1332739083E10</v>
      </c>
      <c r="E1847" s="25" t="s">
        <v>17</v>
      </c>
      <c r="F1847" s="25" t="s">
        <v>18</v>
      </c>
      <c r="G1847" s="25" t="s">
        <v>42</v>
      </c>
      <c r="H1847" s="76" t="s">
        <v>4074</v>
      </c>
      <c r="I1847" s="13"/>
      <c r="J1847" s="76">
        <v>4.0</v>
      </c>
      <c r="K1847" s="46"/>
      <c r="L1847" s="10"/>
      <c r="M1847" s="44">
        <v>8.0</v>
      </c>
      <c r="N1847" s="45"/>
      <c r="O1847" s="20"/>
      <c r="P1847" s="20"/>
      <c r="Q1847" s="20"/>
      <c r="R1847" s="20"/>
      <c r="S1847" s="20"/>
    </row>
    <row r="1848">
      <c r="A1848" s="49" t="s">
        <v>8024</v>
      </c>
      <c r="B1848" s="110">
        <v>46188.0</v>
      </c>
      <c r="C1848" s="49" t="s">
        <v>2510</v>
      </c>
      <c r="D1848" s="102" t="s">
        <v>8025</v>
      </c>
      <c r="E1848" s="25" t="s">
        <v>128</v>
      </c>
      <c r="F1848" s="25" t="s">
        <v>18</v>
      </c>
      <c r="G1848" s="25" t="s">
        <v>19</v>
      </c>
      <c r="H1848" s="49" t="s">
        <v>8026</v>
      </c>
      <c r="I1848" s="101">
        <v>46222.0</v>
      </c>
      <c r="J1848" s="49">
        <v>2.0</v>
      </c>
      <c r="K1848" s="30">
        <f>275000*2</f>
        <v>550000</v>
      </c>
      <c r="L1848" s="49" t="s">
        <v>1803</v>
      </c>
      <c r="M1848" s="50">
        <v>7.0</v>
      </c>
      <c r="N1848" s="51"/>
      <c r="O1848" s="20"/>
      <c r="P1848" s="20"/>
      <c r="Q1848" s="20"/>
      <c r="R1848" s="20"/>
      <c r="S1848" s="20"/>
    </row>
    <row r="1849">
      <c r="A1849" s="76" t="s">
        <v>8027</v>
      </c>
      <c r="B1849" s="97">
        <v>46191.0</v>
      </c>
      <c r="C1849" s="76" t="s">
        <v>8028</v>
      </c>
      <c r="D1849" s="99" t="s">
        <v>8029</v>
      </c>
      <c r="E1849" s="25" t="s">
        <v>17</v>
      </c>
      <c r="F1849" s="25" t="s">
        <v>129</v>
      </c>
      <c r="G1849" s="25" t="s">
        <v>19</v>
      </c>
      <c r="H1849" s="76" t="s">
        <v>3744</v>
      </c>
      <c r="I1849" s="118">
        <v>46192.0</v>
      </c>
      <c r="J1849" s="76">
        <v>4.0</v>
      </c>
      <c r="K1849" s="19">
        <v>1.425E7</v>
      </c>
      <c r="L1849" s="76" t="s">
        <v>6194</v>
      </c>
      <c r="M1849" s="44">
        <v>7.0</v>
      </c>
      <c r="N1849" s="45"/>
      <c r="O1849" s="20"/>
      <c r="P1849" s="20"/>
      <c r="Q1849" s="20"/>
      <c r="R1849" s="20"/>
      <c r="S1849" s="20"/>
    </row>
    <row r="1850">
      <c r="A1850" s="49" t="s">
        <v>8030</v>
      </c>
      <c r="B1850" s="110">
        <v>46192.0</v>
      </c>
      <c r="C1850" s="49" t="s">
        <v>8031</v>
      </c>
      <c r="D1850" s="102" t="s">
        <v>8032</v>
      </c>
      <c r="E1850" s="25" t="s">
        <v>17</v>
      </c>
      <c r="F1850" s="25" t="s">
        <v>983</v>
      </c>
      <c r="G1850" s="25" t="s">
        <v>42</v>
      </c>
      <c r="H1850" s="49" t="s">
        <v>86</v>
      </c>
      <c r="I1850" s="101">
        <v>46212.0</v>
      </c>
      <c r="J1850" s="49">
        <v>4.0</v>
      </c>
      <c r="K1850" s="30"/>
      <c r="L1850" s="49" t="s">
        <v>7926</v>
      </c>
      <c r="M1850" s="50">
        <v>8.0</v>
      </c>
      <c r="N1850" s="51"/>
      <c r="O1850" s="20"/>
      <c r="P1850" s="20"/>
      <c r="Q1850" s="20"/>
      <c r="R1850" s="20"/>
      <c r="S1850" s="20"/>
    </row>
    <row r="1851">
      <c r="A1851" s="76" t="s">
        <v>8033</v>
      </c>
      <c r="B1851" s="97">
        <v>46191.0</v>
      </c>
      <c r="C1851" s="76" t="s">
        <v>8034</v>
      </c>
      <c r="D1851" s="99" t="s">
        <v>8035</v>
      </c>
      <c r="E1851" s="25" t="s">
        <v>128</v>
      </c>
      <c r="F1851" s="25" t="s">
        <v>983</v>
      </c>
      <c r="G1851" s="25" t="s">
        <v>42</v>
      </c>
      <c r="H1851" s="76" t="s">
        <v>8036</v>
      </c>
      <c r="I1851" s="10"/>
      <c r="J1851" s="76">
        <v>2.0</v>
      </c>
      <c r="K1851" s="46"/>
      <c r="L1851" s="76" t="s">
        <v>5227</v>
      </c>
      <c r="M1851" s="44">
        <v>8.0</v>
      </c>
      <c r="N1851" s="45"/>
      <c r="O1851" s="20"/>
      <c r="P1851" s="20"/>
      <c r="Q1851" s="20"/>
      <c r="R1851" s="20"/>
      <c r="S1851" s="20"/>
    </row>
    <row r="1852">
      <c r="A1852" s="49" t="s">
        <v>8037</v>
      </c>
      <c r="B1852" s="110">
        <v>46191.0</v>
      </c>
      <c r="C1852" s="49" t="s">
        <v>8038</v>
      </c>
      <c r="D1852" s="102" t="s">
        <v>8039</v>
      </c>
      <c r="E1852" s="25" t="s">
        <v>17</v>
      </c>
      <c r="F1852" s="25" t="s">
        <v>18</v>
      </c>
      <c r="G1852" s="25" t="s">
        <v>42</v>
      </c>
      <c r="H1852" s="23"/>
      <c r="I1852" s="23"/>
      <c r="J1852" s="23"/>
      <c r="K1852" s="30"/>
      <c r="L1852" s="23"/>
      <c r="M1852" s="50">
        <v>8.0</v>
      </c>
      <c r="N1852" s="51"/>
      <c r="O1852" s="20"/>
      <c r="P1852" s="20"/>
      <c r="Q1852" s="20"/>
      <c r="R1852" s="20"/>
      <c r="S1852" s="20"/>
    </row>
    <row r="1853">
      <c r="A1853" s="76" t="s">
        <v>8040</v>
      </c>
      <c r="B1853" s="97">
        <v>46191.0</v>
      </c>
      <c r="C1853" s="76" t="s">
        <v>1424</v>
      </c>
      <c r="D1853" s="99" t="s">
        <v>8041</v>
      </c>
      <c r="E1853" s="25" t="s">
        <v>128</v>
      </c>
      <c r="F1853" s="25" t="s">
        <v>18</v>
      </c>
      <c r="G1853" s="25" t="s">
        <v>42</v>
      </c>
      <c r="H1853" s="10"/>
      <c r="I1853" s="10"/>
      <c r="J1853" s="10"/>
      <c r="K1853" s="46"/>
      <c r="L1853" s="10"/>
      <c r="M1853" s="44">
        <v>8.0</v>
      </c>
      <c r="N1853" s="45"/>
      <c r="O1853" s="20"/>
      <c r="P1853" s="20"/>
      <c r="Q1853" s="20"/>
      <c r="R1853" s="20"/>
      <c r="S1853" s="20"/>
    </row>
    <row r="1854">
      <c r="A1854" s="49" t="s">
        <v>8042</v>
      </c>
      <c r="B1854" s="110">
        <v>46191.0</v>
      </c>
      <c r="C1854" s="49" t="s">
        <v>2374</v>
      </c>
      <c r="D1854" s="102" t="s">
        <v>8043</v>
      </c>
      <c r="E1854" s="25" t="s">
        <v>17</v>
      </c>
      <c r="F1854" s="25" t="s">
        <v>18</v>
      </c>
      <c r="G1854" s="25" t="s">
        <v>19</v>
      </c>
      <c r="H1854" s="49" t="s">
        <v>8044</v>
      </c>
      <c r="I1854" s="23"/>
      <c r="J1854" s="23"/>
      <c r="K1854" s="30">
        <f>550000*2</f>
        <v>1100000</v>
      </c>
      <c r="L1854" s="49" t="s">
        <v>1763</v>
      </c>
      <c r="M1854" s="50">
        <v>7.0</v>
      </c>
      <c r="N1854" s="51"/>
      <c r="O1854" s="20"/>
      <c r="P1854" s="20"/>
      <c r="Q1854" s="20"/>
      <c r="R1854" s="20"/>
      <c r="S1854" s="20"/>
    </row>
    <row r="1855">
      <c r="A1855" s="76" t="s">
        <v>8045</v>
      </c>
      <c r="B1855" s="97">
        <v>46192.0</v>
      </c>
      <c r="C1855" s="76" t="s">
        <v>8046</v>
      </c>
      <c r="D1855" s="99" t="s">
        <v>8047</v>
      </c>
      <c r="E1855" s="25" t="s">
        <v>128</v>
      </c>
      <c r="F1855" s="25" t="s">
        <v>18</v>
      </c>
      <c r="G1855" s="25" t="s">
        <v>42</v>
      </c>
      <c r="H1855" s="10"/>
      <c r="I1855" s="10"/>
      <c r="J1855" s="10"/>
      <c r="K1855" s="46"/>
      <c r="L1855" s="10"/>
      <c r="M1855" s="44">
        <v>8.0</v>
      </c>
      <c r="N1855" s="45"/>
      <c r="O1855" s="20"/>
      <c r="P1855" s="20"/>
      <c r="Q1855" s="20"/>
      <c r="R1855" s="20"/>
      <c r="S1855" s="20"/>
    </row>
    <row r="1856">
      <c r="A1856" s="49" t="s">
        <v>8048</v>
      </c>
      <c r="B1856" s="110">
        <v>46192.0</v>
      </c>
      <c r="C1856" s="76" t="s">
        <v>8049</v>
      </c>
      <c r="D1856" s="102" t="s">
        <v>8050</v>
      </c>
      <c r="E1856" s="25" t="s">
        <v>17</v>
      </c>
      <c r="F1856" s="25" t="s">
        <v>983</v>
      </c>
      <c r="G1856" s="25" t="s">
        <v>42</v>
      </c>
      <c r="H1856" s="23"/>
      <c r="I1856" s="23"/>
      <c r="J1856" s="23"/>
      <c r="K1856" s="30"/>
      <c r="L1856" s="49" t="s">
        <v>7926</v>
      </c>
      <c r="M1856" s="50">
        <v>8.0</v>
      </c>
      <c r="N1856" s="51"/>
      <c r="O1856" s="20"/>
      <c r="P1856" s="20"/>
      <c r="Q1856" s="20"/>
      <c r="R1856" s="20"/>
      <c r="S1856" s="20"/>
    </row>
    <row r="1857">
      <c r="A1857" s="76" t="s">
        <v>8051</v>
      </c>
      <c r="B1857" s="97">
        <v>46192.0</v>
      </c>
      <c r="C1857" s="76" t="s">
        <v>1612</v>
      </c>
      <c r="D1857" s="99" t="s">
        <v>8052</v>
      </c>
      <c r="E1857" s="25" t="s">
        <v>128</v>
      </c>
      <c r="F1857" s="25" t="s">
        <v>18</v>
      </c>
      <c r="G1857" s="25" t="s">
        <v>42</v>
      </c>
      <c r="H1857" s="10"/>
      <c r="I1857" s="10"/>
      <c r="J1857" s="10"/>
      <c r="K1857" s="46"/>
      <c r="L1857" s="10"/>
      <c r="M1857" s="44">
        <v>8.0</v>
      </c>
      <c r="N1857" s="45"/>
      <c r="O1857" s="20"/>
      <c r="P1857" s="20"/>
      <c r="Q1857" s="20"/>
      <c r="R1857" s="20"/>
      <c r="S1857" s="20"/>
    </row>
    <row r="1858">
      <c r="A1858" s="49" t="s">
        <v>8053</v>
      </c>
      <c r="B1858" s="110">
        <v>46192.0</v>
      </c>
      <c r="C1858" s="49" t="s">
        <v>8054</v>
      </c>
      <c r="D1858" s="102" t="s">
        <v>8055</v>
      </c>
      <c r="E1858" s="25" t="s">
        <v>128</v>
      </c>
      <c r="F1858" s="25" t="s">
        <v>18</v>
      </c>
      <c r="G1858" s="25" t="s">
        <v>42</v>
      </c>
      <c r="H1858" s="23"/>
      <c r="I1858" s="23"/>
      <c r="J1858" s="23"/>
      <c r="K1858" s="30"/>
      <c r="L1858" s="23"/>
      <c r="M1858" s="50">
        <v>8.0</v>
      </c>
      <c r="N1858" s="51"/>
      <c r="O1858" s="20"/>
      <c r="P1858" s="20"/>
      <c r="Q1858" s="20"/>
      <c r="R1858" s="20"/>
      <c r="S1858" s="20"/>
    </row>
    <row r="1859">
      <c r="A1859" s="76" t="s">
        <v>8056</v>
      </c>
      <c r="B1859" s="97">
        <v>46192.0</v>
      </c>
      <c r="C1859" s="76" t="s">
        <v>8057</v>
      </c>
      <c r="D1859" s="99" t="s">
        <v>8058</v>
      </c>
      <c r="E1859" s="25" t="s">
        <v>17</v>
      </c>
      <c r="F1859" s="25" t="s">
        <v>983</v>
      </c>
      <c r="G1859" s="25" t="s">
        <v>29</v>
      </c>
      <c r="H1859" s="76" t="s">
        <v>8059</v>
      </c>
      <c r="I1859" s="10"/>
      <c r="J1859" s="10"/>
      <c r="K1859" s="46"/>
      <c r="L1859" s="76" t="s">
        <v>8060</v>
      </c>
      <c r="M1859" s="44">
        <v>1.0</v>
      </c>
      <c r="N1859" s="45"/>
      <c r="O1859" s="20"/>
      <c r="P1859" s="20"/>
      <c r="Q1859" s="20"/>
      <c r="R1859" s="20"/>
      <c r="S1859" s="20"/>
    </row>
    <row r="1860">
      <c r="A1860" s="49" t="s">
        <v>8061</v>
      </c>
      <c r="B1860" s="110">
        <v>46192.0</v>
      </c>
      <c r="C1860" s="49" t="s">
        <v>8062</v>
      </c>
      <c r="D1860" s="102" t="s">
        <v>8063</v>
      </c>
      <c r="E1860" s="25" t="s">
        <v>17</v>
      </c>
      <c r="F1860" s="25" t="s">
        <v>983</v>
      </c>
      <c r="G1860" s="25" t="s">
        <v>19</v>
      </c>
      <c r="H1860" s="49" t="s">
        <v>172</v>
      </c>
      <c r="I1860" s="101">
        <v>46197.0</v>
      </c>
      <c r="J1860" s="49">
        <v>2.0</v>
      </c>
      <c r="K1860" s="30">
        <f>1600000*2</f>
        <v>3200000</v>
      </c>
      <c r="L1860" s="49" t="s">
        <v>6471</v>
      </c>
      <c r="M1860" s="50">
        <v>7.0</v>
      </c>
      <c r="N1860" s="51"/>
      <c r="O1860" s="20"/>
      <c r="P1860" s="20"/>
      <c r="Q1860" s="20"/>
      <c r="R1860" s="20"/>
      <c r="S1860" s="20"/>
    </row>
    <row r="1861">
      <c r="A1861" s="76" t="s">
        <v>8064</v>
      </c>
      <c r="B1861" s="97">
        <v>46192.0</v>
      </c>
      <c r="C1861" s="76" t="s">
        <v>8065</v>
      </c>
      <c r="D1861" s="99" t="s">
        <v>8066</v>
      </c>
      <c r="E1861" s="25" t="s">
        <v>128</v>
      </c>
      <c r="F1861" s="25" t="s">
        <v>129</v>
      </c>
      <c r="G1861" s="25" t="s">
        <v>19</v>
      </c>
      <c r="H1861" s="76" t="s">
        <v>747</v>
      </c>
      <c r="I1861" s="118">
        <v>46194.0</v>
      </c>
      <c r="J1861" s="76">
        <v>4.0</v>
      </c>
      <c r="K1861" s="46">
        <f>SUM(275000*4)</f>
        <v>1100000</v>
      </c>
      <c r="L1861" s="76" t="s">
        <v>8067</v>
      </c>
      <c r="M1861" s="44">
        <v>7.0</v>
      </c>
      <c r="N1861" s="45"/>
      <c r="O1861" s="20"/>
      <c r="P1861" s="20"/>
      <c r="Q1861" s="20"/>
      <c r="R1861" s="20"/>
      <c r="S1861" s="20"/>
    </row>
    <row r="1862">
      <c r="A1862" s="49" t="s">
        <v>8068</v>
      </c>
      <c r="B1862" s="110">
        <v>46192.0</v>
      </c>
      <c r="C1862" s="49" t="s">
        <v>8069</v>
      </c>
      <c r="D1862" s="102" t="s">
        <v>8070</v>
      </c>
      <c r="E1862" s="25" t="s">
        <v>128</v>
      </c>
      <c r="F1862" s="25" t="s">
        <v>18</v>
      </c>
      <c r="G1862" s="25" t="s">
        <v>42</v>
      </c>
      <c r="H1862" s="49" t="s">
        <v>6419</v>
      </c>
      <c r="I1862" s="49" t="s">
        <v>8071</v>
      </c>
      <c r="J1862" s="49">
        <v>24.0</v>
      </c>
      <c r="K1862" s="30"/>
      <c r="L1862" s="23"/>
      <c r="M1862" s="50">
        <v>8.0</v>
      </c>
      <c r="N1862" s="51"/>
      <c r="O1862" s="20"/>
      <c r="P1862" s="20"/>
      <c r="Q1862" s="20"/>
      <c r="R1862" s="20"/>
      <c r="S1862" s="20"/>
    </row>
    <row r="1863">
      <c r="A1863" s="49" t="s">
        <v>8072</v>
      </c>
      <c r="B1863" s="97">
        <v>46192.0</v>
      </c>
      <c r="C1863" s="76" t="s">
        <v>8073</v>
      </c>
      <c r="D1863" s="99" t="s">
        <v>8074</v>
      </c>
      <c r="E1863" s="25" t="s">
        <v>1877</v>
      </c>
      <c r="F1863" s="25" t="s">
        <v>18</v>
      </c>
      <c r="G1863" s="25" t="s">
        <v>42</v>
      </c>
      <c r="H1863" s="76" t="s">
        <v>5473</v>
      </c>
      <c r="I1863" s="10"/>
      <c r="J1863" s="76">
        <v>2.0</v>
      </c>
      <c r="K1863" s="46"/>
      <c r="L1863" s="10"/>
      <c r="M1863" s="44">
        <v>8.0</v>
      </c>
      <c r="N1863" s="45"/>
      <c r="O1863" s="20"/>
      <c r="P1863" s="20"/>
      <c r="Q1863" s="20"/>
      <c r="R1863" s="20"/>
      <c r="S1863" s="20"/>
    </row>
    <row r="1864">
      <c r="A1864" s="49" t="s">
        <v>8075</v>
      </c>
      <c r="B1864" s="110">
        <v>46192.0</v>
      </c>
      <c r="C1864" s="49" t="s">
        <v>3748</v>
      </c>
      <c r="D1864" s="102" t="s">
        <v>8076</v>
      </c>
      <c r="E1864" s="25" t="s">
        <v>122</v>
      </c>
      <c r="F1864" s="25" t="s">
        <v>18</v>
      </c>
      <c r="G1864" s="25" t="s">
        <v>42</v>
      </c>
      <c r="H1864" s="49" t="s">
        <v>8077</v>
      </c>
      <c r="I1864" s="49"/>
      <c r="J1864" s="49">
        <v>6.0</v>
      </c>
      <c r="K1864" s="30"/>
      <c r="L1864" s="49" t="s">
        <v>8078</v>
      </c>
      <c r="M1864" s="50">
        <v>8.0</v>
      </c>
      <c r="N1864" s="51"/>
      <c r="O1864" s="20"/>
      <c r="P1864" s="20"/>
      <c r="Q1864" s="20"/>
      <c r="R1864" s="20"/>
      <c r="S1864" s="20"/>
    </row>
    <row r="1865">
      <c r="A1865" s="49" t="s">
        <v>8079</v>
      </c>
      <c r="B1865" s="97">
        <v>46192.0</v>
      </c>
      <c r="C1865" s="76" t="s">
        <v>8080</v>
      </c>
      <c r="D1865" s="99" t="s">
        <v>8081</v>
      </c>
      <c r="E1865" s="25" t="s">
        <v>128</v>
      </c>
      <c r="F1865" s="25" t="s">
        <v>18</v>
      </c>
      <c r="G1865" s="25" t="s">
        <v>42</v>
      </c>
      <c r="H1865" s="10"/>
      <c r="I1865" s="10"/>
      <c r="J1865" s="10"/>
      <c r="K1865" s="46"/>
      <c r="L1865" s="10"/>
      <c r="M1865" s="44">
        <v>8.0</v>
      </c>
      <c r="N1865" s="45"/>
      <c r="O1865" s="20"/>
      <c r="P1865" s="20"/>
      <c r="Q1865" s="20"/>
      <c r="R1865" s="20"/>
      <c r="S1865" s="20"/>
    </row>
    <row r="1866">
      <c r="A1866" s="49" t="s">
        <v>8082</v>
      </c>
      <c r="B1866" s="110">
        <v>46192.0</v>
      </c>
      <c r="C1866" s="49" t="s">
        <v>8083</v>
      </c>
      <c r="D1866" s="102" t="s">
        <v>8084</v>
      </c>
      <c r="E1866" s="25" t="s">
        <v>128</v>
      </c>
      <c r="F1866" s="25" t="s">
        <v>18</v>
      </c>
      <c r="G1866" s="25" t="s">
        <v>42</v>
      </c>
      <c r="H1866" s="23"/>
      <c r="I1866" s="23"/>
      <c r="J1866" s="49">
        <v>3.0</v>
      </c>
      <c r="K1866" s="30"/>
      <c r="L1866" s="23"/>
      <c r="M1866" s="50">
        <v>8.0</v>
      </c>
      <c r="N1866" s="51"/>
      <c r="O1866" s="20"/>
      <c r="P1866" s="20"/>
      <c r="Q1866" s="20"/>
      <c r="R1866" s="20"/>
      <c r="S1866" s="20"/>
    </row>
    <row r="1867">
      <c r="A1867" s="49" t="s">
        <v>8085</v>
      </c>
      <c r="B1867" s="97">
        <v>46192.0</v>
      </c>
      <c r="C1867" s="76" t="s">
        <v>8086</v>
      </c>
      <c r="D1867" s="99" t="s">
        <v>8087</v>
      </c>
      <c r="E1867" s="25" t="s">
        <v>128</v>
      </c>
      <c r="F1867" s="25" t="s">
        <v>18</v>
      </c>
      <c r="G1867" s="25" t="s">
        <v>42</v>
      </c>
      <c r="H1867" s="76" t="s">
        <v>1543</v>
      </c>
      <c r="I1867" s="76" t="s">
        <v>8088</v>
      </c>
      <c r="J1867" s="76">
        <v>3.0</v>
      </c>
      <c r="K1867" s="46"/>
      <c r="L1867" s="10"/>
      <c r="M1867" s="44">
        <v>8.0</v>
      </c>
      <c r="N1867" s="45"/>
      <c r="O1867" s="20"/>
      <c r="P1867" s="20"/>
      <c r="Q1867" s="20"/>
      <c r="R1867" s="20"/>
      <c r="S1867" s="20"/>
    </row>
    <row r="1868">
      <c r="A1868" s="49" t="s">
        <v>8089</v>
      </c>
      <c r="B1868" s="110">
        <v>46193.0</v>
      </c>
      <c r="C1868" s="49" t="s">
        <v>8090</v>
      </c>
      <c r="D1868" s="102" t="s">
        <v>8091</v>
      </c>
      <c r="E1868" s="25" t="s">
        <v>128</v>
      </c>
      <c r="F1868" s="25" t="s">
        <v>18</v>
      </c>
      <c r="G1868" s="25" t="s">
        <v>19</v>
      </c>
      <c r="H1868" s="49" t="s">
        <v>3395</v>
      </c>
      <c r="I1868" s="156">
        <v>46200.0</v>
      </c>
      <c r="J1868" s="49">
        <v>2.0</v>
      </c>
      <c r="K1868" s="30"/>
      <c r="L1868" s="23"/>
      <c r="M1868" s="50">
        <v>7.0</v>
      </c>
      <c r="N1868" s="51"/>
      <c r="O1868" s="20"/>
      <c r="P1868" s="20"/>
      <c r="Q1868" s="20"/>
      <c r="R1868" s="20"/>
      <c r="S1868" s="20"/>
    </row>
    <row r="1869">
      <c r="A1869" s="76" t="s">
        <v>8092</v>
      </c>
      <c r="B1869" s="97">
        <v>46193.0</v>
      </c>
      <c r="C1869" s="76" t="s">
        <v>8093</v>
      </c>
      <c r="D1869" s="99" t="s">
        <v>8094</v>
      </c>
      <c r="E1869" s="25" t="s">
        <v>122</v>
      </c>
      <c r="F1869" s="25" t="s">
        <v>18</v>
      </c>
      <c r="G1869" s="25" t="s">
        <v>19</v>
      </c>
      <c r="H1869" s="10"/>
      <c r="I1869" s="10"/>
      <c r="J1869" s="10"/>
      <c r="K1869" s="46"/>
      <c r="L1869" s="10"/>
      <c r="M1869" s="44">
        <v>7.0</v>
      </c>
      <c r="N1869" s="45"/>
      <c r="O1869" s="20"/>
      <c r="P1869" s="20"/>
      <c r="Q1869" s="20"/>
      <c r="R1869" s="20"/>
      <c r="S1869" s="20"/>
    </row>
    <row r="1870">
      <c r="A1870" s="49" t="s">
        <v>8095</v>
      </c>
      <c r="B1870" s="110">
        <v>46193.0</v>
      </c>
      <c r="C1870" s="49" t="s">
        <v>8096</v>
      </c>
      <c r="D1870" s="102" t="s">
        <v>8097</v>
      </c>
      <c r="E1870" s="25" t="s">
        <v>128</v>
      </c>
      <c r="F1870" s="25" t="s">
        <v>18</v>
      </c>
      <c r="G1870" s="25" t="s">
        <v>42</v>
      </c>
      <c r="H1870" s="23"/>
      <c r="I1870" s="23"/>
      <c r="J1870" s="23"/>
      <c r="K1870" s="30"/>
      <c r="L1870" s="23"/>
      <c r="M1870" s="50">
        <v>8.0</v>
      </c>
      <c r="N1870" s="51"/>
      <c r="O1870" s="20"/>
      <c r="P1870" s="20"/>
      <c r="Q1870" s="20"/>
      <c r="R1870" s="20"/>
      <c r="S1870" s="20"/>
    </row>
    <row r="1871">
      <c r="A1871" s="76" t="s">
        <v>8098</v>
      </c>
      <c r="B1871" s="97">
        <v>46194.0</v>
      </c>
      <c r="C1871" s="76" t="s">
        <v>8099</v>
      </c>
      <c r="D1871" s="99" t="s">
        <v>8100</v>
      </c>
      <c r="E1871" s="25" t="s">
        <v>128</v>
      </c>
      <c r="F1871" s="25" t="s">
        <v>18</v>
      </c>
      <c r="G1871" s="25" t="s">
        <v>42</v>
      </c>
      <c r="H1871" s="10"/>
      <c r="I1871" s="10"/>
      <c r="J1871" s="10"/>
      <c r="K1871" s="46"/>
      <c r="L1871" s="10"/>
      <c r="M1871" s="44">
        <v>8.0</v>
      </c>
      <c r="N1871" s="45"/>
      <c r="O1871" s="20"/>
      <c r="P1871" s="20"/>
      <c r="Q1871" s="20"/>
      <c r="R1871" s="20"/>
      <c r="S1871" s="20"/>
    </row>
    <row r="1872">
      <c r="A1872" s="49" t="s">
        <v>8101</v>
      </c>
      <c r="B1872" s="110">
        <v>46193.0</v>
      </c>
      <c r="C1872" s="49" t="s">
        <v>3173</v>
      </c>
      <c r="D1872" s="102" t="s">
        <v>8102</v>
      </c>
      <c r="E1872" s="25" t="s">
        <v>122</v>
      </c>
      <c r="F1872" s="25" t="s">
        <v>983</v>
      </c>
      <c r="G1872" s="25" t="s">
        <v>29</v>
      </c>
      <c r="H1872" s="49" t="s">
        <v>2327</v>
      </c>
      <c r="I1872" s="23"/>
      <c r="J1872" s="23"/>
      <c r="K1872" s="30"/>
      <c r="L1872" s="49" t="s">
        <v>8103</v>
      </c>
      <c r="M1872" s="50">
        <v>1.0</v>
      </c>
      <c r="N1872" s="51"/>
      <c r="O1872" s="20"/>
      <c r="P1872" s="20"/>
      <c r="Q1872" s="20"/>
      <c r="R1872" s="20"/>
      <c r="S1872" s="20"/>
    </row>
    <row r="1873">
      <c r="A1873" s="76" t="s">
        <v>8104</v>
      </c>
      <c r="B1873" s="97">
        <v>46194.0</v>
      </c>
      <c r="C1873" s="76" t="s">
        <v>3978</v>
      </c>
      <c r="D1873" s="99" t="s">
        <v>8105</v>
      </c>
      <c r="E1873" s="25" t="s">
        <v>128</v>
      </c>
      <c r="F1873" s="25" t="s">
        <v>18</v>
      </c>
      <c r="G1873" s="25" t="s">
        <v>57</v>
      </c>
      <c r="H1873" s="76" t="s">
        <v>8106</v>
      </c>
      <c r="I1873" s="76" t="s">
        <v>8107</v>
      </c>
      <c r="J1873" s="76">
        <v>1.0</v>
      </c>
      <c r="K1873" s="46"/>
      <c r="L1873" s="76" t="s">
        <v>8108</v>
      </c>
      <c r="M1873" s="44">
        <v>5.0</v>
      </c>
      <c r="N1873" s="45"/>
      <c r="O1873" s="20"/>
      <c r="P1873" s="20"/>
      <c r="Q1873" s="20"/>
      <c r="R1873" s="20"/>
      <c r="S1873" s="20"/>
    </row>
    <row r="1874">
      <c r="A1874" s="49" t="s">
        <v>8109</v>
      </c>
      <c r="B1874" s="110">
        <v>46193.0</v>
      </c>
      <c r="C1874" s="49" t="s">
        <v>8110</v>
      </c>
      <c r="D1874" s="102" t="s">
        <v>8111</v>
      </c>
      <c r="E1874" s="25" t="s">
        <v>17</v>
      </c>
      <c r="F1874" s="25" t="s">
        <v>983</v>
      </c>
      <c r="G1874" s="25" t="s">
        <v>34</v>
      </c>
      <c r="H1874" s="49" t="s">
        <v>2462</v>
      </c>
      <c r="I1874" s="49" t="s">
        <v>8112</v>
      </c>
      <c r="J1874" s="49">
        <v>11.0</v>
      </c>
      <c r="K1874" s="30">
        <f>1650000*11</f>
        <v>18150000</v>
      </c>
      <c r="L1874" s="49" t="s">
        <v>8113</v>
      </c>
      <c r="M1874" s="50">
        <v>2.0</v>
      </c>
      <c r="N1874" s="51"/>
      <c r="O1874" s="20"/>
      <c r="P1874" s="20"/>
      <c r="Q1874" s="20"/>
      <c r="R1874" s="20"/>
      <c r="S1874" s="20"/>
    </row>
    <row r="1875">
      <c r="A1875" s="76" t="s">
        <v>8114</v>
      </c>
      <c r="B1875" s="97">
        <v>46193.0</v>
      </c>
      <c r="C1875" s="76" t="s">
        <v>8115</v>
      </c>
      <c r="D1875" s="99" t="s">
        <v>8116</v>
      </c>
      <c r="E1875" s="25" t="s">
        <v>17</v>
      </c>
      <c r="F1875" s="25" t="s">
        <v>983</v>
      </c>
      <c r="G1875" s="25" t="s">
        <v>42</v>
      </c>
      <c r="H1875" s="10"/>
      <c r="I1875" s="76" t="s">
        <v>8117</v>
      </c>
      <c r="J1875" s="76">
        <v>3.0</v>
      </c>
      <c r="K1875" s="46"/>
      <c r="L1875" s="76" t="s">
        <v>7926</v>
      </c>
      <c r="M1875" s="44">
        <v>8.0</v>
      </c>
      <c r="N1875" s="45"/>
      <c r="O1875" s="20"/>
      <c r="P1875" s="20"/>
      <c r="Q1875" s="20"/>
      <c r="R1875" s="20"/>
      <c r="S1875" s="20"/>
    </row>
    <row r="1876">
      <c r="A1876" s="49" t="s">
        <v>8118</v>
      </c>
      <c r="B1876" s="110">
        <v>46193.0</v>
      </c>
      <c r="C1876" s="49" t="s">
        <v>8119</v>
      </c>
      <c r="D1876" s="102" t="s">
        <v>8120</v>
      </c>
      <c r="E1876" s="25" t="s">
        <v>17</v>
      </c>
      <c r="F1876" s="25" t="s">
        <v>983</v>
      </c>
      <c r="G1876" s="25" t="s">
        <v>42</v>
      </c>
      <c r="H1876" s="49" t="s">
        <v>2327</v>
      </c>
      <c r="I1876" s="49" t="s">
        <v>8121</v>
      </c>
      <c r="J1876" s="23"/>
      <c r="K1876" s="30"/>
      <c r="L1876" s="49" t="s">
        <v>7926</v>
      </c>
      <c r="M1876" s="50">
        <v>8.0</v>
      </c>
      <c r="N1876" s="51"/>
      <c r="O1876" s="20"/>
      <c r="P1876" s="20"/>
      <c r="Q1876" s="20"/>
      <c r="R1876" s="20"/>
      <c r="S1876" s="20"/>
    </row>
    <row r="1877">
      <c r="A1877" s="76" t="s">
        <v>8122</v>
      </c>
      <c r="B1877" s="97">
        <v>46194.0</v>
      </c>
      <c r="C1877" s="76" t="s">
        <v>8123</v>
      </c>
      <c r="D1877" s="99" t="s">
        <v>8124</v>
      </c>
      <c r="E1877" s="25" t="s">
        <v>17</v>
      </c>
      <c r="F1877" s="25" t="s">
        <v>983</v>
      </c>
      <c r="G1877" s="25" t="s">
        <v>19</v>
      </c>
      <c r="H1877" s="76" t="s">
        <v>8125</v>
      </c>
      <c r="I1877" s="106">
        <v>46203.0</v>
      </c>
      <c r="J1877" s="76">
        <v>3.0</v>
      </c>
      <c r="K1877" s="19">
        <v>2157000.0</v>
      </c>
      <c r="L1877" s="76" t="s">
        <v>985</v>
      </c>
      <c r="M1877" s="44">
        <v>7.0</v>
      </c>
      <c r="N1877" s="45"/>
      <c r="O1877" s="20"/>
      <c r="P1877" s="20"/>
      <c r="Q1877" s="20"/>
      <c r="R1877" s="20"/>
      <c r="S1877" s="20"/>
    </row>
    <row r="1878">
      <c r="A1878" s="49" t="s">
        <v>8126</v>
      </c>
      <c r="B1878" s="110">
        <v>46192.0</v>
      </c>
      <c r="C1878" s="49" t="s">
        <v>8127</v>
      </c>
      <c r="D1878" s="102" t="s">
        <v>8128</v>
      </c>
      <c r="E1878" s="25" t="s">
        <v>128</v>
      </c>
      <c r="F1878" s="25" t="s">
        <v>129</v>
      </c>
      <c r="G1878" s="25" t="s">
        <v>42</v>
      </c>
      <c r="H1878" s="49" t="s">
        <v>123</v>
      </c>
      <c r="I1878" s="101">
        <v>46227.0</v>
      </c>
      <c r="J1878" s="49">
        <v>3.0</v>
      </c>
      <c r="K1878" s="30"/>
      <c r="L1878" s="49" t="s">
        <v>8129</v>
      </c>
      <c r="M1878" s="50">
        <v>8.0</v>
      </c>
      <c r="N1878" s="51"/>
      <c r="O1878" s="20"/>
      <c r="P1878" s="20"/>
      <c r="Q1878" s="20"/>
      <c r="R1878" s="20"/>
      <c r="S1878" s="20"/>
    </row>
    <row r="1879">
      <c r="A1879" s="76" t="s">
        <v>8130</v>
      </c>
      <c r="B1879" s="97">
        <v>46192.0</v>
      </c>
      <c r="C1879" s="76" t="s">
        <v>8131</v>
      </c>
      <c r="D1879" s="99" t="s">
        <v>8132</v>
      </c>
      <c r="E1879" s="25" t="s">
        <v>128</v>
      </c>
      <c r="F1879" s="25" t="s">
        <v>129</v>
      </c>
      <c r="G1879" s="25" t="s">
        <v>19</v>
      </c>
      <c r="H1879" s="76" t="s">
        <v>747</v>
      </c>
      <c r="I1879" s="118">
        <v>46213.0</v>
      </c>
      <c r="J1879" s="76">
        <v>2.0</v>
      </c>
      <c r="K1879" s="46">
        <f>SUM(400000*4)</f>
        <v>1600000</v>
      </c>
      <c r="L1879" s="76" t="s">
        <v>6194</v>
      </c>
      <c r="M1879" s="44">
        <v>7.0</v>
      </c>
      <c r="N1879" s="45"/>
      <c r="O1879" s="20"/>
      <c r="P1879" s="20"/>
      <c r="Q1879" s="20"/>
      <c r="R1879" s="20"/>
      <c r="S1879" s="20"/>
    </row>
    <row r="1880">
      <c r="A1880" s="49" t="s">
        <v>8133</v>
      </c>
      <c r="B1880" s="110">
        <v>46191.0</v>
      </c>
      <c r="C1880" s="49" t="s">
        <v>8134</v>
      </c>
      <c r="D1880" s="102" t="s">
        <v>8135</v>
      </c>
      <c r="E1880" s="25" t="s">
        <v>128</v>
      </c>
      <c r="F1880" s="25" t="s">
        <v>129</v>
      </c>
      <c r="G1880" s="25" t="s">
        <v>29</v>
      </c>
      <c r="H1880" s="49" t="s">
        <v>6130</v>
      </c>
      <c r="I1880" s="101">
        <v>46209.0</v>
      </c>
      <c r="J1880" s="49">
        <v>5.0</v>
      </c>
      <c r="K1880" s="30"/>
      <c r="L1880" s="49" t="s">
        <v>8113</v>
      </c>
      <c r="M1880" s="50">
        <v>1.0</v>
      </c>
      <c r="N1880" s="51"/>
      <c r="O1880" s="20"/>
      <c r="P1880" s="20"/>
      <c r="Q1880" s="20"/>
      <c r="R1880" s="20"/>
      <c r="S1880" s="20"/>
    </row>
    <row r="1881">
      <c r="A1881" s="76" t="s">
        <v>8136</v>
      </c>
      <c r="B1881" s="97">
        <v>46192.0</v>
      </c>
      <c r="C1881" s="76" t="s">
        <v>8137</v>
      </c>
      <c r="D1881" s="99" t="s">
        <v>8138</v>
      </c>
      <c r="E1881" s="25" t="s">
        <v>17</v>
      </c>
      <c r="F1881" s="25" t="s">
        <v>129</v>
      </c>
      <c r="G1881" s="25" t="s">
        <v>19</v>
      </c>
      <c r="H1881" s="76" t="s">
        <v>8139</v>
      </c>
      <c r="I1881" s="118">
        <v>46197.0</v>
      </c>
      <c r="J1881" s="76">
        <v>4.0</v>
      </c>
      <c r="K1881" s="19">
        <v>5950000.0</v>
      </c>
      <c r="L1881" s="76" t="s">
        <v>6119</v>
      </c>
      <c r="M1881" s="44">
        <v>7.0</v>
      </c>
      <c r="N1881" s="45"/>
      <c r="O1881" s="20"/>
      <c r="P1881" s="20"/>
      <c r="Q1881" s="20"/>
      <c r="R1881" s="20"/>
      <c r="S1881" s="20"/>
    </row>
    <row r="1882">
      <c r="A1882" s="49" t="s">
        <v>8140</v>
      </c>
      <c r="B1882" s="110">
        <v>46192.0</v>
      </c>
      <c r="C1882" s="49" t="s">
        <v>8141</v>
      </c>
      <c r="D1882" s="102" t="s">
        <v>8063</v>
      </c>
      <c r="E1882" s="25" t="s">
        <v>17</v>
      </c>
      <c r="F1882" s="25" t="s">
        <v>129</v>
      </c>
      <c r="G1882" s="25" t="s">
        <v>42</v>
      </c>
      <c r="H1882" s="49" t="s">
        <v>260</v>
      </c>
      <c r="I1882" s="101">
        <v>46197.0</v>
      </c>
      <c r="J1882" s="49">
        <v>2.0</v>
      </c>
      <c r="K1882" s="30"/>
      <c r="L1882" s="49" t="s">
        <v>4352</v>
      </c>
      <c r="M1882" s="50">
        <v>8.0</v>
      </c>
      <c r="N1882" s="51"/>
      <c r="O1882" s="20"/>
      <c r="P1882" s="20"/>
      <c r="Q1882" s="20"/>
      <c r="R1882" s="20"/>
      <c r="S1882" s="20"/>
    </row>
    <row r="1883">
      <c r="A1883" s="76" t="s">
        <v>8142</v>
      </c>
      <c r="B1883" s="97">
        <v>46192.0</v>
      </c>
      <c r="C1883" s="76" t="s">
        <v>8143</v>
      </c>
      <c r="D1883" s="99" t="s">
        <v>8144</v>
      </c>
      <c r="E1883" s="25" t="s">
        <v>122</v>
      </c>
      <c r="F1883" s="25" t="s">
        <v>129</v>
      </c>
      <c r="G1883" s="25" t="s">
        <v>42</v>
      </c>
      <c r="H1883" s="76" t="s">
        <v>8145</v>
      </c>
      <c r="I1883" s="10"/>
      <c r="J1883" s="76">
        <v>2.0</v>
      </c>
      <c r="K1883" s="46"/>
      <c r="L1883" s="76" t="s">
        <v>5590</v>
      </c>
      <c r="M1883" s="44">
        <v>8.0</v>
      </c>
      <c r="N1883" s="45"/>
      <c r="O1883" s="20"/>
      <c r="P1883" s="20"/>
      <c r="Q1883" s="20"/>
      <c r="R1883" s="20"/>
      <c r="S1883" s="20"/>
    </row>
    <row r="1884">
      <c r="A1884" s="49" t="s">
        <v>8146</v>
      </c>
      <c r="B1884" s="110">
        <v>46192.0</v>
      </c>
      <c r="C1884" s="49" t="s">
        <v>8147</v>
      </c>
      <c r="D1884" s="102" t="s">
        <v>8148</v>
      </c>
      <c r="E1884" s="25" t="s">
        <v>128</v>
      </c>
      <c r="F1884" s="25" t="s">
        <v>129</v>
      </c>
      <c r="G1884" s="25" t="s">
        <v>29</v>
      </c>
      <c r="H1884" s="49" t="s">
        <v>8149</v>
      </c>
      <c r="I1884" s="23"/>
      <c r="J1884" s="49">
        <v>2.0</v>
      </c>
      <c r="K1884" s="30"/>
      <c r="L1884" s="49" t="s">
        <v>8150</v>
      </c>
      <c r="M1884" s="50">
        <v>1.0</v>
      </c>
      <c r="N1884" s="51"/>
      <c r="O1884" s="20"/>
      <c r="P1884" s="20"/>
      <c r="Q1884" s="20"/>
      <c r="R1884" s="20"/>
      <c r="S1884" s="20"/>
    </row>
    <row r="1885">
      <c r="A1885" s="76" t="s">
        <v>8151</v>
      </c>
      <c r="B1885" s="97">
        <v>46192.0</v>
      </c>
      <c r="C1885" s="76" t="s">
        <v>8152</v>
      </c>
      <c r="D1885" s="99" t="s">
        <v>8153</v>
      </c>
      <c r="E1885" s="25" t="s">
        <v>128</v>
      </c>
      <c r="F1885" s="25" t="s">
        <v>129</v>
      </c>
      <c r="G1885" s="25" t="s">
        <v>29</v>
      </c>
      <c r="H1885" s="10"/>
      <c r="I1885" s="10"/>
      <c r="J1885" s="10"/>
      <c r="K1885" s="46"/>
      <c r="L1885" s="76" t="s">
        <v>8154</v>
      </c>
      <c r="M1885" s="44">
        <v>1.0</v>
      </c>
      <c r="N1885" s="45"/>
      <c r="O1885" s="20"/>
      <c r="P1885" s="20"/>
      <c r="Q1885" s="20"/>
      <c r="R1885" s="20"/>
      <c r="S1885" s="20"/>
    </row>
    <row r="1886">
      <c r="A1886" s="49" t="s">
        <v>8155</v>
      </c>
      <c r="B1886" s="110">
        <v>46193.0</v>
      </c>
      <c r="C1886" s="49" t="s">
        <v>8156</v>
      </c>
      <c r="D1886" s="102" t="s">
        <v>8157</v>
      </c>
      <c r="E1886" s="25" t="s">
        <v>128</v>
      </c>
      <c r="F1886" s="25" t="s">
        <v>129</v>
      </c>
      <c r="G1886" s="25" t="s">
        <v>29</v>
      </c>
      <c r="H1886" s="49" t="s">
        <v>8158</v>
      </c>
      <c r="I1886" s="23"/>
      <c r="J1886" s="49">
        <v>4.0</v>
      </c>
      <c r="K1886" s="30"/>
      <c r="L1886" s="49" t="s">
        <v>8154</v>
      </c>
      <c r="M1886" s="50">
        <v>1.0</v>
      </c>
      <c r="N1886" s="51"/>
      <c r="O1886" s="20"/>
      <c r="P1886" s="20"/>
      <c r="Q1886" s="20"/>
      <c r="R1886" s="20"/>
      <c r="S1886" s="20"/>
    </row>
    <row r="1887">
      <c r="A1887" s="76" t="s">
        <v>8159</v>
      </c>
      <c r="B1887" s="97">
        <v>46193.0</v>
      </c>
      <c r="C1887" s="76" t="s">
        <v>8160</v>
      </c>
      <c r="D1887" s="99" t="s">
        <v>8161</v>
      </c>
      <c r="E1887" s="25" t="s">
        <v>128</v>
      </c>
      <c r="F1887" s="25" t="s">
        <v>129</v>
      </c>
      <c r="G1887" s="25" t="s">
        <v>29</v>
      </c>
      <c r="H1887" s="76" t="s">
        <v>3837</v>
      </c>
      <c r="I1887" s="76" t="s">
        <v>8162</v>
      </c>
      <c r="J1887" s="76">
        <v>1.0</v>
      </c>
      <c r="K1887" s="46"/>
      <c r="L1887" s="76" t="s">
        <v>8163</v>
      </c>
      <c r="M1887" s="44">
        <v>1.0</v>
      </c>
      <c r="N1887" s="45"/>
      <c r="O1887" s="20"/>
      <c r="P1887" s="20"/>
      <c r="Q1887" s="20"/>
      <c r="R1887" s="20"/>
      <c r="S1887" s="20"/>
    </row>
    <row r="1888">
      <c r="A1888" s="49" t="s">
        <v>8164</v>
      </c>
      <c r="B1888" s="110">
        <v>46193.0</v>
      </c>
      <c r="C1888" s="49" t="s">
        <v>8165</v>
      </c>
      <c r="D1888" s="102" t="s">
        <v>8166</v>
      </c>
      <c r="E1888" s="25" t="s">
        <v>128</v>
      </c>
      <c r="F1888" s="25" t="s">
        <v>129</v>
      </c>
      <c r="G1888" s="25" t="s">
        <v>29</v>
      </c>
      <c r="H1888" s="49" t="s">
        <v>8167</v>
      </c>
      <c r="I1888" s="49" t="s">
        <v>8168</v>
      </c>
      <c r="J1888" s="49">
        <v>5.0</v>
      </c>
      <c r="K1888" s="30"/>
      <c r="L1888" s="49" t="s">
        <v>7971</v>
      </c>
      <c r="M1888" s="50">
        <v>1.0</v>
      </c>
      <c r="N1888" s="51"/>
      <c r="O1888" s="20"/>
      <c r="P1888" s="20"/>
      <c r="Q1888" s="20"/>
      <c r="R1888" s="20"/>
      <c r="S1888" s="20"/>
    </row>
    <row r="1889">
      <c r="A1889" s="76" t="s">
        <v>8169</v>
      </c>
      <c r="B1889" s="97">
        <v>46193.0</v>
      </c>
      <c r="C1889" s="76" t="s">
        <v>5318</v>
      </c>
      <c r="D1889" s="99" t="s">
        <v>8170</v>
      </c>
      <c r="E1889" s="25" t="s">
        <v>17</v>
      </c>
      <c r="F1889" s="25" t="s">
        <v>129</v>
      </c>
      <c r="G1889" s="25" t="s">
        <v>29</v>
      </c>
      <c r="H1889" s="76" t="s">
        <v>4054</v>
      </c>
      <c r="I1889" s="10"/>
      <c r="J1889" s="10"/>
      <c r="K1889" s="46"/>
      <c r="L1889" s="76" t="s">
        <v>7971</v>
      </c>
      <c r="M1889" s="44">
        <v>1.0</v>
      </c>
      <c r="N1889" s="45"/>
      <c r="O1889" s="20"/>
      <c r="P1889" s="20"/>
      <c r="Q1889" s="20"/>
      <c r="R1889" s="20"/>
      <c r="S1889" s="20"/>
    </row>
    <row r="1890">
      <c r="A1890" s="49" t="s">
        <v>8171</v>
      </c>
      <c r="B1890" s="110">
        <v>46193.0</v>
      </c>
      <c r="C1890" s="49" t="s">
        <v>8172</v>
      </c>
      <c r="D1890" s="102" t="s">
        <v>8173</v>
      </c>
      <c r="E1890" s="25" t="s">
        <v>128</v>
      </c>
      <c r="F1890" s="25" t="s">
        <v>129</v>
      </c>
      <c r="G1890" s="25" t="s">
        <v>29</v>
      </c>
      <c r="H1890" s="49" t="s">
        <v>3837</v>
      </c>
      <c r="I1890" s="23"/>
      <c r="J1890" s="49">
        <v>2.0</v>
      </c>
      <c r="K1890" s="30"/>
      <c r="L1890" s="49" t="s">
        <v>8174</v>
      </c>
      <c r="M1890" s="50">
        <v>1.0</v>
      </c>
      <c r="N1890" s="51"/>
      <c r="O1890" s="20"/>
      <c r="P1890" s="20"/>
      <c r="Q1890" s="20"/>
      <c r="R1890" s="20"/>
      <c r="S1890" s="20"/>
    </row>
    <row r="1891">
      <c r="A1891" s="76" t="s">
        <v>8175</v>
      </c>
      <c r="B1891" s="97">
        <v>46193.0</v>
      </c>
      <c r="C1891" s="76" t="s">
        <v>8176</v>
      </c>
      <c r="D1891" s="99" t="s">
        <v>8177</v>
      </c>
      <c r="E1891" s="25" t="s">
        <v>128</v>
      </c>
      <c r="F1891" s="25" t="s">
        <v>129</v>
      </c>
      <c r="G1891" s="25" t="s">
        <v>19</v>
      </c>
      <c r="H1891" s="76" t="s">
        <v>747</v>
      </c>
      <c r="I1891" s="118">
        <v>46226.0</v>
      </c>
      <c r="J1891" s="76">
        <v>4.0</v>
      </c>
      <c r="K1891" s="46">
        <f>SUM(400000*4)</f>
        <v>1600000</v>
      </c>
      <c r="L1891" s="76" t="s">
        <v>8178</v>
      </c>
      <c r="M1891" s="44">
        <v>7.0</v>
      </c>
      <c r="N1891" s="45"/>
      <c r="O1891" s="20"/>
      <c r="P1891" s="20"/>
      <c r="Q1891" s="20"/>
      <c r="R1891" s="20"/>
      <c r="S1891" s="20"/>
    </row>
    <row r="1892">
      <c r="A1892" s="49" t="s">
        <v>8179</v>
      </c>
      <c r="B1892" s="110">
        <v>46193.0</v>
      </c>
      <c r="C1892" s="49" t="s">
        <v>8180</v>
      </c>
      <c r="D1892" s="102" t="s">
        <v>8181</v>
      </c>
      <c r="E1892" s="25" t="s">
        <v>17</v>
      </c>
      <c r="F1892" s="25" t="s">
        <v>129</v>
      </c>
      <c r="G1892" s="25" t="s">
        <v>19</v>
      </c>
      <c r="H1892" s="49" t="s">
        <v>8182</v>
      </c>
      <c r="I1892" s="101">
        <v>46205.0</v>
      </c>
      <c r="J1892" s="49">
        <v>3.0</v>
      </c>
      <c r="K1892" s="30">
        <f>SUM(2934000*3)</f>
        <v>8802000</v>
      </c>
      <c r="L1892" s="49" t="s">
        <v>6194</v>
      </c>
      <c r="M1892" s="50">
        <v>7.0</v>
      </c>
      <c r="N1892" s="51"/>
      <c r="O1892" s="20"/>
      <c r="P1892" s="20"/>
      <c r="Q1892" s="20"/>
      <c r="R1892" s="20"/>
      <c r="S1892" s="20"/>
    </row>
    <row r="1893">
      <c r="A1893" s="76" t="s">
        <v>8183</v>
      </c>
      <c r="B1893" s="97">
        <v>46193.0</v>
      </c>
      <c r="C1893" s="76" t="s">
        <v>3969</v>
      </c>
      <c r="D1893" s="99" t="s">
        <v>8184</v>
      </c>
      <c r="E1893" s="25" t="s">
        <v>128</v>
      </c>
      <c r="F1893" s="25" t="s">
        <v>129</v>
      </c>
      <c r="G1893" s="25" t="s">
        <v>29</v>
      </c>
      <c r="H1893" s="76" t="s">
        <v>4351</v>
      </c>
      <c r="I1893" s="76" t="s">
        <v>8185</v>
      </c>
      <c r="J1893" s="76">
        <v>4.0</v>
      </c>
      <c r="K1893" s="46"/>
      <c r="L1893" s="76" t="s">
        <v>8186</v>
      </c>
      <c r="M1893" s="44">
        <v>1.0</v>
      </c>
      <c r="N1893" s="45"/>
      <c r="O1893" s="20"/>
      <c r="P1893" s="20"/>
      <c r="Q1893" s="20"/>
      <c r="R1893" s="20"/>
      <c r="S1893" s="20"/>
    </row>
    <row r="1894">
      <c r="A1894" s="49" t="s">
        <v>8187</v>
      </c>
      <c r="B1894" s="110">
        <v>46193.0</v>
      </c>
      <c r="C1894" s="49" t="s">
        <v>8188</v>
      </c>
      <c r="D1894" s="102" t="s">
        <v>8189</v>
      </c>
      <c r="E1894" s="25" t="s">
        <v>17</v>
      </c>
      <c r="F1894" s="25" t="s">
        <v>129</v>
      </c>
      <c r="G1894" s="25" t="s">
        <v>29</v>
      </c>
      <c r="H1894" s="49" t="s">
        <v>2166</v>
      </c>
      <c r="I1894" s="23"/>
      <c r="J1894" s="49">
        <v>1.0</v>
      </c>
      <c r="K1894" s="30"/>
      <c r="L1894" s="49" t="s">
        <v>7993</v>
      </c>
      <c r="M1894" s="50">
        <v>1.0</v>
      </c>
      <c r="N1894" s="51"/>
      <c r="O1894" s="20"/>
      <c r="P1894" s="20"/>
      <c r="Q1894" s="20"/>
      <c r="R1894" s="20"/>
      <c r="S1894" s="20"/>
    </row>
    <row r="1895">
      <c r="A1895" s="76" t="s">
        <v>8190</v>
      </c>
      <c r="B1895" s="97">
        <v>46193.0</v>
      </c>
      <c r="C1895" s="76" t="s">
        <v>8191</v>
      </c>
      <c r="D1895" s="99" t="s">
        <v>8192</v>
      </c>
      <c r="E1895" s="25" t="s">
        <v>128</v>
      </c>
      <c r="F1895" s="25" t="s">
        <v>129</v>
      </c>
      <c r="G1895" s="25" t="s">
        <v>29</v>
      </c>
      <c r="H1895" s="76" t="s">
        <v>260</v>
      </c>
      <c r="I1895" s="76" t="s">
        <v>8193</v>
      </c>
      <c r="J1895" s="76">
        <v>2.0</v>
      </c>
      <c r="K1895" s="46"/>
      <c r="L1895" s="76" t="s">
        <v>8194</v>
      </c>
      <c r="M1895" s="44">
        <v>1.0</v>
      </c>
      <c r="N1895" s="45"/>
      <c r="O1895" s="20"/>
      <c r="P1895" s="20"/>
      <c r="Q1895" s="20"/>
      <c r="R1895" s="20"/>
      <c r="S1895" s="20"/>
    </row>
    <row r="1896">
      <c r="A1896" s="49" t="s">
        <v>8195</v>
      </c>
      <c r="B1896" s="110">
        <v>46194.0</v>
      </c>
      <c r="C1896" s="49" t="s">
        <v>8196</v>
      </c>
      <c r="D1896" s="102" t="s">
        <v>8197</v>
      </c>
      <c r="E1896" s="25" t="s">
        <v>17</v>
      </c>
      <c r="F1896" s="25" t="s">
        <v>129</v>
      </c>
      <c r="G1896" s="25" t="s">
        <v>29</v>
      </c>
      <c r="H1896" s="23"/>
      <c r="I1896" s="23"/>
      <c r="J1896" s="23"/>
      <c r="K1896" s="30"/>
      <c r="L1896" s="49" t="s">
        <v>8198</v>
      </c>
      <c r="M1896" s="50">
        <v>1.0</v>
      </c>
      <c r="N1896" s="51"/>
      <c r="O1896" s="20"/>
      <c r="P1896" s="20"/>
      <c r="Q1896" s="20"/>
      <c r="R1896" s="20"/>
      <c r="S1896" s="20"/>
    </row>
    <row r="1897">
      <c r="A1897" s="76" t="s">
        <v>8199</v>
      </c>
      <c r="B1897" s="97">
        <v>46194.0</v>
      </c>
      <c r="C1897" s="76" t="s">
        <v>8200</v>
      </c>
      <c r="D1897" s="99" t="s">
        <v>8201</v>
      </c>
      <c r="E1897" s="25" t="s">
        <v>128</v>
      </c>
      <c r="F1897" s="25" t="s">
        <v>129</v>
      </c>
      <c r="G1897" s="25" t="s">
        <v>29</v>
      </c>
      <c r="H1897" s="76" t="s">
        <v>3837</v>
      </c>
      <c r="I1897" s="10"/>
      <c r="J1897" s="10"/>
      <c r="K1897" s="46"/>
      <c r="L1897" s="76" t="s">
        <v>8202</v>
      </c>
      <c r="M1897" s="44">
        <v>1.0</v>
      </c>
      <c r="N1897" s="45"/>
      <c r="O1897" s="20"/>
      <c r="P1897" s="20"/>
      <c r="Q1897" s="20"/>
      <c r="R1897" s="20"/>
      <c r="S1897" s="20"/>
    </row>
    <row r="1898">
      <c r="A1898" s="49" t="s">
        <v>8203</v>
      </c>
      <c r="B1898" s="110">
        <v>46190.0</v>
      </c>
      <c r="C1898" s="49" t="s">
        <v>8204</v>
      </c>
      <c r="D1898" s="102" t="s">
        <v>8205</v>
      </c>
      <c r="E1898" s="25" t="s">
        <v>17</v>
      </c>
      <c r="F1898" s="25" t="s">
        <v>129</v>
      </c>
      <c r="G1898" s="25" t="s">
        <v>29</v>
      </c>
      <c r="H1898" s="49" t="s">
        <v>747</v>
      </c>
      <c r="I1898" s="23"/>
      <c r="J1898" s="23"/>
      <c r="K1898" s="30"/>
      <c r="L1898" s="49" t="s">
        <v>8206</v>
      </c>
      <c r="M1898" s="50">
        <v>1.0</v>
      </c>
      <c r="N1898" s="51"/>
      <c r="O1898" s="20"/>
      <c r="P1898" s="20"/>
      <c r="Q1898" s="20"/>
      <c r="R1898" s="20"/>
      <c r="S1898" s="20"/>
    </row>
    <row r="1899">
      <c r="A1899" s="76" t="s">
        <v>8207</v>
      </c>
      <c r="B1899" s="97">
        <v>46192.0</v>
      </c>
      <c r="C1899" s="76" t="s">
        <v>8208</v>
      </c>
      <c r="D1899" s="99" t="s">
        <v>8209</v>
      </c>
      <c r="E1899" s="25" t="s">
        <v>17</v>
      </c>
      <c r="F1899" s="25" t="s">
        <v>129</v>
      </c>
      <c r="G1899" s="25" t="s">
        <v>29</v>
      </c>
      <c r="H1899" s="10"/>
      <c r="I1899" s="10"/>
      <c r="J1899" s="10"/>
      <c r="K1899" s="46"/>
      <c r="L1899" s="76" t="s">
        <v>7542</v>
      </c>
      <c r="M1899" s="44">
        <v>1.0</v>
      </c>
      <c r="N1899" s="45"/>
      <c r="O1899" s="20"/>
      <c r="P1899" s="20"/>
      <c r="Q1899" s="20"/>
      <c r="R1899" s="20"/>
      <c r="S1899" s="20"/>
    </row>
    <row r="1900">
      <c r="A1900" s="49" t="s">
        <v>8210</v>
      </c>
      <c r="B1900" s="110">
        <v>46194.0</v>
      </c>
      <c r="C1900" s="49" t="s">
        <v>8211</v>
      </c>
      <c r="D1900" s="102" t="s">
        <v>8212</v>
      </c>
      <c r="E1900" s="25" t="s">
        <v>122</v>
      </c>
      <c r="F1900" s="25" t="s">
        <v>983</v>
      </c>
      <c r="G1900" s="25" t="s">
        <v>42</v>
      </c>
      <c r="H1900" s="49" t="s">
        <v>2066</v>
      </c>
      <c r="I1900" s="101">
        <v>46212.0</v>
      </c>
      <c r="J1900" s="49">
        <v>7.0</v>
      </c>
      <c r="K1900" s="30">
        <f>336000*7</f>
        <v>2352000</v>
      </c>
      <c r="L1900" s="49" t="s">
        <v>8213</v>
      </c>
      <c r="M1900" s="50">
        <v>8.0</v>
      </c>
      <c r="N1900" s="51"/>
      <c r="O1900" s="20"/>
      <c r="P1900" s="20"/>
      <c r="Q1900" s="20"/>
      <c r="R1900" s="20"/>
      <c r="S1900" s="20"/>
    </row>
    <row r="1901">
      <c r="A1901" s="76" t="s">
        <v>8214</v>
      </c>
      <c r="B1901" s="97">
        <v>46194.0</v>
      </c>
      <c r="C1901" s="76" t="s">
        <v>8215</v>
      </c>
      <c r="D1901" s="99" t="s">
        <v>8216</v>
      </c>
      <c r="E1901" s="25" t="s">
        <v>128</v>
      </c>
      <c r="F1901" s="25" t="s">
        <v>129</v>
      </c>
      <c r="G1901" s="25" t="s">
        <v>19</v>
      </c>
      <c r="H1901" s="76" t="s">
        <v>4532</v>
      </c>
      <c r="I1901" s="118">
        <v>46208.0</v>
      </c>
      <c r="J1901" s="76">
        <v>3.0</v>
      </c>
      <c r="K1901" s="46">
        <f>SUM(1250000*J1901)</f>
        <v>3750000</v>
      </c>
      <c r="L1901" s="76" t="s">
        <v>8217</v>
      </c>
      <c r="M1901" s="44">
        <v>7.0</v>
      </c>
      <c r="N1901" s="45"/>
      <c r="O1901" s="20"/>
      <c r="P1901" s="20"/>
      <c r="Q1901" s="20"/>
      <c r="R1901" s="20"/>
      <c r="S1901" s="20"/>
    </row>
    <row r="1902">
      <c r="A1902" s="49" t="s">
        <v>8218</v>
      </c>
      <c r="B1902" s="110">
        <v>46194.0</v>
      </c>
      <c r="C1902" s="49" t="s">
        <v>8219</v>
      </c>
      <c r="D1902" s="102" t="s">
        <v>8220</v>
      </c>
      <c r="E1902" s="25" t="s">
        <v>17</v>
      </c>
      <c r="F1902" s="25" t="s">
        <v>983</v>
      </c>
      <c r="G1902" s="25" t="s">
        <v>42</v>
      </c>
      <c r="H1902" s="49" t="s">
        <v>2066</v>
      </c>
      <c r="I1902" s="101">
        <v>46202.0</v>
      </c>
      <c r="J1902" s="49">
        <v>1.0</v>
      </c>
      <c r="K1902" s="36">
        <v>450000.0</v>
      </c>
      <c r="L1902" s="23"/>
      <c r="M1902" s="50">
        <v>8.0</v>
      </c>
      <c r="N1902" s="51"/>
      <c r="O1902" s="20"/>
      <c r="P1902" s="20"/>
      <c r="Q1902" s="20"/>
      <c r="R1902" s="20"/>
      <c r="S1902" s="20"/>
    </row>
    <row r="1903">
      <c r="A1903" s="76" t="s">
        <v>8221</v>
      </c>
      <c r="B1903" s="97">
        <v>46194.0</v>
      </c>
      <c r="C1903" s="76" t="s">
        <v>8222</v>
      </c>
      <c r="D1903" s="99" t="s">
        <v>8223</v>
      </c>
      <c r="E1903" s="25" t="s">
        <v>128</v>
      </c>
      <c r="F1903" s="25" t="s">
        <v>18</v>
      </c>
      <c r="G1903" s="25" t="s">
        <v>19</v>
      </c>
      <c r="H1903" s="76" t="s">
        <v>3210</v>
      </c>
      <c r="I1903" s="76" t="s">
        <v>8224</v>
      </c>
      <c r="J1903" s="76">
        <v>4.0</v>
      </c>
      <c r="K1903" s="19">
        <v>4200000.0</v>
      </c>
      <c r="L1903" s="76" t="s">
        <v>8225</v>
      </c>
      <c r="M1903" s="44">
        <v>7.0</v>
      </c>
      <c r="N1903" s="45"/>
      <c r="O1903" s="20"/>
      <c r="P1903" s="20"/>
      <c r="Q1903" s="20"/>
      <c r="R1903" s="20"/>
      <c r="S1903" s="20"/>
    </row>
    <row r="1904">
      <c r="A1904" s="49" t="s">
        <v>8226</v>
      </c>
      <c r="B1904" s="110">
        <v>46194.0</v>
      </c>
      <c r="C1904" s="49" t="s">
        <v>8227</v>
      </c>
      <c r="D1904" s="102" t="s">
        <v>8228</v>
      </c>
      <c r="E1904" s="25" t="s">
        <v>128</v>
      </c>
      <c r="F1904" s="25" t="s">
        <v>18</v>
      </c>
      <c r="G1904" s="25" t="s">
        <v>42</v>
      </c>
      <c r="H1904" s="23"/>
      <c r="I1904" s="23"/>
      <c r="J1904" s="23"/>
      <c r="K1904" s="30"/>
      <c r="L1904" s="23"/>
      <c r="M1904" s="50">
        <v>8.0</v>
      </c>
      <c r="N1904" s="51"/>
      <c r="O1904" s="20"/>
      <c r="P1904" s="20"/>
      <c r="Q1904" s="20"/>
      <c r="R1904" s="20"/>
      <c r="S1904" s="20"/>
    </row>
    <row r="1905">
      <c r="A1905" s="76" t="s">
        <v>8229</v>
      </c>
      <c r="B1905" s="97">
        <v>46194.0</v>
      </c>
      <c r="C1905" s="76" t="s">
        <v>8230</v>
      </c>
      <c r="D1905" s="99" t="s">
        <v>8231</v>
      </c>
      <c r="E1905" s="25" t="s">
        <v>17</v>
      </c>
      <c r="F1905" s="25" t="s">
        <v>18</v>
      </c>
      <c r="G1905" s="25" t="s">
        <v>42</v>
      </c>
      <c r="H1905" s="10"/>
      <c r="I1905" s="10"/>
      <c r="J1905" s="10"/>
      <c r="K1905" s="46"/>
      <c r="L1905" s="10"/>
      <c r="M1905" s="44">
        <v>8.0</v>
      </c>
      <c r="N1905" s="45"/>
      <c r="O1905" s="20"/>
      <c r="P1905" s="20"/>
      <c r="Q1905" s="20"/>
      <c r="R1905" s="20"/>
      <c r="S1905" s="20"/>
    </row>
    <row r="1906">
      <c r="A1906" s="49" t="s">
        <v>8232</v>
      </c>
      <c r="B1906" s="110">
        <v>46194.0</v>
      </c>
      <c r="C1906" s="49" t="s">
        <v>8233</v>
      </c>
      <c r="D1906" s="102" t="s">
        <v>8234</v>
      </c>
      <c r="E1906" s="25" t="s">
        <v>128</v>
      </c>
      <c r="F1906" s="25" t="s">
        <v>18</v>
      </c>
      <c r="G1906" s="25" t="s">
        <v>34</v>
      </c>
      <c r="H1906" s="49" t="s">
        <v>3395</v>
      </c>
      <c r="I1906" s="101">
        <v>46273.0</v>
      </c>
      <c r="J1906" s="49">
        <v>2.0</v>
      </c>
      <c r="K1906" s="36">
        <v>800000.0</v>
      </c>
      <c r="L1906" s="49" t="s">
        <v>8235</v>
      </c>
      <c r="M1906" s="50">
        <v>2.0</v>
      </c>
      <c r="N1906" s="51"/>
      <c r="O1906" s="20"/>
      <c r="P1906" s="20"/>
      <c r="Q1906" s="20"/>
      <c r="R1906" s="20"/>
      <c r="S1906" s="20"/>
    </row>
    <row r="1907">
      <c r="A1907" s="76" t="s">
        <v>8236</v>
      </c>
      <c r="B1907" s="97">
        <v>46195.0</v>
      </c>
      <c r="C1907" s="76" t="s">
        <v>8237</v>
      </c>
      <c r="D1907" s="99" t="s">
        <v>8238</v>
      </c>
      <c r="E1907" s="25" t="s">
        <v>128</v>
      </c>
      <c r="F1907" s="25" t="s">
        <v>18</v>
      </c>
      <c r="G1907" s="25" t="s">
        <v>34</v>
      </c>
      <c r="H1907" s="76" t="s">
        <v>8239</v>
      </c>
      <c r="I1907" s="76" t="s">
        <v>8240</v>
      </c>
      <c r="J1907" s="76">
        <v>2.0</v>
      </c>
      <c r="K1907" s="46">
        <f>1077000*2</f>
        <v>2154000</v>
      </c>
      <c r="L1907" s="76" t="s">
        <v>6290</v>
      </c>
      <c r="M1907" s="44">
        <v>2.0</v>
      </c>
      <c r="N1907" s="45"/>
      <c r="O1907" s="20"/>
      <c r="P1907" s="20"/>
      <c r="Q1907" s="20"/>
      <c r="R1907" s="20"/>
      <c r="S1907" s="20"/>
    </row>
    <row r="1908">
      <c r="A1908" s="49" t="s">
        <v>8241</v>
      </c>
      <c r="B1908" s="110">
        <v>46194.0</v>
      </c>
      <c r="C1908" s="49" t="s">
        <v>8242</v>
      </c>
      <c r="D1908" s="102" t="s">
        <v>8243</v>
      </c>
      <c r="E1908" s="25" t="s">
        <v>17</v>
      </c>
      <c r="F1908" s="25" t="s">
        <v>129</v>
      </c>
      <c r="G1908" s="25" t="s">
        <v>29</v>
      </c>
      <c r="H1908" s="23"/>
      <c r="I1908" s="23"/>
      <c r="J1908" s="49">
        <v>4.0</v>
      </c>
      <c r="K1908" s="30"/>
      <c r="L1908" s="49" t="s">
        <v>8244</v>
      </c>
      <c r="M1908" s="50">
        <v>1.0</v>
      </c>
      <c r="N1908" s="51"/>
      <c r="O1908" s="20"/>
      <c r="P1908" s="20"/>
      <c r="Q1908" s="20"/>
      <c r="R1908" s="20"/>
      <c r="S1908" s="20"/>
    </row>
    <row r="1909">
      <c r="A1909" s="76" t="s">
        <v>8245</v>
      </c>
      <c r="B1909" s="97">
        <v>46194.0</v>
      </c>
      <c r="C1909" s="76" t="s">
        <v>8246</v>
      </c>
      <c r="D1909" s="99" t="s">
        <v>8247</v>
      </c>
      <c r="E1909" s="25" t="s">
        <v>17</v>
      </c>
      <c r="F1909" s="25" t="s">
        <v>18</v>
      </c>
      <c r="G1909" s="25" t="s">
        <v>42</v>
      </c>
      <c r="H1909" s="10"/>
      <c r="I1909" s="10"/>
      <c r="J1909" s="10"/>
      <c r="K1909" s="46"/>
      <c r="L1909" s="10"/>
      <c r="M1909" s="44">
        <v>8.0</v>
      </c>
      <c r="N1909" s="45"/>
      <c r="O1909" s="20"/>
      <c r="P1909" s="20"/>
      <c r="Q1909" s="20"/>
      <c r="R1909" s="20"/>
      <c r="S1909" s="20"/>
    </row>
    <row r="1910">
      <c r="A1910" s="49" t="s">
        <v>8248</v>
      </c>
      <c r="B1910" s="110">
        <v>46195.0</v>
      </c>
      <c r="C1910" s="49" t="s">
        <v>8249</v>
      </c>
      <c r="D1910" s="102" t="s">
        <v>8250</v>
      </c>
      <c r="E1910" s="25" t="s">
        <v>17</v>
      </c>
      <c r="F1910" s="25" t="s">
        <v>18</v>
      </c>
      <c r="G1910" s="25" t="s">
        <v>42</v>
      </c>
      <c r="H1910" s="23"/>
      <c r="I1910" s="23"/>
      <c r="J1910" s="23"/>
      <c r="K1910" s="30"/>
      <c r="L1910" s="23"/>
      <c r="M1910" s="50">
        <v>8.0</v>
      </c>
      <c r="N1910" s="51"/>
      <c r="O1910" s="20"/>
      <c r="P1910" s="20"/>
      <c r="Q1910" s="20"/>
      <c r="R1910" s="20"/>
      <c r="S1910" s="20"/>
    </row>
    <row r="1911">
      <c r="A1911" s="76" t="s">
        <v>8251</v>
      </c>
      <c r="B1911" s="97">
        <v>46194.0</v>
      </c>
      <c r="C1911" s="76" t="s">
        <v>8252</v>
      </c>
      <c r="D1911" s="99" t="s">
        <v>8253</v>
      </c>
      <c r="E1911" s="25" t="s">
        <v>17</v>
      </c>
      <c r="F1911" s="25" t="s">
        <v>129</v>
      </c>
      <c r="G1911" s="25" t="s">
        <v>29</v>
      </c>
      <c r="H1911" s="76" t="s">
        <v>571</v>
      </c>
      <c r="I1911" s="10"/>
      <c r="J1911" s="10"/>
      <c r="K1911" s="46"/>
      <c r="L1911" s="76" t="s">
        <v>8254</v>
      </c>
      <c r="M1911" s="44">
        <v>1.0</v>
      </c>
      <c r="N1911" s="45"/>
      <c r="O1911" s="20"/>
      <c r="P1911" s="20"/>
      <c r="Q1911" s="20"/>
      <c r="R1911" s="20"/>
      <c r="S1911" s="20"/>
    </row>
    <row r="1912">
      <c r="A1912" s="49" t="s">
        <v>8255</v>
      </c>
      <c r="B1912" s="110">
        <v>46194.0</v>
      </c>
      <c r="C1912" s="49" t="s">
        <v>8256</v>
      </c>
      <c r="D1912" s="102" t="s">
        <v>8257</v>
      </c>
      <c r="E1912" s="25" t="s">
        <v>17</v>
      </c>
      <c r="F1912" s="25" t="s">
        <v>129</v>
      </c>
      <c r="G1912" s="25" t="s">
        <v>34</v>
      </c>
      <c r="H1912" s="49" t="s">
        <v>3032</v>
      </c>
      <c r="I1912" s="101">
        <v>46205.0</v>
      </c>
      <c r="J1912" s="49">
        <v>4.0</v>
      </c>
      <c r="K1912" s="30">
        <f>SUM(2650000*J1912)</f>
        <v>10600000</v>
      </c>
      <c r="L1912" s="49" t="s">
        <v>8258</v>
      </c>
      <c r="M1912" s="50">
        <v>2.0</v>
      </c>
      <c r="N1912" s="51"/>
      <c r="O1912" s="20"/>
      <c r="P1912" s="20"/>
      <c r="Q1912" s="20"/>
      <c r="R1912" s="20"/>
      <c r="S1912" s="20"/>
    </row>
    <row r="1913">
      <c r="A1913" s="76" t="s">
        <v>8259</v>
      </c>
      <c r="B1913" s="97">
        <v>46194.0</v>
      </c>
      <c r="C1913" s="76" t="s">
        <v>8260</v>
      </c>
      <c r="D1913" s="99" t="s">
        <v>8261</v>
      </c>
      <c r="E1913" s="25" t="s">
        <v>128</v>
      </c>
      <c r="F1913" s="25" t="s">
        <v>129</v>
      </c>
      <c r="G1913" s="25" t="s">
        <v>29</v>
      </c>
      <c r="H1913" s="76" t="s">
        <v>4872</v>
      </c>
      <c r="I1913" s="10"/>
      <c r="J1913" s="10"/>
      <c r="K1913" s="46"/>
      <c r="L1913" s="76" t="s">
        <v>8262</v>
      </c>
      <c r="M1913" s="44">
        <v>1.0</v>
      </c>
      <c r="N1913" s="45"/>
      <c r="O1913" s="20"/>
      <c r="P1913" s="20"/>
      <c r="Q1913" s="20"/>
      <c r="R1913" s="20"/>
      <c r="S1913" s="20"/>
    </row>
    <row r="1914">
      <c r="A1914" s="49" t="s">
        <v>8263</v>
      </c>
      <c r="B1914" s="110">
        <v>46194.0</v>
      </c>
      <c r="C1914" s="49" t="s">
        <v>8264</v>
      </c>
      <c r="D1914" s="102" t="s">
        <v>8265</v>
      </c>
      <c r="E1914" s="25" t="s">
        <v>128</v>
      </c>
      <c r="F1914" s="25" t="s">
        <v>129</v>
      </c>
      <c r="G1914" s="25" t="s">
        <v>29</v>
      </c>
      <c r="H1914" s="49" t="s">
        <v>199</v>
      </c>
      <c r="I1914" s="23"/>
      <c r="J1914" s="23"/>
      <c r="K1914" s="30"/>
      <c r="L1914" s="49" t="s">
        <v>8244</v>
      </c>
      <c r="M1914" s="50">
        <v>1.0</v>
      </c>
      <c r="N1914" s="51"/>
      <c r="O1914" s="20"/>
      <c r="P1914" s="20"/>
      <c r="Q1914" s="20"/>
      <c r="R1914" s="20"/>
      <c r="S1914" s="20"/>
    </row>
    <row r="1915">
      <c r="A1915" s="76" t="s">
        <v>8266</v>
      </c>
      <c r="B1915" s="97">
        <v>46194.0</v>
      </c>
      <c r="C1915" s="76" t="s">
        <v>8267</v>
      </c>
      <c r="D1915" s="99" t="s">
        <v>8268</v>
      </c>
      <c r="E1915" s="25" t="s">
        <v>128</v>
      </c>
      <c r="F1915" s="25" t="s">
        <v>129</v>
      </c>
      <c r="G1915" s="25" t="s">
        <v>29</v>
      </c>
      <c r="H1915" s="76" t="s">
        <v>8269</v>
      </c>
      <c r="I1915" s="10"/>
      <c r="J1915" s="76">
        <v>5.0</v>
      </c>
      <c r="K1915" s="46">
        <f>SUM(1260000*5)</f>
        <v>6300000</v>
      </c>
      <c r="L1915" s="76" t="s">
        <v>8270</v>
      </c>
      <c r="M1915" s="44">
        <v>1.0</v>
      </c>
      <c r="N1915" s="45"/>
      <c r="O1915" s="20"/>
      <c r="P1915" s="20"/>
      <c r="Q1915" s="20"/>
      <c r="R1915" s="20"/>
      <c r="S1915" s="20"/>
    </row>
    <row r="1916">
      <c r="A1916" s="49" t="s">
        <v>8271</v>
      </c>
      <c r="B1916" s="110">
        <v>46195.0</v>
      </c>
      <c r="C1916" s="49" t="s">
        <v>8272</v>
      </c>
      <c r="D1916" s="102" t="s">
        <v>8273</v>
      </c>
      <c r="E1916" s="25" t="s">
        <v>128</v>
      </c>
      <c r="F1916" s="25" t="s">
        <v>129</v>
      </c>
      <c r="G1916" s="25" t="s">
        <v>29</v>
      </c>
      <c r="H1916" s="49" t="s">
        <v>8274</v>
      </c>
      <c r="I1916" s="23"/>
      <c r="J1916" s="23"/>
      <c r="K1916" s="30"/>
      <c r="L1916" s="49" t="s">
        <v>8244</v>
      </c>
      <c r="M1916" s="50">
        <v>1.0</v>
      </c>
      <c r="N1916" s="51"/>
      <c r="O1916" s="20"/>
      <c r="P1916" s="20"/>
      <c r="Q1916" s="20"/>
      <c r="R1916" s="20"/>
      <c r="S1916" s="20"/>
    </row>
    <row r="1917">
      <c r="A1917" s="76" t="s">
        <v>8275</v>
      </c>
      <c r="B1917" s="97">
        <v>46195.0</v>
      </c>
      <c r="C1917" s="76" t="s">
        <v>8276</v>
      </c>
      <c r="D1917" s="99" t="s">
        <v>8277</v>
      </c>
      <c r="E1917" s="25" t="s">
        <v>17</v>
      </c>
      <c r="F1917" s="25" t="s">
        <v>129</v>
      </c>
      <c r="G1917" s="25" t="s">
        <v>29</v>
      </c>
      <c r="H1917" s="10"/>
      <c r="I1917" s="10"/>
      <c r="J1917" s="10"/>
      <c r="K1917" s="46"/>
      <c r="L1917" s="49" t="s">
        <v>8244</v>
      </c>
      <c r="M1917" s="44">
        <v>1.0</v>
      </c>
      <c r="N1917" s="45"/>
      <c r="O1917" s="20"/>
      <c r="P1917" s="20"/>
      <c r="Q1917" s="20"/>
      <c r="R1917" s="20"/>
      <c r="S1917" s="20"/>
    </row>
    <row r="1918">
      <c r="A1918" s="49" t="s">
        <v>8278</v>
      </c>
      <c r="B1918" s="97">
        <v>46195.0</v>
      </c>
      <c r="C1918" s="49" t="s">
        <v>8279</v>
      </c>
      <c r="D1918" s="102" t="s">
        <v>8280</v>
      </c>
      <c r="E1918" s="25" t="s">
        <v>17</v>
      </c>
      <c r="F1918" s="25" t="s">
        <v>129</v>
      </c>
      <c r="G1918" s="25" t="s">
        <v>19</v>
      </c>
      <c r="H1918" s="49" t="s">
        <v>8281</v>
      </c>
      <c r="I1918" s="101">
        <v>46211.0</v>
      </c>
      <c r="J1918" s="49">
        <v>3.0</v>
      </c>
      <c r="K1918" s="30">
        <f>SUM(3875000*J1918)</f>
        <v>11625000</v>
      </c>
      <c r="L1918" s="49" t="s">
        <v>6443</v>
      </c>
      <c r="M1918" s="50">
        <v>7.0</v>
      </c>
      <c r="N1918" s="51"/>
      <c r="O1918" s="20"/>
      <c r="P1918" s="20"/>
      <c r="Q1918" s="20"/>
      <c r="R1918" s="20"/>
      <c r="S1918" s="20"/>
    </row>
    <row r="1919">
      <c r="A1919" s="76" t="s">
        <v>8282</v>
      </c>
      <c r="B1919" s="97">
        <v>46195.0</v>
      </c>
      <c r="C1919" s="76" t="s">
        <v>8283</v>
      </c>
      <c r="D1919" s="99" t="s">
        <v>8284</v>
      </c>
      <c r="E1919" s="25" t="s">
        <v>17</v>
      </c>
      <c r="F1919" s="25" t="s">
        <v>18</v>
      </c>
      <c r="G1919" s="25" t="s">
        <v>42</v>
      </c>
      <c r="H1919" s="76" t="s">
        <v>8285</v>
      </c>
      <c r="I1919" s="157">
        <v>46207.0</v>
      </c>
      <c r="J1919" s="76">
        <v>13.0</v>
      </c>
      <c r="K1919" s="46"/>
      <c r="L1919" s="10"/>
      <c r="M1919" s="44">
        <v>8.0</v>
      </c>
      <c r="N1919" s="45"/>
      <c r="O1919" s="20"/>
      <c r="P1919" s="20"/>
      <c r="Q1919" s="20"/>
      <c r="R1919" s="20"/>
      <c r="S1919" s="20"/>
    </row>
    <row r="1920">
      <c r="A1920" s="49" t="s">
        <v>8286</v>
      </c>
      <c r="B1920" s="110">
        <v>46195.0</v>
      </c>
      <c r="C1920" s="49" t="s">
        <v>7555</v>
      </c>
      <c r="D1920" s="102" t="s">
        <v>8287</v>
      </c>
      <c r="E1920" s="25" t="s">
        <v>128</v>
      </c>
      <c r="F1920" s="25" t="s">
        <v>18</v>
      </c>
      <c r="G1920" s="25" t="s">
        <v>42</v>
      </c>
      <c r="H1920" s="23"/>
      <c r="I1920" s="23"/>
      <c r="J1920" s="23"/>
      <c r="K1920" s="30"/>
      <c r="L1920" s="23"/>
      <c r="M1920" s="50">
        <v>8.0</v>
      </c>
      <c r="N1920" s="51"/>
      <c r="O1920" s="20"/>
      <c r="P1920" s="20"/>
      <c r="Q1920" s="20"/>
      <c r="R1920" s="20"/>
      <c r="S1920" s="20"/>
    </row>
    <row r="1921">
      <c r="A1921" s="76" t="s">
        <v>8288</v>
      </c>
      <c r="B1921" s="97">
        <v>46195.0</v>
      </c>
      <c r="C1921" s="76" t="s">
        <v>8289</v>
      </c>
      <c r="D1921" s="99" t="s">
        <v>8290</v>
      </c>
      <c r="E1921" s="25" t="s">
        <v>128</v>
      </c>
      <c r="F1921" s="25" t="s">
        <v>129</v>
      </c>
      <c r="G1921" s="25" t="s">
        <v>29</v>
      </c>
      <c r="H1921" s="49" t="s">
        <v>8274</v>
      </c>
      <c r="I1921" s="10"/>
      <c r="J1921" s="10"/>
      <c r="K1921" s="46"/>
      <c r="L1921" s="49" t="s">
        <v>8244</v>
      </c>
      <c r="M1921" s="44">
        <v>1.0</v>
      </c>
      <c r="N1921" s="45"/>
      <c r="O1921" s="20"/>
      <c r="P1921" s="20"/>
      <c r="Q1921" s="20"/>
      <c r="R1921" s="20"/>
      <c r="S1921" s="20"/>
    </row>
    <row r="1922">
      <c r="A1922" s="49" t="s">
        <v>8291</v>
      </c>
      <c r="B1922" s="110">
        <v>46195.0</v>
      </c>
      <c r="C1922" s="49" t="s">
        <v>8292</v>
      </c>
      <c r="D1922" s="102" t="s">
        <v>8293</v>
      </c>
      <c r="E1922" s="25" t="s">
        <v>128</v>
      </c>
      <c r="F1922" s="25" t="s">
        <v>18</v>
      </c>
      <c r="G1922" s="25" t="s">
        <v>42</v>
      </c>
      <c r="H1922" s="49" t="s">
        <v>3395</v>
      </c>
      <c r="I1922" s="156">
        <v>46216.0</v>
      </c>
      <c r="J1922" s="49">
        <v>1.0</v>
      </c>
      <c r="K1922" s="30"/>
      <c r="L1922" s="49" t="s">
        <v>3133</v>
      </c>
      <c r="M1922" s="50">
        <v>8.0</v>
      </c>
      <c r="N1922" s="51"/>
      <c r="O1922" s="20"/>
      <c r="P1922" s="20"/>
      <c r="Q1922" s="20"/>
      <c r="R1922" s="20"/>
      <c r="S1922" s="20"/>
    </row>
    <row r="1923">
      <c r="A1923" s="76" t="s">
        <v>8294</v>
      </c>
      <c r="B1923" s="97">
        <v>46195.0</v>
      </c>
      <c r="C1923" s="76" t="s">
        <v>8295</v>
      </c>
      <c r="D1923" s="99" t="s">
        <v>8296</v>
      </c>
      <c r="E1923" s="25" t="s">
        <v>17</v>
      </c>
      <c r="F1923" s="25" t="s">
        <v>129</v>
      </c>
      <c r="G1923" s="25" t="s">
        <v>19</v>
      </c>
      <c r="H1923" s="76" t="s">
        <v>199</v>
      </c>
      <c r="I1923" s="118">
        <v>46200.0</v>
      </c>
      <c r="J1923" s="76">
        <v>4.0</v>
      </c>
      <c r="K1923" s="46">
        <f>SUM(1702000*4+600000)</f>
        <v>7408000</v>
      </c>
      <c r="L1923" s="76" t="s">
        <v>8217</v>
      </c>
      <c r="M1923" s="44">
        <v>7.0</v>
      </c>
      <c r="N1923" s="45"/>
      <c r="O1923" s="20"/>
      <c r="P1923" s="20"/>
      <c r="Q1923" s="20"/>
      <c r="R1923" s="20"/>
      <c r="S1923" s="20"/>
    </row>
    <row r="1924">
      <c r="A1924" s="49" t="s">
        <v>8297</v>
      </c>
      <c r="B1924" s="110">
        <v>46195.0</v>
      </c>
      <c r="C1924" s="49" t="s">
        <v>8298</v>
      </c>
      <c r="D1924" s="102" t="s">
        <v>8299</v>
      </c>
      <c r="E1924" s="25" t="s">
        <v>17</v>
      </c>
      <c r="F1924" s="25" t="s">
        <v>983</v>
      </c>
      <c r="G1924" s="25" t="s">
        <v>34</v>
      </c>
      <c r="H1924" s="49" t="s">
        <v>3210</v>
      </c>
      <c r="I1924" s="101">
        <v>46257.0</v>
      </c>
      <c r="J1924" s="49">
        <v>3.0</v>
      </c>
      <c r="K1924" s="30">
        <f>1310000*3</f>
        <v>3930000</v>
      </c>
      <c r="L1924" s="49" t="s">
        <v>8300</v>
      </c>
      <c r="M1924" s="50">
        <v>2.0</v>
      </c>
      <c r="N1924" s="51"/>
      <c r="O1924" s="20"/>
      <c r="P1924" s="20"/>
      <c r="Q1924" s="20"/>
      <c r="R1924" s="20"/>
      <c r="S1924" s="20"/>
    </row>
    <row r="1925">
      <c r="A1925" s="76" t="s">
        <v>8301</v>
      </c>
      <c r="B1925" s="97">
        <v>46225.0</v>
      </c>
      <c r="C1925" s="76" t="s">
        <v>8302</v>
      </c>
      <c r="D1925" s="99" t="s">
        <v>8303</v>
      </c>
      <c r="E1925" s="25" t="s">
        <v>17</v>
      </c>
      <c r="F1925" s="25" t="s">
        <v>983</v>
      </c>
      <c r="G1925" s="25" t="s">
        <v>29</v>
      </c>
      <c r="H1925" s="76" t="s">
        <v>2462</v>
      </c>
      <c r="I1925" s="118">
        <v>46264.0</v>
      </c>
      <c r="J1925" s="76">
        <v>16.0</v>
      </c>
      <c r="K1925" s="46"/>
      <c r="L1925" s="10"/>
      <c r="M1925" s="44">
        <v>1.0</v>
      </c>
      <c r="N1925" s="45"/>
      <c r="O1925" s="20"/>
      <c r="P1925" s="20"/>
      <c r="Q1925" s="20"/>
      <c r="R1925" s="20"/>
      <c r="S1925" s="20"/>
    </row>
    <row r="1926">
      <c r="A1926" s="49" t="s">
        <v>8304</v>
      </c>
      <c r="B1926" s="110">
        <v>46195.0</v>
      </c>
      <c r="C1926" s="49" t="s">
        <v>8099</v>
      </c>
      <c r="D1926" s="102" t="s">
        <v>8305</v>
      </c>
      <c r="E1926" s="25" t="s">
        <v>128</v>
      </c>
      <c r="F1926" s="25" t="s">
        <v>129</v>
      </c>
      <c r="G1926" s="25" t="s">
        <v>29</v>
      </c>
      <c r="H1926" s="23"/>
      <c r="I1926" s="49" t="s">
        <v>4866</v>
      </c>
      <c r="J1926" s="23"/>
      <c r="K1926" s="30"/>
      <c r="L1926" s="49" t="s">
        <v>8306</v>
      </c>
      <c r="M1926" s="50">
        <v>1.0</v>
      </c>
      <c r="N1926" s="51"/>
      <c r="O1926" s="20"/>
      <c r="P1926" s="20"/>
      <c r="Q1926" s="20"/>
      <c r="R1926" s="20"/>
      <c r="S1926" s="20"/>
    </row>
    <row r="1927">
      <c r="A1927" s="76" t="s">
        <v>8307</v>
      </c>
      <c r="B1927" s="97">
        <v>46195.0</v>
      </c>
      <c r="C1927" s="76" t="s">
        <v>8308</v>
      </c>
      <c r="D1927" s="99" t="s">
        <v>8309</v>
      </c>
      <c r="E1927" s="25" t="s">
        <v>17</v>
      </c>
      <c r="F1927" s="25" t="s">
        <v>129</v>
      </c>
      <c r="G1927" s="25" t="s">
        <v>29</v>
      </c>
      <c r="H1927" s="76" t="s">
        <v>2060</v>
      </c>
      <c r="I1927" s="76" t="s">
        <v>8310</v>
      </c>
      <c r="J1927" s="76">
        <v>10.0</v>
      </c>
      <c r="K1927" s="46"/>
      <c r="L1927" s="76" t="s">
        <v>8311</v>
      </c>
      <c r="M1927" s="44">
        <v>1.0</v>
      </c>
      <c r="N1927" s="45"/>
      <c r="O1927" s="20"/>
      <c r="P1927" s="20"/>
      <c r="Q1927" s="20"/>
      <c r="R1927" s="20"/>
      <c r="S1927" s="20"/>
    </row>
    <row r="1928">
      <c r="A1928" s="49" t="s">
        <v>8312</v>
      </c>
      <c r="B1928" s="110">
        <v>46199.0</v>
      </c>
      <c r="C1928" s="49" t="s">
        <v>8313</v>
      </c>
      <c r="D1928" s="102" t="s">
        <v>8314</v>
      </c>
      <c r="E1928" s="25" t="s">
        <v>128</v>
      </c>
      <c r="F1928" s="25" t="s">
        <v>129</v>
      </c>
      <c r="G1928" s="25" t="s">
        <v>29</v>
      </c>
      <c r="H1928" s="49" t="s">
        <v>8274</v>
      </c>
      <c r="I1928" s="23"/>
      <c r="J1928" s="49">
        <v>3.0</v>
      </c>
      <c r="K1928" s="30"/>
      <c r="L1928" s="49" t="s">
        <v>8315</v>
      </c>
      <c r="M1928" s="50">
        <v>1.0</v>
      </c>
      <c r="N1928" s="51"/>
      <c r="O1928" s="20"/>
      <c r="P1928" s="20"/>
      <c r="Q1928" s="20"/>
      <c r="R1928" s="20"/>
      <c r="S1928" s="20"/>
    </row>
    <row r="1929">
      <c r="A1929" s="76" t="s">
        <v>8316</v>
      </c>
      <c r="B1929" s="97">
        <v>46196.0</v>
      </c>
      <c r="C1929" s="76" t="s">
        <v>8317</v>
      </c>
      <c r="D1929" s="99" t="s">
        <v>8318</v>
      </c>
      <c r="E1929" s="25" t="s">
        <v>17</v>
      </c>
      <c r="F1929" s="25" t="s">
        <v>983</v>
      </c>
      <c r="G1929" s="25" t="s">
        <v>19</v>
      </c>
      <c r="H1929" s="76" t="s">
        <v>8319</v>
      </c>
      <c r="I1929" s="118">
        <v>46198.0</v>
      </c>
      <c r="J1929" s="76">
        <v>5.0</v>
      </c>
      <c r="K1929" s="46">
        <f>294000*5</f>
        <v>1470000</v>
      </c>
      <c r="L1929" s="76" t="s">
        <v>985</v>
      </c>
      <c r="M1929" s="44">
        <v>7.0</v>
      </c>
      <c r="N1929" s="45"/>
      <c r="O1929" s="20"/>
      <c r="P1929" s="20"/>
      <c r="Q1929" s="20"/>
      <c r="R1929" s="20"/>
      <c r="S1929" s="20"/>
    </row>
    <row r="1930">
      <c r="A1930" s="49" t="s">
        <v>8320</v>
      </c>
      <c r="B1930" s="110">
        <v>46196.0</v>
      </c>
      <c r="C1930" s="49" t="s">
        <v>8321</v>
      </c>
      <c r="D1930" s="102" t="s">
        <v>8322</v>
      </c>
      <c r="E1930" s="25" t="s">
        <v>17</v>
      </c>
      <c r="F1930" s="25" t="s">
        <v>983</v>
      </c>
      <c r="G1930" s="25" t="s">
        <v>29</v>
      </c>
      <c r="H1930" s="49" t="s">
        <v>2105</v>
      </c>
      <c r="I1930" s="49" t="s">
        <v>8323</v>
      </c>
      <c r="J1930" s="49">
        <v>2.0</v>
      </c>
      <c r="K1930" s="30"/>
      <c r="L1930" s="23"/>
      <c r="M1930" s="50">
        <v>1.0</v>
      </c>
      <c r="N1930" s="51"/>
      <c r="O1930" s="20"/>
      <c r="P1930" s="20"/>
      <c r="Q1930" s="20"/>
      <c r="R1930" s="20"/>
      <c r="S1930" s="20"/>
    </row>
    <row r="1931">
      <c r="A1931" s="76" t="s">
        <v>8324</v>
      </c>
      <c r="B1931" s="97">
        <v>46195.0</v>
      </c>
      <c r="C1931" s="76" t="s">
        <v>8325</v>
      </c>
      <c r="D1931" s="99" t="s">
        <v>8326</v>
      </c>
      <c r="E1931" s="25" t="s">
        <v>122</v>
      </c>
      <c r="F1931" s="25" t="s">
        <v>129</v>
      </c>
      <c r="G1931" s="25" t="s">
        <v>42</v>
      </c>
      <c r="H1931" s="76" t="s">
        <v>4018</v>
      </c>
      <c r="I1931" s="118">
        <v>46196.0</v>
      </c>
      <c r="J1931" s="76">
        <v>2.0</v>
      </c>
      <c r="K1931" s="46"/>
      <c r="L1931" s="76" t="s">
        <v>8327</v>
      </c>
      <c r="M1931" s="44">
        <v>8.0</v>
      </c>
      <c r="N1931" s="45"/>
      <c r="O1931" s="20"/>
      <c r="P1931" s="20"/>
      <c r="Q1931" s="20"/>
      <c r="R1931" s="20"/>
      <c r="S1931" s="20"/>
    </row>
    <row r="1932">
      <c r="A1932" s="49" t="s">
        <v>8328</v>
      </c>
      <c r="B1932" s="110">
        <v>46195.0</v>
      </c>
      <c r="C1932" s="49" t="s">
        <v>8329</v>
      </c>
      <c r="D1932" s="102" t="s">
        <v>8330</v>
      </c>
      <c r="E1932" s="25" t="s">
        <v>128</v>
      </c>
      <c r="F1932" s="25" t="s">
        <v>129</v>
      </c>
      <c r="G1932" s="25" t="s">
        <v>29</v>
      </c>
      <c r="H1932" s="49" t="s">
        <v>3744</v>
      </c>
      <c r="I1932" s="23"/>
      <c r="J1932" s="49">
        <v>4.0</v>
      </c>
      <c r="K1932" s="30"/>
      <c r="L1932" s="49" t="s">
        <v>8331</v>
      </c>
      <c r="M1932" s="50">
        <v>1.0</v>
      </c>
      <c r="N1932" s="51"/>
      <c r="O1932" s="20"/>
      <c r="P1932" s="20"/>
      <c r="Q1932" s="20"/>
      <c r="R1932" s="20"/>
      <c r="S1932" s="20"/>
    </row>
    <row r="1933">
      <c r="A1933" s="76" t="s">
        <v>8332</v>
      </c>
      <c r="B1933" s="97">
        <v>46195.0</v>
      </c>
      <c r="C1933" s="76" t="s">
        <v>8333</v>
      </c>
      <c r="D1933" s="99" t="s">
        <v>8334</v>
      </c>
      <c r="E1933" s="25" t="s">
        <v>17</v>
      </c>
      <c r="F1933" s="25" t="s">
        <v>129</v>
      </c>
      <c r="G1933" s="25" t="s">
        <v>19</v>
      </c>
      <c r="H1933" s="76" t="s">
        <v>4351</v>
      </c>
      <c r="I1933" s="118">
        <v>46202.0</v>
      </c>
      <c r="J1933" s="76">
        <v>5.0</v>
      </c>
      <c r="K1933" s="19">
        <v>8125000.0</v>
      </c>
      <c r="L1933" s="76" t="s">
        <v>7557</v>
      </c>
      <c r="M1933" s="44">
        <v>7.0</v>
      </c>
      <c r="N1933" s="45"/>
      <c r="O1933" s="20"/>
      <c r="P1933" s="20"/>
      <c r="Q1933" s="20"/>
      <c r="R1933" s="20"/>
      <c r="S1933" s="20"/>
    </row>
    <row r="1934">
      <c r="A1934" s="49" t="s">
        <v>8335</v>
      </c>
      <c r="B1934" s="110">
        <v>46196.0</v>
      </c>
      <c r="C1934" s="49" t="s">
        <v>8336</v>
      </c>
      <c r="D1934" s="102" t="s">
        <v>8337</v>
      </c>
      <c r="E1934" s="25" t="s">
        <v>128</v>
      </c>
      <c r="F1934" s="25" t="s">
        <v>129</v>
      </c>
      <c r="G1934" s="25" t="s">
        <v>19</v>
      </c>
      <c r="H1934" s="49" t="s">
        <v>123</v>
      </c>
      <c r="I1934" s="101">
        <v>46209.0</v>
      </c>
      <c r="J1934" s="49">
        <v>2.0</v>
      </c>
      <c r="K1934" s="30">
        <f>SUM(1600000*2)</f>
        <v>3200000</v>
      </c>
      <c r="L1934" s="49" t="s">
        <v>4896</v>
      </c>
      <c r="M1934" s="50">
        <v>7.0</v>
      </c>
      <c r="N1934" s="51"/>
      <c r="O1934" s="20"/>
      <c r="P1934" s="20"/>
      <c r="Q1934" s="20"/>
      <c r="R1934" s="20"/>
      <c r="S1934" s="20"/>
    </row>
    <row r="1935">
      <c r="A1935" s="76" t="s">
        <v>8338</v>
      </c>
      <c r="B1935" s="97">
        <v>46196.0</v>
      </c>
      <c r="C1935" s="76" t="s">
        <v>8339</v>
      </c>
      <c r="D1935" s="99" t="s">
        <v>8340</v>
      </c>
      <c r="E1935" s="25" t="s">
        <v>128</v>
      </c>
      <c r="F1935" s="25" t="s">
        <v>129</v>
      </c>
      <c r="G1935" s="25" t="s">
        <v>29</v>
      </c>
      <c r="H1935" s="76" t="s">
        <v>747</v>
      </c>
      <c r="I1935" s="118">
        <v>46198.0</v>
      </c>
      <c r="J1935" s="76">
        <v>2.0</v>
      </c>
      <c r="K1935" s="46"/>
      <c r="L1935" s="76" t="s">
        <v>8154</v>
      </c>
      <c r="M1935" s="44">
        <v>1.0</v>
      </c>
      <c r="N1935" s="45"/>
      <c r="O1935" s="20"/>
      <c r="P1935" s="20"/>
      <c r="Q1935" s="20"/>
      <c r="R1935" s="20"/>
      <c r="S1935" s="20"/>
    </row>
    <row r="1936">
      <c r="A1936" s="49" t="s">
        <v>8341</v>
      </c>
      <c r="B1936" s="110">
        <v>46196.0</v>
      </c>
      <c r="C1936" s="49" t="s">
        <v>8342</v>
      </c>
      <c r="D1936" s="102" t="s">
        <v>8343</v>
      </c>
      <c r="E1936" s="25" t="s">
        <v>128</v>
      </c>
      <c r="F1936" s="25" t="s">
        <v>129</v>
      </c>
      <c r="G1936" s="25" t="s">
        <v>29</v>
      </c>
      <c r="H1936" s="49" t="s">
        <v>8344</v>
      </c>
      <c r="I1936" s="101">
        <v>46200.0</v>
      </c>
      <c r="J1936" s="136">
        <v>46178.0</v>
      </c>
      <c r="K1936" s="30"/>
      <c r="L1936" s="49" t="s">
        <v>7921</v>
      </c>
      <c r="M1936" s="50">
        <v>1.0</v>
      </c>
      <c r="N1936" s="51"/>
      <c r="O1936" s="20"/>
      <c r="P1936" s="20"/>
      <c r="Q1936" s="20"/>
      <c r="R1936" s="20"/>
      <c r="S1936" s="20"/>
    </row>
    <row r="1937">
      <c r="A1937" s="76" t="s">
        <v>8345</v>
      </c>
      <c r="B1937" s="97">
        <v>46196.0</v>
      </c>
      <c r="C1937" s="76" t="s">
        <v>8346</v>
      </c>
      <c r="D1937" s="99" t="s">
        <v>8347</v>
      </c>
      <c r="E1937" s="25" t="s">
        <v>122</v>
      </c>
      <c r="F1937" s="25" t="s">
        <v>129</v>
      </c>
      <c r="G1937" s="25" t="s">
        <v>64</v>
      </c>
      <c r="H1937" s="76" t="s">
        <v>260</v>
      </c>
      <c r="I1937" s="118">
        <v>46220.0</v>
      </c>
      <c r="J1937" s="76">
        <v>3.0</v>
      </c>
      <c r="K1937" s="46"/>
      <c r="L1937" s="76" t="s">
        <v>8348</v>
      </c>
      <c r="M1937" s="44">
        <v>6.0</v>
      </c>
      <c r="N1937" s="45"/>
      <c r="O1937" s="20"/>
      <c r="P1937" s="20"/>
      <c r="Q1937" s="20"/>
      <c r="R1937" s="20"/>
      <c r="S1937" s="20"/>
    </row>
    <row r="1938">
      <c r="A1938" s="49" t="s">
        <v>8349</v>
      </c>
      <c r="B1938" s="110">
        <v>46196.0</v>
      </c>
      <c r="C1938" s="49" t="s">
        <v>8350</v>
      </c>
      <c r="D1938" s="102" t="s">
        <v>8351</v>
      </c>
      <c r="E1938" s="25" t="s">
        <v>128</v>
      </c>
      <c r="F1938" s="25" t="s">
        <v>129</v>
      </c>
      <c r="G1938" s="25" t="s">
        <v>29</v>
      </c>
      <c r="H1938" s="49" t="s">
        <v>894</v>
      </c>
      <c r="I1938" s="23"/>
      <c r="J1938" s="49">
        <v>2.0</v>
      </c>
      <c r="K1938" s="30"/>
      <c r="L1938" s="49" t="s">
        <v>6475</v>
      </c>
      <c r="M1938" s="50">
        <v>1.0</v>
      </c>
      <c r="N1938" s="51"/>
      <c r="O1938" s="20"/>
      <c r="P1938" s="20"/>
      <c r="Q1938" s="20"/>
      <c r="R1938" s="20"/>
      <c r="S1938" s="20"/>
    </row>
    <row r="1939">
      <c r="A1939" s="76" t="s">
        <v>8352</v>
      </c>
      <c r="B1939" s="97">
        <v>46196.0</v>
      </c>
      <c r="C1939" s="76" t="s">
        <v>6178</v>
      </c>
      <c r="D1939" s="99" t="s">
        <v>8353</v>
      </c>
      <c r="E1939" s="25" t="s">
        <v>1877</v>
      </c>
      <c r="F1939" s="25" t="s">
        <v>129</v>
      </c>
      <c r="G1939" s="25" t="s">
        <v>34</v>
      </c>
      <c r="H1939" s="76" t="s">
        <v>747</v>
      </c>
      <c r="I1939" s="76" t="s">
        <v>8354</v>
      </c>
      <c r="J1939" s="76">
        <v>1.0</v>
      </c>
      <c r="K1939" s="46"/>
      <c r="L1939" s="76" t="s">
        <v>8355</v>
      </c>
      <c r="M1939" s="44">
        <v>2.0</v>
      </c>
      <c r="N1939" s="45"/>
      <c r="O1939" s="20"/>
      <c r="P1939" s="20"/>
      <c r="Q1939" s="20"/>
      <c r="R1939" s="20"/>
      <c r="S1939" s="20"/>
    </row>
    <row r="1940">
      <c r="A1940" s="49" t="s">
        <v>8356</v>
      </c>
      <c r="B1940" s="97">
        <v>46196.0</v>
      </c>
      <c r="C1940" s="49" t="s">
        <v>8357</v>
      </c>
      <c r="D1940" s="102" t="s">
        <v>8358</v>
      </c>
      <c r="E1940" s="25" t="s">
        <v>128</v>
      </c>
      <c r="F1940" s="25" t="s">
        <v>129</v>
      </c>
      <c r="G1940" s="25" t="s">
        <v>29</v>
      </c>
      <c r="H1940" s="76" t="s">
        <v>747</v>
      </c>
      <c r="I1940" s="101">
        <v>46224.0</v>
      </c>
      <c r="J1940" s="49">
        <v>2.0</v>
      </c>
      <c r="K1940" s="30"/>
      <c r="L1940" s="49" t="s">
        <v>8359</v>
      </c>
      <c r="M1940" s="50">
        <v>1.0</v>
      </c>
      <c r="N1940" s="51"/>
      <c r="O1940" s="20"/>
      <c r="P1940" s="20"/>
      <c r="Q1940" s="20"/>
      <c r="R1940" s="20"/>
      <c r="S1940" s="20"/>
    </row>
    <row r="1941">
      <c r="A1941" s="76" t="s">
        <v>8360</v>
      </c>
      <c r="B1941" s="97">
        <v>46196.0</v>
      </c>
      <c r="C1941" s="76" t="s">
        <v>8361</v>
      </c>
      <c r="D1941" s="99" t="s">
        <v>8362</v>
      </c>
      <c r="E1941" s="25" t="s">
        <v>128</v>
      </c>
      <c r="F1941" s="25" t="s">
        <v>129</v>
      </c>
      <c r="G1941" s="25" t="s">
        <v>19</v>
      </c>
      <c r="H1941" s="76" t="s">
        <v>8344</v>
      </c>
      <c r="I1941" s="118">
        <v>46205.0</v>
      </c>
      <c r="J1941" s="76">
        <v>4.0</v>
      </c>
      <c r="K1941" s="19">
        <v>2600000.0</v>
      </c>
      <c r="L1941" s="76" t="s">
        <v>6048</v>
      </c>
      <c r="M1941" s="44">
        <v>7.0</v>
      </c>
      <c r="N1941" s="45"/>
      <c r="O1941" s="20"/>
      <c r="P1941" s="20"/>
      <c r="Q1941" s="20"/>
      <c r="R1941" s="20"/>
      <c r="S1941" s="20"/>
    </row>
    <row r="1942">
      <c r="A1942" s="49" t="s">
        <v>8363</v>
      </c>
      <c r="B1942" s="110">
        <v>46196.0</v>
      </c>
      <c r="C1942" s="49" t="s">
        <v>2201</v>
      </c>
      <c r="D1942" s="102" t="s">
        <v>8364</v>
      </c>
      <c r="E1942" s="25" t="s">
        <v>128</v>
      </c>
      <c r="F1942" s="25" t="s">
        <v>129</v>
      </c>
      <c r="G1942" s="25" t="s">
        <v>29</v>
      </c>
      <c r="H1942" s="76" t="s">
        <v>747</v>
      </c>
      <c r="I1942" s="101">
        <v>46198.0</v>
      </c>
      <c r="J1942" s="49">
        <v>2.0</v>
      </c>
      <c r="K1942" s="30"/>
      <c r="L1942" s="49" t="s">
        <v>8154</v>
      </c>
      <c r="M1942" s="50">
        <v>1.0</v>
      </c>
      <c r="N1942" s="51"/>
      <c r="O1942" s="20"/>
      <c r="P1942" s="20"/>
      <c r="Q1942" s="20"/>
      <c r="R1942" s="20"/>
      <c r="S1942" s="20"/>
    </row>
    <row r="1943">
      <c r="A1943" s="76" t="s">
        <v>8365</v>
      </c>
      <c r="B1943" s="97">
        <v>46197.0</v>
      </c>
      <c r="C1943" s="76" t="s">
        <v>8366</v>
      </c>
      <c r="D1943" s="99" t="s">
        <v>8367</v>
      </c>
      <c r="E1943" s="25" t="s">
        <v>122</v>
      </c>
      <c r="F1943" s="25" t="s">
        <v>18</v>
      </c>
      <c r="G1943" s="25" t="s">
        <v>19</v>
      </c>
      <c r="H1943" s="76" t="s">
        <v>5658</v>
      </c>
      <c r="I1943" s="118">
        <v>46198.0</v>
      </c>
      <c r="J1943" s="76">
        <v>4.0</v>
      </c>
      <c r="K1943" s="46">
        <f>400000*4</f>
        <v>1600000</v>
      </c>
      <c r="L1943" s="76" t="s">
        <v>4896</v>
      </c>
      <c r="M1943" s="44">
        <v>7.0</v>
      </c>
      <c r="N1943" s="45"/>
      <c r="O1943" s="20"/>
      <c r="P1943" s="20"/>
      <c r="Q1943" s="20"/>
      <c r="R1943" s="20"/>
      <c r="S1943" s="20"/>
    </row>
    <row r="1944">
      <c r="A1944" s="49" t="s">
        <v>8368</v>
      </c>
      <c r="B1944" s="110">
        <v>46197.0</v>
      </c>
      <c r="C1944" s="49" t="s">
        <v>8369</v>
      </c>
      <c r="D1944" s="102" t="s">
        <v>8370</v>
      </c>
      <c r="E1944" s="25" t="s">
        <v>122</v>
      </c>
      <c r="F1944" s="25" t="s">
        <v>18</v>
      </c>
      <c r="G1944" s="25" t="s">
        <v>19</v>
      </c>
      <c r="H1944" s="49" t="s">
        <v>7489</v>
      </c>
      <c r="I1944" s="49" t="s">
        <v>8371</v>
      </c>
      <c r="J1944" s="49">
        <v>1.0</v>
      </c>
      <c r="K1944" s="30">
        <f>600000+850000</f>
        <v>1450000</v>
      </c>
      <c r="L1944" s="49" t="s">
        <v>4896</v>
      </c>
      <c r="M1944" s="50">
        <v>7.0</v>
      </c>
      <c r="N1944" s="51"/>
      <c r="O1944" s="20"/>
      <c r="P1944" s="20"/>
      <c r="Q1944" s="20"/>
      <c r="R1944" s="20"/>
      <c r="S1944" s="20"/>
    </row>
    <row r="1945">
      <c r="A1945" s="76" t="s">
        <v>8372</v>
      </c>
      <c r="B1945" s="97">
        <v>46197.0</v>
      </c>
      <c r="C1945" s="76" t="s">
        <v>3978</v>
      </c>
      <c r="D1945" s="99" t="s">
        <v>8373</v>
      </c>
      <c r="E1945" s="25" t="s">
        <v>128</v>
      </c>
      <c r="F1945" s="25" t="s">
        <v>129</v>
      </c>
      <c r="G1945" s="25" t="s">
        <v>19</v>
      </c>
      <c r="H1945" s="76" t="s">
        <v>747</v>
      </c>
      <c r="I1945" s="118">
        <v>46204.0</v>
      </c>
      <c r="J1945" s="76">
        <v>2.0</v>
      </c>
      <c r="K1945" s="46">
        <f>SUM(400000*2)</f>
        <v>800000</v>
      </c>
      <c r="L1945" s="76" t="s">
        <v>8374</v>
      </c>
      <c r="M1945" s="44">
        <v>7.0</v>
      </c>
      <c r="N1945" s="45"/>
      <c r="O1945" s="20"/>
      <c r="P1945" s="20"/>
      <c r="Q1945" s="20"/>
      <c r="R1945" s="20"/>
      <c r="S1945" s="20"/>
    </row>
    <row r="1946">
      <c r="A1946" s="49" t="s">
        <v>8375</v>
      </c>
      <c r="B1946" s="110">
        <v>46197.0</v>
      </c>
      <c r="C1946" s="49" t="s">
        <v>8376</v>
      </c>
      <c r="D1946" s="102" t="s">
        <v>8377</v>
      </c>
      <c r="E1946" s="25" t="s">
        <v>17</v>
      </c>
      <c r="F1946" s="25" t="s">
        <v>129</v>
      </c>
      <c r="G1946" s="25" t="s">
        <v>19</v>
      </c>
      <c r="H1946" s="49" t="s">
        <v>8378</v>
      </c>
      <c r="I1946" s="101">
        <v>46204.0</v>
      </c>
      <c r="J1946" s="49">
        <v>3.0</v>
      </c>
      <c r="K1946" s="30">
        <f>SUM(1618000*3)</f>
        <v>4854000</v>
      </c>
      <c r="L1946" s="49" t="s">
        <v>6048</v>
      </c>
      <c r="M1946" s="50">
        <v>7.0</v>
      </c>
      <c r="N1946" s="51"/>
      <c r="O1946" s="20"/>
      <c r="P1946" s="20"/>
      <c r="Q1946" s="20"/>
      <c r="R1946" s="20"/>
      <c r="S1946" s="20"/>
    </row>
    <row r="1947">
      <c r="A1947" s="76" t="s">
        <v>8379</v>
      </c>
      <c r="B1947" s="97">
        <v>46197.0</v>
      </c>
      <c r="C1947" s="76" t="s">
        <v>8380</v>
      </c>
      <c r="D1947" s="99" t="s">
        <v>8381</v>
      </c>
      <c r="E1947" s="25" t="s">
        <v>17</v>
      </c>
      <c r="F1947" s="25" t="s">
        <v>129</v>
      </c>
      <c r="G1947" s="25" t="s">
        <v>29</v>
      </c>
      <c r="H1947" s="10"/>
      <c r="I1947" s="10"/>
      <c r="J1947" s="10"/>
      <c r="K1947" s="46"/>
      <c r="L1947" s="76" t="s">
        <v>7926</v>
      </c>
      <c r="M1947" s="44">
        <v>1.0</v>
      </c>
      <c r="N1947" s="45"/>
      <c r="O1947" s="20"/>
      <c r="P1947" s="20"/>
      <c r="Q1947" s="20"/>
      <c r="R1947" s="20"/>
      <c r="S1947" s="20"/>
    </row>
    <row r="1948">
      <c r="A1948" s="49" t="s">
        <v>8382</v>
      </c>
      <c r="B1948" s="110">
        <v>46197.0</v>
      </c>
      <c r="C1948" s="49" t="s">
        <v>2344</v>
      </c>
      <c r="D1948" s="102" t="s">
        <v>8383</v>
      </c>
      <c r="E1948" s="25" t="s">
        <v>128</v>
      </c>
      <c r="F1948" s="25" t="s">
        <v>129</v>
      </c>
      <c r="G1948" s="25" t="s">
        <v>29</v>
      </c>
      <c r="H1948" s="49" t="s">
        <v>8384</v>
      </c>
      <c r="I1948" s="49" t="s">
        <v>4744</v>
      </c>
      <c r="J1948" s="49">
        <v>20.0</v>
      </c>
      <c r="K1948" s="30"/>
      <c r="L1948" s="49" t="s">
        <v>2232</v>
      </c>
      <c r="M1948" s="50">
        <v>1.0</v>
      </c>
      <c r="N1948" s="51"/>
      <c r="O1948" s="20"/>
      <c r="P1948" s="20"/>
      <c r="Q1948" s="20"/>
      <c r="R1948" s="20"/>
      <c r="S1948" s="20"/>
    </row>
    <row r="1949">
      <c r="A1949" s="76" t="s">
        <v>8385</v>
      </c>
      <c r="B1949" s="97">
        <v>46197.0</v>
      </c>
      <c r="C1949" s="76" t="s">
        <v>8386</v>
      </c>
      <c r="D1949" s="99" t="s">
        <v>8387</v>
      </c>
      <c r="E1949" s="25" t="s">
        <v>128</v>
      </c>
      <c r="F1949" s="25" t="s">
        <v>129</v>
      </c>
      <c r="G1949" s="25" t="s">
        <v>29</v>
      </c>
      <c r="H1949" s="76" t="s">
        <v>116</v>
      </c>
      <c r="I1949" s="10"/>
      <c r="J1949" s="76">
        <v>6.0</v>
      </c>
      <c r="K1949" s="46"/>
      <c r="L1949" s="76" t="s">
        <v>8388</v>
      </c>
      <c r="M1949" s="44">
        <v>1.0</v>
      </c>
      <c r="N1949" s="45"/>
      <c r="O1949" s="20"/>
      <c r="P1949" s="20"/>
      <c r="Q1949" s="20"/>
      <c r="R1949" s="20"/>
      <c r="S1949" s="20"/>
    </row>
    <row r="1950">
      <c r="A1950" s="49" t="s">
        <v>8389</v>
      </c>
      <c r="B1950" s="110">
        <v>46195.0</v>
      </c>
      <c r="C1950" s="49" t="s">
        <v>8390</v>
      </c>
      <c r="D1950" s="102" t="s">
        <v>8391</v>
      </c>
      <c r="E1950" s="25" t="s">
        <v>17</v>
      </c>
      <c r="F1950" s="25" t="s">
        <v>18</v>
      </c>
      <c r="G1950" s="25" t="s">
        <v>42</v>
      </c>
      <c r="H1950" s="49" t="s">
        <v>2462</v>
      </c>
      <c r="I1950" s="156">
        <v>46205.0</v>
      </c>
      <c r="J1950" s="49">
        <v>2.0</v>
      </c>
      <c r="K1950" s="30"/>
      <c r="L1950" s="23"/>
      <c r="M1950" s="50">
        <v>8.0</v>
      </c>
      <c r="N1950" s="51"/>
      <c r="O1950" s="20"/>
      <c r="P1950" s="20"/>
      <c r="Q1950" s="20"/>
      <c r="R1950" s="20"/>
      <c r="S1950" s="20"/>
    </row>
    <row r="1951">
      <c r="A1951" s="76" t="s">
        <v>8392</v>
      </c>
      <c r="B1951" s="97">
        <v>46196.0</v>
      </c>
      <c r="C1951" s="76" t="s">
        <v>8393</v>
      </c>
      <c r="D1951" s="99" t="s">
        <v>8394</v>
      </c>
      <c r="E1951" s="25" t="s">
        <v>122</v>
      </c>
      <c r="F1951" s="25" t="s">
        <v>18</v>
      </c>
      <c r="G1951" s="25" t="s">
        <v>42</v>
      </c>
      <c r="H1951" s="10"/>
      <c r="I1951" s="10"/>
      <c r="J1951" s="10"/>
      <c r="K1951" s="46"/>
      <c r="L1951" s="10"/>
      <c r="M1951" s="44">
        <v>8.0</v>
      </c>
      <c r="N1951" s="45"/>
      <c r="O1951" s="20"/>
      <c r="P1951" s="20"/>
      <c r="Q1951" s="20"/>
      <c r="R1951" s="20"/>
      <c r="S1951" s="20"/>
    </row>
    <row r="1952">
      <c r="A1952" s="49" t="s">
        <v>8395</v>
      </c>
      <c r="B1952" s="110">
        <v>46196.0</v>
      </c>
      <c r="C1952" s="49" t="s">
        <v>8396</v>
      </c>
      <c r="D1952" s="102" t="s">
        <v>8397</v>
      </c>
      <c r="E1952" s="25" t="s">
        <v>17</v>
      </c>
      <c r="F1952" s="25" t="s">
        <v>18</v>
      </c>
      <c r="G1952" s="25" t="s">
        <v>42</v>
      </c>
      <c r="H1952" s="49" t="s">
        <v>8398</v>
      </c>
      <c r="I1952" s="156">
        <v>46208.0</v>
      </c>
      <c r="J1952" s="49">
        <v>7.0</v>
      </c>
      <c r="K1952" s="30"/>
      <c r="L1952" s="23"/>
      <c r="M1952" s="50">
        <v>8.0</v>
      </c>
      <c r="N1952" s="51"/>
      <c r="O1952" s="20"/>
      <c r="P1952" s="20"/>
      <c r="Q1952" s="20"/>
      <c r="R1952" s="20"/>
      <c r="S1952" s="20"/>
    </row>
    <row r="1953">
      <c r="A1953" s="76" t="s">
        <v>8399</v>
      </c>
      <c r="B1953" s="97">
        <v>46196.0</v>
      </c>
      <c r="C1953" s="76" t="s">
        <v>8400</v>
      </c>
      <c r="D1953" s="99" t="s">
        <v>8401</v>
      </c>
      <c r="E1953" s="25" t="s">
        <v>1877</v>
      </c>
      <c r="F1953" s="25" t="s">
        <v>18</v>
      </c>
      <c r="G1953" s="25" t="s">
        <v>42</v>
      </c>
      <c r="H1953" s="10"/>
      <c r="I1953" s="10"/>
      <c r="J1953" s="10"/>
      <c r="K1953" s="46"/>
      <c r="L1953" s="76" t="s">
        <v>3493</v>
      </c>
      <c r="M1953" s="44">
        <v>8.0</v>
      </c>
      <c r="N1953" s="45"/>
      <c r="O1953" s="20"/>
      <c r="P1953" s="20"/>
      <c r="Q1953" s="20"/>
      <c r="R1953" s="20"/>
      <c r="S1953" s="20"/>
    </row>
    <row r="1954">
      <c r="A1954" s="49" t="s">
        <v>8402</v>
      </c>
      <c r="B1954" s="110">
        <v>46196.0</v>
      </c>
      <c r="C1954" s="49" t="s">
        <v>8403</v>
      </c>
      <c r="D1954" s="102" t="s">
        <v>8404</v>
      </c>
      <c r="E1954" s="25" t="s">
        <v>128</v>
      </c>
      <c r="F1954" s="25" t="s">
        <v>18</v>
      </c>
      <c r="G1954" s="25" t="s">
        <v>42</v>
      </c>
      <c r="H1954" s="49" t="s">
        <v>4074</v>
      </c>
      <c r="I1954" s="23"/>
      <c r="J1954" s="49">
        <v>3.0</v>
      </c>
      <c r="K1954" s="30"/>
      <c r="L1954" s="49" t="s">
        <v>8405</v>
      </c>
      <c r="M1954" s="50">
        <v>8.0</v>
      </c>
      <c r="N1954" s="51"/>
      <c r="O1954" s="20"/>
      <c r="P1954" s="20"/>
      <c r="Q1954" s="20"/>
      <c r="R1954" s="20"/>
      <c r="S1954" s="20"/>
    </row>
    <row r="1955">
      <c r="A1955" s="76" t="s">
        <v>8406</v>
      </c>
      <c r="B1955" s="97">
        <v>46197.0</v>
      </c>
      <c r="C1955" s="76" t="s">
        <v>8407</v>
      </c>
      <c r="D1955" s="99" t="s">
        <v>8408</v>
      </c>
      <c r="E1955" s="25" t="s">
        <v>128</v>
      </c>
      <c r="F1955" s="25" t="s">
        <v>18</v>
      </c>
      <c r="G1955" s="25" t="s">
        <v>42</v>
      </c>
      <c r="H1955" s="76" t="s">
        <v>235</v>
      </c>
      <c r="I1955" s="10"/>
      <c r="J1955" s="76">
        <v>2.0</v>
      </c>
      <c r="K1955" s="46"/>
      <c r="L1955" s="10"/>
      <c r="M1955" s="44">
        <v>8.0</v>
      </c>
      <c r="N1955" s="45"/>
      <c r="O1955" s="20"/>
      <c r="P1955" s="20"/>
      <c r="Q1955" s="20"/>
      <c r="R1955" s="20"/>
      <c r="S1955" s="20"/>
    </row>
    <row r="1956">
      <c r="A1956" s="49" t="s">
        <v>8409</v>
      </c>
      <c r="B1956" s="110">
        <v>46197.0</v>
      </c>
      <c r="C1956" s="49" t="s">
        <v>8410</v>
      </c>
      <c r="D1956" s="102" t="s">
        <v>8411</v>
      </c>
      <c r="E1956" s="25" t="s">
        <v>128</v>
      </c>
      <c r="F1956" s="25" t="s">
        <v>18</v>
      </c>
      <c r="G1956" s="25" t="s">
        <v>42</v>
      </c>
      <c r="H1956" s="49" t="s">
        <v>4074</v>
      </c>
      <c r="I1956" s="23"/>
      <c r="J1956" s="49">
        <v>50.0</v>
      </c>
      <c r="K1956" s="30"/>
      <c r="L1956" s="23"/>
      <c r="M1956" s="50">
        <v>8.0</v>
      </c>
      <c r="N1956" s="51"/>
      <c r="O1956" s="20"/>
      <c r="P1956" s="20"/>
      <c r="Q1956" s="20"/>
      <c r="R1956" s="20"/>
      <c r="S1956" s="20"/>
    </row>
    <row r="1957">
      <c r="A1957" s="76" t="s">
        <v>8412</v>
      </c>
      <c r="B1957" s="97">
        <v>46197.0</v>
      </c>
      <c r="C1957" s="76" t="s">
        <v>8413</v>
      </c>
      <c r="D1957" s="99" t="s">
        <v>8414</v>
      </c>
      <c r="E1957" s="25" t="s">
        <v>128</v>
      </c>
      <c r="F1957" s="25" t="s">
        <v>18</v>
      </c>
      <c r="G1957" s="25" t="s">
        <v>42</v>
      </c>
      <c r="H1957" s="10"/>
      <c r="I1957" s="10"/>
      <c r="J1957" s="10"/>
      <c r="K1957" s="46"/>
      <c r="L1957" s="10"/>
      <c r="M1957" s="44">
        <v>8.0</v>
      </c>
      <c r="N1957" s="45"/>
      <c r="O1957" s="20"/>
      <c r="P1957" s="20"/>
      <c r="Q1957" s="20"/>
      <c r="R1957" s="20"/>
      <c r="S1957" s="20"/>
    </row>
    <row r="1958">
      <c r="A1958" s="49" t="s">
        <v>8415</v>
      </c>
      <c r="B1958" s="110">
        <v>46197.0</v>
      </c>
      <c r="C1958" s="49" t="s">
        <v>8380</v>
      </c>
      <c r="D1958" s="102" t="s">
        <v>8381</v>
      </c>
      <c r="E1958" s="25" t="s">
        <v>17</v>
      </c>
      <c r="F1958" s="25" t="s">
        <v>18</v>
      </c>
      <c r="G1958" s="25" t="s">
        <v>29</v>
      </c>
      <c r="H1958" s="23"/>
      <c r="I1958" s="23"/>
      <c r="J1958" s="23"/>
      <c r="K1958" s="30"/>
      <c r="L1958" s="23"/>
      <c r="M1958" s="50">
        <v>1.0</v>
      </c>
      <c r="N1958" s="51"/>
      <c r="O1958" s="20"/>
      <c r="P1958" s="20"/>
      <c r="Q1958" s="20"/>
      <c r="R1958" s="20"/>
      <c r="S1958" s="20"/>
    </row>
    <row r="1959">
      <c r="A1959" s="76" t="s">
        <v>8416</v>
      </c>
      <c r="B1959" s="97">
        <v>46197.0</v>
      </c>
      <c r="C1959" s="76" t="s">
        <v>8417</v>
      </c>
      <c r="D1959" s="99" t="s">
        <v>8418</v>
      </c>
      <c r="E1959" s="25" t="s">
        <v>17</v>
      </c>
      <c r="F1959" s="25" t="s">
        <v>18</v>
      </c>
      <c r="G1959" s="25" t="s">
        <v>29</v>
      </c>
      <c r="H1959" s="76" t="s">
        <v>2462</v>
      </c>
      <c r="I1959" s="157">
        <v>46205.0</v>
      </c>
      <c r="J1959" s="10"/>
      <c r="K1959" s="46"/>
      <c r="L1959" s="10"/>
      <c r="M1959" s="44">
        <v>1.0</v>
      </c>
      <c r="N1959" s="45"/>
      <c r="O1959" s="20"/>
      <c r="P1959" s="20"/>
      <c r="Q1959" s="20"/>
      <c r="R1959" s="20"/>
      <c r="S1959" s="20"/>
    </row>
    <row r="1960">
      <c r="A1960" s="49" t="s">
        <v>8419</v>
      </c>
      <c r="B1960" s="110">
        <v>46197.0</v>
      </c>
      <c r="C1960" s="49" t="s">
        <v>8420</v>
      </c>
      <c r="D1960" s="102" t="s">
        <v>8421</v>
      </c>
      <c r="E1960" s="25" t="s">
        <v>128</v>
      </c>
      <c r="F1960" s="25" t="s">
        <v>18</v>
      </c>
      <c r="G1960" s="25" t="s">
        <v>29</v>
      </c>
      <c r="H1960" s="49" t="s">
        <v>2462</v>
      </c>
      <c r="I1960" s="23"/>
      <c r="J1960" s="49">
        <v>1.0</v>
      </c>
      <c r="K1960" s="30"/>
      <c r="L1960" s="23"/>
      <c r="M1960" s="50">
        <v>1.0</v>
      </c>
      <c r="N1960" s="51"/>
      <c r="O1960" s="20"/>
      <c r="P1960" s="20"/>
      <c r="Q1960" s="20"/>
      <c r="R1960" s="20"/>
      <c r="S1960" s="20"/>
    </row>
    <row r="1961">
      <c r="A1961" s="76" t="s">
        <v>8422</v>
      </c>
      <c r="B1961" s="97">
        <v>46197.0</v>
      </c>
      <c r="C1961" s="76" t="s">
        <v>8423</v>
      </c>
      <c r="D1961" s="99" t="s">
        <v>8424</v>
      </c>
      <c r="E1961" s="25" t="s">
        <v>128</v>
      </c>
      <c r="F1961" s="25" t="s">
        <v>18</v>
      </c>
      <c r="G1961" s="25" t="s">
        <v>29</v>
      </c>
      <c r="H1961" s="10"/>
      <c r="I1961" s="10"/>
      <c r="J1961" s="10"/>
      <c r="K1961" s="46"/>
      <c r="L1961" s="10"/>
      <c r="M1961" s="44">
        <v>1.0</v>
      </c>
      <c r="N1961" s="45"/>
      <c r="O1961" s="20"/>
      <c r="P1961" s="20"/>
      <c r="Q1961" s="20"/>
      <c r="R1961" s="20"/>
      <c r="S1961" s="20"/>
    </row>
    <row r="1962">
      <c r="A1962" s="49" t="s">
        <v>8425</v>
      </c>
      <c r="B1962" s="110">
        <v>46198.0</v>
      </c>
      <c r="C1962" s="49" t="s">
        <v>8426</v>
      </c>
      <c r="D1962" s="102" t="s">
        <v>8427</v>
      </c>
      <c r="E1962" s="25" t="s">
        <v>128</v>
      </c>
      <c r="F1962" s="25" t="s">
        <v>18</v>
      </c>
      <c r="G1962" s="25" t="s">
        <v>29</v>
      </c>
      <c r="H1962" s="23"/>
      <c r="I1962" s="23"/>
      <c r="J1962" s="23"/>
      <c r="K1962" s="30"/>
      <c r="L1962" s="23"/>
      <c r="M1962" s="50">
        <v>1.0</v>
      </c>
      <c r="N1962" s="51"/>
      <c r="O1962" s="20"/>
      <c r="P1962" s="20"/>
      <c r="Q1962" s="20"/>
      <c r="R1962" s="20"/>
      <c r="S1962" s="20"/>
    </row>
    <row r="1963">
      <c r="A1963" s="76" t="s">
        <v>8428</v>
      </c>
      <c r="B1963" s="97">
        <v>46196.0</v>
      </c>
      <c r="C1963" s="76" t="s">
        <v>8429</v>
      </c>
      <c r="D1963" s="99" t="s">
        <v>8430</v>
      </c>
      <c r="E1963" s="25" t="s">
        <v>17</v>
      </c>
      <c r="F1963" s="25" t="s">
        <v>983</v>
      </c>
      <c r="G1963" s="25" t="s">
        <v>34</v>
      </c>
      <c r="H1963" s="76" t="s">
        <v>8431</v>
      </c>
      <c r="I1963" s="76" t="s">
        <v>3954</v>
      </c>
      <c r="J1963" s="76">
        <v>1.0</v>
      </c>
      <c r="K1963" s="46"/>
      <c r="L1963" s="76" t="s">
        <v>8113</v>
      </c>
      <c r="M1963" s="44">
        <v>2.0</v>
      </c>
      <c r="N1963" s="45"/>
      <c r="O1963" s="20"/>
      <c r="P1963" s="20"/>
      <c r="Q1963" s="20"/>
      <c r="R1963" s="20"/>
      <c r="S1963" s="20"/>
    </row>
    <row r="1964">
      <c r="A1964" s="49" t="s">
        <v>8432</v>
      </c>
      <c r="B1964" s="110">
        <v>46196.0</v>
      </c>
      <c r="C1964" s="49" t="s">
        <v>8433</v>
      </c>
      <c r="D1964" s="102" t="s">
        <v>8434</v>
      </c>
      <c r="E1964" s="25" t="s">
        <v>17</v>
      </c>
      <c r="F1964" s="25" t="s">
        <v>983</v>
      </c>
      <c r="G1964" s="25" t="s">
        <v>42</v>
      </c>
      <c r="H1964" s="23"/>
      <c r="I1964" s="23"/>
      <c r="J1964" s="23"/>
      <c r="K1964" s="30"/>
      <c r="L1964" s="49" t="s">
        <v>8435</v>
      </c>
      <c r="M1964" s="50">
        <v>8.0</v>
      </c>
      <c r="N1964" s="51"/>
      <c r="O1964" s="20"/>
      <c r="P1964" s="20"/>
      <c r="Q1964" s="20"/>
      <c r="R1964" s="20"/>
      <c r="S1964" s="20"/>
    </row>
    <row r="1965">
      <c r="A1965" s="76" t="s">
        <v>8436</v>
      </c>
      <c r="B1965" s="97">
        <v>46196.0</v>
      </c>
      <c r="C1965" s="76" t="s">
        <v>8437</v>
      </c>
      <c r="D1965" s="99" t="s">
        <v>8438</v>
      </c>
      <c r="E1965" s="25" t="s">
        <v>17</v>
      </c>
      <c r="F1965" s="25" t="s">
        <v>983</v>
      </c>
      <c r="G1965" s="25" t="s">
        <v>42</v>
      </c>
      <c r="H1965" s="76" t="s">
        <v>4861</v>
      </c>
      <c r="I1965" s="10"/>
      <c r="J1965" s="76">
        <v>2.0</v>
      </c>
      <c r="K1965" s="46"/>
      <c r="L1965" s="76" t="s">
        <v>7926</v>
      </c>
      <c r="M1965" s="44">
        <v>8.0</v>
      </c>
      <c r="N1965" s="45"/>
      <c r="O1965" s="20"/>
      <c r="P1965" s="20"/>
      <c r="Q1965" s="20"/>
      <c r="R1965" s="20"/>
      <c r="S1965" s="20"/>
    </row>
    <row r="1966">
      <c r="A1966" s="49" t="s">
        <v>8439</v>
      </c>
      <c r="B1966" s="110">
        <v>46196.0</v>
      </c>
      <c r="C1966" s="49" t="s">
        <v>8440</v>
      </c>
      <c r="D1966" s="102" t="s">
        <v>8441</v>
      </c>
      <c r="E1966" s="25" t="s">
        <v>122</v>
      </c>
      <c r="F1966" s="25" t="s">
        <v>983</v>
      </c>
      <c r="G1966" s="25" t="s">
        <v>42</v>
      </c>
      <c r="H1966" s="49" t="s">
        <v>8442</v>
      </c>
      <c r="I1966" s="101">
        <v>46205.0</v>
      </c>
      <c r="J1966" s="49">
        <v>2.0</v>
      </c>
      <c r="K1966" s="30">
        <f>756000*2</f>
        <v>1512000</v>
      </c>
      <c r="L1966" s="49" t="s">
        <v>7926</v>
      </c>
      <c r="M1966" s="50">
        <v>8.0</v>
      </c>
      <c r="N1966" s="51"/>
      <c r="O1966" s="20"/>
      <c r="P1966" s="20"/>
      <c r="Q1966" s="20"/>
      <c r="R1966" s="20"/>
      <c r="S1966" s="20"/>
    </row>
    <row r="1967">
      <c r="A1967" s="76" t="s">
        <v>8443</v>
      </c>
      <c r="B1967" s="97">
        <v>46197.0</v>
      </c>
      <c r="C1967" s="76" t="s">
        <v>8444</v>
      </c>
      <c r="D1967" s="99" t="s">
        <v>8445</v>
      </c>
      <c r="E1967" s="25" t="s">
        <v>17</v>
      </c>
      <c r="F1967" s="25" t="s">
        <v>983</v>
      </c>
      <c r="G1967" s="25" t="s">
        <v>42</v>
      </c>
      <c r="H1967" s="76" t="s">
        <v>4689</v>
      </c>
      <c r="I1967" s="118">
        <v>46204.0</v>
      </c>
      <c r="J1967" s="76">
        <v>2.0</v>
      </c>
      <c r="K1967" s="46">
        <f>3945000*2</f>
        <v>7890000</v>
      </c>
      <c r="L1967" s="76" t="s">
        <v>7926</v>
      </c>
      <c r="M1967" s="44">
        <v>8.0</v>
      </c>
      <c r="N1967" s="45"/>
      <c r="O1967" s="20"/>
      <c r="P1967" s="20"/>
      <c r="Q1967" s="20"/>
      <c r="R1967" s="20"/>
      <c r="S1967" s="20"/>
    </row>
    <row r="1968">
      <c r="A1968" s="49" t="s">
        <v>8446</v>
      </c>
      <c r="B1968" s="110">
        <v>46197.0</v>
      </c>
      <c r="C1968" s="49" t="s">
        <v>8447</v>
      </c>
      <c r="D1968" s="102" t="s">
        <v>8448</v>
      </c>
      <c r="E1968" s="25" t="s">
        <v>17</v>
      </c>
      <c r="F1968" s="25" t="s">
        <v>983</v>
      </c>
      <c r="G1968" s="25" t="s">
        <v>42</v>
      </c>
      <c r="H1968" s="49" t="s">
        <v>5658</v>
      </c>
      <c r="I1968" s="23"/>
      <c r="J1968" s="23"/>
      <c r="K1968" s="30"/>
      <c r="L1968" s="49" t="s">
        <v>7926</v>
      </c>
      <c r="M1968" s="50">
        <v>8.0</v>
      </c>
      <c r="N1968" s="51"/>
      <c r="O1968" s="20"/>
      <c r="P1968" s="20"/>
      <c r="Q1968" s="20"/>
      <c r="R1968" s="20"/>
      <c r="S1968" s="20"/>
    </row>
    <row r="1969">
      <c r="A1969" s="76" t="s">
        <v>8449</v>
      </c>
      <c r="B1969" s="97">
        <v>46197.0</v>
      </c>
      <c r="C1969" s="76" t="s">
        <v>8450</v>
      </c>
      <c r="D1969" s="99" t="s">
        <v>8451</v>
      </c>
      <c r="E1969" s="25" t="s">
        <v>17</v>
      </c>
      <c r="F1969" s="25" t="s">
        <v>983</v>
      </c>
      <c r="G1969" s="25" t="s">
        <v>42</v>
      </c>
      <c r="H1969" s="76" t="s">
        <v>2462</v>
      </c>
      <c r="I1969" s="10"/>
      <c r="J1969" s="10"/>
      <c r="K1969" s="46"/>
      <c r="L1969" s="76" t="s">
        <v>7926</v>
      </c>
      <c r="M1969" s="44">
        <v>8.0</v>
      </c>
      <c r="N1969" s="45"/>
      <c r="O1969" s="20"/>
      <c r="P1969" s="20"/>
      <c r="Q1969" s="20"/>
      <c r="R1969" s="20"/>
      <c r="S1969" s="20"/>
    </row>
    <row r="1970">
      <c r="A1970" s="49" t="s">
        <v>8452</v>
      </c>
      <c r="B1970" s="110">
        <v>46197.0</v>
      </c>
      <c r="C1970" s="49" t="s">
        <v>8453</v>
      </c>
      <c r="D1970" s="102" t="s">
        <v>8454</v>
      </c>
      <c r="E1970" s="25" t="s">
        <v>17</v>
      </c>
      <c r="F1970" s="25" t="s">
        <v>983</v>
      </c>
      <c r="G1970" s="25" t="s">
        <v>42</v>
      </c>
      <c r="H1970" s="49" t="s">
        <v>8455</v>
      </c>
      <c r="I1970" s="101">
        <v>46198.0</v>
      </c>
      <c r="J1970" s="49">
        <v>3.0</v>
      </c>
      <c r="K1970" s="30"/>
      <c r="L1970" s="49" t="s">
        <v>326</v>
      </c>
      <c r="M1970" s="50">
        <v>8.0</v>
      </c>
      <c r="N1970" s="51"/>
      <c r="O1970" s="20"/>
      <c r="P1970" s="20"/>
      <c r="Q1970" s="20"/>
      <c r="R1970" s="20"/>
      <c r="S1970" s="20"/>
    </row>
    <row r="1971">
      <c r="A1971" s="76" t="s">
        <v>8456</v>
      </c>
      <c r="B1971" s="97">
        <v>46198.0</v>
      </c>
      <c r="C1971" s="76" t="s">
        <v>8457</v>
      </c>
      <c r="D1971" s="99" t="s">
        <v>8458</v>
      </c>
      <c r="E1971" s="25" t="s">
        <v>17</v>
      </c>
      <c r="F1971" s="25" t="s">
        <v>983</v>
      </c>
      <c r="G1971" s="25" t="s">
        <v>34</v>
      </c>
      <c r="H1971" s="76" t="s">
        <v>2462</v>
      </c>
      <c r="I1971" s="76">
        <v>2027.0</v>
      </c>
      <c r="J1971" s="76">
        <v>20.0</v>
      </c>
      <c r="K1971" s="46"/>
      <c r="L1971" s="76" t="s">
        <v>4565</v>
      </c>
      <c r="M1971" s="44">
        <v>2.0</v>
      </c>
      <c r="N1971" s="45"/>
      <c r="O1971" s="20"/>
      <c r="P1971" s="20"/>
      <c r="Q1971" s="20"/>
      <c r="R1971" s="20"/>
      <c r="S1971" s="20"/>
    </row>
    <row r="1972">
      <c r="A1972" s="49" t="s">
        <v>8459</v>
      </c>
      <c r="B1972" s="110">
        <v>46198.0</v>
      </c>
      <c r="C1972" s="49" t="s">
        <v>8460</v>
      </c>
      <c r="D1972" s="102" t="s">
        <v>8461</v>
      </c>
      <c r="E1972" s="25" t="s">
        <v>128</v>
      </c>
      <c r="F1972" s="25" t="s">
        <v>129</v>
      </c>
      <c r="G1972" s="25" t="s">
        <v>19</v>
      </c>
      <c r="H1972" s="76" t="s">
        <v>747</v>
      </c>
      <c r="I1972" s="101">
        <v>46205.0</v>
      </c>
      <c r="J1972" s="49">
        <v>2.0</v>
      </c>
      <c r="K1972" s="36">
        <v>800000.0</v>
      </c>
      <c r="L1972" s="49" t="s">
        <v>6443</v>
      </c>
      <c r="M1972" s="50">
        <v>7.0</v>
      </c>
      <c r="N1972" s="51"/>
      <c r="O1972" s="20"/>
      <c r="P1972" s="20"/>
      <c r="Q1972" s="20"/>
      <c r="R1972" s="20"/>
      <c r="S1972" s="20"/>
    </row>
    <row r="1973">
      <c r="A1973" s="76" t="s">
        <v>8462</v>
      </c>
      <c r="B1973" s="97">
        <v>46198.0</v>
      </c>
      <c r="C1973" s="76" t="s">
        <v>8463</v>
      </c>
      <c r="D1973" s="99" t="s">
        <v>8401</v>
      </c>
      <c r="E1973" s="25" t="s">
        <v>17</v>
      </c>
      <c r="F1973" s="25" t="s">
        <v>129</v>
      </c>
      <c r="G1973" s="25" t="s">
        <v>19</v>
      </c>
      <c r="H1973" s="76" t="s">
        <v>4064</v>
      </c>
      <c r="I1973" s="118">
        <v>46203.0</v>
      </c>
      <c r="J1973" s="76">
        <v>3.0</v>
      </c>
      <c r="K1973" s="19">
        <v>2955000.0</v>
      </c>
      <c r="L1973" s="76" t="s">
        <v>6194</v>
      </c>
      <c r="M1973" s="44">
        <v>7.0</v>
      </c>
      <c r="N1973" s="45"/>
      <c r="O1973" s="20"/>
      <c r="P1973" s="20"/>
      <c r="Q1973" s="20"/>
      <c r="R1973" s="20"/>
      <c r="S1973" s="20"/>
    </row>
    <row r="1974">
      <c r="A1974" s="49" t="s">
        <v>8464</v>
      </c>
      <c r="B1974" s="110">
        <v>46198.0</v>
      </c>
      <c r="C1974" s="49" t="s">
        <v>8465</v>
      </c>
      <c r="D1974" s="102" t="s">
        <v>8466</v>
      </c>
      <c r="E1974" s="25" t="s">
        <v>869</v>
      </c>
      <c r="F1974" s="25" t="s">
        <v>129</v>
      </c>
      <c r="G1974" s="25" t="s">
        <v>19</v>
      </c>
      <c r="H1974" s="49" t="s">
        <v>5109</v>
      </c>
      <c r="I1974" s="101">
        <v>46201.0</v>
      </c>
      <c r="J1974" s="49">
        <v>4.0</v>
      </c>
      <c r="K1974" s="36">
        <v>5910000.0</v>
      </c>
      <c r="L1974" s="49" t="s">
        <v>6194</v>
      </c>
      <c r="M1974" s="50">
        <v>7.0</v>
      </c>
      <c r="N1974" s="51"/>
      <c r="O1974" s="20"/>
      <c r="P1974" s="20"/>
      <c r="Q1974" s="20"/>
      <c r="R1974" s="20"/>
      <c r="S1974" s="20"/>
    </row>
    <row r="1975">
      <c r="A1975" s="76" t="s">
        <v>8467</v>
      </c>
      <c r="B1975" s="110">
        <v>46198.0</v>
      </c>
      <c r="C1975" s="76" t="s">
        <v>8468</v>
      </c>
      <c r="D1975" s="99" t="s">
        <v>8469</v>
      </c>
      <c r="E1975" s="25" t="s">
        <v>17</v>
      </c>
      <c r="F1975" s="25" t="s">
        <v>129</v>
      </c>
      <c r="G1975" s="25" t="s">
        <v>19</v>
      </c>
      <c r="H1975" s="76" t="s">
        <v>3767</v>
      </c>
      <c r="I1975" s="118">
        <v>46244.0</v>
      </c>
      <c r="J1975" s="76">
        <v>5.0</v>
      </c>
      <c r="K1975" s="46">
        <f>SUM(314000*5)</f>
        <v>1570000</v>
      </c>
      <c r="L1975" s="76" t="s">
        <v>6443</v>
      </c>
      <c r="M1975" s="44">
        <v>7.0</v>
      </c>
      <c r="N1975" s="45"/>
      <c r="O1975" s="20"/>
      <c r="P1975" s="20"/>
      <c r="Q1975" s="20"/>
      <c r="R1975" s="20"/>
      <c r="S1975" s="20"/>
    </row>
    <row r="1976">
      <c r="A1976" s="49" t="s">
        <v>8470</v>
      </c>
      <c r="B1976" s="110">
        <v>46198.0</v>
      </c>
      <c r="C1976" s="49" t="s">
        <v>8471</v>
      </c>
      <c r="D1976" s="102" t="s">
        <v>8472</v>
      </c>
      <c r="E1976" s="25" t="s">
        <v>17</v>
      </c>
      <c r="F1976" s="25" t="s">
        <v>983</v>
      </c>
      <c r="G1976" s="25" t="s">
        <v>19</v>
      </c>
      <c r="H1976" s="49" t="s">
        <v>6882</v>
      </c>
      <c r="I1976" s="23"/>
      <c r="J1976" s="23"/>
      <c r="K1976" s="30"/>
      <c r="L1976" s="23"/>
      <c r="M1976" s="50">
        <v>7.0</v>
      </c>
      <c r="N1976" s="51"/>
      <c r="O1976" s="20"/>
      <c r="P1976" s="20"/>
      <c r="Q1976" s="20"/>
      <c r="R1976" s="20"/>
      <c r="S1976" s="20"/>
    </row>
    <row r="1977">
      <c r="A1977" s="76" t="s">
        <v>8473</v>
      </c>
      <c r="B1977" s="97">
        <v>46198.0</v>
      </c>
      <c r="C1977" s="76" t="s">
        <v>8474</v>
      </c>
      <c r="D1977" s="99" t="s">
        <v>8475</v>
      </c>
      <c r="E1977" s="25" t="s">
        <v>128</v>
      </c>
      <c r="F1977" s="25" t="s">
        <v>18</v>
      </c>
      <c r="G1977" s="25" t="s">
        <v>29</v>
      </c>
      <c r="H1977" s="10"/>
      <c r="I1977" s="10"/>
      <c r="J1977" s="10"/>
      <c r="K1977" s="46"/>
      <c r="L1977" s="10"/>
      <c r="M1977" s="44">
        <v>1.0</v>
      </c>
      <c r="N1977" s="45"/>
      <c r="O1977" s="20"/>
      <c r="P1977" s="20"/>
      <c r="Q1977" s="20"/>
      <c r="R1977" s="20"/>
      <c r="S1977" s="20"/>
    </row>
    <row r="1978">
      <c r="A1978" s="49" t="s">
        <v>8476</v>
      </c>
      <c r="B1978" s="110">
        <v>46198.0</v>
      </c>
      <c r="C1978" s="49" t="s">
        <v>8400</v>
      </c>
      <c r="D1978" s="102" t="s">
        <v>8401</v>
      </c>
      <c r="E1978" s="25" t="s">
        <v>1877</v>
      </c>
      <c r="F1978" s="25" t="s">
        <v>129</v>
      </c>
      <c r="G1978" s="25" t="s">
        <v>42</v>
      </c>
      <c r="H1978" s="76" t="s">
        <v>747</v>
      </c>
      <c r="I1978" s="101">
        <v>46200.0</v>
      </c>
      <c r="J1978" s="23"/>
      <c r="K1978" s="30"/>
      <c r="L1978" s="49" t="s">
        <v>3493</v>
      </c>
      <c r="M1978" s="50">
        <v>8.0</v>
      </c>
      <c r="N1978" s="51"/>
      <c r="O1978" s="20"/>
      <c r="P1978" s="20"/>
      <c r="Q1978" s="20"/>
      <c r="R1978" s="20"/>
      <c r="S1978" s="20"/>
    </row>
    <row r="1979">
      <c r="A1979" s="76" t="s">
        <v>8477</v>
      </c>
      <c r="B1979" s="97">
        <v>46198.0</v>
      </c>
      <c r="C1979" s="76" t="s">
        <v>8478</v>
      </c>
      <c r="D1979" s="99" t="s">
        <v>8479</v>
      </c>
      <c r="E1979" s="25" t="s">
        <v>128</v>
      </c>
      <c r="F1979" s="25" t="s">
        <v>129</v>
      </c>
      <c r="G1979" s="25" t="s">
        <v>29</v>
      </c>
      <c r="H1979" s="76" t="s">
        <v>747</v>
      </c>
      <c r="I1979" s="76" t="s">
        <v>8480</v>
      </c>
      <c r="J1979" s="76">
        <v>3.0</v>
      </c>
      <c r="K1979" s="46"/>
      <c r="L1979" s="76" t="s">
        <v>8481</v>
      </c>
      <c r="M1979" s="44">
        <v>1.0</v>
      </c>
      <c r="N1979" s="45"/>
      <c r="O1979" s="20"/>
      <c r="P1979" s="20"/>
      <c r="Q1979" s="20"/>
      <c r="R1979" s="20"/>
      <c r="S1979" s="20"/>
    </row>
    <row r="1980">
      <c r="A1980" s="49" t="s">
        <v>8482</v>
      </c>
      <c r="B1980" s="110">
        <v>46198.0</v>
      </c>
      <c r="C1980" s="49" t="s">
        <v>8483</v>
      </c>
      <c r="D1980" s="102" t="s">
        <v>8484</v>
      </c>
      <c r="E1980" s="25" t="s">
        <v>128</v>
      </c>
      <c r="F1980" s="25" t="s">
        <v>129</v>
      </c>
      <c r="G1980" s="25" t="s">
        <v>29</v>
      </c>
      <c r="H1980" s="23"/>
      <c r="I1980" s="23"/>
      <c r="J1980" s="23"/>
      <c r="K1980" s="30"/>
      <c r="L1980" s="49" t="s">
        <v>8485</v>
      </c>
      <c r="M1980" s="50">
        <v>1.0</v>
      </c>
      <c r="N1980" s="51"/>
      <c r="O1980" s="20"/>
      <c r="P1980" s="20"/>
      <c r="Q1980" s="20"/>
      <c r="R1980" s="20"/>
      <c r="S1980" s="20"/>
    </row>
    <row r="1981">
      <c r="A1981" s="76" t="s">
        <v>8486</v>
      </c>
      <c r="B1981" s="97">
        <v>46198.0</v>
      </c>
      <c r="C1981" s="76" t="s">
        <v>8487</v>
      </c>
      <c r="D1981" s="99" t="s">
        <v>8488</v>
      </c>
      <c r="E1981" s="25" t="s">
        <v>128</v>
      </c>
      <c r="F1981" s="25" t="s">
        <v>129</v>
      </c>
      <c r="G1981" s="25" t="s">
        <v>42</v>
      </c>
      <c r="H1981" s="76" t="s">
        <v>747</v>
      </c>
      <c r="I1981" s="118">
        <v>46200.0</v>
      </c>
      <c r="J1981" s="76">
        <v>1.0</v>
      </c>
      <c r="K1981" s="46"/>
      <c r="L1981" s="76" t="s">
        <v>3493</v>
      </c>
      <c r="M1981" s="44">
        <v>8.0</v>
      </c>
      <c r="N1981" s="45"/>
      <c r="O1981" s="20"/>
      <c r="P1981" s="20"/>
      <c r="Q1981" s="20"/>
      <c r="R1981" s="20"/>
      <c r="S1981" s="20"/>
    </row>
    <row r="1982">
      <c r="A1982" s="49" t="s">
        <v>8489</v>
      </c>
      <c r="B1982" s="110">
        <v>46197.0</v>
      </c>
      <c r="C1982" s="49" t="s">
        <v>8490</v>
      </c>
      <c r="D1982" s="102" t="s">
        <v>8491</v>
      </c>
      <c r="E1982" s="25" t="s">
        <v>17</v>
      </c>
      <c r="F1982" s="25" t="s">
        <v>129</v>
      </c>
      <c r="G1982" s="25" t="s">
        <v>42</v>
      </c>
      <c r="H1982" s="49" t="s">
        <v>8492</v>
      </c>
      <c r="I1982" s="23"/>
      <c r="J1982" s="49">
        <v>4.0</v>
      </c>
      <c r="K1982" s="30"/>
      <c r="L1982" s="49" t="s">
        <v>5494</v>
      </c>
      <c r="M1982" s="50">
        <v>8.0</v>
      </c>
      <c r="N1982" s="51"/>
      <c r="O1982" s="20"/>
      <c r="P1982" s="20"/>
      <c r="Q1982" s="20"/>
      <c r="R1982" s="20"/>
      <c r="S1982" s="20"/>
    </row>
    <row r="1983">
      <c r="A1983" s="76" t="s">
        <v>8493</v>
      </c>
      <c r="B1983" s="97">
        <v>46199.0</v>
      </c>
      <c r="C1983" s="76" t="s">
        <v>8494</v>
      </c>
      <c r="D1983" s="99" t="s">
        <v>8495</v>
      </c>
      <c r="E1983" s="25" t="s">
        <v>17</v>
      </c>
      <c r="F1983" s="25" t="s">
        <v>129</v>
      </c>
      <c r="G1983" s="25" t="s">
        <v>19</v>
      </c>
      <c r="H1983" s="76" t="s">
        <v>8496</v>
      </c>
      <c r="I1983" s="118">
        <v>46200.0</v>
      </c>
      <c r="J1983" s="76">
        <v>5.0</v>
      </c>
      <c r="K1983" s="46">
        <f>SUM(314000*5)</f>
        <v>1570000</v>
      </c>
      <c r="L1983" s="76" t="s">
        <v>8497</v>
      </c>
      <c r="M1983" s="44">
        <v>7.0</v>
      </c>
      <c r="N1983" s="45"/>
      <c r="O1983" s="20"/>
      <c r="P1983" s="20"/>
      <c r="Q1983" s="20"/>
      <c r="R1983" s="20"/>
      <c r="S1983" s="20"/>
    </row>
    <row r="1984">
      <c r="A1984" s="49" t="s">
        <v>8498</v>
      </c>
      <c r="B1984" s="110">
        <v>46197.0</v>
      </c>
      <c r="C1984" s="49" t="s">
        <v>8499</v>
      </c>
      <c r="D1984" s="102" t="s">
        <v>8411</v>
      </c>
      <c r="E1984" s="25" t="s">
        <v>17</v>
      </c>
      <c r="F1984" s="25" t="s">
        <v>129</v>
      </c>
      <c r="G1984" s="25" t="s">
        <v>29</v>
      </c>
      <c r="H1984" s="23"/>
      <c r="I1984" s="23"/>
      <c r="J1984" s="23"/>
      <c r="K1984" s="30"/>
      <c r="L1984" s="49" t="s">
        <v>8500</v>
      </c>
      <c r="M1984" s="50">
        <v>1.0</v>
      </c>
      <c r="N1984" s="51"/>
      <c r="O1984" s="20"/>
      <c r="P1984" s="20"/>
      <c r="Q1984" s="20"/>
      <c r="R1984" s="20"/>
      <c r="S1984" s="20"/>
    </row>
    <row r="1985">
      <c r="A1985" s="76" t="s">
        <v>8501</v>
      </c>
      <c r="B1985" s="97">
        <v>46197.0</v>
      </c>
      <c r="C1985" s="76" t="s">
        <v>8502</v>
      </c>
      <c r="D1985" s="99" t="s">
        <v>8503</v>
      </c>
      <c r="E1985" s="25" t="s">
        <v>17</v>
      </c>
      <c r="F1985" s="25" t="s">
        <v>129</v>
      </c>
      <c r="G1985" s="25" t="s">
        <v>29</v>
      </c>
      <c r="H1985" s="10"/>
      <c r="I1985" s="10"/>
      <c r="J1985" s="10"/>
      <c r="K1985" s="46"/>
      <c r="L1985" s="49" t="s">
        <v>8500</v>
      </c>
      <c r="M1985" s="44">
        <v>1.0</v>
      </c>
      <c r="N1985" s="45"/>
      <c r="O1985" s="20"/>
      <c r="P1985" s="20"/>
      <c r="Q1985" s="20"/>
      <c r="R1985" s="20"/>
      <c r="S1985" s="20"/>
    </row>
    <row r="1986">
      <c r="A1986" s="49" t="s">
        <v>8504</v>
      </c>
      <c r="B1986" s="110">
        <v>46198.0</v>
      </c>
      <c r="C1986" s="49" t="s">
        <v>8505</v>
      </c>
      <c r="D1986" s="102" t="s">
        <v>8421</v>
      </c>
      <c r="E1986" s="25" t="s">
        <v>128</v>
      </c>
      <c r="F1986" s="25" t="s">
        <v>129</v>
      </c>
      <c r="G1986" s="25" t="s">
        <v>42</v>
      </c>
      <c r="H1986" s="23"/>
      <c r="I1986" s="23"/>
      <c r="J1986" s="23"/>
      <c r="K1986" s="30"/>
      <c r="L1986" s="49" t="s">
        <v>8506</v>
      </c>
      <c r="M1986" s="50">
        <v>8.0</v>
      </c>
      <c r="N1986" s="51"/>
      <c r="O1986" s="20"/>
      <c r="P1986" s="20"/>
      <c r="Q1986" s="20"/>
      <c r="R1986" s="20"/>
      <c r="S1986" s="20"/>
    </row>
    <row r="1987">
      <c r="A1987" s="76" t="s">
        <v>8507</v>
      </c>
      <c r="B1987" s="97">
        <v>46198.0</v>
      </c>
      <c r="C1987" s="76" t="s">
        <v>8508</v>
      </c>
      <c r="D1987" s="99" t="s">
        <v>8509</v>
      </c>
      <c r="E1987" s="25" t="s">
        <v>128</v>
      </c>
      <c r="F1987" s="25" t="s">
        <v>129</v>
      </c>
      <c r="G1987" s="25" t="s">
        <v>42</v>
      </c>
      <c r="H1987" s="10"/>
      <c r="I1987" s="10"/>
      <c r="J1987" s="10"/>
      <c r="K1987" s="46"/>
      <c r="L1987" s="76" t="s">
        <v>8510</v>
      </c>
      <c r="M1987" s="44">
        <v>8.0</v>
      </c>
      <c r="N1987" s="45"/>
      <c r="O1987" s="20"/>
      <c r="P1987" s="20"/>
      <c r="Q1987" s="20"/>
      <c r="R1987" s="20"/>
      <c r="S1987" s="20"/>
    </row>
    <row r="1988">
      <c r="A1988" s="49" t="s">
        <v>8511</v>
      </c>
      <c r="B1988" s="110">
        <v>46199.0</v>
      </c>
      <c r="C1988" s="49" t="s">
        <v>8512</v>
      </c>
      <c r="D1988" s="102" t="s">
        <v>8513</v>
      </c>
      <c r="E1988" s="25" t="s">
        <v>17</v>
      </c>
      <c r="F1988" s="25" t="s">
        <v>129</v>
      </c>
      <c r="G1988" s="25" t="s">
        <v>19</v>
      </c>
      <c r="H1988" s="49" t="s">
        <v>8514</v>
      </c>
      <c r="I1988" s="101">
        <v>46212.0</v>
      </c>
      <c r="J1988" s="49">
        <v>4.0</v>
      </c>
      <c r="K1988" s="30">
        <f>SUM(2025000*4)</f>
        <v>8100000</v>
      </c>
      <c r="L1988" s="49" t="s">
        <v>8178</v>
      </c>
      <c r="M1988" s="50">
        <v>7.0</v>
      </c>
      <c r="N1988" s="51"/>
      <c r="O1988" s="20"/>
      <c r="P1988" s="20"/>
      <c r="Q1988" s="20"/>
      <c r="R1988" s="20"/>
      <c r="S1988" s="20"/>
    </row>
    <row r="1989">
      <c r="A1989" s="76" t="s">
        <v>8515</v>
      </c>
      <c r="B1989" s="97">
        <v>46198.0</v>
      </c>
      <c r="C1989" s="76" t="s">
        <v>8516</v>
      </c>
      <c r="D1989" s="99" t="s">
        <v>8517</v>
      </c>
      <c r="E1989" s="25" t="s">
        <v>128</v>
      </c>
      <c r="F1989" s="25" t="s">
        <v>129</v>
      </c>
      <c r="G1989" s="25" t="s">
        <v>29</v>
      </c>
      <c r="H1989" s="76" t="s">
        <v>2166</v>
      </c>
      <c r="I1989" s="10"/>
      <c r="J1989" s="76">
        <v>5.0</v>
      </c>
      <c r="K1989" s="46"/>
      <c r="L1989" s="76" t="s">
        <v>8518</v>
      </c>
      <c r="M1989" s="44">
        <v>1.0</v>
      </c>
      <c r="N1989" s="45"/>
      <c r="O1989" s="20"/>
      <c r="P1989" s="20"/>
      <c r="Q1989" s="20"/>
      <c r="R1989" s="20"/>
      <c r="S1989" s="20"/>
    </row>
    <row r="1990">
      <c r="A1990" s="49" t="s">
        <v>8519</v>
      </c>
      <c r="B1990" s="110">
        <v>46197.0</v>
      </c>
      <c r="C1990" s="49" t="s">
        <v>8520</v>
      </c>
      <c r="D1990" s="102" t="s">
        <v>8521</v>
      </c>
      <c r="E1990" s="25" t="s">
        <v>128</v>
      </c>
      <c r="F1990" s="25" t="s">
        <v>129</v>
      </c>
      <c r="G1990" s="25" t="s">
        <v>29</v>
      </c>
      <c r="H1990" s="49" t="s">
        <v>4532</v>
      </c>
      <c r="I1990" s="23"/>
      <c r="J1990" s="49">
        <v>2.0</v>
      </c>
      <c r="K1990" s="30"/>
      <c r="L1990" s="49" t="s">
        <v>8522</v>
      </c>
      <c r="M1990" s="50">
        <v>1.0</v>
      </c>
      <c r="N1990" s="51"/>
      <c r="O1990" s="20"/>
      <c r="P1990" s="20"/>
      <c r="Q1990" s="20"/>
      <c r="R1990" s="20"/>
      <c r="S1990" s="20"/>
    </row>
    <row r="1991">
      <c r="A1991" s="76" t="s">
        <v>8523</v>
      </c>
      <c r="B1991" s="97">
        <v>46198.0</v>
      </c>
      <c r="C1991" s="76" t="s">
        <v>8524</v>
      </c>
      <c r="D1991" s="99" t="s">
        <v>8525</v>
      </c>
      <c r="E1991" s="25" t="s">
        <v>17</v>
      </c>
      <c r="F1991" s="25" t="s">
        <v>129</v>
      </c>
      <c r="G1991" s="25" t="s">
        <v>29</v>
      </c>
      <c r="H1991" s="10"/>
      <c r="I1991" s="10"/>
      <c r="J1991" s="10"/>
      <c r="K1991" s="46"/>
      <c r="L1991" s="49" t="s">
        <v>8500</v>
      </c>
      <c r="M1991" s="44">
        <v>1.0</v>
      </c>
      <c r="N1991" s="45"/>
      <c r="O1991" s="20"/>
      <c r="P1991" s="20"/>
      <c r="Q1991" s="20"/>
      <c r="R1991" s="20"/>
      <c r="S1991" s="20"/>
    </row>
    <row r="1992">
      <c r="A1992" s="49" t="s">
        <v>8526</v>
      </c>
      <c r="B1992" s="110">
        <v>46198.0</v>
      </c>
      <c r="C1992" s="49" t="s">
        <v>8527</v>
      </c>
      <c r="D1992" s="102" t="s">
        <v>8528</v>
      </c>
      <c r="E1992" s="25" t="s">
        <v>128</v>
      </c>
      <c r="F1992" s="25" t="s">
        <v>129</v>
      </c>
      <c r="G1992" s="25" t="s">
        <v>29</v>
      </c>
      <c r="H1992" s="76" t="s">
        <v>260</v>
      </c>
      <c r="I1992" s="101">
        <v>46212.0</v>
      </c>
      <c r="J1992" s="49">
        <v>2.0</v>
      </c>
      <c r="K1992" s="30"/>
      <c r="L1992" s="49" t="s">
        <v>8529</v>
      </c>
      <c r="M1992" s="50">
        <v>1.0</v>
      </c>
      <c r="N1992" s="51"/>
      <c r="O1992" s="20"/>
      <c r="P1992" s="20"/>
      <c r="Q1992" s="20"/>
      <c r="R1992" s="20"/>
      <c r="S1992" s="20"/>
    </row>
    <row r="1993">
      <c r="A1993" s="76" t="s">
        <v>8530</v>
      </c>
      <c r="B1993" s="97">
        <v>46198.0</v>
      </c>
      <c r="C1993" s="76" t="s">
        <v>8531</v>
      </c>
      <c r="D1993" s="99" t="s">
        <v>8532</v>
      </c>
      <c r="E1993" s="25" t="s">
        <v>17</v>
      </c>
      <c r="F1993" s="25" t="s">
        <v>129</v>
      </c>
      <c r="G1993" s="25" t="s">
        <v>29</v>
      </c>
      <c r="H1993" s="76" t="s">
        <v>8533</v>
      </c>
      <c r="I1993" s="76"/>
      <c r="J1993" s="76">
        <v>5.0</v>
      </c>
      <c r="K1993" s="46"/>
      <c r="L1993" s="76" t="s">
        <v>8534</v>
      </c>
      <c r="M1993" s="44">
        <v>1.0</v>
      </c>
      <c r="N1993" s="45"/>
      <c r="O1993" s="20"/>
      <c r="P1993" s="20"/>
      <c r="Q1993" s="20"/>
      <c r="R1993" s="20"/>
      <c r="S1993" s="20"/>
    </row>
    <row r="1994">
      <c r="A1994" s="49" t="s">
        <v>8535</v>
      </c>
      <c r="B1994" s="110">
        <v>46198.0</v>
      </c>
      <c r="C1994" s="49" t="s">
        <v>8536</v>
      </c>
      <c r="D1994" s="102" t="s">
        <v>8537</v>
      </c>
      <c r="E1994" s="25" t="s">
        <v>128</v>
      </c>
      <c r="F1994" s="25" t="s">
        <v>983</v>
      </c>
      <c r="G1994" s="25" t="s">
        <v>34</v>
      </c>
      <c r="H1994" s="49" t="s">
        <v>2462</v>
      </c>
      <c r="I1994" s="49" t="s">
        <v>8538</v>
      </c>
      <c r="J1994" s="49">
        <v>40.0</v>
      </c>
      <c r="K1994" s="30"/>
      <c r="L1994" s="49" t="s">
        <v>8539</v>
      </c>
      <c r="M1994" s="50">
        <v>2.0</v>
      </c>
      <c r="N1994" s="51"/>
      <c r="O1994" s="20"/>
      <c r="P1994" s="20"/>
      <c r="Q1994" s="20"/>
      <c r="R1994" s="20"/>
      <c r="S1994" s="20"/>
    </row>
    <row r="1995">
      <c r="A1995" s="76" t="s">
        <v>8540</v>
      </c>
      <c r="B1995" s="97">
        <v>46199.0</v>
      </c>
      <c r="C1995" s="76" t="s">
        <v>8541</v>
      </c>
      <c r="D1995" s="99" t="s">
        <v>8542</v>
      </c>
      <c r="E1995" s="25" t="s">
        <v>17</v>
      </c>
      <c r="F1995" s="25" t="s">
        <v>983</v>
      </c>
      <c r="G1995" s="25" t="s">
        <v>34</v>
      </c>
      <c r="H1995" s="76" t="s">
        <v>2462</v>
      </c>
      <c r="I1995" s="76" t="s">
        <v>961</v>
      </c>
      <c r="J1995" s="76">
        <v>70.0</v>
      </c>
      <c r="K1995" s="46"/>
      <c r="L1995" s="76" t="s">
        <v>8539</v>
      </c>
      <c r="M1995" s="44">
        <v>2.0</v>
      </c>
      <c r="N1995" s="45"/>
      <c r="O1995" s="20"/>
      <c r="P1995" s="20"/>
      <c r="Q1995" s="20"/>
      <c r="R1995" s="20"/>
      <c r="S1995" s="20"/>
    </row>
    <row r="1996">
      <c r="A1996" s="49" t="s">
        <v>8543</v>
      </c>
      <c r="B1996" s="110">
        <v>46199.0</v>
      </c>
      <c r="C1996" s="49" t="s">
        <v>8544</v>
      </c>
      <c r="D1996" s="102" t="s">
        <v>8545</v>
      </c>
      <c r="E1996" s="25" t="s">
        <v>17</v>
      </c>
      <c r="F1996" s="25" t="s">
        <v>983</v>
      </c>
      <c r="G1996" s="25" t="s">
        <v>29</v>
      </c>
      <c r="H1996" s="49" t="s">
        <v>8546</v>
      </c>
      <c r="I1996" s="23"/>
      <c r="J1996" s="23"/>
      <c r="K1996" s="30"/>
      <c r="L1996" s="23"/>
      <c r="M1996" s="50">
        <v>1.0</v>
      </c>
      <c r="N1996" s="51"/>
      <c r="O1996" s="20"/>
      <c r="P1996" s="20"/>
      <c r="Q1996" s="20"/>
      <c r="R1996" s="20"/>
      <c r="S1996" s="20"/>
    </row>
    <row r="1997">
      <c r="A1997" s="76" t="s">
        <v>8547</v>
      </c>
      <c r="B1997" s="97">
        <v>46199.0</v>
      </c>
      <c r="C1997" s="76" t="s">
        <v>8548</v>
      </c>
      <c r="D1997" s="99" t="s">
        <v>8549</v>
      </c>
      <c r="E1997" s="25" t="s">
        <v>17</v>
      </c>
      <c r="F1997" s="25" t="s">
        <v>983</v>
      </c>
      <c r="G1997" s="25" t="s">
        <v>29</v>
      </c>
      <c r="H1997" s="76" t="s">
        <v>2462</v>
      </c>
      <c r="I1997" s="76" t="s">
        <v>8550</v>
      </c>
      <c r="J1997" s="76">
        <v>7.0</v>
      </c>
      <c r="K1997" s="46"/>
      <c r="L1997" s="10"/>
      <c r="M1997" s="44">
        <v>1.0</v>
      </c>
      <c r="N1997" s="45"/>
      <c r="O1997" s="20"/>
      <c r="P1997" s="20"/>
      <c r="Q1997" s="20"/>
      <c r="R1997" s="20"/>
      <c r="S1997" s="20"/>
    </row>
    <row r="1998">
      <c r="A1998" s="49" t="s">
        <v>8551</v>
      </c>
      <c r="B1998" s="110">
        <v>46181.0</v>
      </c>
      <c r="C1998" s="49" t="s">
        <v>8552</v>
      </c>
      <c r="D1998" s="102" t="s">
        <v>8553</v>
      </c>
      <c r="E1998" s="25" t="s">
        <v>122</v>
      </c>
      <c r="F1998" s="25" t="s">
        <v>18</v>
      </c>
      <c r="G1998" s="25" t="s">
        <v>42</v>
      </c>
      <c r="H1998" s="49" t="s">
        <v>3210</v>
      </c>
      <c r="I1998" s="23"/>
      <c r="J1998" s="49">
        <v>7.0</v>
      </c>
      <c r="K1998" s="30"/>
      <c r="L1998" s="49" t="s">
        <v>8554</v>
      </c>
      <c r="M1998" s="50">
        <v>8.0</v>
      </c>
      <c r="N1998" s="51"/>
      <c r="O1998" s="20"/>
      <c r="P1998" s="20"/>
      <c r="Q1998" s="20"/>
      <c r="R1998" s="20"/>
      <c r="S1998" s="20"/>
    </row>
    <row r="1999">
      <c r="A1999" s="76" t="s">
        <v>8555</v>
      </c>
      <c r="B1999" s="97">
        <v>46187.0</v>
      </c>
      <c r="C1999" s="76" t="s">
        <v>8556</v>
      </c>
      <c r="D1999" s="99" t="s">
        <v>8557</v>
      </c>
      <c r="E1999" s="25" t="s">
        <v>17</v>
      </c>
      <c r="F1999" s="25" t="s">
        <v>18</v>
      </c>
      <c r="G1999" s="25" t="s">
        <v>42</v>
      </c>
      <c r="H1999" s="76" t="s">
        <v>2462</v>
      </c>
      <c r="I1999" s="118">
        <v>46190.0</v>
      </c>
      <c r="J1999" s="76">
        <v>2.0</v>
      </c>
      <c r="K1999" s="46"/>
      <c r="L1999" s="76" t="s">
        <v>174</v>
      </c>
      <c r="M1999" s="44">
        <v>8.0</v>
      </c>
      <c r="N1999" s="45"/>
      <c r="O1999" s="20"/>
      <c r="P1999" s="20"/>
      <c r="Q1999" s="20"/>
      <c r="R1999" s="20"/>
      <c r="S1999" s="20"/>
    </row>
    <row r="2000">
      <c r="A2000" s="49" t="s">
        <v>8558</v>
      </c>
      <c r="B2000" s="110">
        <v>46199.0</v>
      </c>
      <c r="C2000" s="49" t="s">
        <v>8559</v>
      </c>
      <c r="D2000" s="102" t="s">
        <v>8560</v>
      </c>
      <c r="E2000" s="25" t="s">
        <v>122</v>
      </c>
      <c r="F2000" s="25" t="s">
        <v>18</v>
      </c>
      <c r="G2000" s="25" t="s">
        <v>29</v>
      </c>
      <c r="H2000" s="23"/>
      <c r="I2000" s="23"/>
      <c r="J2000" s="23"/>
      <c r="K2000" s="30"/>
      <c r="L2000" s="23"/>
      <c r="M2000" s="50">
        <v>1.0</v>
      </c>
      <c r="N2000" s="51"/>
      <c r="O2000" s="20"/>
      <c r="P2000" s="20"/>
      <c r="Q2000" s="20"/>
      <c r="R2000" s="20"/>
      <c r="S2000" s="20"/>
    </row>
    <row r="2001">
      <c r="A2001" s="76" t="s">
        <v>8561</v>
      </c>
      <c r="B2001" s="97">
        <v>46199.0</v>
      </c>
      <c r="C2001" s="76" t="s">
        <v>8562</v>
      </c>
      <c r="D2001" s="99" t="s">
        <v>8563</v>
      </c>
      <c r="E2001" s="25" t="s">
        <v>128</v>
      </c>
      <c r="F2001" s="25" t="s">
        <v>18</v>
      </c>
      <c r="G2001" s="25" t="s">
        <v>34</v>
      </c>
      <c r="H2001" s="76" t="s">
        <v>8106</v>
      </c>
      <c r="I2001" s="157">
        <v>46201.0</v>
      </c>
      <c r="J2001" s="76">
        <v>1.0</v>
      </c>
      <c r="K2001" s="46"/>
      <c r="L2001" s="10"/>
      <c r="M2001" s="44">
        <v>2.0</v>
      </c>
      <c r="N2001" s="45"/>
      <c r="O2001" s="20"/>
      <c r="P2001" s="20"/>
      <c r="Q2001" s="20"/>
      <c r="R2001" s="20"/>
      <c r="S2001" s="20"/>
    </row>
    <row r="2002">
      <c r="A2002" s="49" t="s">
        <v>8564</v>
      </c>
      <c r="B2002" s="110">
        <v>46199.0</v>
      </c>
      <c r="C2002" s="49" t="s">
        <v>8565</v>
      </c>
      <c r="D2002" s="102" t="s">
        <v>8566</v>
      </c>
      <c r="E2002" s="25" t="s">
        <v>128</v>
      </c>
      <c r="F2002" s="25" t="s">
        <v>18</v>
      </c>
      <c r="G2002" s="25" t="s">
        <v>19</v>
      </c>
      <c r="H2002" s="49" t="s">
        <v>2462</v>
      </c>
      <c r="I2002" s="156">
        <v>46215.0</v>
      </c>
      <c r="J2002" s="49">
        <v>3.0</v>
      </c>
      <c r="K2002" s="30"/>
      <c r="L2002" s="49" t="s">
        <v>5660</v>
      </c>
      <c r="M2002" s="50">
        <v>7.0</v>
      </c>
      <c r="N2002" s="51"/>
      <c r="O2002" s="20"/>
      <c r="P2002" s="20"/>
      <c r="Q2002" s="20"/>
      <c r="R2002" s="20"/>
      <c r="S2002" s="20"/>
    </row>
    <row r="2003">
      <c r="A2003" s="76" t="s">
        <v>8567</v>
      </c>
      <c r="B2003" s="97">
        <v>46199.0</v>
      </c>
      <c r="C2003" s="76" t="s">
        <v>8568</v>
      </c>
      <c r="D2003" s="99" t="s">
        <v>8563</v>
      </c>
      <c r="E2003" s="25" t="s">
        <v>128</v>
      </c>
      <c r="F2003" s="25" t="s">
        <v>129</v>
      </c>
      <c r="G2003" s="25" t="s">
        <v>29</v>
      </c>
      <c r="H2003" s="76" t="s">
        <v>747</v>
      </c>
      <c r="I2003" s="118">
        <v>46202.0</v>
      </c>
      <c r="J2003" s="76">
        <v>1.0</v>
      </c>
      <c r="K2003" s="46"/>
      <c r="L2003" s="76" t="s">
        <v>8569</v>
      </c>
      <c r="M2003" s="44">
        <v>1.0</v>
      </c>
      <c r="N2003" s="45"/>
      <c r="O2003" s="20"/>
      <c r="P2003" s="20"/>
      <c r="Q2003" s="20"/>
      <c r="R2003" s="20"/>
      <c r="S2003" s="20"/>
    </row>
    <row r="2004">
      <c r="A2004" s="49" t="s">
        <v>8570</v>
      </c>
      <c r="B2004" s="110">
        <v>46199.0</v>
      </c>
      <c r="C2004" s="49" t="s">
        <v>8046</v>
      </c>
      <c r="D2004" s="102" t="s">
        <v>8571</v>
      </c>
      <c r="E2004" s="25" t="s">
        <v>128</v>
      </c>
      <c r="F2004" s="25" t="s">
        <v>129</v>
      </c>
      <c r="G2004" s="25" t="s">
        <v>29</v>
      </c>
      <c r="H2004" s="76" t="s">
        <v>747</v>
      </c>
      <c r="I2004" s="49" t="s">
        <v>8572</v>
      </c>
      <c r="J2004" s="49">
        <v>1.0</v>
      </c>
      <c r="K2004" s="30"/>
      <c r="L2004" s="49" t="s">
        <v>8529</v>
      </c>
      <c r="M2004" s="50">
        <v>1.0</v>
      </c>
      <c r="N2004" s="51"/>
      <c r="O2004" s="20"/>
      <c r="P2004" s="20"/>
      <c r="Q2004" s="20"/>
      <c r="R2004" s="20"/>
      <c r="S2004" s="20"/>
    </row>
    <row r="2005">
      <c r="A2005" s="76" t="s">
        <v>8573</v>
      </c>
      <c r="B2005" s="97">
        <v>46197.0</v>
      </c>
      <c r="C2005" s="76" t="s">
        <v>8574</v>
      </c>
      <c r="D2005" s="99" t="s">
        <v>8575</v>
      </c>
      <c r="E2005" s="25" t="s">
        <v>17</v>
      </c>
      <c r="F2005" s="25" t="s">
        <v>129</v>
      </c>
      <c r="G2005" s="25" t="s">
        <v>42</v>
      </c>
      <c r="H2005" s="76" t="s">
        <v>8576</v>
      </c>
      <c r="I2005" s="118">
        <v>46200.0</v>
      </c>
      <c r="J2005" s="76">
        <v>2.0</v>
      </c>
      <c r="K2005" s="46"/>
      <c r="L2005" s="76" t="s">
        <v>8577</v>
      </c>
      <c r="M2005" s="44">
        <v>8.0</v>
      </c>
      <c r="N2005" s="45"/>
      <c r="O2005" s="20"/>
      <c r="P2005" s="20"/>
      <c r="Q2005" s="20"/>
      <c r="R2005" s="20"/>
      <c r="S2005" s="20"/>
    </row>
    <row r="2006">
      <c r="A2006" s="49" t="s">
        <v>8578</v>
      </c>
      <c r="B2006" s="110">
        <v>46198.0</v>
      </c>
      <c r="C2006" s="49" t="s">
        <v>8579</v>
      </c>
      <c r="D2006" s="102" t="s">
        <v>8580</v>
      </c>
      <c r="E2006" s="25" t="s">
        <v>128</v>
      </c>
      <c r="F2006" s="25" t="s">
        <v>129</v>
      </c>
      <c r="G2006" s="25" t="s">
        <v>29</v>
      </c>
      <c r="H2006" s="49" t="s">
        <v>199</v>
      </c>
      <c r="I2006" s="23"/>
      <c r="J2006" s="49">
        <v>3.0</v>
      </c>
      <c r="K2006" s="30"/>
      <c r="L2006" s="49" t="s">
        <v>8581</v>
      </c>
      <c r="M2006" s="50">
        <v>1.0</v>
      </c>
      <c r="N2006" s="51"/>
      <c r="O2006" s="20"/>
      <c r="P2006" s="20"/>
      <c r="Q2006" s="20"/>
      <c r="R2006" s="20"/>
      <c r="S2006" s="20"/>
    </row>
    <row r="2007">
      <c r="A2007" s="76" t="s">
        <v>8582</v>
      </c>
      <c r="B2007" s="97">
        <v>46199.0</v>
      </c>
      <c r="C2007" s="76" t="s">
        <v>8583</v>
      </c>
      <c r="D2007" s="99" t="s">
        <v>8584</v>
      </c>
      <c r="E2007" s="25" t="s">
        <v>128</v>
      </c>
      <c r="F2007" s="25" t="s">
        <v>129</v>
      </c>
      <c r="G2007" s="25" t="s">
        <v>19</v>
      </c>
      <c r="H2007" s="76" t="s">
        <v>4069</v>
      </c>
      <c r="I2007" s="118">
        <v>46203.0</v>
      </c>
      <c r="J2007" s="76">
        <v>2.0</v>
      </c>
      <c r="K2007" s="19">
        <v>1200000.0</v>
      </c>
      <c r="L2007" s="76" t="s">
        <v>6048</v>
      </c>
      <c r="M2007" s="44">
        <v>7.0</v>
      </c>
      <c r="N2007" s="45"/>
      <c r="O2007" s="20"/>
      <c r="P2007" s="20"/>
      <c r="Q2007" s="20"/>
      <c r="R2007" s="20"/>
      <c r="S2007" s="20"/>
    </row>
    <row r="2008">
      <c r="A2008" s="49" t="s">
        <v>8585</v>
      </c>
      <c r="B2008" s="110">
        <v>46199.0</v>
      </c>
      <c r="C2008" s="49" t="s">
        <v>8586</v>
      </c>
      <c r="D2008" s="102" t="s">
        <v>8587</v>
      </c>
      <c r="E2008" s="25" t="s">
        <v>17</v>
      </c>
      <c r="F2008" s="25" t="s">
        <v>129</v>
      </c>
      <c r="G2008" s="25" t="s">
        <v>29</v>
      </c>
      <c r="H2008" s="49" t="s">
        <v>3032</v>
      </c>
      <c r="I2008" s="49" t="s">
        <v>8588</v>
      </c>
      <c r="J2008" s="49">
        <v>2.0</v>
      </c>
      <c r="K2008" s="30"/>
      <c r="L2008" s="49" t="s">
        <v>8589</v>
      </c>
      <c r="M2008" s="50">
        <v>1.0</v>
      </c>
      <c r="N2008" s="51"/>
      <c r="O2008" s="20"/>
      <c r="P2008" s="20"/>
      <c r="Q2008" s="20"/>
      <c r="R2008" s="20"/>
      <c r="S2008" s="20"/>
    </row>
    <row r="2009">
      <c r="A2009" s="76" t="s">
        <v>8590</v>
      </c>
      <c r="B2009" s="97">
        <v>46199.0</v>
      </c>
      <c r="C2009" s="76" t="s">
        <v>8591</v>
      </c>
      <c r="D2009" s="99" t="s">
        <v>8592</v>
      </c>
      <c r="E2009" s="25" t="s">
        <v>17</v>
      </c>
      <c r="F2009" s="25" t="s">
        <v>129</v>
      </c>
      <c r="G2009" s="25" t="s">
        <v>19</v>
      </c>
      <c r="H2009" s="76" t="s">
        <v>4064</v>
      </c>
      <c r="I2009" s="118">
        <v>46211.0</v>
      </c>
      <c r="J2009" s="76">
        <v>4.0</v>
      </c>
      <c r="K2009" s="19">
        <v>6060000.0</v>
      </c>
      <c r="L2009" s="76" t="s">
        <v>1763</v>
      </c>
      <c r="M2009" s="44">
        <v>7.0</v>
      </c>
      <c r="N2009" s="45"/>
      <c r="O2009" s="20"/>
      <c r="P2009" s="20"/>
      <c r="Q2009" s="20"/>
      <c r="R2009" s="20"/>
      <c r="S2009" s="20"/>
    </row>
    <row r="2010">
      <c r="A2010" s="49" t="s">
        <v>8593</v>
      </c>
      <c r="B2010" s="110">
        <v>46199.0</v>
      </c>
      <c r="C2010" s="49" t="s">
        <v>8594</v>
      </c>
      <c r="D2010" s="102" t="s">
        <v>8595</v>
      </c>
      <c r="E2010" s="25" t="s">
        <v>128</v>
      </c>
      <c r="F2010" s="25" t="s">
        <v>18</v>
      </c>
      <c r="G2010" s="25" t="s">
        <v>29</v>
      </c>
      <c r="H2010" s="49" t="s">
        <v>2462</v>
      </c>
      <c r="I2010" s="23"/>
      <c r="J2010" s="23"/>
      <c r="K2010" s="30"/>
      <c r="L2010" s="23"/>
      <c r="M2010" s="50">
        <v>1.0</v>
      </c>
      <c r="N2010" s="51"/>
      <c r="O2010" s="20"/>
      <c r="P2010" s="20"/>
      <c r="Q2010" s="20"/>
      <c r="R2010" s="20"/>
      <c r="S2010" s="20"/>
    </row>
    <row r="2011">
      <c r="A2011" s="76" t="s">
        <v>8596</v>
      </c>
      <c r="B2011" s="97">
        <v>46199.0</v>
      </c>
      <c r="C2011" s="76" t="s">
        <v>1756</v>
      </c>
      <c r="D2011" s="99" t="s">
        <v>8597</v>
      </c>
      <c r="E2011" s="25" t="s">
        <v>17</v>
      </c>
      <c r="F2011" s="25" t="s">
        <v>18</v>
      </c>
      <c r="G2011" s="25" t="s">
        <v>42</v>
      </c>
      <c r="H2011" s="10"/>
      <c r="I2011" s="10"/>
      <c r="J2011" s="10"/>
      <c r="K2011" s="46"/>
      <c r="L2011" s="76" t="s">
        <v>174</v>
      </c>
      <c r="M2011" s="44">
        <v>8.0</v>
      </c>
      <c r="N2011" s="45"/>
      <c r="O2011" s="20"/>
      <c r="P2011" s="20"/>
      <c r="Q2011" s="20"/>
      <c r="R2011" s="20"/>
      <c r="S2011" s="20"/>
    </row>
    <row r="2012">
      <c r="A2012" s="49" t="s">
        <v>8598</v>
      </c>
      <c r="B2012" s="110">
        <v>46200.0</v>
      </c>
      <c r="C2012" s="49" t="s">
        <v>8599</v>
      </c>
      <c r="D2012" s="102" t="s">
        <v>8600</v>
      </c>
      <c r="E2012" s="25" t="s">
        <v>128</v>
      </c>
      <c r="F2012" s="25" t="s">
        <v>18</v>
      </c>
      <c r="G2012" s="25" t="s">
        <v>29</v>
      </c>
      <c r="H2012" s="23"/>
      <c r="I2012" s="23"/>
      <c r="J2012" s="23"/>
      <c r="K2012" s="30"/>
      <c r="L2012" s="23"/>
      <c r="M2012" s="50">
        <v>1.0</v>
      </c>
      <c r="N2012" s="51"/>
      <c r="O2012" s="20"/>
      <c r="P2012" s="20"/>
      <c r="Q2012" s="20"/>
      <c r="R2012" s="20"/>
      <c r="S2012" s="20"/>
    </row>
    <row r="2013">
      <c r="A2013" s="76" t="s">
        <v>8601</v>
      </c>
      <c r="B2013" s="97">
        <v>46200.0</v>
      </c>
      <c r="C2013" s="76" t="s">
        <v>8602</v>
      </c>
      <c r="D2013" s="99" t="s">
        <v>8603</v>
      </c>
      <c r="E2013" s="25" t="s">
        <v>128</v>
      </c>
      <c r="F2013" s="25" t="s">
        <v>18</v>
      </c>
      <c r="G2013" s="25" t="s">
        <v>29</v>
      </c>
      <c r="H2013" s="10"/>
      <c r="I2013" s="10"/>
      <c r="J2013" s="10"/>
      <c r="K2013" s="46"/>
      <c r="L2013" s="10"/>
      <c r="M2013" s="44">
        <v>1.0</v>
      </c>
      <c r="N2013" s="45"/>
      <c r="O2013" s="20"/>
      <c r="P2013" s="20"/>
      <c r="Q2013" s="20"/>
      <c r="R2013" s="20"/>
      <c r="S2013" s="20"/>
    </row>
    <row r="2014">
      <c r="A2014" s="49" t="s">
        <v>8604</v>
      </c>
      <c r="B2014" s="110">
        <v>46199.0</v>
      </c>
      <c r="C2014" s="49" t="s">
        <v>8605</v>
      </c>
      <c r="D2014" s="102" t="s">
        <v>8606</v>
      </c>
      <c r="E2014" s="25" t="s">
        <v>128</v>
      </c>
      <c r="F2014" s="25" t="s">
        <v>129</v>
      </c>
      <c r="G2014" s="25" t="s">
        <v>19</v>
      </c>
      <c r="H2014" s="76" t="s">
        <v>3032</v>
      </c>
      <c r="I2014" s="101">
        <v>46240.0</v>
      </c>
      <c r="J2014" s="49">
        <v>3.0</v>
      </c>
      <c r="K2014" s="36">
        <v>6765000.0</v>
      </c>
      <c r="L2014" s="49" t="s">
        <v>6443</v>
      </c>
      <c r="M2014" s="50">
        <v>7.0</v>
      </c>
      <c r="N2014" s="51"/>
      <c r="O2014" s="20"/>
      <c r="P2014" s="20"/>
      <c r="Q2014" s="20"/>
      <c r="R2014" s="20"/>
      <c r="S2014" s="20"/>
    </row>
    <row r="2015">
      <c r="A2015" s="76" t="s">
        <v>8607</v>
      </c>
      <c r="B2015" s="97">
        <v>46199.0</v>
      </c>
      <c r="C2015" s="76" t="s">
        <v>8608</v>
      </c>
      <c r="D2015" s="99" t="s">
        <v>8609</v>
      </c>
      <c r="E2015" s="25" t="s">
        <v>128</v>
      </c>
      <c r="F2015" s="25" t="s">
        <v>129</v>
      </c>
      <c r="G2015" s="25" t="s">
        <v>29</v>
      </c>
      <c r="H2015" s="76" t="s">
        <v>8610</v>
      </c>
      <c r="I2015" s="10"/>
      <c r="J2015" s="76">
        <v>50.0</v>
      </c>
      <c r="K2015" s="46"/>
      <c r="L2015" s="76" t="s">
        <v>1316</v>
      </c>
      <c r="M2015" s="44">
        <v>1.0</v>
      </c>
      <c r="N2015" s="45"/>
      <c r="O2015" s="20"/>
      <c r="P2015" s="20"/>
      <c r="Q2015" s="20"/>
      <c r="R2015" s="20"/>
      <c r="S2015" s="20"/>
    </row>
    <row r="2016">
      <c r="A2016" s="49" t="s">
        <v>8611</v>
      </c>
      <c r="B2016" s="110">
        <v>46199.0</v>
      </c>
      <c r="C2016" s="49" t="s">
        <v>8612</v>
      </c>
      <c r="D2016" s="102" t="s">
        <v>8613</v>
      </c>
      <c r="E2016" s="25" t="s">
        <v>128</v>
      </c>
      <c r="F2016" s="25" t="s">
        <v>129</v>
      </c>
      <c r="G2016" s="25" t="s">
        <v>19</v>
      </c>
      <c r="H2016" s="49" t="s">
        <v>4064</v>
      </c>
      <c r="I2016" s="101">
        <v>46235.0</v>
      </c>
      <c r="J2016" s="49">
        <v>4.0</v>
      </c>
      <c r="K2016" s="30">
        <f>SUM(1275000*J2016+1000000)</f>
        <v>6100000</v>
      </c>
      <c r="L2016" s="49" t="s">
        <v>6194</v>
      </c>
      <c r="M2016" s="50">
        <v>7.0</v>
      </c>
      <c r="N2016" s="51"/>
      <c r="O2016" s="20"/>
      <c r="P2016" s="20"/>
      <c r="Q2016" s="20"/>
      <c r="R2016" s="20"/>
      <c r="S2016" s="20"/>
    </row>
    <row r="2017">
      <c r="A2017" s="76" t="s">
        <v>8614</v>
      </c>
      <c r="B2017" s="97">
        <v>46199.0</v>
      </c>
      <c r="C2017" s="76" t="s">
        <v>1756</v>
      </c>
      <c r="D2017" s="99" t="s">
        <v>8597</v>
      </c>
      <c r="E2017" s="25" t="s">
        <v>17</v>
      </c>
      <c r="F2017" s="25" t="s">
        <v>129</v>
      </c>
      <c r="G2017" s="25" t="s">
        <v>29</v>
      </c>
      <c r="H2017" s="76" t="s">
        <v>86</v>
      </c>
      <c r="I2017" s="10"/>
      <c r="J2017" s="10"/>
      <c r="K2017" s="46"/>
      <c r="L2017" s="10"/>
      <c r="M2017" s="44">
        <v>1.0</v>
      </c>
      <c r="N2017" s="45"/>
      <c r="O2017" s="20"/>
      <c r="P2017" s="20"/>
      <c r="Q2017" s="20"/>
      <c r="R2017" s="20"/>
      <c r="S2017" s="20"/>
    </row>
    <row r="2018">
      <c r="A2018" s="49" t="s">
        <v>8615</v>
      </c>
      <c r="B2018" s="110">
        <v>46200.0</v>
      </c>
      <c r="C2018" s="49" t="s">
        <v>8616</v>
      </c>
      <c r="D2018" s="102" t="s">
        <v>8617</v>
      </c>
      <c r="E2018" s="25" t="s">
        <v>128</v>
      </c>
      <c r="F2018" s="25" t="s">
        <v>129</v>
      </c>
      <c r="G2018" s="25" t="s">
        <v>29</v>
      </c>
      <c r="H2018" s="23"/>
      <c r="I2018" s="23"/>
      <c r="J2018" s="23"/>
      <c r="K2018" s="30"/>
      <c r="L2018" s="23"/>
      <c r="M2018" s="50">
        <v>1.0</v>
      </c>
      <c r="N2018" s="51"/>
      <c r="O2018" s="20"/>
      <c r="P2018" s="20"/>
      <c r="Q2018" s="20"/>
      <c r="R2018" s="20"/>
      <c r="S2018" s="20"/>
    </row>
    <row r="2019">
      <c r="A2019" s="76" t="s">
        <v>8618</v>
      </c>
      <c r="B2019" s="97">
        <v>46200.0</v>
      </c>
      <c r="C2019" s="76" t="s">
        <v>8619</v>
      </c>
      <c r="D2019" s="99" t="s">
        <v>8620</v>
      </c>
      <c r="E2019" s="25" t="s">
        <v>17</v>
      </c>
      <c r="F2019" s="25" t="s">
        <v>129</v>
      </c>
      <c r="G2019" s="25" t="s">
        <v>42</v>
      </c>
      <c r="H2019" s="76" t="s">
        <v>747</v>
      </c>
      <c r="I2019" s="118">
        <v>46200.0</v>
      </c>
      <c r="J2019" s="76">
        <v>2.0</v>
      </c>
      <c r="K2019" s="46"/>
      <c r="L2019" s="76" t="s">
        <v>5374</v>
      </c>
      <c r="M2019" s="44">
        <v>8.0</v>
      </c>
      <c r="N2019" s="45"/>
      <c r="O2019" s="20"/>
      <c r="P2019" s="20"/>
      <c r="Q2019" s="20"/>
      <c r="R2019" s="20"/>
      <c r="S2019" s="20"/>
    </row>
    <row r="2020">
      <c r="A2020" s="49" t="s">
        <v>8621</v>
      </c>
      <c r="B2020" s="110">
        <v>46200.0</v>
      </c>
      <c r="C2020" s="49" t="s">
        <v>8622</v>
      </c>
      <c r="D2020" s="102" t="s">
        <v>8623</v>
      </c>
      <c r="E2020" s="25" t="s">
        <v>869</v>
      </c>
      <c r="F2020" s="25" t="s">
        <v>129</v>
      </c>
      <c r="G2020" s="25" t="s">
        <v>19</v>
      </c>
      <c r="H2020" s="49" t="s">
        <v>3232</v>
      </c>
      <c r="I2020" s="101">
        <v>46201.0</v>
      </c>
      <c r="J2020" s="49">
        <v>2.0</v>
      </c>
      <c r="K2020" s="36">
        <v>2400000.0</v>
      </c>
      <c r="L2020" s="49" t="s">
        <v>6194</v>
      </c>
      <c r="M2020" s="50">
        <v>7.0</v>
      </c>
      <c r="N2020" s="51"/>
      <c r="O2020" s="20"/>
      <c r="P2020" s="20"/>
      <c r="Q2020" s="20"/>
      <c r="R2020" s="20"/>
      <c r="S2020" s="20"/>
    </row>
    <row r="2021">
      <c r="A2021" s="76" t="s">
        <v>8624</v>
      </c>
      <c r="B2021" s="97">
        <v>46199.0</v>
      </c>
      <c r="C2021" s="76" t="s">
        <v>8625</v>
      </c>
      <c r="D2021" s="99" t="s">
        <v>8626</v>
      </c>
      <c r="E2021" s="25" t="s">
        <v>17</v>
      </c>
      <c r="F2021" s="25" t="s">
        <v>983</v>
      </c>
      <c r="G2021" s="25" t="s">
        <v>29</v>
      </c>
      <c r="H2021" s="76" t="s">
        <v>5804</v>
      </c>
      <c r="I2021" s="10"/>
      <c r="J2021" s="76">
        <v>2.0</v>
      </c>
      <c r="K2021" s="46"/>
      <c r="L2021" s="10"/>
      <c r="M2021" s="44">
        <v>1.0</v>
      </c>
      <c r="N2021" s="45"/>
      <c r="O2021" s="20"/>
      <c r="P2021" s="20"/>
      <c r="Q2021" s="20"/>
      <c r="R2021" s="20"/>
      <c r="S2021" s="20"/>
    </row>
    <row r="2022">
      <c r="A2022" s="49" t="s">
        <v>8627</v>
      </c>
      <c r="B2022" s="110">
        <v>46200.0</v>
      </c>
      <c r="C2022" s="49" t="s">
        <v>8628</v>
      </c>
      <c r="D2022" s="102" t="s">
        <v>8629</v>
      </c>
      <c r="E2022" s="25" t="s">
        <v>17</v>
      </c>
      <c r="F2022" s="25" t="s">
        <v>983</v>
      </c>
      <c r="G2022" s="25" t="s">
        <v>34</v>
      </c>
      <c r="H2022" s="49" t="s">
        <v>4074</v>
      </c>
      <c r="I2022" s="49" t="s">
        <v>8630</v>
      </c>
      <c r="J2022" s="49">
        <v>5.0</v>
      </c>
      <c r="K2022" s="30"/>
      <c r="L2022" s="23"/>
      <c r="M2022" s="50">
        <v>2.0</v>
      </c>
      <c r="N2022" s="51"/>
      <c r="O2022" s="20"/>
      <c r="P2022" s="20"/>
      <c r="Q2022" s="20"/>
      <c r="R2022" s="20"/>
      <c r="S2022" s="20"/>
    </row>
    <row r="2023">
      <c r="A2023" s="76" t="s">
        <v>8631</v>
      </c>
      <c r="B2023" s="97">
        <v>46199.0</v>
      </c>
      <c r="C2023" s="76" t="s">
        <v>8632</v>
      </c>
      <c r="D2023" s="99" t="s">
        <v>8633</v>
      </c>
      <c r="E2023" s="25" t="s">
        <v>128</v>
      </c>
      <c r="F2023" s="25" t="s">
        <v>18</v>
      </c>
      <c r="G2023" s="25" t="s">
        <v>34</v>
      </c>
      <c r="H2023" s="76" t="s">
        <v>3395</v>
      </c>
      <c r="I2023" s="118">
        <v>46213.0</v>
      </c>
      <c r="J2023" s="76">
        <v>9.0</v>
      </c>
      <c r="K2023" s="46"/>
      <c r="L2023" s="10"/>
      <c r="M2023" s="44">
        <v>2.0</v>
      </c>
      <c r="N2023" s="45"/>
      <c r="O2023" s="20"/>
      <c r="P2023" s="20"/>
      <c r="Q2023" s="20"/>
      <c r="R2023" s="20"/>
      <c r="S2023" s="20"/>
    </row>
    <row r="2024">
      <c r="A2024" s="49" t="s">
        <v>8634</v>
      </c>
      <c r="B2024" s="110">
        <v>46199.0</v>
      </c>
      <c r="C2024" s="49" t="s">
        <v>8559</v>
      </c>
      <c r="D2024" s="102" t="s">
        <v>8560</v>
      </c>
      <c r="E2024" s="25" t="s">
        <v>17</v>
      </c>
      <c r="F2024" s="25" t="s">
        <v>18</v>
      </c>
      <c r="G2024" s="25" t="s">
        <v>29</v>
      </c>
      <c r="H2024" s="23"/>
      <c r="I2024" s="23"/>
      <c r="J2024" s="23"/>
      <c r="K2024" s="30"/>
      <c r="L2024" s="23"/>
      <c r="M2024" s="50">
        <v>1.0</v>
      </c>
      <c r="N2024" s="51"/>
      <c r="O2024" s="20"/>
      <c r="P2024" s="20"/>
      <c r="Q2024" s="20"/>
      <c r="R2024" s="20"/>
      <c r="S2024" s="20"/>
    </row>
    <row r="2025">
      <c r="A2025" s="76" t="s">
        <v>8635</v>
      </c>
      <c r="B2025" s="97">
        <v>46200.0</v>
      </c>
      <c r="C2025" s="76" t="s">
        <v>8636</v>
      </c>
      <c r="D2025" s="99" t="s">
        <v>8637</v>
      </c>
      <c r="E2025" s="25" t="s">
        <v>128</v>
      </c>
      <c r="F2025" s="25" t="s">
        <v>18</v>
      </c>
      <c r="G2025" s="25" t="s">
        <v>42</v>
      </c>
      <c r="H2025" s="76" t="s">
        <v>3395</v>
      </c>
      <c r="I2025" s="157">
        <v>46201.0</v>
      </c>
      <c r="J2025" s="76">
        <v>1.0</v>
      </c>
      <c r="K2025" s="46"/>
      <c r="L2025" s="76" t="s">
        <v>5191</v>
      </c>
      <c r="M2025" s="44">
        <v>8.0</v>
      </c>
      <c r="N2025" s="45"/>
      <c r="O2025" s="20"/>
      <c r="P2025" s="20"/>
      <c r="Q2025" s="20"/>
      <c r="R2025" s="20"/>
      <c r="S2025" s="20"/>
    </row>
    <row r="2026">
      <c r="A2026" s="49" t="s">
        <v>8638</v>
      </c>
      <c r="B2026" s="110">
        <v>46200.0</v>
      </c>
      <c r="C2026" s="49" t="s">
        <v>8639</v>
      </c>
      <c r="D2026" s="102" t="s">
        <v>8640</v>
      </c>
      <c r="E2026" s="25" t="s">
        <v>17</v>
      </c>
      <c r="F2026" s="25" t="s">
        <v>983</v>
      </c>
      <c r="G2026" s="25" t="s">
        <v>29</v>
      </c>
      <c r="H2026" s="23"/>
      <c r="I2026" s="23"/>
      <c r="J2026" s="23"/>
      <c r="K2026" s="30"/>
      <c r="L2026" s="49" t="s">
        <v>8641</v>
      </c>
      <c r="M2026" s="50">
        <v>1.0</v>
      </c>
      <c r="N2026" s="51"/>
      <c r="O2026" s="20"/>
      <c r="P2026" s="20"/>
      <c r="Q2026" s="20"/>
      <c r="R2026" s="20"/>
      <c r="S2026" s="20"/>
    </row>
    <row r="2027">
      <c r="A2027" s="76" t="s">
        <v>8642</v>
      </c>
      <c r="B2027" s="97">
        <v>46200.0</v>
      </c>
      <c r="C2027" s="76" t="s">
        <v>8643</v>
      </c>
      <c r="D2027" s="99" t="s">
        <v>8644</v>
      </c>
      <c r="E2027" s="25" t="s">
        <v>17</v>
      </c>
      <c r="F2027" s="25" t="s">
        <v>983</v>
      </c>
      <c r="G2027" s="25" t="s">
        <v>29</v>
      </c>
      <c r="H2027" s="10"/>
      <c r="I2027" s="10"/>
      <c r="J2027" s="76">
        <v>4.0</v>
      </c>
      <c r="K2027" s="46"/>
      <c r="L2027" s="76" t="s">
        <v>8645</v>
      </c>
      <c r="M2027" s="160">
        <v>1.0</v>
      </c>
      <c r="N2027" s="45"/>
      <c r="O2027" s="20"/>
      <c r="P2027" s="20"/>
      <c r="Q2027" s="20"/>
      <c r="R2027" s="20"/>
      <c r="S2027" s="20"/>
    </row>
    <row r="2028">
      <c r="A2028" s="49" t="s">
        <v>8646</v>
      </c>
      <c r="B2028" s="110">
        <v>46201.0</v>
      </c>
      <c r="C2028" s="49" t="s">
        <v>8647</v>
      </c>
      <c r="D2028" s="102" t="s">
        <v>8648</v>
      </c>
      <c r="E2028" s="25" t="s">
        <v>17</v>
      </c>
      <c r="F2028" s="25" t="s">
        <v>983</v>
      </c>
      <c r="G2028" s="25" t="s">
        <v>29</v>
      </c>
      <c r="H2028" s="23"/>
      <c r="I2028" s="101">
        <v>46252.0</v>
      </c>
      <c r="J2028" s="49">
        <v>10.0</v>
      </c>
      <c r="K2028" s="30"/>
      <c r="L2028" s="23"/>
      <c r="M2028" s="50">
        <v>1.0</v>
      </c>
      <c r="N2028" s="51"/>
      <c r="O2028" s="20"/>
      <c r="P2028" s="20"/>
      <c r="Q2028" s="20"/>
      <c r="R2028" s="20"/>
      <c r="S2028" s="20"/>
    </row>
    <row r="2029">
      <c r="A2029" s="76" t="s">
        <v>8649</v>
      </c>
      <c r="B2029" s="97">
        <v>46200.0</v>
      </c>
      <c r="C2029" s="76" t="s">
        <v>8650</v>
      </c>
      <c r="D2029" s="99" t="s">
        <v>8651</v>
      </c>
      <c r="E2029" s="25" t="s">
        <v>128</v>
      </c>
      <c r="F2029" s="25" t="s">
        <v>18</v>
      </c>
      <c r="G2029" s="25" t="s">
        <v>29</v>
      </c>
      <c r="H2029" s="76" t="s">
        <v>6246</v>
      </c>
      <c r="I2029" s="10"/>
      <c r="J2029" s="10"/>
      <c r="K2029" s="46"/>
      <c r="L2029" s="10"/>
      <c r="M2029" s="44">
        <v>1.0</v>
      </c>
      <c r="N2029" s="45"/>
      <c r="O2029" s="20"/>
      <c r="P2029" s="20"/>
      <c r="Q2029" s="20"/>
      <c r="R2029" s="20"/>
      <c r="S2029" s="20"/>
    </row>
    <row r="2030">
      <c r="A2030" s="49" t="s">
        <v>8652</v>
      </c>
      <c r="B2030" s="110">
        <v>46200.0</v>
      </c>
      <c r="C2030" s="49" t="s">
        <v>8653</v>
      </c>
      <c r="D2030" s="102" t="s">
        <v>8654</v>
      </c>
      <c r="E2030" s="25" t="s">
        <v>17</v>
      </c>
      <c r="F2030" s="25" t="s">
        <v>18</v>
      </c>
      <c r="G2030" s="25" t="s">
        <v>29</v>
      </c>
      <c r="H2030" s="49" t="s">
        <v>3210</v>
      </c>
      <c r="I2030" s="23"/>
      <c r="J2030" s="49">
        <v>4.0</v>
      </c>
      <c r="K2030" s="30">
        <f>1037000*4</f>
        <v>4148000</v>
      </c>
      <c r="L2030" s="49" t="s">
        <v>8655</v>
      </c>
      <c r="M2030" s="50">
        <v>1.0</v>
      </c>
      <c r="N2030" s="51"/>
      <c r="O2030" s="20"/>
      <c r="P2030" s="20"/>
      <c r="Q2030" s="20"/>
      <c r="R2030" s="20"/>
      <c r="S2030" s="20"/>
    </row>
    <row r="2031">
      <c r="A2031" s="76" t="s">
        <v>8656</v>
      </c>
      <c r="B2031" s="97">
        <v>46200.0</v>
      </c>
      <c r="C2031" s="76" t="s">
        <v>8657</v>
      </c>
      <c r="D2031" s="99" t="s">
        <v>8658</v>
      </c>
      <c r="E2031" s="25" t="s">
        <v>17</v>
      </c>
      <c r="F2031" s="25" t="s">
        <v>18</v>
      </c>
      <c r="G2031" s="25" t="s">
        <v>29</v>
      </c>
      <c r="H2031" s="10"/>
      <c r="I2031" s="10"/>
      <c r="J2031" s="10"/>
      <c r="K2031" s="46"/>
      <c r="L2031" s="10"/>
      <c r="M2031" s="44">
        <v>1.0</v>
      </c>
      <c r="N2031" s="45"/>
      <c r="O2031" s="20"/>
      <c r="P2031" s="20"/>
      <c r="Q2031" s="20"/>
      <c r="R2031" s="20"/>
      <c r="S2031" s="20"/>
    </row>
    <row r="2032">
      <c r="A2032" s="49" t="s">
        <v>8659</v>
      </c>
      <c r="B2032" s="110">
        <v>46201.0</v>
      </c>
      <c r="C2032" s="49" t="s">
        <v>8660</v>
      </c>
      <c r="D2032" s="24">
        <f>573002444692</f>
        <v>573002444692</v>
      </c>
      <c r="E2032" s="25" t="s">
        <v>122</v>
      </c>
      <c r="F2032" s="25" t="s">
        <v>18</v>
      </c>
      <c r="G2032" s="25" t="s">
        <v>42</v>
      </c>
      <c r="H2032" s="49" t="s">
        <v>8661</v>
      </c>
      <c r="I2032" s="23"/>
      <c r="J2032" s="23"/>
      <c r="K2032" s="30"/>
      <c r="L2032" s="23"/>
      <c r="M2032" s="50">
        <v>8.0</v>
      </c>
      <c r="N2032" s="51"/>
      <c r="O2032" s="20"/>
      <c r="P2032" s="20"/>
      <c r="Q2032" s="20"/>
      <c r="R2032" s="20"/>
      <c r="S2032" s="20"/>
    </row>
    <row r="2033">
      <c r="A2033" s="76" t="s">
        <v>8662</v>
      </c>
      <c r="B2033" s="110">
        <v>46199.0</v>
      </c>
      <c r="C2033" s="76" t="s">
        <v>8663</v>
      </c>
      <c r="D2033" s="99" t="s">
        <v>8664</v>
      </c>
      <c r="E2033" s="25" t="s">
        <v>128</v>
      </c>
      <c r="F2033" s="25" t="s">
        <v>129</v>
      </c>
      <c r="G2033" s="25" t="s">
        <v>42</v>
      </c>
      <c r="H2033" s="10"/>
      <c r="I2033" s="10"/>
      <c r="J2033" s="10"/>
      <c r="K2033" s="46"/>
      <c r="L2033" s="76" t="s">
        <v>8665</v>
      </c>
      <c r="M2033" s="44">
        <v>8.0</v>
      </c>
      <c r="N2033" s="45"/>
      <c r="O2033" s="20"/>
      <c r="P2033" s="20"/>
      <c r="Q2033" s="20"/>
      <c r="R2033" s="20"/>
      <c r="S2033" s="20"/>
    </row>
    <row r="2034">
      <c r="A2034" s="49" t="s">
        <v>8666</v>
      </c>
      <c r="B2034" s="97">
        <v>46200.0</v>
      </c>
      <c r="C2034" s="49" t="s">
        <v>8667</v>
      </c>
      <c r="D2034" s="102" t="s">
        <v>8668</v>
      </c>
      <c r="E2034" s="25" t="s">
        <v>128</v>
      </c>
      <c r="F2034" s="25" t="s">
        <v>129</v>
      </c>
      <c r="G2034" s="25" t="s">
        <v>29</v>
      </c>
      <c r="H2034" s="76" t="s">
        <v>260</v>
      </c>
      <c r="I2034" s="101">
        <v>46206.0</v>
      </c>
      <c r="J2034" s="49">
        <v>1.0</v>
      </c>
      <c r="K2034" s="30"/>
      <c r="L2034" s="49" t="s">
        <v>8669</v>
      </c>
      <c r="M2034" s="50">
        <v>1.0</v>
      </c>
      <c r="N2034" s="51"/>
      <c r="O2034" s="20"/>
      <c r="P2034" s="20"/>
      <c r="Q2034" s="20"/>
      <c r="R2034" s="20"/>
      <c r="S2034" s="20"/>
    </row>
    <row r="2035">
      <c r="A2035" s="76" t="s">
        <v>8670</v>
      </c>
      <c r="B2035" s="97">
        <v>46200.0</v>
      </c>
      <c r="C2035" s="76" t="s">
        <v>8671</v>
      </c>
      <c r="D2035" s="99" t="s">
        <v>8672</v>
      </c>
      <c r="E2035" s="25" t="s">
        <v>128</v>
      </c>
      <c r="F2035" s="25" t="s">
        <v>129</v>
      </c>
      <c r="G2035" s="25" t="s">
        <v>29</v>
      </c>
      <c r="H2035" s="76" t="s">
        <v>199</v>
      </c>
      <c r="I2035" s="10"/>
      <c r="J2035" s="10"/>
      <c r="K2035" s="46"/>
      <c r="L2035" s="76" t="s">
        <v>8669</v>
      </c>
      <c r="M2035" s="44">
        <v>1.0</v>
      </c>
      <c r="N2035" s="45"/>
      <c r="O2035" s="20"/>
      <c r="P2035" s="20"/>
      <c r="Q2035" s="20"/>
      <c r="R2035" s="20"/>
      <c r="S2035" s="20"/>
    </row>
    <row r="2036">
      <c r="A2036" s="49" t="s">
        <v>8673</v>
      </c>
      <c r="B2036" s="110">
        <v>46200.0</v>
      </c>
      <c r="C2036" s="49" t="s">
        <v>8674</v>
      </c>
      <c r="D2036" s="102" t="s">
        <v>8675</v>
      </c>
      <c r="E2036" s="25" t="s">
        <v>128</v>
      </c>
      <c r="F2036" s="25" t="s">
        <v>129</v>
      </c>
      <c r="G2036" s="25" t="s">
        <v>29</v>
      </c>
      <c r="H2036" s="49" t="s">
        <v>8514</v>
      </c>
      <c r="I2036" s="49" t="s">
        <v>8676</v>
      </c>
      <c r="J2036" s="49">
        <v>2.0</v>
      </c>
      <c r="K2036" s="30"/>
      <c r="L2036" s="49" t="s">
        <v>8677</v>
      </c>
      <c r="M2036" s="50">
        <v>1.0</v>
      </c>
      <c r="N2036" s="51"/>
      <c r="O2036" s="20"/>
      <c r="P2036" s="20"/>
      <c r="Q2036" s="20"/>
      <c r="R2036" s="20"/>
      <c r="S2036" s="20"/>
    </row>
    <row r="2037">
      <c r="A2037" s="76" t="s">
        <v>8678</v>
      </c>
      <c r="B2037" s="97">
        <v>46201.0</v>
      </c>
      <c r="C2037" s="76" t="s">
        <v>8679</v>
      </c>
      <c r="D2037" s="99" t="s">
        <v>8680</v>
      </c>
      <c r="E2037" s="25" t="s">
        <v>128</v>
      </c>
      <c r="F2037" s="25" t="s">
        <v>129</v>
      </c>
      <c r="G2037" s="25" t="s">
        <v>29</v>
      </c>
      <c r="H2037" s="76" t="s">
        <v>8681</v>
      </c>
      <c r="I2037" s="118">
        <v>46205.0</v>
      </c>
      <c r="J2037" s="76">
        <v>5.0</v>
      </c>
      <c r="K2037" s="46"/>
      <c r="L2037" s="76" t="s">
        <v>8682</v>
      </c>
      <c r="M2037" s="44">
        <v>1.0</v>
      </c>
      <c r="N2037" s="45"/>
      <c r="O2037" s="20"/>
      <c r="P2037" s="20"/>
      <c r="Q2037" s="20"/>
      <c r="R2037" s="20"/>
      <c r="S2037" s="20"/>
    </row>
    <row r="2038">
      <c r="A2038" s="49" t="s">
        <v>8683</v>
      </c>
      <c r="B2038" s="110">
        <v>46201.0</v>
      </c>
      <c r="C2038" s="49" t="s">
        <v>8684</v>
      </c>
      <c r="D2038" s="102" t="s">
        <v>8685</v>
      </c>
      <c r="E2038" s="25" t="s">
        <v>17</v>
      </c>
      <c r="F2038" s="25" t="s">
        <v>129</v>
      </c>
      <c r="G2038" s="25" t="s">
        <v>29</v>
      </c>
      <c r="H2038" s="23"/>
      <c r="I2038" s="23"/>
      <c r="J2038" s="23"/>
      <c r="K2038" s="30"/>
      <c r="L2038" s="49" t="s">
        <v>8686</v>
      </c>
      <c r="M2038" s="50">
        <v>1.0</v>
      </c>
      <c r="N2038" s="51"/>
      <c r="O2038" s="20"/>
      <c r="P2038" s="20"/>
      <c r="Q2038" s="20"/>
      <c r="R2038" s="20"/>
      <c r="S2038" s="20"/>
    </row>
    <row r="2039">
      <c r="A2039" s="76" t="s">
        <v>8687</v>
      </c>
      <c r="B2039" s="97">
        <v>46201.0</v>
      </c>
      <c r="C2039" s="76" t="s">
        <v>8688</v>
      </c>
      <c r="D2039" s="99" t="s">
        <v>8689</v>
      </c>
      <c r="E2039" s="25" t="s">
        <v>17</v>
      </c>
      <c r="F2039" s="25" t="s">
        <v>129</v>
      </c>
      <c r="G2039" s="25" t="s">
        <v>29</v>
      </c>
      <c r="H2039" s="10"/>
      <c r="I2039" s="10"/>
      <c r="J2039" s="10"/>
      <c r="K2039" s="46"/>
      <c r="L2039" s="10"/>
      <c r="M2039" s="44">
        <v>1.0</v>
      </c>
      <c r="N2039" s="45"/>
      <c r="O2039" s="20"/>
      <c r="P2039" s="20"/>
      <c r="Q2039" s="20"/>
      <c r="R2039" s="20"/>
      <c r="S2039" s="20"/>
    </row>
    <row r="2040">
      <c r="A2040" s="49" t="s">
        <v>8690</v>
      </c>
      <c r="B2040" s="110">
        <v>46201.0</v>
      </c>
      <c r="C2040" s="49" t="s">
        <v>8691</v>
      </c>
      <c r="D2040" s="102" t="s">
        <v>8692</v>
      </c>
      <c r="E2040" s="25" t="s">
        <v>17</v>
      </c>
      <c r="F2040" s="25" t="s">
        <v>18</v>
      </c>
      <c r="G2040" s="25" t="s">
        <v>19</v>
      </c>
      <c r="H2040" s="49" t="s">
        <v>8693</v>
      </c>
      <c r="I2040" s="101">
        <v>46202.0</v>
      </c>
      <c r="J2040" s="49">
        <v>5.0</v>
      </c>
      <c r="K2040" s="36">
        <v>2300000.0</v>
      </c>
      <c r="L2040" s="23"/>
      <c r="M2040" s="50">
        <v>7.0</v>
      </c>
      <c r="N2040" s="51"/>
      <c r="O2040" s="20"/>
      <c r="P2040" s="20"/>
      <c r="Q2040" s="20"/>
      <c r="R2040" s="20"/>
      <c r="S2040" s="20"/>
    </row>
    <row r="2041">
      <c r="A2041" s="76" t="s">
        <v>8694</v>
      </c>
      <c r="B2041" s="97">
        <v>46201.0</v>
      </c>
      <c r="C2041" s="76" t="s">
        <v>8695</v>
      </c>
      <c r="D2041" s="99" t="s">
        <v>8696</v>
      </c>
      <c r="E2041" s="25" t="s">
        <v>128</v>
      </c>
      <c r="F2041" s="25" t="s">
        <v>18</v>
      </c>
      <c r="G2041" s="25" t="s">
        <v>19</v>
      </c>
      <c r="H2041" s="76" t="s">
        <v>8106</v>
      </c>
      <c r="I2041" s="157">
        <v>46202.0</v>
      </c>
      <c r="J2041" s="76">
        <v>4.0</v>
      </c>
      <c r="K2041" s="19">
        <v>1600000.0</v>
      </c>
      <c r="L2041" s="76" t="s">
        <v>4896</v>
      </c>
      <c r="M2041" s="44">
        <v>7.0</v>
      </c>
      <c r="N2041" s="45"/>
      <c r="O2041" s="20"/>
      <c r="P2041" s="20"/>
      <c r="Q2041" s="20"/>
      <c r="R2041" s="20"/>
      <c r="S2041" s="20"/>
    </row>
    <row r="2042">
      <c r="A2042" s="49" t="s">
        <v>8697</v>
      </c>
      <c r="B2042" s="110">
        <v>46201.0</v>
      </c>
      <c r="C2042" s="49" t="s">
        <v>8698</v>
      </c>
      <c r="D2042" s="102" t="s">
        <v>8699</v>
      </c>
      <c r="E2042" s="25" t="s">
        <v>17</v>
      </c>
      <c r="F2042" s="25" t="s">
        <v>18</v>
      </c>
      <c r="G2042" s="25" t="s">
        <v>29</v>
      </c>
      <c r="H2042" s="49" t="s">
        <v>3395</v>
      </c>
      <c r="I2042" s="23"/>
      <c r="J2042" s="23"/>
      <c r="K2042" s="30"/>
      <c r="L2042" s="23"/>
      <c r="M2042" s="50">
        <v>1.0</v>
      </c>
      <c r="N2042" s="51"/>
      <c r="O2042" s="20"/>
      <c r="P2042" s="20"/>
      <c r="Q2042" s="20"/>
      <c r="R2042" s="20"/>
      <c r="S2042" s="20"/>
    </row>
    <row r="2043">
      <c r="A2043" s="76" t="s">
        <v>8700</v>
      </c>
      <c r="B2043" s="97">
        <v>46201.0</v>
      </c>
      <c r="C2043" s="76" t="s">
        <v>8701</v>
      </c>
      <c r="D2043" s="13">
        <f>33683796292</f>
        <v>33683796292</v>
      </c>
      <c r="E2043" s="25" t="s">
        <v>122</v>
      </c>
      <c r="F2043" s="25" t="s">
        <v>18</v>
      </c>
      <c r="G2043" s="25" t="s">
        <v>19</v>
      </c>
      <c r="H2043" s="76" t="s">
        <v>8702</v>
      </c>
      <c r="I2043" s="118">
        <v>46205.0</v>
      </c>
      <c r="J2043" s="76">
        <v>1.0</v>
      </c>
      <c r="K2043" s="19">
        <v>3200000.0</v>
      </c>
      <c r="L2043" s="10"/>
      <c r="M2043" s="44">
        <v>7.0</v>
      </c>
      <c r="N2043" s="45"/>
      <c r="O2043" s="20"/>
      <c r="P2043" s="20"/>
      <c r="Q2043" s="20"/>
      <c r="R2043" s="20"/>
      <c r="S2043" s="20"/>
    </row>
    <row r="2044">
      <c r="A2044" s="49" t="s">
        <v>8703</v>
      </c>
      <c r="B2044" s="110">
        <v>46201.0</v>
      </c>
      <c r="C2044" s="49" t="s">
        <v>8704</v>
      </c>
      <c r="D2044" s="102" t="s">
        <v>8705</v>
      </c>
      <c r="E2044" s="25" t="s">
        <v>17</v>
      </c>
      <c r="F2044" s="25" t="s">
        <v>18</v>
      </c>
      <c r="G2044" s="25" t="s">
        <v>19</v>
      </c>
      <c r="H2044" s="49" t="s">
        <v>2105</v>
      </c>
      <c r="I2044" s="49" t="s">
        <v>8706</v>
      </c>
      <c r="J2044" s="49">
        <v>3.0</v>
      </c>
      <c r="K2044" s="30"/>
      <c r="L2044" s="23"/>
      <c r="M2044" s="50">
        <v>7.0</v>
      </c>
      <c r="N2044" s="51"/>
      <c r="O2044" s="20"/>
      <c r="P2044" s="20"/>
      <c r="Q2044" s="20"/>
      <c r="R2044" s="20"/>
      <c r="S2044" s="20"/>
    </row>
    <row r="2045">
      <c r="A2045" s="76" t="s">
        <v>8707</v>
      </c>
      <c r="B2045" s="97">
        <v>46201.0</v>
      </c>
      <c r="C2045" s="76" t="s">
        <v>8708</v>
      </c>
      <c r="D2045" s="99" t="s">
        <v>8709</v>
      </c>
      <c r="E2045" s="25" t="s">
        <v>128</v>
      </c>
      <c r="F2045" s="25" t="s">
        <v>18</v>
      </c>
      <c r="G2045" s="25" t="s">
        <v>42</v>
      </c>
      <c r="H2045" s="76" t="s">
        <v>2462</v>
      </c>
      <c r="I2045" s="76" t="s">
        <v>7766</v>
      </c>
      <c r="J2045" s="76">
        <v>4.0</v>
      </c>
      <c r="K2045" s="46"/>
      <c r="L2045" s="76" t="s">
        <v>3493</v>
      </c>
      <c r="M2045" s="44">
        <v>8.0</v>
      </c>
      <c r="N2045" s="45"/>
      <c r="O2045" s="20"/>
      <c r="P2045" s="20"/>
      <c r="Q2045" s="20"/>
      <c r="R2045" s="20"/>
      <c r="S2045" s="20"/>
    </row>
    <row r="2046">
      <c r="A2046" s="49" t="s">
        <v>8710</v>
      </c>
      <c r="B2046" s="110">
        <v>46202.0</v>
      </c>
      <c r="C2046" s="49" t="s">
        <v>6591</v>
      </c>
      <c r="D2046" s="102" t="s">
        <v>8711</v>
      </c>
      <c r="E2046" s="25" t="s">
        <v>128</v>
      </c>
      <c r="F2046" s="25" t="s">
        <v>18</v>
      </c>
      <c r="G2046" s="25" t="s">
        <v>29</v>
      </c>
      <c r="H2046" s="23"/>
      <c r="I2046" s="23"/>
      <c r="J2046" s="23"/>
      <c r="K2046" s="30"/>
      <c r="L2046" s="23"/>
      <c r="M2046" s="50">
        <v>1.0</v>
      </c>
      <c r="N2046" s="51"/>
      <c r="O2046" s="20"/>
      <c r="P2046" s="20"/>
      <c r="Q2046" s="20"/>
      <c r="R2046" s="20"/>
      <c r="S2046" s="20"/>
    </row>
    <row r="2047">
      <c r="A2047" s="76" t="s">
        <v>8712</v>
      </c>
      <c r="B2047" s="97">
        <v>46201.0</v>
      </c>
      <c r="C2047" s="76" t="s">
        <v>8713</v>
      </c>
      <c r="D2047" s="99" t="s">
        <v>8714</v>
      </c>
      <c r="E2047" s="25" t="s">
        <v>128</v>
      </c>
      <c r="F2047" s="25" t="s">
        <v>129</v>
      </c>
      <c r="G2047" s="25" t="s">
        <v>29</v>
      </c>
      <c r="H2047" s="76" t="s">
        <v>1280</v>
      </c>
      <c r="I2047" s="118">
        <v>46253.0</v>
      </c>
      <c r="J2047" s="76">
        <v>5.0</v>
      </c>
      <c r="K2047" s="46"/>
      <c r="L2047" s="76" t="s">
        <v>8715</v>
      </c>
      <c r="M2047" s="44">
        <v>1.0</v>
      </c>
      <c r="N2047" s="45"/>
      <c r="O2047" s="20"/>
      <c r="P2047" s="20"/>
      <c r="Q2047" s="20"/>
      <c r="R2047" s="20"/>
      <c r="S2047" s="20"/>
    </row>
    <row r="2048">
      <c r="A2048" s="49" t="s">
        <v>8716</v>
      </c>
      <c r="B2048" s="110">
        <v>46201.0</v>
      </c>
      <c r="C2048" s="49" t="s">
        <v>8717</v>
      </c>
      <c r="D2048" s="102" t="s">
        <v>8718</v>
      </c>
      <c r="E2048" s="25" t="s">
        <v>122</v>
      </c>
      <c r="F2048" s="25" t="s">
        <v>129</v>
      </c>
      <c r="G2048" s="25" t="s">
        <v>29</v>
      </c>
      <c r="H2048" s="49" t="s">
        <v>8719</v>
      </c>
      <c r="I2048" s="23"/>
      <c r="J2048" s="49">
        <v>5.0</v>
      </c>
      <c r="K2048" s="30"/>
      <c r="L2048" s="49" t="s">
        <v>8720</v>
      </c>
      <c r="M2048" s="50">
        <v>1.0</v>
      </c>
      <c r="N2048" s="51"/>
      <c r="O2048" s="20"/>
      <c r="P2048" s="20"/>
      <c r="Q2048" s="20"/>
      <c r="R2048" s="20"/>
      <c r="S2048" s="20"/>
    </row>
    <row r="2049">
      <c r="A2049" s="76" t="s">
        <v>8721</v>
      </c>
      <c r="B2049" s="97">
        <v>46201.0</v>
      </c>
      <c r="C2049" s="76" t="s">
        <v>8722</v>
      </c>
      <c r="D2049" s="99" t="s">
        <v>8723</v>
      </c>
      <c r="E2049" s="25" t="s">
        <v>128</v>
      </c>
      <c r="F2049" s="25" t="s">
        <v>129</v>
      </c>
      <c r="G2049" s="25" t="s">
        <v>29</v>
      </c>
      <c r="H2049" s="10"/>
      <c r="I2049" s="10"/>
      <c r="J2049" s="10"/>
      <c r="K2049" s="46"/>
      <c r="L2049" s="76" t="s">
        <v>7542</v>
      </c>
      <c r="M2049" s="44">
        <v>1.0</v>
      </c>
      <c r="N2049" s="45"/>
      <c r="O2049" s="20"/>
      <c r="P2049" s="20"/>
      <c r="Q2049" s="20"/>
      <c r="R2049" s="20"/>
      <c r="S2049" s="20"/>
    </row>
    <row r="2050">
      <c r="A2050" s="49" t="s">
        <v>8724</v>
      </c>
      <c r="B2050" s="110">
        <v>46201.0</v>
      </c>
      <c r="C2050" s="49" t="s">
        <v>8725</v>
      </c>
      <c r="D2050" s="102" t="s">
        <v>8726</v>
      </c>
      <c r="E2050" s="25" t="s">
        <v>128</v>
      </c>
      <c r="F2050" s="25" t="s">
        <v>129</v>
      </c>
      <c r="G2050" s="25" t="s">
        <v>29</v>
      </c>
      <c r="H2050" s="49" t="s">
        <v>8727</v>
      </c>
      <c r="I2050" s="23"/>
      <c r="J2050" s="49">
        <v>2.0</v>
      </c>
      <c r="K2050" s="30"/>
      <c r="L2050" s="49" t="s">
        <v>8728</v>
      </c>
      <c r="M2050" s="50">
        <v>1.0</v>
      </c>
      <c r="N2050" s="51"/>
      <c r="O2050" s="20"/>
      <c r="P2050" s="20"/>
      <c r="Q2050" s="20"/>
      <c r="R2050" s="20"/>
      <c r="S2050" s="20"/>
    </row>
    <row r="2051">
      <c r="A2051" s="76" t="s">
        <v>8729</v>
      </c>
      <c r="B2051" s="97">
        <v>46202.0</v>
      </c>
      <c r="C2051" s="76" t="s">
        <v>8730</v>
      </c>
      <c r="D2051" s="99" t="s">
        <v>8731</v>
      </c>
      <c r="E2051" s="25" t="s">
        <v>128</v>
      </c>
      <c r="F2051" s="25" t="s">
        <v>129</v>
      </c>
      <c r="G2051" s="25" t="s">
        <v>19</v>
      </c>
      <c r="H2051" s="76" t="s">
        <v>747</v>
      </c>
      <c r="I2051" s="118">
        <v>46208.0</v>
      </c>
      <c r="J2051" s="76">
        <v>4.0</v>
      </c>
      <c r="K2051" s="46">
        <f>SUM(275000*4)</f>
        <v>1100000</v>
      </c>
      <c r="L2051" s="76" t="s">
        <v>6194</v>
      </c>
      <c r="M2051" s="44">
        <v>7.0</v>
      </c>
      <c r="N2051" s="45"/>
      <c r="O2051" s="20"/>
      <c r="P2051" s="20"/>
      <c r="Q2051" s="20"/>
      <c r="R2051" s="20"/>
      <c r="S2051" s="20"/>
    </row>
    <row r="2052">
      <c r="A2052" s="49" t="s">
        <v>8732</v>
      </c>
      <c r="B2052" s="110">
        <v>46201.0</v>
      </c>
      <c r="C2052" s="49" t="s">
        <v>8733</v>
      </c>
      <c r="D2052" s="102" t="s">
        <v>8734</v>
      </c>
      <c r="E2052" s="25" t="s">
        <v>17</v>
      </c>
      <c r="F2052" s="25" t="s">
        <v>129</v>
      </c>
      <c r="G2052" s="25" t="s">
        <v>29</v>
      </c>
      <c r="H2052" s="49" t="s">
        <v>4064</v>
      </c>
      <c r="I2052" s="101">
        <v>46210.0</v>
      </c>
      <c r="J2052" s="49">
        <v>5.0</v>
      </c>
      <c r="K2052" s="30"/>
      <c r="L2052" s="49" t="s">
        <v>8735</v>
      </c>
      <c r="M2052" s="50">
        <v>1.0</v>
      </c>
      <c r="N2052" s="51"/>
      <c r="O2052" s="20"/>
      <c r="P2052" s="20"/>
      <c r="Q2052" s="20"/>
      <c r="R2052" s="20"/>
      <c r="S2052" s="20"/>
    </row>
    <row r="2053">
      <c r="A2053" s="76" t="s">
        <v>8736</v>
      </c>
      <c r="B2053" s="97">
        <v>46201.0</v>
      </c>
      <c r="C2053" s="49" t="s">
        <v>8737</v>
      </c>
      <c r="D2053" s="102" t="s">
        <v>8738</v>
      </c>
      <c r="E2053" s="25" t="s">
        <v>17</v>
      </c>
      <c r="F2053" s="25" t="s">
        <v>983</v>
      </c>
      <c r="G2053" s="25" t="s">
        <v>29</v>
      </c>
      <c r="H2053" s="10"/>
      <c r="I2053" s="10"/>
      <c r="J2053" s="10"/>
      <c r="K2053" s="46"/>
      <c r="L2053" s="76" t="s">
        <v>8739</v>
      </c>
      <c r="M2053" s="44">
        <v>1.0</v>
      </c>
      <c r="N2053" s="45"/>
      <c r="O2053" s="20"/>
      <c r="P2053" s="20"/>
      <c r="Q2053" s="20"/>
      <c r="R2053" s="20"/>
      <c r="S2053" s="20"/>
    </row>
    <row r="2054">
      <c r="A2054" s="49" t="s">
        <v>8740</v>
      </c>
      <c r="B2054" s="110">
        <v>46201.0</v>
      </c>
      <c r="C2054" s="49" t="s">
        <v>8741</v>
      </c>
      <c r="D2054" s="102" t="s">
        <v>8742</v>
      </c>
      <c r="E2054" s="25" t="s">
        <v>17</v>
      </c>
      <c r="F2054" s="25" t="s">
        <v>983</v>
      </c>
      <c r="G2054" s="25" t="s">
        <v>34</v>
      </c>
      <c r="H2054" s="49" t="s">
        <v>1888</v>
      </c>
      <c r="I2054" s="49" t="s">
        <v>8743</v>
      </c>
      <c r="J2054" s="49">
        <v>2.0</v>
      </c>
      <c r="K2054" s="30">
        <f>2055000*2</f>
        <v>4110000</v>
      </c>
      <c r="L2054" s="49" t="s">
        <v>8744</v>
      </c>
      <c r="M2054" s="50">
        <v>2.0</v>
      </c>
      <c r="N2054" s="51"/>
      <c r="O2054" s="20"/>
      <c r="P2054" s="20"/>
      <c r="Q2054" s="20"/>
      <c r="R2054" s="20"/>
      <c r="S2054" s="20"/>
    </row>
    <row r="2055">
      <c r="A2055" s="76" t="s">
        <v>8745</v>
      </c>
      <c r="B2055" s="97">
        <v>46202.0</v>
      </c>
      <c r="C2055" s="76" t="s">
        <v>8746</v>
      </c>
      <c r="D2055" s="99" t="s">
        <v>8747</v>
      </c>
      <c r="E2055" s="25" t="s">
        <v>17</v>
      </c>
      <c r="F2055" s="25" t="s">
        <v>983</v>
      </c>
      <c r="G2055" s="25" t="s">
        <v>42</v>
      </c>
      <c r="H2055" s="76"/>
      <c r="I2055" s="10"/>
      <c r="J2055" s="10"/>
      <c r="K2055" s="46"/>
      <c r="L2055" s="76" t="s">
        <v>1583</v>
      </c>
      <c r="M2055" s="44">
        <v>8.0</v>
      </c>
      <c r="N2055" s="45"/>
      <c r="O2055" s="20"/>
      <c r="P2055" s="20"/>
      <c r="Q2055" s="20"/>
      <c r="R2055" s="20"/>
      <c r="S2055" s="20"/>
    </row>
    <row r="2056">
      <c r="A2056" s="49" t="s">
        <v>8748</v>
      </c>
      <c r="B2056" s="110">
        <v>46201.0</v>
      </c>
      <c r="C2056" s="49" t="s">
        <v>8749</v>
      </c>
      <c r="D2056" s="102" t="s">
        <v>8750</v>
      </c>
      <c r="E2056" s="25" t="s">
        <v>17</v>
      </c>
      <c r="F2056" s="25" t="s">
        <v>983</v>
      </c>
      <c r="G2056" s="25" t="s">
        <v>42</v>
      </c>
      <c r="H2056" s="23"/>
      <c r="I2056" s="23"/>
      <c r="J2056" s="23"/>
      <c r="K2056" s="30"/>
      <c r="L2056" s="49" t="s">
        <v>2116</v>
      </c>
      <c r="M2056" s="50">
        <v>8.0</v>
      </c>
      <c r="N2056" s="51"/>
      <c r="O2056" s="20"/>
      <c r="P2056" s="20"/>
      <c r="Q2056" s="20"/>
      <c r="R2056" s="20"/>
      <c r="S2056" s="20"/>
    </row>
    <row r="2057">
      <c r="A2057" s="76" t="s">
        <v>8751</v>
      </c>
      <c r="B2057" s="97">
        <v>46202.0</v>
      </c>
      <c r="C2057" s="76" t="s">
        <v>8752</v>
      </c>
      <c r="D2057" s="99" t="s">
        <v>8753</v>
      </c>
      <c r="E2057" s="25" t="s">
        <v>17</v>
      </c>
      <c r="F2057" s="25" t="s">
        <v>983</v>
      </c>
      <c r="G2057" s="25" t="s">
        <v>29</v>
      </c>
      <c r="H2057" s="76" t="s">
        <v>4074</v>
      </c>
      <c r="I2057" s="76" t="s">
        <v>8754</v>
      </c>
      <c r="J2057" s="76">
        <v>15.0</v>
      </c>
      <c r="K2057" s="46"/>
      <c r="L2057" s="76" t="s">
        <v>8755</v>
      </c>
      <c r="M2057" s="44">
        <v>1.0</v>
      </c>
      <c r="N2057" s="45"/>
      <c r="O2057" s="20"/>
      <c r="P2057" s="20"/>
      <c r="Q2057" s="20"/>
      <c r="R2057" s="20"/>
      <c r="S2057" s="20"/>
    </row>
    <row r="2058">
      <c r="A2058" s="49" t="s">
        <v>8756</v>
      </c>
      <c r="B2058" s="110">
        <v>46202.0</v>
      </c>
      <c r="C2058" s="49" t="s">
        <v>8757</v>
      </c>
      <c r="D2058" s="102" t="s">
        <v>8758</v>
      </c>
      <c r="E2058" s="25" t="s">
        <v>17</v>
      </c>
      <c r="F2058" s="25" t="s">
        <v>983</v>
      </c>
      <c r="G2058" s="25" t="s">
        <v>42</v>
      </c>
      <c r="H2058" s="49" t="s">
        <v>7848</v>
      </c>
      <c r="I2058" s="101">
        <v>46218.0</v>
      </c>
      <c r="J2058" s="49">
        <v>4.0</v>
      </c>
      <c r="K2058" s="30">
        <f>250000*J2058</f>
        <v>1000000</v>
      </c>
      <c r="L2058" s="49" t="s">
        <v>7926</v>
      </c>
      <c r="M2058" s="50">
        <v>8.0</v>
      </c>
      <c r="N2058" s="51"/>
      <c r="O2058" s="20"/>
      <c r="P2058" s="20"/>
      <c r="Q2058" s="20"/>
      <c r="R2058" s="20"/>
      <c r="S2058" s="20"/>
    </row>
    <row r="2059">
      <c r="A2059" s="76" t="s">
        <v>8759</v>
      </c>
      <c r="B2059" s="97">
        <v>46202.0</v>
      </c>
      <c r="C2059" s="76" t="s">
        <v>8760</v>
      </c>
      <c r="D2059" s="99" t="s">
        <v>8761</v>
      </c>
      <c r="E2059" s="25" t="s">
        <v>128</v>
      </c>
      <c r="F2059" s="25" t="s">
        <v>129</v>
      </c>
      <c r="G2059" s="25" t="s">
        <v>19</v>
      </c>
      <c r="H2059" s="76" t="s">
        <v>747</v>
      </c>
      <c r="I2059" s="118">
        <v>46205.0</v>
      </c>
      <c r="J2059" s="76">
        <v>2.0</v>
      </c>
      <c r="K2059" s="19">
        <v>800000.0</v>
      </c>
      <c r="L2059" s="76" t="s">
        <v>6194</v>
      </c>
      <c r="M2059" s="44">
        <v>7.0</v>
      </c>
      <c r="N2059" s="45"/>
      <c r="O2059" s="20"/>
      <c r="P2059" s="20"/>
      <c r="Q2059" s="20"/>
      <c r="R2059" s="20"/>
      <c r="S2059" s="20"/>
    </row>
    <row r="2060">
      <c r="A2060" s="49" t="s">
        <v>8762</v>
      </c>
      <c r="B2060" s="110">
        <v>46203.0</v>
      </c>
      <c r="C2060" s="49" t="s">
        <v>8763</v>
      </c>
      <c r="D2060" s="102" t="s">
        <v>8764</v>
      </c>
      <c r="E2060" s="25" t="s">
        <v>17</v>
      </c>
      <c r="F2060" s="25" t="s">
        <v>129</v>
      </c>
      <c r="G2060" s="25" t="s">
        <v>19</v>
      </c>
      <c r="H2060" s="49" t="s">
        <v>4064</v>
      </c>
      <c r="I2060" s="101">
        <v>46204.0</v>
      </c>
      <c r="J2060" s="49">
        <v>7.0</v>
      </c>
      <c r="K2060" s="30">
        <f>SUM(1200000*7)</f>
        <v>8400000</v>
      </c>
      <c r="L2060" s="49" t="s">
        <v>6194</v>
      </c>
      <c r="M2060" s="50">
        <v>7.0</v>
      </c>
      <c r="N2060" s="51"/>
      <c r="O2060" s="20"/>
      <c r="P2060" s="20"/>
      <c r="Q2060" s="20"/>
      <c r="R2060" s="20"/>
      <c r="S2060" s="20"/>
    </row>
    <row r="2061">
      <c r="A2061" s="76" t="s">
        <v>8765</v>
      </c>
      <c r="B2061" s="97">
        <v>46203.0</v>
      </c>
      <c r="C2061" s="76" t="s">
        <v>8766</v>
      </c>
      <c r="D2061" s="99" t="s">
        <v>8767</v>
      </c>
      <c r="E2061" s="25" t="s">
        <v>128</v>
      </c>
      <c r="F2061" s="25" t="s">
        <v>18</v>
      </c>
      <c r="G2061" s="25" t="s">
        <v>19</v>
      </c>
      <c r="H2061" s="76" t="s">
        <v>8768</v>
      </c>
      <c r="I2061" s="118">
        <v>46204.0</v>
      </c>
      <c r="J2061" s="76">
        <v>7.0</v>
      </c>
      <c r="K2061" s="19">
        <v>2800000.0</v>
      </c>
      <c r="L2061" s="76" t="s">
        <v>4896</v>
      </c>
      <c r="M2061" s="44">
        <v>7.0</v>
      </c>
      <c r="N2061" s="45"/>
      <c r="O2061" s="20"/>
      <c r="P2061" s="20"/>
      <c r="Q2061" s="20"/>
      <c r="R2061" s="20"/>
      <c r="S2061" s="20"/>
    </row>
    <row r="2062">
      <c r="A2062" s="49" t="s">
        <v>8769</v>
      </c>
      <c r="B2062" s="110">
        <v>46203.0</v>
      </c>
      <c r="C2062" s="49" t="s">
        <v>8770</v>
      </c>
      <c r="D2062" s="102" t="s">
        <v>8771</v>
      </c>
      <c r="E2062" s="25" t="s">
        <v>122</v>
      </c>
      <c r="F2062" s="25" t="s">
        <v>983</v>
      </c>
      <c r="G2062" s="25" t="s">
        <v>29</v>
      </c>
      <c r="H2062" s="23"/>
      <c r="I2062" s="23"/>
      <c r="J2062" s="23"/>
      <c r="K2062" s="30"/>
      <c r="L2062" s="49" t="s">
        <v>2116</v>
      </c>
      <c r="M2062" s="50">
        <v>1.0</v>
      </c>
      <c r="N2062" s="51"/>
      <c r="O2062" s="20"/>
      <c r="P2062" s="20"/>
      <c r="Q2062" s="20"/>
      <c r="R2062" s="20"/>
      <c r="S2062" s="20"/>
    </row>
    <row r="2063">
      <c r="A2063" s="76" t="s">
        <v>8772</v>
      </c>
      <c r="B2063" s="97">
        <v>46203.0</v>
      </c>
      <c r="C2063" s="76" t="s">
        <v>8773</v>
      </c>
      <c r="D2063" s="99" t="s">
        <v>8774</v>
      </c>
      <c r="E2063" s="25" t="s">
        <v>122</v>
      </c>
      <c r="F2063" s="25" t="s">
        <v>983</v>
      </c>
      <c r="G2063" s="25" t="s">
        <v>42</v>
      </c>
      <c r="H2063" s="10"/>
      <c r="I2063" s="10"/>
      <c r="J2063" s="10"/>
      <c r="K2063" s="46"/>
      <c r="L2063" s="76" t="s">
        <v>8775</v>
      </c>
      <c r="M2063" s="44">
        <v>8.0</v>
      </c>
      <c r="N2063" s="45"/>
      <c r="O2063" s="20"/>
      <c r="P2063" s="20"/>
      <c r="Q2063" s="20"/>
      <c r="R2063" s="20"/>
      <c r="S2063" s="20"/>
    </row>
    <row r="2064">
      <c r="A2064" s="49" t="s">
        <v>8776</v>
      </c>
      <c r="B2064" s="110">
        <v>46203.0</v>
      </c>
      <c r="C2064" s="49" t="s">
        <v>8777</v>
      </c>
      <c r="D2064" s="102" t="s">
        <v>8778</v>
      </c>
      <c r="E2064" s="25" t="s">
        <v>17</v>
      </c>
      <c r="F2064" s="25" t="s">
        <v>983</v>
      </c>
      <c r="G2064" s="25" t="s">
        <v>42</v>
      </c>
      <c r="H2064" s="23"/>
      <c r="I2064" s="23"/>
      <c r="J2064" s="23"/>
      <c r="K2064" s="30"/>
      <c r="L2064" s="49" t="s">
        <v>840</v>
      </c>
      <c r="M2064" s="50">
        <v>8.0</v>
      </c>
      <c r="N2064" s="51"/>
      <c r="O2064" s="20"/>
      <c r="P2064" s="20"/>
      <c r="Q2064" s="20"/>
      <c r="R2064" s="20"/>
      <c r="S2064" s="20"/>
    </row>
    <row r="2065">
      <c r="A2065" s="76" t="s">
        <v>8779</v>
      </c>
      <c r="B2065" s="97">
        <v>46203.0</v>
      </c>
      <c r="C2065" s="76" t="s">
        <v>8780</v>
      </c>
      <c r="D2065" s="99" t="s">
        <v>8781</v>
      </c>
      <c r="E2065" s="25" t="s">
        <v>128</v>
      </c>
      <c r="F2065" s="25" t="s">
        <v>983</v>
      </c>
      <c r="G2065" s="25" t="s">
        <v>34</v>
      </c>
      <c r="H2065" s="76" t="s">
        <v>6882</v>
      </c>
      <c r="I2065" s="118">
        <v>46207.0</v>
      </c>
      <c r="J2065" s="76">
        <v>5.0</v>
      </c>
      <c r="K2065" s="19">
        <v>2675000.0</v>
      </c>
      <c r="L2065" s="10"/>
      <c r="M2065" s="44">
        <v>2.0</v>
      </c>
      <c r="N2065" s="45"/>
      <c r="O2065" s="20"/>
      <c r="P2065" s="20"/>
      <c r="Q2065" s="20"/>
      <c r="R2065" s="20"/>
      <c r="S2065" s="20"/>
    </row>
    <row r="2066">
      <c r="A2066" s="49" t="s">
        <v>8782</v>
      </c>
      <c r="B2066" s="110">
        <v>46202.0</v>
      </c>
      <c r="C2066" s="49" t="s">
        <v>8783</v>
      </c>
      <c r="D2066" s="102" t="s">
        <v>8784</v>
      </c>
      <c r="E2066" s="25" t="s">
        <v>128</v>
      </c>
      <c r="F2066" s="25" t="s">
        <v>18</v>
      </c>
      <c r="G2066" s="25" t="s">
        <v>42</v>
      </c>
      <c r="H2066" s="49" t="s">
        <v>8785</v>
      </c>
      <c r="I2066" s="156">
        <v>46208.0</v>
      </c>
      <c r="J2066" s="23"/>
      <c r="K2066" s="30"/>
      <c r="L2066" s="49" t="s">
        <v>3493</v>
      </c>
      <c r="M2066" s="50">
        <v>8.0</v>
      </c>
      <c r="N2066" s="51"/>
      <c r="O2066" s="20"/>
      <c r="P2066" s="20"/>
      <c r="Q2066" s="20"/>
      <c r="R2066" s="20"/>
      <c r="S2066" s="20"/>
    </row>
    <row r="2067">
      <c r="A2067" s="76" t="s">
        <v>8786</v>
      </c>
      <c r="B2067" s="97">
        <v>46203.0</v>
      </c>
      <c r="C2067" s="76" t="s">
        <v>1756</v>
      </c>
      <c r="D2067" s="99" t="s">
        <v>8787</v>
      </c>
      <c r="E2067" s="25" t="s">
        <v>17</v>
      </c>
      <c r="F2067" s="25" t="s">
        <v>983</v>
      </c>
      <c r="G2067" s="25" t="s">
        <v>43</v>
      </c>
      <c r="H2067" s="76" t="s">
        <v>2327</v>
      </c>
      <c r="I2067" s="118">
        <v>46382.0</v>
      </c>
      <c r="J2067" s="76">
        <v>4.0</v>
      </c>
      <c r="K2067" s="46">
        <f>290000*4</f>
        <v>1160000</v>
      </c>
      <c r="L2067" s="76" t="s">
        <v>8788</v>
      </c>
      <c r="M2067" s="44">
        <v>3.0</v>
      </c>
      <c r="N2067" s="45"/>
      <c r="O2067" s="20"/>
      <c r="P2067" s="20"/>
      <c r="Q2067" s="20"/>
      <c r="R2067" s="20"/>
      <c r="S2067" s="20"/>
    </row>
    <row r="2068">
      <c r="A2068" s="49" t="s">
        <v>8789</v>
      </c>
      <c r="B2068" s="110">
        <v>46202.0</v>
      </c>
      <c r="C2068" s="49" t="s">
        <v>630</v>
      </c>
      <c r="D2068" s="102" t="s">
        <v>8790</v>
      </c>
      <c r="E2068" s="25" t="s">
        <v>128</v>
      </c>
      <c r="F2068" s="25" t="s">
        <v>18</v>
      </c>
      <c r="G2068" s="25" t="s">
        <v>29</v>
      </c>
      <c r="H2068" s="23"/>
      <c r="I2068" s="23"/>
      <c r="J2068" s="23"/>
      <c r="K2068" s="30"/>
      <c r="L2068" s="23"/>
      <c r="M2068" s="50">
        <v>1.0</v>
      </c>
      <c r="N2068" s="51"/>
      <c r="O2068" s="20"/>
      <c r="P2068" s="20"/>
      <c r="Q2068" s="20"/>
      <c r="R2068" s="20"/>
      <c r="S2068" s="20"/>
    </row>
    <row r="2069">
      <c r="A2069" s="76" t="s">
        <v>8791</v>
      </c>
      <c r="B2069" s="97">
        <v>46203.0</v>
      </c>
      <c r="C2069" s="76" t="s">
        <v>8792</v>
      </c>
      <c r="D2069" s="99" t="s">
        <v>8793</v>
      </c>
      <c r="E2069" s="25" t="s">
        <v>17</v>
      </c>
      <c r="F2069" s="25" t="s">
        <v>983</v>
      </c>
      <c r="G2069" s="25" t="s">
        <v>42</v>
      </c>
      <c r="H2069" s="76" t="s">
        <v>2327</v>
      </c>
      <c r="I2069" s="118">
        <v>46204.0</v>
      </c>
      <c r="J2069" s="76">
        <v>1.0</v>
      </c>
      <c r="K2069" s="19">
        <v>250000.0</v>
      </c>
      <c r="L2069" s="76" t="s">
        <v>8794</v>
      </c>
      <c r="M2069" s="44">
        <v>8.0</v>
      </c>
      <c r="N2069" s="45"/>
      <c r="O2069" s="20"/>
      <c r="P2069" s="20"/>
      <c r="Q2069" s="20"/>
      <c r="R2069" s="20"/>
      <c r="S2069" s="20"/>
    </row>
    <row r="2070">
      <c r="A2070" s="49" t="s">
        <v>8795</v>
      </c>
      <c r="B2070" s="110">
        <v>46202.0</v>
      </c>
      <c r="C2070" s="49" t="s">
        <v>8796</v>
      </c>
      <c r="D2070" s="102" t="s">
        <v>8797</v>
      </c>
      <c r="E2070" s="25" t="s">
        <v>17</v>
      </c>
      <c r="F2070" s="25" t="s">
        <v>129</v>
      </c>
      <c r="G2070" s="25" t="s">
        <v>29</v>
      </c>
      <c r="H2070" s="49" t="s">
        <v>5030</v>
      </c>
      <c r="I2070" s="49" t="s">
        <v>8798</v>
      </c>
      <c r="J2070" s="49">
        <v>1.0</v>
      </c>
      <c r="K2070" s="30"/>
      <c r="L2070" s="49" t="s">
        <v>8799</v>
      </c>
      <c r="M2070" s="50">
        <v>1.0</v>
      </c>
      <c r="N2070" s="51"/>
      <c r="O2070" s="20"/>
      <c r="P2070" s="20"/>
      <c r="Q2070" s="20"/>
      <c r="R2070" s="20"/>
      <c r="S2070" s="20"/>
    </row>
    <row r="2071">
      <c r="A2071" s="76" t="s">
        <v>8800</v>
      </c>
      <c r="B2071" s="97">
        <v>46202.0</v>
      </c>
      <c r="C2071" s="76" t="s">
        <v>8801</v>
      </c>
      <c r="D2071" s="99" t="s">
        <v>8731</v>
      </c>
      <c r="E2071" s="25" t="s">
        <v>128</v>
      </c>
      <c r="F2071" s="25" t="s">
        <v>18</v>
      </c>
      <c r="G2071" s="25" t="s">
        <v>29</v>
      </c>
      <c r="H2071" s="10"/>
      <c r="I2071" s="10"/>
      <c r="J2071" s="10"/>
      <c r="K2071" s="46"/>
      <c r="L2071" s="10"/>
      <c r="M2071" s="44">
        <v>1.0</v>
      </c>
      <c r="N2071" s="45"/>
      <c r="O2071" s="20"/>
      <c r="P2071" s="20"/>
      <c r="Q2071" s="20"/>
      <c r="R2071" s="20"/>
      <c r="S2071" s="20"/>
    </row>
    <row r="2072">
      <c r="A2072" s="49" t="s">
        <v>8802</v>
      </c>
      <c r="B2072" s="135">
        <v>46202.0</v>
      </c>
      <c r="C2072" s="49" t="s">
        <v>8803</v>
      </c>
      <c r="D2072" s="102" t="s">
        <v>8804</v>
      </c>
      <c r="E2072" s="25" t="s">
        <v>128</v>
      </c>
      <c r="F2072" s="25" t="s">
        <v>18</v>
      </c>
      <c r="G2072" s="25" t="s">
        <v>29</v>
      </c>
      <c r="H2072" s="49" t="s">
        <v>86</v>
      </c>
      <c r="I2072" s="23"/>
      <c r="J2072" s="23"/>
      <c r="K2072" s="30"/>
      <c r="L2072" s="23"/>
      <c r="M2072" s="50">
        <v>1.0</v>
      </c>
      <c r="N2072" s="51"/>
      <c r="O2072" s="20"/>
      <c r="P2072" s="20"/>
      <c r="Q2072" s="20"/>
      <c r="R2072" s="20"/>
      <c r="S2072" s="20"/>
    </row>
    <row r="2073">
      <c r="A2073" s="76" t="s">
        <v>8805</v>
      </c>
      <c r="B2073" s="97">
        <v>46204.0</v>
      </c>
      <c r="C2073" s="76" t="s">
        <v>8806</v>
      </c>
      <c r="D2073" s="99" t="s">
        <v>8807</v>
      </c>
      <c r="E2073" s="25" t="s">
        <v>17</v>
      </c>
      <c r="F2073" s="25" t="s">
        <v>983</v>
      </c>
      <c r="G2073" s="25" t="s">
        <v>42</v>
      </c>
      <c r="H2073" s="76" t="s">
        <v>8808</v>
      </c>
      <c r="I2073" s="10"/>
      <c r="J2073" s="10"/>
      <c r="K2073" s="46"/>
      <c r="L2073" s="76" t="s">
        <v>840</v>
      </c>
      <c r="M2073" s="44">
        <v>8.0</v>
      </c>
      <c r="N2073" s="45"/>
      <c r="O2073" s="20"/>
      <c r="P2073" s="20"/>
      <c r="Q2073" s="20"/>
      <c r="R2073" s="20"/>
      <c r="S2073" s="20"/>
    </row>
    <row r="2074">
      <c r="A2074" s="49" t="s">
        <v>8809</v>
      </c>
      <c r="B2074" s="110">
        <v>46204.0</v>
      </c>
      <c r="C2074" s="49" t="s">
        <v>8810</v>
      </c>
      <c r="D2074" s="102" t="s">
        <v>8811</v>
      </c>
      <c r="E2074" s="25" t="s">
        <v>17</v>
      </c>
      <c r="F2074" s="25" t="s">
        <v>983</v>
      </c>
      <c r="G2074" s="25" t="s">
        <v>42</v>
      </c>
      <c r="H2074" s="23"/>
      <c r="I2074" s="23"/>
      <c r="J2074" s="23"/>
      <c r="K2074" s="30"/>
      <c r="L2074" s="49" t="s">
        <v>840</v>
      </c>
      <c r="M2074" s="50">
        <v>8.0</v>
      </c>
      <c r="N2074" s="51"/>
      <c r="O2074" s="20"/>
      <c r="P2074" s="20"/>
      <c r="Q2074" s="20"/>
      <c r="R2074" s="20"/>
      <c r="S2074" s="20"/>
    </row>
    <row r="2075">
      <c r="A2075" s="76" t="s">
        <v>8812</v>
      </c>
      <c r="B2075" s="97">
        <v>46204.0</v>
      </c>
      <c r="C2075" s="76" t="s">
        <v>8813</v>
      </c>
      <c r="D2075" s="99" t="s">
        <v>8814</v>
      </c>
      <c r="E2075" s="25" t="s">
        <v>17</v>
      </c>
      <c r="F2075" s="25" t="s">
        <v>983</v>
      </c>
      <c r="G2075" s="25" t="s">
        <v>42</v>
      </c>
      <c r="H2075" s="76" t="s">
        <v>6882</v>
      </c>
      <c r="I2075" s="118">
        <v>46207.0</v>
      </c>
      <c r="J2075" s="76">
        <v>5.0</v>
      </c>
      <c r="K2075" s="46"/>
      <c r="L2075" s="76" t="s">
        <v>8815</v>
      </c>
      <c r="M2075" s="44">
        <v>8.0</v>
      </c>
      <c r="N2075" s="45"/>
      <c r="O2075" s="20"/>
      <c r="P2075" s="20"/>
      <c r="Q2075" s="20"/>
      <c r="R2075" s="20"/>
      <c r="S2075" s="20"/>
    </row>
    <row r="2076">
      <c r="A2076" s="49" t="s">
        <v>8816</v>
      </c>
      <c r="B2076" s="110">
        <v>46204.0</v>
      </c>
      <c r="C2076" s="49" t="s">
        <v>8817</v>
      </c>
      <c r="D2076" s="102" t="s">
        <v>8818</v>
      </c>
      <c r="E2076" s="25" t="s">
        <v>128</v>
      </c>
      <c r="F2076" s="25" t="s">
        <v>983</v>
      </c>
      <c r="G2076" s="25" t="s">
        <v>42</v>
      </c>
      <c r="H2076" s="49" t="s">
        <v>8819</v>
      </c>
      <c r="I2076" s="49" t="s">
        <v>8820</v>
      </c>
      <c r="J2076" s="49">
        <v>1.0</v>
      </c>
      <c r="K2076" s="30"/>
      <c r="L2076" s="49" t="s">
        <v>840</v>
      </c>
      <c r="M2076" s="50">
        <v>8.0</v>
      </c>
      <c r="N2076" s="51"/>
      <c r="O2076" s="20"/>
      <c r="P2076" s="20"/>
      <c r="Q2076" s="20"/>
      <c r="R2076" s="20"/>
      <c r="S2076" s="20"/>
    </row>
    <row r="2077">
      <c r="A2077" s="76" t="s">
        <v>8821</v>
      </c>
      <c r="B2077" s="97">
        <v>46203.0</v>
      </c>
      <c r="C2077" s="76" t="s">
        <v>8822</v>
      </c>
      <c r="D2077" s="99" t="s">
        <v>8823</v>
      </c>
      <c r="E2077" s="25" t="s">
        <v>128</v>
      </c>
      <c r="F2077" s="25" t="s">
        <v>18</v>
      </c>
      <c r="G2077" s="25" t="s">
        <v>29</v>
      </c>
      <c r="H2077" s="76" t="s">
        <v>8824</v>
      </c>
      <c r="I2077" s="10"/>
      <c r="J2077" s="10"/>
      <c r="K2077" s="46"/>
      <c r="L2077" s="10"/>
      <c r="M2077" s="44">
        <v>1.0</v>
      </c>
      <c r="N2077" s="45"/>
      <c r="O2077" s="20"/>
      <c r="P2077" s="20"/>
      <c r="Q2077" s="20"/>
      <c r="R2077" s="20"/>
      <c r="S2077" s="20"/>
    </row>
    <row r="2078">
      <c r="A2078" s="49" t="s">
        <v>8825</v>
      </c>
      <c r="B2078" s="110">
        <v>46203.0</v>
      </c>
      <c r="C2078" s="49" t="s">
        <v>8826</v>
      </c>
      <c r="D2078" s="102" t="s">
        <v>8827</v>
      </c>
      <c r="E2078" s="25" t="s">
        <v>128</v>
      </c>
      <c r="F2078" s="25" t="s">
        <v>18</v>
      </c>
      <c r="G2078" s="25" t="s">
        <v>29</v>
      </c>
      <c r="H2078" s="49" t="s">
        <v>172</v>
      </c>
      <c r="I2078" s="23"/>
      <c r="J2078" s="23"/>
      <c r="K2078" s="30"/>
      <c r="L2078" s="23"/>
      <c r="M2078" s="50">
        <v>1.0</v>
      </c>
      <c r="N2078" s="51"/>
      <c r="O2078" s="20"/>
      <c r="P2078" s="20"/>
      <c r="Q2078" s="20"/>
      <c r="R2078" s="20"/>
      <c r="S2078" s="20"/>
    </row>
    <row r="2079">
      <c r="A2079" s="76" t="s">
        <v>8828</v>
      </c>
      <c r="B2079" s="97">
        <v>46203.0</v>
      </c>
      <c r="C2079" s="76" t="s">
        <v>8829</v>
      </c>
      <c r="D2079" s="99" t="s">
        <v>8830</v>
      </c>
      <c r="E2079" s="25" t="s">
        <v>128</v>
      </c>
      <c r="F2079" s="25" t="s">
        <v>18</v>
      </c>
      <c r="G2079" s="25" t="s">
        <v>29</v>
      </c>
      <c r="H2079" s="76" t="s">
        <v>3210</v>
      </c>
      <c r="I2079" s="10"/>
      <c r="J2079" s="10"/>
      <c r="K2079" s="46"/>
      <c r="L2079" s="10"/>
      <c r="M2079" s="44">
        <v>1.0</v>
      </c>
      <c r="N2079" s="45"/>
      <c r="O2079" s="20"/>
      <c r="P2079" s="20"/>
      <c r="Q2079" s="20"/>
      <c r="R2079" s="20"/>
      <c r="S2079" s="20"/>
    </row>
    <row r="2080">
      <c r="A2080" s="49" t="s">
        <v>8831</v>
      </c>
      <c r="B2080" s="110">
        <v>46203.0</v>
      </c>
      <c r="C2080" s="49" t="s">
        <v>8832</v>
      </c>
      <c r="D2080" s="102" t="s">
        <v>8833</v>
      </c>
      <c r="E2080" s="25" t="s">
        <v>128</v>
      </c>
      <c r="F2080" s="25" t="s">
        <v>18</v>
      </c>
      <c r="G2080" s="25" t="s">
        <v>29</v>
      </c>
      <c r="H2080" s="49" t="s">
        <v>5658</v>
      </c>
      <c r="I2080" s="23"/>
      <c r="J2080" s="23"/>
      <c r="K2080" s="30"/>
      <c r="L2080" s="23"/>
      <c r="M2080" s="50">
        <v>1.0</v>
      </c>
      <c r="N2080" s="51"/>
      <c r="O2080" s="20"/>
      <c r="P2080" s="20"/>
      <c r="Q2080" s="20"/>
      <c r="R2080" s="20"/>
      <c r="S2080" s="20"/>
    </row>
    <row r="2081">
      <c r="A2081" s="76" t="s">
        <v>8834</v>
      </c>
      <c r="B2081" s="97">
        <v>46203.0</v>
      </c>
      <c r="C2081" s="76" t="s">
        <v>8763</v>
      </c>
      <c r="D2081" s="99" t="s">
        <v>8764</v>
      </c>
      <c r="E2081" s="25" t="s">
        <v>128</v>
      </c>
      <c r="F2081" s="25" t="s">
        <v>18</v>
      </c>
      <c r="G2081" s="25" t="s">
        <v>29</v>
      </c>
      <c r="H2081" s="10"/>
      <c r="I2081" s="10"/>
      <c r="J2081" s="10"/>
      <c r="K2081" s="46"/>
      <c r="L2081" s="10"/>
      <c r="M2081" s="44">
        <v>1.0</v>
      </c>
      <c r="N2081" s="45"/>
      <c r="O2081" s="20"/>
      <c r="P2081" s="20"/>
      <c r="Q2081" s="20"/>
      <c r="R2081" s="20"/>
      <c r="S2081" s="20"/>
    </row>
    <row r="2082">
      <c r="A2082" s="49" t="s">
        <v>8835</v>
      </c>
      <c r="B2082" s="110">
        <v>46203.0</v>
      </c>
      <c r="C2082" s="49" t="s">
        <v>8836</v>
      </c>
      <c r="D2082" s="24">
        <f>31616653777</f>
        <v>31616653777</v>
      </c>
      <c r="E2082" s="25" t="s">
        <v>128</v>
      </c>
      <c r="F2082" s="25" t="s">
        <v>18</v>
      </c>
      <c r="G2082" s="25" t="s">
        <v>29</v>
      </c>
      <c r="H2082" s="49" t="s">
        <v>8158</v>
      </c>
      <c r="I2082" s="23"/>
      <c r="J2082" s="23"/>
      <c r="K2082" s="30"/>
      <c r="L2082" s="23"/>
      <c r="M2082" s="50">
        <v>1.0</v>
      </c>
      <c r="N2082" s="51"/>
      <c r="O2082" s="20"/>
      <c r="P2082" s="20"/>
      <c r="Q2082" s="20"/>
      <c r="R2082" s="20"/>
      <c r="S2082" s="20"/>
    </row>
    <row r="2083">
      <c r="A2083" s="76" t="s">
        <v>8837</v>
      </c>
      <c r="B2083" s="97">
        <v>46203.0</v>
      </c>
      <c r="C2083" s="76" t="s">
        <v>8838</v>
      </c>
      <c r="D2083" s="99" t="s">
        <v>8839</v>
      </c>
      <c r="E2083" s="25" t="s">
        <v>122</v>
      </c>
      <c r="F2083" s="25" t="s">
        <v>983</v>
      </c>
      <c r="G2083" s="25" t="s">
        <v>34</v>
      </c>
      <c r="H2083" s="76" t="s">
        <v>2462</v>
      </c>
      <c r="I2083" s="10"/>
      <c r="J2083" s="76">
        <v>15.0</v>
      </c>
      <c r="K2083" s="46">
        <f>1800000*15</f>
        <v>27000000</v>
      </c>
      <c r="L2083" s="76" t="s">
        <v>8840</v>
      </c>
      <c r="M2083" s="44">
        <v>2.0</v>
      </c>
      <c r="N2083" s="45"/>
      <c r="O2083" s="20"/>
      <c r="P2083" s="20"/>
      <c r="Q2083" s="20"/>
      <c r="R2083" s="20"/>
      <c r="S2083" s="20"/>
    </row>
    <row r="2084">
      <c r="A2084" s="49" t="s">
        <v>8841</v>
      </c>
      <c r="B2084" s="110">
        <v>46203.0</v>
      </c>
      <c r="C2084" s="49" t="s">
        <v>8842</v>
      </c>
      <c r="D2084" s="102" t="s">
        <v>8843</v>
      </c>
      <c r="E2084" s="25" t="s">
        <v>128</v>
      </c>
      <c r="F2084" s="25" t="s">
        <v>18</v>
      </c>
      <c r="G2084" s="25" t="s">
        <v>29</v>
      </c>
      <c r="H2084" s="49" t="s">
        <v>172</v>
      </c>
      <c r="I2084" s="23"/>
      <c r="J2084" s="49">
        <v>2.0</v>
      </c>
      <c r="K2084" s="30"/>
      <c r="L2084" s="23"/>
      <c r="M2084" s="50">
        <v>1.0</v>
      </c>
      <c r="N2084" s="51"/>
      <c r="O2084" s="20"/>
      <c r="P2084" s="20"/>
      <c r="Q2084" s="20"/>
      <c r="R2084" s="20"/>
      <c r="S2084" s="20"/>
    </row>
    <row r="2085">
      <c r="A2085" s="76" t="s">
        <v>8844</v>
      </c>
      <c r="B2085" s="97">
        <v>46203.0</v>
      </c>
      <c r="C2085" s="76" t="s">
        <v>8845</v>
      </c>
      <c r="D2085" s="99" t="s">
        <v>8846</v>
      </c>
      <c r="E2085" s="25" t="s">
        <v>128</v>
      </c>
      <c r="F2085" s="25" t="s">
        <v>18</v>
      </c>
      <c r="G2085" s="25" t="s">
        <v>34</v>
      </c>
      <c r="H2085" s="76" t="s">
        <v>172</v>
      </c>
      <c r="I2085" s="10"/>
      <c r="J2085" s="76">
        <v>5.0</v>
      </c>
      <c r="K2085" s="46"/>
      <c r="L2085" s="10"/>
      <c r="M2085" s="44">
        <v>2.0</v>
      </c>
      <c r="N2085" s="45"/>
      <c r="O2085" s="20"/>
      <c r="P2085" s="20"/>
      <c r="Q2085" s="20"/>
      <c r="R2085" s="20"/>
      <c r="S2085" s="20"/>
    </row>
    <row r="2086">
      <c r="A2086" s="49" t="s">
        <v>8847</v>
      </c>
      <c r="B2086" s="110">
        <v>46204.0</v>
      </c>
      <c r="C2086" s="49" t="s">
        <v>8848</v>
      </c>
      <c r="D2086" s="102" t="s">
        <v>8849</v>
      </c>
      <c r="E2086" s="25" t="s">
        <v>17</v>
      </c>
      <c r="F2086" s="25" t="s">
        <v>983</v>
      </c>
      <c r="G2086" s="25" t="s">
        <v>19</v>
      </c>
      <c r="H2086" s="49" t="s">
        <v>8850</v>
      </c>
      <c r="I2086" s="49" t="s">
        <v>8851</v>
      </c>
      <c r="J2086" s="49">
        <v>4.0</v>
      </c>
      <c r="K2086" s="30"/>
      <c r="L2086" s="49" t="s">
        <v>4896</v>
      </c>
      <c r="M2086" s="50">
        <v>7.0</v>
      </c>
      <c r="N2086" s="51"/>
      <c r="O2086" s="20"/>
      <c r="P2086" s="20"/>
      <c r="Q2086" s="20"/>
      <c r="R2086" s="20"/>
      <c r="S2086" s="20"/>
    </row>
    <row r="2087">
      <c r="A2087" s="76" t="s">
        <v>8852</v>
      </c>
      <c r="B2087" s="97">
        <v>46202.0</v>
      </c>
      <c r="C2087" s="76" t="s">
        <v>8853</v>
      </c>
      <c r="D2087" s="99" t="s">
        <v>8854</v>
      </c>
      <c r="E2087" s="25" t="s">
        <v>122</v>
      </c>
      <c r="F2087" s="25" t="s">
        <v>18</v>
      </c>
      <c r="G2087" s="25" t="s">
        <v>42</v>
      </c>
      <c r="H2087" s="76" t="s">
        <v>2376</v>
      </c>
      <c r="I2087" s="10"/>
      <c r="J2087" s="10"/>
      <c r="K2087" s="46"/>
      <c r="L2087" s="10"/>
      <c r="M2087" s="44">
        <v>8.0</v>
      </c>
      <c r="N2087" s="45"/>
      <c r="O2087" s="20"/>
      <c r="P2087" s="20"/>
      <c r="Q2087" s="20"/>
      <c r="R2087" s="20"/>
      <c r="S2087" s="20"/>
    </row>
    <row r="2088">
      <c r="A2088" s="49" t="s">
        <v>8855</v>
      </c>
      <c r="B2088" s="110">
        <v>46204.0</v>
      </c>
      <c r="C2088" s="49" t="s">
        <v>8856</v>
      </c>
      <c r="D2088" s="102" t="s">
        <v>8857</v>
      </c>
      <c r="E2088" s="25" t="s">
        <v>17</v>
      </c>
      <c r="F2088" s="25" t="s">
        <v>983</v>
      </c>
      <c r="G2088" s="25" t="s">
        <v>19</v>
      </c>
      <c r="H2088" s="49" t="s">
        <v>123</v>
      </c>
      <c r="I2088" s="23"/>
      <c r="J2088" s="23"/>
      <c r="K2088" s="30"/>
      <c r="L2088" s="49" t="s">
        <v>4896</v>
      </c>
      <c r="M2088" s="50">
        <v>7.0</v>
      </c>
      <c r="N2088" s="51"/>
      <c r="O2088" s="20"/>
      <c r="P2088" s="20"/>
      <c r="Q2088" s="20"/>
      <c r="R2088" s="20"/>
      <c r="S2088" s="20"/>
    </row>
    <row r="2089">
      <c r="A2089" s="76" t="s">
        <v>8858</v>
      </c>
      <c r="B2089" s="97">
        <v>46202.0</v>
      </c>
      <c r="C2089" s="76" t="s">
        <v>8859</v>
      </c>
      <c r="D2089" s="99" t="s">
        <v>8860</v>
      </c>
      <c r="E2089" s="25" t="s">
        <v>122</v>
      </c>
      <c r="F2089" s="25" t="s">
        <v>18</v>
      </c>
      <c r="G2089" s="25" t="s">
        <v>29</v>
      </c>
      <c r="H2089" s="76" t="s">
        <v>8861</v>
      </c>
      <c r="I2089" s="10"/>
      <c r="J2089" s="10"/>
      <c r="K2089" s="46"/>
      <c r="L2089" s="10"/>
      <c r="M2089" s="44">
        <v>1.0</v>
      </c>
      <c r="N2089" s="45"/>
      <c r="O2089" s="20"/>
      <c r="P2089" s="20"/>
      <c r="Q2089" s="20"/>
      <c r="R2089" s="20"/>
      <c r="S2089" s="20"/>
    </row>
    <row r="2090">
      <c r="A2090" s="49" t="s">
        <v>8862</v>
      </c>
      <c r="B2090" s="110">
        <v>46203.0</v>
      </c>
      <c r="C2090" s="49" t="s">
        <v>2582</v>
      </c>
      <c r="D2090" s="102" t="s">
        <v>8863</v>
      </c>
      <c r="E2090" s="25" t="s">
        <v>128</v>
      </c>
      <c r="F2090" s="25" t="s">
        <v>18</v>
      </c>
      <c r="G2090" s="25" t="s">
        <v>29</v>
      </c>
      <c r="H2090" s="49" t="s">
        <v>8864</v>
      </c>
      <c r="I2090" s="23"/>
      <c r="J2090" s="23"/>
      <c r="K2090" s="30"/>
      <c r="L2090" s="23"/>
      <c r="M2090" s="50">
        <v>1.0</v>
      </c>
      <c r="N2090" s="51"/>
      <c r="O2090" s="20"/>
      <c r="P2090" s="20"/>
      <c r="Q2090" s="20"/>
      <c r="R2090" s="20"/>
      <c r="S2090" s="20"/>
    </row>
    <row r="2091">
      <c r="A2091" s="76" t="s">
        <v>8865</v>
      </c>
      <c r="B2091" s="97">
        <v>46204.0</v>
      </c>
      <c r="C2091" s="76" t="s">
        <v>8866</v>
      </c>
      <c r="D2091" s="99" t="s">
        <v>8867</v>
      </c>
      <c r="E2091" s="25" t="s">
        <v>128</v>
      </c>
      <c r="F2091" s="25" t="s">
        <v>18</v>
      </c>
      <c r="G2091" s="25" t="s">
        <v>29</v>
      </c>
      <c r="H2091" s="76" t="s">
        <v>3395</v>
      </c>
      <c r="I2091" s="10"/>
      <c r="J2091" s="10"/>
      <c r="K2091" s="46"/>
      <c r="L2091" s="10"/>
      <c r="M2091" s="44">
        <v>1.0</v>
      </c>
      <c r="N2091" s="45"/>
      <c r="O2091" s="20"/>
      <c r="P2091" s="20"/>
      <c r="Q2091" s="20"/>
      <c r="R2091" s="20"/>
      <c r="S2091" s="20"/>
    </row>
    <row r="2092">
      <c r="A2092" s="49" t="s">
        <v>8868</v>
      </c>
      <c r="B2092" s="110">
        <v>46204.0</v>
      </c>
      <c r="C2092" s="49" t="s">
        <v>8869</v>
      </c>
      <c r="D2092" s="102" t="s">
        <v>8870</v>
      </c>
      <c r="E2092" s="25" t="s">
        <v>17</v>
      </c>
      <c r="F2092" s="25" t="s">
        <v>18</v>
      </c>
      <c r="G2092" s="25" t="s">
        <v>29</v>
      </c>
      <c r="H2092" s="49" t="s">
        <v>172</v>
      </c>
      <c r="I2092" s="23"/>
      <c r="J2092" s="23"/>
      <c r="K2092" s="30"/>
      <c r="L2092" s="23"/>
      <c r="M2092" s="50">
        <v>1.0</v>
      </c>
      <c r="N2092" s="51"/>
      <c r="O2092" s="20"/>
      <c r="P2092" s="20"/>
      <c r="Q2092" s="20"/>
      <c r="R2092" s="20"/>
      <c r="S2092" s="20"/>
    </row>
    <row r="2093">
      <c r="A2093" s="76" t="s">
        <v>8871</v>
      </c>
      <c r="B2093" s="97">
        <v>46204.0</v>
      </c>
      <c r="C2093" s="76" t="s">
        <v>8872</v>
      </c>
      <c r="D2093" s="99" t="s">
        <v>8873</v>
      </c>
      <c r="E2093" s="25" t="s">
        <v>17</v>
      </c>
      <c r="F2093" s="25" t="s">
        <v>18</v>
      </c>
      <c r="G2093" s="25" t="s">
        <v>29</v>
      </c>
      <c r="H2093" s="10"/>
      <c r="I2093" s="10"/>
      <c r="J2093" s="10"/>
      <c r="K2093" s="46"/>
      <c r="L2093" s="10"/>
      <c r="M2093" s="44">
        <v>1.0</v>
      </c>
      <c r="N2093" s="45"/>
      <c r="O2093" s="20"/>
      <c r="P2093" s="20"/>
      <c r="Q2093" s="20"/>
      <c r="R2093" s="20"/>
      <c r="S2093" s="20"/>
    </row>
    <row r="2094">
      <c r="A2094" s="49" t="s">
        <v>8874</v>
      </c>
      <c r="B2094" s="110">
        <v>46204.0</v>
      </c>
      <c r="C2094" s="49" t="s">
        <v>8813</v>
      </c>
      <c r="D2094" s="102" t="s">
        <v>8814</v>
      </c>
      <c r="E2094" s="25" t="s">
        <v>17</v>
      </c>
      <c r="F2094" s="25" t="s">
        <v>18</v>
      </c>
      <c r="G2094" s="25" t="s">
        <v>29</v>
      </c>
      <c r="H2094" s="49" t="s">
        <v>8875</v>
      </c>
      <c r="I2094" s="23"/>
      <c r="J2094" s="23"/>
      <c r="K2094" s="30"/>
      <c r="L2094" s="23"/>
      <c r="M2094" s="50">
        <v>1.0</v>
      </c>
      <c r="N2094" s="51"/>
      <c r="O2094" s="20"/>
      <c r="P2094" s="20"/>
      <c r="Q2094" s="20"/>
      <c r="R2094" s="20"/>
      <c r="S2094" s="20"/>
    </row>
    <row r="2095">
      <c r="A2095" s="76" t="s">
        <v>8876</v>
      </c>
      <c r="B2095" s="97">
        <v>46204.0</v>
      </c>
      <c r="C2095" s="76" t="s">
        <v>8877</v>
      </c>
      <c r="D2095" s="99" t="s">
        <v>8878</v>
      </c>
      <c r="E2095" s="25" t="s">
        <v>128</v>
      </c>
      <c r="F2095" s="25" t="s">
        <v>18</v>
      </c>
      <c r="G2095" s="25" t="s">
        <v>29</v>
      </c>
      <c r="H2095" s="76" t="s">
        <v>8879</v>
      </c>
      <c r="I2095" s="10"/>
      <c r="J2095" s="10"/>
      <c r="K2095" s="46"/>
      <c r="L2095" s="10"/>
      <c r="M2095" s="44">
        <v>1.0</v>
      </c>
      <c r="N2095" s="45"/>
      <c r="O2095" s="20"/>
      <c r="P2095" s="20"/>
      <c r="Q2095" s="20"/>
      <c r="R2095" s="20"/>
      <c r="S2095" s="20"/>
    </row>
    <row r="2096">
      <c r="A2096" s="49" t="s">
        <v>8880</v>
      </c>
      <c r="B2096" s="110">
        <v>46202.0</v>
      </c>
      <c r="C2096" s="49" t="s">
        <v>8881</v>
      </c>
      <c r="D2096" s="102" t="s">
        <v>8882</v>
      </c>
      <c r="E2096" s="25" t="s">
        <v>128</v>
      </c>
      <c r="F2096" s="25" t="s">
        <v>18</v>
      </c>
      <c r="G2096" s="25" t="s">
        <v>29</v>
      </c>
      <c r="H2096" s="49" t="s">
        <v>2462</v>
      </c>
      <c r="I2096" s="49" t="s">
        <v>2658</v>
      </c>
      <c r="J2096" s="49">
        <v>2.0</v>
      </c>
      <c r="K2096" s="30"/>
      <c r="L2096" s="23"/>
      <c r="M2096" s="50">
        <v>1.0</v>
      </c>
      <c r="N2096" s="51"/>
      <c r="O2096" s="20"/>
      <c r="P2096" s="20"/>
      <c r="Q2096" s="20"/>
      <c r="R2096" s="20"/>
      <c r="S2096" s="20"/>
    </row>
    <row r="2097">
      <c r="A2097" s="76" t="s">
        <v>8883</v>
      </c>
      <c r="B2097" s="97">
        <v>46204.0</v>
      </c>
      <c r="C2097" s="76" t="s">
        <v>8884</v>
      </c>
      <c r="D2097" s="99" t="s">
        <v>8885</v>
      </c>
      <c r="E2097" s="25" t="s">
        <v>128</v>
      </c>
      <c r="F2097" s="25" t="s">
        <v>18</v>
      </c>
      <c r="G2097" s="25" t="s">
        <v>29</v>
      </c>
      <c r="H2097" s="76" t="s">
        <v>2462</v>
      </c>
      <c r="I2097" s="157">
        <v>46206.0</v>
      </c>
      <c r="J2097" s="76">
        <v>3.0</v>
      </c>
      <c r="K2097" s="46"/>
      <c r="L2097" s="10"/>
      <c r="M2097" s="44">
        <v>1.0</v>
      </c>
      <c r="N2097" s="45"/>
      <c r="O2097" s="20"/>
      <c r="P2097" s="20"/>
      <c r="Q2097" s="20"/>
      <c r="R2097" s="20"/>
      <c r="S2097" s="20"/>
    </row>
    <row r="2098">
      <c r="A2098" s="49" t="s">
        <v>8886</v>
      </c>
      <c r="B2098" s="110">
        <v>46204.0</v>
      </c>
      <c r="C2098" s="49" t="s">
        <v>8887</v>
      </c>
      <c r="D2098" s="102" t="s">
        <v>8888</v>
      </c>
      <c r="E2098" s="25" t="s">
        <v>17</v>
      </c>
      <c r="F2098" s="25" t="s">
        <v>18</v>
      </c>
      <c r="G2098" s="25" t="s">
        <v>42</v>
      </c>
      <c r="H2098" s="49" t="s">
        <v>8875</v>
      </c>
      <c r="I2098" s="156">
        <v>46207.0</v>
      </c>
      <c r="J2098" s="49">
        <v>4.0</v>
      </c>
      <c r="K2098" s="30"/>
      <c r="L2098" s="23"/>
      <c r="M2098" s="50">
        <v>8.0</v>
      </c>
      <c r="N2098" s="51"/>
      <c r="O2098" s="20"/>
      <c r="P2098" s="20"/>
      <c r="Q2098" s="20"/>
      <c r="R2098" s="20"/>
      <c r="S2098" s="20"/>
    </row>
    <row r="2099">
      <c r="A2099" s="76" t="s">
        <v>8889</v>
      </c>
      <c r="B2099" s="97">
        <v>46204.0</v>
      </c>
      <c r="C2099" s="76" t="s">
        <v>8890</v>
      </c>
      <c r="D2099" s="99" t="s">
        <v>8891</v>
      </c>
      <c r="E2099" s="25" t="s">
        <v>17</v>
      </c>
      <c r="F2099" s="25" t="s">
        <v>18</v>
      </c>
      <c r="G2099" s="25" t="s">
        <v>42</v>
      </c>
      <c r="H2099" s="10"/>
      <c r="I2099" s="118">
        <v>46206.0</v>
      </c>
      <c r="J2099" s="10"/>
      <c r="K2099" s="46"/>
      <c r="L2099" s="76" t="s">
        <v>3133</v>
      </c>
      <c r="M2099" s="44">
        <v>8.0</v>
      </c>
      <c r="N2099" s="45"/>
      <c r="O2099" s="20"/>
      <c r="P2099" s="20"/>
      <c r="Q2099" s="20"/>
      <c r="R2099" s="20"/>
      <c r="S2099" s="20"/>
    </row>
    <row r="2100">
      <c r="A2100" s="49" t="s">
        <v>8892</v>
      </c>
      <c r="B2100" s="110">
        <v>46204.0</v>
      </c>
      <c r="C2100" s="49" t="s">
        <v>8893</v>
      </c>
      <c r="D2100" s="102" t="s">
        <v>8894</v>
      </c>
      <c r="E2100" s="25" t="s">
        <v>17</v>
      </c>
      <c r="F2100" s="25" t="s">
        <v>18</v>
      </c>
      <c r="G2100" s="25" t="s">
        <v>34</v>
      </c>
      <c r="H2100" s="49" t="s">
        <v>2462</v>
      </c>
      <c r="I2100" s="23"/>
      <c r="J2100" s="23"/>
      <c r="K2100" s="30"/>
      <c r="L2100" s="23"/>
      <c r="M2100" s="50">
        <v>2.0</v>
      </c>
      <c r="N2100" s="51"/>
      <c r="O2100" s="20"/>
      <c r="P2100" s="20"/>
      <c r="Q2100" s="20"/>
      <c r="R2100" s="20"/>
      <c r="S2100" s="20"/>
    </row>
    <row r="2101">
      <c r="A2101" s="76" t="s">
        <v>8895</v>
      </c>
      <c r="B2101" s="97">
        <v>46204.0</v>
      </c>
      <c r="C2101" s="76" t="s">
        <v>8896</v>
      </c>
      <c r="D2101" s="99" t="s">
        <v>8897</v>
      </c>
      <c r="E2101" s="25" t="s">
        <v>128</v>
      </c>
      <c r="F2101" s="25" t="s">
        <v>18</v>
      </c>
      <c r="G2101" s="25" t="s">
        <v>29</v>
      </c>
      <c r="H2101" s="76" t="s">
        <v>6882</v>
      </c>
      <c r="I2101" s="118">
        <v>46209.0</v>
      </c>
      <c r="J2101" s="76">
        <v>4.0</v>
      </c>
      <c r="K2101" s="46"/>
      <c r="L2101" s="10"/>
      <c r="M2101" s="44">
        <v>1.0</v>
      </c>
      <c r="N2101" s="45"/>
      <c r="O2101" s="20"/>
      <c r="P2101" s="20"/>
      <c r="Q2101" s="20"/>
      <c r="R2101" s="20"/>
      <c r="S2101" s="20"/>
    </row>
    <row r="2102">
      <c r="A2102" s="49" t="s">
        <v>8898</v>
      </c>
      <c r="B2102" s="110">
        <v>46203.0</v>
      </c>
      <c r="C2102" s="49" t="s">
        <v>8899</v>
      </c>
      <c r="D2102" s="102" t="s">
        <v>8900</v>
      </c>
      <c r="E2102" s="25" t="s">
        <v>128</v>
      </c>
      <c r="F2102" s="25" t="s">
        <v>18</v>
      </c>
      <c r="G2102" s="25" t="s">
        <v>42</v>
      </c>
      <c r="H2102" s="49" t="s">
        <v>4074</v>
      </c>
      <c r="I2102" s="23"/>
      <c r="J2102" s="49">
        <v>5.0</v>
      </c>
      <c r="K2102" s="30"/>
      <c r="L2102" s="49" t="s">
        <v>8901</v>
      </c>
      <c r="M2102" s="50">
        <v>8.0</v>
      </c>
      <c r="N2102" s="51"/>
      <c r="O2102" s="20"/>
      <c r="P2102" s="20"/>
      <c r="Q2102" s="20"/>
      <c r="R2102" s="20"/>
      <c r="S2102" s="20"/>
    </row>
    <row r="2103">
      <c r="A2103" s="76" t="s">
        <v>8902</v>
      </c>
      <c r="B2103" s="121">
        <v>46203.0</v>
      </c>
      <c r="C2103" s="76" t="s">
        <v>8903</v>
      </c>
      <c r="D2103" s="99" t="s">
        <v>8904</v>
      </c>
      <c r="E2103" s="25" t="s">
        <v>17</v>
      </c>
      <c r="F2103" s="25" t="s">
        <v>18</v>
      </c>
      <c r="G2103" s="25" t="s">
        <v>29</v>
      </c>
      <c r="H2103" s="76" t="s">
        <v>2462</v>
      </c>
      <c r="I2103" s="10"/>
      <c r="J2103" s="76">
        <v>10.0</v>
      </c>
      <c r="K2103" s="46"/>
      <c r="L2103" s="10"/>
      <c r="M2103" s="44">
        <v>1.0</v>
      </c>
      <c r="N2103" s="45"/>
      <c r="O2103" s="20"/>
      <c r="P2103" s="20"/>
      <c r="Q2103" s="20"/>
      <c r="R2103" s="20"/>
      <c r="S2103" s="20"/>
    </row>
    <row r="2104">
      <c r="A2104" s="49" t="s">
        <v>8905</v>
      </c>
      <c r="B2104" s="110">
        <v>46202.0</v>
      </c>
      <c r="C2104" s="49" t="s">
        <v>8906</v>
      </c>
      <c r="D2104" s="102" t="s">
        <v>8907</v>
      </c>
      <c r="E2104" s="25" t="s">
        <v>17</v>
      </c>
      <c r="F2104" s="25" t="s">
        <v>129</v>
      </c>
      <c r="G2104" s="25" t="s">
        <v>29</v>
      </c>
      <c r="H2104" s="49" t="s">
        <v>4064</v>
      </c>
      <c r="I2104" s="101">
        <v>46260.0</v>
      </c>
      <c r="J2104" s="49">
        <v>10.0</v>
      </c>
      <c r="K2104" s="30"/>
      <c r="L2104" s="49" t="s">
        <v>8908</v>
      </c>
      <c r="M2104" s="50">
        <v>1.0</v>
      </c>
      <c r="N2104" s="51"/>
      <c r="O2104" s="20"/>
      <c r="P2104" s="20"/>
      <c r="Q2104" s="20"/>
      <c r="R2104" s="20"/>
      <c r="S2104" s="20"/>
    </row>
    <row r="2105">
      <c r="A2105" s="76" t="s">
        <v>8909</v>
      </c>
      <c r="B2105" s="97">
        <v>46202.0</v>
      </c>
      <c r="C2105" s="76" t="s">
        <v>8910</v>
      </c>
      <c r="D2105" s="99" t="s">
        <v>8911</v>
      </c>
      <c r="E2105" s="25" t="s">
        <v>17</v>
      </c>
      <c r="F2105" s="25" t="s">
        <v>129</v>
      </c>
      <c r="G2105" s="25" t="s">
        <v>29</v>
      </c>
      <c r="H2105" s="76" t="s">
        <v>116</v>
      </c>
      <c r="I2105" s="118">
        <v>46226.0</v>
      </c>
      <c r="J2105" s="76">
        <v>2.0</v>
      </c>
      <c r="K2105" s="46"/>
      <c r="L2105" s="76" t="s">
        <v>8912</v>
      </c>
      <c r="M2105" s="44">
        <v>1.0</v>
      </c>
      <c r="N2105" s="45"/>
      <c r="O2105" s="20"/>
      <c r="P2105" s="20"/>
      <c r="Q2105" s="20"/>
      <c r="R2105" s="20"/>
      <c r="S2105" s="20"/>
    </row>
    <row r="2106">
      <c r="A2106" s="49" t="s">
        <v>8913</v>
      </c>
      <c r="B2106" s="110">
        <v>46202.0</v>
      </c>
      <c r="C2106" s="49" t="s">
        <v>8914</v>
      </c>
      <c r="D2106" s="102" t="s">
        <v>8915</v>
      </c>
      <c r="E2106" s="25" t="s">
        <v>128</v>
      </c>
      <c r="F2106" s="25" t="s">
        <v>129</v>
      </c>
      <c r="G2106" s="25" t="s">
        <v>29</v>
      </c>
      <c r="H2106" s="49" t="s">
        <v>3837</v>
      </c>
      <c r="I2106" s="23"/>
      <c r="J2106" s="23"/>
      <c r="K2106" s="30"/>
      <c r="L2106" s="49" t="s">
        <v>8916</v>
      </c>
      <c r="M2106" s="50">
        <v>1.0</v>
      </c>
      <c r="N2106" s="51"/>
      <c r="O2106" s="20"/>
      <c r="P2106" s="20"/>
      <c r="Q2106" s="20"/>
      <c r="R2106" s="20"/>
      <c r="S2106" s="20"/>
    </row>
    <row r="2107">
      <c r="A2107" s="76" t="s">
        <v>8917</v>
      </c>
      <c r="B2107" s="97">
        <v>46202.0</v>
      </c>
      <c r="C2107" s="76" t="s">
        <v>8918</v>
      </c>
      <c r="D2107" s="99" t="s">
        <v>8919</v>
      </c>
      <c r="E2107" s="25" t="s">
        <v>17</v>
      </c>
      <c r="F2107" s="25" t="s">
        <v>129</v>
      </c>
      <c r="G2107" s="25" t="s">
        <v>29</v>
      </c>
      <c r="H2107" s="76" t="s">
        <v>4351</v>
      </c>
      <c r="I2107" s="118">
        <v>46255.0</v>
      </c>
      <c r="J2107" s="76">
        <v>2.0</v>
      </c>
      <c r="K2107" s="46"/>
      <c r="L2107" s="10"/>
      <c r="M2107" s="44">
        <v>1.0</v>
      </c>
      <c r="N2107" s="45"/>
      <c r="O2107" s="20"/>
      <c r="P2107" s="20"/>
      <c r="Q2107" s="20"/>
      <c r="R2107" s="20"/>
      <c r="S2107" s="20"/>
    </row>
    <row r="2108">
      <c r="A2108" s="49" t="s">
        <v>8920</v>
      </c>
      <c r="B2108" s="110">
        <v>46203.0</v>
      </c>
      <c r="C2108" s="49" t="s">
        <v>8921</v>
      </c>
      <c r="D2108" s="102" t="s">
        <v>8922</v>
      </c>
      <c r="E2108" s="25" t="s">
        <v>17</v>
      </c>
      <c r="F2108" s="25" t="s">
        <v>129</v>
      </c>
      <c r="G2108" s="25" t="s">
        <v>29</v>
      </c>
      <c r="H2108" s="49" t="s">
        <v>8923</v>
      </c>
      <c r="I2108" s="49" t="s">
        <v>8193</v>
      </c>
      <c r="J2108" s="49">
        <v>30.0</v>
      </c>
      <c r="K2108" s="30"/>
      <c r="L2108" s="23"/>
      <c r="M2108" s="50">
        <v>1.0</v>
      </c>
      <c r="N2108" s="51"/>
      <c r="O2108" s="20"/>
      <c r="P2108" s="20"/>
      <c r="Q2108" s="20"/>
      <c r="R2108" s="20"/>
      <c r="S2108" s="20"/>
    </row>
    <row r="2109">
      <c r="A2109" s="76" t="s">
        <v>8924</v>
      </c>
      <c r="B2109" s="97">
        <v>46203.0</v>
      </c>
      <c r="C2109" s="76" t="s">
        <v>8925</v>
      </c>
      <c r="D2109" s="99" t="s">
        <v>8926</v>
      </c>
      <c r="E2109" s="25" t="s">
        <v>128</v>
      </c>
      <c r="F2109" s="25" t="s">
        <v>129</v>
      </c>
      <c r="G2109" s="25" t="s">
        <v>29</v>
      </c>
      <c r="H2109" s="76" t="s">
        <v>747</v>
      </c>
      <c r="I2109" s="118">
        <v>46207.0</v>
      </c>
      <c r="J2109" s="76">
        <v>4.0</v>
      </c>
      <c r="K2109" s="46"/>
      <c r="L2109" s="76" t="s">
        <v>5374</v>
      </c>
      <c r="M2109" s="44">
        <v>1.0</v>
      </c>
      <c r="N2109" s="45"/>
      <c r="O2109" s="20"/>
      <c r="P2109" s="20"/>
      <c r="Q2109" s="20"/>
      <c r="R2109" s="20"/>
      <c r="S2109" s="20"/>
    </row>
    <row r="2110">
      <c r="A2110" s="49" t="s">
        <v>8927</v>
      </c>
      <c r="B2110" s="110">
        <v>46205.0</v>
      </c>
      <c r="C2110" s="49" t="s">
        <v>8928</v>
      </c>
      <c r="D2110" s="102" t="s">
        <v>8929</v>
      </c>
      <c r="E2110" s="25" t="s">
        <v>17</v>
      </c>
      <c r="F2110" s="25" t="s">
        <v>18</v>
      </c>
      <c r="G2110" s="25" t="s">
        <v>29</v>
      </c>
      <c r="H2110" s="23"/>
      <c r="I2110" s="23"/>
      <c r="J2110" s="23"/>
      <c r="K2110" s="30"/>
      <c r="L2110" s="23"/>
      <c r="M2110" s="50">
        <v>1.0</v>
      </c>
      <c r="N2110" s="51"/>
      <c r="O2110" s="20"/>
      <c r="P2110" s="20"/>
      <c r="Q2110" s="20"/>
      <c r="R2110" s="20"/>
      <c r="S2110" s="20"/>
    </row>
    <row r="2111">
      <c r="A2111" s="76" t="s">
        <v>8930</v>
      </c>
      <c r="B2111" s="97">
        <v>46205.0</v>
      </c>
      <c r="C2111" s="76" t="s">
        <v>8931</v>
      </c>
      <c r="D2111" s="99" t="s">
        <v>8932</v>
      </c>
      <c r="E2111" s="25" t="s">
        <v>122</v>
      </c>
      <c r="F2111" s="25" t="s">
        <v>18</v>
      </c>
      <c r="G2111" s="25" t="s">
        <v>29</v>
      </c>
      <c r="H2111" s="10"/>
      <c r="I2111" s="10"/>
      <c r="J2111" s="10"/>
      <c r="K2111" s="46"/>
      <c r="L2111" s="10"/>
      <c r="M2111" s="44">
        <v>1.0</v>
      </c>
      <c r="N2111" s="45"/>
      <c r="O2111" s="20"/>
      <c r="P2111" s="20"/>
      <c r="Q2111" s="20"/>
      <c r="R2111" s="20"/>
      <c r="S2111" s="20"/>
    </row>
    <row r="2112">
      <c r="A2112" s="49" t="s">
        <v>8933</v>
      </c>
      <c r="B2112" s="110">
        <v>46205.0</v>
      </c>
      <c r="C2112" s="49" t="s">
        <v>8934</v>
      </c>
      <c r="D2112" s="102" t="s">
        <v>8935</v>
      </c>
      <c r="E2112" s="25" t="s">
        <v>128</v>
      </c>
      <c r="F2112" s="25" t="s">
        <v>18</v>
      </c>
      <c r="G2112" s="25" t="s">
        <v>29</v>
      </c>
      <c r="H2112" s="49" t="s">
        <v>3395</v>
      </c>
      <c r="I2112" s="23"/>
      <c r="J2112" s="23"/>
      <c r="K2112" s="30"/>
      <c r="L2112" s="23"/>
      <c r="M2112" s="50">
        <v>1.0</v>
      </c>
      <c r="N2112" s="51"/>
      <c r="O2112" s="20"/>
      <c r="P2112" s="20"/>
      <c r="Q2112" s="20"/>
      <c r="R2112" s="20"/>
      <c r="S2112" s="20"/>
    </row>
    <row r="2113">
      <c r="A2113" s="76" t="s">
        <v>8936</v>
      </c>
      <c r="B2113" s="97">
        <v>46205.0</v>
      </c>
      <c r="C2113" s="76" t="s">
        <v>8937</v>
      </c>
      <c r="D2113" s="99" t="s">
        <v>8938</v>
      </c>
      <c r="E2113" s="25" t="s">
        <v>17</v>
      </c>
      <c r="F2113" s="25" t="s">
        <v>18</v>
      </c>
      <c r="G2113" s="25" t="s">
        <v>49</v>
      </c>
      <c r="H2113" s="76" t="s">
        <v>5957</v>
      </c>
      <c r="I2113" s="76" t="s">
        <v>4799</v>
      </c>
      <c r="J2113" s="76">
        <v>2.0</v>
      </c>
      <c r="K2113" s="46"/>
      <c r="L2113" s="10"/>
      <c r="M2113" s="44">
        <v>4.0</v>
      </c>
      <c r="N2113" s="45"/>
      <c r="O2113" s="20"/>
      <c r="P2113" s="20"/>
      <c r="Q2113" s="20"/>
      <c r="R2113" s="20"/>
      <c r="S2113" s="20"/>
    </row>
    <row r="2114">
      <c r="A2114" s="49" t="s">
        <v>8939</v>
      </c>
      <c r="B2114" s="110">
        <v>46203.0</v>
      </c>
      <c r="C2114" s="49" t="s">
        <v>8845</v>
      </c>
      <c r="D2114" s="102" t="s">
        <v>8940</v>
      </c>
      <c r="E2114" s="25" t="s">
        <v>128</v>
      </c>
      <c r="F2114" s="25" t="s">
        <v>129</v>
      </c>
      <c r="G2114" s="25" t="s">
        <v>29</v>
      </c>
      <c r="H2114" s="49" t="s">
        <v>3837</v>
      </c>
      <c r="I2114" s="49" t="s">
        <v>2470</v>
      </c>
      <c r="J2114" s="23"/>
      <c r="K2114" s="30"/>
      <c r="L2114" s="49" t="s">
        <v>8941</v>
      </c>
      <c r="M2114" s="50">
        <v>1.0</v>
      </c>
      <c r="N2114" s="51"/>
      <c r="O2114" s="20"/>
      <c r="P2114" s="20"/>
      <c r="Q2114" s="20"/>
      <c r="R2114" s="20"/>
      <c r="S2114" s="20"/>
    </row>
    <row r="2115">
      <c r="A2115" s="76" t="s">
        <v>8942</v>
      </c>
      <c r="B2115" s="97">
        <v>46203.0</v>
      </c>
      <c r="C2115" s="76" t="s">
        <v>8943</v>
      </c>
      <c r="D2115" s="99" t="s">
        <v>8944</v>
      </c>
      <c r="E2115" s="25" t="s">
        <v>128</v>
      </c>
      <c r="F2115" s="25" t="s">
        <v>129</v>
      </c>
      <c r="G2115" s="25" t="s">
        <v>29</v>
      </c>
      <c r="H2115" s="76" t="s">
        <v>747</v>
      </c>
      <c r="I2115" s="118">
        <v>46213.0</v>
      </c>
      <c r="J2115" s="76">
        <v>5.0</v>
      </c>
      <c r="K2115" s="46"/>
      <c r="L2115" s="76" t="s">
        <v>8945</v>
      </c>
      <c r="M2115" s="44">
        <v>1.0</v>
      </c>
      <c r="N2115" s="45"/>
      <c r="O2115" s="20"/>
      <c r="P2115" s="20"/>
      <c r="Q2115" s="20"/>
      <c r="R2115" s="20"/>
      <c r="S2115" s="20"/>
    </row>
    <row r="2116">
      <c r="A2116" s="49" t="s">
        <v>8946</v>
      </c>
      <c r="B2116" s="110">
        <v>46203.0</v>
      </c>
      <c r="C2116" s="49" t="s">
        <v>8947</v>
      </c>
      <c r="D2116" s="102" t="s">
        <v>8948</v>
      </c>
      <c r="E2116" s="25" t="s">
        <v>128</v>
      </c>
      <c r="F2116" s="25" t="s">
        <v>129</v>
      </c>
      <c r="G2116" s="25" t="s">
        <v>29</v>
      </c>
      <c r="H2116" s="49" t="s">
        <v>8949</v>
      </c>
      <c r="I2116" s="23"/>
      <c r="J2116" s="49">
        <v>3.0</v>
      </c>
      <c r="K2116" s="30"/>
      <c r="L2116" s="49" t="s">
        <v>8522</v>
      </c>
      <c r="M2116" s="50">
        <v>1.0</v>
      </c>
      <c r="N2116" s="51"/>
      <c r="O2116" s="20"/>
      <c r="P2116" s="20"/>
      <c r="Q2116" s="20"/>
      <c r="R2116" s="20"/>
      <c r="S2116" s="20"/>
    </row>
    <row r="2117">
      <c r="A2117" s="76" t="s">
        <v>8950</v>
      </c>
      <c r="B2117" s="97">
        <v>46203.0</v>
      </c>
      <c r="C2117" s="76" t="s">
        <v>8951</v>
      </c>
      <c r="D2117" s="99" t="s">
        <v>8952</v>
      </c>
      <c r="E2117" s="25" t="s">
        <v>128</v>
      </c>
      <c r="F2117" s="25" t="s">
        <v>129</v>
      </c>
      <c r="G2117" s="25" t="s">
        <v>19</v>
      </c>
      <c r="H2117" s="76" t="s">
        <v>8953</v>
      </c>
      <c r="I2117" s="118">
        <v>46243.0</v>
      </c>
      <c r="J2117" s="76">
        <v>2.0</v>
      </c>
      <c r="K2117" s="19">
        <v>1650000.0</v>
      </c>
      <c r="L2117" s="76" t="s">
        <v>8217</v>
      </c>
      <c r="M2117" s="44">
        <v>7.0</v>
      </c>
      <c r="N2117" s="45"/>
      <c r="O2117" s="20"/>
      <c r="P2117" s="20"/>
      <c r="Q2117" s="20"/>
      <c r="R2117" s="20"/>
      <c r="S2117" s="20"/>
    </row>
    <row r="2118">
      <c r="A2118" s="49" t="s">
        <v>8954</v>
      </c>
      <c r="B2118" s="110">
        <v>46203.0</v>
      </c>
      <c r="C2118" s="49" t="s">
        <v>7106</v>
      </c>
      <c r="D2118" s="102" t="s">
        <v>8955</v>
      </c>
      <c r="E2118" s="25" t="s">
        <v>17</v>
      </c>
      <c r="F2118" s="25" t="s">
        <v>129</v>
      </c>
      <c r="G2118" s="25" t="s">
        <v>29</v>
      </c>
      <c r="H2118" s="49" t="s">
        <v>2173</v>
      </c>
      <c r="I2118" s="49" t="s">
        <v>8956</v>
      </c>
      <c r="J2118" s="49">
        <v>2.0</v>
      </c>
      <c r="K2118" s="30"/>
      <c r="L2118" s="49" t="s">
        <v>8957</v>
      </c>
      <c r="M2118" s="50">
        <v>1.0</v>
      </c>
      <c r="N2118" s="51"/>
      <c r="O2118" s="20"/>
      <c r="P2118" s="20"/>
      <c r="Q2118" s="20"/>
      <c r="R2118" s="20"/>
      <c r="S2118" s="20"/>
    </row>
    <row r="2119">
      <c r="A2119" s="76" t="s">
        <v>8958</v>
      </c>
      <c r="B2119" s="97">
        <v>46203.0</v>
      </c>
      <c r="C2119" s="76" t="s">
        <v>8959</v>
      </c>
      <c r="D2119" s="99" t="s">
        <v>8960</v>
      </c>
      <c r="E2119" s="25" t="s">
        <v>128</v>
      </c>
      <c r="F2119" s="25" t="s">
        <v>129</v>
      </c>
      <c r="G2119" s="25" t="s">
        <v>42</v>
      </c>
      <c r="H2119" s="76" t="s">
        <v>6400</v>
      </c>
      <c r="I2119" s="118">
        <v>46221.0</v>
      </c>
      <c r="J2119" s="76">
        <v>2.0</v>
      </c>
      <c r="K2119" s="46"/>
      <c r="L2119" s="76" t="s">
        <v>8961</v>
      </c>
      <c r="M2119" s="44">
        <v>8.0</v>
      </c>
      <c r="N2119" s="45"/>
      <c r="O2119" s="20"/>
      <c r="P2119" s="20"/>
      <c r="Q2119" s="20"/>
      <c r="R2119" s="20"/>
      <c r="S2119" s="20"/>
    </row>
    <row r="2120">
      <c r="A2120" s="49" t="s">
        <v>8962</v>
      </c>
      <c r="B2120" s="110">
        <v>46202.0</v>
      </c>
      <c r="C2120" s="49" t="s">
        <v>8963</v>
      </c>
      <c r="D2120" s="102" t="s">
        <v>8964</v>
      </c>
      <c r="E2120" s="25" t="s">
        <v>128</v>
      </c>
      <c r="F2120" s="25" t="s">
        <v>129</v>
      </c>
      <c r="G2120" s="25" t="s">
        <v>42</v>
      </c>
      <c r="H2120" s="49" t="s">
        <v>1782</v>
      </c>
      <c r="I2120" s="101">
        <v>46219.0</v>
      </c>
      <c r="J2120" s="23"/>
      <c r="K2120" s="30"/>
      <c r="L2120" s="49" t="s">
        <v>8965</v>
      </c>
      <c r="M2120" s="50">
        <v>8.0</v>
      </c>
      <c r="N2120" s="51"/>
      <c r="O2120" s="20"/>
      <c r="P2120" s="20"/>
      <c r="Q2120" s="20"/>
      <c r="R2120" s="20"/>
      <c r="S2120" s="20"/>
    </row>
    <row r="2121">
      <c r="A2121" s="76" t="s">
        <v>8966</v>
      </c>
      <c r="B2121" s="97">
        <v>46204.0</v>
      </c>
      <c r="C2121" s="76" t="s">
        <v>8967</v>
      </c>
      <c r="D2121" s="99" t="s">
        <v>8968</v>
      </c>
      <c r="E2121" s="25" t="s">
        <v>128</v>
      </c>
      <c r="F2121" s="25" t="s">
        <v>129</v>
      </c>
      <c r="G2121" s="25" t="s">
        <v>42</v>
      </c>
      <c r="H2121" s="76" t="s">
        <v>747</v>
      </c>
      <c r="I2121" s="118">
        <v>46215.0</v>
      </c>
      <c r="J2121" s="76">
        <v>1.0</v>
      </c>
      <c r="K2121" s="46"/>
      <c r="L2121" s="76" t="s">
        <v>8969</v>
      </c>
      <c r="M2121" s="44">
        <v>8.0</v>
      </c>
      <c r="N2121" s="45"/>
      <c r="O2121" s="20"/>
      <c r="P2121" s="20"/>
      <c r="Q2121" s="20"/>
      <c r="R2121" s="20"/>
      <c r="S2121" s="20"/>
    </row>
    <row r="2122">
      <c r="A2122" s="49" t="s">
        <v>8970</v>
      </c>
      <c r="B2122" s="110">
        <v>46204.0</v>
      </c>
      <c r="C2122" s="49" t="s">
        <v>8971</v>
      </c>
      <c r="D2122" s="102" t="s">
        <v>8972</v>
      </c>
      <c r="E2122" s="25" t="s">
        <v>128</v>
      </c>
      <c r="F2122" s="25" t="s">
        <v>129</v>
      </c>
      <c r="G2122" s="25" t="s">
        <v>42</v>
      </c>
      <c r="H2122" s="76" t="s">
        <v>747</v>
      </c>
      <c r="I2122" s="101">
        <v>46205.0</v>
      </c>
      <c r="J2122" s="49">
        <v>4.0</v>
      </c>
      <c r="K2122" s="30"/>
      <c r="L2122" s="49" t="s">
        <v>8973</v>
      </c>
      <c r="M2122" s="50">
        <v>8.0</v>
      </c>
      <c r="N2122" s="51"/>
      <c r="O2122" s="20"/>
      <c r="P2122" s="20"/>
      <c r="Q2122" s="20"/>
      <c r="R2122" s="20"/>
      <c r="S2122" s="20"/>
    </row>
    <row r="2123">
      <c r="A2123" s="76" t="s">
        <v>8974</v>
      </c>
      <c r="B2123" s="97">
        <v>46204.0</v>
      </c>
      <c r="C2123" s="76" t="s">
        <v>8975</v>
      </c>
      <c r="D2123" s="99" t="s">
        <v>8976</v>
      </c>
      <c r="E2123" s="25" t="s">
        <v>128</v>
      </c>
      <c r="F2123" s="25" t="s">
        <v>129</v>
      </c>
      <c r="G2123" s="25" t="s">
        <v>42</v>
      </c>
      <c r="H2123" s="76" t="s">
        <v>747</v>
      </c>
      <c r="I2123" s="118">
        <v>46207.0</v>
      </c>
      <c r="J2123" s="76">
        <v>5.0</v>
      </c>
      <c r="K2123" s="46"/>
      <c r="L2123" s="76" t="s">
        <v>8977</v>
      </c>
      <c r="M2123" s="44">
        <v>8.0</v>
      </c>
      <c r="N2123" s="45"/>
      <c r="O2123" s="20"/>
      <c r="P2123" s="20"/>
      <c r="Q2123" s="20"/>
      <c r="R2123" s="20"/>
      <c r="S2123" s="20"/>
    </row>
    <row r="2124">
      <c r="A2124" s="49" t="s">
        <v>8978</v>
      </c>
      <c r="B2124" s="110">
        <v>46202.0</v>
      </c>
      <c r="C2124" s="49" t="s">
        <v>8979</v>
      </c>
      <c r="D2124" s="102" t="s">
        <v>8980</v>
      </c>
      <c r="E2124" s="25" t="s">
        <v>17</v>
      </c>
      <c r="F2124" s="25" t="s">
        <v>129</v>
      </c>
      <c r="G2124" s="25" t="s">
        <v>19</v>
      </c>
      <c r="H2124" s="49" t="s">
        <v>4064</v>
      </c>
      <c r="I2124" s="101">
        <v>46216.0</v>
      </c>
      <c r="J2124" s="49">
        <v>48.0</v>
      </c>
      <c r="K2124" s="30">
        <f>SUM(840000*J2124)</f>
        <v>40320000</v>
      </c>
      <c r="L2124" s="49" t="s">
        <v>8217</v>
      </c>
      <c r="M2124" s="50">
        <v>7.0</v>
      </c>
      <c r="N2124" s="51"/>
      <c r="O2124" s="20"/>
      <c r="P2124" s="20"/>
      <c r="Q2124" s="20"/>
      <c r="R2124" s="20"/>
      <c r="S2124" s="20"/>
    </row>
    <row r="2125">
      <c r="A2125" s="76" t="s">
        <v>8981</v>
      </c>
      <c r="B2125" s="97">
        <v>46204.0</v>
      </c>
      <c r="C2125" s="76" t="s">
        <v>8982</v>
      </c>
      <c r="D2125" s="99" t="s">
        <v>8983</v>
      </c>
      <c r="E2125" s="25" t="s">
        <v>128</v>
      </c>
      <c r="F2125" s="25" t="s">
        <v>129</v>
      </c>
      <c r="G2125" s="25" t="s">
        <v>42</v>
      </c>
      <c r="H2125" s="76" t="s">
        <v>260</v>
      </c>
      <c r="I2125" s="118">
        <v>46223.0</v>
      </c>
      <c r="J2125" s="76">
        <v>2.0</v>
      </c>
      <c r="K2125" s="46"/>
      <c r="L2125" s="10"/>
      <c r="M2125" s="44">
        <v>8.0</v>
      </c>
      <c r="N2125" s="45"/>
      <c r="O2125" s="20"/>
      <c r="P2125" s="20"/>
      <c r="Q2125" s="20"/>
      <c r="R2125" s="20"/>
      <c r="S2125" s="20"/>
    </row>
    <row r="2126">
      <c r="A2126" s="49" t="s">
        <v>8984</v>
      </c>
      <c r="B2126" s="110">
        <v>46204.0</v>
      </c>
      <c r="C2126" s="49" t="s">
        <v>8985</v>
      </c>
      <c r="D2126" s="102" t="s">
        <v>8986</v>
      </c>
      <c r="E2126" s="25" t="s">
        <v>128</v>
      </c>
      <c r="F2126" s="25" t="s">
        <v>129</v>
      </c>
      <c r="G2126" s="25" t="s">
        <v>42</v>
      </c>
      <c r="H2126" s="76" t="s">
        <v>747</v>
      </c>
      <c r="I2126" s="101">
        <v>46216.0</v>
      </c>
      <c r="J2126" s="49">
        <v>20.0</v>
      </c>
      <c r="K2126" s="30"/>
      <c r="L2126" s="49" t="s">
        <v>8987</v>
      </c>
      <c r="M2126" s="50">
        <v>8.0</v>
      </c>
      <c r="N2126" s="51"/>
      <c r="O2126" s="20"/>
      <c r="P2126" s="20"/>
      <c r="Q2126" s="20"/>
      <c r="R2126" s="20"/>
      <c r="S2126" s="20"/>
    </row>
    <row r="2127">
      <c r="A2127" s="76" t="s">
        <v>8988</v>
      </c>
      <c r="B2127" s="97">
        <v>46205.0</v>
      </c>
      <c r="C2127" s="76" t="s">
        <v>8989</v>
      </c>
      <c r="D2127" s="99" t="s">
        <v>8990</v>
      </c>
      <c r="E2127" s="25" t="s">
        <v>128</v>
      </c>
      <c r="F2127" s="25" t="s">
        <v>129</v>
      </c>
      <c r="G2127" s="25" t="s">
        <v>42</v>
      </c>
      <c r="H2127" s="76" t="s">
        <v>287</v>
      </c>
      <c r="I2127" s="118">
        <v>46210.0</v>
      </c>
      <c r="J2127" s="76">
        <v>4.0</v>
      </c>
      <c r="K2127" s="46"/>
      <c r="L2127" s="76" t="s">
        <v>7254</v>
      </c>
      <c r="M2127" s="44">
        <v>8.0</v>
      </c>
      <c r="N2127" s="45"/>
      <c r="O2127" s="20"/>
      <c r="P2127" s="20"/>
      <c r="Q2127" s="20"/>
      <c r="R2127" s="20"/>
      <c r="S2127" s="20"/>
    </row>
    <row r="2128">
      <c r="A2128" s="49" t="s">
        <v>8991</v>
      </c>
      <c r="B2128" s="110">
        <v>46205.0</v>
      </c>
      <c r="C2128" s="49" t="s">
        <v>8992</v>
      </c>
      <c r="D2128" s="102" t="s">
        <v>8993</v>
      </c>
      <c r="E2128" s="25" t="s">
        <v>128</v>
      </c>
      <c r="F2128" s="25" t="s">
        <v>129</v>
      </c>
      <c r="G2128" s="25" t="s">
        <v>29</v>
      </c>
      <c r="H2128" s="76" t="s">
        <v>260</v>
      </c>
      <c r="I2128" s="23"/>
      <c r="J2128" s="23"/>
      <c r="K2128" s="30"/>
      <c r="L2128" s="23"/>
      <c r="M2128" s="50">
        <v>1.0</v>
      </c>
      <c r="N2128" s="51"/>
      <c r="O2128" s="20"/>
      <c r="P2128" s="20"/>
      <c r="Q2128" s="20"/>
      <c r="R2128" s="20"/>
      <c r="S2128" s="20"/>
    </row>
    <row r="2129">
      <c r="A2129" s="76" t="s">
        <v>8994</v>
      </c>
      <c r="B2129" s="97">
        <v>46205.0</v>
      </c>
      <c r="C2129" s="76" t="s">
        <v>4412</v>
      </c>
      <c r="D2129" s="99" t="s">
        <v>8995</v>
      </c>
      <c r="E2129" s="25" t="s">
        <v>17</v>
      </c>
      <c r="F2129" s="25" t="s">
        <v>129</v>
      </c>
      <c r="G2129" s="25" t="s">
        <v>19</v>
      </c>
      <c r="H2129" s="76" t="s">
        <v>199</v>
      </c>
      <c r="I2129" s="118">
        <v>46213.0</v>
      </c>
      <c r="J2129" s="76">
        <v>6.0</v>
      </c>
      <c r="K2129" s="46">
        <f>SUM(1615000*6)</f>
        <v>9690000</v>
      </c>
      <c r="L2129" s="76" t="s">
        <v>6194</v>
      </c>
      <c r="M2129" s="44">
        <v>7.0</v>
      </c>
      <c r="N2129" s="45"/>
      <c r="O2129" s="20"/>
      <c r="P2129" s="20"/>
      <c r="Q2129" s="20"/>
      <c r="R2129" s="20"/>
      <c r="S2129" s="20"/>
    </row>
    <row r="2130">
      <c r="A2130" s="49" t="s">
        <v>8996</v>
      </c>
      <c r="B2130" s="110">
        <v>46205.0</v>
      </c>
      <c r="C2130" s="49" t="s">
        <v>8997</v>
      </c>
      <c r="D2130" s="102" t="s">
        <v>8998</v>
      </c>
      <c r="E2130" s="25" t="s">
        <v>17</v>
      </c>
      <c r="F2130" s="25" t="s">
        <v>129</v>
      </c>
      <c r="G2130" s="25" t="s">
        <v>42</v>
      </c>
      <c r="H2130" s="76" t="s">
        <v>7518</v>
      </c>
      <c r="I2130" s="101">
        <v>46228.0</v>
      </c>
      <c r="J2130" s="49">
        <v>1.0</v>
      </c>
      <c r="K2130" s="30"/>
      <c r="L2130" s="49" t="s">
        <v>8999</v>
      </c>
      <c r="M2130" s="50">
        <v>8.0</v>
      </c>
      <c r="N2130" s="51"/>
      <c r="O2130" s="20"/>
      <c r="P2130" s="20"/>
      <c r="Q2130" s="20"/>
      <c r="R2130" s="20"/>
      <c r="S2130" s="20"/>
    </row>
    <row r="2131">
      <c r="A2131" s="76" t="s">
        <v>9000</v>
      </c>
      <c r="B2131" s="97">
        <v>46205.0</v>
      </c>
      <c r="C2131" s="76" t="s">
        <v>9001</v>
      </c>
      <c r="D2131" s="99" t="s">
        <v>9002</v>
      </c>
      <c r="E2131" s="25" t="s">
        <v>128</v>
      </c>
      <c r="F2131" s="25" t="s">
        <v>129</v>
      </c>
      <c r="G2131" s="25" t="s">
        <v>29</v>
      </c>
      <c r="H2131" s="76" t="s">
        <v>3032</v>
      </c>
      <c r="I2131" s="10"/>
      <c r="J2131" s="76">
        <v>8.0</v>
      </c>
      <c r="K2131" s="46"/>
      <c r="L2131" s="10"/>
      <c r="M2131" s="44">
        <v>1.0</v>
      </c>
      <c r="N2131" s="45"/>
      <c r="O2131" s="20"/>
      <c r="P2131" s="20"/>
      <c r="Q2131" s="20"/>
      <c r="R2131" s="20"/>
      <c r="S2131" s="20"/>
    </row>
    <row r="2132">
      <c r="A2132" s="49" t="s">
        <v>9003</v>
      </c>
      <c r="B2132" s="110">
        <v>46205.0</v>
      </c>
      <c r="C2132" s="49" t="s">
        <v>5535</v>
      </c>
      <c r="D2132" s="102" t="s">
        <v>9004</v>
      </c>
      <c r="E2132" s="25" t="s">
        <v>128</v>
      </c>
      <c r="F2132" s="25" t="s">
        <v>129</v>
      </c>
      <c r="G2132" s="25" t="s">
        <v>42</v>
      </c>
      <c r="H2132" s="76" t="s">
        <v>747</v>
      </c>
      <c r="I2132" s="101">
        <v>46209.0</v>
      </c>
      <c r="J2132" s="49">
        <v>2.0</v>
      </c>
      <c r="K2132" s="30"/>
      <c r="L2132" s="49" t="s">
        <v>8481</v>
      </c>
      <c r="M2132" s="50">
        <v>8.0</v>
      </c>
      <c r="N2132" s="51"/>
      <c r="O2132" s="20"/>
      <c r="P2132" s="20"/>
      <c r="Q2132" s="20"/>
      <c r="R2132" s="20"/>
      <c r="S2132" s="20"/>
    </row>
    <row r="2133">
      <c r="A2133" s="76" t="s">
        <v>9005</v>
      </c>
      <c r="B2133" s="97">
        <v>46205.0</v>
      </c>
      <c r="C2133" s="76" t="s">
        <v>9006</v>
      </c>
      <c r="D2133" s="99" t="s">
        <v>9007</v>
      </c>
      <c r="E2133" s="25" t="s">
        <v>128</v>
      </c>
      <c r="F2133" s="25" t="s">
        <v>129</v>
      </c>
      <c r="G2133" s="25" t="s">
        <v>42</v>
      </c>
      <c r="H2133" s="76" t="s">
        <v>747</v>
      </c>
      <c r="I2133" s="118">
        <v>46207.0</v>
      </c>
      <c r="J2133" s="10"/>
      <c r="K2133" s="46"/>
      <c r="L2133" s="76" t="s">
        <v>8977</v>
      </c>
      <c r="M2133" s="44">
        <v>8.0</v>
      </c>
      <c r="N2133" s="45"/>
      <c r="O2133" s="20"/>
      <c r="P2133" s="20"/>
      <c r="Q2133" s="20"/>
      <c r="R2133" s="20"/>
      <c r="S2133" s="20"/>
    </row>
    <row r="2134">
      <c r="A2134" s="49" t="s">
        <v>9008</v>
      </c>
      <c r="B2134" s="110">
        <v>46205.0</v>
      </c>
      <c r="C2134" s="49" t="s">
        <v>9009</v>
      </c>
      <c r="D2134" s="102" t="s">
        <v>9010</v>
      </c>
      <c r="E2134" s="25" t="s">
        <v>128</v>
      </c>
      <c r="F2134" s="25" t="s">
        <v>129</v>
      </c>
      <c r="G2134" s="25" t="s">
        <v>19</v>
      </c>
      <c r="H2134" s="76" t="s">
        <v>747</v>
      </c>
      <c r="I2134" s="101">
        <v>46209.0</v>
      </c>
      <c r="J2134" s="49">
        <v>2.0</v>
      </c>
      <c r="K2134" s="36">
        <v>800000.0</v>
      </c>
      <c r="L2134" s="49" t="s">
        <v>6048</v>
      </c>
      <c r="M2134" s="50">
        <v>7.0</v>
      </c>
      <c r="N2134" s="51"/>
      <c r="O2134" s="20"/>
      <c r="P2134" s="20"/>
      <c r="Q2134" s="20"/>
      <c r="R2134" s="20"/>
      <c r="S2134" s="20"/>
    </row>
    <row r="2135">
      <c r="A2135" s="76" t="s">
        <v>9011</v>
      </c>
      <c r="B2135" s="97">
        <v>46204.0</v>
      </c>
      <c r="C2135" s="76" t="s">
        <v>4959</v>
      </c>
      <c r="D2135" s="99" t="s">
        <v>8891</v>
      </c>
      <c r="E2135" s="25" t="s">
        <v>17</v>
      </c>
      <c r="F2135" s="25" t="s">
        <v>129</v>
      </c>
      <c r="G2135" s="25" t="s">
        <v>19</v>
      </c>
      <c r="H2135" s="76" t="s">
        <v>9012</v>
      </c>
      <c r="I2135" s="118">
        <v>46207.0</v>
      </c>
      <c r="J2135" s="76">
        <v>5.0</v>
      </c>
      <c r="K2135" s="19">
        <v>2000000.0</v>
      </c>
      <c r="L2135" s="76" t="s">
        <v>6048</v>
      </c>
      <c r="M2135" s="44">
        <v>7.0</v>
      </c>
      <c r="N2135" s="45"/>
      <c r="O2135" s="20"/>
      <c r="P2135" s="20"/>
      <c r="Q2135" s="20"/>
      <c r="R2135" s="20"/>
      <c r="S2135" s="20"/>
    </row>
    <row r="2136">
      <c r="A2136" s="49" t="s">
        <v>9013</v>
      </c>
      <c r="B2136" s="110">
        <v>46205.0</v>
      </c>
      <c r="C2136" s="49" t="s">
        <v>9014</v>
      </c>
      <c r="D2136" s="102" t="s">
        <v>9015</v>
      </c>
      <c r="E2136" s="25" t="s">
        <v>128</v>
      </c>
      <c r="F2136" s="25" t="s">
        <v>129</v>
      </c>
      <c r="G2136" s="25" t="s">
        <v>42</v>
      </c>
      <c r="H2136" s="49" t="s">
        <v>9016</v>
      </c>
      <c r="I2136" s="101">
        <v>46208.0</v>
      </c>
      <c r="J2136" s="49">
        <v>3.0</v>
      </c>
      <c r="K2136" s="30"/>
      <c r="L2136" s="49" t="s">
        <v>9017</v>
      </c>
      <c r="M2136" s="50">
        <v>8.0</v>
      </c>
      <c r="N2136" s="51"/>
      <c r="O2136" s="20"/>
      <c r="P2136" s="20"/>
      <c r="Q2136" s="20"/>
      <c r="R2136" s="20"/>
      <c r="S2136" s="20"/>
    </row>
    <row r="2137">
      <c r="A2137" s="76" t="s">
        <v>9018</v>
      </c>
      <c r="B2137" s="97">
        <v>46205.0</v>
      </c>
      <c r="C2137" s="76" t="s">
        <v>9019</v>
      </c>
      <c r="D2137" s="99" t="s">
        <v>9020</v>
      </c>
      <c r="E2137" s="25" t="s">
        <v>17</v>
      </c>
      <c r="F2137" s="25" t="s">
        <v>129</v>
      </c>
      <c r="G2137" s="25" t="s">
        <v>29</v>
      </c>
      <c r="H2137" s="10"/>
      <c r="I2137" s="10"/>
      <c r="J2137" s="10"/>
      <c r="K2137" s="46"/>
      <c r="L2137" s="76" t="s">
        <v>9021</v>
      </c>
      <c r="M2137" s="44">
        <v>1.0</v>
      </c>
      <c r="N2137" s="45"/>
      <c r="O2137" s="20"/>
      <c r="P2137" s="20"/>
      <c r="Q2137" s="20"/>
      <c r="R2137" s="20"/>
      <c r="S2137" s="20"/>
    </row>
    <row r="2138">
      <c r="A2138" s="49" t="s">
        <v>9022</v>
      </c>
      <c r="B2138" s="110">
        <v>46205.0</v>
      </c>
      <c r="C2138" s="49" t="s">
        <v>6106</v>
      </c>
      <c r="D2138" s="102" t="s">
        <v>9023</v>
      </c>
      <c r="E2138" s="25" t="s">
        <v>17</v>
      </c>
      <c r="F2138" s="25" t="s">
        <v>983</v>
      </c>
      <c r="G2138" s="25" t="s">
        <v>42</v>
      </c>
      <c r="H2138" s="49" t="s">
        <v>9024</v>
      </c>
      <c r="I2138" s="49" t="s">
        <v>9025</v>
      </c>
      <c r="J2138" s="23"/>
      <c r="K2138" s="30"/>
      <c r="L2138" s="49" t="s">
        <v>9026</v>
      </c>
      <c r="M2138" s="50">
        <v>8.0</v>
      </c>
      <c r="N2138" s="51"/>
      <c r="O2138" s="20"/>
      <c r="P2138" s="20"/>
      <c r="Q2138" s="20"/>
      <c r="R2138" s="20"/>
      <c r="S2138" s="20"/>
    </row>
    <row r="2139">
      <c r="A2139" s="76" t="s">
        <v>9027</v>
      </c>
      <c r="B2139" s="97">
        <v>46205.0</v>
      </c>
      <c r="C2139" s="76" t="s">
        <v>9028</v>
      </c>
      <c r="D2139" s="99" t="s">
        <v>9029</v>
      </c>
      <c r="E2139" s="25" t="s">
        <v>17</v>
      </c>
      <c r="F2139" s="25" t="s">
        <v>983</v>
      </c>
      <c r="G2139" s="25" t="s">
        <v>19</v>
      </c>
      <c r="H2139" s="76" t="s">
        <v>2462</v>
      </c>
      <c r="I2139" s="76" t="s">
        <v>9030</v>
      </c>
      <c r="J2139" s="76">
        <v>4.0</v>
      </c>
      <c r="K2139" s="46">
        <f>1700000*4</f>
        <v>6800000</v>
      </c>
      <c r="L2139" s="76" t="s">
        <v>985</v>
      </c>
      <c r="M2139" s="44">
        <v>7.0</v>
      </c>
      <c r="N2139" s="45"/>
      <c r="O2139" s="20"/>
      <c r="P2139" s="20"/>
      <c r="Q2139" s="20"/>
      <c r="R2139" s="20"/>
      <c r="S2139" s="20"/>
    </row>
    <row r="2140">
      <c r="A2140" s="49" t="s">
        <v>9031</v>
      </c>
      <c r="B2140" s="110">
        <v>46205.0</v>
      </c>
      <c r="C2140" s="49" t="s">
        <v>9032</v>
      </c>
      <c r="D2140" s="102" t="s">
        <v>9033</v>
      </c>
      <c r="E2140" s="25" t="s">
        <v>128</v>
      </c>
      <c r="F2140" s="25" t="s">
        <v>18</v>
      </c>
      <c r="G2140" s="25" t="s">
        <v>29</v>
      </c>
      <c r="H2140" s="49" t="s">
        <v>5658</v>
      </c>
      <c r="I2140" s="156">
        <v>46214.0</v>
      </c>
      <c r="J2140" s="49">
        <v>5.0</v>
      </c>
      <c r="K2140" s="30">
        <f>275000*5</f>
        <v>1375000</v>
      </c>
      <c r="L2140" s="23"/>
      <c r="M2140" s="50">
        <v>1.0</v>
      </c>
      <c r="N2140" s="51"/>
      <c r="O2140" s="20"/>
      <c r="P2140" s="20"/>
      <c r="Q2140" s="20"/>
      <c r="R2140" s="20"/>
      <c r="S2140" s="20"/>
    </row>
    <row r="2141">
      <c r="A2141" s="76" t="s">
        <v>9034</v>
      </c>
      <c r="B2141" s="97">
        <v>46205.0</v>
      </c>
      <c r="C2141" s="76" t="s">
        <v>9035</v>
      </c>
      <c r="D2141" s="99" t="s">
        <v>9036</v>
      </c>
      <c r="E2141" s="25" t="s">
        <v>17</v>
      </c>
      <c r="F2141" s="25" t="s">
        <v>18</v>
      </c>
      <c r="G2141" s="25" t="s">
        <v>29</v>
      </c>
      <c r="H2141" s="76" t="s">
        <v>9037</v>
      </c>
      <c r="I2141" s="10"/>
      <c r="J2141" s="10"/>
      <c r="K2141" s="46"/>
      <c r="L2141" s="10"/>
      <c r="M2141" s="44">
        <v>1.0</v>
      </c>
      <c r="N2141" s="45"/>
      <c r="O2141" s="20"/>
      <c r="P2141" s="20"/>
      <c r="Q2141" s="20"/>
      <c r="R2141" s="20"/>
      <c r="S2141" s="20"/>
    </row>
    <row r="2142">
      <c r="A2142" s="49" t="s">
        <v>9038</v>
      </c>
      <c r="B2142" s="110">
        <v>46205.0</v>
      </c>
      <c r="C2142" s="49" t="s">
        <v>9039</v>
      </c>
      <c r="D2142" s="102" t="s">
        <v>9040</v>
      </c>
      <c r="E2142" s="25" t="s">
        <v>128</v>
      </c>
      <c r="F2142" s="25" t="s">
        <v>18</v>
      </c>
      <c r="G2142" s="25" t="s">
        <v>42</v>
      </c>
      <c r="H2142" s="25"/>
      <c r="I2142" s="23"/>
      <c r="J2142" s="23"/>
      <c r="K2142" s="30"/>
      <c r="L2142" s="49" t="s">
        <v>9041</v>
      </c>
      <c r="M2142" s="50">
        <v>8.0</v>
      </c>
      <c r="N2142" s="51"/>
      <c r="O2142" s="20"/>
      <c r="P2142" s="20"/>
      <c r="Q2142" s="20"/>
      <c r="R2142" s="20"/>
      <c r="S2142" s="20"/>
    </row>
    <row r="2143">
      <c r="A2143" s="76" t="s">
        <v>9042</v>
      </c>
      <c r="B2143" s="97">
        <v>46205.0</v>
      </c>
      <c r="C2143" s="76" t="s">
        <v>5496</v>
      </c>
      <c r="D2143" s="99" t="s">
        <v>9043</v>
      </c>
      <c r="E2143" s="25" t="s">
        <v>869</v>
      </c>
      <c r="F2143" s="25" t="s">
        <v>129</v>
      </c>
      <c r="G2143" s="25" t="s">
        <v>34</v>
      </c>
      <c r="H2143" s="76" t="s">
        <v>123</v>
      </c>
      <c r="I2143" s="10"/>
      <c r="J2143" s="76">
        <v>4.0</v>
      </c>
      <c r="K2143" s="46">
        <f>SUM(3480000*4)</f>
        <v>13920000</v>
      </c>
      <c r="L2143" s="76" t="s">
        <v>7254</v>
      </c>
      <c r="M2143" s="44">
        <v>2.0</v>
      </c>
      <c r="N2143" s="45"/>
      <c r="O2143" s="20"/>
      <c r="P2143" s="20"/>
      <c r="Q2143" s="20"/>
      <c r="R2143" s="20"/>
      <c r="S2143" s="20"/>
    </row>
    <row r="2144">
      <c r="A2144" s="49" t="s">
        <v>9044</v>
      </c>
      <c r="B2144" s="110">
        <v>46205.0</v>
      </c>
      <c r="C2144" s="49" t="s">
        <v>3969</v>
      </c>
      <c r="D2144" s="102" t="s">
        <v>9045</v>
      </c>
      <c r="E2144" s="25" t="s">
        <v>128</v>
      </c>
      <c r="F2144" s="25" t="s">
        <v>18</v>
      </c>
      <c r="G2144" s="25" t="s">
        <v>29</v>
      </c>
      <c r="H2144" s="49" t="s">
        <v>172</v>
      </c>
      <c r="I2144" s="23"/>
      <c r="J2144" s="23"/>
      <c r="K2144" s="30"/>
      <c r="L2144" s="23"/>
      <c r="M2144" s="50">
        <v>1.0</v>
      </c>
      <c r="N2144" s="51"/>
      <c r="O2144" s="20"/>
      <c r="P2144" s="20"/>
      <c r="Q2144" s="20"/>
      <c r="R2144" s="20"/>
      <c r="S2144" s="20"/>
    </row>
    <row r="2145">
      <c r="A2145" s="76" t="s">
        <v>9046</v>
      </c>
      <c r="B2145" s="97">
        <v>46205.0</v>
      </c>
      <c r="C2145" s="76" t="s">
        <v>9047</v>
      </c>
      <c r="D2145" s="99" t="s">
        <v>9048</v>
      </c>
      <c r="E2145" s="25" t="s">
        <v>128</v>
      </c>
      <c r="F2145" s="25" t="s">
        <v>18</v>
      </c>
      <c r="G2145" s="25" t="s">
        <v>29</v>
      </c>
      <c r="H2145" s="76" t="s">
        <v>5658</v>
      </c>
      <c r="I2145" s="157">
        <v>46207.0</v>
      </c>
      <c r="J2145" s="10"/>
      <c r="K2145" s="46"/>
      <c r="L2145" s="10"/>
      <c r="M2145" s="44">
        <v>1.0</v>
      </c>
      <c r="N2145" s="45"/>
      <c r="O2145" s="20"/>
      <c r="P2145" s="20"/>
      <c r="Q2145" s="20"/>
      <c r="R2145" s="20"/>
      <c r="S2145" s="20"/>
    </row>
    <row r="2146">
      <c r="A2146" s="49" t="s">
        <v>8939</v>
      </c>
      <c r="B2146" s="110">
        <v>46184.0</v>
      </c>
      <c r="C2146" s="49" t="s">
        <v>9049</v>
      </c>
      <c r="D2146" s="102" t="s">
        <v>9050</v>
      </c>
      <c r="E2146" s="25" t="s">
        <v>869</v>
      </c>
      <c r="F2146" s="25" t="s">
        <v>129</v>
      </c>
      <c r="G2146" s="25" t="s">
        <v>19</v>
      </c>
      <c r="H2146" s="49" t="s">
        <v>9051</v>
      </c>
      <c r="I2146" s="101">
        <v>46202.0</v>
      </c>
      <c r="J2146" s="49">
        <v>11.0</v>
      </c>
      <c r="K2146" s="30">
        <f>SUM(215000*11)</f>
        <v>2365000</v>
      </c>
      <c r="L2146" s="49" t="s">
        <v>6194</v>
      </c>
      <c r="M2146" s="50">
        <v>7.0</v>
      </c>
      <c r="N2146" s="51"/>
      <c r="O2146" s="20"/>
      <c r="P2146" s="20"/>
      <c r="Q2146" s="20"/>
      <c r="R2146" s="20"/>
      <c r="S2146" s="20"/>
    </row>
    <row r="2147">
      <c r="A2147" s="76" t="s">
        <v>9052</v>
      </c>
      <c r="B2147" s="97">
        <v>46205.0</v>
      </c>
      <c r="C2147" s="76" t="s">
        <v>9053</v>
      </c>
      <c r="D2147" s="99" t="s">
        <v>9054</v>
      </c>
      <c r="E2147" s="25" t="s">
        <v>17</v>
      </c>
      <c r="F2147" s="25" t="s">
        <v>129</v>
      </c>
      <c r="G2147" s="25" t="s">
        <v>19</v>
      </c>
      <c r="H2147" s="76" t="s">
        <v>260</v>
      </c>
      <c r="I2147" s="118">
        <v>46212.0</v>
      </c>
      <c r="J2147" s="76">
        <v>2.0</v>
      </c>
      <c r="K2147" s="19">
        <v>3200000.0</v>
      </c>
      <c r="L2147" s="76" t="s">
        <v>6194</v>
      </c>
      <c r="M2147" s="44">
        <v>7.0</v>
      </c>
      <c r="N2147" s="45"/>
      <c r="O2147" s="20"/>
      <c r="P2147" s="20"/>
      <c r="Q2147" s="20"/>
      <c r="R2147" s="20"/>
      <c r="S2147" s="20"/>
    </row>
    <row r="2148">
      <c r="A2148" s="49" t="s">
        <v>9055</v>
      </c>
      <c r="B2148" s="110">
        <v>46205.0</v>
      </c>
      <c r="C2148" s="49" t="s">
        <v>9056</v>
      </c>
      <c r="D2148" s="102" t="s">
        <v>9057</v>
      </c>
      <c r="E2148" s="25" t="s">
        <v>17</v>
      </c>
      <c r="F2148" s="25" t="s">
        <v>129</v>
      </c>
      <c r="G2148" s="25" t="s">
        <v>42</v>
      </c>
      <c r="H2148" s="49" t="s">
        <v>9058</v>
      </c>
      <c r="I2148" s="49" t="s">
        <v>3960</v>
      </c>
      <c r="J2148" s="49">
        <v>4.0</v>
      </c>
      <c r="K2148" s="30"/>
      <c r="L2148" s="49" t="s">
        <v>9059</v>
      </c>
      <c r="M2148" s="50">
        <v>8.0</v>
      </c>
      <c r="N2148" s="51"/>
      <c r="O2148" s="20"/>
      <c r="P2148" s="20"/>
      <c r="Q2148" s="20"/>
      <c r="R2148" s="20"/>
      <c r="S2148" s="20"/>
    </row>
    <row r="2149">
      <c r="A2149" s="76" t="s">
        <v>9060</v>
      </c>
      <c r="B2149" s="110">
        <v>46205.0</v>
      </c>
      <c r="C2149" s="76" t="s">
        <v>9061</v>
      </c>
      <c r="D2149" s="99" t="s">
        <v>9062</v>
      </c>
      <c r="E2149" s="25" t="s">
        <v>17</v>
      </c>
      <c r="F2149" s="25" t="s">
        <v>129</v>
      </c>
      <c r="G2149" s="25" t="s">
        <v>42</v>
      </c>
      <c r="H2149" s="10"/>
      <c r="I2149" s="10"/>
      <c r="J2149" s="10"/>
      <c r="K2149" s="46"/>
      <c r="L2149" s="76" t="s">
        <v>9063</v>
      </c>
      <c r="M2149" s="44">
        <v>8.0</v>
      </c>
      <c r="N2149" s="45"/>
      <c r="O2149" s="20"/>
      <c r="P2149" s="20"/>
      <c r="Q2149" s="20"/>
      <c r="R2149" s="20"/>
      <c r="S2149" s="20"/>
    </row>
    <row r="2150">
      <c r="A2150" s="49" t="s">
        <v>9064</v>
      </c>
      <c r="B2150" s="110">
        <v>46206.0</v>
      </c>
      <c r="C2150" s="49" t="s">
        <v>9065</v>
      </c>
      <c r="D2150" s="102" t="s">
        <v>9066</v>
      </c>
      <c r="E2150" s="25" t="s">
        <v>128</v>
      </c>
      <c r="F2150" s="25" t="s">
        <v>129</v>
      </c>
      <c r="G2150" s="25" t="s">
        <v>29</v>
      </c>
      <c r="H2150" s="23"/>
      <c r="I2150" s="23"/>
      <c r="J2150" s="23"/>
      <c r="K2150" s="30"/>
      <c r="L2150" s="49" t="s">
        <v>966</v>
      </c>
      <c r="M2150" s="50">
        <v>1.0</v>
      </c>
      <c r="N2150" s="51"/>
      <c r="O2150" s="20"/>
      <c r="P2150" s="20"/>
      <c r="Q2150" s="20"/>
      <c r="R2150" s="20"/>
      <c r="S2150" s="20"/>
    </row>
    <row r="2151">
      <c r="A2151" s="76" t="s">
        <v>9067</v>
      </c>
      <c r="B2151" s="97">
        <v>46206.0</v>
      </c>
      <c r="C2151" s="76" t="s">
        <v>9068</v>
      </c>
      <c r="D2151" s="99" t="s">
        <v>9069</v>
      </c>
      <c r="E2151" s="25" t="s">
        <v>17</v>
      </c>
      <c r="F2151" s="25" t="s">
        <v>129</v>
      </c>
      <c r="G2151" s="25" t="s">
        <v>29</v>
      </c>
      <c r="H2151" s="76" t="s">
        <v>571</v>
      </c>
      <c r="I2151" s="10"/>
      <c r="J2151" s="10"/>
      <c r="K2151" s="46"/>
      <c r="L2151" s="76" t="s">
        <v>9070</v>
      </c>
      <c r="M2151" s="44">
        <v>1.0</v>
      </c>
      <c r="N2151" s="45"/>
      <c r="O2151" s="20"/>
      <c r="P2151" s="20"/>
      <c r="Q2151" s="20"/>
      <c r="R2151" s="20"/>
      <c r="S2151" s="20"/>
    </row>
    <row r="2152">
      <c r="A2152" s="49" t="s">
        <v>9071</v>
      </c>
      <c r="B2152" s="110">
        <v>46207.0</v>
      </c>
      <c r="C2152" s="49" t="s">
        <v>9072</v>
      </c>
      <c r="D2152" s="102" t="s">
        <v>9073</v>
      </c>
      <c r="E2152" s="25" t="s">
        <v>17</v>
      </c>
      <c r="F2152" s="25" t="s">
        <v>129</v>
      </c>
      <c r="G2152" s="25" t="s">
        <v>42</v>
      </c>
      <c r="H2152" s="49" t="s">
        <v>116</v>
      </c>
      <c r="I2152" s="101">
        <v>46214.0</v>
      </c>
      <c r="J2152" s="49">
        <v>30.0</v>
      </c>
      <c r="K2152" s="30"/>
      <c r="L2152" s="49" t="s">
        <v>358</v>
      </c>
      <c r="M2152" s="50">
        <v>8.0</v>
      </c>
      <c r="N2152" s="51"/>
      <c r="O2152" s="20"/>
      <c r="P2152" s="20"/>
      <c r="Q2152" s="20"/>
      <c r="R2152" s="20"/>
      <c r="S2152" s="20"/>
    </row>
    <row r="2153">
      <c r="A2153" s="76" t="s">
        <v>9074</v>
      </c>
      <c r="B2153" s="97">
        <v>46206.0</v>
      </c>
      <c r="C2153" s="76" t="s">
        <v>9075</v>
      </c>
      <c r="D2153" s="99" t="s">
        <v>9076</v>
      </c>
      <c r="E2153" s="25" t="s">
        <v>128</v>
      </c>
      <c r="F2153" s="25" t="s">
        <v>129</v>
      </c>
      <c r="G2153" s="25" t="s">
        <v>42</v>
      </c>
      <c r="H2153" s="76" t="s">
        <v>3966</v>
      </c>
      <c r="I2153" s="10"/>
      <c r="J2153" s="10"/>
      <c r="K2153" s="46"/>
      <c r="L2153" s="76" t="s">
        <v>9070</v>
      </c>
      <c r="M2153" s="44">
        <v>8.0</v>
      </c>
      <c r="N2153" s="45"/>
      <c r="O2153" s="20"/>
      <c r="P2153" s="20"/>
      <c r="Q2153" s="20"/>
      <c r="R2153" s="20"/>
      <c r="S2153" s="20"/>
    </row>
    <row r="2154">
      <c r="A2154" s="49" t="s">
        <v>9077</v>
      </c>
      <c r="B2154" s="110">
        <v>46205.0</v>
      </c>
      <c r="C2154" s="49" t="s">
        <v>9078</v>
      </c>
      <c r="D2154" s="102" t="s">
        <v>9079</v>
      </c>
      <c r="E2154" s="25" t="s">
        <v>17</v>
      </c>
      <c r="F2154" s="25" t="s">
        <v>18</v>
      </c>
      <c r="G2154" s="25" t="s">
        <v>49</v>
      </c>
      <c r="H2154" s="49" t="s">
        <v>5804</v>
      </c>
      <c r="I2154" s="49"/>
      <c r="J2154" s="49">
        <v>1.0</v>
      </c>
      <c r="K2154" s="36">
        <v>1600000.0</v>
      </c>
      <c r="L2154" s="23"/>
      <c r="M2154" s="50">
        <v>4.0</v>
      </c>
      <c r="N2154" s="51"/>
      <c r="O2154" s="20"/>
      <c r="P2154" s="20"/>
      <c r="Q2154" s="20"/>
      <c r="R2154" s="20"/>
      <c r="S2154" s="20"/>
    </row>
    <row r="2155">
      <c r="A2155" s="76" t="s">
        <v>9080</v>
      </c>
      <c r="B2155" s="97">
        <v>46206.0</v>
      </c>
      <c r="C2155" s="76" t="s">
        <v>9081</v>
      </c>
      <c r="D2155" s="99" t="s">
        <v>9082</v>
      </c>
      <c r="E2155" s="25" t="s">
        <v>17</v>
      </c>
      <c r="F2155" s="25" t="s">
        <v>18</v>
      </c>
      <c r="G2155" s="25" t="s">
        <v>42</v>
      </c>
      <c r="H2155" s="76" t="s">
        <v>2327</v>
      </c>
      <c r="I2155" s="118">
        <v>46208.0</v>
      </c>
      <c r="J2155" s="10"/>
      <c r="K2155" s="46"/>
      <c r="L2155" s="76" t="s">
        <v>9083</v>
      </c>
      <c r="M2155" s="44">
        <v>8.0</v>
      </c>
      <c r="N2155" s="45"/>
      <c r="O2155" s="20"/>
      <c r="P2155" s="20"/>
      <c r="Q2155" s="20"/>
      <c r="R2155" s="20"/>
      <c r="S2155" s="20"/>
    </row>
    <row r="2156">
      <c r="A2156" s="49" t="s">
        <v>9084</v>
      </c>
      <c r="B2156" s="110">
        <v>46206.0</v>
      </c>
      <c r="C2156" s="49" t="s">
        <v>9085</v>
      </c>
      <c r="D2156" s="102" t="s">
        <v>9069</v>
      </c>
      <c r="E2156" s="25" t="s">
        <v>17</v>
      </c>
      <c r="F2156" s="25" t="s">
        <v>18</v>
      </c>
      <c r="G2156" s="25" t="s">
        <v>19</v>
      </c>
      <c r="H2156" s="49" t="s">
        <v>3317</v>
      </c>
      <c r="I2156" s="49" t="s">
        <v>9086</v>
      </c>
      <c r="J2156" s="23"/>
      <c r="K2156" s="36">
        <v>4120000.0</v>
      </c>
      <c r="L2156" s="49" t="s">
        <v>4896</v>
      </c>
      <c r="M2156" s="50">
        <v>7.0</v>
      </c>
      <c r="N2156" s="51"/>
      <c r="O2156" s="20"/>
      <c r="P2156" s="20"/>
      <c r="Q2156" s="20"/>
      <c r="R2156" s="20"/>
      <c r="S2156" s="20"/>
    </row>
    <row r="2157">
      <c r="A2157" s="76" t="s">
        <v>9087</v>
      </c>
      <c r="B2157" s="97">
        <v>46206.0</v>
      </c>
      <c r="C2157" s="76" t="s">
        <v>9088</v>
      </c>
      <c r="D2157" s="99" t="s">
        <v>9089</v>
      </c>
      <c r="E2157" s="25" t="s">
        <v>128</v>
      </c>
      <c r="F2157" s="25" t="s">
        <v>18</v>
      </c>
      <c r="G2157" s="25" t="s">
        <v>34</v>
      </c>
      <c r="H2157" s="76" t="s">
        <v>172</v>
      </c>
      <c r="I2157" s="76" t="s">
        <v>9090</v>
      </c>
      <c r="J2157" s="76">
        <v>2.0</v>
      </c>
      <c r="K2157" s="46">
        <f>1600000*2</f>
        <v>3200000</v>
      </c>
      <c r="L2157" s="10"/>
      <c r="M2157" s="44">
        <v>2.0</v>
      </c>
      <c r="N2157" s="45"/>
      <c r="O2157" s="20"/>
      <c r="P2157" s="20"/>
      <c r="Q2157" s="20"/>
      <c r="R2157" s="20"/>
      <c r="S2157" s="20"/>
    </row>
    <row r="2158">
      <c r="A2158" s="49" t="s">
        <v>9091</v>
      </c>
      <c r="B2158" s="110">
        <v>46206.0</v>
      </c>
      <c r="C2158" s="49" t="s">
        <v>9092</v>
      </c>
      <c r="D2158" s="102" t="s">
        <v>9093</v>
      </c>
      <c r="E2158" s="25" t="s">
        <v>128</v>
      </c>
      <c r="F2158" s="25" t="s">
        <v>18</v>
      </c>
      <c r="G2158" s="25" t="s">
        <v>29</v>
      </c>
      <c r="H2158" s="49" t="s">
        <v>5658</v>
      </c>
      <c r="I2158" s="23"/>
      <c r="J2158" s="23"/>
      <c r="K2158" s="30"/>
      <c r="L2158" s="23"/>
      <c r="M2158" s="50">
        <v>1.0</v>
      </c>
      <c r="N2158" s="51"/>
      <c r="O2158" s="20"/>
      <c r="P2158" s="20"/>
      <c r="Q2158" s="20"/>
      <c r="R2158" s="20"/>
      <c r="S2158" s="20"/>
    </row>
    <row r="2159">
      <c r="A2159" s="76" t="s">
        <v>9094</v>
      </c>
      <c r="B2159" s="97">
        <v>46206.0</v>
      </c>
      <c r="C2159" s="76" t="s">
        <v>9095</v>
      </c>
      <c r="D2159" s="99" t="s">
        <v>9096</v>
      </c>
      <c r="E2159" s="25" t="s">
        <v>128</v>
      </c>
      <c r="F2159" s="25" t="s">
        <v>18</v>
      </c>
      <c r="G2159" s="25" t="s">
        <v>29</v>
      </c>
      <c r="H2159" s="76" t="s">
        <v>5658</v>
      </c>
      <c r="I2159" s="10"/>
      <c r="J2159" s="10"/>
      <c r="K2159" s="46"/>
      <c r="L2159" s="76">
        <v>1.0</v>
      </c>
      <c r="M2159" s="44">
        <v>1.0</v>
      </c>
      <c r="N2159" s="45"/>
      <c r="O2159" s="20"/>
      <c r="P2159" s="20"/>
      <c r="Q2159" s="20"/>
      <c r="R2159" s="20"/>
      <c r="S2159" s="20"/>
    </row>
    <row r="2160">
      <c r="A2160" s="49" t="s">
        <v>9097</v>
      </c>
      <c r="B2160" s="110">
        <v>46206.0</v>
      </c>
      <c r="C2160" s="49" t="s">
        <v>9098</v>
      </c>
      <c r="D2160" s="102" t="s">
        <v>9099</v>
      </c>
      <c r="E2160" s="25" t="s">
        <v>128</v>
      </c>
      <c r="F2160" s="25" t="s">
        <v>18</v>
      </c>
      <c r="G2160" s="25" t="s">
        <v>29</v>
      </c>
      <c r="H2160" s="23"/>
      <c r="I2160" s="23"/>
      <c r="J2160" s="23"/>
      <c r="K2160" s="30"/>
      <c r="L2160" s="23"/>
      <c r="M2160" s="50">
        <v>1.0</v>
      </c>
      <c r="N2160" s="51"/>
      <c r="O2160" s="20"/>
      <c r="P2160" s="20"/>
      <c r="Q2160" s="20"/>
      <c r="R2160" s="20"/>
      <c r="S2160" s="20"/>
    </row>
    <row r="2161">
      <c r="A2161" s="76" t="s">
        <v>9100</v>
      </c>
      <c r="B2161" s="97">
        <v>46206.0</v>
      </c>
      <c r="C2161" s="76" t="s">
        <v>9101</v>
      </c>
      <c r="D2161" s="99" t="s">
        <v>9102</v>
      </c>
      <c r="E2161" s="25" t="s">
        <v>17</v>
      </c>
      <c r="F2161" s="25" t="s">
        <v>18</v>
      </c>
      <c r="G2161" s="25" t="s">
        <v>29</v>
      </c>
      <c r="H2161" s="10"/>
      <c r="I2161" s="10"/>
      <c r="J2161" s="10"/>
      <c r="K2161" s="46"/>
      <c r="L2161" s="10"/>
      <c r="M2161" s="44">
        <v>1.0</v>
      </c>
      <c r="N2161" s="45"/>
      <c r="O2161" s="20"/>
      <c r="P2161" s="20"/>
      <c r="Q2161" s="20"/>
      <c r="R2161" s="20"/>
      <c r="S2161" s="20"/>
    </row>
    <row r="2162">
      <c r="A2162" s="49" t="s">
        <v>9103</v>
      </c>
      <c r="B2162" s="110">
        <v>46206.0</v>
      </c>
      <c r="C2162" s="49" t="s">
        <v>9104</v>
      </c>
      <c r="D2162" s="102" t="s">
        <v>9105</v>
      </c>
      <c r="E2162" s="25" t="s">
        <v>128</v>
      </c>
      <c r="F2162" s="25" t="s">
        <v>18</v>
      </c>
      <c r="G2162" s="25" t="s">
        <v>42</v>
      </c>
      <c r="H2162" s="49" t="s">
        <v>9106</v>
      </c>
      <c r="I2162" s="156">
        <v>46208.0</v>
      </c>
      <c r="J2162" s="49">
        <v>5.0</v>
      </c>
      <c r="K2162" s="30"/>
      <c r="L2162" s="49" t="s">
        <v>4347</v>
      </c>
      <c r="M2162" s="50">
        <v>8.0</v>
      </c>
      <c r="N2162" s="51"/>
      <c r="O2162" s="20"/>
      <c r="P2162" s="20"/>
      <c r="Q2162" s="20"/>
      <c r="R2162" s="20"/>
      <c r="S2162" s="20"/>
    </row>
    <row r="2163">
      <c r="A2163" s="76" t="s">
        <v>9107</v>
      </c>
      <c r="B2163" s="110">
        <v>46207.0</v>
      </c>
      <c r="C2163" s="76" t="s">
        <v>9108</v>
      </c>
      <c r="D2163" s="99" t="s">
        <v>9109</v>
      </c>
      <c r="E2163" s="25" t="s">
        <v>128</v>
      </c>
      <c r="F2163" s="25" t="s">
        <v>18</v>
      </c>
      <c r="G2163" s="25" t="s">
        <v>29</v>
      </c>
      <c r="H2163" s="10"/>
      <c r="I2163" s="10"/>
      <c r="J2163" s="10"/>
      <c r="K2163" s="46"/>
      <c r="L2163" s="10"/>
      <c r="M2163" s="44">
        <v>1.0</v>
      </c>
      <c r="N2163" s="45"/>
      <c r="O2163" s="20"/>
      <c r="P2163" s="20"/>
      <c r="Q2163" s="20"/>
      <c r="R2163" s="20"/>
      <c r="S2163" s="20"/>
    </row>
    <row r="2164">
      <c r="A2164" s="49" t="s">
        <v>9110</v>
      </c>
      <c r="B2164" s="161">
        <v>46207.0</v>
      </c>
      <c r="C2164" s="49" t="s">
        <v>9111</v>
      </c>
      <c r="D2164" s="102" t="s">
        <v>9112</v>
      </c>
      <c r="E2164" s="25" t="s">
        <v>17</v>
      </c>
      <c r="F2164" s="25" t="s">
        <v>18</v>
      </c>
      <c r="G2164" s="25" t="s">
        <v>29</v>
      </c>
      <c r="H2164" s="23"/>
      <c r="I2164" s="23"/>
      <c r="J2164" s="23"/>
      <c r="K2164" s="30"/>
      <c r="L2164" s="23"/>
      <c r="M2164" s="50">
        <v>1.0</v>
      </c>
      <c r="N2164" s="51"/>
      <c r="O2164" s="20"/>
      <c r="P2164" s="20"/>
      <c r="Q2164" s="20"/>
      <c r="R2164" s="20"/>
      <c r="S2164" s="20"/>
    </row>
    <row r="2165">
      <c r="A2165" s="76" t="s">
        <v>9113</v>
      </c>
      <c r="B2165" s="97">
        <v>46206.0</v>
      </c>
      <c r="C2165" s="76" t="s">
        <v>9114</v>
      </c>
      <c r="D2165" s="99" t="s">
        <v>9115</v>
      </c>
      <c r="E2165" s="25" t="s">
        <v>17</v>
      </c>
      <c r="F2165" s="25" t="s">
        <v>129</v>
      </c>
      <c r="G2165" s="25" t="s">
        <v>29</v>
      </c>
      <c r="H2165" s="76" t="s">
        <v>4655</v>
      </c>
      <c r="I2165" s="118">
        <v>46277.0</v>
      </c>
      <c r="J2165" s="76">
        <v>4.0</v>
      </c>
      <c r="K2165" s="46"/>
      <c r="L2165" s="76" t="s">
        <v>9116</v>
      </c>
      <c r="M2165" s="44">
        <v>1.0</v>
      </c>
      <c r="N2165" s="45"/>
      <c r="O2165" s="20"/>
      <c r="P2165" s="20"/>
      <c r="Q2165" s="20"/>
      <c r="R2165" s="20"/>
      <c r="S2165" s="20"/>
    </row>
    <row r="2166">
      <c r="A2166" s="49" t="s">
        <v>9117</v>
      </c>
      <c r="B2166" s="110">
        <v>46206.0</v>
      </c>
      <c r="C2166" s="49" t="s">
        <v>9118</v>
      </c>
      <c r="D2166" s="102" t="s">
        <v>9119</v>
      </c>
      <c r="E2166" s="25" t="s">
        <v>17</v>
      </c>
      <c r="F2166" s="25" t="s">
        <v>983</v>
      </c>
      <c r="G2166" s="25" t="s">
        <v>42</v>
      </c>
      <c r="H2166" s="49" t="s">
        <v>172</v>
      </c>
      <c r="I2166" s="23"/>
      <c r="J2166" s="49">
        <v>2.0</v>
      </c>
      <c r="K2166" s="30"/>
      <c r="L2166" s="49" t="s">
        <v>9120</v>
      </c>
      <c r="M2166" s="50">
        <v>8.0</v>
      </c>
      <c r="N2166" s="51"/>
      <c r="O2166" s="20"/>
      <c r="P2166" s="20"/>
      <c r="Q2166" s="20"/>
      <c r="R2166" s="20"/>
      <c r="S2166" s="20"/>
    </row>
    <row r="2167">
      <c r="A2167" s="76" t="s">
        <v>9121</v>
      </c>
      <c r="B2167" s="97">
        <v>46206.0</v>
      </c>
      <c r="C2167" s="76" t="s">
        <v>9122</v>
      </c>
      <c r="D2167" s="99" t="s">
        <v>9123</v>
      </c>
      <c r="E2167" s="25" t="s">
        <v>128</v>
      </c>
      <c r="F2167" s="25" t="s">
        <v>129</v>
      </c>
      <c r="G2167" s="25" t="s">
        <v>29</v>
      </c>
      <c r="H2167" s="76" t="s">
        <v>7500</v>
      </c>
      <c r="I2167" s="118">
        <v>46255.0</v>
      </c>
      <c r="J2167" s="76">
        <v>3.0</v>
      </c>
      <c r="K2167" s="46"/>
      <c r="L2167" s="76" t="s">
        <v>4745</v>
      </c>
      <c r="M2167" s="44">
        <v>1.0</v>
      </c>
      <c r="N2167" s="45"/>
      <c r="O2167" s="20"/>
      <c r="P2167" s="20"/>
      <c r="Q2167" s="20"/>
      <c r="R2167" s="20"/>
      <c r="S2167" s="20"/>
    </row>
    <row r="2168">
      <c r="A2168" s="49" t="s">
        <v>9124</v>
      </c>
      <c r="B2168" s="110">
        <v>46207.0</v>
      </c>
      <c r="C2168" s="49" t="s">
        <v>9125</v>
      </c>
      <c r="D2168" s="102" t="s">
        <v>9126</v>
      </c>
      <c r="E2168" s="25" t="s">
        <v>17</v>
      </c>
      <c r="F2168" s="25" t="s">
        <v>129</v>
      </c>
      <c r="G2168" s="25" t="s">
        <v>29</v>
      </c>
      <c r="H2168" s="49" t="s">
        <v>243</v>
      </c>
      <c r="I2168" s="23"/>
      <c r="J2168" s="23"/>
      <c r="K2168" s="30"/>
      <c r="L2168" s="49" t="s">
        <v>9127</v>
      </c>
      <c r="M2168" s="50">
        <v>1.0</v>
      </c>
      <c r="N2168" s="51"/>
      <c r="O2168" s="20"/>
      <c r="P2168" s="20"/>
      <c r="Q2168" s="20"/>
      <c r="R2168" s="20"/>
      <c r="S2168" s="20"/>
    </row>
    <row r="2169">
      <c r="A2169" s="76" t="s">
        <v>9128</v>
      </c>
      <c r="B2169" s="97">
        <v>46207.0</v>
      </c>
      <c r="C2169" s="76" t="s">
        <v>9129</v>
      </c>
      <c r="D2169" s="99" t="s">
        <v>9109</v>
      </c>
      <c r="E2169" s="25" t="s">
        <v>128</v>
      </c>
      <c r="F2169" s="25" t="s">
        <v>18</v>
      </c>
      <c r="G2169" s="25" t="s">
        <v>29</v>
      </c>
      <c r="H2169" s="76" t="s">
        <v>9130</v>
      </c>
      <c r="I2169" s="10"/>
      <c r="J2169" s="10"/>
      <c r="K2169" s="46"/>
      <c r="L2169" s="10"/>
      <c r="M2169" s="44">
        <v>1.0</v>
      </c>
      <c r="N2169" s="45"/>
      <c r="O2169" s="20"/>
      <c r="P2169" s="20"/>
      <c r="Q2169" s="20"/>
      <c r="R2169" s="20"/>
      <c r="S2169" s="20"/>
    </row>
    <row r="2170">
      <c r="A2170" s="49" t="s">
        <v>9131</v>
      </c>
      <c r="B2170" s="110">
        <v>46207.0</v>
      </c>
      <c r="C2170" s="49" t="s">
        <v>9132</v>
      </c>
      <c r="D2170" s="102" t="s">
        <v>9133</v>
      </c>
      <c r="E2170" s="25" t="s">
        <v>128</v>
      </c>
      <c r="F2170" s="25" t="s">
        <v>18</v>
      </c>
      <c r="G2170" s="25" t="s">
        <v>34</v>
      </c>
      <c r="H2170" s="49" t="s">
        <v>5658</v>
      </c>
      <c r="I2170" s="101">
        <v>46249.0</v>
      </c>
      <c r="J2170" s="49">
        <v>100.0</v>
      </c>
      <c r="K2170" s="30"/>
      <c r="L2170" s="23"/>
      <c r="M2170" s="50">
        <v>2.0</v>
      </c>
      <c r="N2170" s="51"/>
      <c r="O2170" s="20"/>
      <c r="P2170" s="20"/>
      <c r="Q2170" s="20"/>
      <c r="R2170" s="20"/>
      <c r="S2170" s="20"/>
    </row>
    <row r="2171">
      <c r="A2171" s="76" t="s">
        <v>9134</v>
      </c>
      <c r="B2171" s="97">
        <v>46207.0</v>
      </c>
      <c r="C2171" s="76" t="s">
        <v>9135</v>
      </c>
      <c r="D2171" s="99" t="s">
        <v>9136</v>
      </c>
      <c r="E2171" s="25" t="s">
        <v>122</v>
      </c>
      <c r="F2171" s="25" t="s">
        <v>129</v>
      </c>
      <c r="G2171" s="25" t="s">
        <v>19</v>
      </c>
      <c r="H2171" s="76" t="s">
        <v>4064</v>
      </c>
      <c r="I2171" s="118">
        <v>46208.0</v>
      </c>
      <c r="J2171" s="76">
        <v>4.0</v>
      </c>
      <c r="K2171" s="19">
        <v>4200000.0</v>
      </c>
      <c r="L2171" s="76" t="s">
        <v>7557</v>
      </c>
      <c r="M2171" s="44">
        <v>7.0</v>
      </c>
      <c r="N2171" s="45"/>
      <c r="O2171" s="20"/>
      <c r="P2171" s="20"/>
      <c r="Q2171" s="20"/>
      <c r="R2171" s="20"/>
      <c r="S2171" s="20"/>
    </row>
    <row r="2172">
      <c r="A2172" s="49" t="s">
        <v>9137</v>
      </c>
      <c r="B2172" s="110">
        <v>46205.0</v>
      </c>
      <c r="C2172" s="49" t="s">
        <v>9138</v>
      </c>
      <c r="D2172" s="102" t="s">
        <v>9139</v>
      </c>
      <c r="E2172" s="25" t="s">
        <v>17</v>
      </c>
      <c r="F2172" s="25" t="s">
        <v>18</v>
      </c>
      <c r="G2172" s="25" t="s">
        <v>34</v>
      </c>
      <c r="H2172" s="49" t="s">
        <v>2105</v>
      </c>
      <c r="I2172" s="101">
        <v>46247.0</v>
      </c>
      <c r="J2172" s="49">
        <v>2.0</v>
      </c>
      <c r="K2172" s="30"/>
      <c r="L2172" s="49" t="s">
        <v>9140</v>
      </c>
      <c r="M2172" s="50">
        <v>2.0</v>
      </c>
      <c r="N2172" s="51"/>
      <c r="O2172" s="20"/>
      <c r="P2172" s="20"/>
      <c r="Q2172" s="20"/>
      <c r="R2172" s="20"/>
      <c r="S2172" s="20"/>
    </row>
    <row r="2173">
      <c r="A2173" s="76" t="s">
        <v>9141</v>
      </c>
      <c r="B2173" s="97">
        <v>46207.0</v>
      </c>
      <c r="C2173" s="76" t="s">
        <v>9142</v>
      </c>
      <c r="D2173" s="99" t="s">
        <v>9143</v>
      </c>
      <c r="E2173" s="25" t="s">
        <v>128</v>
      </c>
      <c r="F2173" s="25" t="s">
        <v>18</v>
      </c>
      <c r="G2173" s="25" t="s">
        <v>29</v>
      </c>
      <c r="H2173" s="76" t="s">
        <v>2462</v>
      </c>
      <c r="I2173" s="10"/>
      <c r="J2173" s="10"/>
      <c r="K2173" s="46"/>
      <c r="L2173" s="10"/>
      <c r="M2173" s="44">
        <v>1.0</v>
      </c>
      <c r="N2173" s="45"/>
      <c r="O2173" s="20"/>
      <c r="P2173" s="20"/>
      <c r="Q2173" s="20"/>
      <c r="R2173" s="20"/>
      <c r="S2173" s="20"/>
    </row>
    <row r="2174">
      <c r="A2174" s="49" t="s">
        <v>9144</v>
      </c>
      <c r="B2174" s="110">
        <v>46208.0</v>
      </c>
      <c r="C2174" s="49" t="s">
        <v>9145</v>
      </c>
      <c r="D2174" s="102" t="s">
        <v>9146</v>
      </c>
      <c r="E2174" s="25" t="s">
        <v>17</v>
      </c>
      <c r="F2174" s="25" t="s">
        <v>18</v>
      </c>
      <c r="G2174" s="25" t="s">
        <v>29</v>
      </c>
      <c r="H2174" s="49" t="s">
        <v>4872</v>
      </c>
      <c r="I2174" s="23"/>
      <c r="J2174" s="23"/>
      <c r="K2174" s="30"/>
      <c r="L2174" s="23"/>
      <c r="M2174" s="50">
        <v>1.0</v>
      </c>
      <c r="N2174" s="51"/>
      <c r="O2174" s="20"/>
      <c r="P2174" s="20"/>
      <c r="Q2174" s="20"/>
      <c r="R2174" s="20"/>
      <c r="S2174" s="20"/>
    </row>
    <row r="2175">
      <c r="A2175" s="76" t="s">
        <v>9147</v>
      </c>
      <c r="B2175" s="97">
        <v>46208.0</v>
      </c>
      <c r="C2175" s="76" t="s">
        <v>9148</v>
      </c>
      <c r="D2175" s="99" t="s">
        <v>9149</v>
      </c>
      <c r="E2175" s="25" t="s">
        <v>17</v>
      </c>
      <c r="F2175" s="25" t="s">
        <v>18</v>
      </c>
      <c r="G2175" s="25" t="s">
        <v>29</v>
      </c>
      <c r="H2175" s="10"/>
      <c r="I2175" s="10"/>
      <c r="J2175" s="10"/>
      <c r="K2175" s="46"/>
      <c r="L2175" s="10"/>
      <c r="M2175" s="44">
        <v>1.0</v>
      </c>
      <c r="N2175" s="45"/>
      <c r="O2175" s="20"/>
      <c r="P2175" s="20"/>
      <c r="Q2175" s="20"/>
      <c r="R2175" s="20"/>
      <c r="S2175" s="20"/>
    </row>
    <row r="2176">
      <c r="A2176" s="49" t="s">
        <v>9150</v>
      </c>
      <c r="B2176" s="110">
        <v>46207.0</v>
      </c>
      <c r="C2176" s="49" t="s">
        <v>9151</v>
      </c>
      <c r="D2176" s="102" t="s">
        <v>9152</v>
      </c>
      <c r="E2176" s="25" t="s">
        <v>128</v>
      </c>
      <c r="F2176" s="25" t="s">
        <v>18</v>
      </c>
      <c r="G2176" s="25" t="s">
        <v>42</v>
      </c>
      <c r="H2176" s="49" t="s">
        <v>4872</v>
      </c>
      <c r="I2176" s="101">
        <v>46209.0</v>
      </c>
      <c r="J2176" s="49">
        <v>4.0</v>
      </c>
      <c r="K2176" s="30"/>
      <c r="L2176" s="23"/>
      <c r="M2176" s="50">
        <v>8.0</v>
      </c>
      <c r="N2176" s="51"/>
      <c r="O2176" s="20"/>
      <c r="P2176" s="20"/>
      <c r="Q2176" s="20"/>
      <c r="R2176" s="20"/>
      <c r="S2176" s="20"/>
    </row>
    <row r="2177">
      <c r="A2177" s="76" t="s">
        <v>9153</v>
      </c>
      <c r="B2177" s="97">
        <v>46208.0</v>
      </c>
      <c r="C2177" s="76" t="s">
        <v>9154</v>
      </c>
      <c r="D2177" s="13">
        <f>97477029200</f>
        <v>97477029200</v>
      </c>
      <c r="E2177" s="25" t="s">
        <v>122</v>
      </c>
      <c r="F2177" s="25" t="s">
        <v>18</v>
      </c>
      <c r="G2177" s="25" t="s">
        <v>42</v>
      </c>
      <c r="H2177" s="10"/>
      <c r="I2177" s="10"/>
      <c r="J2177" s="76">
        <v>3.0</v>
      </c>
      <c r="K2177" s="46"/>
      <c r="L2177" s="76" t="s">
        <v>9155</v>
      </c>
      <c r="M2177" s="44">
        <v>8.0</v>
      </c>
      <c r="N2177" s="45"/>
      <c r="O2177" s="20"/>
      <c r="P2177" s="20"/>
      <c r="Q2177" s="20"/>
      <c r="R2177" s="20"/>
      <c r="S2177" s="20"/>
    </row>
    <row r="2178">
      <c r="A2178" s="49" t="s">
        <v>9156</v>
      </c>
      <c r="B2178" s="110">
        <v>46207.0</v>
      </c>
      <c r="C2178" s="49" t="s">
        <v>9157</v>
      </c>
      <c r="D2178" s="102" t="s">
        <v>9158</v>
      </c>
      <c r="E2178" s="25" t="s">
        <v>17</v>
      </c>
      <c r="F2178" s="25" t="s">
        <v>129</v>
      </c>
      <c r="G2178" s="25" t="s">
        <v>29</v>
      </c>
      <c r="H2178" s="23"/>
      <c r="I2178" s="23"/>
      <c r="J2178" s="23"/>
      <c r="K2178" s="30"/>
      <c r="L2178" s="23"/>
      <c r="M2178" s="50">
        <v>1.0</v>
      </c>
      <c r="N2178" s="51"/>
      <c r="O2178" s="20"/>
      <c r="P2178" s="20"/>
      <c r="Q2178" s="20"/>
      <c r="R2178" s="20"/>
      <c r="S2178" s="20"/>
    </row>
    <row r="2179">
      <c r="A2179" s="76" t="s">
        <v>9159</v>
      </c>
      <c r="B2179" s="97">
        <v>46207.0</v>
      </c>
      <c r="C2179" s="76" t="s">
        <v>9160</v>
      </c>
      <c r="D2179" s="99" t="s">
        <v>9161</v>
      </c>
      <c r="E2179" s="25" t="s">
        <v>17</v>
      </c>
      <c r="F2179" s="25" t="s">
        <v>129</v>
      </c>
      <c r="G2179" s="25" t="s">
        <v>29</v>
      </c>
      <c r="H2179" s="76" t="s">
        <v>9162</v>
      </c>
      <c r="I2179" s="10"/>
      <c r="J2179" s="10"/>
      <c r="K2179" s="46"/>
      <c r="L2179" s="76" t="s">
        <v>9163</v>
      </c>
      <c r="M2179" s="44">
        <v>1.0</v>
      </c>
      <c r="N2179" s="45"/>
      <c r="O2179" s="20"/>
      <c r="P2179" s="20"/>
      <c r="Q2179" s="20"/>
      <c r="R2179" s="20"/>
      <c r="S2179" s="20"/>
    </row>
    <row r="2180">
      <c r="A2180" s="49" t="s">
        <v>9164</v>
      </c>
      <c r="B2180" s="110">
        <v>46207.0</v>
      </c>
      <c r="C2180" s="49" t="s">
        <v>9165</v>
      </c>
      <c r="D2180" s="102" t="s">
        <v>9166</v>
      </c>
      <c r="E2180" s="25" t="s">
        <v>128</v>
      </c>
      <c r="F2180" s="25" t="s">
        <v>129</v>
      </c>
      <c r="G2180" s="25" t="s">
        <v>29</v>
      </c>
      <c r="H2180" s="49" t="s">
        <v>3273</v>
      </c>
      <c r="I2180" s="23"/>
      <c r="J2180" s="23"/>
      <c r="K2180" s="30"/>
      <c r="L2180" s="49" t="s">
        <v>9167</v>
      </c>
      <c r="M2180" s="50">
        <v>1.0</v>
      </c>
      <c r="N2180" s="51"/>
      <c r="O2180" s="20"/>
      <c r="P2180" s="20"/>
      <c r="Q2180" s="20"/>
      <c r="R2180" s="20"/>
      <c r="S2180" s="20"/>
    </row>
    <row r="2181">
      <c r="A2181" s="76" t="s">
        <v>9168</v>
      </c>
      <c r="B2181" s="97">
        <v>46207.0</v>
      </c>
      <c r="C2181" s="76" t="s">
        <v>9169</v>
      </c>
      <c r="D2181" s="99" t="s">
        <v>9170</v>
      </c>
      <c r="E2181" s="25" t="s">
        <v>128</v>
      </c>
      <c r="F2181" s="25" t="s">
        <v>129</v>
      </c>
      <c r="G2181" s="25" t="s">
        <v>29</v>
      </c>
      <c r="H2181" s="76" t="s">
        <v>199</v>
      </c>
      <c r="I2181" s="10"/>
      <c r="J2181" s="10"/>
      <c r="K2181" s="46"/>
      <c r="L2181" s="76" t="s">
        <v>9171</v>
      </c>
      <c r="M2181" s="44">
        <v>1.0</v>
      </c>
      <c r="N2181" s="45"/>
      <c r="O2181" s="20"/>
      <c r="P2181" s="20"/>
      <c r="Q2181" s="20"/>
      <c r="R2181" s="20"/>
      <c r="S2181" s="20"/>
    </row>
    <row r="2182">
      <c r="A2182" s="49" t="s">
        <v>9172</v>
      </c>
      <c r="B2182" s="110">
        <v>46207.0</v>
      </c>
      <c r="C2182" s="49" t="s">
        <v>9173</v>
      </c>
      <c r="D2182" s="102" t="s">
        <v>9174</v>
      </c>
      <c r="E2182" s="25" t="s">
        <v>128</v>
      </c>
      <c r="F2182" s="25" t="s">
        <v>129</v>
      </c>
      <c r="G2182" s="25" t="s">
        <v>29</v>
      </c>
      <c r="H2182" s="49" t="s">
        <v>5566</v>
      </c>
      <c r="I2182" s="23"/>
      <c r="J2182" s="23"/>
      <c r="K2182" s="30"/>
      <c r="L2182" s="49" t="s">
        <v>9175</v>
      </c>
      <c r="M2182" s="50">
        <v>1.0</v>
      </c>
      <c r="N2182" s="51"/>
      <c r="O2182" s="20"/>
      <c r="P2182" s="20"/>
      <c r="Q2182" s="20"/>
      <c r="R2182" s="20"/>
      <c r="S2182" s="20"/>
    </row>
    <row r="2183">
      <c r="A2183" s="76" t="s">
        <v>9176</v>
      </c>
      <c r="B2183" s="97">
        <v>46207.0</v>
      </c>
      <c r="C2183" s="76" t="s">
        <v>9177</v>
      </c>
      <c r="D2183" s="99" t="s">
        <v>9178</v>
      </c>
      <c r="E2183" s="25" t="s">
        <v>128</v>
      </c>
      <c r="F2183" s="25" t="s">
        <v>129</v>
      </c>
      <c r="G2183" s="25" t="s">
        <v>29</v>
      </c>
      <c r="H2183" s="76" t="s">
        <v>3837</v>
      </c>
      <c r="I2183" s="10"/>
      <c r="J2183" s="76">
        <v>5.0</v>
      </c>
      <c r="K2183" s="46"/>
      <c r="L2183" s="76" t="s">
        <v>9070</v>
      </c>
      <c r="M2183" s="44">
        <v>1.0</v>
      </c>
      <c r="N2183" s="45"/>
      <c r="O2183" s="20"/>
      <c r="P2183" s="20"/>
      <c r="Q2183" s="20"/>
      <c r="R2183" s="20"/>
      <c r="S2183" s="20"/>
    </row>
    <row r="2184">
      <c r="A2184" s="49" t="s">
        <v>9179</v>
      </c>
      <c r="B2184" s="110">
        <v>46207.0</v>
      </c>
      <c r="C2184" s="49" t="s">
        <v>9180</v>
      </c>
      <c r="D2184" s="102" t="s">
        <v>9181</v>
      </c>
      <c r="E2184" s="25" t="s">
        <v>17</v>
      </c>
      <c r="F2184" s="25" t="s">
        <v>129</v>
      </c>
      <c r="G2184" s="25" t="s">
        <v>29</v>
      </c>
      <c r="H2184" s="49" t="s">
        <v>9182</v>
      </c>
      <c r="I2184" s="23"/>
      <c r="J2184" s="23"/>
      <c r="K2184" s="30"/>
      <c r="L2184" s="23"/>
      <c r="M2184" s="50">
        <v>1.0</v>
      </c>
      <c r="N2184" s="51"/>
      <c r="O2184" s="20"/>
      <c r="P2184" s="20"/>
      <c r="Q2184" s="20"/>
      <c r="R2184" s="20"/>
      <c r="S2184" s="20"/>
    </row>
    <row r="2185">
      <c r="A2185" s="76" t="s">
        <v>9183</v>
      </c>
      <c r="B2185" s="97">
        <v>46204.0</v>
      </c>
      <c r="C2185" s="76" t="s">
        <v>9184</v>
      </c>
      <c r="D2185" s="99" t="s">
        <v>9185</v>
      </c>
      <c r="E2185" s="25" t="s">
        <v>128</v>
      </c>
      <c r="F2185" s="25" t="s">
        <v>18</v>
      </c>
      <c r="G2185" s="25" t="s">
        <v>19</v>
      </c>
      <c r="H2185" s="76" t="s">
        <v>7848</v>
      </c>
      <c r="I2185" s="118">
        <v>46205.0</v>
      </c>
      <c r="J2185" s="76">
        <v>1.0</v>
      </c>
      <c r="K2185" s="46"/>
      <c r="L2185" s="76" t="s">
        <v>9186</v>
      </c>
      <c r="M2185" s="44">
        <v>7.0</v>
      </c>
      <c r="N2185" s="45"/>
      <c r="O2185" s="20"/>
      <c r="P2185" s="20"/>
      <c r="Q2185" s="20"/>
      <c r="R2185" s="20"/>
      <c r="S2185" s="20"/>
    </row>
    <row r="2186">
      <c r="A2186" s="76" t="s">
        <v>9187</v>
      </c>
      <c r="B2186" s="110">
        <v>46207.0</v>
      </c>
      <c r="C2186" s="49" t="s">
        <v>9188</v>
      </c>
      <c r="D2186" s="24"/>
      <c r="E2186" s="25" t="s">
        <v>869</v>
      </c>
      <c r="F2186" s="25" t="s">
        <v>18</v>
      </c>
      <c r="G2186" s="25" t="s">
        <v>19</v>
      </c>
      <c r="H2186" s="49" t="s">
        <v>1543</v>
      </c>
      <c r="I2186" s="49" t="s">
        <v>9189</v>
      </c>
      <c r="J2186" s="49">
        <v>4.0</v>
      </c>
      <c r="K2186" s="30"/>
      <c r="L2186" s="23"/>
      <c r="M2186" s="50">
        <v>7.0</v>
      </c>
      <c r="N2186" s="51"/>
      <c r="O2186" s="20"/>
      <c r="P2186" s="20"/>
      <c r="Q2186" s="20"/>
      <c r="R2186" s="20"/>
      <c r="S2186" s="20"/>
    </row>
    <row r="2187">
      <c r="A2187" s="76" t="s">
        <v>9190</v>
      </c>
      <c r="B2187" s="97">
        <v>46208.0</v>
      </c>
      <c r="C2187" s="76" t="s">
        <v>9191</v>
      </c>
      <c r="D2187" s="99" t="s">
        <v>9192</v>
      </c>
      <c r="E2187" s="25" t="s">
        <v>17</v>
      </c>
      <c r="F2187" s="25" t="s">
        <v>129</v>
      </c>
      <c r="G2187" s="25" t="s">
        <v>29</v>
      </c>
      <c r="H2187" s="76" t="s">
        <v>199</v>
      </c>
      <c r="I2187" s="118">
        <v>46236.0</v>
      </c>
      <c r="J2187" s="76" t="s">
        <v>9193</v>
      </c>
      <c r="K2187" s="46"/>
      <c r="L2187" s="76" t="s">
        <v>8941</v>
      </c>
      <c r="M2187" s="44">
        <v>1.0</v>
      </c>
      <c r="N2187" s="45"/>
      <c r="O2187" s="20"/>
      <c r="P2187" s="20"/>
      <c r="Q2187" s="20"/>
      <c r="R2187" s="20"/>
      <c r="S2187" s="20"/>
    </row>
    <row r="2188">
      <c r="A2188" s="49" t="s">
        <v>9194</v>
      </c>
      <c r="B2188" s="110">
        <v>46208.0</v>
      </c>
      <c r="C2188" s="49" t="s">
        <v>9195</v>
      </c>
      <c r="D2188" s="102" t="s">
        <v>9196</v>
      </c>
      <c r="E2188" s="25" t="s">
        <v>128</v>
      </c>
      <c r="F2188" s="25" t="s">
        <v>18</v>
      </c>
      <c r="G2188" s="25" t="s">
        <v>29</v>
      </c>
      <c r="H2188" s="49" t="s">
        <v>2462</v>
      </c>
      <c r="I2188" s="23"/>
      <c r="J2188" s="49">
        <v>6.0</v>
      </c>
      <c r="K2188" s="30"/>
      <c r="L2188" s="23"/>
      <c r="M2188" s="50">
        <v>1.0</v>
      </c>
      <c r="N2188" s="51"/>
      <c r="O2188" s="20"/>
      <c r="P2188" s="20"/>
      <c r="Q2188" s="20"/>
      <c r="R2188" s="20"/>
      <c r="S2188" s="20"/>
    </row>
    <row r="2189">
      <c r="A2189" s="76" t="s">
        <v>9197</v>
      </c>
      <c r="B2189" s="97">
        <v>46207.0</v>
      </c>
      <c r="C2189" s="76" t="s">
        <v>9198</v>
      </c>
      <c r="D2189" s="99" t="s">
        <v>9199</v>
      </c>
      <c r="E2189" s="25" t="s">
        <v>122</v>
      </c>
      <c r="F2189" s="25" t="s">
        <v>983</v>
      </c>
      <c r="G2189" s="25" t="s">
        <v>42</v>
      </c>
      <c r="H2189" s="76" t="s">
        <v>9200</v>
      </c>
      <c r="I2189" s="10"/>
      <c r="J2189" s="76">
        <v>10.0</v>
      </c>
      <c r="K2189" s="46"/>
      <c r="L2189" s="76" t="s">
        <v>7926</v>
      </c>
      <c r="M2189" s="44">
        <v>8.0</v>
      </c>
      <c r="N2189" s="45"/>
      <c r="O2189" s="20"/>
      <c r="P2189" s="20"/>
      <c r="Q2189" s="20"/>
      <c r="R2189" s="20"/>
      <c r="S2189" s="20"/>
    </row>
    <row r="2190">
      <c r="A2190" s="49" t="s">
        <v>9201</v>
      </c>
      <c r="B2190" s="110">
        <v>46208.0</v>
      </c>
      <c r="C2190" s="49" t="s">
        <v>9202</v>
      </c>
      <c r="D2190" s="102" t="s">
        <v>9203</v>
      </c>
      <c r="E2190" s="25" t="s">
        <v>17</v>
      </c>
      <c r="F2190" s="25" t="s">
        <v>983</v>
      </c>
      <c r="G2190" s="25" t="s">
        <v>19</v>
      </c>
      <c r="H2190" s="49" t="s">
        <v>4532</v>
      </c>
      <c r="I2190" s="49" t="s">
        <v>9204</v>
      </c>
      <c r="J2190" s="49">
        <v>5.0</v>
      </c>
      <c r="K2190" s="36">
        <v>4900000.0</v>
      </c>
      <c r="L2190" s="49" t="s">
        <v>985</v>
      </c>
      <c r="M2190" s="50">
        <v>7.0</v>
      </c>
      <c r="N2190" s="51"/>
      <c r="O2190" s="20"/>
      <c r="P2190" s="20"/>
      <c r="Q2190" s="20"/>
      <c r="R2190" s="20"/>
      <c r="S2190" s="20"/>
    </row>
    <row r="2191">
      <c r="A2191" s="76" t="s">
        <v>9205</v>
      </c>
      <c r="B2191" s="97">
        <v>46208.0</v>
      </c>
      <c r="C2191" s="76" t="s">
        <v>9206</v>
      </c>
      <c r="D2191" s="99" t="s">
        <v>9207</v>
      </c>
      <c r="E2191" s="25" t="s">
        <v>17</v>
      </c>
      <c r="F2191" s="25" t="s">
        <v>983</v>
      </c>
      <c r="G2191" s="25" t="s">
        <v>34</v>
      </c>
      <c r="H2191" s="76" t="s">
        <v>4532</v>
      </c>
      <c r="I2191" s="76"/>
      <c r="J2191" s="76"/>
      <c r="K2191" s="19"/>
      <c r="L2191" s="76" t="s">
        <v>9208</v>
      </c>
      <c r="M2191" s="44">
        <v>2.0</v>
      </c>
      <c r="N2191" s="45"/>
      <c r="O2191" s="20"/>
      <c r="P2191" s="20"/>
      <c r="Q2191" s="20"/>
      <c r="R2191" s="20"/>
      <c r="S2191" s="20"/>
    </row>
    <row r="2192">
      <c r="A2192" s="49" t="s">
        <v>9209</v>
      </c>
      <c r="B2192" s="110">
        <v>46208.0</v>
      </c>
      <c r="C2192" s="49" t="s">
        <v>9210</v>
      </c>
      <c r="D2192" s="102" t="s">
        <v>9211</v>
      </c>
      <c r="E2192" s="25" t="s">
        <v>128</v>
      </c>
      <c r="F2192" s="25" t="s">
        <v>18</v>
      </c>
      <c r="G2192" s="25" t="s">
        <v>29</v>
      </c>
      <c r="H2192" s="49" t="s">
        <v>3210</v>
      </c>
      <c r="I2192" s="23"/>
      <c r="J2192" s="23"/>
      <c r="K2192" s="30"/>
      <c r="L2192" s="23"/>
      <c r="M2192" s="50">
        <v>1.0</v>
      </c>
      <c r="N2192" s="51"/>
      <c r="O2192" s="20"/>
      <c r="P2192" s="20"/>
      <c r="Q2192" s="20"/>
      <c r="R2192" s="20"/>
      <c r="S2192" s="20"/>
    </row>
    <row r="2193">
      <c r="A2193" s="76" t="s">
        <v>9212</v>
      </c>
      <c r="B2193" s="97">
        <v>46209.0</v>
      </c>
      <c r="C2193" s="76" t="s">
        <v>9213</v>
      </c>
      <c r="D2193" s="99" t="s">
        <v>9214</v>
      </c>
      <c r="E2193" s="25" t="s">
        <v>17</v>
      </c>
      <c r="F2193" s="25" t="s">
        <v>18</v>
      </c>
      <c r="G2193" s="25" t="s">
        <v>29</v>
      </c>
      <c r="H2193" s="10"/>
      <c r="I2193" s="10"/>
      <c r="J2193" s="10"/>
      <c r="K2193" s="46"/>
      <c r="L2193" s="10"/>
      <c r="M2193" s="44">
        <v>1.0</v>
      </c>
      <c r="N2193" s="45"/>
      <c r="O2193" s="20"/>
      <c r="P2193" s="20"/>
      <c r="Q2193" s="20"/>
      <c r="R2193" s="20"/>
      <c r="S2193" s="20"/>
    </row>
    <row r="2194">
      <c r="A2194" s="49" t="s">
        <v>9215</v>
      </c>
      <c r="B2194" s="110">
        <v>46209.0</v>
      </c>
      <c r="C2194" s="49" t="s">
        <v>9216</v>
      </c>
      <c r="D2194" s="102" t="s">
        <v>9217</v>
      </c>
      <c r="E2194" s="25" t="s">
        <v>128</v>
      </c>
      <c r="F2194" s="25" t="s">
        <v>18</v>
      </c>
      <c r="G2194" s="25" t="s">
        <v>42</v>
      </c>
      <c r="H2194" s="49" t="s">
        <v>9218</v>
      </c>
      <c r="I2194" s="23"/>
      <c r="J2194" s="23"/>
      <c r="K2194" s="30"/>
      <c r="L2194" s="49" t="s">
        <v>840</v>
      </c>
      <c r="M2194" s="50">
        <v>8.0</v>
      </c>
      <c r="N2194" s="51"/>
      <c r="O2194" s="20"/>
      <c r="P2194" s="20"/>
      <c r="Q2194" s="20"/>
      <c r="R2194" s="20"/>
      <c r="S2194" s="20"/>
    </row>
    <row r="2195">
      <c r="A2195" s="76" t="s">
        <v>9219</v>
      </c>
      <c r="B2195" s="97">
        <v>46209.0</v>
      </c>
      <c r="C2195" s="76" t="s">
        <v>9220</v>
      </c>
      <c r="D2195" s="99" t="s">
        <v>9221</v>
      </c>
      <c r="E2195" s="25" t="s">
        <v>128</v>
      </c>
      <c r="F2195" s="25" t="s">
        <v>18</v>
      </c>
      <c r="G2195" s="25" t="s">
        <v>19</v>
      </c>
      <c r="H2195" s="76" t="s">
        <v>9222</v>
      </c>
      <c r="I2195" s="121">
        <v>46210.0</v>
      </c>
      <c r="J2195" s="76">
        <v>3.0</v>
      </c>
      <c r="K2195" s="19">
        <v>1875000.0</v>
      </c>
      <c r="L2195" s="76" t="s">
        <v>9186</v>
      </c>
      <c r="M2195" s="44">
        <v>7.0</v>
      </c>
      <c r="N2195" s="45"/>
      <c r="O2195" s="20"/>
      <c r="P2195" s="20"/>
      <c r="Q2195" s="20"/>
      <c r="R2195" s="20"/>
      <c r="S2195" s="20"/>
    </row>
    <row r="2196">
      <c r="A2196" s="49" t="s">
        <v>9223</v>
      </c>
      <c r="B2196" s="110">
        <v>46208.0</v>
      </c>
      <c r="C2196" s="49" t="s">
        <v>9224</v>
      </c>
      <c r="D2196" s="102" t="s">
        <v>9225</v>
      </c>
      <c r="E2196" s="25" t="s">
        <v>122</v>
      </c>
      <c r="F2196" s="25" t="s">
        <v>983</v>
      </c>
      <c r="G2196" s="25" t="s">
        <v>19</v>
      </c>
      <c r="H2196" s="49" t="s">
        <v>86</v>
      </c>
      <c r="I2196" s="49" t="s">
        <v>9226</v>
      </c>
      <c r="J2196" s="49">
        <v>4.0</v>
      </c>
      <c r="K2196" s="36">
        <v>1.29E7</v>
      </c>
      <c r="L2196" s="49" t="s">
        <v>985</v>
      </c>
      <c r="M2196" s="50">
        <v>7.0</v>
      </c>
      <c r="N2196" s="51"/>
      <c r="O2196" s="20"/>
      <c r="P2196" s="20"/>
      <c r="Q2196" s="20"/>
      <c r="R2196" s="20"/>
      <c r="S2196" s="20"/>
    </row>
    <row r="2197">
      <c r="A2197" s="76" t="s">
        <v>9227</v>
      </c>
      <c r="B2197" s="97">
        <v>46209.0</v>
      </c>
      <c r="C2197" s="76" t="s">
        <v>9228</v>
      </c>
      <c r="D2197" s="99" t="s">
        <v>9229</v>
      </c>
      <c r="E2197" s="25" t="s">
        <v>17</v>
      </c>
      <c r="F2197" s="25" t="s">
        <v>983</v>
      </c>
      <c r="G2197" s="25" t="s">
        <v>42</v>
      </c>
      <c r="H2197" s="19" t="s">
        <v>3210</v>
      </c>
      <c r="I2197" s="10"/>
      <c r="J2197" s="10"/>
      <c r="L2197" s="76" t="s">
        <v>7926</v>
      </c>
      <c r="M2197" s="44">
        <v>8.0</v>
      </c>
      <c r="N2197" s="45"/>
      <c r="O2197" s="20"/>
      <c r="P2197" s="20"/>
      <c r="Q2197" s="20"/>
      <c r="R2197" s="20"/>
      <c r="S2197" s="20"/>
    </row>
    <row r="2198">
      <c r="A2198" s="49" t="s">
        <v>9230</v>
      </c>
      <c r="B2198" s="110">
        <v>46210.0</v>
      </c>
      <c r="C2198" s="49" t="s">
        <v>9231</v>
      </c>
      <c r="D2198" s="102" t="s">
        <v>9232</v>
      </c>
      <c r="E2198" s="25" t="s">
        <v>17</v>
      </c>
      <c r="F2198" s="25" t="s">
        <v>129</v>
      </c>
      <c r="G2198" s="25" t="s">
        <v>42</v>
      </c>
      <c r="H2198" s="49" t="s">
        <v>9233</v>
      </c>
      <c r="I2198" s="101">
        <v>46249.0</v>
      </c>
      <c r="J2198" s="49">
        <v>22.0</v>
      </c>
      <c r="K2198" s="30"/>
      <c r="L2198" s="49" t="s">
        <v>1619</v>
      </c>
      <c r="M2198" s="50">
        <v>8.0</v>
      </c>
      <c r="N2198" s="51"/>
      <c r="O2198" s="20"/>
      <c r="P2198" s="20"/>
      <c r="Q2198" s="20"/>
      <c r="R2198" s="20"/>
      <c r="S2198" s="20"/>
    </row>
    <row r="2199">
      <c r="A2199" s="76" t="s">
        <v>9234</v>
      </c>
      <c r="B2199" s="97">
        <v>46210.0</v>
      </c>
      <c r="C2199" s="76" t="s">
        <v>9235</v>
      </c>
      <c r="D2199" s="99" t="s">
        <v>9236</v>
      </c>
      <c r="E2199" s="25" t="s">
        <v>128</v>
      </c>
      <c r="F2199" s="25" t="s">
        <v>129</v>
      </c>
      <c r="G2199" s="25" t="s">
        <v>43</v>
      </c>
      <c r="H2199" s="76" t="s">
        <v>199</v>
      </c>
      <c r="I2199" s="10"/>
      <c r="J2199" s="76">
        <v>126.0</v>
      </c>
      <c r="K2199" s="46"/>
      <c r="L2199" s="76" t="s">
        <v>9237</v>
      </c>
      <c r="M2199" s="44">
        <v>3.0</v>
      </c>
      <c r="N2199" s="45"/>
      <c r="O2199" s="20"/>
      <c r="P2199" s="20"/>
      <c r="Q2199" s="20"/>
      <c r="R2199" s="20"/>
      <c r="S2199" s="20"/>
    </row>
    <row r="2200">
      <c r="A2200" s="49" t="s">
        <v>9238</v>
      </c>
      <c r="B2200" s="110">
        <v>46209.0</v>
      </c>
      <c r="C2200" s="49" t="s">
        <v>9239</v>
      </c>
      <c r="D2200" s="102" t="s">
        <v>9240</v>
      </c>
      <c r="E2200" s="25" t="s">
        <v>17</v>
      </c>
      <c r="F2200" s="25" t="s">
        <v>129</v>
      </c>
      <c r="G2200" s="25" t="s">
        <v>29</v>
      </c>
      <c r="H2200" s="49" t="s">
        <v>86</v>
      </c>
      <c r="I2200" s="23"/>
      <c r="J2200" s="49">
        <v>3.0</v>
      </c>
      <c r="K2200" s="30"/>
      <c r="L2200" s="49" t="s">
        <v>8908</v>
      </c>
      <c r="M2200" s="50">
        <v>1.0</v>
      </c>
      <c r="N2200" s="51"/>
      <c r="O2200" s="20"/>
      <c r="P2200" s="20"/>
      <c r="Q2200" s="20"/>
      <c r="R2200" s="20"/>
      <c r="S2200" s="20"/>
    </row>
    <row r="2201">
      <c r="A2201" s="76" t="s">
        <v>9241</v>
      </c>
      <c r="B2201" s="97">
        <v>46209.0</v>
      </c>
      <c r="C2201" s="76" t="s">
        <v>9242</v>
      </c>
      <c r="D2201" s="99" t="s">
        <v>9243</v>
      </c>
      <c r="E2201" s="25" t="s">
        <v>17</v>
      </c>
      <c r="F2201" s="25" t="s">
        <v>129</v>
      </c>
      <c r="G2201" s="25" t="s">
        <v>42</v>
      </c>
      <c r="H2201" s="10"/>
      <c r="I2201" s="10"/>
      <c r="J2201" s="76">
        <v>4.0</v>
      </c>
      <c r="K2201" s="46"/>
      <c r="L2201" s="76" t="s">
        <v>9244</v>
      </c>
      <c r="M2201" s="44">
        <v>8.0</v>
      </c>
      <c r="N2201" s="45"/>
      <c r="O2201" s="20"/>
      <c r="P2201" s="20"/>
      <c r="Q2201" s="20"/>
      <c r="R2201" s="20"/>
      <c r="S2201" s="20"/>
    </row>
    <row r="2202">
      <c r="A2202" s="49" t="s">
        <v>9245</v>
      </c>
      <c r="B2202" s="110">
        <v>46210.0</v>
      </c>
      <c r="C2202" s="49" t="s">
        <v>9246</v>
      </c>
      <c r="D2202" s="102" t="s">
        <v>9247</v>
      </c>
      <c r="E2202" s="25" t="s">
        <v>128</v>
      </c>
      <c r="F2202" s="25" t="s">
        <v>129</v>
      </c>
      <c r="G2202" s="25" t="s">
        <v>29</v>
      </c>
      <c r="H2202" s="76" t="s">
        <v>747</v>
      </c>
      <c r="I2202" s="23"/>
      <c r="J2202" s="23"/>
      <c r="K2202" s="30"/>
      <c r="L2202" s="49" t="s">
        <v>5374</v>
      </c>
      <c r="M2202" s="50">
        <v>1.0</v>
      </c>
      <c r="N2202" s="51"/>
      <c r="O2202" s="20"/>
      <c r="P2202" s="20"/>
      <c r="Q2202" s="20"/>
      <c r="R2202" s="20"/>
      <c r="S2202" s="20"/>
    </row>
    <row r="2203">
      <c r="A2203" s="76" t="s">
        <v>9248</v>
      </c>
      <c r="B2203" s="97">
        <v>46210.0</v>
      </c>
      <c r="C2203" s="76" t="s">
        <v>9249</v>
      </c>
      <c r="D2203" s="99" t="s">
        <v>9250</v>
      </c>
      <c r="E2203" s="25" t="s">
        <v>128</v>
      </c>
      <c r="F2203" s="25" t="s">
        <v>129</v>
      </c>
      <c r="G2203" s="25" t="s">
        <v>42</v>
      </c>
      <c r="H2203" s="76" t="s">
        <v>7500</v>
      </c>
      <c r="I2203" s="118">
        <v>46211.0</v>
      </c>
      <c r="J2203" s="76">
        <v>4.0</v>
      </c>
      <c r="K2203" s="46"/>
      <c r="L2203" s="10"/>
      <c r="M2203" s="44">
        <v>8.0</v>
      </c>
      <c r="N2203" s="45"/>
      <c r="O2203" s="20"/>
      <c r="P2203" s="20"/>
      <c r="Q2203" s="20"/>
      <c r="R2203" s="20"/>
      <c r="S2203" s="20"/>
    </row>
    <row r="2204">
      <c r="A2204" s="49" t="s">
        <v>9251</v>
      </c>
      <c r="B2204" s="110">
        <v>46209.0</v>
      </c>
      <c r="C2204" s="49" t="s">
        <v>9252</v>
      </c>
      <c r="D2204" s="102" t="s">
        <v>9253</v>
      </c>
      <c r="E2204" s="14"/>
      <c r="F2204" s="25" t="s">
        <v>983</v>
      </c>
      <c r="G2204" s="25" t="s">
        <v>34</v>
      </c>
      <c r="H2204" s="49" t="s">
        <v>3032</v>
      </c>
      <c r="I2204" s="23"/>
      <c r="J2204" s="49">
        <v>10.0</v>
      </c>
      <c r="K2204" s="30"/>
      <c r="L2204" s="49" t="s">
        <v>9254</v>
      </c>
      <c r="M2204" s="50">
        <v>2.0</v>
      </c>
      <c r="N2204" s="51"/>
      <c r="O2204" s="20"/>
      <c r="P2204" s="20"/>
      <c r="Q2204" s="20"/>
      <c r="R2204" s="20"/>
      <c r="S2204" s="20"/>
    </row>
    <row r="2205">
      <c r="A2205" s="76" t="s">
        <v>9255</v>
      </c>
      <c r="B2205" s="97">
        <v>46209.0</v>
      </c>
      <c r="C2205" s="76" t="s">
        <v>9256</v>
      </c>
      <c r="D2205" s="99" t="s">
        <v>9257</v>
      </c>
      <c r="E2205" s="25" t="s">
        <v>17</v>
      </c>
      <c r="F2205" s="25" t="s">
        <v>983</v>
      </c>
      <c r="G2205" s="25" t="s">
        <v>19</v>
      </c>
      <c r="H2205" s="76" t="s">
        <v>3317</v>
      </c>
      <c r="I2205" s="76" t="s">
        <v>9258</v>
      </c>
      <c r="J2205" s="76">
        <v>4.0</v>
      </c>
      <c r="K2205" s="46">
        <f>1090000*4</f>
        <v>4360000</v>
      </c>
      <c r="L2205" s="76" t="s">
        <v>3625</v>
      </c>
      <c r="M2205" s="44">
        <v>7.0</v>
      </c>
      <c r="N2205" s="45"/>
      <c r="O2205" s="20"/>
      <c r="P2205" s="20"/>
      <c r="Q2205" s="20"/>
      <c r="R2205" s="20"/>
      <c r="S2205" s="20"/>
    </row>
    <row r="2206">
      <c r="A2206" s="49" t="s">
        <v>9259</v>
      </c>
      <c r="B2206" s="110">
        <v>46210.0</v>
      </c>
      <c r="C2206" s="49" t="s">
        <v>9260</v>
      </c>
      <c r="D2206" s="102" t="s">
        <v>9261</v>
      </c>
      <c r="E2206" s="25" t="s">
        <v>17</v>
      </c>
      <c r="F2206" s="25" t="s">
        <v>129</v>
      </c>
      <c r="G2206" s="25" t="s">
        <v>19</v>
      </c>
      <c r="H2206" s="49" t="s">
        <v>894</v>
      </c>
      <c r="I2206" s="101">
        <v>46248.0</v>
      </c>
      <c r="J2206" s="49">
        <v>3.0</v>
      </c>
      <c r="K2206" s="30">
        <f>SUM(2134000*3)</f>
        <v>6402000</v>
      </c>
      <c r="L2206" s="49" t="s">
        <v>6194</v>
      </c>
      <c r="M2206" s="50">
        <v>7.0</v>
      </c>
      <c r="N2206" s="51"/>
      <c r="O2206" s="20"/>
      <c r="P2206" s="20"/>
      <c r="Q2206" s="20"/>
      <c r="R2206" s="20"/>
      <c r="S2206" s="20"/>
    </row>
    <row r="2207">
      <c r="A2207" s="76" t="s">
        <v>9262</v>
      </c>
      <c r="B2207" s="97">
        <v>46210.0</v>
      </c>
      <c r="C2207" s="76" t="s">
        <v>9263</v>
      </c>
      <c r="D2207" s="99" t="s">
        <v>9264</v>
      </c>
      <c r="E2207" s="25" t="s">
        <v>869</v>
      </c>
      <c r="F2207" s="25" t="s">
        <v>18</v>
      </c>
      <c r="G2207" s="25" t="s">
        <v>19</v>
      </c>
      <c r="H2207" s="76" t="s">
        <v>8850</v>
      </c>
      <c r="I2207" s="76" t="s">
        <v>9265</v>
      </c>
      <c r="J2207" s="76">
        <v>2.0</v>
      </c>
      <c r="K2207" s="46">
        <f>(3800000*4)+3000000</f>
        <v>18200000</v>
      </c>
      <c r="L2207" s="76" t="s">
        <v>3625</v>
      </c>
      <c r="M2207" s="44">
        <v>7.0</v>
      </c>
      <c r="N2207" s="45"/>
      <c r="O2207" s="20"/>
      <c r="P2207" s="20"/>
      <c r="Q2207" s="20"/>
      <c r="R2207" s="20"/>
      <c r="S2207" s="20"/>
    </row>
    <row r="2208">
      <c r="A2208" s="49" t="s">
        <v>9266</v>
      </c>
      <c r="B2208" s="110">
        <v>46209.0</v>
      </c>
      <c r="C2208" s="49" t="s">
        <v>9267</v>
      </c>
      <c r="D2208" s="102" t="s">
        <v>9268</v>
      </c>
      <c r="E2208" s="25" t="s">
        <v>128</v>
      </c>
      <c r="F2208" s="25" t="s">
        <v>129</v>
      </c>
      <c r="G2208" s="25" t="s">
        <v>29</v>
      </c>
      <c r="H2208" s="76" t="s">
        <v>747</v>
      </c>
      <c r="I2208" s="23"/>
      <c r="J2208" s="49">
        <v>4.0</v>
      </c>
      <c r="K2208" s="30"/>
      <c r="L2208" s="49" t="s">
        <v>9269</v>
      </c>
      <c r="M2208" s="50">
        <v>1.0</v>
      </c>
      <c r="N2208" s="51"/>
      <c r="O2208" s="20"/>
      <c r="P2208" s="20"/>
      <c r="Q2208" s="20"/>
      <c r="R2208" s="20"/>
      <c r="S2208" s="20"/>
    </row>
    <row r="2209">
      <c r="A2209" s="76" t="s">
        <v>9270</v>
      </c>
      <c r="B2209" s="97">
        <v>46211.0</v>
      </c>
      <c r="C2209" s="76" t="s">
        <v>206</v>
      </c>
      <c r="D2209" s="99" t="s">
        <v>9271</v>
      </c>
      <c r="E2209" s="25" t="s">
        <v>128</v>
      </c>
      <c r="F2209" s="25" t="s">
        <v>129</v>
      </c>
      <c r="G2209" s="25" t="s">
        <v>19</v>
      </c>
      <c r="H2209" s="76" t="s">
        <v>4351</v>
      </c>
      <c r="I2209" s="118">
        <v>46222.0</v>
      </c>
      <c r="J2209" s="76">
        <v>2.0</v>
      </c>
      <c r="K2209" s="19">
        <v>2200000.0</v>
      </c>
      <c r="L2209" s="76" t="s">
        <v>6194</v>
      </c>
      <c r="M2209" s="44">
        <v>7.0</v>
      </c>
      <c r="N2209" s="45"/>
      <c r="O2209" s="20"/>
      <c r="P2209" s="20"/>
      <c r="Q2209" s="20"/>
      <c r="R2209" s="20"/>
      <c r="S2209" s="20"/>
    </row>
    <row r="2210">
      <c r="A2210" s="49" t="s">
        <v>9272</v>
      </c>
      <c r="B2210" s="110">
        <v>46209.0</v>
      </c>
      <c r="C2210" s="49" t="s">
        <v>9273</v>
      </c>
      <c r="D2210" s="102" t="s">
        <v>9274</v>
      </c>
      <c r="E2210" s="25" t="s">
        <v>128</v>
      </c>
      <c r="F2210" s="25" t="s">
        <v>129</v>
      </c>
      <c r="G2210" s="25" t="s">
        <v>42</v>
      </c>
      <c r="H2210" s="49" t="s">
        <v>370</v>
      </c>
      <c r="I2210" s="101">
        <v>46222.0</v>
      </c>
      <c r="J2210" s="49">
        <v>2.0</v>
      </c>
      <c r="K2210" s="30"/>
      <c r="L2210" s="49" t="s">
        <v>9275</v>
      </c>
      <c r="M2210" s="50">
        <v>8.0</v>
      </c>
      <c r="N2210" s="51"/>
      <c r="O2210" s="20"/>
      <c r="P2210" s="20"/>
      <c r="Q2210" s="20"/>
      <c r="R2210" s="20"/>
      <c r="S2210" s="20"/>
    </row>
    <row r="2211">
      <c r="A2211" s="76" t="s">
        <v>7527</v>
      </c>
      <c r="B2211" s="97">
        <v>46209.0</v>
      </c>
      <c r="C2211" s="76" t="s">
        <v>9267</v>
      </c>
      <c r="D2211" s="99" t="s">
        <v>9268</v>
      </c>
      <c r="E2211" s="25" t="s">
        <v>128</v>
      </c>
      <c r="F2211" s="25" t="s">
        <v>18</v>
      </c>
      <c r="G2211" s="25" t="s">
        <v>29</v>
      </c>
      <c r="H2211" s="10"/>
      <c r="I2211" s="10"/>
      <c r="J2211" s="10"/>
      <c r="K2211" s="46"/>
      <c r="L2211" s="10"/>
      <c r="M2211" s="44">
        <v>1.0</v>
      </c>
      <c r="N2211" s="45"/>
      <c r="O2211" s="20"/>
      <c r="P2211" s="20"/>
      <c r="Q2211" s="20"/>
      <c r="R2211" s="20"/>
      <c r="S2211" s="20"/>
    </row>
    <row r="2212">
      <c r="A2212" s="49" t="s">
        <v>7530</v>
      </c>
      <c r="B2212" s="110">
        <v>46209.0</v>
      </c>
      <c r="C2212" s="49" t="s">
        <v>9276</v>
      </c>
      <c r="D2212" s="102" t="s">
        <v>9277</v>
      </c>
      <c r="E2212" s="25" t="s">
        <v>128</v>
      </c>
      <c r="F2212" s="25" t="s">
        <v>18</v>
      </c>
      <c r="G2212" s="25" t="s">
        <v>49</v>
      </c>
      <c r="H2212" s="49" t="s">
        <v>5658</v>
      </c>
      <c r="I2212" s="156">
        <v>46218.0</v>
      </c>
      <c r="J2212" s="49">
        <v>2.0</v>
      </c>
      <c r="K2212" s="30"/>
      <c r="L2212" s="23"/>
      <c r="M2212" s="50">
        <v>4.0</v>
      </c>
      <c r="N2212" s="51"/>
      <c r="O2212" s="20"/>
      <c r="P2212" s="20"/>
      <c r="Q2212" s="20"/>
      <c r="R2212" s="20"/>
      <c r="S2212" s="20"/>
    </row>
    <row r="2213">
      <c r="A2213" s="76" t="s">
        <v>9278</v>
      </c>
      <c r="B2213" s="97">
        <v>46210.0</v>
      </c>
      <c r="C2213" s="76" t="s">
        <v>8869</v>
      </c>
      <c r="D2213" s="99" t="s">
        <v>9279</v>
      </c>
      <c r="E2213" s="25" t="s">
        <v>128</v>
      </c>
      <c r="F2213" s="25" t="s">
        <v>18</v>
      </c>
      <c r="G2213" s="25" t="s">
        <v>34</v>
      </c>
      <c r="H2213" s="76" t="s">
        <v>9280</v>
      </c>
      <c r="I2213" s="10"/>
      <c r="J2213" s="10"/>
      <c r="K2213" s="46"/>
      <c r="L2213" s="10"/>
      <c r="M2213" s="44">
        <v>2.0</v>
      </c>
      <c r="N2213" s="45"/>
      <c r="O2213" s="20"/>
      <c r="P2213" s="20"/>
      <c r="Q2213" s="20"/>
      <c r="R2213" s="20"/>
      <c r="S2213" s="20"/>
    </row>
    <row r="2214">
      <c r="A2214" s="49" t="s">
        <v>9281</v>
      </c>
      <c r="B2214" s="110">
        <v>46210.0</v>
      </c>
      <c r="C2214" s="49" t="s">
        <v>9282</v>
      </c>
      <c r="D2214" s="102" t="s">
        <v>9283</v>
      </c>
      <c r="E2214" s="25" t="s">
        <v>17</v>
      </c>
      <c r="F2214" s="25" t="s">
        <v>18</v>
      </c>
      <c r="G2214" s="25" t="s">
        <v>42</v>
      </c>
      <c r="H2214" s="49" t="s">
        <v>179</v>
      </c>
      <c r="I2214" s="23"/>
      <c r="J2214" s="23"/>
      <c r="K2214" s="30"/>
      <c r="L2214" s="49" t="s">
        <v>840</v>
      </c>
      <c r="M2214" s="50">
        <v>8.0</v>
      </c>
      <c r="N2214" s="51"/>
      <c r="O2214" s="20"/>
      <c r="P2214" s="20"/>
      <c r="Q2214" s="20"/>
      <c r="R2214" s="20"/>
      <c r="S2214" s="20"/>
    </row>
    <row r="2215">
      <c r="A2215" s="76" t="s">
        <v>9284</v>
      </c>
      <c r="B2215" s="97">
        <v>46209.0</v>
      </c>
      <c r="C2215" s="76" t="s">
        <v>4547</v>
      </c>
      <c r="D2215" s="99" t="s">
        <v>9257</v>
      </c>
      <c r="E2215" s="25" t="s">
        <v>17</v>
      </c>
      <c r="F2215" s="25" t="s">
        <v>18</v>
      </c>
      <c r="G2215" s="25" t="s">
        <v>42</v>
      </c>
      <c r="H2215" s="10"/>
      <c r="I2215" s="10"/>
      <c r="J2215" s="10"/>
      <c r="K2215" s="46"/>
      <c r="L2215" s="76" t="s">
        <v>9285</v>
      </c>
      <c r="M2215" s="44">
        <v>8.0</v>
      </c>
      <c r="N2215" s="45"/>
      <c r="O2215" s="20"/>
      <c r="P2215" s="20"/>
      <c r="Q2215" s="20"/>
      <c r="R2215" s="20"/>
      <c r="S2215" s="20"/>
    </row>
    <row r="2216">
      <c r="A2216" s="49" t="s">
        <v>9286</v>
      </c>
      <c r="B2216" s="110">
        <v>46210.0</v>
      </c>
      <c r="C2216" s="49" t="s">
        <v>4369</v>
      </c>
      <c r="D2216" s="102" t="s">
        <v>9287</v>
      </c>
      <c r="E2216" s="25" t="s">
        <v>128</v>
      </c>
      <c r="F2216" s="25" t="s">
        <v>18</v>
      </c>
      <c r="G2216" s="25" t="s">
        <v>29</v>
      </c>
      <c r="H2216" s="49" t="s">
        <v>3210</v>
      </c>
      <c r="I2216" s="23"/>
      <c r="J2216" s="23"/>
      <c r="K2216" s="30"/>
      <c r="L2216" s="23"/>
      <c r="M2216" s="50">
        <v>1.0</v>
      </c>
      <c r="N2216" s="51"/>
      <c r="O2216" s="20"/>
      <c r="P2216" s="20"/>
      <c r="Q2216" s="20"/>
      <c r="R2216" s="20"/>
      <c r="S2216" s="20"/>
    </row>
    <row r="2217">
      <c r="A2217" s="76" t="s">
        <v>9288</v>
      </c>
      <c r="B2217" s="97">
        <v>46211.0</v>
      </c>
      <c r="C2217" s="76" t="s">
        <v>9289</v>
      </c>
      <c r="D2217" s="13">
        <f>61494143452</f>
        <v>61494143452</v>
      </c>
      <c r="E2217" s="25" t="s">
        <v>128</v>
      </c>
      <c r="F2217" s="25" t="s">
        <v>18</v>
      </c>
      <c r="G2217" s="25" t="s">
        <v>42</v>
      </c>
      <c r="H2217" s="10"/>
      <c r="I2217" s="10"/>
      <c r="J2217" s="10"/>
      <c r="K2217" s="46"/>
      <c r="L2217" s="10"/>
      <c r="M2217" s="44">
        <v>8.0</v>
      </c>
      <c r="N2217" s="45"/>
      <c r="O2217" s="20"/>
      <c r="P2217" s="20"/>
      <c r="Q2217" s="20"/>
      <c r="R2217" s="20"/>
      <c r="S2217" s="20"/>
    </row>
    <row r="2218">
      <c r="A2218" s="49" t="s">
        <v>9290</v>
      </c>
      <c r="B2218" s="110">
        <v>46211.0</v>
      </c>
      <c r="C2218" s="49" t="s">
        <v>9291</v>
      </c>
      <c r="D2218" s="102" t="s">
        <v>9292</v>
      </c>
      <c r="E2218" s="25" t="s">
        <v>128</v>
      </c>
      <c r="F2218" s="25" t="s">
        <v>18</v>
      </c>
      <c r="G2218" s="25" t="s">
        <v>29</v>
      </c>
      <c r="H2218" s="49" t="s">
        <v>2462</v>
      </c>
      <c r="I2218" s="49" t="s">
        <v>9293</v>
      </c>
      <c r="J2218" s="49">
        <v>81.0</v>
      </c>
      <c r="K2218" s="30"/>
      <c r="L2218" s="23"/>
      <c r="M2218" s="50">
        <v>1.0</v>
      </c>
      <c r="N2218" s="51"/>
      <c r="O2218" s="20"/>
      <c r="P2218" s="20"/>
      <c r="Q2218" s="20"/>
      <c r="R2218" s="20"/>
      <c r="S2218" s="20"/>
    </row>
    <row r="2219">
      <c r="A2219" s="76" t="s">
        <v>9294</v>
      </c>
      <c r="B2219" s="97">
        <v>46211.0</v>
      </c>
      <c r="C2219" s="76" t="s">
        <v>9295</v>
      </c>
      <c r="D2219" s="99" t="s">
        <v>9296</v>
      </c>
      <c r="E2219" s="25" t="s">
        <v>128</v>
      </c>
      <c r="F2219" s="25" t="s">
        <v>18</v>
      </c>
      <c r="G2219" s="25" t="s">
        <v>29</v>
      </c>
      <c r="H2219" s="10"/>
      <c r="I2219" s="10"/>
      <c r="J2219" s="10"/>
      <c r="K2219" s="46"/>
      <c r="L2219" s="10"/>
      <c r="M2219" s="44">
        <v>1.0</v>
      </c>
      <c r="N2219" s="45"/>
      <c r="O2219" s="20"/>
      <c r="P2219" s="20"/>
      <c r="Q2219" s="20"/>
      <c r="R2219" s="20"/>
      <c r="S2219" s="20"/>
    </row>
    <row r="2220">
      <c r="A2220" s="49" t="s">
        <v>9297</v>
      </c>
      <c r="B2220" s="110">
        <v>46211.0</v>
      </c>
      <c r="C2220" s="49" t="s">
        <v>9298</v>
      </c>
      <c r="D2220" s="102" t="s">
        <v>9299</v>
      </c>
      <c r="E2220" s="25" t="s">
        <v>17</v>
      </c>
      <c r="F2220" s="25" t="s">
        <v>18</v>
      </c>
      <c r="G2220" s="25" t="s">
        <v>34</v>
      </c>
      <c r="H2220" s="49" t="s">
        <v>3210</v>
      </c>
      <c r="I2220" s="23"/>
      <c r="J2220" s="23"/>
      <c r="K2220" s="30"/>
      <c r="L2220" s="23"/>
      <c r="M2220" s="50">
        <v>2.0</v>
      </c>
      <c r="N2220" s="51"/>
      <c r="O2220" s="20"/>
      <c r="P2220" s="20"/>
      <c r="Q2220" s="20"/>
      <c r="R2220" s="20"/>
      <c r="S2220" s="20"/>
    </row>
    <row r="2221">
      <c r="A2221" s="76" t="s">
        <v>9300</v>
      </c>
      <c r="B2221" s="97">
        <v>46212.0</v>
      </c>
      <c r="C2221" s="76" t="s">
        <v>9301</v>
      </c>
      <c r="D2221" s="99" t="s">
        <v>9302</v>
      </c>
      <c r="E2221" s="25" t="s">
        <v>122</v>
      </c>
      <c r="F2221" s="25" t="s">
        <v>18</v>
      </c>
      <c r="G2221" s="25" t="s">
        <v>29</v>
      </c>
      <c r="H2221" s="10"/>
      <c r="I2221" s="10"/>
      <c r="J2221" s="10"/>
      <c r="K2221" s="46"/>
      <c r="L2221" s="76" t="s">
        <v>9303</v>
      </c>
      <c r="M2221" s="44">
        <v>1.0</v>
      </c>
      <c r="N2221" s="45"/>
      <c r="O2221" s="20"/>
      <c r="P2221" s="20"/>
      <c r="Q2221" s="20"/>
      <c r="R2221" s="20"/>
      <c r="S2221" s="20"/>
    </row>
    <row r="2222">
      <c r="A2222" s="49" t="s">
        <v>9304</v>
      </c>
      <c r="B2222" s="110">
        <v>46212.0</v>
      </c>
      <c r="C2222" s="49" t="s">
        <v>9305</v>
      </c>
      <c r="D2222" s="102" t="s">
        <v>9306</v>
      </c>
      <c r="E2222" s="25" t="s">
        <v>122</v>
      </c>
      <c r="F2222" s="25" t="s">
        <v>18</v>
      </c>
      <c r="G2222" s="25" t="s">
        <v>19</v>
      </c>
      <c r="H2222" s="49" t="s">
        <v>5697</v>
      </c>
      <c r="I2222" s="101">
        <v>46214.0</v>
      </c>
      <c r="J2222" s="49">
        <v>4.0</v>
      </c>
      <c r="K2222" s="30">
        <f>500000*4</f>
        <v>2000000</v>
      </c>
      <c r="L2222" s="49" t="s">
        <v>4896</v>
      </c>
      <c r="M2222" s="50">
        <v>7.0</v>
      </c>
      <c r="N2222" s="51"/>
      <c r="O2222" s="20"/>
      <c r="P2222" s="20"/>
      <c r="Q2222" s="20"/>
      <c r="R2222" s="20"/>
      <c r="S2222" s="20"/>
    </row>
    <row r="2223">
      <c r="A2223" s="76" t="s">
        <v>9307</v>
      </c>
      <c r="B2223" s="97">
        <v>46211.0</v>
      </c>
      <c r="C2223" s="76" t="s">
        <v>9308</v>
      </c>
      <c r="D2223" s="99" t="s">
        <v>9309</v>
      </c>
      <c r="E2223" s="25" t="s">
        <v>17</v>
      </c>
      <c r="F2223" s="25" t="s">
        <v>18</v>
      </c>
      <c r="G2223" s="25" t="s">
        <v>19</v>
      </c>
      <c r="H2223" s="76" t="s">
        <v>9310</v>
      </c>
      <c r="I2223" s="157">
        <v>46213.0</v>
      </c>
      <c r="J2223" s="76">
        <v>2.0</v>
      </c>
      <c r="K2223" s="46"/>
      <c r="L2223" s="10"/>
      <c r="M2223" s="44">
        <v>7.0</v>
      </c>
      <c r="N2223" s="45"/>
      <c r="O2223" s="20"/>
      <c r="P2223" s="20"/>
      <c r="Q2223" s="20"/>
      <c r="R2223" s="20"/>
      <c r="S2223" s="20"/>
    </row>
    <row r="2224">
      <c r="A2224" s="49" t="s">
        <v>9311</v>
      </c>
      <c r="B2224" s="110">
        <v>46212.0</v>
      </c>
      <c r="C2224" s="49" t="s">
        <v>9312</v>
      </c>
      <c r="D2224" s="102" t="s">
        <v>9313</v>
      </c>
      <c r="E2224" s="25" t="s">
        <v>17</v>
      </c>
      <c r="F2224" s="25" t="s">
        <v>18</v>
      </c>
      <c r="G2224" s="25" t="s">
        <v>29</v>
      </c>
      <c r="H2224" s="49" t="s">
        <v>4074</v>
      </c>
      <c r="I2224" s="49" t="s">
        <v>6250</v>
      </c>
      <c r="J2224" s="49">
        <v>4.0</v>
      </c>
      <c r="K2224" s="30"/>
      <c r="L2224" s="23"/>
      <c r="M2224" s="50">
        <v>1.0</v>
      </c>
      <c r="N2224" s="51"/>
      <c r="O2224" s="20"/>
      <c r="P2224" s="20"/>
      <c r="Q2224" s="20"/>
      <c r="R2224" s="20"/>
      <c r="S2224" s="20"/>
    </row>
    <row r="2225">
      <c r="A2225" s="76" t="s">
        <v>9314</v>
      </c>
      <c r="B2225" s="97">
        <v>46212.0</v>
      </c>
      <c r="C2225" s="76" t="s">
        <v>9315</v>
      </c>
      <c r="D2225" s="99" t="s">
        <v>9316</v>
      </c>
      <c r="E2225" s="25" t="s">
        <v>122</v>
      </c>
      <c r="F2225" s="25" t="s">
        <v>18</v>
      </c>
      <c r="G2225" s="25" t="s">
        <v>29</v>
      </c>
      <c r="H2225" s="76" t="s">
        <v>172</v>
      </c>
      <c r="I2225" s="118">
        <v>46216.0</v>
      </c>
      <c r="J2225" s="76">
        <v>1.0</v>
      </c>
      <c r="K2225" s="19">
        <v>1600000.0</v>
      </c>
      <c r="L2225" s="76" t="s">
        <v>9317</v>
      </c>
      <c r="M2225" s="44">
        <v>1.0</v>
      </c>
      <c r="N2225" s="45"/>
      <c r="O2225" s="20"/>
      <c r="P2225" s="20"/>
      <c r="Q2225" s="20"/>
      <c r="R2225" s="20"/>
      <c r="S2225" s="20"/>
    </row>
    <row r="2226">
      <c r="A2226" s="49" t="s">
        <v>9318</v>
      </c>
      <c r="B2226" s="110">
        <v>46212.0</v>
      </c>
      <c r="C2226" s="49" t="s">
        <v>9319</v>
      </c>
      <c r="D2226" s="102" t="s">
        <v>9320</v>
      </c>
      <c r="E2226" s="25" t="s">
        <v>128</v>
      </c>
      <c r="F2226" s="25" t="s">
        <v>18</v>
      </c>
      <c r="G2226" s="25" t="s">
        <v>42</v>
      </c>
      <c r="H2226" s="49" t="s">
        <v>9321</v>
      </c>
      <c r="I2226" s="101">
        <v>46214.0</v>
      </c>
      <c r="J2226" s="49">
        <v>1.0</v>
      </c>
      <c r="K2226" s="30"/>
      <c r="L2226" s="49" t="s">
        <v>840</v>
      </c>
      <c r="M2226" s="50">
        <v>8.0</v>
      </c>
      <c r="N2226" s="51"/>
      <c r="O2226" s="20"/>
      <c r="P2226" s="20"/>
      <c r="Q2226" s="20"/>
      <c r="R2226" s="20"/>
      <c r="S2226" s="20"/>
    </row>
    <row r="2227">
      <c r="A2227" s="76" t="s">
        <v>9322</v>
      </c>
      <c r="B2227" s="97">
        <v>46212.0</v>
      </c>
      <c r="C2227" s="76" t="s">
        <v>2672</v>
      </c>
      <c r="D2227" s="99" t="s">
        <v>9323</v>
      </c>
      <c r="E2227" s="25" t="s">
        <v>1877</v>
      </c>
      <c r="F2227" s="25" t="s">
        <v>18</v>
      </c>
      <c r="G2227" s="25" t="s">
        <v>29</v>
      </c>
      <c r="H2227" s="76" t="s">
        <v>5658</v>
      </c>
      <c r="I2227" s="118">
        <v>46231.0</v>
      </c>
      <c r="J2227" s="76">
        <v>4.0</v>
      </c>
      <c r="K2227" s="46">
        <f>(400000*3)+(700000)</f>
        <v>1900000</v>
      </c>
      <c r="L2227" s="76" t="s">
        <v>9324</v>
      </c>
      <c r="M2227" s="44">
        <v>1.0</v>
      </c>
      <c r="N2227" s="45"/>
      <c r="O2227" s="20"/>
      <c r="P2227" s="20"/>
      <c r="Q2227" s="20"/>
      <c r="R2227" s="20"/>
      <c r="S2227" s="20"/>
    </row>
    <row r="2228">
      <c r="A2228" s="49" t="s">
        <v>9325</v>
      </c>
      <c r="B2228" s="110">
        <v>46212.0</v>
      </c>
      <c r="C2228" s="49" t="s">
        <v>9326</v>
      </c>
      <c r="D2228" s="102" t="s">
        <v>9327</v>
      </c>
      <c r="E2228" s="25" t="s">
        <v>128</v>
      </c>
      <c r="F2228" s="25" t="s">
        <v>18</v>
      </c>
      <c r="G2228" s="25" t="s">
        <v>29</v>
      </c>
      <c r="H2228" s="49" t="s">
        <v>172</v>
      </c>
      <c r="I2228" s="49" t="s">
        <v>9328</v>
      </c>
      <c r="J2228" s="49">
        <v>2.0</v>
      </c>
      <c r="K2228" s="30"/>
      <c r="L2228" s="49" t="s">
        <v>9329</v>
      </c>
      <c r="M2228" s="50">
        <v>1.0</v>
      </c>
      <c r="N2228" s="51"/>
      <c r="O2228" s="20"/>
      <c r="P2228" s="20"/>
      <c r="Q2228" s="20"/>
      <c r="R2228" s="20"/>
      <c r="S2228" s="20"/>
    </row>
    <row r="2229">
      <c r="A2229" s="76" t="s">
        <v>9330</v>
      </c>
      <c r="B2229" s="97">
        <v>46209.0</v>
      </c>
      <c r="C2229" s="76" t="s">
        <v>9331</v>
      </c>
      <c r="D2229" s="99" t="s">
        <v>9332</v>
      </c>
      <c r="E2229" s="25" t="s">
        <v>128</v>
      </c>
      <c r="F2229" s="25" t="s">
        <v>129</v>
      </c>
      <c r="G2229" s="25" t="s">
        <v>29</v>
      </c>
      <c r="H2229" s="10"/>
      <c r="I2229" s="10"/>
      <c r="J2229" s="10"/>
      <c r="K2229" s="46"/>
      <c r="L2229" s="76" t="s">
        <v>9333</v>
      </c>
      <c r="M2229" s="44">
        <v>1.0</v>
      </c>
      <c r="N2229" s="45"/>
      <c r="O2229" s="20"/>
      <c r="P2229" s="20"/>
      <c r="Q2229" s="20"/>
      <c r="R2229" s="20"/>
      <c r="S2229" s="20"/>
    </row>
    <row r="2230">
      <c r="A2230" s="49" t="s">
        <v>9334</v>
      </c>
      <c r="B2230" s="110">
        <v>46209.0</v>
      </c>
      <c r="C2230" s="49" t="s">
        <v>3490</v>
      </c>
      <c r="D2230" s="102" t="s">
        <v>9335</v>
      </c>
      <c r="E2230" s="25" t="s">
        <v>128</v>
      </c>
      <c r="F2230" s="25" t="s">
        <v>129</v>
      </c>
      <c r="G2230" s="25" t="s">
        <v>29</v>
      </c>
      <c r="H2230" s="49" t="s">
        <v>894</v>
      </c>
      <c r="I2230" s="101">
        <v>46237.0</v>
      </c>
      <c r="J2230" s="49">
        <v>4.0</v>
      </c>
      <c r="K2230" s="30"/>
      <c r="L2230" s="49" t="s">
        <v>9336</v>
      </c>
      <c r="M2230" s="50">
        <v>1.0</v>
      </c>
      <c r="N2230" s="51"/>
      <c r="O2230" s="20"/>
      <c r="P2230" s="20"/>
      <c r="Q2230" s="20"/>
      <c r="R2230" s="20"/>
      <c r="S2230" s="20"/>
    </row>
    <row r="2231">
      <c r="A2231" s="76" t="s">
        <v>9337</v>
      </c>
      <c r="B2231" s="97">
        <v>46210.0</v>
      </c>
      <c r="C2231" s="76" t="s">
        <v>9338</v>
      </c>
      <c r="D2231" s="99" t="s">
        <v>9339</v>
      </c>
      <c r="E2231" s="25" t="s">
        <v>128</v>
      </c>
      <c r="F2231" s="25" t="s">
        <v>129</v>
      </c>
      <c r="G2231" s="25" t="s">
        <v>42</v>
      </c>
      <c r="H2231" s="76" t="s">
        <v>9340</v>
      </c>
      <c r="I2231" s="118">
        <v>46211.0</v>
      </c>
      <c r="J2231" s="76">
        <v>5.0</v>
      </c>
      <c r="K2231" s="46"/>
      <c r="L2231" s="76" t="s">
        <v>9341</v>
      </c>
      <c r="M2231" s="44">
        <v>8.0</v>
      </c>
      <c r="N2231" s="45"/>
      <c r="O2231" s="20"/>
      <c r="P2231" s="20"/>
      <c r="Q2231" s="20"/>
      <c r="R2231" s="20"/>
      <c r="S2231" s="20"/>
    </row>
    <row r="2232">
      <c r="A2232" s="49" t="s">
        <v>9342</v>
      </c>
      <c r="B2232" s="110">
        <v>46210.0</v>
      </c>
      <c r="C2232" s="49" t="s">
        <v>4062</v>
      </c>
      <c r="D2232" s="102" t="s">
        <v>9343</v>
      </c>
      <c r="E2232" s="25" t="s">
        <v>17</v>
      </c>
      <c r="F2232" s="25" t="s">
        <v>129</v>
      </c>
      <c r="G2232" s="25" t="s">
        <v>43</v>
      </c>
      <c r="H2232" s="49" t="s">
        <v>370</v>
      </c>
      <c r="I2232" s="101">
        <v>46283.0</v>
      </c>
      <c r="J2232" s="49">
        <v>15.0</v>
      </c>
      <c r="K2232" s="30"/>
      <c r="L2232" s="49" t="s">
        <v>9344</v>
      </c>
      <c r="M2232" s="50">
        <v>3.0</v>
      </c>
      <c r="N2232" s="51"/>
      <c r="O2232" s="20"/>
      <c r="P2232" s="20"/>
      <c r="Q2232" s="20"/>
      <c r="R2232" s="20"/>
      <c r="S2232" s="20"/>
    </row>
    <row r="2233">
      <c r="A2233" s="76" t="s">
        <v>9345</v>
      </c>
      <c r="B2233" s="97">
        <v>46210.0</v>
      </c>
      <c r="C2233" s="76" t="s">
        <v>9346</v>
      </c>
      <c r="D2233" s="99" t="s">
        <v>9347</v>
      </c>
      <c r="E2233" s="25" t="s">
        <v>128</v>
      </c>
      <c r="F2233" s="25" t="s">
        <v>129</v>
      </c>
      <c r="G2233" s="25" t="s">
        <v>42</v>
      </c>
      <c r="H2233" s="76" t="s">
        <v>3273</v>
      </c>
      <c r="I2233" s="76" t="s">
        <v>9348</v>
      </c>
      <c r="J2233" s="76">
        <v>2.0</v>
      </c>
      <c r="K2233" s="46"/>
      <c r="L2233" s="76" t="s">
        <v>9349</v>
      </c>
      <c r="M2233" s="44">
        <v>8.0</v>
      </c>
      <c r="N2233" s="45"/>
      <c r="O2233" s="20"/>
      <c r="P2233" s="20"/>
      <c r="Q2233" s="20"/>
      <c r="R2233" s="20"/>
      <c r="S2233" s="20"/>
    </row>
    <row r="2234">
      <c r="A2234" s="49" t="s">
        <v>9350</v>
      </c>
      <c r="B2234" s="110">
        <v>46210.0</v>
      </c>
      <c r="C2234" s="49" t="s">
        <v>9351</v>
      </c>
      <c r="D2234" s="102" t="s">
        <v>9352</v>
      </c>
      <c r="E2234" s="25" t="s">
        <v>128</v>
      </c>
      <c r="F2234" s="25" t="s">
        <v>129</v>
      </c>
      <c r="G2234" s="25" t="s">
        <v>19</v>
      </c>
      <c r="H2234" s="49" t="s">
        <v>9353</v>
      </c>
      <c r="I2234" s="49" t="s">
        <v>9354</v>
      </c>
      <c r="J2234" s="49">
        <v>1.0</v>
      </c>
      <c r="K2234" s="30">
        <f>SUM(400000+250000)</f>
        <v>650000</v>
      </c>
      <c r="L2234" s="49" t="s">
        <v>6194</v>
      </c>
      <c r="M2234" s="50">
        <v>7.0</v>
      </c>
      <c r="N2234" s="51"/>
      <c r="O2234" s="20"/>
      <c r="P2234" s="20"/>
      <c r="Q2234" s="20"/>
      <c r="R2234" s="20"/>
      <c r="S2234" s="20"/>
    </row>
    <row r="2235">
      <c r="A2235" s="76" t="s">
        <v>9355</v>
      </c>
      <c r="B2235" s="97">
        <v>46210.0</v>
      </c>
      <c r="C2235" s="76" t="s">
        <v>9356</v>
      </c>
      <c r="D2235" s="99" t="s">
        <v>9357</v>
      </c>
      <c r="E2235" s="25" t="s">
        <v>128</v>
      </c>
      <c r="F2235" s="25" t="s">
        <v>129</v>
      </c>
      <c r="G2235" s="25" t="s">
        <v>29</v>
      </c>
      <c r="H2235" s="76" t="s">
        <v>747</v>
      </c>
      <c r="I2235" s="10"/>
      <c r="J2235" s="76">
        <v>5.0</v>
      </c>
      <c r="K2235" s="46"/>
      <c r="L2235" s="76" t="s">
        <v>9358</v>
      </c>
      <c r="M2235" s="44">
        <v>1.0</v>
      </c>
      <c r="N2235" s="45"/>
      <c r="O2235" s="20"/>
      <c r="P2235" s="20"/>
      <c r="Q2235" s="20"/>
      <c r="R2235" s="20"/>
      <c r="S2235" s="20"/>
    </row>
    <row r="2236">
      <c r="A2236" s="49" t="s">
        <v>9359</v>
      </c>
      <c r="B2236" s="110">
        <v>46210.0</v>
      </c>
      <c r="C2236" s="49" t="s">
        <v>9360</v>
      </c>
      <c r="D2236" s="102" t="s">
        <v>9361</v>
      </c>
      <c r="E2236" s="25" t="s">
        <v>128</v>
      </c>
      <c r="F2236" s="25" t="s">
        <v>129</v>
      </c>
      <c r="G2236" s="25" t="s">
        <v>29</v>
      </c>
      <c r="H2236" s="49" t="s">
        <v>2060</v>
      </c>
      <c r="I2236" s="23"/>
      <c r="J2236" s="23"/>
      <c r="K2236" s="30"/>
      <c r="L2236" s="49" t="s">
        <v>8677</v>
      </c>
      <c r="M2236" s="50">
        <v>1.0</v>
      </c>
      <c r="N2236" s="51"/>
      <c r="O2236" s="20"/>
      <c r="P2236" s="20"/>
      <c r="Q2236" s="20"/>
      <c r="R2236" s="20"/>
      <c r="S2236" s="20"/>
    </row>
    <row r="2237">
      <c r="A2237" s="76" t="s">
        <v>9362</v>
      </c>
      <c r="B2237" s="97">
        <v>46211.0</v>
      </c>
      <c r="C2237" s="76" t="s">
        <v>9363</v>
      </c>
      <c r="D2237" s="99" t="s">
        <v>9364</v>
      </c>
      <c r="E2237" s="25" t="s">
        <v>17</v>
      </c>
      <c r="F2237" s="25" t="s">
        <v>129</v>
      </c>
      <c r="G2237" s="25" t="s">
        <v>29</v>
      </c>
      <c r="H2237" s="76" t="s">
        <v>123</v>
      </c>
      <c r="I2237" s="10"/>
      <c r="J2237" s="10"/>
      <c r="K2237" s="46"/>
      <c r="L2237" s="76" t="s">
        <v>8677</v>
      </c>
      <c r="M2237" s="44">
        <v>1.0</v>
      </c>
      <c r="N2237" s="45"/>
      <c r="O2237" s="20"/>
      <c r="P2237" s="20"/>
      <c r="Q2237" s="20"/>
      <c r="R2237" s="20"/>
      <c r="S2237" s="20"/>
    </row>
    <row r="2238">
      <c r="A2238" s="49" t="s">
        <v>9365</v>
      </c>
      <c r="B2238" s="110">
        <v>46210.0</v>
      </c>
      <c r="C2238" s="49" t="s">
        <v>9366</v>
      </c>
      <c r="D2238" s="102" t="s">
        <v>9367</v>
      </c>
      <c r="E2238" s="25" t="s">
        <v>128</v>
      </c>
      <c r="F2238" s="25" t="s">
        <v>129</v>
      </c>
      <c r="G2238" s="25" t="s">
        <v>42</v>
      </c>
      <c r="H2238" s="76" t="s">
        <v>747</v>
      </c>
      <c r="I2238" s="49" t="s">
        <v>9368</v>
      </c>
      <c r="J2238" s="49">
        <v>5.0</v>
      </c>
      <c r="K2238" s="30"/>
      <c r="L2238" s="49" t="s">
        <v>9369</v>
      </c>
      <c r="M2238" s="50">
        <v>8.0</v>
      </c>
      <c r="N2238" s="51"/>
      <c r="O2238" s="20"/>
      <c r="P2238" s="20"/>
      <c r="Q2238" s="20"/>
      <c r="R2238" s="20"/>
      <c r="S2238" s="20"/>
    </row>
    <row r="2239">
      <c r="A2239" s="76" t="s">
        <v>9370</v>
      </c>
      <c r="B2239" s="97">
        <v>46211.0</v>
      </c>
      <c r="C2239" s="76" t="s">
        <v>9371</v>
      </c>
      <c r="D2239" s="99" t="s">
        <v>9372</v>
      </c>
      <c r="E2239" s="25" t="s">
        <v>128</v>
      </c>
      <c r="F2239" s="25" t="s">
        <v>129</v>
      </c>
      <c r="G2239" s="25" t="s">
        <v>29</v>
      </c>
      <c r="H2239" s="76" t="s">
        <v>894</v>
      </c>
      <c r="I2239" s="10"/>
      <c r="J2239" s="10"/>
      <c r="K2239" s="46"/>
      <c r="L2239" s="76" t="s">
        <v>9373</v>
      </c>
      <c r="M2239" s="44">
        <v>1.0</v>
      </c>
      <c r="N2239" s="45"/>
      <c r="O2239" s="20"/>
      <c r="P2239" s="20"/>
      <c r="Q2239" s="20"/>
      <c r="R2239" s="20"/>
      <c r="S2239" s="20"/>
    </row>
    <row r="2240">
      <c r="A2240" s="49" t="s">
        <v>9374</v>
      </c>
      <c r="B2240" s="110">
        <v>46210.0</v>
      </c>
      <c r="C2240" s="49" t="s">
        <v>9375</v>
      </c>
      <c r="D2240" s="102" t="s">
        <v>9376</v>
      </c>
      <c r="E2240" s="25" t="s">
        <v>17</v>
      </c>
      <c r="F2240" s="25" t="s">
        <v>129</v>
      </c>
      <c r="G2240" s="25" t="s">
        <v>29</v>
      </c>
      <c r="H2240" s="49" t="s">
        <v>116</v>
      </c>
      <c r="I2240" s="49" t="s">
        <v>4744</v>
      </c>
      <c r="J2240" s="49">
        <v>25.0</v>
      </c>
      <c r="K2240" s="30"/>
      <c r="L2240" s="49" t="s">
        <v>9377</v>
      </c>
      <c r="M2240" s="50">
        <v>1.0</v>
      </c>
      <c r="N2240" s="51"/>
      <c r="O2240" s="20"/>
      <c r="P2240" s="20"/>
      <c r="Q2240" s="20"/>
      <c r="R2240" s="20"/>
      <c r="S2240" s="20"/>
    </row>
    <row r="2241">
      <c r="A2241" s="76" t="s">
        <v>9378</v>
      </c>
      <c r="B2241" s="97">
        <v>46210.0</v>
      </c>
      <c r="C2241" s="76" t="s">
        <v>9379</v>
      </c>
      <c r="D2241" s="99" t="s">
        <v>9380</v>
      </c>
      <c r="E2241" s="25" t="s">
        <v>128</v>
      </c>
      <c r="F2241" s="25" t="s">
        <v>129</v>
      </c>
      <c r="G2241" s="25" t="s">
        <v>29</v>
      </c>
      <c r="H2241" s="76" t="s">
        <v>3273</v>
      </c>
      <c r="I2241" s="49" t="s">
        <v>4744</v>
      </c>
      <c r="J2241" s="76">
        <v>3.0</v>
      </c>
      <c r="K2241" s="46"/>
      <c r="L2241" s="76" t="s">
        <v>9381</v>
      </c>
      <c r="M2241" s="44">
        <v>1.0</v>
      </c>
      <c r="N2241" s="45"/>
      <c r="O2241" s="20"/>
      <c r="P2241" s="20"/>
      <c r="Q2241" s="20"/>
      <c r="R2241" s="20"/>
      <c r="S2241" s="20"/>
    </row>
    <row r="2242">
      <c r="A2242" s="49" t="s">
        <v>9382</v>
      </c>
      <c r="B2242" s="110">
        <v>46209.0</v>
      </c>
      <c r="C2242" s="49" t="s">
        <v>9383</v>
      </c>
      <c r="D2242" s="102" t="s">
        <v>9384</v>
      </c>
      <c r="E2242" s="25" t="s">
        <v>128</v>
      </c>
      <c r="F2242" s="25" t="s">
        <v>18</v>
      </c>
      <c r="G2242" s="25" t="s">
        <v>19</v>
      </c>
      <c r="H2242" s="49" t="s">
        <v>5658</v>
      </c>
      <c r="I2242" s="101">
        <v>46226.0</v>
      </c>
      <c r="J2242" s="49">
        <v>2.0</v>
      </c>
      <c r="K2242" s="36">
        <v>800000.0</v>
      </c>
      <c r="L2242" s="49" t="s">
        <v>5660</v>
      </c>
      <c r="M2242" s="50">
        <v>7.0</v>
      </c>
      <c r="N2242" s="51"/>
      <c r="O2242" s="20"/>
      <c r="P2242" s="20"/>
      <c r="Q2242" s="20"/>
      <c r="R2242" s="20"/>
      <c r="S2242" s="20"/>
    </row>
    <row r="2243">
      <c r="A2243" s="76" t="s">
        <v>9385</v>
      </c>
      <c r="B2243" s="97">
        <v>46210.0</v>
      </c>
      <c r="C2243" s="76" t="s">
        <v>9386</v>
      </c>
      <c r="D2243" s="99" t="s">
        <v>9387</v>
      </c>
      <c r="E2243" s="25" t="s">
        <v>17</v>
      </c>
      <c r="F2243" s="25" t="s">
        <v>983</v>
      </c>
      <c r="G2243" s="25" t="s">
        <v>34</v>
      </c>
      <c r="H2243" s="76" t="s">
        <v>3643</v>
      </c>
      <c r="I2243" s="118">
        <v>46240.0</v>
      </c>
      <c r="J2243" s="76">
        <v>2.0</v>
      </c>
      <c r="K2243" s="46">
        <f>250000*2</f>
        <v>500000</v>
      </c>
      <c r="L2243" s="76" t="s">
        <v>9388</v>
      </c>
      <c r="M2243" s="44">
        <v>2.0</v>
      </c>
      <c r="N2243" s="45"/>
      <c r="O2243" s="20"/>
      <c r="P2243" s="20"/>
      <c r="Q2243" s="20"/>
      <c r="R2243" s="20"/>
      <c r="S2243" s="20"/>
    </row>
    <row r="2244">
      <c r="A2244" s="49" t="s">
        <v>9389</v>
      </c>
      <c r="B2244" s="110">
        <v>46212.0</v>
      </c>
      <c r="C2244" s="49" t="s">
        <v>9390</v>
      </c>
      <c r="D2244" s="102" t="s">
        <v>9391</v>
      </c>
      <c r="E2244" s="25" t="s">
        <v>17</v>
      </c>
      <c r="F2244" s="25" t="s">
        <v>983</v>
      </c>
      <c r="G2244" s="25" t="s">
        <v>42</v>
      </c>
      <c r="H2244" s="23"/>
      <c r="I2244" s="23"/>
      <c r="J2244" s="23"/>
      <c r="K2244" s="30"/>
      <c r="L2244" s="49" t="s">
        <v>7926</v>
      </c>
      <c r="M2244" s="50">
        <v>8.0</v>
      </c>
      <c r="N2244" s="51"/>
      <c r="O2244" s="20"/>
      <c r="P2244" s="20"/>
      <c r="Q2244" s="20"/>
      <c r="R2244" s="20"/>
      <c r="S2244" s="20"/>
    </row>
    <row r="2245">
      <c r="A2245" s="76" t="s">
        <v>9392</v>
      </c>
      <c r="B2245" s="97">
        <v>46212.0</v>
      </c>
      <c r="C2245" s="76" t="s">
        <v>9393</v>
      </c>
      <c r="D2245" s="99" t="s">
        <v>9394</v>
      </c>
      <c r="E2245" s="25" t="s">
        <v>17</v>
      </c>
      <c r="F2245" s="25" t="s">
        <v>983</v>
      </c>
      <c r="G2245" s="25" t="s">
        <v>29</v>
      </c>
      <c r="H2245" s="76" t="s">
        <v>172</v>
      </c>
      <c r="I2245" s="10"/>
      <c r="J2245" s="10"/>
      <c r="K2245" s="46"/>
      <c r="L2245" s="76" t="s">
        <v>9395</v>
      </c>
      <c r="M2245" s="44">
        <v>1.0</v>
      </c>
      <c r="N2245" s="45"/>
      <c r="O2245" s="20"/>
      <c r="P2245" s="20"/>
      <c r="Q2245" s="20"/>
      <c r="R2245" s="20"/>
      <c r="S2245" s="20"/>
    </row>
    <row r="2246">
      <c r="A2246" s="49" t="s">
        <v>9396</v>
      </c>
      <c r="B2246" s="110">
        <v>46212.0</v>
      </c>
      <c r="C2246" s="49" t="s">
        <v>9397</v>
      </c>
      <c r="D2246" s="102" t="s">
        <v>9398</v>
      </c>
      <c r="E2246" s="25" t="s">
        <v>17</v>
      </c>
      <c r="F2246" s="25" t="s">
        <v>983</v>
      </c>
      <c r="G2246" s="25" t="s">
        <v>42</v>
      </c>
      <c r="H2246" s="23"/>
      <c r="I2246" s="23"/>
      <c r="J2246" s="23"/>
      <c r="K2246" s="30"/>
      <c r="L2246" s="49" t="s">
        <v>7926</v>
      </c>
      <c r="M2246" s="50">
        <v>8.0</v>
      </c>
      <c r="N2246" s="51"/>
      <c r="O2246" s="20"/>
      <c r="P2246" s="20"/>
      <c r="Q2246" s="20"/>
      <c r="R2246" s="20"/>
      <c r="S2246" s="20"/>
    </row>
    <row r="2247">
      <c r="A2247" s="76" t="s">
        <v>9399</v>
      </c>
      <c r="B2247" s="97">
        <v>46211.0</v>
      </c>
      <c r="C2247" s="76" t="s">
        <v>9400</v>
      </c>
      <c r="D2247" s="99" t="s">
        <v>9401</v>
      </c>
      <c r="E2247" s="25" t="s">
        <v>128</v>
      </c>
      <c r="F2247" s="25" t="s">
        <v>129</v>
      </c>
      <c r="G2247" s="25" t="s">
        <v>19</v>
      </c>
      <c r="H2247" s="76" t="s">
        <v>123</v>
      </c>
      <c r="I2247" s="118">
        <v>46221.0</v>
      </c>
      <c r="J2247" s="76">
        <v>7.0</v>
      </c>
      <c r="K2247" s="19">
        <v>1.3045E7</v>
      </c>
      <c r="L2247" s="76" t="s">
        <v>6194</v>
      </c>
      <c r="M2247" s="44">
        <v>7.0</v>
      </c>
      <c r="N2247" s="45"/>
      <c r="O2247" s="20"/>
      <c r="P2247" s="20"/>
      <c r="Q2247" s="20"/>
      <c r="R2247" s="20"/>
      <c r="S2247" s="20"/>
    </row>
    <row r="2248">
      <c r="A2248" s="49" t="s">
        <v>9402</v>
      </c>
      <c r="B2248" s="110">
        <v>46211.0</v>
      </c>
      <c r="C2248" s="49" t="s">
        <v>9403</v>
      </c>
      <c r="D2248" s="102" t="s">
        <v>9404</v>
      </c>
      <c r="E2248" s="25" t="s">
        <v>17</v>
      </c>
      <c r="F2248" s="25" t="s">
        <v>129</v>
      </c>
      <c r="G2248" s="25" t="s">
        <v>42</v>
      </c>
      <c r="H2248" s="49" t="s">
        <v>86</v>
      </c>
      <c r="I2248" s="101">
        <v>46228.0</v>
      </c>
      <c r="J2248" s="49">
        <v>4.0</v>
      </c>
      <c r="K2248" s="30"/>
      <c r="L2248" s="49" t="s">
        <v>9405</v>
      </c>
      <c r="M2248" s="50">
        <v>8.0</v>
      </c>
      <c r="N2248" s="51"/>
      <c r="O2248" s="20"/>
      <c r="P2248" s="20"/>
      <c r="Q2248" s="20"/>
      <c r="R2248" s="20"/>
      <c r="S2248" s="20"/>
    </row>
    <row r="2249">
      <c r="A2249" s="76" t="s">
        <v>9406</v>
      </c>
      <c r="B2249" s="97">
        <v>46211.0</v>
      </c>
      <c r="C2249" s="76" t="s">
        <v>9407</v>
      </c>
      <c r="D2249" s="99" t="s">
        <v>9408</v>
      </c>
      <c r="E2249" s="25" t="s">
        <v>1877</v>
      </c>
      <c r="F2249" s="25" t="s">
        <v>129</v>
      </c>
      <c r="G2249" s="25" t="s">
        <v>42</v>
      </c>
      <c r="H2249" s="76" t="s">
        <v>9409</v>
      </c>
      <c r="I2249" s="10"/>
      <c r="J2249" s="76">
        <v>1.0</v>
      </c>
      <c r="K2249" s="46"/>
      <c r="L2249" s="76" t="s">
        <v>9410</v>
      </c>
      <c r="M2249" s="44">
        <v>8.0</v>
      </c>
      <c r="N2249" s="45"/>
      <c r="O2249" s="20"/>
      <c r="P2249" s="20"/>
      <c r="Q2249" s="20"/>
      <c r="R2249" s="20"/>
      <c r="S2249" s="20"/>
    </row>
    <row r="2250">
      <c r="A2250" s="49" t="s">
        <v>9411</v>
      </c>
      <c r="B2250" s="110">
        <v>46212.0</v>
      </c>
      <c r="C2250" s="49" t="s">
        <v>9412</v>
      </c>
      <c r="D2250" s="102" t="s">
        <v>9413</v>
      </c>
      <c r="E2250" s="25" t="s">
        <v>128</v>
      </c>
      <c r="F2250" s="25" t="s">
        <v>129</v>
      </c>
      <c r="G2250" s="25" t="s">
        <v>29</v>
      </c>
      <c r="H2250" s="49" t="s">
        <v>287</v>
      </c>
      <c r="I2250" s="101">
        <v>46297.0</v>
      </c>
      <c r="J2250" s="49">
        <v>4.0</v>
      </c>
      <c r="K2250" s="30"/>
      <c r="L2250" s="49" t="s">
        <v>8677</v>
      </c>
      <c r="M2250" s="50">
        <v>1.0</v>
      </c>
      <c r="N2250" s="51"/>
      <c r="O2250" s="20"/>
      <c r="P2250" s="20"/>
      <c r="Q2250" s="20"/>
      <c r="R2250" s="20"/>
      <c r="S2250" s="20"/>
    </row>
    <row r="2251">
      <c r="A2251" s="76" t="s">
        <v>9414</v>
      </c>
      <c r="B2251" s="97">
        <v>46211.0</v>
      </c>
      <c r="C2251" s="76" t="s">
        <v>9415</v>
      </c>
      <c r="D2251" s="99" t="s">
        <v>9416</v>
      </c>
      <c r="E2251" s="25" t="s">
        <v>128</v>
      </c>
      <c r="F2251" s="25" t="s">
        <v>129</v>
      </c>
      <c r="G2251" s="25" t="s">
        <v>42</v>
      </c>
      <c r="H2251" s="76" t="s">
        <v>5030</v>
      </c>
      <c r="I2251" s="118">
        <v>46215.0</v>
      </c>
      <c r="J2251" s="76">
        <v>1.0</v>
      </c>
      <c r="K2251" s="46"/>
      <c r="L2251" s="76" t="s">
        <v>9417</v>
      </c>
      <c r="M2251" s="44">
        <v>8.0</v>
      </c>
      <c r="N2251" s="45"/>
      <c r="O2251" s="20"/>
      <c r="P2251" s="20"/>
      <c r="Q2251" s="20"/>
      <c r="R2251" s="20"/>
      <c r="S2251" s="20"/>
    </row>
    <row r="2252">
      <c r="A2252" s="49" t="s">
        <v>9418</v>
      </c>
      <c r="B2252" s="110">
        <v>46211.0</v>
      </c>
      <c r="C2252" s="49" t="s">
        <v>9419</v>
      </c>
      <c r="D2252" s="102" t="s">
        <v>9420</v>
      </c>
      <c r="E2252" s="25" t="s">
        <v>17</v>
      </c>
      <c r="F2252" s="25" t="s">
        <v>129</v>
      </c>
      <c r="G2252" s="25" t="s">
        <v>29</v>
      </c>
      <c r="H2252" s="49" t="s">
        <v>9421</v>
      </c>
      <c r="I2252" s="49" t="s">
        <v>7890</v>
      </c>
      <c r="J2252" s="49">
        <v>17.0</v>
      </c>
      <c r="K2252" s="30"/>
      <c r="L2252" s="49" t="s">
        <v>9358</v>
      </c>
      <c r="M2252" s="50">
        <v>1.0</v>
      </c>
      <c r="N2252" s="51"/>
      <c r="O2252" s="20"/>
      <c r="P2252" s="20"/>
      <c r="Q2252" s="20"/>
      <c r="R2252" s="20"/>
      <c r="S2252" s="20"/>
    </row>
    <row r="2253">
      <c r="A2253" s="76" t="s">
        <v>9422</v>
      </c>
      <c r="B2253" s="97">
        <v>46212.0</v>
      </c>
      <c r="C2253" s="76" t="s">
        <v>9397</v>
      </c>
      <c r="D2253" s="99" t="s">
        <v>9398</v>
      </c>
      <c r="E2253" s="25" t="s">
        <v>17</v>
      </c>
      <c r="F2253" s="25" t="s">
        <v>129</v>
      </c>
      <c r="G2253" s="25" t="s">
        <v>29</v>
      </c>
      <c r="H2253" s="76" t="s">
        <v>9423</v>
      </c>
      <c r="I2253" s="10"/>
      <c r="J2253" s="76">
        <v>5.0</v>
      </c>
      <c r="K2253" s="46"/>
      <c r="L2253" s="76" t="s">
        <v>9424</v>
      </c>
      <c r="M2253" s="44">
        <v>1.0</v>
      </c>
      <c r="N2253" s="45"/>
      <c r="O2253" s="20"/>
      <c r="P2253" s="20"/>
      <c r="Q2253" s="20"/>
      <c r="R2253" s="20"/>
      <c r="S2253" s="20"/>
    </row>
    <row r="2254">
      <c r="A2254" s="49" t="s">
        <v>9425</v>
      </c>
      <c r="B2254" s="110">
        <v>46212.0</v>
      </c>
      <c r="C2254" s="49" t="s">
        <v>9426</v>
      </c>
      <c r="D2254" s="102" t="s">
        <v>9427</v>
      </c>
      <c r="E2254" s="25" t="s">
        <v>122</v>
      </c>
      <c r="F2254" s="25" t="s">
        <v>983</v>
      </c>
      <c r="G2254" s="25" t="s">
        <v>34</v>
      </c>
      <c r="H2254" s="49" t="s">
        <v>9428</v>
      </c>
      <c r="I2254" s="101">
        <v>46248.0</v>
      </c>
      <c r="J2254" s="49">
        <v>2.0</v>
      </c>
      <c r="K2254" s="30"/>
      <c r="L2254" s="49" t="s">
        <v>9429</v>
      </c>
      <c r="M2254" s="50">
        <v>2.0</v>
      </c>
      <c r="N2254" s="51"/>
      <c r="O2254" s="20"/>
      <c r="P2254" s="20"/>
      <c r="Q2254" s="20"/>
      <c r="R2254" s="20"/>
      <c r="S2254" s="20"/>
    </row>
    <row r="2255">
      <c r="A2255" s="76" t="s">
        <v>9430</v>
      </c>
      <c r="B2255" s="97">
        <v>46212.0</v>
      </c>
      <c r="C2255" s="76" t="s">
        <v>9431</v>
      </c>
      <c r="D2255" s="99" t="s">
        <v>9432</v>
      </c>
      <c r="E2255" s="25" t="s">
        <v>128</v>
      </c>
      <c r="F2255" s="25" t="s">
        <v>18</v>
      </c>
      <c r="G2255" s="25" t="s">
        <v>29</v>
      </c>
      <c r="H2255" s="76" t="s">
        <v>2462</v>
      </c>
      <c r="I2255" s="10"/>
      <c r="J2255" s="10"/>
      <c r="K2255" s="46"/>
      <c r="L2255" s="10"/>
      <c r="M2255" s="44">
        <v>1.0</v>
      </c>
      <c r="N2255" s="45"/>
      <c r="O2255" s="20"/>
      <c r="P2255" s="20"/>
      <c r="Q2255" s="20"/>
      <c r="R2255" s="20"/>
      <c r="S2255" s="20"/>
    </row>
    <row r="2256">
      <c r="A2256" s="49" t="s">
        <v>9433</v>
      </c>
      <c r="B2256" s="110">
        <v>46212.0</v>
      </c>
      <c r="C2256" s="49" t="s">
        <v>9434</v>
      </c>
      <c r="D2256" s="102" t="s">
        <v>9435</v>
      </c>
      <c r="E2256" s="25" t="s">
        <v>128</v>
      </c>
      <c r="F2256" s="25" t="s">
        <v>18</v>
      </c>
      <c r="G2256" s="25" t="s">
        <v>29</v>
      </c>
      <c r="H2256" s="49" t="s">
        <v>5658</v>
      </c>
      <c r="I2256" s="23"/>
      <c r="J2256" s="23"/>
      <c r="K2256" s="30"/>
      <c r="L2256" s="23"/>
      <c r="M2256" s="50">
        <v>1.0</v>
      </c>
      <c r="N2256" s="51"/>
      <c r="O2256" s="20"/>
      <c r="P2256" s="20"/>
      <c r="Q2256" s="20"/>
      <c r="R2256" s="20"/>
      <c r="S2256" s="20"/>
    </row>
    <row r="2257">
      <c r="A2257" s="76" t="s">
        <v>9436</v>
      </c>
      <c r="B2257" s="97">
        <v>46212.0</v>
      </c>
      <c r="C2257" s="76" t="s">
        <v>9437</v>
      </c>
      <c r="D2257" s="99" t="s">
        <v>9438</v>
      </c>
      <c r="E2257" s="25" t="s">
        <v>128</v>
      </c>
      <c r="F2257" s="25" t="s">
        <v>18</v>
      </c>
      <c r="G2257" s="25" t="s">
        <v>29</v>
      </c>
      <c r="H2257" s="76" t="s">
        <v>3784</v>
      </c>
      <c r="I2257" s="10"/>
      <c r="J2257" s="10"/>
      <c r="K2257" s="46"/>
      <c r="L2257" s="10"/>
      <c r="M2257" s="44">
        <v>1.0</v>
      </c>
      <c r="N2257" s="45"/>
      <c r="O2257" s="20"/>
      <c r="P2257" s="20"/>
      <c r="Q2257" s="20"/>
      <c r="R2257" s="20"/>
      <c r="S2257" s="20"/>
    </row>
    <row r="2258">
      <c r="A2258" s="49" t="s">
        <v>9439</v>
      </c>
      <c r="B2258" s="110">
        <v>46212.0</v>
      </c>
      <c r="C2258" s="49" t="s">
        <v>9440</v>
      </c>
      <c r="D2258" s="102" t="s">
        <v>9441</v>
      </c>
      <c r="E2258" s="25" t="s">
        <v>128</v>
      </c>
      <c r="F2258" s="25" t="s">
        <v>18</v>
      </c>
      <c r="G2258" s="25" t="s">
        <v>29</v>
      </c>
      <c r="H2258" s="49" t="s">
        <v>5741</v>
      </c>
      <c r="I2258" s="23"/>
      <c r="J2258" s="23"/>
      <c r="K2258" s="30"/>
      <c r="L2258" s="23"/>
      <c r="M2258" s="50">
        <v>1.0</v>
      </c>
      <c r="N2258" s="51"/>
      <c r="O2258" s="20"/>
      <c r="P2258" s="20"/>
      <c r="Q2258" s="20"/>
      <c r="R2258" s="20"/>
      <c r="S2258" s="20"/>
    </row>
    <row r="2259">
      <c r="A2259" s="76" t="s">
        <v>9442</v>
      </c>
      <c r="B2259" s="97">
        <v>46212.0</v>
      </c>
      <c r="C2259" s="76" t="s">
        <v>9443</v>
      </c>
      <c r="D2259" s="99" t="s">
        <v>9444</v>
      </c>
      <c r="E2259" s="25" t="s">
        <v>128</v>
      </c>
      <c r="F2259" s="25" t="s">
        <v>18</v>
      </c>
      <c r="G2259" s="25" t="s">
        <v>29</v>
      </c>
      <c r="H2259" s="76" t="s">
        <v>5658</v>
      </c>
      <c r="I2259" s="118">
        <v>46215.0</v>
      </c>
      <c r="J2259" s="76">
        <v>5.0</v>
      </c>
      <c r="K2259" s="46"/>
      <c r="L2259" s="10"/>
      <c r="M2259" s="44">
        <v>1.0</v>
      </c>
      <c r="N2259" s="45"/>
      <c r="O2259" s="20"/>
      <c r="P2259" s="20"/>
      <c r="Q2259" s="20"/>
      <c r="R2259" s="20"/>
      <c r="S2259" s="20"/>
    </row>
    <row r="2260">
      <c r="A2260" s="49" t="s">
        <v>9445</v>
      </c>
      <c r="B2260" s="110">
        <v>46211.0</v>
      </c>
      <c r="C2260" s="49" t="s">
        <v>9446</v>
      </c>
      <c r="D2260" s="102" t="s">
        <v>9447</v>
      </c>
      <c r="E2260" s="25" t="s">
        <v>128</v>
      </c>
      <c r="F2260" s="25" t="s">
        <v>129</v>
      </c>
      <c r="G2260" s="25" t="s">
        <v>29</v>
      </c>
      <c r="H2260" s="49" t="s">
        <v>199</v>
      </c>
      <c r="I2260" s="23"/>
      <c r="J2260" s="49">
        <v>2.0</v>
      </c>
      <c r="K2260" s="30"/>
      <c r="L2260" s="49" t="s">
        <v>9448</v>
      </c>
      <c r="M2260" s="50">
        <v>1.0</v>
      </c>
      <c r="N2260" s="51"/>
      <c r="O2260" s="20"/>
      <c r="P2260" s="20"/>
      <c r="Q2260" s="20"/>
      <c r="R2260" s="20"/>
      <c r="S2260" s="20"/>
    </row>
    <row r="2261">
      <c r="A2261" s="76" t="s">
        <v>9449</v>
      </c>
      <c r="B2261" s="97">
        <v>46212.0</v>
      </c>
      <c r="C2261" s="76" t="s">
        <v>9450</v>
      </c>
      <c r="D2261" s="99" t="s">
        <v>9451</v>
      </c>
      <c r="E2261" s="25" t="s">
        <v>128</v>
      </c>
      <c r="F2261" s="25" t="s">
        <v>129</v>
      </c>
      <c r="G2261" s="25" t="s">
        <v>29</v>
      </c>
      <c r="H2261" s="76" t="s">
        <v>3273</v>
      </c>
      <c r="I2261" s="10"/>
      <c r="J2261" s="76">
        <v>3.0</v>
      </c>
      <c r="K2261" s="46"/>
      <c r="L2261" s="10"/>
      <c r="M2261" s="44">
        <v>1.0</v>
      </c>
      <c r="N2261" s="45"/>
      <c r="O2261" s="20"/>
      <c r="P2261" s="20"/>
      <c r="Q2261" s="20"/>
      <c r="R2261" s="20"/>
      <c r="S2261" s="20"/>
    </row>
    <row r="2262">
      <c r="A2262" s="49" t="s">
        <v>9452</v>
      </c>
      <c r="B2262" s="110">
        <v>46212.0</v>
      </c>
      <c r="C2262" s="49" t="s">
        <v>9453</v>
      </c>
      <c r="D2262" s="102" t="s">
        <v>9454</v>
      </c>
      <c r="E2262" s="25" t="s">
        <v>128</v>
      </c>
      <c r="F2262" s="25" t="s">
        <v>129</v>
      </c>
      <c r="G2262" s="25" t="s">
        <v>29</v>
      </c>
      <c r="H2262" s="49" t="s">
        <v>199</v>
      </c>
      <c r="I2262" s="23"/>
      <c r="J2262" s="23"/>
      <c r="K2262" s="30"/>
      <c r="L2262" s="49" t="s">
        <v>9455</v>
      </c>
      <c r="M2262" s="50">
        <v>1.0</v>
      </c>
      <c r="N2262" s="51"/>
      <c r="O2262" s="20"/>
      <c r="P2262" s="20"/>
      <c r="Q2262" s="20"/>
      <c r="R2262" s="20"/>
      <c r="S2262" s="20"/>
    </row>
    <row r="2263">
      <c r="A2263" s="76" t="s">
        <v>9456</v>
      </c>
      <c r="B2263" s="97">
        <v>46211.0</v>
      </c>
      <c r="C2263" s="76" t="s">
        <v>9457</v>
      </c>
      <c r="D2263" s="99" t="s">
        <v>9458</v>
      </c>
      <c r="E2263" s="25" t="s">
        <v>128</v>
      </c>
      <c r="F2263" s="25" t="s">
        <v>129</v>
      </c>
      <c r="G2263" s="25" t="s">
        <v>29</v>
      </c>
      <c r="H2263" s="76" t="s">
        <v>4532</v>
      </c>
      <c r="I2263" s="118">
        <v>46267.0</v>
      </c>
      <c r="J2263" s="76">
        <v>25.0</v>
      </c>
      <c r="K2263" s="46"/>
      <c r="L2263" s="76" t="s">
        <v>4745</v>
      </c>
      <c r="M2263" s="44">
        <v>1.0</v>
      </c>
      <c r="N2263" s="45"/>
      <c r="O2263" s="20"/>
      <c r="P2263" s="20"/>
      <c r="Q2263" s="20"/>
      <c r="R2263" s="20"/>
      <c r="S2263" s="20"/>
    </row>
    <row r="2264">
      <c r="A2264" s="49" t="s">
        <v>9459</v>
      </c>
      <c r="B2264" s="110">
        <v>46212.0</v>
      </c>
      <c r="C2264" s="49" t="s">
        <v>9460</v>
      </c>
      <c r="D2264" s="102" t="s">
        <v>9461</v>
      </c>
      <c r="E2264" s="25" t="s">
        <v>17</v>
      </c>
      <c r="F2264" s="25" t="s">
        <v>129</v>
      </c>
      <c r="G2264" s="25" t="s">
        <v>42</v>
      </c>
      <c r="H2264" s="49" t="s">
        <v>9462</v>
      </c>
      <c r="I2264" s="101">
        <v>46213.0</v>
      </c>
      <c r="J2264" s="23"/>
      <c r="K2264" s="30"/>
      <c r="L2264" s="49" t="s">
        <v>1360</v>
      </c>
      <c r="M2264" s="50">
        <v>8.0</v>
      </c>
      <c r="N2264" s="51"/>
      <c r="O2264" s="20"/>
      <c r="P2264" s="20"/>
      <c r="Q2264" s="20"/>
      <c r="R2264" s="20"/>
      <c r="S2264" s="20"/>
    </row>
    <row r="2265">
      <c r="A2265" s="76" t="s">
        <v>9463</v>
      </c>
      <c r="B2265" s="97">
        <v>46211.0</v>
      </c>
      <c r="C2265" s="76" t="s">
        <v>9202</v>
      </c>
      <c r="D2265" s="99" t="s">
        <v>9203</v>
      </c>
      <c r="E2265" s="25" t="s">
        <v>17</v>
      </c>
      <c r="F2265" s="25" t="s">
        <v>129</v>
      </c>
      <c r="G2265" s="25" t="s">
        <v>42</v>
      </c>
      <c r="H2265" s="76" t="s">
        <v>571</v>
      </c>
      <c r="I2265" s="118">
        <v>46213.0</v>
      </c>
      <c r="J2265" s="76">
        <v>5.0</v>
      </c>
      <c r="K2265" s="46"/>
      <c r="L2265" s="76" t="s">
        <v>9464</v>
      </c>
      <c r="M2265" s="44">
        <v>8.0</v>
      </c>
      <c r="N2265" s="45"/>
      <c r="O2265" s="20"/>
      <c r="P2265" s="20"/>
      <c r="Q2265" s="20"/>
      <c r="R2265" s="20"/>
      <c r="S2265" s="20"/>
    </row>
    <row r="2266">
      <c r="A2266" s="49" t="s">
        <v>9465</v>
      </c>
      <c r="B2266" s="110">
        <v>46212.0</v>
      </c>
      <c r="C2266" s="49" t="s">
        <v>9466</v>
      </c>
      <c r="D2266" s="102" t="s">
        <v>9467</v>
      </c>
      <c r="E2266" s="25" t="s">
        <v>128</v>
      </c>
      <c r="F2266" s="25" t="s">
        <v>129</v>
      </c>
      <c r="G2266" s="25" t="s">
        <v>42</v>
      </c>
      <c r="H2266" s="49" t="s">
        <v>9468</v>
      </c>
      <c r="I2266" s="101">
        <v>46213.0</v>
      </c>
      <c r="J2266" s="49">
        <v>1.0</v>
      </c>
      <c r="K2266" s="30"/>
      <c r="L2266" s="49" t="s">
        <v>9469</v>
      </c>
      <c r="M2266" s="50">
        <v>8.0</v>
      </c>
      <c r="N2266" s="51"/>
      <c r="O2266" s="20"/>
      <c r="P2266" s="20"/>
      <c r="Q2266" s="20"/>
      <c r="R2266" s="20"/>
      <c r="S2266" s="20"/>
    </row>
    <row r="2267">
      <c r="A2267" s="76" t="s">
        <v>9470</v>
      </c>
      <c r="B2267" s="97">
        <v>46212.0</v>
      </c>
      <c r="C2267" s="76" t="s">
        <v>9471</v>
      </c>
      <c r="D2267" s="99" t="s">
        <v>9472</v>
      </c>
      <c r="E2267" s="25" t="s">
        <v>128</v>
      </c>
      <c r="F2267" s="25" t="s">
        <v>129</v>
      </c>
      <c r="G2267" s="25" t="s">
        <v>29</v>
      </c>
      <c r="H2267" s="10"/>
      <c r="I2267" s="10"/>
      <c r="J2267" s="10"/>
      <c r="K2267" s="46"/>
      <c r="L2267" s="76" t="s">
        <v>7542</v>
      </c>
      <c r="M2267" s="44">
        <v>1.0</v>
      </c>
      <c r="N2267" s="45"/>
      <c r="O2267" s="20"/>
      <c r="P2267" s="20"/>
      <c r="Q2267" s="20"/>
      <c r="R2267" s="20"/>
      <c r="S2267" s="20"/>
    </row>
    <row r="2268">
      <c r="A2268" s="49" t="s">
        <v>9473</v>
      </c>
      <c r="B2268" s="110">
        <v>46213.0</v>
      </c>
      <c r="C2268" s="49" t="s">
        <v>9474</v>
      </c>
      <c r="D2268" s="102" t="s">
        <v>9475</v>
      </c>
      <c r="E2268" s="25" t="s">
        <v>128</v>
      </c>
      <c r="F2268" s="25" t="s">
        <v>129</v>
      </c>
      <c r="G2268" s="25" t="s">
        <v>42</v>
      </c>
      <c r="H2268" s="49" t="s">
        <v>5215</v>
      </c>
      <c r="I2268" s="101">
        <v>46214.0</v>
      </c>
      <c r="J2268" s="49">
        <v>2.0</v>
      </c>
      <c r="K2268" s="30"/>
      <c r="L2268" s="49" t="s">
        <v>1186</v>
      </c>
      <c r="M2268" s="50">
        <v>8.0</v>
      </c>
      <c r="N2268" s="51"/>
      <c r="O2268" s="20"/>
      <c r="P2268" s="20"/>
      <c r="Q2268" s="20"/>
      <c r="R2268" s="20"/>
      <c r="S2268" s="20"/>
    </row>
    <row r="2269">
      <c r="A2269" s="76" t="s">
        <v>9476</v>
      </c>
      <c r="B2269" s="97">
        <v>46211.0</v>
      </c>
      <c r="C2269" s="76" t="s">
        <v>5327</v>
      </c>
      <c r="D2269" s="99" t="s">
        <v>9477</v>
      </c>
      <c r="E2269" s="25" t="s">
        <v>128</v>
      </c>
      <c r="F2269" s="25" t="s">
        <v>18</v>
      </c>
      <c r="G2269" s="25" t="s">
        <v>34</v>
      </c>
      <c r="H2269" s="76" t="s">
        <v>172</v>
      </c>
      <c r="I2269" s="76" t="s">
        <v>9478</v>
      </c>
      <c r="J2269" s="76">
        <v>2.0</v>
      </c>
      <c r="K2269" s="46">
        <f>1600000*2</f>
        <v>3200000</v>
      </c>
      <c r="L2269" s="76" t="s">
        <v>9479</v>
      </c>
      <c r="M2269" s="44">
        <v>2.0</v>
      </c>
      <c r="N2269" s="45"/>
      <c r="O2269" s="20"/>
      <c r="P2269" s="20"/>
      <c r="Q2269" s="20"/>
      <c r="R2269" s="20"/>
      <c r="S2269" s="20"/>
    </row>
    <row r="2270">
      <c r="A2270" s="49" t="s">
        <v>9480</v>
      </c>
      <c r="B2270" s="110">
        <v>46213.0</v>
      </c>
      <c r="C2270" s="49" t="s">
        <v>9481</v>
      </c>
      <c r="D2270" s="102" t="s">
        <v>9482</v>
      </c>
      <c r="E2270" s="25" t="s">
        <v>17</v>
      </c>
      <c r="F2270" s="25" t="s">
        <v>129</v>
      </c>
      <c r="G2270" s="25" t="s">
        <v>42</v>
      </c>
      <c r="H2270" s="49" t="s">
        <v>5242</v>
      </c>
      <c r="I2270" s="101">
        <v>46214.0</v>
      </c>
      <c r="J2270" s="49">
        <v>1.0</v>
      </c>
      <c r="K2270" s="30"/>
      <c r="L2270" s="49" t="s">
        <v>9483</v>
      </c>
      <c r="M2270" s="50">
        <v>8.0</v>
      </c>
      <c r="N2270" s="51"/>
      <c r="O2270" s="20"/>
      <c r="P2270" s="20"/>
      <c r="Q2270" s="20"/>
      <c r="R2270" s="20"/>
      <c r="S2270" s="20"/>
    </row>
    <row r="2271">
      <c r="A2271" s="76" t="s">
        <v>9484</v>
      </c>
      <c r="B2271" s="97">
        <v>46211.0</v>
      </c>
      <c r="C2271" s="76" t="s">
        <v>9485</v>
      </c>
      <c r="D2271" s="99" t="s">
        <v>9486</v>
      </c>
      <c r="E2271" s="25" t="s">
        <v>128</v>
      </c>
      <c r="F2271" s="25" t="s">
        <v>129</v>
      </c>
      <c r="G2271" s="25" t="s">
        <v>29</v>
      </c>
      <c r="H2271" s="76" t="s">
        <v>823</v>
      </c>
      <c r="I2271" s="10"/>
      <c r="J2271" s="76">
        <v>4.0</v>
      </c>
      <c r="K2271" s="46"/>
      <c r="L2271" s="76" t="s">
        <v>9424</v>
      </c>
      <c r="M2271" s="44">
        <v>1.0</v>
      </c>
      <c r="N2271" s="45"/>
      <c r="O2271" s="20"/>
      <c r="P2271" s="20"/>
      <c r="Q2271" s="20"/>
      <c r="R2271" s="20"/>
      <c r="S2271" s="20"/>
    </row>
    <row r="2272">
      <c r="A2272" s="49" t="s">
        <v>9487</v>
      </c>
      <c r="B2272" s="110">
        <v>46211.0</v>
      </c>
      <c r="C2272" s="49" t="s">
        <v>9488</v>
      </c>
      <c r="D2272" s="102" t="s">
        <v>9489</v>
      </c>
      <c r="E2272" s="25" t="s">
        <v>122</v>
      </c>
      <c r="F2272" s="25" t="s">
        <v>129</v>
      </c>
      <c r="G2272" s="25" t="s">
        <v>29</v>
      </c>
      <c r="H2272" s="23"/>
      <c r="I2272" s="23"/>
      <c r="J2272" s="49">
        <v>2.0</v>
      </c>
      <c r="K2272" s="30"/>
      <c r="L2272" s="23"/>
      <c r="M2272" s="50">
        <v>1.0</v>
      </c>
      <c r="N2272" s="51"/>
      <c r="O2272" s="20"/>
      <c r="P2272" s="20"/>
      <c r="Q2272" s="20"/>
      <c r="R2272" s="20"/>
      <c r="S2272" s="20"/>
    </row>
    <row r="2273">
      <c r="A2273" s="76" t="s">
        <v>9490</v>
      </c>
      <c r="B2273" s="97">
        <v>46211.0</v>
      </c>
      <c r="C2273" s="76" t="s">
        <v>9491</v>
      </c>
      <c r="D2273" s="99" t="s">
        <v>9492</v>
      </c>
      <c r="E2273" s="25" t="s">
        <v>17</v>
      </c>
      <c r="F2273" s="25" t="s">
        <v>129</v>
      </c>
      <c r="G2273" s="25" t="s">
        <v>29</v>
      </c>
      <c r="H2273" s="10"/>
      <c r="I2273" s="10"/>
      <c r="J2273" s="10"/>
      <c r="K2273" s="46"/>
      <c r="L2273" s="10"/>
      <c r="M2273" s="44">
        <v>1.0</v>
      </c>
      <c r="N2273" s="45"/>
      <c r="O2273" s="20"/>
      <c r="P2273" s="20"/>
      <c r="Q2273" s="20"/>
      <c r="R2273" s="20"/>
      <c r="S2273" s="20"/>
    </row>
    <row r="2274">
      <c r="A2274" s="49" t="s">
        <v>9493</v>
      </c>
      <c r="B2274" s="110">
        <v>46213.0</v>
      </c>
      <c r="C2274" s="49" t="s">
        <v>1989</v>
      </c>
      <c r="D2274" s="102" t="s">
        <v>9494</v>
      </c>
      <c r="E2274" s="25" t="s">
        <v>128</v>
      </c>
      <c r="F2274" s="25" t="s">
        <v>129</v>
      </c>
      <c r="G2274" s="25" t="s">
        <v>29</v>
      </c>
      <c r="H2274" s="49" t="s">
        <v>260</v>
      </c>
      <c r="I2274" s="101">
        <v>46257.0</v>
      </c>
      <c r="J2274" s="49">
        <v>2.0</v>
      </c>
      <c r="K2274" s="30"/>
      <c r="L2274" s="23"/>
      <c r="M2274" s="50">
        <v>1.0</v>
      </c>
      <c r="N2274" s="51"/>
      <c r="O2274" s="20"/>
      <c r="P2274" s="20"/>
      <c r="Q2274" s="20"/>
      <c r="R2274" s="20"/>
      <c r="S2274" s="20"/>
    </row>
    <row r="2275">
      <c r="A2275" s="76" t="s">
        <v>9495</v>
      </c>
      <c r="B2275" s="97">
        <v>46213.0</v>
      </c>
      <c r="C2275" s="76" t="s">
        <v>9496</v>
      </c>
      <c r="D2275" s="99" t="s">
        <v>9497</v>
      </c>
      <c r="E2275" s="25" t="s">
        <v>128</v>
      </c>
      <c r="F2275" s="25" t="s">
        <v>129</v>
      </c>
      <c r="G2275" s="25" t="s">
        <v>19</v>
      </c>
      <c r="H2275" s="76" t="s">
        <v>9498</v>
      </c>
      <c r="I2275" s="118">
        <v>46215.0</v>
      </c>
      <c r="J2275" s="76">
        <v>4.0</v>
      </c>
      <c r="K2275" s="46">
        <f>SUM(870000*J2275)</f>
        <v>3480000</v>
      </c>
      <c r="L2275" s="76" t="s">
        <v>6443</v>
      </c>
      <c r="M2275" s="44">
        <v>7.0</v>
      </c>
      <c r="N2275" s="45"/>
      <c r="O2275" s="20"/>
      <c r="P2275" s="20"/>
      <c r="Q2275" s="20"/>
      <c r="R2275" s="20"/>
      <c r="S2275" s="20"/>
    </row>
    <row r="2276">
      <c r="A2276" s="49" t="s">
        <v>9499</v>
      </c>
      <c r="B2276" s="110">
        <v>46213.0</v>
      </c>
      <c r="C2276" s="49" t="s">
        <v>9500</v>
      </c>
      <c r="D2276" s="102" t="s">
        <v>9501</v>
      </c>
      <c r="E2276" s="25" t="s">
        <v>17</v>
      </c>
      <c r="F2276" s="25" t="s">
        <v>129</v>
      </c>
      <c r="G2276" s="25" t="s">
        <v>42</v>
      </c>
      <c r="H2276" s="49" t="s">
        <v>3767</v>
      </c>
      <c r="I2276" s="101">
        <v>46217.0</v>
      </c>
      <c r="J2276" s="49">
        <v>2.0</v>
      </c>
      <c r="K2276" s="30"/>
      <c r="L2276" s="49" t="s">
        <v>9502</v>
      </c>
      <c r="M2276" s="50">
        <v>8.0</v>
      </c>
      <c r="N2276" s="51"/>
      <c r="O2276" s="20"/>
      <c r="P2276" s="20"/>
      <c r="Q2276" s="20"/>
      <c r="R2276" s="20"/>
      <c r="S2276" s="20"/>
    </row>
    <row r="2277">
      <c r="A2277" s="76" t="s">
        <v>9503</v>
      </c>
      <c r="B2277" s="97">
        <v>46213.0</v>
      </c>
      <c r="C2277" s="76" t="s">
        <v>867</v>
      </c>
      <c r="D2277" s="99" t="s">
        <v>9504</v>
      </c>
      <c r="E2277" s="25" t="s">
        <v>128</v>
      </c>
      <c r="F2277" s="25" t="s">
        <v>18</v>
      </c>
      <c r="G2277" s="25" t="s">
        <v>29</v>
      </c>
      <c r="H2277" s="76" t="s">
        <v>3210</v>
      </c>
      <c r="I2277" s="10"/>
      <c r="J2277" s="10"/>
      <c r="K2277" s="46"/>
      <c r="L2277" s="10"/>
      <c r="M2277" s="44">
        <v>1.0</v>
      </c>
      <c r="N2277" s="45"/>
      <c r="O2277" s="20"/>
      <c r="P2277" s="20"/>
      <c r="Q2277" s="20"/>
      <c r="R2277" s="20"/>
      <c r="S2277" s="20"/>
    </row>
    <row r="2278">
      <c r="A2278" s="49" t="s">
        <v>9505</v>
      </c>
      <c r="B2278" s="110">
        <v>46213.0</v>
      </c>
      <c r="C2278" s="49" t="s">
        <v>9506</v>
      </c>
      <c r="D2278" s="102" t="s">
        <v>9507</v>
      </c>
      <c r="E2278" s="25" t="s">
        <v>17</v>
      </c>
      <c r="F2278" s="25" t="s">
        <v>18</v>
      </c>
      <c r="G2278" s="25" t="s">
        <v>42</v>
      </c>
      <c r="H2278" s="49" t="s">
        <v>7203</v>
      </c>
      <c r="I2278" s="101">
        <v>46258.0</v>
      </c>
      <c r="J2278" s="49">
        <v>3.0</v>
      </c>
      <c r="K2278" s="30">
        <f>610000*3</f>
        <v>1830000</v>
      </c>
      <c r="L2278" s="49" t="s">
        <v>1927</v>
      </c>
      <c r="M2278" s="50">
        <v>8.0</v>
      </c>
      <c r="N2278" s="51"/>
      <c r="O2278" s="20"/>
      <c r="P2278" s="20"/>
      <c r="Q2278" s="20"/>
      <c r="R2278" s="20"/>
      <c r="S2278" s="20"/>
    </row>
    <row r="2279">
      <c r="A2279" s="76" t="s">
        <v>9508</v>
      </c>
      <c r="B2279" s="97">
        <v>46213.0</v>
      </c>
      <c r="C2279" s="76" t="s">
        <v>9509</v>
      </c>
      <c r="D2279" s="99" t="s">
        <v>9510</v>
      </c>
      <c r="E2279" s="25" t="s">
        <v>122</v>
      </c>
      <c r="F2279" s="25" t="s">
        <v>18</v>
      </c>
      <c r="G2279" s="25" t="s">
        <v>29</v>
      </c>
      <c r="H2279" s="10"/>
      <c r="I2279" s="10"/>
      <c r="J2279" s="10"/>
      <c r="K2279" s="46"/>
      <c r="L2279" s="10"/>
      <c r="M2279" s="44">
        <v>1.0</v>
      </c>
      <c r="N2279" s="45"/>
      <c r="O2279" s="20"/>
      <c r="P2279" s="20"/>
      <c r="Q2279" s="20"/>
      <c r="R2279" s="20"/>
      <c r="S2279" s="20"/>
    </row>
    <row r="2280">
      <c r="A2280" s="49" t="s">
        <v>9511</v>
      </c>
      <c r="B2280" s="110">
        <v>46213.0</v>
      </c>
      <c r="C2280" s="49" t="s">
        <v>9512</v>
      </c>
      <c r="D2280" s="102" t="s">
        <v>9513</v>
      </c>
      <c r="E2280" s="25" t="s">
        <v>128</v>
      </c>
      <c r="F2280" s="25" t="s">
        <v>18</v>
      </c>
      <c r="G2280" s="25" t="s">
        <v>29</v>
      </c>
      <c r="H2280" s="23"/>
      <c r="I2280" s="23"/>
      <c r="J2280" s="23"/>
      <c r="K2280" s="30"/>
      <c r="L2280" s="23"/>
      <c r="M2280" s="50">
        <v>1.0</v>
      </c>
      <c r="N2280" s="51"/>
      <c r="O2280" s="20"/>
      <c r="P2280" s="20"/>
      <c r="Q2280" s="20"/>
      <c r="R2280" s="20"/>
      <c r="S2280" s="20"/>
    </row>
    <row r="2281">
      <c r="A2281" s="76" t="s">
        <v>9514</v>
      </c>
      <c r="B2281" s="97">
        <v>46214.0</v>
      </c>
      <c r="C2281" s="76" t="s">
        <v>9515</v>
      </c>
      <c r="D2281" s="99" t="s">
        <v>9516</v>
      </c>
      <c r="E2281" s="25" t="s">
        <v>128</v>
      </c>
      <c r="F2281" s="25" t="s">
        <v>18</v>
      </c>
      <c r="G2281" s="25" t="s">
        <v>29</v>
      </c>
      <c r="H2281" s="76" t="s">
        <v>5658</v>
      </c>
      <c r="I2281" s="157">
        <v>46215.0</v>
      </c>
      <c r="J2281" s="76">
        <v>4.0</v>
      </c>
      <c r="K2281" s="46"/>
      <c r="L2281" s="10"/>
      <c r="M2281" s="44">
        <v>1.0</v>
      </c>
      <c r="N2281" s="45"/>
      <c r="O2281" s="20"/>
      <c r="P2281" s="20"/>
      <c r="Q2281" s="20"/>
      <c r="R2281" s="20"/>
      <c r="S2281" s="20"/>
    </row>
    <row r="2282">
      <c r="A2282" s="49" t="s">
        <v>9517</v>
      </c>
      <c r="B2282" s="110">
        <v>46214.0</v>
      </c>
      <c r="C2282" s="49" t="s">
        <v>8083</v>
      </c>
      <c r="D2282" s="102" t="s">
        <v>9518</v>
      </c>
      <c r="E2282" s="25" t="s">
        <v>128</v>
      </c>
      <c r="F2282" s="25" t="s">
        <v>129</v>
      </c>
      <c r="G2282" s="25" t="s">
        <v>34</v>
      </c>
      <c r="H2282" s="49" t="s">
        <v>9519</v>
      </c>
      <c r="I2282" s="49" t="s">
        <v>8193</v>
      </c>
      <c r="J2282" s="49">
        <v>2.0</v>
      </c>
      <c r="K2282" s="30"/>
      <c r="L2282" s="49" t="s">
        <v>9520</v>
      </c>
      <c r="M2282" s="50">
        <v>2.0</v>
      </c>
      <c r="N2282" s="51"/>
      <c r="O2282" s="20"/>
      <c r="P2282" s="20"/>
      <c r="Q2282" s="20"/>
      <c r="R2282" s="20"/>
      <c r="S2282" s="20"/>
    </row>
    <row r="2283">
      <c r="A2283" s="76" t="s">
        <v>9521</v>
      </c>
      <c r="B2283" s="97">
        <v>46214.0</v>
      </c>
      <c r="C2283" s="76" t="s">
        <v>9522</v>
      </c>
      <c r="D2283" s="99" t="s">
        <v>9523</v>
      </c>
      <c r="E2283" s="25" t="s">
        <v>128</v>
      </c>
      <c r="F2283" s="25" t="s">
        <v>129</v>
      </c>
      <c r="G2283" s="25" t="s">
        <v>42</v>
      </c>
      <c r="H2283" s="49" t="s">
        <v>4532</v>
      </c>
      <c r="I2283" s="118">
        <v>46228.0</v>
      </c>
      <c r="J2283" s="76">
        <v>1.0</v>
      </c>
      <c r="K2283" s="46"/>
      <c r="L2283" s="76" t="s">
        <v>9524</v>
      </c>
      <c r="M2283" s="44">
        <v>8.0</v>
      </c>
      <c r="N2283" s="45"/>
      <c r="O2283" s="20"/>
      <c r="P2283" s="20"/>
      <c r="Q2283" s="20"/>
      <c r="R2283" s="20"/>
      <c r="S2283" s="20"/>
    </row>
    <row r="2284">
      <c r="A2284" s="49" t="s">
        <v>9525</v>
      </c>
      <c r="B2284" s="110">
        <v>46214.0</v>
      </c>
      <c r="C2284" s="49" t="s">
        <v>9526</v>
      </c>
      <c r="D2284" s="102" t="s">
        <v>9527</v>
      </c>
      <c r="E2284" s="25" t="s">
        <v>1877</v>
      </c>
      <c r="F2284" s="25" t="s">
        <v>18</v>
      </c>
      <c r="G2284" s="25" t="s">
        <v>29</v>
      </c>
      <c r="H2284" s="49" t="s">
        <v>235</v>
      </c>
      <c r="I2284" s="156">
        <v>46225.0</v>
      </c>
      <c r="J2284" s="49">
        <v>1.0</v>
      </c>
      <c r="K2284" s="30"/>
      <c r="L2284" s="23"/>
      <c r="M2284" s="50">
        <v>1.0</v>
      </c>
      <c r="N2284" s="51"/>
      <c r="O2284" s="20"/>
      <c r="P2284" s="20"/>
      <c r="Q2284" s="20"/>
      <c r="R2284" s="20"/>
      <c r="S2284" s="20"/>
    </row>
    <row r="2285">
      <c r="A2285" s="76" t="s">
        <v>9528</v>
      </c>
      <c r="B2285" s="97">
        <v>46214.0</v>
      </c>
      <c r="C2285" s="76" t="s">
        <v>9529</v>
      </c>
      <c r="D2285" s="99" t="s">
        <v>9530</v>
      </c>
      <c r="E2285" s="25" t="s">
        <v>128</v>
      </c>
      <c r="F2285" s="25" t="s">
        <v>18</v>
      </c>
      <c r="G2285" s="25" t="s">
        <v>34</v>
      </c>
      <c r="H2285" s="76" t="s">
        <v>2462</v>
      </c>
      <c r="I2285" s="157">
        <v>46225.0</v>
      </c>
      <c r="J2285" s="76">
        <v>5.0</v>
      </c>
      <c r="K2285" s="46"/>
      <c r="L2285" s="10"/>
      <c r="M2285" s="44">
        <v>2.0</v>
      </c>
      <c r="N2285" s="45"/>
      <c r="O2285" s="20"/>
      <c r="P2285" s="20"/>
      <c r="Q2285" s="20"/>
      <c r="R2285" s="20"/>
      <c r="S2285" s="20"/>
    </row>
    <row r="2286">
      <c r="A2286" s="49" t="s">
        <v>9531</v>
      </c>
      <c r="B2286" s="110">
        <v>46215.0</v>
      </c>
      <c r="C2286" s="49" t="s">
        <v>9532</v>
      </c>
      <c r="D2286" s="102" t="s">
        <v>9533</v>
      </c>
      <c r="E2286" s="25" t="s">
        <v>128</v>
      </c>
      <c r="F2286" s="25" t="s">
        <v>18</v>
      </c>
      <c r="G2286" s="25" t="s">
        <v>29</v>
      </c>
      <c r="H2286" s="49" t="s">
        <v>2462</v>
      </c>
      <c r="I2286" s="23"/>
      <c r="J2286" s="23"/>
      <c r="K2286" s="30"/>
      <c r="L2286" s="23"/>
      <c r="M2286" s="50">
        <v>1.0</v>
      </c>
      <c r="N2286" s="51"/>
      <c r="O2286" s="20"/>
      <c r="P2286" s="20"/>
      <c r="Q2286" s="20"/>
      <c r="R2286" s="20"/>
      <c r="S2286" s="20"/>
    </row>
    <row r="2287">
      <c r="A2287" s="76" t="s">
        <v>9517</v>
      </c>
      <c r="B2287" s="97">
        <v>46214.0</v>
      </c>
      <c r="C2287" s="76" t="s">
        <v>9534</v>
      </c>
      <c r="D2287" s="99" t="s">
        <v>9535</v>
      </c>
      <c r="E2287" s="25" t="s">
        <v>128</v>
      </c>
      <c r="F2287" s="25" t="s">
        <v>129</v>
      </c>
      <c r="G2287" s="25" t="s">
        <v>42</v>
      </c>
      <c r="H2287" s="76" t="s">
        <v>9536</v>
      </c>
      <c r="I2287" s="118">
        <v>46217.0</v>
      </c>
      <c r="J2287" s="76">
        <v>2.0</v>
      </c>
      <c r="K2287" s="46"/>
      <c r="L2287" s="76" t="s">
        <v>9424</v>
      </c>
      <c r="M2287" s="44">
        <v>8.0</v>
      </c>
      <c r="N2287" s="45"/>
      <c r="O2287" s="20"/>
      <c r="P2287" s="20"/>
      <c r="Q2287" s="20"/>
      <c r="R2287" s="20"/>
      <c r="S2287" s="20"/>
    </row>
    <row r="2288">
      <c r="A2288" s="49" t="s">
        <v>9521</v>
      </c>
      <c r="B2288" s="110">
        <v>46214.0</v>
      </c>
      <c r="C2288" s="49" t="s">
        <v>9537</v>
      </c>
      <c r="D2288" s="102" t="s">
        <v>9538</v>
      </c>
      <c r="E2288" s="25" t="s">
        <v>128</v>
      </c>
      <c r="F2288" s="25" t="s">
        <v>129</v>
      </c>
      <c r="G2288" s="25" t="s">
        <v>29</v>
      </c>
      <c r="H2288" s="49" t="s">
        <v>4064</v>
      </c>
      <c r="I2288" s="23"/>
      <c r="J2288" s="49">
        <v>3.0</v>
      </c>
      <c r="K2288" s="30"/>
      <c r="L2288" s="49" t="s">
        <v>9424</v>
      </c>
      <c r="M2288" s="50">
        <v>1.0</v>
      </c>
      <c r="N2288" s="51"/>
      <c r="O2288" s="20"/>
      <c r="P2288" s="20"/>
      <c r="Q2288" s="20"/>
      <c r="R2288" s="20"/>
      <c r="S2288" s="20"/>
    </row>
    <row r="2289">
      <c r="A2289" s="76" t="s">
        <v>9539</v>
      </c>
      <c r="B2289" s="97">
        <v>46214.0</v>
      </c>
      <c r="C2289" s="76" t="s">
        <v>9540</v>
      </c>
      <c r="D2289" s="99" t="s">
        <v>9541</v>
      </c>
      <c r="E2289" s="25" t="s">
        <v>128</v>
      </c>
      <c r="F2289" s="25" t="s">
        <v>983</v>
      </c>
      <c r="G2289" s="25" t="s">
        <v>34</v>
      </c>
      <c r="H2289" s="76" t="s">
        <v>3395</v>
      </c>
      <c r="I2289" s="76" t="s">
        <v>9542</v>
      </c>
      <c r="J2289" s="10"/>
      <c r="K2289" s="46"/>
      <c r="L2289" s="76" t="s">
        <v>9543</v>
      </c>
      <c r="M2289" s="44">
        <v>2.0</v>
      </c>
      <c r="N2289" s="45"/>
      <c r="O2289" s="20"/>
      <c r="P2289" s="20"/>
      <c r="Q2289" s="20"/>
      <c r="R2289" s="20"/>
      <c r="S2289" s="20"/>
    </row>
    <row r="2290">
      <c r="A2290" s="49" t="s">
        <v>9544</v>
      </c>
      <c r="B2290" s="110">
        <v>46215.0</v>
      </c>
      <c r="C2290" s="49" t="s">
        <v>8096</v>
      </c>
      <c r="D2290" s="102" t="s">
        <v>9545</v>
      </c>
      <c r="E2290" s="25" t="s">
        <v>122</v>
      </c>
      <c r="F2290" s="25" t="s">
        <v>983</v>
      </c>
      <c r="G2290" s="25" t="s">
        <v>42</v>
      </c>
      <c r="H2290" s="49" t="s">
        <v>5664</v>
      </c>
      <c r="I2290" s="49" t="s">
        <v>961</v>
      </c>
      <c r="J2290" s="23"/>
      <c r="K2290" s="30"/>
      <c r="L2290" s="49" t="s">
        <v>9546</v>
      </c>
      <c r="M2290" s="50">
        <v>8.0</v>
      </c>
      <c r="N2290" s="51"/>
      <c r="O2290" s="20"/>
      <c r="P2290" s="20"/>
      <c r="Q2290" s="20"/>
      <c r="R2290" s="20"/>
      <c r="S2290" s="20"/>
    </row>
    <row r="2291">
      <c r="A2291" s="76" t="s">
        <v>9547</v>
      </c>
      <c r="B2291" s="97">
        <v>46215.0</v>
      </c>
      <c r="C2291" s="76" t="s">
        <v>9548</v>
      </c>
      <c r="D2291" s="99" t="s">
        <v>9549</v>
      </c>
      <c r="E2291" s="25" t="s">
        <v>128</v>
      </c>
      <c r="F2291" s="25" t="s">
        <v>129</v>
      </c>
      <c r="G2291" s="25" t="s">
        <v>29</v>
      </c>
      <c r="H2291" s="10"/>
      <c r="I2291" s="10"/>
      <c r="J2291" s="10"/>
      <c r="K2291" s="46"/>
      <c r="L2291" s="10"/>
      <c r="M2291" s="44">
        <v>1.0</v>
      </c>
      <c r="N2291" s="45"/>
      <c r="O2291" s="20"/>
      <c r="P2291" s="20"/>
      <c r="Q2291" s="20"/>
      <c r="R2291" s="20"/>
      <c r="S2291" s="20"/>
    </row>
    <row r="2292">
      <c r="A2292" s="49" t="s">
        <v>9550</v>
      </c>
      <c r="B2292" s="110">
        <v>46215.0</v>
      </c>
      <c r="C2292" s="49" t="s">
        <v>9551</v>
      </c>
      <c r="D2292" s="102" t="s">
        <v>9552</v>
      </c>
      <c r="E2292" s="25" t="s">
        <v>122</v>
      </c>
      <c r="F2292" s="25" t="s">
        <v>18</v>
      </c>
      <c r="G2292" s="25" t="s">
        <v>42</v>
      </c>
      <c r="H2292" s="49" t="s">
        <v>2462</v>
      </c>
      <c r="I2292" s="23"/>
      <c r="J2292" s="49">
        <v>1.0</v>
      </c>
      <c r="K2292" s="30"/>
      <c r="L2292" s="49" t="s">
        <v>4025</v>
      </c>
      <c r="M2292" s="50">
        <v>8.0</v>
      </c>
      <c r="N2292" s="51"/>
      <c r="O2292" s="20"/>
      <c r="P2292" s="20"/>
      <c r="Q2292" s="20"/>
      <c r="R2292" s="20"/>
      <c r="S2292" s="20"/>
    </row>
    <row r="2293">
      <c r="A2293" s="76" t="s">
        <v>9553</v>
      </c>
      <c r="B2293" s="97">
        <v>46227.0</v>
      </c>
      <c r="C2293" s="76" t="s">
        <v>9554</v>
      </c>
      <c r="D2293" s="99" t="s">
        <v>9555</v>
      </c>
      <c r="E2293" s="25" t="s">
        <v>128</v>
      </c>
      <c r="F2293" s="25" t="s">
        <v>18</v>
      </c>
      <c r="G2293" s="25" t="s">
        <v>29</v>
      </c>
      <c r="H2293" s="76" t="s">
        <v>172</v>
      </c>
      <c r="I2293" s="118">
        <v>46283.0</v>
      </c>
      <c r="J2293" s="76">
        <v>1.0</v>
      </c>
      <c r="K2293" s="19">
        <v>1600000.0</v>
      </c>
      <c r="L2293" s="76" t="s">
        <v>9556</v>
      </c>
      <c r="M2293" s="44">
        <v>1.0</v>
      </c>
      <c r="N2293" s="45"/>
      <c r="O2293" s="20"/>
      <c r="P2293" s="20"/>
      <c r="Q2293" s="20"/>
      <c r="R2293" s="20"/>
      <c r="S2293" s="20"/>
    </row>
    <row r="2294">
      <c r="A2294" s="49" t="s">
        <v>9557</v>
      </c>
      <c r="B2294" s="110">
        <v>46216.0</v>
      </c>
      <c r="C2294" s="49" t="s">
        <v>9558</v>
      </c>
      <c r="D2294" s="102" t="s">
        <v>9559</v>
      </c>
      <c r="E2294" s="25" t="s">
        <v>128</v>
      </c>
      <c r="F2294" s="25" t="s">
        <v>18</v>
      </c>
      <c r="G2294" s="25" t="s">
        <v>29</v>
      </c>
      <c r="H2294" s="49" t="s">
        <v>9560</v>
      </c>
      <c r="I2294" s="23"/>
      <c r="J2294" s="49">
        <v>2.0</v>
      </c>
      <c r="K2294" s="30">
        <f>2615000*2</f>
        <v>5230000</v>
      </c>
      <c r="L2294" s="49" t="s">
        <v>9561</v>
      </c>
      <c r="M2294" s="50">
        <v>1.0</v>
      </c>
      <c r="N2294" s="51"/>
      <c r="O2294" s="20"/>
      <c r="P2294" s="20"/>
      <c r="Q2294" s="20"/>
      <c r="R2294" s="20"/>
      <c r="S2294" s="20"/>
    </row>
    <row r="2295">
      <c r="A2295" s="76" t="s">
        <v>9562</v>
      </c>
      <c r="B2295" s="97">
        <v>46216.0</v>
      </c>
      <c r="C2295" s="76" t="s">
        <v>9563</v>
      </c>
      <c r="D2295" s="99" t="s">
        <v>9564</v>
      </c>
      <c r="E2295" s="25" t="s">
        <v>17</v>
      </c>
      <c r="F2295" s="25" t="s">
        <v>18</v>
      </c>
      <c r="G2295" s="25" t="s">
        <v>42</v>
      </c>
      <c r="H2295" s="76" t="s">
        <v>2462</v>
      </c>
      <c r="I2295" s="118">
        <v>46233.0</v>
      </c>
      <c r="J2295" s="76">
        <v>2.0</v>
      </c>
      <c r="K2295" s="46"/>
      <c r="L2295" s="10"/>
      <c r="M2295" s="44">
        <v>8.0</v>
      </c>
      <c r="N2295" s="45"/>
      <c r="O2295" s="20"/>
      <c r="P2295" s="20"/>
      <c r="Q2295" s="20"/>
      <c r="R2295" s="20"/>
      <c r="S2295" s="20"/>
    </row>
    <row r="2296">
      <c r="A2296" s="49" t="s">
        <v>9565</v>
      </c>
      <c r="B2296" s="110">
        <v>46217.0</v>
      </c>
      <c r="C2296" s="49" t="s">
        <v>9566</v>
      </c>
      <c r="D2296" s="102" t="s">
        <v>9567</v>
      </c>
      <c r="E2296" s="25" t="s">
        <v>17</v>
      </c>
      <c r="F2296" s="25" t="s">
        <v>18</v>
      </c>
      <c r="G2296" s="25" t="s">
        <v>34</v>
      </c>
      <c r="H2296" s="49" t="s">
        <v>2462</v>
      </c>
      <c r="I2296" s="49" t="s">
        <v>6250</v>
      </c>
      <c r="J2296" s="49">
        <v>4.0</v>
      </c>
      <c r="K2296" s="30">
        <f>1702000*4</f>
        <v>6808000</v>
      </c>
      <c r="L2296" s="49" t="s">
        <v>9568</v>
      </c>
      <c r="M2296" s="50">
        <v>2.0</v>
      </c>
      <c r="N2296" s="51"/>
      <c r="O2296" s="20"/>
      <c r="P2296" s="20"/>
      <c r="Q2296" s="20"/>
      <c r="R2296" s="20"/>
      <c r="S2296" s="20"/>
    </row>
    <row r="2297">
      <c r="A2297" s="76" t="s">
        <v>9569</v>
      </c>
      <c r="B2297" s="97">
        <v>46217.0</v>
      </c>
      <c r="C2297" s="76" t="s">
        <v>9570</v>
      </c>
      <c r="D2297" s="99" t="s">
        <v>9571</v>
      </c>
      <c r="E2297" s="25" t="s">
        <v>128</v>
      </c>
      <c r="F2297" s="25" t="s">
        <v>18</v>
      </c>
      <c r="G2297" s="25" t="s">
        <v>42</v>
      </c>
      <c r="H2297" s="76" t="s">
        <v>6065</v>
      </c>
      <c r="I2297" s="76" t="s">
        <v>9572</v>
      </c>
      <c r="J2297" s="76">
        <v>2.0</v>
      </c>
      <c r="K2297" s="46">
        <f>614000*2</f>
        <v>1228000</v>
      </c>
      <c r="L2297" s="76" t="s">
        <v>840</v>
      </c>
      <c r="M2297" s="44">
        <v>8.0</v>
      </c>
      <c r="N2297" s="45"/>
      <c r="O2297" s="20"/>
      <c r="P2297" s="20"/>
      <c r="Q2297" s="20"/>
      <c r="R2297" s="20"/>
      <c r="S2297" s="20"/>
    </row>
    <row r="2298">
      <c r="A2298" s="49" t="s">
        <v>9573</v>
      </c>
      <c r="B2298" s="110">
        <v>46217.0</v>
      </c>
      <c r="C2298" s="49" t="s">
        <v>9574</v>
      </c>
      <c r="D2298" s="102" t="s">
        <v>9575</v>
      </c>
      <c r="E2298" s="25" t="s">
        <v>128</v>
      </c>
      <c r="F2298" s="25" t="s">
        <v>18</v>
      </c>
      <c r="G2298" s="25" t="s">
        <v>43</v>
      </c>
      <c r="H2298" s="49" t="s">
        <v>3317</v>
      </c>
      <c r="I2298" s="101">
        <v>46260.0</v>
      </c>
      <c r="J2298" s="49">
        <v>2.0</v>
      </c>
      <c r="K2298" s="30">
        <f>2870000*2</f>
        <v>5740000</v>
      </c>
      <c r="L2298" s="49" t="s">
        <v>9576</v>
      </c>
      <c r="M2298" s="50">
        <v>3.0</v>
      </c>
      <c r="N2298" s="51"/>
      <c r="O2298" s="20"/>
      <c r="P2298" s="20"/>
      <c r="Q2298" s="20"/>
      <c r="R2298" s="20"/>
      <c r="S2298" s="20"/>
    </row>
    <row r="2299">
      <c r="A2299" s="76" t="s">
        <v>9577</v>
      </c>
      <c r="B2299" s="97">
        <v>46217.0</v>
      </c>
      <c r="C2299" s="76" t="s">
        <v>5450</v>
      </c>
      <c r="D2299" s="99" t="s">
        <v>9578</v>
      </c>
      <c r="E2299" s="25" t="s">
        <v>128</v>
      </c>
      <c r="F2299" s="25" t="s">
        <v>18</v>
      </c>
      <c r="G2299" s="25" t="s">
        <v>42</v>
      </c>
      <c r="H2299" s="76" t="s">
        <v>9579</v>
      </c>
      <c r="I2299" s="76" t="s">
        <v>9580</v>
      </c>
      <c r="J2299" s="76">
        <v>1.0</v>
      </c>
      <c r="K2299" s="46">
        <f>550000+250000+400000</f>
        <v>1200000</v>
      </c>
      <c r="L2299" s="76" t="s">
        <v>1614</v>
      </c>
      <c r="M2299" s="44">
        <v>8.0</v>
      </c>
      <c r="N2299" s="45"/>
      <c r="O2299" s="20"/>
      <c r="P2299" s="20"/>
      <c r="Q2299" s="20"/>
      <c r="R2299" s="20"/>
      <c r="S2299" s="20"/>
    </row>
    <row r="2300">
      <c r="A2300" s="49" t="s">
        <v>9581</v>
      </c>
      <c r="B2300" s="110">
        <v>46217.0</v>
      </c>
      <c r="C2300" s="49" t="s">
        <v>9582</v>
      </c>
      <c r="D2300" s="102" t="s">
        <v>9583</v>
      </c>
      <c r="E2300" s="25" t="s">
        <v>17</v>
      </c>
      <c r="F2300" s="25" t="s">
        <v>18</v>
      </c>
      <c r="G2300" s="25" t="s">
        <v>34</v>
      </c>
      <c r="H2300" s="49" t="s">
        <v>3317</v>
      </c>
      <c r="I2300" s="49" t="s">
        <v>961</v>
      </c>
      <c r="J2300" s="49">
        <v>6.0</v>
      </c>
      <c r="K2300" s="30">
        <f>1020000*6</f>
        <v>6120000</v>
      </c>
      <c r="L2300" s="49" t="s">
        <v>9584</v>
      </c>
      <c r="M2300" s="50">
        <v>2.0</v>
      </c>
      <c r="N2300" s="51"/>
      <c r="O2300" s="20"/>
      <c r="P2300" s="20"/>
      <c r="Q2300" s="20"/>
      <c r="R2300" s="20"/>
      <c r="S2300" s="20"/>
    </row>
    <row r="2301">
      <c r="A2301" s="76" t="s">
        <v>9585</v>
      </c>
      <c r="B2301" s="97">
        <v>46217.0</v>
      </c>
      <c r="C2301" s="76" t="s">
        <v>9586</v>
      </c>
      <c r="D2301" s="99" t="s">
        <v>9587</v>
      </c>
      <c r="E2301" s="25" t="s">
        <v>17</v>
      </c>
      <c r="F2301" s="25" t="s">
        <v>18</v>
      </c>
      <c r="G2301" s="25" t="s">
        <v>19</v>
      </c>
      <c r="H2301" s="76" t="s">
        <v>4532</v>
      </c>
      <c r="I2301" s="118">
        <v>46223.0</v>
      </c>
      <c r="J2301" s="76">
        <v>2.0</v>
      </c>
      <c r="K2301" s="46">
        <f>1400000*2</f>
        <v>2800000</v>
      </c>
      <c r="L2301" s="76" t="s">
        <v>8300</v>
      </c>
      <c r="M2301" s="44">
        <v>7.0</v>
      </c>
      <c r="N2301" s="45"/>
      <c r="O2301" s="20"/>
      <c r="P2301" s="20"/>
      <c r="Q2301" s="20"/>
      <c r="R2301" s="20"/>
      <c r="S2301" s="20"/>
    </row>
    <row r="2302">
      <c r="A2302" s="49" t="s">
        <v>9588</v>
      </c>
      <c r="B2302" s="110">
        <v>46218.0</v>
      </c>
      <c r="C2302" s="49" t="s">
        <v>1897</v>
      </c>
      <c r="D2302" s="102" t="s">
        <v>9589</v>
      </c>
      <c r="E2302" s="25" t="s">
        <v>869</v>
      </c>
      <c r="F2302" s="25" t="s">
        <v>18</v>
      </c>
      <c r="G2302" s="25" t="s">
        <v>19</v>
      </c>
      <c r="H2302" s="49" t="s">
        <v>4532</v>
      </c>
      <c r="I2302" s="49" t="s">
        <v>9590</v>
      </c>
      <c r="J2302" s="49">
        <v>2.0</v>
      </c>
      <c r="K2302" s="30">
        <f>1780000*2</f>
        <v>3560000</v>
      </c>
      <c r="L2302" s="49" t="s">
        <v>4896</v>
      </c>
      <c r="M2302" s="50">
        <v>7.0</v>
      </c>
      <c r="N2302" s="51"/>
      <c r="O2302" s="20"/>
      <c r="P2302" s="20"/>
      <c r="Q2302" s="20"/>
      <c r="R2302" s="20"/>
      <c r="S2302" s="20"/>
    </row>
    <row r="2303">
      <c r="A2303" s="76" t="s">
        <v>9591</v>
      </c>
      <c r="B2303" s="97">
        <v>46218.0</v>
      </c>
      <c r="C2303" s="76" t="s">
        <v>1937</v>
      </c>
      <c r="D2303" s="99" t="s">
        <v>9592</v>
      </c>
      <c r="E2303" s="25" t="s">
        <v>128</v>
      </c>
      <c r="F2303" s="25" t="s">
        <v>18</v>
      </c>
      <c r="G2303" s="25" t="s">
        <v>34</v>
      </c>
      <c r="H2303" s="76" t="s">
        <v>4532</v>
      </c>
      <c r="I2303" s="118">
        <v>46260.0</v>
      </c>
      <c r="J2303" s="76">
        <v>4.0</v>
      </c>
      <c r="K2303" s="46">
        <f>1250000*4</f>
        <v>5000000</v>
      </c>
      <c r="L2303" s="76" t="s">
        <v>8235</v>
      </c>
      <c r="M2303" s="44">
        <v>2.0</v>
      </c>
      <c r="N2303" s="45"/>
      <c r="O2303" s="20"/>
      <c r="P2303" s="20"/>
      <c r="Q2303" s="20"/>
      <c r="R2303" s="20"/>
      <c r="S2303" s="20"/>
    </row>
    <row r="2304">
      <c r="A2304" s="49" t="s">
        <v>9593</v>
      </c>
      <c r="B2304" s="110">
        <v>46218.0</v>
      </c>
      <c r="C2304" s="49" t="s">
        <v>9594</v>
      </c>
      <c r="D2304" s="102" t="s">
        <v>9595</v>
      </c>
      <c r="E2304" s="25" t="s">
        <v>128</v>
      </c>
      <c r="F2304" s="25" t="s">
        <v>18</v>
      </c>
      <c r="G2304" s="25" t="s">
        <v>34</v>
      </c>
      <c r="H2304" s="49" t="s">
        <v>3429</v>
      </c>
      <c r="I2304" s="49" t="s">
        <v>702</v>
      </c>
      <c r="J2304" s="49">
        <v>2.0</v>
      </c>
      <c r="K2304" s="30">
        <f>3064000*2</f>
        <v>6128000</v>
      </c>
      <c r="L2304" s="49" t="s">
        <v>9596</v>
      </c>
      <c r="M2304" s="50">
        <v>2.0</v>
      </c>
      <c r="N2304" s="51"/>
      <c r="O2304" s="20"/>
      <c r="P2304" s="20"/>
      <c r="Q2304" s="20"/>
      <c r="R2304" s="20"/>
      <c r="S2304" s="20"/>
    </row>
    <row r="2305">
      <c r="A2305" s="76" t="s">
        <v>9597</v>
      </c>
      <c r="B2305" s="97">
        <v>46218.0</v>
      </c>
      <c r="C2305" s="76" t="s">
        <v>9598</v>
      </c>
      <c r="D2305" s="99" t="s">
        <v>9599</v>
      </c>
      <c r="E2305" s="25" t="s">
        <v>128</v>
      </c>
      <c r="F2305" s="25" t="s">
        <v>18</v>
      </c>
      <c r="G2305" s="25" t="s">
        <v>42</v>
      </c>
      <c r="H2305" s="76" t="s">
        <v>4715</v>
      </c>
      <c r="I2305" s="118">
        <v>46227.0</v>
      </c>
      <c r="J2305" s="76">
        <v>2.0</v>
      </c>
      <c r="K2305" s="46">
        <f>2340000*2</f>
        <v>4680000</v>
      </c>
      <c r="L2305" s="76" t="s">
        <v>9600</v>
      </c>
      <c r="M2305" s="44">
        <v>8.0</v>
      </c>
      <c r="N2305" s="45"/>
      <c r="O2305" s="20"/>
      <c r="P2305" s="20"/>
      <c r="Q2305" s="20"/>
      <c r="R2305" s="20"/>
      <c r="S2305" s="20"/>
    </row>
    <row r="2306">
      <c r="A2306" s="49" t="s">
        <v>9601</v>
      </c>
      <c r="B2306" s="110">
        <v>46218.0</v>
      </c>
      <c r="C2306" s="49" t="s">
        <v>9602</v>
      </c>
      <c r="D2306" s="102" t="s">
        <v>9603</v>
      </c>
      <c r="E2306" s="25" t="s">
        <v>122</v>
      </c>
      <c r="F2306" s="25" t="s">
        <v>18</v>
      </c>
      <c r="G2306" s="25" t="s">
        <v>29</v>
      </c>
      <c r="H2306" s="49" t="s">
        <v>3643</v>
      </c>
      <c r="I2306" s="23"/>
      <c r="J2306" s="49">
        <v>3.0</v>
      </c>
      <c r="K2306" s="30">
        <f>250000*3</f>
        <v>750000</v>
      </c>
      <c r="L2306" s="49" t="s">
        <v>8300</v>
      </c>
      <c r="M2306" s="50">
        <v>1.0</v>
      </c>
      <c r="N2306" s="51"/>
      <c r="O2306" s="20"/>
      <c r="P2306" s="20"/>
      <c r="Q2306" s="20"/>
      <c r="R2306" s="20"/>
      <c r="S2306" s="20"/>
    </row>
    <row r="2307">
      <c r="A2307" s="76" t="s">
        <v>9604</v>
      </c>
      <c r="B2307" s="97">
        <v>46218.0</v>
      </c>
      <c r="C2307" s="76" t="s">
        <v>4151</v>
      </c>
      <c r="D2307" s="99" t="s">
        <v>9605</v>
      </c>
      <c r="E2307" s="25" t="s">
        <v>128</v>
      </c>
      <c r="F2307" s="25" t="s">
        <v>18</v>
      </c>
      <c r="G2307" s="25" t="s">
        <v>42</v>
      </c>
      <c r="I2307" s="118">
        <v>46221.0</v>
      </c>
      <c r="J2307" s="76">
        <v>6.0</v>
      </c>
      <c r="K2307" s="46">
        <f>275000*6</f>
        <v>1650000</v>
      </c>
      <c r="L2307" s="76" t="s">
        <v>9606</v>
      </c>
      <c r="M2307" s="44">
        <v>8.0</v>
      </c>
      <c r="N2307" s="45"/>
      <c r="O2307" s="20"/>
      <c r="P2307" s="20"/>
      <c r="Q2307" s="20"/>
      <c r="R2307" s="20"/>
      <c r="S2307" s="20"/>
    </row>
    <row r="2308">
      <c r="A2308" s="49" t="s">
        <v>9607</v>
      </c>
      <c r="B2308" s="110">
        <v>46218.0</v>
      </c>
      <c r="C2308" s="49" t="s">
        <v>9608</v>
      </c>
      <c r="D2308" s="102" t="s">
        <v>9609</v>
      </c>
      <c r="E2308" s="25" t="s">
        <v>122</v>
      </c>
      <c r="F2308" s="25" t="s">
        <v>18</v>
      </c>
      <c r="G2308" s="25" t="s">
        <v>34</v>
      </c>
      <c r="H2308" s="49" t="s">
        <v>3429</v>
      </c>
      <c r="I2308" s="49" t="s">
        <v>9610</v>
      </c>
      <c r="J2308" s="49">
        <v>10.0</v>
      </c>
      <c r="K2308" s="30">
        <f>1132000*10</f>
        <v>11320000</v>
      </c>
      <c r="L2308" s="49" t="s">
        <v>9611</v>
      </c>
      <c r="M2308" s="50">
        <v>2.0</v>
      </c>
      <c r="N2308" s="51"/>
      <c r="O2308" s="20"/>
      <c r="P2308" s="20"/>
      <c r="Q2308" s="20"/>
      <c r="R2308" s="20"/>
      <c r="S2308" s="20"/>
    </row>
    <row r="2309">
      <c r="A2309" s="76" t="s">
        <v>9612</v>
      </c>
      <c r="B2309" s="97">
        <v>46218.0</v>
      </c>
      <c r="C2309" s="76" t="s">
        <v>9613</v>
      </c>
      <c r="D2309" s="99" t="s">
        <v>9614</v>
      </c>
      <c r="E2309" s="25" t="s">
        <v>122</v>
      </c>
      <c r="F2309" s="25" t="s">
        <v>983</v>
      </c>
      <c r="G2309" s="25" t="s">
        <v>42</v>
      </c>
      <c r="H2309" s="76" t="s">
        <v>7249</v>
      </c>
      <c r="I2309" s="10"/>
      <c r="J2309" s="10"/>
      <c r="K2309" s="46"/>
      <c r="L2309" s="76" t="s">
        <v>9615</v>
      </c>
      <c r="M2309" s="44">
        <v>8.0</v>
      </c>
      <c r="N2309" s="45"/>
      <c r="O2309" s="20"/>
      <c r="P2309" s="20"/>
      <c r="Q2309" s="20"/>
      <c r="R2309" s="20"/>
      <c r="S2309" s="20"/>
    </row>
    <row r="2310">
      <c r="A2310" s="49" t="s">
        <v>9616</v>
      </c>
      <c r="B2310" s="110">
        <v>46218.0</v>
      </c>
      <c r="C2310" s="49" t="s">
        <v>9617</v>
      </c>
      <c r="D2310" s="102" t="s">
        <v>9618</v>
      </c>
      <c r="E2310" s="25" t="s">
        <v>869</v>
      </c>
      <c r="F2310" s="25" t="s">
        <v>983</v>
      </c>
      <c r="G2310" s="25" t="s">
        <v>34</v>
      </c>
      <c r="H2310" s="68" t="s">
        <v>9619</v>
      </c>
      <c r="I2310" s="101">
        <v>46330.0</v>
      </c>
      <c r="J2310" s="49">
        <v>4.0</v>
      </c>
      <c r="K2310" s="30"/>
      <c r="L2310" s="49" t="s">
        <v>9620</v>
      </c>
      <c r="M2310" s="50">
        <v>2.0</v>
      </c>
      <c r="N2310" s="51"/>
      <c r="O2310" s="20"/>
      <c r="P2310" s="20"/>
      <c r="Q2310" s="20"/>
      <c r="R2310" s="20"/>
      <c r="S2310" s="20"/>
    </row>
    <row r="2311">
      <c r="A2311" s="76" t="s">
        <v>9621</v>
      </c>
      <c r="B2311" s="97">
        <v>46224.0</v>
      </c>
      <c r="C2311" s="76" t="s">
        <v>9622</v>
      </c>
      <c r="D2311" s="99" t="s">
        <v>9623</v>
      </c>
      <c r="E2311" s="25" t="s">
        <v>17</v>
      </c>
      <c r="F2311" s="25" t="s">
        <v>129</v>
      </c>
      <c r="G2311" s="25" t="s">
        <v>19</v>
      </c>
      <c r="H2311" s="76" t="s">
        <v>8533</v>
      </c>
      <c r="I2311" s="118">
        <v>46221.0</v>
      </c>
      <c r="J2311" s="76">
        <v>2.0</v>
      </c>
      <c r="K2311" s="46">
        <f>SUM(614000*2)</f>
        <v>1228000</v>
      </c>
      <c r="L2311" s="76" t="s">
        <v>6194</v>
      </c>
      <c r="M2311" s="44">
        <v>7.0</v>
      </c>
      <c r="N2311" s="45"/>
      <c r="O2311" s="20"/>
      <c r="P2311" s="20"/>
      <c r="Q2311" s="20"/>
      <c r="R2311" s="20"/>
      <c r="S2311" s="20"/>
    </row>
    <row r="2312">
      <c r="A2312" s="49" t="s">
        <v>9624</v>
      </c>
      <c r="B2312" s="110">
        <v>46216.0</v>
      </c>
      <c r="C2312" s="49" t="s">
        <v>9625</v>
      </c>
      <c r="D2312" s="102" t="s">
        <v>9626</v>
      </c>
      <c r="E2312" s="25" t="s">
        <v>17</v>
      </c>
      <c r="F2312" s="25" t="s">
        <v>129</v>
      </c>
      <c r="G2312" s="25" t="s">
        <v>29</v>
      </c>
      <c r="H2312" s="23"/>
      <c r="I2312" s="23"/>
      <c r="J2312" s="23"/>
      <c r="K2312" s="30"/>
      <c r="L2312" s="49" t="s">
        <v>9627</v>
      </c>
      <c r="M2312" s="50">
        <v>1.0</v>
      </c>
      <c r="N2312" s="51"/>
      <c r="O2312" s="20"/>
      <c r="P2312" s="20"/>
      <c r="Q2312" s="20"/>
      <c r="R2312" s="20"/>
      <c r="S2312" s="20"/>
    </row>
    <row r="2313">
      <c r="A2313" s="76" t="s">
        <v>9628</v>
      </c>
      <c r="B2313" s="97">
        <v>46216.0</v>
      </c>
      <c r="C2313" s="76" t="s">
        <v>9629</v>
      </c>
      <c r="D2313" s="99" t="s">
        <v>9630</v>
      </c>
      <c r="E2313" s="25" t="s">
        <v>128</v>
      </c>
      <c r="F2313" s="25" t="s">
        <v>129</v>
      </c>
      <c r="G2313" s="25" t="s">
        <v>29</v>
      </c>
      <c r="H2313" s="76" t="s">
        <v>9631</v>
      </c>
      <c r="I2313" s="10"/>
      <c r="J2313" s="10"/>
      <c r="K2313" s="46"/>
      <c r="L2313" s="76" t="s">
        <v>9269</v>
      </c>
      <c r="M2313" s="44">
        <v>1.0</v>
      </c>
      <c r="N2313" s="45"/>
      <c r="O2313" s="20"/>
      <c r="P2313" s="20"/>
      <c r="Q2313" s="20"/>
      <c r="R2313" s="20"/>
      <c r="S2313" s="20"/>
    </row>
    <row r="2314">
      <c r="A2314" s="49" t="s">
        <v>9632</v>
      </c>
      <c r="B2314" s="110">
        <v>46215.0</v>
      </c>
      <c r="C2314" s="49" t="s">
        <v>9633</v>
      </c>
      <c r="D2314" s="102" t="s">
        <v>9634</v>
      </c>
      <c r="E2314" s="25" t="s">
        <v>128</v>
      </c>
      <c r="F2314" s="25" t="s">
        <v>129</v>
      </c>
      <c r="G2314" s="25" t="s">
        <v>29</v>
      </c>
      <c r="H2314" s="49" t="s">
        <v>341</v>
      </c>
      <c r="I2314" s="49" t="s">
        <v>9635</v>
      </c>
      <c r="J2314" s="23"/>
      <c r="K2314" s="30"/>
      <c r="L2314" s="49" t="s">
        <v>8235</v>
      </c>
      <c r="M2314" s="50">
        <v>1.0</v>
      </c>
      <c r="N2314" s="51"/>
      <c r="O2314" s="20"/>
      <c r="P2314" s="20"/>
      <c r="Q2314" s="20"/>
      <c r="R2314" s="20"/>
      <c r="S2314" s="20"/>
    </row>
    <row r="2315">
      <c r="A2315" s="76" t="s">
        <v>9636</v>
      </c>
      <c r="B2315" s="110">
        <v>46218.0</v>
      </c>
      <c r="C2315" s="76" t="s">
        <v>4844</v>
      </c>
      <c r="D2315" s="99" t="s">
        <v>9637</v>
      </c>
      <c r="E2315" s="25" t="s">
        <v>128</v>
      </c>
      <c r="F2315" s="25" t="s">
        <v>129</v>
      </c>
      <c r="G2315" s="25" t="s">
        <v>19</v>
      </c>
      <c r="H2315" s="76" t="s">
        <v>4441</v>
      </c>
      <c r="I2315" s="76" t="s">
        <v>9638</v>
      </c>
      <c r="J2315" s="76">
        <v>2.0</v>
      </c>
      <c r="K2315" s="19">
        <v>1050000.0</v>
      </c>
      <c r="L2315" s="76" t="s">
        <v>9639</v>
      </c>
      <c r="M2315" s="44">
        <v>7.0</v>
      </c>
      <c r="N2315" s="45"/>
      <c r="O2315" s="20"/>
      <c r="P2315" s="20"/>
      <c r="Q2315" s="20"/>
      <c r="R2315" s="20"/>
      <c r="S2315" s="20"/>
    </row>
    <row r="2316">
      <c r="A2316" s="49" t="s">
        <v>9640</v>
      </c>
      <c r="B2316" s="110">
        <v>46216.0</v>
      </c>
      <c r="C2316" s="49" t="s">
        <v>9641</v>
      </c>
      <c r="D2316" s="102" t="s">
        <v>9642</v>
      </c>
      <c r="E2316" s="25" t="s">
        <v>128</v>
      </c>
      <c r="F2316" s="25" t="s">
        <v>129</v>
      </c>
      <c r="G2316" s="25" t="s">
        <v>29</v>
      </c>
      <c r="H2316" s="49" t="s">
        <v>341</v>
      </c>
      <c r="I2316" s="49" t="s">
        <v>9635</v>
      </c>
      <c r="J2316" s="23"/>
      <c r="K2316" s="30"/>
      <c r="L2316" s="49" t="s">
        <v>9643</v>
      </c>
      <c r="M2316" s="50">
        <v>1.0</v>
      </c>
      <c r="N2316" s="51"/>
      <c r="O2316" s="20"/>
      <c r="P2316" s="20"/>
      <c r="Q2316" s="20"/>
      <c r="R2316" s="20"/>
      <c r="S2316" s="20"/>
    </row>
    <row r="2317">
      <c r="A2317" s="76" t="s">
        <v>9644</v>
      </c>
      <c r="B2317" s="97">
        <v>46216.0</v>
      </c>
      <c r="C2317" s="76" t="s">
        <v>9645</v>
      </c>
      <c r="D2317" s="99" t="s">
        <v>9646</v>
      </c>
      <c r="E2317" s="25" t="s">
        <v>128</v>
      </c>
      <c r="F2317" s="25" t="s">
        <v>129</v>
      </c>
      <c r="G2317" s="25" t="s">
        <v>42</v>
      </c>
      <c r="H2317" s="76" t="s">
        <v>116</v>
      </c>
      <c r="I2317" s="76" t="s">
        <v>4866</v>
      </c>
      <c r="J2317" s="10"/>
      <c r="K2317" s="46"/>
      <c r="L2317" s="76" t="s">
        <v>9647</v>
      </c>
      <c r="M2317" s="44">
        <v>8.0</v>
      </c>
      <c r="N2317" s="45"/>
      <c r="O2317" s="20"/>
      <c r="P2317" s="20"/>
      <c r="Q2317" s="20"/>
      <c r="R2317" s="20"/>
      <c r="S2317" s="20"/>
    </row>
    <row r="2318">
      <c r="A2318" s="49" t="s">
        <v>9648</v>
      </c>
      <c r="B2318" s="110">
        <v>46216.0</v>
      </c>
      <c r="C2318" s="49" t="s">
        <v>9649</v>
      </c>
      <c r="D2318" s="102" t="s">
        <v>9650</v>
      </c>
      <c r="E2318" s="25" t="s">
        <v>128</v>
      </c>
      <c r="F2318" s="25" t="s">
        <v>129</v>
      </c>
      <c r="G2318" s="25" t="s">
        <v>29</v>
      </c>
      <c r="H2318" s="49" t="s">
        <v>123</v>
      </c>
      <c r="I2318" s="101">
        <v>46249.0</v>
      </c>
      <c r="J2318" s="23"/>
      <c r="K2318" s="30"/>
      <c r="L2318" s="49" t="s">
        <v>9651</v>
      </c>
      <c r="M2318" s="50">
        <v>1.0</v>
      </c>
      <c r="N2318" s="51"/>
      <c r="O2318" s="20"/>
      <c r="P2318" s="20"/>
      <c r="Q2318" s="20"/>
      <c r="R2318" s="20"/>
      <c r="S2318" s="20"/>
    </row>
    <row r="2319">
      <c r="A2319" s="76" t="s">
        <v>9652</v>
      </c>
      <c r="B2319" s="97">
        <v>46216.0</v>
      </c>
      <c r="C2319" s="76" t="s">
        <v>9653</v>
      </c>
      <c r="D2319" s="99" t="s">
        <v>9654</v>
      </c>
      <c r="E2319" s="25" t="s">
        <v>17</v>
      </c>
      <c r="F2319" s="25" t="s">
        <v>129</v>
      </c>
      <c r="G2319" s="25" t="s">
        <v>29</v>
      </c>
      <c r="H2319" s="76" t="s">
        <v>9655</v>
      </c>
      <c r="I2319" s="118">
        <v>46223.0</v>
      </c>
      <c r="J2319" s="10"/>
      <c r="K2319" s="46"/>
      <c r="L2319" s="76" t="s">
        <v>9656</v>
      </c>
      <c r="M2319" s="44">
        <v>1.0</v>
      </c>
      <c r="N2319" s="45"/>
      <c r="O2319" s="20"/>
      <c r="P2319" s="20"/>
      <c r="Q2319" s="20"/>
      <c r="R2319" s="20"/>
      <c r="S2319" s="20"/>
    </row>
    <row r="2320">
      <c r="A2320" s="49" t="s">
        <v>9657</v>
      </c>
      <c r="B2320" s="110">
        <v>46217.0</v>
      </c>
      <c r="C2320" s="49" t="s">
        <v>9566</v>
      </c>
      <c r="D2320" s="102" t="s">
        <v>9567</v>
      </c>
      <c r="E2320" s="25" t="s">
        <v>17</v>
      </c>
      <c r="F2320" s="25" t="s">
        <v>129</v>
      </c>
      <c r="G2320" s="25" t="s">
        <v>29</v>
      </c>
      <c r="H2320" s="23"/>
      <c r="I2320" s="23"/>
      <c r="J2320" s="23"/>
      <c r="K2320" s="30"/>
      <c r="L2320" s="49" t="s">
        <v>9658</v>
      </c>
      <c r="M2320" s="50">
        <v>1.0</v>
      </c>
      <c r="N2320" s="51"/>
      <c r="O2320" s="20"/>
      <c r="P2320" s="20"/>
      <c r="Q2320" s="20"/>
      <c r="R2320" s="20"/>
      <c r="S2320" s="20"/>
    </row>
    <row r="2321">
      <c r="A2321" s="76" t="s">
        <v>9659</v>
      </c>
      <c r="B2321" s="97">
        <v>46217.0</v>
      </c>
      <c r="C2321" s="76" t="s">
        <v>9594</v>
      </c>
      <c r="D2321" s="99" t="s">
        <v>9595</v>
      </c>
      <c r="E2321" s="25" t="s">
        <v>128</v>
      </c>
      <c r="F2321" s="25" t="s">
        <v>129</v>
      </c>
      <c r="G2321" s="25" t="s">
        <v>29</v>
      </c>
      <c r="H2321" s="76" t="s">
        <v>260</v>
      </c>
      <c r="I2321" s="10"/>
      <c r="J2321" s="10"/>
      <c r="K2321" s="46"/>
      <c r="L2321" s="76" t="s">
        <v>9660</v>
      </c>
      <c r="M2321" s="44">
        <v>1.0</v>
      </c>
      <c r="N2321" s="45"/>
      <c r="O2321" s="20"/>
      <c r="P2321" s="20"/>
      <c r="Q2321" s="20"/>
      <c r="R2321" s="20"/>
      <c r="S2321" s="20"/>
    </row>
    <row r="2322">
      <c r="A2322" s="49" t="s">
        <v>9661</v>
      </c>
      <c r="B2322" s="110">
        <v>46217.0</v>
      </c>
      <c r="C2322" s="49" t="s">
        <v>9662</v>
      </c>
      <c r="D2322" s="102" t="s">
        <v>9663</v>
      </c>
      <c r="E2322" s="25" t="s">
        <v>128</v>
      </c>
      <c r="F2322" s="25" t="s">
        <v>129</v>
      </c>
      <c r="G2322" s="25" t="s">
        <v>29</v>
      </c>
      <c r="H2322" s="76" t="s">
        <v>260</v>
      </c>
      <c r="I2322" s="23"/>
      <c r="J2322" s="23"/>
      <c r="K2322" s="30"/>
      <c r="L2322" s="49" t="s">
        <v>9664</v>
      </c>
      <c r="M2322" s="50">
        <v>1.0</v>
      </c>
      <c r="N2322" s="51"/>
      <c r="O2322" s="20"/>
      <c r="P2322" s="20"/>
      <c r="Q2322" s="20"/>
      <c r="R2322" s="20"/>
      <c r="S2322" s="20"/>
    </row>
    <row r="2323">
      <c r="A2323" s="76" t="s">
        <v>9665</v>
      </c>
      <c r="B2323" s="97">
        <v>46218.0</v>
      </c>
      <c r="C2323" s="76" t="s">
        <v>8147</v>
      </c>
      <c r="D2323" s="99" t="s">
        <v>9666</v>
      </c>
      <c r="E2323" s="25" t="s">
        <v>128</v>
      </c>
      <c r="F2323" s="25" t="s">
        <v>129</v>
      </c>
      <c r="G2323" s="25" t="s">
        <v>29</v>
      </c>
      <c r="H2323" s="76" t="s">
        <v>260</v>
      </c>
      <c r="I2323" s="10"/>
      <c r="J2323" s="10"/>
      <c r="K2323" s="46"/>
      <c r="L2323" s="76" t="s">
        <v>9667</v>
      </c>
      <c r="M2323" s="44">
        <v>1.0</v>
      </c>
      <c r="N2323" s="45"/>
      <c r="O2323" s="20"/>
      <c r="P2323" s="20"/>
      <c r="Q2323" s="20"/>
      <c r="R2323" s="20"/>
      <c r="S2323" s="20"/>
    </row>
    <row r="2324">
      <c r="A2324" s="49" t="s">
        <v>9668</v>
      </c>
      <c r="B2324" s="110">
        <v>46218.0</v>
      </c>
      <c r="C2324" s="49" t="s">
        <v>9669</v>
      </c>
      <c r="D2324" s="102" t="s">
        <v>9670</v>
      </c>
      <c r="E2324" s="25" t="s">
        <v>128</v>
      </c>
      <c r="F2324" s="25" t="s">
        <v>129</v>
      </c>
      <c r="G2324" s="25" t="s">
        <v>29</v>
      </c>
      <c r="H2324" s="76" t="s">
        <v>260</v>
      </c>
      <c r="I2324" s="101">
        <v>46286.0</v>
      </c>
      <c r="J2324" s="49">
        <v>2.0</v>
      </c>
      <c r="K2324" s="30"/>
      <c r="L2324" s="49" t="s">
        <v>9671</v>
      </c>
      <c r="M2324" s="50">
        <v>1.0</v>
      </c>
      <c r="N2324" s="51"/>
      <c r="O2324" s="20"/>
      <c r="P2324" s="20"/>
      <c r="Q2324" s="20"/>
      <c r="R2324" s="20"/>
      <c r="S2324" s="20"/>
    </row>
    <row r="2325">
      <c r="A2325" s="76" t="s">
        <v>9672</v>
      </c>
      <c r="B2325" s="97">
        <v>46218.0</v>
      </c>
      <c r="C2325" s="76" t="s">
        <v>4890</v>
      </c>
      <c r="D2325" s="99" t="s">
        <v>9673</v>
      </c>
      <c r="E2325" s="25" t="s">
        <v>128</v>
      </c>
      <c r="F2325" s="25" t="s">
        <v>129</v>
      </c>
      <c r="G2325" s="25" t="s">
        <v>29</v>
      </c>
      <c r="H2325" s="76" t="s">
        <v>7245</v>
      </c>
      <c r="I2325" s="118">
        <v>46223.0</v>
      </c>
      <c r="J2325" s="10"/>
      <c r="K2325" s="46"/>
      <c r="L2325" s="76" t="s">
        <v>9275</v>
      </c>
      <c r="M2325" s="44">
        <v>1.0</v>
      </c>
      <c r="N2325" s="45"/>
      <c r="O2325" s="20"/>
      <c r="P2325" s="20"/>
      <c r="Q2325" s="20"/>
      <c r="R2325" s="20"/>
      <c r="S2325" s="20"/>
    </row>
    <row r="2326">
      <c r="A2326" s="49" t="s">
        <v>9674</v>
      </c>
      <c r="B2326" s="110">
        <v>46218.0</v>
      </c>
      <c r="C2326" s="49" t="s">
        <v>9675</v>
      </c>
      <c r="D2326" s="102" t="s">
        <v>9676</v>
      </c>
      <c r="E2326" s="25" t="s">
        <v>128</v>
      </c>
      <c r="F2326" s="25" t="s">
        <v>129</v>
      </c>
      <c r="G2326" s="25" t="s">
        <v>42</v>
      </c>
      <c r="H2326" s="49" t="s">
        <v>199</v>
      </c>
      <c r="I2326" s="23"/>
      <c r="J2326" s="23"/>
      <c r="K2326" s="30"/>
      <c r="L2326" s="49" t="s">
        <v>9677</v>
      </c>
      <c r="M2326" s="50">
        <v>8.0</v>
      </c>
      <c r="N2326" s="51"/>
      <c r="O2326" s="20"/>
      <c r="P2326" s="20"/>
      <c r="Q2326" s="20"/>
      <c r="R2326" s="20"/>
      <c r="S2326" s="20"/>
    </row>
    <row r="2327">
      <c r="A2327" s="76" t="s">
        <v>9678</v>
      </c>
      <c r="B2327" s="97">
        <v>46218.0</v>
      </c>
      <c r="C2327" s="76" t="s">
        <v>9679</v>
      </c>
      <c r="D2327" s="99" t="s">
        <v>9680</v>
      </c>
      <c r="E2327" s="25" t="s">
        <v>869</v>
      </c>
      <c r="F2327" s="25" t="s">
        <v>129</v>
      </c>
      <c r="G2327" s="25" t="s">
        <v>29</v>
      </c>
      <c r="H2327" s="76" t="s">
        <v>9681</v>
      </c>
      <c r="I2327" s="10"/>
      <c r="J2327" s="10"/>
      <c r="K2327" s="46"/>
      <c r="L2327" s="10"/>
      <c r="M2327" s="44">
        <v>1.0</v>
      </c>
      <c r="N2327" s="45"/>
      <c r="O2327" s="20"/>
      <c r="P2327" s="20"/>
      <c r="Q2327" s="20"/>
      <c r="R2327" s="20"/>
      <c r="S2327" s="20"/>
    </row>
    <row r="2328">
      <c r="A2328" s="49" t="s">
        <v>9682</v>
      </c>
      <c r="B2328" s="110">
        <v>46217.0</v>
      </c>
      <c r="C2328" s="49" t="s">
        <v>9683</v>
      </c>
      <c r="D2328" s="102" t="s">
        <v>9684</v>
      </c>
      <c r="E2328" s="25" t="s">
        <v>128</v>
      </c>
      <c r="F2328" s="25" t="s">
        <v>129</v>
      </c>
      <c r="G2328" s="25" t="s">
        <v>29</v>
      </c>
      <c r="H2328" s="49" t="s">
        <v>4064</v>
      </c>
      <c r="I2328" s="23"/>
      <c r="J2328" s="49">
        <v>3.0</v>
      </c>
      <c r="K2328" s="30"/>
      <c r="L2328" s="49" t="s">
        <v>9685</v>
      </c>
      <c r="M2328" s="50">
        <v>1.0</v>
      </c>
      <c r="N2328" s="51"/>
      <c r="O2328" s="20"/>
      <c r="P2328" s="20"/>
      <c r="Q2328" s="20"/>
      <c r="R2328" s="20"/>
      <c r="S2328" s="20"/>
    </row>
    <row r="2329">
      <c r="A2329" s="76" t="s">
        <v>9686</v>
      </c>
      <c r="B2329" s="97">
        <v>46218.0</v>
      </c>
      <c r="C2329" s="76" t="s">
        <v>7406</v>
      </c>
      <c r="D2329" s="99" t="s">
        <v>9687</v>
      </c>
      <c r="E2329" s="25" t="s">
        <v>128</v>
      </c>
      <c r="F2329" s="25" t="s">
        <v>129</v>
      </c>
      <c r="G2329" s="25" t="s">
        <v>29</v>
      </c>
      <c r="H2329" s="49" t="s">
        <v>4064</v>
      </c>
      <c r="I2329" s="10"/>
      <c r="J2329" s="10"/>
      <c r="K2329" s="46"/>
      <c r="L2329" s="76" t="s">
        <v>9688</v>
      </c>
      <c r="M2329" s="44">
        <v>1.0</v>
      </c>
      <c r="N2329" s="45"/>
      <c r="O2329" s="20"/>
      <c r="P2329" s="20"/>
      <c r="Q2329" s="20"/>
      <c r="R2329" s="20"/>
      <c r="S2329" s="20"/>
    </row>
    <row r="2330">
      <c r="A2330" s="49" t="s">
        <v>9689</v>
      </c>
      <c r="B2330" s="110">
        <v>46219.0</v>
      </c>
      <c r="C2330" s="49" t="s">
        <v>9690</v>
      </c>
      <c r="D2330" s="102" t="s">
        <v>9691</v>
      </c>
      <c r="E2330" s="25" t="s">
        <v>128</v>
      </c>
      <c r="F2330" s="25" t="s">
        <v>129</v>
      </c>
      <c r="G2330" s="25" t="s">
        <v>42</v>
      </c>
      <c r="H2330" s="49" t="s">
        <v>9692</v>
      </c>
      <c r="I2330" s="101">
        <v>46257.0</v>
      </c>
      <c r="J2330" s="49">
        <v>2.0</v>
      </c>
      <c r="K2330" s="30"/>
      <c r="L2330" s="49" t="s">
        <v>9693</v>
      </c>
      <c r="M2330" s="50">
        <v>8.0</v>
      </c>
      <c r="N2330" s="51"/>
      <c r="O2330" s="20"/>
      <c r="P2330" s="20"/>
      <c r="Q2330" s="20"/>
      <c r="R2330" s="20"/>
      <c r="S2330" s="20"/>
    </row>
    <row r="2331">
      <c r="A2331" s="76" t="s">
        <v>9694</v>
      </c>
      <c r="B2331" s="97">
        <v>46219.0</v>
      </c>
      <c r="C2331" s="76" t="s">
        <v>9695</v>
      </c>
      <c r="D2331" s="99" t="s">
        <v>9696</v>
      </c>
      <c r="E2331" s="25" t="s">
        <v>122</v>
      </c>
      <c r="F2331" s="25" t="s">
        <v>18</v>
      </c>
      <c r="G2331" s="25" t="s">
        <v>79</v>
      </c>
      <c r="H2331" s="76" t="s">
        <v>9697</v>
      </c>
      <c r="I2331" s="76" t="s">
        <v>9698</v>
      </c>
      <c r="J2331" s="76">
        <v>2.0</v>
      </c>
      <c r="K2331" s="19">
        <v>2690000.0</v>
      </c>
      <c r="L2331" s="76" t="s">
        <v>1803</v>
      </c>
      <c r="M2331" s="44">
        <v>99.0</v>
      </c>
      <c r="N2331" s="45"/>
      <c r="O2331" s="20"/>
      <c r="P2331" s="20"/>
      <c r="Q2331" s="20"/>
      <c r="R2331" s="20"/>
      <c r="S2331" s="20"/>
    </row>
    <row r="2332">
      <c r="A2332" s="49" t="s">
        <v>9699</v>
      </c>
      <c r="B2332" s="110">
        <v>46219.0</v>
      </c>
      <c r="C2332" s="49" t="s">
        <v>9700</v>
      </c>
      <c r="D2332" s="102" t="s">
        <v>9701</v>
      </c>
      <c r="E2332" s="25" t="s">
        <v>128</v>
      </c>
      <c r="F2332" s="25" t="s">
        <v>129</v>
      </c>
      <c r="G2332" s="25" t="s">
        <v>42</v>
      </c>
      <c r="H2332" s="49" t="s">
        <v>9702</v>
      </c>
      <c r="I2332" s="23"/>
      <c r="J2332" s="49">
        <v>1.0</v>
      </c>
      <c r="K2332" s="30"/>
      <c r="L2332" s="49" t="s">
        <v>1920</v>
      </c>
      <c r="M2332" s="50">
        <v>8.0</v>
      </c>
      <c r="N2332" s="51"/>
      <c r="O2332" s="20"/>
      <c r="P2332" s="20"/>
      <c r="Q2332" s="20"/>
      <c r="R2332" s="20"/>
      <c r="S2332" s="20"/>
    </row>
    <row r="2333">
      <c r="A2333" s="76" t="s">
        <v>9703</v>
      </c>
      <c r="B2333" s="97">
        <v>46219.0</v>
      </c>
      <c r="C2333" s="76" t="s">
        <v>9704</v>
      </c>
      <c r="D2333" s="99" t="s">
        <v>9705</v>
      </c>
      <c r="E2333" s="25" t="s">
        <v>128</v>
      </c>
      <c r="F2333" s="25" t="s">
        <v>129</v>
      </c>
      <c r="G2333" s="25" t="s">
        <v>19</v>
      </c>
      <c r="H2333" s="76" t="s">
        <v>747</v>
      </c>
      <c r="I2333" s="118">
        <v>46239.0</v>
      </c>
      <c r="J2333" s="76">
        <v>2.0</v>
      </c>
      <c r="K2333" s="19">
        <v>800000.0</v>
      </c>
      <c r="L2333" s="76" t="s">
        <v>6194</v>
      </c>
      <c r="M2333" s="44">
        <v>7.0</v>
      </c>
      <c r="N2333" s="45"/>
      <c r="O2333" s="20"/>
      <c r="P2333" s="20"/>
      <c r="Q2333" s="20"/>
      <c r="R2333" s="20"/>
      <c r="S2333" s="20"/>
    </row>
    <row r="2334">
      <c r="A2334" s="49" t="s">
        <v>9706</v>
      </c>
      <c r="B2334" s="110">
        <v>46219.0</v>
      </c>
      <c r="C2334" s="49" t="s">
        <v>9707</v>
      </c>
      <c r="D2334" s="102" t="s">
        <v>9708</v>
      </c>
      <c r="E2334" s="25" t="s">
        <v>17</v>
      </c>
      <c r="F2334" s="25" t="s">
        <v>18</v>
      </c>
      <c r="G2334" s="25" t="s">
        <v>43</v>
      </c>
      <c r="H2334" s="49" t="s">
        <v>2462</v>
      </c>
      <c r="I2334" s="49" t="s">
        <v>9709</v>
      </c>
      <c r="J2334" s="49">
        <v>2.0</v>
      </c>
      <c r="K2334" s="30">
        <f>3100000*2</f>
        <v>6200000</v>
      </c>
      <c r="L2334" s="49" t="s">
        <v>9710</v>
      </c>
      <c r="M2334" s="50">
        <v>3.0</v>
      </c>
      <c r="N2334" s="51"/>
      <c r="O2334" s="20"/>
      <c r="P2334" s="20"/>
      <c r="Q2334" s="20"/>
      <c r="R2334" s="20"/>
      <c r="S2334" s="20"/>
    </row>
    <row r="2335">
      <c r="A2335" s="76" t="s">
        <v>9711</v>
      </c>
      <c r="B2335" s="97">
        <v>46219.0</v>
      </c>
      <c r="C2335" s="76" t="s">
        <v>9712</v>
      </c>
      <c r="D2335" s="99" t="s">
        <v>9713</v>
      </c>
      <c r="E2335" s="25" t="s">
        <v>128</v>
      </c>
      <c r="F2335" s="25" t="s">
        <v>18</v>
      </c>
      <c r="G2335" s="25" t="s">
        <v>42</v>
      </c>
      <c r="H2335" s="76" t="s">
        <v>5646</v>
      </c>
      <c r="I2335" s="10"/>
      <c r="J2335" s="10"/>
      <c r="K2335" s="46"/>
      <c r="L2335" s="76" t="s">
        <v>840</v>
      </c>
      <c r="M2335" s="44">
        <v>8.0</v>
      </c>
      <c r="N2335" s="45"/>
      <c r="O2335" s="20"/>
      <c r="P2335" s="20"/>
      <c r="Q2335" s="20"/>
      <c r="R2335" s="20"/>
      <c r="S2335" s="20"/>
    </row>
    <row r="2336">
      <c r="A2336" s="49" t="s">
        <v>9714</v>
      </c>
      <c r="B2336" s="110">
        <v>46219.0</v>
      </c>
      <c r="C2336" s="49" t="s">
        <v>9715</v>
      </c>
      <c r="D2336" s="102" t="s">
        <v>9489</v>
      </c>
      <c r="E2336" s="25" t="s">
        <v>128</v>
      </c>
      <c r="F2336" s="25" t="s">
        <v>18</v>
      </c>
      <c r="G2336" s="25" t="s">
        <v>42</v>
      </c>
      <c r="H2336" s="23"/>
      <c r="I2336" s="23"/>
      <c r="J2336" s="23"/>
      <c r="K2336" s="30"/>
      <c r="L2336" s="49" t="s">
        <v>840</v>
      </c>
      <c r="M2336" s="50">
        <v>8.0</v>
      </c>
      <c r="N2336" s="51"/>
      <c r="O2336" s="20"/>
      <c r="P2336" s="20"/>
      <c r="Q2336" s="20"/>
      <c r="R2336" s="20"/>
      <c r="S2336" s="20"/>
    </row>
    <row r="2337">
      <c r="A2337" s="76" t="s">
        <v>9716</v>
      </c>
      <c r="B2337" s="97">
        <v>46219.0</v>
      </c>
      <c r="C2337" s="76" t="s">
        <v>9717</v>
      </c>
      <c r="D2337" s="99" t="s">
        <v>9705</v>
      </c>
      <c r="E2337" s="25" t="s">
        <v>128</v>
      </c>
      <c r="F2337" s="25" t="s">
        <v>18</v>
      </c>
      <c r="G2337" s="25" t="s">
        <v>42</v>
      </c>
      <c r="H2337" s="76" t="s">
        <v>3210</v>
      </c>
      <c r="I2337" s="118">
        <v>46237.0</v>
      </c>
      <c r="J2337" s="76">
        <v>2.0</v>
      </c>
      <c r="K2337" s="46">
        <f>2870000*2</f>
        <v>5740000</v>
      </c>
      <c r="L2337" s="76" t="s">
        <v>9718</v>
      </c>
      <c r="M2337" s="44">
        <v>8.0</v>
      </c>
      <c r="N2337" s="45"/>
      <c r="O2337" s="20"/>
      <c r="P2337" s="20"/>
      <c r="Q2337" s="20"/>
      <c r="R2337" s="20"/>
      <c r="S2337" s="20"/>
    </row>
    <row r="2338">
      <c r="A2338" s="49" t="s">
        <v>9719</v>
      </c>
      <c r="B2338" s="110">
        <v>46219.0</v>
      </c>
      <c r="C2338" s="49" t="s">
        <v>9720</v>
      </c>
      <c r="D2338" s="102" t="s">
        <v>9721</v>
      </c>
      <c r="E2338" s="25" t="s">
        <v>128</v>
      </c>
      <c r="F2338" s="25" t="s">
        <v>129</v>
      </c>
      <c r="G2338" s="25" t="s">
        <v>19</v>
      </c>
      <c r="H2338" s="49" t="s">
        <v>341</v>
      </c>
      <c r="I2338" s="101">
        <v>46265.0</v>
      </c>
      <c r="J2338" s="49">
        <v>2.0</v>
      </c>
      <c r="K2338" s="36">
        <v>3200000.0</v>
      </c>
      <c r="L2338" s="49" t="s">
        <v>6443</v>
      </c>
      <c r="M2338" s="50">
        <v>7.0</v>
      </c>
      <c r="N2338" s="51"/>
      <c r="O2338" s="20"/>
      <c r="P2338" s="20"/>
      <c r="Q2338" s="20"/>
      <c r="R2338" s="20"/>
      <c r="S2338" s="20"/>
    </row>
    <row r="2339">
      <c r="A2339" s="76" t="s">
        <v>9722</v>
      </c>
      <c r="B2339" s="97">
        <v>46220.0</v>
      </c>
      <c r="C2339" s="76" t="s">
        <v>9723</v>
      </c>
      <c r="D2339" s="99" t="s">
        <v>9724</v>
      </c>
      <c r="E2339" s="25" t="s">
        <v>128</v>
      </c>
      <c r="F2339" s="25" t="s">
        <v>18</v>
      </c>
      <c r="G2339" s="25" t="s">
        <v>34</v>
      </c>
      <c r="H2339" s="76" t="s">
        <v>5606</v>
      </c>
      <c r="I2339" s="118">
        <v>46257.0</v>
      </c>
      <c r="J2339" s="76">
        <v>2.0</v>
      </c>
      <c r="K2339" s="46">
        <f>550000*2</f>
        <v>1100000</v>
      </c>
      <c r="L2339" s="76" t="s">
        <v>9725</v>
      </c>
      <c r="M2339" s="44">
        <v>2.0</v>
      </c>
      <c r="N2339" s="45"/>
      <c r="O2339" s="20"/>
      <c r="P2339" s="20"/>
      <c r="Q2339" s="20"/>
      <c r="R2339" s="20"/>
      <c r="S2339" s="20"/>
    </row>
    <row r="2340">
      <c r="A2340" s="49" t="s">
        <v>9726</v>
      </c>
      <c r="B2340" s="110">
        <v>46219.0</v>
      </c>
      <c r="C2340" s="49" t="s">
        <v>9727</v>
      </c>
      <c r="D2340" s="102" t="s">
        <v>9728</v>
      </c>
      <c r="E2340" s="25" t="s">
        <v>17</v>
      </c>
      <c r="F2340" s="25" t="s">
        <v>129</v>
      </c>
      <c r="G2340" s="25" t="s">
        <v>29</v>
      </c>
      <c r="H2340" s="49" t="s">
        <v>341</v>
      </c>
      <c r="I2340" s="101">
        <v>46241.0</v>
      </c>
      <c r="J2340" s="49">
        <v>3.0</v>
      </c>
      <c r="K2340" s="30"/>
      <c r="L2340" s="68" t="s">
        <v>9543</v>
      </c>
      <c r="M2340" s="50">
        <v>1.0</v>
      </c>
      <c r="N2340" s="51"/>
      <c r="O2340" s="20"/>
      <c r="P2340" s="20"/>
      <c r="Q2340" s="20"/>
      <c r="R2340" s="20"/>
      <c r="S2340" s="20"/>
    </row>
    <row r="2341">
      <c r="A2341" s="76" t="s">
        <v>9729</v>
      </c>
      <c r="B2341" s="97">
        <v>46219.0</v>
      </c>
      <c r="C2341" s="76" t="s">
        <v>9730</v>
      </c>
      <c r="D2341" s="99" t="s">
        <v>9731</v>
      </c>
      <c r="E2341" s="25" t="s">
        <v>128</v>
      </c>
      <c r="F2341" s="25" t="s">
        <v>129</v>
      </c>
      <c r="G2341" s="25" t="s">
        <v>29</v>
      </c>
      <c r="H2341" s="76" t="s">
        <v>3032</v>
      </c>
      <c r="I2341" s="118">
        <v>46255.0</v>
      </c>
      <c r="J2341" s="76">
        <v>2.0</v>
      </c>
      <c r="K2341" s="46"/>
      <c r="L2341" s="76" t="s">
        <v>9732</v>
      </c>
      <c r="M2341" s="44">
        <v>1.0</v>
      </c>
      <c r="N2341" s="45"/>
      <c r="O2341" s="20"/>
      <c r="P2341" s="20"/>
      <c r="Q2341" s="20"/>
      <c r="R2341" s="20"/>
      <c r="S2341" s="20"/>
    </row>
    <row r="2342">
      <c r="A2342" s="49" t="s">
        <v>9733</v>
      </c>
      <c r="B2342" s="110">
        <v>46219.0</v>
      </c>
      <c r="C2342" s="49" t="s">
        <v>9734</v>
      </c>
      <c r="D2342" s="102" t="s">
        <v>9735</v>
      </c>
      <c r="E2342" s="25" t="s">
        <v>128</v>
      </c>
      <c r="F2342" s="25" t="s">
        <v>129</v>
      </c>
      <c r="G2342" s="25" t="s">
        <v>29</v>
      </c>
      <c r="H2342" s="23"/>
      <c r="I2342" s="23"/>
      <c r="J2342" s="23"/>
      <c r="K2342" s="30"/>
      <c r="L2342" s="49" t="s">
        <v>7542</v>
      </c>
      <c r="M2342" s="50">
        <v>1.0</v>
      </c>
      <c r="N2342" s="51"/>
      <c r="O2342" s="20"/>
      <c r="P2342" s="20"/>
      <c r="Q2342" s="20"/>
      <c r="R2342" s="20"/>
      <c r="S2342" s="20"/>
    </row>
    <row r="2343">
      <c r="A2343" s="76" t="s">
        <v>9736</v>
      </c>
      <c r="B2343" s="97">
        <v>46220.0</v>
      </c>
      <c r="C2343" s="76" t="s">
        <v>9737</v>
      </c>
      <c r="D2343" s="99" t="s">
        <v>9738</v>
      </c>
      <c r="E2343" s="25" t="s">
        <v>128</v>
      </c>
      <c r="F2343" s="25" t="s">
        <v>129</v>
      </c>
      <c r="G2343" s="25" t="s">
        <v>29</v>
      </c>
      <c r="H2343" s="76" t="s">
        <v>2166</v>
      </c>
      <c r="I2343" s="118">
        <v>46225.0</v>
      </c>
      <c r="J2343" s="76">
        <v>2.0</v>
      </c>
      <c r="K2343" s="46"/>
      <c r="L2343" s="76" t="s">
        <v>9739</v>
      </c>
      <c r="M2343" s="44">
        <v>1.0</v>
      </c>
      <c r="N2343" s="45"/>
      <c r="O2343" s="20"/>
      <c r="P2343" s="20"/>
      <c r="Q2343" s="20"/>
      <c r="R2343" s="20"/>
      <c r="S2343" s="20"/>
    </row>
    <row r="2344">
      <c r="A2344" s="49" t="s">
        <v>9740</v>
      </c>
      <c r="B2344" s="110">
        <v>46215.0</v>
      </c>
      <c r="C2344" s="49" t="s">
        <v>9741</v>
      </c>
      <c r="D2344" s="102" t="s">
        <v>9742</v>
      </c>
      <c r="E2344" s="25" t="s">
        <v>128</v>
      </c>
      <c r="F2344" s="25" t="s">
        <v>18</v>
      </c>
      <c r="G2344" s="25" t="s">
        <v>34</v>
      </c>
      <c r="H2344" s="49" t="s">
        <v>5658</v>
      </c>
      <c r="I2344" s="101">
        <v>46254.0</v>
      </c>
      <c r="J2344" s="49">
        <v>2.0</v>
      </c>
      <c r="K2344" s="30">
        <f>400000*2</f>
        <v>800000</v>
      </c>
      <c r="L2344" s="49" t="s">
        <v>9710</v>
      </c>
      <c r="M2344" s="50">
        <v>2.0</v>
      </c>
      <c r="N2344" s="51"/>
      <c r="O2344" s="20"/>
      <c r="P2344" s="20"/>
      <c r="Q2344" s="20"/>
      <c r="R2344" s="20"/>
      <c r="S2344" s="20"/>
    </row>
    <row r="2345">
      <c r="A2345" s="76" t="s">
        <v>9743</v>
      </c>
      <c r="B2345" s="97">
        <v>46220.0</v>
      </c>
      <c r="C2345" s="76" t="s">
        <v>9744</v>
      </c>
      <c r="D2345" s="99" t="s">
        <v>9745</v>
      </c>
      <c r="E2345" s="25" t="s">
        <v>128</v>
      </c>
      <c r="F2345" s="25" t="s">
        <v>18</v>
      </c>
      <c r="G2345" s="25" t="s">
        <v>42</v>
      </c>
      <c r="H2345" s="76" t="s">
        <v>172</v>
      </c>
      <c r="I2345" s="10"/>
      <c r="J2345" s="10"/>
      <c r="K2345" s="46"/>
      <c r="L2345" s="76" t="s">
        <v>840</v>
      </c>
      <c r="M2345" s="44">
        <v>8.0</v>
      </c>
      <c r="N2345" s="45"/>
      <c r="O2345" s="20"/>
      <c r="P2345" s="20"/>
      <c r="Q2345" s="20"/>
      <c r="R2345" s="20"/>
      <c r="S2345" s="20"/>
    </row>
    <row r="2346">
      <c r="A2346" s="49" t="s">
        <v>9746</v>
      </c>
      <c r="B2346" s="110">
        <v>46220.0</v>
      </c>
      <c r="C2346" s="49" t="s">
        <v>4369</v>
      </c>
      <c r="D2346" s="102" t="s">
        <v>9747</v>
      </c>
      <c r="E2346" s="25" t="s">
        <v>17</v>
      </c>
      <c r="F2346" s="25" t="s">
        <v>18</v>
      </c>
      <c r="G2346" s="25" t="s">
        <v>29</v>
      </c>
      <c r="H2346" s="49" t="s">
        <v>5957</v>
      </c>
      <c r="I2346" s="23"/>
      <c r="J2346" s="49">
        <v>4.0</v>
      </c>
      <c r="K2346" s="30"/>
      <c r="L2346" s="49" t="s">
        <v>8300</v>
      </c>
      <c r="M2346" s="50">
        <v>1.0</v>
      </c>
      <c r="N2346" s="51"/>
      <c r="O2346" s="20"/>
      <c r="P2346" s="20"/>
      <c r="Q2346" s="20"/>
      <c r="R2346" s="20"/>
      <c r="S2346" s="20"/>
    </row>
    <row r="2347">
      <c r="A2347" s="76" t="s">
        <v>9748</v>
      </c>
      <c r="B2347" s="97">
        <v>46220.0</v>
      </c>
      <c r="C2347" s="76" t="s">
        <v>9749</v>
      </c>
      <c r="D2347" s="99" t="s">
        <v>9750</v>
      </c>
      <c r="E2347" s="25" t="s">
        <v>122</v>
      </c>
      <c r="F2347" s="25" t="s">
        <v>18</v>
      </c>
      <c r="G2347" s="25" t="s">
        <v>42</v>
      </c>
      <c r="H2347" s="76" t="s">
        <v>7249</v>
      </c>
      <c r="I2347" s="118">
        <v>46239.0</v>
      </c>
      <c r="J2347" s="76">
        <v>12.0</v>
      </c>
      <c r="K2347" s="46">
        <f>2400000*12</f>
        <v>28800000</v>
      </c>
      <c r="L2347" s="76" t="s">
        <v>9751</v>
      </c>
      <c r="M2347" s="44">
        <v>8.0</v>
      </c>
      <c r="N2347" s="45"/>
      <c r="O2347" s="20"/>
      <c r="P2347" s="20"/>
      <c r="Q2347" s="20"/>
      <c r="R2347" s="20"/>
      <c r="S2347" s="20"/>
    </row>
    <row r="2348">
      <c r="A2348" s="49" t="s">
        <v>9752</v>
      </c>
      <c r="B2348" s="135">
        <v>46220.0</v>
      </c>
      <c r="C2348" s="49" t="s">
        <v>9753</v>
      </c>
      <c r="D2348" s="102" t="s">
        <v>9754</v>
      </c>
      <c r="E2348" s="25" t="s">
        <v>128</v>
      </c>
      <c r="F2348" s="25" t="s">
        <v>18</v>
      </c>
      <c r="G2348" s="25" t="s">
        <v>29</v>
      </c>
      <c r="H2348" s="49" t="s">
        <v>3210</v>
      </c>
      <c r="I2348" s="49" t="s">
        <v>9755</v>
      </c>
      <c r="J2348" s="49">
        <v>2.0</v>
      </c>
      <c r="K2348" s="30">
        <f>2100000*2</f>
        <v>4200000</v>
      </c>
      <c r="L2348" s="49" t="s">
        <v>9756</v>
      </c>
      <c r="M2348" s="50">
        <v>1.0</v>
      </c>
      <c r="N2348" s="51"/>
      <c r="O2348" s="20"/>
      <c r="P2348" s="20"/>
      <c r="Q2348" s="20"/>
      <c r="R2348" s="20"/>
      <c r="S2348" s="20"/>
    </row>
    <row r="2349">
      <c r="A2349" s="76" t="s">
        <v>9757</v>
      </c>
      <c r="B2349" s="97">
        <v>46221.0</v>
      </c>
      <c r="C2349" s="76" t="s">
        <v>2500</v>
      </c>
      <c r="D2349" s="99" t="s">
        <v>9758</v>
      </c>
      <c r="E2349" s="25" t="s">
        <v>128</v>
      </c>
      <c r="F2349" s="25" t="s">
        <v>18</v>
      </c>
      <c r="G2349" s="25" t="s">
        <v>29</v>
      </c>
      <c r="H2349" s="76" t="s">
        <v>172</v>
      </c>
      <c r="I2349" s="76" t="s">
        <v>9759</v>
      </c>
      <c r="J2349" s="10"/>
      <c r="K2349" s="46"/>
      <c r="L2349" s="10"/>
      <c r="M2349" s="44">
        <v>1.0</v>
      </c>
      <c r="N2349" s="45"/>
      <c r="O2349" s="20"/>
      <c r="P2349" s="20"/>
      <c r="Q2349" s="20"/>
      <c r="R2349" s="20"/>
      <c r="S2349" s="20"/>
    </row>
    <row r="2350">
      <c r="A2350" s="49" t="s">
        <v>9760</v>
      </c>
      <c r="B2350" s="110">
        <v>46220.0</v>
      </c>
      <c r="C2350" s="49" t="s">
        <v>9761</v>
      </c>
      <c r="D2350" s="102" t="s">
        <v>9762</v>
      </c>
      <c r="E2350" s="25" t="s">
        <v>128</v>
      </c>
      <c r="F2350" s="25" t="s">
        <v>129</v>
      </c>
      <c r="G2350" s="25" t="s">
        <v>29</v>
      </c>
      <c r="H2350" s="49" t="s">
        <v>5498</v>
      </c>
      <c r="I2350" s="101">
        <v>46235.0</v>
      </c>
      <c r="J2350" s="49">
        <v>2.0</v>
      </c>
      <c r="K2350" s="30"/>
      <c r="L2350" s="49" t="s">
        <v>9336</v>
      </c>
      <c r="M2350" s="50">
        <v>1.0</v>
      </c>
      <c r="N2350" s="51"/>
      <c r="O2350" s="20"/>
      <c r="P2350" s="20"/>
      <c r="Q2350" s="20"/>
      <c r="R2350" s="20"/>
      <c r="S2350" s="20"/>
    </row>
    <row r="2351">
      <c r="A2351" s="76" t="s">
        <v>9763</v>
      </c>
      <c r="B2351" s="97">
        <v>46220.0</v>
      </c>
      <c r="C2351" s="76" t="s">
        <v>9764</v>
      </c>
      <c r="D2351" s="99" t="s">
        <v>9765</v>
      </c>
      <c r="E2351" s="25" t="s">
        <v>17</v>
      </c>
      <c r="F2351" s="25" t="s">
        <v>129</v>
      </c>
      <c r="G2351" s="25" t="s">
        <v>42</v>
      </c>
      <c r="H2351" s="76" t="s">
        <v>8576</v>
      </c>
      <c r="I2351" s="118">
        <v>46223.0</v>
      </c>
      <c r="J2351" s="76">
        <v>4.0</v>
      </c>
      <c r="K2351" s="46"/>
      <c r="L2351" s="76" t="s">
        <v>9766</v>
      </c>
      <c r="M2351" s="44">
        <v>8.0</v>
      </c>
      <c r="N2351" s="45"/>
      <c r="O2351" s="20"/>
      <c r="P2351" s="20"/>
      <c r="Q2351" s="20"/>
      <c r="R2351" s="20"/>
      <c r="S2351" s="20"/>
    </row>
    <row r="2352">
      <c r="A2352" s="49" t="s">
        <v>9767</v>
      </c>
      <c r="B2352" s="110">
        <v>46221.0</v>
      </c>
      <c r="C2352" s="49" t="s">
        <v>9768</v>
      </c>
      <c r="D2352" s="102" t="s">
        <v>9770</v>
      </c>
      <c r="E2352" s="25" t="s">
        <v>128</v>
      </c>
      <c r="F2352" s="25" t="s">
        <v>129</v>
      </c>
      <c r="G2352" s="25" t="s">
        <v>29</v>
      </c>
      <c r="H2352" s="49" t="s">
        <v>199</v>
      </c>
      <c r="I2352" s="49" t="s">
        <v>9772</v>
      </c>
      <c r="J2352" s="49">
        <v>6.0</v>
      </c>
      <c r="K2352" s="30"/>
      <c r="L2352" s="49" t="s">
        <v>9775</v>
      </c>
      <c r="M2352" s="50">
        <v>1.0</v>
      </c>
      <c r="N2352" s="51"/>
      <c r="O2352" s="20"/>
      <c r="P2352" s="20"/>
      <c r="Q2352" s="20"/>
      <c r="R2352" s="20"/>
      <c r="S2352" s="20"/>
    </row>
    <row r="2353">
      <c r="A2353" s="76" t="s">
        <v>9776</v>
      </c>
      <c r="B2353" s="97">
        <v>46221.0</v>
      </c>
      <c r="C2353" s="76" t="s">
        <v>9778</v>
      </c>
      <c r="D2353" s="99" t="s">
        <v>9779</v>
      </c>
      <c r="E2353" s="25" t="s">
        <v>128</v>
      </c>
      <c r="F2353" s="25" t="s">
        <v>129</v>
      </c>
      <c r="G2353" s="25" t="s">
        <v>29</v>
      </c>
      <c r="H2353" s="76" t="s">
        <v>9780</v>
      </c>
      <c r="I2353" s="118">
        <v>46311.0</v>
      </c>
      <c r="J2353" s="76">
        <v>40.0</v>
      </c>
      <c r="K2353" s="46"/>
      <c r="L2353" s="76" t="s">
        <v>9781</v>
      </c>
      <c r="M2353" s="44">
        <v>1.0</v>
      </c>
      <c r="N2353" s="45"/>
      <c r="O2353" s="20"/>
      <c r="P2353" s="20"/>
      <c r="Q2353" s="20"/>
      <c r="R2353" s="20"/>
      <c r="S2353" s="20"/>
    </row>
    <row r="2354">
      <c r="A2354" s="49" t="s">
        <v>9782</v>
      </c>
      <c r="B2354" s="110">
        <v>46221.0</v>
      </c>
      <c r="C2354" s="49" t="s">
        <v>9783</v>
      </c>
      <c r="D2354" s="102" t="s">
        <v>9784</v>
      </c>
      <c r="E2354" s="25" t="s">
        <v>128</v>
      </c>
      <c r="F2354" s="25" t="s">
        <v>129</v>
      </c>
      <c r="G2354" s="25" t="s">
        <v>42</v>
      </c>
      <c r="H2354" s="23"/>
      <c r="I2354" s="23"/>
      <c r="J2354" s="23"/>
      <c r="K2354" s="30"/>
      <c r="L2354" s="49" t="s">
        <v>9785</v>
      </c>
      <c r="M2354" s="50">
        <v>8.0</v>
      </c>
      <c r="N2354" s="51"/>
      <c r="O2354" s="20"/>
      <c r="P2354" s="20"/>
      <c r="Q2354" s="20"/>
      <c r="R2354" s="20"/>
      <c r="S2354" s="20"/>
    </row>
    <row r="2355">
      <c r="A2355" s="76" t="s">
        <v>9786</v>
      </c>
      <c r="B2355" s="97">
        <v>46221.0</v>
      </c>
      <c r="C2355" s="76" t="s">
        <v>9787</v>
      </c>
      <c r="D2355" s="99" t="s">
        <v>9788</v>
      </c>
      <c r="E2355" s="25" t="s">
        <v>17</v>
      </c>
      <c r="F2355" s="25" t="s">
        <v>983</v>
      </c>
      <c r="G2355" s="25" t="s">
        <v>34</v>
      </c>
      <c r="H2355" s="76" t="s">
        <v>260</v>
      </c>
      <c r="I2355" s="118">
        <v>46256.0</v>
      </c>
      <c r="J2355" s="76">
        <v>2.0</v>
      </c>
      <c r="K2355" s="19">
        <v>3200000.0</v>
      </c>
      <c r="L2355" s="76" t="s">
        <v>9789</v>
      </c>
      <c r="M2355" s="44">
        <v>2.0</v>
      </c>
      <c r="N2355" s="45"/>
      <c r="O2355" s="20"/>
      <c r="P2355" s="20"/>
      <c r="Q2355" s="20"/>
      <c r="R2355" s="20"/>
      <c r="S2355" s="20"/>
    </row>
    <row r="2356">
      <c r="A2356" s="49" t="s">
        <v>9790</v>
      </c>
      <c r="B2356" s="110">
        <v>46221.0</v>
      </c>
      <c r="C2356" s="49" t="s">
        <v>9791</v>
      </c>
      <c r="D2356" s="102" t="s">
        <v>9792</v>
      </c>
      <c r="E2356" s="25" t="s">
        <v>128</v>
      </c>
      <c r="F2356" s="25" t="s">
        <v>129</v>
      </c>
      <c r="G2356" s="25" t="s">
        <v>29</v>
      </c>
      <c r="H2356" s="49" t="s">
        <v>370</v>
      </c>
      <c r="I2356" s="101">
        <v>46240.0</v>
      </c>
      <c r="J2356" s="49">
        <v>4.0</v>
      </c>
      <c r="K2356" s="30"/>
      <c r="L2356" s="49" t="s">
        <v>8009</v>
      </c>
      <c r="M2356" s="50">
        <v>1.0</v>
      </c>
      <c r="N2356" s="51"/>
      <c r="O2356" s="20"/>
      <c r="P2356" s="20"/>
      <c r="Q2356" s="20"/>
      <c r="R2356" s="20"/>
      <c r="S2356" s="20"/>
    </row>
    <row r="2357">
      <c r="A2357" s="76" t="s">
        <v>9793</v>
      </c>
      <c r="B2357" s="97">
        <v>46221.0</v>
      </c>
      <c r="C2357" s="76" t="s">
        <v>9794</v>
      </c>
      <c r="D2357" s="99" t="s">
        <v>9795</v>
      </c>
      <c r="E2357" s="25" t="s">
        <v>17</v>
      </c>
      <c r="F2357" s="25" t="s">
        <v>129</v>
      </c>
      <c r="G2357" s="25" t="s">
        <v>29</v>
      </c>
      <c r="H2357" s="76" t="s">
        <v>4251</v>
      </c>
      <c r="I2357" s="10"/>
      <c r="J2357" s="76">
        <v>3.0</v>
      </c>
      <c r="K2357" s="46"/>
      <c r="L2357" s="76" t="s">
        <v>8194</v>
      </c>
      <c r="M2357" s="44">
        <v>1.0</v>
      </c>
      <c r="N2357" s="45"/>
      <c r="O2357" s="20"/>
      <c r="P2357" s="20"/>
      <c r="Q2357" s="20"/>
      <c r="R2357" s="20"/>
      <c r="S2357" s="20"/>
    </row>
    <row r="2358">
      <c r="A2358" s="49" t="s">
        <v>9796</v>
      </c>
      <c r="B2358" s="110">
        <v>46222.0</v>
      </c>
      <c r="C2358" s="49" t="s">
        <v>9797</v>
      </c>
      <c r="D2358" s="102" t="s">
        <v>9798</v>
      </c>
      <c r="E2358" s="25" t="s">
        <v>128</v>
      </c>
      <c r="F2358" s="25" t="s">
        <v>129</v>
      </c>
      <c r="G2358" s="25" t="s">
        <v>29</v>
      </c>
      <c r="H2358" s="49" t="s">
        <v>9799</v>
      </c>
      <c r="I2358" s="23"/>
      <c r="J2358" s="49">
        <v>2.0</v>
      </c>
      <c r="K2358" s="30"/>
      <c r="L2358" s="49" t="s">
        <v>9800</v>
      </c>
      <c r="M2358" s="50">
        <v>1.0</v>
      </c>
      <c r="N2358" s="51"/>
      <c r="O2358" s="20"/>
      <c r="P2358" s="20"/>
      <c r="Q2358" s="20"/>
      <c r="R2358" s="20"/>
      <c r="S2358" s="20"/>
    </row>
    <row r="2359">
      <c r="A2359" s="76" t="s">
        <v>9801</v>
      </c>
      <c r="B2359" s="97">
        <v>46222.0</v>
      </c>
      <c r="C2359" s="76" t="s">
        <v>9802</v>
      </c>
      <c r="D2359" s="99" t="s">
        <v>9803</v>
      </c>
      <c r="E2359" s="25" t="s">
        <v>128</v>
      </c>
      <c r="F2359" s="25" t="s">
        <v>129</v>
      </c>
      <c r="G2359" s="25" t="s">
        <v>29</v>
      </c>
      <c r="H2359" s="76" t="s">
        <v>260</v>
      </c>
      <c r="I2359" s="76" t="s">
        <v>9635</v>
      </c>
      <c r="J2359" s="76">
        <v>2.0</v>
      </c>
      <c r="K2359" s="46"/>
      <c r="L2359" s="76" t="s">
        <v>9804</v>
      </c>
      <c r="M2359" s="44">
        <v>1.0</v>
      </c>
      <c r="N2359" s="45"/>
      <c r="O2359" s="20"/>
      <c r="P2359" s="20"/>
      <c r="Q2359" s="20"/>
      <c r="R2359" s="20"/>
      <c r="S2359" s="20"/>
    </row>
    <row r="2360">
      <c r="A2360" s="49" t="s">
        <v>9805</v>
      </c>
      <c r="B2360" s="110">
        <v>46222.0</v>
      </c>
      <c r="C2360" s="49" t="s">
        <v>9806</v>
      </c>
      <c r="D2360" s="102" t="s">
        <v>9807</v>
      </c>
      <c r="E2360" s="25" t="s">
        <v>17</v>
      </c>
      <c r="F2360" s="25" t="s">
        <v>129</v>
      </c>
      <c r="G2360" s="25" t="s">
        <v>29</v>
      </c>
      <c r="H2360" s="49" t="s">
        <v>3175</v>
      </c>
      <c r="I2360" s="23"/>
      <c r="J2360" s="136">
        <v>46178.0</v>
      </c>
      <c r="K2360" s="30"/>
      <c r="L2360" s="49" t="s">
        <v>9808</v>
      </c>
      <c r="M2360" s="50">
        <v>1.0</v>
      </c>
      <c r="N2360" s="51"/>
      <c r="O2360" s="20"/>
      <c r="P2360" s="20"/>
      <c r="Q2360" s="20"/>
      <c r="R2360" s="20"/>
      <c r="S2360" s="20"/>
    </row>
    <row r="2361">
      <c r="A2361" s="76" t="s">
        <v>9809</v>
      </c>
      <c r="B2361" s="97">
        <v>46221.0</v>
      </c>
      <c r="C2361" s="76" t="s">
        <v>9810</v>
      </c>
      <c r="D2361" s="99" t="s">
        <v>9811</v>
      </c>
      <c r="E2361" s="25" t="s">
        <v>128</v>
      </c>
      <c r="F2361" s="25" t="s">
        <v>129</v>
      </c>
      <c r="G2361" s="25" t="s">
        <v>29</v>
      </c>
      <c r="H2361" s="76" t="s">
        <v>4645</v>
      </c>
      <c r="I2361" s="76" t="s">
        <v>9812</v>
      </c>
      <c r="J2361" s="76">
        <v>2.0</v>
      </c>
      <c r="K2361" s="46"/>
      <c r="L2361" s="76" t="s">
        <v>9336</v>
      </c>
      <c r="M2361" s="44">
        <v>1.0</v>
      </c>
      <c r="N2361" s="45"/>
      <c r="O2361" s="20"/>
      <c r="P2361" s="20"/>
      <c r="Q2361" s="20"/>
      <c r="R2361" s="20"/>
      <c r="S2361" s="20"/>
    </row>
    <row r="2362">
      <c r="A2362" s="49" t="s">
        <v>9813</v>
      </c>
      <c r="B2362" s="110">
        <v>46222.0</v>
      </c>
      <c r="C2362" s="49" t="s">
        <v>9814</v>
      </c>
      <c r="D2362" s="102" t="s">
        <v>9815</v>
      </c>
      <c r="E2362" s="25" t="s">
        <v>17</v>
      </c>
      <c r="F2362" s="25" t="s">
        <v>983</v>
      </c>
      <c r="G2362" s="25" t="s">
        <v>42</v>
      </c>
      <c r="H2362" s="49" t="s">
        <v>9816</v>
      </c>
      <c r="I2362" s="101">
        <v>46227.0</v>
      </c>
      <c r="J2362" s="49">
        <v>2.0</v>
      </c>
      <c r="K2362" s="36">
        <v>900000.0</v>
      </c>
      <c r="L2362" s="49" t="s">
        <v>9817</v>
      </c>
      <c r="M2362" s="50">
        <v>8.0</v>
      </c>
      <c r="N2362" s="51"/>
      <c r="O2362" s="20"/>
      <c r="P2362" s="20"/>
      <c r="Q2362" s="20"/>
      <c r="R2362" s="20"/>
      <c r="S2362" s="20"/>
    </row>
    <row r="2363">
      <c r="A2363" s="76" t="s">
        <v>9818</v>
      </c>
      <c r="B2363" s="97">
        <v>46221.0</v>
      </c>
      <c r="C2363" s="76" t="s">
        <v>9819</v>
      </c>
      <c r="D2363" s="99" t="s">
        <v>9820</v>
      </c>
      <c r="E2363" s="25" t="s">
        <v>17</v>
      </c>
      <c r="F2363" s="25" t="s">
        <v>18</v>
      </c>
      <c r="G2363" s="25" t="s">
        <v>42</v>
      </c>
      <c r="H2363" s="76" t="s">
        <v>9821</v>
      </c>
      <c r="I2363" s="118">
        <v>46225.0</v>
      </c>
      <c r="J2363" s="76">
        <v>2.0</v>
      </c>
      <c r="K2363" s="46">
        <f>614000*2</f>
        <v>1228000</v>
      </c>
      <c r="L2363" s="76" t="s">
        <v>840</v>
      </c>
      <c r="M2363" s="44">
        <v>8.0</v>
      </c>
      <c r="N2363" s="45"/>
      <c r="O2363" s="20"/>
      <c r="P2363" s="20"/>
      <c r="Q2363" s="20"/>
      <c r="R2363" s="20"/>
      <c r="S2363" s="20"/>
    </row>
    <row r="2364">
      <c r="A2364" s="49" t="s">
        <v>9822</v>
      </c>
      <c r="B2364" s="110">
        <v>46221.0</v>
      </c>
      <c r="C2364" s="49" t="s">
        <v>9823</v>
      </c>
      <c r="D2364" s="102" t="s">
        <v>9824</v>
      </c>
      <c r="E2364" s="25" t="s">
        <v>122</v>
      </c>
      <c r="F2364" s="25" t="s">
        <v>18</v>
      </c>
      <c r="G2364" s="25" t="s">
        <v>42</v>
      </c>
      <c r="H2364" s="49" t="s">
        <v>3429</v>
      </c>
      <c r="I2364" s="101">
        <v>46255.0</v>
      </c>
      <c r="J2364" s="49">
        <v>3.0</v>
      </c>
      <c r="K2364" s="30">
        <f>2134000*3</f>
        <v>6402000</v>
      </c>
      <c r="L2364" s="49" t="s">
        <v>9825</v>
      </c>
      <c r="M2364" s="50">
        <v>8.0</v>
      </c>
      <c r="N2364" s="51"/>
      <c r="O2364" s="20"/>
      <c r="P2364" s="20"/>
      <c r="Q2364" s="20"/>
      <c r="R2364" s="20"/>
      <c r="S2364" s="20"/>
    </row>
    <row r="2365">
      <c r="A2365" s="76" t="s">
        <v>9826</v>
      </c>
      <c r="B2365" s="97">
        <v>46222.0</v>
      </c>
      <c r="C2365" s="76" t="s">
        <v>9827</v>
      </c>
      <c r="D2365" s="99" t="s">
        <v>9828</v>
      </c>
      <c r="E2365" s="25" t="s">
        <v>17</v>
      </c>
      <c r="F2365" s="25" t="s">
        <v>18</v>
      </c>
      <c r="G2365" s="25" t="s">
        <v>29</v>
      </c>
      <c r="H2365" s="76" t="s">
        <v>152</v>
      </c>
      <c r="I2365" s="76" t="s">
        <v>9829</v>
      </c>
      <c r="J2365" s="76">
        <v>4.0</v>
      </c>
      <c r="K2365" s="46"/>
      <c r="L2365" s="76" t="s">
        <v>9830</v>
      </c>
      <c r="M2365" s="44">
        <v>1.0</v>
      </c>
      <c r="N2365" s="45"/>
      <c r="O2365" s="20"/>
      <c r="P2365" s="20"/>
      <c r="Q2365" s="20"/>
      <c r="R2365" s="20"/>
      <c r="S2365" s="20"/>
    </row>
    <row r="2366">
      <c r="A2366" s="49" t="s">
        <v>9831</v>
      </c>
      <c r="B2366" s="110">
        <v>46222.0</v>
      </c>
      <c r="C2366" s="49" t="s">
        <v>9832</v>
      </c>
      <c r="D2366" s="102" t="s">
        <v>9833</v>
      </c>
      <c r="E2366" s="25" t="s">
        <v>128</v>
      </c>
      <c r="F2366" s="25" t="s">
        <v>18</v>
      </c>
      <c r="G2366" s="25" t="s">
        <v>34</v>
      </c>
      <c r="H2366" s="49" t="s">
        <v>9834</v>
      </c>
      <c r="I2366" s="49" t="s">
        <v>6392</v>
      </c>
      <c r="J2366" s="49">
        <v>18.0</v>
      </c>
      <c r="K2366" s="30"/>
      <c r="L2366" s="49" t="s">
        <v>8009</v>
      </c>
      <c r="M2366" s="50">
        <v>2.0</v>
      </c>
      <c r="N2366" s="51"/>
      <c r="O2366" s="20"/>
      <c r="P2366" s="20"/>
      <c r="Q2366" s="20"/>
      <c r="R2366" s="20"/>
      <c r="S2366" s="20"/>
    </row>
    <row r="2367">
      <c r="A2367" s="76" t="s">
        <v>9835</v>
      </c>
      <c r="B2367" s="97">
        <v>46222.0</v>
      </c>
      <c r="C2367" s="76" t="s">
        <v>9836</v>
      </c>
      <c r="D2367" s="99" t="s">
        <v>9837</v>
      </c>
      <c r="E2367" s="25" t="s">
        <v>17</v>
      </c>
      <c r="F2367" s="25" t="s">
        <v>983</v>
      </c>
      <c r="G2367" s="25" t="s">
        <v>34</v>
      </c>
      <c r="H2367" s="76" t="s">
        <v>9838</v>
      </c>
      <c r="I2367" s="10"/>
      <c r="J2367" s="76"/>
      <c r="K2367" s="19"/>
      <c r="L2367" s="10"/>
      <c r="M2367" s="44">
        <v>2.0</v>
      </c>
      <c r="N2367" s="45"/>
      <c r="O2367" s="20"/>
      <c r="P2367" s="20"/>
      <c r="Q2367" s="20"/>
      <c r="R2367" s="20"/>
      <c r="S2367" s="20"/>
    </row>
    <row r="2368">
      <c r="A2368" s="49" t="s">
        <v>9839</v>
      </c>
      <c r="B2368" s="110">
        <v>46222.0</v>
      </c>
      <c r="C2368" s="49" t="s">
        <v>9840</v>
      </c>
      <c r="D2368" s="102" t="s">
        <v>9841</v>
      </c>
      <c r="E2368" s="25" t="s">
        <v>869</v>
      </c>
      <c r="F2368" s="25" t="s">
        <v>983</v>
      </c>
      <c r="G2368" s="25" t="s">
        <v>34</v>
      </c>
      <c r="H2368" s="49" t="s">
        <v>9842</v>
      </c>
      <c r="I2368" s="23"/>
      <c r="J2368" s="49">
        <v>2.0</v>
      </c>
      <c r="K2368" s="36">
        <v>7000000.0</v>
      </c>
      <c r="L2368" s="23"/>
      <c r="M2368" s="50">
        <v>2.0</v>
      </c>
      <c r="N2368" s="51"/>
      <c r="O2368" s="20"/>
      <c r="P2368" s="20"/>
      <c r="Q2368" s="20"/>
      <c r="R2368" s="20"/>
      <c r="S2368" s="20"/>
    </row>
    <row r="2369">
      <c r="A2369" s="76" t="s">
        <v>9843</v>
      </c>
      <c r="B2369" s="97">
        <v>46222.0</v>
      </c>
      <c r="C2369" s="76" t="s">
        <v>3283</v>
      </c>
      <c r="D2369" s="99" t="s">
        <v>9844</v>
      </c>
      <c r="E2369" s="25" t="s">
        <v>17</v>
      </c>
      <c r="F2369" s="25" t="s">
        <v>18</v>
      </c>
      <c r="G2369" s="25" t="s">
        <v>29</v>
      </c>
      <c r="H2369" s="10"/>
      <c r="I2369" s="76" t="s">
        <v>702</v>
      </c>
      <c r="J2369" s="10"/>
      <c r="K2369" s="46"/>
      <c r="L2369" s="76" t="s">
        <v>9845</v>
      </c>
      <c r="M2369" s="44">
        <v>1.0</v>
      </c>
      <c r="N2369" s="45"/>
      <c r="O2369" s="20"/>
      <c r="P2369" s="20"/>
      <c r="Q2369" s="20"/>
      <c r="R2369" s="20"/>
      <c r="S2369" s="20"/>
    </row>
    <row r="2370">
      <c r="A2370" s="49" t="s">
        <v>9846</v>
      </c>
      <c r="B2370" s="110">
        <v>46222.0</v>
      </c>
      <c r="C2370" s="49" t="s">
        <v>9847</v>
      </c>
      <c r="D2370" s="102" t="s">
        <v>9848</v>
      </c>
      <c r="E2370" s="25" t="s">
        <v>128</v>
      </c>
      <c r="F2370" s="25" t="s">
        <v>129</v>
      </c>
      <c r="G2370" s="25" t="s">
        <v>29</v>
      </c>
      <c r="H2370" s="23"/>
      <c r="I2370" s="23"/>
      <c r="J2370" s="23"/>
      <c r="K2370" s="30"/>
      <c r="L2370" s="49" t="s">
        <v>7542</v>
      </c>
      <c r="M2370" s="50">
        <v>1.0</v>
      </c>
      <c r="N2370" s="51"/>
      <c r="O2370" s="20"/>
      <c r="P2370" s="20"/>
      <c r="Q2370" s="20"/>
      <c r="R2370" s="20"/>
      <c r="S2370" s="20"/>
    </row>
    <row r="2371">
      <c r="A2371" s="76" t="s">
        <v>9849</v>
      </c>
      <c r="B2371" s="97">
        <v>46222.0</v>
      </c>
      <c r="C2371" s="76" t="s">
        <v>9850</v>
      </c>
      <c r="D2371" s="99" t="s">
        <v>9851</v>
      </c>
      <c r="E2371" s="25" t="s">
        <v>122</v>
      </c>
      <c r="F2371" s="25" t="s">
        <v>129</v>
      </c>
      <c r="G2371" s="25" t="s">
        <v>29</v>
      </c>
      <c r="H2371" s="76" t="s">
        <v>9852</v>
      </c>
      <c r="I2371" s="118">
        <v>46241.0</v>
      </c>
      <c r="J2371" s="76">
        <v>1.0</v>
      </c>
      <c r="K2371" s="46"/>
      <c r="L2371" s="76" t="s">
        <v>777</v>
      </c>
      <c r="M2371" s="44">
        <v>1.0</v>
      </c>
      <c r="N2371" s="45"/>
      <c r="O2371" s="20"/>
      <c r="P2371" s="20"/>
      <c r="Q2371" s="20"/>
      <c r="R2371" s="20"/>
      <c r="S2371" s="20"/>
    </row>
    <row r="2372">
      <c r="A2372" s="49" t="s">
        <v>9853</v>
      </c>
      <c r="B2372" s="110">
        <v>46222.0</v>
      </c>
      <c r="C2372" s="49" t="s">
        <v>9854</v>
      </c>
      <c r="D2372" s="102" t="s">
        <v>9855</v>
      </c>
      <c r="E2372" s="25" t="s">
        <v>17</v>
      </c>
      <c r="F2372" s="25" t="s">
        <v>129</v>
      </c>
      <c r="G2372" s="25" t="s">
        <v>19</v>
      </c>
      <c r="H2372" s="49" t="s">
        <v>3032</v>
      </c>
      <c r="I2372" s="101">
        <v>46233.0</v>
      </c>
      <c r="J2372" s="49">
        <v>4.0</v>
      </c>
      <c r="K2372" s="36">
        <v>9900000.0</v>
      </c>
      <c r="L2372" s="49" t="s">
        <v>9856</v>
      </c>
      <c r="M2372" s="50">
        <v>7.0</v>
      </c>
      <c r="N2372" s="51"/>
      <c r="O2372" s="20"/>
      <c r="P2372" s="20"/>
      <c r="Q2372" s="20"/>
      <c r="R2372" s="20"/>
      <c r="S2372" s="20"/>
    </row>
    <row r="2373">
      <c r="A2373" s="76" t="s">
        <v>9857</v>
      </c>
      <c r="B2373" s="97">
        <v>46223.0</v>
      </c>
      <c r="C2373" s="76" t="s">
        <v>9858</v>
      </c>
      <c r="D2373" s="99" t="s">
        <v>9859</v>
      </c>
      <c r="E2373" s="25" t="s">
        <v>128</v>
      </c>
      <c r="F2373" s="25" t="s">
        <v>129</v>
      </c>
      <c r="G2373" s="25" t="s">
        <v>19</v>
      </c>
      <c r="H2373" s="76" t="s">
        <v>9702</v>
      </c>
      <c r="I2373" s="118">
        <v>46226.0</v>
      </c>
      <c r="J2373" s="76">
        <v>2.0</v>
      </c>
      <c r="K2373" s="19">
        <v>800000.0</v>
      </c>
      <c r="L2373" s="76" t="s">
        <v>6194</v>
      </c>
      <c r="M2373" s="44">
        <v>7.0</v>
      </c>
      <c r="N2373" s="45"/>
      <c r="O2373" s="20"/>
      <c r="P2373" s="20"/>
      <c r="Q2373" s="20"/>
      <c r="R2373" s="20"/>
      <c r="S2373" s="20"/>
    </row>
    <row r="2374">
      <c r="A2374" s="49" t="s">
        <v>9860</v>
      </c>
      <c r="B2374" s="110">
        <v>46222.0</v>
      </c>
      <c r="C2374" s="49" t="s">
        <v>9861</v>
      </c>
      <c r="D2374" s="102" t="s">
        <v>9862</v>
      </c>
      <c r="E2374" s="25" t="s">
        <v>128</v>
      </c>
      <c r="F2374" s="25" t="s">
        <v>129</v>
      </c>
      <c r="G2374" s="25" t="s">
        <v>19</v>
      </c>
      <c r="H2374" s="49" t="s">
        <v>3032</v>
      </c>
      <c r="I2374" s="101">
        <v>46233.0</v>
      </c>
      <c r="J2374" s="49">
        <v>4.0</v>
      </c>
      <c r="K2374" s="30">
        <f>SUM(2475000*4)</f>
        <v>9900000</v>
      </c>
      <c r="L2374" s="49" t="s">
        <v>9863</v>
      </c>
      <c r="M2374" s="50">
        <v>7.0</v>
      </c>
      <c r="N2374" s="51"/>
      <c r="O2374" s="20"/>
      <c r="P2374" s="20"/>
      <c r="Q2374" s="20"/>
      <c r="R2374" s="20"/>
      <c r="S2374" s="20"/>
    </row>
    <row r="2375">
      <c r="A2375" s="76" t="s">
        <v>9864</v>
      </c>
      <c r="B2375" s="97">
        <v>46223.0</v>
      </c>
      <c r="C2375" s="76" t="s">
        <v>1817</v>
      </c>
      <c r="D2375" s="99" t="s">
        <v>9865</v>
      </c>
      <c r="E2375" s="25" t="s">
        <v>17</v>
      </c>
      <c r="F2375" s="25" t="s">
        <v>18</v>
      </c>
      <c r="G2375" s="25" t="s">
        <v>29</v>
      </c>
      <c r="H2375" s="76" t="s">
        <v>172</v>
      </c>
      <c r="I2375" s="76" t="s">
        <v>4799</v>
      </c>
      <c r="J2375" s="76">
        <v>2.0</v>
      </c>
      <c r="K2375" s="46"/>
      <c r="L2375" s="10"/>
      <c r="M2375" s="44">
        <v>1.0</v>
      </c>
      <c r="N2375" s="45"/>
      <c r="O2375" s="20"/>
      <c r="P2375" s="20"/>
      <c r="Q2375" s="20"/>
      <c r="R2375" s="20"/>
      <c r="S2375" s="20"/>
    </row>
    <row r="2376">
      <c r="A2376" s="49" t="s">
        <v>9866</v>
      </c>
      <c r="B2376" s="110">
        <v>46223.0</v>
      </c>
      <c r="C2376" s="49" t="s">
        <v>9867</v>
      </c>
      <c r="D2376" s="102" t="s">
        <v>9868</v>
      </c>
      <c r="E2376" s="25" t="s">
        <v>17</v>
      </c>
      <c r="F2376" s="25" t="s">
        <v>983</v>
      </c>
      <c r="G2376" s="25" t="s">
        <v>29</v>
      </c>
      <c r="H2376" s="23"/>
      <c r="I2376" s="23"/>
      <c r="J2376" s="23"/>
      <c r="K2376" s="30"/>
      <c r="L2376" s="23"/>
      <c r="M2376" s="50">
        <v>1.0</v>
      </c>
      <c r="N2376" s="51"/>
      <c r="O2376" s="20"/>
      <c r="P2376" s="20"/>
      <c r="Q2376" s="20"/>
      <c r="R2376" s="20"/>
      <c r="S2376" s="20"/>
    </row>
    <row r="2377">
      <c r="A2377" s="76" t="s">
        <v>9869</v>
      </c>
      <c r="B2377" s="97">
        <v>46223.0</v>
      </c>
      <c r="C2377" s="76" t="s">
        <v>9870</v>
      </c>
      <c r="D2377" s="99" t="s">
        <v>9871</v>
      </c>
      <c r="E2377" s="25" t="s">
        <v>17</v>
      </c>
      <c r="F2377" s="25" t="s">
        <v>983</v>
      </c>
      <c r="G2377" s="25" t="s">
        <v>29</v>
      </c>
      <c r="H2377" s="10"/>
      <c r="I2377" s="10"/>
      <c r="J2377" s="10"/>
      <c r="K2377" s="46"/>
      <c r="L2377" s="10"/>
      <c r="M2377" s="44">
        <v>1.0</v>
      </c>
      <c r="N2377" s="45"/>
      <c r="O2377" s="20"/>
      <c r="P2377" s="20"/>
      <c r="Q2377" s="20"/>
      <c r="R2377" s="20"/>
      <c r="S2377" s="20"/>
    </row>
    <row r="2378">
      <c r="A2378" s="49" t="s">
        <v>9872</v>
      </c>
      <c r="B2378" s="110">
        <v>46223.0</v>
      </c>
      <c r="C2378" s="49" t="s">
        <v>9873</v>
      </c>
      <c r="D2378" s="102" t="s">
        <v>9874</v>
      </c>
      <c r="E2378" s="25" t="s">
        <v>128</v>
      </c>
      <c r="F2378" s="25" t="s">
        <v>18</v>
      </c>
      <c r="G2378" s="25" t="s">
        <v>34</v>
      </c>
      <c r="H2378" s="49" t="s">
        <v>3395</v>
      </c>
      <c r="I2378" s="101">
        <v>46250.0</v>
      </c>
      <c r="J2378" s="49">
        <v>3.0</v>
      </c>
      <c r="K2378" s="30">
        <f>1170000*3</f>
        <v>3510000</v>
      </c>
      <c r="L2378" s="49" t="s">
        <v>9561</v>
      </c>
      <c r="M2378" s="50">
        <v>2.0</v>
      </c>
      <c r="N2378" s="51"/>
      <c r="O2378" s="20"/>
      <c r="P2378" s="20"/>
      <c r="Q2378" s="20"/>
      <c r="R2378" s="20"/>
      <c r="S2378" s="20"/>
    </row>
    <row r="2379">
      <c r="A2379" s="76" t="s">
        <v>9875</v>
      </c>
      <c r="B2379" s="97">
        <v>46223.0</v>
      </c>
      <c r="C2379" s="76" t="s">
        <v>9876</v>
      </c>
      <c r="D2379" s="99" t="s">
        <v>9877</v>
      </c>
      <c r="E2379" s="25" t="s">
        <v>17</v>
      </c>
      <c r="F2379" s="25" t="s">
        <v>983</v>
      </c>
      <c r="G2379" s="25" t="s">
        <v>34</v>
      </c>
      <c r="H2379" s="76" t="s">
        <v>9878</v>
      </c>
      <c r="I2379" s="118">
        <v>46249.0</v>
      </c>
      <c r="J2379" s="76">
        <v>2.0</v>
      </c>
      <c r="L2379" s="76" t="s">
        <v>9830</v>
      </c>
      <c r="M2379" s="44">
        <v>2.0</v>
      </c>
      <c r="N2379" s="45"/>
      <c r="O2379" s="20"/>
      <c r="P2379" s="20"/>
      <c r="Q2379" s="20"/>
      <c r="R2379" s="20"/>
      <c r="S2379" s="20"/>
    </row>
    <row r="2380">
      <c r="A2380" s="49" t="s">
        <v>9879</v>
      </c>
      <c r="B2380" s="110">
        <v>46223.0</v>
      </c>
      <c r="C2380" s="49" t="s">
        <v>9880</v>
      </c>
      <c r="D2380" s="102" t="s">
        <v>9881</v>
      </c>
      <c r="E2380" s="25" t="s">
        <v>17</v>
      </c>
      <c r="F2380" s="25" t="s">
        <v>18</v>
      </c>
      <c r="G2380" s="25" t="s">
        <v>42</v>
      </c>
      <c r="H2380" s="49" t="s">
        <v>350</v>
      </c>
      <c r="I2380" s="30"/>
      <c r="J2380" s="49">
        <v>4.0</v>
      </c>
      <c r="L2380" s="49" t="s">
        <v>1927</v>
      </c>
      <c r="M2380" s="50">
        <v>8.0</v>
      </c>
      <c r="N2380" s="51"/>
      <c r="O2380" s="20"/>
      <c r="P2380" s="20"/>
      <c r="Q2380" s="20"/>
      <c r="R2380" s="20"/>
      <c r="S2380" s="20"/>
    </row>
    <row r="2381">
      <c r="A2381" s="76" t="s">
        <v>9882</v>
      </c>
      <c r="B2381" s="97">
        <v>46223.0</v>
      </c>
      <c r="C2381" s="76" t="s">
        <v>4278</v>
      </c>
      <c r="D2381" s="99" t="s">
        <v>9883</v>
      </c>
      <c r="E2381" s="25" t="s">
        <v>128</v>
      </c>
      <c r="F2381" s="25" t="s">
        <v>18</v>
      </c>
      <c r="G2381" s="25" t="s">
        <v>29</v>
      </c>
      <c r="H2381" s="76" t="s">
        <v>5957</v>
      </c>
      <c r="I2381" s="10"/>
      <c r="J2381" s="76">
        <v>2.0</v>
      </c>
      <c r="K2381" s="46">
        <f>3064000*2</f>
        <v>6128000</v>
      </c>
      <c r="L2381" s="76" t="s">
        <v>9388</v>
      </c>
      <c r="M2381" s="44">
        <v>1.0</v>
      </c>
      <c r="N2381" s="45"/>
      <c r="O2381" s="20"/>
      <c r="P2381" s="20"/>
      <c r="Q2381" s="20"/>
      <c r="R2381" s="20"/>
      <c r="S2381" s="20"/>
    </row>
    <row r="2382">
      <c r="A2382" s="49" t="s">
        <v>9884</v>
      </c>
      <c r="B2382" s="110">
        <v>46224.0</v>
      </c>
      <c r="C2382" s="49" t="s">
        <v>9885</v>
      </c>
      <c r="D2382" s="102" t="s">
        <v>9886</v>
      </c>
      <c r="E2382" s="25" t="s">
        <v>128</v>
      </c>
      <c r="F2382" s="25" t="s">
        <v>18</v>
      </c>
      <c r="G2382" s="25" t="s">
        <v>49</v>
      </c>
      <c r="H2382" s="49" t="s">
        <v>9887</v>
      </c>
      <c r="I2382" s="49" t="s">
        <v>9888</v>
      </c>
      <c r="J2382" s="49">
        <v>2.0</v>
      </c>
      <c r="K2382" s="46">
        <f>850000*2</f>
        <v>1700000</v>
      </c>
      <c r="L2382" s="49" t="s">
        <v>9710</v>
      </c>
      <c r="M2382" s="50">
        <v>4.0</v>
      </c>
      <c r="N2382" s="51"/>
      <c r="O2382" s="20"/>
      <c r="P2382" s="20"/>
      <c r="Q2382" s="20"/>
      <c r="R2382" s="20"/>
      <c r="S2382" s="20"/>
    </row>
    <row r="2383">
      <c r="A2383" s="76" t="s">
        <v>9889</v>
      </c>
      <c r="B2383" s="97">
        <v>46224.0</v>
      </c>
      <c r="C2383" s="76" t="s">
        <v>9890</v>
      </c>
      <c r="D2383" s="99" t="s">
        <v>9891</v>
      </c>
      <c r="E2383" s="25" t="s">
        <v>128</v>
      </c>
      <c r="F2383" s="25" t="s">
        <v>129</v>
      </c>
      <c r="G2383" s="25" t="s">
        <v>19</v>
      </c>
      <c r="H2383" s="76" t="s">
        <v>747</v>
      </c>
      <c r="I2383" s="118">
        <v>46228.0</v>
      </c>
      <c r="J2383" s="76">
        <v>10.0</v>
      </c>
      <c r="K2383" s="46">
        <f>SUM(275000*10)</f>
        <v>2750000</v>
      </c>
      <c r="L2383" s="76" t="s">
        <v>9639</v>
      </c>
      <c r="M2383" s="44">
        <v>7.0</v>
      </c>
      <c r="N2383" s="45"/>
      <c r="O2383" s="20"/>
      <c r="P2383" s="20"/>
      <c r="Q2383" s="20"/>
      <c r="R2383" s="20"/>
      <c r="S2383" s="20"/>
    </row>
    <row r="2384">
      <c r="A2384" s="49" t="s">
        <v>9892</v>
      </c>
      <c r="B2384" s="110">
        <v>46224.0</v>
      </c>
      <c r="C2384" s="49" t="s">
        <v>2672</v>
      </c>
      <c r="D2384" s="102" t="s">
        <v>7400</v>
      </c>
      <c r="E2384" s="25" t="s">
        <v>128</v>
      </c>
      <c r="F2384" s="25" t="s">
        <v>18</v>
      </c>
      <c r="G2384" s="25" t="s">
        <v>29</v>
      </c>
      <c r="H2384" s="49" t="s">
        <v>9893</v>
      </c>
      <c r="I2384" s="23"/>
      <c r="J2384" s="49">
        <v>2.0</v>
      </c>
      <c r="K2384" s="30"/>
      <c r="L2384" s="49" t="s">
        <v>9611</v>
      </c>
      <c r="M2384" s="50">
        <v>1.0</v>
      </c>
      <c r="N2384" s="51"/>
      <c r="O2384" s="20"/>
      <c r="P2384" s="20"/>
      <c r="Q2384" s="20"/>
      <c r="R2384" s="20"/>
      <c r="S2384" s="20"/>
    </row>
    <row r="2385">
      <c r="A2385" s="76" t="s">
        <v>9894</v>
      </c>
      <c r="B2385" s="97">
        <v>46224.0</v>
      </c>
      <c r="C2385" s="76" t="s">
        <v>9895</v>
      </c>
      <c r="D2385" s="99" t="s">
        <v>9896</v>
      </c>
      <c r="E2385" s="25" t="s">
        <v>17</v>
      </c>
      <c r="F2385" s="25" t="s">
        <v>18</v>
      </c>
      <c r="G2385" s="25" t="s">
        <v>42</v>
      </c>
      <c r="H2385" s="76" t="s">
        <v>9897</v>
      </c>
      <c r="I2385" s="10"/>
      <c r="J2385" s="76">
        <v>3.0</v>
      </c>
      <c r="K2385" s="46">
        <f>820000*3</f>
        <v>2460000</v>
      </c>
      <c r="L2385" s="76" t="s">
        <v>840</v>
      </c>
      <c r="M2385" s="44">
        <v>8.0</v>
      </c>
      <c r="N2385" s="45"/>
      <c r="O2385" s="20"/>
      <c r="P2385" s="20"/>
      <c r="Q2385" s="20"/>
      <c r="R2385" s="20"/>
      <c r="S2385" s="20"/>
    </row>
    <row r="2386">
      <c r="A2386" s="49" t="s">
        <v>9898</v>
      </c>
      <c r="B2386" s="110">
        <v>46224.0</v>
      </c>
      <c r="C2386" s="68" t="s">
        <v>9899</v>
      </c>
      <c r="D2386" s="102" t="s">
        <v>9900</v>
      </c>
      <c r="E2386" s="25" t="s">
        <v>17</v>
      </c>
      <c r="F2386" s="25" t="s">
        <v>18</v>
      </c>
      <c r="G2386" s="25" t="s">
        <v>19</v>
      </c>
      <c r="H2386" s="49" t="s">
        <v>3317</v>
      </c>
      <c r="I2386" s="49" t="s">
        <v>7179</v>
      </c>
      <c r="J2386" s="49">
        <v>1.0</v>
      </c>
      <c r="K2386" s="30">
        <f>2620000</f>
        <v>2620000</v>
      </c>
      <c r="L2386" s="49" t="s">
        <v>9901</v>
      </c>
      <c r="M2386" s="50">
        <v>7.0</v>
      </c>
      <c r="N2386" s="51"/>
      <c r="O2386" s="20"/>
      <c r="P2386" s="20"/>
      <c r="Q2386" s="20"/>
      <c r="R2386" s="20"/>
      <c r="S2386" s="20"/>
    </row>
    <row r="2387">
      <c r="A2387" s="76" t="s">
        <v>9902</v>
      </c>
      <c r="B2387" s="97">
        <v>46226.0</v>
      </c>
      <c r="C2387" s="76" t="s">
        <v>700</v>
      </c>
      <c r="D2387" s="99" t="s">
        <v>9903</v>
      </c>
      <c r="E2387" s="25" t="s">
        <v>128</v>
      </c>
      <c r="F2387" s="25" t="s">
        <v>18</v>
      </c>
      <c r="G2387" s="25" t="s">
        <v>29</v>
      </c>
      <c r="H2387" s="76" t="s">
        <v>8693</v>
      </c>
      <c r="I2387" s="76"/>
      <c r="J2387" s="76">
        <v>2.0</v>
      </c>
      <c r="K2387" s="46">
        <f>850000*2</f>
        <v>1700000</v>
      </c>
      <c r="L2387" s="76" t="s">
        <v>9904</v>
      </c>
      <c r="M2387" s="44">
        <v>1.0</v>
      </c>
      <c r="N2387" s="45"/>
      <c r="O2387" s="20"/>
      <c r="P2387" s="20"/>
      <c r="Q2387" s="20"/>
      <c r="R2387" s="20"/>
      <c r="S2387" s="20"/>
    </row>
    <row r="2388">
      <c r="A2388" s="49" t="s">
        <v>9905</v>
      </c>
      <c r="B2388" s="110">
        <v>46225.0</v>
      </c>
      <c r="C2388" s="49" t="s">
        <v>9906</v>
      </c>
      <c r="D2388" s="102" t="s">
        <v>9907</v>
      </c>
      <c r="E2388" s="25" t="s">
        <v>128</v>
      </c>
      <c r="F2388" s="25" t="s">
        <v>18</v>
      </c>
      <c r="G2388" s="25" t="s">
        <v>34</v>
      </c>
      <c r="H2388" s="49" t="s">
        <v>9908</v>
      </c>
      <c r="I2388" s="49" t="s">
        <v>7179</v>
      </c>
      <c r="J2388" s="49">
        <v>2.0</v>
      </c>
      <c r="K2388" s="30"/>
      <c r="L2388" s="23"/>
      <c r="M2388" s="50">
        <v>2.0</v>
      </c>
      <c r="N2388" s="51"/>
      <c r="O2388" s="20"/>
      <c r="P2388" s="20"/>
      <c r="Q2388" s="20"/>
      <c r="R2388" s="20"/>
      <c r="S2388" s="20"/>
    </row>
    <row r="2389">
      <c r="A2389" s="76" t="s">
        <v>9909</v>
      </c>
      <c r="B2389" s="97">
        <v>46225.0</v>
      </c>
      <c r="C2389" s="76" t="s">
        <v>9910</v>
      </c>
      <c r="D2389" s="99" t="s">
        <v>9911</v>
      </c>
      <c r="E2389" s="25" t="s">
        <v>128</v>
      </c>
      <c r="F2389" s="25" t="s">
        <v>18</v>
      </c>
      <c r="G2389" s="25" t="s">
        <v>29</v>
      </c>
      <c r="H2389" s="76" t="s">
        <v>6510</v>
      </c>
      <c r="I2389" s="118">
        <v>46254.0</v>
      </c>
      <c r="J2389" s="76">
        <v>2.0</v>
      </c>
      <c r="K2389" s="46"/>
      <c r="L2389" s="10"/>
      <c r="M2389" s="44">
        <v>1.0</v>
      </c>
      <c r="N2389" s="45"/>
      <c r="O2389" s="20"/>
      <c r="P2389" s="20"/>
      <c r="Q2389" s="20"/>
      <c r="R2389" s="20"/>
      <c r="S2389" s="20"/>
    </row>
    <row r="2390">
      <c r="A2390" s="49" t="s">
        <v>9912</v>
      </c>
      <c r="B2390" s="110">
        <v>46225.0</v>
      </c>
      <c r="C2390" s="49" t="s">
        <v>9913</v>
      </c>
      <c r="D2390" s="102" t="s">
        <v>9914</v>
      </c>
      <c r="E2390" s="25" t="s">
        <v>128</v>
      </c>
      <c r="F2390" s="25" t="s">
        <v>18</v>
      </c>
      <c r="G2390" s="25" t="s">
        <v>19</v>
      </c>
      <c r="H2390" s="49" t="s">
        <v>9915</v>
      </c>
      <c r="I2390" s="101">
        <v>46227.0</v>
      </c>
      <c r="J2390" s="49">
        <v>1.0</v>
      </c>
      <c r="K2390" s="30">
        <f>400000+250000</f>
        <v>650000</v>
      </c>
      <c r="L2390" s="49" t="s">
        <v>1803</v>
      </c>
      <c r="M2390" s="50">
        <v>7.0</v>
      </c>
      <c r="N2390" s="51"/>
      <c r="O2390" s="20"/>
      <c r="P2390" s="20"/>
      <c r="Q2390" s="20"/>
      <c r="R2390" s="20"/>
      <c r="S2390" s="20"/>
    </row>
    <row r="2391">
      <c r="A2391" s="76" t="s">
        <v>9916</v>
      </c>
      <c r="B2391" s="97">
        <v>46225.0</v>
      </c>
      <c r="C2391" s="76" t="s">
        <v>9917</v>
      </c>
      <c r="D2391" s="99" t="s">
        <v>9918</v>
      </c>
      <c r="E2391" s="25" t="s">
        <v>17</v>
      </c>
      <c r="F2391" s="25" t="s">
        <v>983</v>
      </c>
      <c r="G2391" s="25" t="s">
        <v>34</v>
      </c>
      <c r="H2391" s="10"/>
      <c r="I2391" s="76" t="s">
        <v>9919</v>
      </c>
      <c r="J2391" s="76">
        <v>3.0</v>
      </c>
      <c r="K2391" s="46"/>
      <c r="L2391" s="76" t="s">
        <v>9920</v>
      </c>
      <c r="M2391" s="44">
        <v>2.0</v>
      </c>
      <c r="N2391" s="45"/>
      <c r="O2391" s="20"/>
      <c r="P2391" s="20"/>
      <c r="Q2391" s="20"/>
      <c r="R2391" s="20"/>
      <c r="S2391" s="20"/>
    </row>
    <row r="2392">
      <c r="A2392" s="49" t="s">
        <v>9921</v>
      </c>
      <c r="B2392" s="110">
        <v>46223.0</v>
      </c>
      <c r="C2392" s="49" t="s">
        <v>9922</v>
      </c>
      <c r="D2392" s="102" t="s">
        <v>9923</v>
      </c>
      <c r="E2392" s="25" t="s">
        <v>128</v>
      </c>
      <c r="F2392" s="25" t="s">
        <v>129</v>
      </c>
      <c r="G2392" s="25" t="s">
        <v>29</v>
      </c>
      <c r="H2392" s="23"/>
      <c r="I2392" s="23"/>
      <c r="J2392" s="23"/>
      <c r="K2392" s="30"/>
      <c r="L2392" s="49" t="s">
        <v>9924</v>
      </c>
      <c r="M2392" s="50">
        <v>1.0</v>
      </c>
      <c r="N2392" s="51"/>
      <c r="O2392" s="20"/>
      <c r="P2392" s="20"/>
      <c r="Q2392" s="20"/>
      <c r="R2392" s="20"/>
      <c r="S2392" s="20"/>
    </row>
    <row r="2393">
      <c r="A2393" s="76" t="s">
        <v>9925</v>
      </c>
      <c r="B2393" s="97">
        <v>46224.0</v>
      </c>
      <c r="C2393" s="76" t="s">
        <v>9926</v>
      </c>
      <c r="D2393" s="99" t="s">
        <v>9927</v>
      </c>
      <c r="E2393" s="25" t="s">
        <v>128</v>
      </c>
      <c r="F2393" s="25" t="s">
        <v>129</v>
      </c>
      <c r="G2393" s="25" t="s">
        <v>29</v>
      </c>
      <c r="H2393" s="76"/>
      <c r="I2393" s="10"/>
      <c r="J2393" s="10"/>
      <c r="K2393" s="46"/>
      <c r="L2393" s="76" t="s">
        <v>9928</v>
      </c>
      <c r="M2393" s="44">
        <v>1.0</v>
      </c>
      <c r="N2393" s="45"/>
      <c r="O2393" s="20"/>
      <c r="P2393" s="20"/>
      <c r="Q2393" s="20"/>
      <c r="R2393" s="20"/>
      <c r="S2393" s="20"/>
    </row>
    <row r="2394">
      <c r="A2394" s="49" t="s">
        <v>9929</v>
      </c>
      <c r="B2394" s="110">
        <v>46223.0</v>
      </c>
      <c r="C2394" s="49" t="s">
        <v>9930</v>
      </c>
      <c r="D2394" s="102" t="s">
        <v>9865</v>
      </c>
      <c r="E2394" s="25" t="s">
        <v>128</v>
      </c>
      <c r="F2394" s="25" t="s">
        <v>129</v>
      </c>
      <c r="G2394" s="25" t="s">
        <v>29</v>
      </c>
      <c r="H2394" s="76" t="s">
        <v>260</v>
      </c>
      <c r="I2394" s="49" t="s">
        <v>8676</v>
      </c>
      <c r="J2394" s="23"/>
      <c r="K2394" s="30"/>
      <c r="L2394" s="49" t="s">
        <v>9931</v>
      </c>
      <c r="M2394" s="50">
        <v>1.0</v>
      </c>
      <c r="N2394" s="51"/>
      <c r="O2394" s="20"/>
      <c r="P2394" s="20"/>
      <c r="Q2394" s="20"/>
      <c r="R2394" s="20"/>
      <c r="S2394" s="20"/>
    </row>
    <row r="2395">
      <c r="A2395" s="76" t="s">
        <v>9932</v>
      </c>
      <c r="B2395" s="97">
        <v>46224.0</v>
      </c>
      <c r="C2395" s="76" t="s">
        <v>9933</v>
      </c>
      <c r="D2395" s="99" t="s">
        <v>9934</v>
      </c>
      <c r="E2395" s="25" t="s">
        <v>128</v>
      </c>
      <c r="F2395" s="25" t="s">
        <v>129</v>
      </c>
      <c r="G2395" s="25" t="s">
        <v>29</v>
      </c>
      <c r="H2395" s="76" t="s">
        <v>2166</v>
      </c>
      <c r="I2395" s="10"/>
      <c r="J2395" s="10"/>
      <c r="K2395" s="46"/>
      <c r="L2395" s="76" t="s">
        <v>9543</v>
      </c>
      <c r="M2395" s="44">
        <v>1.0</v>
      </c>
      <c r="N2395" s="45"/>
      <c r="O2395" s="20"/>
      <c r="P2395" s="20"/>
      <c r="Q2395" s="20"/>
      <c r="R2395" s="20"/>
      <c r="S2395" s="20"/>
    </row>
    <row r="2396">
      <c r="A2396" s="49" t="s">
        <v>9935</v>
      </c>
      <c r="B2396" s="110">
        <v>46224.0</v>
      </c>
      <c r="C2396" s="49" t="s">
        <v>9936</v>
      </c>
      <c r="D2396" s="102" t="s">
        <v>9937</v>
      </c>
      <c r="E2396" s="25" t="s">
        <v>128</v>
      </c>
      <c r="F2396" s="25" t="s">
        <v>129</v>
      </c>
      <c r="G2396" s="25" t="s">
        <v>29</v>
      </c>
      <c r="H2396" s="49" t="s">
        <v>9852</v>
      </c>
      <c r="I2396" s="101">
        <v>46278.0</v>
      </c>
      <c r="J2396" s="49">
        <v>2.0</v>
      </c>
      <c r="K2396" s="30"/>
      <c r="L2396" s="49" t="s">
        <v>9377</v>
      </c>
      <c r="M2396" s="50">
        <v>1.0</v>
      </c>
      <c r="N2396" s="51"/>
      <c r="O2396" s="20"/>
      <c r="P2396" s="20"/>
      <c r="Q2396" s="20"/>
      <c r="R2396" s="20"/>
      <c r="S2396" s="20"/>
    </row>
    <row r="2397">
      <c r="A2397" s="76" t="s">
        <v>9938</v>
      </c>
      <c r="B2397" s="97">
        <v>46224.0</v>
      </c>
      <c r="C2397" s="76" t="s">
        <v>9939</v>
      </c>
      <c r="D2397" s="99" t="s">
        <v>9940</v>
      </c>
      <c r="E2397" s="25" t="s">
        <v>17</v>
      </c>
      <c r="F2397" s="25" t="s">
        <v>129</v>
      </c>
      <c r="G2397" s="25" t="s">
        <v>42</v>
      </c>
      <c r="H2397" s="10"/>
      <c r="I2397" s="10"/>
      <c r="J2397" s="10"/>
      <c r="K2397" s="46"/>
      <c r="L2397" s="76" t="s">
        <v>9941</v>
      </c>
      <c r="M2397" s="44">
        <v>8.0</v>
      </c>
      <c r="N2397" s="45"/>
      <c r="O2397" s="20"/>
      <c r="P2397" s="20"/>
      <c r="Q2397" s="20"/>
      <c r="R2397" s="20"/>
      <c r="S2397" s="20"/>
    </row>
    <row r="2398">
      <c r="A2398" s="49" t="s">
        <v>9942</v>
      </c>
      <c r="B2398" s="110">
        <v>46224.0</v>
      </c>
      <c r="C2398" s="49" t="s">
        <v>9943</v>
      </c>
      <c r="D2398" s="102" t="s">
        <v>9944</v>
      </c>
      <c r="E2398" s="25" t="s">
        <v>128</v>
      </c>
      <c r="F2398" s="25" t="s">
        <v>129</v>
      </c>
      <c r="G2398" s="25" t="s">
        <v>29</v>
      </c>
      <c r="H2398" s="49" t="s">
        <v>260</v>
      </c>
      <c r="I2398" s="49" t="s">
        <v>4866</v>
      </c>
      <c r="J2398" s="49">
        <v>1.0</v>
      </c>
      <c r="K2398" s="30"/>
      <c r="L2398" s="49" t="s">
        <v>8908</v>
      </c>
      <c r="M2398" s="50">
        <v>1.0</v>
      </c>
      <c r="N2398" s="51"/>
      <c r="O2398" s="20"/>
      <c r="P2398" s="20"/>
      <c r="Q2398" s="20"/>
      <c r="R2398" s="20"/>
      <c r="S2398" s="20"/>
    </row>
    <row r="2399">
      <c r="A2399" s="76" t="s">
        <v>9945</v>
      </c>
      <c r="B2399" s="97">
        <v>46224.0</v>
      </c>
      <c r="C2399" s="76" t="s">
        <v>9946</v>
      </c>
      <c r="D2399" s="99" t="s">
        <v>9947</v>
      </c>
      <c r="E2399" s="25" t="s">
        <v>17</v>
      </c>
      <c r="F2399" s="25" t="s">
        <v>129</v>
      </c>
      <c r="G2399" s="25" t="s">
        <v>29</v>
      </c>
      <c r="H2399" s="10"/>
      <c r="I2399" s="10"/>
      <c r="J2399" s="10"/>
      <c r="K2399" s="46"/>
      <c r="L2399" s="10"/>
      <c r="M2399" s="44">
        <v>1.0</v>
      </c>
      <c r="N2399" s="45"/>
      <c r="O2399" s="20"/>
      <c r="P2399" s="20"/>
      <c r="Q2399" s="20"/>
      <c r="R2399" s="20"/>
      <c r="S2399" s="20"/>
    </row>
    <row r="2400">
      <c r="A2400" s="49" t="s">
        <v>9948</v>
      </c>
      <c r="B2400" s="110">
        <v>46224.0</v>
      </c>
      <c r="C2400" s="49" t="s">
        <v>9949</v>
      </c>
      <c r="D2400" s="102" t="s">
        <v>9950</v>
      </c>
      <c r="E2400" s="25" t="s">
        <v>17</v>
      </c>
      <c r="F2400" s="25" t="s">
        <v>129</v>
      </c>
      <c r="G2400" s="25" t="s">
        <v>29</v>
      </c>
      <c r="H2400" s="23"/>
      <c r="I2400" s="23"/>
      <c r="J2400" s="23"/>
      <c r="K2400" s="30"/>
      <c r="L2400" s="49" t="s">
        <v>9951</v>
      </c>
      <c r="M2400" s="50">
        <v>1.0</v>
      </c>
      <c r="N2400" s="51"/>
      <c r="O2400" s="20"/>
      <c r="P2400" s="20"/>
      <c r="Q2400" s="20"/>
      <c r="R2400" s="20"/>
      <c r="S2400" s="20"/>
    </row>
    <row r="2401">
      <c r="A2401" s="76" t="s">
        <v>9952</v>
      </c>
      <c r="B2401" s="97">
        <v>46224.0</v>
      </c>
      <c r="C2401" s="76" t="s">
        <v>9953</v>
      </c>
      <c r="D2401" s="99" t="s">
        <v>9954</v>
      </c>
      <c r="E2401" s="25" t="s">
        <v>128</v>
      </c>
      <c r="F2401" s="25" t="s">
        <v>129</v>
      </c>
      <c r="G2401" s="25" t="s">
        <v>29</v>
      </c>
      <c r="H2401" s="76" t="s">
        <v>4064</v>
      </c>
      <c r="I2401" s="76" t="s">
        <v>961</v>
      </c>
      <c r="J2401" s="76" t="s">
        <v>9955</v>
      </c>
      <c r="K2401" s="46"/>
      <c r="L2401" s="76" t="s">
        <v>2232</v>
      </c>
      <c r="M2401" s="44">
        <v>1.0</v>
      </c>
      <c r="N2401" s="45"/>
      <c r="O2401" s="20"/>
      <c r="P2401" s="20"/>
      <c r="Q2401" s="20"/>
      <c r="R2401" s="20"/>
      <c r="S2401" s="20"/>
    </row>
    <row r="2402">
      <c r="A2402" s="49" t="s">
        <v>9956</v>
      </c>
      <c r="B2402" s="110">
        <v>46225.0</v>
      </c>
      <c r="C2402" s="49" t="s">
        <v>9957</v>
      </c>
      <c r="D2402" s="102" t="s">
        <v>9958</v>
      </c>
      <c r="E2402" s="25" t="s">
        <v>128</v>
      </c>
      <c r="F2402" s="25" t="s">
        <v>129</v>
      </c>
      <c r="G2402" s="25" t="s">
        <v>42</v>
      </c>
      <c r="H2402" s="49" t="s">
        <v>9959</v>
      </c>
      <c r="I2402" s="101">
        <v>46230.0</v>
      </c>
      <c r="J2402" s="49">
        <v>3.0</v>
      </c>
      <c r="K2402" s="30"/>
      <c r="L2402" s="49" t="s">
        <v>9960</v>
      </c>
      <c r="M2402" s="50">
        <v>8.0</v>
      </c>
      <c r="N2402" s="51"/>
      <c r="O2402" s="20"/>
      <c r="P2402" s="20"/>
      <c r="Q2402" s="20"/>
      <c r="R2402" s="20"/>
      <c r="S2402" s="20"/>
    </row>
    <row r="2403">
      <c r="A2403" s="76" t="s">
        <v>9961</v>
      </c>
      <c r="B2403" s="97">
        <v>46225.0</v>
      </c>
      <c r="C2403" s="76" t="s">
        <v>9962</v>
      </c>
      <c r="D2403" s="99" t="s">
        <v>9963</v>
      </c>
      <c r="E2403" s="25" t="s">
        <v>128</v>
      </c>
      <c r="F2403" s="25" t="s">
        <v>129</v>
      </c>
      <c r="G2403" s="25" t="s">
        <v>29</v>
      </c>
      <c r="H2403" s="76" t="s">
        <v>571</v>
      </c>
      <c r="I2403" s="118">
        <v>46237.0</v>
      </c>
      <c r="J2403" s="76">
        <v>2.0</v>
      </c>
      <c r="K2403" s="46"/>
      <c r="L2403" s="76" t="s">
        <v>9964</v>
      </c>
      <c r="M2403" s="44">
        <v>1.0</v>
      </c>
      <c r="N2403" s="45"/>
      <c r="O2403" s="20"/>
      <c r="P2403" s="20"/>
      <c r="Q2403" s="20"/>
      <c r="R2403" s="20"/>
      <c r="S2403" s="20"/>
    </row>
    <row r="2404">
      <c r="A2404" s="49" t="s">
        <v>9965</v>
      </c>
      <c r="B2404" s="110">
        <v>46225.0</v>
      </c>
      <c r="C2404" s="49" t="s">
        <v>9966</v>
      </c>
      <c r="D2404" s="102" t="s">
        <v>9967</v>
      </c>
      <c r="E2404" s="25" t="s">
        <v>128</v>
      </c>
      <c r="F2404" s="25" t="s">
        <v>129</v>
      </c>
      <c r="G2404" s="25" t="s">
        <v>29</v>
      </c>
      <c r="H2404" s="49" t="s">
        <v>260</v>
      </c>
      <c r="I2404" s="23"/>
      <c r="J2404" s="23"/>
      <c r="K2404" s="30"/>
      <c r="L2404" s="49" t="s">
        <v>8941</v>
      </c>
      <c r="M2404" s="50">
        <v>1.0</v>
      </c>
      <c r="N2404" s="51"/>
      <c r="O2404" s="20"/>
      <c r="P2404" s="20"/>
      <c r="Q2404" s="20"/>
      <c r="R2404" s="20"/>
      <c r="S2404" s="20"/>
    </row>
    <row r="2405">
      <c r="A2405" s="76" t="s">
        <v>9968</v>
      </c>
      <c r="B2405" s="97">
        <v>46223.0</v>
      </c>
      <c r="C2405" s="76" t="s">
        <v>9969</v>
      </c>
      <c r="D2405" s="99" t="s">
        <v>9970</v>
      </c>
      <c r="E2405" s="25" t="s">
        <v>17</v>
      </c>
      <c r="F2405" s="25" t="s">
        <v>129</v>
      </c>
      <c r="G2405" s="25" t="s">
        <v>29</v>
      </c>
      <c r="H2405" s="76" t="s">
        <v>9971</v>
      </c>
      <c r="I2405" s="10"/>
      <c r="J2405" s="76">
        <v>130.0</v>
      </c>
      <c r="K2405" s="46"/>
      <c r="L2405" s="76" t="s">
        <v>9972</v>
      </c>
      <c r="M2405" s="44">
        <v>1.0</v>
      </c>
      <c r="N2405" s="45"/>
      <c r="O2405" s="20"/>
      <c r="P2405" s="20"/>
      <c r="Q2405" s="20"/>
      <c r="R2405" s="20"/>
      <c r="S2405" s="20"/>
    </row>
    <row r="2406">
      <c r="A2406" s="49" t="s">
        <v>9973</v>
      </c>
      <c r="B2406" s="110">
        <v>46225.0</v>
      </c>
      <c r="C2406" s="49" t="s">
        <v>9974</v>
      </c>
      <c r="D2406" s="102" t="s">
        <v>9975</v>
      </c>
      <c r="E2406" s="25" t="s">
        <v>869</v>
      </c>
      <c r="F2406" s="25" t="s">
        <v>129</v>
      </c>
      <c r="G2406" s="25" t="s">
        <v>29</v>
      </c>
      <c r="H2406" s="76" t="s">
        <v>9971</v>
      </c>
      <c r="I2406" s="49" t="s">
        <v>9976</v>
      </c>
      <c r="J2406" s="49">
        <v>130.0</v>
      </c>
      <c r="K2406" s="30"/>
      <c r="L2406" s="49" t="s">
        <v>9977</v>
      </c>
      <c r="M2406" s="50">
        <v>1.0</v>
      </c>
      <c r="N2406" s="51"/>
      <c r="O2406" s="20"/>
      <c r="P2406" s="20"/>
      <c r="Q2406" s="20"/>
      <c r="R2406" s="20"/>
      <c r="S2406" s="20"/>
    </row>
    <row r="2407">
      <c r="A2407" s="76" t="s">
        <v>9978</v>
      </c>
      <c r="B2407" s="97">
        <v>46226.0</v>
      </c>
      <c r="C2407" s="76" t="s">
        <v>9979</v>
      </c>
      <c r="D2407" s="99" t="s">
        <v>9980</v>
      </c>
      <c r="E2407" s="25" t="s">
        <v>17</v>
      </c>
      <c r="F2407" s="25" t="s">
        <v>983</v>
      </c>
      <c r="G2407" s="25" t="s">
        <v>29</v>
      </c>
      <c r="H2407" s="10"/>
      <c r="I2407" s="10"/>
      <c r="J2407" s="10"/>
      <c r="K2407" s="46"/>
      <c r="L2407" s="10"/>
      <c r="M2407" s="44">
        <v>1.0</v>
      </c>
      <c r="N2407" s="45"/>
      <c r="O2407" s="20"/>
      <c r="P2407" s="20"/>
      <c r="Q2407" s="20"/>
      <c r="R2407" s="20"/>
      <c r="S2407" s="20"/>
    </row>
    <row r="2408">
      <c r="A2408" s="49" t="s">
        <v>9981</v>
      </c>
      <c r="B2408" s="110">
        <v>46225.0</v>
      </c>
      <c r="C2408" s="49" t="s">
        <v>9982</v>
      </c>
      <c r="D2408" s="102" t="s">
        <v>9983</v>
      </c>
      <c r="E2408" s="25" t="s">
        <v>17</v>
      </c>
      <c r="F2408" s="25" t="s">
        <v>129</v>
      </c>
      <c r="G2408" s="25" t="s">
        <v>34</v>
      </c>
      <c r="H2408" s="49" t="s">
        <v>199</v>
      </c>
      <c r="I2408" s="23"/>
      <c r="J2408" s="49">
        <v>18.0</v>
      </c>
      <c r="K2408" s="30"/>
      <c r="L2408" s="49" t="s">
        <v>9984</v>
      </c>
      <c r="M2408" s="50">
        <v>2.0</v>
      </c>
      <c r="N2408" s="51"/>
      <c r="O2408" s="20"/>
      <c r="P2408" s="20"/>
      <c r="Q2408" s="20"/>
      <c r="R2408" s="20"/>
      <c r="S2408" s="20"/>
    </row>
    <row r="2409">
      <c r="A2409" s="76" t="s">
        <v>9985</v>
      </c>
      <c r="B2409" s="97">
        <v>46226.0</v>
      </c>
      <c r="C2409" s="76" t="s">
        <v>9986</v>
      </c>
      <c r="D2409" s="99" t="s">
        <v>9987</v>
      </c>
      <c r="E2409" s="25" t="s">
        <v>128</v>
      </c>
      <c r="F2409" s="25" t="s">
        <v>129</v>
      </c>
      <c r="G2409" s="25" t="s">
        <v>29</v>
      </c>
      <c r="H2409" s="76" t="s">
        <v>747</v>
      </c>
      <c r="I2409" s="10"/>
      <c r="J2409" s="10"/>
      <c r="K2409" s="46"/>
      <c r="L2409" s="76" t="s">
        <v>9988</v>
      </c>
      <c r="M2409" s="44">
        <v>1.0</v>
      </c>
      <c r="N2409" s="45"/>
      <c r="O2409" s="20"/>
      <c r="P2409" s="20"/>
      <c r="Q2409" s="20"/>
      <c r="R2409" s="20"/>
      <c r="S2409" s="20"/>
    </row>
    <row r="2410">
      <c r="A2410" s="49" t="s">
        <v>9989</v>
      </c>
      <c r="B2410" s="110">
        <v>46226.0</v>
      </c>
      <c r="C2410" s="49" t="s">
        <v>9990</v>
      </c>
      <c r="D2410" s="102" t="s">
        <v>9991</v>
      </c>
      <c r="E2410" s="25" t="s">
        <v>128</v>
      </c>
      <c r="F2410" s="25" t="s">
        <v>129</v>
      </c>
      <c r="G2410" s="25" t="s">
        <v>29</v>
      </c>
      <c r="H2410" s="49" t="s">
        <v>260</v>
      </c>
      <c r="I2410" s="23"/>
      <c r="J2410" s="23"/>
      <c r="K2410" s="30"/>
      <c r="L2410" s="49" t="s">
        <v>9336</v>
      </c>
      <c r="M2410" s="50">
        <v>1.0</v>
      </c>
      <c r="N2410" s="51"/>
      <c r="O2410" s="20"/>
      <c r="P2410" s="20"/>
      <c r="Q2410" s="20"/>
      <c r="R2410" s="20"/>
      <c r="S2410" s="20"/>
    </row>
    <row r="2411">
      <c r="A2411" s="76" t="s">
        <v>9992</v>
      </c>
      <c r="B2411" s="97">
        <v>46224.0</v>
      </c>
      <c r="C2411" s="76" t="s">
        <v>9993</v>
      </c>
      <c r="D2411" s="99" t="s">
        <v>9994</v>
      </c>
      <c r="E2411" s="25" t="s">
        <v>128</v>
      </c>
      <c r="F2411" s="25" t="s">
        <v>129</v>
      </c>
      <c r="G2411" s="25" t="s">
        <v>29</v>
      </c>
      <c r="H2411" s="49" t="s">
        <v>260</v>
      </c>
      <c r="I2411" s="118">
        <v>46249.0</v>
      </c>
      <c r="J2411" s="76">
        <v>2.0</v>
      </c>
      <c r="K2411" s="46"/>
      <c r="L2411" s="76" t="s">
        <v>8194</v>
      </c>
      <c r="M2411" s="44">
        <v>1.0</v>
      </c>
      <c r="N2411" s="45"/>
      <c r="O2411" s="20"/>
      <c r="P2411" s="20"/>
      <c r="Q2411" s="20"/>
      <c r="R2411" s="20"/>
      <c r="S2411" s="20"/>
    </row>
    <row r="2412">
      <c r="A2412" s="49" t="s">
        <v>9995</v>
      </c>
      <c r="B2412" s="110">
        <v>46226.0</v>
      </c>
      <c r="C2412" s="49" t="s">
        <v>9996</v>
      </c>
      <c r="D2412" s="102" t="s">
        <v>9997</v>
      </c>
      <c r="E2412" s="25" t="s">
        <v>122</v>
      </c>
      <c r="F2412" s="25" t="s">
        <v>129</v>
      </c>
      <c r="G2412" s="25" t="s">
        <v>29</v>
      </c>
      <c r="H2412" s="49" t="s">
        <v>9998</v>
      </c>
      <c r="I2412" s="23"/>
      <c r="J2412" s="49">
        <v>6.0</v>
      </c>
      <c r="K2412" s="30"/>
      <c r="L2412" s="49" t="s">
        <v>9336</v>
      </c>
      <c r="M2412" s="50">
        <v>1.0</v>
      </c>
      <c r="N2412" s="51"/>
      <c r="O2412" s="20"/>
      <c r="P2412" s="20"/>
      <c r="Q2412" s="20"/>
      <c r="R2412" s="20"/>
      <c r="S2412" s="20"/>
    </row>
    <row r="2413">
      <c r="A2413" s="76" t="s">
        <v>9999</v>
      </c>
      <c r="B2413" s="97">
        <v>46226.0</v>
      </c>
      <c r="C2413" s="76" t="s">
        <v>10000</v>
      </c>
      <c r="D2413" s="99" t="s">
        <v>10001</v>
      </c>
      <c r="E2413" s="25" t="s">
        <v>128</v>
      </c>
      <c r="F2413" s="25" t="s">
        <v>129</v>
      </c>
      <c r="G2413" s="25" t="s">
        <v>29</v>
      </c>
      <c r="H2413" s="76" t="s">
        <v>5030</v>
      </c>
      <c r="I2413" s="10"/>
      <c r="J2413" s="76">
        <v>2.0</v>
      </c>
      <c r="K2413" s="46"/>
      <c r="L2413" s="76" t="s">
        <v>9336</v>
      </c>
      <c r="M2413" s="44">
        <v>1.0</v>
      </c>
      <c r="N2413" s="45"/>
      <c r="O2413" s="20"/>
      <c r="P2413" s="20"/>
      <c r="Q2413" s="20"/>
      <c r="R2413" s="20"/>
      <c r="S2413" s="20"/>
    </row>
    <row r="2414">
      <c r="A2414" s="49" t="s">
        <v>10002</v>
      </c>
      <c r="B2414" s="110">
        <v>46226.0</v>
      </c>
      <c r="C2414" s="49" t="s">
        <v>10003</v>
      </c>
      <c r="D2414" s="102" t="s">
        <v>10004</v>
      </c>
      <c r="E2414" s="25" t="s">
        <v>128</v>
      </c>
      <c r="F2414" s="25" t="s">
        <v>129</v>
      </c>
      <c r="G2414" s="25" t="s">
        <v>34</v>
      </c>
      <c r="H2414" s="49" t="s">
        <v>260</v>
      </c>
      <c r="I2414" s="23"/>
      <c r="J2414" s="49">
        <v>3.0</v>
      </c>
      <c r="K2414" s="30">
        <f>SUM(1600000*3)</f>
        <v>4800000</v>
      </c>
      <c r="L2414" s="49" t="s">
        <v>10005</v>
      </c>
      <c r="M2414" s="50">
        <v>2.0</v>
      </c>
      <c r="N2414" s="51"/>
      <c r="O2414" s="20"/>
      <c r="P2414" s="20"/>
      <c r="Q2414" s="20"/>
      <c r="R2414" s="20"/>
      <c r="S2414" s="20"/>
    </row>
    <row r="2415">
      <c r="A2415" s="76" t="s">
        <v>10006</v>
      </c>
      <c r="B2415" s="97">
        <v>46226.0</v>
      </c>
      <c r="C2415" s="76" t="s">
        <v>10007</v>
      </c>
      <c r="D2415" s="99" t="s">
        <v>10008</v>
      </c>
      <c r="E2415" s="25" t="s">
        <v>128</v>
      </c>
      <c r="F2415" s="25" t="s">
        <v>129</v>
      </c>
      <c r="G2415" s="25" t="s">
        <v>29</v>
      </c>
      <c r="H2415" s="49" t="s">
        <v>260</v>
      </c>
      <c r="I2415" s="118">
        <v>46244.0</v>
      </c>
      <c r="J2415" s="76">
        <v>2.0</v>
      </c>
      <c r="K2415" s="46"/>
      <c r="L2415" s="76" t="s">
        <v>9543</v>
      </c>
      <c r="M2415" s="44">
        <v>1.0</v>
      </c>
      <c r="N2415" s="45"/>
      <c r="O2415" s="20"/>
      <c r="P2415" s="20"/>
      <c r="Q2415" s="20"/>
      <c r="R2415" s="20"/>
      <c r="S2415" s="20"/>
    </row>
    <row r="2416">
      <c r="A2416" s="49" t="s">
        <v>10009</v>
      </c>
      <c r="B2416" s="110">
        <v>46226.0</v>
      </c>
      <c r="C2416" s="49" t="s">
        <v>10010</v>
      </c>
      <c r="D2416" s="102" t="s">
        <v>10011</v>
      </c>
      <c r="E2416" s="25" t="s">
        <v>17</v>
      </c>
      <c r="F2416" s="25" t="s">
        <v>129</v>
      </c>
      <c r="G2416" s="25" t="s">
        <v>29</v>
      </c>
      <c r="H2416" s="49" t="s">
        <v>4064</v>
      </c>
      <c r="I2416" s="23"/>
      <c r="J2416" s="49">
        <v>3.0</v>
      </c>
      <c r="K2416" s="30"/>
      <c r="L2416" s="49" t="s">
        <v>9336</v>
      </c>
      <c r="M2416" s="50">
        <v>1.0</v>
      </c>
      <c r="N2416" s="51"/>
      <c r="O2416" s="20"/>
      <c r="P2416" s="20"/>
      <c r="Q2416" s="20"/>
      <c r="R2416" s="20"/>
      <c r="S2416" s="20"/>
    </row>
    <row r="2417">
      <c r="A2417" s="76" t="s">
        <v>10012</v>
      </c>
      <c r="B2417" s="97">
        <v>46226.0</v>
      </c>
      <c r="C2417" s="76" t="s">
        <v>10013</v>
      </c>
      <c r="D2417" s="99" t="s">
        <v>10014</v>
      </c>
      <c r="E2417" s="25" t="s">
        <v>17</v>
      </c>
      <c r="F2417" s="25" t="s">
        <v>983</v>
      </c>
      <c r="G2417" s="25" t="s">
        <v>34</v>
      </c>
      <c r="H2417" s="76" t="s">
        <v>1590</v>
      </c>
      <c r="I2417" s="10"/>
      <c r="J2417" s="76">
        <v>6.0</v>
      </c>
      <c r="K2417" s="46"/>
      <c r="L2417" s="76" t="s">
        <v>9543</v>
      </c>
      <c r="M2417" s="44">
        <v>2.0</v>
      </c>
      <c r="N2417" s="45"/>
      <c r="O2417" s="20"/>
      <c r="P2417" s="20"/>
      <c r="Q2417" s="20"/>
      <c r="R2417" s="20"/>
      <c r="S2417" s="20"/>
    </row>
    <row r="2418">
      <c r="A2418" s="49" t="s">
        <v>10015</v>
      </c>
      <c r="B2418" s="110">
        <v>46227.0</v>
      </c>
      <c r="C2418" s="49" t="s">
        <v>10016</v>
      </c>
      <c r="D2418" s="102" t="s">
        <v>10017</v>
      </c>
      <c r="E2418" s="25" t="s">
        <v>17</v>
      </c>
      <c r="F2418" s="25" t="s">
        <v>983</v>
      </c>
      <c r="G2418" s="25" t="s">
        <v>34</v>
      </c>
      <c r="H2418" s="49" t="s">
        <v>10018</v>
      </c>
      <c r="I2418" s="23"/>
      <c r="J2418" s="23"/>
      <c r="K2418" s="30"/>
      <c r="L2418" s="49" t="s">
        <v>10019</v>
      </c>
      <c r="M2418" s="50">
        <v>2.0</v>
      </c>
      <c r="N2418" s="51"/>
      <c r="O2418" s="20"/>
      <c r="P2418" s="20"/>
      <c r="Q2418" s="20"/>
      <c r="R2418" s="20"/>
      <c r="S2418" s="20"/>
    </row>
    <row r="2419">
      <c r="A2419" s="76" t="s">
        <v>10009</v>
      </c>
      <c r="B2419" s="97">
        <v>46226.0</v>
      </c>
      <c r="C2419" s="76" t="s">
        <v>10020</v>
      </c>
      <c r="D2419" s="99" t="s">
        <v>10021</v>
      </c>
      <c r="E2419" s="25" t="s">
        <v>128</v>
      </c>
      <c r="F2419" s="25" t="s">
        <v>129</v>
      </c>
      <c r="G2419" s="25" t="s">
        <v>29</v>
      </c>
      <c r="H2419" s="76"/>
      <c r="I2419" s="10"/>
      <c r="J2419" s="76">
        <v>3.0</v>
      </c>
      <c r="K2419" s="46"/>
      <c r="L2419" s="76" t="s">
        <v>10022</v>
      </c>
      <c r="M2419" s="44">
        <v>1.0</v>
      </c>
      <c r="N2419" s="45"/>
      <c r="O2419" s="20"/>
      <c r="P2419" s="20"/>
      <c r="Q2419" s="20"/>
      <c r="R2419" s="20"/>
      <c r="S2419" s="20"/>
    </row>
    <row r="2420">
      <c r="A2420" s="49" t="s">
        <v>10023</v>
      </c>
      <c r="B2420" s="110">
        <v>46226.0</v>
      </c>
      <c r="C2420" s="49" t="s">
        <v>10024</v>
      </c>
      <c r="D2420" s="102" t="s">
        <v>10025</v>
      </c>
      <c r="E2420" s="25" t="s">
        <v>128</v>
      </c>
      <c r="F2420" s="25" t="s">
        <v>129</v>
      </c>
      <c r="G2420" s="25" t="s">
        <v>29</v>
      </c>
      <c r="H2420" s="49" t="s">
        <v>10026</v>
      </c>
      <c r="I2420" s="101">
        <v>46244.0</v>
      </c>
      <c r="J2420" s="49">
        <v>2.0</v>
      </c>
      <c r="K2420" s="30"/>
      <c r="L2420" s="49" t="s">
        <v>8908</v>
      </c>
      <c r="M2420" s="50">
        <v>1.0</v>
      </c>
      <c r="N2420" s="51"/>
      <c r="O2420" s="20"/>
      <c r="P2420" s="20"/>
      <c r="Q2420" s="20"/>
      <c r="R2420" s="20"/>
      <c r="S2420" s="20"/>
    </row>
    <row r="2421">
      <c r="A2421" s="76" t="s">
        <v>10027</v>
      </c>
      <c r="B2421" s="97">
        <v>46226.0</v>
      </c>
      <c r="C2421" s="76" t="s">
        <v>9228</v>
      </c>
      <c r="D2421" s="99" t="s">
        <v>10028</v>
      </c>
      <c r="E2421" s="25" t="s">
        <v>128</v>
      </c>
      <c r="F2421" s="25" t="s">
        <v>129</v>
      </c>
      <c r="G2421" s="25" t="s">
        <v>29</v>
      </c>
      <c r="H2421" s="76" t="s">
        <v>10029</v>
      </c>
      <c r="I2421" s="118">
        <v>46249.0</v>
      </c>
      <c r="J2421" s="76">
        <v>2.0</v>
      </c>
      <c r="K2421" s="46"/>
      <c r="L2421" s="76" t="s">
        <v>9543</v>
      </c>
      <c r="M2421" s="44">
        <v>1.0</v>
      </c>
      <c r="N2421" s="45"/>
      <c r="O2421" s="20"/>
      <c r="P2421" s="20"/>
      <c r="Q2421" s="20"/>
      <c r="R2421" s="20"/>
      <c r="S2421" s="20"/>
    </row>
    <row r="2422">
      <c r="A2422" s="49" t="s">
        <v>10030</v>
      </c>
      <c r="B2422" s="110">
        <v>46227.0</v>
      </c>
      <c r="C2422" s="49" t="s">
        <v>10031</v>
      </c>
      <c r="D2422" s="102" t="s">
        <v>10032</v>
      </c>
      <c r="E2422" s="25" t="s">
        <v>128</v>
      </c>
      <c r="F2422" s="25" t="s">
        <v>129</v>
      </c>
      <c r="G2422" s="25" t="s">
        <v>29</v>
      </c>
      <c r="H2422" s="49" t="s">
        <v>4064</v>
      </c>
      <c r="I2422" s="101">
        <v>46249.0</v>
      </c>
      <c r="J2422" s="49">
        <v>13.0</v>
      </c>
      <c r="K2422" s="30"/>
      <c r="L2422" s="49" t="s">
        <v>2232</v>
      </c>
      <c r="M2422" s="50">
        <v>1.0</v>
      </c>
      <c r="N2422" s="51"/>
      <c r="O2422" s="20"/>
      <c r="P2422" s="20"/>
      <c r="Q2422" s="20"/>
      <c r="R2422" s="20"/>
      <c r="S2422" s="20"/>
    </row>
    <row r="2423">
      <c r="A2423" s="76" t="s">
        <v>10033</v>
      </c>
      <c r="B2423" s="97">
        <v>46226.0</v>
      </c>
      <c r="C2423" s="76" t="s">
        <v>10034</v>
      </c>
      <c r="D2423" s="99" t="s">
        <v>10035</v>
      </c>
      <c r="E2423" s="25" t="s">
        <v>128</v>
      </c>
      <c r="F2423" s="25" t="s">
        <v>18</v>
      </c>
      <c r="G2423" s="25" t="s">
        <v>34</v>
      </c>
      <c r="H2423" s="76" t="s">
        <v>8026</v>
      </c>
      <c r="I2423" s="118">
        <v>46232.0</v>
      </c>
      <c r="J2423" s="76">
        <v>2.0</v>
      </c>
      <c r="K2423" s="46">
        <f>400000*2</f>
        <v>800000</v>
      </c>
      <c r="L2423" s="76" t="s">
        <v>9576</v>
      </c>
      <c r="M2423" s="44">
        <v>2.0</v>
      </c>
      <c r="N2423" s="45"/>
      <c r="O2423" s="20"/>
      <c r="P2423" s="20"/>
      <c r="Q2423" s="20"/>
      <c r="R2423" s="20"/>
      <c r="S2423" s="20"/>
    </row>
    <row r="2424">
      <c r="A2424" s="49" t="s">
        <v>10036</v>
      </c>
      <c r="B2424" s="110">
        <v>46227.0</v>
      </c>
      <c r="C2424" s="49" t="s">
        <v>10037</v>
      </c>
      <c r="D2424" s="102" t="s">
        <v>10038</v>
      </c>
      <c r="E2424" s="25" t="s">
        <v>17</v>
      </c>
      <c r="F2424" s="25" t="s">
        <v>18</v>
      </c>
      <c r="G2424" s="25" t="s">
        <v>34</v>
      </c>
      <c r="H2424" s="49" t="s">
        <v>2105</v>
      </c>
      <c r="I2424" s="49" t="s">
        <v>10039</v>
      </c>
      <c r="J2424" s="49">
        <v>2.0</v>
      </c>
      <c r="K2424" s="30">
        <f>3350000*2</f>
        <v>6700000</v>
      </c>
      <c r="L2424" s="49" t="s">
        <v>9388</v>
      </c>
      <c r="M2424" s="50">
        <v>2.0</v>
      </c>
      <c r="N2424" s="51"/>
      <c r="O2424" s="20"/>
      <c r="P2424" s="20"/>
      <c r="Q2424" s="20"/>
      <c r="R2424" s="20"/>
      <c r="S2424" s="20"/>
    </row>
    <row r="2425">
      <c r="A2425" s="76" t="s">
        <v>10040</v>
      </c>
      <c r="B2425" s="97">
        <v>46227.0</v>
      </c>
      <c r="C2425" s="76" t="s">
        <v>307</v>
      </c>
      <c r="D2425" s="99" t="s">
        <v>10041</v>
      </c>
      <c r="E2425" s="25" t="s">
        <v>128</v>
      </c>
      <c r="F2425" s="25" t="s">
        <v>129</v>
      </c>
      <c r="G2425" s="25" t="s">
        <v>29</v>
      </c>
      <c r="H2425" s="76" t="s">
        <v>10042</v>
      </c>
      <c r="I2425" s="118">
        <v>46228.0</v>
      </c>
      <c r="J2425" s="76">
        <v>2.0</v>
      </c>
      <c r="K2425" s="46"/>
      <c r="L2425" s="10"/>
      <c r="M2425" s="44">
        <v>1.0</v>
      </c>
      <c r="N2425" s="45"/>
      <c r="O2425" s="20"/>
      <c r="P2425" s="20"/>
      <c r="Q2425" s="20"/>
      <c r="R2425" s="20"/>
      <c r="S2425" s="20"/>
    </row>
    <row r="2426">
      <c r="A2426" s="49" t="s">
        <v>10043</v>
      </c>
      <c r="B2426" s="110">
        <v>46227.0</v>
      </c>
      <c r="C2426" s="49" t="s">
        <v>10044</v>
      </c>
      <c r="D2426" s="102" t="s">
        <v>10045</v>
      </c>
      <c r="E2426" s="25" t="s">
        <v>17</v>
      </c>
      <c r="F2426" s="25" t="s">
        <v>129</v>
      </c>
      <c r="G2426" s="25" t="s">
        <v>29</v>
      </c>
      <c r="H2426" s="49" t="s">
        <v>370</v>
      </c>
      <c r="I2426" s="101">
        <v>46256.0</v>
      </c>
      <c r="J2426" s="136">
        <v>46115.0</v>
      </c>
      <c r="K2426" s="30"/>
      <c r="L2426" s="49" t="s">
        <v>9543</v>
      </c>
      <c r="M2426" s="50">
        <v>1.0</v>
      </c>
      <c r="N2426" s="51"/>
      <c r="O2426" s="20"/>
      <c r="P2426" s="20"/>
      <c r="Q2426" s="20"/>
      <c r="R2426" s="20"/>
      <c r="S2426" s="20"/>
    </row>
    <row r="2427">
      <c r="A2427" s="76" t="s">
        <v>10046</v>
      </c>
      <c r="B2427" s="97">
        <v>46215.0</v>
      </c>
      <c r="C2427" s="76" t="s">
        <v>10047</v>
      </c>
      <c r="D2427" s="99" t="s">
        <v>10048</v>
      </c>
      <c r="E2427" s="25" t="s">
        <v>122</v>
      </c>
      <c r="F2427" s="25" t="s">
        <v>18</v>
      </c>
      <c r="G2427" s="25" t="s">
        <v>29</v>
      </c>
      <c r="H2427" s="76" t="s">
        <v>123</v>
      </c>
      <c r="I2427" s="10"/>
      <c r="J2427" s="10"/>
      <c r="K2427" s="46"/>
      <c r="L2427" s="76" t="s">
        <v>9710</v>
      </c>
      <c r="M2427" s="44">
        <v>1.0</v>
      </c>
      <c r="N2427" s="45"/>
      <c r="O2427" s="20"/>
      <c r="P2427" s="20"/>
      <c r="Q2427" s="20"/>
      <c r="R2427" s="20"/>
      <c r="S2427" s="20"/>
    </row>
    <row r="2428">
      <c r="A2428" s="49" t="s">
        <v>10049</v>
      </c>
      <c r="B2428" s="110">
        <v>46227.0</v>
      </c>
      <c r="C2428" s="49" t="s">
        <v>10050</v>
      </c>
      <c r="D2428" s="102" t="s">
        <v>10051</v>
      </c>
      <c r="E2428" s="25" t="s">
        <v>128</v>
      </c>
      <c r="F2428" s="25" t="s">
        <v>18</v>
      </c>
      <c r="G2428" s="25" t="s">
        <v>19</v>
      </c>
      <c r="H2428" s="49" t="s">
        <v>3643</v>
      </c>
      <c r="I2428" s="101">
        <v>46231.0</v>
      </c>
      <c r="J2428" s="49">
        <v>1.0</v>
      </c>
      <c r="K2428" s="36">
        <v>250000.0</v>
      </c>
      <c r="L2428" s="49" t="s">
        <v>1803</v>
      </c>
      <c r="M2428" s="50">
        <v>7.0</v>
      </c>
      <c r="N2428" s="51"/>
      <c r="O2428" s="20"/>
      <c r="P2428" s="20"/>
      <c r="Q2428" s="20"/>
      <c r="R2428" s="20"/>
      <c r="S2428" s="20"/>
    </row>
    <row r="2429">
      <c r="A2429" s="76" t="s">
        <v>10052</v>
      </c>
      <c r="B2429" s="97">
        <v>46227.0</v>
      </c>
      <c r="C2429" s="76" t="s">
        <v>10053</v>
      </c>
      <c r="D2429" s="99" t="s">
        <v>10054</v>
      </c>
      <c r="E2429" s="25" t="s">
        <v>128</v>
      </c>
      <c r="F2429" s="25" t="s">
        <v>18</v>
      </c>
      <c r="G2429" s="25" t="s">
        <v>29</v>
      </c>
      <c r="H2429" s="76" t="s">
        <v>4645</v>
      </c>
      <c r="I2429" s="10"/>
      <c r="J2429" s="10"/>
      <c r="K2429" s="46"/>
      <c r="L2429" s="10"/>
      <c r="M2429" s="44">
        <v>1.0</v>
      </c>
      <c r="N2429" s="45"/>
      <c r="O2429" s="20"/>
      <c r="P2429" s="20"/>
      <c r="Q2429" s="20"/>
      <c r="R2429" s="20"/>
      <c r="S2429" s="20"/>
    </row>
    <row r="2430">
      <c r="A2430" s="49" t="s">
        <v>10055</v>
      </c>
      <c r="B2430" s="110">
        <v>46227.0</v>
      </c>
      <c r="C2430" s="49" t="s">
        <v>10056</v>
      </c>
      <c r="D2430" s="102" t="s">
        <v>10057</v>
      </c>
      <c r="E2430" s="25" t="s">
        <v>128</v>
      </c>
      <c r="F2430" s="25" t="s">
        <v>129</v>
      </c>
      <c r="G2430" s="25" t="s">
        <v>29</v>
      </c>
      <c r="H2430" s="49" t="s">
        <v>571</v>
      </c>
      <c r="I2430" s="23"/>
      <c r="J2430" s="49">
        <v>2.0</v>
      </c>
      <c r="K2430" s="30"/>
      <c r="L2430" s="49" t="s">
        <v>9269</v>
      </c>
      <c r="M2430" s="50">
        <v>1.0</v>
      </c>
      <c r="N2430" s="51"/>
      <c r="O2430" s="20"/>
      <c r="P2430" s="20"/>
      <c r="Q2430" s="20"/>
      <c r="R2430" s="20"/>
      <c r="S2430" s="20"/>
    </row>
    <row r="2431">
      <c r="A2431" s="76" t="s">
        <v>10058</v>
      </c>
      <c r="B2431" s="97">
        <v>46227.0</v>
      </c>
      <c r="C2431" s="76" t="s">
        <v>10059</v>
      </c>
      <c r="D2431" s="99" t="s">
        <v>10060</v>
      </c>
      <c r="E2431" s="25" t="s">
        <v>128</v>
      </c>
      <c r="F2431" s="25" t="s">
        <v>129</v>
      </c>
      <c r="G2431" s="25" t="s">
        <v>29</v>
      </c>
      <c r="H2431" s="76" t="s">
        <v>123</v>
      </c>
      <c r="I2431" s="118">
        <v>46250.0</v>
      </c>
      <c r="J2431" s="10"/>
      <c r="K2431" s="46"/>
      <c r="L2431" s="76" t="s">
        <v>9269</v>
      </c>
      <c r="M2431" s="44">
        <v>1.0</v>
      </c>
      <c r="N2431" s="45"/>
      <c r="O2431" s="20"/>
      <c r="P2431" s="20"/>
      <c r="Q2431" s="20"/>
      <c r="R2431" s="20"/>
      <c r="S2431" s="20"/>
    </row>
    <row r="2432">
      <c r="A2432" s="49" t="s">
        <v>10061</v>
      </c>
      <c r="B2432" s="110">
        <v>46227.0</v>
      </c>
      <c r="C2432" s="49" t="s">
        <v>10062</v>
      </c>
      <c r="D2432" s="102" t="s">
        <v>10063</v>
      </c>
      <c r="E2432" s="25" t="s">
        <v>128</v>
      </c>
      <c r="F2432" s="25" t="s">
        <v>129</v>
      </c>
      <c r="G2432" s="25" t="s">
        <v>29</v>
      </c>
      <c r="H2432" s="49" t="s">
        <v>10064</v>
      </c>
      <c r="I2432" s="23"/>
      <c r="J2432" s="23"/>
      <c r="K2432" s="30"/>
      <c r="L2432" s="49" t="s">
        <v>10065</v>
      </c>
      <c r="M2432" s="50">
        <v>1.0</v>
      </c>
      <c r="N2432" s="51"/>
      <c r="O2432" s="20"/>
      <c r="P2432" s="20"/>
      <c r="Q2432" s="20"/>
      <c r="R2432" s="20"/>
      <c r="S2432" s="20"/>
    </row>
    <row r="2433">
      <c r="A2433" s="76" t="s">
        <v>10066</v>
      </c>
      <c r="B2433" s="121">
        <v>46227.0</v>
      </c>
      <c r="C2433" s="76" t="s">
        <v>10067</v>
      </c>
      <c r="D2433" s="99" t="s">
        <v>10068</v>
      </c>
      <c r="E2433" s="25" t="s">
        <v>17</v>
      </c>
      <c r="F2433" s="25" t="s">
        <v>983</v>
      </c>
      <c r="G2433" s="25" t="s">
        <v>34</v>
      </c>
      <c r="H2433" s="76" t="s">
        <v>10069</v>
      </c>
      <c r="I2433" s="76"/>
      <c r="J2433" s="76">
        <v>2.0</v>
      </c>
      <c r="K2433" s="19"/>
      <c r="L2433" s="76" t="s">
        <v>3868</v>
      </c>
      <c r="M2433" s="44">
        <v>2.0</v>
      </c>
      <c r="N2433" s="45"/>
      <c r="O2433" s="20"/>
      <c r="P2433" s="20"/>
      <c r="Q2433" s="20"/>
      <c r="R2433" s="20"/>
      <c r="S2433" s="20"/>
    </row>
    <row r="2434">
      <c r="A2434" s="49" t="s">
        <v>10070</v>
      </c>
      <c r="B2434" s="110">
        <v>46227.0</v>
      </c>
      <c r="C2434" s="49" t="s">
        <v>10071</v>
      </c>
      <c r="D2434" s="102" t="s">
        <v>10072</v>
      </c>
      <c r="E2434" s="25" t="s">
        <v>128</v>
      </c>
      <c r="F2434" s="25" t="s">
        <v>983</v>
      </c>
      <c r="G2434" s="25" t="s">
        <v>34</v>
      </c>
      <c r="H2434" s="49" t="s">
        <v>2327</v>
      </c>
      <c r="I2434" s="49"/>
      <c r="J2434" s="23"/>
      <c r="K2434" s="36">
        <v>9480000.0</v>
      </c>
      <c r="L2434" s="49" t="s">
        <v>9710</v>
      </c>
      <c r="M2434" s="50">
        <v>2.0</v>
      </c>
      <c r="N2434" s="51"/>
      <c r="O2434" s="20"/>
      <c r="P2434" s="20"/>
      <c r="Q2434" s="20"/>
      <c r="R2434" s="20"/>
      <c r="S2434" s="20"/>
    </row>
    <row r="2435">
      <c r="A2435" s="76" t="s">
        <v>10073</v>
      </c>
      <c r="B2435" s="97">
        <v>46227.0</v>
      </c>
      <c r="C2435" s="76" t="s">
        <v>10074</v>
      </c>
      <c r="D2435" s="99" t="s">
        <v>10075</v>
      </c>
      <c r="E2435" s="25" t="s">
        <v>17</v>
      </c>
      <c r="F2435" s="25" t="s">
        <v>983</v>
      </c>
      <c r="G2435" s="25" t="s">
        <v>34</v>
      </c>
      <c r="H2435" s="76" t="s">
        <v>2327</v>
      </c>
      <c r="I2435" s="76"/>
      <c r="J2435" s="76">
        <v>2.0</v>
      </c>
      <c r="K2435" s="46"/>
      <c r="L2435" s="76" t="s">
        <v>9830</v>
      </c>
      <c r="M2435" s="44">
        <v>2.0</v>
      </c>
      <c r="N2435" s="45"/>
      <c r="O2435" s="20"/>
      <c r="P2435" s="20"/>
      <c r="Q2435" s="20"/>
      <c r="R2435" s="20"/>
      <c r="S2435" s="20"/>
    </row>
    <row r="2436">
      <c r="A2436" s="49" t="s">
        <v>10076</v>
      </c>
      <c r="B2436" s="97">
        <v>46228.0</v>
      </c>
      <c r="C2436" s="49" t="s">
        <v>10077</v>
      </c>
      <c r="D2436" s="102" t="s">
        <v>10078</v>
      </c>
      <c r="E2436" s="25" t="s">
        <v>128</v>
      </c>
      <c r="F2436" s="25" t="s">
        <v>129</v>
      </c>
      <c r="G2436" s="25" t="s">
        <v>34</v>
      </c>
      <c r="H2436" s="49" t="s">
        <v>747</v>
      </c>
      <c r="I2436" s="101">
        <v>46229.0</v>
      </c>
      <c r="J2436" s="49">
        <v>1.0</v>
      </c>
      <c r="K2436" s="36">
        <v>275000.0</v>
      </c>
      <c r="L2436" s="49"/>
      <c r="M2436" s="50">
        <v>2.0</v>
      </c>
      <c r="N2436" s="51"/>
      <c r="O2436" s="20"/>
      <c r="P2436" s="20"/>
      <c r="Q2436" s="20"/>
      <c r="R2436" s="20"/>
      <c r="S2436" s="20"/>
    </row>
    <row r="2437">
      <c r="A2437" s="76" t="s">
        <v>10079</v>
      </c>
      <c r="B2437" s="97">
        <v>46228.0</v>
      </c>
      <c r="C2437" s="76" t="s">
        <v>10080</v>
      </c>
      <c r="D2437" s="99" t="s">
        <v>10081</v>
      </c>
      <c r="E2437" s="25" t="s">
        <v>128</v>
      </c>
      <c r="F2437" s="25" t="s">
        <v>129</v>
      </c>
      <c r="G2437" s="25" t="s">
        <v>29</v>
      </c>
      <c r="H2437" s="76" t="s">
        <v>747</v>
      </c>
      <c r="I2437" s="10"/>
      <c r="J2437" s="10"/>
      <c r="K2437" s="46"/>
      <c r="L2437" s="76" t="s">
        <v>8941</v>
      </c>
      <c r="M2437" s="44">
        <v>1.0</v>
      </c>
      <c r="N2437" s="45"/>
      <c r="O2437" s="20"/>
      <c r="P2437" s="20"/>
      <c r="Q2437" s="20"/>
      <c r="R2437" s="20"/>
      <c r="S2437" s="20"/>
    </row>
    <row r="2438">
      <c r="A2438" s="49" t="s">
        <v>10082</v>
      </c>
      <c r="B2438" s="110">
        <v>46228.0</v>
      </c>
      <c r="C2438" s="49" t="s">
        <v>10083</v>
      </c>
      <c r="D2438" s="102" t="s">
        <v>10084</v>
      </c>
      <c r="E2438" s="25" t="s">
        <v>128</v>
      </c>
      <c r="F2438" s="25" t="s">
        <v>18</v>
      </c>
      <c r="G2438" s="25" t="s">
        <v>29</v>
      </c>
      <c r="H2438" s="49" t="s">
        <v>4018</v>
      </c>
      <c r="I2438" s="101">
        <v>46232.0</v>
      </c>
      <c r="J2438" s="49">
        <v>2.0</v>
      </c>
      <c r="K2438" s="30">
        <f>350000*2</f>
        <v>700000</v>
      </c>
      <c r="L2438" s="49" t="s">
        <v>3625</v>
      </c>
      <c r="M2438" s="50">
        <v>1.0</v>
      </c>
      <c r="N2438" s="51"/>
      <c r="O2438" s="20"/>
      <c r="P2438" s="20"/>
      <c r="Q2438" s="20"/>
      <c r="R2438" s="20"/>
      <c r="S2438" s="20"/>
    </row>
    <row r="2439">
      <c r="A2439" s="76" t="s">
        <v>10085</v>
      </c>
      <c r="B2439" s="97">
        <v>46228.0</v>
      </c>
      <c r="C2439" s="76" t="s">
        <v>10086</v>
      </c>
      <c r="D2439" s="99" t="s">
        <v>10087</v>
      </c>
      <c r="E2439" s="25" t="s">
        <v>17</v>
      </c>
      <c r="F2439" s="25" t="s">
        <v>983</v>
      </c>
      <c r="G2439" s="25" t="s">
        <v>29</v>
      </c>
      <c r="H2439" s="76"/>
      <c r="I2439" s="76"/>
      <c r="J2439" s="76"/>
      <c r="K2439" s="19"/>
      <c r="L2439" s="76" t="s">
        <v>8941</v>
      </c>
      <c r="M2439" s="44">
        <v>1.0</v>
      </c>
      <c r="N2439" s="45"/>
      <c r="O2439" s="20"/>
      <c r="P2439" s="20"/>
      <c r="Q2439" s="20"/>
      <c r="R2439" s="20"/>
      <c r="S2439" s="20"/>
    </row>
    <row r="2440">
      <c r="A2440" s="49" t="s">
        <v>10088</v>
      </c>
      <c r="B2440" s="135">
        <v>46228.0</v>
      </c>
      <c r="C2440" s="49" t="s">
        <v>10089</v>
      </c>
      <c r="D2440" s="102" t="s">
        <v>10090</v>
      </c>
      <c r="E2440" s="25" t="s">
        <v>122</v>
      </c>
      <c r="F2440" s="25" t="s">
        <v>983</v>
      </c>
      <c r="G2440" s="25" t="s">
        <v>29</v>
      </c>
      <c r="H2440" s="23"/>
      <c r="I2440" s="23"/>
      <c r="J2440" s="23"/>
      <c r="K2440" s="30"/>
      <c r="L2440" s="49" t="s">
        <v>8941</v>
      </c>
      <c r="M2440" s="50">
        <v>1.0</v>
      </c>
      <c r="N2440" s="51"/>
      <c r="O2440" s="20"/>
      <c r="P2440" s="20"/>
      <c r="Q2440" s="20"/>
      <c r="R2440" s="20"/>
      <c r="S2440" s="20"/>
    </row>
    <row r="2441">
      <c r="A2441" s="76" t="s">
        <v>10091</v>
      </c>
      <c r="B2441" s="97">
        <v>46228.0</v>
      </c>
      <c r="C2441" s="76" t="s">
        <v>10092</v>
      </c>
      <c r="D2441" s="99" t="s">
        <v>10093</v>
      </c>
      <c r="E2441" s="25" t="s">
        <v>17</v>
      </c>
      <c r="F2441" s="25" t="s">
        <v>983</v>
      </c>
      <c r="G2441" s="25" t="s">
        <v>29</v>
      </c>
      <c r="H2441" s="10"/>
      <c r="I2441" s="10"/>
      <c r="J2441" s="10"/>
      <c r="K2441" s="46"/>
      <c r="L2441" s="76" t="s">
        <v>8941</v>
      </c>
      <c r="M2441" s="44">
        <v>1.0</v>
      </c>
      <c r="N2441" s="45"/>
      <c r="O2441" s="20"/>
      <c r="P2441" s="20"/>
      <c r="Q2441" s="20"/>
      <c r="R2441" s="20"/>
      <c r="S2441" s="20"/>
    </row>
    <row r="2442">
      <c r="A2442" s="49" t="s">
        <v>10094</v>
      </c>
      <c r="B2442" s="110">
        <v>46229.0</v>
      </c>
      <c r="C2442" s="49" t="s">
        <v>10095</v>
      </c>
      <c r="D2442" s="102" t="s">
        <v>10096</v>
      </c>
      <c r="E2442" s="25" t="s">
        <v>17</v>
      </c>
      <c r="F2442" s="25" t="s">
        <v>983</v>
      </c>
      <c r="G2442" s="25" t="s">
        <v>19</v>
      </c>
      <c r="H2442" s="49" t="s">
        <v>213</v>
      </c>
      <c r="I2442" s="49" t="s">
        <v>10097</v>
      </c>
      <c r="J2442" s="49">
        <v>2.0</v>
      </c>
      <c r="K2442" s="36">
        <v>5652000.0</v>
      </c>
      <c r="L2442" s="49" t="s">
        <v>3625</v>
      </c>
      <c r="M2442" s="50">
        <v>7.0</v>
      </c>
      <c r="N2442" s="51"/>
      <c r="O2442" s="20"/>
      <c r="P2442" s="20"/>
      <c r="Q2442" s="20"/>
      <c r="R2442" s="20"/>
      <c r="S2442" s="20"/>
    </row>
    <row r="2443">
      <c r="A2443" s="76" t="s">
        <v>10098</v>
      </c>
      <c r="B2443" s="121">
        <v>46229.0</v>
      </c>
      <c r="C2443" s="76" t="s">
        <v>10099</v>
      </c>
      <c r="D2443" s="99" t="s">
        <v>10100</v>
      </c>
      <c r="E2443" s="25" t="s">
        <v>17</v>
      </c>
      <c r="F2443" s="25" t="s">
        <v>18</v>
      </c>
      <c r="G2443" s="25" t="s">
        <v>34</v>
      </c>
      <c r="H2443" s="76" t="s">
        <v>20</v>
      </c>
      <c r="I2443" s="118">
        <v>46235.0</v>
      </c>
      <c r="J2443" s="76">
        <v>7.0</v>
      </c>
      <c r="K2443" s="46"/>
      <c r="L2443" s="10"/>
      <c r="M2443" s="44">
        <v>2.0</v>
      </c>
      <c r="N2443" s="45"/>
      <c r="O2443" s="20"/>
      <c r="P2443" s="20"/>
      <c r="Q2443" s="20"/>
      <c r="R2443" s="20"/>
      <c r="S2443" s="20"/>
    </row>
    <row r="2444">
      <c r="A2444" s="49" t="s">
        <v>10101</v>
      </c>
      <c r="B2444" s="110">
        <v>46229.0</v>
      </c>
      <c r="C2444" s="49" t="s">
        <v>10102</v>
      </c>
      <c r="D2444" s="102" t="s">
        <v>10103</v>
      </c>
      <c r="E2444" s="25" t="s">
        <v>17</v>
      </c>
      <c r="F2444" s="25" t="s">
        <v>18</v>
      </c>
      <c r="G2444" s="25" t="s">
        <v>29</v>
      </c>
      <c r="H2444" s="49" t="s">
        <v>4107</v>
      </c>
      <c r="I2444" s="101">
        <v>46238.0</v>
      </c>
      <c r="J2444" s="49">
        <v>2.0</v>
      </c>
      <c r="K2444" s="30"/>
      <c r="L2444" s="23"/>
      <c r="M2444" s="50">
        <v>1.0</v>
      </c>
      <c r="N2444" s="51"/>
      <c r="O2444" s="20"/>
      <c r="P2444" s="20"/>
      <c r="Q2444" s="20"/>
      <c r="R2444" s="20"/>
      <c r="S2444" s="20"/>
    </row>
    <row r="2445">
      <c r="A2445" s="76" t="s">
        <v>10104</v>
      </c>
      <c r="B2445" s="97">
        <v>46229.0</v>
      </c>
      <c r="C2445" s="76" t="s">
        <v>10105</v>
      </c>
      <c r="D2445" s="99" t="s">
        <v>10106</v>
      </c>
      <c r="E2445" s="25" t="s">
        <v>128</v>
      </c>
      <c r="F2445" s="25" t="s">
        <v>18</v>
      </c>
      <c r="G2445" s="25" t="s">
        <v>29</v>
      </c>
      <c r="H2445" s="76" t="s">
        <v>4107</v>
      </c>
      <c r="I2445" s="10"/>
      <c r="J2445" s="10"/>
      <c r="K2445" s="46"/>
      <c r="L2445" s="10"/>
      <c r="M2445" s="44">
        <v>1.0</v>
      </c>
      <c r="N2445" s="45"/>
      <c r="O2445" s="20"/>
      <c r="P2445" s="20"/>
      <c r="Q2445" s="20"/>
      <c r="R2445" s="20"/>
      <c r="S2445" s="20"/>
    </row>
    <row r="2446">
      <c r="A2446" s="49" t="s">
        <v>10107</v>
      </c>
      <c r="B2446" s="110">
        <v>46229.0</v>
      </c>
      <c r="C2446" s="49" t="s">
        <v>10108</v>
      </c>
      <c r="D2446" s="102" t="s">
        <v>10109</v>
      </c>
      <c r="E2446" s="25" t="s">
        <v>128</v>
      </c>
      <c r="F2446" s="25" t="s">
        <v>18</v>
      </c>
      <c r="G2446" s="25" t="s">
        <v>29</v>
      </c>
      <c r="H2446" s="49" t="s">
        <v>86</v>
      </c>
      <c r="I2446" s="117">
        <v>46375.0</v>
      </c>
      <c r="J2446" s="49">
        <v>14.0</v>
      </c>
      <c r="K2446" s="30"/>
      <c r="L2446" s="23"/>
      <c r="M2446" s="50">
        <v>1.0</v>
      </c>
      <c r="N2446" s="51"/>
      <c r="O2446" s="20"/>
      <c r="P2446" s="20"/>
      <c r="Q2446" s="20"/>
      <c r="R2446" s="20"/>
      <c r="S2446" s="20"/>
    </row>
    <row r="2447">
      <c r="A2447" s="76" t="s">
        <v>10110</v>
      </c>
      <c r="B2447" s="97">
        <v>46230.0</v>
      </c>
      <c r="C2447" s="76" t="s">
        <v>10111</v>
      </c>
      <c r="D2447" s="99" t="s">
        <v>10112</v>
      </c>
      <c r="E2447" s="25" t="s">
        <v>128</v>
      </c>
      <c r="F2447" s="25" t="s">
        <v>18</v>
      </c>
      <c r="G2447" s="25" t="s">
        <v>29</v>
      </c>
      <c r="H2447" s="76" t="s">
        <v>20</v>
      </c>
      <c r="I2447" s="10"/>
      <c r="J2447" s="10"/>
      <c r="K2447" s="46"/>
      <c r="L2447" s="10"/>
      <c r="M2447" s="44">
        <v>1.0</v>
      </c>
      <c r="N2447" s="45"/>
      <c r="O2447" s="20"/>
      <c r="P2447" s="20"/>
      <c r="Q2447" s="20"/>
      <c r="R2447" s="20"/>
      <c r="S2447" s="20"/>
    </row>
    <row r="2448">
      <c r="A2448" s="49" t="s">
        <v>10113</v>
      </c>
      <c r="B2448" s="135">
        <v>46230.0</v>
      </c>
      <c r="C2448" s="49" t="s">
        <v>10114</v>
      </c>
      <c r="D2448" s="102" t="s">
        <v>10115</v>
      </c>
      <c r="E2448" s="25" t="s">
        <v>128</v>
      </c>
      <c r="F2448" s="25" t="s">
        <v>18</v>
      </c>
      <c r="G2448" s="25" t="s">
        <v>29</v>
      </c>
      <c r="H2448" s="49" t="s">
        <v>3210</v>
      </c>
      <c r="I2448" s="23"/>
      <c r="J2448" s="23"/>
      <c r="K2448" s="30"/>
      <c r="L2448" s="23"/>
      <c r="M2448" s="50">
        <v>1.0</v>
      </c>
      <c r="N2448" s="51"/>
      <c r="O2448" s="20"/>
      <c r="P2448" s="20"/>
      <c r="Q2448" s="20"/>
      <c r="R2448" s="20"/>
      <c r="S2448" s="20"/>
    </row>
    <row r="2449">
      <c r="A2449" s="76" t="s">
        <v>10116</v>
      </c>
      <c r="B2449" s="97">
        <v>46230.0</v>
      </c>
      <c r="C2449" s="76" t="s">
        <v>10117</v>
      </c>
      <c r="D2449" s="99" t="s">
        <v>10118</v>
      </c>
      <c r="E2449" s="25" t="s">
        <v>128</v>
      </c>
      <c r="F2449" s="25" t="s">
        <v>18</v>
      </c>
      <c r="G2449" s="25" t="s">
        <v>29</v>
      </c>
      <c r="H2449" s="76" t="s">
        <v>172</v>
      </c>
      <c r="I2449" s="10"/>
      <c r="J2449" s="10"/>
      <c r="K2449" s="46"/>
      <c r="L2449" s="10"/>
      <c r="M2449" s="44">
        <v>1.0</v>
      </c>
      <c r="N2449" s="45"/>
      <c r="O2449" s="20"/>
      <c r="P2449" s="20"/>
      <c r="Q2449" s="20"/>
      <c r="R2449" s="20"/>
      <c r="S2449" s="20"/>
    </row>
    <row r="2450">
      <c r="A2450" s="49" t="s">
        <v>10119</v>
      </c>
      <c r="B2450" s="110">
        <v>46231.0</v>
      </c>
      <c r="C2450" s="49" t="s">
        <v>10120</v>
      </c>
      <c r="D2450" s="102" t="s">
        <v>10121</v>
      </c>
      <c r="E2450" s="25" t="s">
        <v>128</v>
      </c>
      <c r="F2450" s="25" t="s">
        <v>18</v>
      </c>
      <c r="G2450" s="25" t="s">
        <v>29</v>
      </c>
      <c r="H2450" s="49" t="s">
        <v>172</v>
      </c>
      <c r="I2450" s="23"/>
      <c r="J2450" s="23"/>
      <c r="K2450" s="30"/>
      <c r="L2450" s="23"/>
      <c r="M2450" s="50">
        <v>1.0</v>
      </c>
      <c r="N2450" s="51"/>
      <c r="O2450" s="20"/>
      <c r="P2450" s="20"/>
      <c r="Q2450" s="20"/>
      <c r="R2450" s="20"/>
      <c r="S2450" s="20"/>
    </row>
    <row r="2451">
      <c r="A2451" s="76" t="s">
        <v>10122</v>
      </c>
      <c r="B2451" s="97">
        <v>46230.0</v>
      </c>
      <c r="C2451" s="76" t="s">
        <v>1817</v>
      </c>
      <c r="D2451" s="99" t="s">
        <v>10123</v>
      </c>
      <c r="E2451" s="25" t="s">
        <v>128</v>
      </c>
      <c r="F2451" s="25" t="s">
        <v>983</v>
      </c>
      <c r="G2451" s="25" t="s">
        <v>29</v>
      </c>
      <c r="H2451" s="76" t="s">
        <v>10124</v>
      </c>
      <c r="I2451" s="10"/>
      <c r="J2451" s="76">
        <v>1.0</v>
      </c>
      <c r="K2451" s="46"/>
      <c r="L2451" s="76" t="s">
        <v>10125</v>
      </c>
      <c r="M2451" s="44">
        <v>1.0</v>
      </c>
      <c r="N2451" s="45"/>
      <c r="O2451" s="20"/>
      <c r="P2451" s="20"/>
      <c r="Q2451" s="20"/>
      <c r="R2451" s="20"/>
      <c r="S2451" s="20"/>
    </row>
    <row r="2452">
      <c r="A2452" s="49" t="s">
        <v>10126</v>
      </c>
      <c r="B2452" s="110">
        <v>46230.0</v>
      </c>
      <c r="C2452" s="49" t="s">
        <v>10127</v>
      </c>
      <c r="D2452" s="102" t="s">
        <v>10128</v>
      </c>
      <c r="E2452" s="25" t="s">
        <v>17</v>
      </c>
      <c r="F2452" s="25" t="s">
        <v>983</v>
      </c>
      <c r="G2452" s="25" t="s">
        <v>29</v>
      </c>
      <c r="H2452" s="49" t="s">
        <v>2917</v>
      </c>
      <c r="I2452" s="23"/>
      <c r="J2452" s="23"/>
      <c r="K2452" s="30"/>
      <c r="L2452" s="49" t="s">
        <v>10125</v>
      </c>
      <c r="M2452" s="50">
        <v>1.0</v>
      </c>
      <c r="N2452" s="51"/>
      <c r="O2452" s="20"/>
      <c r="P2452" s="20"/>
      <c r="Q2452" s="20"/>
      <c r="R2452" s="20"/>
      <c r="S2452" s="20"/>
    </row>
    <row r="2453">
      <c r="A2453" s="76" t="s">
        <v>10129</v>
      </c>
      <c r="B2453" s="97">
        <v>46230.0</v>
      </c>
      <c r="C2453" s="76" t="s">
        <v>10130</v>
      </c>
      <c r="D2453" s="99" t="s">
        <v>10131</v>
      </c>
      <c r="E2453" s="25" t="s">
        <v>122</v>
      </c>
      <c r="F2453" s="25" t="s">
        <v>983</v>
      </c>
      <c r="G2453" s="25" t="s">
        <v>34</v>
      </c>
      <c r="H2453" s="76" t="s">
        <v>10132</v>
      </c>
      <c r="I2453" s="76" t="s">
        <v>10133</v>
      </c>
      <c r="J2453" s="76">
        <v>1.0</v>
      </c>
      <c r="K2453" s="19">
        <v>425000.0</v>
      </c>
      <c r="L2453" s="76" t="s">
        <v>9543</v>
      </c>
      <c r="M2453" s="44">
        <v>2.0</v>
      </c>
      <c r="N2453" s="45"/>
      <c r="O2453" s="20"/>
      <c r="P2453" s="20"/>
      <c r="Q2453" s="20"/>
      <c r="R2453" s="20"/>
      <c r="S2453" s="20"/>
    </row>
    <row r="2454">
      <c r="A2454" s="49" t="s">
        <v>10134</v>
      </c>
      <c r="B2454" s="110">
        <v>46229.0</v>
      </c>
      <c r="C2454" s="49" t="s">
        <v>10135</v>
      </c>
      <c r="D2454" s="102" t="s">
        <v>10136</v>
      </c>
      <c r="E2454" s="25" t="s">
        <v>128</v>
      </c>
      <c r="F2454" s="25" t="s">
        <v>129</v>
      </c>
      <c r="G2454" s="25" t="s">
        <v>29</v>
      </c>
      <c r="H2454" s="49" t="s">
        <v>10137</v>
      </c>
      <c r="I2454" s="23"/>
      <c r="J2454" s="49">
        <v>5.0</v>
      </c>
      <c r="K2454" s="30"/>
      <c r="L2454" s="49" t="s">
        <v>8908</v>
      </c>
      <c r="M2454" s="50">
        <v>1.0</v>
      </c>
      <c r="N2454" s="51"/>
      <c r="O2454" s="20"/>
      <c r="P2454" s="20"/>
      <c r="Q2454" s="20"/>
      <c r="R2454" s="20"/>
      <c r="S2454" s="20"/>
    </row>
    <row r="2455">
      <c r="A2455" s="76" t="s">
        <v>10138</v>
      </c>
      <c r="B2455" s="97">
        <v>46230.0</v>
      </c>
      <c r="C2455" s="76" t="s">
        <v>10139</v>
      </c>
      <c r="D2455" s="99" t="s">
        <v>10140</v>
      </c>
      <c r="E2455" s="25" t="s">
        <v>128</v>
      </c>
      <c r="F2455" s="25" t="s">
        <v>129</v>
      </c>
      <c r="G2455" s="25" t="s">
        <v>29</v>
      </c>
      <c r="H2455" s="76" t="s">
        <v>199</v>
      </c>
      <c r="I2455" s="118">
        <v>46252.0</v>
      </c>
      <c r="J2455" s="76">
        <v>2.0</v>
      </c>
      <c r="K2455" s="46"/>
      <c r="L2455" s="76" t="s">
        <v>9543</v>
      </c>
      <c r="M2455" s="44">
        <v>1.0</v>
      </c>
      <c r="N2455" s="45"/>
      <c r="O2455" s="20"/>
      <c r="P2455" s="20"/>
      <c r="Q2455" s="20"/>
      <c r="R2455" s="20"/>
      <c r="S2455" s="20"/>
    </row>
    <row r="2456">
      <c r="A2456" s="49" t="s">
        <v>10141</v>
      </c>
      <c r="B2456" s="110">
        <v>46230.0</v>
      </c>
      <c r="C2456" s="49" t="s">
        <v>10142</v>
      </c>
      <c r="D2456" s="102" t="s">
        <v>10143</v>
      </c>
      <c r="E2456" s="25" t="s">
        <v>128</v>
      </c>
      <c r="F2456" s="25" t="s">
        <v>129</v>
      </c>
      <c r="G2456" s="25" t="s">
        <v>29</v>
      </c>
      <c r="H2456" s="49" t="s">
        <v>3767</v>
      </c>
      <c r="I2456" s="101">
        <v>46280.0</v>
      </c>
      <c r="J2456" s="49">
        <v>3.0</v>
      </c>
      <c r="K2456" s="30"/>
      <c r="L2456" s="49" t="s">
        <v>10144</v>
      </c>
      <c r="M2456" s="50">
        <v>1.0</v>
      </c>
      <c r="N2456" s="51"/>
      <c r="O2456" s="20"/>
      <c r="P2456" s="20"/>
      <c r="Q2456" s="20"/>
      <c r="R2456" s="20"/>
      <c r="S2456" s="20"/>
    </row>
    <row r="2457">
      <c r="A2457" s="76" t="s">
        <v>10145</v>
      </c>
      <c r="B2457" s="97">
        <v>46230.0</v>
      </c>
      <c r="C2457" s="76" t="s">
        <v>10146</v>
      </c>
      <c r="D2457" s="99" t="s">
        <v>10147</v>
      </c>
      <c r="E2457" s="25" t="s">
        <v>128</v>
      </c>
      <c r="F2457" s="25" t="s">
        <v>129</v>
      </c>
      <c r="G2457" s="25" t="s">
        <v>29</v>
      </c>
      <c r="H2457" s="76" t="s">
        <v>8514</v>
      </c>
      <c r="I2457" s="10"/>
      <c r="J2457" s="76">
        <v>6.0</v>
      </c>
      <c r="K2457" s="46"/>
      <c r="L2457" s="76" t="s">
        <v>8908</v>
      </c>
      <c r="M2457" s="44">
        <v>1.0</v>
      </c>
      <c r="N2457" s="45"/>
      <c r="O2457" s="20"/>
      <c r="P2457" s="20"/>
      <c r="Q2457" s="20"/>
      <c r="R2457" s="20"/>
      <c r="S2457" s="20"/>
    </row>
    <row r="2458">
      <c r="A2458" s="49" t="s">
        <v>10148</v>
      </c>
      <c r="B2458" s="110">
        <v>46230.0</v>
      </c>
      <c r="C2458" s="49" t="s">
        <v>10149</v>
      </c>
      <c r="D2458" s="102" t="s">
        <v>10150</v>
      </c>
      <c r="E2458" s="25" t="s">
        <v>128</v>
      </c>
      <c r="F2458" s="25" t="s">
        <v>129</v>
      </c>
      <c r="G2458" s="25" t="s">
        <v>29</v>
      </c>
      <c r="H2458" s="49" t="s">
        <v>747</v>
      </c>
      <c r="I2458" s="101">
        <v>46250.0</v>
      </c>
      <c r="J2458" s="23"/>
      <c r="K2458" s="30"/>
      <c r="L2458" s="49" t="s">
        <v>10151</v>
      </c>
      <c r="M2458" s="50">
        <v>1.0</v>
      </c>
      <c r="N2458" s="51"/>
      <c r="O2458" s="20"/>
      <c r="P2458" s="20"/>
      <c r="Q2458" s="20"/>
      <c r="R2458" s="20"/>
      <c r="S2458" s="20"/>
    </row>
    <row r="2459">
      <c r="A2459" s="76" t="s">
        <v>10152</v>
      </c>
      <c r="B2459" s="97">
        <v>46230.0</v>
      </c>
      <c r="C2459" s="76" t="s">
        <v>10153</v>
      </c>
      <c r="D2459" s="99" t="s">
        <v>10154</v>
      </c>
      <c r="E2459" s="25" t="s">
        <v>128</v>
      </c>
      <c r="F2459" s="25" t="s">
        <v>129</v>
      </c>
      <c r="G2459" s="25" t="s">
        <v>29</v>
      </c>
      <c r="H2459" s="76" t="s">
        <v>571</v>
      </c>
      <c r="I2459" s="118">
        <v>46265.0</v>
      </c>
      <c r="J2459" s="76">
        <v>2.0</v>
      </c>
      <c r="K2459" s="46"/>
      <c r="L2459" s="76" t="s">
        <v>10144</v>
      </c>
      <c r="M2459" s="44">
        <v>1.0</v>
      </c>
      <c r="N2459" s="45"/>
      <c r="O2459" s="20"/>
      <c r="P2459" s="20"/>
      <c r="Q2459" s="20"/>
      <c r="R2459" s="20"/>
      <c r="S2459" s="20"/>
    </row>
    <row r="2460">
      <c r="A2460" s="49" t="s">
        <v>10155</v>
      </c>
      <c r="B2460" s="110">
        <v>46230.0</v>
      </c>
      <c r="C2460" s="49" t="s">
        <v>10156</v>
      </c>
      <c r="D2460" s="102" t="s">
        <v>10157</v>
      </c>
      <c r="E2460" s="25" t="s">
        <v>128</v>
      </c>
      <c r="F2460" s="25" t="s">
        <v>129</v>
      </c>
      <c r="G2460" s="25" t="s">
        <v>29</v>
      </c>
      <c r="H2460" s="49" t="s">
        <v>3843</v>
      </c>
      <c r="I2460" s="49" t="s">
        <v>7002</v>
      </c>
      <c r="J2460" s="23"/>
      <c r="K2460" s="30"/>
      <c r="L2460" s="49" t="s">
        <v>8908</v>
      </c>
      <c r="M2460" s="50">
        <v>1.0</v>
      </c>
      <c r="N2460" s="51"/>
      <c r="O2460" s="20"/>
      <c r="P2460" s="20"/>
      <c r="Q2460" s="20"/>
      <c r="R2460" s="20"/>
      <c r="S2460" s="20"/>
    </row>
    <row r="2461">
      <c r="A2461" s="76" t="s">
        <v>10158</v>
      </c>
      <c r="B2461" s="97">
        <v>46230.0</v>
      </c>
      <c r="C2461" s="76" t="s">
        <v>10159</v>
      </c>
      <c r="D2461" s="99" t="s">
        <v>10160</v>
      </c>
      <c r="E2461" s="25" t="s">
        <v>869</v>
      </c>
      <c r="F2461" s="25" t="s">
        <v>129</v>
      </c>
      <c r="G2461" s="25" t="s">
        <v>29</v>
      </c>
      <c r="H2461" s="76" t="s">
        <v>10161</v>
      </c>
      <c r="I2461" s="76" t="s">
        <v>4827</v>
      </c>
      <c r="J2461" s="76" t="s">
        <v>2450</v>
      </c>
      <c r="K2461" s="46"/>
      <c r="L2461" s="76" t="s">
        <v>10162</v>
      </c>
      <c r="M2461" s="44">
        <v>1.0</v>
      </c>
      <c r="N2461" s="45"/>
      <c r="O2461" s="20"/>
      <c r="P2461" s="20"/>
      <c r="Q2461" s="20"/>
      <c r="R2461" s="20"/>
      <c r="S2461" s="20"/>
    </row>
    <row r="2462">
      <c r="A2462" s="49" t="s">
        <v>10163</v>
      </c>
      <c r="B2462" s="110">
        <v>46230.0</v>
      </c>
      <c r="C2462" s="49" t="s">
        <v>10164</v>
      </c>
      <c r="D2462" s="102" t="s">
        <v>10165</v>
      </c>
      <c r="E2462" s="25" t="s">
        <v>128</v>
      </c>
      <c r="F2462" s="25" t="s">
        <v>129</v>
      </c>
      <c r="G2462" s="25" t="s">
        <v>29</v>
      </c>
      <c r="H2462" s="49" t="s">
        <v>199</v>
      </c>
      <c r="I2462" s="101">
        <v>46249.0</v>
      </c>
      <c r="J2462" s="49">
        <v>2.0</v>
      </c>
      <c r="K2462" s="30"/>
      <c r="L2462" s="49" t="s">
        <v>8194</v>
      </c>
      <c r="M2462" s="50">
        <v>1.0</v>
      </c>
      <c r="N2462" s="51"/>
      <c r="O2462" s="20"/>
      <c r="P2462" s="20"/>
      <c r="Q2462" s="20"/>
      <c r="R2462" s="20"/>
      <c r="S2462" s="20"/>
    </row>
    <row r="2463">
      <c r="A2463" s="76" t="s">
        <v>10166</v>
      </c>
      <c r="B2463" s="97">
        <v>46230.0</v>
      </c>
      <c r="C2463" s="76" t="s">
        <v>10167</v>
      </c>
      <c r="D2463" s="99" t="s">
        <v>10168</v>
      </c>
      <c r="E2463" s="25" t="s">
        <v>128</v>
      </c>
      <c r="F2463" s="25" t="s">
        <v>129</v>
      </c>
      <c r="G2463" s="25" t="s">
        <v>29</v>
      </c>
      <c r="H2463" s="76" t="s">
        <v>747</v>
      </c>
      <c r="I2463" s="118">
        <v>46250.0</v>
      </c>
      <c r="J2463" s="76">
        <v>4.0</v>
      </c>
      <c r="K2463" s="46"/>
      <c r="L2463" s="76" t="s">
        <v>8908</v>
      </c>
      <c r="M2463" s="44">
        <v>1.0</v>
      </c>
      <c r="N2463" s="45"/>
      <c r="O2463" s="20"/>
      <c r="P2463" s="20"/>
      <c r="Q2463" s="20"/>
      <c r="R2463" s="20"/>
      <c r="S2463" s="20"/>
    </row>
    <row r="2464">
      <c r="A2464" s="49" t="s">
        <v>10169</v>
      </c>
      <c r="B2464" s="110">
        <v>46231.0</v>
      </c>
      <c r="C2464" s="49" t="s">
        <v>7652</v>
      </c>
      <c r="D2464" s="102" t="s">
        <v>10170</v>
      </c>
      <c r="E2464" s="25" t="s">
        <v>17</v>
      </c>
      <c r="F2464" s="25" t="s">
        <v>983</v>
      </c>
      <c r="G2464" s="25" t="s">
        <v>34</v>
      </c>
      <c r="H2464" s="49" t="s">
        <v>123</v>
      </c>
      <c r="I2464" s="101">
        <v>46256.0</v>
      </c>
      <c r="J2464" s="49">
        <v>3.0</v>
      </c>
      <c r="K2464" s="30"/>
      <c r="L2464" s="23"/>
      <c r="M2464" s="50">
        <v>2.0</v>
      </c>
      <c r="N2464" s="51"/>
      <c r="O2464" s="20"/>
      <c r="P2464" s="20"/>
      <c r="Q2464" s="20"/>
      <c r="R2464" s="20"/>
      <c r="S2464" s="20"/>
    </row>
    <row r="2465">
      <c r="A2465" s="76" t="s">
        <v>10171</v>
      </c>
      <c r="B2465" s="97">
        <v>46231.0</v>
      </c>
      <c r="C2465" s="76" t="s">
        <v>10172</v>
      </c>
      <c r="D2465" s="99" t="s">
        <v>10173</v>
      </c>
      <c r="E2465" s="25" t="s">
        <v>17</v>
      </c>
      <c r="F2465" s="25" t="s">
        <v>983</v>
      </c>
      <c r="G2465" s="25" t="s">
        <v>29</v>
      </c>
      <c r="H2465" s="76" t="s">
        <v>894</v>
      </c>
      <c r="I2465" s="10"/>
      <c r="J2465" s="76"/>
      <c r="K2465" s="46"/>
      <c r="L2465" s="10"/>
      <c r="M2465" s="44">
        <v>1.0</v>
      </c>
      <c r="N2465" s="45"/>
      <c r="O2465" s="20"/>
      <c r="P2465" s="20"/>
      <c r="Q2465" s="20"/>
      <c r="R2465" s="20"/>
      <c r="S2465" s="20"/>
    </row>
    <row r="2466">
      <c r="A2466" s="49" t="s">
        <v>10174</v>
      </c>
      <c r="B2466" s="110">
        <v>46231.0</v>
      </c>
      <c r="C2466" s="49" t="s">
        <v>10175</v>
      </c>
      <c r="D2466" s="102" t="s">
        <v>10176</v>
      </c>
      <c r="E2466" s="25" t="s">
        <v>128</v>
      </c>
      <c r="F2466" s="25" t="s">
        <v>18</v>
      </c>
      <c r="G2466" s="25" t="s">
        <v>64</v>
      </c>
      <c r="H2466" s="49" t="s">
        <v>10177</v>
      </c>
      <c r="I2466" s="101">
        <v>46239.0</v>
      </c>
      <c r="J2466" s="49">
        <v>2.0</v>
      </c>
      <c r="K2466" s="30">
        <f>400000*2</f>
        <v>800000</v>
      </c>
      <c r="L2466" s="23"/>
      <c r="M2466" s="50">
        <v>6.0</v>
      </c>
      <c r="N2466" s="51"/>
      <c r="O2466" s="20"/>
      <c r="P2466" s="20"/>
      <c r="Q2466" s="20"/>
      <c r="R2466" s="20"/>
      <c r="S2466" s="20"/>
    </row>
    <row r="2467">
      <c r="A2467" s="10"/>
      <c r="B2467" s="11"/>
      <c r="C2467" s="10"/>
      <c r="D2467" s="13"/>
      <c r="E2467" s="14"/>
      <c r="F2467" s="14"/>
      <c r="G2467" s="14"/>
      <c r="H2467" s="10"/>
      <c r="I2467" s="10"/>
      <c r="J2467" s="10"/>
      <c r="K2467" s="46"/>
      <c r="L2467" s="10"/>
      <c r="M2467" s="44" t="s">
        <v>10178</v>
      </c>
      <c r="N2467" s="45"/>
      <c r="O2467" s="20"/>
      <c r="P2467" s="20"/>
      <c r="Q2467" s="20"/>
      <c r="R2467" s="20"/>
      <c r="S2467" s="20"/>
    </row>
    <row r="2468">
      <c r="A2468" s="23"/>
      <c r="B2468" s="21"/>
      <c r="C2468" s="23"/>
      <c r="D2468" s="24"/>
      <c r="E2468" s="14"/>
      <c r="F2468" s="14"/>
      <c r="G2468" s="14"/>
      <c r="H2468" s="23"/>
      <c r="I2468" s="23"/>
      <c r="J2468" s="23"/>
      <c r="K2468" s="30"/>
      <c r="L2468" s="23"/>
      <c r="M2468" s="50" t="s">
        <v>10178</v>
      </c>
      <c r="N2468" s="51"/>
      <c r="O2468" s="20"/>
      <c r="P2468" s="20"/>
      <c r="Q2468" s="20"/>
      <c r="R2468" s="20"/>
      <c r="S2468" s="20"/>
    </row>
    <row r="2469">
      <c r="A2469" s="10"/>
      <c r="B2469" s="11"/>
      <c r="C2469" s="10"/>
      <c r="D2469" s="13"/>
      <c r="E2469" s="14"/>
      <c r="F2469" s="14"/>
      <c r="G2469" s="14"/>
      <c r="H2469" s="10"/>
      <c r="I2469" s="10"/>
      <c r="J2469" s="10"/>
      <c r="K2469" s="46"/>
      <c r="L2469" s="10"/>
      <c r="M2469" s="44" t="s">
        <v>10178</v>
      </c>
      <c r="N2469" s="45"/>
      <c r="O2469" s="20"/>
      <c r="P2469" s="20"/>
      <c r="Q2469" s="20"/>
      <c r="R2469" s="20"/>
      <c r="S2469" s="20"/>
    </row>
    <row r="2470">
      <c r="A2470" s="23"/>
      <c r="B2470" s="21"/>
      <c r="C2470" s="23"/>
      <c r="D2470" s="24"/>
      <c r="E2470" s="14"/>
      <c r="F2470" s="14"/>
      <c r="G2470" s="14"/>
      <c r="H2470" s="23"/>
      <c r="I2470" s="23"/>
      <c r="J2470" s="23"/>
      <c r="K2470" s="30"/>
      <c r="L2470" s="23"/>
      <c r="M2470" s="50" t="s">
        <v>10178</v>
      </c>
      <c r="N2470" s="51"/>
      <c r="O2470" s="20"/>
      <c r="P2470" s="20"/>
      <c r="Q2470" s="20"/>
      <c r="R2470" s="20"/>
      <c r="S2470" s="20"/>
    </row>
    <row r="2471">
      <c r="A2471" s="10"/>
      <c r="B2471" s="11"/>
      <c r="C2471" s="10"/>
      <c r="D2471" s="13"/>
      <c r="E2471" s="14"/>
      <c r="F2471" s="14"/>
      <c r="G2471" s="14"/>
      <c r="H2471" s="10"/>
      <c r="I2471" s="10"/>
      <c r="J2471" s="10"/>
      <c r="K2471" s="46"/>
      <c r="L2471" s="10"/>
      <c r="M2471" s="44" t="s">
        <v>10178</v>
      </c>
      <c r="N2471" s="45"/>
      <c r="O2471" s="20"/>
      <c r="P2471" s="20"/>
      <c r="Q2471" s="20"/>
      <c r="R2471" s="20"/>
      <c r="S2471" s="20"/>
    </row>
    <row r="2472">
      <c r="A2472" s="23"/>
      <c r="B2472" s="21"/>
      <c r="C2472" s="23"/>
      <c r="D2472" s="24"/>
      <c r="E2472" s="14"/>
      <c r="F2472" s="14"/>
      <c r="G2472" s="14"/>
      <c r="H2472" s="23"/>
      <c r="I2472" s="23"/>
      <c r="J2472" s="23"/>
      <c r="K2472" s="30"/>
      <c r="L2472" s="23"/>
      <c r="M2472" s="50" t="s">
        <v>10178</v>
      </c>
      <c r="N2472" s="51"/>
      <c r="O2472" s="20"/>
      <c r="P2472" s="20"/>
      <c r="Q2472" s="20"/>
      <c r="R2472" s="20"/>
      <c r="S2472" s="20"/>
    </row>
    <row r="2473">
      <c r="A2473" s="10"/>
      <c r="B2473" s="11"/>
      <c r="C2473" s="10"/>
      <c r="D2473" s="13"/>
      <c r="E2473" s="14"/>
      <c r="F2473" s="14"/>
      <c r="G2473" s="14"/>
      <c r="H2473" s="10"/>
      <c r="I2473" s="10"/>
      <c r="J2473" s="10"/>
      <c r="K2473" s="46"/>
      <c r="L2473" s="10"/>
      <c r="M2473" s="44" t="s">
        <v>10178</v>
      </c>
      <c r="N2473" s="45"/>
      <c r="O2473" s="20"/>
      <c r="P2473" s="20"/>
      <c r="Q2473" s="20"/>
      <c r="R2473" s="20"/>
      <c r="S2473" s="20"/>
    </row>
    <row r="2474">
      <c r="A2474" s="23"/>
      <c r="B2474" s="21"/>
      <c r="C2474" s="23"/>
      <c r="D2474" s="24"/>
      <c r="E2474" s="14"/>
      <c r="F2474" s="14"/>
      <c r="G2474" s="14"/>
      <c r="H2474" s="23"/>
      <c r="I2474" s="23"/>
      <c r="J2474" s="23"/>
      <c r="K2474" s="30"/>
      <c r="L2474" s="23"/>
      <c r="M2474" s="50" t="s">
        <v>10178</v>
      </c>
      <c r="N2474" s="51"/>
      <c r="O2474" s="20"/>
      <c r="P2474" s="20"/>
      <c r="Q2474" s="20"/>
      <c r="R2474" s="20"/>
      <c r="S2474" s="20"/>
    </row>
    <row r="2475">
      <c r="A2475" s="10"/>
      <c r="B2475" s="11"/>
      <c r="C2475" s="10"/>
      <c r="D2475" s="13"/>
      <c r="E2475" s="14"/>
      <c r="F2475" s="14"/>
      <c r="G2475" s="14"/>
      <c r="H2475" s="10"/>
      <c r="I2475" s="10"/>
      <c r="J2475" s="10"/>
      <c r="K2475" s="46"/>
      <c r="L2475" s="10"/>
      <c r="M2475" s="44" t="s">
        <v>10178</v>
      </c>
      <c r="N2475" s="45"/>
      <c r="O2475" s="20"/>
      <c r="P2475" s="20"/>
      <c r="Q2475" s="20"/>
      <c r="R2475" s="20"/>
      <c r="S2475" s="20"/>
    </row>
    <row r="2476">
      <c r="A2476" s="23"/>
      <c r="B2476" s="21"/>
      <c r="C2476" s="23"/>
      <c r="D2476" s="24"/>
      <c r="E2476" s="14"/>
      <c r="F2476" s="14"/>
      <c r="G2476" s="14"/>
      <c r="H2476" s="23"/>
      <c r="I2476" s="23"/>
      <c r="J2476" s="23"/>
      <c r="K2476" s="30"/>
      <c r="L2476" s="23"/>
      <c r="M2476" s="50" t="s">
        <v>10178</v>
      </c>
      <c r="N2476" s="51"/>
      <c r="O2476" s="20"/>
      <c r="P2476" s="20"/>
      <c r="Q2476" s="20"/>
      <c r="R2476" s="20"/>
      <c r="S2476" s="20"/>
    </row>
    <row r="2477">
      <c r="A2477" s="10"/>
      <c r="B2477" s="11"/>
      <c r="C2477" s="10"/>
      <c r="D2477" s="13"/>
      <c r="E2477" s="14"/>
      <c r="F2477" s="14"/>
      <c r="G2477" s="14"/>
      <c r="H2477" s="10"/>
      <c r="I2477" s="10"/>
      <c r="J2477" s="10"/>
      <c r="K2477" s="46"/>
      <c r="L2477" s="10"/>
      <c r="M2477" s="44" t="s">
        <v>10178</v>
      </c>
      <c r="N2477" s="45"/>
      <c r="O2477" s="20"/>
      <c r="P2477" s="20"/>
      <c r="Q2477" s="20"/>
      <c r="R2477" s="20"/>
      <c r="S2477" s="20"/>
    </row>
    <row r="2478">
      <c r="A2478" s="23"/>
      <c r="B2478" s="21"/>
      <c r="C2478" s="23"/>
      <c r="D2478" s="24"/>
      <c r="E2478" s="14"/>
      <c r="F2478" s="14"/>
      <c r="G2478" s="14"/>
      <c r="H2478" s="23"/>
      <c r="I2478" s="23"/>
      <c r="J2478" s="23"/>
      <c r="K2478" s="30"/>
      <c r="L2478" s="23"/>
      <c r="M2478" s="50" t="s">
        <v>10178</v>
      </c>
      <c r="N2478" s="51"/>
      <c r="O2478" s="20"/>
      <c r="P2478" s="20"/>
      <c r="Q2478" s="20"/>
      <c r="R2478" s="20"/>
      <c r="S2478" s="20"/>
    </row>
    <row r="2479">
      <c r="A2479" s="10"/>
      <c r="B2479" s="11"/>
      <c r="C2479" s="10"/>
      <c r="D2479" s="13"/>
      <c r="E2479" s="14"/>
      <c r="F2479" s="14"/>
      <c r="G2479" s="14"/>
      <c r="H2479" s="10"/>
      <c r="I2479" s="10"/>
      <c r="J2479" s="10"/>
      <c r="K2479" s="46"/>
      <c r="L2479" s="10"/>
      <c r="M2479" s="44" t="s">
        <v>10178</v>
      </c>
      <c r="N2479" s="45"/>
      <c r="O2479" s="20"/>
      <c r="P2479" s="20"/>
      <c r="Q2479" s="20"/>
      <c r="R2479" s="20"/>
      <c r="S2479" s="20"/>
    </row>
    <row r="2480">
      <c r="A2480" s="23"/>
      <c r="B2480" s="21"/>
      <c r="C2480" s="23"/>
      <c r="D2480" s="24"/>
      <c r="E2480" s="14"/>
      <c r="F2480" s="14"/>
      <c r="G2480" s="14"/>
      <c r="H2480" s="23"/>
      <c r="I2480" s="23"/>
      <c r="J2480" s="23"/>
      <c r="K2480" s="30"/>
      <c r="L2480" s="23"/>
      <c r="M2480" s="50" t="s">
        <v>10178</v>
      </c>
      <c r="N2480" s="51"/>
      <c r="O2480" s="20"/>
      <c r="P2480" s="20"/>
      <c r="Q2480" s="20"/>
      <c r="R2480" s="20"/>
      <c r="S2480" s="20"/>
    </row>
    <row r="2481">
      <c r="A2481" s="10"/>
      <c r="B2481" s="11"/>
      <c r="C2481" s="10"/>
      <c r="D2481" s="13"/>
      <c r="E2481" s="14"/>
      <c r="F2481" s="14"/>
      <c r="G2481" s="14"/>
      <c r="H2481" s="10"/>
      <c r="I2481" s="10"/>
      <c r="J2481" s="10"/>
      <c r="K2481" s="46"/>
      <c r="L2481" s="10"/>
      <c r="M2481" s="44" t="s">
        <v>10178</v>
      </c>
      <c r="N2481" s="45"/>
      <c r="O2481" s="20"/>
      <c r="P2481" s="20"/>
      <c r="Q2481" s="20"/>
      <c r="R2481" s="20"/>
      <c r="S2481" s="20"/>
    </row>
    <row r="2482">
      <c r="A2482" s="23"/>
      <c r="B2482" s="21"/>
      <c r="C2482" s="23"/>
      <c r="D2482" s="24"/>
      <c r="E2482" s="14"/>
      <c r="F2482" s="14"/>
      <c r="G2482" s="14"/>
      <c r="H2482" s="23"/>
      <c r="I2482" s="23"/>
      <c r="J2482" s="23"/>
      <c r="K2482" s="30"/>
      <c r="L2482" s="23"/>
      <c r="M2482" s="50" t="s">
        <v>10178</v>
      </c>
      <c r="N2482" s="51"/>
      <c r="O2482" s="20"/>
      <c r="P2482" s="20"/>
      <c r="Q2482" s="20"/>
      <c r="R2482" s="20"/>
      <c r="S2482" s="20"/>
    </row>
    <row r="2483">
      <c r="A2483" s="10"/>
      <c r="B2483" s="11"/>
      <c r="C2483" s="10"/>
      <c r="D2483" s="13"/>
      <c r="E2483" s="14"/>
      <c r="F2483" s="14"/>
      <c r="G2483" s="14"/>
      <c r="H2483" s="10"/>
      <c r="I2483" s="10"/>
      <c r="J2483" s="10"/>
      <c r="K2483" s="46"/>
      <c r="L2483" s="10"/>
      <c r="M2483" s="44" t="s">
        <v>10178</v>
      </c>
      <c r="N2483" s="45"/>
      <c r="O2483" s="20"/>
      <c r="P2483" s="20"/>
      <c r="Q2483" s="20"/>
      <c r="R2483" s="20"/>
      <c r="S2483" s="20"/>
    </row>
    <row r="2484">
      <c r="A2484" s="23"/>
      <c r="B2484" s="21"/>
      <c r="C2484" s="23"/>
      <c r="D2484" s="24"/>
      <c r="E2484" s="14"/>
      <c r="F2484" s="14"/>
      <c r="G2484" s="14"/>
      <c r="H2484" s="23"/>
      <c r="I2484" s="23"/>
      <c r="J2484" s="23"/>
      <c r="K2484" s="30"/>
      <c r="L2484" s="23"/>
      <c r="M2484" s="50" t="s">
        <v>10178</v>
      </c>
      <c r="N2484" s="51"/>
      <c r="O2484" s="20"/>
      <c r="P2484" s="20"/>
      <c r="Q2484" s="20"/>
      <c r="R2484" s="20"/>
      <c r="S2484" s="20"/>
    </row>
    <row r="2485">
      <c r="A2485" s="10"/>
      <c r="B2485" s="11"/>
      <c r="C2485" s="10"/>
      <c r="D2485" s="13"/>
      <c r="E2485" s="14"/>
      <c r="F2485" s="14"/>
      <c r="G2485" s="14"/>
      <c r="H2485" s="10"/>
      <c r="I2485" s="10"/>
      <c r="J2485" s="10"/>
      <c r="K2485" s="46"/>
      <c r="L2485" s="10"/>
      <c r="M2485" s="44" t="s">
        <v>10178</v>
      </c>
      <c r="N2485" s="45"/>
      <c r="O2485" s="20"/>
      <c r="P2485" s="20"/>
      <c r="Q2485" s="20"/>
      <c r="R2485" s="20"/>
      <c r="S2485" s="20"/>
    </row>
    <row r="2486">
      <c r="A2486" s="23"/>
      <c r="B2486" s="21"/>
      <c r="C2486" s="23"/>
      <c r="D2486" s="24"/>
      <c r="E2486" s="14"/>
      <c r="F2486" s="14"/>
      <c r="G2486" s="14"/>
      <c r="H2486" s="23"/>
      <c r="I2486" s="23"/>
      <c r="J2486" s="23"/>
      <c r="K2486" s="30"/>
      <c r="L2486" s="23"/>
      <c r="M2486" s="50" t="s">
        <v>10178</v>
      </c>
      <c r="N2486" s="51"/>
      <c r="O2486" s="20"/>
      <c r="P2486" s="20"/>
      <c r="Q2486" s="20"/>
      <c r="R2486" s="20"/>
      <c r="S2486" s="20"/>
    </row>
    <row r="2487">
      <c r="A2487" s="10"/>
      <c r="B2487" s="11"/>
      <c r="C2487" s="10"/>
      <c r="D2487" s="13"/>
      <c r="E2487" s="14"/>
      <c r="F2487" s="14"/>
      <c r="G2487" s="14"/>
      <c r="H2487" s="10"/>
      <c r="I2487" s="10"/>
      <c r="J2487" s="10"/>
      <c r="K2487" s="46"/>
      <c r="L2487" s="10"/>
      <c r="M2487" s="44" t="s">
        <v>10178</v>
      </c>
      <c r="N2487" s="45"/>
      <c r="O2487" s="20"/>
      <c r="P2487" s="20"/>
      <c r="Q2487" s="20"/>
      <c r="R2487" s="20"/>
      <c r="S2487" s="20"/>
    </row>
    <row r="2488">
      <c r="A2488" s="23"/>
      <c r="B2488" s="21"/>
      <c r="C2488" s="23"/>
      <c r="D2488" s="24"/>
      <c r="E2488" s="14"/>
      <c r="F2488" s="14"/>
      <c r="G2488" s="14"/>
      <c r="H2488" s="23"/>
      <c r="I2488" s="23"/>
      <c r="J2488" s="23"/>
      <c r="K2488" s="30"/>
      <c r="L2488" s="23"/>
      <c r="M2488" s="50" t="s">
        <v>10178</v>
      </c>
      <c r="N2488" s="51"/>
      <c r="O2488" s="20"/>
      <c r="P2488" s="20"/>
      <c r="Q2488" s="20"/>
      <c r="R2488" s="20"/>
      <c r="S2488" s="20"/>
    </row>
    <row r="2489">
      <c r="A2489" s="10"/>
      <c r="B2489" s="11"/>
      <c r="C2489" s="10"/>
      <c r="D2489" s="13"/>
      <c r="E2489" s="14"/>
      <c r="F2489" s="14"/>
      <c r="G2489" s="14"/>
      <c r="H2489" s="10"/>
      <c r="I2489" s="10"/>
      <c r="J2489" s="10"/>
      <c r="K2489" s="46"/>
      <c r="L2489" s="10"/>
      <c r="M2489" s="44" t="s">
        <v>10178</v>
      </c>
      <c r="N2489" s="45"/>
      <c r="O2489" s="20"/>
      <c r="P2489" s="20"/>
      <c r="Q2489" s="20"/>
      <c r="R2489" s="20"/>
      <c r="S2489" s="20"/>
    </row>
    <row r="2490">
      <c r="A2490" s="23"/>
      <c r="B2490" s="21"/>
      <c r="C2490" s="23"/>
      <c r="D2490" s="24"/>
      <c r="E2490" s="14"/>
      <c r="F2490" s="14"/>
      <c r="G2490" s="14"/>
      <c r="H2490" s="23"/>
      <c r="I2490" s="23"/>
      <c r="J2490" s="23"/>
      <c r="K2490" s="30"/>
      <c r="L2490" s="23"/>
      <c r="M2490" s="50" t="s">
        <v>10178</v>
      </c>
      <c r="N2490" s="51"/>
      <c r="O2490" s="20"/>
      <c r="P2490" s="20"/>
      <c r="Q2490" s="20"/>
      <c r="R2490" s="20"/>
      <c r="S2490" s="20"/>
    </row>
    <row r="2491">
      <c r="A2491" s="10"/>
      <c r="B2491" s="11"/>
      <c r="C2491" s="10"/>
      <c r="D2491" s="13"/>
      <c r="E2491" s="14"/>
      <c r="F2491" s="14"/>
      <c r="G2491" s="14"/>
      <c r="H2491" s="10"/>
      <c r="I2491" s="10"/>
      <c r="J2491" s="10"/>
      <c r="K2491" s="46"/>
      <c r="L2491" s="10"/>
      <c r="M2491" s="44" t="s">
        <v>10178</v>
      </c>
      <c r="N2491" s="45"/>
      <c r="O2491" s="20"/>
      <c r="P2491" s="20"/>
      <c r="Q2491" s="20"/>
      <c r="R2491" s="20"/>
      <c r="S2491" s="20"/>
    </row>
    <row r="2492">
      <c r="A2492" s="23"/>
      <c r="B2492" s="21"/>
      <c r="C2492" s="23"/>
      <c r="D2492" s="24"/>
      <c r="E2492" s="14"/>
      <c r="F2492" s="14"/>
      <c r="G2492" s="14"/>
      <c r="H2492" s="23"/>
      <c r="I2492" s="23"/>
      <c r="J2492" s="23"/>
      <c r="K2492" s="30"/>
      <c r="L2492" s="23"/>
      <c r="M2492" s="50" t="s">
        <v>10178</v>
      </c>
      <c r="N2492" s="51"/>
      <c r="O2492" s="20"/>
      <c r="P2492" s="20"/>
      <c r="Q2492" s="20"/>
      <c r="R2492" s="20"/>
      <c r="S2492" s="20"/>
    </row>
    <row r="2493">
      <c r="A2493" s="10"/>
      <c r="B2493" s="11"/>
      <c r="C2493" s="10"/>
      <c r="D2493" s="13"/>
      <c r="E2493" s="14"/>
      <c r="F2493" s="14"/>
      <c r="G2493" s="14"/>
      <c r="H2493" s="10"/>
      <c r="I2493" s="10"/>
      <c r="J2493" s="10"/>
      <c r="K2493" s="46"/>
      <c r="L2493" s="10"/>
      <c r="M2493" s="44" t="s">
        <v>10178</v>
      </c>
      <c r="N2493" s="45"/>
      <c r="O2493" s="20"/>
      <c r="P2493" s="20"/>
      <c r="Q2493" s="20"/>
      <c r="R2493" s="20"/>
      <c r="S2493" s="20"/>
    </row>
    <row r="2494">
      <c r="A2494" s="23"/>
      <c r="B2494" s="21"/>
      <c r="C2494" s="23"/>
      <c r="D2494" s="24"/>
      <c r="E2494" s="14"/>
      <c r="F2494" s="14"/>
      <c r="G2494" s="14"/>
      <c r="H2494" s="23"/>
      <c r="I2494" s="23"/>
      <c r="J2494" s="23"/>
      <c r="K2494" s="30"/>
      <c r="L2494" s="23"/>
      <c r="M2494" s="50" t="s">
        <v>10178</v>
      </c>
      <c r="N2494" s="51"/>
      <c r="O2494" s="20"/>
      <c r="P2494" s="20"/>
      <c r="Q2494" s="20"/>
      <c r="R2494" s="20"/>
      <c r="S2494" s="20"/>
    </row>
    <row r="2495">
      <c r="A2495" s="10"/>
      <c r="B2495" s="11"/>
      <c r="C2495" s="10"/>
      <c r="D2495" s="13"/>
      <c r="E2495" s="14"/>
      <c r="F2495" s="14"/>
      <c r="G2495" s="14"/>
      <c r="H2495" s="10"/>
      <c r="I2495" s="10"/>
      <c r="J2495" s="10"/>
      <c r="K2495" s="46"/>
      <c r="L2495" s="10"/>
      <c r="M2495" s="44" t="s">
        <v>10178</v>
      </c>
      <c r="N2495" s="45"/>
      <c r="O2495" s="20"/>
      <c r="P2495" s="20"/>
      <c r="Q2495" s="20"/>
      <c r="R2495" s="20"/>
      <c r="S2495" s="20"/>
    </row>
    <row r="2496">
      <c r="A2496" s="23"/>
      <c r="B2496" s="21"/>
      <c r="C2496" s="23"/>
      <c r="D2496" s="24"/>
      <c r="E2496" s="14"/>
      <c r="F2496" s="14"/>
      <c r="G2496" s="14"/>
      <c r="H2496" s="23"/>
      <c r="I2496" s="23"/>
      <c r="J2496" s="23"/>
      <c r="K2496" s="30"/>
      <c r="L2496" s="23"/>
      <c r="M2496" s="50" t="s">
        <v>10178</v>
      </c>
      <c r="N2496" s="51"/>
      <c r="O2496" s="20"/>
      <c r="P2496" s="20"/>
      <c r="Q2496" s="20"/>
      <c r="R2496" s="20"/>
      <c r="S2496" s="20"/>
    </row>
    <row r="2497">
      <c r="A2497" s="10"/>
      <c r="B2497" s="11"/>
      <c r="C2497" s="10"/>
      <c r="D2497" s="13"/>
      <c r="E2497" s="14"/>
      <c r="F2497" s="14"/>
      <c r="G2497" s="14"/>
      <c r="H2497" s="10"/>
      <c r="I2497" s="10"/>
      <c r="J2497" s="10"/>
      <c r="K2497" s="46"/>
      <c r="L2497" s="10"/>
      <c r="M2497" s="44" t="s">
        <v>10178</v>
      </c>
      <c r="N2497" s="45"/>
      <c r="O2497" s="20"/>
      <c r="P2497" s="20"/>
      <c r="Q2497" s="20"/>
      <c r="R2497" s="20"/>
      <c r="S2497" s="20"/>
    </row>
    <row r="2498">
      <c r="A2498" s="23"/>
      <c r="B2498" s="21"/>
      <c r="C2498" s="23"/>
      <c r="D2498" s="24"/>
      <c r="E2498" s="14"/>
      <c r="F2498" s="14"/>
      <c r="G2498" s="14"/>
      <c r="H2498" s="23"/>
      <c r="I2498" s="23"/>
      <c r="J2498" s="23"/>
      <c r="K2498" s="30"/>
      <c r="L2498" s="23"/>
      <c r="M2498" s="50" t="s">
        <v>10178</v>
      </c>
      <c r="N2498" s="51"/>
      <c r="O2498" s="20"/>
      <c r="P2498" s="20"/>
      <c r="Q2498" s="20"/>
      <c r="R2498" s="20"/>
      <c r="S2498" s="20"/>
    </row>
    <row r="2499">
      <c r="A2499" s="10"/>
      <c r="B2499" s="11"/>
      <c r="C2499" s="10"/>
      <c r="D2499" s="13"/>
      <c r="E2499" s="14"/>
      <c r="F2499" s="14"/>
      <c r="G2499" s="14"/>
      <c r="H2499" s="10"/>
      <c r="I2499" s="10"/>
      <c r="J2499" s="10"/>
      <c r="K2499" s="46"/>
      <c r="L2499" s="10"/>
      <c r="M2499" s="44" t="s">
        <v>10178</v>
      </c>
      <c r="N2499" s="45"/>
      <c r="O2499" s="20"/>
      <c r="P2499" s="20"/>
      <c r="Q2499" s="20"/>
      <c r="R2499" s="20"/>
      <c r="S2499" s="20"/>
    </row>
    <row r="2500">
      <c r="A2500" s="23"/>
      <c r="B2500" s="21"/>
      <c r="C2500" s="23"/>
      <c r="D2500" s="24"/>
      <c r="E2500" s="14"/>
      <c r="F2500" s="14"/>
      <c r="G2500" s="14"/>
      <c r="H2500" s="23"/>
      <c r="I2500" s="23"/>
      <c r="J2500" s="23"/>
      <c r="K2500" s="30"/>
      <c r="L2500" s="23"/>
      <c r="M2500" s="50" t="s">
        <v>10178</v>
      </c>
      <c r="N2500" s="51"/>
      <c r="O2500" s="20"/>
      <c r="P2500" s="20"/>
      <c r="Q2500" s="20"/>
      <c r="R2500" s="20"/>
      <c r="S2500" s="20"/>
    </row>
    <row r="2501">
      <c r="A2501" s="10"/>
      <c r="B2501" s="11"/>
      <c r="C2501" s="10"/>
      <c r="D2501" s="13"/>
      <c r="E2501" s="14"/>
      <c r="F2501" s="14"/>
      <c r="G2501" s="14"/>
      <c r="H2501" s="10"/>
      <c r="I2501" s="10"/>
      <c r="J2501" s="10"/>
      <c r="K2501" s="46"/>
      <c r="L2501" s="10"/>
      <c r="M2501" s="44" t="s">
        <v>10178</v>
      </c>
      <c r="N2501" s="45"/>
      <c r="O2501" s="20"/>
      <c r="P2501" s="20"/>
      <c r="Q2501" s="20"/>
      <c r="R2501" s="20"/>
      <c r="S2501" s="20"/>
    </row>
    <row r="2502">
      <c r="A2502" s="23"/>
      <c r="B2502" s="21"/>
      <c r="C2502" s="23"/>
      <c r="D2502" s="24"/>
      <c r="E2502" s="14"/>
      <c r="F2502" s="14"/>
      <c r="G2502" s="14"/>
      <c r="H2502" s="23"/>
      <c r="I2502" s="23"/>
      <c r="J2502" s="23"/>
      <c r="K2502" s="30"/>
      <c r="L2502" s="23"/>
      <c r="M2502" s="50" t="s">
        <v>10178</v>
      </c>
      <c r="N2502" s="51"/>
      <c r="O2502" s="20"/>
      <c r="P2502" s="20"/>
      <c r="Q2502" s="20"/>
      <c r="R2502" s="20"/>
      <c r="S2502" s="20"/>
    </row>
    <row r="2503">
      <c r="A2503" s="10"/>
      <c r="B2503" s="11"/>
      <c r="C2503" s="10"/>
      <c r="D2503" s="13"/>
      <c r="E2503" s="14"/>
      <c r="F2503" s="14"/>
      <c r="G2503" s="14"/>
      <c r="H2503" s="10"/>
      <c r="I2503" s="10"/>
      <c r="J2503" s="10"/>
      <c r="K2503" s="46"/>
      <c r="L2503" s="10"/>
      <c r="M2503" s="44" t="s">
        <v>10178</v>
      </c>
      <c r="N2503" s="45"/>
      <c r="O2503" s="20"/>
      <c r="P2503" s="20"/>
      <c r="Q2503" s="20"/>
      <c r="R2503" s="20"/>
      <c r="S2503" s="20"/>
    </row>
    <row r="2504">
      <c r="A2504" s="23"/>
      <c r="B2504" s="21"/>
      <c r="C2504" s="23"/>
      <c r="D2504" s="24"/>
      <c r="E2504" s="14"/>
      <c r="F2504" s="14"/>
      <c r="G2504" s="14"/>
      <c r="H2504" s="23"/>
      <c r="I2504" s="23"/>
      <c r="J2504" s="23"/>
      <c r="K2504" s="30"/>
      <c r="L2504" s="23"/>
      <c r="M2504" s="50" t="s">
        <v>10178</v>
      </c>
      <c r="N2504" s="51"/>
      <c r="O2504" s="20"/>
      <c r="P2504" s="20"/>
      <c r="Q2504" s="20"/>
      <c r="R2504" s="20"/>
      <c r="S2504" s="20"/>
    </row>
    <row r="2505">
      <c r="A2505" s="10"/>
      <c r="B2505" s="11"/>
      <c r="C2505" s="10"/>
      <c r="D2505" s="13"/>
      <c r="E2505" s="14"/>
      <c r="F2505" s="14"/>
      <c r="G2505" s="14"/>
      <c r="H2505" s="10"/>
      <c r="I2505" s="10"/>
      <c r="J2505" s="10"/>
      <c r="K2505" s="46"/>
      <c r="L2505" s="10"/>
      <c r="M2505" s="44" t="s">
        <v>10178</v>
      </c>
      <c r="N2505" s="45"/>
      <c r="O2505" s="20"/>
      <c r="P2505" s="20"/>
      <c r="Q2505" s="20"/>
      <c r="R2505" s="20"/>
      <c r="S2505" s="20"/>
    </row>
    <row r="2506">
      <c r="A2506" s="23"/>
      <c r="B2506" s="21"/>
      <c r="C2506" s="23"/>
      <c r="D2506" s="24"/>
      <c r="E2506" s="14"/>
      <c r="F2506" s="14"/>
      <c r="G2506" s="14"/>
      <c r="H2506" s="23"/>
      <c r="I2506" s="23"/>
      <c r="J2506" s="23"/>
      <c r="K2506" s="30"/>
      <c r="L2506" s="23"/>
      <c r="M2506" s="50" t="s">
        <v>10178</v>
      </c>
      <c r="N2506" s="51"/>
      <c r="O2506" s="20"/>
      <c r="P2506" s="20"/>
      <c r="Q2506" s="20"/>
      <c r="R2506" s="20"/>
      <c r="S2506" s="20"/>
    </row>
    <row r="2507">
      <c r="A2507" s="10"/>
      <c r="B2507" s="11"/>
      <c r="C2507" s="10"/>
      <c r="D2507" s="13"/>
      <c r="E2507" s="14"/>
      <c r="F2507" s="14"/>
      <c r="G2507" s="14"/>
      <c r="H2507" s="10"/>
      <c r="I2507" s="10"/>
      <c r="J2507" s="10"/>
      <c r="K2507" s="46"/>
      <c r="L2507" s="10"/>
      <c r="M2507" s="44" t="s">
        <v>10178</v>
      </c>
      <c r="N2507" s="45"/>
      <c r="O2507" s="20"/>
      <c r="P2507" s="20"/>
      <c r="Q2507" s="20"/>
      <c r="R2507" s="20"/>
      <c r="S2507" s="20"/>
    </row>
    <row r="2508">
      <c r="A2508" s="23"/>
      <c r="B2508" s="21"/>
      <c r="C2508" s="23"/>
      <c r="D2508" s="24"/>
      <c r="E2508" s="14"/>
      <c r="F2508" s="14"/>
      <c r="G2508" s="14"/>
      <c r="H2508" s="23"/>
      <c r="I2508" s="23"/>
      <c r="J2508" s="23"/>
      <c r="K2508" s="30"/>
      <c r="L2508" s="23"/>
      <c r="M2508" s="50" t="s">
        <v>10178</v>
      </c>
      <c r="N2508" s="51"/>
      <c r="O2508" s="20"/>
      <c r="P2508" s="20"/>
      <c r="Q2508" s="20"/>
      <c r="R2508" s="20"/>
      <c r="S2508" s="20"/>
    </row>
    <row r="2509">
      <c r="A2509" s="10"/>
      <c r="B2509" s="11"/>
      <c r="C2509" s="10"/>
      <c r="D2509" s="13"/>
      <c r="E2509" s="14"/>
      <c r="F2509" s="14"/>
      <c r="G2509" s="14"/>
      <c r="H2509" s="10"/>
      <c r="I2509" s="10"/>
      <c r="J2509" s="10"/>
      <c r="K2509" s="46"/>
      <c r="L2509" s="10"/>
      <c r="M2509" s="44" t="s">
        <v>10178</v>
      </c>
      <c r="N2509" s="45"/>
      <c r="O2509" s="20"/>
      <c r="P2509" s="20"/>
      <c r="Q2509" s="20"/>
      <c r="R2509" s="20"/>
      <c r="S2509" s="20"/>
    </row>
    <row r="2510">
      <c r="A2510" s="23"/>
      <c r="B2510" s="21"/>
      <c r="C2510" s="23"/>
      <c r="D2510" s="24"/>
      <c r="E2510" s="14"/>
      <c r="F2510" s="14"/>
      <c r="G2510" s="14"/>
      <c r="H2510" s="23"/>
      <c r="I2510" s="23"/>
      <c r="J2510" s="23"/>
      <c r="K2510" s="30"/>
      <c r="L2510" s="23"/>
      <c r="M2510" s="50" t="s">
        <v>10178</v>
      </c>
      <c r="N2510" s="51"/>
      <c r="O2510" s="20"/>
      <c r="P2510" s="20"/>
      <c r="Q2510" s="20"/>
      <c r="R2510" s="20"/>
      <c r="S2510" s="20"/>
    </row>
    <row r="2511">
      <c r="A2511" s="10"/>
      <c r="B2511" s="11"/>
      <c r="C2511" s="10"/>
      <c r="D2511" s="13"/>
      <c r="E2511" s="14"/>
      <c r="F2511" s="14"/>
      <c r="G2511" s="14"/>
      <c r="H2511" s="10"/>
      <c r="I2511" s="10"/>
      <c r="J2511" s="10"/>
      <c r="K2511" s="46"/>
      <c r="L2511" s="10"/>
      <c r="M2511" s="44" t="s">
        <v>10178</v>
      </c>
      <c r="N2511" s="45"/>
      <c r="O2511" s="20"/>
      <c r="P2511" s="20"/>
      <c r="Q2511" s="20"/>
      <c r="R2511" s="20"/>
      <c r="S2511" s="20"/>
    </row>
    <row r="2512">
      <c r="A2512" s="23"/>
      <c r="B2512" s="21"/>
      <c r="C2512" s="23"/>
      <c r="D2512" s="24"/>
      <c r="E2512" s="14"/>
      <c r="F2512" s="14"/>
      <c r="G2512" s="14"/>
      <c r="H2512" s="23"/>
      <c r="I2512" s="23"/>
      <c r="J2512" s="23"/>
      <c r="K2512" s="30"/>
      <c r="L2512" s="23"/>
      <c r="M2512" s="50" t="s">
        <v>10178</v>
      </c>
      <c r="N2512" s="51"/>
      <c r="O2512" s="20"/>
      <c r="P2512" s="20"/>
      <c r="Q2512" s="20"/>
      <c r="R2512" s="20"/>
      <c r="S2512" s="20"/>
    </row>
    <row r="2513">
      <c r="A2513" s="10"/>
      <c r="B2513" s="11"/>
      <c r="C2513" s="10"/>
      <c r="D2513" s="13"/>
      <c r="E2513" s="14"/>
      <c r="F2513" s="14"/>
      <c r="G2513" s="14"/>
      <c r="H2513" s="10"/>
      <c r="I2513" s="10"/>
      <c r="J2513" s="10"/>
      <c r="K2513" s="46"/>
      <c r="L2513" s="10"/>
      <c r="M2513" s="44" t="s">
        <v>10178</v>
      </c>
      <c r="N2513" s="45"/>
      <c r="O2513" s="20"/>
      <c r="P2513" s="20"/>
      <c r="Q2513" s="20"/>
      <c r="R2513" s="20"/>
      <c r="S2513" s="20"/>
    </row>
    <row r="2514">
      <c r="A2514" s="23"/>
      <c r="B2514" s="21"/>
      <c r="C2514" s="23"/>
      <c r="D2514" s="24"/>
      <c r="E2514" s="14"/>
      <c r="F2514" s="14"/>
      <c r="G2514" s="14"/>
      <c r="H2514" s="23"/>
      <c r="I2514" s="23"/>
      <c r="J2514" s="23"/>
      <c r="K2514" s="30"/>
      <c r="L2514" s="23"/>
      <c r="M2514" s="50" t="s">
        <v>10178</v>
      </c>
      <c r="N2514" s="51"/>
      <c r="O2514" s="20"/>
      <c r="P2514" s="20"/>
      <c r="Q2514" s="20"/>
      <c r="R2514" s="20"/>
      <c r="S2514" s="20"/>
    </row>
    <row r="2515">
      <c r="A2515" s="10"/>
      <c r="B2515" s="11"/>
      <c r="C2515" s="10"/>
      <c r="D2515" s="13"/>
      <c r="E2515" s="14"/>
      <c r="F2515" s="14"/>
      <c r="G2515" s="14"/>
      <c r="H2515" s="10"/>
      <c r="I2515" s="10"/>
      <c r="J2515" s="10"/>
      <c r="K2515" s="46"/>
      <c r="L2515" s="10"/>
      <c r="M2515" s="44" t="s">
        <v>10178</v>
      </c>
      <c r="N2515" s="45"/>
      <c r="O2515" s="20"/>
      <c r="P2515" s="20"/>
      <c r="Q2515" s="20"/>
      <c r="R2515" s="20"/>
      <c r="S2515" s="20"/>
    </row>
    <row r="2516">
      <c r="A2516" s="23"/>
      <c r="B2516" s="21"/>
      <c r="C2516" s="23"/>
      <c r="D2516" s="24"/>
      <c r="E2516" s="14"/>
      <c r="F2516" s="14"/>
      <c r="G2516" s="14"/>
      <c r="H2516" s="23"/>
      <c r="I2516" s="23"/>
      <c r="J2516" s="23"/>
      <c r="K2516" s="30"/>
      <c r="L2516" s="23"/>
      <c r="M2516" s="50" t="s">
        <v>10178</v>
      </c>
      <c r="N2516" s="51"/>
      <c r="O2516" s="20"/>
      <c r="P2516" s="20"/>
      <c r="Q2516" s="20"/>
      <c r="R2516" s="20"/>
      <c r="S2516" s="20"/>
    </row>
    <row r="2517">
      <c r="A2517" s="10"/>
      <c r="B2517" s="11"/>
      <c r="C2517" s="10"/>
      <c r="D2517" s="13"/>
      <c r="E2517" s="14"/>
      <c r="F2517" s="14"/>
      <c r="G2517" s="14"/>
      <c r="H2517" s="10"/>
      <c r="I2517" s="10"/>
      <c r="J2517" s="10"/>
      <c r="K2517" s="46"/>
      <c r="L2517" s="10"/>
      <c r="M2517" s="44" t="s">
        <v>10178</v>
      </c>
      <c r="N2517" s="45"/>
      <c r="O2517" s="20"/>
      <c r="P2517" s="20"/>
      <c r="Q2517" s="20"/>
      <c r="R2517" s="20"/>
      <c r="S2517" s="20"/>
    </row>
    <row r="2518">
      <c r="A2518" s="23"/>
      <c r="B2518" s="21"/>
      <c r="C2518" s="23"/>
      <c r="D2518" s="24"/>
      <c r="E2518" s="14"/>
      <c r="F2518" s="14"/>
      <c r="G2518" s="14"/>
      <c r="H2518" s="23"/>
      <c r="I2518" s="23"/>
      <c r="J2518" s="23"/>
      <c r="K2518" s="30"/>
      <c r="L2518" s="23"/>
      <c r="M2518" s="50" t="s">
        <v>10178</v>
      </c>
      <c r="N2518" s="51"/>
      <c r="O2518" s="20"/>
      <c r="P2518" s="20"/>
      <c r="Q2518" s="20"/>
      <c r="R2518" s="20"/>
      <c r="S2518" s="20"/>
    </row>
    <row r="2519">
      <c r="A2519" s="10"/>
      <c r="B2519" s="11"/>
      <c r="C2519" s="10"/>
      <c r="D2519" s="13"/>
      <c r="E2519" s="14"/>
      <c r="F2519" s="14"/>
      <c r="G2519" s="14"/>
      <c r="H2519" s="10"/>
      <c r="I2519" s="10"/>
      <c r="J2519" s="10"/>
      <c r="K2519" s="46"/>
      <c r="L2519" s="10"/>
      <c r="M2519" s="44" t="s">
        <v>10178</v>
      </c>
      <c r="N2519" s="45"/>
      <c r="O2519" s="20"/>
      <c r="P2519" s="20"/>
      <c r="Q2519" s="20"/>
      <c r="R2519" s="20"/>
      <c r="S2519" s="20"/>
    </row>
    <row r="2520">
      <c r="A2520" s="23"/>
      <c r="B2520" s="21"/>
      <c r="C2520" s="23"/>
      <c r="D2520" s="24"/>
      <c r="E2520" s="14"/>
      <c r="F2520" s="14"/>
      <c r="G2520" s="14"/>
      <c r="H2520" s="23"/>
      <c r="I2520" s="23"/>
      <c r="J2520" s="23"/>
      <c r="K2520" s="30"/>
      <c r="L2520" s="23"/>
      <c r="M2520" s="50" t="s">
        <v>10178</v>
      </c>
      <c r="N2520" s="51"/>
      <c r="O2520" s="20"/>
      <c r="P2520" s="20"/>
      <c r="Q2520" s="20"/>
      <c r="R2520" s="20"/>
      <c r="S2520" s="20"/>
    </row>
    <row r="2521">
      <c r="A2521" s="10"/>
      <c r="B2521" s="11"/>
      <c r="C2521" s="10"/>
      <c r="D2521" s="13"/>
      <c r="E2521" s="14"/>
      <c r="F2521" s="14"/>
      <c r="G2521" s="14"/>
      <c r="H2521" s="10"/>
      <c r="I2521" s="10"/>
      <c r="J2521" s="10"/>
      <c r="K2521" s="46"/>
      <c r="L2521" s="10"/>
      <c r="M2521" s="44" t="s">
        <v>10178</v>
      </c>
      <c r="N2521" s="45"/>
      <c r="O2521" s="20"/>
      <c r="P2521" s="20"/>
      <c r="Q2521" s="20"/>
      <c r="R2521" s="20"/>
      <c r="S2521" s="20"/>
    </row>
    <row r="2522">
      <c r="A2522" s="23"/>
      <c r="B2522" s="21"/>
      <c r="C2522" s="23"/>
      <c r="D2522" s="24"/>
      <c r="E2522" s="14"/>
      <c r="F2522" s="14"/>
      <c r="G2522" s="14"/>
      <c r="H2522" s="23"/>
      <c r="I2522" s="23"/>
      <c r="J2522" s="23"/>
      <c r="K2522" s="30"/>
      <c r="L2522" s="23"/>
      <c r="M2522" s="50" t="s">
        <v>10178</v>
      </c>
      <c r="N2522" s="51"/>
      <c r="O2522" s="20"/>
      <c r="P2522" s="20"/>
      <c r="Q2522" s="20"/>
      <c r="R2522" s="20"/>
      <c r="S2522" s="20"/>
    </row>
    <row r="2523">
      <c r="A2523" s="10"/>
      <c r="B2523" s="11"/>
      <c r="C2523" s="10"/>
      <c r="D2523" s="13"/>
      <c r="E2523" s="14"/>
      <c r="F2523" s="14"/>
      <c r="G2523" s="14"/>
      <c r="H2523" s="10"/>
      <c r="I2523" s="10"/>
      <c r="J2523" s="10"/>
      <c r="K2523" s="46"/>
      <c r="L2523" s="10"/>
      <c r="M2523" s="44" t="s">
        <v>10178</v>
      </c>
      <c r="N2523" s="45"/>
      <c r="O2523" s="20"/>
      <c r="P2523" s="20"/>
      <c r="Q2523" s="20"/>
      <c r="R2523" s="20"/>
      <c r="S2523" s="20"/>
    </row>
    <row r="2524">
      <c r="A2524" s="23"/>
      <c r="B2524" s="21"/>
      <c r="C2524" s="23"/>
      <c r="D2524" s="24"/>
      <c r="E2524" s="14"/>
      <c r="F2524" s="14"/>
      <c r="G2524" s="14"/>
      <c r="H2524" s="23"/>
      <c r="I2524" s="23"/>
      <c r="J2524" s="23"/>
      <c r="K2524" s="30"/>
      <c r="L2524" s="23"/>
      <c r="M2524" s="50" t="s">
        <v>10178</v>
      </c>
      <c r="N2524" s="51"/>
      <c r="O2524" s="20"/>
      <c r="P2524" s="20"/>
      <c r="Q2524" s="20"/>
      <c r="R2524" s="20"/>
      <c r="S2524" s="20"/>
    </row>
    <row r="2525">
      <c r="A2525" s="10"/>
      <c r="B2525" s="11"/>
      <c r="C2525" s="10"/>
      <c r="D2525" s="13"/>
      <c r="E2525" s="14"/>
      <c r="F2525" s="14"/>
      <c r="G2525" s="14"/>
      <c r="H2525" s="10"/>
      <c r="I2525" s="10"/>
      <c r="J2525" s="10"/>
      <c r="K2525" s="46"/>
      <c r="L2525" s="10"/>
      <c r="M2525" s="44" t="s">
        <v>10178</v>
      </c>
      <c r="N2525" s="45"/>
      <c r="O2525" s="20"/>
      <c r="P2525" s="20"/>
      <c r="Q2525" s="20"/>
      <c r="R2525" s="20"/>
      <c r="S2525" s="20"/>
    </row>
    <row r="2526">
      <c r="A2526" s="23"/>
      <c r="B2526" s="21"/>
      <c r="C2526" s="23"/>
      <c r="D2526" s="24"/>
      <c r="E2526" s="14"/>
      <c r="F2526" s="14"/>
      <c r="G2526" s="14"/>
      <c r="H2526" s="23"/>
      <c r="I2526" s="23"/>
      <c r="J2526" s="23"/>
      <c r="K2526" s="30"/>
      <c r="L2526" s="23"/>
      <c r="M2526" s="50" t="s">
        <v>10178</v>
      </c>
      <c r="N2526" s="51"/>
      <c r="O2526" s="20"/>
      <c r="P2526" s="20"/>
      <c r="Q2526" s="20"/>
      <c r="R2526" s="20"/>
      <c r="S2526" s="20"/>
    </row>
    <row r="2527">
      <c r="A2527" s="10"/>
      <c r="B2527" s="11"/>
      <c r="C2527" s="10"/>
      <c r="D2527" s="13"/>
      <c r="E2527" s="14"/>
      <c r="F2527" s="14"/>
      <c r="G2527" s="14"/>
      <c r="H2527" s="10"/>
      <c r="I2527" s="10"/>
      <c r="J2527" s="10"/>
      <c r="K2527" s="46"/>
      <c r="L2527" s="10"/>
      <c r="M2527" s="44" t="s">
        <v>10178</v>
      </c>
      <c r="N2527" s="45"/>
      <c r="O2527" s="20"/>
      <c r="P2527" s="20"/>
      <c r="Q2527" s="20"/>
      <c r="R2527" s="20"/>
      <c r="S2527" s="20"/>
    </row>
    <row r="2528">
      <c r="A2528" s="23"/>
      <c r="B2528" s="21"/>
      <c r="C2528" s="23"/>
      <c r="D2528" s="24"/>
      <c r="E2528" s="14"/>
      <c r="F2528" s="14"/>
      <c r="G2528" s="14"/>
      <c r="H2528" s="23"/>
      <c r="I2528" s="23"/>
      <c r="J2528" s="23"/>
      <c r="K2528" s="30"/>
      <c r="L2528" s="23"/>
      <c r="M2528" s="50" t="s">
        <v>10178</v>
      </c>
      <c r="N2528" s="51"/>
      <c r="O2528" s="20"/>
      <c r="P2528" s="20"/>
      <c r="Q2528" s="20"/>
      <c r="R2528" s="20"/>
      <c r="S2528" s="20"/>
    </row>
    <row r="2529">
      <c r="A2529" s="10"/>
      <c r="B2529" s="11"/>
      <c r="C2529" s="10"/>
      <c r="D2529" s="13"/>
      <c r="E2529" s="14"/>
      <c r="F2529" s="14"/>
      <c r="G2529" s="14"/>
      <c r="H2529" s="10"/>
      <c r="I2529" s="10"/>
      <c r="J2529" s="10"/>
      <c r="K2529" s="46"/>
      <c r="L2529" s="10"/>
      <c r="M2529" s="44" t="s">
        <v>10178</v>
      </c>
      <c r="N2529" s="45"/>
      <c r="O2529" s="20"/>
      <c r="P2529" s="20"/>
      <c r="Q2529" s="20"/>
      <c r="R2529" s="20"/>
      <c r="S2529" s="20"/>
    </row>
    <row r="2530">
      <c r="A2530" s="23"/>
      <c r="B2530" s="21"/>
      <c r="C2530" s="23"/>
      <c r="D2530" s="24"/>
      <c r="E2530" s="14"/>
      <c r="F2530" s="14"/>
      <c r="G2530" s="14"/>
      <c r="H2530" s="23"/>
      <c r="I2530" s="23"/>
      <c r="J2530" s="23"/>
      <c r="K2530" s="30"/>
      <c r="L2530" s="23"/>
      <c r="M2530" s="50" t="s">
        <v>10178</v>
      </c>
      <c r="N2530" s="51"/>
      <c r="O2530" s="20"/>
      <c r="P2530" s="20"/>
      <c r="Q2530" s="20"/>
      <c r="R2530" s="20"/>
      <c r="S2530" s="20"/>
    </row>
    <row r="2531">
      <c r="A2531" s="10"/>
      <c r="B2531" s="11"/>
      <c r="C2531" s="10"/>
      <c r="D2531" s="13"/>
      <c r="E2531" s="14"/>
      <c r="F2531" s="14"/>
      <c r="G2531" s="14"/>
      <c r="H2531" s="10"/>
      <c r="I2531" s="10"/>
      <c r="J2531" s="10"/>
      <c r="K2531" s="46"/>
      <c r="L2531" s="10"/>
      <c r="M2531" s="44" t="s">
        <v>10178</v>
      </c>
      <c r="N2531" s="45"/>
      <c r="O2531" s="20"/>
      <c r="P2531" s="20"/>
      <c r="Q2531" s="20"/>
      <c r="R2531" s="20"/>
      <c r="S2531" s="20"/>
    </row>
    <row r="2532">
      <c r="A2532" s="23"/>
      <c r="B2532" s="21"/>
      <c r="C2532" s="23"/>
      <c r="D2532" s="24"/>
      <c r="E2532" s="14"/>
      <c r="F2532" s="14"/>
      <c r="G2532" s="14"/>
      <c r="H2532" s="23"/>
      <c r="I2532" s="23"/>
      <c r="J2532" s="23"/>
      <c r="K2532" s="30"/>
      <c r="L2532" s="23"/>
      <c r="M2532" s="50" t="s">
        <v>10178</v>
      </c>
      <c r="N2532" s="51"/>
      <c r="O2532" s="20"/>
      <c r="P2532" s="20"/>
      <c r="Q2532" s="20"/>
      <c r="R2532" s="20"/>
      <c r="S2532" s="20"/>
    </row>
    <row r="2533">
      <c r="A2533" s="10"/>
      <c r="B2533" s="11"/>
      <c r="C2533" s="10"/>
      <c r="D2533" s="13"/>
      <c r="E2533" s="14"/>
      <c r="F2533" s="14"/>
      <c r="G2533" s="14"/>
      <c r="H2533" s="10"/>
      <c r="I2533" s="10"/>
      <c r="J2533" s="10"/>
      <c r="K2533" s="46"/>
      <c r="L2533" s="10"/>
      <c r="M2533" s="44" t="s">
        <v>10178</v>
      </c>
      <c r="N2533" s="45"/>
      <c r="O2533" s="20"/>
      <c r="P2533" s="20"/>
      <c r="Q2533" s="20"/>
      <c r="R2533" s="20"/>
      <c r="S2533" s="20"/>
    </row>
    <row r="2534">
      <c r="A2534" s="23"/>
      <c r="B2534" s="21"/>
      <c r="C2534" s="23"/>
      <c r="D2534" s="24"/>
      <c r="E2534" s="14"/>
      <c r="F2534" s="14"/>
      <c r="G2534" s="14"/>
      <c r="H2534" s="23"/>
      <c r="I2534" s="23"/>
      <c r="J2534" s="23"/>
      <c r="K2534" s="30"/>
      <c r="L2534" s="23"/>
      <c r="M2534" s="50" t="s">
        <v>10178</v>
      </c>
      <c r="N2534" s="51"/>
      <c r="O2534" s="20"/>
      <c r="P2534" s="20"/>
      <c r="Q2534" s="20"/>
      <c r="R2534" s="20"/>
      <c r="S2534" s="20"/>
    </row>
    <row r="2535">
      <c r="A2535" s="10"/>
      <c r="B2535" s="11"/>
      <c r="C2535" s="10"/>
      <c r="D2535" s="13"/>
      <c r="E2535" s="14"/>
      <c r="F2535" s="14"/>
      <c r="G2535" s="14"/>
      <c r="H2535" s="10"/>
      <c r="I2535" s="10"/>
      <c r="J2535" s="10"/>
      <c r="K2535" s="46"/>
      <c r="L2535" s="10"/>
      <c r="M2535" s="44" t="s">
        <v>10178</v>
      </c>
      <c r="N2535" s="45"/>
      <c r="O2535" s="20"/>
      <c r="P2535" s="20"/>
      <c r="Q2535" s="20"/>
      <c r="R2535" s="20"/>
      <c r="S2535" s="20"/>
    </row>
    <row r="2536">
      <c r="A2536" s="23"/>
      <c r="B2536" s="21"/>
      <c r="C2536" s="23"/>
      <c r="D2536" s="24"/>
      <c r="E2536" s="14"/>
      <c r="F2536" s="14"/>
      <c r="G2536" s="14"/>
      <c r="H2536" s="23"/>
      <c r="I2536" s="23"/>
      <c r="J2536" s="23"/>
      <c r="K2536" s="30"/>
      <c r="L2536" s="23"/>
      <c r="M2536" s="50" t="s">
        <v>10178</v>
      </c>
      <c r="N2536" s="51"/>
      <c r="O2536" s="20"/>
      <c r="P2536" s="20"/>
      <c r="Q2536" s="20"/>
      <c r="R2536" s="20"/>
      <c r="S2536" s="20"/>
    </row>
    <row r="2537">
      <c r="A2537" s="10"/>
      <c r="B2537" s="11"/>
      <c r="C2537" s="10"/>
      <c r="D2537" s="13"/>
      <c r="E2537" s="14"/>
      <c r="F2537" s="14"/>
      <c r="G2537" s="14"/>
      <c r="H2537" s="10"/>
      <c r="I2537" s="10"/>
      <c r="J2537" s="10"/>
      <c r="K2537" s="46"/>
      <c r="L2537" s="10"/>
      <c r="M2537" s="44" t="s">
        <v>10178</v>
      </c>
      <c r="N2537" s="45"/>
      <c r="O2537" s="20"/>
      <c r="P2537" s="20"/>
      <c r="Q2537" s="20"/>
      <c r="R2537" s="20"/>
      <c r="S2537" s="20"/>
    </row>
    <row r="2538">
      <c r="A2538" s="23"/>
      <c r="B2538" s="21"/>
      <c r="C2538" s="23"/>
      <c r="D2538" s="24"/>
      <c r="E2538" s="14"/>
      <c r="F2538" s="14"/>
      <c r="G2538" s="14"/>
      <c r="H2538" s="23"/>
      <c r="I2538" s="23"/>
      <c r="J2538" s="23"/>
      <c r="K2538" s="30"/>
      <c r="L2538" s="23"/>
      <c r="M2538" s="50" t="s">
        <v>10178</v>
      </c>
      <c r="N2538" s="51"/>
      <c r="O2538" s="20"/>
      <c r="P2538" s="20"/>
      <c r="Q2538" s="20"/>
      <c r="R2538" s="20"/>
      <c r="S2538" s="20"/>
    </row>
    <row r="2539">
      <c r="A2539" s="10"/>
      <c r="B2539" s="11"/>
      <c r="C2539" s="10"/>
      <c r="D2539" s="13"/>
      <c r="E2539" s="14"/>
      <c r="F2539" s="14"/>
      <c r="G2539" s="14"/>
      <c r="H2539" s="10"/>
      <c r="I2539" s="10"/>
      <c r="J2539" s="10"/>
      <c r="K2539" s="46"/>
      <c r="L2539" s="10"/>
      <c r="M2539" s="44" t="s">
        <v>10178</v>
      </c>
      <c r="N2539" s="45"/>
      <c r="O2539" s="20"/>
      <c r="P2539" s="20"/>
      <c r="Q2539" s="20"/>
      <c r="R2539" s="20"/>
      <c r="S2539" s="20"/>
    </row>
    <row r="2540">
      <c r="A2540" s="23"/>
      <c r="B2540" s="21"/>
      <c r="C2540" s="23"/>
      <c r="D2540" s="24"/>
      <c r="E2540" s="14"/>
      <c r="F2540" s="14"/>
      <c r="G2540" s="14"/>
      <c r="H2540" s="23"/>
      <c r="I2540" s="23"/>
      <c r="J2540" s="23"/>
      <c r="K2540" s="30"/>
      <c r="L2540" s="23"/>
      <c r="M2540" s="50" t="s">
        <v>10178</v>
      </c>
      <c r="N2540" s="51"/>
      <c r="O2540" s="20"/>
      <c r="P2540" s="20"/>
      <c r="Q2540" s="20"/>
      <c r="R2540" s="20"/>
      <c r="S2540" s="20"/>
    </row>
    <row r="2541">
      <c r="A2541" s="10"/>
      <c r="B2541" s="11"/>
      <c r="C2541" s="10"/>
      <c r="D2541" s="13"/>
      <c r="E2541" s="14"/>
      <c r="F2541" s="14"/>
      <c r="G2541" s="14"/>
      <c r="H2541" s="10"/>
      <c r="I2541" s="10"/>
      <c r="J2541" s="10"/>
      <c r="K2541" s="46"/>
      <c r="L2541" s="10"/>
      <c r="M2541" s="44" t="s">
        <v>10178</v>
      </c>
      <c r="N2541" s="45"/>
      <c r="O2541" s="20"/>
      <c r="P2541" s="20"/>
      <c r="Q2541" s="20"/>
      <c r="R2541" s="20"/>
      <c r="S2541" s="20"/>
    </row>
    <row r="2542">
      <c r="A2542" s="23"/>
      <c r="B2542" s="21"/>
      <c r="C2542" s="23"/>
      <c r="D2542" s="24"/>
      <c r="E2542" s="14"/>
      <c r="F2542" s="14"/>
      <c r="G2542" s="14"/>
      <c r="H2542" s="23"/>
      <c r="I2542" s="23"/>
      <c r="J2542" s="23"/>
      <c r="K2542" s="30"/>
      <c r="L2542" s="23"/>
      <c r="M2542" s="50" t="s">
        <v>10178</v>
      </c>
      <c r="N2542" s="51"/>
      <c r="O2542" s="20"/>
      <c r="P2542" s="20"/>
      <c r="Q2542" s="20"/>
      <c r="R2542" s="20"/>
      <c r="S2542" s="20"/>
    </row>
    <row r="2543">
      <c r="A2543" s="10"/>
      <c r="B2543" s="11"/>
      <c r="C2543" s="10"/>
      <c r="D2543" s="13"/>
      <c r="E2543" s="14"/>
      <c r="F2543" s="14"/>
      <c r="G2543" s="14"/>
      <c r="H2543" s="10"/>
      <c r="I2543" s="10"/>
      <c r="J2543" s="10"/>
      <c r="K2543" s="46"/>
      <c r="L2543" s="10"/>
      <c r="M2543" s="44" t="s">
        <v>10178</v>
      </c>
      <c r="N2543" s="45"/>
      <c r="O2543" s="20"/>
      <c r="P2543" s="20"/>
      <c r="Q2543" s="20"/>
      <c r="R2543" s="20"/>
      <c r="S2543" s="20"/>
    </row>
    <row r="2544">
      <c r="A2544" s="23"/>
      <c r="B2544" s="21"/>
      <c r="C2544" s="23"/>
      <c r="D2544" s="24"/>
      <c r="E2544" s="14"/>
      <c r="F2544" s="14"/>
      <c r="G2544" s="14"/>
      <c r="H2544" s="23"/>
      <c r="I2544" s="23"/>
      <c r="J2544" s="23"/>
      <c r="K2544" s="30"/>
      <c r="L2544" s="23"/>
      <c r="M2544" s="50" t="s">
        <v>10178</v>
      </c>
      <c r="N2544" s="51"/>
      <c r="O2544" s="20"/>
      <c r="P2544" s="20"/>
      <c r="Q2544" s="20"/>
      <c r="R2544" s="20"/>
      <c r="S2544" s="20"/>
    </row>
    <row r="2545">
      <c r="A2545" s="10"/>
      <c r="B2545" s="11"/>
      <c r="C2545" s="10"/>
      <c r="D2545" s="13"/>
      <c r="E2545" s="14"/>
      <c r="F2545" s="14"/>
      <c r="G2545" s="14"/>
      <c r="H2545" s="10"/>
      <c r="I2545" s="10"/>
      <c r="J2545" s="10"/>
      <c r="K2545" s="46"/>
      <c r="L2545" s="10"/>
      <c r="M2545" s="44" t="s">
        <v>10178</v>
      </c>
      <c r="N2545" s="45"/>
      <c r="O2545" s="20"/>
      <c r="P2545" s="20"/>
      <c r="Q2545" s="20"/>
      <c r="R2545" s="20"/>
      <c r="S2545" s="20"/>
    </row>
    <row r="2546">
      <c r="A2546" s="23"/>
      <c r="B2546" s="21"/>
      <c r="C2546" s="23"/>
      <c r="D2546" s="24"/>
      <c r="E2546" s="14"/>
      <c r="F2546" s="14"/>
      <c r="G2546" s="14"/>
      <c r="H2546" s="23"/>
      <c r="I2546" s="23"/>
      <c r="J2546" s="23"/>
      <c r="K2546" s="30"/>
      <c r="L2546" s="23"/>
      <c r="M2546" s="50" t="s">
        <v>10178</v>
      </c>
      <c r="N2546" s="51"/>
      <c r="O2546" s="20"/>
      <c r="P2546" s="20"/>
      <c r="Q2546" s="20"/>
      <c r="R2546" s="20"/>
      <c r="S2546" s="20"/>
    </row>
    <row r="2547">
      <c r="A2547" s="10"/>
      <c r="B2547" s="11"/>
      <c r="C2547" s="10"/>
      <c r="D2547" s="13"/>
      <c r="E2547" s="14"/>
      <c r="F2547" s="14"/>
      <c r="G2547" s="14"/>
      <c r="H2547" s="10"/>
      <c r="I2547" s="10"/>
      <c r="J2547" s="10"/>
      <c r="K2547" s="46"/>
      <c r="L2547" s="10"/>
      <c r="M2547" s="44" t="s">
        <v>10178</v>
      </c>
      <c r="N2547" s="45"/>
      <c r="O2547" s="20"/>
      <c r="P2547" s="20"/>
      <c r="Q2547" s="20"/>
      <c r="R2547" s="20"/>
      <c r="S2547" s="20"/>
    </row>
    <row r="2548">
      <c r="A2548" s="23"/>
      <c r="B2548" s="21"/>
      <c r="C2548" s="23"/>
      <c r="D2548" s="24"/>
      <c r="E2548" s="14"/>
      <c r="F2548" s="14"/>
      <c r="G2548" s="14"/>
      <c r="H2548" s="23"/>
      <c r="I2548" s="23"/>
      <c r="J2548" s="23"/>
      <c r="K2548" s="30"/>
      <c r="L2548" s="23"/>
      <c r="M2548" s="50" t="s">
        <v>10178</v>
      </c>
      <c r="N2548" s="51"/>
      <c r="O2548" s="20"/>
      <c r="P2548" s="20"/>
      <c r="Q2548" s="20"/>
      <c r="R2548" s="20"/>
      <c r="S2548" s="20"/>
    </row>
    <row r="2549">
      <c r="A2549" s="10"/>
      <c r="B2549" s="11"/>
      <c r="C2549" s="10"/>
      <c r="D2549" s="13"/>
      <c r="E2549" s="14"/>
      <c r="F2549" s="14"/>
      <c r="G2549" s="14"/>
      <c r="H2549" s="10"/>
      <c r="I2549" s="10"/>
      <c r="J2549" s="10"/>
      <c r="K2549" s="46"/>
      <c r="L2549" s="10"/>
      <c r="M2549" s="44" t="s">
        <v>10178</v>
      </c>
      <c r="N2549" s="45"/>
      <c r="O2549" s="20"/>
      <c r="P2549" s="20"/>
      <c r="Q2549" s="20"/>
      <c r="R2549" s="20"/>
      <c r="S2549" s="20"/>
    </row>
    <row r="2550">
      <c r="A2550" s="23"/>
      <c r="B2550" s="21"/>
      <c r="C2550" s="23"/>
      <c r="D2550" s="24"/>
      <c r="E2550" s="14"/>
      <c r="F2550" s="14"/>
      <c r="G2550" s="14"/>
      <c r="H2550" s="23"/>
      <c r="I2550" s="23"/>
      <c r="J2550" s="23"/>
      <c r="K2550" s="30"/>
      <c r="L2550" s="23"/>
      <c r="M2550" s="50" t="s">
        <v>10178</v>
      </c>
      <c r="N2550" s="51"/>
      <c r="O2550" s="20"/>
      <c r="P2550" s="20"/>
      <c r="Q2550" s="20"/>
      <c r="R2550" s="20"/>
      <c r="S2550" s="20"/>
    </row>
    <row r="2551">
      <c r="A2551" s="10"/>
      <c r="B2551" s="11"/>
      <c r="C2551" s="10"/>
      <c r="D2551" s="13"/>
      <c r="E2551" s="14"/>
      <c r="F2551" s="14"/>
      <c r="G2551" s="14"/>
      <c r="H2551" s="10"/>
      <c r="I2551" s="10"/>
      <c r="J2551" s="10"/>
      <c r="K2551" s="46"/>
      <c r="L2551" s="10"/>
      <c r="M2551" s="44" t="s">
        <v>10178</v>
      </c>
      <c r="N2551" s="45"/>
      <c r="O2551" s="20"/>
      <c r="P2551" s="20"/>
      <c r="Q2551" s="20"/>
      <c r="R2551" s="20"/>
      <c r="S2551" s="20"/>
    </row>
    <row r="2552">
      <c r="A2552" s="23"/>
      <c r="B2552" s="21"/>
      <c r="C2552" s="23"/>
      <c r="D2552" s="24"/>
      <c r="E2552" s="14"/>
      <c r="F2552" s="14"/>
      <c r="G2552" s="14"/>
      <c r="H2552" s="23"/>
      <c r="I2552" s="23"/>
      <c r="J2552" s="23"/>
      <c r="K2552" s="30"/>
      <c r="L2552" s="23"/>
      <c r="M2552" s="50" t="s">
        <v>10178</v>
      </c>
      <c r="N2552" s="51"/>
      <c r="O2552" s="20"/>
      <c r="P2552" s="20"/>
      <c r="Q2552" s="20"/>
      <c r="R2552" s="20"/>
      <c r="S2552" s="20"/>
    </row>
    <row r="2553">
      <c r="A2553" s="10"/>
      <c r="B2553" s="11"/>
      <c r="C2553" s="10"/>
      <c r="D2553" s="13"/>
      <c r="E2553" s="14"/>
      <c r="F2553" s="14"/>
      <c r="G2553" s="14"/>
      <c r="H2553" s="10"/>
      <c r="I2553" s="10"/>
      <c r="J2553" s="10"/>
      <c r="K2553" s="46"/>
      <c r="L2553" s="10"/>
      <c r="M2553" s="44" t="s">
        <v>10178</v>
      </c>
      <c r="N2553" s="45"/>
      <c r="O2553" s="20"/>
      <c r="P2553" s="20"/>
      <c r="Q2553" s="20"/>
      <c r="R2553" s="20"/>
      <c r="S2553" s="20"/>
    </row>
    <row r="2554">
      <c r="A2554" s="23"/>
      <c r="B2554" s="21"/>
      <c r="C2554" s="23"/>
      <c r="D2554" s="24"/>
      <c r="E2554" s="14"/>
      <c r="F2554" s="14"/>
      <c r="G2554" s="14"/>
      <c r="H2554" s="23"/>
      <c r="I2554" s="23"/>
      <c r="J2554" s="23"/>
      <c r="K2554" s="30"/>
      <c r="L2554" s="23"/>
      <c r="M2554" s="50" t="s">
        <v>10178</v>
      </c>
      <c r="N2554" s="51"/>
      <c r="O2554" s="20"/>
      <c r="P2554" s="20"/>
      <c r="Q2554" s="20"/>
      <c r="R2554" s="20"/>
      <c r="S2554" s="20"/>
    </row>
    <row r="2555">
      <c r="A2555" s="10"/>
      <c r="B2555" s="11"/>
      <c r="C2555" s="10"/>
      <c r="D2555" s="13"/>
      <c r="E2555" s="14"/>
      <c r="F2555" s="14"/>
      <c r="G2555" s="14"/>
      <c r="H2555" s="10"/>
      <c r="I2555" s="10"/>
      <c r="J2555" s="10"/>
      <c r="K2555" s="46"/>
      <c r="L2555" s="10"/>
      <c r="M2555" s="44" t="s">
        <v>10178</v>
      </c>
      <c r="N2555" s="45"/>
      <c r="O2555" s="20"/>
      <c r="P2555" s="20"/>
      <c r="Q2555" s="20"/>
      <c r="R2555" s="20"/>
      <c r="S2555" s="20"/>
    </row>
    <row r="2556">
      <c r="A2556" s="23"/>
      <c r="B2556" s="21"/>
      <c r="C2556" s="23"/>
      <c r="D2556" s="24"/>
      <c r="E2556" s="14"/>
      <c r="F2556" s="14"/>
      <c r="G2556" s="14"/>
      <c r="H2556" s="23"/>
      <c r="I2556" s="23"/>
      <c r="J2556" s="23"/>
      <c r="K2556" s="30"/>
      <c r="L2556" s="23"/>
      <c r="M2556" s="50" t="s">
        <v>10178</v>
      </c>
      <c r="N2556" s="51"/>
      <c r="O2556" s="20"/>
      <c r="P2556" s="20"/>
      <c r="Q2556" s="20"/>
      <c r="R2556" s="20"/>
      <c r="S2556" s="20"/>
    </row>
    <row r="2557">
      <c r="A2557" s="10"/>
      <c r="B2557" s="11"/>
      <c r="C2557" s="10"/>
      <c r="D2557" s="13"/>
      <c r="E2557" s="14"/>
      <c r="F2557" s="14"/>
      <c r="G2557" s="14"/>
      <c r="H2557" s="10"/>
      <c r="I2557" s="10"/>
      <c r="J2557" s="10"/>
      <c r="K2557" s="46"/>
      <c r="L2557" s="10"/>
      <c r="M2557" s="44" t="s">
        <v>10178</v>
      </c>
      <c r="N2557" s="45"/>
      <c r="O2557" s="20"/>
      <c r="P2557" s="20"/>
      <c r="Q2557" s="20"/>
      <c r="R2557" s="20"/>
      <c r="S2557" s="20"/>
    </row>
    <row r="2558">
      <c r="A2558" s="23"/>
      <c r="B2558" s="21"/>
      <c r="C2558" s="23"/>
      <c r="D2558" s="24"/>
      <c r="E2558" s="14"/>
      <c r="F2558" s="14"/>
      <c r="G2558" s="14"/>
      <c r="H2558" s="23"/>
      <c r="I2558" s="23"/>
      <c r="J2558" s="23"/>
      <c r="K2558" s="30"/>
      <c r="L2558" s="23"/>
      <c r="M2558" s="50" t="s">
        <v>10178</v>
      </c>
      <c r="N2558" s="51"/>
      <c r="O2558" s="20"/>
      <c r="P2558" s="20"/>
      <c r="Q2558" s="20"/>
      <c r="R2558" s="20"/>
      <c r="S2558" s="20"/>
    </row>
    <row r="2559">
      <c r="A2559" s="10"/>
      <c r="B2559" s="11"/>
      <c r="C2559" s="10"/>
      <c r="D2559" s="13"/>
      <c r="E2559" s="14"/>
      <c r="F2559" s="14"/>
      <c r="G2559" s="14"/>
      <c r="H2559" s="10"/>
      <c r="I2559" s="10"/>
      <c r="J2559" s="10"/>
      <c r="K2559" s="46"/>
      <c r="L2559" s="10"/>
      <c r="M2559" s="44" t="s">
        <v>10178</v>
      </c>
      <c r="N2559" s="45"/>
      <c r="O2559" s="20"/>
      <c r="P2559" s="20"/>
      <c r="Q2559" s="20"/>
      <c r="R2559" s="20"/>
      <c r="S2559" s="20"/>
    </row>
    <row r="2560">
      <c r="A2560" s="23"/>
      <c r="B2560" s="21"/>
      <c r="C2560" s="23"/>
      <c r="D2560" s="24"/>
      <c r="E2560" s="14"/>
      <c r="F2560" s="14"/>
      <c r="G2560" s="14"/>
      <c r="H2560" s="23"/>
      <c r="I2560" s="23"/>
      <c r="J2560" s="23"/>
      <c r="K2560" s="30"/>
      <c r="L2560" s="23"/>
      <c r="M2560" s="50" t="s">
        <v>10178</v>
      </c>
      <c r="N2560" s="51"/>
      <c r="O2560" s="20"/>
      <c r="P2560" s="20"/>
      <c r="Q2560" s="20"/>
      <c r="R2560" s="20"/>
      <c r="S2560" s="20"/>
    </row>
    <row r="2561">
      <c r="A2561" s="10"/>
      <c r="B2561" s="11"/>
      <c r="C2561" s="10"/>
      <c r="D2561" s="13"/>
      <c r="E2561" s="14"/>
      <c r="F2561" s="14"/>
      <c r="G2561" s="14"/>
      <c r="H2561" s="10"/>
      <c r="I2561" s="10"/>
      <c r="J2561" s="10"/>
      <c r="K2561" s="46"/>
      <c r="L2561" s="10"/>
      <c r="M2561" s="44" t="s">
        <v>10178</v>
      </c>
      <c r="N2561" s="45"/>
      <c r="O2561" s="20"/>
      <c r="P2561" s="20"/>
      <c r="Q2561" s="20"/>
      <c r="R2561" s="20"/>
      <c r="S2561" s="20"/>
    </row>
    <row r="2562">
      <c r="A2562" s="23"/>
      <c r="B2562" s="21"/>
      <c r="C2562" s="23"/>
      <c r="D2562" s="24"/>
      <c r="E2562" s="14"/>
      <c r="F2562" s="14"/>
      <c r="G2562" s="14"/>
      <c r="H2562" s="23"/>
      <c r="I2562" s="23"/>
      <c r="J2562" s="23"/>
      <c r="K2562" s="30"/>
      <c r="L2562" s="23"/>
      <c r="M2562" s="50" t="s">
        <v>10178</v>
      </c>
      <c r="N2562" s="51"/>
      <c r="O2562" s="20"/>
      <c r="P2562" s="20"/>
      <c r="Q2562" s="20"/>
      <c r="R2562" s="20"/>
      <c r="S2562" s="20"/>
    </row>
    <row r="2563">
      <c r="A2563" s="10"/>
      <c r="B2563" s="11"/>
      <c r="C2563" s="10"/>
      <c r="D2563" s="13"/>
      <c r="E2563" s="14"/>
      <c r="F2563" s="14"/>
      <c r="G2563" s="14"/>
      <c r="H2563" s="10"/>
      <c r="I2563" s="10"/>
      <c r="J2563" s="10"/>
      <c r="K2563" s="46"/>
      <c r="L2563" s="10"/>
      <c r="M2563" s="44" t="s">
        <v>10178</v>
      </c>
      <c r="N2563" s="45"/>
      <c r="O2563" s="20"/>
      <c r="P2563" s="20"/>
      <c r="Q2563" s="20"/>
      <c r="R2563" s="20"/>
      <c r="S2563" s="20"/>
    </row>
    <row r="2564">
      <c r="A2564" s="23"/>
      <c r="B2564" s="21"/>
      <c r="C2564" s="23"/>
      <c r="D2564" s="24"/>
      <c r="E2564" s="14"/>
      <c r="F2564" s="14"/>
      <c r="G2564" s="14"/>
      <c r="H2564" s="23"/>
      <c r="I2564" s="23"/>
      <c r="J2564" s="23"/>
      <c r="K2564" s="30"/>
      <c r="L2564" s="23"/>
      <c r="M2564" s="50" t="s">
        <v>10178</v>
      </c>
      <c r="N2564" s="51"/>
      <c r="O2564" s="20"/>
      <c r="P2564" s="20"/>
      <c r="Q2564" s="20"/>
      <c r="R2564" s="20"/>
      <c r="S2564" s="20"/>
    </row>
    <row r="2565">
      <c r="A2565" s="10"/>
      <c r="B2565" s="11"/>
      <c r="C2565" s="10"/>
      <c r="D2565" s="13"/>
      <c r="E2565" s="14"/>
      <c r="F2565" s="14"/>
      <c r="G2565" s="14"/>
      <c r="H2565" s="10"/>
      <c r="I2565" s="10"/>
      <c r="J2565" s="10"/>
      <c r="K2565" s="46"/>
      <c r="L2565" s="10"/>
      <c r="M2565" s="44" t="s">
        <v>10178</v>
      </c>
      <c r="N2565" s="45"/>
      <c r="O2565" s="20"/>
      <c r="P2565" s="20"/>
      <c r="Q2565" s="20"/>
      <c r="R2565" s="20"/>
      <c r="S2565" s="20"/>
    </row>
    <row r="2566">
      <c r="A2566" s="23"/>
      <c r="B2566" s="21"/>
      <c r="C2566" s="23"/>
      <c r="D2566" s="24"/>
      <c r="E2566" s="14"/>
      <c r="F2566" s="14"/>
      <c r="G2566" s="14"/>
      <c r="H2566" s="23"/>
      <c r="I2566" s="23"/>
      <c r="J2566" s="23"/>
      <c r="K2566" s="30"/>
      <c r="L2566" s="23"/>
      <c r="M2566" s="50" t="s">
        <v>10178</v>
      </c>
      <c r="N2566" s="51"/>
      <c r="O2566" s="20"/>
      <c r="P2566" s="20"/>
      <c r="Q2566" s="20"/>
      <c r="R2566" s="20"/>
      <c r="S2566" s="20"/>
    </row>
    <row r="2567">
      <c r="A2567" s="10"/>
      <c r="B2567" s="11"/>
      <c r="C2567" s="10"/>
      <c r="D2567" s="13"/>
      <c r="E2567" s="14"/>
      <c r="F2567" s="14"/>
      <c r="G2567" s="14"/>
      <c r="H2567" s="10"/>
      <c r="I2567" s="10"/>
      <c r="J2567" s="10"/>
      <c r="K2567" s="46"/>
      <c r="L2567" s="10"/>
      <c r="M2567" s="44" t="s">
        <v>10178</v>
      </c>
      <c r="N2567" s="45"/>
      <c r="O2567" s="20"/>
      <c r="P2567" s="20"/>
      <c r="Q2567" s="20"/>
      <c r="R2567" s="20"/>
      <c r="S2567" s="20"/>
    </row>
    <row r="2568">
      <c r="A2568" s="23"/>
      <c r="B2568" s="21"/>
      <c r="C2568" s="23"/>
      <c r="D2568" s="24"/>
      <c r="E2568" s="14"/>
      <c r="F2568" s="14"/>
      <c r="G2568" s="14"/>
      <c r="H2568" s="23"/>
      <c r="I2568" s="23"/>
      <c r="J2568" s="23"/>
      <c r="K2568" s="30"/>
      <c r="L2568" s="23"/>
      <c r="M2568" s="50" t="s">
        <v>10178</v>
      </c>
      <c r="N2568" s="51"/>
      <c r="O2568" s="20"/>
      <c r="P2568" s="20"/>
      <c r="Q2568" s="20"/>
      <c r="R2568" s="20"/>
      <c r="S2568" s="20"/>
    </row>
    <row r="2569">
      <c r="A2569" s="10"/>
      <c r="B2569" s="11"/>
      <c r="C2569" s="10"/>
      <c r="D2569" s="13"/>
      <c r="E2569" s="14"/>
      <c r="F2569" s="14"/>
      <c r="G2569" s="14"/>
      <c r="H2569" s="10"/>
      <c r="I2569" s="10"/>
      <c r="J2569" s="10"/>
      <c r="K2569" s="46"/>
      <c r="L2569" s="10"/>
      <c r="M2569" s="44" t="s">
        <v>10178</v>
      </c>
      <c r="N2569" s="45"/>
      <c r="O2569" s="20"/>
      <c r="P2569" s="20"/>
      <c r="Q2569" s="20"/>
      <c r="R2569" s="20"/>
      <c r="S2569" s="20"/>
    </row>
    <row r="2570">
      <c r="A2570" s="23"/>
      <c r="B2570" s="21"/>
      <c r="C2570" s="23"/>
      <c r="D2570" s="24"/>
      <c r="E2570" s="14"/>
      <c r="F2570" s="14"/>
      <c r="G2570" s="14"/>
      <c r="H2570" s="23"/>
      <c r="I2570" s="23"/>
      <c r="J2570" s="23"/>
      <c r="K2570" s="30"/>
      <c r="L2570" s="23"/>
      <c r="M2570" s="50" t="s">
        <v>10178</v>
      </c>
      <c r="N2570" s="51"/>
      <c r="O2570" s="20"/>
      <c r="P2570" s="20"/>
      <c r="Q2570" s="20"/>
      <c r="R2570" s="20"/>
      <c r="S2570" s="20"/>
    </row>
    <row r="2571">
      <c r="A2571" s="10"/>
      <c r="B2571" s="11"/>
      <c r="C2571" s="10"/>
      <c r="D2571" s="13"/>
      <c r="E2571" s="14"/>
      <c r="F2571" s="14"/>
      <c r="G2571" s="14"/>
      <c r="H2571" s="10"/>
      <c r="I2571" s="10"/>
      <c r="J2571" s="10"/>
      <c r="K2571" s="46"/>
      <c r="L2571" s="10"/>
      <c r="M2571" s="44" t="s">
        <v>10178</v>
      </c>
      <c r="N2571" s="45"/>
      <c r="O2571" s="20"/>
      <c r="P2571" s="20"/>
      <c r="Q2571" s="20"/>
      <c r="R2571" s="20"/>
      <c r="S2571" s="20"/>
    </row>
    <row r="2572">
      <c r="A2572" s="23"/>
      <c r="B2572" s="21"/>
      <c r="C2572" s="23"/>
      <c r="D2572" s="24"/>
      <c r="E2572" s="14"/>
      <c r="F2572" s="14"/>
      <c r="G2572" s="14"/>
      <c r="H2572" s="23"/>
      <c r="I2572" s="23"/>
      <c r="J2572" s="23"/>
      <c r="K2572" s="30"/>
      <c r="L2572" s="23"/>
      <c r="M2572" s="50" t="s">
        <v>10178</v>
      </c>
      <c r="N2572" s="51"/>
      <c r="O2572" s="20"/>
      <c r="P2572" s="20"/>
      <c r="Q2572" s="20"/>
      <c r="R2572" s="20"/>
      <c r="S2572" s="20"/>
    </row>
    <row r="2573">
      <c r="A2573" s="10"/>
      <c r="B2573" s="11"/>
      <c r="C2573" s="10"/>
      <c r="D2573" s="13"/>
      <c r="E2573" s="14"/>
      <c r="F2573" s="14"/>
      <c r="G2573" s="14"/>
      <c r="H2573" s="10"/>
      <c r="I2573" s="10"/>
      <c r="J2573" s="10"/>
      <c r="K2573" s="46"/>
      <c r="L2573" s="10"/>
      <c r="M2573" s="44" t="s">
        <v>10178</v>
      </c>
      <c r="N2573" s="45"/>
      <c r="O2573" s="20"/>
      <c r="P2573" s="20"/>
      <c r="Q2573" s="20"/>
      <c r="R2573" s="20"/>
      <c r="S2573" s="20"/>
    </row>
    <row r="2574">
      <c r="A2574" s="23"/>
      <c r="B2574" s="21"/>
      <c r="C2574" s="23"/>
      <c r="D2574" s="24"/>
      <c r="E2574" s="14"/>
      <c r="F2574" s="14"/>
      <c r="G2574" s="14"/>
      <c r="H2574" s="23"/>
      <c r="I2574" s="23"/>
      <c r="J2574" s="23"/>
      <c r="K2574" s="30"/>
      <c r="L2574" s="23"/>
      <c r="M2574" s="50" t="s">
        <v>10178</v>
      </c>
      <c r="N2574" s="51"/>
      <c r="O2574" s="20"/>
      <c r="P2574" s="20"/>
      <c r="Q2574" s="20"/>
      <c r="R2574" s="20"/>
      <c r="S2574" s="20"/>
    </row>
    <row r="2575">
      <c r="A2575" s="10"/>
      <c r="B2575" s="11"/>
      <c r="C2575" s="10"/>
      <c r="D2575" s="13"/>
      <c r="E2575" s="14"/>
      <c r="F2575" s="14"/>
      <c r="G2575" s="14"/>
      <c r="H2575" s="10"/>
      <c r="I2575" s="10"/>
      <c r="J2575" s="10"/>
      <c r="K2575" s="46"/>
      <c r="L2575" s="10"/>
      <c r="M2575" s="44" t="s">
        <v>10178</v>
      </c>
      <c r="N2575" s="45"/>
      <c r="O2575" s="20"/>
      <c r="P2575" s="20"/>
      <c r="Q2575" s="20"/>
      <c r="R2575" s="20"/>
      <c r="S2575" s="20"/>
    </row>
    <row r="2576">
      <c r="A2576" s="23"/>
      <c r="B2576" s="21"/>
      <c r="C2576" s="23"/>
      <c r="D2576" s="24"/>
      <c r="E2576" s="14"/>
      <c r="F2576" s="14"/>
      <c r="G2576" s="14"/>
      <c r="H2576" s="23"/>
      <c r="I2576" s="23"/>
      <c r="J2576" s="23"/>
      <c r="K2576" s="30"/>
      <c r="L2576" s="23"/>
      <c r="M2576" s="50" t="s">
        <v>10178</v>
      </c>
      <c r="N2576" s="51"/>
      <c r="O2576" s="20"/>
      <c r="P2576" s="20"/>
      <c r="Q2576" s="20"/>
      <c r="R2576" s="20"/>
      <c r="S2576" s="20"/>
    </row>
    <row r="2577">
      <c r="A2577" s="10"/>
      <c r="B2577" s="11"/>
      <c r="C2577" s="10"/>
      <c r="D2577" s="13"/>
      <c r="E2577" s="14"/>
      <c r="F2577" s="14"/>
      <c r="G2577" s="14"/>
      <c r="H2577" s="10"/>
      <c r="I2577" s="10"/>
      <c r="J2577" s="10"/>
      <c r="K2577" s="46"/>
      <c r="L2577" s="10"/>
      <c r="M2577" s="44" t="s">
        <v>10178</v>
      </c>
      <c r="N2577" s="45"/>
      <c r="O2577" s="20"/>
      <c r="P2577" s="20"/>
      <c r="Q2577" s="20"/>
      <c r="R2577" s="20"/>
      <c r="S2577" s="20"/>
    </row>
    <row r="2578">
      <c r="A2578" s="23"/>
      <c r="B2578" s="21"/>
      <c r="C2578" s="23"/>
      <c r="D2578" s="24"/>
      <c r="E2578" s="14"/>
      <c r="F2578" s="14"/>
      <c r="G2578" s="14"/>
      <c r="H2578" s="23"/>
      <c r="I2578" s="23"/>
      <c r="J2578" s="23"/>
      <c r="K2578" s="30"/>
      <c r="L2578" s="23"/>
      <c r="M2578" s="50" t="s">
        <v>10178</v>
      </c>
      <c r="N2578" s="51"/>
      <c r="O2578" s="20"/>
      <c r="P2578" s="20"/>
      <c r="Q2578" s="20"/>
      <c r="R2578" s="20"/>
      <c r="S2578" s="20"/>
    </row>
    <row r="2579">
      <c r="A2579" s="10"/>
      <c r="B2579" s="11"/>
      <c r="C2579" s="10"/>
      <c r="D2579" s="13"/>
      <c r="E2579" s="14"/>
      <c r="F2579" s="14"/>
      <c r="G2579" s="14"/>
      <c r="H2579" s="10"/>
      <c r="I2579" s="10"/>
      <c r="J2579" s="10"/>
      <c r="K2579" s="46"/>
      <c r="L2579" s="10"/>
      <c r="M2579" s="44" t="s">
        <v>10178</v>
      </c>
      <c r="N2579" s="45"/>
      <c r="O2579" s="20"/>
      <c r="P2579" s="20"/>
      <c r="Q2579" s="20"/>
      <c r="R2579" s="20"/>
      <c r="S2579" s="20"/>
    </row>
    <row r="2580">
      <c r="A2580" s="23"/>
      <c r="B2580" s="21"/>
      <c r="C2580" s="23"/>
      <c r="D2580" s="24"/>
      <c r="E2580" s="14"/>
      <c r="F2580" s="14"/>
      <c r="G2580" s="14"/>
      <c r="H2580" s="23"/>
      <c r="I2580" s="23"/>
      <c r="J2580" s="23"/>
      <c r="K2580" s="30"/>
      <c r="L2580" s="23"/>
      <c r="M2580" s="50" t="s">
        <v>10178</v>
      </c>
      <c r="N2580" s="51"/>
      <c r="O2580" s="20"/>
      <c r="P2580" s="20"/>
      <c r="Q2580" s="20"/>
      <c r="R2580" s="20"/>
      <c r="S2580" s="20"/>
    </row>
    <row r="2581">
      <c r="A2581" s="10"/>
      <c r="B2581" s="11"/>
      <c r="C2581" s="10"/>
      <c r="D2581" s="13"/>
      <c r="E2581" s="14"/>
      <c r="F2581" s="14"/>
      <c r="G2581" s="14"/>
      <c r="H2581" s="10"/>
      <c r="I2581" s="10"/>
      <c r="J2581" s="10"/>
      <c r="K2581" s="46"/>
      <c r="L2581" s="10"/>
      <c r="M2581" s="44" t="s">
        <v>10178</v>
      </c>
      <c r="N2581" s="45"/>
      <c r="O2581" s="20"/>
      <c r="P2581" s="20"/>
      <c r="Q2581" s="20"/>
      <c r="R2581" s="20"/>
      <c r="S2581" s="20"/>
    </row>
    <row r="2582">
      <c r="A2582" s="23"/>
      <c r="B2582" s="21"/>
      <c r="C2582" s="23"/>
      <c r="D2582" s="24"/>
      <c r="E2582" s="14"/>
      <c r="F2582" s="14"/>
      <c r="G2582" s="14"/>
      <c r="H2582" s="23"/>
      <c r="I2582" s="23"/>
      <c r="J2582" s="23"/>
      <c r="K2582" s="30"/>
      <c r="L2582" s="23"/>
      <c r="M2582" s="50" t="s">
        <v>10178</v>
      </c>
      <c r="N2582" s="51"/>
      <c r="O2582" s="20"/>
      <c r="P2582" s="20"/>
      <c r="Q2582" s="20"/>
      <c r="R2582" s="20"/>
      <c r="S2582" s="20"/>
    </row>
    <row r="2583">
      <c r="A2583" s="10"/>
      <c r="B2583" s="11"/>
      <c r="C2583" s="10"/>
      <c r="D2583" s="13"/>
      <c r="E2583" s="14"/>
      <c r="F2583" s="14"/>
      <c r="G2583" s="14"/>
      <c r="H2583" s="10"/>
      <c r="I2583" s="10"/>
      <c r="J2583" s="10"/>
      <c r="K2583" s="46"/>
      <c r="L2583" s="10"/>
      <c r="M2583" s="44" t="s">
        <v>10178</v>
      </c>
      <c r="N2583" s="45"/>
      <c r="O2583" s="20"/>
      <c r="P2583" s="20"/>
      <c r="Q2583" s="20"/>
      <c r="R2583" s="20"/>
      <c r="S2583" s="20"/>
    </row>
    <row r="2584">
      <c r="A2584" s="23"/>
      <c r="B2584" s="21"/>
      <c r="C2584" s="23"/>
      <c r="D2584" s="24"/>
      <c r="E2584" s="14"/>
      <c r="F2584" s="14"/>
      <c r="G2584" s="14"/>
      <c r="H2584" s="23"/>
      <c r="I2584" s="23"/>
      <c r="J2584" s="23"/>
      <c r="K2584" s="30"/>
      <c r="L2584" s="23"/>
      <c r="M2584" s="50" t="s">
        <v>10178</v>
      </c>
      <c r="N2584" s="51"/>
      <c r="O2584" s="20"/>
      <c r="P2584" s="20"/>
      <c r="Q2584" s="20"/>
      <c r="R2584" s="20"/>
      <c r="S2584" s="20"/>
    </row>
    <row r="2585">
      <c r="A2585" s="10"/>
      <c r="B2585" s="11"/>
      <c r="C2585" s="10"/>
      <c r="D2585" s="13"/>
      <c r="E2585" s="14"/>
      <c r="F2585" s="14"/>
      <c r="G2585" s="14"/>
      <c r="H2585" s="10"/>
      <c r="I2585" s="10"/>
      <c r="J2585" s="10"/>
      <c r="K2585" s="46"/>
      <c r="L2585" s="10"/>
      <c r="M2585" s="44" t="s">
        <v>10178</v>
      </c>
      <c r="N2585" s="45"/>
      <c r="O2585" s="20"/>
      <c r="P2585" s="20"/>
      <c r="Q2585" s="20"/>
      <c r="R2585" s="20"/>
      <c r="S2585" s="20"/>
    </row>
    <row r="2586">
      <c r="A2586" s="23"/>
      <c r="B2586" s="21"/>
      <c r="C2586" s="23"/>
      <c r="D2586" s="24"/>
      <c r="E2586" s="14"/>
      <c r="F2586" s="14"/>
      <c r="G2586" s="14"/>
      <c r="H2586" s="23"/>
      <c r="I2586" s="23"/>
      <c r="J2586" s="23"/>
      <c r="K2586" s="30"/>
      <c r="L2586" s="23"/>
      <c r="M2586" s="50" t="s">
        <v>10178</v>
      </c>
      <c r="N2586" s="51"/>
      <c r="O2586" s="20"/>
      <c r="P2586" s="20"/>
      <c r="Q2586" s="20"/>
      <c r="R2586" s="20"/>
      <c r="S2586" s="20"/>
    </row>
    <row r="2587">
      <c r="A2587" s="10"/>
      <c r="B2587" s="11"/>
      <c r="C2587" s="10"/>
      <c r="D2587" s="13"/>
      <c r="E2587" s="14"/>
      <c r="F2587" s="14"/>
      <c r="G2587" s="14"/>
      <c r="H2587" s="10"/>
      <c r="I2587" s="10"/>
      <c r="J2587" s="10"/>
      <c r="K2587" s="46"/>
      <c r="L2587" s="10"/>
      <c r="M2587" s="44" t="s">
        <v>10178</v>
      </c>
      <c r="N2587" s="45"/>
      <c r="O2587" s="20"/>
      <c r="P2587" s="20"/>
      <c r="Q2587" s="20"/>
      <c r="R2587" s="20"/>
      <c r="S2587" s="20"/>
    </row>
    <row r="2588">
      <c r="A2588" s="23"/>
      <c r="B2588" s="21"/>
      <c r="C2588" s="23"/>
      <c r="D2588" s="24"/>
      <c r="E2588" s="14"/>
      <c r="F2588" s="14"/>
      <c r="G2588" s="14"/>
      <c r="H2588" s="23"/>
      <c r="I2588" s="23"/>
      <c r="J2588" s="23"/>
      <c r="K2588" s="30"/>
      <c r="L2588" s="23"/>
      <c r="M2588" s="50" t="s">
        <v>10178</v>
      </c>
      <c r="N2588" s="51"/>
      <c r="O2588" s="20"/>
      <c r="P2588" s="20"/>
      <c r="Q2588" s="20"/>
      <c r="R2588" s="20"/>
      <c r="S2588" s="20"/>
    </row>
    <row r="2589">
      <c r="A2589" s="10"/>
      <c r="B2589" s="11"/>
      <c r="C2589" s="10"/>
      <c r="D2589" s="13"/>
      <c r="E2589" s="14"/>
      <c r="F2589" s="14"/>
      <c r="G2589" s="14"/>
      <c r="H2589" s="10"/>
      <c r="I2589" s="10"/>
      <c r="J2589" s="10"/>
      <c r="K2589" s="46"/>
      <c r="L2589" s="10"/>
      <c r="M2589" s="44" t="s">
        <v>10178</v>
      </c>
      <c r="N2589" s="45"/>
      <c r="O2589" s="20"/>
      <c r="P2589" s="20"/>
      <c r="Q2589" s="20"/>
      <c r="R2589" s="20"/>
      <c r="S2589" s="20"/>
    </row>
    <row r="2590">
      <c r="A2590" s="23"/>
      <c r="B2590" s="21"/>
      <c r="C2590" s="23"/>
      <c r="D2590" s="24"/>
      <c r="E2590" s="14"/>
      <c r="F2590" s="14"/>
      <c r="G2590" s="14"/>
      <c r="H2590" s="23"/>
      <c r="I2590" s="23"/>
      <c r="J2590" s="23"/>
      <c r="K2590" s="30"/>
      <c r="L2590" s="23"/>
      <c r="M2590" s="50" t="s">
        <v>10178</v>
      </c>
      <c r="N2590" s="51"/>
      <c r="O2590" s="20"/>
      <c r="P2590" s="20"/>
      <c r="Q2590" s="20"/>
      <c r="R2590" s="20"/>
      <c r="S2590" s="20"/>
    </row>
    <row r="2591">
      <c r="A2591" s="10"/>
      <c r="B2591" s="11"/>
      <c r="C2591" s="10"/>
      <c r="D2591" s="13"/>
      <c r="E2591" s="14"/>
      <c r="F2591" s="14"/>
      <c r="G2591" s="14"/>
      <c r="H2591" s="10"/>
      <c r="I2591" s="10"/>
      <c r="J2591" s="10"/>
      <c r="K2591" s="46"/>
      <c r="L2591" s="10"/>
      <c r="M2591" s="44" t="s">
        <v>10178</v>
      </c>
      <c r="N2591" s="45"/>
      <c r="O2591" s="20"/>
      <c r="P2591" s="20"/>
      <c r="Q2591" s="20"/>
      <c r="R2591" s="20"/>
      <c r="S2591" s="20"/>
    </row>
    <row r="2592">
      <c r="A2592" s="23"/>
      <c r="B2592" s="21"/>
      <c r="C2592" s="23"/>
      <c r="D2592" s="24"/>
      <c r="E2592" s="14"/>
      <c r="F2592" s="14"/>
      <c r="G2592" s="14"/>
      <c r="H2592" s="23"/>
      <c r="I2592" s="23"/>
      <c r="J2592" s="23"/>
      <c r="K2592" s="30"/>
      <c r="L2592" s="23"/>
      <c r="M2592" s="50" t="s">
        <v>10178</v>
      </c>
      <c r="N2592" s="51"/>
      <c r="O2592" s="20"/>
      <c r="P2592" s="20"/>
      <c r="Q2592" s="20"/>
      <c r="R2592" s="20"/>
      <c r="S2592" s="20"/>
    </row>
    <row r="2593">
      <c r="A2593" s="10"/>
      <c r="B2593" s="11"/>
      <c r="C2593" s="10"/>
      <c r="D2593" s="13"/>
      <c r="E2593" s="14"/>
      <c r="F2593" s="14"/>
      <c r="G2593" s="14"/>
      <c r="H2593" s="10"/>
      <c r="I2593" s="10"/>
      <c r="J2593" s="10"/>
      <c r="K2593" s="46"/>
      <c r="L2593" s="10"/>
      <c r="M2593" s="44" t="s">
        <v>10178</v>
      </c>
      <c r="N2593" s="45"/>
      <c r="O2593" s="20"/>
      <c r="P2593" s="20"/>
      <c r="Q2593" s="20"/>
      <c r="R2593" s="20"/>
      <c r="S2593" s="20"/>
    </row>
    <row r="2594">
      <c r="A2594" s="23"/>
      <c r="B2594" s="21"/>
      <c r="C2594" s="23"/>
      <c r="D2594" s="24"/>
      <c r="E2594" s="14"/>
      <c r="F2594" s="14"/>
      <c r="G2594" s="14"/>
      <c r="H2594" s="23"/>
      <c r="I2594" s="23"/>
      <c r="J2594" s="23"/>
      <c r="K2594" s="30"/>
      <c r="L2594" s="23"/>
      <c r="M2594" s="50" t="s">
        <v>10178</v>
      </c>
      <c r="N2594" s="51"/>
      <c r="O2594" s="20"/>
      <c r="P2594" s="20"/>
      <c r="Q2594" s="20"/>
      <c r="R2594" s="20"/>
      <c r="S2594" s="20"/>
    </row>
    <row r="2595">
      <c r="A2595" s="10"/>
      <c r="B2595" s="11"/>
      <c r="C2595" s="10"/>
      <c r="D2595" s="13"/>
      <c r="E2595" s="14"/>
      <c r="F2595" s="14"/>
      <c r="G2595" s="14"/>
      <c r="H2595" s="10"/>
      <c r="I2595" s="10"/>
      <c r="J2595" s="10"/>
      <c r="K2595" s="46"/>
      <c r="L2595" s="10"/>
      <c r="M2595" s="44" t="s">
        <v>10178</v>
      </c>
      <c r="N2595" s="45"/>
      <c r="O2595" s="20"/>
      <c r="P2595" s="20"/>
      <c r="Q2595" s="20"/>
      <c r="R2595" s="20"/>
      <c r="S2595" s="20"/>
    </row>
    <row r="2596">
      <c r="A2596" s="23"/>
      <c r="B2596" s="21"/>
      <c r="C2596" s="23"/>
      <c r="D2596" s="24"/>
      <c r="E2596" s="14"/>
      <c r="F2596" s="14"/>
      <c r="G2596" s="14"/>
      <c r="H2596" s="23"/>
      <c r="I2596" s="23"/>
      <c r="J2596" s="23"/>
      <c r="K2596" s="30"/>
      <c r="L2596" s="23"/>
      <c r="M2596" s="50" t="s">
        <v>10178</v>
      </c>
      <c r="N2596" s="51"/>
      <c r="O2596" s="20"/>
      <c r="P2596" s="20"/>
      <c r="Q2596" s="20"/>
      <c r="R2596" s="20"/>
      <c r="S2596" s="20"/>
    </row>
    <row r="2597">
      <c r="A2597" s="10"/>
      <c r="B2597" s="11"/>
      <c r="C2597" s="10"/>
      <c r="D2597" s="13"/>
      <c r="E2597" s="14"/>
      <c r="F2597" s="14"/>
      <c r="G2597" s="14"/>
      <c r="H2597" s="10"/>
      <c r="I2597" s="10"/>
      <c r="J2597" s="10"/>
      <c r="K2597" s="46"/>
      <c r="L2597" s="10"/>
      <c r="M2597" s="44" t="s">
        <v>10178</v>
      </c>
      <c r="N2597" s="45"/>
      <c r="O2597" s="20"/>
      <c r="P2597" s="20"/>
      <c r="Q2597" s="20"/>
      <c r="R2597" s="20"/>
      <c r="S2597" s="20"/>
    </row>
    <row r="2598">
      <c r="A2598" s="23"/>
      <c r="B2598" s="21"/>
      <c r="C2598" s="23"/>
      <c r="D2598" s="24"/>
      <c r="E2598" s="14"/>
      <c r="F2598" s="14"/>
      <c r="G2598" s="14"/>
      <c r="H2598" s="23"/>
      <c r="I2598" s="23"/>
      <c r="J2598" s="23"/>
      <c r="K2598" s="30"/>
      <c r="L2598" s="23"/>
      <c r="M2598" s="50" t="s">
        <v>10178</v>
      </c>
      <c r="N2598" s="51"/>
      <c r="O2598" s="20"/>
      <c r="P2598" s="20"/>
      <c r="Q2598" s="20"/>
      <c r="R2598" s="20"/>
      <c r="S2598" s="20"/>
    </row>
    <row r="2599">
      <c r="A2599" s="10"/>
      <c r="B2599" s="11"/>
      <c r="C2599" s="10"/>
      <c r="D2599" s="13"/>
      <c r="E2599" s="14"/>
      <c r="F2599" s="14"/>
      <c r="G2599" s="14"/>
      <c r="H2599" s="10"/>
      <c r="I2599" s="10"/>
      <c r="J2599" s="10"/>
      <c r="K2599" s="46"/>
      <c r="L2599" s="10"/>
      <c r="M2599" s="44" t="s">
        <v>10178</v>
      </c>
      <c r="N2599" s="45"/>
      <c r="O2599" s="20"/>
      <c r="P2599" s="20"/>
      <c r="Q2599" s="20"/>
      <c r="R2599" s="20"/>
      <c r="S2599" s="20"/>
    </row>
    <row r="2600">
      <c r="A2600" s="23"/>
      <c r="B2600" s="21"/>
      <c r="C2600" s="23"/>
      <c r="D2600" s="24"/>
      <c r="E2600" s="14"/>
      <c r="F2600" s="14"/>
      <c r="G2600" s="14"/>
      <c r="H2600" s="23"/>
      <c r="I2600" s="23"/>
      <c r="J2600" s="23"/>
      <c r="K2600" s="30"/>
      <c r="L2600" s="23"/>
      <c r="M2600" s="50" t="s">
        <v>10178</v>
      </c>
      <c r="N2600" s="51"/>
      <c r="O2600" s="20"/>
      <c r="P2600" s="20"/>
      <c r="Q2600" s="20"/>
      <c r="R2600" s="20"/>
      <c r="S2600" s="20"/>
    </row>
    <row r="2601">
      <c r="A2601" s="10"/>
      <c r="B2601" s="11"/>
      <c r="C2601" s="10"/>
      <c r="D2601" s="13"/>
      <c r="E2601" s="14"/>
      <c r="F2601" s="14"/>
      <c r="G2601" s="14"/>
      <c r="H2601" s="10"/>
      <c r="I2601" s="10"/>
      <c r="J2601" s="10"/>
      <c r="K2601" s="46"/>
      <c r="L2601" s="10"/>
      <c r="M2601" s="44" t="s">
        <v>10178</v>
      </c>
      <c r="N2601" s="45"/>
      <c r="O2601" s="20"/>
      <c r="P2601" s="20"/>
      <c r="Q2601" s="20"/>
      <c r="R2601" s="20"/>
      <c r="S2601" s="20"/>
    </row>
    <row r="2602">
      <c r="A2602" s="23"/>
      <c r="B2602" s="21"/>
      <c r="C2602" s="23"/>
      <c r="D2602" s="24"/>
      <c r="E2602" s="14"/>
      <c r="F2602" s="14"/>
      <c r="G2602" s="14"/>
      <c r="H2602" s="23"/>
      <c r="I2602" s="23"/>
      <c r="J2602" s="23"/>
      <c r="K2602" s="30"/>
      <c r="L2602" s="23"/>
      <c r="M2602" s="50" t="s">
        <v>10178</v>
      </c>
      <c r="N2602" s="51"/>
      <c r="O2602" s="20"/>
      <c r="P2602" s="20"/>
      <c r="Q2602" s="20"/>
      <c r="R2602" s="20"/>
      <c r="S2602" s="20"/>
    </row>
    <row r="2603">
      <c r="A2603" s="10"/>
      <c r="B2603" s="11"/>
      <c r="C2603" s="10"/>
      <c r="D2603" s="13"/>
      <c r="E2603" s="14"/>
      <c r="F2603" s="14"/>
      <c r="G2603" s="14"/>
      <c r="H2603" s="10"/>
      <c r="I2603" s="10"/>
      <c r="J2603" s="10"/>
      <c r="K2603" s="46"/>
      <c r="L2603" s="10"/>
      <c r="M2603" s="44" t="s">
        <v>10178</v>
      </c>
      <c r="N2603" s="45"/>
      <c r="O2603" s="20"/>
      <c r="P2603" s="20"/>
      <c r="Q2603" s="20"/>
      <c r="R2603" s="20"/>
      <c r="S2603" s="20"/>
    </row>
    <row r="2604">
      <c r="A2604" s="23"/>
      <c r="B2604" s="21"/>
      <c r="C2604" s="23"/>
      <c r="D2604" s="24"/>
      <c r="E2604" s="14"/>
      <c r="F2604" s="14"/>
      <c r="G2604" s="14"/>
      <c r="H2604" s="23"/>
      <c r="I2604" s="23"/>
      <c r="J2604" s="23"/>
      <c r="K2604" s="30"/>
      <c r="L2604" s="23"/>
      <c r="M2604" s="50" t="s">
        <v>10178</v>
      </c>
      <c r="N2604" s="51"/>
      <c r="O2604" s="20"/>
      <c r="P2604" s="20"/>
      <c r="Q2604" s="20"/>
      <c r="R2604" s="20"/>
      <c r="S2604" s="20"/>
    </row>
    <row r="2605">
      <c r="A2605" s="10"/>
      <c r="B2605" s="11"/>
      <c r="C2605" s="10"/>
      <c r="D2605" s="13"/>
      <c r="E2605" s="14"/>
      <c r="F2605" s="14"/>
      <c r="G2605" s="14"/>
      <c r="H2605" s="10"/>
      <c r="I2605" s="10"/>
      <c r="J2605" s="10"/>
      <c r="K2605" s="46"/>
      <c r="L2605" s="10"/>
      <c r="M2605" s="44" t="s">
        <v>10178</v>
      </c>
      <c r="N2605" s="45"/>
      <c r="O2605" s="20"/>
      <c r="P2605" s="20"/>
      <c r="Q2605" s="20"/>
      <c r="R2605" s="20"/>
      <c r="S2605" s="20"/>
    </row>
    <row r="2606">
      <c r="A2606" s="23"/>
      <c r="B2606" s="21"/>
      <c r="C2606" s="23"/>
      <c r="D2606" s="24"/>
      <c r="E2606" s="14"/>
      <c r="F2606" s="14"/>
      <c r="G2606" s="14"/>
      <c r="H2606" s="23"/>
      <c r="I2606" s="23"/>
      <c r="J2606" s="23"/>
      <c r="K2606" s="30"/>
      <c r="L2606" s="23"/>
      <c r="M2606" s="50" t="s">
        <v>10178</v>
      </c>
      <c r="N2606" s="51"/>
      <c r="O2606" s="20"/>
      <c r="P2606" s="20"/>
      <c r="Q2606" s="20"/>
      <c r="R2606" s="20"/>
      <c r="S2606" s="20"/>
    </row>
    <row r="2607">
      <c r="A2607" s="10"/>
      <c r="B2607" s="11"/>
      <c r="C2607" s="10"/>
      <c r="D2607" s="13"/>
      <c r="E2607" s="14"/>
      <c r="F2607" s="14"/>
      <c r="G2607" s="14"/>
      <c r="H2607" s="10"/>
      <c r="I2607" s="10"/>
      <c r="J2607" s="10"/>
      <c r="K2607" s="46"/>
      <c r="L2607" s="10"/>
      <c r="M2607" s="44" t="s">
        <v>10178</v>
      </c>
      <c r="N2607" s="45"/>
      <c r="O2607" s="20"/>
      <c r="P2607" s="20"/>
      <c r="Q2607" s="20"/>
      <c r="R2607" s="20"/>
      <c r="S2607" s="20"/>
    </row>
    <row r="2608">
      <c r="A2608" s="23"/>
      <c r="B2608" s="21"/>
      <c r="C2608" s="23"/>
      <c r="D2608" s="24"/>
      <c r="E2608" s="14"/>
      <c r="F2608" s="14"/>
      <c r="G2608" s="14"/>
      <c r="H2608" s="23"/>
      <c r="I2608" s="23"/>
      <c r="J2608" s="23"/>
      <c r="K2608" s="30"/>
      <c r="L2608" s="23"/>
      <c r="M2608" s="50" t="s">
        <v>10178</v>
      </c>
      <c r="N2608" s="51"/>
      <c r="O2608" s="20"/>
      <c r="P2608" s="20"/>
      <c r="Q2608" s="20"/>
      <c r="R2608" s="20"/>
      <c r="S2608" s="20"/>
    </row>
    <row r="2609">
      <c r="A2609" s="10"/>
      <c r="B2609" s="11"/>
      <c r="C2609" s="10"/>
      <c r="D2609" s="13"/>
      <c r="E2609" s="14"/>
      <c r="F2609" s="14"/>
      <c r="G2609" s="14"/>
      <c r="H2609" s="10"/>
      <c r="I2609" s="10"/>
      <c r="J2609" s="10"/>
      <c r="K2609" s="46"/>
      <c r="L2609" s="10"/>
      <c r="M2609" s="44" t="s">
        <v>10178</v>
      </c>
      <c r="N2609" s="45"/>
      <c r="O2609" s="20"/>
      <c r="P2609" s="20"/>
      <c r="Q2609" s="20"/>
      <c r="R2609" s="20"/>
      <c r="S2609" s="20"/>
    </row>
    <row r="2610">
      <c r="A2610" s="23"/>
      <c r="B2610" s="21"/>
      <c r="C2610" s="23"/>
      <c r="D2610" s="24"/>
      <c r="E2610" s="14"/>
      <c r="F2610" s="14"/>
      <c r="G2610" s="14"/>
      <c r="H2610" s="23"/>
      <c r="I2610" s="23"/>
      <c r="J2610" s="23"/>
      <c r="K2610" s="30"/>
      <c r="L2610" s="23"/>
      <c r="M2610" s="50" t="s">
        <v>10178</v>
      </c>
      <c r="N2610" s="51"/>
      <c r="O2610" s="20"/>
      <c r="P2610" s="20"/>
      <c r="Q2610" s="20"/>
      <c r="R2610" s="20"/>
      <c r="S2610" s="20"/>
    </row>
    <row r="2611">
      <c r="A2611" s="10"/>
      <c r="B2611" s="11"/>
      <c r="C2611" s="10"/>
      <c r="D2611" s="13"/>
      <c r="E2611" s="14"/>
      <c r="F2611" s="14"/>
      <c r="G2611" s="14"/>
      <c r="H2611" s="10"/>
      <c r="I2611" s="10"/>
      <c r="J2611" s="10"/>
      <c r="K2611" s="46"/>
      <c r="L2611" s="10"/>
      <c r="M2611" s="44" t="s">
        <v>10178</v>
      </c>
      <c r="N2611" s="45"/>
      <c r="O2611" s="20"/>
      <c r="P2611" s="20"/>
      <c r="Q2611" s="20"/>
      <c r="R2611" s="20"/>
      <c r="S2611" s="20"/>
    </row>
    <row r="2612">
      <c r="A2612" s="23"/>
      <c r="B2612" s="21"/>
      <c r="C2612" s="23"/>
      <c r="D2612" s="24"/>
      <c r="E2612" s="14"/>
      <c r="F2612" s="14"/>
      <c r="G2612" s="14"/>
      <c r="H2612" s="23"/>
      <c r="I2612" s="23"/>
      <c r="J2612" s="23"/>
      <c r="K2612" s="30"/>
      <c r="L2612" s="23"/>
      <c r="M2612" s="50" t="s">
        <v>10178</v>
      </c>
      <c r="N2612" s="51"/>
      <c r="O2612" s="20"/>
      <c r="P2612" s="20"/>
      <c r="Q2612" s="20"/>
      <c r="R2612" s="20"/>
      <c r="S2612" s="20"/>
    </row>
    <row r="2613">
      <c r="A2613" s="10"/>
      <c r="B2613" s="11"/>
      <c r="C2613" s="10"/>
      <c r="D2613" s="13"/>
      <c r="E2613" s="14"/>
      <c r="F2613" s="14"/>
      <c r="G2613" s="14"/>
      <c r="H2613" s="10"/>
      <c r="I2613" s="10"/>
      <c r="J2613" s="10"/>
      <c r="K2613" s="46"/>
      <c r="L2613" s="10"/>
      <c r="M2613" s="44" t="s">
        <v>10178</v>
      </c>
      <c r="N2613" s="45"/>
      <c r="O2613" s="20"/>
      <c r="P2613" s="20"/>
      <c r="Q2613" s="20"/>
      <c r="R2613" s="20"/>
      <c r="S2613" s="20"/>
    </row>
    <row r="2614">
      <c r="A2614" s="23"/>
      <c r="B2614" s="21"/>
      <c r="C2614" s="23"/>
      <c r="D2614" s="24"/>
      <c r="E2614" s="14"/>
      <c r="F2614" s="14"/>
      <c r="G2614" s="14"/>
      <c r="H2614" s="23"/>
      <c r="I2614" s="23"/>
      <c r="J2614" s="23"/>
      <c r="K2614" s="30"/>
      <c r="L2614" s="23"/>
      <c r="M2614" s="50" t="s">
        <v>10178</v>
      </c>
      <c r="N2614" s="51"/>
      <c r="O2614" s="20"/>
      <c r="P2614" s="20"/>
      <c r="Q2614" s="20"/>
      <c r="R2614" s="20"/>
      <c r="S2614" s="20"/>
    </row>
    <row r="2615">
      <c r="A2615" s="10"/>
      <c r="B2615" s="11"/>
      <c r="C2615" s="10"/>
      <c r="D2615" s="13"/>
      <c r="E2615" s="14"/>
      <c r="F2615" s="14"/>
      <c r="G2615" s="14"/>
      <c r="H2615" s="10"/>
      <c r="I2615" s="10"/>
      <c r="J2615" s="10"/>
      <c r="K2615" s="46"/>
      <c r="L2615" s="10"/>
      <c r="M2615" s="44" t="s">
        <v>10178</v>
      </c>
      <c r="N2615" s="45"/>
      <c r="O2615" s="20"/>
      <c r="P2615" s="20"/>
      <c r="Q2615" s="20"/>
      <c r="R2615" s="20"/>
      <c r="S2615" s="20"/>
    </row>
    <row r="2616">
      <c r="A2616" s="23"/>
      <c r="B2616" s="21"/>
      <c r="C2616" s="23"/>
      <c r="D2616" s="24"/>
      <c r="E2616" s="14"/>
      <c r="F2616" s="14"/>
      <c r="G2616" s="14"/>
      <c r="H2616" s="23"/>
      <c r="I2616" s="23"/>
      <c r="J2616" s="23"/>
      <c r="K2616" s="30"/>
      <c r="L2616" s="23"/>
      <c r="M2616" s="50" t="s">
        <v>10178</v>
      </c>
      <c r="N2616" s="51"/>
      <c r="O2616" s="20"/>
      <c r="P2616" s="20"/>
      <c r="Q2616" s="20"/>
      <c r="R2616" s="20"/>
      <c r="S2616" s="20"/>
    </row>
    <row r="2617">
      <c r="A2617" s="10"/>
      <c r="B2617" s="11"/>
      <c r="C2617" s="10"/>
      <c r="D2617" s="13"/>
      <c r="E2617" s="14"/>
      <c r="F2617" s="14"/>
      <c r="G2617" s="14"/>
      <c r="H2617" s="10"/>
      <c r="I2617" s="10"/>
      <c r="J2617" s="10"/>
      <c r="K2617" s="46"/>
      <c r="L2617" s="10"/>
      <c r="M2617" s="44" t="s">
        <v>10178</v>
      </c>
      <c r="N2617" s="45"/>
      <c r="O2617" s="20"/>
      <c r="P2617" s="20"/>
      <c r="Q2617" s="20"/>
      <c r="R2617" s="20"/>
      <c r="S2617" s="20"/>
    </row>
    <row r="2618">
      <c r="A2618" s="23"/>
      <c r="B2618" s="21"/>
      <c r="C2618" s="23"/>
      <c r="D2618" s="24"/>
      <c r="E2618" s="14"/>
      <c r="F2618" s="14"/>
      <c r="G2618" s="14"/>
      <c r="H2618" s="23"/>
      <c r="I2618" s="23"/>
      <c r="J2618" s="23"/>
      <c r="K2618" s="30"/>
      <c r="L2618" s="23"/>
      <c r="M2618" s="50" t="s">
        <v>10178</v>
      </c>
      <c r="N2618" s="51"/>
      <c r="O2618" s="20"/>
      <c r="P2618" s="20"/>
      <c r="Q2618" s="20"/>
      <c r="R2618" s="20"/>
      <c r="S2618" s="20"/>
    </row>
    <row r="2619">
      <c r="A2619" s="10"/>
      <c r="B2619" s="11"/>
      <c r="C2619" s="10"/>
      <c r="D2619" s="13"/>
      <c r="E2619" s="14"/>
      <c r="F2619" s="14"/>
      <c r="G2619" s="14"/>
      <c r="H2619" s="10"/>
      <c r="I2619" s="10"/>
      <c r="J2619" s="10"/>
      <c r="K2619" s="46"/>
      <c r="L2619" s="10"/>
      <c r="M2619" s="44" t="s">
        <v>10178</v>
      </c>
      <c r="N2619" s="45"/>
      <c r="O2619" s="20"/>
      <c r="P2619" s="20"/>
      <c r="Q2619" s="20"/>
      <c r="R2619" s="20"/>
      <c r="S2619" s="20"/>
    </row>
    <row r="2620">
      <c r="A2620" s="23"/>
      <c r="B2620" s="21"/>
      <c r="C2620" s="23"/>
      <c r="D2620" s="24"/>
      <c r="E2620" s="14"/>
      <c r="F2620" s="14"/>
      <c r="G2620" s="14"/>
      <c r="H2620" s="23"/>
      <c r="I2620" s="23"/>
      <c r="J2620" s="23"/>
      <c r="K2620" s="30"/>
      <c r="L2620" s="23"/>
      <c r="M2620" s="50" t="s">
        <v>10178</v>
      </c>
      <c r="N2620" s="51"/>
      <c r="O2620" s="20"/>
      <c r="P2620" s="20"/>
      <c r="Q2620" s="20"/>
      <c r="R2620" s="20"/>
      <c r="S2620" s="20"/>
    </row>
    <row r="2621">
      <c r="A2621" s="10"/>
      <c r="B2621" s="11"/>
      <c r="C2621" s="10"/>
      <c r="D2621" s="13"/>
      <c r="E2621" s="14"/>
      <c r="F2621" s="14"/>
      <c r="G2621" s="14"/>
      <c r="H2621" s="10"/>
      <c r="I2621" s="10"/>
      <c r="J2621" s="10"/>
      <c r="K2621" s="46"/>
      <c r="L2621" s="10"/>
      <c r="M2621" s="44" t="s">
        <v>10178</v>
      </c>
      <c r="N2621" s="45"/>
      <c r="O2621" s="20"/>
      <c r="P2621" s="20"/>
      <c r="Q2621" s="20"/>
      <c r="R2621" s="20"/>
      <c r="S2621" s="20"/>
    </row>
    <row r="2622">
      <c r="A2622" s="23"/>
      <c r="B2622" s="21"/>
      <c r="C2622" s="23"/>
      <c r="D2622" s="24"/>
      <c r="E2622" s="14"/>
      <c r="F2622" s="14"/>
      <c r="G2622" s="14"/>
      <c r="H2622" s="23"/>
      <c r="I2622" s="23"/>
      <c r="J2622" s="23"/>
      <c r="K2622" s="30"/>
      <c r="L2622" s="23"/>
      <c r="M2622" s="50" t="s">
        <v>10178</v>
      </c>
      <c r="N2622" s="51"/>
      <c r="O2622" s="20"/>
      <c r="P2622" s="20"/>
      <c r="Q2622" s="20"/>
      <c r="R2622" s="20"/>
      <c r="S2622" s="20"/>
    </row>
    <row r="2623">
      <c r="A2623" s="10"/>
      <c r="B2623" s="11"/>
      <c r="C2623" s="10"/>
      <c r="D2623" s="13"/>
      <c r="E2623" s="14"/>
      <c r="F2623" s="14"/>
      <c r="G2623" s="14"/>
      <c r="H2623" s="10"/>
      <c r="I2623" s="10"/>
      <c r="J2623" s="10"/>
      <c r="K2623" s="46"/>
      <c r="L2623" s="10"/>
      <c r="M2623" s="44" t="s">
        <v>10178</v>
      </c>
      <c r="N2623" s="45"/>
      <c r="O2623" s="20"/>
      <c r="P2623" s="20"/>
      <c r="Q2623" s="20"/>
      <c r="R2623" s="20"/>
      <c r="S2623" s="20"/>
    </row>
    <row r="2624">
      <c r="A2624" s="23"/>
      <c r="B2624" s="21"/>
      <c r="C2624" s="23"/>
      <c r="D2624" s="24"/>
      <c r="E2624" s="14"/>
      <c r="F2624" s="14"/>
      <c r="G2624" s="14"/>
      <c r="H2624" s="23"/>
      <c r="I2624" s="23"/>
      <c r="J2624" s="23"/>
      <c r="K2624" s="30"/>
      <c r="L2624" s="23"/>
      <c r="M2624" s="50" t="s">
        <v>10178</v>
      </c>
      <c r="N2624" s="51"/>
      <c r="O2624" s="20"/>
      <c r="P2624" s="20"/>
      <c r="Q2624" s="20"/>
      <c r="R2624" s="20"/>
      <c r="S2624" s="20"/>
    </row>
    <row r="2625">
      <c r="A2625" s="10"/>
      <c r="B2625" s="11"/>
      <c r="C2625" s="10"/>
      <c r="D2625" s="13"/>
      <c r="E2625" s="14"/>
      <c r="F2625" s="14"/>
      <c r="G2625" s="14"/>
      <c r="H2625" s="10"/>
      <c r="I2625" s="10"/>
      <c r="J2625" s="10"/>
      <c r="K2625" s="46"/>
      <c r="L2625" s="10"/>
      <c r="M2625" s="44" t="s">
        <v>10178</v>
      </c>
      <c r="N2625" s="45"/>
      <c r="O2625" s="20"/>
      <c r="P2625" s="20"/>
      <c r="Q2625" s="20"/>
      <c r="R2625" s="20"/>
      <c r="S2625" s="20"/>
    </row>
    <row r="2626">
      <c r="A2626" s="23"/>
      <c r="B2626" s="21"/>
      <c r="C2626" s="23"/>
      <c r="D2626" s="24"/>
      <c r="E2626" s="14"/>
      <c r="F2626" s="14"/>
      <c r="G2626" s="14"/>
      <c r="H2626" s="23"/>
      <c r="I2626" s="23"/>
      <c r="J2626" s="23"/>
      <c r="K2626" s="30"/>
      <c r="L2626" s="23"/>
      <c r="M2626" s="50" t="s">
        <v>10178</v>
      </c>
      <c r="N2626" s="51"/>
      <c r="O2626" s="20"/>
      <c r="P2626" s="20"/>
      <c r="Q2626" s="20"/>
      <c r="R2626" s="20"/>
      <c r="S2626" s="20"/>
    </row>
    <row r="2627">
      <c r="A2627" s="10"/>
      <c r="B2627" s="11"/>
      <c r="C2627" s="10"/>
      <c r="D2627" s="13"/>
      <c r="E2627" s="14"/>
      <c r="F2627" s="14"/>
      <c r="G2627" s="14"/>
      <c r="H2627" s="10"/>
      <c r="I2627" s="10"/>
      <c r="J2627" s="10"/>
      <c r="K2627" s="46"/>
      <c r="L2627" s="10"/>
      <c r="M2627" s="44" t="s">
        <v>10178</v>
      </c>
      <c r="N2627" s="45"/>
      <c r="O2627" s="20"/>
      <c r="P2627" s="20"/>
      <c r="Q2627" s="20"/>
      <c r="R2627" s="20"/>
      <c r="S2627" s="20"/>
    </row>
    <row r="2628">
      <c r="A2628" s="23"/>
      <c r="B2628" s="21"/>
      <c r="C2628" s="23"/>
      <c r="D2628" s="24"/>
      <c r="E2628" s="14"/>
      <c r="F2628" s="14"/>
      <c r="G2628" s="14"/>
      <c r="H2628" s="23"/>
      <c r="I2628" s="23"/>
      <c r="J2628" s="23"/>
      <c r="K2628" s="30"/>
      <c r="L2628" s="23"/>
      <c r="M2628" s="50" t="s">
        <v>10178</v>
      </c>
      <c r="N2628" s="51"/>
      <c r="O2628" s="20"/>
      <c r="P2628" s="20"/>
      <c r="Q2628" s="20"/>
      <c r="R2628" s="20"/>
      <c r="S2628" s="20"/>
    </row>
    <row r="2629">
      <c r="A2629" s="10"/>
      <c r="B2629" s="11"/>
      <c r="C2629" s="10"/>
      <c r="D2629" s="13"/>
      <c r="E2629" s="14"/>
      <c r="F2629" s="14"/>
      <c r="G2629" s="14"/>
      <c r="H2629" s="10"/>
      <c r="I2629" s="10"/>
      <c r="J2629" s="10"/>
      <c r="K2629" s="46"/>
      <c r="L2629" s="10"/>
      <c r="M2629" s="44" t="s">
        <v>10178</v>
      </c>
      <c r="N2629" s="45"/>
      <c r="O2629" s="20"/>
      <c r="P2629" s="20"/>
      <c r="Q2629" s="20"/>
      <c r="R2629" s="20"/>
      <c r="S2629" s="20"/>
    </row>
    <row r="2630">
      <c r="A2630" s="23"/>
      <c r="B2630" s="21"/>
      <c r="C2630" s="23"/>
      <c r="D2630" s="24"/>
      <c r="E2630" s="14"/>
      <c r="F2630" s="14"/>
      <c r="G2630" s="14"/>
      <c r="H2630" s="23"/>
      <c r="I2630" s="23"/>
      <c r="J2630" s="23"/>
      <c r="K2630" s="30"/>
      <c r="L2630" s="23"/>
      <c r="M2630" s="50" t="s">
        <v>10178</v>
      </c>
      <c r="N2630" s="51"/>
      <c r="O2630" s="20"/>
      <c r="P2630" s="20"/>
      <c r="Q2630" s="20"/>
      <c r="R2630" s="20"/>
      <c r="S2630" s="20"/>
    </row>
    <row r="2631">
      <c r="A2631" s="10"/>
      <c r="B2631" s="11"/>
      <c r="C2631" s="10"/>
      <c r="D2631" s="13"/>
      <c r="E2631" s="14"/>
      <c r="F2631" s="14"/>
      <c r="G2631" s="14"/>
      <c r="H2631" s="10"/>
      <c r="I2631" s="10"/>
      <c r="J2631" s="10"/>
      <c r="K2631" s="46"/>
      <c r="L2631" s="10"/>
      <c r="M2631" s="44" t="s">
        <v>10178</v>
      </c>
      <c r="N2631" s="45"/>
      <c r="O2631" s="20"/>
      <c r="P2631" s="20"/>
      <c r="Q2631" s="20"/>
      <c r="R2631" s="20"/>
      <c r="S2631" s="20"/>
    </row>
    <row r="2632">
      <c r="A2632" s="23"/>
      <c r="B2632" s="21"/>
      <c r="C2632" s="23"/>
      <c r="D2632" s="24"/>
      <c r="E2632" s="14"/>
      <c r="F2632" s="14"/>
      <c r="G2632" s="14"/>
      <c r="H2632" s="23"/>
      <c r="I2632" s="23"/>
      <c r="J2632" s="23"/>
      <c r="K2632" s="30"/>
      <c r="L2632" s="23"/>
      <c r="M2632" s="50" t="s">
        <v>10178</v>
      </c>
      <c r="N2632" s="51"/>
      <c r="O2632" s="20"/>
      <c r="P2632" s="20"/>
      <c r="Q2632" s="20"/>
      <c r="R2632" s="20"/>
      <c r="S2632" s="20"/>
    </row>
    <row r="2633">
      <c r="A2633" s="10"/>
      <c r="B2633" s="11"/>
      <c r="C2633" s="10"/>
      <c r="D2633" s="13"/>
      <c r="E2633" s="14"/>
      <c r="F2633" s="14"/>
      <c r="G2633" s="14"/>
      <c r="H2633" s="10"/>
      <c r="I2633" s="10"/>
      <c r="J2633" s="10"/>
      <c r="K2633" s="46"/>
      <c r="L2633" s="10"/>
      <c r="M2633" s="44" t="s">
        <v>10178</v>
      </c>
      <c r="N2633" s="45"/>
      <c r="O2633" s="20"/>
      <c r="P2633" s="20"/>
      <c r="Q2633" s="20"/>
      <c r="R2633" s="20"/>
      <c r="S2633" s="20"/>
    </row>
    <row r="2634">
      <c r="A2634" s="23"/>
      <c r="B2634" s="21"/>
      <c r="C2634" s="23"/>
      <c r="D2634" s="24"/>
      <c r="E2634" s="14"/>
      <c r="F2634" s="14"/>
      <c r="G2634" s="14"/>
      <c r="H2634" s="23"/>
      <c r="I2634" s="23"/>
      <c r="J2634" s="23"/>
      <c r="K2634" s="30"/>
      <c r="L2634" s="23"/>
      <c r="M2634" s="50" t="s">
        <v>10178</v>
      </c>
      <c r="N2634" s="51"/>
      <c r="O2634" s="20"/>
      <c r="P2634" s="20"/>
      <c r="Q2634" s="20"/>
      <c r="R2634" s="20"/>
      <c r="S2634" s="20"/>
    </row>
    <row r="2635">
      <c r="A2635" s="10"/>
      <c r="B2635" s="11"/>
      <c r="C2635" s="10"/>
      <c r="D2635" s="13"/>
      <c r="E2635" s="14"/>
      <c r="F2635" s="14"/>
      <c r="G2635" s="14"/>
      <c r="H2635" s="10"/>
      <c r="I2635" s="10"/>
      <c r="J2635" s="10"/>
      <c r="K2635" s="46"/>
      <c r="L2635" s="10"/>
      <c r="M2635" s="44" t="s">
        <v>10178</v>
      </c>
      <c r="N2635" s="45"/>
      <c r="O2635" s="20"/>
      <c r="P2635" s="20"/>
      <c r="Q2635" s="20"/>
      <c r="R2635" s="20"/>
      <c r="S2635" s="20"/>
    </row>
    <row r="2636">
      <c r="A2636" s="23"/>
      <c r="B2636" s="21"/>
      <c r="C2636" s="23"/>
      <c r="D2636" s="24"/>
      <c r="E2636" s="14"/>
      <c r="F2636" s="14"/>
      <c r="G2636" s="14"/>
      <c r="H2636" s="23"/>
      <c r="I2636" s="23"/>
      <c r="J2636" s="23"/>
      <c r="K2636" s="30"/>
      <c r="L2636" s="23"/>
      <c r="M2636" s="50" t="s">
        <v>10178</v>
      </c>
      <c r="N2636" s="51"/>
      <c r="O2636" s="20"/>
      <c r="P2636" s="20"/>
      <c r="Q2636" s="20"/>
      <c r="R2636" s="20"/>
      <c r="S2636" s="20"/>
    </row>
    <row r="2637">
      <c r="A2637" s="10"/>
      <c r="B2637" s="11"/>
      <c r="C2637" s="10"/>
      <c r="D2637" s="13"/>
      <c r="E2637" s="14"/>
      <c r="F2637" s="14"/>
      <c r="G2637" s="14"/>
      <c r="H2637" s="10"/>
      <c r="I2637" s="10"/>
      <c r="J2637" s="10"/>
      <c r="K2637" s="46"/>
      <c r="L2637" s="10"/>
      <c r="M2637" s="44" t="s">
        <v>10178</v>
      </c>
      <c r="N2637" s="45"/>
      <c r="O2637" s="20"/>
      <c r="P2637" s="20"/>
      <c r="Q2637" s="20"/>
      <c r="R2637" s="20"/>
      <c r="S2637" s="20"/>
    </row>
    <row r="2638">
      <c r="A2638" s="23"/>
      <c r="B2638" s="21"/>
      <c r="C2638" s="23"/>
      <c r="D2638" s="24"/>
      <c r="E2638" s="14"/>
      <c r="F2638" s="14"/>
      <c r="G2638" s="14"/>
      <c r="H2638" s="23"/>
      <c r="I2638" s="23"/>
      <c r="J2638" s="23"/>
      <c r="K2638" s="30"/>
      <c r="L2638" s="23"/>
      <c r="M2638" s="50" t="s">
        <v>10178</v>
      </c>
      <c r="N2638" s="51"/>
      <c r="O2638" s="20"/>
      <c r="P2638" s="20"/>
      <c r="Q2638" s="20"/>
      <c r="R2638" s="20"/>
      <c r="S2638" s="20"/>
    </row>
    <row r="2639">
      <c r="A2639" s="10"/>
      <c r="B2639" s="11"/>
      <c r="C2639" s="10"/>
      <c r="D2639" s="13"/>
      <c r="E2639" s="14"/>
      <c r="F2639" s="14"/>
      <c r="G2639" s="14"/>
      <c r="H2639" s="10"/>
      <c r="I2639" s="10"/>
      <c r="J2639" s="10"/>
      <c r="K2639" s="46"/>
      <c r="L2639" s="10"/>
      <c r="M2639" s="44" t="s">
        <v>10178</v>
      </c>
      <c r="N2639" s="45"/>
      <c r="O2639" s="20"/>
      <c r="P2639" s="20"/>
      <c r="Q2639" s="20"/>
      <c r="R2639" s="20"/>
      <c r="S2639" s="20"/>
    </row>
    <row r="2640">
      <c r="A2640" s="23"/>
      <c r="B2640" s="21"/>
      <c r="C2640" s="23"/>
      <c r="D2640" s="24"/>
      <c r="E2640" s="14"/>
      <c r="F2640" s="14"/>
      <c r="G2640" s="14"/>
      <c r="H2640" s="23"/>
      <c r="I2640" s="23"/>
      <c r="J2640" s="23"/>
      <c r="K2640" s="30"/>
      <c r="L2640" s="23"/>
      <c r="M2640" s="50" t="s">
        <v>10178</v>
      </c>
      <c r="N2640" s="51"/>
      <c r="O2640" s="20"/>
      <c r="P2640" s="20"/>
      <c r="Q2640" s="20"/>
      <c r="R2640" s="20"/>
      <c r="S2640" s="20"/>
    </row>
    <row r="2641">
      <c r="A2641" s="10"/>
      <c r="B2641" s="11"/>
      <c r="C2641" s="10"/>
      <c r="D2641" s="13"/>
      <c r="E2641" s="14"/>
      <c r="F2641" s="14"/>
      <c r="G2641" s="14"/>
      <c r="H2641" s="10"/>
      <c r="I2641" s="10"/>
      <c r="J2641" s="10"/>
      <c r="K2641" s="46"/>
      <c r="L2641" s="10"/>
      <c r="M2641" s="44" t="s">
        <v>10178</v>
      </c>
      <c r="N2641" s="45"/>
      <c r="O2641" s="20"/>
      <c r="P2641" s="20"/>
      <c r="Q2641" s="20"/>
      <c r="R2641" s="20"/>
      <c r="S2641" s="20"/>
    </row>
    <row r="2642">
      <c r="A2642" s="23"/>
      <c r="B2642" s="21"/>
      <c r="C2642" s="23"/>
      <c r="D2642" s="24"/>
      <c r="E2642" s="14"/>
      <c r="F2642" s="14"/>
      <c r="G2642" s="14"/>
      <c r="H2642" s="23"/>
      <c r="I2642" s="23"/>
      <c r="J2642" s="23"/>
      <c r="K2642" s="30"/>
      <c r="L2642" s="23"/>
      <c r="M2642" s="50" t="s">
        <v>10178</v>
      </c>
      <c r="N2642" s="51"/>
      <c r="O2642" s="20"/>
      <c r="P2642" s="20"/>
      <c r="Q2642" s="20"/>
      <c r="R2642" s="20"/>
      <c r="S2642" s="20"/>
    </row>
    <row r="2643">
      <c r="A2643" s="10"/>
      <c r="B2643" s="11"/>
      <c r="C2643" s="10"/>
      <c r="D2643" s="13"/>
      <c r="E2643" s="14"/>
      <c r="F2643" s="14"/>
      <c r="G2643" s="14"/>
      <c r="H2643" s="10"/>
      <c r="I2643" s="10"/>
      <c r="J2643" s="10"/>
      <c r="K2643" s="46"/>
      <c r="L2643" s="10"/>
      <c r="M2643" s="44" t="s">
        <v>10178</v>
      </c>
      <c r="N2643" s="45"/>
      <c r="O2643" s="20"/>
      <c r="P2643" s="20"/>
      <c r="Q2643" s="20"/>
      <c r="R2643" s="20"/>
      <c r="S2643" s="20"/>
    </row>
    <row r="2644">
      <c r="A2644" s="23"/>
      <c r="B2644" s="21"/>
      <c r="C2644" s="23"/>
      <c r="D2644" s="24"/>
      <c r="E2644" s="14"/>
      <c r="F2644" s="14"/>
      <c r="G2644" s="14"/>
      <c r="H2644" s="23"/>
      <c r="I2644" s="23"/>
      <c r="J2644" s="23"/>
      <c r="K2644" s="30"/>
      <c r="L2644" s="23"/>
      <c r="M2644" s="50" t="s">
        <v>10178</v>
      </c>
      <c r="N2644" s="51"/>
      <c r="O2644" s="20"/>
      <c r="P2644" s="20"/>
      <c r="Q2644" s="20"/>
      <c r="R2644" s="20"/>
      <c r="S2644" s="20"/>
    </row>
    <row r="2645">
      <c r="A2645" s="10"/>
      <c r="B2645" s="11"/>
      <c r="C2645" s="10"/>
      <c r="D2645" s="13"/>
      <c r="E2645" s="14"/>
      <c r="F2645" s="14"/>
      <c r="G2645" s="14"/>
      <c r="H2645" s="10"/>
      <c r="I2645" s="10"/>
      <c r="J2645" s="10"/>
      <c r="K2645" s="46"/>
      <c r="L2645" s="10"/>
      <c r="M2645" s="44" t="s">
        <v>10178</v>
      </c>
      <c r="N2645" s="45"/>
      <c r="O2645" s="20"/>
      <c r="P2645" s="20"/>
      <c r="Q2645" s="20"/>
      <c r="R2645" s="20"/>
      <c r="S2645" s="20"/>
    </row>
    <row r="2646">
      <c r="A2646" s="23"/>
      <c r="B2646" s="21"/>
      <c r="C2646" s="23"/>
      <c r="D2646" s="24"/>
      <c r="E2646" s="14"/>
      <c r="F2646" s="14"/>
      <c r="G2646" s="14"/>
      <c r="H2646" s="23"/>
      <c r="I2646" s="23"/>
      <c r="J2646" s="23"/>
      <c r="K2646" s="30"/>
      <c r="L2646" s="23"/>
      <c r="M2646" s="50" t="s">
        <v>10178</v>
      </c>
      <c r="N2646" s="51"/>
      <c r="O2646" s="20"/>
      <c r="P2646" s="20"/>
      <c r="Q2646" s="20"/>
      <c r="R2646" s="20"/>
      <c r="S2646" s="20"/>
    </row>
    <row r="2647">
      <c r="A2647" s="10"/>
      <c r="B2647" s="11"/>
      <c r="C2647" s="10"/>
      <c r="D2647" s="13"/>
      <c r="E2647" s="14"/>
      <c r="F2647" s="14"/>
      <c r="G2647" s="14"/>
      <c r="H2647" s="10"/>
      <c r="I2647" s="10"/>
      <c r="J2647" s="10"/>
      <c r="K2647" s="46"/>
      <c r="L2647" s="10"/>
      <c r="M2647" s="44" t="s">
        <v>10178</v>
      </c>
      <c r="N2647" s="45"/>
      <c r="O2647" s="20"/>
      <c r="P2647" s="20"/>
      <c r="Q2647" s="20"/>
      <c r="R2647" s="20"/>
      <c r="S2647" s="20"/>
    </row>
    <row r="2648">
      <c r="A2648" s="23"/>
      <c r="B2648" s="21"/>
      <c r="C2648" s="23"/>
      <c r="D2648" s="24"/>
      <c r="E2648" s="14"/>
      <c r="F2648" s="14"/>
      <c r="G2648" s="14"/>
      <c r="H2648" s="23"/>
      <c r="I2648" s="23"/>
      <c r="J2648" s="23"/>
      <c r="K2648" s="30"/>
      <c r="L2648" s="23"/>
      <c r="M2648" s="50" t="s">
        <v>10178</v>
      </c>
      <c r="N2648" s="51"/>
      <c r="O2648" s="20"/>
      <c r="P2648" s="20"/>
      <c r="Q2648" s="20"/>
      <c r="R2648" s="20"/>
      <c r="S2648" s="20"/>
    </row>
    <row r="2649">
      <c r="A2649" s="10"/>
      <c r="B2649" s="11"/>
      <c r="C2649" s="10"/>
      <c r="D2649" s="13"/>
      <c r="E2649" s="14"/>
      <c r="F2649" s="14"/>
      <c r="G2649" s="14"/>
      <c r="H2649" s="10"/>
      <c r="I2649" s="10"/>
      <c r="J2649" s="10"/>
      <c r="K2649" s="46"/>
      <c r="L2649" s="10"/>
      <c r="M2649" s="44" t="s">
        <v>10178</v>
      </c>
      <c r="N2649" s="45"/>
      <c r="O2649" s="20"/>
      <c r="P2649" s="20"/>
      <c r="Q2649" s="20"/>
      <c r="R2649" s="20"/>
      <c r="S2649" s="20"/>
    </row>
    <row r="2650">
      <c r="A2650" s="23"/>
      <c r="B2650" s="21"/>
      <c r="C2650" s="23"/>
      <c r="D2650" s="24"/>
      <c r="E2650" s="14"/>
      <c r="F2650" s="14"/>
      <c r="G2650" s="14"/>
      <c r="H2650" s="23"/>
      <c r="I2650" s="23"/>
      <c r="J2650" s="23"/>
      <c r="K2650" s="30"/>
      <c r="L2650" s="23"/>
      <c r="M2650" s="50" t="s">
        <v>10178</v>
      </c>
      <c r="N2650" s="51"/>
      <c r="O2650" s="20"/>
      <c r="P2650" s="20"/>
      <c r="Q2650" s="20"/>
      <c r="R2650" s="20"/>
      <c r="S2650" s="20"/>
    </row>
    <row r="2651">
      <c r="A2651" s="10"/>
      <c r="B2651" s="11"/>
      <c r="C2651" s="10"/>
      <c r="D2651" s="13"/>
      <c r="E2651" s="14"/>
      <c r="F2651" s="14"/>
      <c r="G2651" s="14"/>
      <c r="H2651" s="10"/>
      <c r="I2651" s="10"/>
      <c r="J2651" s="10"/>
      <c r="K2651" s="46"/>
      <c r="L2651" s="10"/>
      <c r="M2651" s="44" t="s">
        <v>10178</v>
      </c>
      <c r="N2651" s="45"/>
      <c r="O2651" s="20"/>
      <c r="P2651" s="20"/>
      <c r="Q2651" s="20"/>
      <c r="R2651" s="20"/>
      <c r="S2651" s="20"/>
    </row>
    <row r="2652">
      <c r="A2652" s="23"/>
      <c r="B2652" s="21"/>
      <c r="C2652" s="23"/>
      <c r="D2652" s="24"/>
      <c r="E2652" s="14"/>
      <c r="F2652" s="14"/>
      <c r="G2652" s="14"/>
      <c r="H2652" s="23"/>
      <c r="I2652" s="23"/>
      <c r="J2652" s="23"/>
      <c r="K2652" s="30"/>
      <c r="L2652" s="23"/>
      <c r="M2652" s="50" t="s">
        <v>10178</v>
      </c>
      <c r="N2652" s="51"/>
      <c r="O2652" s="20"/>
      <c r="P2652" s="20"/>
      <c r="Q2652" s="20"/>
      <c r="R2652" s="20"/>
      <c r="S2652" s="20"/>
    </row>
    <row r="2653">
      <c r="A2653" s="10"/>
      <c r="B2653" s="11"/>
      <c r="C2653" s="10"/>
      <c r="D2653" s="13"/>
      <c r="E2653" s="14"/>
      <c r="F2653" s="14"/>
      <c r="G2653" s="14"/>
      <c r="H2653" s="10"/>
      <c r="I2653" s="10"/>
      <c r="J2653" s="10"/>
      <c r="K2653" s="46"/>
      <c r="L2653" s="10"/>
      <c r="M2653" s="44" t="s">
        <v>10178</v>
      </c>
      <c r="N2653" s="45"/>
      <c r="O2653" s="20"/>
      <c r="P2653" s="20"/>
      <c r="Q2653" s="20"/>
      <c r="R2653" s="20"/>
      <c r="S2653" s="20"/>
    </row>
    <row r="2654">
      <c r="A2654" s="23"/>
      <c r="B2654" s="21"/>
      <c r="C2654" s="23"/>
      <c r="D2654" s="24"/>
      <c r="E2654" s="14"/>
      <c r="F2654" s="14"/>
      <c r="G2654" s="14"/>
      <c r="H2654" s="23"/>
      <c r="I2654" s="23"/>
      <c r="J2654" s="23"/>
      <c r="K2654" s="30"/>
      <c r="L2654" s="23"/>
      <c r="M2654" s="50" t="s">
        <v>10178</v>
      </c>
      <c r="N2654" s="51"/>
      <c r="O2654" s="20"/>
      <c r="P2654" s="20"/>
      <c r="Q2654" s="20"/>
      <c r="R2654" s="20"/>
      <c r="S2654" s="20"/>
    </row>
    <row r="2655">
      <c r="A2655" s="10"/>
      <c r="B2655" s="11"/>
      <c r="C2655" s="10"/>
      <c r="D2655" s="13"/>
      <c r="E2655" s="14"/>
      <c r="F2655" s="14"/>
      <c r="G2655" s="14"/>
      <c r="H2655" s="10"/>
      <c r="I2655" s="10"/>
      <c r="J2655" s="10"/>
      <c r="K2655" s="46"/>
      <c r="L2655" s="10"/>
      <c r="M2655" s="44" t="s">
        <v>10178</v>
      </c>
      <c r="N2655" s="45"/>
      <c r="O2655" s="20"/>
      <c r="P2655" s="20"/>
      <c r="Q2655" s="20"/>
      <c r="R2655" s="20"/>
      <c r="S2655" s="20"/>
    </row>
    <row r="2656">
      <c r="A2656" s="23"/>
      <c r="B2656" s="21"/>
      <c r="C2656" s="23"/>
      <c r="D2656" s="24"/>
      <c r="E2656" s="14"/>
      <c r="F2656" s="14"/>
      <c r="G2656" s="14"/>
      <c r="H2656" s="23"/>
      <c r="I2656" s="23"/>
      <c r="J2656" s="23"/>
      <c r="K2656" s="30"/>
      <c r="L2656" s="23"/>
      <c r="M2656" s="50" t="s">
        <v>10178</v>
      </c>
      <c r="N2656" s="51"/>
      <c r="O2656" s="20"/>
      <c r="P2656" s="20"/>
      <c r="Q2656" s="20"/>
      <c r="R2656" s="20"/>
      <c r="S2656" s="20"/>
    </row>
    <row r="2657">
      <c r="A2657" s="10"/>
      <c r="B2657" s="11"/>
      <c r="C2657" s="10"/>
      <c r="D2657" s="13"/>
      <c r="E2657" s="14"/>
      <c r="F2657" s="14"/>
      <c r="G2657" s="14"/>
      <c r="H2657" s="10"/>
      <c r="I2657" s="10"/>
      <c r="J2657" s="10"/>
      <c r="K2657" s="46"/>
      <c r="L2657" s="10"/>
      <c r="M2657" s="44" t="s">
        <v>10178</v>
      </c>
      <c r="N2657" s="45"/>
      <c r="O2657" s="20"/>
      <c r="P2657" s="20"/>
      <c r="Q2657" s="20"/>
      <c r="R2657" s="20"/>
      <c r="S2657" s="20"/>
    </row>
    <row r="2658">
      <c r="A2658" s="23"/>
      <c r="B2658" s="21"/>
      <c r="C2658" s="23"/>
      <c r="D2658" s="24"/>
      <c r="E2658" s="14"/>
      <c r="F2658" s="14"/>
      <c r="G2658" s="14"/>
      <c r="H2658" s="23"/>
      <c r="I2658" s="23"/>
      <c r="J2658" s="23"/>
      <c r="K2658" s="30"/>
      <c r="L2658" s="23"/>
      <c r="M2658" s="50" t="s">
        <v>10178</v>
      </c>
      <c r="N2658" s="51"/>
      <c r="O2658" s="20"/>
      <c r="P2658" s="20"/>
      <c r="Q2658" s="20"/>
      <c r="R2658" s="20"/>
      <c r="S2658" s="20"/>
    </row>
    <row r="2659">
      <c r="A2659" s="10"/>
      <c r="B2659" s="11"/>
      <c r="C2659" s="10"/>
      <c r="D2659" s="13"/>
      <c r="E2659" s="14"/>
      <c r="F2659" s="14"/>
      <c r="G2659" s="14"/>
      <c r="H2659" s="10"/>
      <c r="I2659" s="10"/>
      <c r="J2659" s="10"/>
      <c r="K2659" s="46"/>
      <c r="L2659" s="10"/>
      <c r="M2659" s="44" t="s">
        <v>10178</v>
      </c>
      <c r="N2659" s="45"/>
      <c r="O2659" s="20"/>
      <c r="P2659" s="20"/>
      <c r="Q2659" s="20"/>
      <c r="R2659" s="20"/>
      <c r="S2659" s="20"/>
    </row>
    <row r="2660">
      <c r="A2660" s="23"/>
      <c r="B2660" s="21"/>
      <c r="C2660" s="23"/>
      <c r="D2660" s="24"/>
      <c r="E2660" s="14"/>
      <c r="F2660" s="14"/>
      <c r="G2660" s="14"/>
      <c r="H2660" s="23"/>
      <c r="I2660" s="23"/>
      <c r="J2660" s="23"/>
      <c r="K2660" s="30"/>
      <c r="L2660" s="23"/>
      <c r="M2660" s="50" t="s">
        <v>10178</v>
      </c>
      <c r="N2660" s="51"/>
      <c r="O2660" s="20"/>
      <c r="P2660" s="20"/>
      <c r="Q2660" s="20"/>
      <c r="R2660" s="20"/>
      <c r="S2660" s="20"/>
    </row>
    <row r="2661">
      <c r="A2661" s="10"/>
      <c r="B2661" s="11"/>
      <c r="C2661" s="10"/>
      <c r="D2661" s="13"/>
      <c r="E2661" s="14"/>
      <c r="F2661" s="14"/>
      <c r="G2661" s="14"/>
      <c r="H2661" s="10"/>
      <c r="I2661" s="10"/>
      <c r="J2661" s="10"/>
      <c r="K2661" s="46"/>
      <c r="L2661" s="10"/>
      <c r="M2661" s="44" t="s">
        <v>10178</v>
      </c>
      <c r="N2661" s="45"/>
      <c r="O2661" s="20"/>
      <c r="P2661" s="20"/>
      <c r="Q2661" s="20"/>
      <c r="R2661" s="20"/>
      <c r="S2661" s="20"/>
    </row>
    <row r="2662">
      <c r="A2662" s="23"/>
      <c r="B2662" s="21"/>
      <c r="C2662" s="23"/>
      <c r="D2662" s="24"/>
      <c r="E2662" s="14"/>
      <c r="F2662" s="14"/>
      <c r="G2662" s="14"/>
      <c r="H2662" s="23"/>
      <c r="I2662" s="23"/>
      <c r="J2662" s="23"/>
      <c r="K2662" s="30"/>
      <c r="L2662" s="23"/>
      <c r="M2662" s="50" t="s">
        <v>10178</v>
      </c>
      <c r="N2662" s="51"/>
      <c r="O2662" s="20"/>
      <c r="P2662" s="20"/>
      <c r="Q2662" s="20"/>
      <c r="R2662" s="20"/>
      <c r="S2662" s="20"/>
    </row>
    <row r="2663">
      <c r="A2663" s="10"/>
      <c r="B2663" s="11"/>
      <c r="C2663" s="10"/>
      <c r="D2663" s="13"/>
      <c r="E2663" s="14"/>
      <c r="F2663" s="14"/>
      <c r="G2663" s="14"/>
      <c r="H2663" s="10"/>
      <c r="I2663" s="10"/>
      <c r="J2663" s="10"/>
      <c r="K2663" s="46"/>
      <c r="L2663" s="10"/>
      <c r="M2663" s="44" t="s">
        <v>10178</v>
      </c>
      <c r="N2663" s="45"/>
      <c r="O2663" s="20"/>
      <c r="P2663" s="20"/>
      <c r="Q2663" s="20"/>
      <c r="R2663" s="20"/>
      <c r="S2663" s="20"/>
    </row>
    <row r="2664">
      <c r="A2664" s="23"/>
      <c r="B2664" s="21"/>
      <c r="C2664" s="23"/>
      <c r="D2664" s="24"/>
      <c r="E2664" s="14"/>
      <c r="F2664" s="14"/>
      <c r="G2664" s="14"/>
      <c r="H2664" s="23"/>
      <c r="I2664" s="23"/>
      <c r="J2664" s="23"/>
      <c r="K2664" s="30"/>
      <c r="L2664" s="23"/>
      <c r="M2664" s="50" t="s">
        <v>10178</v>
      </c>
      <c r="N2664" s="51"/>
      <c r="O2664" s="20"/>
      <c r="P2664" s="20"/>
      <c r="Q2664" s="20"/>
      <c r="R2664" s="20"/>
      <c r="S2664" s="20"/>
    </row>
    <row r="2665">
      <c r="A2665" s="10"/>
      <c r="B2665" s="11"/>
      <c r="C2665" s="10"/>
      <c r="D2665" s="13"/>
      <c r="E2665" s="14"/>
      <c r="F2665" s="14"/>
      <c r="G2665" s="14"/>
      <c r="H2665" s="10"/>
      <c r="I2665" s="10"/>
      <c r="J2665" s="10"/>
      <c r="K2665" s="46"/>
      <c r="L2665" s="10"/>
      <c r="M2665" s="44" t="s">
        <v>10178</v>
      </c>
      <c r="N2665" s="45"/>
      <c r="O2665" s="20"/>
      <c r="P2665" s="20"/>
      <c r="Q2665" s="20"/>
      <c r="R2665" s="20"/>
      <c r="S2665" s="20"/>
    </row>
    <row r="2666">
      <c r="A2666" s="23"/>
      <c r="B2666" s="21"/>
      <c r="C2666" s="23"/>
      <c r="D2666" s="24"/>
      <c r="E2666" s="14"/>
      <c r="F2666" s="14"/>
      <c r="G2666" s="14"/>
      <c r="H2666" s="23"/>
      <c r="I2666" s="23"/>
      <c r="J2666" s="23"/>
      <c r="K2666" s="30"/>
      <c r="L2666" s="23"/>
      <c r="M2666" s="50" t="s">
        <v>10178</v>
      </c>
      <c r="N2666" s="51"/>
      <c r="O2666" s="20"/>
      <c r="P2666" s="20"/>
      <c r="Q2666" s="20"/>
      <c r="R2666" s="20"/>
      <c r="S2666" s="20"/>
    </row>
    <row r="2667">
      <c r="A2667" s="10"/>
      <c r="B2667" s="11"/>
      <c r="C2667" s="10"/>
      <c r="D2667" s="13"/>
      <c r="E2667" s="14"/>
      <c r="F2667" s="14"/>
      <c r="G2667" s="14"/>
      <c r="H2667" s="10"/>
      <c r="I2667" s="10"/>
      <c r="J2667" s="10"/>
      <c r="K2667" s="46"/>
      <c r="L2667" s="10"/>
      <c r="M2667" s="44" t="s">
        <v>10178</v>
      </c>
      <c r="N2667" s="45"/>
      <c r="O2667" s="20"/>
      <c r="P2667" s="20"/>
      <c r="Q2667" s="20"/>
      <c r="R2667" s="20"/>
      <c r="S2667" s="20"/>
    </row>
    <row r="2668">
      <c r="A2668" s="23"/>
      <c r="B2668" s="21"/>
      <c r="C2668" s="23"/>
      <c r="D2668" s="24"/>
      <c r="E2668" s="14"/>
      <c r="F2668" s="14"/>
      <c r="G2668" s="14"/>
      <c r="H2668" s="23"/>
      <c r="I2668" s="23"/>
      <c r="J2668" s="23"/>
      <c r="K2668" s="30"/>
      <c r="L2668" s="23"/>
      <c r="M2668" s="50" t="s">
        <v>10178</v>
      </c>
      <c r="N2668" s="51"/>
      <c r="O2668" s="20"/>
      <c r="P2668" s="20"/>
      <c r="Q2668" s="20"/>
      <c r="R2668" s="20"/>
      <c r="S2668" s="20"/>
    </row>
    <row r="2669">
      <c r="A2669" s="10"/>
      <c r="B2669" s="11"/>
      <c r="C2669" s="10"/>
      <c r="D2669" s="13"/>
      <c r="E2669" s="14"/>
      <c r="F2669" s="14"/>
      <c r="G2669" s="14"/>
      <c r="H2669" s="10"/>
      <c r="I2669" s="10"/>
      <c r="J2669" s="10"/>
      <c r="K2669" s="46"/>
      <c r="L2669" s="10"/>
      <c r="M2669" s="44" t="s">
        <v>10178</v>
      </c>
      <c r="N2669" s="45"/>
      <c r="O2669" s="20"/>
      <c r="P2669" s="20"/>
      <c r="Q2669" s="20"/>
      <c r="R2669" s="20"/>
      <c r="S2669" s="20"/>
    </row>
    <row r="2670">
      <c r="A2670" s="23"/>
      <c r="B2670" s="21"/>
      <c r="C2670" s="23"/>
      <c r="D2670" s="24"/>
      <c r="E2670" s="14"/>
      <c r="F2670" s="14"/>
      <c r="G2670" s="14"/>
      <c r="H2670" s="23"/>
      <c r="I2670" s="23"/>
      <c r="J2670" s="23"/>
      <c r="K2670" s="30"/>
      <c r="L2670" s="23"/>
      <c r="M2670" s="50" t="s">
        <v>10178</v>
      </c>
      <c r="N2670" s="51"/>
      <c r="O2670" s="20"/>
      <c r="P2670" s="20"/>
      <c r="Q2670" s="20"/>
      <c r="R2670" s="20"/>
      <c r="S2670" s="20"/>
    </row>
    <row r="2671">
      <c r="A2671" s="10"/>
      <c r="B2671" s="11"/>
      <c r="C2671" s="10"/>
      <c r="D2671" s="13"/>
      <c r="E2671" s="14"/>
      <c r="F2671" s="14"/>
      <c r="G2671" s="14"/>
      <c r="H2671" s="10"/>
      <c r="I2671" s="10"/>
      <c r="J2671" s="10"/>
      <c r="K2671" s="46"/>
      <c r="L2671" s="10"/>
      <c r="M2671" s="44" t="s">
        <v>10178</v>
      </c>
      <c r="N2671" s="45"/>
      <c r="O2671" s="20"/>
      <c r="P2671" s="20"/>
      <c r="Q2671" s="20"/>
      <c r="R2671" s="20"/>
      <c r="S2671" s="20"/>
    </row>
    <row r="2672">
      <c r="A2672" s="23"/>
      <c r="B2672" s="21"/>
      <c r="C2672" s="23"/>
      <c r="D2672" s="24"/>
      <c r="E2672" s="14"/>
      <c r="F2672" s="14"/>
      <c r="G2672" s="14"/>
      <c r="H2672" s="23"/>
      <c r="I2672" s="23"/>
      <c r="J2672" s="23"/>
      <c r="K2672" s="30"/>
      <c r="L2672" s="23"/>
      <c r="M2672" s="50" t="s">
        <v>10178</v>
      </c>
      <c r="N2672" s="51"/>
      <c r="O2672" s="20"/>
      <c r="P2672" s="20"/>
      <c r="Q2672" s="20"/>
      <c r="R2672" s="20"/>
      <c r="S2672" s="20"/>
    </row>
    <row r="2673">
      <c r="A2673" s="10"/>
      <c r="B2673" s="11"/>
      <c r="C2673" s="10"/>
      <c r="D2673" s="13"/>
      <c r="E2673" s="14"/>
      <c r="F2673" s="14"/>
      <c r="G2673" s="14"/>
      <c r="H2673" s="10"/>
      <c r="I2673" s="10"/>
      <c r="J2673" s="10"/>
      <c r="K2673" s="46"/>
      <c r="L2673" s="10"/>
      <c r="M2673" s="44" t="s">
        <v>10178</v>
      </c>
      <c r="N2673" s="45"/>
      <c r="O2673" s="20"/>
      <c r="P2673" s="20"/>
      <c r="Q2673" s="20"/>
      <c r="R2673" s="20"/>
      <c r="S2673" s="20"/>
    </row>
    <row r="2674">
      <c r="A2674" s="23"/>
      <c r="B2674" s="21"/>
      <c r="C2674" s="23"/>
      <c r="D2674" s="24"/>
      <c r="E2674" s="14"/>
      <c r="F2674" s="14"/>
      <c r="G2674" s="14"/>
      <c r="H2674" s="23"/>
      <c r="I2674" s="23"/>
      <c r="J2674" s="23"/>
      <c r="K2674" s="30"/>
      <c r="L2674" s="23"/>
      <c r="M2674" s="50" t="s">
        <v>10178</v>
      </c>
      <c r="N2674" s="51"/>
      <c r="O2674" s="20"/>
      <c r="P2674" s="20"/>
      <c r="Q2674" s="20"/>
      <c r="R2674" s="20"/>
      <c r="S2674" s="20"/>
    </row>
    <row r="2675">
      <c r="A2675" s="10"/>
      <c r="B2675" s="11"/>
      <c r="C2675" s="10"/>
      <c r="D2675" s="13"/>
      <c r="E2675" s="14"/>
      <c r="F2675" s="14"/>
      <c r="G2675" s="14"/>
      <c r="H2675" s="10"/>
      <c r="I2675" s="10"/>
      <c r="J2675" s="10"/>
      <c r="K2675" s="46"/>
      <c r="L2675" s="10"/>
      <c r="M2675" s="44" t="s">
        <v>10178</v>
      </c>
      <c r="N2675" s="45"/>
      <c r="O2675" s="20"/>
      <c r="P2675" s="20"/>
      <c r="Q2675" s="20"/>
      <c r="R2675" s="20"/>
      <c r="S2675" s="20"/>
    </row>
    <row r="2676">
      <c r="A2676" s="23"/>
      <c r="B2676" s="21"/>
      <c r="C2676" s="23"/>
      <c r="D2676" s="24"/>
      <c r="E2676" s="14"/>
      <c r="F2676" s="14"/>
      <c r="G2676" s="14"/>
      <c r="H2676" s="23"/>
      <c r="I2676" s="23"/>
      <c r="J2676" s="23"/>
      <c r="K2676" s="30"/>
      <c r="L2676" s="23"/>
      <c r="M2676" s="50" t="s">
        <v>10178</v>
      </c>
      <c r="N2676" s="51"/>
      <c r="O2676" s="20"/>
      <c r="P2676" s="20"/>
      <c r="Q2676" s="20"/>
      <c r="R2676" s="20"/>
      <c r="S2676" s="20"/>
    </row>
    <row r="2677">
      <c r="A2677" s="10"/>
      <c r="B2677" s="11"/>
      <c r="C2677" s="10"/>
      <c r="D2677" s="13"/>
      <c r="E2677" s="14"/>
      <c r="F2677" s="14"/>
      <c r="G2677" s="14"/>
      <c r="H2677" s="10"/>
      <c r="I2677" s="10"/>
      <c r="J2677" s="10"/>
      <c r="K2677" s="46"/>
      <c r="L2677" s="10"/>
      <c r="M2677" s="44" t="s">
        <v>10178</v>
      </c>
      <c r="N2677" s="45"/>
      <c r="O2677" s="20"/>
      <c r="P2677" s="20"/>
      <c r="Q2677" s="20"/>
      <c r="R2677" s="20"/>
      <c r="S2677" s="20"/>
    </row>
    <row r="2678">
      <c r="A2678" s="23"/>
      <c r="B2678" s="21"/>
      <c r="C2678" s="23"/>
      <c r="D2678" s="24"/>
      <c r="E2678" s="14"/>
      <c r="F2678" s="14"/>
      <c r="G2678" s="14"/>
      <c r="H2678" s="23"/>
      <c r="I2678" s="23"/>
      <c r="J2678" s="23"/>
      <c r="K2678" s="30"/>
      <c r="L2678" s="23"/>
      <c r="M2678" s="50" t="s">
        <v>10178</v>
      </c>
      <c r="N2678" s="51"/>
      <c r="O2678" s="20"/>
      <c r="P2678" s="20"/>
      <c r="Q2678" s="20"/>
      <c r="R2678" s="20"/>
      <c r="S2678" s="20"/>
    </row>
    <row r="2679">
      <c r="A2679" s="10"/>
      <c r="B2679" s="11"/>
      <c r="C2679" s="10"/>
      <c r="D2679" s="13"/>
      <c r="E2679" s="14"/>
      <c r="F2679" s="14"/>
      <c r="G2679" s="14"/>
      <c r="H2679" s="10"/>
      <c r="I2679" s="10"/>
      <c r="J2679" s="10"/>
      <c r="K2679" s="46"/>
      <c r="L2679" s="10"/>
      <c r="M2679" s="44" t="s">
        <v>10178</v>
      </c>
      <c r="N2679" s="45"/>
      <c r="O2679" s="20"/>
      <c r="P2679" s="20"/>
      <c r="Q2679" s="20"/>
      <c r="R2679" s="20"/>
      <c r="S2679" s="20"/>
    </row>
    <row r="2680">
      <c r="A2680" s="23"/>
      <c r="B2680" s="21"/>
      <c r="C2680" s="23"/>
      <c r="D2680" s="24"/>
      <c r="E2680" s="14"/>
      <c r="F2680" s="14"/>
      <c r="G2680" s="14"/>
      <c r="H2680" s="23"/>
      <c r="I2680" s="23"/>
      <c r="J2680" s="23"/>
      <c r="K2680" s="30"/>
      <c r="L2680" s="23"/>
      <c r="M2680" s="50" t="s">
        <v>10178</v>
      </c>
      <c r="N2680" s="51"/>
      <c r="O2680" s="20"/>
      <c r="P2680" s="20"/>
      <c r="Q2680" s="20"/>
      <c r="R2680" s="20"/>
      <c r="S2680" s="20"/>
    </row>
    <row r="2681">
      <c r="A2681" s="10"/>
      <c r="B2681" s="11"/>
      <c r="C2681" s="10"/>
      <c r="D2681" s="13"/>
      <c r="E2681" s="14"/>
      <c r="F2681" s="14"/>
      <c r="G2681" s="14"/>
      <c r="H2681" s="10"/>
      <c r="I2681" s="10"/>
      <c r="J2681" s="10"/>
      <c r="K2681" s="46"/>
      <c r="L2681" s="10"/>
      <c r="M2681" s="44" t="s">
        <v>10178</v>
      </c>
      <c r="N2681" s="45"/>
      <c r="O2681" s="20"/>
      <c r="P2681" s="20"/>
      <c r="Q2681" s="20"/>
      <c r="R2681" s="20"/>
      <c r="S2681" s="20"/>
    </row>
    <row r="2682">
      <c r="A2682" s="23"/>
      <c r="B2682" s="21"/>
      <c r="C2682" s="23"/>
      <c r="D2682" s="24"/>
      <c r="E2682" s="14"/>
      <c r="F2682" s="14"/>
      <c r="G2682" s="14"/>
      <c r="H2682" s="23"/>
      <c r="I2682" s="23"/>
      <c r="J2682" s="23"/>
      <c r="K2682" s="30"/>
      <c r="L2682" s="23"/>
      <c r="M2682" s="50" t="s">
        <v>10178</v>
      </c>
      <c r="N2682" s="51"/>
      <c r="O2682" s="20"/>
      <c r="P2682" s="20"/>
      <c r="Q2682" s="20"/>
      <c r="R2682" s="20"/>
      <c r="S2682" s="20"/>
    </row>
    <row r="2683">
      <c r="A2683" s="10"/>
      <c r="B2683" s="11"/>
      <c r="C2683" s="10"/>
      <c r="D2683" s="13"/>
      <c r="E2683" s="14"/>
      <c r="F2683" s="14"/>
      <c r="G2683" s="14"/>
      <c r="H2683" s="10"/>
      <c r="I2683" s="10"/>
      <c r="J2683" s="10"/>
      <c r="K2683" s="46"/>
      <c r="L2683" s="10"/>
      <c r="M2683" s="44" t="s">
        <v>10178</v>
      </c>
      <c r="N2683" s="45"/>
      <c r="O2683" s="20"/>
      <c r="P2683" s="20"/>
      <c r="Q2683" s="20"/>
      <c r="R2683" s="20"/>
      <c r="S2683" s="20"/>
    </row>
    <row r="2684">
      <c r="A2684" s="23"/>
      <c r="B2684" s="21"/>
      <c r="C2684" s="23"/>
      <c r="D2684" s="24"/>
      <c r="E2684" s="14"/>
      <c r="F2684" s="14"/>
      <c r="G2684" s="14"/>
      <c r="H2684" s="23"/>
      <c r="I2684" s="23"/>
      <c r="J2684" s="23"/>
      <c r="K2684" s="30"/>
      <c r="L2684" s="23"/>
      <c r="M2684" s="50" t="s">
        <v>10178</v>
      </c>
      <c r="N2684" s="51"/>
      <c r="O2684" s="20"/>
      <c r="P2684" s="20"/>
      <c r="Q2684" s="20"/>
      <c r="R2684" s="20"/>
      <c r="S2684" s="20"/>
    </row>
    <row r="2685">
      <c r="A2685" s="10"/>
      <c r="B2685" s="11"/>
      <c r="C2685" s="10"/>
      <c r="D2685" s="13"/>
      <c r="E2685" s="14"/>
      <c r="F2685" s="14"/>
      <c r="G2685" s="14"/>
      <c r="H2685" s="10"/>
      <c r="I2685" s="10"/>
      <c r="J2685" s="10"/>
      <c r="K2685" s="46"/>
      <c r="L2685" s="10"/>
      <c r="M2685" s="44" t="s">
        <v>10178</v>
      </c>
      <c r="N2685" s="45"/>
      <c r="O2685" s="20"/>
      <c r="P2685" s="20"/>
      <c r="Q2685" s="20"/>
      <c r="R2685" s="20"/>
      <c r="S2685" s="20"/>
    </row>
    <row r="2686">
      <c r="A2686" s="23"/>
      <c r="B2686" s="21"/>
      <c r="C2686" s="23"/>
      <c r="D2686" s="24"/>
      <c r="E2686" s="14"/>
      <c r="F2686" s="14"/>
      <c r="G2686" s="14"/>
      <c r="H2686" s="23"/>
      <c r="I2686" s="23"/>
      <c r="J2686" s="23"/>
      <c r="K2686" s="30"/>
      <c r="L2686" s="23"/>
      <c r="M2686" s="50" t="s">
        <v>10178</v>
      </c>
      <c r="N2686" s="51"/>
      <c r="O2686" s="20"/>
      <c r="P2686" s="20"/>
      <c r="Q2686" s="20"/>
      <c r="R2686" s="20"/>
      <c r="S2686" s="20"/>
    </row>
    <row r="2687">
      <c r="A2687" s="10"/>
      <c r="B2687" s="11"/>
      <c r="C2687" s="10"/>
      <c r="D2687" s="13"/>
      <c r="E2687" s="14"/>
      <c r="F2687" s="14"/>
      <c r="G2687" s="14"/>
      <c r="H2687" s="10"/>
      <c r="I2687" s="10"/>
      <c r="J2687" s="10"/>
      <c r="K2687" s="46"/>
      <c r="L2687" s="10"/>
      <c r="M2687" s="44" t="s">
        <v>10178</v>
      </c>
      <c r="N2687" s="45"/>
      <c r="O2687" s="20"/>
      <c r="P2687" s="20"/>
      <c r="Q2687" s="20"/>
      <c r="R2687" s="20"/>
      <c r="S2687" s="20"/>
    </row>
    <row r="2688">
      <c r="A2688" s="23"/>
      <c r="B2688" s="21"/>
      <c r="C2688" s="23"/>
      <c r="D2688" s="24"/>
      <c r="E2688" s="14"/>
      <c r="F2688" s="14"/>
      <c r="G2688" s="14"/>
      <c r="H2688" s="23"/>
      <c r="I2688" s="23"/>
      <c r="J2688" s="23"/>
      <c r="K2688" s="30"/>
      <c r="L2688" s="23"/>
      <c r="M2688" s="50" t="s">
        <v>10178</v>
      </c>
      <c r="N2688" s="51"/>
      <c r="O2688" s="20"/>
      <c r="P2688" s="20"/>
      <c r="Q2688" s="20"/>
      <c r="R2688" s="20"/>
      <c r="S2688" s="20"/>
    </row>
    <row r="2689">
      <c r="A2689" s="10"/>
      <c r="B2689" s="11"/>
      <c r="C2689" s="10"/>
      <c r="D2689" s="13"/>
      <c r="E2689" s="14"/>
      <c r="F2689" s="14"/>
      <c r="G2689" s="14"/>
      <c r="H2689" s="10"/>
      <c r="I2689" s="10"/>
      <c r="J2689" s="10"/>
      <c r="K2689" s="46"/>
      <c r="L2689" s="10"/>
      <c r="M2689" s="44" t="s">
        <v>10178</v>
      </c>
      <c r="N2689" s="45"/>
      <c r="O2689" s="20"/>
      <c r="P2689" s="20"/>
      <c r="Q2689" s="20"/>
      <c r="R2689" s="20"/>
      <c r="S2689" s="20"/>
    </row>
    <row r="2690">
      <c r="A2690" s="23"/>
      <c r="B2690" s="21"/>
      <c r="C2690" s="23"/>
      <c r="D2690" s="24"/>
      <c r="E2690" s="14"/>
      <c r="F2690" s="14"/>
      <c r="G2690" s="14"/>
      <c r="H2690" s="23"/>
      <c r="I2690" s="23"/>
      <c r="J2690" s="23"/>
      <c r="K2690" s="30"/>
      <c r="L2690" s="23"/>
      <c r="M2690" s="50" t="s">
        <v>10178</v>
      </c>
      <c r="N2690" s="51"/>
      <c r="O2690" s="20"/>
      <c r="P2690" s="20"/>
      <c r="Q2690" s="20"/>
      <c r="R2690" s="20"/>
      <c r="S2690" s="20"/>
    </row>
    <row r="2691">
      <c r="A2691" s="10"/>
      <c r="B2691" s="11"/>
      <c r="C2691" s="10"/>
      <c r="D2691" s="13"/>
      <c r="E2691" s="14"/>
      <c r="F2691" s="14"/>
      <c r="G2691" s="14"/>
      <c r="H2691" s="10"/>
      <c r="I2691" s="10"/>
      <c r="J2691" s="10"/>
      <c r="K2691" s="46"/>
      <c r="L2691" s="10"/>
      <c r="M2691" s="44" t="s">
        <v>10178</v>
      </c>
      <c r="N2691" s="45"/>
      <c r="O2691" s="20"/>
      <c r="P2691" s="20"/>
      <c r="Q2691" s="20"/>
      <c r="R2691" s="20"/>
      <c r="S2691" s="20"/>
    </row>
    <row r="2692">
      <c r="A2692" s="23"/>
      <c r="B2692" s="21"/>
      <c r="C2692" s="23"/>
      <c r="D2692" s="24"/>
      <c r="E2692" s="14"/>
      <c r="F2692" s="14"/>
      <c r="G2692" s="14"/>
      <c r="H2692" s="23"/>
      <c r="I2692" s="23"/>
      <c r="J2692" s="23"/>
      <c r="K2692" s="30"/>
      <c r="L2692" s="23"/>
      <c r="M2692" s="50" t="s">
        <v>10178</v>
      </c>
      <c r="N2692" s="51"/>
      <c r="O2692" s="20"/>
      <c r="P2692" s="20"/>
      <c r="Q2692" s="20"/>
      <c r="R2692" s="20"/>
      <c r="S2692" s="20"/>
    </row>
    <row r="2693">
      <c r="A2693" s="10"/>
      <c r="B2693" s="11"/>
      <c r="C2693" s="10"/>
      <c r="D2693" s="13"/>
      <c r="E2693" s="14"/>
      <c r="F2693" s="14"/>
      <c r="G2693" s="14"/>
      <c r="H2693" s="10"/>
      <c r="I2693" s="10"/>
      <c r="J2693" s="10"/>
      <c r="K2693" s="46"/>
      <c r="L2693" s="10"/>
      <c r="M2693" s="44" t="s">
        <v>10178</v>
      </c>
      <c r="N2693" s="45"/>
      <c r="O2693" s="20"/>
      <c r="P2693" s="20"/>
      <c r="Q2693" s="20"/>
      <c r="R2693" s="20"/>
      <c r="S2693" s="20"/>
    </row>
    <row r="2694">
      <c r="A2694" s="23"/>
      <c r="B2694" s="21"/>
      <c r="C2694" s="23"/>
      <c r="D2694" s="24"/>
      <c r="E2694" s="14"/>
      <c r="F2694" s="14"/>
      <c r="G2694" s="14"/>
      <c r="H2694" s="23"/>
      <c r="I2694" s="23"/>
      <c r="J2694" s="23"/>
      <c r="K2694" s="30"/>
      <c r="L2694" s="23"/>
      <c r="M2694" s="50" t="s">
        <v>10178</v>
      </c>
      <c r="N2694" s="51"/>
      <c r="O2694" s="20"/>
      <c r="P2694" s="20"/>
      <c r="Q2694" s="20"/>
      <c r="R2694" s="20"/>
      <c r="S2694" s="20"/>
    </row>
    <row r="2695">
      <c r="A2695" s="10"/>
      <c r="B2695" s="11"/>
      <c r="C2695" s="10"/>
      <c r="D2695" s="13"/>
      <c r="E2695" s="14"/>
      <c r="F2695" s="14"/>
      <c r="G2695" s="14"/>
      <c r="H2695" s="10"/>
      <c r="I2695" s="10"/>
      <c r="J2695" s="10"/>
      <c r="K2695" s="46"/>
      <c r="L2695" s="10"/>
      <c r="M2695" s="44" t="s">
        <v>10178</v>
      </c>
      <c r="N2695" s="45"/>
      <c r="O2695" s="20"/>
      <c r="P2695" s="20"/>
      <c r="Q2695" s="20"/>
      <c r="R2695" s="20"/>
      <c r="S2695" s="20"/>
    </row>
    <row r="2696">
      <c r="A2696" s="23"/>
      <c r="B2696" s="21"/>
      <c r="C2696" s="23"/>
      <c r="D2696" s="24"/>
      <c r="E2696" s="14"/>
      <c r="F2696" s="14"/>
      <c r="G2696" s="14"/>
      <c r="H2696" s="23"/>
      <c r="I2696" s="23"/>
      <c r="J2696" s="23"/>
      <c r="K2696" s="30"/>
      <c r="L2696" s="23"/>
      <c r="M2696" s="50" t="s">
        <v>10178</v>
      </c>
      <c r="N2696" s="51"/>
      <c r="O2696" s="20"/>
      <c r="P2696" s="20"/>
      <c r="Q2696" s="20"/>
      <c r="R2696" s="20"/>
      <c r="S2696" s="20"/>
    </row>
    <row r="2697">
      <c r="A2697" s="10"/>
      <c r="B2697" s="11"/>
      <c r="C2697" s="10"/>
      <c r="D2697" s="13"/>
      <c r="E2697" s="14"/>
      <c r="F2697" s="14"/>
      <c r="G2697" s="14"/>
      <c r="H2697" s="10"/>
      <c r="I2697" s="10"/>
      <c r="J2697" s="10"/>
      <c r="K2697" s="46"/>
      <c r="L2697" s="10"/>
      <c r="M2697" s="44" t="s">
        <v>10178</v>
      </c>
      <c r="N2697" s="45"/>
      <c r="O2697" s="20"/>
      <c r="P2697" s="20"/>
      <c r="Q2697" s="20"/>
      <c r="R2697" s="20"/>
      <c r="S2697" s="20"/>
    </row>
    <row r="2698">
      <c r="A2698" s="23"/>
      <c r="B2698" s="21"/>
      <c r="C2698" s="23"/>
      <c r="D2698" s="24"/>
      <c r="E2698" s="14"/>
      <c r="F2698" s="14"/>
      <c r="G2698" s="14"/>
      <c r="H2698" s="23"/>
      <c r="I2698" s="23"/>
      <c r="J2698" s="23"/>
      <c r="K2698" s="30"/>
      <c r="L2698" s="23"/>
      <c r="M2698" s="50" t="s">
        <v>10178</v>
      </c>
      <c r="N2698" s="51"/>
      <c r="O2698" s="20"/>
      <c r="P2698" s="20"/>
      <c r="Q2698" s="20"/>
      <c r="R2698" s="20"/>
      <c r="S2698" s="20"/>
    </row>
    <row r="2699">
      <c r="A2699" s="10"/>
      <c r="B2699" s="11"/>
      <c r="C2699" s="10"/>
      <c r="D2699" s="13"/>
      <c r="E2699" s="14"/>
      <c r="F2699" s="14"/>
      <c r="G2699" s="14"/>
      <c r="H2699" s="10"/>
      <c r="I2699" s="10"/>
      <c r="J2699" s="10"/>
      <c r="K2699" s="46"/>
      <c r="L2699" s="10"/>
      <c r="M2699" s="44" t="s">
        <v>10178</v>
      </c>
      <c r="N2699" s="45"/>
      <c r="O2699" s="20"/>
      <c r="P2699" s="20"/>
      <c r="Q2699" s="20"/>
      <c r="R2699" s="20"/>
      <c r="S2699" s="20"/>
    </row>
    <row r="2700">
      <c r="A2700" s="23"/>
      <c r="B2700" s="21"/>
      <c r="C2700" s="23"/>
      <c r="D2700" s="24"/>
      <c r="E2700" s="14"/>
      <c r="F2700" s="14"/>
      <c r="G2700" s="14"/>
      <c r="H2700" s="23"/>
      <c r="I2700" s="23"/>
      <c r="J2700" s="23"/>
      <c r="K2700" s="30"/>
      <c r="L2700" s="23"/>
      <c r="M2700" s="50" t="s">
        <v>10178</v>
      </c>
      <c r="N2700" s="51"/>
      <c r="O2700" s="20"/>
      <c r="P2700" s="20"/>
      <c r="Q2700" s="20"/>
      <c r="R2700" s="20"/>
      <c r="S2700" s="20"/>
    </row>
    <row r="2701">
      <c r="A2701" s="10"/>
      <c r="B2701" s="11"/>
      <c r="C2701" s="10"/>
      <c r="D2701" s="13"/>
      <c r="E2701" s="14"/>
      <c r="F2701" s="14"/>
      <c r="G2701" s="14"/>
      <c r="H2701" s="10"/>
      <c r="I2701" s="10"/>
      <c r="J2701" s="10"/>
      <c r="K2701" s="46"/>
      <c r="L2701" s="10"/>
      <c r="M2701" s="44" t="s">
        <v>10178</v>
      </c>
      <c r="N2701" s="45"/>
      <c r="O2701" s="20"/>
      <c r="P2701" s="20"/>
      <c r="Q2701" s="20"/>
      <c r="R2701" s="20"/>
      <c r="S2701" s="20"/>
    </row>
    <row r="2702">
      <c r="A2702" s="23"/>
      <c r="B2702" s="21"/>
      <c r="C2702" s="23"/>
      <c r="D2702" s="24"/>
      <c r="E2702" s="14"/>
      <c r="F2702" s="14"/>
      <c r="G2702" s="14"/>
      <c r="H2702" s="23"/>
      <c r="I2702" s="23"/>
      <c r="J2702" s="23"/>
      <c r="K2702" s="30"/>
      <c r="L2702" s="23"/>
      <c r="M2702" s="50" t="s">
        <v>10178</v>
      </c>
      <c r="N2702" s="51"/>
      <c r="O2702" s="20"/>
      <c r="P2702" s="20"/>
      <c r="Q2702" s="20"/>
      <c r="R2702" s="20"/>
      <c r="S2702" s="20"/>
    </row>
    <row r="2703">
      <c r="A2703" s="10"/>
      <c r="B2703" s="11"/>
      <c r="C2703" s="10"/>
      <c r="D2703" s="13"/>
      <c r="E2703" s="14"/>
      <c r="F2703" s="14"/>
      <c r="G2703" s="14"/>
      <c r="H2703" s="10"/>
      <c r="I2703" s="10"/>
      <c r="J2703" s="10"/>
      <c r="K2703" s="46"/>
      <c r="L2703" s="10"/>
      <c r="M2703" s="44" t="s">
        <v>10178</v>
      </c>
      <c r="N2703" s="45"/>
      <c r="O2703" s="20"/>
      <c r="P2703" s="20"/>
      <c r="Q2703" s="20"/>
      <c r="R2703" s="20"/>
      <c r="S2703" s="20"/>
    </row>
    <row r="2704">
      <c r="A2704" s="23"/>
      <c r="B2704" s="21"/>
      <c r="C2704" s="23"/>
      <c r="D2704" s="24"/>
      <c r="E2704" s="14"/>
      <c r="F2704" s="14"/>
      <c r="G2704" s="14"/>
      <c r="H2704" s="23"/>
      <c r="I2704" s="23"/>
      <c r="J2704" s="23"/>
      <c r="K2704" s="30"/>
      <c r="L2704" s="23"/>
      <c r="M2704" s="50" t="s">
        <v>10178</v>
      </c>
      <c r="N2704" s="51"/>
      <c r="O2704" s="20"/>
      <c r="P2704" s="20"/>
      <c r="Q2704" s="20"/>
      <c r="R2704" s="20"/>
      <c r="S2704" s="20"/>
    </row>
    <row r="2705">
      <c r="A2705" s="10"/>
      <c r="B2705" s="11"/>
      <c r="C2705" s="10"/>
      <c r="D2705" s="13"/>
      <c r="E2705" s="14"/>
      <c r="F2705" s="14"/>
      <c r="G2705" s="14"/>
      <c r="H2705" s="10"/>
      <c r="I2705" s="10"/>
      <c r="J2705" s="10"/>
      <c r="K2705" s="46"/>
      <c r="L2705" s="10"/>
      <c r="M2705" s="44" t="s">
        <v>10178</v>
      </c>
      <c r="N2705" s="45"/>
      <c r="O2705" s="20"/>
      <c r="P2705" s="20"/>
      <c r="Q2705" s="20"/>
      <c r="R2705" s="20"/>
      <c r="S2705" s="20"/>
    </row>
    <row r="2706">
      <c r="A2706" s="23"/>
      <c r="B2706" s="21"/>
      <c r="C2706" s="23"/>
      <c r="D2706" s="24"/>
      <c r="E2706" s="14"/>
      <c r="F2706" s="14"/>
      <c r="G2706" s="14"/>
      <c r="H2706" s="23"/>
      <c r="I2706" s="23"/>
      <c r="J2706" s="23"/>
      <c r="K2706" s="30"/>
      <c r="L2706" s="23"/>
      <c r="M2706" s="50" t="s">
        <v>10178</v>
      </c>
      <c r="N2706" s="51"/>
      <c r="O2706" s="20"/>
      <c r="P2706" s="20"/>
      <c r="Q2706" s="20"/>
      <c r="R2706" s="20"/>
      <c r="S2706" s="20"/>
    </row>
    <row r="2707">
      <c r="A2707" s="10"/>
      <c r="B2707" s="11"/>
      <c r="C2707" s="10"/>
      <c r="D2707" s="13"/>
      <c r="E2707" s="14"/>
      <c r="F2707" s="14"/>
      <c r="G2707" s="14"/>
      <c r="H2707" s="10"/>
      <c r="I2707" s="10"/>
      <c r="J2707" s="10"/>
      <c r="K2707" s="46"/>
      <c r="L2707" s="10"/>
      <c r="M2707" s="44" t="s">
        <v>10178</v>
      </c>
      <c r="N2707" s="45"/>
      <c r="O2707" s="20"/>
      <c r="P2707" s="20"/>
      <c r="Q2707" s="20"/>
      <c r="R2707" s="20"/>
      <c r="S2707" s="20"/>
    </row>
    <row r="2708">
      <c r="A2708" s="23"/>
      <c r="B2708" s="21"/>
      <c r="C2708" s="23"/>
      <c r="D2708" s="24"/>
      <c r="E2708" s="14"/>
      <c r="F2708" s="14"/>
      <c r="G2708" s="14"/>
      <c r="H2708" s="23"/>
      <c r="I2708" s="23"/>
      <c r="J2708" s="23"/>
      <c r="K2708" s="30"/>
      <c r="L2708" s="23"/>
      <c r="M2708" s="50" t="s">
        <v>10178</v>
      </c>
      <c r="N2708" s="51"/>
      <c r="O2708" s="20"/>
      <c r="P2708" s="20"/>
      <c r="Q2708" s="20"/>
      <c r="R2708" s="20"/>
      <c r="S2708" s="20"/>
    </row>
    <row r="2709">
      <c r="A2709" s="10"/>
      <c r="B2709" s="11"/>
      <c r="C2709" s="10"/>
      <c r="D2709" s="13"/>
      <c r="E2709" s="14"/>
      <c r="F2709" s="14"/>
      <c r="G2709" s="14"/>
      <c r="H2709" s="10"/>
      <c r="I2709" s="10"/>
      <c r="J2709" s="10"/>
      <c r="K2709" s="46"/>
      <c r="L2709" s="10"/>
      <c r="M2709" s="44" t="s">
        <v>10178</v>
      </c>
      <c r="N2709" s="45"/>
      <c r="O2709" s="20"/>
      <c r="P2709" s="20"/>
      <c r="Q2709" s="20"/>
      <c r="R2709" s="20"/>
      <c r="S2709" s="20"/>
    </row>
    <row r="2710">
      <c r="A2710" s="23"/>
      <c r="B2710" s="21"/>
      <c r="C2710" s="23"/>
      <c r="D2710" s="24"/>
      <c r="E2710" s="14"/>
      <c r="F2710" s="14"/>
      <c r="G2710" s="14"/>
      <c r="H2710" s="23"/>
      <c r="I2710" s="23"/>
      <c r="J2710" s="23"/>
      <c r="K2710" s="30"/>
      <c r="L2710" s="23"/>
      <c r="M2710" s="50" t="s">
        <v>10178</v>
      </c>
      <c r="N2710" s="51"/>
      <c r="O2710" s="20"/>
      <c r="P2710" s="20"/>
      <c r="Q2710" s="20"/>
      <c r="R2710" s="20"/>
      <c r="S2710" s="20"/>
    </row>
    <row r="2711">
      <c r="A2711" s="10"/>
      <c r="B2711" s="11"/>
      <c r="C2711" s="10"/>
      <c r="D2711" s="13"/>
      <c r="E2711" s="14"/>
      <c r="F2711" s="14"/>
      <c r="G2711" s="14"/>
      <c r="H2711" s="10"/>
      <c r="I2711" s="10"/>
      <c r="J2711" s="10"/>
      <c r="K2711" s="46"/>
      <c r="L2711" s="10"/>
      <c r="M2711" s="44" t="s">
        <v>10178</v>
      </c>
      <c r="N2711" s="45"/>
      <c r="O2711" s="20"/>
      <c r="P2711" s="20"/>
      <c r="Q2711" s="20"/>
      <c r="R2711" s="20"/>
      <c r="S2711" s="20"/>
    </row>
    <row r="2712">
      <c r="A2712" s="23"/>
      <c r="B2712" s="21"/>
      <c r="C2712" s="23"/>
      <c r="D2712" s="24"/>
      <c r="E2712" s="14"/>
      <c r="F2712" s="14"/>
      <c r="G2712" s="14"/>
      <c r="H2712" s="23"/>
      <c r="I2712" s="23"/>
      <c r="J2712" s="23"/>
      <c r="K2712" s="30"/>
      <c r="L2712" s="23"/>
      <c r="M2712" s="50" t="s">
        <v>10178</v>
      </c>
      <c r="N2712" s="51"/>
      <c r="O2712" s="20"/>
      <c r="P2712" s="20"/>
      <c r="Q2712" s="20"/>
      <c r="R2712" s="20"/>
      <c r="S2712" s="20"/>
    </row>
    <row r="2713">
      <c r="A2713" s="10"/>
      <c r="B2713" s="11"/>
      <c r="C2713" s="10"/>
      <c r="D2713" s="13"/>
      <c r="E2713" s="14"/>
      <c r="F2713" s="14"/>
      <c r="G2713" s="14"/>
      <c r="H2713" s="10"/>
      <c r="I2713" s="10"/>
      <c r="J2713" s="10"/>
      <c r="K2713" s="46"/>
      <c r="L2713" s="10"/>
      <c r="M2713" s="44" t="s">
        <v>10178</v>
      </c>
      <c r="N2713" s="45"/>
      <c r="O2713" s="20"/>
      <c r="P2713" s="20"/>
      <c r="Q2713" s="20"/>
      <c r="R2713" s="20"/>
      <c r="S2713" s="20"/>
    </row>
    <row r="2714">
      <c r="A2714" s="23"/>
      <c r="B2714" s="21"/>
      <c r="C2714" s="23"/>
      <c r="D2714" s="24"/>
      <c r="E2714" s="14"/>
      <c r="F2714" s="14"/>
      <c r="G2714" s="14"/>
      <c r="H2714" s="23"/>
      <c r="I2714" s="23"/>
      <c r="J2714" s="23"/>
      <c r="K2714" s="30"/>
      <c r="L2714" s="23"/>
      <c r="M2714" s="50" t="s">
        <v>10178</v>
      </c>
      <c r="N2714" s="51"/>
      <c r="O2714" s="20"/>
      <c r="P2714" s="20"/>
      <c r="Q2714" s="20"/>
      <c r="R2714" s="20"/>
      <c r="S2714" s="20"/>
    </row>
    <row r="2715">
      <c r="A2715" s="10"/>
      <c r="B2715" s="11"/>
      <c r="C2715" s="10"/>
      <c r="D2715" s="13"/>
      <c r="E2715" s="14"/>
      <c r="F2715" s="14"/>
      <c r="G2715" s="14"/>
      <c r="H2715" s="10"/>
      <c r="I2715" s="10"/>
      <c r="J2715" s="10"/>
      <c r="K2715" s="46"/>
      <c r="L2715" s="10"/>
      <c r="M2715" s="44" t="s">
        <v>10178</v>
      </c>
      <c r="N2715" s="45"/>
      <c r="O2715" s="20"/>
      <c r="P2715" s="20"/>
      <c r="Q2715" s="20"/>
      <c r="R2715" s="20"/>
      <c r="S2715" s="20"/>
    </row>
    <row r="2716">
      <c r="A2716" s="23"/>
      <c r="B2716" s="21"/>
      <c r="C2716" s="23"/>
      <c r="D2716" s="24"/>
      <c r="E2716" s="14"/>
      <c r="F2716" s="14"/>
      <c r="G2716" s="14"/>
      <c r="H2716" s="23"/>
      <c r="I2716" s="23"/>
      <c r="J2716" s="23"/>
      <c r="K2716" s="30"/>
      <c r="L2716" s="23"/>
      <c r="M2716" s="50" t="s">
        <v>10178</v>
      </c>
      <c r="N2716" s="51"/>
      <c r="O2716" s="20"/>
      <c r="P2716" s="20"/>
      <c r="Q2716" s="20"/>
      <c r="R2716" s="20"/>
      <c r="S2716" s="20"/>
    </row>
    <row r="2717">
      <c r="A2717" s="10"/>
      <c r="B2717" s="11"/>
      <c r="C2717" s="10"/>
      <c r="D2717" s="13"/>
      <c r="E2717" s="14"/>
      <c r="F2717" s="14"/>
      <c r="G2717" s="14"/>
      <c r="H2717" s="10"/>
      <c r="I2717" s="10"/>
      <c r="J2717" s="10"/>
      <c r="K2717" s="46"/>
      <c r="L2717" s="10"/>
      <c r="M2717" s="44" t="s">
        <v>10178</v>
      </c>
      <c r="N2717" s="45"/>
      <c r="O2717" s="20"/>
      <c r="P2717" s="20"/>
      <c r="Q2717" s="20"/>
      <c r="R2717" s="20"/>
      <c r="S2717" s="20"/>
    </row>
    <row r="2718">
      <c r="A2718" s="23"/>
      <c r="B2718" s="21"/>
      <c r="C2718" s="23"/>
      <c r="D2718" s="24"/>
      <c r="E2718" s="14"/>
      <c r="F2718" s="14"/>
      <c r="G2718" s="14"/>
      <c r="H2718" s="23"/>
      <c r="I2718" s="23"/>
      <c r="J2718" s="23"/>
      <c r="K2718" s="30"/>
      <c r="L2718" s="23"/>
      <c r="M2718" s="50" t="s">
        <v>10178</v>
      </c>
      <c r="N2718" s="51"/>
      <c r="O2718" s="20"/>
      <c r="P2718" s="20"/>
      <c r="Q2718" s="20"/>
      <c r="R2718" s="20"/>
      <c r="S2718" s="20"/>
    </row>
    <row r="2719">
      <c r="A2719" s="10"/>
      <c r="B2719" s="11"/>
      <c r="C2719" s="10"/>
      <c r="D2719" s="13"/>
      <c r="E2719" s="14"/>
      <c r="F2719" s="14"/>
      <c r="G2719" s="14"/>
      <c r="H2719" s="10"/>
      <c r="I2719" s="10"/>
      <c r="J2719" s="10"/>
      <c r="K2719" s="46"/>
      <c r="L2719" s="10"/>
      <c r="M2719" s="44" t="s">
        <v>10178</v>
      </c>
      <c r="N2719" s="45"/>
      <c r="O2719" s="20"/>
      <c r="P2719" s="20"/>
      <c r="Q2719" s="20"/>
      <c r="R2719" s="20"/>
      <c r="S2719" s="20"/>
    </row>
    <row r="2720">
      <c r="A2720" s="23"/>
      <c r="B2720" s="21"/>
      <c r="C2720" s="23"/>
      <c r="D2720" s="24"/>
      <c r="E2720" s="14"/>
      <c r="F2720" s="14"/>
      <c r="G2720" s="14"/>
      <c r="H2720" s="23"/>
      <c r="I2720" s="23"/>
      <c r="J2720" s="23"/>
      <c r="K2720" s="30"/>
      <c r="L2720" s="23"/>
      <c r="M2720" s="50" t="s">
        <v>10178</v>
      </c>
      <c r="N2720" s="51"/>
      <c r="O2720" s="20"/>
      <c r="P2720" s="20"/>
      <c r="Q2720" s="20"/>
      <c r="R2720" s="20"/>
      <c r="S2720" s="20"/>
    </row>
    <row r="2721">
      <c r="A2721" s="10"/>
      <c r="B2721" s="11"/>
      <c r="C2721" s="10"/>
      <c r="D2721" s="13"/>
      <c r="E2721" s="14"/>
      <c r="F2721" s="14"/>
      <c r="G2721" s="14"/>
      <c r="H2721" s="10"/>
      <c r="I2721" s="10"/>
      <c r="J2721" s="10"/>
      <c r="K2721" s="46"/>
      <c r="L2721" s="10"/>
      <c r="M2721" s="44" t="s">
        <v>10178</v>
      </c>
      <c r="N2721" s="45"/>
      <c r="O2721" s="20"/>
      <c r="P2721" s="20"/>
      <c r="Q2721" s="20"/>
      <c r="R2721" s="20"/>
      <c r="S2721" s="20"/>
    </row>
    <row r="2722">
      <c r="A2722" s="23"/>
      <c r="B2722" s="21"/>
      <c r="C2722" s="23"/>
      <c r="D2722" s="24"/>
      <c r="E2722" s="14"/>
      <c r="F2722" s="14"/>
      <c r="G2722" s="14"/>
      <c r="H2722" s="23"/>
      <c r="I2722" s="23"/>
      <c r="J2722" s="23"/>
      <c r="K2722" s="30"/>
      <c r="L2722" s="23"/>
      <c r="M2722" s="50" t="s">
        <v>10178</v>
      </c>
      <c r="N2722" s="51"/>
      <c r="O2722" s="20"/>
      <c r="P2722" s="20"/>
      <c r="Q2722" s="20"/>
      <c r="R2722" s="20"/>
      <c r="S2722" s="20"/>
    </row>
    <row r="2723">
      <c r="A2723" s="10"/>
      <c r="B2723" s="11"/>
      <c r="C2723" s="10"/>
      <c r="D2723" s="13"/>
      <c r="E2723" s="14"/>
      <c r="F2723" s="14"/>
      <c r="G2723" s="14"/>
      <c r="H2723" s="10"/>
      <c r="I2723" s="10"/>
      <c r="J2723" s="10"/>
      <c r="K2723" s="46"/>
      <c r="L2723" s="10"/>
      <c r="M2723" s="44" t="s">
        <v>10178</v>
      </c>
      <c r="N2723" s="45"/>
      <c r="O2723" s="20"/>
      <c r="P2723" s="20"/>
      <c r="Q2723" s="20"/>
      <c r="R2723" s="20"/>
      <c r="S2723" s="20"/>
    </row>
    <row r="2724">
      <c r="A2724" s="23"/>
      <c r="B2724" s="21"/>
      <c r="C2724" s="23"/>
      <c r="D2724" s="24"/>
      <c r="E2724" s="14"/>
      <c r="F2724" s="14"/>
      <c r="G2724" s="14"/>
      <c r="H2724" s="23"/>
      <c r="I2724" s="23"/>
      <c r="J2724" s="23"/>
      <c r="K2724" s="30"/>
      <c r="L2724" s="23"/>
      <c r="M2724" s="50" t="s">
        <v>10178</v>
      </c>
      <c r="N2724" s="51"/>
      <c r="O2724" s="20"/>
      <c r="P2724" s="20"/>
      <c r="Q2724" s="20"/>
      <c r="R2724" s="20"/>
      <c r="S2724" s="20"/>
    </row>
    <row r="2725">
      <c r="A2725" s="10"/>
      <c r="B2725" s="11"/>
      <c r="C2725" s="10"/>
      <c r="D2725" s="13"/>
      <c r="E2725" s="14"/>
      <c r="F2725" s="14"/>
      <c r="G2725" s="14"/>
      <c r="H2725" s="10"/>
      <c r="I2725" s="10"/>
      <c r="J2725" s="10"/>
      <c r="K2725" s="46"/>
      <c r="L2725" s="10"/>
      <c r="M2725" s="44" t="s">
        <v>10178</v>
      </c>
      <c r="N2725" s="45"/>
      <c r="O2725" s="20"/>
      <c r="P2725" s="20"/>
      <c r="Q2725" s="20"/>
      <c r="R2725" s="20"/>
      <c r="S2725" s="20"/>
    </row>
    <row r="2726">
      <c r="A2726" s="23"/>
      <c r="B2726" s="21"/>
      <c r="C2726" s="23"/>
      <c r="D2726" s="24"/>
      <c r="E2726" s="14"/>
      <c r="F2726" s="14"/>
      <c r="G2726" s="14"/>
      <c r="H2726" s="23"/>
      <c r="I2726" s="23"/>
      <c r="J2726" s="23"/>
      <c r="K2726" s="30"/>
      <c r="L2726" s="23"/>
      <c r="M2726" s="50" t="s">
        <v>10178</v>
      </c>
      <c r="N2726" s="51"/>
      <c r="O2726" s="20"/>
      <c r="P2726" s="20"/>
      <c r="Q2726" s="20"/>
      <c r="R2726" s="20"/>
      <c r="S2726" s="20"/>
    </row>
    <row r="2727">
      <c r="A2727" s="10"/>
      <c r="B2727" s="11"/>
      <c r="C2727" s="10"/>
      <c r="D2727" s="13"/>
      <c r="E2727" s="14"/>
      <c r="F2727" s="14"/>
      <c r="G2727" s="14"/>
      <c r="H2727" s="10"/>
      <c r="I2727" s="10"/>
      <c r="J2727" s="10"/>
      <c r="K2727" s="46"/>
      <c r="L2727" s="10"/>
      <c r="M2727" s="44" t="s">
        <v>10178</v>
      </c>
      <c r="N2727" s="45"/>
      <c r="O2727" s="20"/>
      <c r="P2727" s="20"/>
      <c r="Q2727" s="20"/>
      <c r="R2727" s="20"/>
      <c r="S2727" s="20"/>
    </row>
    <row r="2728">
      <c r="A2728" s="23"/>
      <c r="B2728" s="21"/>
      <c r="C2728" s="23"/>
      <c r="D2728" s="24"/>
      <c r="E2728" s="14"/>
      <c r="F2728" s="14"/>
      <c r="G2728" s="14"/>
      <c r="H2728" s="23"/>
      <c r="I2728" s="23"/>
      <c r="J2728" s="23"/>
      <c r="K2728" s="30"/>
      <c r="L2728" s="23"/>
      <c r="M2728" s="50" t="s">
        <v>10178</v>
      </c>
      <c r="N2728" s="51"/>
      <c r="O2728" s="20"/>
      <c r="P2728" s="20"/>
      <c r="Q2728" s="20"/>
      <c r="R2728" s="20"/>
      <c r="S2728" s="20"/>
    </row>
    <row r="2729">
      <c r="A2729" s="10"/>
      <c r="B2729" s="11"/>
      <c r="C2729" s="10"/>
      <c r="D2729" s="13"/>
      <c r="E2729" s="14"/>
      <c r="F2729" s="14"/>
      <c r="G2729" s="14"/>
      <c r="H2729" s="10"/>
      <c r="I2729" s="10"/>
      <c r="J2729" s="10"/>
      <c r="K2729" s="46"/>
      <c r="L2729" s="10"/>
      <c r="M2729" s="44" t="s">
        <v>10178</v>
      </c>
      <c r="N2729" s="45"/>
      <c r="O2729" s="20"/>
      <c r="P2729" s="20"/>
      <c r="Q2729" s="20"/>
      <c r="R2729" s="20"/>
      <c r="S2729" s="20"/>
    </row>
    <row r="2730">
      <c r="A2730" s="23"/>
      <c r="B2730" s="21"/>
      <c r="C2730" s="23"/>
      <c r="D2730" s="24"/>
      <c r="E2730" s="14"/>
      <c r="F2730" s="14"/>
      <c r="G2730" s="14"/>
      <c r="H2730" s="23"/>
      <c r="I2730" s="23"/>
      <c r="J2730" s="23"/>
      <c r="K2730" s="30"/>
      <c r="L2730" s="23"/>
      <c r="M2730" s="50" t="s">
        <v>10178</v>
      </c>
      <c r="N2730" s="51"/>
      <c r="O2730" s="20"/>
      <c r="P2730" s="20"/>
      <c r="Q2730" s="20"/>
      <c r="R2730" s="20"/>
      <c r="S2730" s="20"/>
    </row>
    <row r="2731">
      <c r="A2731" s="10"/>
      <c r="B2731" s="11"/>
      <c r="C2731" s="10"/>
      <c r="D2731" s="13"/>
      <c r="E2731" s="14"/>
      <c r="F2731" s="14"/>
      <c r="G2731" s="14"/>
      <c r="H2731" s="10"/>
      <c r="I2731" s="10"/>
      <c r="J2731" s="10"/>
      <c r="K2731" s="46"/>
      <c r="L2731" s="10"/>
      <c r="M2731" s="44" t="s">
        <v>10178</v>
      </c>
      <c r="N2731" s="45"/>
      <c r="O2731" s="20"/>
      <c r="P2731" s="20"/>
      <c r="Q2731" s="20"/>
      <c r="R2731" s="20"/>
      <c r="S2731" s="20"/>
    </row>
    <row r="2732">
      <c r="A2732" s="23"/>
      <c r="B2732" s="21"/>
      <c r="C2732" s="23"/>
      <c r="D2732" s="24"/>
      <c r="E2732" s="14"/>
      <c r="F2732" s="14"/>
      <c r="G2732" s="14"/>
      <c r="H2732" s="23"/>
      <c r="I2732" s="23"/>
      <c r="J2732" s="23"/>
      <c r="K2732" s="30"/>
      <c r="L2732" s="23"/>
      <c r="M2732" s="50" t="s">
        <v>10178</v>
      </c>
      <c r="N2732" s="51"/>
      <c r="O2732" s="20"/>
      <c r="P2732" s="20"/>
      <c r="Q2732" s="20"/>
      <c r="R2732" s="20"/>
      <c r="S2732" s="20"/>
    </row>
    <row r="2733">
      <c r="A2733" s="10"/>
      <c r="B2733" s="11"/>
      <c r="C2733" s="10"/>
      <c r="D2733" s="13"/>
      <c r="E2733" s="14"/>
      <c r="F2733" s="14"/>
      <c r="G2733" s="14"/>
      <c r="H2733" s="10"/>
      <c r="I2733" s="10"/>
      <c r="J2733" s="10"/>
      <c r="K2733" s="46"/>
      <c r="L2733" s="10"/>
      <c r="M2733" s="44" t="s">
        <v>10178</v>
      </c>
      <c r="N2733" s="45"/>
      <c r="O2733" s="20"/>
      <c r="P2733" s="20"/>
      <c r="Q2733" s="20"/>
      <c r="R2733" s="20"/>
      <c r="S2733" s="20"/>
    </row>
    <row r="2734">
      <c r="A2734" s="23"/>
      <c r="B2734" s="21"/>
      <c r="C2734" s="23"/>
      <c r="D2734" s="24"/>
      <c r="E2734" s="14"/>
      <c r="F2734" s="14"/>
      <c r="G2734" s="14"/>
      <c r="H2734" s="23"/>
      <c r="I2734" s="23"/>
      <c r="J2734" s="23"/>
      <c r="K2734" s="30"/>
      <c r="L2734" s="23"/>
      <c r="M2734" s="50" t="s">
        <v>10178</v>
      </c>
      <c r="N2734" s="51"/>
      <c r="O2734" s="20"/>
      <c r="P2734" s="20"/>
      <c r="Q2734" s="20"/>
      <c r="R2734" s="20"/>
      <c r="S2734" s="20"/>
    </row>
    <row r="2735">
      <c r="A2735" s="10"/>
      <c r="B2735" s="11"/>
      <c r="C2735" s="10"/>
      <c r="D2735" s="13"/>
      <c r="E2735" s="14"/>
      <c r="F2735" s="14"/>
      <c r="G2735" s="14"/>
      <c r="H2735" s="10"/>
      <c r="I2735" s="10"/>
      <c r="J2735" s="10"/>
      <c r="K2735" s="46"/>
      <c r="L2735" s="10"/>
      <c r="M2735" s="44" t="s">
        <v>10178</v>
      </c>
      <c r="N2735" s="45"/>
      <c r="O2735" s="20"/>
      <c r="P2735" s="20"/>
      <c r="Q2735" s="20"/>
      <c r="R2735" s="20"/>
      <c r="S2735" s="20"/>
    </row>
    <row r="2736">
      <c r="A2736" s="23"/>
      <c r="B2736" s="21"/>
      <c r="C2736" s="23"/>
      <c r="D2736" s="24"/>
      <c r="E2736" s="14"/>
      <c r="F2736" s="14"/>
      <c r="G2736" s="14"/>
      <c r="H2736" s="23"/>
      <c r="I2736" s="23"/>
      <c r="J2736" s="23"/>
      <c r="K2736" s="30"/>
      <c r="L2736" s="23"/>
      <c r="M2736" s="50" t="s">
        <v>10178</v>
      </c>
      <c r="N2736" s="51"/>
      <c r="O2736" s="20"/>
      <c r="P2736" s="20"/>
      <c r="Q2736" s="20"/>
      <c r="R2736" s="20"/>
      <c r="S2736" s="20"/>
    </row>
    <row r="2737">
      <c r="A2737" s="10"/>
      <c r="B2737" s="11"/>
      <c r="C2737" s="10"/>
      <c r="D2737" s="13"/>
      <c r="E2737" s="14"/>
      <c r="F2737" s="14"/>
      <c r="G2737" s="14"/>
      <c r="H2737" s="10"/>
      <c r="I2737" s="10"/>
      <c r="J2737" s="10"/>
      <c r="K2737" s="46"/>
      <c r="L2737" s="10"/>
      <c r="M2737" s="44" t="s">
        <v>10178</v>
      </c>
      <c r="N2737" s="45"/>
      <c r="O2737" s="20"/>
      <c r="P2737" s="20"/>
      <c r="Q2737" s="20"/>
      <c r="R2737" s="20"/>
      <c r="S2737" s="20"/>
    </row>
    <row r="2738">
      <c r="A2738" s="23"/>
      <c r="B2738" s="21"/>
      <c r="C2738" s="23"/>
      <c r="D2738" s="24"/>
      <c r="E2738" s="14"/>
      <c r="F2738" s="14"/>
      <c r="G2738" s="14"/>
      <c r="H2738" s="23"/>
      <c r="I2738" s="23"/>
      <c r="J2738" s="23"/>
      <c r="K2738" s="30"/>
      <c r="L2738" s="23"/>
      <c r="M2738" s="50" t="s">
        <v>10178</v>
      </c>
      <c r="N2738" s="51"/>
      <c r="O2738" s="20"/>
      <c r="P2738" s="20"/>
      <c r="Q2738" s="20"/>
      <c r="R2738" s="20"/>
      <c r="S2738" s="20"/>
    </row>
    <row r="2739">
      <c r="A2739" s="10"/>
      <c r="B2739" s="11"/>
      <c r="C2739" s="10"/>
      <c r="D2739" s="13"/>
      <c r="E2739" s="14"/>
      <c r="F2739" s="14"/>
      <c r="G2739" s="14"/>
      <c r="H2739" s="10"/>
      <c r="I2739" s="10"/>
      <c r="J2739" s="10"/>
      <c r="K2739" s="46"/>
      <c r="L2739" s="10"/>
      <c r="M2739" s="44" t="s">
        <v>10178</v>
      </c>
      <c r="N2739" s="45"/>
      <c r="O2739" s="20"/>
      <c r="P2739" s="20"/>
      <c r="Q2739" s="20"/>
      <c r="R2739" s="20"/>
      <c r="S2739" s="20"/>
    </row>
    <row r="2740">
      <c r="A2740" s="23"/>
      <c r="B2740" s="21"/>
      <c r="C2740" s="23"/>
      <c r="D2740" s="24"/>
      <c r="E2740" s="14"/>
      <c r="F2740" s="14"/>
      <c r="G2740" s="14"/>
      <c r="H2740" s="23"/>
      <c r="I2740" s="23"/>
      <c r="J2740" s="23"/>
      <c r="K2740" s="30"/>
      <c r="L2740" s="23"/>
      <c r="M2740" s="50" t="s">
        <v>10178</v>
      </c>
      <c r="N2740" s="51"/>
      <c r="O2740" s="20"/>
      <c r="P2740" s="20"/>
      <c r="Q2740" s="20"/>
      <c r="R2740" s="20"/>
      <c r="S2740" s="20"/>
    </row>
    <row r="2741">
      <c r="A2741" s="10"/>
      <c r="B2741" s="11"/>
      <c r="C2741" s="10"/>
      <c r="D2741" s="13"/>
      <c r="E2741" s="14"/>
      <c r="F2741" s="14"/>
      <c r="G2741" s="14"/>
      <c r="H2741" s="10"/>
      <c r="I2741" s="10"/>
      <c r="J2741" s="10"/>
      <c r="K2741" s="46"/>
      <c r="L2741" s="10"/>
      <c r="M2741" s="44" t="s">
        <v>10178</v>
      </c>
      <c r="N2741" s="45"/>
      <c r="O2741" s="20"/>
      <c r="P2741" s="20"/>
      <c r="Q2741" s="20"/>
      <c r="R2741" s="20"/>
      <c r="S2741" s="20"/>
    </row>
    <row r="2742">
      <c r="A2742" s="23"/>
      <c r="B2742" s="21"/>
      <c r="C2742" s="23"/>
      <c r="D2742" s="24"/>
      <c r="E2742" s="14"/>
      <c r="F2742" s="14"/>
      <c r="G2742" s="14"/>
      <c r="H2742" s="23"/>
      <c r="I2742" s="23"/>
      <c r="J2742" s="23"/>
      <c r="K2742" s="30"/>
      <c r="L2742" s="23"/>
      <c r="M2742" s="50" t="s">
        <v>10178</v>
      </c>
      <c r="N2742" s="51"/>
      <c r="O2742" s="20"/>
      <c r="P2742" s="20"/>
      <c r="Q2742" s="20"/>
      <c r="R2742" s="20"/>
      <c r="S2742" s="20"/>
    </row>
    <row r="2743">
      <c r="A2743" s="10"/>
      <c r="B2743" s="11"/>
      <c r="C2743" s="10"/>
      <c r="D2743" s="13"/>
      <c r="E2743" s="14"/>
      <c r="F2743" s="14"/>
      <c r="G2743" s="14"/>
      <c r="H2743" s="10"/>
      <c r="I2743" s="10"/>
      <c r="J2743" s="10"/>
      <c r="K2743" s="46"/>
      <c r="L2743" s="10"/>
      <c r="M2743" s="44" t="s">
        <v>10178</v>
      </c>
      <c r="N2743" s="45"/>
      <c r="O2743" s="20"/>
      <c r="P2743" s="20"/>
      <c r="Q2743" s="20"/>
      <c r="R2743" s="20"/>
      <c r="S2743" s="20"/>
    </row>
    <row r="2744">
      <c r="A2744" s="23"/>
      <c r="B2744" s="21"/>
      <c r="C2744" s="23"/>
      <c r="D2744" s="24"/>
      <c r="E2744" s="14"/>
      <c r="F2744" s="14"/>
      <c r="G2744" s="14"/>
      <c r="H2744" s="23"/>
      <c r="I2744" s="23"/>
      <c r="J2744" s="23"/>
      <c r="K2744" s="30"/>
      <c r="L2744" s="23"/>
      <c r="M2744" s="50" t="s">
        <v>10178</v>
      </c>
      <c r="N2744" s="51"/>
      <c r="O2744" s="20"/>
      <c r="P2744" s="20"/>
      <c r="Q2744" s="20"/>
      <c r="R2744" s="20"/>
      <c r="S2744" s="20"/>
    </row>
    <row r="2745">
      <c r="A2745" s="10"/>
      <c r="B2745" s="11"/>
      <c r="C2745" s="10"/>
      <c r="D2745" s="13"/>
      <c r="E2745" s="14"/>
      <c r="F2745" s="14"/>
      <c r="G2745" s="14"/>
      <c r="H2745" s="10"/>
      <c r="I2745" s="10"/>
      <c r="J2745" s="10"/>
      <c r="K2745" s="46"/>
      <c r="L2745" s="10"/>
      <c r="M2745" s="44" t="s">
        <v>10178</v>
      </c>
      <c r="N2745" s="45"/>
      <c r="O2745" s="20"/>
      <c r="P2745" s="20"/>
      <c r="Q2745" s="20"/>
      <c r="R2745" s="20"/>
      <c r="S2745" s="20"/>
    </row>
    <row r="2746">
      <c r="A2746" s="23"/>
      <c r="B2746" s="21"/>
      <c r="C2746" s="23"/>
      <c r="D2746" s="24"/>
      <c r="E2746" s="14"/>
      <c r="F2746" s="14"/>
      <c r="G2746" s="14"/>
      <c r="H2746" s="23"/>
      <c r="I2746" s="23"/>
      <c r="J2746" s="23"/>
      <c r="K2746" s="30"/>
      <c r="L2746" s="23"/>
      <c r="M2746" s="50" t="s">
        <v>10178</v>
      </c>
      <c r="N2746" s="51"/>
      <c r="O2746" s="20"/>
      <c r="P2746" s="20"/>
      <c r="Q2746" s="20"/>
      <c r="R2746" s="20"/>
      <c r="S2746" s="20"/>
    </row>
    <row r="2747">
      <c r="A2747" s="10"/>
      <c r="B2747" s="11"/>
      <c r="C2747" s="10"/>
      <c r="D2747" s="13"/>
      <c r="E2747" s="14"/>
      <c r="F2747" s="14"/>
      <c r="G2747" s="14"/>
      <c r="H2747" s="10"/>
      <c r="I2747" s="10"/>
      <c r="J2747" s="10"/>
      <c r="K2747" s="46"/>
      <c r="L2747" s="10"/>
      <c r="M2747" s="44" t="s">
        <v>10178</v>
      </c>
      <c r="N2747" s="45"/>
      <c r="O2747" s="20"/>
      <c r="P2747" s="20"/>
      <c r="Q2747" s="20"/>
      <c r="R2747" s="20"/>
      <c r="S2747" s="20"/>
    </row>
    <row r="2748">
      <c r="A2748" s="23"/>
      <c r="B2748" s="21"/>
      <c r="C2748" s="23"/>
      <c r="D2748" s="24"/>
      <c r="E2748" s="14"/>
      <c r="F2748" s="14"/>
      <c r="G2748" s="14"/>
      <c r="H2748" s="23"/>
      <c r="I2748" s="23"/>
      <c r="J2748" s="23"/>
      <c r="K2748" s="30"/>
      <c r="L2748" s="23"/>
      <c r="M2748" s="50" t="s">
        <v>10178</v>
      </c>
      <c r="N2748" s="51"/>
      <c r="O2748" s="20"/>
      <c r="P2748" s="20"/>
      <c r="Q2748" s="20"/>
      <c r="R2748" s="20"/>
      <c r="S2748" s="20"/>
    </row>
    <row r="2749">
      <c r="A2749" s="10"/>
      <c r="B2749" s="11"/>
      <c r="C2749" s="10"/>
      <c r="D2749" s="13"/>
      <c r="E2749" s="14"/>
      <c r="F2749" s="14"/>
      <c r="G2749" s="14"/>
      <c r="H2749" s="10"/>
      <c r="I2749" s="10"/>
      <c r="J2749" s="10"/>
      <c r="K2749" s="46"/>
      <c r="L2749" s="10"/>
      <c r="M2749" s="44" t="s">
        <v>10178</v>
      </c>
      <c r="N2749" s="45"/>
      <c r="O2749" s="20"/>
      <c r="P2749" s="20"/>
      <c r="Q2749" s="20"/>
      <c r="R2749" s="20"/>
      <c r="S2749" s="20"/>
    </row>
    <row r="2750">
      <c r="A2750" s="23"/>
      <c r="B2750" s="21"/>
      <c r="C2750" s="23"/>
      <c r="D2750" s="24"/>
      <c r="E2750" s="14"/>
      <c r="F2750" s="14"/>
      <c r="G2750" s="14"/>
      <c r="H2750" s="23"/>
      <c r="I2750" s="23"/>
      <c r="J2750" s="23"/>
      <c r="K2750" s="30"/>
      <c r="L2750" s="23"/>
      <c r="M2750" s="50" t="s">
        <v>10178</v>
      </c>
      <c r="N2750" s="51"/>
      <c r="O2750" s="20"/>
      <c r="P2750" s="20"/>
      <c r="Q2750" s="20"/>
      <c r="R2750" s="20"/>
      <c r="S2750" s="20"/>
    </row>
    <row r="2751">
      <c r="A2751" s="10"/>
      <c r="B2751" s="11"/>
      <c r="C2751" s="10"/>
      <c r="D2751" s="13"/>
      <c r="E2751" s="14"/>
      <c r="F2751" s="14"/>
      <c r="G2751" s="14"/>
      <c r="H2751" s="10"/>
      <c r="I2751" s="10"/>
      <c r="J2751" s="10"/>
      <c r="K2751" s="46"/>
      <c r="L2751" s="10"/>
      <c r="M2751" s="44" t="s">
        <v>10178</v>
      </c>
      <c r="N2751" s="45"/>
      <c r="O2751" s="20"/>
      <c r="P2751" s="20"/>
      <c r="Q2751" s="20"/>
      <c r="R2751" s="20"/>
      <c r="S2751" s="20"/>
    </row>
    <row r="2752">
      <c r="A2752" s="23"/>
      <c r="B2752" s="21"/>
      <c r="C2752" s="23"/>
      <c r="D2752" s="24"/>
      <c r="E2752" s="14"/>
      <c r="F2752" s="14"/>
      <c r="G2752" s="14"/>
      <c r="H2752" s="23"/>
      <c r="I2752" s="23"/>
      <c r="J2752" s="23"/>
      <c r="K2752" s="30"/>
      <c r="L2752" s="23"/>
      <c r="M2752" s="50" t="s">
        <v>10178</v>
      </c>
      <c r="N2752" s="51"/>
      <c r="O2752" s="20"/>
      <c r="P2752" s="20"/>
      <c r="Q2752" s="20"/>
      <c r="R2752" s="20"/>
      <c r="S2752" s="20"/>
    </row>
    <row r="2753">
      <c r="A2753" s="10"/>
      <c r="B2753" s="11"/>
      <c r="C2753" s="10"/>
      <c r="D2753" s="13"/>
      <c r="E2753" s="14"/>
      <c r="F2753" s="14"/>
      <c r="G2753" s="14"/>
      <c r="H2753" s="10"/>
      <c r="I2753" s="10"/>
      <c r="J2753" s="10"/>
      <c r="K2753" s="46"/>
      <c r="L2753" s="10"/>
      <c r="M2753" s="44" t="s">
        <v>10178</v>
      </c>
      <c r="N2753" s="45"/>
      <c r="O2753" s="20"/>
      <c r="P2753" s="20"/>
      <c r="Q2753" s="20"/>
      <c r="R2753" s="20"/>
      <c r="S2753" s="20"/>
    </row>
    <row r="2754">
      <c r="A2754" s="23"/>
      <c r="B2754" s="21"/>
      <c r="C2754" s="23"/>
      <c r="D2754" s="24"/>
      <c r="E2754" s="14"/>
      <c r="F2754" s="14"/>
      <c r="G2754" s="14"/>
      <c r="H2754" s="23"/>
      <c r="I2754" s="23"/>
      <c r="J2754" s="23"/>
      <c r="K2754" s="30"/>
      <c r="L2754" s="23"/>
      <c r="M2754" s="50" t="s">
        <v>10178</v>
      </c>
      <c r="N2754" s="51"/>
      <c r="O2754" s="20"/>
      <c r="P2754" s="20"/>
      <c r="Q2754" s="20"/>
      <c r="R2754" s="20"/>
      <c r="S2754" s="20"/>
    </row>
    <row r="2755">
      <c r="A2755" s="10"/>
      <c r="B2755" s="11"/>
      <c r="C2755" s="10"/>
      <c r="D2755" s="13"/>
      <c r="E2755" s="14"/>
      <c r="F2755" s="14"/>
      <c r="G2755" s="14"/>
      <c r="H2755" s="10"/>
      <c r="I2755" s="10"/>
      <c r="J2755" s="10"/>
      <c r="K2755" s="46"/>
      <c r="L2755" s="10"/>
      <c r="M2755" s="44" t="s">
        <v>10178</v>
      </c>
      <c r="N2755" s="45"/>
      <c r="O2755" s="20"/>
      <c r="P2755" s="20"/>
      <c r="Q2755" s="20"/>
      <c r="R2755" s="20"/>
      <c r="S2755" s="20"/>
    </row>
    <row r="2756">
      <c r="A2756" s="23"/>
      <c r="B2756" s="21"/>
      <c r="C2756" s="23"/>
      <c r="D2756" s="24"/>
      <c r="E2756" s="14"/>
      <c r="F2756" s="14"/>
      <c r="G2756" s="14"/>
      <c r="H2756" s="23"/>
      <c r="I2756" s="23"/>
      <c r="J2756" s="23"/>
      <c r="K2756" s="30"/>
      <c r="L2756" s="23"/>
      <c r="M2756" s="50" t="s">
        <v>10178</v>
      </c>
      <c r="N2756" s="51"/>
      <c r="O2756" s="20"/>
      <c r="P2756" s="20"/>
      <c r="Q2756" s="20"/>
      <c r="R2756" s="20"/>
      <c r="S2756" s="20"/>
    </row>
    <row r="2757">
      <c r="A2757" s="10"/>
      <c r="B2757" s="11"/>
      <c r="C2757" s="10"/>
      <c r="D2757" s="13"/>
      <c r="E2757" s="14"/>
      <c r="F2757" s="14"/>
      <c r="G2757" s="14"/>
      <c r="H2757" s="10"/>
      <c r="I2757" s="10"/>
      <c r="J2757" s="10"/>
      <c r="K2757" s="46"/>
      <c r="L2757" s="10"/>
      <c r="M2757" s="44" t="s">
        <v>10178</v>
      </c>
      <c r="N2757" s="45"/>
      <c r="O2757" s="20"/>
      <c r="P2757" s="20"/>
      <c r="Q2757" s="20"/>
      <c r="R2757" s="20"/>
      <c r="S2757" s="20"/>
    </row>
    <row r="2758">
      <c r="A2758" s="23"/>
      <c r="B2758" s="21"/>
      <c r="C2758" s="23"/>
      <c r="D2758" s="24"/>
      <c r="E2758" s="14"/>
      <c r="F2758" s="14"/>
      <c r="G2758" s="14"/>
      <c r="H2758" s="23"/>
      <c r="I2758" s="23"/>
      <c r="J2758" s="23"/>
      <c r="K2758" s="30"/>
      <c r="L2758" s="23"/>
      <c r="M2758" s="50" t="s">
        <v>10178</v>
      </c>
      <c r="N2758" s="51"/>
      <c r="O2758" s="20"/>
      <c r="P2758" s="20"/>
      <c r="Q2758" s="20"/>
      <c r="R2758" s="20"/>
      <c r="S2758" s="20"/>
    </row>
    <row r="2759">
      <c r="A2759" s="10"/>
      <c r="B2759" s="11"/>
      <c r="C2759" s="10"/>
      <c r="D2759" s="13"/>
      <c r="E2759" s="14"/>
      <c r="F2759" s="14"/>
      <c r="G2759" s="14"/>
      <c r="H2759" s="10"/>
      <c r="I2759" s="10"/>
      <c r="J2759" s="10"/>
      <c r="K2759" s="46"/>
      <c r="L2759" s="10"/>
      <c r="M2759" s="44" t="s">
        <v>10178</v>
      </c>
      <c r="N2759" s="45"/>
      <c r="O2759" s="20"/>
      <c r="P2759" s="20"/>
      <c r="Q2759" s="20"/>
      <c r="R2759" s="20"/>
      <c r="S2759" s="20"/>
    </row>
    <row r="2760">
      <c r="A2760" s="23"/>
      <c r="B2760" s="21"/>
      <c r="C2760" s="23"/>
      <c r="D2760" s="24"/>
      <c r="E2760" s="14"/>
      <c r="F2760" s="14"/>
      <c r="G2760" s="14"/>
      <c r="H2760" s="23"/>
      <c r="I2760" s="23"/>
      <c r="J2760" s="23"/>
      <c r="K2760" s="30"/>
      <c r="L2760" s="23"/>
      <c r="M2760" s="50" t="s">
        <v>10178</v>
      </c>
      <c r="N2760" s="51"/>
      <c r="O2760" s="20"/>
      <c r="P2760" s="20"/>
      <c r="Q2760" s="20"/>
      <c r="R2760" s="20"/>
      <c r="S2760" s="20"/>
    </row>
    <row r="2761">
      <c r="A2761" s="10"/>
      <c r="B2761" s="11"/>
      <c r="C2761" s="10"/>
      <c r="D2761" s="13"/>
      <c r="E2761" s="14"/>
      <c r="F2761" s="14"/>
      <c r="G2761" s="14"/>
      <c r="H2761" s="10"/>
      <c r="I2761" s="10"/>
      <c r="J2761" s="10"/>
      <c r="K2761" s="46"/>
      <c r="L2761" s="10"/>
      <c r="M2761" s="44" t="s">
        <v>10178</v>
      </c>
      <c r="N2761" s="45"/>
      <c r="O2761" s="20"/>
      <c r="P2761" s="20"/>
      <c r="Q2761" s="20"/>
      <c r="R2761" s="20"/>
      <c r="S2761" s="20"/>
    </row>
    <row r="2762">
      <c r="A2762" s="23"/>
      <c r="B2762" s="21"/>
      <c r="C2762" s="23"/>
      <c r="D2762" s="24"/>
      <c r="E2762" s="14"/>
      <c r="F2762" s="14"/>
      <c r="G2762" s="14"/>
      <c r="H2762" s="23"/>
      <c r="I2762" s="23"/>
      <c r="J2762" s="23"/>
      <c r="K2762" s="30"/>
      <c r="L2762" s="23"/>
      <c r="M2762" s="50" t="s">
        <v>10178</v>
      </c>
      <c r="N2762" s="51"/>
      <c r="O2762" s="20"/>
      <c r="P2762" s="20"/>
      <c r="Q2762" s="20"/>
      <c r="R2762" s="20"/>
      <c r="S2762" s="20"/>
    </row>
    <row r="2763">
      <c r="A2763" s="10"/>
      <c r="B2763" s="11"/>
      <c r="C2763" s="10"/>
      <c r="D2763" s="13"/>
      <c r="E2763" s="14"/>
      <c r="F2763" s="14"/>
      <c r="G2763" s="14"/>
      <c r="H2763" s="10"/>
      <c r="I2763" s="10"/>
      <c r="J2763" s="10"/>
      <c r="K2763" s="46"/>
      <c r="L2763" s="10"/>
      <c r="M2763" s="44" t="s">
        <v>10178</v>
      </c>
      <c r="N2763" s="45"/>
      <c r="O2763" s="20"/>
      <c r="P2763" s="20"/>
      <c r="Q2763" s="20"/>
      <c r="R2763" s="20"/>
      <c r="S2763" s="20"/>
    </row>
    <row r="2764">
      <c r="A2764" s="23"/>
      <c r="B2764" s="21"/>
      <c r="C2764" s="23"/>
      <c r="D2764" s="24"/>
      <c r="E2764" s="14"/>
      <c r="F2764" s="14"/>
      <c r="G2764" s="14"/>
      <c r="H2764" s="23"/>
      <c r="I2764" s="23"/>
      <c r="J2764" s="23"/>
      <c r="K2764" s="30"/>
      <c r="L2764" s="23"/>
      <c r="M2764" s="50" t="s">
        <v>10178</v>
      </c>
      <c r="N2764" s="51"/>
      <c r="O2764" s="20"/>
      <c r="P2764" s="20"/>
      <c r="Q2764" s="20"/>
      <c r="R2764" s="20"/>
      <c r="S2764" s="20"/>
    </row>
    <row r="2765">
      <c r="A2765" s="10"/>
      <c r="B2765" s="11"/>
      <c r="C2765" s="10"/>
      <c r="D2765" s="13"/>
      <c r="E2765" s="14"/>
      <c r="F2765" s="14"/>
      <c r="G2765" s="14"/>
      <c r="H2765" s="10"/>
      <c r="I2765" s="10"/>
      <c r="J2765" s="10"/>
      <c r="K2765" s="46"/>
      <c r="L2765" s="10"/>
      <c r="M2765" s="44" t="s">
        <v>10178</v>
      </c>
      <c r="N2765" s="45"/>
      <c r="O2765" s="20"/>
      <c r="P2765" s="20"/>
      <c r="Q2765" s="20"/>
      <c r="R2765" s="20"/>
      <c r="S2765" s="20"/>
    </row>
    <row r="2766">
      <c r="A2766" s="23"/>
      <c r="B2766" s="21"/>
      <c r="C2766" s="23"/>
      <c r="D2766" s="24"/>
      <c r="E2766" s="14"/>
      <c r="F2766" s="14"/>
      <c r="G2766" s="14"/>
      <c r="H2766" s="23"/>
      <c r="I2766" s="23"/>
      <c r="J2766" s="23"/>
      <c r="K2766" s="30"/>
      <c r="L2766" s="23"/>
      <c r="M2766" s="50" t="s">
        <v>10178</v>
      </c>
      <c r="N2766" s="51"/>
      <c r="O2766" s="20"/>
      <c r="P2766" s="20"/>
      <c r="Q2766" s="20"/>
      <c r="R2766" s="20"/>
      <c r="S2766" s="20"/>
    </row>
    <row r="2767">
      <c r="A2767" s="10"/>
      <c r="B2767" s="11"/>
      <c r="C2767" s="10"/>
      <c r="D2767" s="13"/>
      <c r="E2767" s="14"/>
      <c r="F2767" s="14"/>
      <c r="G2767" s="14"/>
      <c r="H2767" s="10"/>
      <c r="I2767" s="10"/>
      <c r="J2767" s="10"/>
      <c r="K2767" s="46"/>
      <c r="L2767" s="10"/>
      <c r="M2767" s="44" t="s">
        <v>10178</v>
      </c>
      <c r="N2767" s="45"/>
      <c r="O2767" s="20"/>
      <c r="P2767" s="20"/>
      <c r="Q2767" s="20"/>
      <c r="R2767" s="20"/>
      <c r="S2767" s="20"/>
    </row>
    <row r="2768">
      <c r="A2768" s="23"/>
      <c r="B2768" s="21"/>
      <c r="C2768" s="23"/>
      <c r="D2768" s="24"/>
      <c r="E2768" s="14"/>
      <c r="F2768" s="14"/>
      <c r="G2768" s="14"/>
      <c r="H2768" s="23"/>
      <c r="I2768" s="23"/>
      <c r="J2768" s="23"/>
      <c r="K2768" s="30"/>
      <c r="L2768" s="23"/>
      <c r="M2768" s="50" t="s">
        <v>10178</v>
      </c>
      <c r="N2768" s="51"/>
      <c r="O2768" s="20"/>
      <c r="P2768" s="20"/>
      <c r="Q2768" s="20"/>
      <c r="R2768" s="20"/>
      <c r="S2768" s="20"/>
    </row>
    <row r="2769">
      <c r="A2769" s="10"/>
      <c r="B2769" s="11"/>
      <c r="C2769" s="10"/>
      <c r="D2769" s="13"/>
      <c r="E2769" s="14"/>
      <c r="F2769" s="14"/>
      <c r="G2769" s="14"/>
      <c r="H2769" s="10"/>
      <c r="I2769" s="10"/>
      <c r="J2769" s="10"/>
      <c r="K2769" s="46"/>
      <c r="L2769" s="10"/>
      <c r="M2769" s="44" t="s">
        <v>10178</v>
      </c>
      <c r="N2769" s="45"/>
      <c r="O2769" s="20"/>
      <c r="P2769" s="20"/>
      <c r="Q2769" s="20"/>
      <c r="R2769" s="20"/>
      <c r="S2769" s="20"/>
    </row>
    <row r="2770">
      <c r="A2770" s="23"/>
      <c r="B2770" s="21"/>
      <c r="C2770" s="23"/>
      <c r="D2770" s="24"/>
      <c r="E2770" s="14"/>
      <c r="F2770" s="14"/>
      <c r="G2770" s="14"/>
      <c r="H2770" s="23"/>
      <c r="I2770" s="23"/>
      <c r="J2770" s="23"/>
      <c r="K2770" s="30"/>
      <c r="L2770" s="23"/>
      <c r="M2770" s="50" t="s">
        <v>10178</v>
      </c>
      <c r="N2770" s="51"/>
      <c r="O2770" s="20"/>
      <c r="P2770" s="20"/>
      <c r="Q2770" s="20"/>
      <c r="R2770" s="20"/>
      <c r="S2770" s="20"/>
    </row>
    <row r="2771">
      <c r="A2771" s="10"/>
      <c r="B2771" s="11"/>
      <c r="C2771" s="10"/>
      <c r="D2771" s="13"/>
      <c r="E2771" s="14"/>
      <c r="F2771" s="14"/>
      <c r="G2771" s="14"/>
      <c r="H2771" s="10"/>
      <c r="I2771" s="10"/>
      <c r="J2771" s="10"/>
      <c r="K2771" s="46"/>
      <c r="L2771" s="10"/>
      <c r="M2771" s="44" t="s">
        <v>10178</v>
      </c>
      <c r="N2771" s="45"/>
      <c r="O2771" s="20"/>
      <c r="P2771" s="20"/>
      <c r="Q2771" s="20"/>
      <c r="R2771" s="20"/>
      <c r="S2771" s="20"/>
    </row>
    <row r="2772">
      <c r="A2772" s="23"/>
      <c r="B2772" s="21"/>
      <c r="C2772" s="23"/>
      <c r="D2772" s="24"/>
      <c r="E2772" s="14"/>
      <c r="F2772" s="14"/>
      <c r="G2772" s="14"/>
      <c r="H2772" s="23"/>
      <c r="I2772" s="23"/>
      <c r="J2772" s="23"/>
      <c r="K2772" s="30"/>
      <c r="L2772" s="23"/>
      <c r="M2772" s="50" t="s">
        <v>10178</v>
      </c>
      <c r="N2772" s="51"/>
      <c r="O2772" s="20"/>
      <c r="P2772" s="20"/>
      <c r="Q2772" s="20"/>
      <c r="R2772" s="20"/>
      <c r="S2772" s="20"/>
    </row>
    <row r="2773">
      <c r="A2773" s="10"/>
      <c r="B2773" s="11"/>
      <c r="C2773" s="10"/>
      <c r="D2773" s="13"/>
      <c r="E2773" s="14"/>
      <c r="F2773" s="14"/>
      <c r="G2773" s="14"/>
      <c r="H2773" s="10"/>
      <c r="I2773" s="10"/>
      <c r="J2773" s="10"/>
      <c r="K2773" s="46"/>
      <c r="L2773" s="10"/>
      <c r="M2773" s="44" t="s">
        <v>10178</v>
      </c>
      <c r="N2773" s="45"/>
      <c r="O2773" s="20"/>
      <c r="P2773" s="20"/>
      <c r="Q2773" s="20"/>
      <c r="R2773" s="20"/>
      <c r="S2773" s="20"/>
    </row>
    <row r="2774">
      <c r="A2774" s="23"/>
      <c r="B2774" s="21"/>
      <c r="C2774" s="23"/>
      <c r="D2774" s="24"/>
      <c r="E2774" s="14"/>
      <c r="F2774" s="14"/>
      <c r="G2774" s="14"/>
      <c r="H2774" s="23"/>
      <c r="I2774" s="23"/>
      <c r="J2774" s="23"/>
      <c r="K2774" s="30"/>
      <c r="L2774" s="23"/>
      <c r="M2774" s="50" t="s">
        <v>10178</v>
      </c>
      <c r="N2774" s="51"/>
      <c r="O2774" s="20"/>
      <c r="P2774" s="20"/>
      <c r="Q2774" s="20"/>
      <c r="R2774" s="20"/>
      <c r="S2774" s="20"/>
    </row>
    <row r="2775">
      <c r="A2775" s="10"/>
      <c r="B2775" s="11"/>
      <c r="C2775" s="10"/>
      <c r="D2775" s="13"/>
      <c r="E2775" s="14"/>
      <c r="F2775" s="14"/>
      <c r="G2775" s="14"/>
      <c r="H2775" s="10"/>
      <c r="I2775" s="10"/>
      <c r="J2775" s="10"/>
      <c r="K2775" s="46"/>
      <c r="L2775" s="10"/>
      <c r="M2775" s="44" t="s">
        <v>10178</v>
      </c>
      <c r="N2775" s="45"/>
      <c r="O2775" s="20"/>
      <c r="P2775" s="20"/>
      <c r="Q2775" s="20"/>
      <c r="R2775" s="20"/>
      <c r="S2775" s="20"/>
    </row>
    <row r="2776">
      <c r="A2776" s="23"/>
      <c r="B2776" s="21"/>
      <c r="C2776" s="23"/>
      <c r="D2776" s="24"/>
      <c r="E2776" s="14"/>
      <c r="F2776" s="14"/>
      <c r="G2776" s="14"/>
      <c r="H2776" s="23"/>
      <c r="I2776" s="23"/>
      <c r="J2776" s="23"/>
      <c r="K2776" s="30"/>
      <c r="L2776" s="23"/>
      <c r="M2776" s="50" t="s">
        <v>10178</v>
      </c>
      <c r="N2776" s="51"/>
      <c r="O2776" s="20"/>
      <c r="P2776" s="20"/>
      <c r="Q2776" s="20"/>
      <c r="R2776" s="20"/>
      <c r="S2776" s="20"/>
    </row>
    <row r="2777">
      <c r="A2777" s="10"/>
      <c r="B2777" s="11"/>
      <c r="C2777" s="10"/>
      <c r="D2777" s="13"/>
      <c r="E2777" s="14"/>
      <c r="F2777" s="14"/>
      <c r="G2777" s="14"/>
      <c r="H2777" s="10"/>
      <c r="I2777" s="10"/>
      <c r="J2777" s="10"/>
      <c r="K2777" s="46"/>
      <c r="L2777" s="10"/>
      <c r="M2777" s="44" t="s">
        <v>10178</v>
      </c>
      <c r="N2777" s="45"/>
      <c r="O2777" s="20"/>
      <c r="P2777" s="20"/>
      <c r="Q2777" s="20"/>
      <c r="R2777" s="20"/>
      <c r="S2777" s="20"/>
    </row>
    <row r="2778">
      <c r="A2778" s="23"/>
      <c r="B2778" s="21"/>
      <c r="C2778" s="23"/>
      <c r="D2778" s="24"/>
      <c r="E2778" s="14"/>
      <c r="F2778" s="14"/>
      <c r="G2778" s="14"/>
      <c r="H2778" s="23"/>
      <c r="I2778" s="23"/>
      <c r="J2778" s="23"/>
      <c r="K2778" s="30"/>
      <c r="L2778" s="23"/>
      <c r="M2778" s="50" t="s">
        <v>10178</v>
      </c>
      <c r="N2778" s="51"/>
      <c r="O2778" s="20"/>
      <c r="P2778" s="20"/>
      <c r="Q2778" s="20"/>
      <c r="R2778" s="20"/>
      <c r="S2778" s="20"/>
    </row>
    <row r="2779">
      <c r="A2779" s="10"/>
      <c r="B2779" s="11"/>
      <c r="C2779" s="10"/>
      <c r="D2779" s="13"/>
      <c r="E2779" s="14"/>
      <c r="F2779" s="14"/>
      <c r="G2779" s="14"/>
      <c r="H2779" s="10"/>
      <c r="I2779" s="10"/>
      <c r="J2779" s="10"/>
      <c r="K2779" s="46"/>
      <c r="L2779" s="10"/>
      <c r="M2779" s="44" t="s">
        <v>10178</v>
      </c>
      <c r="N2779" s="45"/>
      <c r="O2779" s="20"/>
      <c r="P2779" s="20"/>
      <c r="Q2779" s="20"/>
      <c r="R2779" s="20"/>
      <c r="S2779" s="20"/>
    </row>
    <row r="2780">
      <c r="A2780" s="23"/>
      <c r="B2780" s="21"/>
      <c r="C2780" s="23"/>
      <c r="D2780" s="24"/>
      <c r="E2780" s="14"/>
      <c r="F2780" s="14"/>
      <c r="G2780" s="14"/>
      <c r="H2780" s="23"/>
      <c r="I2780" s="23"/>
      <c r="J2780" s="23"/>
      <c r="K2780" s="30"/>
      <c r="L2780" s="23"/>
      <c r="M2780" s="50" t="s">
        <v>10178</v>
      </c>
      <c r="N2780" s="51"/>
      <c r="O2780" s="20"/>
      <c r="P2780" s="20"/>
      <c r="Q2780" s="20"/>
      <c r="R2780" s="20"/>
      <c r="S2780" s="20"/>
    </row>
    <row r="2781">
      <c r="A2781" s="10"/>
      <c r="B2781" s="11"/>
      <c r="C2781" s="10"/>
      <c r="D2781" s="13"/>
      <c r="E2781" s="14"/>
      <c r="F2781" s="14"/>
      <c r="G2781" s="14"/>
      <c r="H2781" s="10"/>
      <c r="I2781" s="10"/>
      <c r="J2781" s="10"/>
      <c r="K2781" s="46"/>
      <c r="L2781" s="10"/>
      <c r="M2781" s="44" t="s">
        <v>10178</v>
      </c>
      <c r="N2781" s="45"/>
      <c r="O2781" s="20"/>
      <c r="P2781" s="20"/>
      <c r="Q2781" s="20"/>
      <c r="R2781" s="20"/>
      <c r="S2781" s="20"/>
    </row>
    <row r="2782">
      <c r="A2782" s="23"/>
      <c r="B2782" s="21"/>
      <c r="C2782" s="23"/>
      <c r="D2782" s="24"/>
      <c r="E2782" s="14"/>
      <c r="F2782" s="14"/>
      <c r="G2782" s="14"/>
      <c r="H2782" s="23"/>
      <c r="I2782" s="23"/>
      <c r="J2782" s="23"/>
      <c r="K2782" s="30"/>
      <c r="L2782" s="23"/>
      <c r="M2782" s="50" t="s">
        <v>10178</v>
      </c>
      <c r="N2782" s="51"/>
      <c r="O2782" s="20"/>
      <c r="P2782" s="20"/>
      <c r="Q2782" s="20"/>
      <c r="R2782" s="20"/>
      <c r="S2782" s="20"/>
    </row>
    <row r="2783">
      <c r="A2783" s="10"/>
      <c r="B2783" s="11"/>
      <c r="C2783" s="10"/>
      <c r="D2783" s="13"/>
      <c r="E2783" s="14"/>
      <c r="F2783" s="14"/>
      <c r="G2783" s="14"/>
      <c r="H2783" s="10"/>
      <c r="I2783" s="10"/>
      <c r="J2783" s="10"/>
      <c r="K2783" s="46"/>
      <c r="L2783" s="10"/>
      <c r="M2783" s="44" t="s">
        <v>10178</v>
      </c>
      <c r="N2783" s="45"/>
      <c r="O2783" s="20"/>
      <c r="P2783" s="20"/>
      <c r="Q2783" s="20"/>
      <c r="R2783" s="20"/>
      <c r="S2783" s="20"/>
    </row>
    <row r="2784">
      <c r="A2784" s="23"/>
      <c r="B2784" s="21"/>
      <c r="C2784" s="23"/>
      <c r="D2784" s="24"/>
      <c r="E2784" s="14"/>
      <c r="F2784" s="14"/>
      <c r="G2784" s="14"/>
      <c r="H2784" s="23"/>
      <c r="I2784" s="23"/>
      <c r="J2784" s="23"/>
      <c r="K2784" s="30"/>
      <c r="L2784" s="23"/>
      <c r="M2784" s="50" t="s">
        <v>10178</v>
      </c>
      <c r="N2784" s="51"/>
      <c r="O2784" s="20"/>
      <c r="P2784" s="20"/>
      <c r="Q2784" s="20"/>
      <c r="R2784" s="20"/>
      <c r="S2784" s="20"/>
    </row>
    <row r="2785">
      <c r="A2785" s="10"/>
      <c r="B2785" s="11"/>
      <c r="C2785" s="10"/>
      <c r="D2785" s="13"/>
      <c r="E2785" s="14"/>
      <c r="F2785" s="14"/>
      <c r="G2785" s="14"/>
      <c r="H2785" s="10"/>
      <c r="I2785" s="10"/>
      <c r="J2785" s="10"/>
      <c r="K2785" s="46"/>
      <c r="L2785" s="10"/>
      <c r="M2785" s="44" t="s">
        <v>10178</v>
      </c>
      <c r="N2785" s="45"/>
      <c r="O2785" s="20"/>
      <c r="P2785" s="20"/>
      <c r="Q2785" s="20"/>
      <c r="R2785" s="20"/>
      <c r="S2785" s="20"/>
    </row>
    <row r="2786">
      <c r="A2786" s="23"/>
      <c r="B2786" s="21"/>
      <c r="C2786" s="23"/>
      <c r="D2786" s="24"/>
      <c r="E2786" s="14"/>
      <c r="F2786" s="14"/>
      <c r="G2786" s="14"/>
      <c r="H2786" s="23"/>
      <c r="I2786" s="23"/>
      <c r="J2786" s="23"/>
      <c r="K2786" s="30"/>
      <c r="L2786" s="23"/>
      <c r="M2786" s="50" t="s">
        <v>10178</v>
      </c>
      <c r="N2786" s="51"/>
      <c r="O2786" s="20"/>
      <c r="P2786" s="20"/>
      <c r="Q2786" s="20"/>
      <c r="R2786" s="20"/>
      <c r="S2786" s="20"/>
    </row>
    <row r="2787">
      <c r="A2787" s="10"/>
      <c r="B2787" s="11"/>
      <c r="C2787" s="10"/>
      <c r="D2787" s="13"/>
      <c r="E2787" s="14"/>
      <c r="F2787" s="14"/>
      <c r="G2787" s="14"/>
      <c r="H2787" s="10"/>
      <c r="I2787" s="10"/>
      <c r="J2787" s="10"/>
      <c r="K2787" s="46"/>
      <c r="L2787" s="10"/>
      <c r="M2787" s="44" t="s">
        <v>10178</v>
      </c>
      <c r="N2787" s="45"/>
      <c r="O2787" s="20"/>
      <c r="P2787" s="20"/>
      <c r="Q2787" s="20"/>
      <c r="R2787" s="20"/>
      <c r="S2787" s="20"/>
    </row>
    <row r="2788">
      <c r="A2788" s="23"/>
      <c r="B2788" s="21"/>
      <c r="C2788" s="23"/>
      <c r="D2788" s="24"/>
      <c r="E2788" s="14"/>
      <c r="F2788" s="14"/>
      <c r="G2788" s="14"/>
      <c r="H2788" s="23"/>
      <c r="I2788" s="23"/>
      <c r="J2788" s="23"/>
      <c r="K2788" s="30"/>
      <c r="L2788" s="23"/>
      <c r="M2788" s="50" t="s">
        <v>10178</v>
      </c>
      <c r="N2788" s="51"/>
      <c r="O2788" s="20"/>
      <c r="P2788" s="20"/>
      <c r="Q2788" s="20"/>
      <c r="R2788" s="20"/>
      <c r="S2788" s="20"/>
    </row>
    <row r="2789">
      <c r="A2789" s="10"/>
      <c r="B2789" s="11"/>
      <c r="C2789" s="10"/>
      <c r="D2789" s="13"/>
      <c r="E2789" s="14"/>
      <c r="F2789" s="14"/>
      <c r="G2789" s="14"/>
      <c r="H2789" s="10"/>
      <c r="I2789" s="10"/>
      <c r="J2789" s="10"/>
      <c r="K2789" s="46"/>
      <c r="L2789" s="10"/>
      <c r="M2789" s="44" t="s">
        <v>10178</v>
      </c>
      <c r="N2789" s="45"/>
      <c r="O2789" s="20"/>
      <c r="P2789" s="20"/>
      <c r="Q2789" s="20"/>
      <c r="R2789" s="20"/>
      <c r="S2789" s="20"/>
    </row>
    <row r="2790">
      <c r="A2790" s="23"/>
      <c r="B2790" s="21"/>
      <c r="C2790" s="23"/>
      <c r="D2790" s="24"/>
      <c r="E2790" s="14"/>
      <c r="F2790" s="14"/>
      <c r="G2790" s="14"/>
      <c r="H2790" s="23"/>
      <c r="I2790" s="23"/>
      <c r="J2790" s="23"/>
      <c r="K2790" s="30"/>
      <c r="L2790" s="23"/>
      <c r="M2790" s="50" t="s">
        <v>10178</v>
      </c>
      <c r="N2790" s="51"/>
      <c r="O2790" s="20"/>
      <c r="P2790" s="20"/>
      <c r="Q2790" s="20"/>
      <c r="R2790" s="20"/>
      <c r="S2790" s="20"/>
    </row>
    <row r="2791">
      <c r="A2791" s="10"/>
      <c r="B2791" s="11"/>
      <c r="C2791" s="10"/>
      <c r="D2791" s="13"/>
      <c r="E2791" s="14"/>
      <c r="F2791" s="14"/>
      <c r="G2791" s="14"/>
      <c r="H2791" s="10"/>
      <c r="I2791" s="10"/>
      <c r="J2791" s="10"/>
      <c r="K2791" s="46"/>
      <c r="L2791" s="10"/>
      <c r="M2791" s="44" t="s">
        <v>10178</v>
      </c>
      <c r="N2791" s="45"/>
      <c r="O2791" s="20"/>
      <c r="P2791" s="20"/>
      <c r="Q2791" s="20"/>
      <c r="R2791" s="20"/>
      <c r="S2791" s="20"/>
    </row>
    <row r="2792">
      <c r="A2792" s="23"/>
      <c r="B2792" s="21"/>
      <c r="C2792" s="23"/>
      <c r="D2792" s="24"/>
      <c r="E2792" s="14"/>
      <c r="F2792" s="14"/>
      <c r="G2792" s="14"/>
      <c r="H2792" s="23"/>
      <c r="I2792" s="23"/>
      <c r="J2792" s="23"/>
      <c r="K2792" s="30"/>
      <c r="L2792" s="23"/>
      <c r="M2792" s="50" t="s">
        <v>10178</v>
      </c>
      <c r="N2792" s="51"/>
      <c r="O2792" s="20"/>
      <c r="P2792" s="20"/>
      <c r="Q2792" s="20"/>
      <c r="R2792" s="20"/>
      <c r="S2792" s="20"/>
    </row>
    <row r="2793">
      <c r="A2793" s="10"/>
      <c r="B2793" s="11"/>
      <c r="C2793" s="10"/>
      <c r="D2793" s="13"/>
      <c r="E2793" s="14"/>
      <c r="F2793" s="14"/>
      <c r="G2793" s="14"/>
      <c r="H2793" s="10"/>
      <c r="I2793" s="10"/>
      <c r="J2793" s="10"/>
      <c r="K2793" s="46"/>
      <c r="L2793" s="10"/>
      <c r="M2793" s="44" t="s">
        <v>10178</v>
      </c>
      <c r="N2793" s="45"/>
      <c r="O2793" s="20"/>
      <c r="P2793" s="20"/>
      <c r="Q2793" s="20"/>
      <c r="R2793" s="20"/>
      <c r="S2793" s="20"/>
    </row>
    <row r="2794">
      <c r="A2794" s="23"/>
      <c r="B2794" s="21"/>
      <c r="C2794" s="23"/>
      <c r="D2794" s="24"/>
      <c r="E2794" s="14"/>
      <c r="F2794" s="14"/>
      <c r="G2794" s="14"/>
      <c r="H2794" s="23"/>
      <c r="I2794" s="23"/>
      <c r="J2794" s="23"/>
      <c r="K2794" s="30"/>
      <c r="L2794" s="23"/>
      <c r="M2794" s="50" t="s">
        <v>10178</v>
      </c>
      <c r="N2794" s="51"/>
      <c r="O2794" s="20"/>
      <c r="P2794" s="20"/>
      <c r="Q2794" s="20"/>
      <c r="R2794" s="20"/>
      <c r="S2794" s="20"/>
    </row>
    <row r="2795">
      <c r="A2795" s="10"/>
      <c r="B2795" s="11"/>
      <c r="C2795" s="10"/>
      <c r="D2795" s="13"/>
      <c r="E2795" s="14"/>
      <c r="F2795" s="14"/>
      <c r="G2795" s="14"/>
      <c r="H2795" s="10"/>
      <c r="I2795" s="10"/>
      <c r="J2795" s="10"/>
      <c r="K2795" s="46"/>
      <c r="L2795" s="10"/>
      <c r="M2795" s="44" t="s">
        <v>10178</v>
      </c>
      <c r="N2795" s="45"/>
      <c r="O2795" s="20"/>
      <c r="P2795" s="20"/>
      <c r="Q2795" s="20"/>
      <c r="R2795" s="20"/>
      <c r="S2795" s="20"/>
    </row>
    <row r="2796">
      <c r="A2796" s="23"/>
      <c r="B2796" s="21"/>
      <c r="C2796" s="23"/>
      <c r="D2796" s="24"/>
      <c r="E2796" s="14"/>
      <c r="F2796" s="14"/>
      <c r="G2796" s="14"/>
      <c r="H2796" s="23"/>
      <c r="I2796" s="23"/>
      <c r="J2796" s="23"/>
      <c r="K2796" s="30"/>
      <c r="L2796" s="23"/>
      <c r="M2796" s="50" t="s">
        <v>10178</v>
      </c>
      <c r="N2796" s="51"/>
      <c r="O2796" s="20"/>
      <c r="P2796" s="20"/>
      <c r="Q2796" s="20"/>
      <c r="R2796" s="20"/>
      <c r="S2796" s="20"/>
    </row>
    <row r="2797">
      <c r="A2797" s="10"/>
      <c r="B2797" s="11"/>
      <c r="C2797" s="10"/>
      <c r="D2797" s="13"/>
      <c r="E2797" s="14"/>
      <c r="F2797" s="14"/>
      <c r="G2797" s="14"/>
      <c r="H2797" s="10"/>
      <c r="I2797" s="10"/>
      <c r="J2797" s="10"/>
      <c r="K2797" s="46"/>
      <c r="L2797" s="10"/>
      <c r="M2797" s="44" t="s">
        <v>10178</v>
      </c>
      <c r="N2797" s="45"/>
      <c r="O2797" s="20"/>
      <c r="P2797" s="20"/>
      <c r="Q2797" s="20"/>
      <c r="R2797" s="20"/>
      <c r="S2797" s="20"/>
    </row>
    <row r="2798">
      <c r="A2798" s="23"/>
      <c r="B2798" s="21"/>
      <c r="C2798" s="23"/>
      <c r="D2798" s="24"/>
      <c r="E2798" s="14"/>
      <c r="F2798" s="14"/>
      <c r="G2798" s="14"/>
      <c r="H2798" s="23"/>
      <c r="I2798" s="23"/>
      <c r="J2798" s="23"/>
      <c r="K2798" s="30"/>
      <c r="L2798" s="23"/>
      <c r="M2798" s="50" t="s">
        <v>10178</v>
      </c>
      <c r="N2798" s="51"/>
      <c r="O2798" s="20"/>
      <c r="P2798" s="20"/>
      <c r="Q2798" s="20"/>
      <c r="R2798" s="20"/>
      <c r="S2798" s="20"/>
    </row>
    <row r="2799">
      <c r="A2799" s="10"/>
      <c r="B2799" s="11"/>
      <c r="C2799" s="10"/>
      <c r="D2799" s="13"/>
      <c r="E2799" s="14"/>
      <c r="F2799" s="14"/>
      <c r="G2799" s="14"/>
      <c r="H2799" s="10"/>
      <c r="I2799" s="10"/>
      <c r="J2799" s="10"/>
      <c r="K2799" s="46"/>
      <c r="L2799" s="10"/>
      <c r="M2799" s="44" t="s">
        <v>10178</v>
      </c>
      <c r="N2799" s="45"/>
      <c r="O2799" s="20"/>
      <c r="P2799" s="20"/>
      <c r="Q2799" s="20"/>
      <c r="R2799" s="20"/>
      <c r="S2799" s="20"/>
    </row>
    <row r="2800">
      <c r="A2800" s="23"/>
      <c r="B2800" s="21"/>
      <c r="C2800" s="23"/>
      <c r="D2800" s="24"/>
      <c r="E2800" s="14"/>
      <c r="F2800" s="14"/>
      <c r="G2800" s="14"/>
      <c r="H2800" s="23"/>
      <c r="I2800" s="23"/>
      <c r="J2800" s="23"/>
      <c r="K2800" s="30"/>
      <c r="L2800" s="23"/>
      <c r="M2800" s="50" t="s">
        <v>10178</v>
      </c>
      <c r="N2800" s="51"/>
      <c r="O2800" s="20"/>
      <c r="P2800" s="20"/>
      <c r="Q2800" s="20"/>
      <c r="R2800" s="20"/>
      <c r="S2800" s="20"/>
    </row>
    <row r="2801">
      <c r="A2801" s="10"/>
      <c r="B2801" s="11"/>
      <c r="C2801" s="10"/>
      <c r="D2801" s="13"/>
      <c r="E2801" s="14"/>
      <c r="F2801" s="14"/>
      <c r="G2801" s="14"/>
      <c r="H2801" s="10"/>
      <c r="I2801" s="10"/>
      <c r="J2801" s="10"/>
      <c r="K2801" s="46"/>
      <c r="L2801" s="10"/>
      <c r="M2801" s="44" t="s">
        <v>10178</v>
      </c>
      <c r="N2801" s="45"/>
      <c r="O2801" s="20"/>
      <c r="P2801" s="20"/>
      <c r="Q2801" s="20"/>
      <c r="R2801" s="20"/>
      <c r="S2801" s="20"/>
    </row>
    <row r="2802">
      <c r="A2802" s="23"/>
      <c r="B2802" s="21"/>
      <c r="C2802" s="23"/>
      <c r="D2802" s="24"/>
      <c r="E2802" s="14"/>
      <c r="F2802" s="14"/>
      <c r="G2802" s="14"/>
      <c r="H2802" s="23"/>
      <c r="I2802" s="23"/>
      <c r="J2802" s="23"/>
      <c r="K2802" s="30"/>
      <c r="L2802" s="23"/>
      <c r="M2802" s="50" t="s">
        <v>10178</v>
      </c>
      <c r="N2802" s="51"/>
      <c r="O2802" s="20"/>
      <c r="P2802" s="20"/>
      <c r="Q2802" s="20"/>
      <c r="R2802" s="20"/>
      <c r="S2802" s="20"/>
    </row>
    <row r="2803">
      <c r="A2803" s="10"/>
      <c r="B2803" s="11"/>
      <c r="C2803" s="10"/>
      <c r="D2803" s="13"/>
      <c r="E2803" s="14"/>
      <c r="F2803" s="14"/>
      <c r="G2803" s="14"/>
      <c r="H2803" s="10"/>
      <c r="I2803" s="10"/>
      <c r="J2803" s="10"/>
      <c r="K2803" s="46"/>
      <c r="L2803" s="10"/>
      <c r="M2803" s="44" t="s">
        <v>10178</v>
      </c>
      <c r="N2803" s="45"/>
      <c r="O2803" s="20"/>
      <c r="P2803" s="20"/>
      <c r="Q2803" s="20"/>
      <c r="R2803" s="20"/>
      <c r="S2803" s="20"/>
    </row>
    <row r="2804">
      <c r="A2804" s="23"/>
      <c r="B2804" s="21"/>
      <c r="C2804" s="23"/>
      <c r="D2804" s="24"/>
      <c r="E2804" s="14"/>
      <c r="F2804" s="14"/>
      <c r="G2804" s="14"/>
      <c r="H2804" s="23"/>
      <c r="I2804" s="23"/>
      <c r="J2804" s="23"/>
      <c r="K2804" s="30"/>
      <c r="L2804" s="23"/>
      <c r="M2804" s="50" t="s">
        <v>10178</v>
      </c>
      <c r="N2804" s="51"/>
      <c r="O2804" s="20"/>
      <c r="P2804" s="20"/>
      <c r="Q2804" s="20"/>
      <c r="R2804" s="20"/>
      <c r="S2804" s="20"/>
    </row>
    <row r="2805">
      <c r="A2805" s="10"/>
      <c r="B2805" s="11"/>
      <c r="C2805" s="10"/>
      <c r="D2805" s="13"/>
      <c r="E2805" s="14"/>
      <c r="F2805" s="14"/>
      <c r="G2805" s="14"/>
      <c r="H2805" s="10"/>
      <c r="I2805" s="10"/>
      <c r="J2805" s="10"/>
      <c r="K2805" s="46"/>
      <c r="L2805" s="10"/>
      <c r="M2805" s="44" t="s">
        <v>10178</v>
      </c>
      <c r="N2805" s="45"/>
      <c r="O2805" s="20"/>
      <c r="P2805" s="20"/>
      <c r="Q2805" s="20"/>
      <c r="R2805" s="20"/>
      <c r="S2805" s="20"/>
    </row>
    <row r="2806">
      <c r="A2806" s="23"/>
      <c r="B2806" s="21"/>
      <c r="C2806" s="23"/>
      <c r="D2806" s="24"/>
      <c r="E2806" s="14"/>
      <c r="F2806" s="14"/>
      <c r="G2806" s="14"/>
      <c r="H2806" s="23"/>
      <c r="I2806" s="23"/>
      <c r="J2806" s="23"/>
      <c r="K2806" s="30"/>
      <c r="L2806" s="23"/>
      <c r="M2806" s="50" t="s">
        <v>10178</v>
      </c>
      <c r="N2806" s="51"/>
      <c r="O2806" s="20"/>
      <c r="P2806" s="20"/>
      <c r="Q2806" s="20"/>
      <c r="R2806" s="20"/>
      <c r="S2806" s="20"/>
    </row>
    <row r="2807">
      <c r="A2807" s="10"/>
      <c r="B2807" s="11"/>
      <c r="C2807" s="10"/>
      <c r="D2807" s="13"/>
      <c r="E2807" s="14"/>
      <c r="F2807" s="14"/>
      <c r="G2807" s="14"/>
      <c r="H2807" s="10"/>
      <c r="I2807" s="10"/>
      <c r="J2807" s="10"/>
      <c r="K2807" s="46"/>
      <c r="L2807" s="10"/>
      <c r="M2807" s="44" t="s">
        <v>10178</v>
      </c>
      <c r="N2807" s="45"/>
      <c r="O2807" s="20"/>
      <c r="P2807" s="20"/>
      <c r="Q2807" s="20"/>
      <c r="R2807" s="20"/>
      <c r="S2807" s="20"/>
    </row>
    <row r="2808">
      <c r="A2808" s="23"/>
      <c r="B2808" s="21"/>
      <c r="C2808" s="23"/>
      <c r="D2808" s="24"/>
      <c r="E2808" s="14"/>
      <c r="F2808" s="14"/>
      <c r="G2808" s="14"/>
      <c r="H2808" s="23"/>
      <c r="I2808" s="23"/>
      <c r="J2808" s="23"/>
      <c r="K2808" s="30"/>
      <c r="L2808" s="23"/>
      <c r="M2808" s="50" t="s">
        <v>10178</v>
      </c>
      <c r="N2808" s="51"/>
      <c r="O2808" s="20"/>
      <c r="P2808" s="20"/>
      <c r="Q2808" s="20"/>
      <c r="R2808" s="20"/>
      <c r="S2808" s="20"/>
    </row>
    <row r="2809">
      <c r="A2809" s="10"/>
      <c r="B2809" s="11"/>
      <c r="C2809" s="10"/>
      <c r="D2809" s="13"/>
      <c r="E2809" s="14"/>
      <c r="F2809" s="14"/>
      <c r="G2809" s="14"/>
      <c r="H2809" s="10"/>
      <c r="I2809" s="10"/>
      <c r="J2809" s="10"/>
      <c r="K2809" s="46"/>
      <c r="L2809" s="10"/>
      <c r="M2809" s="44" t="s">
        <v>10178</v>
      </c>
      <c r="N2809" s="45"/>
      <c r="O2809" s="20"/>
      <c r="P2809" s="20"/>
      <c r="Q2809" s="20"/>
      <c r="R2809" s="20"/>
      <c r="S2809" s="20"/>
    </row>
    <row r="2810">
      <c r="A2810" s="23"/>
      <c r="B2810" s="21"/>
      <c r="C2810" s="23"/>
      <c r="D2810" s="24"/>
      <c r="E2810" s="14"/>
      <c r="F2810" s="14"/>
      <c r="G2810" s="14"/>
      <c r="H2810" s="23"/>
      <c r="I2810" s="23"/>
      <c r="J2810" s="23"/>
      <c r="K2810" s="30"/>
      <c r="L2810" s="23"/>
      <c r="M2810" s="50" t="s">
        <v>10178</v>
      </c>
      <c r="N2810" s="51"/>
      <c r="O2810" s="20"/>
      <c r="P2810" s="20"/>
      <c r="Q2810" s="20"/>
      <c r="R2810" s="20"/>
      <c r="S2810" s="20"/>
    </row>
    <row r="2811">
      <c r="A2811" s="10"/>
      <c r="B2811" s="11"/>
      <c r="C2811" s="10"/>
      <c r="D2811" s="13"/>
      <c r="E2811" s="14"/>
      <c r="F2811" s="14"/>
      <c r="G2811" s="14"/>
      <c r="H2811" s="10"/>
      <c r="I2811" s="10"/>
      <c r="J2811" s="10"/>
      <c r="K2811" s="46"/>
      <c r="L2811" s="10"/>
      <c r="M2811" s="44" t="s">
        <v>10178</v>
      </c>
      <c r="N2811" s="45"/>
      <c r="O2811" s="20"/>
      <c r="P2811" s="20"/>
      <c r="Q2811" s="20"/>
      <c r="R2811" s="20"/>
      <c r="S2811" s="20"/>
    </row>
    <row r="2812">
      <c r="A2812" s="23"/>
      <c r="B2812" s="21"/>
      <c r="C2812" s="23"/>
      <c r="D2812" s="24"/>
      <c r="E2812" s="14"/>
      <c r="F2812" s="14"/>
      <c r="G2812" s="14"/>
      <c r="H2812" s="23"/>
      <c r="I2812" s="23"/>
      <c r="J2812" s="23"/>
      <c r="K2812" s="30"/>
      <c r="L2812" s="23"/>
      <c r="M2812" s="50" t="s">
        <v>10178</v>
      </c>
      <c r="N2812" s="51"/>
      <c r="O2812" s="20"/>
      <c r="P2812" s="20"/>
      <c r="Q2812" s="20"/>
      <c r="R2812" s="20"/>
      <c r="S2812" s="20"/>
    </row>
    <row r="2813">
      <c r="A2813" s="10"/>
      <c r="B2813" s="11"/>
      <c r="C2813" s="10"/>
      <c r="D2813" s="13"/>
      <c r="E2813" s="14"/>
      <c r="F2813" s="14"/>
      <c r="G2813" s="14"/>
      <c r="H2813" s="10"/>
      <c r="I2813" s="10"/>
      <c r="J2813" s="10"/>
      <c r="K2813" s="46"/>
      <c r="L2813" s="10"/>
      <c r="M2813" s="44" t="s">
        <v>10178</v>
      </c>
      <c r="N2813" s="45"/>
      <c r="O2813" s="20"/>
      <c r="P2813" s="20"/>
      <c r="Q2813" s="20"/>
      <c r="R2813" s="20"/>
      <c r="S2813" s="20"/>
    </row>
    <row r="2814">
      <c r="A2814" s="23"/>
      <c r="B2814" s="21"/>
      <c r="C2814" s="23"/>
      <c r="D2814" s="24"/>
      <c r="E2814" s="14"/>
      <c r="F2814" s="14"/>
      <c r="G2814" s="14"/>
      <c r="H2814" s="23"/>
      <c r="I2814" s="23"/>
      <c r="J2814" s="23"/>
      <c r="K2814" s="30"/>
      <c r="L2814" s="23"/>
      <c r="M2814" s="50" t="s">
        <v>10178</v>
      </c>
      <c r="N2814" s="51"/>
      <c r="O2814" s="20"/>
      <c r="P2814" s="20"/>
      <c r="Q2814" s="20"/>
      <c r="R2814" s="20"/>
      <c r="S2814" s="20"/>
    </row>
    <row r="2815">
      <c r="A2815" s="10"/>
      <c r="B2815" s="11"/>
      <c r="C2815" s="10"/>
      <c r="D2815" s="13"/>
      <c r="E2815" s="14"/>
      <c r="F2815" s="14"/>
      <c r="G2815" s="14"/>
      <c r="H2815" s="10"/>
      <c r="I2815" s="10"/>
      <c r="J2815" s="10"/>
      <c r="K2815" s="46"/>
      <c r="L2815" s="10"/>
      <c r="M2815" s="44" t="s">
        <v>10178</v>
      </c>
      <c r="N2815" s="45"/>
      <c r="O2815" s="20"/>
      <c r="P2815" s="20"/>
      <c r="Q2815" s="20"/>
      <c r="R2815" s="20"/>
      <c r="S2815" s="20"/>
    </row>
    <row r="2816">
      <c r="A2816" s="23"/>
      <c r="B2816" s="21"/>
      <c r="C2816" s="23"/>
      <c r="D2816" s="24"/>
      <c r="E2816" s="14"/>
      <c r="F2816" s="14"/>
      <c r="G2816" s="14"/>
      <c r="H2816" s="23"/>
      <c r="I2816" s="23"/>
      <c r="J2816" s="23"/>
      <c r="K2816" s="30"/>
      <c r="L2816" s="23"/>
      <c r="M2816" s="50" t="s">
        <v>10178</v>
      </c>
      <c r="N2816" s="51"/>
      <c r="O2816" s="20"/>
      <c r="P2816" s="20"/>
      <c r="Q2816" s="20"/>
      <c r="R2816" s="20"/>
      <c r="S2816" s="20"/>
    </row>
    <row r="2817">
      <c r="A2817" s="10"/>
      <c r="B2817" s="11"/>
      <c r="C2817" s="10"/>
      <c r="D2817" s="13"/>
      <c r="E2817" s="14"/>
      <c r="F2817" s="14"/>
      <c r="G2817" s="14"/>
      <c r="H2817" s="10"/>
      <c r="I2817" s="10"/>
      <c r="J2817" s="10"/>
      <c r="K2817" s="46"/>
      <c r="L2817" s="10"/>
      <c r="M2817" s="44" t="s">
        <v>10178</v>
      </c>
      <c r="N2817" s="45"/>
      <c r="O2817" s="20"/>
      <c r="P2817" s="20"/>
      <c r="Q2817" s="20"/>
      <c r="R2817" s="20"/>
      <c r="S2817" s="20"/>
    </row>
    <row r="2818">
      <c r="A2818" s="23"/>
      <c r="B2818" s="21"/>
      <c r="C2818" s="23"/>
      <c r="D2818" s="24"/>
      <c r="E2818" s="14"/>
      <c r="F2818" s="14"/>
      <c r="G2818" s="14"/>
      <c r="H2818" s="23"/>
      <c r="I2818" s="23"/>
      <c r="J2818" s="23"/>
      <c r="K2818" s="30"/>
      <c r="L2818" s="23"/>
      <c r="M2818" s="50" t="s">
        <v>10178</v>
      </c>
      <c r="N2818" s="51"/>
      <c r="O2818" s="20"/>
      <c r="P2818" s="20"/>
      <c r="Q2818" s="20"/>
      <c r="R2818" s="20"/>
      <c r="S2818" s="20"/>
    </row>
    <row r="2819">
      <c r="A2819" s="10"/>
      <c r="B2819" s="11"/>
      <c r="C2819" s="10"/>
      <c r="D2819" s="13"/>
      <c r="E2819" s="14"/>
      <c r="F2819" s="14"/>
      <c r="G2819" s="14"/>
      <c r="H2819" s="10"/>
      <c r="I2819" s="10"/>
      <c r="J2819" s="10"/>
      <c r="K2819" s="46"/>
      <c r="L2819" s="10"/>
      <c r="M2819" s="44" t="s">
        <v>10178</v>
      </c>
      <c r="N2819" s="45"/>
      <c r="O2819" s="20"/>
      <c r="P2819" s="20"/>
      <c r="Q2819" s="20"/>
      <c r="R2819" s="20"/>
      <c r="S2819" s="20"/>
    </row>
    <row r="2820">
      <c r="A2820" s="23"/>
      <c r="B2820" s="21"/>
      <c r="C2820" s="23"/>
      <c r="D2820" s="24"/>
      <c r="E2820" s="14"/>
      <c r="F2820" s="14"/>
      <c r="G2820" s="14"/>
      <c r="H2820" s="23"/>
      <c r="I2820" s="23"/>
      <c r="J2820" s="23"/>
      <c r="K2820" s="30"/>
      <c r="L2820" s="23"/>
      <c r="M2820" s="50" t="s">
        <v>10178</v>
      </c>
      <c r="N2820" s="51"/>
      <c r="O2820" s="20"/>
      <c r="P2820" s="20"/>
      <c r="Q2820" s="20"/>
      <c r="R2820" s="20"/>
      <c r="S2820" s="20"/>
    </row>
    <row r="2821">
      <c r="A2821" s="10"/>
      <c r="B2821" s="11"/>
      <c r="C2821" s="10"/>
      <c r="D2821" s="13"/>
      <c r="E2821" s="14"/>
      <c r="F2821" s="14"/>
      <c r="G2821" s="14"/>
      <c r="H2821" s="10"/>
      <c r="I2821" s="10"/>
      <c r="J2821" s="10"/>
      <c r="K2821" s="46"/>
      <c r="L2821" s="10"/>
      <c r="M2821" s="44" t="s">
        <v>10178</v>
      </c>
      <c r="N2821" s="45"/>
      <c r="O2821" s="20"/>
      <c r="P2821" s="20"/>
      <c r="Q2821" s="20"/>
      <c r="R2821" s="20"/>
      <c r="S2821" s="20"/>
    </row>
    <row r="2822">
      <c r="A2822" s="23"/>
      <c r="B2822" s="21"/>
      <c r="C2822" s="23"/>
      <c r="D2822" s="24"/>
      <c r="E2822" s="14"/>
      <c r="F2822" s="14"/>
      <c r="G2822" s="14"/>
      <c r="H2822" s="23"/>
      <c r="I2822" s="23"/>
      <c r="J2822" s="23"/>
      <c r="K2822" s="30"/>
      <c r="L2822" s="23"/>
      <c r="M2822" s="50" t="s">
        <v>10178</v>
      </c>
      <c r="N2822" s="51"/>
      <c r="O2822" s="20"/>
      <c r="P2822" s="20"/>
      <c r="Q2822" s="20"/>
      <c r="R2822" s="20"/>
      <c r="S2822" s="20"/>
    </row>
    <row r="2823">
      <c r="A2823" s="10"/>
      <c r="B2823" s="11"/>
      <c r="C2823" s="10"/>
      <c r="D2823" s="13"/>
      <c r="E2823" s="14"/>
      <c r="F2823" s="14"/>
      <c r="G2823" s="14"/>
      <c r="H2823" s="10"/>
      <c r="I2823" s="10"/>
      <c r="J2823" s="10"/>
      <c r="K2823" s="46"/>
      <c r="L2823" s="10"/>
      <c r="M2823" s="44" t="s">
        <v>10178</v>
      </c>
      <c r="N2823" s="45"/>
      <c r="O2823" s="20"/>
      <c r="P2823" s="20"/>
      <c r="Q2823" s="20"/>
      <c r="R2823" s="20"/>
      <c r="S2823" s="20"/>
    </row>
    <row r="2824">
      <c r="A2824" s="23"/>
      <c r="B2824" s="21"/>
      <c r="C2824" s="23"/>
      <c r="D2824" s="24"/>
      <c r="E2824" s="14"/>
      <c r="F2824" s="14"/>
      <c r="G2824" s="14"/>
      <c r="H2824" s="23"/>
      <c r="I2824" s="23"/>
      <c r="J2824" s="23"/>
      <c r="K2824" s="30"/>
      <c r="L2824" s="23"/>
      <c r="M2824" s="50" t="s">
        <v>10178</v>
      </c>
      <c r="N2824" s="51"/>
      <c r="O2824" s="20"/>
      <c r="P2824" s="20"/>
      <c r="Q2824" s="20"/>
      <c r="R2824" s="20"/>
      <c r="S2824" s="20"/>
    </row>
    <row r="2825">
      <c r="A2825" s="10"/>
      <c r="B2825" s="11"/>
      <c r="C2825" s="10"/>
      <c r="D2825" s="13"/>
      <c r="E2825" s="14"/>
      <c r="F2825" s="14"/>
      <c r="G2825" s="14"/>
      <c r="H2825" s="10"/>
      <c r="I2825" s="10"/>
      <c r="J2825" s="10"/>
      <c r="K2825" s="46"/>
      <c r="L2825" s="10"/>
      <c r="M2825" s="44" t="s">
        <v>10178</v>
      </c>
      <c r="N2825" s="45"/>
      <c r="O2825" s="20"/>
      <c r="P2825" s="20"/>
      <c r="Q2825" s="20"/>
      <c r="R2825" s="20"/>
      <c r="S2825" s="20"/>
    </row>
    <row r="2826">
      <c r="A2826" s="23"/>
      <c r="B2826" s="21"/>
      <c r="C2826" s="23"/>
      <c r="D2826" s="24"/>
      <c r="E2826" s="14"/>
      <c r="F2826" s="14"/>
      <c r="G2826" s="14"/>
      <c r="H2826" s="23"/>
      <c r="I2826" s="23"/>
      <c r="J2826" s="23"/>
      <c r="K2826" s="30"/>
      <c r="L2826" s="23"/>
      <c r="M2826" s="50" t="s">
        <v>10178</v>
      </c>
      <c r="N2826" s="51"/>
      <c r="O2826" s="20"/>
      <c r="P2826" s="20"/>
      <c r="Q2826" s="20"/>
      <c r="R2826" s="20"/>
      <c r="S2826" s="20"/>
    </row>
    <row r="2827">
      <c r="A2827" s="10"/>
      <c r="B2827" s="11"/>
      <c r="C2827" s="10"/>
      <c r="D2827" s="13"/>
      <c r="E2827" s="14"/>
      <c r="F2827" s="14"/>
      <c r="G2827" s="14"/>
      <c r="H2827" s="10"/>
      <c r="I2827" s="10"/>
      <c r="J2827" s="10"/>
      <c r="K2827" s="46"/>
      <c r="L2827" s="10"/>
      <c r="M2827" s="44" t="s">
        <v>10178</v>
      </c>
      <c r="N2827" s="45"/>
      <c r="O2827" s="20"/>
      <c r="P2827" s="20"/>
      <c r="Q2827" s="20"/>
      <c r="R2827" s="20"/>
      <c r="S2827" s="20"/>
    </row>
    <row r="2828">
      <c r="A2828" s="23"/>
      <c r="B2828" s="21"/>
      <c r="C2828" s="23"/>
      <c r="D2828" s="24"/>
      <c r="E2828" s="14"/>
      <c r="F2828" s="14"/>
      <c r="G2828" s="14"/>
      <c r="H2828" s="23"/>
      <c r="I2828" s="23"/>
      <c r="J2828" s="23"/>
      <c r="K2828" s="30"/>
      <c r="L2828" s="23"/>
      <c r="M2828" s="50" t="s">
        <v>10178</v>
      </c>
      <c r="N2828" s="51"/>
      <c r="O2828" s="20"/>
      <c r="P2828" s="20"/>
      <c r="Q2828" s="20"/>
      <c r="R2828" s="20"/>
      <c r="S2828" s="20"/>
    </row>
    <row r="2829">
      <c r="A2829" s="10"/>
      <c r="B2829" s="11"/>
      <c r="C2829" s="10"/>
      <c r="D2829" s="13"/>
      <c r="E2829" s="14"/>
      <c r="F2829" s="14"/>
      <c r="G2829" s="14"/>
      <c r="H2829" s="10"/>
      <c r="I2829" s="10"/>
      <c r="J2829" s="10"/>
      <c r="K2829" s="46"/>
      <c r="L2829" s="10"/>
      <c r="M2829" s="44" t="s">
        <v>10178</v>
      </c>
      <c r="N2829" s="45"/>
      <c r="O2829" s="20"/>
      <c r="P2829" s="20"/>
      <c r="Q2829" s="20"/>
      <c r="R2829" s="20"/>
      <c r="S2829" s="20"/>
    </row>
    <row r="2830">
      <c r="A2830" s="23"/>
      <c r="B2830" s="21"/>
      <c r="C2830" s="23"/>
      <c r="D2830" s="24"/>
      <c r="E2830" s="14"/>
      <c r="F2830" s="14"/>
      <c r="G2830" s="14"/>
      <c r="H2830" s="23"/>
      <c r="I2830" s="23"/>
      <c r="J2830" s="23"/>
      <c r="K2830" s="30"/>
      <c r="L2830" s="23"/>
      <c r="M2830" s="50" t="s">
        <v>10178</v>
      </c>
      <c r="N2830" s="51"/>
      <c r="O2830" s="20"/>
      <c r="P2830" s="20"/>
      <c r="Q2830" s="20"/>
      <c r="R2830" s="20"/>
      <c r="S2830" s="20"/>
    </row>
    <row r="2831">
      <c r="A2831" s="10"/>
      <c r="B2831" s="11"/>
      <c r="C2831" s="10"/>
      <c r="D2831" s="13"/>
      <c r="E2831" s="14"/>
      <c r="F2831" s="14"/>
      <c r="G2831" s="14"/>
      <c r="H2831" s="10"/>
      <c r="I2831" s="10"/>
      <c r="J2831" s="10"/>
      <c r="K2831" s="46"/>
      <c r="L2831" s="10"/>
      <c r="M2831" s="44" t="s">
        <v>10178</v>
      </c>
      <c r="N2831" s="45"/>
      <c r="O2831" s="20"/>
      <c r="P2831" s="20"/>
      <c r="Q2831" s="20"/>
      <c r="R2831" s="20"/>
      <c r="S2831" s="20"/>
    </row>
    <row r="2832">
      <c r="A2832" s="23"/>
      <c r="B2832" s="21"/>
      <c r="C2832" s="23"/>
      <c r="D2832" s="24"/>
      <c r="E2832" s="14"/>
      <c r="F2832" s="14"/>
      <c r="G2832" s="14"/>
      <c r="H2832" s="23"/>
      <c r="I2832" s="23"/>
      <c r="J2832" s="23"/>
      <c r="K2832" s="30"/>
      <c r="L2832" s="23"/>
      <c r="M2832" s="50" t="s">
        <v>10178</v>
      </c>
      <c r="N2832" s="51"/>
      <c r="O2832" s="20"/>
      <c r="P2832" s="20"/>
      <c r="Q2832" s="20"/>
      <c r="R2832" s="20"/>
      <c r="S2832" s="20"/>
    </row>
    <row r="2833">
      <c r="A2833" s="10"/>
      <c r="B2833" s="11"/>
      <c r="C2833" s="10"/>
      <c r="D2833" s="13"/>
      <c r="E2833" s="14"/>
      <c r="F2833" s="14"/>
      <c r="G2833" s="14"/>
      <c r="H2833" s="10"/>
      <c r="I2833" s="10"/>
      <c r="J2833" s="10"/>
      <c r="K2833" s="46"/>
      <c r="L2833" s="10"/>
      <c r="M2833" s="44" t="s">
        <v>10178</v>
      </c>
      <c r="N2833" s="45"/>
      <c r="O2833" s="20"/>
      <c r="P2833" s="20"/>
      <c r="Q2833" s="20"/>
      <c r="R2833" s="20"/>
      <c r="S2833" s="20"/>
    </row>
    <row r="2834">
      <c r="A2834" s="23"/>
      <c r="B2834" s="21"/>
      <c r="C2834" s="23"/>
      <c r="D2834" s="24"/>
      <c r="E2834" s="14"/>
      <c r="F2834" s="14"/>
      <c r="G2834" s="14"/>
      <c r="H2834" s="23"/>
      <c r="I2834" s="23"/>
      <c r="J2834" s="23"/>
      <c r="K2834" s="30"/>
      <c r="L2834" s="23"/>
      <c r="M2834" s="50" t="s">
        <v>10178</v>
      </c>
      <c r="N2834" s="51"/>
      <c r="O2834" s="20"/>
      <c r="P2834" s="20"/>
      <c r="Q2834" s="20"/>
      <c r="R2834" s="20"/>
      <c r="S2834" s="20"/>
    </row>
    <row r="2835">
      <c r="A2835" s="10"/>
      <c r="B2835" s="11"/>
      <c r="C2835" s="10"/>
      <c r="D2835" s="13"/>
      <c r="E2835" s="14"/>
      <c r="F2835" s="14"/>
      <c r="G2835" s="14"/>
      <c r="H2835" s="10"/>
      <c r="I2835" s="10"/>
      <c r="J2835" s="10"/>
      <c r="K2835" s="46"/>
      <c r="L2835" s="10"/>
      <c r="M2835" s="44" t="s">
        <v>10178</v>
      </c>
      <c r="N2835" s="45"/>
      <c r="O2835" s="20"/>
      <c r="P2835" s="20"/>
      <c r="Q2835" s="20"/>
      <c r="R2835" s="20"/>
      <c r="S2835" s="20"/>
    </row>
    <row r="2836">
      <c r="A2836" s="23"/>
      <c r="B2836" s="21"/>
      <c r="C2836" s="23"/>
      <c r="D2836" s="24"/>
      <c r="E2836" s="14"/>
      <c r="F2836" s="14"/>
      <c r="G2836" s="14"/>
      <c r="H2836" s="23"/>
      <c r="I2836" s="23"/>
      <c r="J2836" s="23"/>
      <c r="K2836" s="30"/>
      <c r="L2836" s="23"/>
      <c r="M2836" s="50" t="s">
        <v>10178</v>
      </c>
      <c r="N2836" s="51"/>
      <c r="O2836" s="20"/>
      <c r="P2836" s="20"/>
      <c r="Q2836" s="20"/>
      <c r="R2836" s="20"/>
      <c r="S2836" s="20"/>
    </row>
    <row r="2837">
      <c r="A2837" s="10"/>
      <c r="B2837" s="11"/>
      <c r="C2837" s="10"/>
      <c r="D2837" s="13"/>
      <c r="E2837" s="14"/>
      <c r="F2837" s="14"/>
      <c r="G2837" s="14"/>
      <c r="H2837" s="10"/>
      <c r="I2837" s="10"/>
      <c r="J2837" s="10"/>
      <c r="K2837" s="46"/>
      <c r="L2837" s="10"/>
      <c r="M2837" s="44" t="s">
        <v>10178</v>
      </c>
      <c r="N2837" s="45"/>
      <c r="O2837" s="20"/>
      <c r="P2837" s="20"/>
      <c r="Q2837" s="20"/>
      <c r="R2837" s="20"/>
      <c r="S2837" s="20"/>
    </row>
    <row r="2838">
      <c r="A2838" s="23"/>
      <c r="B2838" s="21"/>
      <c r="C2838" s="23"/>
      <c r="D2838" s="24"/>
      <c r="E2838" s="14"/>
      <c r="F2838" s="14"/>
      <c r="G2838" s="14"/>
      <c r="H2838" s="23"/>
      <c r="I2838" s="23"/>
      <c r="J2838" s="23"/>
      <c r="K2838" s="30"/>
      <c r="L2838" s="23"/>
      <c r="M2838" s="50" t="s">
        <v>10178</v>
      </c>
      <c r="N2838" s="51"/>
      <c r="O2838" s="20"/>
      <c r="P2838" s="20"/>
      <c r="Q2838" s="20"/>
      <c r="R2838" s="20"/>
      <c r="S2838" s="20"/>
    </row>
    <row r="2839">
      <c r="A2839" s="10"/>
      <c r="B2839" s="11"/>
      <c r="C2839" s="10"/>
      <c r="D2839" s="13"/>
      <c r="E2839" s="14"/>
      <c r="F2839" s="14"/>
      <c r="G2839" s="14"/>
      <c r="H2839" s="10"/>
      <c r="I2839" s="10"/>
      <c r="J2839" s="10"/>
      <c r="K2839" s="46"/>
      <c r="L2839" s="10"/>
      <c r="M2839" s="44" t="s">
        <v>10178</v>
      </c>
      <c r="N2839" s="45"/>
      <c r="O2839" s="20"/>
      <c r="P2839" s="20"/>
      <c r="Q2839" s="20"/>
      <c r="R2839" s="20"/>
      <c r="S2839" s="20"/>
    </row>
    <row r="2840">
      <c r="A2840" s="23"/>
      <c r="B2840" s="21"/>
      <c r="C2840" s="23"/>
      <c r="D2840" s="24"/>
      <c r="E2840" s="14"/>
      <c r="F2840" s="14"/>
      <c r="G2840" s="14"/>
      <c r="H2840" s="23"/>
      <c r="I2840" s="23"/>
      <c r="J2840" s="23"/>
      <c r="K2840" s="30"/>
      <c r="L2840" s="23"/>
      <c r="M2840" s="50" t="s">
        <v>10178</v>
      </c>
      <c r="N2840" s="51"/>
      <c r="O2840" s="20"/>
      <c r="P2840" s="20"/>
      <c r="Q2840" s="20"/>
      <c r="R2840" s="20"/>
      <c r="S2840" s="20"/>
    </row>
    <row r="2841">
      <c r="A2841" s="10"/>
      <c r="B2841" s="11"/>
      <c r="C2841" s="10"/>
      <c r="D2841" s="13"/>
      <c r="E2841" s="14"/>
      <c r="F2841" s="14"/>
      <c r="G2841" s="14"/>
      <c r="H2841" s="10"/>
      <c r="I2841" s="10"/>
      <c r="J2841" s="10"/>
      <c r="K2841" s="46"/>
      <c r="L2841" s="10"/>
      <c r="M2841" s="44" t="s">
        <v>10178</v>
      </c>
      <c r="N2841" s="45"/>
      <c r="O2841" s="20"/>
      <c r="P2841" s="20"/>
      <c r="Q2841" s="20"/>
      <c r="R2841" s="20"/>
      <c r="S2841" s="20"/>
    </row>
    <row r="2842">
      <c r="A2842" s="23"/>
      <c r="B2842" s="21"/>
      <c r="C2842" s="23"/>
      <c r="D2842" s="24"/>
      <c r="E2842" s="14"/>
      <c r="F2842" s="14"/>
      <c r="G2842" s="14"/>
      <c r="H2842" s="23"/>
      <c r="I2842" s="23"/>
      <c r="J2842" s="23"/>
      <c r="K2842" s="30"/>
      <c r="L2842" s="23"/>
      <c r="M2842" s="50" t="s">
        <v>10178</v>
      </c>
      <c r="N2842" s="51"/>
      <c r="O2842" s="20"/>
      <c r="P2842" s="20"/>
      <c r="Q2842" s="20"/>
      <c r="R2842" s="20"/>
      <c r="S2842" s="20"/>
    </row>
    <row r="2843">
      <c r="A2843" s="10"/>
      <c r="B2843" s="11"/>
      <c r="C2843" s="10"/>
      <c r="D2843" s="13"/>
      <c r="E2843" s="14"/>
      <c r="F2843" s="14"/>
      <c r="G2843" s="14"/>
      <c r="H2843" s="10"/>
      <c r="I2843" s="10"/>
      <c r="J2843" s="10"/>
      <c r="K2843" s="46"/>
      <c r="L2843" s="10"/>
      <c r="M2843" s="44" t="s">
        <v>10178</v>
      </c>
      <c r="N2843" s="45"/>
      <c r="O2843" s="20"/>
      <c r="P2843" s="20"/>
      <c r="Q2843" s="20"/>
      <c r="R2843" s="20"/>
      <c r="S2843" s="20"/>
    </row>
    <row r="2844">
      <c r="A2844" s="23"/>
      <c r="B2844" s="21"/>
      <c r="C2844" s="23"/>
      <c r="D2844" s="24"/>
      <c r="E2844" s="14"/>
      <c r="F2844" s="14"/>
      <c r="G2844" s="14"/>
      <c r="H2844" s="23"/>
      <c r="I2844" s="23"/>
      <c r="J2844" s="23"/>
      <c r="K2844" s="30"/>
      <c r="L2844" s="23"/>
      <c r="M2844" s="50" t="s">
        <v>10178</v>
      </c>
      <c r="N2844" s="51"/>
      <c r="O2844" s="20"/>
      <c r="P2844" s="20"/>
      <c r="Q2844" s="20"/>
      <c r="R2844" s="20"/>
      <c r="S2844" s="20"/>
    </row>
    <row r="2845">
      <c r="A2845" s="10"/>
      <c r="B2845" s="11"/>
      <c r="C2845" s="10"/>
      <c r="D2845" s="13"/>
      <c r="E2845" s="14"/>
      <c r="F2845" s="14"/>
      <c r="G2845" s="14"/>
      <c r="H2845" s="10"/>
      <c r="I2845" s="10"/>
      <c r="J2845" s="10"/>
      <c r="K2845" s="46"/>
      <c r="L2845" s="10"/>
      <c r="M2845" s="44" t="s">
        <v>10178</v>
      </c>
      <c r="N2845" s="45"/>
      <c r="O2845" s="20"/>
      <c r="P2845" s="20"/>
      <c r="Q2845" s="20"/>
      <c r="R2845" s="20"/>
      <c r="S2845" s="20"/>
    </row>
    <row r="2846">
      <c r="A2846" s="23"/>
      <c r="B2846" s="21"/>
      <c r="C2846" s="23"/>
      <c r="D2846" s="24"/>
      <c r="E2846" s="14"/>
      <c r="F2846" s="14"/>
      <c r="G2846" s="14"/>
      <c r="H2846" s="23"/>
      <c r="I2846" s="23"/>
      <c r="J2846" s="23"/>
      <c r="K2846" s="30"/>
      <c r="L2846" s="23"/>
      <c r="M2846" s="50" t="s">
        <v>10178</v>
      </c>
      <c r="N2846" s="51"/>
      <c r="O2846" s="20"/>
      <c r="P2846" s="20"/>
      <c r="Q2846" s="20"/>
      <c r="R2846" s="20"/>
      <c r="S2846" s="20"/>
    </row>
    <row r="2847">
      <c r="A2847" s="10"/>
      <c r="B2847" s="11"/>
      <c r="C2847" s="10"/>
      <c r="D2847" s="13"/>
      <c r="E2847" s="14"/>
      <c r="F2847" s="14"/>
      <c r="G2847" s="14"/>
      <c r="H2847" s="10"/>
      <c r="I2847" s="10"/>
      <c r="J2847" s="10"/>
      <c r="K2847" s="46"/>
      <c r="L2847" s="10"/>
      <c r="M2847" s="44" t="s">
        <v>10178</v>
      </c>
      <c r="N2847" s="45"/>
      <c r="O2847" s="20"/>
      <c r="P2847" s="20"/>
      <c r="Q2847" s="20"/>
      <c r="R2847" s="20"/>
      <c r="S2847" s="20"/>
    </row>
    <row r="2848">
      <c r="A2848" s="23"/>
      <c r="B2848" s="21"/>
      <c r="C2848" s="23"/>
      <c r="D2848" s="24"/>
      <c r="E2848" s="14"/>
      <c r="F2848" s="14"/>
      <c r="G2848" s="14"/>
      <c r="H2848" s="23"/>
      <c r="I2848" s="23"/>
      <c r="J2848" s="23"/>
      <c r="K2848" s="30"/>
      <c r="L2848" s="23"/>
      <c r="M2848" s="50" t="s">
        <v>10178</v>
      </c>
      <c r="N2848" s="51"/>
      <c r="O2848" s="20"/>
      <c r="P2848" s="20"/>
      <c r="Q2848" s="20"/>
      <c r="R2848" s="20"/>
      <c r="S2848" s="20"/>
    </row>
    <row r="2849">
      <c r="A2849" s="10"/>
      <c r="B2849" s="11"/>
      <c r="C2849" s="10"/>
      <c r="D2849" s="13"/>
      <c r="E2849" s="14"/>
      <c r="F2849" s="14"/>
      <c r="G2849" s="14"/>
      <c r="H2849" s="10"/>
      <c r="I2849" s="10"/>
      <c r="J2849" s="10"/>
      <c r="K2849" s="46"/>
      <c r="L2849" s="10"/>
      <c r="M2849" s="44" t="s">
        <v>10178</v>
      </c>
      <c r="N2849" s="45"/>
      <c r="O2849" s="20"/>
      <c r="P2849" s="20"/>
      <c r="Q2849" s="20"/>
      <c r="R2849" s="20"/>
      <c r="S2849" s="20"/>
    </row>
    <row r="2850">
      <c r="A2850" s="23"/>
      <c r="B2850" s="21"/>
      <c r="C2850" s="23"/>
      <c r="D2850" s="24"/>
      <c r="E2850" s="14"/>
      <c r="F2850" s="14"/>
      <c r="G2850" s="14"/>
      <c r="H2850" s="23"/>
      <c r="I2850" s="23"/>
      <c r="J2850" s="23"/>
      <c r="K2850" s="30"/>
      <c r="L2850" s="23"/>
      <c r="M2850" s="50" t="s">
        <v>10178</v>
      </c>
      <c r="N2850" s="51"/>
      <c r="O2850" s="20"/>
      <c r="P2850" s="20"/>
      <c r="Q2850" s="20"/>
      <c r="R2850" s="20"/>
      <c r="S2850" s="20"/>
    </row>
    <row r="2851">
      <c r="A2851" s="10"/>
      <c r="B2851" s="11"/>
      <c r="C2851" s="10"/>
      <c r="D2851" s="13"/>
      <c r="E2851" s="14"/>
      <c r="F2851" s="14"/>
      <c r="G2851" s="14"/>
      <c r="H2851" s="10"/>
      <c r="I2851" s="10"/>
      <c r="J2851" s="10"/>
      <c r="K2851" s="46"/>
      <c r="L2851" s="10"/>
      <c r="M2851" s="44" t="s">
        <v>10178</v>
      </c>
      <c r="N2851" s="45"/>
      <c r="O2851" s="20"/>
      <c r="P2851" s="20"/>
      <c r="Q2851" s="20"/>
      <c r="R2851" s="20"/>
      <c r="S2851" s="20"/>
    </row>
    <row r="2852">
      <c r="A2852" s="23"/>
      <c r="B2852" s="21"/>
      <c r="C2852" s="23"/>
      <c r="D2852" s="24"/>
      <c r="E2852" s="14"/>
      <c r="F2852" s="14"/>
      <c r="G2852" s="14"/>
      <c r="H2852" s="23"/>
      <c r="I2852" s="23"/>
      <c r="J2852" s="23"/>
      <c r="K2852" s="30"/>
      <c r="L2852" s="23"/>
      <c r="M2852" s="50" t="s">
        <v>10178</v>
      </c>
      <c r="N2852" s="51"/>
      <c r="O2852" s="20"/>
      <c r="P2852" s="20"/>
      <c r="Q2852" s="20"/>
      <c r="R2852" s="20"/>
      <c r="S2852" s="20"/>
    </row>
    <row r="2853">
      <c r="A2853" s="10"/>
      <c r="B2853" s="11"/>
      <c r="C2853" s="10"/>
      <c r="D2853" s="13"/>
      <c r="E2853" s="14"/>
      <c r="F2853" s="14"/>
      <c r="G2853" s="14"/>
      <c r="H2853" s="10"/>
      <c r="I2853" s="10"/>
      <c r="J2853" s="10"/>
      <c r="K2853" s="46"/>
      <c r="L2853" s="10"/>
      <c r="M2853" s="44" t="s">
        <v>10178</v>
      </c>
      <c r="N2853" s="45"/>
      <c r="O2853" s="20"/>
      <c r="P2853" s="20"/>
      <c r="Q2853" s="20"/>
      <c r="R2853" s="20"/>
      <c r="S2853" s="20"/>
    </row>
    <row r="2854">
      <c r="A2854" s="23"/>
      <c r="B2854" s="21"/>
      <c r="C2854" s="23"/>
      <c r="D2854" s="24"/>
      <c r="E2854" s="14"/>
      <c r="F2854" s="14"/>
      <c r="G2854" s="14"/>
      <c r="H2854" s="23"/>
      <c r="I2854" s="23"/>
      <c r="J2854" s="23"/>
      <c r="K2854" s="30"/>
      <c r="L2854" s="23"/>
      <c r="M2854" s="50" t="s">
        <v>10178</v>
      </c>
      <c r="N2854" s="51"/>
      <c r="O2854" s="20"/>
      <c r="P2854" s="20"/>
      <c r="Q2854" s="20"/>
      <c r="R2854" s="20"/>
      <c r="S2854" s="20"/>
    </row>
    <row r="2855">
      <c r="A2855" s="10"/>
      <c r="B2855" s="11"/>
      <c r="C2855" s="10"/>
      <c r="D2855" s="13"/>
      <c r="E2855" s="14"/>
      <c r="F2855" s="14"/>
      <c r="G2855" s="14"/>
      <c r="H2855" s="10"/>
      <c r="I2855" s="10"/>
      <c r="J2855" s="10"/>
      <c r="K2855" s="46"/>
      <c r="L2855" s="10"/>
      <c r="M2855" s="44" t="s">
        <v>10178</v>
      </c>
      <c r="N2855" s="45"/>
      <c r="O2855" s="20"/>
      <c r="P2855" s="20"/>
      <c r="Q2855" s="20"/>
      <c r="R2855" s="20"/>
      <c r="S2855" s="20"/>
    </row>
    <row r="2856">
      <c r="A2856" s="23"/>
      <c r="B2856" s="21"/>
      <c r="C2856" s="23"/>
      <c r="D2856" s="24"/>
      <c r="E2856" s="14"/>
      <c r="F2856" s="14"/>
      <c r="G2856" s="14"/>
      <c r="H2856" s="23"/>
      <c r="I2856" s="23"/>
      <c r="J2856" s="23"/>
      <c r="K2856" s="30"/>
      <c r="L2856" s="23"/>
      <c r="M2856" s="50" t="s">
        <v>10178</v>
      </c>
      <c r="N2856" s="51"/>
      <c r="O2856" s="20"/>
      <c r="P2856" s="20"/>
      <c r="Q2856" s="20"/>
      <c r="R2856" s="20"/>
      <c r="S2856" s="20"/>
    </row>
    <row r="2857">
      <c r="A2857" s="10"/>
      <c r="B2857" s="11"/>
      <c r="C2857" s="10"/>
      <c r="D2857" s="13"/>
      <c r="E2857" s="14"/>
      <c r="F2857" s="14"/>
      <c r="G2857" s="14"/>
      <c r="H2857" s="10"/>
      <c r="I2857" s="10"/>
      <c r="J2857" s="10"/>
      <c r="K2857" s="46"/>
      <c r="L2857" s="10"/>
      <c r="M2857" s="44" t="s">
        <v>10178</v>
      </c>
      <c r="N2857" s="45"/>
      <c r="O2857" s="20"/>
      <c r="P2857" s="20"/>
      <c r="Q2857" s="20"/>
      <c r="R2857" s="20"/>
      <c r="S2857" s="20"/>
    </row>
    <row r="2858">
      <c r="A2858" s="23"/>
      <c r="B2858" s="21"/>
      <c r="C2858" s="23"/>
      <c r="D2858" s="24"/>
      <c r="E2858" s="14"/>
      <c r="F2858" s="14"/>
      <c r="G2858" s="14"/>
      <c r="H2858" s="23"/>
      <c r="I2858" s="23"/>
      <c r="J2858" s="23"/>
      <c r="K2858" s="30"/>
      <c r="L2858" s="23"/>
      <c r="M2858" s="50" t="s">
        <v>10178</v>
      </c>
      <c r="N2858" s="51"/>
      <c r="O2858" s="20"/>
      <c r="P2858" s="20"/>
      <c r="Q2858" s="20"/>
      <c r="R2858" s="20"/>
      <c r="S2858" s="20"/>
    </row>
    <row r="2859">
      <c r="A2859" s="10"/>
      <c r="B2859" s="11"/>
      <c r="C2859" s="10"/>
      <c r="D2859" s="13"/>
      <c r="E2859" s="14"/>
      <c r="F2859" s="14"/>
      <c r="G2859" s="14"/>
      <c r="H2859" s="10"/>
      <c r="I2859" s="10"/>
      <c r="J2859" s="10"/>
      <c r="K2859" s="46"/>
      <c r="L2859" s="10"/>
      <c r="M2859" s="44" t="s">
        <v>10178</v>
      </c>
      <c r="N2859" s="45"/>
      <c r="O2859" s="20"/>
      <c r="P2859" s="20"/>
      <c r="Q2859" s="20"/>
      <c r="R2859" s="20"/>
      <c r="S2859" s="20"/>
    </row>
    <row r="2860">
      <c r="A2860" s="23"/>
      <c r="B2860" s="21"/>
      <c r="C2860" s="23"/>
      <c r="D2860" s="24"/>
      <c r="E2860" s="14"/>
      <c r="F2860" s="14"/>
      <c r="G2860" s="14"/>
      <c r="H2860" s="23"/>
      <c r="I2860" s="23"/>
      <c r="J2860" s="23"/>
      <c r="K2860" s="30"/>
      <c r="L2860" s="23"/>
      <c r="M2860" s="50" t="s">
        <v>10178</v>
      </c>
      <c r="N2860" s="51"/>
      <c r="O2860" s="20"/>
      <c r="P2860" s="20"/>
      <c r="Q2860" s="20"/>
      <c r="R2860" s="20"/>
      <c r="S2860" s="20"/>
    </row>
    <row r="2861">
      <c r="A2861" s="10"/>
      <c r="B2861" s="11"/>
      <c r="C2861" s="10"/>
      <c r="D2861" s="13"/>
      <c r="E2861" s="14"/>
      <c r="F2861" s="14"/>
      <c r="G2861" s="14"/>
      <c r="H2861" s="10"/>
      <c r="I2861" s="10"/>
      <c r="J2861" s="10"/>
      <c r="K2861" s="46"/>
      <c r="L2861" s="10"/>
      <c r="M2861" s="44" t="s">
        <v>10178</v>
      </c>
      <c r="N2861" s="45"/>
      <c r="O2861" s="20"/>
      <c r="P2861" s="20"/>
      <c r="Q2861" s="20"/>
      <c r="R2861" s="20"/>
      <c r="S2861" s="20"/>
    </row>
    <row r="2862">
      <c r="A2862" s="23"/>
      <c r="B2862" s="21"/>
      <c r="C2862" s="23"/>
      <c r="D2862" s="24"/>
      <c r="E2862" s="14"/>
      <c r="F2862" s="14"/>
      <c r="G2862" s="14"/>
      <c r="H2862" s="23"/>
      <c r="I2862" s="23"/>
      <c r="J2862" s="23"/>
      <c r="K2862" s="30"/>
      <c r="L2862" s="23"/>
      <c r="M2862" s="50" t="s">
        <v>10178</v>
      </c>
      <c r="N2862" s="51"/>
      <c r="O2862" s="20"/>
      <c r="P2862" s="20"/>
      <c r="Q2862" s="20"/>
      <c r="R2862" s="20"/>
      <c r="S2862" s="20"/>
    </row>
    <row r="2863">
      <c r="A2863" s="10"/>
      <c r="B2863" s="11"/>
      <c r="C2863" s="10"/>
      <c r="D2863" s="13"/>
      <c r="E2863" s="14"/>
      <c r="F2863" s="14"/>
      <c r="G2863" s="14"/>
      <c r="H2863" s="10"/>
      <c r="I2863" s="10"/>
      <c r="J2863" s="10"/>
      <c r="K2863" s="46"/>
      <c r="L2863" s="10"/>
      <c r="M2863" s="44" t="s">
        <v>10178</v>
      </c>
      <c r="N2863" s="45"/>
      <c r="O2863" s="20"/>
      <c r="P2863" s="20"/>
      <c r="Q2863" s="20"/>
      <c r="R2863" s="20"/>
      <c r="S2863" s="20"/>
    </row>
    <row r="2864">
      <c r="A2864" s="23"/>
      <c r="B2864" s="21"/>
      <c r="C2864" s="23"/>
      <c r="D2864" s="24"/>
      <c r="E2864" s="14"/>
      <c r="F2864" s="14"/>
      <c r="G2864" s="14"/>
      <c r="H2864" s="23"/>
      <c r="I2864" s="23"/>
      <c r="J2864" s="23"/>
      <c r="K2864" s="30"/>
      <c r="L2864" s="23"/>
      <c r="M2864" s="50" t="s">
        <v>10178</v>
      </c>
      <c r="N2864" s="51"/>
      <c r="O2864" s="20"/>
      <c r="P2864" s="20"/>
      <c r="Q2864" s="20"/>
      <c r="R2864" s="20"/>
      <c r="S2864" s="20"/>
    </row>
    <row r="2865">
      <c r="A2865" s="10"/>
      <c r="B2865" s="11"/>
      <c r="C2865" s="10"/>
      <c r="D2865" s="13"/>
      <c r="E2865" s="14"/>
      <c r="F2865" s="14"/>
      <c r="G2865" s="14"/>
      <c r="H2865" s="10"/>
      <c r="I2865" s="10"/>
      <c r="J2865" s="10"/>
      <c r="K2865" s="46"/>
      <c r="L2865" s="10"/>
      <c r="M2865" s="44" t="s">
        <v>10178</v>
      </c>
      <c r="N2865" s="45"/>
      <c r="O2865" s="20"/>
      <c r="P2865" s="20"/>
      <c r="Q2865" s="20"/>
      <c r="R2865" s="20"/>
      <c r="S2865" s="20"/>
    </row>
    <row r="2866">
      <c r="A2866" s="23"/>
      <c r="B2866" s="21"/>
      <c r="C2866" s="23"/>
      <c r="D2866" s="24"/>
      <c r="E2866" s="14"/>
      <c r="F2866" s="14"/>
      <c r="G2866" s="14"/>
      <c r="H2866" s="23"/>
      <c r="I2866" s="23"/>
      <c r="J2866" s="23"/>
      <c r="K2866" s="30"/>
      <c r="L2866" s="23"/>
      <c r="M2866" s="50" t="s">
        <v>10178</v>
      </c>
      <c r="N2866" s="51"/>
      <c r="O2866" s="20"/>
      <c r="P2866" s="20"/>
      <c r="Q2866" s="20"/>
      <c r="R2866" s="20"/>
      <c r="S2866" s="20"/>
    </row>
    <row r="2867">
      <c r="A2867" s="10"/>
      <c r="B2867" s="11"/>
      <c r="C2867" s="10"/>
      <c r="D2867" s="13"/>
      <c r="E2867" s="14"/>
      <c r="F2867" s="14"/>
      <c r="G2867" s="14"/>
      <c r="H2867" s="10"/>
      <c r="I2867" s="10"/>
      <c r="J2867" s="10"/>
      <c r="K2867" s="46"/>
      <c r="L2867" s="10"/>
      <c r="M2867" s="44" t="s">
        <v>10178</v>
      </c>
      <c r="N2867" s="45"/>
      <c r="O2867" s="20"/>
      <c r="P2867" s="20"/>
      <c r="Q2867" s="20"/>
      <c r="R2867" s="20"/>
      <c r="S2867" s="20"/>
    </row>
    <row r="2868">
      <c r="A2868" s="23"/>
      <c r="B2868" s="21"/>
      <c r="C2868" s="23"/>
      <c r="D2868" s="24"/>
      <c r="E2868" s="14"/>
      <c r="F2868" s="14"/>
      <c r="G2868" s="14"/>
      <c r="H2868" s="23"/>
      <c r="I2868" s="23"/>
      <c r="J2868" s="23"/>
      <c r="K2868" s="30"/>
      <c r="L2868" s="23"/>
      <c r="M2868" s="50" t="s">
        <v>10178</v>
      </c>
      <c r="N2868" s="51"/>
      <c r="O2868" s="20"/>
      <c r="P2868" s="20"/>
      <c r="Q2868" s="20"/>
      <c r="R2868" s="20"/>
      <c r="S2868" s="20"/>
    </row>
    <row r="2869">
      <c r="A2869" s="10"/>
      <c r="B2869" s="11"/>
      <c r="C2869" s="10"/>
      <c r="D2869" s="13"/>
      <c r="E2869" s="14"/>
      <c r="F2869" s="14"/>
      <c r="G2869" s="14"/>
      <c r="H2869" s="10"/>
      <c r="I2869" s="10"/>
      <c r="J2869" s="10"/>
      <c r="K2869" s="46"/>
      <c r="L2869" s="10"/>
      <c r="M2869" s="44" t="s">
        <v>10178</v>
      </c>
      <c r="N2869" s="45"/>
      <c r="O2869" s="20"/>
      <c r="P2869" s="20"/>
      <c r="Q2869" s="20"/>
      <c r="R2869" s="20"/>
      <c r="S2869" s="20"/>
    </row>
    <row r="2870">
      <c r="A2870" s="23"/>
      <c r="B2870" s="21"/>
      <c r="C2870" s="23"/>
      <c r="D2870" s="24"/>
      <c r="E2870" s="14"/>
      <c r="F2870" s="14"/>
      <c r="G2870" s="14"/>
      <c r="H2870" s="23"/>
      <c r="I2870" s="23"/>
      <c r="J2870" s="23"/>
      <c r="K2870" s="30"/>
      <c r="L2870" s="23"/>
      <c r="M2870" s="50" t="s">
        <v>10178</v>
      </c>
      <c r="N2870" s="51"/>
      <c r="O2870" s="20"/>
      <c r="P2870" s="20"/>
      <c r="Q2870" s="20"/>
      <c r="R2870" s="20"/>
      <c r="S2870" s="20"/>
    </row>
    <row r="2871">
      <c r="A2871" s="10"/>
      <c r="B2871" s="11"/>
      <c r="C2871" s="10"/>
      <c r="D2871" s="13"/>
      <c r="E2871" s="14"/>
      <c r="F2871" s="14"/>
      <c r="G2871" s="14"/>
      <c r="H2871" s="10"/>
      <c r="I2871" s="10"/>
      <c r="J2871" s="10"/>
      <c r="K2871" s="46"/>
      <c r="L2871" s="10"/>
      <c r="M2871" s="44" t="s">
        <v>10178</v>
      </c>
      <c r="N2871" s="45"/>
      <c r="O2871" s="20"/>
      <c r="P2871" s="20"/>
      <c r="Q2871" s="20"/>
      <c r="R2871" s="20"/>
      <c r="S2871" s="20"/>
    </row>
    <row r="2872">
      <c r="A2872" s="23"/>
      <c r="B2872" s="21"/>
      <c r="C2872" s="23"/>
      <c r="D2872" s="24"/>
      <c r="E2872" s="14"/>
      <c r="F2872" s="14"/>
      <c r="G2872" s="14"/>
      <c r="H2872" s="23"/>
      <c r="I2872" s="23"/>
      <c r="J2872" s="23"/>
      <c r="K2872" s="30"/>
      <c r="L2872" s="23"/>
      <c r="M2872" s="50" t="s">
        <v>10178</v>
      </c>
      <c r="N2872" s="51"/>
      <c r="O2872" s="20"/>
      <c r="P2872" s="20"/>
      <c r="Q2872" s="20"/>
      <c r="R2872" s="20"/>
      <c r="S2872" s="20"/>
    </row>
    <row r="2873">
      <c r="A2873" s="10"/>
      <c r="B2873" s="11"/>
      <c r="C2873" s="10"/>
      <c r="D2873" s="13"/>
      <c r="E2873" s="14"/>
      <c r="F2873" s="14"/>
      <c r="G2873" s="14"/>
      <c r="H2873" s="10"/>
      <c r="I2873" s="10"/>
      <c r="J2873" s="10"/>
      <c r="K2873" s="46"/>
      <c r="L2873" s="10"/>
      <c r="M2873" s="44" t="s">
        <v>10178</v>
      </c>
      <c r="N2873" s="45"/>
      <c r="O2873" s="20"/>
      <c r="P2873" s="20"/>
      <c r="Q2873" s="20"/>
      <c r="R2873" s="20"/>
      <c r="S2873" s="20"/>
    </row>
    <row r="2874">
      <c r="A2874" s="23"/>
      <c r="B2874" s="21"/>
      <c r="C2874" s="23"/>
      <c r="D2874" s="24"/>
      <c r="E2874" s="14"/>
      <c r="F2874" s="14"/>
      <c r="G2874" s="14"/>
      <c r="H2874" s="23"/>
      <c r="I2874" s="23"/>
      <c r="J2874" s="23"/>
      <c r="K2874" s="30"/>
      <c r="L2874" s="23"/>
      <c r="M2874" s="50" t="s">
        <v>10178</v>
      </c>
      <c r="N2874" s="51"/>
      <c r="O2874" s="20"/>
      <c r="P2874" s="20"/>
      <c r="Q2874" s="20"/>
      <c r="R2874" s="20"/>
      <c r="S2874" s="20"/>
    </row>
    <row r="2875">
      <c r="A2875" s="10"/>
      <c r="B2875" s="11"/>
      <c r="C2875" s="10"/>
      <c r="D2875" s="13"/>
      <c r="E2875" s="14"/>
      <c r="F2875" s="14"/>
      <c r="G2875" s="14"/>
      <c r="H2875" s="10"/>
      <c r="I2875" s="10"/>
      <c r="J2875" s="10"/>
      <c r="K2875" s="46"/>
      <c r="L2875" s="10"/>
      <c r="M2875" s="44" t="s">
        <v>10178</v>
      </c>
      <c r="N2875" s="45"/>
      <c r="O2875" s="20"/>
      <c r="P2875" s="20"/>
      <c r="Q2875" s="20"/>
      <c r="R2875" s="20"/>
      <c r="S2875" s="20"/>
    </row>
    <row r="2876">
      <c r="A2876" s="23"/>
      <c r="B2876" s="21"/>
      <c r="C2876" s="23"/>
      <c r="D2876" s="24"/>
      <c r="E2876" s="14"/>
      <c r="F2876" s="14"/>
      <c r="G2876" s="14"/>
      <c r="H2876" s="23"/>
      <c r="I2876" s="23"/>
      <c r="J2876" s="23"/>
      <c r="K2876" s="30"/>
      <c r="L2876" s="23"/>
      <c r="M2876" s="50" t="s">
        <v>10178</v>
      </c>
      <c r="N2876" s="51"/>
      <c r="O2876" s="20"/>
      <c r="P2876" s="20"/>
      <c r="Q2876" s="20"/>
      <c r="R2876" s="20"/>
      <c r="S2876" s="20"/>
    </row>
    <row r="2877">
      <c r="A2877" s="10"/>
      <c r="B2877" s="11"/>
      <c r="C2877" s="10"/>
      <c r="D2877" s="13"/>
      <c r="E2877" s="14"/>
      <c r="F2877" s="14"/>
      <c r="G2877" s="14"/>
      <c r="H2877" s="10"/>
      <c r="I2877" s="10"/>
      <c r="J2877" s="10"/>
      <c r="K2877" s="46"/>
      <c r="L2877" s="10"/>
      <c r="M2877" s="44" t="s">
        <v>10178</v>
      </c>
      <c r="N2877" s="45"/>
      <c r="O2877" s="20"/>
      <c r="P2877" s="20"/>
      <c r="Q2877" s="20"/>
      <c r="R2877" s="20"/>
      <c r="S2877" s="20"/>
    </row>
    <row r="2878">
      <c r="A2878" s="23"/>
      <c r="B2878" s="21"/>
      <c r="C2878" s="23"/>
      <c r="D2878" s="24"/>
      <c r="E2878" s="14"/>
      <c r="F2878" s="14"/>
      <c r="G2878" s="14"/>
      <c r="H2878" s="23"/>
      <c r="I2878" s="23"/>
      <c r="J2878" s="23"/>
      <c r="K2878" s="30"/>
      <c r="L2878" s="23"/>
      <c r="M2878" s="50" t="s">
        <v>10178</v>
      </c>
      <c r="N2878" s="51"/>
      <c r="O2878" s="20"/>
      <c r="P2878" s="20"/>
      <c r="Q2878" s="20"/>
      <c r="R2878" s="20"/>
      <c r="S2878" s="20"/>
    </row>
    <row r="2879">
      <c r="A2879" s="10"/>
      <c r="B2879" s="11"/>
      <c r="C2879" s="10"/>
      <c r="D2879" s="13"/>
      <c r="E2879" s="14"/>
      <c r="F2879" s="14"/>
      <c r="G2879" s="14"/>
      <c r="H2879" s="10"/>
      <c r="I2879" s="10"/>
      <c r="J2879" s="10"/>
      <c r="K2879" s="46"/>
      <c r="L2879" s="10"/>
      <c r="M2879" s="44" t="s">
        <v>10178</v>
      </c>
      <c r="N2879" s="45"/>
      <c r="O2879" s="20"/>
      <c r="P2879" s="20"/>
      <c r="Q2879" s="20"/>
      <c r="R2879" s="20"/>
      <c r="S2879" s="20"/>
    </row>
    <row r="2880">
      <c r="A2880" s="23"/>
      <c r="B2880" s="21"/>
      <c r="C2880" s="23"/>
      <c r="D2880" s="24"/>
      <c r="E2880" s="14"/>
      <c r="F2880" s="14"/>
      <c r="G2880" s="14"/>
      <c r="H2880" s="23"/>
      <c r="I2880" s="23"/>
      <c r="J2880" s="23"/>
      <c r="K2880" s="30"/>
      <c r="L2880" s="23"/>
      <c r="M2880" s="50" t="s">
        <v>10178</v>
      </c>
      <c r="N2880" s="51"/>
      <c r="O2880" s="20"/>
      <c r="P2880" s="20"/>
      <c r="Q2880" s="20"/>
      <c r="R2880" s="20"/>
      <c r="S2880" s="20"/>
    </row>
    <row r="2881">
      <c r="A2881" s="10"/>
      <c r="B2881" s="11"/>
      <c r="C2881" s="10"/>
      <c r="D2881" s="13"/>
      <c r="E2881" s="14"/>
      <c r="F2881" s="14"/>
      <c r="G2881" s="14"/>
      <c r="H2881" s="10"/>
      <c r="I2881" s="10"/>
      <c r="J2881" s="10"/>
      <c r="K2881" s="46"/>
      <c r="L2881" s="10"/>
      <c r="M2881" s="44" t="s">
        <v>10178</v>
      </c>
      <c r="N2881" s="45"/>
      <c r="O2881" s="20"/>
      <c r="P2881" s="20"/>
      <c r="Q2881" s="20"/>
      <c r="R2881" s="20"/>
      <c r="S2881" s="20"/>
    </row>
    <row r="2882">
      <c r="A2882" s="23"/>
      <c r="B2882" s="21"/>
      <c r="C2882" s="23"/>
      <c r="D2882" s="24"/>
      <c r="E2882" s="14"/>
      <c r="F2882" s="14"/>
      <c r="G2882" s="14"/>
      <c r="H2882" s="23"/>
      <c r="I2882" s="23"/>
      <c r="J2882" s="23"/>
      <c r="K2882" s="30"/>
      <c r="L2882" s="23"/>
      <c r="M2882" s="50" t="s">
        <v>10178</v>
      </c>
      <c r="N2882" s="51"/>
      <c r="O2882" s="20"/>
      <c r="P2882" s="20"/>
      <c r="Q2882" s="20"/>
      <c r="R2882" s="20"/>
      <c r="S2882" s="20"/>
    </row>
    <row r="2883">
      <c r="A2883" s="10"/>
      <c r="B2883" s="11"/>
      <c r="C2883" s="10"/>
      <c r="D2883" s="13"/>
      <c r="E2883" s="14"/>
      <c r="F2883" s="14"/>
      <c r="G2883" s="14"/>
      <c r="H2883" s="10"/>
      <c r="I2883" s="10"/>
      <c r="J2883" s="10"/>
      <c r="K2883" s="46"/>
      <c r="L2883" s="10"/>
      <c r="M2883" s="44" t="s">
        <v>10178</v>
      </c>
      <c r="N2883" s="45"/>
      <c r="O2883" s="20"/>
      <c r="P2883" s="20"/>
      <c r="Q2883" s="20"/>
      <c r="R2883" s="20"/>
      <c r="S2883" s="20"/>
    </row>
    <row r="2884">
      <c r="A2884" s="23"/>
      <c r="B2884" s="21"/>
      <c r="C2884" s="23"/>
      <c r="D2884" s="24"/>
      <c r="E2884" s="14"/>
      <c r="F2884" s="14"/>
      <c r="G2884" s="14"/>
      <c r="H2884" s="23"/>
      <c r="I2884" s="23"/>
      <c r="J2884" s="23"/>
      <c r="K2884" s="30"/>
      <c r="L2884" s="23"/>
      <c r="M2884" s="50" t="s">
        <v>10178</v>
      </c>
      <c r="N2884" s="51"/>
      <c r="O2884" s="20"/>
      <c r="P2884" s="20"/>
      <c r="Q2884" s="20"/>
      <c r="R2884" s="20"/>
      <c r="S2884" s="20"/>
    </row>
    <row r="2885">
      <c r="A2885" s="10"/>
      <c r="B2885" s="11"/>
      <c r="C2885" s="10"/>
      <c r="D2885" s="13"/>
      <c r="E2885" s="14"/>
      <c r="F2885" s="14"/>
      <c r="G2885" s="14"/>
      <c r="H2885" s="10"/>
      <c r="I2885" s="10"/>
      <c r="J2885" s="10"/>
      <c r="K2885" s="46"/>
      <c r="L2885" s="10"/>
      <c r="M2885" s="44" t="s">
        <v>10178</v>
      </c>
      <c r="N2885" s="45"/>
      <c r="O2885" s="20"/>
      <c r="P2885" s="20"/>
      <c r="Q2885" s="20"/>
      <c r="R2885" s="20"/>
      <c r="S2885" s="20"/>
    </row>
    <row r="2886">
      <c r="A2886" s="23"/>
      <c r="B2886" s="21"/>
      <c r="C2886" s="23"/>
      <c r="D2886" s="24"/>
      <c r="E2886" s="14"/>
      <c r="F2886" s="14"/>
      <c r="G2886" s="14"/>
      <c r="H2886" s="23"/>
      <c r="I2886" s="23"/>
      <c r="J2886" s="23"/>
      <c r="K2886" s="30"/>
      <c r="L2886" s="23"/>
      <c r="M2886" s="50" t="s">
        <v>10178</v>
      </c>
      <c r="N2886" s="51"/>
      <c r="O2886" s="20"/>
      <c r="P2886" s="20"/>
      <c r="Q2886" s="20"/>
      <c r="R2886" s="20"/>
      <c r="S2886" s="20"/>
    </row>
    <row r="2887">
      <c r="A2887" s="10"/>
      <c r="B2887" s="11"/>
      <c r="C2887" s="10"/>
      <c r="D2887" s="13"/>
      <c r="E2887" s="14"/>
      <c r="F2887" s="14"/>
      <c r="G2887" s="14"/>
      <c r="H2887" s="10"/>
      <c r="I2887" s="10"/>
      <c r="J2887" s="10"/>
      <c r="K2887" s="46"/>
      <c r="L2887" s="10"/>
      <c r="M2887" s="44" t="s">
        <v>10178</v>
      </c>
      <c r="N2887" s="45"/>
      <c r="O2887" s="20"/>
      <c r="P2887" s="20"/>
      <c r="Q2887" s="20"/>
      <c r="R2887" s="20"/>
      <c r="S2887" s="20"/>
    </row>
    <row r="2888">
      <c r="A2888" s="23"/>
      <c r="B2888" s="21"/>
      <c r="C2888" s="23"/>
      <c r="D2888" s="24"/>
      <c r="E2888" s="14"/>
      <c r="F2888" s="14"/>
      <c r="G2888" s="14"/>
      <c r="H2888" s="23"/>
      <c r="I2888" s="23"/>
      <c r="J2888" s="23"/>
      <c r="K2888" s="30"/>
      <c r="L2888" s="23"/>
      <c r="M2888" s="50" t="s">
        <v>10178</v>
      </c>
      <c r="N2888" s="51"/>
      <c r="O2888" s="20"/>
      <c r="P2888" s="20"/>
      <c r="Q2888" s="20"/>
      <c r="R2888" s="20"/>
      <c r="S2888" s="20"/>
    </row>
    <row r="2889">
      <c r="A2889" s="10"/>
      <c r="B2889" s="11"/>
      <c r="C2889" s="10"/>
      <c r="D2889" s="13"/>
      <c r="E2889" s="14"/>
      <c r="F2889" s="14"/>
      <c r="G2889" s="14"/>
      <c r="H2889" s="10"/>
      <c r="I2889" s="10"/>
      <c r="J2889" s="10"/>
      <c r="K2889" s="46"/>
      <c r="L2889" s="10"/>
      <c r="M2889" s="44" t="s">
        <v>10178</v>
      </c>
      <c r="N2889" s="45"/>
      <c r="O2889" s="20"/>
      <c r="P2889" s="20"/>
      <c r="Q2889" s="20"/>
      <c r="R2889" s="20"/>
      <c r="S2889" s="20"/>
    </row>
    <row r="2890">
      <c r="A2890" s="23"/>
      <c r="B2890" s="21"/>
      <c r="C2890" s="23"/>
      <c r="D2890" s="24"/>
      <c r="E2890" s="14"/>
      <c r="F2890" s="14"/>
      <c r="G2890" s="14"/>
      <c r="H2890" s="23"/>
      <c r="I2890" s="23"/>
      <c r="J2890" s="23"/>
      <c r="K2890" s="30"/>
      <c r="L2890" s="23"/>
      <c r="M2890" s="50" t="s">
        <v>10178</v>
      </c>
      <c r="N2890" s="51"/>
      <c r="O2890" s="20"/>
      <c r="P2890" s="20"/>
      <c r="Q2890" s="20"/>
      <c r="R2890" s="20"/>
      <c r="S2890" s="20"/>
    </row>
    <row r="2891">
      <c r="A2891" s="10"/>
      <c r="B2891" s="11"/>
      <c r="C2891" s="10"/>
      <c r="D2891" s="13"/>
      <c r="E2891" s="14"/>
      <c r="F2891" s="14"/>
      <c r="G2891" s="14"/>
      <c r="H2891" s="10"/>
      <c r="I2891" s="10"/>
      <c r="J2891" s="10"/>
      <c r="K2891" s="46"/>
      <c r="L2891" s="10"/>
      <c r="M2891" s="44" t="s">
        <v>10178</v>
      </c>
      <c r="N2891" s="45"/>
      <c r="O2891" s="20"/>
      <c r="P2891" s="20"/>
      <c r="Q2891" s="20"/>
      <c r="R2891" s="20"/>
      <c r="S2891" s="20"/>
    </row>
    <row r="2892">
      <c r="A2892" s="23"/>
      <c r="B2892" s="21"/>
      <c r="C2892" s="23"/>
      <c r="D2892" s="24"/>
      <c r="E2892" s="14"/>
      <c r="F2892" s="14"/>
      <c r="G2892" s="14"/>
      <c r="H2892" s="23"/>
      <c r="I2892" s="23"/>
      <c r="J2892" s="23"/>
      <c r="K2892" s="30"/>
      <c r="L2892" s="23"/>
      <c r="M2892" s="50" t="s">
        <v>10178</v>
      </c>
      <c r="N2892" s="51"/>
      <c r="O2892" s="20"/>
      <c r="P2892" s="20"/>
      <c r="Q2892" s="20"/>
      <c r="R2892" s="20"/>
      <c r="S2892" s="20"/>
    </row>
    <row r="2893">
      <c r="A2893" s="10"/>
      <c r="B2893" s="11"/>
      <c r="C2893" s="10"/>
      <c r="D2893" s="13"/>
      <c r="E2893" s="14"/>
      <c r="F2893" s="14"/>
      <c r="G2893" s="14"/>
      <c r="H2893" s="10"/>
      <c r="I2893" s="10"/>
      <c r="J2893" s="10"/>
      <c r="K2893" s="46"/>
      <c r="L2893" s="10"/>
      <c r="M2893" s="44" t="s">
        <v>10178</v>
      </c>
      <c r="N2893" s="45"/>
      <c r="O2893" s="20"/>
      <c r="P2893" s="20"/>
      <c r="Q2893" s="20"/>
      <c r="R2893" s="20"/>
      <c r="S2893" s="20"/>
    </row>
    <row r="2894">
      <c r="A2894" s="23"/>
      <c r="B2894" s="21"/>
      <c r="C2894" s="23"/>
      <c r="D2894" s="24"/>
      <c r="E2894" s="14"/>
      <c r="F2894" s="14"/>
      <c r="G2894" s="14"/>
      <c r="H2894" s="23"/>
      <c r="I2894" s="23"/>
      <c r="J2894" s="23"/>
      <c r="K2894" s="30"/>
      <c r="L2894" s="23"/>
      <c r="M2894" s="50" t="s">
        <v>10178</v>
      </c>
      <c r="N2894" s="51"/>
      <c r="O2894" s="20"/>
      <c r="P2894" s="20"/>
      <c r="Q2894" s="20"/>
      <c r="R2894" s="20"/>
      <c r="S2894" s="20"/>
    </row>
    <row r="2895">
      <c r="A2895" s="10"/>
      <c r="B2895" s="11"/>
      <c r="C2895" s="10"/>
      <c r="D2895" s="13"/>
      <c r="E2895" s="14"/>
      <c r="F2895" s="14"/>
      <c r="G2895" s="14"/>
      <c r="H2895" s="10"/>
      <c r="I2895" s="10"/>
      <c r="J2895" s="10"/>
      <c r="K2895" s="46"/>
      <c r="L2895" s="10"/>
      <c r="M2895" s="44" t="s">
        <v>10178</v>
      </c>
      <c r="N2895" s="45"/>
      <c r="O2895" s="20"/>
      <c r="P2895" s="20"/>
      <c r="Q2895" s="20"/>
      <c r="R2895" s="20"/>
      <c r="S2895" s="20"/>
    </row>
    <row r="2896">
      <c r="A2896" s="23"/>
      <c r="B2896" s="21"/>
      <c r="C2896" s="23"/>
      <c r="D2896" s="24"/>
      <c r="E2896" s="14"/>
      <c r="F2896" s="14"/>
      <c r="G2896" s="14"/>
      <c r="H2896" s="23"/>
      <c r="I2896" s="23"/>
      <c r="J2896" s="23"/>
      <c r="K2896" s="30"/>
      <c r="L2896" s="23"/>
      <c r="M2896" s="50" t="s">
        <v>10178</v>
      </c>
      <c r="N2896" s="51"/>
      <c r="O2896" s="20"/>
      <c r="P2896" s="20"/>
      <c r="Q2896" s="20"/>
      <c r="R2896" s="20"/>
      <c r="S2896" s="20"/>
    </row>
    <row r="2897">
      <c r="A2897" s="10"/>
      <c r="B2897" s="11"/>
      <c r="C2897" s="10"/>
      <c r="D2897" s="13"/>
      <c r="E2897" s="14"/>
      <c r="F2897" s="14"/>
      <c r="G2897" s="14"/>
      <c r="H2897" s="10"/>
      <c r="I2897" s="10"/>
      <c r="J2897" s="10"/>
      <c r="K2897" s="46"/>
      <c r="L2897" s="10"/>
      <c r="M2897" s="44" t="s">
        <v>10178</v>
      </c>
      <c r="N2897" s="45"/>
      <c r="O2897" s="20"/>
      <c r="P2897" s="20"/>
      <c r="Q2897" s="20"/>
      <c r="R2897" s="20"/>
      <c r="S2897" s="20"/>
    </row>
    <row r="2898">
      <c r="A2898" s="23"/>
      <c r="B2898" s="21"/>
      <c r="C2898" s="23"/>
      <c r="D2898" s="24"/>
      <c r="E2898" s="14"/>
      <c r="F2898" s="14"/>
      <c r="G2898" s="14"/>
      <c r="H2898" s="23"/>
      <c r="I2898" s="23"/>
      <c r="J2898" s="23"/>
      <c r="K2898" s="30"/>
      <c r="L2898" s="23"/>
      <c r="M2898" s="50" t="s">
        <v>10178</v>
      </c>
      <c r="N2898" s="51"/>
      <c r="O2898" s="20"/>
      <c r="P2898" s="20"/>
      <c r="Q2898" s="20"/>
      <c r="R2898" s="20"/>
      <c r="S2898" s="20"/>
    </row>
    <row r="2899">
      <c r="A2899" s="10"/>
      <c r="B2899" s="11"/>
      <c r="C2899" s="10"/>
      <c r="D2899" s="13"/>
      <c r="E2899" s="14"/>
      <c r="F2899" s="14"/>
      <c r="G2899" s="14"/>
      <c r="H2899" s="10"/>
      <c r="I2899" s="10"/>
      <c r="J2899" s="10"/>
      <c r="K2899" s="46"/>
      <c r="L2899" s="10"/>
      <c r="M2899" s="44" t="s">
        <v>10178</v>
      </c>
      <c r="N2899" s="45"/>
      <c r="O2899" s="20"/>
      <c r="P2899" s="20"/>
      <c r="Q2899" s="20"/>
      <c r="R2899" s="20"/>
      <c r="S2899" s="20"/>
    </row>
    <row r="2900">
      <c r="A2900" s="23"/>
      <c r="B2900" s="21"/>
      <c r="C2900" s="23"/>
      <c r="D2900" s="24"/>
      <c r="E2900" s="14"/>
      <c r="F2900" s="14"/>
      <c r="G2900" s="14"/>
      <c r="H2900" s="23"/>
      <c r="I2900" s="23"/>
      <c r="J2900" s="23"/>
      <c r="K2900" s="30"/>
      <c r="L2900" s="23"/>
      <c r="M2900" s="50" t="s">
        <v>10178</v>
      </c>
      <c r="N2900" s="51"/>
      <c r="O2900" s="20"/>
      <c r="P2900" s="20"/>
      <c r="Q2900" s="20"/>
      <c r="R2900" s="20"/>
      <c r="S2900" s="20"/>
    </row>
    <row r="2901">
      <c r="A2901" s="10"/>
      <c r="B2901" s="11"/>
      <c r="C2901" s="10"/>
      <c r="D2901" s="13"/>
      <c r="E2901" s="14"/>
      <c r="F2901" s="14"/>
      <c r="G2901" s="14"/>
      <c r="H2901" s="10"/>
      <c r="I2901" s="10"/>
      <c r="J2901" s="10"/>
      <c r="K2901" s="46"/>
      <c r="L2901" s="10"/>
      <c r="M2901" s="44" t="s">
        <v>10178</v>
      </c>
      <c r="N2901" s="45"/>
      <c r="O2901" s="20"/>
      <c r="P2901" s="20"/>
      <c r="Q2901" s="20"/>
      <c r="R2901" s="20"/>
      <c r="S2901" s="20"/>
    </row>
    <row r="2902">
      <c r="A2902" s="23"/>
      <c r="B2902" s="21"/>
      <c r="C2902" s="23"/>
      <c r="D2902" s="24"/>
      <c r="E2902" s="14"/>
      <c r="F2902" s="14"/>
      <c r="G2902" s="14"/>
      <c r="H2902" s="23"/>
      <c r="I2902" s="23"/>
      <c r="J2902" s="23"/>
      <c r="K2902" s="30"/>
      <c r="L2902" s="23"/>
      <c r="M2902" s="50" t="s">
        <v>10178</v>
      </c>
      <c r="N2902" s="51"/>
      <c r="O2902" s="20"/>
      <c r="P2902" s="20"/>
      <c r="Q2902" s="20"/>
      <c r="R2902" s="20"/>
      <c r="S2902" s="20"/>
    </row>
    <row r="2903">
      <c r="A2903" s="10"/>
      <c r="B2903" s="11"/>
      <c r="C2903" s="10"/>
      <c r="D2903" s="13"/>
      <c r="E2903" s="14"/>
      <c r="F2903" s="14"/>
      <c r="G2903" s="14"/>
      <c r="H2903" s="10"/>
      <c r="I2903" s="10"/>
      <c r="J2903" s="10"/>
      <c r="K2903" s="46"/>
      <c r="L2903" s="10"/>
      <c r="M2903" s="44" t="s">
        <v>10178</v>
      </c>
      <c r="N2903" s="45"/>
      <c r="O2903" s="20"/>
      <c r="P2903" s="20"/>
      <c r="Q2903" s="20"/>
      <c r="R2903" s="20"/>
      <c r="S2903" s="20"/>
    </row>
    <row r="2904">
      <c r="A2904" s="23"/>
      <c r="B2904" s="21"/>
      <c r="C2904" s="23"/>
      <c r="D2904" s="24"/>
      <c r="E2904" s="14"/>
      <c r="F2904" s="14"/>
      <c r="G2904" s="14"/>
      <c r="H2904" s="23"/>
      <c r="I2904" s="23"/>
      <c r="J2904" s="23"/>
      <c r="K2904" s="30"/>
      <c r="L2904" s="23"/>
      <c r="M2904" s="50" t="s">
        <v>10178</v>
      </c>
      <c r="N2904" s="51"/>
      <c r="O2904" s="20"/>
      <c r="P2904" s="20"/>
      <c r="Q2904" s="20"/>
      <c r="R2904" s="20"/>
      <c r="S2904" s="20"/>
    </row>
    <row r="2905">
      <c r="A2905" s="10"/>
      <c r="B2905" s="11"/>
      <c r="C2905" s="10"/>
      <c r="D2905" s="13"/>
      <c r="E2905" s="14"/>
      <c r="F2905" s="14"/>
      <c r="G2905" s="14"/>
      <c r="H2905" s="10"/>
      <c r="I2905" s="10"/>
      <c r="J2905" s="10"/>
      <c r="K2905" s="46"/>
      <c r="L2905" s="10"/>
      <c r="M2905" s="44" t="s">
        <v>10178</v>
      </c>
      <c r="N2905" s="45"/>
      <c r="O2905" s="20"/>
      <c r="P2905" s="20"/>
      <c r="Q2905" s="20"/>
      <c r="R2905" s="20"/>
      <c r="S2905" s="20"/>
    </row>
    <row r="2906">
      <c r="A2906" s="23"/>
      <c r="B2906" s="21"/>
      <c r="C2906" s="23"/>
      <c r="D2906" s="24"/>
      <c r="E2906" s="14"/>
      <c r="F2906" s="14"/>
      <c r="G2906" s="14"/>
      <c r="H2906" s="23"/>
      <c r="I2906" s="23"/>
      <c r="J2906" s="23"/>
      <c r="K2906" s="30"/>
      <c r="L2906" s="23"/>
      <c r="M2906" s="50" t="s">
        <v>10178</v>
      </c>
      <c r="N2906" s="51"/>
      <c r="O2906" s="20"/>
      <c r="P2906" s="20"/>
      <c r="Q2906" s="20"/>
      <c r="R2906" s="20"/>
      <c r="S2906" s="20"/>
    </row>
    <row r="2907">
      <c r="A2907" s="10"/>
      <c r="B2907" s="11"/>
      <c r="C2907" s="10"/>
      <c r="D2907" s="13"/>
      <c r="E2907" s="14"/>
      <c r="F2907" s="14"/>
      <c r="G2907" s="14"/>
      <c r="H2907" s="10"/>
      <c r="I2907" s="10"/>
      <c r="J2907" s="10"/>
      <c r="K2907" s="46"/>
      <c r="L2907" s="10"/>
      <c r="M2907" s="44" t="s">
        <v>10178</v>
      </c>
      <c r="N2907" s="45"/>
      <c r="O2907" s="20"/>
      <c r="P2907" s="20"/>
      <c r="Q2907" s="20"/>
      <c r="R2907" s="20"/>
      <c r="S2907" s="20"/>
    </row>
    <row r="2908">
      <c r="A2908" s="23"/>
      <c r="B2908" s="21"/>
      <c r="C2908" s="23"/>
      <c r="D2908" s="24"/>
      <c r="E2908" s="14"/>
      <c r="F2908" s="14"/>
      <c r="G2908" s="14"/>
      <c r="H2908" s="23"/>
      <c r="I2908" s="23"/>
      <c r="J2908" s="23"/>
      <c r="K2908" s="30"/>
      <c r="L2908" s="23"/>
      <c r="M2908" s="50" t="s">
        <v>10178</v>
      </c>
      <c r="N2908" s="51"/>
      <c r="O2908" s="20"/>
      <c r="P2908" s="20"/>
      <c r="Q2908" s="20"/>
      <c r="R2908" s="20"/>
      <c r="S2908" s="20"/>
    </row>
    <row r="2909">
      <c r="A2909" s="10"/>
      <c r="B2909" s="11"/>
      <c r="C2909" s="10"/>
      <c r="D2909" s="13"/>
      <c r="E2909" s="14"/>
      <c r="F2909" s="14"/>
      <c r="G2909" s="14"/>
      <c r="H2909" s="10"/>
      <c r="I2909" s="10"/>
      <c r="J2909" s="10"/>
      <c r="K2909" s="46"/>
      <c r="L2909" s="10"/>
      <c r="M2909" s="44" t="s">
        <v>10178</v>
      </c>
      <c r="N2909" s="45"/>
      <c r="O2909" s="20"/>
      <c r="P2909" s="20"/>
      <c r="Q2909" s="20"/>
      <c r="R2909" s="20"/>
      <c r="S2909" s="20"/>
    </row>
    <row r="2910">
      <c r="A2910" s="23"/>
      <c r="B2910" s="21"/>
      <c r="C2910" s="23"/>
      <c r="D2910" s="24"/>
      <c r="E2910" s="14"/>
      <c r="F2910" s="14"/>
      <c r="G2910" s="14"/>
      <c r="H2910" s="23"/>
      <c r="I2910" s="23"/>
      <c r="J2910" s="23"/>
      <c r="K2910" s="30"/>
      <c r="L2910" s="23"/>
      <c r="M2910" s="50" t="s">
        <v>10178</v>
      </c>
      <c r="N2910" s="51"/>
      <c r="O2910" s="20"/>
      <c r="P2910" s="20"/>
      <c r="Q2910" s="20"/>
      <c r="R2910" s="20"/>
      <c r="S2910" s="20"/>
    </row>
    <row r="2911">
      <c r="A2911" s="10"/>
      <c r="B2911" s="11"/>
      <c r="C2911" s="10"/>
      <c r="D2911" s="13"/>
      <c r="E2911" s="14"/>
      <c r="F2911" s="14"/>
      <c r="G2911" s="14"/>
      <c r="H2911" s="10"/>
      <c r="I2911" s="10"/>
      <c r="J2911" s="10"/>
      <c r="K2911" s="46"/>
      <c r="L2911" s="10"/>
      <c r="M2911" s="44" t="s">
        <v>10178</v>
      </c>
      <c r="N2911" s="45"/>
      <c r="O2911" s="20"/>
      <c r="P2911" s="20"/>
      <c r="Q2911" s="20"/>
      <c r="R2911" s="20"/>
      <c r="S2911" s="20"/>
    </row>
    <row r="2912">
      <c r="A2912" s="23"/>
      <c r="B2912" s="21"/>
      <c r="C2912" s="23"/>
      <c r="D2912" s="24"/>
      <c r="E2912" s="14"/>
      <c r="F2912" s="14"/>
      <c r="G2912" s="14"/>
      <c r="H2912" s="23"/>
      <c r="I2912" s="23"/>
      <c r="J2912" s="23"/>
      <c r="K2912" s="30"/>
      <c r="L2912" s="23"/>
      <c r="M2912" s="50" t="s">
        <v>10178</v>
      </c>
      <c r="N2912" s="51"/>
      <c r="O2912" s="20"/>
      <c r="P2912" s="20"/>
      <c r="Q2912" s="20"/>
      <c r="R2912" s="20"/>
      <c r="S2912" s="20"/>
    </row>
    <row r="2913">
      <c r="A2913" s="10"/>
      <c r="B2913" s="11"/>
      <c r="C2913" s="10"/>
      <c r="D2913" s="13"/>
      <c r="E2913" s="14"/>
      <c r="F2913" s="14"/>
      <c r="G2913" s="14"/>
      <c r="H2913" s="10"/>
      <c r="I2913" s="10"/>
      <c r="J2913" s="10"/>
      <c r="K2913" s="46"/>
      <c r="L2913" s="10"/>
      <c r="M2913" s="44" t="s">
        <v>10178</v>
      </c>
      <c r="N2913" s="45"/>
      <c r="O2913" s="20"/>
      <c r="P2913" s="20"/>
      <c r="Q2913" s="20"/>
      <c r="R2913" s="20"/>
      <c r="S2913" s="20"/>
    </row>
    <row r="2914">
      <c r="A2914" s="23"/>
      <c r="B2914" s="21"/>
      <c r="C2914" s="23"/>
      <c r="D2914" s="24"/>
      <c r="E2914" s="14"/>
      <c r="F2914" s="14"/>
      <c r="G2914" s="14"/>
      <c r="H2914" s="23"/>
      <c r="I2914" s="23"/>
      <c r="J2914" s="23"/>
      <c r="K2914" s="30"/>
      <c r="L2914" s="23"/>
      <c r="M2914" s="50" t="s">
        <v>10178</v>
      </c>
      <c r="N2914" s="51"/>
      <c r="O2914" s="20"/>
      <c r="P2914" s="20"/>
      <c r="Q2914" s="20"/>
      <c r="R2914" s="20"/>
      <c r="S2914" s="20"/>
    </row>
    <row r="2915">
      <c r="A2915" s="10"/>
      <c r="B2915" s="11"/>
      <c r="C2915" s="10"/>
      <c r="D2915" s="13"/>
      <c r="E2915" s="14"/>
      <c r="F2915" s="14"/>
      <c r="G2915" s="14"/>
      <c r="H2915" s="10"/>
      <c r="I2915" s="10"/>
      <c r="J2915" s="10"/>
      <c r="K2915" s="46"/>
      <c r="L2915" s="10"/>
      <c r="M2915" s="44" t="s">
        <v>10178</v>
      </c>
      <c r="N2915" s="45"/>
      <c r="O2915" s="20"/>
      <c r="P2915" s="20"/>
      <c r="Q2915" s="20"/>
      <c r="R2915" s="20"/>
      <c r="S2915" s="20"/>
    </row>
    <row r="2916">
      <c r="A2916" s="23"/>
      <c r="B2916" s="21"/>
      <c r="C2916" s="23"/>
      <c r="D2916" s="24"/>
      <c r="E2916" s="14"/>
      <c r="F2916" s="14"/>
      <c r="G2916" s="14"/>
      <c r="H2916" s="23"/>
      <c r="I2916" s="23"/>
      <c r="J2916" s="23"/>
      <c r="K2916" s="30"/>
      <c r="L2916" s="23"/>
      <c r="M2916" s="50" t="s">
        <v>10178</v>
      </c>
      <c r="N2916" s="51"/>
      <c r="O2916" s="20"/>
      <c r="P2916" s="20"/>
      <c r="Q2916" s="20"/>
      <c r="R2916" s="20"/>
      <c r="S2916" s="20"/>
    </row>
    <row r="2917">
      <c r="A2917" s="10"/>
      <c r="B2917" s="11"/>
      <c r="C2917" s="10"/>
      <c r="D2917" s="13"/>
      <c r="E2917" s="14"/>
      <c r="F2917" s="14"/>
      <c r="G2917" s="14"/>
      <c r="H2917" s="10"/>
      <c r="I2917" s="10"/>
      <c r="J2917" s="10"/>
      <c r="K2917" s="46"/>
      <c r="L2917" s="10"/>
      <c r="M2917" s="44" t="s">
        <v>10178</v>
      </c>
      <c r="N2917" s="45"/>
      <c r="O2917" s="20"/>
      <c r="P2917" s="20"/>
      <c r="Q2917" s="20"/>
      <c r="R2917" s="20"/>
      <c r="S2917" s="20"/>
    </row>
    <row r="2918">
      <c r="A2918" s="23"/>
      <c r="B2918" s="21"/>
      <c r="C2918" s="23"/>
      <c r="D2918" s="24"/>
      <c r="E2918" s="14"/>
      <c r="F2918" s="14"/>
      <c r="G2918" s="14"/>
      <c r="H2918" s="23"/>
      <c r="I2918" s="23"/>
      <c r="J2918" s="23"/>
      <c r="K2918" s="30"/>
      <c r="L2918" s="23"/>
      <c r="M2918" s="50" t="s">
        <v>10178</v>
      </c>
      <c r="N2918" s="51"/>
      <c r="O2918" s="20"/>
      <c r="P2918" s="20"/>
      <c r="Q2918" s="20"/>
      <c r="R2918" s="20"/>
      <c r="S2918" s="20"/>
    </row>
    <row r="2919">
      <c r="A2919" s="10"/>
      <c r="B2919" s="11"/>
      <c r="C2919" s="10"/>
      <c r="D2919" s="13"/>
      <c r="E2919" s="14"/>
      <c r="F2919" s="14"/>
      <c r="G2919" s="14"/>
      <c r="H2919" s="10"/>
      <c r="I2919" s="10"/>
      <c r="J2919" s="10"/>
      <c r="K2919" s="46"/>
      <c r="L2919" s="10"/>
      <c r="M2919" s="44" t="s">
        <v>10178</v>
      </c>
      <c r="N2919" s="45"/>
      <c r="O2919" s="20"/>
      <c r="P2919" s="20"/>
      <c r="Q2919" s="20"/>
      <c r="R2919" s="20"/>
      <c r="S2919" s="20"/>
    </row>
    <row r="2920">
      <c r="A2920" s="23"/>
      <c r="B2920" s="21"/>
      <c r="C2920" s="23"/>
      <c r="D2920" s="24"/>
      <c r="E2920" s="14"/>
      <c r="F2920" s="14"/>
      <c r="G2920" s="14"/>
      <c r="H2920" s="23"/>
      <c r="I2920" s="23"/>
      <c r="J2920" s="23"/>
      <c r="K2920" s="30"/>
      <c r="L2920" s="23"/>
      <c r="M2920" s="50" t="s">
        <v>10178</v>
      </c>
      <c r="N2920" s="51"/>
      <c r="O2920" s="20"/>
      <c r="P2920" s="20"/>
      <c r="Q2920" s="20"/>
      <c r="R2920" s="20"/>
      <c r="S2920" s="20"/>
    </row>
    <row r="2921">
      <c r="A2921" s="10"/>
      <c r="B2921" s="11"/>
      <c r="C2921" s="10"/>
      <c r="D2921" s="13"/>
      <c r="E2921" s="14"/>
      <c r="F2921" s="14"/>
      <c r="G2921" s="14"/>
      <c r="H2921" s="10"/>
      <c r="I2921" s="10"/>
      <c r="J2921" s="10"/>
      <c r="K2921" s="46"/>
      <c r="L2921" s="10"/>
      <c r="M2921" s="44" t="s">
        <v>10178</v>
      </c>
      <c r="N2921" s="45"/>
      <c r="O2921" s="20"/>
      <c r="P2921" s="20"/>
      <c r="Q2921" s="20"/>
      <c r="R2921" s="20"/>
      <c r="S2921" s="20"/>
    </row>
    <row r="2922">
      <c r="A2922" s="23"/>
      <c r="B2922" s="21"/>
      <c r="C2922" s="23"/>
      <c r="D2922" s="24"/>
      <c r="E2922" s="14"/>
      <c r="F2922" s="14"/>
      <c r="G2922" s="14"/>
      <c r="H2922" s="23"/>
      <c r="I2922" s="23"/>
      <c r="J2922" s="23"/>
      <c r="K2922" s="30"/>
      <c r="L2922" s="23"/>
      <c r="M2922" s="50" t="s">
        <v>10178</v>
      </c>
      <c r="N2922" s="51"/>
      <c r="O2922" s="20"/>
      <c r="P2922" s="20"/>
      <c r="Q2922" s="20"/>
      <c r="R2922" s="20"/>
      <c r="S2922" s="20"/>
    </row>
    <row r="2923">
      <c r="A2923" s="10"/>
      <c r="B2923" s="11"/>
      <c r="C2923" s="10"/>
      <c r="D2923" s="13"/>
      <c r="E2923" s="14"/>
      <c r="F2923" s="14"/>
      <c r="G2923" s="14"/>
      <c r="H2923" s="10"/>
      <c r="I2923" s="10"/>
      <c r="J2923" s="10"/>
      <c r="K2923" s="46"/>
      <c r="L2923" s="10"/>
      <c r="M2923" s="44" t="s">
        <v>10178</v>
      </c>
      <c r="N2923" s="45"/>
      <c r="O2923" s="20"/>
      <c r="P2923" s="20"/>
      <c r="Q2923" s="20"/>
      <c r="R2923" s="20"/>
      <c r="S2923" s="20"/>
    </row>
    <row r="2924">
      <c r="A2924" s="23"/>
      <c r="B2924" s="21"/>
      <c r="C2924" s="23"/>
      <c r="D2924" s="24"/>
      <c r="E2924" s="14"/>
      <c r="F2924" s="14"/>
      <c r="G2924" s="14"/>
      <c r="H2924" s="23"/>
      <c r="I2924" s="23"/>
      <c r="J2924" s="23"/>
      <c r="K2924" s="30"/>
      <c r="L2924" s="23"/>
      <c r="M2924" s="50" t="s">
        <v>10178</v>
      </c>
      <c r="N2924" s="51"/>
      <c r="O2924" s="20"/>
      <c r="P2924" s="20"/>
      <c r="Q2924" s="20"/>
      <c r="R2924" s="20"/>
      <c r="S2924" s="20"/>
    </row>
    <row r="2925">
      <c r="A2925" s="10"/>
      <c r="B2925" s="11"/>
      <c r="C2925" s="10"/>
      <c r="D2925" s="13"/>
      <c r="E2925" s="14"/>
      <c r="F2925" s="14"/>
      <c r="G2925" s="14"/>
      <c r="H2925" s="10"/>
      <c r="I2925" s="10"/>
      <c r="J2925" s="10"/>
      <c r="K2925" s="46"/>
      <c r="L2925" s="10"/>
      <c r="M2925" s="44" t="s">
        <v>10178</v>
      </c>
      <c r="N2925" s="45"/>
      <c r="O2925" s="20"/>
      <c r="P2925" s="20"/>
      <c r="Q2925" s="20"/>
      <c r="R2925" s="20"/>
      <c r="S2925" s="20"/>
    </row>
    <row r="2926">
      <c r="A2926" s="23"/>
      <c r="B2926" s="21"/>
      <c r="C2926" s="23"/>
      <c r="D2926" s="24"/>
      <c r="E2926" s="14"/>
      <c r="F2926" s="14"/>
      <c r="G2926" s="14"/>
      <c r="H2926" s="23"/>
      <c r="I2926" s="23"/>
      <c r="J2926" s="23"/>
      <c r="K2926" s="30"/>
      <c r="L2926" s="23"/>
      <c r="M2926" s="50" t="s">
        <v>10178</v>
      </c>
      <c r="N2926" s="51"/>
      <c r="O2926" s="20"/>
      <c r="P2926" s="20"/>
      <c r="Q2926" s="20"/>
      <c r="R2926" s="20"/>
      <c r="S2926" s="20"/>
    </row>
    <row r="2927">
      <c r="A2927" s="10"/>
      <c r="B2927" s="11"/>
      <c r="C2927" s="10"/>
      <c r="D2927" s="13"/>
      <c r="E2927" s="14"/>
      <c r="F2927" s="14"/>
      <c r="G2927" s="14"/>
      <c r="H2927" s="10"/>
      <c r="I2927" s="10"/>
      <c r="J2927" s="10"/>
      <c r="K2927" s="46"/>
      <c r="L2927" s="10"/>
      <c r="M2927" s="44" t="s">
        <v>10178</v>
      </c>
      <c r="N2927" s="45"/>
      <c r="O2927" s="20"/>
      <c r="P2927" s="20"/>
      <c r="Q2927" s="20"/>
      <c r="R2927" s="20"/>
      <c r="S2927" s="20"/>
    </row>
    <row r="2928">
      <c r="A2928" s="23"/>
      <c r="B2928" s="21"/>
      <c r="C2928" s="23"/>
      <c r="D2928" s="24"/>
      <c r="E2928" s="14"/>
      <c r="F2928" s="14"/>
      <c r="G2928" s="14"/>
      <c r="H2928" s="23"/>
      <c r="I2928" s="23"/>
      <c r="J2928" s="23"/>
      <c r="K2928" s="30"/>
      <c r="L2928" s="23"/>
      <c r="M2928" s="50" t="s">
        <v>10178</v>
      </c>
      <c r="N2928" s="51"/>
      <c r="O2928" s="20"/>
      <c r="P2928" s="20"/>
      <c r="Q2928" s="20"/>
      <c r="R2928" s="20"/>
      <c r="S2928" s="20"/>
    </row>
    <row r="2929">
      <c r="A2929" s="10"/>
      <c r="B2929" s="11"/>
      <c r="C2929" s="10"/>
      <c r="D2929" s="13"/>
      <c r="E2929" s="14"/>
      <c r="F2929" s="14"/>
      <c r="G2929" s="14"/>
      <c r="H2929" s="10"/>
      <c r="I2929" s="10"/>
      <c r="J2929" s="10"/>
      <c r="K2929" s="46"/>
      <c r="L2929" s="10"/>
      <c r="M2929" s="44" t="s">
        <v>10178</v>
      </c>
      <c r="N2929" s="45"/>
      <c r="O2929" s="20"/>
      <c r="P2929" s="20"/>
      <c r="Q2929" s="20"/>
      <c r="R2929" s="20"/>
      <c r="S2929" s="20"/>
    </row>
    <row r="2930">
      <c r="A2930" s="23"/>
      <c r="B2930" s="21"/>
      <c r="C2930" s="23"/>
      <c r="D2930" s="24"/>
      <c r="E2930" s="14"/>
      <c r="F2930" s="14"/>
      <c r="G2930" s="14"/>
      <c r="H2930" s="23"/>
      <c r="I2930" s="23"/>
      <c r="J2930" s="23"/>
      <c r="K2930" s="30"/>
      <c r="L2930" s="23"/>
      <c r="M2930" s="50" t="s">
        <v>10178</v>
      </c>
      <c r="N2930" s="51"/>
      <c r="O2930" s="20"/>
      <c r="P2930" s="20"/>
      <c r="Q2930" s="20"/>
      <c r="R2930" s="20"/>
      <c r="S2930" s="20"/>
    </row>
    <row r="2931">
      <c r="A2931" s="10"/>
      <c r="B2931" s="11"/>
      <c r="C2931" s="10"/>
      <c r="D2931" s="13"/>
      <c r="E2931" s="14"/>
      <c r="F2931" s="14"/>
      <c r="G2931" s="14"/>
      <c r="H2931" s="10"/>
      <c r="I2931" s="10"/>
      <c r="J2931" s="10"/>
      <c r="K2931" s="46"/>
      <c r="L2931" s="10"/>
      <c r="M2931" s="44" t="s">
        <v>10178</v>
      </c>
      <c r="N2931" s="45"/>
      <c r="O2931" s="20"/>
      <c r="P2931" s="20"/>
      <c r="Q2931" s="20"/>
      <c r="R2931" s="20"/>
      <c r="S2931" s="20"/>
    </row>
    <row r="2932">
      <c r="A2932" s="23"/>
      <c r="B2932" s="21"/>
      <c r="C2932" s="23"/>
      <c r="D2932" s="24"/>
      <c r="E2932" s="14"/>
      <c r="F2932" s="14"/>
      <c r="G2932" s="14"/>
      <c r="H2932" s="23"/>
      <c r="I2932" s="23"/>
      <c r="J2932" s="23"/>
      <c r="K2932" s="30"/>
      <c r="L2932" s="23"/>
      <c r="M2932" s="50" t="s">
        <v>10178</v>
      </c>
      <c r="N2932" s="51"/>
      <c r="O2932" s="20"/>
      <c r="P2932" s="20"/>
      <c r="Q2932" s="20"/>
      <c r="R2932" s="20"/>
      <c r="S2932" s="20"/>
    </row>
    <row r="2933">
      <c r="A2933" s="10"/>
      <c r="B2933" s="11"/>
      <c r="C2933" s="10"/>
      <c r="D2933" s="13"/>
      <c r="E2933" s="14"/>
      <c r="F2933" s="14"/>
      <c r="G2933" s="14"/>
      <c r="H2933" s="10"/>
      <c r="I2933" s="10"/>
      <c r="J2933" s="10"/>
      <c r="K2933" s="46"/>
      <c r="L2933" s="10"/>
      <c r="M2933" s="44" t="s">
        <v>10178</v>
      </c>
      <c r="N2933" s="45"/>
      <c r="O2933" s="20"/>
      <c r="P2933" s="20"/>
      <c r="Q2933" s="20"/>
      <c r="R2933" s="20"/>
      <c r="S2933" s="20"/>
    </row>
    <row r="2934">
      <c r="A2934" s="23"/>
      <c r="B2934" s="21"/>
      <c r="C2934" s="23"/>
      <c r="D2934" s="24"/>
      <c r="E2934" s="14"/>
      <c r="F2934" s="14"/>
      <c r="G2934" s="14"/>
      <c r="H2934" s="23"/>
      <c r="I2934" s="23"/>
      <c r="J2934" s="23"/>
      <c r="K2934" s="30"/>
      <c r="L2934" s="23"/>
      <c r="M2934" s="50" t="s">
        <v>10178</v>
      </c>
      <c r="N2934" s="51"/>
      <c r="O2934" s="20"/>
      <c r="P2934" s="20"/>
      <c r="Q2934" s="20"/>
      <c r="R2934" s="20"/>
      <c r="S2934" s="20"/>
    </row>
    <row r="2935">
      <c r="A2935" s="10"/>
      <c r="B2935" s="11"/>
      <c r="C2935" s="10"/>
      <c r="D2935" s="13"/>
      <c r="E2935" s="14"/>
      <c r="F2935" s="14"/>
      <c r="G2935" s="14"/>
      <c r="H2935" s="10"/>
      <c r="I2935" s="10"/>
      <c r="J2935" s="10"/>
      <c r="K2935" s="46"/>
      <c r="L2935" s="10"/>
      <c r="M2935" s="44" t="s">
        <v>10178</v>
      </c>
      <c r="N2935" s="45"/>
      <c r="O2935" s="20"/>
      <c r="P2935" s="20"/>
      <c r="Q2935" s="20"/>
      <c r="R2935" s="20"/>
      <c r="S2935" s="20"/>
    </row>
    <row r="2936">
      <c r="A2936" s="23"/>
      <c r="B2936" s="21"/>
      <c r="C2936" s="23"/>
      <c r="D2936" s="24"/>
      <c r="E2936" s="14"/>
      <c r="F2936" s="14"/>
      <c r="G2936" s="14"/>
      <c r="H2936" s="23"/>
      <c r="I2936" s="23"/>
      <c r="J2936" s="23"/>
      <c r="K2936" s="30"/>
      <c r="L2936" s="23"/>
      <c r="M2936" s="50" t="s">
        <v>10178</v>
      </c>
      <c r="N2936" s="51"/>
      <c r="O2936" s="20"/>
      <c r="P2936" s="20"/>
      <c r="Q2936" s="20"/>
      <c r="R2936" s="20"/>
      <c r="S2936" s="20"/>
    </row>
    <row r="2937">
      <c r="A2937" s="10"/>
      <c r="B2937" s="11"/>
      <c r="C2937" s="10"/>
      <c r="D2937" s="13"/>
      <c r="E2937" s="14"/>
      <c r="F2937" s="14"/>
      <c r="G2937" s="14"/>
      <c r="H2937" s="10"/>
      <c r="I2937" s="10"/>
      <c r="J2937" s="10"/>
      <c r="K2937" s="46"/>
      <c r="L2937" s="10"/>
      <c r="M2937" s="44" t="s">
        <v>10178</v>
      </c>
      <c r="N2937" s="45"/>
      <c r="O2937" s="20"/>
      <c r="P2937" s="20"/>
      <c r="Q2937" s="20"/>
      <c r="R2937" s="20"/>
      <c r="S2937" s="20"/>
    </row>
    <row r="2938">
      <c r="A2938" s="23"/>
      <c r="B2938" s="21"/>
      <c r="C2938" s="23"/>
      <c r="D2938" s="24"/>
      <c r="E2938" s="14"/>
      <c r="F2938" s="14"/>
      <c r="G2938" s="14"/>
      <c r="H2938" s="23"/>
      <c r="I2938" s="23"/>
      <c r="J2938" s="23"/>
      <c r="K2938" s="30"/>
      <c r="L2938" s="23"/>
      <c r="M2938" s="50" t="s">
        <v>10178</v>
      </c>
      <c r="N2938" s="51"/>
      <c r="O2938" s="20"/>
      <c r="P2938" s="20"/>
      <c r="Q2938" s="20"/>
      <c r="R2938" s="20"/>
      <c r="S2938" s="20"/>
    </row>
    <row r="2939">
      <c r="A2939" s="10"/>
      <c r="B2939" s="11"/>
      <c r="C2939" s="10"/>
      <c r="D2939" s="13"/>
      <c r="E2939" s="14"/>
      <c r="F2939" s="14"/>
      <c r="G2939" s="14"/>
      <c r="H2939" s="10"/>
      <c r="I2939" s="10"/>
      <c r="J2939" s="10"/>
      <c r="K2939" s="46"/>
      <c r="L2939" s="10"/>
      <c r="M2939" s="44" t="s">
        <v>10178</v>
      </c>
      <c r="N2939" s="45"/>
      <c r="O2939" s="20"/>
      <c r="P2939" s="20"/>
      <c r="Q2939" s="20"/>
      <c r="R2939" s="20"/>
      <c r="S2939" s="20"/>
    </row>
    <row r="2940">
      <c r="A2940" s="23"/>
      <c r="B2940" s="21"/>
      <c r="C2940" s="23"/>
      <c r="D2940" s="24"/>
      <c r="E2940" s="14"/>
      <c r="F2940" s="14"/>
      <c r="G2940" s="14"/>
      <c r="H2940" s="23"/>
      <c r="I2940" s="23"/>
      <c r="J2940" s="23"/>
      <c r="K2940" s="30"/>
      <c r="L2940" s="23"/>
      <c r="M2940" s="50" t="s">
        <v>10178</v>
      </c>
      <c r="N2940" s="51"/>
      <c r="O2940" s="20"/>
      <c r="P2940" s="20"/>
      <c r="Q2940" s="20"/>
      <c r="R2940" s="20"/>
      <c r="S2940" s="20"/>
    </row>
    <row r="2941">
      <c r="A2941" s="10"/>
      <c r="B2941" s="11"/>
      <c r="C2941" s="10"/>
      <c r="D2941" s="13"/>
      <c r="E2941" s="14"/>
      <c r="F2941" s="14"/>
      <c r="G2941" s="14"/>
      <c r="H2941" s="10"/>
      <c r="I2941" s="10"/>
      <c r="J2941" s="10"/>
      <c r="K2941" s="46"/>
      <c r="L2941" s="10"/>
      <c r="M2941" s="44" t="s">
        <v>10178</v>
      </c>
      <c r="N2941" s="45"/>
      <c r="O2941" s="20"/>
      <c r="P2941" s="20"/>
      <c r="Q2941" s="20"/>
      <c r="R2941" s="20"/>
      <c r="S2941" s="20"/>
    </row>
    <row r="2942">
      <c r="A2942" s="23"/>
      <c r="B2942" s="21"/>
      <c r="C2942" s="23"/>
      <c r="D2942" s="24"/>
      <c r="E2942" s="14"/>
      <c r="F2942" s="14"/>
      <c r="G2942" s="14"/>
      <c r="H2942" s="23"/>
      <c r="I2942" s="23"/>
      <c r="J2942" s="23"/>
      <c r="K2942" s="30"/>
      <c r="L2942" s="23"/>
      <c r="M2942" s="50" t="s">
        <v>10178</v>
      </c>
      <c r="N2942" s="51"/>
      <c r="O2942" s="20"/>
      <c r="P2942" s="20"/>
      <c r="Q2942" s="20"/>
      <c r="R2942" s="20"/>
      <c r="S2942" s="20"/>
    </row>
    <row r="2943">
      <c r="A2943" s="10"/>
      <c r="B2943" s="11"/>
      <c r="C2943" s="10"/>
      <c r="D2943" s="13"/>
      <c r="E2943" s="14"/>
      <c r="F2943" s="14"/>
      <c r="G2943" s="14"/>
      <c r="H2943" s="10"/>
      <c r="I2943" s="10"/>
      <c r="J2943" s="10"/>
      <c r="K2943" s="46"/>
      <c r="L2943" s="10"/>
      <c r="M2943" s="44" t="s">
        <v>10178</v>
      </c>
      <c r="N2943" s="45"/>
      <c r="O2943" s="20"/>
      <c r="P2943" s="20"/>
      <c r="Q2943" s="20"/>
      <c r="R2943" s="20"/>
      <c r="S2943" s="20"/>
    </row>
    <row r="2944">
      <c r="A2944" s="23"/>
      <c r="B2944" s="21"/>
      <c r="C2944" s="23"/>
      <c r="D2944" s="24"/>
      <c r="E2944" s="14"/>
      <c r="F2944" s="14"/>
      <c r="G2944" s="14"/>
      <c r="H2944" s="23"/>
      <c r="I2944" s="23"/>
      <c r="J2944" s="23"/>
      <c r="K2944" s="30"/>
      <c r="L2944" s="23"/>
      <c r="M2944" s="50" t="s">
        <v>10178</v>
      </c>
      <c r="N2944" s="51"/>
      <c r="O2944" s="20"/>
      <c r="P2944" s="20"/>
      <c r="Q2944" s="20"/>
      <c r="R2944" s="20"/>
      <c r="S2944" s="20"/>
    </row>
    <row r="2945">
      <c r="A2945" s="10"/>
      <c r="B2945" s="11"/>
      <c r="C2945" s="10"/>
      <c r="D2945" s="13"/>
      <c r="E2945" s="14"/>
      <c r="F2945" s="14"/>
      <c r="G2945" s="14"/>
      <c r="H2945" s="10"/>
      <c r="I2945" s="10"/>
      <c r="J2945" s="10"/>
      <c r="K2945" s="46"/>
      <c r="L2945" s="10"/>
      <c r="M2945" s="44" t="s">
        <v>10178</v>
      </c>
      <c r="N2945" s="45"/>
      <c r="O2945" s="20"/>
      <c r="P2945" s="20"/>
      <c r="Q2945" s="20"/>
      <c r="R2945" s="20"/>
      <c r="S2945" s="20"/>
    </row>
    <row r="2946">
      <c r="A2946" s="23"/>
      <c r="B2946" s="21"/>
      <c r="C2946" s="23"/>
      <c r="D2946" s="24"/>
      <c r="E2946" s="14"/>
      <c r="F2946" s="14"/>
      <c r="G2946" s="14"/>
      <c r="H2946" s="23"/>
      <c r="I2946" s="23"/>
      <c r="J2946" s="23"/>
      <c r="K2946" s="30"/>
      <c r="L2946" s="23"/>
      <c r="M2946" s="50" t="s">
        <v>10178</v>
      </c>
      <c r="N2946" s="51"/>
      <c r="O2946" s="20"/>
      <c r="P2946" s="20"/>
      <c r="Q2946" s="20"/>
      <c r="R2946" s="20"/>
      <c r="S2946" s="20"/>
    </row>
    <row r="2947">
      <c r="A2947" s="10"/>
      <c r="B2947" s="11"/>
      <c r="C2947" s="10"/>
      <c r="D2947" s="13"/>
      <c r="E2947" s="14"/>
      <c r="F2947" s="14"/>
      <c r="G2947" s="14"/>
      <c r="H2947" s="10"/>
      <c r="I2947" s="10"/>
      <c r="J2947" s="10"/>
      <c r="K2947" s="46"/>
      <c r="L2947" s="10"/>
      <c r="M2947" s="44" t="s">
        <v>10178</v>
      </c>
      <c r="N2947" s="45"/>
      <c r="O2947" s="20"/>
      <c r="P2947" s="20"/>
      <c r="Q2947" s="20"/>
      <c r="R2947" s="20"/>
      <c r="S2947" s="20"/>
    </row>
    <row r="2948">
      <c r="A2948" s="23"/>
      <c r="B2948" s="21"/>
      <c r="C2948" s="23"/>
      <c r="D2948" s="24"/>
      <c r="E2948" s="14"/>
      <c r="F2948" s="14"/>
      <c r="G2948" s="14"/>
      <c r="H2948" s="23"/>
      <c r="I2948" s="23"/>
      <c r="J2948" s="23"/>
      <c r="K2948" s="30"/>
      <c r="L2948" s="23"/>
      <c r="M2948" s="50" t="s">
        <v>10178</v>
      </c>
      <c r="N2948" s="51"/>
      <c r="O2948" s="20"/>
      <c r="P2948" s="20"/>
      <c r="Q2948" s="20"/>
      <c r="R2948" s="20"/>
      <c r="S2948" s="20"/>
    </row>
    <row r="2949">
      <c r="A2949" s="10"/>
      <c r="B2949" s="11"/>
      <c r="C2949" s="10"/>
      <c r="D2949" s="13"/>
      <c r="E2949" s="14"/>
      <c r="F2949" s="14"/>
      <c r="G2949" s="14"/>
      <c r="H2949" s="10"/>
      <c r="I2949" s="10"/>
      <c r="J2949" s="10"/>
      <c r="K2949" s="46"/>
      <c r="L2949" s="10"/>
      <c r="M2949" s="44" t="s">
        <v>10178</v>
      </c>
      <c r="N2949" s="45"/>
      <c r="O2949" s="20"/>
      <c r="P2949" s="20"/>
      <c r="Q2949" s="20"/>
      <c r="R2949" s="20"/>
      <c r="S2949" s="20"/>
    </row>
    <row r="2950">
      <c r="A2950" s="23"/>
      <c r="B2950" s="21"/>
      <c r="C2950" s="23"/>
      <c r="D2950" s="24"/>
      <c r="E2950" s="14"/>
      <c r="F2950" s="14"/>
      <c r="G2950" s="14"/>
      <c r="H2950" s="23"/>
      <c r="I2950" s="23"/>
      <c r="J2950" s="23"/>
      <c r="K2950" s="30"/>
      <c r="L2950" s="23"/>
      <c r="M2950" s="50" t="s">
        <v>10178</v>
      </c>
      <c r="N2950" s="51"/>
      <c r="O2950" s="20"/>
      <c r="P2950" s="20"/>
      <c r="Q2950" s="20"/>
      <c r="R2950" s="20"/>
      <c r="S2950" s="20"/>
    </row>
    <row r="2951">
      <c r="A2951" s="10"/>
      <c r="B2951" s="11"/>
      <c r="C2951" s="10"/>
      <c r="D2951" s="13"/>
      <c r="E2951" s="14"/>
      <c r="F2951" s="14"/>
      <c r="G2951" s="14"/>
      <c r="H2951" s="10"/>
      <c r="I2951" s="10"/>
      <c r="J2951" s="10"/>
      <c r="K2951" s="46"/>
      <c r="L2951" s="10"/>
      <c r="M2951" s="44" t="s">
        <v>10178</v>
      </c>
      <c r="N2951" s="45"/>
      <c r="O2951" s="20"/>
      <c r="P2951" s="20"/>
      <c r="Q2951" s="20"/>
      <c r="R2951" s="20"/>
      <c r="S2951" s="20"/>
    </row>
    <row r="2952">
      <c r="A2952" s="23"/>
      <c r="B2952" s="21"/>
      <c r="C2952" s="23"/>
      <c r="D2952" s="24"/>
      <c r="E2952" s="14"/>
      <c r="F2952" s="14"/>
      <c r="G2952" s="14"/>
      <c r="H2952" s="23"/>
      <c r="I2952" s="23"/>
      <c r="J2952" s="23"/>
      <c r="K2952" s="30"/>
      <c r="L2952" s="23"/>
      <c r="M2952" s="50" t="s">
        <v>10178</v>
      </c>
      <c r="N2952" s="51"/>
      <c r="O2952" s="20"/>
      <c r="P2952" s="20"/>
      <c r="Q2952" s="20"/>
      <c r="R2952" s="20"/>
      <c r="S2952" s="20"/>
    </row>
    <row r="2953">
      <c r="A2953" s="10"/>
      <c r="B2953" s="11"/>
      <c r="C2953" s="10"/>
      <c r="D2953" s="13"/>
      <c r="E2953" s="14"/>
      <c r="F2953" s="14"/>
      <c r="G2953" s="14"/>
      <c r="H2953" s="10"/>
      <c r="I2953" s="10"/>
      <c r="J2953" s="10"/>
      <c r="K2953" s="46"/>
      <c r="L2953" s="10"/>
      <c r="M2953" s="44" t="s">
        <v>10178</v>
      </c>
      <c r="N2953" s="45"/>
      <c r="O2953" s="20"/>
      <c r="P2953" s="20"/>
      <c r="Q2953" s="20"/>
      <c r="R2953" s="20"/>
      <c r="S2953" s="20"/>
    </row>
    <row r="2954">
      <c r="A2954" s="23"/>
      <c r="B2954" s="21"/>
      <c r="C2954" s="23"/>
      <c r="D2954" s="24"/>
      <c r="E2954" s="14"/>
      <c r="F2954" s="14"/>
      <c r="G2954" s="14"/>
      <c r="H2954" s="23"/>
      <c r="I2954" s="23"/>
      <c r="J2954" s="23"/>
      <c r="K2954" s="30"/>
      <c r="L2954" s="23"/>
      <c r="M2954" s="50" t="s">
        <v>10178</v>
      </c>
      <c r="N2954" s="51"/>
      <c r="O2954" s="20"/>
      <c r="P2954" s="20"/>
      <c r="Q2954" s="20"/>
      <c r="R2954" s="20"/>
      <c r="S2954" s="20"/>
    </row>
    <row r="2955">
      <c r="A2955" s="10"/>
      <c r="B2955" s="11"/>
      <c r="C2955" s="10"/>
      <c r="D2955" s="13"/>
      <c r="E2955" s="14"/>
      <c r="F2955" s="14"/>
      <c r="G2955" s="14"/>
      <c r="H2955" s="10"/>
      <c r="I2955" s="10"/>
      <c r="J2955" s="10"/>
      <c r="K2955" s="46"/>
      <c r="L2955" s="10"/>
      <c r="M2955" s="44" t="s">
        <v>10178</v>
      </c>
      <c r="N2955" s="45"/>
      <c r="O2955" s="20"/>
      <c r="P2955" s="20"/>
      <c r="Q2955" s="20"/>
      <c r="R2955" s="20"/>
      <c r="S2955" s="20"/>
    </row>
    <row r="2956">
      <c r="A2956" s="23"/>
      <c r="B2956" s="21"/>
      <c r="C2956" s="23"/>
      <c r="D2956" s="24"/>
      <c r="E2956" s="14"/>
      <c r="F2956" s="14"/>
      <c r="G2956" s="14"/>
      <c r="H2956" s="23"/>
      <c r="I2956" s="23"/>
      <c r="J2956" s="23"/>
      <c r="K2956" s="30"/>
      <c r="L2956" s="23"/>
      <c r="M2956" s="50" t="s">
        <v>10178</v>
      </c>
      <c r="N2956" s="51"/>
      <c r="O2956" s="20"/>
      <c r="P2956" s="20"/>
      <c r="Q2956" s="20"/>
      <c r="R2956" s="20"/>
      <c r="S2956" s="20"/>
    </row>
    <row r="2957">
      <c r="A2957" s="10"/>
      <c r="B2957" s="11"/>
      <c r="C2957" s="10"/>
      <c r="D2957" s="13"/>
      <c r="E2957" s="14"/>
      <c r="F2957" s="14"/>
      <c r="G2957" s="14"/>
      <c r="H2957" s="10"/>
      <c r="I2957" s="10"/>
      <c r="J2957" s="10"/>
      <c r="K2957" s="46"/>
      <c r="L2957" s="10"/>
      <c r="M2957" s="44" t="s">
        <v>10178</v>
      </c>
      <c r="N2957" s="45"/>
      <c r="O2957" s="20"/>
      <c r="P2957" s="20"/>
      <c r="Q2957" s="20"/>
      <c r="R2957" s="20"/>
      <c r="S2957" s="20"/>
    </row>
    <row r="2958">
      <c r="A2958" s="23"/>
      <c r="B2958" s="21"/>
      <c r="C2958" s="23"/>
      <c r="D2958" s="24"/>
      <c r="E2958" s="14"/>
      <c r="F2958" s="14"/>
      <c r="G2958" s="14"/>
      <c r="H2958" s="23"/>
      <c r="I2958" s="23"/>
      <c r="J2958" s="23"/>
      <c r="K2958" s="30"/>
      <c r="L2958" s="23"/>
      <c r="M2958" s="50" t="s">
        <v>10178</v>
      </c>
      <c r="N2958" s="51"/>
      <c r="O2958" s="20"/>
      <c r="P2958" s="20"/>
      <c r="Q2958" s="20"/>
      <c r="R2958" s="20"/>
      <c r="S2958" s="20"/>
    </row>
    <row r="2959">
      <c r="A2959" s="10"/>
      <c r="B2959" s="11"/>
      <c r="C2959" s="10"/>
      <c r="D2959" s="13"/>
      <c r="E2959" s="14"/>
      <c r="F2959" s="14"/>
      <c r="G2959" s="14"/>
      <c r="H2959" s="10"/>
      <c r="I2959" s="10"/>
      <c r="J2959" s="10"/>
      <c r="K2959" s="46"/>
      <c r="L2959" s="10"/>
      <c r="M2959" s="44" t="s">
        <v>10178</v>
      </c>
      <c r="N2959" s="45"/>
      <c r="O2959" s="20"/>
      <c r="P2959" s="20"/>
      <c r="Q2959" s="20"/>
      <c r="R2959" s="20"/>
      <c r="S2959" s="20"/>
    </row>
    <row r="2960">
      <c r="A2960" s="23"/>
      <c r="B2960" s="21"/>
      <c r="C2960" s="23"/>
      <c r="D2960" s="24"/>
      <c r="E2960" s="14"/>
      <c r="F2960" s="14"/>
      <c r="G2960" s="14"/>
      <c r="H2960" s="23"/>
      <c r="I2960" s="23"/>
      <c r="J2960" s="23"/>
      <c r="K2960" s="30"/>
      <c r="L2960" s="23"/>
      <c r="M2960" s="50" t="s">
        <v>10178</v>
      </c>
      <c r="N2960" s="51"/>
      <c r="O2960" s="20"/>
      <c r="P2960" s="20"/>
      <c r="Q2960" s="20"/>
      <c r="R2960" s="20"/>
      <c r="S2960" s="20"/>
    </row>
    <row r="2961">
      <c r="A2961" s="10"/>
      <c r="B2961" s="11"/>
      <c r="C2961" s="10"/>
      <c r="D2961" s="13"/>
      <c r="E2961" s="14"/>
      <c r="F2961" s="14"/>
      <c r="G2961" s="14"/>
      <c r="H2961" s="10"/>
      <c r="I2961" s="10"/>
      <c r="J2961" s="10"/>
      <c r="K2961" s="46"/>
      <c r="L2961" s="10"/>
      <c r="M2961" s="44" t="s">
        <v>10178</v>
      </c>
      <c r="N2961" s="45"/>
      <c r="O2961" s="20"/>
      <c r="P2961" s="20"/>
      <c r="Q2961" s="20"/>
      <c r="R2961" s="20"/>
      <c r="S2961" s="20"/>
    </row>
    <row r="2962">
      <c r="A2962" s="23"/>
      <c r="B2962" s="21"/>
      <c r="C2962" s="23"/>
      <c r="D2962" s="24"/>
      <c r="E2962" s="14"/>
      <c r="F2962" s="14"/>
      <c r="G2962" s="14"/>
      <c r="H2962" s="23"/>
      <c r="I2962" s="23"/>
      <c r="J2962" s="23"/>
      <c r="K2962" s="30"/>
      <c r="L2962" s="23"/>
      <c r="M2962" s="50" t="s">
        <v>10178</v>
      </c>
      <c r="N2962" s="51"/>
      <c r="O2962" s="20"/>
      <c r="P2962" s="20"/>
      <c r="Q2962" s="20"/>
      <c r="R2962" s="20"/>
      <c r="S2962" s="20"/>
    </row>
    <row r="2963">
      <c r="A2963" s="10"/>
      <c r="B2963" s="11"/>
      <c r="C2963" s="10"/>
      <c r="D2963" s="13"/>
      <c r="E2963" s="14"/>
      <c r="F2963" s="14"/>
      <c r="G2963" s="14"/>
      <c r="H2963" s="10"/>
      <c r="I2963" s="10"/>
      <c r="J2963" s="10"/>
      <c r="K2963" s="46"/>
      <c r="L2963" s="10"/>
      <c r="M2963" s="44" t="s">
        <v>10178</v>
      </c>
      <c r="N2963" s="45"/>
      <c r="O2963" s="20"/>
      <c r="P2963" s="20"/>
      <c r="Q2963" s="20"/>
      <c r="R2963" s="20"/>
      <c r="S2963" s="20"/>
    </row>
    <row r="2964">
      <c r="A2964" s="23"/>
      <c r="B2964" s="21"/>
      <c r="C2964" s="23"/>
      <c r="D2964" s="24"/>
      <c r="E2964" s="14"/>
      <c r="F2964" s="14"/>
      <c r="G2964" s="14"/>
      <c r="H2964" s="23"/>
      <c r="I2964" s="23"/>
      <c r="J2964" s="23"/>
      <c r="K2964" s="30"/>
      <c r="L2964" s="23"/>
      <c r="M2964" s="50" t="s">
        <v>10178</v>
      </c>
      <c r="N2964" s="51"/>
      <c r="O2964" s="20"/>
      <c r="P2964" s="20"/>
      <c r="Q2964" s="20"/>
      <c r="R2964" s="20"/>
      <c r="S2964" s="20"/>
    </row>
    <row r="2965">
      <c r="A2965" s="10"/>
      <c r="B2965" s="11"/>
      <c r="C2965" s="10"/>
      <c r="D2965" s="13"/>
      <c r="E2965" s="14"/>
      <c r="F2965" s="14"/>
      <c r="G2965" s="14"/>
      <c r="H2965" s="10"/>
      <c r="I2965" s="10"/>
      <c r="J2965" s="10"/>
      <c r="K2965" s="46"/>
      <c r="L2965" s="10"/>
      <c r="M2965" s="44" t="s">
        <v>10178</v>
      </c>
      <c r="N2965" s="45"/>
      <c r="O2965" s="20"/>
      <c r="P2965" s="20"/>
      <c r="Q2965" s="20"/>
      <c r="R2965" s="20"/>
      <c r="S2965" s="20"/>
    </row>
    <row r="2966">
      <c r="A2966" s="23"/>
      <c r="B2966" s="21"/>
      <c r="C2966" s="23"/>
      <c r="D2966" s="24"/>
      <c r="E2966" s="14"/>
      <c r="F2966" s="14"/>
      <c r="G2966" s="14"/>
      <c r="H2966" s="23"/>
      <c r="I2966" s="23"/>
      <c r="J2966" s="23"/>
      <c r="K2966" s="30"/>
      <c r="L2966" s="23"/>
      <c r="M2966" s="50" t="s">
        <v>10178</v>
      </c>
      <c r="N2966" s="51"/>
      <c r="O2966" s="20"/>
      <c r="P2966" s="20"/>
      <c r="Q2966" s="20"/>
      <c r="R2966" s="20"/>
      <c r="S2966" s="20"/>
    </row>
    <row r="2967">
      <c r="A2967" s="10"/>
      <c r="B2967" s="11"/>
      <c r="C2967" s="10"/>
      <c r="D2967" s="13"/>
      <c r="E2967" s="14"/>
      <c r="F2967" s="14"/>
      <c r="G2967" s="14"/>
      <c r="H2967" s="10"/>
      <c r="I2967" s="10"/>
      <c r="J2967" s="10"/>
      <c r="K2967" s="46"/>
      <c r="L2967" s="10"/>
      <c r="M2967" s="44" t="s">
        <v>10178</v>
      </c>
      <c r="N2967" s="45"/>
      <c r="O2967" s="20"/>
      <c r="P2967" s="20"/>
      <c r="Q2967" s="20"/>
      <c r="R2967" s="20"/>
      <c r="S2967" s="20"/>
    </row>
    <row r="2968">
      <c r="A2968" s="23"/>
      <c r="B2968" s="21"/>
      <c r="C2968" s="23"/>
      <c r="D2968" s="24"/>
      <c r="E2968" s="14"/>
      <c r="F2968" s="14"/>
      <c r="G2968" s="14"/>
      <c r="H2968" s="23"/>
      <c r="I2968" s="23"/>
      <c r="J2968" s="23"/>
      <c r="K2968" s="30"/>
      <c r="L2968" s="23"/>
      <c r="M2968" s="50" t="s">
        <v>10178</v>
      </c>
      <c r="N2968" s="51"/>
      <c r="O2968" s="20"/>
      <c r="P2968" s="20"/>
      <c r="Q2968" s="20"/>
      <c r="R2968" s="20"/>
      <c r="S2968" s="20"/>
    </row>
    <row r="2969">
      <c r="A2969" s="10"/>
      <c r="B2969" s="11"/>
      <c r="C2969" s="10"/>
      <c r="D2969" s="13"/>
      <c r="E2969" s="14"/>
      <c r="F2969" s="14"/>
      <c r="G2969" s="14"/>
      <c r="H2969" s="10"/>
      <c r="I2969" s="10"/>
      <c r="J2969" s="10"/>
      <c r="K2969" s="46"/>
      <c r="L2969" s="10"/>
      <c r="M2969" s="44" t="s">
        <v>10178</v>
      </c>
      <c r="N2969" s="45"/>
      <c r="O2969" s="20"/>
      <c r="P2969" s="20"/>
      <c r="Q2969" s="20"/>
      <c r="R2969" s="20"/>
      <c r="S2969" s="20"/>
    </row>
    <row r="2970">
      <c r="A2970" s="23"/>
      <c r="B2970" s="21"/>
      <c r="C2970" s="23"/>
      <c r="D2970" s="24"/>
      <c r="E2970" s="14"/>
      <c r="F2970" s="14"/>
      <c r="G2970" s="14"/>
      <c r="H2970" s="23"/>
      <c r="I2970" s="23"/>
      <c r="J2970" s="23"/>
      <c r="K2970" s="30"/>
      <c r="L2970" s="23"/>
      <c r="M2970" s="50" t="s">
        <v>10178</v>
      </c>
      <c r="N2970" s="51"/>
      <c r="O2970" s="20"/>
      <c r="P2970" s="20"/>
      <c r="Q2970" s="20"/>
      <c r="R2970" s="20"/>
      <c r="S2970" s="20"/>
    </row>
    <row r="2971">
      <c r="A2971" s="10"/>
      <c r="B2971" s="11"/>
      <c r="C2971" s="10"/>
      <c r="D2971" s="13"/>
      <c r="E2971" s="14"/>
      <c r="F2971" s="14"/>
      <c r="G2971" s="14"/>
      <c r="H2971" s="10"/>
      <c r="I2971" s="10"/>
      <c r="J2971" s="10"/>
      <c r="K2971" s="46"/>
      <c r="L2971" s="10"/>
      <c r="M2971" s="44" t="s">
        <v>10178</v>
      </c>
      <c r="N2971" s="45"/>
      <c r="O2971" s="20"/>
      <c r="P2971" s="20"/>
      <c r="Q2971" s="20"/>
      <c r="R2971" s="20"/>
      <c r="S2971" s="20"/>
    </row>
    <row r="2972">
      <c r="A2972" s="23"/>
      <c r="B2972" s="21"/>
      <c r="C2972" s="23"/>
      <c r="D2972" s="24"/>
      <c r="E2972" s="14"/>
      <c r="F2972" s="14"/>
      <c r="G2972" s="14"/>
      <c r="H2972" s="23"/>
      <c r="I2972" s="23"/>
      <c r="J2972" s="23"/>
      <c r="K2972" s="30"/>
      <c r="L2972" s="23"/>
      <c r="M2972" s="50" t="s">
        <v>10178</v>
      </c>
      <c r="N2972" s="51"/>
      <c r="O2972" s="20"/>
      <c r="P2972" s="20"/>
      <c r="Q2972" s="20"/>
      <c r="R2972" s="20"/>
      <c r="S2972" s="20"/>
    </row>
    <row r="2973">
      <c r="A2973" s="10"/>
      <c r="B2973" s="11"/>
      <c r="C2973" s="10"/>
      <c r="D2973" s="13"/>
      <c r="E2973" s="14"/>
      <c r="F2973" s="14"/>
      <c r="G2973" s="14"/>
      <c r="H2973" s="10"/>
      <c r="I2973" s="10"/>
      <c r="J2973" s="10"/>
      <c r="K2973" s="46"/>
      <c r="L2973" s="10"/>
      <c r="M2973" s="44" t="s">
        <v>10178</v>
      </c>
      <c r="N2973" s="45"/>
      <c r="O2973" s="20"/>
      <c r="P2973" s="20"/>
      <c r="Q2973" s="20"/>
      <c r="R2973" s="20"/>
      <c r="S2973" s="20"/>
    </row>
    <row r="2974">
      <c r="A2974" s="23"/>
      <c r="B2974" s="21"/>
      <c r="C2974" s="23"/>
      <c r="D2974" s="24"/>
      <c r="E2974" s="14"/>
      <c r="F2974" s="14"/>
      <c r="G2974" s="14"/>
      <c r="H2974" s="23"/>
      <c r="I2974" s="23"/>
      <c r="J2974" s="23"/>
      <c r="K2974" s="30"/>
      <c r="L2974" s="23"/>
      <c r="M2974" s="50" t="s">
        <v>10178</v>
      </c>
      <c r="N2974" s="51"/>
      <c r="O2974" s="20"/>
      <c r="P2974" s="20"/>
      <c r="Q2974" s="20"/>
      <c r="R2974" s="20"/>
      <c r="S2974" s="20"/>
    </row>
    <row r="2975">
      <c r="A2975" s="10"/>
      <c r="B2975" s="11"/>
      <c r="C2975" s="10"/>
      <c r="D2975" s="13"/>
      <c r="E2975" s="14"/>
      <c r="F2975" s="14"/>
      <c r="G2975" s="14"/>
      <c r="H2975" s="10"/>
      <c r="I2975" s="10"/>
      <c r="J2975" s="10"/>
      <c r="K2975" s="46"/>
      <c r="L2975" s="10"/>
      <c r="M2975" s="44" t="s">
        <v>10178</v>
      </c>
      <c r="N2975" s="45"/>
      <c r="O2975" s="20"/>
      <c r="P2975" s="20"/>
      <c r="Q2975" s="20"/>
      <c r="R2975" s="20"/>
      <c r="S2975" s="20"/>
    </row>
    <row r="2976">
      <c r="A2976" s="23"/>
      <c r="B2976" s="21"/>
      <c r="C2976" s="23"/>
      <c r="D2976" s="24"/>
      <c r="E2976" s="14"/>
      <c r="F2976" s="14"/>
      <c r="G2976" s="14"/>
      <c r="H2976" s="23"/>
      <c r="I2976" s="23"/>
      <c r="J2976" s="23"/>
      <c r="K2976" s="30"/>
      <c r="L2976" s="23"/>
      <c r="M2976" s="50" t="s">
        <v>10178</v>
      </c>
      <c r="N2976" s="51"/>
      <c r="O2976" s="20"/>
      <c r="P2976" s="20"/>
      <c r="Q2976" s="20"/>
      <c r="R2976" s="20"/>
      <c r="S2976" s="20"/>
    </row>
    <row r="2977">
      <c r="A2977" s="10"/>
      <c r="B2977" s="11"/>
      <c r="C2977" s="10"/>
      <c r="D2977" s="13"/>
      <c r="E2977" s="14"/>
      <c r="F2977" s="14"/>
      <c r="G2977" s="14"/>
      <c r="H2977" s="10"/>
      <c r="I2977" s="10"/>
      <c r="J2977" s="10"/>
      <c r="K2977" s="46"/>
      <c r="L2977" s="10"/>
      <c r="M2977" s="44" t="s">
        <v>10178</v>
      </c>
      <c r="N2977" s="45"/>
      <c r="O2977" s="20"/>
      <c r="P2977" s="20"/>
      <c r="Q2977" s="20"/>
      <c r="R2977" s="20"/>
      <c r="S2977" s="20"/>
    </row>
    <row r="2978">
      <c r="A2978" s="23"/>
      <c r="B2978" s="21"/>
      <c r="C2978" s="23"/>
      <c r="D2978" s="24"/>
      <c r="E2978" s="14"/>
      <c r="F2978" s="14"/>
      <c r="G2978" s="14"/>
      <c r="H2978" s="23"/>
      <c r="I2978" s="23"/>
      <c r="J2978" s="23"/>
      <c r="K2978" s="30"/>
      <c r="L2978" s="23"/>
      <c r="M2978" s="50" t="s">
        <v>10178</v>
      </c>
      <c r="N2978" s="51"/>
      <c r="O2978" s="20"/>
      <c r="P2978" s="20"/>
      <c r="Q2978" s="20"/>
      <c r="R2978" s="20"/>
      <c r="S2978" s="20"/>
    </row>
    <row r="2979">
      <c r="A2979" s="10"/>
      <c r="B2979" s="11"/>
      <c r="C2979" s="10"/>
      <c r="D2979" s="13"/>
      <c r="E2979" s="14"/>
      <c r="F2979" s="14"/>
      <c r="G2979" s="14"/>
      <c r="H2979" s="10"/>
      <c r="I2979" s="10"/>
      <c r="J2979" s="10"/>
      <c r="K2979" s="46"/>
      <c r="L2979" s="10"/>
      <c r="M2979" s="44" t="s">
        <v>10178</v>
      </c>
      <c r="N2979" s="45"/>
      <c r="O2979" s="20"/>
      <c r="P2979" s="20"/>
      <c r="Q2979" s="20"/>
      <c r="R2979" s="20"/>
      <c r="S2979" s="20"/>
    </row>
    <row r="2980">
      <c r="A2980" s="23"/>
      <c r="B2980" s="21"/>
      <c r="C2980" s="23"/>
      <c r="D2980" s="24"/>
      <c r="E2980" s="14"/>
      <c r="F2980" s="14"/>
      <c r="G2980" s="14"/>
      <c r="H2980" s="23"/>
      <c r="I2980" s="23"/>
      <c r="J2980" s="23"/>
      <c r="K2980" s="30"/>
      <c r="L2980" s="23"/>
      <c r="M2980" s="50" t="s">
        <v>10178</v>
      </c>
      <c r="N2980" s="51"/>
      <c r="O2980" s="20"/>
      <c r="P2980" s="20"/>
      <c r="Q2980" s="20"/>
      <c r="R2980" s="20"/>
      <c r="S2980" s="20"/>
    </row>
    <row r="2981">
      <c r="A2981" s="10"/>
      <c r="B2981" s="11"/>
      <c r="C2981" s="10"/>
      <c r="D2981" s="13"/>
      <c r="E2981" s="14"/>
      <c r="F2981" s="14"/>
      <c r="G2981" s="14"/>
      <c r="H2981" s="10"/>
      <c r="I2981" s="10"/>
      <c r="J2981" s="10"/>
      <c r="K2981" s="46"/>
      <c r="L2981" s="10"/>
      <c r="M2981" s="44" t="s">
        <v>10178</v>
      </c>
      <c r="N2981" s="45"/>
      <c r="O2981" s="20"/>
      <c r="P2981" s="20"/>
      <c r="Q2981" s="20"/>
      <c r="R2981" s="20"/>
      <c r="S2981" s="20"/>
    </row>
    <row r="2982">
      <c r="A2982" s="23"/>
      <c r="B2982" s="21"/>
      <c r="C2982" s="23"/>
      <c r="D2982" s="24"/>
      <c r="E2982" s="14"/>
      <c r="F2982" s="14"/>
      <c r="G2982" s="14"/>
      <c r="H2982" s="23"/>
      <c r="I2982" s="23"/>
      <c r="J2982" s="23"/>
      <c r="K2982" s="30"/>
      <c r="L2982" s="23"/>
      <c r="M2982" s="50" t="s">
        <v>10178</v>
      </c>
      <c r="N2982" s="51"/>
      <c r="O2982" s="20"/>
      <c r="P2982" s="20"/>
      <c r="Q2982" s="20"/>
      <c r="R2982" s="20"/>
      <c r="S2982" s="20"/>
    </row>
    <row r="2983">
      <c r="A2983" s="10"/>
      <c r="B2983" s="11"/>
      <c r="C2983" s="10"/>
      <c r="D2983" s="13"/>
      <c r="E2983" s="14"/>
      <c r="F2983" s="14"/>
      <c r="G2983" s="14"/>
      <c r="H2983" s="10"/>
      <c r="I2983" s="10"/>
      <c r="J2983" s="10"/>
      <c r="K2983" s="46"/>
      <c r="L2983" s="10"/>
      <c r="M2983" s="44" t="s">
        <v>10178</v>
      </c>
      <c r="N2983" s="45"/>
      <c r="O2983" s="20"/>
      <c r="P2983" s="20"/>
      <c r="Q2983" s="20"/>
      <c r="R2983" s="20"/>
      <c r="S2983" s="20"/>
    </row>
    <row r="2984">
      <c r="A2984" s="23"/>
      <c r="B2984" s="21"/>
      <c r="C2984" s="23"/>
      <c r="D2984" s="24"/>
      <c r="E2984" s="14"/>
      <c r="F2984" s="14"/>
      <c r="G2984" s="14"/>
      <c r="H2984" s="23"/>
      <c r="I2984" s="23"/>
      <c r="J2984" s="23"/>
      <c r="K2984" s="30"/>
      <c r="L2984" s="23"/>
      <c r="M2984" s="50" t="s">
        <v>10178</v>
      </c>
      <c r="N2984" s="51"/>
      <c r="O2984" s="20"/>
      <c r="P2984" s="20"/>
      <c r="Q2984" s="20"/>
      <c r="R2984" s="20"/>
      <c r="S2984" s="20"/>
    </row>
    <row r="2985">
      <c r="A2985" s="10"/>
      <c r="B2985" s="11"/>
      <c r="C2985" s="10"/>
      <c r="D2985" s="13"/>
      <c r="E2985" s="14"/>
      <c r="F2985" s="14"/>
      <c r="G2985" s="14"/>
      <c r="H2985" s="10"/>
      <c r="I2985" s="10"/>
      <c r="J2985" s="10"/>
      <c r="K2985" s="46"/>
      <c r="L2985" s="10"/>
      <c r="M2985" s="44" t="s">
        <v>10178</v>
      </c>
      <c r="N2985" s="45"/>
      <c r="O2985" s="20"/>
      <c r="P2985" s="20"/>
      <c r="Q2985" s="20"/>
      <c r="R2985" s="20"/>
      <c r="S2985" s="20"/>
    </row>
    <row r="2986">
      <c r="A2986" s="23"/>
      <c r="B2986" s="21"/>
      <c r="C2986" s="23"/>
      <c r="D2986" s="24"/>
      <c r="E2986" s="14"/>
      <c r="F2986" s="14"/>
      <c r="G2986" s="14"/>
      <c r="H2986" s="23"/>
      <c r="I2986" s="23"/>
      <c r="J2986" s="23"/>
      <c r="K2986" s="30"/>
      <c r="L2986" s="23"/>
      <c r="M2986" s="50" t="s">
        <v>10178</v>
      </c>
      <c r="N2986" s="51"/>
      <c r="O2986" s="20"/>
      <c r="P2986" s="20"/>
      <c r="Q2986" s="20"/>
      <c r="R2986" s="20"/>
      <c r="S2986" s="20"/>
    </row>
    <row r="2987">
      <c r="A2987" s="10"/>
      <c r="B2987" s="11"/>
      <c r="C2987" s="10"/>
      <c r="D2987" s="13"/>
      <c r="E2987" s="14"/>
      <c r="F2987" s="14"/>
      <c r="G2987" s="14"/>
      <c r="H2987" s="10"/>
      <c r="I2987" s="10"/>
      <c r="J2987" s="10"/>
      <c r="K2987" s="46"/>
      <c r="L2987" s="10"/>
      <c r="M2987" s="44" t="s">
        <v>10178</v>
      </c>
      <c r="N2987" s="45"/>
      <c r="O2987" s="20"/>
      <c r="P2987" s="20"/>
      <c r="Q2987" s="20"/>
      <c r="R2987" s="20"/>
      <c r="S2987" s="20"/>
    </row>
    <row r="2988">
      <c r="A2988" s="23"/>
      <c r="B2988" s="21"/>
      <c r="C2988" s="23"/>
      <c r="D2988" s="24"/>
      <c r="E2988" s="14"/>
      <c r="F2988" s="14"/>
      <c r="G2988" s="14"/>
      <c r="H2988" s="23"/>
      <c r="I2988" s="23"/>
      <c r="J2988" s="23"/>
      <c r="K2988" s="30"/>
      <c r="L2988" s="23"/>
      <c r="M2988" s="50" t="s">
        <v>10178</v>
      </c>
      <c r="N2988" s="51"/>
      <c r="O2988" s="20"/>
      <c r="P2988" s="20"/>
      <c r="Q2988" s="20"/>
      <c r="R2988" s="20"/>
      <c r="S2988" s="20"/>
    </row>
    <row r="2989">
      <c r="A2989" s="10"/>
      <c r="B2989" s="11"/>
      <c r="C2989" s="10"/>
      <c r="D2989" s="13"/>
      <c r="E2989" s="14"/>
      <c r="F2989" s="14"/>
      <c r="G2989" s="14"/>
      <c r="H2989" s="10"/>
      <c r="I2989" s="10"/>
      <c r="J2989" s="10"/>
      <c r="K2989" s="46"/>
      <c r="L2989" s="10"/>
      <c r="M2989" s="44" t="s">
        <v>10178</v>
      </c>
      <c r="N2989" s="45"/>
      <c r="O2989" s="20"/>
      <c r="P2989" s="20"/>
      <c r="Q2989" s="20"/>
      <c r="R2989" s="20"/>
      <c r="S2989" s="20"/>
    </row>
    <row r="2990">
      <c r="A2990" s="23"/>
      <c r="B2990" s="21"/>
      <c r="C2990" s="23"/>
      <c r="D2990" s="24"/>
      <c r="E2990" s="14"/>
      <c r="F2990" s="14"/>
      <c r="G2990" s="14"/>
      <c r="H2990" s="23"/>
      <c r="I2990" s="23"/>
      <c r="J2990" s="23"/>
      <c r="K2990" s="30"/>
      <c r="L2990" s="23"/>
      <c r="M2990" s="50" t="s">
        <v>10178</v>
      </c>
      <c r="N2990" s="51"/>
      <c r="O2990" s="20"/>
      <c r="P2990" s="20"/>
      <c r="Q2990" s="20"/>
      <c r="R2990" s="20"/>
      <c r="S2990" s="20"/>
    </row>
    <row r="2991">
      <c r="A2991" s="10"/>
      <c r="B2991" s="11"/>
      <c r="C2991" s="10"/>
      <c r="D2991" s="13"/>
      <c r="E2991" s="14"/>
      <c r="F2991" s="14"/>
      <c r="G2991" s="14"/>
      <c r="H2991" s="10"/>
      <c r="I2991" s="10"/>
      <c r="J2991" s="10"/>
      <c r="K2991" s="46"/>
      <c r="L2991" s="10"/>
      <c r="M2991" s="44" t="s">
        <v>10178</v>
      </c>
      <c r="N2991" s="45"/>
      <c r="O2991" s="20"/>
      <c r="P2991" s="20"/>
      <c r="Q2991" s="20"/>
      <c r="R2991" s="20"/>
      <c r="S2991" s="20"/>
    </row>
    <row r="2992">
      <c r="A2992" s="23"/>
      <c r="B2992" s="21"/>
      <c r="C2992" s="23"/>
      <c r="D2992" s="24"/>
      <c r="E2992" s="14"/>
      <c r="F2992" s="14"/>
      <c r="G2992" s="14"/>
      <c r="H2992" s="23"/>
      <c r="I2992" s="23"/>
      <c r="J2992" s="23"/>
      <c r="K2992" s="30"/>
      <c r="L2992" s="23"/>
      <c r="M2992" s="50" t="s">
        <v>10178</v>
      </c>
      <c r="N2992" s="51"/>
      <c r="O2992" s="20"/>
      <c r="P2992" s="20"/>
      <c r="Q2992" s="20"/>
      <c r="R2992" s="20"/>
      <c r="S2992" s="20"/>
    </row>
    <row r="2993">
      <c r="A2993" s="10"/>
      <c r="B2993" s="11"/>
      <c r="C2993" s="10"/>
      <c r="D2993" s="13"/>
      <c r="E2993" s="14"/>
      <c r="F2993" s="14"/>
      <c r="G2993" s="14"/>
      <c r="H2993" s="10"/>
      <c r="I2993" s="10"/>
      <c r="J2993" s="10"/>
      <c r="K2993" s="46"/>
      <c r="L2993" s="10"/>
      <c r="M2993" s="44" t="s">
        <v>10178</v>
      </c>
      <c r="N2993" s="45"/>
      <c r="O2993" s="20"/>
      <c r="P2993" s="20"/>
      <c r="Q2993" s="20"/>
      <c r="R2993" s="20"/>
      <c r="S2993" s="20"/>
    </row>
    <row r="2994">
      <c r="A2994" s="23"/>
      <c r="B2994" s="21"/>
      <c r="C2994" s="23"/>
      <c r="D2994" s="24"/>
      <c r="E2994" s="14"/>
      <c r="F2994" s="14"/>
      <c r="G2994" s="14"/>
      <c r="H2994" s="23"/>
      <c r="I2994" s="23"/>
      <c r="J2994" s="23"/>
      <c r="K2994" s="30"/>
      <c r="L2994" s="23"/>
      <c r="M2994" s="50" t="s">
        <v>10178</v>
      </c>
      <c r="N2994" s="51"/>
      <c r="O2994" s="20"/>
      <c r="P2994" s="20"/>
      <c r="Q2994" s="20"/>
      <c r="R2994" s="20"/>
      <c r="S2994" s="20"/>
    </row>
    <row r="2995">
      <c r="A2995" s="10"/>
      <c r="B2995" s="11"/>
      <c r="C2995" s="10"/>
      <c r="D2995" s="13"/>
      <c r="E2995" s="14"/>
      <c r="F2995" s="14"/>
      <c r="G2995" s="14"/>
      <c r="H2995" s="10"/>
      <c r="I2995" s="10"/>
      <c r="J2995" s="10"/>
      <c r="K2995" s="46"/>
      <c r="L2995" s="10"/>
      <c r="M2995" s="44" t="s">
        <v>10178</v>
      </c>
      <c r="N2995" s="45"/>
      <c r="O2995" s="20"/>
      <c r="P2995" s="20"/>
      <c r="Q2995" s="20"/>
      <c r="R2995" s="20"/>
      <c r="S2995" s="20"/>
    </row>
    <row r="2996">
      <c r="A2996" s="23"/>
      <c r="B2996" s="21"/>
      <c r="C2996" s="23"/>
      <c r="D2996" s="24"/>
      <c r="E2996" s="14"/>
      <c r="F2996" s="14"/>
      <c r="G2996" s="14"/>
      <c r="H2996" s="23"/>
      <c r="I2996" s="23"/>
      <c r="J2996" s="23"/>
      <c r="K2996" s="30"/>
      <c r="L2996" s="23"/>
      <c r="M2996" s="50" t="s">
        <v>10178</v>
      </c>
      <c r="N2996" s="51"/>
      <c r="O2996" s="20"/>
      <c r="P2996" s="20"/>
      <c r="Q2996" s="20"/>
      <c r="R2996" s="20"/>
      <c r="S2996" s="20"/>
    </row>
    <row r="2997">
      <c r="A2997" s="10"/>
      <c r="B2997" s="11"/>
      <c r="C2997" s="10"/>
      <c r="D2997" s="13"/>
      <c r="E2997" s="14"/>
      <c r="F2997" s="14"/>
      <c r="G2997" s="14"/>
      <c r="H2997" s="10"/>
      <c r="I2997" s="10"/>
      <c r="J2997" s="10"/>
      <c r="K2997" s="46"/>
      <c r="L2997" s="10"/>
      <c r="M2997" s="44" t="s">
        <v>10178</v>
      </c>
      <c r="N2997" s="45"/>
      <c r="O2997" s="20"/>
      <c r="P2997" s="20"/>
      <c r="Q2997" s="20"/>
      <c r="R2997" s="20"/>
      <c r="S2997" s="20"/>
    </row>
    <row r="2998">
      <c r="A2998" s="23"/>
      <c r="B2998" s="21"/>
      <c r="C2998" s="23"/>
      <c r="D2998" s="24"/>
      <c r="E2998" s="14"/>
      <c r="F2998" s="14"/>
      <c r="G2998" s="14"/>
      <c r="H2998" s="23"/>
      <c r="I2998" s="23"/>
      <c r="J2998" s="23"/>
      <c r="K2998" s="30"/>
      <c r="L2998" s="23"/>
      <c r="M2998" s="50" t="s">
        <v>10178</v>
      </c>
      <c r="N2998" s="51"/>
      <c r="O2998" s="20"/>
      <c r="P2998" s="20"/>
      <c r="Q2998" s="20"/>
      <c r="R2998" s="20"/>
      <c r="S2998" s="20"/>
    </row>
    <row r="2999">
      <c r="A2999" s="10"/>
      <c r="B2999" s="11"/>
      <c r="C2999" s="10"/>
      <c r="D2999" s="13"/>
      <c r="E2999" s="14"/>
      <c r="F2999" s="14"/>
      <c r="G2999" s="14"/>
      <c r="H2999" s="10"/>
      <c r="I2999" s="10"/>
      <c r="J2999" s="10"/>
      <c r="K2999" s="46"/>
      <c r="L2999" s="10"/>
      <c r="M2999" s="44" t="s">
        <v>10178</v>
      </c>
      <c r="N2999" s="45"/>
      <c r="O2999" s="20"/>
      <c r="P2999" s="20"/>
      <c r="Q2999" s="20"/>
      <c r="R2999" s="20"/>
      <c r="S2999" s="20"/>
    </row>
    <row r="3000">
      <c r="A3000" s="23"/>
      <c r="B3000" s="21"/>
      <c r="C3000" s="23"/>
      <c r="D3000" s="24"/>
      <c r="E3000" s="14"/>
      <c r="F3000" s="14"/>
      <c r="G3000" s="14"/>
      <c r="H3000" s="23"/>
      <c r="I3000" s="23"/>
      <c r="J3000" s="23"/>
      <c r="K3000" s="30"/>
      <c r="L3000" s="23"/>
      <c r="M3000" s="50" t="s">
        <v>10178</v>
      </c>
      <c r="N3000" s="51"/>
      <c r="O3000" s="20"/>
      <c r="P3000" s="20"/>
      <c r="Q3000" s="20"/>
      <c r="R3000" s="20"/>
      <c r="S3000" s="20"/>
    </row>
    <row r="3001">
      <c r="A3001" s="10"/>
      <c r="B3001" s="11"/>
      <c r="C3001" s="10"/>
      <c r="D3001" s="13"/>
      <c r="E3001" s="14"/>
      <c r="F3001" s="14"/>
      <c r="G3001" s="14"/>
      <c r="H3001" s="10"/>
      <c r="I3001" s="10"/>
      <c r="J3001" s="10"/>
      <c r="K3001" s="46"/>
      <c r="L3001" s="10"/>
      <c r="M3001" s="44" t="s">
        <v>10178</v>
      </c>
      <c r="N3001" s="45"/>
      <c r="O3001" s="20"/>
      <c r="P3001" s="20"/>
      <c r="Q3001" s="20"/>
      <c r="R3001" s="20"/>
      <c r="S3001" s="20"/>
    </row>
    <row r="3002">
      <c r="A3002" s="23"/>
      <c r="B3002" s="21"/>
      <c r="C3002" s="23"/>
      <c r="D3002" s="24"/>
      <c r="E3002" s="14"/>
      <c r="F3002" s="14"/>
      <c r="G3002" s="14"/>
      <c r="H3002" s="23"/>
      <c r="I3002" s="23"/>
      <c r="J3002" s="23"/>
      <c r="K3002" s="30"/>
      <c r="L3002" s="23"/>
      <c r="M3002" s="50" t="s">
        <v>10178</v>
      </c>
      <c r="N3002" s="51"/>
      <c r="O3002" s="20"/>
      <c r="P3002" s="20"/>
      <c r="Q3002" s="20"/>
      <c r="R3002" s="20"/>
      <c r="S3002" s="20"/>
    </row>
    <row r="3003">
      <c r="A3003" s="10"/>
      <c r="B3003" s="11"/>
      <c r="C3003" s="10"/>
      <c r="D3003" s="13"/>
      <c r="E3003" s="14"/>
      <c r="F3003" s="14"/>
      <c r="G3003" s="14"/>
      <c r="H3003" s="10"/>
      <c r="I3003" s="10"/>
      <c r="J3003" s="10"/>
      <c r="K3003" s="46"/>
      <c r="L3003" s="10"/>
      <c r="M3003" s="44" t="s">
        <v>10178</v>
      </c>
      <c r="N3003" s="45"/>
      <c r="O3003" s="20"/>
      <c r="P3003" s="20"/>
      <c r="Q3003" s="20"/>
      <c r="R3003" s="20"/>
      <c r="S3003" s="20"/>
    </row>
    <row r="3004">
      <c r="A3004" s="23"/>
      <c r="B3004" s="21"/>
      <c r="C3004" s="23"/>
      <c r="D3004" s="24"/>
      <c r="E3004" s="14"/>
      <c r="F3004" s="14"/>
      <c r="G3004" s="14"/>
      <c r="H3004" s="23"/>
      <c r="I3004" s="23"/>
      <c r="J3004" s="23"/>
      <c r="K3004" s="30"/>
      <c r="L3004" s="23"/>
      <c r="M3004" s="50" t="s">
        <v>10178</v>
      </c>
      <c r="N3004" s="51"/>
      <c r="O3004" s="20"/>
      <c r="P3004" s="20"/>
      <c r="Q3004" s="20"/>
      <c r="R3004" s="20"/>
      <c r="S3004" s="20"/>
    </row>
    <row r="3005">
      <c r="A3005" s="10"/>
      <c r="B3005" s="11"/>
      <c r="C3005" s="10"/>
      <c r="D3005" s="13"/>
      <c r="E3005" s="14"/>
      <c r="F3005" s="14"/>
      <c r="G3005" s="14"/>
      <c r="H3005" s="10"/>
      <c r="I3005" s="10"/>
      <c r="J3005" s="10"/>
      <c r="K3005" s="46"/>
      <c r="L3005" s="10"/>
      <c r="M3005" s="44" t="s">
        <v>10178</v>
      </c>
      <c r="N3005" s="45"/>
      <c r="O3005" s="20"/>
      <c r="P3005" s="20"/>
      <c r="Q3005" s="20"/>
      <c r="R3005" s="20"/>
      <c r="S3005" s="20"/>
    </row>
    <row r="3006">
      <c r="A3006" s="23"/>
      <c r="B3006" s="21"/>
      <c r="C3006" s="23"/>
      <c r="D3006" s="24"/>
      <c r="E3006" s="14"/>
      <c r="F3006" s="14"/>
      <c r="G3006" s="14"/>
      <c r="H3006" s="23"/>
      <c r="I3006" s="23"/>
      <c r="J3006" s="23"/>
      <c r="K3006" s="30"/>
      <c r="L3006" s="23"/>
      <c r="M3006" s="50" t="s">
        <v>10178</v>
      </c>
      <c r="N3006" s="51"/>
      <c r="O3006" s="20"/>
      <c r="P3006" s="20"/>
      <c r="Q3006" s="20"/>
      <c r="R3006" s="20"/>
      <c r="S3006" s="20"/>
    </row>
    <row r="3007">
      <c r="A3007" s="10"/>
      <c r="B3007" s="11"/>
      <c r="C3007" s="10"/>
      <c r="D3007" s="13"/>
      <c r="E3007" s="14"/>
      <c r="F3007" s="14"/>
      <c r="G3007" s="14"/>
      <c r="H3007" s="10"/>
      <c r="I3007" s="10"/>
      <c r="J3007" s="10"/>
      <c r="K3007" s="46"/>
      <c r="L3007" s="10"/>
      <c r="M3007" s="44" t="s">
        <v>10178</v>
      </c>
      <c r="N3007" s="45"/>
      <c r="O3007" s="20"/>
      <c r="P3007" s="20"/>
      <c r="Q3007" s="20"/>
      <c r="R3007" s="20"/>
      <c r="S3007" s="20"/>
    </row>
    <row r="3008">
      <c r="A3008" s="23"/>
      <c r="B3008" s="21"/>
      <c r="C3008" s="23"/>
      <c r="D3008" s="24"/>
      <c r="E3008" s="14"/>
      <c r="F3008" s="14"/>
      <c r="G3008" s="14"/>
      <c r="H3008" s="23"/>
      <c r="I3008" s="23"/>
      <c r="J3008" s="23"/>
      <c r="K3008" s="30"/>
      <c r="L3008" s="23"/>
      <c r="M3008" s="50" t="s">
        <v>10178</v>
      </c>
      <c r="N3008" s="51"/>
      <c r="O3008" s="20"/>
      <c r="P3008" s="20"/>
      <c r="Q3008" s="20"/>
      <c r="R3008" s="20"/>
      <c r="S3008" s="20"/>
    </row>
    <row r="3009">
      <c r="A3009" s="10"/>
      <c r="B3009" s="11"/>
      <c r="C3009" s="10"/>
      <c r="D3009" s="13"/>
      <c r="E3009" s="14"/>
      <c r="F3009" s="14"/>
      <c r="G3009" s="14"/>
      <c r="H3009" s="10"/>
      <c r="I3009" s="10"/>
      <c r="J3009" s="10"/>
      <c r="K3009" s="46"/>
      <c r="L3009" s="10"/>
      <c r="M3009" s="44" t="s">
        <v>10178</v>
      </c>
      <c r="N3009" s="45"/>
      <c r="O3009" s="20"/>
      <c r="P3009" s="20"/>
      <c r="Q3009" s="20"/>
      <c r="R3009" s="20"/>
      <c r="S3009" s="20"/>
    </row>
    <row r="3010">
      <c r="A3010" s="23"/>
      <c r="B3010" s="21"/>
      <c r="C3010" s="23"/>
      <c r="D3010" s="24"/>
      <c r="E3010" s="14"/>
      <c r="F3010" s="14"/>
      <c r="G3010" s="14"/>
      <c r="H3010" s="23"/>
      <c r="I3010" s="23"/>
      <c r="J3010" s="23"/>
      <c r="K3010" s="30"/>
      <c r="L3010" s="23"/>
      <c r="M3010" s="50" t="s">
        <v>10178</v>
      </c>
      <c r="N3010" s="51"/>
      <c r="O3010" s="20"/>
      <c r="P3010" s="20"/>
      <c r="Q3010" s="20"/>
      <c r="R3010" s="20"/>
      <c r="S3010" s="20"/>
    </row>
    <row r="3011">
      <c r="A3011" s="10"/>
      <c r="B3011" s="11"/>
      <c r="C3011" s="10"/>
      <c r="D3011" s="13"/>
      <c r="E3011" s="14"/>
      <c r="F3011" s="14"/>
      <c r="G3011" s="14"/>
      <c r="H3011" s="10"/>
      <c r="I3011" s="10"/>
      <c r="J3011" s="10"/>
      <c r="K3011" s="46"/>
      <c r="L3011" s="10"/>
      <c r="M3011" s="44" t="s">
        <v>10178</v>
      </c>
      <c r="N3011" s="45"/>
      <c r="O3011" s="20"/>
      <c r="P3011" s="20"/>
      <c r="Q3011" s="20"/>
      <c r="R3011" s="20"/>
      <c r="S3011" s="20"/>
    </row>
    <row r="3012">
      <c r="A3012" s="23"/>
      <c r="B3012" s="21"/>
      <c r="C3012" s="23"/>
      <c r="D3012" s="24"/>
      <c r="E3012" s="14"/>
      <c r="F3012" s="14"/>
      <c r="G3012" s="14"/>
      <c r="H3012" s="23"/>
      <c r="I3012" s="23"/>
      <c r="J3012" s="23"/>
      <c r="K3012" s="30"/>
      <c r="L3012" s="23"/>
      <c r="M3012" s="50" t="s">
        <v>10178</v>
      </c>
      <c r="N3012" s="51"/>
      <c r="O3012" s="20"/>
      <c r="P3012" s="20"/>
      <c r="Q3012" s="20"/>
      <c r="R3012" s="20"/>
      <c r="S3012" s="20"/>
    </row>
    <row r="3013">
      <c r="A3013" s="10"/>
      <c r="B3013" s="11"/>
      <c r="C3013" s="10"/>
      <c r="D3013" s="13"/>
      <c r="E3013" s="14"/>
      <c r="F3013" s="14"/>
      <c r="G3013" s="14"/>
      <c r="H3013" s="10"/>
      <c r="I3013" s="10"/>
      <c r="J3013" s="10"/>
      <c r="K3013" s="46"/>
      <c r="L3013" s="10"/>
      <c r="M3013" s="44" t="s">
        <v>10178</v>
      </c>
      <c r="N3013" s="45"/>
      <c r="O3013" s="20"/>
      <c r="P3013" s="20"/>
      <c r="Q3013" s="20"/>
      <c r="R3013" s="20"/>
      <c r="S3013" s="20"/>
    </row>
    <row r="3014">
      <c r="A3014" s="23"/>
      <c r="B3014" s="21"/>
      <c r="C3014" s="23"/>
      <c r="D3014" s="24"/>
      <c r="E3014" s="14"/>
      <c r="F3014" s="14"/>
      <c r="G3014" s="14"/>
      <c r="H3014" s="23"/>
      <c r="I3014" s="23"/>
      <c r="J3014" s="23"/>
      <c r="K3014" s="30"/>
      <c r="L3014" s="23"/>
      <c r="M3014" s="50" t="s">
        <v>10178</v>
      </c>
      <c r="N3014" s="51"/>
      <c r="O3014" s="20"/>
      <c r="P3014" s="20"/>
      <c r="Q3014" s="20"/>
      <c r="R3014" s="20"/>
      <c r="S3014" s="20"/>
    </row>
    <row r="3015">
      <c r="A3015" s="10"/>
      <c r="B3015" s="11"/>
      <c r="C3015" s="10"/>
      <c r="D3015" s="13"/>
      <c r="E3015" s="14"/>
      <c r="F3015" s="14"/>
      <c r="G3015" s="14"/>
      <c r="H3015" s="10"/>
      <c r="I3015" s="10"/>
      <c r="J3015" s="10"/>
      <c r="K3015" s="46"/>
      <c r="L3015" s="10"/>
      <c r="M3015" s="44" t="s">
        <v>10178</v>
      </c>
      <c r="N3015" s="45"/>
      <c r="O3015" s="20"/>
      <c r="P3015" s="20"/>
      <c r="Q3015" s="20"/>
      <c r="R3015" s="20"/>
      <c r="S3015" s="20"/>
    </row>
    <row r="3016">
      <c r="A3016" s="23"/>
      <c r="B3016" s="21"/>
      <c r="C3016" s="23"/>
      <c r="D3016" s="24"/>
      <c r="E3016" s="14"/>
      <c r="F3016" s="14"/>
      <c r="G3016" s="14"/>
      <c r="H3016" s="23"/>
      <c r="I3016" s="23"/>
      <c r="J3016" s="23"/>
      <c r="K3016" s="30"/>
      <c r="L3016" s="23"/>
      <c r="M3016" s="50" t="s">
        <v>10178</v>
      </c>
      <c r="N3016" s="51"/>
      <c r="O3016" s="20"/>
      <c r="P3016" s="20"/>
      <c r="Q3016" s="20"/>
      <c r="R3016" s="20"/>
      <c r="S3016" s="20"/>
    </row>
    <row r="3017">
      <c r="A3017" s="10"/>
      <c r="B3017" s="11"/>
      <c r="C3017" s="10"/>
      <c r="D3017" s="13"/>
      <c r="E3017" s="14"/>
      <c r="F3017" s="14"/>
      <c r="G3017" s="14"/>
      <c r="H3017" s="10"/>
      <c r="I3017" s="10"/>
      <c r="J3017" s="10"/>
      <c r="K3017" s="46"/>
      <c r="L3017" s="10"/>
      <c r="M3017" s="44" t="s">
        <v>10178</v>
      </c>
      <c r="N3017" s="45"/>
      <c r="O3017" s="20"/>
      <c r="P3017" s="20"/>
      <c r="Q3017" s="20"/>
      <c r="R3017" s="20"/>
      <c r="S3017" s="20"/>
    </row>
    <row r="3018">
      <c r="A3018" s="23"/>
      <c r="B3018" s="21"/>
      <c r="C3018" s="23"/>
      <c r="D3018" s="24"/>
      <c r="E3018" s="14"/>
      <c r="F3018" s="14"/>
      <c r="G3018" s="14"/>
      <c r="H3018" s="23"/>
      <c r="I3018" s="23"/>
      <c r="J3018" s="23"/>
      <c r="K3018" s="30"/>
      <c r="L3018" s="23"/>
      <c r="M3018" s="50" t="s">
        <v>10178</v>
      </c>
      <c r="N3018" s="51"/>
      <c r="O3018" s="20"/>
      <c r="P3018" s="20"/>
      <c r="Q3018" s="20"/>
      <c r="R3018" s="20"/>
      <c r="S3018" s="20"/>
    </row>
    <row r="3019">
      <c r="A3019" s="10"/>
      <c r="B3019" s="11"/>
      <c r="C3019" s="10"/>
      <c r="D3019" s="13"/>
      <c r="E3019" s="14"/>
      <c r="F3019" s="14"/>
      <c r="G3019" s="14"/>
      <c r="H3019" s="10"/>
      <c r="I3019" s="10"/>
      <c r="J3019" s="10"/>
      <c r="K3019" s="46"/>
      <c r="L3019" s="10"/>
      <c r="M3019" s="44" t="s">
        <v>10178</v>
      </c>
      <c r="N3019" s="45"/>
      <c r="O3019" s="20"/>
      <c r="P3019" s="20"/>
      <c r="Q3019" s="20"/>
      <c r="R3019" s="20"/>
      <c r="S3019" s="20"/>
    </row>
    <row r="3020">
      <c r="A3020" s="23"/>
      <c r="B3020" s="21"/>
      <c r="C3020" s="23"/>
      <c r="D3020" s="24"/>
      <c r="E3020" s="14"/>
      <c r="F3020" s="14"/>
      <c r="G3020" s="14"/>
      <c r="H3020" s="23"/>
      <c r="I3020" s="23"/>
      <c r="J3020" s="23"/>
      <c r="K3020" s="30"/>
      <c r="L3020" s="23"/>
      <c r="M3020" s="50" t="s">
        <v>10178</v>
      </c>
      <c r="N3020" s="51"/>
      <c r="O3020" s="20"/>
      <c r="P3020" s="20"/>
      <c r="Q3020" s="20"/>
      <c r="R3020" s="20"/>
      <c r="S3020" s="20"/>
    </row>
    <row r="3021">
      <c r="A3021" s="10"/>
      <c r="B3021" s="11"/>
      <c r="C3021" s="10"/>
      <c r="D3021" s="13"/>
      <c r="E3021" s="14"/>
      <c r="F3021" s="14"/>
      <c r="G3021" s="14"/>
      <c r="H3021" s="10"/>
      <c r="I3021" s="10"/>
      <c r="J3021" s="10"/>
      <c r="K3021" s="46"/>
      <c r="L3021" s="10"/>
      <c r="M3021" s="44" t="s">
        <v>10178</v>
      </c>
      <c r="N3021" s="45"/>
      <c r="O3021" s="20"/>
      <c r="P3021" s="20"/>
      <c r="Q3021" s="20"/>
      <c r="R3021" s="20"/>
      <c r="S3021" s="20"/>
    </row>
    <row r="3022">
      <c r="A3022" s="23"/>
      <c r="B3022" s="21"/>
      <c r="C3022" s="23"/>
      <c r="D3022" s="24"/>
      <c r="E3022" s="14"/>
      <c r="F3022" s="14"/>
      <c r="G3022" s="14"/>
      <c r="H3022" s="23"/>
      <c r="I3022" s="23"/>
      <c r="J3022" s="23"/>
      <c r="K3022" s="30"/>
      <c r="L3022" s="23"/>
      <c r="M3022" s="50" t="s">
        <v>10178</v>
      </c>
      <c r="N3022" s="51"/>
      <c r="O3022" s="20"/>
      <c r="P3022" s="20"/>
      <c r="Q3022" s="20"/>
      <c r="R3022" s="20"/>
      <c r="S3022" s="20"/>
    </row>
    <row r="3023">
      <c r="A3023" s="10"/>
      <c r="B3023" s="11"/>
      <c r="C3023" s="10"/>
      <c r="D3023" s="13"/>
      <c r="E3023" s="14"/>
      <c r="F3023" s="14"/>
      <c r="G3023" s="14"/>
      <c r="H3023" s="10"/>
      <c r="I3023" s="10"/>
      <c r="J3023" s="10"/>
      <c r="K3023" s="46"/>
      <c r="L3023" s="10"/>
      <c r="M3023" s="44" t="s">
        <v>10178</v>
      </c>
      <c r="N3023" s="45"/>
      <c r="O3023" s="20"/>
      <c r="P3023" s="20"/>
      <c r="Q3023" s="20"/>
      <c r="R3023" s="20"/>
      <c r="S3023" s="20"/>
    </row>
    <row r="3024">
      <c r="A3024" s="23"/>
      <c r="B3024" s="21"/>
      <c r="C3024" s="23"/>
      <c r="D3024" s="24"/>
      <c r="E3024" s="14"/>
      <c r="F3024" s="14"/>
      <c r="G3024" s="14"/>
      <c r="H3024" s="23"/>
      <c r="I3024" s="23"/>
      <c r="J3024" s="23"/>
      <c r="K3024" s="30"/>
      <c r="L3024" s="23"/>
      <c r="M3024" s="50" t="s">
        <v>10178</v>
      </c>
      <c r="N3024" s="51"/>
      <c r="O3024" s="20"/>
      <c r="P3024" s="20"/>
      <c r="Q3024" s="20"/>
      <c r="R3024" s="20"/>
      <c r="S3024" s="20"/>
    </row>
    <row r="3025">
      <c r="A3025" s="10"/>
      <c r="B3025" s="11"/>
      <c r="C3025" s="10"/>
      <c r="D3025" s="13"/>
      <c r="E3025" s="14"/>
      <c r="F3025" s="14"/>
      <c r="G3025" s="14"/>
      <c r="H3025" s="10"/>
      <c r="I3025" s="10"/>
      <c r="J3025" s="10"/>
      <c r="K3025" s="46"/>
      <c r="L3025" s="10"/>
      <c r="M3025" s="44" t="s">
        <v>10178</v>
      </c>
      <c r="N3025" s="45"/>
      <c r="O3025" s="20"/>
      <c r="P3025" s="20"/>
      <c r="Q3025" s="20"/>
      <c r="R3025" s="20"/>
      <c r="S3025" s="20"/>
    </row>
    <row r="3026">
      <c r="A3026" s="23"/>
      <c r="B3026" s="21"/>
      <c r="C3026" s="23"/>
      <c r="D3026" s="24"/>
      <c r="E3026" s="14"/>
      <c r="F3026" s="14"/>
      <c r="G3026" s="14"/>
      <c r="H3026" s="23"/>
      <c r="I3026" s="23"/>
      <c r="J3026" s="23"/>
      <c r="K3026" s="30"/>
      <c r="L3026" s="23"/>
      <c r="M3026" s="50" t="s">
        <v>10178</v>
      </c>
      <c r="N3026" s="51"/>
      <c r="O3026" s="20"/>
      <c r="P3026" s="20"/>
      <c r="Q3026" s="20"/>
      <c r="R3026" s="20"/>
      <c r="S3026" s="20"/>
    </row>
    <row r="3027">
      <c r="A3027" s="10"/>
      <c r="B3027" s="11"/>
      <c r="C3027" s="10"/>
      <c r="D3027" s="13"/>
      <c r="E3027" s="14"/>
      <c r="F3027" s="14"/>
      <c r="G3027" s="14"/>
      <c r="H3027" s="10"/>
      <c r="I3027" s="10"/>
      <c r="J3027" s="10"/>
      <c r="K3027" s="46"/>
      <c r="L3027" s="10"/>
      <c r="M3027" s="44" t="s">
        <v>10178</v>
      </c>
      <c r="N3027" s="45"/>
      <c r="O3027" s="20"/>
      <c r="P3027" s="20"/>
      <c r="Q3027" s="20"/>
      <c r="R3027" s="20"/>
      <c r="S3027" s="20"/>
    </row>
    <row r="3028">
      <c r="A3028" s="23"/>
      <c r="B3028" s="21"/>
      <c r="C3028" s="23"/>
      <c r="D3028" s="24"/>
      <c r="E3028" s="14"/>
      <c r="F3028" s="14"/>
      <c r="G3028" s="14"/>
      <c r="H3028" s="23"/>
      <c r="I3028" s="23"/>
      <c r="J3028" s="23"/>
      <c r="K3028" s="30"/>
      <c r="L3028" s="23"/>
      <c r="M3028" s="50" t="s">
        <v>10178</v>
      </c>
      <c r="N3028" s="51"/>
      <c r="O3028" s="20"/>
      <c r="P3028" s="20"/>
      <c r="Q3028" s="20"/>
      <c r="R3028" s="20"/>
      <c r="S3028" s="20"/>
    </row>
    <row r="3029">
      <c r="A3029" s="10"/>
      <c r="B3029" s="11"/>
      <c r="C3029" s="10"/>
      <c r="D3029" s="13"/>
      <c r="E3029" s="14"/>
      <c r="F3029" s="14"/>
      <c r="G3029" s="14"/>
      <c r="H3029" s="10"/>
      <c r="I3029" s="10"/>
      <c r="J3029" s="10"/>
      <c r="K3029" s="46"/>
      <c r="L3029" s="10"/>
      <c r="M3029" s="44" t="s">
        <v>10178</v>
      </c>
      <c r="N3029" s="45"/>
      <c r="O3029" s="20"/>
      <c r="P3029" s="20"/>
      <c r="Q3029" s="20"/>
      <c r="R3029" s="20"/>
      <c r="S3029" s="20"/>
    </row>
    <row r="3030">
      <c r="A3030" s="23"/>
      <c r="B3030" s="21"/>
      <c r="C3030" s="23"/>
      <c r="D3030" s="24"/>
      <c r="E3030" s="14"/>
      <c r="F3030" s="14"/>
      <c r="G3030" s="14"/>
      <c r="H3030" s="23"/>
      <c r="I3030" s="23"/>
      <c r="J3030" s="23"/>
      <c r="K3030" s="30"/>
      <c r="L3030" s="23"/>
      <c r="M3030" s="50" t="s">
        <v>10178</v>
      </c>
      <c r="N3030" s="51"/>
      <c r="O3030" s="20"/>
      <c r="P3030" s="20"/>
      <c r="Q3030" s="20"/>
      <c r="R3030" s="20"/>
      <c r="S3030" s="20"/>
    </row>
    <row r="3031">
      <c r="A3031" s="10"/>
      <c r="B3031" s="11"/>
      <c r="C3031" s="10"/>
      <c r="D3031" s="13"/>
      <c r="E3031" s="14"/>
      <c r="F3031" s="14"/>
      <c r="G3031" s="14"/>
      <c r="H3031" s="10"/>
      <c r="I3031" s="10"/>
      <c r="J3031" s="10"/>
      <c r="K3031" s="46"/>
      <c r="L3031" s="10"/>
      <c r="M3031" s="44" t="s">
        <v>10178</v>
      </c>
      <c r="N3031" s="45"/>
      <c r="O3031" s="20"/>
      <c r="P3031" s="20"/>
      <c r="Q3031" s="20"/>
      <c r="R3031" s="20"/>
      <c r="S3031" s="20"/>
    </row>
    <row r="3032">
      <c r="A3032" s="23"/>
      <c r="B3032" s="21"/>
      <c r="C3032" s="23"/>
      <c r="D3032" s="24"/>
      <c r="E3032" s="14"/>
      <c r="F3032" s="14"/>
      <c r="G3032" s="14"/>
      <c r="H3032" s="23"/>
      <c r="I3032" s="23"/>
      <c r="J3032" s="23"/>
      <c r="K3032" s="30"/>
      <c r="L3032" s="23"/>
      <c r="M3032" s="50" t="s">
        <v>10178</v>
      </c>
      <c r="N3032" s="51"/>
      <c r="O3032" s="20"/>
      <c r="P3032" s="20"/>
      <c r="Q3032" s="20"/>
      <c r="R3032" s="20"/>
      <c r="S3032" s="20"/>
    </row>
    <row r="3033">
      <c r="A3033" s="10"/>
      <c r="B3033" s="11"/>
      <c r="C3033" s="10"/>
      <c r="D3033" s="13"/>
      <c r="E3033" s="14"/>
      <c r="F3033" s="14"/>
      <c r="G3033" s="14"/>
      <c r="H3033" s="10"/>
      <c r="I3033" s="10"/>
      <c r="J3033" s="10"/>
      <c r="K3033" s="46"/>
      <c r="L3033" s="10"/>
      <c r="M3033" s="44" t="s">
        <v>10178</v>
      </c>
      <c r="N3033" s="45"/>
      <c r="O3033" s="20"/>
      <c r="P3033" s="20"/>
      <c r="Q3033" s="20"/>
      <c r="R3033" s="20"/>
      <c r="S3033" s="20"/>
    </row>
    <row r="3034">
      <c r="A3034" s="23"/>
      <c r="B3034" s="21"/>
      <c r="C3034" s="23"/>
      <c r="D3034" s="24"/>
      <c r="E3034" s="14"/>
      <c r="F3034" s="14"/>
      <c r="G3034" s="14"/>
      <c r="H3034" s="23"/>
      <c r="I3034" s="23"/>
      <c r="J3034" s="23"/>
      <c r="K3034" s="30"/>
      <c r="L3034" s="23"/>
      <c r="M3034" s="50" t="s">
        <v>10178</v>
      </c>
      <c r="N3034" s="51"/>
      <c r="O3034" s="20"/>
      <c r="P3034" s="20"/>
      <c r="Q3034" s="20"/>
      <c r="R3034" s="20"/>
      <c r="S3034" s="20"/>
    </row>
    <row r="3035">
      <c r="A3035" s="10"/>
      <c r="B3035" s="11"/>
      <c r="C3035" s="10"/>
      <c r="D3035" s="13"/>
      <c r="E3035" s="14"/>
      <c r="F3035" s="14"/>
      <c r="G3035" s="14"/>
      <c r="H3035" s="10"/>
      <c r="I3035" s="10"/>
      <c r="J3035" s="10"/>
      <c r="K3035" s="46"/>
      <c r="L3035" s="10"/>
      <c r="M3035" s="44" t="s">
        <v>10178</v>
      </c>
      <c r="N3035" s="45"/>
      <c r="O3035" s="20"/>
      <c r="P3035" s="20"/>
      <c r="Q3035" s="20"/>
      <c r="R3035" s="20"/>
      <c r="S3035" s="20"/>
    </row>
    <row r="3036">
      <c r="A3036" s="23"/>
      <c r="B3036" s="21"/>
      <c r="C3036" s="23"/>
      <c r="D3036" s="24"/>
      <c r="E3036" s="14"/>
      <c r="F3036" s="14"/>
      <c r="G3036" s="14"/>
      <c r="H3036" s="23"/>
      <c r="I3036" s="23"/>
      <c r="J3036" s="23"/>
      <c r="K3036" s="30"/>
      <c r="L3036" s="23"/>
      <c r="M3036" s="50" t="s">
        <v>10178</v>
      </c>
      <c r="N3036" s="51"/>
      <c r="O3036" s="20"/>
      <c r="P3036" s="20"/>
      <c r="Q3036" s="20"/>
      <c r="R3036" s="20"/>
      <c r="S3036" s="20"/>
    </row>
    <row r="3037">
      <c r="A3037" s="10"/>
      <c r="B3037" s="11"/>
      <c r="C3037" s="10"/>
      <c r="D3037" s="13"/>
      <c r="E3037" s="14"/>
      <c r="F3037" s="14"/>
      <c r="G3037" s="14"/>
      <c r="H3037" s="10"/>
      <c r="I3037" s="10"/>
      <c r="J3037" s="10"/>
      <c r="K3037" s="46"/>
      <c r="L3037" s="10"/>
      <c r="M3037" s="44" t="s">
        <v>10178</v>
      </c>
      <c r="N3037" s="45"/>
      <c r="O3037" s="20"/>
      <c r="P3037" s="20"/>
      <c r="Q3037" s="20"/>
      <c r="R3037" s="20"/>
      <c r="S3037" s="20"/>
    </row>
    <row r="3038">
      <c r="A3038" s="23"/>
      <c r="B3038" s="21"/>
      <c r="C3038" s="23"/>
      <c r="D3038" s="24"/>
      <c r="E3038" s="14"/>
      <c r="F3038" s="14"/>
      <c r="G3038" s="14"/>
      <c r="H3038" s="23"/>
      <c r="I3038" s="23"/>
      <c r="J3038" s="23"/>
      <c r="K3038" s="30"/>
      <c r="L3038" s="23"/>
      <c r="M3038" s="50" t="s">
        <v>10178</v>
      </c>
      <c r="N3038" s="51"/>
      <c r="O3038" s="20"/>
      <c r="P3038" s="20"/>
      <c r="Q3038" s="20"/>
      <c r="R3038" s="20"/>
      <c r="S3038" s="20"/>
    </row>
    <row r="3039">
      <c r="A3039" s="10"/>
      <c r="B3039" s="11"/>
      <c r="C3039" s="10"/>
      <c r="D3039" s="13"/>
      <c r="E3039" s="14"/>
      <c r="F3039" s="14"/>
      <c r="G3039" s="14"/>
      <c r="H3039" s="10"/>
      <c r="I3039" s="10"/>
      <c r="J3039" s="10"/>
      <c r="K3039" s="46"/>
      <c r="L3039" s="10"/>
      <c r="M3039" s="44" t="s">
        <v>10178</v>
      </c>
      <c r="N3039" s="45"/>
      <c r="O3039" s="20"/>
      <c r="P3039" s="20"/>
      <c r="Q3039" s="20"/>
      <c r="R3039" s="20"/>
      <c r="S3039" s="20"/>
    </row>
    <row r="3040">
      <c r="A3040" s="23"/>
      <c r="B3040" s="21"/>
      <c r="C3040" s="23"/>
      <c r="D3040" s="24"/>
      <c r="E3040" s="14"/>
      <c r="F3040" s="14"/>
      <c r="G3040" s="14"/>
      <c r="H3040" s="23"/>
      <c r="I3040" s="23"/>
      <c r="J3040" s="23"/>
      <c r="K3040" s="30"/>
      <c r="L3040" s="23"/>
      <c r="M3040" s="50" t="s">
        <v>10178</v>
      </c>
      <c r="N3040" s="51"/>
      <c r="O3040" s="20"/>
      <c r="P3040" s="20"/>
      <c r="Q3040" s="20"/>
      <c r="R3040" s="20"/>
      <c r="S3040" s="20"/>
    </row>
    <row r="3041">
      <c r="A3041" s="10"/>
      <c r="B3041" s="11"/>
      <c r="C3041" s="10"/>
      <c r="D3041" s="13"/>
      <c r="E3041" s="14"/>
      <c r="F3041" s="14"/>
      <c r="G3041" s="14"/>
      <c r="H3041" s="10"/>
      <c r="I3041" s="10"/>
      <c r="J3041" s="10"/>
      <c r="K3041" s="46"/>
      <c r="L3041" s="10"/>
      <c r="M3041" s="44" t="s">
        <v>10178</v>
      </c>
      <c r="N3041" s="45"/>
      <c r="O3041" s="20"/>
      <c r="P3041" s="20"/>
      <c r="Q3041" s="20"/>
      <c r="R3041" s="20"/>
      <c r="S3041" s="20"/>
    </row>
    <row r="3042">
      <c r="A3042" s="23"/>
      <c r="B3042" s="21"/>
      <c r="C3042" s="23"/>
      <c r="D3042" s="24"/>
      <c r="E3042" s="14"/>
      <c r="F3042" s="14"/>
      <c r="G3042" s="14"/>
      <c r="H3042" s="23"/>
      <c r="I3042" s="23"/>
      <c r="J3042" s="23"/>
      <c r="K3042" s="30"/>
      <c r="L3042" s="23"/>
      <c r="M3042" s="50" t="s">
        <v>10178</v>
      </c>
      <c r="N3042" s="51"/>
      <c r="O3042" s="20"/>
      <c r="P3042" s="20"/>
      <c r="Q3042" s="20"/>
      <c r="R3042" s="20"/>
      <c r="S3042" s="20"/>
    </row>
    <row r="3043">
      <c r="A3043" s="10"/>
      <c r="B3043" s="11"/>
      <c r="C3043" s="10"/>
      <c r="D3043" s="13"/>
      <c r="E3043" s="14"/>
      <c r="F3043" s="14"/>
      <c r="G3043" s="14"/>
      <c r="H3043" s="10"/>
      <c r="I3043" s="10"/>
      <c r="J3043" s="10"/>
      <c r="K3043" s="46"/>
      <c r="L3043" s="10"/>
      <c r="M3043" s="44" t="s">
        <v>10178</v>
      </c>
      <c r="N3043" s="45"/>
      <c r="O3043" s="20"/>
      <c r="P3043" s="20"/>
      <c r="Q3043" s="20"/>
      <c r="R3043" s="20"/>
      <c r="S3043" s="20"/>
    </row>
    <row r="3044">
      <c r="A3044" s="23"/>
      <c r="B3044" s="21"/>
      <c r="C3044" s="23"/>
      <c r="D3044" s="24"/>
      <c r="E3044" s="14"/>
      <c r="F3044" s="14"/>
      <c r="G3044" s="14"/>
      <c r="H3044" s="23"/>
      <c r="I3044" s="23"/>
      <c r="J3044" s="23"/>
      <c r="K3044" s="30"/>
      <c r="L3044" s="23"/>
      <c r="M3044" s="50" t="s">
        <v>10178</v>
      </c>
      <c r="N3044" s="51"/>
      <c r="O3044" s="20"/>
      <c r="P3044" s="20"/>
      <c r="Q3044" s="20"/>
      <c r="R3044" s="20"/>
      <c r="S3044" s="20"/>
    </row>
    <row r="3045">
      <c r="A3045" s="10"/>
      <c r="B3045" s="11"/>
      <c r="C3045" s="10"/>
      <c r="D3045" s="13"/>
      <c r="E3045" s="14"/>
      <c r="F3045" s="14"/>
      <c r="G3045" s="14"/>
      <c r="H3045" s="10"/>
      <c r="I3045" s="10"/>
      <c r="J3045" s="10"/>
      <c r="K3045" s="46"/>
      <c r="L3045" s="10"/>
      <c r="M3045" s="44" t="s">
        <v>10178</v>
      </c>
      <c r="N3045" s="45"/>
      <c r="O3045" s="20"/>
      <c r="P3045" s="20"/>
      <c r="Q3045" s="20"/>
      <c r="R3045" s="20"/>
      <c r="S3045" s="20"/>
    </row>
    <row r="3046">
      <c r="A3046" s="23"/>
      <c r="B3046" s="21"/>
      <c r="C3046" s="23"/>
      <c r="D3046" s="24"/>
      <c r="E3046" s="14"/>
      <c r="F3046" s="14"/>
      <c r="G3046" s="14"/>
      <c r="H3046" s="23"/>
      <c r="I3046" s="23"/>
      <c r="J3046" s="23"/>
      <c r="K3046" s="30"/>
      <c r="L3046" s="23"/>
      <c r="M3046" s="50" t="s">
        <v>10178</v>
      </c>
      <c r="N3046" s="51"/>
      <c r="O3046" s="20"/>
      <c r="P3046" s="20"/>
      <c r="Q3046" s="20"/>
      <c r="R3046" s="20"/>
      <c r="S3046" s="20"/>
    </row>
    <row r="3047">
      <c r="A3047" s="10"/>
      <c r="B3047" s="11"/>
      <c r="C3047" s="10"/>
      <c r="D3047" s="13"/>
      <c r="E3047" s="14"/>
      <c r="F3047" s="14"/>
      <c r="G3047" s="14"/>
      <c r="H3047" s="10"/>
      <c r="I3047" s="10"/>
      <c r="J3047" s="10"/>
      <c r="K3047" s="46"/>
      <c r="L3047" s="10"/>
      <c r="M3047" s="44" t="s">
        <v>10178</v>
      </c>
      <c r="N3047" s="45"/>
      <c r="O3047" s="20"/>
      <c r="P3047" s="20"/>
      <c r="Q3047" s="20"/>
      <c r="R3047" s="20"/>
      <c r="S3047" s="20"/>
    </row>
    <row r="3048">
      <c r="A3048" s="23"/>
      <c r="B3048" s="21"/>
      <c r="C3048" s="23"/>
      <c r="D3048" s="24"/>
      <c r="E3048" s="14"/>
      <c r="F3048" s="14"/>
      <c r="G3048" s="14"/>
      <c r="H3048" s="23"/>
      <c r="I3048" s="23"/>
      <c r="J3048" s="23"/>
      <c r="K3048" s="30"/>
      <c r="L3048" s="23"/>
      <c r="M3048" s="50" t="s">
        <v>10178</v>
      </c>
      <c r="N3048" s="51"/>
      <c r="O3048" s="20"/>
      <c r="P3048" s="20"/>
      <c r="Q3048" s="20"/>
      <c r="R3048" s="20"/>
      <c r="S3048" s="20"/>
    </row>
    <row r="3049">
      <c r="A3049" s="10"/>
      <c r="B3049" s="11"/>
      <c r="C3049" s="10"/>
      <c r="D3049" s="13"/>
      <c r="E3049" s="14"/>
      <c r="F3049" s="14"/>
      <c r="G3049" s="14"/>
      <c r="H3049" s="10"/>
      <c r="I3049" s="10"/>
      <c r="J3049" s="10"/>
      <c r="K3049" s="46"/>
      <c r="L3049" s="10"/>
      <c r="M3049" s="44" t="s">
        <v>10178</v>
      </c>
      <c r="N3049" s="45"/>
      <c r="O3049" s="20"/>
      <c r="P3049" s="20"/>
      <c r="Q3049" s="20"/>
      <c r="R3049" s="20"/>
      <c r="S3049" s="20"/>
    </row>
    <row r="3050">
      <c r="A3050" s="23"/>
      <c r="B3050" s="21"/>
      <c r="C3050" s="23"/>
      <c r="D3050" s="24"/>
      <c r="E3050" s="14"/>
      <c r="F3050" s="14"/>
      <c r="G3050" s="14"/>
      <c r="H3050" s="23"/>
      <c r="I3050" s="23"/>
      <c r="J3050" s="23"/>
      <c r="K3050" s="30"/>
      <c r="L3050" s="23"/>
      <c r="M3050" s="50" t="s">
        <v>10178</v>
      </c>
      <c r="N3050" s="51"/>
      <c r="O3050" s="20"/>
      <c r="P3050" s="20"/>
      <c r="Q3050" s="20"/>
      <c r="R3050" s="20"/>
      <c r="S3050" s="20"/>
    </row>
    <row r="3051">
      <c r="A3051" s="10"/>
      <c r="B3051" s="11"/>
      <c r="C3051" s="10"/>
      <c r="D3051" s="13"/>
      <c r="E3051" s="14"/>
      <c r="F3051" s="14"/>
      <c r="G3051" s="14"/>
      <c r="H3051" s="10"/>
      <c r="I3051" s="10"/>
      <c r="J3051" s="10"/>
      <c r="K3051" s="46"/>
      <c r="L3051" s="10"/>
      <c r="M3051" s="44" t="s">
        <v>10178</v>
      </c>
      <c r="N3051" s="45"/>
      <c r="O3051" s="20"/>
      <c r="P3051" s="20"/>
      <c r="Q3051" s="20"/>
      <c r="R3051" s="20"/>
      <c r="S3051" s="20"/>
    </row>
    <row r="3052">
      <c r="A3052" s="23"/>
      <c r="B3052" s="21"/>
      <c r="C3052" s="23"/>
      <c r="D3052" s="24"/>
      <c r="E3052" s="14"/>
      <c r="F3052" s="14"/>
      <c r="G3052" s="14"/>
      <c r="H3052" s="23"/>
      <c r="I3052" s="23"/>
      <c r="J3052" s="23"/>
      <c r="K3052" s="30"/>
      <c r="L3052" s="23"/>
      <c r="M3052" s="50" t="s">
        <v>10178</v>
      </c>
      <c r="N3052" s="51"/>
      <c r="O3052" s="20"/>
      <c r="P3052" s="20"/>
      <c r="Q3052" s="20"/>
      <c r="R3052" s="20"/>
      <c r="S3052" s="20"/>
    </row>
    <row r="3053">
      <c r="A3053" s="10"/>
      <c r="B3053" s="11"/>
      <c r="C3053" s="10"/>
      <c r="D3053" s="13"/>
      <c r="E3053" s="14"/>
      <c r="F3053" s="14"/>
      <c r="G3053" s="14"/>
      <c r="H3053" s="10"/>
      <c r="I3053" s="10"/>
      <c r="J3053" s="10"/>
      <c r="K3053" s="46"/>
      <c r="L3053" s="10"/>
      <c r="M3053" s="44" t="s">
        <v>10178</v>
      </c>
      <c r="N3053" s="45"/>
      <c r="O3053" s="20"/>
      <c r="P3053" s="20"/>
      <c r="Q3053" s="20"/>
      <c r="R3053" s="20"/>
      <c r="S3053" s="20"/>
    </row>
    <row r="3054">
      <c r="A3054" s="23"/>
      <c r="B3054" s="21"/>
      <c r="C3054" s="23"/>
      <c r="D3054" s="24"/>
      <c r="E3054" s="14"/>
      <c r="F3054" s="14"/>
      <c r="G3054" s="14"/>
      <c r="H3054" s="23"/>
      <c r="I3054" s="23"/>
      <c r="J3054" s="23"/>
      <c r="K3054" s="30"/>
      <c r="L3054" s="23"/>
      <c r="M3054" s="50" t="s">
        <v>10178</v>
      </c>
      <c r="N3054" s="51"/>
      <c r="O3054" s="20"/>
      <c r="P3054" s="20"/>
      <c r="Q3054" s="20"/>
      <c r="R3054" s="20"/>
      <c r="S3054" s="20"/>
    </row>
    <row r="3055">
      <c r="A3055" s="10"/>
      <c r="B3055" s="11"/>
      <c r="C3055" s="10"/>
      <c r="D3055" s="13"/>
      <c r="E3055" s="14"/>
      <c r="F3055" s="14"/>
      <c r="G3055" s="14"/>
      <c r="H3055" s="10"/>
      <c r="I3055" s="10"/>
      <c r="J3055" s="10"/>
      <c r="K3055" s="46"/>
      <c r="L3055" s="10"/>
      <c r="M3055" s="44" t="s">
        <v>10178</v>
      </c>
      <c r="N3055" s="45"/>
      <c r="O3055" s="20"/>
      <c r="P3055" s="20"/>
      <c r="Q3055" s="20"/>
      <c r="R3055" s="20"/>
      <c r="S3055" s="20"/>
    </row>
    <row r="3056">
      <c r="A3056" s="23"/>
      <c r="B3056" s="21"/>
      <c r="C3056" s="23"/>
      <c r="D3056" s="24"/>
      <c r="E3056" s="14"/>
      <c r="F3056" s="14"/>
      <c r="G3056" s="14"/>
      <c r="H3056" s="23"/>
      <c r="I3056" s="23"/>
      <c r="J3056" s="23"/>
      <c r="K3056" s="30"/>
      <c r="L3056" s="23"/>
      <c r="M3056" s="50" t="s">
        <v>10178</v>
      </c>
      <c r="N3056" s="51"/>
      <c r="O3056" s="20"/>
      <c r="P3056" s="20"/>
      <c r="Q3056" s="20"/>
      <c r="R3056" s="20"/>
      <c r="S3056" s="20"/>
    </row>
    <row r="3057">
      <c r="A3057" s="10"/>
      <c r="B3057" s="11"/>
      <c r="C3057" s="10"/>
      <c r="D3057" s="13"/>
      <c r="E3057" s="14"/>
      <c r="F3057" s="14"/>
      <c r="G3057" s="14"/>
      <c r="H3057" s="10"/>
      <c r="I3057" s="10"/>
      <c r="J3057" s="10"/>
      <c r="K3057" s="46"/>
      <c r="L3057" s="10"/>
      <c r="M3057" s="44" t="s">
        <v>10178</v>
      </c>
      <c r="N3057" s="45"/>
      <c r="O3057" s="20"/>
      <c r="P3057" s="20"/>
      <c r="Q3057" s="20"/>
      <c r="R3057" s="20"/>
      <c r="S3057" s="20"/>
    </row>
    <row r="3058">
      <c r="A3058" s="23"/>
      <c r="B3058" s="21"/>
      <c r="C3058" s="23"/>
      <c r="D3058" s="24"/>
      <c r="E3058" s="14"/>
      <c r="F3058" s="14"/>
      <c r="G3058" s="14"/>
      <c r="H3058" s="23"/>
      <c r="I3058" s="23"/>
      <c r="J3058" s="23"/>
      <c r="K3058" s="30"/>
      <c r="L3058" s="23"/>
      <c r="M3058" s="50" t="s">
        <v>10178</v>
      </c>
      <c r="N3058" s="51"/>
      <c r="O3058" s="20"/>
      <c r="P3058" s="20"/>
      <c r="Q3058" s="20"/>
      <c r="R3058" s="20"/>
      <c r="S3058" s="20"/>
    </row>
    <row r="3059">
      <c r="A3059" s="10"/>
      <c r="B3059" s="11"/>
      <c r="C3059" s="10"/>
      <c r="D3059" s="13"/>
      <c r="E3059" s="14"/>
      <c r="F3059" s="14"/>
      <c r="G3059" s="14"/>
      <c r="H3059" s="10"/>
      <c r="I3059" s="10"/>
      <c r="J3059" s="10"/>
      <c r="K3059" s="46"/>
      <c r="L3059" s="10"/>
      <c r="M3059" s="44" t="s">
        <v>10178</v>
      </c>
      <c r="N3059" s="45"/>
      <c r="O3059" s="20"/>
      <c r="P3059" s="20"/>
      <c r="Q3059" s="20"/>
      <c r="R3059" s="20"/>
      <c r="S3059" s="20"/>
    </row>
    <row r="3060">
      <c r="A3060" s="23"/>
      <c r="B3060" s="21"/>
      <c r="C3060" s="23"/>
      <c r="D3060" s="24"/>
      <c r="E3060" s="14"/>
      <c r="F3060" s="14"/>
      <c r="G3060" s="14"/>
      <c r="H3060" s="23"/>
      <c r="I3060" s="23"/>
      <c r="J3060" s="23"/>
      <c r="K3060" s="30"/>
      <c r="L3060" s="23"/>
      <c r="M3060" s="50" t="s">
        <v>10178</v>
      </c>
      <c r="N3060" s="51"/>
      <c r="O3060" s="20"/>
      <c r="P3060" s="20"/>
      <c r="Q3060" s="20"/>
      <c r="R3060" s="20"/>
      <c r="S3060" s="20"/>
    </row>
    <row r="3061">
      <c r="A3061" s="10"/>
      <c r="B3061" s="11"/>
      <c r="C3061" s="10"/>
      <c r="D3061" s="13"/>
      <c r="E3061" s="14"/>
      <c r="F3061" s="14"/>
      <c r="G3061" s="14"/>
      <c r="H3061" s="10"/>
      <c r="I3061" s="10"/>
      <c r="J3061" s="10"/>
      <c r="K3061" s="46"/>
      <c r="L3061" s="10"/>
      <c r="M3061" s="44" t="s">
        <v>10178</v>
      </c>
      <c r="N3061" s="45"/>
      <c r="O3061" s="20"/>
      <c r="P3061" s="20"/>
      <c r="Q3061" s="20"/>
      <c r="R3061" s="20"/>
      <c r="S3061" s="20"/>
    </row>
    <row r="3062">
      <c r="A3062" s="23"/>
      <c r="B3062" s="21"/>
      <c r="C3062" s="23"/>
      <c r="D3062" s="24"/>
      <c r="E3062" s="14"/>
      <c r="F3062" s="14"/>
      <c r="G3062" s="14"/>
      <c r="H3062" s="23"/>
      <c r="I3062" s="23"/>
      <c r="J3062" s="23"/>
      <c r="K3062" s="30"/>
      <c r="L3062" s="23"/>
      <c r="M3062" s="50" t="s">
        <v>10178</v>
      </c>
      <c r="N3062" s="51"/>
      <c r="O3062" s="20"/>
      <c r="P3062" s="20"/>
      <c r="Q3062" s="20"/>
      <c r="R3062" s="20"/>
      <c r="S3062" s="20"/>
    </row>
    <row r="3063">
      <c r="A3063" s="10"/>
      <c r="B3063" s="11"/>
      <c r="C3063" s="10"/>
      <c r="D3063" s="13"/>
      <c r="E3063" s="14"/>
      <c r="F3063" s="14"/>
      <c r="G3063" s="14"/>
      <c r="H3063" s="10"/>
      <c r="I3063" s="10"/>
      <c r="J3063" s="10"/>
      <c r="K3063" s="46"/>
      <c r="L3063" s="10"/>
      <c r="M3063" s="44" t="s">
        <v>10178</v>
      </c>
      <c r="N3063" s="45"/>
      <c r="O3063" s="20"/>
      <c r="P3063" s="20"/>
      <c r="Q3063" s="20"/>
      <c r="R3063" s="20"/>
      <c r="S3063" s="20"/>
    </row>
    <row r="3064">
      <c r="A3064" s="23"/>
      <c r="B3064" s="21"/>
      <c r="C3064" s="23"/>
      <c r="D3064" s="24"/>
      <c r="E3064" s="14"/>
      <c r="F3064" s="14"/>
      <c r="G3064" s="14"/>
      <c r="H3064" s="23"/>
      <c r="I3064" s="23"/>
      <c r="J3064" s="23"/>
      <c r="K3064" s="30"/>
      <c r="L3064" s="23"/>
      <c r="M3064" s="50" t="s">
        <v>10178</v>
      </c>
      <c r="N3064" s="51"/>
      <c r="O3064" s="20"/>
      <c r="P3064" s="20"/>
      <c r="Q3064" s="20"/>
      <c r="R3064" s="20"/>
      <c r="S3064" s="20"/>
    </row>
    <row r="3065">
      <c r="A3065" s="10"/>
      <c r="B3065" s="11"/>
      <c r="C3065" s="10"/>
      <c r="D3065" s="13"/>
      <c r="E3065" s="14"/>
      <c r="F3065" s="14"/>
      <c r="G3065" s="14"/>
      <c r="H3065" s="10"/>
      <c r="I3065" s="10"/>
      <c r="J3065" s="10"/>
      <c r="K3065" s="46"/>
      <c r="L3065" s="10"/>
      <c r="M3065" s="44" t="s">
        <v>10178</v>
      </c>
      <c r="N3065" s="45"/>
      <c r="O3065" s="20"/>
      <c r="P3065" s="20"/>
      <c r="Q3065" s="20"/>
      <c r="R3065" s="20"/>
      <c r="S3065" s="20"/>
    </row>
    <row r="3066">
      <c r="A3066" s="23"/>
      <c r="B3066" s="21"/>
      <c r="C3066" s="23"/>
      <c r="D3066" s="24"/>
      <c r="E3066" s="14"/>
      <c r="F3066" s="14"/>
      <c r="G3066" s="14"/>
      <c r="H3066" s="23"/>
      <c r="I3066" s="23"/>
      <c r="J3066" s="23"/>
      <c r="K3066" s="30"/>
      <c r="L3066" s="23"/>
      <c r="M3066" s="50" t="s">
        <v>10178</v>
      </c>
      <c r="N3066" s="51"/>
      <c r="O3066" s="20"/>
      <c r="P3066" s="20"/>
      <c r="Q3066" s="20"/>
      <c r="R3066" s="20"/>
      <c r="S3066" s="20"/>
    </row>
    <row r="3067">
      <c r="A3067" s="10"/>
      <c r="B3067" s="11"/>
      <c r="C3067" s="10"/>
      <c r="D3067" s="13"/>
      <c r="E3067" s="14"/>
      <c r="F3067" s="14"/>
      <c r="G3067" s="14"/>
      <c r="H3067" s="10"/>
      <c r="I3067" s="10"/>
      <c r="J3067" s="10"/>
      <c r="K3067" s="46"/>
      <c r="L3067" s="10"/>
      <c r="M3067" s="44" t="s">
        <v>10178</v>
      </c>
      <c r="N3067" s="45"/>
      <c r="O3067" s="20"/>
      <c r="P3067" s="20"/>
      <c r="Q3067" s="20"/>
      <c r="R3067" s="20"/>
      <c r="S3067" s="20"/>
    </row>
    <row r="3068">
      <c r="A3068" s="23"/>
      <c r="B3068" s="21"/>
      <c r="C3068" s="23"/>
      <c r="D3068" s="24"/>
      <c r="E3068" s="14"/>
      <c r="F3068" s="14"/>
      <c r="G3068" s="14"/>
      <c r="H3068" s="23"/>
      <c r="I3068" s="23"/>
      <c r="J3068" s="23"/>
      <c r="K3068" s="30"/>
      <c r="L3068" s="23"/>
      <c r="M3068" s="50" t="s">
        <v>10178</v>
      </c>
      <c r="N3068" s="51"/>
      <c r="O3068" s="20"/>
      <c r="P3068" s="20"/>
      <c r="Q3068" s="20"/>
      <c r="R3068" s="20"/>
      <c r="S3068" s="20"/>
    </row>
    <row r="3069">
      <c r="A3069" s="10"/>
      <c r="B3069" s="11"/>
      <c r="C3069" s="10"/>
      <c r="D3069" s="13"/>
      <c r="E3069" s="14"/>
      <c r="F3069" s="14"/>
      <c r="G3069" s="14"/>
      <c r="H3069" s="10"/>
      <c r="I3069" s="10"/>
      <c r="J3069" s="10"/>
      <c r="K3069" s="46"/>
      <c r="L3069" s="10"/>
      <c r="M3069" s="44" t="s">
        <v>10178</v>
      </c>
      <c r="N3069" s="45"/>
      <c r="O3069" s="20"/>
      <c r="P3069" s="20"/>
      <c r="Q3069" s="20"/>
      <c r="R3069" s="20"/>
      <c r="S3069" s="20"/>
    </row>
    <row r="3070">
      <c r="A3070" s="23"/>
      <c r="B3070" s="21"/>
      <c r="C3070" s="23"/>
      <c r="D3070" s="24"/>
      <c r="E3070" s="14"/>
      <c r="F3070" s="14"/>
      <c r="G3070" s="14"/>
      <c r="H3070" s="23"/>
      <c r="I3070" s="23"/>
      <c r="J3070" s="23"/>
      <c r="K3070" s="30"/>
      <c r="L3070" s="23"/>
      <c r="M3070" s="50" t="s">
        <v>10178</v>
      </c>
      <c r="N3070" s="51"/>
      <c r="O3070" s="20"/>
      <c r="P3070" s="20"/>
      <c r="Q3070" s="20"/>
      <c r="R3070" s="20"/>
      <c r="S3070" s="20"/>
    </row>
    <row r="3071">
      <c r="A3071" s="10"/>
      <c r="B3071" s="11"/>
      <c r="C3071" s="10"/>
      <c r="D3071" s="13"/>
      <c r="E3071" s="14"/>
      <c r="F3071" s="14"/>
      <c r="G3071" s="14"/>
      <c r="H3071" s="10"/>
      <c r="I3071" s="10"/>
      <c r="J3071" s="10"/>
      <c r="K3071" s="46"/>
      <c r="L3071" s="10"/>
      <c r="M3071" s="44" t="s">
        <v>10178</v>
      </c>
      <c r="N3071" s="45"/>
      <c r="O3071" s="20"/>
      <c r="P3071" s="20"/>
      <c r="Q3071" s="20"/>
      <c r="R3071" s="20"/>
      <c r="S3071" s="20"/>
    </row>
    <row r="3072">
      <c r="A3072" s="23"/>
      <c r="B3072" s="21"/>
      <c r="C3072" s="23"/>
      <c r="D3072" s="24"/>
      <c r="E3072" s="14"/>
      <c r="F3072" s="14"/>
      <c r="G3072" s="14"/>
      <c r="H3072" s="23"/>
      <c r="I3072" s="23"/>
      <c r="J3072" s="23"/>
      <c r="K3072" s="30"/>
      <c r="L3072" s="23"/>
      <c r="M3072" s="50" t="s">
        <v>10178</v>
      </c>
      <c r="N3072" s="51"/>
      <c r="O3072" s="20"/>
      <c r="P3072" s="20"/>
      <c r="Q3072" s="20"/>
      <c r="R3072" s="20"/>
      <c r="S3072" s="20"/>
    </row>
    <row r="3073">
      <c r="A3073" s="10"/>
      <c r="B3073" s="11"/>
      <c r="C3073" s="10"/>
      <c r="D3073" s="13"/>
      <c r="E3073" s="14"/>
      <c r="F3073" s="14"/>
      <c r="G3073" s="14"/>
      <c r="H3073" s="10"/>
      <c r="I3073" s="10"/>
      <c r="J3073" s="10"/>
      <c r="K3073" s="46"/>
      <c r="L3073" s="10"/>
      <c r="M3073" s="44" t="s">
        <v>10178</v>
      </c>
      <c r="N3073" s="45"/>
      <c r="O3073" s="20"/>
      <c r="P3073" s="20"/>
      <c r="Q3073" s="20"/>
      <c r="R3073" s="20"/>
      <c r="S3073" s="20"/>
    </row>
    <row r="3074">
      <c r="A3074" s="23"/>
      <c r="B3074" s="21"/>
      <c r="C3074" s="23"/>
      <c r="D3074" s="24"/>
      <c r="E3074" s="14"/>
      <c r="F3074" s="14"/>
      <c r="G3074" s="14"/>
      <c r="H3074" s="23"/>
      <c r="I3074" s="23"/>
      <c r="J3074" s="23"/>
      <c r="K3074" s="30"/>
      <c r="L3074" s="23"/>
      <c r="M3074" s="50" t="s">
        <v>10178</v>
      </c>
      <c r="N3074" s="51"/>
      <c r="O3074" s="20"/>
      <c r="P3074" s="20"/>
      <c r="Q3074" s="20"/>
      <c r="R3074" s="20"/>
      <c r="S3074" s="20"/>
    </row>
    <row r="3075">
      <c r="A3075" s="10"/>
      <c r="B3075" s="11"/>
      <c r="C3075" s="10"/>
      <c r="D3075" s="13"/>
      <c r="E3075" s="14"/>
      <c r="F3075" s="14"/>
      <c r="G3075" s="14"/>
      <c r="H3075" s="10"/>
      <c r="I3075" s="10"/>
      <c r="J3075" s="10"/>
      <c r="K3075" s="46"/>
      <c r="L3075" s="10"/>
      <c r="M3075" s="44" t="s">
        <v>10178</v>
      </c>
      <c r="N3075" s="45"/>
      <c r="O3075" s="20"/>
      <c r="P3075" s="20"/>
      <c r="Q3075" s="20"/>
      <c r="R3075" s="20"/>
      <c r="S3075" s="20"/>
    </row>
    <row r="3076">
      <c r="A3076" s="23"/>
      <c r="B3076" s="21"/>
      <c r="C3076" s="23"/>
      <c r="D3076" s="24"/>
      <c r="E3076" s="14"/>
      <c r="F3076" s="14"/>
      <c r="G3076" s="14"/>
      <c r="H3076" s="23"/>
      <c r="I3076" s="23"/>
      <c r="J3076" s="23"/>
      <c r="K3076" s="30"/>
      <c r="L3076" s="23"/>
      <c r="M3076" s="50" t="s">
        <v>10178</v>
      </c>
      <c r="N3076" s="51"/>
      <c r="O3076" s="20"/>
      <c r="P3076" s="20"/>
      <c r="Q3076" s="20"/>
      <c r="R3076" s="20"/>
      <c r="S3076" s="20"/>
    </row>
    <row r="3077">
      <c r="A3077" s="10"/>
      <c r="B3077" s="11"/>
      <c r="C3077" s="10"/>
      <c r="D3077" s="13"/>
      <c r="E3077" s="14"/>
      <c r="F3077" s="14"/>
      <c r="G3077" s="14"/>
      <c r="H3077" s="10"/>
      <c r="I3077" s="10"/>
      <c r="J3077" s="10"/>
      <c r="K3077" s="46"/>
      <c r="L3077" s="10"/>
      <c r="M3077" s="44" t="s">
        <v>10178</v>
      </c>
      <c r="N3077" s="45"/>
      <c r="O3077" s="20"/>
      <c r="P3077" s="20"/>
      <c r="Q3077" s="20"/>
      <c r="R3077" s="20"/>
      <c r="S3077" s="20"/>
    </row>
    <row r="3078">
      <c r="A3078" s="23"/>
      <c r="B3078" s="21"/>
      <c r="C3078" s="23"/>
      <c r="D3078" s="24"/>
      <c r="E3078" s="14"/>
      <c r="F3078" s="14"/>
      <c r="G3078" s="14"/>
      <c r="H3078" s="23"/>
      <c r="I3078" s="23"/>
      <c r="J3078" s="23"/>
      <c r="K3078" s="30"/>
      <c r="L3078" s="23"/>
      <c r="M3078" s="50" t="s">
        <v>10178</v>
      </c>
      <c r="N3078" s="51"/>
      <c r="O3078" s="20"/>
      <c r="P3078" s="20"/>
      <c r="Q3078" s="20"/>
      <c r="R3078" s="20"/>
      <c r="S3078" s="20"/>
    </row>
    <row r="3079">
      <c r="A3079" s="10"/>
      <c r="B3079" s="11"/>
      <c r="C3079" s="10"/>
      <c r="D3079" s="13"/>
      <c r="E3079" s="14"/>
      <c r="F3079" s="14"/>
      <c r="G3079" s="14"/>
      <c r="H3079" s="10"/>
      <c r="I3079" s="10"/>
      <c r="J3079" s="10"/>
      <c r="K3079" s="46"/>
      <c r="L3079" s="10"/>
      <c r="M3079" s="44" t="s">
        <v>10178</v>
      </c>
      <c r="N3079" s="45"/>
      <c r="O3079" s="20"/>
      <c r="P3079" s="20"/>
      <c r="Q3079" s="20"/>
      <c r="R3079" s="20"/>
      <c r="S3079" s="20"/>
    </row>
    <row r="3080">
      <c r="A3080" s="23"/>
      <c r="B3080" s="21"/>
      <c r="C3080" s="23"/>
      <c r="D3080" s="24"/>
      <c r="E3080" s="14"/>
      <c r="F3080" s="14"/>
      <c r="G3080" s="14"/>
      <c r="H3080" s="23"/>
      <c r="I3080" s="23"/>
      <c r="J3080" s="23"/>
      <c r="K3080" s="30"/>
      <c r="L3080" s="23"/>
      <c r="M3080" s="50" t="s">
        <v>10178</v>
      </c>
      <c r="N3080" s="51"/>
      <c r="O3080" s="20"/>
      <c r="P3080" s="20"/>
      <c r="Q3080" s="20"/>
      <c r="R3080" s="20"/>
      <c r="S3080" s="20"/>
    </row>
    <row r="3081">
      <c r="A3081" s="10"/>
      <c r="B3081" s="11"/>
      <c r="C3081" s="10"/>
      <c r="D3081" s="13"/>
      <c r="E3081" s="14"/>
      <c r="F3081" s="14"/>
      <c r="G3081" s="14"/>
      <c r="H3081" s="10"/>
      <c r="I3081" s="10"/>
      <c r="J3081" s="10"/>
      <c r="K3081" s="46"/>
      <c r="L3081" s="10"/>
      <c r="M3081" s="44" t="s">
        <v>10178</v>
      </c>
      <c r="N3081" s="45"/>
      <c r="O3081" s="20"/>
      <c r="P3081" s="20"/>
      <c r="Q3081" s="20"/>
      <c r="R3081" s="20"/>
      <c r="S3081" s="20"/>
    </row>
    <row r="3082">
      <c r="A3082" s="23"/>
      <c r="B3082" s="21"/>
      <c r="C3082" s="23"/>
      <c r="D3082" s="24"/>
      <c r="E3082" s="14"/>
      <c r="F3082" s="14"/>
      <c r="G3082" s="14"/>
      <c r="H3082" s="23"/>
      <c r="I3082" s="23"/>
      <c r="J3082" s="23"/>
      <c r="K3082" s="30"/>
      <c r="L3082" s="23"/>
      <c r="M3082" s="50" t="s">
        <v>10178</v>
      </c>
      <c r="N3082" s="51"/>
      <c r="O3082" s="20"/>
      <c r="P3082" s="20"/>
      <c r="Q3082" s="20"/>
      <c r="R3082" s="20"/>
      <c r="S3082" s="20"/>
    </row>
    <row r="3083">
      <c r="A3083" s="10"/>
      <c r="B3083" s="11"/>
      <c r="C3083" s="10"/>
      <c r="D3083" s="13"/>
      <c r="E3083" s="14"/>
      <c r="F3083" s="14"/>
      <c r="G3083" s="14"/>
      <c r="H3083" s="10"/>
      <c r="I3083" s="10"/>
      <c r="J3083" s="10"/>
      <c r="K3083" s="46"/>
      <c r="L3083" s="10"/>
      <c r="M3083" s="44" t="s">
        <v>10178</v>
      </c>
      <c r="N3083" s="45"/>
      <c r="O3083" s="20"/>
      <c r="P3083" s="20"/>
      <c r="Q3083" s="20"/>
      <c r="R3083" s="20"/>
      <c r="S3083" s="20"/>
    </row>
    <row r="3084">
      <c r="A3084" s="23"/>
      <c r="B3084" s="21"/>
      <c r="C3084" s="23"/>
      <c r="D3084" s="24"/>
      <c r="E3084" s="14"/>
      <c r="F3084" s="14"/>
      <c r="G3084" s="14"/>
      <c r="H3084" s="23"/>
      <c r="I3084" s="23"/>
      <c r="J3084" s="23"/>
      <c r="K3084" s="30"/>
      <c r="L3084" s="23"/>
      <c r="M3084" s="50" t="s">
        <v>10178</v>
      </c>
      <c r="N3084" s="51"/>
      <c r="O3084" s="20"/>
      <c r="P3084" s="20"/>
      <c r="Q3084" s="20"/>
      <c r="R3084" s="20"/>
      <c r="S3084" s="20"/>
    </row>
    <row r="3085">
      <c r="A3085" s="10"/>
      <c r="B3085" s="11"/>
      <c r="C3085" s="10"/>
      <c r="D3085" s="13"/>
      <c r="E3085" s="14"/>
      <c r="F3085" s="14"/>
      <c r="G3085" s="14"/>
      <c r="H3085" s="10"/>
      <c r="I3085" s="10"/>
      <c r="J3085" s="10"/>
      <c r="K3085" s="46"/>
      <c r="L3085" s="10"/>
      <c r="M3085" s="44" t="s">
        <v>10178</v>
      </c>
      <c r="N3085" s="45"/>
      <c r="O3085" s="20"/>
      <c r="P3085" s="20"/>
      <c r="Q3085" s="20"/>
      <c r="R3085" s="20"/>
      <c r="S3085" s="20"/>
    </row>
    <row r="3086">
      <c r="A3086" s="23"/>
      <c r="B3086" s="21"/>
      <c r="C3086" s="23"/>
      <c r="D3086" s="24"/>
      <c r="E3086" s="14"/>
      <c r="F3086" s="14"/>
      <c r="G3086" s="14"/>
      <c r="H3086" s="23"/>
      <c r="I3086" s="23"/>
      <c r="J3086" s="23"/>
      <c r="K3086" s="30"/>
      <c r="L3086" s="23"/>
      <c r="M3086" s="50" t="s">
        <v>10178</v>
      </c>
      <c r="N3086" s="51"/>
      <c r="O3086" s="20"/>
      <c r="P3086" s="20"/>
      <c r="Q3086" s="20"/>
      <c r="R3086" s="20"/>
      <c r="S3086" s="20"/>
    </row>
    <row r="3087">
      <c r="A3087" s="10"/>
      <c r="B3087" s="11"/>
      <c r="C3087" s="10"/>
      <c r="D3087" s="13"/>
      <c r="E3087" s="14"/>
      <c r="F3087" s="14"/>
      <c r="G3087" s="14"/>
      <c r="H3087" s="10"/>
      <c r="I3087" s="10"/>
      <c r="J3087" s="10"/>
      <c r="K3087" s="46"/>
      <c r="L3087" s="10"/>
      <c r="M3087" s="44" t="s">
        <v>10178</v>
      </c>
      <c r="N3087" s="45"/>
      <c r="O3087" s="20"/>
      <c r="P3087" s="20"/>
      <c r="Q3087" s="20"/>
      <c r="R3087" s="20"/>
      <c r="S3087" s="20"/>
    </row>
    <row r="3088">
      <c r="A3088" s="23"/>
      <c r="B3088" s="21"/>
      <c r="C3088" s="23"/>
      <c r="D3088" s="24"/>
      <c r="E3088" s="14"/>
      <c r="F3088" s="14"/>
      <c r="G3088" s="14"/>
      <c r="H3088" s="23"/>
      <c r="I3088" s="23"/>
      <c r="J3088" s="23"/>
      <c r="K3088" s="30"/>
      <c r="L3088" s="23"/>
      <c r="M3088" s="50" t="s">
        <v>10178</v>
      </c>
      <c r="N3088" s="51"/>
      <c r="O3088" s="20"/>
      <c r="P3088" s="20"/>
      <c r="Q3088" s="20"/>
      <c r="R3088" s="20"/>
      <c r="S3088" s="20"/>
    </row>
    <row r="3089">
      <c r="A3089" s="10"/>
      <c r="B3089" s="11"/>
      <c r="C3089" s="10"/>
      <c r="D3089" s="13"/>
      <c r="E3089" s="14"/>
      <c r="F3089" s="14"/>
      <c r="G3089" s="14"/>
      <c r="H3089" s="10"/>
      <c r="I3089" s="10"/>
      <c r="J3089" s="10"/>
      <c r="K3089" s="46"/>
      <c r="L3089" s="10"/>
      <c r="M3089" s="44" t="s">
        <v>10178</v>
      </c>
      <c r="N3089" s="45"/>
      <c r="O3089" s="20"/>
      <c r="P3089" s="20"/>
      <c r="Q3089" s="20"/>
      <c r="R3089" s="20"/>
      <c r="S3089" s="20"/>
    </row>
    <row r="3090">
      <c r="A3090" s="23"/>
      <c r="B3090" s="21"/>
      <c r="C3090" s="23"/>
      <c r="D3090" s="24"/>
      <c r="E3090" s="14"/>
      <c r="F3090" s="14"/>
      <c r="G3090" s="14"/>
      <c r="H3090" s="23"/>
      <c r="I3090" s="23"/>
      <c r="J3090" s="23"/>
      <c r="K3090" s="30"/>
      <c r="L3090" s="23"/>
      <c r="M3090" s="50" t="s">
        <v>10178</v>
      </c>
      <c r="N3090" s="51"/>
      <c r="O3090" s="20"/>
      <c r="P3090" s="20"/>
      <c r="Q3090" s="20"/>
      <c r="R3090" s="20"/>
      <c r="S3090" s="20"/>
    </row>
    <row r="3091">
      <c r="A3091" s="10"/>
      <c r="B3091" s="11"/>
      <c r="C3091" s="10"/>
      <c r="D3091" s="13"/>
      <c r="E3091" s="14"/>
      <c r="F3091" s="14"/>
      <c r="G3091" s="14"/>
      <c r="H3091" s="10"/>
      <c r="I3091" s="10"/>
      <c r="J3091" s="10"/>
      <c r="K3091" s="46"/>
      <c r="L3091" s="10"/>
      <c r="M3091" s="44" t="s">
        <v>10178</v>
      </c>
      <c r="N3091" s="45"/>
      <c r="O3091" s="20"/>
      <c r="P3091" s="20"/>
      <c r="Q3091" s="20"/>
      <c r="R3091" s="20"/>
      <c r="S3091" s="20"/>
    </row>
    <row r="3092">
      <c r="A3092" s="23"/>
      <c r="B3092" s="21"/>
      <c r="C3092" s="23"/>
      <c r="D3092" s="24"/>
      <c r="E3092" s="14"/>
      <c r="F3092" s="14"/>
      <c r="G3092" s="14"/>
      <c r="H3092" s="23"/>
      <c r="I3092" s="23"/>
      <c r="J3092" s="23"/>
      <c r="K3092" s="30"/>
      <c r="L3092" s="23"/>
      <c r="M3092" s="50" t="s">
        <v>10178</v>
      </c>
      <c r="N3092" s="51"/>
      <c r="O3092" s="20"/>
      <c r="P3092" s="20"/>
      <c r="Q3092" s="20"/>
      <c r="R3092" s="20"/>
      <c r="S3092" s="20"/>
    </row>
    <row r="3093">
      <c r="A3093" s="10"/>
      <c r="B3093" s="11"/>
      <c r="C3093" s="10"/>
      <c r="D3093" s="13"/>
      <c r="E3093" s="14"/>
      <c r="F3093" s="14"/>
      <c r="G3093" s="14"/>
      <c r="H3093" s="10"/>
      <c r="I3093" s="10"/>
      <c r="J3093" s="10"/>
      <c r="K3093" s="46"/>
      <c r="L3093" s="10"/>
      <c r="M3093" s="44" t="s">
        <v>10178</v>
      </c>
      <c r="N3093" s="45"/>
      <c r="O3093" s="20"/>
      <c r="P3093" s="20"/>
      <c r="Q3093" s="20"/>
      <c r="R3093" s="20"/>
      <c r="S3093" s="20"/>
    </row>
    <row r="3094">
      <c r="A3094" s="23"/>
      <c r="B3094" s="21"/>
      <c r="C3094" s="23"/>
      <c r="D3094" s="24"/>
      <c r="E3094" s="14"/>
      <c r="F3094" s="14"/>
      <c r="G3094" s="14"/>
      <c r="H3094" s="23"/>
      <c r="I3094" s="23"/>
      <c r="J3094" s="23"/>
      <c r="K3094" s="30"/>
      <c r="L3094" s="23"/>
      <c r="M3094" s="50" t="s">
        <v>10178</v>
      </c>
      <c r="N3094" s="51"/>
      <c r="O3094" s="20"/>
      <c r="P3094" s="20"/>
      <c r="Q3094" s="20"/>
      <c r="R3094" s="20"/>
      <c r="S3094" s="20"/>
    </row>
    <row r="3095">
      <c r="A3095" s="10"/>
      <c r="B3095" s="11"/>
      <c r="C3095" s="10"/>
      <c r="D3095" s="13"/>
      <c r="E3095" s="14"/>
      <c r="F3095" s="14"/>
      <c r="G3095" s="14"/>
      <c r="H3095" s="10"/>
      <c r="I3095" s="10"/>
      <c r="J3095" s="10"/>
      <c r="K3095" s="46"/>
      <c r="L3095" s="10"/>
      <c r="M3095" s="44" t="s">
        <v>10178</v>
      </c>
      <c r="N3095" s="45"/>
      <c r="O3095" s="20"/>
      <c r="P3095" s="20"/>
      <c r="Q3095" s="20"/>
      <c r="R3095" s="20"/>
      <c r="S3095" s="20"/>
    </row>
    <row r="3096">
      <c r="A3096" s="23"/>
      <c r="B3096" s="21"/>
      <c r="C3096" s="23"/>
      <c r="D3096" s="24"/>
      <c r="E3096" s="14"/>
      <c r="F3096" s="14"/>
      <c r="G3096" s="14"/>
      <c r="H3096" s="23"/>
      <c r="I3096" s="23"/>
      <c r="J3096" s="23"/>
      <c r="K3096" s="30"/>
      <c r="L3096" s="23"/>
      <c r="M3096" s="50" t="s">
        <v>10178</v>
      </c>
      <c r="N3096" s="51"/>
      <c r="O3096" s="20"/>
      <c r="P3096" s="20"/>
      <c r="Q3096" s="20"/>
      <c r="R3096" s="20"/>
      <c r="S3096" s="20"/>
    </row>
    <row r="3097">
      <c r="A3097" s="10"/>
      <c r="B3097" s="11"/>
      <c r="C3097" s="10"/>
      <c r="D3097" s="13"/>
      <c r="E3097" s="14"/>
      <c r="F3097" s="14"/>
      <c r="G3097" s="14"/>
      <c r="H3097" s="10"/>
      <c r="I3097" s="10"/>
      <c r="J3097" s="10"/>
      <c r="K3097" s="46"/>
      <c r="L3097" s="10"/>
      <c r="M3097" s="44" t="s">
        <v>10178</v>
      </c>
      <c r="N3097" s="45"/>
      <c r="O3097" s="20"/>
      <c r="P3097" s="20"/>
      <c r="Q3097" s="20"/>
      <c r="R3097" s="20"/>
      <c r="S3097" s="20"/>
    </row>
    <row r="3098">
      <c r="A3098" s="23"/>
      <c r="B3098" s="21"/>
      <c r="C3098" s="23"/>
      <c r="D3098" s="24"/>
      <c r="E3098" s="14"/>
      <c r="F3098" s="14"/>
      <c r="G3098" s="14"/>
      <c r="H3098" s="23"/>
      <c r="I3098" s="23"/>
      <c r="J3098" s="23"/>
      <c r="K3098" s="30"/>
      <c r="L3098" s="23"/>
      <c r="M3098" s="50" t="s">
        <v>10178</v>
      </c>
      <c r="N3098" s="51"/>
      <c r="O3098" s="20"/>
      <c r="P3098" s="20"/>
      <c r="Q3098" s="20"/>
      <c r="R3098" s="20"/>
      <c r="S3098" s="20"/>
    </row>
    <row r="3099">
      <c r="A3099" s="10"/>
      <c r="B3099" s="11"/>
      <c r="C3099" s="10"/>
      <c r="D3099" s="13"/>
      <c r="E3099" s="14"/>
      <c r="F3099" s="14"/>
      <c r="G3099" s="14"/>
      <c r="H3099" s="10"/>
      <c r="I3099" s="10"/>
      <c r="J3099" s="10"/>
      <c r="K3099" s="46"/>
      <c r="L3099" s="10"/>
      <c r="M3099" s="44" t="s">
        <v>10178</v>
      </c>
      <c r="N3099" s="45"/>
      <c r="O3099" s="20"/>
      <c r="P3099" s="20"/>
      <c r="Q3099" s="20"/>
      <c r="R3099" s="20"/>
      <c r="S3099" s="20"/>
    </row>
    <row r="3100">
      <c r="A3100" s="23"/>
      <c r="B3100" s="21"/>
      <c r="C3100" s="23"/>
      <c r="D3100" s="24"/>
      <c r="E3100" s="14"/>
      <c r="F3100" s="14"/>
      <c r="G3100" s="14"/>
      <c r="H3100" s="23"/>
      <c r="I3100" s="23"/>
      <c r="J3100" s="23"/>
      <c r="K3100" s="30"/>
      <c r="L3100" s="23"/>
      <c r="M3100" s="50" t="s">
        <v>10178</v>
      </c>
      <c r="N3100" s="51"/>
      <c r="O3100" s="20"/>
      <c r="P3100" s="20"/>
      <c r="Q3100" s="20"/>
      <c r="R3100" s="20"/>
      <c r="S3100" s="20"/>
    </row>
    <row r="3101">
      <c r="A3101" s="10"/>
      <c r="B3101" s="11"/>
      <c r="C3101" s="10"/>
      <c r="D3101" s="13"/>
      <c r="E3101" s="14"/>
      <c r="F3101" s="14"/>
      <c r="G3101" s="14"/>
      <c r="H3101" s="10"/>
      <c r="I3101" s="10"/>
      <c r="J3101" s="10"/>
      <c r="K3101" s="46"/>
      <c r="L3101" s="10"/>
      <c r="M3101" s="44" t="s">
        <v>10178</v>
      </c>
      <c r="N3101" s="45"/>
      <c r="O3101" s="20"/>
      <c r="P3101" s="20"/>
      <c r="Q3101" s="20"/>
      <c r="R3101" s="20"/>
      <c r="S3101" s="20"/>
    </row>
    <row r="3102">
      <c r="A3102" s="23"/>
      <c r="B3102" s="21"/>
      <c r="C3102" s="23"/>
      <c r="D3102" s="24"/>
      <c r="E3102" s="14"/>
      <c r="F3102" s="14"/>
      <c r="G3102" s="14"/>
      <c r="H3102" s="23"/>
      <c r="I3102" s="23"/>
      <c r="J3102" s="23"/>
      <c r="K3102" s="30"/>
      <c r="L3102" s="23"/>
      <c r="M3102" s="50" t="s">
        <v>10178</v>
      </c>
      <c r="N3102" s="51"/>
      <c r="O3102" s="20"/>
      <c r="P3102" s="20"/>
      <c r="Q3102" s="20"/>
      <c r="R3102" s="20"/>
      <c r="S3102" s="20"/>
    </row>
    <row r="3103">
      <c r="A3103" s="10"/>
      <c r="B3103" s="11"/>
      <c r="C3103" s="10"/>
      <c r="D3103" s="13"/>
      <c r="E3103" s="14"/>
      <c r="F3103" s="14"/>
      <c r="G3103" s="14"/>
      <c r="H3103" s="10"/>
      <c r="I3103" s="10"/>
      <c r="J3103" s="10"/>
      <c r="K3103" s="46"/>
      <c r="L3103" s="10"/>
      <c r="M3103" s="44" t="s">
        <v>10178</v>
      </c>
      <c r="N3103" s="45"/>
      <c r="O3103" s="20"/>
      <c r="P3103" s="20"/>
      <c r="Q3103" s="20"/>
      <c r="R3103" s="20"/>
      <c r="S3103" s="20"/>
    </row>
    <row r="3104">
      <c r="A3104" s="23"/>
      <c r="B3104" s="21"/>
      <c r="C3104" s="23"/>
      <c r="D3104" s="24"/>
      <c r="E3104" s="14"/>
      <c r="F3104" s="14"/>
      <c r="G3104" s="14"/>
      <c r="H3104" s="23"/>
      <c r="I3104" s="23"/>
      <c r="J3104" s="23"/>
      <c r="K3104" s="30"/>
      <c r="L3104" s="23"/>
      <c r="M3104" s="50" t="s">
        <v>10178</v>
      </c>
      <c r="N3104" s="51"/>
      <c r="O3104" s="20"/>
      <c r="P3104" s="20"/>
      <c r="Q3104" s="20"/>
      <c r="R3104" s="20"/>
      <c r="S3104" s="20"/>
    </row>
    <row r="3105">
      <c r="A3105" s="10"/>
      <c r="B3105" s="11"/>
      <c r="C3105" s="10"/>
      <c r="D3105" s="13"/>
      <c r="E3105" s="14"/>
      <c r="F3105" s="14"/>
      <c r="G3105" s="14"/>
      <c r="H3105" s="10"/>
      <c r="I3105" s="10"/>
      <c r="J3105" s="10"/>
      <c r="K3105" s="46"/>
      <c r="L3105" s="10"/>
      <c r="M3105" s="44" t="s">
        <v>10178</v>
      </c>
      <c r="N3105" s="45"/>
      <c r="O3105" s="20"/>
      <c r="P3105" s="20"/>
      <c r="Q3105" s="20"/>
      <c r="R3105" s="20"/>
      <c r="S3105" s="20"/>
    </row>
    <row r="3106">
      <c r="A3106" s="23"/>
      <c r="B3106" s="21"/>
      <c r="C3106" s="23"/>
      <c r="D3106" s="24"/>
      <c r="E3106" s="14"/>
      <c r="F3106" s="14"/>
      <c r="G3106" s="14"/>
      <c r="H3106" s="23"/>
      <c r="I3106" s="23"/>
      <c r="J3106" s="23"/>
      <c r="K3106" s="30"/>
      <c r="L3106" s="23"/>
      <c r="M3106" s="50" t="s">
        <v>10178</v>
      </c>
      <c r="N3106" s="51"/>
      <c r="O3106" s="20"/>
      <c r="P3106" s="20"/>
      <c r="Q3106" s="20"/>
      <c r="R3106" s="20"/>
      <c r="S3106" s="20"/>
    </row>
    <row r="3107">
      <c r="A3107" s="10"/>
      <c r="B3107" s="11"/>
      <c r="C3107" s="10"/>
      <c r="D3107" s="13"/>
      <c r="E3107" s="14"/>
      <c r="F3107" s="14"/>
      <c r="G3107" s="14"/>
      <c r="H3107" s="10"/>
      <c r="I3107" s="10"/>
      <c r="J3107" s="10"/>
      <c r="K3107" s="46"/>
      <c r="L3107" s="10"/>
      <c r="M3107" s="44" t="s">
        <v>10178</v>
      </c>
      <c r="N3107" s="45"/>
      <c r="O3107" s="20"/>
      <c r="P3107" s="20"/>
      <c r="Q3107" s="20"/>
      <c r="R3107" s="20"/>
      <c r="S3107" s="20"/>
    </row>
    <row r="3108">
      <c r="A3108" s="23"/>
      <c r="B3108" s="21"/>
      <c r="C3108" s="23"/>
      <c r="D3108" s="24"/>
      <c r="E3108" s="14"/>
      <c r="F3108" s="14"/>
      <c r="G3108" s="14"/>
      <c r="H3108" s="23"/>
      <c r="I3108" s="23"/>
      <c r="J3108" s="23"/>
      <c r="K3108" s="30"/>
      <c r="L3108" s="23"/>
      <c r="M3108" s="50" t="s">
        <v>10178</v>
      </c>
      <c r="N3108" s="51"/>
      <c r="O3108" s="20"/>
      <c r="P3108" s="20"/>
      <c r="Q3108" s="20"/>
      <c r="R3108" s="20"/>
      <c r="S3108" s="20"/>
    </row>
    <row r="3109">
      <c r="A3109" s="10"/>
      <c r="B3109" s="11"/>
      <c r="C3109" s="10"/>
      <c r="D3109" s="13"/>
      <c r="E3109" s="14"/>
      <c r="F3109" s="14"/>
      <c r="G3109" s="14"/>
      <c r="H3109" s="10"/>
      <c r="I3109" s="10"/>
      <c r="J3109" s="10"/>
      <c r="K3109" s="46"/>
      <c r="L3109" s="10"/>
      <c r="M3109" s="44" t="s">
        <v>10178</v>
      </c>
      <c r="N3109" s="45"/>
      <c r="O3109" s="20"/>
      <c r="P3109" s="20"/>
      <c r="Q3109" s="20"/>
      <c r="R3109" s="20"/>
      <c r="S3109" s="20"/>
    </row>
    <row r="3110">
      <c r="A3110" s="23"/>
      <c r="B3110" s="21"/>
      <c r="C3110" s="23"/>
      <c r="D3110" s="24"/>
      <c r="E3110" s="14"/>
      <c r="F3110" s="14"/>
      <c r="G3110" s="14"/>
      <c r="H3110" s="23"/>
      <c r="I3110" s="23"/>
      <c r="J3110" s="23"/>
      <c r="K3110" s="30"/>
      <c r="L3110" s="23"/>
      <c r="M3110" s="50" t="s">
        <v>10178</v>
      </c>
      <c r="N3110" s="51"/>
      <c r="O3110" s="20"/>
      <c r="P3110" s="20"/>
      <c r="Q3110" s="20"/>
      <c r="R3110" s="20"/>
      <c r="S3110" s="20"/>
    </row>
    <row r="3111">
      <c r="A3111" s="10"/>
      <c r="B3111" s="11"/>
      <c r="C3111" s="10"/>
      <c r="D3111" s="13"/>
      <c r="E3111" s="14"/>
      <c r="F3111" s="14"/>
      <c r="G3111" s="14"/>
      <c r="H3111" s="10"/>
      <c r="I3111" s="10"/>
      <c r="J3111" s="10"/>
      <c r="K3111" s="46"/>
      <c r="L3111" s="10"/>
      <c r="M3111" s="44" t="s">
        <v>10178</v>
      </c>
      <c r="N3111" s="45"/>
      <c r="O3111" s="20"/>
      <c r="P3111" s="20"/>
      <c r="Q3111" s="20"/>
      <c r="R3111" s="20"/>
      <c r="S3111" s="20"/>
    </row>
    <row r="3112">
      <c r="A3112" s="23"/>
      <c r="B3112" s="21"/>
      <c r="C3112" s="23"/>
      <c r="D3112" s="24"/>
      <c r="E3112" s="14"/>
      <c r="F3112" s="14"/>
      <c r="G3112" s="14"/>
      <c r="H3112" s="23"/>
      <c r="I3112" s="23"/>
      <c r="J3112" s="23"/>
      <c r="K3112" s="30"/>
      <c r="L3112" s="23"/>
      <c r="M3112" s="50" t="s">
        <v>10178</v>
      </c>
      <c r="N3112" s="51"/>
      <c r="O3112" s="20"/>
      <c r="P3112" s="20"/>
      <c r="Q3112" s="20"/>
      <c r="R3112" s="20"/>
      <c r="S3112" s="20"/>
    </row>
    <row r="3113">
      <c r="A3113" s="10"/>
      <c r="B3113" s="11"/>
      <c r="C3113" s="10"/>
      <c r="D3113" s="13"/>
      <c r="E3113" s="14"/>
      <c r="F3113" s="14"/>
      <c r="G3113" s="14"/>
      <c r="H3113" s="10"/>
      <c r="I3113" s="10"/>
      <c r="J3113" s="10"/>
      <c r="K3113" s="46"/>
      <c r="L3113" s="10"/>
      <c r="M3113" s="44" t="s">
        <v>10178</v>
      </c>
      <c r="N3113" s="45"/>
      <c r="O3113" s="20"/>
      <c r="P3113" s="20"/>
      <c r="Q3113" s="20"/>
      <c r="R3113" s="20"/>
      <c r="S3113" s="20"/>
    </row>
    <row r="3114">
      <c r="A3114" s="23"/>
      <c r="B3114" s="21"/>
      <c r="C3114" s="23"/>
      <c r="D3114" s="24"/>
      <c r="E3114" s="14"/>
      <c r="F3114" s="14"/>
      <c r="G3114" s="14"/>
      <c r="H3114" s="23"/>
      <c r="I3114" s="23"/>
      <c r="J3114" s="23"/>
      <c r="K3114" s="30"/>
      <c r="L3114" s="23"/>
      <c r="M3114" s="50" t="s">
        <v>10178</v>
      </c>
      <c r="N3114" s="51"/>
      <c r="O3114" s="20"/>
      <c r="P3114" s="20"/>
      <c r="Q3114" s="20"/>
      <c r="R3114" s="20"/>
      <c r="S3114" s="20"/>
    </row>
    <row r="3115">
      <c r="A3115" s="10"/>
      <c r="B3115" s="11"/>
      <c r="C3115" s="10"/>
      <c r="D3115" s="13"/>
      <c r="E3115" s="14"/>
      <c r="F3115" s="14"/>
      <c r="G3115" s="14"/>
      <c r="H3115" s="10"/>
      <c r="I3115" s="10"/>
      <c r="J3115" s="10"/>
      <c r="K3115" s="46"/>
      <c r="L3115" s="10"/>
      <c r="M3115" s="44" t="s">
        <v>10178</v>
      </c>
      <c r="N3115" s="45"/>
      <c r="O3115" s="20"/>
      <c r="P3115" s="20"/>
      <c r="Q3115" s="20"/>
      <c r="R3115" s="20"/>
      <c r="S3115" s="20"/>
    </row>
    <row r="3116">
      <c r="A3116" s="23"/>
      <c r="B3116" s="21"/>
      <c r="C3116" s="23"/>
      <c r="D3116" s="24"/>
      <c r="E3116" s="14"/>
      <c r="F3116" s="14"/>
      <c r="G3116" s="14"/>
      <c r="H3116" s="23"/>
      <c r="I3116" s="23"/>
      <c r="J3116" s="23"/>
      <c r="K3116" s="30"/>
      <c r="L3116" s="23"/>
      <c r="M3116" s="50" t="s">
        <v>10178</v>
      </c>
      <c r="N3116" s="51"/>
      <c r="O3116" s="20"/>
      <c r="P3116" s="20"/>
      <c r="Q3116" s="20"/>
      <c r="R3116" s="20"/>
      <c r="S3116" s="20"/>
    </row>
    <row r="3117">
      <c r="A3117" s="10"/>
      <c r="B3117" s="11"/>
      <c r="C3117" s="10"/>
      <c r="D3117" s="13"/>
      <c r="E3117" s="14"/>
      <c r="F3117" s="14"/>
      <c r="G3117" s="14"/>
      <c r="H3117" s="10"/>
      <c r="I3117" s="10"/>
      <c r="J3117" s="10"/>
      <c r="K3117" s="46"/>
      <c r="L3117" s="10"/>
      <c r="M3117" s="44" t="s">
        <v>10178</v>
      </c>
      <c r="N3117" s="45"/>
      <c r="O3117" s="20"/>
      <c r="P3117" s="20"/>
      <c r="Q3117" s="20"/>
      <c r="R3117" s="20"/>
      <c r="S3117" s="20"/>
    </row>
    <row r="3118">
      <c r="A3118" s="23"/>
      <c r="B3118" s="21"/>
      <c r="C3118" s="23"/>
      <c r="D3118" s="24"/>
      <c r="E3118" s="14"/>
      <c r="F3118" s="14"/>
      <c r="G3118" s="14"/>
      <c r="H3118" s="23"/>
      <c r="I3118" s="23"/>
      <c r="J3118" s="23"/>
      <c r="K3118" s="30"/>
      <c r="L3118" s="23"/>
      <c r="M3118" s="50" t="s">
        <v>10178</v>
      </c>
      <c r="N3118" s="51"/>
      <c r="O3118" s="20"/>
      <c r="P3118" s="20"/>
      <c r="Q3118" s="20"/>
      <c r="R3118" s="20"/>
      <c r="S3118" s="20"/>
    </row>
    <row r="3119">
      <c r="A3119" s="10"/>
      <c r="B3119" s="11"/>
      <c r="C3119" s="10"/>
      <c r="D3119" s="13"/>
      <c r="E3119" s="14"/>
      <c r="F3119" s="14"/>
      <c r="G3119" s="14"/>
      <c r="H3119" s="10"/>
      <c r="I3119" s="10"/>
      <c r="J3119" s="10"/>
      <c r="K3119" s="46"/>
      <c r="L3119" s="10"/>
      <c r="M3119" s="44" t="s">
        <v>10178</v>
      </c>
      <c r="N3119" s="45"/>
      <c r="O3119" s="20"/>
      <c r="P3119" s="20"/>
      <c r="Q3119" s="20"/>
      <c r="R3119" s="20"/>
      <c r="S3119" s="20"/>
    </row>
    <row r="3120">
      <c r="A3120" s="23"/>
      <c r="B3120" s="21"/>
      <c r="C3120" s="23"/>
      <c r="D3120" s="24"/>
      <c r="E3120" s="14"/>
      <c r="F3120" s="14"/>
      <c r="G3120" s="14"/>
      <c r="H3120" s="23"/>
      <c r="I3120" s="23"/>
      <c r="J3120" s="23"/>
      <c r="K3120" s="30"/>
      <c r="L3120" s="23"/>
      <c r="M3120" s="50" t="s">
        <v>10178</v>
      </c>
      <c r="N3120" s="51"/>
      <c r="O3120" s="20"/>
      <c r="P3120" s="20"/>
      <c r="Q3120" s="20"/>
      <c r="R3120" s="20"/>
      <c r="S3120" s="20"/>
    </row>
    <row r="3121">
      <c r="A3121" s="10"/>
      <c r="B3121" s="11"/>
      <c r="C3121" s="10"/>
      <c r="D3121" s="13"/>
      <c r="E3121" s="14"/>
      <c r="F3121" s="14"/>
      <c r="G3121" s="14"/>
      <c r="H3121" s="10"/>
      <c r="I3121" s="10"/>
      <c r="J3121" s="10"/>
      <c r="K3121" s="46"/>
      <c r="L3121" s="10"/>
      <c r="M3121" s="44" t="s">
        <v>10178</v>
      </c>
      <c r="N3121" s="45"/>
      <c r="O3121" s="20"/>
      <c r="P3121" s="20"/>
      <c r="Q3121" s="20"/>
      <c r="R3121" s="20"/>
      <c r="S3121" s="20"/>
    </row>
    <row r="3122">
      <c r="A3122" s="23"/>
      <c r="B3122" s="21"/>
      <c r="C3122" s="23"/>
      <c r="D3122" s="24"/>
      <c r="E3122" s="14"/>
      <c r="F3122" s="14"/>
      <c r="G3122" s="14"/>
      <c r="H3122" s="23"/>
      <c r="I3122" s="23"/>
      <c r="J3122" s="23"/>
      <c r="K3122" s="30"/>
      <c r="L3122" s="23"/>
      <c r="M3122" s="50" t="s">
        <v>10178</v>
      </c>
      <c r="N3122" s="51"/>
      <c r="O3122" s="20"/>
      <c r="P3122" s="20"/>
      <c r="Q3122" s="20"/>
      <c r="R3122" s="20"/>
      <c r="S3122" s="20"/>
    </row>
    <row r="3123">
      <c r="A3123" s="10"/>
      <c r="B3123" s="11"/>
      <c r="C3123" s="10"/>
      <c r="D3123" s="13"/>
      <c r="E3123" s="14"/>
      <c r="F3123" s="14"/>
      <c r="G3123" s="14"/>
      <c r="H3123" s="10"/>
      <c r="I3123" s="10"/>
      <c r="J3123" s="10"/>
      <c r="K3123" s="46"/>
      <c r="L3123" s="10"/>
      <c r="M3123" s="44" t="s">
        <v>10178</v>
      </c>
      <c r="N3123" s="45"/>
      <c r="O3123" s="20"/>
      <c r="P3123" s="20"/>
      <c r="Q3123" s="20"/>
      <c r="R3123" s="20"/>
      <c r="S3123" s="20"/>
    </row>
    <row r="3124">
      <c r="A3124" s="23"/>
      <c r="B3124" s="21"/>
      <c r="C3124" s="23"/>
      <c r="D3124" s="24"/>
      <c r="E3124" s="14"/>
      <c r="F3124" s="14"/>
      <c r="G3124" s="14"/>
      <c r="H3124" s="23"/>
      <c r="I3124" s="23"/>
      <c r="J3124" s="23"/>
      <c r="K3124" s="30"/>
      <c r="L3124" s="23"/>
      <c r="M3124" s="50" t="s">
        <v>10178</v>
      </c>
      <c r="N3124" s="51"/>
      <c r="O3124" s="20"/>
      <c r="P3124" s="20"/>
      <c r="Q3124" s="20"/>
      <c r="R3124" s="20"/>
      <c r="S3124" s="20"/>
    </row>
    <row r="3125">
      <c r="A3125" s="10"/>
      <c r="B3125" s="11"/>
      <c r="C3125" s="10"/>
      <c r="D3125" s="13"/>
      <c r="E3125" s="14"/>
      <c r="F3125" s="14"/>
      <c r="G3125" s="14"/>
      <c r="H3125" s="10"/>
      <c r="I3125" s="10"/>
      <c r="J3125" s="10"/>
      <c r="K3125" s="46"/>
      <c r="L3125" s="10"/>
      <c r="M3125" s="44" t="s">
        <v>10178</v>
      </c>
      <c r="N3125" s="45"/>
      <c r="O3125" s="20"/>
      <c r="P3125" s="20"/>
      <c r="Q3125" s="20"/>
      <c r="R3125" s="20"/>
      <c r="S3125" s="20"/>
    </row>
    <row r="3126">
      <c r="A3126" s="23"/>
      <c r="B3126" s="21"/>
      <c r="C3126" s="23"/>
      <c r="D3126" s="24"/>
      <c r="E3126" s="14"/>
      <c r="F3126" s="14"/>
      <c r="G3126" s="14"/>
      <c r="H3126" s="23"/>
      <c r="I3126" s="23"/>
      <c r="J3126" s="23"/>
      <c r="K3126" s="30"/>
      <c r="L3126" s="23"/>
      <c r="M3126" s="50" t="s">
        <v>10178</v>
      </c>
      <c r="N3126" s="51"/>
      <c r="O3126" s="20"/>
      <c r="P3126" s="20"/>
      <c r="Q3126" s="20"/>
      <c r="R3126" s="20"/>
      <c r="S3126" s="20"/>
    </row>
    <row r="3127">
      <c r="A3127" s="10"/>
      <c r="B3127" s="11"/>
      <c r="C3127" s="10"/>
      <c r="D3127" s="13"/>
      <c r="E3127" s="14"/>
      <c r="F3127" s="14"/>
      <c r="G3127" s="14"/>
      <c r="H3127" s="10"/>
      <c r="I3127" s="10"/>
      <c r="J3127" s="10"/>
      <c r="K3127" s="46"/>
      <c r="L3127" s="10"/>
      <c r="M3127" s="44" t="s">
        <v>10178</v>
      </c>
      <c r="N3127" s="45"/>
      <c r="O3127" s="20"/>
      <c r="P3127" s="20"/>
      <c r="Q3127" s="20"/>
      <c r="R3127" s="20"/>
      <c r="S3127" s="20"/>
    </row>
    <row r="3128">
      <c r="A3128" s="23"/>
      <c r="B3128" s="21"/>
      <c r="C3128" s="23"/>
      <c r="D3128" s="24"/>
      <c r="E3128" s="14"/>
      <c r="F3128" s="14"/>
      <c r="G3128" s="14"/>
      <c r="H3128" s="23"/>
      <c r="I3128" s="23"/>
      <c r="J3128" s="23"/>
      <c r="K3128" s="30"/>
      <c r="L3128" s="23"/>
      <c r="M3128" s="50" t="s">
        <v>10178</v>
      </c>
      <c r="N3128" s="51"/>
      <c r="O3128" s="20"/>
      <c r="P3128" s="20"/>
      <c r="Q3128" s="20"/>
      <c r="R3128" s="20"/>
      <c r="S3128" s="20"/>
    </row>
    <row r="3129">
      <c r="A3129" s="10"/>
      <c r="B3129" s="11"/>
      <c r="C3129" s="10"/>
      <c r="D3129" s="13"/>
      <c r="E3129" s="14"/>
      <c r="F3129" s="14"/>
      <c r="G3129" s="14"/>
      <c r="H3129" s="10"/>
      <c r="I3129" s="10"/>
      <c r="J3129" s="10"/>
      <c r="K3129" s="46"/>
      <c r="L3129" s="10"/>
      <c r="M3129" s="44" t="s">
        <v>10178</v>
      </c>
      <c r="N3129" s="45"/>
      <c r="O3129" s="20"/>
      <c r="P3129" s="20"/>
      <c r="Q3129" s="20"/>
      <c r="R3129" s="20"/>
      <c r="S3129" s="20"/>
    </row>
    <row r="3130">
      <c r="A3130" s="23"/>
      <c r="B3130" s="21"/>
      <c r="C3130" s="23"/>
      <c r="D3130" s="24"/>
      <c r="E3130" s="14"/>
      <c r="F3130" s="14"/>
      <c r="G3130" s="14"/>
      <c r="H3130" s="23"/>
      <c r="I3130" s="23"/>
      <c r="J3130" s="23"/>
      <c r="K3130" s="30"/>
      <c r="L3130" s="23"/>
      <c r="M3130" s="50" t="s">
        <v>10178</v>
      </c>
      <c r="N3130" s="51"/>
      <c r="O3130" s="20"/>
      <c r="P3130" s="20"/>
      <c r="Q3130" s="20"/>
      <c r="R3130" s="20"/>
      <c r="S3130" s="20"/>
    </row>
    <row r="3131">
      <c r="A3131" s="10"/>
      <c r="B3131" s="11"/>
      <c r="C3131" s="10"/>
      <c r="D3131" s="13"/>
      <c r="E3131" s="14"/>
      <c r="F3131" s="14"/>
      <c r="G3131" s="14"/>
      <c r="H3131" s="10"/>
      <c r="I3131" s="10"/>
      <c r="J3131" s="10"/>
      <c r="K3131" s="46"/>
      <c r="L3131" s="10"/>
      <c r="M3131" s="44" t="s">
        <v>10178</v>
      </c>
      <c r="N3131" s="45"/>
      <c r="O3131" s="20"/>
      <c r="P3131" s="20"/>
      <c r="Q3131" s="20"/>
      <c r="R3131" s="20"/>
      <c r="S3131" s="20"/>
    </row>
    <row r="3132">
      <c r="A3132" s="23"/>
      <c r="B3132" s="21"/>
      <c r="C3132" s="23"/>
      <c r="D3132" s="24"/>
      <c r="E3132" s="14"/>
      <c r="F3132" s="14"/>
      <c r="G3132" s="14"/>
      <c r="H3132" s="23"/>
      <c r="I3132" s="23"/>
      <c r="J3132" s="23"/>
      <c r="K3132" s="30"/>
      <c r="L3132" s="23"/>
      <c r="M3132" s="50" t="s">
        <v>10178</v>
      </c>
      <c r="N3132" s="51"/>
      <c r="O3132" s="20"/>
      <c r="P3132" s="20"/>
      <c r="Q3132" s="20"/>
      <c r="R3132" s="20"/>
      <c r="S3132" s="20"/>
    </row>
    <row r="3133">
      <c r="A3133" s="10"/>
      <c r="B3133" s="11"/>
      <c r="C3133" s="10"/>
      <c r="D3133" s="13"/>
      <c r="E3133" s="14"/>
      <c r="F3133" s="14"/>
      <c r="G3133" s="14"/>
      <c r="H3133" s="10"/>
      <c r="I3133" s="10"/>
      <c r="J3133" s="10"/>
      <c r="K3133" s="46"/>
      <c r="L3133" s="10"/>
      <c r="M3133" s="44" t="s">
        <v>10178</v>
      </c>
      <c r="N3133" s="45"/>
      <c r="O3133" s="20"/>
      <c r="P3133" s="20"/>
      <c r="Q3133" s="20"/>
      <c r="R3133" s="20"/>
      <c r="S3133" s="20"/>
    </row>
    <row r="3134">
      <c r="A3134" s="23"/>
      <c r="B3134" s="21"/>
      <c r="C3134" s="23"/>
      <c r="D3134" s="24"/>
      <c r="E3134" s="14"/>
      <c r="F3134" s="14"/>
      <c r="G3134" s="14"/>
      <c r="H3134" s="23"/>
      <c r="I3134" s="23"/>
      <c r="J3134" s="23"/>
      <c r="K3134" s="30"/>
      <c r="L3134" s="23"/>
      <c r="M3134" s="50" t="s">
        <v>10178</v>
      </c>
      <c r="N3134" s="51"/>
      <c r="O3134" s="20"/>
      <c r="P3134" s="20"/>
      <c r="Q3134" s="20"/>
      <c r="R3134" s="20"/>
      <c r="S3134" s="20"/>
    </row>
    <row r="3135">
      <c r="A3135" s="10"/>
      <c r="B3135" s="11"/>
      <c r="C3135" s="10"/>
      <c r="D3135" s="13"/>
      <c r="E3135" s="14"/>
      <c r="F3135" s="14"/>
      <c r="G3135" s="14"/>
      <c r="H3135" s="10"/>
      <c r="I3135" s="10"/>
      <c r="J3135" s="10"/>
      <c r="K3135" s="46"/>
      <c r="L3135" s="10"/>
      <c r="M3135" s="44" t="s">
        <v>10178</v>
      </c>
      <c r="N3135" s="45"/>
      <c r="O3135" s="20"/>
      <c r="P3135" s="20"/>
      <c r="Q3135" s="20"/>
      <c r="R3135" s="20"/>
      <c r="S3135" s="20"/>
    </row>
    <row r="3136">
      <c r="A3136" s="23"/>
      <c r="B3136" s="21"/>
      <c r="C3136" s="23"/>
      <c r="D3136" s="24"/>
      <c r="E3136" s="14"/>
      <c r="F3136" s="14"/>
      <c r="G3136" s="14"/>
      <c r="H3136" s="23"/>
      <c r="I3136" s="23"/>
      <c r="J3136" s="23"/>
      <c r="K3136" s="30"/>
      <c r="L3136" s="23"/>
      <c r="M3136" s="50" t="s">
        <v>10178</v>
      </c>
      <c r="N3136" s="51"/>
      <c r="O3136" s="20"/>
      <c r="P3136" s="20"/>
      <c r="Q3136" s="20"/>
      <c r="R3136" s="20"/>
      <c r="S3136" s="20"/>
    </row>
    <row r="3137">
      <c r="A3137" s="10"/>
      <c r="B3137" s="11"/>
      <c r="C3137" s="10"/>
      <c r="D3137" s="13"/>
      <c r="E3137" s="14"/>
      <c r="F3137" s="14"/>
      <c r="G3137" s="14"/>
      <c r="H3137" s="10"/>
      <c r="I3137" s="10"/>
      <c r="J3137" s="10"/>
      <c r="K3137" s="46"/>
      <c r="L3137" s="10"/>
      <c r="M3137" s="44" t="s">
        <v>10178</v>
      </c>
      <c r="N3137" s="45"/>
      <c r="O3137" s="20"/>
      <c r="P3137" s="20"/>
      <c r="Q3137" s="20"/>
      <c r="R3137" s="20"/>
      <c r="S3137" s="20"/>
    </row>
    <row r="3138">
      <c r="A3138" s="23"/>
      <c r="B3138" s="21"/>
      <c r="C3138" s="23"/>
      <c r="D3138" s="24"/>
      <c r="E3138" s="14"/>
      <c r="F3138" s="14"/>
      <c r="G3138" s="14"/>
      <c r="H3138" s="23"/>
      <c r="I3138" s="23"/>
      <c r="J3138" s="23"/>
      <c r="K3138" s="30"/>
      <c r="L3138" s="23"/>
      <c r="M3138" s="50" t="s">
        <v>10178</v>
      </c>
      <c r="N3138" s="51"/>
      <c r="O3138" s="20"/>
      <c r="P3138" s="20"/>
      <c r="Q3138" s="20"/>
      <c r="R3138" s="20"/>
      <c r="S3138" s="20"/>
    </row>
    <row r="3139">
      <c r="A3139" s="10"/>
      <c r="B3139" s="11"/>
      <c r="C3139" s="10"/>
      <c r="D3139" s="13"/>
      <c r="E3139" s="14"/>
      <c r="F3139" s="14"/>
      <c r="G3139" s="14"/>
      <c r="H3139" s="10"/>
      <c r="I3139" s="10"/>
      <c r="J3139" s="10"/>
      <c r="K3139" s="46"/>
      <c r="L3139" s="10"/>
      <c r="M3139" s="44" t="s">
        <v>10178</v>
      </c>
      <c r="N3139" s="45"/>
      <c r="O3139" s="20"/>
      <c r="P3139" s="20"/>
      <c r="Q3139" s="20"/>
      <c r="R3139" s="20"/>
      <c r="S3139" s="20"/>
    </row>
    <row r="3140">
      <c r="A3140" s="23"/>
      <c r="B3140" s="21"/>
      <c r="C3140" s="23"/>
      <c r="D3140" s="24"/>
      <c r="E3140" s="14"/>
      <c r="F3140" s="14"/>
      <c r="G3140" s="14"/>
      <c r="H3140" s="23"/>
      <c r="I3140" s="23"/>
      <c r="J3140" s="23"/>
      <c r="K3140" s="30"/>
      <c r="L3140" s="23"/>
      <c r="M3140" s="50" t="s">
        <v>10178</v>
      </c>
      <c r="N3140" s="51"/>
      <c r="O3140" s="20"/>
      <c r="P3140" s="20"/>
      <c r="Q3140" s="20"/>
      <c r="R3140" s="20"/>
      <c r="S3140" s="20"/>
    </row>
    <row r="3141">
      <c r="A3141" s="10"/>
      <c r="B3141" s="11"/>
      <c r="C3141" s="10"/>
      <c r="D3141" s="13"/>
      <c r="E3141" s="14"/>
      <c r="F3141" s="14"/>
      <c r="G3141" s="14"/>
      <c r="H3141" s="10"/>
      <c r="I3141" s="10"/>
      <c r="J3141" s="10"/>
      <c r="K3141" s="46"/>
      <c r="L3141" s="10"/>
      <c r="M3141" s="44" t="s">
        <v>10178</v>
      </c>
      <c r="N3141" s="45"/>
      <c r="O3141" s="20"/>
      <c r="P3141" s="20"/>
      <c r="Q3141" s="20"/>
      <c r="R3141" s="20"/>
      <c r="S3141" s="20"/>
    </row>
    <row r="3142">
      <c r="A3142" s="23"/>
      <c r="B3142" s="21"/>
      <c r="C3142" s="23"/>
      <c r="D3142" s="24"/>
      <c r="E3142" s="14"/>
      <c r="F3142" s="14"/>
      <c r="G3142" s="14"/>
      <c r="H3142" s="23"/>
      <c r="I3142" s="23"/>
      <c r="J3142" s="23"/>
      <c r="K3142" s="30"/>
      <c r="L3142" s="23"/>
      <c r="M3142" s="50" t="s">
        <v>10178</v>
      </c>
      <c r="N3142" s="51"/>
      <c r="O3142" s="20"/>
      <c r="P3142" s="20"/>
      <c r="Q3142" s="20"/>
      <c r="R3142" s="20"/>
      <c r="S3142" s="20"/>
    </row>
    <row r="3143">
      <c r="A3143" s="10"/>
      <c r="B3143" s="11"/>
      <c r="C3143" s="10"/>
      <c r="D3143" s="13"/>
      <c r="E3143" s="14"/>
      <c r="F3143" s="14"/>
      <c r="G3143" s="14"/>
      <c r="H3143" s="10"/>
      <c r="I3143" s="10"/>
      <c r="J3143" s="10"/>
      <c r="K3143" s="46"/>
      <c r="L3143" s="10"/>
      <c r="M3143" s="44" t="s">
        <v>10178</v>
      </c>
      <c r="N3143" s="45"/>
      <c r="O3143" s="20"/>
      <c r="P3143" s="20"/>
      <c r="Q3143" s="20"/>
      <c r="R3143" s="20"/>
      <c r="S3143" s="20"/>
    </row>
    <row r="3144">
      <c r="A3144" s="23"/>
      <c r="B3144" s="21"/>
      <c r="C3144" s="23"/>
      <c r="D3144" s="24"/>
      <c r="E3144" s="14"/>
      <c r="F3144" s="14"/>
      <c r="G3144" s="14"/>
      <c r="H3144" s="23"/>
      <c r="I3144" s="23"/>
      <c r="J3144" s="23"/>
      <c r="K3144" s="30"/>
      <c r="L3144" s="23"/>
      <c r="M3144" s="50" t="s">
        <v>10178</v>
      </c>
      <c r="N3144" s="51"/>
      <c r="O3144" s="20"/>
      <c r="P3144" s="20"/>
      <c r="Q3144" s="20"/>
      <c r="R3144" s="20"/>
      <c r="S3144" s="20"/>
    </row>
    <row r="3145">
      <c r="A3145" s="10"/>
      <c r="B3145" s="11"/>
      <c r="C3145" s="10"/>
      <c r="D3145" s="13"/>
      <c r="E3145" s="14"/>
      <c r="F3145" s="14"/>
      <c r="G3145" s="14"/>
      <c r="H3145" s="10"/>
      <c r="I3145" s="10"/>
      <c r="J3145" s="10"/>
      <c r="K3145" s="46"/>
      <c r="L3145" s="10"/>
      <c r="M3145" s="44" t="s">
        <v>10178</v>
      </c>
      <c r="N3145" s="45"/>
      <c r="O3145" s="20"/>
      <c r="P3145" s="20"/>
      <c r="Q3145" s="20"/>
      <c r="R3145" s="20"/>
      <c r="S3145" s="20"/>
    </row>
    <row r="3146">
      <c r="A3146" s="23"/>
      <c r="B3146" s="21"/>
      <c r="C3146" s="23"/>
      <c r="D3146" s="24"/>
      <c r="E3146" s="14"/>
      <c r="F3146" s="14"/>
      <c r="G3146" s="14"/>
      <c r="H3146" s="23"/>
      <c r="I3146" s="23"/>
      <c r="J3146" s="23"/>
      <c r="K3146" s="30"/>
      <c r="L3146" s="23"/>
      <c r="M3146" s="50" t="s">
        <v>10178</v>
      </c>
      <c r="N3146" s="51"/>
      <c r="O3146" s="20"/>
      <c r="P3146" s="20"/>
      <c r="Q3146" s="20"/>
      <c r="R3146" s="20"/>
      <c r="S3146" s="20"/>
    </row>
    <row r="3147">
      <c r="A3147" s="10"/>
      <c r="B3147" s="11"/>
      <c r="C3147" s="10"/>
      <c r="D3147" s="13"/>
      <c r="E3147" s="14"/>
      <c r="F3147" s="14"/>
      <c r="G3147" s="14"/>
      <c r="H3147" s="10"/>
      <c r="I3147" s="10"/>
      <c r="J3147" s="10"/>
      <c r="K3147" s="46"/>
      <c r="L3147" s="10"/>
      <c r="M3147" s="44" t="s">
        <v>10178</v>
      </c>
      <c r="N3147" s="45"/>
      <c r="O3147" s="20"/>
      <c r="P3147" s="20"/>
      <c r="Q3147" s="20"/>
      <c r="R3147" s="20"/>
      <c r="S3147" s="20"/>
    </row>
    <row r="3148">
      <c r="A3148" s="23"/>
      <c r="B3148" s="21"/>
      <c r="C3148" s="23"/>
      <c r="D3148" s="24"/>
      <c r="E3148" s="14"/>
      <c r="F3148" s="14"/>
      <c r="G3148" s="14"/>
      <c r="H3148" s="23"/>
      <c r="I3148" s="23"/>
      <c r="J3148" s="23"/>
      <c r="K3148" s="30"/>
      <c r="L3148" s="23"/>
      <c r="M3148" s="50" t="s">
        <v>10178</v>
      </c>
      <c r="N3148" s="51"/>
      <c r="O3148" s="20"/>
      <c r="P3148" s="20"/>
      <c r="Q3148" s="20"/>
      <c r="R3148" s="20"/>
      <c r="S3148" s="20"/>
    </row>
    <row r="3149">
      <c r="A3149" s="10"/>
      <c r="B3149" s="11"/>
      <c r="C3149" s="10"/>
      <c r="D3149" s="13"/>
      <c r="E3149" s="14"/>
      <c r="F3149" s="14"/>
      <c r="G3149" s="14"/>
      <c r="H3149" s="10"/>
      <c r="I3149" s="10"/>
      <c r="J3149" s="10"/>
      <c r="K3149" s="46"/>
      <c r="L3149" s="10"/>
      <c r="M3149" s="44" t="s">
        <v>10178</v>
      </c>
      <c r="N3149" s="45"/>
      <c r="O3149" s="20"/>
      <c r="P3149" s="20"/>
      <c r="Q3149" s="20"/>
      <c r="R3149" s="20"/>
      <c r="S3149" s="20"/>
    </row>
    <row r="3150">
      <c r="A3150" s="23"/>
      <c r="B3150" s="21"/>
      <c r="C3150" s="23"/>
      <c r="D3150" s="24"/>
      <c r="E3150" s="14"/>
      <c r="F3150" s="14"/>
      <c r="G3150" s="14"/>
      <c r="H3150" s="23"/>
      <c r="I3150" s="23"/>
      <c r="J3150" s="23"/>
      <c r="K3150" s="30"/>
      <c r="L3150" s="23"/>
      <c r="M3150" s="50" t="s">
        <v>10178</v>
      </c>
      <c r="N3150" s="51"/>
      <c r="O3150" s="20"/>
      <c r="P3150" s="20"/>
      <c r="Q3150" s="20"/>
      <c r="R3150" s="20"/>
      <c r="S3150" s="20"/>
    </row>
    <row r="3151">
      <c r="A3151" s="10"/>
      <c r="B3151" s="11"/>
      <c r="C3151" s="10"/>
      <c r="D3151" s="13"/>
      <c r="E3151" s="14"/>
      <c r="F3151" s="14"/>
      <c r="G3151" s="14"/>
      <c r="H3151" s="10"/>
      <c r="I3151" s="10"/>
      <c r="J3151" s="10"/>
      <c r="K3151" s="46"/>
      <c r="L3151" s="10"/>
      <c r="M3151" s="44" t="s">
        <v>10178</v>
      </c>
      <c r="N3151" s="45"/>
      <c r="O3151" s="20"/>
      <c r="P3151" s="20"/>
      <c r="Q3151" s="20"/>
      <c r="R3151" s="20"/>
      <c r="S3151" s="20"/>
    </row>
    <row r="3152">
      <c r="A3152" s="23"/>
      <c r="B3152" s="21"/>
      <c r="C3152" s="23"/>
      <c r="D3152" s="24"/>
      <c r="E3152" s="14"/>
      <c r="F3152" s="14"/>
      <c r="G3152" s="14"/>
      <c r="H3152" s="23"/>
      <c r="I3152" s="23"/>
      <c r="J3152" s="23"/>
      <c r="K3152" s="30"/>
      <c r="L3152" s="23"/>
      <c r="M3152" s="50" t="s">
        <v>10178</v>
      </c>
      <c r="N3152" s="51"/>
      <c r="O3152" s="20"/>
      <c r="P3152" s="20"/>
      <c r="Q3152" s="20"/>
      <c r="R3152" s="20"/>
      <c r="S3152" s="20"/>
    </row>
    <row r="3153">
      <c r="A3153" s="10"/>
      <c r="B3153" s="11"/>
      <c r="C3153" s="10"/>
      <c r="D3153" s="13"/>
      <c r="E3153" s="14"/>
      <c r="F3153" s="14"/>
      <c r="G3153" s="14"/>
      <c r="H3153" s="10"/>
      <c r="I3153" s="10"/>
      <c r="J3153" s="10"/>
      <c r="K3153" s="46"/>
      <c r="L3153" s="10"/>
      <c r="M3153" s="44" t="s">
        <v>10178</v>
      </c>
      <c r="N3153" s="45"/>
      <c r="O3153" s="20"/>
      <c r="P3153" s="20"/>
      <c r="Q3153" s="20"/>
      <c r="R3153" s="20"/>
      <c r="S3153" s="20"/>
    </row>
    <row r="3154">
      <c r="A3154" s="23"/>
      <c r="B3154" s="21"/>
      <c r="C3154" s="23"/>
      <c r="D3154" s="24"/>
      <c r="E3154" s="14"/>
      <c r="F3154" s="14"/>
      <c r="G3154" s="14"/>
      <c r="H3154" s="23"/>
      <c r="I3154" s="23"/>
      <c r="J3154" s="23"/>
      <c r="K3154" s="30"/>
      <c r="L3154" s="23"/>
      <c r="M3154" s="50" t="s">
        <v>10178</v>
      </c>
      <c r="N3154" s="51"/>
      <c r="O3154" s="20"/>
      <c r="P3154" s="20"/>
      <c r="Q3154" s="20"/>
      <c r="R3154" s="20"/>
      <c r="S3154" s="20"/>
    </row>
    <row r="3155">
      <c r="A3155" s="10"/>
      <c r="B3155" s="11"/>
      <c r="C3155" s="10"/>
      <c r="D3155" s="13"/>
      <c r="E3155" s="14"/>
      <c r="F3155" s="14"/>
      <c r="G3155" s="14"/>
      <c r="H3155" s="10"/>
      <c r="I3155" s="10"/>
      <c r="J3155" s="10"/>
      <c r="K3155" s="46"/>
      <c r="L3155" s="10"/>
      <c r="M3155" s="44" t="s">
        <v>10178</v>
      </c>
      <c r="N3155" s="45"/>
      <c r="O3155" s="20"/>
      <c r="P3155" s="20"/>
      <c r="Q3155" s="20"/>
      <c r="R3155" s="20"/>
      <c r="S3155" s="20"/>
    </row>
    <row r="3156">
      <c r="A3156" s="23"/>
      <c r="B3156" s="21"/>
      <c r="C3156" s="23"/>
      <c r="D3156" s="24"/>
      <c r="E3156" s="14"/>
      <c r="F3156" s="14"/>
      <c r="G3156" s="14"/>
      <c r="H3156" s="23"/>
      <c r="I3156" s="23"/>
      <c r="J3156" s="23"/>
      <c r="K3156" s="30"/>
      <c r="L3156" s="23"/>
      <c r="M3156" s="50" t="s">
        <v>10178</v>
      </c>
      <c r="N3156" s="51"/>
      <c r="O3156" s="20"/>
      <c r="P3156" s="20"/>
      <c r="Q3156" s="20"/>
      <c r="R3156" s="20"/>
      <c r="S3156" s="20"/>
    </row>
    <row r="3157">
      <c r="A3157" s="10"/>
      <c r="B3157" s="11"/>
      <c r="C3157" s="10"/>
      <c r="D3157" s="13"/>
      <c r="E3157" s="14"/>
      <c r="F3157" s="14"/>
      <c r="G3157" s="14"/>
      <c r="H3157" s="10"/>
      <c r="I3157" s="10"/>
      <c r="J3157" s="10"/>
      <c r="K3157" s="46"/>
      <c r="L3157" s="10"/>
      <c r="M3157" s="44" t="s">
        <v>10178</v>
      </c>
      <c r="N3157" s="45"/>
      <c r="O3157" s="20"/>
      <c r="P3157" s="20"/>
      <c r="Q3157" s="20"/>
      <c r="R3157" s="20"/>
      <c r="S3157" s="20"/>
    </row>
    <row r="3158">
      <c r="A3158" s="23"/>
      <c r="B3158" s="21"/>
      <c r="C3158" s="23"/>
      <c r="D3158" s="24"/>
      <c r="E3158" s="14"/>
      <c r="F3158" s="14"/>
      <c r="G3158" s="14"/>
      <c r="H3158" s="23"/>
      <c r="I3158" s="23"/>
      <c r="J3158" s="23"/>
      <c r="K3158" s="30"/>
      <c r="L3158" s="23"/>
      <c r="M3158" s="50" t="s">
        <v>10178</v>
      </c>
      <c r="N3158" s="51"/>
      <c r="O3158" s="20"/>
      <c r="P3158" s="20"/>
      <c r="Q3158" s="20"/>
      <c r="R3158" s="20"/>
      <c r="S3158" s="20"/>
    </row>
    <row r="3159">
      <c r="A3159" s="10"/>
      <c r="B3159" s="11"/>
      <c r="C3159" s="10"/>
      <c r="D3159" s="13"/>
      <c r="E3159" s="14"/>
      <c r="F3159" s="14"/>
      <c r="G3159" s="14"/>
      <c r="H3159" s="10"/>
      <c r="I3159" s="10"/>
      <c r="J3159" s="10"/>
      <c r="K3159" s="46"/>
      <c r="L3159" s="10"/>
      <c r="M3159" s="44" t="s">
        <v>10178</v>
      </c>
      <c r="N3159" s="45"/>
      <c r="O3159" s="20"/>
      <c r="P3159" s="20"/>
      <c r="Q3159" s="20"/>
      <c r="R3159" s="20"/>
      <c r="S3159" s="20"/>
    </row>
    <row r="3160">
      <c r="A3160" s="23"/>
      <c r="B3160" s="21"/>
      <c r="C3160" s="23"/>
      <c r="D3160" s="24"/>
      <c r="E3160" s="14"/>
      <c r="F3160" s="14"/>
      <c r="G3160" s="14"/>
      <c r="H3160" s="23"/>
      <c r="I3160" s="23"/>
      <c r="J3160" s="23"/>
      <c r="K3160" s="30"/>
      <c r="L3160" s="23"/>
      <c r="M3160" s="50" t="s">
        <v>10178</v>
      </c>
      <c r="N3160" s="51"/>
      <c r="O3160" s="20"/>
      <c r="P3160" s="20"/>
      <c r="Q3160" s="20"/>
      <c r="R3160" s="20"/>
      <c r="S3160" s="20"/>
    </row>
    <row r="3161">
      <c r="A3161" s="10"/>
      <c r="B3161" s="11"/>
      <c r="C3161" s="10"/>
      <c r="D3161" s="13"/>
      <c r="E3161" s="14"/>
      <c r="F3161" s="14"/>
      <c r="G3161" s="14"/>
      <c r="H3161" s="10"/>
      <c r="I3161" s="10"/>
      <c r="J3161" s="10"/>
      <c r="K3161" s="46"/>
      <c r="L3161" s="10"/>
      <c r="M3161" s="44" t="s">
        <v>10178</v>
      </c>
      <c r="N3161" s="45"/>
      <c r="O3161" s="20"/>
      <c r="P3161" s="20"/>
      <c r="Q3161" s="20"/>
      <c r="R3161" s="20"/>
      <c r="S3161" s="20"/>
    </row>
    <row r="3162">
      <c r="A3162" s="23"/>
      <c r="B3162" s="21"/>
      <c r="C3162" s="23"/>
      <c r="D3162" s="24"/>
      <c r="E3162" s="14"/>
      <c r="F3162" s="14"/>
      <c r="G3162" s="14"/>
      <c r="H3162" s="23"/>
      <c r="I3162" s="23"/>
      <c r="J3162" s="23"/>
      <c r="K3162" s="30"/>
      <c r="L3162" s="23"/>
      <c r="M3162" s="50" t="s">
        <v>10178</v>
      </c>
      <c r="N3162" s="51"/>
      <c r="O3162" s="20"/>
      <c r="P3162" s="20"/>
      <c r="Q3162" s="20"/>
      <c r="R3162" s="20"/>
      <c r="S3162" s="20"/>
    </row>
    <row r="3163">
      <c r="A3163" s="10"/>
      <c r="B3163" s="11"/>
      <c r="C3163" s="10"/>
      <c r="D3163" s="13"/>
      <c r="E3163" s="14"/>
      <c r="F3163" s="14"/>
      <c r="G3163" s="14"/>
      <c r="H3163" s="10"/>
      <c r="I3163" s="10"/>
      <c r="J3163" s="10"/>
      <c r="K3163" s="46"/>
      <c r="L3163" s="10"/>
      <c r="M3163" s="44" t="s">
        <v>10178</v>
      </c>
      <c r="N3163" s="45"/>
      <c r="O3163" s="20"/>
      <c r="P3163" s="20"/>
      <c r="Q3163" s="20"/>
      <c r="R3163" s="20"/>
      <c r="S3163" s="20"/>
    </row>
    <row r="3164">
      <c r="A3164" s="23"/>
      <c r="B3164" s="21"/>
      <c r="C3164" s="23"/>
      <c r="D3164" s="24"/>
      <c r="E3164" s="14"/>
      <c r="F3164" s="14"/>
      <c r="G3164" s="14"/>
      <c r="H3164" s="23"/>
      <c r="I3164" s="23"/>
      <c r="J3164" s="23"/>
      <c r="K3164" s="30"/>
      <c r="L3164" s="23"/>
      <c r="M3164" s="50" t="s">
        <v>10178</v>
      </c>
      <c r="N3164" s="51"/>
      <c r="O3164" s="20"/>
      <c r="P3164" s="20"/>
      <c r="Q3164" s="20"/>
      <c r="R3164" s="20"/>
      <c r="S3164" s="20"/>
    </row>
    <row r="3165">
      <c r="A3165" s="10"/>
      <c r="B3165" s="11"/>
      <c r="C3165" s="10"/>
      <c r="D3165" s="13"/>
      <c r="E3165" s="14"/>
      <c r="F3165" s="14"/>
      <c r="G3165" s="14"/>
      <c r="H3165" s="10"/>
      <c r="I3165" s="10"/>
      <c r="J3165" s="10"/>
      <c r="K3165" s="46"/>
      <c r="L3165" s="10"/>
      <c r="M3165" s="44" t="s">
        <v>10178</v>
      </c>
      <c r="N3165" s="45"/>
      <c r="O3165" s="20"/>
      <c r="P3165" s="20"/>
      <c r="Q3165" s="20"/>
      <c r="R3165" s="20"/>
      <c r="S3165" s="20"/>
    </row>
    <row r="3166">
      <c r="A3166" s="23"/>
      <c r="B3166" s="21"/>
      <c r="C3166" s="23"/>
      <c r="D3166" s="24"/>
      <c r="E3166" s="14"/>
      <c r="F3166" s="14"/>
      <c r="G3166" s="14"/>
      <c r="H3166" s="23"/>
      <c r="I3166" s="23"/>
      <c r="J3166" s="23"/>
      <c r="K3166" s="30"/>
      <c r="L3166" s="23"/>
      <c r="M3166" s="50" t="s">
        <v>10178</v>
      </c>
      <c r="N3166" s="51"/>
      <c r="O3166" s="20"/>
      <c r="P3166" s="20"/>
      <c r="Q3166" s="20"/>
      <c r="R3166" s="20"/>
      <c r="S3166" s="20"/>
    </row>
    <row r="3167">
      <c r="A3167" s="10"/>
      <c r="B3167" s="11"/>
      <c r="C3167" s="10"/>
      <c r="D3167" s="13"/>
      <c r="E3167" s="14"/>
      <c r="F3167" s="14"/>
      <c r="G3167" s="14"/>
      <c r="H3167" s="10"/>
      <c r="I3167" s="10"/>
      <c r="J3167" s="10"/>
      <c r="K3167" s="46"/>
      <c r="L3167" s="10"/>
      <c r="M3167" s="44" t="s">
        <v>10178</v>
      </c>
      <c r="N3167" s="45"/>
      <c r="O3167" s="20"/>
      <c r="P3167" s="20"/>
      <c r="Q3167" s="20"/>
      <c r="R3167" s="20"/>
      <c r="S3167" s="20"/>
    </row>
    <row r="3168">
      <c r="A3168" s="23"/>
      <c r="B3168" s="21"/>
      <c r="C3168" s="23"/>
      <c r="D3168" s="24"/>
      <c r="E3168" s="14"/>
      <c r="F3168" s="14"/>
      <c r="G3168" s="14"/>
      <c r="H3168" s="23"/>
      <c r="I3168" s="23"/>
      <c r="J3168" s="23"/>
      <c r="K3168" s="30"/>
      <c r="L3168" s="23"/>
      <c r="M3168" s="50" t="s">
        <v>10178</v>
      </c>
      <c r="N3168" s="51"/>
      <c r="O3168" s="20"/>
      <c r="P3168" s="20"/>
      <c r="Q3168" s="20"/>
      <c r="R3168" s="20"/>
      <c r="S3168" s="20"/>
    </row>
    <row r="3169">
      <c r="A3169" s="10"/>
      <c r="B3169" s="11"/>
      <c r="C3169" s="10"/>
      <c r="D3169" s="13"/>
      <c r="E3169" s="14"/>
      <c r="F3169" s="14"/>
      <c r="G3169" s="14"/>
      <c r="H3169" s="10"/>
      <c r="I3169" s="10"/>
      <c r="J3169" s="10"/>
      <c r="K3169" s="46"/>
      <c r="L3169" s="10"/>
      <c r="M3169" s="44" t="s">
        <v>10178</v>
      </c>
      <c r="N3169" s="45"/>
      <c r="O3169" s="20"/>
      <c r="P3169" s="20"/>
      <c r="Q3169" s="20"/>
      <c r="R3169" s="20"/>
      <c r="S3169" s="20"/>
    </row>
    <row r="3170">
      <c r="A3170" s="23"/>
      <c r="B3170" s="21"/>
      <c r="C3170" s="23"/>
      <c r="D3170" s="24"/>
      <c r="E3170" s="14"/>
      <c r="F3170" s="14"/>
      <c r="G3170" s="14"/>
      <c r="H3170" s="23"/>
      <c r="I3170" s="23"/>
      <c r="J3170" s="23"/>
      <c r="K3170" s="30"/>
      <c r="L3170" s="23"/>
      <c r="M3170" s="50" t="s">
        <v>10178</v>
      </c>
      <c r="N3170" s="51"/>
      <c r="O3170" s="20"/>
      <c r="P3170" s="20"/>
      <c r="Q3170" s="20"/>
      <c r="R3170" s="20"/>
      <c r="S3170" s="20"/>
    </row>
    <row r="3171">
      <c r="A3171" s="10"/>
      <c r="B3171" s="11"/>
      <c r="C3171" s="10"/>
      <c r="D3171" s="13"/>
      <c r="E3171" s="14"/>
      <c r="F3171" s="14"/>
      <c r="G3171" s="14"/>
      <c r="H3171" s="10"/>
      <c r="I3171" s="10"/>
      <c r="J3171" s="10"/>
      <c r="K3171" s="46"/>
      <c r="L3171" s="10"/>
      <c r="M3171" s="44" t="s">
        <v>10178</v>
      </c>
      <c r="N3171" s="45"/>
      <c r="O3171" s="20"/>
      <c r="P3171" s="20"/>
      <c r="Q3171" s="20"/>
      <c r="R3171" s="20"/>
      <c r="S3171" s="20"/>
    </row>
    <row r="3172">
      <c r="A3172" s="23"/>
      <c r="B3172" s="21"/>
      <c r="C3172" s="23"/>
      <c r="D3172" s="24"/>
      <c r="E3172" s="14"/>
      <c r="F3172" s="14"/>
      <c r="G3172" s="14"/>
      <c r="H3172" s="23"/>
      <c r="I3172" s="23"/>
      <c r="J3172" s="23"/>
      <c r="K3172" s="30"/>
      <c r="L3172" s="23"/>
      <c r="M3172" s="50" t="s">
        <v>10178</v>
      </c>
      <c r="N3172" s="51"/>
      <c r="O3172" s="20"/>
      <c r="P3172" s="20"/>
      <c r="Q3172" s="20"/>
      <c r="R3172" s="20"/>
      <c r="S3172" s="20"/>
    </row>
    <row r="3173">
      <c r="A3173" s="10"/>
      <c r="B3173" s="11"/>
      <c r="C3173" s="10"/>
      <c r="D3173" s="13"/>
      <c r="E3173" s="14"/>
      <c r="F3173" s="14"/>
      <c r="G3173" s="14"/>
      <c r="H3173" s="10"/>
      <c r="I3173" s="10"/>
      <c r="J3173" s="10"/>
      <c r="K3173" s="46"/>
      <c r="L3173" s="10"/>
      <c r="M3173" s="44" t="s">
        <v>10178</v>
      </c>
      <c r="N3173" s="45"/>
      <c r="O3173" s="20"/>
      <c r="P3173" s="20"/>
      <c r="Q3173" s="20"/>
      <c r="R3173" s="20"/>
      <c r="S3173" s="20"/>
    </row>
    <row r="3174">
      <c r="A3174" s="23"/>
      <c r="B3174" s="21"/>
      <c r="C3174" s="23"/>
      <c r="D3174" s="24"/>
      <c r="E3174" s="14"/>
      <c r="F3174" s="14"/>
      <c r="G3174" s="14"/>
      <c r="H3174" s="23"/>
      <c r="I3174" s="23"/>
      <c r="J3174" s="23"/>
      <c r="K3174" s="30"/>
      <c r="L3174" s="23"/>
      <c r="M3174" s="50" t="s">
        <v>10178</v>
      </c>
      <c r="N3174" s="51"/>
      <c r="O3174" s="20"/>
      <c r="P3174" s="20"/>
      <c r="Q3174" s="20"/>
      <c r="R3174" s="20"/>
      <c r="S3174" s="20"/>
    </row>
    <row r="3175">
      <c r="A3175" s="10"/>
      <c r="B3175" s="11"/>
      <c r="C3175" s="10"/>
      <c r="D3175" s="13"/>
      <c r="E3175" s="14"/>
      <c r="F3175" s="14"/>
      <c r="G3175" s="14"/>
      <c r="H3175" s="10"/>
      <c r="I3175" s="10"/>
      <c r="J3175" s="10"/>
      <c r="K3175" s="46"/>
      <c r="L3175" s="10"/>
      <c r="M3175" s="44" t="s">
        <v>10178</v>
      </c>
      <c r="N3175" s="45"/>
      <c r="O3175" s="20"/>
      <c r="P3175" s="20"/>
      <c r="Q3175" s="20"/>
      <c r="R3175" s="20"/>
      <c r="S3175" s="20"/>
    </row>
    <row r="3176">
      <c r="A3176" s="23"/>
      <c r="B3176" s="21"/>
      <c r="C3176" s="23"/>
      <c r="D3176" s="24"/>
      <c r="E3176" s="14"/>
      <c r="F3176" s="14"/>
      <c r="G3176" s="14"/>
      <c r="H3176" s="23"/>
      <c r="I3176" s="23"/>
      <c r="J3176" s="23"/>
      <c r="K3176" s="30"/>
      <c r="L3176" s="23"/>
      <c r="M3176" s="50" t="s">
        <v>10178</v>
      </c>
      <c r="N3176" s="51"/>
      <c r="O3176" s="20"/>
      <c r="P3176" s="20"/>
      <c r="Q3176" s="20"/>
      <c r="R3176" s="20"/>
      <c r="S3176" s="20"/>
    </row>
    <row r="3177">
      <c r="A3177" s="10"/>
      <c r="B3177" s="11"/>
      <c r="C3177" s="10"/>
      <c r="D3177" s="13"/>
      <c r="E3177" s="14"/>
      <c r="F3177" s="14"/>
      <c r="G3177" s="14"/>
      <c r="H3177" s="10"/>
      <c r="I3177" s="10"/>
      <c r="J3177" s="10"/>
      <c r="K3177" s="46"/>
      <c r="L3177" s="10"/>
      <c r="M3177" s="44" t="s">
        <v>10178</v>
      </c>
      <c r="N3177" s="45"/>
      <c r="O3177" s="20"/>
      <c r="P3177" s="20"/>
      <c r="Q3177" s="20"/>
      <c r="R3177" s="20"/>
      <c r="S3177" s="20"/>
    </row>
    <row r="3178">
      <c r="A3178" s="23"/>
      <c r="B3178" s="21"/>
      <c r="C3178" s="23"/>
      <c r="D3178" s="24"/>
      <c r="E3178" s="14"/>
      <c r="F3178" s="14"/>
      <c r="G3178" s="14"/>
      <c r="H3178" s="23"/>
      <c r="I3178" s="23"/>
      <c r="J3178" s="23"/>
      <c r="K3178" s="30"/>
      <c r="L3178" s="23"/>
      <c r="M3178" s="50" t="s">
        <v>10178</v>
      </c>
      <c r="N3178" s="51"/>
      <c r="O3178" s="20"/>
      <c r="P3178" s="20"/>
      <c r="Q3178" s="20"/>
      <c r="R3178" s="20"/>
      <c r="S3178" s="20"/>
    </row>
    <row r="3179">
      <c r="A3179" s="10"/>
      <c r="B3179" s="11"/>
      <c r="C3179" s="10"/>
      <c r="D3179" s="13"/>
      <c r="E3179" s="14"/>
      <c r="F3179" s="14"/>
      <c r="G3179" s="14"/>
      <c r="H3179" s="10"/>
      <c r="I3179" s="10"/>
      <c r="J3179" s="10"/>
      <c r="K3179" s="46"/>
      <c r="L3179" s="10"/>
      <c r="M3179" s="44" t="s">
        <v>10178</v>
      </c>
      <c r="N3179" s="45"/>
      <c r="O3179" s="20"/>
      <c r="P3179" s="20"/>
      <c r="Q3179" s="20"/>
      <c r="R3179" s="20"/>
      <c r="S3179" s="20"/>
    </row>
    <row r="3180">
      <c r="A3180" s="23"/>
      <c r="B3180" s="21"/>
      <c r="C3180" s="23"/>
      <c r="D3180" s="24"/>
      <c r="E3180" s="14"/>
      <c r="F3180" s="14"/>
      <c r="G3180" s="14"/>
      <c r="H3180" s="23"/>
      <c r="I3180" s="23"/>
      <c r="J3180" s="23"/>
      <c r="K3180" s="30"/>
      <c r="L3180" s="23"/>
      <c r="M3180" s="50" t="s">
        <v>10178</v>
      </c>
      <c r="N3180" s="51"/>
      <c r="O3180" s="20"/>
      <c r="P3180" s="20"/>
      <c r="Q3180" s="20"/>
      <c r="R3180" s="20"/>
      <c r="S3180" s="20"/>
    </row>
    <row r="3181">
      <c r="A3181" s="10"/>
      <c r="B3181" s="11"/>
      <c r="C3181" s="10"/>
      <c r="D3181" s="13"/>
      <c r="E3181" s="14"/>
      <c r="F3181" s="14"/>
      <c r="G3181" s="14"/>
      <c r="H3181" s="10"/>
      <c r="I3181" s="10"/>
      <c r="J3181" s="10"/>
      <c r="K3181" s="46"/>
      <c r="L3181" s="10"/>
      <c r="M3181" s="44" t="s">
        <v>10178</v>
      </c>
      <c r="N3181" s="45"/>
      <c r="O3181" s="20"/>
      <c r="P3181" s="20"/>
      <c r="Q3181" s="20"/>
      <c r="R3181" s="20"/>
      <c r="S3181" s="20"/>
    </row>
    <row r="3182">
      <c r="A3182" s="23"/>
      <c r="B3182" s="21"/>
      <c r="C3182" s="23"/>
      <c r="D3182" s="24"/>
      <c r="E3182" s="14"/>
      <c r="F3182" s="14"/>
      <c r="G3182" s="14"/>
      <c r="H3182" s="23"/>
      <c r="I3182" s="23"/>
      <c r="J3182" s="23"/>
      <c r="K3182" s="30"/>
      <c r="L3182" s="23"/>
      <c r="M3182" s="50" t="s">
        <v>10178</v>
      </c>
      <c r="N3182" s="51"/>
      <c r="O3182" s="20"/>
      <c r="P3182" s="20"/>
      <c r="Q3182" s="20"/>
      <c r="R3182" s="20"/>
      <c r="S3182" s="20"/>
    </row>
    <row r="3183">
      <c r="A3183" s="10"/>
      <c r="B3183" s="11"/>
      <c r="C3183" s="10"/>
      <c r="D3183" s="13"/>
      <c r="E3183" s="14"/>
      <c r="F3183" s="14"/>
      <c r="G3183" s="14"/>
      <c r="H3183" s="10"/>
      <c r="I3183" s="10"/>
      <c r="J3183" s="10"/>
      <c r="K3183" s="46"/>
      <c r="L3183" s="10"/>
      <c r="M3183" s="44" t="s">
        <v>10178</v>
      </c>
      <c r="N3183" s="45"/>
      <c r="O3183" s="20"/>
      <c r="P3183" s="20"/>
      <c r="Q3183" s="20"/>
      <c r="R3183" s="20"/>
      <c r="S3183" s="20"/>
    </row>
    <row r="3184">
      <c r="A3184" s="23"/>
      <c r="B3184" s="21"/>
      <c r="C3184" s="23"/>
      <c r="D3184" s="24"/>
      <c r="E3184" s="14"/>
      <c r="F3184" s="14"/>
      <c r="G3184" s="14"/>
      <c r="H3184" s="23"/>
      <c r="I3184" s="23"/>
      <c r="J3184" s="23"/>
      <c r="K3184" s="30"/>
      <c r="L3184" s="23"/>
      <c r="M3184" s="50" t="s">
        <v>10178</v>
      </c>
      <c r="N3184" s="51"/>
      <c r="O3184" s="20"/>
      <c r="P3184" s="20"/>
      <c r="Q3184" s="20"/>
      <c r="R3184" s="20"/>
      <c r="S3184" s="20"/>
    </row>
    <row r="3185">
      <c r="A3185" s="10"/>
      <c r="B3185" s="11"/>
      <c r="C3185" s="10"/>
      <c r="D3185" s="13"/>
      <c r="E3185" s="14"/>
      <c r="F3185" s="14"/>
      <c r="G3185" s="14"/>
      <c r="H3185" s="10"/>
      <c r="I3185" s="10"/>
      <c r="J3185" s="10"/>
      <c r="K3185" s="46"/>
      <c r="L3185" s="10"/>
      <c r="M3185" s="44" t="s">
        <v>10178</v>
      </c>
      <c r="N3185" s="45"/>
      <c r="O3185" s="20"/>
      <c r="P3185" s="20"/>
      <c r="Q3185" s="20"/>
      <c r="R3185" s="20"/>
      <c r="S3185" s="20"/>
    </row>
    <row r="3186">
      <c r="A3186" s="23"/>
      <c r="B3186" s="21"/>
      <c r="C3186" s="23"/>
      <c r="D3186" s="24"/>
      <c r="E3186" s="14"/>
      <c r="F3186" s="14"/>
      <c r="G3186" s="14"/>
      <c r="H3186" s="23"/>
      <c r="I3186" s="23"/>
      <c r="J3186" s="23"/>
      <c r="K3186" s="30"/>
      <c r="L3186" s="23"/>
      <c r="M3186" s="50" t="s">
        <v>10178</v>
      </c>
      <c r="N3186" s="51"/>
      <c r="O3186" s="20"/>
      <c r="P3186" s="20"/>
      <c r="Q3186" s="20"/>
      <c r="R3186" s="20"/>
      <c r="S3186" s="20"/>
    </row>
    <row r="3187">
      <c r="A3187" s="10"/>
      <c r="B3187" s="11"/>
      <c r="C3187" s="10"/>
      <c r="D3187" s="13"/>
      <c r="E3187" s="14"/>
      <c r="F3187" s="14"/>
      <c r="G3187" s="14"/>
      <c r="H3187" s="10"/>
      <c r="I3187" s="10"/>
      <c r="J3187" s="10"/>
      <c r="K3187" s="46"/>
      <c r="L3187" s="10"/>
      <c r="M3187" s="44" t="s">
        <v>10178</v>
      </c>
      <c r="N3187" s="45"/>
      <c r="O3187" s="20"/>
      <c r="P3187" s="20"/>
      <c r="Q3187" s="20"/>
      <c r="R3187" s="20"/>
      <c r="S3187" s="20"/>
    </row>
    <row r="3188">
      <c r="A3188" s="23"/>
      <c r="B3188" s="21"/>
      <c r="C3188" s="23"/>
      <c r="D3188" s="24"/>
      <c r="E3188" s="14"/>
      <c r="F3188" s="14"/>
      <c r="G3188" s="14"/>
      <c r="H3188" s="23"/>
      <c r="I3188" s="23"/>
      <c r="J3188" s="23"/>
      <c r="K3188" s="30"/>
      <c r="L3188" s="23"/>
      <c r="M3188" s="50" t="s">
        <v>10178</v>
      </c>
      <c r="N3188" s="51"/>
      <c r="O3188" s="20"/>
      <c r="P3188" s="20"/>
      <c r="Q3188" s="20"/>
      <c r="R3188" s="20"/>
      <c r="S3188" s="20"/>
    </row>
    <row r="3189">
      <c r="A3189" s="10"/>
      <c r="B3189" s="11"/>
      <c r="C3189" s="10"/>
      <c r="D3189" s="13"/>
      <c r="E3189" s="14"/>
      <c r="F3189" s="14"/>
      <c r="G3189" s="14"/>
      <c r="H3189" s="10"/>
      <c r="I3189" s="10"/>
      <c r="J3189" s="10"/>
      <c r="K3189" s="46"/>
      <c r="L3189" s="10"/>
      <c r="M3189" s="44" t="s">
        <v>10178</v>
      </c>
      <c r="N3189" s="45"/>
      <c r="O3189" s="20"/>
      <c r="P3189" s="20"/>
      <c r="Q3189" s="20"/>
      <c r="R3189" s="20"/>
      <c r="S3189" s="20"/>
    </row>
    <row r="3190">
      <c r="A3190" s="23"/>
      <c r="B3190" s="21"/>
      <c r="C3190" s="23"/>
      <c r="D3190" s="24"/>
      <c r="E3190" s="14"/>
      <c r="F3190" s="14"/>
      <c r="G3190" s="14"/>
      <c r="H3190" s="23"/>
      <c r="I3190" s="23"/>
      <c r="J3190" s="23"/>
      <c r="K3190" s="30"/>
      <c r="L3190" s="23"/>
      <c r="M3190" s="50" t="s">
        <v>10178</v>
      </c>
      <c r="N3190" s="51"/>
      <c r="O3190" s="20"/>
      <c r="P3190" s="20"/>
      <c r="Q3190" s="20"/>
      <c r="R3190" s="20"/>
      <c r="S3190" s="20"/>
    </row>
    <row r="3191">
      <c r="A3191" s="10"/>
      <c r="B3191" s="11"/>
      <c r="C3191" s="10"/>
      <c r="D3191" s="13"/>
      <c r="E3191" s="14"/>
      <c r="F3191" s="14"/>
      <c r="G3191" s="14"/>
      <c r="H3191" s="10"/>
      <c r="I3191" s="10"/>
      <c r="J3191" s="10"/>
      <c r="K3191" s="46"/>
      <c r="L3191" s="10"/>
      <c r="M3191" s="44" t="s">
        <v>10178</v>
      </c>
      <c r="N3191" s="45"/>
      <c r="O3191" s="20"/>
      <c r="P3191" s="20"/>
      <c r="Q3191" s="20"/>
      <c r="R3191" s="20"/>
      <c r="S3191" s="20"/>
    </row>
    <row r="3192">
      <c r="A3192" s="23"/>
      <c r="B3192" s="21"/>
      <c r="C3192" s="23"/>
      <c r="D3192" s="24"/>
      <c r="E3192" s="14"/>
      <c r="F3192" s="14"/>
      <c r="G3192" s="14"/>
      <c r="H3192" s="23"/>
      <c r="I3192" s="23"/>
      <c r="J3192" s="23"/>
      <c r="K3192" s="30"/>
      <c r="L3192" s="23"/>
      <c r="M3192" s="50" t="s">
        <v>10178</v>
      </c>
      <c r="N3192" s="51"/>
      <c r="O3192" s="20"/>
      <c r="P3192" s="20"/>
      <c r="Q3192" s="20"/>
      <c r="R3192" s="20"/>
      <c r="S3192" s="20"/>
    </row>
    <row r="3193">
      <c r="A3193" s="10"/>
      <c r="B3193" s="11"/>
      <c r="C3193" s="10"/>
      <c r="D3193" s="13"/>
      <c r="E3193" s="14"/>
      <c r="F3193" s="14"/>
      <c r="G3193" s="14"/>
      <c r="H3193" s="10"/>
      <c r="I3193" s="10"/>
      <c r="J3193" s="10"/>
      <c r="K3193" s="46"/>
      <c r="L3193" s="10"/>
      <c r="M3193" s="44" t="s">
        <v>10178</v>
      </c>
      <c r="N3193" s="45"/>
      <c r="O3193" s="20"/>
      <c r="P3193" s="20"/>
      <c r="Q3193" s="20"/>
      <c r="R3193" s="20"/>
      <c r="S3193" s="20"/>
    </row>
    <row r="3194">
      <c r="A3194" s="23"/>
      <c r="B3194" s="21"/>
      <c r="C3194" s="23"/>
      <c r="D3194" s="24"/>
      <c r="E3194" s="14"/>
      <c r="F3194" s="14"/>
      <c r="G3194" s="14"/>
      <c r="H3194" s="23"/>
      <c r="I3194" s="23"/>
      <c r="J3194" s="23"/>
      <c r="K3194" s="30"/>
      <c r="L3194" s="23"/>
      <c r="M3194" s="50" t="s">
        <v>10178</v>
      </c>
      <c r="N3194" s="51"/>
      <c r="O3194" s="20"/>
      <c r="P3194" s="20"/>
      <c r="Q3194" s="20"/>
      <c r="R3194" s="20"/>
      <c r="S3194" s="20"/>
    </row>
    <row r="3195">
      <c r="A3195" s="10"/>
      <c r="B3195" s="11"/>
      <c r="C3195" s="10"/>
      <c r="D3195" s="13"/>
      <c r="E3195" s="14"/>
      <c r="F3195" s="14"/>
      <c r="G3195" s="14"/>
      <c r="H3195" s="10"/>
      <c r="I3195" s="10"/>
      <c r="J3195" s="10"/>
      <c r="K3195" s="46"/>
      <c r="L3195" s="10"/>
      <c r="M3195" s="44" t="s">
        <v>10178</v>
      </c>
      <c r="N3195" s="45"/>
      <c r="O3195" s="20"/>
      <c r="P3195" s="20"/>
      <c r="Q3195" s="20"/>
      <c r="R3195" s="20"/>
      <c r="S3195" s="20"/>
    </row>
    <row r="3196">
      <c r="A3196" s="23"/>
      <c r="B3196" s="21"/>
      <c r="C3196" s="23"/>
      <c r="D3196" s="24"/>
      <c r="E3196" s="14"/>
      <c r="F3196" s="14"/>
      <c r="G3196" s="14"/>
      <c r="H3196" s="23"/>
      <c r="I3196" s="23"/>
      <c r="J3196" s="23"/>
      <c r="K3196" s="30"/>
      <c r="L3196" s="23"/>
      <c r="M3196" s="50" t="s">
        <v>10178</v>
      </c>
      <c r="N3196" s="51"/>
      <c r="O3196" s="20"/>
      <c r="P3196" s="20"/>
      <c r="Q3196" s="20"/>
      <c r="R3196" s="20"/>
      <c r="S3196" s="20"/>
    </row>
    <row r="3197">
      <c r="A3197" s="10"/>
      <c r="B3197" s="11"/>
      <c r="C3197" s="10"/>
      <c r="D3197" s="13"/>
      <c r="E3197" s="14"/>
      <c r="F3197" s="14"/>
      <c r="G3197" s="14"/>
      <c r="H3197" s="10"/>
      <c r="I3197" s="10"/>
      <c r="J3197" s="10"/>
      <c r="K3197" s="46"/>
      <c r="L3197" s="10"/>
      <c r="M3197" s="44" t="s">
        <v>10178</v>
      </c>
      <c r="N3197" s="45"/>
      <c r="O3197" s="20"/>
      <c r="P3197" s="20"/>
      <c r="Q3197" s="20"/>
      <c r="R3197" s="20"/>
      <c r="S3197" s="20"/>
    </row>
    <row r="3198">
      <c r="A3198" s="23"/>
      <c r="B3198" s="21"/>
      <c r="C3198" s="23"/>
      <c r="D3198" s="24"/>
      <c r="E3198" s="14"/>
      <c r="F3198" s="14"/>
      <c r="G3198" s="14"/>
      <c r="H3198" s="23"/>
      <c r="I3198" s="23"/>
      <c r="J3198" s="23"/>
      <c r="K3198" s="30"/>
      <c r="L3198" s="23"/>
      <c r="M3198" s="50" t="s">
        <v>10178</v>
      </c>
      <c r="N3198" s="51"/>
      <c r="O3198" s="20"/>
      <c r="P3198" s="20"/>
      <c r="Q3198" s="20"/>
      <c r="R3198" s="20"/>
      <c r="S3198" s="20"/>
    </row>
    <row r="3199">
      <c r="A3199" s="10"/>
      <c r="B3199" s="11"/>
      <c r="C3199" s="10"/>
      <c r="D3199" s="13"/>
      <c r="E3199" s="14"/>
      <c r="F3199" s="14"/>
      <c r="G3199" s="14"/>
      <c r="H3199" s="10"/>
      <c r="I3199" s="10"/>
      <c r="J3199" s="10"/>
      <c r="K3199" s="46"/>
      <c r="L3199" s="10"/>
      <c r="M3199" s="44" t="s">
        <v>10178</v>
      </c>
      <c r="N3199" s="45"/>
      <c r="O3199" s="20"/>
      <c r="P3199" s="20"/>
      <c r="Q3199" s="20"/>
      <c r="R3199" s="20"/>
      <c r="S3199" s="20"/>
    </row>
    <row r="3200">
      <c r="A3200" s="23"/>
      <c r="B3200" s="21"/>
      <c r="C3200" s="23"/>
      <c r="D3200" s="24"/>
      <c r="E3200" s="14"/>
      <c r="F3200" s="14"/>
      <c r="G3200" s="14"/>
      <c r="H3200" s="23"/>
      <c r="I3200" s="23"/>
      <c r="J3200" s="23"/>
      <c r="K3200" s="30"/>
      <c r="L3200" s="23"/>
      <c r="M3200" s="50" t="s">
        <v>10178</v>
      </c>
      <c r="N3200" s="51"/>
      <c r="O3200" s="20"/>
      <c r="P3200" s="20"/>
      <c r="Q3200" s="20"/>
      <c r="R3200" s="20"/>
      <c r="S3200" s="20"/>
    </row>
    <row r="3201">
      <c r="A3201" s="10"/>
      <c r="B3201" s="11"/>
      <c r="C3201" s="10"/>
      <c r="D3201" s="13"/>
      <c r="E3201" s="14"/>
      <c r="F3201" s="14"/>
      <c r="G3201" s="14"/>
      <c r="H3201" s="10"/>
      <c r="I3201" s="10"/>
      <c r="J3201" s="10"/>
      <c r="K3201" s="46"/>
      <c r="L3201" s="10"/>
      <c r="M3201" s="44" t="s">
        <v>10178</v>
      </c>
      <c r="N3201" s="45"/>
      <c r="O3201" s="20"/>
      <c r="P3201" s="20"/>
      <c r="Q3201" s="20"/>
      <c r="R3201" s="20"/>
      <c r="S3201" s="20"/>
    </row>
    <row r="3202">
      <c r="A3202" s="23"/>
      <c r="B3202" s="21"/>
      <c r="C3202" s="23"/>
      <c r="D3202" s="24"/>
      <c r="E3202" s="14"/>
      <c r="F3202" s="14"/>
      <c r="G3202" s="14"/>
      <c r="H3202" s="23"/>
      <c r="I3202" s="23"/>
      <c r="J3202" s="23"/>
      <c r="K3202" s="30"/>
      <c r="L3202" s="23"/>
      <c r="M3202" s="50" t="s">
        <v>10178</v>
      </c>
      <c r="N3202" s="51"/>
      <c r="O3202" s="20"/>
      <c r="P3202" s="20"/>
      <c r="Q3202" s="20"/>
      <c r="R3202" s="20"/>
      <c r="S3202" s="20"/>
    </row>
    <row r="3203">
      <c r="A3203" s="10"/>
      <c r="B3203" s="11"/>
      <c r="C3203" s="10"/>
      <c r="D3203" s="13"/>
      <c r="E3203" s="14"/>
      <c r="F3203" s="14"/>
      <c r="G3203" s="14"/>
      <c r="H3203" s="10"/>
      <c r="I3203" s="10"/>
      <c r="J3203" s="10"/>
      <c r="K3203" s="46"/>
      <c r="L3203" s="10"/>
      <c r="M3203" s="44" t="s">
        <v>10178</v>
      </c>
      <c r="N3203" s="45"/>
      <c r="O3203" s="20"/>
      <c r="P3203" s="20"/>
      <c r="Q3203" s="20"/>
      <c r="R3203" s="20"/>
      <c r="S3203" s="20"/>
    </row>
    <row r="3204">
      <c r="A3204" s="23"/>
      <c r="B3204" s="21"/>
      <c r="C3204" s="23"/>
      <c r="D3204" s="24"/>
      <c r="E3204" s="14"/>
      <c r="F3204" s="14"/>
      <c r="G3204" s="14"/>
      <c r="H3204" s="23"/>
      <c r="I3204" s="23"/>
      <c r="J3204" s="23"/>
      <c r="K3204" s="30"/>
      <c r="L3204" s="23"/>
      <c r="M3204" s="50" t="s">
        <v>10178</v>
      </c>
      <c r="N3204" s="51"/>
      <c r="O3204" s="20"/>
      <c r="P3204" s="20"/>
      <c r="Q3204" s="20"/>
      <c r="R3204" s="20"/>
      <c r="S3204" s="20"/>
    </row>
    <row r="3205">
      <c r="A3205" s="10"/>
      <c r="B3205" s="11"/>
      <c r="C3205" s="10"/>
      <c r="D3205" s="13"/>
      <c r="E3205" s="14"/>
      <c r="F3205" s="14"/>
      <c r="G3205" s="14"/>
      <c r="H3205" s="10"/>
      <c r="I3205" s="10"/>
      <c r="J3205" s="10"/>
      <c r="K3205" s="46"/>
      <c r="L3205" s="10"/>
      <c r="M3205" s="44" t="s">
        <v>10178</v>
      </c>
      <c r="N3205" s="45"/>
      <c r="O3205" s="20"/>
      <c r="P3205" s="20"/>
      <c r="Q3205" s="20"/>
      <c r="R3205" s="20"/>
      <c r="S3205" s="20"/>
    </row>
    <row r="3206">
      <c r="A3206" s="23"/>
      <c r="B3206" s="21"/>
      <c r="C3206" s="23"/>
      <c r="D3206" s="24"/>
      <c r="E3206" s="14"/>
      <c r="F3206" s="14"/>
      <c r="G3206" s="14"/>
      <c r="H3206" s="23"/>
      <c r="I3206" s="23"/>
      <c r="J3206" s="23"/>
      <c r="K3206" s="30"/>
      <c r="L3206" s="23"/>
      <c r="M3206" s="50" t="s">
        <v>10178</v>
      </c>
      <c r="N3206" s="51"/>
      <c r="O3206" s="20"/>
      <c r="P3206" s="20"/>
      <c r="Q3206" s="20"/>
      <c r="R3206" s="20"/>
      <c r="S3206" s="20"/>
    </row>
    <row r="3207">
      <c r="A3207" s="10"/>
      <c r="B3207" s="11"/>
      <c r="C3207" s="10"/>
      <c r="D3207" s="13"/>
      <c r="E3207" s="14"/>
      <c r="F3207" s="14"/>
      <c r="G3207" s="14"/>
      <c r="H3207" s="10"/>
      <c r="I3207" s="10"/>
      <c r="J3207" s="10"/>
      <c r="K3207" s="46"/>
      <c r="L3207" s="10"/>
      <c r="M3207" s="44" t="s">
        <v>10178</v>
      </c>
      <c r="N3207" s="45"/>
      <c r="O3207" s="20"/>
      <c r="P3207" s="20"/>
      <c r="Q3207" s="20"/>
      <c r="R3207" s="20"/>
      <c r="S3207" s="20"/>
    </row>
    <row r="3208">
      <c r="A3208" s="23"/>
      <c r="B3208" s="21"/>
      <c r="C3208" s="23"/>
      <c r="D3208" s="24"/>
      <c r="E3208" s="14"/>
      <c r="F3208" s="14"/>
      <c r="G3208" s="14"/>
      <c r="H3208" s="23"/>
      <c r="I3208" s="23"/>
      <c r="J3208" s="23"/>
      <c r="K3208" s="30"/>
      <c r="L3208" s="23"/>
      <c r="M3208" s="50" t="s">
        <v>10178</v>
      </c>
      <c r="N3208" s="51"/>
      <c r="O3208" s="20"/>
      <c r="P3208" s="20"/>
      <c r="Q3208" s="20"/>
      <c r="R3208" s="20"/>
      <c r="S3208" s="20"/>
    </row>
    <row r="3209">
      <c r="A3209" s="10"/>
      <c r="B3209" s="11"/>
      <c r="C3209" s="10"/>
      <c r="D3209" s="13"/>
      <c r="E3209" s="14"/>
      <c r="F3209" s="14"/>
      <c r="G3209" s="14"/>
      <c r="H3209" s="10"/>
      <c r="I3209" s="10"/>
      <c r="J3209" s="10"/>
      <c r="K3209" s="46"/>
      <c r="L3209" s="10"/>
      <c r="M3209" s="44" t="s">
        <v>10178</v>
      </c>
      <c r="N3209" s="45"/>
      <c r="O3209" s="20"/>
      <c r="P3209" s="20"/>
      <c r="Q3209" s="20"/>
      <c r="R3209" s="20"/>
      <c r="S3209" s="20"/>
    </row>
    <row r="3210">
      <c r="A3210" s="23"/>
      <c r="B3210" s="21"/>
      <c r="C3210" s="23"/>
      <c r="D3210" s="24"/>
      <c r="E3210" s="14"/>
      <c r="F3210" s="14"/>
      <c r="G3210" s="14"/>
      <c r="H3210" s="23"/>
      <c r="I3210" s="23"/>
      <c r="J3210" s="23"/>
      <c r="K3210" s="30"/>
      <c r="L3210" s="23"/>
      <c r="M3210" s="50" t="s">
        <v>10178</v>
      </c>
      <c r="N3210" s="51"/>
      <c r="O3210" s="20"/>
      <c r="P3210" s="20"/>
      <c r="Q3210" s="20"/>
      <c r="R3210" s="20"/>
      <c r="S3210" s="20"/>
    </row>
    <row r="3211">
      <c r="A3211" s="10"/>
      <c r="B3211" s="11"/>
      <c r="C3211" s="10"/>
      <c r="D3211" s="13"/>
      <c r="E3211" s="14"/>
      <c r="F3211" s="14"/>
      <c r="G3211" s="14"/>
      <c r="H3211" s="10"/>
      <c r="I3211" s="10"/>
      <c r="J3211" s="10"/>
      <c r="K3211" s="46"/>
      <c r="L3211" s="10"/>
      <c r="M3211" s="44" t="s">
        <v>10178</v>
      </c>
      <c r="N3211" s="45"/>
      <c r="O3211" s="20"/>
      <c r="P3211" s="20"/>
      <c r="Q3211" s="20"/>
      <c r="R3211" s="20"/>
      <c r="S3211" s="20"/>
    </row>
    <row r="3212">
      <c r="A3212" s="23"/>
      <c r="B3212" s="21"/>
      <c r="C3212" s="23"/>
      <c r="D3212" s="24"/>
      <c r="E3212" s="14"/>
      <c r="F3212" s="14"/>
      <c r="G3212" s="14"/>
      <c r="H3212" s="23"/>
      <c r="I3212" s="23"/>
      <c r="J3212" s="23"/>
      <c r="K3212" s="30"/>
      <c r="L3212" s="23"/>
      <c r="M3212" s="50" t="s">
        <v>10178</v>
      </c>
      <c r="N3212" s="51"/>
      <c r="O3212" s="20"/>
      <c r="P3212" s="20"/>
      <c r="Q3212" s="20"/>
      <c r="R3212" s="20"/>
      <c r="S3212" s="20"/>
    </row>
    <row r="3213">
      <c r="A3213" s="10"/>
      <c r="B3213" s="11"/>
      <c r="C3213" s="10"/>
      <c r="D3213" s="13"/>
      <c r="E3213" s="14"/>
      <c r="F3213" s="14"/>
      <c r="G3213" s="14"/>
      <c r="H3213" s="10"/>
      <c r="I3213" s="10"/>
      <c r="J3213" s="10"/>
      <c r="K3213" s="46"/>
      <c r="L3213" s="10"/>
      <c r="M3213" s="44" t="s">
        <v>10178</v>
      </c>
      <c r="N3213" s="45"/>
      <c r="O3213" s="20"/>
      <c r="P3213" s="20"/>
      <c r="Q3213" s="20"/>
      <c r="R3213" s="20"/>
      <c r="S3213" s="20"/>
    </row>
    <row r="3214">
      <c r="A3214" s="23"/>
      <c r="B3214" s="21"/>
      <c r="C3214" s="23"/>
      <c r="D3214" s="24"/>
      <c r="E3214" s="14"/>
      <c r="F3214" s="14"/>
      <c r="G3214" s="14"/>
      <c r="H3214" s="23"/>
      <c r="I3214" s="23"/>
      <c r="J3214" s="23"/>
      <c r="K3214" s="30"/>
      <c r="L3214" s="23"/>
      <c r="M3214" s="50" t="s">
        <v>10178</v>
      </c>
      <c r="N3214" s="51"/>
      <c r="O3214" s="20"/>
      <c r="P3214" s="20"/>
      <c r="Q3214" s="20"/>
      <c r="R3214" s="20"/>
      <c r="S3214" s="20"/>
    </row>
    <row r="3215">
      <c r="A3215" s="10"/>
      <c r="B3215" s="11"/>
      <c r="C3215" s="10"/>
      <c r="D3215" s="13"/>
      <c r="E3215" s="14"/>
      <c r="F3215" s="14"/>
      <c r="G3215" s="14"/>
      <c r="H3215" s="10"/>
      <c r="I3215" s="10"/>
      <c r="J3215" s="10"/>
      <c r="K3215" s="46"/>
      <c r="L3215" s="10"/>
      <c r="M3215" s="44" t="s">
        <v>10178</v>
      </c>
      <c r="N3215" s="45"/>
      <c r="O3215" s="20"/>
      <c r="P3215" s="20"/>
      <c r="Q3215" s="20"/>
      <c r="R3215" s="20"/>
      <c r="S3215" s="20"/>
    </row>
    <row r="3216">
      <c r="A3216" s="23"/>
      <c r="B3216" s="21"/>
      <c r="C3216" s="23"/>
      <c r="D3216" s="24"/>
      <c r="E3216" s="14"/>
      <c r="F3216" s="14"/>
      <c r="G3216" s="14"/>
      <c r="H3216" s="23"/>
      <c r="I3216" s="23"/>
      <c r="J3216" s="23"/>
      <c r="K3216" s="30"/>
      <c r="L3216" s="23"/>
      <c r="M3216" s="50" t="s">
        <v>10178</v>
      </c>
      <c r="N3216" s="51"/>
      <c r="O3216" s="20"/>
      <c r="P3216" s="20"/>
      <c r="Q3216" s="20"/>
      <c r="R3216" s="20"/>
      <c r="S3216" s="20"/>
    </row>
    <row r="3217">
      <c r="A3217" s="10"/>
      <c r="B3217" s="11"/>
      <c r="C3217" s="10"/>
      <c r="D3217" s="13"/>
      <c r="E3217" s="14"/>
      <c r="F3217" s="14"/>
      <c r="G3217" s="14"/>
      <c r="H3217" s="10"/>
      <c r="I3217" s="10"/>
      <c r="J3217" s="10"/>
      <c r="K3217" s="46"/>
      <c r="L3217" s="10"/>
      <c r="M3217" s="44" t="s">
        <v>10178</v>
      </c>
      <c r="N3217" s="45"/>
      <c r="O3217" s="20"/>
      <c r="P3217" s="20"/>
      <c r="Q3217" s="20"/>
      <c r="R3217" s="20"/>
      <c r="S3217" s="20"/>
    </row>
    <row r="3218">
      <c r="A3218" s="23"/>
      <c r="B3218" s="21"/>
      <c r="C3218" s="23"/>
      <c r="D3218" s="24"/>
      <c r="E3218" s="14"/>
      <c r="F3218" s="14"/>
      <c r="G3218" s="14"/>
      <c r="H3218" s="23"/>
      <c r="I3218" s="23"/>
      <c r="J3218" s="23"/>
      <c r="K3218" s="30"/>
      <c r="L3218" s="23"/>
      <c r="M3218" s="50" t="s">
        <v>10178</v>
      </c>
      <c r="N3218" s="51"/>
      <c r="O3218" s="20"/>
      <c r="P3218" s="20"/>
      <c r="Q3218" s="20"/>
      <c r="R3218" s="20"/>
      <c r="S3218" s="20"/>
    </row>
    <row r="3219">
      <c r="A3219" s="10"/>
      <c r="B3219" s="11"/>
      <c r="C3219" s="10"/>
      <c r="D3219" s="13"/>
      <c r="E3219" s="14"/>
      <c r="F3219" s="14"/>
      <c r="G3219" s="14"/>
      <c r="H3219" s="10"/>
      <c r="I3219" s="10"/>
      <c r="J3219" s="10"/>
      <c r="K3219" s="46"/>
      <c r="L3219" s="10"/>
      <c r="M3219" s="44" t="s">
        <v>10178</v>
      </c>
      <c r="N3219" s="45"/>
      <c r="O3219" s="20"/>
      <c r="P3219" s="20"/>
      <c r="Q3219" s="20"/>
      <c r="R3219" s="20"/>
      <c r="S3219" s="20"/>
    </row>
    <row r="3220">
      <c r="A3220" s="23"/>
      <c r="B3220" s="21"/>
      <c r="C3220" s="23"/>
      <c r="D3220" s="24"/>
      <c r="E3220" s="14"/>
      <c r="F3220" s="14"/>
      <c r="G3220" s="14"/>
      <c r="H3220" s="23"/>
      <c r="I3220" s="23"/>
      <c r="J3220" s="23"/>
      <c r="K3220" s="30"/>
      <c r="L3220" s="23"/>
      <c r="M3220" s="50" t="s">
        <v>10178</v>
      </c>
      <c r="N3220" s="51"/>
      <c r="O3220" s="20"/>
      <c r="P3220" s="20"/>
      <c r="Q3220" s="20"/>
      <c r="R3220" s="20"/>
      <c r="S3220" s="20"/>
    </row>
    <row r="3221">
      <c r="A3221" s="10"/>
      <c r="B3221" s="11"/>
      <c r="C3221" s="10"/>
      <c r="D3221" s="13"/>
      <c r="E3221" s="14"/>
      <c r="F3221" s="14"/>
      <c r="G3221" s="14"/>
      <c r="H3221" s="10"/>
      <c r="I3221" s="10"/>
      <c r="J3221" s="10"/>
      <c r="K3221" s="46"/>
      <c r="L3221" s="10"/>
      <c r="M3221" s="44" t="s">
        <v>10178</v>
      </c>
      <c r="N3221" s="45"/>
      <c r="O3221" s="20"/>
      <c r="P3221" s="20"/>
      <c r="Q3221" s="20"/>
      <c r="R3221" s="20"/>
      <c r="S3221" s="20"/>
    </row>
    <row r="3222">
      <c r="A3222" s="23"/>
      <c r="B3222" s="21"/>
      <c r="C3222" s="23"/>
      <c r="D3222" s="24"/>
      <c r="E3222" s="14"/>
      <c r="F3222" s="14"/>
      <c r="G3222" s="14"/>
      <c r="H3222" s="23"/>
      <c r="I3222" s="23"/>
      <c r="J3222" s="23"/>
      <c r="K3222" s="30"/>
      <c r="L3222" s="23"/>
      <c r="M3222" s="50" t="s">
        <v>10178</v>
      </c>
      <c r="N3222" s="51"/>
      <c r="O3222" s="20"/>
      <c r="P3222" s="20"/>
      <c r="Q3222" s="20"/>
      <c r="R3222" s="20"/>
      <c r="S3222" s="20"/>
    </row>
    <row r="3223">
      <c r="A3223" s="10"/>
      <c r="B3223" s="11"/>
      <c r="C3223" s="10"/>
      <c r="D3223" s="13"/>
      <c r="E3223" s="14"/>
      <c r="F3223" s="14"/>
      <c r="G3223" s="14"/>
      <c r="H3223" s="10"/>
      <c r="I3223" s="10"/>
      <c r="J3223" s="10"/>
      <c r="K3223" s="46"/>
      <c r="L3223" s="10"/>
      <c r="M3223" s="44" t="s">
        <v>10178</v>
      </c>
      <c r="N3223" s="45"/>
      <c r="O3223" s="20"/>
      <c r="P3223" s="20"/>
      <c r="Q3223" s="20"/>
      <c r="R3223" s="20"/>
      <c r="S3223" s="20"/>
    </row>
    <row r="3224">
      <c r="A3224" s="23"/>
      <c r="B3224" s="21"/>
      <c r="C3224" s="23"/>
      <c r="D3224" s="24"/>
      <c r="E3224" s="14"/>
      <c r="F3224" s="14"/>
      <c r="G3224" s="14"/>
      <c r="H3224" s="23"/>
      <c r="I3224" s="23"/>
      <c r="J3224" s="23"/>
      <c r="K3224" s="30"/>
      <c r="L3224" s="23"/>
      <c r="M3224" s="50" t="s">
        <v>10178</v>
      </c>
      <c r="N3224" s="51"/>
      <c r="O3224" s="20"/>
      <c r="P3224" s="20"/>
      <c r="Q3224" s="20"/>
      <c r="R3224" s="20"/>
      <c r="S3224" s="20"/>
    </row>
    <row r="3225">
      <c r="A3225" s="10"/>
      <c r="B3225" s="11"/>
      <c r="C3225" s="10"/>
      <c r="D3225" s="13"/>
      <c r="E3225" s="14"/>
      <c r="F3225" s="14"/>
      <c r="G3225" s="14"/>
      <c r="H3225" s="10"/>
      <c r="I3225" s="10"/>
      <c r="J3225" s="10"/>
      <c r="K3225" s="46"/>
      <c r="L3225" s="10"/>
      <c r="M3225" s="44" t="s">
        <v>10178</v>
      </c>
      <c r="N3225" s="45"/>
      <c r="O3225" s="20"/>
      <c r="P3225" s="20"/>
      <c r="Q3225" s="20"/>
      <c r="R3225" s="20"/>
      <c r="S3225" s="20"/>
    </row>
    <row r="3226">
      <c r="A3226" s="23"/>
      <c r="B3226" s="21"/>
      <c r="C3226" s="23"/>
      <c r="D3226" s="24"/>
      <c r="E3226" s="14"/>
      <c r="F3226" s="14"/>
      <c r="G3226" s="14"/>
      <c r="H3226" s="23"/>
      <c r="I3226" s="23"/>
      <c r="J3226" s="23"/>
      <c r="K3226" s="30"/>
      <c r="L3226" s="23"/>
      <c r="M3226" s="50" t="s">
        <v>10178</v>
      </c>
      <c r="N3226" s="51"/>
      <c r="O3226" s="20"/>
      <c r="P3226" s="20"/>
      <c r="Q3226" s="20"/>
      <c r="R3226" s="20"/>
      <c r="S3226" s="20"/>
    </row>
    <row r="3227">
      <c r="A3227" s="10"/>
      <c r="B3227" s="11"/>
      <c r="C3227" s="10"/>
      <c r="D3227" s="13"/>
      <c r="E3227" s="14"/>
      <c r="F3227" s="14"/>
      <c r="G3227" s="14"/>
      <c r="H3227" s="10"/>
      <c r="I3227" s="10"/>
      <c r="J3227" s="10"/>
      <c r="K3227" s="46"/>
      <c r="L3227" s="10"/>
      <c r="M3227" s="44" t="s">
        <v>10178</v>
      </c>
      <c r="N3227" s="45"/>
      <c r="O3227" s="20"/>
      <c r="P3227" s="20"/>
      <c r="Q3227" s="20"/>
      <c r="R3227" s="20"/>
      <c r="S3227" s="20"/>
    </row>
    <row r="3228">
      <c r="A3228" s="23"/>
      <c r="B3228" s="21"/>
      <c r="C3228" s="23"/>
      <c r="D3228" s="24"/>
      <c r="E3228" s="14"/>
      <c r="F3228" s="14"/>
      <c r="G3228" s="14"/>
      <c r="H3228" s="23"/>
      <c r="I3228" s="23"/>
      <c r="J3228" s="23"/>
      <c r="K3228" s="30"/>
      <c r="L3228" s="23"/>
      <c r="M3228" s="50" t="s">
        <v>10178</v>
      </c>
      <c r="N3228" s="51"/>
      <c r="O3228" s="20"/>
      <c r="P3228" s="20"/>
      <c r="Q3228" s="20"/>
      <c r="R3228" s="20"/>
      <c r="S3228" s="20"/>
    </row>
    <row r="3229">
      <c r="A3229" s="10"/>
      <c r="B3229" s="11"/>
      <c r="C3229" s="10"/>
      <c r="D3229" s="13"/>
      <c r="E3229" s="14"/>
      <c r="F3229" s="14"/>
      <c r="G3229" s="14"/>
      <c r="H3229" s="10"/>
      <c r="I3229" s="10"/>
      <c r="J3229" s="10"/>
      <c r="K3229" s="46"/>
      <c r="L3229" s="10"/>
      <c r="M3229" s="44" t="s">
        <v>10178</v>
      </c>
      <c r="N3229" s="45"/>
      <c r="O3229" s="20"/>
      <c r="P3229" s="20"/>
      <c r="Q3229" s="20"/>
      <c r="R3229" s="20"/>
      <c r="S3229" s="20"/>
    </row>
    <row r="3230">
      <c r="A3230" s="23"/>
      <c r="B3230" s="21"/>
      <c r="C3230" s="23"/>
      <c r="D3230" s="24"/>
      <c r="E3230" s="14"/>
      <c r="F3230" s="14"/>
      <c r="G3230" s="14"/>
      <c r="H3230" s="23"/>
      <c r="I3230" s="23"/>
      <c r="J3230" s="23"/>
      <c r="K3230" s="30"/>
      <c r="L3230" s="23"/>
      <c r="M3230" s="50" t="s">
        <v>10178</v>
      </c>
      <c r="N3230" s="51"/>
      <c r="O3230" s="20"/>
      <c r="P3230" s="20"/>
      <c r="Q3230" s="20"/>
      <c r="R3230" s="20"/>
      <c r="S3230" s="20"/>
    </row>
    <row r="3231">
      <c r="A3231" s="10"/>
      <c r="B3231" s="11"/>
      <c r="C3231" s="10"/>
      <c r="D3231" s="13"/>
      <c r="E3231" s="14"/>
      <c r="F3231" s="14"/>
      <c r="G3231" s="14"/>
      <c r="H3231" s="10"/>
      <c r="I3231" s="10"/>
      <c r="J3231" s="10"/>
      <c r="K3231" s="46"/>
      <c r="L3231" s="10"/>
      <c r="M3231" s="44" t="s">
        <v>10178</v>
      </c>
      <c r="N3231" s="45"/>
      <c r="O3231" s="20"/>
      <c r="P3231" s="20"/>
      <c r="Q3231" s="20"/>
      <c r="R3231" s="20"/>
      <c r="S3231" s="20"/>
    </row>
    <row r="3232">
      <c r="A3232" s="23"/>
      <c r="B3232" s="21"/>
      <c r="C3232" s="23"/>
      <c r="D3232" s="24"/>
      <c r="E3232" s="14"/>
      <c r="F3232" s="14"/>
      <c r="G3232" s="14"/>
      <c r="H3232" s="23"/>
      <c r="I3232" s="23"/>
      <c r="J3232" s="23"/>
      <c r="K3232" s="30"/>
      <c r="L3232" s="23"/>
      <c r="M3232" s="50" t="s">
        <v>10178</v>
      </c>
      <c r="N3232" s="51"/>
      <c r="O3232" s="20"/>
      <c r="P3232" s="20"/>
      <c r="Q3232" s="20"/>
      <c r="R3232" s="20"/>
      <c r="S3232" s="20"/>
    </row>
    <row r="3233">
      <c r="A3233" s="10"/>
      <c r="B3233" s="11"/>
      <c r="C3233" s="10"/>
      <c r="D3233" s="13"/>
      <c r="E3233" s="14"/>
      <c r="F3233" s="14"/>
      <c r="G3233" s="14"/>
      <c r="H3233" s="10"/>
      <c r="I3233" s="10"/>
      <c r="J3233" s="10"/>
      <c r="K3233" s="46"/>
      <c r="L3233" s="10"/>
      <c r="M3233" s="44" t="s">
        <v>10178</v>
      </c>
      <c r="N3233" s="45"/>
      <c r="O3233" s="20"/>
      <c r="P3233" s="20"/>
      <c r="Q3233" s="20"/>
      <c r="R3233" s="20"/>
      <c r="S3233" s="20"/>
    </row>
    <row r="3234">
      <c r="A3234" s="23"/>
      <c r="B3234" s="21"/>
      <c r="C3234" s="23"/>
      <c r="D3234" s="24"/>
      <c r="E3234" s="14"/>
      <c r="F3234" s="14"/>
      <c r="G3234" s="14"/>
      <c r="H3234" s="23"/>
      <c r="I3234" s="23"/>
      <c r="J3234" s="23"/>
      <c r="K3234" s="30"/>
      <c r="L3234" s="23"/>
      <c r="M3234" s="50" t="s">
        <v>10178</v>
      </c>
      <c r="N3234" s="51"/>
      <c r="O3234" s="20"/>
      <c r="P3234" s="20"/>
      <c r="Q3234" s="20"/>
      <c r="R3234" s="20"/>
      <c r="S3234" s="20"/>
    </row>
    <row r="3235">
      <c r="A3235" s="10"/>
      <c r="B3235" s="11"/>
      <c r="C3235" s="10"/>
      <c r="D3235" s="13"/>
      <c r="E3235" s="14"/>
      <c r="F3235" s="14"/>
      <c r="G3235" s="14"/>
      <c r="H3235" s="10"/>
      <c r="I3235" s="10"/>
      <c r="J3235" s="10"/>
      <c r="K3235" s="46"/>
      <c r="L3235" s="10"/>
      <c r="M3235" s="44" t="s">
        <v>10178</v>
      </c>
      <c r="N3235" s="45"/>
      <c r="O3235" s="20"/>
      <c r="P3235" s="20"/>
      <c r="Q3235" s="20"/>
      <c r="R3235" s="20"/>
      <c r="S3235" s="20"/>
    </row>
    <row r="3236">
      <c r="A3236" s="23"/>
      <c r="B3236" s="21"/>
      <c r="C3236" s="23"/>
      <c r="D3236" s="24"/>
      <c r="E3236" s="14"/>
      <c r="F3236" s="14"/>
      <c r="G3236" s="14"/>
      <c r="H3236" s="23"/>
      <c r="I3236" s="23"/>
      <c r="J3236" s="23"/>
      <c r="K3236" s="30"/>
      <c r="L3236" s="23"/>
      <c r="M3236" s="50" t="s">
        <v>10178</v>
      </c>
      <c r="N3236" s="51"/>
      <c r="O3236" s="20"/>
      <c r="P3236" s="20"/>
      <c r="Q3236" s="20"/>
      <c r="R3236" s="20"/>
      <c r="S3236" s="20"/>
    </row>
    <row r="3237">
      <c r="A3237" s="10"/>
      <c r="B3237" s="11"/>
      <c r="C3237" s="10"/>
      <c r="D3237" s="13"/>
      <c r="E3237" s="14"/>
      <c r="F3237" s="14"/>
      <c r="G3237" s="14"/>
      <c r="H3237" s="10"/>
      <c r="I3237" s="10"/>
      <c r="J3237" s="10"/>
      <c r="K3237" s="46"/>
      <c r="L3237" s="10"/>
      <c r="M3237" s="44" t="s">
        <v>10178</v>
      </c>
      <c r="N3237" s="45"/>
      <c r="O3237" s="20"/>
      <c r="P3237" s="20"/>
      <c r="Q3237" s="20"/>
      <c r="R3237" s="20"/>
      <c r="S3237" s="20"/>
    </row>
    <row r="3238">
      <c r="A3238" s="23"/>
      <c r="B3238" s="21"/>
      <c r="C3238" s="23"/>
      <c r="D3238" s="24"/>
      <c r="E3238" s="14"/>
      <c r="F3238" s="14"/>
      <c r="G3238" s="14"/>
      <c r="H3238" s="23"/>
      <c r="I3238" s="23"/>
      <c r="J3238" s="23"/>
      <c r="K3238" s="30"/>
      <c r="L3238" s="23"/>
      <c r="M3238" s="50" t="s">
        <v>10178</v>
      </c>
      <c r="N3238" s="51"/>
      <c r="O3238" s="20"/>
      <c r="P3238" s="20"/>
      <c r="Q3238" s="20"/>
      <c r="R3238" s="20"/>
      <c r="S3238" s="20"/>
    </row>
    <row r="3239">
      <c r="A3239" s="10"/>
      <c r="B3239" s="11"/>
      <c r="C3239" s="10"/>
      <c r="D3239" s="13"/>
      <c r="E3239" s="14"/>
      <c r="F3239" s="14"/>
      <c r="G3239" s="14"/>
      <c r="H3239" s="10"/>
      <c r="I3239" s="10"/>
      <c r="J3239" s="10"/>
      <c r="K3239" s="46"/>
      <c r="L3239" s="10"/>
      <c r="M3239" s="44" t="s">
        <v>10178</v>
      </c>
      <c r="N3239" s="45"/>
      <c r="O3239" s="20"/>
      <c r="P3239" s="20"/>
      <c r="Q3239" s="20"/>
      <c r="R3239" s="20"/>
      <c r="S3239" s="20"/>
    </row>
    <row r="3240">
      <c r="A3240" s="23"/>
      <c r="B3240" s="21"/>
      <c r="C3240" s="23"/>
      <c r="D3240" s="24"/>
      <c r="E3240" s="14"/>
      <c r="F3240" s="14"/>
      <c r="G3240" s="14"/>
      <c r="H3240" s="23"/>
      <c r="I3240" s="23"/>
      <c r="J3240" s="23"/>
      <c r="K3240" s="30"/>
      <c r="L3240" s="23"/>
      <c r="M3240" s="50" t="s">
        <v>10178</v>
      </c>
      <c r="N3240" s="51"/>
      <c r="O3240" s="20"/>
      <c r="P3240" s="20"/>
      <c r="Q3240" s="20"/>
      <c r="R3240" s="20"/>
      <c r="S3240" s="20"/>
    </row>
    <row r="3241">
      <c r="A3241" s="10"/>
      <c r="B3241" s="11"/>
      <c r="C3241" s="10"/>
      <c r="D3241" s="13"/>
      <c r="E3241" s="14"/>
      <c r="F3241" s="14"/>
      <c r="G3241" s="14"/>
      <c r="H3241" s="10"/>
      <c r="I3241" s="10"/>
      <c r="J3241" s="10"/>
      <c r="K3241" s="46"/>
      <c r="L3241" s="10"/>
      <c r="M3241" s="44" t="s">
        <v>10178</v>
      </c>
      <c r="N3241" s="45"/>
      <c r="O3241" s="20"/>
      <c r="P3241" s="20"/>
      <c r="Q3241" s="20"/>
      <c r="R3241" s="20"/>
      <c r="S3241" s="20"/>
    </row>
    <row r="3242">
      <c r="A3242" s="23"/>
      <c r="B3242" s="21"/>
      <c r="C3242" s="23"/>
      <c r="D3242" s="24"/>
      <c r="E3242" s="14"/>
      <c r="F3242" s="14"/>
      <c r="G3242" s="14"/>
      <c r="H3242" s="23"/>
      <c r="I3242" s="23"/>
      <c r="J3242" s="23"/>
      <c r="K3242" s="30"/>
      <c r="L3242" s="23"/>
      <c r="M3242" s="50" t="s">
        <v>10178</v>
      </c>
      <c r="N3242" s="51"/>
      <c r="O3242" s="20"/>
      <c r="P3242" s="20"/>
      <c r="Q3242" s="20"/>
      <c r="R3242" s="20"/>
      <c r="S3242" s="20"/>
    </row>
    <row r="3243">
      <c r="A3243" s="10"/>
      <c r="B3243" s="11"/>
      <c r="C3243" s="10"/>
      <c r="D3243" s="13"/>
      <c r="E3243" s="14"/>
      <c r="F3243" s="14"/>
      <c r="G3243" s="14"/>
      <c r="H3243" s="10"/>
      <c r="I3243" s="10"/>
      <c r="J3243" s="10"/>
      <c r="K3243" s="46"/>
      <c r="L3243" s="10"/>
      <c r="M3243" s="44" t="s">
        <v>10178</v>
      </c>
      <c r="N3243" s="45"/>
      <c r="O3243" s="20"/>
      <c r="P3243" s="20"/>
      <c r="Q3243" s="20"/>
      <c r="R3243" s="20"/>
      <c r="S3243" s="20"/>
    </row>
    <row r="3244">
      <c r="A3244" s="23"/>
      <c r="B3244" s="21"/>
      <c r="C3244" s="23"/>
      <c r="D3244" s="24"/>
      <c r="E3244" s="14"/>
      <c r="F3244" s="14"/>
      <c r="G3244" s="14"/>
      <c r="H3244" s="23"/>
      <c r="I3244" s="23"/>
      <c r="J3244" s="23"/>
      <c r="K3244" s="30"/>
      <c r="L3244" s="23"/>
      <c r="M3244" s="50" t="s">
        <v>10178</v>
      </c>
      <c r="N3244" s="51"/>
      <c r="O3244" s="20"/>
      <c r="P3244" s="20"/>
      <c r="Q3244" s="20"/>
      <c r="R3244" s="20"/>
      <c r="S3244" s="20"/>
    </row>
    <row r="3245">
      <c r="A3245" s="10"/>
      <c r="B3245" s="11"/>
      <c r="C3245" s="10"/>
      <c r="D3245" s="13"/>
      <c r="E3245" s="14"/>
      <c r="F3245" s="14"/>
      <c r="G3245" s="14"/>
      <c r="H3245" s="10"/>
      <c r="I3245" s="10"/>
      <c r="J3245" s="10"/>
      <c r="K3245" s="46"/>
      <c r="L3245" s="10"/>
      <c r="M3245" s="44" t="s">
        <v>10178</v>
      </c>
      <c r="N3245" s="45"/>
      <c r="O3245" s="20"/>
      <c r="P3245" s="20"/>
      <c r="Q3245" s="20"/>
      <c r="R3245" s="20"/>
      <c r="S3245" s="20"/>
    </row>
    <row r="3246">
      <c r="A3246" s="23"/>
      <c r="B3246" s="21"/>
      <c r="C3246" s="23"/>
      <c r="D3246" s="24"/>
      <c r="E3246" s="14"/>
      <c r="F3246" s="14"/>
      <c r="G3246" s="14"/>
      <c r="H3246" s="23"/>
      <c r="I3246" s="23"/>
      <c r="J3246" s="23"/>
      <c r="K3246" s="30"/>
      <c r="L3246" s="23"/>
      <c r="M3246" s="50" t="s">
        <v>10178</v>
      </c>
      <c r="N3246" s="51"/>
      <c r="O3246" s="20"/>
      <c r="P3246" s="20"/>
      <c r="Q3246" s="20"/>
      <c r="R3246" s="20"/>
      <c r="S3246" s="20"/>
    </row>
    <row r="3247">
      <c r="A3247" s="10"/>
      <c r="B3247" s="11"/>
      <c r="C3247" s="10"/>
      <c r="D3247" s="13"/>
      <c r="E3247" s="14"/>
      <c r="F3247" s="14"/>
      <c r="G3247" s="14"/>
      <c r="H3247" s="10"/>
      <c r="I3247" s="10"/>
      <c r="J3247" s="10"/>
      <c r="K3247" s="46"/>
      <c r="L3247" s="10"/>
      <c r="M3247" s="44" t="s">
        <v>10178</v>
      </c>
      <c r="N3247" s="45"/>
      <c r="O3247" s="20"/>
      <c r="P3247" s="20"/>
      <c r="Q3247" s="20"/>
      <c r="R3247" s="20"/>
      <c r="S3247" s="20"/>
    </row>
    <row r="3248">
      <c r="A3248" s="23"/>
      <c r="B3248" s="21"/>
      <c r="C3248" s="23"/>
      <c r="D3248" s="24"/>
      <c r="E3248" s="14"/>
      <c r="F3248" s="14"/>
      <c r="G3248" s="14"/>
      <c r="H3248" s="23"/>
      <c r="I3248" s="23"/>
      <c r="J3248" s="23"/>
      <c r="K3248" s="30"/>
      <c r="L3248" s="23"/>
      <c r="M3248" s="50" t="s">
        <v>10178</v>
      </c>
      <c r="N3248" s="51"/>
      <c r="O3248" s="20"/>
      <c r="P3248" s="20"/>
      <c r="Q3248" s="20"/>
      <c r="R3248" s="20"/>
      <c r="S3248" s="20"/>
    </row>
    <row r="3249">
      <c r="A3249" s="10"/>
      <c r="B3249" s="11"/>
      <c r="C3249" s="10"/>
      <c r="D3249" s="13"/>
      <c r="E3249" s="14"/>
      <c r="F3249" s="14"/>
      <c r="G3249" s="14"/>
      <c r="H3249" s="10"/>
      <c r="I3249" s="10"/>
      <c r="J3249" s="10"/>
      <c r="K3249" s="46"/>
      <c r="L3249" s="10"/>
      <c r="M3249" s="44" t="s">
        <v>10178</v>
      </c>
      <c r="N3249" s="45"/>
      <c r="O3249" s="20"/>
      <c r="P3249" s="20"/>
      <c r="Q3249" s="20"/>
      <c r="R3249" s="20"/>
      <c r="S3249" s="20"/>
    </row>
    <row r="3250">
      <c r="A3250" s="23"/>
      <c r="B3250" s="21"/>
      <c r="C3250" s="23"/>
      <c r="D3250" s="24"/>
      <c r="E3250" s="14"/>
      <c r="F3250" s="14"/>
      <c r="G3250" s="14"/>
      <c r="H3250" s="23"/>
      <c r="I3250" s="23"/>
      <c r="J3250" s="23"/>
      <c r="K3250" s="30"/>
      <c r="L3250" s="23"/>
      <c r="M3250" s="50" t="s">
        <v>10178</v>
      </c>
      <c r="N3250" s="51"/>
      <c r="O3250" s="20"/>
      <c r="P3250" s="20"/>
      <c r="Q3250" s="20"/>
      <c r="R3250" s="20"/>
      <c r="S3250" s="20"/>
    </row>
    <row r="3251">
      <c r="A3251" s="10"/>
      <c r="B3251" s="11"/>
      <c r="C3251" s="10"/>
      <c r="D3251" s="13"/>
      <c r="E3251" s="14"/>
      <c r="F3251" s="14"/>
      <c r="G3251" s="14"/>
      <c r="H3251" s="10"/>
      <c r="I3251" s="10"/>
      <c r="J3251" s="10"/>
      <c r="K3251" s="46"/>
      <c r="L3251" s="10"/>
      <c r="M3251" s="44" t="s">
        <v>10178</v>
      </c>
      <c r="N3251" s="45"/>
      <c r="O3251" s="20"/>
      <c r="P3251" s="20"/>
      <c r="Q3251" s="20"/>
      <c r="R3251" s="20"/>
      <c r="S3251" s="20"/>
    </row>
    <row r="3252">
      <c r="A3252" s="23"/>
      <c r="B3252" s="21"/>
      <c r="C3252" s="23"/>
      <c r="D3252" s="24"/>
      <c r="E3252" s="14"/>
      <c r="F3252" s="14"/>
      <c r="G3252" s="14"/>
      <c r="H3252" s="23"/>
      <c r="I3252" s="23"/>
      <c r="J3252" s="23"/>
      <c r="K3252" s="30"/>
      <c r="L3252" s="23"/>
      <c r="M3252" s="50" t="s">
        <v>10178</v>
      </c>
      <c r="N3252" s="51"/>
      <c r="O3252" s="20"/>
      <c r="P3252" s="20"/>
      <c r="Q3252" s="20"/>
      <c r="R3252" s="20"/>
      <c r="S3252" s="20"/>
    </row>
    <row r="3253">
      <c r="A3253" s="10"/>
      <c r="B3253" s="11"/>
      <c r="C3253" s="10"/>
      <c r="D3253" s="13"/>
      <c r="E3253" s="14"/>
      <c r="F3253" s="14"/>
      <c r="G3253" s="14"/>
      <c r="H3253" s="10"/>
      <c r="I3253" s="10"/>
      <c r="J3253" s="10"/>
      <c r="K3253" s="46"/>
      <c r="L3253" s="10"/>
      <c r="M3253" s="44" t="s">
        <v>10178</v>
      </c>
      <c r="N3253" s="45"/>
      <c r="O3253" s="20"/>
      <c r="P3253" s="20"/>
      <c r="Q3253" s="20"/>
      <c r="R3253" s="20"/>
      <c r="S3253" s="20"/>
    </row>
    <row r="3254">
      <c r="A3254" s="23"/>
      <c r="B3254" s="21"/>
      <c r="C3254" s="23"/>
      <c r="D3254" s="24"/>
      <c r="E3254" s="14"/>
      <c r="F3254" s="14"/>
      <c r="G3254" s="14"/>
      <c r="H3254" s="23"/>
      <c r="I3254" s="23"/>
      <c r="J3254" s="23"/>
      <c r="K3254" s="30"/>
      <c r="L3254" s="23"/>
      <c r="M3254" s="50" t="s">
        <v>10178</v>
      </c>
      <c r="N3254" s="51"/>
      <c r="O3254" s="20"/>
      <c r="P3254" s="20"/>
      <c r="Q3254" s="20"/>
      <c r="R3254" s="20"/>
      <c r="S3254" s="20"/>
    </row>
    <row r="3255">
      <c r="A3255" s="10"/>
      <c r="B3255" s="11"/>
      <c r="C3255" s="10"/>
      <c r="D3255" s="13"/>
      <c r="E3255" s="14"/>
      <c r="F3255" s="14"/>
      <c r="G3255" s="14"/>
      <c r="H3255" s="10"/>
      <c r="I3255" s="10"/>
      <c r="J3255" s="10"/>
      <c r="K3255" s="46"/>
      <c r="L3255" s="10"/>
      <c r="M3255" s="44" t="s">
        <v>10178</v>
      </c>
      <c r="N3255" s="45"/>
      <c r="O3255" s="20"/>
      <c r="P3255" s="20"/>
      <c r="Q3255" s="20"/>
      <c r="R3255" s="20"/>
      <c r="S3255" s="20"/>
    </row>
    <row r="3256">
      <c r="A3256" s="23"/>
      <c r="B3256" s="21"/>
      <c r="C3256" s="23"/>
      <c r="D3256" s="24"/>
      <c r="E3256" s="14"/>
      <c r="F3256" s="14"/>
      <c r="G3256" s="14"/>
      <c r="H3256" s="23"/>
      <c r="I3256" s="23"/>
      <c r="J3256" s="23"/>
      <c r="K3256" s="30"/>
      <c r="L3256" s="23"/>
      <c r="M3256" s="50" t="s">
        <v>10178</v>
      </c>
      <c r="N3256" s="51"/>
      <c r="O3256" s="20"/>
      <c r="P3256" s="20"/>
      <c r="Q3256" s="20"/>
      <c r="R3256" s="20"/>
      <c r="S3256" s="20"/>
    </row>
    <row r="3257">
      <c r="A3257" s="10"/>
      <c r="B3257" s="11"/>
      <c r="C3257" s="10"/>
      <c r="D3257" s="13"/>
      <c r="E3257" s="14"/>
      <c r="F3257" s="14"/>
      <c r="G3257" s="14"/>
      <c r="H3257" s="10"/>
      <c r="I3257" s="10"/>
      <c r="J3257" s="10"/>
      <c r="K3257" s="46"/>
      <c r="L3257" s="10"/>
      <c r="M3257" s="44" t="s">
        <v>10178</v>
      </c>
      <c r="N3257" s="45"/>
      <c r="O3257" s="20"/>
      <c r="P3257" s="20"/>
      <c r="Q3257" s="20"/>
      <c r="R3257" s="20"/>
      <c r="S3257" s="20"/>
    </row>
    <row r="3258">
      <c r="A3258" s="23"/>
      <c r="B3258" s="21"/>
      <c r="C3258" s="23"/>
      <c r="D3258" s="24"/>
      <c r="E3258" s="14"/>
      <c r="F3258" s="14"/>
      <c r="G3258" s="14"/>
      <c r="H3258" s="23"/>
      <c r="I3258" s="23"/>
      <c r="J3258" s="23"/>
      <c r="K3258" s="30"/>
      <c r="L3258" s="23"/>
      <c r="M3258" s="50" t="s">
        <v>10178</v>
      </c>
      <c r="N3258" s="51"/>
      <c r="O3258" s="20"/>
      <c r="P3258" s="20"/>
      <c r="Q3258" s="20"/>
      <c r="R3258" s="20"/>
      <c r="S3258" s="20"/>
    </row>
    <row r="3259">
      <c r="A3259" s="10"/>
      <c r="B3259" s="11"/>
      <c r="C3259" s="10"/>
      <c r="D3259" s="13"/>
      <c r="E3259" s="14"/>
      <c r="F3259" s="14"/>
      <c r="G3259" s="14"/>
      <c r="H3259" s="10"/>
      <c r="I3259" s="10"/>
      <c r="J3259" s="10"/>
      <c r="K3259" s="46"/>
      <c r="L3259" s="10"/>
      <c r="M3259" s="44" t="s">
        <v>10178</v>
      </c>
      <c r="N3259" s="45"/>
      <c r="O3259" s="20"/>
      <c r="P3259" s="20"/>
      <c r="Q3259" s="20"/>
      <c r="R3259" s="20"/>
      <c r="S3259" s="20"/>
    </row>
    <row r="3260">
      <c r="A3260" s="23"/>
      <c r="B3260" s="21"/>
      <c r="C3260" s="23"/>
      <c r="D3260" s="24"/>
      <c r="E3260" s="14"/>
      <c r="F3260" s="14"/>
      <c r="G3260" s="14"/>
      <c r="H3260" s="23"/>
      <c r="I3260" s="23"/>
      <c r="J3260" s="23"/>
      <c r="K3260" s="30"/>
      <c r="L3260" s="23"/>
      <c r="M3260" s="50" t="s">
        <v>10178</v>
      </c>
      <c r="N3260" s="51"/>
      <c r="O3260" s="20"/>
      <c r="P3260" s="20"/>
      <c r="Q3260" s="20"/>
      <c r="R3260" s="20"/>
      <c r="S3260" s="20"/>
    </row>
    <row r="3261">
      <c r="A3261" s="10"/>
      <c r="B3261" s="11"/>
      <c r="C3261" s="10"/>
      <c r="D3261" s="13"/>
      <c r="E3261" s="14"/>
      <c r="F3261" s="14"/>
      <c r="G3261" s="14"/>
      <c r="H3261" s="10"/>
      <c r="I3261" s="10"/>
      <c r="J3261" s="10"/>
      <c r="K3261" s="46"/>
      <c r="L3261" s="10"/>
      <c r="M3261" s="44" t="s">
        <v>10178</v>
      </c>
      <c r="N3261" s="45"/>
      <c r="O3261" s="20"/>
      <c r="P3261" s="20"/>
      <c r="Q3261" s="20"/>
      <c r="R3261" s="20"/>
      <c r="S3261" s="20"/>
    </row>
    <row r="3262">
      <c r="A3262" s="23"/>
      <c r="B3262" s="21"/>
      <c r="C3262" s="23"/>
      <c r="D3262" s="24"/>
      <c r="E3262" s="14"/>
      <c r="F3262" s="14"/>
      <c r="G3262" s="14"/>
      <c r="H3262" s="23"/>
      <c r="I3262" s="23"/>
      <c r="J3262" s="23"/>
      <c r="K3262" s="30"/>
      <c r="L3262" s="23"/>
      <c r="M3262" s="50" t="s">
        <v>10178</v>
      </c>
      <c r="N3262" s="51"/>
      <c r="O3262" s="20"/>
      <c r="P3262" s="20"/>
      <c r="Q3262" s="20"/>
      <c r="R3262" s="20"/>
      <c r="S3262" s="20"/>
    </row>
    <row r="3263">
      <c r="A3263" s="10"/>
      <c r="B3263" s="11"/>
      <c r="C3263" s="10"/>
      <c r="D3263" s="13"/>
      <c r="E3263" s="14"/>
      <c r="F3263" s="14"/>
      <c r="G3263" s="14"/>
      <c r="H3263" s="10"/>
      <c r="I3263" s="10"/>
      <c r="J3263" s="10"/>
      <c r="K3263" s="46"/>
      <c r="L3263" s="10"/>
      <c r="M3263" s="44" t="s">
        <v>10178</v>
      </c>
      <c r="N3263" s="45"/>
      <c r="O3263" s="20"/>
      <c r="P3263" s="20"/>
      <c r="Q3263" s="20"/>
      <c r="R3263" s="20"/>
      <c r="S3263" s="20"/>
    </row>
    <row r="3264">
      <c r="A3264" s="23"/>
      <c r="B3264" s="21"/>
      <c r="C3264" s="23"/>
      <c r="D3264" s="24"/>
      <c r="E3264" s="14"/>
      <c r="F3264" s="14"/>
      <c r="G3264" s="14"/>
      <c r="H3264" s="23"/>
      <c r="I3264" s="23"/>
      <c r="J3264" s="23"/>
      <c r="K3264" s="30"/>
      <c r="L3264" s="23"/>
      <c r="M3264" s="50" t="s">
        <v>10178</v>
      </c>
      <c r="N3264" s="51"/>
      <c r="O3264" s="20"/>
      <c r="P3264" s="20"/>
      <c r="Q3264" s="20"/>
      <c r="R3264" s="20"/>
      <c r="S3264" s="20"/>
    </row>
    <row r="3265">
      <c r="A3265" s="10"/>
      <c r="B3265" s="11"/>
      <c r="C3265" s="10"/>
      <c r="D3265" s="13"/>
      <c r="E3265" s="14"/>
      <c r="F3265" s="14"/>
      <c r="G3265" s="14"/>
      <c r="H3265" s="10"/>
      <c r="I3265" s="10"/>
      <c r="J3265" s="10"/>
      <c r="K3265" s="46"/>
      <c r="L3265" s="10"/>
      <c r="M3265" s="44" t="s">
        <v>10178</v>
      </c>
      <c r="N3265" s="45"/>
      <c r="O3265" s="20"/>
      <c r="P3265" s="20"/>
      <c r="Q3265" s="20"/>
      <c r="R3265" s="20"/>
      <c r="S3265" s="20"/>
    </row>
    <row r="3266">
      <c r="A3266" s="23"/>
      <c r="B3266" s="21"/>
      <c r="C3266" s="23"/>
      <c r="D3266" s="24"/>
      <c r="E3266" s="14"/>
      <c r="F3266" s="14"/>
      <c r="G3266" s="14"/>
      <c r="H3266" s="23"/>
      <c r="I3266" s="23"/>
      <c r="J3266" s="23"/>
      <c r="K3266" s="30"/>
      <c r="L3266" s="23"/>
      <c r="M3266" s="50" t="s">
        <v>10178</v>
      </c>
      <c r="N3266" s="51"/>
      <c r="O3266" s="20"/>
      <c r="P3266" s="20"/>
      <c r="Q3266" s="20"/>
      <c r="R3266" s="20"/>
      <c r="S3266" s="20"/>
    </row>
    <row r="3267">
      <c r="A3267" s="10"/>
      <c r="B3267" s="11"/>
      <c r="C3267" s="10"/>
      <c r="D3267" s="13"/>
      <c r="E3267" s="14"/>
      <c r="F3267" s="14"/>
      <c r="G3267" s="14"/>
      <c r="H3267" s="10"/>
      <c r="I3267" s="10"/>
      <c r="J3267" s="10"/>
      <c r="K3267" s="46"/>
      <c r="L3267" s="10"/>
      <c r="M3267" s="44" t="s">
        <v>10178</v>
      </c>
      <c r="N3267" s="45"/>
      <c r="O3267" s="20"/>
      <c r="P3267" s="20"/>
      <c r="Q3267" s="20"/>
      <c r="R3267" s="20"/>
      <c r="S3267" s="20"/>
    </row>
    <row r="3268">
      <c r="A3268" s="23"/>
      <c r="B3268" s="21"/>
      <c r="C3268" s="23"/>
      <c r="D3268" s="24"/>
      <c r="E3268" s="14"/>
      <c r="F3268" s="14"/>
      <c r="G3268" s="14"/>
      <c r="H3268" s="23"/>
      <c r="I3268" s="23"/>
      <c r="J3268" s="23"/>
      <c r="K3268" s="30"/>
      <c r="L3268" s="23"/>
      <c r="M3268" s="50" t="s">
        <v>10178</v>
      </c>
      <c r="N3268" s="51"/>
      <c r="O3268" s="20"/>
      <c r="P3268" s="20"/>
      <c r="Q3268" s="20"/>
      <c r="R3268" s="20"/>
      <c r="S3268" s="20"/>
    </row>
    <row r="3269">
      <c r="A3269" s="10"/>
      <c r="B3269" s="11"/>
      <c r="C3269" s="10"/>
      <c r="D3269" s="13"/>
      <c r="E3269" s="14"/>
      <c r="F3269" s="14"/>
      <c r="G3269" s="14"/>
      <c r="H3269" s="10"/>
      <c r="I3269" s="10"/>
      <c r="J3269" s="10"/>
      <c r="K3269" s="46"/>
      <c r="L3269" s="10"/>
      <c r="M3269" s="44" t="s">
        <v>10178</v>
      </c>
      <c r="N3269" s="45"/>
      <c r="O3269" s="20"/>
      <c r="P3269" s="20"/>
      <c r="Q3269" s="20"/>
      <c r="R3269" s="20"/>
      <c r="S3269" s="20"/>
    </row>
    <row r="3270">
      <c r="A3270" s="23"/>
      <c r="B3270" s="21"/>
      <c r="C3270" s="23"/>
      <c r="D3270" s="24"/>
      <c r="E3270" s="14"/>
      <c r="F3270" s="14"/>
      <c r="G3270" s="14"/>
      <c r="H3270" s="23"/>
      <c r="I3270" s="23"/>
      <c r="J3270" s="23"/>
      <c r="K3270" s="30"/>
      <c r="L3270" s="23"/>
      <c r="M3270" s="50" t="s">
        <v>10178</v>
      </c>
      <c r="N3270" s="51"/>
      <c r="O3270" s="20"/>
      <c r="P3270" s="20"/>
      <c r="Q3270" s="20"/>
      <c r="R3270" s="20"/>
      <c r="S3270" s="20"/>
    </row>
    <row r="3271">
      <c r="A3271" s="10"/>
      <c r="B3271" s="11"/>
      <c r="C3271" s="10"/>
      <c r="D3271" s="13"/>
      <c r="E3271" s="14"/>
      <c r="F3271" s="14"/>
      <c r="G3271" s="14"/>
      <c r="H3271" s="10"/>
      <c r="I3271" s="10"/>
      <c r="J3271" s="10"/>
      <c r="K3271" s="46"/>
      <c r="L3271" s="10"/>
      <c r="M3271" s="44" t="s">
        <v>10178</v>
      </c>
      <c r="N3271" s="45"/>
      <c r="O3271" s="20"/>
      <c r="P3271" s="20"/>
      <c r="Q3271" s="20"/>
      <c r="R3271" s="20"/>
      <c r="S3271" s="20"/>
    </row>
    <row r="3272">
      <c r="A3272" s="23"/>
      <c r="B3272" s="21"/>
      <c r="C3272" s="23"/>
      <c r="D3272" s="24"/>
      <c r="E3272" s="14"/>
      <c r="F3272" s="14"/>
      <c r="G3272" s="14"/>
      <c r="H3272" s="23"/>
      <c r="I3272" s="23"/>
      <c r="J3272" s="23"/>
      <c r="K3272" s="30"/>
      <c r="L3272" s="23"/>
      <c r="M3272" s="50" t="s">
        <v>10178</v>
      </c>
      <c r="N3272" s="51"/>
      <c r="O3272" s="20"/>
      <c r="P3272" s="20"/>
      <c r="Q3272" s="20"/>
      <c r="R3272" s="20"/>
      <c r="S3272" s="20"/>
    </row>
    <row r="3273">
      <c r="A3273" s="10"/>
      <c r="B3273" s="11"/>
      <c r="C3273" s="10"/>
      <c r="D3273" s="13"/>
      <c r="E3273" s="14"/>
      <c r="F3273" s="14"/>
      <c r="G3273" s="14"/>
      <c r="H3273" s="10"/>
      <c r="I3273" s="10"/>
      <c r="J3273" s="10"/>
      <c r="K3273" s="46"/>
      <c r="L3273" s="10"/>
      <c r="M3273" s="44" t="s">
        <v>10178</v>
      </c>
      <c r="N3273" s="45"/>
      <c r="O3273" s="20"/>
      <c r="P3273" s="20"/>
      <c r="Q3273" s="20"/>
      <c r="R3273" s="20"/>
      <c r="S3273" s="20"/>
    </row>
    <row r="3274">
      <c r="A3274" s="23"/>
      <c r="B3274" s="21"/>
      <c r="C3274" s="23"/>
      <c r="D3274" s="24"/>
      <c r="E3274" s="14"/>
      <c r="F3274" s="14"/>
      <c r="G3274" s="14"/>
      <c r="H3274" s="23"/>
      <c r="I3274" s="23"/>
      <c r="J3274" s="23"/>
      <c r="K3274" s="30"/>
      <c r="L3274" s="23"/>
      <c r="M3274" s="50" t="s">
        <v>10178</v>
      </c>
      <c r="N3274" s="51"/>
      <c r="O3274" s="20"/>
      <c r="P3274" s="20"/>
      <c r="Q3274" s="20"/>
      <c r="R3274" s="20"/>
      <c r="S3274" s="20"/>
    </row>
    <row r="3275">
      <c r="A3275" s="10"/>
      <c r="B3275" s="11"/>
      <c r="C3275" s="10"/>
      <c r="D3275" s="13"/>
      <c r="E3275" s="14"/>
      <c r="F3275" s="14"/>
      <c r="G3275" s="14"/>
      <c r="H3275" s="10"/>
      <c r="I3275" s="10"/>
      <c r="J3275" s="10"/>
      <c r="K3275" s="46"/>
      <c r="L3275" s="10"/>
      <c r="M3275" s="44" t="s">
        <v>10178</v>
      </c>
      <c r="N3275" s="45"/>
      <c r="O3275" s="20"/>
      <c r="P3275" s="20"/>
      <c r="Q3275" s="20"/>
      <c r="R3275" s="20"/>
      <c r="S3275" s="20"/>
    </row>
    <row r="3276">
      <c r="A3276" s="23"/>
      <c r="B3276" s="21"/>
      <c r="C3276" s="23"/>
      <c r="D3276" s="24"/>
      <c r="E3276" s="14"/>
      <c r="F3276" s="14"/>
      <c r="G3276" s="14"/>
      <c r="H3276" s="23"/>
      <c r="I3276" s="23"/>
      <c r="J3276" s="23"/>
      <c r="K3276" s="30"/>
      <c r="L3276" s="23"/>
      <c r="M3276" s="50" t="s">
        <v>10178</v>
      </c>
      <c r="N3276" s="51"/>
      <c r="O3276" s="20"/>
      <c r="P3276" s="20"/>
      <c r="Q3276" s="20"/>
      <c r="R3276" s="20"/>
      <c r="S3276" s="20"/>
    </row>
    <row r="3277">
      <c r="A3277" s="10"/>
      <c r="B3277" s="11"/>
      <c r="C3277" s="10"/>
      <c r="D3277" s="13"/>
      <c r="E3277" s="14"/>
      <c r="F3277" s="14"/>
      <c r="G3277" s="14"/>
      <c r="H3277" s="10"/>
      <c r="I3277" s="10"/>
      <c r="J3277" s="10"/>
      <c r="K3277" s="46"/>
      <c r="L3277" s="10"/>
      <c r="M3277" s="44" t="s">
        <v>10178</v>
      </c>
      <c r="N3277" s="45"/>
      <c r="O3277" s="20"/>
      <c r="P3277" s="20"/>
      <c r="Q3277" s="20"/>
      <c r="R3277" s="20"/>
      <c r="S3277" s="20"/>
    </row>
    <row r="3278">
      <c r="A3278" s="23"/>
      <c r="B3278" s="21"/>
      <c r="C3278" s="23"/>
      <c r="D3278" s="24"/>
      <c r="E3278" s="14"/>
      <c r="F3278" s="14"/>
      <c r="G3278" s="14"/>
      <c r="H3278" s="23"/>
      <c r="I3278" s="23"/>
      <c r="J3278" s="23"/>
      <c r="K3278" s="30"/>
      <c r="L3278" s="23"/>
      <c r="M3278" s="50" t="s">
        <v>10178</v>
      </c>
      <c r="N3278" s="51"/>
      <c r="O3278" s="20"/>
      <c r="P3278" s="20"/>
      <c r="Q3278" s="20"/>
      <c r="R3278" s="20"/>
      <c r="S3278" s="20"/>
    </row>
    <row r="3279">
      <c r="A3279" s="10"/>
      <c r="B3279" s="11"/>
      <c r="C3279" s="10"/>
      <c r="D3279" s="13"/>
      <c r="E3279" s="14"/>
      <c r="F3279" s="14"/>
      <c r="G3279" s="14"/>
      <c r="H3279" s="10"/>
      <c r="I3279" s="10"/>
      <c r="J3279" s="10"/>
      <c r="K3279" s="46"/>
      <c r="L3279" s="10"/>
      <c r="M3279" s="44" t="s">
        <v>10178</v>
      </c>
      <c r="N3279" s="45"/>
      <c r="O3279" s="20"/>
      <c r="P3279" s="20"/>
      <c r="Q3279" s="20"/>
      <c r="R3279" s="20"/>
      <c r="S3279" s="20"/>
    </row>
    <row r="3280">
      <c r="A3280" s="23"/>
      <c r="B3280" s="21"/>
      <c r="C3280" s="23"/>
      <c r="D3280" s="24"/>
      <c r="E3280" s="14"/>
      <c r="F3280" s="14"/>
      <c r="G3280" s="14"/>
      <c r="H3280" s="23"/>
      <c r="I3280" s="23"/>
      <c r="J3280" s="23"/>
      <c r="K3280" s="30"/>
      <c r="L3280" s="23"/>
      <c r="M3280" s="50" t="s">
        <v>10178</v>
      </c>
      <c r="N3280" s="51"/>
      <c r="O3280" s="20"/>
      <c r="P3280" s="20"/>
      <c r="Q3280" s="20"/>
      <c r="R3280" s="20"/>
      <c r="S3280" s="20"/>
    </row>
    <row r="3281">
      <c r="A3281" s="10"/>
      <c r="B3281" s="11"/>
      <c r="C3281" s="10"/>
      <c r="D3281" s="13"/>
      <c r="E3281" s="14"/>
      <c r="F3281" s="14"/>
      <c r="G3281" s="14"/>
      <c r="H3281" s="10"/>
      <c r="I3281" s="10"/>
      <c r="J3281" s="10"/>
      <c r="K3281" s="46"/>
      <c r="L3281" s="10"/>
      <c r="M3281" s="44" t="s">
        <v>10178</v>
      </c>
      <c r="N3281" s="45"/>
      <c r="O3281" s="20"/>
      <c r="P3281" s="20"/>
      <c r="Q3281" s="20"/>
      <c r="R3281" s="20"/>
      <c r="S3281" s="20"/>
    </row>
    <row r="3282">
      <c r="A3282" s="23"/>
      <c r="B3282" s="21"/>
      <c r="C3282" s="23"/>
      <c r="D3282" s="24"/>
      <c r="E3282" s="14"/>
      <c r="F3282" s="14"/>
      <c r="G3282" s="14"/>
      <c r="H3282" s="23"/>
      <c r="I3282" s="23"/>
      <c r="J3282" s="23"/>
      <c r="K3282" s="30"/>
      <c r="L3282" s="23"/>
      <c r="M3282" s="50" t="s">
        <v>10178</v>
      </c>
      <c r="N3282" s="51"/>
      <c r="O3282" s="20"/>
      <c r="P3282" s="20"/>
      <c r="Q3282" s="20"/>
      <c r="R3282" s="20"/>
      <c r="S3282" s="20"/>
    </row>
    <row r="3283">
      <c r="A3283" s="10"/>
      <c r="B3283" s="11"/>
      <c r="C3283" s="10"/>
      <c r="D3283" s="13"/>
      <c r="E3283" s="14"/>
      <c r="F3283" s="14"/>
      <c r="G3283" s="14"/>
      <c r="H3283" s="10"/>
      <c r="I3283" s="10"/>
      <c r="J3283" s="10"/>
      <c r="K3283" s="46"/>
      <c r="L3283" s="10"/>
      <c r="M3283" s="44" t="s">
        <v>10178</v>
      </c>
      <c r="N3283" s="45"/>
      <c r="O3283" s="20"/>
      <c r="P3283" s="20"/>
      <c r="Q3283" s="20"/>
      <c r="R3283" s="20"/>
      <c r="S3283" s="20"/>
    </row>
    <row r="3284">
      <c r="A3284" s="23"/>
      <c r="B3284" s="21"/>
      <c r="C3284" s="23"/>
      <c r="D3284" s="24"/>
      <c r="E3284" s="14"/>
      <c r="F3284" s="14"/>
      <c r="G3284" s="14"/>
      <c r="H3284" s="23"/>
      <c r="I3284" s="23"/>
      <c r="J3284" s="23"/>
      <c r="K3284" s="30"/>
      <c r="L3284" s="23"/>
      <c r="M3284" s="50" t="s">
        <v>10178</v>
      </c>
      <c r="N3284" s="51"/>
      <c r="O3284" s="20"/>
      <c r="P3284" s="20"/>
      <c r="Q3284" s="20"/>
      <c r="R3284" s="20"/>
      <c r="S3284" s="20"/>
    </row>
    <row r="3285">
      <c r="A3285" s="10"/>
      <c r="B3285" s="11"/>
      <c r="C3285" s="10"/>
      <c r="D3285" s="13"/>
      <c r="E3285" s="14"/>
      <c r="F3285" s="14"/>
      <c r="G3285" s="14"/>
      <c r="H3285" s="10"/>
      <c r="I3285" s="10"/>
      <c r="J3285" s="10"/>
      <c r="K3285" s="46"/>
      <c r="L3285" s="10"/>
      <c r="M3285" s="44" t="s">
        <v>10178</v>
      </c>
      <c r="N3285" s="45"/>
      <c r="O3285" s="20"/>
      <c r="P3285" s="20"/>
      <c r="Q3285" s="20"/>
      <c r="R3285" s="20"/>
      <c r="S3285" s="20"/>
    </row>
    <row r="3286">
      <c r="A3286" s="23"/>
      <c r="B3286" s="21"/>
      <c r="C3286" s="23"/>
      <c r="D3286" s="24"/>
      <c r="E3286" s="14"/>
      <c r="F3286" s="14"/>
      <c r="G3286" s="14"/>
      <c r="H3286" s="23"/>
      <c r="I3286" s="23"/>
      <c r="J3286" s="23"/>
      <c r="K3286" s="30"/>
      <c r="L3286" s="23"/>
      <c r="M3286" s="50" t="s">
        <v>10178</v>
      </c>
      <c r="N3286" s="51"/>
      <c r="O3286" s="20"/>
      <c r="P3286" s="20"/>
      <c r="Q3286" s="20"/>
      <c r="R3286" s="20"/>
      <c r="S3286" s="20"/>
    </row>
    <row r="3287">
      <c r="A3287" s="10"/>
      <c r="B3287" s="11"/>
      <c r="C3287" s="10"/>
      <c r="D3287" s="13"/>
      <c r="E3287" s="14"/>
      <c r="F3287" s="14"/>
      <c r="G3287" s="14"/>
      <c r="H3287" s="10"/>
      <c r="I3287" s="10"/>
      <c r="J3287" s="10"/>
      <c r="K3287" s="46"/>
      <c r="L3287" s="10"/>
      <c r="M3287" s="44" t="s">
        <v>10178</v>
      </c>
      <c r="N3287" s="45"/>
      <c r="O3287" s="20"/>
      <c r="P3287" s="20"/>
      <c r="Q3287" s="20"/>
      <c r="R3287" s="20"/>
      <c r="S3287" s="20"/>
    </row>
    <row r="3288">
      <c r="A3288" s="23"/>
      <c r="B3288" s="21"/>
      <c r="C3288" s="23"/>
      <c r="D3288" s="24"/>
      <c r="E3288" s="14"/>
      <c r="F3288" s="14"/>
      <c r="G3288" s="14"/>
      <c r="H3288" s="23"/>
      <c r="I3288" s="23"/>
      <c r="J3288" s="23"/>
      <c r="K3288" s="30"/>
      <c r="L3288" s="23"/>
      <c r="M3288" s="50" t="s">
        <v>10178</v>
      </c>
      <c r="N3288" s="51"/>
      <c r="O3288" s="20"/>
      <c r="P3288" s="20"/>
      <c r="Q3288" s="20"/>
      <c r="R3288" s="20"/>
      <c r="S3288" s="20"/>
    </row>
    <row r="3289">
      <c r="A3289" s="10"/>
      <c r="B3289" s="11"/>
      <c r="C3289" s="10"/>
      <c r="D3289" s="13"/>
      <c r="E3289" s="14"/>
      <c r="F3289" s="14"/>
      <c r="G3289" s="14"/>
      <c r="H3289" s="10"/>
      <c r="I3289" s="10"/>
      <c r="J3289" s="10"/>
      <c r="K3289" s="46"/>
      <c r="L3289" s="10"/>
      <c r="M3289" s="44" t="s">
        <v>10178</v>
      </c>
      <c r="N3289" s="45"/>
      <c r="O3289" s="20"/>
      <c r="P3289" s="20"/>
      <c r="Q3289" s="20"/>
      <c r="R3289" s="20"/>
      <c r="S3289" s="20"/>
    </row>
    <row r="3290">
      <c r="A3290" s="23"/>
      <c r="B3290" s="21"/>
      <c r="C3290" s="23"/>
      <c r="D3290" s="24"/>
      <c r="E3290" s="14"/>
      <c r="F3290" s="14"/>
      <c r="G3290" s="14"/>
      <c r="H3290" s="23"/>
      <c r="I3290" s="23"/>
      <c r="J3290" s="23"/>
      <c r="K3290" s="30"/>
      <c r="L3290" s="23"/>
      <c r="M3290" s="50" t="s">
        <v>10178</v>
      </c>
      <c r="N3290" s="51"/>
      <c r="O3290" s="20"/>
      <c r="P3290" s="20"/>
      <c r="Q3290" s="20"/>
      <c r="R3290" s="20"/>
      <c r="S3290" s="20"/>
    </row>
    <row r="3291">
      <c r="A3291" s="10"/>
      <c r="B3291" s="11"/>
      <c r="C3291" s="10"/>
      <c r="D3291" s="13"/>
      <c r="E3291" s="14"/>
      <c r="F3291" s="14"/>
      <c r="G3291" s="14"/>
      <c r="H3291" s="10"/>
      <c r="I3291" s="10"/>
      <c r="J3291" s="10"/>
      <c r="K3291" s="46"/>
      <c r="L3291" s="10"/>
      <c r="M3291" s="44" t="s">
        <v>10178</v>
      </c>
      <c r="N3291" s="45"/>
      <c r="O3291" s="20"/>
      <c r="P3291" s="20"/>
      <c r="Q3291" s="20"/>
      <c r="R3291" s="20"/>
      <c r="S3291" s="20"/>
    </row>
    <row r="3292">
      <c r="A3292" s="23"/>
      <c r="B3292" s="21"/>
      <c r="C3292" s="23"/>
      <c r="D3292" s="24"/>
      <c r="E3292" s="14"/>
      <c r="F3292" s="14"/>
      <c r="G3292" s="14"/>
      <c r="H3292" s="23"/>
      <c r="I3292" s="23"/>
      <c r="J3292" s="23"/>
      <c r="K3292" s="30"/>
      <c r="L3292" s="23"/>
      <c r="M3292" s="50" t="s">
        <v>10178</v>
      </c>
      <c r="N3292" s="51"/>
      <c r="O3292" s="20"/>
      <c r="P3292" s="20"/>
      <c r="Q3292" s="20"/>
      <c r="R3292" s="20"/>
      <c r="S3292" s="20"/>
    </row>
    <row r="3293">
      <c r="A3293" s="10"/>
      <c r="B3293" s="11"/>
      <c r="C3293" s="10"/>
      <c r="D3293" s="13"/>
      <c r="E3293" s="14"/>
      <c r="F3293" s="14"/>
      <c r="G3293" s="14"/>
      <c r="H3293" s="10"/>
      <c r="I3293" s="10"/>
      <c r="J3293" s="10"/>
      <c r="K3293" s="46"/>
      <c r="L3293" s="10"/>
      <c r="M3293" s="44" t="s">
        <v>10178</v>
      </c>
      <c r="N3293" s="45"/>
      <c r="O3293" s="20"/>
      <c r="P3293" s="20"/>
      <c r="Q3293" s="20"/>
      <c r="R3293" s="20"/>
      <c r="S3293" s="20"/>
    </row>
    <row r="3294">
      <c r="A3294" s="23"/>
      <c r="B3294" s="21"/>
      <c r="C3294" s="23"/>
      <c r="D3294" s="24"/>
      <c r="E3294" s="14"/>
      <c r="F3294" s="14"/>
      <c r="G3294" s="14"/>
      <c r="H3294" s="23"/>
      <c r="I3294" s="23"/>
      <c r="J3294" s="23"/>
      <c r="K3294" s="30"/>
      <c r="L3294" s="23"/>
      <c r="M3294" s="50" t="s">
        <v>10178</v>
      </c>
      <c r="N3294" s="51"/>
      <c r="O3294" s="20"/>
      <c r="P3294" s="20"/>
      <c r="Q3294" s="20"/>
      <c r="R3294" s="20"/>
      <c r="S3294" s="20"/>
    </row>
    <row r="3295">
      <c r="A3295" s="10"/>
      <c r="B3295" s="11"/>
      <c r="C3295" s="10"/>
      <c r="D3295" s="13"/>
      <c r="E3295" s="14"/>
      <c r="F3295" s="14"/>
      <c r="G3295" s="14"/>
      <c r="H3295" s="10"/>
      <c r="I3295" s="10"/>
      <c r="J3295" s="10"/>
      <c r="K3295" s="46"/>
      <c r="L3295" s="10"/>
      <c r="M3295" s="44" t="s">
        <v>10178</v>
      </c>
      <c r="N3295" s="45"/>
      <c r="O3295" s="20"/>
      <c r="P3295" s="20"/>
      <c r="Q3295" s="20"/>
      <c r="R3295" s="20"/>
      <c r="S3295" s="20"/>
    </row>
    <row r="3296">
      <c r="A3296" s="23"/>
      <c r="B3296" s="21"/>
      <c r="C3296" s="23"/>
      <c r="D3296" s="24"/>
      <c r="E3296" s="14"/>
      <c r="F3296" s="14"/>
      <c r="G3296" s="14"/>
      <c r="H3296" s="23"/>
      <c r="I3296" s="23"/>
      <c r="J3296" s="23"/>
      <c r="K3296" s="30"/>
      <c r="L3296" s="23"/>
      <c r="M3296" s="50" t="s">
        <v>10178</v>
      </c>
      <c r="N3296" s="51"/>
      <c r="O3296" s="20"/>
      <c r="P3296" s="20"/>
      <c r="Q3296" s="20"/>
      <c r="R3296" s="20"/>
      <c r="S3296" s="20"/>
    </row>
    <row r="3297">
      <c r="A3297" s="10"/>
      <c r="B3297" s="11"/>
      <c r="C3297" s="10"/>
      <c r="D3297" s="13"/>
      <c r="E3297" s="14"/>
      <c r="F3297" s="14"/>
      <c r="G3297" s="14"/>
      <c r="H3297" s="10"/>
      <c r="I3297" s="10"/>
      <c r="J3297" s="10"/>
      <c r="K3297" s="46"/>
      <c r="L3297" s="10"/>
      <c r="M3297" s="44" t="s">
        <v>10178</v>
      </c>
      <c r="N3297" s="45"/>
      <c r="O3297" s="20"/>
      <c r="P3297" s="20"/>
      <c r="Q3297" s="20"/>
      <c r="R3297" s="20"/>
      <c r="S3297" s="20"/>
    </row>
    <row r="3298">
      <c r="A3298" s="23"/>
      <c r="B3298" s="21"/>
      <c r="C3298" s="23"/>
      <c r="D3298" s="24"/>
      <c r="E3298" s="14"/>
      <c r="F3298" s="14"/>
      <c r="G3298" s="14"/>
      <c r="H3298" s="23"/>
      <c r="I3298" s="23"/>
      <c r="J3298" s="23"/>
      <c r="K3298" s="30"/>
      <c r="L3298" s="23"/>
      <c r="M3298" s="50" t="s">
        <v>10178</v>
      </c>
      <c r="N3298" s="51"/>
      <c r="O3298" s="20"/>
      <c r="P3298" s="20"/>
      <c r="Q3298" s="20"/>
      <c r="R3298" s="20"/>
      <c r="S3298" s="20"/>
    </row>
    <row r="3299">
      <c r="A3299" s="10"/>
      <c r="B3299" s="11"/>
      <c r="C3299" s="10"/>
      <c r="D3299" s="13"/>
      <c r="E3299" s="14"/>
      <c r="F3299" s="14"/>
      <c r="G3299" s="14"/>
      <c r="H3299" s="10"/>
      <c r="I3299" s="10"/>
      <c r="J3299" s="10"/>
      <c r="K3299" s="46"/>
      <c r="L3299" s="10"/>
      <c r="M3299" s="44" t="s">
        <v>10178</v>
      </c>
      <c r="N3299" s="45"/>
      <c r="O3299" s="20"/>
      <c r="P3299" s="20"/>
      <c r="Q3299" s="20"/>
      <c r="R3299" s="20"/>
      <c r="S3299" s="20"/>
    </row>
    <row r="3300">
      <c r="A3300" s="23"/>
      <c r="B3300" s="21"/>
      <c r="C3300" s="23"/>
      <c r="D3300" s="24"/>
      <c r="E3300" s="14"/>
      <c r="F3300" s="14"/>
      <c r="G3300" s="14"/>
      <c r="H3300" s="23"/>
      <c r="I3300" s="23"/>
      <c r="J3300" s="23"/>
      <c r="K3300" s="30"/>
      <c r="L3300" s="23"/>
      <c r="M3300" s="50" t="s">
        <v>10178</v>
      </c>
      <c r="N3300" s="51"/>
      <c r="O3300" s="20"/>
      <c r="P3300" s="20"/>
      <c r="Q3300" s="20"/>
      <c r="R3300" s="20"/>
      <c r="S3300" s="20"/>
    </row>
    <row r="3301">
      <c r="A3301" s="10"/>
      <c r="B3301" s="11"/>
      <c r="C3301" s="10"/>
      <c r="D3301" s="13"/>
      <c r="E3301" s="14"/>
      <c r="F3301" s="14"/>
      <c r="G3301" s="14"/>
      <c r="H3301" s="10"/>
      <c r="I3301" s="10"/>
      <c r="J3301" s="10"/>
      <c r="K3301" s="46"/>
      <c r="L3301" s="10"/>
      <c r="M3301" s="44" t="s">
        <v>10178</v>
      </c>
      <c r="N3301" s="45"/>
      <c r="O3301" s="20"/>
      <c r="P3301" s="20"/>
      <c r="Q3301" s="20"/>
      <c r="R3301" s="20"/>
      <c r="S3301" s="20"/>
    </row>
    <row r="3302">
      <c r="A3302" s="23"/>
      <c r="B3302" s="21"/>
      <c r="C3302" s="23"/>
      <c r="D3302" s="24"/>
      <c r="E3302" s="14"/>
      <c r="F3302" s="14"/>
      <c r="G3302" s="14"/>
      <c r="H3302" s="23"/>
      <c r="I3302" s="23"/>
      <c r="J3302" s="23"/>
      <c r="K3302" s="30"/>
      <c r="L3302" s="23"/>
      <c r="M3302" s="50" t="s">
        <v>10178</v>
      </c>
      <c r="N3302" s="51"/>
      <c r="O3302" s="20"/>
      <c r="P3302" s="20"/>
      <c r="Q3302" s="20"/>
      <c r="R3302" s="20"/>
      <c r="S3302" s="20"/>
    </row>
    <row r="3303">
      <c r="A3303" s="10"/>
      <c r="B3303" s="11"/>
      <c r="C3303" s="10"/>
      <c r="D3303" s="13"/>
      <c r="E3303" s="14"/>
      <c r="F3303" s="14"/>
      <c r="G3303" s="14"/>
      <c r="H3303" s="10"/>
      <c r="I3303" s="10"/>
      <c r="J3303" s="10"/>
      <c r="K3303" s="46"/>
      <c r="L3303" s="10"/>
      <c r="M3303" s="44" t="s">
        <v>10178</v>
      </c>
      <c r="N3303" s="45"/>
      <c r="O3303" s="20"/>
      <c r="P3303" s="20"/>
      <c r="Q3303" s="20"/>
      <c r="R3303" s="20"/>
      <c r="S3303" s="20"/>
    </row>
    <row r="3304">
      <c r="A3304" s="23"/>
      <c r="B3304" s="21"/>
      <c r="C3304" s="23"/>
      <c r="D3304" s="24"/>
      <c r="E3304" s="14"/>
      <c r="F3304" s="14"/>
      <c r="G3304" s="14"/>
      <c r="H3304" s="23"/>
      <c r="I3304" s="23"/>
      <c r="J3304" s="23"/>
      <c r="K3304" s="30"/>
      <c r="L3304" s="23"/>
      <c r="M3304" s="50" t="s">
        <v>10178</v>
      </c>
      <c r="N3304" s="51"/>
      <c r="O3304" s="20"/>
      <c r="P3304" s="20"/>
      <c r="Q3304" s="20"/>
      <c r="R3304" s="20"/>
      <c r="S3304" s="20"/>
    </row>
    <row r="3305">
      <c r="A3305" s="10"/>
      <c r="B3305" s="11"/>
      <c r="C3305" s="10"/>
      <c r="D3305" s="13"/>
      <c r="E3305" s="14"/>
      <c r="F3305" s="14"/>
      <c r="G3305" s="14"/>
      <c r="H3305" s="10"/>
      <c r="I3305" s="10"/>
      <c r="J3305" s="10"/>
      <c r="K3305" s="46"/>
      <c r="L3305" s="10"/>
      <c r="M3305" s="44" t="s">
        <v>10178</v>
      </c>
      <c r="N3305" s="45"/>
      <c r="O3305" s="20"/>
      <c r="P3305" s="20"/>
      <c r="Q3305" s="20"/>
      <c r="R3305" s="20"/>
      <c r="S3305" s="20"/>
    </row>
    <row r="3306">
      <c r="A3306" s="23"/>
      <c r="B3306" s="21"/>
      <c r="C3306" s="23"/>
      <c r="D3306" s="24"/>
      <c r="E3306" s="14"/>
      <c r="F3306" s="14"/>
      <c r="G3306" s="14"/>
      <c r="H3306" s="23"/>
      <c r="I3306" s="23"/>
      <c r="J3306" s="23"/>
      <c r="K3306" s="30"/>
      <c r="L3306" s="23"/>
      <c r="M3306" s="50" t="s">
        <v>10178</v>
      </c>
      <c r="N3306" s="51"/>
      <c r="O3306" s="20"/>
      <c r="P3306" s="20"/>
      <c r="Q3306" s="20"/>
      <c r="R3306" s="20"/>
      <c r="S3306" s="20"/>
    </row>
    <row r="3307">
      <c r="A3307" s="10"/>
      <c r="B3307" s="11"/>
      <c r="C3307" s="10"/>
      <c r="D3307" s="13"/>
      <c r="E3307" s="14"/>
      <c r="F3307" s="14"/>
      <c r="G3307" s="14"/>
      <c r="H3307" s="10"/>
      <c r="I3307" s="10"/>
      <c r="J3307" s="10"/>
      <c r="K3307" s="46"/>
      <c r="L3307" s="10"/>
      <c r="M3307" s="44" t="s">
        <v>10178</v>
      </c>
      <c r="N3307" s="45"/>
      <c r="O3307" s="20"/>
      <c r="P3307" s="20"/>
      <c r="Q3307" s="20"/>
      <c r="R3307" s="20"/>
      <c r="S3307" s="20"/>
    </row>
    <row r="3308">
      <c r="A3308" s="23"/>
      <c r="B3308" s="21"/>
      <c r="C3308" s="23"/>
      <c r="D3308" s="24"/>
      <c r="E3308" s="14"/>
      <c r="F3308" s="14"/>
      <c r="G3308" s="14"/>
      <c r="H3308" s="23"/>
      <c r="I3308" s="23"/>
      <c r="J3308" s="23"/>
      <c r="K3308" s="30"/>
      <c r="L3308" s="23"/>
      <c r="M3308" s="50" t="s">
        <v>10178</v>
      </c>
      <c r="N3308" s="51"/>
      <c r="O3308" s="20"/>
      <c r="P3308" s="20"/>
      <c r="Q3308" s="20"/>
      <c r="R3308" s="20"/>
      <c r="S3308" s="20"/>
    </row>
    <row r="3309">
      <c r="A3309" s="10"/>
      <c r="B3309" s="11"/>
      <c r="C3309" s="10"/>
      <c r="D3309" s="13"/>
      <c r="E3309" s="14"/>
      <c r="F3309" s="14"/>
      <c r="G3309" s="14"/>
      <c r="H3309" s="10"/>
      <c r="I3309" s="10"/>
      <c r="J3309" s="10"/>
      <c r="K3309" s="46"/>
      <c r="L3309" s="10"/>
      <c r="M3309" s="44" t="s">
        <v>10178</v>
      </c>
      <c r="N3309" s="45"/>
      <c r="O3309" s="20"/>
      <c r="P3309" s="20"/>
      <c r="Q3309" s="20"/>
      <c r="R3309" s="20"/>
      <c r="S3309" s="20"/>
    </row>
    <row r="3310">
      <c r="A3310" s="23"/>
      <c r="B3310" s="21"/>
      <c r="C3310" s="23"/>
      <c r="D3310" s="24"/>
      <c r="E3310" s="14"/>
      <c r="F3310" s="14"/>
      <c r="G3310" s="14"/>
      <c r="H3310" s="23"/>
      <c r="I3310" s="23"/>
      <c r="J3310" s="23"/>
      <c r="K3310" s="30"/>
      <c r="L3310" s="23"/>
      <c r="M3310" s="50" t="s">
        <v>10178</v>
      </c>
      <c r="N3310" s="51"/>
      <c r="O3310" s="20"/>
      <c r="P3310" s="20"/>
      <c r="Q3310" s="20"/>
      <c r="R3310" s="20"/>
      <c r="S3310" s="20"/>
    </row>
    <row r="3311">
      <c r="A3311" s="10"/>
      <c r="B3311" s="11"/>
      <c r="C3311" s="10"/>
      <c r="D3311" s="13"/>
      <c r="E3311" s="14"/>
      <c r="F3311" s="14"/>
      <c r="G3311" s="14"/>
      <c r="H3311" s="10"/>
      <c r="I3311" s="10"/>
      <c r="J3311" s="10"/>
      <c r="K3311" s="46"/>
      <c r="L3311" s="10"/>
      <c r="M3311" s="44" t="s">
        <v>10178</v>
      </c>
      <c r="N3311" s="45"/>
      <c r="O3311" s="20"/>
      <c r="P3311" s="20"/>
      <c r="Q3311" s="20"/>
      <c r="R3311" s="20"/>
      <c r="S3311" s="20"/>
    </row>
    <row r="3312">
      <c r="A3312" s="23"/>
      <c r="B3312" s="21"/>
      <c r="C3312" s="23"/>
      <c r="D3312" s="24"/>
      <c r="E3312" s="14"/>
      <c r="F3312" s="14"/>
      <c r="G3312" s="14"/>
      <c r="H3312" s="23"/>
      <c r="I3312" s="23"/>
      <c r="J3312" s="23"/>
      <c r="K3312" s="30"/>
      <c r="L3312" s="23"/>
      <c r="M3312" s="50" t="s">
        <v>10178</v>
      </c>
      <c r="N3312" s="51"/>
      <c r="O3312" s="20"/>
      <c r="P3312" s="20"/>
      <c r="Q3312" s="20"/>
      <c r="R3312" s="20"/>
      <c r="S3312" s="20"/>
    </row>
    <row r="3313">
      <c r="A3313" s="10"/>
      <c r="B3313" s="11"/>
      <c r="C3313" s="10"/>
      <c r="D3313" s="13"/>
      <c r="E3313" s="14"/>
      <c r="F3313" s="14"/>
      <c r="G3313" s="14"/>
      <c r="H3313" s="10"/>
      <c r="I3313" s="10"/>
      <c r="J3313" s="10"/>
      <c r="K3313" s="46"/>
      <c r="L3313" s="10"/>
      <c r="M3313" s="44" t="s">
        <v>10178</v>
      </c>
      <c r="N3313" s="45"/>
      <c r="O3313" s="20"/>
      <c r="P3313" s="20"/>
      <c r="Q3313" s="20"/>
      <c r="R3313" s="20"/>
      <c r="S3313" s="20"/>
    </row>
    <row r="3314">
      <c r="A3314" s="23"/>
      <c r="B3314" s="21"/>
      <c r="C3314" s="23"/>
      <c r="D3314" s="24"/>
      <c r="E3314" s="14"/>
      <c r="F3314" s="14"/>
      <c r="G3314" s="14"/>
      <c r="H3314" s="23"/>
      <c r="I3314" s="23"/>
      <c r="J3314" s="23"/>
      <c r="K3314" s="30"/>
      <c r="L3314" s="23"/>
      <c r="M3314" s="50" t="s">
        <v>10178</v>
      </c>
      <c r="N3314" s="51"/>
      <c r="O3314" s="20"/>
      <c r="P3314" s="20"/>
      <c r="Q3314" s="20"/>
      <c r="R3314" s="20"/>
      <c r="S3314" s="20"/>
    </row>
    <row r="3315">
      <c r="A3315" s="10"/>
      <c r="B3315" s="11"/>
      <c r="C3315" s="10"/>
      <c r="D3315" s="13"/>
      <c r="E3315" s="14"/>
      <c r="F3315" s="14"/>
      <c r="G3315" s="14"/>
      <c r="H3315" s="10"/>
      <c r="I3315" s="10"/>
      <c r="J3315" s="10"/>
      <c r="K3315" s="46"/>
      <c r="L3315" s="10"/>
      <c r="M3315" s="44" t="s">
        <v>10178</v>
      </c>
      <c r="N3315" s="45"/>
      <c r="O3315" s="20"/>
      <c r="P3315" s="20"/>
      <c r="Q3315" s="20"/>
      <c r="R3315" s="20"/>
      <c r="S3315" s="20"/>
    </row>
    <row r="3316">
      <c r="A3316" s="23"/>
      <c r="B3316" s="21"/>
      <c r="C3316" s="23"/>
      <c r="D3316" s="24"/>
      <c r="E3316" s="14"/>
      <c r="F3316" s="14"/>
      <c r="G3316" s="14"/>
      <c r="H3316" s="23"/>
      <c r="I3316" s="23"/>
      <c r="J3316" s="23"/>
      <c r="K3316" s="30"/>
      <c r="L3316" s="23"/>
      <c r="M3316" s="50" t="s">
        <v>10178</v>
      </c>
      <c r="N3316" s="51"/>
      <c r="O3316" s="20"/>
      <c r="P3316" s="20"/>
      <c r="Q3316" s="20"/>
      <c r="R3316" s="20"/>
      <c r="S3316" s="20"/>
    </row>
    <row r="3317">
      <c r="A3317" s="10"/>
      <c r="B3317" s="11"/>
      <c r="C3317" s="10"/>
      <c r="D3317" s="13"/>
      <c r="E3317" s="14"/>
      <c r="F3317" s="14"/>
      <c r="G3317" s="14"/>
      <c r="H3317" s="10"/>
      <c r="I3317" s="10"/>
      <c r="J3317" s="10"/>
      <c r="K3317" s="46"/>
      <c r="L3317" s="10"/>
      <c r="M3317" s="44" t="s">
        <v>10178</v>
      </c>
      <c r="N3317" s="45"/>
      <c r="O3317" s="20"/>
      <c r="P3317" s="20"/>
      <c r="Q3317" s="20"/>
      <c r="R3317" s="20"/>
      <c r="S3317" s="20"/>
    </row>
    <row r="3318">
      <c r="A3318" s="23"/>
      <c r="B3318" s="21"/>
      <c r="C3318" s="23"/>
      <c r="D3318" s="24"/>
      <c r="E3318" s="14"/>
      <c r="F3318" s="14"/>
      <c r="G3318" s="14"/>
      <c r="H3318" s="23"/>
      <c r="I3318" s="23"/>
      <c r="J3318" s="23"/>
      <c r="K3318" s="30"/>
      <c r="L3318" s="23"/>
      <c r="M3318" s="50" t="s">
        <v>10178</v>
      </c>
      <c r="N3318" s="51"/>
      <c r="O3318" s="20"/>
      <c r="P3318" s="20"/>
      <c r="Q3318" s="20"/>
      <c r="R3318" s="20"/>
      <c r="S3318" s="20"/>
    </row>
    <row r="3319">
      <c r="A3319" s="10"/>
      <c r="B3319" s="11"/>
      <c r="C3319" s="10"/>
      <c r="D3319" s="13"/>
      <c r="E3319" s="14"/>
      <c r="F3319" s="14"/>
      <c r="G3319" s="14"/>
      <c r="H3319" s="10"/>
      <c r="I3319" s="10"/>
      <c r="J3319" s="10"/>
      <c r="K3319" s="46"/>
      <c r="L3319" s="10"/>
      <c r="M3319" s="44" t="s">
        <v>10178</v>
      </c>
      <c r="N3319" s="45"/>
      <c r="O3319" s="20"/>
      <c r="P3319" s="20"/>
      <c r="Q3319" s="20"/>
      <c r="R3319" s="20"/>
      <c r="S3319" s="20"/>
    </row>
    <row r="3320">
      <c r="A3320" s="23"/>
      <c r="B3320" s="21"/>
      <c r="C3320" s="23"/>
      <c r="D3320" s="24"/>
      <c r="E3320" s="14"/>
      <c r="F3320" s="14"/>
      <c r="G3320" s="14"/>
      <c r="H3320" s="23"/>
      <c r="I3320" s="23"/>
      <c r="J3320" s="23"/>
      <c r="K3320" s="30"/>
      <c r="L3320" s="23"/>
      <c r="M3320" s="50" t="s">
        <v>10178</v>
      </c>
      <c r="N3320" s="51"/>
      <c r="O3320" s="20"/>
      <c r="P3320" s="20"/>
      <c r="Q3320" s="20"/>
      <c r="R3320" s="20"/>
      <c r="S3320" s="20"/>
    </row>
    <row r="3321">
      <c r="A3321" s="10"/>
      <c r="B3321" s="11"/>
      <c r="C3321" s="10"/>
      <c r="D3321" s="13"/>
      <c r="E3321" s="14"/>
      <c r="F3321" s="14"/>
      <c r="G3321" s="14"/>
      <c r="H3321" s="10"/>
      <c r="I3321" s="10"/>
      <c r="J3321" s="10"/>
      <c r="K3321" s="46"/>
      <c r="L3321" s="10"/>
      <c r="M3321" s="44" t="s">
        <v>10178</v>
      </c>
      <c r="N3321" s="45"/>
      <c r="O3321" s="20"/>
      <c r="P3321" s="20"/>
      <c r="Q3321" s="20"/>
      <c r="R3321" s="20"/>
      <c r="S3321" s="20"/>
    </row>
    <row r="3322">
      <c r="A3322" s="23"/>
      <c r="B3322" s="21"/>
      <c r="C3322" s="23"/>
      <c r="D3322" s="24"/>
      <c r="E3322" s="14"/>
      <c r="F3322" s="14"/>
      <c r="G3322" s="14"/>
      <c r="H3322" s="23"/>
      <c r="I3322" s="23"/>
      <c r="J3322" s="23"/>
      <c r="K3322" s="30"/>
      <c r="L3322" s="23"/>
      <c r="M3322" s="50" t="s">
        <v>10178</v>
      </c>
      <c r="N3322" s="51"/>
      <c r="O3322" s="20"/>
      <c r="P3322" s="20"/>
      <c r="Q3322" s="20"/>
      <c r="R3322" s="20"/>
      <c r="S3322" s="20"/>
    </row>
    <row r="3323">
      <c r="A3323" s="10"/>
      <c r="B3323" s="11"/>
      <c r="C3323" s="10"/>
      <c r="D3323" s="13"/>
      <c r="E3323" s="14"/>
      <c r="F3323" s="14"/>
      <c r="G3323" s="14"/>
      <c r="H3323" s="10"/>
      <c r="I3323" s="10"/>
      <c r="J3323" s="10"/>
      <c r="K3323" s="46"/>
      <c r="L3323" s="10"/>
      <c r="M3323" s="44" t="s">
        <v>10178</v>
      </c>
      <c r="N3323" s="45"/>
      <c r="O3323" s="20"/>
      <c r="P3323" s="20"/>
      <c r="Q3323" s="20"/>
      <c r="R3323" s="20"/>
      <c r="S3323" s="20"/>
    </row>
    <row r="3324">
      <c r="A3324" s="23"/>
      <c r="B3324" s="21"/>
      <c r="C3324" s="23"/>
      <c r="D3324" s="24"/>
      <c r="E3324" s="14"/>
      <c r="F3324" s="14"/>
      <c r="G3324" s="14"/>
      <c r="H3324" s="23"/>
      <c r="I3324" s="23"/>
      <c r="J3324" s="23"/>
      <c r="K3324" s="30"/>
      <c r="L3324" s="23"/>
      <c r="M3324" s="50" t="s">
        <v>10178</v>
      </c>
      <c r="N3324" s="51"/>
      <c r="O3324" s="20"/>
      <c r="P3324" s="20"/>
      <c r="Q3324" s="20"/>
      <c r="R3324" s="20"/>
      <c r="S3324" s="20"/>
    </row>
    <row r="3325">
      <c r="A3325" s="10"/>
      <c r="B3325" s="11"/>
      <c r="C3325" s="10"/>
      <c r="D3325" s="13"/>
      <c r="E3325" s="14"/>
      <c r="F3325" s="14"/>
      <c r="G3325" s="14"/>
      <c r="H3325" s="10"/>
      <c r="I3325" s="10"/>
      <c r="J3325" s="10"/>
      <c r="K3325" s="46"/>
      <c r="L3325" s="10"/>
      <c r="M3325" s="44" t="s">
        <v>10178</v>
      </c>
      <c r="N3325" s="45"/>
      <c r="O3325" s="20"/>
      <c r="P3325" s="20"/>
      <c r="Q3325" s="20"/>
      <c r="R3325" s="20"/>
      <c r="S3325" s="20"/>
    </row>
    <row r="3326">
      <c r="A3326" s="23"/>
      <c r="B3326" s="21"/>
      <c r="C3326" s="23"/>
      <c r="D3326" s="24"/>
      <c r="E3326" s="14"/>
      <c r="F3326" s="14"/>
      <c r="G3326" s="14"/>
      <c r="H3326" s="23"/>
      <c r="I3326" s="23"/>
      <c r="J3326" s="23"/>
      <c r="K3326" s="30"/>
      <c r="L3326" s="23"/>
      <c r="M3326" s="50" t="s">
        <v>10178</v>
      </c>
      <c r="N3326" s="51"/>
      <c r="O3326" s="20"/>
      <c r="P3326" s="20"/>
      <c r="Q3326" s="20"/>
      <c r="R3326" s="20"/>
      <c r="S3326" s="20"/>
    </row>
    <row r="3327">
      <c r="A3327" s="10"/>
      <c r="B3327" s="11"/>
      <c r="C3327" s="10"/>
      <c r="D3327" s="13"/>
      <c r="E3327" s="14"/>
      <c r="F3327" s="14"/>
      <c r="G3327" s="14"/>
      <c r="H3327" s="10"/>
      <c r="I3327" s="10"/>
      <c r="J3327" s="10"/>
      <c r="K3327" s="46"/>
      <c r="L3327" s="10"/>
      <c r="M3327" s="44" t="s">
        <v>10178</v>
      </c>
      <c r="N3327" s="45"/>
      <c r="O3327" s="20"/>
      <c r="P3327" s="20"/>
      <c r="Q3327" s="20"/>
      <c r="R3327" s="20"/>
      <c r="S3327" s="20"/>
    </row>
    <row r="3328">
      <c r="A3328" s="23"/>
      <c r="B3328" s="21"/>
      <c r="C3328" s="23"/>
      <c r="D3328" s="24"/>
      <c r="E3328" s="14"/>
      <c r="F3328" s="14"/>
      <c r="G3328" s="14"/>
      <c r="H3328" s="23"/>
      <c r="I3328" s="23"/>
      <c r="J3328" s="23"/>
      <c r="K3328" s="30"/>
      <c r="L3328" s="23"/>
      <c r="M3328" s="50" t="s">
        <v>10178</v>
      </c>
      <c r="N3328" s="51"/>
      <c r="O3328" s="20"/>
      <c r="P3328" s="20"/>
      <c r="Q3328" s="20"/>
      <c r="R3328" s="20"/>
      <c r="S3328" s="20"/>
    </row>
    <row r="3329">
      <c r="A3329" s="10"/>
      <c r="B3329" s="11"/>
      <c r="C3329" s="10"/>
      <c r="D3329" s="13"/>
      <c r="E3329" s="14"/>
      <c r="F3329" s="14"/>
      <c r="G3329" s="14"/>
      <c r="H3329" s="10"/>
      <c r="I3329" s="10"/>
      <c r="J3329" s="10"/>
      <c r="K3329" s="46"/>
      <c r="L3329" s="10"/>
      <c r="M3329" s="44" t="s">
        <v>10178</v>
      </c>
      <c r="N3329" s="45"/>
      <c r="O3329" s="20"/>
      <c r="P3329" s="20"/>
      <c r="Q3329" s="20"/>
      <c r="R3329" s="20"/>
      <c r="S3329" s="20"/>
    </row>
    <row r="3330">
      <c r="A3330" s="23"/>
      <c r="B3330" s="21"/>
      <c r="C3330" s="23"/>
      <c r="D3330" s="24"/>
      <c r="E3330" s="14"/>
      <c r="F3330" s="14"/>
      <c r="G3330" s="14"/>
      <c r="H3330" s="23"/>
      <c r="I3330" s="23"/>
      <c r="J3330" s="23"/>
      <c r="K3330" s="30"/>
      <c r="L3330" s="23"/>
      <c r="M3330" s="50" t="s">
        <v>10178</v>
      </c>
      <c r="N3330" s="51"/>
      <c r="O3330" s="20"/>
      <c r="P3330" s="20"/>
      <c r="Q3330" s="20"/>
      <c r="R3330" s="20"/>
      <c r="S3330" s="20"/>
    </row>
    <row r="3331">
      <c r="A3331" s="10"/>
      <c r="B3331" s="11"/>
      <c r="C3331" s="10"/>
      <c r="D3331" s="13"/>
      <c r="E3331" s="14"/>
      <c r="F3331" s="14"/>
      <c r="G3331" s="14"/>
      <c r="H3331" s="10"/>
      <c r="I3331" s="10"/>
      <c r="J3331" s="10"/>
      <c r="K3331" s="46"/>
      <c r="L3331" s="10"/>
      <c r="M3331" s="44" t="s">
        <v>10178</v>
      </c>
      <c r="N3331" s="45"/>
      <c r="O3331" s="20"/>
      <c r="P3331" s="20"/>
      <c r="Q3331" s="20"/>
      <c r="R3331" s="20"/>
      <c r="S3331" s="20"/>
    </row>
    <row r="3332">
      <c r="A3332" s="23"/>
      <c r="B3332" s="21"/>
      <c r="C3332" s="23"/>
      <c r="D3332" s="24"/>
      <c r="E3332" s="14"/>
      <c r="F3332" s="14"/>
      <c r="G3332" s="14"/>
      <c r="H3332" s="23"/>
      <c r="I3332" s="23"/>
      <c r="J3332" s="23"/>
      <c r="K3332" s="30"/>
      <c r="L3332" s="23"/>
      <c r="M3332" s="50" t="s">
        <v>10178</v>
      </c>
      <c r="N3332" s="51"/>
      <c r="O3332" s="20"/>
      <c r="P3332" s="20"/>
      <c r="Q3332" s="20"/>
      <c r="R3332" s="20"/>
      <c r="S3332" s="20"/>
    </row>
    <row r="3333">
      <c r="A3333" s="10"/>
      <c r="B3333" s="11"/>
      <c r="C3333" s="10"/>
      <c r="D3333" s="13"/>
      <c r="E3333" s="14"/>
      <c r="F3333" s="14"/>
      <c r="G3333" s="14"/>
      <c r="H3333" s="10"/>
      <c r="I3333" s="10"/>
      <c r="J3333" s="10"/>
      <c r="K3333" s="46"/>
      <c r="L3333" s="10"/>
      <c r="M3333" s="44" t="s">
        <v>10178</v>
      </c>
      <c r="N3333" s="45"/>
      <c r="O3333" s="20"/>
      <c r="P3333" s="20"/>
      <c r="Q3333" s="20"/>
      <c r="R3333" s="20"/>
      <c r="S3333" s="20"/>
    </row>
    <row r="3334">
      <c r="A3334" s="23"/>
      <c r="B3334" s="21"/>
      <c r="C3334" s="23"/>
      <c r="D3334" s="24"/>
      <c r="E3334" s="14"/>
      <c r="F3334" s="14"/>
      <c r="G3334" s="14"/>
      <c r="H3334" s="23"/>
      <c r="I3334" s="23"/>
      <c r="J3334" s="23"/>
      <c r="K3334" s="30"/>
      <c r="L3334" s="23"/>
      <c r="M3334" s="50" t="s">
        <v>10178</v>
      </c>
      <c r="N3334" s="51"/>
      <c r="O3334" s="20"/>
      <c r="P3334" s="20"/>
      <c r="Q3334" s="20"/>
      <c r="R3334" s="20"/>
      <c r="S3334" s="20"/>
    </row>
    <row r="3335">
      <c r="A3335" s="10"/>
      <c r="B3335" s="11"/>
      <c r="C3335" s="10"/>
      <c r="D3335" s="13"/>
      <c r="E3335" s="14"/>
      <c r="F3335" s="14"/>
      <c r="G3335" s="14"/>
      <c r="H3335" s="10"/>
      <c r="I3335" s="10"/>
      <c r="J3335" s="10"/>
      <c r="K3335" s="46"/>
      <c r="L3335" s="10"/>
      <c r="M3335" s="44" t="s">
        <v>10178</v>
      </c>
      <c r="N3335" s="45"/>
      <c r="O3335" s="20"/>
      <c r="P3335" s="20"/>
      <c r="Q3335" s="20"/>
      <c r="R3335" s="20"/>
      <c r="S3335" s="20"/>
    </row>
    <row r="3336">
      <c r="A3336" s="23"/>
      <c r="B3336" s="21"/>
      <c r="C3336" s="23"/>
      <c r="D3336" s="24"/>
      <c r="E3336" s="14"/>
      <c r="F3336" s="14"/>
      <c r="G3336" s="14"/>
      <c r="H3336" s="23"/>
      <c r="I3336" s="23"/>
      <c r="J3336" s="23"/>
      <c r="K3336" s="30"/>
      <c r="L3336" s="23"/>
      <c r="M3336" s="50" t="s">
        <v>10178</v>
      </c>
      <c r="N3336" s="51"/>
      <c r="O3336" s="20"/>
      <c r="P3336" s="20"/>
      <c r="Q3336" s="20"/>
      <c r="R3336" s="20"/>
      <c r="S3336" s="20"/>
    </row>
    <row r="3337">
      <c r="A3337" s="10"/>
      <c r="B3337" s="11"/>
      <c r="C3337" s="10"/>
      <c r="D3337" s="13"/>
      <c r="E3337" s="14"/>
      <c r="F3337" s="14"/>
      <c r="G3337" s="14"/>
      <c r="H3337" s="10"/>
      <c r="I3337" s="10"/>
      <c r="J3337" s="10"/>
      <c r="K3337" s="46"/>
      <c r="L3337" s="10"/>
      <c r="M3337" s="44" t="s">
        <v>10178</v>
      </c>
      <c r="N3337" s="45"/>
      <c r="O3337" s="20"/>
      <c r="P3337" s="20"/>
      <c r="Q3337" s="20"/>
      <c r="R3337" s="20"/>
      <c r="S3337" s="20"/>
    </row>
    <row r="3338">
      <c r="A3338" s="23"/>
      <c r="B3338" s="21"/>
      <c r="C3338" s="23"/>
      <c r="D3338" s="24"/>
      <c r="E3338" s="14"/>
      <c r="F3338" s="14"/>
      <c r="G3338" s="14"/>
      <c r="H3338" s="23"/>
      <c r="I3338" s="23"/>
      <c r="J3338" s="23"/>
      <c r="K3338" s="30"/>
      <c r="L3338" s="23"/>
      <c r="M3338" s="50" t="s">
        <v>10178</v>
      </c>
      <c r="N3338" s="51"/>
      <c r="O3338" s="20"/>
      <c r="P3338" s="20"/>
      <c r="Q3338" s="20"/>
      <c r="R3338" s="20"/>
      <c r="S3338" s="20"/>
    </row>
    <row r="3339">
      <c r="A3339" s="10"/>
      <c r="B3339" s="11"/>
      <c r="C3339" s="10"/>
      <c r="D3339" s="13"/>
      <c r="E3339" s="14"/>
      <c r="F3339" s="14"/>
      <c r="G3339" s="14"/>
      <c r="H3339" s="10"/>
      <c r="I3339" s="10"/>
      <c r="J3339" s="10"/>
      <c r="K3339" s="46"/>
      <c r="L3339" s="10"/>
      <c r="M3339" s="44" t="s">
        <v>10178</v>
      </c>
      <c r="N3339" s="45"/>
      <c r="O3339" s="20"/>
      <c r="P3339" s="20"/>
      <c r="Q3339" s="20"/>
      <c r="R3339" s="20"/>
      <c r="S3339" s="20"/>
    </row>
    <row r="3340">
      <c r="A3340" s="23"/>
      <c r="B3340" s="21"/>
      <c r="C3340" s="23"/>
      <c r="D3340" s="24"/>
      <c r="E3340" s="14"/>
      <c r="F3340" s="14"/>
      <c r="G3340" s="14"/>
      <c r="H3340" s="23"/>
      <c r="I3340" s="23"/>
      <c r="J3340" s="23"/>
      <c r="K3340" s="30"/>
      <c r="L3340" s="23"/>
      <c r="M3340" s="50" t="s">
        <v>10178</v>
      </c>
      <c r="N3340" s="51"/>
      <c r="O3340" s="20"/>
      <c r="P3340" s="20"/>
      <c r="Q3340" s="20"/>
      <c r="R3340" s="20"/>
      <c r="S3340" s="20"/>
    </row>
    <row r="3341">
      <c r="A3341" s="10"/>
      <c r="B3341" s="11"/>
      <c r="C3341" s="10"/>
      <c r="D3341" s="13"/>
      <c r="E3341" s="14"/>
      <c r="F3341" s="14"/>
      <c r="G3341" s="14"/>
      <c r="H3341" s="10"/>
      <c r="I3341" s="10"/>
      <c r="J3341" s="10"/>
      <c r="K3341" s="46"/>
      <c r="L3341" s="10"/>
      <c r="M3341" s="44" t="s">
        <v>10178</v>
      </c>
      <c r="N3341" s="45"/>
      <c r="O3341" s="20"/>
      <c r="P3341" s="20"/>
      <c r="Q3341" s="20"/>
      <c r="R3341" s="20"/>
      <c r="S3341" s="20"/>
    </row>
    <row r="3342">
      <c r="A3342" s="23"/>
      <c r="B3342" s="21"/>
      <c r="C3342" s="23"/>
      <c r="D3342" s="24"/>
      <c r="E3342" s="14"/>
      <c r="F3342" s="14"/>
      <c r="G3342" s="14"/>
      <c r="H3342" s="23"/>
      <c r="I3342" s="23"/>
      <c r="J3342" s="23"/>
      <c r="K3342" s="30"/>
      <c r="L3342" s="23"/>
      <c r="M3342" s="50" t="s">
        <v>10178</v>
      </c>
      <c r="N3342" s="51"/>
      <c r="O3342" s="20"/>
      <c r="P3342" s="20"/>
      <c r="Q3342" s="20"/>
      <c r="R3342" s="20"/>
      <c r="S3342" s="20"/>
    </row>
    <row r="3343">
      <c r="A3343" s="10"/>
      <c r="B3343" s="11"/>
      <c r="C3343" s="10"/>
      <c r="D3343" s="13"/>
      <c r="E3343" s="14"/>
      <c r="F3343" s="14"/>
      <c r="G3343" s="14"/>
      <c r="H3343" s="10"/>
      <c r="I3343" s="10"/>
      <c r="J3343" s="10"/>
      <c r="K3343" s="46"/>
      <c r="L3343" s="10"/>
      <c r="M3343" s="44" t="s">
        <v>10178</v>
      </c>
      <c r="N3343" s="45"/>
      <c r="O3343" s="20"/>
      <c r="P3343" s="20"/>
      <c r="Q3343" s="20"/>
      <c r="R3343" s="20"/>
      <c r="S3343" s="20"/>
    </row>
    <row r="3344">
      <c r="A3344" s="23"/>
      <c r="B3344" s="21"/>
      <c r="C3344" s="23"/>
      <c r="D3344" s="24"/>
      <c r="E3344" s="14"/>
      <c r="F3344" s="14"/>
      <c r="G3344" s="14"/>
      <c r="H3344" s="23"/>
      <c r="I3344" s="23"/>
      <c r="J3344" s="23"/>
      <c r="K3344" s="30"/>
      <c r="L3344" s="23"/>
      <c r="M3344" s="50" t="s">
        <v>10178</v>
      </c>
      <c r="N3344" s="51"/>
      <c r="O3344" s="20"/>
      <c r="P3344" s="20"/>
      <c r="Q3344" s="20"/>
      <c r="R3344" s="20"/>
      <c r="S3344" s="20"/>
    </row>
    <row r="3345">
      <c r="A3345" s="10"/>
      <c r="B3345" s="11"/>
      <c r="C3345" s="10"/>
      <c r="D3345" s="13"/>
      <c r="E3345" s="14"/>
      <c r="F3345" s="14"/>
      <c r="G3345" s="14"/>
      <c r="H3345" s="10"/>
      <c r="I3345" s="10"/>
      <c r="J3345" s="10"/>
      <c r="K3345" s="46"/>
      <c r="L3345" s="10"/>
      <c r="M3345" s="44" t="s">
        <v>10178</v>
      </c>
      <c r="N3345" s="45"/>
      <c r="O3345" s="20"/>
      <c r="P3345" s="20"/>
      <c r="Q3345" s="20"/>
      <c r="R3345" s="20"/>
      <c r="S3345" s="20"/>
    </row>
    <row r="3346">
      <c r="A3346" s="23"/>
      <c r="B3346" s="21"/>
      <c r="C3346" s="23"/>
      <c r="D3346" s="24"/>
      <c r="E3346" s="14"/>
      <c r="F3346" s="14"/>
      <c r="G3346" s="14"/>
      <c r="H3346" s="23"/>
      <c r="I3346" s="23"/>
      <c r="J3346" s="23"/>
      <c r="K3346" s="30"/>
      <c r="L3346" s="23"/>
      <c r="M3346" s="50" t="s">
        <v>10178</v>
      </c>
      <c r="N3346" s="51"/>
      <c r="O3346" s="20"/>
      <c r="P3346" s="20"/>
      <c r="Q3346" s="20"/>
      <c r="R3346" s="20"/>
      <c r="S3346" s="20"/>
    </row>
    <row r="3347">
      <c r="A3347" s="10"/>
      <c r="B3347" s="11"/>
      <c r="C3347" s="10"/>
      <c r="D3347" s="13"/>
      <c r="E3347" s="14"/>
      <c r="F3347" s="14"/>
      <c r="G3347" s="14"/>
      <c r="H3347" s="10"/>
      <c r="I3347" s="10"/>
      <c r="J3347" s="10"/>
      <c r="K3347" s="46"/>
      <c r="L3347" s="10"/>
      <c r="M3347" s="44" t="s">
        <v>10178</v>
      </c>
      <c r="N3347" s="45"/>
      <c r="O3347" s="20"/>
      <c r="P3347" s="20"/>
      <c r="Q3347" s="20"/>
      <c r="R3347" s="20"/>
      <c r="S3347" s="20"/>
    </row>
    <row r="3348">
      <c r="A3348" s="23"/>
      <c r="B3348" s="21"/>
      <c r="C3348" s="23"/>
      <c r="D3348" s="24"/>
      <c r="E3348" s="14"/>
      <c r="F3348" s="14"/>
      <c r="G3348" s="14"/>
      <c r="H3348" s="23"/>
      <c r="I3348" s="23"/>
      <c r="J3348" s="23"/>
      <c r="K3348" s="30"/>
      <c r="L3348" s="23"/>
      <c r="M3348" s="50" t="s">
        <v>10178</v>
      </c>
      <c r="N3348" s="51"/>
      <c r="O3348" s="20"/>
      <c r="P3348" s="20"/>
      <c r="Q3348" s="20"/>
      <c r="R3348" s="20"/>
      <c r="S3348" s="20"/>
    </row>
    <row r="3349">
      <c r="A3349" s="10"/>
      <c r="B3349" s="11"/>
      <c r="C3349" s="10"/>
      <c r="D3349" s="13"/>
      <c r="E3349" s="14"/>
      <c r="F3349" s="14"/>
      <c r="G3349" s="14"/>
      <c r="H3349" s="10"/>
      <c r="I3349" s="10"/>
      <c r="J3349" s="10"/>
      <c r="K3349" s="46"/>
      <c r="L3349" s="10"/>
      <c r="M3349" s="44" t="s">
        <v>10178</v>
      </c>
      <c r="N3349" s="45"/>
      <c r="O3349" s="20"/>
      <c r="P3349" s="20"/>
      <c r="Q3349" s="20"/>
      <c r="R3349" s="20"/>
      <c r="S3349" s="20"/>
    </row>
    <row r="3350">
      <c r="A3350" s="23"/>
      <c r="B3350" s="21"/>
      <c r="C3350" s="23"/>
      <c r="D3350" s="24"/>
      <c r="E3350" s="14"/>
      <c r="F3350" s="14"/>
      <c r="G3350" s="14"/>
      <c r="H3350" s="23"/>
      <c r="I3350" s="23"/>
      <c r="J3350" s="23"/>
      <c r="K3350" s="30"/>
      <c r="L3350" s="23"/>
      <c r="M3350" s="50" t="s">
        <v>10178</v>
      </c>
      <c r="N3350" s="51"/>
      <c r="O3350" s="20"/>
      <c r="P3350" s="20"/>
      <c r="Q3350" s="20"/>
      <c r="R3350" s="20"/>
      <c r="S3350" s="20"/>
    </row>
    <row r="3351">
      <c r="A3351" s="10"/>
      <c r="B3351" s="11"/>
      <c r="C3351" s="10"/>
      <c r="D3351" s="13"/>
      <c r="E3351" s="14"/>
      <c r="F3351" s="14"/>
      <c r="G3351" s="14"/>
      <c r="H3351" s="10"/>
      <c r="I3351" s="10"/>
      <c r="J3351" s="10"/>
      <c r="K3351" s="46"/>
      <c r="L3351" s="10"/>
      <c r="M3351" s="44" t="s">
        <v>10178</v>
      </c>
      <c r="N3351" s="45"/>
      <c r="O3351" s="20"/>
      <c r="P3351" s="20"/>
      <c r="Q3351" s="20"/>
      <c r="R3351" s="20"/>
      <c r="S3351" s="20"/>
    </row>
    <row r="3352">
      <c r="A3352" s="23"/>
      <c r="B3352" s="21"/>
      <c r="C3352" s="23"/>
      <c r="D3352" s="24"/>
      <c r="E3352" s="14"/>
      <c r="F3352" s="14"/>
      <c r="G3352" s="14"/>
      <c r="H3352" s="23"/>
      <c r="I3352" s="23"/>
      <c r="J3352" s="23"/>
      <c r="K3352" s="30"/>
      <c r="L3352" s="23"/>
      <c r="M3352" s="50" t="s">
        <v>10178</v>
      </c>
      <c r="N3352" s="51"/>
      <c r="O3352" s="20"/>
      <c r="P3352" s="20"/>
      <c r="Q3352" s="20"/>
      <c r="R3352" s="20"/>
      <c r="S3352" s="20"/>
    </row>
    <row r="3353">
      <c r="A3353" s="10"/>
      <c r="B3353" s="11"/>
      <c r="C3353" s="10"/>
      <c r="D3353" s="13"/>
      <c r="E3353" s="14"/>
      <c r="F3353" s="14"/>
      <c r="G3353" s="14"/>
      <c r="H3353" s="10"/>
      <c r="I3353" s="10"/>
      <c r="J3353" s="10"/>
      <c r="K3353" s="46"/>
      <c r="L3353" s="10"/>
      <c r="M3353" s="44" t="s">
        <v>10178</v>
      </c>
      <c r="N3353" s="45"/>
      <c r="O3353" s="20"/>
      <c r="P3353" s="20"/>
      <c r="Q3353" s="20"/>
      <c r="R3353" s="20"/>
      <c r="S3353" s="20"/>
    </row>
    <row r="3354">
      <c r="A3354" s="23"/>
      <c r="B3354" s="21"/>
      <c r="C3354" s="23"/>
      <c r="D3354" s="24"/>
      <c r="E3354" s="14"/>
      <c r="F3354" s="14"/>
      <c r="G3354" s="14"/>
      <c r="H3354" s="23"/>
      <c r="I3354" s="23"/>
      <c r="J3354" s="23"/>
      <c r="K3354" s="30"/>
      <c r="L3354" s="23"/>
      <c r="M3354" s="50" t="s">
        <v>10178</v>
      </c>
      <c r="N3354" s="51"/>
      <c r="O3354" s="20"/>
      <c r="P3354" s="20"/>
      <c r="Q3354" s="20"/>
      <c r="R3354" s="20"/>
      <c r="S3354" s="20"/>
    </row>
    <row r="3355">
      <c r="A3355" s="10"/>
      <c r="B3355" s="11"/>
      <c r="C3355" s="10"/>
      <c r="D3355" s="13"/>
      <c r="E3355" s="14"/>
      <c r="F3355" s="14"/>
      <c r="G3355" s="14"/>
      <c r="H3355" s="10"/>
      <c r="I3355" s="10"/>
      <c r="J3355" s="10"/>
      <c r="K3355" s="46"/>
      <c r="L3355" s="10"/>
      <c r="M3355" s="44" t="s">
        <v>10178</v>
      </c>
      <c r="N3355" s="45"/>
      <c r="O3355" s="20"/>
      <c r="P3355" s="20"/>
      <c r="Q3355" s="20"/>
      <c r="R3355" s="20"/>
      <c r="S3355" s="20"/>
    </row>
    <row r="3356">
      <c r="A3356" s="23"/>
      <c r="B3356" s="21"/>
      <c r="C3356" s="23"/>
      <c r="D3356" s="24"/>
      <c r="E3356" s="14"/>
      <c r="F3356" s="14"/>
      <c r="G3356" s="14"/>
      <c r="H3356" s="23"/>
      <c r="I3356" s="23"/>
      <c r="J3356" s="23"/>
      <c r="K3356" s="30"/>
      <c r="L3356" s="23"/>
      <c r="M3356" s="50" t="s">
        <v>10178</v>
      </c>
      <c r="N3356" s="51"/>
      <c r="O3356" s="20"/>
      <c r="P3356" s="20"/>
      <c r="Q3356" s="20"/>
      <c r="R3356" s="20"/>
      <c r="S3356" s="20"/>
    </row>
    <row r="3357">
      <c r="A3357" s="10"/>
      <c r="B3357" s="11"/>
      <c r="C3357" s="10"/>
      <c r="D3357" s="13"/>
      <c r="E3357" s="14"/>
      <c r="F3357" s="14"/>
      <c r="G3357" s="14"/>
      <c r="H3357" s="10"/>
      <c r="I3357" s="10"/>
      <c r="J3357" s="10"/>
      <c r="K3357" s="46"/>
      <c r="L3357" s="10"/>
      <c r="M3357" s="44" t="s">
        <v>10178</v>
      </c>
      <c r="N3357" s="45"/>
      <c r="O3357" s="20"/>
      <c r="P3357" s="20"/>
      <c r="Q3357" s="20"/>
      <c r="R3357" s="20"/>
      <c r="S3357" s="20"/>
    </row>
    <row r="3358">
      <c r="A3358" s="23"/>
      <c r="B3358" s="21"/>
      <c r="C3358" s="23"/>
      <c r="D3358" s="24"/>
      <c r="E3358" s="14"/>
      <c r="F3358" s="14"/>
      <c r="G3358" s="14"/>
      <c r="H3358" s="23"/>
      <c r="I3358" s="23"/>
      <c r="J3358" s="23"/>
      <c r="K3358" s="30"/>
      <c r="L3358" s="23"/>
      <c r="M3358" s="50" t="s">
        <v>10178</v>
      </c>
      <c r="N3358" s="51"/>
      <c r="O3358" s="20"/>
      <c r="P3358" s="20"/>
      <c r="Q3358" s="20"/>
      <c r="R3358" s="20"/>
      <c r="S3358" s="20"/>
    </row>
    <row r="3359">
      <c r="A3359" s="10"/>
      <c r="B3359" s="11"/>
      <c r="C3359" s="10"/>
      <c r="D3359" s="13"/>
      <c r="E3359" s="14"/>
      <c r="F3359" s="14"/>
      <c r="G3359" s="14"/>
      <c r="H3359" s="10"/>
      <c r="I3359" s="10"/>
      <c r="J3359" s="10"/>
      <c r="K3359" s="46"/>
      <c r="L3359" s="10"/>
      <c r="M3359" s="44" t="s">
        <v>10178</v>
      </c>
      <c r="N3359" s="45"/>
      <c r="O3359" s="20"/>
      <c r="P3359" s="20"/>
      <c r="Q3359" s="20"/>
      <c r="R3359" s="20"/>
      <c r="S3359" s="20"/>
    </row>
    <row r="3360">
      <c r="A3360" s="23"/>
      <c r="B3360" s="21"/>
      <c r="C3360" s="23"/>
      <c r="D3360" s="24"/>
      <c r="E3360" s="14"/>
      <c r="F3360" s="14"/>
      <c r="G3360" s="14"/>
      <c r="H3360" s="23"/>
      <c r="I3360" s="23"/>
      <c r="J3360" s="23"/>
      <c r="K3360" s="30"/>
      <c r="L3360" s="23"/>
      <c r="M3360" s="50" t="s">
        <v>10178</v>
      </c>
      <c r="N3360" s="51"/>
      <c r="O3360" s="20"/>
      <c r="P3360" s="20"/>
      <c r="Q3360" s="20"/>
      <c r="R3360" s="20"/>
      <c r="S3360" s="20"/>
    </row>
    <row r="3361">
      <c r="A3361" s="10"/>
      <c r="B3361" s="11"/>
      <c r="C3361" s="10"/>
      <c r="D3361" s="13"/>
      <c r="E3361" s="14"/>
      <c r="F3361" s="14"/>
      <c r="G3361" s="14"/>
      <c r="H3361" s="10"/>
      <c r="I3361" s="10"/>
      <c r="J3361" s="10"/>
      <c r="K3361" s="46"/>
      <c r="L3361" s="10"/>
      <c r="M3361" s="44" t="s">
        <v>10178</v>
      </c>
      <c r="N3361" s="45"/>
      <c r="O3361" s="20"/>
      <c r="P3361" s="20"/>
      <c r="Q3361" s="20"/>
      <c r="R3361" s="20"/>
      <c r="S3361" s="20"/>
    </row>
    <row r="3362">
      <c r="A3362" s="23"/>
      <c r="B3362" s="21"/>
      <c r="C3362" s="23"/>
      <c r="D3362" s="24"/>
      <c r="E3362" s="14"/>
      <c r="F3362" s="14"/>
      <c r="G3362" s="14"/>
      <c r="H3362" s="23"/>
      <c r="I3362" s="23"/>
      <c r="J3362" s="23"/>
      <c r="K3362" s="30"/>
      <c r="L3362" s="23"/>
      <c r="M3362" s="50" t="s">
        <v>10178</v>
      </c>
      <c r="N3362" s="51"/>
      <c r="O3362" s="20"/>
      <c r="P3362" s="20"/>
      <c r="Q3362" s="20"/>
      <c r="R3362" s="20"/>
      <c r="S3362" s="20"/>
    </row>
    <row r="3363">
      <c r="A3363" s="10"/>
      <c r="B3363" s="11"/>
      <c r="C3363" s="10"/>
      <c r="D3363" s="13"/>
      <c r="E3363" s="14"/>
      <c r="F3363" s="14"/>
      <c r="G3363" s="14"/>
      <c r="H3363" s="10"/>
      <c r="I3363" s="10"/>
      <c r="J3363" s="10"/>
      <c r="K3363" s="46"/>
      <c r="L3363" s="10"/>
      <c r="M3363" s="44" t="s">
        <v>10178</v>
      </c>
      <c r="N3363" s="45"/>
      <c r="O3363" s="20"/>
      <c r="P3363" s="20"/>
      <c r="Q3363" s="20"/>
      <c r="R3363" s="20"/>
      <c r="S3363" s="20"/>
    </row>
    <row r="3364">
      <c r="A3364" s="23"/>
      <c r="B3364" s="21"/>
      <c r="C3364" s="23"/>
      <c r="D3364" s="24"/>
      <c r="E3364" s="14"/>
      <c r="F3364" s="14"/>
      <c r="G3364" s="14"/>
      <c r="H3364" s="23"/>
      <c r="I3364" s="23"/>
      <c r="J3364" s="23"/>
      <c r="K3364" s="30"/>
      <c r="L3364" s="23"/>
      <c r="M3364" s="50" t="s">
        <v>10178</v>
      </c>
      <c r="N3364" s="51"/>
      <c r="O3364" s="20"/>
      <c r="P3364" s="20"/>
      <c r="Q3364" s="20"/>
      <c r="R3364" s="20"/>
      <c r="S3364" s="20"/>
    </row>
    <row r="3365">
      <c r="A3365" s="10"/>
      <c r="B3365" s="11"/>
      <c r="C3365" s="10"/>
      <c r="D3365" s="13"/>
      <c r="E3365" s="14"/>
      <c r="F3365" s="14"/>
      <c r="G3365" s="14"/>
      <c r="H3365" s="10"/>
      <c r="I3365" s="10"/>
      <c r="J3365" s="10"/>
      <c r="K3365" s="46"/>
      <c r="L3365" s="10"/>
      <c r="M3365" s="44" t="s">
        <v>10178</v>
      </c>
      <c r="N3365" s="45"/>
      <c r="O3365" s="20"/>
      <c r="P3365" s="20"/>
      <c r="Q3365" s="20"/>
      <c r="R3365" s="20"/>
      <c r="S3365" s="20"/>
    </row>
    <row r="3366">
      <c r="A3366" s="23"/>
      <c r="B3366" s="21"/>
      <c r="C3366" s="23"/>
      <c r="D3366" s="24"/>
      <c r="E3366" s="14"/>
      <c r="F3366" s="14"/>
      <c r="G3366" s="14"/>
      <c r="H3366" s="23"/>
      <c r="I3366" s="23"/>
      <c r="J3366" s="23"/>
      <c r="K3366" s="30"/>
      <c r="L3366" s="23"/>
      <c r="M3366" s="50" t="s">
        <v>10178</v>
      </c>
      <c r="N3366" s="51"/>
      <c r="O3366" s="20"/>
      <c r="P3366" s="20"/>
      <c r="Q3366" s="20"/>
      <c r="R3366" s="20"/>
      <c r="S3366" s="20"/>
    </row>
    <row r="3367">
      <c r="A3367" s="10"/>
      <c r="B3367" s="11"/>
      <c r="C3367" s="10"/>
      <c r="D3367" s="13"/>
      <c r="E3367" s="14"/>
      <c r="F3367" s="14"/>
      <c r="G3367" s="14"/>
      <c r="H3367" s="10"/>
      <c r="I3367" s="10"/>
      <c r="J3367" s="10"/>
      <c r="K3367" s="46"/>
      <c r="L3367" s="10"/>
      <c r="M3367" s="44" t="s">
        <v>10178</v>
      </c>
      <c r="N3367" s="45"/>
      <c r="O3367" s="20"/>
      <c r="P3367" s="20"/>
      <c r="Q3367" s="20"/>
      <c r="R3367" s="20"/>
      <c r="S3367" s="20"/>
    </row>
    <row r="3368">
      <c r="A3368" s="23"/>
      <c r="B3368" s="21"/>
      <c r="C3368" s="23"/>
      <c r="D3368" s="24"/>
      <c r="E3368" s="14"/>
      <c r="F3368" s="14"/>
      <c r="G3368" s="14"/>
      <c r="H3368" s="23"/>
      <c r="I3368" s="23"/>
      <c r="J3368" s="23"/>
      <c r="K3368" s="30"/>
      <c r="L3368" s="23"/>
      <c r="M3368" s="50" t="s">
        <v>10178</v>
      </c>
      <c r="N3368" s="51"/>
      <c r="O3368" s="20"/>
      <c r="P3368" s="20"/>
      <c r="Q3368" s="20"/>
      <c r="R3368" s="20"/>
      <c r="S3368" s="20"/>
    </row>
    <row r="3369">
      <c r="A3369" s="10"/>
      <c r="B3369" s="11"/>
      <c r="C3369" s="10"/>
      <c r="D3369" s="13"/>
      <c r="E3369" s="14"/>
      <c r="F3369" s="14"/>
      <c r="G3369" s="14"/>
      <c r="H3369" s="10"/>
      <c r="I3369" s="10"/>
      <c r="J3369" s="10"/>
      <c r="K3369" s="46"/>
      <c r="L3369" s="10"/>
      <c r="M3369" s="44" t="s">
        <v>10178</v>
      </c>
      <c r="N3369" s="45"/>
      <c r="O3369" s="20"/>
      <c r="P3369" s="20"/>
      <c r="Q3369" s="20"/>
      <c r="R3369" s="20"/>
      <c r="S3369" s="20"/>
    </row>
    <row r="3370">
      <c r="A3370" s="23"/>
      <c r="B3370" s="21"/>
      <c r="C3370" s="23"/>
      <c r="D3370" s="24"/>
      <c r="E3370" s="14"/>
      <c r="F3370" s="14"/>
      <c r="G3370" s="14"/>
      <c r="H3370" s="23"/>
      <c r="I3370" s="23"/>
      <c r="J3370" s="23"/>
      <c r="K3370" s="30"/>
      <c r="L3370" s="23"/>
      <c r="M3370" s="50" t="s">
        <v>10178</v>
      </c>
      <c r="N3370" s="51"/>
      <c r="O3370" s="20"/>
      <c r="P3370" s="20"/>
      <c r="Q3370" s="20"/>
      <c r="R3370" s="20"/>
      <c r="S3370" s="20"/>
    </row>
    <row r="3371">
      <c r="A3371" s="10"/>
      <c r="B3371" s="11"/>
      <c r="C3371" s="10"/>
      <c r="D3371" s="13"/>
      <c r="E3371" s="14"/>
      <c r="F3371" s="14"/>
      <c r="G3371" s="14"/>
      <c r="H3371" s="10"/>
      <c r="I3371" s="10"/>
      <c r="J3371" s="10"/>
      <c r="K3371" s="46"/>
      <c r="L3371" s="10"/>
      <c r="M3371" s="44" t="s">
        <v>10178</v>
      </c>
      <c r="N3371" s="45"/>
      <c r="O3371" s="20"/>
      <c r="P3371" s="20"/>
      <c r="Q3371" s="20"/>
      <c r="R3371" s="20"/>
      <c r="S3371" s="20"/>
    </row>
    <row r="3372">
      <c r="A3372" s="23"/>
      <c r="B3372" s="21"/>
      <c r="C3372" s="23"/>
      <c r="D3372" s="24"/>
      <c r="E3372" s="14"/>
      <c r="F3372" s="14"/>
      <c r="G3372" s="14"/>
      <c r="H3372" s="23"/>
      <c r="I3372" s="23"/>
      <c r="J3372" s="23"/>
      <c r="K3372" s="30"/>
      <c r="L3372" s="23"/>
      <c r="M3372" s="50" t="s">
        <v>10178</v>
      </c>
      <c r="N3372" s="51"/>
      <c r="O3372" s="20"/>
      <c r="P3372" s="20"/>
      <c r="Q3372" s="20"/>
      <c r="R3372" s="20"/>
      <c r="S3372" s="20"/>
    </row>
    <row r="3373">
      <c r="A3373" s="10"/>
      <c r="B3373" s="11"/>
      <c r="C3373" s="10"/>
      <c r="D3373" s="13"/>
      <c r="E3373" s="14"/>
      <c r="F3373" s="14"/>
      <c r="G3373" s="14"/>
      <c r="H3373" s="10"/>
      <c r="I3373" s="10"/>
      <c r="J3373" s="10"/>
      <c r="K3373" s="46"/>
      <c r="L3373" s="10"/>
      <c r="M3373" s="44" t="s">
        <v>10178</v>
      </c>
      <c r="N3373" s="45"/>
      <c r="O3373" s="20"/>
      <c r="P3373" s="20"/>
      <c r="Q3373" s="20"/>
      <c r="R3373" s="20"/>
      <c r="S3373" s="20"/>
    </row>
    <row r="3374">
      <c r="A3374" s="23"/>
      <c r="B3374" s="21"/>
      <c r="C3374" s="23"/>
      <c r="D3374" s="24"/>
      <c r="E3374" s="14"/>
      <c r="F3374" s="14"/>
      <c r="G3374" s="14"/>
      <c r="H3374" s="23"/>
      <c r="I3374" s="23"/>
      <c r="J3374" s="23"/>
      <c r="K3374" s="30"/>
      <c r="L3374" s="23"/>
      <c r="M3374" s="50" t="s">
        <v>10178</v>
      </c>
      <c r="N3374" s="51"/>
      <c r="O3374" s="20"/>
      <c r="P3374" s="20"/>
      <c r="Q3374" s="20"/>
      <c r="R3374" s="20"/>
      <c r="S3374" s="20"/>
    </row>
    <row r="3375">
      <c r="A3375" s="10"/>
      <c r="B3375" s="11"/>
      <c r="C3375" s="10"/>
      <c r="D3375" s="13"/>
      <c r="E3375" s="14"/>
      <c r="F3375" s="14"/>
      <c r="G3375" s="14"/>
      <c r="H3375" s="10"/>
      <c r="I3375" s="10"/>
      <c r="J3375" s="10"/>
      <c r="K3375" s="46"/>
      <c r="L3375" s="10"/>
      <c r="M3375" s="44" t="s">
        <v>10178</v>
      </c>
      <c r="N3375" s="45"/>
      <c r="O3375" s="20"/>
      <c r="P3375" s="20"/>
      <c r="Q3375" s="20"/>
      <c r="R3375" s="20"/>
      <c r="S3375" s="20"/>
    </row>
    <row r="3376">
      <c r="A3376" s="23"/>
      <c r="B3376" s="21"/>
      <c r="C3376" s="23"/>
      <c r="D3376" s="24"/>
      <c r="E3376" s="14"/>
      <c r="F3376" s="14"/>
      <c r="G3376" s="14"/>
      <c r="H3376" s="23"/>
      <c r="I3376" s="23"/>
      <c r="J3376" s="23"/>
      <c r="K3376" s="30"/>
      <c r="L3376" s="23"/>
      <c r="M3376" s="50" t="s">
        <v>10178</v>
      </c>
      <c r="N3376" s="51"/>
      <c r="O3376" s="20"/>
      <c r="P3376" s="20"/>
      <c r="Q3376" s="20"/>
      <c r="R3376" s="20"/>
      <c r="S3376" s="20"/>
    </row>
    <row r="3377">
      <c r="A3377" s="10"/>
      <c r="B3377" s="11"/>
      <c r="C3377" s="10"/>
      <c r="D3377" s="13"/>
      <c r="E3377" s="14"/>
      <c r="F3377" s="14"/>
      <c r="G3377" s="14"/>
      <c r="H3377" s="10"/>
      <c r="I3377" s="10"/>
      <c r="J3377" s="10"/>
      <c r="K3377" s="46"/>
      <c r="L3377" s="10"/>
      <c r="M3377" s="44" t="s">
        <v>10178</v>
      </c>
      <c r="N3377" s="45"/>
      <c r="O3377" s="20"/>
      <c r="P3377" s="20"/>
      <c r="Q3377" s="20"/>
      <c r="R3377" s="20"/>
      <c r="S3377" s="20"/>
    </row>
    <row r="3378">
      <c r="A3378" s="23"/>
      <c r="B3378" s="21"/>
      <c r="C3378" s="23"/>
      <c r="D3378" s="24"/>
      <c r="E3378" s="14"/>
      <c r="F3378" s="14"/>
      <c r="G3378" s="14"/>
      <c r="H3378" s="23"/>
      <c r="I3378" s="23"/>
      <c r="J3378" s="23"/>
      <c r="K3378" s="30"/>
      <c r="L3378" s="23"/>
      <c r="M3378" s="50" t="s">
        <v>10178</v>
      </c>
      <c r="N3378" s="51"/>
      <c r="O3378" s="20"/>
      <c r="P3378" s="20"/>
      <c r="Q3378" s="20"/>
      <c r="R3378" s="20"/>
      <c r="S3378" s="20"/>
    </row>
    <row r="3379">
      <c r="A3379" s="10"/>
      <c r="B3379" s="11"/>
      <c r="C3379" s="10"/>
      <c r="D3379" s="13"/>
      <c r="E3379" s="14"/>
      <c r="F3379" s="14"/>
      <c r="G3379" s="14"/>
      <c r="H3379" s="10"/>
      <c r="I3379" s="10"/>
      <c r="J3379" s="10"/>
      <c r="K3379" s="46"/>
      <c r="L3379" s="10"/>
      <c r="M3379" s="44" t="s">
        <v>10178</v>
      </c>
      <c r="N3379" s="45"/>
      <c r="O3379" s="20"/>
      <c r="P3379" s="20"/>
      <c r="Q3379" s="20"/>
      <c r="R3379" s="20"/>
      <c r="S3379" s="20"/>
    </row>
    <row r="3380">
      <c r="A3380" s="23"/>
      <c r="B3380" s="21"/>
      <c r="C3380" s="23"/>
      <c r="D3380" s="24"/>
      <c r="E3380" s="14"/>
      <c r="F3380" s="14"/>
      <c r="G3380" s="14"/>
      <c r="H3380" s="23"/>
      <c r="I3380" s="23"/>
      <c r="J3380" s="23"/>
      <c r="K3380" s="30"/>
      <c r="L3380" s="23"/>
      <c r="M3380" s="50" t="s">
        <v>10178</v>
      </c>
      <c r="N3380" s="51"/>
      <c r="O3380" s="20"/>
      <c r="P3380" s="20"/>
      <c r="Q3380" s="20"/>
      <c r="R3380" s="20"/>
      <c r="S3380" s="20"/>
    </row>
    <row r="3381">
      <c r="A3381" s="10"/>
      <c r="B3381" s="11"/>
      <c r="C3381" s="10"/>
      <c r="D3381" s="13"/>
      <c r="E3381" s="14"/>
      <c r="F3381" s="14"/>
      <c r="G3381" s="14"/>
      <c r="H3381" s="10"/>
      <c r="I3381" s="10"/>
      <c r="J3381" s="10"/>
      <c r="K3381" s="46"/>
      <c r="L3381" s="10"/>
      <c r="M3381" s="44" t="s">
        <v>10178</v>
      </c>
      <c r="N3381" s="45"/>
      <c r="O3381" s="20"/>
      <c r="P3381" s="20"/>
      <c r="Q3381" s="20"/>
      <c r="R3381" s="20"/>
      <c r="S3381" s="20"/>
    </row>
    <row r="3382">
      <c r="A3382" s="23"/>
      <c r="B3382" s="21"/>
      <c r="C3382" s="23"/>
      <c r="D3382" s="24"/>
      <c r="E3382" s="14"/>
      <c r="F3382" s="14"/>
      <c r="G3382" s="14"/>
      <c r="H3382" s="23"/>
      <c r="I3382" s="23"/>
      <c r="J3382" s="23"/>
      <c r="K3382" s="30"/>
      <c r="L3382" s="23"/>
      <c r="M3382" s="50" t="s">
        <v>10178</v>
      </c>
      <c r="N3382" s="51"/>
      <c r="O3382" s="20"/>
      <c r="P3382" s="20"/>
      <c r="Q3382" s="20"/>
      <c r="R3382" s="20"/>
      <c r="S3382" s="20"/>
    </row>
    <row r="3383">
      <c r="A3383" s="10"/>
      <c r="B3383" s="11"/>
      <c r="C3383" s="10"/>
      <c r="D3383" s="13"/>
      <c r="E3383" s="14"/>
      <c r="F3383" s="14"/>
      <c r="G3383" s="14"/>
      <c r="H3383" s="10"/>
      <c r="I3383" s="10"/>
      <c r="J3383" s="10"/>
      <c r="K3383" s="46"/>
      <c r="L3383" s="10"/>
      <c r="M3383" s="44" t="s">
        <v>10178</v>
      </c>
      <c r="N3383" s="45"/>
      <c r="O3383" s="20"/>
      <c r="P3383" s="20"/>
      <c r="Q3383" s="20"/>
      <c r="R3383" s="20"/>
      <c r="S3383" s="20"/>
    </row>
    <row r="3384">
      <c r="A3384" s="23"/>
      <c r="B3384" s="21"/>
      <c r="C3384" s="23"/>
      <c r="D3384" s="24"/>
      <c r="E3384" s="14"/>
      <c r="F3384" s="14"/>
      <c r="G3384" s="14"/>
      <c r="H3384" s="23"/>
      <c r="I3384" s="23"/>
      <c r="J3384" s="23"/>
      <c r="K3384" s="30"/>
      <c r="L3384" s="23"/>
      <c r="M3384" s="50" t="s">
        <v>10178</v>
      </c>
      <c r="N3384" s="51"/>
      <c r="O3384" s="20"/>
      <c r="P3384" s="20"/>
      <c r="Q3384" s="20"/>
      <c r="R3384" s="20"/>
      <c r="S3384" s="20"/>
    </row>
    <row r="3385">
      <c r="A3385" s="10"/>
      <c r="B3385" s="11"/>
      <c r="C3385" s="10"/>
      <c r="D3385" s="13"/>
      <c r="E3385" s="14"/>
      <c r="F3385" s="14"/>
      <c r="G3385" s="14"/>
      <c r="H3385" s="10"/>
      <c r="I3385" s="10"/>
      <c r="J3385" s="10"/>
      <c r="K3385" s="46"/>
      <c r="L3385" s="10"/>
      <c r="M3385" s="44" t="s">
        <v>10178</v>
      </c>
      <c r="N3385" s="45"/>
      <c r="O3385" s="20"/>
      <c r="P3385" s="20"/>
      <c r="Q3385" s="20"/>
      <c r="R3385" s="20"/>
      <c r="S3385" s="20"/>
    </row>
    <row r="3386">
      <c r="A3386" s="23"/>
      <c r="B3386" s="21"/>
      <c r="C3386" s="23"/>
      <c r="D3386" s="24"/>
      <c r="E3386" s="14"/>
      <c r="F3386" s="14"/>
      <c r="G3386" s="14"/>
      <c r="H3386" s="23"/>
      <c r="I3386" s="23"/>
      <c r="J3386" s="23"/>
      <c r="K3386" s="30"/>
      <c r="L3386" s="23"/>
      <c r="M3386" s="50" t="s">
        <v>10178</v>
      </c>
      <c r="N3386" s="51"/>
      <c r="O3386" s="20"/>
      <c r="P3386" s="20"/>
      <c r="Q3386" s="20"/>
      <c r="R3386" s="20"/>
      <c r="S3386" s="20"/>
    </row>
    <row r="3387">
      <c r="A3387" s="10"/>
      <c r="B3387" s="11"/>
      <c r="C3387" s="10"/>
      <c r="D3387" s="13"/>
      <c r="E3387" s="14"/>
      <c r="F3387" s="14"/>
      <c r="G3387" s="14"/>
      <c r="H3387" s="10"/>
      <c r="I3387" s="10"/>
      <c r="J3387" s="10"/>
      <c r="K3387" s="46"/>
      <c r="L3387" s="10"/>
      <c r="M3387" s="44" t="s">
        <v>10178</v>
      </c>
      <c r="N3387" s="45"/>
      <c r="O3387" s="20"/>
      <c r="P3387" s="20"/>
      <c r="Q3387" s="20"/>
      <c r="R3387" s="20"/>
      <c r="S3387" s="20"/>
    </row>
    <row r="3388">
      <c r="A3388" s="23"/>
      <c r="B3388" s="21"/>
      <c r="C3388" s="23"/>
      <c r="D3388" s="24"/>
      <c r="E3388" s="14"/>
      <c r="F3388" s="14"/>
      <c r="G3388" s="14"/>
      <c r="H3388" s="23"/>
      <c r="I3388" s="23"/>
      <c r="J3388" s="23"/>
      <c r="K3388" s="30"/>
      <c r="L3388" s="23"/>
      <c r="M3388" s="50" t="s">
        <v>10178</v>
      </c>
      <c r="N3388" s="51"/>
      <c r="O3388" s="20"/>
      <c r="P3388" s="20"/>
      <c r="Q3388" s="20"/>
      <c r="R3388" s="20"/>
      <c r="S3388" s="20"/>
    </row>
    <row r="3389">
      <c r="A3389" s="10"/>
      <c r="B3389" s="11"/>
      <c r="C3389" s="10"/>
      <c r="D3389" s="13"/>
      <c r="E3389" s="14"/>
      <c r="F3389" s="14"/>
      <c r="G3389" s="14"/>
      <c r="H3389" s="10"/>
      <c r="I3389" s="10"/>
      <c r="J3389" s="10"/>
      <c r="K3389" s="46"/>
      <c r="L3389" s="10"/>
      <c r="M3389" s="44" t="s">
        <v>10178</v>
      </c>
      <c r="N3389" s="45"/>
      <c r="O3389" s="20"/>
      <c r="P3389" s="20"/>
      <c r="Q3389" s="20"/>
      <c r="R3389" s="20"/>
      <c r="S3389" s="20"/>
    </row>
    <row r="3390">
      <c r="A3390" s="23"/>
      <c r="B3390" s="21"/>
      <c r="C3390" s="23"/>
      <c r="D3390" s="24"/>
      <c r="E3390" s="14"/>
      <c r="F3390" s="14"/>
      <c r="G3390" s="14"/>
      <c r="H3390" s="23"/>
      <c r="I3390" s="23"/>
      <c r="J3390" s="23"/>
      <c r="K3390" s="30"/>
      <c r="L3390" s="23"/>
      <c r="M3390" s="50" t="s">
        <v>10178</v>
      </c>
      <c r="N3390" s="51"/>
      <c r="O3390" s="20"/>
      <c r="P3390" s="20"/>
      <c r="Q3390" s="20"/>
      <c r="R3390" s="20"/>
      <c r="S3390" s="20"/>
    </row>
    <row r="3391">
      <c r="A3391" s="10"/>
      <c r="B3391" s="11"/>
      <c r="C3391" s="10"/>
      <c r="D3391" s="13"/>
      <c r="E3391" s="14"/>
      <c r="F3391" s="14"/>
      <c r="G3391" s="14"/>
      <c r="H3391" s="10"/>
      <c r="I3391" s="10"/>
      <c r="J3391" s="10"/>
      <c r="K3391" s="46"/>
      <c r="L3391" s="10"/>
      <c r="M3391" s="44" t="s">
        <v>10178</v>
      </c>
      <c r="N3391" s="45"/>
      <c r="O3391" s="20"/>
      <c r="P3391" s="20"/>
      <c r="Q3391" s="20"/>
      <c r="R3391" s="20"/>
      <c r="S3391" s="20"/>
    </row>
    <row r="3392">
      <c r="A3392" s="23"/>
      <c r="B3392" s="21"/>
      <c r="C3392" s="23"/>
      <c r="D3392" s="24"/>
      <c r="E3392" s="14"/>
      <c r="F3392" s="14"/>
      <c r="G3392" s="14"/>
      <c r="H3392" s="23"/>
      <c r="I3392" s="23"/>
      <c r="J3392" s="23"/>
      <c r="K3392" s="30"/>
      <c r="L3392" s="23"/>
      <c r="M3392" s="50" t="s">
        <v>10178</v>
      </c>
      <c r="N3392" s="51"/>
      <c r="O3392" s="20"/>
      <c r="P3392" s="20"/>
      <c r="Q3392" s="20"/>
      <c r="R3392" s="20"/>
      <c r="S3392" s="20"/>
    </row>
    <row r="3393">
      <c r="A3393" s="10"/>
      <c r="B3393" s="11"/>
      <c r="C3393" s="10"/>
      <c r="D3393" s="13"/>
      <c r="E3393" s="14"/>
      <c r="F3393" s="14"/>
      <c r="G3393" s="14"/>
      <c r="H3393" s="10"/>
      <c r="I3393" s="10"/>
      <c r="J3393" s="10"/>
      <c r="K3393" s="46"/>
      <c r="L3393" s="10"/>
      <c r="M3393" s="44" t="s">
        <v>10178</v>
      </c>
      <c r="N3393" s="45"/>
      <c r="O3393" s="20"/>
      <c r="P3393" s="20"/>
      <c r="Q3393" s="20"/>
      <c r="R3393" s="20"/>
      <c r="S3393" s="20"/>
    </row>
    <row r="3394">
      <c r="A3394" s="23"/>
      <c r="B3394" s="21"/>
      <c r="C3394" s="23"/>
      <c r="D3394" s="24"/>
      <c r="E3394" s="14"/>
      <c r="F3394" s="14"/>
      <c r="G3394" s="14"/>
      <c r="H3394" s="23"/>
      <c r="I3394" s="23"/>
      <c r="J3394" s="23"/>
      <c r="K3394" s="30"/>
      <c r="L3394" s="23"/>
      <c r="M3394" s="50" t="s">
        <v>10178</v>
      </c>
      <c r="N3394" s="51"/>
      <c r="O3394" s="20"/>
      <c r="P3394" s="20"/>
      <c r="Q3394" s="20"/>
      <c r="R3394" s="20"/>
      <c r="S3394" s="20"/>
    </row>
    <row r="3395">
      <c r="A3395" s="10"/>
      <c r="B3395" s="11"/>
      <c r="C3395" s="10"/>
      <c r="D3395" s="13"/>
      <c r="E3395" s="14"/>
      <c r="F3395" s="14"/>
      <c r="G3395" s="14"/>
      <c r="H3395" s="10"/>
      <c r="I3395" s="10"/>
      <c r="J3395" s="10"/>
      <c r="K3395" s="46"/>
      <c r="L3395" s="10"/>
      <c r="M3395" s="44" t="s">
        <v>10178</v>
      </c>
      <c r="N3395" s="45"/>
      <c r="O3395" s="20"/>
      <c r="P3395" s="20"/>
      <c r="Q3395" s="20"/>
      <c r="R3395" s="20"/>
      <c r="S3395" s="20"/>
    </row>
    <row r="3396">
      <c r="A3396" s="23"/>
      <c r="B3396" s="21"/>
      <c r="C3396" s="23"/>
      <c r="D3396" s="24"/>
      <c r="E3396" s="14"/>
      <c r="F3396" s="14"/>
      <c r="G3396" s="14"/>
      <c r="H3396" s="23"/>
      <c r="I3396" s="23"/>
      <c r="J3396" s="23"/>
      <c r="K3396" s="30"/>
      <c r="L3396" s="23"/>
      <c r="M3396" s="50" t="s">
        <v>10178</v>
      </c>
      <c r="N3396" s="51"/>
      <c r="O3396" s="20"/>
      <c r="P3396" s="20"/>
      <c r="Q3396" s="20"/>
      <c r="R3396" s="20"/>
      <c r="S3396" s="20"/>
    </row>
    <row r="3397">
      <c r="A3397" s="10"/>
      <c r="B3397" s="11"/>
      <c r="C3397" s="10"/>
      <c r="D3397" s="13"/>
      <c r="E3397" s="14"/>
      <c r="F3397" s="14"/>
      <c r="G3397" s="14"/>
      <c r="H3397" s="10"/>
      <c r="I3397" s="10"/>
      <c r="J3397" s="10"/>
      <c r="K3397" s="46"/>
      <c r="L3397" s="10"/>
      <c r="M3397" s="44" t="s">
        <v>10178</v>
      </c>
      <c r="N3397" s="45"/>
      <c r="O3397" s="20"/>
      <c r="P3397" s="20"/>
      <c r="Q3397" s="20"/>
      <c r="R3397" s="20"/>
      <c r="S3397" s="20"/>
    </row>
    <row r="3398">
      <c r="A3398" s="23"/>
      <c r="B3398" s="21"/>
      <c r="C3398" s="23"/>
      <c r="D3398" s="24"/>
      <c r="E3398" s="14"/>
      <c r="F3398" s="14"/>
      <c r="G3398" s="14"/>
      <c r="H3398" s="23"/>
      <c r="I3398" s="23"/>
      <c r="J3398" s="23"/>
      <c r="K3398" s="30"/>
      <c r="L3398" s="23"/>
      <c r="M3398" s="50" t="s">
        <v>10178</v>
      </c>
      <c r="N3398" s="51"/>
      <c r="O3398" s="20"/>
      <c r="P3398" s="20"/>
      <c r="Q3398" s="20"/>
      <c r="R3398" s="20"/>
      <c r="S3398" s="20"/>
    </row>
    <row r="3399">
      <c r="A3399" s="10"/>
      <c r="B3399" s="11"/>
      <c r="C3399" s="10"/>
      <c r="D3399" s="13"/>
      <c r="E3399" s="14"/>
      <c r="F3399" s="14"/>
      <c r="G3399" s="14"/>
      <c r="H3399" s="10"/>
      <c r="I3399" s="10"/>
      <c r="J3399" s="10"/>
      <c r="K3399" s="46"/>
      <c r="L3399" s="10"/>
      <c r="M3399" s="44" t="s">
        <v>10178</v>
      </c>
      <c r="N3399" s="45"/>
      <c r="O3399" s="20"/>
      <c r="P3399" s="20"/>
      <c r="Q3399" s="20"/>
      <c r="R3399" s="20"/>
      <c r="S3399" s="20"/>
    </row>
    <row r="3400">
      <c r="A3400" s="23"/>
      <c r="B3400" s="21"/>
      <c r="C3400" s="23"/>
      <c r="D3400" s="24"/>
      <c r="E3400" s="14"/>
      <c r="F3400" s="14"/>
      <c r="G3400" s="14"/>
      <c r="H3400" s="23"/>
      <c r="I3400" s="23"/>
      <c r="J3400" s="23"/>
      <c r="K3400" s="30"/>
      <c r="L3400" s="23"/>
      <c r="M3400" s="50" t="s">
        <v>10178</v>
      </c>
      <c r="N3400" s="51"/>
      <c r="O3400" s="20"/>
      <c r="P3400" s="20"/>
      <c r="Q3400" s="20"/>
      <c r="R3400" s="20"/>
      <c r="S3400" s="20"/>
    </row>
    <row r="3401">
      <c r="A3401" s="10"/>
      <c r="B3401" s="11"/>
      <c r="C3401" s="10"/>
      <c r="D3401" s="13"/>
      <c r="E3401" s="14"/>
      <c r="F3401" s="14"/>
      <c r="G3401" s="14"/>
      <c r="H3401" s="10"/>
      <c r="I3401" s="10"/>
      <c r="J3401" s="10"/>
      <c r="K3401" s="46"/>
      <c r="L3401" s="10"/>
      <c r="M3401" s="44" t="s">
        <v>10178</v>
      </c>
      <c r="N3401" s="45"/>
      <c r="O3401" s="20"/>
      <c r="P3401" s="20"/>
      <c r="Q3401" s="20"/>
      <c r="R3401" s="20"/>
      <c r="S3401" s="20"/>
    </row>
    <row r="3402">
      <c r="A3402" s="23"/>
      <c r="B3402" s="21"/>
      <c r="C3402" s="23"/>
      <c r="D3402" s="24"/>
      <c r="E3402" s="14"/>
      <c r="F3402" s="14"/>
      <c r="G3402" s="14"/>
      <c r="H3402" s="23"/>
      <c r="I3402" s="23"/>
      <c r="J3402" s="23"/>
      <c r="K3402" s="30"/>
      <c r="L3402" s="23"/>
      <c r="M3402" s="50" t="s">
        <v>10178</v>
      </c>
      <c r="N3402" s="51"/>
      <c r="O3402" s="20"/>
      <c r="P3402" s="20"/>
      <c r="Q3402" s="20"/>
      <c r="R3402" s="20"/>
      <c r="S3402" s="20"/>
    </row>
    <row r="3403">
      <c r="A3403" s="10"/>
      <c r="B3403" s="11"/>
      <c r="C3403" s="10"/>
      <c r="D3403" s="13"/>
      <c r="E3403" s="14"/>
      <c r="F3403" s="14"/>
      <c r="G3403" s="14"/>
      <c r="H3403" s="10"/>
      <c r="I3403" s="10"/>
      <c r="J3403" s="10"/>
      <c r="K3403" s="46"/>
      <c r="L3403" s="10"/>
      <c r="M3403" s="44" t="s">
        <v>10178</v>
      </c>
      <c r="N3403" s="45"/>
      <c r="O3403" s="20"/>
      <c r="P3403" s="20"/>
      <c r="Q3403" s="20"/>
      <c r="R3403" s="20"/>
      <c r="S3403" s="20"/>
    </row>
    <row r="3404">
      <c r="A3404" s="23"/>
      <c r="B3404" s="21"/>
      <c r="C3404" s="23"/>
      <c r="D3404" s="24"/>
      <c r="E3404" s="14"/>
      <c r="F3404" s="14"/>
      <c r="G3404" s="14"/>
      <c r="H3404" s="23"/>
      <c r="I3404" s="23"/>
      <c r="J3404" s="23"/>
      <c r="K3404" s="30"/>
      <c r="L3404" s="23"/>
      <c r="M3404" s="50" t="s">
        <v>10178</v>
      </c>
      <c r="N3404" s="51"/>
      <c r="O3404" s="20"/>
      <c r="P3404" s="20"/>
      <c r="Q3404" s="20"/>
      <c r="R3404" s="20"/>
      <c r="S3404" s="20"/>
    </row>
    <row r="3405">
      <c r="A3405" s="10"/>
      <c r="B3405" s="11"/>
      <c r="C3405" s="10"/>
      <c r="D3405" s="13"/>
      <c r="E3405" s="14"/>
      <c r="F3405" s="14"/>
      <c r="G3405" s="14"/>
      <c r="H3405" s="10"/>
      <c r="I3405" s="10"/>
      <c r="J3405" s="10"/>
      <c r="K3405" s="46"/>
      <c r="L3405" s="10"/>
      <c r="M3405" s="44" t="s">
        <v>10178</v>
      </c>
      <c r="N3405" s="45"/>
      <c r="O3405" s="20"/>
      <c r="P3405" s="20"/>
      <c r="Q3405" s="20"/>
      <c r="R3405" s="20"/>
      <c r="S3405" s="20"/>
    </row>
    <row r="3406">
      <c r="A3406" s="23"/>
      <c r="B3406" s="21"/>
      <c r="C3406" s="23"/>
      <c r="D3406" s="24"/>
      <c r="E3406" s="14"/>
      <c r="F3406" s="14"/>
      <c r="G3406" s="14"/>
      <c r="H3406" s="23"/>
      <c r="I3406" s="23"/>
      <c r="J3406" s="23"/>
      <c r="K3406" s="30"/>
      <c r="L3406" s="23"/>
      <c r="M3406" s="50" t="s">
        <v>10178</v>
      </c>
      <c r="N3406" s="51"/>
      <c r="O3406" s="20"/>
      <c r="P3406" s="20"/>
      <c r="Q3406" s="20"/>
      <c r="R3406" s="20"/>
      <c r="S3406" s="20"/>
    </row>
    <row r="3407">
      <c r="A3407" s="10"/>
      <c r="B3407" s="11"/>
      <c r="C3407" s="10"/>
      <c r="D3407" s="13"/>
      <c r="E3407" s="14"/>
      <c r="F3407" s="14"/>
      <c r="G3407" s="14"/>
      <c r="H3407" s="10"/>
      <c r="I3407" s="10"/>
      <c r="J3407" s="10"/>
      <c r="K3407" s="46"/>
      <c r="L3407" s="10"/>
      <c r="M3407" s="44" t="s">
        <v>10178</v>
      </c>
      <c r="N3407" s="45"/>
      <c r="O3407" s="20"/>
      <c r="P3407" s="20"/>
      <c r="Q3407" s="20"/>
      <c r="R3407" s="20"/>
      <c r="S3407" s="20"/>
    </row>
    <row r="3408">
      <c r="A3408" s="23"/>
      <c r="B3408" s="21"/>
      <c r="C3408" s="23"/>
      <c r="D3408" s="24"/>
      <c r="E3408" s="14"/>
      <c r="F3408" s="14"/>
      <c r="G3408" s="14"/>
      <c r="H3408" s="23"/>
      <c r="I3408" s="23"/>
      <c r="J3408" s="23"/>
      <c r="K3408" s="30"/>
      <c r="L3408" s="23"/>
      <c r="M3408" s="50" t="s">
        <v>10178</v>
      </c>
      <c r="N3408" s="51"/>
      <c r="O3408" s="20"/>
      <c r="P3408" s="20"/>
      <c r="Q3408" s="20"/>
      <c r="R3408" s="20"/>
      <c r="S3408" s="20"/>
    </row>
    <row r="3409">
      <c r="A3409" s="10"/>
      <c r="B3409" s="11"/>
      <c r="C3409" s="10"/>
      <c r="D3409" s="13"/>
      <c r="E3409" s="14"/>
      <c r="F3409" s="14"/>
      <c r="G3409" s="14"/>
      <c r="H3409" s="10"/>
      <c r="I3409" s="10"/>
      <c r="J3409" s="10"/>
      <c r="K3409" s="46"/>
      <c r="L3409" s="10"/>
      <c r="M3409" s="44" t="s">
        <v>10178</v>
      </c>
      <c r="N3409" s="45"/>
      <c r="O3409" s="20"/>
      <c r="P3409" s="20"/>
      <c r="Q3409" s="20"/>
      <c r="R3409" s="20"/>
      <c r="S3409" s="20"/>
    </row>
    <row r="3410">
      <c r="A3410" s="23"/>
      <c r="B3410" s="21"/>
      <c r="C3410" s="23"/>
      <c r="D3410" s="24"/>
      <c r="E3410" s="14"/>
      <c r="F3410" s="14"/>
      <c r="G3410" s="14"/>
      <c r="H3410" s="23"/>
      <c r="I3410" s="23"/>
      <c r="J3410" s="23"/>
      <c r="K3410" s="30"/>
      <c r="L3410" s="23"/>
      <c r="M3410" s="50" t="s">
        <v>10178</v>
      </c>
      <c r="N3410" s="51"/>
      <c r="O3410" s="20"/>
      <c r="P3410" s="20"/>
      <c r="Q3410" s="20"/>
      <c r="R3410" s="20"/>
      <c r="S3410" s="20"/>
    </row>
    <row r="3411">
      <c r="A3411" s="10"/>
      <c r="B3411" s="11"/>
      <c r="C3411" s="10"/>
      <c r="D3411" s="13"/>
      <c r="E3411" s="14"/>
      <c r="F3411" s="14"/>
      <c r="G3411" s="14"/>
      <c r="H3411" s="10"/>
      <c r="I3411" s="10"/>
      <c r="J3411" s="10"/>
      <c r="K3411" s="46"/>
      <c r="L3411" s="10"/>
      <c r="M3411" s="44" t="s">
        <v>10178</v>
      </c>
      <c r="N3411" s="45"/>
      <c r="O3411" s="20"/>
      <c r="P3411" s="20"/>
      <c r="Q3411" s="20"/>
      <c r="R3411" s="20"/>
      <c r="S3411" s="20"/>
    </row>
    <row r="3412">
      <c r="A3412" s="23"/>
      <c r="B3412" s="21"/>
      <c r="C3412" s="23"/>
      <c r="D3412" s="24"/>
      <c r="E3412" s="14"/>
      <c r="F3412" s="14"/>
      <c r="G3412" s="14"/>
      <c r="H3412" s="23"/>
      <c r="I3412" s="23"/>
      <c r="J3412" s="23"/>
      <c r="K3412" s="30"/>
      <c r="L3412" s="23"/>
      <c r="M3412" s="50" t="s">
        <v>10178</v>
      </c>
      <c r="N3412" s="51"/>
      <c r="O3412" s="20"/>
      <c r="P3412" s="20"/>
      <c r="Q3412" s="20"/>
      <c r="R3412" s="20"/>
      <c r="S3412" s="20"/>
    </row>
    <row r="3413">
      <c r="A3413" s="10"/>
      <c r="B3413" s="11"/>
      <c r="C3413" s="10"/>
      <c r="D3413" s="13"/>
      <c r="E3413" s="14"/>
      <c r="F3413" s="14"/>
      <c r="G3413" s="14"/>
      <c r="H3413" s="10"/>
      <c r="I3413" s="10"/>
      <c r="J3413" s="10"/>
      <c r="K3413" s="46"/>
      <c r="L3413" s="10"/>
      <c r="M3413" s="44" t="s">
        <v>10178</v>
      </c>
      <c r="N3413" s="45"/>
      <c r="O3413" s="20"/>
      <c r="P3413" s="20"/>
      <c r="Q3413" s="20"/>
      <c r="R3413" s="20"/>
      <c r="S3413" s="20"/>
    </row>
    <row r="3414">
      <c r="A3414" s="23"/>
      <c r="B3414" s="21"/>
      <c r="C3414" s="23"/>
      <c r="D3414" s="24"/>
      <c r="E3414" s="14"/>
      <c r="F3414" s="14"/>
      <c r="G3414" s="14"/>
      <c r="H3414" s="23"/>
      <c r="I3414" s="23"/>
      <c r="J3414" s="23"/>
      <c r="K3414" s="30"/>
      <c r="L3414" s="23"/>
      <c r="M3414" s="50" t="s">
        <v>10178</v>
      </c>
      <c r="N3414" s="51"/>
      <c r="O3414" s="20"/>
      <c r="P3414" s="20"/>
      <c r="Q3414" s="20"/>
      <c r="R3414" s="20"/>
      <c r="S3414" s="20"/>
    </row>
    <row r="3415">
      <c r="A3415" s="10"/>
      <c r="B3415" s="11"/>
      <c r="C3415" s="10"/>
      <c r="D3415" s="13"/>
      <c r="E3415" s="14"/>
      <c r="F3415" s="14"/>
      <c r="G3415" s="14"/>
      <c r="H3415" s="10"/>
      <c r="I3415" s="10"/>
      <c r="J3415" s="10"/>
      <c r="K3415" s="46"/>
      <c r="L3415" s="10"/>
      <c r="M3415" s="44" t="s">
        <v>10178</v>
      </c>
      <c r="N3415" s="45"/>
      <c r="O3415" s="20"/>
      <c r="P3415" s="20"/>
      <c r="Q3415" s="20"/>
      <c r="R3415" s="20"/>
      <c r="S3415" s="20"/>
    </row>
    <row r="3416">
      <c r="A3416" s="23"/>
      <c r="B3416" s="21"/>
      <c r="C3416" s="23"/>
      <c r="D3416" s="24"/>
      <c r="E3416" s="14"/>
      <c r="F3416" s="14"/>
      <c r="G3416" s="14"/>
      <c r="H3416" s="23"/>
      <c r="I3416" s="23"/>
      <c r="J3416" s="23"/>
      <c r="K3416" s="30"/>
      <c r="L3416" s="23"/>
      <c r="M3416" s="50" t="s">
        <v>10178</v>
      </c>
      <c r="N3416" s="51"/>
      <c r="O3416" s="20"/>
      <c r="P3416" s="20"/>
      <c r="Q3416" s="20"/>
      <c r="R3416" s="20"/>
      <c r="S3416" s="20"/>
    </row>
    <row r="3417">
      <c r="A3417" s="10"/>
      <c r="B3417" s="11"/>
      <c r="C3417" s="10"/>
      <c r="D3417" s="13"/>
      <c r="E3417" s="14"/>
      <c r="F3417" s="14"/>
      <c r="G3417" s="14"/>
      <c r="H3417" s="10"/>
      <c r="I3417" s="10"/>
      <c r="J3417" s="10"/>
      <c r="K3417" s="46"/>
      <c r="L3417" s="10"/>
      <c r="M3417" s="44" t="s">
        <v>10178</v>
      </c>
      <c r="N3417" s="45"/>
      <c r="O3417" s="20"/>
      <c r="P3417" s="20"/>
      <c r="Q3417" s="20"/>
      <c r="R3417" s="20"/>
      <c r="S3417" s="20"/>
    </row>
    <row r="3418">
      <c r="A3418" s="23"/>
      <c r="B3418" s="21"/>
      <c r="C3418" s="23"/>
      <c r="D3418" s="24"/>
      <c r="E3418" s="14"/>
      <c r="F3418" s="14"/>
      <c r="G3418" s="14"/>
      <c r="H3418" s="23"/>
      <c r="I3418" s="23"/>
      <c r="J3418" s="23"/>
      <c r="K3418" s="30"/>
      <c r="L3418" s="23"/>
      <c r="M3418" s="50" t="s">
        <v>10178</v>
      </c>
      <c r="N3418" s="51"/>
      <c r="O3418" s="20"/>
      <c r="P3418" s="20"/>
      <c r="Q3418" s="20"/>
      <c r="R3418" s="20"/>
      <c r="S3418" s="20"/>
    </row>
    <row r="3419">
      <c r="A3419" s="10"/>
      <c r="B3419" s="11"/>
      <c r="C3419" s="10"/>
      <c r="D3419" s="13"/>
      <c r="E3419" s="14"/>
      <c r="F3419" s="14"/>
      <c r="G3419" s="14"/>
      <c r="H3419" s="10"/>
      <c r="I3419" s="10"/>
      <c r="J3419" s="10"/>
      <c r="K3419" s="46"/>
      <c r="L3419" s="10"/>
      <c r="M3419" s="44" t="s">
        <v>10178</v>
      </c>
      <c r="N3419" s="45"/>
      <c r="O3419" s="20"/>
      <c r="P3419" s="20"/>
      <c r="Q3419" s="20"/>
      <c r="R3419" s="20"/>
      <c r="S3419" s="20"/>
    </row>
    <row r="3420">
      <c r="A3420" s="23"/>
      <c r="B3420" s="21"/>
      <c r="C3420" s="23"/>
      <c r="D3420" s="24"/>
      <c r="E3420" s="14"/>
      <c r="F3420" s="14"/>
      <c r="G3420" s="14"/>
      <c r="H3420" s="23"/>
      <c r="I3420" s="23"/>
      <c r="J3420" s="23"/>
      <c r="K3420" s="30"/>
      <c r="L3420" s="23"/>
      <c r="M3420" s="50" t="s">
        <v>10178</v>
      </c>
      <c r="N3420" s="51"/>
      <c r="O3420" s="20"/>
      <c r="P3420" s="20"/>
      <c r="Q3420" s="20"/>
      <c r="R3420" s="20"/>
      <c r="S3420" s="20"/>
    </row>
    <row r="3421">
      <c r="A3421" s="10"/>
      <c r="B3421" s="11"/>
      <c r="C3421" s="10"/>
      <c r="D3421" s="13"/>
      <c r="E3421" s="14"/>
      <c r="F3421" s="14"/>
      <c r="G3421" s="14"/>
      <c r="H3421" s="10"/>
      <c r="I3421" s="10"/>
      <c r="J3421" s="10"/>
      <c r="K3421" s="46"/>
      <c r="L3421" s="10"/>
      <c r="M3421" s="44" t="s">
        <v>10178</v>
      </c>
      <c r="N3421" s="45"/>
      <c r="O3421" s="20"/>
      <c r="P3421" s="20"/>
      <c r="Q3421" s="20"/>
      <c r="R3421" s="20"/>
      <c r="S3421" s="20"/>
    </row>
    <row r="3422">
      <c r="A3422" s="23"/>
      <c r="B3422" s="21"/>
      <c r="C3422" s="23"/>
      <c r="D3422" s="24"/>
      <c r="E3422" s="14"/>
      <c r="F3422" s="14"/>
      <c r="G3422" s="14"/>
      <c r="H3422" s="23"/>
      <c r="I3422" s="23"/>
      <c r="J3422" s="23"/>
      <c r="K3422" s="30"/>
      <c r="L3422" s="23"/>
      <c r="M3422" s="50" t="s">
        <v>10178</v>
      </c>
      <c r="N3422" s="51"/>
      <c r="O3422" s="20"/>
      <c r="P3422" s="20"/>
      <c r="Q3422" s="20"/>
      <c r="R3422" s="20"/>
      <c r="S3422" s="20"/>
    </row>
    <row r="3423">
      <c r="A3423" s="10"/>
      <c r="B3423" s="11"/>
      <c r="C3423" s="10"/>
      <c r="D3423" s="13"/>
      <c r="E3423" s="14"/>
      <c r="F3423" s="14"/>
      <c r="G3423" s="14"/>
      <c r="H3423" s="10"/>
      <c r="I3423" s="10"/>
      <c r="J3423" s="10"/>
      <c r="K3423" s="46"/>
      <c r="L3423" s="10"/>
      <c r="M3423" s="44" t="s">
        <v>10178</v>
      </c>
      <c r="N3423" s="45"/>
      <c r="O3423" s="20"/>
      <c r="P3423" s="20"/>
      <c r="Q3423" s="20"/>
      <c r="R3423" s="20"/>
      <c r="S3423" s="20"/>
    </row>
    <row r="3424">
      <c r="A3424" s="23"/>
      <c r="B3424" s="21"/>
      <c r="C3424" s="23"/>
      <c r="D3424" s="24"/>
      <c r="E3424" s="14"/>
      <c r="F3424" s="14"/>
      <c r="G3424" s="14"/>
      <c r="H3424" s="23"/>
      <c r="I3424" s="23"/>
      <c r="J3424" s="23"/>
      <c r="K3424" s="30"/>
      <c r="L3424" s="23"/>
      <c r="M3424" s="50" t="s">
        <v>10178</v>
      </c>
      <c r="N3424" s="51"/>
      <c r="O3424" s="20"/>
      <c r="P3424" s="20"/>
      <c r="Q3424" s="20"/>
      <c r="R3424" s="20"/>
      <c r="S3424" s="20"/>
    </row>
    <row r="3425">
      <c r="A3425" s="10"/>
      <c r="B3425" s="11"/>
      <c r="C3425" s="10"/>
      <c r="D3425" s="13"/>
      <c r="E3425" s="14"/>
      <c r="F3425" s="14"/>
      <c r="G3425" s="14"/>
      <c r="H3425" s="10"/>
      <c r="I3425" s="10"/>
      <c r="J3425" s="10"/>
      <c r="K3425" s="46"/>
      <c r="L3425" s="10"/>
      <c r="M3425" s="44" t="s">
        <v>10178</v>
      </c>
      <c r="N3425" s="45"/>
      <c r="O3425" s="20"/>
      <c r="P3425" s="20"/>
      <c r="Q3425" s="20"/>
      <c r="R3425" s="20"/>
      <c r="S3425" s="20"/>
    </row>
    <row r="3426">
      <c r="A3426" s="23"/>
      <c r="B3426" s="21"/>
      <c r="C3426" s="23"/>
      <c r="D3426" s="24"/>
      <c r="E3426" s="14"/>
      <c r="F3426" s="14"/>
      <c r="G3426" s="14"/>
      <c r="H3426" s="23"/>
      <c r="I3426" s="23"/>
      <c r="J3426" s="23"/>
      <c r="K3426" s="30"/>
      <c r="L3426" s="23"/>
      <c r="M3426" s="50" t="s">
        <v>10178</v>
      </c>
      <c r="N3426" s="51"/>
      <c r="O3426" s="20"/>
      <c r="P3426" s="20"/>
      <c r="Q3426" s="20"/>
      <c r="R3426" s="20"/>
      <c r="S3426" s="20"/>
    </row>
    <row r="3427">
      <c r="A3427" s="10"/>
      <c r="B3427" s="11"/>
      <c r="C3427" s="10"/>
      <c r="D3427" s="13"/>
      <c r="E3427" s="14"/>
      <c r="F3427" s="14"/>
      <c r="G3427" s="14"/>
      <c r="H3427" s="10"/>
      <c r="I3427" s="10"/>
      <c r="J3427" s="10"/>
      <c r="K3427" s="46"/>
      <c r="L3427" s="10"/>
      <c r="M3427" s="44" t="s">
        <v>10178</v>
      </c>
      <c r="N3427" s="45"/>
      <c r="O3427" s="20"/>
      <c r="P3427" s="20"/>
      <c r="Q3427" s="20"/>
      <c r="R3427" s="20"/>
      <c r="S3427" s="20"/>
    </row>
    <row r="3428">
      <c r="A3428" s="23"/>
      <c r="B3428" s="21"/>
      <c r="C3428" s="23"/>
      <c r="D3428" s="24"/>
      <c r="E3428" s="14"/>
      <c r="F3428" s="14"/>
      <c r="G3428" s="14"/>
      <c r="H3428" s="23"/>
      <c r="I3428" s="23"/>
      <c r="J3428" s="23"/>
      <c r="K3428" s="30"/>
      <c r="L3428" s="23"/>
      <c r="M3428" s="50" t="s">
        <v>10178</v>
      </c>
      <c r="N3428" s="51"/>
      <c r="O3428" s="20"/>
      <c r="P3428" s="20"/>
      <c r="Q3428" s="20"/>
      <c r="R3428" s="20"/>
      <c r="S3428" s="20"/>
    </row>
    <row r="3429">
      <c r="A3429" s="10"/>
      <c r="B3429" s="11"/>
      <c r="C3429" s="10"/>
      <c r="D3429" s="13"/>
      <c r="E3429" s="14"/>
      <c r="F3429" s="14"/>
      <c r="G3429" s="14"/>
      <c r="H3429" s="10"/>
      <c r="I3429" s="10"/>
      <c r="J3429" s="10"/>
      <c r="K3429" s="46"/>
      <c r="L3429" s="10"/>
      <c r="M3429" s="44" t="s">
        <v>10178</v>
      </c>
      <c r="N3429" s="45"/>
      <c r="O3429" s="20"/>
      <c r="P3429" s="20"/>
      <c r="Q3429" s="20"/>
      <c r="R3429" s="20"/>
      <c r="S3429" s="20"/>
    </row>
    <row r="3430">
      <c r="A3430" s="23"/>
      <c r="B3430" s="21"/>
      <c r="C3430" s="23"/>
      <c r="D3430" s="24"/>
      <c r="E3430" s="14"/>
      <c r="F3430" s="14"/>
      <c r="G3430" s="14"/>
      <c r="H3430" s="23"/>
      <c r="I3430" s="23"/>
      <c r="J3430" s="23"/>
      <c r="K3430" s="30"/>
      <c r="L3430" s="23"/>
      <c r="M3430" s="50" t="s">
        <v>10178</v>
      </c>
      <c r="N3430" s="51"/>
      <c r="O3430" s="20"/>
      <c r="P3430" s="20"/>
      <c r="Q3430" s="20"/>
      <c r="R3430" s="20"/>
      <c r="S3430" s="20"/>
    </row>
    <row r="3431">
      <c r="A3431" s="10"/>
      <c r="B3431" s="11"/>
      <c r="C3431" s="10"/>
      <c r="D3431" s="13"/>
      <c r="E3431" s="14"/>
      <c r="F3431" s="14"/>
      <c r="G3431" s="14"/>
      <c r="H3431" s="10"/>
      <c r="I3431" s="10"/>
      <c r="J3431" s="10"/>
      <c r="K3431" s="46"/>
      <c r="L3431" s="10"/>
      <c r="M3431" s="44" t="s">
        <v>10178</v>
      </c>
      <c r="N3431" s="45"/>
      <c r="O3431" s="20"/>
      <c r="P3431" s="20"/>
      <c r="Q3431" s="20"/>
      <c r="R3431" s="20"/>
      <c r="S3431" s="20"/>
    </row>
    <row r="3432">
      <c r="A3432" s="23"/>
      <c r="B3432" s="21"/>
      <c r="C3432" s="23"/>
      <c r="D3432" s="24"/>
      <c r="E3432" s="14"/>
      <c r="F3432" s="14"/>
      <c r="G3432" s="14"/>
      <c r="H3432" s="23"/>
      <c r="I3432" s="23"/>
      <c r="J3432" s="23"/>
      <c r="K3432" s="30"/>
      <c r="L3432" s="23"/>
      <c r="M3432" s="50" t="s">
        <v>10178</v>
      </c>
      <c r="N3432" s="51"/>
      <c r="O3432" s="20"/>
      <c r="P3432" s="20"/>
      <c r="Q3432" s="20"/>
      <c r="R3432" s="20"/>
      <c r="S3432" s="20"/>
    </row>
    <row r="3433">
      <c r="A3433" s="10"/>
      <c r="B3433" s="11"/>
      <c r="C3433" s="10"/>
      <c r="D3433" s="13"/>
      <c r="E3433" s="14"/>
      <c r="F3433" s="14"/>
      <c r="G3433" s="14"/>
      <c r="H3433" s="10"/>
      <c r="I3433" s="10"/>
      <c r="J3433" s="10"/>
      <c r="K3433" s="46"/>
      <c r="L3433" s="10"/>
      <c r="M3433" s="44" t="s">
        <v>10178</v>
      </c>
      <c r="N3433" s="45"/>
      <c r="O3433" s="20"/>
      <c r="P3433" s="20"/>
      <c r="Q3433" s="20"/>
      <c r="R3433" s="20"/>
      <c r="S3433" s="20"/>
    </row>
    <row r="3434">
      <c r="A3434" s="23"/>
      <c r="B3434" s="21"/>
      <c r="C3434" s="23"/>
      <c r="D3434" s="24"/>
      <c r="E3434" s="14"/>
      <c r="F3434" s="14"/>
      <c r="G3434" s="14"/>
      <c r="H3434" s="23"/>
      <c r="I3434" s="23"/>
      <c r="J3434" s="23"/>
      <c r="K3434" s="30"/>
      <c r="L3434" s="23"/>
      <c r="M3434" s="50" t="s">
        <v>10178</v>
      </c>
      <c r="N3434" s="51"/>
      <c r="O3434" s="20"/>
      <c r="P3434" s="20"/>
      <c r="Q3434" s="20"/>
      <c r="R3434" s="20"/>
      <c r="S3434" s="20"/>
    </row>
    <row r="3435">
      <c r="A3435" s="10"/>
      <c r="B3435" s="11"/>
      <c r="C3435" s="10"/>
      <c r="D3435" s="13"/>
      <c r="E3435" s="14"/>
      <c r="F3435" s="14"/>
      <c r="G3435" s="14"/>
      <c r="H3435" s="10"/>
      <c r="I3435" s="10"/>
      <c r="J3435" s="10"/>
      <c r="K3435" s="46"/>
      <c r="L3435" s="10"/>
      <c r="M3435" s="44" t="s">
        <v>10178</v>
      </c>
      <c r="N3435" s="45"/>
      <c r="O3435" s="20"/>
      <c r="P3435" s="20"/>
      <c r="Q3435" s="20"/>
      <c r="R3435" s="20"/>
      <c r="S3435" s="20"/>
    </row>
    <row r="3436">
      <c r="A3436" s="23"/>
      <c r="B3436" s="21"/>
      <c r="C3436" s="23"/>
      <c r="D3436" s="24"/>
      <c r="E3436" s="14"/>
      <c r="F3436" s="14"/>
      <c r="G3436" s="14"/>
      <c r="H3436" s="23"/>
      <c r="I3436" s="23"/>
      <c r="J3436" s="23"/>
      <c r="K3436" s="30"/>
      <c r="L3436" s="23"/>
      <c r="M3436" s="50" t="s">
        <v>10178</v>
      </c>
      <c r="N3436" s="51"/>
      <c r="O3436" s="20"/>
      <c r="P3436" s="20"/>
      <c r="Q3436" s="20"/>
      <c r="R3436" s="20"/>
      <c r="S3436" s="20"/>
    </row>
    <row r="3437">
      <c r="A3437" s="10"/>
      <c r="B3437" s="11"/>
      <c r="C3437" s="10"/>
      <c r="D3437" s="13"/>
      <c r="E3437" s="14"/>
      <c r="F3437" s="14"/>
      <c r="G3437" s="14"/>
      <c r="H3437" s="10"/>
      <c r="I3437" s="10"/>
      <c r="J3437" s="10"/>
      <c r="K3437" s="46"/>
      <c r="L3437" s="10"/>
      <c r="M3437" s="44" t="s">
        <v>10178</v>
      </c>
      <c r="N3437" s="45"/>
      <c r="O3437" s="20"/>
      <c r="P3437" s="20"/>
      <c r="Q3437" s="20"/>
      <c r="R3437" s="20"/>
      <c r="S3437" s="20"/>
    </row>
    <row r="3438">
      <c r="A3438" s="23"/>
      <c r="B3438" s="21"/>
      <c r="C3438" s="23"/>
      <c r="D3438" s="24"/>
      <c r="E3438" s="14"/>
      <c r="F3438" s="14"/>
      <c r="G3438" s="14"/>
      <c r="H3438" s="23"/>
      <c r="I3438" s="23"/>
      <c r="J3438" s="23"/>
      <c r="K3438" s="30"/>
      <c r="L3438" s="23"/>
      <c r="M3438" s="50" t="s">
        <v>10178</v>
      </c>
      <c r="N3438" s="51"/>
      <c r="O3438" s="20"/>
      <c r="P3438" s="20"/>
      <c r="Q3438" s="20"/>
      <c r="R3438" s="20"/>
      <c r="S3438" s="20"/>
    </row>
    <row r="3439">
      <c r="A3439" s="10"/>
      <c r="B3439" s="11"/>
      <c r="C3439" s="10"/>
      <c r="D3439" s="13"/>
      <c r="E3439" s="14"/>
      <c r="F3439" s="14"/>
      <c r="G3439" s="14"/>
      <c r="H3439" s="10"/>
      <c r="I3439" s="10"/>
      <c r="J3439" s="10"/>
      <c r="K3439" s="46"/>
      <c r="L3439" s="10"/>
      <c r="M3439" s="44" t="s">
        <v>10178</v>
      </c>
      <c r="N3439" s="45"/>
      <c r="O3439" s="20"/>
      <c r="P3439" s="20"/>
      <c r="Q3439" s="20"/>
      <c r="R3439" s="20"/>
      <c r="S3439" s="20"/>
    </row>
    <row r="3440">
      <c r="A3440" s="23"/>
      <c r="B3440" s="21"/>
      <c r="C3440" s="23"/>
      <c r="D3440" s="24"/>
      <c r="E3440" s="14"/>
      <c r="F3440" s="14"/>
      <c r="G3440" s="14"/>
      <c r="H3440" s="23"/>
      <c r="I3440" s="23"/>
      <c r="J3440" s="23"/>
      <c r="K3440" s="30"/>
      <c r="L3440" s="23"/>
      <c r="M3440" s="50" t="s">
        <v>10178</v>
      </c>
      <c r="N3440" s="51"/>
      <c r="O3440" s="20"/>
      <c r="P3440" s="20"/>
      <c r="Q3440" s="20"/>
      <c r="R3440" s="20"/>
      <c r="S3440" s="20"/>
    </row>
    <row r="3441">
      <c r="A3441" s="10"/>
      <c r="B3441" s="11"/>
      <c r="C3441" s="10"/>
      <c r="D3441" s="13"/>
      <c r="E3441" s="14"/>
      <c r="F3441" s="14"/>
      <c r="G3441" s="14"/>
      <c r="H3441" s="10"/>
      <c r="I3441" s="10"/>
      <c r="J3441" s="10"/>
      <c r="K3441" s="46"/>
      <c r="L3441" s="10"/>
      <c r="M3441" s="44" t="s">
        <v>10178</v>
      </c>
      <c r="N3441" s="45"/>
      <c r="O3441" s="20"/>
      <c r="P3441" s="20"/>
      <c r="Q3441" s="20"/>
      <c r="R3441" s="20"/>
      <c r="S3441" s="20"/>
    </row>
    <row r="3442">
      <c r="A3442" s="23"/>
      <c r="B3442" s="21"/>
      <c r="C3442" s="23"/>
      <c r="D3442" s="24"/>
      <c r="E3442" s="14"/>
      <c r="F3442" s="14"/>
      <c r="G3442" s="14"/>
      <c r="H3442" s="23"/>
      <c r="I3442" s="23"/>
      <c r="J3442" s="23"/>
      <c r="K3442" s="30"/>
      <c r="L3442" s="23"/>
      <c r="M3442" s="50" t="s">
        <v>10178</v>
      </c>
      <c r="N3442" s="51"/>
      <c r="O3442" s="20"/>
      <c r="P3442" s="20"/>
      <c r="Q3442" s="20"/>
      <c r="R3442" s="20"/>
      <c r="S3442" s="20"/>
    </row>
    <row r="3443">
      <c r="A3443" s="10"/>
      <c r="B3443" s="11"/>
      <c r="C3443" s="10"/>
      <c r="D3443" s="13"/>
      <c r="E3443" s="14"/>
      <c r="F3443" s="14"/>
      <c r="G3443" s="14"/>
      <c r="H3443" s="10"/>
      <c r="I3443" s="10"/>
      <c r="J3443" s="10"/>
      <c r="K3443" s="46"/>
      <c r="L3443" s="10"/>
      <c r="M3443" s="44" t="s">
        <v>10178</v>
      </c>
      <c r="N3443" s="45"/>
      <c r="O3443" s="20"/>
      <c r="P3443" s="20"/>
      <c r="Q3443" s="20"/>
      <c r="R3443" s="20"/>
      <c r="S3443" s="20"/>
    </row>
    <row r="3444">
      <c r="A3444" s="23"/>
      <c r="B3444" s="21"/>
      <c r="C3444" s="23"/>
      <c r="D3444" s="24"/>
      <c r="E3444" s="14"/>
      <c r="F3444" s="14"/>
      <c r="G3444" s="14"/>
      <c r="H3444" s="23"/>
      <c r="I3444" s="23"/>
      <c r="J3444" s="23"/>
      <c r="K3444" s="30"/>
      <c r="L3444" s="23"/>
      <c r="M3444" s="50" t="s">
        <v>10178</v>
      </c>
      <c r="N3444" s="51"/>
      <c r="O3444" s="20"/>
      <c r="P3444" s="20"/>
      <c r="Q3444" s="20"/>
      <c r="R3444" s="20"/>
      <c r="S3444" s="20"/>
    </row>
    <row r="3445">
      <c r="A3445" s="10"/>
      <c r="B3445" s="11"/>
      <c r="C3445" s="10"/>
      <c r="D3445" s="13"/>
      <c r="E3445" s="14"/>
      <c r="F3445" s="14"/>
      <c r="G3445" s="14"/>
      <c r="H3445" s="10"/>
      <c r="I3445" s="10"/>
      <c r="J3445" s="10"/>
      <c r="K3445" s="46"/>
      <c r="L3445" s="10"/>
      <c r="M3445" s="44" t="s">
        <v>10178</v>
      </c>
      <c r="N3445" s="45"/>
      <c r="O3445" s="20"/>
      <c r="P3445" s="20"/>
      <c r="Q3445" s="20"/>
      <c r="R3445" s="20"/>
      <c r="S3445" s="20"/>
    </row>
    <row r="3446">
      <c r="A3446" s="23"/>
      <c r="B3446" s="21"/>
      <c r="C3446" s="23"/>
      <c r="D3446" s="24"/>
      <c r="E3446" s="14"/>
      <c r="F3446" s="14"/>
      <c r="G3446" s="14"/>
      <c r="H3446" s="23"/>
      <c r="I3446" s="23"/>
      <c r="J3446" s="23"/>
      <c r="K3446" s="30"/>
      <c r="L3446" s="23"/>
      <c r="M3446" s="50" t="s">
        <v>10178</v>
      </c>
      <c r="N3446" s="51"/>
      <c r="O3446" s="20"/>
      <c r="P3446" s="20"/>
      <c r="Q3446" s="20"/>
      <c r="R3446" s="20"/>
      <c r="S3446" s="20"/>
    </row>
    <row r="3447">
      <c r="A3447" s="10"/>
      <c r="B3447" s="11"/>
      <c r="C3447" s="10"/>
      <c r="D3447" s="13"/>
      <c r="E3447" s="14"/>
      <c r="F3447" s="14"/>
      <c r="G3447" s="14"/>
      <c r="H3447" s="10"/>
      <c r="I3447" s="10"/>
      <c r="J3447" s="10"/>
      <c r="K3447" s="46"/>
      <c r="L3447" s="10"/>
      <c r="M3447" s="44" t="s">
        <v>10178</v>
      </c>
      <c r="N3447" s="45"/>
      <c r="O3447" s="20"/>
      <c r="P3447" s="20"/>
      <c r="Q3447" s="20"/>
      <c r="R3447" s="20"/>
      <c r="S3447" s="20"/>
    </row>
    <row r="3448">
      <c r="A3448" s="23"/>
      <c r="B3448" s="21"/>
      <c r="C3448" s="23"/>
      <c r="D3448" s="24"/>
      <c r="E3448" s="14"/>
      <c r="F3448" s="14"/>
      <c r="G3448" s="14"/>
      <c r="H3448" s="23"/>
      <c r="I3448" s="23"/>
      <c r="J3448" s="23"/>
      <c r="K3448" s="30"/>
      <c r="L3448" s="23"/>
      <c r="M3448" s="50" t="s">
        <v>10178</v>
      </c>
      <c r="N3448" s="51"/>
      <c r="O3448" s="20"/>
      <c r="P3448" s="20"/>
      <c r="Q3448" s="20"/>
      <c r="R3448" s="20"/>
      <c r="S3448" s="20"/>
    </row>
    <row r="3449">
      <c r="A3449" s="10"/>
      <c r="B3449" s="11"/>
      <c r="C3449" s="10"/>
      <c r="D3449" s="13"/>
      <c r="E3449" s="14"/>
      <c r="F3449" s="14"/>
      <c r="G3449" s="14"/>
      <c r="H3449" s="10"/>
      <c r="I3449" s="10"/>
      <c r="J3449" s="10"/>
      <c r="K3449" s="46"/>
      <c r="L3449" s="10"/>
      <c r="M3449" s="44" t="s">
        <v>10178</v>
      </c>
      <c r="N3449" s="45"/>
      <c r="O3449" s="20"/>
      <c r="P3449" s="20"/>
      <c r="Q3449" s="20"/>
      <c r="R3449" s="20"/>
      <c r="S3449" s="20"/>
    </row>
    <row r="3450">
      <c r="A3450" s="23"/>
      <c r="B3450" s="21"/>
      <c r="C3450" s="23"/>
      <c r="D3450" s="24"/>
      <c r="E3450" s="14"/>
      <c r="F3450" s="14"/>
      <c r="G3450" s="14"/>
      <c r="H3450" s="23"/>
      <c r="I3450" s="23"/>
      <c r="J3450" s="23"/>
      <c r="K3450" s="30"/>
      <c r="L3450" s="23"/>
      <c r="M3450" s="50" t="s">
        <v>10178</v>
      </c>
      <c r="N3450" s="51"/>
      <c r="O3450" s="20"/>
      <c r="P3450" s="20"/>
      <c r="Q3450" s="20"/>
      <c r="R3450" s="20"/>
      <c r="S3450" s="20"/>
    </row>
    <row r="3451">
      <c r="A3451" s="10"/>
      <c r="B3451" s="11"/>
      <c r="C3451" s="10"/>
      <c r="D3451" s="13"/>
      <c r="E3451" s="14"/>
      <c r="F3451" s="14"/>
      <c r="G3451" s="14"/>
      <c r="H3451" s="10"/>
      <c r="I3451" s="10"/>
      <c r="J3451" s="10"/>
      <c r="K3451" s="46"/>
      <c r="L3451" s="10"/>
      <c r="M3451" s="44" t="s">
        <v>10178</v>
      </c>
      <c r="N3451" s="45"/>
      <c r="O3451" s="20"/>
      <c r="P3451" s="20"/>
      <c r="Q3451" s="20"/>
      <c r="R3451" s="20"/>
      <c r="S3451" s="20"/>
    </row>
    <row r="3452">
      <c r="A3452" s="23"/>
      <c r="B3452" s="21"/>
      <c r="C3452" s="23"/>
      <c r="D3452" s="24"/>
      <c r="E3452" s="14"/>
      <c r="F3452" s="14"/>
      <c r="G3452" s="14"/>
      <c r="H3452" s="23"/>
      <c r="I3452" s="23"/>
      <c r="J3452" s="23"/>
      <c r="K3452" s="30"/>
      <c r="L3452" s="23"/>
      <c r="M3452" s="50" t="s">
        <v>10178</v>
      </c>
      <c r="N3452" s="51"/>
      <c r="O3452" s="20"/>
      <c r="P3452" s="20"/>
      <c r="Q3452" s="20"/>
      <c r="R3452" s="20"/>
      <c r="S3452" s="20"/>
    </row>
    <row r="3453">
      <c r="A3453" s="10"/>
      <c r="B3453" s="11"/>
      <c r="C3453" s="10"/>
      <c r="D3453" s="13"/>
      <c r="E3453" s="14"/>
      <c r="F3453" s="14"/>
      <c r="G3453" s="14"/>
      <c r="H3453" s="10"/>
      <c r="I3453" s="10"/>
      <c r="J3453" s="10"/>
      <c r="K3453" s="46"/>
      <c r="L3453" s="10"/>
      <c r="M3453" s="44" t="s">
        <v>10178</v>
      </c>
      <c r="N3453" s="45"/>
      <c r="O3453" s="20"/>
      <c r="P3453" s="20"/>
      <c r="Q3453" s="20"/>
      <c r="R3453" s="20"/>
      <c r="S3453" s="20"/>
    </row>
    <row r="3454">
      <c r="A3454" s="23"/>
      <c r="B3454" s="21"/>
      <c r="C3454" s="23"/>
      <c r="D3454" s="24"/>
      <c r="E3454" s="14"/>
      <c r="F3454" s="14"/>
      <c r="G3454" s="14"/>
      <c r="H3454" s="23"/>
      <c r="I3454" s="23"/>
      <c r="J3454" s="23"/>
      <c r="K3454" s="30"/>
      <c r="L3454" s="23"/>
      <c r="M3454" s="50" t="s">
        <v>10178</v>
      </c>
      <c r="N3454" s="51"/>
      <c r="O3454" s="20"/>
      <c r="P3454" s="20"/>
      <c r="Q3454" s="20"/>
      <c r="R3454" s="20"/>
      <c r="S3454" s="20"/>
    </row>
    <row r="3455">
      <c r="A3455" s="10"/>
      <c r="B3455" s="11"/>
      <c r="C3455" s="10"/>
      <c r="D3455" s="13"/>
      <c r="E3455" s="14"/>
      <c r="F3455" s="14"/>
      <c r="G3455" s="14"/>
      <c r="H3455" s="10"/>
      <c r="I3455" s="10"/>
      <c r="J3455" s="10"/>
      <c r="K3455" s="46"/>
      <c r="L3455" s="10"/>
      <c r="M3455" s="44" t="s">
        <v>10178</v>
      </c>
      <c r="N3455" s="45"/>
      <c r="O3455" s="20"/>
      <c r="P3455" s="20"/>
      <c r="Q3455" s="20"/>
      <c r="R3455" s="20"/>
      <c r="S3455" s="20"/>
    </row>
    <row r="3456">
      <c r="A3456" s="23"/>
      <c r="B3456" s="21"/>
      <c r="C3456" s="23"/>
      <c r="D3456" s="24"/>
      <c r="E3456" s="14"/>
      <c r="F3456" s="14"/>
      <c r="G3456" s="14"/>
      <c r="H3456" s="23"/>
      <c r="I3456" s="23"/>
      <c r="J3456" s="23"/>
      <c r="K3456" s="30"/>
      <c r="L3456" s="23"/>
      <c r="M3456" s="50" t="s">
        <v>10178</v>
      </c>
      <c r="N3456" s="51"/>
      <c r="O3456" s="20"/>
      <c r="P3456" s="20"/>
      <c r="Q3456" s="20"/>
      <c r="R3456" s="20"/>
      <c r="S3456" s="20"/>
    </row>
    <row r="3457">
      <c r="A3457" s="10"/>
      <c r="B3457" s="11"/>
      <c r="C3457" s="10"/>
      <c r="D3457" s="13"/>
      <c r="E3457" s="14"/>
      <c r="F3457" s="14"/>
      <c r="G3457" s="14"/>
      <c r="H3457" s="10"/>
      <c r="I3457" s="10"/>
      <c r="J3457" s="10"/>
      <c r="K3457" s="46"/>
      <c r="L3457" s="10"/>
      <c r="M3457" s="44" t="s">
        <v>10178</v>
      </c>
      <c r="N3457" s="45"/>
      <c r="O3457" s="20"/>
      <c r="P3457" s="20"/>
      <c r="Q3457" s="20"/>
      <c r="R3457" s="20"/>
      <c r="S3457" s="20"/>
    </row>
    <row r="3458">
      <c r="A3458" s="23"/>
      <c r="B3458" s="21"/>
      <c r="C3458" s="23"/>
      <c r="D3458" s="24"/>
      <c r="E3458" s="14"/>
      <c r="F3458" s="14"/>
      <c r="G3458" s="14"/>
      <c r="H3458" s="23"/>
      <c r="I3458" s="23"/>
      <c r="J3458" s="23"/>
      <c r="K3458" s="30"/>
      <c r="L3458" s="23"/>
      <c r="M3458" s="50" t="s">
        <v>10178</v>
      </c>
      <c r="N3458" s="51"/>
      <c r="O3458" s="20"/>
      <c r="P3458" s="20"/>
      <c r="Q3458" s="20"/>
      <c r="R3458" s="20"/>
      <c r="S3458" s="20"/>
    </row>
    <row r="3459">
      <c r="A3459" s="10"/>
      <c r="B3459" s="11"/>
      <c r="C3459" s="10"/>
      <c r="D3459" s="13"/>
      <c r="E3459" s="14"/>
      <c r="F3459" s="14"/>
      <c r="G3459" s="14"/>
      <c r="H3459" s="10"/>
      <c r="I3459" s="10"/>
      <c r="J3459" s="10"/>
      <c r="K3459" s="46"/>
      <c r="L3459" s="10"/>
      <c r="M3459" s="44" t="s">
        <v>10178</v>
      </c>
      <c r="N3459" s="45"/>
      <c r="O3459" s="20"/>
      <c r="P3459" s="20"/>
      <c r="Q3459" s="20"/>
      <c r="R3459" s="20"/>
      <c r="S3459" s="20"/>
    </row>
    <row r="3460">
      <c r="A3460" s="23"/>
      <c r="B3460" s="21"/>
      <c r="C3460" s="23"/>
      <c r="D3460" s="24"/>
      <c r="E3460" s="14"/>
      <c r="F3460" s="14"/>
      <c r="G3460" s="14"/>
      <c r="H3460" s="23"/>
      <c r="I3460" s="23"/>
      <c r="J3460" s="23"/>
      <c r="K3460" s="30"/>
      <c r="L3460" s="23"/>
      <c r="M3460" s="50" t="s">
        <v>10178</v>
      </c>
      <c r="N3460" s="51"/>
      <c r="O3460" s="20"/>
      <c r="P3460" s="20"/>
      <c r="Q3460" s="20"/>
      <c r="R3460" s="20"/>
      <c r="S3460" s="20"/>
    </row>
    <row r="3461">
      <c r="A3461" s="10"/>
      <c r="B3461" s="11"/>
      <c r="C3461" s="10"/>
      <c r="D3461" s="13"/>
      <c r="E3461" s="14"/>
      <c r="F3461" s="14"/>
      <c r="G3461" s="14"/>
      <c r="H3461" s="10"/>
      <c r="I3461" s="10"/>
      <c r="J3461" s="10"/>
      <c r="K3461" s="46"/>
      <c r="L3461" s="10"/>
      <c r="M3461" s="44" t="s">
        <v>10178</v>
      </c>
      <c r="N3461" s="45"/>
      <c r="O3461" s="20"/>
      <c r="P3461" s="20"/>
      <c r="Q3461" s="20"/>
      <c r="R3461" s="20"/>
      <c r="S3461" s="20"/>
    </row>
    <row r="3462">
      <c r="A3462" s="23"/>
      <c r="B3462" s="21"/>
      <c r="C3462" s="23"/>
      <c r="D3462" s="24"/>
      <c r="E3462" s="14"/>
      <c r="F3462" s="14"/>
      <c r="G3462" s="14"/>
      <c r="H3462" s="23"/>
      <c r="I3462" s="23"/>
      <c r="J3462" s="23"/>
      <c r="K3462" s="30"/>
      <c r="L3462" s="23"/>
      <c r="M3462" s="50" t="s">
        <v>10178</v>
      </c>
      <c r="N3462" s="51"/>
      <c r="O3462" s="20"/>
      <c r="P3462" s="20"/>
      <c r="Q3462" s="20"/>
      <c r="R3462" s="20"/>
      <c r="S3462" s="20"/>
    </row>
    <row r="3463">
      <c r="A3463" s="10"/>
      <c r="B3463" s="11"/>
      <c r="C3463" s="10"/>
      <c r="D3463" s="13"/>
      <c r="E3463" s="14"/>
      <c r="F3463" s="14"/>
      <c r="G3463" s="14"/>
      <c r="H3463" s="10"/>
      <c r="I3463" s="10"/>
      <c r="J3463" s="10"/>
      <c r="K3463" s="46"/>
      <c r="L3463" s="10"/>
      <c r="M3463" s="44" t="s">
        <v>10178</v>
      </c>
      <c r="N3463" s="45"/>
      <c r="O3463" s="20"/>
      <c r="P3463" s="20"/>
      <c r="Q3463" s="20"/>
      <c r="R3463" s="20"/>
      <c r="S3463" s="20"/>
    </row>
    <row r="3464">
      <c r="A3464" s="23"/>
      <c r="B3464" s="21"/>
      <c r="C3464" s="23"/>
      <c r="D3464" s="24"/>
      <c r="E3464" s="14"/>
      <c r="F3464" s="14"/>
      <c r="G3464" s="14"/>
      <c r="H3464" s="23"/>
      <c r="I3464" s="23"/>
      <c r="J3464" s="23"/>
      <c r="K3464" s="30"/>
      <c r="L3464" s="23"/>
      <c r="M3464" s="50" t="s">
        <v>10178</v>
      </c>
      <c r="N3464" s="51"/>
      <c r="O3464" s="20"/>
      <c r="P3464" s="20"/>
      <c r="Q3464" s="20"/>
      <c r="R3464" s="20"/>
      <c r="S3464" s="20"/>
    </row>
    <row r="3465">
      <c r="A3465" s="10"/>
      <c r="B3465" s="11"/>
      <c r="C3465" s="10"/>
      <c r="D3465" s="13"/>
      <c r="E3465" s="14"/>
      <c r="F3465" s="14"/>
      <c r="G3465" s="14"/>
      <c r="H3465" s="10"/>
      <c r="I3465" s="10"/>
      <c r="J3465" s="10"/>
      <c r="K3465" s="46"/>
      <c r="L3465" s="10"/>
      <c r="M3465" s="44" t="s">
        <v>10178</v>
      </c>
      <c r="N3465" s="45"/>
      <c r="O3465" s="20"/>
      <c r="P3465" s="20"/>
      <c r="Q3465" s="20"/>
      <c r="R3465" s="20"/>
      <c r="S3465" s="20"/>
    </row>
    <row r="3466">
      <c r="A3466" s="23"/>
      <c r="B3466" s="21"/>
      <c r="C3466" s="23"/>
      <c r="D3466" s="24"/>
      <c r="E3466" s="14"/>
      <c r="F3466" s="14"/>
      <c r="G3466" s="14"/>
      <c r="H3466" s="23"/>
      <c r="I3466" s="23"/>
      <c r="J3466" s="23"/>
      <c r="K3466" s="30"/>
      <c r="L3466" s="23"/>
      <c r="M3466" s="50" t="s">
        <v>10178</v>
      </c>
      <c r="N3466" s="51"/>
      <c r="O3466" s="20"/>
      <c r="P3466" s="20"/>
      <c r="Q3466" s="20"/>
      <c r="R3466" s="20"/>
      <c r="S3466" s="20"/>
    </row>
    <row r="3467">
      <c r="A3467" s="10"/>
      <c r="B3467" s="11"/>
      <c r="C3467" s="10"/>
      <c r="D3467" s="13"/>
      <c r="E3467" s="14"/>
      <c r="F3467" s="14"/>
      <c r="G3467" s="14"/>
      <c r="H3467" s="10"/>
      <c r="I3467" s="10"/>
      <c r="J3467" s="10"/>
      <c r="K3467" s="46"/>
      <c r="L3467" s="10"/>
      <c r="M3467" s="44" t="s">
        <v>10178</v>
      </c>
      <c r="N3467" s="45"/>
      <c r="O3467" s="20"/>
      <c r="P3467" s="20"/>
      <c r="Q3467" s="20"/>
      <c r="R3467" s="20"/>
      <c r="S3467" s="20"/>
    </row>
    <row r="3468">
      <c r="A3468" s="23"/>
      <c r="B3468" s="21"/>
      <c r="C3468" s="23"/>
      <c r="D3468" s="24"/>
      <c r="E3468" s="14"/>
      <c r="F3468" s="14"/>
      <c r="G3468" s="14"/>
      <c r="H3468" s="23"/>
      <c r="I3468" s="23"/>
      <c r="J3468" s="23"/>
      <c r="K3468" s="30"/>
      <c r="L3468" s="23"/>
      <c r="M3468" s="50" t="s">
        <v>10178</v>
      </c>
      <c r="N3468" s="51"/>
      <c r="O3468" s="20"/>
      <c r="P3468" s="20"/>
      <c r="Q3468" s="20"/>
      <c r="R3468" s="20"/>
      <c r="S3468" s="20"/>
    </row>
    <row r="3469">
      <c r="A3469" s="10"/>
      <c r="B3469" s="11"/>
      <c r="C3469" s="10"/>
      <c r="D3469" s="13"/>
      <c r="E3469" s="14"/>
      <c r="F3469" s="14"/>
      <c r="G3469" s="14"/>
      <c r="H3469" s="10"/>
      <c r="I3469" s="10"/>
      <c r="J3469" s="10"/>
      <c r="K3469" s="46"/>
      <c r="L3469" s="10"/>
      <c r="M3469" s="44" t="s">
        <v>10178</v>
      </c>
      <c r="N3469" s="45"/>
      <c r="O3469" s="20"/>
      <c r="P3469" s="20"/>
      <c r="Q3469" s="20"/>
      <c r="R3469" s="20"/>
      <c r="S3469" s="20"/>
    </row>
    <row r="3470">
      <c r="A3470" s="23"/>
      <c r="B3470" s="21"/>
      <c r="C3470" s="23"/>
      <c r="D3470" s="24"/>
      <c r="E3470" s="14"/>
      <c r="F3470" s="14"/>
      <c r="G3470" s="14"/>
      <c r="H3470" s="23"/>
      <c r="I3470" s="23"/>
      <c r="J3470" s="23"/>
      <c r="K3470" s="30"/>
      <c r="L3470" s="23"/>
      <c r="M3470" s="50" t="s">
        <v>10178</v>
      </c>
      <c r="N3470" s="51"/>
      <c r="O3470" s="20"/>
      <c r="P3470" s="20"/>
      <c r="Q3470" s="20"/>
      <c r="R3470" s="20"/>
      <c r="S3470" s="20"/>
    </row>
    <row r="3471">
      <c r="A3471" s="10"/>
      <c r="B3471" s="11"/>
      <c r="C3471" s="10"/>
      <c r="D3471" s="13"/>
      <c r="E3471" s="14"/>
      <c r="F3471" s="14"/>
      <c r="G3471" s="14"/>
      <c r="H3471" s="10"/>
      <c r="I3471" s="10"/>
      <c r="J3471" s="10"/>
      <c r="K3471" s="46"/>
      <c r="L3471" s="10"/>
      <c r="M3471" s="44" t="s">
        <v>10178</v>
      </c>
      <c r="N3471" s="45"/>
      <c r="O3471" s="20"/>
      <c r="P3471" s="20"/>
      <c r="Q3471" s="20"/>
      <c r="R3471" s="20"/>
      <c r="S3471" s="20"/>
    </row>
    <row r="3472">
      <c r="A3472" s="23"/>
      <c r="B3472" s="21"/>
      <c r="C3472" s="23"/>
      <c r="D3472" s="24"/>
      <c r="E3472" s="14"/>
      <c r="F3472" s="14"/>
      <c r="G3472" s="14"/>
      <c r="H3472" s="23"/>
      <c r="I3472" s="23"/>
      <c r="J3472" s="23"/>
      <c r="K3472" s="30"/>
      <c r="L3472" s="23"/>
      <c r="M3472" s="50" t="s">
        <v>10178</v>
      </c>
      <c r="N3472" s="51"/>
      <c r="O3472" s="20"/>
      <c r="P3472" s="20"/>
      <c r="Q3472" s="20"/>
      <c r="R3472" s="20"/>
      <c r="S3472" s="20"/>
    </row>
    <row r="3473">
      <c r="A3473" s="10"/>
      <c r="B3473" s="11"/>
      <c r="C3473" s="10"/>
      <c r="D3473" s="13"/>
      <c r="E3473" s="14"/>
      <c r="F3473" s="14"/>
      <c r="G3473" s="14"/>
      <c r="H3473" s="10"/>
      <c r="I3473" s="10"/>
      <c r="J3473" s="10"/>
      <c r="K3473" s="46"/>
      <c r="L3473" s="10"/>
      <c r="M3473" s="44" t="s">
        <v>10178</v>
      </c>
      <c r="N3473" s="45"/>
      <c r="O3473" s="20"/>
      <c r="P3473" s="20"/>
      <c r="Q3473" s="20"/>
      <c r="R3473" s="20"/>
      <c r="S3473" s="20"/>
    </row>
    <row r="3474">
      <c r="A3474" s="23"/>
      <c r="B3474" s="21"/>
      <c r="C3474" s="23"/>
      <c r="D3474" s="24"/>
      <c r="E3474" s="14"/>
      <c r="F3474" s="14"/>
      <c r="G3474" s="14"/>
      <c r="H3474" s="23"/>
      <c r="I3474" s="23"/>
      <c r="J3474" s="23"/>
      <c r="K3474" s="30"/>
      <c r="L3474" s="23"/>
      <c r="M3474" s="50" t="s">
        <v>10178</v>
      </c>
      <c r="N3474" s="51"/>
      <c r="O3474" s="20"/>
      <c r="P3474" s="20"/>
      <c r="Q3474" s="20"/>
      <c r="R3474" s="20"/>
      <c r="S3474" s="20"/>
    </row>
    <row r="3475">
      <c r="A3475" s="10"/>
      <c r="B3475" s="11"/>
      <c r="C3475" s="10"/>
      <c r="D3475" s="13"/>
      <c r="E3475" s="14"/>
      <c r="F3475" s="14"/>
      <c r="G3475" s="14"/>
      <c r="H3475" s="10"/>
      <c r="I3475" s="10"/>
      <c r="J3475" s="10"/>
      <c r="K3475" s="46"/>
      <c r="L3475" s="10"/>
      <c r="M3475" s="44" t="s">
        <v>10178</v>
      </c>
      <c r="N3475" s="45"/>
      <c r="O3475" s="20"/>
      <c r="P3475" s="20"/>
      <c r="Q3475" s="20"/>
      <c r="R3475" s="20"/>
      <c r="S3475" s="20"/>
    </row>
    <row r="3476">
      <c r="A3476" s="23"/>
      <c r="B3476" s="21"/>
      <c r="C3476" s="23"/>
      <c r="D3476" s="24"/>
      <c r="E3476" s="14"/>
      <c r="F3476" s="14"/>
      <c r="G3476" s="14"/>
      <c r="H3476" s="23"/>
      <c r="I3476" s="23"/>
      <c r="J3476" s="23"/>
      <c r="K3476" s="30"/>
      <c r="L3476" s="23"/>
      <c r="M3476" s="50" t="s">
        <v>10178</v>
      </c>
      <c r="N3476" s="51"/>
      <c r="O3476" s="20"/>
      <c r="P3476" s="20"/>
      <c r="Q3476" s="20"/>
      <c r="R3476" s="20"/>
      <c r="S3476" s="20"/>
    </row>
    <row r="3477">
      <c r="A3477" s="10"/>
      <c r="B3477" s="11"/>
      <c r="C3477" s="10"/>
      <c r="D3477" s="13"/>
      <c r="E3477" s="14"/>
      <c r="F3477" s="14"/>
      <c r="G3477" s="14"/>
      <c r="H3477" s="10"/>
      <c r="I3477" s="10"/>
      <c r="J3477" s="10"/>
      <c r="K3477" s="46"/>
      <c r="L3477" s="10"/>
      <c r="M3477" s="44" t="s">
        <v>10178</v>
      </c>
      <c r="N3477" s="45"/>
      <c r="O3477" s="20"/>
      <c r="P3477" s="20"/>
      <c r="Q3477" s="20"/>
      <c r="R3477" s="20"/>
      <c r="S3477" s="20"/>
    </row>
    <row r="3478">
      <c r="A3478" s="23"/>
      <c r="B3478" s="21"/>
      <c r="C3478" s="23"/>
      <c r="D3478" s="24"/>
      <c r="E3478" s="14"/>
      <c r="F3478" s="14"/>
      <c r="G3478" s="14"/>
      <c r="H3478" s="23"/>
      <c r="I3478" s="23"/>
      <c r="J3478" s="23"/>
      <c r="K3478" s="30"/>
      <c r="L3478" s="23"/>
      <c r="M3478" s="50" t="s">
        <v>10178</v>
      </c>
      <c r="N3478" s="51"/>
      <c r="O3478" s="20"/>
      <c r="P3478" s="20"/>
      <c r="Q3478" s="20"/>
      <c r="R3478" s="20"/>
      <c r="S3478" s="20"/>
    </row>
    <row r="3479">
      <c r="A3479" s="10"/>
      <c r="B3479" s="11"/>
      <c r="C3479" s="10"/>
      <c r="D3479" s="13"/>
      <c r="E3479" s="14"/>
      <c r="F3479" s="14"/>
      <c r="G3479" s="14"/>
      <c r="H3479" s="10"/>
      <c r="I3479" s="10"/>
      <c r="J3479" s="10"/>
      <c r="K3479" s="46"/>
      <c r="L3479" s="10"/>
      <c r="M3479" s="44" t="s">
        <v>10178</v>
      </c>
      <c r="N3479" s="45"/>
      <c r="O3479" s="20"/>
      <c r="P3479" s="20"/>
      <c r="Q3479" s="20"/>
      <c r="R3479" s="20"/>
      <c r="S3479" s="20"/>
    </row>
    <row r="3480">
      <c r="A3480" s="23"/>
      <c r="B3480" s="21"/>
      <c r="C3480" s="23"/>
      <c r="D3480" s="24"/>
      <c r="E3480" s="14"/>
      <c r="F3480" s="14"/>
      <c r="G3480" s="14"/>
      <c r="H3480" s="23"/>
      <c r="I3480" s="23"/>
      <c r="J3480" s="23"/>
      <c r="K3480" s="30"/>
      <c r="L3480" s="23"/>
      <c r="M3480" s="50" t="s">
        <v>10178</v>
      </c>
      <c r="N3480" s="51"/>
      <c r="O3480" s="20"/>
      <c r="P3480" s="20"/>
      <c r="Q3480" s="20"/>
      <c r="R3480" s="20"/>
      <c r="S3480" s="20"/>
    </row>
    <row r="3481">
      <c r="A3481" s="10"/>
      <c r="B3481" s="11"/>
      <c r="C3481" s="10"/>
      <c r="D3481" s="13"/>
      <c r="E3481" s="14"/>
      <c r="F3481" s="14"/>
      <c r="G3481" s="14"/>
      <c r="H3481" s="10"/>
      <c r="I3481" s="10"/>
      <c r="J3481" s="10"/>
      <c r="K3481" s="46"/>
      <c r="L3481" s="10"/>
      <c r="M3481" s="44" t="s">
        <v>10178</v>
      </c>
      <c r="N3481" s="45"/>
      <c r="O3481" s="20"/>
      <c r="P3481" s="20"/>
      <c r="Q3481" s="20"/>
      <c r="R3481" s="20"/>
      <c r="S3481" s="20"/>
    </row>
    <row r="3482">
      <c r="A3482" s="23"/>
      <c r="B3482" s="21"/>
      <c r="C3482" s="23"/>
      <c r="D3482" s="24"/>
      <c r="E3482" s="14"/>
      <c r="F3482" s="14"/>
      <c r="G3482" s="14"/>
      <c r="H3482" s="23"/>
      <c r="I3482" s="23"/>
      <c r="J3482" s="23"/>
      <c r="K3482" s="30"/>
      <c r="L3482" s="23"/>
      <c r="M3482" s="50" t="s">
        <v>10178</v>
      </c>
      <c r="N3482" s="51"/>
      <c r="O3482" s="20"/>
      <c r="P3482" s="20"/>
      <c r="Q3482" s="20"/>
      <c r="R3482" s="20"/>
      <c r="S3482" s="20"/>
    </row>
    <row r="3483">
      <c r="A3483" s="10"/>
      <c r="B3483" s="11"/>
      <c r="C3483" s="10"/>
      <c r="D3483" s="13"/>
      <c r="E3483" s="14"/>
      <c r="F3483" s="14"/>
      <c r="G3483" s="14"/>
      <c r="H3483" s="10"/>
      <c r="I3483" s="10"/>
      <c r="J3483" s="10"/>
      <c r="K3483" s="46"/>
      <c r="L3483" s="10"/>
      <c r="M3483" s="44" t="s">
        <v>10178</v>
      </c>
      <c r="N3483" s="45"/>
      <c r="O3483" s="20"/>
      <c r="P3483" s="20"/>
      <c r="Q3483" s="20"/>
      <c r="R3483" s="20"/>
      <c r="S3483" s="20"/>
    </row>
    <row r="3484">
      <c r="A3484" s="23"/>
      <c r="B3484" s="21"/>
      <c r="C3484" s="23"/>
      <c r="D3484" s="24"/>
      <c r="E3484" s="14"/>
      <c r="F3484" s="14"/>
      <c r="G3484" s="14"/>
      <c r="H3484" s="23"/>
      <c r="I3484" s="23"/>
      <c r="J3484" s="23"/>
      <c r="K3484" s="30"/>
      <c r="L3484" s="23"/>
      <c r="M3484" s="50" t="s">
        <v>10178</v>
      </c>
      <c r="N3484" s="51"/>
      <c r="O3484" s="20"/>
      <c r="P3484" s="20"/>
      <c r="Q3484" s="20"/>
      <c r="R3484" s="20"/>
      <c r="S3484" s="20"/>
    </row>
    <row r="3485">
      <c r="A3485" s="10"/>
      <c r="B3485" s="11"/>
      <c r="C3485" s="10"/>
      <c r="D3485" s="13"/>
      <c r="E3485" s="14"/>
      <c r="F3485" s="14"/>
      <c r="G3485" s="14"/>
      <c r="H3485" s="10"/>
      <c r="I3485" s="10"/>
      <c r="J3485" s="10"/>
      <c r="K3485" s="46"/>
      <c r="L3485" s="10"/>
      <c r="M3485" s="44" t="s">
        <v>10178</v>
      </c>
      <c r="N3485" s="45"/>
      <c r="O3485" s="20"/>
      <c r="P3485" s="20"/>
      <c r="Q3485" s="20"/>
      <c r="R3485" s="20"/>
      <c r="S3485" s="20"/>
    </row>
    <row r="3486">
      <c r="A3486" s="23"/>
      <c r="B3486" s="21"/>
      <c r="C3486" s="23"/>
      <c r="D3486" s="24"/>
      <c r="E3486" s="14"/>
      <c r="F3486" s="14"/>
      <c r="G3486" s="14"/>
      <c r="H3486" s="23"/>
      <c r="I3486" s="23"/>
      <c r="J3486" s="23"/>
      <c r="K3486" s="30"/>
      <c r="L3486" s="23"/>
      <c r="M3486" s="50" t="s">
        <v>10178</v>
      </c>
      <c r="N3486" s="51"/>
      <c r="O3486" s="20"/>
      <c r="P3486" s="20"/>
      <c r="Q3486" s="20"/>
      <c r="R3486" s="20"/>
      <c r="S3486" s="20"/>
    </row>
    <row r="3487">
      <c r="A3487" s="10"/>
      <c r="B3487" s="11"/>
      <c r="C3487" s="10"/>
      <c r="D3487" s="13"/>
      <c r="E3487" s="14"/>
      <c r="F3487" s="14"/>
      <c r="G3487" s="14"/>
      <c r="H3487" s="10"/>
      <c r="I3487" s="10"/>
      <c r="J3487" s="10"/>
      <c r="K3487" s="46"/>
      <c r="L3487" s="10"/>
      <c r="M3487" s="44" t="s">
        <v>10178</v>
      </c>
      <c r="N3487" s="45"/>
      <c r="O3487" s="20"/>
      <c r="P3487" s="20"/>
      <c r="Q3487" s="20"/>
      <c r="R3487" s="20"/>
      <c r="S3487" s="20"/>
    </row>
    <row r="3488">
      <c r="A3488" s="23"/>
      <c r="B3488" s="21"/>
      <c r="C3488" s="23"/>
      <c r="D3488" s="24"/>
      <c r="E3488" s="14"/>
      <c r="F3488" s="14"/>
      <c r="G3488" s="14"/>
      <c r="H3488" s="23"/>
      <c r="I3488" s="23"/>
      <c r="J3488" s="23"/>
      <c r="K3488" s="30"/>
      <c r="L3488" s="23"/>
      <c r="M3488" s="50" t="s">
        <v>10178</v>
      </c>
      <c r="N3488" s="51"/>
      <c r="O3488" s="20"/>
      <c r="P3488" s="20"/>
      <c r="Q3488" s="20"/>
      <c r="R3488" s="20"/>
      <c r="S3488" s="20"/>
    </row>
    <row r="3489">
      <c r="A3489" s="10"/>
      <c r="B3489" s="11"/>
      <c r="C3489" s="10"/>
      <c r="D3489" s="13"/>
      <c r="E3489" s="14"/>
      <c r="F3489" s="14"/>
      <c r="G3489" s="14"/>
      <c r="H3489" s="10"/>
      <c r="I3489" s="10"/>
      <c r="J3489" s="10"/>
      <c r="K3489" s="46"/>
      <c r="L3489" s="10"/>
      <c r="M3489" s="44" t="s">
        <v>10178</v>
      </c>
      <c r="N3489" s="45"/>
      <c r="O3489" s="20"/>
      <c r="P3489" s="20"/>
      <c r="Q3489" s="20"/>
      <c r="R3489" s="20"/>
      <c r="S3489" s="20"/>
    </row>
    <row r="3490">
      <c r="A3490" s="23"/>
      <c r="B3490" s="21"/>
      <c r="C3490" s="23"/>
      <c r="D3490" s="24"/>
      <c r="E3490" s="14"/>
      <c r="F3490" s="14"/>
      <c r="G3490" s="14"/>
      <c r="H3490" s="23"/>
      <c r="I3490" s="23"/>
      <c r="J3490" s="23"/>
      <c r="K3490" s="30"/>
      <c r="L3490" s="23"/>
      <c r="M3490" s="50" t="s">
        <v>10178</v>
      </c>
      <c r="N3490" s="51"/>
      <c r="O3490" s="20"/>
      <c r="P3490" s="20"/>
      <c r="Q3490" s="20"/>
      <c r="R3490" s="20"/>
      <c r="S3490" s="20"/>
    </row>
    <row r="3491">
      <c r="A3491" s="10"/>
      <c r="B3491" s="11"/>
      <c r="C3491" s="10"/>
      <c r="D3491" s="13"/>
      <c r="E3491" s="14"/>
      <c r="F3491" s="14"/>
      <c r="G3491" s="14"/>
      <c r="H3491" s="10"/>
      <c r="I3491" s="10"/>
      <c r="J3491" s="10"/>
      <c r="K3491" s="46"/>
      <c r="L3491" s="10"/>
      <c r="M3491" s="44" t="s">
        <v>10178</v>
      </c>
      <c r="N3491" s="45"/>
      <c r="O3491" s="20"/>
      <c r="P3491" s="20"/>
      <c r="Q3491" s="20"/>
      <c r="R3491" s="20"/>
      <c r="S3491" s="20"/>
    </row>
    <row r="3492">
      <c r="A3492" s="23"/>
      <c r="B3492" s="21"/>
      <c r="C3492" s="23"/>
      <c r="D3492" s="24"/>
      <c r="E3492" s="14"/>
      <c r="F3492" s="14"/>
      <c r="G3492" s="14"/>
      <c r="H3492" s="23"/>
      <c r="I3492" s="23"/>
      <c r="J3492" s="23"/>
      <c r="K3492" s="30"/>
      <c r="L3492" s="23"/>
      <c r="M3492" s="50" t="s">
        <v>10178</v>
      </c>
      <c r="N3492" s="51"/>
      <c r="O3492" s="20"/>
      <c r="P3492" s="20"/>
      <c r="Q3492" s="20"/>
      <c r="R3492" s="20"/>
      <c r="S3492" s="20"/>
    </row>
    <row r="3493">
      <c r="A3493" s="10"/>
      <c r="B3493" s="11"/>
      <c r="C3493" s="10"/>
      <c r="D3493" s="13"/>
      <c r="E3493" s="14"/>
      <c r="F3493" s="14"/>
      <c r="G3493" s="14"/>
      <c r="H3493" s="10"/>
      <c r="I3493" s="10"/>
      <c r="J3493" s="10"/>
      <c r="K3493" s="46"/>
      <c r="L3493" s="10"/>
      <c r="M3493" s="44" t="s">
        <v>10178</v>
      </c>
      <c r="N3493" s="45"/>
      <c r="O3493" s="20"/>
      <c r="P3493" s="20"/>
      <c r="Q3493" s="20"/>
      <c r="R3493" s="20"/>
      <c r="S3493" s="20"/>
    </row>
    <row r="3494">
      <c r="A3494" s="23"/>
      <c r="B3494" s="21"/>
      <c r="C3494" s="23"/>
      <c r="D3494" s="24"/>
      <c r="E3494" s="14"/>
      <c r="F3494" s="14"/>
      <c r="G3494" s="14"/>
      <c r="H3494" s="23"/>
      <c r="I3494" s="23"/>
      <c r="J3494" s="23"/>
      <c r="K3494" s="30"/>
      <c r="L3494" s="23"/>
      <c r="M3494" s="50" t="s">
        <v>10178</v>
      </c>
      <c r="N3494" s="51"/>
      <c r="O3494" s="20"/>
      <c r="P3494" s="20"/>
      <c r="Q3494" s="20"/>
      <c r="R3494" s="20"/>
      <c r="S3494" s="20"/>
    </row>
    <row r="3495">
      <c r="A3495" s="10"/>
      <c r="B3495" s="11"/>
      <c r="C3495" s="10"/>
      <c r="D3495" s="13"/>
      <c r="E3495" s="14"/>
      <c r="F3495" s="14"/>
      <c r="G3495" s="14"/>
      <c r="H3495" s="10"/>
      <c r="I3495" s="10"/>
      <c r="J3495" s="10"/>
      <c r="K3495" s="46"/>
      <c r="L3495" s="10"/>
      <c r="M3495" s="44" t="s">
        <v>10178</v>
      </c>
      <c r="N3495" s="45"/>
      <c r="O3495" s="20"/>
      <c r="P3495" s="20"/>
      <c r="Q3495" s="20"/>
      <c r="R3495" s="20"/>
      <c r="S3495" s="20"/>
    </row>
    <row r="3496">
      <c r="A3496" s="23"/>
      <c r="B3496" s="21"/>
      <c r="C3496" s="23"/>
      <c r="D3496" s="24"/>
      <c r="E3496" s="14"/>
      <c r="F3496" s="14"/>
      <c r="G3496" s="14"/>
      <c r="H3496" s="23"/>
      <c r="I3496" s="23"/>
      <c r="J3496" s="23"/>
      <c r="K3496" s="30"/>
      <c r="L3496" s="23"/>
      <c r="M3496" s="50" t="s">
        <v>10178</v>
      </c>
      <c r="N3496" s="51"/>
      <c r="O3496" s="20"/>
      <c r="P3496" s="20"/>
      <c r="Q3496" s="20"/>
      <c r="R3496" s="20"/>
      <c r="S3496" s="20"/>
    </row>
    <row r="3497">
      <c r="A3497" s="10"/>
      <c r="B3497" s="11"/>
      <c r="C3497" s="10"/>
      <c r="D3497" s="13"/>
      <c r="E3497" s="14"/>
      <c r="F3497" s="14"/>
      <c r="G3497" s="14"/>
      <c r="H3497" s="10"/>
      <c r="I3497" s="10"/>
      <c r="J3497" s="10"/>
      <c r="K3497" s="46"/>
      <c r="L3497" s="10"/>
      <c r="M3497" s="44" t="s">
        <v>10178</v>
      </c>
      <c r="N3497" s="45"/>
      <c r="O3497" s="20"/>
      <c r="P3497" s="20"/>
      <c r="Q3497" s="20"/>
      <c r="R3497" s="20"/>
      <c r="S3497" s="20"/>
    </row>
    <row r="3498">
      <c r="A3498" s="23"/>
      <c r="B3498" s="21"/>
      <c r="C3498" s="23"/>
      <c r="D3498" s="24"/>
      <c r="E3498" s="14"/>
      <c r="F3498" s="14"/>
      <c r="G3498" s="14"/>
      <c r="H3498" s="23"/>
      <c r="I3498" s="23"/>
      <c r="J3498" s="23"/>
      <c r="K3498" s="30"/>
      <c r="L3498" s="23"/>
      <c r="M3498" s="50" t="s">
        <v>10178</v>
      </c>
      <c r="N3498" s="51"/>
      <c r="O3498" s="20"/>
      <c r="P3498" s="20"/>
      <c r="Q3498" s="20"/>
      <c r="R3498" s="20"/>
      <c r="S3498" s="20"/>
    </row>
    <row r="3499">
      <c r="A3499" s="10"/>
      <c r="B3499" s="11"/>
      <c r="C3499" s="10"/>
      <c r="D3499" s="13"/>
      <c r="E3499" s="14"/>
      <c r="F3499" s="14"/>
      <c r="G3499" s="14"/>
      <c r="H3499" s="10"/>
      <c r="I3499" s="10"/>
      <c r="J3499" s="10"/>
      <c r="K3499" s="46"/>
      <c r="L3499" s="10"/>
      <c r="M3499" s="44" t="s">
        <v>10178</v>
      </c>
      <c r="N3499" s="45"/>
      <c r="O3499" s="20"/>
      <c r="P3499" s="20"/>
      <c r="Q3499" s="20"/>
      <c r="R3499" s="20"/>
      <c r="S3499" s="20"/>
    </row>
    <row r="3500">
      <c r="A3500" s="23"/>
      <c r="B3500" s="21"/>
      <c r="C3500" s="23"/>
      <c r="D3500" s="24"/>
      <c r="E3500" s="14"/>
      <c r="F3500" s="14"/>
      <c r="G3500" s="14"/>
      <c r="H3500" s="23"/>
      <c r="I3500" s="23"/>
      <c r="J3500" s="23"/>
      <c r="K3500" s="30"/>
      <c r="L3500" s="23"/>
      <c r="M3500" s="50" t="s">
        <v>10178</v>
      </c>
      <c r="N3500" s="51"/>
      <c r="O3500" s="20"/>
      <c r="P3500" s="20"/>
      <c r="Q3500" s="20"/>
      <c r="R3500" s="20"/>
      <c r="S3500" s="20"/>
    </row>
    <row r="3501">
      <c r="A3501" s="10"/>
      <c r="B3501" s="11"/>
      <c r="C3501" s="10"/>
      <c r="D3501" s="13"/>
      <c r="E3501" s="14"/>
      <c r="F3501" s="14"/>
      <c r="G3501" s="14"/>
      <c r="H3501" s="10"/>
      <c r="I3501" s="10"/>
      <c r="J3501" s="10"/>
      <c r="K3501" s="46"/>
      <c r="L3501" s="10"/>
      <c r="M3501" s="44" t="s">
        <v>10178</v>
      </c>
      <c r="N3501" s="45"/>
      <c r="O3501" s="20"/>
      <c r="P3501" s="20"/>
      <c r="Q3501" s="20"/>
      <c r="R3501" s="20"/>
      <c r="S3501" s="20"/>
    </row>
    <row r="3502">
      <c r="A3502" s="23"/>
      <c r="B3502" s="21"/>
      <c r="C3502" s="23"/>
      <c r="D3502" s="24"/>
      <c r="E3502" s="14"/>
      <c r="F3502" s="14"/>
      <c r="G3502" s="14"/>
      <c r="H3502" s="23"/>
      <c r="I3502" s="23"/>
      <c r="J3502" s="23"/>
      <c r="K3502" s="30"/>
      <c r="L3502" s="23"/>
      <c r="M3502" s="50" t="s">
        <v>10178</v>
      </c>
      <c r="N3502" s="51"/>
      <c r="O3502" s="20"/>
      <c r="P3502" s="20"/>
      <c r="Q3502" s="20"/>
      <c r="R3502" s="20"/>
      <c r="S3502" s="20"/>
    </row>
    <row r="3503">
      <c r="A3503" s="10"/>
      <c r="B3503" s="11"/>
      <c r="C3503" s="10"/>
      <c r="D3503" s="13"/>
      <c r="E3503" s="14"/>
      <c r="F3503" s="14"/>
      <c r="G3503" s="14"/>
      <c r="H3503" s="10"/>
      <c r="I3503" s="10"/>
      <c r="J3503" s="10"/>
      <c r="K3503" s="46"/>
      <c r="L3503" s="10"/>
      <c r="M3503" s="44" t="s">
        <v>10178</v>
      </c>
      <c r="N3503" s="45"/>
      <c r="O3503" s="20"/>
      <c r="P3503" s="20"/>
      <c r="Q3503" s="20"/>
      <c r="R3503" s="20"/>
      <c r="S3503" s="20"/>
    </row>
    <row r="3504">
      <c r="A3504" s="23"/>
      <c r="B3504" s="21"/>
      <c r="C3504" s="23"/>
      <c r="D3504" s="24"/>
      <c r="E3504" s="14"/>
      <c r="F3504" s="14"/>
      <c r="G3504" s="14"/>
      <c r="H3504" s="23"/>
      <c r="I3504" s="23"/>
      <c r="J3504" s="23"/>
      <c r="K3504" s="30"/>
      <c r="L3504" s="23"/>
      <c r="M3504" s="50" t="s">
        <v>10178</v>
      </c>
      <c r="N3504" s="51"/>
      <c r="O3504" s="20"/>
      <c r="P3504" s="20"/>
      <c r="Q3504" s="20"/>
      <c r="R3504" s="20"/>
      <c r="S3504" s="20"/>
    </row>
    <row r="3505">
      <c r="A3505" s="10"/>
      <c r="B3505" s="11"/>
      <c r="C3505" s="10"/>
      <c r="D3505" s="13"/>
      <c r="E3505" s="14"/>
      <c r="F3505" s="14"/>
      <c r="G3505" s="14"/>
      <c r="H3505" s="10"/>
      <c r="I3505" s="10"/>
      <c r="J3505" s="10"/>
      <c r="K3505" s="46"/>
      <c r="L3505" s="10"/>
      <c r="M3505" s="44" t="s">
        <v>10178</v>
      </c>
      <c r="N3505" s="45"/>
      <c r="O3505" s="20"/>
      <c r="P3505" s="20"/>
      <c r="Q3505" s="20"/>
      <c r="R3505" s="20"/>
      <c r="S3505" s="20"/>
    </row>
    <row r="3506">
      <c r="A3506" s="23"/>
      <c r="B3506" s="21"/>
      <c r="C3506" s="23"/>
      <c r="D3506" s="24"/>
      <c r="E3506" s="14"/>
      <c r="F3506" s="14"/>
      <c r="G3506" s="14"/>
      <c r="H3506" s="23"/>
      <c r="I3506" s="23"/>
      <c r="J3506" s="23"/>
      <c r="K3506" s="30"/>
      <c r="L3506" s="23"/>
      <c r="M3506" s="50" t="s">
        <v>10178</v>
      </c>
      <c r="N3506" s="51"/>
      <c r="O3506" s="20"/>
      <c r="P3506" s="20"/>
      <c r="Q3506" s="20"/>
      <c r="R3506" s="20"/>
      <c r="S3506" s="20"/>
    </row>
    <row r="3507">
      <c r="A3507" s="10"/>
      <c r="B3507" s="11"/>
      <c r="C3507" s="10"/>
      <c r="D3507" s="13"/>
      <c r="E3507" s="14"/>
      <c r="F3507" s="14"/>
      <c r="G3507" s="14"/>
      <c r="H3507" s="10"/>
      <c r="I3507" s="10"/>
      <c r="J3507" s="10"/>
      <c r="K3507" s="46"/>
      <c r="L3507" s="10"/>
      <c r="M3507" s="44" t="s">
        <v>10178</v>
      </c>
      <c r="N3507" s="45"/>
      <c r="O3507" s="20"/>
      <c r="P3507" s="20"/>
      <c r="Q3507" s="20"/>
      <c r="R3507" s="20"/>
      <c r="S3507" s="20"/>
    </row>
    <row r="3508">
      <c r="A3508" s="23"/>
      <c r="B3508" s="21"/>
      <c r="C3508" s="23"/>
      <c r="D3508" s="24"/>
      <c r="E3508" s="14"/>
      <c r="F3508" s="14"/>
      <c r="G3508" s="14"/>
      <c r="H3508" s="23"/>
      <c r="I3508" s="23"/>
      <c r="J3508" s="23"/>
      <c r="K3508" s="30"/>
      <c r="L3508" s="23"/>
      <c r="M3508" s="50" t="s">
        <v>10178</v>
      </c>
      <c r="N3508" s="51"/>
      <c r="O3508" s="20"/>
      <c r="P3508" s="20"/>
      <c r="Q3508" s="20"/>
      <c r="R3508" s="20"/>
      <c r="S3508" s="20"/>
    </row>
    <row r="3509">
      <c r="A3509" s="10"/>
      <c r="B3509" s="11"/>
      <c r="C3509" s="10"/>
      <c r="D3509" s="13"/>
      <c r="E3509" s="14"/>
      <c r="F3509" s="14"/>
      <c r="G3509" s="14"/>
      <c r="H3509" s="10"/>
      <c r="I3509" s="10"/>
      <c r="J3509" s="10"/>
      <c r="K3509" s="46"/>
      <c r="L3509" s="10"/>
      <c r="M3509" s="44" t="s">
        <v>10178</v>
      </c>
      <c r="N3509" s="45"/>
      <c r="O3509" s="20"/>
      <c r="P3509" s="20"/>
      <c r="Q3509" s="20"/>
      <c r="R3509" s="20"/>
      <c r="S3509" s="20"/>
    </row>
    <row r="3510">
      <c r="A3510" s="23"/>
      <c r="B3510" s="21"/>
      <c r="C3510" s="23"/>
      <c r="D3510" s="24"/>
      <c r="E3510" s="14"/>
      <c r="F3510" s="14"/>
      <c r="G3510" s="14"/>
      <c r="H3510" s="23"/>
      <c r="I3510" s="23"/>
      <c r="J3510" s="23"/>
      <c r="K3510" s="30"/>
      <c r="L3510" s="23"/>
      <c r="M3510" s="50" t="s">
        <v>10178</v>
      </c>
      <c r="N3510" s="51"/>
      <c r="O3510" s="20"/>
      <c r="P3510" s="20"/>
      <c r="Q3510" s="20"/>
      <c r="R3510" s="20"/>
      <c r="S3510" s="20"/>
    </row>
    <row r="3511">
      <c r="A3511" s="10"/>
      <c r="B3511" s="11"/>
      <c r="C3511" s="10"/>
      <c r="D3511" s="13"/>
      <c r="E3511" s="14"/>
      <c r="F3511" s="14"/>
      <c r="G3511" s="14"/>
      <c r="H3511" s="10"/>
      <c r="I3511" s="10"/>
      <c r="J3511" s="10"/>
      <c r="K3511" s="46"/>
      <c r="L3511" s="10"/>
      <c r="M3511" s="44" t="s">
        <v>10178</v>
      </c>
      <c r="N3511" s="45"/>
      <c r="O3511" s="20"/>
      <c r="P3511" s="20"/>
      <c r="Q3511" s="20"/>
      <c r="R3511" s="20"/>
      <c r="S3511" s="20"/>
    </row>
    <row r="3512">
      <c r="A3512" s="23"/>
      <c r="B3512" s="21"/>
      <c r="C3512" s="23"/>
      <c r="D3512" s="24"/>
      <c r="E3512" s="14"/>
      <c r="F3512" s="14"/>
      <c r="G3512" s="14"/>
      <c r="H3512" s="23"/>
      <c r="I3512" s="23"/>
      <c r="J3512" s="23"/>
      <c r="K3512" s="30"/>
      <c r="L3512" s="23"/>
      <c r="M3512" s="50" t="s">
        <v>10178</v>
      </c>
      <c r="N3512" s="51"/>
      <c r="O3512" s="20"/>
      <c r="P3512" s="20"/>
      <c r="Q3512" s="20"/>
      <c r="R3512" s="20"/>
      <c r="S3512" s="20"/>
    </row>
    <row r="3513">
      <c r="A3513" s="10"/>
      <c r="B3513" s="11"/>
      <c r="C3513" s="10"/>
      <c r="D3513" s="13"/>
      <c r="E3513" s="14"/>
      <c r="F3513" s="14"/>
      <c r="G3513" s="14"/>
      <c r="H3513" s="10"/>
      <c r="I3513" s="10"/>
      <c r="J3513" s="10"/>
      <c r="K3513" s="46"/>
      <c r="L3513" s="10"/>
      <c r="M3513" s="44" t="s">
        <v>10178</v>
      </c>
      <c r="N3513" s="45"/>
      <c r="O3513" s="20"/>
      <c r="P3513" s="20"/>
      <c r="Q3513" s="20"/>
      <c r="R3513" s="20"/>
      <c r="S3513" s="20"/>
    </row>
    <row r="3514">
      <c r="A3514" s="23"/>
      <c r="B3514" s="21"/>
      <c r="C3514" s="23"/>
      <c r="D3514" s="24"/>
      <c r="E3514" s="14"/>
      <c r="F3514" s="14"/>
      <c r="G3514" s="14"/>
      <c r="H3514" s="23"/>
      <c r="I3514" s="23"/>
      <c r="J3514" s="23"/>
      <c r="K3514" s="30"/>
      <c r="L3514" s="23"/>
      <c r="M3514" s="50" t="s">
        <v>10178</v>
      </c>
      <c r="N3514" s="51"/>
      <c r="O3514" s="20"/>
      <c r="P3514" s="20"/>
      <c r="Q3514" s="20"/>
      <c r="R3514" s="20"/>
      <c r="S3514" s="20"/>
    </row>
    <row r="3515">
      <c r="A3515" s="10"/>
      <c r="B3515" s="11"/>
      <c r="C3515" s="10"/>
      <c r="D3515" s="13"/>
      <c r="E3515" s="14"/>
      <c r="F3515" s="14"/>
      <c r="G3515" s="14"/>
      <c r="H3515" s="10"/>
      <c r="I3515" s="10"/>
      <c r="J3515" s="10"/>
      <c r="K3515" s="46"/>
      <c r="L3515" s="10"/>
      <c r="M3515" s="44" t="s">
        <v>10178</v>
      </c>
      <c r="N3515" s="45"/>
      <c r="O3515" s="20"/>
      <c r="P3515" s="20"/>
      <c r="Q3515" s="20"/>
      <c r="R3515" s="20"/>
      <c r="S3515" s="20"/>
    </row>
    <row r="3516">
      <c r="A3516" s="23"/>
      <c r="B3516" s="21"/>
      <c r="C3516" s="23"/>
      <c r="D3516" s="24"/>
      <c r="E3516" s="14"/>
      <c r="F3516" s="14"/>
      <c r="G3516" s="14"/>
      <c r="H3516" s="23"/>
      <c r="I3516" s="23"/>
      <c r="J3516" s="23"/>
      <c r="K3516" s="30"/>
      <c r="L3516" s="23"/>
      <c r="M3516" s="50" t="s">
        <v>10178</v>
      </c>
      <c r="N3516" s="51"/>
      <c r="O3516" s="20"/>
      <c r="P3516" s="20"/>
      <c r="Q3516" s="20"/>
      <c r="R3516" s="20"/>
      <c r="S3516" s="20"/>
    </row>
    <row r="3517">
      <c r="A3517" s="10"/>
      <c r="B3517" s="11"/>
      <c r="C3517" s="10"/>
      <c r="D3517" s="13"/>
      <c r="E3517" s="14"/>
      <c r="F3517" s="14"/>
      <c r="G3517" s="14"/>
      <c r="H3517" s="10"/>
      <c r="I3517" s="10"/>
      <c r="J3517" s="10"/>
      <c r="K3517" s="46"/>
      <c r="L3517" s="10"/>
      <c r="M3517" s="44" t="s">
        <v>10178</v>
      </c>
      <c r="N3517" s="45"/>
      <c r="O3517" s="20"/>
      <c r="P3517" s="20"/>
      <c r="Q3517" s="20"/>
      <c r="R3517" s="20"/>
      <c r="S3517" s="20"/>
    </row>
    <row r="3518">
      <c r="A3518" s="23"/>
      <c r="B3518" s="21"/>
      <c r="C3518" s="23"/>
      <c r="D3518" s="24"/>
      <c r="E3518" s="14"/>
      <c r="F3518" s="14"/>
      <c r="G3518" s="14"/>
      <c r="H3518" s="23"/>
      <c r="I3518" s="23"/>
      <c r="J3518" s="23"/>
      <c r="K3518" s="30"/>
      <c r="L3518" s="23"/>
      <c r="M3518" s="50" t="s">
        <v>10178</v>
      </c>
      <c r="N3518" s="51"/>
      <c r="O3518" s="20"/>
      <c r="P3518" s="20"/>
      <c r="Q3518" s="20"/>
      <c r="R3518" s="20"/>
      <c r="S3518" s="20"/>
    </row>
    <row r="3519">
      <c r="A3519" s="10"/>
      <c r="B3519" s="11"/>
      <c r="C3519" s="10"/>
      <c r="D3519" s="13"/>
      <c r="E3519" s="14"/>
      <c r="F3519" s="14"/>
      <c r="G3519" s="14"/>
      <c r="H3519" s="10"/>
      <c r="I3519" s="10"/>
      <c r="J3519" s="10"/>
      <c r="K3519" s="46"/>
      <c r="L3519" s="10"/>
      <c r="M3519" s="44" t="s">
        <v>10178</v>
      </c>
      <c r="N3519" s="45"/>
      <c r="O3519" s="20"/>
      <c r="P3519" s="20"/>
      <c r="Q3519" s="20"/>
      <c r="R3519" s="20"/>
      <c r="S3519" s="20"/>
    </row>
    <row r="3520">
      <c r="A3520" s="23"/>
      <c r="B3520" s="21"/>
      <c r="C3520" s="23"/>
      <c r="D3520" s="24"/>
      <c r="E3520" s="14"/>
      <c r="F3520" s="14"/>
      <c r="G3520" s="14"/>
      <c r="H3520" s="23"/>
      <c r="I3520" s="23"/>
      <c r="J3520" s="23"/>
      <c r="K3520" s="30"/>
      <c r="L3520" s="23"/>
      <c r="M3520" s="50" t="s">
        <v>10178</v>
      </c>
      <c r="N3520" s="51"/>
      <c r="O3520" s="20"/>
      <c r="P3520" s="20"/>
      <c r="Q3520" s="20"/>
      <c r="R3520" s="20"/>
      <c r="S3520" s="20"/>
    </row>
    <row r="3521">
      <c r="A3521" s="10"/>
      <c r="B3521" s="11"/>
      <c r="C3521" s="10"/>
      <c r="D3521" s="13"/>
      <c r="E3521" s="14"/>
      <c r="F3521" s="14"/>
      <c r="G3521" s="14"/>
      <c r="H3521" s="10"/>
      <c r="I3521" s="10"/>
      <c r="J3521" s="10"/>
      <c r="K3521" s="46"/>
      <c r="L3521" s="10"/>
      <c r="M3521" s="44" t="s">
        <v>10178</v>
      </c>
      <c r="N3521" s="45"/>
      <c r="O3521" s="20"/>
      <c r="P3521" s="20"/>
      <c r="Q3521" s="20"/>
      <c r="R3521" s="20"/>
      <c r="S3521" s="20"/>
    </row>
    <row r="3522">
      <c r="A3522" s="23"/>
      <c r="B3522" s="21"/>
      <c r="C3522" s="23"/>
      <c r="D3522" s="24"/>
      <c r="E3522" s="14"/>
      <c r="F3522" s="14"/>
      <c r="G3522" s="14"/>
      <c r="H3522" s="23"/>
      <c r="I3522" s="23"/>
      <c r="J3522" s="23"/>
      <c r="K3522" s="30"/>
      <c r="L3522" s="23"/>
      <c r="M3522" s="50" t="s">
        <v>10178</v>
      </c>
      <c r="N3522" s="51"/>
      <c r="O3522" s="20"/>
      <c r="P3522" s="20"/>
      <c r="Q3522" s="20"/>
      <c r="R3522" s="20"/>
      <c r="S3522" s="20"/>
    </row>
    <row r="3523">
      <c r="A3523" s="10"/>
      <c r="B3523" s="11"/>
      <c r="C3523" s="10"/>
      <c r="D3523" s="13"/>
      <c r="E3523" s="14"/>
      <c r="F3523" s="14"/>
      <c r="G3523" s="14"/>
      <c r="H3523" s="10"/>
      <c r="I3523" s="10"/>
      <c r="J3523" s="10"/>
      <c r="K3523" s="46"/>
      <c r="L3523" s="10"/>
      <c r="M3523" s="44" t="s">
        <v>10178</v>
      </c>
      <c r="N3523" s="45"/>
      <c r="O3523" s="20"/>
      <c r="P3523" s="20"/>
      <c r="Q3523" s="20"/>
      <c r="R3523" s="20"/>
      <c r="S3523" s="20"/>
    </row>
    <row r="3524">
      <c r="A3524" s="23"/>
      <c r="B3524" s="21"/>
      <c r="C3524" s="23"/>
      <c r="D3524" s="24"/>
      <c r="E3524" s="14"/>
      <c r="F3524" s="14"/>
      <c r="G3524" s="14"/>
      <c r="H3524" s="23"/>
      <c r="I3524" s="23"/>
      <c r="J3524" s="23"/>
      <c r="K3524" s="30"/>
      <c r="L3524" s="23"/>
      <c r="M3524" s="50" t="s">
        <v>10178</v>
      </c>
      <c r="N3524" s="51"/>
      <c r="O3524" s="20"/>
      <c r="P3524" s="20"/>
      <c r="Q3524" s="20"/>
      <c r="R3524" s="20"/>
      <c r="S3524" s="20"/>
    </row>
    <row r="3525">
      <c r="A3525" s="10"/>
      <c r="B3525" s="11"/>
      <c r="C3525" s="10"/>
      <c r="D3525" s="13"/>
      <c r="E3525" s="14"/>
      <c r="F3525" s="14"/>
      <c r="G3525" s="14"/>
      <c r="H3525" s="10"/>
      <c r="I3525" s="10"/>
      <c r="J3525" s="10"/>
      <c r="K3525" s="46"/>
      <c r="L3525" s="10"/>
      <c r="M3525" s="44" t="s">
        <v>10178</v>
      </c>
      <c r="N3525" s="45"/>
      <c r="O3525" s="20"/>
      <c r="P3525" s="20"/>
      <c r="Q3525" s="20"/>
      <c r="R3525" s="20"/>
      <c r="S3525" s="20"/>
    </row>
    <row r="3526">
      <c r="A3526" s="23"/>
      <c r="B3526" s="21"/>
      <c r="C3526" s="23"/>
      <c r="D3526" s="24"/>
      <c r="E3526" s="14"/>
      <c r="F3526" s="14"/>
      <c r="G3526" s="14"/>
      <c r="H3526" s="23"/>
      <c r="I3526" s="23"/>
      <c r="J3526" s="23"/>
      <c r="K3526" s="30"/>
      <c r="L3526" s="23"/>
      <c r="M3526" s="50" t="s">
        <v>10178</v>
      </c>
      <c r="N3526" s="51"/>
      <c r="O3526" s="20"/>
      <c r="P3526" s="20"/>
      <c r="Q3526" s="20"/>
      <c r="R3526" s="20"/>
      <c r="S3526" s="20"/>
    </row>
    <row r="3527">
      <c r="A3527" s="10"/>
      <c r="B3527" s="11"/>
      <c r="C3527" s="10"/>
      <c r="D3527" s="13"/>
      <c r="E3527" s="14"/>
      <c r="F3527" s="14"/>
      <c r="G3527" s="14"/>
      <c r="H3527" s="10"/>
      <c r="I3527" s="10"/>
      <c r="J3527" s="10"/>
      <c r="K3527" s="46"/>
      <c r="L3527" s="10"/>
      <c r="M3527" s="44" t="s">
        <v>10178</v>
      </c>
      <c r="N3527" s="45"/>
      <c r="O3527" s="20"/>
      <c r="P3527" s="20"/>
      <c r="Q3527" s="20"/>
      <c r="R3527" s="20"/>
      <c r="S3527" s="20"/>
    </row>
    <row r="3528">
      <c r="A3528" s="23"/>
      <c r="B3528" s="21"/>
      <c r="C3528" s="23"/>
      <c r="D3528" s="24"/>
      <c r="E3528" s="14"/>
      <c r="F3528" s="14"/>
      <c r="G3528" s="14"/>
      <c r="H3528" s="23"/>
      <c r="I3528" s="23"/>
      <c r="J3528" s="23"/>
      <c r="K3528" s="30"/>
      <c r="L3528" s="23"/>
      <c r="M3528" s="50" t="s">
        <v>10178</v>
      </c>
      <c r="N3528" s="51"/>
      <c r="O3528" s="20"/>
      <c r="P3528" s="20"/>
      <c r="Q3528" s="20"/>
      <c r="R3528" s="20"/>
      <c r="S3528" s="20"/>
    </row>
    <row r="3529">
      <c r="A3529" s="10"/>
      <c r="B3529" s="11"/>
      <c r="C3529" s="10"/>
      <c r="D3529" s="13"/>
      <c r="E3529" s="14"/>
      <c r="F3529" s="14"/>
      <c r="G3529" s="14"/>
      <c r="H3529" s="10"/>
      <c r="I3529" s="10"/>
      <c r="J3529" s="10"/>
      <c r="K3529" s="46"/>
      <c r="L3529" s="10"/>
      <c r="M3529" s="44" t="s">
        <v>10178</v>
      </c>
      <c r="N3529" s="45"/>
      <c r="O3529" s="20"/>
      <c r="P3529" s="20"/>
      <c r="Q3529" s="20"/>
      <c r="R3529" s="20"/>
      <c r="S3529" s="20"/>
    </row>
    <row r="3530">
      <c r="A3530" s="23"/>
      <c r="B3530" s="21"/>
      <c r="C3530" s="23"/>
      <c r="D3530" s="24"/>
      <c r="E3530" s="14"/>
      <c r="F3530" s="14"/>
      <c r="G3530" s="14"/>
      <c r="H3530" s="23"/>
      <c r="I3530" s="23"/>
      <c r="J3530" s="23"/>
      <c r="K3530" s="30"/>
      <c r="L3530" s="23"/>
      <c r="M3530" s="50" t="s">
        <v>10178</v>
      </c>
      <c r="N3530" s="51"/>
      <c r="O3530" s="20"/>
      <c r="P3530" s="20"/>
      <c r="Q3530" s="20"/>
      <c r="R3530" s="20"/>
      <c r="S3530" s="20"/>
    </row>
    <row r="3531">
      <c r="A3531" s="10"/>
      <c r="B3531" s="11"/>
      <c r="C3531" s="10"/>
      <c r="D3531" s="13"/>
      <c r="E3531" s="14"/>
      <c r="F3531" s="14"/>
      <c r="G3531" s="14"/>
      <c r="H3531" s="10"/>
      <c r="I3531" s="10"/>
      <c r="J3531" s="10"/>
      <c r="K3531" s="46"/>
      <c r="L3531" s="10"/>
      <c r="M3531" s="44" t="s">
        <v>10178</v>
      </c>
      <c r="N3531" s="45"/>
      <c r="O3531" s="20"/>
      <c r="P3531" s="20"/>
      <c r="Q3531" s="20"/>
      <c r="R3531" s="20"/>
      <c r="S3531" s="20"/>
    </row>
    <row r="3532">
      <c r="A3532" s="23"/>
      <c r="B3532" s="21"/>
      <c r="C3532" s="23"/>
      <c r="D3532" s="24"/>
      <c r="E3532" s="14"/>
      <c r="F3532" s="14"/>
      <c r="G3532" s="14"/>
      <c r="H3532" s="23"/>
      <c r="I3532" s="23"/>
      <c r="J3532" s="23"/>
      <c r="K3532" s="30"/>
      <c r="L3532" s="23"/>
      <c r="M3532" s="50" t="s">
        <v>10178</v>
      </c>
      <c r="N3532" s="51"/>
      <c r="O3532" s="20"/>
      <c r="P3532" s="20"/>
      <c r="Q3532" s="20"/>
      <c r="R3532" s="20"/>
      <c r="S3532" s="20"/>
    </row>
    <row r="3533">
      <c r="A3533" s="10"/>
      <c r="B3533" s="11"/>
      <c r="C3533" s="10"/>
      <c r="D3533" s="13"/>
      <c r="E3533" s="14"/>
      <c r="F3533" s="14"/>
      <c r="G3533" s="14"/>
      <c r="H3533" s="10"/>
      <c r="I3533" s="10"/>
      <c r="J3533" s="10"/>
      <c r="K3533" s="46"/>
      <c r="L3533" s="10"/>
      <c r="M3533" s="44" t="s">
        <v>10178</v>
      </c>
      <c r="N3533" s="45"/>
      <c r="O3533" s="20"/>
      <c r="P3533" s="20"/>
      <c r="Q3533" s="20"/>
      <c r="R3533" s="20"/>
      <c r="S3533" s="20"/>
    </row>
    <row r="3534">
      <c r="A3534" s="23"/>
      <c r="B3534" s="21"/>
      <c r="C3534" s="23"/>
      <c r="D3534" s="24"/>
      <c r="E3534" s="14"/>
      <c r="F3534" s="14"/>
      <c r="G3534" s="14"/>
      <c r="H3534" s="23"/>
      <c r="I3534" s="23"/>
      <c r="J3534" s="23"/>
      <c r="K3534" s="30"/>
      <c r="L3534" s="23"/>
      <c r="M3534" s="50" t="s">
        <v>10178</v>
      </c>
      <c r="N3534" s="51"/>
      <c r="O3534" s="20"/>
      <c r="P3534" s="20"/>
      <c r="Q3534" s="20"/>
      <c r="R3534" s="20"/>
      <c r="S3534" s="20"/>
    </row>
    <row r="3535">
      <c r="A3535" s="10"/>
      <c r="B3535" s="11"/>
      <c r="C3535" s="10"/>
      <c r="D3535" s="13"/>
      <c r="E3535" s="14"/>
      <c r="F3535" s="14"/>
      <c r="G3535" s="14"/>
      <c r="H3535" s="10"/>
      <c r="I3535" s="10"/>
      <c r="J3535" s="10"/>
      <c r="K3535" s="46"/>
      <c r="L3535" s="10"/>
      <c r="M3535" s="44" t="s">
        <v>10178</v>
      </c>
      <c r="N3535" s="45"/>
      <c r="O3535" s="20"/>
      <c r="P3535" s="20"/>
      <c r="Q3535" s="20"/>
      <c r="R3535" s="20"/>
      <c r="S3535" s="20"/>
    </row>
    <row r="3536">
      <c r="A3536" s="23"/>
      <c r="B3536" s="21"/>
      <c r="C3536" s="23"/>
      <c r="D3536" s="24"/>
      <c r="E3536" s="14"/>
      <c r="F3536" s="14"/>
      <c r="G3536" s="14"/>
      <c r="H3536" s="23"/>
      <c r="I3536" s="23"/>
      <c r="J3536" s="23"/>
      <c r="K3536" s="30"/>
      <c r="L3536" s="23"/>
      <c r="M3536" s="50" t="s">
        <v>10178</v>
      </c>
      <c r="N3536" s="51"/>
      <c r="O3536" s="20"/>
      <c r="P3536" s="20"/>
      <c r="Q3536" s="20"/>
      <c r="R3536" s="20"/>
      <c r="S3536" s="20"/>
    </row>
    <row r="3537">
      <c r="A3537" s="10"/>
      <c r="B3537" s="11"/>
      <c r="C3537" s="10"/>
      <c r="D3537" s="13"/>
      <c r="E3537" s="14"/>
      <c r="F3537" s="14"/>
      <c r="G3537" s="14"/>
      <c r="H3537" s="10"/>
      <c r="I3537" s="10"/>
      <c r="J3537" s="10"/>
      <c r="K3537" s="46"/>
      <c r="L3537" s="10"/>
      <c r="M3537" s="44" t="s">
        <v>10178</v>
      </c>
      <c r="N3537" s="45"/>
      <c r="O3537" s="20"/>
      <c r="P3537" s="20"/>
      <c r="Q3537" s="20"/>
      <c r="R3537" s="20"/>
      <c r="S3537" s="20"/>
    </row>
    <row r="3538">
      <c r="A3538" s="23"/>
      <c r="B3538" s="21"/>
      <c r="C3538" s="23"/>
      <c r="D3538" s="24"/>
      <c r="E3538" s="14"/>
      <c r="F3538" s="14"/>
      <c r="G3538" s="14"/>
      <c r="H3538" s="23"/>
      <c r="I3538" s="23"/>
      <c r="J3538" s="23"/>
      <c r="K3538" s="30"/>
      <c r="L3538" s="23"/>
      <c r="M3538" s="50" t="s">
        <v>10178</v>
      </c>
      <c r="N3538" s="51"/>
      <c r="O3538" s="20"/>
      <c r="P3538" s="20"/>
      <c r="Q3538" s="20"/>
      <c r="R3538" s="20"/>
      <c r="S3538" s="20"/>
    </row>
    <row r="3539">
      <c r="A3539" s="10"/>
      <c r="B3539" s="11"/>
      <c r="C3539" s="10"/>
      <c r="D3539" s="13"/>
      <c r="E3539" s="14"/>
      <c r="F3539" s="14"/>
      <c r="G3539" s="14"/>
      <c r="H3539" s="10"/>
      <c r="I3539" s="10"/>
      <c r="J3539" s="10"/>
      <c r="K3539" s="46"/>
      <c r="L3539" s="10"/>
      <c r="M3539" s="44" t="s">
        <v>10178</v>
      </c>
      <c r="N3539" s="45"/>
      <c r="O3539" s="20"/>
      <c r="P3539" s="20"/>
      <c r="Q3539" s="20"/>
      <c r="R3539" s="20"/>
      <c r="S3539" s="20"/>
    </row>
    <row r="3540">
      <c r="A3540" s="23"/>
      <c r="B3540" s="21"/>
      <c r="C3540" s="23"/>
      <c r="D3540" s="24"/>
      <c r="E3540" s="14"/>
      <c r="F3540" s="14"/>
      <c r="G3540" s="14"/>
      <c r="H3540" s="23"/>
      <c r="I3540" s="23"/>
      <c r="J3540" s="23"/>
      <c r="K3540" s="30"/>
      <c r="L3540" s="23"/>
      <c r="M3540" s="50" t="s">
        <v>10178</v>
      </c>
      <c r="N3540" s="51"/>
      <c r="O3540" s="20"/>
      <c r="P3540" s="20"/>
      <c r="Q3540" s="20"/>
      <c r="R3540" s="20"/>
      <c r="S3540" s="20"/>
    </row>
    <row r="3541">
      <c r="A3541" s="10"/>
      <c r="B3541" s="11"/>
      <c r="C3541" s="10"/>
      <c r="D3541" s="13"/>
      <c r="E3541" s="14"/>
      <c r="F3541" s="14"/>
      <c r="G3541" s="14"/>
      <c r="H3541" s="10"/>
      <c r="I3541" s="10"/>
      <c r="J3541" s="10"/>
      <c r="K3541" s="46"/>
      <c r="L3541" s="10"/>
      <c r="M3541" s="44" t="s">
        <v>10178</v>
      </c>
      <c r="N3541" s="45"/>
      <c r="O3541" s="20"/>
      <c r="P3541" s="20"/>
      <c r="Q3541" s="20"/>
      <c r="R3541" s="20"/>
      <c r="S3541" s="20"/>
    </row>
    <row r="3542">
      <c r="A3542" s="23"/>
      <c r="B3542" s="21"/>
      <c r="C3542" s="23"/>
      <c r="D3542" s="24"/>
      <c r="E3542" s="14"/>
      <c r="F3542" s="14"/>
      <c r="G3542" s="14"/>
      <c r="H3542" s="23"/>
      <c r="I3542" s="23"/>
      <c r="J3542" s="23"/>
      <c r="K3542" s="30"/>
      <c r="L3542" s="23"/>
      <c r="M3542" s="50" t="s">
        <v>10178</v>
      </c>
      <c r="N3542" s="51"/>
      <c r="O3542" s="20"/>
      <c r="P3542" s="20"/>
      <c r="Q3542" s="20"/>
      <c r="R3542" s="20"/>
      <c r="S3542" s="20"/>
    </row>
    <row r="3543">
      <c r="A3543" s="10"/>
      <c r="B3543" s="11"/>
      <c r="C3543" s="10"/>
      <c r="D3543" s="13"/>
      <c r="E3543" s="14"/>
      <c r="F3543" s="14"/>
      <c r="G3543" s="14"/>
      <c r="H3543" s="10"/>
      <c r="I3543" s="10"/>
      <c r="J3543" s="10"/>
      <c r="K3543" s="46"/>
      <c r="L3543" s="10"/>
      <c r="M3543" s="44" t="s">
        <v>10178</v>
      </c>
      <c r="N3543" s="45"/>
      <c r="O3543" s="20"/>
      <c r="P3543" s="20"/>
      <c r="Q3543" s="20"/>
      <c r="R3543" s="20"/>
      <c r="S3543" s="20"/>
    </row>
    <row r="3544">
      <c r="A3544" s="23"/>
      <c r="B3544" s="21"/>
      <c r="C3544" s="23"/>
      <c r="D3544" s="24"/>
      <c r="E3544" s="14"/>
      <c r="F3544" s="14"/>
      <c r="G3544" s="14"/>
      <c r="H3544" s="23"/>
      <c r="I3544" s="23"/>
      <c r="J3544" s="23"/>
      <c r="K3544" s="30"/>
      <c r="L3544" s="23"/>
      <c r="M3544" s="50" t="s">
        <v>10178</v>
      </c>
      <c r="N3544" s="51"/>
      <c r="O3544" s="20"/>
      <c r="P3544" s="20"/>
      <c r="Q3544" s="20"/>
      <c r="R3544" s="20"/>
      <c r="S3544" s="20"/>
    </row>
    <row r="3545">
      <c r="A3545" s="10"/>
      <c r="B3545" s="11"/>
      <c r="C3545" s="10"/>
      <c r="D3545" s="13"/>
      <c r="E3545" s="14"/>
      <c r="F3545" s="14"/>
      <c r="G3545" s="14"/>
      <c r="H3545" s="10"/>
      <c r="I3545" s="10"/>
      <c r="J3545" s="10"/>
      <c r="K3545" s="46"/>
      <c r="L3545" s="10"/>
      <c r="M3545" s="44" t="s">
        <v>10178</v>
      </c>
      <c r="N3545" s="45"/>
      <c r="O3545" s="20"/>
      <c r="P3545" s="20"/>
      <c r="Q3545" s="20"/>
      <c r="R3545" s="20"/>
      <c r="S3545" s="20"/>
    </row>
    <row r="3546">
      <c r="A3546" s="23"/>
      <c r="B3546" s="21"/>
      <c r="C3546" s="23"/>
      <c r="D3546" s="24"/>
      <c r="E3546" s="14"/>
      <c r="F3546" s="14"/>
      <c r="G3546" s="14"/>
      <c r="H3546" s="23"/>
      <c r="I3546" s="23"/>
      <c r="J3546" s="23"/>
      <c r="K3546" s="30"/>
      <c r="L3546" s="23"/>
      <c r="M3546" s="50" t="s">
        <v>10178</v>
      </c>
      <c r="N3546" s="51"/>
      <c r="O3546" s="20"/>
      <c r="P3546" s="20"/>
      <c r="Q3546" s="20"/>
      <c r="R3546" s="20"/>
      <c r="S3546" s="20"/>
    </row>
    <row r="3547">
      <c r="A3547" s="10"/>
      <c r="B3547" s="11"/>
      <c r="C3547" s="10"/>
      <c r="D3547" s="13"/>
      <c r="E3547" s="14"/>
      <c r="F3547" s="14"/>
      <c r="G3547" s="14"/>
      <c r="H3547" s="10"/>
      <c r="I3547" s="10"/>
      <c r="J3547" s="10"/>
      <c r="K3547" s="46"/>
      <c r="L3547" s="10"/>
      <c r="M3547" s="44" t="s">
        <v>10178</v>
      </c>
      <c r="N3547" s="45"/>
      <c r="O3547" s="20"/>
      <c r="P3547" s="20"/>
      <c r="Q3547" s="20"/>
      <c r="R3547" s="20"/>
      <c r="S3547" s="20"/>
    </row>
    <row r="3548">
      <c r="A3548" s="23"/>
      <c r="B3548" s="21"/>
      <c r="C3548" s="23"/>
      <c r="D3548" s="24"/>
      <c r="E3548" s="14"/>
      <c r="F3548" s="14"/>
      <c r="G3548" s="14"/>
      <c r="H3548" s="23"/>
      <c r="I3548" s="23"/>
      <c r="J3548" s="23"/>
      <c r="K3548" s="30"/>
      <c r="L3548" s="23"/>
      <c r="M3548" s="50" t="s">
        <v>10178</v>
      </c>
      <c r="N3548" s="51"/>
      <c r="O3548" s="20"/>
      <c r="P3548" s="20"/>
      <c r="Q3548" s="20"/>
      <c r="R3548" s="20"/>
      <c r="S3548" s="20"/>
    </row>
    <row r="3549">
      <c r="A3549" s="10"/>
      <c r="B3549" s="11"/>
      <c r="C3549" s="10"/>
      <c r="D3549" s="13"/>
      <c r="E3549" s="14"/>
      <c r="F3549" s="14"/>
      <c r="G3549" s="14"/>
      <c r="H3549" s="10"/>
      <c r="I3549" s="10"/>
      <c r="J3549" s="10"/>
      <c r="K3549" s="46"/>
      <c r="L3549" s="10"/>
      <c r="M3549" s="44" t="s">
        <v>10178</v>
      </c>
      <c r="N3549" s="45"/>
      <c r="O3549" s="20"/>
      <c r="P3549" s="20"/>
      <c r="Q3549" s="20"/>
      <c r="R3549" s="20"/>
      <c r="S3549" s="20"/>
    </row>
    <row r="3550">
      <c r="A3550" s="23"/>
      <c r="B3550" s="21"/>
      <c r="C3550" s="23"/>
      <c r="D3550" s="24"/>
      <c r="E3550" s="14"/>
      <c r="F3550" s="14"/>
      <c r="G3550" s="14"/>
      <c r="H3550" s="23"/>
      <c r="I3550" s="23"/>
      <c r="J3550" s="23"/>
      <c r="K3550" s="30"/>
      <c r="L3550" s="23"/>
      <c r="M3550" s="50" t="s">
        <v>10178</v>
      </c>
      <c r="N3550" s="51"/>
      <c r="O3550" s="20"/>
      <c r="P3550" s="20"/>
      <c r="Q3550" s="20"/>
      <c r="R3550" s="20"/>
      <c r="S3550" s="20"/>
    </row>
    <row r="3551">
      <c r="A3551" s="10"/>
      <c r="B3551" s="11"/>
      <c r="C3551" s="10"/>
      <c r="D3551" s="13"/>
      <c r="E3551" s="14"/>
      <c r="F3551" s="14"/>
      <c r="G3551" s="14"/>
      <c r="H3551" s="10"/>
      <c r="I3551" s="10"/>
      <c r="J3551" s="10"/>
      <c r="K3551" s="46"/>
      <c r="L3551" s="10"/>
      <c r="M3551" s="44" t="s">
        <v>10178</v>
      </c>
      <c r="N3551" s="45"/>
      <c r="O3551" s="20"/>
      <c r="P3551" s="20"/>
      <c r="Q3551" s="20"/>
      <c r="R3551" s="20"/>
      <c r="S3551" s="20"/>
    </row>
    <row r="3552">
      <c r="A3552" s="23"/>
      <c r="B3552" s="21"/>
      <c r="C3552" s="23"/>
      <c r="D3552" s="24"/>
      <c r="E3552" s="14"/>
      <c r="F3552" s="14"/>
      <c r="G3552" s="14"/>
      <c r="H3552" s="23"/>
      <c r="I3552" s="23"/>
      <c r="J3552" s="23"/>
      <c r="K3552" s="30"/>
      <c r="L3552" s="23"/>
      <c r="M3552" s="50" t="s">
        <v>10178</v>
      </c>
      <c r="N3552" s="51"/>
      <c r="O3552" s="20"/>
      <c r="P3552" s="20"/>
      <c r="Q3552" s="20"/>
      <c r="R3552" s="20"/>
      <c r="S3552" s="20"/>
    </row>
    <row r="3553">
      <c r="A3553" s="10"/>
      <c r="B3553" s="11"/>
      <c r="C3553" s="10"/>
      <c r="D3553" s="13"/>
      <c r="E3553" s="14"/>
      <c r="F3553" s="14"/>
      <c r="G3553" s="14"/>
      <c r="H3553" s="10"/>
      <c r="I3553" s="10"/>
      <c r="J3553" s="10"/>
      <c r="K3553" s="46"/>
      <c r="L3553" s="10"/>
      <c r="M3553" s="44" t="s">
        <v>10178</v>
      </c>
      <c r="N3553" s="45"/>
      <c r="O3553" s="20"/>
      <c r="P3553" s="20"/>
      <c r="Q3553" s="20"/>
      <c r="R3553" s="20"/>
      <c r="S3553" s="20"/>
    </row>
    <row r="3554">
      <c r="A3554" s="23"/>
      <c r="B3554" s="21"/>
      <c r="C3554" s="23"/>
      <c r="D3554" s="24"/>
      <c r="E3554" s="14"/>
      <c r="F3554" s="14"/>
      <c r="G3554" s="14"/>
      <c r="H3554" s="23"/>
      <c r="I3554" s="23"/>
      <c r="J3554" s="23"/>
      <c r="K3554" s="30"/>
      <c r="L3554" s="23"/>
      <c r="M3554" s="50" t="s">
        <v>10178</v>
      </c>
      <c r="N3554" s="51"/>
      <c r="O3554" s="20"/>
      <c r="P3554" s="20"/>
      <c r="Q3554" s="20"/>
      <c r="R3554" s="20"/>
      <c r="S3554" s="20"/>
    </row>
    <row r="3555">
      <c r="A3555" s="10"/>
      <c r="B3555" s="11"/>
      <c r="C3555" s="10"/>
      <c r="D3555" s="13"/>
      <c r="E3555" s="14"/>
      <c r="F3555" s="14"/>
      <c r="G3555" s="14"/>
      <c r="H3555" s="10"/>
      <c r="I3555" s="10"/>
      <c r="J3555" s="10"/>
      <c r="K3555" s="46"/>
      <c r="L3555" s="10"/>
      <c r="M3555" s="44" t="s">
        <v>10178</v>
      </c>
      <c r="N3555" s="45"/>
      <c r="O3555" s="20"/>
      <c r="P3555" s="20"/>
      <c r="Q3555" s="20"/>
      <c r="R3555" s="20"/>
      <c r="S3555" s="20"/>
    </row>
    <row r="3556">
      <c r="A3556" s="23"/>
      <c r="B3556" s="21"/>
      <c r="C3556" s="23"/>
      <c r="D3556" s="24"/>
      <c r="E3556" s="14"/>
      <c r="F3556" s="14"/>
      <c r="G3556" s="14"/>
      <c r="H3556" s="23"/>
      <c r="I3556" s="23"/>
      <c r="J3556" s="23"/>
      <c r="K3556" s="30"/>
      <c r="L3556" s="23"/>
      <c r="M3556" s="50" t="s">
        <v>10178</v>
      </c>
      <c r="N3556" s="51"/>
      <c r="O3556" s="20"/>
      <c r="P3556" s="20"/>
      <c r="Q3556" s="20"/>
      <c r="R3556" s="20"/>
      <c r="S3556" s="20"/>
    </row>
    <row r="3557">
      <c r="A3557" s="10"/>
      <c r="B3557" s="11"/>
      <c r="C3557" s="10"/>
      <c r="D3557" s="13"/>
      <c r="E3557" s="14"/>
      <c r="F3557" s="14"/>
      <c r="G3557" s="14"/>
      <c r="H3557" s="10"/>
      <c r="I3557" s="10"/>
      <c r="J3557" s="10"/>
      <c r="K3557" s="46"/>
      <c r="L3557" s="10"/>
      <c r="M3557" s="44" t="s">
        <v>10178</v>
      </c>
      <c r="N3557" s="45"/>
      <c r="O3557" s="20"/>
      <c r="P3557" s="20"/>
      <c r="Q3557" s="20"/>
      <c r="R3557" s="20"/>
      <c r="S3557" s="20"/>
    </row>
    <row r="3558">
      <c r="A3558" s="23"/>
      <c r="B3558" s="21"/>
      <c r="C3558" s="23"/>
      <c r="D3558" s="24"/>
      <c r="E3558" s="14"/>
      <c r="F3558" s="14"/>
      <c r="G3558" s="14"/>
      <c r="H3558" s="23"/>
      <c r="I3558" s="23"/>
      <c r="J3558" s="23"/>
      <c r="K3558" s="30"/>
      <c r="L3558" s="23"/>
      <c r="M3558" s="50" t="s">
        <v>10178</v>
      </c>
      <c r="N3558" s="51"/>
      <c r="O3558" s="20"/>
      <c r="P3558" s="20"/>
      <c r="Q3558" s="20"/>
      <c r="R3558" s="20"/>
      <c r="S3558" s="20"/>
    </row>
    <row r="3559">
      <c r="A3559" s="10"/>
      <c r="B3559" s="11"/>
      <c r="C3559" s="10"/>
      <c r="D3559" s="13"/>
      <c r="E3559" s="14"/>
      <c r="F3559" s="14"/>
      <c r="G3559" s="14"/>
      <c r="H3559" s="10"/>
      <c r="I3559" s="10"/>
      <c r="J3559" s="10"/>
      <c r="K3559" s="46"/>
      <c r="L3559" s="10"/>
      <c r="M3559" s="44" t="s">
        <v>10178</v>
      </c>
      <c r="N3559" s="45"/>
      <c r="O3559" s="20"/>
      <c r="P3559" s="20"/>
      <c r="Q3559" s="20"/>
      <c r="R3559" s="20"/>
      <c r="S3559" s="20"/>
    </row>
    <row r="3560">
      <c r="A3560" s="23"/>
      <c r="B3560" s="21"/>
      <c r="C3560" s="23"/>
      <c r="D3560" s="24"/>
      <c r="E3560" s="14"/>
      <c r="F3560" s="14"/>
      <c r="G3560" s="14"/>
      <c r="H3560" s="23"/>
      <c r="I3560" s="23"/>
      <c r="J3560" s="23"/>
      <c r="K3560" s="30"/>
      <c r="L3560" s="23"/>
      <c r="M3560" s="50" t="s">
        <v>10178</v>
      </c>
      <c r="N3560" s="51"/>
      <c r="O3560" s="20"/>
      <c r="P3560" s="20"/>
      <c r="Q3560" s="20"/>
      <c r="R3560" s="20"/>
      <c r="S3560" s="20"/>
    </row>
    <row r="3561">
      <c r="A3561" s="10"/>
      <c r="B3561" s="11"/>
      <c r="C3561" s="10"/>
      <c r="D3561" s="13"/>
      <c r="E3561" s="14"/>
      <c r="F3561" s="14"/>
      <c r="G3561" s="14"/>
      <c r="H3561" s="10"/>
      <c r="I3561" s="10"/>
      <c r="J3561" s="10"/>
      <c r="K3561" s="46"/>
      <c r="L3561" s="10"/>
      <c r="M3561" s="44" t="s">
        <v>10178</v>
      </c>
      <c r="N3561" s="45"/>
      <c r="O3561" s="20"/>
      <c r="P3561" s="20"/>
      <c r="Q3561" s="20"/>
      <c r="R3561" s="20"/>
      <c r="S3561" s="20"/>
    </row>
    <row r="3562">
      <c r="A3562" s="23"/>
      <c r="B3562" s="21"/>
      <c r="C3562" s="23"/>
      <c r="D3562" s="24"/>
      <c r="E3562" s="14"/>
      <c r="F3562" s="14"/>
      <c r="G3562" s="14"/>
      <c r="H3562" s="23"/>
      <c r="I3562" s="23"/>
      <c r="J3562" s="23"/>
      <c r="K3562" s="30"/>
      <c r="L3562" s="23"/>
      <c r="M3562" s="50" t="s">
        <v>10178</v>
      </c>
      <c r="N3562" s="51"/>
      <c r="O3562" s="20"/>
      <c r="P3562" s="20"/>
      <c r="Q3562" s="20"/>
      <c r="R3562" s="20"/>
      <c r="S3562" s="20"/>
    </row>
    <row r="3563">
      <c r="A3563" s="10"/>
      <c r="B3563" s="11"/>
      <c r="C3563" s="10"/>
      <c r="D3563" s="13"/>
      <c r="E3563" s="14"/>
      <c r="F3563" s="14"/>
      <c r="G3563" s="14"/>
      <c r="H3563" s="10"/>
      <c r="I3563" s="10"/>
      <c r="J3563" s="10"/>
      <c r="K3563" s="46"/>
      <c r="L3563" s="10"/>
      <c r="M3563" s="44" t="s">
        <v>10178</v>
      </c>
      <c r="N3563" s="45"/>
      <c r="O3563" s="20"/>
      <c r="P3563" s="20"/>
      <c r="Q3563" s="20"/>
      <c r="R3563" s="20"/>
      <c r="S3563" s="20"/>
    </row>
    <row r="3564">
      <c r="A3564" s="23"/>
      <c r="B3564" s="21"/>
      <c r="C3564" s="23"/>
      <c r="D3564" s="24"/>
      <c r="E3564" s="14"/>
      <c r="F3564" s="14"/>
      <c r="G3564" s="14"/>
      <c r="H3564" s="23"/>
      <c r="I3564" s="23"/>
      <c r="J3564" s="23"/>
      <c r="K3564" s="30"/>
      <c r="L3564" s="23"/>
      <c r="M3564" s="50" t="s">
        <v>10178</v>
      </c>
      <c r="N3564" s="51"/>
      <c r="O3564" s="20"/>
      <c r="P3564" s="20"/>
      <c r="Q3564" s="20"/>
      <c r="R3564" s="20"/>
      <c r="S3564" s="20"/>
    </row>
    <row r="3565">
      <c r="A3565" s="10"/>
      <c r="B3565" s="11"/>
      <c r="C3565" s="10"/>
      <c r="D3565" s="13"/>
      <c r="E3565" s="14"/>
      <c r="F3565" s="14"/>
      <c r="G3565" s="14"/>
      <c r="H3565" s="10"/>
      <c r="I3565" s="10"/>
      <c r="J3565" s="10"/>
      <c r="K3565" s="46"/>
      <c r="L3565" s="10"/>
      <c r="M3565" s="44" t="s">
        <v>10178</v>
      </c>
      <c r="N3565" s="45"/>
      <c r="O3565" s="20"/>
      <c r="P3565" s="20"/>
      <c r="Q3565" s="20"/>
      <c r="R3565" s="20"/>
      <c r="S3565" s="20"/>
    </row>
    <row r="3566">
      <c r="A3566" s="23"/>
      <c r="B3566" s="21"/>
      <c r="C3566" s="23"/>
      <c r="D3566" s="24"/>
      <c r="E3566" s="14"/>
      <c r="F3566" s="14"/>
      <c r="G3566" s="14"/>
      <c r="H3566" s="23"/>
      <c r="I3566" s="23"/>
      <c r="J3566" s="23"/>
      <c r="K3566" s="30"/>
      <c r="L3566" s="23"/>
      <c r="M3566" s="50" t="s">
        <v>10178</v>
      </c>
      <c r="N3566" s="51"/>
      <c r="O3566" s="20"/>
      <c r="P3566" s="20"/>
      <c r="Q3566" s="20"/>
      <c r="R3566" s="20"/>
      <c r="S3566" s="20"/>
    </row>
    <row r="3567">
      <c r="A3567" s="10"/>
      <c r="B3567" s="11"/>
      <c r="C3567" s="10"/>
      <c r="D3567" s="13"/>
      <c r="E3567" s="14"/>
      <c r="F3567" s="14"/>
      <c r="G3567" s="14"/>
      <c r="H3567" s="10"/>
      <c r="I3567" s="10"/>
      <c r="J3567" s="10"/>
      <c r="K3567" s="46"/>
      <c r="L3567" s="10"/>
      <c r="M3567" s="44" t="s">
        <v>10178</v>
      </c>
      <c r="N3567" s="45"/>
      <c r="O3567" s="20"/>
      <c r="P3567" s="20"/>
      <c r="Q3567" s="20"/>
      <c r="R3567" s="20"/>
      <c r="S3567" s="20"/>
    </row>
    <row r="3568">
      <c r="A3568" s="23"/>
      <c r="B3568" s="21"/>
      <c r="C3568" s="23"/>
      <c r="D3568" s="24"/>
      <c r="E3568" s="14"/>
      <c r="F3568" s="14"/>
      <c r="G3568" s="14"/>
      <c r="H3568" s="23"/>
      <c r="I3568" s="23"/>
      <c r="J3568" s="23"/>
      <c r="K3568" s="30"/>
      <c r="L3568" s="23"/>
      <c r="M3568" s="50" t="s">
        <v>10178</v>
      </c>
      <c r="N3568" s="51"/>
      <c r="O3568" s="20"/>
      <c r="P3568" s="20"/>
      <c r="Q3568" s="20"/>
      <c r="R3568" s="20"/>
      <c r="S3568" s="20"/>
    </row>
    <row r="3569">
      <c r="A3569" s="10"/>
      <c r="B3569" s="11"/>
      <c r="C3569" s="10"/>
      <c r="D3569" s="13"/>
      <c r="E3569" s="14"/>
      <c r="F3569" s="14"/>
      <c r="G3569" s="14"/>
      <c r="H3569" s="10"/>
      <c r="I3569" s="10"/>
      <c r="J3569" s="10"/>
      <c r="K3569" s="46"/>
      <c r="L3569" s="10"/>
      <c r="M3569" s="44" t="s">
        <v>10178</v>
      </c>
      <c r="N3569" s="45"/>
      <c r="O3569" s="20"/>
      <c r="P3569" s="20"/>
      <c r="Q3569" s="20"/>
      <c r="R3569" s="20"/>
      <c r="S3569" s="20"/>
    </row>
    <row r="3570">
      <c r="A3570" s="23"/>
      <c r="B3570" s="21"/>
      <c r="C3570" s="23"/>
      <c r="D3570" s="24"/>
      <c r="E3570" s="14"/>
      <c r="F3570" s="14"/>
      <c r="G3570" s="14"/>
      <c r="H3570" s="23"/>
      <c r="I3570" s="23"/>
      <c r="J3570" s="23"/>
      <c r="K3570" s="30"/>
      <c r="L3570" s="23"/>
      <c r="M3570" s="50" t="s">
        <v>10178</v>
      </c>
      <c r="N3570" s="51"/>
      <c r="O3570" s="20"/>
      <c r="P3570" s="20"/>
      <c r="Q3570" s="20"/>
      <c r="R3570" s="20"/>
      <c r="S3570" s="20"/>
    </row>
    <row r="3571">
      <c r="A3571" s="10"/>
      <c r="B3571" s="11"/>
      <c r="C3571" s="10"/>
      <c r="D3571" s="13"/>
      <c r="E3571" s="14"/>
      <c r="F3571" s="14"/>
      <c r="G3571" s="14"/>
      <c r="H3571" s="10"/>
      <c r="I3571" s="10"/>
      <c r="J3571" s="10"/>
      <c r="K3571" s="46"/>
      <c r="L3571" s="10"/>
      <c r="M3571" s="44" t="s">
        <v>10178</v>
      </c>
      <c r="N3571" s="45"/>
      <c r="O3571" s="20"/>
      <c r="P3571" s="20"/>
      <c r="Q3571" s="20"/>
      <c r="R3571" s="20"/>
      <c r="S3571" s="20"/>
    </row>
    <row r="3572">
      <c r="A3572" s="23"/>
      <c r="B3572" s="21"/>
      <c r="C3572" s="23"/>
      <c r="D3572" s="24"/>
      <c r="E3572" s="14"/>
      <c r="F3572" s="14"/>
      <c r="G3572" s="14"/>
      <c r="H3572" s="23"/>
      <c r="I3572" s="23"/>
      <c r="J3572" s="23"/>
      <c r="K3572" s="30"/>
      <c r="L3572" s="23"/>
      <c r="M3572" s="50" t="s">
        <v>10178</v>
      </c>
      <c r="N3572" s="51"/>
      <c r="O3572" s="20"/>
      <c r="P3572" s="20"/>
      <c r="Q3572" s="20"/>
      <c r="R3572" s="20"/>
      <c r="S3572" s="20"/>
    </row>
    <row r="3573">
      <c r="A3573" s="10"/>
      <c r="B3573" s="11"/>
      <c r="C3573" s="10"/>
      <c r="D3573" s="13"/>
      <c r="E3573" s="14"/>
      <c r="F3573" s="14"/>
      <c r="G3573" s="14"/>
      <c r="H3573" s="10"/>
      <c r="I3573" s="10"/>
      <c r="J3573" s="10"/>
      <c r="K3573" s="46"/>
      <c r="L3573" s="10"/>
      <c r="M3573" s="44" t="s">
        <v>10178</v>
      </c>
      <c r="N3573" s="45"/>
      <c r="O3573" s="20"/>
      <c r="P3573" s="20"/>
      <c r="Q3573" s="20"/>
      <c r="R3573" s="20"/>
      <c r="S3573" s="20"/>
    </row>
    <row r="3574">
      <c r="A3574" s="23"/>
      <c r="B3574" s="21"/>
      <c r="C3574" s="23"/>
      <c r="D3574" s="24"/>
      <c r="E3574" s="14"/>
      <c r="F3574" s="14"/>
      <c r="G3574" s="14"/>
      <c r="H3574" s="23"/>
      <c r="I3574" s="23"/>
      <c r="J3574" s="23"/>
      <c r="K3574" s="30"/>
      <c r="L3574" s="23"/>
      <c r="M3574" s="50" t="s">
        <v>10178</v>
      </c>
      <c r="N3574" s="51"/>
      <c r="O3574" s="20"/>
      <c r="P3574" s="20"/>
      <c r="Q3574" s="20"/>
      <c r="R3574" s="20"/>
      <c r="S3574" s="20"/>
    </row>
    <row r="3575">
      <c r="A3575" s="10"/>
      <c r="B3575" s="11"/>
      <c r="C3575" s="10"/>
      <c r="D3575" s="13"/>
      <c r="E3575" s="14"/>
      <c r="F3575" s="14"/>
      <c r="G3575" s="14"/>
      <c r="H3575" s="10"/>
      <c r="I3575" s="10"/>
      <c r="J3575" s="10"/>
      <c r="K3575" s="46"/>
      <c r="L3575" s="10"/>
      <c r="M3575" s="44" t="s">
        <v>10178</v>
      </c>
      <c r="N3575" s="45"/>
      <c r="O3575" s="20"/>
      <c r="P3575" s="20"/>
      <c r="Q3575" s="20"/>
      <c r="R3575" s="20"/>
      <c r="S3575" s="20"/>
    </row>
    <row r="3576">
      <c r="A3576" s="23"/>
      <c r="B3576" s="21"/>
      <c r="C3576" s="23"/>
      <c r="D3576" s="24"/>
      <c r="E3576" s="14"/>
      <c r="F3576" s="14"/>
      <c r="G3576" s="14"/>
      <c r="H3576" s="23"/>
      <c r="I3576" s="23"/>
      <c r="J3576" s="23"/>
      <c r="K3576" s="30"/>
      <c r="L3576" s="23"/>
      <c r="M3576" s="50" t="s">
        <v>10178</v>
      </c>
      <c r="N3576" s="51"/>
      <c r="O3576" s="20"/>
      <c r="P3576" s="20"/>
      <c r="Q3576" s="20"/>
      <c r="R3576" s="20"/>
      <c r="S3576" s="20"/>
    </row>
    <row r="3577">
      <c r="A3577" s="10"/>
      <c r="B3577" s="11"/>
      <c r="C3577" s="10"/>
      <c r="D3577" s="13"/>
      <c r="E3577" s="14"/>
      <c r="F3577" s="14"/>
      <c r="G3577" s="14"/>
      <c r="H3577" s="10"/>
      <c r="I3577" s="10"/>
      <c r="J3577" s="10"/>
      <c r="K3577" s="46"/>
      <c r="L3577" s="10"/>
      <c r="M3577" s="44" t="s">
        <v>10178</v>
      </c>
      <c r="N3577" s="45"/>
      <c r="O3577" s="20"/>
      <c r="P3577" s="20"/>
      <c r="Q3577" s="20"/>
      <c r="R3577" s="20"/>
      <c r="S3577" s="20"/>
    </row>
    <row r="3578">
      <c r="A3578" s="23"/>
      <c r="B3578" s="21"/>
      <c r="C3578" s="23"/>
      <c r="D3578" s="24"/>
      <c r="E3578" s="14"/>
      <c r="F3578" s="14"/>
      <c r="G3578" s="14"/>
      <c r="H3578" s="23"/>
      <c r="I3578" s="23"/>
      <c r="J3578" s="23"/>
      <c r="K3578" s="30"/>
      <c r="L3578" s="23"/>
      <c r="M3578" s="50" t="s">
        <v>10178</v>
      </c>
      <c r="N3578" s="51"/>
      <c r="O3578" s="20"/>
      <c r="P3578" s="20"/>
      <c r="Q3578" s="20"/>
      <c r="R3578" s="20"/>
      <c r="S3578" s="20"/>
    </row>
    <row r="3579">
      <c r="A3579" s="10"/>
      <c r="B3579" s="11"/>
      <c r="C3579" s="10"/>
      <c r="D3579" s="13"/>
      <c r="E3579" s="14"/>
      <c r="F3579" s="14"/>
      <c r="G3579" s="14"/>
      <c r="H3579" s="10"/>
      <c r="I3579" s="10"/>
      <c r="J3579" s="10"/>
      <c r="K3579" s="46"/>
      <c r="L3579" s="10"/>
      <c r="M3579" s="44" t="s">
        <v>10178</v>
      </c>
      <c r="N3579" s="45"/>
      <c r="O3579" s="20"/>
      <c r="P3579" s="20"/>
      <c r="Q3579" s="20"/>
      <c r="R3579" s="20"/>
      <c r="S3579" s="20"/>
    </row>
    <row r="3580">
      <c r="A3580" s="23"/>
      <c r="B3580" s="21"/>
      <c r="C3580" s="23"/>
      <c r="D3580" s="24"/>
      <c r="E3580" s="14"/>
      <c r="F3580" s="14"/>
      <c r="G3580" s="14"/>
      <c r="H3580" s="23"/>
      <c r="I3580" s="23"/>
      <c r="J3580" s="23"/>
      <c r="K3580" s="30"/>
      <c r="L3580" s="23"/>
      <c r="M3580" s="50" t="s">
        <v>10178</v>
      </c>
      <c r="N3580" s="51"/>
      <c r="O3580" s="20"/>
      <c r="P3580" s="20"/>
      <c r="Q3580" s="20"/>
      <c r="R3580" s="20"/>
      <c r="S3580" s="20"/>
    </row>
    <row r="3581">
      <c r="A3581" s="10"/>
      <c r="B3581" s="11"/>
      <c r="C3581" s="10"/>
      <c r="D3581" s="13"/>
      <c r="E3581" s="14"/>
      <c r="F3581" s="14"/>
      <c r="G3581" s="14"/>
      <c r="H3581" s="10"/>
      <c r="I3581" s="10"/>
      <c r="J3581" s="10"/>
      <c r="K3581" s="46"/>
      <c r="L3581" s="10"/>
      <c r="M3581" s="44" t="s">
        <v>10178</v>
      </c>
      <c r="N3581" s="45"/>
      <c r="O3581" s="20"/>
      <c r="P3581" s="20"/>
      <c r="Q3581" s="20"/>
      <c r="R3581" s="20"/>
      <c r="S3581" s="20"/>
    </row>
    <row r="3582">
      <c r="A3582" s="23"/>
      <c r="B3582" s="21"/>
      <c r="C3582" s="23"/>
      <c r="D3582" s="24"/>
      <c r="E3582" s="14"/>
      <c r="F3582" s="14"/>
      <c r="G3582" s="14"/>
      <c r="H3582" s="23"/>
      <c r="I3582" s="23"/>
      <c r="J3582" s="23"/>
      <c r="K3582" s="30"/>
      <c r="L3582" s="23"/>
      <c r="M3582" s="50" t="s">
        <v>10178</v>
      </c>
      <c r="N3582" s="51"/>
      <c r="O3582" s="20"/>
      <c r="P3582" s="20"/>
      <c r="Q3582" s="20"/>
      <c r="R3582" s="20"/>
      <c r="S3582" s="20"/>
    </row>
    <row r="3583">
      <c r="A3583" s="10"/>
      <c r="B3583" s="11"/>
      <c r="C3583" s="10"/>
      <c r="D3583" s="13"/>
      <c r="E3583" s="14"/>
      <c r="F3583" s="14"/>
      <c r="G3583" s="14"/>
      <c r="H3583" s="10"/>
      <c r="I3583" s="10"/>
      <c r="J3583" s="10"/>
      <c r="K3583" s="46"/>
      <c r="L3583" s="10"/>
      <c r="M3583" s="44" t="s">
        <v>10178</v>
      </c>
      <c r="N3583" s="45"/>
      <c r="O3583" s="20"/>
      <c r="P3583" s="20"/>
      <c r="Q3583" s="20"/>
      <c r="R3583" s="20"/>
      <c r="S3583" s="20"/>
    </row>
    <row r="3584">
      <c r="A3584" s="23"/>
      <c r="B3584" s="21"/>
      <c r="C3584" s="23"/>
      <c r="D3584" s="24"/>
      <c r="E3584" s="14"/>
      <c r="F3584" s="14"/>
      <c r="G3584" s="14"/>
      <c r="H3584" s="23"/>
      <c r="I3584" s="23"/>
      <c r="J3584" s="23"/>
      <c r="K3584" s="30"/>
      <c r="L3584" s="23"/>
      <c r="M3584" s="50" t="s">
        <v>10178</v>
      </c>
      <c r="N3584" s="51"/>
      <c r="O3584" s="20"/>
      <c r="P3584" s="20"/>
      <c r="Q3584" s="20"/>
      <c r="R3584" s="20"/>
      <c r="S3584" s="20"/>
    </row>
    <row r="3585">
      <c r="A3585" s="10"/>
      <c r="B3585" s="11"/>
      <c r="C3585" s="10"/>
      <c r="D3585" s="13"/>
      <c r="E3585" s="14"/>
      <c r="F3585" s="14"/>
      <c r="G3585" s="14"/>
      <c r="H3585" s="10"/>
      <c r="I3585" s="10"/>
      <c r="J3585" s="10"/>
      <c r="K3585" s="46"/>
      <c r="L3585" s="10"/>
      <c r="M3585" s="44" t="s">
        <v>10178</v>
      </c>
      <c r="N3585" s="45"/>
      <c r="O3585" s="20"/>
      <c r="P3585" s="20"/>
      <c r="Q3585" s="20"/>
      <c r="R3585" s="20"/>
      <c r="S3585" s="20"/>
    </row>
    <row r="3586">
      <c r="A3586" s="23"/>
      <c r="B3586" s="21"/>
      <c r="C3586" s="23"/>
      <c r="D3586" s="24"/>
      <c r="E3586" s="14"/>
      <c r="F3586" s="14"/>
      <c r="G3586" s="14"/>
      <c r="H3586" s="23"/>
      <c r="I3586" s="23"/>
      <c r="J3586" s="23"/>
      <c r="K3586" s="30"/>
      <c r="L3586" s="23"/>
      <c r="M3586" s="50" t="s">
        <v>10178</v>
      </c>
      <c r="N3586" s="51"/>
      <c r="O3586" s="20"/>
      <c r="P3586" s="20"/>
      <c r="Q3586" s="20"/>
      <c r="R3586" s="20"/>
      <c r="S3586" s="20"/>
    </row>
    <row r="3587">
      <c r="A3587" s="10"/>
      <c r="B3587" s="11"/>
      <c r="C3587" s="10"/>
      <c r="D3587" s="13"/>
      <c r="E3587" s="14"/>
      <c r="F3587" s="14"/>
      <c r="G3587" s="14"/>
      <c r="H3587" s="10"/>
      <c r="I3587" s="10"/>
      <c r="J3587" s="10"/>
      <c r="K3587" s="46"/>
      <c r="L3587" s="10"/>
      <c r="M3587" s="44" t="s">
        <v>10178</v>
      </c>
      <c r="N3587" s="45"/>
      <c r="O3587" s="20"/>
      <c r="P3587" s="20"/>
      <c r="Q3587" s="20"/>
      <c r="R3587" s="20"/>
      <c r="S3587" s="20"/>
    </row>
    <row r="3588">
      <c r="A3588" s="23"/>
      <c r="B3588" s="21"/>
      <c r="C3588" s="23"/>
      <c r="D3588" s="24"/>
      <c r="E3588" s="14"/>
      <c r="F3588" s="14"/>
      <c r="G3588" s="14"/>
      <c r="H3588" s="23"/>
      <c r="I3588" s="23"/>
      <c r="J3588" s="23"/>
      <c r="K3588" s="30"/>
      <c r="L3588" s="23"/>
      <c r="M3588" s="50" t="s">
        <v>10178</v>
      </c>
      <c r="N3588" s="51"/>
      <c r="O3588" s="20"/>
      <c r="P3588" s="20"/>
      <c r="Q3588" s="20"/>
      <c r="R3588" s="20"/>
      <c r="S3588" s="20"/>
    </row>
    <row r="3589">
      <c r="A3589" s="10"/>
      <c r="B3589" s="11"/>
      <c r="C3589" s="10"/>
      <c r="D3589" s="13"/>
      <c r="E3589" s="14"/>
      <c r="F3589" s="14"/>
      <c r="G3589" s="14"/>
      <c r="H3589" s="10"/>
      <c r="I3589" s="10"/>
      <c r="J3589" s="10"/>
      <c r="K3589" s="46"/>
      <c r="L3589" s="10"/>
      <c r="M3589" s="44" t="s">
        <v>10178</v>
      </c>
      <c r="N3589" s="45"/>
      <c r="O3589" s="20"/>
      <c r="P3589" s="20"/>
      <c r="Q3589" s="20"/>
      <c r="R3589" s="20"/>
      <c r="S3589" s="20"/>
    </row>
    <row r="3590">
      <c r="A3590" s="23"/>
      <c r="B3590" s="21"/>
      <c r="C3590" s="23"/>
      <c r="D3590" s="24"/>
      <c r="E3590" s="14"/>
      <c r="F3590" s="14"/>
      <c r="G3590" s="14"/>
      <c r="H3590" s="23"/>
      <c r="I3590" s="23"/>
      <c r="J3590" s="23"/>
      <c r="K3590" s="30"/>
      <c r="L3590" s="23"/>
      <c r="M3590" s="50" t="s">
        <v>10178</v>
      </c>
      <c r="N3590" s="51"/>
      <c r="O3590" s="20"/>
      <c r="P3590" s="20"/>
      <c r="Q3590" s="20"/>
      <c r="R3590" s="20"/>
      <c r="S3590" s="20"/>
    </row>
    <row r="3591">
      <c r="A3591" s="10"/>
      <c r="B3591" s="11"/>
      <c r="C3591" s="10"/>
      <c r="D3591" s="13"/>
      <c r="E3591" s="14"/>
      <c r="F3591" s="14"/>
      <c r="G3591" s="14"/>
      <c r="H3591" s="10"/>
      <c r="I3591" s="10"/>
      <c r="J3591" s="10"/>
      <c r="K3591" s="46"/>
      <c r="L3591" s="10"/>
      <c r="M3591" s="44" t="s">
        <v>10178</v>
      </c>
      <c r="N3591" s="45"/>
      <c r="O3591" s="20"/>
      <c r="P3591" s="20"/>
      <c r="Q3591" s="20"/>
      <c r="R3591" s="20"/>
      <c r="S3591" s="20"/>
    </row>
    <row r="3592">
      <c r="A3592" s="23"/>
      <c r="B3592" s="21"/>
      <c r="C3592" s="23"/>
      <c r="D3592" s="24"/>
      <c r="E3592" s="14"/>
      <c r="F3592" s="14"/>
      <c r="G3592" s="14"/>
      <c r="H3592" s="23"/>
      <c r="I3592" s="23"/>
      <c r="J3592" s="23"/>
      <c r="K3592" s="30"/>
      <c r="L3592" s="23"/>
      <c r="M3592" s="50" t="s">
        <v>10178</v>
      </c>
      <c r="N3592" s="51"/>
      <c r="O3592" s="20"/>
      <c r="P3592" s="20"/>
      <c r="Q3592" s="20"/>
      <c r="R3592" s="20"/>
      <c r="S3592" s="20"/>
    </row>
    <row r="3593">
      <c r="A3593" s="10"/>
      <c r="B3593" s="11"/>
      <c r="C3593" s="10"/>
      <c r="D3593" s="13"/>
      <c r="E3593" s="14"/>
      <c r="F3593" s="14"/>
      <c r="G3593" s="14"/>
      <c r="H3593" s="10"/>
      <c r="I3593" s="10"/>
      <c r="J3593" s="10"/>
      <c r="K3593" s="46"/>
      <c r="L3593" s="10"/>
      <c r="M3593" s="44" t="s">
        <v>10178</v>
      </c>
      <c r="N3593" s="45"/>
      <c r="O3593" s="20"/>
      <c r="P3593" s="20"/>
      <c r="Q3593" s="20"/>
      <c r="R3593" s="20"/>
      <c r="S3593" s="20"/>
    </row>
    <row r="3594">
      <c r="A3594" s="23"/>
      <c r="B3594" s="21"/>
      <c r="C3594" s="23"/>
      <c r="D3594" s="24"/>
      <c r="E3594" s="14"/>
      <c r="F3594" s="14"/>
      <c r="G3594" s="14"/>
      <c r="H3594" s="23"/>
      <c r="I3594" s="23"/>
      <c r="J3594" s="23"/>
      <c r="K3594" s="30"/>
      <c r="L3594" s="23"/>
      <c r="M3594" s="50" t="s">
        <v>10178</v>
      </c>
      <c r="N3594" s="51"/>
      <c r="O3594" s="20"/>
      <c r="P3594" s="20"/>
      <c r="Q3594" s="20"/>
      <c r="R3594" s="20"/>
      <c r="S3594" s="20"/>
    </row>
    <row r="3595">
      <c r="A3595" s="10"/>
      <c r="B3595" s="11"/>
      <c r="C3595" s="10"/>
      <c r="D3595" s="13"/>
      <c r="E3595" s="14"/>
      <c r="F3595" s="14"/>
      <c r="G3595" s="14"/>
      <c r="H3595" s="10"/>
      <c r="I3595" s="10"/>
      <c r="J3595" s="10"/>
      <c r="K3595" s="46"/>
      <c r="L3595" s="10"/>
      <c r="M3595" s="44" t="s">
        <v>10178</v>
      </c>
      <c r="N3595" s="45"/>
      <c r="O3595" s="20"/>
      <c r="P3595" s="20"/>
      <c r="Q3595" s="20"/>
      <c r="R3595" s="20"/>
      <c r="S3595" s="20"/>
    </row>
    <row r="3596">
      <c r="A3596" s="23"/>
      <c r="B3596" s="21"/>
      <c r="C3596" s="23"/>
      <c r="D3596" s="24"/>
      <c r="E3596" s="14"/>
      <c r="F3596" s="14"/>
      <c r="G3596" s="14"/>
      <c r="H3596" s="23"/>
      <c r="I3596" s="23"/>
      <c r="J3596" s="23"/>
      <c r="K3596" s="30"/>
      <c r="L3596" s="23"/>
      <c r="M3596" s="50" t="s">
        <v>10178</v>
      </c>
      <c r="N3596" s="51"/>
      <c r="O3596" s="20"/>
      <c r="P3596" s="20"/>
      <c r="Q3596" s="20"/>
      <c r="R3596" s="20"/>
      <c r="S3596" s="20"/>
    </row>
    <row r="3597">
      <c r="A3597" s="10"/>
      <c r="B3597" s="11"/>
      <c r="C3597" s="10"/>
      <c r="D3597" s="13"/>
      <c r="E3597" s="14"/>
      <c r="F3597" s="14"/>
      <c r="G3597" s="14"/>
      <c r="H3597" s="10"/>
      <c r="I3597" s="10"/>
      <c r="J3597" s="10"/>
      <c r="K3597" s="46"/>
      <c r="L3597" s="10"/>
      <c r="M3597" s="44" t="s">
        <v>10178</v>
      </c>
      <c r="N3597" s="45"/>
      <c r="O3597" s="20"/>
      <c r="P3597" s="20"/>
      <c r="Q3597" s="20"/>
      <c r="R3597" s="20"/>
      <c r="S3597" s="20"/>
    </row>
    <row r="3598">
      <c r="A3598" s="23"/>
      <c r="B3598" s="21"/>
      <c r="C3598" s="23"/>
      <c r="D3598" s="24"/>
      <c r="E3598" s="14"/>
      <c r="F3598" s="14"/>
      <c r="G3598" s="14"/>
      <c r="H3598" s="23"/>
      <c r="I3598" s="23"/>
      <c r="J3598" s="23"/>
      <c r="K3598" s="30"/>
      <c r="L3598" s="23"/>
      <c r="M3598" s="50" t="s">
        <v>10178</v>
      </c>
      <c r="N3598" s="51"/>
      <c r="O3598" s="20"/>
      <c r="P3598" s="20"/>
      <c r="Q3598" s="20"/>
      <c r="R3598" s="20"/>
      <c r="S3598" s="20"/>
    </row>
    <row r="3599">
      <c r="A3599" s="10"/>
      <c r="B3599" s="11"/>
      <c r="C3599" s="10"/>
      <c r="D3599" s="13"/>
      <c r="E3599" s="14"/>
      <c r="F3599" s="14"/>
      <c r="G3599" s="14"/>
      <c r="H3599" s="10"/>
      <c r="I3599" s="10"/>
      <c r="J3599" s="10"/>
      <c r="K3599" s="46"/>
      <c r="L3599" s="10"/>
      <c r="M3599" s="44" t="s">
        <v>10178</v>
      </c>
      <c r="N3599" s="45"/>
      <c r="O3599" s="20"/>
      <c r="P3599" s="20"/>
      <c r="Q3599" s="20"/>
      <c r="R3599" s="20"/>
      <c r="S3599" s="20"/>
    </row>
    <row r="3600">
      <c r="A3600" s="23"/>
      <c r="B3600" s="21"/>
      <c r="C3600" s="23"/>
      <c r="D3600" s="24"/>
      <c r="E3600" s="14"/>
      <c r="F3600" s="14"/>
      <c r="G3600" s="14"/>
      <c r="H3600" s="23"/>
      <c r="I3600" s="23"/>
      <c r="J3600" s="23"/>
      <c r="K3600" s="30"/>
      <c r="L3600" s="23"/>
      <c r="M3600" s="50" t="s">
        <v>10178</v>
      </c>
      <c r="N3600" s="51"/>
      <c r="O3600" s="20"/>
      <c r="P3600" s="20"/>
      <c r="Q3600" s="20"/>
      <c r="R3600" s="20"/>
      <c r="S3600" s="20"/>
    </row>
    <row r="3601">
      <c r="A3601" s="10"/>
      <c r="B3601" s="11"/>
      <c r="C3601" s="10"/>
      <c r="D3601" s="13"/>
      <c r="E3601" s="14"/>
      <c r="F3601" s="14"/>
      <c r="G3601" s="14"/>
      <c r="H3601" s="10"/>
      <c r="I3601" s="10"/>
      <c r="J3601" s="10"/>
      <c r="K3601" s="46"/>
      <c r="L3601" s="10"/>
      <c r="M3601" s="44" t="s">
        <v>10178</v>
      </c>
      <c r="N3601" s="45"/>
      <c r="O3601" s="20"/>
      <c r="P3601" s="20"/>
      <c r="Q3601" s="20"/>
      <c r="R3601" s="20"/>
      <c r="S3601" s="20"/>
    </row>
    <row r="3602">
      <c r="A3602" s="23"/>
      <c r="B3602" s="21"/>
      <c r="C3602" s="23"/>
      <c r="D3602" s="24"/>
      <c r="E3602" s="14"/>
      <c r="F3602" s="14"/>
      <c r="G3602" s="14"/>
      <c r="H3602" s="23"/>
      <c r="I3602" s="23"/>
      <c r="J3602" s="23"/>
      <c r="K3602" s="30"/>
      <c r="L3602" s="23"/>
      <c r="M3602" s="50" t="s">
        <v>10178</v>
      </c>
      <c r="N3602" s="51"/>
      <c r="O3602" s="20"/>
      <c r="P3602" s="20"/>
      <c r="Q3602" s="20"/>
      <c r="R3602" s="20"/>
      <c r="S3602" s="20"/>
    </row>
    <row r="3603">
      <c r="A3603" s="10"/>
      <c r="B3603" s="11"/>
      <c r="C3603" s="10"/>
      <c r="D3603" s="13"/>
      <c r="E3603" s="14"/>
      <c r="F3603" s="14"/>
      <c r="G3603" s="14"/>
      <c r="H3603" s="10"/>
      <c r="I3603" s="10"/>
      <c r="J3603" s="10"/>
      <c r="K3603" s="46"/>
      <c r="L3603" s="10"/>
      <c r="M3603" s="44" t="s">
        <v>10178</v>
      </c>
      <c r="N3603" s="45"/>
      <c r="O3603" s="20"/>
      <c r="P3603" s="20"/>
      <c r="Q3603" s="20"/>
      <c r="R3603" s="20"/>
      <c r="S3603" s="20"/>
    </row>
    <row r="3604">
      <c r="A3604" s="23"/>
      <c r="B3604" s="21"/>
      <c r="C3604" s="23"/>
      <c r="D3604" s="24"/>
      <c r="E3604" s="14"/>
      <c r="F3604" s="14"/>
      <c r="G3604" s="14"/>
      <c r="H3604" s="23"/>
      <c r="I3604" s="23"/>
      <c r="J3604" s="23"/>
      <c r="K3604" s="30"/>
      <c r="L3604" s="23"/>
      <c r="M3604" s="50" t="s">
        <v>10178</v>
      </c>
      <c r="N3604" s="51"/>
      <c r="O3604" s="20"/>
      <c r="P3604" s="20"/>
      <c r="Q3604" s="20"/>
      <c r="R3604" s="20"/>
      <c r="S3604" s="20"/>
    </row>
    <row r="3605">
      <c r="A3605" s="10"/>
      <c r="B3605" s="11"/>
      <c r="C3605" s="10"/>
      <c r="D3605" s="13"/>
      <c r="E3605" s="14"/>
      <c r="F3605" s="14"/>
      <c r="G3605" s="14"/>
      <c r="H3605" s="10"/>
      <c r="I3605" s="10"/>
      <c r="J3605" s="10"/>
      <c r="K3605" s="46"/>
      <c r="L3605" s="10"/>
      <c r="M3605" s="44" t="s">
        <v>10178</v>
      </c>
      <c r="N3605" s="45"/>
      <c r="O3605" s="20"/>
      <c r="P3605" s="20"/>
      <c r="Q3605" s="20"/>
      <c r="R3605" s="20"/>
      <c r="S3605" s="20"/>
    </row>
    <row r="3606">
      <c r="A3606" s="23"/>
      <c r="B3606" s="21"/>
      <c r="C3606" s="23"/>
      <c r="D3606" s="24"/>
      <c r="E3606" s="14"/>
      <c r="F3606" s="14"/>
      <c r="G3606" s="14"/>
      <c r="H3606" s="23"/>
      <c r="I3606" s="23"/>
      <c r="J3606" s="23"/>
      <c r="K3606" s="30"/>
      <c r="L3606" s="23"/>
      <c r="M3606" s="50" t="s">
        <v>10178</v>
      </c>
      <c r="N3606" s="51"/>
      <c r="O3606" s="20"/>
      <c r="P3606" s="20"/>
      <c r="Q3606" s="20"/>
      <c r="R3606" s="20"/>
      <c r="S3606" s="20"/>
    </row>
    <row r="3607">
      <c r="A3607" s="10"/>
      <c r="B3607" s="11"/>
      <c r="C3607" s="10"/>
      <c r="D3607" s="13"/>
      <c r="E3607" s="14"/>
      <c r="F3607" s="14"/>
      <c r="G3607" s="14"/>
      <c r="H3607" s="10"/>
      <c r="I3607" s="10"/>
      <c r="J3607" s="10"/>
      <c r="K3607" s="46"/>
      <c r="L3607" s="10"/>
      <c r="M3607" s="44" t="s">
        <v>10178</v>
      </c>
      <c r="N3607" s="45"/>
      <c r="O3607" s="20"/>
      <c r="P3607" s="20"/>
      <c r="Q3607" s="20"/>
      <c r="R3607" s="20"/>
      <c r="S3607" s="20"/>
    </row>
    <row r="3608">
      <c r="A3608" s="23"/>
      <c r="B3608" s="21"/>
      <c r="C3608" s="23"/>
      <c r="D3608" s="24"/>
      <c r="E3608" s="14"/>
      <c r="F3608" s="14"/>
      <c r="G3608" s="14"/>
      <c r="H3608" s="23"/>
      <c r="I3608" s="23"/>
      <c r="J3608" s="23"/>
      <c r="K3608" s="30"/>
      <c r="L3608" s="23"/>
      <c r="M3608" s="50" t="s">
        <v>10178</v>
      </c>
      <c r="N3608" s="51"/>
      <c r="O3608" s="20"/>
      <c r="P3608" s="20"/>
      <c r="Q3608" s="20"/>
      <c r="R3608" s="20"/>
      <c r="S3608" s="20"/>
    </row>
    <row r="3609">
      <c r="A3609" s="10"/>
      <c r="B3609" s="11"/>
      <c r="C3609" s="10"/>
      <c r="D3609" s="13"/>
      <c r="E3609" s="14"/>
      <c r="F3609" s="14"/>
      <c r="G3609" s="14"/>
      <c r="H3609" s="10"/>
      <c r="I3609" s="10"/>
      <c r="J3609" s="10"/>
      <c r="K3609" s="46"/>
      <c r="L3609" s="10"/>
      <c r="M3609" s="44" t="s">
        <v>10178</v>
      </c>
      <c r="N3609" s="45"/>
      <c r="O3609" s="20"/>
      <c r="P3609" s="20"/>
      <c r="Q3609" s="20"/>
      <c r="R3609" s="20"/>
      <c r="S3609" s="20"/>
    </row>
    <row r="3610">
      <c r="A3610" s="23"/>
      <c r="B3610" s="21"/>
      <c r="C3610" s="23"/>
      <c r="D3610" s="24"/>
      <c r="E3610" s="14"/>
      <c r="F3610" s="14"/>
      <c r="G3610" s="14"/>
      <c r="H3610" s="23"/>
      <c r="I3610" s="23"/>
      <c r="J3610" s="23"/>
      <c r="K3610" s="30"/>
      <c r="L3610" s="23"/>
      <c r="M3610" s="50" t="s">
        <v>10178</v>
      </c>
      <c r="N3610" s="51"/>
      <c r="O3610" s="20"/>
      <c r="P3610" s="20"/>
      <c r="Q3610" s="20"/>
      <c r="R3610" s="20"/>
      <c r="S3610" s="20"/>
    </row>
    <row r="3611">
      <c r="A3611" s="10"/>
      <c r="B3611" s="11"/>
      <c r="C3611" s="10"/>
      <c r="D3611" s="13"/>
      <c r="E3611" s="14"/>
      <c r="F3611" s="14"/>
      <c r="G3611" s="14"/>
      <c r="H3611" s="10"/>
      <c r="I3611" s="10"/>
      <c r="J3611" s="10"/>
      <c r="K3611" s="46"/>
      <c r="L3611" s="10"/>
      <c r="M3611" s="44" t="s">
        <v>10178</v>
      </c>
      <c r="N3611" s="45"/>
      <c r="O3611" s="20"/>
      <c r="P3611" s="20"/>
      <c r="Q3611" s="20"/>
      <c r="R3611" s="20"/>
      <c r="S3611" s="20"/>
    </row>
    <row r="3612">
      <c r="A3612" s="23"/>
      <c r="B3612" s="21"/>
      <c r="C3612" s="23"/>
      <c r="D3612" s="24"/>
      <c r="E3612" s="14"/>
      <c r="F3612" s="14"/>
      <c r="G3612" s="14"/>
      <c r="H3612" s="23"/>
      <c r="I3612" s="23"/>
      <c r="J3612" s="23"/>
      <c r="K3612" s="30"/>
      <c r="L3612" s="23"/>
      <c r="M3612" s="50" t="s">
        <v>10178</v>
      </c>
      <c r="N3612" s="51"/>
      <c r="O3612" s="20"/>
      <c r="P3612" s="20"/>
      <c r="Q3612" s="20"/>
      <c r="R3612" s="20"/>
      <c r="S3612" s="20"/>
    </row>
    <row r="3613">
      <c r="A3613" s="10"/>
      <c r="B3613" s="11"/>
      <c r="C3613" s="10"/>
      <c r="D3613" s="13"/>
      <c r="E3613" s="14"/>
      <c r="F3613" s="14"/>
      <c r="G3613" s="14"/>
      <c r="H3613" s="10"/>
      <c r="I3613" s="10"/>
      <c r="J3613" s="10"/>
      <c r="K3613" s="46"/>
      <c r="L3613" s="10"/>
      <c r="M3613" s="44" t="s">
        <v>10178</v>
      </c>
      <c r="N3613" s="45"/>
      <c r="O3613" s="20"/>
      <c r="P3613" s="20"/>
      <c r="Q3613" s="20"/>
      <c r="R3613" s="20"/>
      <c r="S3613" s="20"/>
    </row>
    <row r="3614">
      <c r="A3614" s="23"/>
      <c r="B3614" s="21"/>
      <c r="C3614" s="23"/>
      <c r="D3614" s="24"/>
      <c r="E3614" s="14"/>
      <c r="F3614" s="14"/>
      <c r="G3614" s="14"/>
      <c r="H3614" s="23"/>
      <c r="I3614" s="23"/>
      <c r="J3614" s="23"/>
      <c r="K3614" s="30"/>
      <c r="L3614" s="23"/>
      <c r="M3614" s="50" t="s">
        <v>10178</v>
      </c>
      <c r="N3614" s="51"/>
      <c r="O3614" s="20"/>
      <c r="P3614" s="20"/>
      <c r="Q3614" s="20"/>
      <c r="R3614" s="20"/>
      <c r="S3614" s="20"/>
    </row>
    <row r="3615">
      <c r="A3615" s="10"/>
      <c r="B3615" s="11"/>
      <c r="C3615" s="10"/>
      <c r="D3615" s="13"/>
      <c r="E3615" s="14"/>
      <c r="F3615" s="14"/>
      <c r="G3615" s="14"/>
      <c r="H3615" s="10"/>
      <c r="I3615" s="10"/>
      <c r="J3615" s="10"/>
      <c r="K3615" s="46"/>
      <c r="L3615" s="10"/>
      <c r="M3615" s="44" t="s">
        <v>10178</v>
      </c>
      <c r="N3615" s="45"/>
      <c r="O3615" s="20"/>
      <c r="P3615" s="20"/>
      <c r="Q3615" s="20"/>
      <c r="R3615" s="20"/>
      <c r="S3615" s="20"/>
    </row>
    <row r="3616">
      <c r="A3616" s="23"/>
      <c r="B3616" s="21"/>
      <c r="C3616" s="23"/>
      <c r="D3616" s="24"/>
      <c r="E3616" s="14"/>
      <c r="F3616" s="14"/>
      <c r="G3616" s="14"/>
      <c r="H3616" s="23"/>
      <c r="I3616" s="23"/>
      <c r="J3616" s="23"/>
      <c r="K3616" s="30"/>
      <c r="L3616" s="23"/>
      <c r="M3616" s="50" t="s">
        <v>10178</v>
      </c>
      <c r="N3616" s="51"/>
      <c r="O3616" s="20"/>
      <c r="P3616" s="20"/>
      <c r="Q3616" s="20"/>
      <c r="R3616" s="20"/>
      <c r="S3616" s="20"/>
    </row>
    <row r="3617">
      <c r="A3617" s="10"/>
      <c r="B3617" s="11"/>
      <c r="C3617" s="10"/>
      <c r="D3617" s="13"/>
      <c r="E3617" s="14"/>
      <c r="F3617" s="14"/>
      <c r="G3617" s="14"/>
      <c r="H3617" s="10"/>
      <c r="I3617" s="10"/>
      <c r="J3617" s="10"/>
      <c r="K3617" s="46"/>
      <c r="L3617" s="10"/>
      <c r="M3617" s="44" t="s">
        <v>10178</v>
      </c>
      <c r="N3617" s="45"/>
      <c r="O3617" s="20"/>
      <c r="P3617" s="20"/>
      <c r="Q3617" s="20"/>
      <c r="R3617" s="20"/>
      <c r="S3617" s="20"/>
    </row>
    <row r="3618">
      <c r="A3618" s="23"/>
      <c r="B3618" s="21"/>
      <c r="C3618" s="23"/>
      <c r="D3618" s="24"/>
      <c r="E3618" s="14"/>
      <c r="F3618" s="14"/>
      <c r="G3618" s="14"/>
      <c r="H3618" s="23"/>
      <c r="I3618" s="23"/>
      <c r="J3618" s="23"/>
      <c r="K3618" s="30"/>
      <c r="L3618" s="23"/>
      <c r="M3618" s="50" t="s">
        <v>10178</v>
      </c>
      <c r="N3618" s="51"/>
      <c r="O3618" s="20"/>
      <c r="P3618" s="20"/>
      <c r="Q3618" s="20"/>
      <c r="R3618" s="20"/>
      <c r="S3618" s="20"/>
    </row>
    <row r="3619">
      <c r="A3619" s="10"/>
      <c r="B3619" s="11"/>
      <c r="C3619" s="10"/>
      <c r="D3619" s="13"/>
      <c r="E3619" s="14"/>
      <c r="F3619" s="14"/>
      <c r="G3619" s="14"/>
      <c r="H3619" s="10"/>
      <c r="I3619" s="10"/>
      <c r="J3619" s="10"/>
      <c r="K3619" s="46"/>
      <c r="L3619" s="10"/>
      <c r="M3619" s="44" t="s">
        <v>10178</v>
      </c>
      <c r="N3619" s="45"/>
      <c r="O3619" s="20"/>
      <c r="P3619" s="20"/>
      <c r="Q3619" s="20"/>
      <c r="R3619" s="20"/>
      <c r="S3619" s="20"/>
    </row>
    <row r="3620">
      <c r="A3620" s="23"/>
      <c r="B3620" s="21"/>
      <c r="C3620" s="23"/>
      <c r="D3620" s="24"/>
      <c r="E3620" s="14"/>
      <c r="F3620" s="14"/>
      <c r="G3620" s="14"/>
      <c r="H3620" s="23"/>
      <c r="I3620" s="23"/>
      <c r="J3620" s="23"/>
      <c r="K3620" s="30"/>
      <c r="L3620" s="23"/>
      <c r="M3620" s="50" t="s">
        <v>10178</v>
      </c>
      <c r="N3620" s="51"/>
      <c r="O3620" s="20"/>
      <c r="P3620" s="20"/>
      <c r="Q3620" s="20"/>
      <c r="R3620" s="20"/>
      <c r="S3620" s="20"/>
    </row>
    <row r="3621">
      <c r="A3621" s="10"/>
      <c r="B3621" s="11"/>
      <c r="C3621" s="10"/>
      <c r="D3621" s="13"/>
      <c r="E3621" s="14"/>
      <c r="F3621" s="14"/>
      <c r="G3621" s="14"/>
      <c r="H3621" s="10"/>
      <c r="I3621" s="10"/>
      <c r="J3621" s="10"/>
      <c r="K3621" s="46"/>
      <c r="L3621" s="10"/>
      <c r="M3621" s="44" t="s">
        <v>10178</v>
      </c>
      <c r="N3621" s="45"/>
      <c r="O3621" s="20"/>
      <c r="P3621" s="20"/>
      <c r="Q3621" s="20"/>
      <c r="R3621" s="20"/>
      <c r="S3621" s="20"/>
    </row>
    <row r="3622">
      <c r="A3622" s="23"/>
      <c r="B3622" s="21"/>
      <c r="C3622" s="23"/>
      <c r="D3622" s="24"/>
      <c r="E3622" s="14"/>
      <c r="F3622" s="14"/>
      <c r="G3622" s="14"/>
      <c r="H3622" s="23"/>
      <c r="I3622" s="23"/>
      <c r="J3622" s="23"/>
      <c r="K3622" s="30"/>
      <c r="L3622" s="23"/>
      <c r="M3622" s="50" t="s">
        <v>10178</v>
      </c>
      <c r="N3622" s="51"/>
      <c r="O3622" s="20"/>
      <c r="P3622" s="20"/>
      <c r="Q3622" s="20"/>
      <c r="R3622" s="20"/>
      <c r="S3622" s="20"/>
    </row>
    <row r="3623">
      <c r="A3623" s="10"/>
      <c r="B3623" s="11"/>
      <c r="C3623" s="10"/>
      <c r="D3623" s="13"/>
      <c r="E3623" s="14"/>
      <c r="F3623" s="14"/>
      <c r="G3623" s="14"/>
      <c r="H3623" s="10"/>
      <c r="I3623" s="10"/>
      <c r="J3623" s="10"/>
      <c r="K3623" s="46"/>
      <c r="L3623" s="10"/>
      <c r="M3623" s="44" t="s">
        <v>10178</v>
      </c>
      <c r="N3623" s="45"/>
      <c r="O3623" s="20"/>
      <c r="P3623" s="20"/>
      <c r="Q3623" s="20"/>
      <c r="R3623" s="20"/>
      <c r="S3623" s="20"/>
    </row>
    <row r="3624">
      <c r="A3624" s="23"/>
      <c r="B3624" s="21"/>
      <c r="C3624" s="23"/>
      <c r="D3624" s="24"/>
      <c r="E3624" s="14"/>
      <c r="F3624" s="14"/>
      <c r="G3624" s="14"/>
      <c r="H3624" s="23"/>
      <c r="I3624" s="23"/>
      <c r="J3624" s="23"/>
      <c r="K3624" s="30"/>
      <c r="L3624" s="23"/>
      <c r="M3624" s="50" t="s">
        <v>10178</v>
      </c>
      <c r="N3624" s="51"/>
      <c r="O3624" s="20"/>
      <c r="P3624" s="20"/>
      <c r="Q3624" s="20"/>
      <c r="R3624" s="20"/>
      <c r="S3624" s="20"/>
    </row>
    <row r="3625">
      <c r="A3625" s="10"/>
      <c r="B3625" s="11"/>
      <c r="C3625" s="10"/>
      <c r="D3625" s="13"/>
      <c r="E3625" s="14"/>
      <c r="F3625" s="14"/>
      <c r="G3625" s="14"/>
      <c r="H3625" s="10"/>
      <c r="I3625" s="10"/>
      <c r="J3625" s="10"/>
      <c r="K3625" s="46"/>
      <c r="L3625" s="10"/>
      <c r="M3625" s="44" t="s">
        <v>10178</v>
      </c>
      <c r="N3625" s="45"/>
      <c r="O3625" s="20"/>
      <c r="P3625" s="20"/>
      <c r="Q3625" s="20"/>
      <c r="R3625" s="20"/>
      <c r="S3625" s="20"/>
    </row>
    <row r="3626">
      <c r="A3626" s="23"/>
      <c r="B3626" s="21"/>
      <c r="C3626" s="23"/>
      <c r="D3626" s="24"/>
      <c r="E3626" s="14"/>
      <c r="F3626" s="14"/>
      <c r="G3626" s="14"/>
      <c r="H3626" s="23"/>
      <c r="I3626" s="23"/>
      <c r="J3626" s="23"/>
      <c r="K3626" s="30"/>
      <c r="L3626" s="23"/>
      <c r="M3626" s="50" t="s">
        <v>10178</v>
      </c>
      <c r="N3626" s="51"/>
      <c r="O3626" s="20"/>
      <c r="P3626" s="20"/>
      <c r="Q3626" s="20"/>
      <c r="R3626" s="20"/>
      <c r="S3626" s="20"/>
    </row>
    <row r="3627">
      <c r="A3627" s="10"/>
      <c r="B3627" s="11"/>
      <c r="C3627" s="10"/>
      <c r="D3627" s="13"/>
      <c r="E3627" s="14"/>
      <c r="F3627" s="14"/>
      <c r="G3627" s="14"/>
      <c r="H3627" s="10"/>
      <c r="I3627" s="10"/>
      <c r="J3627" s="10"/>
      <c r="K3627" s="46"/>
      <c r="L3627" s="10"/>
      <c r="M3627" s="44" t="s">
        <v>10178</v>
      </c>
      <c r="N3627" s="45"/>
      <c r="O3627" s="20"/>
      <c r="P3627" s="20"/>
      <c r="Q3627" s="20"/>
      <c r="R3627" s="20"/>
      <c r="S3627" s="20"/>
    </row>
    <row r="3628">
      <c r="A3628" s="23"/>
      <c r="B3628" s="21"/>
      <c r="C3628" s="23"/>
      <c r="D3628" s="24"/>
      <c r="E3628" s="14"/>
      <c r="F3628" s="14"/>
      <c r="G3628" s="14"/>
      <c r="H3628" s="23"/>
      <c r="I3628" s="23"/>
      <c r="J3628" s="23"/>
      <c r="K3628" s="30"/>
      <c r="L3628" s="23"/>
      <c r="M3628" s="50" t="s">
        <v>10178</v>
      </c>
      <c r="N3628" s="51"/>
      <c r="O3628" s="20"/>
      <c r="P3628" s="20"/>
      <c r="Q3628" s="20"/>
      <c r="R3628" s="20"/>
      <c r="S3628" s="20"/>
    </row>
    <row r="3629">
      <c r="A3629" s="10"/>
      <c r="B3629" s="11"/>
      <c r="C3629" s="10"/>
      <c r="D3629" s="13"/>
      <c r="E3629" s="14"/>
      <c r="F3629" s="14"/>
      <c r="G3629" s="14"/>
      <c r="H3629" s="10"/>
      <c r="I3629" s="10"/>
      <c r="J3629" s="10"/>
      <c r="K3629" s="46"/>
      <c r="L3629" s="10"/>
      <c r="M3629" s="44" t="s">
        <v>10178</v>
      </c>
      <c r="N3629" s="45"/>
      <c r="O3629" s="20"/>
      <c r="P3629" s="20"/>
      <c r="Q3629" s="20"/>
      <c r="R3629" s="20"/>
      <c r="S3629" s="20"/>
    </row>
    <row r="3630">
      <c r="A3630" s="23"/>
      <c r="B3630" s="21"/>
      <c r="C3630" s="23"/>
      <c r="D3630" s="24"/>
      <c r="E3630" s="14"/>
      <c r="F3630" s="14"/>
      <c r="G3630" s="14"/>
      <c r="H3630" s="23"/>
      <c r="I3630" s="23"/>
      <c r="J3630" s="23"/>
      <c r="K3630" s="30"/>
      <c r="L3630" s="23"/>
      <c r="M3630" s="50" t="s">
        <v>10178</v>
      </c>
      <c r="N3630" s="51"/>
      <c r="O3630" s="20"/>
      <c r="P3630" s="20"/>
      <c r="Q3630" s="20"/>
      <c r="R3630" s="20"/>
      <c r="S3630" s="20"/>
    </row>
    <row r="3631">
      <c r="A3631" s="10"/>
      <c r="B3631" s="11"/>
      <c r="C3631" s="10"/>
      <c r="D3631" s="13"/>
      <c r="E3631" s="14"/>
      <c r="F3631" s="14"/>
      <c r="G3631" s="14"/>
      <c r="H3631" s="10"/>
      <c r="I3631" s="10"/>
      <c r="J3631" s="10"/>
      <c r="K3631" s="46"/>
      <c r="L3631" s="10"/>
      <c r="M3631" s="44" t="s">
        <v>10178</v>
      </c>
      <c r="N3631" s="45"/>
      <c r="O3631" s="20"/>
      <c r="P3631" s="20"/>
      <c r="Q3631" s="20"/>
      <c r="R3631" s="20"/>
      <c r="S3631" s="20"/>
    </row>
    <row r="3632">
      <c r="A3632" s="23"/>
      <c r="B3632" s="21"/>
      <c r="C3632" s="23"/>
      <c r="D3632" s="24"/>
      <c r="E3632" s="14"/>
      <c r="F3632" s="14"/>
      <c r="G3632" s="14"/>
      <c r="H3632" s="23"/>
      <c r="I3632" s="23"/>
      <c r="J3632" s="23"/>
      <c r="K3632" s="30"/>
      <c r="L3632" s="23"/>
      <c r="M3632" s="50" t="s">
        <v>10178</v>
      </c>
      <c r="N3632" s="51"/>
      <c r="O3632" s="20"/>
      <c r="P3632" s="20"/>
      <c r="Q3632" s="20"/>
      <c r="R3632" s="20"/>
      <c r="S3632" s="20"/>
    </row>
    <row r="3633">
      <c r="A3633" s="10"/>
      <c r="B3633" s="11"/>
      <c r="C3633" s="10"/>
      <c r="D3633" s="13"/>
      <c r="E3633" s="14"/>
      <c r="F3633" s="14"/>
      <c r="G3633" s="14"/>
      <c r="H3633" s="10"/>
      <c r="I3633" s="10"/>
      <c r="J3633" s="10"/>
      <c r="K3633" s="46"/>
      <c r="L3633" s="10"/>
      <c r="M3633" s="44" t="s">
        <v>10178</v>
      </c>
      <c r="N3633" s="45"/>
      <c r="O3633" s="20"/>
      <c r="P3633" s="20"/>
      <c r="Q3633" s="20"/>
      <c r="R3633" s="20"/>
      <c r="S3633" s="20"/>
    </row>
    <row r="3634">
      <c r="A3634" s="23"/>
      <c r="B3634" s="21"/>
      <c r="C3634" s="23"/>
      <c r="D3634" s="24"/>
      <c r="E3634" s="14"/>
      <c r="F3634" s="14"/>
      <c r="G3634" s="14"/>
      <c r="H3634" s="23"/>
      <c r="I3634" s="23"/>
      <c r="J3634" s="23"/>
      <c r="K3634" s="30"/>
      <c r="L3634" s="23"/>
      <c r="M3634" s="50" t="s">
        <v>10178</v>
      </c>
      <c r="N3634" s="51"/>
      <c r="O3634" s="20"/>
      <c r="P3634" s="20"/>
      <c r="Q3634" s="20"/>
      <c r="R3634" s="20"/>
      <c r="S3634" s="20"/>
    </row>
    <row r="3635">
      <c r="A3635" s="10"/>
      <c r="B3635" s="11"/>
      <c r="C3635" s="10"/>
      <c r="D3635" s="13"/>
      <c r="E3635" s="14"/>
      <c r="F3635" s="14"/>
      <c r="G3635" s="14"/>
      <c r="H3635" s="10"/>
      <c r="I3635" s="10"/>
      <c r="J3635" s="10"/>
      <c r="K3635" s="46"/>
      <c r="L3635" s="10"/>
      <c r="M3635" s="44" t="s">
        <v>10178</v>
      </c>
      <c r="N3635" s="45"/>
      <c r="O3635" s="20"/>
      <c r="P3635" s="20"/>
      <c r="Q3635" s="20"/>
      <c r="R3635" s="20"/>
      <c r="S3635" s="20"/>
    </row>
    <row r="3636">
      <c r="A3636" s="23"/>
      <c r="B3636" s="21"/>
      <c r="C3636" s="23"/>
      <c r="D3636" s="24"/>
      <c r="E3636" s="14"/>
      <c r="F3636" s="14"/>
      <c r="G3636" s="14"/>
      <c r="H3636" s="23"/>
      <c r="I3636" s="23"/>
      <c r="J3636" s="23"/>
      <c r="K3636" s="30"/>
      <c r="L3636" s="23"/>
      <c r="M3636" s="50" t="s">
        <v>10178</v>
      </c>
      <c r="N3636" s="51"/>
      <c r="O3636" s="20"/>
      <c r="P3636" s="20"/>
      <c r="Q3636" s="20"/>
      <c r="R3636" s="20"/>
      <c r="S3636" s="20"/>
    </row>
    <row r="3637">
      <c r="A3637" s="10"/>
      <c r="B3637" s="11"/>
      <c r="C3637" s="10"/>
      <c r="D3637" s="13"/>
      <c r="E3637" s="14"/>
      <c r="F3637" s="14"/>
      <c r="G3637" s="14"/>
      <c r="H3637" s="10"/>
      <c r="I3637" s="10"/>
      <c r="J3637" s="10"/>
      <c r="K3637" s="46"/>
      <c r="L3637" s="10"/>
      <c r="M3637" s="44" t="s">
        <v>10178</v>
      </c>
      <c r="N3637" s="45"/>
      <c r="O3637" s="20"/>
      <c r="P3637" s="20"/>
      <c r="Q3637" s="20"/>
      <c r="R3637" s="20"/>
      <c r="S3637" s="20"/>
    </row>
    <row r="3638">
      <c r="A3638" s="23"/>
      <c r="B3638" s="21"/>
      <c r="C3638" s="23"/>
      <c r="D3638" s="24"/>
      <c r="E3638" s="14"/>
      <c r="F3638" s="14"/>
      <c r="G3638" s="14"/>
      <c r="H3638" s="23"/>
      <c r="I3638" s="23"/>
      <c r="J3638" s="23"/>
      <c r="K3638" s="30"/>
      <c r="L3638" s="23"/>
      <c r="M3638" s="50" t="s">
        <v>10178</v>
      </c>
      <c r="N3638" s="51"/>
      <c r="O3638" s="20"/>
      <c r="P3638" s="20"/>
      <c r="Q3638" s="20"/>
      <c r="R3638" s="20"/>
      <c r="S3638" s="20"/>
    </row>
    <row r="3639">
      <c r="A3639" s="10"/>
      <c r="B3639" s="11"/>
      <c r="C3639" s="10"/>
      <c r="D3639" s="13"/>
      <c r="E3639" s="14"/>
      <c r="F3639" s="14"/>
      <c r="G3639" s="14"/>
      <c r="H3639" s="10"/>
      <c r="I3639" s="10"/>
      <c r="J3639" s="10"/>
      <c r="K3639" s="46"/>
      <c r="L3639" s="10"/>
      <c r="M3639" s="44" t="s">
        <v>10178</v>
      </c>
      <c r="N3639" s="45"/>
      <c r="O3639" s="20"/>
      <c r="P3639" s="20"/>
      <c r="Q3639" s="20"/>
      <c r="R3639" s="20"/>
      <c r="S3639" s="20"/>
    </row>
    <row r="3640">
      <c r="A3640" s="23"/>
      <c r="B3640" s="21"/>
      <c r="C3640" s="23"/>
      <c r="D3640" s="24"/>
      <c r="E3640" s="14"/>
      <c r="F3640" s="14"/>
      <c r="G3640" s="14"/>
      <c r="H3640" s="23"/>
      <c r="I3640" s="23"/>
      <c r="J3640" s="23"/>
      <c r="K3640" s="30"/>
      <c r="L3640" s="23"/>
      <c r="M3640" s="50" t="s">
        <v>10178</v>
      </c>
      <c r="N3640" s="51"/>
      <c r="O3640" s="20"/>
      <c r="P3640" s="20"/>
      <c r="Q3640" s="20"/>
      <c r="R3640" s="20"/>
      <c r="S3640" s="20"/>
    </row>
    <row r="3641">
      <c r="A3641" s="10"/>
      <c r="B3641" s="11"/>
      <c r="C3641" s="10"/>
      <c r="D3641" s="13"/>
      <c r="E3641" s="14"/>
      <c r="F3641" s="14"/>
      <c r="G3641" s="14"/>
      <c r="H3641" s="10"/>
      <c r="I3641" s="10"/>
      <c r="J3641" s="10"/>
      <c r="K3641" s="46"/>
      <c r="L3641" s="10"/>
      <c r="M3641" s="44" t="s">
        <v>10178</v>
      </c>
      <c r="N3641" s="45"/>
      <c r="O3641" s="20"/>
      <c r="P3641" s="20"/>
      <c r="Q3641" s="20"/>
      <c r="R3641" s="20"/>
      <c r="S3641" s="20"/>
    </row>
    <row r="3642">
      <c r="A3642" s="23"/>
      <c r="B3642" s="21"/>
      <c r="C3642" s="23"/>
      <c r="D3642" s="24"/>
      <c r="E3642" s="14"/>
      <c r="F3642" s="14"/>
      <c r="G3642" s="14"/>
      <c r="H3642" s="23"/>
      <c r="I3642" s="23"/>
      <c r="J3642" s="23"/>
      <c r="K3642" s="30"/>
      <c r="L3642" s="23"/>
      <c r="M3642" s="50" t="s">
        <v>10178</v>
      </c>
      <c r="N3642" s="51"/>
      <c r="O3642" s="20"/>
      <c r="P3642" s="20"/>
      <c r="Q3642" s="20"/>
      <c r="R3642" s="20"/>
      <c r="S3642" s="20"/>
    </row>
    <row r="3643">
      <c r="A3643" s="10"/>
      <c r="B3643" s="11"/>
      <c r="C3643" s="10"/>
      <c r="D3643" s="13"/>
      <c r="E3643" s="14"/>
      <c r="F3643" s="14"/>
      <c r="G3643" s="14"/>
      <c r="H3643" s="10"/>
      <c r="I3643" s="10"/>
      <c r="J3643" s="10"/>
      <c r="K3643" s="46"/>
      <c r="L3643" s="10"/>
      <c r="M3643" s="44" t="s">
        <v>10178</v>
      </c>
      <c r="N3643" s="45"/>
      <c r="O3643" s="20"/>
      <c r="P3643" s="20"/>
      <c r="Q3643" s="20"/>
      <c r="R3643" s="20"/>
      <c r="S3643" s="20"/>
    </row>
    <row r="3644">
      <c r="A3644" s="23"/>
      <c r="B3644" s="21"/>
      <c r="C3644" s="23"/>
      <c r="D3644" s="24"/>
      <c r="E3644" s="14"/>
      <c r="F3644" s="14"/>
      <c r="G3644" s="14"/>
      <c r="H3644" s="23"/>
      <c r="I3644" s="23"/>
      <c r="J3644" s="23"/>
      <c r="K3644" s="30"/>
      <c r="L3644" s="23"/>
      <c r="M3644" s="50" t="s">
        <v>10178</v>
      </c>
      <c r="N3644" s="51"/>
      <c r="O3644" s="20"/>
      <c r="P3644" s="20"/>
      <c r="Q3644" s="20"/>
      <c r="R3644" s="20"/>
      <c r="S3644" s="20"/>
    </row>
    <row r="3645">
      <c r="A3645" s="10"/>
      <c r="B3645" s="11"/>
      <c r="C3645" s="10"/>
      <c r="D3645" s="13"/>
      <c r="E3645" s="14"/>
      <c r="F3645" s="14"/>
      <c r="G3645" s="14"/>
      <c r="H3645" s="10"/>
      <c r="I3645" s="10"/>
      <c r="J3645" s="10"/>
      <c r="K3645" s="46"/>
      <c r="L3645" s="10"/>
      <c r="M3645" s="44" t="s">
        <v>10178</v>
      </c>
      <c r="N3645" s="45"/>
      <c r="O3645" s="20"/>
      <c r="P3645" s="20"/>
      <c r="Q3645" s="20"/>
      <c r="R3645" s="20"/>
      <c r="S3645" s="20"/>
    </row>
    <row r="3646">
      <c r="A3646" s="23"/>
      <c r="B3646" s="21"/>
      <c r="C3646" s="23"/>
      <c r="D3646" s="24"/>
      <c r="E3646" s="14"/>
      <c r="F3646" s="14"/>
      <c r="G3646" s="14"/>
      <c r="H3646" s="23"/>
      <c r="I3646" s="23"/>
      <c r="J3646" s="23"/>
      <c r="K3646" s="30"/>
      <c r="L3646" s="23"/>
      <c r="M3646" s="50" t="s">
        <v>10178</v>
      </c>
      <c r="N3646" s="51"/>
      <c r="O3646" s="20"/>
      <c r="P3646" s="20"/>
      <c r="Q3646" s="20"/>
      <c r="R3646" s="20"/>
      <c r="S3646" s="20"/>
    </row>
    <row r="3647">
      <c r="A3647" s="10"/>
      <c r="B3647" s="11"/>
      <c r="C3647" s="10"/>
      <c r="D3647" s="13"/>
      <c r="E3647" s="14"/>
      <c r="F3647" s="14"/>
      <c r="G3647" s="14"/>
      <c r="H3647" s="10"/>
      <c r="I3647" s="10"/>
      <c r="J3647" s="10"/>
      <c r="K3647" s="46"/>
      <c r="L3647" s="10"/>
      <c r="M3647" s="44" t="s">
        <v>10178</v>
      </c>
      <c r="N3647" s="45"/>
      <c r="O3647" s="20"/>
      <c r="P3647" s="20"/>
      <c r="Q3647" s="20"/>
      <c r="R3647" s="20"/>
      <c r="S3647" s="20"/>
    </row>
    <row r="3648">
      <c r="A3648" s="23"/>
      <c r="B3648" s="21"/>
      <c r="C3648" s="23"/>
      <c r="D3648" s="24"/>
      <c r="E3648" s="14"/>
      <c r="F3648" s="14"/>
      <c r="G3648" s="14"/>
      <c r="H3648" s="23"/>
      <c r="I3648" s="23"/>
      <c r="J3648" s="23"/>
      <c r="K3648" s="30"/>
      <c r="L3648" s="23"/>
      <c r="M3648" s="50" t="s">
        <v>10178</v>
      </c>
      <c r="N3648" s="51"/>
      <c r="O3648" s="20"/>
      <c r="P3648" s="20"/>
      <c r="Q3648" s="20"/>
      <c r="R3648" s="20"/>
      <c r="S3648" s="20"/>
    </row>
    <row r="3649">
      <c r="A3649" s="10"/>
      <c r="B3649" s="11"/>
      <c r="C3649" s="10"/>
      <c r="D3649" s="13"/>
      <c r="E3649" s="14"/>
      <c r="F3649" s="14"/>
      <c r="G3649" s="14"/>
      <c r="H3649" s="10"/>
      <c r="I3649" s="10"/>
      <c r="J3649" s="10"/>
      <c r="K3649" s="46"/>
      <c r="L3649" s="10"/>
      <c r="M3649" s="44" t="s">
        <v>10178</v>
      </c>
      <c r="N3649" s="45"/>
      <c r="O3649" s="20"/>
      <c r="P3649" s="20"/>
      <c r="Q3649" s="20"/>
      <c r="R3649" s="20"/>
      <c r="S3649" s="20"/>
    </row>
    <row r="3650">
      <c r="A3650" s="23"/>
      <c r="B3650" s="21"/>
      <c r="C3650" s="23"/>
      <c r="D3650" s="24"/>
      <c r="E3650" s="14"/>
      <c r="F3650" s="14"/>
      <c r="G3650" s="14"/>
      <c r="H3650" s="23"/>
      <c r="I3650" s="23"/>
      <c r="J3650" s="23"/>
      <c r="K3650" s="30"/>
      <c r="L3650" s="23"/>
      <c r="M3650" s="50" t="s">
        <v>10178</v>
      </c>
      <c r="N3650" s="51"/>
      <c r="O3650" s="20"/>
      <c r="P3650" s="20"/>
      <c r="Q3650" s="20"/>
      <c r="R3650" s="20"/>
      <c r="S3650" s="20"/>
    </row>
    <row r="3651">
      <c r="A3651" s="10"/>
      <c r="B3651" s="11"/>
      <c r="C3651" s="10"/>
      <c r="D3651" s="13"/>
      <c r="E3651" s="14"/>
      <c r="F3651" s="14"/>
      <c r="G3651" s="14"/>
      <c r="H3651" s="10"/>
      <c r="I3651" s="10"/>
      <c r="J3651" s="10"/>
      <c r="K3651" s="46"/>
      <c r="L3651" s="10"/>
      <c r="M3651" s="44" t="s">
        <v>10178</v>
      </c>
      <c r="N3651" s="45"/>
      <c r="O3651" s="20"/>
      <c r="P3651" s="20"/>
      <c r="Q3651" s="20"/>
      <c r="R3651" s="20"/>
      <c r="S3651" s="20"/>
    </row>
    <row r="3652">
      <c r="A3652" s="23"/>
      <c r="B3652" s="21"/>
      <c r="C3652" s="23"/>
      <c r="D3652" s="24"/>
      <c r="E3652" s="14"/>
      <c r="F3652" s="14"/>
      <c r="G3652" s="14"/>
      <c r="H3652" s="23"/>
      <c r="I3652" s="23"/>
      <c r="J3652" s="23"/>
      <c r="K3652" s="30"/>
      <c r="L3652" s="23"/>
      <c r="M3652" s="50" t="s">
        <v>10178</v>
      </c>
      <c r="N3652" s="51"/>
      <c r="O3652" s="20"/>
      <c r="P3652" s="20"/>
      <c r="Q3652" s="20"/>
      <c r="R3652" s="20"/>
      <c r="S3652" s="20"/>
    </row>
    <row r="3653">
      <c r="A3653" s="10"/>
      <c r="B3653" s="11"/>
      <c r="C3653" s="10"/>
      <c r="D3653" s="13"/>
      <c r="E3653" s="14"/>
      <c r="F3653" s="14"/>
      <c r="G3653" s="14"/>
      <c r="H3653" s="10"/>
      <c r="I3653" s="10"/>
      <c r="J3653" s="10"/>
      <c r="K3653" s="46"/>
      <c r="L3653" s="10"/>
      <c r="M3653" s="44" t="s">
        <v>10178</v>
      </c>
      <c r="N3653" s="45"/>
      <c r="O3653" s="20"/>
      <c r="P3653" s="20"/>
      <c r="Q3653" s="20"/>
      <c r="R3653" s="20"/>
      <c r="S3653" s="20"/>
    </row>
    <row r="3654">
      <c r="A3654" s="23"/>
      <c r="B3654" s="21"/>
      <c r="C3654" s="23"/>
      <c r="D3654" s="24"/>
      <c r="E3654" s="14"/>
      <c r="F3654" s="14"/>
      <c r="G3654" s="14"/>
      <c r="H3654" s="23"/>
      <c r="I3654" s="23"/>
      <c r="J3654" s="23"/>
      <c r="K3654" s="30"/>
      <c r="L3654" s="23"/>
      <c r="M3654" s="50" t="s">
        <v>10178</v>
      </c>
      <c r="N3654" s="51"/>
      <c r="O3654" s="20"/>
      <c r="P3654" s="20"/>
      <c r="Q3654" s="20"/>
      <c r="R3654" s="20"/>
      <c r="S3654" s="20"/>
    </row>
    <row r="3655">
      <c r="A3655" s="10"/>
      <c r="B3655" s="11"/>
      <c r="C3655" s="10"/>
      <c r="D3655" s="13"/>
      <c r="E3655" s="14"/>
      <c r="F3655" s="14"/>
      <c r="G3655" s="14"/>
      <c r="H3655" s="10"/>
      <c r="I3655" s="10"/>
      <c r="J3655" s="10"/>
      <c r="K3655" s="46"/>
      <c r="L3655" s="10"/>
      <c r="M3655" s="44" t="s">
        <v>10178</v>
      </c>
      <c r="N3655" s="45"/>
      <c r="O3655" s="20"/>
      <c r="P3655" s="20"/>
      <c r="Q3655" s="20"/>
      <c r="R3655" s="20"/>
      <c r="S3655" s="20"/>
    </row>
    <row r="3656">
      <c r="A3656" s="23"/>
      <c r="B3656" s="21"/>
      <c r="C3656" s="23"/>
      <c r="D3656" s="24"/>
      <c r="E3656" s="14"/>
      <c r="F3656" s="14"/>
      <c r="G3656" s="14"/>
      <c r="H3656" s="23"/>
      <c r="I3656" s="23"/>
      <c r="J3656" s="23"/>
      <c r="K3656" s="30"/>
      <c r="L3656" s="23"/>
      <c r="M3656" s="50" t="s">
        <v>10178</v>
      </c>
      <c r="N3656" s="51"/>
      <c r="O3656" s="20"/>
      <c r="P3656" s="20"/>
      <c r="Q3656" s="20"/>
      <c r="R3656" s="20"/>
      <c r="S3656" s="20"/>
    </row>
    <row r="3657">
      <c r="A3657" s="10"/>
      <c r="B3657" s="11"/>
      <c r="C3657" s="10"/>
      <c r="D3657" s="13"/>
      <c r="E3657" s="14"/>
      <c r="F3657" s="14"/>
      <c r="G3657" s="14"/>
      <c r="H3657" s="10"/>
      <c r="I3657" s="10"/>
      <c r="J3657" s="10"/>
      <c r="K3657" s="46"/>
      <c r="L3657" s="10"/>
      <c r="M3657" s="44" t="s">
        <v>10178</v>
      </c>
      <c r="N3657" s="45"/>
      <c r="O3657" s="20"/>
      <c r="P3657" s="20"/>
      <c r="Q3657" s="20"/>
      <c r="R3657" s="20"/>
      <c r="S3657" s="20"/>
    </row>
    <row r="3658">
      <c r="A3658" s="23"/>
      <c r="B3658" s="21"/>
      <c r="C3658" s="23"/>
      <c r="D3658" s="24"/>
      <c r="E3658" s="14"/>
      <c r="F3658" s="14"/>
      <c r="G3658" s="14"/>
      <c r="H3658" s="23"/>
      <c r="I3658" s="23"/>
      <c r="J3658" s="23"/>
      <c r="K3658" s="30"/>
      <c r="L3658" s="23"/>
      <c r="M3658" s="50" t="s">
        <v>10178</v>
      </c>
      <c r="N3658" s="51"/>
      <c r="O3658" s="20"/>
      <c r="P3658" s="20"/>
      <c r="Q3658" s="20"/>
      <c r="R3658" s="20"/>
      <c r="S3658" s="20"/>
    </row>
    <row r="3659">
      <c r="A3659" s="10"/>
      <c r="B3659" s="11"/>
      <c r="C3659" s="10"/>
      <c r="D3659" s="13"/>
      <c r="E3659" s="14"/>
      <c r="F3659" s="14"/>
      <c r="G3659" s="14"/>
      <c r="H3659" s="10"/>
      <c r="I3659" s="10"/>
      <c r="J3659" s="10"/>
      <c r="K3659" s="46"/>
      <c r="L3659" s="10"/>
      <c r="M3659" s="44" t="s">
        <v>10178</v>
      </c>
      <c r="N3659" s="45"/>
      <c r="O3659" s="20"/>
      <c r="P3659" s="20"/>
      <c r="Q3659" s="20"/>
      <c r="R3659" s="20"/>
      <c r="S3659" s="20"/>
    </row>
    <row r="3660">
      <c r="A3660" s="23"/>
      <c r="B3660" s="21"/>
      <c r="C3660" s="23"/>
      <c r="D3660" s="24"/>
      <c r="E3660" s="14"/>
      <c r="F3660" s="14"/>
      <c r="G3660" s="14"/>
      <c r="H3660" s="23"/>
      <c r="I3660" s="23"/>
      <c r="J3660" s="23"/>
      <c r="K3660" s="30"/>
      <c r="L3660" s="23"/>
      <c r="M3660" s="50" t="s">
        <v>10178</v>
      </c>
      <c r="N3660" s="51"/>
      <c r="O3660" s="20"/>
      <c r="P3660" s="20"/>
      <c r="Q3660" s="20"/>
      <c r="R3660" s="20"/>
      <c r="S3660" s="20"/>
    </row>
    <row r="3661">
      <c r="A3661" s="10"/>
      <c r="B3661" s="11"/>
      <c r="C3661" s="10"/>
      <c r="D3661" s="13"/>
      <c r="E3661" s="14"/>
      <c r="F3661" s="14"/>
      <c r="G3661" s="14"/>
      <c r="H3661" s="10"/>
      <c r="I3661" s="10"/>
      <c r="J3661" s="10"/>
      <c r="K3661" s="46"/>
      <c r="L3661" s="10"/>
      <c r="M3661" s="44" t="s">
        <v>10178</v>
      </c>
      <c r="N3661" s="45"/>
      <c r="O3661" s="20"/>
      <c r="P3661" s="20"/>
      <c r="Q3661" s="20"/>
      <c r="R3661" s="20"/>
      <c r="S3661" s="20"/>
    </row>
    <row r="3662">
      <c r="A3662" s="23"/>
      <c r="B3662" s="21"/>
      <c r="C3662" s="23"/>
      <c r="D3662" s="24"/>
      <c r="E3662" s="14"/>
      <c r="F3662" s="14"/>
      <c r="G3662" s="14"/>
      <c r="H3662" s="23"/>
      <c r="I3662" s="23"/>
      <c r="J3662" s="23"/>
      <c r="K3662" s="30"/>
      <c r="L3662" s="23"/>
      <c r="M3662" s="50" t="s">
        <v>10178</v>
      </c>
      <c r="N3662" s="51"/>
      <c r="O3662" s="20"/>
      <c r="P3662" s="20"/>
      <c r="Q3662" s="20"/>
      <c r="R3662" s="20"/>
      <c r="S3662" s="20"/>
    </row>
    <row r="3663">
      <c r="A3663" s="10"/>
      <c r="B3663" s="11"/>
      <c r="C3663" s="10"/>
      <c r="D3663" s="13"/>
      <c r="E3663" s="14"/>
      <c r="F3663" s="14"/>
      <c r="G3663" s="14"/>
      <c r="H3663" s="10"/>
      <c r="I3663" s="10"/>
      <c r="J3663" s="10"/>
      <c r="K3663" s="46"/>
      <c r="L3663" s="10"/>
      <c r="M3663" s="44" t="s">
        <v>10178</v>
      </c>
      <c r="N3663" s="45"/>
      <c r="O3663" s="20"/>
      <c r="P3663" s="20"/>
      <c r="Q3663" s="20"/>
      <c r="R3663" s="20"/>
      <c r="S3663" s="20"/>
    </row>
    <row r="3664">
      <c r="A3664" s="23"/>
      <c r="B3664" s="21"/>
      <c r="C3664" s="23"/>
      <c r="D3664" s="24"/>
      <c r="E3664" s="14"/>
      <c r="F3664" s="14"/>
      <c r="G3664" s="14"/>
      <c r="H3664" s="23"/>
      <c r="I3664" s="23"/>
      <c r="J3664" s="23"/>
      <c r="K3664" s="30"/>
      <c r="L3664" s="23"/>
      <c r="M3664" s="50" t="s">
        <v>10178</v>
      </c>
      <c r="N3664" s="51"/>
      <c r="O3664" s="20"/>
      <c r="P3664" s="20"/>
      <c r="Q3664" s="20"/>
      <c r="R3664" s="20"/>
      <c r="S3664" s="20"/>
    </row>
    <row r="3665">
      <c r="A3665" s="10"/>
      <c r="B3665" s="11"/>
      <c r="C3665" s="10"/>
      <c r="D3665" s="13"/>
      <c r="E3665" s="14"/>
      <c r="F3665" s="14"/>
      <c r="G3665" s="14"/>
      <c r="H3665" s="10"/>
      <c r="I3665" s="10"/>
      <c r="J3665" s="10"/>
      <c r="K3665" s="46"/>
      <c r="L3665" s="10"/>
      <c r="M3665" s="44" t="s">
        <v>10178</v>
      </c>
      <c r="N3665" s="45"/>
      <c r="O3665" s="20"/>
      <c r="P3665" s="20"/>
      <c r="Q3665" s="20"/>
      <c r="R3665" s="20"/>
      <c r="S3665" s="20"/>
    </row>
    <row r="3666">
      <c r="A3666" s="23"/>
      <c r="B3666" s="21"/>
      <c r="C3666" s="23"/>
      <c r="D3666" s="24"/>
      <c r="E3666" s="14"/>
      <c r="F3666" s="14"/>
      <c r="G3666" s="14"/>
      <c r="H3666" s="23"/>
      <c r="I3666" s="23"/>
      <c r="J3666" s="23"/>
      <c r="K3666" s="30"/>
      <c r="L3666" s="23"/>
      <c r="M3666" s="50" t="s">
        <v>10178</v>
      </c>
      <c r="N3666" s="51"/>
      <c r="O3666" s="20"/>
      <c r="P3666" s="20"/>
      <c r="Q3666" s="20"/>
      <c r="R3666" s="20"/>
      <c r="S3666" s="20"/>
    </row>
    <row r="3667">
      <c r="A3667" s="10"/>
      <c r="B3667" s="11"/>
      <c r="C3667" s="10"/>
      <c r="D3667" s="13"/>
      <c r="E3667" s="14"/>
      <c r="F3667" s="14"/>
      <c r="G3667" s="14"/>
      <c r="H3667" s="10"/>
      <c r="I3667" s="10"/>
      <c r="J3667" s="10"/>
      <c r="K3667" s="46"/>
      <c r="L3667" s="10"/>
      <c r="M3667" s="44" t="s">
        <v>10178</v>
      </c>
      <c r="N3667" s="45"/>
      <c r="O3667" s="20"/>
      <c r="P3667" s="20"/>
      <c r="Q3667" s="20"/>
      <c r="R3667" s="20"/>
      <c r="S3667" s="20"/>
    </row>
    <row r="3668">
      <c r="A3668" s="23"/>
      <c r="B3668" s="21"/>
      <c r="C3668" s="23"/>
      <c r="D3668" s="24"/>
      <c r="E3668" s="14"/>
      <c r="F3668" s="14"/>
      <c r="G3668" s="14"/>
      <c r="H3668" s="23"/>
      <c r="I3668" s="23"/>
      <c r="J3668" s="23"/>
      <c r="K3668" s="30"/>
      <c r="L3668" s="23"/>
      <c r="M3668" s="50" t="s">
        <v>10178</v>
      </c>
      <c r="N3668" s="51"/>
      <c r="O3668" s="20"/>
      <c r="P3668" s="20"/>
      <c r="Q3668" s="20"/>
      <c r="R3668" s="20"/>
      <c r="S3668" s="20"/>
    </row>
    <row r="3669">
      <c r="A3669" s="10"/>
      <c r="B3669" s="11"/>
      <c r="C3669" s="10"/>
      <c r="D3669" s="13"/>
      <c r="E3669" s="14"/>
      <c r="F3669" s="14"/>
      <c r="G3669" s="14"/>
      <c r="H3669" s="10"/>
      <c r="I3669" s="10"/>
      <c r="J3669" s="10"/>
      <c r="K3669" s="46"/>
      <c r="L3669" s="10"/>
      <c r="M3669" s="44" t="s">
        <v>10178</v>
      </c>
      <c r="N3669" s="45"/>
      <c r="O3669" s="20"/>
      <c r="P3669" s="20"/>
      <c r="Q3669" s="20"/>
      <c r="R3669" s="20"/>
      <c r="S3669" s="20"/>
    </row>
    <row r="3670">
      <c r="A3670" s="23"/>
      <c r="B3670" s="21"/>
      <c r="C3670" s="23"/>
      <c r="D3670" s="24"/>
      <c r="E3670" s="14"/>
      <c r="F3670" s="14"/>
      <c r="G3670" s="14"/>
      <c r="H3670" s="23"/>
      <c r="I3670" s="23"/>
      <c r="J3670" s="23"/>
      <c r="K3670" s="30"/>
      <c r="L3670" s="23"/>
      <c r="M3670" s="50" t="s">
        <v>10178</v>
      </c>
      <c r="N3670" s="51"/>
      <c r="O3670" s="20"/>
      <c r="P3670" s="20"/>
      <c r="Q3670" s="20"/>
      <c r="R3670" s="20"/>
      <c r="S3670" s="20"/>
    </row>
    <row r="3671">
      <c r="A3671" s="10"/>
      <c r="B3671" s="11"/>
      <c r="C3671" s="10"/>
      <c r="D3671" s="13"/>
      <c r="E3671" s="14"/>
      <c r="F3671" s="14"/>
      <c r="G3671" s="14"/>
      <c r="H3671" s="10"/>
      <c r="I3671" s="10"/>
      <c r="J3671" s="10"/>
      <c r="K3671" s="46"/>
      <c r="L3671" s="10"/>
      <c r="M3671" s="44" t="s">
        <v>10178</v>
      </c>
      <c r="N3671" s="45"/>
      <c r="O3671" s="20"/>
      <c r="P3671" s="20"/>
      <c r="Q3671" s="20"/>
      <c r="R3671" s="20"/>
      <c r="S3671" s="20"/>
    </row>
    <row r="3672">
      <c r="A3672" s="23"/>
      <c r="B3672" s="21"/>
      <c r="C3672" s="23"/>
      <c r="D3672" s="24"/>
      <c r="E3672" s="14"/>
      <c r="F3672" s="14"/>
      <c r="G3672" s="14"/>
      <c r="H3672" s="23"/>
      <c r="I3672" s="23"/>
      <c r="J3672" s="23"/>
      <c r="K3672" s="30"/>
      <c r="L3672" s="23"/>
      <c r="M3672" s="50" t="s">
        <v>10178</v>
      </c>
      <c r="N3672" s="51"/>
      <c r="O3672" s="20"/>
      <c r="P3672" s="20"/>
      <c r="Q3672" s="20"/>
      <c r="R3672" s="20"/>
      <c r="S3672" s="20"/>
    </row>
    <row r="3673">
      <c r="A3673" s="10"/>
      <c r="B3673" s="11"/>
      <c r="C3673" s="10"/>
      <c r="D3673" s="13"/>
      <c r="E3673" s="14"/>
      <c r="F3673" s="14"/>
      <c r="G3673" s="14"/>
      <c r="H3673" s="10"/>
      <c r="I3673" s="10"/>
      <c r="J3673" s="10"/>
      <c r="K3673" s="46"/>
      <c r="L3673" s="10"/>
      <c r="M3673" s="44" t="s">
        <v>10178</v>
      </c>
      <c r="N3673" s="45"/>
      <c r="O3673" s="20"/>
      <c r="P3673" s="20"/>
      <c r="Q3673" s="20"/>
      <c r="R3673" s="20"/>
      <c r="S3673" s="20"/>
    </row>
    <row r="3674">
      <c r="A3674" s="23"/>
      <c r="B3674" s="21"/>
      <c r="C3674" s="23"/>
      <c r="D3674" s="24"/>
      <c r="E3674" s="14"/>
      <c r="F3674" s="14"/>
      <c r="G3674" s="14"/>
      <c r="H3674" s="23"/>
      <c r="I3674" s="23"/>
      <c r="J3674" s="23"/>
      <c r="K3674" s="30"/>
      <c r="L3674" s="23"/>
      <c r="M3674" s="50" t="s">
        <v>10178</v>
      </c>
      <c r="N3674" s="51"/>
      <c r="O3674" s="20"/>
      <c r="P3674" s="20"/>
      <c r="Q3674" s="20"/>
      <c r="R3674" s="20"/>
      <c r="S3674" s="20"/>
    </row>
    <row r="3675">
      <c r="A3675" s="10"/>
      <c r="B3675" s="11"/>
      <c r="C3675" s="10"/>
      <c r="D3675" s="13"/>
      <c r="E3675" s="14"/>
      <c r="F3675" s="14"/>
      <c r="G3675" s="14"/>
      <c r="H3675" s="10"/>
      <c r="I3675" s="10"/>
      <c r="J3675" s="10"/>
      <c r="K3675" s="46"/>
      <c r="L3675" s="10"/>
      <c r="M3675" s="44" t="s">
        <v>10178</v>
      </c>
      <c r="N3675" s="45"/>
      <c r="O3675" s="20"/>
      <c r="P3675" s="20"/>
      <c r="Q3675" s="20"/>
      <c r="R3675" s="20"/>
      <c r="S3675" s="20"/>
    </row>
    <row r="3676">
      <c r="A3676" s="23"/>
      <c r="B3676" s="21"/>
      <c r="C3676" s="23"/>
      <c r="D3676" s="24"/>
      <c r="E3676" s="14"/>
      <c r="F3676" s="14"/>
      <c r="G3676" s="14"/>
      <c r="H3676" s="23"/>
      <c r="I3676" s="23"/>
      <c r="J3676" s="23"/>
      <c r="K3676" s="30"/>
      <c r="L3676" s="23"/>
      <c r="M3676" s="50" t="s">
        <v>10178</v>
      </c>
      <c r="N3676" s="51"/>
      <c r="O3676" s="20"/>
      <c r="P3676" s="20"/>
      <c r="Q3676" s="20"/>
      <c r="R3676" s="20"/>
      <c r="S3676" s="20"/>
    </row>
    <row r="3677">
      <c r="A3677" s="10"/>
      <c r="B3677" s="11"/>
      <c r="C3677" s="10"/>
      <c r="D3677" s="13"/>
      <c r="E3677" s="14"/>
      <c r="F3677" s="14"/>
      <c r="G3677" s="14"/>
      <c r="H3677" s="10"/>
      <c r="I3677" s="10"/>
      <c r="J3677" s="10"/>
      <c r="K3677" s="46"/>
      <c r="L3677" s="10"/>
      <c r="M3677" s="44" t="s">
        <v>10178</v>
      </c>
      <c r="N3677" s="45"/>
      <c r="O3677" s="20"/>
      <c r="P3677" s="20"/>
      <c r="Q3677" s="20"/>
      <c r="R3677" s="20"/>
      <c r="S3677" s="20"/>
    </row>
    <row r="3678">
      <c r="A3678" s="23"/>
      <c r="B3678" s="21"/>
      <c r="C3678" s="23"/>
      <c r="D3678" s="24"/>
      <c r="E3678" s="14"/>
      <c r="F3678" s="14"/>
      <c r="G3678" s="14"/>
      <c r="H3678" s="23"/>
      <c r="I3678" s="23"/>
      <c r="J3678" s="23"/>
      <c r="K3678" s="30"/>
      <c r="L3678" s="23"/>
      <c r="M3678" s="50" t="s">
        <v>10178</v>
      </c>
      <c r="N3678" s="51"/>
      <c r="O3678" s="20"/>
      <c r="P3678" s="20"/>
      <c r="Q3678" s="20"/>
      <c r="R3678" s="20"/>
      <c r="S3678" s="20"/>
    </row>
    <row r="3679">
      <c r="A3679" s="10"/>
      <c r="B3679" s="11"/>
      <c r="C3679" s="10"/>
      <c r="D3679" s="13"/>
      <c r="E3679" s="14"/>
      <c r="F3679" s="14"/>
      <c r="G3679" s="14"/>
      <c r="H3679" s="10"/>
      <c r="I3679" s="10"/>
      <c r="J3679" s="10"/>
      <c r="K3679" s="46"/>
      <c r="L3679" s="10"/>
      <c r="M3679" s="44" t="s">
        <v>10178</v>
      </c>
      <c r="N3679" s="45"/>
      <c r="O3679" s="20"/>
      <c r="P3679" s="20"/>
      <c r="Q3679" s="20"/>
      <c r="R3679" s="20"/>
      <c r="S3679" s="20"/>
    </row>
    <row r="3680">
      <c r="A3680" s="23"/>
      <c r="B3680" s="21"/>
      <c r="C3680" s="23"/>
      <c r="D3680" s="24"/>
      <c r="E3680" s="14"/>
      <c r="F3680" s="14"/>
      <c r="G3680" s="14"/>
      <c r="H3680" s="23"/>
      <c r="I3680" s="23"/>
      <c r="J3680" s="23"/>
      <c r="K3680" s="30"/>
      <c r="L3680" s="23"/>
      <c r="M3680" s="50" t="s">
        <v>10178</v>
      </c>
      <c r="N3680" s="51"/>
      <c r="O3680" s="20"/>
      <c r="P3680" s="20"/>
      <c r="Q3680" s="20"/>
      <c r="R3680" s="20"/>
      <c r="S3680" s="20"/>
    </row>
    <row r="3681">
      <c r="A3681" s="10"/>
      <c r="B3681" s="11"/>
      <c r="C3681" s="10"/>
      <c r="D3681" s="13"/>
      <c r="E3681" s="14"/>
      <c r="F3681" s="14"/>
      <c r="G3681" s="14"/>
      <c r="H3681" s="10"/>
      <c r="I3681" s="10"/>
      <c r="J3681" s="10"/>
      <c r="K3681" s="46"/>
      <c r="L3681" s="10"/>
      <c r="M3681" s="44" t="s">
        <v>10178</v>
      </c>
      <c r="N3681" s="45"/>
      <c r="O3681" s="20"/>
      <c r="P3681" s="20"/>
      <c r="Q3681" s="20"/>
      <c r="R3681" s="20"/>
      <c r="S3681" s="20"/>
    </row>
    <row r="3682">
      <c r="A3682" s="23"/>
      <c r="B3682" s="21"/>
      <c r="C3682" s="23"/>
      <c r="D3682" s="24"/>
      <c r="E3682" s="14"/>
      <c r="F3682" s="14"/>
      <c r="G3682" s="14"/>
      <c r="H3682" s="23"/>
      <c r="I3682" s="23"/>
      <c r="J3682" s="23"/>
      <c r="K3682" s="30"/>
      <c r="L3682" s="23"/>
      <c r="M3682" s="50" t="s">
        <v>10178</v>
      </c>
      <c r="N3682" s="51"/>
      <c r="O3682" s="20"/>
      <c r="P3682" s="20"/>
      <c r="Q3682" s="20"/>
      <c r="R3682" s="20"/>
      <c r="S3682" s="20"/>
    </row>
    <row r="3683">
      <c r="A3683" s="10"/>
      <c r="B3683" s="11"/>
      <c r="C3683" s="10"/>
      <c r="D3683" s="13"/>
      <c r="E3683" s="14"/>
      <c r="F3683" s="14"/>
      <c r="G3683" s="14"/>
      <c r="H3683" s="10"/>
      <c r="I3683" s="10"/>
      <c r="J3683" s="10"/>
      <c r="K3683" s="46"/>
      <c r="L3683" s="10"/>
      <c r="M3683" s="44" t="s">
        <v>10178</v>
      </c>
      <c r="N3683" s="45"/>
      <c r="O3683" s="20"/>
      <c r="P3683" s="20"/>
      <c r="Q3683" s="20"/>
      <c r="R3683" s="20"/>
      <c r="S3683" s="20"/>
    </row>
    <row r="3684">
      <c r="A3684" s="23"/>
      <c r="B3684" s="21"/>
      <c r="C3684" s="23"/>
      <c r="D3684" s="24"/>
      <c r="E3684" s="14"/>
      <c r="F3684" s="14"/>
      <c r="G3684" s="14"/>
      <c r="H3684" s="23"/>
      <c r="I3684" s="23"/>
      <c r="J3684" s="23"/>
      <c r="K3684" s="30"/>
      <c r="L3684" s="23"/>
      <c r="M3684" s="50" t="s">
        <v>10178</v>
      </c>
      <c r="N3684" s="51"/>
      <c r="O3684" s="20"/>
      <c r="P3684" s="20"/>
      <c r="Q3684" s="20"/>
      <c r="R3684" s="20"/>
      <c r="S3684" s="20"/>
    </row>
    <row r="3685">
      <c r="A3685" s="10"/>
      <c r="B3685" s="11"/>
      <c r="C3685" s="10"/>
      <c r="D3685" s="13"/>
      <c r="E3685" s="14"/>
      <c r="F3685" s="14"/>
      <c r="G3685" s="14"/>
      <c r="H3685" s="10"/>
      <c r="I3685" s="10"/>
      <c r="J3685" s="10"/>
      <c r="K3685" s="46"/>
      <c r="L3685" s="10"/>
      <c r="M3685" s="44" t="s">
        <v>10178</v>
      </c>
      <c r="N3685" s="45"/>
      <c r="O3685" s="20"/>
      <c r="P3685" s="20"/>
      <c r="Q3685" s="20"/>
      <c r="R3685" s="20"/>
      <c r="S3685" s="20"/>
    </row>
    <row r="3686">
      <c r="A3686" s="23"/>
      <c r="B3686" s="21"/>
      <c r="C3686" s="23"/>
      <c r="D3686" s="24"/>
      <c r="E3686" s="14"/>
      <c r="F3686" s="14"/>
      <c r="G3686" s="14"/>
      <c r="H3686" s="23"/>
      <c r="I3686" s="23"/>
      <c r="J3686" s="23"/>
      <c r="K3686" s="30"/>
      <c r="L3686" s="23"/>
      <c r="M3686" s="50" t="s">
        <v>10178</v>
      </c>
      <c r="N3686" s="51"/>
      <c r="O3686" s="20"/>
      <c r="P3686" s="20"/>
      <c r="Q3686" s="20"/>
      <c r="R3686" s="20"/>
      <c r="S3686" s="20"/>
    </row>
    <row r="3687">
      <c r="A3687" s="10"/>
      <c r="B3687" s="11"/>
      <c r="C3687" s="10"/>
      <c r="D3687" s="13"/>
      <c r="E3687" s="14"/>
      <c r="F3687" s="14"/>
      <c r="G3687" s="14"/>
      <c r="H3687" s="10"/>
      <c r="I3687" s="10"/>
      <c r="J3687" s="10"/>
      <c r="K3687" s="46"/>
      <c r="L3687" s="10"/>
      <c r="M3687" s="44" t="s">
        <v>10178</v>
      </c>
      <c r="N3687" s="45"/>
      <c r="O3687" s="20"/>
      <c r="P3687" s="20"/>
      <c r="Q3687" s="20"/>
      <c r="R3687" s="20"/>
      <c r="S3687" s="20"/>
    </row>
    <row r="3688">
      <c r="A3688" s="23"/>
      <c r="B3688" s="21"/>
      <c r="C3688" s="23"/>
      <c r="D3688" s="24"/>
      <c r="E3688" s="14"/>
      <c r="F3688" s="14"/>
      <c r="G3688" s="14"/>
      <c r="H3688" s="23"/>
      <c r="I3688" s="23"/>
      <c r="J3688" s="23"/>
      <c r="K3688" s="30"/>
      <c r="L3688" s="23"/>
      <c r="M3688" s="50" t="s">
        <v>10178</v>
      </c>
      <c r="N3688" s="51"/>
      <c r="O3688" s="20"/>
      <c r="P3688" s="20"/>
      <c r="Q3688" s="20"/>
      <c r="R3688" s="20"/>
      <c r="S3688" s="20"/>
    </row>
    <row r="3689">
      <c r="A3689" s="10"/>
      <c r="B3689" s="11"/>
      <c r="C3689" s="10"/>
      <c r="D3689" s="13"/>
      <c r="E3689" s="14"/>
      <c r="F3689" s="14"/>
      <c r="G3689" s="14"/>
      <c r="H3689" s="10"/>
      <c r="I3689" s="10"/>
      <c r="J3689" s="10"/>
      <c r="K3689" s="46"/>
      <c r="L3689" s="10"/>
      <c r="M3689" s="44" t="s">
        <v>10178</v>
      </c>
      <c r="N3689" s="45"/>
      <c r="O3689" s="20"/>
      <c r="P3689" s="20"/>
      <c r="Q3689" s="20"/>
      <c r="R3689" s="20"/>
      <c r="S3689" s="20"/>
    </row>
    <row r="3690">
      <c r="A3690" s="23"/>
      <c r="B3690" s="21"/>
      <c r="C3690" s="23"/>
      <c r="D3690" s="24"/>
      <c r="E3690" s="14"/>
      <c r="F3690" s="14"/>
      <c r="G3690" s="14"/>
      <c r="H3690" s="23"/>
      <c r="I3690" s="23"/>
      <c r="J3690" s="23"/>
      <c r="K3690" s="30"/>
      <c r="L3690" s="23"/>
      <c r="M3690" s="50" t="s">
        <v>10178</v>
      </c>
      <c r="N3690" s="51"/>
      <c r="O3690" s="20"/>
      <c r="P3690" s="20"/>
      <c r="Q3690" s="20"/>
      <c r="R3690" s="20"/>
      <c r="S3690" s="20"/>
    </row>
    <row r="3691">
      <c r="A3691" s="10"/>
      <c r="B3691" s="11"/>
      <c r="C3691" s="10"/>
      <c r="D3691" s="13"/>
      <c r="E3691" s="14"/>
      <c r="F3691" s="14"/>
      <c r="G3691" s="14"/>
      <c r="H3691" s="10"/>
      <c r="I3691" s="10"/>
      <c r="J3691" s="10"/>
      <c r="K3691" s="46"/>
      <c r="L3691" s="10"/>
      <c r="M3691" s="44" t="s">
        <v>10178</v>
      </c>
      <c r="N3691" s="45"/>
      <c r="O3691" s="20"/>
      <c r="P3691" s="20"/>
      <c r="Q3691" s="20"/>
      <c r="R3691" s="20"/>
      <c r="S3691" s="20"/>
    </row>
    <row r="3692">
      <c r="A3692" s="23"/>
      <c r="B3692" s="21"/>
      <c r="C3692" s="23"/>
      <c r="D3692" s="24"/>
      <c r="E3692" s="14"/>
      <c r="F3692" s="14"/>
      <c r="G3692" s="14"/>
      <c r="H3692" s="23"/>
      <c r="I3692" s="23"/>
      <c r="J3692" s="23"/>
      <c r="K3692" s="30"/>
      <c r="L3692" s="23"/>
      <c r="M3692" s="50" t="s">
        <v>10178</v>
      </c>
      <c r="N3692" s="51"/>
      <c r="O3692" s="20"/>
      <c r="P3692" s="20"/>
      <c r="Q3692" s="20"/>
      <c r="R3692" s="20"/>
      <c r="S3692" s="20"/>
    </row>
    <row r="3693">
      <c r="A3693" s="10"/>
      <c r="B3693" s="11"/>
      <c r="C3693" s="10"/>
      <c r="D3693" s="13"/>
      <c r="E3693" s="14"/>
      <c r="F3693" s="14"/>
      <c r="G3693" s="14"/>
      <c r="H3693" s="10"/>
      <c r="I3693" s="10"/>
      <c r="J3693" s="10"/>
      <c r="K3693" s="46"/>
      <c r="L3693" s="10"/>
      <c r="M3693" s="44" t="s">
        <v>10178</v>
      </c>
      <c r="N3693" s="45"/>
      <c r="O3693" s="20"/>
      <c r="P3693" s="20"/>
      <c r="Q3693" s="20"/>
      <c r="R3693" s="20"/>
      <c r="S3693" s="20"/>
    </row>
    <row r="3694">
      <c r="A3694" s="23"/>
      <c r="B3694" s="21"/>
      <c r="C3694" s="23"/>
      <c r="D3694" s="24"/>
      <c r="E3694" s="14"/>
      <c r="F3694" s="14"/>
      <c r="G3694" s="14"/>
      <c r="H3694" s="23"/>
      <c r="I3694" s="23"/>
      <c r="J3694" s="23"/>
      <c r="K3694" s="30"/>
      <c r="L3694" s="23"/>
      <c r="M3694" s="50" t="s">
        <v>10178</v>
      </c>
      <c r="N3694" s="51"/>
      <c r="O3694" s="20"/>
      <c r="P3694" s="20"/>
      <c r="Q3694" s="20"/>
      <c r="R3694" s="20"/>
      <c r="S3694" s="20"/>
    </row>
    <row r="3695">
      <c r="A3695" s="10"/>
      <c r="B3695" s="11"/>
      <c r="C3695" s="10"/>
      <c r="D3695" s="13"/>
      <c r="E3695" s="14"/>
      <c r="F3695" s="14"/>
      <c r="G3695" s="14"/>
      <c r="H3695" s="10"/>
      <c r="I3695" s="10"/>
      <c r="J3695" s="10"/>
      <c r="K3695" s="46"/>
      <c r="L3695" s="10"/>
      <c r="M3695" s="44" t="s">
        <v>10178</v>
      </c>
      <c r="N3695" s="45"/>
      <c r="O3695" s="20"/>
      <c r="P3695" s="20"/>
      <c r="Q3695" s="20"/>
      <c r="R3695" s="20"/>
      <c r="S3695" s="20"/>
    </row>
    <row r="3696">
      <c r="A3696" s="23"/>
      <c r="B3696" s="21"/>
      <c r="C3696" s="23"/>
      <c r="D3696" s="24"/>
      <c r="E3696" s="14"/>
      <c r="F3696" s="14"/>
      <c r="G3696" s="14"/>
      <c r="H3696" s="23"/>
      <c r="I3696" s="23"/>
      <c r="J3696" s="23"/>
      <c r="K3696" s="30"/>
      <c r="L3696" s="23"/>
      <c r="M3696" s="50" t="s">
        <v>10178</v>
      </c>
      <c r="N3696" s="51"/>
      <c r="O3696" s="20"/>
      <c r="P3696" s="20"/>
      <c r="Q3696" s="20"/>
      <c r="R3696" s="20"/>
      <c r="S3696" s="20"/>
    </row>
    <row r="3697">
      <c r="A3697" s="10"/>
      <c r="B3697" s="11"/>
      <c r="C3697" s="10"/>
      <c r="D3697" s="13"/>
      <c r="E3697" s="14"/>
      <c r="F3697" s="14"/>
      <c r="G3697" s="14"/>
      <c r="H3697" s="10"/>
      <c r="I3697" s="10"/>
      <c r="J3697" s="10"/>
      <c r="K3697" s="46"/>
      <c r="L3697" s="10"/>
      <c r="M3697" s="44" t="s">
        <v>10178</v>
      </c>
      <c r="N3697" s="45"/>
      <c r="O3697" s="20"/>
      <c r="P3697" s="20"/>
      <c r="Q3697" s="20"/>
      <c r="R3697" s="20"/>
      <c r="S3697" s="20"/>
    </row>
    <row r="3698">
      <c r="A3698" s="23"/>
      <c r="B3698" s="21"/>
      <c r="C3698" s="23"/>
      <c r="D3698" s="24"/>
      <c r="E3698" s="14"/>
      <c r="F3698" s="14"/>
      <c r="G3698" s="14"/>
      <c r="H3698" s="23"/>
      <c r="I3698" s="23"/>
      <c r="J3698" s="23"/>
      <c r="K3698" s="30"/>
      <c r="L3698" s="23"/>
      <c r="M3698" s="50" t="s">
        <v>10178</v>
      </c>
      <c r="N3698" s="51"/>
      <c r="O3698" s="20"/>
      <c r="P3698" s="20"/>
      <c r="Q3698" s="20"/>
      <c r="R3698" s="20"/>
      <c r="S3698" s="20"/>
    </row>
    <row r="3699">
      <c r="A3699" s="10"/>
      <c r="B3699" s="11"/>
      <c r="C3699" s="10"/>
      <c r="D3699" s="13"/>
      <c r="E3699" s="14"/>
      <c r="F3699" s="14"/>
      <c r="G3699" s="14"/>
      <c r="H3699" s="10"/>
      <c r="I3699" s="10"/>
      <c r="J3699" s="10"/>
      <c r="K3699" s="46"/>
      <c r="L3699" s="10"/>
      <c r="M3699" s="44" t="s">
        <v>10178</v>
      </c>
      <c r="N3699" s="45"/>
      <c r="O3699" s="20"/>
      <c r="P3699" s="20"/>
      <c r="Q3699" s="20"/>
      <c r="R3699" s="20"/>
      <c r="S3699" s="20"/>
    </row>
    <row r="3700">
      <c r="A3700" s="23"/>
      <c r="B3700" s="21"/>
      <c r="C3700" s="23"/>
      <c r="D3700" s="24"/>
      <c r="E3700" s="14"/>
      <c r="F3700" s="14"/>
      <c r="G3700" s="14"/>
      <c r="H3700" s="23"/>
      <c r="I3700" s="23"/>
      <c r="J3700" s="23"/>
      <c r="K3700" s="30"/>
      <c r="L3700" s="23"/>
      <c r="M3700" s="50" t="s">
        <v>10178</v>
      </c>
      <c r="N3700" s="51"/>
      <c r="O3700" s="20"/>
      <c r="P3700" s="20"/>
      <c r="Q3700" s="20"/>
      <c r="R3700" s="20"/>
      <c r="S3700" s="20"/>
    </row>
    <row r="3701">
      <c r="A3701" s="10"/>
      <c r="B3701" s="11"/>
      <c r="C3701" s="10"/>
      <c r="D3701" s="13"/>
      <c r="E3701" s="14"/>
      <c r="F3701" s="14"/>
      <c r="G3701" s="14"/>
      <c r="H3701" s="10"/>
      <c r="I3701" s="10"/>
      <c r="J3701" s="10"/>
      <c r="K3701" s="46"/>
      <c r="L3701" s="10"/>
      <c r="M3701" s="44" t="s">
        <v>10178</v>
      </c>
      <c r="N3701" s="45"/>
      <c r="O3701" s="20"/>
      <c r="P3701" s="20"/>
      <c r="Q3701" s="20"/>
      <c r="R3701" s="20"/>
      <c r="S3701" s="20"/>
    </row>
    <row r="3702">
      <c r="A3702" s="23"/>
      <c r="B3702" s="21"/>
      <c r="C3702" s="23"/>
      <c r="D3702" s="24"/>
      <c r="E3702" s="14"/>
      <c r="F3702" s="14"/>
      <c r="G3702" s="14"/>
      <c r="H3702" s="23"/>
      <c r="I3702" s="23"/>
      <c r="J3702" s="23"/>
      <c r="K3702" s="30"/>
      <c r="L3702" s="23"/>
      <c r="M3702" s="50" t="s">
        <v>10178</v>
      </c>
      <c r="N3702" s="51"/>
      <c r="O3702" s="20"/>
      <c r="P3702" s="20"/>
      <c r="Q3702" s="20"/>
      <c r="R3702" s="20"/>
      <c r="S3702" s="20"/>
    </row>
    <row r="3703">
      <c r="A3703" s="10"/>
      <c r="B3703" s="11"/>
      <c r="C3703" s="10"/>
      <c r="D3703" s="13"/>
      <c r="E3703" s="14"/>
      <c r="F3703" s="14"/>
      <c r="G3703" s="14"/>
      <c r="H3703" s="10"/>
      <c r="I3703" s="10"/>
      <c r="J3703" s="10"/>
      <c r="K3703" s="46"/>
      <c r="L3703" s="10"/>
      <c r="M3703" s="44" t="s">
        <v>10178</v>
      </c>
      <c r="N3703" s="45"/>
      <c r="O3703" s="20"/>
      <c r="P3703" s="20"/>
      <c r="Q3703" s="20"/>
      <c r="R3703" s="20"/>
      <c r="S3703" s="20"/>
    </row>
    <row r="3704">
      <c r="A3704" s="23"/>
      <c r="B3704" s="21"/>
      <c r="C3704" s="23"/>
      <c r="D3704" s="24"/>
      <c r="E3704" s="14"/>
      <c r="F3704" s="14"/>
      <c r="G3704" s="14"/>
      <c r="H3704" s="23"/>
      <c r="I3704" s="23"/>
      <c r="J3704" s="23"/>
      <c r="K3704" s="30"/>
      <c r="L3704" s="23"/>
      <c r="M3704" s="50" t="s">
        <v>10178</v>
      </c>
      <c r="N3704" s="51"/>
      <c r="O3704" s="20"/>
      <c r="P3704" s="20"/>
      <c r="Q3704" s="20"/>
      <c r="R3704" s="20"/>
      <c r="S3704" s="20"/>
    </row>
    <row r="3705">
      <c r="A3705" s="10"/>
      <c r="B3705" s="11"/>
      <c r="C3705" s="10"/>
      <c r="D3705" s="13"/>
      <c r="E3705" s="14"/>
      <c r="F3705" s="14"/>
      <c r="G3705" s="14"/>
      <c r="H3705" s="10"/>
      <c r="I3705" s="10"/>
      <c r="J3705" s="10"/>
      <c r="K3705" s="46"/>
      <c r="L3705" s="10"/>
      <c r="M3705" s="44" t="s">
        <v>10178</v>
      </c>
      <c r="N3705" s="45"/>
      <c r="O3705" s="20"/>
      <c r="P3705" s="20"/>
      <c r="Q3705" s="20"/>
      <c r="R3705" s="20"/>
      <c r="S3705" s="20"/>
    </row>
    <row r="3706">
      <c r="A3706" s="23"/>
      <c r="B3706" s="21"/>
      <c r="C3706" s="23"/>
      <c r="D3706" s="24"/>
      <c r="E3706" s="14"/>
      <c r="F3706" s="14"/>
      <c r="G3706" s="14"/>
      <c r="H3706" s="23"/>
      <c r="I3706" s="23"/>
      <c r="J3706" s="23"/>
      <c r="K3706" s="30"/>
      <c r="L3706" s="23"/>
      <c r="M3706" s="50" t="s">
        <v>10178</v>
      </c>
      <c r="N3706" s="51"/>
      <c r="O3706" s="20"/>
      <c r="P3706" s="20"/>
      <c r="Q3706" s="20"/>
      <c r="R3706" s="20"/>
      <c r="S3706" s="20"/>
    </row>
    <row r="3707">
      <c r="A3707" s="10"/>
      <c r="B3707" s="11"/>
      <c r="C3707" s="10"/>
      <c r="D3707" s="13"/>
      <c r="E3707" s="14"/>
      <c r="F3707" s="14"/>
      <c r="G3707" s="14"/>
      <c r="H3707" s="10"/>
      <c r="I3707" s="10"/>
      <c r="J3707" s="10"/>
      <c r="K3707" s="46"/>
      <c r="L3707" s="10"/>
      <c r="M3707" s="44" t="s">
        <v>10178</v>
      </c>
      <c r="N3707" s="45"/>
      <c r="O3707" s="20"/>
      <c r="P3707" s="20"/>
      <c r="Q3707" s="20"/>
      <c r="R3707" s="20"/>
      <c r="S3707" s="20"/>
    </row>
    <row r="3708">
      <c r="A3708" s="23"/>
      <c r="B3708" s="21"/>
      <c r="C3708" s="23"/>
      <c r="D3708" s="24"/>
      <c r="E3708" s="14"/>
      <c r="F3708" s="14"/>
      <c r="G3708" s="14"/>
      <c r="H3708" s="23"/>
      <c r="I3708" s="23"/>
      <c r="J3708" s="23"/>
      <c r="K3708" s="30"/>
      <c r="L3708" s="23"/>
      <c r="M3708" s="50" t="s">
        <v>10178</v>
      </c>
      <c r="N3708" s="51"/>
      <c r="O3708" s="20"/>
      <c r="P3708" s="20"/>
      <c r="Q3708" s="20"/>
      <c r="R3708" s="20"/>
      <c r="S3708" s="20"/>
    </row>
    <row r="3709">
      <c r="A3709" s="10"/>
      <c r="B3709" s="11"/>
      <c r="C3709" s="10"/>
      <c r="D3709" s="13"/>
      <c r="E3709" s="14"/>
      <c r="F3709" s="14"/>
      <c r="G3709" s="14"/>
      <c r="H3709" s="10"/>
      <c r="I3709" s="10"/>
      <c r="J3709" s="10"/>
      <c r="K3709" s="46"/>
      <c r="L3709" s="10"/>
      <c r="M3709" s="44" t="s">
        <v>10178</v>
      </c>
      <c r="N3709" s="45"/>
      <c r="O3709" s="20"/>
      <c r="P3709" s="20"/>
      <c r="Q3709" s="20"/>
      <c r="R3709" s="20"/>
      <c r="S3709" s="20"/>
    </row>
    <row r="3710">
      <c r="A3710" s="23"/>
      <c r="B3710" s="21"/>
      <c r="C3710" s="23"/>
      <c r="D3710" s="24"/>
      <c r="E3710" s="14"/>
      <c r="F3710" s="14"/>
      <c r="G3710" s="14"/>
      <c r="H3710" s="23"/>
      <c r="I3710" s="23"/>
      <c r="J3710" s="23"/>
      <c r="K3710" s="30"/>
      <c r="L3710" s="23"/>
      <c r="M3710" s="50" t="s">
        <v>10178</v>
      </c>
      <c r="N3710" s="51"/>
      <c r="O3710" s="20"/>
      <c r="P3710" s="20"/>
      <c r="Q3710" s="20"/>
      <c r="R3710" s="20"/>
      <c r="S3710" s="20"/>
    </row>
    <row r="3711">
      <c r="A3711" s="10"/>
      <c r="B3711" s="11"/>
      <c r="C3711" s="10"/>
      <c r="D3711" s="13"/>
      <c r="E3711" s="14"/>
      <c r="F3711" s="14"/>
      <c r="G3711" s="14"/>
      <c r="H3711" s="10"/>
      <c r="I3711" s="10"/>
      <c r="J3711" s="10"/>
      <c r="K3711" s="46"/>
      <c r="L3711" s="10"/>
      <c r="M3711" s="44" t="s">
        <v>10178</v>
      </c>
      <c r="N3711" s="45"/>
      <c r="O3711" s="20"/>
      <c r="P3711" s="20"/>
      <c r="Q3711" s="20"/>
      <c r="R3711" s="20"/>
      <c r="S3711" s="20"/>
    </row>
    <row r="3712">
      <c r="A3712" s="23"/>
      <c r="B3712" s="21"/>
      <c r="C3712" s="23"/>
      <c r="D3712" s="24"/>
      <c r="E3712" s="14"/>
      <c r="F3712" s="14"/>
      <c r="G3712" s="14"/>
      <c r="H3712" s="23"/>
      <c r="I3712" s="23"/>
      <c r="J3712" s="23"/>
      <c r="K3712" s="30"/>
      <c r="L3712" s="23"/>
      <c r="M3712" s="50" t="s">
        <v>10178</v>
      </c>
      <c r="N3712" s="51"/>
      <c r="O3712" s="20"/>
      <c r="P3712" s="20"/>
      <c r="Q3712" s="20"/>
      <c r="R3712" s="20"/>
      <c r="S3712" s="20"/>
    </row>
    <row r="3713">
      <c r="A3713" s="10"/>
      <c r="B3713" s="11"/>
      <c r="C3713" s="10"/>
      <c r="D3713" s="13"/>
      <c r="E3713" s="14"/>
      <c r="F3713" s="14"/>
      <c r="G3713" s="14"/>
      <c r="H3713" s="10"/>
      <c r="I3713" s="10"/>
      <c r="J3713" s="10"/>
      <c r="K3713" s="46"/>
      <c r="L3713" s="10"/>
      <c r="M3713" s="44" t="s">
        <v>10178</v>
      </c>
      <c r="N3713" s="45"/>
      <c r="O3713" s="20"/>
      <c r="P3713" s="20"/>
      <c r="Q3713" s="20"/>
      <c r="R3713" s="20"/>
      <c r="S3713" s="20"/>
    </row>
    <row r="3714">
      <c r="A3714" s="23"/>
      <c r="B3714" s="21"/>
      <c r="C3714" s="23"/>
      <c r="D3714" s="24"/>
      <c r="E3714" s="14"/>
      <c r="F3714" s="14"/>
      <c r="G3714" s="14"/>
      <c r="H3714" s="23"/>
      <c r="I3714" s="23"/>
      <c r="J3714" s="23"/>
      <c r="K3714" s="30"/>
      <c r="L3714" s="23"/>
      <c r="M3714" s="50" t="s">
        <v>10178</v>
      </c>
      <c r="N3714" s="51"/>
      <c r="O3714" s="20"/>
      <c r="P3714" s="20"/>
      <c r="Q3714" s="20"/>
      <c r="R3714" s="20"/>
      <c r="S3714" s="20"/>
    </row>
    <row r="3715">
      <c r="A3715" s="10"/>
      <c r="B3715" s="11"/>
      <c r="C3715" s="10"/>
      <c r="D3715" s="13"/>
      <c r="E3715" s="14"/>
      <c r="F3715" s="14"/>
      <c r="G3715" s="14"/>
      <c r="H3715" s="10"/>
      <c r="I3715" s="10"/>
      <c r="J3715" s="10"/>
      <c r="K3715" s="46"/>
      <c r="L3715" s="10"/>
      <c r="M3715" s="44" t="s">
        <v>10178</v>
      </c>
      <c r="N3715" s="45"/>
      <c r="O3715" s="20"/>
      <c r="P3715" s="20"/>
      <c r="Q3715" s="20"/>
      <c r="R3715" s="20"/>
      <c r="S3715" s="20"/>
    </row>
    <row r="3716">
      <c r="A3716" s="23"/>
      <c r="B3716" s="21"/>
      <c r="C3716" s="23"/>
      <c r="D3716" s="24"/>
      <c r="E3716" s="14"/>
      <c r="F3716" s="14"/>
      <c r="G3716" s="14"/>
      <c r="H3716" s="23"/>
      <c r="I3716" s="23"/>
      <c r="J3716" s="23"/>
      <c r="K3716" s="30"/>
      <c r="L3716" s="23"/>
      <c r="M3716" s="50" t="s">
        <v>10178</v>
      </c>
      <c r="N3716" s="51"/>
      <c r="O3716" s="20"/>
      <c r="P3716" s="20"/>
      <c r="Q3716" s="20"/>
      <c r="R3716" s="20"/>
      <c r="S3716" s="20"/>
    </row>
    <row r="3717">
      <c r="A3717" s="10"/>
      <c r="B3717" s="11"/>
      <c r="C3717" s="10"/>
      <c r="D3717" s="13"/>
      <c r="E3717" s="14"/>
      <c r="F3717" s="14"/>
      <c r="G3717" s="14"/>
      <c r="H3717" s="10"/>
      <c r="I3717" s="10"/>
      <c r="J3717" s="10"/>
      <c r="K3717" s="46"/>
      <c r="L3717" s="10"/>
      <c r="M3717" s="44" t="s">
        <v>10178</v>
      </c>
      <c r="N3717" s="45"/>
      <c r="O3717" s="20"/>
      <c r="P3717" s="20"/>
      <c r="Q3717" s="20"/>
      <c r="R3717" s="20"/>
      <c r="S3717" s="20"/>
    </row>
    <row r="3718">
      <c r="A3718" s="23"/>
      <c r="B3718" s="21"/>
      <c r="C3718" s="23"/>
      <c r="D3718" s="24"/>
      <c r="E3718" s="14"/>
      <c r="F3718" s="14"/>
      <c r="G3718" s="14"/>
      <c r="H3718" s="23"/>
      <c r="I3718" s="23"/>
      <c r="J3718" s="23"/>
      <c r="K3718" s="30"/>
      <c r="L3718" s="23"/>
      <c r="M3718" s="50" t="s">
        <v>10178</v>
      </c>
      <c r="N3718" s="51"/>
      <c r="O3718" s="20"/>
      <c r="P3718" s="20"/>
      <c r="Q3718" s="20"/>
      <c r="R3718" s="20"/>
      <c r="S3718" s="20"/>
    </row>
    <row r="3719">
      <c r="A3719" s="10"/>
      <c r="B3719" s="11"/>
      <c r="C3719" s="10"/>
      <c r="D3719" s="13"/>
      <c r="E3719" s="14"/>
      <c r="F3719" s="14"/>
      <c r="G3719" s="14"/>
      <c r="H3719" s="10"/>
      <c r="I3719" s="10"/>
      <c r="J3719" s="10"/>
      <c r="K3719" s="46"/>
      <c r="L3719" s="10"/>
      <c r="M3719" s="44" t="s">
        <v>10178</v>
      </c>
      <c r="N3719" s="45"/>
      <c r="O3719" s="20"/>
      <c r="P3719" s="20"/>
      <c r="Q3719" s="20"/>
      <c r="R3719" s="20"/>
      <c r="S3719" s="20"/>
    </row>
    <row r="3720">
      <c r="A3720" s="23"/>
      <c r="B3720" s="21"/>
      <c r="C3720" s="23"/>
      <c r="D3720" s="24"/>
      <c r="E3720" s="14"/>
      <c r="F3720" s="14"/>
      <c r="G3720" s="14"/>
      <c r="H3720" s="23"/>
      <c r="I3720" s="23"/>
      <c r="J3720" s="23"/>
      <c r="K3720" s="30"/>
      <c r="L3720" s="23"/>
      <c r="M3720" s="50" t="s">
        <v>10178</v>
      </c>
      <c r="N3720" s="51"/>
      <c r="O3720" s="20"/>
      <c r="P3720" s="20"/>
      <c r="Q3720" s="20"/>
      <c r="R3720" s="20"/>
      <c r="S3720" s="20"/>
    </row>
    <row r="3721">
      <c r="A3721" s="10"/>
      <c r="B3721" s="11"/>
      <c r="C3721" s="10"/>
      <c r="D3721" s="13"/>
      <c r="E3721" s="14"/>
      <c r="F3721" s="14"/>
      <c r="G3721" s="14"/>
      <c r="H3721" s="10"/>
      <c r="I3721" s="10"/>
      <c r="J3721" s="10"/>
      <c r="K3721" s="46"/>
      <c r="L3721" s="10"/>
      <c r="M3721" s="44" t="s">
        <v>10178</v>
      </c>
      <c r="N3721" s="45"/>
      <c r="O3721" s="20"/>
      <c r="P3721" s="20"/>
      <c r="Q3721" s="20"/>
      <c r="R3721" s="20"/>
      <c r="S3721" s="20"/>
    </row>
    <row r="3722">
      <c r="A3722" s="23"/>
      <c r="B3722" s="21"/>
      <c r="C3722" s="23"/>
      <c r="D3722" s="24"/>
      <c r="E3722" s="14"/>
      <c r="F3722" s="14"/>
      <c r="G3722" s="14"/>
      <c r="H3722" s="23"/>
      <c r="I3722" s="23"/>
      <c r="J3722" s="23"/>
      <c r="K3722" s="30"/>
      <c r="L3722" s="23"/>
      <c r="M3722" s="50" t="s">
        <v>10178</v>
      </c>
      <c r="N3722" s="51"/>
      <c r="O3722" s="20"/>
      <c r="P3722" s="20"/>
      <c r="Q3722" s="20"/>
      <c r="R3722" s="20"/>
      <c r="S3722" s="20"/>
    </row>
    <row r="3723">
      <c r="A3723" s="10"/>
      <c r="B3723" s="11"/>
      <c r="C3723" s="10"/>
      <c r="D3723" s="13"/>
      <c r="E3723" s="14"/>
      <c r="F3723" s="14"/>
      <c r="G3723" s="14"/>
      <c r="H3723" s="10"/>
      <c r="I3723" s="10"/>
      <c r="J3723" s="10"/>
      <c r="K3723" s="46"/>
      <c r="L3723" s="10"/>
      <c r="M3723" s="44" t="s">
        <v>10178</v>
      </c>
      <c r="N3723" s="45"/>
      <c r="O3723" s="20"/>
      <c r="P3723" s="20"/>
      <c r="Q3723" s="20"/>
      <c r="R3723" s="20"/>
      <c r="S3723" s="20"/>
    </row>
    <row r="3724">
      <c r="A3724" s="23"/>
      <c r="B3724" s="21"/>
      <c r="C3724" s="23"/>
      <c r="D3724" s="24"/>
      <c r="E3724" s="14"/>
      <c r="F3724" s="14"/>
      <c r="G3724" s="14"/>
      <c r="H3724" s="23"/>
      <c r="I3724" s="23"/>
      <c r="J3724" s="23"/>
      <c r="K3724" s="30"/>
      <c r="L3724" s="23"/>
      <c r="M3724" s="50" t="s">
        <v>10178</v>
      </c>
      <c r="N3724" s="51"/>
      <c r="O3724" s="20"/>
      <c r="P3724" s="20"/>
      <c r="Q3724" s="20"/>
      <c r="R3724" s="20"/>
      <c r="S3724" s="20"/>
    </row>
    <row r="3725">
      <c r="A3725" s="10"/>
      <c r="B3725" s="11"/>
      <c r="C3725" s="10"/>
      <c r="D3725" s="13"/>
      <c r="E3725" s="14"/>
      <c r="F3725" s="14"/>
      <c r="G3725" s="14"/>
      <c r="H3725" s="10"/>
      <c r="I3725" s="10"/>
      <c r="J3725" s="10"/>
      <c r="K3725" s="46"/>
      <c r="L3725" s="10"/>
      <c r="M3725" s="44" t="s">
        <v>10178</v>
      </c>
      <c r="N3725" s="45"/>
      <c r="O3725" s="20"/>
      <c r="P3725" s="20"/>
      <c r="Q3725" s="20"/>
      <c r="R3725" s="20"/>
      <c r="S3725" s="20"/>
    </row>
    <row r="3726">
      <c r="A3726" s="23"/>
      <c r="B3726" s="21"/>
      <c r="C3726" s="23"/>
      <c r="D3726" s="24"/>
      <c r="E3726" s="14"/>
      <c r="F3726" s="14"/>
      <c r="G3726" s="14"/>
      <c r="H3726" s="23"/>
      <c r="I3726" s="23"/>
      <c r="J3726" s="23"/>
      <c r="K3726" s="30"/>
      <c r="L3726" s="23"/>
      <c r="M3726" s="50" t="s">
        <v>10178</v>
      </c>
      <c r="N3726" s="51"/>
      <c r="O3726" s="20"/>
      <c r="P3726" s="20"/>
      <c r="Q3726" s="20"/>
      <c r="R3726" s="20"/>
      <c r="S3726" s="20"/>
    </row>
    <row r="3727">
      <c r="A3727" s="10"/>
      <c r="B3727" s="11"/>
      <c r="C3727" s="10"/>
      <c r="D3727" s="13"/>
      <c r="E3727" s="14"/>
      <c r="F3727" s="14"/>
      <c r="G3727" s="14"/>
      <c r="H3727" s="10"/>
      <c r="I3727" s="10"/>
      <c r="J3727" s="10"/>
      <c r="K3727" s="46"/>
      <c r="L3727" s="10"/>
      <c r="M3727" s="44" t="s">
        <v>10178</v>
      </c>
      <c r="N3727" s="45"/>
      <c r="O3727" s="20"/>
      <c r="P3727" s="20"/>
      <c r="Q3727" s="20"/>
      <c r="R3727" s="20"/>
      <c r="S3727" s="20"/>
    </row>
    <row r="3728">
      <c r="A3728" s="23"/>
      <c r="B3728" s="21"/>
      <c r="C3728" s="23"/>
      <c r="D3728" s="24"/>
      <c r="E3728" s="14"/>
      <c r="F3728" s="14"/>
      <c r="G3728" s="14"/>
      <c r="H3728" s="23"/>
      <c r="I3728" s="23"/>
      <c r="J3728" s="23"/>
      <c r="K3728" s="30"/>
      <c r="L3728" s="23"/>
      <c r="M3728" s="50" t="s">
        <v>10178</v>
      </c>
      <c r="N3728" s="51"/>
      <c r="O3728" s="20"/>
      <c r="P3728" s="20"/>
      <c r="Q3728" s="20"/>
      <c r="R3728" s="20"/>
      <c r="S3728" s="20"/>
    </row>
    <row r="3729">
      <c r="A3729" s="10"/>
      <c r="B3729" s="11"/>
      <c r="C3729" s="10"/>
      <c r="D3729" s="13"/>
      <c r="E3729" s="14"/>
      <c r="F3729" s="14"/>
      <c r="G3729" s="14"/>
      <c r="H3729" s="10"/>
      <c r="I3729" s="10"/>
      <c r="J3729" s="10"/>
      <c r="K3729" s="46"/>
      <c r="L3729" s="10"/>
      <c r="M3729" s="44" t="s">
        <v>10178</v>
      </c>
      <c r="N3729" s="45"/>
      <c r="O3729" s="20"/>
      <c r="P3729" s="20"/>
      <c r="Q3729" s="20"/>
      <c r="R3729" s="20"/>
      <c r="S3729" s="20"/>
    </row>
    <row r="3730">
      <c r="A3730" s="23"/>
      <c r="B3730" s="21"/>
      <c r="C3730" s="23"/>
      <c r="D3730" s="24"/>
      <c r="E3730" s="14"/>
      <c r="F3730" s="14"/>
      <c r="G3730" s="14"/>
      <c r="H3730" s="23"/>
      <c r="I3730" s="23"/>
      <c r="J3730" s="23"/>
      <c r="K3730" s="30"/>
      <c r="L3730" s="23"/>
      <c r="M3730" s="50" t="s">
        <v>10178</v>
      </c>
      <c r="N3730" s="51"/>
      <c r="O3730" s="20"/>
      <c r="P3730" s="20"/>
      <c r="Q3730" s="20"/>
      <c r="R3730" s="20"/>
      <c r="S3730" s="20"/>
    </row>
    <row r="3731">
      <c r="A3731" s="10"/>
      <c r="B3731" s="11"/>
      <c r="C3731" s="10"/>
      <c r="D3731" s="13"/>
      <c r="E3731" s="14"/>
      <c r="F3731" s="14"/>
      <c r="G3731" s="14"/>
      <c r="H3731" s="10"/>
      <c r="I3731" s="10"/>
      <c r="J3731" s="10"/>
      <c r="K3731" s="46"/>
      <c r="L3731" s="10"/>
      <c r="M3731" s="44" t="s">
        <v>10178</v>
      </c>
      <c r="N3731" s="45"/>
      <c r="O3731" s="20"/>
      <c r="P3731" s="20"/>
      <c r="Q3731" s="20"/>
      <c r="R3731" s="20"/>
      <c r="S3731" s="20"/>
    </row>
    <row r="3732">
      <c r="A3732" s="23"/>
      <c r="B3732" s="21"/>
      <c r="C3732" s="23"/>
      <c r="D3732" s="24"/>
      <c r="E3732" s="14"/>
      <c r="F3732" s="14"/>
      <c r="G3732" s="14"/>
      <c r="H3732" s="23"/>
      <c r="I3732" s="23"/>
      <c r="J3732" s="23"/>
      <c r="K3732" s="30"/>
      <c r="L3732" s="23"/>
      <c r="M3732" s="50" t="s">
        <v>10178</v>
      </c>
      <c r="N3732" s="51"/>
      <c r="O3732" s="20"/>
      <c r="P3732" s="20"/>
      <c r="Q3732" s="20"/>
      <c r="R3732" s="20"/>
      <c r="S3732" s="20"/>
    </row>
    <row r="3733">
      <c r="A3733" s="10"/>
      <c r="B3733" s="11"/>
      <c r="C3733" s="10"/>
      <c r="D3733" s="13"/>
      <c r="E3733" s="14"/>
      <c r="F3733" s="14"/>
      <c r="G3733" s="14"/>
      <c r="H3733" s="10"/>
      <c r="I3733" s="10"/>
      <c r="J3733" s="10"/>
      <c r="K3733" s="46"/>
      <c r="L3733" s="10"/>
      <c r="M3733" s="44" t="s">
        <v>10178</v>
      </c>
      <c r="N3733" s="45"/>
      <c r="O3733" s="20"/>
      <c r="P3733" s="20"/>
      <c r="Q3733" s="20"/>
      <c r="R3733" s="20"/>
      <c r="S3733" s="20"/>
    </row>
    <row r="3734">
      <c r="A3734" s="23"/>
      <c r="B3734" s="21"/>
      <c r="C3734" s="23"/>
      <c r="D3734" s="24"/>
      <c r="E3734" s="14"/>
      <c r="F3734" s="14"/>
      <c r="G3734" s="14"/>
      <c r="H3734" s="23"/>
      <c r="I3734" s="23"/>
      <c r="J3734" s="23"/>
      <c r="K3734" s="30"/>
      <c r="L3734" s="23"/>
      <c r="M3734" s="50" t="s">
        <v>10178</v>
      </c>
      <c r="N3734" s="51"/>
      <c r="O3734" s="20"/>
      <c r="P3734" s="20"/>
      <c r="Q3734" s="20"/>
      <c r="R3734" s="20"/>
      <c r="S3734" s="20"/>
    </row>
    <row r="3735">
      <c r="A3735" s="10"/>
      <c r="B3735" s="11"/>
      <c r="C3735" s="10"/>
      <c r="D3735" s="13"/>
      <c r="E3735" s="14"/>
      <c r="F3735" s="14"/>
      <c r="G3735" s="14"/>
      <c r="H3735" s="10"/>
      <c r="I3735" s="10"/>
      <c r="J3735" s="10"/>
      <c r="K3735" s="46"/>
      <c r="L3735" s="10"/>
      <c r="M3735" s="44" t="s">
        <v>10178</v>
      </c>
      <c r="N3735" s="45"/>
      <c r="O3735" s="20"/>
      <c r="P3735" s="20"/>
      <c r="Q3735" s="20"/>
      <c r="R3735" s="20"/>
      <c r="S3735" s="20"/>
    </row>
    <row r="3736">
      <c r="A3736" s="23"/>
      <c r="B3736" s="21"/>
      <c r="C3736" s="23"/>
      <c r="D3736" s="24"/>
      <c r="E3736" s="14"/>
      <c r="F3736" s="14"/>
      <c r="G3736" s="14"/>
      <c r="H3736" s="23"/>
      <c r="I3736" s="23"/>
      <c r="J3736" s="23"/>
      <c r="K3736" s="30"/>
      <c r="L3736" s="23"/>
      <c r="M3736" s="50" t="s">
        <v>10178</v>
      </c>
      <c r="N3736" s="51"/>
      <c r="O3736" s="20"/>
      <c r="P3736" s="20"/>
      <c r="Q3736" s="20"/>
      <c r="R3736" s="20"/>
      <c r="S3736" s="20"/>
    </row>
    <row r="3737">
      <c r="A3737" s="10"/>
      <c r="B3737" s="11"/>
      <c r="C3737" s="10"/>
      <c r="D3737" s="13"/>
      <c r="E3737" s="14"/>
      <c r="F3737" s="14"/>
      <c r="G3737" s="14"/>
      <c r="H3737" s="10"/>
      <c r="I3737" s="10"/>
      <c r="J3737" s="10"/>
      <c r="K3737" s="46"/>
      <c r="L3737" s="10"/>
      <c r="M3737" s="44" t="s">
        <v>10178</v>
      </c>
      <c r="N3737" s="45"/>
      <c r="O3737" s="20"/>
      <c r="P3737" s="20"/>
      <c r="Q3737" s="20"/>
      <c r="R3737" s="20"/>
      <c r="S3737" s="20"/>
    </row>
    <row r="3738">
      <c r="A3738" s="23"/>
      <c r="B3738" s="21"/>
      <c r="C3738" s="23"/>
      <c r="D3738" s="24"/>
      <c r="E3738" s="14"/>
      <c r="F3738" s="14"/>
      <c r="G3738" s="14"/>
      <c r="H3738" s="23"/>
      <c r="I3738" s="23"/>
      <c r="J3738" s="23"/>
      <c r="K3738" s="30"/>
      <c r="L3738" s="23"/>
      <c r="M3738" s="50" t="s">
        <v>10178</v>
      </c>
      <c r="N3738" s="51"/>
      <c r="O3738" s="20"/>
      <c r="P3738" s="20"/>
      <c r="Q3738" s="20"/>
      <c r="R3738" s="20"/>
      <c r="S3738" s="20"/>
    </row>
    <row r="3739">
      <c r="A3739" s="10"/>
      <c r="B3739" s="11"/>
      <c r="C3739" s="10"/>
      <c r="D3739" s="13"/>
      <c r="E3739" s="14"/>
      <c r="F3739" s="14"/>
      <c r="G3739" s="14"/>
      <c r="H3739" s="10"/>
      <c r="I3739" s="10"/>
      <c r="J3739" s="10"/>
      <c r="K3739" s="46"/>
      <c r="L3739" s="10"/>
      <c r="M3739" s="44" t="s">
        <v>10178</v>
      </c>
      <c r="N3739" s="45"/>
      <c r="O3739" s="20"/>
      <c r="P3739" s="20"/>
      <c r="Q3739" s="20"/>
      <c r="R3739" s="20"/>
      <c r="S3739" s="20"/>
    </row>
    <row r="3740">
      <c r="A3740" s="23"/>
      <c r="B3740" s="21"/>
      <c r="C3740" s="23"/>
      <c r="D3740" s="24"/>
      <c r="E3740" s="14"/>
      <c r="F3740" s="14"/>
      <c r="G3740" s="14"/>
      <c r="H3740" s="23"/>
      <c r="I3740" s="23"/>
      <c r="J3740" s="23"/>
      <c r="K3740" s="30"/>
      <c r="L3740" s="23"/>
      <c r="M3740" s="50" t="s">
        <v>10178</v>
      </c>
      <c r="N3740" s="51"/>
      <c r="O3740" s="20"/>
      <c r="P3740" s="20"/>
      <c r="Q3740" s="20"/>
      <c r="R3740" s="20"/>
      <c r="S3740" s="20"/>
    </row>
    <row r="3741">
      <c r="A3741" s="10"/>
      <c r="B3741" s="11"/>
      <c r="C3741" s="10"/>
      <c r="D3741" s="13"/>
      <c r="E3741" s="14"/>
      <c r="F3741" s="14"/>
      <c r="G3741" s="14"/>
      <c r="H3741" s="10"/>
      <c r="I3741" s="10"/>
      <c r="J3741" s="10"/>
      <c r="K3741" s="46"/>
      <c r="L3741" s="10"/>
      <c r="M3741" s="44" t="s">
        <v>10178</v>
      </c>
      <c r="N3741" s="45"/>
      <c r="O3741" s="20"/>
      <c r="P3741" s="20"/>
      <c r="Q3741" s="20"/>
      <c r="R3741" s="20"/>
      <c r="S3741" s="20"/>
    </row>
    <row r="3742">
      <c r="A3742" s="23"/>
      <c r="B3742" s="21"/>
      <c r="C3742" s="23"/>
      <c r="D3742" s="24"/>
      <c r="E3742" s="14"/>
      <c r="F3742" s="14"/>
      <c r="G3742" s="14"/>
      <c r="H3742" s="23"/>
      <c r="I3742" s="23"/>
      <c r="J3742" s="23"/>
      <c r="K3742" s="30"/>
      <c r="L3742" s="23"/>
      <c r="M3742" s="50" t="s">
        <v>10178</v>
      </c>
      <c r="N3742" s="51"/>
      <c r="O3742" s="20"/>
      <c r="P3742" s="20"/>
      <c r="Q3742" s="20"/>
      <c r="R3742" s="20"/>
      <c r="S3742" s="20"/>
    </row>
    <row r="3743">
      <c r="A3743" s="10"/>
      <c r="B3743" s="11"/>
      <c r="C3743" s="10"/>
      <c r="D3743" s="13"/>
      <c r="E3743" s="14"/>
      <c r="F3743" s="14"/>
      <c r="G3743" s="14"/>
      <c r="H3743" s="10"/>
      <c r="I3743" s="10"/>
      <c r="J3743" s="10"/>
      <c r="K3743" s="46"/>
      <c r="L3743" s="10"/>
      <c r="M3743" s="44" t="s">
        <v>10178</v>
      </c>
      <c r="N3743" s="45"/>
      <c r="O3743" s="20"/>
      <c r="P3743" s="20"/>
      <c r="Q3743" s="20"/>
      <c r="R3743" s="20"/>
      <c r="S3743" s="20"/>
    </row>
    <row r="3744">
      <c r="A3744" s="23"/>
      <c r="B3744" s="21"/>
      <c r="C3744" s="23"/>
      <c r="D3744" s="24"/>
      <c r="E3744" s="14"/>
      <c r="F3744" s="14"/>
      <c r="G3744" s="14"/>
      <c r="H3744" s="23"/>
      <c r="I3744" s="23"/>
      <c r="J3744" s="23"/>
      <c r="K3744" s="30"/>
      <c r="L3744" s="23"/>
      <c r="M3744" s="50" t="s">
        <v>10178</v>
      </c>
      <c r="N3744" s="51"/>
      <c r="O3744" s="20"/>
      <c r="P3744" s="20"/>
      <c r="Q3744" s="20"/>
      <c r="R3744" s="20"/>
      <c r="S3744" s="20"/>
    </row>
    <row r="3745">
      <c r="A3745" s="10"/>
      <c r="B3745" s="11"/>
      <c r="C3745" s="10"/>
      <c r="D3745" s="13"/>
      <c r="E3745" s="14"/>
      <c r="F3745" s="14"/>
      <c r="G3745" s="14"/>
      <c r="H3745" s="10"/>
      <c r="I3745" s="10"/>
      <c r="J3745" s="10"/>
      <c r="K3745" s="46"/>
      <c r="L3745" s="10"/>
      <c r="M3745" s="44" t="s">
        <v>10178</v>
      </c>
      <c r="N3745" s="45"/>
      <c r="O3745" s="20"/>
      <c r="P3745" s="20"/>
      <c r="Q3745" s="20"/>
      <c r="R3745" s="20"/>
      <c r="S3745" s="20"/>
    </row>
    <row r="3746">
      <c r="A3746" s="23"/>
      <c r="B3746" s="21"/>
      <c r="C3746" s="23"/>
      <c r="D3746" s="24"/>
      <c r="E3746" s="14"/>
      <c r="F3746" s="14"/>
      <c r="G3746" s="14"/>
      <c r="H3746" s="23"/>
      <c r="I3746" s="23"/>
      <c r="J3746" s="23"/>
      <c r="K3746" s="30"/>
      <c r="L3746" s="23"/>
      <c r="M3746" s="50" t="s">
        <v>10178</v>
      </c>
      <c r="N3746" s="51"/>
      <c r="O3746" s="20"/>
      <c r="P3746" s="20"/>
      <c r="Q3746" s="20"/>
      <c r="R3746" s="20"/>
      <c r="S3746" s="20"/>
    </row>
    <row r="3747">
      <c r="A3747" s="10"/>
      <c r="B3747" s="11"/>
      <c r="C3747" s="10"/>
      <c r="D3747" s="13"/>
      <c r="E3747" s="14"/>
      <c r="F3747" s="14"/>
      <c r="G3747" s="14"/>
      <c r="H3747" s="10"/>
      <c r="I3747" s="10"/>
      <c r="J3747" s="10"/>
      <c r="K3747" s="46"/>
      <c r="L3747" s="10"/>
      <c r="M3747" s="44" t="s">
        <v>10178</v>
      </c>
      <c r="N3747" s="45"/>
      <c r="O3747" s="20"/>
      <c r="P3747" s="20"/>
      <c r="Q3747" s="20"/>
      <c r="R3747" s="20"/>
      <c r="S3747" s="20"/>
    </row>
    <row r="3748">
      <c r="A3748" s="23"/>
      <c r="B3748" s="21"/>
      <c r="C3748" s="23"/>
      <c r="D3748" s="24"/>
      <c r="E3748" s="14"/>
      <c r="F3748" s="14"/>
      <c r="G3748" s="14"/>
      <c r="H3748" s="23"/>
      <c r="I3748" s="23"/>
      <c r="J3748" s="23"/>
      <c r="K3748" s="30"/>
      <c r="L3748" s="23"/>
      <c r="M3748" s="50" t="s">
        <v>10178</v>
      </c>
      <c r="N3748" s="51"/>
      <c r="O3748" s="20"/>
      <c r="P3748" s="20"/>
      <c r="Q3748" s="20"/>
      <c r="R3748" s="20"/>
      <c r="S3748" s="20"/>
    </row>
    <row r="3749">
      <c r="A3749" s="10"/>
      <c r="B3749" s="11"/>
      <c r="C3749" s="10"/>
      <c r="D3749" s="13"/>
      <c r="E3749" s="14"/>
      <c r="F3749" s="14"/>
      <c r="G3749" s="14"/>
      <c r="H3749" s="10"/>
      <c r="I3749" s="10"/>
      <c r="J3749" s="10"/>
      <c r="K3749" s="46"/>
      <c r="L3749" s="10"/>
      <c r="M3749" s="44" t="s">
        <v>10178</v>
      </c>
      <c r="N3749" s="45"/>
      <c r="O3749" s="20"/>
      <c r="P3749" s="20"/>
      <c r="Q3749" s="20"/>
      <c r="R3749" s="20"/>
      <c r="S3749" s="20"/>
    </row>
    <row r="3750">
      <c r="A3750" s="23"/>
      <c r="B3750" s="21"/>
      <c r="C3750" s="23"/>
      <c r="D3750" s="24"/>
      <c r="E3750" s="14"/>
      <c r="F3750" s="14"/>
      <c r="G3750" s="14"/>
      <c r="H3750" s="23"/>
      <c r="I3750" s="23"/>
      <c r="J3750" s="23"/>
      <c r="K3750" s="30"/>
      <c r="L3750" s="23"/>
      <c r="M3750" s="50" t="s">
        <v>10178</v>
      </c>
      <c r="N3750" s="51"/>
      <c r="O3750" s="20"/>
      <c r="P3750" s="20"/>
      <c r="Q3750" s="20"/>
      <c r="R3750" s="20"/>
      <c r="S3750" s="20"/>
    </row>
    <row r="3751">
      <c r="A3751" s="10"/>
      <c r="B3751" s="11"/>
      <c r="C3751" s="10"/>
      <c r="D3751" s="13"/>
      <c r="E3751" s="14"/>
      <c r="F3751" s="14"/>
      <c r="G3751" s="14"/>
      <c r="H3751" s="10"/>
      <c r="I3751" s="10"/>
      <c r="J3751" s="10"/>
      <c r="K3751" s="46"/>
      <c r="L3751" s="10"/>
      <c r="M3751" s="44" t="s">
        <v>10178</v>
      </c>
      <c r="N3751" s="45"/>
      <c r="O3751" s="20"/>
      <c r="P3751" s="20"/>
      <c r="Q3751" s="20"/>
      <c r="R3751" s="20"/>
      <c r="S3751" s="20"/>
    </row>
    <row r="3752">
      <c r="A3752" s="23"/>
      <c r="B3752" s="21"/>
      <c r="C3752" s="23"/>
      <c r="D3752" s="24"/>
      <c r="E3752" s="14"/>
      <c r="F3752" s="14"/>
      <c r="G3752" s="14"/>
      <c r="H3752" s="23"/>
      <c r="I3752" s="23"/>
      <c r="J3752" s="23"/>
      <c r="K3752" s="30"/>
      <c r="L3752" s="23"/>
      <c r="M3752" s="50" t="s">
        <v>10178</v>
      </c>
      <c r="N3752" s="51"/>
      <c r="O3752" s="20"/>
      <c r="P3752" s="20"/>
      <c r="Q3752" s="20"/>
      <c r="R3752" s="20"/>
      <c r="S3752" s="20"/>
    </row>
    <row r="3753">
      <c r="A3753" s="10"/>
      <c r="B3753" s="11"/>
      <c r="C3753" s="10"/>
      <c r="D3753" s="13"/>
      <c r="E3753" s="14"/>
      <c r="F3753" s="14"/>
      <c r="G3753" s="14"/>
      <c r="H3753" s="10"/>
      <c r="I3753" s="10"/>
      <c r="J3753" s="10"/>
      <c r="K3753" s="46"/>
      <c r="L3753" s="10"/>
      <c r="M3753" s="44" t="s">
        <v>10178</v>
      </c>
      <c r="N3753" s="45"/>
      <c r="O3753" s="20"/>
      <c r="P3753" s="20"/>
      <c r="Q3753" s="20"/>
      <c r="R3753" s="20"/>
      <c r="S3753" s="20"/>
    </row>
    <row r="3754">
      <c r="A3754" s="23"/>
      <c r="B3754" s="21"/>
      <c r="C3754" s="23"/>
      <c r="D3754" s="24"/>
      <c r="E3754" s="14"/>
      <c r="F3754" s="14"/>
      <c r="G3754" s="14"/>
      <c r="H3754" s="23"/>
      <c r="I3754" s="23"/>
      <c r="J3754" s="23"/>
      <c r="K3754" s="30"/>
      <c r="L3754" s="23"/>
      <c r="M3754" s="50" t="s">
        <v>10178</v>
      </c>
      <c r="N3754" s="51"/>
      <c r="O3754" s="20"/>
      <c r="P3754" s="20"/>
      <c r="Q3754" s="20"/>
      <c r="R3754" s="20"/>
      <c r="S3754" s="20"/>
    </row>
    <row r="3755">
      <c r="A3755" s="10"/>
      <c r="B3755" s="11"/>
      <c r="C3755" s="10"/>
      <c r="D3755" s="13"/>
      <c r="E3755" s="14"/>
      <c r="F3755" s="14"/>
      <c r="G3755" s="14"/>
      <c r="H3755" s="10"/>
      <c r="I3755" s="10"/>
      <c r="J3755" s="10"/>
      <c r="K3755" s="46"/>
      <c r="L3755" s="10"/>
      <c r="M3755" s="44" t="s">
        <v>10178</v>
      </c>
      <c r="N3755" s="45"/>
      <c r="O3755" s="20"/>
      <c r="P3755" s="20"/>
      <c r="Q3755" s="20"/>
      <c r="R3755" s="20"/>
      <c r="S3755" s="20"/>
    </row>
    <row r="3756">
      <c r="A3756" s="23"/>
      <c r="B3756" s="21"/>
      <c r="C3756" s="23"/>
      <c r="D3756" s="24"/>
      <c r="E3756" s="14"/>
      <c r="F3756" s="14"/>
      <c r="G3756" s="14"/>
      <c r="H3756" s="23"/>
      <c r="I3756" s="23"/>
      <c r="J3756" s="23"/>
      <c r="K3756" s="30"/>
      <c r="L3756" s="23"/>
      <c r="M3756" s="50" t="s">
        <v>10178</v>
      </c>
      <c r="N3756" s="51"/>
      <c r="O3756" s="20"/>
      <c r="P3756" s="20"/>
      <c r="Q3756" s="20"/>
      <c r="R3756" s="20"/>
      <c r="S3756" s="20"/>
    </row>
    <row r="3757">
      <c r="A3757" s="10"/>
      <c r="B3757" s="11"/>
      <c r="C3757" s="10"/>
      <c r="D3757" s="13"/>
      <c r="E3757" s="14"/>
      <c r="F3757" s="14"/>
      <c r="G3757" s="14"/>
      <c r="H3757" s="10"/>
      <c r="I3757" s="10"/>
      <c r="J3757" s="10"/>
      <c r="K3757" s="46"/>
      <c r="L3757" s="10"/>
      <c r="M3757" s="44" t="s">
        <v>10178</v>
      </c>
      <c r="N3757" s="45"/>
      <c r="O3757" s="20"/>
      <c r="P3757" s="20"/>
      <c r="Q3757" s="20"/>
      <c r="R3757" s="20"/>
      <c r="S3757" s="20"/>
    </row>
    <row r="3758">
      <c r="A3758" s="23"/>
      <c r="B3758" s="21"/>
      <c r="C3758" s="23"/>
      <c r="D3758" s="24"/>
      <c r="E3758" s="14"/>
      <c r="F3758" s="14"/>
      <c r="G3758" s="14"/>
      <c r="H3758" s="23"/>
      <c r="I3758" s="23"/>
      <c r="J3758" s="23"/>
      <c r="K3758" s="30"/>
      <c r="L3758" s="23"/>
      <c r="M3758" s="50" t="s">
        <v>10178</v>
      </c>
      <c r="N3758" s="51"/>
      <c r="O3758" s="20"/>
      <c r="P3758" s="20"/>
      <c r="Q3758" s="20"/>
      <c r="R3758" s="20"/>
      <c r="S3758" s="20"/>
    </row>
    <row r="3759">
      <c r="A3759" s="10"/>
      <c r="B3759" s="11"/>
      <c r="C3759" s="10"/>
      <c r="D3759" s="13"/>
      <c r="E3759" s="14"/>
      <c r="F3759" s="14"/>
      <c r="G3759" s="14"/>
      <c r="H3759" s="10"/>
      <c r="I3759" s="10"/>
      <c r="J3759" s="10"/>
      <c r="K3759" s="46"/>
      <c r="L3759" s="10"/>
      <c r="M3759" s="44" t="s">
        <v>10178</v>
      </c>
      <c r="N3759" s="45"/>
      <c r="O3759" s="20"/>
      <c r="P3759" s="20"/>
      <c r="Q3759" s="20"/>
      <c r="R3759" s="20"/>
      <c r="S3759" s="20"/>
    </row>
    <row r="3760">
      <c r="A3760" s="23"/>
      <c r="B3760" s="21"/>
      <c r="C3760" s="23"/>
      <c r="D3760" s="24"/>
      <c r="E3760" s="14"/>
      <c r="F3760" s="14"/>
      <c r="G3760" s="14"/>
      <c r="H3760" s="23"/>
      <c r="I3760" s="23"/>
      <c r="J3760" s="23"/>
      <c r="K3760" s="30"/>
      <c r="L3760" s="23"/>
      <c r="M3760" s="50" t="s">
        <v>10178</v>
      </c>
      <c r="N3760" s="51"/>
      <c r="O3760" s="20"/>
      <c r="P3760" s="20"/>
      <c r="Q3760" s="20"/>
      <c r="R3760" s="20"/>
      <c r="S3760" s="20"/>
    </row>
    <row r="3761">
      <c r="A3761" s="10"/>
      <c r="B3761" s="11"/>
      <c r="C3761" s="10"/>
      <c r="D3761" s="13"/>
      <c r="E3761" s="14"/>
      <c r="F3761" s="14"/>
      <c r="G3761" s="14"/>
      <c r="H3761" s="10"/>
      <c r="I3761" s="10"/>
      <c r="J3761" s="10"/>
      <c r="K3761" s="46"/>
      <c r="L3761" s="10"/>
      <c r="M3761" s="44" t="s">
        <v>10178</v>
      </c>
      <c r="N3761" s="45"/>
      <c r="O3761" s="20"/>
      <c r="P3761" s="20"/>
      <c r="Q3761" s="20"/>
      <c r="R3761" s="20"/>
      <c r="S3761" s="20"/>
    </row>
    <row r="3762">
      <c r="A3762" s="23"/>
      <c r="B3762" s="21"/>
      <c r="C3762" s="23"/>
      <c r="D3762" s="24"/>
      <c r="E3762" s="14"/>
      <c r="F3762" s="14"/>
      <c r="G3762" s="14"/>
      <c r="H3762" s="23"/>
      <c r="I3762" s="23"/>
      <c r="J3762" s="23"/>
      <c r="K3762" s="30"/>
      <c r="L3762" s="23"/>
      <c r="M3762" s="50" t="s">
        <v>10178</v>
      </c>
      <c r="N3762" s="51"/>
      <c r="O3762" s="20"/>
      <c r="P3762" s="20"/>
      <c r="Q3762" s="20"/>
      <c r="R3762" s="20"/>
      <c r="S3762" s="20"/>
    </row>
    <row r="3763">
      <c r="A3763" s="10"/>
      <c r="B3763" s="11"/>
      <c r="C3763" s="10"/>
      <c r="D3763" s="13"/>
      <c r="E3763" s="14"/>
      <c r="F3763" s="14"/>
      <c r="G3763" s="14"/>
      <c r="H3763" s="10"/>
      <c r="I3763" s="10"/>
      <c r="J3763" s="10"/>
      <c r="K3763" s="46"/>
      <c r="L3763" s="10"/>
      <c r="M3763" s="44" t="s">
        <v>10178</v>
      </c>
      <c r="N3763" s="45"/>
      <c r="O3763" s="20"/>
      <c r="P3763" s="20"/>
      <c r="Q3763" s="20"/>
      <c r="R3763" s="20"/>
      <c r="S3763" s="20"/>
    </row>
    <row r="3764">
      <c r="A3764" s="23"/>
      <c r="B3764" s="21"/>
      <c r="C3764" s="23"/>
      <c r="D3764" s="24"/>
      <c r="E3764" s="14"/>
      <c r="F3764" s="14"/>
      <c r="G3764" s="14"/>
      <c r="H3764" s="23"/>
      <c r="I3764" s="23"/>
      <c r="J3764" s="23"/>
      <c r="K3764" s="30"/>
      <c r="L3764" s="23"/>
      <c r="M3764" s="50" t="s">
        <v>10178</v>
      </c>
      <c r="N3764" s="51"/>
      <c r="O3764" s="20"/>
      <c r="P3764" s="20"/>
      <c r="Q3764" s="20"/>
      <c r="R3764" s="20"/>
      <c r="S3764" s="20"/>
    </row>
    <row r="3765">
      <c r="A3765" s="10"/>
      <c r="B3765" s="11"/>
      <c r="C3765" s="10"/>
      <c r="D3765" s="13"/>
      <c r="E3765" s="14"/>
      <c r="F3765" s="14"/>
      <c r="G3765" s="14"/>
      <c r="H3765" s="10"/>
      <c r="I3765" s="10"/>
      <c r="J3765" s="10"/>
      <c r="K3765" s="46"/>
      <c r="L3765" s="10"/>
      <c r="M3765" s="44" t="s">
        <v>10178</v>
      </c>
      <c r="N3765" s="45"/>
      <c r="O3765" s="20"/>
      <c r="P3765" s="20"/>
      <c r="Q3765" s="20"/>
      <c r="R3765" s="20"/>
      <c r="S3765" s="20"/>
    </row>
    <row r="3766">
      <c r="A3766" s="23"/>
      <c r="B3766" s="21"/>
      <c r="C3766" s="23"/>
      <c r="D3766" s="24"/>
      <c r="E3766" s="14"/>
      <c r="F3766" s="14"/>
      <c r="G3766" s="14"/>
      <c r="H3766" s="23"/>
      <c r="I3766" s="23"/>
      <c r="J3766" s="23"/>
      <c r="K3766" s="30"/>
      <c r="L3766" s="23"/>
      <c r="M3766" s="50" t="s">
        <v>10178</v>
      </c>
      <c r="N3766" s="51"/>
      <c r="O3766" s="20"/>
      <c r="P3766" s="20"/>
      <c r="Q3766" s="20"/>
      <c r="R3766" s="20"/>
      <c r="S3766" s="20"/>
    </row>
    <row r="3767">
      <c r="A3767" s="10"/>
      <c r="B3767" s="11"/>
      <c r="C3767" s="10"/>
      <c r="D3767" s="13"/>
      <c r="E3767" s="14"/>
      <c r="F3767" s="14"/>
      <c r="G3767" s="14"/>
      <c r="H3767" s="10"/>
      <c r="I3767" s="10"/>
      <c r="J3767" s="10"/>
      <c r="K3767" s="46"/>
      <c r="L3767" s="10"/>
      <c r="M3767" s="44" t="s">
        <v>10178</v>
      </c>
      <c r="N3767" s="45"/>
      <c r="O3767" s="20"/>
      <c r="P3767" s="20"/>
      <c r="Q3767" s="20"/>
      <c r="R3767" s="20"/>
      <c r="S3767" s="20"/>
    </row>
    <row r="3768">
      <c r="A3768" s="23"/>
      <c r="B3768" s="21"/>
      <c r="C3768" s="23"/>
      <c r="D3768" s="24"/>
      <c r="E3768" s="14"/>
      <c r="F3768" s="14"/>
      <c r="G3768" s="14"/>
      <c r="H3768" s="23"/>
      <c r="I3768" s="23"/>
      <c r="J3768" s="23"/>
      <c r="K3768" s="30"/>
      <c r="L3768" s="23"/>
      <c r="M3768" s="50" t="s">
        <v>10178</v>
      </c>
      <c r="N3768" s="51"/>
      <c r="O3768" s="20"/>
      <c r="P3768" s="20"/>
      <c r="Q3768" s="20"/>
      <c r="R3768" s="20"/>
      <c r="S3768" s="20"/>
    </row>
    <row r="3769">
      <c r="A3769" s="10"/>
      <c r="B3769" s="11"/>
      <c r="C3769" s="10"/>
      <c r="D3769" s="13"/>
      <c r="E3769" s="14"/>
      <c r="F3769" s="14"/>
      <c r="G3769" s="14"/>
      <c r="H3769" s="10"/>
      <c r="I3769" s="10"/>
      <c r="J3769" s="10"/>
      <c r="K3769" s="46"/>
      <c r="L3769" s="10"/>
      <c r="M3769" s="44" t="s">
        <v>10178</v>
      </c>
      <c r="N3769" s="45"/>
      <c r="O3769" s="20"/>
      <c r="P3769" s="20"/>
      <c r="Q3769" s="20"/>
      <c r="R3769" s="20"/>
      <c r="S3769" s="20"/>
    </row>
    <row r="3770">
      <c r="A3770" s="23"/>
      <c r="B3770" s="21"/>
      <c r="C3770" s="23"/>
      <c r="D3770" s="24"/>
      <c r="E3770" s="14"/>
      <c r="F3770" s="14"/>
      <c r="G3770" s="14"/>
      <c r="H3770" s="23"/>
      <c r="I3770" s="23"/>
      <c r="J3770" s="23"/>
      <c r="K3770" s="30"/>
      <c r="L3770" s="23"/>
      <c r="M3770" s="50" t="s">
        <v>10178</v>
      </c>
      <c r="N3770" s="51"/>
      <c r="O3770" s="20"/>
      <c r="P3770" s="20"/>
      <c r="Q3770" s="20"/>
      <c r="R3770" s="20"/>
      <c r="S3770" s="20"/>
    </row>
    <row r="3771">
      <c r="A3771" s="10"/>
      <c r="B3771" s="11"/>
      <c r="C3771" s="10"/>
      <c r="D3771" s="13"/>
      <c r="E3771" s="14"/>
      <c r="F3771" s="14"/>
      <c r="G3771" s="14"/>
      <c r="H3771" s="10"/>
      <c r="I3771" s="10"/>
      <c r="J3771" s="10"/>
      <c r="K3771" s="46"/>
      <c r="L3771" s="10"/>
      <c r="M3771" s="44" t="s">
        <v>10178</v>
      </c>
      <c r="N3771" s="45"/>
      <c r="O3771" s="20"/>
      <c r="P3771" s="20"/>
      <c r="Q3771" s="20"/>
      <c r="R3771" s="20"/>
      <c r="S3771" s="20"/>
    </row>
    <row r="3772">
      <c r="A3772" s="23"/>
      <c r="B3772" s="21"/>
      <c r="C3772" s="23"/>
      <c r="D3772" s="24"/>
      <c r="E3772" s="14"/>
      <c r="F3772" s="14"/>
      <c r="G3772" s="14"/>
      <c r="H3772" s="23"/>
      <c r="I3772" s="23"/>
      <c r="J3772" s="23"/>
      <c r="K3772" s="30"/>
      <c r="L3772" s="23"/>
      <c r="M3772" s="50" t="s">
        <v>10178</v>
      </c>
      <c r="N3772" s="51"/>
      <c r="O3772" s="20"/>
      <c r="P3772" s="20"/>
      <c r="Q3772" s="20"/>
      <c r="R3772" s="20"/>
      <c r="S3772" s="20"/>
    </row>
    <row r="3773">
      <c r="A3773" s="10"/>
      <c r="B3773" s="11"/>
      <c r="C3773" s="10"/>
      <c r="D3773" s="13"/>
      <c r="E3773" s="14"/>
      <c r="F3773" s="14"/>
      <c r="G3773" s="14"/>
      <c r="H3773" s="10"/>
      <c r="I3773" s="10"/>
      <c r="J3773" s="10"/>
      <c r="K3773" s="46"/>
      <c r="L3773" s="10"/>
      <c r="M3773" s="44" t="s">
        <v>10178</v>
      </c>
      <c r="N3773" s="45"/>
      <c r="O3773" s="20"/>
      <c r="P3773" s="20"/>
      <c r="Q3773" s="20"/>
      <c r="R3773" s="20"/>
      <c r="S3773" s="20"/>
    </row>
    <row r="3774">
      <c r="A3774" s="23"/>
      <c r="B3774" s="21"/>
      <c r="C3774" s="23"/>
      <c r="D3774" s="24"/>
      <c r="E3774" s="14"/>
      <c r="F3774" s="14"/>
      <c r="G3774" s="14"/>
      <c r="H3774" s="23"/>
      <c r="I3774" s="23"/>
      <c r="J3774" s="23"/>
      <c r="K3774" s="30"/>
      <c r="L3774" s="23"/>
      <c r="M3774" s="50" t="s">
        <v>10178</v>
      </c>
      <c r="N3774" s="51"/>
      <c r="O3774" s="20"/>
      <c r="P3774" s="20"/>
      <c r="Q3774" s="20"/>
      <c r="R3774" s="20"/>
      <c r="S3774" s="20"/>
    </row>
    <row r="3775">
      <c r="A3775" s="10"/>
      <c r="B3775" s="11"/>
      <c r="C3775" s="10"/>
      <c r="D3775" s="13"/>
      <c r="E3775" s="14"/>
      <c r="F3775" s="14"/>
      <c r="G3775" s="14"/>
      <c r="H3775" s="10"/>
      <c r="I3775" s="10"/>
      <c r="J3775" s="10"/>
      <c r="K3775" s="46"/>
      <c r="L3775" s="10"/>
      <c r="M3775" s="44" t="s">
        <v>10178</v>
      </c>
      <c r="N3775" s="45"/>
      <c r="O3775" s="20"/>
      <c r="P3775" s="20"/>
      <c r="Q3775" s="20"/>
      <c r="R3775" s="20"/>
      <c r="S3775" s="20"/>
    </row>
    <row r="3776">
      <c r="A3776" s="23"/>
      <c r="B3776" s="21"/>
      <c r="C3776" s="23"/>
      <c r="D3776" s="24"/>
      <c r="E3776" s="14"/>
      <c r="F3776" s="14"/>
      <c r="G3776" s="14"/>
      <c r="H3776" s="23"/>
      <c r="I3776" s="23"/>
      <c r="J3776" s="23"/>
      <c r="K3776" s="30"/>
      <c r="L3776" s="23"/>
      <c r="M3776" s="50" t="s">
        <v>10178</v>
      </c>
      <c r="N3776" s="51"/>
      <c r="O3776" s="20"/>
      <c r="P3776" s="20"/>
      <c r="Q3776" s="20"/>
      <c r="R3776" s="20"/>
      <c r="S3776" s="20"/>
    </row>
    <row r="3777">
      <c r="A3777" s="10"/>
      <c r="B3777" s="11"/>
      <c r="C3777" s="10"/>
      <c r="D3777" s="13"/>
      <c r="E3777" s="14"/>
      <c r="F3777" s="14"/>
      <c r="G3777" s="14"/>
      <c r="H3777" s="10"/>
      <c r="I3777" s="10"/>
      <c r="J3777" s="10"/>
      <c r="K3777" s="46"/>
      <c r="L3777" s="10"/>
      <c r="M3777" s="44" t="s">
        <v>10178</v>
      </c>
      <c r="N3777" s="45"/>
      <c r="O3777" s="20"/>
      <c r="P3777" s="20"/>
      <c r="Q3777" s="20"/>
      <c r="R3777" s="20"/>
      <c r="S3777" s="20"/>
    </row>
    <row r="3778">
      <c r="A3778" s="23"/>
      <c r="B3778" s="21"/>
      <c r="C3778" s="23"/>
      <c r="D3778" s="24"/>
      <c r="E3778" s="14"/>
      <c r="F3778" s="14"/>
      <c r="G3778" s="14"/>
      <c r="H3778" s="23"/>
      <c r="I3778" s="23"/>
      <c r="J3778" s="23"/>
      <c r="K3778" s="30"/>
      <c r="L3778" s="23"/>
      <c r="M3778" s="50" t="s">
        <v>10178</v>
      </c>
      <c r="N3778" s="51"/>
      <c r="O3778" s="20"/>
      <c r="P3778" s="20"/>
      <c r="Q3778" s="20"/>
      <c r="R3778" s="20"/>
      <c r="S3778" s="20"/>
    </row>
    <row r="3779">
      <c r="A3779" s="10"/>
      <c r="B3779" s="11"/>
      <c r="C3779" s="10"/>
      <c r="D3779" s="13"/>
      <c r="E3779" s="14"/>
      <c r="F3779" s="14"/>
      <c r="G3779" s="14"/>
      <c r="H3779" s="10"/>
      <c r="I3779" s="10"/>
      <c r="J3779" s="10"/>
      <c r="K3779" s="46"/>
      <c r="L3779" s="10"/>
      <c r="M3779" s="44" t="s">
        <v>10178</v>
      </c>
      <c r="N3779" s="45"/>
      <c r="O3779" s="20"/>
      <c r="P3779" s="20"/>
      <c r="Q3779" s="20"/>
      <c r="R3779" s="20"/>
      <c r="S3779" s="20"/>
    </row>
    <row r="3780">
      <c r="A3780" s="23"/>
      <c r="B3780" s="21"/>
      <c r="C3780" s="23"/>
      <c r="D3780" s="24"/>
      <c r="E3780" s="14"/>
      <c r="F3780" s="14"/>
      <c r="G3780" s="14"/>
      <c r="H3780" s="23"/>
      <c r="I3780" s="23"/>
      <c r="J3780" s="23"/>
      <c r="K3780" s="30"/>
      <c r="L3780" s="23"/>
      <c r="M3780" s="50" t="s">
        <v>10178</v>
      </c>
      <c r="N3780" s="51"/>
      <c r="O3780" s="20"/>
      <c r="P3780" s="20"/>
      <c r="Q3780" s="20"/>
      <c r="R3780" s="20"/>
      <c r="S3780" s="20"/>
    </row>
    <row r="3781">
      <c r="A3781" s="10"/>
      <c r="B3781" s="11"/>
      <c r="C3781" s="10"/>
      <c r="D3781" s="13"/>
      <c r="E3781" s="14"/>
      <c r="F3781" s="14"/>
      <c r="G3781" s="14"/>
      <c r="H3781" s="10"/>
      <c r="I3781" s="10"/>
      <c r="J3781" s="10"/>
      <c r="K3781" s="46"/>
      <c r="L3781" s="10"/>
      <c r="M3781" s="44" t="s">
        <v>10178</v>
      </c>
      <c r="N3781" s="45"/>
      <c r="O3781" s="20"/>
      <c r="P3781" s="20"/>
      <c r="Q3781" s="20"/>
      <c r="R3781" s="20"/>
      <c r="S3781" s="20"/>
    </row>
    <row r="3782">
      <c r="A3782" s="23"/>
      <c r="B3782" s="21"/>
      <c r="C3782" s="23"/>
      <c r="D3782" s="24"/>
      <c r="E3782" s="14"/>
      <c r="F3782" s="14"/>
      <c r="G3782" s="14"/>
      <c r="H3782" s="23"/>
      <c r="I3782" s="23"/>
      <c r="J3782" s="23"/>
      <c r="K3782" s="30"/>
      <c r="L3782" s="23"/>
      <c r="M3782" s="50" t="s">
        <v>10178</v>
      </c>
      <c r="N3782" s="51"/>
      <c r="O3782" s="20"/>
      <c r="P3782" s="20"/>
      <c r="Q3782" s="20"/>
      <c r="R3782" s="20"/>
      <c r="S3782" s="20"/>
    </row>
    <row r="3783">
      <c r="A3783" s="10"/>
      <c r="B3783" s="11"/>
      <c r="C3783" s="10"/>
      <c r="D3783" s="13"/>
      <c r="E3783" s="14"/>
      <c r="F3783" s="14"/>
      <c r="G3783" s="14"/>
      <c r="H3783" s="10"/>
      <c r="I3783" s="10"/>
      <c r="J3783" s="10"/>
      <c r="K3783" s="46"/>
      <c r="L3783" s="10"/>
      <c r="M3783" s="44" t="s">
        <v>10178</v>
      </c>
      <c r="N3783" s="45"/>
      <c r="O3783" s="20"/>
      <c r="P3783" s="20"/>
      <c r="Q3783" s="20"/>
      <c r="R3783" s="20"/>
      <c r="S3783" s="20"/>
    </row>
    <row r="3784">
      <c r="A3784" s="23"/>
      <c r="B3784" s="21"/>
      <c r="C3784" s="23"/>
      <c r="D3784" s="24"/>
      <c r="E3784" s="14"/>
      <c r="F3784" s="14"/>
      <c r="G3784" s="14"/>
      <c r="H3784" s="23"/>
      <c r="I3784" s="23"/>
      <c r="J3784" s="23"/>
      <c r="K3784" s="30"/>
      <c r="L3784" s="23"/>
      <c r="M3784" s="50" t="s">
        <v>10178</v>
      </c>
      <c r="N3784" s="51"/>
      <c r="O3784" s="20"/>
      <c r="P3784" s="20"/>
      <c r="Q3784" s="20"/>
      <c r="R3784" s="20"/>
      <c r="S3784" s="20"/>
    </row>
    <row r="3785">
      <c r="A3785" s="10"/>
      <c r="B3785" s="11"/>
      <c r="C3785" s="10"/>
      <c r="D3785" s="13"/>
      <c r="E3785" s="14"/>
      <c r="F3785" s="14"/>
      <c r="G3785" s="14"/>
      <c r="H3785" s="10"/>
      <c r="I3785" s="10"/>
      <c r="J3785" s="10"/>
      <c r="K3785" s="46"/>
      <c r="L3785" s="10"/>
      <c r="M3785" s="44" t="s">
        <v>10178</v>
      </c>
      <c r="N3785" s="45"/>
      <c r="O3785" s="20"/>
      <c r="P3785" s="20"/>
      <c r="Q3785" s="20"/>
      <c r="R3785" s="20"/>
      <c r="S3785" s="20"/>
    </row>
    <row r="3786">
      <c r="A3786" s="23"/>
      <c r="B3786" s="21"/>
      <c r="C3786" s="23"/>
      <c r="D3786" s="24"/>
      <c r="E3786" s="14"/>
      <c r="F3786" s="14"/>
      <c r="G3786" s="14"/>
      <c r="H3786" s="23"/>
      <c r="I3786" s="23"/>
      <c r="J3786" s="23"/>
      <c r="K3786" s="30"/>
      <c r="L3786" s="23"/>
      <c r="M3786" s="50" t="s">
        <v>10178</v>
      </c>
      <c r="N3786" s="51"/>
      <c r="O3786" s="20"/>
      <c r="P3786" s="20"/>
      <c r="Q3786" s="20"/>
      <c r="R3786" s="20"/>
      <c r="S3786" s="20"/>
    </row>
    <row r="3787">
      <c r="A3787" s="10"/>
      <c r="B3787" s="11"/>
      <c r="C3787" s="10"/>
      <c r="D3787" s="13"/>
      <c r="E3787" s="14"/>
      <c r="F3787" s="14"/>
      <c r="G3787" s="14"/>
      <c r="H3787" s="10"/>
      <c r="I3787" s="10"/>
      <c r="J3787" s="10"/>
      <c r="K3787" s="46"/>
      <c r="L3787" s="10"/>
      <c r="M3787" s="44" t="s">
        <v>10178</v>
      </c>
      <c r="N3787" s="45"/>
      <c r="O3787" s="20"/>
      <c r="P3787" s="20"/>
      <c r="Q3787" s="20"/>
      <c r="R3787" s="20"/>
      <c r="S3787" s="20"/>
    </row>
    <row r="3788">
      <c r="A3788" s="23"/>
      <c r="B3788" s="21"/>
      <c r="C3788" s="23"/>
      <c r="D3788" s="24"/>
      <c r="E3788" s="14"/>
      <c r="F3788" s="14"/>
      <c r="G3788" s="14"/>
      <c r="H3788" s="23"/>
      <c r="I3788" s="23"/>
      <c r="J3788" s="23"/>
      <c r="K3788" s="30"/>
      <c r="L3788" s="23"/>
      <c r="M3788" s="50" t="s">
        <v>10178</v>
      </c>
      <c r="N3788" s="51"/>
      <c r="O3788" s="20"/>
      <c r="P3788" s="20"/>
      <c r="Q3788" s="20"/>
      <c r="R3788" s="20"/>
      <c r="S3788" s="20"/>
    </row>
    <row r="3789">
      <c r="A3789" s="10"/>
      <c r="B3789" s="11"/>
      <c r="C3789" s="10"/>
      <c r="D3789" s="13"/>
      <c r="E3789" s="14"/>
      <c r="F3789" s="14"/>
      <c r="G3789" s="14"/>
      <c r="H3789" s="10"/>
      <c r="I3789" s="10"/>
      <c r="J3789" s="10"/>
      <c r="K3789" s="46"/>
      <c r="L3789" s="10"/>
      <c r="M3789" s="44" t="s">
        <v>10178</v>
      </c>
      <c r="N3789" s="45"/>
      <c r="O3789" s="20"/>
      <c r="P3789" s="20"/>
      <c r="Q3789" s="20"/>
      <c r="R3789" s="20"/>
      <c r="S3789" s="20"/>
    </row>
    <row r="3790">
      <c r="A3790" s="23"/>
      <c r="B3790" s="21"/>
      <c r="C3790" s="23"/>
      <c r="D3790" s="24"/>
      <c r="E3790" s="14"/>
      <c r="F3790" s="14"/>
      <c r="G3790" s="14"/>
      <c r="H3790" s="23"/>
      <c r="I3790" s="23"/>
      <c r="J3790" s="23"/>
      <c r="K3790" s="30"/>
      <c r="L3790" s="23"/>
      <c r="M3790" s="50" t="s">
        <v>10178</v>
      </c>
      <c r="N3790" s="51"/>
      <c r="O3790" s="20"/>
      <c r="P3790" s="20"/>
      <c r="Q3790" s="20"/>
      <c r="R3790" s="20"/>
      <c r="S3790" s="20"/>
    </row>
    <row r="3791">
      <c r="A3791" s="10"/>
      <c r="B3791" s="11"/>
      <c r="C3791" s="10"/>
      <c r="D3791" s="13"/>
      <c r="E3791" s="14"/>
      <c r="F3791" s="14"/>
      <c r="G3791" s="14"/>
      <c r="H3791" s="10"/>
      <c r="I3791" s="10"/>
      <c r="J3791" s="10"/>
      <c r="K3791" s="46"/>
      <c r="L3791" s="10"/>
      <c r="M3791" s="44" t="s">
        <v>10178</v>
      </c>
      <c r="N3791" s="45"/>
      <c r="O3791" s="20"/>
      <c r="P3791" s="20"/>
      <c r="Q3791" s="20"/>
      <c r="R3791" s="20"/>
      <c r="S3791" s="20"/>
    </row>
    <row r="3792">
      <c r="A3792" s="23"/>
      <c r="B3792" s="21"/>
      <c r="C3792" s="23"/>
      <c r="D3792" s="24"/>
      <c r="E3792" s="14"/>
      <c r="F3792" s="14"/>
      <c r="G3792" s="14"/>
      <c r="H3792" s="23"/>
      <c r="I3792" s="23"/>
      <c r="J3792" s="23"/>
      <c r="K3792" s="30"/>
      <c r="L3792" s="23"/>
      <c r="M3792" s="50" t="s">
        <v>10178</v>
      </c>
      <c r="N3792" s="51"/>
      <c r="O3792" s="20"/>
      <c r="P3792" s="20"/>
      <c r="Q3792" s="20"/>
      <c r="R3792" s="20"/>
      <c r="S3792" s="20"/>
    </row>
    <row r="3793">
      <c r="A3793" s="10"/>
      <c r="B3793" s="11"/>
      <c r="C3793" s="10"/>
      <c r="D3793" s="13"/>
      <c r="E3793" s="14"/>
      <c r="F3793" s="14"/>
      <c r="G3793" s="14"/>
      <c r="H3793" s="10"/>
      <c r="I3793" s="10"/>
      <c r="J3793" s="10"/>
      <c r="K3793" s="46"/>
      <c r="L3793" s="10"/>
      <c r="M3793" s="44" t="s">
        <v>10178</v>
      </c>
      <c r="N3793" s="45"/>
      <c r="O3793" s="20"/>
      <c r="P3793" s="20"/>
      <c r="Q3793" s="20"/>
      <c r="R3793" s="20"/>
      <c r="S3793" s="20"/>
    </row>
    <row r="3794">
      <c r="A3794" s="23"/>
      <c r="B3794" s="21"/>
      <c r="C3794" s="23"/>
      <c r="D3794" s="24"/>
      <c r="E3794" s="14"/>
      <c r="F3794" s="14"/>
      <c r="G3794" s="14"/>
      <c r="H3794" s="23"/>
      <c r="I3794" s="23"/>
      <c r="J3794" s="23"/>
      <c r="K3794" s="30"/>
      <c r="L3794" s="23"/>
      <c r="M3794" s="50" t="s">
        <v>10178</v>
      </c>
      <c r="N3794" s="51"/>
      <c r="O3794" s="20"/>
      <c r="P3794" s="20"/>
      <c r="Q3794" s="20"/>
      <c r="R3794" s="20"/>
      <c r="S3794" s="20"/>
    </row>
    <row r="3795">
      <c r="A3795" s="10"/>
      <c r="B3795" s="11"/>
      <c r="C3795" s="10"/>
      <c r="D3795" s="13"/>
      <c r="E3795" s="14"/>
      <c r="F3795" s="14"/>
      <c r="G3795" s="14"/>
      <c r="H3795" s="10"/>
      <c r="I3795" s="10"/>
      <c r="J3795" s="10"/>
      <c r="K3795" s="46"/>
      <c r="L3795" s="10"/>
      <c r="M3795" s="44" t="s">
        <v>10178</v>
      </c>
      <c r="N3795" s="45"/>
      <c r="O3795" s="20"/>
      <c r="P3795" s="20"/>
      <c r="Q3795" s="20"/>
      <c r="R3795" s="20"/>
      <c r="S3795" s="20"/>
    </row>
    <row r="3796">
      <c r="A3796" s="23"/>
      <c r="B3796" s="21"/>
      <c r="C3796" s="23"/>
      <c r="D3796" s="24"/>
      <c r="E3796" s="14"/>
      <c r="F3796" s="14"/>
      <c r="G3796" s="14"/>
      <c r="H3796" s="23"/>
      <c r="I3796" s="23"/>
      <c r="J3796" s="23"/>
      <c r="K3796" s="30"/>
      <c r="L3796" s="23"/>
      <c r="M3796" s="50" t="s">
        <v>10178</v>
      </c>
      <c r="N3796" s="51"/>
      <c r="O3796" s="20"/>
      <c r="P3796" s="20"/>
      <c r="Q3796" s="20"/>
      <c r="R3796" s="20"/>
      <c r="S3796" s="20"/>
    </row>
    <row r="3797">
      <c r="A3797" s="10"/>
      <c r="B3797" s="11"/>
      <c r="C3797" s="10"/>
      <c r="D3797" s="13"/>
      <c r="E3797" s="14"/>
      <c r="F3797" s="14"/>
      <c r="G3797" s="14"/>
      <c r="H3797" s="10"/>
      <c r="I3797" s="10"/>
      <c r="J3797" s="10"/>
      <c r="K3797" s="46"/>
      <c r="L3797" s="10"/>
      <c r="M3797" s="44" t="s">
        <v>10178</v>
      </c>
      <c r="N3797" s="45"/>
      <c r="O3797" s="20"/>
      <c r="P3797" s="20"/>
      <c r="Q3797" s="20"/>
      <c r="R3797" s="20"/>
      <c r="S3797" s="20"/>
    </row>
    <row r="3798">
      <c r="A3798" s="23"/>
      <c r="B3798" s="21"/>
      <c r="C3798" s="23"/>
      <c r="D3798" s="24"/>
      <c r="E3798" s="14"/>
      <c r="F3798" s="14"/>
      <c r="G3798" s="14"/>
      <c r="H3798" s="23"/>
      <c r="I3798" s="23"/>
      <c r="J3798" s="23"/>
      <c r="K3798" s="30"/>
      <c r="L3798" s="23"/>
      <c r="M3798" s="50" t="s">
        <v>10178</v>
      </c>
      <c r="N3798" s="51"/>
      <c r="O3798" s="20"/>
      <c r="P3798" s="20"/>
      <c r="Q3798" s="20"/>
      <c r="R3798" s="20"/>
      <c r="S3798" s="20"/>
    </row>
    <row r="3799">
      <c r="A3799" s="10"/>
      <c r="B3799" s="11"/>
      <c r="C3799" s="10"/>
      <c r="D3799" s="13"/>
      <c r="E3799" s="14"/>
      <c r="F3799" s="14"/>
      <c r="G3799" s="14"/>
      <c r="H3799" s="10"/>
      <c r="I3799" s="10"/>
      <c r="J3799" s="10"/>
      <c r="K3799" s="46"/>
      <c r="L3799" s="10"/>
      <c r="M3799" s="44" t="s">
        <v>10178</v>
      </c>
      <c r="N3799" s="45"/>
      <c r="O3799" s="20"/>
      <c r="P3799" s="20"/>
      <c r="Q3799" s="20"/>
      <c r="R3799" s="20"/>
      <c r="S3799" s="20"/>
    </row>
    <row r="3800">
      <c r="A3800" s="23"/>
      <c r="B3800" s="21"/>
      <c r="C3800" s="23"/>
      <c r="D3800" s="24"/>
      <c r="E3800" s="14"/>
      <c r="F3800" s="14"/>
      <c r="G3800" s="14"/>
      <c r="H3800" s="23"/>
      <c r="I3800" s="23"/>
      <c r="J3800" s="23"/>
      <c r="K3800" s="30"/>
      <c r="L3800" s="23"/>
      <c r="M3800" s="50" t="s">
        <v>10178</v>
      </c>
      <c r="N3800" s="51"/>
      <c r="O3800" s="20"/>
      <c r="P3800" s="20"/>
      <c r="Q3800" s="20"/>
      <c r="R3800" s="20"/>
      <c r="S3800" s="20"/>
    </row>
    <row r="3801">
      <c r="A3801" s="10"/>
      <c r="B3801" s="11"/>
      <c r="C3801" s="10"/>
      <c r="D3801" s="13"/>
      <c r="E3801" s="14"/>
      <c r="F3801" s="14"/>
      <c r="G3801" s="14"/>
      <c r="H3801" s="10"/>
      <c r="I3801" s="10"/>
      <c r="J3801" s="10"/>
      <c r="K3801" s="46"/>
      <c r="L3801" s="10"/>
      <c r="M3801" s="44" t="s">
        <v>10178</v>
      </c>
      <c r="N3801" s="45"/>
      <c r="O3801" s="20"/>
      <c r="P3801" s="20"/>
      <c r="Q3801" s="20"/>
      <c r="R3801" s="20"/>
      <c r="S3801" s="20"/>
    </row>
    <row r="3802">
      <c r="A3802" s="23"/>
      <c r="B3802" s="21"/>
      <c r="C3802" s="23"/>
      <c r="D3802" s="24"/>
      <c r="E3802" s="14"/>
      <c r="F3802" s="14"/>
      <c r="G3802" s="14"/>
      <c r="H3802" s="23"/>
      <c r="I3802" s="23"/>
      <c r="J3802" s="23"/>
      <c r="K3802" s="30"/>
      <c r="L3802" s="23"/>
      <c r="M3802" s="50" t="s">
        <v>10178</v>
      </c>
      <c r="N3802" s="51"/>
      <c r="O3802" s="20"/>
      <c r="P3802" s="20"/>
      <c r="Q3802" s="20"/>
      <c r="R3802" s="20"/>
      <c r="S3802" s="20"/>
    </row>
    <row r="3803">
      <c r="A3803" s="10"/>
      <c r="B3803" s="11"/>
      <c r="C3803" s="10"/>
      <c r="D3803" s="13"/>
      <c r="E3803" s="14"/>
      <c r="F3803" s="14"/>
      <c r="G3803" s="14"/>
      <c r="H3803" s="10"/>
      <c r="I3803" s="10"/>
      <c r="J3803" s="10"/>
      <c r="K3803" s="46"/>
      <c r="L3803" s="10"/>
      <c r="M3803" s="44" t="s">
        <v>10178</v>
      </c>
      <c r="N3803" s="45"/>
      <c r="O3803" s="20"/>
      <c r="P3803" s="20"/>
      <c r="Q3803" s="20"/>
      <c r="R3803" s="20"/>
      <c r="S3803" s="20"/>
    </row>
    <row r="3804">
      <c r="A3804" s="23"/>
      <c r="B3804" s="21"/>
      <c r="C3804" s="23"/>
      <c r="D3804" s="24"/>
      <c r="E3804" s="14"/>
      <c r="F3804" s="14"/>
      <c r="G3804" s="14"/>
      <c r="H3804" s="23"/>
      <c r="I3804" s="23"/>
      <c r="J3804" s="23"/>
      <c r="K3804" s="30"/>
      <c r="L3804" s="23"/>
      <c r="M3804" s="50" t="s">
        <v>10178</v>
      </c>
      <c r="N3804" s="51"/>
      <c r="O3804" s="20"/>
      <c r="P3804" s="20"/>
      <c r="Q3804" s="20"/>
      <c r="R3804" s="20"/>
      <c r="S3804" s="20"/>
    </row>
    <row r="3805">
      <c r="A3805" s="10"/>
      <c r="B3805" s="11"/>
      <c r="C3805" s="10"/>
      <c r="D3805" s="13"/>
      <c r="E3805" s="14"/>
      <c r="F3805" s="14"/>
      <c r="G3805" s="14"/>
      <c r="H3805" s="10"/>
      <c r="I3805" s="10"/>
      <c r="J3805" s="10"/>
      <c r="K3805" s="46"/>
      <c r="L3805" s="10"/>
      <c r="M3805" s="44" t="s">
        <v>10178</v>
      </c>
      <c r="N3805" s="45"/>
      <c r="O3805" s="20"/>
      <c r="P3805" s="20"/>
      <c r="Q3805" s="20"/>
      <c r="R3805" s="20"/>
      <c r="S3805" s="20"/>
    </row>
    <row r="3806">
      <c r="A3806" s="23"/>
      <c r="B3806" s="21"/>
      <c r="C3806" s="23"/>
      <c r="D3806" s="24"/>
      <c r="E3806" s="14"/>
      <c r="F3806" s="14"/>
      <c r="G3806" s="14"/>
      <c r="H3806" s="23"/>
      <c r="I3806" s="23"/>
      <c r="J3806" s="23"/>
      <c r="K3806" s="30"/>
      <c r="L3806" s="23"/>
      <c r="M3806" s="50" t="s">
        <v>10178</v>
      </c>
      <c r="N3806" s="51"/>
      <c r="O3806" s="20"/>
      <c r="P3806" s="20"/>
      <c r="Q3806" s="20"/>
      <c r="R3806" s="20"/>
      <c r="S3806" s="20"/>
    </row>
    <row r="3807">
      <c r="A3807" s="10"/>
      <c r="B3807" s="11"/>
      <c r="C3807" s="10"/>
      <c r="D3807" s="13"/>
      <c r="E3807" s="14"/>
      <c r="F3807" s="14"/>
      <c r="G3807" s="14"/>
      <c r="H3807" s="10"/>
      <c r="I3807" s="10"/>
      <c r="J3807" s="10"/>
      <c r="K3807" s="46"/>
      <c r="L3807" s="10"/>
      <c r="M3807" s="44" t="s">
        <v>10178</v>
      </c>
      <c r="N3807" s="45"/>
      <c r="O3807" s="20"/>
      <c r="P3807" s="20"/>
      <c r="Q3807" s="20"/>
      <c r="R3807" s="20"/>
      <c r="S3807" s="20"/>
    </row>
    <row r="3808">
      <c r="A3808" s="23"/>
      <c r="B3808" s="21"/>
      <c r="C3808" s="23"/>
      <c r="D3808" s="24"/>
      <c r="E3808" s="14"/>
      <c r="F3808" s="14"/>
      <c r="G3808" s="14"/>
      <c r="H3808" s="23"/>
      <c r="I3808" s="23"/>
      <c r="J3808" s="23"/>
      <c r="K3808" s="30"/>
      <c r="L3808" s="23"/>
      <c r="M3808" s="50" t="s">
        <v>10178</v>
      </c>
      <c r="N3808" s="51"/>
      <c r="O3808" s="20"/>
      <c r="P3808" s="20"/>
      <c r="Q3808" s="20"/>
      <c r="R3808" s="20"/>
      <c r="S3808" s="20"/>
    </row>
    <row r="3809">
      <c r="A3809" s="10"/>
      <c r="B3809" s="11"/>
      <c r="C3809" s="10"/>
      <c r="D3809" s="13"/>
      <c r="E3809" s="14"/>
      <c r="F3809" s="14"/>
      <c r="G3809" s="14"/>
      <c r="H3809" s="10"/>
      <c r="I3809" s="10"/>
      <c r="J3809" s="10"/>
      <c r="K3809" s="46"/>
      <c r="L3809" s="10"/>
      <c r="M3809" s="44" t="s">
        <v>10178</v>
      </c>
      <c r="N3809" s="45"/>
      <c r="O3809" s="20"/>
      <c r="P3809" s="20"/>
      <c r="Q3809" s="20"/>
      <c r="R3809" s="20"/>
      <c r="S3809" s="20"/>
    </row>
    <row r="3810">
      <c r="A3810" s="23"/>
      <c r="B3810" s="21"/>
      <c r="C3810" s="23"/>
      <c r="D3810" s="24"/>
      <c r="E3810" s="14"/>
      <c r="F3810" s="14"/>
      <c r="G3810" s="14"/>
      <c r="H3810" s="23"/>
      <c r="I3810" s="23"/>
      <c r="J3810" s="23"/>
      <c r="K3810" s="30"/>
      <c r="L3810" s="23"/>
      <c r="M3810" s="50" t="s">
        <v>10178</v>
      </c>
      <c r="N3810" s="51"/>
      <c r="O3810" s="20"/>
      <c r="P3810" s="20"/>
      <c r="Q3810" s="20"/>
      <c r="R3810" s="20"/>
      <c r="S3810" s="20"/>
    </row>
    <row r="3811">
      <c r="A3811" s="10"/>
      <c r="B3811" s="11"/>
      <c r="C3811" s="10"/>
      <c r="D3811" s="13"/>
      <c r="E3811" s="14"/>
      <c r="F3811" s="14"/>
      <c r="G3811" s="14"/>
      <c r="H3811" s="10"/>
      <c r="I3811" s="10"/>
      <c r="J3811" s="10"/>
      <c r="K3811" s="46"/>
      <c r="L3811" s="10"/>
      <c r="M3811" s="44" t="s">
        <v>10178</v>
      </c>
      <c r="N3811" s="45"/>
      <c r="O3811" s="20"/>
      <c r="P3811" s="20"/>
      <c r="Q3811" s="20"/>
      <c r="R3811" s="20"/>
      <c r="S3811" s="20"/>
    </row>
    <row r="3812">
      <c r="A3812" s="23"/>
      <c r="B3812" s="21"/>
      <c r="C3812" s="23"/>
      <c r="D3812" s="24"/>
      <c r="E3812" s="14"/>
      <c r="F3812" s="14"/>
      <c r="G3812" s="14"/>
      <c r="H3812" s="23"/>
      <c r="I3812" s="23"/>
      <c r="J3812" s="23"/>
      <c r="K3812" s="30"/>
      <c r="L3812" s="23"/>
      <c r="M3812" s="50" t="s">
        <v>10178</v>
      </c>
      <c r="N3812" s="51"/>
      <c r="O3812" s="20"/>
      <c r="P3812" s="20"/>
      <c r="Q3812" s="20"/>
      <c r="R3812" s="20"/>
      <c r="S3812" s="20"/>
    </row>
    <row r="3813">
      <c r="A3813" s="10"/>
      <c r="B3813" s="11"/>
      <c r="C3813" s="10"/>
      <c r="D3813" s="13"/>
      <c r="E3813" s="14"/>
      <c r="F3813" s="14"/>
      <c r="G3813" s="14"/>
      <c r="H3813" s="10"/>
      <c r="I3813" s="10"/>
      <c r="J3813" s="10"/>
      <c r="K3813" s="46"/>
      <c r="L3813" s="10"/>
      <c r="M3813" s="44" t="s">
        <v>10178</v>
      </c>
      <c r="N3813" s="45"/>
      <c r="O3813" s="20"/>
      <c r="P3813" s="20"/>
      <c r="Q3813" s="20"/>
      <c r="R3813" s="20"/>
      <c r="S3813" s="20"/>
    </row>
    <row r="3814">
      <c r="A3814" s="23"/>
      <c r="B3814" s="21"/>
      <c r="C3814" s="23"/>
      <c r="D3814" s="24"/>
      <c r="E3814" s="14"/>
      <c r="F3814" s="14"/>
      <c r="G3814" s="14"/>
      <c r="H3814" s="23"/>
      <c r="I3814" s="23"/>
      <c r="J3814" s="23"/>
      <c r="K3814" s="30"/>
      <c r="L3814" s="23"/>
      <c r="M3814" s="50" t="s">
        <v>10178</v>
      </c>
      <c r="N3814" s="51"/>
      <c r="O3814" s="20"/>
      <c r="P3814" s="20"/>
      <c r="Q3814" s="20"/>
      <c r="R3814" s="20"/>
      <c r="S3814" s="20"/>
    </row>
    <row r="3815">
      <c r="A3815" s="10"/>
      <c r="B3815" s="11"/>
      <c r="C3815" s="10"/>
      <c r="D3815" s="13"/>
      <c r="E3815" s="14"/>
      <c r="F3815" s="14"/>
      <c r="G3815" s="14"/>
      <c r="H3815" s="10"/>
      <c r="I3815" s="10"/>
      <c r="J3815" s="10"/>
      <c r="K3815" s="46"/>
      <c r="L3815" s="10"/>
      <c r="M3815" s="44" t="s">
        <v>10178</v>
      </c>
      <c r="N3815" s="45"/>
      <c r="O3815" s="20"/>
      <c r="P3815" s="20"/>
      <c r="Q3815" s="20"/>
      <c r="R3815" s="20"/>
      <c r="S3815" s="20"/>
    </row>
    <row r="3816">
      <c r="A3816" s="23"/>
      <c r="B3816" s="21"/>
      <c r="C3816" s="23"/>
      <c r="D3816" s="24"/>
      <c r="E3816" s="14"/>
      <c r="F3816" s="14"/>
      <c r="G3816" s="14"/>
      <c r="H3816" s="23"/>
      <c r="I3816" s="23"/>
      <c r="J3816" s="23"/>
      <c r="K3816" s="30"/>
      <c r="L3816" s="23"/>
      <c r="M3816" s="50" t="s">
        <v>10178</v>
      </c>
      <c r="N3816" s="51"/>
      <c r="O3816" s="20"/>
      <c r="P3816" s="20"/>
      <c r="Q3816" s="20"/>
      <c r="R3816" s="20"/>
      <c r="S3816" s="20"/>
    </row>
    <row r="3817">
      <c r="A3817" s="10"/>
      <c r="B3817" s="11"/>
      <c r="C3817" s="10"/>
      <c r="D3817" s="13"/>
      <c r="E3817" s="14"/>
      <c r="F3817" s="14"/>
      <c r="G3817" s="14"/>
      <c r="H3817" s="10"/>
      <c r="I3817" s="10"/>
      <c r="J3817" s="10"/>
      <c r="K3817" s="46"/>
      <c r="L3817" s="10"/>
      <c r="M3817" s="44" t="s">
        <v>10178</v>
      </c>
      <c r="N3817" s="45"/>
      <c r="O3817" s="20"/>
      <c r="P3817" s="20"/>
      <c r="Q3817" s="20"/>
      <c r="R3817" s="20"/>
      <c r="S3817" s="20"/>
    </row>
    <row r="3818">
      <c r="A3818" s="23"/>
      <c r="B3818" s="21"/>
      <c r="C3818" s="23"/>
      <c r="D3818" s="24"/>
      <c r="E3818" s="14"/>
      <c r="F3818" s="14"/>
      <c r="G3818" s="14"/>
      <c r="H3818" s="23"/>
      <c r="I3818" s="23"/>
      <c r="J3818" s="23"/>
      <c r="K3818" s="30"/>
      <c r="L3818" s="23"/>
      <c r="M3818" s="50" t="s">
        <v>10178</v>
      </c>
      <c r="N3818" s="51"/>
      <c r="O3818" s="20"/>
      <c r="P3818" s="20"/>
      <c r="Q3818" s="20"/>
      <c r="R3818" s="20"/>
      <c r="S3818" s="20"/>
    </row>
    <row r="3819">
      <c r="A3819" s="10"/>
      <c r="B3819" s="11"/>
      <c r="C3819" s="10"/>
      <c r="D3819" s="13"/>
      <c r="E3819" s="14"/>
      <c r="F3819" s="14"/>
      <c r="G3819" s="14"/>
      <c r="H3819" s="10"/>
      <c r="I3819" s="10"/>
      <c r="J3819" s="10"/>
      <c r="K3819" s="46"/>
      <c r="L3819" s="10"/>
      <c r="M3819" s="44" t="s">
        <v>10178</v>
      </c>
      <c r="N3819" s="45"/>
      <c r="O3819" s="20"/>
      <c r="P3819" s="20"/>
      <c r="Q3819" s="20"/>
      <c r="R3819" s="20"/>
      <c r="S3819" s="20"/>
    </row>
    <row r="3820">
      <c r="A3820" s="23"/>
      <c r="B3820" s="21"/>
      <c r="C3820" s="23"/>
      <c r="D3820" s="24"/>
      <c r="E3820" s="14"/>
      <c r="F3820" s="14"/>
      <c r="G3820" s="14"/>
      <c r="H3820" s="23"/>
      <c r="I3820" s="23"/>
      <c r="J3820" s="23"/>
      <c r="K3820" s="30"/>
      <c r="L3820" s="23"/>
      <c r="M3820" s="50" t="s">
        <v>10178</v>
      </c>
      <c r="N3820" s="51"/>
      <c r="O3820" s="20"/>
      <c r="P3820" s="20"/>
      <c r="Q3820" s="20"/>
      <c r="R3820" s="20"/>
      <c r="S3820" s="20"/>
    </row>
    <row r="3821">
      <c r="A3821" s="10"/>
      <c r="B3821" s="11"/>
      <c r="C3821" s="10"/>
      <c r="D3821" s="13"/>
      <c r="E3821" s="14"/>
      <c r="F3821" s="14"/>
      <c r="G3821" s="14"/>
      <c r="H3821" s="10"/>
      <c r="I3821" s="10"/>
      <c r="J3821" s="10"/>
      <c r="K3821" s="46"/>
      <c r="L3821" s="10"/>
      <c r="M3821" s="44" t="s">
        <v>10178</v>
      </c>
      <c r="N3821" s="45"/>
      <c r="O3821" s="20"/>
      <c r="P3821" s="20"/>
      <c r="Q3821" s="20"/>
      <c r="R3821" s="20"/>
      <c r="S3821" s="20"/>
    </row>
    <row r="3822">
      <c r="A3822" s="23"/>
      <c r="B3822" s="21"/>
      <c r="C3822" s="23"/>
      <c r="D3822" s="24"/>
      <c r="E3822" s="14"/>
      <c r="F3822" s="14"/>
      <c r="G3822" s="14"/>
      <c r="H3822" s="23"/>
      <c r="I3822" s="23"/>
      <c r="J3822" s="23"/>
      <c r="K3822" s="30"/>
      <c r="L3822" s="23"/>
      <c r="M3822" s="50" t="s">
        <v>10178</v>
      </c>
      <c r="N3822" s="51"/>
      <c r="O3822" s="20"/>
      <c r="P3822" s="20"/>
      <c r="Q3822" s="20"/>
      <c r="R3822" s="20"/>
      <c r="S3822" s="20"/>
    </row>
    <row r="3823">
      <c r="A3823" s="10"/>
      <c r="B3823" s="11"/>
      <c r="C3823" s="10"/>
      <c r="D3823" s="13"/>
      <c r="E3823" s="14"/>
      <c r="F3823" s="14"/>
      <c r="G3823" s="14"/>
      <c r="H3823" s="10"/>
      <c r="I3823" s="10"/>
      <c r="J3823" s="10"/>
      <c r="K3823" s="46"/>
      <c r="L3823" s="10"/>
      <c r="M3823" s="44" t="s">
        <v>10178</v>
      </c>
      <c r="N3823" s="45"/>
      <c r="O3823" s="20"/>
      <c r="P3823" s="20"/>
      <c r="Q3823" s="20"/>
      <c r="R3823" s="20"/>
      <c r="S3823" s="20"/>
    </row>
    <row r="3824">
      <c r="A3824" s="23"/>
      <c r="B3824" s="21"/>
      <c r="C3824" s="23"/>
      <c r="D3824" s="24"/>
      <c r="E3824" s="14"/>
      <c r="F3824" s="14"/>
      <c r="G3824" s="14"/>
      <c r="H3824" s="23"/>
      <c r="I3824" s="23"/>
      <c r="J3824" s="23"/>
      <c r="K3824" s="30"/>
      <c r="L3824" s="23"/>
      <c r="M3824" s="50" t="s">
        <v>10178</v>
      </c>
      <c r="N3824" s="51"/>
      <c r="O3824" s="20"/>
      <c r="P3824" s="20"/>
      <c r="Q3824" s="20"/>
      <c r="R3824" s="20"/>
      <c r="S3824" s="20"/>
    </row>
    <row r="3825">
      <c r="A3825" s="10"/>
      <c r="B3825" s="11"/>
      <c r="C3825" s="10"/>
      <c r="D3825" s="13"/>
      <c r="E3825" s="14"/>
      <c r="F3825" s="14"/>
      <c r="G3825" s="14"/>
      <c r="H3825" s="10"/>
      <c r="I3825" s="10"/>
      <c r="J3825" s="10"/>
      <c r="K3825" s="46"/>
      <c r="L3825" s="10"/>
      <c r="M3825" s="44" t="s">
        <v>10178</v>
      </c>
      <c r="N3825" s="45"/>
      <c r="O3825" s="20"/>
      <c r="P3825" s="20"/>
      <c r="Q3825" s="20"/>
      <c r="R3825" s="20"/>
      <c r="S3825" s="20"/>
    </row>
    <row r="3826">
      <c r="A3826" s="23"/>
      <c r="B3826" s="21"/>
      <c r="C3826" s="23"/>
      <c r="D3826" s="24"/>
      <c r="E3826" s="14"/>
      <c r="F3826" s="14"/>
      <c r="G3826" s="14"/>
      <c r="H3826" s="23"/>
      <c r="I3826" s="23"/>
      <c r="J3826" s="23"/>
      <c r="K3826" s="30"/>
      <c r="L3826" s="23"/>
      <c r="M3826" s="50" t="s">
        <v>10178</v>
      </c>
      <c r="N3826" s="51"/>
      <c r="O3826" s="20"/>
      <c r="P3826" s="20"/>
      <c r="Q3826" s="20"/>
      <c r="R3826" s="20"/>
      <c r="S3826" s="20"/>
    </row>
    <row r="3827">
      <c r="A3827" s="10"/>
      <c r="B3827" s="11"/>
      <c r="C3827" s="10"/>
      <c r="D3827" s="13"/>
      <c r="E3827" s="14"/>
      <c r="F3827" s="14"/>
      <c r="G3827" s="14"/>
      <c r="H3827" s="10"/>
      <c r="I3827" s="10"/>
      <c r="J3827" s="10"/>
      <c r="K3827" s="46"/>
      <c r="L3827" s="10"/>
      <c r="M3827" s="44" t="s">
        <v>10178</v>
      </c>
      <c r="N3827" s="45"/>
      <c r="O3827" s="20"/>
      <c r="P3827" s="20"/>
      <c r="Q3827" s="20"/>
      <c r="R3827" s="20"/>
      <c r="S3827" s="20"/>
    </row>
    <row r="3828">
      <c r="A3828" s="23"/>
      <c r="B3828" s="21"/>
      <c r="C3828" s="23"/>
      <c r="D3828" s="24"/>
      <c r="E3828" s="14"/>
      <c r="F3828" s="14"/>
      <c r="G3828" s="14"/>
      <c r="H3828" s="23"/>
      <c r="I3828" s="23"/>
      <c r="J3828" s="23"/>
      <c r="K3828" s="30"/>
      <c r="L3828" s="23"/>
      <c r="M3828" s="50" t="s">
        <v>10178</v>
      </c>
      <c r="N3828" s="51"/>
      <c r="O3828" s="20"/>
      <c r="P3828" s="20"/>
      <c r="Q3828" s="20"/>
      <c r="R3828" s="20"/>
      <c r="S3828" s="20"/>
    </row>
    <row r="3829">
      <c r="A3829" s="10"/>
      <c r="B3829" s="11"/>
      <c r="C3829" s="10"/>
      <c r="D3829" s="13"/>
      <c r="E3829" s="14"/>
      <c r="F3829" s="14"/>
      <c r="G3829" s="14"/>
      <c r="H3829" s="10"/>
      <c r="I3829" s="10"/>
      <c r="J3829" s="10"/>
      <c r="K3829" s="46"/>
      <c r="L3829" s="10"/>
      <c r="M3829" s="44" t="s">
        <v>10178</v>
      </c>
      <c r="N3829" s="45"/>
      <c r="O3829" s="20"/>
      <c r="P3829" s="20"/>
      <c r="Q3829" s="20"/>
      <c r="R3829" s="20"/>
      <c r="S3829" s="20"/>
    </row>
    <row r="3830">
      <c r="A3830" s="23"/>
      <c r="B3830" s="21"/>
      <c r="C3830" s="23"/>
      <c r="D3830" s="24"/>
      <c r="E3830" s="14"/>
      <c r="F3830" s="14"/>
      <c r="G3830" s="14"/>
      <c r="H3830" s="23"/>
      <c r="I3830" s="23"/>
      <c r="J3830" s="23"/>
      <c r="K3830" s="30"/>
      <c r="L3830" s="23"/>
      <c r="M3830" s="50" t="s">
        <v>10178</v>
      </c>
      <c r="N3830" s="51"/>
      <c r="O3830" s="20"/>
      <c r="P3830" s="20"/>
      <c r="Q3830" s="20"/>
      <c r="R3830" s="20"/>
      <c r="S3830" s="20"/>
    </row>
    <row r="3831">
      <c r="A3831" s="10"/>
      <c r="B3831" s="11"/>
      <c r="C3831" s="10"/>
      <c r="D3831" s="13"/>
      <c r="E3831" s="14"/>
      <c r="F3831" s="14"/>
      <c r="G3831" s="14"/>
      <c r="H3831" s="10"/>
      <c r="I3831" s="10"/>
      <c r="J3831" s="10"/>
      <c r="K3831" s="46"/>
      <c r="L3831" s="10"/>
      <c r="M3831" s="44" t="s">
        <v>10178</v>
      </c>
      <c r="N3831" s="45"/>
      <c r="O3831" s="20"/>
      <c r="P3831" s="20"/>
      <c r="Q3831" s="20"/>
      <c r="R3831" s="20"/>
      <c r="S3831" s="20"/>
    </row>
    <row r="3832">
      <c r="A3832" s="23"/>
      <c r="B3832" s="21"/>
      <c r="C3832" s="23"/>
      <c r="D3832" s="24"/>
      <c r="E3832" s="14"/>
      <c r="F3832" s="14"/>
      <c r="G3832" s="14"/>
      <c r="H3832" s="23"/>
      <c r="I3832" s="23"/>
      <c r="J3832" s="23"/>
      <c r="K3832" s="30"/>
      <c r="L3832" s="23"/>
      <c r="M3832" s="50" t="s">
        <v>10178</v>
      </c>
      <c r="N3832" s="51"/>
      <c r="O3832" s="20"/>
      <c r="P3832" s="20"/>
      <c r="Q3832" s="20"/>
      <c r="R3832" s="20"/>
      <c r="S3832" s="20"/>
    </row>
    <row r="3833">
      <c r="A3833" s="10"/>
      <c r="B3833" s="11"/>
      <c r="C3833" s="10"/>
      <c r="D3833" s="13"/>
      <c r="E3833" s="14"/>
      <c r="F3833" s="14"/>
      <c r="G3833" s="14"/>
      <c r="H3833" s="10"/>
      <c r="I3833" s="10"/>
      <c r="J3833" s="10"/>
      <c r="K3833" s="46"/>
      <c r="L3833" s="10"/>
      <c r="M3833" s="44" t="s">
        <v>10178</v>
      </c>
      <c r="N3833" s="45"/>
      <c r="O3833" s="20"/>
      <c r="P3833" s="20"/>
      <c r="Q3833" s="20"/>
      <c r="R3833" s="20"/>
      <c r="S3833" s="20"/>
    </row>
    <row r="3834">
      <c r="A3834" s="23"/>
      <c r="B3834" s="21"/>
      <c r="C3834" s="23"/>
      <c r="D3834" s="24"/>
      <c r="E3834" s="14"/>
      <c r="F3834" s="14"/>
      <c r="G3834" s="14"/>
      <c r="H3834" s="23"/>
      <c r="I3834" s="23"/>
      <c r="J3834" s="23"/>
      <c r="K3834" s="30"/>
      <c r="L3834" s="23"/>
      <c r="M3834" s="50" t="s">
        <v>10178</v>
      </c>
      <c r="N3834" s="51"/>
      <c r="O3834" s="20"/>
      <c r="P3834" s="20"/>
      <c r="Q3834" s="20"/>
      <c r="R3834" s="20"/>
      <c r="S3834" s="20"/>
    </row>
    <row r="3835">
      <c r="A3835" s="10"/>
      <c r="B3835" s="11"/>
      <c r="C3835" s="10"/>
      <c r="D3835" s="13"/>
      <c r="E3835" s="14"/>
      <c r="F3835" s="14"/>
      <c r="G3835" s="14"/>
      <c r="H3835" s="10"/>
      <c r="I3835" s="10"/>
      <c r="J3835" s="10"/>
      <c r="K3835" s="46"/>
      <c r="L3835" s="10"/>
      <c r="M3835" s="44" t="s">
        <v>10178</v>
      </c>
      <c r="N3835" s="45"/>
      <c r="O3835" s="20"/>
      <c r="P3835" s="20"/>
      <c r="Q3835" s="20"/>
      <c r="R3835" s="20"/>
      <c r="S3835" s="20"/>
    </row>
    <row r="3836">
      <c r="A3836" s="23"/>
      <c r="B3836" s="21"/>
      <c r="C3836" s="23"/>
      <c r="D3836" s="24"/>
      <c r="E3836" s="14"/>
      <c r="F3836" s="14"/>
      <c r="G3836" s="14"/>
      <c r="H3836" s="23"/>
      <c r="I3836" s="23"/>
      <c r="J3836" s="23"/>
      <c r="K3836" s="30"/>
      <c r="L3836" s="23"/>
      <c r="M3836" s="50" t="s">
        <v>10178</v>
      </c>
      <c r="N3836" s="51"/>
      <c r="O3836" s="20"/>
      <c r="P3836" s="20"/>
      <c r="Q3836" s="20"/>
      <c r="R3836" s="20"/>
      <c r="S3836" s="20"/>
    </row>
    <row r="3837">
      <c r="A3837" s="10"/>
      <c r="B3837" s="11"/>
      <c r="C3837" s="10"/>
      <c r="D3837" s="13"/>
      <c r="E3837" s="14"/>
      <c r="F3837" s="14"/>
      <c r="G3837" s="14"/>
      <c r="H3837" s="10"/>
      <c r="I3837" s="10"/>
      <c r="J3837" s="10"/>
      <c r="K3837" s="46"/>
      <c r="L3837" s="10"/>
      <c r="M3837" s="44" t="s">
        <v>10178</v>
      </c>
      <c r="N3837" s="45"/>
      <c r="O3837" s="20"/>
      <c r="P3837" s="20"/>
      <c r="Q3837" s="20"/>
      <c r="R3837" s="20"/>
      <c r="S3837" s="20"/>
    </row>
    <row r="3838">
      <c r="A3838" s="23"/>
      <c r="B3838" s="21"/>
      <c r="C3838" s="23"/>
      <c r="D3838" s="24"/>
      <c r="E3838" s="14"/>
      <c r="F3838" s="14"/>
      <c r="G3838" s="14"/>
      <c r="H3838" s="23"/>
      <c r="I3838" s="23"/>
      <c r="J3838" s="23"/>
      <c r="K3838" s="30"/>
      <c r="L3838" s="23"/>
      <c r="M3838" s="50" t="s">
        <v>10178</v>
      </c>
      <c r="N3838" s="51"/>
      <c r="O3838" s="20"/>
      <c r="P3838" s="20"/>
      <c r="Q3838" s="20"/>
      <c r="R3838" s="20"/>
      <c r="S3838" s="20"/>
    </row>
    <row r="3839">
      <c r="A3839" s="10"/>
      <c r="B3839" s="11"/>
      <c r="C3839" s="10"/>
      <c r="D3839" s="13"/>
      <c r="E3839" s="14"/>
      <c r="F3839" s="14"/>
      <c r="G3839" s="14"/>
      <c r="H3839" s="10"/>
      <c r="I3839" s="10"/>
      <c r="J3839" s="10"/>
      <c r="K3839" s="46"/>
      <c r="L3839" s="10"/>
      <c r="M3839" s="44" t="s">
        <v>10178</v>
      </c>
      <c r="N3839" s="45"/>
      <c r="O3839" s="20"/>
      <c r="P3839" s="20"/>
      <c r="Q3839" s="20"/>
      <c r="R3839" s="20"/>
      <c r="S3839" s="20"/>
    </row>
    <row r="3840">
      <c r="A3840" s="23"/>
      <c r="B3840" s="21"/>
      <c r="C3840" s="23"/>
      <c r="D3840" s="24"/>
      <c r="E3840" s="14"/>
      <c r="F3840" s="14"/>
      <c r="G3840" s="14"/>
      <c r="H3840" s="23"/>
      <c r="I3840" s="23"/>
      <c r="J3840" s="23"/>
      <c r="K3840" s="30"/>
      <c r="L3840" s="23"/>
      <c r="M3840" s="50" t="s">
        <v>10178</v>
      </c>
      <c r="N3840" s="51"/>
      <c r="O3840" s="20"/>
      <c r="P3840" s="20"/>
      <c r="Q3840" s="20"/>
      <c r="R3840" s="20"/>
      <c r="S3840" s="20"/>
    </row>
    <row r="3841">
      <c r="A3841" s="10"/>
      <c r="B3841" s="11"/>
      <c r="C3841" s="10"/>
      <c r="D3841" s="13"/>
      <c r="E3841" s="14"/>
      <c r="F3841" s="14"/>
      <c r="G3841" s="14"/>
      <c r="H3841" s="10"/>
      <c r="I3841" s="10"/>
      <c r="J3841" s="10"/>
      <c r="K3841" s="46"/>
      <c r="L3841" s="10"/>
      <c r="M3841" s="44" t="s">
        <v>10178</v>
      </c>
      <c r="N3841" s="45"/>
      <c r="O3841" s="20"/>
      <c r="P3841" s="20"/>
      <c r="Q3841" s="20"/>
      <c r="R3841" s="20"/>
      <c r="S3841" s="20"/>
    </row>
    <row r="3842">
      <c r="A3842" s="23"/>
      <c r="B3842" s="21"/>
      <c r="C3842" s="23"/>
      <c r="D3842" s="24"/>
      <c r="E3842" s="14"/>
      <c r="F3842" s="14"/>
      <c r="G3842" s="14"/>
      <c r="H3842" s="23"/>
      <c r="I3842" s="23"/>
      <c r="J3842" s="23"/>
      <c r="K3842" s="30"/>
      <c r="L3842" s="23"/>
      <c r="M3842" s="50" t="s">
        <v>10178</v>
      </c>
      <c r="N3842" s="51"/>
      <c r="O3842" s="20"/>
      <c r="P3842" s="20"/>
      <c r="Q3842" s="20"/>
      <c r="R3842" s="20"/>
      <c r="S3842" s="20"/>
    </row>
    <row r="3843">
      <c r="A3843" s="10"/>
      <c r="B3843" s="11"/>
      <c r="C3843" s="10"/>
      <c r="D3843" s="13"/>
      <c r="E3843" s="14"/>
      <c r="F3843" s="14"/>
      <c r="G3843" s="14"/>
      <c r="H3843" s="10"/>
      <c r="I3843" s="10"/>
      <c r="J3843" s="10"/>
      <c r="K3843" s="46"/>
      <c r="L3843" s="10"/>
      <c r="M3843" s="44" t="s">
        <v>10178</v>
      </c>
      <c r="N3843" s="45"/>
      <c r="O3843" s="20"/>
      <c r="P3843" s="20"/>
      <c r="Q3843" s="20"/>
      <c r="R3843" s="20"/>
      <c r="S3843" s="20"/>
    </row>
    <row r="3844">
      <c r="A3844" s="23"/>
      <c r="B3844" s="21"/>
      <c r="C3844" s="23"/>
      <c r="D3844" s="24"/>
      <c r="E3844" s="14"/>
      <c r="F3844" s="14"/>
      <c r="G3844" s="14"/>
      <c r="H3844" s="23"/>
      <c r="I3844" s="23"/>
      <c r="J3844" s="23"/>
      <c r="K3844" s="30"/>
      <c r="L3844" s="23"/>
      <c r="M3844" s="50" t="s">
        <v>10178</v>
      </c>
      <c r="N3844" s="51"/>
      <c r="O3844" s="20"/>
      <c r="P3844" s="20"/>
      <c r="Q3844" s="20"/>
      <c r="R3844" s="20"/>
      <c r="S3844" s="20"/>
    </row>
    <row r="3845">
      <c r="A3845" s="10"/>
      <c r="B3845" s="11"/>
      <c r="C3845" s="10"/>
      <c r="D3845" s="13"/>
      <c r="E3845" s="14"/>
      <c r="F3845" s="14"/>
      <c r="G3845" s="14"/>
      <c r="H3845" s="10"/>
      <c r="I3845" s="10"/>
      <c r="J3845" s="10"/>
      <c r="K3845" s="46"/>
      <c r="L3845" s="10"/>
      <c r="M3845" s="44" t="s">
        <v>10178</v>
      </c>
      <c r="N3845" s="45"/>
      <c r="O3845" s="20"/>
      <c r="P3845" s="20"/>
      <c r="Q3845" s="20"/>
      <c r="R3845" s="20"/>
      <c r="S3845" s="20"/>
    </row>
    <row r="3846">
      <c r="A3846" s="23"/>
      <c r="B3846" s="21"/>
      <c r="C3846" s="23"/>
      <c r="D3846" s="24"/>
      <c r="E3846" s="14"/>
      <c r="F3846" s="14"/>
      <c r="G3846" s="14"/>
      <c r="H3846" s="23"/>
      <c r="I3846" s="23"/>
      <c r="J3846" s="23"/>
      <c r="K3846" s="30"/>
      <c r="L3846" s="23"/>
      <c r="M3846" s="50" t="s">
        <v>10178</v>
      </c>
      <c r="N3846" s="51"/>
      <c r="O3846" s="20"/>
      <c r="P3846" s="20"/>
      <c r="Q3846" s="20"/>
      <c r="R3846" s="20"/>
      <c r="S3846" s="20"/>
    </row>
    <row r="3847">
      <c r="A3847" s="10"/>
      <c r="B3847" s="11"/>
      <c r="C3847" s="10"/>
      <c r="D3847" s="13"/>
      <c r="E3847" s="14"/>
      <c r="F3847" s="14"/>
      <c r="G3847" s="14"/>
      <c r="H3847" s="10"/>
      <c r="I3847" s="10"/>
      <c r="J3847" s="10"/>
      <c r="K3847" s="46"/>
      <c r="L3847" s="10"/>
      <c r="M3847" s="44" t="s">
        <v>10178</v>
      </c>
      <c r="N3847" s="45"/>
      <c r="O3847" s="20"/>
      <c r="P3847" s="20"/>
      <c r="Q3847" s="20"/>
      <c r="R3847" s="20"/>
      <c r="S3847" s="20"/>
    </row>
    <row r="3848">
      <c r="A3848" s="23"/>
      <c r="B3848" s="21"/>
      <c r="C3848" s="23"/>
      <c r="D3848" s="24"/>
      <c r="E3848" s="14"/>
      <c r="F3848" s="14"/>
      <c r="G3848" s="14"/>
      <c r="H3848" s="23"/>
      <c r="I3848" s="23"/>
      <c r="J3848" s="23"/>
      <c r="K3848" s="30"/>
      <c r="L3848" s="23"/>
      <c r="M3848" s="50" t="s">
        <v>10178</v>
      </c>
      <c r="N3848" s="51"/>
      <c r="O3848" s="20"/>
      <c r="P3848" s="20"/>
      <c r="Q3848" s="20"/>
      <c r="R3848" s="20"/>
      <c r="S3848" s="20"/>
    </row>
    <row r="3849">
      <c r="A3849" s="10"/>
      <c r="B3849" s="11"/>
      <c r="C3849" s="10"/>
      <c r="D3849" s="13"/>
      <c r="E3849" s="14"/>
      <c r="F3849" s="14"/>
      <c r="G3849" s="14"/>
      <c r="H3849" s="10"/>
      <c r="I3849" s="10"/>
      <c r="J3849" s="10"/>
      <c r="K3849" s="46"/>
      <c r="L3849" s="10"/>
      <c r="M3849" s="44" t="s">
        <v>10178</v>
      </c>
      <c r="N3849" s="45"/>
      <c r="O3849" s="20"/>
      <c r="P3849" s="20"/>
      <c r="Q3849" s="20"/>
      <c r="R3849" s="20"/>
      <c r="S3849" s="20"/>
    </row>
    <row r="3850">
      <c r="A3850" s="23"/>
      <c r="B3850" s="21"/>
      <c r="C3850" s="23"/>
      <c r="D3850" s="24"/>
      <c r="E3850" s="14"/>
      <c r="F3850" s="14"/>
      <c r="G3850" s="14"/>
      <c r="H3850" s="23"/>
      <c r="I3850" s="23"/>
      <c r="J3850" s="23"/>
      <c r="K3850" s="30"/>
      <c r="L3850" s="23"/>
      <c r="M3850" s="50" t="s">
        <v>10178</v>
      </c>
      <c r="N3850" s="51"/>
      <c r="O3850" s="20"/>
      <c r="P3850" s="20"/>
      <c r="Q3850" s="20"/>
      <c r="R3850" s="20"/>
      <c r="S3850" s="20"/>
    </row>
    <row r="3851">
      <c r="A3851" s="10"/>
      <c r="B3851" s="11"/>
      <c r="C3851" s="10"/>
      <c r="D3851" s="13"/>
      <c r="E3851" s="14"/>
      <c r="F3851" s="14"/>
      <c r="G3851" s="14"/>
      <c r="H3851" s="10"/>
      <c r="I3851" s="10"/>
      <c r="J3851" s="10"/>
      <c r="K3851" s="46"/>
      <c r="L3851" s="10"/>
      <c r="M3851" s="44" t="s">
        <v>10178</v>
      </c>
      <c r="N3851" s="45"/>
      <c r="O3851" s="20"/>
      <c r="P3851" s="20"/>
      <c r="Q3851" s="20"/>
      <c r="R3851" s="20"/>
      <c r="S3851" s="20"/>
    </row>
    <row r="3852">
      <c r="A3852" s="23"/>
      <c r="B3852" s="21"/>
      <c r="C3852" s="23"/>
      <c r="D3852" s="24"/>
      <c r="E3852" s="14"/>
      <c r="F3852" s="14"/>
      <c r="G3852" s="14"/>
      <c r="H3852" s="23"/>
      <c r="I3852" s="23"/>
      <c r="J3852" s="23"/>
      <c r="K3852" s="30"/>
      <c r="L3852" s="23"/>
      <c r="M3852" s="50" t="s">
        <v>10178</v>
      </c>
      <c r="N3852" s="51"/>
      <c r="O3852" s="20"/>
      <c r="P3852" s="20"/>
      <c r="Q3852" s="20"/>
      <c r="R3852" s="20"/>
      <c r="S3852" s="20"/>
    </row>
    <row r="3853">
      <c r="A3853" s="10"/>
      <c r="B3853" s="11"/>
      <c r="C3853" s="10"/>
      <c r="D3853" s="13"/>
      <c r="E3853" s="14"/>
      <c r="F3853" s="14"/>
      <c r="G3853" s="14"/>
      <c r="H3853" s="10"/>
      <c r="I3853" s="10"/>
      <c r="J3853" s="10"/>
      <c r="K3853" s="46"/>
      <c r="L3853" s="10"/>
      <c r="M3853" s="44" t="s">
        <v>10178</v>
      </c>
      <c r="N3853" s="45"/>
      <c r="O3853" s="20"/>
      <c r="P3853" s="20"/>
      <c r="Q3853" s="20"/>
      <c r="R3853" s="20"/>
      <c r="S3853" s="20"/>
    </row>
    <row r="3854">
      <c r="A3854" s="23"/>
      <c r="B3854" s="21"/>
      <c r="C3854" s="23"/>
      <c r="D3854" s="24"/>
      <c r="E3854" s="14"/>
      <c r="F3854" s="14"/>
      <c r="G3854" s="14"/>
      <c r="H3854" s="23"/>
      <c r="I3854" s="23"/>
      <c r="J3854" s="23"/>
      <c r="K3854" s="30"/>
      <c r="L3854" s="23"/>
      <c r="M3854" s="50" t="s">
        <v>10178</v>
      </c>
      <c r="N3854" s="51"/>
      <c r="O3854" s="20"/>
      <c r="P3854" s="20"/>
      <c r="Q3854" s="20"/>
      <c r="R3854" s="20"/>
      <c r="S3854" s="20"/>
    </row>
    <row r="3855">
      <c r="A3855" s="10"/>
      <c r="B3855" s="11"/>
      <c r="C3855" s="10"/>
      <c r="D3855" s="13"/>
      <c r="E3855" s="14"/>
      <c r="F3855" s="14"/>
      <c r="G3855" s="14"/>
      <c r="H3855" s="10"/>
      <c r="I3855" s="10"/>
      <c r="J3855" s="10"/>
      <c r="K3855" s="46"/>
      <c r="L3855" s="10"/>
      <c r="M3855" s="44" t="s">
        <v>10178</v>
      </c>
      <c r="N3855" s="45"/>
      <c r="O3855" s="20"/>
      <c r="P3855" s="20"/>
      <c r="Q3855" s="20"/>
      <c r="R3855" s="20"/>
      <c r="S3855" s="20"/>
    </row>
    <row r="3856">
      <c r="A3856" s="23"/>
      <c r="B3856" s="21"/>
      <c r="C3856" s="23"/>
      <c r="D3856" s="24"/>
      <c r="E3856" s="14"/>
      <c r="F3856" s="14"/>
      <c r="G3856" s="14"/>
      <c r="H3856" s="23"/>
      <c r="I3856" s="23"/>
      <c r="J3856" s="23"/>
      <c r="K3856" s="30"/>
      <c r="L3856" s="23"/>
      <c r="M3856" s="50" t="s">
        <v>10178</v>
      </c>
      <c r="N3856" s="51"/>
      <c r="O3856" s="20"/>
      <c r="P3856" s="20"/>
      <c r="Q3856" s="20"/>
      <c r="R3856" s="20"/>
      <c r="S3856" s="20"/>
    </row>
    <row r="3857">
      <c r="A3857" s="10"/>
      <c r="B3857" s="11"/>
      <c r="C3857" s="10"/>
      <c r="D3857" s="13"/>
      <c r="E3857" s="14"/>
      <c r="F3857" s="14"/>
      <c r="G3857" s="14"/>
      <c r="H3857" s="10"/>
      <c r="I3857" s="10"/>
      <c r="J3857" s="10"/>
      <c r="K3857" s="46"/>
      <c r="L3857" s="10"/>
      <c r="M3857" s="44" t="s">
        <v>10178</v>
      </c>
      <c r="N3857" s="45"/>
      <c r="O3857" s="20"/>
      <c r="P3857" s="20"/>
      <c r="Q3857" s="20"/>
      <c r="R3857" s="20"/>
      <c r="S3857" s="20"/>
    </row>
    <row r="3858">
      <c r="A3858" s="23"/>
      <c r="B3858" s="21"/>
      <c r="C3858" s="23"/>
      <c r="D3858" s="24"/>
      <c r="E3858" s="14"/>
      <c r="F3858" s="14"/>
      <c r="G3858" s="14"/>
      <c r="H3858" s="23"/>
      <c r="I3858" s="23"/>
      <c r="J3858" s="23"/>
      <c r="K3858" s="30"/>
      <c r="L3858" s="23"/>
      <c r="M3858" s="50" t="s">
        <v>10178</v>
      </c>
      <c r="N3858" s="51"/>
      <c r="O3858" s="20"/>
      <c r="P3858" s="20"/>
      <c r="Q3858" s="20"/>
      <c r="R3858" s="20"/>
      <c r="S3858" s="20"/>
    </row>
    <row r="3859">
      <c r="A3859" s="10"/>
      <c r="B3859" s="11"/>
      <c r="C3859" s="10"/>
      <c r="D3859" s="13"/>
      <c r="E3859" s="14"/>
      <c r="F3859" s="14"/>
      <c r="G3859" s="14"/>
      <c r="H3859" s="10"/>
      <c r="I3859" s="10"/>
      <c r="J3859" s="10"/>
      <c r="K3859" s="46"/>
      <c r="L3859" s="10"/>
      <c r="M3859" s="44" t="s">
        <v>10178</v>
      </c>
      <c r="N3859" s="45"/>
      <c r="O3859" s="20"/>
      <c r="P3859" s="20"/>
      <c r="Q3859" s="20"/>
      <c r="R3859" s="20"/>
      <c r="S3859" s="20"/>
    </row>
    <row r="3860">
      <c r="A3860" s="23"/>
      <c r="B3860" s="21"/>
      <c r="C3860" s="23"/>
      <c r="D3860" s="24"/>
      <c r="E3860" s="14"/>
      <c r="F3860" s="14"/>
      <c r="G3860" s="14"/>
      <c r="H3860" s="23"/>
      <c r="I3860" s="23"/>
      <c r="J3860" s="23"/>
      <c r="K3860" s="30"/>
      <c r="L3860" s="23"/>
      <c r="M3860" s="50" t="s">
        <v>10178</v>
      </c>
      <c r="N3860" s="51"/>
      <c r="O3860" s="20"/>
      <c r="P3860" s="20"/>
      <c r="Q3860" s="20"/>
      <c r="R3860" s="20"/>
      <c r="S3860" s="20"/>
    </row>
    <row r="3861">
      <c r="A3861" s="10"/>
      <c r="B3861" s="11"/>
      <c r="C3861" s="10"/>
      <c r="D3861" s="13"/>
      <c r="E3861" s="14"/>
      <c r="F3861" s="14"/>
      <c r="G3861" s="14"/>
      <c r="H3861" s="10"/>
      <c r="I3861" s="10"/>
      <c r="J3861" s="10"/>
      <c r="K3861" s="46"/>
      <c r="L3861" s="10"/>
      <c r="M3861" s="44" t="s">
        <v>10178</v>
      </c>
      <c r="N3861" s="45"/>
      <c r="O3861" s="20"/>
      <c r="P3861" s="20"/>
      <c r="Q3861" s="20"/>
      <c r="R3861" s="20"/>
      <c r="S3861" s="20"/>
    </row>
    <row r="3862">
      <c r="A3862" s="23"/>
      <c r="B3862" s="21"/>
      <c r="C3862" s="23"/>
      <c r="D3862" s="24"/>
      <c r="E3862" s="14"/>
      <c r="F3862" s="14"/>
      <c r="G3862" s="14"/>
      <c r="H3862" s="23"/>
      <c r="I3862" s="23"/>
      <c r="J3862" s="23"/>
      <c r="K3862" s="30"/>
      <c r="L3862" s="23"/>
      <c r="M3862" s="50" t="s">
        <v>10178</v>
      </c>
      <c r="N3862" s="51"/>
      <c r="O3862" s="20"/>
      <c r="P3862" s="20"/>
      <c r="Q3862" s="20"/>
      <c r="R3862" s="20"/>
      <c r="S3862" s="20"/>
    </row>
    <row r="3863">
      <c r="A3863" s="10"/>
      <c r="B3863" s="11"/>
      <c r="C3863" s="10"/>
      <c r="D3863" s="13"/>
      <c r="E3863" s="14"/>
      <c r="F3863" s="14"/>
      <c r="G3863" s="14"/>
      <c r="H3863" s="10"/>
      <c r="I3863" s="10"/>
      <c r="J3863" s="10"/>
      <c r="K3863" s="46"/>
      <c r="L3863" s="10"/>
      <c r="M3863" s="44" t="s">
        <v>10178</v>
      </c>
      <c r="N3863" s="45"/>
      <c r="O3863" s="20"/>
      <c r="P3863" s="20"/>
      <c r="Q3863" s="20"/>
      <c r="R3863" s="20"/>
      <c r="S3863" s="20"/>
    </row>
    <row r="3864">
      <c r="A3864" s="23"/>
      <c r="B3864" s="21"/>
      <c r="C3864" s="23"/>
      <c r="D3864" s="24"/>
      <c r="E3864" s="14"/>
      <c r="F3864" s="14"/>
      <c r="G3864" s="14"/>
      <c r="H3864" s="23"/>
      <c r="I3864" s="23"/>
      <c r="J3864" s="23"/>
      <c r="K3864" s="30"/>
      <c r="L3864" s="23"/>
      <c r="M3864" s="50" t="s">
        <v>10178</v>
      </c>
      <c r="N3864" s="51"/>
      <c r="O3864" s="20"/>
      <c r="P3864" s="20"/>
      <c r="Q3864" s="20"/>
      <c r="R3864" s="20"/>
      <c r="S3864" s="20"/>
    </row>
    <row r="3865">
      <c r="A3865" s="10"/>
      <c r="B3865" s="11"/>
      <c r="C3865" s="10"/>
      <c r="D3865" s="13"/>
      <c r="E3865" s="14"/>
      <c r="F3865" s="14"/>
      <c r="G3865" s="14"/>
      <c r="H3865" s="10"/>
      <c r="I3865" s="10"/>
      <c r="J3865" s="10"/>
      <c r="K3865" s="46"/>
      <c r="L3865" s="10"/>
      <c r="M3865" s="44" t="s">
        <v>10178</v>
      </c>
      <c r="N3865" s="45"/>
      <c r="O3865" s="20"/>
      <c r="P3865" s="20"/>
      <c r="Q3865" s="20"/>
      <c r="R3865" s="20"/>
      <c r="S3865" s="20"/>
    </row>
    <row r="3866">
      <c r="A3866" s="23"/>
      <c r="B3866" s="21"/>
      <c r="C3866" s="23"/>
      <c r="D3866" s="24"/>
      <c r="E3866" s="14"/>
      <c r="F3866" s="14"/>
      <c r="G3866" s="14"/>
      <c r="H3866" s="23"/>
      <c r="I3866" s="23"/>
      <c r="J3866" s="23"/>
      <c r="K3866" s="30"/>
      <c r="L3866" s="23"/>
      <c r="M3866" s="50" t="s">
        <v>10178</v>
      </c>
      <c r="N3866" s="51"/>
      <c r="O3866" s="20"/>
      <c r="P3866" s="20"/>
      <c r="Q3866" s="20"/>
      <c r="R3866" s="20"/>
      <c r="S3866" s="20"/>
    </row>
    <row r="3867">
      <c r="A3867" s="10"/>
      <c r="B3867" s="11"/>
      <c r="C3867" s="10"/>
      <c r="D3867" s="13"/>
      <c r="E3867" s="14"/>
      <c r="F3867" s="14"/>
      <c r="G3867" s="14"/>
      <c r="H3867" s="10"/>
      <c r="I3867" s="10"/>
      <c r="J3867" s="10"/>
      <c r="K3867" s="46"/>
      <c r="L3867" s="10"/>
      <c r="M3867" s="44" t="s">
        <v>10178</v>
      </c>
      <c r="N3867" s="45"/>
      <c r="O3867" s="20"/>
      <c r="P3867" s="20"/>
      <c r="Q3867" s="20"/>
      <c r="R3867" s="20"/>
      <c r="S3867" s="20"/>
    </row>
    <row r="3868">
      <c r="A3868" s="23"/>
      <c r="B3868" s="21"/>
      <c r="C3868" s="23"/>
      <c r="D3868" s="24"/>
      <c r="E3868" s="14"/>
      <c r="F3868" s="14"/>
      <c r="G3868" s="14"/>
      <c r="H3868" s="23"/>
      <c r="I3868" s="23"/>
      <c r="J3868" s="23"/>
      <c r="K3868" s="30"/>
      <c r="L3868" s="23"/>
      <c r="M3868" s="50" t="s">
        <v>10178</v>
      </c>
      <c r="N3868" s="51"/>
      <c r="O3868" s="20"/>
      <c r="P3868" s="20"/>
      <c r="Q3868" s="20"/>
      <c r="R3868" s="20"/>
      <c r="S3868" s="20"/>
    </row>
    <row r="3869">
      <c r="A3869" s="10"/>
      <c r="B3869" s="11"/>
      <c r="C3869" s="10"/>
      <c r="D3869" s="13"/>
      <c r="E3869" s="14"/>
      <c r="F3869" s="14"/>
      <c r="G3869" s="14"/>
      <c r="H3869" s="10"/>
      <c r="I3869" s="10"/>
      <c r="J3869" s="10"/>
      <c r="K3869" s="46"/>
      <c r="L3869" s="10"/>
      <c r="M3869" s="44" t="s">
        <v>10178</v>
      </c>
      <c r="N3869" s="45"/>
      <c r="O3869" s="20"/>
      <c r="P3869" s="20"/>
      <c r="Q3869" s="20"/>
      <c r="R3869" s="20"/>
      <c r="S3869" s="20"/>
    </row>
    <row r="3870">
      <c r="A3870" s="23"/>
      <c r="B3870" s="21"/>
      <c r="C3870" s="23"/>
      <c r="D3870" s="24"/>
      <c r="E3870" s="14"/>
      <c r="F3870" s="14"/>
      <c r="G3870" s="14"/>
      <c r="H3870" s="23"/>
      <c r="I3870" s="23"/>
      <c r="J3870" s="23"/>
      <c r="K3870" s="30"/>
      <c r="L3870" s="23"/>
      <c r="M3870" s="50" t="s">
        <v>10178</v>
      </c>
      <c r="N3870" s="51"/>
      <c r="O3870" s="20"/>
      <c r="P3870" s="20"/>
      <c r="Q3870" s="20"/>
      <c r="R3870" s="20"/>
      <c r="S3870" s="20"/>
    </row>
    <row r="3871">
      <c r="A3871" s="10"/>
      <c r="B3871" s="11"/>
      <c r="C3871" s="10"/>
      <c r="D3871" s="13"/>
      <c r="E3871" s="14"/>
      <c r="F3871" s="14"/>
      <c r="G3871" s="14"/>
      <c r="H3871" s="10"/>
      <c r="I3871" s="10"/>
      <c r="J3871" s="10"/>
      <c r="K3871" s="46"/>
      <c r="L3871" s="10"/>
      <c r="M3871" s="44" t="s">
        <v>10178</v>
      </c>
      <c r="N3871" s="45"/>
      <c r="O3871" s="20"/>
      <c r="P3871" s="20"/>
      <c r="Q3871" s="20"/>
      <c r="R3871" s="20"/>
      <c r="S3871" s="20"/>
    </row>
    <row r="3872">
      <c r="A3872" s="23"/>
      <c r="B3872" s="21"/>
      <c r="C3872" s="23"/>
      <c r="D3872" s="24"/>
      <c r="E3872" s="14"/>
      <c r="F3872" s="14"/>
      <c r="G3872" s="14"/>
      <c r="H3872" s="23"/>
      <c r="I3872" s="23"/>
      <c r="J3872" s="23"/>
      <c r="K3872" s="30"/>
      <c r="L3872" s="23"/>
      <c r="M3872" s="50" t="s">
        <v>10178</v>
      </c>
      <c r="N3872" s="51"/>
      <c r="O3872" s="20"/>
      <c r="P3872" s="20"/>
      <c r="Q3872" s="20"/>
      <c r="R3872" s="20"/>
      <c r="S3872" s="20"/>
    </row>
    <row r="3873">
      <c r="A3873" s="10"/>
      <c r="B3873" s="11"/>
      <c r="C3873" s="10"/>
      <c r="D3873" s="13"/>
      <c r="E3873" s="14"/>
      <c r="F3873" s="14"/>
      <c r="G3873" s="14"/>
      <c r="H3873" s="10"/>
      <c r="I3873" s="10"/>
      <c r="J3873" s="10"/>
      <c r="K3873" s="46"/>
      <c r="L3873" s="10"/>
      <c r="M3873" s="44" t="s">
        <v>10178</v>
      </c>
      <c r="N3873" s="45"/>
      <c r="O3873" s="20"/>
      <c r="P3873" s="20"/>
      <c r="Q3873" s="20"/>
      <c r="R3873" s="20"/>
      <c r="S3873" s="20"/>
    </row>
    <row r="3874">
      <c r="A3874" s="23"/>
      <c r="B3874" s="21"/>
      <c r="C3874" s="23"/>
      <c r="D3874" s="24"/>
      <c r="E3874" s="14"/>
      <c r="F3874" s="14"/>
      <c r="G3874" s="14"/>
      <c r="H3874" s="23"/>
      <c r="I3874" s="23"/>
      <c r="J3874" s="23"/>
      <c r="K3874" s="30"/>
      <c r="L3874" s="23"/>
      <c r="M3874" s="50" t="s">
        <v>10178</v>
      </c>
      <c r="N3874" s="51"/>
      <c r="O3874" s="20"/>
      <c r="P3874" s="20"/>
      <c r="Q3874" s="20"/>
      <c r="R3874" s="20"/>
      <c r="S3874" s="20"/>
    </row>
    <row r="3875">
      <c r="A3875" s="10"/>
      <c r="B3875" s="11"/>
      <c r="C3875" s="10"/>
      <c r="D3875" s="13"/>
      <c r="E3875" s="14"/>
      <c r="F3875" s="14"/>
      <c r="G3875" s="14"/>
      <c r="H3875" s="10"/>
      <c r="I3875" s="10"/>
      <c r="J3875" s="10"/>
      <c r="K3875" s="46"/>
      <c r="L3875" s="10"/>
      <c r="M3875" s="44" t="s">
        <v>10178</v>
      </c>
      <c r="N3875" s="45"/>
      <c r="O3875" s="20"/>
      <c r="P3875" s="20"/>
      <c r="Q3875" s="20"/>
      <c r="R3875" s="20"/>
      <c r="S3875" s="20"/>
    </row>
    <row r="3876">
      <c r="A3876" s="23"/>
      <c r="B3876" s="21"/>
      <c r="C3876" s="23"/>
      <c r="D3876" s="24"/>
      <c r="E3876" s="14"/>
      <c r="F3876" s="14"/>
      <c r="G3876" s="14"/>
      <c r="H3876" s="23"/>
      <c r="I3876" s="23"/>
      <c r="J3876" s="23"/>
      <c r="K3876" s="30"/>
      <c r="L3876" s="23"/>
      <c r="M3876" s="50" t="s">
        <v>10178</v>
      </c>
      <c r="N3876" s="51"/>
      <c r="O3876" s="20"/>
      <c r="P3876" s="20"/>
      <c r="Q3876" s="20"/>
      <c r="R3876" s="20"/>
      <c r="S3876" s="20"/>
    </row>
    <row r="3877">
      <c r="A3877" s="10"/>
      <c r="B3877" s="11"/>
      <c r="C3877" s="10"/>
      <c r="D3877" s="13"/>
      <c r="E3877" s="14"/>
      <c r="F3877" s="14"/>
      <c r="G3877" s="14"/>
      <c r="H3877" s="10"/>
      <c r="I3877" s="10"/>
      <c r="J3877" s="10"/>
      <c r="K3877" s="46"/>
      <c r="L3877" s="10"/>
      <c r="M3877" s="44" t="s">
        <v>10178</v>
      </c>
      <c r="N3877" s="45"/>
      <c r="O3877" s="20"/>
      <c r="P3877" s="20"/>
      <c r="Q3877" s="20"/>
      <c r="R3877" s="20"/>
      <c r="S3877" s="20"/>
    </row>
    <row r="3878">
      <c r="A3878" s="23"/>
      <c r="B3878" s="21"/>
      <c r="C3878" s="23"/>
      <c r="D3878" s="24"/>
      <c r="E3878" s="14"/>
      <c r="F3878" s="14"/>
      <c r="G3878" s="14"/>
      <c r="H3878" s="23"/>
      <c r="I3878" s="23"/>
      <c r="J3878" s="23"/>
      <c r="K3878" s="30"/>
      <c r="L3878" s="23"/>
      <c r="M3878" s="50" t="s">
        <v>10178</v>
      </c>
      <c r="N3878" s="51"/>
      <c r="O3878" s="20"/>
      <c r="P3878" s="20"/>
      <c r="Q3878" s="20"/>
      <c r="R3878" s="20"/>
      <c r="S3878" s="20"/>
    </row>
    <row r="3879">
      <c r="A3879" s="10"/>
      <c r="B3879" s="11"/>
      <c r="C3879" s="10"/>
      <c r="D3879" s="13"/>
      <c r="E3879" s="14"/>
      <c r="F3879" s="14"/>
      <c r="G3879" s="14"/>
      <c r="H3879" s="10"/>
      <c r="I3879" s="10"/>
      <c r="J3879" s="10"/>
      <c r="K3879" s="46"/>
      <c r="L3879" s="10"/>
      <c r="M3879" s="44" t="s">
        <v>10178</v>
      </c>
      <c r="N3879" s="45"/>
      <c r="O3879" s="20"/>
      <c r="P3879" s="20"/>
      <c r="Q3879" s="20"/>
      <c r="R3879" s="20"/>
      <c r="S3879" s="20"/>
    </row>
    <row r="3880">
      <c r="A3880" s="23"/>
      <c r="B3880" s="21"/>
      <c r="C3880" s="23"/>
      <c r="D3880" s="24"/>
      <c r="E3880" s="14"/>
      <c r="F3880" s="14"/>
      <c r="G3880" s="14"/>
      <c r="H3880" s="23"/>
      <c r="I3880" s="23"/>
      <c r="J3880" s="23"/>
      <c r="K3880" s="30"/>
      <c r="L3880" s="23"/>
      <c r="M3880" s="50" t="s">
        <v>10178</v>
      </c>
      <c r="N3880" s="51"/>
      <c r="O3880" s="20"/>
      <c r="P3880" s="20"/>
      <c r="Q3880" s="20"/>
      <c r="R3880" s="20"/>
      <c r="S3880" s="20"/>
    </row>
    <row r="3881">
      <c r="A3881" s="10"/>
      <c r="B3881" s="11"/>
      <c r="C3881" s="10"/>
      <c r="D3881" s="13"/>
      <c r="E3881" s="14"/>
      <c r="F3881" s="14"/>
      <c r="G3881" s="14"/>
      <c r="H3881" s="10"/>
      <c r="I3881" s="10"/>
      <c r="J3881" s="10"/>
      <c r="K3881" s="46"/>
      <c r="L3881" s="10"/>
      <c r="M3881" s="44" t="s">
        <v>10178</v>
      </c>
      <c r="N3881" s="45"/>
      <c r="O3881" s="20"/>
      <c r="P3881" s="20"/>
      <c r="Q3881" s="20"/>
      <c r="R3881" s="20"/>
      <c r="S3881" s="20"/>
    </row>
    <row r="3882">
      <c r="A3882" s="23"/>
      <c r="B3882" s="21"/>
      <c r="C3882" s="23"/>
      <c r="D3882" s="24"/>
      <c r="E3882" s="14"/>
      <c r="F3882" s="14"/>
      <c r="G3882" s="14"/>
      <c r="H3882" s="23"/>
      <c r="I3882" s="23"/>
      <c r="J3882" s="23"/>
      <c r="K3882" s="30"/>
      <c r="L3882" s="23"/>
      <c r="M3882" s="50" t="s">
        <v>10178</v>
      </c>
      <c r="N3882" s="51"/>
      <c r="O3882" s="20"/>
      <c r="P3882" s="20"/>
      <c r="Q3882" s="20"/>
      <c r="R3882" s="20"/>
      <c r="S3882" s="20"/>
    </row>
    <row r="3883">
      <c r="A3883" s="10"/>
      <c r="B3883" s="11"/>
      <c r="C3883" s="10"/>
      <c r="D3883" s="13"/>
      <c r="E3883" s="14"/>
      <c r="F3883" s="14"/>
      <c r="G3883" s="14"/>
      <c r="H3883" s="10"/>
      <c r="I3883" s="10"/>
      <c r="J3883" s="10"/>
      <c r="K3883" s="46"/>
      <c r="L3883" s="10"/>
      <c r="M3883" s="44" t="s">
        <v>10178</v>
      </c>
      <c r="N3883" s="45"/>
      <c r="O3883" s="20"/>
      <c r="P3883" s="20"/>
      <c r="Q3883" s="20"/>
      <c r="R3883" s="20"/>
      <c r="S3883" s="20"/>
    </row>
    <row r="3884">
      <c r="A3884" s="23"/>
      <c r="B3884" s="21"/>
      <c r="C3884" s="23"/>
      <c r="D3884" s="24"/>
      <c r="E3884" s="14"/>
      <c r="F3884" s="14"/>
      <c r="G3884" s="14"/>
      <c r="H3884" s="23"/>
      <c r="I3884" s="23"/>
      <c r="J3884" s="23"/>
      <c r="K3884" s="30"/>
      <c r="L3884" s="23"/>
      <c r="M3884" s="50" t="s">
        <v>10178</v>
      </c>
      <c r="N3884" s="51"/>
      <c r="O3884" s="20"/>
      <c r="P3884" s="20"/>
      <c r="Q3884" s="20"/>
      <c r="R3884" s="20"/>
      <c r="S3884" s="20"/>
    </row>
    <row r="3885">
      <c r="A3885" s="10"/>
      <c r="B3885" s="11"/>
      <c r="C3885" s="10"/>
      <c r="D3885" s="13"/>
      <c r="E3885" s="14"/>
      <c r="F3885" s="14"/>
      <c r="G3885" s="14"/>
      <c r="H3885" s="10"/>
      <c r="I3885" s="10"/>
      <c r="J3885" s="10"/>
      <c r="K3885" s="46"/>
      <c r="L3885" s="10"/>
      <c r="M3885" s="44" t="s">
        <v>10178</v>
      </c>
      <c r="N3885" s="45"/>
      <c r="O3885" s="20"/>
      <c r="P3885" s="20"/>
      <c r="Q3885" s="20"/>
      <c r="R3885" s="20"/>
      <c r="S3885" s="20"/>
    </row>
    <row r="3886">
      <c r="A3886" s="23"/>
      <c r="B3886" s="21"/>
      <c r="C3886" s="23"/>
      <c r="D3886" s="24"/>
      <c r="E3886" s="14"/>
      <c r="F3886" s="14"/>
      <c r="G3886" s="14"/>
      <c r="H3886" s="23"/>
      <c r="I3886" s="23"/>
      <c r="J3886" s="23"/>
      <c r="K3886" s="30"/>
      <c r="L3886" s="23"/>
      <c r="M3886" s="50" t="s">
        <v>10178</v>
      </c>
      <c r="N3886" s="51"/>
      <c r="O3886" s="20"/>
      <c r="P3886" s="20"/>
      <c r="Q3886" s="20"/>
      <c r="R3886" s="20"/>
      <c r="S3886" s="20"/>
    </row>
    <row r="3887">
      <c r="A3887" s="10"/>
      <c r="B3887" s="11"/>
      <c r="C3887" s="10"/>
      <c r="D3887" s="13"/>
      <c r="E3887" s="14"/>
      <c r="F3887" s="14"/>
      <c r="G3887" s="14"/>
      <c r="H3887" s="10"/>
      <c r="I3887" s="10"/>
      <c r="J3887" s="10"/>
      <c r="K3887" s="46"/>
      <c r="L3887" s="10"/>
      <c r="M3887" s="44" t="s">
        <v>10178</v>
      </c>
      <c r="N3887" s="45"/>
      <c r="O3887" s="20"/>
      <c r="P3887" s="20"/>
      <c r="Q3887" s="20"/>
      <c r="R3887" s="20"/>
      <c r="S3887" s="20"/>
    </row>
    <row r="3888">
      <c r="A3888" s="23"/>
      <c r="B3888" s="21"/>
      <c r="C3888" s="23"/>
      <c r="D3888" s="24"/>
      <c r="E3888" s="14"/>
      <c r="F3888" s="14"/>
      <c r="G3888" s="14"/>
      <c r="H3888" s="23"/>
      <c r="I3888" s="23"/>
      <c r="J3888" s="23"/>
      <c r="K3888" s="30"/>
      <c r="L3888" s="23"/>
      <c r="M3888" s="50" t="s">
        <v>10178</v>
      </c>
      <c r="N3888" s="51"/>
      <c r="O3888" s="20"/>
      <c r="P3888" s="20"/>
      <c r="Q3888" s="20"/>
      <c r="R3888" s="20"/>
      <c r="S3888" s="20"/>
    </row>
    <row r="3889">
      <c r="A3889" s="10"/>
      <c r="B3889" s="11"/>
      <c r="C3889" s="10"/>
      <c r="D3889" s="13"/>
      <c r="E3889" s="14"/>
      <c r="F3889" s="14"/>
      <c r="G3889" s="14"/>
      <c r="H3889" s="10"/>
      <c r="I3889" s="10"/>
      <c r="J3889" s="10"/>
      <c r="K3889" s="46"/>
      <c r="L3889" s="10"/>
      <c r="M3889" s="44" t="s">
        <v>10178</v>
      </c>
      <c r="N3889" s="45"/>
      <c r="O3889" s="20"/>
      <c r="P3889" s="20"/>
      <c r="Q3889" s="20"/>
      <c r="R3889" s="20"/>
      <c r="S3889" s="20"/>
    </row>
    <row r="3890">
      <c r="A3890" s="23"/>
      <c r="B3890" s="21"/>
      <c r="C3890" s="23"/>
      <c r="D3890" s="24"/>
      <c r="E3890" s="14"/>
      <c r="F3890" s="14"/>
      <c r="G3890" s="14"/>
      <c r="H3890" s="23"/>
      <c r="I3890" s="23"/>
      <c r="J3890" s="23"/>
      <c r="K3890" s="30"/>
      <c r="L3890" s="23"/>
      <c r="M3890" s="50" t="s">
        <v>10178</v>
      </c>
      <c r="N3890" s="51"/>
      <c r="O3890" s="20"/>
      <c r="P3890" s="20"/>
      <c r="Q3890" s="20"/>
      <c r="R3890" s="20"/>
      <c r="S3890" s="20"/>
    </row>
    <row r="3891">
      <c r="A3891" s="10"/>
      <c r="B3891" s="11"/>
      <c r="C3891" s="10"/>
      <c r="D3891" s="13"/>
      <c r="E3891" s="14"/>
      <c r="F3891" s="14"/>
      <c r="G3891" s="14"/>
      <c r="H3891" s="10"/>
      <c r="I3891" s="10"/>
      <c r="J3891" s="10"/>
      <c r="K3891" s="46"/>
      <c r="L3891" s="10"/>
      <c r="M3891" s="44" t="s">
        <v>10178</v>
      </c>
      <c r="N3891" s="45"/>
      <c r="O3891" s="20"/>
      <c r="P3891" s="20"/>
      <c r="Q3891" s="20"/>
      <c r="R3891" s="20"/>
      <c r="S3891" s="20"/>
    </row>
    <row r="3892">
      <c r="A3892" s="23"/>
      <c r="B3892" s="21"/>
      <c r="C3892" s="23"/>
      <c r="D3892" s="24"/>
      <c r="E3892" s="14"/>
      <c r="F3892" s="14"/>
      <c r="G3892" s="14"/>
      <c r="H3892" s="23"/>
      <c r="I3892" s="23"/>
      <c r="J3892" s="23"/>
      <c r="K3892" s="30"/>
      <c r="L3892" s="23"/>
      <c r="M3892" s="50" t="s">
        <v>10178</v>
      </c>
      <c r="N3892" s="51"/>
      <c r="O3892" s="20"/>
      <c r="P3892" s="20"/>
      <c r="Q3892" s="20"/>
      <c r="R3892" s="20"/>
      <c r="S3892" s="20"/>
    </row>
    <row r="3893">
      <c r="A3893" s="10"/>
      <c r="B3893" s="11"/>
      <c r="C3893" s="10"/>
      <c r="D3893" s="13"/>
      <c r="E3893" s="14"/>
      <c r="F3893" s="14"/>
      <c r="G3893" s="14"/>
      <c r="H3893" s="10"/>
      <c r="I3893" s="10"/>
      <c r="J3893" s="10"/>
      <c r="K3893" s="46"/>
      <c r="L3893" s="10"/>
      <c r="M3893" s="44" t="s">
        <v>10178</v>
      </c>
      <c r="N3893" s="45"/>
      <c r="O3893" s="20"/>
      <c r="P3893" s="20"/>
      <c r="Q3893" s="20"/>
      <c r="R3893" s="20"/>
      <c r="S3893" s="20"/>
    </row>
    <row r="3894">
      <c r="A3894" s="23"/>
      <c r="B3894" s="21"/>
      <c r="C3894" s="23"/>
      <c r="D3894" s="24"/>
      <c r="E3894" s="14"/>
      <c r="F3894" s="14"/>
      <c r="G3894" s="14"/>
      <c r="H3894" s="23"/>
      <c r="I3894" s="23"/>
      <c r="J3894" s="23"/>
      <c r="K3894" s="30"/>
      <c r="L3894" s="23"/>
      <c r="M3894" s="50" t="s">
        <v>10178</v>
      </c>
      <c r="N3894" s="51"/>
      <c r="O3894" s="20"/>
      <c r="P3894" s="20"/>
      <c r="Q3894" s="20"/>
      <c r="R3894" s="20"/>
      <c r="S3894" s="20"/>
    </row>
    <row r="3895">
      <c r="A3895" s="10"/>
      <c r="B3895" s="11"/>
      <c r="C3895" s="10"/>
      <c r="D3895" s="13"/>
      <c r="E3895" s="14"/>
      <c r="F3895" s="14"/>
      <c r="G3895" s="14"/>
      <c r="H3895" s="10"/>
      <c r="I3895" s="10"/>
      <c r="J3895" s="10"/>
      <c r="K3895" s="46"/>
      <c r="L3895" s="10"/>
      <c r="M3895" s="44" t="s">
        <v>10178</v>
      </c>
      <c r="N3895" s="45"/>
      <c r="O3895" s="20"/>
      <c r="P3895" s="20"/>
      <c r="Q3895" s="20"/>
      <c r="R3895" s="20"/>
      <c r="S3895" s="20"/>
    </row>
    <row r="3896">
      <c r="A3896" s="23"/>
      <c r="B3896" s="21"/>
      <c r="C3896" s="23"/>
      <c r="D3896" s="24"/>
      <c r="E3896" s="14"/>
      <c r="F3896" s="14"/>
      <c r="G3896" s="14"/>
      <c r="H3896" s="23"/>
      <c r="I3896" s="23"/>
      <c r="J3896" s="23"/>
      <c r="K3896" s="30"/>
      <c r="L3896" s="23"/>
      <c r="M3896" s="50" t="s">
        <v>10178</v>
      </c>
      <c r="N3896" s="51"/>
      <c r="O3896" s="20"/>
      <c r="P3896" s="20"/>
      <c r="Q3896" s="20"/>
      <c r="R3896" s="20"/>
      <c r="S3896" s="20"/>
    </row>
    <row r="3897">
      <c r="A3897" s="10"/>
      <c r="B3897" s="11"/>
      <c r="C3897" s="10"/>
      <c r="D3897" s="13"/>
      <c r="E3897" s="14"/>
      <c r="F3897" s="14"/>
      <c r="G3897" s="14"/>
      <c r="H3897" s="10"/>
      <c r="I3897" s="10"/>
      <c r="J3897" s="10"/>
      <c r="K3897" s="46"/>
      <c r="L3897" s="10"/>
      <c r="M3897" s="44" t="s">
        <v>10178</v>
      </c>
      <c r="N3897" s="45"/>
      <c r="O3897" s="20"/>
      <c r="P3897" s="20"/>
      <c r="Q3897" s="20"/>
      <c r="R3897" s="20"/>
      <c r="S3897" s="20"/>
    </row>
    <row r="3898">
      <c r="A3898" s="23"/>
      <c r="B3898" s="21"/>
      <c r="C3898" s="23"/>
      <c r="D3898" s="24"/>
      <c r="E3898" s="14"/>
      <c r="F3898" s="14"/>
      <c r="G3898" s="14"/>
      <c r="H3898" s="23"/>
      <c r="I3898" s="23"/>
      <c r="J3898" s="23"/>
      <c r="K3898" s="30"/>
      <c r="L3898" s="23"/>
      <c r="M3898" s="50" t="s">
        <v>10178</v>
      </c>
      <c r="N3898" s="51"/>
      <c r="O3898" s="20"/>
      <c r="P3898" s="20"/>
      <c r="Q3898" s="20"/>
      <c r="R3898" s="20"/>
      <c r="S3898" s="20"/>
    </row>
    <row r="3899">
      <c r="A3899" s="10"/>
      <c r="B3899" s="11"/>
      <c r="C3899" s="10"/>
      <c r="D3899" s="13"/>
      <c r="E3899" s="14"/>
      <c r="F3899" s="14"/>
      <c r="G3899" s="14"/>
      <c r="H3899" s="10"/>
      <c r="I3899" s="10"/>
      <c r="J3899" s="10"/>
      <c r="K3899" s="46"/>
      <c r="L3899" s="10"/>
      <c r="M3899" s="44" t="s">
        <v>10178</v>
      </c>
      <c r="N3899" s="45"/>
      <c r="O3899" s="20"/>
      <c r="P3899" s="20"/>
      <c r="Q3899" s="20"/>
      <c r="R3899" s="20"/>
      <c r="S3899" s="20"/>
    </row>
    <row r="3900">
      <c r="A3900" s="23"/>
      <c r="B3900" s="21"/>
      <c r="C3900" s="23"/>
      <c r="D3900" s="24"/>
      <c r="E3900" s="14"/>
      <c r="F3900" s="14"/>
      <c r="G3900" s="14"/>
      <c r="H3900" s="23"/>
      <c r="I3900" s="23"/>
      <c r="J3900" s="23"/>
      <c r="K3900" s="30"/>
      <c r="L3900" s="23"/>
      <c r="M3900" s="50" t="s">
        <v>10178</v>
      </c>
      <c r="N3900" s="51"/>
      <c r="O3900" s="20"/>
      <c r="P3900" s="20"/>
      <c r="Q3900" s="20"/>
      <c r="R3900" s="20"/>
      <c r="S3900" s="20"/>
    </row>
    <row r="3901">
      <c r="A3901" s="10"/>
      <c r="B3901" s="11"/>
      <c r="C3901" s="10"/>
      <c r="D3901" s="13"/>
      <c r="E3901" s="14"/>
      <c r="F3901" s="14"/>
      <c r="G3901" s="14"/>
      <c r="H3901" s="10"/>
      <c r="I3901" s="10"/>
      <c r="J3901" s="10"/>
      <c r="K3901" s="46"/>
      <c r="L3901" s="10"/>
      <c r="M3901" s="44" t="s">
        <v>10178</v>
      </c>
      <c r="N3901" s="45"/>
      <c r="O3901" s="20"/>
      <c r="P3901" s="20"/>
      <c r="Q3901" s="20"/>
      <c r="R3901" s="20"/>
      <c r="S3901" s="20"/>
    </row>
    <row r="3902">
      <c r="A3902" s="23"/>
      <c r="B3902" s="21"/>
      <c r="C3902" s="23"/>
      <c r="D3902" s="24"/>
      <c r="E3902" s="14"/>
      <c r="F3902" s="14"/>
      <c r="G3902" s="14"/>
      <c r="H3902" s="23"/>
      <c r="I3902" s="23"/>
      <c r="J3902" s="23"/>
      <c r="K3902" s="30"/>
      <c r="L3902" s="23"/>
      <c r="M3902" s="50" t="s">
        <v>10178</v>
      </c>
      <c r="N3902" s="51"/>
      <c r="O3902" s="20"/>
      <c r="P3902" s="20"/>
      <c r="Q3902" s="20"/>
      <c r="R3902" s="20"/>
      <c r="S3902" s="20"/>
    </row>
    <row r="3903">
      <c r="A3903" s="10"/>
      <c r="B3903" s="11"/>
      <c r="C3903" s="10"/>
      <c r="D3903" s="13"/>
      <c r="E3903" s="14"/>
      <c r="F3903" s="14"/>
      <c r="G3903" s="14"/>
      <c r="H3903" s="10"/>
      <c r="I3903" s="10"/>
      <c r="J3903" s="10"/>
      <c r="K3903" s="46"/>
      <c r="L3903" s="10"/>
      <c r="M3903" s="44" t="s">
        <v>10178</v>
      </c>
      <c r="N3903" s="45"/>
      <c r="O3903" s="20"/>
      <c r="P3903" s="20"/>
      <c r="Q3903" s="20"/>
      <c r="R3903" s="20"/>
      <c r="S3903" s="20"/>
    </row>
    <row r="3904">
      <c r="A3904" s="23"/>
      <c r="B3904" s="21"/>
      <c r="C3904" s="23"/>
      <c r="D3904" s="24"/>
      <c r="E3904" s="14"/>
      <c r="F3904" s="14"/>
      <c r="G3904" s="14"/>
      <c r="H3904" s="23"/>
      <c r="I3904" s="23"/>
      <c r="J3904" s="23"/>
      <c r="K3904" s="30"/>
      <c r="L3904" s="23"/>
      <c r="M3904" s="50" t="s">
        <v>10178</v>
      </c>
      <c r="N3904" s="51"/>
      <c r="O3904" s="20"/>
      <c r="P3904" s="20"/>
      <c r="Q3904" s="20"/>
      <c r="R3904" s="20"/>
      <c r="S3904" s="20"/>
    </row>
    <row r="3905">
      <c r="A3905" s="10"/>
      <c r="B3905" s="11"/>
      <c r="C3905" s="10"/>
      <c r="D3905" s="13"/>
      <c r="E3905" s="14"/>
      <c r="F3905" s="14"/>
      <c r="G3905" s="14"/>
      <c r="H3905" s="10"/>
      <c r="I3905" s="10"/>
      <c r="J3905" s="10"/>
      <c r="K3905" s="46"/>
      <c r="L3905" s="10"/>
      <c r="M3905" s="44" t="s">
        <v>10178</v>
      </c>
      <c r="N3905" s="45"/>
      <c r="O3905" s="20"/>
      <c r="P3905" s="20"/>
      <c r="Q3905" s="20"/>
      <c r="R3905" s="20"/>
      <c r="S3905" s="20"/>
    </row>
    <row r="3906">
      <c r="A3906" s="23"/>
      <c r="B3906" s="21"/>
      <c r="C3906" s="23"/>
      <c r="D3906" s="24"/>
      <c r="E3906" s="14"/>
      <c r="F3906" s="14"/>
      <c r="G3906" s="14"/>
      <c r="H3906" s="23"/>
      <c r="I3906" s="23"/>
      <c r="J3906" s="23"/>
      <c r="K3906" s="30"/>
      <c r="L3906" s="23"/>
      <c r="M3906" s="50" t="s">
        <v>10178</v>
      </c>
      <c r="N3906" s="51"/>
      <c r="O3906" s="20"/>
      <c r="P3906" s="20"/>
      <c r="Q3906" s="20"/>
      <c r="R3906" s="20"/>
      <c r="S3906" s="20"/>
    </row>
    <row r="3907">
      <c r="A3907" s="10"/>
      <c r="B3907" s="11"/>
      <c r="C3907" s="10"/>
      <c r="D3907" s="13"/>
      <c r="E3907" s="14"/>
      <c r="F3907" s="14"/>
      <c r="G3907" s="14"/>
      <c r="H3907" s="10"/>
      <c r="I3907" s="10"/>
      <c r="J3907" s="10"/>
      <c r="K3907" s="46"/>
      <c r="L3907" s="10"/>
      <c r="M3907" s="44" t="s">
        <v>10178</v>
      </c>
      <c r="N3907" s="45"/>
      <c r="O3907" s="20"/>
      <c r="P3907" s="20"/>
      <c r="Q3907" s="20"/>
      <c r="R3907" s="20"/>
      <c r="S3907" s="20"/>
    </row>
    <row r="3908">
      <c r="A3908" s="23"/>
      <c r="B3908" s="21"/>
      <c r="C3908" s="23"/>
      <c r="D3908" s="24"/>
      <c r="E3908" s="14"/>
      <c r="F3908" s="14"/>
      <c r="G3908" s="14"/>
      <c r="H3908" s="23"/>
      <c r="I3908" s="23"/>
      <c r="J3908" s="23"/>
      <c r="K3908" s="30"/>
      <c r="L3908" s="23"/>
      <c r="M3908" s="50" t="s">
        <v>10178</v>
      </c>
      <c r="N3908" s="51"/>
      <c r="O3908" s="20"/>
      <c r="P3908" s="20"/>
      <c r="Q3908" s="20"/>
      <c r="R3908" s="20"/>
      <c r="S3908" s="20"/>
    </row>
    <row r="3909">
      <c r="A3909" s="10"/>
      <c r="B3909" s="11"/>
      <c r="C3909" s="10"/>
      <c r="D3909" s="13"/>
      <c r="E3909" s="14"/>
      <c r="F3909" s="14"/>
      <c r="G3909" s="14"/>
      <c r="H3909" s="10"/>
      <c r="I3909" s="10"/>
      <c r="J3909" s="10"/>
      <c r="K3909" s="46"/>
      <c r="L3909" s="10"/>
      <c r="M3909" s="44" t="s">
        <v>10178</v>
      </c>
      <c r="N3909" s="45"/>
      <c r="O3909" s="20"/>
      <c r="P3909" s="20"/>
      <c r="Q3909" s="20"/>
      <c r="R3909" s="20"/>
      <c r="S3909" s="20"/>
    </row>
    <row r="3910">
      <c r="A3910" s="23"/>
      <c r="B3910" s="21"/>
      <c r="C3910" s="23"/>
      <c r="D3910" s="24"/>
      <c r="E3910" s="14"/>
      <c r="F3910" s="14"/>
      <c r="G3910" s="14"/>
      <c r="H3910" s="23"/>
      <c r="I3910" s="23"/>
      <c r="J3910" s="23"/>
      <c r="K3910" s="30"/>
      <c r="L3910" s="23"/>
      <c r="M3910" s="50" t="s">
        <v>10178</v>
      </c>
      <c r="N3910" s="51"/>
      <c r="O3910" s="20"/>
      <c r="P3910" s="20"/>
      <c r="Q3910" s="20"/>
      <c r="R3910" s="20"/>
      <c r="S3910" s="20"/>
    </row>
    <row r="3911">
      <c r="A3911" s="10"/>
      <c r="B3911" s="11"/>
      <c r="C3911" s="10"/>
      <c r="D3911" s="13"/>
      <c r="E3911" s="14"/>
      <c r="F3911" s="14"/>
      <c r="G3911" s="14"/>
      <c r="H3911" s="10"/>
      <c r="I3911" s="10"/>
      <c r="J3911" s="10"/>
      <c r="K3911" s="46"/>
      <c r="L3911" s="10"/>
      <c r="M3911" s="44" t="s">
        <v>10178</v>
      </c>
      <c r="N3911" s="45"/>
      <c r="O3911" s="20"/>
      <c r="P3911" s="20"/>
      <c r="Q3911" s="20"/>
      <c r="R3911" s="20"/>
      <c r="S3911" s="20"/>
    </row>
    <row r="3912">
      <c r="A3912" s="23"/>
      <c r="B3912" s="21"/>
      <c r="C3912" s="23"/>
      <c r="D3912" s="24"/>
      <c r="E3912" s="14"/>
      <c r="F3912" s="14"/>
      <c r="G3912" s="14"/>
      <c r="H3912" s="23"/>
      <c r="I3912" s="23"/>
      <c r="J3912" s="23"/>
      <c r="K3912" s="30"/>
      <c r="L3912" s="23"/>
      <c r="M3912" s="50" t="s">
        <v>10178</v>
      </c>
      <c r="N3912" s="51"/>
      <c r="O3912" s="20"/>
      <c r="P3912" s="20"/>
      <c r="Q3912" s="20"/>
      <c r="R3912" s="20"/>
      <c r="S3912" s="20"/>
    </row>
    <row r="3913">
      <c r="A3913" s="10"/>
      <c r="B3913" s="11"/>
      <c r="C3913" s="10"/>
      <c r="D3913" s="13"/>
      <c r="E3913" s="14"/>
      <c r="F3913" s="14"/>
      <c r="G3913" s="14"/>
      <c r="H3913" s="10"/>
      <c r="I3913" s="10"/>
      <c r="J3913" s="10"/>
      <c r="K3913" s="46"/>
      <c r="L3913" s="10"/>
      <c r="M3913" s="44" t="s">
        <v>10178</v>
      </c>
      <c r="N3913" s="45"/>
      <c r="O3913" s="20"/>
      <c r="P3913" s="20"/>
      <c r="Q3913" s="20"/>
      <c r="R3913" s="20"/>
      <c r="S3913" s="20"/>
    </row>
    <row r="3914">
      <c r="A3914" s="23"/>
      <c r="B3914" s="21"/>
      <c r="C3914" s="23"/>
      <c r="D3914" s="24"/>
      <c r="E3914" s="14"/>
      <c r="F3914" s="14"/>
      <c r="G3914" s="14"/>
      <c r="H3914" s="23"/>
      <c r="I3914" s="23"/>
      <c r="J3914" s="23"/>
      <c r="K3914" s="30"/>
      <c r="L3914" s="23"/>
      <c r="M3914" s="50" t="s">
        <v>10178</v>
      </c>
      <c r="N3914" s="51"/>
      <c r="O3914" s="20"/>
      <c r="P3914" s="20"/>
      <c r="Q3914" s="20"/>
      <c r="R3914" s="20"/>
      <c r="S3914" s="20"/>
    </row>
    <row r="3915">
      <c r="A3915" s="10"/>
      <c r="B3915" s="11"/>
      <c r="C3915" s="10"/>
      <c r="D3915" s="13"/>
      <c r="E3915" s="14"/>
      <c r="F3915" s="14"/>
      <c r="G3915" s="14"/>
      <c r="H3915" s="10"/>
      <c r="I3915" s="10"/>
      <c r="J3915" s="10"/>
      <c r="K3915" s="46"/>
      <c r="L3915" s="10"/>
      <c r="M3915" s="44" t="s">
        <v>10178</v>
      </c>
      <c r="N3915" s="45"/>
      <c r="O3915" s="20"/>
      <c r="P3915" s="20"/>
      <c r="Q3915" s="20"/>
      <c r="R3915" s="20"/>
      <c r="S3915" s="20"/>
    </row>
    <row r="3916">
      <c r="A3916" s="23"/>
      <c r="B3916" s="21"/>
      <c r="C3916" s="23"/>
      <c r="D3916" s="24"/>
      <c r="E3916" s="14"/>
      <c r="F3916" s="14"/>
      <c r="G3916" s="14"/>
      <c r="H3916" s="23"/>
      <c r="I3916" s="23"/>
      <c r="J3916" s="23"/>
      <c r="K3916" s="30"/>
      <c r="L3916" s="23"/>
      <c r="M3916" s="50" t="s">
        <v>10178</v>
      </c>
      <c r="N3916" s="51"/>
      <c r="O3916" s="20"/>
      <c r="P3916" s="20"/>
      <c r="Q3916" s="20"/>
      <c r="R3916" s="20"/>
      <c r="S3916" s="20"/>
    </row>
    <row r="3917">
      <c r="A3917" s="10"/>
      <c r="B3917" s="11"/>
      <c r="C3917" s="10"/>
      <c r="D3917" s="13"/>
      <c r="E3917" s="14"/>
      <c r="F3917" s="14"/>
      <c r="G3917" s="14"/>
      <c r="H3917" s="10"/>
      <c r="I3917" s="10"/>
      <c r="J3917" s="10"/>
      <c r="K3917" s="46"/>
      <c r="L3917" s="10"/>
      <c r="M3917" s="44" t="s">
        <v>10178</v>
      </c>
      <c r="N3917" s="45"/>
      <c r="O3917" s="20"/>
      <c r="P3917" s="20"/>
      <c r="Q3917" s="20"/>
      <c r="R3917" s="20"/>
      <c r="S3917" s="20"/>
    </row>
    <row r="3918">
      <c r="A3918" s="23"/>
      <c r="B3918" s="21"/>
      <c r="C3918" s="23"/>
      <c r="D3918" s="24"/>
      <c r="E3918" s="14"/>
      <c r="F3918" s="14"/>
      <c r="G3918" s="14"/>
      <c r="H3918" s="23"/>
      <c r="I3918" s="23"/>
      <c r="J3918" s="23"/>
      <c r="K3918" s="30"/>
      <c r="L3918" s="23"/>
      <c r="M3918" s="50" t="s">
        <v>10178</v>
      </c>
      <c r="N3918" s="51"/>
      <c r="O3918" s="20"/>
      <c r="P3918" s="20"/>
      <c r="Q3918" s="20"/>
      <c r="R3918" s="20"/>
      <c r="S3918" s="20"/>
    </row>
    <row r="3919">
      <c r="A3919" s="10"/>
      <c r="B3919" s="11"/>
      <c r="C3919" s="10"/>
      <c r="D3919" s="13"/>
      <c r="E3919" s="14"/>
      <c r="F3919" s="14"/>
      <c r="G3919" s="14"/>
      <c r="H3919" s="10"/>
      <c r="I3919" s="10"/>
      <c r="J3919" s="10"/>
      <c r="K3919" s="46"/>
      <c r="L3919" s="10"/>
      <c r="M3919" s="44" t="s">
        <v>10178</v>
      </c>
      <c r="N3919" s="45"/>
      <c r="O3919" s="20"/>
      <c r="P3919" s="20"/>
      <c r="Q3919" s="20"/>
      <c r="R3919" s="20"/>
      <c r="S3919" s="20"/>
    </row>
    <row r="3920">
      <c r="A3920" s="23"/>
      <c r="B3920" s="21"/>
      <c r="C3920" s="23"/>
      <c r="D3920" s="24"/>
      <c r="E3920" s="14"/>
      <c r="F3920" s="14"/>
      <c r="G3920" s="14"/>
      <c r="H3920" s="23"/>
      <c r="I3920" s="23"/>
      <c r="J3920" s="23"/>
      <c r="K3920" s="30"/>
      <c r="L3920" s="23"/>
      <c r="M3920" s="50" t="s">
        <v>10178</v>
      </c>
      <c r="N3920" s="51"/>
      <c r="O3920" s="20"/>
      <c r="P3920" s="20"/>
      <c r="Q3920" s="20"/>
      <c r="R3920" s="20"/>
      <c r="S3920" s="20"/>
    </row>
    <row r="3921">
      <c r="A3921" s="10"/>
      <c r="B3921" s="11"/>
      <c r="C3921" s="10"/>
      <c r="D3921" s="13"/>
      <c r="E3921" s="14"/>
      <c r="F3921" s="14"/>
      <c r="G3921" s="14"/>
      <c r="H3921" s="10"/>
      <c r="I3921" s="10"/>
      <c r="J3921" s="10"/>
      <c r="K3921" s="46"/>
      <c r="L3921" s="10"/>
      <c r="M3921" s="44" t="s">
        <v>10178</v>
      </c>
      <c r="N3921" s="45"/>
      <c r="O3921" s="20"/>
      <c r="P3921" s="20"/>
      <c r="Q3921" s="20"/>
      <c r="R3921" s="20"/>
      <c r="S3921" s="20"/>
    </row>
    <row r="3922">
      <c r="A3922" s="23"/>
      <c r="B3922" s="21"/>
      <c r="C3922" s="23"/>
      <c r="D3922" s="24"/>
      <c r="E3922" s="14"/>
      <c r="F3922" s="14"/>
      <c r="G3922" s="14"/>
      <c r="H3922" s="23"/>
      <c r="I3922" s="23"/>
      <c r="J3922" s="23"/>
      <c r="K3922" s="30"/>
      <c r="L3922" s="23"/>
      <c r="M3922" s="50" t="s">
        <v>10178</v>
      </c>
      <c r="N3922" s="51"/>
      <c r="O3922" s="20"/>
      <c r="P3922" s="20"/>
      <c r="Q3922" s="20"/>
      <c r="R3922" s="20"/>
      <c r="S3922" s="20"/>
    </row>
    <row r="3923">
      <c r="A3923" s="10"/>
      <c r="B3923" s="11"/>
      <c r="C3923" s="10"/>
      <c r="D3923" s="13"/>
      <c r="E3923" s="14"/>
      <c r="F3923" s="14"/>
      <c r="G3923" s="14"/>
      <c r="H3923" s="10"/>
      <c r="I3923" s="10"/>
      <c r="J3923" s="10"/>
      <c r="K3923" s="46"/>
      <c r="L3923" s="10"/>
      <c r="M3923" s="44" t="s">
        <v>10178</v>
      </c>
      <c r="N3923" s="45"/>
      <c r="O3923" s="20"/>
      <c r="P3923" s="20"/>
      <c r="Q3923" s="20"/>
      <c r="R3923" s="20"/>
      <c r="S3923" s="20"/>
    </row>
    <row r="3924">
      <c r="A3924" s="23"/>
      <c r="B3924" s="21"/>
      <c r="C3924" s="23"/>
      <c r="D3924" s="24"/>
      <c r="E3924" s="14"/>
      <c r="F3924" s="14"/>
      <c r="G3924" s="14"/>
      <c r="H3924" s="23"/>
      <c r="I3924" s="23"/>
      <c r="J3924" s="23"/>
      <c r="K3924" s="30"/>
      <c r="L3924" s="23"/>
      <c r="M3924" s="50" t="s">
        <v>10178</v>
      </c>
      <c r="N3924" s="51"/>
      <c r="O3924" s="20"/>
      <c r="P3924" s="20"/>
      <c r="Q3924" s="20"/>
      <c r="R3924" s="20"/>
      <c r="S3924" s="20"/>
    </row>
    <row r="3925">
      <c r="A3925" s="10"/>
      <c r="B3925" s="11"/>
      <c r="C3925" s="10"/>
      <c r="D3925" s="13"/>
      <c r="E3925" s="14"/>
      <c r="F3925" s="14"/>
      <c r="G3925" s="14"/>
      <c r="H3925" s="10"/>
      <c r="I3925" s="10"/>
      <c r="J3925" s="10"/>
      <c r="K3925" s="46"/>
      <c r="L3925" s="10"/>
      <c r="M3925" s="44" t="s">
        <v>10178</v>
      </c>
      <c r="N3925" s="45"/>
      <c r="O3925" s="20"/>
      <c r="P3925" s="20"/>
      <c r="Q3925" s="20"/>
      <c r="R3925" s="20"/>
      <c r="S3925" s="20"/>
    </row>
    <row r="3926">
      <c r="A3926" s="23"/>
      <c r="B3926" s="21"/>
      <c r="C3926" s="23"/>
      <c r="D3926" s="24"/>
      <c r="E3926" s="14"/>
      <c r="F3926" s="14"/>
      <c r="G3926" s="14"/>
      <c r="H3926" s="23"/>
      <c r="I3926" s="23"/>
      <c r="J3926" s="23"/>
      <c r="K3926" s="30"/>
      <c r="L3926" s="23"/>
      <c r="M3926" s="50" t="s">
        <v>10178</v>
      </c>
      <c r="N3926" s="51"/>
      <c r="O3926" s="20"/>
      <c r="P3926" s="20"/>
      <c r="Q3926" s="20"/>
      <c r="R3926" s="20"/>
      <c r="S3926" s="20"/>
    </row>
    <row r="3927">
      <c r="A3927" s="10"/>
      <c r="B3927" s="11"/>
      <c r="C3927" s="10"/>
      <c r="D3927" s="13"/>
      <c r="E3927" s="14"/>
      <c r="F3927" s="14"/>
      <c r="G3927" s="14"/>
      <c r="H3927" s="10"/>
      <c r="I3927" s="10"/>
      <c r="J3927" s="10"/>
      <c r="K3927" s="46"/>
      <c r="L3927" s="10"/>
      <c r="M3927" s="44" t="s">
        <v>10178</v>
      </c>
      <c r="N3927" s="45"/>
      <c r="O3927" s="20"/>
      <c r="P3927" s="20"/>
      <c r="Q3927" s="20"/>
      <c r="R3927" s="20"/>
      <c r="S3927" s="20"/>
    </row>
    <row r="3928">
      <c r="A3928" s="23"/>
      <c r="B3928" s="21"/>
      <c r="C3928" s="23"/>
      <c r="D3928" s="24"/>
      <c r="E3928" s="14"/>
      <c r="F3928" s="14"/>
      <c r="G3928" s="14"/>
      <c r="H3928" s="23"/>
      <c r="I3928" s="23"/>
      <c r="J3928" s="23"/>
      <c r="K3928" s="30"/>
      <c r="L3928" s="23"/>
      <c r="M3928" s="50" t="s">
        <v>10178</v>
      </c>
      <c r="N3928" s="51"/>
      <c r="O3928" s="20"/>
      <c r="P3928" s="20"/>
      <c r="Q3928" s="20"/>
      <c r="R3928" s="20"/>
      <c r="S3928" s="20"/>
    </row>
    <row r="3929">
      <c r="A3929" s="10"/>
      <c r="B3929" s="11"/>
      <c r="C3929" s="10"/>
      <c r="D3929" s="13"/>
      <c r="E3929" s="14"/>
      <c r="F3929" s="14"/>
      <c r="G3929" s="14"/>
      <c r="H3929" s="10"/>
      <c r="I3929" s="10"/>
      <c r="J3929" s="10"/>
      <c r="K3929" s="46"/>
      <c r="L3929" s="10"/>
      <c r="M3929" s="44" t="s">
        <v>10178</v>
      </c>
      <c r="N3929" s="45"/>
      <c r="O3929" s="20"/>
      <c r="P3929" s="20"/>
      <c r="Q3929" s="20"/>
      <c r="R3929" s="20"/>
      <c r="S3929" s="20"/>
    </row>
    <row r="3930">
      <c r="A3930" s="23"/>
      <c r="B3930" s="21"/>
      <c r="C3930" s="23"/>
      <c r="D3930" s="24"/>
      <c r="E3930" s="14"/>
      <c r="F3930" s="14"/>
      <c r="G3930" s="14"/>
      <c r="H3930" s="23"/>
      <c r="I3930" s="23"/>
      <c r="J3930" s="23"/>
      <c r="K3930" s="30"/>
      <c r="L3930" s="23"/>
      <c r="M3930" s="50" t="s">
        <v>10178</v>
      </c>
      <c r="N3930" s="51"/>
      <c r="O3930" s="20"/>
      <c r="P3930" s="20"/>
      <c r="Q3930" s="20"/>
      <c r="R3930" s="20"/>
      <c r="S3930" s="20"/>
    </row>
    <row r="3931">
      <c r="A3931" s="10"/>
      <c r="B3931" s="11"/>
      <c r="C3931" s="10"/>
      <c r="D3931" s="13"/>
      <c r="E3931" s="14"/>
      <c r="F3931" s="14"/>
      <c r="G3931" s="14"/>
      <c r="H3931" s="10"/>
      <c r="I3931" s="10"/>
      <c r="J3931" s="10"/>
      <c r="K3931" s="46"/>
      <c r="L3931" s="10"/>
      <c r="M3931" s="44" t="s">
        <v>10178</v>
      </c>
      <c r="N3931" s="45"/>
      <c r="O3931" s="20"/>
      <c r="P3931" s="20"/>
      <c r="Q3931" s="20"/>
      <c r="R3931" s="20"/>
      <c r="S3931" s="20"/>
    </row>
    <row r="3932">
      <c r="A3932" s="23"/>
      <c r="B3932" s="21"/>
      <c r="C3932" s="23"/>
      <c r="D3932" s="24"/>
      <c r="E3932" s="14"/>
      <c r="F3932" s="14"/>
      <c r="G3932" s="14"/>
      <c r="H3932" s="23"/>
      <c r="I3932" s="23"/>
      <c r="J3932" s="23"/>
      <c r="K3932" s="30"/>
      <c r="L3932" s="23"/>
      <c r="M3932" s="50" t="s">
        <v>10178</v>
      </c>
      <c r="N3932" s="51"/>
      <c r="O3932" s="20"/>
      <c r="P3932" s="20"/>
      <c r="Q3932" s="20"/>
      <c r="R3932" s="20"/>
      <c r="S3932" s="20"/>
    </row>
    <row r="3933">
      <c r="A3933" s="10"/>
      <c r="B3933" s="11"/>
      <c r="C3933" s="10"/>
      <c r="D3933" s="13"/>
      <c r="E3933" s="14"/>
      <c r="F3933" s="14"/>
      <c r="G3933" s="14"/>
      <c r="H3933" s="10"/>
      <c r="I3933" s="10"/>
      <c r="J3933" s="10"/>
      <c r="K3933" s="46"/>
      <c r="L3933" s="10"/>
      <c r="M3933" s="44" t="s">
        <v>10178</v>
      </c>
      <c r="N3933" s="45"/>
      <c r="O3933" s="20"/>
      <c r="P3933" s="20"/>
      <c r="Q3933" s="20"/>
      <c r="R3933" s="20"/>
      <c r="S3933" s="20"/>
    </row>
    <row r="3934">
      <c r="A3934" s="23"/>
      <c r="B3934" s="21"/>
      <c r="C3934" s="23"/>
      <c r="D3934" s="24"/>
      <c r="E3934" s="14"/>
      <c r="F3934" s="14"/>
      <c r="G3934" s="14"/>
      <c r="H3934" s="23"/>
      <c r="I3934" s="23"/>
      <c r="J3934" s="23"/>
      <c r="K3934" s="30"/>
      <c r="L3934" s="23"/>
      <c r="M3934" s="50" t="s">
        <v>10178</v>
      </c>
      <c r="N3934" s="51"/>
      <c r="O3934" s="20"/>
      <c r="P3934" s="20"/>
      <c r="Q3934" s="20"/>
      <c r="R3934" s="20"/>
      <c r="S3934" s="20"/>
    </row>
    <row r="3935">
      <c r="A3935" s="10"/>
      <c r="B3935" s="11"/>
      <c r="C3935" s="10"/>
      <c r="D3935" s="13"/>
      <c r="E3935" s="14"/>
      <c r="F3935" s="14"/>
      <c r="G3935" s="14"/>
      <c r="H3935" s="10"/>
      <c r="I3935" s="10"/>
      <c r="J3935" s="10"/>
      <c r="K3935" s="46"/>
      <c r="L3935" s="10"/>
      <c r="M3935" s="44" t="s">
        <v>10178</v>
      </c>
      <c r="N3935" s="45"/>
      <c r="O3935" s="20"/>
      <c r="P3935" s="20"/>
      <c r="Q3935" s="20"/>
      <c r="R3935" s="20"/>
      <c r="S3935" s="20"/>
    </row>
    <row r="3936">
      <c r="A3936" s="23"/>
      <c r="B3936" s="21"/>
      <c r="C3936" s="23"/>
      <c r="D3936" s="24"/>
      <c r="E3936" s="14"/>
      <c r="F3936" s="14"/>
      <c r="G3936" s="14"/>
      <c r="H3936" s="23"/>
      <c r="I3936" s="23"/>
      <c r="J3936" s="23"/>
      <c r="K3936" s="30"/>
      <c r="L3936" s="23"/>
      <c r="M3936" s="50" t="s">
        <v>10178</v>
      </c>
      <c r="N3936" s="51"/>
      <c r="O3936" s="20"/>
      <c r="P3936" s="20"/>
      <c r="Q3936" s="20"/>
      <c r="R3936" s="20"/>
      <c r="S3936" s="20"/>
    </row>
    <row r="3937">
      <c r="A3937" s="10"/>
      <c r="B3937" s="11"/>
      <c r="C3937" s="10"/>
      <c r="D3937" s="13"/>
      <c r="E3937" s="14"/>
      <c r="F3937" s="14"/>
      <c r="G3937" s="14"/>
      <c r="H3937" s="10"/>
      <c r="I3937" s="10"/>
      <c r="J3937" s="10"/>
      <c r="K3937" s="46"/>
      <c r="L3937" s="10"/>
      <c r="M3937" s="44" t="s">
        <v>10178</v>
      </c>
      <c r="N3937" s="45"/>
      <c r="O3937" s="20"/>
      <c r="P3937" s="20"/>
      <c r="Q3937" s="20"/>
      <c r="R3937" s="20"/>
      <c r="S3937" s="20"/>
    </row>
    <row r="3938">
      <c r="A3938" s="23"/>
      <c r="B3938" s="21"/>
      <c r="C3938" s="23"/>
      <c r="D3938" s="24"/>
      <c r="E3938" s="14"/>
      <c r="F3938" s="14"/>
      <c r="G3938" s="14"/>
      <c r="H3938" s="23"/>
      <c r="I3938" s="23"/>
      <c r="J3938" s="23"/>
      <c r="K3938" s="30"/>
      <c r="L3938" s="23"/>
      <c r="M3938" s="50" t="s">
        <v>10178</v>
      </c>
      <c r="N3938" s="51"/>
      <c r="O3938" s="20"/>
      <c r="P3938" s="20"/>
      <c r="Q3938" s="20"/>
      <c r="R3938" s="20"/>
      <c r="S3938" s="20"/>
    </row>
    <row r="3939">
      <c r="A3939" s="10"/>
      <c r="B3939" s="11"/>
      <c r="C3939" s="10"/>
      <c r="D3939" s="13"/>
      <c r="E3939" s="14"/>
      <c r="F3939" s="14"/>
      <c r="G3939" s="14"/>
      <c r="H3939" s="10"/>
      <c r="I3939" s="10"/>
      <c r="J3939" s="10"/>
      <c r="K3939" s="46"/>
      <c r="L3939" s="10"/>
      <c r="M3939" s="44" t="s">
        <v>10178</v>
      </c>
      <c r="N3939" s="45"/>
      <c r="O3939" s="20"/>
      <c r="P3939" s="20"/>
      <c r="Q3939" s="20"/>
      <c r="R3939" s="20"/>
      <c r="S3939" s="20"/>
    </row>
    <row r="3940">
      <c r="A3940" s="23"/>
      <c r="B3940" s="21"/>
      <c r="C3940" s="23"/>
      <c r="D3940" s="24"/>
      <c r="E3940" s="14"/>
      <c r="F3940" s="14"/>
      <c r="G3940" s="14"/>
      <c r="H3940" s="23"/>
      <c r="I3940" s="23"/>
      <c r="J3940" s="23"/>
      <c r="K3940" s="30"/>
      <c r="L3940" s="23"/>
      <c r="M3940" s="50" t="s">
        <v>10178</v>
      </c>
      <c r="N3940" s="51"/>
      <c r="O3940" s="20"/>
      <c r="P3940" s="20"/>
      <c r="Q3940" s="20"/>
      <c r="R3940" s="20"/>
      <c r="S3940" s="20"/>
    </row>
    <row r="3941">
      <c r="A3941" s="10"/>
      <c r="B3941" s="11"/>
      <c r="C3941" s="10"/>
      <c r="D3941" s="13"/>
      <c r="E3941" s="14"/>
      <c r="F3941" s="14"/>
      <c r="G3941" s="14"/>
      <c r="H3941" s="10"/>
      <c r="I3941" s="10"/>
      <c r="J3941" s="10"/>
      <c r="K3941" s="46"/>
      <c r="L3941" s="10"/>
      <c r="M3941" s="44" t="s">
        <v>10178</v>
      </c>
      <c r="N3941" s="45"/>
      <c r="O3941" s="20"/>
      <c r="P3941" s="20"/>
      <c r="Q3941" s="20"/>
      <c r="R3941" s="20"/>
      <c r="S3941" s="20"/>
    </row>
    <row r="3942">
      <c r="A3942" s="23"/>
      <c r="B3942" s="21"/>
      <c r="C3942" s="23"/>
      <c r="D3942" s="24"/>
      <c r="E3942" s="14"/>
      <c r="F3942" s="14"/>
      <c r="G3942" s="14"/>
      <c r="H3942" s="23"/>
      <c r="I3942" s="23"/>
      <c r="J3942" s="23"/>
      <c r="K3942" s="30"/>
      <c r="L3942" s="23"/>
      <c r="M3942" s="50" t="s">
        <v>10178</v>
      </c>
      <c r="N3942" s="51"/>
      <c r="O3942" s="20"/>
      <c r="P3942" s="20"/>
      <c r="Q3942" s="20"/>
      <c r="R3942" s="20"/>
      <c r="S3942" s="20"/>
    </row>
    <row r="3943">
      <c r="A3943" s="10"/>
      <c r="B3943" s="11"/>
      <c r="C3943" s="10"/>
      <c r="D3943" s="13"/>
      <c r="E3943" s="14"/>
      <c r="F3943" s="14"/>
      <c r="G3943" s="14"/>
      <c r="H3943" s="10"/>
      <c r="I3943" s="10"/>
      <c r="J3943" s="10"/>
      <c r="K3943" s="46"/>
      <c r="L3943" s="10"/>
      <c r="M3943" s="44" t="s">
        <v>10178</v>
      </c>
      <c r="N3943" s="45"/>
      <c r="O3943" s="20"/>
      <c r="P3943" s="20"/>
      <c r="Q3943" s="20"/>
      <c r="R3943" s="20"/>
      <c r="S3943" s="20"/>
    </row>
    <row r="3944">
      <c r="A3944" s="23"/>
      <c r="B3944" s="21"/>
      <c r="C3944" s="23"/>
      <c r="D3944" s="24"/>
      <c r="E3944" s="14"/>
      <c r="F3944" s="14"/>
      <c r="G3944" s="14"/>
      <c r="H3944" s="23"/>
      <c r="I3944" s="23"/>
      <c r="J3944" s="23"/>
      <c r="K3944" s="30"/>
      <c r="L3944" s="23"/>
      <c r="M3944" s="50" t="s">
        <v>10178</v>
      </c>
      <c r="N3944" s="51"/>
      <c r="O3944" s="20"/>
      <c r="P3944" s="20"/>
      <c r="Q3944" s="20"/>
      <c r="R3944" s="20"/>
      <c r="S3944" s="20"/>
    </row>
    <row r="3945">
      <c r="A3945" s="10"/>
      <c r="B3945" s="11"/>
      <c r="C3945" s="10"/>
      <c r="D3945" s="13"/>
      <c r="E3945" s="14"/>
      <c r="F3945" s="14"/>
      <c r="G3945" s="14"/>
      <c r="H3945" s="10"/>
      <c r="I3945" s="10"/>
      <c r="J3945" s="10"/>
      <c r="K3945" s="46"/>
      <c r="L3945" s="10"/>
      <c r="M3945" s="44" t="s">
        <v>10178</v>
      </c>
      <c r="N3945" s="45"/>
      <c r="O3945" s="20"/>
      <c r="P3945" s="20"/>
      <c r="Q3945" s="20"/>
      <c r="R3945" s="20"/>
      <c r="S3945" s="20"/>
    </row>
    <row r="3946">
      <c r="A3946" s="23"/>
      <c r="B3946" s="21"/>
      <c r="C3946" s="23"/>
      <c r="D3946" s="24"/>
      <c r="E3946" s="14"/>
      <c r="F3946" s="14"/>
      <c r="G3946" s="14"/>
      <c r="H3946" s="23"/>
      <c r="I3946" s="23"/>
      <c r="J3946" s="23"/>
      <c r="K3946" s="30"/>
      <c r="L3946" s="23"/>
      <c r="M3946" s="50" t="s">
        <v>10178</v>
      </c>
      <c r="N3946" s="51"/>
      <c r="O3946" s="20"/>
      <c r="P3946" s="20"/>
      <c r="Q3946" s="20"/>
      <c r="R3946" s="20"/>
      <c r="S3946" s="20"/>
    </row>
    <row r="3947">
      <c r="A3947" s="10"/>
      <c r="B3947" s="11"/>
      <c r="C3947" s="10"/>
      <c r="D3947" s="13"/>
      <c r="E3947" s="14"/>
      <c r="F3947" s="14"/>
      <c r="G3947" s="14"/>
      <c r="H3947" s="10"/>
      <c r="I3947" s="10"/>
      <c r="J3947" s="10"/>
      <c r="K3947" s="46"/>
      <c r="L3947" s="10"/>
      <c r="M3947" s="44" t="s">
        <v>10178</v>
      </c>
      <c r="N3947" s="45"/>
      <c r="O3947" s="20"/>
      <c r="P3947" s="20"/>
      <c r="Q3947" s="20"/>
      <c r="R3947" s="20"/>
      <c r="S3947" s="20"/>
    </row>
    <row r="3948">
      <c r="A3948" s="23"/>
      <c r="B3948" s="21"/>
      <c r="C3948" s="23"/>
      <c r="D3948" s="24"/>
      <c r="E3948" s="14"/>
      <c r="F3948" s="14"/>
      <c r="G3948" s="14"/>
      <c r="H3948" s="23"/>
      <c r="I3948" s="23"/>
      <c r="J3948" s="23"/>
      <c r="K3948" s="30"/>
      <c r="L3948" s="23"/>
      <c r="M3948" s="50" t="s">
        <v>10178</v>
      </c>
      <c r="N3948" s="51"/>
      <c r="O3948" s="20"/>
      <c r="P3948" s="20"/>
      <c r="Q3948" s="20"/>
      <c r="R3948" s="20"/>
      <c r="S3948" s="20"/>
    </row>
    <row r="3949">
      <c r="A3949" s="10"/>
      <c r="B3949" s="11"/>
      <c r="C3949" s="10"/>
      <c r="D3949" s="13"/>
      <c r="E3949" s="14"/>
      <c r="F3949" s="14"/>
      <c r="G3949" s="14"/>
      <c r="H3949" s="10"/>
      <c r="I3949" s="10"/>
      <c r="J3949" s="10"/>
      <c r="K3949" s="46"/>
      <c r="L3949" s="10"/>
      <c r="M3949" s="44" t="s">
        <v>10178</v>
      </c>
      <c r="N3949" s="45"/>
      <c r="O3949" s="20"/>
      <c r="P3949" s="20"/>
      <c r="Q3949" s="20"/>
      <c r="R3949" s="20"/>
      <c r="S3949" s="20"/>
    </row>
    <row r="3950">
      <c r="A3950" s="23"/>
      <c r="B3950" s="21"/>
      <c r="C3950" s="23"/>
      <c r="D3950" s="24"/>
      <c r="E3950" s="14"/>
      <c r="F3950" s="14"/>
      <c r="G3950" s="14"/>
      <c r="H3950" s="23"/>
      <c r="I3950" s="23"/>
      <c r="J3950" s="23"/>
      <c r="K3950" s="30"/>
      <c r="L3950" s="23"/>
      <c r="M3950" s="50" t="s">
        <v>10178</v>
      </c>
      <c r="N3950" s="51"/>
      <c r="O3950" s="20"/>
      <c r="P3950" s="20"/>
      <c r="Q3950" s="20"/>
      <c r="R3950" s="20"/>
      <c r="S3950" s="20"/>
    </row>
    <row r="3951">
      <c r="A3951" s="10"/>
      <c r="B3951" s="11"/>
      <c r="C3951" s="10"/>
      <c r="D3951" s="13"/>
      <c r="E3951" s="14"/>
      <c r="F3951" s="14"/>
      <c r="G3951" s="14"/>
      <c r="H3951" s="10"/>
      <c r="I3951" s="10"/>
      <c r="J3951" s="10"/>
      <c r="K3951" s="46"/>
      <c r="L3951" s="10"/>
      <c r="M3951" s="44" t="s">
        <v>10178</v>
      </c>
      <c r="N3951" s="45"/>
      <c r="O3951" s="20"/>
      <c r="P3951" s="20"/>
      <c r="Q3951" s="20"/>
      <c r="R3951" s="20"/>
      <c r="S3951" s="20"/>
    </row>
    <row r="3952">
      <c r="A3952" s="23"/>
      <c r="B3952" s="21"/>
      <c r="C3952" s="23"/>
      <c r="D3952" s="24"/>
      <c r="E3952" s="14"/>
      <c r="F3952" s="14"/>
      <c r="G3952" s="14"/>
      <c r="H3952" s="23"/>
      <c r="I3952" s="23"/>
      <c r="J3952" s="23"/>
      <c r="K3952" s="30"/>
      <c r="L3952" s="23"/>
      <c r="M3952" s="50" t="s">
        <v>10178</v>
      </c>
      <c r="N3952" s="51"/>
      <c r="O3952" s="20"/>
      <c r="P3952" s="20"/>
      <c r="Q3952" s="20"/>
      <c r="R3952" s="20"/>
      <c r="S3952" s="20"/>
    </row>
    <row r="3953">
      <c r="A3953" s="10"/>
      <c r="B3953" s="11"/>
      <c r="C3953" s="10"/>
      <c r="D3953" s="13"/>
      <c r="E3953" s="14"/>
      <c r="F3953" s="14"/>
      <c r="G3953" s="14"/>
      <c r="H3953" s="10"/>
      <c r="I3953" s="10"/>
      <c r="J3953" s="10"/>
      <c r="K3953" s="46"/>
      <c r="L3953" s="10"/>
      <c r="M3953" s="44" t="s">
        <v>10178</v>
      </c>
      <c r="N3953" s="45"/>
      <c r="O3953" s="20"/>
      <c r="P3953" s="20"/>
      <c r="Q3953" s="20"/>
      <c r="R3953" s="20"/>
      <c r="S3953" s="20"/>
    </row>
    <row r="3954">
      <c r="A3954" s="23"/>
      <c r="B3954" s="21"/>
      <c r="C3954" s="23"/>
      <c r="D3954" s="24"/>
      <c r="E3954" s="14"/>
      <c r="F3954" s="14"/>
      <c r="G3954" s="14"/>
      <c r="H3954" s="23"/>
      <c r="I3954" s="23"/>
      <c r="J3954" s="23"/>
      <c r="K3954" s="30"/>
      <c r="L3954" s="23"/>
      <c r="M3954" s="50" t="s">
        <v>10178</v>
      </c>
      <c r="N3954" s="51"/>
      <c r="O3954" s="20"/>
      <c r="P3954" s="20"/>
      <c r="Q3954" s="20"/>
      <c r="R3954" s="20"/>
      <c r="S3954" s="20"/>
    </row>
    <row r="3955">
      <c r="A3955" s="10"/>
      <c r="B3955" s="11"/>
      <c r="C3955" s="10"/>
      <c r="D3955" s="13"/>
      <c r="E3955" s="14"/>
      <c r="F3955" s="14"/>
      <c r="G3955" s="14"/>
      <c r="H3955" s="10"/>
      <c r="I3955" s="10"/>
      <c r="J3955" s="10"/>
      <c r="K3955" s="46"/>
      <c r="L3955" s="10"/>
      <c r="M3955" s="44" t="s">
        <v>10178</v>
      </c>
      <c r="N3955" s="45"/>
      <c r="O3955" s="20"/>
      <c r="P3955" s="20"/>
      <c r="Q3955" s="20"/>
      <c r="R3955" s="20"/>
      <c r="S3955" s="20"/>
    </row>
    <row r="3956">
      <c r="A3956" s="23"/>
      <c r="B3956" s="21"/>
      <c r="C3956" s="23"/>
      <c r="D3956" s="24"/>
      <c r="E3956" s="14"/>
      <c r="F3956" s="14"/>
      <c r="G3956" s="14"/>
      <c r="H3956" s="23"/>
      <c r="I3956" s="23"/>
      <c r="J3956" s="23"/>
      <c r="K3956" s="30"/>
      <c r="L3956" s="23"/>
      <c r="M3956" s="50" t="s">
        <v>10178</v>
      </c>
      <c r="N3956" s="51"/>
      <c r="O3956" s="20"/>
      <c r="P3956" s="20"/>
      <c r="Q3956" s="20"/>
      <c r="R3956" s="20"/>
      <c r="S3956" s="20"/>
    </row>
    <row r="3957">
      <c r="A3957" s="10"/>
      <c r="B3957" s="11"/>
      <c r="C3957" s="10"/>
      <c r="D3957" s="13"/>
      <c r="E3957" s="14"/>
      <c r="F3957" s="14"/>
      <c r="G3957" s="14"/>
      <c r="H3957" s="10"/>
      <c r="I3957" s="10"/>
      <c r="J3957" s="10"/>
      <c r="K3957" s="46"/>
      <c r="L3957" s="10"/>
      <c r="M3957" s="44" t="s">
        <v>10178</v>
      </c>
      <c r="N3957" s="45"/>
      <c r="O3957" s="20"/>
      <c r="P3957" s="20"/>
      <c r="Q3957" s="20"/>
      <c r="R3957" s="20"/>
      <c r="S3957" s="20"/>
    </row>
    <row r="3958">
      <c r="A3958" s="23"/>
      <c r="B3958" s="21"/>
      <c r="C3958" s="23"/>
      <c r="D3958" s="24"/>
      <c r="E3958" s="14"/>
      <c r="F3958" s="14"/>
      <c r="G3958" s="14"/>
      <c r="H3958" s="23"/>
      <c r="I3958" s="23"/>
      <c r="J3958" s="23"/>
      <c r="K3958" s="30"/>
      <c r="L3958" s="23"/>
      <c r="M3958" s="50" t="s">
        <v>10178</v>
      </c>
      <c r="N3958" s="51"/>
      <c r="O3958" s="20"/>
      <c r="P3958" s="20"/>
      <c r="Q3958" s="20"/>
      <c r="R3958" s="20"/>
      <c r="S3958" s="20"/>
    </row>
    <row r="3959">
      <c r="A3959" s="10"/>
      <c r="B3959" s="11"/>
      <c r="C3959" s="10"/>
      <c r="D3959" s="13"/>
      <c r="E3959" s="14"/>
      <c r="F3959" s="14"/>
      <c r="G3959" s="14"/>
      <c r="H3959" s="10"/>
      <c r="I3959" s="10"/>
      <c r="J3959" s="10"/>
      <c r="K3959" s="46"/>
      <c r="L3959" s="10"/>
      <c r="M3959" s="44" t="s">
        <v>10178</v>
      </c>
      <c r="N3959" s="45"/>
      <c r="O3959" s="20"/>
      <c r="P3959" s="20"/>
      <c r="Q3959" s="20"/>
      <c r="R3959" s="20"/>
      <c r="S3959" s="20"/>
    </row>
    <row r="3960">
      <c r="A3960" s="23"/>
      <c r="B3960" s="21"/>
      <c r="C3960" s="23"/>
      <c r="D3960" s="24"/>
      <c r="E3960" s="14"/>
      <c r="F3960" s="14"/>
      <c r="G3960" s="14"/>
      <c r="H3960" s="23"/>
      <c r="I3960" s="23"/>
      <c r="J3960" s="23"/>
      <c r="K3960" s="30"/>
      <c r="L3960" s="23"/>
      <c r="M3960" s="50" t="s">
        <v>10178</v>
      </c>
      <c r="N3960" s="51"/>
      <c r="O3960" s="20"/>
      <c r="P3960" s="20"/>
      <c r="Q3960" s="20"/>
      <c r="R3960" s="20"/>
      <c r="S3960" s="20"/>
    </row>
    <row r="3961">
      <c r="A3961" s="10"/>
      <c r="B3961" s="11"/>
      <c r="C3961" s="10"/>
      <c r="D3961" s="13"/>
      <c r="E3961" s="14"/>
      <c r="F3961" s="14"/>
      <c r="G3961" s="14"/>
      <c r="H3961" s="10"/>
      <c r="I3961" s="10"/>
      <c r="J3961" s="10"/>
      <c r="K3961" s="46"/>
      <c r="L3961" s="10"/>
      <c r="M3961" s="44" t="s">
        <v>10178</v>
      </c>
      <c r="N3961" s="45"/>
      <c r="O3961" s="20"/>
      <c r="P3961" s="20"/>
      <c r="Q3961" s="20"/>
      <c r="R3961" s="20"/>
      <c r="S3961" s="20"/>
    </row>
    <row r="3962">
      <c r="A3962" s="23"/>
      <c r="B3962" s="21"/>
      <c r="C3962" s="23"/>
      <c r="D3962" s="24"/>
      <c r="E3962" s="14"/>
      <c r="F3962" s="14"/>
      <c r="G3962" s="14"/>
      <c r="H3962" s="23"/>
      <c r="I3962" s="23"/>
      <c r="J3962" s="23"/>
      <c r="K3962" s="30"/>
      <c r="L3962" s="23"/>
      <c r="M3962" s="50" t="s">
        <v>10178</v>
      </c>
      <c r="N3962" s="51"/>
      <c r="O3962" s="20"/>
      <c r="P3962" s="20"/>
      <c r="Q3962" s="20"/>
      <c r="R3962" s="20"/>
      <c r="S3962" s="20"/>
    </row>
    <row r="3963">
      <c r="A3963" s="10"/>
      <c r="B3963" s="11"/>
      <c r="C3963" s="10"/>
      <c r="D3963" s="13"/>
      <c r="E3963" s="14"/>
      <c r="F3963" s="14"/>
      <c r="G3963" s="14"/>
      <c r="H3963" s="10"/>
      <c r="I3963" s="10"/>
      <c r="J3963" s="10"/>
      <c r="K3963" s="46"/>
      <c r="L3963" s="10"/>
      <c r="M3963" s="44" t="s">
        <v>10178</v>
      </c>
      <c r="N3963" s="45"/>
      <c r="O3963" s="20"/>
      <c r="P3963" s="20"/>
      <c r="Q3963" s="20"/>
      <c r="R3963" s="20"/>
      <c r="S3963" s="20"/>
    </row>
    <row r="3964">
      <c r="A3964" s="23"/>
      <c r="B3964" s="21"/>
      <c r="C3964" s="23"/>
      <c r="D3964" s="24"/>
      <c r="E3964" s="14"/>
      <c r="F3964" s="14"/>
      <c r="G3964" s="14"/>
      <c r="H3964" s="23"/>
      <c r="I3964" s="23"/>
      <c r="J3964" s="23"/>
      <c r="K3964" s="30"/>
      <c r="L3964" s="23"/>
      <c r="M3964" s="50" t="s">
        <v>10178</v>
      </c>
      <c r="N3964" s="51"/>
      <c r="O3964" s="20"/>
      <c r="P3964" s="20"/>
      <c r="Q3964" s="20"/>
      <c r="R3964" s="20"/>
      <c r="S3964" s="20"/>
    </row>
    <row r="3965">
      <c r="A3965" s="10"/>
      <c r="B3965" s="11"/>
      <c r="C3965" s="10"/>
      <c r="D3965" s="13"/>
      <c r="E3965" s="14"/>
      <c r="F3965" s="14"/>
      <c r="G3965" s="14"/>
      <c r="H3965" s="10"/>
      <c r="I3965" s="10"/>
      <c r="J3965" s="10"/>
      <c r="K3965" s="46"/>
      <c r="L3965" s="10"/>
      <c r="M3965" s="44" t="s">
        <v>10178</v>
      </c>
      <c r="N3965" s="45"/>
      <c r="O3965" s="20"/>
      <c r="P3965" s="20"/>
      <c r="Q3965" s="20"/>
      <c r="R3965" s="20"/>
      <c r="S3965" s="20"/>
    </row>
    <row r="3966">
      <c r="A3966" s="23"/>
      <c r="B3966" s="21"/>
      <c r="C3966" s="23"/>
      <c r="D3966" s="24"/>
      <c r="E3966" s="14"/>
      <c r="F3966" s="14"/>
      <c r="G3966" s="14"/>
      <c r="H3966" s="23"/>
      <c r="I3966" s="23"/>
      <c r="J3966" s="23"/>
      <c r="K3966" s="30"/>
      <c r="L3966" s="23"/>
      <c r="M3966" s="50" t="s">
        <v>10178</v>
      </c>
      <c r="N3966" s="51"/>
      <c r="O3966" s="20"/>
      <c r="P3966" s="20"/>
      <c r="Q3966" s="20"/>
      <c r="R3966" s="20"/>
      <c r="S3966" s="20"/>
    </row>
    <row r="3967">
      <c r="A3967" s="10"/>
      <c r="B3967" s="11"/>
      <c r="C3967" s="10"/>
      <c r="D3967" s="13"/>
      <c r="E3967" s="14"/>
      <c r="F3967" s="14"/>
      <c r="G3967" s="14"/>
      <c r="H3967" s="10"/>
      <c r="I3967" s="10"/>
      <c r="J3967" s="10"/>
      <c r="K3967" s="46"/>
      <c r="L3967" s="10"/>
      <c r="M3967" s="44" t="s">
        <v>10178</v>
      </c>
      <c r="N3967" s="45"/>
      <c r="O3967" s="20"/>
      <c r="P3967" s="20"/>
      <c r="Q3967" s="20"/>
      <c r="R3967" s="20"/>
      <c r="S3967" s="20"/>
    </row>
    <row r="3968">
      <c r="A3968" s="23"/>
      <c r="B3968" s="21"/>
      <c r="C3968" s="23"/>
      <c r="D3968" s="24"/>
      <c r="E3968" s="14"/>
      <c r="F3968" s="14"/>
      <c r="G3968" s="14"/>
      <c r="H3968" s="23"/>
      <c r="I3968" s="23"/>
      <c r="J3968" s="23"/>
      <c r="K3968" s="30"/>
      <c r="L3968" s="23"/>
      <c r="M3968" s="50" t="s">
        <v>10178</v>
      </c>
      <c r="N3968" s="51"/>
      <c r="O3968" s="20"/>
      <c r="P3968" s="20"/>
      <c r="Q3968" s="20"/>
      <c r="R3968" s="20"/>
      <c r="S3968" s="20"/>
    </row>
    <row r="3969">
      <c r="A3969" s="10"/>
      <c r="B3969" s="11"/>
      <c r="C3969" s="10"/>
      <c r="D3969" s="13"/>
      <c r="E3969" s="14"/>
      <c r="F3969" s="14"/>
      <c r="G3969" s="14"/>
      <c r="H3969" s="10"/>
      <c r="I3969" s="10"/>
      <c r="J3969" s="10"/>
      <c r="K3969" s="46"/>
      <c r="L3969" s="10"/>
      <c r="M3969" s="44" t="s">
        <v>10178</v>
      </c>
      <c r="N3969" s="45"/>
      <c r="O3969" s="20"/>
      <c r="P3969" s="20"/>
      <c r="Q3969" s="20"/>
      <c r="R3969" s="20"/>
      <c r="S3969" s="20"/>
    </row>
    <row r="3970">
      <c r="A3970" s="23"/>
      <c r="B3970" s="21"/>
      <c r="C3970" s="23"/>
      <c r="D3970" s="24"/>
      <c r="E3970" s="14"/>
      <c r="F3970" s="14"/>
      <c r="G3970" s="14"/>
      <c r="H3970" s="23"/>
      <c r="I3970" s="23"/>
      <c r="J3970" s="23"/>
      <c r="K3970" s="30"/>
      <c r="L3970" s="23"/>
      <c r="M3970" s="50" t="s">
        <v>10178</v>
      </c>
      <c r="N3970" s="51"/>
      <c r="O3970" s="20"/>
      <c r="P3970" s="20"/>
      <c r="Q3970" s="20"/>
      <c r="R3970" s="20"/>
      <c r="S3970" s="20"/>
    </row>
    <row r="3971">
      <c r="A3971" s="10"/>
      <c r="B3971" s="11"/>
      <c r="C3971" s="10"/>
      <c r="D3971" s="13"/>
      <c r="E3971" s="14"/>
      <c r="F3971" s="14"/>
      <c r="G3971" s="14"/>
      <c r="H3971" s="10"/>
      <c r="I3971" s="10"/>
      <c r="J3971" s="10"/>
      <c r="K3971" s="46"/>
      <c r="L3971" s="10"/>
      <c r="M3971" s="44" t="s">
        <v>10178</v>
      </c>
      <c r="N3971" s="45"/>
      <c r="O3971" s="20"/>
      <c r="P3971" s="20"/>
      <c r="Q3971" s="20"/>
      <c r="R3971" s="20"/>
      <c r="S3971" s="20"/>
    </row>
    <row r="3972">
      <c r="A3972" s="23"/>
      <c r="B3972" s="21"/>
      <c r="C3972" s="23"/>
      <c r="D3972" s="24"/>
      <c r="E3972" s="14"/>
      <c r="F3972" s="14"/>
      <c r="G3972" s="14"/>
      <c r="H3972" s="23"/>
      <c r="I3972" s="23"/>
      <c r="J3972" s="23"/>
      <c r="K3972" s="30"/>
      <c r="L3972" s="23"/>
      <c r="M3972" s="50" t="s">
        <v>10178</v>
      </c>
      <c r="N3972" s="51"/>
      <c r="O3972" s="20"/>
      <c r="P3972" s="20"/>
      <c r="Q3972" s="20"/>
      <c r="R3972" s="20"/>
      <c r="S3972" s="20"/>
    </row>
    <row r="3973">
      <c r="A3973" s="10"/>
      <c r="B3973" s="11"/>
      <c r="C3973" s="10"/>
      <c r="D3973" s="13"/>
      <c r="E3973" s="14"/>
      <c r="F3973" s="14"/>
      <c r="G3973" s="14"/>
      <c r="H3973" s="10"/>
      <c r="I3973" s="10"/>
      <c r="J3973" s="10"/>
      <c r="K3973" s="46"/>
      <c r="L3973" s="10"/>
      <c r="M3973" s="44" t="s">
        <v>10178</v>
      </c>
      <c r="N3973" s="45"/>
      <c r="O3973" s="20"/>
      <c r="P3973" s="20"/>
      <c r="Q3973" s="20"/>
      <c r="R3973" s="20"/>
      <c r="S3973" s="20"/>
    </row>
    <row r="3974">
      <c r="A3974" s="23"/>
      <c r="B3974" s="21"/>
      <c r="C3974" s="23"/>
      <c r="D3974" s="24"/>
      <c r="E3974" s="14"/>
      <c r="F3974" s="14"/>
      <c r="G3974" s="14"/>
      <c r="H3974" s="23"/>
      <c r="I3974" s="23"/>
      <c r="J3974" s="23"/>
      <c r="K3974" s="30"/>
      <c r="L3974" s="23"/>
      <c r="M3974" s="50" t="s">
        <v>10178</v>
      </c>
      <c r="N3974" s="51"/>
      <c r="O3974" s="20"/>
      <c r="P3974" s="20"/>
      <c r="Q3974" s="20"/>
      <c r="R3974" s="20"/>
      <c r="S3974" s="20"/>
    </row>
    <row r="3975">
      <c r="A3975" s="10"/>
      <c r="B3975" s="11"/>
      <c r="C3975" s="10"/>
      <c r="D3975" s="13"/>
      <c r="E3975" s="14"/>
      <c r="F3975" s="14"/>
      <c r="G3975" s="14"/>
      <c r="H3975" s="10"/>
      <c r="I3975" s="10"/>
      <c r="J3975" s="10"/>
      <c r="K3975" s="46"/>
      <c r="L3975" s="10"/>
      <c r="M3975" s="44" t="s">
        <v>10178</v>
      </c>
      <c r="N3975" s="45"/>
      <c r="O3975" s="20"/>
      <c r="P3975" s="20"/>
      <c r="Q3975" s="20"/>
      <c r="R3975" s="20"/>
      <c r="S3975" s="20"/>
    </row>
    <row r="3976">
      <c r="A3976" s="23"/>
      <c r="B3976" s="21"/>
      <c r="C3976" s="23"/>
      <c r="D3976" s="24"/>
      <c r="E3976" s="14"/>
      <c r="F3976" s="14"/>
      <c r="G3976" s="14"/>
      <c r="H3976" s="23"/>
      <c r="I3976" s="23"/>
      <c r="J3976" s="23"/>
      <c r="K3976" s="30"/>
      <c r="L3976" s="23"/>
      <c r="M3976" s="50" t="s">
        <v>10178</v>
      </c>
      <c r="N3976" s="51"/>
      <c r="O3976" s="20"/>
      <c r="P3976" s="20"/>
      <c r="Q3976" s="20"/>
      <c r="R3976" s="20"/>
      <c r="S3976" s="20"/>
    </row>
    <row r="3977">
      <c r="A3977" s="10"/>
      <c r="B3977" s="11"/>
      <c r="C3977" s="10"/>
      <c r="D3977" s="13"/>
      <c r="E3977" s="14"/>
      <c r="F3977" s="14"/>
      <c r="G3977" s="14"/>
      <c r="H3977" s="10"/>
      <c r="I3977" s="10"/>
      <c r="J3977" s="10"/>
      <c r="K3977" s="46"/>
      <c r="L3977" s="10"/>
      <c r="M3977" s="44" t="s">
        <v>10178</v>
      </c>
      <c r="N3977" s="45"/>
      <c r="O3977" s="20"/>
      <c r="P3977" s="20"/>
      <c r="Q3977" s="20"/>
      <c r="R3977" s="20"/>
      <c r="S3977" s="20"/>
    </row>
    <row r="3978">
      <c r="A3978" s="23"/>
      <c r="B3978" s="21"/>
      <c r="C3978" s="23"/>
      <c r="D3978" s="24"/>
      <c r="E3978" s="14"/>
      <c r="F3978" s="14"/>
      <c r="G3978" s="14"/>
      <c r="H3978" s="23"/>
      <c r="I3978" s="23"/>
      <c r="J3978" s="23"/>
      <c r="K3978" s="30"/>
      <c r="L3978" s="23"/>
      <c r="M3978" s="50" t="s">
        <v>10178</v>
      </c>
      <c r="N3978" s="51"/>
      <c r="O3978" s="20"/>
      <c r="P3978" s="20"/>
      <c r="Q3978" s="20"/>
      <c r="R3978" s="20"/>
      <c r="S3978" s="20"/>
    </row>
    <row r="3979">
      <c r="A3979" s="10"/>
      <c r="B3979" s="11"/>
      <c r="C3979" s="10"/>
      <c r="D3979" s="13"/>
      <c r="E3979" s="14"/>
      <c r="F3979" s="14"/>
      <c r="G3979" s="14"/>
      <c r="H3979" s="10"/>
      <c r="I3979" s="10"/>
      <c r="J3979" s="10"/>
      <c r="K3979" s="46"/>
      <c r="L3979" s="10"/>
      <c r="M3979" s="44" t="s">
        <v>10178</v>
      </c>
      <c r="N3979" s="45"/>
      <c r="O3979" s="20"/>
      <c r="P3979" s="20"/>
      <c r="Q3979" s="20"/>
      <c r="R3979" s="20"/>
      <c r="S3979" s="20"/>
    </row>
    <row r="3980">
      <c r="A3980" s="23"/>
      <c r="B3980" s="21"/>
      <c r="C3980" s="23"/>
      <c r="D3980" s="24"/>
      <c r="E3980" s="14"/>
      <c r="F3980" s="14"/>
      <c r="G3980" s="14"/>
      <c r="H3980" s="23"/>
      <c r="I3980" s="23"/>
      <c r="J3980" s="23"/>
      <c r="K3980" s="30"/>
      <c r="L3980" s="23"/>
      <c r="M3980" s="50" t="s">
        <v>10178</v>
      </c>
      <c r="N3980" s="51"/>
      <c r="O3980" s="20"/>
      <c r="P3980" s="20"/>
      <c r="Q3980" s="20"/>
      <c r="R3980" s="20"/>
      <c r="S3980" s="20"/>
    </row>
    <row r="3981">
      <c r="A3981" s="10"/>
      <c r="B3981" s="11"/>
      <c r="C3981" s="10"/>
      <c r="D3981" s="13"/>
      <c r="E3981" s="14"/>
      <c r="F3981" s="14"/>
      <c r="G3981" s="14"/>
      <c r="H3981" s="10"/>
      <c r="I3981" s="10"/>
      <c r="J3981" s="10"/>
      <c r="K3981" s="46"/>
      <c r="L3981" s="10"/>
      <c r="M3981" s="44" t="s">
        <v>10178</v>
      </c>
      <c r="N3981" s="45"/>
      <c r="O3981" s="20"/>
      <c r="P3981" s="20"/>
      <c r="Q3981" s="20"/>
      <c r="R3981" s="20"/>
      <c r="S3981" s="20"/>
    </row>
    <row r="3982">
      <c r="A3982" s="23"/>
      <c r="B3982" s="21"/>
      <c r="C3982" s="23"/>
      <c r="D3982" s="24"/>
      <c r="E3982" s="14"/>
      <c r="F3982" s="14"/>
      <c r="G3982" s="14"/>
      <c r="H3982" s="23"/>
      <c r="I3982" s="23"/>
      <c r="J3982" s="23"/>
      <c r="K3982" s="30"/>
      <c r="L3982" s="23"/>
      <c r="M3982" s="50" t="s">
        <v>10178</v>
      </c>
      <c r="N3982" s="51"/>
      <c r="O3982" s="20"/>
      <c r="P3982" s="20"/>
      <c r="Q3982" s="20"/>
      <c r="R3982" s="20"/>
      <c r="S3982" s="20"/>
    </row>
    <row r="3983">
      <c r="A3983" s="10"/>
      <c r="B3983" s="11"/>
      <c r="C3983" s="10"/>
      <c r="D3983" s="13"/>
      <c r="E3983" s="14"/>
      <c r="F3983" s="14"/>
      <c r="G3983" s="14"/>
      <c r="H3983" s="10"/>
      <c r="I3983" s="10"/>
      <c r="J3983" s="10"/>
      <c r="K3983" s="46"/>
      <c r="L3983" s="10"/>
      <c r="M3983" s="44" t="s">
        <v>10178</v>
      </c>
      <c r="N3983" s="45"/>
      <c r="O3983" s="20"/>
      <c r="P3983" s="20"/>
      <c r="Q3983" s="20"/>
      <c r="R3983" s="20"/>
      <c r="S3983" s="20"/>
    </row>
    <row r="3984">
      <c r="A3984" s="23"/>
      <c r="B3984" s="21"/>
      <c r="C3984" s="23"/>
      <c r="D3984" s="24"/>
      <c r="E3984" s="14"/>
      <c r="F3984" s="14"/>
      <c r="G3984" s="14"/>
      <c r="H3984" s="23"/>
      <c r="I3984" s="23"/>
      <c r="J3984" s="23"/>
      <c r="K3984" s="30"/>
      <c r="L3984" s="23"/>
      <c r="M3984" s="50" t="s">
        <v>10178</v>
      </c>
      <c r="N3984" s="51"/>
      <c r="O3984" s="20"/>
      <c r="P3984" s="20"/>
      <c r="Q3984" s="20"/>
      <c r="R3984" s="20"/>
      <c r="S3984" s="20"/>
    </row>
    <row r="3985">
      <c r="A3985" s="10"/>
      <c r="B3985" s="11"/>
      <c r="C3985" s="10"/>
      <c r="D3985" s="13"/>
      <c r="E3985" s="14"/>
      <c r="F3985" s="14"/>
      <c r="G3985" s="14"/>
      <c r="H3985" s="10"/>
      <c r="I3985" s="10"/>
      <c r="J3985" s="10"/>
      <c r="K3985" s="46"/>
      <c r="L3985" s="10"/>
      <c r="M3985" s="44" t="s">
        <v>10178</v>
      </c>
      <c r="N3985" s="45"/>
      <c r="O3985" s="20"/>
      <c r="P3985" s="20"/>
      <c r="Q3985" s="20"/>
      <c r="R3985" s="20"/>
      <c r="S3985" s="20"/>
    </row>
    <row r="3986">
      <c r="A3986" s="23"/>
      <c r="B3986" s="21"/>
      <c r="C3986" s="23"/>
      <c r="D3986" s="24"/>
      <c r="E3986" s="14"/>
      <c r="F3986" s="14"/>
      <c r="G3986" s="14"/>
      <c r="H3986" s="23"/>
      <c r="I3986" s="23"/>
      <c r="J3986" s="23"/>
      <c r="K3986" s="30"/>
      <c r="L3986" s="23"/>
      <c r="M3986" s="50" t="s">
        <v>10178</v>
      </c>
      <c r="N3986" s="51"/>
      <c r="O3986" s="20"/>
      <c r="P3986" s="20"/>
      <c r="Q3986" s="20"/>
      <c r="R3986" s="20"/>
      <c r="S3986" s="20"/>
    </row>
    <row r="3987">
      <c r="A3987" s="10"/>
      <c r="B3987" s="11"/>
      <c r="C3987" s="10"/>
      <c r="D3987" s="13"/>
      <c r="E3987" s="14"/>
      <c r="F3987" s="14"/>
      <c r="G3987" s="14"/>
      <c r="H3987" s="10"/>
      <c r="I3987" s="10"/>
      <c r="J3987" s="10"/>
      <c r="K3987" s="46"/>
      <c r="L3987" s="10"/>
      <c r="M3987" s="44" t="s">
        <v>10178</v>
      </c>
      <c r="N3987" s="45"/>
      <c r="O3987" s="20"/>
      <c r="P3987" s="20"/>
      <c r="Q3987" s="20"/>
      <c r="R3987" s="20"/>
      <c r="S3987" s="20"/>
    </row>
    <row r="3988">
      <c r="A3988" s="23"/>
      <c r="B3988" s="21"/>
      <c r="C3988" s="23"/>
      <c r="D3988" s="24"/>
      <c r="E3988" s="14"/>
      <c r="F3988" s="14"/>
      <c r="G3988" s="14"/>
      <c r="H3988" s="23"/>
      <c r="I3988" s="23"/>
      <c r="J3988" s="23"/>
      <c r="K3988" s="30"/>
      <c r="L3988" s="23"/>
      <c r="M3988" s="50" t="s">
        <v>10178</v>
      </c>
      <c r="N3988" s="51"/>
      <c r="O3988" s="20"/>
      <c r="P3988" s="20"/>
      <c r="Q3988" s="20"/>
      <c r="R3988" s="20"/>
      <c r="S3988" s="20"/>
    </row>
    <row r="3989">
      <c r="A3989" s="10"/>
      <c r="B3989" s="11"/>
      <c r="C3989" s="10"/>
      <c r="D3989" s="13"/>
      <c r="E3989" s="14"/>
      <c r="F3989" s="14"/>
      <c r="G3989" s="14"/>
      <c r="H3989" s="10"/>
      <c r="I3989" s="10"/>
      <c r="J3989" s="10"/>
      <c r="K3989" s="46"/>
      <c r="L3989" s="10"/>
      <c r="M3989" s="44" t="s">
        <v>10178</v>
      </c>
      <c r="N3989" s="45"/>
      <c r="O3989" s="20"/>
      <c r="P3989" s="20"/>
      <c r="Q3989" s="20"/>
      <c r="R3989" s="20"/>
      <c r="S3989" s="20"/>
    </row>
    <row r="3990">
      <c r="A3990" s="23"/>
      <c r="B3990" s="21"/>
      <c r="C3990" s="23"/>
      <c r="D3990" s="24"/>
      <c r="E3990" s="14"/>
      <c r="F3990" s="14"/>
      <c r="G3990" s="14"/>
      <c r="H3990" s="23"/>
      <c r="I3990" s="23"/>
      <c r="J3990" s="23"/>
      <c r="K3990" s="30"/>
      <c r="L3990" s="23"/>
      <c r="M3990" s="50" t="s">
        <v>10178</v>
      </c>
      <c r="N3990" s="51"/>
      <c r="O3990" s="20"/>
      <c r="P3990" s="20"/>
      <c r="Q3990" s="20"/>
      <c r="R3990" s="20"/>
      <c r="S3990" s="20"/>
    </row>
    <row r="3991">
      <c r="A3991" s="10"/>
      <c r="B3991" s="11"/>
      <c r="C3991" s="10"/>
      <c r="D3991" s="13"/>
      <c r="E3991" s="14"/>
      <c r="F3991" s="14"/>
      <c r="G3991" s="14"/>
      <c r="H3991" s="10"/>
      <c r="I3991" s="10"/>
      <c r="J3991" s="10"/>
      <c r="K3991" s="46"/>
      <c r="L3991" s="10"/>
      <c r="M3991" s="44" t="s">
        <v>10178</v>
      </c>
      <c r="N3991" s="45"/>
      <c r="O3991" s="20"/>
      <c r="P3991" s="20"/>
      <c r="Q3991" s="20"/>
      <c r="R3991" s="20"/>
      <c r="S3991" s="20"/>
    </row>
    <row r="3992">
      <c r="A3992" s="23"/>
      <c r="B3992" s="21"/>
      <c r="C3992" s="23"/>
      <c r="D3992" s="24"/>
      <c r="E3992" s="14"/>
      <c r="F3992" s="14"/>
      <c r="G3992" s="14"/>
      <c r="H3992" s="23"/>
      <c r="I3992" s="23"/>
      <c r="J3992" s="23"/>
      <c r="K3992" s="30"/>
      <c r="L3992" s="23"/>
      <c r="M3992" s="50" t="s">
        <v>10178</v>
      </c>
      <c r="N3992" s="51"/>
      <c r="O3992" s="20"/>
      <c r="P3992" s="20"/>
      <c r="Q3992" s="20"/>
      <c r="R3992" s="20"/>
      <c r="S3992" s="20"/>
    </row>
    <row r="3993">
      <c r="A3993" s="10"/>
      <c r="B3993" s="11"/>
      <c r="C3993" s="10"/>
      <c r="D3993" s="13"/>
      <c r="E3993" s="14"/>
      <c r="F3993" s="14"/>
      <c r="G3993" s="14"/>
      <c r="H3993" s="10"/>
      <c r="I3993" s="10"/>
      <c r="J3993" s="10"/>
      <c r="K3993" s="46"/>
      <c r="L3993" s="10"/>
      <c r="M3993" s="44" t="s">
        <v>10178</v>
      </c>
      <c r="N3993" s="45"/>
      <c r="O3993" s="20"/>
      <c r="P3993" s="20"/>
      <c r="Q3993" s="20"/>
      <c r="R3993" s="20"/>
      <c r="S3993" s="20"/>
    </row>
    <row r="3994">
      <c r="A3994" s="23"/>
      <c r="B3994" s="21"/>
      <c r="C3994" s="23"/>
      <c r="D3994" s="24"/>
      <c r="E3994" s="14"/>
      <c r="F3994" s="14"/>
      <c r="G3994" s="14"/>
      <c r="H3994" s="23"/>
      <c r="I3994" s="23"/>
      <c r="J3994" s="23"/>
      <c r="K3994" s="30"/>
      <c r="L3994" s="23"/>
      <c r="M3994" s="50" t="s">
        <v>10178</v>
      </c>
      <c r="N3994" s="51"/>
      <c r="O3994" s="20"/>
      <c r="P3994" s="20"/>
      <c r="Q3994" s="20"/>
      <c r="R3994" s="20"/>
      <c r="S3994" s="20"/>
    </row>
    <row r="3995">
      <c r="A3995" s="10"/>
      <c r="B3995" s="11"/>
      <c r="C3995" s="10"/>
      <c r="D3995" s="13"/>
      <c r="E3995" s="14"/>
      <c r="F3995" s="14"/>
      <c r="G3995" s="14"/>
      <c r="H3995" s="10"/>
      <c r="I3995" s="10"/>
      <c r="J3995" s="10"/>
      <c r="K3995" s="46"/>
      <c r="L3995" s="10"/>
      <c r="M3995" s="44" t="s">
        <v>10178</v>
      </c>
      <c r="N3995" s="45"/>
      <c r="O3995" s="20"/>
      <c r="P3995" s="20"/>
      <c r="Q3995" s="20"/>
      <c r="R3995" s="20"/>
      <c r="S3995" s="20"/>
    </row>
    <row r="3996">
      <c r="A3996" s="23"/>
      <c r="B3996" s="21"/>
      <c r="C3996" s="23"/>
      <c r="D3996" s="24"/>
      <c r="E3996" s="14"/>
      <c r="F3996" s="14"/>
      <c r="G3996" s="14"/>
      <c r="H3996" s="23"/>
      <c r="I3996" s="23"/>
      <c r="J3996" s="23"/>
      <c r="K3996" s="30"/>
      <c r="L3996" s="23"/>
      <c r="M3996" s="50" t="s">
        <v>10178</v>
      </c>
      <c r="N3996" s="51"/>
      <c r="O3996" s="20"/>
      <c r="P3996" s="20"/>
      <c r="Q3996" s="20"/>
      <c r="R3996" s="20"/>
      <c r="S3996" s="20"/>
    </row>
    <row r="3997">
      <c r="A3997" s="10"/>
      <c r="B3997" s="11"/>
      <c r="C3997" s="10"/>
      <c r="D3997" s="13"/>
      <c r="E3997" s="14"/>
      <c r="F3997" s="14"/>
      <c r="G3997" s="14"/>
      <c r="H3997" s="10"/>
      <c r="I3997" s="10"/>
      <c r="J3997" s="10"/>
      <c r="K3997" s="46"/>
      <c r="L3997" s="10"/>
      <c r="M3997" s="44" t="s">
        <v>10178</v>
      </c>
      <c r="N3997" s="45"/>
      <c r="O3997" s="20"/>
      <c r="P3997" s="20"/>
      <c r="Q3997" s="20"/>
      <c r="R3997" s="20"/>
      <c r="S3997" s="20"/>
    </row>
    <row r="3998">
      <c r="A3998" s="23"/>
      <c r="B3998" s="21"/>
      <c r="C3998" s="23"/>
      <c r="D3998" s="24"/>
      <c r="E3998" s="14"/>
      <c r="F3998" s="14"/>
      <c r="G3998" s="14"/>
      <c r="H3998" s="23"/>
      <c r="I3998" s="23"/>
      <c r="J3998" s="23"/>
      <c r="K3998" s="30"/>
      <c r="L3998" s="23"/>
      <c r="M3998" s="50" t="s">
        <v>10178</v>
      </c>
      <c r="N3998" s="51"/>
      <c r="O3998" s="20"/>
      <c r="P3998" s="20"/>
      <c r="Q3998" s="20"/>
      <c r="R3998" s="20"/>
      <c r="S3998" s="20"/>
    </row>
    <row r="3999">
      <c r="A3999" s="10"/>
      <c r="B3999" s="11"/>
      <c r="C3999" s="10"/>
      <c r="D3999" s="13"/>
      <c r="E3999" s="14"/>
      <c r="F3999" s="14"/>
      <c r="G3999" s="14"/>
      <c r="H3999" s="10"/>
      <c r="I3999" s="10"/>
      <c r="J3999" s="10"/>
      <c r="K3999" s="46"/>
      <c r="L3999" s="10"/>
      <c r="M3999" s="44" t="s">
        <v>10178</v>
      </c>
      <c r="N3999" s="45"/>
      <c r="O3999" s="20"/>
      <c r="P3999" s="20"/>
      <c r="Q3999" s="20"/>
      <c r="R3999" s="20"/>
      <c r="S3999" s="20"/>
    </row>
    <row r="4000">
      <c r="A4000" s="23"/>
      <c r="B4000" s="21"/>
      <c r="C4000" s="23"/>
      <c r="D4000" s="24"/>
      <c r="E4000" s="14"/>
      <c r="F4000" s="14"/>
      <c r="G4000" s="14"/>
      <c r="H4000" s="23"/>
      <c r="I4000" s="23"/>
      <c r="J4000" s="23"/>
      <c r="K4000" s="30"/>
      <c r="L4000" s="23"/>
      <c r="M4000" s="50" t="s">
        <v>10178</v>
      </c>
      <c r="N4000" s="51"/>
      <c r="O4000" s="20"/>
      <c r="P4000" s="20"/>
      <c r="Q4000" s="20"/>
      <c r="R4000" s="20"/>
      <c r="S4000" s="20"/>
    </row>
    <row r="4001">
      <c r="A4001" s="10"/>
      <c r="B4001" s="11"/>
      <c r="C4001" s="10"/>
      <c r="D4001" s="13"/>
      <c r="E4001" s="14"/>
      <c r="F4001" s="14"/>
      <c r="G4001" s="14"/>
      <c r="H4001" s="10"/>
      <c r="I4001" s="10"/>
      <c r="J4001" s="10"/>
      <c r="K4001" s="46"/>
      <c r="L4001" s="10"/>
      <c r="M4001" s="44" t="s">
        <v>10178</v>
      </c>
      <c r="N4001" s="45"/>
      <c r="O4001" s="20"/>
      <c r="P4001" s="20"/>
      <c r="Q4001" s="20"/>
      <c r="R4001" s="20"/>
      <c r="S4001" s="20"/>
    </row>
    <row r="4002">
      <c r="A4002" s="23"/>
      <c r="B4002" s="21"/>
      <c r="C4002" s="23"/>
      <c r="D4002" s="24"/>
      <c r="E4002" s="14"/>
      <c r="F4002" s="14"/>
      <c r="G4002" s="14"/>
      <c r="H4002" s="23"/>
      <c r="I4002" s="23"/>
      <c r="J4002" s="23"/>
      <c r="K4002" s="30"/>
      <c r="L4002" s="23"/>
      <c r="M4002" s="50" t="s">
        <v>10178</v>
      </c>
      <c r="N4002" s="51"/>
      <c r="O4002" s="20"/>
      <c r="P4002" s="20"/>
      <c r="Q4002" s="20"/>
      <c r="R4002" s="20"/>
      <c r="S4002" s="20"/>
    </row>
    <row r="4003">
      <c r="A4003" s="10"/>
      <c r="B4003" s="11"/>
      <c r="C4003" s="10"/>
      <c r="D4003" s="13"/>
      <c r="E4003" s="14"/>
      <c r="F4003" s="14"/>
      <c r="G4003" s="14"/>
      <c r="H4003" s="10"/>
      <c r="I4003" s="10"/>
      <c r="J4003" s="10"/>
      <c r="K4003" s="46"/>
      <c r="L4003" s="10"/>
      <c r="M4003" s="44" t="s">
        <v>10178</v>
      </c>
      <c r="N4003" s="45"/>
      <c r="O4003" s="20"/>
      <c r="P4003" s="20"/>
      <c r="Q4003" s="20"/>
      <c r="R4003" s="20"/>
      <c r="S4003" s="20"/>
    </row>
    <row r="4004">
      <c r="A4004" s="23"/>
      <c r="B4004" s="21"/>
      <c r="C4004" s="23"/>
      <c r="D4004" s="24"/>
      <c r="E4004" s="14"/>
      <c r="F4004" s="14"/>
      <c r="G4004" s="14"/>
      <c r="H4004" s="23"/>
      <c r="I4004" s="23"/>
      <c r="J4004" s="23"/>
      <c r="K4004" s="30"/>
      <c r="L4004" s="23"/>
      <c r="M4004" s="50" t="s">
        <v>10178</v>
      </c>
      <c r="N4004" s="51"/>
      <c r="O4004" s="20"/>
      <c r="P4004" s="20"/>
      <c r="Q4004" s="20"/>
      <c r="R4004" s="20"/>
      <c r="S4004" s="20"/>
    </row>
    <row r="4005">
      <c r="A4005" s="10"/>
      <c r="B4005" s="11"/>
      <c r="C4005" s="10"/>
      <c r="D4005" s="13"/>
      <c r="E4005" s="14"/>
      <c r="F4005" s="14"/>
      <c r="G4005" s="14"/>
      <c r="H4005" s="10"/>
      <c r="I4005" s="10"/>
      <c r="J4005" s="10"/>
      <c r="K4005" s="46"/>
      <c r="L4005" s="10"/>
      <c r="M4005" s="44" t="s">
        <v>10178</v>
      </c>
      <c r="N4005" s="45"/>
      <c r="O4005" s="20"/>
      <c r="P4005" s="20"/>
      <c r="Q4005" s="20"/>
      <c r="R4005" s="20"/>
      <c r="S4005" s="20"/>
    </row>
    <row r="4006">
      <c r="A4006" s="23"/>
      <c r="B4006" s="21"/>
      <c r="C4006" s="23"/>
      <c r="D4006" s="24"/>
      <c r="E4006" s="14"/>
      <c r="F4006" s="14"/>
      <c r="G4006" s="14"/>
      <c r="H4006" s="23"/>
      <c r="I4006" s="23"/>
      <c r="J4006" s="23"/>
      <c r="K4006" s="30"/>
      <c r="L4006" s="23"/>
      <c r="M4006" s="50" t="s">
        <v>10178</v>
      </c>
      <c r="N4006" s="51"/>
      <c r="O4006" s="20"/>
      <c r="P4006" s="20"/>
      <c r="Q4006" s="20"/>
      <c r="R4006" s="20"/>
      <c r="S4006" s="20"/>
    </row>
    <row r="4007">
      <c r="A4007" s="10"/>
      <c r="B4007" s="11"/>
      <c r="C4007" s="10"/>
      <c r="D4007" s="13"/>
      <c r="E4007" s="14"/>
      <c r="F4007" s="14"/>
      <c r="G4007" s="14"/>
      <c r="H4007" s="10"/>
      <c r="I4007" s="10"/>
      <c r="J4007" s="10"/>
      <c r="K4007" s="46"/>
      <c r="L4007" s="10"/>
      <c r="M4007" s="44" t="s">
        <v>10178</v>
      </c>
      <c r="N4007" s="45"/>
      <c r="O4007" s="20"/>
      <c r="P4007" s="20"/>
      <c r="Q4007" s="20"/>
      <c r="R4007" s="20"/>
      <c r="S4007" s="20"/>
    </row>
    <row r="4008">
      <c r="A4008" s="23"/>
      <c r="B4008" s="21"/>
      <c r="C4008" s="23"/>
      <c r="D4008" s="24"/>
      <c r="E4008" s="14"/>
      <c r="F4008" s="14"/>
      <c r="G4008" s="14"/>
      <c r="H4008" s="23"/>
      <c r="I4008" s="23"/>
      <c r="J4008" s="23"/>
      <c r="K4008" s="30"/>
      <c r="L4008" s="23"/>
      <c r="M4008" s="50" t="s">
        <v>10178</v>
      </c>
      <c r="N4008" s="51"/>
      <c r="O4008" s="20"/>
      <c r="P4008" s="20"/>
      <c r="Q4008" s="20"/>
      <c r="R4008" s="20"/>
      <c r="S4008" s="20"/>
    </row>
    <row r="4009">
      <c r="A4009" s="10"/>
      <c r="B4009" s="11"/>
      <c r="C4009" s="10"/>
      <c r="D4009" s="13"/>
      <c r="E4009" s="14"/>
      <c r="F4009" s="14"/>
      <c r="G4009" s="14"/>
      <c r="H4009" s="10"/>
      <c r="I4009" s="10"/>
      <c r="J4009" s="10"/>
      <c r="K4009" s="46"/>
      <c r="L4009" s="10"/>
      <c r="M4009" s="44" t="s">
        <v>10178</v>
      </c>
      <c r="N4009" s="45"/>
      <c r="O4009" s="20"/>
      <c r="P4009" s="20"/>
      <c r="Q4009" s="20"/>
      <c r="R4009" s="20"/>
      <c r="S4009" s="20"/>
    </row>
    <row r="4010">
      <c r="A4010" s="23"/>
      <c r="B4010" s="21"/>
      <c r="C4010" s="23"/>
      <c r="D4010" s="24"/>
      <c r="E4010" s="14"/>
      <c r="F4010" s="14"/>
      <c r="G4010" s="14"/>
      <c r="H4010" s="23"/>
      <c r="I4010" s="23"/>
      <c r="J4010" s="23"/>
      <c r="K4010" s="30"/>
      <c r="L4010" s="23"/>
      <c r="M4010" s="50" t="s">
        <v>10178</v>
      </c>
      <c r="N4010" s="51"/>
      <c r="O4010" s="20"/>
      <c r="P4010" s="20"/>
      <c r="Q4010" s="20"/>
      <c r="R4010" s="20"/>
      <c r="S4010" s="20"/>
    </row>
    <row r="4011">
      <c r="A4011" s="10"/>
      <c r="B4011" s="11"/>
      <c r="C4011" s="10"/>
      <c r="D4011" s="13"/>
      <c r="E4011" s="14"/>
      <c r="F4011" s="14"/>
      <c r="G4011" s="14"/>
      <c r="H4011" s="10"/>
      <c r="I4011" s="10"/>
      <c r="J4011" s="10"/>
      <c r="K4011" s="46"/>
      <c r="L4011" s="10"/>
      <c r="M4011" s="44" t="s">
        <v>10178</v>
      </c>
      <c r="N4011" s="45"/>
      <c r="O4011" s="20"/>
      <c r="P4011" s="20"/>
      <c r="Q4011" s="20"/>
      <c r="R4011" s="20"/>
      <c r="S4011" s="20"/>
    </row>
    <row r="4012">
      <c r="A4012" s="23"/>
      <c r="B4012" s="21"/>
      <c r="C4012" s="23"/>
      <c r="D4012" s="24"/>
      <c r="E4012" s="14"/>
      <c r="F4012" s="14"/>
      <c r="G4012" s="14"/>
      <c r="H4012" s="23"/>
      <c r="I4012" s="23"/>
      <c r="J4012" s="23"/>
      <c r="K4012" s="30"/>
      <c r="L4012" s="23"/>
      <c r="M4012" s="50" t="s">
        <v>10178</v>
      </c>
      <c r="N4012" s="51"/>
      <c r="O4012" s="20"/>
      <c r="P4012" s="20"/>
      <c r="Q4012" s="20"/>
      <c r="R4012" s="20"/>
      <c r="S4012" s="20"/>
    </row>
    <row r="4013">
      <c r="A4013" s="10"/>
      <c r="B4013" s="11"/>
      <c r="C4013" s="10"/>
      <c r="D4013" s="13"/>
      <c r="E4013" s="14"/>
      <c r="F4013" s="14"/>
      <c r="G4013" s="14"/>
      <c r="H4013" s="10"/>
      <c r="I4013" s="10"/>
      <c r="J4013" s="10"/>
      <c r="K4013" s="46"/>
      <c r="L4013" s="10"/>
      <c r="M4013" s="44" t="s">
        <v>10178</v>
      </c>
      <c r="N4013" s="45"/>
      <c r="O4013" s="20"/>
      <c r="P4013" s="20"/>
      <c r="Q4013" s="20"/>
      <c r="R4013" s="20"/>
      <c r="S4013" s="20"/>
    </row>
    <row r="4014">
      <c r="A4014" s="23"/>
      <c r="B4014" s="21"/>
      <c r="C4014" s="23"/>
      <c r="D4014" s="24"/>
      <c r="E4014" s="14"/>
      <c r="F4014" s="14"/>
      <c r="G4014" s="14"/>
      <c r="H4014" s="23"/>
      <c r="I4014" s="23"/>
      <c r="J4014" s="23"/>
      <c r="K4014" s="30"/>
      <c r="L4014" s="23"/>
      <c r="M4014" s="50" t="s">
        <v>10178</v>
      </c>
      <c r="N4014" s="51"/>
      <c r="O4014" s="20"/>
      <c r="P4014" s="20"/>
      <c r="Q4014" s="20"/>
      <c r="R4014" s="20"/>
      <c r="S4014" s="20"/>
    </row>
    <row r="4015">
      <c r="A4015" s="10"/>
      <c r="B4015" s="11"/>
      <c r="C4015" s="10"/>
      <c r="D4015" s="13"/>
      <c r="E4015" s="14"/>
      <c r="F4015" s="14"/>
      <c r="G4015" s="14"/>
      <c r="H4015" s="10"/>
      <c r="I4015" s="10"/>
      <c r="J4015" s="10"/>
      <c r="K4015" s="46"/>
      <c r="L4015" s="10"/>
      <c r="M4015" s="44" t="s">
        <v>10178</v>
      </c>
      <c r="N4015" s="45"/>
      <c r="O4015" s="20"/>
      <c r="P4015" s="20"/>
      <c r="Q4015" s="20"/>
      <c r="R4015" s="20"/>
      <c r="S4015" s="20"/>
    </row>
    <row r="4016">
      <c r="A4016" s="23"/>
      <c r="B4016" s="21"/>
      <c r="C4016" s="23"/>
      <c r="D4016" s="24"/>
      <c r="E4016" s="14"/>
      <c r="F4016" s="14"/>
      <c r="G4016" s="14"/>
      <c r="H4016" s="23"/>
      <c r="I4016" s="23"/>
      <c r="J4016" s="23"/>
      <c r="K4016" s="30"/>
      <c r="L4016" s="23"/>
      <c r="M4016" s="50" t="s">
        <v>10178</v>
      </c>
      <c r="N4016" s="51"/>
      <c r="O4016" s="20"/>
      <c r="P4016" s="20"/>
      <c r="Q4016" s="20"/>
      <c r="R4016" s="20"/>
      <c r="S4016" s="20"/>
    </row>
    <row r="4017">
      <c r="A4017" s="10"/>
      <c r="B4017" s="11"/>
      <c r="C4017" s="10"/>
      <c r="D4017" s="13"/>
      <c r="E4017" s="14"/>
      <c r="F4017" s="14"/>
      <c r="G4017" s="14"/>
      <c r="H4017" s="10"/>
      <c r="I4017" s="10"/>
      <c r="J4017" s="10"/>
      <c r="K4017" s="46"/>
      <c r="L4017" s="10"/>
      <c r="M4017" s="44" t="s">
        <v>10178</v>
      </c>
      <c r="N4017" s="45"/>
      <c r="O4017" s="20"/>
      <c r="P4017" s="20"/>
      <c r="Q4017" s="20"/>
      <c r="R4017" s="20"/>
      <c r="S4017" s="20"/>
    </row>
    <row r="4018">
      <c r="A4018" s="23"/>
      <c r="B4018" s="21"/>
      <c r="C4018" s="23"/>
      <c r="D4018" s="24"/>
      <c r="E4018" s="14"/>
      <c r="F4018" s="14"/>
      <c r="G4018" s="14"/>
      <c r="H4018" s="23"/>
      <c r="I4018" s="23"/>
      <c r="J4018" s="23"/>
      <c r="K4018" s="30"/>
      <c r="L4018" s="23"/>
      <c r="M4018" s="50" t="s">
        <v>10178</v>
      </c>
      <c r="N4018" s="51"/>
      <c r="O4018" s="20"/>
      <c r="P4018" s="20"/>
      <c r="Q4018" s="20"/>
      <c r="R4018" s="20"/>
      <c r="S4018" s="20"/>
    </row>
    <row r="4019">
      <c r="A4019" s="10"/>
      <c r="B4019" s="11"/>
      <c r="C4019" s="10"/>
      <c r="D4019" s="13"/>
      <c r="E4019" s="14"/>
      <c r="F4019" s="14"/>
      <c r="G4019" s="14"/>
      <c r="H4019" s="10"/>
      <c r="I4019" s="10"/>
      <c r="J4019" s="10"/>
      <c r="K4019" s="46"/>
      <c r="L4019" s="10"/>
      <c r="M4019" s="44" t="s">
        <v>10178</v>
      </c>
      <c r="N4019" s="45"/>
      <c r="O4019" s="20"/>
      <c r="P4019" s="20"/>
      <c r="Q4019" s="20"/>
      <c r="R4019" s="20"/>
      <c r="S4019" s="20"/>
    </row>
    <row r="4020">
      <c r="A4020" s="23"/>
      <c r="B4020" s="21"/>
      <c r="C4020" s="23"/>
      <c r="D4020" s="24"/>
      <c r="E4020" s="14"/>
      <c r="F4020" s="14"/>
      <c r="G4020" s="14"/>
      <c r="H4020" s="23"/>
      <c r="I4020" s="23"/>
      <c r="J4020" s="23"/>
      <c r="K4020" s="30"/>
      <c r="L4020" s="23"/>
      <c r="M4020" s="50" t="s">
        <v>10178</v>
      </c>
      <c r="N4020" s="51"/>
      <c r="O4020" s="20"/>
      <c r="P4020" s="20"/>
      <c r="Q4020" s="20"/>
      <c r="R4020" s="20"/>
      <c r="S4020" s="20"/>
    </row>
    <row r="4021">
      <c r="A4021" s="10"/>
      <c r="B4021" s="11"/>
      <c r="C4021" s="10"/>
      <c r="D4021" s="13"/>
      <c r="E4021" s="14"/>
      <c r="F4021" s="14"/>
      <c r="G4021" s="14"/>
      <c r="H4021" s="10"/>
      <c r="I4021" s="10"/>
      <c r="J4021" s="10"/>
      <c r="K4021" s="46"/>
      <c r="L4021" s="10"/>
      <c r="M4021" s="44" t="s">
        <v>10178</v>
      </c>
      <c r="N4021" s="45"/>
      <c r="O4021" s="20"/>
      <c r="P4021" s="20"/>
      <c r="Q4021" s="20"/>
      <c r="R4021" s="20"/>
      <c r="S4021" s="20"/>
    </row>
    <row r="4022">
      <c r="A4022" s="23"/>
      <c r="B4022" s="21"/>
      <c r="C4022" s="23"/>
      <c r="D4022" s="24"/>
      <c r="E4022" s="14"/>
      <c r="F4022" s="14"/>
      <c r="G4022" s="14"/>
      <c r="H4022" s="23"/>
      <c r="I4022" s="23"/>
      <c r="J4022" s="23"/>
      <c r="K4022" s="30"/>
      <c r="L4022" s="23"/>
      <c r="M4022" s="50" t="s">
        <v>10178</v>
      </c>
      <c r="N4022" s="51"/>
      <c r="O4022" s="20"/>
      <c r="P4022" s="20"/>
      <c r="Q4022" s="20"/>
      <c r="R4022" s="20"/>
      <c r="S4022" s="20"/>
    </row>
    <row r="4023">
      <c r="A4023" s="10"/>
      <c r="B4023" s="11"/>
      <c r="C4023" s="10"/>
      <c r="D4023" s="13"/>
      <c r="E4023" s="14"/>
      <c r="F4023" s="14"/>
      <c r="G4023" s="14"/>
      <c r="H4023" s="10"/>
      <c r="I4023" s="10"/>
      <c r="J4023" s="10"/>
      <c r="K4023" s="46"/>
      <c r="L4023" s="10"/>
      <c r="M4023" s="44" t="s">
        <v>10178</v>
      </c>
      <c r="N4023" s="45"/>
      <c r="O4023" s="20"/>
      <c r="P4023" s="20"/>
      <c r="Q4023" s="20"/>
      <c r="R4023" s="20"/>
      <c r="S4023" s="20"/>
    </row>
    <row r="4024">
      <c r="A4024" s="23"/>
      <c r="B4024" s="21"/>
      <c r="C4024" s="23"/>
      <c r="D4024" s="24"/>
      <c r="E4024" s="14"/>
      <c r="F4024" s="14"/>
      <c r="G4024" s="14"/>
      <c r="H4024" s="23"/>
      <c r="I4024" s="23"/>
      <c r="J4024" s="23"/>
      <c r="K4024" s="30"/>
      <c r="L4024" s="23"/>
      <c r="M4024" s="50" t="s">
        <v>10178</v>
      </c>
      <c r="N4024" s="51"/>
      <c r="O4024" s="20"/>
      <c r="P4024" s="20"/>
      <c r="Q4024" s="20"/>
      <c r="R4024" s="20"/>
      <c r="S4024" s="20"/>
    </row>
    <row r="4025">
      <c r="A4025" s="10"/>
      <c r="B4025" s="11"/>
      <c r="C4025" s="10"/>
      <c r="D4025" s="13"/>
      <c r="E4025" s="14"/>
      <c r="F4025" s="14"/>
      <c r="G4025" s="14"/>
      <c r="H4025" s="10"/>
      <c r="I4025" s="10"/>
      <c r="J4025" s="10"/>
      <c r="K4025" s="46"/>
      <c r="L4025" s="10"/>
      <c r="M4025" s="44" t="s">
        <v>10178</v>
      </c>
      <c r="N4025" s="45"/>
      <c r="O4025" s="20"/>
      <c r="P4025" s="20"/>
      <c r="Q4025" s="20"/>
      <c r="R4025" s="20"/>
      <c r="S4025" s="20"/>
    </row>
    <row r="4026">
      <c r="A4026" s="23"/>
      <c r="B4026" s="21"/>
      <c r="C4026" s="23"/>
      <c r="D4026" s="24"/>
      <c r="E4026" s="14"/>
      <c r="F4026" s="14"/>
      <c r="G4026" s="14"/>
      <c r="H4026" s="23"/>
      <c r="I4026" s="23"/>
      <c r="J4026" s="23"/>
      <c r="K4026" s="30"/>
      <c r="L4026" s="23"/>
      <c r="M4026" s="50" t="s">
        <v>10178</v>
      </c>
      <c r="N4026" s="51"/>
      <c r="O4026" s="20"/>
      <c r="P4026" s="20"/>
      <c r="Q4026" s="20"/>
      <c r="R4026" s="20"/>
      <c r="S4026" s="20"/>
    </row>
    <row r="4027">
      <c r="A4027" s="10"/>
      <c r="B4027" s="11"/>
      <c r="C4027" s="10"/>
      <c r="D4027" s="13"/>
      <c r="E4027" s="14"/>
      <c r="F4027" s="14"/>
      <c r="G4027" s="14"/>
      <c r="H4027" s="10"/>
      <c r="I4027" s="10"/>
      <c r="J4027" s="10"/>
      <c r="K4027" s="46"/>
      <c r="L4027" s="10"/>
      <c r="M4027" s="44" t="s">
        <v>10178</v>
      </c>
      <c r="N4027" s="45"/>
      <c r="O4027" s="20"/>
      <c r="P4027" s="20"/>
      <c r="Q4027" s="20"/>
      <c r="R4027" s="20"/>
      <c r="S4027" s="20"/>
    </row>
    <row r="4028">
      <c r="A4028" s="23"/>
      <c r="B4028" s="21"/>
      <c r="C4028" s="23"/>
      <c r="D4028" s="24"/>
      <c r="E4028" s="14"/>
      <c r="F4028" s="14"/>
      <c r="G4028" s="14"/>
      <c r="H4028" s="23"/>
      <c r="I4028" s="23"/>
      <c r="J4028" s="23"/>
      <c r="K4028" s="30"/>
      <c r="L4028" s="23"/>
      <c r="M4028" s="50" t="s">
        <v>10178</v>
      </c>
      <c r="N4028" s="51"/>
      <c r="O4028" s="20"/>
      <c r="P4028" s="20"/>
      <c r="Q4028" s="20"/>
      <c r="R4028" s="20"/>
      <c r="S4028" s="20"/>
    </row>
    <row r="4029">
      <c r="A4029" s="10"/>
      <c r="B4029" s="11"/>
      <c r="C4029" s="10"/>
      <c r="D4029" s="13"/>
      <c r="E4029" s="14"/>
      <c r="F4029" s="14"/>
      <c r="G4029" s="14"/>
      <c r="H4029" s="10"/>
      <c r="I4029" s="10"/>
      <c r="J4029" s="10"/>
      <c r="K4029" s="46"/>
      <c r="L4029" s="10"/>
      <c r="M4029" s="44" t="s">
        <v>10178</v>
      </c>
      <c r="N4029" s="45"/>
      <c r="O4029" s="20"/>
      <c r="P4029" s="20"/>
      <c r="Q4029" s="20"/>
      <c r="R4029" s="20"/>
      <c r="S4029" s="20"/>
    </row>
    <row r="4030">
      <c r="A4030" s="23"/>
      <c r="B4030" s="21"/>
      <c r="C4030" s="23"/>
      <c r="D4030" s="24"/>
      <c r="E4030" s="14"/>
      <c r="F4030" s="14"/>
      <c r="G4030" s="14"/>
      <c r="H4030" s="23"/>
      <c r="I4030" s="23"/>
      <c r="J4030" s="23"/>
      <c r="K4030" s="30"/>
      <c r="L4030" s="23"/>
      <c r="M4030" s="50" t="s">
        <v>10178</v>
      </c>
      <c r="N4030" s="51"/>
      <c r="O4030" s="20"/>
      <c r="P4030" s="20"/>
      <c r="Q4030" s="20"/>
      <c r="R4030" s="20"/>
      <c r="S4030" s="20"/>
    </row>
    <row r="4031">
      <c r="A4031" s="10"/>
      <c r="B4031" s="11"/>
      <c r="C4031" s="10"/>
      <c r="D4031" s="13"/>
      <c r="E4031" s="14"/>
      <c r="F4031" s="14"/>
      <c r="G4031" s="14"/>
      <c r="H4031" s="10"/>
      <c r="I4031" s="10"/>
      <c r="J4031" s="10"/>
      <c r="K4031" s="46"/>
      <c r="L4031" s="10"/>
      <c r="M4031" s="44" t="s">
        <v>10178</v>
      </c>
      <c r="N4031" s="45"/>
      <c r="O4031" s="20"/>
      <c r="P4031" s="20"/>
      <c r="Q4031" s="20"/>
      <c r="R4031" s="20"/>
      <c r="S4031" s="20"/>
    </row>
    <row r="4032">
      <c r="A4032" s="23"/>
      <c r="B4032" s="21"/>
      <c r="C4032" s="23"/>
      <c r="D4032" s="24"/>
      <c r="E4032" s="14"/>
      <c r="F4032" s="14"/>
      <c r="G4032" s="14"/>
      <c r="H4032" s="23"/>
      <c r="I4032" s="23"/>
      <c r="J4032" s="23"/>
      <c r="K4032" s="30"/>
      <c r="L4032" s="23"/>
      <c r="M4032" s="50" t="s">
        <v>10178</v>
      </c>
      <c r="N4032" s="51"/>
      <c r="O4032" s="20"/>
      <c r="P4032" s="20"/>
      <c r="Q4032" s="20"/>
      <c r="R4032" s="20"/>
      <c r="S4032" s="20"/>
    </row>
    <row r="4033">
      <c r="A4033" s="10"/>
      <c r="B4033" s="11"/>
      <c r="C4033" s="10"/>
      <c r="D4033" s="13"/>
      <c r="E4033" s="14"/>
      <c r="F4033" s="14"/>
      <c r="G4033" s="14"/>
      <c r="H4033" s="10"/>
      <c r="I4033" s="10"/>
      <c r="J4033" s="10"/>
      <c r="K4033" s="46"/>
      <c r="L4033" s="10"/>
      <c r="M4033" s="44" t="s">
        <v>10178</v>
      </c>
      <c r="N4033" s="45"/>
      <c r="O4033" s="20"/>
      <c r="P4033" s="20"/>
      <c r="Q4033" s="20"/>
      <c r="R4033" s="20"/>
      <c r="S4033" s="20"/>
    </row>
    <row r="4034">
      <c r="A4034" s="23"/>
      <c r="B4034" s="21"/>
      <c r="C4034" s="23"/>
      <c r="D4034" s="24"/>
      <c r="E4034" s="14"/>
      <c r="F4034" s="14"/>
      <c r="G4034" s="14"/>
      <c r="H4034" s="23"/>
      <c r="I4034" s="23"/>
      <c r="J4034" s="23"/>
      <c r="K4034" s="30"/>
      <c r="L4034" s="23"/>
      <c r="M4034" s="50" t="s">
        <v>10178</v>
      </c>
      <c r="N4034" s="51"/>
      <c r="O4034" s="20"/>
      <c r="P4034" s="20"/>
      <c r="Q4034" s="20"/>
      <c r="R4034" s="20"/>
      <c r="S4034" s="20"/>
    </row>
    <row r="4035">
      <c r="A4035" s="10"/>
      <c r="B4035" s="11"/>
      <c r="C4035" s="10"/>
      <c r="D4035" s="13"/>
      <c r="E4035" s="14"/>
      <c r="F4035" s="14"/>
      <c r="G4035" s="14"/>
      <c r="H4035" s="10"/>
      <c r="I4035" s="10"/>
      <c r="J4035" s="10"/>
      <c r="K4035" s="46"/>
      <c r="L4035" s="10"/>
      <c r="M4035" s="44" t="s">
        <v>10178</v>
      </c>
      <c r="N4035" s="45"/>
      <c r="O4035" s="20"/>
      <c r="P4035" s="20"/>
      <c r="Q4035" s="20"/>
      <c r="R4035" s="20"/>
      <c r="S4035" s="20"/>
    </row>
    <row r="4036">
      <c r="A4036" s="23"/>
      <c r="B4036" s="21"/>
      <c r="C4036" s="23"/>
      <c r="D4036" s="24"/>
      <c r="E4036" s="14"/>
      <c r="F4036" s="14"/>
      <c r="G4036" s="14"/>
      <c r="H4036" s="23"/>
      <c r="I4036" s="23"/>
      <c r="J4036" s="23"/>
      <c r="K4036" s="30"/>
      <c r="L4036" s="23"/>
      <c r="M4036" s="50" t="s">
        <v>10178</v>
      </c>
      <c r="N4036" s="51"/>
      <c r="O4036" s="20"/>
      <c r="P4036" s="20"/>
      <c r="Q4036" s="20"/>
      <c r="R4036" s="20"/>
      <c r="S4036" s="20"/>
    </row>
    <row r="4037">
      <c r="A4037" s="10"/>
      <c r="B4037" s="11"/>
      <c r="C4037" s="10"/>
      <c r="D4037" s="13"/>
      <c r="E4037" s="14"/>
      <c r="F4037" s="14"/>
      <c r="G4037" s="14"/>
      <c r="H4037" s="10"/>
      <c r="I4037" s="10"/>
      <c r="J4037" s="10"/>
      <c r="K4037" s="46"/>
      <c r="L4037" s="10"/>
      <c r="M4037" s="44" t="s">
        <v>10178</v>
      </c>
      <c r="N4037" s="45"/>
      <c r="O4037" s="20"/>
      <c r="P4037" s="20"/>
      <c r="Q4037" s="20"/>
      <c r="R4037" s="20"/>
      <c r="S4037" s="20"/>
    </row>
    <row r="4038">
      <c r="A4038" s="23"/>
      <c r="B4038" s="21"/>
      <c r="C4038" s="23"/>
      <c r="D4038" s="24"/>
      <c r="E4038" s="14"/>
      <c r="F4038" s="14"/>
      <c r="G4038" s="14"/>
      <c r="H4038" s="23"/>
      <c r="I4038" s="23"/>
      <c r="J4038" s="23"/>
      <c r="K4038" s="30"/>
      <c r="L4038" s="23"/>
      <c r="M4038" s="50" t="s">
        <v>10178</v>
      </c>
      <c r="N4038" s="51"/>
      <c r="O4038" s="20"/>
      <c r="P4038" s="20"/>
      <c r="Q4038" s="20"/>
      <c r="R4038" s="20"/>
      <c r="S4038" s="20"/>
    </row>
    <row r="4039">
      <c r="A4039" s="10"/>
      <c r="B4039" s="11"/>
      <c r="C4039" s="10"/>
      <c r="D4039" s="13"/>
      <c r="E4039" s="14"/>
      <c r="F4039" s="14"/>
      <c r="G4039" s="14"/>
      <c r="H4039" s="10"/>
      <c r="I4039" s="10"/>
      <c r="J4039" s="10"/>
      <c r="K4039" s="46"/>
      <c r="L4039" s="10"/>
      <c r="M4039" s="44" t="s">
        <v>10178</v>
      </c>
      <c r="N4039" s="45"/>
      <c r="O4039" s="20"/>
      <c r="P4039" s="20"/>
      <c r="Q4039" s="20"/>
      <c r="R4039" s="20"/>
      <c r="S4039" s="20"/>
    </row>
    <row r="4040">
      <c r="A4040" s="23"/>
      <c r="B4040" s="21"/>
      <c r="C4040" s="23"/>
      <c r="D4040" s="24"/>
      <c r="E4040" s="14"/>
      <c r="F4040" s="14"/>
      <c r="G4040" s="14"/>
      <c r="H4040" s="23"/>
      <c r="I4040" s="23"/>
      <c r="J4040" s="23"/>
      <c r="K4040" s="30"/>
      <c r="L4040" s="23"/>
      <c r="M4040" s="50" t="s">
        <v>10178</v>
      </c>
      <c r="N4040" s="51"/>
      <c r="O4040" s="20"/>
      <c r="P4040" s="20"/>
      <c r="Q4040" s="20"/>
      <c r="R4040" s="20"/>
      <c r="S4040" s="20"/>
    </row>
    <row r="4041">
      <c r="A4041" s="10"/>
      <c r="B4041" s="11"/>
      <c r="C4041" s="10"/>
      <c r="D4041" s="13"/>
      <c r="E4041" s="14"/>
      <c r="F4041" s="14"/>
      <c r="G4041" s="14"/>
      <c r="H4041" s="10"/>
      <c r="I4041" s="10"/>
      <c r="J4041" s="10"/>
      <c r="K4041" s="46"/>
      <c r="L4041" s="10"/>
      <c r="M4041" s="44" t="s">
        <v>10178</v>
      </c>
      <c r="N4041" s="45"/>
      <c r="O4041" s="20"/>
      <c r="P4041" s="20"/>
      <c r="Q4041" s="20"/>
      <c r="R4041" s="20"/>
      <c r="S4041" s="20"/>
    </row>
    <row r="4042">
      <c r="A4042" s="23"/>
      <c r="B4042" s="21"/>
      <c r="C4042" s="23"/>
      <c r="D4042" s="24"/>
      <c r="E4042" s="14"/>
      <c r="F4042" s="14"/>
      <c r="G4042" s="14"/>
      <c r="H4042" s="23"/>
      <c r="I4042" s="23"/>
      <c r="J4042" s="23"/>
      <c r="K4042" s="30"/>
      <c r="L4042" s="23"/>
      <c r="M4042" s="50" t="s">
        <v>10178</v>
      </c>
      <c r="N4042" s="51"/>
      <c r="O4042" s="20"/>
      <c r="P4042" s="20"/>
      <c r="Q4042" s="20"/>
      <c r="R4042" s="20"/>
      <c r="S4042" s="20"/>
    </row>
    <row r="4043">
      <c r="A4043" s="10"/>
      <c r="B4043" s="11"/>
      <c r="C4043" s="10"/>
      <c r="D4043" s="13"/>
      <c r="E4043" s="14"/>
      <c r="F4043" s="14"/>
      <c r="G4043" s="14"/>
      <c r="H4043" s="10"/>
      <c r="I4043" s="10"/>
      <c r="J4043" s="10"/>
      <c r="K4043" s="46"/>
      <c r="L4043" s="10"/>
      <c r="M4043" s="44" t="s">
        <v>10178</v>
      </c>
      <c r="N4043" s="45"/>
      <c r="O4043" s="20"/>
      <c r="P4043" s="20"/>
      <c r="Q4043" s="20"/>
      <c r="R4043" s="20"/>
      <c r="S4043" s="20"/>
    </row>
    <row r="4044">
      <c r="A4044" s="23"/>
      <c r="B4044" s="21"/>
      <c r="C4044" s="23"/>
      <c r="D4044" s="24"/>
      <c r="E4044" s="14"/>
      <c r="F4044" s="14"/>
      <c r="G4044" s="14"/>
      <c r="H4044" s="23"/>
      <c r="I4044" s="23"/>
      <c r="J4044" s="23"/>
      <c r="K4044" s="30"/>
      <c r="L4044" s="23"/>
      <c r="M4044" s="50" t="s">
        <v>10178</v>
      </c>
      <c r="N4044" s="51"/>
      <c r="O4044" s="20"/>
      <c r="P4044" s="20"/>
      <c r="Q4044" s="20"/>
      <c r="R4044" s="20"/>
      <c r="S4044" s="20"/>
    </row>
    <row r="4045">
      <c r="A4045" s="10"/>
      <c r="B4045" s="11"/>
      <c r="C4045" s="10"/>
      <c r="D4045" s="13"/>
      <c r="E4045" s="14"/>
      <c r="F4045" s="14"/>
      <c r="G4045" s="14"/>
      <c r="H4045" s="10"/>
      <c r="I4045" s="10"/>
      <c r="J4045" s="10"/>
      <c r="K4045" s="46"/>
      <c r="L4045" s="10"/>
      <c r="M4045" s="44" t="s">
        <v>10178</v>
      </c>
      <c r="N4045" s="45"/>
      <c r="O4045" s="20"/>
      <c r="P4045" s="20"/>
      <c r="Q4045" s="20"/>
      <c r="R4045" s="20"/>
      <c r="S4045" s="20"/>
    </row>
    <row r="4046">
      <c r="A4046" s="23"/>
      <c r="B4046" s="21"/>
      <c r="C4046" s="23"/>
      <c r="D4046" s="24"/>
      <c r="E4046" s="14"/>
      <c r="F4046" s="14"/>
      <c r="G4046" s="14"/>
      <c r="H4046" s="23"/>
      <c r="I4046" s="23"/>
      <c r="J4046" s="23"/>
      <c r="K4046" s="30"/>
      <c r="L4046" s="23"/>
      <c r="M4046" s="50" t="s">
        <v>10178</v>
      </c>
      <c r="N4046" s="51"/>
      <c r="O4046" s="20"/>
      <c r="P4046" s="20"/>
      <c r="Q4046" s="20"/>
      <c r="R4046" s="20"/>
      <c r="S4046" s="20"/>
    </row>
    <row r="4047">
      <c r="A4047" s="10"/>
      <c r="B4047" s="11"/>
      <c r="C4047" s="10"/>
      <c r="D4047" s="13"/>
      <c r="E4047" s="14"/>
      <c r="F4047" s="14"/>
      <c r="G4047" s="14"/>
      <c r="H4047" s="10"/>
      <c r="I4047" s="10"/>
      <c r="J4047" s="10"/>
      <c r="K4047" s="46"/>
      <c r="L4047" s="10"/>
      <c r="M4047" s="44" t="s">
        <v>10178</v>
      </c>
      <c r="N4047" s="45"/>
      <c r="O4047" s="20"/>
      <c r="P4047" s="20"/>
      <c r="Q4047" s="20"/>
      <c r="R4047" s="20"/>
      <c r="S4047" s="20"/>
    </row>
    <row r="4048">
      <c r="A4048" s="23"/>
      <c r="B4048" s="21"/>
      <c r="C4048" s="23"/>
      <c r="D4048" s="24"/>
      <c r="E4048" s="14"/>
      <c r="F4048" s="14"/>
      <c r="G4048" s="14"/>
      <c r="H4048" s="23"/>
      <c r="I4048" s="23"/>
      <c r="J4048" s="23"/>
      <c r="K4048" s="30"/>
      <c r="L4048" s="23"/>
      <c r="M4048" s="50" t="s">
        <v>10178</v>
      </c>
      <c r="N4048" s="51"/>
      <c r="O4048" s="20"/>
      <c r="P4048" s="20"/>
      <c r="Q4048" s="20"/>
      <c r="R4048" s="20"/>
      <c r="S4048" s="20"/>
    </row>
    <row r="4049">
      <c r="A4049" s="10"/>
      <c r="B4049" s="11"/>
      <c r="C4049" s="10"/>
      <c r="D4049" s="13"/>
      <c r="E4049" s="14"/>
      <c r="F4049" s="14"/>
      <c r="G4049" s="14"/>
      <c r="H4049" s="10"/>
      <c r="I4049" s="10"/>
      <c r="J4049" s="10"/>
      <c r="K4049" s="46"/>
      <c r="L4049" s="10"/>
      <c r="M4049" s="44" t="s">
        <v>10178</v>
      </c>
      <c r="N4049" s="45"/>
      <c r="O4049" s="20"/>
      <c r="P4049" s="20"/>
      <c r="Q4049" s="20"/>
      <c r="R4049" s="20"/>
      <c r="S4049" s="20"/>
    </row>
    <row r="4050">
      <c r="A4050" s="23"/>
      <c r="B4050" s="21"/>
      <c r="C4050" s="23"/>
      <c r="D4050" s="24"/>
      <c r="E4050" s="14"/>
      <c r="F4050" s="14"/>
      <c r="G4050" s="14"/>
      <c r="H4050" s="23"/>
      <c r="I4050" s="23"/>
      <c r="J4050" s="23"/>
      <c r="K4050" s="30"/>
      <c r="L4050" s="23"/>
      <c r="M4050" s="50" t="s">
        <v>10178</v>
      </c>
      <c r="N4050" s="51"/>
      <c r="O4050" s="20"/>
      <c r="P4050" s="20"/>
      <c r="Q4050" s="20"/>
      <c r="R4050" s="20"/>
      <c r="S4050" s="20"/>
    </row>
    <row r="4051">
      <c r="A4051" s="10"/>
      <c r="B4051" s="11"/>
      <c r="C4051" s="10"/>
      <c r="D4051" s="13"/>
      <c r="E4051" s="14"/>
      <c r="F4051" s="14"/>
      <c r="G4051" s="14"/>
      <c r="H4051" s="10"/>
      <c r="I4051" s="10"/>
      <c r="J4051" s="10"/>
      <c r="K4051" s="46"/>
      <c r="L4051" s="10"/>
      <c r="M4051" s="44" t="s">
        <v>10178</v>
      </c>
      <c r="N4051" s="45"/>
      <c r="O4051" s="20"/>
      <c r="P4051" s="20"/>
      <c r="Q4051" s="20"/>
      <c r="R4051" s="20"/>
      <c r="S4051" s="20"/>
    </row>
    <row r="4052">
      <c r="A4052" s="23"/>
      <c r="B4052" s="21"/>
      <c r="C4052" s="23"/>
      <c r="D4052" s="24"/>
      <c r="E4052" s="14"/>
      <c r="F4052" s="14"/>
      <c r="G4052" s="14"/>
      <c r="H4052" s="23"/>
      <c r="I4052" s="23"/>
      <c r="J4052" s="23"/>
      <c r="K4052" s="30"/>
      <c r="L4052" s="23"/>
      <c r="M4052" s="50" t="s">
        <v>10178</v>
      </c>
      <c r="N4052" s="51"/>
      <c r="O4052" s="20"/>
      <c r="P4052" s="20"/>
      <c r="Q4052" s="20"/>
      <c r="R4052" s="20"/>
      <c r="S4052" s="20"/>
    </row>
    <row r="4053">
      <c r="A4053" s="10"/>
      <c r="B4053" s="11"/>
      <c r="C4053" s="10"/>
      <c r="D4053" s="13"/>
      <c r="E4053" s="14"/>
      <c r="F4053" s="14"/>
      <c r="G4053" s="14"/>
      <c r="H4053" s="10"/>
      <c r="I4053" s="10"/>
      <c r="J4053" s="10"/>
      <c r="K4053" s="46"/>
      <c r="L4053" s="10"/>
      <c r="M4053" s="44" t="s">
        <v>10178</v>
      </c>
      <c r="N4053" s="45"/>
      <c r="O4053" s="20"/>
      <c r="P4053" s="20"/>
      <c r="Q4053" s="20"/>
      <c r="R4053" s="20"/>
      <c r="S4053" s="20"/>
    </row>
    <row r="4054">
      <c r="A4054" s="23"/>
      <c r="B4054" s="21"/>
      <c r="C4054" s="23"/>
      <c r="D4054" s="24"/>
      <c r="E4054" s="14"/>
      <c r="F4054" s="14"/>
      <c r="G4054" s="14"/>
      <c r="H4054" s="23"/>
      <c r="I4054" s="23"/>
      <c r="J4054" s="23"/>
      <c r="K4054" s="30"/>
      <c r="L4054" s="23"/>
      <c r="M4054" s="50" t="s">
        <v>10178</v>
      </c>
      <c r="N4054" s="51"/>
      <c r="O4054" s="20"/>
      <c r="P4054" s="20"/>
      <c r="Q4054" s="20"/>
      <c r="R4054" s="20"/>
      <c r="S4054" s="20"/>
    </row>
    <row r="4055">
      <c r="A4055" s="10"/>
      <c r="B4055" s="11"/>
      <c r="C4055" s="10"/>
      <c r="D4055" s="13"/>
      <c r="E4055" s="14"/>
      <c r="F4055" s="14"/>
      <c r="G4055" s="14"/>
      <c r="H4055" s="10"/>
      <c r="I4055" s="10"/>
      <c r="J4055" s="10"/>
      <c r="K4055" s="46"/>
      <c r="L4055" s="10"/>
      <c r="M4055" s="44" t="s">
        <v>10178</v>
      </c>
      <c r="N4055" s="45"/>
      <c r="O4055" s="20"/>
      <c r="P4055" s="20"/>
      <c r="Q4055" s="20"/>
      <c r="R4055" s="20"/>
      <c r="S4055" s="20"/>
    </row>
    <row r="4056">
      <c r="A4056" s="23"/>
      <c r="B4056" s="21"/>
      <c r="C4056" s="23"/>
      <c r="D4056" s="24"/>
      <c r="E4056" s="14"/>
      <c r="F4056" s="14"/>
      <c r="G4056" s="14"/>
      <c r="H4056" s="23"/>
      <c r="I4056" s="23"/>
      <c r="J4056" s="23"/>
      <c r="K4056" s="30"/>
      <c r="L4056" s="23"/>
      <c r="M4056" s="50" t="s">
        <v>10178</v>
      </c>
      <c r="N4056" s="51"/>
      <c r="O4056" s="20"/>
      <c r="P4056" s="20"/>
      <c r="Q4056" s="20"/>
      <c r="R4056" s="20"/>
      <c r="S4056" s="20"/>
    </row>
    <row r="4057">
      <c r="A4057" s="10"/>
      <c r="B4057" s="11"/>
      <c r="C4057" s="10"/>
      <c r="D4057" s="13"/>
      <c r="E4057" s="14"/>
      <c r="F4057" s="14"/>
      <c r="G4057" s="14"/>
      <c r="H4057" s="10"/>
      <c r="I4057" s="10"/>
      <c r="J4057" s="10"/>
      <c r="K4057" s="46"/>
      <c r="L4057" s="10"/>
      <c r="M4057" s="44" t="s">
        <v>10178</v>
      </c>
      <c r="N4057" s="45"/>
      <c r="O4057" s="20"/>
      <c r="P4057" s="20"/>
      <c r="Q4057" s="20"/>
      <c r="R4057" s="20"/>
      <c r="S4057" s="20"/>
    </row>
    <row r="4058">
      <c r="A4058" s="23"/>
      <c r="B4058" s="21"/>
      <c r="C4058" s="23"/>
      <c r="D4058" s="24"/>
      <c r="E4058" s="14"/>
      <c r="F4058" s="14"/>
      <c r="G4058" s="14"/>
      <c r="H4058" s="23"/>
      <c r="I4058" s="23"/>
      <c r="J4058" s="23"/>
      <c r="K4058" s="30"/>
      <c r="L4058" s="23"/>
      <c r="M4058" s="50" t="s">
        <v>10178</v>
      </c>
      <c r="N4058" s="51"/>
      <c r="O4058" s="20"/>
      <c r="P4058" s="20"/>
      <c r="Q4058" s="20"/>
      <c r="R4058" s="20"/>
      <c r="S4058" s="20"/>
    </row>
    <row r="4059">
      <c r="A4059" s="10"/>
      <c r="B4059" s="11"/>
      <c r="C4059" s="10"/>
      <c r="D4059" s="13"/>
      <c r="E4059" s="14"/>
      <c r="F4059" s="14"/>
      <c r="G4059" s="14"/>
      <c r="H4059" s="10"/>
      <c r="I4059" s="10"/>
      <c r="J4059" s="10"/>
      <c r="K4059" s="46"/>
      <c r="L4059" s="10"/>
      <c r="M4059" s="44" t="s">
        <v>10178</v>
      </c>
      <c r="N4059" s="45"/>
      <c r="O4059" s="20"/>
      <c r="P4059" s="20"/>
      <c r="Q4059" s="20"/>
      <c r="R4059" s="20"/>
      <c r="S4059" s="20"/>
    </row>
    <row r="4060">
      <c r="A4060" s="23"/>
      <c r="B4060" s="21"/>
      <c r="C4060" s="23"/>
      <c r="D4060" s="24"/>
      <c r="E4060" s="14"/>
      <c r="F4060" s="14"/>
      <c r="G4060" s="14"/>
      <c r="H4060" s="23"/>
      <c r="I4060" s="23"/>
      <c r="J4060" s="23"/>
      <c r="K4060" s="30"/>
      <c r="L4060" s="23"/>
      <c r="M4060" s="50" t="s">
        <v>10178</v>
      </c>
      <c r="N4060" s="51"/>
      <c r="O4060" s="20"/>
      <c r="P4060" s="20"/>
      <c r="Q4060" s="20"/>
      <c r="R4060" s="20"/>
      <c r="S4060" s="20"/>
    </row>
    <row r="4061">
      <c r="A4061" s="10"/>
      <c r="B4061" s="11"/>
      <c r="C4061" s="10"/>
      <c r="D4061" s="13"/>
      <c r="E4061" s="14"/>
      <c r="F4061" s="14"/>
      <c r="G4061" s="14"/>
      <c r="H4061" s="10"/>
      <c r="I4061" s="10"/>
      <c r="J4061" s="10"/>
      <c r="K4061" s="46"/>
      <c r="L4061" s="10"/>
      <c r="M4061" s="44" t="s">
        <v>10178</v>
      </c>
      <c r="N4061" s="45"/>
      <c r="O4061" s="20"/>
      <c r="P4061" s="20"/>
      <c r="Q4061" s="20"/>
      <c r="R4061" s="20"/>
      <c r="S4061" s="20"/>
    </row>
    <row r="4062">
      <c r="A4062" s="23"/>
      <c r="B4062" s="21"/>
      <c r="C4062" s="23"/>
      <c r="D4062" s="24"/>
      <c r="E4062" s="14"/>
      <c r="F4062" s="14"/>
      <c r="G4062" s="14"/>
      <c r="H4062" s="23"/>
      <c r="I4062" s="23"/>
      <c r="J4062" s="23"/>
      <c r="K4062" s="30"/>
      <c r="L4062" s="23"/>
      <c r="M4062" s="50" t="s">
        <v>10178</v>
      </c>
      <c r="N4062" s="51"/>
      <c r="O4062" s="20"/>
      <c r="P4062" s="20"/>
      <c r="Q4062" s="20"/>
      <c r="R4062" s="20"/>
      <c r="S4062" s="20"/>
    </row>
    <row r="4063">
      <c r="A4063" s="10"/>
      <c r="B4063" s="11"/>
      <c r="C4063" s="10"/>
      <c r="D4063" s="13"/>
      <c r="E4063" s="14"/>
      <c r="F4063" s="14"/>
      <c r="G4063" s="14"/>
      <c r="H4063" s="10"/>
      <c r="I4063" s="10"/>
      <c r="J4063" s="10"/>
      <c r="K4063" s="46"/>
      <c r="L4063" s="10"/>
      <c r="M4063" s="44" t="s">
        <v>10178</v>
      </c>
      <c r="N4063" s="45"/>
      <c r="O4063" s="20"/>
      <c r="P4063" s="20"/>
      <c r="Q4063" s="20"/>
      <c r="R4063" s="20"/>
      <c r="S4063" s="20"/>
    </row>
    <row r="4064">
      <c r="A4064" s="23"/>
      <c r="B4064" s="21"/>
      <c r="C4064" s="23"/>
      <c r="D4064" s="24"/>
      <c r="E4064" s="14"/>
      <c r="F4064" s="14"/>
      <c r="G4064" s="14"/>
      <c r="H4064" s="23"/>
      <c r="I4064" s="23"/>
      <c r="J4064" s="23"/>
      <c r="K4064" s="30"/>
      <c r="L4064" s="23"/>
      <c r="M4064" s="50" t="s">
        <v>10178</v>
      </c>
      <c r="N4064" s="51"/>
      <c r="O4064" s="20"/>
      <c r="P4064" s="20"/>
      <c r="Q4064" s="20"/>
      <c r="R4064" s="20"/>
      <c r="S4064" s="20"/>
    </row>
    <row r="4065">
      <c r="A4065" s="10"/>
      <c r="B4065" s="11"/>
      <c r="C4065" s="10"/>
      <c r="D4065" s="13"/>
      <c r="E4065" s="14"/>
      <c r="F4065" s="14"/>
      <c r="G4065" s="14"/>
      <c r="H4065" s="10"/>
      <c r="I4065" s="10"/>
      <c r="J4065" s="10"/>
      <c r="K4065" s="46"/>
      <c r="L4065" s="10"/>
      <c r="M4065" s="44" t="s">
        <v>10178</v>
      </c>
      <c r="N4065" s="45"/>
      <c r="O4065" s="20"/>
      <c r="P4065" s="20"/>
      <c r="Q4065" s="20"/>
      <c r="R4065" s="20"/>
      <c r="S4065" s="20"/>
    </row>
    <row r="4066">
      <c r="A4066" s="23"/>
      <c r="B4066" s="21"/>
      <c r="C4066" s="23"/>
      <c r="D4066" s="24"/>
      <c r="E4066" s="14"/>
      <c r="F4066" s="14"/>
      <c r="G4066" s="14"/>
      <c r="H4066" s="23"/>
      <c r="I4066" s="23"/>
      <c r="J4066" s="23"/>
      <c r="K4066" s="30"/>
      <c r="L4066" s="23"/>
      <c r="M4066" s="50" t="s">
        <v>10178</v>
      </c>
      <c r="N4066" s="51"/>
      <c r="O4066" s="20"/>
      <c r="P4066" s="20"/>
      <c r="Q4066" s="20"/>
      <c r="R4066" s="20"/>
      <c r="S4066" s="20"/>
    </row>
    <row r="4067">
      <c r="A4067" s="10"/>
      <c r="B4067" s="11"/>
      <c r="C4067" s="10"/>
      <c r="D4067" s="13"/>
      <c r="E4067" s="14"/>
      <c r="F4067" s="14"/>
      <c r="G4067" s="14"/>
      <c r="H4067" s="10"/>
      <c r="I4067" s="10"/>
      <c r="J4067" s="10"/>
      <c r="K4067" s="46"/>
      <c r="L4067" s="10"/>
      <c r="M4067" s="44" t="s">
        <v>10178</v>
      </c>
      <c r="N4067" s="45"/>
      <c r="O4067" s="20"/>
      <c r="P4067" s="20"/>
      <c r="Q4067" s="20"/>
      <c r="R4067" s="20"/>
      <c r="S4067" s="20"/>
    </row>
    <row r="4068">
      <c r="A4068" s="23"/>
      <c r="B4068" s="21"/>
      <c r="C4068" s="23"/>
      <c r="D4068" s="24"/>
      <c r="E4068" s="14"/>
      <c r="F4068" s="14"/>
      <c r="G4068" s="14"/>
      <c r="H4068" s="23"/>
      <c r="I4068" s="23"/>
      <c r="J4068" s="23"/>
      <c r="K4068" s="30"/>
      <c r="L4068" s="23"/>
      <c r="M4068" s="50" t="s">
        <v>10178</v>
      </c>
      <c r="N4068" s="51"/>
      <c r="O4068" s="20"/>
      <c r="P4068" s="20"/>
      <c r="Q4068" s="20"/>
      <c r="R4068" s="20"/>
      <c r="S4068" s="20"/>
    </row>
    <row r="4069">
      <c r="A4069" s="10"/>
      <c r="B4069" s="11"/>
      <c r="C4069" s="10"/>
      <c r="D4069" s="13"/>
      <c r="E4069" s="14"/>
      <c r="F4069" s="14"/>
      <c r="G4069" s="14"/>
      <c r="H4069" s="10"/>
      <c r="I4069" s="10"/>
      <c r="J4069" s="10"/>
      <c r="K4069" s="46"/>
      <c r="L4069" s="10"/>
      <c r="M4069" s="44" t="s">
        <v>10178</v>
      </c>
      <c r="N4069" s="45"/>
      <c r="O4069" s="20"/>
      <c r="P4069" s="20"/>
      <c r="Q4069" s="20"/>
      <c r="R4069" s="20"/>
      <c r="S4069" s="20"/>
    </row>
    <row r="4070">
      <c r="A4070" s="23"/>
      <c r="B4070" s="21"/>
      <c r="C4070" s="23"/>
      <c r="D4070" s="24"/>
      <c r="E4070" s="14"/>
      <c r="F4070" s="14"/>
      <c r="G4070" s="14"/>
      <c r="H4070" s="23"/>
      <c r="I4070" s="23"/>
      <c r="J4070" s="23"/>
      <c r="K4070" s="30"/>
      <c r="L4070" s="23"/>
      <c r="M4070" s="50" t="s">
        <v>10178</v>
      </c>
      <c r="N4070" s="51"/>
      <c r="O4070" s="20"/>
      <c r="P4070" s="20"/>
      <c r="Q4070" s="20"/>
      <c r="R4070" s="20"/>
      <c r="S4070" s="20"/>
    </row>
    <row r="4071">
      <c r="A4071" s="10"/>
      <c r="B4071" s="11"/>
      <c r="C4071" s="10"/>
      <c r="D4071" s="13"/>
      <c r="E4071" s="14"/>
      <c r="F4071" s="14"/>
      <c r="G4071" s="14"/>
      <c r="H4071" s="10"/>
      <c r="I4071" s="10"/>
      <c r="J4071" s="10"/>
      <c r="K4071" s="46"/>
      <c r="L4071" s="10"/>
      <c r="M4071" s="44" t="s">
        <v>10178</v>
      </c>
      <c r="N4071" s="45"/>
      <c r="O4071" s="20"/>
      <c r="P4071" s="20"/>
      <c r="Q4071" s="20"/>
      <c r="R4071" s="20"/>
      <c r="S4071" s="20"/>
    </row>
    <row r="4072">
      <c r="A4072" s="23"/>
      <c r="B4072" s="21"/>
      <c r="C4072" s="23"/>
      <c r="D4072" s="24"/>
      <c r="E4072" s="14"/>
      <c r="F4072" s="14"/>
      <c r="G4072" s="14"/>
      <c r="H4072" s="23"/>
      <c r="I4072" s="23"/>
      <c r="J4072" s="23"/>
      <c r="K4072" s="30"/>
      <c r="L4072" s="23"/>
      <c r="M4072" s="50" t="s">
        <v>10178</v>
      </c>
      <c r="N4072" s="51"/>
      <c r="O4072" s="20"/>
      <c r="P4072" s="20"/>
      <c r="Q4072" s="20"/>
      <c r="R4072" s="20"/>
      <c r="S4072" s="20"/>
    </row>
    <row r="4073">
      <c r="A4073" s="10"/>
      <c r="B4073" s="11"/>
      <c r="C4073" s="10"/>
      <c r="D4073" s="13"/>
      <c r="E4073" s="14"/>
      <c r="F4073" s="14"/>
      <c r="G4073" s="14"/>
      <c r="H4073" s="10"/>
      <c r="I4073" s="10"/>
      <c r="J4073" s="10"/>
      <c r="K4073" s="46"/>
      <c r="L4073" s="10"/>
      <c r="M4073" s="44" t="s">
        <v>10178</v>
      </c>
      <c r="N4073" s="45"/>
      <c r="O4073" s="20"/>
      <c r="P4073" s="20"/>
      <c r="Q4073" s="20"/>
      <c r="R4073" s="20"/>
      <c r="S4073" s="20"/>
    </row>
    <row r="4074">
      <c r="A4074" s="23"/>
      <c r="B4074" s="21"/>
      <c r="C4074" s="23"/>
      <c r="D4074" s="24"/>
      <c r="E4074" s="14"/>
      <c r="F4074" s="14"/>
      <c r="G4074" s="14"/>
      <c r="H4074" s="23"/>
      <c r="I4074" s="23"/>
      <c r="J4074" s="23"/>
      <c r="K4074" s="30"/>
      <c r="L4074" s="23"/>
      <c r="M4074" s="50" t="s">
        <v>10178</v>
      </c>
      <c r="N4074" s="51"/>
      <c r="O4074" s="20"/>
      <c r="P4074" s="20"/>
      <c r="Q4074" s="20"/>
      <c r="R4074" s="20"/>
      <c r="S4074" s="20"/>
    </row>
    <row r="4075">
      <c r="A4075" s="10"/>
      <c r="B4075" s="11"/>
      <c r="C4075" s="10"/>
      <c r="D4075" s="13"/>
      <c r="E4075" s="14"/>
      <c r="F4075" s="14"/>
      <c r="G4075" s="14"/>
      <c r="H4075" s="10"/>
      <c r="I4075" s="10"/>
      <c r="J4075" s="10"/>
      <c r="K4075" s="46"/>
      <c r="L4075" s="10"/>
      <c r="M4075" s="44" t="s">
        <v>10178</v>
      </c>
      <c r="N4075" s="45"/>
      <c r="O4075" s="20"/>
      <c r="P4075" s="20"/>
      <c r="Q4075" s="20"/>
      <c r="R4075" s="20"/>
      <c r="S4075" s="20"/>
    </row>
    <row r="4076">
      <c r="A4076" s="23"/>
      <c r="B4076" s="21"/>
      <c r="C4076" s="23"/>
      <c r="D4076" s="24"/>
      <c r="E4076" s="14"/>
      <c r="F4076" s="14"/>
      <c r="G4076" s="14"/>
      <c r="H4076" s="23"/>
      <c r="I4076" s="23"/>
      <c r="J4076" s="23"/>
      <c r="K4076" s="30"/>
      <c r="L4076" s="23"/>
      <c r="M4076" s="50" t="s">
        <v>10178</v>
      </c>
      <c r="N4076" s="51"/>
      <c r="O4076" s="20"/>
      <c r="P4076" s="20"/>
      <c r="Q4076" s="20"/>
      <c r="R4076" s="20"/>
      <c r="S4076" s="20"/>
    </row>
    <row r="4077">
      <c r="A4077" s="10"/>
      <c r="B4077" s="11"/>
      <c r="C4077" s="10"/>
      <c r="D4077" s="13"/>
      <c r="E4077" s="14"/>
      <c r="F4077" s="14"/>
      <c r="G4077" s="14"/>
      <c r="H4077" s="10"/>
      <c r="I4077" s="10"/>
      <c r="J4077" s="10"/>
      <c r="K4077" s="46"/>
      <c r="L4077" s="10"/>
      <c r="M4077" s="44" t="s">
        <v>10178</v>
      </c>
      <c r="N4077" s="45"/>
      <c r="O4077" s="20"/>
      <c r="P4077" s="20"/>
      <c r="Q4077" s="20"/>
      <c r="R4077" s="20"/>
      <c r="S4077" s="20"/>
    </row>
    <row r="4078">
      <c r="A4078" s="23"/>
      <c r="B4078" s="21"/>
      <c r="C4078" s="23"/>
      <c r="D4078" s="24"/>
      <c r="E4078" s="14"/>
      <c r="F4078" s="14"/>
      <c r="G4078" s="14"/>
      <c r="H4078" s="23"/>
      <c r="I4078" s="23"/>
      <c r="J4078" s="23"/>
      <c r="K4078" s="30"/>
      <c r="L4078" s="23"/>
      <c r="M4078" s="50" t="s">
        <v>10178</v>
      </c>
      <c r="N4078" s="51"/>
      <c r="O4078" s="20"/>
      <c r="P4078" s="20"/>
      <c r="Q4078" s="20"/>
      <c r="R4078" s="20"/>
      <c r="S4078" s="20"/>
    </row>
    <row r="4079">
      <c r="A4079" s="10"/>
      <c r="B4079" s="11"/>
      <c r="C4079" s="10"/>
      <c r="D4079" s="13"/>
      <c r="E4079" s="14"/>
      <c r="F4079" s="14"/>
      <c r="G4079" s="14"/>
      <c r="H4079" s="10"/>
      <c r="I4079" s="10"/>
      <c r="J4079" s="10"/>
      <c r="K4079" s="46"/>
      <c r="L4079" s="10"/>
      <c r="M4079" s="44" t="s">
        <v>10178</v>
      </c>
      <c r="N4079" s="45"/>
      <c r="O4079" s="20"/>
      <c r="P4079" s="20"/>
      <c r="Q4079" s="20"/>
      <c r="R4079" s="20"/>
      <c r="S4079" s="20"/>
    </row>
    <row r="4080">
      <c r="A4080" s="23"/>
      <c r="B4080" s="21"/>
      <c r="C4080" s="23"/>
      <c r="D4080" s="24"/>
      <c r="E4080" s="14"/>
      <c r="F4080" s="14"/>
      <c r="G4080" s="14"/>
      <c r="H4080" s="23"/>
      <c r="I4080" s="23"/>
      <c r="J4080" s="23"/>
      <c r="K4080" s="30"/>
      <c r="L4080" s="23"/>
      <c r="M4080" s="50" t="s">
        <v>10178</v>
      </c>
      <c r="N4080" s="51"/>
      <c r="O4080" s="20"/>
      <c r="P4080" s="20"/>
      <c r="Q4080" s="20"/>
      <c r="R4080" s="20"/>
      <c r="S4080" s="20"/>
    </row>
    <row r="4081">
      <c r="A4081" s="10"/>
      <c r="B4081" s="11"/>
      <c r="C4081" s="10"/>
      <c r="D4081" s="13"/>
      <c r="E4081" s="14"/>
      <c r="F4081" s="14"/>
      <c r="G4081" s="14"/>
      <c r="H4081" s="10"/>
      <c r="I4081" s="10"/>
      <c r="J4081" s="10"/>
      <c r="K4081" s="46"/>
      <c r="L4081" s="10"/>
      <c r="M4081" s="44" t="s">
        <v>10178</v>
      </c>
      <c r="N4081" s="45"/>
      <c r="O4081" s="20"/>
      <c r="P4081" s="20"/>
      <c r="Q4081" s="20"/>
      <c r="R4081" s="20"/>
      <c r="S4081" s="20"/>
    </row>
    <row r="4082">
      <c r="A4082" s="23"/>
      <c r="B4082" s="21"/>
      <c r="C4082" s="23"/>
      <c r="D4082" s="24"/>
      <c r="E4082" s="14"/>
      <c r="F4082" s="14"/>
      <c r="G4082" s="14"/>
      <c r="H4082" s="23"/>
      <c r="I4082" s="23"/>
      <c r="J4082" s="23"/>
      <c r="K4082" s="30"/>
      <c r="L4082" s="23"/>
      <c r="M4082" s="50" t="s">
        <v>10178</v>
      </c>
      <c r="N4082" s="51"/>
      <c r="O4082" s="20"/>
      <c r="P4082" s="20"/>
      <c r="Q4082" s="20"/>
      <c r="R4082" s="20"/>
      <c r="S4082" s="20"/>
    </row>
    <row r="4083">
      <c r="A4083" s="10"/>
      <c r="B4083" s="11"/>
      <c r="C4083" s="10"/>
      <c r="D4083" s="13"/>
      <c r="E4083" s="14"/>
      <c r="F4083" s="14"/>
      <c r="G4083" s="14"/>
      <c r="H4083" s="10"/>
      <c r="I4083" s="10"/>
      <c r="J4083" s="10"/>
      <c r="K4083" s="46"/>
      <c r="L4083" s="10"/>
      <c r="M4083" s="44" t="s">
        <v>10178</v>
      </c>
      <c r="N4083" s="45"/>
      <c r="O4083" s="20"/>
      <c r="P4083" s="20"/>
      <c r="Q4083" s="20"/>
      <c r="R4083" s="20"/>
      <c r="S4083" s="20"/>
    </row>
    <row r="4084">
      <c r="A4084" s="23"/>
      <c r="B4084" s="21"/>
      <c r="C4084" s="23"/>
      <c r="D4084" s="24"/>
      <c r="E4084" s="14"/>
      <c r="F4084" s="14"/>
      <c r="G4084" s="14"/>
      <c r="H4084" s="23"/>
      <c r="I4084" s="23"/>
      <c r="J4084" s="23"/>
      <c r="K4084" s="30"/>
      <c r="L4084" s="23"/>
      <c r="M4084" s="50" t="s">
        <v>10178</v>
      </c>
      <c r="N4084" s="51"/>
      <c r="O4084" s="20"/>
      <c r="P4084" s="20"/>
      <c r="Q4084" s="20"/>
      <c r="R4084" s="20"/>
      <c r="S4084" s="20"/>
    </row>
    <row r="4085">
      <c r="A4085" s="10"/>
      <c r="B4085" s="11"/>
      <c r="C4085" s="10"/>
      <c r="D4085" s="13"/>
      <c r="E4085" s="14"/>
      <c r="F4085" s="14"/>
      <c r="G4085" s="14"/>
      <c r="H4085" s="10"/>
      <c r="I4085" s="10"/>
      <c r="J4085" s="10"/>
      <c r="K4085" s="46"/>
      <c r="L4085" s="10"/>
      <c r="M4085" s="44" t="s">
        <v>10178</v>
      </c>
      <c r="N4085" s="45"/>
      <c r="O4085" s="20"/>
      <c r="P4085" s="20"/>
      <c r="Q4085" s="20"/>
      <c r="R4085" s="20"/>
      <c r="S4085" s="20"/>
    </row>
    <row r="4086">
      <c r="A4086" s="23"/>
      <c r="B4086" s="21"/>
      <c r="C4086" s="23"/>
      <c r="D4086" s="24"/>
      <c r="E4086" s="14"/>
      <c r="F4086" s="14"/>
      <c r="G4086" s="14"/>
      <c r="H4086" s="23"/>
      <c r="I4086" s="23"/>
      <c r="J4086" s="23"/>
      <c r="K4086" s="30"/>
      <c r="L4086" s="23"/>
      <c r="M4086" s="50" t="s">
        <v>10178</v>
      </c>
      <c r="N4086" s="51"/>
      <c r="O4086" s="20"/>
      <c r="P4086" s="20"/>
      <c r="Q4086" s="20"/>
      <c r="R4086" s="20"/>
      <c r="S4086" s="20"/>
    </row>
    <row r="4087">
      <c r="A4087" s="10"/>
      <c r="B4087" s="11"/>
      <c r="C4087" s="10"/>
      <c r="D4087" s="13"/>
      <c r="E4087" s="14"/>
      <c r="F4087" s="14"/>
      <c r="G4087" s="14"/>
      <c r="H4087" s="10"/>
      <c r="I4087" s="10"/>
      <c r="J4087" s="10"/>
      <c r="K4087" s="46"/>
      <c r="L4087" s="10"/>
      <c r="M4087" s="44" t="s">
        <v>10178</v>
      </c>
      <c r="N4087" s="45"/>
      <c r="O4087" s="20"/>
      <c r="P4087" s="20"/>
      <c r="Q4087" s="20"/>
      <c r="R4087" s="20"/>
      <c r="S4087" s="20"/>
    </row>
    <row r="4088">
      <c r="A4088" s="23"/>
      <c r="B4088" s="21"/>
      <c r="C4088" s="23"/>
      <c r="D4088" s="24"/>
      <c r="E4088" s="14"/>
      <c r="F4088" s="14"/>
      <c r="G4088" s="14"/>
      <c r="H4088" s="23"/>
      <c r="I4088" s="23"/>
      <c r="J4088" s="23"/>
      <c r="K4088" s="30"/>
      <c r="L4088" s="23"/>
      <c r="M4088" s="50" t="s">
        <v>10178</v>
      </c>
      <c r="N4088" s="51"/>
      <c r="O4088" s="20"/>
      <c r="P4088" s="20"/>
      <c r="Q4088" s="20"/>
      <c r="R4088" s="20"/>
      <c r="S4088" s="20"/>
    </row>
    <row r="4089">
      <c r="A4089" s="10"/>
      <c r="B4089" s="11"/>
      <c r="C4089" s="10"/>
      <c r="D4089" s="13"/>
      <c r="E4089" s="14"/>
      <c r="F4089" s="14"/>
      <c r="G4089" s="14"/>
      <c r="H4089" s="10"/>
      <c r="I4089" s="10"/>
      <c r="J4089" s="10"/>
      <c r="K4089" s="46"/>
      <c r="L4089" s="10"/>
      <c r="M4089" s="44" t="s">
        <v>10178</v>
      </c>
      <c r="N4089" s="45"/>
      <c r="O4089" s="20"/>
      <c r="P4089" s="20"/>
      <c r="Q4089" s="20"/>
      <c r="R4089" s="20"/>
      <c r="S4089" s="20"/>
    </row>
    <row r="4090">
      <c r="A4090" s="23"/>
      <c r="B4090" s="21"/>
      <c r="C4090" s="23"/>
      <c r="D4090" s="24"/>
      <c r="E4090" s="14"/>
      <c r="F4090" s="14"/>
      <c r="G4090" s="14"/>
      <c r="H4090" s="23"/>
      <c r="I4090" s="23"/>
      <c r="J4090" s="23"/>
      <c r="K4090" s="30"/>
      <c r="L4090" s="23"/>
      <c r="M4090" s="50" t="s">
        <v>10178</v>
      </c>
      <c r="N4090" s="51"/>
      <c r="O4090" s="20"/>
      <c r="P4090" s="20"/>
      <c r="Q4090" s="20"/>
      <c r="R4090" s="20"/>
      <c r="S4090" s="20"/>
    </row>
    <row r="4091">
      <c r="A4091" s="10"/>
      <c r="B4091" s="11"/>
      <c r="C4091" s="10"/>
      <c r="D4091" s="13"/>
      <c r="E4091" s="14"/>
      <c r="F4091" s="14"/>
      <c r="G4091" s="14"/>
      <c r="H4091" s="10"/>
      <c r="I4091" s="10"/>
      <c r="J4091" s="10"/>
      <c r="K4091" s="46"/>
      <c r="L4091" s="10"/>
      <c r="M4091" s="44" t="s">
        <v>10178</v>
      </c>
      <c r="N4091" s="45"/>
      <c r="O4091" s="20"/>
      <c r="P4091" s="20"/>
      <c r="Q4091" s="20"/>
      <c r="R4091" s="20"/>
      <c r="S4091" s="20"/>
    </row>
    <row r="4092">
      <c r="A4092" s="23"/>
      <c r="B4092" s="21"/>
      <c r="C4092" s="23"/>
      <c r="D4092" s="24"/>
      <c r="E4092" s="14"/>
      <c r="F4092" s="14"/>
      <c r="G4092" s="14"/>
      <c r="H4092" s="23"/>
      <c r="I4092" s="23"/>
      <c r="J4092" s="23"/>
      <c r="K4092" s="30"/>
      <c r="L4092" s="23"/>
      <c r="M4092" s="50" t="s">
        <v>10178</v>
      </c>
      <c r="N4092" s="51"/>
      <c r="O4092" s="20"/>
      <c r="P4092" s="20"/>
      <c r="Q4092" s="20"/>
      <c r="R4092" s="20"/>
      <c r="S4092" s="20"/>
    </row>
    <row r="4093">
      <c r="A4093" s="10"/>
      <c r="B4093" s="11"/>
      <c r="C4093" s="10"/>
      <c r="D4093" s="13"/>
      <c r="E4093" s="14"/>
      <c r="F4093" s="14"/>
      <c r="G4093" s="14"/>
      <c r="H4093" s="10"/>
      <c r="I4093" s="10"/>
      <c r="J4093" s="10"/>
      <c r="K4093" s="46"/>
      <c r="L4093" s="10"/>
      <c r="M4093" s="44" t="s">
        <v>10178</v>
      </c>
      <c r="N4093" s="45"/>
      <c r="O4093" s="20"/>
      <c r="P4093" s="20"/>
      <c r="Q4093" s="20"/>
      <c r="R4093" s="20"/>
      <c r="S4093" s="20"/>
    </row>
    <row r="4094">
      <c r="A4094" s="23"/>
      <c r="B4094" s="21"/>
      <c r="C4094" s="23"/>
      <c r="D4094" s="24"/>
      <c r="E4094" s="14"/>
      <c r="F4094" s="14"/>
      <c r="G4094" s="14"/>
      <c r="H4094" s="23"/>
      <c r="I4094" s="23"/>
      <c r="J4094" s="23"/>
      <c r="K4094" s="30"/>
      <c r="L4094" s="23"/>
      <c r="M4094" s="50" t="s">
        <v>10178</v>
      </c>
      <c r="N4094" s="51"/>
      <c r="O4094" s="20"/>
      <c r="P4094" s="20"/>
      <c r="Q4094" s="20"/>
      <c r="R4094" s="20"/>
      <c r="S4094" s="20"/>
    </row>
    <row r="4095">
      <c r="A4095" s="10"/>
      <c r="B4095" s="11"/>
      <c r="C4095" s="10"/>
      <c r="D4095" s="13"/>
      <c r="E4095" s="14"/>
      <c r="F4095" s="14"/>
      <c r="G4095" s="14"/>
      <c r="H4095" s="10"/>
      <c r="I4095" s="10"/>
      <c r="J4095" s="10"/>
      <c r="K4095" s="46"/>
      <c r="L4095" s="10"/>
      <c r="M4095" s="44" t="s">
        <v>10178</v>
      </c>
      <c r="N4095" s="45"/>
      <c r="O4095" s="20"/>
      <c r="P4095" s="20"/>
      <c r="Q4095" s="20"/>
      <c r="R4095" s="20"/>
      <c r="S4095" s="20"/>
    </row>
    <row r="4096">
      <c r="A4096" s="23"/>
      <c r="B4096" s="21"/>
      <c r="C4096" s="23"/>
      <c r="D4096" s="24"/>
      <c r="E4096" s="14"/>
      <c r="F4096" s="14"/>
      <c r="G4096" s="14"/>
      <c r="H4096" s="23"/>
      <c r="I4096" s="23"/>
      <c r="J4096" s="23"/>
      <c r="K4096" s="30"/>
      <c r="L4096" s="23"/>
      <c r="M4096" s="50" t="s">
        <v>10178</v>
      </c>
      <c r="N4096" s="51"/>
      <c r="O4096" s="20"/>
      <c r="P4096" s="20"/>
      <c r="Q4096" s="20"/>
      <c r="R4096" s="20"/>
      <c r="S4096" s="20"/>
    </row>
    <row r="4097">
      <c r="A4097" s="10"/>
      <c r="B4097" s="11"/>
      <c r="C4097" s="10"/>
      <c r="D4097" s="13"/>
      <c r="E4097" s="14"/>
      <c r="F4097" s="14"/>
      <c r="G4097" s="14"/>
      <c r="H4097" s="10"/>
      <c r="I4097" s="10"/>
      <c r="J4097" s="10"/>
      <c r="K4097" s="46"/>
      <c r="L4097" s="10"/>
      <c r="M4097" s="44" t="s">
        <v>10178</v>
      </c>
      <c r="N4097" s="45"/>
      <c r="O4097" s="20"/>
      <c r="P4097" s="20"/>
      <c r="Q4097" s="20"/>
      <c r="R4097" s="20"/>
      <c r="S4097" s="20"/>
    </row>
    <row r="4098">
      <c r="A4098" s="23"/>
      <c r="B4098" s="21"/>
      <c r="C4098" s="23"/>
      <c r="D4098" s="24"/>
      <c r="E4098" s="14"/>
      <c r="F4098" s="14"/>
      <c r="G4098" s="14"/>
      <c r="H4098" s="23"/>
      <c r="I4098" s="23"/>
      <c r="J4098" s="23"/>
      <c r="K4098" s="30"/>
      <c r="L4098" s="23"/>
      <c r="M4098" s="50" t="s">
        <v>10178</v>
      </c>
      <c r="N4098" s="51"/>
      <c r="O4098" s="20"/>
      <c r="P4098" s="20"/>
      <c r="Q4098" s="20"/>
      <c r="R4098" s="20"/>
      <c r="S4098" s="20"/>
    </row>
    <row r="4099">
      <c r="A4099" s="10"/>
      <c r="B4099" s="11"/>
      <c r="C4099" s="10"/>
      <c r="D4099" s="13"/>
      <c r="E4099" s="14"/>
      <c r="F4099" s="14"/>
      <c r="G4099" s="14"/>
      <c r="H4099" s="10"/>
      <c r="I4099" s="10"/>
      <c r="J4099" s="10"/>
      <c r="K4099" s="46"/>
      <c r="L4099" s="10"/>
      <c r="M4099" s="44" t="s">
        <v>10178</v>
      </c>
      <c r="N4099" s="45"/>
      <c r="O4099" s="20"/>
      <c r="P4099" s="20"/>
      <c r="Q4099" s="20"/>
      <c r="R4099" s="20"/>
      <c r="S4099" s="20"/>
    </row>
    <row r="4100">
      <c r="A4100" s="23"/>
      <c r="B4100" s="21"/>
      <c r="C4100" s="23"/>
      <c r="D4100" s="24"/>
      <c r="E4100" s="14"/>
      <c r="F4100" s="14"/>
      <c r="G4100" s="14"/>
      <c r="H4100" s="23"/>
      <c r="I4100" s="23"/>
      <c r="J4100" s="23"/>
      <c r="K4100" s="30"/>
      <c r="L4100" s="23"/>
      <c r="M4100" s="50" t="s">
        <v>10178</v>
      </c>
      <c r="N4100" s="51"/>
      <c r="O4100" s="20"/>
      <c r="P4100" s="20"/>
      <c r="Q4100" s="20"/>
      <c r="R4100" s="20"/>
      <c r="S4100" s="20"/>
    </row>
    <row r="4101">
      <c r="A4101" s="10"/>
      <c r="B4101" s="11"/>
      <c r="C4101" s="10"/>
      <c r="D4101" s="13"/>
      <c r="E4101" s="14"/>
      <c r="F4101" s="14"/>
      <c r="G4101" s="14"/>
      <c r="H4101" s="10"/>
      <c r="I4101" s="10"/>
      <c r="J4101" s="10"/>
      <c r="K4101" s="46"/>
      <c r="L4101" s="10"/>
      <c r="M4101" s="44" t="s">
        <v>10178</v>
      </c>
      <c r="N4101" s="45"/>
      <c r="O4101" s="20"/>
      <c r="P4101" s="20"/>
      <c r="Q4101" s="20"/>
      <c r="R4101" s="20"/>
      <c r="S4101" s="20"/>
    </row>
    <row r="4102">
      <c r="A4102" s="23"/>
      <c r="B4102" s="21"/>
      <c r="C4102" s="23"/>
      <c r="D4102" s="24"/>
      <c r="E4102" s="14"/>
      <c r="F4102" s="14"/>
      <c r="G4102" s="14"/>
      <c r="H4102" s="23"/>
      <c r="I4102" s="23"/>
      <c r="J4102" s="23"/>
      <c r="K4102" s="30"/>
      <c r="L4102" s="23"/>
      <c r="M4102" s="50" t="s">
        <v>10178</v>
      </c>
      <c r="N4102" s="51"/>
      <c r="O4102" s="20"/>
      <c r="P4102" s="20"/>
      <c r="Q4102" s="20"/>
      <c r="R4102" s="20"/>
      <c r="S4102" s="20"/>
    </row>
    <row r="4103">
      <c r="A4103" s="10"/>
      <c r="B4103" s="11"/>
      <c r="C4103" s="10"/>
      <c r="D4103" s="13"/>
      <c r="E4103" s="14"/>
      <c r="F4103" s="14"/>
      <c r="G4103" s="14"/>
      <c r="H4103" s="10"/>
      <c r="I4103" s="10"/>
      <c r="J4103" s="10"/>
      <c r="K4103" s="46"/>
      <c r="L4103" s="10"/>
      <c r="M4103" s="44" t="s">
        <v>10178</v>
      </c>
      <c r="N4103" s="45"/>
      <c r="O4103" s="20"/>
      <c r="P4103" s="20"/>
      <c r="Q4103" s="20"/>
      <c r="R4103" s="20"/>
      <c r="S4103" s="20"/>
    </row>
    <row r="4104">
      <c r="A4104" s="23"/>
      <c r="B4104" s="21"/>
      <c r="C4104" s="23"/>
      <c r="D4104" s="24"/>
      <c r="E4104" s="14"/>
      <c r="F4104" s="14"/>
      <c r="G4104" s="14"/>
      <c r="H4104" s="23"/>
      <c r="I4104" s="23"/>
      <c r="J4104" s="23"/>
      <c r="K4104" s="30"/>
      <c r="L4104" s="23"/>
      <c r="M4104" s="50" t="s">
        <v>10178</v>
      </c>
      <c r="N4104" s="51"/>
      <c r="O4104" s="20"/>
      <c r="P4104" s="20"/>
      <c r="Q4104" s="20"/>
      <c r="R4104" s="20"/>
      <c r="S4104" s="20"/>
    </row>
    <row r="4105">
      <c r="A4105" s="10"/>
      <c r="B4105" s="11"/>
      <c r="C4105" s="10"/>
      <c r="D4105" s="13"/>
      <c r="E4105" s="14"/>
      <c r="F4105" s="14"/>
      <c r="G4105" s="14"/>
      <c r="H4105" s="10"/>
      <c r="I4105" s="10"/>
      <c r="J4105" s="10"/>
      <c r="K4105" s="46"/>
      <c r="L4105" s="10"/>
      <c r="M4105" s="44" t="s">
        <v>10178</v>
      </c>
      <c r="N4105" s="45"/>
      <c r="O4105" s="20"/>
      <c r="P4105" s="20"/>
      <c r="Q4105" s="20"/>
      <c r="R4105" s="20"/>
      <c r="S4105" s="20"/>
    </row>
    <row r="4106">
      <c r="A4106" s="23"/>
      <c r="B4106" s="21"/>
      <c r="C4106" s="23"/>
      <c r="D4106" s="24"/>
      <c r="E4106" s="14"/>
      <c r="F4106" s="14"/>
      <c r="G4106" s="14"/>
      <c r="H4106" s="23"/>
      <c r="I4106" s="23"/>
      <c r="J4106" s="23"/>
      <c r="K4106" s="30"/>
      <c r="L4106" s="23"/>
      <c r="M4106" s="50" t="s">
        <v>10178</v>
      </c>
      <c r="N4106" s="51"/>
      <c r="O4106" s="20"/>
      <c r="P4106" s="20"/>
      <c r="Q4106" s="20"/>
      <c r="R4106" s="20"/>
      <c r="S4106" s="20"/>
    </row>
    <row r="4107">
      <c r="A4107" s="10"/>
      <c r="B4107" s="11"/>
      <c r="C4107" s="10"/>
      <c r="D4107" s="13"/>
      <c r="E4107" s="14"/>
      <c r="F4107" s="14"/>
      <c r="G4107" s="14"/>
      <c r="H4107" s="10"/>
      <c r="I4107" s="10"/>
      <c r="J4107" s="10"/>
      <c r="K4107" s="46"/>
      <c r="L4107" s="10"/>
      <c r="M4107" s="44" t="s">
        <v>10178</v>
      </c>
      <c r="N4107" s="45"/>
      <c r="O4107" s="20"/>
      <c r="P4107" s="20"/>
      <c r="Q4107" s="20"/>
      <c r="R4107" s="20"/>
      <c r="S4107" s="20"/>
    </row>
    <row r="4108">
      <c r="A4108" s="23"/>
      <c r="B4108" s="21"/>
      <c r="C4108" s="23"/>
      <c r="D4108" s="24"/>
      <c r="E4108" s="14"/>
      <c r="F4108" s="14"/>
      <c r="G4108" s="14"/>
      <c r="H4108" s="23"/>
      <c r="I4108" s="23"/>
      <c r="J4108" s="23"/>
      <c r="K4108" s="30"/>
      <c r="L4108" s="23"/>
      <c r="M4108" s="50" t="s">
        <v>10178</v>
      </c>
      <c r="N4108" s="51"/>
      <c r="O4108" s="20"/>
      <c r="P4108" s="20"/>
      <c r="Q4108" s="20"/>
      <c r="R4108" s="20"/>
      <c r="S4108" s="20"/>
    </row>
    <row r="4109">
      <c r="A4109" s="10"/>
      <c r="B4109" s="11"/>
      <c r="C4109" s="10"/>
      <c r="D4109" s="13"/>
      <c r="E4109" s="14"/>
      <c r="F4109" s="14"/>
      <c r="G4109" s="14"/>
      <c r="H4109" s="10"/>
      <c r="I4109" s="10"/>
      <c r="J4109" s="10"/>
      <c r="K4109" s="46"/>
      <c r="L4109" s="10"/>
      <c r="M4109" s="44" t="s">
        <v>10178</v>
      </c>
      <c r="N4109" s="45"/>
      <c r="O4109" s="20"/>
      <c r="P4109" s="20"/>
      <c r="Q4109" s="20"/>
      <c r="R4109" s="20"/>
      <c r="S4109" s="20"/>
    </row>
    <row r="4110">
      <c r="A4110" s="23"/>
      <c r="B4110" s="21"/>
      <c r="C4110" s="23"/>
      <c r="D4110" s="24"/>
      <c r="E4110" s="14"/>
      <c r="F4110" s="14"/>
      <c r="G4110" s="14"/>
      <c r="H4110" s="23"/>
      <c r="I4110" s="23"/>
      <c r="J4110" s="23"/>
      <c r="K4110" s="30"/>
      <c r="L4110" s="23"/>
      <c r="M4110" s="50" t="s">
        <v>10178</v>
      </c>
      <c r="N4110" s="51"/>
      <c r="O4110" s="20"/>
      <c r="P4110" s="20"/>
      <c r="Q4110" s="20"/>
      <c r="R4110" s="20"/>
      <c r="S4110" s="20"/>
    </row>
    <row r="4111">
      <c r="A4111" s="10"/>
      <c r="B4111" s="11"/>
      <c r="C4111" s="10"/>
      <c r="D4111" s="13"/>
      <c r="E4111" s="14"/>
      <c r="F4111" s="14"/>
      <c r="G4111" s="14"/>
      <c r="H4111" s="10"/>
      <c r="I4111" s="10"/>
      <c r="J4111" s="10"/>
      <c r="K4111" s="46"/>
      <c r="L4111" s="10"/>
      <c r="M4111" s="44" t="s">
        <v>10178</v>
      </c>
      <c r="N4111" s="45"/>
      <c r="O4111" s="20"/>
      <c r="P4111" s="20"/>
      <c r="Q4111" s="20"/>
      <c r="R4111" s="20"/>
      <c r="S4111" s="20"/>
    </row>
    <row r="4112">
      <c r="A4112" s="23"/>
      <c r="B4112" s="21"/>
      <c r="C4112" s="23"/>
      <c r="D4112" s="24"/>
      <c r="E4112" s="14"/>
      <c r="F4112" s="14"/>
      <c r="G4112" s="14"/>
      <c r="H4112" s="23"/>
      <c r="I4112" s="23"/>
      <c r="J4112" s="23"/>
      <c r="K4112" s="30"/>
      <c r="L4112" s="23"/>
      <c r="M4112" s="50" t="s">
        <v>10178</v>
      </c>
      <c r="N4112" s="51"/>
      <c r="O4112" s="20"/>
      <c r="P4112" s="20"/>
      <c r="Q4112" s="20"/>
      <c r="R4112" s="20"/>
      <c r="S4112" s="20"/>
    </row>
    <row r="4113">
      <c r="A4113" s="10"/>
      <c r="B4113" s="11"/>
      <c r="C4113" s="10"/>
      <c r="D4113" s="13"/>
      <c r="E4113" s="14"/>
      <c r="F4113" s="14"/>
      <c r="G4113" s="14"/>
      <c r="H4113" s="10"/>
      <c r="I4113" s="10"/>
      <c r="J4113" s="10"/>
      <c r="K4113" s="46"/>
      <c r="L4113" s="10"/>
      <c r="M4113" s="44" t="s">
        <v>10178</v>
      </c>
      <c r="N4113" s="45"/>
      <c r="O4113" s="20"/>
      <c r="P4113" s="20"/>
      <c r="Q4113" s="20"/>
      <c r="R4113" s="20"/>
      <c r="S4113" s="20"/>
    </row>
    <row r="4114">
      <c r="A4114" s="23"/>
      <c r="B4114" s="21"/>
      <c r="C4114" s="23"/>
      <c r="D4114" s="24"/>
      <c r="E4114" s="14"/>
      <c r="F4114" s="14"/>
      <c r="G4114" s="14"/>
      <c r="H4114" s="23"/>
      <c r="I4114" s="23"/>
      <c r="J4114" s="23"/>
      <c r="K4114" s="30"/>
      <c r="L4114" s="23"/>
      <c r="M4114" s="50" t="s">
        <v>10178</v>
      </c>
      <c r="N4114" s="51"/>
      <c r="O4114" s="20"/>
      <c r="P4114" s="20"/>
      <c r="Q4114" s="20"/>
      <c r="R4114" s="20"/>
      <c r="S4114" s="20"/>
    </row>
    <row r="4115">
      <c r="A4115" s="10"/>
      <c r="B4115" s="11"/>
      <c r="C4115" s="10"/>
      <c r="D4115" s="13"/>
      <c r="E4115" s="14"/>
      <c r="F4115" s="14"/>
      <c r="G4115" s="14"/>
      <c r="H4115" s="10"/>
      <c r="I4115" s="10"/>
      <c r="J4115" s="10"/>
      <c r="K4115" s="46"/>
      <c r="L4115" s="10"/>
      <c r="M4115" s="44" t="s">
        <v>10178</v>
      </c>
      <c r="N4115" s="45"/>
      <c r="O4115" s="20"/>
      <c r="P4115" s="20"/>
      <c r="Q4115" s="20"/>
      <c r="R4115" s="20"/>
      <c r="S4115" s="20"/>
    </row>
    <row r="4116">
      <c r="A4116" s="23"/>
      <c r="B4116" s="21"/>
      <c r="C4116" s="23"/>
      <c r="D4116" s="24"/>
      <c r="E4116" s="14"/>
      <c r="F4116" s="14"/>
      <c r="G4116" s="14"/>
      <c r="H4116" s="23"/>
      <c r="I4116" s="23"/>
      <c r="J4116" s="23"/>
      <c r="K4116" s="30"/>
      <c r="L4116" s="23"/>
      <c r="M4116" s="50" t="s">
        <v>10178</v>
      </c>
      <c r="N4116" s="51"/>
      <c r="O4116" s="20"/>
      <c r="P4116" s="20"/>
      <c r="Q4116" s="20"/>
      <c r="R4116" s="20"/>
      <c r="S4116" s="20"/>
    </row>
    <row r="4117">
      <c r="A4117" s="10"/>
      <c r="B4117" s="11"/>
      <c r="C4117" s="10"/>
      <c r="D4117" s="13"/>
      <c r="E4117" s="14"/>
      <c r="F4117" s="14"/>
      <c r="G4117" s="14"/>
      <c r="H4117" s="10"/>
      <c r="I4117" s="10"/>
      <c r="J4117" s="10"/>
      <c r="K4117" s="46"/>
      <c r="L4117" s="10"/>
      <c r="M4117" s="44" t="s">
        <v>10178</v>
      </c>
      <c r="N4117" s="45"/>
      <c r="O4117" s="20"/>
      <c r="P4117" s="20"/>
      <c r="Q4117" s="20"/>
      <c r="R4117" s="20"/>
      <c r="S4117" s="20"/>
    </row>
    <row r="4118">
      <c r="A4118" s="23"/>
      <c r="B4118" s="21"/>
      <c r="C4118" s="23"/>
      <c r="D4118" s="24"/>
      <c r="E4118" s="14"/>
      <c r="F4118" s="14"/>
      <c r="G4118" s="14"/>
      <c r="H4118" s="23"/>
      <c r="I4118" s="23"/>
      <c r="J4118" s="23"/>
      <c r="K4118" s="30"/>
      <c r="L4118" s="23"/>
      <c r="M4118" s="50" t="s">
        <v>10178</v>
      </c>
      <c r="N4118" s="51"/>
      <c r="O4118" s="20"/>
      <c r="P4118" s="20"/>
      <c r="Q4118" s="20"/>
      <c r="R4118" s="20"/>
      <c r="S4118" s="20"/>
    </row>
    <row r="4119">
      <c r="A4119" s="10"/>
      <c r="B4119" s="11"/>
      <c r="C4119" s="10"/>
      <c r="D4119" s="13"/>
      <c r="E4119" s="14"/>
      <c r="F4119" s="14"/>
      <c r="G4119" s="14"/>
      <c r="H4119" s="10"/>
      <c r="I4119" s="10"/>
      <c r="J4119" s="10"/>
      <c r="K4119" s="46"/>
      <c r="L4119" s="10"/>
      <c r="M4119" s="44" t="s">
        <v>10178</v>
      </c>
      <c r="N4119" s="45"/>
      <c r="O4119" s="20"/>
      <c r="P4119" s="20"/>
      <c r="Q4119" s="20"/>
      <c r="R4119" s="20"/>
      <c r="S4119" s="20"/>
    </row>
    <row r="4120">
      <c r="A4120" s="23"/>
      <c r="B4120" s="21"/>
      <c r="C4120" s="23"/>
      <c r="D4120" s="24"/>
      <c r="E4120" s="14"/>
      <c r="F4120" s="14"/>
      <c r="G4120" s="14"/>
      <c r="H4120" s="23"/>
      <c r="I4120" s="23"/>
      <c r="J4120" s="23"/>
      <c r="K4120" s="30"/>
      <c r="L4120" s="23"/>
      <c r="M4120" s="50" t="s">
        <v>10178</v>
      </c>
      <c r="N4120" s="51"/>
      <c r="O4120" s="20"/>
      <c r="P4120" s="20"/>
      <c r="Q4120" s="20"/>
      <c r="R4120" s="20"/>
      <c r="S4120" s="20"/>
    </row>
    <row r="4121">
      <c r="A4121" s="10"/>
      <c r="B4121" s="11"/>
      <c r="C4121" s="10"/>
      <c r="D4121" s="13"/>
      <c r="E4121" s="14"/>
      <c r="F4121" s="14"/>
      <c r="G4121" s="14"/>
      <c r="H4121" s="10"/>
      <c r="I4121" s="10"/>
      <c r="J4121" s="10"/>
      <c r="K4121" s="46"/>
      <c r="L4121" s="10"/>
      <c r="M4121" s="44" t="s">
        <v>10178</v>
      </c>
      <c r="N4121" s="45"/>
      <c r="O4121" s="20"/>
      <c r="P4121" s="20"/>
      <c r="Q4121" s="20"/>
      <c r="R4121" s="20"/>
      <c r="S4121" s="20"/>
    </row>
    <row r="4122">
      <c r="A4122" s="23"/>
      <c r="B4122" s="21"/>
      <c r="C4122" s="23"/>
      <c r="D4122" s="24"/>
      <c r="E4122" s="14"/>
      <c r="F4122" s="14"/>
      <c r="G4122" s="14"/>
      <c r="H4122" s="23"/>
      <c r="I4122" s="23"/>
      <c r="J4122" s="23"/>
      <c r="K4122" s="30"/>
      <c r="L4122" s="23"/>
      <c r="M4122" s="50" t="s">
        <v>10178</v>
      </c>
      <c r="N4122" s="51"/>
      <c r="O4122" s="20"/>
      <c r="P4122" s="20"/>
      <c r="Q4122" s="20"/>
      <c r="R4122" s="20"/>
      <c r="S4122" s="20"/>
    </row>
    <row r="4123">
      <c r="A4123" s="10"/>
      <c r="B4123" s="11"/>
      <c r="C4123" s="10"/>
      <c r="D4123" s="13"/>
      <c r="E4123" s="14"/>
      <c r="F4123" s="14"/>
      <c r="G4123" s="14"/>
      <c r="H4123" s="10"/>
      <c r="I4123" s="10"/>
      <c r="J4123" s="10"/>
      <c r="K4123" s="46"/>
      <c r="L4123" s="10"/>
      <c r="M4123" s="44" t="s">
        <v>10178</v>
      </c>
      <c r="N4123" s="45"/>
      <c r="O4123" s="20"/>
      <c r="P4123" s="20"/>
      <c r="Q4123" s="20"/>
      <c r="R4123" s="20"/>
      <c r="S4123" s="20"/>
    </row>
    <row r="4124">
      <c r="A4124" s="23"/>
      <c r="B4124" s="21"/>
      <c r="C4124" s="23"/>
      <c r="D4124" s="24"/>
      <c r="E4124" s="14"/>
      <c r="F4124" s="14"/>
      <c r="G4124" s="14"/>
      <c r="H4124" s="23"/>
      <c r="I4124" s="23"/>
      <c r="J4124" s="23"/>
      <c r="K4124" s="30"/>
      <c r="L4124" s="23"/>
      <c r="M4124" s="50" t="s">
        <v>10178</v>
      </c>
      <c r="N4124" s="51"/>
      <c r="O4124" s="20"/>
      <c r="P4124" s="20"/>
      <c r="Q4124" s="20"/>
      <c r="R4124" s="20"/>
      <c r="S4124" s="20"/>
    </row>
    <row r="4125">
      <c r="A4125" s="10"/>
      <c r="B4125" s="11"/>
      <c r="C4125" s="10"/>
      <c r="D4125" s="13"/>
      <c r="E4125" s="14"/>
      <c r="F4125" s="14"/>
      <c r="G4125" s="14"/>
      <c r="H4125" s="10"/>
      <c r="I4125" s="10"/>
      <c r="J4125" s="10"/>
      <c r="K4125" s="46"/>
      <c r="L4125" s="10"/>
      <c r="M4125" s="44" t="s">
        <v>10178</v>
      </c>
      <c r="N4125" s="45"/>
      <c r="O4125" s="20"/>
      <c r="P4125" s="20"/>
      <c r="Q4125" s="20"/>
      <c r="R4125" s="20"/>
      <c r="S4125" s="20"/>
    </row>
    <row r="4126">
      <c r="A4126" s="23"/>
      <c r="B4126" s="21"/>
      <c r="C4126" s="23"/>
      <c r="D4126" s="24"/>
      <c r="E4126" s="14"/>
      <c r="F4126" s="14"/>
      <c r="G4126" s="14"/>
      <c r="H4126" s="23"/>
      <c r="I4126" s="23"/>
      <c r="J4126" s="23"/>
      <c r="K4126" s="30"/>
      <c r="L4126" s="23"/>
      <c r="M4126" s="50" t="s">
        <v>10178</v>
      </c>
      <c r="N4126" s="51"/>
      <c r="O4126" s="20"/>
      <c r="P4126" s="20"/>
      <c r="Q4126" s="20"/>
      <c r="R4126" s="20"/>
      <c r="S4126" s="20"/>
    </row>
    <row r="4127">
      <c r="A4127" s="10"/>
      <c r="B4127" s="11"/>
      <c r="C4127" s="10"/>
      <c r="D4127" s="13"/>
      <c r="E4127" s="14"/>
      <c r="F4127" s="14"/>
      <c r="G4127" s="14"/>
      <c r="H4127" s="10"/>
      <c r="I4127" s="10"/>
      <c r="J4127" s="10"/>
      <c r="K4127" s="46"/>
      <c r="L4127" s="10"/>
      <c r="M4127" s="44" t="s">
        <v>10178</v>
      </c>
      <c r="N4127" s="45"/>
      <c r="O4127" s="20"/>
      <c r="P4127" s="20"/>
      <c r="Q4127" s="20"/>
      <c r="R4127" s="20"/>
      <c r="S4127" s="20"/>
    </row>
    <row r="4128">
      <c r="A4128" s="23"/>
      <c r="B4128" s="21"/>
      <c r="C4128" s="23"/>
      <c r="D4128" s="24"/>
      <c r="E4128" s="14"/>
      <c r="F4128" s="14"/>
      <c r="G4128" s="14"/>
      <c r="H4128" s="23"/>
      <c r="I4128" s="23"/>
      <c r="J4128" s="23"/>
      <c r="K4128" s="30"/>
      <c r="L4128" s="23"/>
      <c r="M4128" s="50" t="s">
        <v>10178</v>
      </c>
      <c r="N4128" s="51"/>
      <c r="O4128" s="20"/>
      <c r="P4128" s="20"/>
      <c r="Q4128" s="20"/>
      <c r="R4128" s="20"/>
      <c r="S4128" s="20"/>
    </row>
    <row r="4129">
      <c r="A4129" s="10"/>
      <c r="B4129" s="11"/>
      <c r="C4129" s="10"/>
      <c r="D4129" s="13"/>
      <c r="E4129" s="14"/>
      <c r="F4129" s="14"/>
      <c r="G4129" s="14"/>
      <c r="H4129" s="10"/>
      <c r="I4129" s="10"/>
      <c r="J4129" s="10"/>
      <c r="K4129" s="46"/>
      <c r="L4129" s="10"/>
      <c r="M4129" s="44" t="s">
        <v>10178</v>
      </c>
      <c r="N4129" s="45"/>
      <c r="O4129" s="20"/>
      <c r="P4129" s="20"/>
      <c r="Q4129" s="20"/>
      <c r="R4129" s="20"/>
      <c r="S4129" s="20"/>
    </row>
    <row r="4130">
      <c r="A4130" s="23"/>
      <c r="B4130" s="21"/>
      <c r="C4130" s="23"/>
      <c r="D4130" s="24"/>
      <c r="E4130" s="14"/>
      <c r="F4130" s="14"/>
      <c r="G4130" s="14"/>
      <c r="H4130" s="23"/>
      <c r="I4130" s="23"/>
      <c r="J4130" s="23"/>
      <c r="K4130" s="30"/>
      <c r="L4130" s="23"/>
      <c r="M4130" s="50" t="s">
        <v>10178</v>
      </c>
      <c r="N4130" s="51"/>
      <c r="O4130" s="20"/>
      <c r="P4130" s="20"/>
      <c r="Q4130" s="20"/>
      <c r="R4130" s="20"/>
      <c r="S4130" s="20"/>
    </row>
    <row r="4131">
      <c r="A4131" s="10"/>
      <c r="B4131" s="11"/>
      <c r="C4131" s="10"/>
      <c r="D4131" s="13"/>
      <c r="E4131" s="14"/>
      <c r="F4131" s="14"/>
      <c r="G4131" s="14"/>
      <c r="H4131" s="10"/>
      <c r="I4131" s="10"/>
      <c r="J4131" s="10"/>
      <c r="K4131" s="46"/>
      <c r="L4131" s="10"/>
      <c r="M4131" s="44" t="s">
        <v>10178</v>
      </c>
      <c r="N4131" s="45"/>
      <c r="O4131" s="20"/>
      <c r="P4131" s="20"/>
      <c r="Q4131" s="20"/>
      <c r="R4131" s="20"/>
      <c r="S4131" s="20"/>
    </row>
    <row r="4132">
      <c r="A4132" s="23"/>
      <c r="B4132" s="21"/>
      <c r="C4132" s="23"/>
      <c r="D4132" s="24"/>
      <c r="E4132" s="14"/>
      <c r="F4132" s="14"/>
      <c r="G4132" s="14"/>
      <c r="H4132" s="23"/>
      <c r="I4132" s="23"/>
      <c r="J4132" s="23"/>
      <c r="K4132" s="30"/>
      <c r="L4132" s="23"/>
      <c r="M4132" s="50" t="s">
        <v>10178</v>
      </c>
      <c r="N4132" s="51"/>
      <c r="O4132" s="20"/>
      <c r="P4132" s="20"/>
      <c r="Q4132" s="20"/>
      <c r="R4132" s="20"/>
      <c r="S4132" s="20"/>
    </row>
    <row r="4133">
      <c r="A4133" s="10"/>
      <c r="B4133" s="11"/>
      <c r="C4133" s="10"/>
      <c r="D4133" s="13"/>
      <c r="E4133" s="14"/>
      <c r="F4133" s="14"/>
      <c r="G4133" s="14"/>
      <c r="H4133" s="10"/>
      <c r="I4133" s="10"/>
      <c r="J4133" s="10"/>
      <c r="K4133" s="46"/>
      <c r="L4133" s="10"/>
      <c r="M4133" s="44" t="s">
        <v>10178</v>
      </c>
      <c r="N4133" s="45"/>
      <c r="O4133" s="20"/>
      <c r="P4133" s="20"/>
      <c r="Q4133" s="20"/>
      <c r="R4133" s="20"/>
      <c r="S4133" s="20"/>
    </row>
    <row r="4134">
      <c r="A4134" s="23"/>
      <c r="B4134" s="21"/>
      <c r="C4134" s="23"/>
      <c r="D4134" s="24"/>
      <c r="E4134" s="14"/>
      <c r="F4134" s="14"/>
      <c r="G4134" s="14"/>
      <c r="H4134" s="23"/>
      <c r="I4134" s="23"/>
      <c r="J4134" s="23"/>
      <c r="K4134" s="30"/>
      <c r="L4134" s="23"/>
      <c r="M4134" s="50" t="s">
        <v>10178</v>
      </c>
      <c r="N4134" s="51"/>
      <c r="O4134" s="20"/>
      <c r="P4134" s="20"/>
      <c r="Q4134" s="20"/>
      <c r="R4134" s="20"/>
      <c r="S4134" s="20"/>
    </row>
    <row r="4135">
      <c r="A4135" s="10"/>
      <c r="B4135" s="11"/>
      <c r="C4135" s="10"/>
      <c r="D4135" s="13"/>
      <c r="E4135" s="14"/>
      <c r="F4135" s="14"/>
      <c r="G4135" s="14"/>
      <c r="H4135" s="10"/>
      <c r="I4135" s="10"/>
      <c r="J4135" s="10"/>
      <c r="K4135" s="46"/>
      <c r="L4135" s="10"/>
      <c r="M4135" s="44" t="s">
        <v>10178</v>
      </c>
      <c r="N4135" s="45"/>
      <c r="O4135" s="20"/>
      <c r="P4135" s="20"/>
      <c r="Q4135" s="20"/>
      <c r="R4135" s="20"/>
      <c r="S4135" s="20"/>
    </row>
    <row r="4136">
      <c r="A4136" s="23"/>
      <c r="B4136" s="21"/>
      <c r="C4136" s="23"/>
      <c r="D4136" s="24"/>
      <c r="E4136" s="14"/>
      <c r="F4136" s="14"/>
      <c r="G4136" s="14"/>
      <c r="H4136" s="23"/>
      <c r="I4136" s="23"/>
      <c r="J4136" s="23"/>
      <c r="K4136" s="30"/>
      <c r="L4136" s="23"/>
      <c r="M4136" s="50" t="s">
        <v>10178</v>
      </c>
      <c r="N4136" s="51"/>
      <c r="O4136" s="20"/>
      <c r="P4136" s="20"/>
      <c r="Q4136" s="20"/>
      <c r="R4136" s="20"/>
      <c r="S4136" s="20"/>
    </row>
    <row r="4137">
      <c r="A4137" s="10"/>
      <c r="B4137" s="11"/>
      <c r="C4137" s="10"/>
      <c r="D4137" s="13"/>
      <c r="E4137" s="14"/>
      <c r="F4137" s="14"/>
      <c r="G4137" s="14"/>
      <c r="H4137" s="10"/>
      <c r="I4137" s="10"/>
      <c r="J4137" s="10"/>
      <c r="K4137" s="46"/>
      <c r="L4137" s="10"/>
      <c r="M4137" s="44" t="s">
        <v>10178</v>
      </c>
      <c r="N4137" s="45"/>
      <c r="O4137" s="20"/>
      <c r="P4137" s="20"/>
      <c r="Q4137" s="20"/>
      <c r="R4137" s="20"/>
      <c r="S4137" s="20"/>
    </row>
    <row r="4138">
      <c r="A4138" s="23"/>
      <c r="B4138" s="21"/>
      <c r="C4138" s="23"/>
      <c r="D4138" s="24"/>
      <c r="E4138" s="14"/>
      <c r="F4138" s="14"/>
      <c r="G4138" s="14"/>
      <c r="H4138" s="23"/>
      <c r="I4138" s="23"/>
      <c r="J4138" s="23"/>
      <c r="K4138" s="30"/>
      <c r="L4138" s="23"/>
      <c r="M4138" s="50" t="s">
        <v>10178</v>
      </c>
      <c r="N4138" s="51"/>
      <c r="O4138" s="20"/>
      <c r="P4138" s="20"/>
      <c r="Q4138" s="20"/>
      <c r="R4138" s="20"/>
      <c r="S4138" s="20"/>
    </row>
    <row r="4139">
      <c r="A4139" s="10"/>
      <c r="B4139" s="11"/>
      <c r="C4139" s="10"/>
      <c r="D4139" s="13"/>
      <c r="E4139" s="14"/>
      <c r="F4139" s="14"/>
      <c r="G4139" s="14"/>
      <c r="H4139" s="10"/>
      <c r="I4139" s="10"/>
      <c r="J4139" s="10"/>
      <c r="K4139" s="46"/>
      <c r="L4139" s="10"/>
      <c r="M4139" s="44" t="s">
        <v>10178</v>
      </c>
      <c r="N4139" s="45"/>
      <c r="O4139" s="20"/>
      <c r="P4139" s="20"/>
      <c r="Q4139" s="20"/>
      <c r="R4139" s="20"/>
      <c r="S4139" s="20"/>
    </row>
    <row r="4140">
      <c r="A4140" s="23"/>
      <c r="B4140" s="21"/>
      <c r="C4140" s="23"/>
      <c r="D4140" s="24"/>
      <c r="E4140" s="14"/>
      <c r="F4140" s="14"/>
      <c r="G4140" s="14"/>
      <c r="H4140" s="23"/>
      <c r="I4140" s="23"/>
      <c r="J4140" s="23"/>
      <c r="K4140" s="30"/>
      <c r="L4140" s="23"/>
      <c r="M4140" s="50" t="s">
        <v>10178</v>
      </c>
      <c r="N4140" s="51"/>
      <c r="O4140" s="20"/>
      <c r="P4140" s="20"/>
      <c r="Q4140" s="20"/>
      <c r="R4140" s="20"/>
      <c r="S4140" s="20"/>
    </row>
    <row r="4141">
      <c r="A4141" s="10"/>
      <c r="B4141" s="11"/>
      <c r="C4141" s="10"/>
      <c r="D4141" s="13"/>
      <c r="E4141" s="14"/>
      <c r="F4141" s="14"/>
      <c r="G4141" s="14"/>
      <c r="H4141" s="10"/>
      <c r="I4141" s="10"/>
      <c r="J4141" s="10"/>
      <c r="K4141" s="46"/>
      <c r="L4141" s="10"/>
      <c r="M4141" s="44" t="s">
        <v>10178</v>
      </c>
      <c r="N4141" s="45"/>
      <c r="O4141" s="20"/>
      <c r="P4141" s="20"/>
      <c r="Q4141" s="20"/>
      <c r="R4141" s="20"/>
      <c r="S4141" s="20"/>
    </row>
    <row r="4142">
      <c r="A4142" s="23"/>
      <c r="B4142" s="21"/>
      <c r="C4142" s="23"/>
      <c r="D4142" s="24"/>
      <c r="E4142" s="14"/>
      <c r="F4142" s="14"/>
      <c r="G4142" s="14"/>
      <c r="H4142" s="23"/>
      <c r="I4142" s="23"/>
      <c r="J4142" s="23"/>
      <c r="K4142" s="30"/>
      <c r="L4142" s="23"/>
      <c r="M4142" s="50" t="s">
        <v>10178</v>
      </c>
      <c r="N4142" s="51"/>
      <c r="O4142" s="20"/>
      <c r="P4142" s="20"/>
      <c r="Q4142" s="20"/>
      <c r="R4142" s="20"/>
      <c r="S4142" s="20"/>
    </row>
    <row r="4143">
      <c r="A4143" s="10"/>
      <c r="B4143" s="11"/>
      <c r="C4143" s="10"/>
      <c r="D4143" s="13"/>
      <c r="E4143" s="14"/>
      <c r="F4143" s="14"/>
      <c r="G4143" s="14"/>
      <c r="H4143" s="10"/>
      <c r="I4143" s="10"/>
      <c r="J4143" s="10"/>
      <c r="K4143" s="46"/>
      <c r="L4143" s="10"/>
      <c r="M4143" s="44" t="s">
        <v>10178</v>
      </c>
      <c r="N4143" s="45"/>
      <c r="O4143" s="20"/>
      <c r="P4143" s="20"/>
      <c r="Q4143" s="20"/>
      <c r="R4143" s="20"/>
      <c r="S4143" s="20"/>
    </row>
    <row r="4144">
      <c r="A4144" s="23"/>
      <c r="B4144" s="21"/>
      <c r="C4144" s="23"/>
      <c r="D4144" s="24"/>
      <c r="E4144" s="14"/>
      <c r="F4144" s="14"/>
      <c r="G4144" s="14"/>
      <c r="H4144" s="23"/>
      <c r="I4144" s="23"/>
      <c r="J4144" s="23"/>
      <c r="K4144" s="30"/>
      <c r="L4144" s="23"/>
      <c r="M4144" s="50" t="s">
        <v>10178</v>
      </c>
      <c r="N4144" s="51"/>
      <c r="O4144" s="20"/>
      <c r="P4144" s="20"/>
      <c r="Q4144" s="20"/>
      <c r="R4144" s="20"/>
      <c r="S4144" s="20"/>
    </row>
    <row r="4145">
      <c r="A4145" s="10"/>
      <c r="B4145" s="11"/>
      <c r="C4145" s="10"/>
      <c r="D4145" s="13"/>
      <c r="E4145" s="14"/>
      <c r="F4145" s="14"/>
      <c r="G4145" s="14"/>
      <c r="H4145" s="10"/>
      <c r="I4145" s="10"/>
      <c r="J4145" s="10"/>
      <c r="K4145" s="46"/>
      <c r="L4145" s="10"/>
      <c r="M4145" s="44" t="s">
        <v>10178</v>
      </c>
      <c r="N4145" s="45"/>
      <c r="O4145" s="20"/>
      <c r="P4145" s="20"/>
      <c r="Q4145" s="20"/>
      <c r="R4145" s="20"/>
      <c r="S4145" s="20"/>
    </row>
    <row r="4146">
      <c r="A4146" s="23"/>
      <c r="B4146" s="21"/>
      <c r="C4146" s="23"/>
      <c r="D4146" s="24"/>
      <c r="E4146" s="14"/>
      <c r="F4146" s="14"/>
      <c r="G4146" s="14"/>
      <c r="H4146" s="23"/>
      <c r="I4146" s="23"/>
      <c r="J4146" s="23"/>
      <c r="K4146" s="30"/>
      <c r="L4146" s="23"/>
      <c r="M4146" s="50" t="s">
        <v>10178</v>
      </c>
      <c r="N4146" s="51"/>
      <c r="O4146" s="20"/>
      <c r="P4146" s="20"/>
      <c r="Q4146" s="20"/>
      <c r="R4146" s="20"/>
      <c r="S4146" s="20"/>
    </row>
    <row r="4147">
      <c r="A4147" s="10"/>
      <c r="B4147" s="11"/>
      <c r="C4147" s="10"/>
      <c r="D4147" s="13"/>
      <c r="E4147" s="14"/>
      <c r="F4147" s="14"/>
      <c r="G4147" s="14"/>
      <c r="H4147" s="10"/>
      <c r="I4147" s="10"/>
      <c r="J4147" s="10"/>
      <c r="K4147" s="46"/>
      <c r="L4147" s="10"/>
      <c r="M4147" s="44" t="s">
        <v>10178</v>
      </c>
      <c r="N4147" s="45"/>
      <c r="O4147" s="20"/>
      <c r="P4147" s="20"/>
      <c r="Q4147" s="20"/>
      <c r="R4147" s="20"/>
      <c r="S4147" s="20"/>
    </row>
    <row r="4148">
      <c r="A4148" s="23"/>
      <c r="B4148" s="21"/>
      <c r="C4148" s="23"/>
      <c r="D4148" s="24"/>
      <c r="E4148" s="14"/>
      <c r="F4148" s="14"/>
      <c r="G4148" s="14"/>
      <c r="H4148" s="23"/>
      <c r="I4148" s="23"/>
      <c r="J4148" s="23"/>
      <c r="K4148" s="30"/>
      <c r="L4148" s="23"/>
      <c r="M4148" s="50" t="s">
        <v>10178</v>
      </c>
      <c r="N4148" s="51"/>
      <c r="O4148" s="20"/>
      <c r="P4148" s="20"/>
      <c r="Q4148" s="20"/>
      <c r="R4148" s="20"/>
      <c r="S4148" s="20"/>
    </row>
    <row r="4149">
      <c r="A4149" s="10"/>
      <c r="B4149" s="11"/>
      <c r="C4149" s="10"/>
      <c r="D4149" s="13"/>
      <c r="E4149" s="14"/>
      <c r="F4149" s="14"/>
      <c r="G4149" s="14"/>
      <c r="H4149" s="10"/>
      <c r="I4149" s="10"/>
      <c r="J4149" s="10"/>
      <c r="K4149" s="46"/>
      <c r="L4149" s="10"/>
      <c r="M4149" s="44" t="s">
        <v>10178</v>
      </c>
      <c r="N4149" s="45"/>
      <c r="O4149" s="20"/>
      <c r="P4149" s="20"/>
      <c r="Q4149" s="20"/>
      <c r="R4149" s="20"/>
      <c r="S4149" s="20"/>
    </row>
    <row r="4150">
      <c r="A4150" s="23"/>
      <c r="B4150" s="21"/>
      <c r="C4150" s="23"/>
      <c r="D4150" s="24"/>
      <c r="E4150" s="14"/>
      <c r="F4150" s="14"/>
      <c r="G4150" s="14"/>
      <c r="H4150" s="23"/>
      <c r="I4150" s="23"/>
      <c r="J4150" s="23"/>
      <c r="K4150" s="30"/>
      <c r="L4150" s="23"/>
      <c r="M4150" s="50" t="s">
        <v>10178</v>
      </c>
      <c r="N4150" s="51"/>
      <c r="O4150" s="20"/>
      <c r="P4150" s="20"/>
      <c r="Q4150" s="20"/>
      <c r="R4150" s="20"/>
      <c r="S4150" s="20"/>
    </row>
    <row r="4151">
      <c r="A4151" s="10"/>
      <c r="B4151" s="11"/>
      <c r="C4151" s="10"/>
      <c r="D4151" s="13"/>
      <c r="E4151" s="14"/>
      <c r="F4151" s="14"/>
      <c r="G4151" s="14"/>
      <c r="H4151" s="10"/>
      <c r="I4151" s="10"/>
      <c r="J4151" s="10"/>
      <c r="K4151" s="46"/>
      <c r="L4151" s="10"/>
      <c r="M4151" s="44" t="s">
        <v>10178</v>
      </c>
      <c r="N4151" s="45"/>
      <c r="O4151" s="20"/>
      <c r="P4151" s="20"/>
      <c r="Q4151" s="20"/>
      <c r="R4151" s="20"/>
      <c r="S4151" s="20"/>
    </row>
    <row r="4152">
      <c r="A4152" s="23"/>
      <c r="B4152" s="21"/>
      <c r="C4152" s="23"/>
      <c r="D4152" s="24"/>
      <c r="E4152" s="14"/>
      <c r="F4152" s="14"/>
      <c r="G4152" s="14"/>
      <c r="H4152" s="23"/>
      <c r="I4152" s="23"/>
      <c r="J4152" s="23"/>
      <c r="K4152" s="30"/>
      <c r="L4152" s="23"/>
      <c r="M4152" s="50" t="s">
        <v>10178</v>
      </c>
      <c r="N4152" s="51"/>
      <c r="O4152" s="20"/>
      <c r="P4152" s="20"/>
      <c r="Q4152" s="20"/>
      <c r="R4152" s="20"/>
      <c r="S4152" s="20"/>
    </row>
    <row r="4153">
      <c r="A4153" s="10"/>
      <c r="B4153" s="11"/>
      <c r="C4153" s="10"/>
      <c r="D4153" s="13"/>
      <c r="E4153" s="14"/>
      <c r="F4153" s="14"/>
      <c r="G4153" s="14"/>
      <c r="H4153" s="10"/>
      <c r="I4153" s="10"/>
      <c r="J4153" s="10"/>
      <c r="K4153" s="46"/>
      <c r="L4153" s="10"/>
      <c r="M4153" s="44" t="s">
        <v>10178</v>
      </c>
      <c r="N4153" s="45"/>
      <c r="O4153" s="20"/>
      <c r="P4153" s="20"/>
      <c r="Q4153" s="20"/>
      <c r="R4153" s="20"/>
      <c r="S4153" s="20"/>
    </row>
    <row r="4154">
      <c r="A4154" s="23"/>
      <c r="B4154" s="21"/>
      <c r="C4154" s="23"/>
      <c r="D4154" s="24"/>
      <c r="E4154" s="14"/>
      <c r="F4154" s="14"/>
      <c r="G4154" s="14"/>
      <c r="H4154" s="23"/>
      <c r="I4154" s="23"/>
      <c r="J4154" s="23"/>
      <c r="K4154" s="30"/>
      <c r="L4154" s="23"/>
      <c r="M4154" s="50" t="s">
        <v>10178</v>
      </c>
      <c r="N4154" s="51"/>
      <c r="O4154" s="20"/>
      <c r="P4154" s="20"/>
      <c r="Q4154" s="20"/>
      <c r="R4154" s="20"/>
      <c r="S4154" s="20"/>
    </row>
    <row r="4155">
      <c r="A4155" s="10"/>
      <c r="B4155" s="11"/>
      <c r="C4155" s="10"/>
      <c r="D4155" s="13"/>
      <c r="E4155" s="14"/>
      <c r="F4155" s="14"/>
      <c r="G4155" s="14"/>
      <c r="H4155" s="10"/>
      <c r="I4155" s="10"/>
      <c r="J4155" s="10"/>
      <c r="K4155" s="46"/>
      <c r="L4155" s="10"/>
      <c r="M4155" s="44" t="s">
        <v>10178</v>
      </c>
      <c r="N4155" s="45"/>
      <c r="O4155" s="20"/>
      <c r="P4155" s="20"/>
      <c r="Q4155" s="20"/>
      <c r="R4155" s="20"/>
      <c r="S4155" s="20"/>
    </row>
    <row r="4156">
      <c r="A4156" s="23"/>
      <c r="B4156" s="21"/>
      <c r="C4156" s="23"/>
      <c r="D4156" s="24"/>
      <c r="E4156" s="14"/>
      <c r="F4156" s="14"/>
      <c r="G4156" s="14"/>
      <c r="H4156" s="23"/>
      <c r="I4156" s="23"/>
      <c r="J4156" s="23"/>
      <c r="K4156" s="30"/>
      <c r="L4156" s="23"/>
      <c r="M4156" s="50" t="s">
        <v>10178</v>
      </c>
      <c r="N4156" s="51"/>
      <c r="O4156" s="20"/>
      <c r="P4156" s="20"/>
      <c r="Q4156" s="20"/>
      <c r="R4156" s="20"/>
      <c r="S4156" s="20"/>
    </row>
    <row r="4157">
      <c r="A4157" s="10"/>
      <c r="B4157" s="11"/>
      <c r="C4157" s="10"/>
      <c r="D4157" s="13"/>
      <c r="E4157" s="14"/>
      <c r="F4157" s="14"/>
      <c r="G4157" s="14"/>
      <c r="H4157" s="10"/>
      <c r="I4157" s="10"/>
      <c r="J4157" s="10"/>
      <c r="K4157" s="46"/>
      <c r="L4157" s="10"/>
      <c r="M4157" s="44" t="s">
        <v>10178</v>
      </c>
      <c r="N4157" s="45"/>
      <c r="O4157" s="20"/>
      <c r="P4157" s="20"/>
      <c r="Q4157" s="20"/>
      <c r="R4157" s="20"/>
      <c r="S4157" s="20"/>
    </row>
    <row r="4158">
      <c r="A4158" s="23"/>
      <c r="B4158" s="21"/>
      <c r="C4158" s="23"/>
      <c r="D4158" s="24"/>
      <c r="E4158" s="14"/>
      <c r="F4158" s="14"/>
      <c r="G4158" s="14"/>
      <c r="H4158" s="23"/>
      <c r="I4158" s="23"/>
      <c r="J4158" s="23"/>
      <c r="K4158" s="30"/>
      <c r="L4158" s="23"/>
      <c r="M4158" s="50" t="s">
        <v>10178</v>
      </c>
      <c r="N4158" s="51"/>
      <c r="O4158" s="20"/>
      <c r="P4158" s="20"/>
      <c r="Q4158" s="20"/>
      <c r="R4158" s="20"/>
      <c r="S4158" s="20"/>
    </row>
    <row r="4159">
      <c r="A4159" s="10"/>
      <c r="B4159" s="11"/>
      <c r="C4159" s="10"/>
      <c r="D4159" s="13"/>
      <c r="E4159" s="14"/>
      <c r="F4159" s="14"/>
      <c r="G4159" s="14"/>
      <c r="H4159" s="10"/>
      <c r="I4159" s="10"/>
      <c r="J4159" s="10"/>
      <c r="K4159" s="46"/>
      <c r="L4159" s="10"/>
      <c r="M4159" s="44" t="s">
        <v>10178</v>
      </c>
      <c r="N4159" s="45"/>
      <c r="O4159" s="20"/>
      <c r="P4159" s="20"/>
      <c r="Q4159" s="20"/>
      <c r="R4159" s="20"/>
      <c r="S4159" s="20"/>
    </row>
    <row r="4160">
      <c r="A4160" s="23"/>
      <c r="B4160" s="21"/>
      <c r="C4160" s="23"/>
      <c r="D4160" s="24"/>
      <c r="E4160" s="14"/>
      <c r="F4160" s="14"/>
      <c r="G4160" s="14"/>
      <c r="H4160" s="23"/>
      <c r="I4160" s="23"/>
      <c r="J4160" s="23"/>
      <c r="K4160" s="30"/>
      <c r="L4160" s="23"/>
      <c r="M4160" s="50" t="s">
        <v>10178</v>
      </c>
      <c r="N4160" s="51"/>
      <c r="O4160" s="20"/>
      <c r="P4160" s="20"/>
      <c r="Q4160" s="20"/>
      <c r="R4160" s="20"/>
      <c r="S4160" s="20"/>
    </row>
    <row r="4161">
      <c r="A4161" s="10"/>
      <c r="B4161" s="11"/>
      <c r="C4161" s="10"/>
      <c r="D4161" s="13"/>
      <c r="E4161" s="14"/>
      <c r="F4161" s="14"/>
      <c r="G4161" s="14"/>
      <c r="H4161" s="10"/>
      <c r="I4161" s="10"/>
      <c r="J4161" s="10"/>
      <c r="K4161" s="46"/>
      <c r="L4161" s="10"/>
      <c r="M4161" s="44" t="s">
        <v>10178</v>
      </c>
      <c r="N4161" s="45"/>
      <c r="O4161" s="20"/>
      <c r="P4161" s="20"/>
      <c r="Q4161" s="20"/>
      <c r="R4161" s="20"/>
      <c r="S4161" s="20"/>
    </row>
    <row r="4162">
      <c r="A4162" s="23"/>
      <c r="B4162" s="21"/>
      <c r="C4162" s="23"/>
      <c r="D4162" s="24"/>
      <c r="E4162" s="14"/>
      <c r="F4162" s="14"/>
      <c r="G4162" s="14"/>
      <c r="H4162" s="23"/>
      <c r="I4162" s="23"/>
      <c r="J4162" s="23"/>
      <c r="K4162" s="30"/>
      <c r="L4162" s="23"/>
      <c r="M4162" s="50" t="s">
        <v>10178</v>
      </c>
      <c r="N4162" s="51"/>
      <c r="O4162" s="20"/>
      <c r="P4162" s="20"/>
      <c r="Q4162" s="20"/>
      <c r="R4162" s="20"/>
      <c r="S4162" s="20"/>
    </row>
    <row r="4163">
      <c r="A4163" s="10"/>
      <c r="B4163" s="11"/>
      <c r="C4163" s="10"/>
      <c r="D4163" s="13"/>
      <c r="E4163" s="14"/>
      <c r="F4163" s="14"/>
      <c r="G4163" s="14"/>
      <c r="H4163" s="10"/>
      <c r="I4163" s="10"/>
      <c r="J4163" s="10"/>
      <c r="K4163" s="46"/>
      <c r="L4163" s="10"/>
      <c r="M4163" s="44" t="s">
        <v>10178</v>
      </c>
      <c r="N4163" s="45"/>
      <c r="O4163" s="20"/>
      <c r="P4163" s="20"/>
      <c r="Q4163" s="20"/>
      <c r="R4163" s="20"/>
      <c r="S4163" s="20"/>
    </row>
    <row r="4164">
      <c r="A4164" s="23"/>
      <c r="B4164" s="21"/>
      <c r="C4164" s="23"/>
      <c r="D4164" s="24"/>
      <c r="E4164" s="14"/>
      <c r="F4164" s="14"/>
      <c r="G4164" s="14"/>
      <c r="H4164" s="23"/>
      <c r="I4164" s="23"/>
      <c r="J4164" s="23"/>
      <c r="K4164" s="30"/>
      <c r="L4164" s="23"/>
      <c r="M4164" s="50" t="s">
        <v>10178</v>
      </c>
      <c r="N4164" s="51"/>
      <c r="O4164" s="20"/>
      <c r="P4164" s="20"/>
      <c r="Q4164" s="20"/>
      <c r="R4164" s="20"/>
      <c r="S4164" s="20"/>
    </row>
    <row r="4165">
      <c r="A4165" s="10"/>
      <c r="B4165" s="11"/>
      <c r="C4165" s="10"/>
      <c r="D4165" s="13"/>
      <c r="E4165" s="14"/>
      <c r="F4165" s="14"/>
      <c r="G4165" s="14"/>
      <c r="H4165" s="10"/>
      <c r="I4165" s="10"/>
      <c r="J4165" s="10"/>
      <c r="K4165" s="46"/>
      <c r="L4165" s="10"/>
      <c r="M4165" s="44" t="s">
        <v>10178</v>
      </c>
      <c r="N4165" s="45"/>
      <c r="O4165" s="20"/>
      <c r="P4165" s="20"/>
      <c r="Q4165" s="20"/>
      <c r="R4165" s="20"/>
      <c r="S4165" s="20"/>
    </row>
    <row r="4166">
      <c r="A4166" s="23"/>
      <c r="B4166" s="21"/>
      <c r="C4166" s="23"/>
      <c r="D4166" s="24"/>
      <c r="E4166" s="14"/>
      <c r="F4166" s="14"/>
      <c r="G4166" s="14"/>
      <c r="H4166" s="23"/>
      <c r="I4166" s="23"/>
      <c r="J4166" s="23"/>
      <c r="K4166" s="30"/>
      <c r="L4166" s="23"/>
      <c r="M4166" s="50" t="s">
        <v>10178</v>
      </c>
      <c r="N4166" s="51"/>
      <c r="O4166" s="20"/>
      <c r="P4166" s="20"/>
      <c r="Q4166" s="20"/>
      <c r="R4166" s="20"/>
      <c r="S4166" s="20"/>
    </row>
    <row r="4167">
      <c r="A4167" s="10"/>
      <c r="B4167" s="11"/>
      <c r="C4167" s="10"/>
      <c r="D4167" s="13"/>
      <c r="E4167" s="14"/>
      <c r="F4167" s="14"/>
      <c r="G4167" s="14"/>
      <c r="H4167" s="10"/>
      <c r="I4167" s="10"/>
      <c r="J4167" s="10"/>
      <c r="K4167" s="46"/>
      <c r="L4167" s="10"/>
      <c r="M4167" s="44" t="s">
        <v>10178</v>
      </c>
      <c r="N4167" s="45"/>
      <c r="O4167" s="20"/>
      <c r="P4167" s="20"/>
      <c r="Q4167" s="20"/>
      <c r="R4167" s="20"/>
      <c r="S4167" s="20"/>
    </row>
    <row r="4168">
      <c r="A4168" s="23"/>
      <c r="B4168" s="21"/>
      <c r="C4168" s="23"/>
      <c r="D4168" s="24"/>
      <c r="E4168" s="14"/>
      <c r="F4168" s="14"/>
      <c r="G4168" s="14"/>
      <c r="H4168" s="23"/>
      <c r="I4168" s="23"/>
      <c r="J4168" s="23"/>
      <c r="K4168" s="30"/>
      <c r="L4168" s="23"/>
      <c r="M4168" s="50" t="s">
        <v>10178</v>
      </c>
      <c r="N4168" s="51"/>
      <c r="O4168" s="20"/>
      <c r="P4168" s="20"/>
      <c r="Q4168" s="20"/>
      <c r="R4168" s="20"/>
      <c r="S4168" s="20"/>
    </row>
    <row r="4169">
      <c r="A4169" s="10"/>
      <c r="B4169" s="11"/>
      <c r="C4169" s="10"/>
      <c r="D4169" s="13"/>
      <c r="E4169" s="14"/>
      <c r="F4169" s="14"/>
      <c r="G4169" s="14"/>
      <c r="H4169" s="10"/>
      <c r="I4169" s="10"/>
      <c r="J4169" s="10"/>
      <c r="K4169" s="46"/>
      <c r="L4169" s="10"/>
      <c r="M4169" s="44" t="s">
        <v>10178</v>
      </c>
      <c r="N4169" s="45"/>
      <c r="O4169" s="20"/>
      <c r="P4169" s="20"/>
      <c r="Q4169" s="20"/>
      <c r="R4169" s="20"/>
      <c r="S4169" s="20"/>
    </row>
    <row r="4170">
      <c r="A4170" s="23"/>
      <c r="B4170" s="21"/>
      <c r="C4170" s="23"/>
      <c r="D4170" s="24"/>
      <c r="E4170" s="14"/>
      <c r="F4170" s="14"/>
      <c r="G4170" s="14"/>
      <c r="H4170" s="23"/>
      <c r="I4170" s="23"/>
      <c r="J4170" s="23"/>
      <c r="K4170" s="30"/>
      <c r="L4170" s="23"/>
      <c r="M4170" s="50" t="s">
        <v>10178</v>
      </c>
      <c r="N4170" s="51"/>
      <c r="O4170" s="20"/>
      <c r="P4170" s="20"/>
      <c r="Q4170" s="20"/>
      <c r="R4170" s="20"/>
      <c r="S4170" s="20"/>
    </row>
    <row r="4171">
      <c r="A4171" s="10"/>
      <c r="B4171" s="11"/>
      <c r="C4171" s="10"/>
      <c r="D4171" s="13"/>
      <c r="E4171" s="14"/>
      <c r="F4171" s="14"/>
      <c r="G4171" s="14"/>
      <c r="H4171" s="10"/>
      <c r="I4171" s="10"/>
      <c r="J4171" s="10"/>
      <c r="K4171" s="46"/>
      <c r="L4171" s="10"/>
      <c r="M4171" s="44" t="s">
        <v>10178</v>
      </c>
      <c r="N4171" s="45"/>
      <c r="O4171" s="20"/>
      <c r="P4171" s="20"/>
      <c r="Q4171" s="20"/>
      <c r="R4171" s="20"/>
      <c r="S4171" s="20"/>
    </row>
    <row r="4172">
      <c r="A4172" s="23"/>
      <c r="B4172" s="21"/>
      <c r="C4172" s="23"/>
      <c r="D4172" s="24"/>
      <c r="E4172" s="14"/>
      <c r="F4172" s="14"/>
      <c r="G4172" s="14"/>
      <c r="H4172" s="23"/>
      <c r="I4172" s="23"/>
      <c r="J4172" s="23"/>
      <c r="K4172" s="30"/>
      <c r="L4172" s="23"/>
      <c r="M4172" s="50" t="s">
        <v>10178</v>
      </c>
      <c r="N4172" s="51"/>
      <c r="O4172" s="20"/>
      <c r="P4172" s="20"/>
      <c r="Q4172" s="20"/>
      <c r="R4172" s="20"/>
      <c r="S4172" s="20"/>
    </row>
    <row r="4173">
      <c r="A4173" s="10"/>
      <c r="B4173" s="11"/>
      <c r="C4173" s="10"/>
      <c r="D4173" s="13"/>
      <c r="E4173" s="14"/>
      <c r="F4173" s="14"/>
      <c r="G4173" s="14"/>
      <c r="H4173" s="10"/>
      <c r="I4173" s="10"/>
      <c r="J4173" s="10"/>
      <c r="K4173" s="46"/>
      <c r="L4173" s="10"/>
      <c r="M4173" s="44" t="s">
        <v>10178</v>
      </c>
      <c r="N4173" s="45"/>
      <c r="O4173" s="20"/>
      <c r="P4173" s="20"/>
      <c r="Q4173" s="20"/>
      <c r="R4173" s="20"/>
      <c r="S4173" s="20"/>
    </row>
    <row r="4174">
      <c r="A4174" s="23"/>
      <c r="B4174" s="21"/>
      <c r="C4174" s="23"/>
      <c r="D4174" s="24"/>
      <c r="E4174" s="14"/>
      <c r="F4174" s="14"/>
      <c r="G4174" s="14"/>
      <c r="H4174" s="23"/>
      <c r="I4174" s="23"/>
      <c r="J4174" s="23"/>
      <c r="K4174" s="30"/>
      <c r="L4174" s="23"/>
      <c r="M4174" s="50" t="s">
        <v>10178</v>
      </c>
      <c r="N4174" s="51"/>
      <c r="O4174" s="20"/>
      <c r="P4174" s="20"/>
      <c r="Q4174" s="20"/>
      <c r="R4174" s="20"/>
      <c r="S4174" s="20"/>
    </row>
    <row r="4175">
      <c r="A4175" s="10"/>
      <c r="B4175" s="11"/>
      <c r="C4175" s="10"/>
      <c r="D4175" s="13"/>
      <c r="E4175" s="14"/>
      <c r="F4175" s="14"/>
      <c r="G4175" s="14"/>
      <c r="H4175" s="10"/>
      <c r="I4175" s="10"/>
      <c r="J4175" s="10"/>
      <c r="K4175" s="46"/>
      <c r="L4175" s="10"/>
      <c r="M4175" s="44" t="s">
        <v>10178</v>
      </c>
      <c r="N4175" s="45"/>
      <c r="O4175" s="20"/>
      <c r="P4175" s="20"/>
      <c r="Q4175" s="20"/>
      <c r="R4175" s="20"/>
      <c r="S4175" s="20"/>
    </row>
    <row r="4176">
      <c r="A4176" s="23"/>
      <c r="B4176" s="21"/>
      <c r="C4176" s="23"/>
      <c r="D4176" s="24"/>
      <c r="E4176" s="14"/>
      <c r="F4176" s="14"/>
      <c r="G4176" s="14"/>
      <c r="H4176" s="23"/>
      <c r="I4176" s="23"/>
      <c r="J4176" s="23"/>
      <c r="K4176" s="30"/>
      <c r="L4176" s="23"/>
      <c r="M4176" s="50" t="s">
        <v>10178</v>
      </c>
      <c r="N4176" s="51"/>
      <c r="O4176" s="20"/>
      <c r="P4176" s="20"/>
      <c r="Q4176" s="20"/>
      <c r="R4176" s="20"/>
      <c r="S4176" s="20"/>
    </row>
    <row r="4177">
      <c r="A4177" s="10"/>
      <c r="B4177" s="11"/>
      <c r="C4177" s="10"/>
      <c r="D4177" s="13"/>
      <c r="E4177" s="14"/>
      <c r="F4177" s="14"/>
      <c r="G4177" s="14"/>
      <c r="H4177" s="10"/>
      <c r="I4177" s="10"/>
      <c r="J4177" s="10"/>
      <c r="K4177" s="46"/>
      <c r="L4177" s="10"/>
      <c r="M4177" s="44" t="s">
        <v>10178</v>
      </c>
      <c r="N4177" s="45"/>
      <c r="O4177" s="20"/>
      <c r="P4177" s="20"/>
      <c r="Q4177" s="20"/>
      <c r="R4177" s="20"/>
      <c r="S4177" s="20"/>
    </row>
    <row r="4178">
      <c r="A4178" s="23"/>
      <c r="B4178" s="21"/>
      <c r="C4178" s="23"/>
      <c r="D4178" s="24"/>
      <c r="E4178" s="14"/>
      <c r="F4178" s="14"/>
      <c r="G4178" s="14"/>
      <c r="H4178" s="23"/>
      <c r="I4178" s="23"/>
      <c r="J4178" s="23"/>
      <c r="K4178" s="30"/>
      <c r="L4178" s="23"/>
      <c r="M4178" s="50" t="s">
        <v>10178</v>
      </c>
      <c r="N4178" s="51"/>
      <c r="O4178" s="20"/>
      <c r="P4178" s="20"/>
      <c r="Q4178" s="20"/>
      <c r="R4178" s="20"/>
      <c r="S4178" s="20"/>
    </row>
    <row r="4179">
      <c r="A4179" s="10"/>
      <c r="B4179" s="11"/>
      <c r="C4179" s="10"/>
      <c r="D4179" s="13"/>
      <c r="E4179" s="14"/>
      <c r="F4179" s="14"/>
      <c r="G4179" s="14"/>
      <c r="H4179" s="10"/>
      <c r="I4179" s="10"/>
      <c r="J4179" s="10"/>
      <c r="K4179" s="46"/>
      <c r="L4179" s="10"/>
      <c r="M4179" s="44" t="s">
        <v>10178</v>
      </c>
      <c r="N4179" s="45"/>
      <c r="O4179" s="20"/>
      <c r="P4179" s="20"/>
      <c r="Q4179" s="20"/>
      <c r="R4179" s="20"/>
      <c r="S4179" s="20"/>
    </row>
    <row r="4180">
      <c r="A4180" s="23"/>
      <c r="B4180" s="21"/>
      <c r="C4180" s="23"/>
      <c r="D4180" s="24"/>
      <c r="E4180" s="14"/>
      <c r="F4180" s="14"/>
      <c r="G4180" s="14"/>
      <c r="H4180" s="23"/>
      <c r="I4180" s="23"/>
      <c r="J4180" s="23"/>
      <c r="K4180" s="30"/>
      <c r="L4180" s="23"/>
      <c r="M4180" s="50" t="s">
        <v>10178</v>
      </c>
      <c r="N4180" s="51"/>
      <c r="O4180" s="20"/>
      <c r="P4180" s="20"/>
      <c r="Q4180" s="20"/>
      <c r="R4180" s="20"/>
      <c r="S4180" s="20"/>
    </row>
    <row r="4181">
      <c r="A4181" s="10"/>
      <c r="B4181" s="11"/>
      <c r="C4181" s="10"/>
      <c r="D4181" s="13"/>
      <c r="E4181" s="14"/>
      <c r="F4181" s="14"/>
      <c r="G4181" s="14"/>
      <c r="H4181" s="10"/>
      <c r="I4181" s="10"/>
      <c r="J4181" s="10"/>
      <c r="K4181" s="46"/>
      <c r="L4181" s="10"/>
      <c r="M4181" s="44" t="s">
        <v>10178</v>
      </c>
      <c r="N4181" s="45"/>
      <c r="O4181" s="20"/>
      <c r="P4181" s="20"/>
      <c r="Q4181" s="20"/>
      <c r="R4181" s="20"/>
      <c r="S4181" s="20"/>
    </row>
    <row r="4182">
      <c r="A4182" s="23"/>
      <c r="B4182" s="21"/>
      <c r="C4182" s="23"/>
      <c r="D4182" s="24"/>
      <c r="E4182" s="14"/>
      <c r="F4182" s="14"/>
      <c r="G4182" s="14"/>
      <c r="H4182" s="23"/>
      <c r="I4182" s="23"/>
      <c r="J4182" s="23"/>
      <c r="K4182" s="30"/>
      <c r="L4182" s="23"/>
      <c r="M4182" s="50" t="s">
        <v>10178</v>
      </c>
      <c r="N4182" s="51"/>
      <c r="O4182" s="20"/>
      <c r="P4182" s="20"/>
      <c r="Q4182" s="20"/>
      <c r="R4182" s="20"/>
      <c r="S4182" s="20"/>
    </row>
    <row r="4183">
      <c r="A4183" s="10"/>
      <c r="B4183" s="11"/>
      <c r="C4183" s="10"/>
      <c r="D4183" s="13"/>
      <c r="E4183" s="14"/>
      <c r="F4183" s="14"/>
      <c r="G4183" s="14"/>
      <c r="H4183" s="10"/>
      <c r="I4183" s="10"/>
      <c r="J4183" s="10"/>
      <c r="K4183" s="46"/>
      <c r="L4183" s="10"/>
      <c r="M4183" s="44" t="s">
        <v>10178</v>
      </c>
      <c r="N4183" s="45"/>
      <c r="O4183" s="20"/>
      <c r="P4183" s="20"/>
      <c r="Q4183" s="20"/>
      <c r="R4183" s="20"/>
      <c r="S4183" s="20"/>
    </row>
    <row r="4184">
      <c r="A4184" s="23"/>
      <c r="B4184" s="21"/>
      <c r="C4184" s="23"/>
      <c r="D4184" s="24"/>
      <c r="E4184" s="14"/>
      <c r="F4184" s="14"/>
      <c r="G4184" s="14"/>
      <c r="H4184" s="23"/>
      <c r="I4184" s="23"/>
      <c r="J4184" s="23"/>
      <c r="K4184" s="30"/>
      <c r="L4184" s="23"/>
      <c r="M4184" s="50" t="s">
        <v>10178</v>
      </c>
      <c r="N4184" s="51"/>
      <c r="O4184" s="20"/>
      <c r="P4184" s="20"/>
      <c r="Q4184" s="20"/>
      <c r="R4184" s="20"/>
      <c r="S4184" s="20"/>
    </row>
    <row r="4185">
      <c r="A4185" s="10"/>
      <c r="B4185" s="11"/>
      <c r="C4185" s="10"/>
      <c r="D4185" s="13"/>
      <c r="E4185" s="14"/>
      <c r="F4185" s="14"/>
      <c r="G4185" s="14"/>
      <c r="H4185" s="10"/>
      <c r="I4185" s="10"/>
      <c r="J4185" s="10"/>
      <c r="K4185" s="46"/>
      <c r="L4185" s="10"/>
      <c r="M4185" s="44" t="s">
        <v>10178</v>
      </c>
      <c r="N4185" s="45"/>
      <c r="O4185" s="20"/>
      <c r="P4185" s="20"/>
      <c r="Q4185" s="20"/>
      <c r="R4185" s="20"/>
      <c r="S4185" s="20"/>
    </row>
    <row r="4186">
      <c r="A4186" s="23"/>
      <c r="B4186" s="21"/>
      <c r="C4186" s="23"/>
      <c r="D4186" s="24"/>
      <c r="E4186" s="14"/>
      <c r="F4186" s="14"/>
      <c r="G4186" s="14"/>
      <c r="H4186" s="23"/>
      <c r="I4186" s="23"/>
      <c r="J4186" s="23"/>
      <c r="K4186" s="30"/>
      <c r="L4186" s="23"/>
      <c r="M4186" s="50" t="s">
        <v>10178</v>
      </c>
      <c r="N4186" s="51"/>
      <c r="O4186" s="20"/>
      <c r="P4186" s="20"/>
      <c r="Q4186" s="20"/>
      <c r="R4186" s="20"/>
      <c r="S4186" s="20"/>
    </row>
    <row r="4187">
      <c r="A4187" s="10"/>
      <c r="B4187" s="11"/>
      <c r="C4187" s="10"/>
      <c r="D4187" s="13"/>
      <c r="E4187" s="14"/>
      <c r="F4187" s="14"/>
      <c r="G4187" s="14"/>
      <c r="H4187" s="10"/>
      <c r="I4187" s="10"/>
      <c r="J4187" s="10"/>
      <c r="K4187" s="46"/>
      <c r="L4187" s="10"/>
      <c r="M4187" s="44" t="s">
        <v>10178</v>
      </c>
      <c r="N4187" s="45"/>
      <c r="O4187" s="20"/>
      <c r="P4187" s="20"/>
      <c r="Q4187" s="20"/>
      <c r="R4187" s="20"/>
      <c r="S4187" s="20"/>
    </row>
    <row r="4188">
      <c r="A4188" s="23"/>
      <c r="B4188" s="21"/>
      <c r="C4188" s="23"/>
      <c r="D4188" s="24"/>
      <c r="E4188" s="14"/>
      <c r="F4188" s="14"/>
      <c r="G4188" s="14"/>
      <c r="H4188" s="23"/>
      <c r="I4188" s="23"/>
      <c r="J4188" s="23"/>
      <c r="K4188" s="30"/>
      <c r="L4188" s="23"/>
      <c r="M4188" s="50" t="s">
        <v>10178</v>
      </c>
      <c r="N4188" s="51"/>
      <c r="O4188" s="20"/>
      <c r="P4188" s="20"/>
      <c r="Q4188" s="20"/>
      <c r="R4188" s="20"/>
      <c r="S4188" s="20"/>
    </row>
    <row r="4189">
      <c r="A4189" s="10"/>
      <c r="B4189" s="11"/>
      <c r="C4189" s="10"/>
      <c r="D4189" s="13"/>
      <c r="E4189" s="14"/>
      <c r="F4189" s="14"/>
      <c r="G4189" s="14"/>
      <c r="H4189" s="10"/>
      <c r="I4189" s="10"/>
      <c r="J4189" s="10"/>
      <c r="K4189" s="46"/>
      <c r="L4189" s="10"/>
      <c r="M4189" s="44" t="s">
        <v>10178</v>
      </c>
      <c r="N4189" s="45"/>
      <c r="O4189" s="20"/>
      <c r="P4189" s="20"/>
      <c r="Q4189" s="20"/>
      <c r="R4189" s="20"/>
      <c r="S4189" s="20"/>
    </row>
    <row r="4190">
      <c r="A4190" s="23"/>
      <c r="B4190" s="21"/>
      <c r="C4190" s="23"/>
      <c r="D4190" s="24"/>
      <c r="E4190" s="14"/>
      <c r="F4190" s="14"/>
      <c r="G4190" s="14"/>
      <c r="H4190" s="23"/>
      <c r="I4190" s="23"/>
      <c r="J4190" s="23"/>
      <c r="K4190" s="30"/>
      <c r="L4190" s="23"/>
      <c r="M4190" s="50" t="s">
        <v>10178</v>
      </c>
      <c r="N4190" s="51"/>
      <c r="O4190" s="20"/>
      <c r="P4190" s="20"/>
      <c r="Q4190" s="20"/>
      <c r="R4190" s="20"/>
      <c r="S4190" s="20"/>
    </row>
    <row r="4191">
      <c r="A4191" s="10"/>
      <c r="B4191" s="11"/>
      <c r="C4191" s="10"/>
      <c r="D4191" s="13"/>
      <c r="E4191" s="14"/>
      <c r="F4191" s="14"/>
      <c r="G4191" s="14"/>
      <c r="H4191" s="10"/>
      <c r="I4191" s="10"/>
      <c r="J4191" s="10"/>
      <c r="K4191" s="46"/>
      <c r="L4191" s="10"/>
      <c r="M4191" s="44" t="s">
        <v>10178</v>
      </c>
      <c r="N4191" s="45"/>
      <c r="O4191" s="20"/>
      <c r="P4191" s="20"/>
      <c r="Q4191" s="20"/>
      <c r="R4191" s="20"/>
      <c r="S4191" s="20"/>
    </row>
    <row r="4192">
      <c r="A4192" s="23"/>
      <c r="B4192" s="21"/>
      <c r="C4192" s="23"/>
      <c r="D4192" s="24"/>
      <c r="E4192" s="14"/>
      <c r="F4192" s="14"/>
      <c r="G4192" s="14"/>
      <c r="H4192" s="23"/>
      <c r="I4192" s="23"/>
      <c r="J4192" s="23"/>
      <c r="K4192" s="30"/>
      <c r="L4192" s="23"/>
      <c r="M4192" s="50" t="s">
        <v>10178</v>
      </c>
      <c r="N4192" s="51"/>
      <c r="O4192" s="20"/>
      <c r="P4192" s="20"/>
      <c r="Q4192" s="20"/>
      <c r="R4192" s="20"/>
      <c r="S4192" s="20"/>
    </row>
    <row r="4193">
      <c r="A4193" s="10"/>
      <c r="B4193" s="11"/>
      <c r="C4193" s="10"/>
      <c r="D4193" s="13"/>
      <c r="E4193" s="14"/>
      <c r="F4193" s="14"/>
      <c r="G4193" s="14"/>
      <c r="H4193" s="10"/>
      <c r="I4193" s="10"/>
      <c r="J4193" s="10"/>
      <c r="K4193" s="46"/>
      <c r="L4193" s="10"/>
      <c r="M4193" s="44" t="s">
        <v>10178</v>
      </c>
      <c r="N4193" s="45"/>
      <c r="O4193" s="20"/>
      <c r="P4193" s="20"/>
      <c r="Q4193" s="20"/>
      <c r="R4193" s="20"/>
      <c r="S4193" s="20"/>
    </row>
    <row r="4194">
      <c r="A4194" s="23"/>
      <c r="B4194" s="21"/>
      <c r="C4194" s="23"/>
      <c r="D4194" s="24"/>
      <c r="E4194" s="14"/>
      <c r="F4194" s="14"/>
      <c r="G4194" s="14"/>
      <c r="H4194" s="23"/>
      <c r="I4194" s="23"/>
      <c r="J4194" s="23"/>
      <c r="K4194" s="30"/>
      <c r="L4194" s="23"/>
      <c r="M4194" s="50" t="s">
        <v>10178</v>
      </c>
      <c r="N4194" s="51"/>
      <c r="O4194" s="20"/>
      <c r="P4194" s="20"/>
      <c r="Q4194" s="20"/>
      <c r="R4194" s="20"/>
      <c r="S4194" s="20"/>
    </row>
    <row r="4195">
      <c r="A4195" s="10"/>
      <c r="B4195" s="11"/>
      <c r="C4195" s="10"/>
      <c r="D4195" s="13"/>
      <c r="E4195" s="14"/>
      <c r="F4195" s="14"/>
      <c r="G4195" s="14"/>
      <c r="H4195" s="10"/>
      <c r="I4195" s="10"/>
      <c r="J4195" s="10"/>
      <c r="K4195" s="46"/>
      <c r="L4195" s="10"/>
      <c r="M4195" s="44" t="s">
        <v>10178</v>
      </c>
      <c r="N4195" s="45"/>
      <c r="O4195" s="20"/>
      <c r="P4195" s="20"/>
      <c r="Q4195" s="20"/>
      <c r="R4195" s="20"/>
      <c r="S4195" s="20"/>
    </row>
    <row r="4196">
      <c r="A4196" s="23"/>
      <c r="B4196" s="21"/>
      <c r="C4196" s="23"/>
      <c r="D4196" s="24"/>
      <c r="E4196" s="14"/>
      <c r="F4196" s="14"/>
      <c r="G4196" s="14"/>
      <c r="H4196" s="23"/>
      <c r="I4196" s="23"/>
      <c r="J4196" s="23"/>
      <c r="K4196" s="30"/>
      <c r="L4196" s="23"/>
      <c r="M4196" s="50" t="s">
        <v>10178</v>
      </c>
      <c r="N4196" s="51"/>
      <c r="O4196" s="20"/>
      <c r="P4196" s="20"/>
      <c r="Q4196" s="20"/>
      <c r="R4196" s="20"/>
      <c r="S4196" s="20"/>
    </row>
    <row r="4197">
      <c r="A4197" s="10"/>
      <c r="B4197" s="11"/>
      <c r="C4197" s="10"/>
      <c r="D4197" s="13"/>
      <c r="E4197" s="14"/>
      <c r="F4197" s="14"/>
      <c r="G4197" s="14"/>
      <c r="H4197" s="10"/>
      <c r="I4197" s="10"/>
      <c r="J4197" s="10"/>
      <c r="K4197" s="46"/>
      <c r="L4197" s="10"/>
      <c r="M4197" s="44" t="s">
        <v>10178</v>
      </c>
      <c r="N4197" s="45"/>
      <c r="O4197" s="20"/>
      <c r="P4197" s="20"/>
      <c r="Q4197" s="20"/>
      <c r="R4197" s="20"/>
      <c r="S4197" s="20"/>
    </row>
    <row r="4198">
      <c r="A4198" s="23"/>
      <c r="B4198" s="21"/>
      <c r="C4198" s="23"/>
      <c r="D4198" s="24"/>
      <c r="E4198" s="14"/>
      <c r="F4198" s="14"/>
      <c r="G4198" s="14"/>
      <c r="H4198" s="23"/>
      <c r="I4198" s="23"/>
      <c r="J4198" s="23"/>
      <c r="K4198" s="30"/>
      <c r="L4198" s="23"/>
      <c r="M4198" s="50" t="s">
        <v>10178</v>
      </c>
      <c r="N4198" s="51"/>
      <c r="O4198" s="20"/>
      <c r="P4198" s="20"/>
      <c r="Q4198" s="20"/>
      <c r="R4198" s="20"/>
      <c r="S4198" s="20"/>
    </row>
    <row r="4199">
      <c r="A4199" s="10"/>
      <c r="B4199" s="11"/>
      <c r="C4199" s="10"/>
      <c r="D4199" s="13"/>
      <c r="E4199" s="14"/>
      <c r="F4199" s="14"/>
      <c r="G4199" s="14"/>
      <c r="H4199" s="10"/>
      <c r="I4199" s="10"/>
      <c r="J4199" s="10"/>
      <c r="K4199" s="46"/>
      <c r="L4199" s="10"/>
      <c r="M4199" s="44" t="s">
        <v>10178</v>
      </c>
      <c r="N4199" s="45"/>
      <c r="O4199" s="20"/>
      <c r="P4199" s="20"/>
      <c r="Q4199" s="20"/>
      <c r="R4199" s="20"/>
      <c r="S4199" s="20"/>
    </row>
    <row r="4200">
      <c r="A4200" s="23"/>
      <c r="B4200" s="21"/>
      <c r="C4200" s="23"/>
      <c r="D4200" s="24"/>
      <c r="E4200" s="14"/>
      <c r="F4200" s="14"/>
      <c r="G4200" s="14"/>
      <c r="H4200" s="23"/>
      <c r="I4200" s="23"/>
      <c r="J4200" s="23"/>
      <c r="K4200" s="30"/>
      <c r="L4200" s="23"/>
      <c r="M4200" s="50" t="s">
        <v>10178</v>
      </c>
      <c r="N4200" s="51"/>
      <c r="O4200" s="20"/>
      <c r="P4200" s="20"/>
      <c r="Q4200" s="20"/>
      <c r="R4200" s="20"/>
      <c r="S4200" s="20"/>
    </row>
    <row r="4201">
      <c r="A4201" s="10"/>
      <c r="B4201" s="11"/>
      <c r="C4201" s="10"/>
      <c r="D4201" s="13"/>
      <c r="E4201" s="14"/>
      <c r="F4201" s="14"/>
      <c r="G4201" s="14"/>
      <c r="H4201" s="10"/>
      <c r="I4201" s="10"/>
      <c r="J4201" s="10"/>
      <c r="K4201" s="46"/>
      <c r="L4201" s="10"/>
      <c r="M4201" s="44" t="s">
        <v>10178</v>
      </c>
      <c r="N4201" s="45"/>
      <c r="O4201" s="20"/>
      <c r="P4201" s="20"/>
      <c r="Q4201" s="20"/>
      <c r="R4201" s="20"/>
      <c r="S4201" s="20"/>
    </row>
    <row r="4202">
      <c r="A4202" s="23"/>
      <c r="B4202" s="21"/>
      <c r="C4202" s="23"/>
      <c r="D4202" s="24"/>
      <c r="E4202" s="14"/>
      <c r="F4202" s="14"/>
      <c r="G4202" s="14"/>
      <c r="H4202" s="23"/>
      <c r="I4202" s="23"/>
      <c r="J4202" s="23"/>
      <c r="K4202" s="30"/>
      <c r="L4202" s="23"/>
      <c r="M4202" s="50" t="s">
        <v>10178</v>
      </c>
      <c r="N4202" s="51"/>
      <c r="O4202" s="20"/>
      <c r="P4202" s="20"/>
      <c r="Q4202" s="20"/>
      <c r="R4202" s="20"/>
      <c r="S4202" s="20"/>
    </row>
    <row r="4203">
      <c r="A4203" s="10"/>
      <c r="B4203" s="11"/>
      <c r="C4203" s="10"/>
      <c r="D4203" s="13"/>
      <c r="E4203" s="14"/>
      <c r="F4203" s="14"/>
      <c r="G4203" s="14"/>
      <c r="H4203" s="10"/>
      <c r="I4203" s="10"/>
      <c r="J4203" s="10"/>
      <c r="K4203" s="46"/>
      <c r="L4203" s="10"/>
      <c r="M4203" s="44" t="s">
        <v>10178</v>
      </c>
      <c r="N4203" s="45"/>
      <c r="O4203" s="20"/>
      <c r="P4203" s="20"/>
      <c r="Q4203" s="20"/>
      <c r="R4203" s="20"/>
      <c r="S4203" s="20"/>
    </row>
    <row r="4204">
      <c r="A4204" s="23"/>
      <c r="B4204" s="21"/>
      <c r="C4204" s="23"/>
      <c r="D4204" s="24"/>
      <c r="E4204" s="14"/>
      <c r="F4204" s="14"/>
      <c r="G4204" s="14"/>
      <c r="H4204" s="23"/>
      <c r="I4204" s="23"/>
      <c r="J4204" s="23"/>
      <c r="K4204" s="30"/>
      <c r="L4204" s="23"/>
      <c r="M4204" s="50" t="s">
        <v>10178</v>
      </c>
      <c r="N4204" s="51"/>
      <c r="O4204" s="20"/>
      <c r="P4204" s="20"/>
      <c r="Q4204" s="20"/>
      <c r="R4204" s="20"/>
      <c r="S4204" s="20"/>
    </row>
    <row r="4205">
      <c r="A4205" s="10"/>
      <c r="B4205" s="11"/>
      <c r="C4205" s="10"/>
      <c r="D4205" s="13"/>
      <c r="E4205" s="14"/>
      <c r="F4205" s="14"/>
      <c r="G4205" s="14"/>
      <c r="H4205" s="10"/>
      <c r="I4205" s="10"/>
      <c r="J4205" s="10"/>
      <c r="K4205" s="46"/>
      <c r="L4205" s="10"/>
      <c r="M4205" s="44" t="s">
        <v>10178</v>
      </c>
      <c r="N4205" s="45"/>
      <c r="O4205" s="20"/>
      <c r="P4205" s="20"/>
      <c r="Q4205" s="20"/>
      <c r="R4205" s="20"/>
      <c r="S4205" s="20"/>
    </row>
    <row r="4206">
      <c r="A4206" s="23"/>
      <c r="B4206" s="21"/>
      <c r="C4206" s="23"/>
      <c r="D4206" s="24"/>
      <c r="E4206" s="14"/>
      <c r="F4206" s="14"/>
      <c r="G4206" s="14"/>
      <c r="H4206" s="23"/>
      <c r="I4206" s="23"/>
      <c r="J4206" s="23"/>
      <c r="K4206" s="30"/>
      <c r="L4206" s="23"/>
      <c r="M4206" s="50" t="s">
        <v>10178</v>
      </c>
      <c r="N4206" s="51"/>
      <c r="O4206" s="20"/>
      <c r="P4206" s="20"/>
      <c r="Q4206" s="20"/>
      <c r="R4206" s="20"/>
      <c r="S4206" s="20"/>
    </row>
    <row r="4207">
      <c r="A4207" s="10"/>
      <c r="B4207" s="11"/>
      <c r="C4207" s="10"/>
      <c r="D4207" s="13"/>
      <c r="E4207" s="14"/>
      <c r="F4207" s="14"/>
      <c r="G4207" s="14"/>
      <c r="H4207" s="10"/>
      <c r="I4207" s="10"/>
      <c r="J4207" s="10"/>
      <c r="K4207" s="46"/>
      <c r="L4207" s="10"/>
      <c r="M4207" s="44" t="s">
        <v>10178</v>
      </c>
      <c r="N4207" s="45"/>
      <c r="O4207" s="20"/>
      <c r="P4207" s="20"/>
      <c r="Q4207" s="20"/>
      <c r="R4207" s="20"/>
      <c r="S4207" s="20"/>
    </row>
    <row r="4208">
      <c r="A4208" s="23"/>
      <c r="B4208" s="21"/>
      <c r="C4208" s="23"/>
      <c r="D4208" s="24"/>
      <c r="E4208" s="14"/>
      <c r="F4208" s="14"/>
      <c r="G4208" s="14"/>
      <c r="H4208" s="23"/>
      <c r="I4208" s="23"/>
      <c r="J4208" s="23"/>
      <c r="K4208" s="30"/>
      <c r="L4208" s="23"/>
      <c r="M4208" s="50" t="s">
        <v>10178</v>
      </c>
      <c r="N4208" s="51"/>
      <c r="O4208" s="20"/>
      <c r="P4208" s="20"/>
      <c r="Q4208" s="20"/>
      <c r="R4208" s="20"/>
      <c r="S4208" s="20"/>
    </row>
    <row r="4209">
      <c r="A4209" s="10"/>
      <c r="B4209" s="11"/>
      <c r="C4209" s="10"/>
      <c r="D4209" s="13"/>
      <c r="E4209" s="14"/>
      <c r="F4209" s="14"/>
      <c r="G4209" s="14"/>
      <c r="H4209" s="10"/>
      <c r="I4209" s="10"/>
      <c r="J4209" s="10"/>
      <c r="K4209" s="46"/>
      <c r="L4209" s="10"/>
      <c r="M4209" s="44" t="s">
        <v>10178</v>
      </c>
      <c r="N4209" s="45"/>
      <c r="O4209" s="20"/>
      <c r="P4209" s="20"/>
      <c r="Q4209" s="20"/>
      <c r="R4209" s="20"/>
      <c r="S4209" s="20"/>
    </row>
    <row r="4210">
      <c r="A4210" s="23"/>
      <c r="B4210" s="21"/>
      <c r="C4210" s="23"/>
      <c r="D4210" s="24"/>
      <c r="E4210" s="14"/>
      <c r="F4210" s="14"/>
      <c r="G4210" s="14"/>
      <c r="H4210" s="23"/>
      <c r="I4210" s="23"/>
      <c r="J4210" s="23"/>
      <c r="K4210" s="30"/>
      <c r="L4210" s="23"/>
      <c r="M4210" s="50" t="s">
        <v>10178</v>
      </c>
      <c r="N4210" s="51"/>
      <c r="O4210" s="20"/>
      <c r="P4210" s="20"/>
      <c r="Q4210" s="20"/>
      <c r="R4210" s="20"/>
      <c r="S4210" s="20"/>
    </row>
    <row r="4211">
      <c r="A4211" s="10"/>
      <c r="B4211" s="11"/>
      <c r="C4211" s="10"/>
      <c r="D4211" s="13"/>
      <c r="E4211" s="14"/>
      <c r="F4211" s="14"/>
      <c r="G4211" s="14"/>
      <c r="H4211" s="10"/>
      <c r="I4211" s="10"/>
      <c r="J4211" s="10"/>
      <c r="K4211" s="46"/>
      <c r="L4211" s="10"/>
      <c r="M4211" s="44" t="s">
        <v>10178</v>
      </c>
      <c r="N4211" s="45"/>
      <c r="O4211" s="20"/>
      <c r="P4211" s="20"/>
      <c r="Q4211" s="20"/>
      <c r="R4211" s="20"/>
      <c r="S4211" s="20"/>
    </row>
    <row r="4212">
      <c r="A4212" s="23"/>
      <c r="B4212" s="21"/>
      <c r="C4212" s="23"/>
      <c r="D4212" s="24"/>
      <c r="E4212" s="14"/>
      <c r="F4212" s="14"/>
      <c r="G4212" s="14"/>
      <c r="H4212" s="23"/>
      <c r="I4212" s="23"/>
      <c r="J4212" s="23"/>
      <c r="K4212" s="30"/>
      <c r="L4212" s="23"/>
      <c r="M4212" s="50" t="s">
        <v>10178</v>
      </c>
      <c r="N4212" s="51"/>
      <c r="O4212" s="20"/>
      <c r="P4212" s="20"/>
      <c r="Q4212" s="20"/>
      <c r="R4212" s="20"/>
      <c r="S4212" s="20"/>
    </row>
    <row r="4213">
      <c r="A4213" s="10"/>
      <c r="B4213" s="11"/>
      <c r="C4213" s="10"/>
      <c r="D4213" s="13"/>
      <c r="E4213" s="14"/>
      <c r="F4213" s="14"/>
      <c r="G4213" s="14"/>
      <c r="H4213" s="10"/>
      <c r="I4213" s="10"/>
      <c r="J4213" s="10"/>
      <c r="K4213" s="46"/>
      <c r="L4213" s="10"/>
      <c r="M4213" s="44" t="s">
        <v>10178</v>
      </c>
      <c r="N4213" s="45"/>
      <c r="O4213" s="20"/>
      <c r="P4213" s="20"/>
      <c r="Q4213" s="20"/>
      <c r="R4213" s="20"/>
      <c r="S4213" s="20"/>
    </row>
    <row r="4214">
      <c r="A4214" s="23"/>
      <c r="B4214" s="21"/>
      <c r="C4214" s="23"/>
      <c r="D4214" s="24"/>
      <c r="E4214" s="14"/>
      <c r="F4214" s="14"/>
      <c r="G4214" s="14"/>
      <c r="H4214" s="23"/>
      <c r="I4214" s="23"/>
      <c r="J4214" s="23"/>
      <c r="K4214" s="30"/>
      <c r="L4214" s="23"/>
      <c r="M4214" s="50" t="s">
        <v>10178</v>
      </c>
      <c r="N4214" s="51"/>
      <c r="O4214" s="20"/>
      <c r="P4214" s="20"/>
      <c r="Q4214" s="20"/>
      <c r="R4214" s="20"/>
      <c r="S4214" s="20"/>
    </row>
    <row r="4215">
      <c r="A4215" s="10"/>
      <c r="B4215" s="11"/>
      <c r="C4215" s="10"/>
      <c r="D4215" s="13"/>
      <c r="E4215" s="14"/>
      <c r="F4215" s="14"/>
      <c r="G4215" s="14"/>
      <c r="H4215" s="10"/>
      <c r="I4215" s="10"/>
      <c r="J4215" s="10"/>
      <c r="K4215" s="46"/>
      <c r="L4215" s="10"/>
      <c r="M4215" s="44" t="s">
        <v>10178</v>
      </c>
      <c r="N4215" s="45"/>
      <c r="O4215" s="20"/>
      <c r="P4215" s="20"/>
      <c r="Q4215" s="20"/>
      <c r="R4215" s="20"/>
      <c r="S4215" s="20"/>
    </row>
    <row r="4216">
      <c r="A4216" s="23"/>
      <c r="B4216" s="21"/>
      <c r="C4216" s="23"/>
      <c r="D4216" s="24"/>
      <c r="E4216" s="14"/>
      <c r="F4216" s="14"/>
      <c r="G4216" s="14"/>
      <c r="H4216" s="23"/>
      <c r="I4216" s="23"/>
      <c r="J4216" s="23"/>
      <c r="K4216" s="30"/>
      <c r="L4216" s="23"/>
      <c r="M4216" s="50" t="s">
        <v>10178</v>
      </c>
      <c r="N4216" s="51"/>
      <c r="O4216" s="20"/>
      <c r="P4216" s="20"/>
      <c r="Q4216" s="20"/>
      <c r="R4216" s="20"/>
      <c r="S4216" s="20"/>
    </row>
    <row r="4217">
      <c r="A4217" s="10"/>
      <c r="B4217" s="11"/>
      <c r="C4217" s="10"/>
      <c r="D4217" s="13"/>
      <c r="E4217" s="14"/>
      <c r="F4217" s="14"/>
      <c r="G4217" s="14"/>
      <c r="H4217" s="10"/>
      <c r="I4217" s="10"/>
      <c r="J4217" s="10"/>
      <c r="K4217" s="46"/>
      <c r="L4217" s="10"/>
      <c r="M4217" s="44" t="s">
        <v>10178</v>
      </c>
      <c r="N4217" s="45"/>
      <c r="O4217" s="20"/>
      <c r="P4217" s="20"/>
      <c r="Q4217" s="20"/>
      <c r="R4217" s="20"/>
      <c r="S4217" s="20"/>
    </row>
    <row r="4218">
      <c r="A4218" s="23"/>
      <c r="B4218" s="21"/>
      <c r="C4218" s="23"/>
      <c r="D4218" s="24"/>
      <c r="E4218" s="14"/>
      <c r="F4218" s="14"/>
      <c r="G4218" s="14"/>
      <c r="H4218" s="23"/>
      <c r="I4218" s="23"/>
      <c r="J4218" s="23"/>
      <c r="K4218" s="30"/>
      <c r="L4218" s="23"/>
      <c r="M4218" s="50" t="s">
        <v>10178</v>
      </c>
      <c r="N4218" s="51"/>
      <c r="O4218" s="20"/>
      <c r="P4218" s="20"/>
      <c r="Q4218" s="20"/>
      <c r="R4218" s="20"/>
      <c r="S4218" s="20"/>
    </row>
    <row r="4219">
      <c r="A4219" s="10"/>
      <c r="B4219" s="11"/>
      <c r="C4219" s="10"/>
      <c r="D4219" s="13"/>
      <c r="E4219" s="14"/>
      <c r="F4219" s="14"/>
      <c r="G4219" s="14"/>
      <c r="H4219" s="10"/>
      <c r="I4219" s="10"/>
      <c r="J4219" s="10"/>
      <c r="K4219" s="46"/>
      <c r="L4219" s="10"/>
      <c r="M4219" s="44" t="s">
        <v>10178</v>
      </c>
      <c r="N4219" s="45"/>
      <c r="O4219" s="20"/>
      <c r="P4219" s="20"/>
      <c r="Q4219" s="20"/>
      <c r="R4219" s="20"/>
      <c r="S4219" s="20"/>
    </row>
    <row r="4220">
      <c r="A4220" s="23"/>
      <c r="B4220" s="21"/>
      <c r="C4220" s="23"/>
      <c r="D4220" s="24"/>
      <c r="E4220" s="14"/>
      <c r="F4220" s="14"/>
      <c r="G4220" s="14"/>
      <c r="H4220" s="23"/>
      <c r="I4220" s="23"/>
      <c r="J4220" s="23"/>
      <c r="K4220" s="30"/>
      <c r="L4220" s="23"/>
      <c r="M4220" s="50" t="s">
        <v>10178</v>
      </c>
      <c r="N4220" s="51"/>
      <c r="O4220" s="20"/>
      <c r="P4220" s="20"/>
      <c r="Q4220" s="20"/>
      <c r="R4220" s="20"/>
      <c r="S4220" s="20"/>
    </row>
    <row r="4221">
      <c r="A4221" s="10"/>
      <c r="B4221" s="11"/>
      <c r="C4221" s="10"/>
      <c r="D4221" s="13"/>
      <c r="E4221" s="14"/>
      <c r="F4221" s="14"/>
      <c r="G4221" s="14"/>
      <c r="H4221" s="10"/>
      <c r="I4221" s="10"/>
      <c r="J4221" s="10"/>
      <c r="K4221" s="46"/>
      <c r="L4221" s="10"/>
      <c r="M4221" s="44" t="s">
        <v>10178</v>
      </c>
      <c r="N4221" s="45"/>
      <c r="O4221" s="20"/>
      <c r="P4221" s="20"/>
      <c r="Q4221" s="20"/>
      <c r="R4221" s="20"/>
      <c r="S4221" s="20"/>
    </row>
    <row r="4222">
      <c r="A4222" s="23"/>
      <c r="B4222" s="21"/>
      <c r="C4222" s="23"/>
      <c r="D4222" s="24"/>
      <c r="E4222" s="14"/>
      <c r="F4222" s="14"/>
      <c r="G4222" s="14"/>
      <c r="H4222" s="23"/>
      <c r="I4222" s="23"/>
      <c r="J4222" s="23"/>
      <c r="K4222" s="30"/>
      <c r="L4222" s="23"/>
      <c r="M4222" s="50" t="s">
        <v>10178</v>
      </c>
      <c r="N4222" s="51"/>
      <c r="O4222" s="20"/>
      <c r="P4222" s="20"/>
      <c r="Q4222" s="20"/>
      <c r="R4222" s="20"/>
      <c r="S4222" s="20"/>
    </row>
    <row r="4223">
      <c r="A4223" s="10"/>
      <c r="B4223" s="11"/>
      <c r="C4223" s="10"/>
      <c r="D4223" s="13"/>
      <c r="E4223" s="14"/>
      <c r="F4223" s="14"/>
      <c r="G4223" s="14"/>
      <c r="H4223" s="10"/>
      <c r="I4223" s="10"/>
      <c r="J4223" s="10"/>
      <c r="K4223" s="46"/>
      <c r="L4223" s="10"/>
      <c r="M4223" s="44" t="s">
        <v>10178</v>
      </c>
      <c r="N4223" s="45"/>
      <c r="O4223" s="20"/>
      <c r="P4223" s="20"/>
      <c r="Q4223" s="20"/>
      <c r="R4223" s="20"/>
      <c r="S4223" s="20"/>
    </row>
    <row r="4224">
      <c r="A4224" s="23"/>
      <c r="B4224" s="21"/>
      <c r="C4224" s="23"/>
      <c r="D4224" s="24"/>
      <c r="E4224" s="14"/>
      <c r="F4224" s="14"/>
      <c r="G4224" s="14"/>
      <c r="H4224" s="23"/>
      <c r="I4224" s="23"/>
      <c r="J4224" s="23"/>
      <c r="K4224" s="30"/>
      <c r="L4224" s="23"/>
      <c r="M4224" s="50" t="s">
        <v>10178</v>
      </c>
      <c r="N4224" s="51"/>
      <c r="O4224" s="20"/>
      <c r="P4224" s="20"/>
      <c r="Q4224" s="20"/>
      <c r="R4224" s="20"/>
      <c r="S4224" s="20"/>
    </row>
    <row r="4225">
      <c r="A4225" s="10"/>
      <c r="B4225" s="11"/>
      <c r="C4225" s="10"/>
      <c r="D4225" s="13"/>
      <c r="E4225" s="14"/>
      <c r="F4225" s="14"/>
      <c r="G4225" s="14"/>
      <c r="H4225" s="10"/>
      <c r="I4225" s="10"/>
      <c r="J4225" s="10"/>
      <c r="K4225" s="46"/>
      <c r="L4225" s="10"/>
      <c r="M4225" s="44" t="s">
        <v>10178</v>
      </c>
      <c r="N4225" s="45"/>
      <c r="O4225" s="20"/>
      <c r="P4225" s="20"/>
      <c r="Q4225" s="20"/>
      <c r="R4225" s="20"/>
      <c r="S4225" s="20"/>
    </row>
    <row r="4226">
      <c r="A4226" s="23"/>
      <c r="B4226" s="21"/>
      <c r="C4226" s="23"/>
      <c r="D4226" s="24"/>
      <c r="E4226" s="14"/>
      <c r="F4226" s="14"/>
      <c r="G4226" s="14"/>
      <c r="H4226" s="23"/>
      <c r="I4226" s="23"/>
      <c r="J4226" s="23"/>
      <c r="K4226" s="30"/>
      <c r="L4226" s="23"/>
      <c r="M4226" s="50" t="s">
        <v>10178</v>
      </c>
      <c r="N4226" s="51"/>
      <c r="O4226" s="20"/>
      <c r="P4226" s="20"/>
      <c r="Q4226" s="20"/>
      <c r="R4226" s="20"/>
      <c r="S4226" s="20"/>
    </row>
    <row r="4227">
      <c r="A4227" s="10"/>
      <c r="B4227" s="11"/>
      <c r="C4227" s="10"/>
      <c r="D4227" s="13"/>
      <c r="E4227" s="14"/>
      <c r="F4227" s="14"/>
      <c r="G4227" s="14"/>
      <c r="H4227" s="10"/>
      <c r="I4227" s="10"/>
      <c r="J4227" s="10"/>
      <c r="K4227" s="46"/>
      <c r="L4227" s="10"/>
      <c r="M4227" s="44" t="s">
        <v>10178</v>
      </c>
      <c r="N4227" s="45"/>
      <c r="O4227" s="20"/>
      <c r="P4227" s="20"/>
      <c r="Q4227" s="20"/>
      <c r="R4227" s="20"/>
      <c r="S4227" s="20"/>
    </row>
    <row r="4228">
      <c r="A4228" s="23"/>
      <c r="B4228" s="21"/>
      <c r="C4228" s="23"/>
      <c r="D4228" s="24"/>
      <c r="E4228" s="14"/>
      <c r="F4228" s="14"/>
      <c r="G4228" s="14"/>
      <c r="H4228" s="23"/>
      <c r="I4228" s="23"/>
      <c r="J4228" s="23"/>
      <c r="K4228" s="30"/>
      <c r="L4228" s="23"/>
      <c r="M4228" s="50" t="s">
        <v>10178</v>
      </c>
      <c r="N4228" s="51"/>
      <c r="O4228" s="20"/>
      <c r="P4228" s="20"/>
      <c r="Q4228" s="20"/>
      <c r="R4228" s="20"/>
      <c r="S4228" s="20"/>
    </row>
    <row r="4229">
      <c r="A4229" s="10"/>
      <c r="B4229" s="11"/>
      <c r="C4229" s="10"/>
      <c r="D4229" s="13"/>
      <c r="E4229" s="14"/>
      <c r="F4229" s="14"/>
      <c r="G4229" s="14"/>
      <c r="H4229" s="10"/>
      <c r="I4229" s="10"/>
      <c r="J4229" s="10"/>
      <c r="K4229" s="46"/>
      <c r="L4229" s="10"/>
      <c r="M4229" s="44" t="s">
        <v>10178</v>
      </c>
      <c r="N4229" s="45"/>
      <c r="O4229" s="20"/>
      <c r="P4229" s="20"/>
      <c r="Q4229" s="20"/>
      <c r="R4229" s="20"/>
      <c r="S4229" s="20"/>
    </row>
    <row r="4230">
      <c r="A4230" s="23"/>
      <c r="B4230" s="21"/>
      <c r="C4230" s="23"/>
      <c r="D4230" s="24"/>
      <c r="E4230" s="14"/>
      <c r="F4230" s="14"/>
      <c r="G4230" s="14"/>
      <c r="H4230" s="23"/>
      <c r="I4230" s="23"/>
      <c r="J4230" s="23"/>
      <c r="K4230" s="30"/>
      <c r="L4230" s="23"/>
      <c r="M4230" s="50" t="s">
        <v>10178</v>
      </c>
      <c r="N4230" s="51"/>
      <c r="O4230" s="20"/>
      <c r="P4230" s="20"/>
      <c r="Q4230" s="20"/>
      <c r="R4230" s="20"/>
      <c r="S4230" s="20"/>
    </row>
    <row r="4231">
      <c r="A4231" s="10"/>
      <c r="B4231" s="11"/>
      <c r="C4231" s="10"/>
      <c r="D4231" s="13"/>
      <c r="E4231" s="14"/>
      <c r="F4231" s="14"/>
      <c r="G4231" s="14"/>
      <c r="H4231" s="10"/>
      <c r="I4231" s="10"/>
      <c r="J4231" s="10"/>
      <c r="K4231" s="46"/>
      <c r="L4231" s="10"/>
      <c r="M4231" s="44" t="s">
        <v>10178</v>
      </c>
      <c r="N4231" s="45"/>
      <c r="O4231" s="20"/>
      <c r="P4231" s="20"/>
      <c r="Q4231" s="20"/>
      <c r="R4231" s="20"/>
      <c r="S4231" s="20"/>
    </row>
    <row r="4232">
      <c r="A4232" s="23"/>
      <c r="B4232" s="21"/>
      <c r="C4232" s="23"/>
      <c r="D4232" s="24"/>
      <c r="E4232" s="14"/>
      <c r="F4232" s="14"/>
      <c r="G4232" s="14"/>
      <c r="H4232" s="23"/>
      <c r="I4232" s="23"/>
      <c r="J4232" s="23"/>
      <c r="K4232" s="30"/>
      <c r="L4232" s="23"/>
      <c r="M4232" s="50" t="s">
        <v>10178</v>
      </c>
      <c r="N4232" s="51"/>
      <c r="O4232" s="20"/>
      <c r="P4232" s="20"/>
      <c r="Q4232" s="20"/>
      <c r="R4232" s="20"/>
      <c r="S4232" s="20"/>
    </row>
    <row r="4233">
      <c r="A4233" s="10"/>
      <c r="B4233" s="11"/>
      <c r="C4233" s="10"/>
      <c r="D4233" s="13"/>
      <c r="E4233" s="14"/>
      <c r="F4233" s="14"/>
      <c r="G4233" s="14"/>
      <c r="H4233" s="10"/>
      <c r="I4233" s="10"/>
      <c r="J4233" s="10"/>
      <c r="K4233" s="46"/>
      <c r="L4233" s="10"/>
      <c r="M4233" s="44" t="s">
        <v>10178</v>
      </c>
      <c r="N4233" s="45"/>
      <c r="O4233" s="20"/>
      <c r="P4233" s="20"/>
      <c r="Q4233" s="20"/>
      <c r="R4233" s="20"/>
      <c r="S4233" s="20"/>
    </row>
    <row r="4234">
      <c r="A4234" s="23"/>
      <c r="B4234" s="21"/>
      <c r="C4234" s="23"/>
      <c r="D4234" s="24"/>
      <c r="E4234" s="14"/>
      <c r="F4234" s="14"/>
      <c r="G4234" s="14"/>
      <c r="H4234" s="23"/>
      <c r="I4234" s="23"/>
      <c r="J4234" s="23"/>
      <c r="K4234" s="30"/>
      <c r="L4234" s="23"/>
      <c r="M4234" s="50" t="s">
        <v>10178</v>
      </c>
      <c r="N4234" s="51"/>
      <c r="O4234" s="20"/>
      <c r="P4234" s="20"/>
      <c r="Q4234" s="20"/>
      <c r="R4234" s="20"/>
      <c r="S4234" s="20"/>
    </row>
    <row r="4235">
      <c r="A4235" s="10"/>
      <c r="B4235" s="11"/>
      <c r="C4235" s="10"/>
      <c r="D4235" s="13"/>
      <c r="E4235" s="14"/>
      <c r="F4235" s="14"/>
      <c r="G4235" s="14"/>
      <c r="H4235" s="10"/>
      <c r="I4235" s="10"/>
      <c r="J4235" s="10"/>
      <c r="K4235" s="46"/>
      <c r="L4235" s="10"/>
      <c r="M4235" s="44" t="s">
        <v>10178</v>
      </c>
      <c r="N4235" s="45"/>
      <c r="O4235" s="20"/>
      <c r="P4235" s="20"/>
      <c r="Q4235" s="20"/>
      <c r="R4235" s="20"/>
      <c r="S4235" s="20"/>
    </row>
    <row r="4236">
      <c r="A4236" s="23"/>
      <c r="B4236" s="21"/>
      <c r="C4236" s="23"/>
      <c r="D4236" s="24"/>
      <c r="E4236" s="14"/>
      <c r="F4236" s="14"/>
      <c r="G4236" s="14"/>
      <c r="H4236" s="23"/>
      <c r="I4236" s="23"/>
      <c r="J4236" s="23"/>
      <c r="K4236" s="30"/>
      <c r="L4236" s="23"/>
      <c r="M4236" s="50" t="s">
        <v>10178</v>
      </c>
      <c r="N4236" s="51"/>
      <c r="O4236" s="20"/>
      <c r="P4236" s="20"/>
      <c r="Q4236" s="20"/>
      <c r="R4236" s="20"/>
      <c r="S4236" s="20"/>
    </row>
    <row r="4237">
      <c r="A4237" s="10"/>
      <c r="B4237" s="11"/>
      <c r="C4237" s="10"/>
      <c r="D4237" s="13"/>
      <c r="E4237" s="14"/>
      <c r="F4237" s="14"/>
      <c r="G4237" s="14"/>
      <c r="H4237" s="10"/>
      <c r="I4237" s="10"/>
      <c r="J4237" s="10"/>
      <c r="K4237" s="46"/>
      <c r="L4237" s="10"/>
      <c r="M4237" s="44" t="s">
        <v>10178</v>
      </c>
      <c r="N4237" s="45"/>
      <c r="O4237" s="20"/>
      <c r="P4237" s="20"/>
      <c r="Q4237" s="20"/>
      <c r="R4237" s="20"/>
      <c r="S4237" s="20"/>
    </row>
    <row r="4238">
      <c r="A4238" s="23"/>
      <c r="B4238" s="21"/>
      <c r="C4238" s="23"/>
      <c r="D4238" s="24"/>
      <c r="E4238" s="14"/>
      <c r="F4238" s="14"/>
      <c r="G4238" s="14"/>
      <c r="H4238" s="23"/>
      <c r="I4238" s="23"/>
      <c r="J4238" s="23"/>
      <c r="K4238" s="30"/>
      <c r="L4238" s="23"/>
      <c r="M4238" s="50" t="s">
        <v>10178</v>
      </c>
      <c r="N4238" s="51"/>
      <c r="O4238" s="20"/>
      <c r="P4238" s="20"/>
      <c r="Q4238" s="20"/>
      <c r="R4238" s="20"/>
      <c r="S4238" s="20"/>
    </row>
    <row r="4239">
      <c r="A4239" s="10"/>
      <c r="B4239" s="11"/>
      <c r="C4239" s="10"/>
      <c r="D4239" s="13"/>
      <c r="E4239" s="14"/>
      <c r="F4239" s="14"/>
      <c r="G4239" s="14"/>
      <c r="H4239" s="10"/>
      <c r="I4239" s="10"/>
      <c r="J4239" s="10"/>
      <c r="K4239" s="46"/>
      <c r="L4239" s="10"/>
      <c r="M4239" s="44" t="s">
        <v>10178</v>
      </c>
      <c r="N4239" s="45"/>
      <c r="O4239" s="20"/>
      <c r="P4239" s="20"/>
      <c r="Q4239" s="20"/>
      <c r="R4239" s="20"/>
      <c r="S4239" s="20"/>
    </row>
    <row r="4240">
      <c r="A4240" s="23"/>
      <c r="B4240" s="21"/>
      <c r="C4240" s="23"/>
      <c r="D4240" s="24"/>
      <c r="E4240" s="14"/>
      <c r="F4240" s="14"/>
      <c r="G4240" s="14"/>
      <c r="H4240" s="23"/>
      <c r="I4240" s="23"/>
      <c r="J4240" s="23"/>
      <c r="K4240" s="30"/>
      <c r="L4240" s="23"/>
      <c r="M4240" s="50" t="s">
        <v>10178</v>
      </c>
      <c r="N4240" s="51"/>
      <c r="O4240" s="20"/>
      <c r="P4240" s="20"/>
      <c r="Q4240" s="20"/>
      <c r="R4240" s="20"/>
      <c r="S4240" s="20"/>
    </row>
    <row r="4241">
      <c r="A4241" s="10"/>
      <c r="B4241" s="11"/>
      <c r="C4241" s="10"/>
      <c r="D4241" s="13"/>
      <c r="E4241" s="14"/>
      <c r="F4241" s="14"/>
      <c r="G4241" s="14"/>
      <c r="H4241" s="10"/>
      <c r="I4241" s="10"/>
      <c r="J4241" s="10"/>
      <c r="K4241" s="46"/>
      <c r="L4241" s="10"/>
      <c r="M4241" s="44" t="s">
        <v>10178</v>
      </c>
      <c r="N4241" s="45"/>
      <c r="O4241" s="20"/>
      <c r="P4241" s="20"/>
      <c r="Q4241" s="20"/>
      <c r="R4241" s="20"/>
      <c r="S4241" s="20"/>
    </row>
    <row r="4242">
      <c r="A4242" s="23"/>
      <c r="B4242" s="21"/>
      <c r="C4242" s="23"/>
      <c r="D4242" s="24"/>
      <c r="E4242" s="14"/>
      <c r="F4242" s="14"/>
      <c r="G4242" s="14"/>
      <c r="H4242" s="23"/>
      <c r="I4242" s="23"/>
      <c r="J4242" s="23"/>
      <c r="K4242" s="30"/>
      <c r="L4242" s="23"/>
      <c r="M4242" s="50" t="s">
        <v>10178</v>
      </c>
      <c r="N4242" s="51"/>
      <c r="O4242" s="20"/>
      <c r="P4242" s="20"/>
      <c r="Q4242" s="20"/>
      <c r="R4242" s="20"/>
      <c r="S4242" s="20"/>
    </row>
    <row r="4243">
      <c r="A4243" s="10"/>
      <c r="B4243" s="11"/>
      <c r="C4243" s="10"/>
      <c r="D4243" s="13"/>
      <c r="E4243" s="14"/>
      <c r="F4243" s="14"/>
      <c r="G4243" s="14"/>
      <c r="H4243" s="10"/>
      <c r="I4243" s="10"/>
      <c r="J4243" s="10"/>
      <c r="K4243" s="46"/>
      <c r="L4243" s="10"/>
      <c r="M4243" s="44" t="s">
        <v>10178</v>
      </c>
      <c r="N4243" s="45"/>
      <c r="O4243" s="20"/>
      <c r="P4243" s="20"/>
      <c r="Q4243" s="20"/>
      <c r="R4243" s="20"/>
      <c r="S4243" s="20"/>
    </row>
    <row r="4244">
      <c r="A4244" s="23"/>
      <c r="B4244" s="21"/>
      <c r="C4244" s="23"/>
      <c r="D4244" s="24"/>
      <c r="E4244" s="14"/>
      <c r="F4244" s="14"/>
      <c r="G4244" s="14"/>
      <c r="H4244" s="23"/>
      <c r="I4244" s="23"/>
      <c r="J4244" s="23"/>
      <c r="K4244" s="30"/>
      <c r="L4244" s="23"/>
      <c r="M4244" s="50" t="s">
        <v>10178</v>
      </c>
      <c r="N4244" s="51"/>
      <c r="O4244" s="20"/>
      <c r="P4244" s="20"/>
      <c r="Q4244" s="20"/>
      <c r="R4244" s="20"/>
      <c r="S4244" s="20"/>
    </row>
    <row r="4245">
      <c r="A4245" s="10"/>
      <c r="B4245" s="11"/>
      <c r="C4245" s="10"/>
      <c r="D4245" s="13"/>
      <c r="E4245" s="14"/>
      <c r="F4245" s="14"/>
      <c r="G4245" s="14"/>
      <c r="H4245" s="10"/>
      <c r="I4245" s="10"/>
      <c r="J4245" s="10"/>
      <c r="K4245" s="46"/>
      <c r="L4245" s="10"/>
      <c r="M4245" s="44" t="s">
        <v>10178</v>
      </c>
      <c r="N4245" s="45"/>
      <c r="O4245" s="20"/>
      <c r="P4245" s="20"/>
      <c r="Q4245" s="20"/>
      <c r="R4245" s="20"/>
      <c r="S4245" s="20"/>
    </row>
    <row r="4246">
      <c r="A4246" s="23"/>
      <c r="B4246" s="21"/>
      <c r="C4246" s="23"/>
      <c r="D4246" s="24"/>
      <c r="E4246" s="14"/>
      <c r="F4246" s="14"/>
      <c r="G4246" s="14"/>
      <c r="H4246" s="23"/>
      <c r="I4246" s="23"/>
      <c r="J4246" s="23"/>
      <c r="K4246" s="30"/>
      <c r="L4246" s="23"/>
      <c r="M4246" s="50" t="s">
        <v>10178</v>
      </c>
      <c r="N4246" s="51"/>
      <c r="O4246" s="20"/>
      <c r="P4246" s="20"/>
      <c r="Q4246" s="20"/>
      <c r="R4246" s="20"/>
      <c r="S4246" s="20"/>
    </row>
    <row r="4247">
      <c r="A4247" s="10"/>
      <c r="B4247" s="11"/>
      <c r="C4247" s="10"/>
      <c r="D4247" s="13"/>
      <c r="E4247" s="14"/>
      <c r="F4247" s="14"/>
      <c r="G4247" s="14"/>
      <c r="H4247" s="10"/>
      <c r="I4247" s="10"/>
      <c r="J4247" s="10"/>
      <c r="K4247" s="46"/>
      <c r="L4247" s="10"/>
      <c r="M4247" s="44" t="s">
        <v>10178</v>
      </c>
      <c r="N4247" s="45"/>
      <c r="O4247" s="20"/>
      <c r="P4247" s="20"/>
      <c r="Q4247" s="20"/>
      <c r="R4247" s="20"/>
      <c r="S4247" s="20"/>
    </row>
    <row r="4248">
      <c r="A4248" s="23"/>
      <c r="B4248" s="21"/>
      <c r="C4248" s="23"/>
      <c r="D4248" s="24"/>
      <c r="E4248" s="14"/>
      <c r="F4248" s="14"/>
      <c r="G4248" s="14"/>
      <c r="H4248" s="23"/>
      <c r="I4248" s="23"/>
      <c r="J4248" s="23"/>
      <c r="K4248" s="30"/>
      <c r="L4248" s="23"/>
      <c r="M4248" s="50" t="s">
        <v>10178</v>
      </c>
      <c r="N4248" s="51"/>
      <c r="O4248" s="20"/>
      <c r="P4248" s="20"/>
      <c r="Q4248" s="20"/>
      <c r="R4248" s="20"/>
      <c r="S4248" s="20"/>
    </row>
    <row r="4249">
      <c r="A4249" s="10"/>
      <c r="B4249" s="11"/>
      <c r="C4249" s="10"/>
      <c r="D4249" s="13"/>
      <c r="E4249" s="14"/>
      <c r="F4249" s="14"/>
      <c r="G4249" s="14"/>
      <c r="H4249" s="10"/>
      <c r="I4249" s="10"/>
      <c r="J4249" s="10"/>
      <c r="K4249" s="46"/>
      <c r="L4249" s="10"/>
      <c r="M4249" s="44" t="s">
        <v>10178</v>
      </c>
      <c r="N4249" s="45"/>
      <c r="O4249" s="20"/>
      <c r="P4249" s="20"/>
      <c r="Q4249" s="20"/>
      <c r="R4249" s="20"/>
      <c r="S4249" s="20"/>
    </row>
    <row r="4250">
      <c r="A4250" s="23"/>
      <c r="B4250" s="21"/>
      <c r="C4250" s="23"/>
      <c r="D4250" s="24"/>
      <c r="E4250" s="14"/>
      <c r="F4250" s="14"/>
      <c r="G4250" s="14"/>
      <c r="H4250" s="23"/>
      <c r="I4250" s="23"/>
      <c r="J4250" s="23"/>
      <c r="K4250" s="30"/>
      <c r="L4250" s="23"/>
      <c r="M4250" s="50" t="s">
        <v>10178</v>
      </c>
      <c r="N4250" s="51"/>
      <c r="O4250" s="20"/>
      <c r="P4250" s="20"/>
      <c r="Q4250" s="20"/>
      <c r="R4250" s="20"/>
      <c r="S4250" s="20"/>
    </row>
    <row r="4251">
      <c r="A4251" s="10"/>
      <c r="B4251" s="11"/>
      <c r="C4251" s="10"/>
      <c r="D4251" s="13"/>
      <c r="E4251" s="14"/>
      <c r="F4251" s="14"/>
      <c r="G4251" s="14"/>
      <c r="H4251" s="10"/>
      <c r="I4251" s="10"/>
      <c r="J4251" s="10"/>
      <c r="K4251" s="46"/>
      <c r="L4251" s="10"/>
      <c r="M4251" s="44" t="s">
        <v>10178</v>
      </c>
      <c r="N4251" s="45"/>
      <c r="O4251" s="20"/>
      <c r="P4251" s="20"/>
      <c r="Q4251" s="20"/>
      <c r="R4251" s="20"/>
      <c r="S4251" s="20"/>
    </row>
    <row r="4252">
      <c r="A4252" s="23"/>
      <c r="B4252" s="21"/>
      <c r="C4252" s="23"/>
      <c r="D4252" s="24"/>
      <c r="E4252" s="14"/>
      <c r="F4252" s="14"/>
      <c r="G4252" s="14"/>
      <c r="H4252" s="23"/>
      <c r="I4252" s="23"/>
      <c r="J4252" s="23"/>
      <c r="K4252" s="30"/>
      <c r="L4252" s="23"/>
      <c r="M4252" s="50" t="s">
        <v>10178</v>
      </c>
      <c r="N4252" s="51"/>
      <c r="O4252" s="20"/>
      <c r="P4252" s="20"/>
      <c r="Q4252" s="20"/>
      <c r="R4252" s="20"/>
      <c r="S4252" s="20"/>
    </row>
    <row r="4253">
      <c r="A4253" s="10"/>
      <c r="B4253" s="11"/>
      <c r="C4253" s="10"/>
      <c r="D4253" s="13"/>
      <c r="E4253" s="14"/>
      <c r="F4253" s="14"/>
      <c r="G4253" s="14"/>
      <c r="H4253" s="10"/>
      <c r="I4253" s="10"/>
      <c r="J4253" s="10"/>
      <c r="K4253" s="46"/>
      <c r="L4253" s="10"/>
      <c r="M4253" s="44" t="s">
        <v>10178</v>
      </c>
      <c r="N4253" s="45"/>
      <c r="O4253" s="20"/>
      <c r="P4253" s="20"/>
      <c r="Q4253" s="20"/>
      <c r="R4253" s="20"/>
      <c r="S4253" s="20"/>
    </row>
    <row r="4254">
      <c r="A4254" s="23"/>
      <c r="B4254" s="21"/>
      <c r="C4254" s="23"/>
      <c r="D4254" s="24"/>
      <c r="E4254" s="14"/>
      <c r="F4254" s="14"/>
      <c r="G4254" s="14"/>
      <c r="H4254" s="23"/>
      <c r="I4254" s="23"/>
      <c r="J4254" s="23"/>
      <c r="K4254" s="30"/>
      <c r="L4254" s="23"/>
      <c r="M4254" s="50" t="s">
        <v>10178</v>
      </c>
      <c r="N4254" s="51"/>
      <c r="O4254" s="20"/>
      <c r="P4254" s="20"/>
      <c r="Q4254" s="20"/>
      <c r="R4254" s="20"/>
      <c r="S4254" s="20"/>
    </row>
    <row r="4255">
      <c r="A4255" s="10"/>
      <c r="B4255" s="11"/>
      <c r="C4255" s="10"/>
      <c r="D4255" s="13"/>
      <c r="E4255" s="14"/>
      <c r="F4255" s="14"/>
      <c r="G4255" s="14"/>
      <c r="H4255" s="10"/>
      <c r="I4255" s="10"/>
      <c r="J4255" s="10"/>
      <c r="K4255" s="46"/>
      <c r="L4255" s="10"/>
      <c r="M4255" s="44" t="s">
        <v>10178</v>
      </c>
      <c r="N4255" s="45"/>
      <c r="O4255" s="20"/>
      <c r="P4255" s="20"/>
      <c r="Q4255" s="20"/>
      <c r="R4255" s="20"/>
      <c r="S4255" s="20"/>
    </row>
    <row r="4256">
      <c r="A4256" s="23"/>
      <c r="B4256" s="21"/>
      <c r="C4256" s="23"/>
      <c r="D4256" s="24"/>
      <c r="E4256" s="14"/>
      <c r="F4256" s="14"/>
      <c r="G4256" s="14"/>
      <c r="H4256" s="23"/>
      <c r="I4256" s="23"/>
      <c r="J4256" s="23"/>
      <c r="K4256" s="30"/>
      <c r="L4256" s="23"/>
      <c r="M4256" s="50" t="s">
        <v>10178</v>
      </c>
      <c r="N4256" s="51"/>
      <c r="O4256" s="20"/>
      <c r="P4256" s="20"/>
      <c r="Q4256" s="20"/>
      <c r="R4256" s="20"/>
      <c r="S4256" s="20"/>
    </row>
    <row r="4257">
      <c r="A4257" s="10"/>
      <c r="B4257" s="11"/>
      <c r="C4257" s="10"/>
      <c r="D4257" s="13"/>
      <c r="E4257" s="14"/>
      <c r="F4257" s="14"/>
      <c r="G4257" s="14"/>
      <c r="H4257" s="10"/>
      <c r="I4257" s="10"/>
      <c r="J4257" s="10"/>
      <c r="K4257" s="46"/>
      <c r="L4257" s="10"/>
      <c r="M4257" s="44" t="s">
        <v>10178</v>
      </c>
      <c r="N4257" s="45"/>
      <c r="O4257" s="20"/>
      <c r="P4257" s="20"/>
      <c r="Q4257" s="20"/>
      <c r="R4257" s="20"/>
      <c r="S4257" s="20"/>
    </row>
    <row r="4258">
      <c r="A4258" s="23"/>
      <c r="B4258" s="21"/>
      <c r="C4258" s="23"/>
      <c r="D4258" s="24"/>
      <c r="E4258" s="14"/>
      <c r="F4258" s="14"/>
      <c r="G4258" s="14"/>
      <c r="H4258" s="23"/>
      <c r="I4258" s="23"/>
      <c r="J4258" s="23"/>
      <c r="K4258" s="30"/>
      <c r="L4258" s="23"/>
      <c r="M4258" s="50" t="s">
        <v>10178</v>
      </c>
      <c r="N4258" s="51"/>
      <c r="O4258" s="20"/>
      <c r="P4258" s="20"/>
      <c r="Q4258" s="20"/>
      <c r="R4258" s="20"/>
      <c r="S4258" s="20"/>
    </row>
    <row r="4259">
      <c r="A4259" s="10"/>
      <c r="B4259" s="11"/>
      <c r="C4259" s="10"/>
      <c r="D4259" s="13"/>
      <c r="E4259" s="14"/>
      <c r="F4259" s="14"/>
      <c r="G4259" s="14"/>
      <c r="H4259" s="10"/>
      <c r="I4259" s="10"/>
      <c r="J4259" s="10"/>
      <c r="K4259" s="46"/>
      <c r="L4259" s="10"/>
      <c r="M4259" s="44" t="s">
        <v>10178</v>
      </c>
      <c r="N4259" s="45"/>
      <c r="O4259" s="20"/>
      <c r="P4259" s="20"/>
      <c r="Q4259" s="20"/>
      <c r="R4259" s="20"/>
      <c r="S4259" s="20"/>
    </row>
    <row r="4260">
      <c r="A4260" s="23"/>
      <c r="B4260" s="21"/>
      <c r="C4260" s="23"/>
      <c r="D4260" s="24"/>
      <c r="E4260" s="14"/>
      <c r="F4260" s="14"/>
      <c r="G4260" s="14"/>
      <c r="H4260" s="23"/>
      <c r="I4260" s="23"/>
      <c r="J4260" s="23"/>
      <c r="K4260" s="30"/>
      <c r="L4260" s="23"/>
      <c r="M4260" s="50" t="s">
        <v>10178</v>
      </c>
      <c r="N4260" s="51"/>
      <c r="O4260" s="20"/>
      <c r="P4260" s="20"/>
      <c r="Q4260" s="20"/>
      <c r="R4260" s="20"/>
      <c r="S4260" s="20"/>
    </row>
    <row r="4261">
      <c r="A4261" s="10"/>
      <c r="B4261" s="11"/>
      <c r="C4261" s="10"/>
      <c r="D4261" s="13"/>
      <c r="E4261" s="14"/>
      <c r="F4261" s="14"/>
      <c r="G4261" s="14"/>
      <c r="H4261" s="10"/>
      <c r="I4261" s="10"/>
      <c r="J4261" s="10"/>
      <c r="K4261" s="46"/>
      <c r="L4261" s="10"/>
      <c r="M4261" s="44" t="s">
        <v>10178</v>
      </c>
      <c r="N4261" s="45"/>
      <c r="O4261" s="20"/>
      <c r="P4261" s="20"/>
      <c r="Q4261" s="20"/>
      <c r="R4261" s="20"/>
      <c r="S4261" s="20"/>
    </row>
    <row r="4262">
      <c r="A4262" s="23"/>
      <c r="B4262" s="21"/>
      <c r="C4262" s="23"/>
      <c r="D4262" s="24"/>
      <c r="E4262" s="14"/>
      <c r="F4262" s="14"/>
      <c r="G4262" s="14"/>
      <c r="H4262" s="23"/>
      <c r="I4262" s="23"/>
      <c r="J4262" s="23"/>
      <c r="K4262" s="30"/>
      <c r="L4262" s="23"/>
      <c r="M4262" s="50" t="s">
        <v>10178</v>
      </c>
      <c r="N4262" s="51"/>
      <c r="O4262" s="20"/>
      <c r="P4262" s="20"/>
      <c r="Q4262" s="20"/>
      <c r="R4262" s="20"/>
      <c r="S4262" s="20"/>
    </row>
    <row r="4263">
      <c r="A4263" s="10"/>
      <c r="B4263" s="11"/>
      <c r="C4263" s="10"/>
      <c r="D4263" s="13"/>
      <c r="E4263" s="14"/>
      <c r="F4263" s="14"/>
      <c r="G4263" s="14"/>
      <c r="H4263" s="10"/>
      <c r="I4263" s="10"/>
      <c r="J4263" s="10"/>
      <c r="K4263" s="46"/>
      <c r="L4263" s="10"/>
      <c r="M4263" s="44" t="s">
        <v>10178</v>
      </c>
      <c r="N4263" s="45"/>
      <c r="O4263" s="20"/>
      <c r="P4263" s="20"/>
      <c r="Q4263" s="20"/>
      <c r="R4263" s="20"/>
      <c r="S4263" s="20"/>
    </row>
    <row r="4264">
      <c r="A4264" s="23"/>
      <c r="B4264" s="21"/>
      <c r="C4264" s="23"/>
      <c r="D4264" s="24"/>
      <c r="E4264" s="14"/>
      <c r="F4264" s="14"/>
      <c r="G4264" s="14"/>
      <c r="H4264" s="23"/>
      <c r="I4264" s="23"/>
      <c r="J4264" s="23"/>
      <c r="K4264" s="30"/>
      <c r="L4264" s="23"/>
      <c r="M4264" s="50" t="s">
        <v>10178</v>
      </c>
      <c r="N4264" s="51"/>
      <c r="O4264" s="20"/>
      <c r="P4264" s="20"/>
      <c r="Q4264" s="20"/>
      <c r="R4264" s="20"/>
      <c r="S4264" s="20"/>
    </row>
    <row r="4265">
      <c r="A4265" s="10"/>
      <c r="B4265" s="11"/>
      <c r="C4265" s="10"/>
      <c r="D4265" s="13"/>
      <c r="E4265" s="14"/>
      <c r="F4265" s="14"/>
      <c r="G4265" s="14"/>
      <c r="H4265" s="10"/>
      <c r="I4265" s="10"/>
      <c r="J4265" s="10"/>
      <c r="K4265" s="46"/>
      <c r="L4265" s="10"/>
      <c r="M4265" s="44" t="s">
        <v>10178</v>
      </c>
      <c r="N4265" s="45"/>
      <c r="O4265" s="20"/>
      <c r="P4265" s="20"/>
      <c r="Q4265" s="20"/>
      <c r="R4265" s="20"/>
      <c r="S4265" s="20"/>
    </row>
    <row r="4266">
      <c r="A4266" s="23"/>
      <c r="B4266" s="21"/>
      <c r="C4266" s="23"/>
      <c r="D4266" s="24"/>
      <c r="E4266" s="14"/>
      <c r="F4266" s="14"/>
      <c r="G4266" s="14"/>
      <c r="H4266" s="23"/>
      <c r="I4266" s="23"/>
      <c r="J4266" s="23"/>
      <c r="K4266" s="30"/>
      <c r="L4266" s="23"/>
      <c r="M4266" s="50" t="s">
        <v>10178</v>
      </c>
      <c r="N4266" s="51"/>
      <c r="O4266" s="20"/>
      <c r="P4266" s="20"/>
      <c r="Q4266" s="20"/>
      <c r="R4266" s="20"/>
      <c r="S4266" s="20"/>
    </row>
    <row r="4267">
      <c r="A4267" s="10"/>
      <c r="B4267" s="11"/>
      <c r="C4267" s="10"/>
      <c r="D4267" s="13"/>
      <c r="E4267" s="14"/>
      <c r="F4267" s="14"/>
      <c r="G4267" s="14"/>
      <c r="H4267" s="10"/>
      <c r="I4267" s="10"/>
      <c r="J4267" s="10"/>
      <c r="K4267" s="46"/>
      <c r="L4267" s="10"/>
      <c r="M4267" s="44" t="s">
        <v>10178</v>
      </c>
      <c r="N4267" s="45"/>
      <c r="O4267" s="20"/>
      <c r="P4267" s="20"/>
      <c r="Q4267" s="20"/>
      <c r="R4267" s="20"/>
      <c r="S4267" s="20"/>
    </row>
    <row r="4268">
      <c r="A4268" s="23"/>
      <c r="B4268" s="21"/>
      <c r="C4268" s="23"/>
      <c r="D4268" s="24"/>
      <c r="E4268" s="14"/>
      <c r="F4268" s="14"/>
      <c r="G4268" s="14"/>
      <c r="H4268" s="23"/>
      <c r="I4268" s="23"/>
      <c r="J4268" s="23"/>
      <c r="K4268" s="30"/>
      <c r="L4268" s="23"/>
      <c r="M4268" s="50" t="s">
        <v>10178</v>
      </c>
      <c r="N4268" s="51"/>
      <c r="O4268" s="20"/>
      <c r="P4268" s="20"/>
      <c r="Q4268" s="20"/>
      <c r="R4268" s="20"/>
      <c r="S4268" s="20"/>
    </row>
    <row r="4269">
      <c r="A4269" s="10"/>
      <c r="B4269" s="11"/>
      <c r="C4269" s="10"/>
      <c r="D4269" s="13"/>
      <c r="E4269" s="14"/>
      <c r="F4269" s="14"/>
      <c r="G4269" s="14"/>
      <c r="H4269" s="10"/>
      <c r="I4269" s="10"/>
      <c r="J4269" s="10"/>
      <c r="K4269" s="46"/>
      <c r="L4269" s="10"/>
      <c r="M4269" s="44" t="s">
        <v>10178</v>
      </c>
      <c r="N4269" s="45"/>
      <c r="O4269" s="20"/>
      <c r="P4269" s="20"/>
      <c r="Q4269" s="20"/>
      <c r="R4269" s="20"/>
      <c r="S4269" s="20"/>
    </row>
    <row r="4270">
      <c r="A4270" s="23"/>
      <c r="B4270" s="21"/>
      <c r="C4270" s="23"/>
      <c r="D4270" s="24"/>
      <c r="E4270" s="14"/>
      <c r="F4270" s="14"/>
      <c r="G4270" s="14"/>
      <c r="H4270" s="23"/>
      <c r="I4270" s="23"/>
      <c r="J4270" s="23"/>
      <c r="K4270" s="30"/>
      <c r="L4270" s="23"/>
      <c r="M4270" s="50" t="s">
        <v>10178</v>
      </c>
      <c r="N4270" s="51"/>
      <c r="O4270" s="20"/>
      <c r="P4270" s="20"/>
      <c r="Q4270" s="20"/>
      <c r="R4270" s="20"/>
      <c r="S4270" s="20"/>
    </row>
    <row r="4271">
      <c r="A4271" s="10"/>
      <c r="B4271" s="11"/>
      <c r="C4271" s="10"/>
      <c r="D4271" s="13"/>
      <c r="E4271" s="14"/>
      <c r="F4271" s="14"/>
      <c r="G4271" s="14"/>
      <c r="H4271" s="10"/>
      <c r="I4271" s="10"/>
      <c r="J4271" s="10"/>
      <c r="K4271" s="46"/>
      <c r="L4271" s="10"/>
      <c r="M4271" s="44" t="s">
        <v>10178</v>
      </c>
      <c r="N4271" s="45"/>
      <c r="O4271" s="20"/>
      <c r="P4271" s="20"/>
      <c r="Q4271" s="20"/>
      <c r="R4271" s="20"/>
      <c r="S4271" s="20"/>
    </row>
    <row r="4272">
      <c r="A4272" s="23"/>
      <c r="B4272" s="21"/>
      <c r="C4272" s="23"/>
      <c r="D4272" s="24"/>
      <c r="E4272" s="14"/>
      <c r="F4272" s="14"/>
      <c r="G4272" s="14"/>
      <c r="H4272" s="23"/>
      <c r="I4272" s="23"/>
      <c r="J4272" s="23"/>
      <c r="K4272" s="30"/>
      <c r="L4272" s="23"/>
      <c r="M4272" s="50" t="s">
        <v>10178</v>
      </c>
      <c r="N4272" s="51"/>
      <c r="O4272" s="20"/>
      <c r="P4272" s="20"/>
      <c r="Q4272" s="20"/>
      <c r="R4272" s="20"/>
      <c r="S4272" s="20"/>
    </row>
    <row r="4273">
      <c r="A4273" s="10"/>
      <c r="B4273" s="11"/>
      <c r="C4273" s="10"/>
      <c r="D4273" s="13"/>
      <c r="E4273" s="14"/>
      <c r="F4273" s="14"/>
      <c r="G4273" s="14"/>
      <c r="H4273" s="10"/>
      <c r="I4273" s="10"/>
      <c r="J4273" s="10"/>
      <c r="K4273" s="46"/>
      <c r="L4273" s="10"/>
      <c r="M4273" s="44" t="s">
        <v>10178</v>
      </c>
      <c r="N4273" s="45"/>
      <c r="O4273" s="20"/>
      <c r="P4273" s="20"/>
      <c r="Q4273" s="20"/>
      <c r="R4273" s="20"/>
      <c r="S4273" s="20"/>
    </row>
    <row r="4274">
      <c r="A4274" s="23"/>
      <c r="B4274" s="21"/>
      <c r="C4274" s="23"/>
      <c r="D4274" s="24"/>
      <c r="E4274" s="14"/>
      <c r="F4274" s="14"/>
      <c r="G4274" s="14"/>
      <c r="H4274" s="23"/>
      <c r="I4274" s="23"/>
      <c r="J4274" s="23"/>
      <c r="K4274" s="30"/>
      <c r="L4274" s="23"/>
      <c r="M4274" s="50" t="s">
        <v>10178</v>
      </c>
      <c r="N4274" s="51"/>
      <c r="O4274" s="20"/>
      <c r="P4274" s="20"/>
      <c r="Q4274" s="20"/>
      <c r="R4274" s="20"/>
      <c r="S4274" s="20"/>
    </row>
    <row r="4275">
      <c r="A4275" s="10"/>
      <c r="B4275" s="11"/>
      <c r="C4275" s="10"/>
      <c r="D4275" s="13"/>
      <c r="E4275" s="14"/>
      <c r="F4275" s="14"/>
      <c r="G4275" s="14"/>
      <c r="H4275" s="10"/>
      <c r="I4275" s="10"/>
      <c r="J4275" s="10"/>
      <c r="K4275" s="46"/>
      <c r="L4275" s="10"/>
      <c r="M4275" s="44" t="s">
        <v>10178</v>
      </c>
      <c r="N4275" s="45"/>
      <c r="O4275" s="20"/>
      <c r="P4275" s="20"/>
      <c r="Q4275" s="20"/>
      <c r="R4275" s="20"/>
      <c r="S4275" s="20"/>
    </row>
    <row r="4276">
      <c r="A4276" s="23"/>
      <c r="B4276" s="21"/>
      <c r="C4276" s="23"/>
      <c r="D4276" s="24"/>
      <c r="E4276" s="14"/>
      <c r="F4276" s="14"/>
      <c r="G4276" s="14"/>
      <c r="H4276" s="23"/>
      <c r="I4276" s="23"/>
      <c r="J4276" s="23"/>
      <c r="K4276" s="30"/>
      <c r="L4276" s="23"/>
      <c r="M4276" s="50" t="s">
        <v>10178</v>
      </c>
      <c r="N4276" s="51"/>
      <c r="O4276" s="20"/>
      <c r="P4276" s="20"/>
      <c r="Q4276" s="20"/>
      <c r="R4276" s="20"/>
      <c r="S4276" s="20"/>
    </row>
    <row r="4277">
      <c r="A4277" s="10"/>
      <c r="B4277" s="11"/>
      <c r="C4277" s="10"/>
      <c r="D4277" s="13"/>
      <c r="E4277" s="14"/>
      <c r="F4277" s="14"/>
      <c r="G4277" s="14"/>
      <c r="H4277" s="10"/>
      <c r="I4277" s="10"/>
      <c r="J4277" s="10"/>
      <c r="K4277" s="46"/>
      <c r="L4277" s="10"/>
      <c r="M4277" s="44" t="s">
        <v>10178</v>
      </c>
      <c r="N4277" s="45"/>
      <c r="O4277" s="20"/>
      <c r="P4277" s="20"/>
      <c r="Q4277" s="20"/>
      <c r="R4277" s="20"/>
      <c r="S4277" s="20"/>
    </row>
    <row r="4278">
      <c r="A4278" s="23"/>
      <c r="B4278" s="21"/>
      <c r="C4278" s="23"/>
      <c r="D4278" s="24"/>
      <c r="E4278" s="14"/>
      <c r="F4278" s="14"/>
      <c r="G4278" s="14"/>
      <c r="H4278" s="23"/>
      <c r="I4278" s="23"/>
      <c r="J4278" s="23"/>
      <c r="K4278" s="30"/>
      <c r="L4278" s="23"/>
      <c r="M4278" s="50" t="s">
        <v>10178</v>
      </c>
      <c r="N4278" s="51"/>
      <c r="O4278" s="20"/>
      <c r="P4278" s="20"/>
      <c r="Q4278" s="20"/>
      <c r="R4278" s="20"/>
      <c r="S4278" s="20"/>
    </row>
    <row r="4279">
      <c r="A4279" s="10"/>
      <c r="B4279" s="11"/>
      <c r="C4279" s="10"/>
      <c r="D4279" s="13"/>
      <c r="E4279" s="14"/>
      <c r="F4279" s="14"/>
      <c r="G4279" s="14"/>
      <c r="H4279" s="10"/>
      <c r="I4279" s="10"/>
      <c r="J4279" s="10"/>
      <c r="K4279" s="46"/>
      <c r="L4279" s="10"/>
      <c r="M4279" s="44" t="s">
        <v>10178</v>
      </c>
      <c r="N4279" s="45"/>
      <c r="O4279" s="20"/>
      <c r="P4279" s="20"/>
      <c r="Q4279" s="20"/>
      <c r="R4279" s="20"/>
      <c r="S4279" s="20"/>
    </row>
    <row r="4280">
      <c r="A4280" s="23"/>
      <c r="B4280" s="21"/>
      <c r="C4280" s="23"/>
      <c r="D4280" s="24"/>
      <c r="E4280" s="14"/>
      <c r="F4280" s="14"/>
      <c r="G4280" s="14"/>
      <c r="H4280" s="23"/>
      <c r="I4280" s="23"/>
      <c r="J4280" s="23"/>
      <c r="K4280" s="30"/>
      <c r="L4280" s="23"/>
      <c r="M4280" s="50" t="s">
        <v>10178</v>
      </c>
      <c r="N4280" s="51"/>
      <c r="O4280" s="20"/>
      <c r="P4280" s="20"/>
      <c r="Q4280" s="20"/>
      <c r="R4280" s="20"/>
      <c r="S4280" s="20"/>
    </row>
    <row r="4281">
      <c r="A4281" s="10"/>
      <c r="B4281" s="11"/>
      <c r="C4281" s="10"/>
      <c r="D4281" s="13"/>
      <c r="E4281" s="14"/>
      <c r="F4281" s="14"/>
      <c r="G4281" s="14"/>
      <c r="H4281" s="10"/>
      <c r="I4281" s="10"/>
      <c r="J4281" s="10"/>
      <c r="K4281" s="46"/>
      <c r="L4281" s="10"/>
      <c r="M4281" s="44" t="s">
        <v>10178</v>
      </c>
      <c r="N4281" s="45"/>
      <c r="O4281" s="20"/>
      <c r="P4281" s="20"/>
      <c r="Q4281" s="20"/>
      <c r="R4281" s="20"/>
      <c r="S4281" s="20"/>
    </row>
    <row r="4282">
      <c r="A4282" s="23"/>
      <c r="B4282" s="21"/>
      <c r="C4282" s="23"/>
      <c r="D4282" s="24"/>
      <c r="E4282" s="14"/>
      <c r="F4282" s="14"/>
      <c r="G4282" s="14"/>
      <c r="H4282" s="23"/>
      <c r="I4282" s="23"/>
      <c r="J4282" s="23"/>
      <c r="K4282" s="30"/>
      <c r="L4282" s="23"/>
      <c r="M4282" s="50" t="s">
        <v>10178</v>
      </c>
      <c r="N4282" s="51"/>
      <c r="O4282" s="20"/>
      <c r="P4282" s="20"/>
      <c r="Q4282" s="20"/>
      <c r="R4282" s="20"/>
      <c r="S4282" s="20"/>
    </row>
    <row r="4283">
      <c r="A4283" s="10"/>
      <c r="B4283" s="11"/>
      <c r="C4283" s="10"/>
      <c r="D4283" s="13"/>
      <c r="E4283" s="14"/>
      <c r="F4283" s="14"/>
      <c r="G4283" s="14"/>
      <c r="H4283" s="10"/>
      <c r="I4283" s="10"/>
      <c r="J4283" s="10"/>
      <c r="K4283" s="46"/>
      <c r="L4283" s="10"/>
      <c r="M4283" s="44" t="s">
        <v>10178</v>
      </c>
      <c r="N4283" s="45"/>
      <c r="O4283" s="20"/>
      <c r="P4283" s="20"/>
      <c r="Q4283" s="20"/>
      <c r="R4283" s="20"/>
      <c r="S4283" s="20"/>
    </row>
    <row r="4284">
      <c r="A4284" s="23"/>
      <c r="B4284" s="21"/>
      <c r="C4284" s="23"/>
      <c r="D4284" s="24"/>
      <c r="E4284" s="14"/>
      <c r="F4284" s="14"/>
      <c r="G4284" s="14"/>
      <c r="H4284" s="23"/>
      <c r="I4284" s="23"/>
      <c r="J4284" s="23"/>
      <c r="K4284" s="30"/>
      <c r="L4284" s="23"/>
      <c r="M4284" s="50" t="s">
        <v>10178</v>
      </c>
      <c r="N4284" s="51"/>
      <c r="O4284" s="20"/>
      <c r="P4284" s="20"/>
      <c r="Q4284" s="20"/>
      <c r="R4284" s="20"/>
      <c r="S4284" s="20"/>
    </row>
    <row r="4285">
      <c r="A4285" s="10"/>
      <c r="B4285" s="11"/>
      <c r="C4285" s="10"/>
      <c r="D4285" s="13"/>
      <c r="E4285" s="14"/>
      <c r="F4285" s="14"/>
      <c r="G4285" s="14"/>
      <c r="H4285" s="10"/>
      <c r="I4285" s="10"/>
      <c r="J4285" s="10"/>
      <c r="K4285" s="46"/>
      <c r="L4285" s="10"/>
      <c r="M4285" s="44" t="s">
        <v>10178</v>
      </c>
      <c r="N4285" s="45"/>
      <c r="O4285" s="20"/>
      <c r="P4285" s="20"/>
      <c r="Q4285" s="20"/>
      <c r="R4285" s="20"/>
      <c r="S4285" s="20"/>
    </row>
    <row r="4286">
      <c r="A4286" s="23"/>
      <c r="B4286" s="21"/>
      <c r="C4286" s="23"/>
      <c r="D4286" s="24"/>
      <c r="E4286" s="14"/>
      <c r="F4286" s="14"/>
      <c r="G4286" s="14"/>
      <c r="H4286" s="23"/>
      <c r="I4286" s="23"/>
      <c r="J4286" s="23"/>
      <c r="K4286" s="30"/>
      <c r="L4286" s="23"/>
      <c r="M4286" s="50" t="s">
        <v>10178</v>
      </c>
      <c r="N4286" s="51"/>
      <c r="O4286" s="20"/>
      <c r="P4286" s="20"/>
      <c r="Q4286" s="20"/>
      <c r="R4286" s="20"/>
      <c r="S4286" s="20"/>
    </row>
    <row r="4287">
      <c r="A4287" s="10"/>
      <c r="B4287" s="11"/>
      <c r="C4287" s="10"/>
      <c r="D4287" s="13"/>
      <c r="E4287" s="14"/>
      <c r="F4287" s="14"/>
      <c r="G4287" s="14"/>
      <c r="H4287" s="10"/>
      <c r="I4287" s="10"/>
      <c r="J4287" s="10"/>
      <c r="K4287" s="46"/>
      <c r="L4287" s="10"/>
      <c r="M4287" s="44" t="s">
        <v>10178</v>
      </c>
      <c r="N4287" s="45"/>
      <c r="O4287" s="20"/>
      <c r="P4287" s="20"/>
      <c r="Q4287" s="20"/>
      <c r="R4287" s="20"/>
      <c r="S4287" s="20"/>
    </row>
    <row r="4288">
      <c r="A4288" s="23"/>
      <c r="B4288" s="21"/>
      <c r="C4288" s="23"/>
      <c r="D4288" s="24"/>
      <c r="E4288" s="14"/>
      <c r="F4288" s="14"/>
      <c r="G4288" s="14"/>
      <c r="H4288" s="23"/>
      <c r="I4288" s="23"/>
      <c r="J4288" s="23"/>
      <c r="K4288" s="30"/>
      <c r="L4288" s="23"/>
      <c r="M4288" s="50" t="s">
        <v>10178</v>
      </c>
      <c r="N4288" s="51"/>
      <c r="O4288" s="20"/>
      <c r="P4288" s="20"/>
      <c r="Q4288" s="20"/>
      <c r="R4288" s="20"/>
      <c r="S4288" s="20"/>
    </row>
    <row r="4289">
      <c r="A4289" s="10"/>
      <c r="B4289" s="11"/>
      <c r="C4289" s="10"/>
      <c r="D4289" s="13"/>
      <c r="E4289" s="14"/>
      <c r="F4289" s="14"/>
      <c r="G4289" s="14"/>
      <c r="H4289" s="10"/>
      <c r="I4289" s="10"/>
      <c r="J4289" s="10"/>
      <c r="K4289" s="46"/>
      <c r="L4289" s="10"/>
      <c r="M4289" s="44" t="s">
        <v>10178</v>
      </c>
      <c r="N4289" s="45"/>
      <c r="O4289" s="20"/>
      <c r="P4289" s="20"/>
      <c r="Q4289" s="20"/>
      <c r="R4289" s="20"/>
      <c r="S4289" s="20"/>
    </row>
    <row r="4290">
      <c r="A4290" s="23"/>
      <c r="B4290" s="21"/>
      <c r="C4290" s="23"/>
      <c r="D4290" s="24"/>
      <c r="E4290" s="14"/>
      <c r="F4290" s="14"/>
      <c r="G4290" s="14"/>
      <c r="H4290" s="23"/>
      <c r="I4290" s="23"/>
      <c r="J4290" s="23"/>
      <c r="K4290" s="30"/>
      <c r="L4290" s="23"/>
      <c r="M4290" s="50" t="s">
        <v>10178</v>
      </c>
      <c r="N4290" s="51"/>
      <c r="O4290" s="20"/>
      <c r="P4290" s="20"/>
      <c r="Q4290" s="20"/>
      <c r="R4290" s="20"/>
      <c r="S4290" s="20"/>
    </row>
    <row r="4291">
      <c r="A4291" s="10"/>
      <c r="B4291" s="11"/>
      <c r="C4291" s="10"/>
      <c r="D4291" s="13"/>
      <c r="E4291" s="14"/>
      <c r="F4291" s="14"/>
      <c r="G4291" s="14"/>
      <c r="H4291" s="10"/>
      <c r="I4291" s="10"/>
      <c r="J4291" s="10"/>
      <c r="K4291" s="46"/>
      <c r="L4291" s="10"/>
      <c r="M4291" s="44" t="s">
        <v>10178</v>
      </c>
      <c r="N4291" s="45"/>
      <c r="O4291" s="20"/>
      <c r="P4291" s="20"/>
      <c r="Q4291" s="20"/>
      <c r="R4291" s="20"/>
      <c r="S4291" s="20"/>
    </row>
    <row r="4292">
      <c r="A4292" s="23"/>
      <c r="B4292" s="21"/>
      <c r="C4292" s="23"/>
      <c r="D4292" s="24"/>
      <c r="E4292" s="14"/>
      <c r="F4292" s="14"/>
      <c r="G4292" s="14"/>
      <c r="H4292" s="23"/>
      <c r="I4292" s="23"/>
      <c r="J4292" s="23"/>
      <c r="K4292" s="30"/>
      <c r="L4292" s="23"/>
      <c r="M4292" s="50" t="s">
        <v>10178</v>
      </c>
      <c r="N4292" s="51"/>
      <c r="O4292" s="20"/>
      <c r="P4292" s="20"/>
      <c r="Q4292" s="20"/>
      <c r="R4292" s="20"/>
      <c r="S4292" s="20"/>
    </row>
    <row r="4293">
      <c r="A4293" s="10"/>
      <c r="B4293" s="11"/>
      <c r="C4293" s="10"/>
      <c r="D4293" s="13"/>
      <c r="E4293" s="14"/>
      <c r="F4293" s="14"/>
      <c r="G4293" s="14"/>
      <c r="H4293" s="10"/>
      <c r="I4293" s="10"/>
      <c r="J4293" s="10"/>
      <c r="K4293" s="46"/>
      <c r="L4293" s="10"/>
      <c r="M4293" s="44" t="s">
        <v>10178</v>
      </c>
      <c r="N4293" s="45"/>
      <c r="O4293" s="20"/>
      <c r="P4293" s="20"/>
      <c r="Q4293" s="20"/>
      <c r="R4293" s="20"/>
      <c r="S4293" s="20"/>
    </row>
    <row r="4294">
      <c r="A4294" s="23"/>
      <c r="B4294" s="21"/>
      <c r="C4294" s="23"/>
      <c r="D4294" s="24"/>
      <c r="E4294" s="14"/>
      <c r="F4294" s="14"/>
      <c r="G4294" s="14"/>
      <c r="H4294" s="23"/>
      <c r="I4294" s="23"/>
      <c r="J4294" s="23"/>
      <c r="K4294" s="30"/>
      <c r="L4294" s="23"/>
      <c r="M4294" s="50" t="s">
        <v>10178</v>
      </c>
      <c r="N4294" s="51"/>
      <c r="O4294" s="20"/>
      <c r="P4294" s="20"/>
      <c r="Q4294" s="20"/>
      <c r="R4294" s="20"/>
      <c r="S4294" s="20"/>
    </row>
    <row r="4295">
      <c r="A4295" s="10"/>
      <c r="B4295" s="11"/>
      <c r="C4295" s="10"/>
      <c r="D4295" s="13"/>
      <c r="E4295" s="14"/>
      <c r="F4295" s="14"/>
      <c r="G4295" s="14"/>
      <c r="H4295" s="10"/>
      <c r="I4295" s="10"/>
      <c r="J4295" s="10"/>
      <c r="K4295" s="46"/>
      <c r="L4295" s="10"/>
      <c r="M4295" s="44" t="s">
        <v>10178</v>
      </c>
      <c r="N4295" s="45"/>
      <c r="O4295" s="20"/>
      <c r="P4295" s="20"/>
      <c r="Q4295" s="20"/>
      <c r="R4295" s="20"/>
      <c r="S4295" s="20"/>
    </row>
    <row r="4296">
      <c r="A4296" s="23"/>
      <c r="B4296" s="21"/>
      <c r="C4296" s="23"/>
      <c r="D4296" s="24"/>
      <c r="E4296" s="14"/>
      <c r="F4296" s="14"/>
      <c r="G4296" s="14"/>
      <c r="H4296" s="23"/>
      <c r="I4296" s="23"/>
      <c r="J4296" s="23"/>
      <c r="K4296" s="30"/>
      <c r="L4296" s="23"/>
      <c r="M4296" s="50" t="s">
        <v>10178</v>
      </c>
      <c r="N4296" s="51"/>
      <c r="O4296" s="20"/>
      <c r="P4296" s="20"/>
      <c r="Q4296" s="20"/>
      <c r="R4296" s="20"/>
      <c r="S4296" s="20"/>
    </row>
    <row r="4297">
      <c r="A4297" s="10"/>
      <c r="B4297" s="11"/>
      <c r="C4297" s="10"/>
      <c r="D4297" s="13"/>
      <c r="E4297" s="14"/>
      <c r="F4297" s="14"/>
      <c r="G4297" s="14"/>
      <c r="H4297" s="10"/>
      <c r="I4297" s="10"/>
      <c r="J4297" s="10"/>
      <c r="K4297" s="46"/>
      <c r="L4297" s="10"/>
      <c r="M4297" s="44" t="s">
        <v>10178</v>
      </c>
      <c r="N4297" s="45"/>
      <c r="O4297" s="20"/>
      <c r="P4297" s="20"/>
      <c r="Q4297" s="20"/>
      <c r="R4297" s="20"/>
      <c r="S4297" s="20"/>
    </row>
    <row r="4298">
      <c r="A4298" s="23"/>
      <c r="B4298" s="21"/>
      <c r="C4298" s="23"/>
      <c r="D4298" s="24"/>
      <c r="E4298" s="14"/>
      <c r="F4298" s="14"/>
      <c r="G4298" s="14"/>
      <c r="H4298" s="23"/>
      <c r="I4298" s="23"/>
      <c r="J4298" s="23"/>
      <c r="K4298" s="30"/>
      <c r="L4298" s="23"/>
      <c r="M4298" s="50" t="s">
        <v>10178</v>
      </c>
      <c r="N4298" s="51"/>
      <c r="O4298" s="20"/>
      <c r="P4298" s="20"/>
      <c r="Q4298" s="20"/>
      <c r="R4298" s="20"/>
      <c r="S4298" s="20"/>
    </row>
    <row r="4299">
      <c r="A4299" s="10"/>
      <c r="B4299" s="11"/>
      <c r="C4299" s="10"/>
      <c r="D4299" s="13"/>
      <c r="E4299" s="14"/>
      <c r="F4299" s="14"/>
      <c r="G4299" s="14"/>
      <c r="H4299" s="10"/>
      <c r="I4299" s="10"/>
      <c r="J4299" s="10"/>
      <c r="K4299" s="46"/>
      <c r="L4299" s="10"/>
      <c r="M4299" s="44" t="s">
        <v>10178</v>
      </c>
      <c r="N4299" s="45"/>
      <c r="O4299" s="20"/>
      <c r="P4299" s="20"/>
      <c r="Q4299" s="20"/>
      <c r="R4299" s="20"/>
      <c r="S4299" s="20"/>
    </row>
    <row r="4300">
      <c r="A4300" s="23"/>
      <c r="B4300" s="21"/>
      <c r="C4300" s="23"/>
      <c r="D4300" s="24"/>
      <c r="E4300" s="14"/>
      <c r="F4300" s="14"/>
      <c r="G4300" s="14"/>
      <c r="H4300" s="23"/>
      <c r="I4300" s="23"/>
      <c r="J4300" s="23"/>
      <c r="K4300" s="30"/>
      <c r="L4300" s="23"/>
      <c r="M4300" s="50" t="s">
        <v>10178</v>
      </c>
      <c r="N4300" s="51"/>
      <c r="O4300" s="20"/>
      <c r="P4300" s="20"/>
      <c r="Q4300" s="20"/>
      <c r="R4300" s="20"/>
      <c r="S4300" s="20"/>
    </row>
    <row r="4301">
      <c r="A4301" s="10"/>
      <c r="B4301" s="11"/>
      <c r="C4301" s="10"/>
      <c r="D4301" s="13"/>
      <c r="E4301" s="14"/>
      <c r="F4301" s="14"/>
      <c r="G4301" s="14"/>
      <c r="H4301" s="10"/>
      <c r="I4301" s="10"/>
      <c r="J4301" s="10"/>
      <c r="K4301" s="46"/>
      <c r="L4301" s="10"/>
      <c r="M4301" s="44" t="s">
        <v>10178</v>
      </c>
      <c r="N4301" s="45"/>
      <c r="O4301" s="20"/>
      <c r="P4301" s="20"/>
      <c r="Q4301" s="20"/>
      <c r="R4301" s="20"/>
      <c r="S4301" s="20"/>
    </row>
    <row r="4302">
      <c r="A4302" s="23"/>
      <c r="B4302" s="21"/>
      <c r="C4302" s="23"/>
      <c r="D4302" s="24"/>
      <c r="E4302" s="14"/>
      <c r="F4302" s="14"/>
      <c r="G4302" s="14"/>
      <c r="H4302" s="23"/>
      <c r="I4302" s="23"/>
      <c r="J4302" s="23"/>
      <c r="K4302" s="30"/>
      <c r="L4302" s="23"/>
      <c r="M4302" s="50" t="s">
        <v>10178</v>
      </c>
      <c r="N4302" s="51"/>
      <c r="O4302" s="20"/>
      <c r="P4302" s="20"/>
      <c r="Q4302" s="20"/>
      <c r="R4302" s="20"/>
      <c r="S4302" s="20"/>
    </row>
    <row r="4303">
      <c r="A4303" s="10"/>
      <c r="B4303" s="11"/>
      <c r="C4303" s="10"/>
      <c r="D4303" s="13"/>
      <c r="E4303" s="14"/>
      <c r="F4303" s="14"/>
      <c r="G4303" s="14"/>
      <c r="H4303" s="10"/>
      <c r="I4303" s="10"/>
      <c r="J4303" s="10"/>
      <c r="K4303" s="46"/>
      <c r="L4303" s="10"/>
      <c r="M4303" s="44" t="s">
        <v>10178</v>
      </c>
      <c r="N4303" s="45"/>
      <c r="O4303" s="20"/>
      <c r="P4303" s="20"/>
      <c r="Q4303" s="20"/>
      <c r="R4303" s="20"/>
      <c r="S4303" s="20"/>
    </row>
    <row r="4304">
      <c r="A4304" s="23"/>
      <c r="B4304" s="21"/>
      <c r="C4304" s="23"/>
      <c r="D4304" s="24"/>
      <c r="E4304" s="14"/>
      <c r="F4304" s="14"/>
      <c r="G4304" s="14"/>
      <c r="H4304" s="23"/>
      <c r="I4304" s="23"/>
      <c r="J4304" s="23"/>
      <c r="K4304" s="30"/>
      <c r="L4304" s="23"/>
      <c r="M4304" s="50" t="s">
        <v>10178</v>
      </c>
      <c r="N4304" s="51"/>
      <c r="O4304" s="20"/>
      <c r="P4304" s="20"/>
      <c r="Q4304" s="20"/>
      <c r="R4304" s="20"/>
      <c r="S4304" s="20"/>
    </row>
    <row r="4305">
      <c r="A4305" s="10"/>
      <c r="B4305" s="11"/>
      <c r="C4305" s="10"/>
      <c r="D4305" s="13"/>
      <c r="E4305" s="14"/>
      <c r="F4305" s="14"/>
      <c r="G4305" s="14"/>
      <c r="H4305" s="10"/>
      <c r="I4305" s="10"/>
      <c r="J4305" s="10"/>
      <c r="K4305" s="46"/>
      <c r="L4305" s="10"/>
      <c r="M4305" s="44" t="s">
        <v>10178</v>
      </c>
      <c r="N4305" s="45"/>
      <c r="O4305" s="20"/>
      <c r="P4305" s="20"/>
      <c r="Q4305" s="20"/>
      <c r="R4305" s="20"/>
      <c r="S4305" s="20"/>
    </row>
    <row r="4306">
      <c r="A4306" s="23"/>
      <c r="B4306" s="21"/>
      <c r="C4306" s="23"/>
      <c r="D4306" s="24"/>
      <c r="E4306" s="14"/>
      <c r="F4306" s="14"/>
      <c r="G4306" s="14"/>
      <c r="H4306" s="23"/>
      <c r="I4306" s="23"/>
      <c r="J4306" s="23"/>
      <c r="K4306" s="30"/>
      <c r="L4306" s="23"/>
      <c r="M4306" s="50" t="s">
        <v>10178</v>
      </c>
      <c r="N4306" s="51"/>
      <c r="O4306" s="20"/>
      <c r="P4306" s="20"/>
      <c r="Q4306" s="20"/>
      <c r="R4306" s="20"/>
      <c r="S4306" s="20"/>
    </row>
    <row r="4307">
      <c r="A4307" s="10"/>
      <c r="B4307" s="11"/>
      <c r="C4307" s="10"/>
      <c r="D4307" s="13"/>
      <c r="E4307" s="14"/>
      <c r="F4307" s="14"/>
      <c r="G4307" s="14"/>
      <c r="H4307" s="10"/>
      <c r="I4307" s="10"/>
      <c r="J4307" s="10"/>
      <c r="K4307" s="46"/>
      <c r="L4307" s="10"/>
      <c r="M4307" s="44" t="s">
        <v>10178</v>
      </c>
      <c r="N4307" s="45"/>
      <c r="O4307" s="20"/>
      <c r="P4307" s="20"/>
      <c r="Q4307" s="20"/>
      <c r="R4307" s="20"/>
      <c r="S4307" s="20"/>
    </row>
    <row r="4308">
      <c r="A4308" s="23"/>
      <c r="B4308" s="21"/>
      <c r="C4308" s="23"/>
      <c r="D4308" s="24"/>
      <c r="E4308" s="14"/>
      <c r="F4308" s="14"/>
      <c r="G4308" s="14"/>
      <c r="H4308" s="23"/>
      <c r="I4308" s="23"/>
      <c r="J4308" s="23"/>
      <c r="K4308" s="30"/>
      <c r="L4308" s="23"/>
      <c r="M4308" s="50" t="s">
        <v>10178</v>
      </c>
      <c r="N4308" s="51"/>
      <c r="O4308" s="20"/>
      <c r="P4308" s="20"/>
      <c r="Q4308" s="20"/>
      <c r="R4308" s="20"/>
      <c r="S4308" s="20"/>
    </row>
    <row r="4309">
      <c r="A4309" s="10"/>
      <c r="B4309" s="11"/>
      <c r="C4309" s="10"/>
      <c r="D4309" s="13"/>
      <c r="E4309" s="14"/>
      <c r="F4309" s="14"/>
      <c r="G4309" s="14"/>
      <c r="H4309" s="10"/>
      <c r="I4309" s="10"/>
      <c r="J4309" s="10"/>
      <c r="K4309" s="46"/>
      <c r="L4309" s="10"/>
      <c r="M4309" s="44" t="s">
        <v>10178</v>
      </c>
      <c r="N4309" s="45"/>
      <c r="O4309" s="20"/>
      <c r="P4309" s="20"/>
      <c r="Q4309" s="20"/>
      <c r="R4309" s="20"/>
      <c r="S4309" s="20"/>
    </row>
    <row r="4310">
      <c r="A4310" s="23"/>
      <c r="B4310" s="21"/>
      <c r="C4310" s="23"/>
      <c r="D4310" s="24"/>
      <c r="E4310" s="14"/>
      <c r="F4310" s="14"/>
      <c r="G4310" s="14"/>
      <c r="H4310" s="23"/>
      <c r="I4310" s="23"/>
      <c r="J4310" s="23"/>
      <c r="K4310" s="30"/>
      <c r="L4310" s="23"/>
      <c r="M4310" s="50" t="s">
        <v>10178</v>
      </c>
      <c r="N4310" s="51"/>
      <c r="O4310" s="20"/>
      <c r="P4310" s="20"/>
      <c r="Q4310" s="20"/>
      <c r="R4310" s="20"/>
      <c r="S4310" s="20"/>
    </row>
    <row r="4311">
      <c r="A4311" s="10"/>
      <c r="B4311" s="11"/>
      <c r="C4311" s="10"/>
      <c r="D4311" s="13"/>
      <c r="E4311" s="14"/>
      <c r="F4311" s="14"/>
      <c r="G4311" s="14"/>
      <c r="H4311" s="10"/>
      <c r="I4311" s="10"/>
      <c r="J4311" s="10"/>
      <c r="K4311" s="46"/>
      <c r="L4311" s="10"/>
      <c r="M4311" s="44" t="s">
        <v>10178</v>
      </c>
      <c r="N4311" s="45"/>
      <c r="O4311" s="20"/>
      <c r="P4311" s="20"/>
      <c r="Q4311" s="20"/>
      <c r="R4311" s="20"/>
      <c r="S4311" s="20"/>
    </row>
    <row r="4312">
      <c r="A4312" s="23"/>
      <c r="B4312" s="21"/>
      <c r="C4312" s="23"/>
      <c r="D4312" s="24"/>
      <c r="E4312" s="14"/>
      <c r="F4312" s="14"/>
      <c r="G4312" s="14"/>
      <c r="H4312" s="23"/>
      <c r="I4312" s="23"/>
      <c r="J4312" s="23"/>
      <c r="K4312" s="30"/>
      <c r="L4312" s="23"/>
      <c r="M4312" s="50" t="s">
        <v>10178</v>
      </c>
      <c r="N4312" s="51"/>
      <c r="O4312" s="20"/>
      <c r="P4312" s="20"/>
      <c r="Q4312" s="20"/>
      <c r="R4312" s="20"/>
      <c r="S4312" s="20"/>
    </row>
    <row r="4313">
      <c r="A4313" s="10"/>
      <c r="B4313" s="11"/>
      <c r="C4313" s="10"/>
      <c r="D4313" s="13"/>
      <c r="E4313" s="14"/>
      <c r="F4313" s="14"/>
      <c r="G4313" s="14"/>
      <c r="H4313" s="10"/>
      <c r="I4313" s="10"/>
      <c r="J4313" s="10"/>
      <c r="K4313" s="46"/>
      <c r="L4313" s="10"/>
      <c r="M4313" s="44" t="s">
        <v>10178</v>
      </c>
      <c r="N4313" s="45"/>
      <c r="O4313" s="20"/>
      <c r="P4313" s="20"/>
      <c r="Q4313" s="20"/>
      <c r="R4313" s="20"/>
      <c r="S4313" s="20"/>
    </row>
    <row r="4314">
      <c r="A4314" s="23"/>
      <c r="B4314" s="21"/>
      <c r="C4314" s="23"/>
      <c r="D4314" s="24"/>
      <c r="E4314" s="14"/>
      <c r="F4314" s="14"/>
      <c r="G4314" s="14"/>
      <c r="H4314" s="23"/>
      <c r="I4314" s="23"/>
      <c r="J4314" s="23"/>
      <c r="K4314" s="30"/>
      <c r="L4314" s="23"/>
      <c r="M4314" s="50" t="s">
        <v>10178</v>
      </c>
      <c r="N4314" s="51"/>
      <c r="O4314" s="20"/>
      <c r="P4314" s="20"/>
      <c r="Q4314" s="20"/>
      <c r="R4314" s="20"/>
      <c r="S4314" s="20"/>
    </row>
    <row r="4315">
      <c r="A4315" s="10"/>
      <c r="B4315" s="11"/>
      <c r="C4315" s="10"/>
      <c r="D4315" s="13"/>
      <c r="E4315" s="14"/>
      <c r="F4315" s="14"/>
      <c r="G4315" s="14"/>
      <c r="H4315" s="10"/>
      <c r="I4315" s="10"/>
      <c r="J4315" s="10"/>
      <c r="K4315" s="46"/>
      <c r="L4315" s="10"/>
      <c r="M4315" s="44" t="s">
        <v>10178</v>
      </c>
      <c r="N4315" s="45"/>
      <c r="O4315" s="20"/>
      <c r="P4315" s="20"/>
      <c r="Q4315" s="20"/>
      <c r="R4315" s="20"/>
      <c r="S4315" s="20"/>
    </row>
    <row r="4316">
      <c r="A4316" s="23"/>
      <c r="B4316" s="21"/>
      <c r="C4316" s="23"/>
      <c r="D4316" s="24"/>
      <c r="E4316" s="14"/>
      <c r="F4316" s="14"/>
      <c r="G4316" s="14"/>
      <c r="H4316" s="23"/>
      <c r="I4316" s="23"/>
      <c r="J4316" s="23"/>
      <c r="K4316" s="30"/>
      <c r="L4316" s="23"/>
      <c r="M4316" s="50" t="s">
        <v>10178</v>
      </c>
      <c r="N4316" s="51"/>
      <c r="O4316" s="20"/>
      <c r="P4316" s="20"/>
      <c r="Q4316" s="20"/>
      <c r="R4316" s="20"/>
      <c r="S4316" s="20"/>
    </row>
    <row r="4317">
      <c r="A4317" s="10"/>
      <c r="B4317" s="11"/>
      <c r="C4317" s="10"/>
      <c r="D4317" s="13"/>
      <c r="E4317" s="14"/>
      <c r="F4317" s="14"/>
      <c r="G4317" s="14"/>
      <c r="H4317" s="10"/>
      <c r="I4317" s="10"/>
      <c r="J4317" s="10"/>
      <c r="K4317" s="46"/>
      <c r="L4317" s="10"/>
      <c r="M4317" s="44" t="s">
        <v>10178</v>
      </c>
      <c r="N4317" s="45"/>
      <c r="O4317" s="20"/>
      <c r="P4317" s="20"/>
      <c r="Q4317" s="20"/>
      <c r="R4317" s="20"/>
      <c r="S4317" s="20"/>
    </row>
    <row r="4318">
      <c r="A4318" s="23"/>
      <c r="B4318" s="21"/>
      <c r="C4318" s="23"/>
      <c r="D4318" s="24"/>
      <c r="E4318" s="14"/>
      <c r="F4318" s="14"/>
      <c r="G4318" s="14"/>
      <c r="H4318" s="23"/>
      <c r="I4318" s="23"/>
      <c r="J4318" s="23"/>
      <c r="K4318" s="30"/>
      <c r="L4318" s="23"/>
      <c r="M4318" s="50" t="s">
        <v>10178</v>
      </c>
      <c r="N4318" s="51"/>
      <c r="O4318" s="20"/>
      <c r="P4318" s="20"/>
      <c r="Q4318" s="20"/>
      <c r="R4318" s="20"/>
      <c r="S4318" s="20"/>
    </row>
    <row r="4319">
      <c r="A4319" s="10"/>
      <c r="B4319" s="11"/>
      <c r="C4319" s="10"/>
      <c r="D4319" s="13"/>
      <c r="E4319" s="14"/>
      <c r="F4319" s="14"/>
      <c r="G4319" s="14"/>
      <c r="H4319" s="10"/>
      <c r="I4319" s="10"/>
      <c r="J4319" s="10"/>
      <c r="K4319" s="46"/>
      <c r="L4319" s="10"/>
      <c r="M4319" s="44" t="s">
        <v>10178</v>
      </c>
      <c r="N4319" s="45"/>
      <c r="O4319" s="20"/>
      <c r="P4319" s="20"/>
      <c r="Q4319" s="20"/>
      <c r="R4319" s="20"/>
      <c r="S4319" s="20"/>
    </row>
    <row r="4320">
      <c r="A4320" s="23"/>
      <c r="B4320" s="21"/>
      <c r="C4320" s="23"/>
      <c r="D4320" s="24"/>
      <c r="E4320" s="14"/>
      <c r="F4320" s="14"/>
      <c r="G4320" s="14"/>
      <c r="H4320" s="23"/>
      <c r="I4320" s="23"/>
      <c r="J4320" s="23"/>
      <c r="K4320" s="30"/>
      <c r="L4320" s="23"/>
      <c r="M4320" s="50" t="s">
        <v>10178</v>
      </c>
      <c r="N4320" s="51"/>
      <c r="O4320" s="20"/>
      <c r="P4320" s="20"/>
      <c r="Q4320" s="20"/>
      <c r="R4320" s="20"/>
      <c r="S4320" s="20"/>
    </row>
    <row r="4321">
      <c r="A4321" s="10"/>
      <c r="B4321" s="11"/>
      <c r="C4321" s="10"/>
      <c r="D4321" s="13"/>
      <c r="E4321" s="14"/>
      <c r="F4321" s="14"/>
      <c r="G4321" s="14"/>
      <c r="H4321" s="10"/>
      <c r="I4321" s="10"/>
      <c r="J4321" s="10"/>
      <c r="K4321" s="46"/>
      <c r="L4321" s="10"/>
      <c r="M4321" s="44" t="s">
        <v>10178</v>
      </c>
      <c r="N4321" s="45"/>
      <c r="O4321" s="20"/>
      <c r="P4321" s="20"/>
      <c r="Q4321" s="20"/>
      <c r="R4321" s="20"/>
      <c r="S4321" s="20"/>
    </row>
    <row r="4322">
      <c r="A4322" s="23"/>
      <c r="B4322" s="21"/>
      <c r="C4322" s="23"/>
      <c r="D4322" s="24"/>
      <c r="E4322" s="14"/>
      <c r="F4322" s="14"/>
      <c r="G4322" s="14"/>
      <c r="H4322" s="23"/>
      <c r="I4322" s="23"/>
      <c r="J4322" s="23"/>
      <c r="K4322" s="30"/>
      <c r="L4322" s="23"/>
      <c r="M4322" s="50" t="s">
        <v>10178</v>
      </c>
      <c r="N4322" s="51"/>
      <c r="O4322" s="20"/>
      <c r="P4322" s="20"/>
      <c r="Q4322" s="20"/>
      <c r="R4322" s="20"/>
      <c r="S4322" s="20"/>
    </row>
    <row r="4323">
      <c r="A4323" s="10"/>
      <c r="B4323" s="11"/>
      <c r="C4323" s="10"/>
      <c r="D4323" s="13"/>
      <c r="E4323" s="14"/>
      <c r="F4323" s="14"/>
      <c r="G4323" s="14"/>
      <c r="H4323" s="10"/>
      <c r="I4323" s="10"/>
      <c r="J4323" s="10"/>
      <c r="K4323" s="46"/>
      <c r="L4323" s="10"/>
      <c r="M4323" s="44" t="s">
        <v>10178</v>
      </c>
      <c r="N4323" s="45"/>
      <c r="O4323" s="20"/>
      <c r="P4323" s="20"/>
      <c r="Q4323" s="20"/>
      <c r="R4323" s="20"/>
      <c r="S4323" s="20"/>
    </row>
    <row r="4324">
      <c r="A4324" s="23"/>
      <c r="B4324" s="21"/>
      <c r="C4324" s="23"/>
      <c r="D4324" s="24"/>
      <c r="E4324" s="14"/>
      <c r="F4324" s="14"/>
      <c r="G4324" s="14"/>
      <c r="H4324" s="23"/>
      <c r="I4324" s="23"/>
      <c r="J4324" s="23"/>
      <c r="K4324" s="30"/>
      <c r="L4324" s="23"/>
      <c r="M4324" s="50" t="s">
        <v>10178</v>
      </c>
      <c r="N4324" s="51"/>
      <c r="O4324" s="20"/>
      <c r="P4324" s="20"/>
      <c r="Q4324" s="20"/>
      <c r="R4324" s="20"/>
      <c r="S4324" s="20"/>
    </row>
    <row r="4325">
      <c r="A4325" s="10"/>
      <c r="B4325" s="11"/>
      <c r="C4325" s="10"/>
      <c r="D4325" s="13"/>
      <c r="E4325" s="14"/>
      <c r="F4325" s="14"/>
      <c r="G4325" s="14"/>
      <c r="H4325" s="10"/>
      <c r="I4325" s="10"/>
      <c r="J4325" s="10"/>
      <c r="K4325" s="46"/>
      <c r="L4325" s="10"/>
      <c r="M4325" s="44" t="s">
        <v>10178</v>
      </c>
      <c r="N4325" s="45"/>
      <c r="O4325" s="20"/>
      <c r="P4325" s="20"/>
      <c r="Q4325" s="20"/>
      <c r="R4325" s="20"/>
      <c r="S4325" s="20"/>
    </row>
    <row r="4326">
      <c r="A4326" s="23"/>
      <c r="B4326" s="21"/>
      <c r="C4326" s="23"/>
      <c r="D4326" s="24"/>
      <c r="E4326" s="14"/>
      <c r="F4326" s="14"/>
      <c r="G4326" s="14"/>
      <c r="H4326" s="23"/>
      <c r="I4326" s="23"/>
      <c r="J4326" s="23"/>
      <c r="K4326" s="30"/>
      <c r="L4326" s="23"/>
      <c r="M4326" s="50" t="s">
        <v>10178</v>
      </c>
      <c r="N4326" s="51"/>
      <c r="O4326" s="20"/>
      <c r="P4326" s="20"/>
      <c r="Q4326" s="20"/>
      <c r="R4326" s="20"/>
      <c r="S4326" s="20"/>
    </row>
    <row r="4327">
      <c r="A4327" s="10"/>
      <c r="B4327" s="11"/>
      <c r="C4327" s="10"/>
      <c r="D4327" s="13"/>
      <c r="E4327" s="14"/>
      <c r="F4327" s="14"/>
      <c r="G4327" s="14"/>
      <c r="H4327" s="10"/>
      <c r="I4327" s="10"/>
      <c r="J4327" s="10"/>
      <c r="K4327" s="46"/>
      <c r="L4327" s="10"/>
      <c r="M4327" s="44" t="s">
        <v>10178</v>
      </c>
      <c r="N4327" s="45"/>
      <c r="O4327" s="20"/>
      <c r="P4327" s="20"/>
      <c r="Q4327" s="20"/>
      <c r="R4327" s="20"/>
      <c r="S4327" s="20"/>
    </row>
    <row r="4328">
      <c r="A4328" s="23"/>
      <c r="B4328" s="21"/>
      <c r="C4328" s="23"/>
      <c r="D4328" s="24"/>
      <c r="E4328" s="14"/>
      <c r="F4328" s="14"/>
      <c r="G4328" s="14"/>
      <c r="H4328" s="23"/>
      <c r="I4328" s="23"/>
      <c r="J4328" s="23"/>
      <c r="K4328" s="30"/>
      <c r="L4328" s="23"/>
      <c r="M4328" s="50" t="s">
        <v>10178</v>
      </c>
      <c r="N4328" s="51"/>
      <c r="O4328" s="20"/>
      <c r="P4328" s="20"/>
      <c r="Q4328" s="20"/>
      <c r="R4328" s="20"/>
      <c r="S4328" s="20"/>
    </row>
    <row r="4329">
      <c r="A4329" s="10"/>
      <c r="B4329" s="11"/>
      <c r="C4329" s="10"/>
      <c r="D4329" s="13"/>
      <c r="E4329" s="14"/>
      <c r="F4329" s="14"/>
      <c r="G4329" s="14"/>
      <c r="H4329" s="10"/>
      <c r="I4329" s="10"/>
      <c r="J4329" s="10"/>
      <c r="K4329" s="46"/>
      <c r="L4329" s="10"/>
      <c r="M4329" s="44" t="s">
        <v>10178</v>
      </c>
      <c r="N4329" s="45"/>
      <c r="O4329" s="20"/>
      <c r="P4329" s="20"/>
      <c r="Q4329" s="20"/>
      <c r="R4329" s="20"/>
      <c r="S4329" s="20"/>
    </row>
    <row r="4330">
      <c r="A4330" s="23"/>
      <c r="B4330" s="21"/>
      <c r="C4330" s="23"/>
      <c r="D4330" s="24"/>
      <c r="E4330" s="14"/>
      <c r="F4330" s="14"/>
      <c r="G4330" s="14"/>
      <c r="H4330" s="23"/>
      <c r="I4330" s="23"/>
      <c r="J4330" s="23"/>
      <c r="K4330" s="30"/>
      <c r="L4330" s="23"/>
      <c r="M4330" s="50" t="s">
        <v>10178</v>
      </c>
      <c r="N4330" s="51"/>
      <c r="O4330" s="20"/>
      <c r="P4330" s="20"/>
      <c r="Q4330" s="20"/>
      <c r="R4330" s="20"/>
      <c r="S4330" s="20"/>
    </row>
    <row r="4331">
      <c r="A4331" s="10"/>
      <c r="B4331" s="11"/>
      <c r="C4331" s="10"/>
      <c r="D4331" s="13"/>
      <c r="E4331" s="14"/>
      <c r="F4331" s="14"/>
      <c r="G4331" s="14"/>
      <c r="H4331" s="10"/>
      <c r="I4331" s="10"/>
      <c r="J4331" s="10"/>
      <c r="K4331" s="46"/>
      <c r="L4331" s="10"/>
      <c r="M4331" s="44" t="s">
        <v>10178</v>
      </c>
      <c r="N4331" s="45"/>
      <c r="O4331" s="20"/>
      <c r="P4331" s="20"/>
      <c r="Q4331" s="20"/>
      <c r="R4331" s="20"/>
      <c r="S4331" s="20"/>
    </row>
    <row r="4332">
      <c r="A4332" s="23"/>
      <c r="B4332" s="21"/>
      <c r="C4332" s="23"/>
      <c r="D4332" s="24"/>
      <c r="E4332" s="14"/>
      <c r="F4332" s="14"/>
      <c r="G4332" s="14"/>
      <c r="H4332" s="23"/>
      <c r="I4332" s="23"/>
      <c r="J4332" s="23"/>
      <c r="K4332" s="30"/>
      <c r="L4332" s="23"/>
      <c r="M4332" s="50" t="s">
        <v>10178</v>
      </c>
      <c r="N4332" s="51"/>
      <c r="O4332" s="20"/>
      <c r="P4332" s="20"/>
      <c r="Q4332" s="20"/>
      <c r="R4332" s="20"/>
      <c r="S4332" s="20"/>
    </row>
    <row r="4333">
      <c r="A4333" s="10"/>
      <c r="B4333" s="11"/>
      <c r="C4333" s="10"/>
      <c r="D4333" s="13"/>
      <c r="E4333" s="14"/>
      <c r="F4333" s="14"/>
      <c r="G4333" s="14"/>
      <c r="H4333" s="10"/>
      <c r="I4333" s="10"/>
      <c r="J4333" s="10"/>
      <c r="K4333" s="46"/>
      <c r="L4333" s="10"/>
      <c r="M4333" s="44" t="s">
        <v>10178</v>
      </c>
      <c r="N4333" s="45"/>
      <c r="O4333" s="20"/>
      <c r="P4333" s="20"/>
      <c r="Q4333" s="20"/>
      <c r="R4333" s="20"/>
      <c r="S4333" s="20"/>
    </row>
    <row r="4334">
      <c r="A4334" s="23"/>
      <c r="B4334" s="21"/>
      <c r="C4334" s="23"/>
      <c r="D4334" s="24"/>
      <c r="E4334" s="14"/>
      <c r="F4334" s="14"/>
      <c r="G4334" s="14"/>
      <c r="H4334" s="23"/>
      <c r="I4334" s="23"/>
      <c r="J4334" s="23"/>
      <c r="K4334" s="30"/>
      <c r="L4334" s="23"/>
      <c r="M4334" s="50" t="s">
        <v>10178</v>
      </c>
      <c r="N4334" s="51"/>
      <c r="O4334" s="20"/>
      <c r="P4334" s="20"/>
      <c r="Q4334" s="20"/>
      <c r="R4334" s="20"/>
      <c r="S4334" s="20"/>
    </row>
    <row r="4335">
      <c r="A4335" s="10"/>
      <c r="B4335" s="11"/>
      <c r="C4335" s="10"/>
      <c r="D4335" s="13"/>
      <c r="E4335" s="14"/>
      <c r="F4335" s="14"/>
      <c r="G4335" s="14"/>
      <c r="H4335" s="10"/>
      <c r="I4335" s="10"/>
      <c r="J4335" s="10"/>
      <c r="K4335" s="46"/>
      <c r="L4335" s="10"/>
      <c r="M4335" s="44" t="s">
        <v>10178</v>
      </c>
      <c r="N4335" s="45"/>
      <c r="O4335" s="20"/>
      <c r="P4335" s="20"/>
      <c r="Q4335" s="20"/>
      <c r="R4335" s="20"/>
      <c r="S4335" s="20"/>
    </row>
    <row r="4336">
      <c r="A4336" s="23"/>
      <c r="B4336" s="21"/>
      <c r="C4336" s="23"/>
      <c r="D4336" s="24"/>
      <c r="E4336" s="14"/>
      <c r="F4336" s="14"/>
      <c r="G4336" s="14"/>
      <c r="H4336" s="23"/>
      <c r="I4336" s="23"/>
      <c r="J4336" s="23"/>
      <c r="K4336" s="30"/>
      <c r="L4336" s="23"/>
      <c r="M4336" s="50" t="s">
        <v>10178</v>
      </c>
      <c r="N4336" s="51"/>
      <c r="O4336" s="20"/>
      <c r="P4336" s="20"/>
      <c r="Q4336" s="20"/>
      <c r="R4336" s="20"/>
      <c r="S4336" s="20"/>
    </row>
    <row r="4337">
      <c r="A4337" s="10"/>
      <c r="B4337" s="11"/>
      <c r="C4337" s="10"/>
      <c r="D4337" s="13"/>
      <c r="E4337" s="14"/>
      <c r="F4337" s="14"/>
      <c r="G4337" s="14"/>
      <c r="H4337" s="10"/>
      <c r="I4337" s="10"/>
      <c r="J4337" s="10"/>
      <c r="K4337" s="46"/>
      <c r="L4337" s="10"/>
      <c r="M4337" s="44" t="s">
        <v>10178</v>
      </c>
      <c r="N4337" s="45"/>
      <c r="O4337" s="20"/>
      <c r="P4337" s="20"/>
      <c r="Q4337" s="20"/>
      <c r="R4337" s="20"/>
      <c r="S4337" s="20"/>
    </row>
    <row r="4338">
      <c r="A4338" s="23"/>
      <c r="B4338" s="21"/>
      <c r="C4338" s="23"/>
      <c r="D4338" s="24"/>
      <c r="E4338" s="14"/>
      <c r="F4338" s="14"/>
      <c r="G4338" s="14"/>
      <c r="H4338" s="23"/>
      <c r="I4338" s="23"/>
      <c r="J4338" s="23"/>
      <c r="K4338" s="30"/>
      <c r="L4338" s="23"/>
      <c r="M4338" s="50" t="s">
        <v>10178</v>
      </c>
      <c r="N4338" s="51"/>
      <c r="O4338" s="20"/>
      <c r="P4338" s="20"/>
      <c r="Q4338" s="20"/>
      <c r="R4338" s="20"/>
      <c r="S4338" s="20"/>
    </row>
    <row r="4339">
      <c r="A4339" s="10"/>
      <c r="B4339" s="11"/>
      <c r="C4339" s="10"/>
      <c r="D4339" s="13"/>
      <c r="E4339" s="14"/>
      <c r="F4339" s="14"/>
      <c r="G4339" s="14"/>
      <c r="H4339" s="10"/>
      <c r="I4339" s="10"/>
      <c r="J4339" s="10"/>
      <c r="K4339" s="46"/>
      <c r="L4339" s="10"/>
      <c r="M4339" s="44" t="s">
        <v>10178</v>
      </c>
      <c r="N4339" s="45"/>
      <c r="O4339" s="20"/>
      <c r="P4339" s="20"/>
      <c r="Q4339" s="20"/>
      <c r="R4339" s="20"/>
      <c r="S4339" s="20"/>
    </row>
    <row r="4340">
      <c r="A4340" s="23"/>
      <c r="B4340" s="21"/>
      <c r="C4340" s="23"/>
      <c r="D4340" s="24"/>
      <c r="E4340" s="14"/>
      <c r="F4340" s="14"/>
      <c r="G4340" s="14"/>
      <c r="H4340" s="23"/>
      <c r="I4340" s="23"/>
      <c r="J4340" s="23"/>
      <c r="K4340" s="30"/>
      <c r="L4340" s="23"/>
      <c r="M4340" s="50" t="s">
        <v>10178</v>
      </c>
      <c r="N4340" s="51"/>
      <c r="O4340" s="20"/>
      <c r="P4340" s="20"/>
      <c r="Q4340" s="20"/>
      <c r="R4340" s="20"/>
      <c r="S4340" s="20"/>
    </row>
    <row r="4341">
      <c r="A4341" s="10"/>
      <c r="B4341" s="11"/>
      <c r="C4341" s="10"/>
      <c r="D4341" s="13"/>
      <c r="E4341" s="14"/>
      <c r="F4341" s="14"/>
      <c r="G4341" s="14"/>
      <c r="H4341" s="10"/>
      <c r="I4341" s="10"/>
      <c r="J4341" s="10"/>
      <c r="K4341" s="46"/>
      <c r="L4341" s="10"/>
      <c r="M4341" s="44" t="s">
        <v>10178</v>
      </c>
      <c r="N4341" s="45"/>
      <c r="O4341" s="20"/>
      <c r="P4341" s="20"/>
      <c r="Q4341" s="20"/>
      <c r="R4341" s="20"/>
      <c r="S4341" s="20"/>
    </row>
    <row r="4342">
      <c r="A4342" s="23"/>
      <c r="B4342" s="21"/>
      <c r="C4342" s="23"/>
      <c r="D4342" s="24"/>
      <c r="E4342" s="14"/>
      <c r="F4342" s="14"/>
      <c r="G4342" s="14"/>
      <c r="H4342" s="23"/>
      <c r="I4342" s="23"/>
      <c r="J4342" s="23"/>
      <c r="K4342" s="30"/>
      <c r="L4342" s="23"/>
      <c r="M4342" s="50" t="s">
        <v>10178</v>
      </c>
      <c r="N4342" s="51"/>
      <c r="O4342" s="20"/>
      <c r="P4342" s="20"/>
      <c r="Q4342" s="20"/>
      <c r="R4342" s="20"/>
      <c r="S4342" s="20"/>
    </row>
    <row r="4343">
      <c r="A4343" s="10"/>
      <c r="B4343" s="11"/>
      <c r="C4343" s="10"/>
      <c r="D4343" s="13"/>
      <c r="E4343" s="14"/>
      <c r="F4343" s="14"/>
      <c r="G4343" s="14"/>
      <c r="H4343" s="10"/>
      <c r="I4343" s="10"/>
      <c r="J4343" s="10"/>
      <c r="K4343" s="46"/>
      <c r="L4343" s="10"/>
      <c r="M4343" s="44" t="s">
        <v>10178</v>
      </c>
      <c r="N4343" s="45"/>
      <c r="O4343" s="20"/>
      <c r="P4343" s="20"/>
      <c r="Q4343" s="20"/>
      <c r="R4343" s="20"/>
      <c r="S4343" s="20"/>
    </row>
    <row r="4344">
      <c r="A4344" s="23"/>
      <c r="B4344" s="21"/>
      <c r="C4344" s="23"/>
      <c r="D4344" s="24"/>
      <c r="E4344" s="14"/>
      <c r="F4344" s="14"/>
      <c r="G4344" s="14"/>
      <c r="H4344" s="23"/>
      <c r="I4344" s="23"/>
      <c r="J4344" s="23"/>
      <c r="K4344" s="30"/>
      <c r="L4344" s="23"/>
      <c r="M4344" s="50" t="s">
        <v>10178</v>
      </c>
      <c r="N4344" s="51"/>
      <c r="O4344" s="20"/>
      <c r="P4344" s="20"/>
      <c r="Q4344" s="20"/>
      <c r="R4344" s="20"/>
      <c r="S4344" s="20"/>
    </row>
    <row r="4345">
      <c r="A4345" s="10"/>
      <c r="B4345" s="11"/>
      <c r="C4345" s="10"/>
      <c r="D4345" s="13"/>
      <c r="E4345" s="14"/>
      <c r="F4345" s="14"/>
      <c r="G4345" s="14"/>
      <c r="H4345" s="10"/>
      <c r="I4345" s="10"/>
      <c r="J4345" s="10"/>
      <c r="K4345" s="46"/>
      <c r="L4345" s="10"/>
      <c r="M4345" s="44" t="s">
        <v>10178</v>
      </c>
      <c r="N4345" s="45"/>
      <c r="O4345" s="20"/>
      <c r="P4345" s="20"/>
      <c r="Q4345" s="20"/>
      <c r="R4345" s="20"/>
      <c r="S4345" s="20"/>
    </row>
    <row r="4346">
      <c r="A4346" s="23"/>
      <c r="B4346" s="21"/>
      <c r="C4346" s="23"/>
      <c r="D4346" s="24"/>
      <c r="E4346" s="14"/>
      <c r="F4346" s="14"/>
      <c r="G4346" s="14"/>
      <c r="H4346" s="23"/>
      <c r="I4346" s="23"/>
      <c r="J4346" s="23"/>
      <c r="K4346" s="30"/>
      <c r="L4346" s="23"/>
      <c r="M4346" s="50" t="s">
        <v>10178</v>
      </c>
      <c r="N4346" s="51"/>
      <c r="O4346" s="20"/>
      <c r="P4346" s="20"/>
      <c r="Q4346" s="20"/>
      <c r="R4346" s="20"/>
      <c r="S4346" s="20"/>
    </row>
    <row r="4347">
      <c r="A4347" s="10"/>
      <c r="B4347" s="11"/>
      <c r="C4347" s="10"/>
      <c r="D4347" s="13"/>
      <c r="E4347" s="14"/>
      <c r="F4347" s="14"/>
      <c r="G4347" s="14"/>
      <c r="H4347" s="10"/>
      <c r="I4347" s="10"/>
      <c r="J4347" s="10"/>
      <c r="K4347" s="46"/>
      <c r="L4347" s="10"/>
      <c r="M4347" s="44" t="s">
        <v>10178</v>
      </c>
      <c r="N4347" s="45"/>
      <c r="O4347" s="20"/>
      <c r="P4347" s="20"/>
      <c r="Q4347" s="20"/>
      <c r="R4347" s="20"/>
      <c r="S4347" s="20"/>
    </row>
    <row r="4348">
      <c r="A4348" s="23"/>
      <c r="B4348" s="21"/>
      <c r="C4348" s="23"/>
      <c r="D4348" s="24"/>
      <c r="E4348" s="14"/>
      <c r="F4348" s="14"/>
      <c r="G4348" s="14"/>
      <c r="H4348" s="23"/>
      <c r="I4348" s="23"/>
      <c r="J4348" s="23"/>
      <c r="K4348" s="30"/>
      <c r="L4348" s="23"/>
      <c r="M4348" s="50" t="s">
        <v>10178</v>
      </c>
      <c r="N4348" s="51"/>
      <c r="O4348" s="20"/>
      <c r="P4348" s="20"/>
      <c r="Q4348" s="20"/>
      <c r="R4348" s="20"/>
      <c r="S4348" s="20"/>
    </row>
    <row r="4349">
      <c r="A4349" s="10"/>
      <c r="B4349" s="11"/>
      <c r="C4349" s="10"/>
      <c r="D4349" s="13"/>
      <c r="E4349" s="14"/>
      <c r="F4349" s="14"/>
      <c r="G4349" s="14"/>
      <c r="H4349" s="10"/>
      <c r="I4349" s="10"/>
      <c r="J4349" s="10"/>
      <c r="K4349" s="46"/>
      <c r="L4349" s="10"/>
      <c r="M4349" s="44" t="s">
        <v>10178</v>
      </c>
      <c r="N4349" s="45"/>
      <c r="O4349" s="20"/>
      <c r="P4349" s="20"/>
      <c r="Q4349" s="20"/>
      <c r="R4349" s="20"/>
      <c r="S4349" s="20"/>
    </row>
    <row r="4350">
      <c r="A4350" s="23"/>
      <c r="B4350" s="21"/>
      <c r="C4350" s="23"/>
      <c r="D4350" s="24"/>
      <c r="E4350" s="14"/>
      <c r="F4350" s="14"/>
      <c r="G4350" s="14"/>
      <c r="H4350" s="23"/>
      <c r="I4350" s="23"/>
      <c r="J4350" s="23"/>
      <c r="K4350" s="30"/>
      <c r="L4350" s="23"/>
      <c r="M4350" s="50" t="s">
        <v>10178</v>
      </c>
      <c r="N4350" s="51"/>
      <c r="O4350" s="20"/>
      <c r="P4350" s="20"/>
      <c r="Q4350" s="20"/>
      <c r="R4350" s="20"/>
      <c r="S4350" s="20"/>
    </row>
    <row r="4351">
      <c r="A4351" s="10"/>
      <c r="B4351" s="11"/>
      <c r="C4351" s="10"/>
      <c r="D4351" s="13"/>
      <c r="E4351" s="14"/>
      <c r="F4351" s="14"/>
      <c r="G4351" s="14"/>
      <c r="H4351" s="10"/>
      <c r="I4351" s="10"/>
      <c r="J4351" s="10"/>
      <c r="K4351" s="46"/>
      <c r="L4351" s="10"/>
      <c r="M4351" s="44" t="s">
        <v>10178</v>
      </c>
      <c r="N4351" s="45"/>
      <c r="O4351" s="20"/>
      <c r="P4351" s="20"/>
      <c r="Q4351" s="20"/>
      <c r="R4351" s="20"/>
      <c r="S4351" s="20"/>
    </row>
    <row r="4352">
      <c r="A4352" s="23"/>
      <c r="B4352" s="21"/>
      <c r="C4352" s="23"/>
      <c r="D4352" s="24"/>
      <c r="E4352" s="14"/>
      <c r="F4352" s="14"/>
      <c r="G4352" s="14"/>
      <c r="H4352" s="23"/>
      <c r="I4352" s="23"/>
      <c r="J4352" s="23"/>
      <c r="K4352" s="30"/>
      <c r="L4352" s="23"/>
      <c r="M4352" s="50" t="s">
        <v>10178</v>
      </c>
      <c r="N4352" s="51"/>
      <c r="O4352" s="20"/>
      <c r="P4352" s="20"/>
      <c r="Q4352" s="20"/>
      <c r="R4352" s="20"/>
      <c r="S4352" s="20"/>
    </row>
    <row r="4353">
      <c r="A4353" s="10"/>
      <c r="B4353" s="11"/>
      <c r="C4353" s="10"/>
      <c r="D4353" s="13"/>
      <c r="E4353" s="14"/>
      <c r="F4353" s="14"/>
      <c r="G4353" s="14"/>
      <c r="H4353" s="10"/>
      <c r="I4353" s="10"/>
      <c r="J4353" s="10"/>
      <c r="K4353" s="46"/>
      <c r="L4353" s="10"/>
      <c r="M4353" s="44" t="s">
        <v>10178</v>
      </c>
      <c r="N4353" s="45"/>
      <c r="O4353" s="20"/>
      <c r="P4353" s="20"/>
      <c r="Q4353" s="20"/>
      <c r="R4353" s="20"/>
      <c r="S4353" s="20"/>
    </row>
    <row r="4354">
      <c r="A4354" s="23"/>
      <c r="B4354" s="21"/>
      <c r="C4354" s="23"/>
      <c r="D4354" s="24"/>
      <c r="E4354" s="14"/>
      <c r="F4354" s="14"/>
      <c r="G4354" s="14"/>
      <c r="H4354" s="23"/>
      <c r="I4354" s="23"/>
      <c r="J4354" s="23"/>
      <c r="K4354" s="30"/>
      <c r="L4354" s="23"/>
      <c r="M4354" s="50" t="s">
        <v>10178</v>
      </c>
      <c r="N4354" s="51"/>
      <c r="O4354" s="20"/>
      <c r="P4354" s="20"/>
      <c r="Q4354" s="20"/>
      <c r="R4354" s="20"/>
      <c r="S4354" s="20"/>
    </row>
    <row r="4355">
      <c r="A4355" s="10"/>
      <c r="B4355" s="11"/>
      <c r="C4355" s="10"/>
      <c r="D4355" s="13"/>
      <c r="E4355" s="14"/>
      <c r="F4355" s="14"/>
      <c r="G4355" s="14"/>
      <c r="H4355" s="10"/>
      <c r="I4355" s="10"/>
      <c r="J4355" s="10"/>
      <c r="K4355" s="46"/>
      <c r="L4355" s="10"/>
      <c r="M4355" s="44" t="s">
        <v>10178</v>
      </c>
      <c r="N4355" s="45"/>
      <c r="O4355" s="20"/>
      <c r="P4355" s="20"/>
      <c r="Q4355" s="20"/>
      <c r="R4355" s="20"/>
      <c r="S4355" s="20"/>
    </row>
    <row r="4356">
      <c r="A4356" s="23"/>
      <c r="B4356" s="21"/>
      <c r="C4356" s="23"/>
      <c r="D4356" s="24"/>
      <c r="E4356" s="14"/>
      <c r="F4356" s="14"/>
      <c r="G4356" s="14"/>
      <c r="H4356" s="23"/>
      <c r="I4356" s="23"/>
      <c r="J4356" s="23"/>
      <c r="K4356" s="30"/>
      <c r="L4356" s="23"/>
      <c r="M4356" s="50" t="s">
        <v>10178</v>
      </c>
      <c r="N4356" s="51"/>
      <c r="O4356" s="20"/>
      <c r="P4356" s="20"/>
      <c r="Q4356" s="20"/>
      <c r="R4356" s="20"/>
      <c r="S4356" s="20"/>
    </row>
    <row r="4357">
      <c r="A4357" s="10"/>
      <c r="B4357" s="11"/>
      <c r="C4357" s="10"/>
      <c r="D4357" s="13"/>
      <c r="E4357" s="14"/>
      <c r="F4357" s="14"/>
      <c r="G4357" s="14"/>
      <c r="H4357" s="10"/>
      <c r="I4357" s="10"/>
      <c r="J4357" s="10"/>
      <c r="K4357" s="46"/>
      <c r="L4357" s="10"/>
      <c r="M4357" s="44" t="s">
        <v>10178</v>
      </c>
      <c r="N4357" s="45"/>
      <c r="O4357" s="20"/>
      <c r="P4357" s="20"/>
      <c r="Q4357" s="20"/>
      <c r="R4357" s="20"/>
      <c r="S4357" s="20"/>
    </row>
    <row r="4358">
      <c r="A4358" s="23"/>
      <c r="B4358" s="21"/>
      <c r="C4358" s="23"/>
      <c r="D4358" s="24"/>
      <c r="E4358" s="14"/>
      <c r="F4358" s="14"/>
      <c r="G4358" s="14"/>
      <c r="H4358" s="23"/>
      <c r="I4358" s="23"/>
      <c r="J4358" s="23"/>
      <c r="K4358" s="30"/>
      <c r="L4358" s="23"/>
      <c r="M4358" s="50" t="s">
        <v>10178</v>
      </c>
      <c r="N4358" s="51"/>
      <c r="O4358" s="20"/>
      <c r="P4358" s="20"/>
      <c r="Q4358" s="20"/>
      <c r="R4358" s="20"/>
      <c r="S4358" s="20"/>
    </row>
    <row r="4359">
      <c r="A4359" s="10"/>
      <c r="B4359" s="11"/>
      <c r="C4359" s="10"/>
      <c r="D4359" s="13"/>
      <c r="E4359" s="14"/>
      <c r="F4359" s="14"/>
      <c r="G4359" s="14"/>
      <c r="H4359" s="10"/>
      <c r="I4359" s="10"/>
      <c r="J4359" s="10"/>
      <c r="K4359" s="46"/>
      <c r="L4359" s="10"/>
      <c r="M4359" s="44" t="s">
        <v>10178</v>
      </c>
      <c r="N4359" s="45"/>
      <c r="O4359" s="20"/>
      <c r="P4359" s="20"/>
      <c r="Q4359" s="20"/>
      <c r="R4359" s="20"/>
      <c r="S4359" s="20"/>
    </row>
    <row r="4360">
      <c r="A4360" s="23"/>
      <c r="B4360" s="21"/>
      <c r="C4360" s="23"/>
      <c r="D4360" s="24"/>
      <c r="E4360" s="14"/>
      <c r="F4360" s="14"/>
      <c r="G4360" s="14"/>
      <c r="H4360" s="23"/>
      <c r="I4360" s="23"/>
      <c r="J4360" s="23"/>
      <c r="K4360" s="30"/>
      <c r="L4360" s="23"/>
      <c r="M4360" s="50" t="s">
        <v>10178</v>
      </c>
      <c r="N4360" s="51"/>
      <c r="O4360" s="20"/>
      <c r="P4360" s="20"/>
      <c r="Q4360" s="20"/>
      <c r="R4360" s="20"/>
      <c r="S4360" s="20"/>
    </row>
    <row r="4361">
      <c r="A4361" s="10"/>
      <c r="B4361" s="11"/>
      <c r="C4361" s="10"/>
      <c r="D4361" s="13"/>
      <c r="E4361" s="14"/>
      <c r="F4361" s="14"/>
      <c r="G4361" s="14"/>
      <c r="H4361" s="10"/>
      <c r="I4361" s="10"/>
      <c r="J4361" s="10"/>
      <c r="K4361" s="46"/>
      <c r="L4361" s="10"/>
      <c r="M4361" s="44" t="s">
        <v>10178</v>
      </c>
      <c r="N4361" s="45"/>
      <c r="O4361" s="20"/>
      <c r="P4361" s="20"/>
      <c r="Q4361" s="20"/>
      <c r="R4361" s="20"/>
      <c r="S4361" s="20"/>
    </row>
    <row r="4362">
      <c r="A4362" s="23"/>
      <c r="B4362" s="21"/>
      <c r="C4362" s="23"/>
      <c r="D4362" s="24"/>
      <c r="E4362" s="14"/>
      <c r="F4362" s="14"/>
      <c r="G4362" s="14"/>
      <c r="H4362" s="23"/>
      <c r="I4362" s="23"/>
      <c r="J4362" s="23"/>
      <c r="K4362" s="30"/>
      <c r="L4362" s="23"/>
      <c r="M4362" s="50" t="s">
        <v>10178</v>
      </c>
      <c r="N4362" s="51"/>
      <c r="O4362" s="20"/>
      <c r="P4362" s="20"/>
      <c r="Q4362" s="20"/>
      <c r="R4362" s="20"/>
      <c r="S4362" s="20"/>
    </row>
    <row r="4363">
      <c r="A4363" s="10"/>
      <c r="B4363" s="11"/>
      <c r="C4363" s="10"/>
      <c r="D4363" s="13"/>
      <c r="E4363" s="14"/>
      <c r="F4363" s="14"/>
      <c r="G4363" s="14"/>
      <c r="H4363" s="10"/>
      <c r="I4363" s="10"/>
      <c r="J4363" s="10"/>
      <c r="K4363" s="46"/>
      <c r="L4363" s="10"/>
      <c r="M4363" s="44" t="s">
        <v>10178</v>
      </c>
      <c r="N4363" s="45"/>
      <c r="O4363" s="20"/>
      <c r="P4363" s="20"/>
      <c r="Q4363" s="20"/>
      <c r="R4363" s="20"/>
      <c r="S4363" s="20"/>
    </row>
    <row r="4364">
      <c r="A4364" s="23"/>
      <c r="B4364" s="21"/>
      <c r="C4364" s="23"/>
      <c r="D4364" s="24"/>
      <c r="E4364" s="14"/>
      <c r="F4364" s="14"/>
      <c r="G4364" s="14"/>
      <c r="H4364" s="23"/>
      <c r="I4364" s="23"/>
      <c r="J4364" s="23"/>
      <c r="K4364" s="30"/>
      <c r="L4364" s="23"/>
      <c r="M4364" s="50" t="s">
        <v>10178</v>
      </c>
      <c r="N4364" s="51"/>
      <c r="O4364" s="20"/>
      <c r="P4364" s="20"/>
      <c r="Q4364" s="20"/>
      <c r="R4364" s="20"/>
      <c r="S4364" s="20"/>
    </row>
    <row r="4365">
      <c r="A4365" s="10"/>
      <c r="B4365" s="11"/>
      <c r="C4365" s="10"/>
      <c r="D4365" s="13"/>
      <c r="E4365" s="14"/>
      <c r="F4365" s="14"/>
      <c r="G4365" s="14"/>
      <c r="H4365" s="10"/>
      <c r="I4365" s="10"/>
      <c r="J4365" s="10"/>
      <c r="K4365" s="46"/>
      <c r="L4365" s="10"/>
      <c r="M4365" s="44" t="s">
        <v>10178</v>
      </c>
      <c r="N4365" s="45"/>
      <c r="O4365" s="20"/>
      <c r="P4365" s="20"/>
      <c r="Q4365" s="20"/>
      <c r="R4365" s="20"/>
      <c r="S4365" s="20"/>
    </row>
    <row r="4366">
      <c r="A4366" s="23"/>
      <c r="B4366" s="21"/>
      <c r="C4366" s="23"/>
      <c r="D4366" s="24"/>
      <c r="E4366" s="14"/>
      <c r="F4366" s="14"/>
      <c r="G4366" s="14"/>
      <c r="H4366" s="23"/>
      <c r="I4366" s="23"/>
      <c r="J4366" s="23"/>
      <c r="K4366" s="30"/>
      <c r="L4366" s="23"/>
      <c r="M4366" s="50" t="s">
        <v>10178</v>
      </c>
      <c r="N4366" s="51"/>
      <c r="O4366" s="20"/>
      <c r="P4366" s="20"/>
      <c r="Q4366" s="20"/>
      <c r="R4366" s="20"/>
      <c r="S4366" s="20"/>
    </row>
    <row r="4367">
      <c r="A4367" s="10"/>
      <c r="B4367" s="11"/>
      <c r="C4367" s="10"/>
      <c r="D4367" s="13"/>
      <c r="E4367" s="14"/>
      <c r="F4367" s="14"/>
      <c r="G4367" s="14"/>
      <c r="H4367" s="10"/>
      <c r="I4367" s="10"/>
      <c r="J4367" s="10"/>
      <c r="K4367" s="46"/>
      <c r="L4367" s="10"/>
      <c r="M4367" s="44" t="s">
        <v>10178</v>
      </c>
      <c r="N4367" s="45"/>
      <c r="O4367" s="20"/>
      <c r="P4367" s="20"/>
      <c r="Q4367" s="20"/>
      <c r="R4367" s="20"/>
      <c r="S4367" s="20"/>
    </row>
    <row r="4368">
      <c r="A4368" s="23"/>
      <c r="B4368" s="21"/>
      <c r="C4368" s="23"/>
      <c r="D4368" s="24"/>
      <c r="E4368" s="14"/>
      <c r="F4368" s="14"/>
      <c r="G4368" s="14"/>
      <c r="H4368" s="23"/>
      <c r="I4368" s="23"/>
      <c r="J4368" s="23"/>
      <c r="K4368" s="30"/>
      <c r="L4368" s="23"/>
      <c r="M4368" s="50" t="s">
        <v>10178</v>
      </c>
      <c r="N4368" s="51"/>
      <c r="O4368" s="20"/>
      <c r="P4368" s="20"/>
      <c r="Q4368" s="20"/>
      <c r="R4368" s="20"/>
      <c r="S4368" s="20"/>
    </row>
    <row r="4369">
      <c r="A4369" s="10"/>
      <c r="B4369" s="11"/>
      <c r="C4369" s="10"/>
      <c r="D4369" s="13"/>
      <c r="E4369" s="14"/>
      <c r="F4369" s="14"/>
      <c r="G4369" s="14"/>
      <c r="H4369" s="10"/>
      <c r="I4369" s="10"/>
      <c r="J4369" s="10"/>
      <c r="K4369" s="46"/>
      <c r="L4369" s="10"/>
      <c r="M4369" s="44" t="s">
        <v>10178</v>
      </c>
      <c r="N4369" s="45"/>
      <c r="O4369" s="20"/>
      <c r="P4369" s="20"/>
      <c r="Q4369" s="20"/>
      <c r="R4369" s="20"/>
      <c r="S4369" s="20"/>
    </row>
    <row r="4370">
      <c r="A4370" s="23"/>
      <c r="B4370" s="21"/>
      <c r="C4370" s="23"/>
      <c r="D4370" s="24"/>
      <c r="E4370" s="14"/>
      <c r="F4370" s="14"/>
      <c r="G4370" s="14"/>
      <c r="H4370" s="23"/>
      <c r="I4370" s="23"/>
      <c r="J4370" s="23"/>
      <c r="K4370" s="30"/>
      <c r="L4370" s="23"/>
      <c r="M4370" s="50" t="s">
        <v>10178</v>
      </c>
      <c r="N4370" s="51"/>
      <c r="O4370" s="20"/>
      <c r="P4370" s="20"/>
      <c r="Q4370" s="20"/>
      <c r="R4370" s="20"/>
      <c r="S4370" s="20"/>
    </row>
    <row r="4371">
      <c r="A4371" s="10"/>
      <c r="B4371" s="11"/>
      <c r="C4371" s="10"/>
      <c r="D4371" s="13"/>
      <c r="E4371" s="14"/>
      <c r="F4371" s="14"/>
      <c r="G4371" s="14"/>
      <c r="H4371" s="10"/>
      <c r="I4371" s="10"/>
      <c r="J4371" s="10"/>
      <c r="K4371" s="46"/>
      <c r="L4371" s="10"/>
      <c r="M4371" s="44" t="s">
        <v>10178</v>
      </c>
      <c r="N4371" s="45"/>
      <c r="O4371" s="20"/>
      <c r="P4371" s="20"/>
      <c r="Q4371" s="20"/>
      <c r="R4371" s="20"/>
      <c r="S4371" s="20"/>
    </row>
    <row r="4372">
      <c r="A4372" s="23"/>
      <c r="B4372" s="21"/>
      <c r="C4372" s="23"/>
      <c r="D4372" s="24"/>
      <c r="E4372" s="14"/>
      <c r="F4372" s="14"/>
      <c r="G4372" s="14"/>
      <c r="H4372" s="23"/>
      <c r="I4372" s="23"/>
      <c r="J4372" s="23"/>
      <c r="K4372" s="30"/>
      <c r="L4372" s="23"/>
      <c r="M4372" s="50" t="s">
        <v>10178</v>
      </c>
      <c r="N4372" s="51"/>
      <c r="O4372" s="20"/>
      <c r="P4372" s="20"/>
      <c r="Q4372" s="20"/>
      <c r="R4372" s="20"/>
      <c r="S4372" s="20"/>
    </row>
    <row r="4373">
      <c r="A4373" s="10"/>
      <c r="B4373" s="11"/>
      <c r="C4373" s="10"/>
      <c r="D4373" s="13"/>
      <c r="E4373" s="14"/>
      <c r="F4373" s="14"/>
      <c r="G4373" s="14"/>
      <c r="H4373" s="10"/>
      <c r="I4373" s="10"/>
      <c r="J4373" s="10"/>
      <c r="K4373" s="46"/>
      <c r="L4373" s="10"/>
      <c r="M4373" s="44" t="s">
        <v>10178</v>
      </c>
      <c r="N4373" s="45"/>
      <c r="O4373" s="20"/>
      <c r="P4373" s="20"/>
      <c r="Q4373" s="20"/>
      <c r="R4373" s="20"/>
      <c r="S4373" s="20"/>
    </row>
    <row r="4374">
      <c r="A4374" s="23"/>
      <c r="B4374" s="21"/>
      <c r="C4374" s="23"/>
      <c r="D4374" s="24"/>
      <c r="E4374" s="14"/>
      <c r="F4374" s="14"/>
      <c r="G4374" s="14"/>
      <c r="H4374" s="23"/>
      <c r="I4374" s="23"/>
      <c r="J4374" s="23"/>
      <c r="K4374" s="30"/>
      <c r="L4374" s="23"/>
      <c r="M4374" s="50" t="s">
        <v>10178</v>
      </c>
      <c r="N4374" s="51"/>
      <c r="O4374" s="20"/>
      <c r="P4374" s="20"/>
      <c r="Q4374" s="20"/>
      <c r="R4374" s="20"/>
      <c r="S4374" s="20"/>
    </row>
    <row r="4375">
      <c r="A4375" s="10"/>
      <c r="B4375" s="11"/>
      <c r="C4375" s="10"/>
      <c r="D4375" s="13"/>
      <c r="E4375" s="14"/>
      <c r="F4375" s="14"/>
      <c r="G4375" s="14"/>
      <c r="H4375" s="10"/>
      <c r="I4375" s="10"/>
      <c r="J4375" s="10"/>
      <c r="K4375" s="46"/>
      <c r="L4375" s="10"/>
      <c r="M4375" s="44" t="s">
        <v>10178</v>
      </c>
      <c r="N4375" s="45"/>
      <c r="O4375" s="20"/>
      <c r="P4375" s="20"/>
      <c r="Q4375" s="20"/>
      <c r="R4375" s="20"/>
      <c r="S4375" s="20"/>
    </row>
    <row r="4376">
      <c r="A4376" s="23"/>
      <c r="B4376" s="21"/>
      <c r="C4376" s="23"/>
      <c r="D4376" s="24"/>
      <c r="E4376" s="14"/>
      <c r="F4376" s="14"/>
      <c r="G4376" s="14"/>
      <c r="H4376" s="23"/>
      <c r="I4376" s="23"/>
      <c r="J4376" s="23"/>
      <c r="K4376" s="30"/>
      <c r="L4376" s="23"/>
      <c r="M4376" s="50" t="s">
        <v>10178</v>
      </c>
      <c r="N4376" s="51"/>
      <c r="O4376" s="20"/>
      <c r="P4376" s="20"/>
      <c r="Q4376" s="20"/>
      <c r="R4376" s="20"/>
      <c r="S4376" s="20"/>
    </row>
    <row r="4377">
      <c r="A4377" s="10"/>
      <c r="B4377" s="11"/>
      <c r="C4377" s="10"/>
      <c r="D4377" s="13"/>
      <c r="E4377" s="14"/>
      <c r="F4377" s="14"/>
      <c r="G4377" s="14"/>
      <c r="H4377" s="10"/>
      <c r="I4377" s="10"/>
      <c r="J4377" s="10"/>
      <c r="K4377" s="46"/>
      <c r="L4377" s="10"/>
      <c r="M4377" s="44" t="s">
        <v>10178</v>
      </c>
      <c r="N4377" s="45"/>
      <c r="O4377" s="20"/>
      <c r="P4377" s="20"/>
      <c r="Q4377" s="20"/>
      <c r="R4377" s="20"/>
      <c r="S4377" s="20"/>
    </row>
    <row r="4378">
      <c r="A4378" s="23"/>
      <c r="B4378" s="21"/>
      <c r="C4378" s="23"/>
      <c r="D4378" s="24"/>
      <c r="E4378" s="14"/>
      <c r="F4378" s="14"/>
      <c r="G4378" s="14"/>
      <c r="H4378" s="23"/>
      <c r="I4378" s="23"/>
      <c r="J4378" s="23"/>
      <c r="K4378" s="30"/>
      <c r="L4378" s="23"/>
      <c r="M4378" s="50" t="s">
        <v>10178</v>
      </c>
      <c r="N4378" s="51"/>
      <c r="O4378" s="20"/>
      <c r="P4378" s="20"/>
      <c r="Q4378" s="20"/>
      <c r="R4378" s="20"/>
      <c r="S4378" s="20"/>
    </row>
    <row r="4379">
      <c r="A4379" s="10"/>
      <c r="B4379" s="11"/>
      <c r="C4379" s="10"/>
      <c r="D4379" s="13"/>
      <c r="E4379" s="14"/>
      <c r="F4379" s="14"/>
      <c r="G4379" s="14"/>
      <c r="H4379" s="10"/>
      <c r="I4379" s="10"/>
      <c r="J4379" s="10"/>
      <c r="K4379" s="46"/>
      <c r="L4379" s="10"/>
      <c r="M4379" s="44" t="s">
        <v>10178</v>
      </c>
      <c r="N4379" s="45"/>
      <c r="O4379" s="20"/>
      <c r="P4379" s="20"/>
      <c r="Q4379" s="20"/>
      <c r="R4379" s="20"/>
      <c r="S4379" s="20"/>
    </row>
    <row r="4380">
      <c r="A4380" s="23"/>
      <c r="B4380" s="21"/>
      <c r="C4380" s="23"/>
      <c r="D4380" s="24"/>
      <c r="E4380" s="14"/>
      <c r="F4380" s="14"/>
      <c r="G4380" s="14"/>
      <c r="H4380" s="23"/>
      <c r="I4380" s="23"/>
      <c r="J4380" s="23"/>
      <c r="K4380" s="30"/>
      <c r="L4380" s="23"/>
      <c r="M4380" s="50" t="s">
        <v>10178</v>
      </c>
      <c r="N4380" s="51"/>
      <c r="O4380" s="20"/>
      <c r="P4380" s="20"/>
      <c r="Q4380" s="20"/>
      <c r="R4380" s="20"/>
      <c r="S4380" s="20"/>
    </row>
    <row r="4381">
      <c r="A4381" s="10"/>
      <c r="B4381" s="11"/>
      <c r="C4381" s="10"/>
      <c r="D4381" s="13"/>
      <c r="E4381" s="14"/>
      <c r="F4381" s="14"/>
      <c r="G4381" s="14"/>
      <c r="H4381" s="10"/>
      <c r="I4381" s="10"/>
      <c r="J4381" s="10"/>
      <c r="K4381" s="46"/>
      <c r="L4381" s="10"/>
      <c r="M4381" s="44" t="s">
        <v>10178</v>
      </c>
      <c r="N4381" s="45"/>
      <c r="O4381" s="20"/>
      <c r="P4381" s="20"/>
      <c r="Q4381" s="20"/>
      <c r="R4381" s="20"/>
      <c r="S4381" s="20"/>
    </row>
    <row r="4382">
      <c r="A4382" s="23"/>
      <c r="B4382" s="21"/>
      <c r="C4382" s="23"/>
      <c r="D4382" s="24"/>
      <c r="E4382" s="14"/>
      <c r="F4382" s="14"/>
      <c r="G4382" s="14"/>
      <c r="H4382" s="23"/>
      <c r="I4382" s="23"/>
      <c r="J4382" s="23"/>
      <c r="K4382" s="30"/>
      <c r="L4382" s="23"/>
      <c r="M4382" s="50" t="s">
        <v>10178</v>
      </c>
      <c r="N4382" s="51"/>
      <c r="O4382" s="20"/>
      <c r="P4382" s="20"/>
      <c r="Q4382" s="20"/>
      <c r="R4382" s="20"/>
      <c r="S4382" s="20"/>
    </row>
    <row r="4383">
      <c r="A4383" s="10"/>
      <c r="B4383" s="11"/>
      <c r="C4383" s="10"/>
      <c r="D4383" s="13"/>
      <c r="E4383" s="14"/>
      <c r="F4383" s="14"/>
      <c r="G4383" s="14"/>
      <c r="H4383" s="10"/>
      <c r="I4383" s="10"/>
      <c r="J4383" s="10"/>
      <c r="K4383" s="46"/>
      <c r="L4383" s="10"/>
      <c r="M4383" s="44" t="s">
        <v>10178</v>
      </c>
      <c r="N4383" s="45"/>
      <c r="O4383" s="20"/>
      <c r="P4383" s="20"/>
      <c r="Q4383" s="20"/>
      <c r="R4383" s="20"/>
      <c r="S4383" s="20"/>
    </row>
    <row r="4384">
      <c r="A4384" s="23"/>
      <c r="B4384" s="21"/>
      <c r="C4384" s="23"/>
      <c r="D4384" s="24"/>
      <c r="E4384" s="14"/>
      <c r="F4384" s="14"/>
      <c r="G4384" s="14"/>
      <c r="H4384" s="23"/>
      <c r="I4384" s="23"/>
      <c r="J4384" s="23"/>
      <c r="K4384" s="30"/>
      <c r="L4384" s="23"/>
      <c r="M4384" s="50" t="s">
        <v>10178</v>
      </c>
      <c r="N4384" s="51"/>
      <c r="O4384" s="20"/>
      <c r="P4384" s="20"/>
      <c r="Q4384" s="20"/>
      <c r="R4384" s="20"/>
      <c r="S4384" s="20"/>
    </row>
    <row r="4385">
      <c r="A4385" s="10"/>
      <c r="B4385" s="11"/>
      <c r="C4385" s="10"/>
      <c r="D4385" s="13"/>
      <c r="E4385" s="14"/>
      <c r="F4385" s="14"/>
      <c r="G4385" s="14"/>
      <c r="H4385" s="10"/>
      <c r="I4385" s="10"/>
      <c r="J4385" s="10"/>
      <c r="K4385" s="46"/>
      <c r="L4385" s="10"/>
      <c r="M4385" s="44" t="s">
        <v>10178</v>
      </c>
      <c r="N4385" s="45"/>
      <c r="O4385" s="20"/>
      <c r="P4385" s="20"/>
      <c r="Q4385" s="20"/>
      <c r="R4385" s="20"/>
      <c r="S4385" s="20"/>
    </row>
    <row r="4386">
      <c r="A4386" s="23"/>
      <c r="B4386" s="21"/>
      <c r="C4386" s="23"/>
      <c r="D4386" s="24"/>
      <c r="E4386" s="14"/>
      <c r="F4386" s="14"/>
      <c r="G4386" s="14"/>
      <c r="H4386" s="23"/>
      <c r="I4386" s="23"/>
      <c r="J4386" s="23"/>
      <c r="K4386" s="30"/>
      <c r="L4386" s="23"/>
      <c r="M4386" s="50" t="s">
        <v>10178</v>
      </c>
      <c r="N4386" s="51"/>
      <c r="O4386" s="20"/>
      <c r="P4386" s="20"/>
      <c r="Q4386" s="20"/>
      <c r="R4386" s="20"/>
      <c r="S4386" s="20"/>
    </row>
    <row r="4387">
      <c r="A4387" s="10"/>
      <c r="B4387" s="11"/>
      <c r="C4387" s="10"/>
      <c r="D4387" s="13"/>
      <c r="E4387" s="14"/>
      <c r="F4387" s="14"/>
      <c r="G4387" s="14"/>
      <c r="H4387" s="10"/>
      <c r="I4387" s="10"/>
      <c r="J4387" s="10"/>
      <c r="K4387" s="46"/>
      <c r="L4387" s="10"/>
      <c r="M4387" s="44" t="s">
        <v>10178</v>
      </c>
      <c r="N4387" s="45"/>
      <c r="O4387" s="20"/>
      <c r="P4387" s="20"/>
      <c r="Q4387" s="20"/>
      <c r="R4387" s="20"/>
      <c r="S4387" s="20"/>
    </row>
    <row r="4388">
      <c r="A4388" s="23"/>
      <c r="B4388" s="21"/>
      <c r="C4388" s="23"/>
      <c r="D4388" s="24"/>
      <c r="E4388" s="14"/>
      <c r="F4388" s="14"/>
      <c r="G4388" s="14"/>
      <c r="H4388" s="23"/>
      <c r="I4388" s="23"/>
      <c r="J4388" s="23"/>
      <c r="K4388" s="30"/>
      <c r="L4388" s="23"/>
      <c r="M4388" s="50" t="s">
        <v>10178</v>
      </c>
      <c r="N4388" s="51"/>
      <c r="O4388" s="20"/>
      <c r="P4388" s="20"/>
      <c r="Q4388" s="20"/>
      <c r="R4388" s="20"/>
      <c r="S4388" s="20"/>
    </row>
    <row r="4389">
      <c r="A4389" s="10"/>
      <c r="B4389" s="11"/>
      <c r="C4389" s="10"/>
      <c r="D4389" s="13"/>
      <c r="E4389" s="14"/>
      <c r="F4389" s="14"/>
      <c r="G4389" s="14"/>
      <c r="H4389" s="10"/>
      <c r="I4389" s="10"/>
      <c r="J4389" s="10"/>
      <c r="K4389" s="46"/>
      <c r="L4389" s="10"/>
      <c r="M4389" s="44" t="s">
        <v>10178</v>
      </c>
      <c r="N4389" s="45"/>
      <c r="O4389" s="20"/>
      <c r="P4389" s="20"/>
      <c r="Q4389" s="20"/>
      <c r="R4389" s="20"/>
      <c r="S4389" s="20"/>
    </row>
    <row r="4390">
      <c r="A4390" s="23"/>
      <c r="B4390" s="21"/>
      <c r="C4390" s="23"/>
      <c r="D4390" s="24"/>
      <c r="E4390" s="14"/>
      <c r="F4390" s="14"/>
      <c r="G4390" s="14"/>
      <c r="H4390" s="23"/>
      <c r="I4390" s="23"/>
      <c r="J4390" s="23"/>
      <c r="K4390" s="30"/>
      <c r="L4390" s="23"/>
      <c r="M4390" s="50" t="s">
        <v>10178</v>
      </c>
      <c r="N4390" s="51"/>
      <c r="O4390" s="20"/>
      <c r="P4390" s="20"/>
      <c r="Q4390" s="20"/>
      <c r="R4390" s="20"/>
      <c r="S4390" s="20"/>
    </row>
    <row r="4391">
      <c r="A4391" s="10"/>
      <c r="B4391" s="11"/>
      <c r="C4391" s="10"/>
      <c r="D4391" s="13"/>
      <c r="E4391" s="14"/>
      <c r="F4391" s="14"/>
      <c r="G4391" s="14"/>
      <c r="H4391" s="10"/>
      <c r="I4391" s="10"/>
      <c r="J4391" s="10"/>
      <c r="K4391" s="46"/>
      <c r="L4391" s="10"/>
      <c r="M4391" s="44" t="s">
        <v>10178</v>
      </c>
      <c r="N4391" s="45"/>
      <c r="O4391" s="20"/>
      <c r="P4391" s="20"/>
      <c r="Q4391" s="20"/>
      <c r="R4391" s="20"/>
      <c r="S4391" s="20"/>
    </row>
    <row r="4392">
      <c r="A4392" s="23"/>
      <c r="B4392" s="21"/>
      <c r="C4392" s="23"/>
      <c r="D4392" s="24"/>
      <c r="E4392" s="14"/>
      <c r="F4392" s="14"/>
      <c r="G4392" s="14"/>
      <c r="H4392" s="23"/>
      <c r="I4392" s="23"/>
      <c r="J4392" s="23"/>
      <c r="K4392" s="30"/>
      <c r="L4392" s="23"/>
      <c r="M4392" s="50" t="s">
        <v>10178</v>
      </c>
      <c r="N4392" s="51"/>
      <c r="O4392" s="20"/>
      <c r="P4392" s="20"/>
      <c r="Q4392" s="20"/>
      <c r="R4392" s="20"/>
      <c r="S4392" s="20"/>
    </row>
    <row r="4393">
      <c r="A4393" s="10"/>
      <c r="B4393" s="11"/>
      <c r="C4393" s="10"/>
      <c r="D4393" s="13"/>
      <c r="E4393" s="14"/>
      <c r="F4393" s="14"/>
      <c r="G4393" s="14"/>
      <c r="H4393" s="10"/>
      <c r="I4393" s="10"/>
      <c r="J4393" s="10"/>
      <c r="K4393" s="46"/>
      <c r="L4393" s="10"/>
      <c r="M4393" s="44" t="s">
        <v>10178</v>
      </c>
      <c r="N4393" s="45"/>
      <c r="O4393" s="20"/>
      <c r="P4393" s="20"/>
      <c r="Q4393" s="20"/>
      <c r="R4393" s="20"/>
      <c r="S4393" s="20"/>
    </row>
    <row r="4394">
      <c r="A4394" s="23"/>
      <c r="B4394" s="21"/>
      <c r="C4394" s="23"/>
      <c r="D4394" s="24"/>
      <c r="E4394" s="14"/>
      <c r="F4394" s="14"/>
      <c r="G4394" s="14"/>
      <c r="H4394" s="23"/>
      <c r="I4394" s="23"/>
      <c r="J4394" s="23"/>
      <c r="K4394" s="30"/>
      <c r="L4394" s="23"/>
      <c r="M4394" s="50" t="s">
        <v>10178</v>
      </c>
      <c r="N4394" s="51"/>
      <c r="O4394" s="20"/>
      <c r="P4394" s="20"/>
      <c r="Q4394" s="20"/>
      <c r="R4394" s="20"/>
      <c r="S4394" s="20"/>
    </row>
    <row r="4395">
      <c r="A4395" s="10"/>
      <c r="B4395" s="11"/>
      <c r="C4395" s="10"/>
      <c r="D4395" s="13"/>
      <c r="E4395" s="14"/>
      <c r="F4395" s="14"/>
      <c r="G4395" s="14"/>
      <c r="H4395" s="10"/>
      <c r="I4395" s="10"/>
      <c r="J4395" s="10"/>
      <c r="K4395" s="46"/>
      <c r="L4395" s="10"/>
      <c r="M4395" s="44" t="s">
        <v>10178</v>
      </c>
      <c r="N4395" s="45"/>
      <c r="O4395" s="20"/>
      <c r="P4395" s="20"/>
      <c r="Q4395" s="20"/>
      <c r="R4395" s="20"/>
      <c r="S4395" s="20"/>
    </row>
    <row r="4396">
      <c r="A4396" s="23"/>
      <c r="B4396" s="21"/>
      <c r="C4396" s="23"/>
      <c r="D4396" s="24"/>
      <c r="E4396" s="14"/>
      <c r="F4396" s="14"/>
      <c r="G4396" s="14"/>
      <c r="H4396" s="23"/>
      <c r="I4396" s="23"/>
      <c r="J4396" s="23"/>
      <c r="K4396" s="30"/>
      <c r="L4396" s="23"/>
      <c r="M4396" s="50" t="s">
        <v>10178</v>
      </c>
      <c r="N4396" s="51"/>
      <c r="O4396" s="20"/>
      <c r="P4396" s="20"/>
      <c r="Q4396" s="20"/>
      <c r="R4396" s="20"/>
      <c r="S4396" s="20"/>
    </row>
    <row r="4397">
      <c r="A4397" s="10"/>
      <c r="B4397" s="11"/>
      <c r="C4397" s="10"/>
      <c r="D4397" s="13"/>
      <c r="E4397" s="14"/>
      <c r="F4397" s="14"/>
      <c r="G4397" s="14"/>
      <c r="H4397" s="10"/>
      <c r="I4397" s="10"/>
      <c r="J4397" s="10"/>
      <c r="K4397" s="46"/>
      <c r="L4397" s="10"/>
      <c r="M4397" s="44" t="s">
        <v>10178</v>
      </c>
      <c r="N4397" s="45"/>
      <c r="O4397" s="20"/>
      <c r="P4397" s="20"/>
      <c r="Q4397" s="20"/>
      <c r="R4397" s="20"/>
      <c r="S4397" s="20"/>
    </row>
    <row r="4398">
      <c r="A4398" s="23"/>
      <c r="B4398" s="21"/>
      <c r="C4398" s="23"/>
      <c r="D4398" s="24"/>
      <c r="E4398" s="14"/>
      <c r="F4398" s="14"/>
      <c r="G4398" s="14"/>
      <c r="H4398" s="23"/>
      <c r="I4398" s="23"/>
      <c r="J4398" s="23"/>
      <c r="K4398" s="30"/>
      <c r="L4398" s="23"/>
      <c r="M4398" s="50" t="s">
        <v>10178</v>
      </c>
      <c r="N4398" s="51"/>
      <c r="O4398" s="20"/>
      <c r="P4398" s="20"/>
      <c r="Q4398" s="20"/>
      <c r="R4398" s="20"/>
      <c r="S4398" s="20"/>
    </row>
    <row r="4399">
      <c r="A4399" s="10"/>
      <c r="B4399" s="11"/>
      <c r="C4399" s="10"/>
      <c r="D4399" s="13"/>
      <c r="E4399" s="14"/>
      <c r="F4399" s="14"/>
      <c r="G4399" s="14"/>
      <c r="H4399" s="10"/>
      <c r="I4399" s="10"/>
      <c r="J4399" s="10"/>
      <c r="K4399" s="46"/>
      <c r="L4399" s="10"/>
      <c r="M4399" s="44" t="s">
        <v>10178</v>
      </c>
      <c r="N4399" s="45"/>
      <c r="O4399" s="20"/>
      <c r="P4399" s="20"/>
      <c r="Q4399" s="20"/>
      <c r="R4399" s="20"/>
      <c r="S4399" s="20"/>
    </row>
    <row r="4400">
      <c r="A4400" s="23"/>
      <c r="B4400" s="21"/>
      <c r="C4400" s="23"/>
      <c r="D4400" s="24"/>
      <c r="E4400" s="14"/>
      <c r="F4400" s="14"/>
      <c r="G4400" s="14"/>
      <c r="H4400" s="23"/>
      <c r="I4400" s="23"/>
      <c r="J4400" s="23"/>
      <c r="K4400" s="30"/>
      <c r="L4400" s="23"/>
      <c r="M4400" s="50" t="s">
        <v>10178</v>
      </c>
      <c r="N4400" s="51"/>
      <c r="O4400" s="20"/>
      <c r="P4400" s="20"/>
      <c r="Q4400" s="20"/>
      <c r="R4400" s="20"/>
      <c r="S4400" s="20"/>
    </row>
    <row r="4401">
      <c r="A4401" s="10"/>
      <c r="B4401" s="11"/>
      <c r="C4401" s="10"/>
      <c r="D4401" s="13"/>
      <c r="E4401" s="14"/>
      <c r="F4401" s="14"/>
      <c r="G4401" s="14"/>
      <c r="H4401" s="10"/>
      <c r="I4401" s="10"/>
      <c r="J4401" s="10"/>
      <c r="K4401" s="46"/>
      <c r="L4401" s="10"/>
      <c r="M4401" s="44" t="s">
        <v>10178</v>
      </c>
      <c r="N4401" s="45"/>
      <c r="O4401" s="20"/>
      <c r="P4401" s="20"/>
      <c r="Q4401" s="20"/>
      <c r="R4401" s="20"/>
      <c r="S4401" s="20"/>
    </row>
    <row r="4402">
      <c r="A4402" s="23"/>
      <c r="B4402" s="21"/>
      <c r="C4402" s="23"/>
      <c r="D4402" s="24"/>
      <c r="E4402" s="14"/>
      <c r="F4402" s="14"/>
      <c r="G4402" s="14"/>
      <c r="H4402" s="23"/>
      <c r="I4402" s="23"/>
      <c r="J4402" s="23"/>
      <c r="K4402" s="30"/>
      <c r="L4402" s="23"/>
      <c r="M4402" s="50" t="s">
        <v>10178</v>
      </c>
      <c r="N4402" s="51"/>
      <c r="O4402" s="20"/>
      <c r="P4402" s="20"/>
      <c r="Q4402" s="20"/>
      <c r="R4402" s="20"/>
      <c r="S4402" s="20"/>
    </row>
    <row r="4403">
      <c r="A4403" s="10"/>
      <c r="B4403" s="11"/>
      <c r="C4403" s="10"/>
      <c r="D4403" s="13"/>
      <c r="E4403" s="14"/>
      <c r="F4403" s="14"/>
      <c r="G4403" s="14"/>
      <c r="H4403" s="10"/>
      <c r="I4403" s="10"/>
      <c r="J4403" s="10"/>
      <c r="K4403" s="46"/>
      <c r="L4403" s="10"/>
      <c r="M4403" s="44" t="s">
        <v>10178</v>
      </c>
      <c r="N4403" s="45"/>
      <c r="O4403" s="20"/>
      <c r="P4403" s="20"/>
      <c r="Q4403" s="20"/>
      <c r="R4403" s="20"/>
      <c r="S4403" s="20"/>
    </row>
    <row r="4404">
      <c r="A4404" s="23"/>
      <c r="B4404" s="21"/>
      <c r="C4404" s="23"/>
      <c r="D4404" s="24"/>
      <c r="E4404" s="14"/>
      <c r="F4404" s="14"/>
      <c r="G4404" s="14"/>
      <c r="H4404" s="23"/>
      <c r="I4404" s="23"/>
      <c r="J4404" s="23"/>
      <c r="K4404" s="30"/>
      <c r="L4404" s="23"/>
      <c r="M4404" s="50" t="s">
        <v>10178</v>
      </c>
      <c r="N4404" s="51"/>
      <c r="O4404" s="20"/>
      <c r="P4404" s="20"/>
      <c r="Q4404" s="20"/>
      <c r="R4404" s="20"/>
      <c r="S4404" s="20"/>
    </row>
    <row r="4405">
      <c r="A4405" s="10"/>
      <c r="B4405" s="11"/>
      <c r="C4405" s="10"/>
      <c r="D4405" s="13"/>
      <c r="E4405" s="14"/>
      <c r="F4405" s="14"/>
      <c r="G4405" s="14"/>
      <c r="H4405" s="10"/>
      <c r="I4405" s="10"/>
      <c r="J4405" s="10"/>
      <c r="K4405" s="46"/>
      <c r="L4405" s="10"/>
      <c r="M4405" s="44" t="s">
        <v>10178</v>
      </c>
      <c r="N4405" s="45"/>
      <c r="O4405" s="20"/>
      <c r="P4405" s="20"/>
      <c r="Q4405" s="20"/>
      <c r="R4405" s="20"/>
      <c r="S4405" s="20"/>
    </row>
    <row r="4406">
      <c r="A4406" s="23"/>
      <c r="B4406" s="21"/>
      <c r="C4406" s="23"/>
      <c r="D4406" s="24"/>
      <c r="E4406" s="14"/>
      <c r="F4406" s="14"/>
      <c r="G4406" s="14"/>
      <c r="H4406" s="23"/>
      <c r="I4406" s="23"/>
      <c r="J4406" s="23"/>
      <c r="K4406" s="30"/>
      <c r="L4406" s="23"/>
      <c r="M4406" s="50" t="s">
        <v>10178</v>
      </c>
      <c r="N4406" s="51"/>
      <c r="O4406" s="20"/>
      <c r="P4406" s="20"/>
      <c r="Q4406" s="20"/>
      <c r="R4406" s="20"/>
      <c r="S4406" s="20"/>
    </row>
    <row r="4407">
      <c r="A4407" s="10"/>
      <c r="B4407" s="11"/>
      <c r="C4407" s="10"/>
      <c r="D4407" s="13"/>
      <c r="E4407" s="14"/>
      <c r="F4407" s="14"/>
      <c r="G4407" s="14"/>
      <c r="H4407" s="10"/>
      <c r="I4407" s="10"/>
      <c r="J4407" s="10"/>
      <c r="K4407" s="46"/>
      <c r="L4407" s="10"/>
      <c r="M4407" s="44" t="s">
        <v>10178</v>
      </c>
      <c r="N4407" s="45"/>
      <c r="O4407" s="20"/>
      <c r="P4407" s="20"/>
      <c r="Q4407" s="20"/>
      <c r="R4407" s="20"/>
      <c r="S4407" s="20"/>
    </row>
    <row r="4408">
      <c r="A4408" s="23"/>
      <c r="B4408" s="21"/>
      <c r="C4408" s="23"/>
      <c r="D4408" s="24"/>
      <c r="E4408" s="14"/>
      <c r="F4408" s="14"/>
      <c r="G4408" s="14"/>
      <c r="H4408" s="23"/>
      <c r="I4408" s="23"/>
      <c r="J4408" s="23"/>
      <c r="K4408" s="30"/>
      <c r="L4408" s="23"/>
      <c r="M4408" s="50" t="s">
        <v>10178</v>
      </c>
      <c r="N4408" s="51"/>
      <c r="O4408" s="20"/>
      <c r="P4408" s="20"/>
      <c r="Q4408" s="20"/>
      <c r="R4408" s="20"/>
      <c r="S4408" s="20"/>
    </row>
    <row r="4409">
      <c r="A4409" s="10"/>
      <c r="B4409" s="11"/>
      <c r="C4409" s="10"/>
      <c r="D4409" s="13"/>
      <c r="E4409" s="14"/>
      <c r="F4409" s="14"/>
      <c r="G4409" s="14"/>
      <c r="H4409" s="10"/>
      <c r="I4409" s="10"/>
      <c r="J4409" s="10"/>
      <c r="K4409" s="46"/>
      <c r="L4409" s="10"/>
      <c r="M4409" s="44" t="s">
        <v>10178</v>
      </c>
      <c r="N4409" s="45"/>
      <c r="O4409" s="20"/>
      <c r="P4409" s="20"/>
      <c r="Q4409" s="20"/>
      <c r="R4409" s="20"/>
      <c r="S4409" s="20"/>
    </row>
    <row r="4410">
      <c r="A4410" s="23"/>
      <c r="B4410" s="21"/>
      <c r="C4410" s="23"/>
      <c r="D4410" s="24"/>
      <c r="E4410" s="14"/>
      <c r="F4410" s="14"/>
      <c r="G4410" s="14"/>
      <c r="H4410" s="23"/>
      <c r="I4410" s="23"/>
      <c r="J4410" s="23"/>
      <c r="K4410" s="30"/>
      <c r="L4410" s="23"/>
      <c r="M4410" s="50" t="s">
        <v>10178</v>
      </c>
      <c r="N4410" s="51"/>
      <c r="O4410" s="20"/>
      <c r="P4410" s="20"/>
      <c r="Q4410" s="20"/>
      <c r="R4410" s="20"/>
      <c r="S4410" s="20"/>
    </row>
    <row r="4411">
      <c r="A4411" s="10"/>
      <c r="B4411" s="11"/>
      <c r="C4411" s="10"/>
      <c r="D4411" s="13"/>
      <c r="E4411" s="14"/>
      <c r="F4411" s="14"/>
      <c r="G4411" s="14"/>
      <c r="H4411" s="10"/>
      <c r="I4411" s="10"/>
      <c r="J4411" s="10"/>
      <c r="K4411" s="46"/>
      <c r="L4411" s="10"/>
      <c r="M4411" s="44" t="s">
        <v>10178</v>
      </c>
      <c r="N4411" s="45"/>
      <c r="O4411" s="20"/>
      <c r="P4411" s="20"/>
      <c r="Q4411" s="20"/>
      <c r="R4411" s="20"/>
      <c r="S4411" s="20"/>
    </row>
    <row r="4412">
      <c r="A4412" s="23"/>
      <c r="B4412" s="21"/>
      <c r="C4412" s="23"/>
      <c r="D4412" s="24"/>
      <c r="E4412" s="14"/>
      <c r="F4412" s="14"/>
      <c r="G4412" s="14"/>
      <c r="H4412" s="23"/>
      <c r="I4412" s="23"/>
      <c r="J4412" s="23"/>
      <c r="K4412" s="30"/>
      <c r="L4412" s="23"/>
      <c r="M4412" s="50" t="s">
        <v>10178</v>
      </c>
      <c r="N4412" s="51"/>
      <c r="O4412" s="20"/>
      <c r="P4412" s="20"/>
      <c r="Q4412" s="20"/>
      <c r="R4412" s="20"/>
      <c r="S4412" s="20"/>
    </row>
    <row r="4413">
      <c r="A4413" s="10"/>
      <c r="B4413" s="11"/>
      <c r="C4413" s="10"/>
      <c r="D4413" s="13"/>
      <c r="E4413" s="14"/>
      <c r="F4413" s="14"/>
      <c r="G4413" s="14"/>
      <c r="H4413" s="10"/>
      <c r="I4413" s="10"/>
      <c r="J4413" s="10"/>
      <c r="K4413" s="46"/>
      <c r="L4413" s="10"/>
      <c r="M4413" s="44" t="s">
        <v>10178</v>
      </c>
      <c r="N4413" s="45"/>
      <c r="O4413" s="20"/>
      <c r="P4413" s="20"/>
      <c r="Q4413" s="20"/>
      <c r="R4413" s="20"/>
      <c r="S4413" s="20"/>
    </row>
    <row r="4414">
      <c r="A4414" s="23"/>
      <c r="B4414" s="21"/>
      <c r="C4414" s="23"/>
      <c r="D4414" s="24"/>
      <c r="E4414" s="14"/>
      <c r="F4414" s="14"/>
      <c r="G4414" s="14"/>
      <c r="H4414" s="23"/>
      <c r="I4414" s="23"/>
      <c r="J4414" s="23"/>
      <c r="K4414" s="30"/>
      <c r="L4414" s="23"/>
      <c r="M4414" s="50" t="s">
        <v>10178</v>
      </c>
      <c r="N4414" s="51"/>
      <c r="O4414" s="20"/>
      <c r="P4414" s="20"/>
      <c r="Q4414" s="20"/>
      <c r="R4414" s="20"/>
      <c r="S4414" s="20"/>
    </row>
    <row r="4415">
      <c r="A4415" s="10"/>
      <c r="B4415" s="11"/>
      <c r="C4415" s="10"/>
      <c r="D4415" s="13"/>
      <c r="E4415" s="14"/>
      <c r="F4415" s="14"/>
      <c r="G4415" s="14"/>
      <c r="H4415" s="10"/>
      <c r="I4415" s="10"/>
      <c r="J4415" s="10"/>
      <c r="K4415" s="46"/>
      <c r="L4415" s="10"/>
      <c r="M4415" s="44" t="s">
        <v>10178</v>
      </c>
      <c r="N4415" s="45"/>
      <c r="O4415" s="20"/>
      <c r="P4415" s="20"/>
      <c r="Q4415" s="20"/>
      <c r="R4415" s="20"/>
      <c r="S4415" s="20"/>
    </row>
    <row r="4416">
      <c r="A4416" s="23"/>
      <c r="B4416" s="21"/>
      <c r="C4416" s="23"/>
      <c r="D4416" s="24"/>
      <c r="E4416" s="14"/>
      <c r="F4416" s="14"/>
      <c r="G4416" s="14"/>
      <c r="H4416" s="23"/>
      <c r="I4416" s="23"/>
      <c r="J4416" s="23"/>
      <c r="K4416" s="30"/>
      <c r="L4416" s="23"/>
      <c r="M4416" s="50" t="s">
        <v>10178</v>
      </c>
      <c r="N4416" s="51"/>
      <c r="O4416" s="20"/>
      <c r="P4416" s="20"/>
      <c r="Q4416" s="20"/>
      <c r="R4416" s="20"/>
      <c r="S4416" s="20"/>
    </row>
    <row r="4417">
      <c r="A4417" s="10"/>
      <c r="B4417" s="11"/>
      <c r="C4417" s="10"/>
      <c r="D4417" s="13"/>
      <c r="E4417" s="14"/>
      <c r="F4417" s="14"/>
      <c r="G4417" s="14"/>
      <c r="H4417" s="10"/>
      <c r="I4417" s="10"/>
      <c r="J4417" s="10"/>
      <c r="K4417" s="46"/>
      <c r="L4417" s="10"/>
      <c r="M4417" s="44" t="s">
        <v>10178</v>
      </c>
      <c r="N4417" s="45"/>
      <c r="O4417" s="20"/>
      <c r="P4417" s="20"/>
      <c r="Q4417" s="20"/>
      <c r="R4417" s="20"/>
      <c r="S4417" s="20"/>
    </row>
    <row r="4418">
      <c r="A4418" s="23"/>
      <c r="B4418" s="21"/>
      <c r="C4418" s="23"/>
      <c r="D4418" s="24"/>
      <c r="E4418" s="14"/>
      <c r="F4418" s="14"/>
      <c r="G4418" s="14"/>
      <c r="H4418" s="23"/>
      <c r="I4418" s="23"/>
      <c r="J4418" s="23"/>
      <c r="K4418" s="30"/>
      <c r="L4418" s="23"/>
      <c r="M4418" s="50" t="s">
        <v>10178</v>
      </c>
      <c r="N4418" s="51"/>
      <c r="O4418" s="20"/>
      <c r="P4418" s="20"/>
      <c r="Q4418" s="20"/>
      <c r="R4418" s="20"/>
      <c r="S4418" s="20"/>
    </row>
    <row r="4419">
      <c r="A4419" s="10"/>
      <c r="B4419" s="11"/>
      <c r="C4419" s="10"/>
      <c r="D4419" s="13"/>
      <c r="E4419" s="14"/>
      <c r="F4419" s="14"/>
      <c r="G4419" s="14"/>
      <c r="H4419" s="10"/>
      <c r="I4419" s="10"/>
      <c r="J4419" s="10"/>
      <c r="K4419" s="46"/>
      <c r="L4419" s="10"/>
      <c r="M4419" s="44" t="s">
        <v>10178</v>
      </c>
      <c r="N4419" s="45"/>
      <c r="O4419" s="20"/>
      <c r="P4419" s="20"/>
      <c r="Q4419" s="20"/>
      <c r="R4419" s="20"/>
      <c r="S4419" s="20"/>
    </row>
    <row r="4420">
      <c r="A4420" s="23"/>
      <c r="B4420" s="21"/>
      <c r="C4420" s="23"/>
      <c r="D4420" s="24"/>
      <c r="E4420" s="14"/>
      <c r="F4420" s="14"/>
      <c r="G4420" s="14"/>
      <c r="H4420" s="23"/>
      <c r="I4420" s="23"/>
      <c r="J4420" s="23"/>
      <c r="K4420" s="30"/>
      <c r="L4420" s="23"/>
      <c r="M4420" s="50" t="s">
        <v>10178</v>
      </c>
      <c r="N4420" s="51"/>
      <c r="O4420" s="20"/>
      <c r="P4420" s="20"/>
      <c r="Q4420" s="20"/>
      <c r="R4420" s="20"/>
      <c r="S4420" s="20"/>
    </row>
    <row r="4421">
      <c r="A4421" s="10"/>
      <c r="B4421" s="11"/>
      <c r="C4421" s="10"/>
      <c r="D4421" s="13"/>
      <c r="E4421" s="14"/>
      <c r="F4421" s="14"/>
      <c r="G4421" s="14"/>
      <c r="H4421" s="10"/>
      <c r="I4421" s="10"/>
      <c r="J4421" s="10"/>
      <c r="K4421" s="46"/>
      <c r="L4421" s="10"/>
      <c r="M4421" s="44" t="s">
        <v>10178</v>
      </c>
      <c r="N4421" s="45"/>
      <c r="O4421" s="20"/>
      <c r="P4421" s="20"/>
      <c r="Q4421" s="20"/>
      <c r="R4421" s="20"/>
      <c r="S4421" s="20"/>
    </row>
    <row r="4422">
      <c r="A4422" s="23"/>
      <c r="B4422" s="21"/>
      <c r="C4422" s="23"/>
      <c r="D4422" s="24"/>
      <c r="E4422" s="14"/>
      <c r="F4422" s="14"/>
      <c r="G4422" s="14"/>
      <c r="H4422" s="23"/>
      <c r="I4422" s="23"/>
      <c r="J4422" s="23"/>
      <c r="K4422" s="30"/>
      <c r="L4422" s="23"/>
      <c r="M4422" s="50" t="s">
        <v>10178</v>
      </c>
      <c r="N4422" s="51"/>
      <c r="O4422" s="20"/>
      <c r="P4422" s="20"/>
      <c r="Q4422" s="20"/>
      <c r="R4422" s="20"/>
      <c r="S4422" s="20"/>
    </row>
    <row r="4423">
      <c r="A4423" s="10"/>
      <c r="B4423" s="11"/>
      <c r="C4423" s="10"/>
      <c r="D4423" s="13"/>
      <c r="E4423" s="14"/>
      <c r="F4423" s="14"/>
      <c r="G4423" s="14"/>
      <c r="H4423" s="10"/>
      <c r="I4423" s="10"/>
      <c r="J4423" s="10"/>
      <c r="K4423" s="46"/>
      <c r="L4423" s="10"/>
      <c r="M4423" s="44" t="s">
        <v>10178</v>
      </c>
      <c r="N4423" s="45"/>
      <c r="O4423" s="20"/>
      <c r="P4423" s="20"/>
      <c r="Q4423" s="20"/>
      <c r="R4423" s="20"/>
      <c r="S4423" s="20"/>
    </row>
    <row r="4424">
      <c r="A4424" s="23"/>
      <c r="B4424" s="21"/>
      <c r="C4424" s="23"/>
      <c r="D4424" s="24"/>
      <c r="E4424" s="14"/>
      <c r="F4424" s="14"/>
      <c r="G4424" s="14"/>
      <c r="H4424" s="23"/>
      <c r="I4424" s="23"/>
      <c r="J4424" s="23"/>
      <c r="K4424" s="30"/>
      <c r="L4424" s="23"/>
      <c r="M4424" s="50" t="s">
        <v>10178</v>
      </c>
      <c r="N4424" s="51"/>
      <c r="O4424" s="20"/>
      <c r="P4424" s="20"/>
      <c r="Q4424" s="20"/>
      <c r="R4424" s="20"/>
      <c r="S4424" s="20"/>
    </row>
    <row r="4425">
      <c r="A4425" s="10"/>
      <c r="B4425" s="11"/>
      <c r="C4425" s="10"/>
      <c r="D4425" s="13"/>
      <c r="E4425" s="14"/>
      <c r="F4425" s="14"/>
      <c r="G4425" s="14"/>
      <c r="H4425" s="10"/>
      <c r="I4425" s="10"/>
      <c r="J4425" s="10"/>
      <c r="K4425" s="46"/>
      <c r="L4425" s="10"/>
      <c r="M4425" s="44" t="s">
        <v>10178</v>
      </c>
      <c r="N4425" s="45"/>
      <c r="O4425" s="20"/>
      <c r="P4425" s="20"/>
      <c r="Q4425" s="20"/>
      <c r="R4425" s="20"/>
      <c r="S4425" s="20"/>
    </row>
    <row r="4426">
      <c r="A4426" s="23"/>
      <c r="B4426" s="21"/>
      <c r="C4426" s="23"/>
      <c r="D4426" s="24"/>
      <c r="E4426" s="14"/>
      <c r="F4426" s="14"/>
      <c r="G4426" s="14"/>
      <c r="H4426" s="23"/>
      <c r="I4426" s="23"/>
      <c r="J4426" s="23"/>
      <c r="K4426" s="30"/>
      <c r="L4426" s="23"/>
      <c r="M4426" s="50" t="s">
        <v>10178</v>
      </c>
      <c r="N4426" s="51"/>
      <c r="O4426" s="20"/>
      <c r="P4426" s="20"/>
      <c r="Q4426" s="20"/>
      <c r="R4426" s="20"/>
      <c r="S4426" s="20"/>
    </row>
    <row r="4427">
      <c r="A4427" s="10"/>
      <c r="B4427" s="11"/>
      <c r="C4427" s="10"/>
      <c r="D4427" s="13"/>
      <c r="E4427" s="14"/>
      <c r="F4427" s="14"/>
      <c r="G4427" s="14"/>
      <c r="H4427" s="10"/>
      <c r="I4427" s="10"/>
      <c r="J4427" s="10"/>
      <c r="K4427" s="46"/>
      <c r="L4427" s="10"/>
      <c r="M4427" s="44" t="s">
        <v>10178</v>
      </c>
      <c r="N4427" s="45"/>
      <c r="O4427" s="20"/>
      <c r="P4427" s="20"/>
      <c r="Q4427" s="20"/>
      <c r="R4427" s="20"/>
      <c r="S4427" s="20"/>
    </row>
    <row r="4428">
      <c r="A4428" s="23"/>
      <c r="B4428" s="21"/>
      <c r="C4428" s="23"/>
      <c r="D4428" s="24"/>
      <c r="E4428" s="14"/>
      <c r="F4428" s="14"/>
      <c r="G4428" s="14"/>
      <c r="H4428" s="23"/>
      <c r="I4428" s="23"/>
      <c r="J4428" s="23"/>
      <c r="K4428" s="30"/>
      <c r="L4428" s="23"/>
      <c r="M4428" s="50" t="s">
        <v>10178</v>
      </c>
      <c r="N4428" s="51"/>
      <c r="O4428" s="20"/>
      <c r="P4428" s="20"/>
      <c r="Q4428" s="20"/>
      <c r="R4428" s="20"/>
      <c r="S4428" s="20"/>
    </row>
    <row r="4429">
      <c r="A4429" s="10"/>
      <c r="B4429" s="11"/>
      <c r="C4429" s="10"/>
      <c r="D4429" s="13"/>
      <c r="E4429" s="14"/>
      <c r="F4429" s="14"/>
      <c r="G4429" s="14"/>
      <c r="H4429" s="10"/>
      <c r="I4429" s="10"/>
      <c r="J4429" s="10"/>
      <c r="K4429" s="46"/>
      <c r="L4429" s="10"/>
      <c r="M4429" s="44" t="s">
        <v>10178</v>
      </c>
      <c r="N4429" s="45"/>
      <c r="O4429" s="20"/>
      <c r="P4429" s="20"/>
      <c r="Q4429" s="20"/>
      <c r="R4429" s="20"/>
      <c r="S4429" s="20"/>
    </row>
    <row r="4430">
      <c r="A4430" s="23"/>
      <c r="B4430" s="21"/>
      <c r="C4430" s="23"/>
      <c r="D4430" s="24"/>
      <c r="E4430" s="14"/>
      <c r="F4430" s="14"/>
      <c r="G4430" s="14"/>
      <c r="H4430" s="23"/>
      <c r="I4430" s="23"/>
      <c r="J4430" s="23"/>
      <c r="K4430" s="30"/>
      <c r="L4430" s="23"/>
      <c r="M4430" s="50" t="s">
        <v>10178</v>
      </c>
      <c r="N4430" s="51"/>
      <c r="O4430" s="20"/>
      <c r="P4430" s="20"/>
      <c r="Q4430" s="20"/>
      <c r="R4430" s="20"/>
      <c r="S4430" s="20"/>
    </row>
    <row r="4431">
      <c r="A4431" s="10"/>
      <c r="B4431" s="11"/>
      <c r="C4431" s="10"/>
      <c r="D4431" s="13"/>
      <c r="E4431" s="14"/>
      <c r="F4431" s="14"/>
      <c r="G4431" s="14"/>
      <c r="H4431" s="10"/>
      <c r="I4431" s="10"/>
      <c r="J4431" s="10"/>
      <c r="K4431" s="46"/>
      <c r="L4431" s="10"/>
      <c r="M4431" s="44" t="s">
        <v>10178</v>
      </c>
      <c r="N4431" s="45"/>
      <c r="O4431" s="20"/>
      <c r="P4431" s="20"/>
      <c r="Q4431" s="20"/>
      <c r="R4431" s="20"/>
      <c r="S4431" s="20"/>
    </row>
    <row r="4432">
      <c r="A4432" s="23"/>
      <c r="B4432" s="21"/>
      <c r="C4432" s="23"/>
      <c r="D4432" s="24"/>
      <c r="E4432" s="14"/>
      <c r="F4432" s="14"/>
      <c r="G4432" s="14"/>
      <c r="H4432" s="23"/>
      <c r="I4432" s="23"/>
      <c r="J4432" s="23"/>
      <c r="K4432" s="30"/>
      <c r="L4432" s="23"/>
      <c r="M4432" s="50" t="s">
        <v>10178</v>
      </c>
      <c r="N4432" s="51"/>
      <c r="O4432" s="20"/>
      <c r="P4432" s="20"/>
      <c r="Q4432" s="20"/>
      <c r="R4432" s="20"/>
      <c r="S4432" s="20"/>
    </row>
    <row r="4433">
      <c r="A4433" s="10"/>
      <c r="B4433" s="11"/>
      <c r="C4433" s="10"/>
      <c r="D4433" s="13"/>
      <c r="E4433" s="14"/>
      <c r="F4433" s="14"/>
      <c r="G4433" s="14"/>
      <c r="H4433" s="10"/>
      <c r="I4433" s="10"/>
      <c r="J4433" s="10"/>
      <c r="K4433" s="46"/>
      <c r="L4433" s="10"/>
      <c r="M4433" s="44" t="s">
        <v>10178</v>
      </c>
      <c r="N4433" s="45"/>
      <c r="O4433" s="20"/>
      <c r="P4433" s="20"/>
      <c r="Q4433" s="20"/>
      <c r="R4433" s="20"/>
      <c r="S4433" s="20"/>
    </row>
    <row r="4434">
      <c r="A4434" s="23"/>
      <c r="B4434" s="21"/>
      <c r="C4434" s="23"/>
      <c r="D4434" s="24"/>
      <c r="E4434" s="14"/>
      <c r="F4434" s="14"/>
      <c r="G4434" s="14"/>
      <c r="H4434" s="23"/>
      <c r="I4434" s="23"/>
      <c r="J4434" s="23"/>
      <c r="K4434" s="30"/>
      <c r="L4434" s="23"/>
      <c r="M4434" s="50" t="s">
        <v>10178</v>
      </c>
      <c r="N4434" s="51"/>
      <c r="O4434" s="20"/>
      <c r="P4434" s="20"/>
      <c r="Q4434" s="20"/>
      <c r="R4434" s="20"/>
      <c r="S4434" s="20"/>
    </row>
    <row r="4435">
      <c r="A4435" s="10"/>
      <c r="B4435" s="11"/>
      <c r="C4435" s="10"/>
      <c r="D4435" s="13"/>
      <c r="E4435" s="14"/>
      <c r="F4435" s="14"/>
      <c r="G4435" s="14"/>
      <c r="H4435" s="10"/>
      <c r="I4435" s="10"/>
      <c r="J4435" s="10"/>
      <c r="K4435" s="46"/>
      <c r="L4435" s="10"/>
      <c r="M4435" s="44" t="s">
        <v>10178</v>
      </c>
      <c r="N4435" s="45"/>
      <c r="O4435" s="20"/>
      <c r="P4435" s="20"/>
      <c r="Q4435" s="20"/>
      <c r="R4435" s="20"/>
      <c r="S4435" s="20"/>
    </row>
    <row r="4436">
      <c r="A4436" s="23"/>
      <c r="B4436" s="21"/>
      <c r="C4436" s="23"/>
      <c r="D4436" s="24"/>
      <c r="E4436" s="14"/>
      <c r="F4436" s="14"/>
      <c r="G4436" s="14"/>
      <c r="H4436" s="23"/>
      <c r="I4436" s="23"/>
      <c r="J4436" s="23"/>
      <c r="K4436" s="30"/>
      <c r="L4436" s="23"/>
      <c r="M4436" s="50" t="s">
        <v>10178</v>
      </c>
      <c r="N4436" s="51"/>
      <c r="O4436" s="20"/>
      <c r="P4436" s="20"/>
      <c r="Q4436" s="20"/>
      <c r="R4436" s="20"/>
      <c r="S4436" s="20"/>
    </row>
    <row r="4437">
      <c r="A4437" s="10"/>
      <c r="B4437" s="11"/>
      <c r="C4437" s="10"/>
      <c r="D4437" s="13"/>
      <c r="E4437" s="14"/>
      <c r="F4437" s="14"/>
      <c r="G4437" s="14"/>
      <c r="H4437" s="10"/>
      <c r="I4437" s="10"/>
      <c r="J4437" s="10"/>
      <c r="K4437" s="46"/>
      <c r="L4437" s="10"/>
      <c r="M4437" s="44" t="s">
        <v>10178</v>
      </c>
      <c r="N4437" s="45"/>
      <c r="O4437" s="20"/>
      <c r="P4437" s="20"/>
      <c r="Q4437" s="20"/>
      <c r="R4437" s="20"/>
      <c r="S4437" s="20"/>
    </row>
    <row r="4438">
      <c r="A4438" s="23"/>
      <c r="B4438" s="21"/>
      <c r="C4438" s="23"/>
      <c r="D4438" s="24"/>
      <c r="E4438" s="14"/>
      <c r="F4438" s="14"/>
      <c r="G4438" s="14"/>
      <c r="H4438" s="23"/>
      <c r="I4438" s="23"/>
      <c r="J4438" s="23"/>
      <c r="K4438" s="30"/>
      <c r="L4438" s="23"/>
      <c r="M4438" s="50" t="s">
        <v>10178</v>
      </c>
      <c r="N4438" s="51"/>
      <c r="O4438" s="20"/>
      <c r="P4438" s="20"/>
      <c r="Q4438" s="20"/>
      <c r="R4438" s="20"/>
      <c r="S4438" s="20"/>
    </row>
    <row r="4439">
      <c r="A4439" s="10"/>
      <c r="B4439" s="11"/>
      <c r="C4439" s="10"/>
      <c r="D4439" s="13"/>
      <c r="E4439" s="14"/>
      <c r="F4439" s="14"/>
      <c r="G4439" s="14"/>
      <c r="H4439" s="10"/>
      <c r="I4439" s="10"/>
      <c r="J4439" s="10"/>
      <c r="K4439" s="46"/>
      <c r="L4439" s="10"/>
      <c r="M4439" s="44" t="s">
        <v>10178</v>
      </c>
      <c r="N4439" s="45"/>
      <c r="O4439" s="20"/>
      <c r="P4439" s="20"/>
      <c r="Q4439" s="20"/>
      <c r="R4439" s="20"/>
      <c r="S4439" s="20"/>
    </row>
    <row r="4440">
      <c r="A4440" s="23"/>
      <c r="B4440" s="21"/>
      <c r="C4440" s="23"/>
      <c r="D4440" s="24"/>
      <c r="E4440" s="14"/>
      <c r="F4440" s="14"/>
      <c r="G4440" s="14"/>
      <c r="H4440" s="23"/>
      <c r="I4440" s="23"/>
      <c r="J4440" s="23"/>
      <c r="K4440" s="30"/>
      <c r="L4440" s="23"/>
      <c r="M4440" s="50" t="s">
        <v>10178</v>
      </c>
      <c r="N4440" s="51"/>
      <c r="O4440" s="20"/>
      <c r="P4440" s="20"/>
      <c r="Q4440" s="20"/>
      <c r="R4440" s="20"/>
      <c r="S4440" s="20"/>
    </row>
    <row r="4441">
      <c r="A4441" s="10"/>
      <c r="B4441" s="11"/>
      <c r="C4441" s="10"/>
      <c r="D4441" s="13"/>
      <c r="E4441" s="14"/>
      <c r="F4441" s="14"/>
      <c r="G4441" s="14"/>
      <c r="H4441" s="10"/>
      <c r="I4441" s="10"/>
      <c r="J4441" s="10"/>
      <c r="K4441" s="46"/>
      <c r="L4441" s="10"/>
      <c r="M4441" s="44" t="s">
        <v>10178</v>
      </c>
      <c r="N4441" s="45"/>
      <c r="O4441" s="20"/>
      <c r="P4441" s="20"/>
      <c r="Q4441" s="20"/>
      <c r="R4441" s="20"/>
      <c r="S4441" s="20"/>
    </row>
    <row r="4442">
      <c r="A4442" s="23"/>
      <c r="B4442" s="21"/>
      <c r="C4442" s="23"/>
      <c r="D4442" s="24"/>
      <c r="E4442" s="14"/>
      <c r="F4442" s="14"/>
      <c r="G4442" s="14"/>
      <c r="H4442" s="23"/>
      <c r="I4442" s="23"/>
      <c r="J4442" s="23"/>
      <c r="K4442" s="30"/>
      <c r="L4442" s="23"/>
      <c r="M4442" s="50" t="s">
        <v>10178</v>
      </c>
      <c r="N4442" s="51"/>
      <c r="O4442" s="20"/>
      <c r="P4442" s="20"/>
      <c r="Q4442" s="20"/>
      <c r="R4442" s="20"/>
      <c r="S4442" s="20"/>
    </row>
    <row r="4443">
      <c r="A4443" s="10"/>
      <c r="B4443" s="11"/>
      <c r="C4443" s="10"/>
      <c r="D4443" s="13"/>
      <c r="E4443" s="14"/>
      <c r="F4443" s="14"/>
      <c r="G4443" s="14"/>
      <c r="H4443" s="10"/>
      <c r="I4443" s="10"/>
      <c r="J4443" s="10"/>
      <c r="K4443" s="46"/>
      <c r="L4443" s="10"/>
      <c r="M4443" s="44" t="s">
        <v>10178</v>
      </c>
      <c r="N4443" s="45"/>
      <c r="O4443" s="20"/>
      <c r="P4443" s="20"/>
      <c r="Q4443" s="20"/>
      <c r="R4443" s="20"/>
      <c r="S4443" s="20"/>
    </row>
    <row r="4444">
      <c r="A4444" s="23"/>
      <c r="B4444" s="21"/>
      <c r="C4444" s="23"/>
      <c r="D4444" s="24"/>
      <c r="E4444" s="14"/>
      <c r="F4444" s="14"/>
      <c r="G4444" s="14"/>
      <c r="H4444" s="23"/>
      <c r="I4444" s="23"/>
      <c r="J4444" s="23"/>
      <c r="K4444" s="30"/>
      <c r="L4444" s="23"/>
      <c r="M4444" s="50" t="s">
        <v>10178</v>
      </c>
      <c r="N4444" s="51"/>
      <c r="O4444" s="20"/>
      <c r="P4444" s="20"/>
      <c r="Q4444" s="20"/>
      <c r="R4444" s="20"/>
      <c r="S4444" s="20"/>
    </row>
    <row r="4445">
      <c r="A4445" s="10"/>
      <c r="B4445" s="11"/>
      <c r="C4445" s="10"/>
      <c r="D4445" s="13"/>
      <c r="E4445" s="14"/>
      <c r="F4445" s="14"/>
      <c r="G4445" s="14"/>
      <c r="H4445" s="10"/>
      <c r="I4445" s="10"/>
      <c r="J4445" s="10"/>
      <c r="K4445" s="46"/>
      <c r="L4445" s="10"/>
      <c r="M4445" s="44" t="s">
        <v>10178</v>
      </c>
      <c r="N4445" s="45"/>
      <c r="O4445" s="20"/>
      <c r="P4445" s="20"/>
      <c r="Q4445" s="20"/>
      <c r="R4445" s="20"/>
      <c r="S4445" s="20"/>
    </row>
    <row r="4446">
      <c r="A4446" s="23"/>
      <c r="B4446" s="21"/>
      <c r="C4446" s="23"/>
      <c r="D4446" s="24"/>
      <c r="E4446" s="14"/>
      <c r="F4446" s="14"/>
      <c r="G4446" s="14"/>
      <c r="H4446" s="23"/>
      <c r="I4446" s="23"/>
      <c r="J4446" s="23"/>
      <c r="K4446" s="30"/>
      <c r="L4446" s="23"/>
      <c r="M4446" s="50" t="s">
        <v>10178</v>
      </c>
      <c r="N4446" s="51"/>
      <c r="O4446" s="20"/>
      <c r="P4446" s="20"/>
      <c r="Q4446" s="20"/>
      <c r="R4446" s="20"/>
      <c r="S4446" s="20"/>
    </row>
    <row r="4447">
      <c r="A4447" s="10"/>
      <c r="B4447" s="11"/>
      <c r="C4447" s="10"/>
      <c r="D4447" s="13"/>
      <c r="E4447" s="14"/>
      <c r="F4447" s="14"/>
      <c r="G4447" s="14"/>
      <c r="H4447" s="10"/>
      <c r="I4447" s="10"/>
      <c r="J4447" s="10"/>
      <c r="K4447" s="46"/>
      <c r="L4447" s="10"/>
      <c r="M4447" s="44" t="s">
        <v>10178</v>
      </c>
      <c r="N4447" s="45"/>
      <c r="O4447" s="20"/>
      <c r="P4447" s="20"/>
      <c r="Q4447" s="20"/>
      <c r="R4447" s="20"/>
      <c r="S4447" s="20"/>
    </row>
    <row r="4448">
      <c r="A4448" s="23"/>
      <c r="B4448" s="21"/>
      <c r="C4448" s="23"/>
      <c r="D4448" s="24"/>
      <c r="E4448" s="14"/>
      <c r="F4448" s="14"/>
      <c r="G4448" s="14"/>
      <c r="H4448" s="23"/>
      <c r="I4448" s="23"/>
      <c r="J4448" s="23"/>
      <c r="K4448" s="30"/>
      <c r="L4448" s="23"/>
      <c r="M4448" s="50" t="s">
        <v>10178</v>
      </c>
      <c r="N4448" s="51"/>
      <c r="O4448" s="20"/>
      <c r="P4448" s="20"/>
      <c r="Q4448" s="20"/>
      <c r="R4448" s="20"/>
      <c r="S4448" s="20"/>
    </row>
    <row r="4449">
      <c r="A4449" s="10"/>
      <c r="B4449" s="11"/>
      <c r="C4449" s="10"/>
      <c r="D4449" s="13"/>
      <c r="E4449" s="14"/>
      <c r="F4449" s="14"/>
      <c r="G4449" s="14"/>
      <c r="H4449" s="10"/>
      <c r="I4449" s="10"/>
      <c r="J4449" s="10"/>
      <c r="K4449" s="46"/>
      <c r="L4449" s="10"/>
      <c r="M4449" s="44" t="s">
        <v>10178</v>
      </c>
      <c r="N4449" s="45"/>
      <c r="O4449" s="20"/>
      <c r="P4449" s="20"/>
      <c r="Q4449" s="20"/>
      <c r="R4449" s="20"/>
      <c r="S4449" s="20"/>
    </row>
    <row r="4450">
      <c r="A4450" s="23"/>
      <c r="B4450" s="21"/>
      <c r="C4450" s="23"/>
      <c r="D4450" s="24"/>
      <c r="E4450" s="14"/>
      <c r="F4450" s="14"/>
      <c r="G4450" s="14"/>
      <c r="H4450" s="23"/>
      <c r="I4450" s="23"/>
      <c r="J4450" s="23"/>
      <c r="K4450" s="30"/>
      <c r="L4450" s="23"/>
      <c r="M4450" s="50" t="s">
        <v>10178</v>
      </c>
      <c r="N4450" s="51"/>
      <c r="O4450" s="20"/>
      <c r="P4450" s="20"/>
      <c r="Q4450" s="20"/>
      <c r="R4450" s="20"/>
      <c r="S4450" s="20"/>
    </row>
    <row r="4451">
      <c r="A4451" s="10"/>
      <c r="B4451" s="11"/>
      <c r="C4451" s="10"/>
      <c r="D4451" s="13"/>
      <c r="E4451" s="14"/>
      <c r="F4451" s="14"/>
      <c r="G4451" s="14"/>
      <c r="H4451" s="10"/>
      <c r="I4451" s="10"/>
      <c r="J4451" s="10"/>
      <c r="K4451" s="46"/>
      <c r="L4451" s="10"/>
      <c r="M4451" s="44" t="s">
        <v>10178</v>
      </c>
      <c r="N4451" s="45"/>
      <c r="O4451" s="20"/>
      <c r="P4451" s="20"/>
      <c r="Q4451" s="20"/>
      <c r="R4451" s="20"/>
      <c r="S4451" s="20"/>
    </row>
    <row r="4452">
      <c r="A4452" s="23"/>
      <c r="B4452" s="21"/>
      <c r="C4452" s="23"/>
      <c r="D4452" s="24"/>
      <c r="E4452" s="14"/>
      <c r="F4452" s="14"/>
      <c r="G4452" s="14"/>
      <c r="H4452" s="23"/>
      <c r="I4452" s="23"/>
      <c r="J4452" s="23"/>
      <c r="K4452" s="30"/>
      <c r="L4452" s="23"/>
      <c r="M4452" s="50" t="s">
        <v>10178</v>
      </c>
      <c r="N4452" s="51"/>
      <c r="O4452" s="20"/>
      <c r="P4452" s="20"/>
      <c r="Q4452" s="20"/>
      <c r="R4452" s="20"/>
      <c r="S4452" s="20"/>
    </row>
    <row r="4453">
      <c r="A4453" s="10"/>
      <c r="B4453" s="11"/>
      <c r="C4453" s="10"/>
      <c r="D4453" s="13"/>
      <c r="E4453" s="14"/>
      <c r="F4453" s="14"/>
      <c r="G4453" s="14"/>
      <c r="H4453" s="10"/>
      <c r="I4453" s="10"/>
      <c r="J4453" s="10"/>
      <c r="K4453" s="46"/>
      <c r="L4453" s="10"/>
      <c r="M4453" s="44" t="s">
        <v>10178</v>
      </c>
      <c r="N4453" s="45"/>
      <c r="O4453" s="20"/>
      <c r="P4453" s="20"/>
      <c r="Q4453" s="20"/>
      <c r="R4453" s="20"/>
      <c r="S4453" s="20"/>
    </row>
    <row r="4454">
      <c r="A4454" s="23"/>
      <c r="B4454" s="21"/>
      <c r="C4454" s="23"/>
      <c r="D4454" s="24"/>
      <c r="E4454" s="14"/>
      <c r="F4454" s="14"/>
      <c r="G4454" s="14"/>
      <c r="H4454" s="23"/>
      <c r="I4454" s="23"/>
      <c r="J4454" s="23"/>
      <c r="K4454" s="30"/>
      <c r="L4454" s="23"/>
      <c r="M4454" s="50" t="s">
        <v>10178</v>
      </c>
      <c r="N4454" s="51"/>
      <c r="O4454" s="20"/>
      <c r="P4454" s="20"/>
      <c r="Q4454" s="20"/>
      <c r="R4454" s="20"/>
      <c r="S4454" s="20"/>
    </row>
    <row r="4455">
      <c r="A4455" s="10"/>
      <c r="B4455" s="11"/>
      <c r="C4455" s="10"/>
      <c r="D4455" s="13"/>
      <c r="E4455" s="14"/>
      <c r="F4455" s="14"/>
      <c r="G4455" s="14"/>
      <c r="H4455" s="10"/>
      <c r="I4455" s="10"/>
      <c r="J4455" s="10"/>
      <c r="K4455" s="46"/>
      <c r="L4455" s="10"/>
      <c r="M4455" s="44" t="s">
        <v>10178</v>
      </c>
      <c r="N4455" s="45"/>
      <c r="O4455" s="20"/>
      <c r="P4455" s="20"/>
      <c r="Q4455" s="20"/>
      <c r="R4455" s="20"/>
      <c r="S4455" s="20"/>
    </row>
    <row r="4456">
      <c r="A4456" s="23"/>
      <c r="B4456" s="21"/>
      <c r="C4456" s="23"/>
      <c r="D4456" s="24"/>
      <c r="E4456" s="14"/>
      <c r="F4456" s="14"/>
      <c r="G4456" s="14"/>
      <c r="H4456" s="23"/>
      <c r="I4456" s="23"/>
      <c r="J4456" s="23"/>
      <c r="K4456" s="30"/>
      <c r="L4456" s="23"/>
      <c r="M4456" s="50" t="s">
        <v>10178</v>
      </c>
      <c r="N4456" s="51"/>
      <c r="O4456" s="20"/>
      <c r="P4456" s="20"/>
      <c r="Q4456" s="20"/>
      <c r="R4456" s="20"/>
      <c r="S4456" s="20"/>
    </row>
    <row r="4457">
      <c r="A4457" s="10"/>
      <c r="B4457" s="11"/>
      <c r="C4457" s="10"/>
      <c r="D4457" s="13"/>
      <c r="E4457" s="14"/>
      <c r="F4457" s="14"/>
      <c r="G4457" s="14"/>
      <c r="H4457" s="10"/>
      <c r="I4457" s="10"/>
      <c r="J4457" s="10"/>
      <c r="K4457" s="46"/>
      <c r="L4457" s="10"/>
      <c r="M4457" s="44" t="s">
        <v>10178</v>
      </c>
      <c r="N4457" s="45"/>
      <c r="O4457" s="20"/>
      <c r="P4457" s="20"/>
      <c r="Q4457" s="20"/>
      <c r="R4457" s="20"/>
      <c r="S4457" s="20"/>
    </row>
    <row r="4458">
      <c r="A4458" s="23"/>
      <c r="B4458" s="21"/>
      <c r="C4458" s="23"/>
      <c r="D4458" s="24"/>
      <c r="E4458" s="14"/>
      <c r="F4458" s="14"/>
      <c r="G4458" s="14"/>
      <c r="H4458" s="23"/>
      <c r="I4458" s="23"/>
      <c r="J4458" s="23"/>
      <c r="K4458" s="30"/>
      <c r="L4458" s="23"/>
      <c r="M4458" s="50" t="s">
        <v>10178</v>
      </c>
      <c r="N4458" s="51"/>
      <c r="O4458" s="20"/>
      <c r="P4458" s="20"/>
      <c r="Q4458" s="20"/>
      <c r="R4458" s="20"/>
      <c r="S4458" s="20"/>
    </row>
    <row r="4459">
      <c r="A4459" s="10"/>
      <c r="B4459" s="11"/>
      <c r="C4459" s="10"/>
      <c r="D4459" s="13"/>
      <c r="E4459" s="14"/>
      <c r="F4459" s="14"/>
      <c r="G4459" s="14"/>
      <c r="H4459" s="10"/>
      <c r="I4459" s="10"/>
      <c r="J4459" s="10"/>
      <c r="K4459" s="46"/>
      <c r="L4459" s="10"/>
      <c r="M4459" s="44" t="s">
        <v>10178</v>
      </c>
      <c r="N4459" s="45"/>
      <c r="O4459" s="20"/>
      <c r="P4459" s="20"/>
      <c r="Q4459" s="20"/>
      <c r="R4459" s="20"/>
      <c r="S4459" s="20"/>
    </row>
    <row r="4460">
      <c r="A4460" s="23"/>
      <c r="B4460" s="21"/>
      <c r="C4460" s="23"/>
      <c r="D4460" s="24"/>
      <c r="E4460" s="14"/>
      <c r="F4460" s="14"/>
      <c r="G4460" s="14"/>
      <c r="H4460" s="23"/>
      <c r="I4460" s="23"/>
      <c r="J4460" s="23"/>
      <c r="K4460" s="30"/>
      <c r="L4460" s="23"/>
      <c r="M4460" s="50" t="s">
        <v>10178</v>
      </c>
      <c r="N4460" s="51"/>
      <c r="O4460" s="20"/>
      <c r="P4460" s="20"/>
      <c r="Q4460" s="20"/>
      <c r="R4460" s="20"/>
      <c r="S4460" s="20"/>
    </row>
    <row r="4461">
      <c r="A4461" s="10"/>
      <c r="B4461" s="11"/>
      <c r="C4461" s="10"/>
      <c r="D4461" s="13"/>
      <c r="E4461" s="14"/>
      <c r="F4461" s="14"/>
      <c r="G4461" s="14"/>
      <c r="H4461" s="10"/>
      <c r="I4461" s="10"/>
      <c r="J4461" s="10"/>
      <c r="K4461" s="46"/>
      <c r="L4461" s="10"/>
      <c r="M4461" s="44" t="s">
        <v>10178</v>
      </c>
      <c r="N4461" s="45"/>
      <c r="O4461" s="20"/>
      <c r="P4461" s="20"/>
      <c r="Q4461" s="20"/>
      <c r="R4461" s="20"/>
      <c r="S4461" s="20"/>
    </row>
    <row r="4462">
      <c r="A4462" s="23"/>
      <c r="B4462" s="21"/>
      <c r="C4462" s="23"/>
      <c r="D4462" s="24"/>
      <c r="E4462" s="14"/>
      <c r="F4462" s="14"/>
      <c r="G4462" s="14"/>
      <c r="H4462" s="23"/>
      <c r="I4462" s="23"/>
      <c r="J4462" s="23"/>
      <c r="K4462" s="30"/>
      <c r="L4462" s="23"/>
      <c r="M4462" s="50" t="s">
        <v>10178</v>
      </c>
      <c r="N4462" s="51"/>
      <c r="O4462" s="20"/>
      <c r="P4462" s="20"/>
      <c r="Q4462" s="20"/>
      <c r="R4462" s="20"/>
      <c r="S4462" s="20"/>
    </row>
    <row r="4463">
      <c r="A4463" s="10"/>
      <c r="B4463" s="11"/>
      <c r="C4463" s="10"/>
      <c r="D4463" s="13"/>
      <c r="E4463" s="14"/>
      <c r="F4463" s="14"/>
      <c r="G4463" s="14"/>
      <c r="H4463" s="10"/>
      <c r="I4463" s="10"/>
      <c r="J4463" s="10"/>
      <c r="K4463" s="46"/>
      <c r="L4463" s="10"/>
      <c r="M4463" s="44" t="s">
        <v>10178</v>
      </c>
      <c r="N4463" s="45"/>
      <c r="O4463" s="20"/>
      <c r="P4463" s="20"/>
      <c r="Q4463" s="20"/>
      <c r="R4463" s="20"/>
      <c r="S4463" s="20"/>
    </row>
    <row r="4464">
      <c r="A4464" s="23"/>
      <c r="B4464" s="21"/>
      <c r="C4464" s="23"/>
      <c r="D4464" s="24"/>
      <c r="E4464" s="14"/>
      <c r="F4464" s="14"/>
      <c r="G4464" s="14"/>
      <c r="H4464" s="23"/>
      <c r="I4464" s="23"/>
      <c r="J4464" s="23"/>
      <c r="K4464" s="30"/>
      <c r="L4464" s="23"/>
      <c r="M4464" s="50" t="s">
        <v>10178</v>
      </c>
      <c r="N4464" s="51"/>
      <c r="O4464" s="20"/>
      <c r="P4464" s="20"/>
      <c r="Q4464" s="20"/>
      <c r="R4464" s="20"/>
      <c r="S4464" s="20"/>
    </row>
    <row r="4465">
      <c r="A4465" s="10"/>
      <c r="B4465" s="11"/>
      <c r="C4465" s="10"/>
      <c r="D4465" s="13"/>
      <c r="E4465" s="14"/>
      <c r="F4465" s="14"/>
      <c r="G4465" s="14"/>
      <c r="H4465" s="10"/>
      <c r="I4465" s="10"/>
      <c r="J4465" s="10"/>
      <c r="K4465" s="46"/>
      <c r="L4465" s="10"/>
      <c r="M4465" s="44" t="s">
        <v>10178</v>
      </c>
      <c r="N4465" s="45"/>
      <c r="O4465" s="20"/>
      <c r="P4465" s="20"/>
      <c r="Q4465" s="20"/>
      <c r="R4465" s="20"/>
      <c r="S4465" s="20"/>
    </row>
    <row r="4466">
      <c r="A4466" s="23"/>
      <c r="B4466" s="21"/>
      <c r="C4466" s="23"/>
      <c r="D4466" s="24"/>
      <c r="E4466" s="14"/>
      <c r="F4466" s="14"/>
      <c r="G4466" s="14"/>
      <c r="H4466" s="23"/>
      <c r="I4466" s="23"/>
      <c r="J4466" s="23"/>
      <c r="K4466" s="30"/>
      <c r="L4466" s="23"/>
      <c r="M4466" s="50" t="s">
        <v>10178</v>
      </c>
      <c r="N4466" s="51"/>
      <c r="O4466" s="20"/>
      <c r="P4466" s="20"/>
      <c r="Q4466" s="20"/>
      <c r="R4466" s="20"/>
      <c r="S4466" s="20"/>
    </row>
    <row r="4467">
      <c r="A4467" s="10"/>
      <c r="B4467" s="11"/>
      <c r="C4467" s="10"/>
      <c r="D4467" s="13"/>
      <c r="E4467" s="14"/>
      <c r="F4467" s="14"/>
      <c r="G4467" s="14"/>
      <c r="H4467" s="10"/>
      <c r="I4467" s="10"/>
      <c r="J4467" s="10"/>
      <c r="K4467" s="46"/>
      <c r="L4467" s="10"/>
      <c r="M4467" s="44" t="s">
        <v>10178</v>
      </c>
      <c r="N4467" s="45"/>
      <c r="O4467" s="20"/>
      <c r="P4467" s="20"/>
      <c r="Q4467" s="20"/>
      <c r="R4467" s="20"/>
      <c r="S4467" s="20"/>
    </row>
    <row r="4468">
      <c r="A4468" s="23"/>
      <c r="B4468" s="21"/>
      <c r="C4468" s="23"/>
      <c r="D4468" s="24"/>
      <c r="E4468" s="14"/>
      <c r="F4468" s="14"/>
      <c r="G4468" s="14"/>
      <c r="H4468" s="23"/>
      <c r="I4468" s="23"/>
      <c r="J4468" s="23"/>
      <c r="K4468" s="30"/>
      <c r="L4468" s="23"/>
      <c r="M4468" s="50" t="s">
        <v>10178</v>
      </c>
      <c r="N4468" s="51"/>
      <c r="O4468" s="20"/>
      <c r="P4468" s="20"/>
      <c r="Q4468" s="20"/>
      <c r="R4468" s="20"/>
      <c r="S4468" s="20"/>
    </row>
    <row r="4469">
      <c r="A4469" s="10"/>
      <c r="B4469" s="11"/>
      <c r="C4469" s="10"/>
      <c r="D4469" s="13"/>
      <c r="E4469" s="14"/>
      <c r="F4469" s="14"/>
      <c r="G4469" s="14"/>
      <c r="H4469" s="10"/>
      <c r="I4469" s="10"/>
      <c r="J4469" s="10"/>
      <c r="K4469" s="46"/>
      <c r="L4469" s="10"/>
      <c r="M4469" s="44" t="s">
        <v>10178</v>
      </c>
      <c r="N4469" s="45"/>
      <c r="O4469" s="20"/>
      <c r="P4469" s="20"/>
      <c r="Q4469" s="20"/>
      <c r="R4469" s="20"/>
      <c r="S4469" s="20"/>
    </row>
    <row r="4470">
      <c r="A4470" s="23"/>
      <c r="B4470" s="21"/>
      <c r="C4470" s="23"/>
      <c r="D4470" s="24"/>
      <c r="E4470" s="14"/>
      <c r="F4470" s="14"/>
      <c r="G4470" s="14"/>
      <c r="H4470" s="23"/>
      <c r="I4470" s="23"/>
      <c r="J4470" s="23"/>
      <c r="K4470" s="30"/>
      <c r="L4470" s="23"/>
      <c r="M4470" s="50" t="s">
        <v>10178</v>
      </c>
      <c r="N4470" s="51"/>
      <c r="O4470" s="20"/>
      <c r="P4470" s="20"/>
      <c r="Q4470" s="20"/>
      <c r="R4470" s="20"/>
      <c r="S4470" s="20"/>
    </row>
    <row r="4471">
      <c r="A4471" s="10"/>
      <c r="B4471" s="11"/>
      <c r="C4471" s="10"/>
      <c r="D4471" s="13"/>
      <c r="E4471" s="14"/>
      <c r="F4471" s="14"/>
      <c r="G4471" s="14"/>
      <c r="H4471" s="10"/>
      <c r="I4471" s="10"/>
      <c r="J4471" s="10"/>
      <c r="K4471" s="46"/>
      <c r="L4471" s="10"/>
      <c r="M4471" s="44" t="s">
        <v>10178</v>
      </c>
      <c r="N4471" s="45"/>
      <c r="O4471" s="20"/>
      <c r="P4471" s="20"/>
      <c r="Q4471" s="20"/>
      <c r="R4471" s="20"/>
      <c r="S4471" s="20"/>
    </row>
    <row r="4472">
      <c r="A4472" s="23"/>
      <c r="B4472" s="21"/>
      <c r="C4472" s="23"/>
      <c r="D4472" s="24"/>
      <c r="E4472" s="14"/>
      <c r="F4472" s="14"/>
      <c r="G4472" s="14"/>
      <c r="H4472" s="23"/>
      <c r="I4472" s="23"/>
      <c r="J4472" s="23"/>
      <c r="K4472" s="30"/>
      <c r="L4472" s="23"/>
      <c r="M4472" s="50" t="s">
        <v>10178</v>
      </c>
      <c r="N4472" s="51"/>
      <c r="O4472" s="20"/>
      <c r="P4472" s="20"/>
      <c r="Q4472" s="20"/>
      <c r="R4472" s="20"/>
      <c r="S4472" s="20"/>
    </row>
    <row r="4473">
      <c r="A4473" s="10"/>
      <c r="B4473" s="11"/>
      <c r="C4473" s="10"/>
      <c r="D4473" s="13"/>
      <c r="E4473" s="14"/>
      <c r="F4473" s="14"/>
      <c r="G4473" s="14"/>
      <c r="H4473" s="10"/>
      <c r="I4473" s="10"/>
      <c r="J4473" s="10"/>
      <c r="K4473" s="46"/>
      <c r="L4473" s="10"/>
      <c r="M4473" s="44" t="s">
        <v>10178</v>
      </c>
      <c r="N4473" s="45"/>
      <c r="O4473" s="20"/>
      <c r="P4473" s="20"/>
      <c r="Q4473" s="20"/>
      <c r="R4473" s="20"/>
      <c r="S4473" s="20"/>
    </row>
    <row r="4474">
      <c r="A4474" s="23"/>
      <c r="B4474" s="21"/>
      <c r="C4474" s="23"/>
      <c r="D4474" s="24"/>
      <c r="E4474" s="14"/>
      <c r="F4474" s="14"/>
      <c r="G4474" s="14"/>
      <c r="H4474" s="23"/>
      <c r="I4474" s="23"/>
      <c r="J4474" s="23"/>
      <c r="K4474" s="30"/>
      <c r="L4474" s="23"/>
      <c r="M4474" s="50" t="s">
        <v>10178</v>
      </c>
      <c r="N4474" s="51"/>
      <c r="O4474" s="20"/>
      <c r="P4474" s="20"/>
      <c r="Q4474" s="20"/>
      <c r="R4474" s="20"/>
      <c r="S4474" s="20"/>
    </row>
    <row r="4475">
      <c r="A4475" s="10"/>
      <c r="B4475" s="11"/>
      <c r="C4475" s="10"/>
      <c r="D4475" s="13"/>
      <c r="E4475" s="14"/>
      <c r="F4475" s="14"/>
      <c r="G4475" s="14"/>
      <c r="H4475" s="10"/>
      <c r="I4475" s="10"/>
      <c r="J4475" s="10"/>
      <c r="K4475" s="46"/>
      <c r="L4475" s="10"/>
      <c r="M4475" s="44" t="s">
        <v>10178</v>
      </c>
      <c r="N4475" s="45"/>
      <c r="O4475" s="20"/>
      <c r="P4475" s="20"/>
      <c r="Q4475" s="20"/>
      <c r="R4475" s="20"/>
      <c r="S4475" s="20"/>
    </row>
    <row r="4476">
      <c r="A4476" s="23"/>
      <c r="B4476" s="21"/>
      <c r="C4476" s="23"/>
      <c r="D4476" s="24"/>
      <c r="E4476" s="14"/>
      <c r="F4476" s="14"/>
      <c r="G4476" s="14"/>
      <c r="H4476" s="23"/>
      <c r="I4476" s="23"/>
      <c r="J4476" s="23"/>
      <c r="K4476" s="30"/>
      <c r="L4476" s="23"/>
      <c r="M4476" s="50" t="s">
        <v>10178</v>
      </c>
      <c r="N4476" s="51"/>
      <c r="O4476" s="20"/>
      <c r="P4476" s="20"/>
      <c r="Q4476" s="20"/>
      <c r="R4476" s="20"/>
      <c r="S4476" s="20"/>
    </row>
    <row r="4477">
      <c r="A4477" s="10"/>
      <c r="B4477" s="11"/>
      <c r="C4477" s="10"/>
      <c r="D4477" s="13"/>
      <c r="E4477" s="14"/>
      <c r="F4477" s="14"/>
      <c r="G4477" s="14"/>
      <c r="H4477" s="10"/>
      <c r="I4477" s="10"/>
      <c r="J4477" s="10"/>
      <c r="K4477" s="46"/>
      <c r="L4477" s="10"/>
      <c r="M4477" s="44" t="s">
        <v>10178</v>
      </c>
      <c r="N4477" s="45"/>
      <c r="O4477" s="20"/>
      <c r="P4477" s="20"/>
      <c r="Q4477" s="20"/>
      <c r="R4477" s="20"/>
      <c r="S4477" s="20"/>
    </row>
    <row r="4478">
      <c r="A4478" s="23"/>
      <c r="B4478" s="21"/>
      <c r="C4478" s="23"/>
      <c r="D4478" s="24"/>
      <c r="E4478" s="14"/>
      <c r="F4478" s="14"/>
      <c r="G4478" s="14"/>
      <c r="H4478" s="23"/>
      <c r="I4478" s="23"/>
      <c r="J4478" s="23"/>
      <c r="K4478" s="30"/>
      <c r="L4478" s="23"/>
      <c r="M4478" s="50" t="s">
        <v>10178</v>
      </c>
      <c r="N4478" s="51"/>
      <c r="O4478" s="20"/>
      <c r="P4478" s="20"/>
      <c r="Q4478" s="20"/>
      <c r="R4478" s="20"/>
      <c r="S4478" s="20"/>
    </row>
    <row r="4479">
      <c r="A4479" s="10"/>
      <c r="B4479" s="11"/>
      <c r="C4479" s="10"/>
      <c r="D4479" s="13"/>
      <c r="E4479" s="14"/>
      <c r="F4479" s="14"/>
      <c r="G4479" s="14"/>
      <c r="H4479" s="10"/>
      <c r="I4479" s="10"/>
      <c r="J4479" s="10"/>
      <c r="K4479" s="46"/>
      <c r="L4479" s="10"/>
      <c r="M4479" s="44" t="s">
        <v>10178</v>
      </c>
      <c r="N4479" s="45"/>
      <c r="O4479" s="20"/>
      <c r="P4479" s="20"/>
      <c r="Q4479" s="20"/>
      <c r="R4479" s="20"/>
      <c r="S4479" s="20"/>
    </row>
    <row r="4480">
      <c r="A4480" s="23"/>
      <c r="B4480" s="21"/>
      <c r="C4480" s="23"/>
      <c r="D4480" s="24"/>
      <c r="E4480" s="14"/>
      <c r="F4480" s="14"/>
      <c r="G4480" s="14"/>
      <c r="H4480" s="23"/>
      <c r="I4480" s="23"/>
      <c r="J4480" s="23"/>
      <c r="K4480" s="30"/>
      <c r="L4480" s="23"/>
      <c r="M4480" s="50" t="s">
        <v>10178</v>
      </c>
      <c r="N4480" s="51"/>
      <c r="O4480" s="20"/>
      <c r="P4480" s="20"/>
      <c r="Q4480" s="20"/>
      <c r="R4480" s="20"/>
      <c r="S4480" s="20"/>
    </row>
    <row r="4481">
      <c r="A4481" s="10"/>
      <c r="B4481" s="11"/>
      <c r="C4481" s="10"/>
      <c r="D4481" s="13"/>
      <c r="E4481" s="14"/>
      <c r="F4481" s="14"/>
      <c r="G4481" s="14"/>
      <c r="H4481" s="10"/>
      <c r="I4481" s="10"/>
      <c r="J4481" s="10"/>
      <c r="K4481" s="46"/>
      <c r="L4481" s="10"/>
      <c r="M4481" s="44" t="s">
        <v>10178</v>
      </c>
      <c r="N4481" s="45"/>
      <c r="O4481" s="20"/>
      <c r="P4481" s="20"/>
      <c r="Q4481" s="20"/>
      <c r="R4481" s="20"/>
      <c r="S4481" s="20"/>
    </row>
    <row r="4482">
      <c r="A4482" s="23"/>
      <c r="B4482" s="21"/>
      <c r="C4482" s="23"/>
      <c r="D4482" s="24"/>
      <c r="E4482" s="14"/>
      <c r="F4482" s="14"/>
      <c r="G4482" s="14"/>
      <c r="H4482" s="23"/>
      <c r="I4482" s="23"/>
      <c r="J4482" s="23"/>
      <c r="K4482" s="30"/>
      <c r="L4482" s="23"/>
      <c r="M4482" s="50" t="s">
        <v>10178</v>
      </c>
      <c r="N4482" s="51"/>
      <c r="O4482" s="20"/>
      <c r="P4482" s="20"/>
      <c r="Q4482" s="20"/>
      <c r="R4482" s="20"/>
      <c r="S4482" s="20"/>
    </row>
    <row r="4483">
      <c r="A4483" s="10"/>
      <c r="B4483" s="11"/>
      <c r="C4483" s="10"/>
      <c r="D4483" s="13"/>
      <c r="E4483" s="14"/>
      <c r="F4483" s="14"/>
      <c r="G4483" s="14"/>
      <c r="H4483" s="10"/>
      <c r="I4483" s="10"/>
      <c r="J4483" s="10"/>
      <c r="K4483" s="46"/>
      <c r="L4483" s="10"/>
      <c r="M4483" s="44" t="s">
        <v>10178</v>
      </c>
      <c r="N4483" s="45"/>
      <c r="O4483" s="20"/>
      <c r="P4483" s="20"/>
      <c r="Q4483" s="20"/>
      <c r="R4483" s="20"/>
      <c r="S4483" s="20"/>
    </row>
    <row r="4484">
      <c r="A4484" s="23"/>
      <c r="B4484" s="21"/>
      <c r="C4484" s="23"/>
      <c r="D4484" s="24"/>
      <c r="E4484" s="14"/>
      <c r="F4484" s="14"/>
      <c r="G4484" s="14"/>
      <c r="H4484" s="23"/>
      <c r="I4484" s="23"/>
      <c r="J4484" s="23"/>
      <c r="K4484" s="30"/>
      <c r="L4484" s="23"/>
      <c r="M4484" s="50" t="s">
        <v>10178</v>
      </c>
      <c r="N4484" s="51"/>
      <c r="O4484" s="20"/>
      <c r="P4484" s="20"/>
      <c r="Q4484" s="20"/>
      <c r="R4484" s="20"/>
      <c r="S4484" s="20"/>
    </row>
    <row r="4485">
      <c r="A4485" s="10"/>
      <c r="B4485" s="11"/>
      <c r="C4485" s="10"/>
      <c r="D4485" s="13"/>
      <c r="E4485" s="14"/>
      <c r="F4485" s="14"/>
      <c r="G4485" s="14"/>
      <c r="H4485" s="10"/>
      <c r="I4485" s="10"/>
      <c r="J4485" s="10"/>
      <c r="K4485" s="46"/>
      <c r="L4485" s="10"/>
      <c r="M4485" s="44" t="s">
        <v>10178</v>
      </c>
      <c r="N4485" s="45"/>
      <c r="O4485" s="20"/>
      <c r="P4485" s="20"/>
      <c r="Q4485" s="20"/>
      <c r="R4485" s="20"/>
      <c r="S4485" s="20"/>
    </row>
    <row r="4486">
      <c r="A4486" s="23"/>
      <c r="B4486" s="21"/>
      <c r="C4486" s="23"/>
      <c r="D4486" s="24"/>
      <c r="E4486" s="14"/>
      <c r="F4486" s="14"/>
      <c r="G4486" s="14"/>
      <c r="H4486" s="23"/>
      <c r="I4486" s="23"/>
      <c r="J4486" s="23"/>
      <c r="K4486" s="30"/>
      <c r="L4486" s="23"/>
      <c r="M4486" s="50" t="s">
        <v>10178</v>
      </c>
      <c r="N4486" s="51"/>
      <c r="O4486" s="20"/>
      <c r="P4486" s="20"/>
      <c r="Q4486" s="20"/>
      <c r="R4486" s="20"/>
      <c r="S4486" s="20"/>
    </row>
    <row r="4487">
      <c r="A4487" s="10"/>
      <c r="B4487" s="11"/>
      <c r="C4487" s="10"/>
      <c r="D4487" s="13"/>
      <c r="E4487" s="14"/>
      <c r="F4487" s="14"/>
      <c r="G4487" s="14"/>
      <c r="H4487" s="10"/>
      <c r="I4487" s="10"/>
      <c r="J4487" s="10"/>
      <c r="K4487" s="46"/>
      <c r="L4487" s="10"/>
      <c r="M4487" s="44" t="s">
        <v>10178</v>
      </c>
      <c r="N4487" s="45"/>
      <c r="O4487" s="20"/>
      <c r="P4487" s="20"/>
      <c r="Q4487" s="20"/>
      <c r="R4487" s="20"/>
      <c r="S4487" s="20"/>
    </row>
    <row r="4488">
      <c r="A4488" s="23"/>
      <c r="B4488" s="21"/>
      <c r="C4488" s="23"/>
      <c r="D4488" s="24"/>
      <c r="E4488" s="14"/>
      <c r="F4488" s="14"/>
      <c r="G4488" s="14"/>
      <c r="H4488" s="23"/>
      <c r="I4488" s="23"/>
      <c r="J4488" s="23"/>
      <c r="K4488" s="30"/>
      <c r="L4488" s="23"/>
      <c r="M4488" s="50" t="s">
        <v>10178</v>
      </c>
      <c r="N4488" s="51"/>
      <c r="O4488" s="20"/>
      <c r="P4488" s="20"/>
      <c r="Q4488" s="20"/>
      <c r="R4488" s="20"/>
      <c r="S4488" s="20"/>
    </row>
    <row r="4489">
      <c r="A4489" s="10"/>
      <c r="B4489" s="11"/>
      <c r="C4489" s="10"/>
      <c r="D4489" s="13"/>
      <c r="E4489" s="14"/>
      <c r="F4489" s="14"/>
      <c r="G4489" s="14"/>
      <c r="H4489" s="10"/>
      <c r="I4489" s="10"/>
      <c r="J4489" s="10"/>
      <c r="K4489" s="46"/>
      <c r="L4489" s="10"/>
      <c r="M4489" s="44" t="s">
        <v>10178</v>
      </c>
      <c r="N4489" s="45"/>
      <c r="O4489" s="20"/>
      <c r="P4489" s="20"/>
      <c r="Q4489" s="20"/>
      <c r="R4489" s="20"/>
      <c r="S4489" s="20"/>
    </row>
    <row r="4490">
      <c r="A4490" s="23"/>
      <c r="B4490" s="21"/>
      <c r="C4490" s="23"/>
      <c r="D4490" s="24"/>
      <c r="E4490" s="14"/>
      <c r="F4490" s="14"/>
      <c r="G4490" s="14"/>
      <c r="H4490" s="23"/>
      <c r="I4490" s="23"/>
      <c r="J4490" s="23"/>
      <c r="K4490" s="30"/>
      <c r="L4490" s="23"/>
      <c r="M4490" s="50" t="s">
        <v>10178</v>
      </c>
      <c r="N4490" s="51"/>
      <c r="O4490" s="20"/>
      <c r="P4490" s="20"/>
      <c r="Q4490" s="20"/>
      <c r="R4490" s="20"/>
      <c r="S4490" s="20"/>
    </row>
    <row r="4491">
      <c r="A4491" s="10"/>
      <c r="B4491" s="11"/>
      <c r="C4491" s="10"/>
      <c r="D4491" s="13"/>
      <c r="E4491" s="14"/>
      <c r="F4491" s="14"/>
      <c r="G4491" s="14"/>
      <c r="H4491" s="10"/>
      <c r="I4491" s="10"/>
      <c r="J4491" s="10"/>
      <c r="K4491" s="46"/>
      <c r="L4491" s="10"/>
      <c r="M4491" s="44" t="s">
        <v>10178</v>
      </c>
      <c r="N4491" s="45"/>
      <c r="O4491" s="20"/>
      <c r="P4491" s="20"/>
      <c r="Q4491" s="20"/>
      <c r="R4491" s="20"/>
      <c r="S4491" s="20"/>
    </row>
    <row r="4492">
      <c r="A4492" s="23"/>
      <c r="B4492" s="21"/>
      <c r="C4492" s="23"/>
      <c r="D4492" s="24"/>
      <c r="E4492" s="14"/>
      <c r="F4492" s="14"/>
      <c r="G4492" s="14"/>
      <c r="H4492" s="23"/>
      <c r="I4492" s="23"/>
      <c r="J4492" s="23"/>
      <c r="K4492" s="30"/>
      <c r="L4492" s="23"/>
      <c r="M4492" s="50" t="s">
        <v>10178</v>
      </c>
      <c r="N4492" s="51"/>
      <c r="O4492" s="20"/>
      <c r="P4492" s="20"/>
      <c r="Q4492" s="20"/>
      <c r="R4492" s="20"/>
      <c r="S4492" s="20"/>
    </row>
    <row r="4493">
      <c r="A4493" s="10"/>
      <c r="B4493" s="11"/>
      <c r="C4493" s="10"/>
      <c r="D4493" s="13"/>
      <c r="E4493" s="14"/>
      <c r="F4493" s="14"/>
      <c r="G4493" s="14"/>
      <c r="H4493" s="10"/>
      <c r="I4493" s="10"/>
      <c r="J4493" s="10"/>
      <c r="K4493" s="46"/>
      <c r="L4493" s="10"/>
      <c r="M4493" s="44" t="s">
        <v>10178</v>
      </c>
      <c r="N4493" s="45"/>
      <c r="O4493" s="20"/>
      <c r="P4493" s="20"/>
      <c r="Q4493" s="20"/>
      <c r="R4493" s="20"/>
      <c r="S4493" s="20"/>
    </row>
    <row r="4494">
      <c r="A4494" s="23"/>
      <c r="B4494" s="21"/>
      <c r="C4494" s="23"/>
      <c r="D4494" s="24"/>
      <c r="E4494" s="14"/>
      <c r="F4494" s="14"/>
      <c r="G4494" s="14"/>
      <c r="H4494" s="23"/>
      <c r="I4494" s="23"/>
      <c r="J4494" s="23"/>
      <c r="K4494" s="30"/>
      <c r="L4494" s="23"/>
      <c r="M4494" s="50" t="s">
        <v>10178</v>
      </c>
      <c r="N4494" s="51"/>
      <c r="O4494" s="20"/>
      <c r="P4494" s="20"/>
      <c r="Q4494" s="20"/>
      <c r="R4494" s="20"/>
      <c r="S4494" s="20"/>
    </row>
    <row r="4495">
      <c r="A4495" s="10"/>
      <c r="B4495" s="11"/>
      <c r="C4495" s="10"/>
      <c r="D4495" s="13"/>
      <c r="E4495" s="14"/>
      <c r="F4495" s="14"/>
      <c r="G4495" s="14"/>
      <c r="H4495" s="10"/>
      <c r="I4495" s="10"/>
      <c r="J4495" s="10"/>
      <c r="K4495" s="46"/>
      <c r="L4495" s="10"/>
      <c r="M4495" s="44" t="s">
        <v>10178</v>
      </c>
      <c r="N4495" s="45"/>
      <c r="O4495" s="20"/>
      <c r="P4495" s="20"/>
      <c r="Q4495" s="20"/>
      <c r="R4495" s="20"/>
      <c r="S4495" s="20"/>
    </row>
    <row r="4496">
      <c r="A4496" s="23"/>
      <c r="B4496" s="21"/>
      <c r="C4496" s="23"/>
      <c r="D4496" s="24"/>
      <c r="E4496" s="14"/>
      <c r="F4496" s="14"/>
      <c r="G4496" s="14"/>
      <c r="H4496" s="23"/>
      <c r="I4496" s="23"/>
      <c r="J4496" s="23"/>
      <c r="K4496" s="30"/>
      <c r="L4496" s="23"/>
      <c r="M4496" s="50" t="s">
        <v>10178</v>
      </c>
      <c r="N4496" s="51"/>
      <c r="O4496" s="20"/>
      <c r="P4496" s="20"/>
      <c r="Q4496" s="20"/>
      <c r="R4496" s="20"/>
      <c r="S4496" s="20"/>
    </row>
    <row r="4497">
      <c r="A4497" s="10"/>
      <c r="B4497" s="11"/>
      <c r="C4497" s="10"/>
      <c r="D4497" s="13"/>
      <c r="E4497" s="14"/>
      <c r="F4497" s="14"/>
      <c r="G4497" s="14"/>
      <c r="H4497" s="10"/>
      <c r="I4497" s="10"/>
      <c r="J4497" s="10"/>
      <c r="K4497" s="46"/>
      <c r="L4497" s="10"/>
      <c r="M4497" s="44" t="s">
        <v>10178</v>
      </c>
      <c r="N4497" s="45"/>
      <c r="O4497" s="20"/>
      <c r="P4497" s="20"/>
      <c r="Q4497" s="20"/>
      <c r="R4497" s="20"/>
      <c r="S4497" s="20"/>
    </row>
    <row r="4498">
      <c r="A4498" s="23"/>
      <c r="B4498" s="21"/>
      <c r="C4498" s="23"/>
      <c r="D4498" s="24"/>
      <c r="E4498" s="14"/>
      <c r="F4498" s="14"/>
      <c r="G4498" s="14"/>
      <c r="H4498" s="23"/>
      <c r="I4498" s="23"/>
      <c r="J4498" s="23"/>
      <c r="K4498" s="30"/>
      <c r="L4498" s="23"/>
      <c r="M4498" s="50" t="s">
        <v>10178</v>
      </c>
      <c r="N4498" s="51"/>
      <c r="O4498" s="20"/>
      <c r="P4498" s="20"/>
      <c r="Q4498" s="20"/>
      <c r="R4498" s="20"/>
      <c r="S4498" s="20"/>
    </row>
    <row r="4499">
      <c r="A4499" s="10"/>
      <c r="B4499" s="11"/>
      <c r="C4499" s="10"/>
      <c r="D4499" s="13"/>
      <c r="E4499" s="14"/>
      <c r="F4499" s="14"/>
      <c r="G4499" s="14"/>
      <c r="H4499" s="10"/>
      <c r="I4499" s="10"/>
      <c r="J4499" s="10"/>
      <c r="K4499" s="46"/>
      <c r="L4499" s="10"/>
      <c r="M4499" s="44" t="s">
        <v>10178</v>
      </c>
      <c r="N4499" s="45"/>
      <c r="O4499" s="20"/>
      <c r="P4499" s="20"/>
      <c r="Q4499" s="20"/>
      <c r="R4499" s="20"/>
      <c r="S4499" s="20"/>
    </row>
    <row r="4500">
      <c r="A4500" s="23"/>
      <c r="B4500" s="21"/>
      <c r="C4500" s="23"/>
      <c r="D4500" s="24"/>
      <c r="E4500" s="14"/>
      <c r="F4500" s="14"/>
      <c r="G4500" s="14"/>
      <c r="H4500" s="23"/>
      <c r="I4500" s="23"/>
      <c r="J4500" s="23"/>
      <c r="K4500" s="30"/>
      <c r="L4500" s="23"/>
      <c r="M4500" s="50" t="s">
        <v>10178</v>
      </c>
      <c r="N4500" s="51"/>
      <c r="O4500" s="20"/>
      <c r="P4500" s="20"/>
      <c r="Q4500" s="20"/>
      <c r="R4500" s="20"/>
      <c r="S4500" s="20"/>
    </row>
    <row r="4501">
      <c r="A4501" s="10"/>
      <c r="B4501" s="11"/>
      <c r="C4501" s="10"/>
      <c r="D4501" s="13"/>
      <c r="E4501" s="14"/>
      <c r="F4501" s="14"/>
      <c r="G4501" s="14"/>
      <c r="H4501" s="10"/>
      <c r="I4501" s="10"/>
      <c r="J4501" s="10"/>
      <c r="K4501" s="46"/>
      <c r="L4501" s="10"/>
      <c r="M4501" s="44" t="s">
        <v>10178</v>
      </c>
      <c r="N4501" s="45"/>
      <c r="O4501" s="20"/>
      <c r="P4501" s="20"/>
      <c r="Q4501" s="20"/>
      <c r="R4501" s="20"/>
      <c r="S4501" s="20"/>
    </row>
    <row r="4502">
      <c r="A4502" s="23"/>
      <c r="B4502" s="21"/>
      <c r="C4502" s="23"/>
      <c r="D4502" s="24"/>
      <c r="E4502" s="14"/>
      <c r="F4502" s="14"/>
      <c r="G4502" s="14"/>
      <c r="H4502" s="23"/>
      <c r="I4502" s="23"/>
      <c r="J4502" s="23"/>
      <c r="K4502" s="30"/>
      <c r="L4502" s="23"/>
      <c r="M4502" s="50" t="s">
        <v>10178</v>
      </c>
      <c r="N4502" s="51"/>
      <c r="O4502" s="20"/>
      <c r="P4502" s="20"/>
      <c r="Q4502" s="20"/>
      <c r="R4502" s="20"/>
      <c r="S4502" s="20"/>
    </row>
    <row r="4503">
      <c r="A4503" s="10"/>
      <c r="B4503" s="11"/>
      <c r="C4503" s="10"/>
      <c r="D4503" s="13"/>
      <c r="E4503" s="14"/>
      <c r="F4503" s="14"/>
      <c r="G4503" s="14"/>
      <c r="H4503" s="10"/>
      <c r="I4503" s="10"/>
      <c r="J4503" s="10"/>
      <c r="K4503" s="46"/>
      <c r="L4503" s="10"/>
      <c r="M4503" s="44" t="s">
        <v>10178</v>
      </c>
      <c r="N4503" s="45"/>
      <c r="O4503" s="20"/>
      <c r="P4503" s="20"/>
      <c r="Q4503" s="20"/>
      <c r="R4503" s="20"/>
      <c r="S4503" s="20"/>
    </row>
    <row r="4504">
      <c r="A4504" s="23"/>
      <c r="B4504" s="21"/>
      <c r="C4504" s="23"/>
      <c r="D4504" s="24"/>
      <c r="E4504" s="14"/>
      <c r="F4504" s="14"/>
      <c r="G4504" s="14"/>
      <c r="H4504" s="23"/>
      <c r="I4504" s="23"/>
      <c r="J4504" s="23"/>
      <c r="K4504" s="30"/>
      <c r="L4504" s="23"/>
      <c r="M4504" s="50" t="s">
        <v>10178</v>
      </c>
      <c r="N4504" s="51"/>
      <c r="O4504" s="20"/>
      <c r="P4504" s="20"/>
      <c r="Q4504" s="20"/>
      <c r="R4504" s="20"/>
      <c r="S4504" s="20"/>
    </row>
    <row r="4505">
      <c r="A4505" s="10"/>
      <c r="B4505" s="11"/>
      <c r="C4505" s="10"/>
      <c r="D4505" s="13"/>
      <c r="E4505" s="14"/>
      <c r="F4505" s="14"/>
      <c r="G4505" s="14"/>
      <c r="H4505" s="10"/>
      <c r="I4505" s="10"/>
      <c r="J4505" s="10"/>
      <c r="K4505" s="46"/>
      <c r="L4505" s="10"/>
      <c r="M4505" s="44" t="s">
        <v>10178</v>
      </c>
      <c r="N4505" s="45"/>
      <c r="O4505" s="20"/>
      <c r="P4505" s="20"/>
      <c r="Q4505" s="20"/>
      <c r="R4505" s="20"/>
      <c r="S4505" s="20"/>
    </row>
    <row r="4506">
      <c r="A4506" s="23"/>
      <c r="B4506" s="21"/>
      <c r="C4506" s="23"/>
      <c r="D4506" s="24"/>
      <c r="E4506" s="14"/>
      <c r="F4506" s="14"/>
      <c r="G4506" s="14"/>
      <c r="H4506" s="23"/>
      <c r="I4506" s="23"/>
      <c r="J4506" s="23"/>
      <c r="K4506" s="30"/>
      <c r="L4506" s="23"/>
      <c r="M4506" s="50" t="s">
        <v>10178</v>
      </c>
      <c r="N4506" s="51"/>
      <c r="O4506" s="20"/>
      <c r="P4506" s="20"/>
      <c r="Q4506" s="20"/>
      <c r="R4506" s="20"/>
      <c r="S4506" s="20"/>
    </row>
    <row r="4507">
      <c r="A4507" s="10"/>
      <c r="B4507" s="11"/>
      <c r="C4507" s="10"/>
      <c r="D4507" s="13"/>
      <c r="E4507" s="14"/>
      <c r="F4507" s="14"/>
      <c r="G4507" s="14"/>
      <c r="H4507" s="10"/>
      <c r="I4507" s="10"/>
      <c r="J4507" s="10"/>
      <c r="K4507" s="46"/>
      <c r="L4507" s="10"/>
      <c r="M4507" s="44" t="s">
        <v>10178</v>
      </c>
      <c r="N4507" s="45"/>
      <c r="O4507" s="20"/>
      <c r="P4507" s="20"/>
      <c r="Q4507" s="20"/>
      <c r="R4507" s="20"/>
      <c r="S4507" s="20"/>
    </row>
    <row r="4508">
      <c r="A4508" s="23"/>
      <c r="B4508" s="21"/>
      <c r="C4508" s="23"/>
      <c r="D4508" s="24"/>
      <c r="E4508" s="14"/>
      <c r="F4508" s="14"/>
      <c r="G4508" s="14"/>
      <c r="H4508" s="23"/>
      <c r="I4508" s="23"/>
      <c r="J4508" s="23"/>
      <c r="K4508" s="30"/>
      <c r="L4508" s="23"/>
      <c r="M4508" s="50" t="s">
        <v>10178</v>
      </c>
      <c r="N4508" s="51"/>
      <c r="O4508" s="20"/>
      <c r="P4508" s="20"/>
      <c r="Q4508" s="20"/>
      <c r="R4508" s="20"/>
      <c r="S4508" s="20"/>
    </row>
    <row r="4509">
      <c r="A4509" s="10"/>
      <c r="B4509" s="11"/>
      <c r="C4509" s="10"/>
      <c r="D4509" s="13"/>
      <c r="E4509" s="14"/>
      <c r="F4509" s="14"/>
      <c r="G4509" s="14"/>
      <c r="H4509" s="10"/>
      <c r="I4509" s="10"/>
      <c r="J4509" s="10"/>
      <c r="K4509" s="46"/>
      <c r="L4509" s="10"/>
      <c r="M4509" s="44" t="s">
        <v>10178</v>
      </c>
      <c r="N4509" s="45"/>
      <c r="O4509" s="20"/>
      <c r="P4509" s="20"/>
      <c r="Q4509" s="20"/>
      <c r="R4509" s="20"/>
      <c r="S4509" s="20"/>
    </row>
    <row r="4510">
      <c r="A4510" s="23"/>
      <c r="B4510" s="21"/>
      <c r="C4510" s="23"/>
      <c r="D4510" s="24"/>
      <c r="E4510" s="14"/>
      <c r="F4510" s="14"/>
      <c r="G4510" s="14"/>
      <c r="H4510" s="23"/>
      <c r="I4510" s="23"/>
      <c r="J4510" s="23"/>
      <c r="K4510" s="30"/>
      <c r="L4510" s="23"/>
      <c r="M4510" s="50" t="s">
        <v>10178</v>
      </c>
      <c r="N4510" s="51"/>
      <c r="O4510" s="20"/>
      <c r="P4510" s="20"/>
      <c r="Q4510" s="20"/>
      <c r="R4510" s="20"/>
      <c r="S4510" s="20"/>
    </row>
    <row r="4511">
      <c r="A4511" s="10"/>
      <c r="B4511" s="11"/>
      <c r="C4511" s="10"/>
      <c r="D4511" s="13"/>
      <c r="E4511" s="14"/>
      <c r="F4511" s="14"/>
      <c r="G4511" s="14"/>
      <c r="H4511" s="10"/>
      <c r="I4511" s="10"/>
      <c r="J4511" s="10"/>
      <c r="K4511" s="46"/>
      <c r="L4511" s="10"/>
      <c r="M4511" s="44" t="s">
        <v>10178</v>
      </c>
      <c r="N4511" s="45"/>
      <c r="O4511" s="20"/>
      <c r="P4511" s="20"/>
      <c r="Q4511" s="20"/>
      <c r="R4511" s="20"/>
      <c r="S4511" s="20"/>
    </row>
    <row r="4512">
      <c r="A4512" s="23"/>
      <c r="B4512" s="21"/>
      <c r="C4512" s="23"/>
      <c r="D4512" s="24"/>
      <c r="E4512" s="14"/>
      <c r="F4512" s="14"/>
      <c r="G4512" s="14"/>
      <c r="H4512" s="23"/>
      <c r="I4512" s="23"/>
      <c r="J4512" s="23"/>
      <c r="K4512" s="30"/>
      <c r="L4512" s="23"/>
      <c r="M4512" s="50" t="s">
        <v>10178</v>
      </c>
      <c r="N4512" s="51"/>
      <c r="O4512" s="20"/>
      <c r="P4512" s="20"/>
      <c r="Q4512" s="20"/>
      <c r="R4512" s="20"/>
      <c r="S4512" s="20"/>
    </row>
    <row r="4513">
      <c r="A4513" s="10"/>
      <c r="B4513" s="11"/>
      <c r="C4513" s="10"/>
      <c r="D4513" s="13"/>
      <c r="E4513" s="14"/>
      <c r="F4513" s="14"/>
      <c r="G4513" s="14"/>
      <c r="H4513" s="10"/>
      <c r="I4513" s="10"/>
      <c r="J4513" s="10"/>
      <c r="K4513" s="46"/>
      <c r="L4513" s="10"/>
      <c r="M4513" s="44" t="s">
        <v>10178</v>
      </c>
      <c r="N4513" s="45"/>
      <c r="O4513" s="20"/>
      <c r="P4513" s="20"/>
      <c r="Q4513" s="20"/>
      <c r="R4513" s="20"/>
      <c r="S4513" s="20"/>
    </row>
    <row r="4514">
      <c r="A4514" s="23"/>
      <c r="B4514" s="21"/>
      <c r="C4514" s="23"/>
      <c r="D4514" s="24"/>
      <c r="E4514" s="14"/>
      <c r="F4514" s="14"/>
      <c r="G4514" s="14"/>
      <c r="H4514" s="23"/>
      <c r="I4514" s="23"/>
      <c r="J4514" s="23"/>
      <c r="K4514" s="30"/>
      <c r="L4514" s="23"/>
      <c r="M4514" s="50" t="s">
        <v>10178</v>
      </c>
      <c r="N4514" s="51"/>
      <c r="O4514" s="20"/>
      <c r="P4514" s="20"/>
      <c r="Q4514" s="20"/>
      <c r="R4514" s="20"/>
      <c r="S4514" s="20"/>
    </row>
    <row r="4515">
      <c r="A4515" s="10"/>
      <c r="B4515" s="11"/>
      <c r="C4515" s="10"/>
      <c r="D4515" s="13"/>
      <c r="E4515" s="14"/>
      <c r="F4515" s="14"/>
      <c r="G4515" s="14"/>
      <c r="H4515" s="10"/>
      <c r="I4515" s="10"/>
      <c r="J4515" s="10"/>
      <c r="K4515" s="46"/>
      <c r="L4515" s="10"/>
      <c r="M4515" s="44" t="s">
        <v>10178</v>
      </c>
      <c r="N4515" s="45"/>
      <c r="O4515" s="20"/>
      <c r="P4515" s="20"/>
      <c r="Q4515" s="20"/>
      <c r="R4515" s="20"/>
      <c r="S4515" s="20"/>
    </row>
    <row r="4516">
      <c r="A4516" s="23"/>
      <c r="B4516" s="21"/>
      <c r="C4516" s="23"/>
      <c r="D4516" s="24"/>
      <c r="E4516" s="14"/>
      <c r="F4516" s="14"/>
      <c r="G4516" s="14"/>
      <c r="H4516" s="23"/>
      <c r="I4516" s="23"/>
      <c r="J4516" s="23"/>
      <c r="K4516" s="30"/>
      <c r="L4516" s="23"/>
      <c r="M4516" s="50" t="s">
        <v>10178</v>
      </c>
      <c r="N4516" s="51"/>
      <c r="O4516" s="20"/>
      <c r="P4516" s="20"/>
      <c r="Q4516" s="20"/>
      <c r="R4516" s="20"/>
      <c r="S4516" s="20"/>
    </row>
    <row r="4517">
      <c r="A4517" s="10"/>
      <c r="B4517" s="11"/>
      <c r="C4517" s="10"/>
      <c r="D4517" s="13"/>
      <c r="E4517" s="14"/>
      <c r="F4517" s="14"/>
      <c r="G4517" s="14"/>
      <c r="H4517" s="10"/>
      <c r="I4517" s="10"/>
      <c r="J4517" s="10"/>
      <c r="K4517" s="46"/>
      <c r="L4517" s="10"/>
      <c r="M4517" s="44" t="s">
        <v>10178</v>
      </c>
      <c r="N4517" s="45"/>
      <c r="O4517" s="20"/>
      <c r="P4517" s="20"/>
      <c r="Q4517" s="20"/>
      <c r="R4517" s="20"/>
      <c r="S4517" s="20"/>
    </row>
    <row r="4518">
      <c r="A4518" s="23"/>
      <c r="B4518" s="21"/>
      <c r="C4518" s="23"/>
      <c r="D4518" s="24"/>
      <c r="E4518" s="14"/>
      <c r="F4518" s="14"/>
      <c r="G4518" s="14"/>
      <c r="H4518" s="23"/>
      <c r="I4518" s="23"/>
      <c r="J4518" s="23"/>
      <c r="K4518" s="30"/>
      <c r="L4518" s="23"/>
      <c r="M4518" s="50" t="s">
        <v>10178</v>
      </c>
      <c r="N4518" s="51"/>
      <c r="O4518" s="20"/>
      <c r="P4518" s="20"/>
      <c r="Q4518" s="20"/>
      <c r="R4518" s="20"/>
      <c r="S4518" s="20"/>
    </row>
    <row r="4519">
      <c r="A4519" s="10"/>
      <c r="B4519" s="11"/>
      <c r="C4519" s="10"/>
      <c r="D4519" s="13"/>
      <c r="E4519" s="14"/>
      <c r="F4519" s="14"/>
      <c r="G4519" s="14"/>
      <c r="H4519" s="10"/>
      <c r="I4519" s="10"/>
      <c r="J4519" s="10"/>
      <c r="K4519" s="46"/>
      <c r="L4519" s="10"/>
      <c r="M4519" s="44" t="s">
        <v>10178</v>
      </c>
      <c r="N4519" s="45"/>
      <c r="O4519" s="20"/>
      <c r="P4519" s="20"/>
      <c r="Q4519" s="20"/>
      <c r="R4519" s="20"/>
      <c r="S4519" s="20"/>
    </row>
    <row r="4520">
      <c r="A4520" s="23"/>
      <c r="B4520" s="21"/>
      <c r="C4520" s="23"/>
      <c r="D4520" s="24"/>
      <c r="E4520" s="14"/>
      <c r="F4520" s="14"/>
      <c r="G4520" s="14"/>
      <c r="H4520" s="23"/>
      <c r="I4520" s="23"/>
      <c r="J4520" s="23"/>
      <c r="K4520" s="30"/>
      <c r="L4520" s="23"/>
      <c r="M4520" s="50" t="s">
        <v>10178</v>
      </c>
      <c r="N4520" s="51"/>
      <c r="O4520" s="20"/>
      <c r="P4520" s="20"/>
      <c r="Q4520" s="20"/>
      <c r="R4520" s="20"/>
      <c r="S4520" s="20"/>
    </row>
    <row r="4521">
      <c r="A4521" s="10"/>
      <c r="B4521" s="11"/>
      <c r="C4521" s="10"/>
      <c r="D4521" s="13"/>
      <c r="E4521" s="14"/>
      <c r="F4521" s="14"/>
      <c r="G4521" s="14"/>
      <c r="H4521" s="10"/>
      <c r="I4521" s="10"/>
      <c r="J4521" s="10"/>
      <c r="K4521" s="46"/>
      <c r="L4521" s="10"/>
      <c r="M4521" s="44" t="s">
        <v>10178</v>
      </c>
      <c r="N4521" s="45"/>
      <c r="O4521" s="20"/>
      <c r="P4521" s="20"/>
      <c r="Q4521" s="20"/>
      <c r="R4521" s="20"/>
      <c r="S4521" s="20"/>
    </row>
    <row r="4522">
      <c r="A4522" s="23"/>
      <c r="B4522" s="21"/>
      <c r="C4522" s="23"/>
      <c r="D4522" s="24"/>
      <c r="E4522" s="14"/>
      <c r="F4522" s="14"/>
      <c r="G4522" s="14"/>
      <c r="H4522" s="23"/>
      <c r="I4522" s="23"/>
      <c r="J4522" s="23"/>
      <c r="K4522" s="30"/>
      <c r="L4522" s="23"/>
      <c r="M4522" s="50" t="s">
        <v>10178</v>
      </c>
      <c r="N4522" s="51"/>
      <c r="O4522" s="20"/>
      <c r="P4522" s="20"/>
      <c r="Q4522" s="20"/>
      <c r="R4522" s="20"/>
      <c r="S4522" s="20"/>
    </row>
    <row r="4523">
      <c r="A4523" s="10"/>
      <c r="B4523" s="11"/>
      <c r="C4523" s="10"/>
      <c r="D4523" s="13"/>
      <c r="E4523" s="14"/>
      <c r="F4523" s="14"/>
      <c r="G4523" s="14"/>
      <c r="H4523" s="10"/>
      <c r="I4523" s="10"/>
      <c r="J4523" s="10"/>
      <c r="K4523" s="46"/>
      <c r="L4523" s="10"/>
      <c r="M4523" s="44" t="s">
        <v>10178</v>
      </c>
      <c r="N4523" s="45"/>
      <c r="O4523" s="20"/>
      <c r="P4523" s="20"/>
      <c r="Q4523" s="20"/>
      <c r="R4523" s="20"/>
      <c r="S4523" s="20"/>
    </row>
    <row r="4524">
      <c r="A4524" s="23"/>
      <c r="B4524" s="21"/>
      <c r="C4524" s="23"/>
      <c r="D4524" s="24"/>
      <c r="E4524" s="14"/>
      <c r="F4524" s="14"/>
      <c r="G4524" s="14"/>
      <c r="H4524" s="23"/>
      <c r="I4524" s="23"/>
      <c r="J4524" s="23"/>
      <c r="K4524" s="30"/>
      <c r="L4524" s="23"/>
      <c r="M4524" s="50" t="s">
        <v>10178</v>
      </c>
      <c r="N4524" s="51"/>
      <c r="O4524" s="20"/>
      <c r="P4524" s="20"/>
      <c r="Q4524" s="20"/>
      <c r="R4524" s="20"/>
      <c r="S4524" s="20"/>
    </row>
    <row r="4525">
      <c r="A4525" s="10"/>
      <c r="B4525" s="11"/>
      <c r="C4525" s="10"/>
      <c r="D4525" s="13"/>
      <c r="E4525" s="14"/>
      <c r="F4525" s="14"/>
      <c r="G4525" s="14"/>
      <c r="H4525" s="10"/>
      <c r="I4525" s="10"/>
      <c r="J4525" s="10"/>
      <c r="K4525" s="46"/>
      <c r="L4525" s="10"/>
      <c r="M4525" s="44" t="s">
        <v>10178</v>
      </c>
      <c r="N4525" s="45"/>
      <c r="O4525" s="20"/>
      <c r="P4525" s="20"/>
      <c r="Q4525" s="20"/>
      <c r="R4525" s="20"/>
      <c r="S4525" s="20"/>
    </row>
    <row r="4526">
      <c r="A4526" s="23"/>
      <c r="B4526" s="21"/>
      <c r="C4526" s="23"/>
      <c r="D4526" s="24"/>
      <c r="E4526" s="14"/>
      <c r="F4526" s="14"/>
      <c r="G4526" s="14"/>
      <c r="H4526" s="23"/>
      <c r="I4526" s="23"/>
      <c r="J4526" s="23"/>
      <c r="K4526" s="30"/>
      <c r="L4526" s="23"/>
      <c r="M4526" s="50" t="s">
        <v>10178</v>
      </c>
      <c r="N4526" s="51"/>
      <c r="O4526" s="20"/>
      <c r="P4526" s="20"/>
      <c r="Q4526" s="20"/>
      <c r="R4526" s="20"/>
      <c r="S4526" s="20"/>
    </row>
    <row r="4527">
      <c r="A4527" s="10"/>
      <c r="B4527" s="11"/>
      <c r="C4527" s="10"/>
      <c r="D4527" s="13"/>
      <c r="E4527" s="14"/>
      <c r="F4527" s="14"/>
      <c r="G4527" s="14"/>
      <c r="H4527" s="10"/>
      <c r="I4527" s="10"/>
      <c r="J4527" s="10"/>
      <c r="K4527" s="46"/>
      <c r="L4527" s="10"/>
      <c r="M4527" s="44" t="s">
        <v>10178</v>
      </c>
      <c r="N4527" s="45"/>
      <c r="O4527" s="20"/>
      <c r="P4527" s="20"/>
      <c r="Q4527" s="20"/>
      <c r="R4527" s="20"/>
      <c r="S4527" s="20"/>
    </row>
    <row r="4528">
      <c r="A4528" s="23"/>
      <c r="B4528" s="21"/>
      <c r="C4528" s="23"/>
      <c r="D4528" s="24"/>
      <c r="E4528" s="14"/>
      <c r="F4528" s="14"/>
      <c r="G4528" s="14"/>
      <c r="H4528" s="23"/>
      <c r="I4528" s="23"/>
      <c r="J4528" s="23"/>
      <c r="K4528" s="30"/>
      <c r="L4528" s="23"/>
      <c r="M4528" s="50" t="s">
        <v>10178</v>
      </c>
      <c r="N4528" s="51"/>
      <c r="O4528" s="20"/>
      <c r="P4528" s="20"/>
      <c r="Q4528" s="20"/>
      <c r="R4528" s="20"/>
      <c r="S4528" s="20"/>
    </row>
    <row r="4529">
      <c r="A4529" s="10"/>
      <c r="B4529" s="11"/>
      <c r="C4529" s="10"/>
      <c r="D4529" s="13"/>
      <c r="E4529" s="14"/>
      <c r="F4529" s="14"/>
      <c r="G4529" s="14"/>
      <c r="H4529" s="10"/>
      <c r="I4529" s="10"/>
      <c r="J4529" s="10"/>
      <c r="K4529" s="46"/>
      <c r="L4529" s="10"/>
      <c r="M4529" s="44" t="s">
        <v>10178</v>
      </c>
      <c r="N4529" s="45"/>
      <c r="O4529" s="20"/>
      <c r="P4529" s="20"/>
      <c r="Q4529" s="20"/>
      <c r="R4529" s="20"/>
      <c r="S4529" s="20"/>
    </row>
    <row r="4530">
      <c r="A4530" s="23"/>
      <c r="B4530" s="21"/>
      <c r="C4530" s="23"/>
      <c r="D4530" s="24"/>
      <c r="E4530" s="14"/>
      <c r="F4530" s="14"/>
      <c r="G4530" s="14"/>
      <c r="H4530" s="23"/>
      <c r="I4530" s="23"/>
      <c r="J4530" s="23"/>
      <c r="K4530" s="30"/>
      <c r="L4530" s="23"/>
      <c r="M4530" s="50" t="s">
        <v>10178</v>
      </c>
      <c r="N4530" s="51"/>
      <c r="O4530" s="20"/>
      <c r="P4530" s="20"/>
      <c r="Q4530" s="20"/>
      <c r="R4530" s="20"/>
      <c r="S4530" s="20"/>
    </row>
    <row r="4531">
      <c r="A4531" s="10"/>
      <c r="B4531" s="11"/>
      <c r="C4531" s="10"/>
      <c r="D4531" s="13"/>
      <c r="E4531" s="14"/>
      <c r="F4531" s="14"/>
      <c r="G4531" s="14"/>
      <c r="H4531" s="10"/>
      <c r="I4531" s="10"/>
      <c r="J4531" s="10"/>
      <c r="K4531" s="46"/>
      <c r="L4531" s="10"/>
      <c r="M4531" s="44" t="s">
        <v>10178</v>
      </c>
      <c r="N4531" s="45"/>
      <c r="O4531" s="20"/>
      <c r="P4531" s="20"/>
      <c r="Q4531" s="20"/>
      <c r="R4531" s="20"/>
      <c r="S4531" s="20"/>
    </row>
    <row r="4532">
      <c r="A4532" s="23"/>
      <c r="B4532" s="21"/>
      <c r="C4532" s="23"/>
      <c r="D4532" s="24"/>
      <c r="E4532" s="14"/>
      <c r="F4532" s="14"/>
      <c r="G4532" s="14"/>
      <c r="H4532" s="23"/>
      <c r="I4532" s="23"/>
      <c r="J4532" s="23"/>
      <c r="K4532" s="30"/>
      <c r="L4532" s="23"/>
      <c r="M4532" s="50" t="s">
        <v>10178</v>
      </c>
      <c r="N4532" s="51"/>
      <c r="O4532" s="20"/>
      <c r="P4532" s="20"/>
      <c r="Q4532" s="20"/>
      <c r="R4532" s="20"/>
      <c r="S4532" s="20"/>
    </row>
    <row r="4533">
      <c r="A4533" s="10"/>
      <c r="B4533" s="11"/>
      <c r="C4533" s="10"/>
      <c r="D4533" s="13"/>
      <c r="E4533" s="14"/>
      <c r="F4533" s="14"/>
      <c r="G4533" s="14"/>
      <c r="H4533" s="10"/>
      <c r="I4533" s="10"/>
      <c r="J4533" s="10"/>
      <c r="K4533" s="46"/>
      <c r="L4533" s="10"/>
      <c r="M4533" s="44" t="s">
        <v>10178</v>
      </c>
      <c r="N4533" s="45"/>
      <c r="O4533" s="20"/>
      <c r="P4533" s="20"/>
      <c r="Q4533" s="20"/>
      <c r="R4533" s="20"/>
      <c r="S4533" s="20"/>
    </row>
    <row r="4534">
      <c r="A4534" s="23"/>
      <c r="B4534" s="21"/>
      <c r="C4534" s="23"/>
      <c r="D4534" s="24"/>
      <c r="E4534" s="14"/>
      <c r="F4534" s="14"/>
      <c r="G4534" s="14"/>
      <c r="H4534" s="23"/>
      <c r="I4534" s="23"/>
      <c r="J4534" s="23"/>
      <c r="K4534" s="30"/>
      <c r="L4534" s="23"/>
      <c r="M4534" s="50" t="s">
        <v>10178</v>
      </c>
      <c r="N4534" s="51"/>
      <c r="O4534" s="20"/>
      <c r="P4534" s="20"/>
      <c r="Q4534" s="20"/>
      <c r="R4534" s="20"/>
      <c r="S4534" s="20"/>
    </row>
    <row r="4535">
      <c r="A4535" s="10"/>
      <c r="B4535" s="11"/>
      <c r="C4535" s="10"/>
      <c r="D4535" s="13"/>
      <c r="E4535" s="14"/>
      <c r="F4535" s="14"/>
      <c r="G4535" s="14"/>
      <c r="H4535" s="10"/>
      <c r="I4535" s="10"/>
      <c r="J4535" s="10"/>
      <c r="K4535" s="46"/>
      <c r="L4535" s="10"/>
      <c r="M4535" s="44" t="s">
        <v>10178</v>
      </c>
      <c r="N4535" s="45"/>
      <c r="O4535" s="20"/>
      <c r="P4535" s="20"/>
      <c r="Q4535" s="20"/>
      <c r="R4535" s="20"/>
      <c r="S4535" s="20"/>
    </row>
    <row r="4536">
      <c r="A4536" s="23"/>
      <c r="B4536" s="21"/>
      <c r="C4536" s="23"/>
      <c r="D4536" s="24"/>
      <c r="E4536" s="14"/>
      <c r="F4536" s="14"/>
      <c r="G4536" s="14"/>
      <c r="H4536" s="23"/>
      <c r="I4536" s="23"/>
      <c r="J4536" s="23"/>
      <c r="K4536" s="30"/>
      <c r="L4536" s="23"/>
      <c r="M4536" s="50" t="s">
        <v>10178</v>
      </c>
      <c r="N4536" s="51"/>
      <c r="O4536" s="20"/>
      <c r="P4536" s="20"/>
      <c r="Q4536" s="20"/>
      <c r="R4536" s="20"/>
      <c r="S4536" s="20"/>
    </row>
    <row r="4537">
      <c r="A4537" s="10"/>
      <c r="B4537" s="11"/>
      <c r="C4537" s="10"/>
      <c r="D4537" s="13"/>
      <c r="E4537" s="14"/>
      <c r="F4537" s="14"/>
      <c r="G4537" s="14"/>
      <c r="H4537" s="10"/>
      <c r="I4537" s="10"/>
      <c r="J4537" s="10"/>
      <c r="K4537" s="46"/>
      <c r="L4537" s="10"/>
      <c r="M4537" s="44" t="s">
        <v>10178</v>
      </c>
      <c r="N4537" s="45"/>
      <c r="O4537" s="20"/>
      <c r="P4537" s="20"/>
      <c r="Q4537" s="20"/>
      <c r="R4537" s="20"/>
      <c r="S4537" s="20"/>
    </row>
    <row r="4538">
      <c r="A4538" s="23"/>
      <c r="B4538" s="21"/>
      <c r="C4538" s="23"/>
      <c r="D4538" s="24"/>
      <c r="E4538" s="14"/>
      <c r="F4538" s="14"/>
      <c r="G4538" s="14"/>
      <c r="H4538" s="23"/>
      <c r="I4538" s="23"/>
      <c r="J4538" s="23"/>
      <c r="K4538" s="30"/>
      <c r="L4538" s="23"/>
      <c r="M4538" s="50" t="s">
        <v>10178</v>
      </c>
      <c r="N4538" s="51"/>
      <c r="O4538" s="20"/>
      <c r="P4538" s="20"/>
      <c r="Q4538" s="20"/>
      <c r="R4538" s="20"/>
      <c r="S4538" s="20"/>
    </row>
    <row r="4539">
      <c r="A4539" s="10"/>
      <c r="B4539" s="11"/>
      <c r="C4539" s="10"/>
      <c r="D4539" s="13"/>
      <c r="E4539" s="14"/>
      <c r="F4539" s="14"/>
      <c r="G4539" s="14"/>
      <c r="H4539" s="10"/>
      <c r="I4539" s="10"/>
      <c r="J4539" s="10"/>
      <c r="K4539" s="46"/>
      <c r="L4539" s="10"/>
      <c r="M4539" s="44" t="s">
        <v>10178</v>
      </c>
      <c r="N4539" s="45"/>
      <c r="O4539" s="20"/>
      <c r="P4539" s="20"/>
      <c r="Q4539" s="20"/>
      <c r="R4539" s="20"/>
      <c r="S4539" s="20"/>
    </row>
    <row r="4540">
      <c r="A4540" s="23"/>
      <c r="B4540" s="21"/>
      <c r="C4540" s="23"/>
      <c r="D4540" s="24"/>
      <c r="E4540" s="14"/>
      <c r="F4540" s="14"/>
      <c r="G4540" s="14"/>
      <c r="H4540" s="23"/>
      <c r="I4540" s="23"/>
      <c r="J4540" s="23"/>
      <c r="K4540" s="30"/>
      <c r="L4540" s="23"/>
      <c r="M4540" s="50" t="s">
        <v>10178</v>
      </c>
      <c r="N4540" s="51"/>
      <c r="O4540" s="20"/>
      <c r="P4540" s="20"/>
      <c r="Q4540" s="20"/>
      <c r="R4540" s="20"/>
      <c r="S4540" s="20"/>
    </row>
    <row r="4541">
      <c r="A4541" s="10"/>
      <c r="B4541" s="11"/>
      <c r="C4541" s="10"/>
      <c r="D4541" s="13"/>
      <c r="E4541" s="14"/>
      <c r="F4541" s="14"/>
      <c r="G4541" s="14"/>
      <c r="H4541" s="10"/>
      <c r="I4541" s="10"/>
      <c r="J4541" s="10"/>
      <c r="K4541" s="46"/>
      <c r="L4541" s="10"/>
      <c r="M4541" s="44" t="s">
        <v>10178</v>
      </c>
      <c r="N4541" s="45"/>
      <c r="O4541" s="20"/>
      <c r="P4541" s="20"/>
      <c r="Q4541" s="20"/>
      <c r="R4541" s="20"/>
      <c r="S4541" s="20"/>
    </row>
    <row r="4542">
      <c r="A4542" s="23"/>
      <c r="B4542" s="21"/>
      <c r="C4542" s="23"/>
      <c r="D4542" s="24"/>
      <c r="E4542" s="14"/>
      <c r="F4542" s="14"/>
      <c r="G4542" s="14"/>
      <c r="H4542" s="23"/>
      <c r="I4542" s="23"/>
      <c r="J4542" s="23"/>
      <c r="K4542" s="30"/>
      <c r="L4542" s="23"/>
      <c r="M4542" s="50" t="s">
        <v>10178</v>
      </c>
      <c r="N4542" s="51"/>
      <c r="O4542" s="20"/>
      <c r="P4542" s="20"/>
      <c r="Q4542" s="20"/>
      <c r="R4542" s="20"/>
      <c r="S4542" s="20"/>
    </row>
    <row r="4543">
      <c r="A4543" s="10"/>
      <c r="B4543" s="11"/>
      <c r="C4543" s="10"/>
      <c r="D4543" s="13"/>
      <c r="E4543" s="14"/>
      <c r="F4543" s="14"/>
      <c r="G4543" s="14"/>
      <c r="H4543" s="10"/>
      <c r="I4543" s="10"/>
      <c r="J4543" s="10"/>
      <c r="K4543" s="46"/>
      <c r="L4543" s="10"/>
      <c r="M4543" s="44" t="s">
        <v>10178</v>
      </c>
      <c r="N4543" s="45"/>
      <c r="O4543" s="20"/>
      <c r="P4543" s="20"/>
      <c r="Q4543" s="20"/>
      <c r="R4543" s="20"/>
      <c r="S4543" s="20"/>
    </row>
    <row r="4544">
      <c r="A4544" s="23"/>
      <c r="B4544" s="21"/>
      <c r="C4544" s="23"/>
      <c r="D4544" s="24"/>
      <c r="E4544" s="14"/>
      <c r="F4544" s="14"/>
      <c r="G4544" s="14"/>
      <c r="H4544" s="23"/>
      <c r="I4544" s="23"/>
      <c r="J4544" s="23"/>
      <c r="K4544" s="30"/>
      <c r="L4544" s="23"/>
      <c r="M4544" s="50" t="s">
        <v>10178</v>
      </c>
      <c r="N4544" s="51"/>
      <c r="O4544" s="20"/>
      <c r="P4544" s="20"/>
      <c r="Q4544" s="20"/>
      <c r="R4544" s="20"/>
      <c r="S4544" s="20"/>
    </row>
    <row r="4545">
      <c r="A4545" s="10"/>
      <c r="B4545" s="11"/>
      <c r="C4545" s="10"/>
      <c r="D4545" s="13"/>
      <c r="E4545" s="14"/>
      <c r="F4545" s="14"/>
      <c r="G4545" s="14"/>
      <c r="H4545" s="10"/>
      <c r="I4545" s="10"/>
      <c r="J4545" s="10"/>
      <c r="K4545" s="46"/>
      <c r="L4545" s="10"/>
      <c r="M4545" s="44" t="s">
        <v>10178</v>
      </c>
      <c r="N4545" s="45"/>
      <c r="O4545" s="20"/>
      <c r="P4545" s="20"/>
      <c r="Q4545" s="20"/>
      <c r="R4545" s="20"/>
      <c r="S4545" s="20"/>
    </row>
    <row r="4546">
      <c r="A4546" s="23"/>
      <c r="B4546" s="21"/>
      <c r="C4546" s="23"/>
      <c r="D4546" s="24"/>
      <c r="E4546" s="14"/>
      <c r="F4546" s="14"/>
      <c r="G4546" s="14"/>
      <c r="H4546" s="23"/>
      <c r="I4546" s="23"/>
      <c r="J4546" s="23"/>
      <c r="K4546" s="30"/>
      <c r="L4546" s="23"/>
      <c r="M4546" s="50" t="s">
        <v>10178</v>
      </c>
      <c r="N4546" s="51"/>
      <c r="O4546" s="20"/>
      <c r="P4546" s="20"/>
      <c r="Q4546" s="20"/>
      <c r="R4546" s="20"/>
      <c r="S4546" s="20"/>
    </row>
    <row r="4547">
      <c r="A4547" s="10"/>
      <c r="B4547" s="11"/>
      <c r="C4547" s="10"/>
      <c r="D4547" s="13"/>
      <c r="E4547" s="14"/>
      <c r="F4547" s="14"/>
      <c r="G4547" s="14"/>
      <c r="H4547" s="10"/>
      <c r="I4547" s="10"/>
      <c r="J4547" s="10"/>
      <c r="K4547" s="46"/>
      <c r="L4547" s="10"/>
      <c r="M4547" s="44" t="s">
        <v>10178</v>
      </c>
      <c r="N4547" s="45"/>
      <c r="O4547" s="20"/>
      <c r="P4547" s="20"/>
      <c r="Q4547" s="20"/>
      <c r="R4547" s="20"/>
      <c r="S4547" s="20"/>
    </row>
    <row r="4548">
      <c r="A4548" s="23"/>
      <c r="B4548" s="21"/>
      <c r="C4548" s="23"/>
      <c r="D4548" s="24"/>
      <c r="E4548" s="14"/>
      <c r="F4548" s="14"/>
      <c r="G4548" s="14"/>
      <c r="H4548" s="23"/>
      <c r="I4548" s="23"/>
      <c r="J4548" s="23"/>
      <c r="K4548" s="30"/>
      <c r="L4548" s="23"/>
      <c r="M4548" s="50" t="s">
        <v>10178</v>
      </c>
      <c r="N4548" s="51"/>
      <c r="O4548" s="20"/>
      <c r="P4548" s="20"/>
      <c r="Q4548" s="20"/>
      <c r="R4548" s="20"/>
      <c r="S4548" s="20"/>
    </row>
    <row r="4549">
      <c r="A4549" s="10"/>
      <c r="B4549" s="11"/>
      <c r="C4549" s="10"/>
      <c r="D4549" s="13"/>
      <c r="E4549" s="14"/>
      <c r="F4549" s="14"/>
      <c r="G4549" s="14"/>
      <c r="H4549" s="10"/>
      <c r="I4549" s="10"/>
      <c r="J4549" s="10"/>
      <c r="K4549" s="46"/>
      <c r="L4549" s="10"/>
      <c r="M4549" s="44" t="s">
        <v>10178</v>
      </c>
      <c r="N4549" s="45"/>
      <c r="O4549" s="20"/>
      <c r="P4549" s="20"/>
      <c r="Q4549" s="20"/>
      <c r="R4549" s="20"/>
      <c r="S4549" s="20"/>
    </row>
    <row r="4550">
      <c r="A4550" s="23"/>
      <c r="B4550" s="21"/>
      <c r="C4550" s="23"/>
      <c r="D4550" s="24"/>
      <c r="E4550" s="14"/>
      <c r="F4550" s="14"/>
      <c r="G4550" s="14"/>
      <c r="H4550" s="23"/>
      <c r="I4550" s="23"/>
      <c r="J4550" s="23"/>
      <c r="K4550" s="30"/>
      <c r="L4550" s="23"/>
      <c r="M4550" s="50" t="s">
        <v>10178</v>
      </c>
      <c r="N4550" s="51"/>
      <c r="O4550" s="20"/>
      <c r="P4550" s="20"/>
      <c r="Q4550" s="20"/>
      <c r="R4550" s="20"/>
      <c r="S4550" s="20"/>
    </row>
    <row r="4551">
      <c r="A4551" s="10"/>
      <c r="B4551" s="11"/>
      <c r="C4551" s="10"/>
      <c r="D4551" s="13"/>
      <c r="E4551" s="14"/>
      <c r="F4551" s="14"/>
      <c r="G4551" s="14"/>
      <c r="H4551" s="10"/>
      <c r="I4551" s="10"/>
      <c r="J4551" s="10"/>
      <c r="K4551" s="46"/>
      <c r="L4551" s="10"/>
      <c r="M4551" s="44" t="s">
        <v>10178</v>
      </c>
      <c r="N4551" s="45"/>
      <c r="O4551" s="20"/>
      <c r="P4551" s="20"/>
      <c r="Q4551" s="20"/>
      <c r="R4551" s="20"/>
      <c r="S4551" s="20"/>
    </row>
    <row r="4552">
      <c r="A4552" s="23"/>
      <c r="B4552" s="21"/>
      <c r="C4552" s="23"/>
      <c r="D4552" s="24"/>
      <c r="E4552" s="14"/>
      <c r="F4552" s="14"/>
      <c r="G4552" s="14"/>
      <c r="H4552" s="23"/>
      <c r="I4552" s="23"/>
      <c r="J4552" s="23"/>
      <c r="K4552" s="30"/>
      <c r="L4552" s="23"/>
      <c r="M4552" s="50" t="s">
        <v>10178</v>
      </c>
      <c r="N4552" s="51"/>
      <c r="O4552" s="20"/>
      <c r="P4552" s="20"/>
      <c r="Q4552" s="20"/>
      <c r="R4552" s="20"/>
      <c r="S4552" s="20"/>
    </row>
    <row r="4553">
      <c r="A4553" s="10"/>
      <c r="B4553" s="11"/>
      <c r="C4553" s="10"/>
      <c r="D4553" s="13"/>
      <c r="E4553" s="14"/>
      <c r="F4553" s="14"/>
      <c r="G4553" s="14"/>
      <c r="H4553" s="10"/>
      <c r="I4553" s="10"/>
      <c r="J4553" s="10"/>
      <c r="K4553" s="46"/>
      <c r="L4553" s="10"/>
      <c r="M4553" s="44" t="s">
        <v>10178</v>
      </c>
      <c r="N4553" s="45"/>
      <c r="O4553" s="20"/>
      <c r="P4553" s="20"/>
      <c r="Q4553" s="20"/>
      <c r="R4553" s="20"/>
      <c r="S4553" s="20"/>
    </row>
    <row r="4554">
      <c r="A4554" s="23"/>
      <c r="B4554" s="21"/>
      <c r="C4554" s="23"/>
      <c r="D4554" s="24"/>
      <c r="E4554" s="14"/>
      <c r="F4554" s="14"/>
      <c r="G4554" s="14"/>
      <c r="H4554" s="23"/>
      <c r="I4554" s="23"/>
      <c r="J4554" s="23"/>
      <c r="K4554" s="30"/>
      <c r="L4554" s="23"/>
      <c r="M4554" s="50" t="s">
        <v>10178</v>
      </c>
      <c r="N4554" s="51"/>
      <c r="O4554" s="20"/>
      <c r="P4554" s="20"/>
      <c r="Q4554" s="20"/>
      <c r="R4554" s="20"/>
      <c r="S4554" s="20"/>
    </row>
    <row r="4555">
      <c r="A4555" s="10"/>
      <c r="B4555" s="11"/>
      <c r="C4555" s="10"/>
      <c r="D4555" s="13"/>
      <c r="E4555" s="14"/>
      <c r="F4555" s="14"/>
      <c r="G4555" s="14"/>
      <c r="H4555" s="10"/>
      <c r="I4555" s="10"/>
      <c r="J4555" s="10"/>
      <c r="K4555" s="46"/>
      <c r="L4555" s="10"/>
      <c r="M4555" s="44" t="s">
        <v>10178</v>
      </c>
      <c r="N4555" s="45"/>
      <c r="O4555" s="20"/>
      <c r="P4555" s="20"/>
      <c r="Q4555" s="20"/>
      <c r="R4555" s="20"/>
      <c r="S4555" s="20"/>
    </row>
    <row r="4556">
      <c r="A4556" s="23"/>
      <c r="B4556" s="21"/>
      <c r="C4556" s="23"/>
      <c r="D4556" s="24"/>
      <c r="E4556" s="14"/>
      <c r="F4556" s="14"/>
      <c r="G4556" s="14"/>
      <c r="H4556" s="23"/>
      <c r="I4556" s="23"/>
      <c r="J4556" s="23"/>
      <c r="K4556" s="30"/>
      <c r="L4556" s="23"/>
      <c r="M4556" s="50" t="s">
        <v>10178</v>
      </c>
      <c r="N4556" s="51"/>
      <c r="O4556" s="20"/>
      <c r="P4556" s="20"/>
      <c r="Q4556" s="20"/>
      <c r="R4556" s="20"/>
      <c r="S4556" s="20"/>
    </row>
    <row r="4557">
      <c r="A4557" s="10"/>
      <c r="B4557" s="11"/>
      <c r="C4557" s="10"/>
      <c r="D4557" s="13"/>
      <c r="E4557" s="14"/>
      <c r="F4557" s="14"/>
      <c r="G4557" s="14"/>
      <c r="H4557" s="10"/>
      <c r="I4557" s="10"/>
      <c r="J4557" s="10"/>
      <c r="K4557" s="46"/>
      <c r="L4557" s="10"/>
      <c r="M4557" s="44" t="s">
        <v>10178</v>
      </c>
      <c r="N4557" s="45"/>
      <c r="O4557" s="20"/>
      <c r="P4557" s="20"/>
      <c r="Q4557" s="20"/>
      <c r="R4557" s="20"/>
      <c r="S4557" s="20"/>
    </row>
    <row r="4558">
      <c r="A4558" s="23"/>
      <c r="B4558" s="21"/>
      <c r="C4558" s="23"/>
      <c r="D4558" s="24"/>
      <c r="E4558" s="14"/>
      <c r="F4558" s="14"/>
      <c r="G4558" s="14"/>
      <c r="H4558" s="23"/>
      <c r="I4558" s="23"/>
      <c r="J4558" s="23"/>
      <c r="K4558" s="30"/>
      <c r="L4558" s="23"/>
      <c r="M4558" s="50" t="s">
        <v>10178</v>
      </c>
      <c r="N4558" s="51"/>
      <c r="O4558" s="20"/>
      <c r="P4558" s="20"/>
      <c r="Q4558" s="20"/>
      <c r="R4558" s="20"/>
      <c r="S4558" s="20"/>
    </row>
    <row r="4559">
      <c r="A4559" s="10"/>
      <c r="B4559" s="11"/>
      <c r="C4559" s="10"/>
      <c r="D4559" s="13"/>
      <c r="E4559" s="14"/>
      <c r="F4559" s="14"/>
      <c r="G4559" s="14"/>
      <c r="H4559" s="10"/>
      <c r="I4559" s="10"/>
      <c r="J4559" s="10"/>
      <c r="K4559" s="46"/>
      <c r="L4559" s="10"/>
      <c r="M4559" s="44" t="s">
        <v>10178</v>
      </c>
      <c r="N4559" s="45"/>
      <c r="O4559" s="20"/>
      <c r="P4559" s="20"/>
      <c r="Q4559" s="20"/>
      <c r="R4559" s="20"/>
      <c r="S4559" s="20"/>
    </row>
    <row r="4560">
      <c r="A4560" s="23"/>
      <c r="B4560" s="21"/>
      <c r="C4560" s="23"/>
      <c r="D4560" s="24"/>
      <c r="E4560" s="14"/>
      <c r="F4560" s="14"/>
      <c r="G4560" s="14"/>
      <c r="H4560" s="23"/>
      <c r="I4560" s="23"/>
      <c r="J4560" s="23"/>
      <c r="K4560" s="30"/>
      <c r="L4560" s="23"/>
      <c r="M4560" s="50" t="s">
        <v>10178</v>
      </c>
      <c r="N4560" s="51"/>
      <c r="O4560" s="20"/>
      <c r="P4560" s="20"/>
      <c r="Q4560" s="20"/>
      <c r="R4560" s="20"/>
      <c r="S4560" s="20"/>
    </row>
    <row r="4561">
      <c r="A4561" s="10"/>
      <c r="B4561" s="11"/>
      <c r="C4561" s="10"/>
      <c r="D4561" s="13"/>
      <c r="E4561" s="14"/>
      <c r="F4561" s="14"/>
      <c r="G4561" s="14"/>
      <c r="H4561" s="10"/>
      <c r="I4561" s="10"/>
      <c r="J4561" s="10"/>
      <c r="K4561" s="46"/>
      <c r="L4561" s="10"/>
      <c r="M4561" s="44" t="s">
        <v>10178</v>
      </c>
      <c r="N4561" s="45"/>
      <c r="O4561" s="20"/>
      <c r="P4561" s="20"/>
      <c r="Q4561" s="20"/>
      <c r="R4561" s="20"/>
      <c r="S4561" s="20"/>
    </row>
    <row r="4562">
      <c r="A4562" s="23"/>
      <c r="B4562" s="21"/>
      <c r="C4562" s="23"/>
      <c r="D4562" s="24"/>
      <c r="E4562" s="14"/>
      <c r="F4562" s="14"/>
      <c r="G4562" s="14"/>
      <c r="H4562" s="23"/>
      <c r="I4562" s="23"/>
      <c r="J4562" s="23"/>
      <c r="K4562" s="30"/>
      <c r="L4562" s="23"/>
      <c r="M4562" s="50" t="s">
        <v>10178</v>
      </c>
      <c r="N4562" s="51"/>
      <c r="O4562" s="20"/>
      <c r="P4562" s="20"/>
      <c r="Q4562" s="20"/>
      <c r="R4562" s="20"/>
      <c r="S4562" s="20"/>
    </row>
    <row r="4563">
      <c r="A4563" s="10"/>
      <c r="B4563" s="11"/>
      <c r="C4563" s="10"/>
      <c r="D4563" s="13"/>
      <c r="E4563" s="14"/>
      <c r="F4563" s="14"/>
      <c r="G4563" s="14"/>
      <c r="H4563" s="10"/>
      <c r="I4563" s="10"/>
      <c r="J4563" s="10"/>
      <c r="K4563" s="46"/>
      <c r="L4563" s="10"/>
      <c r="M4563" s="44" t="s">
        <v>10178</v>
      </c>
      <c r="N4563" s="45"/>
      <c r="O4563" s="20"/>
      <c r="P4563" s="20"/>
      <c r="Q4563" s="20"/>
      <c r="R4563" s="20"/>
      <c r="S4563" s="20"/>
    </row>
    <row r="4564">
      <c r="A4564" s="23"/>
      <c r="B4564" s="21"/>
      <c r="C4564" s="23"/>
      <c r="D4564" s="24"/>
      <c r="E4564" s="14"/>
      <c r="F4564" s="14"/>
      <c r="G4564" s="14"/>
      <c r="H4564" s="23"/>
      <c r="I4564" s="23"/>
      <c r="J4564" s="23"/>
      <c r="K4564" s="30"/>
      <c r="L4564" s="23"/>
      <c r="M4564" s="50" t="s">
        <v>10178</v>
      </c>
      <c r="N4564" s="51"/>
      <c r="O4564" s="20"/>
      <c r="P4564" s="20"/>
      <c r="Q4564" s="20"/>
      <c r="R4564" s="20"/>
      <c r="S4564" s="20"/>
    </row>
    <row r="4565">
      <c r="A4565" s="10"/>
      <c r="B4565" s="11"/>
      <c r="C4565" s="10"/>
      <c r="D4565" s="13"/>
      <c r="E4565" s="14"/>
      <c r="F4565" s="14"/>
      <c r="G4565" s="14"/>
      <c r="H4565" s="10"/>
      <c r="I4565" s="10"/>
      <c r="J4565" s="10"/>
      <c r="K4565" s="46"/>
      <c r="L4565" s="10"/>
      <c r="M4565" s="44" t="s">
        <v>10178</v>
      </c>
      <c r="N4565" s="45"/>
      <c r="O4565" s="20"/>
      <c r="P4565" s="20"/>
      <c r="Q4565" s="20"/>
      <c r="R4565" s="20"/>
      <c r="S4565" s="20"/>
    </row>
    <row r="4566">
      <c r="A4566" s="23"/>
      <c r="B4566" s="21"/>
      <c r="C4566" s="23"/>
      <c r="D4566" s="24"/>
      <c r="E4566" s="14"/>
      <c r="F4566" s="14"/>
      <c r="G4566" s="14"/>
      <c r="H4566" s="23"/>
      <c r="I4566" s="23"/>
      <c r="J4566" s="23"/>
      <c r="K4566" s="30"/>
      <c r="L4566" s="23"/>
      <c r="M4566" s="50" t="s">
        <v>10178</v>
      </c>
      <c r="N4566" s="51"/>
      <c r="O4566" s="20"/>
      <c r="P4566" s="20"/>
      <c r="Q4566" s="20"/>
      <c r="R4566" s="20"/>
      <c r="S4566" s="20"/>
    </row>
    <row r="4567">
      <c r="A4567" s="10"/>
      <c r="B4567" s="11"/>
      <c r="C4567" s="10"/>
      <c r="D4567" s="13"/>
      <c r="E4567" s="14"/>
      <c r="F4567" s="14"/>
      <c r="G4567" s="14"/>
      <c r="H4567" s="10"/>
      <c r="I4567" s="10"/>
      <c r="J4567" s="10"/>
      <c r="K4567" s="46"/>
      <c r="L4567" s="10"/>
      <c r="M4567" s="44" t="s">
        <v>10178</v>
      </c>
      <c r="N4567" s="45"/>
      <c r="O4567" s="20"/>
      <c r="P4567" s="20"/>
      <c r="Q4567" s="20"/>
      <c r="R4567" s="20"/>
      <c r="S4567" s="20"/>
    </row>
    <row r="4568">
      <c r="A4568" s="23"/>
      <c r="B4568" s="21"/>
      <c r="C4568" s="23"/>
      <c r="D4568" s="24"/>
      <c r="E4568" s="14"/>
      <c r="F4568" s="14"/>
      <c r="G4568" s="14"/>
      <c r="H4568" s="23"/>
      <c r="I4568" s="23"/>
      <c r="J4568" s="23"/>
      <c r="K4568" s="30"/>
      <c r="L4568" s="23"/>
      <c r="M4568" s="50" t="s">
        <v>10178</v>
      </c>
      <c r="N4568" s="51"/>
      <c r="O4568" s="20"/>
      <c r="P4568" s="20"/>
      <c r="Q4568" s="20"/>
      <c r="R4568" s="20"/>
      <c r="S4568" s="20"/>
    </row>
    <row r="4569">
      <c r="A4569" s="10"/>
      <c r="B4569" s="11"/>
      <c r="C4569" s="10"/>
      <c r="D4569" s="13"/>
      <c r="E4569" s="14"/>
      <c r="F4569" s="14"/>
      <c r="G4569" s="14"/>
      <c r="H4569" s="10"/>
      <c r="I4569" s="10"/>
      <c r="J4569" s="10"/>
      <c r="K4569" s="46"/>
      <c r="L4569" s="10"/>
      <c r="M4569" s="44" t="s">
        <v>10178</v>
      </c>
      <c r="N4569" s="45"/>
      <c r="O4569" s="20"/>
      <c r="P4569" s="20"/>
      <c r="Q4569" s="20"/>
      <c r="R4569" s="20"/>
      <c r="S4569" s="20"/>
    </row>
    <row r="4570">
      <c r="A4570" s="23"/>
      <c r="B4570" s="21"/>
      <c r="C4570" s="23"/>
      <c r="D4570" s="24"/>
      <c r="E4570" s="14"/>
      <c r="F4570" s="14"/>
      <c r="G4570" s="14"/>
      <c r="H4570" s="23"/>
      <c r="I4570" s="23"/>
      <c r="J4570" s="23"/>
      <c r="K4570" s="30"/>
      <c r="L4570" s="23"/>
      <c r="M4570" s="50" t="s">
        <v>10178</v>
      </c>
      <c r="N4570" s="51"/>
      <c r="O4570" s="20"/>
      <c r="P4570" s="20"/>
      <c r="Q4570" s="20"/>
      <c r="R4570" s="20"/>
      <c r="S4570" s="20"/>
    </row>
    <row r="4571">
      <c r="A4571" s="10"/>
      <c r="B4571" s="11"/>
      <c r="C4571" s="10"/>
      <c r="D4571" s="13"/>
      <c r="E4571" s="14"/>
      <c r="F4571" s="14"/>
      <c r="G4571" s="14"/>
      <c r="H4571" s="10"/>
      <c r="I4571" s="10"/>
      <c r="J4571" s="10"/>
      <c r="K4571" s="46"/>
      <c r="L4571" s="10"/>
      <c r="M4571" s="44" t="s">
        <v>10178</v>
      </c>
      <c r="N4571" s="45"/>
      <c r="O4571" s="20"/>
      <c r="P4571" s="20"/>
      <c r="Q4571" s="20"/>
      <c r="R4571" s="20"/>
      <c r="S4571" s="20"/>
    </row>
    <row r="4572">
      <c r="A4572" s="23"/>
      <c r="B4572" s="21"/>
      <c r="C4572" s="23"/>
      <c r="D4572" s="24"/>
      <c r="E4572" s="14"/>
      <c r="F4572" s="14"/>
      <c r="G4572" s="14"/>
      <c r="H4572" s="23"/>
      <c r="I4572" s="23"/>
      <c r="J4572" s="23"/>
      <c r="K4572" s="30"/>
      <c r="L4572" s="23"/>
      <c r="M4572" s="50" t="s">
        <v>10178</v>
      </c>
      <c r="N4572" s="51"/>
      <c r="O4572" s="20"/>
      <c r="P4572" s="20"/>
      <c r="Q4572" s="20"/>
      <c r="R4572" s="20"/>
      <c r="S4572" s="20"/>
    </row>
    <row r="4573">
      <c r="A4573" s="10"/>
      <c r="B4573" s="11"/>
      <c r="C4573" s="10"/>
      <c r="D4573" s="13"/>
      <c r="E4573" s="14"/>
      <c r="F4573" s="14"/>
      <c r="G4573" s="14"/>
      <c r="H4573" s="10"/>
      <c r="I4573" s="10"/>
      <c r="J4573" s="10"/>
      <c r="K4573" s="46"/>
      <c r="L4573" s="10"/>
      <c r="M4573" s="44" t="s">
        <v>10178</v>
      </c>
      <c r="N4573" s="45"/>
      <c r="O4573" s="20"/>
      <c r="P4573" s="20"/>
      <c r="Q4573" s="20"/>
      <c r="R4573" s="20"/>
      <c r="S4573" s="20"/>
    </row>
    <row r="4574">
      <c r="A4574" s="23"/>
      <c r="B4574" s="21"/>
      <c r="C4574" s="23"/>
      <c r="D4574" s="24"/>
      <c r="E4574" s="14"/>
      <c r="F4574" s="14"/>
      <c r="G4574" s="14"/>
      <c r="H4574" s="23"/>
      <c r="I4574" s="23"/>
      <c r="J4574" s="23"/>
      <c r="K4574" s="30"/>
      <c r="L4574" s="23"/>
      <c r="M4574" s="50" t="s">
        <v>10178</v>
      </c>
      <c r="N4574" s="51"/>
      <c r="O4574" s="20"/>
      <c r="P4574" s="20"/>
      <c r="Q4574" s="20"/>
      <c r="R4574" s="20"/>
      <c r="S4574" s="20"/>
    </row>
    <row r="4575">
      <c r="A4575" s="10"/>
      <c r="B4575" s="11"/>
      <c r="C4575" s="10"/>
      <c r="D4575" s="13"/>
      <c r="E4575" s="14"/>
      <c r="F4575" s="14"/>
      <c r="G4575" s="14"/>
      <c r="H4575" s="10"/>
      <c r="I4575" s="10"/>
      <c r="J4575" s="10"/>
      <c r="K4575" s="46"/>
      <c r="L4575" s="10"/>
      <c r="M4575" s="44" t="s">
        <v>10178</v>
      </c>
      <c r="N4575" s="45"/>
      <c r="O4575" s="20"/>
      <c r="P4575" s="20"/>
      <c r="Q4575" s="20"/>
      <c r="R4575" s="20"/>
      <c r="S4575" s="20"/>
    </row>
    <row r="4576">
      <c r="A4576" s="23"/>
      <c r="B4576" s="21"/>
      <c r="C4576" s="23"/>
      <c r="D4576" s="24"/>
      <c r="E4576" s="14"/>
      <c r="F4576" s="14"/>
      <c r="G4576" s="14"/>
      <c r="H4576" s="23"/>
      <c r="I4576" s="23"/>
      <c r="J4576" s="23"/>
      <c r="K4576" s="30"/>
      <c r="L4576" s="23"/>
      <c r="M4576" s="50" t="s">
        <v>10178</v>
      </c>
      <c r="N4576" s="51"/>
      <c r="O4576" s="20"/>
      <c r="P4576" s="20"/>
      <c r="Q4576" s="20"/>
      <c r="R4576" s="20"/>
      <c r="S4576" s="20"/>
    </row>
    <row r="4577">
      <c r="A4577" s="10"/>
      <c r="B4577" s="11"/>
      <c r="C4577" s="10"/>
      <c r="D4577" s="13"/>
      <c r="E4577" s="14"/>
      <c r="F4577" s="14"/>
      <c r="G4577" s="14"/>
      <c r="H4577" s="10"/>
      <c r="I4577" s="10"/>
      <c r="J4577" s="10"/>
      <c r="K4577" s="46"/>
      <c r="L4577" s="10"/>
      <c r="M4577" s="44" t="s">
        <v>10178</v>
      </c>
      <c r="N4577" s="45"/>
      <c r="O4577" s="20"/>
      <c r="P4577" s="20"/>
      <c r="Q4577" s="20"/>
      <c r="R4577" s="20"/>
      <c r="S4577" s="20"/>
    </row>
    <row r="4578">
      <c r="A4578" s="23"/>
      <c r="B4578" s="21"/>
      <c r="C4578" s="23"/>
      <c r="D4578" s="24"/>
      <c r="E4578" s="14"/>
      <c r="F4578" s="14"/>
      <c r="G4578" s="14"/>
      <c r="H4578" s="23"/>
      <c r="I4578" s="23"/>
      <c r="J4578" s="23"/>
      <c r="K4578" s="30"/>
      <c r="L4578" s="23"/>
      <c r="M4578" s="50" t="s">
        <v>10178</v>
      </c>
      <c r="N4578" s="51"/>
      <c r="O4578" s="20"/>
      <c r="P4578" s="20"/>
      <c r="Q4578" s="20"/>
      <c r="R4578" s="20"/>
      <c r="S4578" s="20"/>
    </row>
    <row r="4579">
      <c r="A4579" s="10"/>
      <c r="B4579" s="11"/>
      <c r="C4579" s="10"/>
      <c r="D4579" s="13"/>
      <c r="E4579" s="14"/>
      <c r="F4579" s="14"/>
      <c r="G4579" s="14"/>
      <c r="H4579" s="10"/>
      <c r="I4579" s="10"/>
      <c r="J4579" s="10"/>
      <c r="K4579" s="46"/>
      <c r="L4579" s="10"/>
      <c r="M4579" s="44" t="s">
        <v>10178</v>
      </c>
      <c r="N4579" s="45"/>
      <c r="O4579" s="20"/>
      <c r="P4579" s="20"/>
      <c r="Q4579" s="20"/>
      <c r="R4579" s="20"/>
      <c r="S4579" s="20"/>
    </row>
    <row r="4580">
      <c r="A4580" s="23"/>
      <c r="B4580" s="21"/>
      <c r="C4580" s="23"/>
      <c r="D4580" s="24"/>
      <c r="E4580" s="14"/>
      <c r="F4580" s="14"/>
      <c r="G4580" s="14"/>
      <c r="H4580" s="23"/>
      <c r="I4580" s="23"/>
      <c r="J4580" s="23"/>
      <c r="K4580" s="30"/>
      <c r="L4580" s="23"/>
      <c r="M4580" s="50" t="s">
        <v>10178</v>
      </c>
      <c r="N4580" s="51"/>
      <c r="O4580" s="20"/>
      <c r="P4580" s="20"/>
      <c r="Q4580" s="20"/>
      <c r="R4580" s="20"/>
      <c r="S4580" s="20"/>
    </row>
    <row r="4581">
      <c r="A4581" s="10"/>
      <c r="B4581" s="11"/>
      <c r="C4581" s="10"/>
      <c r="D4581" s="13"/>
      <c r="E4581" s="14"/>
      <c r="F4581" s="14"/>
      <c r="G4581" s="14"/>
      <c r="H4581" s="10"/>
      <c r="I4581" s="10"/>
      <c r="J4581" s="10"/>
      <c r="K4581" s="46"/>
      <c r="L4581" s="10"/>
      <c r="M4581" s="44" t="s">
        <v>10178</v>
      </c>
      <c r="N4581" s="45"/>
      <c r="O4581" s="20"/>
      <c r="P4581" s="20"/>
      <c r="Q4581" s="20"/>
      <c r="R4581" s="20"/>
      <c r="S4581" s="20"/>
    </row>
    <row r="4582">
      <c r="A4582" s="23"/>
      <c r="B4582" s="21"/>
      <c r="C4582" s="23"/>
      <c r="D4582" s="24"/>
      <c r="E4582" s="14"/>
      <c r="F4582" s="14"/>
      <c r="G4582" s="14"/>
      <c r="H4582" s="23"/>
      <c r="I4582" s="23"/>
      <c r="J4582" s="23"/>
      <c r="K4582" s="30"/>
      <c r="L4582" s="23"/>
      <c r="M4582" s="50" t="s">
        <v>10178</v>
      </c>
      <c r="N4582" s="51"/>
      <c r="O4582" s="20"/>
      <c r="P4582" s="20"/>
      <c r="Q4582" s="20"/>
      <c r="R4582" s="20"/>
      <c r="S4582" s="20"/>
    </row>
    <row r="4583">
      <c r="A4583" s="10"/>
      <c r="B4583" s="11"/>
      <c r="C4583" s="10"/>
      <c r="D4583" s="13"/>
      <c r="E4583" s="14"/>
      <c r="F4583" s="14"/>
      <c r="G4583" s="14"/>
      <c r="H4583" s="10"/>
      <c r="I4583" s="10"/>
      <c r="J4583" s="10"/>
      <c r="K4583" s="46"/>
      <c r="L4583" s="10"/>
      <c r="M4583" s="44" t="s">
        <v>10178</v>
      </c>
      <c r="N4583" s="45"/>
      <c r="O4583" s="20"/>
      <c r="P4583" s="20"/>
      <c r="Q4583" s="20"/>
      <c r="R4583" s="20"/>
      <c r="S4583" s="20"/>
    </row>
    <row r="4584">
      <c r="A4584" s="23"/>
      <c r="B4584" s="21"/>
      <c r="C4584" s="23"/>
      <c r="D4584" s="24"/>
      <c r="E4584" s="14"/>
      <c r="F4584" s="14"/>
      <c r="G4584" s="14"/>
      <c r="H4584" s="23"/>
      <c r="I4584" s="23"/>
      <c r="J4584" s="23"/>
      <c r="K4584" s="30"/>
      <c r="L4584" s="23"/>
      <c r="M4584" s="50" t="s">
        <v>10178</v>
      </c>
      <c r="N4584" s="51"/>
      <c r="O4584" s="20"/>
      <c r="P4584" s="20"/>
      <c r="Q4584" s="20"/>
      <c r="R4584" s="20"/>
      <c r="S4584" s="20"/>
    </row>
    <row r="4585">
      <c r="A4585" s="10"/>
      <c r="B4585" s="11"/>
      <c r="C4585" s="10"/>
      <c r="D4585" s="13"/>
      <c r="E4585" s="14"/>
      <c r="F4585" s="14"/>
      <c r="G4585" s="14"/>
      <c r="H4585" s="10"/>
      <c r="I4585" s="10"/>
      <c r="J4585" s="10"/>
      <c r="K4585" s="46"/>
      <c r="L4585" s="10"/>
      <c r="M4585" s="44" t="s">
        <v>10178</v>
      </c>
      <c r="N4585" s="45"/>
      <c r="O4585" s="20"/>
      <c r="P4585" s="20"/>
      <c r="Q4585" s="20"/>
      <c r="R4585" s="20"/>
      <c r="S4585" s="20"/>
    </row>
    <row r="4586">
      <c r="A4586" s="23"/>
      <c r="B4586" s="21"/>
      <c r="C4586" s="23"/>
      <c r="D4586" s="24"/>
      <c r="E4586" s="14"/>
      <c r="F4586" s="14"/>
      <c r="G4586" s="14"/>
      <c r="H4586" s="23"/>
      <c r="I4586" s="23"/>
      <c r="J4586" s="23"/>
      <c r="K4586" s="30"/>
      <c r="L4586" s="23"/>
      <c r="M4586" s="50" t="s">
        <v>10178</v>
      </c>
      <c r="N4586" s="51"/>
      <c r="O4586" s="20"/>
      <c r="P4586" s="20"/>
      <c r="Q4586" s="20"/>
      <c r="R4586" s="20"/>
      <c r="S4586" s="20"/>
    </row>
    <row r="4587">
      <c r="A4587" s="10"/>
      <c r="B4587" s="11"/>
      <c r="C4587" s="10"/>
      <c r="D4587" s="13"/>
      <c r="E4587" s="14"/>
      <c r="F4587" s="14"/>
      <c r="G4587" s="14"/>
      <c r="H4587" s="10"/>
      <c r="I4587" s="10"/>
      <c r="J4587" s="10"/>
      <c r="K4587" s="46"/>
      <c r="L4587" s="10"/>
      <c r="M4587" s="44" t="s">
        <v>10178</v>
      </c>
      <c r="N4587" s="45"/>
      <c r="O4587" s="20"/>
      <c r="P4587" s="20"/>
      <c r="Q4587" s="20"/>
      <c r="R4587" s="20"/>
      <c r="S4587" s="20"/>
    </row>
    <row r="4588">
      <c r="A4588" s="23"/>
      <c r="B4588" s="21"/>
      <c r="C4588" s="23"/>
      <c r="D4588" s="24"/>
      <c r="E4588" s="14"/>
      <c r="F4588" s="14"/>
      <c r="G4588" s="14"/>
      <c r="H4588" s="23"/>
      <c r="I4588" s="23"/>
      <c r="J4588" s="23"/>
      <c r="K4588" s="30"/>
      <c r="L4588" s="23"/>
      <c r="M4588" s="50" t="s">
        <v>10178</v>
      </c>
      <c r="N4588" s="51"/>
      <c r="O4588" s="20"/>
      <c r="P4588" s="20"/>
      <c r="Q4588" s="20"/>
      <c r="R4588" s="20"/>
      <c r="S4588" s="20"/>
    </row>
    <row r="4589">
      <c r="A4589" s="10"/>
      <c r="B4589" s="11"/>
      <c r="C4589" s="10"/>
      <c r="D4589" s="13"/>
      <c r="E4589" s="14"/>
      <c r="F4589" s="14"/>
      <c r="G4589" s="14"/>
      <c r="H4589" s="10"/>
      <c r="I4589" s="10"/>
      <c r="J4589" s="10"/>
      <c r="K4589" s="46"/>
      <c r="L4589" s="10"/>
      <c r="M4589" s="44" t="s">
        <v>10178</v>
      </c>
      <c r="N4589" s="45"/>
      <c r="O4589" s="20"/>
      <c r="P4589" s="20"/>
      <c r="Q4589" s="20"/>
      <c r="R4589" s="20"/>
      <c r="S4589" s="20"/>
    </row>
    <row r="4590">
      <c r="A4590" s="23"/>
      <c r="B4590" s="21"/>
      <c r="C4590" s="23"/>
      <c r="D4590" s="24"/>
      <c r="E4590" s="14"/>
      <c r="F4590" s="14"/>
      <c r="G4590" s="14"/>
      <c r="H4590" s="23"/>
      <c r="I4590" s="23"/>
      <c r="J4590" s="23"/>
      <c r="K4590" s="30"/>
      <c r="L4590" s="23"/>
      <c r="M4590" s="50" t="s">
        <v>10178</v>
      </c>
      <c r="N4590" s="51"/>
      <c r="O4590" s="20"/>
      <c r="P4590" s="20"/>
      <c r="Q4590" s="20"/>
      <c r="R4590" s="20"/>
      <c r="S4590" s="20"/>
    </row>
    <row r="4591">
      <c r="A4591" s="10"/>
      <c r="B4591" s="11"/>
      <c r="C4591" s="10"/>
      <c r="D4591" s="13"/>
      <c r="E4591" s="14"/>
      <c r="F4591" s="14"/>
      <c r="G4591" s="14"/>
      <c r="H4591" s="10"/>
      <c r="I4591" s="10"/>
      <c r="J4591" s="10"/>
      <c r="K4591" s="46"/>
      <c r="L4591" s="10"/>
      <c r="M4591" s="44" t="s">
        <v>10178</v>
      </c>
      <c r="N4591" s="45"/>
      <c r="O4591" s="20"/>
      <c r="P4591" s="20"/>
      <c r="Q4591" s="20"/>
      <c r="R4591" s="20"/>
      <c r="S4591" s="20"/>
    </row>
    <row r="4592">
      <c r="A4592" s="23"/>
      <c r="B4592" s="21"/>
      <c r="C4592" s="23"/>
      <c r="D4592" s="24"/>
      <c r="E4592" s="14"/>
      <c r="F4592" s="14"/>
      <c r="G4592" s="14"/>
      <c r="H4592" s="23"/>
      <c r="I4592" s="23"/>
      <c r="J4592" s="23"/>
      <c r="K4592" s="30"/>
      <c r="L4592" s="23"/>
      <c r="M4592" s="50" t="s">
        <v>10178</v>
      </c>
      <c r="N4592" s="51"/>
      <c r="O4592" s="20"/>
      <c r="P4592" s="20"/>
      <c r="Q4592" s="20"/>
      <c r="R4592" s="20"/>
      <c r="S4592" s="20"/>
    </row>
    <row r="4593">
      <c r="A4593" s="10"/>
      <c r="B4593" s="11"/>
      <c r="C4593" s="10"/>
      <c r="D4593" s="13"/>
      <c r="E4593" s="14"/>
      <c r="F4593" s="14"/>
      <c r="G4593" s="14"/>
      <c r="H4593" s="10"/>
      <c r="I4593" s="10"/>
      <c r="J4593" s="10"/>
      <c r="K4593" s="46"/>
      <c r="L4593" s="10"/>
      <c r="M4593" s="44" t="s">
        <v>10178</v>
      </c>
      <c r="N4593" s="45"/>
      <c r="O4593" s="20"/>
      <c r="P4593" s="20"/>
      <c r="Q4593" s="20"/>
      <c r="R4593" s="20"/>
      <c r="S4593" s="20"/>
    </row>
    <row r="4594">
      <c r="A4594" s="23"/>
      <c r="B4594" s="21"/>
      <c r="C4594" s="23"/>
      <c r="D4594" s="24"/>
      <c r="E4594" s="14"/>
      <c r="F4594" s="14"/>
      <c r="G4594" s="14"/>
      <c r="H4594" s="23"/>
      <c r="I4594" s="23"/>
      <c r="J4594" s="23"/>
      <c r="K4594" s="30"/>
      <c r="L4594" s="23"/>
      <c r="M4594" s="50" t="s">
        <v>10178</v>
      </c>
      <c r="N4594" s="51"/>
      <c r="O4594" s="20"/>
      <c r="P4594" s="20"/>
      <c r="Q4594" s="20"/>
      <c r="R4594" s="20"/>
      <c r="S4594" s="20"/>
    </row>
    <row r="4595">
      <c r="A4595" s="10"/>
      <c r="B4595" s="11"/>
      <c r="C4595" s="10"/>
      <c r="D4595" s="13"/>
      <c r="E4595" s="14"/>
      <c r="F4595" s="14"/>
      <c r="G4595" s="14"/>
      <c r="H4595" s="10"/>
      <c r="I4595" s="10"/>
      <c r="J4595" s="10"/>
      <c r="K4595" s="46"/>
      <c r="L4595" s="10"/>
      <c r="M4595" s="44" t="s">
        <v>10178</v>
      </c>
      <c r="N4595" s="45"/>
      <c r="O4595" s="20"/>
      <c r="P4595" s="20"/>
      <c r="Q4595" s="20"/>
      <c r="R4595" s="20"/>
      <c r="S4595" s="20"/>
    </row>
    <row r="4596">
      <c r="A4596" s="23"/>
      <c r="B4596" s="21"/>
      <c r="C4596" s="23"/>
      <c r="D4596" s="24"/>
      <c r="E4596" s="14"/>
      <c r="F4596" s="14"/>
      <c r="G4596" s="14"/>
      <c r="H4596" s="23"/>
      <c r="I4596" s="23"/>
      <c r="J4596" s="23"/>
      <c r="K4596" s="30"/>
      <c r="L4596" s="23"/>
      <c r="M4596" s="50" t="s">
        <v>10178</v>
      </c>
      <c r="N4596" s="51"/>
      <c r="O4596" s="20"/>
      <c r="P4596" s="20"/>
      <c r="Q4596" s="20"/>
      <c r="R4596" s="20"/>
      <c r="S4596" s="20"/>
    </row>
    <row r="4597">
      <c r="A4597" s="10"/>
      <c r="B4597" s="11"/>
      <c r="C4597" s="10"/>
      <c r="D4597" s="13"/>
      <c r="E4597" s="14"/>
      <c r="F4597" s="14"/>
      <c r="G4597" s="14"/>
      <c r="H4597" s="10"/>
      <c r="I4597" s="10"/>
      <c r="J4597" s="10"/>
      <c r="K4597" s="46"/>
      <c r="L4597" s="10"/>
      <c r="M4597" s="44" t="s">
        <v>10178</v>
      </c>
      <c r="N4597" s="45"/>
      <c r="O4597" s="20"/>
      <c r="P4597" s="20"/>
      <c r="Q4597" s="20"/>
      <c r="R4597" s="20"/>
      <c r="S4597" s="20"/>
    </row>
    <row r="4598">
      <c r="A4598" s="23"/>
      <c r="B4598" s="21"/>
      <c r="C4598" s="23"/>
      <c r="D4598" s="24"/>
      <c r="E4598" s="14"/>
      <c r="F4598" s="14"/>
      <c r="G4598" s="14"/>
      <c r="H4598" s="23"/>
      <c r="I4598" s="23"/>
      <c r="J4598" s="23"/>
      <c r="K4598" s="30"/>
      <c r="L4598" s="23"/>
      <c r="M4598" s="50" t="s">
        <v>10178</v>
      </c>
      <c r="N4598" s="51"/>
      <c r="O4598" s="20"/>
      <c r="P4598" s="20"/>
      <c r="Q4598" s="20"/>
      <c r="R4598" s="20"/>
      <c r="S4598" s="20"/>
    </row>
    <row r="4599">
      <c r="A4599" s="10"/>
      <c r="B4599" s="11"/>
      <c r="C4599" s="10"/>
      <c r="D4599" s="13"/>
      <c r="E4599" s="14"/>
      <c r="F4599" s="14"/>
      <c r="G4599" s="14"/>
      <c r="H4599" s="10"/>
      <c r="I4599" s="10"/>
      <c r="J4599" s="10"/>
      <c r="K4599" s="46"/>
      <c r="L4599" s="10"/>
      <c r="M4599" s="44" t="s">
        <v>10178</v>
      </c>
      <c r="N4599" s="45"/>
      <c r="O4599" s="20"/>
      <c r="P4599" s="20"/>
      <c r="Q4599" s="20"/>
      <c r="R4599" s="20"/>
      <c r="S4599" s="20"/>
    </row>
    <row r="4600">
      <c r="A4600" s="23"/>
      <c r="B4600" s="21"/>
      <c r="C4600" s="23"/>
      <c r="D4600" s="24"/>
      <c r="E4600" s="14"/>
      <c r="F4600" s="14"/>
      <c r="G4600" s="14"/>
      <c r="H4600" s="23"/>
      <c r="I4600" s="23"/>
      <c r="J4600" s="23"/>
      <c r="K4600" s="30"/>
      <c r="L4600" s="23"/>
      <c r="M4600" s="50" t="s">
        <v>10178</v>
      </c>
      <c r="N4600" s="51"/>
      <c r="O4600" s="20"/>
      <c r="P4600" s="20"/>
      <c r="Q4600" s="20"/>
      <c r="R4600" s="20"/>
      <c r="S4600" s="20"/>
    </row>
    <row r="4601">
      <c r="A4601" s="10"/>
      <c r="B4601" s="11"/>
      <c r="C4601" s="10"/>
      <c r="D4601" s="13"/>
      <c r="E4601" s="14"/>
      <c r="F4601" s="14"/>
      <c r="G4601" s="14"/>
      <c r="H4601" s="10"/>
      <c r="I4601" s="10"/>
      <c r="J4601" s="10"/>
      <c r="K4601" s="46"/>
      <c r="L4601" s="10"/>
      <c r="M4601" s="44" t="s">
        <v>10178</v>
      </c>
      <c r="N4601" s="45"/>
      <c r="O4601" s="20"/>
      <c r="P4601" s="20"/>
      <c r="Q4601" s="20"/>
      <c r="R4601" s="20"/>
      <c r="S4601" s="20"/>
    </row>
    <row r="4602">
      <c r="A4602" s="23"/>
      <c r="B4602" s="21"/>
      <c r="C4602" s="23"/>
      <c r="D4602" s="24"/>
      <c r="E4602" s="14"/>
      <c r="F4602" s="14"/>
      <c r="G4602" s="14"/>
      <c r="H4602" s="23"/>
      <c r="I4602" s="23"/>
      <c r="J4602" s="23"/>
      <c r="K4602" s="30"/>
      <c r="L4602" s="23"/>
      <c r="M4602" s="50" t="s">
        <v>10178</v>
      </c>
      <c r="N4602" s="51"/>
      <c r="O4602" s="20"/>
      <c r="P4602" s="20"/>
      <c r="Q4602" s="20"/>
      <c r="R4602" s="20"/>
      <c r="S4602" s="20"/>
    </row>
    <row r="4603">
      <c r="A4603" s="10"/>
      <c r="B4603" s="11"/>
      <c r="C4603" s="10"/>
      <c r="D4603" s="13"/>
      <c r="E4603" s="14"/>
      <c r="F4603" s="14"/>
      <c r="G4603" s="14"/>
      <c r="H4603" s="10"/>
      <c r="I4603" s="10"/>
      <c r="J4603" s="10"/>
      <c r="K4603" s="46"/>
      <c r="L4603" s="10"/>
      <c r="M4603" s="44" t="s">
        <v>10178</v>
      </c>
      <c r="N4603" s="45"/>
      <c r="O4603" s="20"/>
      <c r="P4603" s="20"/>
      <c r="Q4603" s="20"/>
      <c r="R4603" s="20"/>
      <c r="S4603" s="20"/>
    </row>
    <row r="4604">
      <c r="A4604" s="23"/>
      <c r="B4604" s="21"/>
      <c r="C4604" s="23"/>
      <c r="D4604" s="24"/>
      <c r="E4604" s="14"/>
      <c r="F4604" s="14"/>
      <c r="G4604" s="14"/>
      <c r="H4604" s="23"/>
      <c r="I4604" s="23"/>
      <c r="J4604" s="23"/>
      <c r="K4604" s="30"/>
      <c r="L4604" s="23"/>
      <c r="M4604" s="50" t="s">
        <v>10178</v>
      </c>
      <c r="N4604" s="51"/>
      <c r="O4604" s="20"/>
      <c r="P4604" s="20"/>
      <c r="Q4604" s="20"/>
      <c r="R4604" s="20"/>
      <c r="S4604" s="20"/>
    </row>
    <row r="4605">
      <c r="A4605" s="10"/>
      <c r="B4605" s="11"/>
      <c r="C4605" s="10"/>
      <c r="D4605" s="13"/>
      <c r="E4605" s="14"/>
      <c r="F4605" s="14"/>
      <c r="G4605" s="14"/>
      <c r="H4605" s="10"/>
      <c r="I4605" s="10"/>
      <c r="J4605" s="10"/>
      <c r="K4605" s="46"/>
      <c r="L4605" s="10"/>
      <c r="M4605" s="44" t="s">
        <v>10178</v>
      </c>
      <c r="N4605" s="45"/>
      <c r="O4605" s="20"/>
      <c r="P4605" s="20"/>
      <c r="Q4605" s="20"/>
      <c r="R4605" s="20"/>
      <c r="S4605" s="20"/>
    </row>
    <row r="4606">
      <c r="A4606" s="23"/>
      <c r="B4606" s="21"/>
      <c r="C4606" s="23"/>
      <c r="D4606" s="24"/>
      <c r="E4606" s="14"/>
      <c r="F4606" s="14"/>
      <c r="G4606" s="14"/>
      <c r="H4606" s="23"/>
      <c r="I4606" s="23"/>
      <c r="J4606" s="23"/>
      <c r="K4606" s="30"/>
      <c r="L4606" s="23"/>
      <c r="M4606" s="50" t="s">
        <v>10178</v>
      </c>
      <c r="N4606" s="51"/>
      <c r="O4606" s="20"/>
      <c r="P4606" s="20"/>
      <c r="Q4606" s="20"/>
      <c r="R4606" s="20"/>
      <c r="S4606" s="20"/>
    </row>
    <row r="4607">
      <c r="A4607" s="10"/>
      <c r="B4607" s="11"/>
      <c r="C4607" s="10"/>
      <c r="D4607" s="13"/>
      <c r="E4607" s="14"/>
      <c r="F4607" s="14"/>
      <c r="G4607" s="14"/>
      <c r="H4607" s="10"/>
      <c r="I4607" s="10"/>
      <c r="J4607" s="10"/>
      <c r="K4607" s="46"/>
      <c r="L4607" s="10"/>
      <c r="M4607" s="44" t="s">
        <v>10178</v>
      </c>
      <c r="N4607" s="45"/>
      <c r="O4607" s="20"/>
      <c r="P4607" s="20"/>
      <c r="Q4607" s="20"/>
      <c r="R4607" s="20"/>
      <c r="S4607" s="20"/>
    </row>
    <row r="4608">
      <c r="A4608" s="23"/>
      <c r="B4608" s="21"/>
      <c r="C4608" s="23"/>
      <c r="D4608" s="24"/>
      <c r="E4608" s="14"/>
      <c r="F4608" s="14"/>
      <c r="G4608" s="14"/>
      <c r="H4608" s="23"/>
      <c r="I4608" s="23"/>
      <c r="J4608" s="23"/>
      <c r="K4608" s="30"/>
      <c r="L4608" s="23"/>
      <c r="M4608" s="50" t="s">
        <v>10178</v>
      </c>
      <c r="N4608" s="51"/>
      <c r="O4608" s="20"/>
      <c r="P4608" s="20"/>
      <c r="Q4608" s="20"/>
      <c r="R4608" s="20"/>
      <c r="S4608" s="20"/>
    </row>
    <row r="4609">
      <c r="A4609" s="10"/>
      <c r="B4609" s="11"/>
      <c r="C4609" s="10"/>
      <c r="D4609" s="13"/>
      <c r="E4609" s="14"/>
      <c r="F4609" s="14"/>
      <c r="G4609" s="14"/>
      <c r="H4609" s="10"/>
      <c r="I4609" s="10"/>
      <c r="J4609" s="10"/>
      <c r="K4609" s="46"/>
      <c r="L4609" s="10"/>
      <c r="M4609" s="44" t="s">
        <v>10178</v>
      </c>
      <c r="N4609" s="45"/>
      <c r="O4609" s="20"/>
      <c r="P4609" s="20"/>
      <c r="Q4609" s="20"/>
      <c r="R4609" s="20"/>
      <c r="S4609" s="20"/>
    </row>
    <row r="4610">
      <c r="A4610" s="23"/>
      <c r="B4610" s="21"/>
      <c r="C4610" s="23"/>
      <c r="D4610" s="24"/>
      <c r="E4610" s="14"/>
      <c r="F4610" s="14"/>
      <c r="G4610" s="14"/>
      <c r="H4610" s="23"/>
      <c r="I4610" s="23"/>
      <c r="J4610" s="23"/>
      <c r="K4610" s="30"/>
      <c r="L4610" s="23"/>
      <c r="M4610" s="50" t="s">
        <v>10178</v>
      </c>
      <c r="N4610" s="51"/>
      <c r="O4610" s="20"/>
      <c r="P4610" s="20"/>
      <c r="Q4610" s="20"/>
      <c r="R4610" s="20"/>
      <c r="S4610" s="20"/>
    </row>
    <row r="4611">
      <c r="A4611" s="10"/>
      <c r="B4611" s="11"/>
      <c r="C4611" s="10"/>
      <c r="D4611" s="13"/>
      <c r="E4611" s="14"/>
      <c r="F4611" s="14"/>
      <c r="G4611" s="14"/>
      <c r="H4611" s="10"/>
      <c r="I4611" s="10"/>
      <c r="J4611" s="10"/>
      <c r="K4611" s="46"/>
      <c r="L4611" s="10"/>
      <c r="M4611" s="44" t="s">
        <v>10178</v>
      </c>
      <c r="N4611" s="45"/>
      <c r="O4611" s="20"/>
      <c r="P4611" s="20"/>
      <c r="Q4611" s="20"/>
      <c r="R4611" s="20"/>
      <c r="S4611" s="20"/>
    </row>
    <row r="4612">
      <c r="A4612" s="23"/>
      <c r="B4612" s="21"/>
      <c r="C4612" s="23"/>
      <c r="D4612" s="24"/>
      <c r="E4612" s="14"/>
      <c r="F4612" s="14"/>
      <c r="G4612" s="14"/>
      <c r="H4612" s="23"/>
      <c r="I4612" s="23"/>
      <c r="J4612" s="23"/>
      <c r="K4612" s="30"/>
      <c r="L4612" s="23"/>
      <c r="M4612" s="50" t="s">
        <v>10178</v>
      </c>
      <c r="N4612" s="51"/>
      <c r="O4612" s="20"/>
      <c r="P4612" s="20"/>
      <c r="Q4612" s="20"/>
      <c r="R4612" s="20"/>
      <c r="S4612" s="20"/>
    </row>
    <row r="4613">
      <c r="A4613" s="10"/>
      <c r="B4613" s="11"/>
      <c r="C4613" s="10"/>
      <c r="D4613" s="13"/>
      <c r="E4613" s="14"/>
      <c r="F4613" s="14"/>
      <c r="G4613" s="14"/>
      <c r="H4613" s="10"/>
      <c r="I4613" s="10"/>
      <c r="J4613" s="10"/>
      <c r="K4613" s="46"/>
      <c r="L4613" s="10"/>
      <c r="M4613" s="44" t="s">
        <v>10178</v>
      </c>
      <c r="N4613" s="45"/>
      <c r="O4613" s="20"/>
      <c r="P4613" s="20"/>
      <c r="Q4613" s="20"/>
      <c r="R4613" s="20"/>
      <c r="S4613" s="20"/>
    </row>
    <row r="4614">
      <c r="A4614" s="23"/>
      <c r="B4614" s="21"/>
      <c r="C4614" s="23"/>
      <c r="D4614" s="24"/>
      <c r="E4614" s="14"/>
      <c r="F4614" s="14"/>
      <c r="G4614" s="14"/>
      <c r="H4614" s="23"/>
      <c r="I4614" s="23"/>
      <c r="J4614" s="23"/>
      <c r="K4614" s="30"/>
      <c r="L4614" s="23"/>
      <c r="M4614" s="50" t="s">
        <v>10178</v>
      </c>
      <c r="N4614" s="51"/>
      <c r="O4614" s="20"/>
      <c r="P4614" s="20"/>
      <c r="Q4614" s="20"/>
      <c r="R4614" s="20"/>
      <c r="S4614" s="20"/>
    </row>
    <row r="4615">
      <c r="A4615" s="10"/>
      <c r="B4615" s="11"/>
      <c r="C4615" s="10"/>
      <c r="D4615" s="13"/>
      <c r="E4615" s="14"/>
      <c r="F4615" s="14"/>
      <c r="G4615" s="14"/>
      <c r="H4615" s="10"/>
      <c r="I4615" s="10"/>
      <c r="J4615" s="10"/>
      <c r="K4615" s="46"/>
      <c r="L4615" s="10"/>
      <c r="M4615" s="44" t="s">
        <v>10178</v>
      </c>
      <c r="N4615" s="45"/>
      <c r="O4615" s="20"/>
      <c r="P4615" s="20"/>
      <c r="Q4615" s="20"/>
      <c r="R4615" s="20"/>
      <c r="S4615" s="20"/>
    </row>
    <row r="4616">
      <c r="A4616" s="23"/>
      <c r="B4616" s="21"/>
      <c r="C4616" s="23"/>
      <c r="D4616" s="24"/>
      <c r="E4616" s="14"/>
      <c r="F4616" s="14"/>
      <c r="G4616" s="14"/>
      <c r="H4616" s="23"/>
      <c r="I4616" s="23"/>
      <c r="J4616" s="23"/>
      <c r="K4616" s="30"/>
      <c r="L4616" s="23"/>
      <c r="M4616" s="50" t="s">
        <v>10178</v>
      </c>
      <c r="N4616" s="51"/>
      <c r="O4616" s="20"/>
      <c r="P4616" s="20"/>
      <c r="Q4616" s="20"/>
      <c r="R4616" s="20"/>
      <c r="S4616" s="20"/>
    </row>
    <row r="4617">
      <c r="A4617" s="10"/>
      <c r="B4617" s="11"/>
      <c r="C4617" s="10"/>
      <c r="D4617" s="13"/>
      <c r="E4617" s="14"/>
      <c r="F4617" s="14"/>
      <c r="G4617" s="14"/>
      <c r="H4617" s="10"/>
      <c r="I4617" s="10"/>
      <c r="J4617" s="10"/>
      <c r="K4617" s="46"/>
      <c r="L4617" s="10"/>
      <c r="M4617" s="44" t="s">
        <v>10178</v>
      </c>
      <c r="N4617" s="45"/>
      <c r="O4617" s="20"/>
      <c r="P4617" s="20"/>
      <c r="Q4617" s="20"/>
      <c r="R4617" s="20"/>
      <c r="S4617" s="20"/>
    </row>
    <row r="4618">
      <c r="A4618" s="23"/>
      <c r="B4618" s="21"/>
      <c r="C4618" s="23"/>
      <c r="D4618" s="24"/>
      <c r="E4618" s="14"/>
      <c r="F4618" s="14"/>
      <c r="G4618" s="14"/>
      <c r="H4618" s="23"/>
      <c r="I4618" s="23"/>
      <c r="J4618" s="23"/>
      <c r="K4618" s="30"/>
      <c r="L4618" s="23"/>
      <c r="M4618" s="50" t="s">
        <v>10178</v>
      </c>
      <c r="N4618" s="51"/>
      <c r="O4618" s="20"/>
      <c r="P4618" s="20"/>
      <c r="Q4618" s="20"/>
      <c r="R4618" s="20"/>
      <c r="S4618" s="20"/>
    </row>
    <row r="4619">
      <c r="A4619" s="10"/>
      <c r="B4619" s="11"/>
      <c r="C4619" s="10"/>
      <c r="D4619" s="13"/>
      <c r="E4619" s="14"/>
      <c r="F4619" s="14"/>
      <c r="G4619" s="14"/>
      <c r="H4619" s="10"/>
      <c r="I4619" s="10"/>
      <c r="J4619" s="10"/>
      <c r="K4619" s="46"/>
      <c r="L4619" s="10"/>
      <c r="M4619" s="44" t="s">
        <v>10178</v>
      </c>
      <c r="N4619" s="45"/>
      <c r="O4619" s="20"/>
      <c r="P4619" s="20"/>
      <c r="Q4619" s="20"/>
      <c r="R4619" s="20"/>
      <c r="S4619" s="20"/>
    </row>
    <row r="4620">
      <c r="A4620" s="23"/>
      <c r="B4620" s="21"/>
      <c r="C4620" s="23"/>
      <c r="D4620" s="24"/>
      <c r="E4620" s="14"/>
      <c r="F4620" s="14"/>
      <c r="G4620" s="14"/>
      <c r="H4620" s="23"/>
      <c r="I4620" s="23"/>
      <c r="J4620" s="23"/>
      <c r="K4620" s="30"/>
      <c r="L4620" s="23"/>
      <c r="M4620" s="50" t="s">
        <v>10178</v>
      </c>
      <c r="N4620" s="51"/>
      <c r="O4620" s="20"/>
      <c r="P4620" s="20"/>
      <c r="Q4620" s="20"/>
      <c r="R4620" s="20"/>
      <c r="S4620" s="20"/>
    </row>
    <row r="4621">
      <c r="A4621" s="10"/>
      <c r="B4621" s="11"/>
      <c r="C4621" s="10"/>
      <c r="D4621" s="13"/>
      <c r="E4621" s="14"/>
      <c r="F4621" s="14"/>
      <c r="G4621" s="14"/>
      <c r="H4621" s="10"/>
      <c r="I4621" s="10"/>
      <c r="J4621" s="10"/>
      <c r="K4621" s="46"/>
      <c r="L4621" s="10"/>
      <c r="M4621" s="44" t="s">
        <v>10178</v>
      </c>
      <c r="N4621" s="45"/>
      <c r="O4621" s="20"/>
      <c r="P4621" s="20"/>
      <c r="Q4621" s="20"/>
      <c r="R4621" s="20"/>
      <c r="S4621" s="20"/>
    </row>
    <row r="4622">
      <c r="A4622" s="23"/>
      <c r="B4622" s="21"/>
      <c r="C4622" s="23"/>
      <c r="D4622" s="24"/>
      <c r="E4622" s="14"/>
      <c r="F4622" s="14"/>
      <c r="G4622" s="14"/>
      <c r="H4622" s="23"/>
      <c r="I4622" s="23"/>
      <c r="J4622" s="23"/>
      <c r="K4622" s="30"/>
      <c r="L4622" s="23"/>
      <c r="M4622" s="50" t="s">
        <v>10178</v>
      </c>
      <c r="N4622" s="51"/>
      <c r="O4622" s="20"/>
      <c r="P4622" s="20"/>
      <c r="Q4622" s="20"/>
      <c r="R4622" s="20"/>
      <c r="S4622" s="20"/>
    </row>
    <row r="4623">
      <c r="A4623" s="10"/>
      <c r="B4623" s="11"/>
      <c r="C4623" s="10"/>
      <c r="D4623" s="13"/>
      <c r="E4623" s="14"/>
      <c r="F4623" s="14"/>
      <c r="G4623" s="14"/>
      <c r="H4623" s="10"/>
      <c r="I4623" s="10"/>
      <c r="J4623" s="10"/>
      <c r="K4623" s="46"/>
      <c r="L4623" s="10"/>
      <c r="M4623" s="44" t="s">
        <v>10178</v>
      </c>
      <c r="N4623" s="45"/>
      <c r="O4623" s="20"/>
      <c r="P4623" s="20"/>
      <c r="Q4623" s="20"/>
      <c r="R4623" s="20"/>
      <c r="S4623" s="20"/>
    </row>
    <row r="4624">
      <c r="A4624" s="23"/>
      <c r="B4624" s="21"/>
      <c r="C4624" s="23"/>
      <c r="D4624" s="24"/>
      <c r="E4624" s="14"/>
      <c r="F4624" s="14"/>
      <c r="G4624" s="14"/>
      <c r="H4624" s="23"/>
      <c r="I4624" s="23"/>
      <c r="J4624" s="23"/>
      <c r="K4624" s="30"/>
      <c r="L4624" s="23"/>
      <c r="M4624" s="50" t="s">
        <v>10178</v>
      </c>
      <c r="N4624" s="51"/>
      <c r="O4624" s="20"/>
      <c r="P4624" s="20"/>
      <c r="Q4624" s="20"/>
      <c r="R4624" s="20"/>
      <c r="S4624" s="20"/>
    </row>
    <row r="4625">
      <c r="A4625" s="10"/>
      <c r="B4625" s="11"/>
      <c r="C4625" s="10"/>
      <c r="D4625" s="13"/>
      <c r="E4625" s="14"/>
      <c r="F4625" s="14"/>
      <c r="G4625" s="14"/>
      <c r="H4625" s="10"/>
      <c r="I4625" s="10"/>
      <c r="J4625" s="10"/>
      <c r="K4625" s="46"/>
      <c r="L4625" s="10"/>
      <c r="M4625" s="44" t="s">
        <v>10178</v>
      </c>
      <c r="N4625" s="45"/>
      <c r="O4625" s="20"/>
      <c r="P4625" s="20"/>
      <c r="Q4625" s="20"/>
      <c r="R4625" s="20"/>
      <c r="S4625" s="20"/>
    </row>
    <row r="4626">
      <c r="A4626" s="23"/>
      <c r="B4626" s="21"/>
      <c r="C4626" s="23"/>
      <c r="D4626" s="24"/>
      <c r="E4626" s="14"/>
      <c r="F4626" s="14"/>
      <c r="G4626" s="14"/>
      <c r="H4626" s="23"/>
      <c r="I4626" s="23"/>
      <c r="J4626" s="23"/>
      <c r="K4626" s="30"/>
      <c r="L4626" s="23"/>
      <c r="M4626" s="50" t="s">
        <v>10178</v>
      </c>
      <c r="N4626" s="51"/>
      <c r="O4626" s="20"/>
      <c r="P4626" s="20"/>
      <c r="Q4626" s="20"/>
      <c r="R4626" s="20"/>
      <c r="S4626" s="20"/>
    </row>
    <row r="4627">
      <c r="A4627" s="10"/>
      <c r="B4627" s="11"/>
      <c r="C4627" s="10"/>
      <c r="D4627" s="13"/>
      <c r="E4627" s="14"/>
      <c r="F4627" s="14"/>
      <c r="G4627" s="14"/>
      <c r="H4627" s="10"/>
      <c r="I4627" s="10"/>
      <c r="J4627" s="10"/>
      <c r="K4627" s="46"/>
      <c r="L4627" s="10"/>
      <c r="M4627" s="44" t="s">
        <v>10178</v>
      </c>
      <c r="N4627" s="45"/>
      <c r="O4627" s="20"/>
      <c r="P4627" s="20"/>
      <c r="Q4627" s="20"/>
      <c r="R4627" s="20"/>
      <c r="S4627" s="20"/>
    </row>
    <row r="4628">
      <c r="A4628" s="23"/>
      <c r="B4628" s="21"/>
      <c r="C4628" s="23"/>
      <c r="D4628" s="24"/>
      <c r="E4628" s="14"/>
      <c r="F4628" s="14"/>
      <c r="G4628" s="14"/>
      <c r="H4628" s="23"/>
      <c r="I4628" s="23"/>
      <c r="J4628" s="23"/>
      <c r="K4628" s="30"/>
      <c r="L4628" s="23"/>
      <c r="M4628" s="50" t="s">
        <v>10178</v>
      </c>
      <c r="N4628" s="51"/>
      <c r="O4628" s="20"/>
      <c r="P4628" s="20"/>
      <c r="Q4628" s="20"/>
      <c r="R4628" s="20"/>
      <c r="S4628" s="20"/>
    </row>
    <row r="4629">
      <c r="A4629" s="10"/>
      <c r="B4629" s="11"/>
      <c r="C4629" s="10"/>
      <c r="D4629" s="13"/>
      <c r="E4629" s="14"/>
      <c r="F4629" s="14"/>
      <c r="G4629" s="14"/>
      <c r="H4629" s="10"/>
      <c r="I4629" s="10"/>
      <c r="J4629" s="10"/>
      <c r="K4629" s="46"/>
      <c r="L4629" s="10"/>
      <c r="M4629" s="44" t="s">
        <v>10178</v>
      </c>
      <c r="N4629" s="45"/>
      <c r="O4629" s="20"/>
      <c r="P4629" s="20"/>
      <c r="Q4629" s="20"/>
      <c r="R4629" s="20"/>
      <c r="S4629" s="20"/>
    </row>
    <row r="4630">
      <c r="A4630" s="23"/>
      <c r="B4630" s="21"/>
      <c r="C4630" s="23"/>
      <c r="D4630" s="24"/>
      <c r="E4630" s="14"/>
      <c r="F4630" s="14"/>
      <c r="G4630" s="14"/>
      <c r="H4630" s="23"/>
      <c r="I4630" s="23"/>
      <c r="J4630" s="23"/>
      <c r="K4630" s="30"/>
      <c r="L4630" s="23"/>
      <c r="M4630" s="50" t="s">
        <v>10178</v>
      </c>
      <c r="N4630" s="51"/>
      <c r="O4630" s="20"/>
      <c r="P4630" s="20"/>
      <c r="Q4630" s="20"/>
      <c r="R4630" s="20"/>
      <c r="S4630" s="20"/>
    </row>
    <row r="4631">
      <c r="A4631" s="10"/>
      <c r="B4631" s="11"/>
      <c r="C4631" s="10"/>
      <c r="D4631" s="13"/>
      <c r="E4631" s="14"/>
      <c r="F4631" s="14"/>
      <c r="G4631" s="14"/>
      <c r="H4631" s="10"/>
      <c r="I4631" s="10"/>
      <c r="J4631" s="10"/>
      <c r="K4631" s="46"/>
      <c r="L4631" s="10"/>
      <c r="M4631" s="44" t="s">
        <v>10178</v>
      </c>
      <c r="N4631" s="45"/>
      <c r="O4631" s="20"/>
      <c r="P4631" s="20"/>
      <c r="Q4631" s="20"/>
      <c r="R4631" s="20"/>
      <c r="S4631" s="20"/>
    </row>
    <row r="4632">
      <c r="A4632" s="23"/>
      <c r="B4632" s="21"/>
      <c r="C4632" s="23"/>
      <c r="D4632" s="24"/>
      <c r="E4632" s="14"/>
      <c r="F4632" s="14"/>
      <c r="G4632" s="14"/>
      <c r="H4632" s="23"/>
      <c r="I4632" s="23"/>
      <c r="J4632" s="23"/>
      <c r="K4632" s="30"/>
      <c r="L4632" s="23"/>
      <c r="M4632" s="50" t="s">
        <v>10178</v>
      </c>
      <c r="N4632" s="51"/>
      <c r="O4632" s="20"/>
      <c r="P4632" s="20"/>
      <c r="Q4632" s="20"/>
      <c r="R4632" s="20"/>
      <c r="S4632" s="20"/>
    </row>
    <row r="4633">
      <c r="A4633" s="10"/>
      <c r="B4633" s="11"/>
      <c r="C4633" s="10"/>
      <c r="D4633" s="13"/>
      <c r="E4633" s="14"/>
      <c r="F4633" s="14"/>
      <c r="G4633" s="14"/>
      <c r="H4633" s="10"/>
      <c r="I4633" s="10"/>
      <c r="J4633" s="10"/>
      <c r="K4633" s="46"/>
      <c r="L4633" s="10"/>
      <c r="M4633" s="44" t="s">
        <v>10178</v>
      </c>
      <c r="N4633" s="45"/>
      <c r="O4633" s="20"/>
      <c r="P4633" s="20"/>
      <c r="Q4633" s="20"/>
      <c r="R4633" s="20"/>
      <c r="S4633" s="20"/>
    </row>
    <row r="4634">
      <c r="A4634" s="23"/>
      <c r="B4634" s="21"/>
      <c r="C4634" s="23"/>
      <c r="D4634" s="24"/>
      <c r="E4634" s="14"/>
      <c r="F4634" s="14"/>
      <c r="G4634" s="14"/>
      <c r="H4634" s="23"/>
      <c r="I4634" s="23"/>
      <c r="J4634" s="23"/>
      <c r="K4634" s="30"/>
      <c r="L4634" s="23"/>
      <c r="M4634" s="50" t="s">
        <v>10178</v>
      </c>
      <c r="N4634" s="51"/>
      <c r="O4634" s="20"/>
      <c r="P4634" s="20"/>
      <c r="Q4634" s="20"/>
      <c r="R4634" s="20"/>
      <c r="S4634" s="20"/>
    </row>
    <row r="4635">
      <c r="A4635" s="10"/>
      <c r="B4635" s="11"/>
      <c r="C4635" s="10"/>
      <c r="D4635" s="13"/>
      <c r="E4635" s="14"/>
      <c r="F4635" s="14"/>
      <c r="G4635" s="14"/>
      <c r="H4635" s="10"/>
      <c r="I4635" s="10"/>
      <c r="J4635" s="10"/>
      <c r="K4635" s="46"/>
      <c r="L4635" s="10"/>
      <c r="M4635" s="44" t="s">
        <v>10178</v>
      </c>
      <c r="N4635" s="45"/>
      <c r="O4635" s="20"/>
      <c r="P4635" s="20"/>
      <c r="Q4635" s="20"/>
      <c r="R4635" s="20"/>
      <c r="S4635" s="20"/>
    </row>
    <row r="4636">
      <c r="A4636" s="23"/>
      <c r="B4636" s="21"/>
      <c r="C4636" s="23"/>
      <c r="D4636" s="24"/>
      <c r="E4636" s="14"/>
      <c r="F4636" s="14"/>
      <c r="G4636" s="14"/>
      <c r="H4636" s="23"/>
      <c r="I4636" s="23"/>
      <c r="J4636" s="23"/>
      <c r="K4636" s="30"/>
      <c r="L4636" s="23"/>
      <c r="M4636" s="50" t="s">
        <v>10178</v>
      </c>
      <c r="N4636" s="51"/>
      <c r="O4636" s="20"/>
      <c r="P4636" s="20"/>
      <c r="Q4636" s="20"/>
      <c r="R4636" s="20"/>
      <c r="S4636" s="20"/>
    </row>
    <row r="4637">
      <c r="A4637" s="10"/>
      <c r="B4637" s="11"/>
      <c r="C4637" s="10"/>
      <c r="D4637" s="13"/>
      <c r="E4637" s="14"/>
      <c r="F4637" s="14"/>
      <c r="G4637" s="14"/>
      <c r="H4637" s="10"/>
      <c r="I4637" s="10"/>
      <c r="J4637" s="10"/>
      <c r="K4637" s="46"/>
      <c r="L4637" s="10"/>
      <c r="M4637" s="44" t="s">
        <v>10178</v>
      </c>
      <c r="N4637" s="45"/>
      <c r="O4637" s="20"/>
      <c r="P4637" s="20"/>
      <c r="Q4637" s="20"/>
      <c r="R4637" s="20"/>
      <c r="S4637" s="20"/>
    </row>
    <row r="4638">
      <c r="A4638" s="23"/>
      <c r="B4638" s="21"/>
      <c r="C4638" s="23"/>
      <c r="D4638" s="24"/>
      <c r="E4638" s="14"/>
      <c r="F4638" s="14"/>
      <c r="G4638" s="14"/>
      <c r="H4638" s="23"/>
      <c r="I4638" s="23"/>
      <c r="J4638" s="23"/>
      <c r="K4638" s="30"/>
      <c r="L4638" s="23"/>
      <c r="M4638" s="50" t="s">
        <v>10178</v>
      </c>
      <c r="N4638" s="51"/>
      <c r="O4638" s="20"/>
      <c r="P4638" s="20"/>
      <c r="Q4638" s="20"/>
      <c r="R4638" s="20"/>
      <c r="S4638" s="20"/>
    </row>
    <row r="4639">
      <c r="A4639" s="10"/>
      <c r="B4639" s="11"/>
      <c r="C4639" s="10"/>
      <c r="D4639" s="13"/>
      <c r="E4639" s="14"/>
      <c r="F4639" s="14"/>
      <c r="G4639" s="14"/>
      <c r="H4639" s="10"/>
      <c r="I4639" s="10"/>
      <c r="J4639" s="10"/>
      <c r="K4639" s="46"/>
      <c r="L4639" s="10"/>
      <c r="M4639" s="44" t="s">
        <v>10178</v>
      </c>
      <c r="N4639" s="45"/>
      <c r="O4639" s="20"/>
      <c r="P4639" s="20"/>
      <c r="Q4639" s="20"/>
      <c r="R4639" s="20"/>
      <c r="S4639" s="20"/>
    </row>
    <row r="4640">
      <c r="A4640" s="23"/>
      <c r="B4640" s="21"/>
      <c r="C4640" s="23"/>
      <c r="D4640" s="24"/>
      <c r="E4640" s="14"/>
      <c r="F4640" s="14"/>
      <c r="G4640" s="14"/>
      <c r="H4640" s="23"/>
      <c r="I4640" s="23"/>
      <c r="J4640" s="23"/>
      <c r="K4640" s="30"/>
      <c r="L4640" s="23"/>
      <c r="M4640" s="50" t="s">
        <v>10178</v>
      </c>
      <c r="N4640" s="51"/>
      <c r="O4640" s="20"/>
      <c r="P4640" s="20"/>
      <c r="Q4640" s="20"/>
      <c r="R4640" s="20"/>
      <c r="S4640" s="20"/>
    </row>
    <row r="4641">
      <c r="A4641" s="10"/>
      <c r="B4641" s="11"/>
      <c r="C4641" s="10"/>
      <c r="D4641" s="13"/>
      <c r="E4641" s="14"/>
      <c r="F4641" s="14"/>
      <c r="G4641" s="14"/>
      <c r="H4641" s="10"/>
      <c r="I4641" s="10"/>
      <c r="J4641" s="10"/>
      <c r="K4641" s="46"/>
      <c r="L4641" s="10"/>
      <c r="M4641" s="44" t="s">
        <v>10178</v>
      </c>
      <c r="N4641" s="45"/>
      <c r="O4641" s="20"/>
      <c r="P4641" s="20"/>
      <c r="Q4641" s="20"/>
      <c r="R4641" s="20"/>
      <c r="S4641" s="20"/>
    </row>
    <row r="4642">
      <c r="A4642" s="23"/>
      <c r="B4642" s="21"/>
      <c r="C4642" s="23"/>
      <c r="D4642" s="24"/>
      <c r="E4642" s="14"/>
      <c r="F4642" s="14"/>
      <c r="G4642" s="14"/>
      <c r="H4642" s="23"/>
      <c r="I4642" s="23"/>
      <c r="J4642" s="23"/>
      <c r="K4642" s="30"/>
      <c r="L4642" s="23"/>
      <c r="M4642" s="50" t="s">
        <v>10178</v>
      </c>
      <c r="N4642" s="51"/>
      <c r="O4642" s="20"/>
      <c r="P4642" s="20"/>
      <c r="Q4642" s="20"/>
      <c r="R4642" s="20"/>
      <c r="S4642" s="20"/>
    </row>
    <row r="4643">
      <c r="A4643" s="10"/>
      <c r="B4643" s="11"/>
      <c r="C4643" s="10"/>
      <c r="D4643" s="13"/>
      <c r="E4643" s="14"/>
      <c r="F4643" s="14"/>
      <c r="G4643" s="14"/>
      <c r="H4643" s="10"/>
      <c r="I4643" s="10"/>
      <c r="J4643" s="10"/>
      <c r="K4643" s="46"/>
      <c r="L4643" s="10"/>
      <c r="M4643" s="44" t="s">
        <v>10178</v>
      </c>
      <c r="N4643" s="45"/>
      <c r="O4643" s="20"/>
      <c r="P4643" s="20"/>
      <c r="Q4643" s="20"/>
      <c r="R4643" s="20"/>
      <c r="S4643" s="20"/>
    </row>
    <row r="4644">
      <c r="A4644" s="23"/>
      <c r="B4644" s="21"/>
      <c r="C4644" s="23"/>
      <c r="D4644" s="24"/>
      <c r="E4644" s="14"/>
      <c r="F4644" s="14"/>
      <c r="G4644" s="14"/>
      <c r="H4644" s="23"/>
      <c r="I4644" s="23"/>
      <c r="J4644" s="23"/>
      <c r="K4644" s="30"/>
      <c r="L4644" s="23"/>
      <c r="M4644" s="50" t="s">
        <v>10178</v>
      </c>
      <c r="N4644" s="51"/>
      <c r="O4644" s="20"/>
      <c r="P4644" s="20"/>
      <c r="Q4644" s="20"/>
      <c r="R4644" s="20"/>
      <c r="S4644" s="20"/>
    </row>
    <row r="4645">
      <c r="A4645" s="10"/>
      <c r="B4645" s="11"/>
      <c r="C4645" s="10"/>
      <c r="D4645" s="13"/>
      <c r="E4645" s="14"/>
      <c r="F4645" s="14"/>
      <c r="G4645" s="14"/>
      <c r="H4645" s="10"/>
      <c r="I4645" s="10"/>
      <c r="J4645" s="10"/>
      <c r="K4645" s="46"/>
      <c r="L4645" s="10"/>
      <c r="M4645" s="44" t="s">
        <v>10178</v>
      </c>
      <c r="N4645" s="45"/>
      <c r="O4645" s="20"/>
      <c r="P4645" s="20"/>
      <c r="Q4645" s="20"/>
      <c r="R4645" s="20"/>
      <c r="S4645" s="20"/>
    </row>
    <row r="4646">
      <c r="A4646" s="23"/>
      <c r="B4646" s="21"/>
      <c r="C4646" s="23"/>
      <c r="D4646" s="24"/>
      <c r="E4646" s="14"/>
      <c r="F4646" s="14"/>
      <c r="G4646" s="14"/>
      <c r="H4646" s="23"/>
      <c r="I4646" s="23"/>
      <c r="J4646" s="23"/>
      <c r="K4646" s="30"/>
      <c r="L4646" s="23"/>
      <c r="M4646" s="50" t="s">
        <v>10178</v>
      </c>
      <c r="N4646" s="51"/>
      <c r="O4646" s="20"/>
      <c r="P4646" s="20"/>
      <c r="Q4646" s="20"/>
      <c r="R4646" s="20"/>
      <c r="S4646" s="20"/>
    </row>
    <row r="4647">
      <c r="A4647" s="10"/>
      <c r="B4647" s="11"/>
      <c r="C4647" s="10"/>
      <c r="D4647" s="13"/>
      <c r="E4647" s="14"/>
      <c r="F4647" s="14"/>
      <c r="G4647" s="14"/>
      <c r="H4647" s="10"/>
      <c r="I4647" s="10"/>
      <c r="J4647" s="10"/>
      <c r="K4647" s="46"/>
      <c r="L4647" s="10"/>
      <c r="M4647" s="44" t="s">
        <v>10178</v>
      </c>
      <c r="N4647" s="45"/>
      <c r="O4647" s="20"/>
      <c r="P4647" s="20"/>
      <c r="Q4647" s="20"/>
      <c r="R4647" s="20"/>
      <c r="S4647" s="20"/>
    </row>
    <row r="4648">
      <c r="A4648" s="23"/>
      <c r="B4648" s="21"/>
      <c r="C4648" s="23"/>
      <c r="D4648" s="24"/>
      <c r="E4648" s="14"/>
      <c r="F4648" s="14"/>
      <c r="G4648" s="14"/>
      <c r="H4648" s="23"/>
      <c r="I4648" s="23"/>
      <c r="J4648" s="23"/>
      <c r="K4648" s="30"/>
      <c r="L4648" s="23"/>
      <c r="M4648" s="50" t="s">
        <v>10178</v>
      </c>
      <c r="N4648" s="51"/>
      <c r="O4648" s="20"/>
      <c r="P4648" s="20"/>
      <c r="Q4648" s="20"/>
      <c r="R4648" s="20"/>
      <c r="S4648" s="20"/>
    </row>
    <row r="4649">
      <c r="A4649" s="10"/>
      <c r="B4649" s="11"/>
      <c r="C4649" s="10"/>
      <c r="D4649" s="13"/>
      <c r="E4649" s="14"/>
      <c r="F4649" s="14"/>
      <c r="G4649" s="14"/>
      <c r="H4649" s="10"/>
      <c r="I4649" s="10"/>
      <c r="J4649" s="10"/>
      <c r="K4649" s="46"/>
      <c r="L4649" s="10"/>
      <c r="M4649" s="44" t="s">
        <v>10178</v>
      </c>
      <c r="N4649" s="45"/>
      <c r="O4649" s="20"/>
      <c r="P4649" s="20"/>
      <c r="Q4649" s="20"/>
      <c r="R4649" s="20"/>
      <c r="S4649" s="20"/>
    </row>
    <row r="4650">
      <c r="A4650" s="23"/>
      <c r="B4650" s="21"/>
      <c r="C4650" s="23"/>
      <c r="D4650" s="24"/>
      <c r="E4650" s="14"/>
      <c r="F4650" s="14"/>
      <c r="G4650" s="14"/>
      <c r="H4650" s="23"/>
      <c r="I4650" s="23"/>
      <c r="J4650" s="23"/>
      <c r="K4650" s="30"/>
      <c r="L4650" s="23"/>
      <c r="M4650" s="50" t="s">
        <v>10178</v>
      </c>
      <c r="N4650" s="51"/>
      <c r="O4650" s="20"/>
      <c r="P4650" s="20"/>
      <c r="Q4650" s="20"/>
      <c r="R4650" s="20"/>
      <c r="S4650" s="20"/>
    </row>
    <row r="4651">
      <c r="A4651" s="10"/>
      <c r="B4651" s="11"/>
      <c r="C4651" s="10"/>
      <c r="D4651" s="13"/>
      <c r="E4651" s="14"/>
      <c r="F4651" s="14"/>
      <c r="G4651" s="14"/>
      <c r="H4651" s="10"/>
      <c r="I4651" s="10"/>
      <c r="J4651" s="10"/>
      <c r="K4651" s="46"/>
      <c r="L4651" s="10"/>
      <c r="M4651" s="44" t="s">
        <v>10178</v>
      </c>
      <c r="N4651" s="45"/>
      <c r="O4651" s="20"/>
      <c r="P4651" s="20"/>
      <c r="Q4651" s="20"/>
      <c r="R4651" s="20"/>
      <c r="S4651" s="20"/>
    </row>
    <row r="4652">
      <c r="A4652" s="23"/>
      <c r="B4652" s="21"/>
      <c r="C4652" s="23"/>
      <c r="D4652" s="24"/>
      <c r="E4652" s="14"/>
      <c r="F4652" s="14"/>
      <c r="G4652" s="14"/>
      <c r="H4652" s="23"/>
      <c r="I4652" s="23"/>
      <c r="J4652" s="23"/>
      <c r="K4652" s="30"/>
      <c r="L4652" s="23"/>
      <c r="M4652" s="50" t="s">
        <v>10178</v>
      </c>
      <c r="N4652" s="51"/>
      <c r="O4652" s="20"/>
      <c r="P4652" s="20"/>
      <c r="Q4652" s="20"/>
      <c r="R4652" s="20"/>
      <c r="S4652" s="20"/>
    </row>
    <row r="4653">
      <c r="A4653" s="10"/>
      <c r="B4653" s="11"/>
      <c r="C4653" s="10"/>
      <c r="D4653" s="13"/>
      <c r="E4653" s="14"/>
      <c r="F4653" s="14"/>
      <c r="G4653" s="14"/>
      <c r="H4653" s="10"/>
      <c r="I4653" s="10"/>
      <c r="J4653" s="10"/>
      <c r="K4653" s="46"/>
      <c r="L4653" s="10"/>
      <c r="M4653" s="44" t="s">
        <v>10178</v>
      </c>
      <c r="N4653" s="45"/>
      <c r="O4653" s="20"/>
      <c r="P4653" s="20"/>
      <c r="Q4653" s="20"/>
      <c r="R4653" s="20"/>
      <c r="S4653" s="20"/>
    </row>
    <row r="4654">
      <c r="A4654" s="23"/>
      <c r="B4654" s="21"/>
      <c r="C4654" s="23"/>
      <c r="D4654" s="24"/>
      <c r="E4654" s="14"/>
      <c r="F4654" s="14"/>
      <c r="G4654" s="14"/>
      <c r="H4654" s="23"/>
      <c r="I4654" s="23"/>
      <c r="J4654" s="23"/>
      <c r="K4654" s="30"/>
      <c r="L4654" s="23"/>
      <c r="M4654" s="50" t="s">
        <v>10178</v>
      </c>
      <c r="N4654" s="51"/>
      <c r="O4654" s="20"/>
      <c r="P4654" s="20"/>
      <c r="Q4654" s="20"/>
      <c r="R4654" s="20"/>
      <c r="S4654" s="20"/>
    </row>
    <row r="4655">
      <c r="A4655" s="10"/>
      <c r="B4655" s="11"/>
      <c r="C4655" s="10"/>
      <c r="D4655" s="13"/>
      <c r="E4655" s="14"/>
      <c r="F4655" s="14"/>
      <c r="G4655" s="14"/>
      <c r="H4655" s="10"/>
      <c r="I4655" s="10"/>
      <c r="J4655" s="10"/>
      <c r="K4655" s="46"/>
      <c r="L4655" s="10"/>
      <c r="M4655" s="44" t="s">
        <v>10178</v>
      </c>
      <c r="N4655" s="45"/>
      <c r="O4655" s="20"/>
      <c r="P4655" s="20"/>
      <c r="Q4655" s="20"/>
      <c r="R4655" s="20"/>
      <c r="S4655" s="20"/>
    </row>
    <row r="4656">
      <c r="A4656" s="23"/>
      <c r="B4656" s="21"/>
      <c r="C4656" s="23"/>
      <c r="D4656" s="24"/>
      <c r="E4656" s="14"/>
      <c r="F4656" s="14"/>
      <c r="G4656" s="14"/>
      <c r="H4656" s="23"/>
      <c r="I4656" s="23"/>
      <c r="J4656" s="23"/>
      <c r="K4656" s="30"/>
      <c r="L4656" s="23"/>
      <c r="M4656" s="50" t="s">
        <v>10178</v>
      </c>
      <c r="N4656" s="51"/>
      <c r="O4656" s="20"/>
      <c r="P4656" s="20"/>
      <c r="Q4656" s="20"/>
      <c r="R4656" s="20"/>
      <c r="S4656" s="20"/>
    </row>
    <row r="4657">
      <c r="A4657" s="10"/>
      <c r="B4657" s="11"/>
      <c r="C4657" s="10"/>
      <c r="D4657" s="13"/>
      <c r="E4657" s="14"/>
      <c r="F4657" s="14"/>
      <c r="G4657" s="14"/>
      <c r="H4657" s="10"/>
      <c r="I4657" s="10"/>
      <c r="J4657" s="10"/>
      <c r="K4657" s="46"/>
      <c r="L4657" s="10"/>
      <c r="M4657" s="44" t="s">
        <v>10178</v>
      </c>
      <c r="N4657" s="45"/>
      <c r="O4657" s="20"/>
      <c r="P4657" s="20"/>
      <c r="Q4657" s="20"/>
      <c r="R4657" s="20"/>
      <c r="S4657" s="20"/>
    </row>
    <row r="4658">
      <c r="A4658" s="23"/>
      <c r="B4658" s="21"/>
      <c r="C4658" s="23"/>
      <c r="D4658" s="24"/>
      <c r="E4658" s="14"/>
      <c r="F4658" s="14"/>
      <c r="G4658" s="14"/>
      <c r="H4658" s="23"/>
      <c r="I4658" s="23"/>
      <c r="J4658" s="23"/>
      <c r="K4658" s="30"/>
      <c r="L4658" s="23"/>
      <c r="M4658" s="50" t="s">
        <v>10178</v>
      </c>
      <c r="N4658" s="51"/>
      <c r="O4658" s="20"/>
      <c r="P4658" s="20"/>
      <c r="Q4658" s="20"/>
      <c r="R4658" s="20"/>
      <c r="S4658" s="20"/>
    </row>
    <row r="4659">
      <c r="A4659" s="10"/>
      <c r="B4659" s="11"/>
      <c r="C4659" s="10"/>
      <c r="D4659" s="13"/>
      <c r="E4659" s="14"/>
      <c r="F4659" s="14"/>
      <c r="G4659" s="14"/>
      <c r="H4659" s="10"/>
      <c r="I4659" s="10"/>
      <c r="J4659" s="10"/>
      <c r="K4659" s="46"/>
      <c r="L4659" s="10"/>
      <c r="M4659" s="44" t="s">
        <v>10178</v>
      </c>
      <c r="N4659" s="45"/>
      <c r="O4659" s="20"/>
      <c r="P4659" s="20"/>
      <c r="Q4659" s="20"/>
      <c r="R4659" s="20"/>
      <c r="S4659" s="20"/>
    </row>
    <row r="4660">
      <c r="A4660" s="23"/>
      <c r="B4660" s="21"/>
      <c r="C4660" s="23"/>
      <c r="D4660" s="24"/>
      <c r="E4660" s="14"/>
      <c r="F4660" s="14"/>
      <c r="G4660" s="14"/>
      <c r="H4660" s="23"/>
      <c r="I4660" s="23"/>
      <c r="J4660" s="23"/>
      <c r="K4660" s="30"/>
      <c r="L4660" s="23"/>
      <c r="M4660" s="50" t="s">
        <v>10178</v>
      </c>
      <c r="N4660" s="51"/>
      <c r="O4660" s="20"/>
      <c r="P4660" s="20"/>
      <c r="Q4660" s="20"/>
      <c r="R4660" s="20"/>
      <c r="S4660" s="20"/>
    </row>
    <row r="4661">
      <c r="A4661" s="10"/>
      <c r="B4661" s="11"/>
      <c r="C4661" s="10"/>
      <c r="D4661" s="13"/>
      <c r="E4661" s="14"/>
      <c r="F4661" s="14"/>
      <c r="G4661" s="14"/>
      <c r="H4661" s="10"/>
      <c r="I4661" s="10"/>
      <c r="J4661" s="10"/>
      <c r="K4661" s="46"/>
      <c r="L4661" s="10"/>
      <c r="M4661" s="44" t="s">
        <v>10178</v>
      </c>
      <c r="N4661" s="45"/>
      <c r="O4661" s="20"/>
      <c r="P4661" s="20"/>
      <c r="Q4661" s="20"/>
      <c r="R4661" s="20"/>
      <c r="S4661" s="20"/>
    </row>
    <row r="4662">
      <c r="A4662" s="23"/>
      <c r="B4662" s="21"/>
      <c r="C4662" s="23"/>
      <c r="D4662" s="24"/>
      <c r="E4662" s="14"/>
      <c r="F4662" s="14"/>
      <c r="G4662" s="14"/>
      <c r="H4662" s="23"/>
      <c r="I4662" s="23"/>
      <c r="J4662" s="23"/>
      <c r="K4662" s="30"/>
      <c r="L4662" s="23"/>
      <c r="M4662" s="50" t="s">
        <v>10178</v>
      </c>
      <c r="N4662" s="51"/>
      <c r="O4662" s="20"/>
      <c r="P4662" s="20"/>
      <c r="Q4662" s="20"/>
      <c r="R4662" s="20"/>
      <c r="S4662" s="20"/>
    </row>
    <row r="4663">
      <c r="A4663" s="10"/>
      <c r="B4663" s="11"/>
      <c r="C4663" s="10"/>
      <c r="D4663" s="13"/>
      <c r="E4663" s="14"/>
      <c r="F4663" s="14"/>
      <c r="G4663" s="14"/>
      <c r="H4663" s="10"/>
      <c r="I4663" s="10"/>
      <c r="J4663" s="10"/>
      <c r="K4663" s="46"/>
      <c r="L4663" s="10"/>
      <c r="M4663" s="44" t="s">
        <v>10178</v>
      </c>
      <c r="N4663" s="45"/>
      <c r="O4663" s="20"/>
      <c r="P4663" s="20"/>
      <c r="Q4663" s="20"/>
      <c r="R4663" s="20"/>
      <c r="S4663" s="20"/>
    </row>
    <row r="4664">
      <c r="A4664" s="23"/>
      <c r="B4664" s="21"/>
      <c r="C4664" s="23"/>
      <c r="D4664" s="24"/>
      <c r="E4664" s="14"/>
      <c r="F4664" s="14"/>
      <c r="G4664" s="14"/>
      <c r="H4664" s="23"/>
      <c r="I4664" s="23"/>
      <c r="J4664" s="23"/>
      <c r="K4664" s="30"/>
      <c r="L4664" s="23"/>
      <c r="M4664" s="50" t="s">
        <v>10178</v>
      </c>
      <c r="N4664" s="51"/>
      <c r="O4664" s="20"/>
      <c r="P4664" s="20"/>
      <c r="Q4664" s="20"/>
      <c r="R4664" s="20"/>
      <c r="S4664" s="20"/>
    </row>
    <row r="4665">
      <c r="A4665" s="10"/>
      <c r="B4665" s="11"/>
      <c r="C4665" s="10"/>
      <c r="D4665" s="13"/>
      <c r="E4665" s="14"/>
      <c r="F4665" s="14"/>
      <c r="G4665" s="14"/>
      <c r="H4665" s="10"/>
      <c r="I4665" s="10"/>
      <c r="J4665" s="10"/>
      <c r="K4665" s="46"/>
      <c r="L4665" s="10"/>
      <c r="M4665" s="44" t="s">
        <v>10178</v>
      </c>
      <c r="N4665" s="45"/>
      <c r="O4665" s="20"/>
      <c r="P4665" s="20"/>
      <c r="Q4665" s="20"/>
      <c r="R4665" s="20"/>
      <c r="S4665" s="20"/>
    </row>
    <row r="4666">
      <c r="A4666" s="23"/>
      <c r="B4666" s="21"/>
      <c r="C4666" s="23"/>
      <c r="D4666" s="24"/>
      <c r="E4666" s="14"/>
      <c r="F4666" s="14"/>
      <c r="G4666" s="14"/>
      <c r="H4666" s="23"/>
      <c r="I4666" s="23"/>
      <c r="J4666" s="23"/>
      <c r="K4666" s="30"/>
      <c r="L4666" s="23"/>
      <c r="M4666" s="50" t="s">
        <v>10178</v>
      </c>
      <c r="N4666" s="51"/>
      <c r="O4666" s="20"/>
      <c r="P4666" s="20"/>
      <c r="Q4666" s="20"/>
      <c r="R4666" s="20"/>
      <c r="S4666" s="20"/>
    </row>
    <row r="4667">
      <c r="A4667" s="10"/>
      <c r="B4667" s="11"/>
      <c r="C4667" s="10"/>
      <c r="D4667" s="13"/>
      <c r="E4667" s="14"/>
      <c r="F4667" s="14"/>
      <c r="G4667" s="14"/>
      <c r="H4667" s="10"/>
      <c r="I4667" s="10"/>
      <c r="J4667" s="10"/>
      <c r="K4667" s="46"/>
      <c r="L4667" s="10"/>
      <c r="M4667" s="44" t="s">
        <v>10178</v>
      </c>
      <c r="N4667" s="45"/>
      <c r="O4667" s="20"/>
      <c r="P4667" s="20"/>
      <c r="Q4667" s="20"/>
      <c r="R4667" s="20"/>
      <c r="S4667" s="20"/>
    </row>
    <row r="4668">
      <c r="A4668" s="23"/>
      <c r="B4668" s="21"/>
      <c r="C4668" s="23"/>
      <c r="D4668" s="24"/>
      <c r="E4668" s="14"/>
      <c r="F4668" s="14"/>
      <c r="G4668" s="14"/>
      <c r="H4668" s="23"/>
      <c r="I4668" s="23"/>
      <c r="J4668" s="23"/>
      <c r="K4668" s="30"/>
      <c r="L4668" s="23"/>
      <c r="M4668" s="50" t="s">
        <v>10178</v>
      </c>
      <c r="N4668" s="51"/>
      <c r="O4668" s="20"/>
      <c r="P4668" s="20"/>
      <c r="Q4668" s="20"/>
      <c r="R4668" s="20"/>
      <c r="S4668" s="20"/>
    </row>
    <row r="4669">
      <c r="A4669" s="10"/>
      <c r="B4669" s="11"/>
      <c r="C4669" s="10"/>
      <c r="D4669" s="13"/>
      <c r="E4669" s="14"/>
      <c r="F4669" s="14"/>
      <c r="G4669" s="14"/>
      <c r="H4669" s="10"/>
      <c r="I4669" s="10"/>
      <c r="J4669" s="10"/>
      <c r="K4669" s="46"/>
      <c r="L4669" s="10"/>
      <c r="M4669" s="44" t="s">
        <v>10178</v>
      </c>
      <c r="N4669" s="45"/>
      <c r="O4669" s="20"/>
      <c r="P4669" s="20"/>
      <c r="Q4669" s="20"/>
      <c r="R4669" s="20"/>
      <c r="S4669" s="20"/>
    </row>
    <row r="4670">
      <c r="A4670" s="23"/>
      <c r="B4670" s="21"/>
      <c r="C4670" s="23"/>
      <c r="D4670" s="24"/>
      <c r="E4670" s="14"/>
      <c r="F4670" s="14"/>
      <c r="G4670" s="14"/>
      <c r="H4670" s="23"/>
      <c r="I4670" s="23"/>
      <c r="J4670" s="23"/>
      <c r="K4670" s="30"/>
      <c r="L4670" s="23"/>
      <c r="M4670" s="50" t="s">
        <v>10178</v>
      </c>
      <c r="N4670" s="51"/>
      <c r="O4670" s="20"/>
      <c r="P4670" s="20"/>
      <c r="Q4670" s="20"/>
      <c r="R4670" s="20"/>
      <c r="S4670" s="20"/>
    </row>
    <row r="4671">
      <c r="A4671" s="10"/>
      <c r="B4671" s="11"/>
      <c r="C4671" s="10"/>
      <c r="D4671" s="13"/>
      <c r="E4671" s="14"/>
      <c r="F4671" s="14"/>
      <c r="G4671" s="14"/>
      <c r="H4671" s="10"/>
      <c r="I4671" s="10"/>
      <c r="J4671" s="10"/>
      <c r="K4671" s="46"/>
      <c r="L4671" s="10"/>
      <c r="M4671" s="44" t="s">
        <v>10178</v>
      </c>
      <c r="N4671" s="45"/>
      <c r="O4671" s="20"/>
      <c r="P4671" s="20"/>
      <c r="Q4671" s="20"/>
      <c r="R4671" s="20"/>
      <c r="S4671" s="20"/>
    </row>
    <row r="4672">
      <c r="A4672" s="23"/>
      <c r="B4672" s="21"/>
      <c r="C4672" s="23"/>
      <c r="D4672" s="24"/>
      <c r="E4672" s="14"/>
      <c r="F4672" s="14"/>
      <c r="G4672" s="14"/>
      <c r="H4672" s="23"/>
      <c r="I4672" s="23"/>
      <c r="J4672" s="23"/>
      <c r="K4672" s="30"/>
      <c r="L4672" s="23"/>
      <c r="M4672" s="50" t="s">
        <v>10178</v>
      </c>
      <c r="N4672" s="51"/>
      <c r="O4672" s="20"/>
      <c r="P4672" s="20"/>
      <c r="Q4672" s="20"/>
      <c r="R4672" s="20"/>
      <c r="S4672" s="20"/>
    </row>
    <row r="4673">
      <c r="A4673" s="10"/>
      <c r="B4673" s="11"/>
      <c r="C4673" s="10"/>
      <c r="D4673" s="13"/>
      <c r="E4673" s="14"/>
      <c r="F4673" s="14"/>
      <c r="G4673" s="14"/>
      <c r="H4673" s="10"/>
      <c r="I4673" s="10"/>
      <c r="J4673" s="10"/>
      <c r="K4673" s="46"/>
      <c r="L4673" s="10"/>
      <c r="M4673" s="44" t="s">
        <v>10178</v>
      </c>
      <c r="N4673" s="45"/>
      <c r="O4673" s="20"/>
      <c r="P4673" s="20"/>
      <c r="Q4673" s="20"/>
      <c r="R4673" s="20"/>
      <c r="S4673" s="20"/>
    </row>
    <row r="4674">
      <c r="A4674" s="23"/>
      <c r="B4674" s="21"/>
      <c r="C4674" s="23"/>
      <c r="D4674" s="24"/>
      <c r="E4674" s="14"/>
      <c r="F4674" s="14"/>
      <c r="G4674" s="14"/>
      <c r="H4674" s="23"/>
      <c r="I4674" s="23"/>
      <c r="J4674" s="23"/>
      <c r="K4674" s="30"/>
      <c r="L4674" s="23"/>
      <c r="M4674" s="50" t="s">
        <v>10178</v>
      </c>
      <c r="N4674" s="51"/>
      <c r="O4674" s="20"/>
      <c r="P4674" s="20"/>
      <c r="Q4674" s="20"/>
      <c r="R4674" s="20"/>
      <c r="S4674" s="20"/>
    </row>
    <row r="4675">
      <c r="A4675" s="10"/>
      <c r="B4675" s="11"/>
      <c r="C4675" s="10"/>
      <c r="D4675" s="13"/>
      <c r="E4675" s="14"/>
      <c r="F4675" s="14"/>
      <c r="G4675" s="14"/>
      <c r="H4675" s="10"/>
      <c r="I4675" s="10"/>
      <c r="J4675" s="10"/>
      <c r="K4675" s="46"/>
      <c r="L4675" s="10"/>
      <c r="M4675" s="44" t="s">
        <v>10178</v>
      </c>
      <c r="N4675" s="45"/>
      <c r="O4675" s="20"/>
      <c r="P4675" s="20"/>
      <c r="Q4675" s="20"/>
      <c r="R4675" s="20"/>
      <c r="S4675" s="20"/>
    </row>
    <row r="4676">
      <c r="A4676" s="23"/>
      <c r="B4676" s="21"/>
      <c r="C4676" s="23"/>
      <c r="D4676" s="24"/>
      <c r="E4676" s="14"/>
      <c r="F4676" s="14"/>
      <c r="G4676" s="14"/>
      <c r="H4676" s="23"/>
      <c r="I4676" s="23"/>
      <c r="J4676" s="23"/>
      <c r="K4676" s="30"/>
      <c r="L4676" s="23"/>
      <c r="M4676" s="50" t="s">
        <v>10178</v>
      </c>
      <c r="N4676" s="51"/>
      <c r="O4676" s="20"/>
      <c r="P4676" s="20"/>
      <c r="Q4676" s="20"/>
      <c r="R4676" s="20"/>
      <c r="S4676" s="20"/>
    </row>
    <row r="4677">
      <c r="A4677" s="10"/>
      <c r="B4677" s="11"/>
      <c r="C4677" s="10"/>
      <c r="D4677" s="13"/>
      <c r="E4677" s="14"/>
      <c r="F4677" s="14"/>
      <c r="G4677" s="14"/>
      <c r="H4677" s="10"/>
      <c r="I4677" s="10"/>
      <c r="J4677" s="10"/>
      <c r="K4677" s="46"/>
      <c r="L4677" s="10"/>
      <c r="M4677" s="44" t="s">
        <v>10178</v>
      </c>
      <c r="N4677" s="45"/>
      <c r="O4677" s="20"/>
      <c r="P4677" s="20"/>
      <c r="Q4677" s="20"/>
      <c r="R4677" s="20"/>
      <c r="S4677" s="20"/>
    </row>
    <row r="4678">
      <c r="A4678" s="23"/>
      <c r="B4678" s="21"/>
      <c r="C4678" s="23"/>
      <c r="D4678" s="24"/>
      <c r="E4678" s="14"/>
      <c r="F4678" s="14"/>
      <c r="G4678" s="14"/>
      <c r="H4678" s="23"/>
      <c r="I4678" s="23"/>
      <c r="J4678" s="23"/>
      <c r="K4678" s="30"/>
      <c r="L4678" s="23"/>
      <c r="M4678" s="50" t="s">
        <v>10178</v>
      </c>
      <c r="N4678" s="51"/>
      <c r="O4678" s="20"/>
      <c r="P4678" s="20"/>
      <c r="Q4678" s="20"/>
      <c r="R4678" s="20"/>
      <c r="S4678" s="20"/>
    </row>
    <row r="4679">
      <c r="A4679" s="10"/>
      <c r="B4679" s="11"/>
      <c r="C4679" s="10"/>
      <c r="D4679" s="13"/>
      <c r="E4679" s="14"/>
      <c r="F4679" s="14"/>
      <c r="G4679" s="14"/>
      <c r="H4679" s="10"/>
      <c r="I4679" s="10"/>
      <c r="J4679" s="10"/>
      <c r="K4679" s="46"/>
      <c r="L4679" s="10"/>
      <c r="M4679" s="44" t="s">
        <v>10178</v>
      </c>
      <c r="N4679" s="45"/>
      <c r="O4679" s="20"/>
      <c r="P4679" s="20"/>
      <c r="Q4679" s="20"/>
      <c r="R4679" s="20"/>
      <c r="S4679" s="20"/>
    </row>
    <row r="4680">
      <c r="A4680" s="23"/>
      <c r="B4680" s="21"/>
      <c r="C4680" s="23"/>
      <c r="D4680" s="24"/>
      <c r="E4680" s="14"/>
      <c r="F4680" s="14"/>
      <c r="G4680" s="14"/>
      <c r="H4680" s="23"/>
      <c r="I4680" s="23"/>
      <c r="J4680" s="23"/>
      <c r="K4680" s="30"/>
      <c r="L4680" s="23"/>
      <c r="M4680" s="50" t="s">
        <v>10178</v>
      </c>
      <c r="N4680" s="51"/>
      <c r="O4680" s="20"/>
      <c r="P4680" s="20"/>
      <c r="Q4680" s="20"/>
      <c r="R4680" s="20"/>
      <c r="S4680" s="20"/>
    </row>
    <row r="4681">
      <c r="A4681" s="10"/>
      <c r="B4681" s="11"/>
      <c r="C4681" s="10"/>
      <c r="D4681" s="13"/>
      <c r="E4681" s="14"/>
      <c r="F4681" s="14"/>
      <c r="G4681" s="14"/>
      <c r="H4681" s="10"/>
      <c r="I4681" s="10"/>
      <c r="J4681" s="10"/>
      <c r="K4681" s="46"/>
      <c r="L4681" s="10"/>
      <c r="M4681" s="44" t="s">
        <v>10178</v>
      </c>
      <c r="N4681" s="45"/>
      <c r="O4681" s="20"/>
      <c r="P4681" s="20"/>
      <c r="Q4681" s="20"/>
      <c r="R4681" s="20"/>
      <c r="S4681" s="20"/>
    </row>
    <row r="4682">
      <c r="A4682" s="23"/>
      <c r="B4682" s="21"/>
      <c r="C4682" s="23"/>
      <c r="D4682" s="24"/>
      <c r="E4682" s="14"/>
      <c r="F4682" s="14"/>
      <c r="G4682" s="14"/>
      <c r="H4682" s="23"/>
      <c r="I4682" s="23"/>
      <c r="J4682" s="23"/>
      <c r="K4682" s="30"/>
      <c r="L4682" s="23"/>
      <c r="M4682" s="50" t="s">
        <v>10178</v>
      </c>
      <c r="N4682" s="51"/>
      <c r="O4682" s="20"/>
      <c r="P4682" s="20"/>
      <c r="Q4682" s="20"/>
      <c r="R4682" s="20"/>
      <c r="S4682" s="20"/>
    </row>
    <row r="4683">
      <c r="A4683" s="10"/>
      <c r="B4683" s="11"/>
      <c r="C4683" s="10"/>
      <c r="D4683" s="13"/>
      <c r="E4683" s="14"/>
      <c r="F4683" s="14"/>
      <c r="G4683" s="14"/>
      <c r="H4683" s="10"/>
      <c r="I4683" s="10"/>
      <c r="J4683" s="10"/>
      <c r="K4683" s="46"/>
      <c r="L4683" s="10"/>
      <c r="M4683" s="44" t="s">
        <v>10178</v>
      </c>
      <c r="N4683" s="45"/>
      <c r="O4683" s="20"/>
      <c r="P4683" s="20"/>
      <c r="Q4683" s="20"/>
      <c r="R4683" s="20"/>
      <c r="S4683" s="20"/>
    </row>
    <row r="4684">
      <c r="A4684" s="23"/>
      <c r="B4684" s="21"/>
      <c r="C4684" s="23"/>
      <c r="D4684" s="24"/>
      <c r="E4684" s="14"/>
      <c r="F4684" s="14"/>
      <c r="G4684" s="14"/>
      <c r="H4684" s="23"/>
      <c r="I4684" s="23"/>
      <c r="J4684" s="23"/>
      <c r="K4684" s="30"/>
      <c r="L4684" s="23"/>
      <c r="M4684" s="50" t="s">
        <v>10178</v>
      </c>
      <c r="N4684" s="51"/>
      <c r="O4684" s="20"/>
      <c r="P4684" s="20"/>
      <c r="Q4684" s="20"/>
      <c r="R4684" s="20"/>
      <c r="S4684" s="20"/>
    </row>
    <row r="4685">
      <c r="A4685" s="10"/>
      <c r="B4685" s="11"/>
      <c r="C4685" s="10"/>
      <c r="D4685" s="13"/>
      <c r="E4685" s="14"/>
      <c r="F4685" s="14"/>
      <c r="G4685" s="14"/>
      <c r="H4685" s="10"/>
      <c r="I4685" s="10"/>
      <c r="J4685" s="10"/>
      <c r="K4685" s="46"/>
      <c r="L4685" s="10"/>
      <c r="M4685" s="44" t="s">
        <v>10178</v>
      </c>
      <c r="N4685" s="45"/>
      <c r="O4685" s="20"/>
      <c r="P4685" s="20"/>
      <c r="Q4685" s="20"/>
      <c r="R4685" s="20"/>
      <c r="S4685" s="20"/>
    </row>
    <row r="4686">
      <c r="A4686" s="23"/>
      <c r="B4686" s="21"/>
      <c r="C4686" s="23"/>
      <c r="D4686" s="24"/>
      <c r="E4686" s="14"/>
      <c r="F4686" s="14"/>
      <c r="G4686" s="14"/>
      <c r="H4686" s="23"/>
      <c r="I4686" s="23"/>
      <c r="J4686" s="23"/>
      <c r="K4686" s="30"/>
      <c r="L4686" s="23"/>
      <c r="M4686" s="50" t="s">
        <v>10178</v>
      </c>
      <c r="N4686" s="51"/>
      <c r="O4686" s="20"/>
      <c r="P4686" s="20"/>
      <c r="Q4686" s="20"/>
      <c r="R4686" s="20"/>
      <c r="S4686" s="20"/>
    </row>
    <row r="4687">
      <c r="A4687" s="10"/>
      <c r="B4687" s="11"/>
      <c r="C4687" s="10"/>
      <c r="D4687" s="13"/>
      <c r="E4687" s="14"/>
      <c r="F4687" s="14"/>
      <c r="G4687" s="14"/>
      <c r="H4687" s="10"/>
      <c r="I4687" s="10"/>
      <c r="J4687" s="10"/>
      <c r="K4687" s="46"/>
      <c r="L4687" s="10"/>
      <c r="M4687" s="44" t="s">
        <v>10178</v>
      </c>
      <c r="N4687" s="45"/>
      <c r="O4687" s="20"/>
      <c r="P4687" s="20"/>
      <c r="Q4687" s="20"/>
      <c r="R4687" s="20"/>
      <c r="S4687" s="20"/>
    </row>
    <row r="4688">
      <c r="A4688" s="23"/>
      <c r="B4688" s="21"/>
      <c r="C4688" s="23"/>
      <c r="D4688" s="24"/>
      <c r="E4688" s="14"/>
      <c r="F4688" s="14"/>
      <c r="G4688" s="14"/>
      <c r="H4688" s="23"/>
      <c r="I4688" s="23"/>
      <c r="J4688" s="23"/>
      <c r="K4688" s="30"/>
      <c r="L4688" s="23"/>
      <c r="M4688" s="50" t="s">
        <v>10178</v>
      </c>
      <c r="N4688" s="51"/>
      <c r="O4688" s="20"/>
      <c r="P4688" s="20"/>
      <c r="Q4688" s="20"/>
      <c r="R4688" s="20"/>
      <c r="S4688" s="20"/>
    </row>
    <row r="4689">
      <c r="A4689" s="10"/>
      <c r="B4689" s="11"/>
      <c r="C4689" s="10"/>
      <c r="D4689" s="13"/>
      <c r="E4689" s="14"/>
      <c r="F4689" s="14"/>
      <c r="G4689" s="14"/>
      <c r="H4689" s="10"/>
      <c r="I4689" s="10"/>
      <c r="J4689" s="10"/>
      <c r="K4689" s="46"/>
      <c r="L4689" s="10"/>
      <c r="M4689" s="44" t="s">
        <v>10178</v>
      </c>
      <c r="N4689" s="45"/>
      <c r="O4689" s="20"/>
      <c r="P4689" s="20"/>
      <c r="Q4689" s="20"/>
      <c r="R4689" s="20"/>
      <c r="S4689" s="20"/>
    </row>
    <row r="4690">
      <c r="A4690" s="23"/>
      <c r="B4690" s="21"/>
      <c r="C4690" s="23"/>
      <c r="D4690" s="24"/>
      <c r="E4690" s="14"/>
      <c r="F4690" s="14"/>
      <c r="G4690" s="14"/>
      <c r="H4690" s="23"/>
      <c r="I4690" s="23"/>
      <c r="J4690" s="23"/>
      <c r="K4690" s="30"/>
      <c r="L4690" s="23"/>
      <c r="M4690" s="50" t="s">
        <v>10178</v>
      </c>
      <c r="N4690" s="51"/>
      <c r="O4690" s="20"/>
      <c r="P4690" s="20"/>
      <c r="Q4690" s="20"/>
      <c r="R4690" s="20"/>
      <c r="S4690" s="20"/>
    </row>
    <row r="4691">
      <c r="A4691" s="10"/>
      <c r="B4691" s="11"/>
      <c r="C4691" s="10"/>
      <c r="D4691" s="13"/>
      <c r="E4691" s="14"/>
      <c r="F4691" s="14"/>
      <c r="G4691" s="14"/>
      <c r="H4691" s="10"/>
      <c r="I4691" s="10"/>
      <c r="J4691" s="10"/>
      <c r="K4691" s="46"/>
      <c r="L4691" s="10"/>
      <c r="M4691" s="44" t="s">
        <v>10178</v>
      </c>
      <c r="N4691" s="45"/>
      <c r="O4691" s="20"/>
      <c r="P4691" s="20"/>
      <c r="Q4691" s="20"/>
      <c r="R4691" s="20"/>
      <c r="S4691" s="20"/>
    </row>
    <row r="4692">
      <c r="A4692" s="23"/>
      <c r="B4692" s="21"/>
      <c r="C4692" s="23"/>
      <c r="D4692" s="24"/>
      <c r="E4692" s="14"/>
      <c r="F4692" s="14"/>
      <c r="G4692" s="14"/>
      <c r="H4692" s="23"/>
      <c r="I4692" s="23"/>
      <c r="J4692" s="23"/>
      <c r="K4692" s="30"/>
      <c r="L4692" s="23"/>
      <c r="M4692" s="50" t="s">
        <v>10178</v>
      </c>
      <c r="N4692" s="51"/>
      <c r="O4692" s="20"/>
      <c r="P4692" s="20"/>
      <c r="Q4692" s="20"/>
      <c r="R4692" s="20"/>
      <c r="S4692" s="20"/>
    </row>
    <row r="4693">
      <c r="A4693" s="10"/>
      <c r="B4693" s="11"/>
      <c r="C4693" s="10"/>
      <c r="D4693" s="13"/>
      <c r="E4693" s="14"/>
      <c r="F4693" s="14"/>
      <c r="G4693" s="14"/>
      <c r="H4693" s="10"/>
      <c r="I4693" s="10"/>
      <c r="J4693" s="10"/>
      <c r="K4693" s="46"/>
      <c r="L4693" s="10"/>
      <c r="M4693" s="44" t="s">
        <v>10178</v>
      </c>
      <c r="N4693" s="45"/>
      <c r="O4693" s="20"/>
      <c r="P4693" s="20"/>
      <c r="Q4693" s="20"/>
      <c r="R4693" s="20"/>
      <c r="S4693" s="20"/>
    </row>
    <row r="4694">
      <c r="A4694" s="23"/>
      <c r="B4694" s="21"/>
      <c r="C4694" s="23"/>
      <c r="D4694" s="24"/>
      <c r="E4694" s="14"/>
      <c r="F4694" s="14"/>
      <c r="G4694" s="14"/>
      <c r="H4694" s="23"/>
      <c r="I4694" s="23"/>
      <c r="J4694" s="23"/>
      <c r="K4694" s="30"/>
      <c r="L4694" s="23"/>
      <c r="M4694" s="50" t="s">
        <v>10178</v>
      </c>
      <c r="N4694" s="51"/>
      <c r="O4694" s="20"/>
      <c r="P4694" s="20"/>
      <c r="Q4694" s="20"/>
      <c r="R4694" s="20"/>
      <c r="S4694" s="20"/>
    </row>
    <row r="4695">
      <c r="A4695" s="10"/>
      <c r="B4695" s="11"/>
      <c r="C4695" s="10"/>
      <c r="D4695" s="13"/>
      <c r="E4695" s="14"/>
      <c r="F4695" s="14"/>
      <c r="G4695" s="14"/>
      <c r="H4695" s="10"/>
      <c r="I4695" s="10"/>
      <c r="J4695" s="10"/>
      <c r="K4695" s="46"/>
      <c r="L4695" s="10"/>
      <c r="M4695" s="44" t="s">
        <v>10178</v>
      </c>
      <c r="N4695" s="45"/>
      <c r="O4695" s="20"/>
      <c r="P4695" s="20"/>
      <c r="Q4695" s="20"/>
      <c r="R4695" s="20"/>
      <c r="S4695" s="20"/>
    </row>
    <row r="4696">
      <c r="A4696" s="23"/>
      <c r="B4696" s="21"/>
      <c r="C4696" s="23"/>
      <c r="D4696" s="24"/>
      <c r="E4696" s="14"/>
      <c r="F4696" s="14"/>
      <c r="G4696" s="14"/>
      <c r="H4696" s="23"/>
      <c r="I4696" s="23"/>
      <c r="J4696" s="23"/>
      <c r="K4696" s="30"/>
      <c r="L4696" s="23"/>
      <c r="M4696" s="50" t="s">
        <v>10178</v>
      </c>
      <c r="N4696" s="51"/>
      <c r="O4696" s="20"/>
      <c r="P4696" s="20"/>
      <c r="Q4696" s="20"/>
      <c r="R4696" s="20"/>
      <c r="S4696" s="20"/>
    </row>
    <row r="4697">
      <c r="A4697" s="10"/>
      <c r="B4697" s="11"/>
      <c r="C4697" s="10"/>
      <c r="D4697" s="13"/>
      <c r="E4697" s="14"/>
      <c r="F4697" s="14"/>
      <c r="G4697" s="14"/>
      <c r="H4697" s="10"/>
      <c r="I4697" s="10"/>
      <c r="J4697" s="10"/>
      <c r="K4697" s="46"/>
      <c r="L4697" s="10"/>
      <c r="M4697" s="44" t="s">
        <v>10178</v>
      </c>
      <c r="N4697" s="45"/>
      <c r="O4697" s="20"/>
      <c r="P4697" s="20"/>
      <c r="Q4697" s="20"/>
      <c r="R4697" s="20"/>
      <c r="S4697" s="20"/>
    </row>
    <row r="4698">
      <c r="A4698" s="23"/>
      <c r="B4698" s="21"/>
      <c r="C4698" s="23"/>
      <c r="D4698" s="24"/>
      <c r="E4698" s="14"/>
      <c r="F4698" s="14"/>
      <c r="G4698" s="14"/>
      <c r="H4698" s="23"/>
      <c r="I4698" s="23"/>
      <c r="J4698" s="23"/>
      <c r="K4698" s="30"/>
      <c r="L4698" s="23"/>
      <c r="M4698" s="50" t="s">
        <v>10178</v>
      </c>
      <c r="N4698" s="51"/>
      <c r="O4698" s="20"/>
      <c r="P4698" s="20"/>
      <c r="Q4698" s="20"/>
      <c r="R4698" s="20"/>
      <c r="S4698" s="20"/>
    </row>
    <row r="4699">
      <c r="A4699" s="10"/>
      <c r="B4699" s="11"/>
      <c r="C4699" s="10"/>
      <c r="D4699" s="13"/>
      <c r="E4699" s="14"/>
      <c r="F4699" s="14"/>
      <c r="G4699" s="14"/>
      <c r="H4699" s="10"/>
      <c r="I4699" s="10"/>
      <c r="J4699" s="10"/>
      <c r="K4699" s="46"/>
      <c r="L4699" s="10"/>
      <c r="M4699" s="44" t="s">
        <v>10178</v>
      </c>
      <c r="N4699" s="45"/>
      <c r="O4699" s="20"/>
      <c r="P4699" s="20"/>
      <c r="Q4699" s="20"/>
      <c r="R4699" s="20"/>
      <c r="S4699" s="20"/>
    </row>
    <row r="4700">
      <c r="A4700" s="23"/>
      <c r="B4700" s="21"/>
      <c r="C4700" s="23"/>
      <c r="D4700" s="24"/>
      <c r="E4700" s="14"/>
      <c r="F4700" s="14"/>
      <c r="G4700" s="14"/>
      <c r="H4700" s="23"/>
      <c r="I4700" s="23"/>
      <c r="J4700" s="23"/>
      <c r="K4700" s="30"/>
      <c r="L4700" s="23"/>
      <c r="M4700" s="50" t="s">
        <v>10178</v>
      </c>
      <c r="N4700" s="51"/>
      <c r="O4700" s="20"/>
      <c r="P4700" s="20"/>
      <c r="Q4700" s="20"/>
      <c r="R4700" s="20"/>
      <c r="S4700" s="20"/>
    </row>
    <row r="4701">
      <c r="A4701" s="10"/>
      <c r="B4701" s="11"/>
      <c r="C4701" s="10"/>
      <c r="D4701" s="13"/>
      <c r="E4701" s="14"/>
      <c r="F4701" s="14"/>
      <c r="G4701" s="14"/>
      <c r="H4701" s="10"/>
      <c r="I4701" s="10"/>
      <c r="J4701" s="10"/>
      <c r="K4701" s="46"/>
      <c r="L4701" s="10"/>
      <c r="M4701" s="44" t="s">
        <v>10178</v>
      </c>
      <c r="N4701" s="45"/>
      <c r="O4701" s="20"/>
      <c r="P4701" s="20"/>
      <c r="Q4701" s="20"/>
      <c r="R4701" s="20"/>
      <c r="S4701" s="20"/>
    </row>
    <row r="4702">
      <c r="A4702" s="23"/>
      <c r="B4702" s="21"/>
      <c r="C4702" s="23"/>
      <c r="D4702" s="24"/>
      <c r="E4702" s="14"/>
      <c r="F4702" s="14"/>
      <c r="G4702" s="14"/>
      <c r="H4702" s="23"/>
      <c r="I4702" s="23"/>
      <c r="J4702" s="23"/>
      <c r="K4702" s="30"/>
      <c r="L4702" s="23"/>
      <c r="M4702" s="50" t="s">
        <v>10178</v>
      </c>
      <c r="N4702" s="51"/>
      <c r="O4702" s="20"/>
      <c r="P4702" s="20"/>
      <c r="Q4702" s="20"/>
      <c r="R4702" s="20"/>
      <c r="S4702" s="20"/>
    </row>
    <row r="4703">
      <c r="A4703" s="10"/>
      <c r="B4703" s="11"/>
      <c r="C4703" s="10"/>
      <c r="D4703" s="13"/>
      <c r="E4703" s="14"/>
      <c r="F4703" s="14"/>
      <c r="G4703" s="14"/>
      <c r="H4703" s="10"/>
      <c r="I4703" s="10"/>
      <c r="J4703" s="10"/>
      <c r="K4703" s="46"/>
      <c r="L4703" s="10"/>
      <c r="M4703" s="44" t="s">
        <v>10178</v>
      </c>
      <c r="N4703" s="45"/>
      <c r="O4703" s="20"/>
      <c r="P4703" s="20"/>
      <c r="Q4703" s="20"/>
      <c r="R4703" s="20"/>
      <c r="S4703" s="20"/>
    </row>
    <row r="4704">
      <c r="A4704" s="23"/>
      <c r="B4704" s="21"/>
      <c r="C4704" s="23"/>
      <c r="D4704" s="24"/>
      <c r="E4704" s="14"/>
      <c r="F4704" s="14"/>
      <c r="G4704" s="14"/>
      <c r="H4704" s="23"/>
      <c r="I4704" s="23"/>
      <c r="J4704" s="23"/>
      <c r="K4704" s="30"/>
      <c r="L4704" s="23"/>
      <c r="M4704" s="50" t="s">
        <v>10178</v>
      </c>
      <c r="N4704" s="51"/>
      <c r="O4704" s="20"/>
      <c r="P4704" s="20"/>
      <c r="Q4704" s="20"/>
      <c r="R4704" s="20"/>
      <c r="S4704" s="20"/>
    </row>
    <row r="4705">
      <c r="A4705" s="10"/>
      <c r="B4705" s="11"/>
      <c r="C4705" s="10"/>
      <c r="D4705" s="13"/>
      <c r="E4705" s="14"/>
      <c r="F4705" s="14"/>
      <c r="G4705" s="14"/>
      <c r="H4705" s="10"/>
      <c r="I4705" s="10"/>
      <c r="J4705" s="10"/>
      <c r="K4705" s="46"/>
      <c r="L4705" s="10"/>
      <c r="M4705" s="44" t="s">
        <v>10178</v>
      </c>
      <c r="N4705" s="45"/>
      <c r="O4705" s="20"/>
      <c r="P4705" s="20"/>
      <c r="Q4705" s="20"/>
      <c r="R4705" s="20"/>
      <c r="S4705" s="20"/>
    </row>
    <row r="4706">
      <c r="A4706" s="23"/>
      <c r="B4706" s="21"/>
      <c r="C4706" s="23"/>
      <c r="D4706" s="24"/>
      <c r="E4706" s="14"/>
      <c r="F4706" s="14"/>
      <c r="G4706" s="14"/>
      <c r="H4706" s="23"/>
      <c r="I4706" s="23"/>
      <c r="J4706" s="23"/>
      <c r="K4706" s="30"/>
      <c r="L4706" s="23"/>
      <c r="M4706" s="50" t="s">
        <v>10178</v>
      </c>
      <c r="N4706" s="51"/>
      <c r="O4706" s="20"/>
      <c r="P4706" s="20"/>
      <c r="Q4706" s="20"/>
      <c r="R4706" s="20"/>
      <c r="S4706" s="20"/>
    </row>
    <row r="4707">
      <c r="A4707" s="10"/>
      <c r="B4707" s="11"/>
      <c r="C4707" s="10"/>
      <c r="D4707" s="13"/>
      <c r="E4707" s="14"/>
      <c r="F4707" s="14"/>
      <c r="G4707" s="14"/>
      <c r="H4707" s="10"/>
      <c r="I4707" s="10"/>
      <c r="J4707" s="10"/>
      <c r="K4707" s="46"/>
      <c r="L4707" s="10"/>
      <c r="M4707" s="44" t="s">
        <v>10178</v>
      </c>
      <c r="N4707" s="45"/>
      <c r="O4707" s="20"/>
      <c r="P4707" s="20"/>
      <c r="Q4707" s="20"/>
      <c r="R4707" s="20"/>
      <c r="S4707" s="20"/>
    </row>
    <row r="4708">
      <c r="A4708" s="23"/>
      <c r="B4708" s="21"/>
      <c r="C4708" s="23"/>
      <c r="D4708" s="24"/>
      <c r="E4708" s="14"/>
      <c r="F4708" s="14"/>
      <c r="G4708" s="14"/>
      <c r="H4708" s="23"/>
      <c r="I4708" s="23"/>
      <c r="J4708" s="23"/>
      <c r="K4708" s="30"/>
      <c r="L4708" s="23"/>
      <c r="M4708" s="50" t="s">
        <v>10178</v>
      </c>
      <c r="N4708" s="51"/>
      <c r="O4708" s="20"/>
      <c r="P4708" s="20"/>
      <c r="Q4708" s="20"/>
      <c r="R4708" s="20"/>
      <c r="S4708" s="20"/>
    </row>
    <row r="4709">
      <c r="A4709" s="10"/>
      <c r="B4709" s="11"/>
      <c r="C4709" s="10"/>
      <c r="D4709" s="13"/>
      <c r="E4709" s="14"/>
      <c r="F4709" s="14"/>
      <c r="G4709" s="14"/>
      <c r="H4709" s="10"/>
      <c r="I4709" s="10"/>
      <c r="J4709" s="10"/>
      <c r="K4709" s="46"/>
      <c r="L4709" s="10"/>
      <c r="M4709" s="44" t="s">
        <v>10178</v>
      </c>
      <c r="N4709" s="45"/>
      <c r="O4709" s="20"/>
      <c r="P4709" s="20"/>
      <c r="Q4709" s="20"/>
      <c r="R4709" s="20"/>
      <c r="S4709" s="20"/>
    </row>
    <row r="4710">
      <c r="A4710" s="23"/>
      <c r="B4710" s="21"/>
      <c r="C4710" s="23"/>
      <c r="D4710" s="24"/>
      <c r="E4710" s="14"/>
      <c r="F4710" s="14"/>
      <c r="G4710" s="14"/>
      <c r="H4710" s="23"/>
      <c r="I4710" s="23"/>
      <c r="J4710" s="23"/>
      <c r="K4710" s="30"/>
      <c r="L4710" s="23"/>
      <c r="M4710" s="50" t="s">
        <v>10178</v>
      </c>
      <c r="N4710" s="51"/>
      <c r="O4710" s="20"/>
      <c r="P4710" s="20"/>
      <c r="Q4710" s="20"/>
      <c r="R4710" s="20"/>
      <c r="S4710" s="20"/>
    </row>
    <row r="4711">
      <c r="A4711" s="10"/>
      <c r="B4711" s="11"/>
      <c r="C4711" s="10"/>
      <c r="D4711" s="13"/>
      <c r="E4711" s="14"/>
      <c r="F4711" s="14"/>
      <c r="G4711" s="14"/>
      <c r="H4711" s="10"/>
      <c r="I4711" s="10"/>
      <c r="J4711" s="10"/>
      <c r="K4711" s="46"/>
      <c r="L4711" s="10"/>
      <c r="M4711" s="44" t="s">
        <v>10178</v>
      </c>
      <c r="N4711" s="45"/>
      <c r="O4711" s="20"/>
      <c r="P4711" s="20"/>
      <c r="Q4711" s="20"/>
      <c r="R4711" s="20"/>
      <c r="S4711" s="20"/>
    </row>
    <row r="4712">
      <c r="A4712" s="23"/>
      <c r="B4712" s="21"/>
      <c r="C4712" s="23"/>
      <c r="D4712" s="24"/>
      <c r="E4712" s="14"/>
      <c r="F4712" s="14"/>
      <c r="G4712" s="14"/>
      <c r="H4712" s="23"/>
      <c r="I4712" s="23"/>
      <c r="J4712" s="23"/>
      <c r="K4712" s="30"/>
      <c r="L4712" s="23"/>
      <c r="M4712" s="50" t="s">
        <v>10178</v>
      </c>
      <c r="N4712" s="51"/>
      <c r="O4712" s="20"/>
      <c r="P4712" s="20"/>
      <c r="Q4712" s="20"/>
      <c r="R4712" s="20"/>
      <c r="S4712" s="20"/>
    </row>
    <row r="4713">
      <c r="A4713" s="10"/>
      <c r="B4713" s="11"/>
      <c r="C4713" s="10"/>
      <c r="D4713" s="13"/>
      <c r="E4713" s="14"/>
      <c r="F4713" s="14"/>
      <c r="G4713" s="14"/>
      <c r="H4713" s="10"/>
      <c r="I4713" s="10"/>
      <c r="J4713" s="10"/>
      <c r="K4713" s="46"/>
      <c r="L4713" s="10"/>
      <c r="M4713" s="44" t="s">
        <v>10178</v>
      </c>
      <c r="N4713" s="45"/>
      <c r="O4713" s="20"/>
      <c r="P4713" s="20"/>
      <c r="Q4713" s="20"/>
      <c r="R4713" s="20"/>
      <c r="S4713" s="20"/>
    </row>
    <row r="4714">
      <c r="A4714" s="23"/>
      <c r="B4714" s="21"/>
      <c r="C4714" s="23"/>
      <c r="D4714" s="24"/>
      <c r="E4714" s="14"/>
      <c r="F4714" s="14"/>
      <c r="G4714" s="14"/>
      <c r="H4714" s="23"/>
      <c r="I4714" s="23"/>
      <c r="J4714" s="23"/>
      <c r="K4714" s="30"/>
      <c r="L4714" s="23"/>
      <c r="M4714" s="50" t="s">
        <v>10178</v>
      </c>
      <c r="N4714" s="51"/>
      <c r="O4714" s="20"/>
      <c r="P4714" s="20"/>
      <c r="Q4714" s="20"/>
      <c r="R4714" s="20"/>
      <c r="S4714" s="20"/>
    </row>
    <row r="4715">
      <c r="A4715" s="10"/>
      <c r="B4715" s="11"/>
      <c r="C4715" s="10"/>
      <c r="D4715" s="13"/>
      <c r="E4715" s="14"/>
      <c r="F4715" s="14"/>
      <c r="G4715" s="14"/>
      <c r="H4715" s="10"/>
      <c r="I4715" s="10"/>
      <c r="J4715" s="10"/>
      <c r="K4715" s="46"/>
      <c r="L4715" s="10"/>
      <c r="M4715" s="44" t="s">
        <v>10178</v>
      </c>
      <c r="N4715" s="45"/>
      <c r="O4715" s="20"/>
      <c r="P4715" s="20"/>
      <c r="Q4715" s="20"/>
      <c r="R4715" s="20"/>
      <c r="S4715" s="20"/>
    </row>
    <row r="4716">
      <c r="A4716" s="23"/>
      <c r="B4716" s="21"/>
      <c r="C4716" s="23"/>
      <c r="D4716" s="24"/>
      <c r="E4716" s="14"/>
      <c r="F4716" s="14"/>
      <c r="G4716" s="14"/>
      <c r="H4716" s="23"/>
      <c r="I4716" s="23"/>
      <c r="J4716" s="23"/>
      <c r="K4716" s="30"/>
      <c r="L4716" s="23"/>
      <c r="M4716" s="50" t="s">
        <v>10178</v>
      </c>
      <c r="N4716" s="51"/>
      <c r="O4716" s="20"/>
      <c r="P4716" s="20"/>
      <c r="Q4716" s="20"/>
      <c r="R4716" s="20"/>
      <c r="S4716" s="20"/>
    </row>
    <row r="4717">
      <c r="A4717" s="10"/>
      <c r="B4717" s="11"/>
      <c r="C4717" s="10"/>
      <c r="D4717" s="13"/>
      <c r="E4717" s="14"/>
      <c r="F4717" s="14"/>
      <c r="G4717" s="14"/>
      <c r="H4717" s="10"/>
      <c r="I4717" s="10"/>
      <c r="J4717" s="10"/>
      <c r="K4717" s="46"/>
      <c r="L4717" s="10"/>
      <c r="M4717" s="44" t="s">
        <v>10178</v>
      </c>
      <c r="N4717" s="45"/>
      <c r="O4717" s="20"/>
      <c r="P4717" s="20"/>
      <c r="Q4717" s="20"/>
      <c r="R4717" s="20"/>
      <c r="S4717" s="20"/>
    </row>
    <row r="4718">
      <c r="A4718" s="23"/>
      <c r="B4718" s="21"/>
      <c r="C4718" s="23"/>
      <c r="D4718" s="24"/>
      <c r="E4718" s="14"/>
      <c r="F4718" s="14"/>
      <c r="G4718" s="14"/>
      <c r="H4718" s="23"/>
      <c r="I4718" s="23"/>
      <c r="J4718" s="23"/>
      <c r="K4718" s="30"/>
      <c r="L4718" s="23"/>
      <c r="M4718" s="50" t="s">
        <v>10178</v>
      </c>
      <c r="N4718" s="51"/>
      <c r="O4718" s="20"/>
      <c r="P4718" s="20"/>
      <c r="Q4718" s="20"/>
      <c r="R4718" s="20"/>
      <c r="S4718" s="20"/>
    </row>
    <row r="4719">
      <c r="A4719" s="10"/>
      <c r="B4719" s="11"/>
      <c r="C4719" s="10"/>
      <c r="D4719" s="13"/>
      <c r="E4719" s="14"/>
      <c r="F4719" s="14"/>
      <c r="G4719" s="14"/>
      <c r="H4719" s="10"/>
      <c r="I4719" s="10"/>
      <c r="J4719" s="10"/>
      <c r="K4719" s="46"/>
      <c r="L4719" s="10"/>
      <c r="M4719" s="44" t="s">
        <v>10178</v>
      </c>
      <c r="N4719" s="45"/>
      <c r="O4719" s="20"/>
      <c r="P4719" s="20"/>
      <c r="Q4719" s="20"/>
      <c r="R4719" s="20"/>
      <c r="S4719" s="20"/>
    </row>
    <row r="4720">
      <c r="A4720" s="23"/>
      <c r="B4720" s="21"/>
      <c r="C4720" s="23"/>
      <c r="D4720" s="24"/>
      <c r="E4720" s="14"/>
      <c r="F4720" s="14"/>
      <c r="G4720" s="14"/>
      <c r="H4720" s="23"/>
      <c r="I4720" s="23"/>
      <c r="J4720" s="23"/>
      <c r="K4720" s="30"/>
      <c r="L4720" s="23"/>
      <c r="M4720" s="50" t="s">
        <v>10178</v>
      </c>
      <c r="N4720" s="51"/>
      <c r="O4720" s="20"/>
      <c r="P4720" s="20"/>
      <c r="Q4720" s="20"/>
      <c r="R4720" s="20"/>
      <c r="S4720" s="20"/>
    </row>
    <row r="4721">
      <c r="A4721" s="10"/>
      <c r="B4721" s="11"/>
      <c r="C4721" s="10"/>
      <c r="D4721" s="13"/>
      <c r="E4721" s="14"/>
      <c r="F4721" s="14"/>
      <c r="G4721" s="14"/>
      <c r="H4721" s="10"/>
      <c r="I4721" s="10"/>
      <c r="J4721" s="10"/>
      <c r="K4721" s="46"/>
      <c r="L4721" s="10"/>
      <c r="M4721" s="44" t="s">
        <v>10178</v>
      </c>
      <c r="N4721" s="45"/>
      <c r="O4721" s="20"/>
      <c r="P4721" s="20"/>
      <c r="Q4721" s="20"/>
      <c r="R4721" s="20"/>
      <c r="S4721" s="20"/>
    </row>
    <row r="4722">
      <c r="A4722" s="23"/>
      <c r="B4722" s="21"/>
      <c r="C4722" s="23"/>
      <c r="D4722" s="24"/>
      <c r="E4722" s="14"/>
      <c r="F4722" s="14"/>
      <c r="G4722" s="14"/>
      <c r="H4722" s="23"/>
      <c r="I4722" s="23"/>
      <c r="J4722" s="23"/>
      <c r="K4722" s="30"/>
      <c r="L4722" s="23"/>
      <c r="M4722" s="50" t="s">
        <v>10178</v>
      </c>
      <c r="N4722" s="51"/>
      <c r="O4722" s="20"/>
      <c r="P4722" s="20"/>
      <c r="Q4722" s="20"/>
      <c r="R4722" s="20"/>
      <c r="S4722" s="20"/>
    </row>
    <row r="4723">
      <c r="A4723" s="10"/>
      <c r="B4723" s="11"/>
      <c r="C4723" s="10"/>
      <c r="D4723" s="13"/>
      <c r="E4723" s="14"/>
      <c r="F4723" s="14"/>
      <c r="G4723" s="14"/>
      <c r="H4723" s="10"/>
      <c r="I4723" s="10"/>
      <c r="J4723" s="10"/>
      <c r="K4723" s="46"/>
      <c r="L4723" s="10"/>
      <c r="M4723" s="44" t="s">
        <v>10178</v>
      </c>
      <c r="N4723" s="45"/>
      <c r="O4723" s="20"/>
      <c r="P4723" s="20"/>
      <c r="Q4723" s="20"/>
      <c r="R4723" s="20"/>
      <c r="S4723" s="20"/>
    </row>
    <row r="4724">
      <c r="A4724" s="23"/>
      <c r="B4724" s="21"/>
      <c r="C4724" s="23"/>
      <c r="D4724" s="24"/>
      <c r="E4724" s="14"/>
      <c r="F4724" s="14"/>
      <c r="G4724" s="14"/>
      <c r="H4724" s="23"/>
      <c r="I4724" s="23"/>
      <c r="J4724" s="23"/>
      <c r="K4724" s="30"/>
      <c r="L4724" s="23"/>
      <c r="M4724" s="50" t="s">
        <v>10178</v>
      </c>
      <c r="N4724" s="51"/>
      <c r="O4724" s="20"/>
      <c r="P4724" s="20"/>
      <c r="Q4724" s="20"/>
      <c r="R4724" s="20"/>
      <c r="S4724" s="20"/>
    </row>
    <row r="4725">
      <c r="A4725" s="10"/>
      <c r="B4725" s="11"/>
      <c r="C4725" s="10"/>
      <c r="D4725" s="13"/>
      <c r="E4725" s="14"/>
      <c r="F4725" s="14"/>
      <c r="G4725" s="14"/>
      <c r="H4725" s="10"/>
      <c r="I4725" s="10"/>
      <c r="J4725" s="10"/>
      <c r="K4725" s="46"/>
      <c r="L4725" s="10"/>
      <c r="M4725" s="44" t="s">
        <v>10178</v>
      </c>
      <c r="N4725" s="45"/>
      <c r="O4725" s="20"/>
      <c r="P4725" s="20"/>
      <c r="Q4725" s="20"/>
      <c r="R4725" s="20"/>
      <c r="S4725" s="20"/>
    </row>
    <row r="4726">
      <c r="A4726" s="23"/>
      <c r="B4726" s="21"/>
      <c r="C4726" s="23"/>
      <c r="D4726" s="24"/>
      <c r="E4726" s="14"/>
      <c r="F4726" s="14"/>
      <c r="G4726" s="14"/>
      <c r="H4726" s="23"/>
      <c r="I4726" s="23"/>
      <c r="J4726" s="23"/>
      <c r="K4726" s="30"/>
      <c r="L4726" s="23"/>
      <c r="M4726" s="50" t="s">
        <v>10178</v>
      </c>
      <c r="N4726" s="51"/>
      <c r="O4726" s="20"/>
      <c r="P4726" s="20"/>
      <c r="Q4726" s="20"/>
      <c r="R4726" s="20"/>
      <c r="S4726" s="20"/>
    </row>
    <row r="4727">
      <c r="A4727" s="10"/>
      <c r="B4727" s="11"/>
      <c r="C4727" s="10"/>
      <c r="D4727" s="13"/>
      <c r="E4727" s="14"/>
      <c r="F4727" s="14"/>
      <c r="G4727" s="14"/>
      <c r="H4727" s="10"/>
      <c r="I4727" s="10"/>
      <c r="J4727" s="10"/>
      <c r="K4727" s="46"/>
      <c r="L4727" s="10"/>
      <c r="M4727" s="44" t="s">
        <v>10178</v>
      </c>
      <c r="N4727" s="45"/>
      <c r="O4727" s="20"/>
      <c r="P4727" s="20"/>
      <c r="Q4727" s="20"/>
      <c r="R4727" s="20"/>
      <c r="S4727" s="20"/>
    </row>
    <row r="4728">
      <c r="A4728" s="23"/>
      <c r="B4728" s="21"/>
      <c r="C4728" s="23"/>
      <c r="D4728" s="24"/>
      <c r="E4728" s="14"/>
      <c r="F4728" s="14"/>
      <c r="G4728" s="14"/>
      <c r="H4728" s="23"/>
      <c r="I4728" s="23"/>
      <c r="J4728" s="23"/>
      <c r="K4728" s="30"/>
      <c r="L4728" s="23"/>
      <c r="M4728" s="50" t="s">
        <v>10178</v>
      </c>
      <c r="N4728" s="51"/>
      <c r="O4728" s="20"/>
      <c r="P4728" s="20"/>
      <c r="Q4728" s="20"/>
      <c r="R4728" s="20"/>
      <c r="S4728" s="20"/>
    </row>
    <row r="4729">
      <c r="A4729" s="10"/>
      <c r="B4729" s="11"/>
      <c r="C4729" s="10"/>
      <c r="D4729" s="13"/>
      <c r="E4729" s="14"/>
      <c r="F4729" s="14"/>
      <c r="G4729" s="14"/>
      <c r="H4729" s="10"/>
      <c r="I4729" s="10"/>
      <c r="J4729" s="10"/>
      <c r="K4729" s="46"/>
      <c r="L4729" s="10"/>
      <c r="M4729" s="44" t="s">
        <v>10178</v>
      </c>
      <c r="N4729" s="45"/>
      <c r="O4729" s="20"/>
      <c r="P4729" s="20"/>
      <c r="Q4729" s="20"/>
      <c r="R4729" s="20"/>
      <c r="S4729" s="20"/>
    </row>
    <row r="4730">
      <c r="A4730" s="23"/>
      <c r="B4730" s="21"/>
      <c r="C4730" s="23"/>
      <c r="D4730" s="24"/>
      <c r="E4730" s="14"/>
      <c r="F4730" s="14"/>
      <c r="G4730" s="14"/>
      <c r="H4730" s="23"/>
      <c r="I4730" s="23"/>
      <c r="J4730" s="23"/>
      <c r="K4730" s="30"/>
      <c r="L4730" s="23"/>
      <c r="M4730" s="50" t="s">
        <v>10178</v>
      </c>
      <c r="N4730" s="51"/>
      <c r="O4730" s="20"/>
      <c r="P4730" s="20"/>
      <c r="Q4730" s="20"/>
      <c r="R4730" s="20"/>
      <c r="S4730" s="20"/>
    </row>
    <row r="4731">
      <c r="A4731" s="10"/>
      <c r="B4731" s="11"/>
      <c r="C4731" s="10"/>
      <c r="D4731" s="13"/>
      <c r="E4731" s="14"/>
      <c r="F4731" s="14"/>
      <c r="G4731" s="14"/>
      <c r="H4731" s="10"/>
      <c r="I4731" s="10"/>
      <c r="J4731" s="10"/>
      <c r="K4731" s="46"/>
      <c r="L4731" s="10"/>
      <c r="M4731" s="44" t="s">
        <v>10178</v>
      </c>
      <c r="N4731" s="45"/>
      <c r="O4731" s="20"/>
      <c r="P4731" s="20"/>
      <c r="Q4731" s="20"/>
      <c r="R4731" s="20"/>
      <c r="S4731" s="20"/>
    </row>
    <row r="4732">
      <c r="A4732" s="23"/>
      <c r="B4732" s="21"/>
      <c r="C4732" s="23"/>
      <c r="D4732" s="24"/>
      <c r="E4732" s="14"/>
      <c r="F4732" s="14"/>
      <c r="G4732" s="14"/>
      <c r="H4732" s="23"/>
      <c r="I4732" s="23"/>
      <c r="J4732" s="23"/>
      <c r="K4732" s="30"/>
      <c r="L4732" s="23"/>
      <c r="M4732" s="50" t="s">
        <v>10178</v>
      </c>
      <c r="N4732" s="51"/>
      <c r="O4732" s="20"/>
      <c r="P4732" s="20"/>
      <c r="Q4732" s="20"/>
      <c r="R4732" s="20"/>
      <c r="S4732" s="20"/>
    </row>
    <row r="4733">
      <c r="A4733" s="10"/>
      <c r="B4733" s="11"/>
      <c r="C4733" s="10"/>
      <c r="D4733" s="13"/>
      <c r="E4733" s="14"/>
      <c r="F4733" s="14"/>
      <c r="G4733" s="14"/>
      <c r="H4733" s="10"/>
      <c r="I4733" s="10"/>
      <c r="J4733" s="10"/>
      <c r="K4733" s="46"/>
      <c r="L4733" s="10"/>
      <c r="M4733" s="44" t="s">
        <v>10178</v>
      </c>
      <c r="N4733" s="45"/>
      <c r="O4733" s="20"/>
      <c r="P4733" s="20"/>
      <c r="Q4733" s="20"/>
      <c r="R4733" s="20"/>
      <c r="S4733" s="20"/>
    </row>
    <row r="4734">
      <c r="A4734" s="23"/>
      <c r="B4734" s="21"/>
      <c r="C4734" s="23"/>
      <c r="D4734" s="24"/>
      <c r="E4734" s="14"/>
      <c r="F4734" s="14"/>
      <c r="G4734" s="14"/>
      <c r="H4734" s="23"/>
      <c r="I4734" s="23"/>
      <c r="J4734" s="23"/>
      <c r="K4734" s="30"/>
      <c r="L4734" s="23"/>
      <c r="M4734" s="50" t="s">
        <v>10178</v>
      </c>
      <c r="N4734" s="51"/>
      <c r="O4734" s="20"/>
      <c r="P4734" s="20"/>
      <c r="Q4734" s="20"/>
      <c r="R4734" s="20"/>
      <c r="S4734" s="20"/>
    </row>
    <row r="4735">
      <c r="A4735" s="10"/>
      <c r="B4735" s="11"/>
      <c r="C4735" s="10"/>
      <c r="D4735" s="13"/>
      <c r="E4735" s="14"/>
      <c r="F4735" s="14"/>
      <c r="G4735" s="14"/>
      <c r="H4735" s="10"/>
      <c r="I4735" s="10"/>
      <c r="J4735" s="10"/>
      <c r="K4735" s="46"/>
      <c r="L4735" s="10"/>
      <c r="M4735" s="44" t="s">
        <v>10178</v>
      </c>
      <c r="N4735" s="45"/>
      <c r="O4735" s="20"/>
      <c r="P4735" s="20"/>
      <c r="Q4735" s="20"/>
      <c r="R4735" s="20"/>
      <c r="S4735" s="20"/>
    </row>
    <row r="4736">
      <c r="A4736" s="23"/>
      <c r="B4736" s="21"/>
      <c r="C4736" s="23"/>
      <c r="D4736" s="24"/>
      <c r="E4736" s="14"/>
      <c r="F4736" s="14"/>
      <c r="G4736" s="14"/>
      <c r="H4736" s="23"/>
      <c r="I4736" s="23"/>
      <c r="J4736" s="23"/>
      <c r="K4736" s="30"/>
      <c r="L4736" s="23"/>
      <c r="M4736" s="50" t="s">
        <v>10178</v>
      </c>
      <c r="N4736" s="51"/>
      <c r="O4736" s="20"/>
      <c r="P4736" s="20"/>
      <c r="Q4736" s="20"/>
      <c r="R4736" s="20"/>
      <c r="S4736" s="20"/>
    </row>
    <row r="4737">
      <c r="A4737" s="10"/>
      <c r="B4737" s="11"/>
      <c r="C4737" s="10"/>
      <c r="D4737" s="13"/>
      <c r="E4737" s="14"/>
      <c r="F4737" s="14"/>
      <c r="G4737" s="14"/>
      <c r="H4737" s="10"/>
      <c r="I4737" s="10"/>
      <c r="J4737" s="10"/>
      <c r="K4737" s="46"/>
      <c r="L4737" s="10"/>
      <c r="M4737" s="44" t="s">
        <v>10178</v>
      </c>
      <c r="N4737" s="45"/>
      <c r="O4737" s="20"/>
      <c r="P4737" s="20"/>
      <c r="Q4737" s="20"/>
      <c r="R4737" s="20"/>
      <c r="S4737" s="20"/>
    </row>
    <row r="4738">
      <c r="A4738" s="23"/>
      <c r="B4738" s="21"/>
      <c r="C4738" s="23"/>
      <c r="D4738" s="24"/>
      <c r="E4738" s="14"/>
      <c r="F4738" s="14"/>
      <c r="G4738" s="14"/>
      <c r="H4738" s="23"/>
      <c r="I4738" s="23"/>
      <c r="J4738" s="23"/>
      <c r="K4738" s="30"/>
      <c r="L4738" s="23"/>
      <c r="M4738" s="50" t="s">
        <v>10178</v>
      </c>
      <c r="N4738" s="51"/>
      <c r="O4738" s="20"/>
      <c r="P4738" s="20"/>
      <c r="Q4738" s="20"/>
      <c r="R4738" s="20"/>
      <c r="S4738" s="20"/>
    </row>
    <row r="4739">
      <c r="A4739" s="10"/>
      <c r="B4739" s="11"/>
      <c r="C4739" s="10"/>
      <c r="D4739" s="13"/>
      <c r="E4739" s="14"/>
      <c r="F4739" s="14"/>
      <c r="G4739" s="14"/>
      <c r="H4739" s="10"/>
      <c r="I4739" s="10"/>
      <c r="J4739" s="10"/>
      <c r="K4739" s="46"/>
      <c r="L4739" s="10"/>
      <c r="M4739" s="44" t="s">
        <v>10178</v>
      </c>
      <c r="N4739" s="45"/>
      <c r="O4739" s="20"/>
      <c r="P4739" s="20"/>
      <c r="Q4739" s="20"/>
      <c r="R4739" s="20"/>
      <c r="S4739" s="20"/>
    </row>
    <row r="4740">
      <c r="A4740" s="23"/>
      <c r="B4740" s="21"/>
      <c r="C4740" s="23"/>
      <c r="D4740" s="24"/>
      <c r="E4740" s="14"/>
      <c r="F4740" s="14"/>
      <c r="G4740" s="14"/>
      <c r="H4740" s="23"/>
      <c r="I4740" s="23"/>
      <c r="J4740" s="23"/>
      <c r="K4740" s="30"/>
      <c r="L4740" s="23"/>
      <c r="M4740" s="50" t="s">
        <v>10178</v>
      </c>
      <c r="N4740" s="51"/>
      <c r="O4740" s="20"/>
      <c r="P4740" s="20"/>
      <c r="Q4740" s="20"/>
      <c r="R4740" s="20"/>
      <c r="S4740" s="20"/>
    </row>
    <row r="4741">
      <c r="A4741" s="10"/>
      <c r="B4741" s="11"/>
      <c r="C4741" s="10"/>
      <c r="D4741" s="13"/>
      <c r="E4741" s="14"/>
      <c r="F4741" s="14"/>
      <c r="G4741" s="14"/>
      <c r="H4741" s="10"/>
      <c r="I4741" s="10"/>
      <c r="J4741" s="10"/>
      <c r="K4741" s="46"/>
      <c r="L4741" s="10"/>
      <c r="M4741" s="44" t="s">
        <v>10178</v>
      </c>
      <c r="N4741" s="45"/>
      <c r="O4741" s="20"/>
      <c r="P4741" s="20"/>
      <c r="Q4741" s="20"/>
      <c r="R4741" s="20"/>
      <c r="S4741" s="20"/>
    </row>
    <row r="4742">
      <c r="A4742" s="23"/>
      <c r="B4742" s="21"/>
      <c r="C4742" s="23"/>
      <c r="D4742" s="24"/>
      <c r="E4742" s="14"/>
      <c r="F4742" s="14"/>
      <c r="G4742" s="14"/>
      <c r="H4742" s="23"/>
      <c r="I4742" s="23"/>
      <c r="J4742" s="23"/>
      <c r="K4742" s="30"/>
      <c r="L4742" s="23"/>
      <c r="M4742" s="50" t="s">
        <v>10178</v>
      </c>
      <c r="N4742" s="51"/>
      <c r="O4742" s="20"/>
      <c r="P4742" s="20"/>
      <c r="Q4742" s="20"/>
      <c r="R4742" s="20"/>
      <c r="S4742" s="20"/>
    </row>
    <row r="4743">
      <c r="A4743" s="10"/>
      <c r="B4743" s="11"/>
      <c r="C4743" s="10"/>
      <c r="D4743" s="13"/>
      <c r="E4743" s="14"/>
      <c r="F4743" s="14"/>
      <c r="G4743" s="14"/>
      <c r="H4743" s="10"/>
      <c r="I4743" s="10"/>
      <c r="J4743" s="10"/>
      <c r="K4743" s="46"/>
      <c r="L4743" s="10"/>
      <c r="M4743" s="44" t="s">
        <v>10178</v>
      </c>
      <c r="N4743" s="45"/>
      <c r="O4743" s="20"/>
      <c r="P4743" s="20"/>
      <c r="Q4743" s="20"/>
      <c r="R4743" s="20"/>
      <c r="S4743" s="20"/>
    </row>
    <row r="4744">
      <c r="A4744" s="23"/>
      <c r="B4744" s="21"/>
      <c r="C4744" s="23"/>
      <c r="D4744" s="24"/>
      <c r="E4744" s="14"/>
      <c r="F4744" s="14"/>
      <c r="G4744" s="14"/>
      <c r="H4744" s="23"/>
      <c r="I4744" s="23"/>
      <c r="J4744" s="23"/>
      <c r="K4744" s="30"/>
      <c r="L4744" s="23"/>
      <c r="M4744" s="50" t="s">
        <v>10178</v>
      </c>
      <c r="N4744" s="51"/>
      <c r="O4744" s="20"/>
      <c r="P4744" s="20"/>
      <c r="Q4744" s="20"/>
      <c r="R4744" s="20"/>
      <c r="S4744" s="20"/>
    </row>
    <row r="4745">
      <c r="A4745" s="10"/>
      <c r="B4745" s="11"/>
      <c r="C4745" s="10"/>
      <c r="D4745" s="13"/>
      <c r="E4745" s="14"/>
      <c r="F4745" s="14"/>
      <c r="G4745" s="14"/>
      <c r="H4745" s="10"/>
      <c r="I4745" s="10"/>
      <c r="J4745" s="10"/>
      <c r="K4745" s="46"/>
      <c r="L4745" s="10"/>
      <c r="M4745" s="44" t="s">
        <v>10178</v>
      </c>
      <c r="N4745" s="45"/>
      <c r="O4745" s="20"/>
      <c r="P4745" s="20"/>
      <c r="Q4745" s="20"/>
      <c r="R4745" s="20"/>
      <c r="S4745" s="20"/>
    </row>
    <row r="4746">
      <c r="A4746" s="23"/>
      <c r="B4746" s="21"/>
      <c r="C4746" s="23"/>
      <c r="D4746" s="24"/>
      <c r="E4746" s="14"/>
      <c r="F4746" s="14"/>
      <c r="G4746" s="14"/>
      <c r="H4746" s="23"/>
      <c r="I4746" s="23"/>
      <c r="J4746" s="23"/>
      <c r="K4746" s="30"/>
      <c r="L4746" s="23"/>
      <c r="M4746" s="50" t="s">
        <v>10178</v>
      </c>
      <c r="N4746" s="51"/>
      <c r="O4746" s="20"/>
      <c r="P4746" s="20"/>
      <c r="Q4746" s="20"/>
      <c r="R4746" s="20"/>
      <c r="S4746" s="20"/>
    </row>
    <row r="4747">
      <c r="A4747" s="10"/>
      <c r="B4747" s="11"/>
      <c r="C4747" s="10"/>
      <c r="D4747" s="13"/>
      <c r="E4747" s="14"/>
      <c r="F4747" s="14"/>
      <c r="G4747" s="14"/>
      <c r="H4747" s="10"/>
      <c r="I4747" s="10"/>
      <c r="J4747" s="10"/>
      <c r="K4747" s="46"/>
      <c r="L4747" s="10"/>
      <c r="M4747" s="44" t="s">
        <v>10178</v>
      </c>
      <c r="N4747" s="45"/>
      <c r="O4747" s="20"/>
      <c r="P4747" s="20"/>
      <c r="Q4747" s="20"/>
      <c r="R4747" s="20"/>
      <c r="S4747" s="20"/>
    </row>
    <row r="4748">
      <c r="A4748" s="23"/>
      <c r="B4748" s="21"/>
      <c r="C4748" s="23"/>
      <c r="D4748" s="24"/>
      <c r="E4748" s="14"/>
      <c r="F4748" s="14"/>
      <c r="G4748" s="14"/>
      <c r="H4748" s="23"/>
      <c r="I4748" s="23"/>
      <c r="J4748" s="23"/>
      <c r="K4748" s="30"/>
      <c r="L4748" s="23"/>
      <c r="M4748" s="50" t="s">
        <v>10178</v>
      </c>
      <c r="N4748" s="51"/>
      <c r="O4748" s="20"/>
      <c r="P4748" s="20"/>
      <c r="Q4748" s="20"/>
      <c r="R4748" s="20"/>
      <c r="S4748" s="20"/>
    </row>
    <row r="4749">
      <c r="A4749" s="10"/>
      <c r="B4749" s="11"/>
      <c r="C4749" s="10"/>
      <c r="D4749" s="13"/>
      <c r="E4749" s="14"/>
      <c r="F4749" s="14"/>
      <c r="G4749" s="14"/>
      <c r="H4749" s="10"/>
      <c r="I4749" s="10"/>
      <c r="J4749" s="10"/>
      <c r="K4749" s="46"/>
      <c r="L4749" s="10"/>
      <c r="M4749" s="44" t="s">
        <v>10178</v>
      </c>
      <c r="N4749" s="45"/>
      <c r="O4749" s="20"/>
      <c r="P4749" s="20"/>
      <c r="Q4749" s="20"/>
      <c r="R4749" s="20"/>
      <c r="S4749" s="20"/>
    </row>
    <row r="4750">
      <c r="A4750" s="23"/>
      <c r="B4750" s="21"/>
      <c r="C4750" s="23"/>
      <c r="D4750" s="24"/>
      <c r="E4750" s="14"/>
      <c r="F4750" s="14"/>
      <c r="G4750" s="14"/>
      <c r="H4750" s="23"/>
      <c r="I4750" s="23"/>
      <c r="J4750" s="23"/>
      <c r="K4750" s="30"/>
      <c r="L4750" s="23"/>
      <c r="M4750" s="50" t="s">
        <v>10178</v>
      </c>
      <c r="N4750" s="51"/>
      <c r="O4750" s="20"/>
      <c r="P4750" s="20"/>
      <c r="Q4750" s="20"/>
      <c r="R4750" s="20"/>
      <c r="S4750" s="20"/>
    </row>
    <row r="4751">
      <c r="A4751" s="10"/>
      <c r="B4751" s="11"/>
      <c r="C4751" s="10"/>
      <c r="D4751" s="13"/>
      <c r="E4751" s="14"/>
      <c r="F4751" s="14"/>
      <c r="G4751" s="14"/>
      <c r="H4751" s="10"/>
      <c r="I4751" s="10"/>
      <c r="J4751" s="10"/>
      <c r="K4751" s="46"/>
      <c r="L4751" s="10"/>
      <c r="M4751" s="44" t="s">
        <v>10178</v>
      </c>
      <c r="N4751" s="45"/>
      <c r="O4751" s="20"/>
      <c r="P4751" s="20"/>
      <c r="Q4751" s="20"/>
      <c r="R4751" s="20"/>
      <c r="S4751" s="20"/>
    </row>
    <row r="4752">
      <c r="A4752" s="23"/>
      <c r="B4752" s="21"/>
      <c r="C4752" s="23"/>
      <c r="D4752" s="24"/>
      <c r="E4752" s="14"/>
      <c r="F4752" s="14"/>
      <c r="G4752" s="14"/>
      <c r="H4752" s="23"/>
      <c r="I4752" s="23"/>
      <c r="J4752" s="23"/>
      <c r="K4752" s="30"/>
      <c r="L4752" s="23"/>
      <c r="M4752" s="50" t="s">
        <v>10178</v>
      </c>
      <c r="N4752" s="51"/>
      <c r="O4752" s="20"/>
      <c r="P4752" s="20"/>
      <c r="Q4752" s="20"/>
      <c r="R4752" s="20"/>
      <c r="S4752" s="20"/>
    </row>
    <row r="4753">
      <c r="A4753" s="10"/>
      <c r="B4753" s="11"/>
      <c r="C4753" s="10"/>
      <c r="D4753" s="13"/>
      <c r="E4753" s="14"/>
      <c r="F4753" s="14"/>
      <c r="G4753" s="14"/>
      <c r="H4753" s="10"/>
      <c r="I4753" s="10"/>
      <c r="J4753" s="10"/>
      <c r="K4753" s="46"/>
      <c r="L4753" s="10"/>
      <c r="M4753" s="44" t="s">
        <v>10178</v>
      </c>
      <c r="N4753" s="45"/>
      <c r="O4753" s="20"/>
      <c r="P4753" s="20"/>
      <c r="Q4753" s="20"/>
      <c r="R4753" s="20"/>
      <c r="S4753" s="20"/>
    </row>
    <row r="4754">
      <c r="A4754" s="23"/>
      <c r="B4754" s="21"/>
      <c r="C4754" s="23"/>
      <c r="D4754" s="24"/>
      <c r="E4754" s="14"/>
      <c r="F4754" s="14"/>
      <c r="G4754" s="14"/>
      <c r="H4754" s="23"/>
      <c r="I4754" s="23"/>
      <c r="J4754" s="23"/>
      <c r="K4754" s="30"/>
      <c r="L4754" s="23"/>
      <c r="M4754" s="50" t="s">
        <v>10178</v>
      </c>
      <c r="N4754" s="51"/>
      <c r="O4754" s="20"/>
      <c r="P4754" s="20"/>
      <c r="Q4754" s="20"/>
      <c r="R4754" s="20"/>
      <c r="S4754" s="20"/>
    </row>
    <row r="4755">
      <c r="A4755" s="10"/>
      <c r="B4755" s="11"/>
      <c r="C4755" s="10"/>
      <c r="D4755" s="13"/>
      <c r="E4755" s="14"/>
      <c r="F4755" s="14"/>
      <c r="G4755" s="14"/>
      <c r="H4755" s="10"/>
      <c r="I4755" s="10"/>
      <c r="J4755" s="10"/>
      <c r="K4755" s="46"/>
      <c r="L4755" s="10"/>
      <c r="M4755" s="44" t="s">
        <v>10178</v>
      </c>
      <c r="N4755" s="45"/>
      <c r="O4755" s="20"/>
      <c r="P4755" s="20"/>
      <c r="Q4755" s="20"/>
      <c r="R4755" s="20"/>
      <c r="S4755" s="20"/>
    </row>
    <row r="4756">
      <c r="A4756" s="23"/>
      <c r="B4756" s="21"/>
      <c r="C4756" s="23"/>
      <c r="D4756" s="24"/>
      <c r="E4756" s="14"/>
      <c r="F4756" s="14"/>
      <c r="G4756" s="14"/>
      <c r="H4756" s="23"/>
      <c r="I4756" s="23"/>
      <c r="J4756" s="23"/>
      <c r="K4756" s="30"/>
      <c r="L4756" s="23"/>
      <c r="M4756" s="50" t="s">
        <v>10178</v>
      </c>
      <c r="N4756" s="51"/>
      <c r="O4756" s="20"/>
      <c r="P4756" s="20"/>
      <c r="Q4756" s="20"/>
      <c r="R4756" s="20"/>
      <c r="S4756" s="20"/>
    </row>
    <row r="4757">
      <c r="A4757" s="10"/>
      <c r="B4757" s="11"/>
      <c r="C4757" s="10"/>
      <c r="D4757" s="13"/>
      <c r="E4757" s="14"/>
      <c r="F4757" s="14"/>
      <c r="G4757" s="14"/>
      <c r="H4757" s="10"/>
      <c r="I4757" s="10"/>
      <c r="J4757" s="10"/>
      <c r="K4757" s="46"/>
      <c r="L4757" s="10"/>
      <c r="M4757" s="44" t="s">
        <v>10178</v>
      </c>
      <c r="N4757" s="45"/>
      <c r="O4757" s="20"/>
      <c r="P4757" s="20"/>
      <c r="Q4757" s="20"/>
      <c r="R4757" s="20"/>
      <c r="S4757" s="20"/>
    </row>
    <row r="4758">
      <c r="A4758" s="23"/>
      <c r="B4758" s="21"/>
      <c r="C4758" s="23"/>
      <c r="D4758" s="24"/>
      <c r="E4758" s="14"/>
      <c r="F4758" s="14"/>
      <c r="G4758" s="14"/>
      <c r="H4758" s="23"/>
      <c r="I4758" s="23"/>
      <c r="J4758" s="23"/>
      <c r="K4758" s="30"/>
      <c r="L4758" s="23"/>
      <c r="M4758" s="50" t="s">
        <v>10178</v>
      </c>
      <c r="N4758" s="51"/>
      <c r="O4758" s="20"/>
      <c r="P4758" s="20"/>
      <c r="Q4758" s="20"/>
      <c r="R4758" s="20"/>
      <c r="S4758" s="20"/>
    </row>
    <row r="4759">
      <c r="A4759" s="10"/>
      <c r="B4759" s="11"/>
      <c r="C4759" s="10"/>
      <c r="D4759" s="13"/>
      <c r="E4759" s="14"/>
      <c r="F4759" s="14"/>
      <c r="G4759" s="14"/>
      <c r="H4759" s="10"/>
      <c r="I4759" s="10"/>
      <c r="J4759" s="10"/>
      <c r="K4759" s="46"/>
      <c r="L4759" s="10"/>
      <c r="M4759" s="44" t="s">
        <v>10178</v>
      </c>
      <c r="N4759" s="45"/>
      <c r="O4759" s="20"/>
      <c r="P4759" s="20"/>
      <c r="Q4759" s="20"/>
      <c r="R4759" s="20"/>
      <c r="S4759" s="20"/>
    </row>
    <row r="4760">
      <c r="A4760" s="23"/>
      <c r="B4760" s="21"/>
      <c r="C4760" s="23"/>
      <c r="D4760" s="24"/>
      <c r="E4760" s="14"/>
      <c r="F4760" s="14"/>
      <c r="G4760" s="14"/>
      <c r="H4760" s="23"/>
      <c r="I4760" s="23"/>
      <c r="J4760" s="23"/>
      <c r="K4760" s="30"/>
      <c r="L4760" s="23"/>
      <c r="M4760" s="50" t="s">
        <v>10178</v>
      </c>
      <c r="N4760" s="51"/>
      <c r="O4760" s="20"/>
      <c r="P4760" s="20"/>
      <c r="Q4760" s="20"/>
      <c r="R4760" s="20"/>
      <c r="S4760" s="20"/>
    </row>
    <row r="4761">
      <c r="A4761" s="10"/>
      <c r="B4761" s="11"/>
      <c r="C4761" s="10"/>
      <c r="D4761" s="13"/>
      <c r="E4761" s="14"/>
      <c r="F4761" s="14"/>
      <c r="G4761" s="14"/>
      <c r="H4761" s="10"/>
      <c r="I4761" s="10"/>
      <c r="J4761" s="10"/>
      <c r="K4761" s="46"/>
      <c r="L4761" s="10"/>
      <c r="M4761" s="44" t="s">
        <v>10178</v>
      </c>
      <c r="N4761" s="45"/>
      <c r="O4761" s="20"/>
      <c r="P4761" s="20"/>
      <c r="Q4761" s="20"/>
      <c r="R4761" s="20"/>
      <c r="S4761" s="20"/>
    </row>
    <row r="4762">
      <c r="A4762" s="23"/>
      <c r="B4762" s="21"/>
      <c r="C4762" s="23"/>
      <c r="D4762" s="24"/>
      <c r="E4762" s="14"/>
      <c r="F4762" s="14"/>
      <c r="G4762" s="14"/>
      <c r="H4762" s="23"/>
      <c r="I4762" s="23"/>
      <c r="J4762" s="23"/>
      <c r="K4762" s="30"/>
      <c r="L4762" s="23"/>
      <c r="M4762" s="50" t="s">
        <v>10178</v>
      </c>
      <c r="N4762" s="51"/>
      <c r="O4762" s="20"/>
      <c r="P4762" s="20"/>
      <c r="Q4762" s="20"/>
      <c r="R4762" s="20"/>
      <c r="S4762" s="20"/>
    </row>
    <row r="4763">
      <c r="A4763" s="10"/>
      <c r="B4763" s="11"/>
      <c r="C4763" s="10"/>
      <c r="D4763" s="13"/>
      <c r="E4763" s="14"/>
      <c r="F4763" s="14"/>
      <c r="G4763" s="14"/>
      <c r="H4763" s="10"/>
      <c r="I4763" s="10"/>
      <c r="J4763" s="10"/>
      <c r="K4763" s="46"/>
      <c r="L4763" s="10"/>
      <c r="M4763" s="44" t="s">
        <v>10178</v>
      </c>
      <c r="N4763" s="45"/>
      <c r="O4763" s="20"/>
      <c r="P4763" s="20"/>
      <c r="Q4763" s="20"/>
      <c r="R4763" s="20"/>
      <c r="S4763" s="20"/>
    </row>
    <row r="4764">
      <c r="A4764" s="23"/>
      <c r="B4764" s="21"/>
      <c r="C4764" s="23"/>
      <c r="D4764" s="24"/>
      <c r="E4764" s="14"/>
      <c r="F4764" s="14"/>
      <c r="G4764" s="14"/>
      <c r="H4764" s="23"/>
      <c r="I4764" s="23"/>
      <c r="J4764" s="23"/>
      <c r="K4764" s="30"/>
      <c r="L4764" s="23"/>
      <c r="M4764" s="50" t="s">
        <v>10178</v>
      </c>
      <c r="N4764" s="51"/>
      <c r="O4764" s="20"/>
      <c r="P4764" s="20"/>
      <c r="Q4764" s="20"/>
      <c r="R4764" s="20"/>
      <c r="S4764" s="20"/>
    </row>
    <row r="4765">
      <c r="A4765" s="10"/>
      <c r="B4765" s="11"/>
      <c r="C4765" s="10"/>
      <c r="D4765" s="13"/>
      <c r="E4765" s="14"/>
      <c r="F4765" s="14"/>
      <c r="G4765" s="14"/>
      <c r="H4765" s="10"/>
      <c r="I4765" s="10"/>
      <c r="J4765" s="10"/>
      <c r="K4765" s="46"/>
      <c r="L4765" s="10"/>
      <c r="M4765" s="44" t="s">
        <v>10178</v>
      </c>
      <c r="N4765" s="45"/>
      <c r="O4765" s="20"/>
      <c r="P4765" s="20"/>
      <c r="Q4765" s="20"/>
      <c r="R4765" s="20"/>
      <c r="S4765" s="20"/>
    </row>
    <row r="4766">
      <c r="A4766" s="23"/>
      <c r="B4766" s="21"/>
      <c r="C4766" s="23"/>
      <c r="D4766" s="24"/>
      <c r="E4766" s="14"/>
      <c r="F4766" s="14"/>
      <c r="G4766" s="14"/>
      <c r="H4766" s="23"/>
      <c r="I4766" s="23"/>
      <c r="J4766" s="23"/>
      <c r="K4766" s="30"/>
      <c r="L4766" s="23"/>
      <c r="M4766" s="50" t="s">
        <v>10178</v>
      </c>
      <c r="N4766" s="51"/>
      <c r="O4766" s="20"/>
      <c r="P4766" s="20"/>
      <c r="Q4766" s="20"/>
      <c r="R4766" s="20"/>
      <c r="S4766" s="20"/>
    </row>
    <row r="4767">
      <c r="A4767" s="10"/>
      <c r="B4767" s="11"/>
      <c r="C4767" s="10"/>
      <c r="D4767" s="13"/>
      <c r="E4767" s="14"/>
      <c r="F4767" s="14"/>
      <c r="G4767" s="14"/>
      <c r="H4767" s="10"/>
      <c r="I4767" s="10"/>
      <c r="J4767" s="10"/>
      <c r="K4767" s="46"/>
      <c r="L4767" s="10"/>
      <c r="M4767" s="44" t="s">
        <v>10178</v>
      </c>
      <c r="N4767" s="45"/>
      <c r="O4767" s="20"/>
      <c r="P4767" s="20"/>
      <c r="Q4767" s="20"/>
      <c r="R4767" s="20"/>
      <c r="S4767" s="20"/>
    </row>
    <row r="4768">
      <c r="A4768" s="23"/>
      <c r="B4768" s="21"/>
      <c r="C4768" s="23"/>
      <c r="D4768" s="24"/>
      <c r="E4768" s="14"/>
      <c r="F4768" s="14"/>
      <c r="G4768" s="14"/>
      <c r="H4768" s="23"/>
      <c r="I4768" s="23"/>
      <c r="J4768" s="23"/>
      <c r="K4768" s="30"/>
      <c r="L4768" s="23"/>
      <c r="M4768" s="50" t="s">
        <v>10178</v>
      </c>
      <c r="N4768" s="51"/>
      <c r="O4768" s="20"/>
      <c r="P4768" s="20"/>
      <c r="Q4768" s="20"/>
      <c r="R4768" s="20"/>
      <c r="S4768" s="20"/>
    </row>
    <row r="4769">
      <c r="A4769" s="10"/>
      <c r="B4769" s="11"/>
      <c r="C4769" s="10"/>
      <c r="D4769" s="13"/>
      <c r="E4769" s="14"/>
      <c r="F4769" s="14"/>
      <c r="G4769" s="14"/>
      <c r="H4769" s="10"/>
      <c r="I4769" s="10"/>
      <c r="J4769" s="10"/>
      <c r="K4769" s="46"/>
      <c r="L4769" s="10"/>
      <c r="M4769" s="44" t="s">
        <v>10178</v>
      </c>
      <c r="N4769" s="45"/>
      <c r="O4769" s="20"/>
      <c r="P4769" s="20"/>
      <c r="Q4769" s="20"/>
      <c r="R4769" s="20"/>
      <c r="S4769" s="20"/>
    </row>
    <row r="4770">
      <c r="A4770" s="23"/>
      <c r="B4770" s="21"/>
      <c r="C4770" s="23"/>
      <c r="D4770" s="24"/>
      <c r="E4770" s="14"/>
      <c r="F4770" s="14"/>
      <c r="G4770" s="14"/>
      <c r="H4770" s="23"/>
      <c r="I4770" s="23"/>
      <c r="J4770" s="23"/>
      <c r="K4770" s="30"/>
      <c r="L4770" s="23"/>
      <c r="M4770" s="50" t="s">
        <v>10178</v>
      </c>
      <c r="N4770" s="51"/>
      <c r="O4770" s="20"/>
      <c r="P4770" s="20"/>
      <c r="Q4770" s="20"/>
      <c r="R4770" s="20"/>
      <c r="S4770" s="20"/>
    </row>
    <row r="4771">
      <c r="A4771" s="10"/>
      <c r="B4771" s="11"/>
      <c r="C4771" s="10"/>
      <c r="D4771" s="13"/>
      <c r="E4771" s="14"/>
      <c r="F4771" s="14"/>
      <c r="G4771" s="14"/>
      <c r="H4771" s="10"/>
      <c r="I4771" s="10"/>
      <c r="J4771" s="10"/>
      <c r="K4771" s="46"/>
      <c r="L4771" s="10"/>
      <c r="M4771" s="44" t="s">
        <v>10178</v>
      </c>
      <c r="N4771" s="45"/>
      <c r="O4771" s="20"/>
      <c r="P4771" s="20"/>
      <c r="Q4771" s="20"/>
      <c r="R4771" s="20"/>
      <c r="S4771" s="20"/>
    </row>
    <row r="4772">
      <c r="A4772" s="23"/>
      <c r="B4772" s="21"/>
      <c r="C4772" s="23"/>
      <c r="D4772" s="24"/>
      <c r="E4772" s="14"/>
      <c r="F4772" s="14"/>
      <c r="G4772" s="14"/>
      <c r="H4772" s="23"/>
      <c r="I4772" s="23"/>
      <c r="J4772" s="23"/>
      <c r="K4772" s="30"/>
      <c r="L4772" s="23"/>
      <c r="M4772" s="50" t="s">
        <v>10178</v>
      </c>
      <c r="N4772" s="51"/>
      <c r="O4772" s="20"/>
      <c r="P4772" s="20"/>
      <c r="Q4772" s="20"/>
      <c r="R4772" s="20"/>
      <c r="S4772" s="20"/>
    </row>
    <row r="4773">
      <c r="A4773" s="10"/>
      <c r="B4773" s="11"/>
      <c r="C4773" s="10"/>
      <c r="D4773" s="13"/>
      <c r="E4773" s="14"/>
      <c r="F4773" s="14"/>
      <c r="G4773" s="14"/>
      <c r="H4773" s="10"/>
      <c r="I4773" s="10"/>
      <c r="J4773" s="10"/>
      <c r="K4773" s="46"/>
      <c r="L4773" s="10"/>
      <c r="M4773" s="44" t="s">
        <v>10178</v>
      </c>
      <c r="N4773" s="45"/>
      <c r="O4773" s="20"/>
      <c r="P4773" s="20"/>
      <c r="Q4773" s="20"/>
      <c r="R4773" s="20"/>
      <c r="S4773" s="20"/>
    </row>
    <row r="4774">
      <c r="A4774" s="23"/>
      <c r="B4774" s="21"/>
      <c r="C4774" s="23"/>
      <c r="D4774" s="24"/>
      <c r="E4774" s="14"/>
      <c r="F4774" s="14"/>
      <c r="G4774" s="14"/>
      <c r="H4774" s="23"/>
      <c r="I4774" s="23"/>
      <c r="J4774" s="23"/>
      <c r="K4774" s="30"/>
      <c r="L4774" s="23"/>
      <c r="M4774" s="50" t="s">
        <v>10178</v>
      </c>
      <c r="N4774" s="51"/>
      <c r="O4774" s="20"/>
      <c r="P4774" s="20"/>
      <c r="Q4774" s="20"/>
      <c r="R4774" s="20"/>
      <c r="S4774" s="20"/>
    </row>
    <row r="4775">
      <c r="A4775" s="10"/>
      <c r="B4775" s="11"/>
      <c r="C4775" s="10"/>
      <c r="D4775" s="13"/>
      <c r="E4775" s="14"/>
      <c r="F4775" s="14"/>
      <c r="G4775" s="14"/>
      <c r="H4775" s="10"/>
      <c r="I4775" s="10"/>
      <c r="J4775" s="10"/>
      <c r="K4775" s="46"/>
      <c r="L4775" s="10"/>
      <c r="M4775" s="44" t="s">
        <v>10178</v>
      </c>
      <c r="N4775" s="45"/>
      <c r="O4775" s="20"/>
      <c r="P4775" s="20"/>
      <c r="Q4775" s="20"/>
      <c r="R4775" s="20"/>
      <c r="S4775" s="20"/>
    </row>
    <row r="4776">
      <c r="A4776" s="23"/>
      <c r="B4776" s="21"/>
      <c r="C4776" s="23"/>
      <c r="D4776" s="24"/>
      <c r="E4776" s="14"/>
      <c r="F4776" s="14"/>
      <c r="G4776" s="14"/>
      <c r="H4776" s="23"/>
      <c r="I4776" s="23"/>
      <c r="J4776" s="23"/>
      <c r="K4776" s="30"/>
      <c r="L4776" s="23"/>
      <c r="M4776" s="50" t="s">
        <v>10178</v>
      </c>
      <c r="N4776" s="51"/>
      <c r="O4776" s="20"/>
      <c r="P4776" s="20"/>
      <c r="Q4776" s="20"/>
      <c r="R4776" s="20"/>
      <c r="S4776" s="20"/>
    </row>
    <row r="4777">
      <c r="A4777" s="10"/>
      <c r="B4777" s="11"/>
      <c r="C4777" s="10"/>
      <c r="D4777" s="13"/>
      <c r="E4777" s="14"/>
      <c r="F4777" s="14"/>
      <c r="G4777" s="14"/>
      <c r="H4777" s="10"/>
      <c r="I4777" s="10"/>
      <c r="J4777" s="10"/>
      <c r="K4777" s="46"/>
      <c r="L4777" s="10"/>
      <c r="M4777" s="44" t="s">
        <v>10178</v>
      </c>
      <c r="N4777" s="45"/>
      <c r="O4777" s="20"/>
      <c r="P4777" s="20"/>
      <c r="Q4777" s="20"/>
      <c r="R4777" s="20"/>
      <c r="S4777" s="20"/>
    </row>
    <row r="4778">
      <c r="A4778" s="23"/>
      <c r="B4778" s="21"/>
      <c r="C4778" s="23"/>
      <c r="D4778" s="24"/>
      <c r="E4778" s="14"/>
      <c r="F4778" s="14"/>
      <c r="G4778" s="14"/>
      <c r="H4778" s="23"/>
      <c r="I4778" s="23"/>
      <c r="J4778" s="23"/>
      <c r="K4778" s="30"/>
      <c r="L4778" s="23"/>
      <c r="M4778" s="50" t="s">
        <v>10178</v>
      </c>
      <c r="N4778" s="51"/>
      <c r="O4778" s="20"/>
      <c r="P4778" s="20"/>
      <c r="Q4778" s="20"/>
      <c r="R4778" s="20"/>
      <c r="S4778" s="20"/>
    </row>
    <row r="4779">
      <c r="A4779" s="10"/>
      <c r="B4779" s="11"/>
      <c r="C4779" s="10"/>
      <c r="D4779" s="13"/>
      <c r="E4779" s="14"/>
      <c r="F4779" s="14"/>
      <c r="G4779" s="14"/>
      <c r="H4779" s="10"/>
      <c r="I4779" s="10"/>
      <c r="J4779" s="10"/>
      <c r="K4779" s="46"/>
      <c r="L4779" s="10"/>
      <c r="M4779" s="44" t="s">
        <v>10178</v>
      </c>
      <c r="N4779" s="45"/>
      <c r="O4779" s="20"/>
      <c r="P4779" s="20"/>
      <c r="Q4779" s="20"/>
      <c r="R4779" s="20"/>
      <c r="S4779" s="20"/>
    </row>
    <row r="4780">
      <c r="A4780" s="23"/>
      <c r="B4780" s="21"/>
      <c r="C4780" s="23"/>
      <c r="D4780" s="24"/>
      <c r="E4780" s="14"/>
      <c r="F4780" s="14"/>
      <c r="G4780" s="14"/>
      <c r="H4780" s="23"/>
      <c r="I4780" s="23"/>
      <c r="J4780" s="23"/>
      <c r="K4780" s="30"/>
      <c r="L4780" s="23"/>
      <c r="M4780" s="50" t="s">
        <v>10178</v>
      </c>
      <c r="N4780" s="51"/>
      <c r="O4780" s="20"/>
      <c r="P4780" s="20"/>
      <c r="Q4780" s="20"/>
      <c r="R4780" s="20"/>
      <c r="S4780" s="20"/>
    </row>
    <row r="4781">
      <c r="A4781" s="10"/>
      <c r="B4781" s="11"/>
      <c r="C4781" s="10"/>
      <c r="D4781" s="13"/>
      <c r="E4781" s="14"/>
      <c r="F4781" s="14"/>
      <c r="G4781" s="14"/>
      <c r="H4781" s="10"/>
      <c r="I4781" s="10"/>
      <c r="J4781" s="10"/>
      <c r="K4781" s="46"/>
      <c r="L4781" s="10"/>
      <c r="M4781" s="44" t="s">
        <v>10178</v>
      </c>
      <c r="N4781" s="45"/>
      <c r="O4781" s="20"/>
      <c r="P4781" s="20"/>
      <c r="Q4781" s="20"/>
      <c r="R4781" s="20"/>
      <c r="S4781" s="20"/>
    </row>
    <row r="4782">
      <c r="A4782" s="23"/>
      <c r="B4782" s="21"/>
      <c r="C4782" s="23"/>
      <c r="D4782" s="24"/>
      <c r="E4782" s="14"/>
      <c r="F4782" s="14"/>
      <c r="G4782" s="14"/>
      <c r="H4782" s="23"/>
      <c r="I4782" s="23"/>
      <c r="J4782" s="23"/>
      <c r="K4782" s="30"/>
      <c r="L4782" s="23"/>
      <c r="M4782" s="50" t="s">
        <v>10178</v>
      </c>
      <c r="N4782" s="51"/>
      <c r="O4782" s="20"/>
      <c r="P4782" s="20"/>
      <c r="Q4782" s="20"/>
      <c r="R4782" s="20"/>
      <c r="S4782" s="20"/>
    </row>
    <row r="4783">
      <c r="A4783" s="10"/>
      <c r="B4783" s="11"/>
      <c r="C4783" s="10"/>
      <c r="D4783" s="13"/>
      <c r="E4783" s="14"/>
      <c r="F4783" s="14"/>
      <c r="G4783" s="14"/>
      <c r="H4783" s="10"/>
      <c r="I4783" s="10"/>
      <c r="J4783" s="10"/>
      <c r="K4783" s="46"/>
      <c r="L4783" s="10"/>
      <c r="M4783" s="44" t="s">
        <v>10178</v>
      </c>
      <c r="N4783" s="45"/>
      <c r="O4783" s="20"/>
      <c r="P4783" s="20"/>
      <c r="Q4783" s="20"/>
      <c r="R4783" s="20"/>
      <c r="S4783" s="20"/>
    </row>
    <row r="4784">
      <c r="A4784" s="23"/>
      <c r="B4784" s="21"/>
      <c r="C4784" s="23"/>
      <c r="D4784" s="24"/>
      <c r="E4784" s="14"/>
      <c r="F4784" s="14"/>
      <c r="G4784" s="14"/>
      <c r="H4784" s="23"/>
      <c r="I4784" s="23"/>
      <c r="J4784" s="23"/>
      <c r="K4784" s="30"/>
      <c r="L4784" s="23"/>
      <c r="M4784" s="50" t="s">
        <v>10178</v>
      </c>
      <c r="N4784" s="51"/>
      <c r="O4784" s="20"/>
      <c r="P4784" s="20"/>
      <c r="Q4784" s="20"/>
      <c r="R4784" s="20"/>
      <c r="S4784" s="20"/>
    </row>
    <row r="4785">
      <c r="A4785" s="10"/>
      <c r="B4785" s="11"/>
      <c r="C4785" s="10"/>
      <c r="D4785" s="13"/>
      <c r="E4785" s="14"/>
      <c r="F4785" s="14"/>
      <c r="G4785" s="14"/>
      <c r="H4785" s="10"/>
      <c r="I4785" s="10"/>
      <c r="J4785" s="10"/>
      <c r="K4785" s="46"/>
      <c r="L4785" s="10"/>
      <c r="M4785" s="44" t="s">
        <v>10178</v>
      </c>
      <c r="N4785" s="45"/>
      <c r="O4785" s="20"/>
      <c r="P4785" s="20"/>
      <c r="Q4785" s="20"/>
      <c r="R4785" s="20"/>
      <c r="S4785" s="20"/>
    </row>
    <row r="4786">
      <c r="A4786" s="23"/>
      <c r="B4786" s="21"/>
      <c r="C4786" s="23"/>
      <c r="D4786" s="24"/>
      <c r="E4786" s="14"/>
      <c r="F4786" s="14"/>
      <c r="G4786" s="14"/>
      <c r="H4786" s="23"/>
      <c r="I4786" s="23"/>
      <c r="J4786" s="23"/>
      <c r="K4786" s="30"/>
      <c r="L4786" s="23"/>
      <c r="M4786" s="50" t="s">
        <v>10178</v>
      </c>
      <c r="N4786" s="51"/>
      <c r="O4786" s="20"/>
      <c r="P4786" s="20"/>
      <c r="Q4786" s="20"/>
      <c r="R4786" s="20"/>
      <c r="S4786" s="20"/>
    </row>
    <row r="4787">
      <c r="A4787" s="10"/>
      <c r="B4787" s="11"/>
      <c r="C4787" s="10"/>
      <c r="D4787" s="13"/>
      <c r="E4787" s="14"/>
      <c r="F4787" s="14"/>
      <c r="G4787" s="14"/>
      <c r="H4787" s="10"/>
      <c r="I4787" s="10"/>
      <c r="J4787" s="10"/>
      <c r="K4787" s="46"/>
      <c r="L4787" s="10"/>
      <c r="M4787" s="44" t="s">
        <v>10178</v>
      </c>
      <c r="N4787" s="45"/>
      <c r="O4787" s="20"/>
      <c r="P4787" s="20"/>
      <c r="Q4787" s="20"/>
      <c r="R4787" s="20"/>
      <c r="S4787" s="20"/>
    </row>
    <row r="4788">
      <c r="A4788" s="23"/>
      <c r="B4788" s="21"/>
      <c r="C4788" s="23"/>
      <c r="D4788" s="24"/>
      <c r="E4788" s="14"/>
      <c r="F4788" s="14"/>
      <c r="G4788" s="14"/>
      <c r="H4788" s="23"/>
      <c r="I4788" s="23"/>
      <c r="J4788" s="23"/>
      <c r="K4788" s="30"/>
      <c r="L4788" s="23"/>
      <c r="M4788" s="50" t="s">
        <v>10178</v>
      </c>
      <c r="N4788" s="51"/>
      <c r="O4788" s="20"/>
      <c r="P4788" s="20"/>
      <c r="Q4788" s="20"/>
      <c r="R4788" s="20"/>
      <c r="S4788" s="20"/>
    </row>
    <row r="4789">
      <c r="A4789" s="10"/>
      <c r="B4789" s="11"/>
      <c r="C4789" s="10"/>
      <c r="D4789" s="13"/>
      <c r="E4789" s="14"/>
      <c r="F4789" s="14"/>
      <c r="G4789" s="14"/>
      <c r="H4789" s="10"/>
      <c r="I4789" s="10"/>
      <c r="J4789" s="10"/>
      <c r="K4789" s="46"/>
      <c r="L4789" s="10"/>
      <c r="M4789" s="44" t="s">
        <v>10178</v>
      </c>
      <c r="N4789" s="45"/>
      <c r="O4789" s="20"/>
      <c r="P4789" s="20"/>
      <c r="Q4789" s="20"/>
      <c r="R4789" s="20"/>
      <c r="S4789" s="20"/>
    </row>
    <row r="4790">
      <c r="A4790" s="23"/>
      <c r="B4790" s="21"/>
      <c r="C4790" s="23"/>
      <c r="D4790" s="24"/>
      <c r="E4790" s="14"/>
      <c r="F4790" s="14"/>
      <c r="G4790" s="14"/>
      <c r="H4790" s="23"/>
      <c r="I4790" s="23"/>
      <c r="J4790" s="23"/>
      <c r="K4790" s="30"/>
      <c r="L4790" s="23"/>
      <c r="M4790" s="50" t="s">
        <v>10178</v>
      </c>
      <c r="N4790" s="51"/>
      <c r="O4790" s="20"/>
      <c r="P4790" s="20"/>
      <c r="Q4790" s="20"/>
      <c r="R4790" s="20"/>
      <c r="S4790" s="20"/>
    </row>
    <row r="4791">
      <c r="A4791" s="10"/>
      <c r="B4791" s="11"/>
      <c r="C4791" s="10"/>
      <c r="D4791" s="13"/>
      <c r="E4791" s="14"/>
      <c r="F4791" s="14"/>
      <c r="G4791" s="14"/>
      <c r="H4791" s="10"/>
      <c r="I4791" s="10"/>
      <c r="J4791" s="10"/>
      <c r="K4791" s="46"/>
      <c r="L4791" s="10"/>
      <c r="M4791" s="44" t="s">
        <v>10178</v>
      </c>
      <c r="N4791" s="45"/>
      <c r="O4791" s="20"/>
      <c r="P4791" s="20"/>
      <c r="Q4791" s="20"/>
      <c r="R4791" s="20"/>
      <c r="S4791" s="20"/>
    </row>
    <row r="4792">
      <c r="A4792" s="23"/>
      <c r="B4792" s="21"/>
      <c r="C4792" s="23"/>
      <c r="D4792" s="24"/>
      <c r="E4792" s="14"/>
      <c r="F4792" s="14"/>
      <c r="G4792" s="14"/>
      <c r="H4792" s="23"/>
      <c r="I4792" s="23"/>
      <c r="J4792" s="23"/>
      <c r="K4792" s="30"/>
      <c r="L4792" s="23"/>
      <c r="M4792" s="50" t="s">
        <v>10178</v>
      </c>
      <c r="N4792" s="51"/>
      <c r="O4792" s="20"/>
      <c r="P4792" s="20"/>
      <c r="Q4792" s="20"/>
      <c r="R4792" s="20"/>
      <c r="S4792" s="20"/>
    </row>
    <row r="4793">
      <c r="A4793" s="10"/>
      <c r="B4793" s="11"/>
      <c r="C4793" s="10"/>
      <c r="D4793" s="13"/>
      <c r="E4793" s="14"/>
      <c r="F4793" s="14"/>
      <c r="G4793" s="14"/>
      <c r="H4793" s="10"/>
      <c r="I4793" s="10"/>
      <c r="J4793" s="10"/>
      <c r="K4793" s="46"/>
      <c r="L4793" s="10"/>
      <c r="M4793" s="44" t="s">
        <v>10178</v>
      </c>
      <c r="N4793" s="45"/>
      <c r="O4793" s="20"/>
      <c r="P4793" s="20"/>
      <c r="Q4793" s="20"/>
      <c r="R4793" s="20"/>
      <c r="S4793" s="20"/>
    </row>
    <row r="4794">
      <c r="A4794" s="23"/>
      <c r="B4794" s="21"/>
      <c r="C4794" s="23"/>
      <c r="D4794" s="24"/>
      <c r="E4794" s="14"/>
      <c r="F4794" s="14"/>
      <c r="G4794" s="14"/>
      <c r="H4794" s="23"/>
      <c r="I4794" s="23"/>
      <c r="J4794" s="23"/>
      <c r="K4794" s="30"/>
      <c r="L4794" s="23"/>
      <c r="M4794" s="50" t="s">
        <v>10178</v>
      </c>
      <c r="N4794" s="51"/>
      <c r="O4794" s="20"/>
      <c r="P4794" s="20"/>
      <c r="Q4794" s="20"/>
      <c r="R4794" s="20"/>
      <c r="S4794" s="20"/>
    </row>
    <row r="4795">
      <c r="A4795" s="10"/>
      <c r="B4795" s="11"/>
      <c r="C4795" s="10"/>
      <c r="D4795" s="13"/>
      <c r="E4795" s="14"/>
      <c r="F4795" s="14"/>
      <c r="G4795" s="14"/>
      <c r="H4795" s="10"/>
      <c r="I4795" s="10"/>
      <c r="J4795" s="10"/>
      <c r="K4795" s="46"/>
      <c r="L4795" s="10"/>
      <c r="M4795" s="44" t="s">
        <v>10178</v>
      </c>
      <c r="N4795" s="45"/>
      <c r="O4795" s="20"/>
      <c r="P4795" s="20"/>
      <c r="Q4795" s="20"/>
      <c r="R4795" s="20"/>
      <c r="S4795" s="20"/>
    </row>
    <row r="4796">
      <c r="A4796" s="23"/>
      <c r="B4796" s="21"/>
      <c r="C4796" s="23"/>
      <c r="D4796" s="24"/>
      <c r="E4796" s="14"/>
      <c r="F4796" s="14"/>
      <c r="G4796" s="14"/>
      <c r="H4796" s="23"/>
      <c r="I4796" s="23"/>
      <c r="J4796" s="23"/>
      <c r="K4796" s="30"/>
      <c r="L4796" s="23"/>
      <c r="M4796" s="50" t="s">
        <v>10178</v>
      </c>
      <c r="N4796" s="51"/>
      <c r="O4796" s="20"/>
      <c r="P4796" s="20"/>
      <c r="Q4796" s="20"/>
      <c r="R4796" s="20"/>
      <c r="S4796" s="20"/>
    </row>
    <row r="4797">
      <c r="A4797" s="10"/>
      <c r="B4797" s="11"/>
      <c r="C4797" s="10"/>
      <c r="D4797" s="13"/>
      <c r="E4797" s="14"/>
      <c r="F4797" s="14"/>
      <c r="G4797" s="14"/>
      <c r="H4797" s="10"/>
      <c r="I4797" s="10"/>
      <c r="J4797" s="10"/>
      <c r="K4797" s="46"/>
      <c r="L4797" s="10"/>
      <c r="M4797" s="44" t="s">
        <v>10178</v>
      </c>
      <c r="N4797" s="45"/>
      <c r="O4797" s="20"/>
      <c r="P4797" s="20"/>
      <c r="Q4797" s="20"/>
      <c r="R4797" s="20"/>
      <c r="S4797" s="20"/>
    </row>
    <row r="4798">
      <c r="A4798" s="23"/>
      <c r="B4798" s="21"/>
      <c r="C4798" s="23"/>
      <c r="D4798" s="24"/>
      <c r="E4798" s="14"/>
      <c r="F4798" s="14"/>
      <c r="G4798" s="14"/>
      <c r="H4798" s="23"/>
      <c r="I4798" s="23"/>
      <c r="J4798" s="23"/>
      <c r="K4798" s="30"/>
      <c r="L4798" s="23"/>
      <c r="M4798" s="50" t="s">
        <v>10178</v>
      </c>
      <c r="N4798" s="51"/>
      <c r="O4798" s="20"/>
      <c r="P4798" s="20"/>
      <c r="Q4798" s="20"/>
      <c r="R4798" s="20"/>
      <c r="S4798" s="20"/>
    </row>
    <row r="4799">
      <c r="A4799" s="10"/>
      <c r="B4799" s="11"/>
      <c r="C4799" s="10"/>
      <c r="D4799" s="13"/>
      <c r="E4799" s="14"/>
      <c r="F4799" s="14"/>
      <c r="G4799" s="14"/>
      <c r="H4799" s="10"/>
      <c r="I4799" s="10"/>
      <c r="J4799" s="10"/>
      <c r="K4799" s="46"/>
      <c r="L4799" s="10"/>
      <c r="M4799" s="44" t="s">
        <v>10178</v>
      </c>
      <c r="N4799" s="45"/>
      <c r="O4799" s="20"/>
      <c r="P4799" s="20"/>
      <c r="Q4799" s="20"/>
      <c r="R4799" s="20"/>
      <c r="S4799" s="20"/>
    </row>
    <row r="4800">
      <c r="A4800" s="23"/>
      <c r="B4800" s="21"/>
      <c r="C4800" s="23"/>
      <c r="D4800" s="24"/>
      <c r="E4800" s="14"/>
      <c r="F4800" s="14"/>
      <c r="G4800" s="14"/>
      <c r="H4800" s="23"/>
      <c r="I4800" s="23"/>
      <c r="J4800" s="23"/>
      <c r="K4800" s="30"/>
      <c r="L4800" s="23"/>
      <c r="M4800" s="50" t="s">
        <v>10178</v>
      </c>
      <c r="N4800" s="51"/>
      <c r="O4800" s="20"/>
      <c r="P4800" s="20"/>
      <c r="Q4800" s="20"/>
      <c r="R4800" s="20"/>
      <c r="S4800" s="20"/>
    </row>
    <row r="4801">
      <c r="A4801" s="10"/>
      <c r="B4801" s="11"/>
      <c r="C4801" s="10"/>
      <c r="D4801" s="13"/>
      <c r="E4801" s="14"/>
      <c r="F4801" s="14"/>
      <c r="G4801" s="14"/>
      <c r="H4801" s="10"/>
      <c r="I4801" s="10"/>
      <c r="J4801" s="10"/>
      <c r="K4801" s="46"/>
      <c r="L4801" s="10"/>
      <c r="M4801" s="44" t="s">
        <v>10178</v>
      </c>
      <c r="N4801" s="45"/>
      <c r="O4801" s="20"/>
      <c r="P4801" s="20"/>
      <c r="Q4801" s="20"/>
      <c r="R4801" s="20"/>
      <c r="S4801" s="20"/>
    </row>
    <row r="4802">
      <c r="A4802" s="23"/>
      <c r="B4802" s="21"/>
      <c r="C4802" s="23"/>
      <c r="D4802" s="24"/>
      <c r="E4802" s="14"/>
      <c r="F4802" s="14"/>
      <c r="G4802" s="14"/>
      <c r="H4802" s="23"/>
      <c r="I4802" s="23"/>
      <c r="J4802" s="23"/>
      <c r="K4802" s="30"/>
      <c r="L4802" s="23"/>
      <c r="M4802" s="50" t="s">
        <v>10178</v>
      </c>
      <c r="N4802" s="51"/>
      <c r="O4802" s="20"/>
      <c r="P4802" s="20"/>
      <c r="Q4802" s="20"/>
      <c r="R4802" s="20"/>
      <c r="S4802" s="20"/>
    </row>
    <row r="4803">
      <c r="A4803" s="10"/>
      <c r="B4803" s="11"/>
      <c r="C4803" s="10"/>
      <c r="D4803" s="13"/>
      <c r="E4803" s="14"/>
      <c r="F4803" s="14"/>
      <c r="G4803" s="14"/>
      <c r="H4803" s="10"/>
      <c r="I4803" s="10"/>
      <c r="J4803" s="10"/>
      <c r="K4803" s="46"/>
      <c r="L4803" s="10"/>
      <c r="M4803" s="44" t="s">
        <v>10178</v>
      </c>
      <c r="N4803" s="45"/>
      <c r="O4803" s="20"/>
      <c r="P4803" s="20"/>
      <c r="Q4803" s="20"/>
      <c r="R4803" s="20"/>
      <c r="S4803" s="20"/>
    </row>
    <row r="4804">
      <c r="A4804" s="23"/>
      <c r="B4804" s="21"/>
      <c r="C4804" s="23"/>
      <c r="D4804" s="24"/>
      <c r="E4804" s="14"/>
      <c r="F4804" s="14"/>
      <c r="G4804" s="14"/>
      <c r="H4804" s="23"/>
      <c r="I4804" s="23"/>
      <c r="J4804" s="23"/>
      <c r="K4804" s="30"/>
      <c r="L4804" s="23"/>
      <c r="M4804" s="50" t="s">
        <v>10178</v>
      </c>
      <c r="N4804" s="51"/>
      <c r="O4804" s="20"/>
      <c r="P4804" s="20"/>
      <c r="Q4804" s="20"/>
      <c r="R4804" s="20"/>
      <c r="S4804" s="20"/>
    </row>
    <row r="4805">
      <c r="A4805" s="10"/>
      <c r="B4805" s="11"/>
      <c r="C4805" s="10"/>
      <c r="D4805" s="13"/>
      <c r="E4805" s="14"/>
      <c r="F4805" s="14"/>
      <c r="G4805" s="14"/>
      <c r="H4805" s="10"/>
      <c r="I4805" s="10"/>
      <c r="J4805" s="10"/>
      <c r="K4805" s="46"/>
      <c r="L4805" s="10"/>
      <c r="M4805" s="44" t="s">
        <v>10178</v>
      </c>
      <c r="N4805" s="45"/>
      <c r="O4805" s="20"/>
      <c r="P4805" s="20"/>
      <c r="Q4805" s="20"/>
      <c r="R4805" s="20"/>
      <c r="S4805" s="20"/>
    </row>
    <row r="4806">
      <c r="A4806" s="23"/>
      <c r="B4806" s="21"/>
      <c r="C4806" s="23"/>
      <c r="D4806" s="24"/>
      <c r="E4806" s="14"/>
      <c r="F4806" s="14"/>
      <c r="G4806" s="14"/>
      <c r="H4806" s="23"/>
      <c r="I4806" s="23"/>
      <c r="J4806" s="23"/>
      <c r="K4806" s="30"/>
      <c r="L4806" s="23"/>
      <c r="M4806" s="50" t="s">
        <v>10178</v>
      </c>
      <c r="N4806" s="51"/>
      <c r="O4806" s="20"/>
      <c r="P4806" s="20"/>
      <c r="Q4806" s="20"/>
      <c r="R4806" s="20"/>
      <c r="S4806" s="20"/>
    </row>
    <row r="4807">
      <c r="A4807" s="10"/>
      <c r="B4807" s="11"/>
      <c r="C4807" s="10"/>
      <c r="D4807" s="13"/>
      <c r="E4807" s="14"/>
      <c r="F4807" s="14"/>
      <c r="G4807" s="14"/>
      <c r="H4807" s="10"/>
      <c r="I4807" s="10"/>
      <c r="J4807" s="10"/>
      <c r="K4807" s="46"/>
      <c r="L4807" s="10"/>
      <c r="M4807" s="44" t="s">
        <v>10178</v>
      </c>
      <c r="N4807" s="45"/>
      <c r="O4807" s="20"/>
      <c r="P4807" s="20"/>
      <c r="Q4807" s="20"/>
      <c r="R4807" s="20"/>
      <c r="S4807" s="20"/>
    </row>
    <row r="4808">
      <c r="A4808" s="23"/>
      <c r="B4808" s="21"/>
      <c r="C4808" s="23"/>
      <c r="D4808" s="24"/>
      <c r="E4808" s="14"/>
      <c r="F4808" s="14"/>
      <c r="G4808" s="14"/>
      <c r="H4808" s="23"/>
      <c r="I4808" s="23"/>
      <c r="J4808" s="23"/>
      <c r="K4808" s="30"/>
      <c r="L4808" s="23"/>
      <c r="M4808" s="50" t="s">
        <v>10178</v>
      </c>
      <c r="N4808" s="51"/>
      <c r="O4808" s="20"/>
      <c r="P4808" s="20"/>
      <c r="Q4808" s="20"/>
      <c r="R4808" s="20"/>
      <c r="S4808" s="20"/>
    </row>
    <row r="4809">
      <c r="A4809" s="10"/>
      <c r="B4809" s="11"/>
      <c r="C4809" s="10"/>
      <c r="D4809" s="13"/>
      <c r="E4809" s="14"/>
      <c r="F4809" s="14"/>
      <c r="G4809" s="14"/>
      <c r="H4809" s="10"/>
      <c r="I4809" s="10"/>
      <c r="J4809" s="10"/>
      <c r="K4809" s="46"/>
      <c r="L4809" s="10"/>
      <c r="M4809" s="44" t="s">
        <v>10178</v>
      </c>
      <c r="N4809" s="45"/>
      <c r="O4809" s="20"/>
      <c r="P4809" s="20"/>
      <c r="Q4809" s="20"/>
      <c r="R4809" s="20"/>
      <c r="S4809" s="20"/>
    </row>
    <row r="4810">
      <c r="A4810" s="23"/>
      <c r="B4810" s="21"/>
      <c r="C4810" s="23"/>
      <c r="D4810" s="24"/>
      <c r="E4810" s="14"/>
      <c r="F4810" s="14"/>
      <c r="G4810" s="14"/>
      <c r="H4810" s="23"/>
      <c r="I4810" s="23"/>
      <c r="J4810" s="23"/>
      <c r="K4810" s="30"/>
      <c r="L4810" s="23"/>
      <c r="M4810" s="50" t="s">
        <v>10178</v>
      </c>
      <c r="N4810" s="51"/>
      <c r="O4810" s="20"/>
      <c r="P4810" s="20"/>
      <c r="Q4810" s="20"/>
      <c r="R4810" s="20"/>
      <c r="S4810" s="20"/>
    </row>
    <row r="4811">
      <c r="A4811" s="10"/>
      <c r="B4811" s="11"/>
      <c r="C4811" s="10"/>
      <c r="D4811" s="13"/>
      <c r="E4811" s="14"/>
      <c r="F4811" s="14"/>
      <c r="G4811" s="14"/>
      <c r="H4811" s="10"/>
      <c r="I4811" s="10"/>
      <c r="J4811" s="10"/>
      <c r="K4811" s="46"/>
      <c r="L4811" s="10"/>
      <c r="M4811" s="44" t="s">
        <v>10178</v>
      </c>
      <c r="N4811" s="45"/>
      <c r="O4811" s="20"/>
      <c r="P4811" s="20"/>
      <c r="Q4811" s="20"/>
      <c r="R4811" s="20"/>
      <c r="S4811" s="20"/>
    </row>
    <row r="4812">
      <c r="A4812" s="23"/>
      <c r="B4812" s="21"/>
      <c r="C4812" s="23"/>
      <c r="D4812" s="24"/>
      <c r="E4812" s="14"/>
      <c r="F4812" s="14"/>
      <c r="G4812" s="14"/>
      <c r="H4812" s="23"/>
      <c r="I4812" s="23"/>
      <c r="J4812" s="23"/>
      <c r="K4812" s="30"/>
      <c r="L4812" s="23"/>
      <c r="M4812" s="50" t="s">
        <v>10178</v>
      </c>
      <c r="N4812" s="51"/>
      <c r="O4812" s="20"/>
      <c r="P4812" s="20"/>
      <c r="Q4812" s="20"/>
      <c r="R4812" s="20"/>
      <c r="S4812" s="20"/>
    </row>
    <row r="4813">
      <c r="A4813" s="10"/>
      <c r="B4813" s="11"/>
      <c r="C4813" s="10"/>
      <c r="D4813" s="13"/>
      <c r="E4813" s="14"/>
      <c r="F4813" s="14"/>
      <c r="G4813" s="14"/>
      <c r="H4813" s="10"/>
      <c r="I4813" s="10"/>
      <c r="J4813" s="10"/>
      <c r="K4813" s="46"/>
      <c r="L4813" s="10"/>
      <c r="M4813" s="44" t="s">
        <v>10178</v>
      </c>
      <c r="N4813" s="45"/>
      <c r="O4813" s="20"/>
      <c r="P4813" s="20"/>
      <c r="Q4813" s="20"/>
      <c r="R4813" s="20"/>
      <c r="S4813" s="20"/>
    </row>
    <row r="4814">
      <c r="A4814" s="23"/>
      <c r="B4814" s="21"/>
      <c r="C4814" s="23"/>
      <c r="D4814" s="24"/>
      <c r="E4814" s="14"/>
      <c r="F4814" s="14"/>
      <c r="G4814" s="14"/>
      <c r="H4814" s="23"/>
      <c r="I4814" s="23"/>
      <c r="J4814" s="23"/>
      <c r="K4814" s="30"/>
      <c r="L4814" s="23"/>
      <c r="M4814" s="50" t="s">
        <v>10178</v>
      </c>
      <c r="N4814" s="51"/>
      <c r="O4814" s="20"/>
      <c r="P4814" s="20"/>
      <c r="Q4814" s="20"/>
      <c r="R4814" s="20"/>
      <c r="S4814" s="20"/>
    </row>
    <row r="4815">
      <c r="A4815" s="10"/>
      <c r="B4815" s="11"/>
      <c r="C4815" s="10"/>
      <c r="D4815" s="13"/>
      <c r="E4815" s="14"/>
      <c r="F4815" s="14"/>
      <c r="G4815" s="14"/>
      <c r="H4815" s="10"/>
      <c r="I4815" s="10"/>
      <c r="J4815" s="10"/>
      <c r="K4815" s="46"/>
      <c r="L4815" s="10"/>
      <c r="M4815" s="44" t="s">
        <v>10178</v>
      </c>
      <c r="N4815" s="45"/>
      <c r="O4815" s="20"/>
      <c r="P4815" s="20"/>
      <c r="Q4815" s="20"/>
      <c r="R4815" s="20"/>
      <c r="S4815" s="20"/>
    </row>
    <row r="4816">
      <c r="A4816" s="23"/>
      <c r="B4816" s="21"/>
      <c r="C4816" s="23"/>
      <c r="D4816" s="24"/>
      <c r="E4816" s="14"/>
      <c r="F4816" s="14"/>
      <c r="G4816" s="14"/>
      <c r="H4816" s="23"/>
      <c r="I4816" s="23"/>
      <c r="J4816" s="23"/>
      <c r="K4816" s="30"/>
      <c r="L4816" s="23"/>
      <c r="M4816" s="50" t="s">
        <v>10178</v>
      </c>
      <c r="N4816" s="51"/>
      <c r="O4816" s="20"/>
      <c r="P4816" s="20"/>
      <c r="Q4816" s="20"/>
      <c r="R4816" s="20"/>
      <c r="S4816" s="20"/>
    </row>
    <row r="4817">
      <c r="A4817" s="10"/>
      <c r="B4817" s="11"/>
      <c r="C4817" s="10"/>
      <c r="D4817" s="13"/>
      <c r="E4817" s="14"/>
      <c r="F4817" s="14"/>
      <c r="G4817" s="14"/>
      <c r="H4817" s="10"/>
      <c r="I4817" s="10"/>
      <c r="J4817" s="10"/>
      <c r="K4817" s="46"/>
      <c r="L4817" s="10"/>
      <c r="M4817" s="44" t="s">
        <v>10178</v>
      </c>
      <c r="N4817" s="45"/>
      <c r="O4817" s="20"/>
      <c r="P4817" s="20"/>
      <c r="Q4817" s="20"/>
      <c r="R4817" s="20"/>
      <c r="S4817" s="20"/>
    </row>
    <row r="4818">
      <c r="A4818" s="23"/>
      <c r="B4818" s="21"/>
      <c r="C4818" s="23"/>
      <c r="D4818" s="24"/>
      <c r="E4818" s="14"/>
      <c r="F4818" s="14"/>
      <c r="G4818" s="14"/>
      <c r="H4818" s="23"/>
      <c r="I4818" s="23"/>
      <c r="J4818" s="23"/>
      <c r="K4818" s="30"/>
      <c r="L4818" s="23"/>
      <c r="M4818" s="50" t="s">
        <v>10178</v>
      </c>
      <c r="N4818" s="51"/>
      <c r="O4818" s="20"/>
      <c r="P4818" s="20"/>
      <c r="Q4818" s="20"/>
      <c r="R4818" s="20"/>
      <c r="S4818" s="20"/>
    </row>
    <row r="4819">
      <c r="A4819" s="10"/>
      <c r="B4819" s="11"/>
      <c r="C4819" s="10"/>
      <c r="D4819" s="13"/>
      <c r="E4819" s="14"/>
      <c r="F4819" s="14"/>
      <c r="G4819" s="14"/>
      <c r="H4819" s="10"/>
      <c r="I4819" s="10"/>
      <c r="J4819" s="10"/>
      <c r="K4819" s="46"/>
      <c r="L4819" s="10"/>
      <c r="M4819" s="44" t="s">
        <v>10178</v>
      </c>
      <c r="N4819" s="45"/>
      <c r="O4819" s="20"/>
      <c r="P4819" s="20"/>
      <c r="Q4819" s="20"/>
      <c r="R4819" s="20"/>
      <c r="S4819" s="20"/>
    </row>
    <row r="4820">
      <c r="A4820" s="23"/>
      <c r="B4820" s="21"/>
      <c r="C4820" s="23"/>
      <c r="D4820" s="24"/>
      <c r="E4820" s="14"/>
      <c r="F4820" s="14"/>
      <c r="G4820" s="14"/>
      <c r="H4820" s="23"/>
      <c r="I4820" s="23"/>
      <c r="J4820" s="23"/>
      <c r="K4820" s="30"/>
      <c r="L4820" s="23"/>
      <c r="M4820" s="50" t="s">
        <v>10178</v>
      </c>
      <c r="N4820" s="51"/>
      <c r="O4820" s="20"/>
      <c r="P4820" s="20"/>
      <c r="Q4820" s="20"/>
      <c r="R4820" s="20"/>
      <c r="S4820" s="20"/>
    </row>
    <row r="4821">
      <c r="A4821" s="10"/>
      <c r="B4821" s="11"/>
      <c r="C4821" s="10"/>
      <c r="D4821" s="13"/>
      <c r="E4821" s="14"/>
      <c r="F4821" s="14"/>
      <c r="G4821" s="14"/>
      <c r="H4821" s="10"/>
      <c r="I4821" s="10"/>
      <c r="J4821" s="10"/>
      <c r="K4821" s="46"/>
      <c r="L4821" s="10"/>
      <c r="M4821" s="44" t="s">
        <v>10178</v>
      </c>
      <c r="N4821" s="45"/>
      <c r="O4821" s="20"/>
      <c r="P4821" s="20"/>
      <c r="Q4821" s="20"/>
      <c r="R4821" s="20"/>
      <c r="S4821" s="20"/>
    </row>
    <row r="4822">
      <c r="A4822" s="23"/>
      <c r="B4822" s="21"/>
      <c r="C4822" s="23"/>
      <c r="D4822" s="24"/>
      <c r="E4822" s="14"/>
      <c r="F4822" s="14"/>
      <c r="G4822" s="14"/>
      <c r="H4822" s="23"/>
      <c r="I4822" s="23"/>
      <c r="J4822" s="23"/>
      <c r="K4822" s="30"/>
      <c r="L4822" s="23"/>
      <c r="M4822" s="50" t="s">
        <v>10178</v>
      </c>
      <c r="N4822" s="51"/>
      <c r="O4822" s="20"/>
      <c r="P4822" s="20"/>
      <c r="Q4822" s="20"/>
      <c r="R4822" s="20"/>
      <c r="S4822" s="20"/>
    </row>
    <row r="4823">
      <c r="A4823" s="10"/>
      <c r="B4823" s="11"/>
      <c r="C4823" s="10"/>
      <c r="D4823" s="13"/>
      <c r="E4823" s="14"/>
      <c r="F4823" s="14"/>
      <c r="G4823" s="14"/>
      <c r="H4823" s="10"/>
      <c r="I4823" s="10"/>
      <c r="J4823" s="10"/>
      <c r="K4823" s="46"/>
      <c r="L4823" s="10"/>
      <c r="M4823" s="44" t="s">
        <v>10178</v>
      </c>
      <c r="N4823" s="45"/>
      <c r="O4823" s="20"/>
      <c r="P4823" s="20"/>
      <c r="Q4823" s="20"/>
      <c r="R4823" s="20"/>
      <c r="S4823" s="20"/>
    </row>
    <row r="4824">
      <c r="A4824" s="23"/>
      <c r="B4824" s="21"/>
      <c r="C4824" s="23"/>
      <c r="D4824" s="24"/>
      <c r="E4824" s="14"/>
      <c r="F4824" s="14"/>
      <c r="G4824" s="14"/>
      <c r="H4824" s="23"/>
      <c r="I4824" s="23"/>
      <c r="J4824" s="23"/>
      <c r="K4824" s="30"/>
      <c r="L4824" s="23"/>
      <c r="M4824" s="50" t="s">
        <v>10178</v>
      </c>
      <c r="N4824" s="51"/>
      <c r="O4824" s="20"/>
      <c r="P4824" s="20"/>
      <c r="Q4824" s="20"/>
      <c r="R4824" s="20"/>
      <c r="S4824" s="20"/>
    </row>
    <row r="4825">
      <c r="A4825" s="10"/>
      <c r="B4825" s="11"/>
      <c r="C4825" s="10"/>
      <c r="D4825" s="13"/>
      <c r="E4825" s="14"/>
      <c r="F4825" s="14"/>
      <c r="G4825" s="14"/>
      <c r="H4825" s="10"/>
      <c r="I4825" s="10"/>
      <c r="J4825" s="10"/>
      <c r="K4825" s="46"/>
      <c r="L4825" s="10"/>
      <c r="M4825" s="44" t="s">
        <v>10178</v>
      </c>
      <c r="N4825" s="45"/>
      <c r="O4825" s="20"/>
      <c r="P4825" s="20"/>
      <c r="Q4825" s="20"/>
      <c r="R4825" s="20"/>
      <c r="S4825" s="20"/>
    </row>
    <row r="4826">
      <c r="A4826" s="23"/>
      <c r="B4826" s="21"/>
      <c r="C4826" s="23"/>
      <c r="D4826" s="24"/>
      <c r="E4826" s="14"/>
      <c r="F4826" s="14"/>
      <c r="G4826" s="14"/>
      <c r="H4826" s="23"/>
      <c r="I4826" s="23"/>
      <c r="J4826" s="23"/>
      <c r="K4826" s="30"/>
      <c r="L4826" s="23"/>
      <c r="M4826" s="50" t="s">
        <v>10178</v>
      </c>
      <c r="N4826" s="51"/>
      <c r="O4826" s="20"/>
      <c r="P4826" s="20"/>
      <c r="Q4826" s="20"/>
      <c r="R4826" s="20"/>
      <c r="S4826" s="20"/>
    </row>
    <row r="4827">
      <c r="A4827" s="10"/>
      <c r="B4827" s="11"/>
      <c r="C4827" s="10"/>
      <c r="D4827" s="13"/>
      <c r="E4827" s="14"/>
      <c r="F4827" s="14"/>
      <c r="G4827" s="14"/>
      <c r="H4827" s="10"/>
      <c r="I4827" s="10"/>
      <c r="J4827" s="10"/>
      <c r="K4827" s="46"/>
      <c r="L4827" s="10"/>
      <c r="M4827" s="44" t="s">
        <v>10178</v>
      </c>
      <c r="N4827" s="45"/>
      <c r="O4827" s="20"/>
      <c r="P4827" s="20"/>
      <c r="Q4827" s="20"/>
      <c r="R4827" s="20"/>
      <c r="S4827" s="20"/>
    </row>
    <row r="4828">
      <c r="A4828" s="23"/>
      <c r="B4828" s="21"/>
      <c r="C4828" s="23"/>
      <c r="D4828" s="24"/>
      <c r="E4828" s="14"/>
      <c r="F4828" s="14"/>
      <c r="G4828" s="14"/>
      <c r="H4828" s="23"/>
      <c r="I4828" s="23"/>
      <c r="J4828" s="23"/>
      <c r="K4828" s="30"/>
      <c r="L4828" s="23"/>
      <c r="M4828" s="50" t="s">
        <v>10178</v>
      </c>
      <c r="N4828" s="51"/>
      <c r="O4828" s="20"/>
      <c r="P4828" s="20"/>
      <c r="Q4828" s="20"/>
      <c r="R4828" s="20"/>
      <c r="S4828" s="20"/>
    </row>
    <row r="4829">
      <c r="A4829" s="10"/>
      <c r="B4829" s="11"/>
      <c r="C4829" s="10"/>
      <c r="D4829" s="13"/>
      <c r="E4829" s="14"/>
      <c r="F4829" s="14"/>
      <c r="G4829" s="14"/>
      <c r="H4829" s="10"/>
      <c r="I4829" s="10"/>
      <c r="J4829" s="10"/>
      <c r="K4829" s="46"/>
      <c r="L4829" s="10"/>
      <c r="M4829" s="44" t="s">
        <v>10178</v>
      </c>
      <c r="N4829" s="45"/>
      <c r="O4829" s="20"/>
      <c r="P4829" s="20"/>
      <c r="Q4829" s="20"/>
      <c r="R4829" s="20"/>
      <c r="S4829" s="20"/>
    </row>
    <row r="4830">
      <c r="A4830" s="23"/>
      <c r="B4830" s="21"/>
      <c r="C4830" s="23"/>
      <c r="D4830" s="24"/>
      <c r="E4830" s="14"/>
      <c r="F4830" s="14"/>
      <c r="G4830" s="14"/>
      <c r="H4830" s="23"/>
      <c r="I4830" s="23"/>
      <c r="J4830" s="23"/>
      <c r="K4830" s="30"/>
      <c r="L4830" s="23"/>
      <c r="M4830" s="50" t="s">
        <v>10178</v>
      </c>
      <c r="N4830" s="51"/>
      <c r="O4830" s="20"/>
      <c r="P4830" s="20"/>
      <c r="Q4830" s="20"/>
      <c r="R4830" s="20"/>
      <c r="S4830" s="20"/>
    </row>
    <row r="4831">
      <c r="A4831" s="10"/>
      <c r="B4831" s="11"/>
      <c r="C4831" s="10"/>
      <c r="D4831" s="13"/>
      <c r="E4831" s="14"/>
      <c r="F4831" s="14"/>
      <c r="G4831" s="14"/>
      <c r="H4831" s="10"/>
      <c r="I4831" s="10"/>
      <c r="J4831" s="10"/>
      <c r="K4831" s="46"/>
      <c r="L4831" s="10"/>
      <c r="M4831" s="44" t="s">
        <v>10178</v>
      </c>
      <c r="N4831" s="45"/>
      <c r="O4831" s="20"/>
      <c r="P4831" s="20"/>
      <c r="Q4831" s="20"/>
      <c r="R4831" s="20"/>
      <c r="S4831" s="20"/>
    </row>
    <row r="4832">
      <c r="A4832" s="23"/>
      <c r="B4832" s="21"/>
      <c r="C4832" s="23"/>
      <c r="D4832" s="24"/>
      <c r="E4832" s="14"/>
      <c r="F4832" s="14"/>
      <c r="G4832" s="14"/>
      <c r="H4832" s="23"/>
      <c r="I4832" s="23"/>
      <c r="J4832" s="23"/>
      <c r="K4832" s="30"/>
      <c r="L4832" s="23"/>
      <c r="M4832" s="50" t="s">
        <v>10178</v>
      </c>
      <c r="N4832" s="51"/>
      <c r="O4832" s="20"/>
      <c r="P4832" s="20"/>
      <c r="Q4832" s="20"/>
      <c r="R4832" s="20"/>
      <c r="S4832" s="20"/>
    </row>
    <row r="4833">
      <c r="A4833" s="10"/>
      <c r="B4833" s="11"/>
      <c r="C4833" s="10"/>
      <c r="D4833" s="13"/>
      <c r="E4833" s="14"/>
      <c r="F4833" s="14"/>
      <c r="G4833" s="14"/>
      <c r="H4833" s="10"/>
      <c r="I4833" s="10"/>
      <c r="J4833" s="10"/>
      <c r="K4833" s="46"/>
      <c r="L4833" s="10"/>
      <c r="M4833" s="44" t="s">
        <v>10178</v>
      </c>
      <c r="N4833" s="45"/>
      <c r="O4833" s="20"/>
      <c r="P4833" s="20"/>
      <c r="Q4833" s="20"/>
      <c r="R4833" s="20"/>
      <c r="S4833" s="20"/>
    </row>
    <row r="4834">
      <c r="A4834" s="23"/>
      <c r="B4834" s="21"/>
      <c r="C4834" s="23"/>
      <c r="D4834" s="24"/>
      <c r="E4834" s="14"/>
      <c r="F4834" s="14"/>
      <c r="G4834" s="14"/>
      <c r="H4834" s="23"/>
      <c r="I4834" s="23"/>
      <c r="J4834" s="23"/>
      <c r="K4834" s="30"/>
      <c r="L4834" s="23"/>
      <c r="M4834" s="50" t="s">
        <v>10178</v>
      </c>
      <c r="N4834" s="51"/>
      <c r="O4834" s="20"/>
      <c r="P4834" s="20"/>
      <c r="Q4834" s="20"/>
      <c r="R4834" s="20"/>
      <c r="S4834" s="20"/>
    </row>
    <row r="4835">
      <c r="A4835" s="10"/>
      <c r="B4835" s="11"/>
      <c r="C4835" s="10"/>
      <c r="D4835" s="13"/>
      <c r="E4835" s="14"/>
      <c r="F4835" s="14"/>
      <c r="G4835" s="14"/>
      <c r="H4835" s="10"/>
      <c r="I4835" s="10"/>
      <c r="J4835" s="10"/>
      <c r="K4835" s="46"/>
      <c r="L4835" s="10"/>
      <c r="M4835" s="44" t="s">
        <v>10178</v>
      </c>
      <c r="N4835" s="45"/>
      <c r="O4835" s="20"/>
      <c r="P4835" s="20"/>
      <c r="Q4835" s="20"/>
      <c r="R4835" s="20"/>
      <c r="S4835" s="20"/>
    </row>
    <row r="4836">
      <c r="A4836" s="23"/>
      <c r="B4836" s="21"/>
      <c r="C4836" s="23"/>
      <c r="D4836" s="24"/>
      <c r="E4836" s="14"/>
      <c r="F4836" s="14"/>
      <c r="G4836" s="14"/>
      <c r="H4836" s="23"/>
      <c r="I4836" s="23"/>
      <c r="J4836" s="23"/>
      <c r="K4836" s="30"/>
      <c r="L4836" s="23"/>
      <c r="M4836" s="50" t="s">
        <v>10178</v>
      </c>
      <c r="N4836" s="51"/>
      <c r="O4836" s="20"/>
      <c r="P4836" s="20"/>
      <c r="Q4836" s="20"/>
      <c r="R4836" s="20"/>
      <c r="S4836" s="20"/>
    </row>
    <row r="4837">
      <c r="A4837" s="10"/>
      <c r="B4837" s="11"/>
      <c r="C4837" s="10"/>
      <c r="D4837" s="13"/>
      <c r="E4837" s="14"/>
      <c r="F4837" s="14"/>
      <c r="G4837" s="14"/>
      <c r="H4837" s="10"/>
      <c r="I4837" s="10"/>
      <c r="J4837" s="10"/>
      <c r="K4837" s="46"/>
      <c r="L4837" s="10"/>
      <c r="M4837" s="44" t="s">
        <v>10178</v>
      </c>
      <c r="N4837" s="45"/>
      <c r="O4837" s="20"/>
      <c r="P4837" s="20"/>
      <c r="Q4837" s="20"/>
      <c r="R4837" s="20"/>
      <c r="S4837" s="20"/>
    </row>
    <row r="4838">
      <c r="A4838" s="23"/>
      <c r="B4838" s="21"/>
      <c r="C4838" s="23"/>
      <c r="D4838" s="24"/>
      <c r="E4838" s="14"/>
      <c r="F4838" s="14"/>
      <c r="G4838" s="14"/>
      <c r="H4838" s="23"/>
      <c r="I4838" s="23"/>
      <c r="J4838" s="23"/>
      <c r="K4838" s="30"/>
      <c r="L4838" s="23"/>
      <c r="M4838" s="50" t="s">
        <v>10178</v>
      </c>
      <c r="N4838" s="51"/>
      <c r="O4838" s="20"/>
      <c r="P4838" s="20"/>
      <c r="Q4838" s="20"/>
      <c r="R4838" s="20"/>
      <c r="S4838" s="20"/>
    </row>
    <row r="4839">
      <c r="A4839" s="10"/>
      <c r="B4839" s="11"/>
      <c r="C4839" s="10"/>
      <c r="D4839" s="13"/>
      <c r="E4839" s="14"/>
      <c r="F4839" s="14"/>
      <c r="G4839" s="14"/>
      <c r="H4839" s="10"/>
      <c r="I4839" s="10"/>
      <c r="J4839" s="10"/>
      <c r="K4839" s="46"/>
      <c r="L4839" s="10"/>
      <c r="M4839" s="44" t="s">
        <v>10178</v>
      </c>
      <c r="N4839" s="45"/>
      <c r="O4839" s="20"/>
      <c r="P4839" s="20"/>
      <c r="Q4839" s="20"/>
      <c r="R4839" s="20"/>
      <c r="S4839" s="20"/>
    </row>
    <row r="4840">
      <c r="A4840" s="23"/>
      <c r="B4840" s="21"/>
      <c r="C4840" s="23"/>
      <c r="D4840" s="24"/>
      <c r="E4840" s="14"/>
      <c r="F4840" s="14"/>
      <c r="G4840" s="14"/>
      <c r="H4840" s="23"/>
      <c r="I4840" s="23"/>
      <c r="J4840" s="23"/>
      <c r="K4840" s="30"/>
      <c r="L4840" s="23"/>
      <c r="M4840" s="50" t="s">
        <v>10178</v>
      </c>
      <c r="N4840" s="51"/>
      <c r="O4840" s="20"/>
      <c r="P4840" s="20"/>
      <c r="Q4840" s="20"/>
      <c r="R4840" s="20"/>
      <c r="S4840" s="20"/>
    </row>
    <row r="4841">
      <c r="A4841" s="10"/>
      <c r="B4841" s="11"/>
      <c r="C4841" s="10"/>
      <c r="D4841" s="13"/>
      <c r="E4841" s="14"/>
      <c r="F4841" s="14"/>
      <c r="G4841" s="14"/>
      <c r="H4841" s="10"/>
      <c r="I4841" s="10"/>
      <c r="J4841" s="10"/>
      <c r="K4841" s="46"/>
      <c r="L4841" s="10"/>
      <c r="M4841" s="44" t="s">
        <v>10178</v>
      </c>
      <c r="N4841" s="45"/>
      <c r="O4841" s="20"/>
      <c r="P4841" s="20"/>
      <c r="Q4841" s="20"/>
      <c r="R4841" s="20"/>
      <c r="S4841" s="20"/>
    </row>
    <row r="4842">
      <c r="A4842" s="23"/>
      <c r="B4842" s="21"/>
      <c r="C4842" s="23"/>
      <c r="D4842" s="24"/>
      <c r="E4842" s="14"/>
      <c r="F4842" s="14"/>
      <c r="G4842" s="14"/>
      <c r="H4842" s="23"/>
      <c r="I4842" s="23"/>
      <c r="J4842" s="23"/>
      <c r="K4842" s="30"/>
      <c r="L4842" s="23"/>
      <c r="M4842" s="50" t="s">
        <v>10178</v>
      </c>
      <c r="N4842" s="51"/>
      <c r="O4842" s="20"/>
      <c r="P4842" s="20"/>
      <c r="Q4842" s="20"/>
      <c r="R4842" s="20"/>
      <c r="S4842" s="20"/>
    </row>
    <row r="4843">
      <c r="A4843" s="10"/>
      <c r="B4843" s="11"/>
      <c r="C4843" s="10"/>
      <c r="D4843" s="13"/>
      <c r="E4843" s="14"/>
      <c r="F4843" s="14"/>
      <c r="G4843" s="14"/>
      <c r="H4843" s="10"/>
      <c r="I4843" s="10"/>
      <c r="J4843" s="10"/>
      <c r="K4843" s="46"/>
      <c r="L4843" s="10"/>
      <c r="M4843" s="44" t="s">
        <v>10178</v>
      </c>
      <c r="N4843" s="45"/>
      <c r="O4843" s="20"/>
      <c r="P4843" s="20"/>
      <c r="Q4843" s="20"/>
      <c r="R4843" s="20"/>
      <c r="S4843" s="20"/>
    </row>
    <row r="4844">
      <c r="A4844" s="23"/>
      <c r="B4844" s="21"/>
      <c r="C4844" s="23"/>
      <c r="D4844" s="24"/>
      <c r="E4844" s="14"/>
      <c r="F4844" s="14"/>
      <c r="G4844" s="14"/>
      <c r="H4844" s="23"/>
      <c r="I4844" s="23"/>
      <c r="J4844" s="23"/>
      <c r="K4844" s="30"/>
      <c r="L4844" s="23"/>
      <c r="M4844" s="50" t="s">
        <v>10178</v>
      </c>
      <c r="N4844" s="51"/>
      <c r="O4844" s="20"/>
      <c r="P4844" s="20"/>
      <c r="Q4844" s="20"/>
      <c r="R4844" s="20"/>
      <c r="S4844" s="20"/>
    </row>
    <row r="4845">
      <c r="A4845" s="10"/>
      <c r="B4845" s="11"/>
      <c r="C4845" s="10"/>
      <c r="D4845" s="13"/>
      <c r="E4845" s="14"/>
      <c r="F4845" s="14"/>
      <c r="G4845" s="14"/>
      <c r="H4845" s="10"/>
      <c r="I4845" s="10"/>
      <c r="J4845" s="10"/>
      <c r="K4845" s="46"/>
      <c r="L4845" s="10"/>
      <c r="M4845" s="44" t="s">
        <v>10178</v>
      </c>
      <c r="N4845" s="45"/>
      <c r="O4845" s="20"/>
      <c r="P4845" s="20"/>
      <c r="Q4845" s="20"/>
      <c r="R4845" s="20"/>
      <c r="S4845" s="20"/>
    </row>
    <row r="4846">
      <c r="A4846" s="23"/>
      <c r="B4846" s="21"/>
      <c r="C4846" s="23"/>
      <c r="D4846" s="24"/>
      <c r="E4846" s="14"/>
      <c r="F4846" s="14"/>
      <c r="G4846" s="14"/>
      <c r="H4846" s="23"/>
      <c r="I4846" s="23"/>
      <c r="J4846" s="23"/>
      <c r="K4846" s="30"/>
      <c r="L4846" s="23"/>
      <c r="M4846" s="50" t="s">
        <v>10178</v>
      </c>
      <c r="N4846" s="51"/>
      <c r="O4846" s="20"/>
      <c r="P4846" s="20"/>
      <c r="Q4846" s="20"/>
      <c r="R4846" s="20"/>
      <c r="S4846" s="20"/>
    </row>
    <row r="4847">
      <c r="A4847" s="10"/>
      <c r="B4847" s="11"/>
      <c r="C4847" s="10"/>
      <c r="D4847" s="13"/>
      <c r="E4847" s="14"/>
      <c r="F4847" s="14"/>
      <c r="G4847" s="14"/>
      <c r="H4847" s="10"/>
      <c r="I4847" s="10"/>
      <c r="J4847" s="10"/>
      <c r="K4847" s="46"/>
      <c r="L4847" s="10"/>
      <c r="M4847" s="44" t="s">
        <v>10178</v>
      </c>
      <c r="N4847" s="45"/>
      <c r="O4847" s="20"/>
      <c r="P4847" s="20"/>
      <c r="Q4847" s="20"/>
      <c r="R4847" s="20"/>
      <c r="S4847" s="20"/>
    </row>
    <row r="4848">
      <c r="A4848" s="23"/>
      <c r="B4848" s="21"/>
      <c r="C4848" s="23"/>
      <c r="D4848" s="24"/>
      <c r="E4848" s="14"/>
      <c r="F4848" s="14"/>
      <c r="G4848" s="14"/>
      <c r="H4848" s="23"/>
      <c r="I4848" s="23"/>
      <c r="J4848" s="23"/>
      <c r="K4848" s="30"/>
      <c r="L4848" s="23"/>
      <c r="M4848" s="50" t="s">
        <v>10178</v>
      </c>
      <c r="N4848" s="51"/>
      <c r="O4848" s="20"/>
      <c r="P4848" s="20"/>
      <c r="Q4848" s="20"/>
      <c r="R4848" s="20"/>
      <c r="S4848" s="20"/>
    </row>
    <row r="4849">
      <c r="A4849" s="10"/>
      <c r="B4849" s="11"/>
      <c r="C4849" s="10"/>
      <c r="D4849" s="13"/>
      <c r="E4849" s="14"/>
      <c r="F4849" s="14"/>
      <c r="G4849" s="14"/>
      <c r="H4849" s="10"/>
      <c r="I4849" s="10"/>
      <c r="J4849" s="10"/>
      <c r="K4849" s="46"/>
      <c r="L4849" s="10"/>
      <c r="M4849" s="44" t="s">
        <v>10178</v>
      </c>
      <c r="N4849" s="45"/>
      <c r="O4849" s="20"/>
      <c r="P4849" s="20"/>
      <c r="Q4849" s="20"/>
      <c r="R4849" s="20"/>
      <c r="S4849" s="20"/>
    </row>
    <row r="4850">
      <c r="A4850" s="23"/>
      <c r="B4850" s="21"/>
      <c r="C4850" s="23"/>
      <c r="D4850" s="24"/>
      <c r="E4850" s="14"/>
      <c r="F4850" s="14"/>
      <c r="G4850" s="14"/>
      <c r="H4850" s="23"/>
      <c r="I4850" s="23"/>
      <c r="J4850" s="23"/>
      <c r="K4850" s="30"/>
      <c r="L4850" s="23"/>
      <c r="M4850" s="50" t="s">
        <v>10178</v>
      </c>
      <c r="N4850" s="51"/>
      <c r="O4850" s="20"/>
      <c r="P4850" s="20"/>
      <c r="Q4850" s="20"/>
      <c r="R4850" s="20"/>
      <c r="S4850" s="20"/>
    </row>
    <row r="4851">
      <c r="A4851" s="10"/>
      <c r="B4851" s="11"/>
      <c r="C4851" s="10"/>
      <c r="D4851" s="13"/>
      <c r="E4851" s="14"/>
      <c r="F4851" s="14"/>
      <c r="G4851" s="14"/>
      <c r="H4851" s="10"/>
      <c r="I4851" s="10"/>
      <c r="J4851" s="10"/>
      <c r="K4851" s="46"/>
      <c r="L4851" s="10"/>
      <c r="M4851" s="44" t="s">
        <v>10178</v>
      </c>
      <c r="N4851" s="45"/>
      <c r="O4851" s="20"/>
      <c r="P4851" s="20"/>
      <c r="Q4851" s="20"/>
      <c r="R4851" s="20"/>
      <c r="S4851" s="20"/>
    </row>
    <row r="4852">
      <c r="A4852" s="23"/>
      <c r="B4852" s="21"/>
      <c r="C4852" s="23"/>
      <c r="D4852" s="24"/>
      <c r="E4852" s="14"/>
      <c r="F4852" s="14"/>
      <c r="G4852" s="14"/>
      <c r="H4852" s="23"/>
      <c r="I4852" s="23"/>
      <c r="J4852" s="23"/>
      <c r="K4852" s="30"/>
      <c r="L4852" s="23"/>
      <c r="M4852" s="50" t="s">
        <v>10178</v>
      </c>
      <c r="N4852" s="51"/>
      <c r="O4852" s="20"/>
      <c r="P4852" s="20"/>
      <c r="Q4852" s="20"/>
      <c r="R4852" s="20"/>
      <c r="S4852" s="20"/>
    </row>
    <row r="4853">
      <c r="A4853" s="10"/>
      <c r="B4853" s="11"/>
      <c r="C4853" s="10"/>
      <c r="D4853" s="13"/>
      <c r="E4853" s="14"/>
      <c r="F4853" s="14"/>
      <c r="G4853" s="14"/>
      <c r="H4853" s="10"/>
      <c r="I4853" s="10"/>
      <c r="J4853" s="10"/>
      <c r="K4853" s="46"/>
      <c r="L4853" s="10"/>
      <c r="M4853" s="44" t="s">
        <v>10178</v>
      </c>
      <c r="N4853" s="45"/>
      <c r="O4853" s="20"/>
      <c r="P4853" s="20"/>
      <c r="Q4853" s="20"/>
      <c r="R4853" s="20"/>
      <c r="S4853" s="20"/>
    </row>
    <row r="4854">
      <c r="A4854" s="23"/>
      <c r="B4854" s="21"/>
      <c r="C4854" s="23"/>
      <c r="D4854" s="24"/>
      <c r="E4854" s="14"/>
      <c r="F4854" s="14"/>
      <c r="G4854" s="14"/>
      <c r="H4854" s="23"/>
      <c r="I4854" s="23"/>
      <c r="J4854" s="23"/>
      <c r="K4854" s="30"/>
      <c r="L4854" s="23"/>
      <c r="M4854" s="50" t="s">
        <v>10178</v>
      </c>
      <c r="N4854" s="51"/>
      <c r="O4854" s="20"/>
      <c r="P4854" s="20"/>
      <c r="Q4854" s="20"/>
      <c r="R4854" s="20"/>
      <c r="S4854" s="20"/>
    </row>
    <row r="4855">
      <c r="A4855" s="10"/>
      <c r="B4855" s="11"/>
      <c r="C4855" s="10"/>
      <c r="D4855" s="13"/>
      <c r="E4855" s="14"/>
      <c r="F4855" s="14"/>
      <c r="G4855" s="14"/>
      <c r="H4855" s="10"/>
      <c r="I4855" s="10"/>
      <c r="J4855" s="10"/>
      <c r="K4855" s="46"/>
      <c r="L4855" s="10"/>
      <c r="M4855" s="44" t="s">
        <v>10178</v>
      </c>
      <c r="N4855" s="45"/>
      <c r="O4855" s="20"/>
      <c r="P4855" s="20"/>
      <c r="Q4855" s="20"/>
      <c r="R4855" s="20"/>
      <c r="S4855" s="20"/>
    </row>
    <row r="4856">
      <c r="A4856" s="23"/>
      <c r="B4856" s="21"/>
      <c r="C4856" s="23"/>
      <c r="D4856" s="24"/>
      <c r="E4856" s="14"/>
      <c r="F4856" s="14"/>
      <c r="G4856" s="14"/>
      <c r="H4856" s="23"/>
      <c r="I4856" s="23"/>
      <c r="J4856" s="23"/>
      <c r="K4856" s="30"/>
      <c r="L4856" s="23"/>
      <c r="M4856" s="50" t="s">
        <v>10178</v>
      </c>
      <c r="N4856" s="51"/>
      <c r="O4856" s="20"/>
      <c r="P4856" s="20"/>
      <c r="Q4856" s="20"/>
      <c r="R4856" s="20"/>
      <c r="S4856" s="20"/>
    </row>
    <row r="4857">
      <c r="A4857" s="10"/>
      <c r="B4857" s="11"/>
      <c r="C4857" s="10"/>
      <c r="D4857" s="13"/>
      <c r="E4857" s="14"/>
      <c r="F4857" s="14"/>
      <c r="G4857" s="14"/>
      <c r="H4857" s="10"/>
      <c r="I4857" s="10"/>
      <c r="J4857" s="10"/>
      <c r="K4857" s="46"/>
      <c r="L4857" s="10"/>
      <c r="M4857" s="44" t="s">
        <v>10178</v>
      </c>
      <c r="N4857" s="45"/>
      <c r="O4857" s="20"/>
      <c r="P4857" s="20"/>
      <c r="Q4857" s="20"/>
      <c r="R4857" s="20"/>
      <c r="S4857" s="20"/>
    </row>
    <row r="4858">
      <c r="A4858" s="23"/>
      <c r="B4858" s="21"/>
      <c r="C4858" s="23"/>
      <c r="D4858" s="24"/>
      <c r="E4858" s="14"/>
      <c r="F4858" s="14"/>
      <c r="G4858" s="14"/>
      <c r="H4858" s="23"/>
      <c r="I4858" s="23"/>
      <c r="J4858" s="23"/>
      <c r="K4858" s="30"/>
      <c r="L4858" s="23"/>
      <c r="M4858" s="50" t="s">
        <v>10178</v>
      </c>
      <c r="N4858" s="51"/>
      <c r="O4858" s="20"/>
      <c r="P4858" s="20"/>
      <c r="Q4858" s="20"/>
      <c r="R4858" s="20"/>
      <c r="S4858" s="20"/>
    </row>
    <row r="4859">
      <c r="A4859" s="10"/>
      <c r="B4859" s="11"/>
      <c r="C4859" s="10"/>
      <c r="D4859" s="13"/>
      <c r="E4859" s="14"/>
      <c r="F4859" s="14"/>
      <c r="G4859" s="14"/>
      <c r="H4859" s="10"/>
      <c r="I4859" s="10"/>
      <c r="J4859" s="10"/>
      <c r="K4859" s="46"/>
      <c r="L4859" s="10"/>
      <c r="M4859" s="44" t="s">
        <v>10178</v>
      </c>
      <c r="N4859" s="45"/>
      <c r="O4859" s="20"/>
      <c r="P4859" s="20"/>
      <c r="Q4859" s="20"/>
      <c r="R4859" s="20"/>
      <c r="S4859" s="20"/>
    </row>
    <row r="4860">
      <c r="A4860" s="23"/>
      <c r="B4860" s="21"/>
      <c r="C4860" s="23"/>
      <c r="D4860" s="24"/>
      <c r="E4860" s="14"/>
      <c r="F4860" s="14"/>
      <c r="G4860" s="14"/>
      <c r="H4860" s="23"/>
      <c r="I4860" s="23"/>
      <c r="J4860" s="23"/>
      <c r="K4860" s="30"/>
      <c r="L4860" s="23"/>
      <c r="M4860" s="50" t="s">
        <v>10178</v>
      </c>
      <c r="N4860" s="51"/>
      <c r="O4860" s="20"/>
      <c r="P4860" s="20"/>
      <c r="Q4860" s="20"/>
      <c r="R4860" s="20"/>
      <c r="S4860" s="20"/>
    </row>
    <row r="4861">
      <c r="A4861" s="10"/>
      <c r="B4861" s="11"/>
      <c r="C4861" s="10"/>
      <c r="D4861" s="13"/>
      <c r="E4861" s="14"/>
      <c r="F4861" s="14"/>
      <c r="G4861" s="14"/>
      <c r="H4861" s="10"/>
      <c r="I4861" s="10"/>
      <c r="J4861" s="10"/>
      <c r="K4861" s="46"/>
      <c r="L4861" s="10"/>
      <c r="M4861" s="44" t="s">
        <v>10178</v>
      </c>
      <c r="N4861" s="45"/>
      <c r="O4861" s="20"/>
      <c r="P4861" s="20"/>
      <c r="Q4861" s="20"/>
      <c r="R4861" s="20"/>
      <c r="S4861" s="20"/>
    </row>
    <row r="4862">
      <c r="A4862" s="23"/>
      <c r="B4862" s="21"/>
      <c r="C4862" s="23"/>
      <c r="D4862" s="24"/>
      <c r="E4862" s="14"/>
      <c r="F4862" s="14"/>
      <c r="G4862" s="14"/>
      <c r="H4862" s="23"/>
      <c r="I4862" s="23"/>
      <c r="J4862" s="23"/>
      <c r="K4862" s="30"/>
      <c r="L4862" s="23"/>
      <c r="M4862" s="50" t="s">
        <v>10178</v>
      </c>
      <c r="N4862" s="51"/>
      <c r="O4862" s="20"/>
      <c r="P4862" s="20"/>
      <c r="Q4862" s="20"/>
      <c r="R4862" s="20"/>
      <c r="S4862" s="20"/>
    </row>
    <row r="4863">
      <c r="A4863" s="10"/>
      <c r="B4863" s="11"/>
      <c r="C4863" s="10"/>
      <c r="D4863" s="13"/>
      <c r="E4863" s="14"/>
      <c r="F4863" s="14"/>
      <c r="G4863" s="14"/>
      <c r="H4863" s="10"/>
      <c r="I4863" s="10"/>
      <c r="J4863" s="10"/>
      <c r="K4863" s="46"/>
      <c r="L4863" s="10"/>
      <c r="M4863" s="44" t="s">
        <v>10178</v>
      </c>
      <c r="N4863" s="45"/>
      <c r="O4863" s="20"/>
      <c r="P4863" s="20"/>
      <c r="Q4863" s="20"/>
      <c r="R4863" s="20"/>
      <c r="S4863" s="20"/>
    </row>
    <row r="4864">
      <c r="A4864" s="23"/>
      <c r="B4864" s="21"/>
      <c r="C4864" s="23"/>
      <c r="D4864" s="24"/>
      <c r="E4864" s="14"/>
      <c r="F4864" s="14"/>
      <c r="G4864" s="14"/>
      <c r="H4864" s="23"/>
      <c r="I4864" s="23"/>
      <c r="J4864" s="23"/>
      <c r="K4864" s="30"/>
      <c r="L4864" s="23"/>
      <c r="M4864" s="50" t="s">
        <v>10178</v>
      </c>
      <c r="N4864" s="51"/>
      <c r="O4864" s="20"/>
      <c r="P4864" s="20"/>
      <c r="Q4864" s="20"/>
      <c r="R4864" s="20"/>
      <c r="S4864" s="20"/>
    </row>
    <row r="4865">
      <c r="A4865" s="10"/>
      <c r="B4865" s="11"/>
      <c r="C4865" s="10"/>
      <c r="D4865" s="13"/>
      <c r="E4865" s="14"/>
      <c r="F4865" s="14"/>
      <c r="G4865" s="14"/>
      <c r="H4865" s="10"/>
      <c r="I4865" s="10"/>
      <c r="J4865" s="10"/>
      <c r="K4865" s="46"/>
      <c r="L4865" s="10"/>
      <c r="M4865" s="44" t="s">
        <v>10178</v>
      </c>
      <c r="N4865" s="45"/>
      <c r="O4865" s="20"/>
      <c r="P4865" s="20"/>
      <c r="Q4865" s="20"/>
      <c r="R4865" s="20"/>
      <c r="S4865" s="20"/>
    </row>
    <row r="4866">
      <c r="A4866" s="23"/>
      <c r="B4866" s="21"/>
      <c r="C4866" s="23"/>
      <c r="D4866" s="24"/>
      <c r="E4866" s="14"/>
      <c r="F4866" s="14"/>
      <c r="G4866" s="14"/>
      <c r="H4866" s="23"/>
      <c r="I4866" s="23"/>
      <c r="J4866" s="23"/>
      <c r="K4866" s="30"/>
      <c r="L4866" s="23"/>
      <c r="M4866" s="50" t="s">
        <v>10178</v>
      </c>
      <c r="N4866" s="51"/>
      <c r="O4866" s="20"/>
      <c r="P4866" s="20"/>
      <c r="Q4866" s="20"/>
      <c r="R4866" s="20"/>
      <c r="S4866" s="20"/>
    </row>
    <row r="4867">
      <c r="A4867" s="10"/>
      <c r="B4867" s="11"/>
      <c r="C4867" s="10"/>
      <c r="D4867" s="13"/>
      <c r="E4867" s="14"/>
      <c r="F4867" s="14"/>
      <c r="G4867" s="14"/>
      <c r="H4867" s="10"/>
      <c r="I4867" s="10"/>
      <c r="J4867" s="10"/>
      <c r="K4867" s="46"/>
      <c r="L4867" s="10"/>
      <c r="M4867" s="44" t="s">
        <v>10178</v>
      </c>
      <c r="N4867" s="45"/>
      <c r="O4867" s="20"/>
      <c r="P4867" s="20"/>
      <c r="Q4867" s="20"/>
      <c r="R4867" s="20"/>
      <c r="S4867" s="20"/>
    </row>
    <row r="4868">
      <c r="A4868" s="23"/>
      <c r="B4868" s="21"/>
      <c r="C4868" s="23"/>
      <c r="D4868" s="24"/>
      <c r="E4868" s="14"/>
      <c r="F4868" s="14"/>
      <c r="G4868" s="14"/>
      <c r="H4868" s="23"/>
      <c r="I4868" s="23"/>
      <c r="J4868" s="23"/>
      <c r="K4868" s="30"/>
      <c r="L4868" s="23"/>
      <c r="M4868" s="50" t="s">
        <v>10178</v>
      </c>
      <c r="N4868" s="51"/>
      <c r="O4868" s="20"/>
      <c r="P4868" s="20"/>
      <c r="Q4868" s="20"/>
      <c r="R4868" s="20"/>
      <c r="S4868" s="20"/>
    </row>
    <row r="4869">
      <c r="A4869" s="10"/>
      <c r="B4869" s="11"/>
      <c r="C4869" s="10"/>
      <c r="D4869" s="13"/>
      <c r="E4869" s="14"/>
      <c r="F4869" s="14"/>
      <c r="G4869" s="14"/>
      <c r="H4869" s="10"/>
      <c r="I4869" s="10"/>
      <c r="J4869" s="10"/>
      <c r="K4869" s="46"/>
      <c r="L4869" s="10"/>
      <c r="M4869" s="44" t="s">
        <v>10178</v>
      </c>
      <c r="N4869" s="45"/>
      <c r="O4869" s="20"/>
      <c r="P4869" s="20"/>
      <c r="Q4869" s="20"/>
      <c r="R4869" s="20"/>
      <c r="S4869" s="20"/>
    </row>
    <row r="4870">
      <c r="A4870" s="23"/>
      <c r="B4870" s="21"/>
      <c r="C4870" s="23"/>
      <c r="D4870" s="24"/>
      <c r="E4870" s="14"/>
      <c r="F4870" s="14"/>
      <c r="G4870" s="14"/>
      <c r="H4870" s="23"/>
      <c r="I4870" s="23"/>
      <c r="J4870" s="23"/>
      <c r="K4870" s="30"/>
      <c r="L4870" s="23"/>
      <c r="M4870" s="50" t="s">
        <v>10178</v>
      </c>
      <c r="N4870" s="51"/>
      <c r="O4870" s="20"/>
      <c r="P4870" s="20"/>
      <c r="Q4870" s="20"/>
      <c r="R4870" s="20"/>
      <c r="S4870" s="20"/>
    </row>
    <row r="4871">
      <c r="A4871" s="10"/>
      <c r="B4871" s="11"/>
      <c r="C4871" s="10"/>
      <c r="D4871" s="13"/>
      <c r="E4871" s="14"/>
      <c r="F4871" s="14"/>
      <c r="G4871" s="14"/>
      <c r="H4871" s="10"/>
      <c r="I4871" s="10"/>
      <c r="J4871" s="10"/>
      <c r="K4871" s="46"/>
      <c r="L4871" s="10"/>
      <c r="M4871" s="44" t="s">
        <v>10178</v>
      </c>
      <c r="N4871" s="45"/>
      <c r="O4871" s="20"/>
      <c r="P4871" s="20"/>
      <c r="Q4871" s="20"/>
      <c r="R4871" s="20"/>
      <c r="S4871" s="20"/>
    </row>
    <row r="4872">
      <c r="A4872" s="23"/>
      <c r="B4872" s="21"/>
      <c r="C4872" s="23"/>
      <c r="D4872" s="24"/>
      <c r="E4872" s="14"/>
      <c r="F4872" s="14"/>
      <c r="G4872" s="14"/>
      <c r="H4872" s="23"/>
      <c r="I4872" s="23"/>
      <c r="J4872" s="23"/>
      <c r="K4872" s="30"/>
      <c r="L4872" s="23"/>
      <c r="M4872" s="50" t="s">
        <v>10178</v>
      </c>
      <c r="N4872" s="51"/>
      <c r="O4872" s="20"/>
      <c r="P4872" s="20"/>
      <c r="Q4872" s="20"/>
      <c r="R4872" s="20"/>
      <c r="S4872" s="20"/>
    </row>
    <row r="4873">
      <c r="A4873" s="10"/>
      <c r="B4873" s="11"/>
      <c r="C4873" s="10"/>
      <c r="D4873" s="13"/>
      <c r="E4873" s="14"/>
      <c r="F4873" s="14"/>
      <c r="G4873" s="14"/>
      <c r="H4873" s="10"/>
      <c r="I4873" s="10"/>
      <c r="J4873" s="10"/>
      <c r="K4873" s="46"/>
      <c r="L4873" s="10"/>
      <c r="M4873" s="44" t="s">
        <v>10178</v>
      </c>
      <c r="N4873" s="45"/>
      <c r="O4873" s="20"/>
      <c r="P4873" s="20"/>
      <c r="Q4873" s="20"/>
      <c r="R4873" s="20"/>
      <c r="S4873" s="20"/>
    </row>
    <row r="4874">
      <c r="A4874" s="23"/>
      <c r="B4874" s="21"/>
      <c r="C4874" s="23"/>
      <c r="D4874" s="24"/>
      <c r="E4874" s="14"/>
      <c r="F4874" s="14"/>
      <c r="G4874" s="14"/>
      <c r="H4874" s="23"/>
      <c r="I4874" s="23"/>
      <c r="J4874" s="23"/>
      <c r="K4874" s="30"/>
      <c r="L4874" s="23"/>
      <c r="M4874" s="50" t="s">
        <v>10178</v>
      </c>
      <c r="N4874" s="51"/>
      <c r="O4874" s="20"/>
      <c r="P4874" s="20"/>
      <c r="Q4874" s="20"/>
      <c r="R4874" s="20"/>
      <c r="S4874" s="20"/>
    </row>
    <row r="4875">
      <c r="A4875" s="10"/>
      <c r="B4875" s="11"/>
      <c r="C4875" s="10"/>
      <c r="D4875" s="13"/>
      <c r="E4875" s="14"/>
      <c r="F4875" s="14"/>
      <c r="G4875" s="14"/>
      <c r="H4875" s="10"/>
      <c r="I4875" s="10"/>
      <c r="J4875" s="10"/>
      <c r="K4875" s="46"/>
      <c r="L4875" s="10"/>
      <c r="M4875" s="44" t="s">
        <v>10178</v>
      </c>
      <c r="N4875" s="45"/>
      <c r="O4875" s="20"/>
      <c r="P4875" s="20"/>
      <c r="Q4875" s="20"/>
      <c r="R4875" s="20"/>
      <c r="S4875" s="20"/>
    </row>
    <row r="4876">
      <c r="A4876" s="23"/>
      <c r="B4876" s="21"/>
      <c r="C4876" s="23"/>
      <c r="D4876" s="24"/>
      <c r="E4876" s="14"/>
      <c r="F4876" s="14"/>
      <c r="G4876" s="14"/>
      <c r="H4876" s="23"/>
      <c r="I4876" s="23"/>
      <c r="J4876" s="23"/>
      <c r="K4876" s="30"/>
      <c r="L4876" s="23"/>
      <c r="M4876" s="50" t="s">
        <v>10178</v>
      </c>
      <c r="N4876" s="51"/>
      <c r="O4876" s="20"/>
      <c r="P4876" s="20"/>
      <c r="Q4876" s="20"/>
      <c r="R4876" s="20"/>
      <c r="S4876" s="20"/>
    </row>
    <row r="4877">
      <c r="A4877" s="10"/>
      <c r="B4877" s="11"/>
      <c r="C4877" s="10"/>
      <c r="D4877" s="13"/>
      <c r="E4877" s="14"/>
      <c r="F4877" s="14"/>
      <c r="G4877" s="14"/>
      <c r="H4877" s="10"/>
      <c r="I4877" s="10"/>
      <c r="J4877" s="10"/>
      <c r="K4877" s="46"/>
      <c r="L4877" s="10"/>
      <c r="M4877" s="44" t="s">
        <v>10178</v>
      </c>
      <c r="N4877" s="45"/>
      <c r="O4877" s="20"/>
      <c r="P4877" s="20"/>
      <c r="Q4877" s="20"/>
      <c r="R4877" s="20"/>
      <c r="S4877" s="20"/>
    </row>
    <row r="4878">
      <c r="A4878" s="23"/>
      <c r="B4878" s="21"/>
      <c r="C4878" s="23"/>
      <c r="D4878" s="24"/>
      <c r="E4878" s="14"/>
      <c r="F4878" s="14"/>
      <c r="G4878" s="14"/>
      <c r="H4878" s="23"/>
      <c r="I4878" s="23"/>
      <c r="J4878" s="23"/>
      <c r="K4878" s="30"/>
      <c r="L4878" s="23"/>
      <c r="M4878" s="50" t="s">
        <v>10178</v>
      </c>
      <c r="N4878" s="51"/>
      <c r="O4878" s="20"/>
      <c r="P4878" s="20"/>
      <c r="Q4878" s="20"/>
      <c r="R4878" s="20"/>
      <c r="S4878" s="20"/>
    </row>
    <row r="4879">
      <c r="A4879" s="10"/>
      <c r="B4879" s="11"/>
      <c r="C4879" s="10"/>
      <c r="D4879" s="13"/>
      <c r="E4879" s="14"/>
      <c r="F4879" s="14"/>
      <c r="G4879" s="14"/>
      <c r="H4879" s="10"/>
      <c r="I4879" s="10"/>
      <c r="J4879" s="10"/>
      <c r="K4879" s="46"/>
      <c r="L4879" s="10"/>
      <c r="M4879" s="44" t="s">
        <v>10178</v>
      </c>
      <c r="N4879" s="45"/>
      <c r="O4879" s="20"/>
      <c r="P4879" s="20"/>
      <c r="Q4879" s="20"/>
      <c r="R4879" s="20"/>
      <c r="S4879" s="20"/>
    </row>
    <row r="4880">
      <c r="A4880" s="23"/>
      <c r="B4880" s="21"/>
      <c r="C4880" s="23"/>
      <c r="D4880" s="24"/>
      <c r="E4880" s="14"/>
      <c r="F4880" s="14"/>
      <c r="G4880" s="14"/>
      <c r="H4880" s="23"/>
      <c r="I4880" s="23"/>
      <c r="J4880" s="23"/>
      <c r="K4880" s="30"/>
      <c r="L4880" s="23"/>
      <c r="M4880" s="50" t="s">
        <v>10178</v>
      </c>
      <c r="N4880" s="51"/>
      <c r="O4880" s="20"/>
      <c r="P4880" s="20"/>
      <c r="Q4880" s="20"/>
      <c r="R4880" s="20"/>
      <c r="S4880" s="20"/>
    </row>
    <row r="4881">
      <c r="A4881" s="10"/>
      <c r="B4881" s="11"/>
      <c r="C4881" s="10"/>
      <c r="D4881" s="13"/>
      <c r="E4881" s="14"/>
      <c r="F4881" s="14"/>
      <c r="G4881" s="14"/>
      <c r="H4881" s="10"/>
      <c r="I4881" s="10"/>
      <c r="J4881" s="10"/>
      <c r="K4881" s="46"/>
      <c r="L4881" s="10"/>
      <c r="M4881" s="44" t="s">
        <v>10178</v>
      </c>
      <c r="N4881" s="45"/>
      <c r="O4881" s="20"/>
      <c r="P4881" s="20"/>
      <c r="Q4881" s="20"/>
      <c r="R4881" s="20"/>
      <c r="S4881" s="20"/>
    </row>
    <row r="4882">
      <c r="A4882" s="23"/>
      <c r="B4882" s="21"/>
      <c r="C4882" s="23"/>
      <c r="D4882" s="24"/>
      <c r="E4882" s="14"/>
      <c r="F4882" s="14"/>
      <c r="G4882" s="14"/>
      <c r="H4882" s="23"/>
      <c r="I4882" s="23"/>
      <c r="J4882" s="23"/>
      <c r="K4882" s="30"/>
      <c r="L4882" s="23"/>
      <c r="M4882" s="50" t="s">
        <v>10178</v>
      </c>
      <c r="N4882" s="51"/>
      <c r="O4882" s="20"/>
      <c r="P4882" s="20"/>
      <c r="Q4882" s="20"/>
      <c r="R4882" s="20"/>
      <c r="S4882" s="20"/>
    </row>
    <row r="4883">
      <c r="A4883" s="10"/>
      <c r="B4883" s="11"/>
      <c r="C4883" s="10"/>
      <c r="D4883" s="13"/>
      <c r="E4883" s="14"/>
      <c r="F4883" s="14"/>
      <c r="G4883" s="14"/>
      <c r="H4883" s="10"/>
      <c r="I4883" s="10"/>
      <c r="J4883" s="10"/>
      <c r="K4883" s="46"/>
      <c r="L4883" s="10"/>
      <c r="M4883" s="44" t="s">
        <v>10178</v>
      </c>
      <c r="N4883" s="45"/>
      <c r="O4883" s="20"/>
      <c r="P4883" s="20"/>
      <c r="Q4883" s="20"/>
      <c r="R4883" s="20"/>
      <c r="S4883" s="20"/>
    </row>
    <row r="4884">
      <c r="A4884" s="23"/>
      <c r="B4884" s="21"/>
      <c r="C4884" s="23"/>
      <c r="D4884" s="24"/>
      <c r="E4884" s="14"/>
      <c r="F4884" s="14"/>
      <c r="G4884" s="14"/>
      <c r="H4884" s="23"/>
      <c r="I4884" s="23"/>
      <c r="J4884" s="23"/>
      <c r="K4884" s="30"/>
      <c r="L4884" s="23"/>
      <c r="M4884" s="50" t="s">
        <v>10178</v>
      </c>
      <c r="N4884" s="51"/>
      <c r="O4884" s="20"/>
      <c r="P4884" s="20"/>
      <c r="Q4884" s="20"/>
      <c r="R4884" s="20"/>
      <c r="S4884" s="20"/>
    </row>
    <row r="4885">
      <c r="A4885" s="10"/>
      <c r="B4885" s="11"/>
      <c r="C4885" s="10"/>
      <c r="D4885" s="13"/>
      <c r="E4885" s="14"/>
      <c r="F4885" s="14"/>
      <c r="G4885" s="14"/>
      <c r="H4885" s="10"/>
      <c r="I4885" s="10"/>
      <c r="J4885" s="10"/>
      <c r="K4885" s="46"/>
      <c r="L4885" s="10"/>
      <c r="M4885" s="44" t="s">
        <v>10178</v>
      </c>
      <c r="N4885" s="45"/>
      <c r="O4885" s="20"/>
      <c r="P4885" s="20"/>
      <c r="Q4885" s="20"/>
      <c r="R4885" s="20"/>
      <c r="S4885" s="20"/>
    </row>
    <row r="4886">
      <c r="A4886" s="23"/>
      <c r="B4886" s="21"/>
      <c r="C4886" s="23"/>
      <c r="D4886" s="24"/>
      <c r="E4886" s="14"/>
      <c r="F4886" s="14"/>
      <c r="G4886" s="14"/>
      <c r="H4886" s="23"/>
      <c r="I4886" s="23"/>
      <c r="J4886" s="23"/>
      <c r="K4886" s="30"/>
      <c r="L4886" s="23"/>
      <c r="M4886" s="50" t="s">
        <v>10178</v>
      </c>
      <c r="N4886" s="51"/>
      <c r="O4886" s="20"/>
      <c r="P4886" s="20"/>
      <c r="Q4886" s="20"/>
      <c r="R4886" s="20"/>
      <c r="S4886" s="20"/>
    </row>
    <row r="4887">
      <c r="A4887" s="10"/>
      <c r="B4887" s="11"/>
      <c r="C4887" s="10"/>
      <c r="D4887" s="13"/>
      <c r="E4887" s="14"/>
      <c r="F4887" s="14"/>
      <c r="G4887" s="14"/>
      <c r="H4887" s="10"/>
      <c r="I4887" s="10"/>
      <c r="J4887" s="10"/>
      <c r="K4887" s="46"/>
      <c r="L4887" s="10"/>
      <c r="M4887" s="44" t="s">
        <v>10178</v>
      </c>
      <c r="N4887" s="45"/>
      <c r="O4887" s="20"/>
      <c r="P4887" s="20"/>
      <c r="Q4887" s="20"/>
      <c r="R4887" s="20"/>
      <c r="S4887" s="20"/>
    </row>
    <row r="4888">
      <c r="A4888" s="23"/>
      <c r="B4888" s="21"/>
      <c r="C4888" s="23"/>
      <c r="D4888" s="24"/>
      <c r="E4888" s="14"/>
      <c r="F4888" s="14"/>
      <c r="G4888" s="14"/>
      <c r="H4888" s="23"/>
      <c r="I4888" s="23"/>
      <c r="J4888" s="23"/>
      <c r="K4888" s="30"/>
      <c r="L4888" s="23"/>
      <c r="M4888" s="50" t="s">
        <v>10178</v>
      </c>
      <c r="N4888" s="51"/>
      <c r="O4888" s="20"/>
      <c r="P4888" s="20"/>
      <c r="Q4888" s="20"/>
      <c r="R4888" s="20"/>
      <c r="S4888" s="20"/>
    </row>
    <row r="4889">
      <c r="A4889" s="10"/>
      <c r="B4889" s="11"/>
      <c r="C4889" s="10"/>
      <c r="D4889" s="13"/>
      <c r="E4889" s="14"/>
      <c r="F4889" s="14"/>
      <c r="G4889" s="14"/>
      <c r="H4889" s="10"/>
      <c r="I4889" s="10"/>
      <c r="J4889" s="10"/>
      <c r="K4889" s="46"/>
      <c r="L4889" s="10"/>
      <c r="M4889" s="44" t="s">
        <v>10178</v>
      </c>
      <c r="N4889" s="45"/>
      <c r="O4889" s="20"/>
      <c r="P4889" s="20"/>
      <c r="Q4889" s="20"/>
      <c r="R4889" s="20"/>
      <c r="S4889" s="20"/>
    </row>
    <row r="4890">
      <c r="A4890" s="23"/>
      <c r="B4890" s="21"/>
      <c r="C4890" s="23"/>
      <c r="D4890" s="24"/>
      <c r="E4890" s="14"/>
      <c r="F4890" s="14"/>
      <c r="G4890" s="14"/>
      <c r="H4890" s="23"/>
      <c r="I4890" s="23"/>
      <c r="J4890" s="23"/>
      <c r="K4890" s="30"/>
      <c r="L4890" s="23"/>
      <c r="M4890" s="50" t="s">
        <v>10178</v>
      </c>
      <c r="N4890" s="51"/>
      <c r="O4890" s="20"/>
      <c r="P4890" s="20"/>
      <c r="Q4890" s="20"/>
      <c r="R4890" s="20"/>
      <c r="S4890" s="20"/>
    </row>
    <row r="4891">
      <c r="A4891" s="10"/>
      <c r="B4891" s="11"/>
      <c r="C4891" s="10"/>
      <c r="D4891" s="13"/>
      <c r="E4891" s="14"/>
      <c r="F4891" s="14"/>
      <c r="G4891" s="14"/>
      <c r="H4891" s="10"/>
      <c r="I4891" s="10"/>
      <c r="J4891" s="10"/>
      <c r="K4891" s="46"/>
      <c r="L4891" s="10"/>
      <c r="M4891" s="44" t="s">
        <v>10178</v>
      </c>
      <c r="N4891" s="45"/>
      <c r="O4891" s="20"/>
      <c r="P4891" s="20"/>
      <c r="Q4891" s="20"/>
      <c r="R4891" s="20"/>
      <c r="S4891" s="20"/>
    </row>
    <row r="4892">
      <c r="A4892" s="23"/>
      <c r="B4892" s="21"/>
      <c r="C4892" s="23"/>
      <c r="D4892" s="24"/>
      <c r="E4892" s="14"/>
      <c r="F4892" s="14"/>
      <c r="G4892" s="14"/>
      <c r="H4892" s="23"/>
      <c r="I4892" s="23"/>
      <c r="J4892" s="23"/>
      <c r="K4892" s="30"/>
      <c r="L4892" s="23"/>
      <c r="M4892" s="50" t="s">
        <v>10178</v>
      </c>
      <c r="N4892" s="51"/>
      <c r="O4892" s="20"/>
      <c r="P4892" s="20"/>
      <c r="Q4892" s="20"/>
      <c r="R4892" s="20"/>
      <c r="S4892" s="20"/>
    </row>
    <row r="4893">
      <c r="A4893" s="10"/>
      <c r="B4893" s="11"/>
      <c r="C4893" s="10"/>
      <c r="D4893" s="13"/>
      <c r="E4893" s="14"/>
      <c r="F4893" s="14"/>
      <c r="G4893" s="14"/>
      <c r="H4893" s="10"/>
      <c r="I4893" s="10"/>
      <c r="J4893" s="10"/>
      <c r="K4893" s="46"/>
      <c r="L4893" s="10"/>
      <c r="M4893" s="44" t="s">
        <v>10178</v>
      </c>
      <c r="N4893" s="45"/>
      <c r="O4893" s="20"/>
      <c r="P4893" s="20"/>
      <c r="Q4893" s="20"/>
      <c r="R4893" s="20"/>
      <c r="S4893" s="20"/>
    </row>
    <row r="4894">
      <c r="A4894" s="23"/>
      <c r="B4894" s="21"/>
      <c r="C4894" s="23"/>
      <c r="D4894" s="24"/>
      <c r="E4894" s="14"/>
      <c r="F4894" s="14"/>
      <c r="G4894" s="14"/>
      <c r="H4894" s="23"/>
      <c r="I4894" s="23"/>
      <c r="J4894" s="23"/>
      <c r="K4894" s="30"/>
      <c r="L4894" s="23"/>
      <c r="M4894" s="50" t="s">
        <v>10178</v>
      </c>
      <c r="N4894" s="51"/>
      <c r="O4894" s="20"/>
      <c r="P4894" s="20"/>
      <c r="Q4894" s="20"/>
      <c r="R4894" s="20"/>
      <c r="S4894" s="20"/>
    </row>
    <row r="4895">
      <c r="A4895" s="10"/>
      <c r="B4895" s="11"/>
      <c r="C4895" s="10"/>
      <c r="D4895" s="13"/>
      <c r="E4895" s="14"/>
      <c r="F4895" s="14"/>
      <c r="G4895" s="14"/>
      <c r="H4895" s="10"/>
      <c r="I4895" s="10"/>
      <c r="J4895" s="10"/>
      <c r="K4895" s="46"/>
      <c r="L4895" s="10"/>
      <c r="M4895" s="44" t="s">
        <v>10178</v>
      </c>
      <c r="N4895" s="45"/>
      <c r="O4895" s="20"/>
      <c r="P4895" s="20"/>
      <c r="Q4895" s="20"/>
      <c r="R4895" s="20"/>
      <c r="S4895" s="20"/>
    </row>
    <row r="4896">
      <c r="A4896" s="23"/>
      <c r="B4896" s="21"/>
      <c r="C4896" s="23"/>
      <c r="D4896" s="24"/>
      <c r="E4896" s="14"/>
      <c r="F4896" s="14"/>
      <c r="G4896" s="14"/>
      <c r="H4896" s="23"/>
      <c r="I4896" s="23"/>
      <c r="J4896" s="23"/>
      <c r="K4896" s="30"/>
      <c r="L4896" s="23"/>
      <c r="M4896" s="50" t="s">
        <v>10178</v>
      </c>
      <c r="N4896" s="51"/>
      <c r="O4896" s="20"/>
      <c r="P4896" s="20"/>
      <c r="Q4896" s="20"/>
      <c r="R4896" s="20"/>
      <c r="S4896" s="20"/>
    </row>
    <row r="4897">
      <c r="A4897" s="10"/>
      <c r="B4897" s="11"/>
      <c r="C4897" s="10"/>
      <c r="D4897" s="13"/>
      <c r="E4897" s="14"/>
      <c r="F4897" s="14"/>
      <c r="G4897" s="14"/>
      <c r="H4897" s="10"/>
      <c r="I4897" s="10"/>
      <c r="J4897" s="10"/>
      <c r="K4897" s="46"/>
      <c r="L4897" s="10"/>
      <c r="M4897" s="44" t="s">
        <v>10178</v>
      </c>
      <c r="N4897" s="45"/>
      <c r="O4897" s="20"/>
      <c r="P4897" s="20"/>
      <c r="Q4897" s="20"/>
      <c r="R4897" s="20"/>
      <c r="S4897" s="20"/>
    </row>
    <row r="4898">
      <c r="A4898" s="23"/>
      <c r="B4898" s="21"/>
      <c r="C4898" s="23"/>
      <c r="D4898" s="24"/>
      <c r="E4898" s="14"/>
      <c r="F4898" s="14"/>
      <c r="G4898" s="14"/>
      <c r="H4898" s="23"/>
      <c r="I4898" s="23"/>
      <c r="J4898" s="23"/>
      <c r="K4898" s="30"/>
      <c r="L4898" s="23"/>
      <c r="M4898" s="50" t="s">
        <v>10178</v>
      </c>
      <c r="N4898" s="51"/>
      <c r="O4898" s="20"/>
      <c r="P4898" s="20"/>
      <c r="Q4898" s="20"/>
      <c r="R4898" s="20"/>
      <c r="S4898" s="20"/>
    </row>
    <row r="4899">
      <c r="A4899" s="10"/>
      <c r="B4899" s="11"/>
      <c r="C4899" s="10"/>
      <c r="D4899" s="13"/>
      <c r="E4899" s="14"/>
      <c r="F4899" s="14"/>
      <c r="G4899" s="14"/>
      <c r="H4899" s="10"/>
      <c r="I4899" s="10"/>
      <c r="J4899" s="10"/>
      <c r="K4899" s="46"/>
      <c r="L4899" s="10"/>
      <c r="M4899" s="44" t="s">
        <v>10178</v>
      </c>
      <c r="N4899" s="45"/>
      <c r="O4899" s="20"/>
      <c r="P4899" s="20"/>
      <c r="Q4899" s="20"/>
      <c r="R4899" s="20"/>
      <c r="S4899" s="20"/>
    </row>
    <row r="4900">
      <c r="A4900" s="23"/>
      <c r="B4900" s="21"/>
      <c r="C4900" s="23"/>
      <c r="D4900" s="24"/>
      <c r="E4900" s="14"/>
      <c r="F4900" s="14"/>
      <c r="G4900" s="14"/>
      <c r="H4900" s="23"/>
      <c r="I4900" s="23"/>
      <c r="J4900" s="23"/>
      <c r="K4900" s="30"/>
      <c r="L4900" s="23"/>
      <c r="M4900" s="50" t="s">
        <v>10178</v>
      </c>
      <c r="N4900" s="51"/>
      <c r="O4900" s="20"/>
      <c r="P4900" s="20"/>
      <c r="Q4900" s="20"/>
      <c r="R4900" s="20"/>
      <c r="S4900" s="20"/>
    </row>
    <row r="4901">
      <c r="A4901" s="10"/>
      <c r="B4901" s="11"/>
      <c r="C4901" s="10"/>
      <c r="D4901" s="13"/>
      <c r="E4901" s="14"/>
      <c r="F4901" s="14"/>
      <c r="G4901" s="14"/>
      <c r="H4901" s="10"/>
      <c r="I4901" s="10"/>
      <c r="J4901" s="10"/>
      <c r="K4901" s="46"/>
      <c r="L4901" s="10"/>
      <c r="M4901" s="44" t="s">
        <v>10178</v>
      </c>
      <c r="N4901" s="45"/>
      <c r="O4901" s="20"/>
      <c r="P4901" s="20"/>
      <c r="Q4901" s="20"/>
      <c r="R4901" s="20"/>
      <c r="S4901" s="20"/>
    </row>
    <row r="4902">
      <c r="A4902" s="23"/>
      <c r="B4902" s="21"/>
      <c r="C4902" s="23"/>
      <c r="D4902" s="24"/>
      <c r="E4902" s="14"/>
      <c r="F4902" s="14"/>
      <c r="G4902" s="14"/>
      <c r="H4902" s="23"/>
      <c r="I4902" s="23"/>
      <c r="J4902" s="23"/>
      <c r="K4902" s="30"/>
      <c r="L4902" s="23"/>
      <c r="M4902" s="50" t="s">
        <v>10178</v>
      </c>
      <c r="N4902" s="51"/>
      <c r="O4902" s="20"/>
      <c r="P4902" s="20"/>
      <c r="Q4902" s="20"/>
      <c r="R4902" s="20"/>
      <c r="S4902" s="20"/>
    </row>
    <row r="4903">
      <c r="A4903" s="10"/>
      <c r="B4903" s="11"/>
      <c r="C4903" s="10"/>
      <c r="D4903" s="13"/>
      <c r="E4903" s="14"/>
      <c r="F4903" s="14"/>
      <c r="G4903" s="14"/>
      <c r="H4903" s="10"/>
      <c r="I4903" s="10"/>
      <c r="J4903" s="10"/>
      <c r="K4903" s="46"/>
      <c r="L4903" s="10"/>
      <c r="M4903" s="44" t="s">
        <v>10178</v>
      </c>
      <c r="N4903" s="45"/>
      <c r="O4903" s="20"/>
      <c r="P4903" s="20"/>
      <c r="Q4903" s="20"/>
      <c r="R4903" s="20"/>
      <c r="S4903" s="20"/>
    </row>
    <row r="4904">
      <c r="A4904" s="23"/>
      <c r="B4904" s="21"/>
      <c r="C4904" s="23"/>
      <c r="D4904" s="24"/>
      <c r="E4904" s="14"/>
      <c r="F4904" s="14"/>
      <c r="G4904" s="14"/>
      <c r="H4904" s="23"/>
      <c r="I4904" s="23"/>
      <c r="J4904" s="23"/>
      <c r="K4904" s="30"/>
      <c r="L4904" s="23"/>
      <c r="M4904" s="50" t="s">
        <v>10178</v>
      </c>
      <c r="N4904" s="51"/>
      <c r="O4904" s="20"/>
      <c r="P4904" s="20"/>
      <c r="Q4904" s="20"/>
      <c r="R4904" s="20"/>
      <c r="S4904" s="20"/>
    </row>
    <row r="4905">
      <c r="A4905" s="10"/>
      <c r="B4905" s="11"/>
      <c r="C4905" s="10"/>
      <c r="D4905" s="13"/>
      <c r="E4905" s="14"/>
      <c r="F4905" s="14"/>
      <c r="G4905" s="14"/>
      <c r="H4905" s="10"/>
      <c r="I4905" s="10"/>
      <c r="J4905" s="10"/>
      <c r="K4905" s="46"/>
      <c r="L4905" s="10"/>
      <c r="M4905" s="44" t="s">
        <v>10178</v>
      </c>
      <c r="N4905" s="45"/>
      <c r="O4905" s="20"/>
      <c r="P4905" s="20"/>
      <c r="Q4905" s="20"/>
      <c r="R4905" s="20"/>
      <c r="S4905" s="20"/>
    </row>
    <row r="4906">
      <c r="A4906" s="23"/>
      <c r="B4906" s="21"/>
      <c r="C4906" s="23"/>
      <c r="D4906" s="24"/>
      <c r="E4906" s="14"/>
      <c r="F4906" s="14"/>
      <c r="G4906" s="14"/>
      <c r="H4906" s="23"/>
      <c r="I4906" s="23"/>
      <c r="J4906" s="23"/>
      <c r="K4906" s="30"/>
      <c r="L4906" s="23"/>
      <c r="M4906" s="50" t="s">
        <v>10178</v>
      </c>
      <c r="N4906" s="51"/>
      <c r="O4906" s="20"/>
      <c r="P4906" s="20"/>
      <c r="Q4906" s="20"/>
      <c r="R4906" s="20"/>
      <c r="S4906" s="20"/>
    </row>
    <row r="4907">
      <c r="A4907" s="10"/>
      <c r="B4907" s="11"/>
      <c r="C4907" s="10"/>
      <c r="D4907" s="13"/>
      <c r="E4907" s="14"/>
      <c r="F4907" s="14"/>
      <c r="G4907" s="14"/>
      <c r="H4907" s="10"/>
      <c r="I4907" s="10"/>
      <c r="J4907" s="10"/>
      <c r="K4907" s="46"/>
      <c r="L4907" s="10"/>
      <c r="M4907" s="44" t="s">
        <v>10178</v>
      </c>
      <c r="N4907" s="45"/>
      <c r="O4907" s="20"/>
      <c r="P4907" s="20"/>
      <c r="Q4907" s="20"/>
      <c r="R4907" s="20"/>
      <c r="S4907" s="20"/>
    </row>
    <row r="4908">
      <c r="A4908" s="23"/>
      <c r="B4908" s="21"/>
      <c r="C4908" s="23"/>
      <c r="D4908" s="24"/>
      <c r="E4908" s="14"/>
      <c r="F4908" s="14"/>
      <c r="G4908" s="14"/>
      <c r="H4908" s="23"/>
      <c r="I4908" s="23"/>
      <c r="J4908" s="23"/>
      <c r="K4908" s="30"/>
      <c r="L4908" s="23"/>
      <c r="M4908" s="50" t="s">
        <v>10178</v>
      </c>
      <c r="N4908" s="51"/>
      <c r="O4908" s="20"/>
      <c r="P4908" s="20"/>
      <c r="Q4908" s="20"/>
      <c r="R4908" s="20"/>
      <c r="S4908" s="20"/>
    </row>
    <row r="4909">
      <c r="A4909" s="10"/>
      <c r="B4909" s="11"/>
      <c r="C4909" s="10"/>
      <c r="D4909" s="13"/>
      <c r="E4909" s="14"/>
      <c r="F4909" s="14"/>
      <c r="G4909" s="14"/>
      <c r="H4909" s="10"/>
      <c r="I4909" s="10"/>
      <c r="J4909" s="10"/>
      <c r="K4909" s="46"/>
      <c r="L4909" s="10"/>
      <c r="M4909" s="44" t="s">
        <v>10178</v>
      </c>
      <c r="N4909" s="45"/>
      <c r="O4909" s="20"/>
      <c r="P4909" s="20"/>
      <c r="Q4909" s="20"/>
      <c r="R4909" s="20"/>
      <c r="S4909" s="20"/>
    </row>
    <row r="4910">
      <c r="A4910" s="23"/>
      <c r="B4910" s="21"/>
      <c r="C4910" s="23"/>
      <c r="D4910" s="24"/>
      <c r="E4910" s="14"/>
      <c r="F4910" s="14"/>
      <c r="G4910" s="14"/>
      <c r="H4910" s="23"/>
      <c r="I4910" s="23"/>
      <c r="J4910" s="23"/>
      <c r="K4910" s="30"/>
      <c r="L4910" s="23"/>
      <c r="M4910" s="50" t="s">
        <v>10178</v>
      </c>
      <c r="N4910" s="51"/>
      <c r="O4910" s="20"/>
      <c r="P4910" s="20"/>
      <c r="Q4910" s="20"/>
      <c r="R4910" s="20"/>
      <c r="S4910" s="20"/>
    </row>
    <row r="4911">
      <c r="A4911" s="10"/>
      <c r="B4911" s="11"/>
      <c r="C4911" s="10"/>
      <c r="D4911" s="13"/>
      <c r="E4911" s="14"/>
      <c r="F4911" s="14"/>
      <c r="G4911" s="14"/>
      <c r="H4911" s="10"/>
      <c r="I4911" s="10"/>
      <c r="J4911" s="10"/>
      <c r="K4911" s="46"/>
      <c r="L4911" s="10"/>
      <c r="M4911" s="44" t="s">
        <v>10178</v>
      </c>
      <c r="N4911" s="45"/>
      <c r="O4911" s="20"/>
      <c r="P4911" s="20"/>
      <c r="Q4911" s="20"/>
      <c r="R4911" s="20"/>
      <c r="S4911" s="20"/>
    </row>
    <row r="4912">
      <c r="A4912" s="23"/>
      <c r="B4912" s="21"/>
      <c r="C4912" s="23"/>
      <c r="D4912" s="24"/>
      <c r="E4912" s="14"/>
      <c r="F4912" s="14"/>
      <c r="G4912" s="14"/>
      <c r="H4912" s="23"/>
      <c r="I4912" s="23"/>
      <c r="J4912" s="23"/>
      <c r="K4912" s="30"/>
      <c r="L4912" s="23"/>
      <c r="M4912" s="50" t="s">
        <v>10178</v>
      </c>
      <c r="N4912" s="51"/>
      <c r="O4912" s="20"/>
      <c r="P4912" s="20"/>
      <c r="Q4912" s="20"/>
      <c r="R4912" s="20"/>
      <c r="S4912" s="20"/>
    </row>
    <row r="4913">
      <c r="A4913" s="10"/>
      <c r="B4913" s="11"/>
      <c r="C4913" s="10"/>
      <c r="D4913" s="13"/>
      <c r="E4913" s="14"/>
      <c r="F4913" s="14"/>
      <c r="G4913" s="14"/>
      <c r="H4913" s="10"/>
      <c r="I4913" s="10"/>
      <c r="J4913" s="10"/>
      <c r="K4913" s="46"/>
      <c r="L4913" s="10"/>
      <c r="M4913" s="44" t="s">
        <v>10178</v>
      </c>
      <c r="N4913" s="45"/>
      <c r="O4913" s="20"/>
      <c r="P4913" s="20"/>
      <c r="Q4913" s="20"/>
      <c r="R4913" s="20"/>
      <c r="S4913" s="20"/>
    </row>
    <row r="4914">
      <c r="A4914" s="23"/>
      <c r="B4914" s="21"/>
      <c r="C4914" s="23"/>
      <c r="D4914" s="24"/>
      <c r="E4914" s="14"/>
      <c r="F4914" s="14"/>
      <c r="G4914" s="14"/>
      <c r="H4914" s="23"/>
      <c r="I4914" s="23"/>
      <c r="J4914" s="23"/>
      <c r="K4914" s="30"/>
      <c r="L4914" s="23"/>
      <c r="M4914" s="50" t="s">
        <v>10178</v>
      </c>
      <c r="N4914" s="51"/>
      <c r="O4914" s="20"/>
      <c r="P4914" s="20"/>
      <c r="Q4914" s="20"/>
      <c r="R4914" s="20"/>
      <c r="S4914" s="20"/>
    </row>
    <row r="4915">
      <c r="A4915" s="10"/>
      <c r="B4915" s="11"/>
      <c r="C4915" s="10"/>
      <c r="D4915" s="13"/>
      <c r="E4915" s="14"/>
      <c r="F4915" s="14"/>
      <c r="G4915" s="14"/>
      <c r="H4915" s="10"/>
      <c r="I4915" s="10"/>
      <c r="J4915" s="10"/>
      <c r="K4915" s="46"/>
      <c r="L4915" s="10"/>
      <c r="M4915" s="44" t="s">
        <v>10178</v>
      </c>
      <c r="N4915" s="45"/>
      <c r="O4915" s="20"/>
      <c r="P4915" s="20"/>
      <c r="Q4915" s="20"/>
      <c r="R4915" s="20"/>
      <c r="S4915" s="20"/>
    </row>
    <row r="4916">
      <c r="A4916" s="23"/>
      <c r="B4916" s="21"/>
      <c r="C4916" s="23"/>
      <c r="D4916" s="24"/>
      <c r="E4916" s="14"/>
      <c r="F4916" s="14"/>
      <c r="G4916" s="14"/>
      <c r="H4916" s="23"/>
      <c r="I4916" s="23"/>
      <c r="J4916" s="23"/>
      <c r="K4916" s="30"/>
      <c r="L4916" s="23"/>
      <c r="M4916" s="50" t="s">
        <v>10178</v>
      </c>
      <c r="N4916" s="51"/>
      <c r="O4916" s="20"/>
      <c r="P4916" s="20"/>
      <c r="Q4916" s="20"/>
      <c r="R4916" s="20"/>
      <c r="S4916" s="20"/>
    </row>
    <row r="4917">
      <c r="A4917" s="10"/>
      <c r="B4917" s="11"/>
      <c r="C4917" s="10"/>
      <c r="D4917" s="13"/>
      <c r="E4917" s="14"/>
      <c r="F4917" s="14"/>
      <c r="G4917" s="14"/>
      <c r="H4917" s="10"/>
      <c r="I4917" s="10"/>
      <c r="J4917" s="10"/>
      <c r="K4917" s="46"/>
      <c r="L4917" s="10"/>
      <c r="M4917" s="44" t="s">
        <v>10178</v>
      </c>
      <c r="N4917" s="45"/>
      <c r="O4917" s="20"/>
      <c r="P4917" s="20"/>
      <c r="Q4917" s="20"/>
      <c r="R4917" s="20"/>
      <c r="S4917" s="20"/>
    </row>
    <row r="4918">
      <c r="A4918" s="23"/>
      <c r="B4918" s="21"/>
      <c r="C4918" s="23"/>
      <c r="D4918" s="24"/>
      <c r="E4918" s="14"/>
      <c r="F4918" s="14"/>
      <c r="G4918" s="14"/>
      <c r="H4918" s="23"/>
      <c r="I4918" s="23"/>
      <c r="J4918" s="23"/>
      <c r="K4918" s="30"/>
      <c r="L4918" s="23"/>
      <c r="M4918" s="50" t="s">
        <v>10178</v>
      </c>
      <c r="N4918" s="51"/>
      <c r="O4918" s="20"/>
      <c r="P4918" s="20"/>
      <c r="Q4918" s="20"/>
      <c r="R4918" s="20"/>
      <c r="S4918" s="20"/>
    </row>
    <row r="4919">
      <c r="A4919" s="10"/>
      <c r="B4919" s="11"/>
      <c r="C4919" s="10"/>
      <c r="D4919" s="13"/>
      <c r="E4919" s="14"/>
      <c r="F4919" s="14"/>
      <c r="G4919" s="14"/>
      <c r="H4919" s="10"/>
      <c r="I4919" s="10"/>
      <c r="J4919" s="10"/>
      <c r="K4919" s="46"/>
      <c r="L4919" s="10"/>
      <c r="M4919" s="44" t="s">
        <v>10178</v>
      </c>
      <c r="N4919" s="45"/>
      <c r="O4919" s="20"/>
      <c r="P4919" s="20"/>
      <c r="Q4919" s="20"/>
      <c r="R4919" s="20"/>
      <c r="S4919" s="20"/>
    </row>
    <row r="4920">
      <c r="A4920" s="23"/>
      <c r="B4920" s="21"/>
      <c r="C4920" s="23"/>
      <c r="D4920" s="24"/>
      <c r="E4920" s="14"/>
      <c r="F4920" s="14"/>
      <c r="G4920" s="14"/>
      <c r="H4920" s="23"/>
      <c r="I4920" s="23"/>
      <c r="J4920" s="23"/>
      <c r="K4920" s="30"/>
      <c r="L4920" s="23"/>
      <c r="M4920" s="50" t="s">
        <v>10178</v>
      </c>
      <c r="N4920" s="51"/>
      <c r="O4920" s="20"/>
      <c r="P4920" s="20"/>
      <c r="Q4920" s="20"/>
      <c r="R4920" s="20"/>
      <c r="S4920" s="20"/>
    </row>
    <row r="4921">
      <c r="A4921" s="10"/>
      <c r="B4921" s="11"/>
      <c r="C4921" s="10"/>
      <c r="D4921" s="13"/>
      <c r="E4921" s="14"/>
      <c r="F4921" s="14"/>
      <c r="G4921" s="14"/>
      <c r="H4921" s="10"/>
      <c r="I4921" s="10"/>
      <c r="J4921" s="10"/>
      <c r="K4921" s="46"/>
      <c r="L4921" s="10"/>
      <c r="M4921" s="44" t="s">
        <v>10178</v>
      </c>
      <c r="N4921" s="45"/>
      <c r="O4921" s="20"/>
      <c r="P4921" s="20"/>
      <c r="Q4921" s="20"/>
      <c r="R4921" s="20"/>
      <c r="S4921" s="20"/>
    </row>
    <row r="4922">
      <c r="A4922" s="23"/>
      <c r="B4922" s="21"/>
      <c r="C4922" s="23"/>
      <c r="D4922" s="24"/>
      <c r="E4922" s="14"/>
      <c r="F4922" s="14"/>
      <c r="G4922" s="14"/>
      <c r="H4922" s="23"/>
      <c r="I4922" s="23"/>
      <c r="J4922" s="23"/>
      <c r="K4922" s="30"/>
      <c r="L4922" s="23"/>
      <c r="M4922" s="50" t="s">
        <v>10178</v>
      </c>
      <c r="N4922" s="51"/>
      <c r="O4922" s="20"/>
      <c r="P4922" s="20"/>
      <c r="Q4922" s="20"/>
      <c r="R4922" s="20"/>
      <c r="S4922" s="20"/>
    </row>
    <row r="4923">
      <c r="A4923" s="10"/>
      <c r="B4923" s="11"/>
      <c r="C4923" s="10"/>
      <c r="D4923" s="13"/>
      <c r="E4923" s="14"/>
      <c r="F4923" s="14"/>
      <c r="G4923" s="14"/>
      <c r="H4923" s="10"/>
      <c r="I4923" s="10"/>
      <c r="J4923" s="10"/>
      <c r="K4923" s="46"/>
      <c r="L4923" s="10"/>
      <c r="M4923" s="44" t="s">
        <v>10178</v>
      </c>
      <c r="N4923" s="45"/>
      <c r="O4923" s="20"/>
      <c r="P4923" s="20"/>
      <c r="Q4923" s="20"/>
      <c r="R4923" s="20"/>
      <c r="S4923" s="20"/>
    </row>
    <row r="4924">
      <c r="A4924" s="23"/>
      <c r="B4924" s="21"/>
      <c r="C4924" s="23"/>
      <c r="D4924" s="24"/>
      <c r="E4924" s="14"/>
      <c r="F4924" s="14"/>
      <c r="G4924" s="14"/>
      <c r="H4924" s="23"/>
      <c r="I4924" s="23"/>
      <c r="J4924" s="23"/>
      <c r="K4924" s="30"/>
      <c r="L4924" s="23"/>
      <c r="M4924" s="50" t="s">
        <v>10178</v>
      </c>
      <c r="N4924" s="51"/>
      <c r="O4924" s="20"/>
      <c r="P4924" s="20"/>
      <c r="Q4924" s="20"/>
      <c r="R4924" s="20"/>
      <c r="S4924" s="20"/>
    </row>
    <row r="4925">
      <c r="A4925" s="10"/>
      <c r="B4925" s="11"/>
      <c r="C4925" s="10"/>
      <c r="D4925" s="13"/>
      <c r="E4925" s="14"/>
      <c r="F4925" s="14"/>
      <c r="G4925" s="14"/>
      <c r="H4925" s="10"/>
      <c r="I4925" s="10"/>
      <c r="J4925" s="10"/>
      <c r="K4925" s="46"/>
      <c r="L4925" s="10"/>
      <c r="M4925" s="44" t="s">
        <v>10178</v>
      </c>
      <c r="N4925" s="45"/>
      <c r="O4925" s="20"/>
      <c r="P4925" s="20"/>
      <c r="Q4925" s="20"/>
      <c r="R4925" s="20"/>
      <c r="S4925" s="20"/>
    </row>
    <row r="4926">
      <c r="A4926" s="23"/>
      <c r="B4926" s="21"/>
      <c r="C4926" s="23"/>
      <c r="D4926" s="24"/>
      <c r="E4926" s="14"/>
      <c r="F4926" s="14"/>
      <c r="G4926" s="14"/>
      <c r="H4926" s="23"/>
      <c r="I4926" s="23"/>
      <c r="J4926" s="23"/>
      <c r="K4926" s="30"/>
      <c r="L4926" s="23"/>
      <c r="M4926" s="50" t="s">
        <v>10178</v>
      </c>
      <c r="N4926" s="51"/>
      <c r="O4926" s="20"/>
      <c r="P4926" s="20"/>
      <c r="Q4926" s="20"/>
      <c r="R4926" s="20"/>
      <c r="S4926" s="20"/>
    </row>
    <row r="4927">
      <c r="A4927" s="10"/>
      <c r="B4927" s="11"/>
      <c r="C4927" s="10"/>
      <c r="D4927" s="13"/>
      <c r="E4927" s="14"/>
      <c r="F4927" s="14"/>
      <c r="G4927" s="14"/>
      <c r="H4927" s="10"/>
      <c r="I4927" s="10"/>
      <c r="J4927" s="10"/>
      <c r="K4927" s="46"/>
      <c r="L4927" s="10"/>
      <c r="M4927" s="44" t="s">
        <v>10178</v>
      </c>
      <c r="N4927" s="45"/>
      <c r="O4927" s="20"/>
      <c r="P4927" s="20"/>
      <c r="Q4927" s="20"/>
      <c r="R4927" s="20"/>
      <c r="S4927" s="20"/>
    </row>
    <row r="4928">
      <c r="A4928" s="23"/>
      <c r="B4928" s="21"/>
      <c r="C4928" s="23"/>
      <c r="D4928" s="24"/>
      <c r="E4928" s="14"/>
      <c r="F4928" s="14"/>
      <c r="G4928" s="14"/>
      <c r="H4928" s="23"/>
      <c r="I4928" s="23"/>
      <c r="J4928" s="23"/>
      <c r="K4928" s="30"/>
      <c r="L4928" s="23"/>
      <c r="M4928" s="50" t="s">
        <v>10178</v>
      </c>
      <c r="N4928" s="51"/>
      <c r="O4928" s="20"/>
      <c r="P4928" s="20"/>
      <c r="Q4928" s="20"/>
      <c r="R4928" s="20"/>
      <c r="S4928" s="20"/>
    </row>
    <row r="4929">
      <c r="A4929" s="10"/>
      <c r="B4929" s="11"/>
      <c r="C4929" s="10"/>
      <c r="D4929" s="13"/>
      <c r="E4929" s="14"/>
      <c r="F4929" s="14"/>
      <c r="G4929" s="14"/>
      <c r="H4929" s="10"/>
      <c r="I4929" s="10"/>
      <c r="J4929" s="10"/>
      <c r="K4929" s="46"/>
      <c r="L4929" s="10"/>
      <c r="M4929" s="44" t="s">
        <v>10178</v>
      </c>
      <c r="N4929" s="45"/>
      <c r="O4929" s="20"/>
      <c r="P4929" s="20"/>
      <c r="Q4929" s="20"/>
      <c r="R4929" s="20"/>
      <c r="S4929" s="20"/>
    </row>
    <row r="4930">
      <c r="A4930" s="23"/>
      <c r="B4930" s="21"/>
      <c r="C4930" s="23"/>
      <c r="D4930" s="24"/>
      <c r="E4930" s="14"/>
      <c r="F4930" s="14"/>
      <c r="G4930" s="14"/>
      <c r="H4930" s="23"/>
      <c r="I4930" s="23"/>
      <c r="J4930" s="23"/>
      <c r="K4930" s="30"/>
      <c r="L4930" s="23"/>
      <c r="M4930" s="50" t="s">
        <v>10178</v>
      </c>
      <c r="N4930" s="51"/>
      <c r="O4930" s="20"/>
      <c r="P4930" s="20"/>
      <c r="Q4930" s="20"/>
      <c r="R4930" s="20"/>
      <c r="S4930" s="20"/>
    </row>
    <row r="4931">
      <c r="A4931" s="10"/>
      <c r="B4931" s="11"/>
      <c r="C4931" s="10"/>
      <c r="D4931" s="13"/>
      <c r="E4931" s="14"/>
      <c r="F4931" s="14"/>
      <c r="G4931" s="14"/>
      <c r="H4931" s="10"/>
      <c r="I4931" s="10"/>
      <c r="J4931" s="10"/>
      <c r="K4931" s="46"/>
      <c r="L4931" s="10"/>
      <c r="M4931" s="44" t="s">
        <v>10178</v>
      </c>
      <c r="N4931" s="45"/>
      <c r="O4931" s="20"/>
      <c r="P4931" s="20"/>
      <c r="Q4931" s="20"/>
      <c r="R4931" s="20"/>
      <c r="S4931" s="20"/>
    </row>
    <row r="4932">
      <c r="A4932" s="23"/>
      <c r="B4932" s="21"/>
      <c r="C4932" s="23"/>
      <c r="D4932" s="24"/>
      <c r="E4932" s="14"/>
      <c r="F4932" s="14"/>
      <c r="G4932" s="14"/>
      <c r="H4932" s="23"/>
      <c r="I4932" s="23"/>
      <c r="J4932" s="23"/>
      <c r="K4932" s="30"/>
      <c r="L4932" s="23"/>
      <c r="M4932" s="50" t="s">
        <v>10178</v>
      </c>
      <c r="N4932" s="51"/>
      <c r="O4932" s="20"/>
      <c r="P4932" s="20"/>
      <c r="Q4932" s="20"/>
      <c r="R4932" s="20"/>
      <c r="S4932" s="20"/>
    </row>
    <row r="4933">
      <c r="A4933" s="10"/>
      <c r="B4933" s="11"/>
      <c r="C4933" s="10"/>
      <c r="D4933" s="13"/>
      <c r="E4933" s="14"/>
      <c r="F4933" s="14"/>
      <c r="G4933" s="14"/>
      <c r="H4933" s="10"/>
      <c r="I4933" s="10"/>
      <c r="J4933" s="10"/>
      <c r="K4933" s="46"/>
      <c r="L4933" s="10"/>
      <c r="M4933" s="44" t="s">
        <v>10178</v>
      </c>
      <c r="N4933" s="45"/>
      <c r="O4933" s="20"/>
      <c r="P4933" s="20"/>
      <c r="Q4933" s="20"/>
      <c r="R4933" s="20"/>
      <c r="S4933" s="20"/>
    </row>
    <row r="4934">
      <c r="A4934" s="23"/>
      <c r="B4934" s="21"/>
      <c r="C4934" s="23"/>
      <c r="D4934" s="24"/>
      <c r="E4934" s="14"/>
      <c r="F4934" s="14"/>
      <c r="G4934" s="14"/>
      <c r="H4934" s="23"/>
      <c r="I4934" s="23"/>
      <c r="J4934" s="23"/>
      <c r="K4934" s="30"/>
      <c r="L4934" s="23"/>
      <c r="M4934" s="50" t="s">
        <v>10178</v>
      </c>
      <c r="N4934" s="51"/>
      <c r="O4934" s="20"/>
      <c r="P4934" s="20"/>
      <c r="Q4934" s="20"/>
      <c r="R4934" s="20"/>
      <c r="S4934" s="20"/>
    </row>
    <row r="4935">
      <c r="A4935" s="10"/>
      <c r="B4935" s="11"/>
      <c r="C4935" s="10"/>
      <c r="D4935" s="13"/>
      <c r="E4935" s="14"/>
      <c r="F4935" s="14"/>
      <c r="G4935" s="14"/>
      <c r="H4935" s="10"/>
      <c r="I4935" s="10"/>
      <c r="J4935" s="10"/>
      <c r="K4935" s="46"/>
      <c r="L4935" s="10"/>
      <c r="M4935" s="44" t="s">
        <v>10178</v>
      </c>
      <c r="N4935" s="45"/>
      <c r="O4935" s="20"/>
      <c r="P4935" s="20"/>
      <c r="Q4935" s="20"/>
      <c r="R4935" s="20"/>
      <c r="S4935" s="20"/>
    </row>
    <row r="4936">
      <c r="A4936" s="23"/>
      <c r="B4936" s="21"/>
      <c r="C4936" s="23"/>
      <c r="D4936" s="24"/>
      <c r="E4936" s="14"/>
      <c r="F4936" s="14"/>
      <c r="G4936" s="14"/>
      <c r="H4936" s="23"/>
      <c r="I4936" s="23"/>
      <c r="J4936" s="23"/>
      <c r="K4936" s="30"/>
      <c r="L4936" s="23"/>
      <c r="M4936" s="50" t="s">
        <v>10178</v>
      </c>
      <c r="N4936" s="51"/>
      <c r="O4936" s="20"/>
      <c r="P4936" s="20"/>
      <c r="Q4936" s="20"/>
      <c r="R4936" s="20"/>
      <c r="S4936" s="20"/>
    </row>
    <row r="4937">
      <c r="A4937" s="10"/>
      <c r="B4937" s="11"/>
      <c r="C4937" s="10"/>
      <c r="D4937" s="13"/>
      <c r="E4937" s="14"/>
      <c r="F4937" s="14"/>
      <c r="G4937" s="14"/>
      <c r="H4937" s="10"/>
      <c r="I4937" s="10"/>
      <c r="J4937" s="10"/>
      <c r="K4937" s="46"/>
      <c r="L4937" s="10"/>
      <c r="M4937" s="44" t="s">
        <v>10178</v>
      </c>
      <c r="N4937" s="45"/>
      <c r="O4937" s="20"/>
      <c r="P4937" s="20"/>
      <c r="Q4937" s="20"/>
      <c r="R4937" s="20"/>
      <c r="S4937" s="20"/>
    </row>
    <row r="4938">
      <c r="A4938" s="23"/>
      <c r="B4938" s="21"/>
      <c r="C4938" s="23"/>
      <c r="D4938" s="24"/>
      <c r="E4938" s="14"/>
      <c r="F4938" s="14"/>
      <c r="G4938" s="14"/>
      <c r="H4938" s="23"/>
      <c r="I4938" s="23"/>
      <c r="J4938" s="23"/>
      <c r="K4938" s="30"/>
      <c r="L4938" s="23"/>
      <c r="M4938" s="50" t="s">
        <v>10178</v>
      </c>
      <c r="N4938" s="51"/>
      <c r="O4938" s="20"/>
      <c r="P4938" s="20"/>
      <c r="Q4938" s="20"/>
      <c r="R4938" s="20"/>
      <c r="S4938" s="20"/>
    </row>
    <row r="4939">
      <c r="A4939" s="10"/>
      <c r="B4939" s="11"/>
      <c r="C4939" s="10"/>
      <c r="D4939" s="13"/>
      <c r="E4939" s="14"/>
      <c r="F4939" s="14"/>
      <c r="G4939" s="14"/>
      <c r="H4939" s="10"/>
      <c r="I4939" s="10"/>
      <c r="J4939" s="10"/>
      <c r="K4939" s="46"/>
      <c r="L4939" s="10"/>
      <c r="M4939" s="44" t="s">
        <v>10178</v>
      </c>
      <c r="N4939" s="45"/>
      <c r="O4939" s="20"/>
      <c r="P4939" s="20"/>
      <c r="Q4939" s="20"/>
      <c r="R4939" s="20"/>
      <c r="S4939" s="20"/>
    </row>
    <row r="4940">
      <c r="A4940" s="23"/>
      <c r="B4940" s="21"/>
      <c r="C4940" s="23"/>
      <c r="D4940" s="24"/>
      <c r="E4940" s="14"/>
      <c r="F4940" s="14"/>
      <c r="G4940" s="14"/>
      <c r="H4940" s="23"/>
      <c r="I4940" s="23"/>
      <c r="J4940" s="23"/>
      <c r="K4940" s="30"/>
      <c r="L4940" s="23"/>
      <c r="M4940" s="50" t="s">
        <v>10178</v>
      </c>
      <c r="N4940" s="51"/>
      <c r="O4940" s="20"/>
      <c r="P4940" s="20"/>
      <c r="Q4940" s="20"/>
      <c r="R4940" s="20"/>
      <c r="S4940" s="20"/>
    </row>
    <row r="4941">
      <c r="A4941" s="10"/>
      <c r="B4941" s="11"/>
      <c r="C4941" s="10"/>
      <c r="D4941" s="13"/>
      <c r="E4941" s="14"/>
      <c r="F4941" s="14"/>
      <c r="G4941" s="14"/>
      <c r="H4941" s="10"/>
      <c r="I4941" s="10"/>
      <c r="J4941" s="10"/>
      <c r="K4941" s="46"/>
      <c r="L4941" s="10"/>
      <c r="M4941" s="44" t="s">
        <v>10178</v>
      </c>
      <c r="N4941" s="45"/>
      <c r="O4941" s="20"/>
      <c r="P4941" s="20"/>
      <c r="Q4941" s="20"/>
      <c r="R4941" s="20"/>
      <c r="S4941" s="20"/>
    </row>
    <row r="4942">
      <c r="A4942" s="23"/>
      <c r="B4942" s="21"/>
      <c r="C4942" s="23"/>
      <c r="D4942" s="24"/>
      <c r="E4942" s="14"/>
      <c r="F4942" s="14"/>
      <c r="G4942" s="14"/>
      <c r="H4942" s="23"/>
      <c r="I4942" s="23"/>
      <c r="J4942" s="23"/>
      <c r="K4942" s="30"/>
      <c r="L4942" s="23"/>
      <c r="M4942" s="50" t="s">
        <v>10178</v>
      </c>
      <c r="N4942" s="51"/>
      <c r="O4942" s="20"/>
      <c r="P4942" s="20"/>
      <c r="Q4942" s="20"/>
      <c r="R4942" s="20"/>
      <c r="S4942" s="20"/>
    </row>
    <row r="4943">
      <c r="A4943" s="10"/>
      <c r="B4943" s="11"/>
      <c r="C4943" s="10"/>
      <c r="D4943" s="13"/>
      <c r="E4943" s="14"/>
      <c r="F4943" s="14"/>
      <c r="G4943" s="14"/>
      <c r="H4943" s="10"/>
      <c r="I4943" s="10"/>
      <c r="J4943" s="10"/>
      <c r="K4943" s="46"/>
      <c r="L4943" s="10"/>
      <c r="M4943" s="44" t="s">
        <v>10178</v>
      </c>
      <c r="N4943" s="45"/>
      <c r="O4943" s="20"/>
      <c r="P4943" s="20"/>
      <c r="Q4943" s="20"/>
      <c r="R4943" s="20"/>
      <c r="S4943" s="20"/>
    </row>
    <row r="4944">
      <c r="A4944" s="23"/>
      <c r="B4944" s="21"/>
      <c r="C4944" s="23"/>
      <c r="D4944" s="24"/>
      <c r="E4944" s="14"/>
      <c r="F4944" s="14"/>
      <c r="G4944" s="14"/>
      <c r="H4944" s="23"/>
      <c r="I4944" s="23"/>
      <c r="J4944" s="23"/>
      <c r="K4944" s="30"/>
      <c r="L4944" s="23"/>
      <c r="M4944" s="50" t="s">
        <v>10178</v>
      </c>
      <c r="N4944" s="51"/>
      <c r="O4944" s="20"/>
      <c r="P4944" s="20"/>
      <c r="Q4944" s="20"/>
      <c r="R4944" s="20"/>
      <c r="S4944" s="20"/>
    </row>
    <row r="4945">
      <c r="A4945" s="10"/>
      <c r="B4945" s="11"/>
      <c r="C4945" s="10"/>
      <c r="D4945" s="13"/>
      <c r="E4945" s="14"/>
      <c r="F4945" s="14"/>
      <c r="G4945" s="14"/>
      <c r="H4945" s="10"/>
      <c r="I4945" s="10"/>
      <c r="J4945" s="10"/>
      <c r="K4945" s="46"/>
      <c r="L4945" s="10"/>
      <c r="M4945" s="44" t="s">
        <v>10178</v>
      </c>
      <c r="N4945" s="45"/>
      <c r="O4945" s="20"/>
      <c r="P4945" s="20"/>
      <c r="Q4945" s="20"/>
      <c r="R4945" s="20"/>
      <c r="S4945" s="20"/>
    </row>
    <row r="4946">
      <c r="A4946" s="23"/>
      <c r="B4946" s="21"/>
      <c r="C4946" s="23"/>
      <c r="D4946" s="24"/>
      <c r="E4946" s="14"/>
      <c r="F4946" s="14"/>
      <c r="G4946" s="14"/>
      <c r="H4946" s="23"/>
      <c r="I4946" s="23"/>
      <c r="J4946" s="23"/>
      <c r="K4946" s="30"/>
      <c r="L4946" s="23"/>
      <c r="M4946" s="50" t="s">
        <v>10178</v>
      </c>
      <c r="N4946" s="51"/>
      <c r="O4946" s="20"/>
      <c r="P4946" s="20"/>
      <c r="Q4946" s="20"/>
      <c r="R4946" s="20"/>
      <c r="S4946" s="20"/>
    </row>
    <row r="4947">
      <c r="A4947" s="10"/>
      <c r="B4947" s="11"/>
      <c r="C4947" s="10"/>
      <c r="D4947" s="13"/>
      <c r="E4947" s="14"/>
      <c r="F4947" s="14"/>
      <c r="G4947" s="14"/>
      <c r="H4947" s="10"/>
      <c r="I4947" s="10"/>
      <c r="J4947" s="10"/>
      <c r="K4947" s="46"/>
      <c r="L4947" s="10"/>
      <c r="M4947" s="44" t="s">
        <v>10178</v>
      </c>
      <c r="N4947" s="45"/>
      <c r="O4947" s="20"/>
      <c r="P4947" s="20"/>
      <c r="Q4947" s="20"/>
      <c r="R4947" s="20"/>
      <c r="S4947" s="20"/>
    </row>
    <row r="4948">
      <c r="A4948" s="23"/>
      <c r="B4948" s="21"/>
      <c r="C4948" s="23"/>
      <c r="D4948" s="24"/>
      <c r="E4948" s="14"/>
      <c r="F4948" s="14"/>
      <c r="G4948" s="14"/>
      <c r="H4948" s="23"/>
      <c r="I4948" s="23"/>
      <c r="J4948" s="23"/>
      <c r="K4948" s="30"/>
      <c r="L4948" s="23"/>
      <c r="M4948" s="50" t="s">
        <v>10178</v>
      </c>
      <c r="N4948" s="51"/>
      <c r="O4948" s="20"/>
      <c r="P4948" s="20"/>
      <c r="Q4948" s="20"/>
      <c r="R4948" s="20"/>
      <c r="S4948" s="20"/>
    </row>
    <row r="4949">
      <c r="A4949" s="10"/>
      <c r="B4949" s="11"/>
      <c r="C4949" s="10"/>
      <c r="D4949" s="13"/>
      <c r="E4949" s="14"/>
      <c r="F4949" s="14"/>
      <c r="G4949" s="14"/>
      <c r="H4949" s="10"/>
      <c r="I4949" s="10"/>
      <c r="J4949" s="10"/>
      <c r="K4949" s="46"/>
      <c r="L4949" s="10"/>
      <c r="M4949" s="44" t="s">
        <v>10178</v>
      </c>
      <c r="N4949" s="45"/>
      <c r="O4949" s="20"/>
      <c r="P4949" s="20"/>
      <c r="Q4949" s="20"/>
      <c r="R4949" s="20"/>
      <c r="S4949" s="20"/>
    </row>
    <row r="4950">
      <c r="A4950" s="23"/>
      <c r="B4950" s="21"/>
      <c r="C4950" s="23"/>
      <c r="D4950" s="24"/>
      <c r="E4950" s="14"/>
      <c r="F4950" s="14"/>
      <c r="G4950" s="14"/>
      <c r="H4950" s="23"/>
      <c r="I4950" s="23"/>
      <c r="J4950" s="23"/>
      <c r="K4950" s="30"/>
      <c r="L4950" s="23"/>
      <c r="M4950" s="50" t="s">
        <v>10178</v>
      </c>
      <c r="N4950" s="51"/>
      <c r="O4950" s="20"/>
      <c r="P4950" s="20"/>
      <c r="Q4950" s="20"/>
      <c r="R4950" s="20"/>
      <c r="S4950" s="20"/>
    </row>
    <row r="4951">
      <c r="A4951" s="10"/>
      <c r="B4951" s="11"/>
      <c r="C4951" s="10"/>
      <c r="D4951" s="13"/>
      <c r="E4951" s="14"/>
      <c r="F4951" s="14"/>
      <c r="G4951" s="14"/>
      <c r="H4951" s="10"/>
      <c r="I4951" s="10"/>
      <c r="J4951" s="10"/>
      <c r="K4951" s="46"/>
      <c r="L4951" s="10"/>
      <c r="M4951" s="44" t="s">
        <v>10178</v>
      </c>
      <c r="N4951" s="45"/>
      <c r="O4951" s="20"/>
      <c r="P4951" s="20"/>
      <c r="Q4951" s="20"/>
      <c r="R4951" s="20"/>
      <c r="S4951" s="20"/>
    </row>
    <row r="4952">
      <c r="A4952" s="23"/>
      <c r="B4952" s="21"/>
      <c r="C4952" s="23"/>
      <c r="D4952" s="24"/>
      <c r="E4952" s="14"/>
      <c r="F4952" s="14"/>
      <c r="G4952" s="14"/>
      <c r="H4952" s="23"/>
      <c r="I4952" s="23"/>
      <c r="J4952" s="23"/>
      <c r="K4952" s="30"/>
      <c r="L4952" s="23"/>
      <c r="M4952" s="50" t="s">
        <v>10178</v>
      </c>
      <c r="N4952" s="51"/>
      <c r="O4952" s="20"/>
      <c r="P4952" s="20"/>
      <c r="Q4952" s="20"/>
      <c r="R4952" s="20"/>
      <c r="S4952" s="20"/>
    </row>
    <row r="4953">
      <c r="A4953" s="10"/>
      <c r="B4953" s="11"/>
      <c r="C4953" s="10"/>
      <c r="D4953" s="13"/>
      <c r="E4953" s="14"/>
      <c r="F4953" s="14"/>
      <c r="G4953" s="14"/>
      <c r="H4953" s="10"/>
      <c r="I4953" s="10"/>
      <c r="J4953" s="10"/>
      <c r="K4953" s="46"/>
      <c r="L4953" s="10"/>
      <c r="M4953" s="44" t="s">
        <v>10178</v>
      </c>
      <c r="N4953" s="45"/>
      <c r="O4953" s="20"/>
      <c r="P4953" s="20"/>
      <c r="Q4953" s="20"/>
      <c r="R4953" s="20"/>
      <c r="S4953" s="20"/>
    </row>
    <row r="4954">
      <c r="A4954" s="23"/>
      <c r="B4954" s="21"/>
      <c r="C4954" s="23"/>
      <c r="D4954" s="24"/>
      <c r="E4954" s="14"/>
      <c r="F4954" s="14"/>
      <c r="G4954" s="14"/>
      <c r="H4954" s="23"/>
      <c r="I4954" s="23"/>
      <c r="J4954" s="23"/>
      <c r="K4954" s="30"/>
      <c r="L4954" s="23"/>
      <c r="M4954" s="50" t="s">
        <v>10178</v>
      </c>
      <c r="N4954" s="51"/>
      <c r="O4954" s="20"/>
      <c r="P4954" s="20"/>
      <c r="Q4954" s="20"/>
      <c r="R4954" s="20"/>
      <c r="S4954" s="20"/>
    </row>
    <row r="4955">
      <c r="A4955" s="10"/>
      <c r="B4955" s="11"/>
      <c r="C4955" s="10"/>
      <c r="D4955" s="13"/>
      <c r="E4955" s="14"/>
      <c r="F4955" s="14"/>
      <c r="G4955" s="14"/>
      <c r="H4955" s="10"/>
      <c r="I4955" s="10"/>
      <c r="J4955" s="10"/>
      <c r="K4955" s="46"/>
      <c r="L4955" s="10"/>
      <c r="M4955" s="44" t="s">
        <v>10178</v>
      </c>
      <c r="N4955" s="45"/>
      <c r="O4955" s="20"/>
      <c r="P4955" s="20"/>
      <c r="Q4955" s="20"/>
      <c r="R4955" s="20"/>
      <c r="S4955" s="20"/>
    </row>
    <row r="4956">
      <c r="A4956" s="23"/>
      <c r="B4956" s="21"/>
      <c r="C4956" s="23"/>
      <c r="D4956" s="24"/>
      <c r="E4956" s="14"/>
      <c r="F4956" s="14"/>
      <c r="G4956" s="14"/>
      <c r="H4956" s="23"/>
      <c r="I4956" s="23"/>
      <c r="J4956" s="23"/>
      <c r="K4956" s="30"/>
      <c r="L4956" s="23"/>
      <c r="M4956" s="50" t="s">
        <v>10178</v>
      </c>
      <c r="N4956" s="51"/>
      <c r="O4956" s="20"/>
      <c r="P4956" s="20"/>
      <c r="Q4956" s="20"/>
      <c r="R4956" s="20"/>
      <c r="S4956" s="20"/>
    </row>
    <row r="4957">
      <c r="A4957" s="10"/>
      <c r="B4957" s="11"/>
      <c r="C4957" s="10"/>
      <c r="D4957" s="13"/>
      <c r="E4957" s="14"/>
      <c r="F4957" s="14"/>
      <c r="G4957" s="14"/>
      <c r="H4957" s="10"/>
      <c r="I4957" s="10"/>
      <c r="J4957" s="10"/>
      <c r="K4957" s="46"/>
      <c r="L4957" s="10"/>
      <c r="M4957" s="44" t="s">
        <v>10178</v>
      </c>
      <c r="N4957" s="45"/>
      <c r="O4957" s="20"/>
      <c r="P4957" s="20"/>
      <c r="Q4957" s="20"/>
      <c r="R4957" s="20"/>
      <c r="S4957" s="20"/>
    </row>
    <row r="4958">
      <c r="A4958" s="23"/>
      <c r="B4958" s="21"/>
      <c r="C4958" s="23"/>
      <c r="D4958" s="24"/>
      <c r="E4958" s="14"/>
      <c r="F4958" s="14"/>
      <c r="G4958" s="14"/>
      <c r="H4958" s="23"/>
      <c r="I4958" s="23"/>
      <c r="J4958" s="23"/>
      <c r="K4958" s="30"/>
      <c r="L4958" s="23"/>
      <c r="M4958" s="50" t="s">
        <v>10178</v>
      </c>
      <c r="N4958" s="51"/>
      <c r="O4958" s="20"/>
      <c r="P4958" s="20"/>
      <c r="Q4958" s="20"/>
      <c r="R4958" s="20"/>
      <c r="S4958" s="20"/>
    </row>
    <row r="4959">
      <c r="A4959" s="10"/>
      <c r="B4959" s="11"/>
      <c r="C4959" s="10"/>
      <c r="D4959" s="13"/>
      <c r="E4959" s="14"/>
      <c r="F4959" s="14"/>
      <c r="G4959" s="14"/>
      <c r="H4959" s="10"/>
      <c r="I4959" s="10"/>
      <c r="J4959" s="10"/>
      <c r="K4959" s="46"/>
      <c r="L4959" s="10"/>
      <c r="M4959" s="44" t="s">
        <v>10178</v>
      </c>
      <c r="N4959" s="45"/>
      <c r="O4959" s="20"/>
      <c r="P4959" s="20"/>
      <c r="Q4959" s="20"/>
      <c r="R4959" s="20"/>
      <c r="S4959" s="20"/>
    </row>
    <row r="4960">
      <c r="A4960" s="23"/>
      <c r="B4960" s="21"/>
      <c r="C4960" s="23"/>
      <c r="D4960" s="24"/>
      <c r="E4960" s="14"/>
      <c r="F4960" s="14"/>
      <c r="G4960" s="14"/>
      <c r="H4960" s="23"/>
      <c r="I4960" s="23"/>
      <c r="J4960" s="23"/>
      <c r="K4960" s="30"/>
      <c r="L4960" s="23"/>
      <c r="M4960" s="50" t="s">
        <v>10178</v>
      </c>
      <c r="N4960" s="51"/>
      <c r="O4960" s="20"/>
      <c r="P4960" s="20"/>
      <c r="Q4960" s="20"/>
      <c r="R4960" s="20"/>
      <c r="S4960" s="20"/>
    </row>
    <row r="4961">
      <c r="A4961" s="10"/>
      <c r="B4961" s="11"/>
      <c r="C4961" s="10"/>
      <c r="D4961" s="13"/>
      <c r="E4961" s="14"/>
      <c r="F4961" s="14"/>
      <c r="G4961" s="14"/>
      <c r="H4961" s="10"/>
      <c r="I4961" s="10"/>
      <c r="J4961" s="10"/>
      <c r="K4961" s="46"/>
      <c r="L4961" s="10"/>
      <c r="M4961" s="44" t="s">
        <v>10178</v>
      </c>
      <c r="N4961" s="45"/>
      <c r="O4961" s="20"/>
      <c r="P4961" s="20"/>
      <c r="Q4961" s="20"/>
      <c r="R4961" s="20"/>
      <c r="S4961" s="20"/>
    </row>
    <row r="4962">
      <c r="A4962" s="23"/>
      <c r="B4962" s="21"/>
      <c r="C4962" s="23"/>
      <c r="D4962" s="24"/>
      <c r="E4962" s="14"/>
      <c r="F4962" s="14"/>
      <c r="G4962" s="14"/>
      <c r="H4962" s="23"/>
      <c r="I4962" s="23"/>
      <c r="J4962" s="23"/>
      <c r="K4962" s="30"/>
      <c r="L4962" s="23"/>
      <c r="M4962" s="50" t="s">
        <v>10178</v>
      </c>
      <c r="N4962" s="51"/>
      <c r="O4962" s="20"/>
      <c r="P4962" s="20"/>
      <c r="Q4962" s="20"/>
      <c r="R4962" s="20"/>
      <c r="S4962" s="20"/>
    </row>
    <row r="4963">
      <c r="A4963" s="10"/>
      <c r="B4963" s="11"/>
      <c r="C4963" s="10"/>
      <c r="D4963" s="13"/>
      <c r="E4963" s="14"/>
      <c r="F4963" s="14"/>
      <c r="G4963" s="14"/>
      <c r="H4963" s="10"/>
      <c r="I4963" s="10"/>
      <c r="J4963" s="10"/>
      <c r="K4963" s="46"/>
      <c r="L4963" s="10"/>
      <c r="M4963" s="44" t="s">
        <v>10178</v>
      </c>
      <c r="N4963" s="45"/>
      <c r="O4963" s="20"/>
      <c r="P4963" s="20"/>
      <c r="Q4963" s="20"/>
      <c r="R4963" s="20"/>
      <c r="S4963" s="20"/>
    </row>
    <row r="4964">
      <c r="A4964" s="23"/>
      <c r="B4964" s="21"/>
      <c r="C4964" s="23"/>
      <c r="D4964" s="24"/>
      <c r="E4964" s="14"/>
      <c r="F4964" s="14"/>
      <c r="G4964" s="14"/>
      <c r="H4964" s="23"/>
      <c r="I4964" s="23"/>
      <c r="J4964" s="23"/>
      <c r="K4964" s="30"/>
      <c r="L4964" s="23"/>
      <c r="M4964" s="50" t="s">
        <v>10178</v>
      </c>
      <c r="N4964" s="51"/>
      <c r="O4964" s="20"/>
      <c r="P4964" s="20"/>
      <c r="Q4964" s="20"/>
      <c r="R4964" s="20"/>
      <c r="S4964" s="20"/>
    </row>
    <row r="4965">
      <c r="A4965" s="10"/>
      <c r="B4965" s="11"/>
      <c r="C4965" s="10"/>
      <c r="D4965" s="13"/>
      <c r="E4965" s="14"/>
      <c r="F4965" s="14"/>
      <c r="G4965" s="14"/>
      <c r="H4965" s="10"/>
      <c r="I4965" s="10"/>
      <c r="J4965" s="10"/>
      <c r="K4965" s="46"/>
      <c r="L4965" s="10"/>
      <c r="M4965" s="44" t="s">
        <v>10178</v>
      </c>
      <c r="N4965" s="45"/>
      <c r="O4965" s="20"/>
      <c r="P4965" s="20"/>
      <c r="Q4965" s="20"/>
      <c r="R4965" s="20"/>
      <c r="S4965" s="20"/>
    </row>
    <row r="4966">
      <c r="A4966" s="23"/>
      <c r="B4966" s="21"/>
      <c r="C4966" s="23"/>
      <c r="D4966" s="24"/>
      <c r="E4966" s="14"/>
      <c r="F4966" s="14"/>
      <c r="G4966" s="14"/>
      <c r="H4966" s="23"/>
      <c r="I4966" s="23"/>
      <c r="J4966" s="23"/>
      <c r="K4966" s="30"/>
      <c r="L4966" s="23"/>
      <c r="M4966" s="50" t="s">
        <v>10178</v>
      </c>
      <c r="N4966" s="51"/>
      <c r="O4966" s="20"/>
      <c r="P4966" s="20"/>
      <c r="Q4966" s="20"/>
      <c r="R4966" s="20"/>
      <c r="S4966" s="20"/>
    </row>
    <row r="4967">
      <c r="A4967" s="10"/>
      <c r="B4967" s="11"/>
      <c r="C4967" s="10"/>
      <c r="D4967" s="13"/>
      <c r="E4967" s="14"/>
      <c r="F4967" s="14"/>
      <c r="G4967" s="14"/>
      <c r="H4967" s="10"/>
      <c r="I4967" s="10"/>
      <c r="J4967" s="10"/>
      <c r="K4967" s="46"/>
      <c r="L4967" s="10"/>
      <c r="M4967" s="44" t="s">
        <v>10178</v>
      </c>
      <c r="N4967" s="45"/>
      <c r="O4967" s="20"/>
      <c r="P4967" s="20"/>
      <c r="Q4967" s="20"/>
      <c r="R4967" s="20"/>
      <c r="S4967" s="20"/>
    </row>
    <row r="4968">
      <c r="A4968" s="23"/>
      <c r="B4968" s="21"/>
      <c r="C4968" s="23"/>
      <c r="D4968" s="24"/>
      <c r="E4968" s="14"/>
      <c r="F4968" s="14"/>
      <c r="G4968" s="14"/>
      <c r="H4968" s="23"/>
      <c r="I4968" s="23"/>
      <c r="J4968" s="23"/>
      <c r="K4968" s="30"/>
      <c r="L4968" s="23"/>
      <c r="M4968" s="50" t="s">
        <v>10178</v>
      </c>
      <c r="N4968" s="51"/>
      <c r="O4968" s="20"/>
      <c r="P4968" s="20"/>
      <c r="Q4968" s="20"/>
      <c r="R4968" s="20"/>
      <c r="S4968" s="20"/>
    </row>
    <row r="4969">
      <c r="A4969" s="10"/>
      <c r="B4969" s="11"/>
      <c r="C4969" s="10"/>
      <c r="D4969" s="13"/>
      <c r="E4969" s="14"/>
      <c r="F4969" s="14"/>
      <c r="G4969" s="14"/>
      <c r="H4969" s="10"/>
      <c r="I4969" s="10"/>
      <c r="J4969" s="10"/>
      <c r="K4969" s="46"/>
      <c r="L4969" s="10"/>
      <c r="M4969" s="44" t="s">
        <v>10178</v>
      </c>
      <c r="N4969" s="45"/>
      <c r="O4969" s="20"/>
      <c r="P4969" s="20"/>
      <c r="Q4969" s="20"/>
      <c r="R4969" s="20"/>
      <c r="S4969" s="20"/>
    </row>
    <row r="4970">
      <c r="A4970" s="23"/>
      <c r="B4970" s="21"/>
      <c r="C4970" s="23"/>
      <c r="D4970" s="24"/>
      <c r="E4970" s="14"/>
      <c r="F4970" s="14"/>
      <c r="G4970" s="14"/>
      <c r="H4970" s="23"/>
      <c r="I4970" s="23"/>
      <c r="J4970" s="23"/>
      <c r="K4970" s="30"/>
      <c r="L4970" s="23"/>
      <c r="M4970" s="50" t="s">
        <v>10178</v>
      </c>
      <c r="N4970" s="51"/>
      <c r="O4970" s="20"/>
      <c r="P4970" s="20"/>
      <c r="Q4970" s="20"/>
      <c r="R4970" s="20"/>
      <c r="S4970" s="20"/>
    </row>
    <row r="4971">
      <c r="A4971" s="10"/>
      <c r="B4971" s="11"/>
      <c r="C4971" s="10"/>
      <c r="D4971" s="13"/>
      <c r="E4971" s="14"/>
      <c r="F4971" s="14"/>
      <c r="G4971" s="14"/>
      <c r="H4971" s="10"/>
      <c r="I4971" s="10"/>
      <c r="J4971" s="10"/>
      <c r="K4971" s="46"/>
      <c r="L4971" s="10"/>
      <c r="M4971" s="44" t="s">
        <v>10178</v>
      </c>
      <c r="N4971" s="45"/>
      <c r="O4971" s="20"/>
      <c r="P4971" s="20"/>
      <c r="Q4971" s="20"/>
      <c r="R4971" s="20"/>
      <c r="S4971" s="20"/>
    </row>
    <row r="4972">
      <c r="A4972" s="23"/>
      <c r="B4972" s="21"/>
      <c r="C4972" s="23"/>
      <c r="D4972" s="24"/>
      <c r="E4972" s="14"/>
      <c r="F4972" s="14"/>
      <c r="G4972" s="14"/>
      <c r="H4972" s="23"/>
      <c r="I4972" s="23"/>
      <c r="J4972" s="23"/>
      <c r="K4972" s="30"/>
      <c r="L4972" s="23"/>
      <c r="M4972" s="50" t="s">
        <v>10178</v>
      </c>
      <c r="N4972" s="51"/>
      <c r="O4972" s="20"/>
      <c r="P4972" s="20"/>
      <c r="Q4972" s="20"/>
      <c r="R4972" s="20"/>
      <c r="S4972" s="20"/>
    </row>
    <row r="4973">
      <c r="A4973" s="10"/>
      <c r="B4973" s="11"/>
      <c r="C4973" s="10"/>
      <c r="D4973" s="13"/>
      <c r="E4973" s="14"/>
      <c r="F4973" s="14"/>
      <c r="G4973" s="14"/>
      <c r="H4973" s="10"/>
      <c r="I4973" s="10"/>
      <c r="J4973" s="10"/>
      <c r="K4973" s="46"/>
      <c r="L4973" s="10"/>
      <c r="M4973" s="44" t="s">
        <v>10178</v>
      </c>
      <c r="N4973" s="45"/>
      <c r="O4973" s="20"/>
      <c r="P4973" s="20"/>
      <c r="Q4973" s="20"/>
      <c r="R4973" s="20"/>
      <c r="S4973" s="20"/>
    </row>
    <row r="4974">
      <c r="A4974" s="23"/>
      <c r="B4974" s="21"/>
      <c r="C4974" s="23"/>
      <c r="D4974" s="24"/>
      <c r="E4974" s="14"/>
      <c r="F4974" s="14"/>
      <c r="G4974" s="14"/>
      <c r="H4974" s="23"/>
      <c r="I4974" s="23"/>
      <c r="J4974" s="23"/>
      <c r="K4974" s="30"/>
      <c r="L4974" s="23"/>
      <c r="M4974" s="50" t="s">
        <v>10178</v>
      </c>
      <c r="N4974" s="51"/>
      <c r="O4974" s="20"/>
      <c r="P4974" s="20"/>
      <c r="Q4974" s="20"/>
      <c r="R4974" s="20"/>
      <c r="S4974" s="20"/>
    </row>
    <row r="4975">
      <c r="A4975" s="10"/>
      <c r="B4975" s="11"/>
      <c r="C4975" s="10"/>
      <c r="D4975" s="13"/>
      <c r="E4975" s="14"/>
      <c r="F4975" s="14"/>
      <c r="G4975" s="14"/>
      <c r="H4975" s="10"/>
      <c r="I4975" s="10"/>
      <c r="J4975" s="10"/>
      <c r="K4975" s="46"/>
      <c r="L4975" s="10"/>
      <c r="M4975" s="44" t="s">
        <v>10178</v>
      </c>
      <c r="N4975" s="45"/>
      <c r="O4975" s="20"/>
      <c r="P4975" s="20"/>
      <c r="Q4975" s="20"/>
      <c r="R4975" s="20"/>
      <c r="S4975" s="20"/>
    </row>
    <row r="4976">
      <c r="A4976" s="23"/>
      <c r="B4976" s="21"/>
      <c r="C4976" s="23"/>
      <c r="D4976" s="24"/>
      <c r="E4976" s="14"/>
      <c r="F4976" s="14"/>
      <c r="G4976" s="14"/>
      <c r="H4976" s="23"/>
      <c r="I4976" s="23"/>
      <c r="J4976" s="23"/>
      <c r="K4976" s="30"/>
      <c r="L4976" s="23"/>
      <c r="M4976" s="50" t="s">
        <v>10178</v>
      </c>
      <c r="N4976" s="51"/>
      <c r="O4976" s="20"/>
      <c r="P4976" s="20"/>
      <c r="Q4976" s="20"/>
      <c r="R4976" s="20"/>
      <c r="S4976" s="20"/>
    </row>
    <row r="4977">
      <c r="A4977" s="10"/>
      <c r="B4977" s="11"/>
      <c r="C4977" s="10"/>
      <c r="D4977" s="13"/>
      <c r="E4977" s="14"/>
      <c r="F4977" s="14"/>
      <c r="G4977" s="14"/>
      <c r="H4977" s="10"/>
      <c r="I4977" s="10"/>
      <c r="J4977" s="10"/>
      <c r="K4977" s="46"/>
      <c r="L4977" s="10"/>
      <c r="M4977" s="44" t="s">
        <v>10178</v>
      </c>
      <c r="N4977" s="45"/>
      <c r="O4977" s="20"/>
      <c r="P4977" s="20"/>
      <c r="Q4977" s="20"/>
      <c r="R4977" s="20"/>
      <c r="S4977" s="20"/>
    </row>
    <row r="4978">
      <c r="A4978" s="23"/>
      <c r="B4978" s="21"/>
      <c r="C4978" s="23"/>
      <c r="D4978" s="24"/>
      <c r="E4978" s="14"/>
      <c r="F4978" s="14"/>
      <c r="G4978" s="14"/>
      <c r="H4978" s="23"/>
      <c r="I4978" s="23"/>
      <c r="J4978" s="23"/>
      <c r="K4978" s="30"/>
      <c r="L4978" s="23"/>
      <c r="M4978" s="50" t="s">
        <v>10178</v>
      </c>
      <c r="N4978" s="51"/>
      <c r="O4978" s="20"/>
      <c r="P4978" s="20"/>
      <c r="Q4978" s="20"/>
      <c r="R4978" s="20"/>
      <c r="S4978" s="20"/>
    </row>
    <row r="4979">
      <c r="A4979" s="10"/>
      <c r="B4979" s="11"/>
      <c r="C4979" s="10"/>
      <c r="D4979" s="13"/>
      <c r="E4979" s="14"/>
      <c r="F4979" s="14"/>
      <c r="G4979" s="14"/>
      <c r="H4979" s="10"/>
      <c r="I4979" s="10"/>
      <c r="J4979" s="10"/>
      <c r="K4979" s="46"/>
      <c r="L4979" s="10"/>
      <c r="M4979" s="44" t="s">
        <v>10178</v>
      </c>
      <c r="N4979" s="45"/>
      <c r="O4979" s="20"/>
      <c r="P4979" s="20"/>
      <c r="Q4979" s="20"/>
      <c r="R4979" s="20"/>
      <c r="S4979" s="20"/>
    </row>
    <row r="4980">
      <c r="A4980" s="23"/>
      <c r="B4980" s="21"/>
      <c r="C4980" s="23"/>
      <c r="D4980" s="24"/>
      <c r="E4980" s="14"/>
      <c r="F4980" s="14"/>
      <c r="G4980" s="14"/>
      <c r="H4980" s="23"/>
      <c r="I4980" s="23"/>
      <c r="J4980" s="23"/>
      <c r="K4980" s="30"/>
      <c r="L4980" s="23"/>
      <c r="M4980" s="50" t="s">
        <v>10178</v>
      </c>
      <c r="N4980" s="51"/>
      <c r="O4980" s="20"/>
      <c r="P4980" s="20"/>
      <c r="Q4980" s="20"/>
      <c r="R4980" s="20"/>
      <c r="S4980" s="20"/>
    </row>
    <row r="4981">
      <c r="A4981" s="10"/>
      <c r="B4981" s="11"/>
      <c r="C4981" s="10"/>
      <c r="D4981" s="13"/>
      <c r="E4981" s="14"/>
      <c r="F4981" s="14"/>
      <c r="G4981" s="14"/>
      <c r="H4981" s="10"/>
      <c r="I4981" s="10"/>
      <c r="J4981" s="10"/>
      <c r="K4981" s="46"/>
      <c r="L4981" s="10"/>
      <c r="M4981" s="44" t="s">
        <v>10178</v>
      </c>
      <c r="N4981" s="45"/>
      <c r="O4981" s="20"/>
      <c r="P4981" s="20"/>
      <c r="Q4981" s="20"/>
      <c r="R4981" s="20"/>
      <c r="S4981" s="20"/>
    </row>
    <row r="4982">
      <c r="A4982" s="23"/>
      <c r="B4982" s="21"/>
      <c r="C4982" s="23"/>
      <c r="D4982" s="24"/>
      <c r="E4982" s="14"/>
      <c r="F4982" s="14"/>
      <c r="G4982" s="14"/>
      <c r="H4982" s="23"/>
      <c r="I4982" s="23"/>
      <c r="J4982" s="23"/>
      <c r="K4982" s="30"/>
      <c r="L4982" s="23"/>
      <c r="M4982" s="50" t="s">
        <v>10178</v>
      </c>
      <c r="N4982" s="51"/>
      <c r="O4982" s="20"/>
      <c r="P4982" s="20"/>
      <c r="Q4982" s="20"/>
      <c r="R4982" s="20"/>
      <c r="S4982" s="20"/>
    </row>
    <row r="4983">
      <c r="A4983" s="10"/>
      <c r="B4983" s="11"/>
      <c r="C4983" s="10"/>
      <c r="D4983" s="13"/>
      <c r="E4983" s="14"/>
      <c r="F4983" s="14"/>
      <c r="G4983" s="14"/>
      <c r="H4983" s="10"/>
      <c r="I4983" s="10"/>
      <c r="J4983" s="10"/>
      <c r="K4983" s="46"/>
      <c r="L4983" s="10"/>
      <c r="M4983" s="44" t="s">
        <v>10178</v>
      </c>
      <c r="N4983" s="45"/>
      <c r="O4983" s="20"/>
      <c r="P4983" s="20"/>
      <c r="Q4983" s="20"/>
      <c r="R4983" s="20"/>
      <c r="S4983" s="20"/>
    </row>
    <row r="4984">
      <c r="A4984" s="23"/>
      <c r="B4984" s="21"/>
      <c r="C4984" s="23"/>
      <c r="D4984" s="24"/>
      <c r="E4984" s="14"/>
      <c r="F4984" s="14"/>
      <c r="G4984" s="14"/>
      <c r="H4984" s="23"/>
      <c r="I4984" s="23"/>
      <c r="J4984" s="23"/>
      <c r="K4984" s="30"/>
      <c r="L4984" s="23"/>
      <c r="M4984" s="50" t="s">
        <v>10178</v>
      </c>
      <c r="N4984" s="51"/>
      <c r="O4984" s="20"/>
      <c r="P4984" s="20"/>
      <c r="Q4984" s="20"/>
      <c r="R4984" s="20"/>
      <c r="S4984" s="20"/>
    </row>
    <row r="4985">
      <c r="A4985" s="10"/>
      <c r="B4985" s="11"/>
      <c r="C4985" s="10"/>
      <c r="D4985" s="13"/>
      <c r="E4985" s="14"/>
      <c r="F4985" s="14"/>
      <c r="G4985" s="14"/>
      <c r="H4985" s="10"/>
      <c r="I4985" s="10"/>
      <c r="J4985" s="10"/>
      <c r="K4985" s="46"/>
      <c r="L4985" s="10"/>
      <c r="M4985" s="44" t="s">
        <v>10178</v>
      </c>
      <c r="N4985" s="45"/>
      <c r="O4985" s="20"/>
      <c r="P4985" s="20"/>
      <c r="Q4985" s="20"/>
      <c r="R4985" s="20"/>
      <c r="S4985" s="20"/>
    </row>
    <row r="4986">
      <c r="A4986" s="23"/>
      <c r="B4986" s="21"/>
      <c r="C4986" s="23"/>
      <c r="D4986" s="24"/>
      <c r="E4986" s="14"/>
      <c r="F4986" s="14"/>
      <c r="G4986" s="14"/>
      <c r="H4986" s="23"/>
      <c r="I4986" s="23"/>
      <c r="J4986" s="23"/>
      <c r="K4986" s="30"/>
      <c r="L4986" s="23"/>
      <c r="M4986" s="50" t="s">
        <v>10178</v>
      </c>
      <c r="N4986" s="51"/>
      <c r="O4986" s="20"/>
      <c r="P4986" s="20"/>
      <c r="Q4986" s="20"/>
      <c r="R4986" s="20"/>
      <c r="S4986" s="20"/>
    </row>
    <row r="4987">
      <c r="A4987" s="10"/>
      <c r="B4987" s="11"/>
      <c r="C4987" s="10"/>
      <c r="D4987" s="13"/>
      <c r="E4987" s="14"/>
      <c r="F4987" s="14"/>
      <c r="G4987" s="14"/>
      <c r="H4987" s="10"/>
      <c r="I4987" s="10"/>
      <c r="J4987" s="10"/>
      <c r="K4987" s="46"/>
      <c r="L4987" s="10"/>
      <c r="M4987" s="44" t="s">
        <v>10178</v>
      </c>
      <c r="N4987" s="45"/>
      <c r="O4987" s="20"/>
      <c r="P4987" s="20"/>
      <c r="Q4987" s="20"/>
      <c r="R4987" s="20"/>
      <c r="S4987" s="20"/>
    </row>
    <row r="4988">
      <c r="A4988" s="23"/>
      <c r="B4988" s="21"/>
      <c r="C4988" s="23"/>
      <c r="D4988" s="24"/>
      <c r="E4988" s="14"/>
      <c r="F4988" s="14"/>
      <c r="G4988" s="14"/>
      <c r="H4988" s="23"/>
      <c r="I4988" s="23"/>
      <c r="J4988" s="23"/>
      <c r="K4988" s="30"/>
      <c r="L4988" s="23"/>
      <c r="M4988" s="50" t="s">
        <v>10178</v>
      </c>
      <c r="N4988" s="51"/>
      <c r="O4988" s="20"/>
      <c r="P4988" s="20"/>
      <c r="Q4988" s="20"/>
      <c r="R4988" s="20"/>
      <c r="S4988" s="20"/>
    </row>
    <row r="4989">
      <c r="A4989" s="10"/>
      <c r="B4989" s="11"/>
      <c r="C4989" s="10"/>
      <c r="D4989" s="13"/>
      <c r="E4989" s="14"/>
      <c r="F4989" s="14"/>
      <c r="G4989" s="14"/>
      <c r="H4989" s="10"/>
      <c r="I4989" s="10"/>
      <c r="J4989" s="10"/>
      <c r="K4989" s="46"/>
      <c r="L4989" s="10"/>
      <c r="M4989" s="44" t="s">
        <v>10178</v>
      </c>
      <c r="N4989" s="45"/>
      <c r="O4989" s="20"/>
      <c r="P4989" s="20"/>
      <c r="Q4989" s="20"/>
      <c r="R4989" s="20"/>
      <c r="S4989" s="20"/>
    </row>
    <row r="4990">
      <c r="A4990" s="23"/>
      <c r="B4990" s="21"/>
      <c r="C4990" s="23"/>
      <c r="D4990" s="24"/>
      <c r="E4990" s="14"/>
      <c r="F4990" s="14"/>
      <c r="G4990" s="14"/>
      <c r="H4990" s="23"/>
      <c r="I4990" s="23"/>
      <c r="J4990" s="23"/>
      <c r="K4990" s="30"/>
      <c r="L4990" s="23"/>
      <c r="M4990" s="50" t="s">
        <v>10178</v>
      </c>
      <c r="N4990" s="51"/>
      <c r="O4990" s="20"/>
      <c r="P4990" s="20"/>
      <c r="Q4990" s="20"/>
      <c r="R4990" s="20"/>
      <c r="S4990" s="20"/>
    </row>
    <row r="4991">
      <c r="A4991" s="10"/>
      <c r="B4991" s="11"/>
      <c r="C4991" s="10"/>
      <c r="D4991" s="13"/>
      <c r="E4991" s="14"/>
      <c r="F4991" s="14"/>
      <c r="G4991" s="14"/>
      <c r="H4991" s="10"/>
      <c r="I4991" s="10"/>
      <c r="J4991" s="10"/>
      <c r="K4991" s="46"/>
      <c r="L4991" s="10"/>
      <c r="M4991" s="44" t="s">
        <v>10178</v>
      </c>
      <c r="N4991" s="45"/>
      <c r="O4991" s="20"/>
      <c r="P4991" s="20"/>
      <c r="Q4991" s="20"/>
      <c r="R4991" s="20"/>
      <c r="S4991" s="20"/>
    </row>
    <row r="4992">
      <c r="A4992" s="23"/>
      <c r="B4992" s="21"/>
      <c r="C4992" s="23"/>
      <c r="D4992" s="24"/>
      <c r="E4992" s="14"/>
      <c r="F4992" s="14"/>
      <c r="G4992" s="14"/>
      <c r="H4992" s="23"/>
      <c r="I4992" s="23"/>
      <c r="J4992" s="23"/>
      <c r="K4992" s="30"/>
      <c r="L4992" s="23"/>
      <c r="M4992" s="50" t="s">
        <v>10178</v>
      </c>
      <c r="N4992" s="51"/>
      <c r="O4992" s="20"/>
      <c r="P4992" s="20"/>
      <c r="Q4992" s="20"/>
      <c r="R4992" s="20"/>
      <c r="S4992" s="20"/>
    </row>
    <row r="4993">
      <c r="A4993" s="10"/>
      <c r="B4993" s="11"/>
      <c r="C4993" s="10"/>
      <c r="D4993" s="13"/>
      <c r="E4993" s="14"/>
      <c r="F4993" s="14"/>
      <c r="G4993" s="14"/>
      <c r="H4993" s="10"/>
      <c r="I4993" s="10"/>
      <c r="J4993" s="10"/>
      <c r="K4993" s="46"/>
      <c r="L4993" s="10"/>
      <c r="M4993" s="44" t="s">
        <v>10178</v>
      </c>
      <c r="N4993" s="45"/>
      <c r="O4993" s="20"/>
      <c r="P4993" s="20"/>
      <c r="Q4993" s="20"/>
      <c r="R4993" s="20"/>
      <c r="S4993" s="20"/>
    </row>
    <row r="4994">
      <c r="A4994" s="23"/>
      <c r="B4994" s="21"/>
      <c r="C4994" s="23"/>
      <c r="D4994" s="24"/>
      <c r="E4994" s="14"/>
      <c r="F4994" s="14"/>
      <c r="G4994" s="14"/>
      <c r="H4994" s="23"/>
      <c r="I4994" s="23"/>
      <c r="J4994" s="23"/>
      <c r="K4994" s="30"/>
      <c r="L4994" s="23"/>
      <c r="M4994" s="50" t="s">
        <v>10178</v>
      </c>
      <c r="N4994" s="51"/>
      <c r="O4994" s="20"/>
      <c r="P4994" s="20"/>
      <c r="Q4994" s="20"/>
      <c r="R4994" s="20"/>
      <c r="S4994" s="20"/>
    </row>
    <row r="4995">
      <c r="A4995" s="10"/>
      <c r="B4995" s="11"/>
      <c r="C4995" s="10"/>
      <c r="D4995" s="13"/>
      <c r="E4995" s="14"/>
      <c r="F4995" s="14"/>
      <c r="G4995" s="14"/>
      <c r="H4995" s="10"/>
      <c r="I4995" s="10"/>
      <c r="J4995" s="10"/>
      <c r="K4995" s="46"/>
      <c r="L4995" s="10"/>
      <c r="M4995" s="44" t="s">
        <v>10178</v>
      </c>
      <c r="N4995" s="45"/>
      <c r="O4995" s="20"/>
      <c r="P4995" s="20"/>
      <c r="Q4995" s="20"/>
      <c r="R4995" s="20"/>
      <c r="S4995" s="20"/>
    </row>
    <row r="4996">
      <c r="A4996" s="23"/>
      <c r="B4996" s="21"/>
      <c r="C4996" s="23"/>
      <c r="D4996" s="24"/>
      <c r="E4996" s="14"/>
      <c r="F4996" s="14"/>
      <c r="G4996" s="14"/>
      <c r="H4996" s="23"/>
      <c r="I4996" s="23"/>
      <c r="J4996" s="23"/>
      <c r="K4996" s="30"/>
      <c r="L4996" s="23"/>
      <c r="M4996" s="50" t="s">
        <v>10178</v>
      </c>
      <c r="N4996" s="51"/>
      <c r="O4996" s="20"/>
      <c r="P4996" s="20"/>
      <c r="Q4996" s="20"/>
      <c r="R4996" s="20"/>
      <c r="S4996" s="20"/>
    </row>
    <row r="4997">
      <c r="A4997" s="10"/>
      <c r="B4997" s="11"/>
      <c r="C4997" s="10"/>
      <c r="D4997" s="13"/>
      <c r="E4997" s="14"/>
      <c r="F4997" s="14"/>
      <c r="G4997" s="14"/>
      <c r="H4997" s="10"/>
      <c r="I4997" s="10"/>
      <c r="J4997" s="10"/>
      <c r="K4997" s="46"/>
      <c r="L4997" s="10"/>
      <c r="M4997" s="44" t="s">
        <v>10178</v>
      </c>
      <c r="N4997" s="45"/>
      <c r="O4997" s="20"/>
      <c r="P4997" s="20"/>
      <c r="Q4997" s="20"/>
      <c r="R4997" s="20"/>
      <c r="S4997" s="20"/>
    </row>
    <row r="4998">
      <c r="A4998" s="23"/>
      <c r="B4998" s="21"/>
      <c r="C4998" s="23"/>
      <c r="D4998" s="24"/>
      <c r="E4998" s="14"/>
      <c r="F4998" s="14"/>
      <c r="G4998" s="14"/>
      <c r="H4998" s="23"/>
      <c r="I4998" s="23"/>
      <c r="J4998" s="23"/>
      <c r="K4998" s="30"/>
      <c r="L4998" s="23"/>
      <c r="M4998" s="50" t="s">
        <v>10178</v>
      </c>
      <c r="N4998" s="51"/>
      <c r="O4998" s="20"/>
      <c r="P4998" s="20"/>
      <c r="Q4998" s="20"/>
      <c r="R4998" s="20"/>
      <c r="S4998" s="20"/>
    </row>
    <row r="4999">
      <c r="A4999" s="10"/>
      <c r="B4999" s="11"/>
      <c r="C4999" s="10"/>
      <c r="D4999" s="13"/>
      <c r="E4999" s="14"/>
      <c r="F4999" s="14"/>
      <c r="G4999" s="14"/>
      <c r="H4999" s="10"/>
      <c r="I4999" s="10"/>
      <c r="J4999" s="10"/>
      <c r="K4999" s="46"/>
      <c r="L4999" s="10"/>
      <c r="M4999" s="44" t="s">
        <v>10178</v>
      </c>
      <c r="N4999" s="45"/>
      <c r="O4999" s="20"/>
      <c r="P4999" s="20"/>
      <c r="Q4999" s="20"/>
      <c r="R4999" s="20"/>
      <c r="S4999" s="20"/>
    </row>
    <row r="5000">
      <c r="A5000" s="23"/>
      <c r="B5000" s="21"/>
      <c r="C5000" s="23"/>
      <c r="D5000" s="24"/>
      <c r="E5000" s="14"/>
      <c r="F5000" s="14"/>
      <c r="G5000" s="14"/>
      <c r="H5000" s="23"/>
      <c r="I5000" s="23"/>
      <c r="J5000" s="23"/>
      <c r="K5000" s="30"/>
      <c r="L5000" s="23"/>
      <c r="M5000" s="50" t="s">
        <v>10178</v>
      </c>
      <c r="N5000" s="51"/>
      <c r="O5000" s="20"/>
      <c r="P5000" s="20"/>
      <c r="Q5000" s="20"/>
      <c r="R5000" s="20"/>
      <c r="S5000" s="20"/>
    </row>
    <row r="5001">
      <c r="A5001" s="10"/>
      <c r="B5001" s="11"/>
      <c r="C5001" s="10"/>
      <c r="D5001" s="13"/>
      <c r="E5001" s="14"/>
      <c r="F5001" s="14"/>
      <c r="G5001" s="14"/>
      <c r="H5001" s="10"/>
      <c r="I5001" s="10"/>
      <c r="J5001" s="10"/>
      <c r="K5001" s="46"/>
      <c r="L5001" s="10"/>
      <c r="M5001" s="44" t="s">
        <v>10178</v>
      </c>
      <c r="N5001" s="45"/>
      <c r="O5001" s="20"/>
      <c r="P5001" s="20"/>
      <c r="Q5001" s="20"/>
      <c r="R5001" s="20"/>
      <c r="S5001" s="20"/>
    </row>
    <row r="5002">
      <c r="A5002" s="23"/>
      <c r="B5002" s="21"/>
      <c r="C5002" s="23"/>
      <c r="D5002" s="24"/>
      <c r="E5002" s="14"/>
      <c r="F5002" s="14"/>
      <c r="G5002" s="14"/>
      <c r="H5002" s="23"/>
      <c r="I5002" s="23"/>
      <c r="J5002" s="23"/>
      <c r="K5002" s="30"/>
      <c r="L5002" s="23"/>
      <c r="M5002" s="50" t="s">
        <v>10178</v>
      </c>
      <c r="N5002" s="51"/>
      <c r="O5002" s="20"/>
      <c r="P5002" s="20"/>
      <c r="Q5002" s="20"/>
      <c r="R5002" s="20"/>
      <c r="S5002" s="20"/>
    </row>
    <row r="5003">
      <c r="A5003" s="10"/>
      <c r="B5003" s="11"/>
      <c r="C5003" s="10"/>
      <c r="D5003" s="13"/>
      <c r="E5003" s="14"/>
      <c r="F5003" s="14"/>
      <c r="G5003" s="14"/>
      <c r="H5003" s="10"/>
      <c r="I5003" s="10"/>
      <c r="J5003" s="10"/>
      <c r="K5003" s="46"/>
      <c r="L5003" s="10"/>
      <c r="M5003" s="44" t="s">
        <v>10178</v>
      </c>
      <c r="N5003" s="45"/>
      <c r="O5003" s="20"/>
      <c r="P5003" s="20"/>
      <c r="Q5003" s="20"/>
      <c r="R5003" s="20"/>
      <c r="S5003" s="20"/>
    </row>
    <row r="5004">
      <c r="A5004" s="23"/>
      <c r="B5004" s="21"/>
      <c r="C5004" s="23"/>
      <c r="D5004" s="24"/>
      <c r="E5004" s="14"/>
      <c r="F5004" s="14"/>
      <c r="G5004" s="14"/>
      <c r="H5004" s="23"/>
      <c r="I5004" s="23"/>
      <c r="J5004" s="23"/>
      <c r="K5004" s="30"/>
      <c r="L5004" s="23"/>
      <c r="M5004" s="50" t="s">
        <v>10178</v>
      </c>
      <c r="N5004" s="51"/>
      <c r="O5004" s="20"/>
      <c r="P5004" s="20"/>
      <c r="Q5004" s="20"/>
      <c r="R5004" s="20"/>
      <c r="S5004" s="20"/>
    </row>
    <row r="5005">
      <c r="A5005" s="10"/>
      <c r="B5005" s="11"/>
      <c r="C5005" s="10"/>
      <c r="D5005" s="13"/>
      <c r="E5005" s="14"/>
      <c r="F5005" s="14"/>
      <c r="G5005" s="14"/>
      <c r="H5005" s="10"/>
      <c r="I5005" s="10"/>
      <c r="J5005" s="10"/>
      <c r="K5005" s="46"/>
      <c r="L5005" s="10"/>
      <c r="M5005" s="44" t="s">
        <v>10178</v>
      </c>
      <c r="N5005" s="45"/>
      <c r="O5005" s="20"/>
      <c r="P5005" s="20"/>
      <c r="Q5005" s="20"/>
      <c r="R5005" s="20"/>
      <c r="S5005" s="20"/>
    </row>
    <row r="5006">
      <c r="A5006" s="23"/>
      <c r="B5006" s="21"/>
      <c r="C5006" s="23"/>
      <c r="D5006" s="24"/>
      <c r="E5006" s="14"/>
      <c r="F5006" s="14"/>
      <c r="G5006" s="14"/>
      <c r="H5006" s="23"/>
      <c r="I5006" s="23"/>
      <c r="J5006" s="23"/>
      <c r="K5006" s="30"/>
      <c r="L5006" s="23"/>
      <c r="M5006" s="50" t="s">
        <v>10178</v>
      </c>
      <c r="N5006" s="51"/>
      <c r="O5006" s="20"/>
      <c r="P5006" s="20"/>
      <c r="Q5006" s="20"/>
      <c r="R5006" s="20"/>
      <c r="S5006" s="20"/>
    </row>
    <row r="5007">
      <c r="A5007" s="10"/>
      <c r="B5007" s="11"/>
      <c r="C5007" s="10"/>
      <c r="D5007" s="13"/>
      <c r="E5007" s="14"/>
      <c r="F5007" s="14"/>
      <c r="G5007" s="14"/>
      <c r="H5007" s="10"/>
      <c r="I5007" s="10"/>
      <c r="J5007" s="10"/>
      <c r="K5007" s="46"/>
      <c r="L5007" s="10"/>
      <c r="M5007" s="44" t="s">
        <v>10178</v>
      </c>
      <c r="N5007" s="45"/>
      <c r="O5007" s="20"/>
      <c r="P5007" s="20"/>
      <c r="Q5007" s="20"/>
      <c r="R5007" s="20"/>
      <c r="S5007" s="20"/>
    </row>
    <row r="5008">
      <c r="A5008" s="23"/>
      <c r="B5008" s="21"/>
      <c r="C5008" s="23"/>
      <c r="D5008" s="24"/>
      <c r="E5008" s="14"/>
      <c r="F5008" s="14"/>
      <c r="G5008" s="14"/>
      <c r="H5008" s="23"/>
      <c r="I5008" s="23"/>
      <c r="J5008" s="23"/>
      <c r="K5008" s="30"/>
      <c r="L5008" s="23"/>
      <c r="M5008" s="50" t="s">
        <v>10178</v>
      </c>
      <c r="N5008" s="51"/>
      <c r="O5008" s="20"/>
      <c r="P5008" s="20"/>
      <c r="Q5008" s="20"/>
      <c r="R5008" s="20"/>
      <c r="S5008" s="20"/>
    </row>
    <row r="5009">
      <c r="A5009" s="10"/>
      <c r="B5009" s="11"/>
      <c r="C5009" s="10"/>
      <c r="D5009" s="13"/>
      <c r="E5009" s="14"/>
      <c r="F5009" s="14"/>
      <c r="G5009" s="14"/>
      <c r="H5009" s="10"/>
      <c r="I5009" s="10"/>
      <c r="J5009" s="10"/>
      <c r="K5009" s="46"/>
      <c r="L5009" s="10"/>
      <c r="M5009" s="44" t="s">
        <v>10178</v>
      </c>
      <c r="N5009" s="45"/>
      <c r="O5009" s="20"/>
      <c r="P5009" s="20"/>
      <c r="Q5009" s="20"/>
      <c r="R5009" s="20"/>
      <c r="S5009" s="20"/>
    </row>
    <row r="5010">
      <c r="A5010" s="23"/>
      <c r="B5010" s="21"/>
      <c r="C5010" s="23"/>
      <c r="D5010" s="24"/>
      <c r="E5010" s="14"/>
      <c r="F5010" s="14"/>
      <c r="G5010" s="14"/>
      <c r="H5010" s="23"/>
      <c r="I5010" s="23"/>
      <c r="J5010" s="23"/>
      <c r="K5010" s="30"/>
      <c r="L5010" s="23"/>
      <c r="M5010" s="50" t="s">
        <v>10178</v>
      </c>
      <c r="N5010" s="51"/>
      <c r="O5010" s="20"/>
      <c r="P5010" s="20"/>
      <c r="Q5010" s="20"/>
      <c r="R5010" s="20"/>
      <c r="S5010" s="20"/>
    </row>
    <row r="5011">
      <c r="A5011" s="10"/>
      <c r="B5011" s="11"/>
      <c r="C5011" s="10"/>
      <c r="D5011" s="13"/>
      <c r="E5011" s="14"/>
      <c r="F5011" s="14"/>
      <c r="G5011" s="14"/>
      <c r="H5011" s="10"/>
      <c r="I5011" s="10"/>
      <c r="J5011" s="10"/>
      <c r="K5011" s="46"/>
      <c r="L5011" s="10"/>
      <c r="M5011" s="44" t="s">
        <v>10178</v>
      </c>
      <c r="N5011" s="45"/>
      <c r="O5011" s="20"/>
      <c r="P5011" s="20"/>
      <c r="Q5011" s="20"/>
      <c r="R5011" s="20"/>
      <c r="S5011" s="20"/>
    </row>
    <row r="5012">
      <c r="A5012" s="23"/>
      <c r="B5012" s="21"/>
      <c r="C5012" s="23"/>
      <c r="D5012" s="24"/>
      <c r="E5012" s="14"/>
      <c r="F5012" s="14"/>
      <c r="G5012" s="14"/>
      <c r="H5012" s="23"/>
      <c r="I5012" s="23"/>
      <c r="J5012" s="23"/>
      <c r="K5012" s="30"/>
      <c r="L5012" s="23"/>
      <c r="M5012" s="50" t="s">
        <v>10178</v>
      </c>
      <c r="N5012" s="51"/>
      <c r="O5012" s="20"/>
      <c r="P5012" s="20"/>
      <c r="Q5012" s="20"/>
      <c r="R5012" s="20"/>
      <c r="S5012" s="20"/>
    </row>
    <row r="5013">
      <c r="A5013" s="10"/>
      <c r="B5013" s="11"/>
      <c r="C5013" s="10"/>
      <c r="D5013" s="13"/>
      <c r="E5013" s="14"/>
      <c r="F5013" s="14"/>
      <c r="G5013" s="14"/>
      <c r="H5013" s="10"/>
      <c r="I5013" s="10"/>
      <c r="J5013" s="10"/>
      <c r="K5013" s="46"/>
      <c r="L5013" s="10"/>
      <c r="M5013" s="44" t="s">
        <v>10178</v>
      </c>
      <c r="N5013" s="45"/>
      <c r="O5013" s="20"/>
      <c r="P5013" s="20"/>
      <c r="Q5013" s="20"/>
      <c r="R5013" s="20"/>
      <c r="S5013" s="20"/>
    </row>
    <row r="5014">
      <c r="A5014" s="23"/>
      <c r="B5014" s="21"/>
      <c r="C5014" s="23"/>
      <c r="D5014" s="24"/>
      <c r="E5014" s="14"/>
      <c r="F5014" s="14"/>
      <c r="G5014" s="14"/>
      <c r="H5014" s="23"/>
      <c r="I5014" s="23"/>
      <c r="J5014" s="23"/>
      <c r="K5014" s="30"/>
      <c r="L5014" s="23"/>
      <c r="M5014" s="50" t="s">
        <v>10178</v>
      </c>
      <c r="N5014" s="51"/>
      <c r="O5014" s="20"/>
      <c r="P5014" s="20"/>
      <c r="Q5014" s="20"/>
      <c r="R5014" s="20"/>
      <c r="S5014" s="20"/>
    </row>
    <row r="5015">
      <c r="A5015" s="10"/>
      <c r="B5015" s="11"/>
      <c r="C5015" s="10"/>
      <c r="D5015" s="13"/>
      <c r="E5015" s="14"/>
      <c r="F5015" s="14"/>
      <c r="G5015" s="14"/>
      <c r="H5015" s="10"/>
      <c r="I5015" s="10"/>
      <c r="J5015" s="10"/>
      <c r="K5015" s="46"/>
      <c r="L5015" s="10"/>
      <c r="M5015" s="44" t="s">
        <v>10178</v>
      </c>
      <c r="N5015" s="45"/>
      <c r="O5015" s="20"/>
      <c r="P5015" s="20"/>
      <c r="Q5015" s="20"/>
      <c r="R5015" s="20"/>
      <c r="S5015" s="20"/>
    </row>
    <row r="5016">
      <c r="A5016" s="23"/>
      <c r="B5016" s="21"/>
      <c r="C5016" s="23"/>
      <c r="D5016" s="24"/>
      <c r="E5016" s="14"/>
      <c r="F5016" s="14"/>
      <c r="G5016" s="14"/>
      <c r="H5016" s="23"/>
      <c r="I5016" s="23"/>
      <c r="J5016" s="23"/>
      <c r="K5016" s="30"/>
      <c r="L5016" s="23"/>
      <c r="M5016" s="50" t="s">
        <v>10178</v>
      </c>
      <c r="N5016" s="51"/>
      <c r="O5016" s="20"/>
      <c r="P5016" s="20"/>
      <c r="Q5016" s="20"/>
      <c r="R5016" s="20"/>
      <c r="S5016" s="20"/>
    </row>
    <row r="5017">
      <c r="A5017" s="10"/>
      <c r="B5017" s="11"/>
      <c r="C5017" s="10"/>
      <c r="D5017" s="13"/>
      <c r="E5017" s="14"/>
      <c r="F5017" s="14"/>
      <c r="G5017" s="14"/>
      <c r="H5017" s="10"/>
      <c r="I5017" s="10"/>
      <c r="J5017" s="10"/>
      <c r="K5017" s="46"/>
      <c r="L5017" s="10"/>
      <c r="M5017" s="44" t="s">
        <v>10178</v>
      </c>
      <c r="N5017" s="45"/>
      <c r="O5017" s="20"/>
      <c r="P5017" s="20"/>
      <c r="Q5017" s="20"/>
      <c r="R5017" s="20"/>
      <c r="S5017" s="20"/>
    </row>
    <row r="5018">
      <c r="A5018" s="23"/>
      <c r="B5018" s="21"/>
      <c r="C5018" s="23"/>
      <c r="D5018" s="24"/>
      <c r="E5018" s="14"/>
      <c r="F5018" s="14"/>
      <c r="G5018" s="14"/>
      <c r="H5018" s="23"/>
      <c r="I5018" s="23"/>
      <c r="J5018" s="23"/>
      <c r="K5018" s="30"/>
      <c r="L5018" s="23"/>
      <c r="M5018" s="50" t="s">
        <v>10178</v>
      </c>
      <c r="N5018" s="51"/>
      <c r="O5018" s="20"/>
      <c r="P5018" s="20"/>
      <c r="Q5018" s="20"/>
      <c r="R5018" s="20"/>
      <c r="S5018" s="20"/>
    </row>
    <row r="5019">
      <c r="A5019" s="10"/>
      <c r="B5019" s="11"/>
      <c r="C5019" s="10"/>
      <c r="D5019" s="13"/>
      <c r="E5019" s="14"/>
      <c r="F5019" s="14"/>
      <c r="G5019" s="14"/>
      <c r="H5019" s="10"/>
      <c r="I5019" s="10"/>
      <c r="J5019" s="10"/>
      <c r="K5019" s="46"/>
      <c r="L5019" s="10"/>
      <c r="M5019" s="44" t="s">
        <v>10178</v>
      </c>
      <c r="N5019" s="45"/>
      <c r="O5019" s="20"/>
      <c r="P5019" s="20"/>
      <c r="Q5019" s="20"/>
      <c r="R5019" s="20"/>
      <c r="S5019" s="20"/>
    </row>
    <row r="5020">
      <c r="A5020" s="23"/>
      <c r="B5020" s="21"/>
      <c r="C5020" s="23"/>
      <c r="D5020" s="24"/>
      <c r="E5020" s="14"/>
      <c r="F5020" s="14"/>
      <c r="G5020" s="14"/>
      <c r="H5020" s="23"/>
      <c r="I5020" s="23"/>
      <c r="J5020" s="23"/>
      <c r="K5020" s="30"/>
      <c r="L5020" s="23"/>
      <c r="M5020" s="50" t="s">
        <v>10178</v>
      </c>
      <c r="N5020" s="51"/>
      <c r="O5020" s="20"/>
      <c r="P5020" s="20"/>
      <c r="Q5020" s="20"/>
      <c r="R5020" s="20"/>
      <c r="S5020" s="20"/>
    </row>
    <row r="5021">
      <c r="A5021" s="10"/>
      <c r="B5021" s="11"/>
      <c r="C5021" s="10"/>
      <c r="D5021" s="13"/>
      <c r="E5021" s="14"/>
      <c r="F5021" s="14"/>
      <c r="G5021" s="14"/>
      <c r="H5021" s="10"/>
      <c r="I5021" s="10"/>
      <c r="J5021" s="10"/>
      <c r="K5021" s="46"/>
      <c r="L5021" s="10"/>
      <c r="M5021" s="44" t="s">
        <v>10178</v>
      </c>
      <c r="N5021" s="45"/>
      <c r="O5021" s="20"/>
      <c r="P5021" s="20"/>
      <c r="Q5021" s="20"/>
      <c r="R5021" s="20"/>
      <c r="S5021" s="20"/>
    </row>
    <row r="5022">
      <c r="A5022" s="23"/>
      <c r="B5022" s="21"/>
      <c r="C5022" s="23"/>
      <c r="D5022" s="24"/>
      <c r="E5022" s="14"/>
      <c r="F5022" s="14"/>
      <c r="G5022" s="14"/>
      <c r="H5022" s="23"/>
      <c r="I5022" s="23"/>
      <c r="J5022" s="23"/>
      <c r="K5022" s="30"/>
      <c r="L5022" s="23"/>
      <c r="M5022" s="50" t="s">
        <v>10178</v>
      </c>
      <c r="N5022" s="51"/>
      <c r="O5022" s="20"/>
      <c r="P5022" s="20"/>
      <c r="Q5022" s="20"/>
      <c r="R5022" s="20"/>
      <c r="S5022" s="20"/>
    </row>
    <row r="5023">
      <c r="A5023" s="10"/>
      <c r="B5023" s="11"/>
      <c r="C5023" s="10"/>
      <c r="D5023" s="13"/>
      <c r="E5023" s="14"/>
      <c r="F5023" s="14"/>
      <c r="G5023" s="14"/>
      <c r="H5023" s="10"/>
      <c r="I5023" s="10"/>
      <c r="J5023" s="10"/>
      <c r="K5023" s="46"/>
      <c r="L5023" s="10"/>
      <c r="M5023" s="44" t="s">
        <v>10178</v>
      </c>
      <c r="N5023" s="45"/>
      <c r="O5023" s="20"/>
      <c r="P5023" s="20"/>
      <c r="Q5023" s="20"/>
      <c r="R5023" s="20"/>
      <c r="S5023" s="20"/>
    </row>
    <row r="5024">
      <c r="A5024" s="23"/>
      <c r="B5024" s="21"/>
      <c r="C5024" s="23"/>
      <c r="D5024" s="24"/>
      <c r="E5024" s="14"/>
      <c r="F5024" s="14"/>
      <c r="G5024" s="14"/>
      <c r="H5024" s="23"/>
      <c r="I5024" s="23"/>
      <c r="J5024" s="23"/>
      <c r="K5024" s="30"/>
      <c r="L5024" s="23"/>
      <c r="M5024" s="50" t="s">
        <v>10178</v>
      </c>
      <c r="N5024" s="51"/>
      <c r="O5024" s="20"/>
      <c r="P5024" s="20"/>
      <c r="Q5024" s="20"/>
      <c r="R5024" s="20"/>
      <c r="S5024" s="20"/>
    </row>
    <row r="5025">
      <c r="A5025" s="10"/>
      <c r="B5025" s="11"/>
      <c r="C5025" s="10"/>
      <c r="D5025" s="13"/>
      <c r="E5025" s="14"/>
      <c r="F5025" s="14"/>
      <c r="G5025" s="14"/>
      <c r="H5025" s="10"/>
      <c r="I5025" s="10"/>
      <c r="J5025" s="10"/>
      <c r="K5025" s="46"/>
      <c r="L5025" s="10"/>
      <c r="M5025" s="44" t="s">
        <v>10178</v>
      </c>
      <c r="N5025" s="45"/>
      <c r="O5025" s="20"/>
      <c r="P5025" s="20"/>
      <c r="Q5025" s="20"/>
      <c r="R5025" s="20"/>
      <c r="S5025" s="20"/>
    </row>
    <row r="5026">
      <c r="A5026" s="23"/>
      <c r="B5026" s="21"/>
      <c r="C5026" s="23"/>
      <c r="D5026" s="24"/>
      <c r="E5026" s="14"/>
      <c r="F5026" s="14"/>
      <c r="G5026" s="14"/>
      <c r="H5026" s="23"/>
      <c r="I5026" s="23"/>
      <c r="J5026" s="23"/>
      <c r="K5026" s="30"/>
      <c r="L5026" s="23"/>
      <c r="M5026" s="50" t="s">
        <v>10178</v>
      </c>
      <c r="N5026" s="51"/>
      <c r="O5026" s="20"/>
      <c r="P5026" s="20"/>
      <c r="Q5026" s="20"/>
      <c r="R5026" s="20"/>
      <c r="S5026" s="20"/>
    </row>
    <row r="5027">
      <c r="A5027" s="10"/>
      <c r="B5027" s="11"/>
      <c r="C5027" s="10"/>
      <c r="D5027" s="13"/>
      <c r="E5027" s="14"/>
      <c r="F5027" s="14"/>
      <c r="G5027" s="14"/>
      <c r="H5027" s="10"/>
      <c r="I5027" s="10"/>
      <c r="J5027" s="10"/>
      <c r="K5027" s="46"/>
      <c r="L5027" s="10"/>
      <c r="M5027" s="44" t="s">
        <v>10178</v>
      </c>
      <c r="N5027" s="45"/>
      <c r="O5027" s="20"/>
      <c r="P5027" s="20"/>
      <c r="Q5027" s="20"/>
      <c r="R5027" s="20"/>
      <c r="S5027" s="20"/>
    </row>
    <row r="5028">
      <c r="A5028" s="23"/>
      <c r="B5028" s="21"/>
      <c r="C5028" s="23"/>
      <c r="D5028" s="24"/>
      <c r="E5028" s="14"/>
      <c r="F5028" s="14"/>
      <c r="G5028" s="14"/>
      <c r="H5028" s="23"/>
      <c r="I5028" s="23"/>
      <c r="J5028" s="23"/>
      <c r="K5028" s="30"/>
      <c r="L5028" s="23"/>
      <c r="M5028" s="50" t="s">
        <v>10178</v>
      </c>
      <c r="N5028" s="51"/>
      <c r="O5028" s="20"/>
      <c r="P5028" s="20"/>
      <c r="Q5028" s="20"/>
      <c r="R5028" s="20"/>
      <c r="S5028" s="20"/>
    </row>
    <row r="5029">
      <c r="A5029" s="10"/>
      <c r="B5029" s="11"/>
      <c r="C5029" s="10"/>
      <c r="D5029" s="13"/>
      <c r="E5029" s="14"/>
      <c r="F5029" s="14"/>
      <c r="G5029" s="14"/>
      <c r="H5029" s="10"/>
      <c r="I5029" s="10"/>
      <c r="J5029" s="10"/>
      <c r="K5029" s="46"/>
      <c r="L5029" s="10"/>
      <c r="M5029" s="44" t="s">
        <v>10178</v>
      </c>
      <c r="N5029" s="45"/>
      <c r="O5029" s="20"/>
      <c r="P5029" s="20"/>
      <c r="Q5029" s="20"/>
      <c r="R5029" s="20"/>
      <c r="S5029" s="20"/>
    </row>
    <row r="5030">
      <c r="A5030" s="23"/>
      <c r="B5030" s="21"/>
      <c r="C5030" s="23"/>
      <c r="D5030" s="24"/>
      <c r="E5030" s="14"/>
      <c r="F5030" s="14"/>
      <c r="G5030" s="14"/>
      <c r="H5030" s="23"/>
      <c r="I5030" s="23"/>
      <c r="J5030" s="23"/>
      <c r="K5030" s="30"/>
      <c r="L5030" s="23"/>
      <c r="M5030" s="50" t="s">
        <v>10178</v>
      </c>
      <c r="N5030" s="51"/>
      <c r="O5030" s="20"/>
      <c r="P5030" s="20"/>
      <c r="Q5030" s="20"/>
      <c r="R5030" s="20"/>
      <c r="S5030" s="20"/>
    </row>
    <row r="5031">
      <c r="A5031" s="10"/>
      <c r="B5031" s="11"/>
      <c r="C5031" s="10"/>
      <c r="D5031" s="13"/>
      <c r="E5031" s="14"/>
      <c r="F5031" s="14"/>
      <c r="G5031" s="14"/>
      <c r="H5031" s="10"/>
      <c r="I5031" s="10"/>
      <c r="J5031" s="10"/>
      <c r="K5031" s="46"/>
      <c r="L5031" s="10"/>
      <c r="M5031" s="44" t="s">
        <v>10178</v>
      </c>
      <c r="N5031" s="45"/>
      <c r="O5031" s="20"/>
      <c r="P5031" s="20"/>
      <c r="Q5031" s="20"/>
      <c r="R5031" s="20"/>
      <c r="S5031" s="20"/>
    </row>
    <row r="5032">
      <c r="A5032" s="23"/>
      <c r="B5032" s="21"/>
      <c r="C5032" s="23"/>
      <c r="D5032" s="24"/>
      <c r="E5032" s="14"/>
      <c r="F5032" s="14"/>
      <c r="G5032" s="14"/>
      <c r="H5032" s="23"/>
      <c r="I5032" s="23"/>
      <c r="J5032" s="23"/>
      <c r="K5032" s="30"/>
      <c r="L5032" s="23"/>
      <c r="M5032" s="50" t="s">
        <v>10178</v>
      </c>
      <c r="N5032" s="51"/>
      <c r="O5032" s="20"/>
      <c r="P5032" s="20"/>
      <c r="Q5032" s="20"/>
      <c r="R5032" s="20"/>
      <c r="S5032" s="20"/>
    </row>
    <row r="5033">
      <c r="A5033" s="10"/>
      <c r="B5033" s="11"/>
      <c r="C5033" s="10"/>
      <c r="D5033" s="13"/>
      <c r="E5033" s="14"/>
      <c r="F5033" s="14"/>
      <c r="G5033" s="14"/>
      <c r="H5033" s="10"/>
      <c r="I5033" s="10"/>
      <c r="J5033" s="10"/>
      <c r="K5033" s="46"/>
      <c r="L5033" s="10"/>
      <c r="M5033" s="44" t="s">
        <v>10178</v>
      </c>
      <c r="N5033" s="45"/>
      <c r="O5033" s="20"/>
      <c r="P5033" s="20"/>
      <c r="Q5033" s="20"/>
      <c r="R5033" s="20"/>
      <c r="S5033" s="20"/>
    </row>
    <row r="5034">
      <c r="A5034" s="23"/>
      <c r="B5034" s="21"/>
      <c r="C5034" s="23"/>
      <c r="D5034" s="24"/>
      <c r="E5034" s="14"/>
      <c r="F5034" s="14"/>
      <c r="G5034" s="14"/>
      <c r="H5034" s="23"/>
      <c r="I5034" s="23"/>
      <c r="J5034" s="23"/>
      <c r="K5034" s="30"/>
      <c r="L5034" s="23"/>
      <c r="M5034" s="50" t="s">
        <v>10178</v>
      </c>
      <c r="N5034" s="51"/>
      <c r="O5034" s="20"/>
      <c r="P5034" s="20"/>
      <c r="Q5034" s="20"/>
      <c r="R5034" s="20"/>
      <c r="S5034" s="20"/>
    </row>
    <row r="5035">
      <c r="A5035" s="10"/>
      <c r="B5035" s="11"/>
      <c r="C5035" s="10"/>
      <c r="D5035" s="13"/>
      <c r="E5035" s="14"/>
      <c r="F5035" s="14"/>
      <c r="G5035" s="14"/>
      <c r="H5035" s="10"/>
      <c r="I5035" s="10"/>
      <c r="J5035" s="10"/>
      <c r="K5035" s="46"/>
      <c r="L5035" s="10"/>
      <c r="M5035" s="44" t="s">
        <v>10178</v>
      </c>
      <c r="N5035" s="45"/>
      <c r="O5035" s="20"/>
      <c r="P5035" s="20"/>
      <c r="Q5035" s="20"/>
      <c r="R5035" s="20"/>
      <c r="S5035" s="20"/>
    </row>
    <row r="5036">
      <c r="A5036" s="23"/>
      <c r="B5036" s="21"/>
      <c r="C5036" s="23"/>
      <c r="D5036" s="24"/>
      <c r="E5036" s="14"/>
      <c r="F5036" s="14"/>
      <c r="G5036" s="14"/>
      <c r="H5036" s="23"/>
      <c r="I5036" s="23"/>
      <c r="J5036" s="23"/>
      <c r="K5036" s="30"/>
      <c r="L5036" s="23"/>
      <c r="M5036" s="50" t="s">
        <v>10178</v>
      </c>
      <c r="N5036" s="51"/>
      <c r="O5036" s="20"/>
      <c r="P5036" s="20"/>
      <c r="Q5036" s="20"/>
      <c r="R5036" s="20"/>
      <c r="S5036" s="20"/>
    </row>
    <row r="5037">
      <c r="A5037" s="10"/>
      <c r="B5037" s="11"/>
      <c r="C5037" s="10"/>
      <c r="D5037" s="13"/>
      <c r="E5037" s="14"/>
      <c r="F5037" s="14"/>
      <c r="G5037" s="14"/>
      <c r="H5037" s="10"/>
      <c r="I5037" s="10"/>
      <c r="J5037" s="10"/>
      <c r="K5037" s="46"/>
      <c r="L5037" s="10"/>
      <c r="M5037" s="44" t="s">
        <v>10178</v>
      </c>
      <c r="N5037" s="45"/>
      <c r="O5037" s="20"/>
      <c r="P5037" s="20"/>
      <c r="Q5037" s="20"/>
      <c r="R5037" s="20"/>
      <c r="S5037" s="20"/>
    </row>
    <row r="5038">
      <c r="A5038" s="23"/>
      <c r="B5038" s="21"/>
      <c r="C5038" s="23"/>
      <c r="D5038" s="24"/>
      <c r="E5038" s="14"/>
      <c r="F5038" s="14"/>
      <c r="G5038" s="14"/>
      <c r="H5038" s="23"/>
      <c r="I5038" s="23"/>
      <c r="J5038" s="23"/>
      <c r="K5038" s="30"/>
      <c r="L5038" s="23"/>
      <c r="M5038" s="50" t="s">
        <v>10178</v>
      </c>
      <c r="N5038" s="51"/>
      <c r="O5038" s="20"/>
      <c r="P5038" s="20"/>
      <c r="Q5038" s="20"/>
      <c r="R5038" s="20"/>
      <c r="S5038" s="20"/>
    </row>
    <row r="5039">
      <c r="A5039" s="10"/>
      <c r="B5039" s="11"/>
      <c r="C5039" s="10"/>
      <c r="D5039" s="13"/>
      <c r="E5039" s="14"/>
      <c r="F5039" s="14"/>
      <c r="G5039" s="14"/>
      <c r="H5039" s="10"/>
      <c r="I5039" s="10"/>
      <c r="J5039" s="10"/>
      <c r="K5039" s="46"/>
      <c r="L5039" s="10"/>
      <c r="M5039" s="44" t="s">
        <v>10178</v>
      </c>
      <c r="N5039" s="45"/>
      <c r="O5039" s="20"/>
      <c r="P5039" s="20"/>
      <c r="Q5039" s="20"/>
      <c r="R5039" s="20"/>
      <c r="S5039" s="20"/>
    </row>
    <row r="5040">
      <c r="A5040" s="23"/>
      <c r="B5040" s="21"/>
      <c r="C5040" s="23"/>
      <c r="D5040" s="24"/>
      <c r="E5040" s="14"/>
      <c r="F5040" s="14"/>
      <c r="G5040" s="14"/>
      <c r="H5040" s="23"/>
      <c r="I5040" s="23"/>
      <c r="J5040" s="23"/>
      <c r="K5040" s="30"/>
      <c r="L5040" s="23"/>
      <c r="M5040" s="50" t="s">
        <v>10178</v>
      </c>
      <c r="N5040" s="51"/>
      <c r="O5040" s="20"/>
      <c r="P5040" s="20"/>
      <c r="Q5040" s="20"/>
      <c r="R5040" s="20"/>
      <c r="S5040" s="20"/>
    </row>
    <row r="5041">
      <c r="A5041" s="10"/>
      <c r="B5041" s="11"/>
      <c r="C5041" s="10"/>
      <c r="D5041" s="13"/>
      <c r="E5041" s="14"/>
      <c r="F5041" s="14"/>
      <c r="G5041" s="14"/>
      <c r="H5041" s="10"/>
      <c r="I5041" s="10"/>
      <c r="J5041" s="10"/>
      <c r="K5041" s="46"/>
      <c r="L5041" s="10"/>
      <c r="M5041" s="44" t="s">
        <v>10178</v>
      </c>
      <c r="N5041" s="45"/>
      <c r="O5041" s="20"/>
      <c r="P5041" s="20"/>
      <c r="Q5041" s="20"/>
      <c r="R5041" s="20"/>
      <c r="S5041" s="20"/>
    </row>
    <row r="5042">
      <c r="A5042" s="23"/>
      <c r="B5042" s="21"/>
      <c r="C5042" s="23"/>
      <c r="D5042" s="24"/>
      <c r="E5042" s="14"/>
      <c r="F5042" s="14"/>
      <c r="G5042" s="14"/>
      <c r="H5042" s="23"/>
      <c r="I5042" s="23"/>
      <c r="J5042" s="23"/>
      <c r="K5042" s="30"/>
      <c r="L5042" s="23"/>
      <c r="M5042" s="50" t="s">
        <v>10178</v>
      </c>
      <c r="N5042" s="51"/>
      <c r="O5042" s="20"/>
      <c r="P5042" s="20"/>
      <c r="Q5042" s="20"/>
      <c r="R5042" s="20"/>
      <c r="S5042" s="20"/>
    </row>
    <row r="5043">
      <c r="A5043" s="10"/>
      <c r="B5043" s="11"/>
      <c r="C5043" s="10"/>
      <c r="D5043" s="13"/>
      <c r="E5043" s="14"/>
      <c r="F5043" s="14"/>
      <c r="G5043" s="14"/>
      <c r="H5043" s="10"/>
      <c r="I5043" s="10"/>
      <c r="J5043" s="10"/>
      <c r="K5043" s="46"/>
      <c r="L5043" s="10"/>
      <c r="M5043" s="44" t="s">
        <v>10178</v>
      </c>
      <c r="N5043" s="45"/>
      <c r="O5043" s="20"/>
      <c r="P5043" s="20"/>
      <c r="Q5043" s="20"/>
      <c r="R5043" s="20"/>
      <c r="S5043" s="20"/>
    </row>
    <row r="5044">
      <c r="A5044" s="23"/>
      <c r="B5044" s="21"/>
      <c r="C5044" s="23"/>
      <c r="D5044" s="24"/>
      <c r="E5044" s="14"/>
      <c r="F5044" s="14"/>
      <c r="G5044" s="14"/>
      <c r="H5044" s="23"/>
      <c r="I5044" s="23"/>
      <c r="J5044" s="23"/>
      <c r="K5044" s="30"/>
      <c r="L5044" s="23"/>
      <c r="M5044" s="50" t="s">
        <v>10178</v>
      </c>
      <c r="N5044" s="51"/>
      <c r="O5044" s="20"/>
      <c r="P5044" s="20"/>
      <c r="Q5044" s="20"/>
      <c r="R5044" s="20"/>
      <c r="S5044" s="20"/>
    </row>
    <row r="5045">
      <c r="A5045" s="10"/>
      <c r="B5045" s="11"/>
      <c r="C5045" s="10"/>
      <c r="D5045" s="13"/>
      <c r="E5045" s="14"/>
      <c r="F5045" s="14"/>
      <c r="G5045" s="14"/>
      <c r="H5045" s="10"/>
      <c r="I5045" s="10"/>
      <c r="J5045" s="10"/>
      <c r="K5045" s="46"/>
      <c r="L5045" s="10"/>
      <c r="M5045" s="44" t="s">
        <v>10178</v>
      </c>
      <c r="N5045" s="45"/>
      <c r="O5045" s="20"/>
      <c r="P5045" s="20"/>
      <c r="Q5045" s="20"/>
      <c r="R5045" s="20"/>
      <c r="S5045" s="20"/>
    </row>
    <row r="5046">
      <c r="A5046" s="23"/>
      <c r="B5046" s="21"/>
      <c r="C5046" s="23"/>
      <c r="D5046" s="24"/>
      <c r="E5046" s="14"/>
      <c r="F5046" s="14"/>
      <c r="G5046" s="14"/>
      <c r="H5046" s="23"/>
      <c r="I5046" s="23"/>
      <c r="J5046" s="23"/>
      <c r="K5046" s="30"/>
      <c r="L5046" s="23"/>
      <c r="M5046" s="50" t="s">
        <v>10178</v>
      </c>
      <c r="N5046" s="51"/>
      <c r="O5046" s="20"/>
      <c r="P5046" s="20"/>
      <c r="Q5046" s="20"/>
      <c r="R5046" s="20"/>
      <c r="S5046" s="20"/>
    </row>
    <row r="5047">
      <c r="A5047" s="10"/>
      <c r="B5047" s="11"/>
      <c r="C5047" s="10"/>
      <c r="D5047" s="13"/>
      <c r="E5047" s="14"/>
      <c r="F5047" s="14"/>
      <c r="G5047" s="14"/>
      <c r="H5047" s="10"/>
      <c r="I5047" s="10"/>
      <c r="J5047" s="10"/>
      <c r="K5047" s="46"/>
      <c r="L5047" s="10"/>
      <c r="M5047" s="44" t="s">
        <v>10178</v>
      </c>
      <c r="N5047" s="45"/>
      <c r="O5047" s="20"/>
      <c r="P5047" s="20"/>
      <c r="Q5047" s="20"/>
      <c r="R5047" s="20"/>
      <c r="S5047" s="20"/>
    </row>
    <row r="5048">
      <c r="A5048" s="23"/>
      <c r="B5048" s="21"/>
      <c r="C5048" s="23"/>
      <c r="D5048" s="24"/>
      <c r="E5048" s="14"/>
      <c r="F5048" s="14"/>
      <c r="G5048" s="14"/>
      <c r="H5048" s="23"/>
      <c r="I5048" s="23"/>
      <c r="J5048" s="23"/>
      <c r="K5048" s="30"/>
      <c r="L5048" s="23"/>
      <c r="M5048" s="50" t="s">
        <v>10178</v>
      </c>
      <c r="N5048" s="51"/>
      <c r="O5048" s="20"/>
      <c r="P5048" s="20"/>
      <c r="Q5048" s="20"/>
      <c r="R5048" s="20"/>
      <c r="S5048" s="20"/>
    </row>
    <row r="5049">
      <c r="A5049" s="10"/>
      <c r="B5049" s="11"/>
      <c r="C5049" s="10"/>
      <c r="D5049" s="13"/>
      <c r="E5049" s="14"/>
      <c r="F5049" s="14"/>
      <c r="G5049" s="14"/>
      <c r="H5049" s="10"/>
      <c r="I5049" s="10"/>
      <c r="J5049" s="10"/>
      <c r="K5049" s="46"/>
      <c r="L5049" s="10"/>
      <c r="M5049" s="44" t="s">
        <v>10178</v>
      </c>
      <c r="N5049" s="45"/>
      <c r="O5049" s="20"/>
      <c r="P5049" s="20"/>
      <c r="Q5049" s="20"/>
      <c r="R5049" s="20"/>
      <c r="S5049" s="20"/>
    </row>
    <row r="5050">
      <c r="A5050" s="23"/>
      <c r="B5050" s="21"/>
      <c r="C5050" s="23"/>
      <c r="D5050" s="24"/>
      <c r="E5050" s="14"/>
      <c r="F5050" s="14"/>
      <c r="G5050" s="14"/>
      <c r="H5050" s="23"/>
      <c r="I5050" s="23"/>
      <c r="J5050" s="23"/>
      <c r="K5050" s="30"/>
      <c r="L5050" s="23"/>
      <c r="M5050" s="50" t="s">
        <v>10178</v>
      </c>
      <c r="N5050" s="51"/>
      <c r="O5050" s="20"/>
      <c r="P5050" s="20"/>
      <c r="Q5050" s="20"/>
      <c r="R5050" s="20"/>
      <c r="S5050" s="20"/>
    </row>
    <row r="5051">
      <c r="A5051" s="10"/>
      <c r="B5051" s="11"/>
      <c r="C5051" s="10"/>
      <c r="D5051" s="13"/>
      <c r="E5051" s="14"/>
      <c r="F5051" s="14"/>
      <c r="G5051" s="14"/>
      <c r="H5051" s="10"/>
      <c r="I5051" s="10"/>
      <c r="J5051" s="10"/>
      <c r="K5051" s="46"/>
      <c r="L5051" s="10"/>
      <c r="M5051" s="44" t="s">
        <v>10178</v>
      </c>
      <c r="N5051" s="45"/>
      <c r="O5051" s="20"/>
      <c r="P5051" s="20"/>
      <c r="Q5051" s="20"/>
      <c r="R5051" s="20"/>
      <c r="S5051" s="20"/>
    </row>
    <row r="5052">
      <c r="A5052" s="23"/>
      <c r="B5052" s="21"/>
      <c r="C5052" s="23"/>
      <c r="D5052" s="24"/>
      <c r="E5052" s="14"/>
      <c r="F5052" s="14"/>
      <c r="G5052" s="14"/>
      <c r="H5052" s="23"/>
      <c r="I5052" s="23"/>
      <c r="J5052" s="23"/>
      <c r="K5052" s="30"/>
      <c r="L5052" s="23"/>
      <c r="M5052" s="50" t="s">
        <v>10178</v>
      </c>
      <c r="N5052" s="51"/>
      <c r="O5052" s="20"/>
      <c r="P5052" s="20"/>
      <c r="Q5052" s="20"/>
      <c r="R5052" s="20"/>
      <c r="S5052" s="20"/>
    </row>
    <row r="5053">
      <c r="A5053" s="10"/>
      <c r="B5053" s="11"/>
      <c r="C5053" s="10"/>
      <c r="D5053" s="13"/>
      <c r="E5053" s="14"/>
      <c r="F5053" s="14"/>
      <c r="G5053" s="14"/>
      <c r="H5053" s="10"/>
      <c r="I5053" s="10"/>
      <c r="J5053" s="10"/>
      <c r="K5053" s="46"/>
      <c r="L5053" s="10"/>
      <c r="M5053" s="44" t="s">
        <v>10178</v>
      </c>
      <c r="N5053" s="45"/>
      <c r="O5053" s="20"/>
      <c r="P5053" s="20"/>
      <c r="Q5053" s="20"/>
      <c r="R5053" s="20"/>
      <c r="S5053" s="20"/>
    </row>
    <row r="5054">
      <c r="A5054" s="23"/>
      <c r="B5054" s="21"/>
      <c r="C5054" s="23"/>
      <c r="D5054" s="24"/>
      <c r="E5054" s="14"/>
      <c r="F5054" s="14"/>
      <c r="G5054" s="14"/>
      <c r="H5054" s="23"/>
      <c r="I5054" s="23"/>
      <c r="J5054" s="23"/>
      <c r="K5054" s="30"/>
      <c r="L5054" s="23"/>
      <c r="M5054" s="50" t="s">
        <v>10178</v>
      </c>
      <c r="N5054" s="51"/>
      <c r="O5054" s="20"/>
      <c r="P5054" s="20"/>
      <c r="Q5054" s="20"/>
      <c r="R5054" s="20"/>
      <c r="S5054" s="20"/>
    </row>
    <row r="5055">
      <c r="A5055" s="10"/>
      <c r="B5055" s="11"/>
      <c r="C5055" s="10"/>
      <c r="D5055" s="13"/>
      <c r="E5055" s="14"/>
      <c r="F5055" s="14"/>
      <c r="G5055" s="14"/>
      <c r="H5055" s="10"/>
      <c r="I5055" s="10"/>
      <c r="J5055" s="10"/>
      <c r="K5055" s="46"/>
      <c r="L5055" s="10"/>
      <c r="M5055" s="44" t="s">
        <v>10178</v>
      </c>
      <c r="N5055" s="45"/>
      <c r="O5055" s="20"/>
      <c r="P5055" s="20"/>
      <c r="Q5055" s="20"/>
      <c r="R5055" s="20"/>
      <c r="S5055" s="20"/>
    </row>
    <row r="5056">
      <c r="A5056" s="23"/>
      <c r="B5056" s="21"/>
      <c r="C5056" s="23"/>
      <c r="D5056" s="24"/>
      <c r="E5056" s="14"/>
      <c r="F5056" s="14"/>
      <c r="G5056" s="14"/>
      <c r="H5056" s="23"/>
      <c r="I5056" s="23"/>
      <c r="J5056" s="23"/>
      <c r="K5056" s="30"/>
      <c r="L5056" s="23"/>
      <c r="M5056" s="50" t="s">
        <v>10178</v>
      </c>
      <c r="N5056" s="51"/>
      <c r="O5056" s="20"/>
      <c r="P5056" s="20"/>
      <c r="Q5056" s="20"/>
      <c r="R5056" s="20"/>
      <c r="S5056" s="20"/>
    </row>
    <row r="5057">
      <c r="A5057" s="10"/>
      <c r="B5057" s="11"/>
      <c r="C5057" s="10"/>
      <c r="D5057" s="13"/>
      <c r="E5057" s="14"/>
      <c r="F5057" s="14"/>
      <c r="G5057" s="14"/>
      <c r="H5057" s="10"/>
      <c r="I5057" s="10"/>
      <c r="J5057" s="10"/>
      <c r="K5057" s="46"/>
      <c r="L5057" s="10"/>
      <c r="M5057" s="44" t="s">
        <v>10178</v>
      </c>
      <c r="N5057" s="45"/>
      <c r="O5057" s="20"/>
      <c r="P5057" s="20"/>
      <c r="Q5057" s="20"/>
      <c r="R5057" s="20"/>
      <c r="S5057" s="20"/>
    </row>
    <row r="5058">
      <c r="A5058" s="23"/>
      <c r="B5058" s="21"/>
      <c r="C5058" s="23"/>
      <c r="D5058" s="24"/>
      <c r="E5058" s="14"/>
      <c r="F5058" s="14"/>
      <c r="G5058" s="14"/>
      <c r="H5058" s="23"/>
      <c r="I5058" s="23"/>
      <c r="J5058" s="23"/>
      <c r="K5058" s="30"/>
      <c r="L5058" s="23"/>
      <c r="M5058" s="50" t="s">
        <v>10178</v>
      </c>
      <c r="N5058" s="51"/>
      <c r="O5058" s="20"/>
      <c r="P5058" s="20"/>
      <c r="Q5058" s="20"/>
      <c r="R5058" s="20"/>
      <c r="S5058" s="20"/>
    </row>
    <row r="5059">
      <c r="A5059" s="10"/>
      <c r="B5059" s="11"/>
      <c r="C5059" s="10"/>
      <c r="D5059" s="13"/>
      <c r="E5059" s="14"/>
      <c r="F5059" s="14"/>
      <c r="G5059" s="14"/>
      <c r="H5059" s="10"/>
      <c r="I5059" s="10"/>
      <c r="J5059" s="10"/>
      <c r="K5059" s="46"/>
      <c r="L5059" s="10"/>
      <c r="M5059" s="44" t="s">
        <v>10178</v>
      </c>
      <c r="N5059" s="45"/>
      <c r="O5059" s="20"/>
      <c r="P5059" s="20"/>
      <c r="Q5059" s="20"/>
      <c r="R5059" s="20"/>
      <c r="S5059" s="20"/>
    </row>
    <row r="5060">
      <c r="A5060" s="23"/>
      <c r="B5060" s="21"/>
      <c r="C5060" s="23"/>
      <c r="D5060" s="24"/>
      <c r="E5060" s="14"/>
      <c r="F5060" s="14"/>
      <c r="G5060" s="14"/>
      <c r="H5060" s="23"/>
      <c r="I5060" s="23"/>
      <c r="J5060" s="23"/>
      <c r="K5060" s="30"/>
      <c r="L5060" s="23"/>
      <c r="M5060" s="50" t="s">
        <v>10178</v>
      </c>
      <c r="N5060" s="51"/>
      <c r="O5060" s="20"/>
      <c r="P5060" s="20"/>
      <c r="Q5060" s="20"/>
      <c r="R5060" s="20"/>
      <c r="S5060" s="20"/>
    </row>
    <row r="5061">
      <c r="A5061" s="10"/>
      <c r="B5061" s="11"/>
      <c r="C5061" s="10"/>
      <c r="D5061" s="13"/>
      <c r="E5061" s="14"/>
      <c r="F5061" s="14"/>
      <c r="G5061" s="14"/>
      <c r="H5061" s="10"/>
      <c r="I5061" s="10"/>
      <c r="J5061" s="10"/>
      <c r="K5061" s="46"/>
      <c r="L5061" s="10"/>
      <c r="M5061" s="44" t="s">
        <v>10178</v>
      </c>
      <c r="N5061" s="45"/>
      <c r="O5061" s="20"/>
      <c r="P5061" s="20"/>
      <c r="Q5061" s="20"/>
      <c r="R5061" s="20"/>
      <c r="S5061" s="20"/>
    </row>
    <row r="5062">
      <c r="A5062" s="23"/>
      <c r="B5062" s="21"/>
      <c r="C5062" s="23"/>
      <c r="D5062" s="24"/>
      <c r="E5062" s="14"/>
      <c r="F5062" s="14"/>
      <c r="G5062" s="14"/>
      <c r="H5062" s="23"/>
      <c r="I5062" s="23"/>
      <c r="J5062" s="23"/>
      <c r="K5062" s="30"/>
      <c r="L5062" s="23"/>
      <c r="M5062" s="50" t="s">
        <v>10178</v>
      </c>
      <c r="N5062" s="51"/>
      <c r="O5062" s="20"/>
      <c r="P5062" s="20"/>
      <c r="Q5062" s="20"/>
      <c r="R5062" s="20"/>
      <c r="S5062" s="20"/>
    </row>
    <row r="5063">
      <c r="A5063" s="10"/>
      <c r="B5063" s="11"/>
      <c r="C5063" s="10"/>
      <c r="D5063" s="13"/>
      <c r="E5063" s="14"/>
      <c r="F5063" s="14"/>
      <c r="G5063" s="14"/>
      <c r="H5063" s="10"/>
      <c r="I5063" s="10"/>
      <c r="J5063" s="10"/>
      <c r="K5063" s="46"/>
      <c r="L5063" s="10"/>
      <c r="M5063" s="44" t="s">
        <v>10178</v>
      </c>
      <c r="N5063" s="45"/>
      <c r="O5063" s="20"/>
      <c r="P5063" s="20"/>
      <c r="Q5063" s="20"/>
      <c r="R5063" s="20"/>
      <c r="S5063" s="20"/>
    </row>
    <row r="5064">
      <c r="A5064" s="23"/>
      <c r="B5064" s="21"/>
      <c r="C5064" s="23"/>
      <c r="D5064" s="24"/>
      <c r="E5064" s="14"/>
      <c r="F5064" s="14"/>
      <c r="G5064" s="14"/>
      <c r="H5064" s="23"/>
      <c r="I5064" s="23"/>
      <c r="J5064" s="23"/>
      <c r="K5064" s="30"/>
      <c r="L5064" s="23"/>
      <c r="M5064" s="50" t="s">
        <v>10178</v>
      </c>
      <c r="N5064" s="51"/>
      <c r="O5064" s="20"/>
      <c r="P5064" s="20"/>
      <c r="Q5064" s="20"/>
      <c r="R5064" s="20"/>
      <c r="S5064" s="20"/>
    </row>
    <row r="5065">
      <c r="A5065" s="10"/>
      <c r="B5065" s="11"/>
      <c r="C5065" s="10"/>
      <c r="D5065" s="13"/>
      <c r="E5065" s="14"/>
      <c r="F5065" s="14"/>
      <c r="G5065" s="14"/>
      <c r="H5065" s="10"/>
      <c r="I5065" s="10"/>
      <c r="J5065" s="10"/>
      <c r="K5065" s="46"/>
      <c r="L5065" s="10"/>
      <c r="M5065" s="44" t="s">
        <v>10178</v>
      </c>
      <c r="N5065" s="45"/>
      <c r="O5065" s="20"/>
      <c r="P5065" s="20"/>
      <c r="Q5065" s="20"/>
      <c r="R5065" s="20"/>
      <c r="S5065" s="20"/>
    </row>
    <row r="5066">
      <c r="A5066" s="23"/>
      <c r="B5066" s="21"/>
      <c r="C5066" s="23"/>
      <c r="D5066" s="24"/>
      <c r="E5066" s="14"/>
      <c r="F5066" s="14"/>
      <c r="G5066" s="14"/>
      <c r="H5066" s="23"/>
      <c r="I5066" s="23"/>
      <c r="J5066" s="23"/>
      <c r="K5066" s="30"/>
      <c r="L5066" s="23"/>
      <c r="M5066" s="50" t="s">
        <v>10178</v>
      </c>
      <c r="N5066" s="51"/>
      <c r="O5066" s="20"/>
      <c r="P5066" s="20"/>
      <c r="Q5066" s="20"/>
      <c r="R5066" s="20"/>
      <c r="S5066" s="20"/>
    </row>
    <row r="5067">
      <c r="A5067" s="10"/>
      <c r="B5067" s="11"/>
      <c r="C5067" s="10"/>
      <c r="D5067" s="13"/>
      <c r="E5067" s="14"/>
      <c r="F5067" s="14"/>
      <c r="G5067" s="14"/>
      <c r="H5067" s="10"/>
      <c r="I5067" s="10"/>
      <c r="J5067" s="10"/>
      <c r="K5067" s="46"/>
      <c r="L5067" s="10"/>
      <c r="M5067" s="44" t="s">
        <v>10178</v>
      </c>
      <c r="N5067" s="45"/>
      <c r="O5067" s="20"/>
      <c r="P5067" s="20"/>
      <c r="Q5067" s="20"/>
      <c r="R5067" s="20"/>
      <c r="S5067" s="20"/>
    </row>
    <row r="5068">
      <c r="A5068" s="23"/>
      <c r="B5068" s="21"/>
      <c r="C5068" s="23"/>
      <c r="D5068" s="24"/>
      <c r="E5068" s="14"/>
      <c r="F5068" s="14"/>
      <c r="G5068" s="14"/>
      <c r="H5068" s="23"/>
      <c r="I5068" s="23"/>
      <c r="J5068" s="23"/>
      <c r="K5068" s="30"/>
      <c r="L5068" s="23"/>
      <c r="M5068" s="50" t="s">
        <v>10178</v>
      </c>
      <c r="N5068" s="51"/>
      <c r="O5068" s="20"/>
      <c r="P5068" s="20"/>
      <c r="Q5068" s="20"/>
      <c r="R5068" s="20"/>
      <c r="S5068" s="20"/>
    </row>
    <row r="5069">
      <c r="A5069" s="10"/>
      <c r="B5069" s="11"/>
      <c r="C5069" s="10"/>
      <c r="D5069" s="13"/>
      <c r="E5069" s="14"/>
      <c r="F5069" s="14"/>
      <c r="G5069" s="14"/>
      <c r="H5069" s="10"/>
      <c r="I5069" s="10"/>
      <c r="J5069" s="10"/>
      <c r="K5069" s="46"/>
      <c r="L5069" s="10"/>
      <c r="M5069" s="44" t="s">
        <v>10178</v>
      </c>
      <c r="N5069" s="45"/>
      <c r="O5069" s="20"/>
      <c r="P5069" s="20"/>
      <c r="Q5069" s="20"/>
      <c r="R5069" s="20"/>
      <c r="S5069" s="20"/>
    </row>
    <row r="5070">
      <c r="A5070" s="23"/>
      <c r="B5070" s="21"/>
      <c r="C5070" s="23"/>
      <c r="D5070" s="24"/>
      <c r="E5070" s="14"/>
      <c r="F5070" s="14"/>
      <c r="G5070" s="14"/>
      <c r="H5070" s="23"/>
      <c r="I5070" s="23"/>
      <c r="J5070" s="23"/>
      <c r="K5070" s="30"/>
      <c r="L5070" s="23"/>
      <c r="M5070" s="50" t="s">
        <v>10178</v>
      </c>
      <c r="N5070" s="51"/>
      <c r="O5070" s="20"/>
      <c r="P5070" s="20"/>
      <c r="Q5070" s="20"/>
      <c r="R5070" s="20"/>
      <c r="S5070" s="20"/>
    </row>
    <row r="5071">
      <c r="A5071" s="10"/>
      <c r="B5071" s="11"/>
      <c r="C5071" s="10"/>
      <c r="D5071" s="13"/>
      <c r="E5071" s="14"/>
      <c r="F5071" s="14"/>
      <c r="G5071" s="14"/>
      <c r="H5071" s="10"/>
      <c r="I5071" s="10"/>
      <c r="J5071" s="10"/>
      <c r="K5071" s="46"/>
      <c r="L5071" s="10"/>
      <c r="M5071" s="44" t="s">
        <v>10178</v>
      </c>
      <c r="N5071" s="45"/>
      <c r="O5071" s="20"/>
      <c r="P5071" s="20"/>
      <c r="Q5071" s="20"/>
      <c r="R5071" s="20"/>
      <c r="S5071" s="20"/>
    </row>
    <row r="5072">
      <c r="A5072" s="23"/>
      <c r="B5072" s="21"/>
      <c r="C5072" s="23"/>
      <c r="D5072" s="24"/>
      <c r="E5072" s="14"/>
      <c r="F5072" s="14"/>
      <c r="G5072" s="14"/>
      <c r="H5072" s="23"/>
      <c r="I5072" s="23"/>
      <c r="J5072" s="23"/>
      <c r="K5072" s="30"/>
      <c r="L5072" s="23"/>
      <c r="M5072" s="50" t="s">
        <v>10178</v>
      </c>
      <c r="N5072" s="51"/>
      <c r="O5072" s="20"/>
      <c r="P5072" s="20"/>
      <c r="Q5072" s="20"/>
      <c r="R5072" s="20"/>
      <c r="S5072" s="20"/>
    </row>
    <row r="5073">
      <c r="A5073" s="10"/>
      <c r="B5073" s="11"/>
      <c r="C5073" s="10"/>
      <c r="D5073" s="13"/>
      <c r="E5073" s="14"/>
      <c r="F5073" s="14"/>
      <c r="G5073" s="14"/>
      <c r="H5073" s="10"/>
      <c r="I5073" s="10"/>
      <c r="J5073" s="10"/>
      <c r="K5073" s="46"/>
      <c r="L5073" s="10"/>
      <c r="M5073" s="44" t="s">
        <v>10178</v>
      </c>
      <c r="N5073" s="45"/>
      <c r="O5073" s="20"/>
      <c r="P5073" s="20"/>
      <c r="Q5073" s="20"/>
      <c r="R5073" s="20"/>
      <c r="S5073" s="20"/>
    </row>
    <row r="5074">
      <c r="A5074" s="23"/>
      <c r="B5074" s="21"/>
      <c r="C5074" s="23"/>
      <c r="D5074" s="24"/>
      <c r="E5074" s="14"/>
      <c r="F5074" s="14"/>
      <c r="G5074" s="14"/>
      <c r="H5074" s="23"/>
      <c r="I5074" s="23"/>
      <c r="J5074" s="23"/>
      <c r="K5074" s="30"/>
      <c r="L5074" s="23"/>
      <c r="M5074" s="50" t="s">
        <v>10178</v>
      </c>
      <c r="N5074" s="51"/>
      <c r="O5074" s="20"/>
      <c r="P5074" s="20"/>
      <c r="Q5074" s="20"/>
      <c r="R5074" s="20"/>
      <c r="S5074" s="20"/>
    </row>
    <row r="5075">
      <c r="A5075" s="10"/>
      <c r="B5075" s="11"/>
      <c r="C5075" s="10"/>
      <c r="D5075" s="13"/>
      <c r="E5075" s="14"/>
      <c r="F5075" s="14"/>
      <c r="G5075" s="14"/>
      <c r="H5075" s="10"/>
      <c r="I5075" s="10"/>
      <c r="J5075" s="10"/>
      <c r="K5075" s="46"/>
      <c r="L5075" s="10"/>
      <c r="M5075" s="44" t="s">
        <v>10178</v>
      </c>
      <c r="N5075" s="45"/>
      <c r="O5075" s="20"/>
      <c r="P5075" s="20"/>
      <c r="Q5075" s="20"/>
      <c r="R5075" s="20"/>
      <c r="S5075" s="20"/>
    </row>
    <row r="5076">
      <c r="A5076" s="23"/>
      <c r="B5076" s="21"/>
      <c r="C5076" s="23"/>
      <c r="D5076" s="24"/>
      <c r="E5076" s="14"/>
      <c r="F5076" s="14"/>
      <c r="G5076" s="14"/>
      <c r="H5076" s="23"/>
      <c r="I5076" s="23"/>
      <c r="J5076" s="23"/>
      <c r="K5076" s="30"/>
      <c r="L5076" s="23"/>
      <c r="M5076" s="50" t="s">
        <v>10178</v>
      </c>
      <c r="N5076" s="51"/>
      <c r="O5076" s="20"/>
      <c r="P5076" s="20"/>
      <c r="Q5076" s="20"/>
      <c r="R5076" s="20"/>
      <c r="S5076" s="20"/>
    </row>
    <row r="5077">
      <c r="A5077" s="10"/>
      <c r="B5077" s="11"/>
      <c r="C5077" s="10"/>
      <c r="D5077" s="13"/>
      <c r="E5077" s="14"/>
      <c r="F5077" s="14"/>
      <c r="G5077" s="14"/>
      <c r="H5077" s="10"/>
      <c r="I5077" s="10"/>
      <c r="J5077" s="10"/>
      <c r="K5077" s="46"/>
      <c r="L5077" s="10"/>
      <c r="M5077" s="44" t="s">
        <v>10178</v>
      </c>
      <c r="N5077" s="45"/>
      <c r="O5077" s="20"/>
      <c r="P5077" s="20"/>
      <c r="Q5077" s="20"/>
      <c r="R5077" s="20"/>
      <c r="S5077" s="20"/>
    </row>
    <row r="5078">
      <c r="A5078" s="23"/>
      <c r="B5078" s="21"/>
      <c r="C5078" s="23"/>
      <c r="D5078" s="24"/>
      <c r="E5078" s="14"/>
      <c r="F5078" s="14"/>
      <c r="G5078" s="14"/>
      <c r="H5078" s="23"/>
      <c r="I5078" s="23"/>
      <c r="J5078" s="23"/>
      <c r="K5078" s="30"/>
      <c r="L5078" s="23"/>
      <c r="M5078" s="50" t="s">
        <v>10178</v>
      </c>
      <c r="N5078" s="51"/>
      <c r="O5078" s="20"/>
      <c r="P5078" s="20"/>
      <c r="Q5078" s="20"/>
      <c r="R5078" s="20"/>
      <c r="S5078" s="20"/>
    </row>
    <row r="5079">
      <c r="A5079" s="10"/>
      <c r="B5079" s="11"/>
      <c r="C5079" s="10"/>
      <c r="D5079" s="13"/>
      <c r="E5079" s="14"/>
      <c r="F5079" s="14"/>
      <c r="G5079" s="14"/>
      <c r="H5079" s="10"/>
      <c r="I5079" s="10"/>
      <c r="J5079" s="10"/>
      <c r="K5079" s="46"/>
      <c r="L5079" s="10"/>
      <c r="M5079" s="44" t="s">
        <v>10178</v>
      </c>
      <c r="N5079" s="45"/>
      <c r="O5079" s="20"/>
      <c r="P5079" s="20"/>
      <c r="Q5079" s="20"/>
      <c r="R5079" s="20"/>
      <c r="S5079" s="20"/>
    </row>
    <row r="5080">
      <c r="A5080" s="23"/>
      <c r="B5080" s="21"/>
      <c r="C5080" s="23"/>
      <c r="D5080" s="24"/>
      <c r="E5080" s="14"/>
      <c r="F5080" s="14"/>
      <c r="G5080" s="14"/>
      <c r="H5080" s="23"/>
      <c r="I5080" s="23"/>
      <c r="J5080" s="23"/>
      <c r="K5080" s="30"/>
      <c r="L5080" s="23"/>
      <c r="M5080" s="50" t="s">
        <v>10178</v>
      </c>
      <c r="N5080" s="51"/>
      <c r="O5080" s="20"/>
      <c r="P5080" s="20"/>
      <c r="Q5080" s="20"/>
      <c r="R5080" s="20"/>
      <c r="S5080" s="20"/>
    </row>
    <row r="5081">
      <c r="A5081" s="10"/>
      <c r="B5081" s="11"/>
      <c r="C5081" s="10"/>
      <c r="D5081" s="13"/>
      <c r="E5081" s="14"/>
      <c r="F5081" s="14"/>
      <c r="G5081" s="14"/>
      <c r="H5081" s="10"/>
      <c r="I5081" s="10"/>
      <c r="J5081" s="10"/>
      <c r="K5081" s="46"/>
      <c r="L5081" s="10"/>
      <c r="M5081" s="44" t="s">
        <v>10178</v>
      </c>
      <c r="N5081" s="45"/>
      <c r="O5081" s="20"/>
      <c r="P5081" s="20"/>
      <c r="Q5081" s="20"/>
      <c r="R5081" s="20"/>
      <c r="S5081" s="20"/>
    </row>
    <row r="5082">
      <c r="A5082" s="23"/>
      <c r="B5082" s="21"/>
      <c r="C5082" s="23"/>
      <c r="D5082" s="24"/>
      <c r="E5082" s="14"/>
      <c r="F5082" s="14"/>
      <c r="G5082" s="14"/>
      <c r="H5082" s="23"/>
      <c r="I5082" s="23"/>
      <c r="J5082" s="23"/>
      <c r="K5082" s="30"/>
      <c r="L5082" s="23"/>
      <c r="M5082" s="50" t="s">
        <v>10178</v>
      </c>
      <c r="N5082" s="51"/>
      <c r="O5082" s="20"/>
      <c r="P5082" s="20"/>
      <c r="Q5082" s="20"/>
      <c r="R5082" s="20"/>
      <c r="S5082" s="20"/>
    </row>
    <row r="5083">
      <c r="A5083" s="10"/>
      <c r="B5083" s="11"/>
      <c r="C5083" s="10"/>
      <c r="D5083" s="13"/>
      <c r="E5083" s="14"/>
      <c r="F5083" s="14"/>
      <c r="G5083" s="14"/>
      <c r="H5083" s="10"/>
      <c r="I5083" s="10"/>
      <c r="J5083" s="10"/>
      <c r="K5083" s="46"/>
      <c r="L5083" s="10"/>
      <c r="M5083" s="44" t="s">
        <v>10178</v>
      </c>
      <c r="N5083" s="45"/>
      <c r="O5083" s="20"/>
      <c r="P5083" s="20"/>
      <c r="Q5083" s="20"/>
      <c r="R5083" s="20"/>
      <c r="S5083" s="20"/>
    </row>
    <row r="5084">
      <c r="A5084" s="23"/>
      <c r="B5084" s="21"/>
      <c r="C5084" s="23"/>
      <c r="D5084" s="24"/>
      <c r="E5084" s="14"/>
      <c r="F5084" s="14"/>
      <c r="G5084" s="14"/>
      <c r="H5084" s="23"/>
      <c r="I5084" s="23"/>
      <c r="J5084" s="23"/>
      <c r="K5084" s="30"/>
      <c r="L5084" s="23"/>
      <c r="M5084" s="50" t="s">
        <v>10178</v>
      </c>
      <c r="N5084" s="51"/>
      <c r="O5084" s="20"/>
      <c r="P5084" s="20"/>
      <c r="Q5084" s="20"/>
      <c r="R5084" s="20"/>
      <c r="S5084" s="20"/>
    </row>
    <row r="5085">
      <c r="A5085" s="10"/>
      <c r="B5085" s="11"/>
      <c r="C5085" s="10"/>
      <c r="D5085" s="13"/>
      <c r="E5085" s="14"/>
      <c r="F5085" s="14"/>
      <c r="G5085" s="14"/>
      <c r="H5085" s="10"/>
      <c r="I5085" s="10"/>
      <c r="J5085" s="10"/>
      <c r="K5085" s="46"/>
      <c r="L5085" s="10"/>
      <c r="M5085" s="44" t="s">
        <v>10178</v>
      </c>
      <c r="N5085" s="45"/>
      <c r="O5085" s="20"/>
      <c r="P5085" s="20"/>
      <c r="Q5085" s="20"/>
      <c r="R5085" s="20"/>
      <c r="S5085" s="20"/>
    </row>
    <row r="5086">
      <c r="A5086" s="23"/>
      <c r="B5086" s="21"/>
      <c r="C5086" s="23"/>
      <c r="D5086" s="24"/>
      <c r="E5086" s="14"/>
      <c r="F5086" s="14"/>
      <c r="G5086" s="14"/>
      <c r="H5086" s="23"/>
      <c r="I5086" s="23"/>
      <c r="J5086" s="23"/>
      <c r="K5086" s="30"/>
      <c r="L5086" s="23"/>
      <c r="M5086" s="50" t="s">
        <v>10178</v>
      </c>
      <c r="N5086" s="51"/>
      <c r="O5086" s="20"/>
      <c r="P5086" s="20"/>
      <c r="Q5086" s="20"/>
      <c r="R5086" s="20"/>
      <c r="S5086" s="20"/>
    </row>
    <row r="5087">
      <c r="A5087" s="10"/>
      <c r="B5087" s="11"/>
      <c r="C5087" s="10"/>
      <c r="D5087" s="13"/>
      <c r="E5087" s="14"/>
      <c r="F5087" s="14"/>
      <c r="G5087" s="14"/>
      <c r="H5087" s="10"/>
      <c r="I5087" s="10"/>
      <c r="J5087" s="10"/>
      <c r="K5087" s="46"/>
      <c r="L5087" s="10"/>
      <c r="M5087" s="44" t="s">
        <v>10178</v>
      </c>
      <c r="N5087" s="45"/>
      <c r="O5087" s="20"/>
      <c r="P5087" s="20"/>
      <c r="Q5087" s="20"/>
      <c r="R5087" s="20"/>
      <c r="S5087" s="20"/>
    </row>
    <row r="5088">
      <c r="A5088" s="23"/>
      <c r="B5088" s="21"/>
      <c r="C5088" s="23"/>
      <c r="D5088" s="24"/>
      <c r="E5088" s="14"/>
      <c r="F5088" s="14"/>
      <c r="G5088" s="14"/>
      <c r="H5088" s="23"/>
      <c r="I5088" s="23"/>
      <c r="J5088" s="23"/>
      <c r="K5088" s="30"/>
      <c r="L5088" s="23"/>
      <c r="M5088" s="50" t="s">
        <v>10178</v>
      </c>
      <c r="N5088" s="51"/>
      <c r="O5088" s="20"/>
      <c r="P5088" s="20"/>
      <c r="Q5088" s="20"/>
      <c r="R5088" s="20"/>
      <c r="S5088" s="20"/>
    </row>
    <row r="5089">
      <c r="A5089" s="10"/>
      <c r="B5089" s="11"/>
      <c r="C5089" s="10"/>
      <c r="D5089" s="13"/>
      <c r="E5089" s="14"/>
      <c r="F5089" s="14"/>
      <c r="G5089" s="14"/>
      <c r="H5089" s="10"/>
      <c r="I5089" s="10"/>
      <c r="J5089" s="10"/>
      <c r="K5089" s="46"/>
      <c r="L5089" s="10"/>
      <c r="M5089" s="44" t="s">
        <v>10178</v>
      </c>
      <c r="N5089" s="45"/>
      <c r="O5089" s="20"/>
      <c r="P5089" s="20"/>
      <c r="Q5089" s="20"/>
      <c r="R5089" s="20"/>
      <c r="S5089" s="20"/>
    </row>
    <row r="5090">
      <c r="A5090" s="23"/>
      <c r="B5090" s="21"/>
      <c r="C5090" s="23"/>
      <c r="D5090" s="24"/>
      <c r="E5090" s="14"/>
      <c r="F5090" s="14"/>
      <c r="G5090" s="14"/>
      <c r="H5090" s="23"/>
      <c r="I5090" s="23"/>
      <c r="J5090" s="23"/>
      <c r="K5090" s="30"/>
      <c r="L5090" s="23"/>
      <c r="M5090" s="50" t="s">
        <v>10178</v>
      </c>
      <c r="N5090" s="51"/>
      <c r="O5090" s="20"/>
      <c r="P5090" s="20"/>
      <c r="Q5090" s="20"/>
      <c r="R5090" s="20"/>
      <c r="S5090" s="20"/>
    </row>
    <row r="5091">
      <c r="A5091" s="10"/>
      <c r="B5091" s="11"/>
      <c r="C5091" s="10"/>
      <c r="D5091" s="13"/>
      <c r="E5091" s="14"/>
      <c r="F5091" s="14"/>
      <c r="G5091" s="14"/>
      <c r="H5091" s="10"/>
      <c r="I5091" s="10"/>
      <c r="J5091" s="10"/>
      <c r="K5091" s="46"/>
      <c r="L5091" s="10"/>
      <c r="M5091" s="44" t="s">
        <v>10178</v>
      </c>
      <c r="N5091" s="45"/>
      <c r="O5091" s="20"/>
      <c r="P5091" s="20"/>
      <c r="Q5091" s="20"/>
      <c r="R5091" s="20"/>
      <c r="S5091" s="20"/>
    </row>
    <row r="5092">
      <c r="A5092" s="23"/>
      <c r="B5092" s="21"/>
      <c r="C5092" s="23"/>
      <c r="D5092" s="24"/>
      <c r="E5092" s="14"/>
      <c r="F5092" s="14"/>
      <c r="G5092" s="14"/>
      <c r="H5092" s="23"/>
      <c r="I5092" s="23"/>
      <c r="J5092" s="23"/>
      <c r="K5092" s="30"/>
      <c r="L5092" s="23"/>
      <c r="M5092" s="50" t="s">
        <v>10178</v>
      </c>
      <c r="N5092" s="51"/>
      <c r="O5092" s="20"/>
      <c r="P5092" s="20"/>
      <c r="Q5092" s="20"/>
      <c r="R5092" s="20"/>
      <c r="S5092" s="20"/>
    </row>
    <row r="5093">
      <c r="A5093" s="10"/>
      <c r="B5093" s="11"/>
      <c r="C5093" s="10"/>
      <c r="D5093" s="13"/>
      <c r="E5093" s="14"/>
      <c r="F5093" s="14"/>
      <c r="G5093" s="14"/>
      <c r="H5093" s="10"/>
      <c r="I5093" s="10"/>
      <c r="J5093" s="10"/>
      <c r="K5093" s="46"/>
      <c r="L5093" s="10"/>
      <c r="M5093" s="44" t="s">
        <v>10178</v>
      </c>
      <c r="N5093" s="45"/>
      <c r="O5093" s="20"/>
      <c r="P5093" s="20"/>
      <c r="Q5093" s="20"/>
      <c r="R5093" s="20"/>
      <c r="S5093" s="20"/>
    </row>
    <row r="5094">
      <c r="A5094" s="23"/>
      <c r="B5094" s="21"/>
      <c r="C5094" s="23"/>
      <c r="D5094" s="24"/>
      <c r="E5094" s="14"/>
      <c r="F5094" s="14"/>
      <c r="G5094" s="14"/>
      <c r="H5094" s="23"/>
      <c r="I5094" s="23"/>
      <c r="J5094" s="23"/>
      <c r="K5094" s="30"/>
      <c r="L5094" s="23"/>
      <c r="M5094" s="50" t="s">
        <v>10178</v>
      </c>
      <c r="N5094" s="51"/>
      <c r="O5094" s="20"/>
      <c r="P5094" s="20"/>
      <c r="Q5094" s="20"/>
      <c r="R5094" s="20"/>
      <c r="S5094" s="20"/>
    </row>
    <row r="5095">
      <c r="A5095" s="10"/>
      <c r="B5095" s="11"/>
      <c r="C5095" s="10"/>
      <c r="D5095" s="13"/>
      <c r="E5095" s="14"/>
      <c r="F5095" s="14"/>
      <c r="G5095" s="14"/>
      <c r="H5095" s="10"/>
      <c r="I5095" s="10"/>
      <c r="J5095" s="10"/>
      <c r="K5095" s="46"/>
      <c r="L5095" s="10"/>
      <c r="M5095" s="44" t="s">
        <v>10178</v>
      </c>
      <c r="N5095" s="45"/>
      <c r="O5095" s="20"/>
      <c r="P5095" s="20"/>
      <c r="Q5095" s="20"/>
      <c r="R5095" s="20"/>
      <c r="S5095" s="20"/>
    </row>
    <row r="5096">
      <c r="A5096" s="23"/>
      <c r="B5096" s="21"/>
      <c r="C5096" s="23"/>
      <c r="D5096" s="24"/>
      <c r="E5096" s="14"/>
      <c r="F5096" s="14"/>
      <c r="G5096" s="14"/>
      <c r="H5096" s="23"/>
      <c r="I5096" s="23"/>
      <c r="J5096" s="23"/>
      <c r="K5096" s="30"/>
      <c r="L5096" s="23"/>
      <c r="M5096" s="50" t="s">
        <v>10178</v>
      </c>
      <c r="N5096" s="51"/>
      <c r="O5096" s="20"/>
      <c r="P5096" s="20"/>
      <c r="Q5096" s="20"/>
      <c r="R5096" s="20"/>
      <c r="S5096" s="20"/>
    </row>
    <row r="5097">
      <c r="A5097" s="10"/>
      <c r="B5097" s="11"/>
      <c r="C5097" s="10"/>
      <c r="D5097" s="13"/>
      <c r="E5097" s="14"/>
      <c r="F5097" s="14"/>
      <c r="G5097" s="14"/>
      <c r="H5097" s="10"/>
      <c r="I5097" s="10"/>
      <c r="J5097" s="10"/>
      <c r="K5097" s="46"/>
      <c r="L5097" s="10"/>
      <c r="M5097" s="44" t="s">
        <v>10178</v>
      </c>
      <c r="N5097" s="45"/>
      <c r="O5097" s="20"/>
      <c r="P5097" s="20"/>
      <c r="Q5097" s="20"/>
      <c r="R5097" s="20"/>
      <c r="S5097" s="20"/>
    </row>
    <row r="5098">
      <c r="A5098" s="23"/>
      <c r="B5098" s="21"/>
      <c r="C5098" s="23"/>
      <c r="D5098" s="24"/>
      <c r="E5098" s="14"/>
      <c r="F5098" s="14"/>
      <c r="G5098" s="14"/>
      <c r="H5098" s="23"/>
      <c r="I5098" s="23"/>
      <c r="J5098" s="23"/>
      <c r="K5098" s="30"/>
      <c r="L5098" s="23"/>
      <c r="M5098" s="50" t="s">
        <v>10178</v>
      </c>
      <c r="N5098" s="51"/>
      <c r="O5098" s="20"/>
      <c r="P5098" s="20"/>
      <c r="Q5098" s="20"/>
      <c r="R5098" s="20"/>
      <c r="S5098" s="20"/>
    </row>
    <row r="5099">
      <c r="A5099" s="10"/>
      <c r="B5099" s="11"/>
      <c r="C5099" s="10"/>
      <c r="D5099" s="13"/>
      <c r="E5099" s="14"/>
      <c r="F5099" s="14"/>
      <c r="G5099" s="14"/>
      <c r="H5099" s="10"/>
      <c r="I5099" s="10"/>
      <c r="J5099" s="10"/>
      <c r="K5099" s="46"/>
      <c r="L5099" s="10"/>
      <c r="M5099" s="44" t="s">
        <v>10178</v>
      </c>
      <c r="N5099" s="45"/>
      <c r="O5099" s="20"/>
      <c r="P5099" s="20"/>
      <c r="Q5099" s="20"/>
      <c r="R5099" s="20"/>
      <c r="S5099" s="20"/>
    </row>
    <row r="5100">
      <c r="A5100" s="23"/>
      <c r="B5100" s="21"/>
      <c r="C5100" s="23"/>
      <c r="D5100" s="24"/>
      <c r="E5100" s="14"/>
      <c r="F5100" s="14"/>
      <c r="G5100" s="14"/>
      <c r="H5100" s="23"/>
      <c r="I5100" s="23"/>
      <c r="J5100" s="23"/>
      <c r="K5100" s="30"/>
      <c r="L5100" s="23"/>
      <c r="M5100" s="50" t="s">
        <v>10178</v>
      </c>
      <c r="N5100" s="51"/>
      <c r="O5100" s="20"/>
      <c r="P5100" s="20"/>
      <c r="Q5100" s="20"/>
      <c r="R5100" s="20"/>
      <c r="S5100" s="20"/>
    </row>
    <row r="5101">
      <c r="A5101" s="10"/>
      <c r="B5101" s="11"/>
      <c r="C5101" s="10"/>
      <c r="D5101" s="13"/>
      <c r="E5101" s="14"/>
      <c r="F5101" s="14"/>
      <c r="G5101" s="14"/>
      <c r="H5101" s="10"/>
      <c r="I5101" s="10"/>
      <c r="J5101" s="10"/>
      <c r="K5101" s="46"/>
      <c r="L5101" s="10"/>
      <c r="M5101" s="44" t="s">
        <v>10178</v>
      </c>
      <c r="N5101" s="45"/>
      <c r="O5101" s="20"/>
      <c r="P5101" s="20"/>
      <c r="Q5101" s="20"/>
      <c r="R5101" s="20"/>
      <c r="S5101" s="20"/>
    </row>
    <row r="5102">
      <c r="A5102" s="23"/>
      <c r="B5102" s="21"/>
      <c r="C5102" s="23"/>
      <c r="D5102" s="24"/>
      <c r="E5102" s="14"/>
      <c r="F5102" s="14"/>
      <c r="G5102" s="14"/>
      <c r="H5102" s="23"/>
      <c r="I5102" s="23"/>
      <c r="J5102" s="23"/>
      <c r="K5102" s="30"/>
      <c r="L5102" s="23"/>
      <c r="M5102" s="50" t="s">
        <v>10178</v>
      </c>
      <c r="N5102" s="51"/>
      <c r="O5102" s="20"/>
      <c r="P5102" s="20"/>
      <c r="Q5102" s="20"/>
      <c r="R5102" s="20"/>
      <c r="S5102" s="20"/>
    </row>
    <row r="5103">
      <c r="A5103" s="10"/>
      <c r="B5103" s="11"/>
      <c r="C5103" s="10"/>
      <c r="D5103" s="13"/>
      <c r="E5103" s="14"/>
      <c r="F5103" s="14"/>
      <c r="G5103" s="14"/>
      <c r="H5103" s="10"/>
      <c r="I5103" s="10"/>
      <c r="J5103" s="10"/>
      <c r="K5103" s="46"/>
      <c r="L5103" s="10"/>
      <c r="M5103" s="44" t="s">
        <v>10178</v>
      </c>
      <c r="N5103" s="45"/>
      <c r="O5103" s="20"/>
      <c r="P5103" s="20"/>
      <c r="Q5103" s="20"/>
      <c r="R5103" s="20"/>
      <c r="S5103" s="20"/>
    </row>
    <row r="5104">
      <c r="A5104" s="23"/>
      <c r="B5104" s="21"/>
      <c r="C5104" s="23"/>
      <c r="D5104" s="24"/>
      <c r="E5104" s="14"/>
      <c r="F5104" s="14"/>
      <c r="G5104" s="14"/>
      <c r="H5104" s="23"/>
      <c r="I5104" s="23"/>
      <c r="J5104" s="23"/>
      <c r="K5104" s="30"/>
      <c r="L5104" s="23"/>
      <c r="M5104" s="50" t="s">
        <v>10178</v>
      </c>
      <c r="N5104" s="51"/>
      <c r="O5104" s="20"/>
      <c r="P5104" s="20"/>
      <c r="Q5104" s="20"/>
      <c r="R5104" s="20"/>
      <c r="S5104" s="20"/>
    </row>
    <row r="5105">
      <c r="A5105" s="10"/>
      <c r="B5105" s="11"/>
      <c r="C5105" s="10"/>
      <c r="D5105" s="13"/>
      <c r="E5105" s="14"/>
      <c r="F5105" s="14"/>
      <c r="G5105" s="14"/>
      <c r="H5105" s="10"/>
      <c r="I5105" s="10"/>
      <c r="J5105" s="10"/>
      <c r="K5105" s="46"/>
      <c r="L5105" s="10"/>
      <c r="M5105" s="44" t="s">
        <v>10178</v>
      </c>
      <c r="N5105" s="45"/>
      <c r="O5105" s="20"/>
      <c r="P5105" s="20"/>
      <c r="Q5105" s="20"/>
      <c r="R5105" s="20"/>
      <c r="S5105" s="20"/>
    </row>
    <row r="5106">
      <c r="A5106" s="23"/>
      <c r="B5106" s="21"/>
      <c r="C5106" s="23"/>
      <c r="D5106" s="24"/>
      <c r="E5106" s="14"/>
      <c r="F5106" s="14"/>
      <c r="G5106" s="14"/>
      <c r="H5106" s="23"/>
      <c r="I5106" s="23"/>
      <c r="J5106" s="23"/>
      <c r="K5106" s="30"/>
      <c r="L5106" s="23"/>
      <c r="M5106" s="50" t="s">
        <v>10178</v>
      </c>
      <c r="N5106" s="51"/>
      <c r="O5106" s="20"/>
      <c r="P5106" s="20"/>
      <c r="Q5106" s="20"/>
      <c r="R5106" s="20"/>
      <c r="S5106" s="20"/>
    </row>
    <row r="5107">
      <c r="A5107" s="10"/>
      <c r="B5107" s="11"/>
      <c r="C5107" s="10"/>
      <c r="D5107" s="13"/>
      <c r="E5107" s="14"/>
      <c r="F5107" s="14"/>
      <c r="G5107" s="14"/>
      <c r="H5107" s="10"/>
      <c r="I5107" s="10"/>
      <c r="J5107" s="10"/>
      <c r="K5107" s="46"/>
      <c r="L5107" s="10"/>
      <c r="M5107" s="44" t="s">
        <v>10178</v>
      </c>
      <c r="N5107" s="45"/>
      <c r="O5107" s="20"/>
      <c r="P5107" s="20"/>
      <c r="Q5107" s="20"/>
      <c r="R5107" s="20"/>
      <c r="S5107" s="20"/>
    </row>
    <row r="5108">
      <c r="A5108" s="23"/>
      <c r="B5108" s="21"/>
      <c r="C5108" s="23"/>
      <c r="D5108" s="24"/>
      <c r="E5108" s="14"/>
      <c r="F5108" s="14"/>
      <c r="G5108" s="14"/>
      <c r="H5108" s="23"/>
      <c r="I5108" s="23"/>
      <c r="J5108" s="23"/>
      <c r="K5108" s="30"/>
      <c r="L5108" s="23"/>
      <c r="M5108" s="50" t="s">
        <v>10178</v>
      </c>
      <c r="N5108" s="51"/>
      <c r="O5108" s="20"/>
      <c r="P5108" s="20"/>
      <c r="Q5108" s="20"/>
      <c r="R5108" s="20"/>
      <c r="S5108" s="20"/>
    </row>
    <row r="5109">
      <c r="A5109" s="10"/>
      <c r="B5109" s="11"/>
      <c r="C5109" s="10"/>
      <c r="D5109" s="13"/>
      <c r="E5109" s="14"/>
      <c r="F5109" s="14"/>
      <c r="G5109" s="14"/>
      <c r="H5109" s="10"/>
      <c r="I5109" s="10"/>
      <c r="J5109" s="10"/>
      <c r="K5109" s="46"/>
      <c r="L5109" s="10"/>
      <c r="M5109" s="44" t="s">
        <v>10178</v>
      </c>
      <c r="N5109" s="45"/>
      <c r="O5109" s="20"/>
      <c r="P5109" s="20"/>
      <c r="Q5109" s="20"/>
      <c r="R5109" s="20"/>
      <c r="S5109" s="20"/>
    </row>
    <row r="5110">
      <c r="A5110" s="23"/>
      <c r="B5110" s="21"/>
      <c r="C5110" s="23"/>
      <c r="D5110" s="24"/>
      <c r="E5110" s="14"/>
      <c r="F5110" s="14"/>
      <c r="G5110" s="14"/>
      <c r="H5110" s="23"/>
      <c r="I5110" s="23"/>
      <c r="J5110" s="23"/>
      <c r="K5110" s="30"/>
      <c r="L5110" s="23"/>
      <c r="M5110" s="50" t="s">
        <v>10178</v>
      </c>
      <c r="N5110" s="51"/>
      <c r="O5110" s="20"/>
      <c r="P5110" s="20"/>
      <c r="Q5110" s="20"/>
      <c r="R5110" s="20"/>
      <c r="S5110" s="20"/>
    </row>
    <row r="5111">
      <c r="A5111" s="10"/>
      <c r="B5111" s="11"/>
      <c r="C5111" s="10"/>
      <c r="D5111" s="13"/>
      <c r="E5111" s="14"/>
      <c r="F5111" s="14"/>
      <c r="G5111" s="14"/>
      <c r="H5111" s="10"/>
      <c r="I5111" s="10"/>
      <c r="J5111" s="10"/>
      <c r="K5111" s="46"/>
      <c r="L5111" s="10"/>
      <c r="M5111" s="44" t="s">
        <v>10178</v>
      </c>
      <c r="N5111" s="45"/>
      <c r="O5111" s="20"/>
      <c r="P5111" s="20"/>
      <c r="Q5111" s="20"/>
      <c r="R5111" s="20"/>
      <c r="S5111" s="20"/>
    </row>
    <row r="5112">
      <c r="A5112" s="23"/>
      <c r="B5112" s="21"/>
      <c r="C5112" s="23"/>
      <c r="D5112" s="24"/>
      <c r="E5112" s="14"/>
      <c r="F5112" s="14"/>
      <c r="G5112" s="14"/>
      <c r="H5112" s="23"/>
      <c r="I5112" s="23"/>
      <c r="J5112" s="23"/>
      <c r="K5112" s="30"/>
      <c r="L5112" s="23"/>
      <c r="M5112" s="50" t="s">
        <v>10178</v>
      </c>
      <c r="N5112" s="51"/>
      <c r="O5112" s="20"/>
      <c r="P5112" s="20"/>
      <c r="Q5112" s="20"/>
      <c r="R5112" s="20"/>
      <c r="S5112" s="20"/>
    </row>
    <row r="5113">
      <c r="A5113" s="10"/>
      <c r="B5113" s="11"/>
      <c r="C5113" s="10"/>
      <c r="D5113" s="13"/>
      <c r="E5113" s="14"/>
      <c r="F5113" s="14"/>
      <c r="G5113" s="14"/>
      <c r="H5113" s="10"/>
      <c r="I5113" s="10"/>
      <c r="J5113" s="10"/>
      <c r="K5113" s="46"/>
      <c r="L5113" s="10"/>
      <c r="M5113" s="44" t="s">
        <v>10178</v>
      </c>
      <c r="N5113" s="45"/>
      <c r="O5113" s="20"/>
      <c r="P5113" s="20"/>
      <c r="Q5113" s="20"/>
      <c r="R5113" s="20"/>
      <c r="S5113" s="20"/>
    </row>
    <row r="5114">
      <c r="A5114" s="23"/>
      <c r="B5114" s="21"/>
      <c r="C5114" s="23"/>
      <c r="D5114" s="24"/>
      <c r="E5114" s="14"/>
      <c r="F5114" s="14"/>
      <c r="G5114" s="14"/>
      <c r="H5114" s="23"/>
      <c r="I5114" s="23"/>
      <c r="J5114" s="23"/>
      <c r="K5114" s="30"/>
      <c r="L5114" s="23"/>
      <c r="M5114" s="50" t="s">
        <v>10178</v>
      </c>
      <c r="N5114" s="51"/>
      <c r="O5114" s="20"/>
      <c r="P5114" s="20"/>
      <c r="Q5114" s="20"/>
      <c r="R5114" s="20"/>
      <c r="S5114" s="20"/>
    </row>
    <row r="5115">
      <c r="A5115" s="10"/>
      <c r="B5115" s="11"/>
      <c r="C5115" s="10"/>
      <c r="D5115" s="13"/>
      <c r="E5115" s="14"/>
      <c r="F5115" s="14"/>
      <c r="G5115" s="14"/>
      <c r="H5115" s="10"/>
      <c r="I5115" s="10"/>
      <c r="J5115" s="10"/>
      <c r="K5115" s="46"/>
      <c r="L5115" s="10"/>
      <c r="M5115" s="44" t="s">
        <v>10178</v>
      </c>
      <c r="N5115" s="45"/>
      <c r="O5115" s="20"/>
      <c r="P5115" s="20"/>
      <c r="Q5115" s="20"/>
      <c r="R5115" s="20"/>
      <c r="S5115" s="20"/>
    </row>
    <row r="5116">
      <c r="A5116" s="23"/>
      <c r="B5116" s="21"/>
      <c r="C5116" s="23"/>
      <c r="D5116" s="24"/>
      <c r="E5116" s="14"/>
      <c r="F5116" s="14"/>
      <c r="G5116" s="14"/>
      <c r="H5116" s="23"/>
      <c r="I5116" s="23"/>
      <c r="J5116" s="23"/>
      <c r="K5116" s="30"/>
      <c r="L5116" s="23"/>
      <c r="M5116" s="50" t="s">
        <v>10178</v>
      </c>
      <c r="N5116" s="51"/>
      <c r="O5116" s="20"/>
      <c r="P5116" s="20"/>
      <c r="Q5116" s="20"/>
      <c r="R5116" s="20"/>
      <c r="S5116" s="20"/>
    </row>
    <row r="5117">
      <c r="A5117" s="10"/>
      <c r="B5117" s="11"/>
      <c r="C5117" s="10"/>
      <c r="D5117" s="13"/>
      <c r="E5117" s="14"/>
      <c r="F5117" s="14"/>
      <c r="G5117" s="14"/>
      <c r="H5117" s="10"/>
      <c r="I5117" s="10"/>
      <c r="J5117" s="10"/>
      <c r="K5117" s="46"/>
      <c r="L5117" s="10"/>
      <c r="M5117" s="44" t="s">
        <v>10178</v>
      </c>
      <c r="N5117" s="45"/>
      <c r="O5117" s="20"/>
      <c r="P5117" s="20"/>
      <c r="Q5117" s="20"/>
      <c r="R5117" s="20"/>
      <c r="S5117" s="20"/>
    </row>
    <row r="5118">
      <c r="A5118" s="23"/>
      <c r="B5118" s="21"/>
      <c r="C5118" s="23"/>
      <c r="D5118" s="24"/>
      <c r="E5118" s="14"/>
      <c r="F5118" s="14"/>
      <c r="G5118" s="14"/>
      <c r="H5118" s="23"/>
      <c r="I5118" s="23"/>
      <c r="J5118" s="23"/>
      <c r="K5118" s="30"/>
      <c r="L5118" s="23"/>
      <c r="M5118" s="50" t="s">
        <v>10178</v>
      </c>
      <c r="N5118" s="51"/>
      <c r="O5118" s="20"/>
      <c r="P5118" s="20"/>
      <c r="Q5118" s="20"/>
      <c r="R5118" s="20"/>
      <c r="S5118" s="20"/>
    </row>
    <row r="5119">
      <c r="A5119" s="10"/>
      <c r="B5119" s="11"/>
      <c r="C5119" s="10"/>
      <c r="D5119" s="13"/>
      <c r="E5119" s="14"/>
      <c r="F5119" s="14"/>
      <c r="G5119" s="14"/>
      <c r="H5119" s="10"/>
      <c r="I5119" s="10"/>
      <c r="J5119" s="10"/>
      <c r="K5119" s="46"/>
      <c r="L5119" s="10"/>
      <c r="M5119" s="44" t="s">
        <v>10178</v>
      </c>
      <c r="N5119" s="45"/>
      <c r="O5119" s="20"/>
      <c r="P5119" s="20"/>
      <c r="Q5119" s="20"/>
      <c r="R5119" s="20"/>
      <c r="S5119" s="20"/>
    </row>
    <row r="5120">
      <c r="A5120" s="23"/>
      <c r="B5120" s="21"/>
      <c r="C5120" s="23"/>
      <c r="D5120" s="24"/>
      <c r="E5120" s="14"/>
      <c r="F5120" s="14"/>
      <c r="G5120" s="14"/>
      <c r="H5120" s="23"/>
      <c r="I5120" s="23"/>
      <c r="J5120" s="23"/>
      <c r="K5120" s="30"/>
      <c r="L5120" s="23"/>
      <c r="M5120" s="50" t="s">
        <v>10178</v>
      </c>
      <c r="N5120" s="51"/>
      <c r="O5120" s="20"/>
      <c r="P5120" s="20"/>
      <c r="Q5120" s="20"/>
      <c r="R5120" s="20"/>
      <c r="S5120" s="20"/>
    </row>
    <row r="5121">
      <c r="A5121" s="10"/>
      <c r="B5121" s="11"/>
      <c r="C5121" s="10"/>
      <c r="D5121" s="13"/>
      <c r="E5121" s="14"/>
      <c r="F5121" s="14"/>
      <c r="G5121" s="14"/>
      <c r="H5121" s="10"/>
      <c r="I5121" s="10"/>
      <c r="J5121" s="10"/>
      <c r="K5121" s="46"/>
      <c r="L5121" s="10"/>
      <c r="M5121" s="44" t="s">
        <v>10178</v>
      </c>
      <c r="N5121" s="45"/>
      <c r="O5121" s="20"/>
      <c r="P5121" s="20"/>
      <c r="Q5121" s="20"/>
      <c r="R5121" s="20"/>
      <c r="S5121" s="20"/>
    </row>
    <row r="5122">
      <c r="A5122" s="23"/>
      <c r="B5122" s="21"/>
      <c r="C5122" s="23"/>
      <c r="D5122" s="24"/>
      <c r="E5122" s="14"/>
      <c r="F5122" s="14"/>
      <c r="G5122" s="14"/>
      <c r="H5122" s="23"/>
      <c r="I5122" s="23"/>
      <c r="J5122" s="23"/>
      <c r="K5122" s="30"/>
      <c r="L5122" s="23"/>
      <c r="M5122" s="50" t="s">
        <v>10178</v>
      </c>
      <c r="N5122" s="51"/>
      <c r="O5122" s="20"/>
      <c r="P5122" s="20"/>
      <c r="Q5122" s="20"/>
      <c r="R5122" s="20"/>
      <c r="S5122" s="20"/>
    </row>
    <row r="5123">
      <c r="A5123" s="10"/>
      <c r="B5123" s="11"/>
      <c r="C5123" s="10"/>
      <c r="D5123" s="13"/>
      <c r="E5123" s="14"/>
      <c r="F5123" s="14"/>
      <c r="G5123" s="14"/>
      <c r="H5123" s="10"/>
      <c r="I5123" s="10"/>
      <c r="J5123" s="10"/>
      <c r="K5123" s="46"/>
      <c r="L5123" s="10"/>
      <c r="M5123" s="44" t="s">
        <v>10178</v>
      </c>
      <c r="N5123" s="45"/>
      <c r="O5123" s="20"/>
      <c r="P5123" s="20"/>
      <c r="Q5123" s="20"/>
      <c r="R5123" s="20"/>
      <c r="S5123" s="20"/>
    </row>
    <row r="5124">
      <c r="A5124" s="23"/>
      <c r="B5124" s="21"/>
      <c r="C5124" s="23"/>
      <c r="D5124" s="24"/>
      <c r="E5124" s="14"/>
      <c r="F5124" s="14"/>
      <c r="G5124" s="14"/>
      <c r="H5124" s="23"/>
      <c r="I5124" s="23"/>
      <c r="J5124" s="23"/>
      <c r="K5124" s="30"/>
      <c r="L5124" s="23"/>
      <c r="M5124" s="50" t="s">
        <v>10178</v>
      </c>
      <c r="N5124" s="51"/>
      <c r="O5124" s="20"/>
      <c r="P5124" s="20"/>
      <c r="Q5124" s="20"/>
      <c r="R5124" s="20"/>
      <c r="S5124" s="20"/>
    </row>
    <row r="5125">
      <c r="A5125" s="10"/>
      <c r="B5125" s="11"/>
      <c r="C5125" s="10"/>
      <c r="D5125" s="13"/>
      <c r="E5125" s="14"/>
      <c r="F5125" s="14"/>
      <c r="G5125" s="14"/>
      <c r="H5125" s="10"/>
      <c r="I5125" s="10"/>
      <c r="J5125" s="10"/>
      <c r="K5125" s="46"/>
      <c r="L5125" s="10"/>
      <c r="M5125" s="44" t="s">
        <v>10178</v>
      </c>
      <c r="N5125" s="45"/>
      <c r="O5125" s="20"/>
      <c r="P5125" s="20"/>
      <c r="Q5125" s="20"/>
      <c r="R5125" s="20"/>
      <c r="S5125" s="20"/>
    </row>
    <row r="5126">
      <c r="A5126" s="23"/>
      <c r="B5126" s="21"/>
      <c r="C5126" s="23"/>
      <c r="D5126" s="24"/>
      <c r="E5126" s="14"/>
      <c r="F5126" s="14"/>
      <c r="G5126" s="14"/>
      <c r="H5126" s="23"/>
      <c r="I5126" s="23"/>
      <c r="J5126" s="23"/>
      <c r="K5126" s="30"/>
      <c r="L5126" s="23"/>
      <c r="M5126" s="50" t="s">
        <v>10178</v>
      </c>
      <c r="N5126" s="51"/>
      <c r="O5126" s="20"/>
      <c r="P5126" s="20"/>
      <c r="Q5126" s="20"/>
      <c r="R5126" s="20"/>
      <c r="S5126" s="20"/>
    </row>
    <row r="5127">
      <c r="A5127" s="10"/>
      <c r="B5127" s="11"/>
      <c r="C5127" s="10"/>
      <c r="D5127" s="13"/>
      <c r="E5127" s="14"/>
      <c r="F5127" s="14"/>
      <c r="G5127" s="14"/>
      <c r="H5127" s="10"/>
      <c r="I5127" s="10"/>
      <c r="J5127" s="10"/>
      <c r="K5127" s="46"/>
      <c r="L5127" s="10"/>
      <c r="M5127" s="44" t="s">
        <v>10178</v>
      </c>
      <c r="N5127" s="45"/>
      <c r="O5127" s="20"/>
      <c r="P5127" s="20"/>
      <c r="Q5127" s="20"/>
      <c r="R5127" s="20"/>
      <c r="S5127" s="20"/>
    </row>
    <row r="5128">
      <c r="A5128" s="23"/>
      <c r="B5128" s="21"/>
      <c r="C5128" s="23"/>
      <c r="D5128" s="24"/>
      <c r="E5128" s="14"/>
      <c r="F5128" s="14"/>
      <c r="G5128" s="14"/>
      <c r="H5128" s="23"/>
      <c r="I5128" s="23"/>
      <c r="J5128" s="23"/>
      <c r="K5128" s="30"/>
      <c r="L5128" s="23"/>
      <c r="M5128" s="50" t="s">
        <v>10178</v>
      </c>
      <c r="N5128" s="51"/>
      <c r="O5128" s="20"/>
      <c r="P5128" s="20"/>
      <c r="Q5128" s="20"/>
      <c r="R5128" s="20"/>
      <c r="S5128" s="20"/>
    </row>
    <row r="5129">
      <c r="A5129" s="10"/>
      <c r="B5129" s="11"/>
      <c r="C5129" s="10"/>
      <c r="D5129" s="13"/>
      <c r="E5129" s="14"/>
      <c r="F5129" s="14"/>
      <c r="G5129" s="14"/>
      <c r="H5129" s="10"/>
      <c r="I5129" s="10"/>
      <c r="J5129" s="10"/>
      <c r="K5129" s="46"/>
      <c r="L5129" s="10"/>
      <c r="M5129" s="44" t="s">
        <v>10178</v>
      </c>
      <c r="N5129" s="45"/>
      <c r="O5129" s="20"/>
      <c r="P5129" s="20"/>
      <c r="Q5129" s="20"/>
      <c r="R5129" s="20"/>
      <c r="S5129" s="20"/>
    </row>
    <row r="5130">
      <c r="A5130" s="23"/>
      <c r="B5130" s="21"/>
      <c r="C5130" s="23"/>
      <c r="D5130" s="24"/>
      <c r="E5130" s="14"/>
      <c r="F5130" s="14"/>
      <c r="G5130" s="14"/>
      <c r="H5130" s="23"/>
      <c r="I5130" s="23"/>
      <c r="J5130" s="23"/>
      <c r="K5130" s="30"/>
      <c r="L5130" s="23"/>
      <c r="M5130" s="50" t="s">
        <v>10178</v>
      </c>
      <c r="N5130" s="51"/>
      <c r="O5130" s="20"/>
      <c r="P5130" s="20"/>
      <c r="Q5130" s="20"/>
      <c r="R5130" s="20"/>
      <c r="S5130" s="20"/>
    </row>
    <row r="5131">
      <c r="A5131" s="10"/>
      <c r="B5131" s="11"/>
      <c r="C5131" s="10"/>
      <c r="D5131" s="13"/>
      <c r="E5131" s="14"/>
      <c r="F5131" s="14"/>
      <c r="G5131" s="14"/>
      <c r="H5131" s="10"/>
      <c r="I5131" s="10"/>
      <c r="J5131" s="10"/>
      <c r="K5131" s="46"/>
      <c r="L5131" s="10"/>
      <c r="M5131" s="44" t="s">
        <v>10178</v>
      </c>
      <c r="N5131" s="45"/>
      <c r="O5131" s="20"/>
      <c r="P5131" s="20"/>
      <c r="Q5131" s="20"/>
      <c r="R5131" s="20"/>
      <c r="S5131" s="20"/>
    </row>
    <row r="5132">
      <c r="A5132" s="23"/>
      <c r="B5132" s="21"/>
      <c r="C5132" s="23"/>
      <c r="D5132" s="24"/>
      <c r="E5132" s="14"/>
      <c r="F5132" s="14"/>
      <c r="G5132" s="14"/>
      <c r="H5132" s="23"/>
      <c r="I5132" s="23"/>
      <c r="J5132" s="23"/>
      <c r="K5132" s="30"/>
      <c r="L5132" s="23"/>
      <c r="M5132" s="50" t="s">
        <v>10178</v>
      </c>
      <c r="N5132" s="51"/>
      <c r="O5132" s="20"/>
      <c r="P5132" s="20"/>
      <c r="Q5132" s="20"/>
      <c r="R5132" s="20"/>
      <c r="S5132" s="20"/>
    </row>
    <row r="5133">
      <c r="A5133" s="10"/>
      <c r="B5133" s="11"/>
      <c r="C5133" s="10"/>
      <c r="D5133" s="13"/>
      <c r="E5133" s="14"/>
      <c r="F5133" s="14"/>
      <c r="G5133" s="14"/>
      <c r="H5133" s="10"/>
      <c r="I5133" s="10"/>
      <c r="J5133" s="10"/>
      <c r="K5133" s="46"/>
      <c r="L5133" s="10"/>
      <c r="M5133" s="44" t="s">
        <v>10178</v>
      </c>
      <c r="N5133" s="45"/>
      <c r="O5133" s="20"/>
      <c r="P5133" s="20"/>
      <c r="Q5133" s="20"/>
      <c r="R5133" s="20"/>
      <c r="S5133" s="20"/>
    </row>
    <row r="5134">
      <c r="A5134" s="23"/>
      <c r="B5134" s="21"/>
      <c r="C5134" s="23"/>
      <c r="D5134" s="24"/>
      <c r="E5134" s="14"/>
      <c r="F5134" s="14"/>
      <c r="G5134" s="14"/>
      <c r="H5134" s="23"/>
      <c r="I5134" s="23"/>
      <c r="J5134" s="23"/>
      <c r="K5134" s="30"/>
      <c r="L5134" s="23"/>
      <c r="M5134" s="50" t="s">
        <v>10178</v>
      </c>
      <c r="N5134" s="51"/>
      <c r="O5134" s="20"/>
      <c r="P5134" s="20"/>
      <c r="Q5134" s="20"/>
      <c r="R5134" s="20"/>
      <c r="S5134" s="20"/>
    </row>
    <row r="5135">
      <c r="A5135" s="10"/>
      <c r="B5135" s="11"/>
      <c r="C5135" s="10"/>
      <c r="D5135" s="13"/>
      <c r="E5135" s="14"/>
      <c r="F5135" s="14"/>
      <c r="G5135" s="14"/>
      <c r="H5135" s="10"/>
      <c r="I5135" s="10"/>
      <c r="J5135" s="10"/>
      <c r="K5135" s="46"/>
      <c r="L5135" s="10"/>
      <c r="M5135" s="44" t="s">
        <v>10178</v>
      </c>
      <c r="N5135" s="45"/>
      <c r="O5135" s="20"/>
      <c r="P5135" s="20"/>
      <c r="Q5135" s="20"/>
      <c r="R5135" s="20"/>
      <c r="S5135" s="20"/>
    </row>
    <row r="5136">
      <c r="A5136" s="23"/>
      <c r="B5136" s="21"/>
      <c r="C5136" s="23"/>
      <c r="D5136" s="24"/>
      <c r="E5136" s="14"/>
      <c r="F5136" s="14"/>
      <c r="G5136" s="14"/>
      <c r="H5136" s="23"/>
      <c r="I5136" s="23"/>
      <c r="J5136" s="23"/>
      <c r="K5136" s="30"/>
      <c r="L5136" s="23"/>
      <c r="M5136" s="50" t="s">
        <v>10178</v>
      </c>
      <c r="N5136" s="51"/>
      <c r="O5136" s="20"/>
      <c r="P5136" s="20"/>
      <c r="Q5136" s="20"/>
      <c r="R5136" s="20"/>
      <c r="S5136" s="20"/>
    </row>
    <row r="5137">
      <c r="A5137" s="10"/>
      <c r="B5137" s="11"/>
      <c r="C5137" s="10"/>
      <c r="D5137" s="13"/>
      <c r="E5137" s="14"/>
      <c r="F5137" s="14"/>
      <c r="G5137" s="14"/>
      <c r="H5137" s="10"/>
      <c r="I5137" s="10"/>
      <c r="J5137" s="10"/>
      <c r="K5137" s="46"/>
      <c r="L5137" s="10"/>
      <c r="M5137" s="44" t="s">
        <v>10178</v>
      </c>
      <c r="N5137" s="45"/>
      <c r="O5137" s="20"/>
      <c r="P5137" s="20"/>
      <c r="Q5137" s="20"/>
      <c r="R5137" s="20"/>
      <c r="S5137" s="20"/>
    </row>
    <row r="5138">
      <c r="A5138" s="23"/>
      <c r="B5138" s="21"/>
      <c r="C5138" s="23"/>
      <c r="D5138" s="24"/>
      <c r="E5138" s="14"/>
      <c r="F5138" s="14"/>
      <c r="G5138" s="14"/>
      <c r="H5138" s="23"/>
      <c r="I5138" s="23"/>
      <c r="J5138" s="23"/>
      <c r="K5138" s="30"/>
      <c r="L5138" s="23"/>
      <c r="M5138" s="50" t="s">
        <v>10178</v>
      </c>
      <c r="N5138" s="51"/>
      <c r="O5138" s="20"/>
      <c r="P5138" s="20"/>
      <c r="Q5138" s="20"/>
      <c r="R5138" s="20"/>
      <c r="S5138" s="20"/>
    </row>
    <row r="5139">
      <c r="A5139" s="10"/>
      <c r="B5139" s="11"/>
      <c r="C5139" s="10"/>
      <c r="D5139" s="13"/>
      <c r="E5139" s="14"/>
      <c r="F5139" s="14"/>
      <c r="G5139" s="14"/>
      <c r="H5139" s="10"/>
      <c r="I5139" s="10"/>
      <c r="J5139" s="10"/>
      <c r="K5139" s="46"/>
      <c r="L5139" s="10"/>
      <c r="M5139" s="44" t="s">
        <v>10178</v>
      </c>
      <c r="N5139" s="45"/>
      <c r="O5139" s="20"/>
      <c r="P5139" s="20"/>
      <c r="Q5139" s="20"/>
      <c r="R5139" s="20"/>
      <c r="S5139" s="20"/>
    </row>
    <row r="5140">
      <c r="A5140" s="23"/>
      <c r="B5140" s="21"/>
      <c r="C5140" s="23"/>
      <c r="D5140" s="24"/>
      <c r="E5140" s="14"/>
      <c r="F5140" s="14"/>
      <c r="G5140" s="14"/>
      <c r="H5140" s="23"/>
      <c r="I5140" s="23"/>
      <c r="J5140" s="23"/>
      <c r="K5140" s="30"/>
      <c r="L5140" s="23"/>
      <c r="M5140" s="50" t="s">
        <v>10178</v>
      </c>
      <c r="N5140" s="51"/>
      <c r="O5140" s="20"/>
      <c r="P5140" s="20"/>
      <c r="Q5140" s="20"/>
      <c r="R5140" s="20"/>
      <c r="S5140" s="20"/>
    </row>
    <row r="5141">
      <c r="A5141" s="10"/>
      <c r="B5141" s="11"/>
      <c r="C5141" s="10"/>
      <c r="D5141" s="13"/>
      <c r="E5141" s="14"/>
      <c r="F5141" s="14"/>
      <c r="G5141" s="14"/>
      <c r="H5141" s="10"/>
      <c r="I5141" s="10"/>
      <c r="J5141" s="10"/>
      <c r="K5141" s="46"/>
      <c r="L5141" s="10"/>
      <c r="M5141" s="44" t="s">
        <v>10178</v>
      </c>
      <c r="N5141" s="45"/>
      <c r="O5141" s="20"/>
      <c r="P5141" s="20"/>
      <c r="Q5141" s="20"/>
      <c r="R5141" s="20"/>
      <c r="S5141" s="20"/>
    </row>
    <row r="5142">
      <c r="A5142" s="23"/>
      <c r="B5142" s="21"/>
      <c r="C5142" s="23"/>
      <c r="D5142" s="24"/>
      <c r="E5142" s="14"/>
      <c r="F5142" s="14"/>
      <c r="G5142" s="14"/>
      <c r="H5142" s="23"/>
      <c r="I5142" s="23"/>
      <c r="J5142" s="23"/>
      <c r="K5142" s="30"/>
      <c r="L5142" s="23"/>
      <c r="M5142" s="50" t="s">
        <v>10178</v>
      </c>
      <c r="N5142" s="51"/>
      <c r="O5142" s="20"/>
      <c r="P5142" s="20"/>
      <c r="Q5142" s="20"/>
      <c r="R5142" s="20"/>
      <c r="S5142" s="20"/>
    </row>
    <row r="5143">
      <c r="A5143" s="10"/>
      <c r="B5143" s="11"/>
      <c r="C5143" s="10"/>
      <c r="D5143" s="13"/>
      <c r="E5143" s="14"/>
      <c r="F5143" s="14"/>
      <c r="G5143" s="14"/>
      <c r="H5143" s="10"/>
      <c r="I5143" s="10"/>
      <c r="J5143" s="10"/>
      <c r="K5143" s="46"/>
      <c r="L5143" s="10"/>
      <c r="M5143" s="44" t="s">
        <v>10178</v>
      </c>
      <c r="N5143" s="45"/>
      <c r="O5143" s="20"/>
      <c r="P5143" s="20"/>
      <c r="Q5143" s="20"/>
      <c r="R5143" s="20"/>
      <c r="S5143" s="20"/>
    </row>
    <row r="5144">
      <c r="A5144" s="23"/>
      <c r="B5144" s="21"/>
      <c r="C5144" s="23"/>
      <c r="D5144" s="24"/>
      <c r="E5144" s="14"/>
      <c r="F5144" s="14"/>
      <c r="G5144" s="14"/>
      <c r="H5144" s="23"/>
      <c r="I5144" s="23"/>
      <c r="J5144" s="23"/>
      <c r="K5144" s="30"/>
      <c r="L5144" s="23"/>
      <c r="M5144" s="50" t="s">
        <v>10178</v>
      </c>
      <c r="N5144" s="51"/>
      <c r="O5144" s="20"/>
      <c r="P5144" s="20"/>
      <c r="Q5144" s="20"/>
      <c r="R5144" s="20"/>
      <c r="S5144" s="20"/>
    </row>
    <row r="5145">
      <c r="A5145" s="10"/>
      <c r="B5145" s="11"/>
      <c r="C5145" s="10"/>
      <c r="D5145" s="13"/>
      <c r="E5145" s="14"/>
      <c r="F5145" s="14"/>
      <c r="G5145" s="14"/>
      <c r="H5145" s="10"/>
      <c r="I5145" s="10"/>
      <c r="J5145" s="10"/>
      <c r="K5145" s="46"/>
      <c r="L5145" s="10"/>
      <c r="M5145" s="44" t="s">
        <v>10178</v>
      </c>
      <c r="N5145" s="45"/>
      <c r="O5145" s="20"/>
      <c r="P5145" s="20"/>
      <c r="Q5145" s="20"/>
      <c r="R5145" s="20"/>
      <c r="S5145" s="20"/>
    </row>
    <row r="5146">
      <c r="A5146" s="23"/>
      <c r="B5146" s="21"/>
      <c r="C5146" s="23"/>
      <c r="D5146" s="24"/>
      <c r="E5146" s="14"/>
      <c r="F5146" s="14"/>
      <c r="G5146" s="14"/>
      <c r="H5146" s="23"/>
      <c r="I5146" s="23"/>
      <c r="J5146" s="23"/>
      <c r="K5146" s="30"/>
      <c r="L5146" s="23"/>
      <c r="M5146" s="50" t="s">
        <v>10178</v>
      </c>
      <c r="N5146" s="51"/>
      <c r="O5146" s="20"/>
      <c r="P5146" s="20"/>
      <c r="Q5146" s="20"/>
      <c r="R5146" s="20"/>
      <c r="S5146" s="20"/>
    </row>
    <row r="5147">
      <c r="A5147" s="10"/>
      <c r="B5147" s="11"/>
      <c r="C5147" s="10"/>
      <c r="D5147" s="13"/>
      <c r="E5147" s="14"/>
      <c r="F5147" s="14"/>
      <c r="G5147" s="14"/>
      <c r="H5147" s="10"/>
      <c r="I5147" s="10"/>
      <c r="J5147" s="10"/>
      <c r="K5147" s="46"/>
      <c r="L5147" s="10"/>
      <c r="M5147" s="44" t="s">
        <v>10178</v>
      </c>
      <c r="N5147" s="45"/>
      <c r="O5147" s="20"/>
      <c r="P5147" s="20"/>
      <c r="Q5147" s="20"/>
      <c r="R5147" s="20"/>
      <c r="S5147" s="20"/>
    </row>
    <row r="5148">
      <c r="A5148" s="23"/>
      <c r="B5148" s="21"/>
      <c r="C5148" s="23"/>
      <c r="D5148" s="24"/>
      <c r="E5148" s="14"/>
      <c r="F5148" s="14"/>
      <c r="G5148" s="14"/>
      <c r="H5148" s="23"/>
      <c r="I5148" s="23"/>
      <c r="J5148" s="23"/>
      <c r="K5148" s="30"/>
      <c r="L5148" s="23"/>
      <c r="M5148" s="50" t="s">
        <v>10178</v>
      </c>
      <c r="N5148" s="51"/>
      <c r="O5148" s="20"/>
      <c r="P5148" s="20"/>
      <c r="Q5148" s="20"/>
      <c r="R5148" s="20"/>
      <c r="S5148" s="20"/>
    </row>
    <row r="5149">
      <c r="A5149" s="10"/>
      <c r="B5149" s="11"/>
      <c r="C5149" s="10"/>
      <c r="D5149" s="13"/>
      <c r="E5149" s="14"/>
      <c r="F5149" s="14"/>
      <c r="G5149" s="14"/>
      <c r="H5149" s="10"/>
      <c r="I5149" s="10"/>
      <c r="J5149" s="10"/>
      <c r="K5149" s="46"/>
      <c r="L5149" s="10"/>
      <c r="M5149" s="44" t="s">
        <v>10178</v>
      </c>
      <c r="N5149" s="45"/>
      <c r="O5149" s="20"/>
      <c r="P5149" s="20"/>
      <c r="Q5149" s="20"/>
      <c r="R5149" s="20"/>
      <c r="S5149" s="20"/>
    </row>
    <row r="5150">
      <c r="A5150" s="23"/>
      <c r="B5150" s="21"/>
      <c r="C5150" s="23"/>
      <c r="D5150" s="24"/>
      <c r="E5150" s="14"/>
      <c r="F5150" s="14"/>
      <c r="G5150" s="14"/>
      <c r="H5150" s="23"/>
      <c r="I5150" s="23"/>
      <c r="J5150" s="23"/>
      <c r="K5150" s="30"/>
      <c r="L5150" s="23"/>
      <c r="M5150" s="50" t="s">
        <v>10178</v>
      </c>
      <c r="N5150" s="51"/>
      <c r="O5150" s="20"/>
      <c r="P5150" s="20"/>
      <c r="Q5150" s="20"/>
      <c r="R5150" s="20"/>
      <c r="S5150" s="20"/>
    </row>
    <row r="5151">
      <c r="A5151" s="10"/>
      <c r="B5151" s="11"/>
      <c r="C5151" s="10"/>
      <c r="D5151" s="13"/>
      <c r="E5151" s="14"/>
      <c r="F5151" s="14"/>
      <c r="G5151" s="14"/>
      <c r="H5151" s="10"/>
      <c r="I5151" s="10"/>
      <c r="J5151" s="10"/>
      <c r="K5151" s="46"/>
      <c r="L5151" s="10"/>
      <c r="M5151" s="44" t="s">
        <v>10178</v>
      </c>
      <c r="N5151" s="45"/>
      <c r="O5151" s="20"/>
      <c r="P5151" s="20"/>
      <c r="Q5151" s="20"/>
      <c r="R5151" s="20"/>
      <c r="S5151" s="20"/>
    </row>
    <row r="5152">
      <c r="A5152" s="23"/>
      <c r="B5152" s="21"/>
      <c r="C5152" s="23"/>
      <c r="D5152" s="24"/>
      <c r="E5152" s="14"/>
      <c r="F5152" s="14"/>
      <c r="G5152" s="14"/>
      <c r="H5152" s="23"/>
      <c r="I5152" s="23"/>
      <c r="J5152" s="23"/>
      <c r="K5152" s="30"/>
      <c r="L5152" s="23"/>
      <c r="M5152" s="50" t="s">
        <v>10178</v>
      </c>
      <c r="N5152" s="51"/>
      <c r="O5152" s="20"/>
      <c r="P5152" s="20"/>
      <c r="Q5152" s="20"/>
      <c r="R5152" s="20"/>
      <c r="S5152" s="20"/>
    </row>
    <row r="5153">
      <c r="A5153" s="10"/>
      <c r="B5153" s="11"/>
      <c r="C5153" s="10"/>
      <c r="D5153" s="13"/>
      <c r="E5153" s="14"/>
      <c r="F5153" s="14"/>
      <c r="G5153" s="14"/>
      <c r="H5153" s="10"/>
      <c r="I5153" s="10"/>
      <c r="J5153" s="10"/>
      <c r="K5153" s="46"/>
      <c r="L5153" s="10"/>
      <c r="M5153" s="44" t="s">
        <v>10178</v>
      </c>
      <c r="N5153" s="45"/>
      <c r="O5153" s="20"/>
      <c r="P5153" s="20"/>
      <c r="Q5153" s="20"/>
      <c r="R5153" s="20"/>
      <c r="S5153" s="20"/>
    </row>
    <row r="5154">
      <c r="A5154" s="23"/>
      <c r="B5154" s="21"/>
      <c r="C5154" s="23"/>
      <c r="D5154" s="24"/>
      <c r="E5154" s="14"/>
      <c r="F5154" s="14"/>
      <c r="G5154" s="14"/>
      <c r="H5154" s="23"/>
      <c r="I5154" s="23"/>
      <c r="J5154" s="23"/>
      <c r="K5154" s="30"/>
      <c r="L5154" s="23"/>
      <c r="M5154" s="50" t="s">
        <v>10178</v>
      </c>
      <c r="N5154" s="51"/>
      <c r="O5154" s="20"/>
      <c r="P5154" s="20"/>
      <c r="Q5154" s="20"/>
      <c r="R5154" s="20"/>
      <c r="S5154" s="20"/>
    </row>
    <row r="5155">
      <c r="A5155" s="10"/>
      <c r="B5155" s="11"/>
      <c r="C5155" s="10"/>
      <c r="D5155" s="13"/>
      <c r="E5155" s="14"/>
      <c r="F5155" s="14"/>
      <c r="G5155" s="14"/>
      <c r="H5155" s="10"/>
      <c r="I5155" s="10"/>
      <c r="J5155" s="10"/>
      <c r="K5155" s="46"/>
      <c r="L5155" s="10"/>
      <c r="M5155" s="44" t="s">
        <v>10178</v>
      </c>
      <c r="N5155" s="45"/>
      <c r="O5155" s="20"/>
      <c r="P5155" s="20"/>
      <c r="Q5155" s="20"/>
      <c r="R5155" s="20"/>
      <c r="S5155" s="20"/>
    </row>
    <row r="5156">
      <c r="A5156" s="23"/>
      <c r="B5156" s="21"/>
      <c r="C5156" s="23"/>
      <c r="D5156" s="24"/>
      <c r="E5156" s="14"/>
      <c r="F5156" s="14"/>
      <c r="G5156" s="14"/>
      <c r="H5156" s="23"/>
      <c r="I5156" s="23"/>
      <c r="J5156" s="23"/>
      <c r="K5156" s="30"/>
      <c r="L5156" s="23"/>
      <c r="M5156" s="50" t="s">
        <v>10178</v>
      </c>
      <c r="N5156" s="51"/>
      <c r="O5156" s="20"/>
      <c r="P5156" s="20"/>
      <c r="Q5156" s="20"/>
      <c r="R5156" s="20"/>
      <c r="S5156" s="20"/>
    </row>
    <row r="5157">
      <c r="A5157" s="10"/>
      <c r="B5157" s="11"/>
      <c r="C5157" s="10"/>
      <c r="D5157" s="13"/>
      <c r="E5157" s="14"/>
      <c r="F5157" s="14"/>
      <c r="G5157" s="14"/>
      <c r="H5157" s="10"/>
      <c r="I5157" s="10"/>
      <c r="J5157" s="10"/>
      <c r="K5157" s="46"/>
      <c r="L5157" s="10"/>
      <c r="M5157" s="44" t="s">
        <v>10178</v>
      </c>
      <c r="N5157" s="45"/>
      <c r="O5157" s="20"/>
      <c r="P5157" s="20"/>
      <c r="Q5157" s="20"/>
      <c r="R5157" s="20"/>
      <c r="S5157" s="20"/>
    </row>
    <row r="5158">
      <c r="A5158" s="23"/>
      <c r="B5158" s="21"/>
      <c r="C5158" s="23"/>
      <c r="D5158" s="24"/>
      <c r="E5158" s="14"/>
      <c r="F5158" s="14"/>
      <c r="G5158" s="14"/>
      <c r="H5158" s="23"/>
      <c r="I5158" s="23"/>
      <c r="J5158" s="23"/>
      <c r="K5158" s="30"/>
      <c r="L5158" s="23"/>
      <c r="M5158" s="50" t="s">
        <v>10178</v>
      </c>
      <c r="N5158" s="51"/>
      <c r="O5158" s="20"/>
      <c r="P5158" s="20"/>
      <c r="Q5158" s="20"/>
      <c r="R5158" s="20"/>
      <c r="S5158" s="20"/>
    </row>
    <row r="5159">
      <c r="A5159" s="10"/>
      <c r="B5159" s="11"/>
      <c r="C5159" s="10"/>
      <c r="D5159" s="13"/>
      <c r="E5159" s="14"/>
      <c r="F5159" s="14"/>
      <c r="G5159" s="14"/>
      <c r="H5159" s="10"/>
      <c r="I5159" s="10"/>
      <c r="J5159" s="10"/>
      <c r="K5159" s="46"/>
      <c r="L5159" s="10"/>
      <c r="M5159" s="44" t="s">
        <v>10178</v>
      </c>
      <c r="N5159" s="45"/>
      <c r="O5159" s="20"/>
      <c r="P5159" s="20"/>
      <c r="Q5159" s="20"/>
      <c r="R5159" s="20"/>
      <c r="S5159" s="20"/>
    </row>
    <row r="5160">
      <c r="A5160" s="23"/>
      <c r="B5160" s="21"/>
      <c r="C5160" s="23"/>
      <c r="D5160" s="24"/>
      <c r="E5160" s="14"/>
      <c r="F5160" s="14"/>
      <c r="G5160" s="14"/>
      <c r="H5160" s="23"/>
      <c r="I5160" s="23"/>
      <c r="J5160" s="23"/>
      <c r="K5160" s="30"/>
      <c r="L5160" s="23"/>
      <c r="M5160" s="50" t="s">
        <v>10178</v>
      </c>
      <c r="N5160" s="51"/>
      <c r="O5160" s="20"/>
      <c r="P5160" s="20"/>
      <c r="Q5160" s="20"/>
      <c r="R5160" s="20"/>
      <c r="S5160" s="20"/>
    </row>
    <row r="5161">
      <c r="A5161" s="10"/>
      <c r="B5161" s="11"/>
      <c r="C5161" s="10"/>
      <c r="D5161" s="13"/>
      <c r="E5161" s="14"/>
      <c r="F5161" s="14"/>
      <c r="G5161" s="14"/>
      <c r="H5161" s="10"/>
      <c r="I5161" s="10"/>
      <c r="J5161" s="10"/>
      <c r="K5161" s="46"/>
      <c r="L5161" s="10"/>
      <c r="M5161" s="44" t="s">
        <v>10178</v>
      </c>
      <c r="N5161" s="45"/>
      <c r="O5161" s="20"/>
      <c r="P5161" s="20"/>
      <c r="Q5161" s="20"/>
      <c r="R5161" s="20"/>
      <c r="S5161" s="20"/>
    </row>
    <row r="5162">
      <c r="A5162" s="23"/>
      <c r="B5162" s="21"/>
      <c r="C5162" s="23"/>
      <c r="D5162" s="24"/>
      <c r="E5162" s="14"/>
      <c r="F5162" s="14"/>
      <c r="G5162" s="14"/>
      <c r="H5162" s="23"/>
      <c r="I5162" s="23"/>
      <c r="J5162" s="23"/>
      <c r="K5162" s="30"/>
      <c r="L5162" s="23"/>
      <c r="M5162" s="50" t="s">
        <v>10178</v>
      </c>
      <c r="N5162" s="51"/>
      <c r="O5162" s="20"/>
      <c r="P5162" s="20"/>
      <c r="Q5162" s="20"/>
      <c r="R5162" s="20"/>
      <c r="S5162" s="20"/>
    </row>
    <row r="5163">
      <c r="A5163" s="10"/>
      <c r="B5163" s="11"/>
      <c r="C5163" s="10"/>
      <c r="D5163" s="13"/>
      <c r="E5163" s="14"/>
      <c r="F5163" s="14"/>
      <c r="G5163" s="14"/>
      <c r="H5163" s="10"/>
      <c r="I5163" s="10"/>
      <c r="J5163" s="10"/>
      <c r="K5163" s="46"/>
      <c r="L5163" s="10"/>
      <c r="M5163" s="44" t="s">
        <v>10178</v>
      </c>
      <c r="N5163" s="45"/>
      <c r="O5163" s="20"/>
      <c r="P5163" s="20"/>
      <c r="Q5163" s="20"/>
      <c r="R5163" s="20"/>
      <c r="S5163" s="20"/>
    </row>
    <row r="5164">
      <c r="A5164" s="23"/>
      <c r="B5164" s="21"/>
      <c r="C5164" s="23"/>
      <c r="D5164" s="24"/>
      <c r="E5164" s="14"/>
      <c r="F5164" s="14"/>
      <c r="G5164" s="14"/>
      <c r="H5164" s="23"/>
      <c r="I5164" s="23"/>
      <c r="J5164" s="23"/>
      <c r="K5164" s="30"/>
      <c r="L5164" s="23"/>
      <c r="M5164" s="50" t="s">
        <v>10178</v>
      </c>
      <c r="N5164" s="51"/>
      <c r="O5164" s="20"/>
      <c r="P5164" s="20"/>
      <c r="Q5164" s="20"/>
      <c r="R5164" s="20"/>
      <c r="S5164" s="20"/>
    </row>
    <row r="5165">
      <c r="A5165" s="10"/>
      <c r="B5165" s="11"/>
      <c r="C5165" s="10"/>
      <c r="D5165" s="13"/>
      <c r="E5165" s="14"/>
      <c r="F5165" s="14"/>
      <c r="G5165" s="14"/>
      <c r="H5165" s="10"/>
      <c r="I5165" s="10"/>
      <c r="J5165" s="10"/>
      <c r="K5165" s="46"/>
      <c r="L5165" s="10"/>
      <c r="M5165" s="44" t="s">
        <v>10178</v>
      </c>
      <c r="N5165" s="45"/>
      <c r="O5165" s="20"/>
      <c r="P5165" s="20"/>
      <c r="Q5165" s="20"/>
      <c r="R5165" s="20"/>
      <c r="S5165" s="20"/>
    </row>
    <row r="5166">
      <c r="A5166" s="23"/>
      <c r="B5166" s="21"/>
      <c r="C5166" s="23"/>
      <c r="D5166" s="24"/>
      <c r="E5166" s="14"/>
      <c r="F5166" s="14"/>
      <c r="G5166" s="14"/>
      <c r="H5166" s="23"/>
      <c r="I5166" s="23"/>
      <c r="J5166" s="23"/>
      <c r="K5166" s="30"/>
      <c r="L5166" s="23"/>
      <c r="M5166" s="50" t="s">
        <v>10178</v>
      </c>
      <c r="N5166" s="51"/>
      <c r="O5166" s="20"/>
      <c r="P5166" s="20"/>
      <c r="Q5166" s="20"/>
      <c r="R5166" s="20"/>
      <c r="S5166" s="20"/>
    </row>
    <row r="5167">
      <c r="A5167" s="10"/>
      <c r="B5167" s="11"/>
      <c r="C5167" s="10"/>
      <c r="D5167" s="13"/>
      <c r="E5167" s="14"/>
      <c r="F5167" s="14"/>
      <c r="G5167" s="14"/>
      <c r="H5167" s="10"/>
      <c r="I5167" s="10"/>
      <c r="J5167" s="10"/>
      <c r="K5167" s="46"/>
      <c r="L5167" s="10"/>
      <c r="M5167" s="44" t="s">
        <v>10178</v>
      </c>
      <c r="N5167" s="45"/>
      <c r="O5167" s="20"/>
      <c r="P5167" s="20"/>
      <c r="Q5167" s="20"/>
      <c r="R5167" s="20"/>
      <c r="S5167" s="20"/>
    </row>
    <row r="5168">
      <c r="A5168" s="23"/>
      <c r="B5168" s="21"/>
      <c r="C5168" s="23"/>
      <c r="D5168" s="24"/>
      <c r="E5168" s="14"/>
      <c r="F5168" s="14"/>
      <c r="G5168" s="14"/>
      <c r="H5168" s="23"/>
      <c r="I5168" s="23"/>
      <c r="J5168" s="23"/>
      <c r="K5168" s="30"/>
      <c r="L5168" s="23"/>
      <c r="M5168" s="50" t="s">
        <v>10178</v>
      </c>
      <c r="N5168" s="51"/>
      <c r="O5168" s="20"/>
      <c r="P5168" s="20"/>
      <c r="Q5168" s="20"/>
      <c r="R5168" s="20"/>
      <c r="S5168" s="20"/>
    </row>
    <row r="5169">
      <c r="A5169" s="10"/>
      <c r="B5169" s="11"/>
      <c r="C5169" s="10"/>
      <c r="D5169" s="13"/>
      <c r="E5169" s="14"/>
      <c r="F5169" s="14"/>
      <c r="G5169" s="14"/>
      <c r="H5169" s="10"/>
      <c r="I5169" s="10"/>
      <c r="J5169" s="10"/>
      <c r="K5169" s="46"/>
      <c r="L5169" s="10"/>
      <c r="M5169" s="44" t="s">
        <v>10178</v>
      </c>
      <c r="N5169" s="45"/>
      <c r="O5169" s="20"/>
      <c r="P5169" s="20"/>
      <c r="Q5169" s="20"/>
      <c r="R5169" s="20"/>
      <c r="S5169" s="20"/>
    </row>
    <row r="5170">
      <c r="A5170" s="23"/>
      <c r="B5170" s="21"/>
      <c r="C5170" s="23"/>
      <c r="D5170" s="24"/>
      <c r="E5170" s="14"/>
      <c r="F5170" s="14"/>
      <c r="G5170" s="14"/>
      <c r="H5170" s="23"/>
      <c r="I5170" s="23"/>
      <c r="J5170" s="23"/>
      <c r="K5170" s="30"/>
      <c r="L5170" s="23"/>
      <c r="M5170" s="50" t="s">
        <v>10178</v>
      </c>
      <c r="N5170" s="51"/>
      <c r="O5170" s="20"/>
      <c r="P5170" s="20"/>
      <c r="Q5170" s="20"/>
      <c r="R5170" s="20"/>
      <c r="S5170" s="20"/>
    </row>
    <row r="5171">
      <c r="A5171" s="10"/>
      <c r="B5171" s="11"/>
      <c r="C5171" s="10"/>
      <c r="D5171" s="13"/>
      <c r="E5171" s="14"/>
      <c r="F5171" s="14"/>
      <c r="G5171" s="14"/>
      <c r="H5171" s="10"/>
      <c r="I5171" s="10"/>
      <c r="J5171" s="10"/>
      <c r="K5171" s="46"/>
      <c r="L5171" s="10"/>
      <c r="M5171" s="44" t="s">
        <v>10178</v>
      </c>
      <c r="N5171" s="45"/>
      <c r="O5171" s="20"/>
      <c r="P5171" s="20"/>
      <c r="Q5171" s="20"/>
      <c r="R5171" s="20"/>
      <c r="S5171" s="20"/>
    </row>
    <row r="5172">
      <c r="A5172" s="23"/>
      <c r="B5172" s="21"/>
      <c r="C5172" s="23"/>
      <c r="D5172" s="24"/>
      <c r="E5172" s="14"/>
      <c r="F5172" s="14"/>
      <c r="G5172" s="14"/>
      <c r="H5172" s="23"/>
      <c r="I5172" s="23"/>
      <c r="J5172" s="23"/>
      <c r="K5172" s="30"/>
      <c r="L5172" s="23"/>
      <c r="M5172" s="50" t="s">
        <v>10178</v>
      </c>
      <c r="N5172" s="51"/>
      <c r="O5172" s="20"/>
      <c r="P5172" s="20"/>
      <c r="Q5172" s="20"/>
      <c r="R5172" s="20"/>
      <c r="S5172" s="20"/>
    </row>
    <row r="5173">
      <c r="A5173" s="10"/>
      <c r="B5173" s="11"/>
      <c r="C5173" s="10"/>
      <c r="D5173" s="13"/>
      <c r="E5173" s="14"/>
      <c r="F5173" s="14"/>
      <c r="G5173" s="14"/>
      <c r="H5173" s="10"/>
      <c r="I5173" s="10"/>
      <c r="J5173" s="10"/>
      <c r="K5173" s="46"/>
      <c r="L5173" s="10"/>
      <c r="M5173" s="44" t="s">
        <v>10178</v>
      </c>
      <c r="N5173" s="45"/>
      <c r="O5173" s="20"/>
      <c r="P5173" s="20"/>
      <c r="Q5173" s="20"/>
      <c r="R5173" s="20"/>
      <c r="S5173" s="20"/>
    </row>
    <row r="5174">
      <c r="A5174" s="23"/>
      <c r="B5174" s="21"/>
      <c r="C5174" s="23"/>
      <c r="D5174" s="24"/>
      <c r="E5174" s="14"/>
      <c r="F5174" s="14"/>
      <c r="G5174" s="14"/>
      <c r="H5174" s="23"/>
      <c r="I5174" s="23"/>
      <c r="J5174" s="23"/>
      <c r="K5174" s="30"/>
      <c r="L5174" s="23"/>
      <c r="M5174" s="50" t="s">
        <v>10178</v>
      </c>
      <c r="N5174" s="51"/>
      <c r="O5174" s="20"/>
      <c r="P5174" s="20"/>
      <c r="Q5174" s="20"/>
      <c r="R5174" s="20"/>
      <c r="S5174" s="20"/>
    </row>
    <row r="5175">
      <c r="A5175" s="10"/>
      <c r="B5175" s="11"/>
      <c r="C5175" s="10"/>
      <c r="D5175" s="13"/>
      <c r="E5175" s="14"/>
      <c r="F5175" s="14"/>
      <c r="G5175" s="14"/>
      <c r="H5175" s="10"/>
      <c r="I5175" s="10"/>
      <c r="J5175" s="10"/>
      <c r="K5175" s="46"/>
      <c r="L5175" s="10"/>
      <c r="M5175" s="44" t="s">
        <v>10178</v>
      </c>
      <c r="N5175" s="45"/>
      <c r="O5175" s="20"/>
      <c r="P5175" s="20"/>
      <c r="Q5175" s="20"/>
      <c r="R5175" s="20"/>
      <c r="S5175" s="20"/>
    </row>
    <row r="5176">
      <c r="A5176" s="23"/>
      <c r="B5176" s="21"/>
      <c r="C5176" s="23"/>
      <c r="D5176" s="24"/>
      <c r="E5176" s="14"/>
      <c r="F5176" s="14"/>
      <c r="G5176" s="14"/>
      <c r="H5176" s="23"/>
      <c r="I5176" s="23"/>
      <c r="J5176" s="23"/>
      <c r="K5176" s="30"/>
      <c r="L5176" s="23"/>
      <c r="M5176" s="50" t="s">
        <v>10178</v>
      </c>
      <c r="N5176" s="51"/>
      <c r="O5176" s="20"/>
      <c r="P5176" s="20"/>
      <c r="Q5176" s="20"/>
      <c r="R5176" s="20"/>
      <c r="S5176" s="20"/>
    </row>
    <row r="5177">
      <c r="A5177" s="10"/>
      <c r="B5177" s="11"/>
      <c r="C5177" s="10"/>
      <c r="D5177" s="13"/>
      <c r="E5177" s="14"/>
      <c r="F5177" s="14"/>
      <c r="G5177" s="14"/>
      <c r="H5177" s="10"/>
      <c r="I5177" s="10"/>
      <c r="J5177" s="10"/>
      <c r="K5177" s="46"/>
      <c r="L5177" s="10"/>
      <c r="M5177" s="44" t="s">
        <v>10178</v>
      </c>
      <c r="N5177" s="45"/>
      <c r="O5177" s="20"/>
      <c r="P5177" s="20"/>
      <c r="Q5177" s="20"/>
      <c r="R5177" s="20"/>
      <c r="S5177" s="20"/>
    </row>
    <row r="5178">
      <c r="A5178" s="23"/>
      <c r="B5178" s="21"/>
      <c r="C5178" s="23"/>
      <c r="D5178" s="24"/>
      <c r="E5178" s="14"/>
      <c r="F5178" s="14"/>
      <c r="G5178" s="14"/>
      <c r="H5178" s="23"/>
      <c r="I5178" s="23"/>
      <c r="J5178" s="23"/>
      <c r="K5178" s="30"/>
      <c r="L5178" s="23"/>
      <c r="M5178" s="50" t="s">
        <v>10178</v>
      </c>
      <c r="N5178" s="51"/>
      <c r="O5178" s="20"/>
      <c r="P5178" s="20"/>
      <c r="Q5178" s="20"/>
      <c r="R5178" s="20"/>
      <c r="S5178" s="20"/>
    </row>
    <row r="5179">
      <c r="A5179" s="10"/>
      <c r="B5179" s="11"/>
      <c r="C5179" s="10"/>
      <c r="D5179" s="13"/>
      <c r="E5179" s="14"/>
      <c r="F5179" s="14"/>
      <c r="G5179" s="14"/>
      <c r="H5179" s="10"/>
      <c r="I5179" s="10"/>
      <c r="J5179" s="10"/>
      <c r="K5179" s="46"/>
      <c r="L5179" s="10"/>
      <c r="M5179" s="44" t="s">
        <v>10178</v>
      </c>
      <c r="N5179" s="45"/>
      <c r="O5179" s="20"/>
      <c r="P5179" s="20"/>
      <c r="Q5179" s="20"/>
      <c r="R5179" s="20"/>
      <c r="S5179" s="20"/>
    </row>
    <row r="5180">
      <c r="A5180" s="23"/>
      <c r="B5180" s="21"/>
      <c r="C5180" s="23"/>
      <c r="D5180" s="24"/>
      <c r="E5180" s="14"/>
      <c r="F5180" s="14"/>
      <c r="G5180" s="14"/>
      <c r="H5180" s="23"/>
      <c r="I5180" s="23"/>
      <c r="J5180" s="23"/>
      <c r="K5180" s="30"/>
      <c r="L5180" s="23"/>
      <c r="M5180" s="50" t="s">
        <v>10178</v>
      </c>
      <c r="N5180" s="51"/>
      <c r="O5180" s="20"/>
      <c r="P5180" s="20"/>
      <c r="Q5180" s="20"/>
      <c r="R5180" s="20"/>
      <c r="S5180" s="20"/>
    </row>
    <row r="5181">
      <c r="A5181" s="10"/>
      <c r="B5181" s="11"/>
      <c r="C5181" s="10"/>
      <c r="D5181" s="13"/>
      <c r="E5181" s="14"/>
      <c r="F5181" s="14"/>
      <c r="G5181" s="14"/>
      <c r="H5181" s="10"/>
      <c r="I5181" s="10"/>
      <c r="J5181" s="10"/>
      <c r="K5181" s="46"/>
      <c r="L5181" s="10"/>
      <c r="M5181" s="44" t="s">
        <v>10178</v>
      </c>
      <c r="N5181" s="45"/>
      <c r="O5181" s="20"/>
      <c r="P5181" s="20"/>
      <c r="Q5181" s="20"/>
      <c r="R5181" s="20"/>
      <c r="S5181" s="20"/>
    </row>
    <row r="5182">
      <c r="A5182" s="23"/>
      <c r="B5182" s="21"/>
      <c r="C5182" s="23"/>
      <c r="D5182" s="24"/>
      <c r="E5182" s="14"/>
      <c r="F5182" s="14"/>
      <c r="G5182" s="14"/>
      <c r="H5182" s="23"/>
      <c r="I5182" s="23"/>
      <c r="J5182" s="23"/>
      <c r="K5182" s="30"/>
      <c r="L5182" s="23"/>
      <c r="M5182" s="50" t="s">
        <v>10178</v>
      </c>
      <c r="N5182" s="51"/>
      <c r="O5182" s="20"/>
      <c r="P5182" s="20"/>
      <c r="Q5182" s="20"/>
      <c r="R5182" s="20"/>
      <c r="S5182" s="20"/>
    </row>
    <row r="5183">
      <c r="A5183" s="10"/>
      <c r="B5183" s="11"/>
      <c r="C5183" s="10"/>
      <c r="D5183" s="13"/>
      <c r="E5183" s="14"/>
      <c r="F5183" s="14"/>
      <c r="G5183" s="14"/>
      <c r="H5183" s="10"/>
      <c r="I5183" s="10"/>
      <c r="J5183" s="10"/>
      <c r="K5183" s="46"/>
      <c r="L5183" s="10"/>
      <c r="M5183" s="44" t="s">
        <v>10178</v>
      </c>
      <c r="N5183" s="45"/>
      <c r="O5183" s="20"/>
      <c r="P5183" s="20"/>
      <c r="Q5183" s="20"/>
      <c r="R5183" s="20"/>
      <c r="S5183" s="20"/>
    </row>
    <row r="5184">
      <c r="A5184" s="23"/>
      <c r="B5184" s="21"/>
      <c r="C5184" s="23"/>
      <c r="D5184" s="24"/>
      <c r="E5184" s="14"/>
      <c r="F5184" s="14"/>
      <c r="G5184" s="14"/>
      <c r="H5184" s="23"/>
      <c r="I5184" s="23"/>
      <c r="J5184" s="23"/>
      <c r="K5184" s="30"/>
      <c r="L5184" s="23"/>
      <c r="M5184" s="50" t="s">
        <v>10178</v>
      </c>
      <c r="N5184" s="51"/>
      <c r="O5184" s="20"/>
      <c r="P5184" s="20"/>
      <c r="Q5184" s="20"/>
      <c r="R5184" s="20"/>
      <c r="S5184" s="20"/>
    </row>
    <row r="5185">
      <c r="A5185" s="10"/>
      <c r="B5185" s="11"/>
      <c r="C5185" s="10"/>
      <c r="D5185" s="13"/>
      <c r="E5185" s="14"/>
      <c r="F5185" s="14"/>
      <c r="G5185" s="14"/>
      <c r="H5185" s="10"/>
      <c r="I5185" s="10"/>
      <c r="J5185" s="10"/>
      <c r="K5185" s="46"/>
      <c r="L5185" s="10"/>
      <c r="M5185" s="44" t="s">
        <v>10178</v>
      </c>
      <c r="N5185" s="45"/>
      <c r="O5185" s="20"/>
      <c r="P5185" s="20"/>
      <c r="Q5185" s="20"/>
      <c r="R5185" s="20"/>
      <c r="S5185" s="20"/>
    </row>
    <row r="5186">
      <c r="A5186" s="23"/>
      <c r="B5186" s="21"/>
      <c r="C5186" s="23"/>
      <c r="D5186" s="24"/>
      <c r="E5186" s="14"/>
      <c r="F5186" s="14"/>
      <c r="G5186" s="14"/>
      <c r="H5186" s="23"/>
      <c r="I5186" s="23"/>
      <c r="J5186" s="23"/>
      <c r="K5186" s="30"/>
      <c r="L5186" s="23"/>
      <c r="M5186" s="50" t="s">
        <v>10178</v>
      </c>
      <c r="N5186" s="51"/>
      <c r="O5186" s="20"/>
      <c r="P5186" s="20"/>
      <c r="Q5186" s="20"/>
      <c r="R5186" s="20"/>
      <c r="S5186" s="20"/>
    </row>
    <row r="5187">
      <c r="A5187" s="10"/>
      <c r="B5187" s="11"/>
      <c r="C5187" s="10"/>
      <c r="D5187" s="13"/>
      <c r="E5187" s="14"/>
      <c r="F5187" s="14"/>
      <c r="G5187" s="14"/>
      <c r="H5187" s="10"/>
      <c r="I5187" s="10"/>
      <c r="J5187" s="10"/>
      <c r="K5187" s="46"/>
      <c r="L5187" s="10"/>
      <c r="M5187" s="44" t="s">
        <v>10178</v>
      </c>
      <c r="N5187" s="45"/>
      <c r="O5187" s="20"/>
      <c r="P5187" s="20"/>
      <c r="Q5187" s="20"/>
      <c r="R5187" s="20"/>
      <c r="S5187" s="20"/>
    </row>
    <row r="5188">
      <c r="A5188" s="23"/>
      <c r="B5188" s="21"/>
      <c r="C5188" s="23"/>
      <c r="D5188" s="24"/>
      <c r="E5188" s="14"/>
      <c r="F5188" s="14"/>
      <c r="G5188" s="14"/>
      <c r="H5188" s="23"/>
      <c r="I5188" s="23"/>
      <c r="J5188" s="23"/>
      <c r="K5188" s="30"/>
      <c r="L5188" s="23"/>
      <c r="M5188" s="50" t="s">
        <v>10178</v>
      </c>
      <c r="N5188" s="51"/>
      <c r="O5188" s="20"/>
      <c r="P5188" s="20"/>
      <c r="Q5188" s="20"/>
      <c r="R5188" s="20"/>
      <c r="S5188" s="20"/>
    </row>
    <row r="5189">
      <c r="A5189" s="10"/>
      <c r="B5189" s="11"/>
      <c r="C5189" s="10"/>
      <c r="D5189" s="13"/>
      <c r="E5189" s="14"/>
      <c r="F5189" s="14"/>
      <c r="G5189" s="14"/>
      <c r="H5189" s="10"/>
      <c r="I5189" s="10"/>
      <c r="J5189" s="10"/>
      <c r="K5189" s="46"/>
      <c r="L5189" s="10"/>
      <c r="M5189" s="44" t="s">
        <v>10178</v>
      </c>
      <c r="N5189" s="45"/>
      <c r="O5189" s="20"/>
      <c r="P5189" s="20"/>
      <c r="Q5189" s="20"/>
      <c r="R5189" s="20"/>
      <c r="S5189" s="20"/>
    </row>
    <row r="5190">
      <c r="A5190" s="23"/>
      <c r="B5190" s="21"/>
      <c r="C5190" s="23"/>
      <c r="D5190" s="24"/>
      <c r="E5190" s="14"/>
      <c r="F5190" s="14"/>
      <c r="G5190" s="14"/>
      <c r="H5190" s="23"/>
      <c r="I5190" s="23"/>
      <c r="J5190" s="23"/>
      <c r="K5190" s="30"/>
      <c r="L5190" s="23"/>
      <c r="M5190" s="50" t="s">
        <v>10178</v>
      </c>
      <c r="N5190" s="51"/>
      <c r="O5190" s="20"/>
      <c r="P5190" s="20"/>
      <c r="Q5190" s="20"/>
      <c r="R5190" s="20"/>
      <c r="S5190" s="20"/>
    </row>
    <row r="5191">
      <c r="A5191" s="10"/>
      <c r="B5191" s="11"/>
      <c r="C5191" s="10"/>
      <c r="D5191" s="13"/>
      <c r="E5191" s="14"/>
      <c r="F5191" s="14"/>
      <c r="G5191" s="14"/>
      <c r="H5191" s="10"/>
      <c r="I5191" s="10"/>
      <c r="J5191" s="10"/>
      <c r="K5191" s="46"/>
      <c r="L5191" s="10"/>
      <c r="M5191" s="44" t="s">
        <v>10178</v>
      </c>
      <c r="N5191" s="45"/>
      <c r="O5191" s="20"/>
      <c r="P5191" s="20"/>
      <c r="Q5191" s="20"/>
      <c r="R5191" s="20"/>
      <c r="S5191" s="20"/>
    </row>
    <row r="5192">
      <c r="A5192" s="23"/>
      <c r="B5192" s="21"/>
      <c r="C5192" s="23"/>
      <c r="D5192" s="24"/>
      <c r="E5192" s="14"/>
      <c r="F5192" s="14"/>
      <c r="G5192" s="14"/>
      <c r="H5192" s="23"/>
      <c r="I5192" s="23"/>
      <c r="J5192" s="23"/>
      <c r="K5192" s="30"/>
      <c r="L5192" s="23"/>
      <c r="M5192" s="50" t="s">
        <v>10178</v>
      </c>
      <c r="N5192" s="51"/>
      <c r="O5192" s="20"/>
      <c r="P5192" s="20"/>
      <c r="Q5192" s="20"/>
      <c r="R5192" s="20"/>
      <c r="S5192" s="20"/>
    </row>
    <row r="5193">
      <c r="A5193" s="10"/>
      <c r="B5193" s="11"/>
      <c r="C5193" s="10"/>
      <c r="D5193" s="13"/>
      <c r="E5193" s="14"/>
      <c r="F5193" s="14"/>
      <c r="G5193" s="14"/>
      <c r="H5193" s="10"/>
      <c r="I5193" s="10"/>
      <c r="J5193" s="10"/>
      <c r="K5193" s="46"/>
      <c r="L5193" s="10"/>
      <c r="M5193" s="44" t="s">
        <v>10178</v>
      </c>
      <c r="N5193" s="45"/>
      <c r="O5193" s="20"/>
      <c r="P5193" s="20"/>
      <c r="Q5193" s="20"/>
      <c r="R5193" s="20"/>
      <c r="S5193" s="20"/>
    </row>
    <row r="5194">
      <c r="A5194" s="23"/>
      <c r="B5194" s="21"/>
      <c r="C5194" s="23"/>
      <c r="D5194" s="24"/>
      <c r="E5194" s="14"/>
      <c r="F5194" s="14"/>
      <c r="G5194" s="14"/>
      <c r="H5194" s="23"/>
      <c r="I5194" s="23"/>
      <c r="J5194" s="23"/>
      <c r="K5194" s="30"/>
      <c r="L5194" s="23"/>
      <c r="M5194" s="50" t="s">
        <v>10178</v>
      </c>
      <c r="N5194" s="51"/>
      <c r="O5194" s="20"/>
      <c r="P5194" s="20"/>
      <c r="Q5194" s="20"/>
      <c r="R5194" s="20"/>
      <c r="S5194" s="20"/>
    </row>
    <row r="5195">
      <c r="A5195" s="10"/>
      <c r="B5195" s="11"/>
      <c r="C5195" s="10"/>
      <c r="D5195" s="13"/>
      <c r="E5195" s="14"/>
      <c r="F5195" s="14"/>
      <c r="G5195" s="14"/>
      <c r="H5195" s="10"/>
      <c r="I5195" s="10"/>
      <c r="J5195" s="10"/>
      <c r="K5195" s="46"/>
      <c r="L5195" s="10"/>
      <c r="M5195" s="44" t="s">
        <v>10178</v>
      </c>
      <c r="N5195" s="45"/>
      <c r="O5195" s="20"/>
      <c r="P5195" s="20"/>
      <c r="Q5195" s="20"/>
      <c r="R5195" s="20"/>
      <c r="S5195" s="20"/>
    </row>
    <row r="5196">
      <c r="A5196" s="23"/>
      <c r="B5196" s="21"/>
      <c r="C5196" s="23"/>
      <c r="D5196" s="24"/>
      <c r="E5196" s="14"/>
      <c r="F5196" s="14"/>
      <c r="G5196" s="14"/>
      <c r="H5196" s="23"/>
      <c r="I5196" s="23"/>
      <c r="J5196" s="23"/>
      <c r="K5196" s="30"/>
      <c r="L5196" s="23"/>
      <c r="M5196" s="50" t="s">
        <v>10178</v>
      </c>
      <c r="N5196" s="51"/>
      <c r="O5196" s="20"/>
      <c r="P5196" s="20"/>
      <c r="Q5196" s="20"/>
      <c r="R5196" s="20"/>
      <c r="S5196" s="20"/>
    </row>
    <row r="5197">
      <c r="A5197" s="10"/>
      <c r="B5197" s="11"/>
      <c r="C5197" s="10"/>
      <c r="D5197" s="13"/>
      <c r="E5197" s="14"/>
      <c r="F5197" s="14"/>
      <c r="G5197" s="14"/>
      <c r="H5197" s="10"/>
      <c r="I5197" s="10"/>
      <c r="J5197" s="10"/>
      <c r="K5197" s="46"/>
      <c r="L5197" s="10"/>
      <c r="M5197" s="44" t="s">
        <v>10178</v>
      </c>
      <c r="N5197" s="45"/>
      <c r="O5197" s="20"/>
      <c r="P5197" s="20"/>
      <c r="Q5197" s="20"/>
      <c r="R5197" s="20"/>
      <c r="S5197" s="20"/>
    </row>
    <row r="5198">
      <c r="A5198" s="23"/>
      <c r="B5198" s="21"/>
      <c r="C5198" s="23"/>
      <c r="D5198" s="24"/>
      <c r="E5198" s="14"/>
      <c r="F5198" s="14"/>
      <c r="G5198" s="14"/>
      <c r="H5198" s="23"/>
      <c r="I5198" s="23"/>
      <c r="J5198" s="23"/>
      <c r="K5198" s="30"/>
      <c r="L5198" s="23"/>
      <c r="M5198" s="50" t="s">
        <v>10178</v>
      </c>
      <c r="N5198" s="51"/>
      <c r="O5198" s="20"/>
      <c r="P5198" s="20"/>
      <c r="Q5198" s="20"/>
      <c r="R5198" s="20"/>
      <c r="S5198" s="20"/>
    </row>
    <row r="5199">
      <c r="A5199" s="10"/>
      <c r="B5199" s="11"/>
      <c r="C5199" s="10"/>
      <c r="D5199" s="13"/>
      <c r="E5199" s="14"/>
      <c r="F5199" s="14"/>
      <c r="G5199" s="14"/>
      <c r="H5199" s="10"/>
      <c r="I5199" s="10"/>
      <c r="J5199" s="10"/>
      <c r="K5199" s="46"/>
      <c r="L5199" s="10"/>
      <c r="M5199" s="44" t="s">
        <v>10178</v>
      </c>
      <c r="N5199" s="45"/>
      <c r="O5199" s="20"/>
      <c r="P5199" s="20"/>
      <c r="Q5199" s="20"/>
      <c r="R5199" s="20"/>
      <c r="S5199" s="20"/>
    </row>
    <row r="5200">
      <c r="A5200" s="23"/>
      <c r="B5200" s="21"/>
      <c r="C5200" s="23"/>
      <c r="D5200" s="24"/>
      <c r="E5200" s="14"/>
      <c r="F5200" s="14"/>
      <c r="G5200" s="14"/>
      <c r="H5200" s="23"/>
      <c r="I5200" s="23"/>
      <c r="J5200" s="23"/>
      <c r="K5200" s="30"/>
      <c r="L5200" s="23"/>
      <c r="M5200" s="50" t="s">
        <v>10178</v>
      </c>
      <c r="N5200" s="51"/>
      <c r="O5200" s="20"/>
      <c r="P5200" s="20"/>
      <c r="Q5200" s="20"/>
      <c r="R5200" s="20"/>
      <c r="S5200" s="20"/>
    </row>
    <row r="5201">
      <c r="A5201" s="10"/>
      <c r="B5201" s="11"/>
      <c r="C5201" s="10"/>
      <c r="D5201" s="13"/>
      <c r="E5201" s="14"/>
      <c r="F5201" s="14"/>
      <c r="G5201" s="14"/>
      <c r="H5201" s="10"/>
      <c r="I5201" s="10"/>
      <c r="J5201" s="10"/>
      <c r="K5201" s="46"/>
      <c r="L5201" s="10"/>
      <c r="M5201" s="44" t="s">
        <v>10178</v>
      </c>
      <c r="N5201" s="45"/>
      <c r="O5201" s="20"/>
      <c r="P5201" s="20"/>
      <c r="Q5201" s="20"/>
      <c r="R5201" s="20"/>
      <c r="S5201" s="20"/>
    </row>
    <row r="5202">
      <c r="A5202" s="23"/>
      <c r="B5202" s="21"/>
      <c r="C5202" s="23"/>
      <c r="D5202" s="24"/>
      <c r="E5202" s="14"/>
      <c r="F5202" s="14"/>
      <c r="G5202" s="14"/>
      <c r="H5202" s="23"/>
      <c r="I5202" s="23"/>
      <c r="J5202" s="23"/>
      <c r="K5202" s="30"/>
      <c r="L5202" s="23"/>
      <c r="M5202" s="50" t="s">
        <v>10178</v>
      </c>
      <c r="N5202" s="51"/>
      <c r="O5202" s="20"/>
      <c r="P5202" s="20"/>
      <c r="Q5202" s="20"/>
      <c r="R5202" s="20"/>
      <c r="S5202" s="20"/>
    </row>
    <row r="5203">
      <c r="A5203" s="10"/>
      <c r="B5203" s="11"/>
      <c r="C5203" s="10"/>
      <c r="D5203" s="13"/>
      <c r="E5203" s="14"/>
      <c r="F5203" s="14"/>
      <c r="G5203" s="14"/>
      <c r="H5203" s="10"/>
      <c r="I5203" s="10"/>
      <c r="J5203" s="10"/>
      <c r="K5203" s="46"/>
      <c r="L5203" s="10"/>
      <c r="M5203" s="44" t="s">
        <v>10178</v>
      </c>
      <c r="N5203" s="45"/>
      <c r="O5203" s="20"/>
      <c r="P5203" s="20"/>
      <c r="Q5203" s="20"/>
      <c r="R5203" s="20"/>
      <c r="S5203" s="20"/>
    </row>
    <row r="5204">
      <c r="A5204" s="23"/>
      <c r="B5204" s="21"/>
      <c r="C5204" s="23"/>
      <c r="D5204" s="24"/>
      <c r="E5204" s="14"/>
      <c r="F5204" s="14"/>
      <c r="G5204" s="14"/>
      <c r="H5204" s="23"/>
      <c r="I5204" s="23"/>
      <c r="J5204" s="23"/>
      <c r="K5204" s="30"/>
      <c r="L5204" s="23"/>
      <c r="M5204" s="50" t="s">
        <v>10178</v>
      </c>
      <c r="N5204" s="51"/>
      <c r="O5204" s="20"/>
      <c r="P5204" s="20"/>
      <c r="Q5204" s="20"/>
      <c r="R5204" s="20"/>
      <c r="S5204" s="20"/>
    </row>
    <row r="5205">
      <c r="A5205" s="10"/>
      <c r="B5205" s="11"/>
      <c r="C5205" s="10"/>
      <c r="D5205" s="13"/>
      <c r="E5205" s="14"/>
      <c r="F5205" s="14"/>
      <c r="G5205" s="14"/>
      <c r="H5205" s="10"/>
      <c r="I5205" s="10"/>
      <c r="J5205" s="10"/>
      <c r="K5205" s="46"/>
      <c r="L5205" s="10"/>
      <c r="M5205" s="44" t="s">
        <v>10178</v>
      </c>
      <c r="N5205" s="45"/>
      <c r="O5205" s="20"/>
      <c r="P5205" s="20"/>
      <c r="Q5205" s="20"/>
      <c r="R5205" s="20"/>
      <c r="S5205" s="20"/>
    </row>
    <row r="5206">
      <c r="A5206" s="23"/>
      <c r="B5206" s="21"/>
      <c r="C5206" s="23"/>
      <c r="D5206" s="24"/>
      <c r="E5206" s="14"/>
      <c r="F5206" s="14"/>
      <c r="G5206" s="14"/>
      <c r="H5206" s="23"/>
      <c r="I5206" s="23"/>
      <c r="J5206" s="23"/>
      <c r="K5206" s="30"/>
      <c r="L5206" s="23"/>
      <c r="M5206" s="50" t="s">
        <v>10178</v>
      </c>
      <c r="N5206" s="51"/>
      <c r="O5206" s="20"/>
      <c r="P5206" s="20"/>
      <c r="Q5206" s="20"/>
      <c r="R5206" s="20"/>
      <c r="S5206" s="20"/>
    </row>
    <row r="5207">
      <c r="A5207" s="10"/>
      <c r="B5207" s="11"/>
      <c r="C5207" s="10"/>
      <c r="D5207" s="13"/>
      <c r="E5207" s="14"/>
      <c r="F5207" s="14"/>
      <c r="G5207" s="14"/>
      <c r="H5207" s="10"/>
      <c r="I5207" s="10"/>
      <c r="J5207" s="10"/>
      <c r="K5207" s="46"/>
      <c r="L5207" s="10"/>
      <c r="M5207" s="44" t="s">
        <v>10178</v>
      </c>
      <c r="N5207" s="45"/>
      <c r="O5207" s="20"/>
      <c r="P5207" s="20"/>
      <c r="Q5207" s="20"/>
      <c r="R5207" s="20"/>
      <c r="S5207" s="20"/>
    </row>
    <row r="5208">
      <c r="A5208" s="23"/>
      <c r="B5208" s="21"/>
      <c r="C5208" s="23"/>
      <c r="D5208" s="24"/>
      <c r="E5208" s="14"/>
      <c r="F5208" s="14"/>
      <c r="G5208" s="14"/>
      <c r="H5208" s="23"/>
      <c r="I5208" s="23"/>
      <c r="J5208" s="23"/>
      <c r="K5208" s="30"/>
      <c r="L5208" s="23"/>
      <c r="M5208" s="50" t="s">
        <v>10178</v>
      </c>
      <c r="N5208" s="51"/>
      <c r="O5208" s="20"/>
      <c r="P5208" s="20"/>
      <c r="Q5208" s="20"/>
      <c r="R5208" s="20"/>
      <c r="S5208" s="20"/>
    </row>
    <row r="5209">
      <c r="A5209" s="10"/>
      <c r="B5209" s="11"/>
      <c r="C5209" s="10"/>
      <c r="D5209" s="13"/>
      <c r="E5209" s="14"/>
      <c r="F5209" s="14"/>
      <c r="G5209" s="14"/>
      <c r="H5209" s="10"/>
      <c r="I5209" s="10"/>
      <c r="J5209" s="10"/>
      <c r="K5209" s="46"/>
      <c r="L5209" s="10"/>
      <c r="M5209" s="44" t="s">
        <v>10178</v>
      </c>
      <c r="N5209" s="45"/>
      <c r="O5209" s="20"/>
      <c r="P5209" s="20"/>
      <c r="Q5209" s="20"/>
      <c r="R5209" s="20"/>
      <c r="S5209" s="20"/>
    </row>
    <row r="5210">
      <c r="A5210" s="23"/>
      <c r="B5210" s="21"/>
      <c r="C5210" s="23"/>
      <c r="D5210" s="24"/>
      <c r="E5210" s="14"/>
      <c r="F5210" s="14"/>
      <c r="G5210" s="14"/>
      <c r="H5210" s="23"/>
      <c r="I5210" s="23"/>
      <c r="J5210" s="23"/>
      <c r="K5210" s="30"/>
      <c r="L5210" s="23"/>
      <c r="M5210" s="50" t="s">
        <v>10178</v>
      </c>
      <c r="N5210" s="51"/>
      <c r="O5210" s="20"/>
      <c r="P5210" s="20"/>
      <c r="Q5210" s="20"/>
      <c r="R5210" s="20"/>
      <c r="S5210" s="20"/>
    </row>
    <row r="5211">
      <c r="A5211" s="10"/>
      <c r="B5211" s="11"/>
      <c r="C5211" s="10"/>
      <c r="D5211" s="13"/>
      <c r="E5211" s="14"/>
      <c r="F5211" s="14"/>
      <c r="G5211" s="14"/>
      <c r="H5211" s="10"/>
      <c r="I5211" s="10"/>
      <c r="J5211" s="10"/>
      <c r="K5211" s="46"/>
      <c r="L5211" s="10"/>
      <c r="M5211" s="44" t="s">
        <v>10178</v>
      </c>
      <c r="N5211" s="45"/>
      <c r="O5211" s="20"/>
      <c r="P5211" s="20"/>
      <c r="Q5211" s="20"/>
      <c r="R5211" s="20"/>
      <c r="S5211" s="20"/>
    </row>
    <row r="5212">
      <c r="A5212" s="23"/>
      <c r="B5212" s="21"/>
      <c r="C5212" s="23"/>
      <c r="D5212" s="24"/>
      <c r="E5212" s="14"/>
      <c r="F5212" s="14"/>
      <c r="G5212" s="14"/>
      <c r="H5212" s="23"/>
      <c r="I5212" s="23"/>
      <c r="J5212" s="23"/>
      <c r="K5212" s="30"/>
      <c r="L5212" s="23"/>
      <c r="M5212" s="50" t="s">
        <v>10178</v>
      </c>
      <c r="N5212" s="51"/>
      <c r="O5212" s="20"/>
      <c r="P5212" s="20"/>
      <c r="Q5212" s="20"/>
      <c r="R5212" s="20"/>
      <c r="S5212" s="20"/>
    </row>
    <row r="5213">
      <c r="A5213" s="10"/>
      <c r="B5213" s="11"/>
      <c r="C5213" s="10"/>
      <c r="D5213" s="13"/>
      <c r="E5213" s="14"/>
      <c r="F5213" s="14"/>
      <c r="G5213" s="14"/>
      <c r="H5213" s="10"/>
      <c r="I5213" s="10"/>
      <c r="J5213" s="10"/>
      <c r="K5213" s="46"/>
      <c r="L5213" s="10"/>
      <c r="M5213" s="44" t="s">
        <v>10178</v>
      </c>
      <c r="N5213" s="45"/>
      <c r="O5213" s="20"/>
      <c r="P5213" s="20"/>
      <c r="Q5213" s="20"/>
      <c r="R5213" s="20"/>
      <c r="S5213" s="20"/>
    </row>
    <row r="5214">
      <c r="A5214" s="23"/>
      <c r="B5214" s="21"/>
      <c r="C5214" s="23"/>
      <c r="D5214" s="24"/>
      <c r="E5214" s="14"/>
      <c r="F5214" s="14"/>
      <c r="G5214" s="14"/>
      <c r="H5214" s="23"/>
      <c r="I5214" s="23"/>
      <c r="J5214" s="23"/>
      <c r="K5214" s="30"/>
      <c r="L5214" s="23"/>
      <c r="M5214" s="50" t="s">
        <v>10178</v>
      </c>
      <c r="N5214" s="51"/>
      <c r="O5214" s="20"/>
      <c r="P5214" s="20"/>
      <c r="Q5214" s="20"/>
      <c r="R5214" s="20"/>
      <c r="S5214" s="20"/>
    </row>
    <row r="5215">
      <c r="A5215" s="10"/>
      <c r="B5215" s="11"/>
      <c r="C5215" s="10"/>
      <c r="D5215" s="13"/>
      <c r="E5215" s="14"/>
      <c r="F5215" s="14"/>
      <c r="G5215" s="14"/>
      <c r="H5215" s="10"/>
      <c r="I5215" s="10"/>
      <c r="J5215" s="10"/>
      <c r="K5215" s="46"/>
      <c r="L5215" s="10"/>
      <c r="M5215" s="44" t="s">
        <v>10178</v>
      </c>
      <c r="N5215" s="45"/>
      <c r="O5215" s="20"/>
      <c r="P5215" s="20"/>
      <c r="Q5215" s="20"/>
      <c r="R5215" s="20"/>
      <c r="S5215" s="20"/>
    </row>
    <row r="5216">
      <c r="A5216" s="23"/>
      <c r="B5216" s="21"/>
      <c r="C5216" s="23"/>
      <c r="D5216" s="24"/>
      <c r="E5216" s="14"/>
      <c r="F5216" s="14"/>
      <c r="G5216" s="14"/>
      <c r="H5216" s="23"/>
      <c r="I5216" s="23"/>
      <c r="J5216" s="23"/>
      <c r="K5216" s="30"/>
      <c r="L5216" s="23"/>
      <c r="M5216" s="50" t="s">
        <v>10178</v>
      </c>
      <c r="N5216" s="51"/>
      <c r="O5216" s="20"/>
      <c r="P5216" s="20"/>
      <c r="Q5216" s="20"/>
      <c r="R5216" s="20"/>
      <c r="S5216" s="20"/>
    </row>
    <row r="5217">
      <c r="A5217" s="10"/>
      <c r="B5217" s="11"/>
      <c r="C5217" s="10"/>
      <c r="D5217" s="13"/>
      <c r="E5217" s="14"/>
      <c r="F5217" s="14"/>
      <c r="G5217" s="14"/>
      <c r="H5217" s="10"/>
      <c r="I5217" s="10"/>
      <c r="J5217" s="10"/>
      <c r="K5217" s="46"/>
      <c r="L5217" s="10"/>
      <c r="M5217" s="44" t="s">
        <v>10178</v>
      </c>
      <c r="N5217" s="45"/>
      <c r="O5217" s="20"/>
      <c r="P5217" s="20"/>
      <c r="Q5217" s="20"/>
      <c r="R5217" s="20"/>
      <c r="S5217" s="20"/>
    </row>
    <row r="5218">
      <c r="A5218" s="23"/>
      <c r="B5218" s="21"/>
      <c r="C5218" s="23"/>
      <c r="D5218" s="24"/>
      <c r="E5218" s="14"/>
      <c r="F5218" s="14"/>
      <c r="G5218" s="14"/>
      <c r="H5218" s="23"/>
      <c r="I5218" s="23"/>
      <c r="J5218" s="23"/>
      <c r="K5218" s="30"/>
      <c r="L5218" s="23"/>
      <c r="M5218" s="50" t="s">
        <v>10178</v>
      </c>
      <c r="N5218" s="51"/>
      <c r="O5218" s="20"/>
      <c r="P5218" s="20"/>
      <c r="Q5218" s="20"/>
      <c r="R5218" s="20"/>
      <c r="S5218" s="20"/>
    </row>
    <row r="5219">
      <c r="A5219" s="10"/>
      <c r="B5219" s="11"/>
      <c r="C5219" s="10"/>
      <c r="D5219" s="13"/>
      <c r="E5219" s="14"/>
      <c r="F5219" s="14"/>
      <c r="G5219" s="14"/>
      <c r="H5219" s="10"/>
      <c r="I5219" s="10"/>
      <c r="J5219" s="10"/>
      <c r="K5219" s="46"/>
      <c r="L5219" s="10"/>
      <c r="M5219" s="44" t="s">
        <v>10178</v>
      </c>
      <c r="N5219" s="45"/>
      <c r="O5219" s="20"/>
      <c r="P5219" s="20"/>
      <c r="Q5219" s="20"/>
      <c r="R5219" s="20"/>
      <c r="S5219" s="20"/>
    </row>
    <row r="5220">
      <c r="A5220" s="23"/>
      <c r="B5220" s="21"/>
      <c r="C5220" s="23"/>
      <c r="D5220" s="24"/>
      <c r="E5220" s="14"/>
      <c r="F5220" s="14"/>
      <c r="G5220" s="14"/>
      <c r="H5220" s="23"/>
      <c r="I5220" s="23"/>
      <c r="J5220" s="23"/>
      <c r="K5220" s="30"/>
      <c r="L5220" s="23"/>
      <c r="M5220" s="50" t="s">
        <v>10178</v>
      </c>
      <c r="N5220" s="51"/>
      <c r="O5220" s="20"/>
      <c r="P5220" s="20"/>
      <c r="Q5220" s="20"/>
      <c r="R5220" s="20"/>
      <c r="S5220" s="20"/>
    </row>
    <row r="5221">
      <c r="A5221" s="10"/>
      <c r="B5221" s="11"/>
      <c r="C5221" s="10"/>
      <c r="D5221" s="13"/>
      <c r="E5221" s="14"/>
      <c r="F5221" s="14"/>
      <c r="G5221" s="14"/>
      <c r="H5221" s="10"/>
      <c r="I5221" s="10"/>
      <c r="J5221" s="10"/>
      <c r="K5221" s="46"/>
      <c r="L5221" s="10"/>
      <c r="M5221" s="44" t="s">
        <v>10178</v>
      </c>
      <c r="N5221" s="45"/>
      <c r="O5221" s="20"/>
      <c r="P5221" s="20"/>
      <c r="Q5221" s="20"/>
      <c r="R5221" s="20"/>
      <c r="S5221" s="20"/>
    </row>
    <row r="5222">
      <c r="A5222" s="23"/>
      <c r="B5222" s="21"/>
      <c r="C5222" s="23"/>
      <c r="D5222" s="24"/>
      <c r="E5222" s="14"/>
      <c r="F5222" s="14"/>
      <c r="G5222" s="14"/>
      <c r="H5222" s="23"/>
      <c r="I5222" s="23"/>
      <c r="J5222" s="23"/>
      <c r="K5222" s="30"/>
      <c r="L5222" s="23"/>
      <c r="M5222" s="50" t="s">
        <v>10178</v>
      </c>
      <c r="N5222" s="51"/>
      <c r="O5222" s="20"/>
      <c r="P5222" s="20"/>
      <c r="Q5222" s="20"/>
      <c r="R5222" s="20"/>
      <c r="S5222" s="20"/>
    </row>
    <row r="5223">
      <c r="A5223" s="10"/>
      <c r="B5223" s="11"/>
      <c r="C5223" s="10"/>
      <c r="D5223" s="13"/>
      <c r="E5223" s="14"/>
      <c r="F5223" s="14"/>
      <c r="G5223" s="14"/>
      <c r="H5223" s="10"/>
      <c r="I5223" s="10"/>
      <c r="J5223" s="10"/>
      <c r="K5223" s="46"/>
      <c r="L5223" s="10"/>
      <c r="M5223" s="44" t="s">
        <v>10178</v>
      </c>
      <c r="N5223" s="45"/>
      <c r="O5223" s="20"/>
      <c r="P5223" s="20"/>
      <c r="Q5223" s="20"/>
      <c r="R5223" s="20"/>
      <c r="S5223" s="20"/>
    </row>
    <row r="5224">
      <c r="A5224" s="23"/>
      <c r="B5224" s="21"/>
      <c r="C5224" s="23"/>
      <c r="D5224" s="24"/>
      <c r="E5224" s="14"/>
      <c r="F5224" s="14"/>
      <c r="G5224" s="14"/>
      <c r="H5224" s="23"/>
      <c r="I5224" s="23"/>
      <c r="J5224" s="23"/>
      <c r="K5224" s="30"/>
      <c r="L5224" s="23"/>
      <c r="M5224" s="50" t="s">
        <v>10178</v>
      </c>
      <c r="N5224" s="51"/>
      <c r="O5224" s="20"/>
      <c r="P5224" s="20"/>
      <c r="Q5224" s="20"/>
      <c r="R5224" s="20"/>
      <c r="S5224" s="20"/>
    </row>
    <row r="5225">
      <c r="A5225" s="10"/>
      <c r="B5225" s="11"/>
      <c r="C5225" s="10"/>
      <c r="D5225" s="13"/>
      <c r="E5225" s="14"/>
      <c r="F5225" s="14"/>
      <c r="G5225" s="14"/>
      <c r="H5225" s="10"/>
      <c r="I5225" s="10"/>
      <c r="J5225" s="10"/>
      <c r="K5225" s="46"/>
      <c r="L5225" s="10"/>
      <c r="M5225" s="44" t="s">
        <v>10178</v>
      </c>
      <c r="N5225" s="45"/>
      <c r="O5225" s="20"/>
      <c r="P5225" s="20"/>
      <c r="Q5225" s="20"/>
      <c r="R5225" s="20"/>
      <c r="S5225" s="20"/>
    </row>
    <row r="5226">
      <c r="A5226" s="23"/>
      <c r="B5226" s="21"/>
      <c r="C5226" s="23"/>
      <c r="D5226" s="24"/>
      <c r="E5226" s="14"/>
      <c r="F5226" s="14"/>
      <c r="G5226" s="14"/>
      <c r="H5226" s="23"/>
      <c r="I5226" s="23"/>
      <c r="J5226" s="23"/>
      <c r="K5226" s="30"/>
      <c r="L5226" s="23"/>
      <c r="M5226" s="50" t="s">
        <v>10178</v>
      </c>
      <c r="N5226" s="51"/>
      <c r="O5226" s="20"/>
      <c r="P5226" s="20"/>
      <c r="Q5226" s="20"/>
      <c r="R5226" s="20"/>
      <c r="S5226" s="20"/>
    </row>
    <row r="5227">
      <c r="A5227" s="10"/>
      <c r="B5227" s="11"/>
      <c r="C5227" s="10"/>
      <c r="D5227" s="13"/>
      <c r="E5227" s="14"/>
      <c r="F5227" s="14"/>
      <c r="G5227" s="14"/>
      <c r="H5227" s="10"/>
      <c r="I5227" s="10"/>
      <c r="J5227" s="10"/>
      <c r="K5227" s="46"/>
      <c r="L5227" s="10"/>
      <c r="M5227" s="44" t="s">
        <v>10178</v>
      </c>
      <c r="N5227" s="45"/>
      <c r="O5227" s="20"/>
      <c r="P5227" s="20"/>
      <c r="Q5227" s="20"/>
      <c r="R5227" s="20"/>
      <c r="S5227" s="20"/>
    </row>
    <row r="5228">
      <c r="A5228" s="23"/>
      <c r="B5228" s="21"/>
      <c r="C5228" s="23"/>
      <c r="D5228" s="24"/>
      <c r="E5228" s="14"/>
      <c r="F5228" s="14"/>
      <c r="G5228" s="14"/>
      <c r="H5228" s="23"/>
      <c r="I5228" s="23"/>
      <c r="J5228" s="23"/>
      <c r="K5228" s="30"/>
      <c r="L5228" s="23"/>
      <c r="M5228" s="50" t="s">
        <v>10178</v>
      </c>
      <c r="N5228" s="51"/>
      <c r="O5228" s="20"/>
      <c r="P5228" s="20"/>
      <c r="Q5228" s="20"/>
      <c r="R5228" s="20"/>
      <c r="S5228" s="20"/>
    </row>
    <row r="5229">
      <c r="A5229" s="10"/>
      <c r="B5229" s="11"/>
      <c r="C5229" s="10"/>
      <c r="D5229" s="13"/>
      <c r="E5229" s="14"/>
      <c r="F5229" s="14"/>
      <c r="G5229" s="14"/>
      <c r="H5229" s="10"/>
      <c r="I5229" s="10"/>
      <c r="J5229" s="10"/>
      <c r="K5229" s="46"/>
      <c r="L5229" s="10"/>
      <c r="M5229" s="44" t="s">
        <v>10178</v>
      </c>
      <c r="N5229" s="45"/>
      <c r="O5229" s="20"/>
      <c r="P5229" s="20"/>
      <c r="Q5229" s="20"/>
      <c r="R5229" s="20"/>
      <c r="S5229" s="20"/>
    </row>
    <row r="5230">
      <c r="A5230" s="23"/>
      <c r="B5230" s="21"/>
      <c r="C5230" s="23"/>
      <c r="D5230" s="24"/>
      <c r="E5230" s="14"/>
      <c r="F5230" s="14"/>
      <c r="G5230" s="14"/>
      <c r="H5230" s="23"/>
      <c r="I5230" s="23"/>
      <c r="J5230" s="23"/>
      <c r="K5230" s="30"/>
      <c r="L5230" s="23"/>
      <c r="M5230" s="50" t="s">
        <v>10178</v>
      </c>
      <c r="N5230" s="51"/>
      <c r="O5230" s="20"/>
      <c r="P5230" s="20"/>
      <c r="Q5230" s="20"/>
      <c r="R5230" s="20"/>
      <c r="S5230" s="20"/>
    </row>
    <row r="5231">
      <c r="A5231" s="10"/>
      <c r="B5231" s="11"/>
      <c r="C5231" s="10"/>
      <c r="D5231" s="13"/>
      <c r="E5231" s="14"/>
      <c r="F5231" s="14"/>
      <c r="G5231" s="14"/>
      <c r="H5231" s="10"/>
      <c r="I5231" s="10"/>
      <c r="J5231" s="10"/>
      <c r="K5231" s="46"/>
      <c r="L5231" s="10"/>
      <c r="M5231" s="44" t="s">
        <v>10178</v>
      </c>
      <c r="N5231" s="45"/>
      <c r="O5231" s="20"/>
      <c r="P5231" s="20"/>
      <c r="Q5231" s="20"/>
      <c r="R5231" s="20"/>
      <c r="S5231" s="20"/>
    </row>
    <row r="5232">
      <c r="A5232" s="23"/>
      <c r="B5232" s="21"/>
      <c r="C5232" s="23"/>
      <c r="D5232" s="24"/>
      <c r="E5232" s="14"/>
      <c r="F5232" s="14"/>
      <c r="G5232" s="14"/>
      <c r="H5232" s="23"/>
      <c r="I5232" s="23"/>
      <c r="J5232" s="23"/>
      <c r="K5232" s="30"/>
      <c r="L5232" s="23"/>
      <c r="M5232" s="50" t="s">
        <v>10178</v>
      </c>
      <c r="N5232" s="51"/>
      <c r="O5232" s="20"/>
      <c r="P5232" s="20"/>
      <c r="Q5232" s="20"/>
      <c r="R5232" s="20"/>
      <c r="S5232" s="20"/>
    </row>
    <row r="5233">
      <c r="A5233" s="10"/>
      <c r="B5233" s="11"/>
      <c r="C5233" s="10"/>
      <c r="D5233" s="13"/>
      <c r="E5233" s="14"/>
      <c r="F5233" s="14"/>
      <c r="G5233" s="14"/>
      <c r="H5233" s="10"/>
      <c r="I5233" s="10"/>
      <c r="J5233" s="10"/>
      <c r="K5233" s="46"/>
      <c r="L5233" s="10"/>
      <c r="M5233" s="44" t="s">
        <v>10178</v>
      </c>
      <c r="N5233" s="45"/>
      <c r="O5233" s="20"/>
      <c r="P5233" s="20"/>
      <c r="Q5233" s="20"/>
      <c r="R5233" s="20"/>
      <c r="S5233" s="20"/>
    </row>
    <row r="5234">
      <c r="A5234" s="23"/>
      <c r="B5234" s="21"/>
      <c r="C5234" s="23"/>
      <c r="D5234" s="24"/>
      <c r="E5234" s="14"/>
      <c r="F5234" s="14"/>
      <c r="G5234" s="14"/>
      <c r="H5234" s="23"/>
      <c r="I5234" s="23"/>
      <c r="J5234" s="23"/>
      <c r="K5234" s="30"/>
      <c r="L5234" s="23"/>
      <c r="M5234" s="50" t="s">
        <v>10178</v>
      </c>
      <c r="N5234" s="51"/>
      <c r="O5234" s="20"/>
      <c r="P5234" s="20"/>
      <c r="Q5234" s="20"/>
      <c r="R5234" s="20"/>
      <c r="S5234" s="20"/>
    </row>
    <row r="5235">
      <c r="A5235" s="10"/>
      <c r="B5235" s="11"/>
      <c r="C5235" s="10"/>
      <c r="D5235" s="13"/>
      <c r="E5235" s="14"/>
      <c r="F5235" s="14"/>
      <c r="G5235" s="14"/>
      <c r="H5235" s="10"/>
      <c r="I5235" s="10"/>
      <c r="J5235" s="10"/>
      <c r="K5235" s="46"/>
      <c r="L5235" s="10"/>
      <c r="M5235" s="44" t="s">
        <v>10178</v>
      </c>
      <c r="N5235" s="45"/>
      <c r="O5235" s="20"/>
      <c r="P5235" s="20"/>
      <c r="Q5235" s="20"/>
      <c r="R5235" s="20"/>
      <c r="S5235" s="20"/>
    </row>
    <row r="5236">
      <c r="A5236" s="23"/>
      <c r="B5236" s="21"/>
      <c r="C5236" s="23"/>
      <c r="D5236" s="24"/>
      <c r="E5236" s="14"/>
      <c r="F5236" s="14"/>
      <c r="G5236" s="14"/>
      <c r="H5236" s="23"/>
      <c r="I5236" s="23"/>
      <c r="J5236" s="23"/>
      <c r="K5236" s="30"/>
      <c r="L5236" s="23"/>
      <c r="M5236" s="50" t="s">
        <v>10178</v>
      </c>
      <c r="N5236" s="51"/>
      <c r="O5236" s="20"/>
      <c r="P5236" s="20"/>
      <c r="Q5236" s="20"/>
      <c r="R5236" s="20"/>
      <c r="S5236" s="20"/>
    </row>
    <row r="5237">
      <c r="A5237" s="10"/>
      <c r="B5237" s="11"/>
      <c r="C5237" s="10"/>
      <c r="D5237" s="13"/>
      <c r="E5237" s="14"/>
      <c r="F5237" s="14"/>
      <c r="G5237" s="14"/>
      <c r="H5237" s="10"/>
      <c r="I5237" s="10"/>
      <c r="J5237" s="10"/>
      <c r="K5237" s="46"/>
      <c r="L5237" s="10"/>
      <c r="M5237" s="44" t="s">
        <v>10178</v>
      </c>
      <c r="N5237" s="45"/>
      <c r="O5237" s="20"/>
      <c r="P5237" s="20"/>
      <c r="Q5237" s="20"/>
      <c r="R5237" s="20"/>
      <c r="S5237" s="20"/>
    </row>
    <row r="5238">
      <c r="A5238" s="23"/>
      <c r="B5238" s="21"/>
      <c r="C5238" s="23"/>
      <c r="D5238" s="24"/>
      <c r="E5238" s="14"/>
      <c r="F5238" s="14"/>
      <c r="G5238" s="14"/>
      <c r="H5238" s="23"/>
      <c r="I5238" s="23"/>
      <c r="J5238" s="23"/>
      <c r="K5238" s="30"/>
      <c r="L5238" s="23"/>
      <c r="M5238" s="50" t="s">
        <v>10178</v>
      </c>
      <c r="N5238" s="51"/>
      <c r="O5238" s="20"/>
      <c r="P5238" s="20"/>
      <c r="Q5238" s="20"/>
      <c r="R5238" s="20"/>
      <c r="S5238" s="20"/>
    </row>
    <row r="5239">
      <c r="A5239" s="10"/>
      <c r="B5239" s="11"/>
      <c r="C5239" s="10"/>
      <c r="D5239" s="13"/>
      <c r="E5239" s="14"/>
      <c r="F5239" s="14"/>
      <c r="G5239" s="14"/>
      <c r="H5239" s="10"/>
      <c r="I5239" s="10"/>
      <c r="J5239" s="10"/>
      <c r="K5239" s="46"/>
      <c r="L5239" s="10"/>
      <c r="M5239" s="44" t="s">
        <v>10178</v>
      </c>
      <c r="N5239" s="45"/>
      <c r="O5239" s="20"/>
      <c r="P5239" s="20"/>
      <c r="Q5239" s="20"/>
      <c r="R5239" s="20"/>
      <c r="S5239" s="20"/>
    </row>
    <row r="5240">
      <c r="A5240" s="23"/>
      <c r="B5240" s="21"/>
      <c r="C5240" s="23"/>
      <c r="D5240" s="24"/>
      <c r="E5240" s="14"/>
      <c r="F5240" s="14"/>
      <c r="G5240" s="14"/>
      <c r="H5240" s="23"/>
      <c r="I5240" s="23"/>
      <c r="J5240" s="23"/>
      <c r="K5240" s="30"/>
      <c r="L5240" s="23"/>
      <c r="M5240" s="50" t="s">
        <v>10178</v>
      </c>
      <c r="N5240" s="51"/>
      <c r="O5240" s="20"/>
      <c r="P5240" s="20"/>
      <c r="Q5240" s="20"/>
      <c r="R5240" s="20"/>
      <c r="S5240" s="20"/>
    </row>
    <row r="5241">
      <c r="A5241" s="10"/>
      <c r="B5241" s="11"/>
      <c r="C5241" s="10"/>
      <c r="D5241" s="13"/>
      <c r="E5241" s="14"/>
      <c r="F5241" s="14"/>
      <c r="G5241" s="14"/>
      <c r="H5241" s="10"/>
      <c r="I5241" s="10"/>
      <c r="J5241" s="10"/>
      <c r="K5241" s="46"/>
      <c r="L5241" s="10"/>
      <c r="M5241" s="44" t="s">
        <v>10178</v>
      </c>
      <c r="N5241" s="45"/>
      <c r="O5241" s="20"/>
      <c r="P5241" s="20"/>
      <c r="Q5241" s="20"/>
      <c r="R5241" s="20"/>
      <c r="S5241" s="20"/>
    </row>
    <row r="5242">
      <c r="A5242" s="23"/>
      <c r="B5242" s="21"/>
      <c r="C5242" s="23"/>
      <c r="D5242" s="24"/>
      <c r="E5242" s="14"/>
      <c r="F5242" s="14"/>
      <c r="G5242" s="14"/>
      <c r="H5242" s="23"/>
      <c r="I5242" s="23"/>
      <c r="J5242" s="23"/>
      <c r="K5242" s="30"/>
      <c r="L5242" s="23"/>
      <c r="M5242" s="50" t="s">
        <v>10178</v>
      </c>
      <c r="N5242" s="51"/>
      <c r="O5242" s="20"/>
      <c r="P5242" s="20"/>
      <c r="Q5242" s="20"/>
      <c r="R5242" s="20"/>
      <c r="S5242" s="20"/>
    </row>
    <row r="5243">
      <c r="A5243" s="10"/>
      <c r="B5243" s="11"/>
      <c r="C5243" s="10"/>
      <c r="D5243" s="13"/>
      <c r="E5243" s="14"/>
      <c r="F5243" s="14"/>
      <c r="G5243" s="14"/>
      <c r="H5243" s="10"/>
      <c r="I5243" s="10"/>
      <c r="J5243" s="10"/>
      <c r="K5243" s="46"/>
      <c r="L5243" s="10"/>
      <c r="M5243" s="44" t="s">
        <v>10178</v>
      </c>
      <c r="N5243" s="45"/>
      <c r="O5243" s="20"/>
      <c r="P5243" s="20"/>
      <c r="Q5243" s="20"/>
      <c r="R5243" s="20"/>
      <c r="S5243" s="20"/>
    </row>
    <row r="5244">
      <c r="A5244" s="23"/>
      <c r="B5244" s="21"/>
      <c r="C5244" s="23"/>
      <c r="D5244" s="24"/>
      <c r="E5244" s="14"/>
      <c r="F5244" s="14"/>
      <c r="G5244" s="14"/>
      <c r="H5244" s="23"/>
      <c r="I5244" s="23"/>
      <c r="J5244" s="23"/>
      <c r="K5244" s="30"/>
      <c r="L5244" s="23"/>
      <c r="M5244" s="50" t="s">
        <v>10178</v>
      </c>
      <c r="N5244" s="51"/>
      <c r="O5244" s="20"/>
      <c r="P5244" s="20"/>
      <c r="Q5244" s="20"/>
      <c r="R5244" s="20"/>
      <c r="S5244" s="20"/>
    </row>
    <row r="5245">
      <c r="A5245" s="10"/>
      <c r="B5245" s="11"/>
      <c r="C5245" s="10"/>
      <c r="D5245" s="13"/>
      <c r="E5245" s="14"/>
      <c r="F5245" s="14"/>
      <c r="G5245" s="14"/>
      <c r="H5245" s="10"/>
      <c r="I5245" s="10"/>
      <c r="J5245" s="10"/>
      <c r="K5245" s="46"/>
      <c r="L5245" s="10"/>
      <c r="M5245" s="44" t="s">
        <v>10178</v>
      </c>
      <c r="N5245" s="45"/>
      <c r="O5245" s="20"/>
      <c r="P5245" s="20"/>
      <c r="Q5245" s="20"/>
      <c r="R5245" s="20"/>
      <c r="S5245" s="20"/>
    </row>
    <row r="5246">
      <c r="A5246" s="23"/>
      <c r="B5246" s="21"/>
      <c r="C5246" s="23"/>
      <c r="D5246" s="24"/>
      <c r="E5246" s="14"/>
      <c r="F5246" s="14"/>
      <c r="G5246" s="14"/>
      <c r="H5246" s="23"/>
      <c r="I5246" s="23"/>
      <c r="J5246" s="23"/>
      <c r="K5246" s="30"/>
      <c r="L5246" s="23"/>
      <c r="M5246" s="50" t="s">
        <v>10178</v>
      </c>
      <c r="N5246" s="51"/>
      <c r="O5246" s="20"/>
      <c r="P5246" s="20"/>
      <c r="Q5246" s="20"/>
      <c r="R5246" s="20"/>
      <c r="S5246" s="20"/>
    </row>
    <row r="5247">
      <c r="A5247" s="10"/>
      <c r="B5247" s="11"/>
      <c r="C5247" s="10"/>
      <c r="D5247" s="13"/>
      <c r="E5247" s="14"/>
      <c r="F5247" s="14"/>
      <c r="G5247" s="14"/>
      <c r="H5247" s="10"/>
      <c r="I5247" s="10"/>
      <c r="J5247" s="10"/>
      <c r="K5247" s="46"/>
      <c r="L5247" s="10"/>
      <c r="M5247" s="44" t="s">
        <v>10178</v>
      </c>
      <c r="N5247" s="45"/>
      <c r="O5247" s="20"/>
      <c r="P5247" s="20"/>
      <c r="Q5247" s="20"/>
      <c r="R5247" s="20"/>
      <c r="S5247" s="20"/>
    </row>
    <row r="5248">
      <c r="A5248" s="23"/>
      <c r="B5248" s="21"/>
      <c r="C5248" s="23"/>
      <c r="D5248" s="24"/>
      <c r="E5248" s="14"/>
      <c r="F5248" s="14"/>
      <c r="G5248" s="14"/>
      <c r="H5248" s="23"/>
      <c r="I5248" s="23"/>
      <c r="J5248" s="23"/>
      <c r="K5248" s="30"/>
      <c r="L5248" s="23"/>
      <c r="M5248" s="50" t="s">
        <v>10178</v>
      </c>
      <c r="N5248" s="51"/>
      <c r="O5248" s="20"/>
      <c r="P5248" s="20"/>
      <c r="Q5248" s="20"/>
      <c r="R5248" s="20"/>
      <c r="S5248" s="20"/>
    </row>
    <row r="5249">
      <c r="A5249" s="10"/>
      <c r="B5249" s="11"/>
      <c r="C5249" s="10"/>
      <c r="D5249" s="13"/>
      <c r="E5249" s="14"/>
      <c r="F5249" s="14"/>
      <c r="G5249" s="14"/>
      <c r="H5249" s="10"/>
      <c r="I5249" s="10"/>
      <c r="J5249" s="10"/>
      <c r="K5249" s="46"/>
      <c r="L5249" s="10"/>
      <c r="M5249" s="44" t="s">
        <v>10178</v>
      </c>
      <c r="N5249" s="45"/>
      <c r="O5249" s="20"/>
      <c r="P5249" s="20"/>
      <c r="Q5249" s="20"/>
      <c r="R5249" s="20"/>
      <c r="S5249" s="20"/>
    </row>
    <row r="5250">
      <c r="A5250" s="23"/>
      <c r="B5250" s="21"/>
      <c r="C5250" s="23"/>
      <c r="D5250" s="24"/>
      <c r="E5250" s="14"/>
      <c r="F5250" s="14"/>
      <c r="G5250" s="14"/>
      <c r="H5250" s="23"/>
      <c r="I5250" s="23"/>
      <c r="J5250" s="23"/>
      <c r="K5250" s="30"/>
      <c r="L5250" s="23"/>
      <c r="M5250" s="50" t="s">
        <v>10178</v>
      </c>
      <c r="N5250" s="51"/>
      <c r="O5250" s="20"/>
      <c r="P5250" s="20"/>
      <c r="Q5250" s="20"/>
      <c r="R5250" s="20"/>
      <c r="S5250" s="20"/>
    </row>
    <row r="5251">
      <c r="A5251" s="10"/>
      <c r="B5251" s="11"/>
      <c r="C5251" s="10"/>
      <c r="D5251" s="13"/>
      <c r="E5251" s="14"/>
      <c r="F5251" s="14"/>
      <c r="G5251" s="14"/>
      <c r="H5251" s="10"/>
      <c r="I5251" s="10"/>
      <c r="J5251" s="10"/>
      <c r="K5251" s="46"/>
      <c r="L5251" s="10"/>
      <c r="M5251" s="44" t="s">
        <v>10178</v>
      </c>
      <c r="N5251" s="45"/>
      <c r="O5251" s="20"/>
      <c r="P5251" s="20"/>
      <c r="Q5251" s="20"/>
      <c r="R5251" s="20"/>
      <c r="S5251" s="20"/>
    </row>
    <row r="5252">
      <c r="A5252" s="23"/>
      <c r="B5252" s="21"/>
      <c r="C5252" s="23"/>
      <c r="D5252" s="24"/>
      <c r="E5252" s="14"/>
      <c r="F5252" s="14"/>
      <c r="G5252" s="14"/>
      <c r="H5252" s="23"/>
      <c r="I5252" s="23"/>
      <c r="J5252" s="23"/>
      <c r="K5252" s="30"/>
      <c r="L5252" s="23"/>
      <c r="M5252" s="50" t="s">
        <v>10178</v>
      </c>
      <c r="N5252" s="51"/>
      <c r="O5252" s="20"/>
      <c r="P5252" s="20"/>
      <c r="Q5252" s="20"/>
      <c r="R5252" s="20"/>
      <c r="S5252" s="20"/>
    </row>
    <row r="5253">
      <c r="A5253" s="10"/>
      <c r="B5253" s="11"/>
      <c r="C5253" s="10"/>
      <c r="D5253" s="13"/>
      <c r="E5253" s="14"/>
      <c r="F5253" s="14"/>
      <c r="G5253" s="14"/>
      <c r="H5253" s="10"/>
      <c r="I5253" s="10"/>
      <c r="J5253" s="10"/>
      <c r="K5253" s="46"/>
      <c r="L5253" s="10"/>
      <c r="M5253" s="44" t="s">
        <v>10178</v>
      </c>
      <c r="N5253" s="45"/>
      <c r="O5253" s="20"/>
      <c r="P5253" s="20"/>
      <c r="Q5253" s="20"/>
      <c r="R5253" s="20"/>
      <c r="S5253" s="20"/>
    </row>
    <row r="5254">
      <c r="A5254" s="23"/>
      <c r="B5254" s="21"/>
      <c r="C5254" s="23"/>
      <c r="D5254" s="24"/>
      <c r="E5254" s="14"/>
      <c r="F5254" s="14"/>
      <c r="G5254" s="14"/>
      <c r="H5254" s="23"/>
      <c r="I5254" s="23"/>
      <c r="J5254" s="23"/>
      <c r="K5254" s="30"/>
      <c r="L5254" s="23"/>
      <c r="M5254" s="50" t="s">
        <v>10178</v>
      </c>
      <c r="N5254" s="51"/>
      <c r="O5254" s="20"/>
      <c r="P5254" s="20"/>
      <c r="Q5254" s="20"/>
      <c r="R5254" s="20"/>
      <c r="S5254" s="20"/>
    </row>
    <row r="5255">
      <c r="A5255" s="10"/>
      <c r="B5255" s="11"/>
      <c r="C5255" s="10"/>
      <c r="D5255" s="13"/>
      <c r="E5255" s="14"/>
      <c r="F5255" s="14"/>
      <c r="G5255" s="14"/>
      <c r="H5255" s="10"/>
      <c r="I5255" s="10"/>
      <c r="J5255" s="10"/>
      <c r="K5255" s="46"/>
      <c r="L5255" s="10"/>
      <c r="M5255" s="44" t="s">
        <v>10178</v>
      </c>
      <c r="N5255" s="45"/>
      <c r="O5255" s="20"/>
      <c r="P5255" s="20"/>
      <c r="Q5255" s="20"/>
      <c r="R5255" s="20"/>
      <c r="S5255" s="20"/>
    </row>
    <row r="5256">
      <c r="A5256" s="23"/>
      <c r="B5256" s="21"/>
      <c r="C5256" s="23"/>
      <c r="D5256" s="24"/>
      <c r="E5256" s="14"/>
      <c r="F5256" s="14"/>
      <c r="G5256" s="14"/>
      <c r="H5256" s="23"/>
      <c r="I5256" s="23"/>
      <c r="J5256" s="23"/>
      <c r="K5256" s="30"/>
      <c r="L5256" s="23"/>
      <c r="M5256" s="50" t="s">
        <v>10178</v>
      </c>
      <c r="N5256" s="51"/>
      <c r="O5256" s="20"/>
      <c r="P5256" s="20"/>
      <c r="Q5256" s="20"/>
      <c r="R5256" s="20"/>
      <c r="S5256" s="20"/>
    </row>
    <row r="5257">
      <c r="A5257" s="10"/>
      <c r="B5257" s="11"/>
      <c r="C5257" s="10"/>
      <c r="D5257" s="13"/>
      <c r="E5257" s="14"/>
      <c r="F5257" s="14"/>
      <c r="G5257" s="14"/>
      <c r="H5257" s="10"/>
      <c r="I5257" s="10"/>
      <c r="J5257" s="10"/>
      <c r="K5257" s="46"/>
      <c r="L5257" s="10"/>
      <c r="M5257" s="44" t="s">
        <v>10178</v>
      </c>
      <c r="N5257" s="45"/>
      <c r="O5257" s="20"/>
      <c r="P5257" s="20"/>
      <c r="Q5257" s="20"/>
      <c r="R5257" s="20"/>
      <c r="S5257" s="20"/>
    </row>
    <row r="5258">
      <c r="A5258" s="23"/>
      <c r="B5258" s="21"/>
      <c r="C5258" s="23"/>
      <c r="D5258" s="24"/>
      <c r="E5258" s="14"/>
      <c r="F5258" s="14"/>
      <c r="G5258" s="14"/>
      <c r="H5258" s="23"/>
      <c r="I5258" s="23"/>
      <c r="J5258" s="23"/>
      <c r="K5258" s="30"/>
      <c r="L5258" s="23"/>
      <c r="M5258" s="50" t="s">
        <v>10178</v>
      </c>
      <c r="N5258" s="51"/>
      <c r="O5258" s="20"/>
      <c r="P5258" s="20"/>
      <c r="Q5258" s="20"/>
      <c r="R5258" s="20"/>
      <c r="S5258" s="20"/>
    </row>
    <row r="5259">
      <c r="A5259" s="10"/>
      <c r="B5259" s="11"/>
      <c r="C5259" s="10"/>
      <c r="D5259" s="13"/>
      <c r="E5259" s="14"/>
      <c r="F5259" s="14"/>
      <c r="G5259" s="14"/>
      <c r="H5259" s="10"/>
      <c r="I5259" s="10"/>
      <c r="J5259" s="10"/>
      <c r="K5259" s="46"/>
      <c r="L5259" s="10"/>
      <c r="M5259" s="44" t="s">
        <v>10178</v>
      </c>
      <c r="N5259" s="45"/>
      <c r="O5259" s="20"/>
      <c r="P5259" s="20"/>
      <c r="Q5259" s="20"/>
      <c r="R5259" s="20"/>
      <c r="S5259" s="20"/>
    </row>
    <row r="5260">
      <c r="A5260" s="23"/>
      <c r="B5260" s="21"/>
      <c r="C5260" s="23"/>
      <c r="D5260" s="24"/>
      <c r="E5260" s="14"/>
      <c r="F5260" s="14"/>
      <c r="G5260" s="14"/>
      <c r="H5260" s="23"/>
      <c r="I5260" s="23"/>
      <c r="J5260" s="23"/>
      <c r="K5260" s="30"/>
      <c r="L5260" s="23"/>
      <c r="M5260" s="50" t="s">
        <v>10178</v>
      </c>
      <c r="N5260" s="51"/>
      <c r="O5260" s="20"/>
      <c r="P5260" s="20"/>
      <c r="Q5260" s="20"/>
      <c r="R5260" s="20"/>
      <c r="S5260" s="20"/>
    </row>
    <row r="5261">
      <c r="A5261" s="10"/>
      <c r="B5261" s="11"/>
      <c r="C5261" s="10"/>
      <c r="D5261" s="13"/>
      <c r="E5261" s="14"/>
      <c r="F5261" s="14"/>
      <c r="G5261" s="14"/>
      <c r="H5261" s="10"/>
      <c r="I5261" s="10"/>
      <c r="J5261" s="10"/>
      <c r="K5261" s="46"/>
      <c r="L5261" s="10"/>
      <c r="M5261" s="44" t="s">
        <v>10178</v>
      </c>
      <c r="N5261" s="45"/>
      <c r="O5261" s="20"/>
      <c r="P5261" s="20"/>
      <c r="Q5261" s="20"/>
      <c r="R5261" s="20"/>
      <c r="S5261" s="20"/>
    </row>
    <row r="5262">
      <c r="A5262" s="23"/>
      <c r="B5262" s="21"/>
      <c r="C5262" s="23"/>
      <c r="D5262" s="24"/>
      <c r="E5262" s="14"/>
      <c r="F5262" s="14"/>
      <c r="G5262" s="14"/>
      <c r="H5262" s="23"/>
      <c r="I5262" s="23"/>
      <c r="J5262" s="23"/>
      <c r="K5262" s="30"/>
      <c r="L5262" s="23"/>
      <c r="M5262" s="50" t="s">
        <v>10178</v>
      </c>
      <c r="N5262" s="51"/>
      <c r="O5262" s="20"/>
      <c r="P5262" s="20"/>
      <c r="Q5262" s="20"/>
      <c r="R5262" s="20"/>
      <c r="S5262" s="20"/>
    </row>
    <row r="5263">
      <c r="A5263" s="10"/>
      <c r="B5263" s="11"/>
      <c r="C5263" s="10"/>
      <c r="D5263" s="13"/>
      <c r="E5263" s="14"/>
      <c r="F5263" s="14"/>
      <c r="G5263" s="14"/>
      <c r="H5263" s="10"/>
      <c r="I5263" s="10"/>
      <c r="J5263" s="10"/>
      <c r="K5263" s="46"/>
      <c r="L5263" s="10"/>
      <c r="M5263" s="44" t="s">
        <v>10178</v>
      </c>
      <c r="N5263" s="45"/>
      <c r="O5263" s="20"/>
      <c r="P5263" s="20"/>
      <c r="Q5263" s="20"/>
      <c r="R5263" s="20"/>
      <c r="S5263" s="20"/>
    </row>
    <row r="5264">
      <c r="A5264" s="23"/>
      <c r="B5264" s="21"/>
      <c r="C5264" s="23"/>
      <c r="D5264" s="24"/>
      <c r="E5264" s="14"/>
      <c r="F5264" s="14"/>
      <c r="G5264" s="14"/>
      <c r="H5264" s="23"/>
      <c r="I5264" s="23"/>
      <c r="J5264" s="23"/>
      <c r="K5264" s="30"/>
      <c r="L5264" s="23"/>
      <c r="M5264" s="50" t="s">
        <v>10178</v>
      </c>
      <c r="N5264" s="51"/>
      <c r="O5264" s="20"/>
      <c r="P5264" s="20"/>
      <c r="Q5264" s="20"/>
      <c r="R5264" s="20"/>
      <c r="S5264" s="20"/>
    </row>
    <row r="5265">
      <c r="A5265" s="10"/>
      <c r="B5265" s="11"/>
      <c r="C5265" s="10"/>
      <c r="D5265" s="13"/>
      <c r="E5265" s="14"/>
      <c r="F5265" s="14"/>
      <c r="G5265" s="14"/>
      <c r="H5265" s="10"/>
      <c r="I5265" s="10"/>
      <c r="J5265" s="10"/>
      <c r="K5265" s="46"/>
      <c r="L5265" s="10"/>
      <c r="M5265" s="44" t="s">
        <v>10178</v>
      </c>
      <c r="N5265" s="45"/>
      <c r="O5265" s="20"/>
      <c r="P5265" s="20"/>
      <c r="Q5265" s="20"/>
      <c r="R5265" s="20"/>
      <c r="S5265" s="20"/>
    </row>
    <row r="5266">
      <c r="A5266" s="23"/>
      <c r="B5266" s="21"/>
      <c r="C5266" s="23"/>
      <c r="D5266" s="24"/>
      <c r="E5266" s="14"/>
      <c r="F5266" s="14"/>
      <c r="G5266" s="14"/>
      <c r="H5266" s="23"/>
      <c r="I5266" s="23"/>
      <c r="J5266" s="23"/>
      <c r="K5266" s="30"/>
      <c r="L5266" s="23"/>
      <c r="M5266" s="50" t="s">
        <v>10178</v>
      </c>
      <c r="N5266" s="51"/>
      <c r="O5266" s="20"/>
      <c r="P5266" s="20"/>
      <c r="Q5266" s="20"/>
      <c r="R5266" s="20"/>
      <c r="S5266" s="20"/>
    </row>
    <row r="5267">
      <c r="A5267" s="10"/>
      <c r="B5267" s="11"/>
      <c r="C5267" s="10"/>
      <c r="D5267" s="13"/>
      <c r="E5267" s="14"/>
      <c r="F5267" s="14"/>
      <c r="G5267" s="14"/>
      <c r="H5267" s="10"/>
      <c r="I5267" s="10"/>
      <c r="J5267" s="10"/>
      <c r="K5267" s="46"/>
      <c r="L5267" s="10"/>
      <c r="M5267" s="44" t="s">
        <v>10178</v>
      </c>
      <c r="N5267" s="45"/>
      <c r="O5267" s="20"/>
      <c r="P5267" s="20"/>
      <c r="Q5267" s="20"/>
      <c r="R5267" s="20"/>
      <c r="S5267" s="20"/>
    </row>
    <row r="5268">
      <c r="A5268" s="23"/>
      <c r="B5268" s="21"/>
      <c r="C5268" s="23"/>
      <c r="D5268" s="24"/>
      <c r="E5268" s="14"/>
      <c r="F5268" s="14"/>
      <c r="G5268" s="14"/>
      <c r="H5268" s="23"/>
      <c r="I5268" s="23"/>
      <c r="J5268" s="23"/>
      <c r="K5268" s="30"/>
      <c r="L5268" s="23"/>
      <c r="M5268" s="50" t="s">
        <v>10178</v>
      </c>
      <c r="N5268" s="51"/>
      <c r="O5268" s="20"/>
      <c r="P5268" s="20"/>
      <c r="Q5268" s="20"/>
      <c r="R5268" s="20"/>
      <c r="S5268" s="20"/>
    </row>
    <row r="5269">
      <c r="A5269" s="10"/>
      <c r="B5269" s="11"/>
      <c r="C5269" s="10"/>
      <c r="D5269" s="13"/>
      <c r="E5269" s="14"/>
      <c r="F5269" s="14"/>
      <c r="G5269" s="14"/>
      <c r="H5269" s="10"/>
      <c r="I5269" s="10"/>
      <c r="J5269" s="10"/>
      <c r="K5269" s="46"/>
      <c r="L5269" s="10"/>
      <c r="M5269" s="44" t="s">
        <v>10178</v>
      </c>
      <c r="N5269" s="45"/>
      <c r="O5269" s="20"/>
      <c r="P5269" s="20"/>
      <c r="Q5269" s="20"/>
      <c r="R5269" s="20"/>
      <c r="S5269" s="20"/>
    </row>
    <row r="5270">
      <c r="A5270" s="23"/>
      <c r="B5270" s="21"/>
      <c r="C5270" s="23"/>
      <c r="D5270" s="24"/>
      <c r="E5270" s="14"/>
      <c r="F5270" s="14"/>
      <c r="G5270" s="14"/>
      <c r="H5270" s="23"/>
      <c r="I5270" s="23"/>
      <c r="J5270" s="23"/>
      <c r="K5270" s="30"/>
      <c r="L5270" s="23"/>
      <c r="M5270" s="50" t="s">
        <v>10178</v>
      </c>
      <c r="N5270" s="51"/>
      <c r="O5270" s="20"/>
      <c r="P5270" s="20"/>
      <c r="Q5270" s="20"/>
      <c r="R5270" s="20"/>
      <c r="S5270" s="20"/>
    </row>
    <row r="5271">
      <c r="A5271" s="10"/>
      <c r="B5271" s="11"/>
      <c r="C5271" s="10"/>
      <c r="D5271" s="13"/>
      <c r="E5271" s="14"/>
      <c r="F5271" s="14"/>
      <c r="G5271" s="14"/>
      <c r="H5271" s="10"/>
      <c r="I5271" s="10"/>
      <c r="J5271" s="10"/>
      <c r="K5271" s="46"/>
      <c r="L5271" s="10"/>
      <c r="M5271" s="44" t="s">
        <v>10178</v>
      </c>
      <c r="N5271" s="45"/>
      <c r="O5271" s="20"/>
      <c r="P5271" s="20"/>
      <c r="Q5271" s="20"/>
      <c r="R5271" s="20"/>
      <c r="S5271" s="20"/>
    </row>
    <row r="5272">
      <c r="A5272" s="23"/>
      <c r="B5272" s="21"/>
      <c r="C5272" s="23"/>
      <c r="D5272" s="24"/>
      <c r="E5272" s="14"/>
      <c r="F5272" s="14"/>
      <c r="G5272" s="14"/>
      <c r="H5272" s="23"/>
      <c r="I5272" s="23"/>
      <c r="J5272" s="23"/>
      <c r="K5272" s="30"/>
      <c r="L5272" s="23"/>
      <c r="M5272" s="50" t="s">
        <v>10178</v>
      </c>
      <c r="N5272" s="51"/>
      <c r="O5272" s="20"/>
      <c r="P5272" s="20"/>
      <c r="Q5272" s="20"/>
      <c r="R5272" s="20"/>
      <c r="S5272" s="20"/>
    </row>
    <row r="5273">
      <c r="A5273" s="10"/>
      <c r="B5273" s="11"/>
      <c r="C5273" s="10"/>
      <c r="D5273" s="13"/>
      <c r="E5273" s="14"/>
      <c r="F5273" s="14"/>
      <c r="G5273" s="14"/>
      <c r="H5273" s="10"/>
      <c r="I5273" s="10"/>
      <c r="J5273" s="10"/>
      <c r="K5273" s="46"/>
      <c r="L5273" s="10"/>
      <c r="M5273" s="44" t="s">
        <v>10178</v>
      </c>
      <c r="N5273" s="45"/>
      <c r="O5273" s="20"/>
      <c r="P5273" s="20"/>
      <c r="Q5273" s="20"/>
      <c r="R5273" s="20"/>
      <c r="S5273" s="20"/>
    </row>
    <row r="5274">
      <c r="A5274" s="23"/>
      <c r="B5274" s="21"/>
      <c r="C5274" s="23"/>
      <c r="D5274" s="24"/>
      <c r="E5274" s="14"/>
      <c r="F5274" s="14"/>
      <c r="G5274" s="14"/>
      <c r="H5274" s="23"/>
      <c r="I5274" s="23"/>
      <c r="J5274" s="23"/>
      <c r="K5274" s="30"/>
      <c r="L5274" s="23"/>
      <c r="M5274" s="50" t="s">
        <v>10178</v>
      </c>
      <c r="N5274" s="51"/>
      <c r="O5274" s="20"/>
      <c r="P5274" s="20"/>
      <c r="Q5274" s="20"/>
      <c r="R5274" s="20"/>
      <c r="S5274" s="20"/>
    </row>
    <row r="5275">
      <c r="A5275" s="10"/>
      <c r="B5275" s="11"/>
      <c r="C5275" s="10"/>
      <c r="D5275" s="13"/>
      <c r="E5275" s="14"/>
      <c r="F5275" s="14"/>
      <c r="G5275" s="14"/>
      <c r="H5275" s="10"/>
      <c r="I5275" s="10"/>
      <c r="J5275" s="10"/>
      <c r="K5275" s="46"/>
      <c r="L5275" s="10"/>
      <c r="M5275" s="44" t="s">
        <v>10178</v>
      </c>
      <c r="N5275" s="45"/>
      <c r="O5275" s="20"/>
      <c r="P5275" s="20"/>
      <c r="Q5275" s="20"/>
      <c r="R5275" s="20"/>
      <c r="S5275" s="20"/>
    </row>
    <row r="5276">
      <c r="A5276" s="23"/>
      <c r="B5276" s="21"/>
      <c r="C5276" s="23"/>
      <c r="D5276" s="24"/>
      <c r="E5276" s="14"/>
      <c r="F5276" s="14"/>
      <c r="G5276" s="14"/>
      <c r="H5276" s="23"/>
      <c r="I5276" s="23"/>
      <c r="J5276" s="23"/>
      <c r="K5276" s="30"/>
      <c r="L5276" s="23"/>
      <c r="M5276" s="50" t="s">
        <v>10178</v>
      </c>
      <c r="N5276" s="51"/>
      <c r="O5276" s="20"/>
      <c r="P5276" s="20"/>
      <c r="Q5276" s="20"/>
      <c r="R5276" s="20"/>
      <c r="S5276" s="20"/>
    </row>
    <row r="5277">
      <c r="A5277" s="10"/>
      <c r="B5277" s="11"/>
      <c r="C5277" s="10"/>
      <c r="D5277" s="13"/>
      <c r="E5277" s="14"/>
      <c r="F5277" s="14"/>
      <c r="G5277" s="14"/>
      <c r="H5277" s="10"/>
      <c r="I5277" s="10"/>
      <c r="J5277" s="10"/>
      <c r="K5277" s="46"/>
      <c r="L5277" s="10"/>
      <c r="M5277" s="44" t="s">
        <v>10178</v>
      </c>
      <c r="N5277" s="45"/>
      <c r="O5277" s="20"/>
      <c r="P5277" s="20"/>
      <c r="Q5277" s="20"/>
      <c r="R5277" s="20"/>
      <c r="S5277" s="20"/>
    </row>
    <row r="5278">
      <c r="A5278" s="23"/>
      <c r="B5278" s="21"/>
      <c r="C5278" s="23"/>
      <c r="D5278" s="24"/>
      <c r="E5278" s="14"/>
      <c r="F5278" s="14"/>
      <c r="G5278" s="14"/>
      <c r="H5278" s="23"/>
      <c r="I5278" s="23"/>
      <c r="J5278" s="23"/>
      <c r="K5278" s="30"/>
      <c r="L5278" s="23"/>
      <c r="M5278" s="50" t="s">
        <v>10178</v>
      </c>
      <c r="N5278" s="51"/>
      <c r="O5278" s="20"/>
      <c r="P5278" s="20"/>
      <c r="Q5278" s="20"/>
      <c r="R5278" s="20"/>
      <c r="S5278" s="20"/>
    </row>
    <row r="5279">
      <c r="A5279" s="10"/>
      <c r="B5279" s="11"/>
      <c r="C5279" s="10"/>
      <c r="D5279" s="13"/>
      <c r="E5279" s="14"/>
      <c r="F5279" s="14"/>
      <c r="G5279" s="14"/>
      <c r="H5279" s="10"/>
      <c r="I5279" s="10"/>
      <c r="J5279" s="10"/>
      <c r="K5279" s="46"/>
      <c r="L5279" s="10"/>
      <c r="M5279" s="44" t="s">
        <v>10178</v>
      </c>
      <c r="N5279" s="45"/>
      <c r="O5279" s="20"/>
      <c r="P5279" s="20"/>
      <c r="Q5279" s="20"/>
      <c r="R5279" s="20"/>
      <c r="S5279" s="20"/>
    </row>
    <row r="5280">
      <c r="A5280" s="23"/>
      <c r="B5280" s="21"/>
      <c r="C5280" s="23"/>
      <c r="D5280" s="24"/>
      <c r="E5280" s="14"/>
      <c r="F5280" s="14"/>
      <c r="G5280" s="14"/>
      <c r="H5280" s="23"/>
      <c r="I5280" s="23"/>
      <c r="J5280" s="23"/>
      <c r="K5280" s="30"/>
      <c r="L5280" s="23"/>
      <c r="M5280" s="50" t="s">
        <v>10178</v>
      </c>
      <c r="N5280" s="51"/>
      <c r="O5280" s="20"/>
      <c r="P5280" s="20"/>
      <c r="Q5280" s="20"/>
      <c r="R5280" s="20"/>
      <c r="S5280" s="20"/>
    </row>
    <row r="5281">
      <c r="A5281" s="10"/>
      <c r="B5281" s="11"/>
      <c r="C5281" s="10"/>
      <c r="D5281" s="13"/>
      <c r="E5281" s="14"/>
      <c r="F5281" s="14"/>
      <c r="G5281" s="14"/>
      <c r="H5281" s="10"/>
      <c r="I5281" s="10"/>
      <c r="J5281" s="10"/>
      <c r="K5281" s="46"/>
      <c r="L5281" s="10"/>
      <c r="M5281" s="44" t="s">
        <v>10178</v>
      </c>
      <c r="N5281" s="45"/>
      <c r="O5281" s="20"/>
      <c r="P5281" s="20"/>
      <c r="Q5281" s="20"/>
      <c r="R5281" s="20"/>
      <c r="S5281" s="20"/>
    </row>
    <row r="5282">
      <c r="A5282" s="23"/>
      <c r="B5282" s="21"/>
      <c r="C5282" s="23"/>
      <c r="D5282" s="24"/>
      <c r="E5282" s="14"/>
      <c r="F5282" s="14"/>
      <c r="G5282" s="14"/>
      <c r="H5282" s="23"/>
      <c r="I5282" s="23"/>
      <c r="J5282" s="23"/>
      <c r="K5282" s="30"/>
      <c r="L5282" s="23"/>
      <c r="M5282" s="50" t="s">
        <v>10178</v>
      </c>
      <c r="N5282" s="51"/>
      <c r="O5282" s="20"/>
      <c r="P5282" s="20"/>
      <c r="Q5282" s="20"/>
      <c r="R5282" s="20"/>
      <c r="S5282" s="20"/>
    </row>
    <row r="5283">
      <c r="A5283" s="10"/>
      <c r="B5283" s="11"/>
      <c r="C5283" s="10"/>
      <c r="D5283" s="13"/>
      <c r="E5283" s="14"/>
      <c r="F5283" s="14"/>
      <c r="G5283" s="14"/>
      <c r="H5283" s="10"/>
      <c r="I5283" s="10"/>
      <c r="J5283" s="10"/>
      <c r="K5283" s="46"/>
      <c r="L5283" s="10"/>
      <c r="M5283" s="44" t="s">
        <v>10178</v>
      </c>
      <c r="N5283" s="45"/>
      <c r="O5283" s="20"/>
      <c r="P5283" s="20"/>
      <c r="Q5283" s="20"/>
      <c r="R5283" s="20"/>
      <c r="S5283" s="20"/>
    </row>
    <row r="5284">
      <c r="A5284" s="23"/>
      <c r="B5284" s="21"/>
      <c r="C5284" s="23"/>
      <c r="D5284" s="24"/>
      <c r="E5284" s="14"/>
      <c r="F5284" s="14"/>
      <c r="G5284" s="14"/>
      <c r="H5284" s="23"/>
      <c r="I5284" s="23"/>
      <c r="J5284" s="23"/>
      <c r="K5284" s="30"/>
      <c r="L5284" s="23"/>
      <c r="M5284" s="50" t="s">
        <v>10178</v>
      </c>
      <c r="N5284" s="51"/>
      <c r="O5284" s="20"/>
      <c r="P5284" s="20"/>
      <c r="Q5284" s="20"/>
      <c r="R5284" s="20"/>
      <c r="S5284" s="20"/>
    </row>
    <row r="5285">
      <c r="A5285" s="10"/>
      <c r="B5285" s="11"/>
      <c r="C5285" s="10"/>
      <c r="D5285" s="13"/>
      <c r="E5285" s="14"/>
      <c r="F5285" s="14"/>
      <c r="G5285" s="14"/>
      <c r="H5285" s="10"/>
      <c r="I5285" s="10"/>
      <c r="J5285" s="10"/>
      <c r="K5285" s="46"/>
      <c r="L5285" s="10"/>
      <c r="M5285" s="44" t="s">
        <v>10178</v>
      </c>
      <c r="N5285" s="45"/>
      <c r="O5285" s="20"/>
      <c r="P5285" s="20"/>
      <c r="Q5285" s="20"/>
      <c r="R5285" s="20"/>
      <c r="S5285" s="20"/>
    </row>
    <row r="5286">
      <c r="A5286" s="23"/>
      <c r="B5286" s="21"/>
      <c r="C5286" s="23"/>
      <c r="D5286" s="24"/>
      <c r="E5286" s="14"/>
      <c r="F5286" s="14"/>
      <c r="G5286" s="14"/>
      <c r="H5286" s="23"/>
      <c r="I5286" s="23"/>
      <c r="J5286" s="23"/>
      <c r="K5286" s="30"/>
      <c r="L5286" s="23"/>
      <c r="M5286" s="50" t="s">
        <v>10178</v>
      </c>
      <c r="N5286" s="51"/>
      <c r="O5286" s="20"/>
      <c r="P5286" s="20"/>
      <c r="Q5286" s="20"/>
      <c r="R5286" s="20"/>
      <c r="S5286" s="20"/>
    </row>
    <row r="5287">
      <c r="A5287" s="10"/>
      <c r="B5287" s="11"/>
      <c r="C5287" s="10"/>
      <c r="D5287" s="13"/>
      <c r="E5287" s="14"/>
      <c r="F5287" s="14"/>
      <c r="G5287" s="14"/>
      <c r="H5287" s="10"/>
      <c r="I5287" s="10"/>
      <c r="J5287" s="10"/>
      <c r="K5287" s="46"/>
      <c r="L5287" s="10"/>
      <c r="M5287" s="44" t="s">
        <v>10178</v>
      </c>
      <c r="N5287" s="45"/>
      <c r="O5287" s="20"/>
      <c r="P5287" s="20"/>
      <c r="Q5287" s="20"/>
      <c r="R5287" s="20"/>
      <c r="S5287" s="20"/>
    </row>
    <row r="5288">
      <c r="A5288" s="23"/>
      <c r="B5288" s="21"/>
      <c r="C5288" s="23"/>
      <c r="D5288" s="24"/>
      <c r="E5288" s="14"/>
      <c r="F5288" s="14"/>
      <c r="G5288" s="14"/>
      <c r="H5288" s="23"/>
      <c r="I5288" s="23"/>
      <c r="J5288" s="23"/>
      <c r="K5288" s="30"/>
      <c r="L5288" s="23"/>
      <c r="M5288" s="50" t="s">
        <v>10178</v>
      </c>
      <c r="N5288" s="51"/>
      <c r="O5288" s="20"/>
      <c r="P5288" s="20"/>
      <c r="Q5288" s="20"/>
      <c r="R5288" s="20"/>
      <c r="S5288" s="20"/>
    </row>
    <row r="5289">
      <c r="A5289" s="10"/>
      <c r="B5289" s="11"/>
      <c r="C5289" s="10"/>
      <c r="D5289" s="13"/>
      <c r="E5289" s="14"/>
      <c r="F5289" s="14"/>
      <c r="G5289" s="14"/>
      <c r="H5289" s="10"/>
      <c r="I5289" s="10"/>
      <c r="J5289" s="10"/>
      <c r="K5289" s="46"/>
      <c r="L5289" s="10"/>
      <c r="M5289" s="44" t="s">
        <v>10178</v>
      </c>
      <c r="N5289" s="45"/>
      <c r="O5289" s="20"/>
      <c r="P5289" s="20"/>
      <c r="Q5289" s="20"/>
      <c r="R5289" s="20"/>
      <c r="S5289" s="20"/>
    </row>
    <row r="5290">
      <c r="A5290" s="23"/>
      <c r="B5290" s="21"/>
      <c r="C5290" s="23"/>
      <c r="D5290" s="24"/>
      <c r="E5290" s="14"/>
      <c r="F5290" s="14"/>
      <c r="G5290" s="14"/>
      <c r="H5290" s="23"/>
      <c r="I5290" s="23"/>
      <c r="J5290" s="23"/>
      <c r="K5290" s="30"/>
      <c r="L5290" s="23"/>
      <c r="M5290" s="50" t="s">
        <v>10178</v>
      </c>
      <c r="N5290" s="51"/>
      <c r="O5290" s="20"/>
      <c r="P5290" s="20"/>
      <c r="Q5290" s="20"/>
      <c r="R5290" s="20"/>
      <c r="S5290" s="20"/>
    </row>
    <row r="5291">
      <c r="A5291" s="10"/>
      <c r="B5291" s="11"/>
      <c r="C5291" s="10"/>
      <c r="D5291" s="13"/>
      <c r="E5291" s="14"/>
      <c r="F5291" s="14"/>
      <c r="G5291" s="14"/>
      <c r="H5291" s="10"/>
      <c r="I5291" s="10"/>
      <c r="J5291" s="10"/>
      <c r="K5291" s="46"/>
      <c r="L5291" s="10"/>
      <c r="M5291" s="44" t="s">
        <v>10178</v>
      </c>
      <c r="N5291" s="45"/>
      <c r="O5291" s="20"/>
      <c r="P5291" s="20"/>
      <c r="Q5291" s="20"/>
      <c r="R5291" s="20"/>
      <c r="S5291" s="20"/>
    </row>
    <row r="5292">
      <c r="A5292" s="23"/>
      <c r="B5292" s="21"/>
      <c r="C5292" s="23"/>
      <c r="D5292" s="24"/>
      <c r="E5292" s="14"/>
      <c r="F5292" s="14"/>
      <c r="G5292" s="14"/>
      <c r="H5292" s="23"/>
      <c r="I5292" s="23"/>
      <c r="J5292" s="23"/>
      <c r="K5292" s="30"/>
      <c r="L5292" s="23"/>
      <c r="M5292" s="50" t="s">
        <v>10178</v>
      </c>
      <c r="N5292" s="51"/>
      <c r="O5292" s="20"/>
      <c r="P5292" s="20"/>
      <c r="Q5292" s="20"/>
      <c r="R5292" s="20"/>
      <c r="S5292" s="20"/>
    </row>
    <row r="5293">
      <c r="A5293" s="10"/>
      <c r="B5293" s="11"/>
      <c r="C5293" s="10"/>
      <c r="D5293" s="13"/>
      <c r="E5293" s="14"/>
      <c r="F5293" s="14"/>
      <c r="G5293" s="14"/>
      <c r="H5293" s="10"/>
      <c r="I5293" s="10"/>
      <c r="J5293" s="10"/>
      <c r="K5293" s="46"/>
      <c r="L5293" s="10"/>
      <c r="M5293" s="44" t="s">
        <v>10178</v>
      </c>
      <c r="N5293" s="45"/>
      <c r="O5293" s="20"/>
      <c r="P5293" s="20"/>
      <c r="Q5293" s="20"/>
      <c r="R5293" s="20"/>
      <c r="S5293" s="20"/>
    </row>
    <row r="5294">
      <c r="A5294" s="23"/>
      <c r="B5294" s="21"/>
      <c r="C5294" s="23"/>
      <c r="D5294" s="24"/>
      <c r="E5294" s="14"/>
      <c r="F5294" s="14"/>
      <c r="G5294" s="14"/>
      <c r="H5294" s="23"/>
      <c r="I5294" s="23"/>
      <c r="J5294" s="23"/>
      <c r="K5294" s="30"/>
      <c r="L5294" s="23"/>
      <c r="M5294" s="50" t="s">
        <v>10178</v>
      </c>
      <c r="N5294" s="51"/>
      <c r="O5294" s="20"/>
      <c r="P5294" s="20"/>
      <c r="Q5294" s="20"/>
      <c r="R5294" s="20"/>
      <c r="S5294" s="20"/>
    </row>
    <row r="5295">
      <c r="A5295" s="10"/>
      <c r="B5295" s="11"/>
      <c r="C5295" s="10"/>
      <c r="D5295" s="13"/>
      <c r="E5295" s="14"/>
      <c r="F5295" s="14"/>
      <c r="G5295" s="14"/>
      <c r="H5295" s="10"/>
      <c r="I5295" s="10"/>
      <c r="J5295" s="10"/>
      <c r="K5295" s="46"/>
      <c r="L5295" s="10"/>
      <c r="M5295" s="44" t="s">
        <v>10178</v>
      </c>
      <c r="N5295" s="45"/>
      <c r="O5295" s="20"/>
      <c r="P5295" s="20"/>
      <c r="Q5295" s="20"/>
      <c r="R5295" s="20"/>
      <c r="S5295" s="20"/>
    </row>
    <row r="5296">
      <c r="A5296" s="23"/>
      <c r="B5296" s="21"/>
      <c r="C5296" s="23"/>
      <c r="D5296" s="24"/>
      <c r="E5296" s="14"/>
      <c r="F5296" s="14"/>
      <c r="G5296" s="14"/>
      <c r="H5296" s="23"/>
      <c r="I5296" s="23"/>
      <c r="J5296" s="23"/>
      <c r="K5296" s="30"/>
      <c r="L5296" s="23"/>
      <c r="M5296" s="50" t="s">
        <v>10178</v>
      </c>
      <c r="N5296" s="51"/>
      <c r="O5296" s="20"/>
      <c r="P5296" s="20"/>
      <c r="Q5296" s="20"/>
      <c r="R5296" s="20"/>
      <c r="S5296" s="20"/>
    </row>
    <row r="5297">
      <c r="A5297" s="10"/>
      <c r="B5297" s="11"/>
      <c r="C5297" s="10"/>
      <c r="D5297" s="13"/>
      <c r="E5297" s="14"/>
      <c r="F5297" s="14"/>
      <c r="G5297" s="14"/>
      <c r="H5297" s="10"/>
      <c r="I5297" s="10"/>
      <c r="J5297" s="10"/>
      <c r="K5297" s="46"/>
      <c r="L5297" s="10"/>
      <c r="M5297" s="44" t="s">
        <v>10178</v>
      </c>
      <c r="N5297" s="45"/>
      <c r="O5297" s="20"/>
      <c r="P5297" s="20"/>
      <c r="Q5297" s="20"/>
      <c r="R5297" s="20"/>
      <c r="S5297" s="20"/>
    </row>
    <row r="5298">
      <c r="A5298" s="23"/>
      <c r="B5298" s="21"/>
      <c r="C5298" s="23"/>
      <c r="D5298" s="24"/>
      <c r="E5298" s="14"/>
      <c r="F5298" s="14"/>
      <c r="G5298" s="14"/>
      <c r="H5298" s="23"/>
      <c r="I5298" s="23"/>
      <c r="J5298" s="23"/>
      <c r="K5298" s="30"/>
      <c r="L5298" s="23"/>
      <c r="M5298" s="50" t="s">
        <v>10178</v>
      </c>
      <c r="N5298" s="51"/>
      <c r="O5298" s="20"/>
      <c r="P5298" s="20"/>
      <c r="Q5298" s="20"/>
      <c r="R5298" s="20"/>
      <c r="S5298" s="20"/>
    </row>
    <row r="5299">
      <c r="A5299" s="10"/>
      <c r="B5299" s="11"/>
      <c r="C5299" s="10"/>
      <c r="D5299" s="13"/>
      <c r="E5299" s="14"/>
      <c r="F5299" s="14"/>
      <c r="G5299" s="14"/>
      <c r="H5299" s="10"/>
      <c r="I5299" s="10"/>
      <c r="J5299" s="10"/>
      <c r="K5299" s="46"/>
      <c r="L5299" s="10"/>
      <c r="M5299" s="44" t="s">
        <v>10178</v>
      </c>
      <c r="N5299" s="45"/>
      <c r="O5299" s="20"/>
      <c r="P5299" s="20"/>
      <c r="Q5299" s="20"/>
      <c r="R5299" s="20"/>
      <c r="S5299" s="20"/>
    </row>
    <row r="5300">
      <c r="A5300" s="23"/>
      <c r="B5300" s="21"/>
      <c r="C5300" s="23"/>
      <c r="D5300" s="24"/>
      <c r="E5300" s="14"/>
      <c r="F5300" s="14"/>
      <c r="G5300" s="14"/>
      <c r="H5300" s="23"/>
      <c r="I5300" s="23"/>
      <c r="J5300" s="23"/>
      <c r="K5300" s="30"/>
      <c r="L5300" s="23"/>
      <c r="M5300" s="50" t="s">
        <v>10178</v>
      </c>
      <c r="N5300" s="51"/>
      <c r="O5300" s="20"/>
      <c r="P5300" s="20"/>
      <c r="Q5300" s="20"/>
      <c r="R5300" s="20"/>
      <c r="S5300" s="20"/>
    </row>
    <row r="5301">
      <c r="A5301" s="10"/>
      <c r="B5301" s="11"/>
      <c r="C5301" s="10"/>
      <c r="D5301" s="13"/>
      <c r="E5301" s="14"/>
      <c r="F5301" s="14"/>
      <c r="G5301" s="14"/>
      <c r="H5301" s="10"/>
      <c r="I5301" s="10"/>
      <c r="J5301" s="10"/>
      <c r="K5301" s="46"/>
      <c r="L5301" s="10"/>
      <c r="M5301" s="44" t="s">
        <v>10178</v>
      </c>
      <c r="N5301" s="45"/>
      <c r="O5301" s="20"/>
      <c r="P5301" s="20"/>
      <c r="Q5301" s="20"/>
      <c r="R5301" s="20"/>
      <c r="S5301" s="20"/>
    </row>
    <row r="5302">
      <c r="A5302" s="23"/>
      <c r="B5302" s="21"/>
      <c r="C5302" s="23"/>
      <c r="D5302" s="24"/>
      <c r="E5302" s="14"/>
      <c r="F5302" s="14"/>
      <c r="G5302" s="14"/>
      <c r="H5302" s="23"/>
      <c r="I5302" s="23"/>
      <c r="J5302" s="23"/>
      <c r="K5302" s="30"/>
      <c r="L5302" s="23"/>
      <c r="M5302" s="50" t="s">
        <v>10178</v>
      </c>
      <c r="N5302" s="51"/>
      <c r="O5302" s="20"/>
      <c r="P5302" s="20"/>
      <c r="Q5302" s="20"/>
      <c r="R5302" s="20"/>
      <c r="S5302" s="20"/>
    </row>
    <row r="5303">
      <c r="A5303" s="10"/>
      <c r="B5303" s="11"/>
      <c r="C5303" s="10"/>
      <c r="D5303" s="13"/>
      <c r="E5303" s="14"/>
      <c r="F5303" s="14"/>
      <c r="G5303" s="14"/>
      <c r="H5303" s="10"/>
      <c r="I5303" s="10"/>
      <c r="J5303" s="10"/>
      <c r="K5303" s="46"/>
      <c r="L5303" s="10"/>
      <c r="M5303" s="44" t="s">
        <v>10178</v>
      </c>
      <c r="N5303" s="45"/>
      <c r="O5303" s="20"/>
      <c r="P5303" s="20"/>
      <c r="Q5303" s="20"/>
      <c r="R5303" s="20"/>
      <c r="S5303" s="20"/>
    </row>
    <row r="5304">
      <c r="A5304" s="23"/>
      <c r="B5304" s="21"/>
      <c r="C5304" s="23"/>
      <c r="D5304" s="24"/>
      <c r="E5304" s="14"/>
      <c r="F5304" s="14"/>
      <c r="G5304" s="14"/>
      <c r="H5304" s="23"/>
      <c r="I5304" s="23"/>
      <c r="J5304" s="23"/>
      <c r="K5304" s="30"/>
      <c r="L5304" s="23"/>
      <c r="M5304" s="50" t="s">
        <v>10178</v>
      </c>
      <c r="N5304" s="51"/>
      <c r="O5304" s="20"/>
      <c r="P5304" s="20"/>
      <c r="Q5304" s="20"/>
      <c r="R5304" s="20"/>
      <c r="S5304" s="20"/>
    </row>
    <row r="5305">
      <c r="A5305" s="10"/>
      <c r="B5305" s="11"/>
      <c r="C5305" s="10"/>
      <c r="D5305" s="13"/>
      <c r="E5305" s="14"/>
      <c r="F5305" s="14"/>
      <c r="G5305" s="14"/>
      <c r="H5305" s="10"/>
      <c r="I5305" s="10"/>
      <c r="J5305" s="10"/>
      <c r="K5305" s="46"/>
      <c r="L5305" s="10"/>
      <c r="M5305" s="44" t="s">
        <v>10178</v>
      </c>
      <c r="N5305" s="45"/>
      <c r="O5305" s="20"/>
      <c r="P5305" s="20"/>
      <c r="Q5305" s="20"/>
      <c r="R5305" s="20"/>
      <c r="S5305" s="20"/>
    </row>
    <row r="5306">
      <c r="A5306" s="23"/>
      <c r="B5306" s="21"/>
      <c r="C5306" s="23"/>
      <c r="D5306" s="24"/>
      <c r="E5306" s="14"/>
      <c r="F5306" s="14"/>
      <c r="G5306" s="14"/>
      <c r="H5306" s="23"/>
      <c r="I5306" s="23"/>
      <c r="J5306" s="23"/>
      <c r="K5306" s="30"/>
      <c r="L5306" s="23"/>
      <c r="M5306" s="50" t="s">
        <v>10178</v>
      </c>
      <c r="N5306" s="51"/>
      <c r="O5306" s="20"/>
      <c r="P5306" s="20"/>
      <c r="Q5306" s="20"/>
      <c r="R5306" s="20"/>
      <c r="S5306" s="20"/>
    </row>
    <row r="5307">
      <c r="A5307" s="10"/>
      <c r="B5307" s="11"/>
      <c r="C5307" s="10"/>
      <c r="D5307" s="13"/>
      <c r="E5307" s="14"/>
      <c r="F5307" s="14"/>
      <c r="G5307" s="14"/>
      <c r="H5307" s="10"/>
      <c r="I5307" s="10"/>
      <c r="J5307" s="10"/>
      <c r="K5307" s="46"/>
      <c r="L5307" s="10"/>
      <c r="M5307" s="44" t="s">
        <v>10178</v>
      </c>
      <c r="N5307" s="45"/>
      <c r="O5307" s="20"/>
      <c r="P5307" s="20"/>
      <c r="Q5307" s="20"/>
      <c r="R5307" s="20"/>
      <c r="S5307" s="20"/>
    </row>
    <row r="5308">
      <c r="A5308" s="23"/>
      <c r="B5308" s="21"/>
      <c r="C5308" s="23"/>
      <c r="D5308" s="24"/>
      <c r="E5308" s="14"/>
      <c r="F5308" s="14"/>
      <c r="G5308" s="14"/>
      <c r="H5308" s="23"/>
      <c r="I5308" s="23"/>
      <c r="J5308" s="23"/>
      <c r="K5308" s="30"/>
      <c r="L5308" s="23"/>
      <c r="M5308" s="50" t="s">
        <v>10178</v>
      </c>
      <c r="N5308" s="51"/>
      <c r="O5308" s="20"/>
      <c r="P5308" s="20"/>
      <c r="Q5308" s="20"/>
      <c r="R5308" s="20"/>
      <c r="S5308" s="20"/>
    </row>
    <row r="5309">
      <c r="A5309" s="10"/>
      <c r="B5309" s="11"/>
      <c r="C5309" s="10"/>
      <c r="D5309" s="13"/>
      <c r="E5309" s="14"/>
      <c r="F5309" s="14"/>
      <c r="G5309" s="14"/>
      <c r="H5309" s="10"/>
      <c r="I5309" s="10"/>
      <c r="J5309" s="10"/>
      <c r="K5309" s="46"/>
      <c r="L5309" s="10"/>
      <c r="M5309" s="44" t="s">
        <v>10178</v>
      </c>
      <c r="N5309" s="45"/>
      <c r="O5309" s="20"/>
      <c r="P5309" s="20"/>
      <c r="Q5309" s="20"/>
      <c r="R5309" s="20"/>
      <c r="S5309" s="20"/>
    </row>
    <row r="5310">
      <c r="A5310" s="23"/>
      <c r="B5310" s="21"/>
      <c r="C5310" s="23"/>
      <c r="D5310" s="24"/>
      <c r="E5310" s="14"/>
      <c r="F5310" s="14"/>
      <c r="G5310" s="14"/>
      <c r="H5310" s="23"/>
      <c r="I5310" s="23"/>
      <c r="J5310" s="23"/>
      <c r="K5310" s="30"/>
      <c r="L5310" s="23"/>
      <c r="M5310" s="50" t="s">
        <v>10178</v>
      </c>
      <c r="N5310" s="51"/>
      <c r="O5310" s="20"/>
      <c r="P5310" s="20"/>
      <c r="Q5310" s="20"/>
      <c r="R5310" s="20"/>
      <c r="S5310" s="20"/>
    </row>
    <row r="5311">
      <c r="A5311" s="10"/>
      <c r="B5311" s="11"/>
      <c r="C5311" s="10"/>
      <c r="D5311" s="13"/>
      <c r="E5311" s="14"/>
      <c r="F5311" s="14"/>
      <c r="G5311" s="14"/>
      <c r="H5311" s="10"/>
      <c r="I5311" s="10"/>
      <c r="J5311" s="10"/>
      <c r="K5311" s="46"/>
      <c r="L5311" s="10"/>
      <c r="M5311" s="44" t="s">
        <v>10178</v>
      </c>
      <c r="N5311" s="45"/>
      <c r="O5311" s="20"/>
      <c r="P5311" s="20"/>
      <c r="Q5311" s="20"/>
      <c r="R5311" s="20"/>
      <c r="S5311" s="20"/>
    </row>
    <row r="5312">
      <c r="A5312" s="23"/>
      <c r="B5312" s="21"/>
      <c r="C5312" s="23"/>
      <c r="D5312" s="24"/>
      <c r="E5312" s="14"/>
      <c r="F5312" s="14"/>
      <c r="G5312" s="14"/>
      <c r="H5312" s="23"/>
      <c r="I5312" s="23"/>
      <c r="J5312" s="23"/>
      <c r="K5312" s="30"/>
      <c r="L5312" s="23"/>
      <c r="M5312" s="50" t="s">
        <v>10178</v>
      </c>
      <c r="N5312" s="51"/>
      <c r="O5312" s="20"/>
      <c r="P5312" s="20"/>
      <c r="Q5312" s="20"/>
      <c r="R5312" s="20"/>
      <c r="S5312" s="20"/>
    </row>
    <row r="5313">
      <c r="A5313" s="10"/>
      <c r="B5313" s="11"/>
      <c r="C5313" s="10"/>
      <c r="D5313" s="13"/>
      <c r="E5313" s="14"/>
      <c r="F5313" s="14"/>
      <c r="G5313" s="14"/>
      <c r="H5313" s="10"/>
      <c r="I5313" s="10"/>
      <c r="J5313" s="10"/>
      <c r="K5313" s="46"/>
      <c r="L5313" s="10"/>
      <c r="M5313" s="44" t="s">
        <v>10178</v>
      </c>
      <c r="N5313" s="45"/>
      <c r="O5313" s="20"/>
      <c r="P5313" s="20"/>
      <c r="Q5313" s="20"/>
      <c r="R5313" s="20"/>
      <c r="S5313" s="20"/>
    </row>
    <row r="5314">
      <c r="A5314" s="23"/>
      <c r="B5314" s="21"/>
      <c r="C5314" s="23"/>
      <c r="D5314" s="24"/>
      <c r="E5314" s="14"/>
      <c r="F5314" s="14"/>
      <c r="G5314" s="14"/>
      <c r="H5314" s="23"/>
      <c r="I5314" s="23"/>
      <c r="J5314" s="23"/>
      <c r="K5314" s="30"/>
      <c r="L5314" s="23"/>
      <c r="M5314" s="50" t="s">
        <v>10178</v>
      </c>
      <c r="N5314" s="51"/>
      <c r="O5314" s="20"/>
      <c r="P5314" s="20"/>
      <c r="Q5314" s="20"/>
      <c r="R5314" s="20"/>
      <c r="S5314" s="20"/>
    </row>
    <row r="5315">
      <c r="A5315" s="10"/>
      <c r="B5315" s="11"/>
      <c r="C5315" s="10"/>
      <c r="D5315" s="13"/>
      <c r="E5315" s="14"/>
      <c r="F5315" s="14"/>
      <c r="G5315" s="14"/>
      <c r="H5315" s="10"/>
      <c r="I5315" s="10"/>
      <c r="J5315" s="10"/>
      <c r="K5315" s="46"/>
      <c r="L5315" s="10"/>
      <c r="M5315" s="44" t="s">
        <v>10178</v>
      </c>
      <c r="N5315" s="45"/>
      <c r="O5315" s="20"/>
      <c r="P5315" s="20"/>
      <c r="Q5315" s="20"/>
      <c r="R5315" s="20"/>
      <c r="S5315" s="20"/>
    </row>
    <row r="5316">
      <c r="A5316" s="23"/>
      <c r="B5316" s="21"/>
      <c r="C5316" s="23"/>
      <c r="D5316" s="24"/>
      <c r="E5316" s="14"/>
      <c r="F5316" s="14"/>
      <c r="G5316" s="14"/>
      <c r="H5316" s="23"/>
      <c r="I5316" s="23"/>
      <c r="J5316" s="23"/>
      <c r="K5316" s="30"/>
      <c r="L5316" s="23"/>
      <c r="M5316" s="50" t="s">
        <v>10178</v>
      </c>
      <c r="N5316" s="51"/>
      <c r="O5316" s="20"/>
      <c r="P5316" s="20"/>
      <c r="Q5316" s="20"/>
      <c r="R5316" s="20"/>
      <c r="S5316" s="20"/>
    </row>
    <row r="5317">
      <c r="A5317" s="10"/>
      <c r="B5317" s="11"/>
      <c r="C5317" s="10"/>
      <c r="D5317" s="13"/>
      <c r="E5317" s="14"/>
      <c r="F5317" s="14"/>
      <c r="G5317" s="14"/>
      <c r="H5317" s="10"/>
      <c r="I5317" s="10"/>
      <c r="J5317" s="10"/>
      <c r="K5317" s="46"/>
      <c r="L5317" s="10"/>
      <c r="M5317" s="44" t="s">
        <v>10178</v>
      </c>
      <c r="N5317" s="45"/>
      <c r="O5317" s="20"/>
      <c r="P5317" s="20"/>
      <c r="Q5317" s="20"/>
      <c r="R5317" s="20"/>
      <c r="S5317" s="20"/>
    </row>
    <row r="5318">
      <c r="A5318" s="23"/>
      <c r="B5318" s="21"/>
      <c r="C5318" s="23"/>
      <c r="D5318" s="24"/>
      <c r="E5318" s="14"/>
      <c r="F5318" s="14"/>
      <c r="G5318" s="14"/>
      <c r="H5318" s="23"/>
      <c r="I5318" s="23"/>
      <c r="J5318" s="23"/>
      <c r="K5318" s="30"/>
      <c r="L5318" s="23"/>
      <c r="M5318" s="50" t="s">
        <v>10178</v>
      </c>
      <c r="N5318" s="51"/>
      <c r="O5318" s="20"/>
      <c r="P5318" s="20"/>
      <c r="Q5318" s="20"/>
      <c r="R5318" s="20"/>
      <c r="S5318" s="20"/>
    </row>
    <row r="5319">
      <c r="A5319" s="10"/>
      <c r="B5319" s="11"/>
      <c r="C5319" s="10"/>
      <c r="D5319" s="13"/>
      <c r="E5319" s="14"/>
      <c r="F5319" s="14"/>
      <c r="G5319" s="14"/>
      <c r="H5319" s="10"/>
      <c r="I5319" s="10"/>
      <c r="J5319" s="10"/>
      <c r="K5319" s="46"/>
      <c r="L5319" s="10"/>
      <c r="M5319" s="44" t="s">
        <v>10178</v>
      </c>
      <c r="N5319" s="45"/>
      <c r="O5319" s="20"/>
      <c r="P5319" s="20"/>
      <c r="Q5319" s="20"/>
      <c r="R5319" s="20"/>
      <c r="S5319" s="20"/>
    </row>
    <row r="5320">
      <c r="A5320" s="23"/>
      <c r="B5320" s="21"/>
      <c r="C5320" s="23"/>
      <c r="D5320" s="24"/>
      <c r="E5320" s="14"/>
      <c r="F5320" s="14"/>
      <c r="G5320" s="14"/>
      <c r="H5320" s="23"/>
      <c r="I5320" s="23"/>
      <c r="J5320" s="23"/>
      <c r="K5320" s="30"/>
      <c r="L5320" s="23"/>
      <c r="M5320" s="50" t="s">
        <v>10178</v>
      </c>
      <c r="N5320" s="51"/>
      <c r="O5320" s="20"/>
      <c r="P5320" s="20"/>
      <c r="Q5320" s="20"/>
      <c r="R5320" s="20"/>
      <c r="S5320" s="20"/>
    </row>
    <row r="5321">
      <c r="A5321" s="10"/>
      <c r="B5321" s="11"/>
      <c r="C5321" s="10"/>
      <c r="D5321" s="13"/>
      <c r="E5321" s="14"/>
      <c r="F5321" s="14"/>
      <c r="G5321" s="14"/>
      <c r="H5321" s="10"/>
      <c r="I5321" s="10"/>
      <c r="J5321" s="10"/>
      <c r="K5321" s="46"/>
      <c r="L5321" s="10"/>
      <c r="M5321" s="44" t="s">
        <v>10178</v>
      </c>
      <c r="N5321" s="45"/>
      <c r="O5321" s="20"/>
      <c r="P5321" s="20"/>
      <c r="Q5321" s="20"/>
      <c r="R5321" s="20"/>
      <c r="S5321" s="20"/>
    </row>
    <row r="5322">
      <c r="A5322" s="23"/>
      <c r="B5322" s="21"/>
      <c r="C5322" s="23"/>
      <c r="D5322" s="24"/>
      <c r="E5322" s="14"/>
      <c r="F5322" s="14"/>
      <c r="G5322" s="14"/>
      <c r="H5322" s="23"/>
      <c r="I5322" s="23"/>
      <c r="J5322" s="23"/>
      <c r="K5322" s="30"/>
      <c r="L5322" s="23"/>
      <c r="M5322" s="50" t="s">
        <v>10178</v>
      </c>
      <c r="N5322" s="51"/>
      <c r="O5322" s="20"/>
      <c r="P5322" s="20"/>
      <c r="Q5322" s="20"/>
      <c r="R5322" s="20"/>
      <c r="S5322" s="20"/>
    </row>
    <row r="5323">
      <c r="A5323" s="10"/>
      <c r="B5323" s="11"/>
      <c r="C5323" s="10"/>
      <c r="D5323" s="13"/>
      <c r="E5323" s="14"/>
      <c r="F5323" s="14"/>
      <c r="G5323" s="14"/>
      <c r="H5323" s="10"/>
      <c r="I5323" s="10"/>
      <c r="J5323" s="10"/>
      <c r="K5323" s="46"/>
      <c r="L5323" s="10"/>
      <c r="M5323" s="44" t="s">
        <v>10178</v>
      </c>
      <c r="N5323" s="45"/>
      <c r="O5323" s="20"/>
      <c r="P5323" s="20"/>
      <c r="Q5323" s="20"/>
      <c r="R5323" s="20"/>
      <c r="S5323" s="20"/>
    </row>
    <row r="5324">
      <c r="A5324" s="23"/>
      <c r="B5324" s="21"/>
      <c r="C5324" s="23"/>
      <c r="D5324" s="24"/>
      <c r="E5324" s="14"/>
      <c r="F5324" s="14"/>
      <c r="G5324" s="14"/>
      <c r="H5324" s="23"/>
      <c r="I5324" s="23"/>
      <c r="J5324" s="23"/>
      <c r="K5324" s="30"/>
      <c r="L5324" s="23"/>
      <c r="M5324" s="50" t="s">
        <v>10178</v>
      </c>
      <c r="N5324" s="51"/>
      <c r="O5324" s="20"/>
      <c r="P5324" s="20"/>
      <c r="Q5324" s="20"/>
      <c r="R5324" s="20"/>
      <c r="S5324" s="20"/>
    </row>
    <row r="5325">
      <c r="A5325" s="10"/>
      <c r="B5325" s="11"/>
      <c r="C5325" s="10"/>
      <c r="D5325" s="13"/>
      <c r="E5325" s="14"/>
      <c r="F5325" s="14"/>
      <c r="G5325" s="14"/>
      <c r="H5325" s="10"/>
      <c r="I5325" s="10"/>
      <c r="J5325" s="10"/>
      <c r="K5325" s="46"/>
      <c r="L5325" s="10"/>
      <c r="M5325" s="44" t="s">
        <v>10178</v>
      </c>
      <c r="N5325" s="45"/>
      <c r="O5325" s="20"/>
      <c r="P5325" s="20"/>
      <c r="Q5325" s="20"/>
      <c r="R5325" s="20"/>
      <c r="S5325" s="20"/>
    </row>
    <row r="5326">
      <c r="A5326" s="23"/>
      <c r="B5326" s="21"/>
      <c r="C5326" s="23"/>
      <c r="D5326" s="24"/>
      <c r="E5326" s="14"/>
      <c r="F5326" s="14"/>
      <c r="G5326" s="14"/>
      <c r="H5326" s="23"/>
      <c r="I5326" s="23"/>
      <c r="J5326" s="23"/>
      <c r="K5326" s="30"/>
      <c r="L5326" s="23"/>
      <c r="M5326" s="50" t="s">
        <v>10178</v>
      </c>
      <c r="N5326" s="51"/>
      <c r="O5326" s="20"/>
      <c r="P5326" s="20"/>
      <c r="Q5326" s="20"/>
      <c r="R5326" s="20"/>
      <c r="S5326" s="20"/>
    </row>
    <row r="5327">
      <c r="A5327" s="10"/>
      <c r="B5327" s="11"/>
      <c r="C5327" s="10"/>
      <c r="D5327" s="13"/>
      <c r="E5327" s="14"/>
      <c r="F5327" s="14"/>
      <c r="G5327" s="14"/>
      <c r="H5327" s="10"/>
      <c r="I5327" s="10"/>
      <c r="J5327" s="10"/>
      <c r="K5327" s="46"/>
      <c r="L5327" s="10"/>
      <c r="M5327" s="44" t="s">
        <v>10178</v>
      </c>
      <c r="N5327" s="45"/>
      <c r="O5327" s="20"/>
      <c r="P5327" s="20"/>
      <c r="Q5327" s="20"/>
      <c r="R5327" s="20"/>
      <c r="S5327" s="20"/>
    </row>
    <row r="5328">
      <c r="A5328" s="23"/>
      <c r="B5328" s="21"/>
      <c r="C5328" s="23"/>
      <c r="D5328" s="24"/>
      <c r="E5328" s="14"/>
      <c r="F5328" s="14"/>
      <c r="G5328" s="14"/>
      <c r="H5328" s="23"/>
      <c r="I5328" s="23"/>
      <c r="J5328" s="23"/>
      <c r="K5328" s="30"/>
      <c r="L5328" s="23"/>
      <c r="M5328" s="50" t="s">
        <v>10178</v>
      </c>
      <c r="N5328" s="51"/>
      <c r="O5328" s="20"/>
      <c r="P5328" s="20"/>
      <c r="Q5328" s="20"/>
      <c r="R5328" s="20"/>
      <c r="S5328" s="20"/>
    </row>
    <row r="5329">
      <c r="A5329" s="10"/>
      <c r="B5329" s="11"/>
      <c r="C5329" s="10"/>
      <c r="D5329" s="13"/>
      <c r="E5329" s="14"/>
      <c r="F5329" s="14"/>
      <c r="G5329" s="14"/>
      <c r="H5329" s="10"/>
      <c r="I5329" s="10"/>
      <c r="J5329" s="10"/>
      <c r="K5329" s="46"/>
      <c r="L5329" s="10"/>
      <c r="M5329" s="44" t="s">
        <v>10178</v>
      </c>
      <c r="N5329" s="45"/>
      <c r="O5329" s="20"/>
      <c r="P5329" s="20"/>
      <c r="Q5329" s="20"/>
      <c r="R5329" s="20"/>
      <c r="S5329" s="20"/>
    </row>
    <row r="5330">
      <c r="A5330" s="23"/>
      <c r="B5330" s="21"/>
      <c r="C5330" s="23"/>
      <c r="D5330" s="24"/>
      <c r="E5330" s="14"/>
      <c r="F5330" s="14"/>
      <c r="G5330" s="14"/>
      <c r="H5330" s="23"/>
      <c r="I5330" s="23"/>
      <c r="J5330" s="23"/>
      <c r="K5330" s="30"/>
      <c r="L5330" s="23"/>
      <c r="M5330" s="50" t="s">
        <v>10178</v>
      </c>
      <c r="N5330" s="51"/>
      <c r="O5330" s="20"/>
      <c r="P5330" s="20"/>
      <c r="Q5330" s="20"/>
      <c r="R5330" s="20"/>
      <c r="S5330" s="20"/>
    </row>
    <row r="5331">
      <c r="A5331" s="10"/>
      <c r="B5331" s="11"/>
      <c r="C5331" s="10"/>
      <c r="D5331" s="13"/>
      <c r="E5331" s="14"/>
      <c r="F5331" s="14"/>
      <c r="G5331" s="14"/>
      <c r="H5331" s="10"/>
      <c r="I5331" s="10"/>
      <c r="J5331" s="10"/>
      <c r="K5331" s="46"/>
      <c r="L5331" s="10"/>
      <c r="M5331" s="44" t="s">
        <v>10178</v>
      </c>
      <c r="N5331" s="45"/>
      <c r="O5331" s="20"/>
      <c r="P5331" s="20"/>
      <c r="Q5331" s="20"/>
      <c r="R5331" s="20"/>
      <c r="S5331" s="20"/>
    </row>
    <row r="5332">
      <c r="A5332" s="23"/>
      <c r="B5332" s="21"/>
      <c r="C5332" s="23"/>
      <c r="D5332" s="24"/>
      <c r="E5332" s="14"/>
      <c r="F5332" s="14"/>
      <c r="G5332" s="14"/>
      <c r="H5332" s="23"/>
      <c r="I5332" s="23"/>
      <c r="J5332" s="23"/>
      <c r="K5332" s="30"/>
      <c r="L5332" s="23"/>
      <c r="M5332" s="50" t="s">
        <v>10178</v>
      </c>
      <c r="N5332" s="51"/>
      <c r="O5332" s="20"/>
      <c r="P5332" s="20"/>
      <c r="Q5332" s="20"/>
      <c r="R5332" s="20"/>
      <c r="S5332" s="20"/>
    </row>
    <row r="5333">
      <c r="A5333" s="10"/>
      <c r="B5333" s="11"/>
      <c r="C5333" s="10"/>
      <c r="D5333" s="13"/>
      <c r="E5333" s="14"/>
      <c r="F5333" s="14"/>
      <c r="G5333" s="14"/>
      <c r="H5333" s="10"/>
      <c r="I5333" s="10"/>
      <c r="J5333" s="10"/>
      <c r="K5333" s="46"/>
      <c r="L5333" s="10"/>
      <c r="M5333" s="44" t="s">
        <v>10178</v>
      </c>
      <c r="N5333" s="45"/>
      <c r="O5333" s="20"/>
      <c r="P5333" s="20"/>
      <c r="Q5333" s="20"/>
      <c r="R5333" s="20"/>
      <c r="S5333" s="20"/>
    </row>
    <row r="5334">
      <c r="A5334" s="23"/>
      <c r="B5334" s="21"/>
      <c r="C5334" s="23"/>
      <c r="D5334" s="24"/>
      <c r="E5334" s="14"/>
      <c r="F5334" s="14"/>
      <c r="G5334" s="14"/>
      <c r="H5334" s="23"/>
      <c r="I5334" s="23"/>
      <c r="J5334" s="23"/>
      <c r="K5334" s="30"/>
      <c r="L5334" s="23"/>
      <c r="M5334" s="50" t="s">
        <v>10178</v>
      </c>
      <c r="N5334" s="51"/>
      <c r="O5334" s="20"/>
      <c r="P5334" s="20"/>
      <c r="Q5334" s="20"/>
      <c r="R5334" s="20"/>
      <c r="S5334" s="20"/>
    </row>
    <row r="5335">
      <c r="A5335" s="10"/>
      <c r="B5335" s="11"/>
      <c r="C5335" s="10"/>
      <c r="D5335" s="13"/>
      <c r="E5335" s="14"/>
      <c r="F5335" s="14"/>
      <c r="G5335" s="14"/>
      <c r="H5335" s="10"/>
      <c r="I5335" s="10"/>
      <c r="J5335" s="10"/>
      <c r="K5335" s="46"/>
      <c r="L5335" s="10"/>
      <c r="M5335" s="44" t="s">
        <v>10178</v>
      </c>
      <c r="N5335" s="45"/>
      <c r="O5335" s="20"/>
      <c r="P5335" s="20"/>
      <c r="Q5335" s="20"/>
      <c r="R5335" s="20"/>
      <c r="S5335" s="20"/>
    </row>
    <row r="5336">
      <c r="A5336" s="23"/>
      <c r="B5336" s="21"/>
      <c r="C5336" s="23"/>
      <c r="D5336" s="24"/>
      <c r="E5336" s="14"/>
      <c r="F5336" s="14"/>
      <c r="G5336" s="14"/>
      <c r="H5336" s="23"/>
      <c r="I5336" s="23"/>
      <c r="J5336" s="23"/>
      <c r="K5336" s="30"/>
      <c r="L5336" s="23"/>
      <c r="M5336" s="50" t="s">
        <v>10178</v>
      </c>
      <c r="N5336" s="51"/>
      <c r="O5336" s="20"/>
      <c r="P5336" s="20"/>
      <c r="Q5336" s="20"/>
      <c r="R5336" s="20"/>
      <c r="S5336" s="20"/>
    </row>
    <row r="5337">
      <c r="A5337" s="10"/>
      <c r="B5337" s="11"/>
      <c r="C5337" s="10"/>
      <c r="D5337" s="13"/>
      <c r="E5337" s="14"/>
      <c r="F5337" s="14"/>
      <c r="G5337" s="14"/>
      <c r="H5337" s="10"/>
      <c r="I5337" s="10"/>
      <c r="J5337" s="10"/>
      <c r="K5337" s="46"/>
      <c r="L5337" s="10"/>
      <c r="M5337" s="44" t="s">
        <v>10178</v>
      </c>
      <c r="N5337" s="45"/>
      <c r="O5337" s="20"/>
      <c r="P5337" s="20"/>
      <c r="Q5337" s="20"/>
      <c r="R5337" s="20"/>
      <c r="S5337" s="20"/>
    </row>
    <row r="5338">
      <c r="A5338" s="23"/>
      <c r="B5338" s="21"/>
      <c r="C5338" s="23"/>
      <c r="D5338" s="24"/>
      <c r="E5338" s="14"/>
      <c r="F5338" s="14"/>
      <c r="G5338" s="14"/>
      <c r="H5338" s="23"/>
      <c r="I5338" s="23"/>
      <c r="J5338" s="23"/>
      <c r="K5338" s="30"/>
      <c r="L5338" s="23"/>
      <c r="M5338" s="50" t="s">
        <v>10178</v>
      </c>
      <c r="N5338" s="51"/>
      <c r="O5338" s="20"/>
      <c r="P5338" s="20"/>
      <c r="Q5338" s="20"/>
      <c r="R5338" s="20"/>
      <c r="S5338" s="20"/>
    </row>
    <row r="5339">
      <c r="A5339" s="10"/>
      <c r="B5339" s="11"/>
      <c r="C5339" s="10"/>
      <c r="D5339" s="13"/>
      <c r="E5339" s="14"/>
      <c r="F5339" s="14"/>
      <c r="G5339" s="14"/>
      <c r="H5339" s="10"/>
      <c r="I5339" s="10"/>
      <c r="J5339" s="10"/>
      <c r="K5339" s="46"/>
      <c r="L5339" s="10"/>
      <c r="M5339" s="44" t="s">
        <v>10178</v>
      </c>
      <c r="N5339" s="45"/>
      <c r="O5339" s="20"/>
      <c r="P5339" s="20"/>
      <c r="Q5339" s="20"/>
      <c r="R5339" s="20"/>
      <c r="S5339" s="20"/>
    </row>
    <row r="5340">
      <c r="A5340" s="23"/>
      <c r="B5340" s="21"/>
      <c r="C5340" s="23"/>
      <c r="D5340" s="24"/>
      <c r="E5340" s="14"/>
      <c r="F5340" s="14"/>
      <c r="G5340" s="14"/>
      <c r="H5340" s="23"/>
      <c r="I5340" s="23"/>
      <c r="J5340" s="23"/>
      <c r="K5340" s="30"/>
      <c r="L5340" s="23"/>
      <c r="M5340" s="50" t="s">
        <v>10178</v>
      </c>
      <c r="N5340" s="51"/>
      <c r="O5340" s="20"/>
      <c r="P5340" s="20"/>
      <c r="Q5340" s="20"/>
      <c r="R5340" s="20"/>
      <c r="S5340" s="20"/>
    </row>
    <row r="5341">
      <c r="A5341" s="10"/>
      <c r="B5341" s="11"/>
      <c r="C5341" s="10"/>
      <c r="D5341" s="13"/>
      <c r="E5341" s="14"/>
      <c r="F5341" s="14"/>
      <c r="G5341" s="14"/>
      <c r="H5341" s="10"/>
      <c r="I5341" s="10"/>
      <c r="J5341" s="10"/>
      <c r="K5341" s="46"/>
      <c r="L5341" s="10"/>
      <c r="M5341" s="44" t="s">
        <v>10178</v>
      </c>
      <c r="N5341" s="45"/>
      <c r="O5341" s="20"/>
      <c r="P5341" s="20"/>
      <c r="Q5341" s="20"/>
      <c r="R5341" s="20"/>
      <c r="S5341" s="20"/>
    </row>
    <row r="5342">
      <c r="A5342" s="23"/>
      <c r="B5342" s="21"/>
      <c r="C5342" s="23"/>
      <c r="D5342" s="24"/>
      <c r="E5342" s="14"/>
      <c r="F5342" s="14"/>
      <c r="G5342" s="14"/>
      <c r="H5342" s="23"/>
      <c r="I5342" s="23"/>
      <c r="J5342" s="23"/>
      <c r="K5342" s="30"/>
      <c r="L5342" s="23"/>
      <c r="M5342" s="50" t="s">
        <v>10178</v>
      </c>
      <c r="N5342" s="51"/>
      <c r="O5342" s="20"/>
      <c r="P5342" s="20"/>
      <c r="Q5342" s="20"/>
      <c r="R5342" s="20"/>
      <c r="S5342" s="20"/>
    </row>
    <row r="5343">
      <c r="A5343" s="10"/>
      <c r="B5343" s="11"/>
      <c r="C5343" s="10"/>
      <c r="D5343" s="13"/>
      <c r="E5343" s="14"/>
      <c r="F5343" s="14"/>
      <c r="G5343" s="14"/>
      <c r="H5343" s="10"/>
      <c r="I5343" s="10"/>
      <c r="J5343" s="10"/>
      <c r="K5343" s="46"/>
      <c r="L5343" s="10"/>
      <c r="M5343" s="44" t="s">
        <v>10178</v>
      </c>
      <c r="N5343" s="45"/>
      <c r="O5343" s="20"/>
      <c r="P5343" s="20"/>
      <c r="Q5343" s="20"/>
      <c r="R5343" s="20"/>
      <c r="S5343" s="20"/>
    </row>
    <row r="5344">
      <c r="A5344" s="23"/>
      <c r="B5344" s="21"/>
      <c r="C5344" s="23"/>
      <c r="D5344" s="24"/>
      <c r="E5344" s="14"/>
      <c r="F5344" s="14"/>
      <c r="G5344" s="14"/>
      <c r="H5344" s="23"/>
      <c r="I5344" s="23"/>
      <c r="J5344" s="23"/>
      <c r="K5344" s="30"/>
      <c r="L5344" s="23"/>
      <c r="M5344" s="50" t="s">
        <v>10178</v>
      </c>
      <c r="N5344" s="51"/>
      <c r="O5344" s="20"/>
      <c r="P5344" s="20"/>
      <c r="Q5344" s="20"/>
      <c r="R5344" s="20"/>
      <c r="S5344" s="20"/>
    </row>
    <row r="5345">
      <c r="A5345" s="10"/>
      <c r="B5345" s="11"/>
      <c r="C5345" s="10"/>
      <c r="D5345" s="13"/>
      <c r="E5345" s="14"/>
      <c r="F5345" s="14"/>
      <c r="G5345" s="14"/>
      <c r="H5345" s="10"/>
      <c r="I5345" s="10"/>
      <c r="J5345" s="10"/>
      <c r="K5345" s="46"/>
      <c r="L5345" s="10"/>
      <c r="M5345" s="44" t="s">
        <v>10178</v>
      </c>
      <c r="N5345" s="45"/>
      <c r="O5345" s="20"/>
      <c r="P5345" s="20"/>
      <c r="Q5345" s="20"/>
      <c r="R5345" s="20"/>
      <c r="S5345" s="20"/>
    </row>
    <row r="5346">
      <c r="A5346" s="23"/>
      <c r="B5346" s="21"/>
      <c r="C5346" s="23"/>
      <c r="D5346" s="24"/>
      <c r="E5346" s="14"/>
      <c r="F5346" s="14"/>
      <c r="G5346" s="14"/>
      <c r="H5346" s="23"/>
      <c r="I5346" s="23"/>
      <c r="J5346" s="23"/>
      <c r="K5346" s="30"/>
      <c r="L5346" s="23"/>
      <c r="M5346" s="50" t="s">
        <v>10178</v>
      </c>
      <c r="N5346" s="51"/>
      <c r="O5346" s="20"/>
      <c r="P5346" s="20"/>
      <c r="Q5346" s="20"/>
      <c r="R5346" s="20"/>
      <c r="S5346" s="20"/>
    </row>
    <row r="5347">
      <c r="A5347" s="10"/>
      <c r="B5347" s="11"/>
      <c r="C5347" s="10"/>
      <c r="D5347" s="13"/>
      <c r="E5347" s="14"/>
      <c r="F5347" s="14"/>
      <c r="G5347" s="14"/>
      <c r="H5347" s="10"/>
      <c r="I5347" s="10"/>
      <c r="J5347" s="10"/>
      <c r="K5347" s="46"/>
      <c r="L5347" s="10"/>
      <c r="M5347" s="44" t="s">
        <v>10178</v>
      </c>
      <c r="N5347" s="45"/>
      <c r="O5347" s="20"/>
      <c r="P5347" s="20"/>
      <c r="Q5347" s="20"/>
      <c r="R5347" s="20"/>
      <c r="S5347" s="20"/>
    </row>
    <row r="5348">
      <c r="A5348" s="23"/>
      <c r="B5348" s="21"/>
      <c r="C5348" s="23"/>
      <c r="D5348" s="24"/>
      <c r="E5348" s="14"/>
      <c r="F5348" s="14"/>
      <c r="G5348" s="14"/>
      <c r="H5348" s="23"/>
      <c r="I5348" s="23"/>
      <c r="J5348" s="23"/>
      <c r="K5348" s="30"/>
      <c r="L5348" s="23"/>
      <c r="M5348" s="50" t="s">
        <v>10178</v>
      </c>
      <c r="N5348" s="51"/>
      <c r="O5348" s="20"/>
      <c r="P5348" s="20"/>
      <c r="Q5348" s="20"/>
      <c r="R5348" s="20"/>
      <c r="S5348" s="20"/>
    </row>
    <row r="5349">
      <c r="A5349" s="10"/>
      <c r="B5349" s="11"/>
      <c r="C5349" s="10"/>
      <c r="D5349" s="13"/>
      <c r="E5349" s="14"/>
      <c r="F5349" s="14"/>
      <c r="G5349" s="14"/>
      <c r="H5349" s="10"/>
      <c r="I5349" s="10"/>
      <c r="J5349" s="10"/>
      <c r="K5349" s="46"/>
      <c r="L5349" s="10"/>
      <c r="M5349" s="44" t="s">
        <v>10178</v>
      </c>
      <c r="N5349" s="45"/>
      <c r="O5349" s="20"/>
      <c r="P5349" s="20"/>
      <c r="Q5349" s="20"/>
      <c r="R5349" s="20"/>
      <c r="S5349" s="20"/>
    </row>
    <row r="5350">
      <c r="A5350" s="23"/>
      <c r="B5350" s="21"/>
      <c r="C5350" s="23"/>
      <c r="D5350" s="24"/>
      <c r="E5350" s="14"/>
      <c r="F5350" s="14"/>
      <c r="G5350" s="14"/>
      <c r="H5350" s="23"/>
      <c r="I5350" s="23"/>
      <c r="J5350" s="23"/>
      <c r="K5350" s="30"/>
      <c r="L5350" s="23"/>
      <c r="M5350" s="50" t="s">
        <v>10178</v>
      </c>
      <c r="N5350" s="51"/>
      <c r="O5350" s="20"/>
      <c r="P5350" s="20"/>
      <c r="Q5350" s="20"/>
      <c r="R5350" s="20"/>
      <c r="S5350" s="20"/>
    </row>
    <row r="5351">
      <c r="A5351" s="10"/>
      <c r="B5351" s="11"/>
      <c r="C5351" s="10"/>
      <c r="D5351" s="13"/>
      <c r="E5351" s="14"/>
      <c r="F5351" s="14"/>
      <c r="G5351" s="14"/>
      <c r="H5351" s="10"/>
      <c r="I5351" s="10"/>
      <c r="J5351" s="10"/>
      <c r="K5351" s="46"/>
      <c r="L5351" s="10"/>
      <c r="M5351" s="44" t="s">
        <v>10178</v>
      </c>
      <c r="N5351" s="45"/>
      <c r="O5351" s="20"/>
      <c r="P5351" s="20"/>
      <c r="Q5351" s="20"/>
      <c r="R5351" s="20"/>
      <c r="S5351" s="20"/>
    </row>
    <row r="5352">
      <c r="A5352" s="23"/>
      <c r="B5352" s="21"/>
      <c r="C5352" s="23"/>
      <c r="D5352" s="24"/>
      <c r="E5352" s="14"/>
      <c r="F5352" s="14"/>
      <c r="G5352" s="14"/>
      <c r="H5352" s="23"/>
      <c r="I5352" s="23"/>
      <c r="J5352" s="23"/>
      <c r="K5352" s="30"/>
      <c r="L5352" s="23"/>
      <c r="M5352" s="50" t="s">
        <v>10178</v>
      </c>
      <c r="N5352" s="51"/>
      <c r="O5352" s="20"/>
      <c r="P5352" s="20"/>
      <c r="Q5352" s="20"/>
      <c r="R5352" s="20"/>
      <c r="S5352" s="20"/>
    </row>
    <row r="5353">
      <c r="A5353" s="10"/>
      <c r="B5353" s="11"/>
      <c r="C5353" s="10"/>
      <c r="D5353" s="13"/>
      <c r="E5353" s="14"/>
      <c r="F5353" s="14"/>
      <c r="G5353" s="14"/>
      <c r="H5353" s="10"/>
      <c r="I5353" s="10"/>
      <c r="J5353" s="10"/>
      <c r="K5353" s="46"/>
      <c r="L5353" s="10"/>
      <c r="M5353" s="44" t="s">
        <v>10178</v>
      </c>
      <c r="N5353" s="45"/>
      <c r="O5353" s="20"/>
      <c r="P5353" s="20"/>
      <c r="Q5353" s="20"/>
      <c r="R5353" s="20"/>
      <c r="S5353" s="20"/>
    </row>
    <row r="5354">
      <c r="A5354" s="23"/>
      <c r="B5354" s="21"/>
      <c r="C5354" s="23"/>
      <c r="D5354" s="24"/>
      <c r="E5354" s="14"/>
      <c r="F5354" s="14"/>
      <c r="G5354" s="14"/>
      <c r="H5354" s="23"/>
      <c r="I5354" s="23"/>
      <c r="J5354" s="23"/>
      <c r="K5354" s="30"/>
      <c r="L5354" s="23"/>
      <c r="M5354" s="50" t="s">
        <v>10178</v>
      </c>
      <c r="N5354" s="51"/>
      <c r="O5354" s="20"/>
      <c r="P5354" s="20"/>
      <c r="Q5354" s="20"/>
      <c r="R5354" s="20"/>
      <c r="S5354" s="20"/>
    </row>
    <row r="5355">
      <c r="A5355" s="10"/>
      <c r="B5355" s="11"/>
      <c r="C5355" s="10"/>
      <c r="D5355" s="13"/>
      <c r="E5355" s="14"/>
      <c r="F5355" s="14"/>
      <c r="G5355" s="14"/>
      <c r="H5355" s="10"/>
      <c r="I5355" s="10"/>
      <c r="J5355" s="10"/>
      <c r="K5355" s="46"/>
      <c r="L5355" s="10"/>
      <c r="M5355" s="44" t="s">
        <v>10178</v>
      </c>
      <c r="N5355" s="45"/>
      <c r="O5355" s="20"/>
      <c r="P5355" s="20"/>
      <c r="Q5355" s="20"/>
      <c r="R5355" s="20"/>
      <c r="S5355" s="20"/>
    </row>
    <row r="5356">
      <c r="A5356" s="23"/>
      <c r="B5356" s="21"/>
      <c r="C5356" s="23"/>
      <c r="D5356" s="24"/>
      <c r="E5356" s="14"/>
      <c r="F5356" s="14"/>
      <c r="G5356" s="14"/>
      <c r="H5356" s="23"/>
      <c r="I5356" s="23"/>
      <c r="J5356" s="23"/>
      <c r="K5356" s="30"/>
      <c r="L5356" s="23"/>
      <c r="M5356" s="50" t="s">
        <v>10178</v>
      </c>
      <c r="N5356" s="51"/>
      <c r="O5356" s="20"/>
      <c r="P5356" s="20"/>
      <c r="Q5356" s="20"/>
      <c r="R5356" s="20"/>
      <c r="S5356" s="20"/>
    </row>
    <row r="5357">
      <c r="A5357" s="10"/>
      <c r="B5357" s="11"/>
      <c r="C5357" s="10"/>
      <c r="D5357" s="13"/>
      <c r="E5357" s="14"/>
      <c r="F5357" s="14"/>
      <c r="G5357" s="14"/>
      <c r="H5357" s="10"/>
      <c r="I5357" s="10"/>
      <c r="J5357" s="10"/>
      <c r="K5357" s="46"/>
      <c r="L5357" s="10"/>
      <c r="M5357" s="44" t="s">
        <v>10178</v>
      </c>
      <c r="N5357" s="45"/>
      <c r="O5357" s="20"/>
      <c r="P5357" s="20"/>
      <c r="Q5357" s="20"/>
      <c r="R5357" s="20"/>
      <c r="S5357" s="20"/>
    </row>
    <row r="5358">
      <c r="A5358" s="23"/>
      <c r="B5358" s="21"/>
      <c r="C5358" s="23"/>
      <c r="D5358" s="24"/>
      <c r="E5358" s="14"/>
      <c r="F5358" s="14"/>
      <c r="G5358" s="14"/>
      <c r="H5358" s="23"/>
      <c r="I5358" s="23"/>
      <c r="J5358" s="23"/>
      <c r="K5358" s="30"/>
      <c r="L5358" s="23"/>
      <c r="M5358" s="50" t="s">
        <v>10178</v>
      </c>
      <c r="N5358" s="51"/>
      <c r="O5358" s="20"/>
      <c r="P5358" s="20"/>
      <c r="Q5358" s="20"/>
      <c r="R5358" s="20"/>
      <c r="S5358" s="20"/>
    </row>
    <row r="5359">
      <c r="A5359" s="10"/>
      <c r="B5359" s="11"/>
      <c r="C5359" s="10"/>
      <c r="D5359" s="13"/>
      <c r="E5359" s="14"/>
      <c r="F5359" s="14"/>
      <c r="G5359" s="14"/>
      <c r="H5359" s="10"/>
      <c r="I5359" s="10"/>
      <c r="J5359" s="10"/>
      <c r="K5359" s="46"/>
      <c r="L5359" s="10"/>
      <c r="M5359" s="44" t="s">
        <v>10178</v>
      </c>
      <c r="N5359" s="45"/>
      <c r="O5359" s="20"/>
      <c r="P5359" s="20"/>
      <c r="Q5359" s="20"/>
      <c r="R5359" s="20"/>
      <c r="S5359" s="20"/>
    </row>
    <row r="5360">
      <c r="A5360" s="23"/>
      <c r="B5360" s="21"/>
      <c r="C5360" s="23"/>
      <c r="D5360" s="24"/>
      <c r="E5360" s="14"/>
      <c r="F5360" s="14"/>
      <c r="G5360" s="14"/>
      <c r="H5360" s="23"/>
      <c r="I5360" s="23"/>
      <c r="J5360" s="23"/>
      <c r="K5360" s="30"/>
      <c r="L5360" s="23"/>
      <c r="M5360" s="50" t="s">
        <v>10178</v>
      </c>
      <c r="N5360" s="51"/>
      <c r="O5360" s="20"/>
      <c r="P5360" s="20"/>
      <c r="Q5360" s="20"/>
      <c r="R5360" s="20"/>
      <c r="S5360" s="20"/>
    </row>
    <row r="5361">
      <c r="A5361" s="10"/>
      <c r="B5361" s="11"/>
      <c r="C5361" s="10"/>
      <c r="D5361" s="13"/>
      <c r="E5361" s="14"/>
      <c r="F5361" s="14"/>
      <c r="G5361" s="14"/>
      <c r="H5361" s="10"/>
      <c r="I5361" s="10"/>
      <c r="J5361" s="10"/>
      <c r="K5361" s="46"/>
      <c r="L5361" s="10"/>
      <c r="M5361" s="44" t="s">
        <v>10178</v>
      </c>
      <c r="N5361" s="45"/>
      <c r="O5361" s="20"/>
      <c r="P5361" s="20"/>
      <c r="Q5361" s="20"/>
      <c r="R5361" s="20"/>
      <c r="S5361" s="20"/>
    </row>
    <row r="5362">
      <c r="A5362" s="23"/>
      <c r="B5362" s="21"/>
      <c r="C5362" s="23"/>
      <c r="D5362" s="24"/>
      <c r="E5362" s="14"/>
      <c r="F5362" s="14"/>
      <c r="G5362" s="14"/>
      <c r="H5362" s="23"/>
      <c r="I5362" s="23"/>
      <c r="J5362" s="23"/>
      <c r="K5362" s="30"/>
      <c r="L5362" s="23"/>
      <c r="M5362" s="50" t="s">
        <v>10178</v>
      </c>
      <c r="N5362" s="51"/>
      <c r="O5362" s="20"/>
      <c r="P5362" s="20"/>
      <c r="Q5362" s="20"/>
      <c r="R5362" s="20"/>
      <c r="S5362" s="20"/>
    </row>
    <row r="5363">
      <c r="A5363" s="10"/>
      <c r="B5363" s="11"/>
      <c r="C5363" s="10"/>
      <c r="D5363" s="13"/>
      <c r="E5363" s="14"/>
      <c r="F5363" s="14"/>
      <c r="G5363" s="14"/>
      <c r="H5363" s="10"/>
      <c r="I5363" s="10"/>
      <c r="J5363" s="10"/>
      <c r="K5363" s="46"/>
      <c r="L5363" s="10"/>
      <c r="M5363" s="44" t="s">
        <v>10178</v>
      </c>
      <c r="N5363" s="45"/>
      <c r="O5363" s="20"/>
      <c r="P5363" s="20"/>
      <c r="Q5363" s="20"/>
      <c r="R5363" s="20"/>
      <c r="S5363" s="20"/>
    </row>
    <row r="5364">
      <c r="A5364" s="23"/>
      <c r="B5364" s="21"/>
      <c r="C5364" s="23"/>
      <c r="D5364" s="24"/>
      <c r="E5364" s="14"/>
      <c r="F5364" s="14"/>
      <c r="G5364" s="14"/>
      <c r="H5364" s="23"/>
      <c r="I5364" s="23"/>
      <c r="J5364" s="23"/>
      <c r="K5364" s="30"/>
      <c r="L5364" s="23"/>
      <c r="M5364" s="50" t="s">
        <v>10178</v>
      </c>
      <c r="N5364" s="51"/>
      <c r="O5364" s="20"/>
      <c r="P5364" s="20"/>
      <c r="Q5364" s="20"/>
      <c r="R5364" s="20"/>
      <c r="S5364" s="20"/>
    </row>
    <row r="5365">
      <c r="A5365" s="10"/>
      <c r="B5365" s="11"/>
      <c r="C5365" s="10"/>
      <c r="D5365" s="13"/>
      <c r="E5365" s="14"/>
      <c r="F5365" s="14"/>
      <c r="G5365" s="14"/>
      <c r="H5365" s="10"/>
      <c r="I5365" s="10"/>
      <c r="J5365" s="10"/>
      <c r="K5365" s="46"/>
      <c r="L5365" s="10"/>
      <c r="M5365" s="44" t="s">
        <v>10178</v>
      </c>
      <c r="N5365" s="45"/>
      <c r="O5365" s="20"/>
      <c r="P5365" s="20"/>
      <c r="Q5365" s="20"/>
      <c r="R5365" s="20"/>
      <c r="S5365" s="20"/>
    </row>
    <row r="5366">
      <c r="A5366" s="23"/>
      <c r="B5366" s="21"/>
      <c r="C5366" s="23"/>
      <c r="D5366" s="24"/>
      <c r="E5366" s="14"/>
      <c r="F5366" s="14"/>
      <c r="G5366" s="14"/>
      <c r="H5366" s="23"/>
      <c r="I5366" s="23"/>
      <c r="J5366" s="23"/>
      <c r="K5366" s="30"/>
      <c r="L5366" s="23"/>
      <c r="M5366" s="50" t="s">
        <v>10178</v>
      </c>
      <c r="N5366" s="51"/>
      <c r="O5366" s="20"/>
      <c r="P5366" s="20"/>
      <c r="Q5366" s="20"/>
      <c r="R5366" s="20"/>
      <c r="S5366" s="20"/>
    </row>
    <row r="5367">
      <c r="A5367" s="10"/>
      <c r="B5367" s="11"/>
      <c r="C5367" s="10"/>
      <c r="D5367" s="13"/>
      <c r="E5367" s="14"/>
      <c r="F5367" s="14"/>
      <c r="G5367" s="14"/>
      <c r="H5367" s="10"/>
      <c r="I5367" s="10"/>
      <c r="J5367" s="10"/>
      <c r="K5367" s="46"/>
      <c r="L5367" s="10"/>
      <c r="M5367" s="44" t="s">
        <v>10178</v>
      </c>
      <c r="N5367" s="45"/>
      <c r="O5367" s="20"/>
      <c r="P5367" s="20"/>
      <c r="Q5367" s="20"/>
      <c r="R5367" s="20"/>
      <c r="S5367" s="20"/>
    </row>
    <row r="5368">
      <c r="A5368" s="23"/>
      <c r="B5368" s="21"/>
      <c r="C5368" s="23"/>
      <c r="D5368" s="24"/>
      <c r="E5368" s="14"/>
      <c r="F5368" s="14"/>
      <c r="G5368" s="14"/>
      <c r="H5368" s="23"/>
      <c r="I5368" s="23"/>
      <c r="J5368" s="23"/>
      <c r="K5368" s="30"/>
      <c r="L5368" s="23"/>
      <c r="M5368" s="50" t="s">
        <v>10178</v>
      </c>
      <c r="N5368" s="51"/>
      <c r="O5368" s="20"/>
      <c r="P5368" s="20"/>
      <c r="Q5368" s="20"/>
      <c r="R5368" s="20"/>
      <c r="S5368" s="20"/>
    </row>
    <row r="5369">
      <c r="A5369" s="10"/>
      <c r="B5369" s="11"/>
      <c r="C5369" s="10"/>
      <c r="D5369" s="13"/>
      <c r="E5369" s="14"/>
      <c r="F5369" s="14"/>
      <c r="G5369" s="14"/>
      <c r="H5369" s="10"/>
      <c r="I5369" s="10"/>
      <c r="J5369" s="10"/>
      <c r="K5369" s="46"/>
      <c r="L5369" s="10"/>
      <c r="M5369" s="44" t="s">
        <v>10178</v>
      </c>
      <c r="N5369" s="45"/>
      <c r="O5369" s="20"/>
      <c r="P5369" s="20"/>
      <c r="Q5369" s="20"/>
      <c r="R5369" s="20"/>
      <c r="S5369" s="20"/>
    </row>
    <row r="5370">
      <c r="A5370" s="23"/>
      <c r="B5370" s="21"/>
      <c r="C5370" s="23"/>
      <c r="D5370" s="24"/>
      <c r="E5370" s="14"/>
      <c r="F5370" s="14"/>
      <c r="G5370" s="14"/>
      <c r="H5370" s="23"/>
      <c r="I5370" s="23"/>
      <c r="J5370" s="23"/>
      <c r="K5370" s="30"/>
      <c r="L5370" s="23"/>
      <c r="M5370" s="50" t="s">
        <v>10178</v>
      </c>
      <c r="N5370" s="51"/>
      <c r="O5370" s="20"/>
      <c r="P5370" s="20"/>
      <c r="Q5370" s="20"/>
      <c r="R5370" s="20"/>
      <c r="S5370" s="20"/>
    </row>
    <row r="5371">
      <c r="A5371" s="10"/>
      <c r="B5371" s="11"/>
      <c r="C5371" s="10"/>
      <c r="D5371" s="13"/>
      <c r="E5371" s="14"/>
      <c r="F5371" s="14"/>
      <c r="G5371" s="14"/>
      <c r="H5371" s="10"/>
      <c r="I5371" s="10"/>
      <c r="J5371" s="10"/>
      <c r="K5371" s="46"/>
      <c r="L5371" s="10"/>
      <c r="M5371" s="44" t="s">
        <v>10178</v>
      </c>
      <c r="N5371" s="45"/>
      <c r="O5371" s="20"/>
      <c r="P5371" s="20"/>
      <c r="Q5371" s="20"/>
      <c r="R5371" s="20"/>
      <c r="S5371" s="20"/>
    </row>
    <row r="5372">
      <c r="A5372" s="23"/>
      <c r="B5372" s="21"/>
      <c r="C5372" s="23"/>
      <c r="D5372" s="24"/>
      <c r="E5372" s="14"/>
      <c r="F5372" s="14"/>
      <c r="G5372" s="14"/>
      <c r="H5372" s="23"/>
      <c r="I5372" s="23"/>
      <c r="J5372" s="23"/>
      <c r="K5372" s="30"/>
      <c r="L5372" s="23"/>
      <c r="M5372" s="50" t="s">
        <v>10178</v>
      </c>
      <c r="N5372" s="51"/>
      <c r="O5372" s="20"/>
      <c r="P5372" s="20"/>
      <c r="Q5372" s="20"/>
      <c r="R5372" s="20"/>
      <c r="S5372" s="20"/>
    </row>
    <row r="5373">
      <c r="A5373" s="10"/>
      <c r="B5373" s="11"/>
      <c r="C5373" s="10"/>
      <c r="D5373" s="13"/>
      <c r="E5373" s="14"/>
      <c r="F5373" s="14"/>
      <c r="G5373" s="14"/>
      <c r="H5373" s="10"/>
      <c r="I5373" s="10"/>
      <c r="J5373" s="10"/>
      <c r="K5373" s="46"/>
      <c r="L5373" s="10"/>
      <c r="M5373" s="44" t="s">
        <v>10178</v>
      </c>
      <c r="N5373" s="45"/>
      <c r="O5373" s="20"/>
      <c r="P5373" s="20"/>
      <c r="Q5373" s="20"/>
      <c r="R5373" s="20"/>
      <c r="S5373" s="20"/>
    </row>
    <row r="5374">
      <c r="A5374" s="23"/>
      <c r="B5374" s="21"/>
      <c r="C5374" s="23"/>
      <c r="D5374" s="24"/>
      <c r="E5374" s="14"/>
      <c r="F5374" s="14"/>
      <c r="G5374" s="14"/>
      <c r="H5374" s="23"/>
      <c r="I5374" s="23"/>
      <c r="J5374" s="23"/>
      <c r="K5374" s="30"/>
      <c r="L5374" s="23"/>
      <c r="M5374" s="50" t="s">
        <v>10178</v>
      </c>
      <c r="N5374" s="51"/>
      <c r="O5374" s="20"/>
      <c r="P5374" s="20"/>
      <c r="Q5374" s="20"/>
      <c r="R5374" s="20"/>
      <c r="S5374" s="20"/>
    </row>
    <row r="5375">
      <c r="A5375" s="10"/>
      <c r="B5375" s="11"/>
      <c r="C5375" s="10"/>
      <c r="D5375" s="13"/>
      <c r="E5375" s="14"/>
      <c r="F5375" s="14"/>
      <c r="G5375" s="14"/>
      <c r="H5375" s="10"/>
      <c r="I5375" s="10"/>
      <c r="J5375" s="10"/>
      <c r="K5375" s="46"/>
      <c r="L5375" s="10"/>
      <c r="M5375" s="44" t="s">
        <v>10178</v>
      </c>
      <c r="N5375" s="45"/>
      <c r="O5375" s="20"/>
      <c r="P5375" s="20"/>
      <c r="Q5375" s="20"/>
      <c r="R5375" s="20"/>
      <c r="S5375" s="20"/>
    </row>
    <row r="5376">
      <c r="A5376" s="23"/>
      <c r="B5376" s="21"/>
      <c r="C5376" s="23"/>
      <c r="D5376" s="24"/>
      <c r="E5376" s="14"/>
      <c r="F5376" s="14"/>
      <c r="G5376" s="14"/>
      <c r="H5376" s="23"/>
      <c r="I5376" s="23"/>
      <c r="J5376" s="23"/>
      <c r="K5376" s="30"/>
      <c r="L5376" s="23"/>
      <c r="M5376" s="50" t="s">
        <v>10178</v>
      </c>
      <c r="N5376" s="51"/>
      <c r="O5376" s="20"/>
      <c r="P5376" s="20"/>
      <c r="Q5376" s="20"/>
      <c r="R5376" s="20"/>
      <c r="S5376" s="20"/>
    </row>
    <row r="5377">
      <c r="A5377" s="10"/>
      <c r="B5377" s="11"/>
      <c r="C5377" s="10"/>
      <c r="D5377" s="13"/>
      <c r="E5377" s="14"/>
      <c r="F5377" s="14"/>
      <c r="G5377" s="14"/>
      <c r="H5377" s="10"/>
      <c r="I5377" s="10"/>
      <c r="J5377" s="10"/>
      <c r="K5377" s="46"/>
      <c r="L5377" s="10"/>
      <c r="M5377" s="44" t="s">
        <v>10178</v>
      </c>
      <c r="N5377" s="45"/>
      <c r="O5377" s="20"/>
      <c r="P5377" s="20"/>
      <c r="Q5377" s="20"/>
      <c r="R5377" s="20"/>
      <c r="S5377" s="20"/>
    </row>
    <row r="5378">
      <c r="A5378" s="23"/>
      <c r="B5378" s="21"/>
      <c r="C5378" s="23"/>
      <c r="D5378" s="24"/>
      <c r="E5378" s="14"/>
      <c r="F5378" s="14"/>
      <c r="G5378" s="14"/>
      <c r="H5378" s="23"/>
      <c r="I5378" s="23"/>
      <c r="J5378" s="23"/>
      <c r="K5378" s="30"/>
      <c r="L5378" s="23"/>
      <c r="M5378" s="50" t="s">
        <v>10178</v>
      </c>
      <c r="N5378" s="51"/>
      <c r="O5378" s="20"/>
      <c r="P5378" s="20"/>
      <c r="Q5378" s="20"/>
      <c r="R5378" s="20"/>
      <c r="S5378" s="20"/>
    </row>
    <row r="5379">
      <c r="A5379" s="10"/>
      <c r="B5379" s="11"/>
      <c r="C5379" s="10"/>
      <c r="D5379" s="13"/>
      <c r="E5379" s="14"/>
      <c r="F5379" s="14"/>
      <c r="G5379" s="14"/>
      <c r="H5379" s="10"/>
      <c r="I5379" s="10"/>
      <c r="J5379" s="10"/>
      <c r="K5379" s="46"/>
      <c r="L5379" s="10"/>
      <c r="M5379" s="44" t="s">
        <v>10178</v>
      </c>
      <c r="N5379" s="45"/>
      <c r="O5379" s="20"/>
      <c r="P5379" s="20"/>
      <c r="Q5379" s="20"/>
      <c r="R5379" s="20"/>
      <c r="S5379" s="20"/>
    </row>
    <row r="5380">
      <c r="A5380" s="23"/>
      <c r="B5380" s="21"/>
      <c r="C5380" s="23"/>
      <c r="D5380" s="24"/>
      <c r="E5380" s="14"/>
      <c r="F5380" s="14"/>
      <c r="G5380" s="14"/>
      <c r="H5380" s="23"/>
      <c r="I5380" s="23"/>
      <c r="J5380" s="23"/>
      <c r="K5380" s="30"/>
      <c r="L5380" s="23"/>
      <c r="M5380" s="50" t="s">
        <v>10178</v>
      </c>
      <c r="N5380" s="51"/>
      <c r="O5380" s="20"/>
      <c r="P5380" s="20"/>
      <c r="Q5380" s="20"/>
      <c r="R5380" s="20"/>
      <c r="S5380" s="20"/>
    </row>
    <row r="5381">
      <c r="A5381" s="10"/>
      <c r="B5381" s="11"/>
      <c r="C5381" s="10"/>
      <c r="D5381" s="13"/>
      <c r="E5381" s="14"/>
      <c r="F5381" s="14"/>
      <c r="G5381" s="14"/>
      <c r="H5381" s="10"/>
      <c r="I5381" s="10"/>
      <c r="J5381" s="10"/>
      <c r="K5381" s="46"/>
      <c r="L5381" s="10"/>
      <c r="M5381" s="44" t="s">
        <v>10178</v>
      </c>
      <c r="N5381" s="45"/>
      <c r="O5381" s="20"/>
      <c r="P5381" s="20"/>
      <c r="Q5381" s="20"/>
      <c r="R5381" s="20"/>
      <c r="S5381" s="20"/>
    </row>
    <row r="5382">
      <c r="A5382" s="23"/>
      <c r="B5382" s="21"/>
      <c r="C5382" s="23"/>
      <c r="D5382" s="24"/>
      <c r="E5382" s="14"/>
      <c r="F5382" s="14"/>
      <c r="G5382" s="14"/>
      <c r="H5382" s="23"/>
      <c r="I5382" s="23"/>
      <c r="J5382" s="23"/>
      <c r="K5382" s="30"/>
      <c r="L5382" s="23"/>
      <c r="M5382" s="50" t="s">
        <v>10178</v>
      </c>
      <c r="N5382" s="51"/>
      <c r="O5382" s="20"/>
      <c r="P5382" s="20"/>
      <c r="Q5382" s="20"/>
      <c r="R5382" s="20"/>
      <c r="S5382" s="20"/>
    </row>
    <row r="5383">
      <c r="A5383" s="10"/>
      <c r="B5383" s="11"/>
      <c r="C5383" s="10"/>
      <c r="D5383" s="13"/>
      <c r="E5383" s="14"/>
      <c r="F5383" s="14"/>
      <c r="G5383" s="14"/>
      <c r="H5383" s="10"/>
      <c r="I5383" s="10"/>
      <c r="J5383" s="10"/>
      <c r="K5383" s="46"/>
      <c r="L5383" s="10"/>
      <c r="M5383" s="44" t="s">
        <v>10178</v>
      </c>
      <c r="N5383" s="45"/>
      <c r="O5383" s="20"/>
      <c r="P5383" s="20"/>
      <c r="Q5383" s="20"/>
      <c r="R5383" s="20"/>
      <c r="S5383" s="20"/>
    </row>
    <row r="5384">
      <c r="A5384" s="23"/>
      <c r="B5384" s="21"/>
      <c r="C5384" s="23"/>
      <c r="D5384" s="24"/>
      <c r="E5384" s="14"/>
      <c r="F5384" s="14"/>
      <c r="G5384" s="14"/>
      <c r="H5384" s="23"/>
      <c r="I5384" s="23"/>
      <c r="J5384" s="23"/>
      <c r="K5384" s="30"/>
      <c r="L5384" s="23"/>
      <c r="M5384" s="50" t="s">
        <v>10178</v>
      </c>
      <c r="N5384" s="51"/>
      <c r="O5384" s="20"/>
      <c r="P5384" s="20"/>
      <c r="Q5384" s="20"/>
      <c r="R5384" s="20"/>
      <c r="S5384" s="20"/>
    </row>
    <row r="5385">
      <c r="A5385" s="10"/>
      <c r="B5385" s="11"/>
      <c r="C5385" s="10"/>
      <c r="D5385" s="13"/>
      <c r="E5385" s="14"/>
      <c r="F5385" s="14"/>
      <c r="G5385" s="14"/>
      <c r="H5385" s="10"/>
      <c r="I5385" s="10"/>
      <c r="J5385" s="10"/>
      <c r="K5385" s="46"/>
      <c r="L5385" s="10"/>
      <c r="M5385" s="44" t="s">
        <v>10178</v>
      </c>
      <c r="N5385" s="45"/>
      <c r="O5385" s="20"/>
      <c r="P5385" s="20"/>
      <c r="Q5385" s="20"/>
      <c r="R5385" s="20"/>
      <c r="S5385" s="20"/>
    </row>
    <row r="5386">
      <c r="A5386" s="23"/>
      <c r="B5386" s="21"/>
      <c r="C5386" s="23"/>
      <c r="D5386" s="24"/>
      <c r="E5386" s="14"/>
      <c r="F5386" s="14"/>
      <c r="G5386" s="14"/>
      <c r="H5386" s="23"/>
      <c r="I5386" s="23"/>
      <c r="J5386" s="23"/>
      <c r="K5386" s="30"/>
      <c r="L5386" s="23"/>
      <c r="M5386" s="50" t="s">
        <v>10178</v>
      </c>
      <c r="N5386" s="51"/>
      <c r="O5386" s="20"/>
      <c r="P5386" s="20"/>
      <c r="Q5386" s="20"/>
      <c r="R5386" s="20"/>
      <c r="S5386" s="20"/>
    </row>
    <row r="5387">
      <c r="A5387" s="10"/>
      <c r="B5387" s="11"/>
      <c r="C5387" s="10"/>
      <c r="D5387" s="13"/>
      <c r="E5387" s="14"/>
      <c r="F5387" s="14"/>
      <c r="G5387" s="14"/>
      <c r="H5387" s="10"/>
      <c r="I5387" s="10"/>
      <c r="J5387" s="10"/>
      <c r="K5387" s="46"/>
      <c r="L5387" s="10"/>
      <c r="M5387" s="44" t="s">
        <v>10178</v>
      </c>
      <c r="N5387" s="45"/>
      <c r="O5387" s="20"/>
      <c r="P5387" s="20"/>
      <c r="Q5387" s="20"/>
      <c r="R5387" s="20"/>
      <c r="S5387" s="20"/>
    </row>
    <row r="5388">
      <c r="A5388" s="23"/>
      <c r="B5388" s="21"/>
      <c r="C5388" s="23"/>
      <c r="D5388" s="24"/>
      <c r="E5388" s="14"/>
      <c r="F5388" s="14"/>
      <c r="G5388" s="14"/>
      <c r="H5388" s="23"/>
      <c r="I5388" s="23"/>
      <c r="J5388" s="23"/>
      <c r="K5388" s="30"/>
      <c r="L5388" s="23"/>
      <c r="M5388" s="50" t="s">
        <v>10178</v>
      </c>
      <c r="N5388" s="51"/>
      <c r="O5388" s="20"/>
      <c r="P5388" s="20"/>
      <c r="Q5388" s="20"/>
      <c r="R5388" s="20"/>
      <c r="S5388" s="20"/>
    </row>
    <row r="5389">
      <c r="A5389" s="10"/>
      <c r="B5389" s="11"/>
      <c r="C5389" s="10"/>
      <c r="D5389" s="13"/>
      <c r="E5389" s="14"/>
      <c r="F5389" s="14"/>
      <c r="G5389" s="14"/>
      <c r="H5389" s="10"/>
      <c r="I5389" s="10"/>
      <c r="J5389" s="10"/>
      <c r="K5389" s="46"/>
      <c r="L5389" s="10"/>
      <c r="M5389" s="44" t="s">
        <v>10178</v>
      </c>
      <c r="N5389" s="45"/>
      <c r="O5389" s="20"/>
      <c r="P5389" s="20"/>
      <c r="Q5389" s="20"/>
      <c r="R5389" s="20"/>
      <c r="S5389" s="20"/>
    </row>
    <row r="5390">
      <c r="A5390" s="23"/>
      <c r="B5390" s="21"/>
      <c r="C5390" s="23"/>
      <c r="D5390" s="24"/>
      <c r="E5390" s="14"/>
      <c r="F5390" s="14"/>
      <c r="G5390" s="14"/>
      <c r="H5390" s="23"/>
      <c r="I5390" s="23"/>
      <c r="J5390" s="23"/>
      <c r="K5390" s="30"/>
      <c r="L5390" s="23"/>
      <c r="M5390" s="50" t="s">
        <v>10178</v>
      </c>
      <c r="N5390" s="51"/>
      <c r="O5390" s="20"/>
      <c r="P5390" s="20"/>
      <c r="Q5390" s="20"/>
      <c r="R5390" s="20"/>
      <c r="S5390" s="20"/>
    </row>
    <row r="5391">
      <c r="A5391" s="10"/>
      <c r="B5391" s="11"/>
      <c r="C5391" s="10"/>
      <c r="D5391" s="13"/>
      <c r="E5391" s="14"/>
      <c r="F5391" s="14"/>
      <c r="G5391" s="14"/>
      <c r="H5391" s="10"/>
      <c r="I5391" s="10"/>
      <c r="J5391" s="10"/>
      <c r="K5391" s="46"/>
      <c r="L5391" s="10"/>
      <c r="M5391" s="44" t="s">
        <v>10178</v>
      </c>
      <c r="N5391" s="45"/>
      <c r="O5391" s="20"/>
      <c r="P5391" s="20"/>
      <c r="Q5391" s="20"/>
      <c r="R5391" s="20"/>
      <c r="S5391" s="20"/>
    </row>
    <row r="5392">
      <c r="A5392" s="23"/>
      <c r="B5392" s="21"/>
      <c r="C5392" s="23"/>
      <c r="D5392" s="24"/>
      <c r="E5392" s="14"/>
      <c r="F5392" s="14"/>
      <c r="G5392" s="14"/>
      <c r="H5392" s="23"/>
      <c r="I5392" s="23"/>
      <c r="J5392" s="23"/>
      <c r="K5392" s="30"/>
      <c r="L5392" s="23"/>
      <c r="M5392" s="50" t="s">
        <v>10178</v>
      </c>
      <c r="N5392" s="51"/>
      <c r="O5392" s="20"/>
      <c r="P5392" s="20"/>
      <c r="Q5392" s="20"/>
      <c r="R5392" s="20"/>
      <c r="S5392" s="20"/>
    </row>
    <row r="5393">
      <c r="A5393" s="10"/>
      <c r="B5393" s="11"/>
      <c r="C5393" s="10"/>
      <c r="D5393" s="13"/>
      <c r="E5393" s="14"/>
      <c r="F5393" s="14"/>
      <c r="G5393" s="14"/>
      <c r="H5393" s="10"/>
      <c r="I5393" s="10"/>
      <c r="J5393" s="10"/>
      <c r="K5393" s="46"/>
      <c r="L5393" s="10"/>
      <c r="M5393" s="44" t="s">
        <v>10178</v>
      </c>
      <c r="N5393" s="45"/>
      <c r="O5393" s="20"/>
      <c r="P5393" s="20"/>
      <c r="Q5393" s="20"/>
      <c r="R5393" s="20"/>
      <c r="S5393" s="20"/>
    </row>
    <row r="5394">
      <c r="A5394" s="23"/>
      <c r="B5394" s="21"/>
      <c r="C5394" s="23"/>
      <c r="D5394" s="24"/>
      <c r="E5394" s="14"/>
      <c r="F5394" s="14"/>
      <c r="G5394" s="14"/>
      <c r="H5394" s="23"/>
      <c r="I5394" s="23"/>
      <c r="J5394" s="23"/>
      <c r="K5394" s="30"/>
      <c r="L5394" s="23"/>
      <c r="M5394" s="50" t="s">
        <v>10178</v>
      </c>
      <c r="N5394" s="51"/>
      <c r="O5394" s="20"/>
      <c r="P5394" s="20"/>
      <c r="Q5394" s="20"/>
      <c r="R5394" s="20"/>
      <c r="S5394" s="20"/>
    </row>
    <row r="5395">
      <c r="A5395" s="10"/>
      <c r="B5395" s="11"/>
      <c r="C5395" s="10"/>
      <c r="D5395" s="13"/>
      <c r="E5395" s="14"/>
      <c r="F5395" s="14"/>
      <c r="G5395" s="14"/>
      <c r="H5395" s="10"/>
      <c r="I5395" s="10"/>
      <c r="J5395" s="10"/>
      <c r="K5395" s="46"/>
      <c r="L5395" s="10"/>
      <c r="M5395" s="44" t="s">
        <v>10178</v>
      </c>
      <c r="N5395" s="45"/>
      <c r="O5395" s="20"/>
      <c r="P5395" s="20"/>
      <c r="Q5395" s="20"/>
      <c r="R5395" s="20"/>
      <c r="S5395" s="20"/>
    </row>
    <row r="5396">
      <c r="A5396" s="23"/>
      <c r="B5396" s="21"/>
      <c r="C5396" s="23"/>
      <c r="D5396" s="24"/>
      <c r="E5396" s="14"/>
      <c r="F5396" s="14"/>
      <c r="G5396" s="14"/>
      <c r="H5396" s="23"/>
      <c r="I5396" s="23"/>
      <c r="J5396" s="23"/>
      <c r="K5396" s="30"/>
      <c r="L5396" s="23"/>
      <c r="M5396" s="50" t="s">
        <v>10178</v>
      </c>
      <c r="N5396" s="51"/>
      <c r="O5396" s="20"/>
      <c r="P5396" s="20"/>
      <c r="Q5396" s="20"/>
      <c r="R5396" s="20"/>
      <c r="S5396" s="20"/>
    </row>
    <row r="5397">
      <c r="A5397" s="10"/>
      <c r="B5397" s="11"/>
      <c r="C5397" s="10"/>
      <c r="D5397" s="13"/>
      <c r="E5397" s="14"/>
      <c r="F5397" s="14"/>
      <c r="G5397" s="14"/>
      <c r="H5397" s="10"/>
      <c r="I5397" s="10"/>
      <c r="J5397" s="10"/>
      <c r="K5397" s="46"/>
      <c r="L5397" s="10"/>
      <c r="M5397" s="44" t="s">
        <v>10178</v>
      </c>
      <c r="N5397" s="45"/>
      <c r="O5397" s="20"/>
      <c r="P5397" s="20"/>
      <c r="Q5397" s="20"/>
      <c r="R5397" s="20"/>
      <c r="S5397" s="20"/>
    </row>
    <row r="5398">
      <c r="A5398" s="23"/>
      <c r="B5398" s="21"/>
      <c r="C5398" s="23"/>
      <c r="D5398" s="24"/>
      <c r="E5398" s="14"/>
      <c r="F5398" s="14"/>
      <c r="G5398" s="14"/>
      <c r="H5398" s="23"/>
      <c r="I5398" s="23"/>
      <c r="J5398" s="23"/>
      <c r="K5398" s="30"/>
      <c r="L5398" s="23"/>
      <c r="M5398" s="50" t="s">
        <v>10178</v>
      </c>
      <c r="N5398" s="51"/>
      <c r="O5398" s="20"/>
      <c r="P5398" s="20"/>
      <c r="Q5398" s="20"/>
      <c r="R5398" s="20"/>
      <c r="S5398" s="20"/>
    </row>
    <row r="5399">
      <c r="A5399" s="10"/>
      <c r="B5399" s="11"/>
      <c r="C5399" s="10"/>
      <c r="D5399" s="13"/>
      <c r="E5399" s="14"/>
      <c r="F5399" s="14"/>
      <c r="G5399" s="14"/>
      <c r="H5399" s="10"/>
      <c r="I5399" s="10"/>
      <c r="J5399" s="10"/>
      <c r="K5399" s="46"/>
      <c r="L5399" s="10"/>
      <c r="M5399" s="44" t="s">
        <v>10178</v>
      </c>
      <c r="N5399" s="45"/>
      <c r="O5399" s="20"/>
      <c r="P5399" s="20"/>
      <c r="Q5399" s="20"/>
      <c r="R5399" s="20"/>
      <c r="S5399" s="20"/>
    </row>
    <row r="5400">
      <c r="A5400" s="23"/>
      <c r="B5400" s="21"/>
      <c r="C5400" s="23"/>
      <c r="D5400" s="24"/>
      <c r="E5400" s="14"/>
      <c r="F5400" s="14"/>
      <c r="G5400" s="14"/>
      <c r="H5400" s="23"/>
      <c r="I5400" s="23"/>
      <c r="J5400" s="23"/>
      <c r="K5400" s="30"/>
      <c r="L5400" s="23"/>
      <c r="M5400" s="50" t="s">
        <v>10178</v>
      </c>
      <c r="N5400" s="51"/>
      <c r="O5400" s="20"/>
      <c r="P5400" s="20"/>
      <c r="Q5400" s="20"/>
      <c r="R5400" s="20"/>
      <c r="S5400" s="20"/>
    </row>
    <row r="5401">
      <c r="A5401" s="10"/>
      <c r="B5401" s="11"/>
      <c r="C5401" s="10"/>
      <c r="D5401" s="13"/>
      <c r="E5401" s="14"/>
      <c r="F5401" s="14"/>
      <c r="G5401" s="14"/>
      <c r="H5401" s="10"/>
      <c r="I5401" s="10"/>
      <c r="J5401" s="10"/>
      <c r="K5401" s="46"/>
      <c r="L5401" s="10"/>
      <c r="M5401" s="44" t="s">
        <v>10178</v>
      </c>
      <c r="N5401" s="45"/>
      <c r="O5401" s="20"/>
      <c r="P5401" s="20"/>
      <c r="Q5401" s="20"/>
      <c r="R5401" s="20"/>
      <c r="S5401" s="20"/>
    </row>
    <row r="5402">
      <c r="A5402" s="23"/>
      <c r="B5402" s="21"/>
      <c r="C5402" s="23"/>
      <c r="D5402" s="24"/>
      <c r="E5402" s="14"/>
      <c r="F5402" s="14"/>
      <c r="G5402" s="14"/>
      <c r="H5402" s="23"/>
      <c r="I5402" s="23"/>
      <c r="J5402" s="23"/>
      <c r="K5402" s="30"/>
      <c r="L5402" s="23"/>
      <c r="M5402" s="50" t="s">
        <v>10178</v>
      </c>
      <c r="N5402" s="51"/>
      <c r="O5402" s="20"/>
      <c r="P5402" s="20"/>
      <c r="Q5402" s="20"/>
      <c r="R5402" s="20"/>
      <c r="S5402" s="20"/>
    </row>
    <row r="5403">
      <c r="A5403" s="10"/>
      <c r="B5403" s="11"/>
      <c r="C5403" s="10"/>
      <c r="D5403" s="13"/>
      <c r="E5403" s="14"/>
      <c r="F5403" s="14"/>
      <c r="G5403" s="14"/>
      <c r="H5403" s="10"/>
      <c r="I5403" s="10"/>
      <c r="J5403" s="10"/>
      <c r="K5403" s="46"/>
      <c r="L5403" s="10"/>
      <c r="M5403" s="44" t="s">
        <v>10178</v>
      </c>
      <c r="N5403" s="45"/>
      <c r="O5403" s="20"/>
      <c r="P5403" s="20"/>
      <c r="Q5403" s="20"/>
      <c r="R5403" s="20"/>
      <c r="S5403" s="20"/>
    </row>
    <row r="5404">
      <c r="A5404" s="23"/>
      <c r="B5404" s="21"/>
      <c r="C5404" s="23"/>
      <c r="D5404" s="24"/>
      <c r="E5404" s="14"/>
      <c r="F5404" s="14"/>
      <c r="G5404" s="14"/>
      <c r="H5404" s="23"/>
      <c r="I5404" s="23"/>
      <c r="J5404" s="23"/>
      <c r="K5404" s="30"/>
      <c r="L5404" s="23"/>
      <c r="M5404" s="50" t="s">
        <v>10178</v>
      </c>
      <c r="N5404" s="51"/>
      <c r="O5404" s="20"/>
      <c r="P5404" s="20"/>
      <c r="Q5404" s="20"/>
      <c r="R5404" s="20"/>
      <c r="S5404" s="20"/>
    </row>
    <row r="5405">
      <c r="A5405" s="10"/>
      <c r="B5405" s="11"/>
      <c r="C5405" s="10"/>
      <c r="D5405" s="13"/>
      <c r="E5405" s="14"/>
      <c r="F5405" s="14"/>
      <c r="G5405" s="14"/>
      <c r="H5405" s="10"/>
      <c r="I5405" s="10"/>
      <c r="J5405" s="10"/>
      <c r="K5405" s="46"/>
      <c r="L5405" s="10"/>
      <c r="M5405" s="44" t="s">
        <v>10178</v>
      </c>
      <c r="N5405" s="45"/>
      <c r="O5405" s="20"/>
      <c r="P5405" s="20"/>
      <c r="Q5405" s="20"/>
      <c r="R5405" s="20"/>
      <c r="S5405" s="20"/>
    </row>
    <row r="5406">
      <c r="A5406" s="23"/>
      <c r="B5406" s="21"/>
      <c r="C5406" s="23"/>
      <c r="D5406" s="24"/>
      <c r="E5406" s="14"/>
      <c r="F5406" s="14"/>
      <c r="G5406" s="14"/>
      <c r="H5406" s="23"/>
      <c r="I5406" s="23"/>
      <c r="J5406" s="23"/>
      <c r="K5406" s="30"/>
      <c r="L5406" s="23"/>
      <c r="M5406" s="50" t="s">
        <v>10178</v>
      </c>
      <c r="N5406" s="51"/>
      <c r="O5406" s="20"/>
      <c r="P5406" s="20"/>
      <c r="Q5406" s="20"/>
      <c r="R5406" s="20"/>
      <c r="S5406" s="20"/>
    </row>
    <row r="5407">
      <c r="A5407" s="10"/>
      <c r="B5407" s="11"/>
      <c r="C5407" s="10"/>
      <c r="D5407" s="13"/>
      <c r="E5407" s="14"/>
      <c r="F5407" s="14"/>
      <c r="G5407" s="14"/>
      <c r="H5407" s="10"/>
      <c r="I5407" s="10"/>
      <c r="J5407" s="10"/>
      <c r="K5407" s="46"/>
      <c r="L5407" s="10"/>
      <c r="M5407" s="44" t="s">
        <v>10178</v>
      </c>
      <c r="N5407" s="45"/>
      <c r="O5407" s="20"/>
      <c r="P5407" s="20"/>
      <c r="Q5407" s="20"/>
      <c r="R5407" s="20"/>
      <c r="S5407" s="20"/>
    </row>
    <row r="5408">
      <c r="A5408" s="23"/>
      <c r="B5408" s="21"/>
      <c r="C5408" s="23"/>
      <c r="D5408" s="24"/>
      <c r="E5408" s="14"/>
      <c r="F5408" s="14"/>
      <c r="G5408" s="14"/>
      <c r="H5408" s="23"/>
      <c r="I5408" s="23"/>
      <c r="J5408" s="23"/>
      <c r="K5408" s="30"/>
      <c r="L5408" s="23"/>
      <c r="M5408" s="50" t="s">
        <v>10178</v>
      </c>
      <c r="N5408" s="51"/>
      <c r="O5408" s="20"/>
      <c r="P5408" s="20"/>
      <c r="Q5408" s="20"/>
      <c r="R5408" s="20"/>
      <c r="S5408" s="20"/>
    </row>
    <row r="5409">
      <c r="A5409" s="10"/>
      <c r="B5409" s="11"/>
      <c r="C5409" s="10"/>
      <c r="D5409" s="13"/>
      <c r="E5409" s="14"/>
      <c r="F5409" s="14"/>
      <c r="G5409" s="14"/>
      <c r="H5409" s="10"/>
      <c r="I5409" s="10"/>
      <c r="J5409" s="10"/>
      <c r="K5409" s="46"/>
      <c r="L5409" s="10"/>
      <c r="M5409" s="44" t="s">
        <v>10178</v>
      </c>
      <c r="N5409" s="45"/>
      <c r="O5409" s="20"/>
      <c r="P5409" s="20"/>
      <c r="Q5409" s="20"/>
      <c r="R5409" s="20"/>
      <c r="S5409" s="20"/>
    </row>
    <row r="5410">
      <c r="A5410" s="23"/>
      <c r="B5410" s="21"/>
      <c r="C5410" s="23"/>
      <c r="D5410" s="24"/>
      <c r="E5410" s="14"/>
      <c r="F5410" s="14"/>
      <c r="G5410" s="14"/>
      <c r="H5410" s="23"/>
      <c r="I5410" s="23"/>
      <c r="J5410" s="23"/>
      <c r="K5410" s="30"/>
      <c r="L5410" s="23"/>
      <c r="M5410" s="50" t="s">
        <v>10178</v>
      </c>
      <c r="N5410" s="51"/>
      <c r="O5410" s="20"/>
      <c r="P5410" s="20"/>
      <c r="Q5410" s="20"/>
      <c r="R5410" s="20"/>
      <c r="S5410" s="20"/>
    </row>
    <row r="5411">
      <c r="A5411" s="10"/>
      <c r="B5411" s="11"/>
      <c r="C5411" s="10"/>
      <c r="D5411" s="13"/>
      <c r="E5411" s="14"/>
      <c r="F5411" s="14"/>
      <c r="G5411" s="14"/>
      <c r="H5411" s="10"/>
      <c r="I5411" s="10"/>
      <c r="J5411" s="10"/>
      <c r="K5411" s="46"/>
      <c r="L5411" s="10"/>
      <c r="M5411" s="44" t="s">
        <v>10178</v>
      </c>
      <c r="N5411" s="45"/>
      <c r="O5411" s="20"/>
      <c r="P5411" s="20"/>
      <c r="Q5411" s="20"/>
      <c r="R5411" s="20"/>
      <c r="S5411" s="20"/>
    </row>
    <row r="5412">
      <c r="A5412" s="23"/>
      <c r="B5412" s="21"/>
      <c r="C5412" s="23"/>
      <c r="D5412" s="24"/>
      <c r="E5412" s="14"/>
      <c r="F5412" s="14"/>
      <c r="G5412" s="14"/>
      <c r="H5412" s="23"/>
      <c r="I5412" s="23"/>
      <c r="J5412" s="23"/>
      <c r="K5412" s="30"/>
      <c r="L5412" s="23"/>
      <c r="M5412" s="50" t="s">
        <v>10178</v>
      </c>
      <c r="N5412" s="51"/>
      <c r="O5412" s="20"/>
      <c r="P5412" s="20"/>
      <c r="Q5412" s="20"/>
      <c r="R5412" s="20"/>
      <c r="S5412" s="20"/>
    </row>
    <row r="5413">
      <c r="A5413" s="10"/>
      <c r="B5413" s="11"/>
      <c r="C5413" s="10"/>
      <c r="D5413" s="13"/>
      <c r="E5413" s="14"/>
      <c r="F5413" s="14"/>
      <c r="G5413" s="14"/>
      <c r="H5413" s="10"/>
      <c r="I5413" s="10"/>
      <c r="J5413" s="10"/>
      <c r="K5413" s="46"/>
      <c r="L5413" s="10"/>
      <c r="M5413" s="44" t="s">
        <v>10178</v>
      </c>
      <c r="N5413" s="45"/>
      <c r="O5413" s="20"/>
      <c r="P5413" s="20"/>
      <c r="Q5413" s="20"/>
      <c r="R5413" s="20"/>
      <c r="S5413" s="20"/>
    </row>
    <row r="5414">
      <c r="A5414" s="23"/>
      <c r="B5414" s="21"/>
      <c r="C5414" s="23"/>
      <c r="D5414" s="24"/>
      <c r="E5414" s="14"/>
      <c r="F5414" s="14"/>
      <c r="G5414" s="14"/>
      <c r="H5414" s="23"/>
      <c r="I5414" s="23"/>
      <c r="J5414" s="23"/>
      <c r="K5414" s="30"/>
      <c r="L5414" s="23"/>
      <c r="M5414" s="50" t="s">
        <v>10178</v>
      </c>
      <c r="N5414" s="51"/>
      <c r="O5414" s="20"/>
      <c r="P5414" s="20"/>
      <c r="Q5414" s="20"/>
      <c r="R5414" s="20"/>
      <c r="S5414" s="20"/>
    </row>
    <row r="5415">
      <c r="A5415" s="10"/>
      <c r="B5415" s="11"/>
      <c r="C5415" s="10"/>
      <c r="D5415" s="13"/>
      <c r="E5415" s="14"/>
      <c r="F5415" s="14"/>
      <c r="G5415" s="14"/>
      <c r="H5415" s="10"/>
      <c r="I5415" s="10"/>
      <c r="J5415" s="10"/>
      <c r="K5415" s="46"/>
      <c r="L5415" s="10"/>
      <c r="M5415" s="44" t="s">
        <v>10178</v>
      </c>
      <c r="N5415" s="45"/>
      <c r="O5415" s="20"/>
      <c r="P5415" s="20"/>
      <c r="Q5415" s="20"/>
      <c r="R5415" s="20"/>
      <c r="S5415" s="20"/>
    </row>
    <row r="5416">
      <c r="A5416" s="23"/>
      <c r="B5416" s="21"/>
      <c r="C5416" s="23"/>
      <c r="D5416" s="24"/>
      <c r="E5416" s="14"/>
      <c r="F5416" s="14"/>
      <c r="G5416" s="14"/>
      <c r="H5416" s="23"/>
      <c r="I5416" s="23"/>
      <c r="J5416" s="23"/>
      <c r="K5416" s="30"/>
      <c r="L5416" s="23"/>
      <c r="M5416" s="50" t="s">
        <v>10178</v>
      </c>
      <c r="N5416" s="51"/>
      <c r="O5416" s="20"/>
      <c r="P5416" s="20"/>
      <c r="Q5416" s="20"/>
      <c r="R5416" s="20"/>
      <c r="S5416" s="20"/>
    </row>
    <row r="5417">
      <c r="A5417" s="10"/>
      <c r="B5417" s="11"/>
      <c r="C5417" s="10"/>
      <c r="D5417" s="13"/>
      <c r="E5417" s="14"/>
      <c r="F5417" s="14"/>
      <c r="G5417" s="14"/>
      <c r="H5417" s="10"/>
      <c r="I5417" s="10"/>
      <c r="J5417" s="10"/>
      <c r="K5417" s="46"/>
      <c r="L5417" s="10"/>
      <c r="M5417" s="44" t="s">
        <v>10178</v>
      </c>
      <c r="N5417" s="45"/>
      <c r="O5417" s="20"/>
      <c r="P5417" s="20"/>
      <c r="Q5417" s="20"/>
      <c r="R5417" s="20"/>
      <c r="S5417" s="20"/>
    </row>
    <row r="5418">
      <c r="A5418" s="23"/>
      <c r="B5418" s="21"/>
      <c r="C5418" s="23"/>
      <c r="D5418" s="24"/>
      <c r="E5418" s="14"/>
      <c r="F5418" s="14"/>
      <c r="G5418" s="14"/>
      <c r="H5418" s="23"/>
      <c r="I5418" s="23"/>
      <c r="J5418" s="23"/>
      <c r="K5418" s="30"/>
      <c r="L5418" s="23"/>
      <c r="M5418" s="50" t="s">
        <v>10178</v>
      </c>
      <c r="N5418" s="51"/>
      <c r="O5418" s="20"/>
      <c r="P5418" s="20"/>
      <c r="Q5418" s="20"/>
      <c r="R5418" s="20"/>
      <c r="S5418" s="20"/>
    </row>
    <row r="5419">
      <c r="A5419" s="10"/>
      <c r="B5419" s="11"/>
      <c r="C5419" s="10"/>
      <c r="D5419" s="13"/>
      <c r="E5419" s="14"/>
      <c r="F5419" s="14"/>
      <c r="G5419" s="14"/>
      <c r="H5419" s="10"/>
      <c r="I5419" s="10"/>
      <c r="J5419" s="10"/>
      <c r="K5419" s="46"/>
      <c r="L5419" s="10"/>
      <c r="M5419" s="44" t="s">
        <v>10178</v>
      </c>
      <c r="N5419" s="45"/>
      <c r="O5419" s="20"/>
      <c r="P5419" s="20"/>
      <c r="Q5419" s="20"/>
      <c r="R5419" s="20"/>
      <c r="S5419" s="20"/>
    </row>
    <row r="5420">
      <c r="A5420" s="23"/>
      <c r="B5420" s="21"/>
      <c r="C5420" s="23"/>
      <c r="D5420" s="24"/>
      <c r="E5420" s="14"/>
      <c r="F5420" s="14"/>
      <c r="G5420" s="14"/>
      <c r="H5420" s="23"/>
      <c r="I5420" s="23"/>
      <c r="J5420" s="23"/>
      <c r="K5420" s="30"/>
      <c r="L5420" s="23"/>
      <c r="M5420" s="50" t="s">
        <v>10178</v>
      </c>
      <c r="N5420" s="51"/>
      <c r="O5420" s="20"/>
      <c r="P5420" s="20"/>
      <c r="Q5420" s="20"/>
      <c r="R5420" s="20"/>
      <c r="S5420" s="20"/>
    </row>
    <row r="5421">
      <c r="A5421" s="10"/>
      <c r="B5421" s="11"/>
      <c r="C5421" s="10"/>
      <c r="D5421" s="13"/>
      <c r="E5421" s="14"/>
      <c r="F5421" s="14"/>
      <c r="G5421" s="14"/>
      <c r="H5421" s="10"/>
      <c r="I5421" s="10"/>
      <c r="J5421" s="10"/>
      <c r="K5421" s="46"/>
      <c r="L5421" s="10"/>
      <c r="M5421" s="44" t="s">
        <v>10178</v>
      </c>
      <c r="N5421" s="45"/>
      <c r="O5421" s="20"/>
      <c r="P5421" s="20"/>
      <c r="Q5421" s="20"/>
      <c r="R5421" s="20"/>
      <c r="S5421" s="20"/>
    </row>
    <row r="5422">
      <c r="A5422" s="23"/>
      <c r="B5422" s="21"/>
      <c r="C5422" s="23"/>
      <c r="D5422" s="24"/>
      <c r="E5422" s="14"/>
      <c r="F5422" s="14"/>
      <c r="G5422" s="14"/>
      <c r="H5422" s="23"/>
      <c r="I5422" s="23"/>
      <c r="J5422" s="23"/>
      <c r="K5422" s="30"/>
      <c r="L5422" s="23"/>
      <c r="M5422" s="50" t="s">
        <v>10178</v>
      </c>
      <c r="N5422" s="51"/>
      <c r="O5422" s="20"/>
      <c r="P5422" s="20"/>
      <c r="Q5422" s="20"/>
      <c r="R5422" s="20"/>
      <c r="S5422" s="20"/>
    </row>
    <row r="5423">
      <c r="A5423" s="10"/>
      <c r="B5423" s="11"/>
      <c r="C5423" s="10"/>
      <c r="D5423" s="13"/>
      <c r="E5423" s="14"/>
      <c r="F5423" s="14"/>
      <c r="G5423" s="14"/>
      <c r="H5423" s="10"/>
      <c r="I5423" s="10"/>
      <c r="J5423" s="10"/>
      <c r="K5423" s="46"/>
      <c r="L5423" s="10"/>
      <c r="M5423" s="44" t="s">
        <v>10178</v>
      </c>
      <c r="N5423" s="45"/>
      <c r="O5423" s="20"/>
      <c r="P5423" s="20"/>
      <c r="Q5423" s="20"/>
      <c r="R5423" s="20"/>
      <c r="S5423" s="20"/>
    </row>
    <row r="5424">
      <c r="A5424" s="23"/>
      <c r="B5424" s="21"/>
      <c r="C5424" s="23"/>
      <c r="D5424" s="24"/>
      <c r="E5424" s="14"/>
      <c r="F5424" s="14"/>
      <c r="G5424" s="14"/>
      <c r="H5424" s="23"/>
      <c r="I5424" s="23"/>
      <c r="J5424" s="23"/>
      <c r="K5424" s="30"/>
      <c r="L5424" s="23"/>
      <c r="M5424" s="50" t="s">
        <v>10178</v>
      </c>
      <c r="N5424" s="51"/>
      <c r="O5424" s="20"/>
      <c r="P5424" s="20"/>
      <c r="Q5424" s="20"/>
      <c r="R5424" s="20"/>
      <c r="S5424" s="20"/>
    </row>
    <row r="5425">
      <c r="A5425" s="10"/>
      <c r="B5425" s="11"/>
      <c r="C5425" s="10"/>
      <c r="D5425" s="13"/>
      <c r="E5425" s="14"/>
      <c r="F5425" s="14"/>
      <c r="G5425" s="14"/>
      <c r="H5425" s="10"/>
      <c r="I5425" s="10"/>
      <c r="J5425" s="10"/>
      <c r="K5425" s="46"/>
      <c r="L5425" s="10"/>
      <c r="M5425" s="44" t="s">
        <v>10178</v>
      </c>
      <c r="N5425" s="45"/>
      <c r="O5425" s="20"/>
      <c r="P5425" s="20"/>
      <c r="Q5425" s="20"/>
      <c r="R5425" s="20"/>
      <c r="S5425" s="20"/>
    </row>
    <row r="5426">
      <c r="A5426" s="23"/>
      <c r="B5426" s="21"/>
      <c r="C5426" s="23"/>
      <c r="D5426" s="24"/>
      <c r="E5426" s="14"/>
      <c r="F5426" s="14"/>
      <c r="G5426" s="14"/>
      <c r="H5426" s="23"/>
      <c r="I5426" s="23"/>
      <c r="J5426" s="23"/>
      <c r="K5426" s="30"/>
      <c r="L5426" s="23"/>
      <c r="M5426" s="50" t="s">
        <v>10178</v>
      </c>
      <c r="N5426" s="51"/>
      <c r="O5426" s="20"/>
      <c r="P5426" s="20"/>
      <c r="Q5426" s="20"/>
      <c r="R5426" s="20"/>
      <c r="S5426" s="20"/>
    </row>
    <row r="5427">
      <c r="A5427" s="10"/>
      <c r="B5427" s="11"/>
      <c r="C5427" s="10"/>
      <c r="D5427" s="13"/>
      <c r="E5427" s="14"/>
      <c r="F5427" s="14"/>
      <c r="G5427" s="14"/>
      <c r="H5427" s="10"/>
      <c r="I5427" s="10"/>
      <c r="J5427" s="10"/>
      <c r="K5427" s="46"/>
      <c r="L5427" s="10"/>
      <c r="M5427" s="44" t="s">
        <v>10178</v>
      </c>
      <c r="N5427" s="45"/>
      <c r="O5427" s="20"/>
      <c r="P5427" s="20"/>
      <c r="Q5427" s="20"/>
      <c r="R5427" s="20"/>
      <c r="S5427" s="20"/>
    </row>
    <row r="5428">
      <c r="A5428" s="23"/>
      <c r="B5428" s="21"/>
      <c r="C5428" s="23"/>
      <c r="D5428" s="24"/>
      <c r="E5428" s="14"/>
      <c r="F5428" s="14"/>
      <c r="G5428" s="14"/>
      <c r="H5428" s="23"/>
      <c r="I5428" s="23"/>
      <c r="J5428" s="23"/>
      <c r="K5428" s="30"/>
      <c r="L5428" s="23"/>
      <c r="M5428" s="50" t="s">
        <v>10178</v>
      </c>
      <c r="N5428" s="51"/>
      <c r="O5428" s="20"/>
      <c r="P5428" s="20"/>
      <c r="Q5428" s="20"/>
      <c r="R5428" s="20"/>
      <c r="S5428" s="20"/>
    </row>
    <row r="5429">
      <c r="A5429" s="10"/>
      <c r="B5429" s="11"/>
      <c r="C5429" s="10"/>
      <c r="D5429" s="13"/>
      <c r="E5429" s="14"/>
      <c r="F5429" s="14"/>
      <c r="G5429" s="14"/>
      <c r="H5429" s="10"/>
      <c r="I5429" s="10"/>
      <c r="J5429" s="10"/>
      <c r="K5429" s="46"/>
      <c r="L5429" s="10"/>
      <c r="M5429" s="44" t="s">
        <v>10178</v>
      </c>
      <c r="N5429" s="45"/>
      <c r="O5429" s="20"/>
      <c r="P5429" s="20"/>
      <c r="Q5429" s="20"/>
      <c r="R5429" s="20"/>
      <c r="S5429" s="20"/>
    </row>
    <row r="5430">
      <c r="A5430" s="23"/>
      <c r="B5430" s="21"/>
      <c r="C5430" s="23"/>
      <c r="D5430" s="24"/>
      <c r="E5430" s="14"/>
      <c r="F5430" s="14"/>
      <c r="G5430" s="14"/>
      <c r="H5430" s="23"/>
      <c r="I5430" s="23"/>
      <c r="J5430" s="23"/>
      <c r="K5430" s="30"/>
      <c r="L5430" s="23"/>
      <c r="M5430" s="50" t="s">
        <v>10178</v>
      </c>
      <c r="N5430" s="51"/>
      <c r="O5430" s="20"/>
      <c r="P5430" s="20"/>
      <c r="Q5430" s="20"/>
      <c r="R5430" s="20"/>
      <c r="S5430" s="20"/>
    </row>
    <row r="5431">
      <c r="A5431" s="10"/>
      <c r="B5431" s="11"/>
      <c r="C5431" s="10"/>
      <c r="D5431" s="13"/>
      <c r="E5431" s="14"/>
      <c r="F5431" s="14"/>
      <c r="G5431" s="14"/>
      <c r="H5431" s="10"/>
      <c r="I5431" s="10"/>
      <c r="J5431" s="10"/>
      <c r="K5431" s="46"/>
      <c r="L5431" s="10"/>
      <c r="M5431" s="44" t="s">
        <v>10178</v>
      </c>
      <c r="N5431" s="45"/>
      <c r="O5431" s="20"/>
      <c r="P5431" s="20"/>
      <c r="Q5431" s="20"/>
      <c r="R5431" s="20"/>
      <c r="S5431" s="20"/>
    </row>
    <row r="5432">
      <c r="A5432" s="23"/>
      <c r="B5432" s="21"/>
      <c r="C5432" s="23"/>
      <c r="D5432" s="24"/>
      <c r="E5432" s="14"/>
      <c r="F5432" s="14"/>
      <c r="G5432" s="14"/>
      <c r="H5432" s="23"/>
      <c r="I5432" s="23"/>
      <c r="J5432" s="23"/>
      <c r="K5432" s="30"/>
      <c r="L5432" s="23"/>
      <c r="M5432" s="50" t="s">
        <v>10178</v>
      </c>
      <c r="N5432" s="51"/>
      <c r="O5432" s="20"/>
      <c r="P5432" s="20"/>
      <c r="Q5432" s="20"/>
      <c r="R5432" s="20"/>
      <c r="S5432" s="20"/>
    </row>
    <row r="5433">
      <c r="A5433" s="10"/>
      <c r="B5433" s="11"/>
      <c r="C5433" s="10"/>
      <c r="D5433" s="13"/>
      <c r="E5433" s="14"/>
      <c r="F5433" s="14"/>
      <c r="G5433" s="14"/>
      <c r="H5433" s="10"/>
      <c r="I5433" s="10"/>
      <c r="J5433" s="10"/>
      <c r="K5433" s="46"/>
      <c r="L5433" s="10"/>
      <c r="M5433" s="44" t="s">
        <v>10178</v>
      </c>
      <c r="N5433" s="45"/>
      <c r="O5433" s="20"/>
      <c r="P5433" s="20"/>
      <c r="Q5433" s="20"/>
      <c r="R5433" s="20"/>
      <c r="S5433" s="20"/>
    </row>
    <row r="5434">
      <c r="A5434" s="23"/>
      <c r="B5434" s="21"/>
      <c r="C5434" s="23"/>
      <c r="D5434" s="24"/>
      <c r="E5434" s="14"/>
      <c r="F5434" s="14"/>
      <c r="G5434" s="14"/>
      <c r="H5434" s="23"/>
      <c r="I5434" s="23"/>
      <c r="J5434" s="23"/>
      <c r="K5434" s="30"/>
      <c r="L5434" s="23"/>
      <c r="M5434" s="50" t="s">
        <v>10178</v>
      </c>
      <c r="N5434" s="51"/>
      <c r="O5434" s="20"/>
      <c r="P5434" s="20"/>
      <c r="Q5434" s="20"/>
      <c r="R5434" s="20"/>
      <c r="S5434" s="20"/>
    </row>
    <row r="5435">
      <c r="A5435" s="10"/>
      <c r="B5435" s="11"/>
      <c r="C5435" s="10"/>
      <c r="D5435" s="13"/>
      <c r="E5435" s="14"/>
      <c r="F5435" s="14"/>
      <c r="G5435" s="14"/>
      <c r="H5435" s="10"/>
      <c r="I5435" s="10"/>
      <c r="J5435" s="10"/>
      <c r="K5435" s="46"/>
      <c r="L5435" s="10"/>
      <c r="M5435" s="44" t="s">
        <v>10178</v>
      </c>
      <c r="N5435" s="45"/>
      <c r="O5435" s="20"/>
      <c r="P5435" s="20"/>
      <c r="Q5435" s="20"/>
      <c r="R5435" s="20"/>
      <c r="S5435" s="20"/>
    </row>
    <row r="5436">
      <c r="A5436" s="23"/>
      <c r="B5436" s="21"/>
      <c r="C5436" s="23"/>
      <c r="D5436" s="24"/>
      <c r="E5436" s="14"/>
      <c r="F5436" s="14"/>
      <c r="G5436" s="14"/>
      <c r="H5436" s="23"/>
      <c r="I5436" s="23"/>
      <c r="J5436" s="23"/>
      <c r="K5436" s="30"/>
      <c r="L5436" s="23"/>
      <c r="M5436" s="50" t="s">
        <v>10178</v>
      </c>
      <c r="N5436" s="51"/>
      <c r="O5436" s="20"/>
      <c r="P5436" s="20"/>
      <c r="Q5436" s="20"/>
      <c r="R5436" s="20"/>
      <c r="S5436" s="20"/>
    </row>
    <row r="5437">
      <c r="A5437" s="10"/>
      <c r="B5437" s="11"/>
      <c r="C5437" s="10"/>
      <c r="D5437" s="13"/>
      <c r="E5437" s="14"/>
      <c r="F5437" s="14"/>
      <c r="G5437" s="14"/>
      <c r="H5437" s="10"/>
      <c r="I5437" s="10"/>
      <c r="J5437" s="10"/>
      <c r="K5437" s="46"/>
      <c r="L5437" s="10"/>
      <c r="M5437" s="44" t="s">
        <v>10178</v>
      </c>
      <c r="N5437" s="45"/>
      <c r="O5437" s="20"/>
      <c r="P5437" s="20"/>
      <c r="Q5437" s="20"/>
      <c r="R5437" s="20"/>
      <c r="S5437" s="20"/>
    </row>
    <row r="5438">
      <c r="A5438" s="23"/>
      <c r="B5438" s="21"/>
      <c r="C5438" s="23"/>
      <c r="D5438" s="24"/>
      <c r="E5438" s="14"/>
      <c r="F5438" s="14"/>
      <c r="G5438" s="14"/>
      <c r="H5438" s="23"/>
      <c r="I5438" s="23"/>
      <c r="J5438" s="23"/>
      <c r="K5438" s="30"/>
      <c r="L5438" s="23"/>
      <c r="M5438" s="50" t="s">
        <v>10178</v>
      </c>
      <c r="N5438" s="51"/>
      <c r="O5438" s="20"/>
      <c r="P5438" s="20"/>
      <c r="Q5438" s="20"/>
      <c r="R5438" s="20"/>
      <c r="S5438" s="20"/>
    </row>
    <row r="5439">
      <c r="A5439" s="10"/>
      <c r="B5439" s="11"/>
      <c r="C5439" s="10"/>
      <c r="D5439" s="13"/>
      <c r="E5439" s="14"/>
      <c r="F5439" s="14"/>
      <c r="G5439" s="14"/>
      <c r="H5439" s="10"/>
      <c r="I5439" s="10"/>
      <c r="J5439" s="10"/>
      <c r="K5439" s="46"/>
      <c r="L5439" s="10"/>
      <c r="M5439" s="44" t="s">
        <v>10178</v>
      </c>
      <c r="N5439" s="45"/>
      <c r="O5439" s="20"/>
      <c r="P5439" s="20"/>
      <c r="Q5439" s="20"/>
      <c r="R5439" s="20"/>
      <c r="S5439" s="20"/>
    </row>
    <row r="5440">
      <c r="A5440" s="23"/>
      <c r="B5440" s="21"/>
      <c r="C5440" s="23"/>
      <c r="D5440" s="24"/>
      <c r="E5440" s="14"/>
      <c r="F5440" s="14"/>
      <c r="G5440" s="14"/>
      <c r="H5440" s="23"/>
      <c r="I5440" s="23"/>
      <c r="J5440" s="23"/>
      <c r="K5440" s="30"/>
      <c r="L5440" s="23"/>
      <c r="M5440" s="50" t="s">
        <v>10178</v>
      </c>
      <c r="N5440" s="51"/>
      <c r="O5440" s="20"/>
      <c r="P5440" s="20"/>
      <c r="Q5440" s="20"/>
      <c r="R5440" s="20"/>
      <c r="S5440" s="20"/>
    </row>
    <row r="5441">
      <c r="A5441" s="10"/>
      <c r="B5441" s="11"/>
      <c r="C5441" s="10"/>
      <c r="D5441" s="13"/>
      <c r="E5441" s="14"/>
      <c r="F5441" s="14"/>
      <c r="G5441" s="14"/>
      <c r="H5441" s="10"/>
      <c r="I5441" s="10"/>
      <c r="J5441" s="10"/>
      <c r="K5441" s="46"/>
      <c r="L5441" s="10"/>
      <c r="M5441" s="44" t="s">
        <v>10178</v>
      </c>
      <c r="N5441" s="45"/>
      <c r="O5441" s="20"/>
      <c r="P5441" s="20"/>
      <c r="Q5441" s="20"/>
      <c r="R5441" s="20"/>
      <c r="S5441" s="20"/>
    </row>
    <row r="5442">
      <c r="A5442" s="23"/>
      <c r="B5442" s="21"/>
      <c r="C5442" s="23"/>
      <c r="D5442" s="24"/>
      <c r="E5442" s="14"/>
      <c r="F5442" s="14"/>
      <c r="G5442" s="14"/>
      <c r="H5442" s="23"/>
      <c r="I5442" s="23"/>
      <c r="J5442" s="23"/>
      <c r="K5442" s="30"/>
      <c r="L5442" s="23"/>
      <c r="M5442" s="50" t="s">
        <v>10178</v>
      </c>
      <c r="N5442" s="51"/>
      <c r="O5442" s="20"/>
      <c r="P5442" s="20"/>
      <c r="Q5442" s="20"/>
      <c r="R5442" s="20"/>
      <c r="S5442" s="20"/>
    </row>
    <row r="5443">
      <c r="A5443" s="10"/>
      <c r="B5443" s="11"/>
      <c r="C5443" s="10"/>
      <c r="D5443" s="13"/>
      <c r="E5443" s="14"/>
      <c r="F5443" s="14"/>
      <c r="G5443" s="14"/>
      <c r="H5443" s="10"/>
      <c r="I5443" s="10"/>
      <c r="J5443" s="10"/>
      <c r="K5443" s="46"/>
      <c r="L5443" s="10"/>
      <c r="M5443" s="44" t="s">
        <v>10178</v>
      </c>
      <c r="N5443" s="45"/>
      <c r="O5443" s="20"/>
      <c r="P5443" s="20"/>
      <c r="Q5443" s="20"/>
      <c r="R5443" s="20"/>
      <c r="S5443" s="20"/>
    </row>
    <row r="5444">
      <c r="A5444" s="23"/>
      <c r="B5444" s="21"/>
      <c r="C5444" s="23"/>
      <c r="D5444" s="24"/>
      <c r="E5444" s="14"/>
      <c r="F5444" s="14"/>
      <c r="G5444" s="14"/>
      <c r="H5444" s="23"/>
      <c r="I5444" s="23"/>
      <c r="J5444" s="23"/>
      <c r="K5444" s="30"/>
      <c r="L5444" s="23"/>
      <c r="M5444" s="50" t="s">
        <v>10178</v>
      </c>
      <c r="N5444" s="51"/>
      <c r="O5444" s="20"/>
      <c r="P5444" s="20"/>
      <c r="Q5444" s="20"/>
      <c r="R5444" s="20"/>
      <c r="S5444" s="20"/>
    </row>
    <row r="5445">
      <c r="A5445" s="10"/>
      <c r="B5445" s="11"/>
      <c r="C5445" s="10"/>
      <c r="D5445" s="13"/>
      <c r="E5445" s="14"/>
      <c r="F5445" s="14"/>
      <c r="G5445" s="14"/>
      <c r="H5445" s="10"/>
      <c r="I5445" s="10"/>
      <c r="J5445" s="10"/>
      <c r="K5445" s="46"/>
      <c r="L5445" s="10"/>
      <c r="M5445" s="44" t="s">
        <v>10178</v>
      </c>
      <c r="N5445" s="45"/>
      <c r="O5445" s="20"/>
      <c r="P5445" s="20"/>
      <c r="Q5445" s="20"/>
      <c r="R5445" s="20"/>
      <c r="S5445" s="20"/>
    </row>
    <row r="5446">
      <c r="A5446" s="23"/>
      <c r="B5446" s="21"/>
      <c r="C5446" s="23"/>
      <c r="D5446" s="24"/>
      <c r="E5446" s="14"/>
      <c r="F5446" s="14"/>
      <c r="G5446" s="14"/>
      <c r="H5446" s="23"/>
      <c r="I5446" s="23"/>
      <c r="J5446" s="23"/>
      <c r="K5446" s="30"/>
      <c r="L5446" s="23"/>
      <c r="M5446" s="50" t="s">
        <v>10178</v>
      </c>
      <c r="N5446" s="51"/>
      <c r="O5446" s="20"/>
      <c r="P5446" s="20"/>
      <c r="Q5446" s="20"/>
      <c r="R5446" s="20"/>
      <c r="S5446" s="20"/>
    </row>
    <row r="5447">
      <c r="A5447" s="10"/>
      <c r="B5447" s="11"/>
      <c r="C5447" s="10"/>
      <c r="D5447" s="13"/>
      <c r="E5447" s="14"/>
      <c r="F5447" s="14"/>
      <c r="G5447" s="14"/>
      <c r="H5447" s="10"/>
      <c r="I5447" s="10"/>
      <c r="J5447" s="10"/>
      <c r="K5447" s="46"/>
      <c r="L5447" s="10"/>
      <c r="M5447" s="44" t="s">
        <v>10178</v>
      </c>
      <c r="N5447" s="45"/>
      <c r="O5447" s="20"/>
      <c r="P5447" s="20"/>
      <c r="Q5447" s="20"/>
      <c r="R5447" s="20"/>
      <c r="S5447" s="20"/>
    </row>
    <row r="5448">
      <c r="A5448" s="23"/>
      <c r="B5448" s="21"/>
      <c r="C5448" s="23"/>
      <c r="D5448" s="24"/>
      <c r="E5448" s="14"/>
      <c r="F5448" s="14"/>
      <c r="G5448" s="14"/>
      <c r="H5448" s="23"/>
      <c r="I5448" s="23"/>
      <c r="J5448" s="23"/>
      <c r="K5448" s="30"/>
      <c r="L5448" s="23"/>
      <c r="M5448" s="50" t="s">
        <v>10178</v>
      </c>
      <c r="N5448" s="51"/>
      <c r="O5448" s="20"/>
      <c r="P5448" s="20"/>
      <c r="Q5448" s="20"/>
      <c r="R5448" s="20"/>
      <c r="S5448" s="20"/>
    </row>
    <row r="5449">
      <c r="A5449" s="10"/>
      <c r="B5449" s="11"/>
      <c r="C5449" s="10"/>
      <c r="D5449" s="13"/>
      <c r="E5449" s="14"/>
      <c r="F5449" s="14"/>
      <c r="G5449" s="14"/>
      <c r="H5449" s="10"/>
      <c r="I5449" s="10"/>
      <c r="J5449" s="10"/>
      <c r="K5449" s="46"/>
      <c r="L5449" s="10"/>
      <c r="M5449" s="44" t="s">
        <v>10178</v>
      </c>
      <c r="N5449" s="45"/>
      <c r="O5449" s="20"/>
      <c r="P5449" s="20"/>
      <c r="Q5449" s="20"/>
      <c r="R5449" s="20"/>
      <c r="S5449" s="20"/>
    </row>
    <row r="5450">
      <c r="A5450" s="23"/>
      <c r="B5450" s="21"/>
      <c r="C5450" s="23"/>
      <c r="D5450" s="24"/>
      <c r="E5450" s="14"/>
      <c r="F5450" s="14"/>
      <c r="G5450" s="14"/>
      <c r="H5450" s="23"/>
      <c r="I5450" s="23"/>
      <c r="J5450" s="23"/>
      <c r="K5450" s="30"/>
      <c r="L5450" s="23"/>
      <c r="M5450" s="50" t="s">
        <v>10178</v>
      </c>
      <c r="N5450" s="51"/>
      <c r="O5450" s="20"/>
      <c r="P5450" s="20"/>
      <c r="Q5450" s="20"/>
      <c r="R5450" s="20"/>
      <c r="S5450" s="20"/>
    </row>
    <row r="5451">
      <c r="A5451" s="10"/>
      <c r="B5451" s="11"/>
      <c r="C5451" s="10"/>
      <c r="D5451" s="13"/>
      <c r="E5451" s="14"/>
      <c r="F5451" s="14"/>
      <c r="G5451" s="14"/>
      <c r="H5451" s="10"/>
      <c r="I5451" s="10"/>
      <c r="J5451" s="10"/>
      <c r="K5451" s="46"/>
      <c r="L5451" s="10"/>
      <c r="M5451" s="44" t="s">
        <v>10178</v>
      </c>
      <c r="N5451" s="45"/>
      <c r="O5451" s="20"/>
      <c r="P5451" s="20"/>
      <c r="Q5451" s="20"/>
      <c r="R5451" s="20"/>
      <c r="S5451" s="20"/>
    </row>
    <row r="5452">
      <c r="A5452" s="23"/>
      <c r="B5452" s="21"/>
      <c r="C5452" s="23"/>
      <c r="D5452" s="24"/>
      <c r="E5452" s="14"/>
      <c r="F5452" s="14"/>
      <c r="G5452" s="14"/>
      <c r="H5452" s="23"/>
      <c r="I5452" s="23"/>
      <c r="J5452" s="23"/>
      <c r="K5452" s="30"/>
      <c r="L5452" s="23"/>
      <c r="M5452" s="50" t="s">
        <v>10178</v>
      </c>
      <c r="N5452" s="51"/>
      <c r="O5452" s="20"/>
      <c r="P5452" s="20"/>
      <c r="Q5452" s="20"/>
      <c r="R5452" s="20"/>
      <c r="S5452" s="20"/>
    </row>
    <row r="5453">
      <c r="A5453" s="10"/>
      <c r="B5453" s="11"/>
      <c r="C5453" s="10"/>
      <c r="D5453" s="13"/>
      <c r="E5453" s="14"/>
      <c r="F5453" s="14"/>
      <c r="G5453" s="14"/>
      <c r="H5453" s="10"/>
      <c r="I5453" s="10"/>
      <c r="J5453" s="10"/>
      <c r="K5453" s="46"/>
      <c r="L5453" s="10"/>
      <c r="M5453" s="44" t="s">
        <v>10178</v>
      </c>
      <c r="N5453" s="45"/>
      <c r="O5453" s="20"/>
      <c r="P5453" s="20"/>
      <c r="Q5453" s="20"/>
      <c r="R5453" s="20"/>
      <c r="S5453" s="20"/>
    </row>
    <row r="5454">
      <c r="A5454" s="23"/>
      <c r="B5454" s="21"/>
      <c r="C5454" s="23"/>
      <c r="D5454" s="24"/>
      <c r="E5454" s="14"/>
      <c r="F5454" s="14"/>
      <c r="G5454" s="14"/>
      <c r="H5454" s="23"/>
      <c r="I5454" s="23"/>
      <c r="J5454" s="23"/>
      <c r="K5454" s="30"/>
      <c r="L5454" s="23"/>
      <c r="M5454" s="50" t="s">
        <v>10178</v>
      </c>
      <c r="N5454" s="51"/>
      <c r="O5454" s="20"/>
      <c r="P5454" s="20"/>
      <c r="Q5454" s="20"/>
      <c r="R5454" s="20"/>
      <c r="S5454" s="20"/>
    </row>
    <row r="5455">
      <c r="A5455" s="10"/>
      <c r="B5455" s="11"/>
      <c r="C5455" s="10"/>
      <c r="D5455" s="13"/>
      <c r="E5455" s="14"/>
      <c r="F5455" s="14"/>
      <c r="G5455" s="14"/>
      <c r="H5455" s="10"/>
      <c r="I5455" s="10"/>
      <c r="J5455" s="10"/>
      <c r="K5455" s="46"/>
      <c r="L5455" s="10"/>
      <c r="M5455" s="44" t="s">
        <v>10178</v>
      </c>
      <c r="N5455" s="45"/>
      <c r="O5455" s="20"/>
      <c r="P5455" s="20"/>
      <c r="Q5455" s="20"/>
      <c r="R5455" s="20"/>
      <c r="S5455" s="20"/>
    </row>
    <row r="5456">
      <c r="A5456" s="23"/>
      <c r="B5456" s="21"/>
      <c r="C5456" s="23"/>
      <c r="D5456" s="24"/>
      <c r="E5456" s="14"/>
      <c r="F5456" s="14"/>
      <c r="G5456" s="14"/>
      <c r="H5456" s="23"/>
      <c r="I5456" s="23"/>
      <c r="J5456" s="23"/>
      <c r="K5456" s="30"/>
      <c r="L5456" s="23"/>
      <c r="M5456" s="50" t="s">
        <v>10178</v>
      </c>
      <c r="N5456" s="51"/>
      <c r="O5456" s="20"/>
      <c r="P5456" s="20"/>
      <c r="Q5456" s="20"/>
      <c r="R5456" s="20"/>
      <c r="S5456" s="20"/>
    </row>
    <row r="5457">
      <c r="A5457" s="10"/>
      <c r="B5457" s="11"/>
      <c r="C5457" s="10"/>
      <c r="D5457" s="13"/>
      <c r="E5457" s="14"/>
      <c r="F5457" s="14"/>
      <c r="G5457" s="14"/>
      <c r="H5457" s="10"/>
      <c r="I5457" s="10"/>
      <c r="J5457" s="10"/>
      <c r="K5457" s="46"/>
      <c r="L5457" s="10"/>
      <c r="M5457" s="44" t="s">
        <v>10178</v>
      </c>
      <c r="N5457" s="45"/>
      <c r="O5457" s="20"/>
      <c r="P5457" s="20"/>
      <c r="Q5457" s="20"/>
      <c r="R5457" s="20"/>
      <c r="S5457" s="20"/>
    </row>
    <row r="5458">
      <c r="A5458" s="23"/>
      <c r="B5458" s="21"/>
      <c r="C5458" s="23"/>
      <c r="D5458" s="24"/>
      <c r="E5458" s="14"/>
      <c r="F5458" s="14"/>
      <c r="G5458" s="14"/>
      <c r="H5458" s="23"/>
      <c r="I5458" s="23"/>
      <c r="J5458" s="23"/>
      <c r="K5458" s="30"/>
      <c r="L5458" s="23"/>
      <c r="M5458" s="50" t="s">
        <v>10178</v>
      </c>
      <c r="N5458" s="51"/>
      <c r="O5458" s="20"/>
      <c r="P5458" s="20"/>
      <c r="Q5458" s="20"/>
      <c r="R5458" s="20"/>
      <c r="S5458" s="20"/>
    </row>
    <row r="5459">
      <c r="A5459" s="10"/>
      <c r="B5459" s="11"/>
      <c r="C5459" s="10"/>
      <c r="D5459" s="13"/>
      <c r="E5459" s="14"/>
      <c r="F5459" s="14"/>
      <c r="G5459" s="14"/>
      <c r="H5459" s="10"/>
      <c r="I5459" s="10"/>
      <c r="J5459" s="10"/>
      <c r="K5459" s="46"/>
      <c r="L5459" s="10"/>
      <c r="M5459" s="44" t="s">
        <v>10178</v>
      </c>
      <c r="N5459" s="45"/>
      <c r="O5459" s="20"/>
      <c r="P5459" s="20"/>
      <c r="Q5459" s="20"/>
      <c r="R5459" s="20"/>
      <c r="S5459" s="20"/>
    </row>
    <row r="5460">
      <c r="A5460" s="23"/>
      <c r="B5460" s="21"/>
      <c r="C5460" s="23"/>
      <c r="D5460" s="24"/>
      <c r="E5460" s="14"/>
      <c r="F5460" s="14"/>
      <c r="G5460" s="14"/>
      <c r="H5460" s="23"/>
      <c r="I5460" s="23"/>
      <c r="J5460" s="23"/>
      <c r="K5460" s="30"/>
      <c r="L5460" s="23"/>
      <c r="M5460" s="50" t="s">
        <v>10178</v>
      </c>
      <c r="N5460" s="51"/>
      <c r="O5460" s="20"/>
      <c r="P5460" s="20"/>
      <c r="Q5460" s="20"/>
      <c r="R5460" s="20"/>
      <c r="S5460" s="20"/>
    </row>
    <row r="5461">
      <c r="A5461" s="10"/>
      <c r="B5461" s="11"/>
      <c r="C5461" s="10"/>
      <c r="D5461" s="13"/>
      <c r="E5461" s="14"/>
      <c r="F5461" s="14"/>
      <c r="G5461" s="14"/>
      <c r="H5461" s="10"/>
      <c r="I5461" s="10"/>
      <c r="J5461" s="10"/>
      <c r="K5461" s="46"/>
      <c r="L5461" s="10"/>
      <c r="M5461" s="44" t="s">
        <v>10178</v>
      </c>
      <c r="N5461" s="45"/>
      <c r="O5461" s="20"/>
      <c r="P5461" s="20"/>
      <c r="Q5461" s="20"/>
      <c r="R5461" s="20"/>
      <c r="S5461" s="20"/>
    </row>
    <row r="5462">
      <c r="A5462" s="23"/>
      <c r="B5462" s="21"/>
      <c r="C5462" s="23"/>
      <c r="D5462" s="24"/>
      <c r="E5462" s="14"/>
      <c r="F5462" s="14"/>
      <c r="G5462" s="14"/>
      <c r="H5462" s="23"/>
      <c r="I5462" s="23"/>
      <c r="J5462" s="23"/>
      <c r="K5462" s="30"/>
      <c r="L5462" s="23"/>
      <c r="M5462" s="50" t="s">
        <v>10178</v>
      </c>
      <c r="N5462" s="51"/>
      <c r="O5462" s="20"/>
      <c r="P5462" s="20"/>
      <c r="Q5462" s="20"/>
      <c r="R5462" s="20"/>
      <c r="S5462" s="20"/>
    </row>
    <row r="5463">
      <c r="A5463" s="10"/>
      <c r="B5463" s="11"/>
      <c r="C5463" s="10"/>
      <c r="D5463" s="13"/>
      <c r="E5463" s="14"/>
      <c r="F5463" s="14"/>
      <c r="G5463" s="14"/>
      <c r="H5463" s="10"/>
      <c r="I5463" s="10"/>
      <c r="J5463" s="10"/>
      <c r="K5463" s="46"/>
      <c r="L5463" s="10"/>
      <c r="M5463" s="44" t="s">
        <v>10178</v>
      </c>
      <c r="N5463" s="45"/>
      <c r="O5463" s="20"/>
      <c r="P5463" s="20"/>
      <c r="Q5463" s="20"/>
      <c r="R5463" s="20"/>
      <c r="S5463" s="20"/>
    </row>
    <row r="5464">
      <c r="A5464" s="23"/>
      <c r="B5464" s="21"/>
      <c r="C5464" s="23"/>
      <c r="D5464" s="24"/>
      <c r="E5464" s="14"/>
      <c r="F5464" s="14"/>
      <c r="G5464" s="14"/>
      <c r="H5464" s="23"/>
      <c r="I5464" s="23"/>
      <c r="J5464" s="23"/>
      <c r="K5464" s="30"/>
      <c r="L5464" s="23"/>
      <c r="M5464" s="50" t="s">
        <v>10178</v>
      </c>
      <c r="N5464" s="51"/>
      <c r="O5464" s="20"/>
      <c r="P5464" s="20"/>
      <c r="Q5464" s="20"/>
      <c r="R5464" s="20"/>
      <c r="S5464" s="20"/>
    </row>
    <row r="5465">
      <c r="A5465" s="10"/>
      <c r="B5465" s="11"/>
      <c r="C5465" s="10"/>
      <c r="D5465" s="13"/>
      <c r="E5465" s="14"/>
      <c r="F5465" s="14"/>
      <c r="G5465" s="14"/>
      <c r="H5465" s="10"/>
      <c r="I5465" s="10"/>
      <c r="J5465" s="10"/>
      <c r="K5465" s="46"/>
      <c r="L5465" s="10"/>
      <c r="M5465" s="44" t="s">
        <v>10178</v>
      </c>
      <c r="N5465" s="45"/>
      <c r="O5465" s="20"/>
      <c r="P5465" s="20"/>
      <c r="Q5465" s="20"/>
      <c r="R5465" s="20"/>
      <c r="S5465" s="20"/>
    </row>
    <row r="5466">
      <c r="A5466" s="23"/>
      <c r="B5466" s="21"/>
      <c r="C5466" s="23"/>
      <c r="D5466" s="24"/>
      <c r="E5466" s="14"/>
      <c r="F5466" s="14"/>
      <c r="G5466" s="14"/>
      <c r="H5466" s="23"/>
      <c r="I5466" s="23"/>
      <c r="J5466" s="23"/>
      <c r="K5466" s="30"/>
      <c r="L5466" s="23"/>
      <c r="M5466" s="50" t="s">
        <v>10178</v>
      </c>
      <c r="N5466" s="51"/>
      <c r="O5466" s="20"/>
      <c r="P5466" s="20"/>
      <c r="Q5466" s="20"/>
      <c r="R5466" s="20"/>
      <c r="S5466" s="20"/>
    </row>
    <row r="5467">
      <c r="A5467" s="10"/>
      <c r="B5467" s="11"/>
      <c r="C5467" s="10"/>
      <c r="D5467" s="13"/>
      <c r="E5467" s="14"/>
      <c r="F5467" s="14"/>
      <c r="G5467" s="14"/>
      <c r="H5467" s="10"/>
      <c r="I5467" s="10"/>
      <c r="J5467" s="10"/>
      <c r="K5467" s="46"/>
      <c r="L5467" s="10"/>
      <c r="M5467" s="44" t="s">
        <v>10178</v>
      </c>
      <c r="N5467" s="45"/>
      <c r="O5467" s="20"/>
      <c r="P5467" s="20"/>
      <c r="Q5467" s="20"/>
      <c r="R5467" s="20"/>
      <c r="S5467" s="20"/>
    </row>
    <row r="5468">
      <c r="A5468" s="23"/>
      <c r="B5468" s="21"/>
      <c r="C5468" s="23"/>
      <c r="D5468" s="24"/>
      <c r="E5468" s="14"/>
      <c r="F5468" s="14"/>
      <c r="G5468" s="14"/>
      <c r="H5468" s="23"/>
      <c r="I5468" s="23"/>
      <c r="J5468" s="23"/>
      <c r="K5468" s="30"/>
      <c r="L5468" s="23"/>
      <c r="M5468" s="50" t="s">
        <v>10178</v>
      </c>
      <c r="N5468" s="51"/>
      <c r="O5468" s="20"/>
      <c r="P5468" s="20"/>
      <c r="Q5468" s="20"/>
      <c r="R5468" s="20"/>
      <c r="S5468" s="20"/>
    </row>
    <row r="5469">
      <c r="A5469" s="10"/>
      <c r="B5469" s="11"/>
      <c r="C5469" s="10"/>
      <c r="D5469" s="13"/>
      <c r="E5469" s="14"/>
      <c r="F5469" s="14"/>
      <c r="G5469" s="14"/>
      <c r="H5469" s="10"/>
      <c r="I5469" s="10"/>
      <c r="J5469" s="10"/>
      <c r="K5469" s="46"/>
      <c r="L5469" s="10"/>
      <c r="M5469" s="44" t="s">
        <v>10178</v>
      </c>
      <c r="N5469" s="45"/>
      <c r="O5469" s="20"/>
      <c r="P5469" s="20"/>
      <c r="Q5469" s="20"/>
      <c r="R5469" s="20"/>
      <c r="S5469" s="20"/>
    </row>
    <row r="5470">
      <c r="A5470" s="23"/>
      <c r="B5470" s="21"/>
      <c r="C5470" s="23"/>
      <c r="D5470" s="24"/>
      <c r="E5470" s="14"/>
      <c r="F5470" s="14"/>
      <c r="G5470" s="14"/>
      <c r="H5470" s="23"/>
      <c r="I5470" s="23"/>
      <c r="J5470" s="23"/>
      <c r="K5470" s="30"/>
      <c r="L5470" s="23"/>
      <c r="M5470" s="50" t="s">
        <v>10178</v>
      </c>
      <c r="N5470" s="51"/>
      <c r="O5470" s="20"/>
      <c r="P5470" s="20"/>
      <c r="Q5470" s="20"/>
      <c r="R5470" s="20"/>
      <c r="S5470" s="20"/>
    </row>
    <row r="5471">
      <c r="A5471" s="10"/>
      <c r="B5471" s="11"/>
      <c r="C5471" s="10"/>
      <c r="D5471" s="13"/>
      <c r="E5471" s="14"/>
      <c r="F5471" s="14"/>
      <c r="G5471" s="14"/>
      <c r="H5471" s="10"/>
      <c r="I5471" s="10"/>
      <c r="J5471" s="10"/>
      <c r="K5471" s="46"/>
      <c r="L5471" s="10"/>
      <c r="M5471" s="44" t="s">
        <v>10178</v>
      </c>
      <c r="N5471" s="45"/>
      <c r="O5471" s="20"/>
      <c r="P5471" s="20"/>
      <c r="Q5471" s="20"/>
      <c r="R5471" s="20"/>
      <c r="S5471" s="20"/>
    </row>
    <row r="5472">
      <c r="A5472" s="23"/>
      <c r="B5472" s="21"/>
      <c r="C5472" s="23"/>
      <c r="D5472" s="24"/>
      <c r="E5472" s="14"/>
      <c r="F5472" s="14"/>
      <c r="G5472" s="14"/>
      <c r="H5472" s="23"/>
      <c r="I5472" s="23"/>
      <c r="J5472" s="23"/>
      <c r="K5472" s="30"/>
      <c r="L5472" s="23"/>
      <c r="M5472" s="50" t="s">
        <v>10178</v>
      </c>
      <c r="N5472" s="51"/>
      <c r="O5472" s="20"/>
      <c r="P5472" s="20"/>
      <c r="Q5472" s="20"/>
      <c r="R5472" s="20"/>
      <c r="S5472" s="20"/>
    </row>
    <row r="5473">
      <c r="A5473" s="10"/>
      <c r="B5473" s="11"/>
      <c r="C5473" s="10"/>
      <c r="D5473" s="13"/>
      <c r="E5473" s="14"/>
      <c r="F5473" s="14"/>
      <c r="G5473" s="14"/>
      <c r="H5473" s="10"/>
      <c r="I5473" s="10"/>
      <c r="J5473" s="10"/>
      <c r="K5473" s="46"/>
      <c r="L5473" s="10"/>
      <c r="M5473" s="44" t="s">
        <v>10178</v>
      </c>
      <c r="N5473" s="45"/>
      <c r="O5473" s="20"/>
      <c r="P5473" s="20"/>
      <c r="Q5473" s="20"/>
      <c r="R5473" s="20"/>
      <c r="S5473" s="20"/>
    </row>
    <row r="5474">
      <c r="A5474" s="23"/>
      <c r="B5474" s="21"/>
      <c r="C5474" s="23"/>
      <c r="D5474" s="24"/>
      <c r="E5474" s="14"/>
      <c r="F5474" s="14"/>
      <c r="G5474" s="14"/>
      <c r="H5474" s="23"/>
      <c r="I5474" s="23"/>
      <c r="J5474" s="23"/>
      <c r="K5474" s="30"/>
      <c r="L5474" s="23"/>
      <c r="M5474" s="50" t="s">
        <v>10178</v>
      </c>
      <c r="N5474" s="51"/>
      <c r="O5474" s="20"/>
      <c r="P5474" s="20"/>
      <c r="Q5474" s="20"/>
      <c r="R5474" s="20"/>
      <c r="S5474" s="20"/>
    </row>
    <row r="5475">
      <c r="A5475" s="10"/>
      <c r="B5475" s="11"/>
      <c r="C5475" s="10"/>
      <c r="D5475" s="13"/>
      <c r="E5475" s="14"/>
      <c r="F5475" s="14"/>
      <c r="G5475" s="14"/>
      <c r="H5475" s="10"/>
      <c r="I5475" s="10"/>
      <c r="J5475" s="10"/>
      <c r="K5475" s="46"/>
      <c r="L5475" s="10"/>
      <c r="M5475" s="44" t="s">
        <v>10178</v>
      </c>
      <c r="N5475" s="45"/>
      <c r="O5475" s="20"/>
      <c r="P5475" s="20"/>
      <c r="Q5475" s="20"/>
      <c r="R5475" s="20"/>
      <c r="S5475" s="20"/>
    </row>
    <row r="5476">
      <c r="A5476" s="23"/>
      <c r="B5476" s="21"/>
      <c r="C5476" s="23"/>
      <c r="D5476" s="24"/>
      <c r="E5476" s="14"/>
      <c r="F5476" s="14"/>
      <c r="G5476" s="14"/>
      <c r="H5476" s="23"/>
      <c r="I5476" s="23"/>
      <c r="J5476" s="23"/>
      <c r="K5476" s="30"/>
      <c r="L5476" s="23"/>
      <c r="M5476" s="50" t="s">
        <v>10178</v>
      </c>
      <c r="N5476" s="51"/>
      <c r="O5476" s="20"/>
      <c r="P5476" s="20"/>
      <c r="Q5476" s="20"/>
      <c r="R5476" s="20"/>
      <c r="S5476" s="20"/>
    </row>
    <row r="5477">
      <c r="A5477" s="10"/>
      <c r="B5477" s="11"/>
      <c r="C5477" s="10"/>
      <c r="D5477" s="13"/>
      <c r="E5477" s="14"/>
      <c r="F5477" s="14"/>
      <c r="G5477" s="14"/>
      <c r="H5477" s="10"/>
      <c r="I5477" s="10"/>
      <c r="J5477" s="10"/>
      <c r="K5477" s="46"/>
      <c r="L5477" s="10"/>
      <c r="M5477" s="44" t="s">
        <v>10178</v>
      </c>
      <c r="N5477" s="45"/>
      <c r="O5477" s="20"/>
      <c r="P5477" s="20"/>
      <c r="Q5477" s="20"/>
      <c r="R5477" s="20"/>
      <c r="S5477" s="20"/>
    </row>
    <row r="5478">
      <c r="A5478" s="23"/>
      <c r="B5478" s="21"/>
      <c r="C5478" s="23"/>
      <c r="D5478" s="24"/>
      <c r="E5478" s="14"/>
      <c r="F5478" s="14"/>
      <c r="G5478" s="14"/>
      <c r="H5478" s="23"/>
      <c r="I5478" s="23"/>
      <c r="J5478" s="23"/>
      <c r="K5478" s="30"/>
      <c r="L5478" s="23"/>
      <c r="M5478" s="50" t="s">
        <v>10178</v>
      </c>
      <c r="N5478" s="51"/>
      <c r="O5478" s="20"/>
      <c r="P5478" s="20"/>
      <c r="Q5478" s="20"/>
      <c r="R5478" s="20"/>
      <c r="S5478" s="20"/>
    </row>
    <row r="5479">
      <c r="A5479" s="10"/>
      <c r="B5479" s="11"/>
      <c r="C5479" s="10"/>
      <c r="D5479" s="13"/>
      <c r="E5479" s="14"/>
      <c r="F5479" s="14"/>
      <c r="G5479" s="14"/>
      <c r="H5479" s="10"/>
      <c r="I5479" s="10"/>
      <c r="J5479" s="10"/>
      <c r="K5479" s="46"/>
      <c r="L5479" s="10"/>
      <c r="M5479" s="44" t="s">
        <v>10178</v>
      </c>
      <c r="N5479" s="45"/>
      <c r="O5479" s="20"/>
      <c r="P5479" s="20"/>
      <c r="Q5479" s="20"/>
      <c r="R5479" s="20"/>
      <c r="S5479" s="20"/>
    </row>
    <row r="5480">
      <c r="A5480" s="23"/>
      <c r="B5480" s="21"/>
      <c r="C5480" s="23"/>
      <c r="D5480" s="24"/>
      <c r="E5480" s="14"/>
      <c r="F5480" s="14"/>
      <c r="G5480" s="14"/>
      <c r="H5480" s="23"/>
      <c r="I5480" s="23"/>
      <c r="J5480" s="23"/>
      <c r="K5480" s="30"/>
      <c r="L5480" s="23"/>
      <c r="M5480" s="50" t="s">
        <v>10178</v>
      </c>
      <c r="N5480" s="51"/>
      <c r="O5480" s="20"/>
      <c r="P5480" s="20"/>
      <c r="Q5480" s="20"/>
      <c r="R5480" s="20"/>
      <c r="S5480" s="20"/>
    </row>
    <row r="5481">
      <c r="A5481" s="10"/>
      <c r="B5481" s="11"/>
      <c r="C5481" s="10"/>
      <c r="D5481" s="13"/>
      <c r="E5481" s="14"/>
      <c r="F5481" s="14"/>
      <c r="G5481" s="14"/>
      <c r="H5481" s="10"/>
      <c r="I5481" s="10"/>
      <c r="J5481" s="10"/>
      <c r="K5481" s="46"/>
      <c r="L5481" s="10"/>
      <c r="M5481" s="44" t="s">
        <v>10178</v>
      </c>
      <c r="N5481" s="45"/>
      <c r="O5481" s="20"/>
      <c r="P5481" s="20"/>
      <c r="Q5481" s="20"/>
      <c r="R5481" s="20"/>
      <c r="S5481" s="20"/>
    </row>
    <row r="5482">
      <c r="A5482" s="23"/>
      <c r="B5482" s="21"/>
      <c r="C5482" s="23"/>
      <c r="D5482" s="24"/>
      <c r="E5482" s="14"/>
      <c r="F5482" s="14"/>
      <c r="G5482" s="14"/>
      <c r="H5482" s="23"/>
      <c r="I5482" s="23"/>
      <c r="J5482" s="23"/>
      <c r="K5482" s="30"/>
      <c r="L5482" s="23"/>
      <c r="M5482" s="50" t="s">
        <v>10178</v>
      </c>
      <c r="N5482" s="51"/>
      <c r="O5482" s="20"/>
      <c r="P5482" s="20"/>
      <c r="Q5482" s="20"/>
      <c r="R5482" s="20"/>
      <c r="S5482" s="20"/>
    </row>
    <row r="5483">
      <c r="A5483" s="10"/>
      <c r="B5483" s="11"/>
      <c r="C5483" s="10"/>
      <c r="D5483" s="13"/>
      <c r="E5483" s="14"/>
      <c r="F5483" s="14"/>
      <c r="G5483" s="14"/>
      <c r="H5483" s="10"/>
      <c r="I5483" s="10"/>
      <c r="J5483" s="10"/>
      <c r="K5483" s="46"/>
      <c r="L5483" s="10"/>
      <c r="M5483" s="44" t="s">
        <v>10178</v>
      </c>
      <c r="N5483" s="45"/>
      <c r="O5483" s="20"/>
      <c r="P5483" s="20"/>
      <c r="Q5483" s="20"/>
      <c r="R5483" s="20"/>
      <c r="S5483" s="20"/>
    </row>
    <row r="5484">
      <c r="A5484" s="23"/>
      <c r="B5484" s="21"/>
      <c r="C5484" s="23"/>
      <c r="D5484" s="24"/>
      <c r="E5484" s="14"/>
      <c r="F5484" s="14"/>
      <c r="G5484" s="14"/>
      <c r="H5484" s="23"/>
      <c r="I5484" s="23"/>
      <c r="J5484" s="23"/>
      <c r="K5484" s="30"/>
      <c r="L5484" s="23"/>
      <c r="M5484" s="50" t="s">
        <v>10178</v>
      </c>
      <c r="N5484" s="51"/>
      <c r="O5484" s="20"/>
      <c r="P5484" s="20"/>
      <c r="Q5484" s="20"/>
      <c r="R5484" s="20"/>
      <c r="S5484" s="20"/>
    </row>
    <row r="5485">
      <c r="A5485" s="10"/>
      <c r="B5485" s="11"/>
      <c r="C5485" s="10"/>
      <c r="D5485" s="13"/>
      <c r="E5485" s="14"/>
      <c r="F5485" s="14"/>
      <c r="G5485" s="14"/>
      <c r="H5485" s="10"/>
      <c r="I5485" s="10"/>
      <c r="J5485" s="10"/>
      <c r="K5485" s="46"/>
      <c r="L5485" s="10"/>
      <c r="M5485" s="44" t="s">
        <v>10178</v>
      </c>
      <c r="N5485" s="45"/>
      <c r="O5485" s="20"/>
      <c r="P5485" s="20"/>
      <c r="Q5485" s="20"/>
      <c r="R5485" s="20"/>
      <c r="S5485" s="20"/>
    </row>
    <row r="5486">
      <c r="A5486" s="23"/>
      <c r="B5486" s="21"/>
      <c r="C5486" s="23"/>
      <c r="D5486" s="24"/>
      <c r="E5486" s="14"/>
      <c r="F5486" s="14"/>
      <c r="G5486" s="14"/>
      <c r="H5486" s="23"/>
      <c r="I5486" s="23"/>
      <c r="J5486" s="23"/>
      <c r="K5486" s="30"/>
      <c r="L5486" s="23"/>
      <c r="M5486" s="50" t="s">
        <v>10178</v>
      </c>
      <c r="N5486" s="51"/>
      <c r="O5486" s="20"/>
      <c r="P5486" s="20"/>
      <c r="Q5486" s="20"/>
      <c r="R5486" s="20"/>
      <c r="S5486" s="20"/>
    </row>
    <row r="5487">
      <c r="A5487" s="10"/>
      <c r="B5487" s="11"/>
      <c r="C5487" s="10"/>
      <c r="D5487" s="13"/>
      <c r="E5487" s="14"/>
      <c r="F5487" s="14"/>
      <c r="G5487" s="14"/>
      <c r="H5487" s="10"/>
      <c r="I5487" s="10"/>
      <c r="J5487" s="10"/>
      <c r="K5487" s="46"/>
      <c r="L5487" s="10"/>
      <c r="M5487" s="44" t="s">
        <v>10178</v>
      </c>
      <c r="N5487" s="45"/>
      <c r="O5487" s="20"/>
      <c r="P5487" s="20"/>
      <c r="Q5487" s="20"/>
      <c r="R5487" s="20"/>
      <c r="S5487" s="20"/>
    </row>
    <row r="5488">
      <c r="A5488" s="23"/>
      <c r="B5488" s="21"/>
      <c r="C5488" s="23"/>
      <c r="D5488" s="24"/>
      <c r="E5488" s="14"/>
      <c r="F5488" s="14"/>
      <c r="G5488" s="14"/>
      <c r="H5488" s="23"/>
      <c r="I5488" s="23"/>
      <c r="J5488" s="23"/>
      <c r="K5488" s="30"/>
      <c r="L5488" s="23"/>
      <c r="M5488" s="50" t="s">
        <v>10178</v>
      </c>
      <c r="N5488" s="51"/>
      <c r="O5488" s="20"/>
      <c r="P5488" s="20"/>
      <c r="Q5488" s="20"/>
      <c r="R5488" s="20"/>
      <c r="S5488" s="20"/>
    </row>
    <row r="5489">
      <c r="A5489" s="10"/>
      <c r="B5489" s="11"/>
      <c r="C5489" s="10"/>
      <c r="D5489" s="13"/>
      <c r="E5489" s="14"/>
      <c r="F5489" s="14"/>
      <c r="G5489" s="14"/>
      <c r="H5489" s="10"/>
      <c r="I5489" s="10"/>
      <c r="J5489" s="10"/>
      <c r="K5489" s="46"/>
      <c r="L5489" s="10"/>
      <c r="M5489" s="44" t="s">
        <v>10178</v>
      </c>
      <c r="N5489" s="45"/>
      <c r="O5489" s="20"/>
      <c r="P5489" s="20"/>
      <c r="Q5489" s="20"/>
      <c r="R5489" s="20"/>
      <c r="S5489" s="20"/>
    </row>
    <row r="5490">
      <c r="A5490" s="23"/>
      <c r="B5490" s="21"/>
      <c r="C5490" s="23"/>
      <c r="D5490" s="24"/>
      <c r="E5490" s="14"/>
      <c r="F5490" s="14"/>
      <c r="G5490" s="14"/>
      <c r="H5490" s="23"/>
      <c r="I5490" s="23"/>
      <c r="J5490" s="23"/>
      <c r="K5490" s="30"/>
      <c r="L5490" s="23"/>
      <c r="M5490" s="50" t="s">
        <v>10178</v>
      </c>
      <c r="N5490" s="51"/>
      <c r="O5490" s="20"/>
      <c r="P5490" s="20"/>
      <c r="Q5490" s="20"/>
      <c r="R5490" s="20"/>
      <c r="S5490" s="20"/>
    </row>
    <row r="5491">
      <c r="A5491" s="10"/>
      <c r="B5491" s="11"/>
      <c r="C5491" s="10"/>
      <c r="D5491" s="13"/>
      <c r="E5491" s="14"/>
      <c r="F5491" s="14"/>
      <c r="G5491" s="14"/>
      <c r="H5491" s="10"/>
      <c r="I5491" s="10"/>
      <c r="J5491" s="10"/>
      <c r="K5491" s="46"/>
      <c r="L5491" s="10"/>
      <c r="M5491" s="44" t="s">
        <v>10178</v>
      </c>
      <c r="N5491" s="45"/>
      <c r="O5491" s="20"/>
      <c r="P5491" s="20"/>
      <c r="Q5491" s="20"/>
      <c r="R5491" s="20"/>
      <c r="S5491" s="20"/>
    </row>
    <row r="5492">
      <c r="A5492" s="23"/>
      <c r="B5492" s="21"/>
      <c r="C5492" s="23"/>
      <c r="D5492" s="24"/>
      <c r="E5492" s="14"/>
      <c r="F5492" s="14"/>
      <c r="G5492" s="14"/>
      <c r="H5492" s="23"/>
      <c r="I5492" s="23"/>
      <c r="J5492" s="23"/>
      <c r="K5492" s="30"/>
      <c r="L5492" s="23"/>
      <c r="M5492" s="50" t="s">
        <v>10178</v>
      </c>
      <c r="N5492" s="51"/>
      <c r="O5492" s="20"/>
      <c r="P5492" s="20"/>
      <c r="Q5492" s="20"/>
      <c r="R5492" s="20"/>
      <c r="S5492" s="20"/>
    </row>
    <row r="5493">
      <c r="A5493" s="10"/>
      <c r="B5493" s="11"/>
      <c r="C5493" s="10"/>
      <c r="D5493" s="13"/>
      <c r="E5493" s="14"/>
      <c r="F5493" s="14"/>
      <c r="G5493" s="14"/>
      <c r="H5493" s="10"/>
      <c r="I5493" s="10"/>
      <c r="J5493" s="10"/>
      <c r="K5493" s="46"/>
      <c r="L5493" s="10"/>
      <c r="M5493" s="44" t="s">
        <v>10178</v>
      </c>
      <c r="N5493" s="45"/>
      <c r="O5493" s="20"/>
      <c r="P5493" s="20"/>
      <c r="Q5493" s="20"/>
      <c r="R5493" s="20"/>
      <c r="S5493" s="20"/>
    </row>
    <row r="5494">
      <c r="A5494" s="23"/>
      <c r="B5494" s="21"/>
      <c r="C5494" s="23"/>
      <c r="D5494" s="24"/>
      <c r="E5494" s="14"/>
      <c r="F5494" s="14"/>
      <c r="G5494" s="14"/>
      <c r="H5494" s="23"/>
      <c r="I5494" s="23"/>
      <c r="J5494" s="23"/>
      <c r="K5494" s="30"/>
      <c r="L5494" s="23"/>
      <c r="M5494" s="50" t="s">
        <v>10178</v>
      </c>
      <c r="N5494" s="51"/>
      <c r="O5494" s="20"/>
      <c r="P5494" s="20"/>
      <c r="Q5494" s="20"/>
      <c r="R5494" s="20"/>
      <c r="S5494" s="20"/>
    </row>
    <row r="5495">
      <c r="A5495" s="10"/>
      <c r="B5495" s="11"/>
      <c r="C5495" s="10"/>
      <c r="D5495" s="13"/>
      <c r="E5495" s="14"/>
      <c r="F5495" s="14"/>
      <c r="G5495" s="14"/>
      <c r="H5495" s="10"/>
      <c r="I5495" s="10"/>
      <c r="J5495" s="10"/>
      <c r="K5495" s="46"/>
      <c r="L5495" s="10"/>
      <c r="M5495" s="44" t="s">
        <v>10178</v>
      </c>
      <c r="N5495" s="45"/>
      <c r="O5495" s="20"/>
      <c r="P5495" s="20"/>
      <c r="Q5495" s="20"/>
      <c r="R5495" s="20"/>
      <c r="S5495" s="20"/>
    </row>
    <row r="5496">
      <c r="A5496" s="23"/>
      <c r="B5496" s="21"/>
      <c r="C5496" s="23"/>
      <c r="D5496" s="24"/>
      <c r="E5496" s="14"/>
      <c r="F5496" s="14"/>
      <c r="G5496" s="14"/>
      <c r="H5496" s="23"/>
      <c r="I5496" s="23"/>
      <c r="J5496" s="23"/>
      <c r="K5496" s="30"/>
      <c r="L5496" s="23"/>
      <c r="M5496" s="50" t="s">
        <v>10178</v>
      </c>
      <c r="N5496" s="51"/>
      <c r="O5496" s="20"/>
      <c r="P5496" s="20"/>
      <c r="Q5496" s="20"/>
      <c r="R5496" s="20"/>
      <c r="S5496" s="20"/>
    </row>
    <row r="5497">
      <c r="A5497" s="10"/>
      <c r="B5497" s="11"/>
      <c r="C5497" s="10"/>
      <c r="D5497" s="13"/>
      <c r="E5497" s="14"/>
      <c r="F5497" s="14"/>
      <c r="G5497" s="14"/>
      <c r="H5497" s="10"/>
      <c r="I5497" s="10"/>
      <c r="J5497" s="10"/>
      <c r="K5497" s="46"/>
      <c r="L5497" s="10"/>
      <c r="M5497" s="44" t="s">
        <v>10178</v>
      </c>
      <c r="N5497" s="45"/>
      <c r="O5497" s="20"/>
      <c r="P5497" s="20"/>
      <c r="Q5497" s="20"/>
      <c r="R5497" s="20"/>
      <c r="S5497" s="20"/>
    </row>
    <row r="5498">
      <c r="A5498" s="23"/>
      <c r="B5498" s="21"/>
      <c r="C5498" s="23"/>
      <c r="D5498" s="24"/>
      <c r="E5498" s="14"/>
      <c r="F5498" s="14"/>
      <c r="G5498" s="14"/>
      <c r="H5498" s="23"/>
      <c r="I5498" s="23"/>
      <c r="J5498" s="23"/>
      <c r="K5498" s="30"/>
      <c r="L5498" s="23"/>
      <c r="M5498" s="50" t="s">
        <v>10178</v>
      </c>
      <c r="N5498" s="51"/>
      <c r="O5498" s="20"/>
      <c r="P5498" s="20"/>
      <c r="Q5498" s="20"/>
      <c r="R5498" s="20"/>
      <c r="S5498" s="20"/>
    </row>
    <row r="5499">
      <c r="A5499" s="10"/>
      <c r="B5499" s="11"/>
      <c r="C5499" s="10"/>
      <c r="D5499" s="13"/>
      <c r="E5499" s="14"/>
      <c r="F5499" s="14"/>
      <c r="G5499" s="14"/>
      <c r="H5499" s="10"/>
      <c r="I5499" s="10"/>
      <c r="J5499" s="10"/>
      <c r="K5499" s="46"/>
      <c r="L5499" s="10"/>
      <c r="M5499" s="44" t="s">
        <v>10178</v>
      </c>
      <c r="N5499" s="45"/>
      <c r="O5499" s="20"/>
      <c r="P5499" s="20"/>
      <c r="Q5499" s="20"/>
      <c r="R5499" s="20"/>
      <c r="S5499" s="20"/>
    </row>
    <row r="5500">
      <c r="A5500" s="23"/>
      <c r="B5500" s="21"/>
      <c r="C5500" s="23"/>
      <c r="D5500" s="24"/>
      <c r="E5500" s="14"/>
      <c r="F5500" s="14"/>
      <c r="G5500" s="14"/>
      <c r="H5500" s="23"/>
      <c r="I5500" s="23"/>
      <c r="J5500" s="23"/>
      <c r="K5500" s="30"/>
      <c r="L5500" s="23"/>
      <c r="M5500" s="50" t="s">
        <v>10178</v>
      </c>
      <c r="N5500" s="51"/>
      <c r="O5500" s="20"/>
      <c r="P5500" s="20"/>
      <c r="Q5500" s="20"/>
      <c r="R5500" s="20"/>
      <c r="S5500" s="20"/>
    </row>
    <row r="5501">
      <c r="A5501" s="10"/>
      <c r="B5501" s="11"/>
      <c r="C5501" s="10"/>
      <c r="D5501" s="13"/>
      <c r="E5501" s="14"/>
      <c r="F5501" s="14"/>
      <c r="G5501" s="14"/>
      <c r="H5501" s="10"/>
      <c r="I5501" s="10"/>
      <c r="J5501" s="10"/>
      <c r="K5501" s="46"/>
      <c r="L5501" s="10"/>
      <c r="M5501" s="44" t="s">
        <v>10178</v>
      </c>
      <c r="N5501" s="45"/>
      <c r="O5501" s="20"/>
      <c r="P5501" s="20"/>
      <c r="Q5501" s="20"/>
      <c r="R5501" s="20"/>
      <c r="S5501" s="20"/>
    </row>
    <row r="5502">
      <c r="A5502" s="23"/>
      <c r="B5502" s="21"/>
      <c r="C5502" s="23"/>
      <c r="D5502" s="24"/>
      <c r="E5502" s="14"/>
      <c r="F5502" s="14"/>
      <c r="G5502" s="14"/>
      <c r="H5502" s="23"/>
      <c r="I5502" s="23"/>
      <c r="J5502" s="23"/>
      <c r="K5502" s="30"/>
      <c r="L5502" s="23"/>
      <c r="M5502" s="50" t="s">
        <v>10178</v>
      </c>
      <c r="N5502" s="51"/>
      <c r="O5502" s="20"/>
      <c r="P5502" s="20"/>
      <c r="Q5502" s="20"/>
      <c r="R5502" s="20"/>
      <c r="S5502" s="20"/>
    </row>
    <row r="5503">
      <c r="A5503" s="10"/>
      <c r="B5503" s="11"/>
      <c r="C5503" s="10"/>
      <c r="D5503" s="13"/>
      <c r="E5503" s="14"/>
      <c r="F5503" s="14"/>
      <c r="G5503" s="14"/>
      <c r="H5503" s="10"/>
      <c r="I5503" s="10"/>
      <c r="J5503" s="10"/>
      <c r="K5503" s="46"/>
      <c r="L5503" s="10"/>
      <c r="M5503" s="44" t="s">
        <v>10178</v>
      </c>
      <c r="N5503" s="45"/>
      <c r="O5503" s="20"/>
      <c r="P5503" s="20"/>
      <c r="Q5503" s="20"/>
      <c r="R5503" s="20"/>
      <c r="S5503" s="20"/>
    </row>
    <row r="5504">
      <c r="A5504" s="23"/>
      <c r="B5504" s="21"/>
      <c r="C5504" s="23"/>
      <c r="D5504" s="24"/>
      <c r="E5504" s="14"/>
      <c r="F5504" s="14"/>
      <c r="G5504" s="14"/>
      <c r="H5504" s="23"/>
      <c r="I5504" s="23"/>
      <c r="J5504" s="23"/>
      <c r="K5504" s="30"/>
      <c r="L5504" s="23"/>
      <c r="M5504" s="50" t="s">
        <v>10178</v>
      </c>
      <c r="N5504" s="51"/>
      <c r="O5504" s="20"/>
      <c r="P5504" s="20"/>
      <c r="Q5504" s="20"/>
      <c r="R5504" s="20"/>
      <c r="S5504" s="20"/>
    </row>
    <row r="5505">
      <c r="A5505" s="162"/>
      <c r="B5505" s="163"/>
      <c r="C5505" s="162"/>
      <c r="D5505" s="164"/>
      <c r="E5505" s="165"/>
      <c r="F5505" s="165"/>
      <c r="G5505" s="165"/>
      <c r="H5505" s="162"/>
      <c r="I5505" s="162"/>
      <c r="J5505" s="162"/>
      <c r="K5505" s="167"/>
      <c r="L5505" s="162"/>
      <c r="M5505" s="44" t="s">
        <v>10178</v>
      </c>
      <c r="N5505" s="45"/>
      <c r="O5505" s="20"/>
      <c r="P5505" s="20"/>
      <c r="Q5505" s="20"/>
      <c r="R5505" s="20"/>
      <c r="S5505" s="20"/>
    </row>
  </sheetData>
  <dataValidations>
    <dataValidation type="list" allowBlank="1" showErrorMessage="1" sqref="F2:F5505">
      <formula1>"Dela,Alvin,Holiday"</formula1>
    </dataValidation>
    <dataValidation type="list" allowBlank="1" showErrorMessage="1" sqref="E2:E5505">
      <formula1>"Website,Instagram,Tiktok,Rekomendasi,Lainnya"</formula1>
    </dataValidation>
    <dataValidation type="list" allowBlank="1" showErrorMessage="1" sqref="G2:G1393 G1395:G5505">
      <formula1>"Leads Baru,Qualified,Prospek,Follow Up,Warm Leads,Hot Leads,Closing,Gagal,Review"</formula1>
    </dataValidation>
  </dataValidations>
  <hyperlinks>
    <hyperlink r:id="rId1" ref="N38"/>
    <hyperlink r:id="rId2" ref="N85"/>
    <hyperlink r:id="rId3" ref="N88"/>
    <hyperlink r:id="rId4" ref="N90"/>
    <hyperlink r:id="rId5" ref="N136"/>
    <hyperlink r:id="rId6" ref="N141"/>
    <hyperlink r:id="rId7" ref="N149"/>
    <hyperlink r:id="rId8" ref="N152"/>
    <hyperlink r:id="rId9" ref="N153"/>
    <hyperlink r:id="rId10" ref="N166"/>
    <hyperlink r:id="rId11" ref="N174"/>
    <hyperlink r:id="rId12" ref="N175"/>
    <hyperlink r:id="rId13" ref="N180"/>
    <hyperlink r:id="rId14" ref="N184"/>
    <hyperlink r:id="rId15" ref="N191"/>
    <hyperlink r:id="rId16" ref="N197"/>
    <hyperlink r:id="rId17" ref="N219"/>
    <hyperlink r:id="rId18" ref="N228"/>
    <hyperlink r:id="rId19" ref="N239"/>
    <hyperlink r:id="rId20" ref="N240"/>
    <hyperlink r:id="rId21" ref="N243"/>
    <hyperlink r:id="rId22" ref="N250"/>
    <hyperlink r:id="rId23" ref="N263"/>
    <hyperlink r:id="rId24" ref="N266"/>
    <hyperlink r:id="rId25" ref="N270"/>
    <hyperlink r:id="rId26" ref="N272"/>
    <hyperlink r:id="rId27" ref="N279"/>
    <hyperlink r:id="rId28" ref="N280"/>
    <hyperlink r:id="rId29" ref="N293"/>
    <hyperlink r:id="rId30" ref="N296"/>
    <hyperlink r:id="rId31" ref="N300"/>
    <hyperlink r:id="rId32" ref="N301"/>
    <hyperlink r:id="rId33" ref="N305"/>
    <hyperlink r:id="rId34" ref="N314"/>
    <hyperlink r:id="rId35" ref="N319"/>
    <hyperlink r:id="rId36" ref="N330"/>
    <hyperlink r:id="rId37" ref="N337"/>
    <hyperlink r:id="rId38" ref="N338"/>
    <hyperlink r:id="rId39" ref="N339"/>
    <hyperlink r:id="rId40" ref="N352"/>
    <hyperlink r:id="rId41" ref="N358"/>
    <hyperlink r:id="rId42" ref="N371"/>
    <hyperlink r:id="rId43" ref="N387"/>
    <hyperlink r:id="rId44" ref="N392"/>
    <hyperlink r:id="rId45" ref="N393"/>
    <hyperlink r:id="rId46" ref="N397"/>
    <hyperlink r:id="rId47" ref="N401"/>
    <hyperlink r:id="rId48" ref="N403"/>
    <hyperlink r:id="rId49" ref="N404"/>
    <hyperlink r:id="rId50" ref="N413"/>
    <hyperlink r:id="rId51" ref="N417"/>
    <hyperlink r:id="rId52" ref="N420"/>
    <hyperlink r:id="rId53" ref="N422"/>
    <hyperlink r:id="rId54" ref="N423"/>
    <hyperlink r:id="rId55" ref="N424"/>
    <hyperlink r:id="rId56" ref="N428"/>
    <hyperlink r:id="rId57" ref="N429"/>
    <hyperlink r:id="rId58" ref="N430"/>
    <hyperlink r:id="rId59" ref="N432"/>
    <hyperlink r:id="rId60" ref="N433"/>
    <hyperlink r:id="rId61" ref="N438"/>
    <hyperlink r:id="rId62" ref="N439"/>
    <hyperlink r:id="rId63" ref="N443"/>
    <hyperlink r:id="rId64" ref="N445"/>
    <hyperlink r:id="rId65" ref="N455"/>
    <hyperlink r:id="rId66" ref="N457"/>
    <hyperlink r:id="rId67" ref="N459"/>
    <hyperlink r:id="rId68" ref="N463"/>
    <hyperlink r:id="rId69" ref="N465"/>
    <hyperlink r:id="rId70" ref="N467"/>
    <hyperlink r:id="rId71" ref="N472"/>
    <hyperlink r:id="rId72" ref="N475"/>
    <hyperlink r:id="rId73" ref="N476"/>
    <hyperlink r:id="rId74" ref="N477"/>
    <hyperlink r:id="rId75" ref="N481"/>
    <hyperlink r:id="rId76" ref="N483"/>
    <hyperlink r:id="rId77" location="heading=h.589mmq9qpr5l" ref="N484"/>
    <hyperlink r:id="rId78" ref="N485"/>
    <hyperlink r:id="rId79" ref="N488"/>
    <hyperlink r:id="rId80" ref="N491"/>
    <hyperlink r:id="rId81" ref="N492"/>
    <hyperlink r:id="rId82" ref="N494"/>
    <hyperlink r:id="rId83" ref="N495"/>
    <hyperlink r:id="rId84" ref="N496"/>
    <hyperlink r:id="rId85" ref="N500"/>
    <hyperlink r:id="rId86" ref="N501"/>
    <hyperlink r:id="rId87" ref="N503"/>
    <hyperlink r:id="rId88" ref="N504"/>
    <hyperlink r:id="rId89" ref="N505"/>
    <hyperlink r:id="rId90" ref="N506"/>
    <hyperlink r:id="rId91" ref="N511"/>
    <hyperlink r:id="rId92" ref="N512"/>
    <hyperlink r:id="rId93" ref="N513"/>
    <hyperlink r:id="rId94" ref="N514"/>
    <hyperlink r:id="rId95" ref="N515"/>
    <hyperlink r:id="rId96" ref="N516"/>
    <hyperlink r:id="rId97" ref="N518"/>
    <hyperlink r:id="rId98" ref="N520"/>
    <hyperlink r:id="rId99" ref="N521"/>
    <hyperlink r:id="rId100" ref="N522"/>
    <hyperlink r:id="rId101" ref="N523"/>
    <hyperlink r:id="rId102" ref="N524"/>
    <hyperlink r:id="rId103" ref="N526"/>
    <hyperlink r:id="rId104" ref="N530"/>
    <hyperlink r:id="rId105" ref="N531"/>
    <hyperlink r:id="rId106" ref="N533"/>
    <hyperlink r:id="rId107" ref="N534"/>
    <hyperlink r:id="rId108" ref="N535"/>
    <hyperlink r:id="rId109" ref="N536"/>
    <hyperlink r:id="rId110" ref="N537"/>
    <hyperlink r:id="rId111" ref="N538"/>
    <hyperlink r:id="rId112" ref="N539"/>
    <hyperlink r:id="rId113" ref="N540"/>
    <hyperlink r:id="rId114" ref="N543"/>
    <hyperlink r:id="rId115" ref="N544"/>
    <hyperlink r:id="rId116" ref="N545"/>
    <hyperlink r:id="rId117" ref="N548"/>
    <hyperlink r:id="rId118" ref="N550"/>
    <hyperlink r:id="rId119" ref="N552"/>
    <hyperlink r:id="rId120" ref="N553"/>
    <hyperlink r:id="rId121" ref="N554"/>
    <hyperlink r:id="rId122" ref="N556"/>
    <hyperlink r:id="rId123" ref="N557"/>
    <hyperlink r:id="rId124" ref="N558"/>
    <hyperlink r:id="rId125" ref="N559"/>
    <hyperlink r:id="rId126" ref="N560"/>
    <hyperlink r:id="rId127" ref="N561"/>
    <hyperlink r:id="rId128" ref="N563"/>
    <hyperlink r:id="rId129" ref="N564"/>
    <hyperlink r:id="rId130" ref="N565"/>
    <hyperlink r:id="rId131" ref="N566"/>
    <hyperlink r:id="rId132" ref="N568"/>
    <hyperlink r:id="rId133" ref="N570"/>
    <hyperlink r:id="rId134" ref="N571"/>
    <hyperlink r:id="rId135" ref="N572"/>
    <hyperlink r:id="rId136" ref="N573"/>
    <hyperlink r:id="rId137" ref="N578"/>
    <hyperlink r:id="rId138" ref="N579"/>
    <hyperlink r:id="rId139" ref="N581"/>
    <hyperlink r:id="rId140" ref="N583"/>
    <hyperlink r:id="rId141" ref="N584"/>
    <hyperlink r:id="rId142" ref="N585"/>
    <hyperlink r:id="rId143" ref="N587"/>
    <hyperlink r:id="rId144" ref="N589"/>
    <hyperlink r:id="rId145" ref="N590"/>
    <hyperlink r:id="rId146" ref="N592"/>
    <hyperlink r:id="rId147" ref="N593"/>
    <hyperlink r:id="rId148" ref="N594"/>
    <hyperlink r:id="rId149" ref="N595"/>
    <hyperlink r:id="rId150" ref="N596"/>
    <hyperlink r:id="rId151" ref="N597"/>
    <hyperlink r:id="rId152" ref="N598"/>
    <hyperlink r:id="rId153" ref="N599"/>
    <hyperlink r:id="rId154" ref="N600"/>
    <hyperlink r:id="rId155" ref="N602"/>
    <hyperlink r:id="rId156" ref="N604"/>
    <hyperlink r:id="rId157" ref="N609"/>
    <hyperlink r:id="rId158" ref="N610"/>
    <hyperlink r:id="rId159" ref="N611"/>
    <hyperlink r:id="rId160" ref="N614"/>
    <hyperlink r:id="rId161" ref="N616"/>
    <hyperlink r:id="rId162" ref="N617"/>
    <hyperlink r:id="rId163" ref="N623"/>
    <hyperlink r:id="rId164" ref="N624"/>
    <hyperlink r:id="rId165" ref="N625"/>
    <hyperlink r:id="rId166" ref="N627"/>
    <hyperlink r:id="rId167" ref="N628"/>
    <hyperlink r:id="rId168" ref="N631"/>
    <hyperlink r:id="rId169" ref="N632"/>
    <hyperlink r:id="rId170" ref="N635"/>
    <hyperlink r:id="rId171" ref="N638"/>
    <hyperlink r:id="rId172" ref="N640"/>
    <hyperlink r:id="rId173" ref="N642"/>
    <hyperlink r:id="rId174" ref="N647"/>
    <hyperlink r:id="rId175" ref="N649"/>
    <hyperlink r:id="rId176" ref="N652"/>
    <hyperlink r:id="rId177" ref="N655"/>
    <hyperlink r:id="rId178" ref="N656"/>
    <hyperlink r:id="rId179" ref="N658"/>
    <hyperlink r:id="rId180" ref="N666"/>
    <hyperlink r:id="rId181" ref="N682"/>
    <hyperlink r:id="rId182" ref="N700"/>
    <hyperlink r:id="rId183" ref="N704"/>
    <hyperlink r:id="rId184" ref="N705"/>
    <hyperlink r:id="rId185" ref="N706"/>
    <hyperlink r:id="rId186" ref="N709"/>
    <hyperlink r:id="rId187" ref="N710"/>
    <hyperlink r:id="rId188" ref="N712"/>
    <hyperlink r:id="rId189" ref="N716"/>
    <hyperlink r:id="rId190" ref="N721"/>
    <hyperlink r:id="rId191" ref="N723"/>
    <hyperlink r:id="rId192" ref="N732"/>
    <hyperlink r:id="rId193" ref="N736"/>
    <hyperlink r:id="rId194" ref="N738"/>
    <hyperlink r:id="rId195" ref="N745"/>
    <hyperlink r:id="rId196" ref="N746"/>
    <hyperlink r:id="rId197" ref="N750"/>
    <hyperlink r:id="rId198" ref="N757"/>
    <hyperlink r:id="rId199" ref="N758"/>
    <hyperlink r:id="rId200" ref="N759"/>
    <hyperlink r:id="rId201" ref="N761"/>
    <hyperlink r:id="rId202" ref="N762"/>
    <hyperlink r:id="rId203" ref="N763"/>
    <hyperlink r:id="rId204" location="heading=h.37ziu0z3fkpm" ref="N764"/>
    <hyperlink r:id="rId205" ref="N767"/>
    <hyperlink r:id="rId206" ref="N770"/>
    <hyperlink r:id="rId207" ref="N773"/>
    <hyperlink r:id="rId208" ref="N775"/>
    <hyperlink r:id="rId209" ref="N776"/>
    <hyperlink r:id="rId210" ref="N777"/>
    <hyperlink r:id="rId211" ref="N778"/>
    <hyperlink r:id="rId212" ref="N779"/>
    <hyperlink r:id="rId213" ref="N782"/>
    <hyperlink r:id="rId214" ref="N783"/>
    <hyperlink r:id="rId215" ref="N784"/>
    <hyperlink r:id="rId216" ref="N786"/>
    <hyperlink r:id="rId217" ref="N787"/>
    <hyperlink r:id="rId218" ref="N791"/>
    <hyperlink r:id="rId219" ref="N792"/>
    <hyperlink r:id="rId220" ref="N793"/>
    <hyperlink r:id="rId221" ref="N794"/>
    <hyperlink r:id="rId222" ref="N795"/>
    <hyperlink r:id="rId223" location="heading=h.a9kqk3xbyygu" ref="N797"/>
    <hyperlink r:id="rId224" ref="N801"/>
    <hyperlink r:id="rId225" ref="N802"/>
    <hyperlink r:id="rId226" ref="N803"/>
    <hyperlink r:id="rId227" ref="N804"/>
    <hyperlink r:id="rId228" ref="N806"/>
    <hyperlink r:id="rId229" ref="N808"/>
    <hyperlink r:id="rId230" ref="N811"/>
    <hyperlink r:id="rId231" ref="N812"/>
    <hyperlink r:id="rId232" ref="N813"/>
    <hyperlink r:id="rId233" ref="N815"/>
    <hyperlink r:id="rId234" ref="N817"/>
    <hyperlink r:id="rId235" ref="N818"/>
    <hyperlink r:id="rId236" ref="N819"/>
    <hyperlink r:id="rId237" ref="N820"/>
    <hyperlink r:id="rId238" ref="N821"/>
    <hyperlink r:id="rId239" ref="N823"/>
    <hyperlink r:id="rId240" ref="N824"/>
    <hyperlink r:id="rId241" ref="N825"/>
    <hyperlink r:id="rId242" ref="N826"/>
    <hyperlink r:id="rId243" ref="N827"/>
    <hyperlink r:id="rId244" ref="N828"/>
    <hyperlink r:id="rId245" ref="N829"/>
    <hyperlink r:id="rId246" ref="N830"/>
    <hyperlink r:id="rId247" ref="N831"/>
    <hyperlink r:id="rId248" ref="N832"/>
    <hyperlink r:id="rId249" ref="N833"/>
    <hyperlink r:id="rId250" ref="N834"/>
    <hyperlink r:id="rId251" ref="N835"/>
    <hyperlink r:id="rId252" ref="N837"/>
    <hyperlink r:id="rId253" ref="N838"/>
    <hyperlink r:id="rId254" ref="N839"/>
    <hyperlink r:id="rId255" ref="N840"/>
    <hyperlink r:id="rId256" ref="N841"/>
    <hyperlink r:id="rId257" ref="N842"/>
    <hyperlink r:id="rId258" ref="N843"/>
    <hyperlink r:id="rId259" ref="N844"/>
    <hyperlink r:id="rId260" ref="N845"/>
    <hyperlink r:id="rId261" ref="N846"/>
    <hyperlink r:id="rId262" ref="N847"/>
    <hyperlink r:id="rId263" ref="N848"/>
    <hyperlink r:id="rId264" ref="N849"/>
    <hyperlink r:id="rId265" ref="N850"/>
    <hyperlink r:id="rId266" ref="N851"/>
    <hyperlink r:id="rId267" ref="N852"/>
    <hyperlink r:id="rId268" ref="N854"/>
    <hyperlink r:id="rId269" ref="N855"/>
    <hyperlink r:id="rId270" ref="N856"/>
    <hyperlink r:id="rId271" ref="N857"/>
    <hyperlink r:id="rId272" ref="N858"/>
    <hyperlink r:id="rId273" ref="N860"/>
    <hyperlink r:id="rId274" ref="N861"/>
    <hyperlink r:id="rId275" ref="N862"/>
    <hyperlink r:id="rId276" ref="N863"/>
    <hyperlink r:id="rId277" ref="N864"/>
    <hyperlink r:id="rId278" ref="N865"/>
    <hyperlink r:id="rId279" ref="N867"/>
    <hyperlink r:id="rId280" ref="N868"/>
    <hyperlink r:id="rId281" ref="N869"/>
    <hyperlink r:id="rId282" ref="N870"/>
    <hyperlink r:id="rId283" ref="N871"/>
    <hyperlink r:id="rId284" ref="N873"/>
    <hyperlink r:id="rId285" ref="N875"/>
    <hyperlink r:id="rId286" ref="N876"/>
    <hyperlink r:id="rId287" ref="N877"/>
    <hyperlink r:id="rId288" ref="N878"/>
    <hyperlink r:id="rId289" ref="N879"/>
    <hyperlink r:id="rId290" ref="N880"/>
    <hyperlink r:id="rId291" ref="N881"/>
    <hyperlink r:id="rId292" ref="N882"/>
    <hyperlink r:id="rId293" ref="N883"/>
    <hyperlink r:id="rId294" ref="N884"/>
    <hyperlink r:id="rId295" ref="N885"/>
    <hyperlink r:id="rId296" ref="N887"/>
    <hyperlink r:id="rId297" ref="N889"/>
    <hyperlink r:id="rId298" ref="N890"/>
    <hyperlink r:id="rId299" ref="N891"/>
    <hyperlink r:id="rId300" ref="N893"/>
    <hyperlink r:id="rId301" ref="N895"/>
    <hyperlink r:id="rId302" ref="N896"/>
    <hyperlink r:id="rId303" ref="N897"/>
    <hyperlink r:id="rId304" ref="N898"/>
    <hyperlink r:id="rId305" ref="N899"/>
    <hyperlink r:id="rId306" ref="N900"/>
    <hyperlink r:id="rId307" ref="N901"/>
    <hyperlink r:id="rId308" ref="N902"/>
    <hyperlink r:id="rId309" ref="N903"/>
    <hyperlink r:id="rId310" ref="N904"/>
    <hyperlink r:id="rId311" ref="N906"/>
    <hyperlink r:id="rId312" ref="N908"/>
    <hyperlink r:id="rId313" ref="N909"/>
    <hyperlink r:id="rId314" ref="N910"/>
    <hyperlink r:id="rId315" ref="N911"/>
    <hyperlink r:id="rId316" ref="N912"/>
    <hyperlink r:id="rId317" ref="N913"/>
    <hyperlink r:id="rId318" ref="N914"/>
    <hyperlink r:id="rId319" ref="N916"/>
    <hyperlink r:id="rId320" ref="N917"/>
    <hyperlink r:id="rId321" ref="N918"/>
    <hyperlink r:id="rId322" ref="N920"/>
    <hyperlink r:id="rId323" ref="N922"/>
    <hyperlink r:id="rId324" ref="N923"/>
    <hyperlink r:id="rId325" ref="N924"/>
    <hyperlink r:id="rId326" ref="N926"/>
    <hyperlink r:id="rId327" ref="N927"/>
    <hyperlink r:id="rId328" ref="N928"/>
    <hyperlink r:id="rId329" ref="N929"/>
    <hyperlink r:id="rId330" ref="N930"/>
    <hyperlink r:id="rId331" ref="N931"/>
    <hyperlink r:id="rId332" ref="N932"/>
    <hyperlink r:id="rId333" ref="N933"/>
    <hyperlink r:id="rId334" ref="N934"/>
    <hyperlink r:id="rId335" ref="N935"/>
    <hyperlink r:id="rId336" ref="N938"/>
    <hyperlink r:id="rId337" ref="N939"/>
    <hyperlink r:id="rId338" ref="N941"/>
    <hyperlink r:id="rId339" ref="N944"/>
    <hyperlink r:id="rId340" ref="N945"/>
    <hyperlink r:id="rId341" ref="N946"/>
    <hyperlink r:id="rId342" ref="N948"/>
    <hyperlink r:id="rId343" ref="N949"/>
    <hyperlink r:id="rId344" ref="N951"/>
    <hyperlink r:id="rId345" ref="N952"/>
    <hyperlink r:id="rId346" ref="N953"/>
    <hyperlink r:id="rId347" ref="N954"/>
    <hyperlink r:id="rId348" ref="N956"/>
    <hyperlink r:id="rId349" ref="N958"/>
    <hyperlink r:id="rId350" ref="N960"/>
    <hyperlink r:id="rId351" ref="N962"/>
    <hyperlink r:id="rId352" ref="N963"/>
    <hyperlink r:id="rId353" ref="N965"/>
    <hyperlink r:id="rId354" ref="N966"/>
    <hyperlink r:id="rId355" ref="N967"/>
    <hyperlink r:id="rId356" ref="N972"/>
    <hyperlink r:id="rId357" ref="N973"/>
    <hyperlink r:id="rId358" ref="N974"/>
    <hyperlink r:id="rId359" ref="N975"/>
    <hyperlink r:id="rId360" ref="N976"/>
    <hyperlink r:id="rId361" ref="N977"/>
    <hyperlink r:id="rId362" ref="N978"/>
    <hyperlink r:id="rId363" ref="N979"/>
    <hyperlink r:id="rId364" ref="N980"/>
    <hyperlink r:id="rId365" ref="N981"/>
    <hyperlink r:id="rId366" ref="N982"/>
    <hyperlink r:id="rId367" ref="N983"/>
    <hyperlink r:id="rId368" ref="N985"/>
    <hyperlink r:id="rId369" ref="N988"/>
    <hyperlink r:id="rId370" ref="N989"/>
    <hyperlink r:id="rId371" ref="N990"/>
    <hyperlink r:id="rId372" ref="N991"/>
    <hyperlink r:id="rId373" ref="N992"/>
    <hyperlink r:id="rId374" ref="N993"/>
    <hyperlink r:id="rId375" ref="N994"/>
    <hyperlink r:id="rId376" ref="N995"/>
    <hyperlink r:id="rId377" ref="N997"/>
    <hyperlink r:id="rId378" ref="N998"/>
    <hyperlink r:id="rId379" ref="N999"/>
    <hyperlink r:id="rId380" ref="N1000"/>
    <hyperlink r:id="rId381" ref="N1001"/>
    <hyperlink r:id="rId382" ref="N1002"/>
    <hyperlink r:id="rId383" ref="N1003"/>
    <hyperlink r:id="rId384" ref="N1004"/>
    <hyperlink r:id="rId385" ref="N1005"/>
    <hyperlink r:id="rId386" ref="N1006"/>
    <hyperlink r:id="rId387" ref="N1007"/>
    <hyperlink r:id="rId388" ref="N1008"/>
    <hyperlink r:id="rId389" ref="N1009"/>
    <hyperlink r:id="rId390" ref="N1010"/>
    <hyperlink r:id="rId391" ref="N1013"/>
    <hyperlink r:id="rId392" ref="N1014"/>
    <hyperlink r:id="rId393" ref="N1015"/>
    <hyperlink r:id="rId394" ref="N1016"/>
    <hyperlink r:id="rId395" ref="N1017"/>
    <hyperlink r:id="rId396" ref="N1018"/>
    <hyperlink r:id="rId397" ref="N1019"/>
    <hyperlink r:id="rId398" ref="N1020"/>
    <hyperlink r:id="rId399" ref="N1021"/>
    <hyperlink r:id="rId400" ref="N1023"/>
    <hyperlink r:id="rId401" ref="N1026"/>
    <hyperlink r:id="rId402" ref="N1028"/>
    <hyperlink r:id="rId403" ref="N1029"/>
    <hyperlink r:id="rId404" ref="N1030"/>
    <hyperlink r:id="rId405" ref="N1032"/>
    <hyperlink r:id="rId406" ref="N1033"/>
    <hyperlink r:id="rId407" ref="N1034"/>
    <hyperlink r:id="rId408" ref="N1035"/>
    <hyperlink r:id="rId409" ref="N1036"/>
    <hyperlink r:id="rId410" ref="N1037"/>
    <hyperlink r:id="rId411" ref="N1038"/>
    <hyperlink r:id="rId412" ref="N1039"/>
    <hyperlink r:id="rId413" ref="N1040"/>
    <hyperlink r:id="rId414" ref="N1041"/>
    <hyperlink r:id="rId415" ref="N1044"/>
    <hyperlink r:id="rId416" ref="N1045"/>
    <hyperlink r:id="rId417" ref="N1046"/>
    <hyperlink r:id="rId418" ref="N1047"/>
    <hyperlink r:id="rId419" ref="N1050"/>
    <hyperlink r:id="rId420" ref="N1051"/>
    <hyperlink r:id="rId421" ref="N1052"/>
    <hyperlink r:id="rId422" ref="N1054"/>
    <hyperlink r:id="rId423" ref="N1055"/>
    <hyperlink r:id="rId424" ref="N1056"/>
    <hyperlink r:id="rId425" ref="N1057"/>
    <hyperlink r:id="rId426" ref="N1058"/>
    <hyperlink r:id="rId427" ref="N1059"/>
    <hyperlink r:id="rId428" ref="N1060"/>
    <hyperlink r:id="rId429" ref="N1061"/>
    <hyperlink r:id="rId430" ref="N1062"/>
    <hyperlink r:id="rId431" ref="N1064"/>
    <hyperlink r:id="rId432" ref="N1065"/>
    <hyperlink r:id="rId433" ref="N1066"/>
    <hyperlink r:id="rId434" ref="N1067"/>
    <hyperlink r:id="rId435" ref="N1068"/>
    <hyperlink r:id="rId436" ref="N1069"/>
    <hyperlink r:id="rId437" ref="N1070"/>
    <hyperlink r:id="rId438" ref="N1073"/>
    <hyperlink r:id="rId439" ref="N1075"/>
    <hyperlink r:id="rId440" ref="N1077"/>
    <hyperlink r:id="rId441" ref="N1078"/>
    <hyperlink r:id="rId442" ref="N1079"/>
    <hyperlink r:id="rId443" ref="N1080"/>
    <hyperlink r:id="rId444" ref="N1081"/>
    <hyperlink r:id="rId445" ref="N1082"/>
    <hyperlink r:id="rId446" ref="N1083"/>
    <hyperlink r:id="rId447" ref="N1084"/>
    <hyperlink r:id="rId448" ref="N1085"/>
    <hyperlink r:id="rId449" ref="N1086"/>
    <hyperlink r:id="rId450" ref="N1087"/>
    <hyperlink r:id="rId451" ref="N1089"/>
    <hyperlink r:id="rId452" ref="N1090"/>
    <hyperlink r:id="rId453" ref="N1092"/>
    <hyperlink r:id="rId454" ref="N1094"/>
    <hyperlink r:id="rId455" ref="N1095"/>
    <hyperlink r:id="rId456" ref="N1096"/>
    <hyperlink r:id="rId457" ref="N1097"/>
    <hyperlink r:id="rId458" ref="N1098"/>
    <hyperlink r:id="rId459" ref="N1099"/>
    <hyperlink r:id="rId460" ref="N1102"/>
    <hyperlink r:id="rId461" ref="N1104"/>
    <hyperlink r:id="rId462" ref="N1105"/>
    <hyperlink r:id="rId463" ref="N1106"/>
    <hyperlink r:id="rId464" ref="N1107"/>
    <hyperlink r:id="rId465" ref="N1109"/>
    <hyperlink r:id="rId466" ref="N1110"/>
    <hyperlink r:id="rId467" ref="N1112"/>
    <hyperlink r:id="rId468" ref="N1113"/>
    <hyperlink r:id="rId469" ref="N1114"/>
    <hyperlink r:id="rId470" ref="N1115"/>
    <hyperlink r:id="rId471" ref="N1116"/>
    <hyperlink r:id="rId472" ref="N1117"/>
    <hyperlink r:id="rId473" ref="N1118"/>
    <hyperlink r:id="rId474" ref="N1120"/>
    <hyperlink r:id="rId475" ref="N1122"/>
    <hyperlink r:id="rId476" ref="N1125"/>
    <hyperlink r:id="rId477" ref="N1126"/>
    <hyperlink r:id="rId478" ref="N1128"/>
    <hyperlink r:id="rId479" ref="N1144"/>
    <hyperlink r:id="rId480" ref="N1145"/>
    <hyperlink r:id="rId481" ref="N1147"/>
    <hyperlink r:id="rId482" ref="N1157"/>
    <hyperlink r:id="rId483" ref="N1162"/>
    <hyperlink r:id="rId484" ref="N1169"/>
    <hyperlink r:id="rId485" ref="N1170"/>
    <hyperlink r:id="rId486" ref="N1171"/>
    <hyperlink r:id="rId487" ref="N1172"/>
    <hyperlink r:id="rId488" ref="N1173"/>
    <hyperlink r:id="rId489" ref="N1175"/>
    <hyperlink r:id="rId490" ref="N1177"/>
    <hyperlink r:id="rId491" ref="N1179"/>
    <hyperlink r:id="rId492" ref="N1180"/>
    <hyperlink r:id="rId493" ref="N1181"/>
    <hyperlink r:id="rId494" ref="N1210"/>
    <hyperlink r:id="rId495" ref="N1212"/>
    <hyperlink r:id="rId496" ref="N1213"/>
    <hyperlink r:id="rId497" ref="N1217"/>
    <hyperlink r:id="rId498" ref="N1218"/>
    <hyperlink r:id="rId499" ref="N1225"/>
    <hyperlink r:id="rId500" ref="N1229"/>
    <hyperlink r:id="rId501" ref="N1238"/>
    <hyperlink r:id="rId502" ref="N1239"/>
    <hyperlink r:id="rId503" ref="N1240"/>
    <hyperlink r:id="rId504" ref="N1241"/>
    <hyperlink r:id="rId505" ref="N1242"/>
    <hyperlink r:id="rId506" ref="N1245"/>
    <hyperlink r:id="rId507" ref="N1248"/>
    <hyperlink r:id="rId508" ref="N1249"/>
    <hyperlink r:id="rId509" ref="N1261"/>
    <hyperlink r:id="rId510" ref="C1273"/>
    <hyperlink r:id="rId511" ref="N1275"/>
    <hyperlink r:id="rId512" ref="N1276"/>
    <hyperlink r:id="rId513" ref="N1290"/>
    <hyperlink r:id="rId514" ref="N1291"/>
    <hyperlink r:id="rId515" ref="N1292"/>
    <hyperlink r:id="rId516" ref="N1293"/>
    <hyperlink r:id="rId517" ref="N1294"/>
    <hyperlink r:id="rId518" ref="N1297"/>
    <hyperlink r:id="rId519" ref="N1298"/>
    <hyperlink r:id="rId520" ref="N1300"/>
    <hyperlink r:id="rId521" ref="C1604"/>
  </hyperlinks>
  <drawing r:id="rId522"/>
  <tableParts count="1">
    <tablePart r:id="rId5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5.0"/>
    <col customWidth="1" min="4" max="4" width="34.88"/>
    <col customWidth="1" min="5" max="5" width="29.63"/>
    <col customWidth="1" min="6" max="6" width="13.25"/>
    <col customWidth="1" min="7" max="7" width="40.63"/>
  </cols>
  <sheetData>
    <row r="1">
      <c r="B1" s="32"/>
      <c r="E1" s="34"/>
      <c r="G1" s="35"/>
    </row>
    <row r="2">
      <c r="B2" s="32"/>
      <c r="E2" s="34"/>
      <c r="G2" s="35"/>
    </row>
    <row r="3" ht="22.5" customHeight="1">
      <c r="B3" s="37" t="s">
        <v>23</v>
      </c>
      <c r="C3" s="37" t="s">
        <v>24</v>
      </c>
      <c r="D3" s="37" t="s">
        <v>25</v>
      </c>
      <c r="E3" s="38" t="s">
        <v>26</v>
      </c>
      <c r="F3" s="37" t="s">
        <v>27</v>
      </c>
      <c r="G3" s="39" t="s">
        <v>28</v>
      </c>
    </row>
    <row r="4" ht="22.5" customHeight="1">
      <c r="B4" s="40">
        <v>1.0</v>
      </c>
      <c r="C4" s="41" t="s">
        <v>29</v>
      </c>
      <c r="D4" s="41" t="s">
        <v>30</v>
      </c>
      <c r="E4" s="42" t="s">
        <v>31</v>
      </c>
      <c r="F4" s="41" t="s">
        <v>32</v>
      </c>
      <c r="G4" s="43" t="s">
        <v>33</v>
      </c>
    </row>
    <row r="5" ht="22.5" customHeight="1">
      <c r="B5" s="40">
        <v>2.0</v>
      </c>
      <c r="C5" s="41" t="s">
        <v>34</v>
      </c>
      <c r="D5" s="41" t="s">
        <v>35</v>
      </c>
      <c r="E5" s="42" t="s">
        <v>36</v>
      </c>
      <c r="F5" s="41" t="s">
        <v>38</v>
      </c>
      <c r="G5" s="43" t="s">
        <v>40</v>
      </c>
    </row>
    <row r="6" ht="22.5" customHeight="1">
      <c r="B6" s="40">
        <v>3.0</v>
      </c>
      <c r="C6" s="41" t="s">
        <v>43</v>
      </c>
      <c r="D6" s="41" t="s">
        <v>45</v>
      </c>
      <c r="E6" s="42" t="s">
        <v>46</v>
      </c>
      <c r="F6" s="41" t="s">
        <v>47</v>
      </c>
      <c r="G6" s="43" t="s">
        <v>48</v>
      </c>
    </row>
    <row r="7" ht="22.5" customHeight="1">
      <c r="B7" s="40">
        <v>4.0</v>
      </c>
      <c r="C7" s="41" t="s">
        <v>49</v>
      </c>
      <c r="D7" s="41" t="s">
        <v>50</v>
      </c>
      <c r="E7" s="42" t="s">
        <v>52</v>
      </c>
      <c r="F7" s="41" t="s">
        <v>54</v>
      </c>
      <c r="G7" s="43" t="s">
        <v>56</v>
      </c>
    </row>
    <row r="8" ht="22.5" customHeight="1">
      <c r="B8" s="40">
        <v>5.0</v>
      </c>
      <c r="C8" s="41" t="s">
        <v>57</v>
      </c>
      <c r="D8" s="41" t="s">
        <v>59</v>
      </c>
      <c r="E8" s="42" t="s">
        <v>60</v>
      </c>
      <c r="F8" s="41" t="s">
        <v>61</v>
      </c>
      <c r="G8" s="43" t="s">
        <v>62</v>
      </c>
    </row>
    <row r="9" ht="22.5" customHeight="1">
      <c r="B9" s="40">
        <v>6.0</v>
      </c>
      <c r="C9" s="41" t="s">
        <v>64</v>
      </c>
      <c r="D9" s="41" t="s">
        <v>65</v>
      </c>
      <c r="E9" s="42" t="s">
        <v>67</v>
      </c>
      <c r="F9" s="41" t="s">
        <v>69</v>
      </c>
      <c r="G9" s="43" t="s">
        <v>71</v>
      </c>
    </row>
    <row r="10" ht="22.5" customHeight="1">
      <c r="A10" s="53"/>
      <c r="B10" s="40">
        <v>7.0</v>
      </c>
      <c r="C10" s="41" t="s">
        <v>19</v>
      </c>
      <c r="D10" s="41" t="s">
        <v>72</v>
      </c>
      <c r="E10" s="42" t="s">
        <v>74</v>
      </c>
      <c r="F10" s="55"/>
      <c r="G10" s="56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ht="22.5" customHeight="1">
      <c r="A11" s="53"/>
      <c r="B11" s="57">
        <v>8.0</v>
      </c>
      <c r="C11" s="58" t="s">
        <v>79</v>
      </c>
      <c r="D11" s="59" t="s">
        <v>81</v>
      </c>
      <c r="E11" s="60" t="s">
        <v>82</v>
      </c>
      <c r="F11" s="59"/>
      <c r="G11" s="61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>
      <c r="B12" s="32"/>
      <c r="E12" s="34"/>
      <c r="G12" s="35"/>
    </row>
    <row r="13">
      <c r="B13" s="32"/>
      <c r="E13" s="34"/>
      <c r="G13" s="35"/>
    </row>
    <row r="14">
      <c r="B14" s="62">
        <v>1.0</v>
      </c>
      <c r="C14" s="63" t="s">
        <v>87</v>
      </c>
      <c r="D14" s="64"/>
      <c r="E14" s="65"/>
      <c r="F14" s="64"/>
      <c r="G14" s="66"/>
    </row>
    <row r="15">
      <c r="B15" s="67">
        <v>2.0</v>
      </c>
      <c r="C15" s="68" t="s">
        <v>89</v>
      </c>
      <c r="E15" s="34"/>
      <c r="G15" s="69"/>
    </row>
    <row r="16">
      <c r="B16" s="67">
        <v>3.0</v>
      </c>
      <c r="C16" s="68" t="s">
        <v>91</v>
      </c>
      <c r="E16" s="34"/>
      <c r="G16" s="69"/>
    </row>
    <row r="17">
      <c r="B17" s="67">
        <v>4.0</v>
      </c>
      <c r="C17" s="68" t="s">
        <v>94</v>
      </c>
      <c r="E17" s="34"/>
      <c r="G17" s="69"/>
    </row>
    <row r="18">
      <c r="B18" s="67">
        <v>5.0</v>
      </c>
      <c r="C18" s="68" t="s">
        <v>95</v>
      </c>
      <c r="E18" s="34"/>
      <c r="G18" s="69"/>
    </row>
    <row r="19">
      <c r="B19" s="67">
        <v>6.0</v>
      </c>
      <c r="C19" s="68" t="s">
        <v>97</v>
      </c>
      <c r="E19" s="34"/>
      <c r="G19" s="69"/>
    </row>
    <row r="20">
      <c r="B20" s="67">
        <v>7.0</v>
      </c>
      <c r="C20" s="68" t="s">
        <v>98</v>
      </c>
      <c r="E20" s="34"/>
      <c r="G20" s="69"/>
    </row>
    <row r="21">
      <c r="B21" s="67">
        <v>8.0</v>
      </c>
      <c r="C21" s="68" t="s">
        <v>100</v>
      </c>
      <c r="E21" s="34"/>
      <c r="G21" s="69"/>
    </row>
    <row r="22">
      <c r="B22" s="67">
        <v>9.0</v>
      </c>
      <c r="C22" s="68" t="s">
        <v>101</v>
      </c>
      <c r="E22" s="34"/>
      <c r="G22" s="69"/>
    </row>
    <row r="23">
      <c r="B23" s="67">
        <v>10.0</v>
      </c>
      <c r="C23" s="68" t="s">
        <v>103</v>
      </c>
      <c r="E23" s="34"/>
      <c r="G23" s="69"/>
    </row>
    <row r="24">
      <c r="B24" s="70">
        <v>11.0</v>
      </c>
      <c r="C24" s="71" t="s">
        <v>106</v>
      </c>
      <c r="D24" s="72"/>
      <c r="E24" s="73"/>
      <c r="F24" s="72"/>
      <c r="G24" s="74"/>
    </row>
    <row r="25">
      <c r="B25" s="32"/>
      <c r="E25" s="34"/>
      <c r="G25" s="35"/>
    </row>
    <row r="26">
      <c r="B26" s="32"/>
      <c r="E26" s="34"/>
      <c r="G26" s="35"/>
    </row>
    <row r="27">
      <c r="B27" s="32"/>
      <c r="E27" s="34"/>
      <c r="G27" s="35"/>
    </row>
    <row r="28">
      <c r="B28" s="32"/>
      <c r="E28" s="34"/>
      <c r="G28" s="35"/>
    </row>
    <row r="29">
      <c r="B29" s="32"/>
      <c r="E29" s="34"/>
      <c r="G29" s="35"/>
    </row>
    <row r="30">
      <c r="B30" s="32"/>
      <c r="E30" s="34"/>
      <c r="G30" s="35"/>
    </row>
    <row r="31">
      <c r="B31" s="32"/>
      <c r="E31" s="34"/>
      <c r="G31" s="35"/>
    </row>
    <row r="32">
      <c r="B32" s="32"/>
      <c r="E32" s="34"/>
      <c r="G32" s="35"/>
    </row>
    <row r="33">
      <c r="B33" s="32"/>
      <c r="E33" s="34"/>
      <c r="G33" s="35"/>
    </row>
    <row r="34">
      <c r="B34" s="32"/>
      <c r="E34" s="34"/>
      <c r="G34" s="35"/>
    </row>
    <row r="35">
      <c r="B35" s="32"/>
      <c r="E35" s="34"/>
      <c r="G35" s="35"/>
    </row>
    <row r="36">
      <c r="B36" s="32"/>
      <c r="E36" s="34"/>
      <c r="G36" s="35"/>
    </row>
    <row r="37">
      <c r="B37" s="32"/>
      <c r="E37" s="34"/>
      <c r="G37" s="35"/>
    </row>
    <row r="38">
      <c r="B38" s="32"/>
      <c r="E38" s="34"/>
      <c r="G38" s="35"/>
    </row>
    <row r="39">
      <c r="B39" s="32"/>
      <c r="E39" s="34"/>
      <c r="G39" s="35"/>
    </row>
    <row r="40">
      <c r="B40" s="32"/>
      <c r="E40" s="34"/>
      <c r="G40" s="35"/>
    </row>
    <row r="41">
      <c r="B41" s="32"/>
      <c r="E41" s="34"/>
      <c r="G41" s="35"/>
    </row>
    <row r="42">
      <c r="B42" s="32"/>
      <c r="E42" s="34"/>
      <c r="G42" s="35"/>
    </row>
    <row r="43">
      <c r="B43" s="32"/>
      <c r="E43" s="34"/>
      <c r="G43" s="35"/>
    </row>
    <row r="44">
      <c r="B44" s="32"/>
      <c r="E44" s="34"/>
      <c r="G44" s="35"/>
    </row>
    <row r="45">
      <c r="B45" s="32"/>
      <c r="E45" s="34"/>
      <c r="G45" s="35"/>
    </row>
    <row r="46">
      <c r="B46" s="32"/>
      <c r="E46" s="34"/>
      <c r="G46" s="35"/>
    </row>
    <row r="47">
      <c r="B47" s="32"/>
      <c r="E47" s="34"/>
      <c r="G47" s="35"/>
    </row>
    <row r="48">
      <c r="B48" s="32"/>
      <c r="E48" s="34"/>
      <c r="G48" s="35"/>
    </row>
    <row r="49">
      <c r="B49" s="32"/>
      <c r="E49" s="34"/>
      <c r="G49" s="35"/>
    </row>
    <row r="50">
      <c r="B50" s="32"/>
      <c r="E50" s="34"/>
      <c r="G50" s="35"/>
    </row>
    <row r="51">
      <c r="B51" s="32"/>
      <c r="E51" s="34"/>
      <c r="G51" s="35"/>
    </row>
    <row r="52">
      <c r="B52" s="32"/>
      <c r="E52" s="34"/>
      <c r="G52" s="35"/>
    </row>
    <row r="53">
      <c r="B53" s="32"/>
      <c r="E53" s="34"/>
      <c r="G53" s="35"/>
    </row>
    <row r="54">
      <c r="B54" s="32"/>
      <c r="E54" s="34"/>
      <c r="G54" s="35"/>
    </row>
    <row r="55">
      <c r="B55" s="32"/>
      <c r="E55" s="34"/>
      <c r="G55" s="35"/>
    </row>
    <row r="56">
      <c r="B56" s="32"/>
      <c r="E56" s="34"/>
      <c r="G56" s="35"/>
    </row>
    <row r="57">
      <c r="B57" s="32"/>
      <c r="E57" s="34"/>
      <c r="G57" s="35"/>
    </row>
    <row r="58">
      <c r="B58" s="32"/>
      <c r="E58" s="34"/>
      <c r="G58" s="35"/>
    </row>
    <row r="59">
      <c r="B59" s="32"/>
      <c r="E59" s="34"/>
      <c r="G59" s="35"/>
    </row>
    <row r="60">
      <c r="B60" s="32"/>
      <c r="E60" s="34"/>
      <c r="G60" s="35"/>
    </row>
    <row r="61">
      <c r="B61" s="32"/>
      <c r="E61" s="34"/>
      <c r="G61" s="35"/>
    </row>
    <row r="62">
      <c r="B62" s="32"/>
      <c r="E62" s="34"/>
      <c r="G62" s="35"/>
    </row>
    <row r="63">
      <c r="B63" s="32"/>
      <c r="E63" s="34"/>
      <c r="G63" s="35"/>
    </row>
    <row r="64">
      <c r="B64" s="32"/>
      <c r="E64" s="34"/>
      <c r="G64" s="35"/>
    </row>
    <row r="65">
      <c r="B65" s="32"/>
      <c r="E65" s="34"/>
      <c r="G65" s="35"/>
    </row>
    <row r="66">
      <c r="B66" s="32"/>
      <c r="E66" s="34"/>
      <c r="G66" s="35"/>
    </row>
    <row r="67">
      <c r="B67" s="32"/>
      <c r="E67" s="34"/>
      <c r="G67" s="35"/>
    </row>
    <row r="68">
      <c r="B68" s="32"/>
      <c r="E68" s="34"/>
      <c r="G68" s="35"/>
    </row>
    <row r="69">
      <c r="B69" s="32"/>
      <c r="E69" s="34"/>
      <c r="G69" s="35"/>
    </row>
    <row r="70">
      <c r="B70" s="32"/>
      <c r="E70" s="34"/>
      <c r="G70" s="35"/>
    </row>
    <row r="71">
      <c r="B71" s="32"/>
      <c r="E71" s="34"/>
      <c r="G71" s="35"/>
    </row>
    <row r="72">
      <c r="B72" s="32"/>
      <c r="E72" s="34"/>
      <c r="G72" s="35"/>
    </row>
    <row r="73">
      <c r="B73" s="32"/>
      <c r="E73" s="34"/>
      <c r="G73" s="35"/>
    </row>
    <row r="74">
      <c r="B74" s="32"/>
      <c r="E74" s="34"/>
      <c r="G74" s="35"/>
    </row>
    <row r="75">
      <c r="B75" s="32"/>
      <c r="E75" s="34"/>
      <c r="G75" s="35"/>
    </row>
    <row r="76">
      <c r="B76" s="32"/>
      <c r="E76" s="34"/>
      <c r="G76" s="35"/>
    </row>
    <row r="77">
      <c r="B77" s="32"/>
      <c r="E77" s="34"/>
      <c r="G77" s="35"/>
    </row>
    <row r="78">
      <c r="B78" s="32"/>
      <c r="E78" s="34"/>
      <c r="G78" s="35"/>
    </row>
    <row r="79">
      <c r="B79" s="32"/>
      <c r="E79" s="34"/>
      <c r="G79" s="35"/>
    </row>
    <row r="80">
      <c r="B80" s="32"/>
      <c r="E80" s="34"/>
      <c r="G80" s="35"/>
    </row>
    <row r="81">
      <c r="B81" s="32"/>
      <c r="E81" s="34"/>
      <c r="G81" s="35"/>
    </row>
    <row r="82">
      <c r="B82" s="32"/>
      <c r="E82" s="34"/>
      <c r="G82" s="35"/>
    </row>
    <row r="83">
      <c r="B83" s="32"/>
      <c r="E83" s="34"/>
      <c r="G83" s="35"/>
    </row>
    <row r="84">
      <c r="B84" s="32"/>
      <c r="E84" s="34"/>
      <c r="G84" s="35"/>
    </row>
    <row r="85">
      <c r="B85" s="32"/>
      <c r="E85" s="34"/>
      <c r="G85" s="35"/>
    </row>
    <row r="86">
      <c r="B86" s="32"/>
      <c r="E86" s="34"/>
      <c r="G86" s="35"/>
    </row>
    <row r="87">
      <c r="B87" s="32"/>
      <c r="E87" s="34"/>
      <c r="G87" s="35"/>
    </row>
    <row r="88">
      <c r="B88" s="32"/>
      <c r="E88" s="34"/>
      <c r="G88" s="35"/>
    </row>
    <row r="89">
      <c r="B89" s="32"/>
      <c r="E89" s="34"/>
      <c r="G89" s="35"/>
    </row>
    <row r="90">
      <c r="B90" s="32"/>
      <c r="E90" s="34"/>
      <c r="G90" s="35"/>
    </row>
    <row r="91">
      <c r="B91" s="32"/>
      <c r="E91" s="34"/>
      <c r="G91" s="35"/>
    </row>
    <row r="92">
      <c r="B92" s="32"/>
      <c r="E92" s="34"/>
      <c r="G92" s="35"/>
    </row>
    <row r="93">
      <c r="B93" s="32"/>
      <c r="E93" s="34"/>
      <c r="G93" s="35"/>
    </row>
    <row r="94">
      <c r="B94" s="32"/>
      <c r="E94" s="34"/>
      <c r="G94" s="35"/>
    </row>
    <row r="95">
      <c r="B95" s="32"/>
      <c r="E95" s="34"/>
      <c r="G95" s="35"/>
    </row>
    <row r="96">
      <c r="B96" s="32"/>
      <c r="E96" s="34"/>
      <c r="G96" s="35"/>
    </row>
    <row r="97">
      <c r="B97" s="32"/>
      <c r="E97" s="34"/>
      <c r="G97" s="35"/>
    </row>
    <row r="98">
      <c r="B98" s="32"/>
      <c r="E98" s="34"/>
      <c r="G98" s="35"/>
    </row>
    <row r="99">
      <c r="B99" s="32"/>
      <c r="E99" s="34"/>
      <c r="G99" s="35"/>
    </row>
    <row r="100">
      <c r="B100" s="32"/>
      <c r="E100" s="34"/>
      <c r="G100" s="35"/>
    </row>
    <row r="101">
      <c r="B101" s="32"/>
      <c r="E101" s="34"/>
      <c r="G101" s="35"/>
    </row>
    <row r="102">
      <c r="B102" s="32"/>
      <c r="E102" s="34"/>
      <c r="G102" s="35"/>
    </row>
    <row r="103">
      <c r="B103" s="32"/>
      <c r="E103" s="34"/>
      <c r="G103" s="35"/>
    </row>
    <row r="104">
      <c r="B104" s="32"/>
      <c r="E104" s="34"/>
      <c r="G104" s="35"/>
    </row>
    <row r="105">
      <c r="B105" s="32"/>
      <c r="E105" s="34"/>
      <c r="G105" s="35"/>
    </row>
    <row r="106">
      <c r="B106" s="32"/>
      <c r="E106" s="34"/>
      <c r="G106" s="35"/>
    </row>
    <row r="107">
      <c r="B107" s="32"/>
      <c r="E107" s="34"/>
      <c r="G107" s="35"/>
    </row>
    <row r="108">
      <c r="B108" s="32"/>
      <c r="E108" s="34"/>
      <c r="G108" s="35"/>
    </row>
    <row r="109">
      <c r="B109" s="32"/>
      <c r="E109" s="34"/>
      <c r="G109" s="35"/>
    </row>
    <row r="110">
      <c r="B110" s="32"/>
      <c r="E110" s="34"/>
      <c r="G110" s="35"/>
    </row>
    <row r="111">
      <c r="B111" s="32"/>
      <c r="E111" s="34"/>
      <c r="G111" s="35"/>
    </row>
    <row r="112">
      <c r="B112" s="32"/>
      <c r="E112" s="34"/>
      <c r="G112" s="35"/>
    </row>
    <row r="113">
      <c r="B113" s="32"/>
      <c r="E113" s="34"/>
      <c r="G113" s="35"/>
    </row>
    <row r="114">
      <c r="B114" s="32"/>
      <c r="E114" s="34"/>
      <c r="G114" s="35"/>
    </row>
    <row r="115">
      <c r="B115" s="32"/>
      <c r="E115" s="34"/>
      <c r="G115" s="35"/>
    </row>
    <row r="116">
      <c r="B116" s="32"/>
      <c r="E116" s="34"/>
      <c r="G116" s="35"/>
    </row>
    <row r="117">
      <c r="B117" s="32"/>
      <c r="E117" s="34"/>
      <c r="G117" s="35"/>
    </row>
    <row r="118">
      <c r="B118" s="32"/>
      <c r="E118" s="34"/>
      <c r="G118" s="35"/>
    </row>
    <row r="119">
      <c r="B119" s="32"/>
      <c r="E119" s="34"/>
      <c r="G119" s="35"/>
    </row>
    <row r="120">
      <c r="B120" s="32"/>
      <c r="E120" s="34"/>
      <c r="G120" s="35"/>
    </row>
    <row r="121">
      <c r="B121" s="32"/>
      <c r="E121" s="34"/>
      <c r="G121" s="35"/>
    </row>
    <row r="122">
      <c r="B122" s="32"/>
      <c r="E122" s="34"/>
      <c r="G122" s="35"/>
    </row>
    <row r="123">
      <c r="B123" s="32"/>
      <c r="E123" s="34"/>
      <c r="G123" s="35"/>
    </row>
    <row r="124">
      <c r="B124" s="32"/>
      <c r="E124" s="34"/>
      <c r="G124" s="35"/>
    </row>
    <row r="125">
      <c r="B125" s="32"/>
      <c r="E125" s="34"/>
      <c r="G125" s="35"/>
    </row>
    <row r="126">
      <c r="B126" s="32"/>
      <c r="E126" s="34"/>
      <c r="G126" s="35"/>
    </row>
    <row r="127">
      <c r="B127" s="32"/>
      <c r="E127" s="34"/>
      <c r="G127" s="35"/>
    </row>
    <row r="128">
      <c r="B128" s="32"/>
      <c r="E128" s="34"/>
      <c r="G128" s="35"/>
    </row>
    <row r="129">
      <c r="B129" s="32"/>
      <c r="E129" s="34"/>
      <c r="G129" s="35"/>
    </row>
    <row r="130">
      <c r="B130" s="32"/>
      <c r="E130" s="34"/>
      <c r="G130" s="35"/>
    </row>
    <row r="131">
      <c r="B131" s="32"/>
      <c r="E131" s="34"/>
      <c r="G131" s="35"/>
    </row>
    <row r="132">
      <c r="B132" s="32"/>
      <c r="E132" s="34"/>
      <c r="G132" s="35"/>
    </row>
    <row r="133">
      <c r="B133" s="32"/>
      <c r="E133" s="34"/>
      <c r="G133" s="35"/>
    </row>
    <row r="134">
      <c r="B134" s="32"/>
      <c r="E134" s="34"/>
      <c r="G134" s="35"/>
    </row>
    <row r="135">
      <c r="B135" s="32"/>
      <c r="E135" s="34"/>
      <c r="G135" s="35"/>
    </row>
    <row r="136">
      <c r="B136" s="32"/>
      <c r="E136" s="34"/>
      <c r="G136" s="35"/>
    </row>
    <row r="137">
      <c r="B137" s="32"/>
      <c r="E137" s="34"/>
      <c r="G137" s="35"/>
    </row>
    <row r="138">
      <c r="B138" s="32"/>
      <c r="E138" s="34"/>
      <c r="G138" s="35"/>
    </row>
    <row r="139">
      <c r="B139" s="32"/>
      <c r="E139" s="34"/>
      <c r="G139" s="35"/>
    </row>
    <row r="140">
      <c r="B140" s="32"/>
      <c r="E140" s="34"/>
      <c r="G140" s="35"/>
    </row>
    <row r="141">
      <c r="B141" s="32"/>
      <c r="E141" s="34"/>
      <c r="G141" s="35"/>
    </row>
    <row r="142">
      <c r="B142" s="32"/>
      <c r="E142" s="34"/>
      <c r="G142" s="35"/>
    </row>
    <row r="143">
      <c r="B143" s="32"/>
      <c r="E143" s="34"/>
      <c r="G143" s="35"/>
    </row>
    <row r="144">
      <c r="B144" s="32"/>
      <c r="E144" s="34"/>
      <c r="G144" s="35"/>
    </row>
    <row r="145">
      <c r="B145" s="32"/>
      <c r="E145" s="34"/>
      <c r="G145" s="35"/>
    </row>
    <row r="146">
      <c r="B146" s="32"/>
      <c r="E146" s="34"/>
      <c r="G146" s="35"/>
    </row>
    <row r="147">
      <c r="B147" s="32"/>
      <c r="E147" s="34"/>
      <c r="G147" s="35"/>
    </row>
    <row r="148">
      <c r="B148" s="32"/>
      <c r="E148" s="34"/>
      <c r="G148" s="35"/>
    </row>
    <row r="149">
      <c r="B149" s="32"/>
      <c r="E149" s="34"/>
      <c r="G149" s="35"/>
    </row>
    <row r="150">
      <c r="B150" s="32"/>
      <c r="E150" s="34"/>
      <c r="G150" s="35"/>
    </row>
    <row r="151">
      <c r="B151" s="32"/>
      <c r="E151" s="34"/>
      <c r="G151" s="35"/>
    </row>
    <row r="152">
      <c r="B152" s="32"/>
      <c r="E152" s="34"/>
      <c r="G152" s="35"/>
    </row>
    <row r="153">
      <c r="B153" s="32"/>
      <c r="E153" s="34"/>
      <c r="G153" s="35"/>
    </row>
    <row r="154">
      <c r="B154" s="32"/>
      <c r="E154" s="34"/>
      <c r="G154" s="35"/>
    </row>
    <row r="155">
      <c r="B155" s="32"/>
      <c r="E155" s="34"/>
      <c r="G155" s="35"/>
    </row>
    <row r="156">
      <c r="B156" s="32"/>
      <c r="E156" s="34"/>
      <c r="G156" s="35"/>
    </row>
    <row r="157">
      <c r="B157" s="32"/>
      <c r="E157" s="34"/>
      <c r="G157" s="35"/>
    </row>
    <row r="158">
      <c r="B158" s="32"/>
      <c r="E158" s="34"/>
      <c r="G158" s="35"/>
    </row>
    <row r="159">
      <c r="B159" s="32"/>
      <c r="E159" s="34"/>
      <c r="G159" s="35"/>
    </row>
    <row r="160">
      <c r="B160" s="32"/>
      <c r="E160" s="34"/>
      <c r="G160" s="35"/>
    </row>
    <row r="161">
      <c r="B161" s="32"/>
      <c r="E161" s="34"/>
      <c r="G161" s="35"/>
    </row>
    <row r="162">
      <c r="B162" s="32"/>
      <c r="E162" s="34"/>
      <c r="G162" s="35"/>
    </row>
    <row r="163">
      <c r="B163" s="32"/>
      <c r="E163" s="34"/>
      <c r="G163" s="35"/>
    </row>
    <row r="164">
      <c r="B164" s="32"/>
      <c r="E164" s="34"/>
      <c r="G164" s="35"/>
    </row>
    <row r="165">
      <c r="B165" s="32"/>
      <c r="E165" s="34"/>
      <c r="G165" s="35"/>
    </row>
    <row r="166">
      <c r="B166" s="32"/>
      <c r="E166" s="34"/>
      <c r="G166" s="35"/>
    </row>
    <row r="167">
      <c r="B167" s="32"/>
      <c r="E167" s="34"/>
      <c r="G167" s="35"/>
    </row>
    <row r="168">
      <c r="B168" s="32"/>
      <c r="E168" s="34"/>
      <c r="G168" s="35"/>
    </row>
    <row r="169">
      <c r="B169" s="32"/>
      <c r="E169" s="34"/>
      <c r="G169" s="35"/>
    </row>
    <row r="170">
      <c r="B170" s="32"/>
      <c r="E170" s="34"/>
      <c r="G170" s="35"/>
    </row>
    <row r="171">
      <c r="B171" s="32"/>
      <c r="E171" s="34"/>
      <c r="G171" s="35"/>
    </row>
    <row r="172">
      <c r="B172" s="32"/>
      <c r="E172" s="34"/>
      <c r="G172" s="35"/>
    </row>
    <row r="173">
      <c r="B173" s="32"/>
      <c r="E173" s="34"/>
      <c r="G173" s="35"/>
    </row>
    <row r="174">
      <c r="B174" s="32"/>
      <c r="E174" s="34"/>
      <c r="G174" s="35"/>
    </row>
    <row r="175">
      <c r="B175" s="32"/>
      <c r="E175" s="34"/>
      <c r="G175" s="35"/>
    </row>
    <row r="176">
      <c r="B176" s="32"/>
      <c r="E176" s="34"/>
      <c r="G176" s="35"/>
    </row>
    <row r="177">
      <c r="B177" s="32"/>
      <c r="E177" s="34"/>
      <c r="G177" s="35"/>
    </row>
    <row r="178">
      <c r="B178" s="32"/>
      <c r="E178" s="34"/>
      <c r="G178" s="35"/>
    </row>
    <row r="179">
      <c r="B179" s="32"/>
      <c r="E179" s="34"/>
      <c r="G179" s="35"/>
    </row>
    <row r="180">
      <c r="B180" s="32"/>
      <c r="E180" s="34"/>
      <c r="G180" s="35"/>
    </row>
    <row r="181">
      <c r="B181" s="32"/>
      <c r="E181" s="34"/>
      <c r="G181" s="35"/>
    </row>
    <row r="182">
      <c r="B182" s="32"/>
      <c r="E182" s="34"/>
      <c r="G182" s="35"/>
    </row>
    <row r="183">
      <c r="B183" s="32"/>
      <c r="E183" s="34"/>
      <c r="G183" s="35"/>
    </row>
    <row r="184">
      <c r="B184" s="32"/>
      <c r="E184" s="34"/>
      <c r="G184" s="35"/>
    </row>
    <row r="185">
      <c r="B185" s="32"/>
      <c r="E185" s="34"/>
      <c r="G185" s="35"/>
    </row>
    <row r="186">
      <c r="B186" s="32"/>
      <c r="E186" s="34"/>
      <c r="G186" s="35"/>
    </row>
    <row r="187">
      <c r="B187" s="32"/>
      <c r="E187" s="34"/>
      <c r="G187" s="35"/>
    </row>
    <row r="188">
      <c r="B188" s="32"/>
      <c r="E188" s="34"/>
      <c r="G188" s="35"/>
    </row>
    <row r="189">
      <c r="B189" s="32"/>
      <c r="E189" s="34"/>
      <c r="G189" s="35"/>
    </row>
    <row r="190">
      <c r="B190" s="32"/>
      <c r="E190" s="34"/>
      <c r="G190" s="35"/>
    </row>
    <row r="191">
      <c r="B191" s="32"/>
      <c r="E191" s="34"/>
      <c r="G191" s="35"/>
    </row>
    <row r="192">
      <c r="B192" s="32"/>
      <c r="E192" s="34"/>
      <c r="G192" s="35"/>
    </row>
    <row r="193">
      <c r="B193" s="32"/>
      <c r="E193" s="34"/>
      <c r="G193" s="35"/>
    </row>
    <row r="194">
      <c r="B194" s="32"/>
      <c r="E194" s="34"/>
      <c r="G194" s="35"/>
    </row>
    <row r="195">
      <c r="B195" s="32"/>
      <c r="E195" s="34"/>
      <c r="G195" s="35"/>
    </row>
    <row r="196">
      <c r="B196" s="32"/>
      <c r="E196" s="34"/>
      <c r="G196" s="35"/>
    </row>
    <row r="197">
      <c r="B197" s="32"/>
      <c r="E197" s="34"/>
      <c r="G197" s="35"/>
    </row>
    <row r="198">
      <c r="B198" s="32"/>
      <c r="E198" s="34"/>
      <c r="G198" s="35"/>
    </row>
    <row r="199">
      <c r="B199" s="32"/>
      <c r="E199" s="34"/>
      <c r="G199" s="35"/>
    </row>
    <row r="200">
      <c r="B200" s="32"/>
      <c r="E200" s="34"/>
      <c r="G200" s="35"/>
    </row>
    <row r="201">
      <c r="B201" s="32"/>
      <c r="E201" s="34"/>
      <c r="G201" s="35"/>
    </row>
    <row r="202">
      <c r="B202" s="32"/>
      <c r="E202" s="34"/>
      <c r="G202" s="35"/>
    </row>
    <row r="203">
      <c r="B203" s="32"/>
      <c r="E203" s="34"/>
      <c r="G203" s="35"/>
    </row>
    <row r="204">
      <c r="B204" s="32"/>
      <c r="E204" s="34"/>
      <c r="G204" s="35"/>
    </row>
    <row r="205">
      <c r="B205" s="32"/>
      <c r="E205" s="34"/>
      <c r="G205" s="35"/>
    </row>
    <row r="206">
      <c r="B206" s="32"/>
      <c r="E206" s="34"/>
      <c r="G206" s="35"/>
    </row>
    <row r="207">
      <c r="B207" s="32"/>
      <c r="E207" s="34"/>
      <c r="G207" s="35"/>
    </row>
    <row r="208">
      <c r="B208" s="32"/>
      <c r="E208" s="34"/>
      <c r="G208" s="35"/>
    </row>
    <row r="209">
      <c r="B209" s="32"/>
      <c r="E209" s="34"/>
      <c r="G209" s="35"/>
    </row>
    <row r="210">
      <c r="B210" s="32"/>
      <c r="E210" s="34"/>
      <c r="G210" s="35"/>
    </row>
    <row r="211">
      <c r="B211" s="32"/>
      <c r="E211" s="34"/>
      <c r="G211" s="35"/>
    </row>
    <row r="212">
      <c r="B212" s="32"/>
      <c r="E212" s="34"/>
      <c r="G212" s="35"/>
    </row>
    <row r="213">
      <c r="B213" s="32"/>
      <c r="E213" s="34"/>
      <c r="G213" s="35"/>
    </row>
    <row r="214">
      <c r="B214" s="32"/>
      <c r="E214" s="34"/>
      <c r="G214" s="35"/>
    </row>
    <row r="215">
      <c r="B215" s="32"/>
      <c r="E215" s="34"/>
      <c r="G215" s="35"/>
    </row>
    <row r="216">
      <c r="B216" s="32"/>
      <c r="E216" s="34"/>
      <c r="G216" s="35"/>
    </row>
    <row r="217">
      <c r="B217" s="32"/>
      <c r="E217" s="34"/>
      <c r="G217" s="35"/>
    </row>
    <row r="218">
      <c r="B218" s="32"/>
      <c r="E218" s="34"/>
      <c r="G218" s="35"/>
    </row>
    <row r="219">
      <c r="B219" s="32"/>
      <c r="E219" s="34"/>
      <c r="G219" s="35"/>
    </row>
    <row r="220">
      <c r="B220" s="32"/>
      <c r="E220" s="34"/>
      <c r="G220" s="35"/>
    </row>
    <row r="221">
      <c r="B221" s="32"/>
      <c r="E221" s="34"/>
      <c r="G221" s="35"/>
    </row>
    <row r="222">
      <c r="B222" s="32"/>
      <c r="E222" s="34"/>
      <c r="G222" s="35"/>
    </row>
    <row r="223">
      <c r="B223" s="32"/>
      <c r="E223" s="34"/>
      <c r="G223" s="35"/>
    </row>
    <row r="224">
      <c r="B224" s="32"/>
      <c r="E224" s="34"/>
      <c r="G224" s="35"/>
    </row>
    <row r="225">
      <c r="B225" s="32"/>
      <c r="E225" s="34"/>
      <c r="G225" s="35"/>
    </row>
    <row r="226">
      <c r="B226" s="32"/>
      <c r="E226" s="34"/>
      <c r="G226" s="35"/>
    </row>
    <row r="227">
      <c r="B227" s="32"/>
      <c r="E227" s="34"/>
      <c r="G227" s="35"/>
    </row>
    <row r="228">
      <c r="B228" s="32"/>
      <c r="E228" s="34"/>
      <c r="G228" s="35"/>
    </row>
    <row r="229">
      <c r="B229" s="32"/>
      <c r="E229" s="34"/>
      <c r="G229" s="35"/>
    </row>
    <row r="230">
      <c r="B230" s="32"/>
      <c r="E230" s="34"/>
      <c r="G230" s="35"/>
    </row>
    <row r="231">
      <c r="B231" s="32"/>
      <c r="E231" s="34"/>
      <c r="G231" s="35"/>
    </row>
    <row r="232">
      <c r="B232" s="32"/>
      <c r="E232" s="34"/>
      <c r="G232" s="35"/>
    </row>
    <row r="233">
      <c r="B233" s="32"/>
      <c r="E233" s="34"/>
      <c r="G233" s="35"/>
    </row>
    <row r="234">
      <c r="B234" s="32"/>
      <c r="E234" s="34"/>
      <c r="G234" s="35"/>
    </row>
    <row r="235">
      <c r="B235" s="32"/>
      <c r="E235" s="34"/>
      <c r="G235" s="35"/>
    </row>
    <row r="236">
      <c r="B236" s="32"/>
      <c r="E236" s="34"/>
      <c r="G236" s="35"/>
    </row>
    <row r="237">
      <c r="B237" s="32"/>
      <c r="E237" s="34"/>
      <c r="G237" s="35"/>
    </row>
    <row r="238">
      <c r="B238" s="32"/>
      <c r="E238" s="34"/>
      <c r="G238" s="35"/>
    </row>
    <row r="239">
      <c r="B239" s="32"/>
      <c r="E239" s="34"/>
      <c r="G239" s="35"/>
    </row>
    <row r="240">
      <c r="B240" s="32"/>
      <c r="E240" s="34"/>
      <c r="G240" s="35"/>
    </row>
    <row r="241">
      <c r="B241" s="32"/>
      <c r="E241" s="34"/>
      <c r="G241" s="35"/>
    </row>
    <row r="242">
      <c r="B242" s="32"/>
      <c r="E242" s="34"/>
      <c r="G242" s="35"/>
    </row>
    <row r="243">
      <c r="B243" s="32"/>
      <c r="E243" s="34"/>
      <c r="G243" s="35"/>
    </row>
    <row r="244">
      <c r="B244" s="32"/>
      <c r="E244" s="34"/>
      <c r="G244" s="35"/>
    </row>
    <row r="245">
      <c r="B245" s="32"/>
      <c r="E245" s="34"/>
      <c r="G245" s="35"/>
    </row>
    <row r="246">
      <c r="B246" s="32"/>
      <c r="E246" s="34"/>
      <c r="G246" s="35"/>
    </row>
    <row r="247">
      <c r="B247" s="32"/>
      <c r="E247" s="34"/>
      <c r="G247" s="35"/>
    </row>
    <row r="248">
      <c r="B248" s="32"/>
      <c r="E248" s="34"/>
      <c r="G248" s="35"/>
    </row>
    <row r="249">
      <c r="B249" s="32"/>
      <c r="E249" s="34"/>
      <c r="G249" s="35"/>
    </row>
    <row r="250">
      <c r="B250" s="32"/>
      <c r="E250" s="34"/>
      <c r="G250" s="35"/>
    </row>
    <row r="251">
      <c r="B251" s="32"/>
      <c r="E251" s="34"/>
      <c r="G251" s="35"/>
    </row>
    <row r="252">
      <c r="B252" s="32"/>
      <c r="E252" s="34"/>
      <c r="G252" s="35"/>
    </row>
    <row r="253">
      <c r="B253" s="32"/>
      <c r="E253" s="34"/>
      <c r="G253" s="35"/>
    </row>
    <row r="254">
      <c r="B254" s="32"/>
      <c r="E254" s="34"/>
      <c r="G254" s="35"/>
    </row>
    <row r="255">
      <c r="B255" s="32"/>
      <c r="E255" s="34"/>
      <c r="G255" s="35"/>
    </row>
    <row r="256">
      <c r="B256" s="32"/>
      <c r="E256" s="34"/>
      <c r="G256" s="35"/>
    </row>
    <row r="257">
      <c r="B257" s="32"/>
      <c r="E257" s="34"/>
      <c r="G257" s="35"/>
    </row>
    <row r="258">
      <c r="B258" s="32"/>
      <c r="E258" s="34"/>
      <c r="G258" s="35"/>
    </row>
    <row r="259">
      <c r="B259" s="32"/>
      <c r="E259" s="34"/>
      <c r="G259" s="35"/>
    </row>
    <row r="260">
      <c r="B260" s="32"/>
      <c r="E260" s="34"/>
      <c r="G260" s="35"/>
    </row>
    <row r="261">
      <c r="B261" s="32"/>
      <c r="E261" s="34"/>
      <c r="G261" s="35"/>
    </row>
    <row r="262">
      <c r="B262" s="32"/>
      <c r="E262" s="34"/>
      <c r="G262" s="35"/>
    </row>
    <row r="263">
      <c r="B263" s="32"/>
      <c r="E263" s="34"/>
      <c r="G263" s="35"/>
    </row>
    <row r="264">
      <c r="B264" s="32"/>
      <c r="E264" s="34"/>
      <c r="G264" s="35"/>
    </row>
    <row r="265">
      <c r="B265" s="32"/>
      <c r="E265" s="34"/>
      <c r="G265" s="35"/>
    </row>
    <row r="266">
      <c r="B266" s="32"/>
      <c r="E266" s="34"/>
      <c r="G266" s="35"/>
    </row>
    <row r="267">
      <c r="B267" s="32"/>
      <c r="E267" s="34"/>
      <c r="G267" s="35"/>
    </row>
    <row r="268">
      <c r="B268" s="32"/>
      <c r="E268" s="34"/>
      <c r="G268" s="35"/>
    </row>
    <row r="269">
      <c r="B269" s="32"/>
      <c r="E269" s="34"/>
      <c r="G269" s="35"/>
    </row>
    <row r="270">
      <c r="B270" s="32"/>
      <c r="E270" s="34"/>
      <c r="G270" s="35"/>
    </row>
    <row r="271">
      <c r="B271" s="32"/>
      <c r="E271" s="34"/>
      <c r="G271" s="35"/>
    </row>
    <row r="272">
      <c r="B272" s="32"/>
      <c r="E272" s="34"/>
      <c r="G272" s="35"/>
    </row>
    <row r="273">
      <c r="B273" s="32"/>
      <c r="E273" s="34"/>
      <c r="G273" s="35"/>
    </row>
    <row r="274">
      <c r="B274" s="32"/>
      <c r="E274" s="34"/>
      <c r="G274" s="35"/>
    </row>
    <row r="275">
      <c r="B275" s="32"/>
      <c r="E275" s="34"/>
      <c r="G275" s="35"/>
    </row>
    <row r="276">
      <c r="B276" s="32"/>
      <c r="E276" s="34"/>
      <c r="G276" s="35"/>
    </row>
    <row r="277">
      <c r="B277" s="32"/>
      <c r="E277" s="34"/>
      <c r="G277" s="35"/>
    </row>
    <row r="278">
      <c r="B278" s="32"/>
      <c r="E278" s="34"/>
      <c r="G278" s="35"/>
    </row>
    <row r="279">
      <c r="B279" s="32"/>
      <c r="E279" s="34"/>
      <c r="G279" s="35"/>
    </row>
    <row r="280">
      <c r="B280" s="32"/>
      <c r="E280" s="34"/>
      <c r="G280" s="35"/>
    </row>
    <row r="281">
      <c r="B281" s="32"/>
      <c r="E281" s="34"/>
      <c r="G281" s="35"/>
    </row>
    <row r="282">
      <c r="B282" s="32"/>
      <c r="E282" s="34"/>
      <c r="G282" s="35"/>
    </row>
    <row r="283">
      <c r="B283" s="32"/>
      <c r="E283" s="34"/>
      <c r="G283" s="35"/>
    </row>
    <row r="284">
      <c r="B284" s="32"/>
      <c r="E284" s="34"/>
      <c r="G284" s="35"/>
    </row>
    <row r="285">
      <c r="B285" s="32"/>
      <c r="E285" s="34"/>
      <c r="G285" s="35"/>
    </row>
    <row r="286">
      <c r="B286" s="32"/>
      <c r="E286" s="34"/>
      <c r="G286" s="35"/>
    </row>
    <row r="287">
      <c r="B287" s="32"/>
      <c r="E287" s="34"/>
      <c r="G287" s="35"/>
    </row>
    <row r="288">
      <c r="B288" s="32"/>
      <c r="E288" s="34"/>
      <c r="G288" s="35"/>
    </row>
    <row r="289">
      <c r="B289" s="32"/>
      <c r="E289" s="34"/>
      <c r="G289" s="35"/>
    </row>
    <row r="290">
      <c r="B290" s="32"/>
      <c r="E290" s="34"/>
      <c r="G290" s="35"/>
    </row>
    <row r="291">
      <c r="B291" s="32"/>
      <c r="E291" s="34"/>
      <c r="G291" s="35"/>
    </row>
    <row r="292">
      <c r="B292" s="32"/>
      <c r="E292" s="34"/>
      <c r="G292" s="35"/>
    </row>
    <row r="293">
      <c r="B293" s="32"/>
      <c r="E293" s="34"/>
      <c r="G293" s="35"/>
    </row>
    <row r="294">
      <c r="B294" s="32"/>
      <c r="E294" s="34"/>
      <c r="G294" s="35"/>
    </row>
    <row r="295">
      <c r="B295" s="32"/>
      <c r="E295" s="34"/>
      <c r="G295" s="35"/>
    </row>
    <row r="296">
      <c r="B296" s="32"/>
      <c r="E296" s="34"/>
      <c r="G296" s="35"/>
    </row>
    <row r="297">
      <c r="B297" s="32"/>
      <c r="E297" s="34"/>
      <c r="G297" s="35"/>
    </row>
    <row r="298">
      <c r="B298" s="32"/>
      <c r="E298" s="34"/>
      <c r="G298" s="35"/>
    </row>
    <row r="299">
      <c r="B299" s="32"/>
      <c r="E299" s="34"/>
      <c r="G299" s="35"/>
    </row>
    <row r="300">
      <c r="B300" s="32"/>
      <c r="E300" s="34"/>
      <c r="G300" s="35"/>
    </row>
    <row r="301">
      <c r="B301" s="32"/>
      <c r="E301" s="34"/>
      <c r="G301" s="35"/>
    </row>
    <row r="302">
      <c r="B302" s="32"/>
      <c r="E302" s="34"/>
      <c r="G302" s="35"/>
    </row>
    <row r="303">
      <c r="B303" s="32"/>
      <c r="E303" s="34"/>
      <c r="G303" s="35"/>
    </row>
    <row r="304">
      <c r="B304" s="32"/>
      <c r="E304" s="34"/>
      <c r="G304" s="35"/>
    </row>
    <row r="305">
      <c r="B305" s="32"/>
      <c r="E305" s="34"/>
      <c r="G305" s="35"/>
    </row>
    <row r="306">
      <c r="B306" s="32"/>
      <c r="E306" s="34"/>
      <c r="G306" s="35"/>
    </row>
    <row r="307">
      <c r="B307" s="32"/>
      <c r="E307" s="34"/>
      <c r="G307" s="35"/>
    </row>
    <row r="308">
      <c r="B308" s="32"/>
      <c r="E308" s="34"/>
      <c r="G308" s="35"/>
    </row>
    <row r="309">
      <c r="B309" s="32"/>
      <c r="E309" s="34"/>
      <c r="G309" s="35"/>
    </row>
    <row r="310">
      <c r="B310" s="32"/>
      <c r="E310" s="34"/>
      <c r="G310" s="35"/>
    </row>
    <row r="311">
      <c r="B311" s="32"/>
      <c r="E311" s="34"/>
      <c r="G311" s="35"/>
    </row>
    <row r="312">
      <c r="B312" s="32"/>
      <c r="E312" s="34"/>
      <c r="G312" s="35"/>
    </row>
    <row r="313">
      <c r="B313" s="32"/>
      <c r="E313" s="34"/>
      <c r="G313" s="35"/>
    </row>
    <row r="314">
      <c r="B314" s="32"/>
      <c r="E314" s="34"/>
      <c r="G314" s="35"/>
    </row>
    <row r="315">
      <c r="B315" s="32"/>
      <c r="E315" s="34"/>
      <c r="G315" s="35"/>
    </row>
    <row r="316">
      <c r="B316" s="32"/>
      <c r="E316" s="34"/>
      <c r="G316" s="35"/>
    </row>
    <row r="317">
      <c r="B317" s="32"/>
      <c r="E317" s="34"/>
      <c r="G317" s="35"/>
    </row>
    <row r="318">
      <c r="B318" s="32"/>
      <c r="E318" s="34"/>
      <c r="G318" s="35"/>
    </row>
    <row r="319">
      <c r="B319" s="32"/>
      <c r="E319" s="34"/>
      <c r="G319" s="35"/>
    </row>
    <row r="320">
      <c r="B320" s="32"/>
      <c r="E320" s="34"/>
      <c r="G320" s="35"/>
    </row>
    <row r="321">
      <c r="B321" s="32"/>
      <c r="E321" s="34"/>
      <c r="G321" s="35"/>
    </row>
    <row r="322">
      <c r="B322" s="32"/>
      <c r="E322" s="34"/>
      <c r="G322" s="35"/>
    </row>
    <row r="323">
      <c r="B323" s="32"/>
      <c r="E323" s="34"/>
      <c r="G323" s="35"/>
    </row>
    <row r="324">
      <c r="B324" s="32"/>
      <c r="E324" s="34"/>
      <c r="G324" s="35"/>
    </row>
    <row r="325">
      <c r="B325" s="32"/>
      <c r="E325" s="34"/>
      <c r="G325" s="35"/>
    </row>
    <row r="326">
      <c r="B326" s="32"/>
      <c r="E326" s="34"/>
      <c r="G326" s="35"/>
    </row>
    <row r="327">
      <c r="B327" s="32"/>
      <c r="E327" s="34"/>
      <c r="G327" s="35"/>
    </row>
    <row r="328">
      <c r="B328" s="32"/>
      <c r="E328" s="34"/>
      <c r="G328" s="35"/>
    </row>
    <row r="329">
      <c r="B329" s="32"/>
      <c r="E329" s="34"/>
      <c r="G329" s="35"/>
    </row>
    <row r="330">
      <c r="B330" s="32"/>
      <c r="E330" s="34"/>
      <c r="G330" s="35"/>
    </row>
    <row r="331">
      <c r="B331" s="32"/>
      <c r="E331" s="34"/>
      <c r="G331" s="35"/>
    </row>
    <row r="332">
      <c r="B332" s="32"/>
      <c r="E332" s="34"/>
      <c r="G332" s="35"/>
    </row>
    <row r="333">
      <c r="B333" s="32"/>
      <c r="E333" s="34"/>
      <c r="G333" s="35"/>
    </row>
    <row r="334">
      <c r="B334" s="32"/>
      <c r="E334" s="34"/>
      <c r="G334" s="35"/>
    </row>
    <row r="335">
      <c r="B335" s="32"/>
      <c r="E335" s="34"/>
      <c r="G335" s="35"/>
    </row>
    <row r="336">
      <c r="B336" s="32"/>
      <c r="E336" s="34"/>
      <c r="G336" s="35"/>
    </row>
    <row r="337">
      <c r="B337" s="32"/>
      <c r="E337" s="34"/>
      <c r="G337" s="35"/>
    </row>
    <row r="338">
      <c r="B338" s="32"/>
      <c r="E338" s="34"/>
      <c r="G338" s="35"/>
    </row>
    <row r="339">
      <c r="B339" s="32"/>
      <c r="E339" s="34"/>
      <c r="G339" s="35"/>
    </row>
    <row r="340">
      <c r="B340" s="32"/>
      <c r="E340" s="34"/>
      <c r="G340" s="35"/>
    </row>
    <row r="341">
      <c r="B341" s="32"/>
      <c r="E341" s="34"/>
      <c r="G341" s="35"/>
    </row>
    <row r="342">
      <c r="B342" s="32"/>
      <c r="E342" s="34"/>
      <c r="G342" s="35"/>
    </row>
    <row r="343">
      <c r="B343" s="32"/>
      <c r="E343" s="34"/>
      <c r="G343" s="35"/>
    </row>
    <row r="344">
      <c r="B344" s="32"/>
      <c r="E344" s="34"/>
      <c r="G344" s="35"/>
    </row>
    <row r="345">
      <c r="B345" s="32"/>
      <c r="E345" s="34"/>
      <c r="G345" s="35"/>
    </row>
    <row r="346">
      <c r="B346" s="32"/>
      <c r="E346" s="34"/>
      <c r="G346" s="35"/>
    </row>
    <row r="347">
      <c r="B347" s="32"/>
      <c r="E347" s="34"/>
      <c r="G347" s="35"/>
    </row>
    <row r="348">
      <c r="B348" s="32"/>
      <c r="E348" s="34"/>
      <c r="G348" s="35"/>
    </row>
    <row r="349">
      <c r="B349" s="32"/>
      <c r="E349" s="34"/>
      <c r="G349" s="35"/>
    </row>
    <row r="350">
      <c r="B350" s="32"/>
      <c r="E350" s="34"/>
      <c r="G350" s="35"/>
    </row>
    <row r="351">
      <c r="B351" s="32"/>
      <c r="E351" s="34"/>
      <c r="G351" s="35"/>
    </row>
    <row r="352">
      <c r="B352" s="32"/>
      <c r="E352" s="34"/>
      <c r="G352" s="35"/>
    </row>
    <row r="353">
      <c r="B353" s="32"/>
      <c r="E353" s="34"/>
      <c r="G353" s="35"/>
    </row>
    <row r="354">
      <c r="B354" s="32"/>
      <c r="E354" s="34"/>
      <c r="G354" s="35"/>
    </row>
    <row r="355">
      <c r="B355" s="32"/>
      <c r="E355" s="34"/>
      <c r="G355" s="35"/>
    </row>
    <row r="356">
      <c r="B356" s="32"/>
      <c r="E356" s="34"/>
      <c r="G356" s="35"/>
    </row>
    <row r="357">
      <c r="B357" s="32"/>
      <c r="E357" s="34"/>
      <c r="G357" s="35"/>
    </row>
    <row r="358">
      <c r="B358" s="32"/>
      <c r="E358" s="34"/>
      <c r="G358" s="35"/>
    </row>
    <row r="359">
      <c r="B359" s="32"/>
      <c r="E359" s="34"/>
      <c r="G359" s="35"/>
    </row>
    <row r="360">
      <c r="B360" s="32"/>
      <c r="E360" s="34"/>
      <c r="G360" s="35"/>
    </row>
    <row r="361">
      <c r="B361" s="32"/>
      <c r="E361" s="34"/>
      <c r="G361" s="35"/>
    </row>
    <row r="362">
      <c r="B362" s="32"/>
      <c r="E362" s="34"/>
      <c r="G362" s="35"/>
    </row>
    <row r="363">
      <c r="B363" s="32"/>
      <c r="E363" s="34"/>
      <c r="G363" s="35"/>
    </row>
    <row r="364">
      <c r="B364" s="32"/>
      <c r="E364" s="34"/>
      <c r="G364" s="35"/>
    </row>
    <row r="365">
      <c r="B365" s="32"/>
      <c r="E365" s="34"/>
      <c r="G365" s="35"/>
    </row>
    <row r="366">
      <c r="B366" s="32"/>
      <c r="E366" s="34"/>
      <c r="G366" s="35"/>
    </row>
    <row r="367">
      <c r="B367" s="32"/>
      <c r="E367" s="34"/>
      <c r="G367" s="35"/>
    </row>
    <row r="368">
      <c r="B368" s="32"/>
      <c r="E368" s="34"/>
      <c r="G368" s="35"/>
    </row>
    <row r="369">
      <c r="B369" s="32"/>
      <c r="E369" s="34"/>
      <c r="G369" s="35"/>
    </row>
    <row r="370">
      <c r="B370" s="32"/>
      <c r="E370" s="34"/>
      <c r="G370" s="35"/>
    </row>
    <row r="371">
      <c r="B371" s="32"/>
      <c r="E371" s="34"/>
      <c r="G371" s="35"/>
    </row>
    <row r="372">
      <c r="B372" s="32"/>
      <c r="E372" s="34"/>
      <c r="G372" s="35"/>
    </row>
    <row r="373">
      <c r="B373" s="32"/>
      <c r="E373" s="34"/>
      <c r="G373" s="35"/>
    </row>
    <row r="374">
      <c r="B374" s="32"/>
      <c r="E374" s="34"/>
      <c r="G374" s="35"/>
    </row>
    <row r="375">
      <c r="B375" s="32"/>
      <c r="E375" s="34"/>
      <c r="G375" s="35"/>
    </row>
    <row r="376">
      <c r="B376" s="32"/>
      <c r="E376" s="34"/>
      <c r="G376" s="35"/>
    </row>
    <row r="377">
      <c r="B377" s="32"/>
      <c r="E377" s="34"/>
      <c r="G377" s="35"/>
    </row>
    <row r="378">
      <c r="B378" s="32"/>
      <c r="E378" s="34"/>
      <c r="G378" s="35"/>
    </row>
    <row r="379">
      <c r="B379" s="32"/>
      <c r="E379" s="34"/>
      <c r="G379" s="35"/>
    </row>
    <row r="380">
      <c r="B380" s="32"/>
      <c r="E380" s="34"/>
      <c r="G380" s="35"/>
    </row>
    <row r="381">
      <c r="B381" s="32"/>
      <c r="E381" s="34"/>
      <c r="G381" s="35"/>
    </row>
    <row r="382">
      <c r="B382" s="32"/>
      <c r="E382" s="34"/>
      <c r="G382" s="35"/>
    </row>
    <row r="383">
      <c r="B383" s="32"/>
      <c r="E383" s="34"/>
      <c r="G383" s="35"/>
    </row>
    <row r="384">
      <c r="B384" s="32"/>
      <c r="E384" s="34"/>
      <c r="G384" s="35"/>
    </row>
    <row r="385">
      <c r="B385" s="32"/>
      <c r="E385" s="34"/>
      <c r="G385" s="35"/>
    </row>
    <row r="386">
      <c r="B386" s="32"/>
      <c r="E386" s="34"/>
      <c r="G386" s="35"/>
    </row>
    <row r="387">
      <c r="B387" s="32"/>
      <c r="E387" s="34"/>
      <c r="G387" s="35"/>
    </row>
    <row r="388">
      <c r="B388" s="32"/>
      <c r="E388" s="34"/>
      <c r="G388" s="35"/>
    </row>
    <row r="389">
      <c r="B389" s="32"/>
      <c r="E389" s="34"/>
      <c r="G389" s="35"/>
    </row>
    <row r="390">
      <c r="B390" s="32"/>
      <c r="E390" s="34"/>
      <c r="G390" s="35"/>
    </row>
    <row r="391">
      <c r="B391" s="32"/>
      <c r="E391" s="34"/>
      <c r="G391" s="35"/>
    </row>
    <row r="392">
      <c r="B392" s="32"/>
      <c r="E392" s="34"/>
      <c r="G392" s="35"/>
    </row>
    <row r="393">
      <c r="B393" s="32"/>
      <c r="E393" s="34"/>
      <c r="G393" s="35"/>
    </row>
    <row r="394">
      <c r="B394" s="32"/>
      <c r="E394" s="34"/>
      <c r="G394" s="35"/>
    </row>
    <row r="395">
      <c r="B395" s="32"/>
      <c r="E395" s="34"/>
      <c r="G395" s="35"/>
    </row>
    <row r="396">
      <c r="B396" s="32"/>
      <c r="E396" s="34"/>
      <c r="G396" s="35"/>
    </row>
    <row r="397">
      <c r="B397" s="32"/>
      <c r="E397" s="34"/>
      <c r="G397" s="35"/>
    </row>
    <row r="398">
      <c r="B398" s="32"/>
      <c r="E398" s="34"/>
      <c r="G398" s="35"/>
    </row>
    <row r="399">
      <c r="B399" s="32"/>
      <c r="E399" s="34"/>
      <c r="G399" s="35"/>
    </row>
    <row r="400">
      <c r="B400" s="32"/>
      <c r="E400" s="34"/>
      <c r="G400" s="35"/>
    </row>
    <row r="401">
      <c r="B401" s="32"/>
      <c r="E401" s="34"/>
      <c r="G401" s="35"/>
    </row>
    <row r="402">
      <c r="B402" s="32"/>
      <c r="E402" s="34"/>
      <c r="G402" s="35"/>
    </row>
    <row r="403">
      <c r="B403" s="32"/>
      <c r="E403" s="34"/>
      <c r="G403" s="35"/>
    </row>
    <row r="404">
      <c r="B404" s="32"/>
      <c r="E404" s="34"/>
      <c r="G404" s="35"/>
    </row>
    <row r="405">
      <c r="B405" s="32"/>
      <c r="E405" s="34"/>
      <c r="G405" s="35"/>
    </row>
    <row r="406">
      <c r="B406" s="32"/>
      <c r="E406" s="34"/>
      <c r="G406" s="35"/>
    </row>
    <row r="407">
      <c r="B407" s="32"/>
      <c r="E407" s="34"/>
      <c r="G407" s="35"/>
    </row>
    <row r="408">
      <c r="B408" s="32"/>
      <c r="E408" s="34"/>
      <c r="G408" s="35"/>
    </row>
    <row r="409">
      <c r="B409" s="32"/>
      <c r="E409" s="34"/>
      <c r="G409" s="35"/>
    </row>
    <row r="410">
      <c r="B410" s="32"/>
      <c r="E410" s="34"/>
      <c r="G410" s="35"/>
    </row>
    <row r="411">
      <c r="B411" s="32"/>
      <c r="E411" s="34"/>
      <c r="G411" s="35"/>
    </row>
    <row r="412">
      <c r="B412" s="32"/>
      <c r="E412" s="34"/>
      <c r="G412" s="35"/>
    </row>
    <row r="413">
      <c r="B413" s="32"/>
      <c r="E413" s="34"/>
      <c r="G413" s="35"/>
    </row>
    <row r="414">
      <c r="B414" s="32"/>
      <c r="E414" s="34"/>
      <c r="G414" s="35"/>
    </row>
    <row r="415">
      <c r="B415" s="32"/>
      <c r="E415" s="34"/>
      <c r="G415" s="35"/>
    </row>
    <row r="416">
      <c r="B416" s="32"/>
      <c r="E416" s="34"/>
      <c r="G416" s="35"/>
    </row>
    <row r="417">
      <c r="B417" s="32"/>
      <c r="E417" s="34"/>
      <c r="G417" s="35"/>
    </row>
    <row r="418">
      <c r="B418" s="32"/>
      <c r="E418" s="34"/>
      <c r="G418" s="35"/>
    </row>
    <row r="419">
      <c r="B419" s="32"/>
      <c r="E419" s="34"/>
      <c r="G419" s="35"/>
    </row>
    <row r="420">
      <c r="B420" s="32"/>
      <c r="E420" s="34"/>
      <c r="G420" s="35"/>
    </row>
    <row r="421">
      <c r="B421" s="32"/>
      <c r="E421" s="34"/>
      <c r="G421" s="35"/>
    </row>
    <row r="422">
      <c r="B422" s="32"/>
      <c r="E422" s="34"/>
      <c r="G422" s="35"/>
    </row>
    <row r="423">
      <c r="B423" s="32"/>
      <c r="E423" s="34"/>
      <c r="G423" s="35"/>
    </row>
    <row r="424">
      <c r="B424" s="32"/>
      <c r="E424" s="34"/>
      <c r="G424" s="35"/>
    </row>
    <row r="425">
      <c r="B425" s="32"/>
      <c r="E425" s="34"/>
      <c r="G425" s="35"/>
    </row>
    <row r="426">
      <c r="B426" s="32"/>
      <c r="E426" s="34"/>
      <c r="G426" s="35"/>
    </row>
    <row r="427">
      <c r="B427" s="32"/>
      <c r="E427" s="34"/>
      <c r="G427" s="35"/>
    </row>
    <row r="428">
      <c r="B428" s="32"/>
      <c r="E428" s="34"/>
      <c r="G428" s="35"/>
    </row>
    <row r="429">
      <c r="B429" s="32"/>
      <c r="E429" s="34"/>
      <c r="G429" s="35"/>
    </row>
    <row r="430">
      <c r="B430" s="32"/>
      <c r="E430" s="34"/>
      <c r="G430" s="35"/>
    </row>
    <row r="431">
      <c r="B431" s="32"/>
      <c r="E431" s="34"/>
      <c r="G431" s="35"/>
    </row>
    <row r="432">
      <c r="B432" s="32"/>
      <c r="E432" s="34"/>
      <c r="G432" s="35"/>
    </row>
    <row r="433">
      <c r="B433" s="32"/>
      <c r="E433" s="34"/>
      <c r="G433" s="35"/>
    </row>
    <row r="434">
      <c r="B434" s="32"/>
      <c r="E434" s="34"/>
      <c r="G434" s="35"/>
    </row>
    <row r="435">
      <c r="B435" s="32"/>
      <c r="E435" s="34"/>
      <c r="G435" s="35"/>
    </row>
    <row r="436">
      <c r="B436" s="32"/>
      <c r="E436" s="34"/>
      <c r="G436" s="35"/>
    </row>
    <row r="437">
      <c r="B437" s="32"/>
      <c r="E437" s="34"/>
      <c r="G437" s="35"/>
    </row>
    <row r="438">
      <c r="B438" s="32"/>
      <c r="E438" s="34"/>
      <c r="G438" s="35"/>
    </row>
    <row r="439">
      <c r="B439" s="32"/>
      <c r="E439" s="34"/>
      <c r="G439" s="35"/>
    </row>
    <row r="440">
      <c r="B440" s="32"/>
      <c r="E440" s="34"/>
      <c r="G440" s="35"/>
    </row>
    <row r="441">
      <c r="B441" s="32"/>
      <c r="E441" s="34"/>
      <c r="G441" s="35"/>
    </row>
    <row r="442">
      <c r="B442" s="32"/>
      <c r="E442" s="34"/>
      <c r="G442" s="35"/>
    </row>
    <row r="443">
      <c r="B443" s="32"/>
      <c r="E443" s="34"/>
      <c r="G443" s="35"/>
    </row>
    <row r="444">
      <c r="B444" s="32"/>
      <c r="E444" s="34"/>
      <c r="G444" s="35"/>
    </row>
    <row r="445">
      <c r="B445" s="32"/>
      <c r="E445" s="34"/>
      <c r="G445" s="35"/>
    </row>
    <row r="446">
      <c r="B446" s="32"/>
      <c r="E446" s="34"/>
      <c r="G446" s="35"/>
    </row>
    <row r="447">
      <c r="B447" s="32"/>
      <c r="E447" s="34"/>
      <c r="G447" s="35"/>
    </row>
    <row r="448">
      <c r="B448" s="32"/>
      <c r="E448" s="34"/>
      <c r="G448" s="35"/>
    </row>
    <row r="449">
      <c r="B449" s="32"/>
      <c r="E449" s="34"/>
      <c r="G449" s="35"/>
    </row>
    <row r="450">
      <c r="B450" s="32"/>
      <c r="E450" s="34"/>
      <c r="G450" s="35"/>
    </row>
    <row r="451">
      <c r="B451" s="32"/>
      <c r="E451" s="34"/>
      <c r="G451" s="35"/>
    </row>
    <row r="452">
      <c r="B452" s="32"/>
      <c r="E452" s="34"/>
      <c r="G452" s="35"/>
    </row>
    <row r="453">
      <c r="B453" s="32"/>
      <c r="E453" s="34"/>
      <c r="G453" s="35"/>
    </row>
    <row r="454">
      <c r="B454" s="32"/>
      <c r="E454" s="34"/>
      <c r="G454" s="35"/>
    </row>
    <row r="455">
      <c r="B455" s="32"/>
      <c r="E455" s="34"/>
      <c r="G455" s="35"/>
    </row>
    <row r="456">
      <c r="B456" s="32"/>
      <c r="E456" s="34"/>
      <c r="G456" s="35"/>
    </row>
    <row r="457">
      <c r="B457" s="32"/>
      <c r="E457" s="34"/>
      <c r="G457" s="35"/>
    </row>
    <row r="458">
      <c r="B458" s="32"/>
      <c r="E458" s="34"/>
      <c r="G458" s="35"/>
    </row>
    <row r="459">
      <c r="B459" s="32"/>
      <c r="E459" s="34"/>
      <c r="G459" s="35"/>
    </row>
    <row r="460">
      <c r="B460" s="32"/>
      <c r="E460" s="34"/>
      <c r="G460" s="35"/>
    </row>
    <row r="461">
      <c r="B461" s="32"/>
      <c r="E461" s="34"/>
      <c r="G461" s="35"/>
    </row>
    <row r="462">
      <c r="B462" s="32"/>
      <c r="E462" s="34"/>
      <c r="G462" s="35"/>
    </row>
    <row r="463">
      <c r="B463" s="32"/>
      <c r="E463" s="34"/>
      <c r="G463" s="35"/>
    </row>
    <row r="464">
      <c r="B464" s="32"/>
      <c r="E464" s="34"/>
      <c r="G464" s="35"/>
    </row>
    <row r="465">
      <c r="B465" s="32"/>
      <c r="E465" s="34"/>
      <c r="G465" s="35"/>
    </row>
    <row r="466">
      <c r="B466" s="32"/>
      <c r="E466" s="34"/>
      <c r="G466" s="35"/>
    </row>
    <row r="467">
      <c r="B467" s="32"/>
      <c r="E467" s="34"/>
      <c r="G467" s="35"/>
    </row>
    <row r="468">
      <c r="B468" s="32"/>
      <c r="E468" s="34"/>
      <c r="G468" s="35"/>
    </row>
    <row r="469">
      <c r="B469" s="32"/>
      <c r="E469" s="34"/>
      <c r="G469" s="35"/>
    </row>
    <row r="470">
      <c r="B470" s="32"/>
      <c r="E470" s="34"/>
      <c r="G470" s="35"/>
    </row>
    <row r="471">
      <c r="B471" s="32"/>
      <c r="E471" s="34"/>
      <c r="G471" s="35"/>
    </row>
    <row r="472">
      <c r="B472" s="32"/>
      <c r="E472" s="34"/>
      <c r="G472" s="35"/>
    </row>
    <row r="473">
      <c r="B473" s="32"/>
      <c r="E473" s="34"/>
      <c r="G473" s="35"/>
    </row>
    <row r="474">
      <c r="B474" s="32"/>
      <c r="E474" s="34"/>
      <c r="G474" s="35"/>
    </row>
    <row r="475">
      <c r="B475" s="32"/>
      <c r="E475" s="34"/>
      <c r="G475" s="35"/>
    </row>
    <row r="476">
      <c r="B476" s="32"/>
      <c r="E476" s="34"/>
      <c r="G476" s="35"/>
    </row>
    <row r="477">
      <c r="B477" s="32"/>
      <c r="E477" s="34"/>
      <c r="G477" s="35"/>
    </row>
    <row r="478">
      <c r="B478" s="32"/>
      <c r="E478" s="34"/>
      <c r="G478" s="35"/>
    </row>
    <row r="479">
      <c r="B479" s="32"/>
      <c r="E479" s="34"/>
      <c r="G479" s="35"/>
    </row>
    <row r="480">
      <c r="B480" s="32"/>
      <c r="E480" s="34"/>
      <c r="G480" s="35"/>
    </row>
    <row r="481">
      <c r="B481" s="32"/>
      <c r="E481" s="34"/>
      <c r="G481" s="35"/>
    </row>
    <row r="482">
      <c r="B482" s="32"/>
      <c r="E482" s="34"/>
      <c r="G482" s="35"/>
    </row>
    <row r="483">
      <c r="B483" s="32"/>
      <c r="E483" s="34"/>
      <c r="G483" s="35"/>
    </row>
    <row r="484">
      <c r="B484" s="32"/>
      <c r="E484" s="34"/>
      <c r="G484" s="35"/>
    </row>
    <row r="485">
      <c r="B485" s="32"/>
      <c r="E485" s="34"/>
      <c r="G485" s="35"/>
    </row>
    <row r="486">
      <c r="B486" s="32"/>
      <c r="E486" s="34"/>
      <c r="G486" s="35"/>
    </row>
    <row r="487">
      <c r="B487" s="32"/>
      <c r="E487" s="34"/>
      <c r="G487" s="35"/>
    </row>
    <row r="488">
      <c r="B488" s="32"/>
      <c r="E488" s="34"/>
      <c r="G488" s="35"/>
    </row>
    <row r="489">
      <c r="B489" s="32"/>
      <c r="E489" s="34"/>
      <c r="G489" s="35"/>
    </row>
    <row r="490">
      <c r="B490" s="32"/>
      <c r="E490" s="34"/>
      <c r="G490" s="35"/>
    </row>
    <row r="491">
      <c r="B491" s="32"/>
      <c r="E491" s="34"/>
      <c r="G491" s="35"/>
    </row>
    <row r="492">
      <c r="B492" s="32"/>
      <c r="E492" s="34"/>
      <c r="G492" s="35"/>
    </row>
    <row r="493">
      <c r="B493" s="32"/>
      <c r="E493" s="34"/>
      <c r="G493" s="35"/>
    </row>
    <row r="494">
      <c r="B494" s="32"/>
      <c r="E494" s="34"/>
      <c r="G494" s="35"/>
    </row>
    <row r="495">
      <c r="B495" s="32"/>
      <c r="E495" s="34"/>
      <c r="G495" s="35"/>
    </row>
    <row r="496">
      <c r="B496" s="32"/>
      <c r="E496" s="34"/>
      <c r="G496" s="35"/>
    </row>
    <row r="497">
      <c r="B497" s="32"/>
      <c r="E497" s="34"/>
      <c r="G497" s="35"/>
    </row>
    <row r="498">
      <c r="B498" s="32"/>
      <c r="E498" s="34"/>
      <c r="G498" s="35"/>
    </row>
    <row r="499">
      <c r="B499" s="32"/>
      <c r="E499" s="34"/>
      <c r="G499" s="35"/>
    </row>
    <row r="500">
      <c r="B500" s="32"/>
      <c r="E500" s="34"/>
      <c r="G500" s="35"/>
    </row>
    <row r="501">
      <c r="B501" s="32"/>
      <c r="E501" s="34"/>
      <c r="G501" s="35"/>
    </row>
    <row r="502">
      <c r="B502" s="32"/>
      <c r="E502" s="34"/>
      <c r="G502" s="35"/>
    </row>
    <row r="503">
      <c r="B503" s="32"/>
      <c r="E503" s="34"/>
      <c r="G503" s="35"/>
    </row>
    <row r="504">
      <c r="B504" s="32"/>
      <c r="E504" s="34"/>
      <c r="G504" s="35"/>
    </row>
    <row r="505">
      <c r="B505" s="32"/>
      <c r="E505" s="34"/>
      <c r="G505" s="35"/>
    </row>
    <row r="506">
      <c r="B506" s="32"/>
      <c r="E506" s="34"/>
      <c r="G506" s="35"/>
    </row>
    <row r="507">
      <c r="B507" s="32"/>
      <c r="E507" s="34"/>
      <c r="G507" s="35"/>
    </row>
    <row r="508">
      <c r="B508" s="32"/>
      <c r="E508" s="34"/>
      <c r="G508" s="35"/>
    </row>
    <row r="509">
      <c r="B509" s="32"/>
      <c r="E509" s="34"/>
      <c r="G509" s="35"/>
    </row>
    <row r="510">
      <c r="B510" s="32"/>
      <c r="E510" s="34"/>
      <c r="G510" s="35"/>
    </row>
    <row r="511">
      <c r="B511" s="32"/>
      <c r="E511" s="34"/>
      <c r="G511" s="35"/>
    </row>
    <row r="512">
      <c r="B512" s="32"/>
      <c r="E512" s="34"/>
      <c r="G512" s="35"/>
    </row>
    <row r="513">
      <c r="B513" s="32"/>
      <c r="E513" s="34"/>
      <c r="G513" s="35"/>
    </row>
    <row r="514">
      <c r="B514" s="32"/>
      <c r="E514" s="34"/>
      <c r="G514" s="35"/>
    </row>
    <row r="515">
      <c r="B515" s="32"/>
      <c r="E515" s="34"/>
      <c r="G515" s="35"/>
    </row>
    <row r="516">
      <c r="B516" s="32"/>
      <c r="E516" s="34"/>
      <c r="G516" s="35"/>
    </row>
    <row r="517">
      <c r="B517" s="32"/>
      <c r="E517" s="34"/>
      <c r="G517" s="35"/>
    </row>
    <row r="518">
      <c r="B518" s="32"/>
      <c r="E518" s="34"/>
      <c r="G518" s="35"/>
    </row>
    <row r="519">
      <c r="B519" s="32"/>
      <c r="E519" s="34"/>
      <c r="G519" s="35"/>
    </row>
    <row r="520">
      <c r="B520" s="32"/>
      <c r="E520" s="34"/>
      <c r="G520" s="35"/>
    </row>
    <row r="521">
      <c r="B521" s="32"/>
      <c r="E521" s="34"/>
      <c r="G521" s="35"/>
    </row>
    <row r="522">
      <c r="B522" s="32"/>
      <c r="E522" s="34"/>
      <c r="G522" s="35"/>
    </row>
    <row r="523">
      <c r="B523" s="32"/>
      <c r="E523" s="34"/>
      <c r="G523" s="35"/>
    </row>
    <row r="524">
      <c r="B524" s="32"/>
      <c r="E524" s="34"/>
      <c r="G524" s="35"/>
    </row>
    <row r="525">
      <c r="B525" s="32"/>
      <c r="E525" s="34"/>
      <c r="G525" s="35"/>
    </row>
    <row r="526">
      <c r="B526" s="32"/>
      <c r="E526" s="34"/>
      <c r="G526" s="35"/>
    </row>
    <row r="527">
      <c r="B527" s="32"/>
      <c r="E527" s="34"/>
      <c r="G527" s="35"/>
    </row>
    <row r="528">
      <c r="B528" s="32"/>
      <c r="E528" s="34"/>
      <c r="G528" s="35"/>
    </row>
    <row r="529">
      <c r="B529" s="32"/>
      <c r="E529" s="34"/>
      <c r="G529" s="35"/>
    </row>
    <row r="530">
      <c r="B530" s="32"/>
      <c r="E530" s="34"/>
      <c r="G530" s="35"/>
    </row>
    <row r="531">
      <c r="B531" s="32"/>
      <c r="E531" s="34"/>
      <c r="G531" s="35"/>
    </row>
    <row r="532">
      <c r="B532" s="32"/>
      <c r="E532" s="34"/>
      <c r="G532" s="35"/>
    </row>
    <row r="533">
      <c r="B533" s="32"/>
      <c r="E533" s="34"/>
      <c r="G533" s="35"/>
    </row>
    <row r="534">
      <c r="B534" s="32"/>
      <c r="E534" s="34"/>
      <c r="G534" s="35"/>
    </row>
    <row r="535">
      <c r="B535" s="32"/>
      <c r="E535" s="34"/>
      <c r="G535" s="35"/>
    </row>
    <row r="536">
      <c r="B536" s="32"/>
      <c r="E536" s="34"/>
      <c r="G536" s="35"/>
    </row>
    <row r="537">
      <c r="B537" s="32"/>
      <c r="E537" s="34"/>
      <c r="G537" s="35"/>
    </row>
    <row r="538">
      <c r="B538" s="32"/>
      <c r="E538" s="34"/>
      <c r="G538" s="35"/>
    </row>
    <row r="539">
      <c r="B539" s="32"/>
      <c r="E539" s="34"/>
      <c r="G539" s="35"/>
    </row>
    <row r="540">
      <c r="B540" s="32"/>
      <c r="E540" s="34"/>
      <c r="G540" s="35"/>
    </row>
    <row r="541">
      <c r="B541" s="32"/>
      <c r="E541" s="34"/>
      <c r="G541" s="35"/>
    </row>
    <row r="542">
      <c r="B542" s="32"/>
      <c r="E542" s="34"/>
      <c r="G542" s="35"/>
    </row>
    <row r="543">
      <c r="B543" s="32"/>
      <c r="E543" s="34"/>
      <c r="G543" s="35"/>
    </row>
    <row r="544">
      <c r="B544" s="32"/>
      <c r="E544" s="34"/>
      <c r="G544" s="35"/>
    </row>
    <row r="545">
      <c r="B545" s="32"/>
      <c r="E545" s="34"/>
      <c r="G545" s="35"/>
    </row>
    <row r="546">
      <c r="B546" s="32"/>
      <c r="E546" s="34"/>
      <c r="G546" s="35"/>
    </row>
    <row r="547">
      <c r="B547" s="32"/>
      <c r="E547" s="34"/>
      <c r="G547" s="35"/>
    </row>
    <row r="548">
      <c r="B548" s="32"/>
      <c r="E548" s="34"/>
      <c r="G548" s="35"/>
    </row>
    <row r="549">
      <c r="B549" s="32"/>
      <c r="E549" s="34"/>
      <c r="G549" s="35"/>
    </row>
    <row r="550">
      <c r="B550" s="32"/>
      <c r="E550" s="34"/>
      <c r="G550" s="35"/>
    </row>
    <row r="551">
      <c r="B551" s="32"/>
      <c r="E551" s="34"/>
      <c r="G551" s="35"/>
    </row>
    <row r="552">
      <c r="B552" s="32"/>
      <c r="E552" s="34"/>
      <c r="G552" s="35"/>
    </row>
    <row r="553">
      <c r="B553" s="32"/>
      <c r="E553" s="34"/>
      <c r="G553" s="35"/>
    </row>
    <row r="554">
      <c r="B554" s="32"/>
      <c r="E554" s="34"/>
      <c r="G554" s="35"/>
    </row>
    <row r="555">
      <c r="B555" s="32"/>
      <c r="E555" s="34"/>
      <c r="G555" s="35"/>
    </row>
    <row r="556">
      <c r="B556" s="32"/>
      <c r="E556" s="34"/>
      <c r="G556" s="35"/>
    </row>
    <row r="557">
      <c r="B557" s="32"/>
      <c r="E557" s="34"/>
      <c r="G557" s="35"/>
    </row>
    <row r="558">
      <c r="B558" s="32"/>
      <c r="E558" s="34"/>
      <c r="G558" s="35"/>
    </row>
    <row r="559">
      <c r="B559" s="32"/>
      <c r="E559" s="34"/>
      <c r="G559" s="35"/>
    </row>
    <row r="560">
      <c r="B560" s="32"/>
      <c r="E560" s="34"/>
      <c r="G560" s="35"/>
    </row>
    <row r="561">
      <c r="B561" s="32"/>
      <c r="E561" s="34"/>
      <c r="G561" s="35"/>
    </row>
    <row r="562">
      <c r="B562" s="32"/>
      <c r="E562" s="34"/>
      <c r="G562" s="35"/>
    </row>
    <row r="563">
      <c r="B563" s="32"/>
      <c r="E563" s="34"/>
      <c r="G563" s="35"/>
    </row>
    <row r="564">
      <c r="B564" s="32"/>
      <c r="E564" s="34"/>
      <c r="G564" s="35"/>
    </row>
    <row r="565">
      <c r="B565" s="32"/>
      <c r="E565" s="34"/>
      <c r="G565" s="35"/>
    </row>
    <row r="566">
      <c r="B566" s="32"/>
      <c r="E566" s="34"/>
      <c r="G566" s="35"/>
    </row>
    <row r="567">
      <c r="B567" s="32"/>
      <c r="E567" s="34"/>
      <c r="G567" s="35"/>
    </row>
    <row r="568">
      <c r="B568" s="32"/>
      <c r="E568" s="34"/>
      <c r="G568" s="35"/>
    </row>
    <row r="569">
      <c r="B569" s="32"/>
      <c r="E569" s="34"/>
      <c r="G569" s="35"/>
    </row>
    <row r="570">
      <c r="B570" s="32"/>
      <c r="E570" s="34"/>
      <c r="G570" s="35"/>
    </row>
    <row r="571">
      <c r="B571" s="32"/>
      <c r="E571" s="34"/>
      <c r="G571" s="35"/>
    </row>
    <row r="572">
      <c r="B572" s="32"/>
      <c r="E572" s="34"/>
      <c r="G572" s="35"/>
    </row>
    <row r="573">
      <c r="B573" s="32"/>
      <c r="E573" s="34"/>
      <c r="G573" s="35"/>
    </row>
    <row r="574">
      <c r="B574" s="32"/>
      <c r="E574" s="34"/>
      <c r="G574" s="35"/>
    </row>
    <row r="575">
      <c r="B575" s="32"/>
      <c r="E575" s="34"/>
      <c r="G575" s="35"/>
    </row>
    <row r="576">
      <c r="B576" s="32"/>
      <c r="E576" s="34"/>
      <c r="G576" s="35"/>
    </row>
    <row r="577">
      <c r="B577" s="32"/>
      <c r="E577" s="34"/>
      <c r="G577" s="35"/>
    </row>
    <row r="578">
      <c r="B578" s="32"/>
      <c r="E578" s="34"/>
      <c r="G578" s="35"/>
    </row>
    <row r="579">
      <c r="B579" s="32"/>
      <c r="E579" s="34"/>
      <c r="G579" s="35"/>
    </row>
    <row r="580">
      <c r="B580" s="32"/>
      <c r="E580" s="34"/>
      <c r="G580" s="35"/>
    </row>
    <row r="581">
      <c r="B581" s="32"/>
      <c r="E581" s="34"/>
      <c r="G581" s="35"/>
    </row>
    <row r="582">
      <c r="B582" s="32"/>
      <c r="E582" s="34"/>
      <c r="G582" s="35"/>
    </row>
    <row r="583">
      <c r="B583" s="32"/>
      <c r="E583" s="34"/>
      <c r="G583" s="35"/>
    </row>
    <row r="584">
      <c r="B584" s="32"/>
      <c r="E584" s="34"/>
      <c r="G584" s="35"/>
    </row>
    <row r="585">
      <c r="B585" s="32"/>
      <c r="E585" s="34"/>
      <c r="G585" s="35"/>
    </row>
    <row r="586">
      <c r="B586" s="32"/>
      <c r="E586" s="34"/>
      <c r="G586" s="35"/>
    </row>
    <row r="587">
      <c r="B587" s="32"/>
      <c r="E587" s="34"/>
      <c r="G587" s="35"/>
    </row>
    <row r="588">
      <c r="B588" s="32"/>
      <c r="E588" s="34"/>
      <c r="G588" s="35"/>
    </row>
    <row r="589">
      <c r="B589" s="32"/>
      <c r="E589" s="34"/>
      <c r="G589" s="35"/>
    </row>
    <row r="590">
      <c r="B590" s="32"/>
      <c r="E590" s="34"/>
      <c r="G590" s="35"/>
    </row>
    <row r="591">
      <c r="B591" s="32"/>
      <c r="E591" s="34"/>
      <c r="G591" s="35"/>
    </row>
    <row r="592">
      <c r="B592" s="32"/>
      <c r="E592" s="34"/>
      <c r="G592" s="35"/>
    </row>
    <row r="593">
      <c r="B593" s="32"/>
      <c r="E593" s="34"/>
      <c r="G593" s="35"/>
    </row>
    <row r="594">
      <c r="B594" s="32"/>
      <c r="E594" s="34"/>
      <c r="G594" s="35"/>
    </row>
    <row r="595">
      <c r="B595" s="32"/>
      <c r="E595" s="34"/>
      <c r="G595" s="35"/>
    </row>
    <row r="596">
      <c r="B596" s="32"/>
      <c r="E596" s="34"/>
      <c r="G596" s="35"/>
    </row>
    <row r="597">
      <c r="B597" s="32"/>
      <c r="E597" s="34"/>
      <c r="G597" s="35"/>
    </row>
    <row r="598">
      <c r="B598" s="32"/>
      <c r="E598" s="34"/>
      <c r="G598" s="35"/>
    </row>
    <row r="599">
      <c r="B599" s="32"/>
      <c r="E599" s="34"/>
      <c r="G599" s="35"/>
    </row>
    <row r="600">
      <c r="B600" s="32"/>
      <c r="E600" s="34"/>
      <c r="G600" s="35"/>
    </row>
    <row r="601">
      <c r="B601" s="32"/>
      <c r="E601" s="34"/>
      <c r="G601" s="35"/>
    </row>
    <row r="602">
      <c r="B602" s="32"/>
      <c r="E602" s="34"/>
      <c r="G602" s="35"/>
    </row>
    <row r="603">
      <c r="B603" s="32"/>
      <c r="E603" s="34"/>
      <c r="G603" s="35"/>
    </row>
    <row r="604">
      <c r="B604" s="32"/>
      <c r="E604" s="34"/>
      <c r="G604" s="35"/>
    </row>
    <row r="605">
      <c r="B605" s="32"/>
      <c r="E605" s="34"/>
      <c r="G605" s="35"/>
    </row>
    <row r="606">
      <c r="B606" s="32"/>
      <c r="E606" s="34"/>
      <c r="G606" s="35"/>
    </row>
    <row r="607">
      <c r="B607" s="32"/>
      <c r="E607" s="34"/>
      <c r="G607" s="35"/>
    </row>
    <row r="608">
      <c r="B608" s="32"/>
      <c r="E608" s="34"/>
      <c r="G608" s="35"/>
    </row>
    <row r="609">
      <c r="B609" s="32"/>
      <c r="E609" s="34"/>
      <c r="G609" s="35"/>
    </row>
    <row r="610">
      <c r="B610" s="32"/>
      <c r="E610" s="34"/>
      <c r="G610" s="35"/>
    </row>
    <row r="611">
      <c r="B611" s="32"/>
      <c r="E611" s="34"/>
      <c r="G611" s="35"/>
    </row>
    <row r="612">
      <c r="B612" s="32"/>
      <c r="E612" s="34"/>
      <c r="G612" s="35"/>
    </row>
    <row r="613">
      <c r="B613" s="32"/>
      <c r="E613" s="34"/>
      <c r="G613" s="35"/>
    </row>
    <row r="614">
      <c r="B614" s="32"/>
      <c r="E614" s="34"/>
      <c r="G614" s="35"/>
    </row>
    <row r="615">
      <c r="B615" s="32"/>
      <c r="E615" s="34"/>
      <c r="G615" s="35"/>
    </row>
    <row r="616">
      <c r="B616" s="32"/>
      <c r="E616" s="34"/>
      <c r="G616" s="35"/>
    </row>
    <row r="617">
      <c r="B617" s="32"/>
      <c r="E617" s="34"/>
      <c r="G617" s="35"/>
    </row>
    <row r="618">
      <c r="B618" s="32"/>
      <c r="E618" s="34"/>
      <c r="G618" s="35"/>
    </row>
    <row r="619">
      <c r="B619" s="32"/>
      <c r="E619" s="34"/>
      <c r="G619" s="35"/>
    </row>
    <row r="620">
      <c r="B620" s="32"/>
      <c r="E620" s="34"/>
      <c r="G620" s="35"/>
    </row>
    <row r="621">
      <c r="B621" s="32"/>
      <c r="E621" s="34"/>
      <c r="G621" s="35"/>
    </row>
    <row r="622">
      <c r="B622" s="32"/>
      <c r="E622" s="34"/>
      <c r="G622" s="35"/>
    </row>
    <row r="623">
      <c r="B623" s="32"/>
      <c r="E623" s="34"/>
      <c r="G623" s="35"/>
    </row>
    <row r="624">
      <c r="B624" s="32"/>
      <c r="E624" s="34"/>
      <c r="G624" s="35"/>
    </row>
    <row r="625">
      <c r="B625" s="32"/>
      <c r="E625" s="34"/>
      <c r="G625" s="35"/>
    </row>
    <row r="626">
      <c r="B626" s="32"/>
      <c r="E626" s="34"/>
      <c r="G626" s="35"/>
    </row>
    <row r="627">
      <c r="B627" s="32"/>
      <c r="E627" s="34"/>
      <c r="G627" s="35"/>
    </row>
    <row r="628">
      <c r="B628" s="32"/>
      <c r="E628" s="34"/>
      <c r="G628" s="35"/>
    </row>
    <row r="629">
      <c r="B629" s="32"/>
      <c r="E629" s="34"/>
      <c r="G629" s="35"/>
    </row>
    <row r="630">
      <c r="B630" s="32"/>
      <c r="E630" s="34"/>
      <c r="G630" s="35"/>
    </row>
    <row r="631">
      <c r="B631" s="32"/>
      <c r="E631" s="34"/>
      <c r="G631" s="35"/>
    </row>
    <row r="632">
      <c r="B632" s="32"/>
      <c r="E632" s="34"/>
      <c r="G632" s="35"/>
    </row>
    <row r="633">
      <c r="B633" s="32"/>
      <c r="E633" s="34"/>
      <c r="G633" s="35"/>
    </row>
    <row r="634">
      <c r="B634" s="32"/>
      <c r="E634" s="34"/>
      <c r="G634" s="35"/>
    </row>
    <row r="635">
      <c r="B635" s="32"/>
      <c r="E635" s="34"/>
      <c r="G635" s="35"/>
    </row>
    <row r="636">
      <c r="B636" s="32"/>
      <c r="E636" s="34"/>
      <c r="G636" s="35"/>
    </row>
    <row r="637">
      <c r="B637" s="32"/>
      <c r="E637" s="34"/>
      <c r="G637" s="35"/>
    </row>
    <row r="638">
      <c r="B638" s="32"/>
      <c r="E638" s="34"/>
      <c r="G638" s="35"/>
    </row>
    <row r="639">
      <c r="B639" s="32"/>
      <c r="E639" s="34"/>
      <c r="G639" s="35"/>
    </row>
    <row r="640">
      <c r="B640" s="32"/>
      <c r="E640" s="34"/>
      <c r="G640" s="35"/>
    </row>
    <row r="641">
      <c r="B641" s="32"/>
      <c r="E641" s="34"/>
      <c r="G641" s="35"/>
    </row>
    <row r="642">
      <c r="B642" s="32"/>
      <c r="E642" s="34"/>
      <c r="G642" s="35"/>
    </row>
    <row r="643">
      <c r="B643" s="32"/>
      <c r="E643" s="34"/>
      <c r="G643" s="35"/>
    </row>
    <row r="644">
      <c r="B644" s="32"/>
      <c r="E644" s="34"/>
      <c r="G644" s="35"/>
    </row>
    <row r="645">
      <c r="B645" s="32"/>
      <c r="E645" s="34"/>
      <c r="G645" s="35"/>
    </row>
    <row r="646">
      <c r="B646" s="32"/>
      <c r="E646" s="34"/>
      <c r="G646" s="35"/>
    </row>
    <row r="647">
      <c r="B647" s="32"/>
      <c r="E647" s="34"/>
      <c r="G647" s="35"/>
    </row>
    <row r="648">
      <c r="B648" s="32"/>
      <c r="E648" s="34"/>
      <c r="G648" s="35"/>
    </row>
    <row r="649">
      <c r="B649" s="32"/>
      <c r="E649" s="34"/>
      <c r="G649" s="35"/>
    </row>
    <row r="650">
      <c r="B650" s="32"/>
      <c r="E650" s="34"/>
      <c r="G650" s="35"/>
    </row>
    <row r="651">
      <c r="B651" s="32"/>
      <c r="E651" s="34"/>
      <c r="G651" s="35"/>
    </row>
    <row r="652">
      <c r="B652" s="32"/>
      <c r="E652" s="34"/>
      <c r="G652" s="35"/>
    </row>
    <row r="653">
      <c r="B653" s="32"/>
      <c r="E653" s="34"/>
      <c r="G653" s="35"/>
    </row>
    <row r="654">
      <c r="B654" s="32"/>
      <c r="E654" s="34"/>
      <c r="G654" s="35"/>
    </row>
    <row r="655">
      <c r="B655" s="32"/>
      <c r="E655" s="34"/>
      <c r="G655" s="35"/>
    </row>
    <row r="656">
      <c r="B656" s="32"/>
      <c r="E656" s="34"/>
      <c r="G656" s="35"/>
    </row>
    <row r="657">
      <c r="B657" s="32"/>
      <c r="E657" s="34"/>
      <c r="G657" s="35"/>
    </row>
    <row r="658">
      <c r="B658" s="32"/>
      <c r="E658" s="34"/>
      <c r="G658" s="35"/>
    </row>
    <row r="659">
      <c r="B659" s="32"/>
      <c r="E659" s="34"/>
      <c r="G659" s="35"/>
    </row>
    <row r="660">
      <c r="B660" s="32"/>
      <c r="E660" s="34"/>
      <c r="G660" s="35"/>
    </row>
    <row r="661">
      <c r="B661" s="32"/>
      <c r="E661" s="34"/>
      <c r="G661" s="35"/>
    </row>
    <row r="662">
      <c r="B662" s="32"/>
      <c r="E662" s="34"/>
      <c r="G662" s="35"/>
    </row>
    <row r="663">
      <c r="B663" s="32"/>
      <c r="E663" s="34"/>
      <c r="G663" s="35"/>
    </row>
    <row r="664">
      <c r="B664" s="32"/>
      <c r="E664" s="34"/>
      <c r="G664" s="35"/>
    </row>
    <row r="665">
      <c r="B665" s="32"/>
      <c r="E665" s="34"/>
      <c r="G665" s="35"/>
    </row>
    <row r="666">
      <c r="B666" s="32"/>
      <c r="E666" s="34"/>
      <c r="G666" s="35"/>
    </row>
    <row r="667">
      <c r="B667" s="32"/>
      <c r="E667" s="34"/>
      <c r="G667" s="35"/>
    </row>
    <row r="668">
      <c r="B668" s="32"/>
      <c r="E668" s="34"/>
      <c r="G668" s="35"/>
    </row>
    <row r="669">
      <c r="B669" s="32"/>
      <c r="E669" s="34"/>
      <c r="G669" s="35"/>
    </row>
    <row r="670">
      <c r="B670" s="32"/>
      <c r="E670" s="34"/>
      <c r="G670" s="35"/>
    </row>
    <row r="671">
      <c r="B671" s="32"/>
      <c r="E671" s="34"/>
      <c r="G671" s="35"/>
    </row>
    <row r="672">
      <c r="B672" s="32"/>
      <c r="E672" s="34"/>
      <c r="G672" s="35"/>
    </row>
    <row r="673">
      <c r="B673" s="32"/>
      <c r="E673" s="34"/>
      <c r="G673" s="35"/>
    </row>
    <row r="674">
      <c r="B674" s="32"/>
      <c r="E674" s="34"/>
      <c r="G674" s="35"/>
    </row>
    <row r="675">
      <c r="B675" s="32"/>
      <c r="E675" s="34"/>
      <c r="G675" s="35"/>
    </row>
    <row r="676">
      <c r="B676" s="32"/>
      <c r="E676" s="34"/>
      <c r="G676" s="35"/>
    </row>
    <row r="677">
      <c r="B677" s="32"/>
      <c r="E677" s="34"/>
      <c r="G677" s="35"/>
    </row>
    <row r="678">
      <c r="B678" s="32"/>
      <c r="E678" s="34"/>
      <c r="G678" s="35"/>
    </row>
    <row r="679">
      <c r="B679" s="32"/>
      <c r="E679" s="34"/>
      <c r="G679" s="35"/>
    </row>
    <row r="680">
      <c r="B680" s="32"/>
      <c r="E680" s="34"/>
      <c r="G680" s="35"/>
    </row>
    <row r="681">
      <c r="B681" s="32"/>
      <c r="E681" s="34"/>
      <c r="G681" s="35"/>
    </row>
    <row r="682">
      <c r="B682" s="32"/>
      <c r="E682" s="34"/>
      <c r="G682" s="35"/>
    </row>
    <row r="683">
      <c r="B683" s="32"/>
      <c r="E683" s="34"/>
      <c r="G683" s="35"/>
    </row>
    <row r="684">
      <c r="B684" s="32"/>
      <c r="E684" s="34"/>
      <c r="G684" s="35"/>
    </row>
    <row r="685">
      <c r="B685" s="32"/>
      <c r="E685" s="34"/>
      <c r="G685" s="35"/>
    </row>
    <row r="686">
      <c r="B686" s="32"/>
      <c r="E686" s="34"/>
      <c r="G686" s="35"/>
    </row>
    <row r="687">
      <c r="B687" s="32"/>
      <c r="E687" s="34"/>
      <c r="G687" s="35"/>
    </row>
    <row r="688">
      <c r="B688" s="32"/>
      <c r="E688" s="34"/>
      <c r="G688" s="35"/>
    </row>
    <row r="689">
      <c r="B689" s="32"/>
      <c r="E689" s="34"/>
      <c r="G689" s="35"/>
    </row>
    <row r="690">
      <c r="B690" s="32"/>
      <c r="E690" s="34"/>
      <c r="G690" s="35"/>
    </row>
    <row r="691">
      <c r="B691" s="32"/>
      <c r="E691" s="34"/>
      <c r="G691" s="35"/>
    </row>
    <row r="692">
      <c r="B692" s="32"/>
      <c r="E692" s="34"/>
      <c r="G692" s="35"/>
    </row>
    <row r="693">
      <c r="B693" s="32"/>
      <c r="E693" s="34"/>
      <c r="G693" s="35"/>
    </row>
    <row r="694">
      <c r="B694" s="32"/>
      <c r="E694" s="34"/>
      <c r="G694" s="35"/>
    </row>
    <row r="695">
      <c r="B695" s="32"/>
      <c r="E695" s="34"/>
      <c r="G695" s="35"/>
    </row>
    <row r="696">
      <c r="B696" s="32"/>
      <c r="E696" s="34"/>
      <c r="G696" s="35"/>
    </row>
    <row r="697">
      <c r="B697" s="32"/>
      <c r="E697" s="34"/>
      <c r="G697" s="35"/>
    </row>
    <row r="698">
      <c r="B698" s="32"/>
      <c r="E698" s="34"/>
      <c r="G698" s="35"/>
    </row>
    <row r="699">
      <c r="B699" s="32"/>
      <c r="E699" s="34"/>
      <c r="G699" s="35"/>
    </row>
    <row r="700">
      <c r="B700" s="32"/>
      <c r="E700" s="34"/>
      <c r="G700" s="35"/>
    </row>
    <row r="701">
      <c r="B701" s="32"/>
      <c r="E701" s="34"/>
      <c r="G701" s="35"/>
    </row>
    <row r="702">
      <c r="B702" s="32"/>
      <c r="E702" s="34"/>
      <c r="G702" s="35"/>
    </row>
    <row r="703">
      <c r="B703" s="32"/>
      <c r="E703" s="34"/>
      <c r="G703" s="35"/>
    </row>
    <row r="704">
      <c r="B704" s="32"/>
      <c r="E704" s="34"/>
      <c r="G704" s="35"/>
    </row>
    <row r="705">
      <c r="B705" s="32"/>
      <c r="E705" s="34"/>
      <c r="G705" s="35"/>
    </row>
    <row r="706">
      <c r="B706" s="32"/>
      <c r="E706" s="34"/>
      <c r="G706" s="35"/>
    </row>
    <row r="707">
      <c r="B707" s="32"/>
      <c r="E707" s="34"/>
      <c r="G707" s="35"/>
    </row>
    <row r="708">
      <c r="B708" s="32"/>
      <c r="E708" s="34"/>
      <c r="G708" s="35"/>
    </row>
    <row r="709">
      <c r="B709" s="32"/>
      <c r="E709" s="34"/>
      <c r="G709" s="35"/>
    </row>
    <row r="710">
      <c r="B710" s="32"/>
      <c r="E710" s="34"/>
      <c r="G710" s="35"/>
    </row>
    <row r="711">
      <c r="B711" s="32"/>
      <c r="E711" s="34"/>
      <c r="G711" s="35"/>
    </row>
    <row r="712">
      <c r="B712" s="32"/>
      <c r="E712" s="34"/>
      <c r="G712" s="35"/>
    </row>
    <row r="713">
      <c r="B713" s="32"/>
      <c r="E713" s="34"/>
      <c r="G713" s="35"/>
    </row>
    <row r="714">
      <c r="B714" s="32"/>
      <c r="E714" s="34"/>
      <c r="G714" s="35"/>
    </row>
    <row r="715">
      <c r="B715" s="32"/>
      <c r="E715" s="34"/>
      <c r="G715" s="35"/>
    </row>
    <row r="716">
      <c r="B716" s="32"/>
      <c r="E716" s="34"/>
      <c r="G716" s="35"/>
    </row>
    <row r="717">
      <c r="B717" s="32"/>
      <c r="E717" s="34"/>
      <c r="G717" s="35"/>
    </row>
    <row r="718">
      <c r="B718" s="32"/>
      <c r="E718" s="34"/>
      <c r="G718" s="35"/>
    </row>
    <row r="719">
      <c r="B719" s="32"/>
      <c r="E719" s="34"/>
      <c r="G719" s="35"/>
    </row>
    <row r="720">
      <c r="B720" s="32"/>
      <c r="E720" s="34"/>
      <c r="G720" s="35"/>
    </row>
    <row r="721">
      <c r="B721" s="32"/>
      <c r="E721" s="34"/>
      <c r="G721" s="35"/>
    </row>
    <row r="722">
      <c r="B722" s="32"/>
      <c r="E722" s="34"/>
      <c r="G722" s="35"/>
    </row>
    <row r="723">
      <c r="B723" s="32"/>
      <c r="E723" s="34"/>
      <c r="G723" s="35"/>
    </row>
    <row r="724">
      <c r="B724" s="32"/>
      <c r="E724" s="34"/>
      <c r="G724" s="35"/>
    </row>
    <row r="725">
      <c r="B725" s="32"/>
      <c r="E725" s="34"/>
      <c r="G725" s="35"/>
    </row>
    <row r="726">
      <c r="B726" s="32"/>
      <c r="E726" s="34"/>
      <c r="G726" s="35"/>
    </row>
    <row r="727">
      <c r="B727" s="32"/>
      <c r="E727" s="34"/>
      <c r="G727" s="35"/>
    </row>
    <row r="728">
      <c r="B728" s="32"/>
      <c r="E728" s="34"/>
      <c r="G728" s="35"/>
    </row>
    <row r="729">
      <c r="B729" s="32"/>
      <c r="E729" s="34"/>
      <c r="G729" s="35"/>
    </row>
    <row r="730">
      <c r="B730" s="32"/>
      <c r="E730" s="34"/>
      <c r="G730" s="35"/>
    </row>
    <row r="731">
      <c r="B731" s="32"/>
      <c r="E731" s="34"/>
      <c r="G731" s="35"/>
    </row>
    <row r="732">
      <c r="B732" s="32"/>
      <c r="E732" s="34"/>
      <c r="G732" s="35"/>
    </row>
    <row r="733">
      <c r="B733" s="32"/>
      <c r="E733" s="34"/>
      <c r="G733" s="35"/>
    </row>
    <row r="734">
      <c r="B734" s="32"/>
      <c r="E734" s="34"/>
      <c r="G734" s="35"/>
    </row>
    <row r="735">
      <c r="B735" s="32"/>
      <c r="E735" s="34"/>
      <c r="G735" s="35"/>
    </row>
    <row r="736">
      <c r="B736" s="32"/>
      <c r="E736" s="34"/>
      <c r="G736" s="35"/>
    </row>
    <row r="737">
      <c r="B737" s="32"/>
      <c r="E737" s="34"/>
      <c r="G737" s="35"/>
    </row>
    <row r="738">
      <c r="B738" s="32"/>
      <c r="E738" s="34"/>
      <c r="G738" s="35"/>
    </row>
    <row r="739">
      <c r="B739" s="32"/>
      <c r="E739" s="34"/>
      <c r="G739" s="35"/>
    </row>
    <row r="740">
      <c r="B740" s="32"/>
      <c r="E740" s="34"/>
      <c r="G740" s="35"/>
    </row>
    <row r="741">
      <c r="B741" s="32"/>
      <c r="E741" s="34"/>
      <c r="G741" s="35"/>
    </row>
    <row r="742">
      <c r="B742" s="32"/>
      <c r="E742" s="34"/>
      <c r="G742" s="35"/>
    </row>
    <row r="743">
      <c r="B743" s="32"/>
      <c r="E743" s="34"/>
      <c r="G743" s="35"/>
    </row>
    <row r="744">
      <c r="B744" s="32"/>
      <c r="E744" s="34"/>
      <c r="G744" s="35"/>
    </row>
    <row r="745">
      <c r="B745" s="32"/>
      <c r="E745" s="34"/>
      <c r="G745" s="35"/>
    </row>
    <row r="746">
      <c r="B746" s="32"/>
      <c r="E746" s="34"/>
      <c r="G746" s="35"/>
    </row>
    <row r="747">
      <c r="B747" s="32"/>
      <c r="E747" s="34"/>
      <c r="G747" s="35"/>
    </row>
    <row r="748">
      <c r="B748" s="32"/>
      <c r="E748" s="34"/>
      <c r="G748" s="35"/>
    </row>
    <row r="749">
      <c r="B749" s="32"/>
      <c r="E749" s="34"/>
      <c r="G749" s="35"/>
    </row>
    <row r="750">
      <c r="B750" s="32"/>
      <c r="E750" s="34"/>
      <c r="G750" s="35"/>
    </row>
    <row r="751">
      <c r="B751" s="32"/>
      <c r="E751" s="34"/>
      <c r="G751" s="35"/>
    </row>
    <row r="752">
      <c r="B752" s="32"/>
      <c r="E752" s="34"/>
      <c r="G752" s="35"/>
    </row>
    <row r="753">
      <c r="B753" s="32"/>
      <c r="E753" s="34"/>
      <c r="G753" s="35"/>
    </row>
    <row r="754">
      <c r="B754" s="32"/>
      <c r="E754" s="34"/>
      <c r="G754" s="35"/>
    </row>
    <row r="755">
      <c r="B755" s="32"/>
      <c r="E755" s="34"/>
      <c r="G755" s="35"/>
    </row>
    <row r="756">
      <c r="B756" s="32"/>
      <c r="E756" s="34"/>
      <c r="G756" s="35"/>
    </row>
    <row r="757">
      <c r="B757" s="32"/>
      <c r="E757" s="34"/>
      <c r="G757" s="35"/>
    </row>
    <row r="758">
      <c r="B758" s="32"/>
      <c r="E758" s="34"/>
      <c r="G758" s="35"/>
    </row>
    <row r="759">
      <c r="B759" s="32"/>
      <c r="E759" s="34"/>
      <c r="G759" s="35"/>
    </row>
    <row r="760">
      <c r="B760" s="32"/>
      <c r="E760" s="34"/>
      <c r="G760" s="35"/>
    </row>
    <row r="761">
      <c r="B761" s="32"/>
      <c r="E761" s="34"/>
      <c r="G761" s="35"/>
    </row>
    <row r="762">
      <c r="B762" s="32"/>
      <c r="E762" s="34"/>
      <c r="G762" s="35"/>
    </row>
    <row r="763">
      <c r="B763" s="32"/>
      <c r="E763" s="34"/>
      <c r="G763" s="35"/>
    </row>
    <row r="764">
      <c r="B764" s="32"/>
      <c r="E764" s="34"/>
      <c r="G764" s="35"/>
    </row>
    <row r="765">
      <c r="B765" s="32"/>
      <c r="E765" s="34"/>
      <c r="G765" s="35"/>
    </row>
    <row r="766">
      <c r="B766" s="32"/>
      <c r="E766" s="34"/>
      <c r="G766" s="35"/>
    </row>
    <row r="767">
      <c r="B767" s="32"/>
      <c r="E767" s="34"/>
      <c r="G767" s="35"/>
    </row>
    <row r="768">
      <c r="B768" s="32"/>
      <c r="E768" s="34"/>
      <c r="G768" s="35"/>
    </row>
    <row r="769">
      <c r="B769" s="32"/>
      <c r="E769" s="34"/>
      <c r="G769" s="35"/>
    </row>
    <row r="770">
      <c r="B770" s="32"/>
      <c r="E770" s="34"/>
      <c r="G770" s="35"/>
    </row>
    <row r="771">
      <c r="B771" s="32"/>
      <c r="E771" s="34"/>
      <c r="G771" s="35"/>
    </row>
    <row r="772">
      <c r="B772" s="32"/>
      <c r="E772" s="34"/>
      <c r="G772" s="35"/>
    </row>
    <row r="773">
      <c r="B773" s="32"/>
      <c r="E773" s="34"/>
      <c r="G773" s="35"/>
    </row>
    <row r="774">
      <c r="B774" s="32"/>
      <c r="E774" s="34"/>
      <c r="G774" s="35"/>
    </row>
    <row r="775">
      <c r="B775" s="32"/>
      <c r="E775" s="34"/>
      <c r="G775" s="35"/>
    </row>
    <row r="776">
      <c r="B776" s="32"/>
      <c r="E776" s="34"/>
      <c r="G776" s="35"/>
    </row>
    <row r="777">
      <c r="B777" s="32"/>
      <c r="E777" s="34"/>
      <c r="G777" s="35"/>
    </row>
    <row r="778">
      <c r="B778" s="32"/>
      <c r="E778" s="34"/>
      <c r="G778" s="35"/>
    </row>
    <row r="779">
      <c r="B779" s="32"/>
      <c r="E779" s="34"/>
      <c r="G779" s="35"/>
    </row>
    <row r="780">
      <c r="B780" s="32"/>
      <c r="E780" s="34"/>
      <c r="G780" s="35"/>
    </row>
    <row r="781">
      <c r="B781" s="32"/>
      <c r="E781" s="34"/>
      <c r="G781" s="35"/>
    </row>
    <row r="782">
      <c r="B782" s="32"/>
      <c r="E782" s="34"/>
      <c r="G782" s="35"/>
    </row>
    <row r="783">
      <c r="B783" s="32"/>
      <c r="E783" s="34"/>
      <c r="G783" s="35"/>
    </row>
    <row r="784">
      <c r="B784" s="32"/>
      <c r="E784" s="34"/>
      <c r="G784" s="35"/>
    </row>
    <row r="785">
      <c r="B785" s="32"/>
      <c r="E785" s="34"/>
      <c r="G785" s="35"/>
    </row>
    <row r="786">
      <c r="B786" s="32"/>
      <c r="E786" s="34"/>
      <c r="G786" s="35"/>
    </row>
    <row r="787">
      <c r="B787" s="32"/>
      <c r="E787" s="34"/>
      <c r="G787" s="35"/>
    </row>
    <row r="788">
      <c r="B788" s="32"/>
      <c r="E788" s="34"/>
      <c r="G788" s="35"/>
    </row>
    <row r="789">
      <c r="B789" s="32"/>
      <c r="E789" s="34"/>
      <c r="G789" s="35"/>
    </row>
    <row r="790">
      <c r="B790" s="32"/>
      <c r="E790" s="34"/>
      <c r="G790" s="35"/>
    </row>
    <row r="791">
      <c r="B791" s="32"/>
      <c r="E791" s="34"/>
      <c r="G791" s="35"/>
    </row>
    <row r="792">
      <c r="B792" s="32"/>
      <c r="E792" s="34"/>
      <c r="G792" s="35"/>
    </row>
    <row r="793">
      <c r="B793" s="32"/>
      <c r="E793" s="34"/>
      <c r="G793" s="35"/>
    </row>
    <row r="794">
      <c r="B794" s="32"/>
      <c r="E794" s="34"/>
      <c r="G794" s="35"/>
    </row>
    <row r="795">
      <c r="B795" s="32"/>
      <c r="E795" s="34"/>
      <c r="G795" s="35"/>
    </row>
    <row r="796">
      <c r="B796" s="32"/>
      <c r="E796" s="34"/>
      <c r="G796" s="35"/>
    </row>
    <row r="797">
      <c r="B797" s="32"/>
      <c r="E797" s="34"/>
      <c r="G797" s="35"/>
    </row>
    <row r="798">
      <c r="B798" s="32"/>
      <c r="E798" s="34"/>
      <c r="G798" s="35"/>
    </row>
    <row r="799">
      <c r="B799" s="32"/>
      <c r="E799" s="34"/>
      <c r="G799" s="35"/>
    </row>
    <row r="800">
      <c r="B800" s="32"/>
      <c r="E800" s="34"/>
      <c r="G800" s="35"/>
    </row>
    <row r="801">
      <c r="B801" s="32"/>
      <c r="E801" s="34"/>
      <c r="G801" s="35"/>
    </row>
    <row r="802">
      <c r="B802" s="32"/>
      <c r="E802" s="34"/>
      <c r="G802" s="35"/>
    </row>
    <row r="803">
      <c r="B803" s="32"/>
      <c r="E803" s="34"/>
      <c r="G803" s="35"/>
    </row>
    <row r="804">
      <c r="B804" s="32"/>
      <c r="E804" s="34"/>
      <c r="G804" s="35"/>
    </row>
    <row r="805">
      <c r="B805" s="32"/>
      <c r="E805" s="34"/>
      <c r="G805" s="35"/>
    </row>
    <row r="806">
      <c r="B806" s="32"/>
      <c r="E806" s="34"/>
      <c r="G806" s="35"/>
    </row>
    <row r="807">
      <c r="B807" s="32"/>
      <c r="E807" s="34"/>
      <c r="G807" s="35"/>
    </row>
    <row r="808">
      <c r="B808" s="32"/>
      <c r="E808" s="34"/>
      <c r="G808" s="35"/>
    </row>
    <row r="809">
      <c r="B809" s="32"/>
      <c r="E809" s="34"/>
      <c r="G809" s="35"/>
    </row>
    <row r="810">
      <c r="B810" s="32"/>
      <c r="E810" s="34"/>
      <c r="G810" s="35"/>
    </row>
    <row r="811">
      <c r="B811" s="32"/>
      <c r="E811" s="34"/>
      <c r="G811" s="35"/>
    </row>
    <row r="812">
      <c r="B812" s="32"/>
      <c r="E812" s="34"/>
      <c r="G812" s="35"/>
    </row>
    <row r="813">
      <c r="B813" s="32"/>
      <c r="E813" s="34"/>
      <c r="G813" s="35"/>
    </row>
    <row r="814">
      <c r="B814" s="32"/>
      <c r="E814" s="34"/>
      <c r="G814" s="35"/>
    </row>
    <row r="815">
      <c r="B815" s="32"/>
      <c r="E815" s="34"/>
      <c r="G815" s="35"/>
    </row>
    <row r="816">
      <c r="B816" s="32"/>
      <c r="E816" s="34"/>
      <c r="G816" s="35"/>
    </row>
    <row r="817">
      <c r="B817" s="32"/>
      <c r="E817" s="34"/>
      <c r="G817" s="35"/>
    </row>
    <row r="818">
      <c r="B818" s="32"/>
      <c r="E818" s="34"/>
      <c r="G818" s="35"/>
    </row>
    <row r="819">
      <c r="B819" s="32"/>
      <c r="E819" s="34"/>
      <c r="G819" s="35"/>
    </row>
    <row r="820">
      <c r="B820" s="32"/>
      <c r="E820" s="34"/>
      <c r="G820" s="35"/>
    </row>
    <row r="821">
      <c r="B821" s="32"/>
      <c r="E821" s="34"/>
      <c r="G821" s="35"/>
    </row>
    <row r="822">
      <c r="B822" s="32"/>
      <c r="E822" s="34"/>
      <c r="G822" s="35"/>
    </row>
    <row r="823">
      <c r="B823" s="32"/>
      <c r="E823" s="34"/>
      <c r="G823" s="35"/>
    </row>
    <row r="824">
      <c r="B824" s="32"/>
      <c r="E824" s="34"/>
      <c r="G824" s="35"/>
    </row>
    <row r="825">
      <c r="B825" s="32"/>
      <c r="E825" s="34"/>
      <c r="G825" s="35"/>
    </row>
    <row r="826">
      <c r="B826" s="32"/>
      <c r="E826" s="34"/>
      <c r="G826" s="35"/>
    </row>
    <row r="827">
      <c r="B827" s="32"/>
      <c r="E827" s="34"/>
      <c r="G827" s="35"/>
    </row>
    <row r="828">
      <c r="B828" s="32"/>
      <c r="E828" s="34"/>
      <c r="G828" s="35"/>
    </row>
    <row r="829">
      <c r="B829" s="32"/>
      <c r="E829" s="34"/>
      <c r="G829" s="35"/>
    </row>
    <row r="830">
      <c r="B830" s="32"/>
      <c r="E830" s="34"/>
      <c r="G830" s="35"/>
    </row>
    <row r="831">
      <c r="B831" s="32"/>
      <c r="E831" s="34"/>
      <c r="G831" s="35"/>
    </row>
    <row r="832">
      <c r="B832" s="32"/>
      <c r="E832" s="34"/>
      <c r="G832" s="35"/>
    </row>
    <row r="833">
      <c r="B833" s="32"/>
      <c r="E833" s="34"/>
      <c r="G833" s="35"/>
    </row>
    <row r="834">
      <c r="B834" s="32"/>
      <c r="E834" s="34"/>
      <c r="G834" s="35"/>
    </row>
    <row r="835">
      <c r="B835" s="32"/>
      <c r="E835" s="34"/>
      <c r="G835" s="35"/>
    </row>
    <row r="836">
      <c r="B836" s="32"/>
      <c r="E836" s="34"/>
      <c r="G836" s="35"/>
    </row>
    <row r="837">
      <c r="B837" s="32"/>
      <c r="E837" s="34"/>
      <c r="G837" s="35"/>
    </row>
    <row r="838">
      <c r="B838" s="32"/>
      <c r="E838" s="34"/>
      <c r="G838" s="35"/>
    </row>
    <row r="839">
      <c r="B839" s="32"/>
      <c r="E839" s="34"/>
      <c r="G839" s="35"/>
    </row>
    <row r="840">
      <c r="B840" s="32"/>
      <c r="E840" s="34"/>
      <c r="G840" s="35"/>
    </row>
    <row r="841">
      <c r="B841" s="32"/>
      <c r="E841" s="34"/>
      <c r="G841" s="35"/>
    </row>
    <row r="842">
      <c r="B842" s="32"/>
      <c r="E842" s="34"/>
      <c r="G842" s="35"/>
    </row>
    <row r="843">
      <c r="B843" s="32"/>
      <c r="E843" s="34"/>
      <c r="G843" s="35"/>
    </row>
    <row r="844">
      <c r="B844" s="32"/>
      <c r="E844" s="34"/>
      <c r="G844" s="35"/>
    </row>
    <row r="845">
      <c r="B845" s="32"/>
      <c r="E845" s="34"/>
      <c r="G845" s="35"/>
    </row>
    <row r="846">
      <c r="B846" s="32"/>
      <c r="E846" s="34"/>
      <c r="G846" s="35"/>
    </row>
    <row r="847">
      <c r="B847" s="32"/>
      <c r="E847" s="34"/>
      <c r="G847" s="35"/>
    </row>
    <row r="848">
      <c r="B848" s="32"/>
      <c r="E848" s="34"/>
      <c r="G848" s="35"/>
    </row>
    <row r="849">
      <c r="B849" s="32"/>
      <c r="E849" s="34"/>
      <c r="G849" s="35"/>
    </row>
    <row r="850">
      <c r="B850" s="32"/>
      <c r="E850" s="34"/>
      <c r="G850" s="35"/>
    </row>
    <row r="851">
      <c r="B851" s="32"/>
      <c r="E851" s="34"/>
      <c r="G851" s="35"/>
    </row>
    <row r="852">
      <c r="B852" s="32"/>
      <c r="E852" s="34"/>
      <c r="G852" s="35"/>
    </row>
    <row r="853">
      <c r="B853" s="32"/>
      <c r="E853" s="34"/>
      <c r="G853" s="35"/>
    </row>
    <row r="854">
      <c r="B854" s="32"/>
      <c r="E854" s="34"/>
      <c r="G854" s="35"/>
    </row>
    <row r="855">
      <c r="B855" s="32"/>
      <c r="E855" s="34"/>
      <c r="G855" s="35"/>
    </row>
    <row r="856">
      <c r="B856" s="32"/>
      <c r="E856" s="34"/>
      <c r="G856" s="35"/>
    </row>
    <row r="857">
      <c r="B857" s="32"/>
      <c r="E857" s="34"/>
      <c r="G857" s="35"/>
    </row>
    <row r="858">
      <c r="B858" s="32"/>
      <c r="E858" s="34"/>
      <c r="G858" s="35"/>
    </row>
    <row r="859">
      <c r="B859" s="32"/>
      <c r="E859" s="34"/>
      <c r="G859" s="35"/>
    </row>
    <row r="860">
      <c r="B860" s="32"/>
      <c r="E860" s="34"/>
      <c r="G860" s="35"/>
    </row>
    <row r="861">
      <c r="B861" s="32"/>
      <c r="E861" s="34"/>
      <c r="G861" s="35"/>
    </row>
    <row r="862">
      <c r="B862" s="32"/>
      <c r="E862" s="34"/>
      <c r="G862" s="35"/>
    </row>
    <row r="863">
      <c r="B863" s="32"/>
      <c r="E863" s="34"/>
      <c r="G863" s="35"/>
    </row>
    <row r="864">
      <c r="B864" s="32"/>
      <c r="E864" s="34"/>
      <c r="G864" s="35"/>
    </row>
    <row r="865">
      <c r="B865" s="32"/>
      <c r="E865" s="34"/>
      <c r="G865" s="35"/>
    </row>
    <row r="866">
      <c r="B866" s="32"/>
      <c r="E866" s="34"/>
      <c r="G866" s="35"/>
    </row>
    <row r="867">
      <c r="B867" s="32"/>
      <c r="E867" s="34"/>
      <c r="G867" s="35"/>
    </row>
    <row r="868">
      <c r="B868" s="32"/>
      <c r="E868" s="34"/>
      <c r="G868" s="35"/>
    </row>
    <row r="869">
      <c r="B869" s="32"/>
      <c r="E869" s="34"/>
      <c r="G869" s="35"/>
    </row>
    <row r="870">
      <c r="B870" s="32"/>
      <c r="E870" s="34"/>
      <c r="G870" s="35"/>
    </row>
    <row r="871">
      <c r="B871" s="32"/>
      <c r="E871" s="34"/>
      <c r="G871" s="35"/>
    </row>
    <row r="872">
      <c r="B872" s="32"/>
      <c r="E872" s="34"/>
      <c r="G872" s="35"/>
    </row>
    <row r="873">
      <c r="B873" s="32"/>
      <c r="E873" s="34"/>
      <c r="G873" s="35"/>
    </row>
    <row r="874">
      <c r="B874" s="32"/>
      <c r="E874" s="34"/>
      <c r="G874" s="35"/>
    </row>
    <row r="875">
      <c r="B875" s="32"/>
      <c r="E875" s="34"/>
      <c r="G875" s="35"/>
    </row>
    <row r="876">
      <c r="B876" s="32"/>
      <c r="E876" s="34"/>
      <c r="G876" s="35"/>
    </row>
    <row r="877">
      <c r="B877" s="32"/>
      <c r="E877" s="34"/>
      <c r="G877" s="35"/>
    </row>
    <row r="878">
      <c r="B878" s="32"/>
      <c r="E878" s="34"/>
      <c r="G878" s="35"/>
    </row>
    <row r="879">
      <c r="B879" s="32"/>
      <c r="E879" s="34"/>
      <c r="G879" s="35"/>
    </row>
    <row r="880">
      <c r="B880" s="32"/>
      <c r="E880" s="34"/>
      <c r="G880" s="35"/>
    </row>
    <row r="881">
      <c r="B881" s="32"/>
      <c r="E881" s="34"/>
      <c r="G881" s="35"/>
    </row>
    <row r="882">
      <c r="B882" s="32"/>
      <c r="E882" s="34"/>
      <c r="G882" s="35"/>
    </row>
    <row r="883">
      <c r="B883" s="32"/>
      <c r="E883" s="34"/>
      <c r="G883" s="35"/>
    </row>
    <row r="884">
      <c r="B884" s="32"/>
      <c r="E884" s="34"/>
      <c r="G884" s="35"/>
    </row>
    <row r="885">
      <c r="B885" s="32"/>
      <c r="E885" s="34"/>
      <c r="G885" s="35"/>
    </row>
    <row r="886">
      <c r="B886" s="32"/>
      <c r="E886" s="34"/>
      <c r="G886" s="35"/>
    </row>
    <row r="887">
      <c r="B887" s="32"/>
      <c r="E887" s="34"/>
      <c r="G887" s="35"/>
    </row>
    <row r="888">
      <c r="B888" s="32"/>
      <c r="E888" s="34"/>
      <c r="G888" s="35"/>
    </row>
    <row r="889">
      <c r="B889" s="32"/>
      <c r="E889" s="34"/>
      <c r="G889" s="35"/>
    </row>
    <row r="890">
      <c r="B890" s="32"/>
      <c r="E890" s="34"/>
      <c r="G890" s="35"/>
    </row>
    <row r="891">
      <c r="B891" s="32"/>
      <c r="E891" s="34"/>
      <c r="G891" s="35"/>
    </row>
    <row r="892">
      <c r="B892" s="32"/>
      <c r="E892" s="34"/>
      <c r="G892" s="35"/>
    </row>
    <row r="893">
      <c r="B893" s="32"/>
      <c r="E893" s="34"/>
      <c r="G893" s="35"/>
    </row>
    <row r="894">
      <c r="B894" s="32"/>
      <c r="E894" s="34"/>
      <c r="G894" s="35"/>
    </row>
    <row r="895">
      <c r="B895" s="32"/>
      <c r="E895" s="34"/>
      <c r="G895" s="35"/>
    </row>
    <row r="896">
      <c r="B896" s="32"/>
      <c r="E896" s="34"/>
      <c r="G896" s="35"/>
    </row>
    <row r="897">
      <c r="B897" s="32"/>
      <c r="E897" s="34"/>
      <c r="G897" s="35"/>
    </row>
    <row r="898">
      <c r="B898" s="32"/>
      <c r="E898" s="34"/>
      <c r="G898" s="35"/>
    </row>
    <row r="899">
      <c r="B899" s="32"/>
      <c r="E899" s="34"/>
      <c r="G899" s="35"/>
    </row>
    <row r="900">
      <c r="B900" s="32"/>
      <c r="E900" s="34"/>
      <c r="G900" s="35"/>
    </row>
    <row r="901">
      <c r="B901" s="32"/>
      <c r="E901" s="34"/>
      <c r="G901" s="35"/>
    </row>
    <row r="902">
      <c r="B902" s="32"/>
      <c r="E902" s="34"/>
      <c r="G902" s="35"/>
    </row>
    <row r="903">
      <c r="B903" s="32"/>
      <c r="E903" s="34"/>
      <c r="G903" s="35"/>
    </row>
    <row r="904">
      <c r="B904" s="32"/>
      <c r="E904" s="34"/>
      <c r="G904" s="35"/>
    </row>
    <row r="905">
      <c r="B905" s="32"/>
      <c r="E905" s="34"/>
      <c r="G905" s="35"/>
    </row>
    <row r="906">
      <c r="B906" s="32"/>
      <c r="E906" s="34"/>
      <c r="G906" s="35"/>
    </row>
    <row r="907">
      <c r="B907" s="32"/>
      <c r="E907" s="34"/>
      <c r="G907" s="35"/>
    </row>
    <row r="908">
      <c r="B908" s="32"/>
      <c r="E908" s="34"/>
      <c r="G908" s="35"/>
    </row>
    <row r="909">
      <c r="B909" s="32"/>
      <c r="E909" s="34"/>
      <c r="G909" s="35"/>
    </row>
    <row r="910">
      <c r="B910" s="32"/>
      <c r="E910" s="34"/>
      <c r="G910" s="35"/>
    </row>
    <row r="911">
      <c r="B911" s="32"/>
      <c r="E911" s="34"/>
      <c r="G911" s="35"/>
    </row>
    <row r="912">
      <c r="B912" s="32"/>
      <c r="E912" s="34"/>
      <c r="G912" s="35"/>
    </row>
    <row r="913">
      <c r="B913" s="32"/>
      <c r="E913" s="34"/>
      <c r="G913" s="35"/>
    </row>
    <row r="914">
      <c r="B914" s="32"/>
      <c r="E914" s="34"/>
      <c r="G914" s="35"/>
    </row>
    <row r="915">
      <c r="B915" s="32"/>
      <c r="E915" s="34"/>
      <c r="G915" s="35"/>
    </row>
    <row r="916">
      <c r="B916" s="32"/>
      <c r="E916" s="34"/>
      <c r="G916" s="35"/>
    </row>
    <row r="917">
      <c r="B917" s="32"/>
      <c r="E917" s="34"/>
      <c r="G917" s="35"/>
    </row>
    <row r="918">
      <c r="B918" s="32"/>
      <c r="E918" s="34"/>
      <c r="G918" s="35"/>
    </row>
    <row r="919">
      <c r="B919" s="32"/>
      <c r="E919" s="34"/>
      <c r="G919" s="35"/>
    </row>
    <row r="920">
      <c r="B920" s="32"/>
      <c r="E920" s="34"/>
      <c r="G920" s="35"/>
    </row>
    <row r="921">
      <c r="B921" s="32"/>
      <c r="E921" s="34"/>
      <c r="G921" s="35"/>
    </row>
    <row r="922">
      <c r="B922" s="32"/>
      <c r="E922" s="34"/>
      <c r="G922" s="35"/>
    </row>
    <row r="923">
      <c r="B923" s="32"/>
      <c r="E923" s="34"/>
      <c r="G923" s="35"/>
    </row>
    <row r="924">
      <c r="B924" s="32"/>
      <c r="E924" s="34"/>
      <c r="G924" s="35"/>
    </row>
    <row r="925">
      <c r="B925" s="32"/>
      <c r="E925" s="34"/>
      <c r="G925" s="35"/>
    </row>
    <row r="926">
      <c r="B926" s="32"/>
      <c r="E926" s="34"/>
      <c r="G926" s="35"/>
    </row>
    <row r="927">
      <c r="B927" s="32"/>
      <c r="E927" s="34"/>
      <c r="G927" s="35"/>
    </row>
    <row r="928">
      <c r="B928" s="32"/>
      <c r="E928" s="34"/>
      <c r="G928" s="35"/>
    </row>
    <row r="929">
      <c r="B929" s="32"/>
      <c r="E929" s="34"/>
      <c r="G929" s="35"/>
    </row>
    <row r="930">
      <c r="B930" s="32"/>
      <c r="E930" s="34"/>
      <c r="G930" s="35"/>
    </row>
    <row r="931">
      <c r="B931" s="32"/>
      <c r="E931" s="34"/>
      <c r="G931" s="35"/>
    </row>
    <row r="932">
      <c r="B932" s="32"/>
      <c r="E932" s="34"/>
      <c r="G932" s="35"/>
    </row>
    <row r="933">
      <c r="B933" s="32"/>
      <c r="E933" s="34"/>
      <c r="G933" s="35"/>
    </row>
    <row r="934">
      <c r="B934" s="32"/>
      <c r="E934" s="34"/>
      <c r="G934" s="35"/>
    </row>
    <row r="935">
      <c r="B935" s="32"/>
      <c r="E935" s="34"/>
      <c r="G935" s="35"/>
    </row>
    <row r="936">
      <c r="B936" s="32"/>
      <c r="E936" s="34"/>
      <c r="G936" s="35"/>
    </row>
    <row r="937">
      <c r="B937" s="32"/>
      <c r="E937" s="34"/>
      <c r="G937" s="35"/>
    </row>
    <row r="938">
      <c r="B938" s="32"/>
      <c r="E938" s="34"/>
      <c r="G938" s="35"/>
    </row>
    <row r="939">
      <c r="B939" s="32"/>
      <c r="E939" s="34"/>
      <c r="G939" s="35"/>
    </row>
    <row r="940">
      <c r="B940" s="32"/>
      <c r="E940" s="34"/>
      <c r="G940" s="35"/>
    </row>
    <row r="941">
      <c r="B941" s="32"/>
      <c r="E941" s="34"/>
      <c r="G941" s="35"/>
    </row>
    <row r="942">
      <c r="B942" s="32"/>
      <c r="E942" s="34"/>
      <c r="G942" s="35"/>
    </row>
    <row r="943">
      <c r="B943" s="32"/>
      <c r="E943" s="34"/>
      <c r="G943" s="35"/>
    </row>
    <row r="944">
      <c r="B944" s="32"/>
      <c r="E944" s="34"/>
      <c r="G944" s="35"/>
    </row>
    <row r="945">
      <c r="B945" s="32"/>
      <c r="E945" s="34"/>
      <c r="G945" s="35"/>
    </row>
    <row r="946">
      <c r="B946" s="32"/>
      <c r="E946" s="34"/>
      <c r="G946" s="35"/>
    </row>
    <row r="947">
      <c r="B947" s="32"/>
      <c r="E947" s="34"/>
      <c r="G947" s="35"/>
    </row>
    <row r="948">
      <c r="B948" s="32"/>
      <c r="E948" s="34"/>
      <c r="G948" s="35"/>
    </row>
    <row r="949">
      <c r="B949" s="32"/>
      <c r="E949" s="34"/>
      <c r="G949" s="35"/>
    </row>
    <row r="950">
      <c r="B950" s="32"/>
      <c r="E950" s="34"/>
      <c r="G950" s="35"/>
    </row>
    <row r="951">
      <c r="B951" s="32"/>
      <c r="E951" s="34"/>
      <c r="G951" s="35"/>
    </row>
    <row r="952">
      <c r="B952" s="32"/>
      <c r="E952" s="34"/>
      <c r="G952" s="35"/>
    </row>
    <row r="953">
      <c r="B953" s="32"/>
      <c r="E953" s="34"/>
      <c r="G953" s="35"/>
    </row>
    <row r="954">
      <c r="B954" s="32"/>
      <c r="E954" s="34"/>
      <c r="G954" s="35"/>
    </row>
    <row r="955">
      <c r="B955" s="32"/>
      <c r="E955" s="34"/>
      <c r="G955" s="35"/>
    </row>
    <row r="956">
      <c r="B956" s="32"/>
      <c r="E956" s="34"/>
      <c r="G956" s="35"/>
    </row>
    <row r="957">
      <c r="B957" s="32"/>
      <c r="E957" s="34"/>
      <c r="G957" s="35"/>
    </row>
    <row r="958">
      <c r="B958" s="32"/>
      <c r="E958" s="34"/>
      <c r="G958" s="35"/>
    </row>
    <row r="959">
      <c r="B959" s="32"/>
      <c r="E959" s="34"/>
      <c r="G959" s="35"/>
    </row>
    <row r="960">
      <c r="B960" s="32"/>
      <c r="E960" s="34"/>
      <c r="G960" s="35"/>
    </row>
    <row r="961">
      <c r="B961" s="32"/>
      <c r="E961" s="34"/>
      <c r="G961" s="35"/>
    </row>
    <row r="962">
      <c r="B962" s="32"/>
      <c r="E962" s="34"/>
      <c r="G962" s="35"/>
    </row>
    <row r="963">
      <c r="B963" s="32"/>
      <c r="E963" s="34"/>
      <c r="G963" s="35"/>
    </row>
    <row r="964">
      <c r="B964" s="32"/>
      <c r="E964" s="34"/>
      <c r="G964" s="35"/>
    </row>
    <row r="965">
      <c r="B965" s="32"/>
      <c r="E965" s="34"/>
      <c r="G965" s="35"/>
    </row>
    <row r="966">
      <c r="B966" s="32"/>
      <c r="E966" s="34"/>
      <c r="G966" s="35"/>
    </row>
    <row r="967">
      <c r="B967" s="32"/>
      <c r="E967" s="34"/>
      <c r="G967" s="35"/>
    </row>
    <row r="968">
      <c r="B968" s="32"/>
      <c r="E968" s="34"/>
      <c r="G968" s="35"/>
    </row>
    <row r="969">
      <c r="B969" s="32"/>
      <c r="E969" s="34"/>
      <c r="G969" s="35"/>
    </row>
    <row r="970">
      <c r="B970" s="32"/>
      <c r="E970" s="34"/>
      <c r="G970" s="35"/>
    </row>
    <row r="971">
      <c r="B971" s="32"/>
      <c r="E971" s="34"/>
      <c r="G971" s="35"/>
    </row>
    <row r="972">
      <c r="B972" s="32"/>
      <c r="E972" s="34"/>
      <c r="G972" s="35"/>
    </row>
    <row r="973">
      <c r="B973" s="32"/>
      <c r="E973" s="34"/>
      <c r="G973" s="35"/>
    </row>
    <row r="974">
      <c r="B974" s="32"/>
      <c r="E974" s="34"/>
      <c r="G974" s="35"/>
    </row>
    <row r="975">
      <c r="B975" s="32"/>
      <c r="E975" s="34"/>
      <c r="G975" s="35"/>
    </row>
    <row r="976">
      <c r="B976" s="32"/>
      <c r="E976" s="34"/>
      <c r="G976" s="35"/>
    </row>
    <row r="977">
      <c r="B977" s="32"/>
      <c r="E977" s="34"/>
      <c r="G977" s="35"/>
    </row>
    <row r="978">
      <c r="B978" s="32"/>
      <c r="E978" s="34"/>
      <c r="G978" s="35"/>
    </row>
    <row r="979">
      <c r="B979" s="32"/>
      <c r="E979" s="34"/>
      <c r="G979" s="35"/>
    </row>
    <row r="980">
      <c r="B980" s="32"/>
      <c r="E980" s="34"/>
      <c r="G980" s="35"/>
    </row>
    <row r="981">
      <c r="B981" s="32"/>
      <c r="E981" s="34"/>
      <c r="G981" s="35"/>
    </row>
    <row r="982">
      <c r="B982" s="32"/>
      <c r="E982" s="34"/>
      <c r="G982" s="35"/>
    </row>
    <row r="983">
      <c r="B983" s="32"/>
      <c r="E983" s="34"/>
      <c r="G983" s="35"/>
    </row>
    <row r="984">
      <c r="B984" s="32"/>
      <c r="E984" s="34"/>
      <c r="G984" s="35"/>
    </row>
    <row r="985">
      <c r="B985" s="32"/>
      <c r="E985" s="34"/>
      <c r="G985" s="35"/>
    </row>
    <row r="986">
      <c r="B986" s="32"/>
      <c r="E986" s="34"/>
      <c r="G986" s="35"/>
    </row>
    <row r="987">
      <c r="B987" s="32"/>
      <c r="E987" s="34"/>
      <c r="G987" s="35"/>
    </row>
    <row r="988">
      <c r="B988" s="32"/>
      <c r="E988" s="34"/>
      <c r="G988" s="35"/>
    </row>
    <row r="989">
      <c r="B989" s="32"/>
      <c r="E989" s="34"/>
      <c r="G989" s="35"/>
    </row>
    <row r="990">
      <c r="B990" s="32"/>
      <c r="E990" s="34"/>
      <c r="G990" s="35"/>
    </row>
    <row r="991">
      <c r="B991" s="32"/>
      <c r="E991" s="34"/>
      <c r="G991" s="35"/>
    </row>
    <row r="992">
      <c r="B992" s="32"/>
      <c r="E992" s="34"/>
      <c r="G992" s="35"/>
    </row>
    <row r="993">
      <c r="B993" s="32"/>
      <c r="E993" s="34"/>
      <c r="G993" s="35"/>
    </row>
    <row r="994">
      <c r="B994" s="32"/>
      <c r="E994" s="34"/>
      <c r="G994" s="35"/>
    </row>
    <row r="995">
      <c r="B995" s="32"/>
      <c r="E995" s="34"/>
      <c r="G995" s="35"/>
    </row>
    <row r="996">
      <c r="B996" s="32"/>
      <c r="E996" s="34"/>
      <c r="G996" s="35"/>
    </row>
    <row r="997">
      <c r="B997" s="32"/>
      <c r="E997" s="34"/>
      <c r="G997" s="35"/>
    </row>
    <row r="998">
      <c r="B998" s="32"/>
      <c r="E998" s="34"/>
      <c r="G998" s="35"/>
    </row>
    <row r="999">
      <c r="B999" s="32"/>
      <c r="E999" s="34"/>
      <c r="G999" s="35"/>
    </row>
    <row r="1000">
      <c r="B1000" s="32"/>
      <c r="E1000" s="34"/>
      <c r="G1000" s="35"/>
    </row>
    <row r="1001">
      <c r="B1001" s="32"/>
      <c r="E1001" s="34"/>
      <c r="G1001" s="35"/>
    </row>
    <row r="1002">
      <c r="B1002" s="32"/>
      <c r="E1002" s="34"/>
      <c r="G1002" s="35"/>
    </row>
    <row r="1003">
      <c r="B1003" s="32"/>
      <c r="E1003" s="34"/>
      <c r="G1003" s="35"/>
    </row>
    <row r="1004">
      <c r="B1004" s="32"/>
      <c r="E1004" s="34"/>
      <c r="G1004" s="35"/>
    </row>
  </sheetData>
  <dataValidations>
    <dataValidation type="custom" allowBlank="1" showDropDown="1" sqref="B4:B11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0"/>
    <col customWidth="1" min="2" max="2" width="9.5"/>
    <col customWidth="1" min="3" max="3" width="25.5"/>
    <col customWidth="1" min="4" max="4" width="14.75"/>
    <col customWidth="1" min="5" max="5" width="14.38"/>
    <col customWidth="1" min="6" max="6" width="9.25"/>
    <col customWidth="1" min="7" max="7" width="27.75"/>
    <col customWidth="1" min="8" max="8" width="23.25"/>
    <col customWidth="1" min="9" max="9" width="11.25"/>
    <col customWidth="1" min="10" max="10" width="11.75"/>
    <col customWidth="1" min="11" max="11" width="51.25"/>
    <col customWidth="1" min="12" max="12" width="28.0"/>
  </cols>
  <sheetData>
    <row r="1">
      <c r="A1" s="1" t="str">
        <f>IFERROR(__xludf.DUMMYFUNCTION("QUERY(
  'Input Data'!A1:N5505,
  ""select B, A, C, D, E, G, H, I, J, K, L, N
   where F = 'Dela'"",
  1
)
"),"TANGGAL")</f>
        <v>TANGGAL</v>
      </c>
      <c r="B1" s="2" t="str">
        <f>IFERROR(__xludf.DUMMYFUNCTION("""COMPUTED_VALUE"""),"KODE")</f>
        <v>KODE</v>
      </c>
      <c r="C1" s="3" t="str">
        <f>IFERROR(__xludf.DUMMYFUNCTION("""COMPUTED_VALUE"""),"NAMA")</f>
        <v>NAMA</v>
      </c>
      <c r="D1" s="4" t="str">
        <f>IFERROR(__xludf.DUMMYFUNCTION("""COMPUTED_VALUE"""),"WHATSAPP")</f>
        <v>WHATSAPP</v>
      </c>
      <c r="E1" s="3" t="str">
        <f>IFERROR(__xludf.DUMMYFUNCTION("""COMPUTED_VALUE"""),"SOURCE")</f>
        <v>SOURCE</v>
      </c>
      <c r="F1" s="3" t="str">
        <f>IFERROR(__xludf.DUMMYFUNCTION("""COMPUTED_VALUE"""),"STATUS")</f>
        <v>STATUS</v>
      </c>
      <c r="G1" s="5" t="str">
        <f>IFERROR(__xludf.DUMMYFUNCTION("""COMPUTED_VALUE"""),"PAKET / DESTINASI")</f>
        <v>PAKET / DESTINASI</v>
      </c>
      <c r="H1" s="1" t="str">
        <f>IFERROR(__xludf.DUMMYFUNCTION("""COMPUTED_VALUE"""),"TANGGAL TRIP")</f>
        <v>TANGGAL TRIP</v>
      </c>
      <c r="I1" s="4" t="str">
        <f>IFERROR(__xludf.DUMMYFUNCTION("""COMPUTED_VALUE"""),"PAX")</f>
        <v>PAX</v>
      </c>
      <c r="J1" s="3" t="str">
        <f>IFERROR(__xludf.DUMMYFUNCTION("""COMPUTED_VALUE"""),"ESTIMASI NILAI ORDER")</f>
        <v>ESTIMASI NILAI ORDER</v>
      </c>
      <c r="K1" s="6" t="str">
        <f>IFERROR(__xludf.DUMMYFUNCTION("""COMPUTED_VALUE"""),"KETERANGAN")</f>
        <v>KETERANGAN</v>
      </c>
      <c r="L1" s="3" t="str">
        <f>IFERROR(__xludf.DUMMYFUNCTION("""COMPUTED_VALUE"""),"ANALISA AI")</f>
        <v>ANALISA AI</v>
      </c>
      <c r="M1" s="9"/>
      <c r="N1" s="9"/>
      <c r="O1" s="9"/>
      <c r="P1" s="9"/>
    </row>
    <row r="2">
      <c r="A2" s="11">
        <f>IFERROR(__xludf.DUMMYFUNCTION("""COMPUTED_VALUE"""),46023.0)</f>
        <v>46023</v>
      </c>
      <c r="B2" s="12" t="str">
        <f>IFERROR(__xludf.DUMMYFUNCTION("""COMPUTED_VALUE"""),"2601D001")</f>
        <v>2601D001</v>
      </c>
      <c r="C2" s="10" t="str">
        <f>IFERROR(__xludf.DUMMYFUNCTION("""COMPUTED_VALUE"""),"H ")</f>
        <v>H </v>
      </c>
      <c r="D2" s="13" t="str">
        <f>IFERROR(__xludf.DUMMYFUNCTION("""COMPUTED_VALUE"""),"082114698226")</f>
        <v>082114698226</v>
      </c>
      <c r="E2" s="14" t="str">
        <f>IFERROR(__xludf.DUMMYFUNCTION("""COMPUTED_VALUE"""),"Instagram")</f>
        <v>Instagram</v>
      </c>
      <c r="F2" s="14" t="str">
        <f>IFERROR(__xludf.DUMMYFUNCTION("""COMPUTED_VALUE"""),"Gagal")</f>
        <v>Gagal</v>
      </c>
      <c r="G2" s="15" t="str">
        <f>IFERROR(__xludf.DUMMYFUNCTION("""COMPUTED_VALUE"""),"2H1M")</f>
        <v>2H1M</v>
      </c>
      <c r="H2" s="16"/>
      <c r="I2" s="17"/>
      <c r="J2" s="18"/>
      <c r="K2" s="19" t="str">
        <f>IFERROR(__xludf.DUMMYFUNCTION("""COMPUTED_VALUE"""),"Nanti dikabari")</f>
        <v>Nanti dikabari</v>
      </c>
      <c r="L2" s="10"/>
      <c r="M2" s="20"/>
      <c r="N2" s="20"/>
      <c r="O2" s="20"/>
      <c r="P2" s="20"/>
    </row>
    <row r="3">
      <c r="A3" s="21">
        <f>IFERROR(__xludf.DUMMYFUNCTION("""COMPUTED_VALUE"""),46023.0)</f>
        <v>46023</v>
      </c>
      <c r="B3" s="22" t="str">
        <f>IFERROR(__xludf.DUMMYFUNCTION("""COMPUTED_VALUE"""),"2601D002")</f>
        <v>2601D002</v>
      </c>
      <c r="C3" s="23" t="str">
        <f>IFERROR(__xludf.DUMMYFUNCTION("""COMPUTED_VALUE"""),"Ari.Januari.2026")</f>
        <v>Ari.Januari.2026</v>
      </c>
      <c r="D3" s="24" t="str">
        <f>IFERROR(__xludf.DUMMYFUNCTION("""COMPUTED_VALUE"""),"0881036053274")</f>
        <v>0881036053274</v>
      </c>
      <c r="E3" s="14" t="str">
        <f>IFERROR(__xludf.DUMMYFUNCTION("""COMPUTED_VALUE"""),"Website")</f>
        <v>Website</v>
      </c>
      <c r="F3" s="14" t="str">
        <f>IFERROR(__xludf.DUMMYFUNCTION("""COMPUTED_VALUE"""),"Gagal")</f>
        <v>Gagal</v>
      </c>
      <c r="G3" s="25" t="str">
        <f>IFERROR(__xludf.DUMMYFUNCTION("""COMPUTED_VALUE"""),"CT")</f>
        <v>CT</v>
      </c>
      <c r="H3" s="26"/>
      <c r="I3" s="27"/>
      <c r="J3" s="28"/>
      <c r="K3" s="30" t="str">
        <f>IFERROR(__xludf.DUMMYFUNCTION("""COMPUTED_VALUE"""),"ingin paket campervan")</f>
        <v>ingin paket campervan</v>
      </c>
      <c r="L3" s="23"/>
      <c r="M3" s="20"/>
      <c r="N3" s="20"/>
      <c r="O3" s="20"/>
      <c r="P3" s="20"/>
    </row>
    <row r="4">
      <c r="A4" s="11">
        <f>IFERROR(__xludf.DUMMYFUNCTION("""COMPUTED_VALUE"""),46023.0)</f>
        <v>46023</v>
      </c>
      <c r="B4" s="12" t="str">
        <f>IFERROR(__xludf.DUMMYFUNCTION("""COMPUTED_VALUE"""),"2601D003")</f>
        <v>2601D003</v>
      </c>
      <c r="C4" s="10" t="str">
        <f>IFERROR(__xludf.DUMMYFUNCTION("""COMPUTED_VALUE"""),"Muliono")</f>
        <v>Muliono</v>
      </c>
      <c r="D4" s="13" t="str">
        <f>IFERROR(__xludf.DUMMYFUNCTION("""COMPUTED_VALUE"""),"085851219044")</f>
        <v>085851219044</v>
      </c>
      <c r="E4" s="14" t="str">
        <f>IFERROR(__xludf.DUMMYFUNCTION("""COMPUTED_VALUE"""),"Website")</f>
        <v>Website</v>
      </c>
      <c r="F4" s="14" t="str">
        <f>IFERROR(__xludf.DUMMYFUNCTION("""COMPUTED_VALUE"""),"Gagal")</f>
        <v>Gagal</v>
      </c>
      <c r="G4" s="14" t="str">
        <f>IFERROR(__xludf.DUMMYFUNCTION("""COMPUTED_VALUE"""),"Trip baluran ")</f>
        <v>Trip baluran </v>
      </c>
      <c r="H4" s="16"/>
      <c r="I4" s="17">
        <f>IFERROR(__xludf.DUMMYFUNCTION("""COMPUTED_VALUE"""),7.0)</f>
        <v>7</v>
      </c>
      <c r="J4" s="18"/>
      <c r="K4" s="19" t="str">
        <f>IFERROR(__xludf.DUMMYFUNCTION("""COMPUTED_VALUE"""),"Tidak jawab")</f>
        <v>Tidak jawab</v>
      </c>
      <c r="L4" s="10"/>
      <c r="M4" s="20"/>
      <c r="N4" s="20"/>
      <c r="O4" s="20"/>
      <c r="P4" s="20"/>
    </row>
    <row r="5">
      <c r="A5" s="21">
        <f>IFERROR(__xludf.DUMMYFUNCTION("""COMPUTED_VALUE"""),46023.0)</f>
        <v>46023</v>
      </c>
      <c r="B5" s="22" t="str">
        <f>IFERROR(__xludf.DUMMYFUNCTION("""COMPUTED_VALUE"""),"2601D004")</f>
        <v>2601D004</v>
      </c>
      <c r="C5" s="23" t="str">
        <f>IFERROR(__xludf.DUMMYFUNCTION("""COMPUTED_VALUE"""),"Berliana")</f>
        <v>Berliana</v>
      </c>
      <c r="D5" s="24" t="str">
        <f>IFERROR(__xludf.DUMMYFUNCTION("""COMPUTED_VALUE"""),"085806069951")</f>
        <v>085806069951</v>
      </c>
      <c r="E5" s="14" t="str">
        <f>IFERROR(__xludf.DUMMYFUNCTION("""COMPUTED_VALUE"""),"Instagram")</f>
        <v>Instagram</v>
      </c>
      <c r="F5" s="14" t="str">
        <f>IFERROR(__xludf.DUMMYFUNCTION("""COMPUTED_VALUE"""),"Gagal")</f>
        <v>Gagal</v>
      </c>
      <c r="G5" s="15" t="str">
        <f>IFERROR(__xludf.DUMMYFUNCTION("""COMPUTED_VALUE"""),"one day trip")</f>
        <v>one day trip</v>
      </c>
      <c r="H5" s="26"/>
      <c r="I5" s="27"/>
      <c r="J5" s="33"/>
      <c r="K5" s="36" t="str">
        <f>IFERROR(__xludf.DUMMYFUNCTION("""COMPUTED_VALUE"""),"Tidak jawab")</f>
        <v>Tidak jawab</v>
      </c>
      <c r="L5" s="23"/>
      <c r="M5" s="20"/>
      <c r="N5" s="20"/>
      <c r="O5" s="20"/>
      <c r="P5" s="20"/>
    </row>
    <row r="6">
      <c r="A6" s="11">
        <f>IFERROR(__xludf.DUMMYFUNCTION("""COMPUTED_VALUE"""),46023.0)</f>
        <v>46023</v>
      </c>
      <c r="B6" s="12" t="str">
        <f>IFERROR(__xludf.DUMMYFUNCTION("""COMPUTED_VALUE"""),"2601D005")</f>
        <v>2601D005</v>
      </c>
      <c r="C6" s="10" t="str">
        <f>IFERROR(__xludf.DUMMYFUNCTION("""COMPUTED_VALUE"""),"Muhammad Amrullah a.k")</f>
        <v>Muhammad Amrullah a.k</v>
      </c>
      <c r="D6" s="13" t="str">
        <f>IFERROR(__xludf.DUMMYFUNCTION("""COMPUTED_VALUE"""),"081393712742")</f>
        <v>081393712742</v>
      </c>
      <c r="E6" s="14" t="str">
        <f>IFERROR(__xludf.DUMMYFUNCTION("""COMPUTED_VALUE"""),"Instagram")</f>
        <v>Instagram</v>
      </c>
      <c r="F6" s="14" t="str">
        <f>IFERROR(__xludf.DUMMYFUNCTION("""COMPUTED_VALUE"""),"Gagal")</f>
        <v>Gagal</v>
      </c>
      <c r="G6" s="14" t="str">
        <f>IFERROR(__xludf.DUMMYFUNCTION("""COMPUTED_VALUE"""),"custom 3H2M")</f>
        <v>custom 3H2M</v>
      </c>
      <c r="H6" s="16"/>
      <c r="I6" s="17">
        <f>IFERROR(__xludf.DUMMYFUNCTION("""COMPUTED_VALUE"""),7.0)</f>
        <v>7</v>
      </c>
      <c r="J6" s="18">
        <f>IFERROR(__xludf.DUMMYFUNCTION("""COMPUTED_VALUE"""),1.1223751E7)</f>
        <v>11223751</v>
      </c>
      <c r="K6" s="19" t="str">
        <f>IFERROR(__xludf.DUMMYFUNCTION("""COMPUTED_VALUE"""),"tidak ada jawaban")</f>
        <v>tidak ada jawaban</v>
      </c>
      <c r="L6" s="10"/>
      <c r="M6" s="20"/>
      <c r="N6" s="20"/>
      <c r="O6" s="20"/>
      <c r="P6" s="20"/>
    </row>
    <row r="7">
      <c r="A7" s="21">
        <f>IFERROR(__xludf.DUMMYFUNCTION("""COMPUTED_VALUE"""),46023.0)</f>
        <v>46023</v>
      </c>
      <c r="B7" s="22" t="str">
        <f>IFERROR(__xludf.DUMMYFUNCTION("""COMPUTED_VALUE"""),"2601D006")</f>
        <v>2601D006</v>
      </c>
      <c r="C7" s="23" t="str">
        <f>IFERROR(__xludf.DUMMYFUNCTION("""COMPUTED_VALUE"""),"Prima Gita")</f>
        <v>Prima Gita</v>
      </c>
      <c r="D7" s="24" t="str">
        <f>IFERROR(__xludf.DUMMYFUNCTION("""COMPUTED_VALUE"""),"081284286428")</f>
        <v>081284286428</v>
      </c>
      <c r="E7" s="14" t="str">
        <f>IFERROR(__xludf.DUMMYFUNCTION("""COMPUTED_VALUE"""),"Instagram")</f>
        <v>Instagram</v>
      </c>
      <c r="F7" s="14" t="str">
        <f>IFERROR(__xludf.DUMMYFUNCTION("""COMPUTED_VALUE"""),"Gagal")</f>
        <v>Gagal</v>
      </c>
      <c r="G7" s="14" t="str">
        <f>IFERROR(__xludf.DUMMYFUNCTION("""COMPUTED_VALUE"""),"2H1M opsi a")</f>
        <v>2H1M opsi a</v>
      </c>
      <c r="H7" s="26"/>
      <c r="I7" s="27"/>
      <c r="J7" s="28"/>
      <c r="K7" s="30" t="str">
        <f>IFERROR(__xludf.DUMMYFUNCTION("""COMPUTED_VALUE"""),"Tidak jawab")</f>
        <v>Tidak jawab</v>
      </c>
      <c r="L7" s="23"/>
      <c r="M7" s="20"/>
      <c r="N7" s="20"/>
      <c r="O7" s="20"/>
      <c r="P7" s="20"/>
    </row>
    <row r="8">
      <c r="A8" s="11">
        <f>IFERROR(__xludf.DUMMYFUNCTION("""COMPUTED_VALUE"""),46023.0)</f>
        <v>46023</v>
      </c>
      <c r="B8" s="12" t="str">
        <f>IFERROR(__xludf.DUMMYFUNCTION("""COMPUTED_VALUE"""),"2601D007")</f>
        <v>2601D007</v>
      </c>
      <c r="C8" s="10" t="str">
        <f>IFERROR(__xludf.DUMMYFUNCTION("""COMPUTED_VALUE"""),"Mia Bella")</f>
        <v>Mia Bella</v>
      </c>
      <c r="D8" s="13" t="str">
        <f>IFERROR(__xludf.DUMMYFUNCTION("""COMPUTED_VALUE"""),"08133977533")</f>
        <v>08133977533</v>
      </c>
      <c r="E8" s="14" t="str">
        <f>IFERROR(__xludf.DUMMYFUNCTION("""COMPUTED_VALUE"""),"Instagram")</f>
        <v>Instagram</v>
      </c>
      <c r="F8" s="14" t="str">
        <f>IFERROR(__xludf.DUMMYFUNCTION("""COMPUTED_VALUE"""),"Gagal")</f>
        <v>Gagal</v>
      </c>
      <c r="G8" s="14" t="str">
        <f>IFERROR(__xludf.DUMMYFUNCTION("""COMPUTED_VALUE"""),"Ijen Baluran one day trip")</f>
        <v>Ijen Baluran one day trip</v>
      </c>
      <c r="H8" s="16">
        <f>IFERROR(__xludf.DUMMYFUNCTION("""COMPUTED_VALUE"""),46026.0)</f>
        <v>46026</v>
      </c>
      <c r="I8" s="17">
        <f>IFERROR(__xludf.DUMMYFUNCTION("""COMPUTED_VALUE"""),2.0)</f>
        <v>2</v>
      </c>
      <c r="J8" s="18"/>
      <c r="K8" s="46" t="str">
        <f>IFERROR(__xludf.DUMMYFUNCTION("""COMPUTED_VALUE"""),"1 wni 1 wna, tdk jawab")</f>
        <v>1 wni 1 wna, tdk jawab</v>
      </c>
      <c r="L8" s="10"/>
      <c r="M8" s="20"/>
      <c r="N8" s="20"/>
      <c r="O8" s="20"/>
      <c r="P8" s="20"/>
    </row>
    <row r="9">
      <c r="A9" s="21">
        <f>IFERROR(__xludf.DUMMYFUNCTION("""COMPUTED_VALUE"""),46023.0)</f>
        <v>46023</v>
      </c>
      <c r="B9" s="22" t="str">
        <f>IFERROR(__xludf.DUMMYFUNCTION("""COMPUTED_VALUE"""),"2601D008")</f>
        <v>2601D008</v>
      </c>
      <c r="C9" s="23" t="str">
        <f>IFERROR(__xludf.DUMMYFUNCTION("""COMPUTED_VALUE"""),"Kai")</f>
        <v>Kai</v>
      </c>
      <c r="D9" s="24" t="str">
        <f>IFERROR(__xludf.DUMMYFUNCTION("""COMPUTED_VALUE"""),"081399930501")</f>
        <v>081399930501</v>
      </c>
      <c r="E9" s="14" t="str">
        <f>IFERROR(__xludf.DUMMYFUNCTION("""COMPUTED_VALUE"""),"Instagram")</f>
        <v>Instagram</v>
      </c>
      <c r="F9" s="14" t="str">
        <f>IFERROR(__xludf.DUMMYFUNCTION("""COMPUTED_VALUE"""),"Gagal")</f>
        <v>Gagal</v>
      </c>
      <c r="G9" s="25" t="str">
        <f>IFERROR(__xludf.DUMMYFUNCTION("""COMPUTED_VALUE"""),"ot 3h2m")</f>
        <v>ot 3h2m</v>
      </c>
      <c r="H9" s="26"/>
      <c r="I9" s="27"/>
      <c r="J9" s="28"/>
      <c r="K9" s="36" t="str">
        <f>IFERROR(__xludf.DUMMYFUNCTION("""COMPUTED_VALUE"""),"lewat tanggal")</f>
        <v>lewat tanggal</v>
      </c>
      <c r="L9" s="49"/>
      <c r="M9" s="20"/>
      <c r="N9" s="20"/>
      <c r="O9" s="20"/>
      <c r="P9" s="20"/>
    </row>
    <row r="10">
      <c r="A10" s="11">
        <f>IFERROR(__xludf.DUMMYFUNCTION("""COMPUTED_VALUE"""),46024.0)</f>
        <v>46024</v>
      </c>
      <c r="B10" s="12" t="str">
        <f>IFERROR(__xludf.DUMMYFUNCTION("""COMPUTED_VALUE"""),"2601D009")</f>
        <v>2601D009</v>
      </c>
      <c r="C10" s="10" t="str">
        <f>IFERROR(__xludf.DUMMYFUNCTION("""COMPUTED_VALUE"""),"Iin Noor Chozin")</f>
        <v>Iin Noor Chozin</v>
      </c>
      <c r="D10" s="13" t="str">
        <f>IFERROR(__xludf.DUMMYFUNCTION("""COMPUTED_VALUE"""),"081233197590")</f>
        <v>081233197590</v>
      </c>
      <c r="E10" s="14" t="str">
        <f>IFERROR(__xludf.DUMMYFUNCTION("""COMPUTED_VALUE"""),"Website")</f>
        <v>Website</v>
      </c>
      <c r="F10" s="14" t="str">
        <f>IFERROR(__xludf.DUMMYFUNCTION("""COMPUTED_VALUE"""),"Closing")</f>
        <v>Closing</v>
      </c>
      <c r="G10" s="14" t="str">
        <f>IFERROR(__xludf.DUMMYFUNCTION("""COMPUTED_VALUE"""),"Trip Menjangan Tabuhan")</f>
        <v>Trip Menjangan Tabuhan</v>
      </c>
      <c r="H10" s="16">
        <f>IFERROR(__xludf.DUMMYFUNCTION("""COMPUTED_VALUE"""),46025.0)</f>
        <v>46025</v>
      </c>
      <c r="I10" s="17">
        <f>IFERROR(__xludf.DUMMYFUNCTION("""COMPUTED_VALUE"""),6.0)</f>
        <v>6</v>
      </c>
      <c r="J10" s="18">
        <f>IFERROR(__xludf.DUMMYFUNCTION("""COMPUTED_VALUE"""),2460000.0)</f>
        <v>2460000</v>
      </c>
      <c r="K10" s="46" t="str">
        <f>IFERROR(__xludf.DUMMYFUNCTION("""COMPUTED_VALUE"""),"menjangan tabuhan")</f>
        <v>menjangan tabuhan</v>
      </c>
      <c r="L10" s="10"/>
      <c r="M10" s="20"/>
      <c r="N10" s="20"/>
      <c r="O10" s="20"/>
      <c r="P10" s="20"/>
    </row>
    <row r="11">
      <c r="A11" s="21">
        <f>IFERROR(__xludf.DUMMYFUNCTION("""COMPUTED_VALUE"""),46024.0)</f>
        <v>46024</v>
      </c>
      <c r="B11" s="22" t="str">
        <f>IFERROR(__xludf.DUMMYFUNCTION("""COMPUTED_VALUE"""),"2601D010")</f>
        <v>2601D010</v>
      </c>
      <c r="C11" s="23" t="str">
        <f>IFERROR(__xludf.DUMMYFUNCTION("""COMPUTED_VALUE"""),"Dia Pur's")</f>
        <v>Dia Pur's</v>
      </c>
      <c r="D11" s="24" t="str">
        <f>IFERROR(__xludf.DUMMYFUNCTION("""COMPUTED_VALUE"""),"082360390604")</f>
        <v>082360390604</v>
      </c>
      <c r="E11" s="14" t="str">
        <f>IFERROR(__xludf.DUMMYFUNCTION("""COMPUTED_VALUE"""),"Instagram")</f>
        <v>Instagram</v>
      </c>
      <c r="F11" s="14" t="str">
        <f>IFERROR(__xludf.DUMMYFUNCTION("""COMPUTED_VALUE"""),"Gagal")</f>
        <v>Gagal</v>
      </c>
      <c r="G11" s="14" t="str">
        <f>IFERROR(__xludf.DUMMYFUNCTION("""COMPUTED_VALUE"""),"custom 2h1m")</f>
        <v>custom 2h1m</v>
      </c>
      <c r="H11" s="26"/>
      <c r="I11" s="27">
        <f>IFERROR(__xludf.DUMMYFUNCTION("""COMPUTED_VALUE"""),4.0)</f>
        <v>4</v>
      </c>
      <c r="J11" s="28"/>
      <c r="K11" s="30" t="str">
        <f>IFERROR(__xludf.DUMMYFUNCTION("""COMPUTED_VALUE"""),"tanggal lewat")</f>
        <v>tanggal lewat</v>
      </c>
      <c r="L11" s="23"/>
      <c r="M11" s="20"/>
      <c r="N11" s="20"/>
      <c r="O11" s="20"/>
      <c r="P11" s="20"/>
    </row>
    <row r="12">
      <c r="A12" s="11">
        <f>IFERROR(__xludf.DUMMYFUNCTION("""COMPUTED_VALUE"""),46024.0)</f>
        <v>46024</v>
      </c>
      <c r="B12" s="12" t="str">
        <f>IFERROR(__xludf.DUMMYFUNCTION("""COMPUTED_VALUE"""),"2601D011")</f>
        <v>2601D011</v>
      </c>
      <c r="C12" s="10" t="str">
        <f>IFERROR(__xludf.DUMMYFUNCTION("""COMPUTED_VALUE"""),"Inggrid")</f>
        <v>Inggrid</v>
      </c>
      <c r="D12" s="13" t="str">
        <f>IFERROR(__xludf.DUMMYFUNCTION("""COMPUTED_VALUE"""),"085156507128")</f>
        <v>085156507128</v>
      </c>
      <c r="E12" s="14" t="str">
        <f>IFERROR(__xludf.DUMMYFUNCTION("""COMPUTED_VALUE"""),"Instagram")</f>
        <v>Instagram</v>
      </c>
      <c r="F12" s="14" t="str">
        <f>IFERROR(__xludf.DUMMYFUNCTION("""COMPUTED_VALUE"""),"Gagal")</f>
        <v>Gagal</v>
      </c>
      <c r="G12" s="14" t="str">
        <f>IFERROR(__xludf.DUMMYFUNCTION("""COMPUTED_VALUE"""),"OT Januari")</f>
        <v>OT Januari</v>
      </c>
      <c r="H12" s="16"/>
      <c r="I12" s="17"/>
      <c r="J12" s="54"/>
      <c r="K12" s="46" t="str">
        <f>IFERROR(__xludf.DUMMYFUNCTION("""COMPUTED_VALUE"""),"tidak jawab")</f>
        <v>tidak jawab</v>
      </c>
      <c r="L12" s="10"/>
      <c r="M12" s="20"/>
      <c r="N12" s="20"/>
      <c r="O12" s="20"/>
      <c r="P12" s="20"/>
    </row>
    <row r="13">
      <c r="A13" s="21">
        <f>IFERROR(__xludf.DUMMYFUNCTION("""COMPUTED_VALUE"""),46024.0)</f>
        <v>46024</v>
      </c>
      <c r="B13" s="22" t="str">
        <f>IFERROR(__xludf.DUMMYFUNCTION("""COMPUTED_VALUE"""),"2601D012")</f>
        <v>2601D012</v>
      </c>
      <c r="C13" s="23" t="str">
        <f>IFERROR(__xludf.DUMMYFUNCTION("""COMPUTED_VALUE"""),"Kartika")</f>
        <v>Kartika</v>
      </c>
      <c r="D13" s="24" t="str">
        <f>IFERROR(__xludf.DUMMYFUNCTION("""COMPUTED_VALUE"""),"082143617625")</f>
        <v>082143617625</v>
      </c>
      <c r="E13" s="14" t="str">
        <f>IFERROR(__xludf.DUMMYFUNCTION("""COMPUTED_VALUE"""),"Website")</f>
        <v>Website</v>
      </c>
      <c r="F13" s="14" t="str">
        <f>IFERROR(__xludf.DUMMYFUNCTION("""COMPUTED_VALUE"""),"Closing")</f>
        <v>Closing</v>
      </c>
      <c r="G13" s="14" t="str">
        <f>IFERROR(__xludf.DUMMYFUNCTION("""COMPUTED_VALUE"""),"OT Menjangan Tabuhan")</f>
        <v>OT Menjangan Tabuhan</v>
      </c>
      <c r="H13" s="26">
        <f>IFERROR(__xludf.DUMMYFUNCTION("""COMPUTED_VALUE"""),46033.0)</f>
        <v>46033</v>
      </c>
      <c r="I13" s="27">
        <f>IFERROR(__xludf.DUMMYFUNCTION("""COMPUTED_VALUE"""),4.0)</f>
        <v>4</v>
      </c>
      <c r="J13" s="33">
        <f>IFERROR(__xludf.DUMMYFUNCTION("""COMPUTED_VALUE"""),1180000.0)</f>
        <v>1180000</v>
      </c>
      <c r="K13" s="30"/>
      <c r="L13" s="23"/>
      <c r="M13" s="20"/>
      <c r="N13" s="20"/>
      <c r="O13" s="20"/>
      <c r="P13" s="20"/>
    </row>
    <row r="14">
      <c r="A14" s="11">
        <f>IFERROR(__xludf.DUMMYFUNCTION("""COMPUTED_VALUE"""),46024.0)</f>
        <v>46024</v>
      </c>
      <c r="B14" s="12" t="str">
        <f>IFERROR(__xludf.DUMMYFUNCTION("""COMPUTED_VALUE"""),"2601D013")</f>
        <v>2601D013</v>
      </c>
      <c r="C14" s="10" t="str">
        <f>IFERROR(__xludf.DUMMYFUNCTION("""COMPUTED_VALUE"""),"Diyatrana")</f>
        <v>Diyatrana</v>
      </c>
      <c r="D14" s="13" t="str">
        <f>IFERROR(__xludf.DUMMYFUNCTION("""COMPUTED_VALUE"""),"085729990708")</f>
        <v>085729990708</v>
      </c>
      <c r="E14" s="14" t="str">
        <f>IFERROR(__xludf.DUMMYFUNCTION("""COMPUTED_VALUE"""),"Instagram")</f>
        <v>Instagram</v>
      </c>
      <c r="F14" s="14" t="str">
        <f>IFERROR(__xludf.DUMMYFUNCTION("""COMPUTED_VALUE"""),"Gagal")</f>
        <v>Gagal</v>
      </c>
      <c r="G14" s="14" t="str">
        <f>IFERROR(__xludf.DUMMYFUNCTION("""COMPUTED_VALUE"""),"3H2M opsi A")</f>
        <v>3H2M opsi A</v>
      </c>
      <c r="H14" s="16"/>
      <c r="I14" s="17"/>
      <c r="J14" s="54"/>
      <c r="K14" s="46" t="str">
        <f>IFERROR(__xludf.DUMMYFUNCTION("""COMPUTED_VALUE"""),"tidak jawab")</f>
        <v>tidak jawab</v>
      </c>
      <c r="L14" s="10"/>
      <c r="M14" s="20"/>
      <c r="N14" s="20"/>
      <c r="O14" s="20"/>
      <c r="P14" s="20"/>
    </row>
    <row r="15">
      <c r="A15" s="21">
        <f>IFERROR(__xludf.DUMMYFUNCTION("""COMPUTED_VALUE"""),46024.0)</f>
        <v>46024</v>
      </c>
      <c r="B15" s="22" t="str">
        <f>IFERROR(__xludf.DUMMYFUNCTION("""COMPUTED_VALUE"""),"2601D014")</f>
        <v>2601D014</v>
      </c>
      <c r="C15" s="23" t="str">
        <f>IFERROR(__xludf.DUMMYFUNCTION("""COMPUTED_VALUE"""),"Peni")</f>
        <v>Peni</v>
      </c>
      <c r="D15" s="24" t="str">
        <f>IFERROR(__xludf.DUMMYFUNCTION("""COMPUTED_VALUE"""),"081553992808")</f>
        <v>081553992808</v>
      </c>
      <c r="E15" s="14" t="str">
        <f>IFERROR(__xludf.DUMMYFUNCTION("""COMPUTED_VALUE"""),"Instagram")</f>
        <v>Instagram</v>
      </c>
      <c r="F15" s="14" t="str">
        <f>IFERROR(__xludf.DUMMYFUNCTION("""COMPUTED_VALUE"""),"Gagal")</f>
        <v>Gagal</v>
      </c>
      <c r="G15" s="14" t="str">
        <f>IFERROR(__xludf.DUMMYFUNCTION("""COMPUTED_VALUE"""),"Trip Pulau Bedil")</f>
        <v>Trip Pulau Bedil</v>
      </c>
      <c r="H15" s="26">
        <f>IFERROR(__xludf.DUMMYFUNCTION("""COMPUTED_VALUE"""),46104.0)</f>
        <v>46104</v>
      </c>
      <c r="I15" s="27">
        <f>IFERROR(__xludf.DUMMYFUNCTION("""COMPUTED_VALUE"""),4.0)</f>
        <v>4</v>
      </c>
      <c r="J15" s="33">
        <f>IFERROR(__xludf.DUMMYFUNCTION("""COMPUTED_VALUE"""),1408000.0)</f>
        <v>1408000</v>
      </c>
      <c r="K15" s="30" t="str">
        <f>IFERROR(__xludf.DUMMYFUNCTION("""COMPUTED_VALUE"""),"pindah haluan liburan")</f>
        <v>pindah haluan liburan</v>
      </c>
      <c r="L15" s="23"/>
      <c r="M15" s="20"/>
      <c r="N15" s="20"/>
      <c r="O15" s="20"/>
      <c r="P15" s="20"/>
    </row>
    <row r="16">
      <c r="A16" s="11">
        <f>IFERROR(__xludf.DUMMYFUNCTION("""COMPUTED_VALUE"""),46024.0)</f>
        <v>46024</v>
      </c>
      <c r="B16" s="12" t="str">
        <f>IFERROR(__xludf.DUMMYFUNCTION("""COMPUTED_VALUE"""),"2601D015")</f>
        <v>2601D015</v>
      </c>
      <c r="C16" s="10" t="str">
        <f>IFERROR(__xludf.DUMMYFUNCTION("""COMPUTED_VALUE"""),"Kirana")</f>
        <v>Kirana</v>
      </c>
      <c r="D16" s="13" t="str">
        <f>IFERROR(__xludf.DUMMYFUNCTION("""COMPUTED_VALUE"""),"085777785090")</f>
        <v>085777785090</v>
      </c>
      <c r="E16" s="14" t="str">
        <f>IFERROR(__xludf.DUMMYFUNCTION("""COMPUTED_VALUE"""),"Website")</f>
        <v>Website</v>
      </c>
      <c r="F16" s="14" t="str">
        <f>IFERROR(__xludf.DUMMYFUNCTION("""COMPUTED_VALUE"""),"Review")</f>
        <v>Review</v>
      </c>
      <c r="G16" s="15" t="str">
        <f>IFERROR(__xludf.DUMMYFUNCTION("""COMPUTED_VALUE"""),"custom 2h1m")</f>
        <v>custom 2h1m</v>
      </c>
      <c r="H16" s="16"/>
      <c r="I16" s="17">
        <f>IFERROR(__xludf.DUMMYFUNCTION("""COMPUTED_VALUE"""),40.0)</f>
        <v>40</v>
      </c>
      <c r="J16" s="18">
        <f>IFERROR(__xludf.DUMMYFUNCTION("""COMPUTED_VALUE"""),4.10244E7)</f>
        <v>41024400</v>
      </c>
      <c r="K16" s="19" t="str">
        <f>IFERROR(__xludf.DUMMYFUNCTION("""COMPUTED_VALUE"""),"MINTA PAKET, fu akhir januari")</f>
        <v>MINTA PAKET, fu akhir januari</v>
      </c>
      <c r="L16" s="10"/>
      <c r="M16" s="20"/>
      <c r="N16" s="20"/>
      <c r="O16" s="20"/>
      <c r="P16" s="20"/>
    </row>
    <row r="17">
      <c r="A17" s="21">
        <f>IFERROR(__xludf.DUMMYFUNCTION("""COMPUTED_VALUE"""),46024.0)</f>
        <v>46024</v>
      </c>
      <c r="B17" s="22" t="str">
        <f>IFERROR(__xludf.DUMMYFUNCTION("""COMPUTED_VALUE"""),"2601D016")</f>
        <v>2601D016</v>
      </c>
      <c r="C17" s="23" t="str">
        <f>IFERROR(__xludf.DUMMYFUNCTION("""COMPUTED_VALUE"""),"Ika W/ Ibu ms Nasir")</f>
        <v>Ika W/ Ibu ms Nasir</v>
      </c>
      <c r="D17" s="24" t="str">
        <f>IFERROR(__xludf.DUMMYFUNCTION("""COMPUTED_VALUE"""),"0882007680200")</f>
        <v>0882007680200</v>
      </c>
      <c r="E17" s="14" t="str">
        <f>IFERROR(__xludf.DUMMYFUNCTION("""COMPUTED_VALUE"""),"Website")</f>
        <v>Website</v>
      </c>
      <c r="F17" s="14" t="str">
        <f>IFERROR(__xludf.DUMMYFUNCTION("""COMPUTED_VALUE"""),"Gagal")</f>
        <v>Gagal</v>
      </c>
      <c r="G17" s="14" t="str">
        <f>IFERROR(__xludf.DUMMYFUNCTION("""COMPUTED_VALUE"""),"2H1M opsi C")</f>
        <v>2H1M opsi C</v>
      </c>
      <c r="H17" s="26">
        <f>IFERROR(__xludf.DUMMYFUNCTION("""COMPUTED_VALUE"""),46170.0)</f>
        <v>46170</v>
      </c>
      <c r="I17" s="27">
        <f>IFERROR(__xludf.DUMMYFUNCTION("""COMPUTED_VALUE"""),17.0)</f>
        <v>17</v>
      </c>
      <c r="J17" s="28"/>
      <c r="K17" s="36" t="str">
        <f>IFERROR(__xludf.DUMMYFUNCTION("""COMPUTED_VALUE"""),"ganti ke bromo")</f>
        <v>ganti ke bromo</v>
      </c>
      <c r="L17" s="49"/>
      <c r="M17" s="20"/>
      <c r="N17" s="20"/>
      <c r="O17" s="20"/>
      <c r="P17" s="20"/>
    </row>
    <row r="18">
      <c r="A18" s="11">
        <f>IFERROR(__xludf.DUMMYFUNCTION("""COMPUTED_VALUE"""),46024.0)</f>
        <v>46024</v>
      </c>
      <c r="B18" s="12" t="str">
        <f>IFERROR(__xludf.DUMMYFUNCTION("""COMPUTED_VALUE"""),"2601D017")</f>
        <v>2601D017</v>
      </c>
      <c r="C18" s="10" t="str">
        <f>IFERROR(__xludf.DUMMYFUNCTION("""COMPUTED_VALUE"""),"Karen")</f>
        <v>Karen</v>
      </c>
      <c r="D18" s="13" t="str">
        <f>IFERROR(__xludf.DUMMYFUNCTION("""COMPUTED_VALUE"""),"087772484641")</f>
        <v>087772484641</v>
      </c>
      <c r="E18" s="14" t="str">
        <f>IFERROR(__xludf.DUMMYFUNCTION("""COMPUTED_VALUE"""),"Instagram")</f>
        <v>Instagram</v>
      </c>
      <c r="F18" s="14" t="str">
        <f>IFERROR(__xludf.DUMMYFUNCTION("""COMPUTED_VALUE"""),"Gagal")</f>
        <v>Gagal</v>
      </c>
      <c r="G18" s="14" t="str">
        <f>IFERROR(__xludf.DUMMYFUNCTION("""COMPUTED_VALUE"""),"2 paket open trip")</f>
        <v>2 paket open trip</v>
      </c>
      <c r="H18" s="16"/>
      <c r="I18" s="17">
        <f>IFERROR(__xludf.DUMMYFUNCTION("""COMPUTED_VALUE"""),2.0)</f>
        <v>2</v>
      </c>
      <c r="J18" s="54">
        <f>IFERROR(__xludf.DUMMYFUNCTION("""COMPUTED_VALUE"""),1050000.0)</f>
        <v>1050000</v>
      </c>
      <c r="K18" s="19" t="str">
        <f>IFERROR(__xludf.DUMMYFUNCTION("""COMPUTED_VALUE"""),"follow up tanggal 15 februari")</f>
        <v>follow up tanggal 15 februari</v>
      </c>
      <c r="L18" s="76"/>
      <c r="M18" s="20"/>
      <c r="N18" s="20"/>
      <c r="O18" s="20"/>
      <c r="P18" s="20"/>
    </row>
    <row r="19">
      <c r="A19" s="21">
        <f>IFERROR(__xludf.DUMMYFUNCTION("""COMPUTED_VALUE"""),46024.0)</f>
        <v>46024</v>
      </c>
      <c r="B19" s="22" t="str">
        <f>IFERROR(__xludf.DUMMYFUNCTION("""COMPUTED_VALUE"""),"2601D018")</f>
        <v>2601D018</v>
      </c>
      <c r="C19" s="23" t="str">
        <f>IFERROR(__xludf.DUMMYFUNCTION("""COMPUTED_VALUE"""),"Tiyas")</f>
        <v>Tiyas</v>
      </c>
      <c r="D19" s="24" t="str">
        <f>IFERROR(__xludf.DUMMYFUNCTION("""COMPUTED_VALUE"""),"082136195477")</f>
        <v>082136195477</v>
      </c>
      <c r="E19" s="14" t="str">
        <f>IFERROR(__xludf.DUMMYFUNCTION("""COMPUTED_VALUE"""),"Lainnya")</f>
        <v>Lainnya</v>
      </c>
      <c r="F19" s="14" t="str">
        <f>IFERROR(__xludf.DUMMYFUNCTION("""COMPUTED_VALUE"""),"Gagal")</f>
        <v>Gagal</v>
      </c>
      <c r="G19" s="25" t="str">
        <f>IFERROR(__xludf.DUMMYFUNCTION("""COMPUTED_VALUE"""),"Custom 2h1m")</f>
        <v>Custom 2h1m</v>
      </c>
      <c r="H19" s="78"/>
      <c r="I19" s="27">
        <f>IFERROR(__xludf.DUMMYFUNCTION("""COMPUTED_VALUE"""),2.0)</f>
        <v>2</v>
      </c>
      <c r="J19" s="28"/>
      <c r="K19" s="36" t="str">
        <f>IFERROR(__xludf.DUMMYFUNCTION("""COMPUTED_VALUE"""),"Minta Paket, fu tgl 10")</f>
        <v>Minta Paket, fu tgl 10</v>
      </c>
      <c r="L19" s="49"/>
      <c r="M19" s="20"/>
      <c r="N19" s="20"/>
      <c r="O19" s="20"/>
      <c r="P19" s="20"/>
    </row>
    <row r="20">
      <c r="A20" s="11">
        <f>IFERROR(__xludf.DUMMYFUNCTION("""COMPUTED_VALUE"""),46025.0)</f>
        <v>46025</v>
      </c>
      <c r="B20" s="12" t="str">
        <f>IFERROR(__xludf.DUMMYFUNCTION("""COMPUTED_VALUE"""),"2601D019")</f>
        <v>2601D019</v>
      </c>
      <c r="C20" s="76" t="str">
        <f>IFERROR(__xludf.DUMMYFUNCTION("""COMPUTED_VALUE"""),"Beta Amrina")</f>
        <v>Beta Amrina</v>
      </c>
      <c r="D20" s="13" t="str">
        <f>IFERROR(__xludf.DUMMYFUNCTION("""COMPUTED_VALUE"""),"082327577538")</f>
        <v>082327577538</v>
      </c>
      <c r="E20" s="14" t="str">
        <f>IFERROR(__xludf.DUMMYFUNCTION("""COMPUTED_VALUE"""),"Instagram")</f>
        <v>Instagram</v>
      </c>
      <c r="F20" s="14" t="str">
        <f>IFERROR(__xludf.DUMMYFUNCTION("""COMPUTED_VALUE"""),"Gagal")</f>
        <v>Gagal</v>
      </c>
      <c r="G20" s="25" t="str">
        <f>IFERROR(__xludf.DUMMYFUNCTION("""COMPUTED_VALUE"""),"OT")</f>
        <v>OT</v>
      </c>
      <c r="H20" s="16"/>
      <c r="I20" s="80">
        <f>IFERROR(__xludf.DUMMYFUNCTION("""COMPUTED_VALUE"""),3.0)</f>
        <v>3</v>
      </c>
      <c r="J20" s="54">
        <f>IFERROR(__xludf.DUMMYFUNCTION("""COMPUTED_VALUE"""),4800000.0)</f>
        <v>4800000</v>
      </c>
      <c r="K20" s="19" t="str">
        <f>IFERROR(__xludf.DUMMYFUNCTION("""COMPUTED_VALUE"""),"tidak jawab")</f>
        <v>tidak jawab</v>
      </c>
      <c r="L20" s="76"/>
      <c r="M20" s="20"/>
      <c r="N20" s="20"/>
      <c r="O20" s="20"/>
      <c r="P20" s="20"/>
    </row>
    <row r="21">
      <c r="A21" s="21">
        <f>IFERROR(__xludf.DUMMYFUNCTION("""COMPUTED_VALUE"""),46025.0)</f>
        <v>46025</v>
      </c>
      <c r="B21" s="22" t="str">
        <f>IFERROR(__xludf.DUMMYFUNCTION("""COMPUTED_VALUE"""),"2601D020")</f>
        <v>2601D020</v>
      </c>
      <c r="C21" s="23" t="str">
        <f>IFERROR(__xludf.DUMMYFUNCTION("""COMPUTED_VALUE"""),"Wa ")</f>
        <v>Wa </v>
      </c>
      <c r="D21" s="24" t="str">
        <f>IFERROR(__xludf.DUMMYFUNCTION("""COMPUTED_VALUE"""),"085641568779")</f>
        <v>085641568779</v>
      </c>
      <c r="E21" s="14" t="str">
        <f>IFERROR(__xludf.DUMMYFUNCTION("""COMPUTED_VALUE"""),"Lainnya")</f>
        <v>Lainnya</v>
      </c>
      <c r="F21" s="14" t="str">
        <f>IFERROR(__xludf.DUMMYFUNCTION("""COMPUTED_VALUE"""),"Gagal")</f>
        <v>Gagal</v>
      </c>
      <c r="G21" s="14" t="str">
        <f>IFERROR(__xludf.DUMMYFUNCTION("""COMPUTED_VALUE"""),"ot djawatan baluran")</f>
        <v>ot djawatan baluran</v>
      </c>
      <c r="H21" s="26"/>
      <c r="I21" s="27"/>
      <c r="J21" s="28"/>
      <c r="K21" s="36" t="str">
        <f>IFERROR(__xludf.DUMMYFUNCTION("""COMPUTED_VALUE"""),"tidak jawab")</f>
        <v>tidak jawab</v>
      </c>
      <c r="L21" s="49"/>
      <c r="M21" s="20"/>
      <c r="N21" s="20"/>
      <c r="O21" s="20"/>
      <c r="P21" s="20"/>
    </row>
    <row r="22">
      <c r="A22" s="11">
        <f>IFERROR(__xludf.DUMMYFUNCTION("""COMPUTED_VALUE"""),46025.0)</f>
        <v>46025</v>
      </c>
      <c r="B22" s="12" t="str">
        <f>IFERROR(__xludf.DUMMYFUNCTION("""COMPUTED_VALUE"""),"2601D021")</f>
        <v>2601D021</v>
      </c>
      <c r="C22" s="10" t="str">
        <f>IFERROR(__xludf.DUMMYFUNCTION("""COMPUTED_VALUE"""),"Buds")</f>
        <v>Buds</v>
      </c>
      <c r="D22" s="13" t="str">
        <f>IFERROR(__xludf.DUMMYFUNCTION("""COMPUTED_VALUE"""),"085720585703")</f>
        <v>085720585703</v>
      </c>
      <c r="E22" s="14" t="str">
        <f>IFERROR(__xludf.DUMMYFUNCTION("""COMPUTED_VALUE"""),"Website")</f>
        <v>Website</v>
      </c>
      <c r="F22" s="14" t="str">
        <f>IFERROR(__xludf.DUMMYFUNCTION("""COMPUTED_VALUE"""),"Gagal")</f>
        <v>Gagal</v>
      </c>
      <c r="G22" s="14" t="str">
        <f>IFERROR(__xludf.DUMMYFUNCTION("""COMPUTED_VALUE"""),"Baluran private ")</f>
        <v>Baluran private </v>
      </c>
      <c r="H22" s="16"/>
      <c r="I22" s="17"/>
      <c r="J22" s="54"/>
      <c r="K22" s="46" t="str">
        <f>IFERROR(__xludf.DUMMYFUNCTION("""COMPUTED_VALUE"""),"tidak jawab")</f>
        <v>tidak jawab</v>
      </c>
      <c r="L22" s="10"/>
      <c r="M22" s="20"/>
      <c r="N22" s="20"/>
      <c r="O22" s="20"/>
      <c r="P22" s="20"/>
    </row>
    <row r="23">
      <c r="A23" s="21">
        <f>IFERROR(__xludf.DUMMYFUNCTION("""COMPUTED_VALUE"""),46025.0)</f>
        <v>46025</v>
      </c>
      <c r="B23" s="22" t="str">
        <f>IFERROR(__xludf.DUMMYFUNCTION("""COMPUTED_VALUE"""),"2601D022")</f>
        <v>2601D022</v>
      </c>
      <c r="C23" s="23" t="str">
        <f>IFERROR(__xludf.DUMMYFUNCTION("""COMPUTED_VALUE"""),"Seysa")</f>
        <v>Seysa</v>
      </c>
      <c r="D23" s="24" t="str">
        <f>IFERROR(__xludf.DUMMYFUNCTION("""COMPUTED_VALUE"""),"085886980015")</f>
        <v>085886980015</v>
      </c>
      <c r="E23" s="14" t="str">
        <f>IFERROR(__xludf.DUMMYFUNCTION("""COMPUTED_VALUE"""),"Instagram")</f>
        <v>Instagram</v>
      </c>
      <c r="F23" s="14" t="str">
        <f>IFERROR(__xludf.DUMMYFUNCTION("""COMPUTED_VALUE"""),"Gagal")</f>
        <v>Gagal</v>
      </c>
      <c r="G23" s="15" t="str">
        <f>IFERROR(__xludf.DUMMYFUNCTION("""COMPUTED_VALUE"""),"trip kawah wurung")</f>
        <v>trip kawah wurung</v>
      </c>
      <c r="H23" s="24">
        <f>IFERROR(__xludf.DUMMYFUNCTION("""COMPUTED_VALUE"""),46028.0)</f>
        <v>46028</v>
      </c>
      <c r="I23" s="27">
        <f>IFERROR(__xludf.DUMMYFUNCTION("""COMPUTED_VALUE"""),3.0)</f>
        <v>3</v>
      </c>
      <c r="J23" s="28"/>
      <c r="K23" s="30" t="str">
        <f>IFERROR(__xludf.DUMMYFUNCTION("""COMPUTED_VALUE"""),"masih pikir2 dulu, sudah lewat tgl")</f>
        <v>masih pikir2 dulu, sudah lewat tgl</v>
      </c>
      <c r="L23" s="23"/>
      <c r="M23" s="20"/>
      <c r="N23" s="20"/>
      <c r="O23" s="20"/>
      <c r="P23" s="20"/>
    </row>
    <row r="24">
      <c r="A24" s="11">
        <f>IFERROR(__xludf.DUMMYFUNCTION("""COMPUTED_VALUE"""),46025.0)</f>
        <v>46025</v>
      </c>
      <c r="B24" s="12" t="str">
        <f>IFERROR(__xludf.DUMMYFUNCTION("""COMPUTED_VALUE"""),"2601D023")</f>
        <v>2601D023</v>
      </c>
      <c r="C24" s="10" t="str">
        <f>IFERROR(__xludf.DUMMYFUNCTION("""COMPUTED_VALUE"""),"Nothing")</f>
        <v>Nothing</v>
      </c>
      <c r="D24" s="13" t="str">
        <f>IFERROR(__xludf.DUMMYFUNCTION("""COMPUTED_VALUE"""),"085820515179")</f>
        <v>085820515179</v>
      </c>
      <c r="E24" s="14" t="str">
        <f>IFERROR(__xludf.DUMMYFUNCTION("""COMPUTED_VALUE"""),"Website")</f>
        <v>Website</v>
      </c>
      <c r="F24" s="14" t="str">
        <f>IFERROR(__xludf.DUMMYFUNCTION("""COMPUTED_VALUE"""),"Gagal")</f>
        <v>Gagal</v>
      </c>
      <c r="G24" s="15" t="str">
        <f>IFERROR(__xludf.DUMMYFUNCTION("""COMPUTED_VALUE"""),"Trip Kawah Ijen")</f>
        <v>Trip Kawah Ijen</v>
      </c>
      <c r="H24" s="16"/>
      <c r="I24" s="17"/>
      <c r="J24" s="18"/>
      <c r="K24" s="19" t="str">
        <f>IFERROR(__xludf.DUMMYFUNCTION("""COMPUTED_VALUE"""),"mepo sby atau gresik")</f>
        <v>mepo sby atau gresik</v>
      </c>
      <c r="L24" s="76"/>
      <c r="M24" s="20"/>
      <c r="N24" s="20"/>
      <c r="O24" s="20"/>
      <c r="P24" s="20"/>
    </row>
    <row r="25">
      <c r="A25" s="21">
        <f>IFERROR(__xludf.DUMMYFUNCTION("""COMPUTED_VALUE"""),46025.0)</f>
        <v>46025</v>
      </c>
      <c r="B25" s="22" t="str">
        <f>IFERROR(__xludf.DUMMYFUNCTION("""COMPUTED_VALUE"""),"2601D024")</f>
        <v>2601D024</v>
      </c>
      <c r="C25" s="23" t="str">
        <f>IFERROR(__xludf.DUMMYFUNCTION("""COMPUTED_VALUE"""),"Dhevy Hariady")</f>
        <v>Dhevy Hariady</v>
      </c>
      <c r="D25" s="24" t="str">
        <f>IFERROR(__xludf.DUMMYFUNCTION("""COMPUTED_VALUE"""),"082282391601")</f>
        <v>082282391601</v>
      </c>
      <c r="E25" s="14" t="str">
        <f>IFERROR(__xludf.DUMMYFUNCTION("""COMPUTED_VALUE"""),"Instagram")</f>
        <v>Instagram</v>
      </c>
      <c r="F25" s="14" t="str">
        <f>IFERROR(__xludf.DUMMYFUNCTION("""COMPUTED_VALUE"""),"Gagal")</f>
        <v>Gagal</v>
      </c>
      <c r="G25" s="14" t="str">
        <f>IFERROR(__xludf.DUMMYFUNCTION("""COMPUTED_VALUE"""),"trip djawatan baluran")</f>
        <v>trip djawatan baluran</v>
      </c>
      <c r="H25" s="26"/>
      <c r="I25" s="27">
        <f>IFERROR(__xludf.DUMMYFUNCTION("""COMPUTED_VALUE"""),4.0)</f>
        <v>4</v>
      </c>
      <c r="J25" s="33">
        <f>IFERROR(__xludf.DUMMYFUNCTION("""COMPUTED_VALUE"""),1996000.0)</f>
        <v>1996000</v>
      </c>
      <c r="K25" s="36" t="str">
        <f>IFERROR(__xludf.DUMMYFUNCTION("""COMPUTED_VALUE"""),"tidak jadi liburan ke BWI")</f>
        <v>tidak jadi liburan ke BWI</v>
      </c>
      <c r="L25" s="81" t="str">
        <f>IFERROR(__xludf.DUMMYFUNCTION("""COMPUTED_VALUE"""),"https://docs.google.com/document/d/1wA6Vstebr_OPv-YiZuHCtRJ0dphAaw92AabZKFpW9i0/edit?tab=t.0")</f>
        <v>https://docs.google.com/document/d/1wA6Vstebr_OPv-YiZuHCtRJ0dphAaw92AabZKFpW9i0/edit?tab=t.0</v>
      </c>
      <c r="M25" s="20"/>
      <c r="N25" s="20"/>
      <c r="O25" s="20"/>
      <c r="P25" s="20"/>
    </row>
    <row r="26">
      <c r="A26" s="11">
        <f>IFERROR(__xludf.DUMMYFUNCTION("""COMPUTED_VALUE"""),46025.0)</f>
        <v>46025</v>
      </c>
      <c r="B26" s="12" t="str">
        <f>IFERROR(__xludf.DUMMYFUNCTION("""COMPUTED_VALUE"""),"2601D025")</f>
        <v>2601D025</v>
      </c>
      <c r="C26" s="10" t="str">
        <f>IFERROR(__xludf.DUMMYFUNCTION("""COMPUTED_VALUE"""),"Ratu (Bunda FazZZam)")</f>
        <v>Ratu (Bunda FazZZam)</v>
      </c>
      <c r="D26" s="13" t="str">
        <f>IFERROR(__xludf.DUMMYFUNCTION("""COMPUTED_VALUE"""),"081806567775")</f>
        <v>081806567775</v>
      </c>
      <c r="E26" s="14" t="str">
        <f>IFERROR(__xludf.DUMMYFUNCTION("""COMPUTED_VALUE"""),"Instagram")</f>
        <v>Instagram</v>
      </c>
      <c r="F26" s="14" t="str">
        <f>IFERROR(__xludf.DUMMYFUNCTION("""COMPUTED_VALUE"""),"Gagal")</f>
        <v>Gagal</v>
      </c>
      <c r="G26" s="15" t="str">
        <f>IFERROR(__xludf.DUMMYFUNCTION("""COMPUTED_VALUE"""),"OT 3H2M")</f>
        <v>OT 3H2M</v>
      </c>
      <c r="H26" s="16"/>
      <c r="I26" s="17"/>
      <c r="J26" s="18"/>
      <c r="K26" s="46" t="str">
        <f>IFERROR(__xludf.DUMMYFUNCTION("""COMPUTED_VALUE"""),"masih ngomong ke atasan")</f>
        <v>masih ngomong ke atasan</v>
      </c>
      <c r="L26" s="10"/>
      <c r="M26" s="20"/>
      <c r="N26" s="20"/>
      <c r="O26" s="20"/>
      <c r="P26" s="20"/>
    </row>
    <row r="27">
      <c r="A27" s="21">
        <f>IFERROR(__xludf.DUMMYFUNCTION("""COMPUTED_VALUE"""),46025.0)</f>
        <v>46025</v>
      </c>
      <c r="B27" s="22" t="str">
        <f>IFERROR(__xludf.DUMMYFUNCTION("""COMPUTED_VALUE"""),"2601D026")</f>
        <v>2601D026</v>
      </c>
      <c r="C27" s="23" t="str">
        <f>IFERROR(__xludf.DUMMYFUNCTION("""COMPUTED_VALUE"""),"Gilang")</f>
        <v>Gilang</v>
      </c>
      <c r="D27" s="24" t="str">
        <f>IFERROR(__xludf.DUMMYFUNCTION("""COMPUTED_VALUE"""),"081221614470")</f>
        <v>081221614470</v>
      </c>
      <c r="E27" s="14" t="str">
        <f>IFERROR(__xludf.DUMMYFUNCTION("""COMPUTED_VALUE"""),"Website")</f>
        <v>Website</v>
      </c>
      <c r="F27" s="14" t="str">
        <f>IFERROR(__xludf.DUMMYFUNCTION("""COMPUTED_VALUE"""),"Closing")</f>
        <v>Closing</v>
      </c>
      <c r="G27" s="14" t="str">
        <f>IFERROR(__xludf.DUMMYFUNCTION("""COMPUTED_VALUE"""),"Private Trip Kawah Wurung")</f>
        <v>Private Trip Kawah Wurung</v>
      </c>
      <c r="H27" s="26">
        <f>IFERROR(__xludf.DUMMYFUNCTION("""COMPUTED_VALUE"""),46026.0)</f>
        <v>46026</v>
      </c>
      <c r="I27" s="27">
        <f>IFERROR(__xludf.DUMMYFUNCTION("""COMPUTED_VALUE"""),1.0)</f>
        <v>1</v>
      </c>
      <c r="J27" s="33">
        <f>IFERROR(__xludf.DUMMYFUNCTION("""COMPUTED_VALUE"""),2318100.0)</f>
        <v>2318100</v>
      </c>
      <c r="K27" s="36"/>
      <c r="L27" s="49"/>
      <c r="M27" s="20"/>
      <c r="N27" s="20"/>
      <c r="O27" s="20"/>
      <c r="P27" s="20"/>
    </row>
    <row r="28">
      <c r="A28" s="11">
        <f>IFERROR(__xludf.DUMMYFUNCTION("""COMPUTED_VALUE"""),46025.0)</f>
        <v>46025</v>
      </c>
      <c r="B28" s="12" t="str">
        <f>IFERROR(__xludf.DUMMYFUNCTION("""COMPUTED_VALUE"""),"2601D027")</f>
        <v>2601D027</v>
      </c>
      <c r="C28" s="10" t="str">
        <f>IFERROR(__xludf.DUMMYFUNCTION("""COMPUTED_VALUE"""),"Farus nabil")</f>
        <v>Farus nabil</v>
      </c>
      <c r="D28" s="13" t="str">
        <f>IFERROR(__xludf.DUMMYFUNCTION("""COMPUTED_VALUE"""),"081293944286")</f>
        <v>081293944286</v>
      </c>
      <c r="E28" s="14" t="str">
        <f>IFERROR(__xludf.DUMMYFUNCTION("""COMPUTED_VALUE"""),"Instagram")</f>
        <v>Instagram</v>
      </c>
      <c r="F28" s="14" t="str">
        <f>IFERROR(__xludf.DUMMYFUNCTION("""COMPUTED_VALUE"""),"Closing")</f>
        <v>Closing</v>
      </c>
      <c r="G28" s="25" t="str">
        <f>IFERROR(__xludf.DUMMYFUNCTION("""COMPUTED_VALUE"""),"Private Trip Menjangan Tabuhan")</f>
        <v>Private Trip Menjangan Tabuhan</v>
      </c>
      <c r="H28" s="16">
        <f>IFERROR(__xludf.DUMMYFUNCTION("""COMPUTED_VALUE"""),46032.0)</f>
        <v>46032</v>
      </c>
      <c r="I28" s="17">
        <f>IFERROR(__xludf.DUMMYFUNCTION("""COMPUTED_VALUE"""),5.0)</f>
        <v>5</v>
      </c>
      <c r="J28" s="18">
        <f>IFERROR(__xludf.DUMMYFUNCTION("""COMPUTED_VALUE"""),2300000.0)</f>
        <v>2300000</v>
      </c>
      <c r="K28" s="19"/>
      <c r="L28" s="76"/>
      <c r="M28" s="20"/>
      <c r="N28" s="20"/>
      <c r="O28" s="20"/>
      <c r="P28" s="20"/>
    </row>
    <row r="29">
      <c r="A29" s="21">
        <f>IFERROR(__xludf.DUMMYFUNCTION("""COMPUTED_VALUE"""),46025.0)</f>
        <v>46025</v>
      </c>
      <c r="B29" s="22" t="str">
        <f>IFERROR(__xludf.DUMMYFUNCTION("""COMPUTED_VALUE"""),"2601D028")</f>
        <v>2601D028</v>
      </c>
      <c r="C29" s="23" t="str">
        <f>IFERROR(__xludf.DUMMYFUNCTION("""COMPUTED_VALUE"""),"Rehan")</f>
        <v>Rehan</v>
      </c>
      <c r="D29" s="24" t="str">
        <f>IFERROR(__xludf.DUMMYFUNCTION("""COMPUTED_VALUE"""),"08963381584")</f>
        <v>08963381584</v>
      </c>
      <c r="E29" s="14" t="str">
        <f>IFERROR(__xludf.DUMMYFUNCTION("""COMPUTED_VALUE"""),"Instagram")</f>
        <v>Instagram</v>
      </c>
      <c r="F29" s="14" t="str">
        <f>IFERROR(__xludf.DUMMYFUNCTION("""COMPUTED_VALUE"""),"Gagal")</f>
        <v>Gagal</v>
      </c>
      <c r="G29" s="25" t="str">
        <f>IFERROR(__xludf.DUMMYFUNCTION("""COMPUTED_VALUE"""),"2H1M")</f>
        <v>2H1M</v>
      </c>
      <c r="H29" s="26"/>
      <c r="I29" s="27">
        <f>IFERROR(__xludf.DUMMYFUNCTION("""COMPUTED_VALUE"""),5.0)</f>
        <v>5</v>
      </c>
      <c r="J29" s="28">
        <f>IFERROR(__xludf.DUMMYFUNCTION("""COMPUTED_VALUE"""),9225000.0)</f>
        <v>9225000</v>
      </c>
      <c r="K29" s="36" t="str">
        <f>IFERROR(__xludf.DUMMYFUNCTION("""COMPUTED_VALUE"""),"tidak ada jawaban")</f>
        <v>tidak ada jawaban</v>
      </c>
      <c r="L29" s="49"/>
      <c r="M29" s="20"/>
      <c r="N29" s="20"/>
      <c r="O29" s="20"/>
      <c r="P29" s="20"/>
    </row>
    <row r="30">
      <c r="A30" s="11">
        <f>IFERROR(__xludf.DUMMYFUNCTION("""COMPUTED_VALUE"""),46025.0)</f>
        <v>46025</v>
      </c>
      <c r="B30" s="12" t="str">
        <f>IFERROR(__xludf.DUMMYFUNCTION("""COMPUTED_VALUE"""),"2601D029")</f>
        <v>2601D029</v>
      </c>
      <c r="C30" s="10" t="str">
        <f>IFERROR(__xludf.DUMMYFUNCTION("""COMPUTED_VALUE"""),"Nella Holiday")</f>
        <v>Nella Holiday</v>
      </c>
      <c r="D30" s="13" t="str">
        <f>IFERROR(__xludf.DUMMYFUNCTION("""COMPUTED_VALUE"""),"089672570321")</f>
        <v>089672570321</v>
      </c>
      <c r="E30" s="14" t="str">
        <f>IFERROR(__xludf.DUMMYFUNCTION("""COMPUTED_VALUE"""),"Website")</f>
        <v>Website</v>
      </c>
      <c r="F30" s="14" t="str">
        <f>IFERROR(__xludf.DUMMYFUNCTION("""COMPUTED_VALUE"""),"Gagal")</f>
        <v>Gagal</v>
      </c>
      <c r="G30" s="14" t="str">
        <f>IFERROR(__xludf.DUMMYFUNCTION("""COMPUTED_VALUE"""),"trip ijen")</f>
        <v>trip ijen</v>
      </c>
      <c r="H30" s="16">
        <f>IFERROR(__xludf.DUMMYFUNCTION("""COMPUTED_VALUE"""),46039.0)</f>
        <v>46039</v>
      </c>
      <c r="I30" s="17">
        <f>IFERROR(__xludf.DUMMYFUNCTION("""COMPUTED_VALUE"""),14.0)</f>
        <v>14</v>
      </c>
      <c r="J30" s="18"/>
      <c r="K30" s="19" t="str">
        <f>IFERROR(__xludf.DUMMYFUNCTION("""COMPUTED_VALUE"""),"SDH FOLLOW UP")</f>
        <v>SDH FOLLOW UP</v>
      </c>
      <c r="L30" s="76"/>
      <c r="M30" s="20"/>
      <c r="N30" s="20"/>
      <c r="O30" s="20"/>
      <c r="P30" s="20"/>
    </row>
    <row r="31">
      <c r="A31" s="21">
        <f>IFERROR(__xludf.DUMMYFUNCTION("""COMPUTED_VALUE"""),46026.0)</f>
        <v>46026</v>
      </c>
      <c r="B31" s="22" t="str">
        <f>IFERROR(__xludf.DUMMYFUNCTION("""COMPUTED_VALUE"""),"2601D030")</f>
        <v>2601D030</v>
      </c>
      <c r="C31" s="23" t="str">
        <f>IFERROR(__xludf.DUMMYFUNCTION("""COMPUTED_VALUE"""),"Cika")</f>
        <v>Cika</v>
      </c>
      <c r="D31" s="24" t="str">
        <f>IFERROR(__xludf.DUMMYFUNCTION("""COMPUTED_VALUE"""),"085782656823")</f>
        <v>085782656823</v>
      </c>
      <c r="E31" s="14" t="str">
        <f>IFERROR(__xludf.DUMMYFUNCTION("""COMPUTED_VALUE"""),"Instagram")</f>
        <v>Instagram</v>
      </c>
      <c r="F31" s="14" t="str">
        <f>IFERROR(__xludf.DUMMYFUNCTION("""COMPUTED_VALUE"""),"Gagal")</f>
        <v>Gagal</v>
      </c>
      <c r="G31" s="25" t="str">
        <f>IFERROR(__xludf.DUMMYFUNCTION("""COMPUTED_VALUE"""),"Trip 3H2M")</f>
        <v>Trip 3H2M</v>
      </c>
      <c r="H31" s="26"/>
      <c r="I31" s="27"/>
      <c r="J31" s="28"/>
      <c r="K31" s="36" t="str">
        <f>IFERROR(__xludf.DUMMYFUNCTION("""COMPUTED_VALUE"""),"tidak ada jawaban")</f>
        <v>tidak ada jawaban</v>
      </c>
      <c r="L31" s="49"/>
      <c r="M31" s="20"/>
      <c r="N31" s="20"/>
      <c r="O31" s="20"/>
      <c r="P31" s="20"/>
    </row>
    <row r="32">
      <c r="A32" s="11">
        <f>IFERROR(__xludf.DUMMYFUNCTION("""COMPUTED_VALUE"""),46026.0)</f>
        <v>46026</v>
      </c>
      <c r="B32" s="12" t="str">
        <f>IFERROR(__xludf.DUMMYFUNCTION("""COMPUTED_VALUE"""),"2601D031")</f>
        <v>2601D031</v>
      </c>
      <c r="C32" s="10" t="str">
        <f>IFERROR(__xludf.DUMMYFUNCTION("""COMPUTED_VALUE"""),"Sulistio W.N")</f>
        <v>Sulistio W.N</v>
      </c>
      <c r="D32" s="13" t="str">
        <f>IFERROR(__xludf.DUMMYFUNCTION("""COMPUTED_VALUE"""),"082137405814")</f>
        <v>082137405814</v>
      </c>
      <c r="E32" s="14" t="str">
        <f>IFERROR(__xludf.DUMMYFUNCTION("""COMPUTED_VALUE"""),"Website")</f>
        <v>Website</v>
      </c>
      <c r="F32" s="14" t="str">
        <f>IFERROR(__xludf.DUMMYFUNCTION("""COMPUTED_VALUE"""),"Gagal")</f>
        <v>Gagal</v>
      </c>
      <c r="G32" s="14" t="str">
        <f>IFERROR(__xludf.DUMMYFUNCTION("""COMPUTED_VALUE"""),"3H2M opsi B")</f>
        <v>3H2M opsi B</v>
      </c>
      <c r="H32" s="13"/>
      <c r="I32" s="17"/>
      <c r="J32" s="18"/>
      <c r="K32" s="46" t="str">
        <f>IFERROR(__xludf.DUMMYFUNCTION("""COMPUTED_VALUE"""),"tanya yacht boom, fu tgl 15")</f>
        <v>tanya yacht boom, fu tgl 15</v>
      </c>
      <c r="L32" s="10"/>
      <c r="M32" s="20"/>
      <c r="N32" s="20"/>
      <c r="O32" s="20"/>
      <c r="P32" s="20"/>
    </row>
    <row r="33">
      <c r="A33" s="21">
        <f>IFERROR(__xludf.DUMMYFUNCTION("""COMPUTED_VALUE"""),46026.0)</f>
        <v>46026</v>
      </c>
      <c r="B33" s="22" t="str">
        <f>IFERROR(__xludf.DUMMYFUNCTION("""COMPUTED_VALUE"""),"2601D032")</f>
        <v>2601D032</v>
      </c>
      <c r="C33" s="23" t="str">
        <f>IFERROR(__xludf.DUMMYFUNCTION("""COMPUTED_VALUE"""),"Thata Anggitha")</f>
        <v>Thata Anggitha</v>
      </c>
      <c r="D33" s="24" t="str">
        <f>IFERROR(__xludf.DUMMYFUNCTION("""COMPUTED_VALUE"""),"082137405814")</f>
        <v>082137405814</v>
      </c>
      <c r="E33" s="14" t="str">
        <f>IFERROR(__xludf.DUMMYFUNCTION("""COMPUTED_VALUE"""),"Instagram")</f>
        <v>Instagram</v>
      </c>
      <c r="F33" s="14" t="str">
        <f>IFERROR(__xludf.DUMMYFUNCTION("""COMPUTED_VALUE"""),"Gagal")</f>
        <v>Gagal</v>
      </c>
      <c r="G33" s="25"/>
      <c r="H33" s="26"/>
      <c r="I33" s="27">
        <f>IFERROR(__xludf.DUMMYFUNCTION("""COMPUTED_VALUE"""),2.0)</f>
        <v>2</v>
      </c>
      <c r="J33" s="28"/>
      <c r="K33" s="36" t="str">
        <f>IFERROR(__xludf.DUMMYFUNCTION("""COMPUTED_VALUE"""),"sudah follow up")</f>
        <v>sudah follow up</v>
      </c>
      <c r="L33" s="49"/>
      <c r="M33" s="20"/>
      <c r="N33" s="20"/>
      <c r="O33" s="20"/>
      <c r="P33" s="20"/>
    </row>
    <row r="34">
      <c r="A34" s="11">
        <f>IFERROR(__xludf.DUMMYFUNCTION("""COMPUTED_VALUE"""),46026.0)</f>
        <v>46026</v>
      </c>
      <c r="B34" s="12" t="str">
        <f>IFERROR(__xludf.DUMMYFUNCTION("""COMPUTED_VALUE"""),"2601D033")</f>
        <v>2601D033</v>
      </c>
      <c r="C34" s="10" t="str">
        <f>IFERROR(__xludf.DUMMYFUNCTION("""COMPUTED_VALUE"""),"Aris Guntoro")</f>
        <v>Aris Guntoro</v>
      </c>
      <c r="D34" s="13" t="str">
        <f>IFERROR(__xludf.DUMMYFUNCTION("""COMPUTED_VALUE"""),"081355209321")</f>
        <v>081355209321</v>
      </c>
      <c r="E34" s="14" t="str">
        <f>IFERROR(__xludf.DUMMYFUNCTION("""COMPUTED_VALUE"""),"Website")</f>
        <v>Website</v>
      </c>
      <c r="F34" s="14" t="str">
        <f>IFERROR(__xludf.DUMMYFUNCTION("""COMPUTED_VALUE"""),"Closing")</f>
        <v>Closing</v>
      </c>
      <c r="G34" s="14" t="str">
        <f>IFERROR(__xludf.DUMMYFUNCTION("""COMPUTED_VALUE"""),"Trip Kawah Ijen")</f>
        <v>Trip Kawah Ijen</v>
      </c>
      <c r="H34" s="16">
        <f>IFERROR(__xludf.DUMMYFUNCTION("""COMPUTED_VALUE"""),46038.0)</f>
        <v>46038</v>
      </c>
      <c r="I34" s="17">
        <f>IFERROR(__xludf.DUMMYFUNCTION("""COMPUTED_VALUE"""),4.0)</f>
        <v>4</v>
      </c>
      <c r="J34" s="54">
        <f>IFERROR(__xludf.DUMMYFUNCTION("""COMPUTED_VALUE"""),1570000.0)</f>
        <v>1570000</v>
      </c>
      <c r="K34" s="19" t="str">
        <f>IFERROR(__xludf.DUMMYFUNCTION("""COMPUTED_VALUE"""),"sudah closing")</f>
        <v>sudah closing</v>
      </c>
      <c r="L34" s="76"/>
      <c r="M34" s="20"/>
      <c r="N34" s="20"/>
      <c r="O34" s="20"/>
      <c r="P34" s="20"/>
    </row>
    <row r="35">
      <c r="A35" s="21">
        <f>IFERROR(__xludf.DUMMYFUNCTION("""COMPUTED_VALUE"""),46026.0)</f>
        <v>46026</v>
      </c>
      <c r="B35" s="22" t="str">
        <f>IFERROR(__xludf.DUMMYFUNCTION("""COMPUTED_VALUE"""),"2601D034")</f>
        <v>2601D034</v>
      </c>
      <c r="C35" s="23" t="str">
        <f>IFERROR(__xludf.DUMMYFUNCTION("""COMPUTED_VALUE"""),"Rizal Pratama")</f>
        <v>Rizal Pratama</v>
      </c>
      <c r="D35" s="24" t="str">
        <f>IFERROR(__xludf.DUMMYFUNCTION("""COMPUTED_VALUE"""),"082216912039")</f>
        <v>082216912039</v>
      </c>
      <c r="E35" s="14" t="str">
        <f>IFERROR(__xludf.DUMMYFUNCTION("""COMPUTED_VALUE"""),"Instagram")</f>
        <v>Instagram</v>
      </c>
      <c r="F35" s="14" t="str">
        <f>IFERROR(__xludf.DUMMYFUNCTION("""COMPUTED_VALUE"""),"Gagal")</f>
        <v>Gagal</v>
      </c>
      <c r="G35" s="14" t="str">
        <f>IFERROR(__xludf.DUMMYFUNCTION("""COMPUTED_VALUE"""),"3H2M opsi A")</f>
        <v>3H2M opsi A</v>
      </c>
      <c r="H35" s="26"/>
      <c r="I35" s="27">
        <f>IFERROR(__xludf.DUMMYFUNCTION("""COMPUTED_VALUE"""),30.0)</f>
        <v>30</v>
      </c>
      <c r="J35" s="33"/>
      <c r="K35" s="36" t="str">
        <f>IFERROR(__xludf.DUMMYFUNCTION("""COMPUTED_VALUE"""),"sudah sm rekan lain")</f>
        <v>sudah sm rekan lain</v>
      </c>
      <c r="L35" s="49"/>
      <c r="M35" s="20"/>
      <c r="N35" s="20"/>
      <c r="O35" s="20"/>
      <c r="P35" s="20"/>
    </row>
    <row r="36">
      <c r="A36" s="11">
        <f>IFERROR(__xludf.DUMMYFUNCTION("""COMPUTED_VALUE"""),46026.0)</f>
        <v>46026</v>
      </c>
      <c r="B36" s="12" t="str">
        <f>IFERROR(__xludf.DUMMYFUNCTION("""COMPUTED_VALUE"""),"2601D035")</f>
        <v>2601D035</v>
      </c>
      <c r="C36" s="10" t="str">
        <f>IFERROR(__xludf.DUMMYFUNCTION("""COMPUTED_VALUE"""),"Surya")</f>
        <v>Surya</v>
      </c>
      <c r="D36" s="13" t="str">
        <f>IFERROR(__xludf.DUMMYFUNCTION("""COMPUTED_VALUE"""),"081803536960")</f>
        <v>081803536960</v>
      </c>
      <c r="E36" s="14" t="str">
        <f>IFERROR(__xludf.DUMMYFUNCTION("""COMPUTED_VALUE"""),"Website")</f>
        <v>Website</v>
      </c>
      <c r="F36" s="14" t="str">
        <f>IFERROR(__xludf.DUMMYFUNCTION("""COMPUTED_VALUE"""),"Gagal")</f>
        <v>Gagal</v>
      </c>
      <c r="G36" s="14" t="str">
        <f>IFERROR(__xludf.DUMMYFUNCTION("""COMPUTED_VALUE"""),"Trip Menjangan Tabuhan ")</f>
        <v>Trip Menjangan Tabuhan </v>
      </c>
      <c r="H36" s="16"/>
      <c r="I36" s="17">
        <f>IFERROR(__xludf.DUMMYFUNCTION("""COMPUTED_VALUE"""),25.0)</f>
        <v>25</v>
      </c>
      <c r="J36" s="18"/>
      <c r="K36" s="46" t="str">
        <f>IFERROR(__xludf.DUMMYFUNCTION("""COMPUTED_VALUE"""),"tidak cocok harga")</f>
        <v>tidak cocok harga</v>
      </c>
      <c r="L36" s="10"/>
      <c r="M36" s="20"/>
      <c r="N36" s="20"/>
      <c r="O36" s="20"/>
      <c r="P36" s="20"/>
    </row>
    <row r="37">
      <c r="A37" s="21">
        <f>IFERROR(__xludf.DUMMYFUNCTION("""COMPUTED_VALUE"""),46026.0)</f>
        <v>46026</v>
      </c>
      <c r="B37" s="22" t="str">
        <f>IFERROR(__xludf.DUMMYFUNCTION("""COMPUTED_VALUE"""),"2601D036")</f>
        <v>2601D036</v>
      </c>
      <c r="C37" s="23" t="str">
        <f>IFERROR(__xludf.DUMMYFUNCTION("""COMPUTED_VALUE"""),"Yaya")</f>
        <v>Yaya</v>
      </c>
      <c r="D37" s="24" t="str">
        <f>IFERROR(__xludf.DUMMYFUNCTION("""COMPUTED_VALUE"""),"089612554076")</f>
        <v>089612554076</v>
      </c>
      <c r="E37" s="14" t="str">
        <f>IFERROR(__xludf.DUMMYFUNCTION("""COMPUTED_VALUE"""),"Instagram")</f>
        <v>Instagram</v>
      </c>
      <c r="F37" s="14" t="str">
        <f>IFERROR(__xludf.DUMMYFUNCTION("""COMPUTED_VALUE"""),"Gagal")</f>
        <v>Gagal</v>
      </c>
      <c r="G37" s="14" t="str">
        <f>IFERROR(__xludf.DUMMYFUNCTION("""COMPUTED_VALUE"""),"OT 3H2M")</f>
        <v>OT 3H2M</v>
      </c>
      <c r="H37" s="26"/>
      <c r="I37" s="27"/>
      <c r="J37" s="33"/>
      <c r="K37" s="30" t="str">
        <f>IFERROR(__xludf.DUMMYFUNCTION("""COMPUTED_VALUE"""),"tidak jawab")</f>
        <v>tidak jawab</v>
      </c>
      <c r="L37" s="23"/>
      <c r="M37" s="20"/>
      <c r="N37" s="20"/>
      <c r="O37" s="20"/>
      <c r="P37" s="20"/>
    </row>
    <row r="38">
      <c r="A38" s="11">
        <f>IFERROR(__xludf.DUMMYFUNCTION("""COMPUTED_VALUE"""),46026.0)</f>
        <v>46026</v>
      </c>
      <c r="B38" s="12" t="str">
        <f>IFERROR(__xludf.DUMMYFUNCTION("""COMPUTED_VALUE"""),"2601D037")</f>
        <v>2601D037</v>
      </c>
      <c r="C38" s="10" t="str">
        <f>IFERROR(__xludf.DUMMYFUNCTION("""COMPUTED_VALUE"""),"Hums GPS Malang")</f>
        <v>Hums GPS Malang</v>
      </c>
      <c r="D38" s="13" t="str">
        <f>IFERROR(__xludf.DUMMYFUNCTION("""COMPUTED_VALUE"""),"085888433436")</f>
        <v>085888433436</v>
      </c>
      <c r="E38" s="14" t="str">
        <f>IFERROR(__xludf.DUMMYFUNCTION("""COMPUTED_VALUE"""),"Instagram")</f>
        <v>Instagram</v>
      </c>
      <c r="F38" s="14" t="str">
        <f>IFERROR(__xludf.DUMMYFUNCTION("""COMPUTED_VALUE"""),"Gagal")</f>
        <v>Gagal</v>
      </c>
      <c r="G38" s="15" t="str">
        <f>IFERROR(__xludf.DUMMYFUNCTION("""COMPUTED_VALUE"""),"2H1M")</f>
        <v>2H1M</v>
      </c>
      <c r="H38" s="16"/>
      <c r="I38" s="17"/>
      <c r="J38" s="18"/>
      <c r="K38" s="46" t="str">
        <f>IFERROR(__xludf.DUMMYFUNCTION("""COMPUTED_VALUE"""),"minta jpt sby")</f>
        <v>minta jpt sby</v>
      </c>
      <c r="L38" s="10"/>
      <c r="M38" s="20"/>
      <c r="N38" s="20"/>
      <c r="O38" s="20"/>
      <c r="P38" s="20"/>
    </row>
    <row r="39">
      <c r="A39" s="21">
        <f>IFERROR(__xludf.DUMMYFUNCTION("""COMPUTED_VALUE"""),46026.0)</f>
        <v>46026</v>
      </c>
      <c r="B39" s="22" t="str">
        <f>IFERROR(__xludf.DUMMYFUNCTION("""COMPUTED_VALUE"""),"2601D038")</f>
        <v>2601D038</v>
      </c>
      <c r="C39" s="23" t="str">
        <f>IFERROR(__xludf.DUMMYFUNCTION("""COMPUTED_VALUE"""),"Sary Maheswari")</f>
        <v>Sary Maheswari</v>
      </c>
      <c r="D39" s="24" t="str">
        <f>IFERROR(__xludf.DUMMYFUNCTION("""COMPUTED_VALUE"""),"085729077777")</f>
        <v>085729077777</v>
      </c>
      <c r="E39" s="14" t="str">
        <f>IFERROR(__xludf.DUMMYFUNCTION("""COMPUTED_VALUE"""),"Instagram")</f>
        <v>Instagram</v>
      </c>
      <c r="F39" s="14" t="str">
        <f>IFERROR(__xludf.DUMMYFUNCTION("""COMPUTED_VALUE"""),"Gagal")</f>
        <v>Gagal</v>
      </c>
      <c r="G39" s="15" t="str">
        <f>IFERROR(__xludf.DUMMYFUNCTION("""COMPUTED_VALUE"""),"2H1M")</f>
        <v>2H1M</v>
      </c>
      <c r="H39" s="26"/>
      <c r="I39" s="27">
        <f>IFERROR(__xludf.DUMMYFUNCTION("""COMPUTED_VALUE"""),6.0)</f>
        <v>6</v>
      </c>
      <c r="J39" s="33"/>
      <c r="K39" s="30" t="str">
        <f>IFERROR(__xludf.DUMMYFUNCTION("""COMPUTED_VALUE"""),"tanya paket, lewat tanggal")</f>
        <v>tanya paket, lewat tanggal</v>
      </c>
      <c r="L39" s="23"/>
      <c r="M39" s="20"/>
      <c r="N39" s="20"/>
      <c r="O39" s="20"/>
      <c r="P39" s="20"/>
    </row>
    <row r="40">
      <c r="A40" s="11">
        <f>IFERROR(__xludf.DUMMYFUNCTION("""COMPUTED_VALUE"""),46027.0)</f>
        <v>46027</v>
      </c>
      <c r="B40" s="12" t="str">
        <f>IFERROR(__xludf.DUMMYFUNCTION("""COMPUTED_VALUE"""),"2601D039")</f>
        <v>2601D039</v>
      </c>
      <c r="C40" s="10" t="str">
        <f>IFERROR(__xludf.DUMMYFUNCTION("""COMPUTED_VALUE"""),"Tanamalintan ")</f>
        <v>Tanamalintan </v>
      </c>
      <c r="D40" s="13" t="str">
        <f>IFERROR(__xludf.DUMMYFUNCTION("""COMPUTED_VALUE"""),"083877965575")</f>
        <v>083877965575</v>
      </c>
      <c r="E40" s="14" t="str">
        <f>IFERROR(__xludf.DUMMYFUNCTION("""COMPUTED_VALUE"""),"Website")</f>
        <v>Website</v>
      </c>
      <c r="F40" s="14" t="str">
        <f>IFERROR(__xludf.DUMMYFUNCTION("""COMPUTED_VALUE"""),"Gagal")</f>
        <v>Gagal</v>
      </c>
      <c r="G40" s="15" t="str">
        <f>IFERROR(__xludf.DUMMYFUNCTION("""COMPUTED_VALUE"""),"2H1M")</f>
        <v>2H1M</v>
      </c>
      <c r="H40" s="16"/>
      <c r="I40" s="17">
        <f>IFERROR(__xludf.DUMMYFUNCTION("""COMPUTED_VALUE"""),60.0)</f>
        <v>60</v>
      </c>
      <c r="J40" s="18"/>
      <c r="K40" s="19" t="str">
        <f>IFERROR(__xludf.DUMMYFUNCTION("""COMPUTED_VALUE"""),"tunda lebaran tahun depan")</f>
        <v>tunda lebaran tahun depan</v>
      </c>
      <c r="L40" s="10"/>
      <c r="M40" s="20"/>
      <c r="N40" s="20"/>
      <c r="O40" s="20"/>
      <c r="P40" s="20"/>
    </row>
    <row r="41">
      <c r="A41" s="21">
        <f>IFERROR(__xludf.DUMMYFUNCTION("""COMPUTED_VALUE"""),46027.0)</f>
        <v>46027</v>
      </c>
      <c r="B41" s="22" t="str">
        <f>IFERROR(__xludf.DUMMYFUNCTION("""COMPUTED_VALUE"""),"2601D040")</f>
        <v>2601D040</v>
      </c>
      <c r="C41" s="23" t="str">
        <f>IFERROR(__xludf.DUMMYFUNCTION("""COMPUTED_VALUE"""),"Gian Septim Rohmaduri")</f>
        <v>Gian Septim Rohmaduri</v>
      </c>
      <c r="D41" s="24" t="str">
        <f>IFERROR(__xludf.DUMMYFUNCTION("""COMPUTED_VALUE"""),"081328834222")</f>
        <v>081328834222</v>
      </c>
      <c r="E41" s="14" t="str">
        <f>IFERROR(__xludf.DUMMYFUNCTION("""COMPUTED_VALUE"""),"Instagram")</f>
        <v>Instagram</v>
      </c>
      <c r="F41" s="14" t="str">
        <f>IFERROR(__xludf.DUMMYFUNCTION("""COMPUTED_VALUE"""),"Gagal")</f>
        <v>Gagal</v>
      </c>
      <c r="G41" s="15"/>
      <c r="H41" s="26"/>
      <c r="I41" s="27">
        <f>IFERROR(__xludf.DUMMYFUNCTION("""COMPUTED_VALUE"""),10.0)</f>
        <v>10</v>
      </c>
      <c r="J41" s="28"/>
      <c r="K41" s="36" t="str">
        <f>IFERROR(__xludf.DUMMYFUNCTION("""COMPUTED_VALUE"""),"ga ada jawaban")</f>
        <v>ga ada jawaban</v>
      </c>
      <c r="L41" s="23"/>
      <c r="M41" s="20"/>
      <c r="N41" s="20"/>
      <c r="O41" s="20"/>
      <c r="P41" s="20"/>
    </row>
    <row r="42">
      <c r="A42" s="11">
        <f>IFERROR(__xludf.DUMMYFUNCTION("""COMPUTED_VALUE"""),46027.0)</f>
        <v>46027</v>
      </c>
      <c r="B42" s="12" t="str">
        <f>IFERROR(__xludf.DUMMYFUNCTION("""COMPUTED_VALUE"""),"2601D041")</f>
        <v>2601D041</v>
      </c>
      <c r="C42" s="10" t="str">
        <f>IFERROR(__xludf.DUMMYFUNCTION("""COMPUTED_VALUE"""),"Bidadari Surga")</f>
        <v>Bidadari Surga</v>
      </c>
      <c r="D42" s="13" t="str">
        <f>IFERROR(__xludf.DUMMYFUNCTION("""COMPUTED_VALUE"""),"082136616696")</f>
        <v>082136616696</v>
      </c>
      <c r="E42" s="14" t="str">
        <f>IFERROR(__xludf.DUMMYFUNCTION("""COMPUTED_VALUE"""),"Instagram")</f>
        <v>Instagram</v>
      </c>
      <c r="F42" s="14" t="str">
        <f>IFERROR(__xludf.DUMMYFUNCTION("""COMPUTED_VALUE"""),"Gagal")</f>
        <v>Gagal</v>
      </c>
      <c r="G42" s="25" t="str">
        <f>IFERROR(__xludf.DUMMYFUNCTION("""COMPUTED_VALUE"""),"3H2M")</f>
        <v>3H2M</v>
      </c>
      <c r="H42" s="16"/>
      <c r="I42" s="17">
        <f>IFERROR(__xludf.DUMMYFUNCTION("""COMPUTED_VALUE"""),27.0)</f>
        <v>27</v>
      </c>
      <c r="J42" s="18"/>
      <c r="K42" s="19" t="str">
        <f>IFERROR(__xludf.DUMMYFUNCTION("""COMPUTED_VALUE"""),"FU MARET")</f>
        <v>FU MARET</v>
      </c>
      <c r="L42" s="76"/>
      <c r="M42" s="20"/>
      <c r="N42" s="20"/>
      <c r="O42" s="20"/>
      <c r="P42" s="20"/>
    </row>
    <row r="43">
      <c r="A43" s="21">
        <f>IFERROR(__xludf.DUMMYFUNCTION("""COMPUTED_VALUE"""),46027.0)</f>
        <v>46027</v>
      </c>
      <c r="B43" s="22" t="str">
        <f>IFERROR(__xludf.DUMMYFUNCTION("""COMPUTED_VALUE"""),"2601D042")</f>
        <v>2601D042</v>
      </c>
      <c r="C43" s="23" t="str">
        <f>IFERROR(__xludf.DUMMYFUNCTION("""COMPUTED_VALUE"""),"Rosa Tan")</f>
        <v>Rosa Tan</v>
      </c>
      <c r="D43" s="24" t="str">
        <f>IFERROR(__xludf.DUMMYFUNCTION("""COMPUTED_VALUE"""),"08562877979")</f>
        <v>08562877979</v>
      </c>
      <c r="E43" s="14" t="str">
        <f>IFERROR(__xludf.DUMMYFUNCTION("""COMPUTED_VALUE"""),"Lainnya")</f>
        <v>Lainnya</v>
      </c>
      <c r="F43" s="14" t="str">
        <f>IFERROR(__xludf.DUMMYFUNCTION("""COMPUTED_VALUE"""),"Gagal")</f>
        <v>Gagal</v>
      </c>
      <c r="G43" s="14" t="str">
        <f>IFERROR(__xludf.DUMMYFUNCTION("""COMPUTED_VALUE"""),"3H2M OR 2H1M")</f>
        <v>3H2M OR 2H1M</v>
      </c>
      <c r="H43" s="26"/>
      <c r="I43" s="27">
        <f>IFERROR(__xludf.DUMMYFUNCTION("""COMPUTED_VALUE"""),50.0)</f>
        <v>50</v>
      </c>
      <c r="J43" s="28">
        <f>IFERROR(__xludf.DUMMYFUNCTION("""COMPUTED_VALUE"""),4.5E7)</f>
        <v>45000000</v>
      </c>
      <c r="K43" s="30" t="str">
        <f>IFERROR(__xludf.DUMMYFUNCTION("""COMPUTED_VALUE"""),"DESTINASI SENIOR FRIENDLY, follow up mei")</f>
        <v>DESTINASI SENIOR FRIENDLY, follow up mei</v>
      </c>
      <c r="L43" s="23"/>
      <c r="M43" s="20"/>
      <c r="N43" s="20"/>
      <c r="O43" s="20"/>
      <c r="P43" s="20"/>
    </row>
    <row r="44">
      <c r="A44" s="11">
        <f>IFERROR(__xludf.DUMMYFUNCTION("""COMPUTED_VALUE"""),46027.0)</f>
        <v>46027</v>
      </c>
      <c r="B44" s="12" t="str">
        <f>IFERROR(__xludf.DUMMYFUNCTION("""COMPUTED_VALUE"""),"2601D043")</f>
        <v>2601D043</v>
      </c>
      <c r="C44" s="10" t="str">
        <f>IFERROR(__xludf.DUMMYFUNCTION("""COMPUTED_VALUE"""),"Dwi K")</f>
        <v>Dwi K</v>
      </c>
      <c r="D44" s="13" t="str">
        <f>IFERROR(__xludf.DUMMYFUNCTION("""COMPUTED_VALUE"""),"0811822328")</f>
        <v>0811822328</v>
      </c>
      <c r="E44" s="14" t="str">
        <f>IFERROR(__xludf.DUMMYFUNCTION("""COMPUTED_VALUE"""),"Website")</f>
        <v>Website</v>
      </c>
      <c r="F44" s="14" t="str">
        <f>IFERROR(__xludf.DUMMYFUNCTION("""COMPUTED_VALUE"""),"Gagal")</f>
        <v>Gagal</v>
      </c>
      <c r="G44" s="25" t="str">
        <f>IFERROR(__xludf.DUMMYFUNCTION("""COMPUTED_VALUE"""),"OT 3h2m")</f>
        <v>OT 3h2m</v>
      </c>
      <c r="H44" s="16"/>
      <c r="I44" s="17"/>
      <c r="J44" s="54"/>
      <c r="K44" s="19" t="str">
        <f>IFERROR(__xludf.DUMMYFUNCTION("""COMPUTED_VALUE"""),"tidak jawab")</f>
        <v>tidak jawab</v>
      </c>
      <c r="L44" s="76"/>
      <c r="M44" s="20"/>
      <c r="N44" s="20"/>
      <c r="O44" s="20"/>
      <c r="P44" s="20"/>
    </row>
    <row r="45">
      <c r="A45" s="21">
        <f>IFERROR(__xludf.DUMMYFUNCTION("""COMPUTED_VALUE"""),46027.0)</f>
        <v>46027</v>
      </c>
      <c r="B45" s="22" t="str">
        <f>IFERROR(__xludf.DUMMYFUNCTION("""COMPUTED_VALUE"""),"2601D044")</f>
        <v>2601D044</v>
      </c>
      <c r="C45" s="23" t="str">
        <f>IFERROR(__xludf.DUMMYFUNCTION("""COMPUTED_VALUE"""),"Dian Indra")</f>
        <v>Dian Indra</v>
      </c>
      <c r="D45" s="24" t="str">
        <f>IFERROR(__xludf.DUMMYFUNCTION("""COMPUTED_VALUE"""),"08123589756")</f>
        <v>08123589756</v>
      </c>
      <c r="E45" s="14" t="str">
        <f>IFERROR(__xludf.DUMMYFUNCTION("""COMPUTED_VALUE"""),"Instagram")</f>
        <v>Instagram</v>
      </c>
      <c r="F45" s="14" t="str">
        <f>IFERROR(__xludf.DUMMYFUNCTION("""COMPUTED_VALUE"""),"Closing")</f>
        <v>Closing</v>
      </c>
      <c r="G45" s="14" t="str">
        <f>IFERROR(__xludf.DUMMYFUNCTION("""COMPUTED_VALUE"""),"2H1M opsi c")</f>
        <v>2H1M opsi c</v>
      </c>
      <c r="H45" s="26"/>
      <c r="I45" s="27">
        <f>IFERROR(__xludf.DUMMYFUNCTION("""COMPUTED_VALUE"""),4.0)</f>
        <v>4</v>
      </c>
      <c r="J45" s="33">
        <f>IFERROR(__xludf.DUMMYFUNCTION("""COMPUTED_VALUE"""),4090000.0)</f>
        <v>4090000</v>
      </c>
      <c r="K45" s="30" t="str">
        <f>IFERROR(__xludf.DUMMYFUNCTION("""COMPUTED_VALUE"""),"sudah closing")</f>
        <v>sudah closing</v>
      </c>
      <c r="L45" s="23"/>
      <c r="M45" s="20"/>
      <c r="N45" s="20"/>
      <c r="O45" s="20"/>
      <c r="P45" s="20"/>
    </row>
    <row r="46">
      <c r="A46" s="11">
        <f>IFERROR(__xludf.DUMMYFUNCTION("""COMPUTED_VALUE"""),46027.0)</f>
        <v>46027</v>
      </c>
      <c r="B46" s="12" t="str">
        <f>IFERROR(__xludf.DUMMYFUNCTION("""COMPUTED_VALUE"""),"2601D045")</f>
        <v>2601D045</v>
      </c>
      <c r="C46" s="10" t="str">
        <f>IFERROR(__xludf.DUMMYFUNCTION("""COMPUTED_VALUE"""),"D. Luhki")</f>
        <v>D. Luhki</v>
      </c>
      <c r="D46" s="13" t="str">
        <f>IFERROR(__xludf.DUMMYFUNCTION("""COMPUTED_VALUE"""),"0818575855")</f>
        <v>0818575855</v>
      </c>
      <c r="E46" s="14" t="str">
        <f>IFERROR(__xludf.DUMMYFUNCTION("""COMPUTED_VALUE"""),"Lainnya")</f>
        <v>Lainnya</v>
      </c>
      <c r="F46" s="14" t="str">
        <f>IFERROR(__xludf.DUMMYFUNCTION("""COMPUTED_VALUE"""),"Gagal")</f>
        <v>Gagal</v>
      </c>
      <c r="G46" s="14" t="str">
        <f>IFERROR(__xludf.DUMMYFUNCTION("""COMPUTED_VALUE"""),"2D1N")</f>
        <v>2D1N</v>
      </c>
      <c r="H46" s="16"/>
      <c r="I46" s="17">
        <f>IFERROR(__xludf.DUMMYFUNCTION("""COMPUTED_VALUE"""),60.0)</f>
        <v>60</v>
      </c>
      <c r="J46" s="18"/>
      <c r="K46" s="46" t="str">
        <f>IFERROR(__xludf.DUMMYFUNCTION("""COMPUTED_VALUE"""),"sdh fu tanggal 17")</f>
        <v>sdh fu tanggal 17</v>
      </c>
      <c r="L46" s="10"/>
      <c r="M46" s="20"/>
      <c r="N46" s="20"/>
      <c r="O46" s="20"/>
      <c r="P46" s="20"/>
    </row>
    <row r="47">
      <c r="A47" s="21">
        <f>IFERROR(__xludf.DUMMYFUNCTION("""COMPUTED_VALUE"""),46027.0)</f>
        <v>46027</v>
      </c>
      <c r="B47" s="22" t="str">
        <f>IFERROR(__xludf.DUMMYFUNCTION("""COMPUTED_VALUE"""),"2601D046")</f>
        <v>2601D046</v>
      </c>
      <c r="C47" s="23" t="str">
        <f>IFERROR(__xludf.DUMMYFUNCTION("""COMPUTED_VALUE"""),"Erlangga")</f>
        <v>Erlangga</v>
      </c>
      <c r="D47" s="24" t="str">
        <f>IFERROR(__xludf.DUMMYFUNCTION("""COMPUTED_VALUE"""),"0895340047293")</f>
        <v>0895340047293</v>
      </c>
      <c r="E47" s="14" t="str">
        <f>IFERROR(__xludf.DUMMYFUNCTION("""COMPUTED_VALUE"""),"Website")</f>
        <v>Website</v>
      </c>
      <c r="F47" s="14" t="str">
        <f>IFERROR(__xludf.DUMMYFUNCTION("""COMPUTED_VALUE"""),"Gagal")</f>
        <v>Gagal</v>
      </c>
      <c r="G47" s="15" t="str">
        <f>IFERROR(__xludf.DUMMYFUNCTION("""COMPUTED_VALUE"""),"3H2M")</f>
        <v>3H2M</v>
      </c>
      <c r="H47" s="26"/>
      <c r="I47" s="27">
        <f>IFERROR(__xludf.DUMMYFUNCTION("""COMPUTED_VALUE"""),100.0)</f>
        <v>100</v>
      </c>
      <c r="J47" s="28">
        <f>IFERROR(__xludf.DUMMYFUNCTION("""COMPUTED_VALUE"""),1.346E8)</f>
        <v>134600000</v>
      </c>
      <c r="K47" s="30" t="str">
        <f>IFERROR(__xludf.DUMMYFUNCTION("""COMPUTED_VALUE"""),"tidak ada jawaban")</f>
        <v>tidak ada jawaban</v>
      </c>
      <c r="L47" s="49"/>
      <c r="M47" s="20"/>
      <c r="N47" s="20"/>
      <c r="O47" s="20"/>
      <c r="P47" s="20"/>
    </row>
    <row r="48">
      <c r="A48" s="11">
        <f>IFERROR(__xludf.DUMMYFUNCTION("""COMPUTED_VALUE"""),46027.0)</f>
        <v>46027</v>
      </c>
      <c r="B48" s="12" t="str">
        <f>IFERROR(__xludf.DUMMYFUNCTION("""COMPUTED_VALUE"""),"2601D047")</f>
        <v>2601D047</v>
      </c>
      <c r="C48" s="10" t="str">
        <f>IFERROR(__xludf.DUMMYFUNCTION("""COMPUTED_VALUE"""),"KAI WNA ")</f>
        <v>KAI WNA </v>
      </c>
      <c r="D48" s="13" t="str">
        <f>IFERROR(__xludf.DUMMYFUNCTION("""COMPUTED_VALUE"""),"4915736805277")</f>
        <v>4915736805277</v>
      </c>
      <c r="E48" s="14" t="str">
        <f>IFERROR(__xludf.DUMMYFUNCTION("""COMPUTED_VALUE"""),"Website")</f>
        <v>Website</v>
      </c>
      <c r="F48" s="14" t="str">
        <f>IFERROR(__xludf.DUMMYFUNCTION("""COMPUTED_VALUE"""),"Gagal")</f>
        <v>Gagal</v>
      </c>
      <c r="G48" s="15" t="str">
        <f>IFERROR(__xludf.DUMMYFUNCTION("""COMPUTED_VALUE"""),"TN ALAS PURWO")</f>
        <v>TN ALAS PURWO</v>
      </c>
      <c r="H48" s="16"/>
      <c r="I48" s="17">
        <f>IFERROR(__xludf.DUMMYFUNCTION("""COMPUTED_VALUE"""),2.0)</f>
        <v>2</v>
      </c>
      <c r="J48" s="18"/>
      <c r="K48" s="19" t="str">
        <f>IFERROR(__xludf.DUMMYFUNCTION("""COMPUTED_VALUE"""),"tdk ada kelanjutan")</f>
        <v>tdk ada kelanjutan</v>
      </c>
      <c r="L48" s="76"/>
      <c r="M48" s="20"/>
      <c r="N48" s="20"/>
      <c r="O48" s="20"/>
      <c r="P48" s="20"/>
    </row>
    <row r="49">
      <c r="A49" s="21">
        <f>IFERROR(__xludf.DUMMYFUNCTION("""COMPUTED_VALUE"""),46027.0)</f>
        <v>46027</v>
      </c>
      <c r="B49" s="22" t="str">
        <f>IFERROR(__xludf.DUMMYFUNCTION("""COMPUTED_VALUE"""),"2601D048")</f>
        <v>2601D048</v>
      </c>
      <c r="C49" s="23" t="str">
        <f>IFERROR(__xludf.DUMMYFUNCTION("""COMPUTED_VALUE"""),"Nww")</f>
        <v>Nww</v>
      </c>
      <c r="D49" s="24" t="str">
        <f>IFERROR(__xludf.DUMMYFUNCTION("""COMPUTED_VALUE"""),"082232269773")</f>
        <v>082232269773</v>
      </c>
      <c r="E49" s="14" t="str">
        <f>IFERROR(__xludf.DUMMYFUNCTION("""COMPUTED_VALUE"""),"Website")</f>
        <v>Website</v>
      </c>
      <c r="F49" s="14" t="str">
        <f>IFERROR(__xludf.DUMMYFUNCTION("""COMPUTED_VALUE"""),"Gagal")</f>
        <v>Gagal</v>
      </c>
      <c r="G49" s="14"/>
      <c r="H49" s="26"/>
      <c r="I49" s="27"/>
      <c r="J49" s="28"/>
      <c r="K49" s="30"/>
      <c r="L49" s="23"/>
      <c r="M49" s="20"/>
      <c r="N49" s="20"/>
      <c r="O49" s="20"/>
      <c r="P49" s="20"/>
    </row>
    <row r="50">
      <c r="A50" s="11">
        <f>IFERROR(__xludf.DUMMYFUNCTION("""COMPUTED_VALUE"""),46027.0)</f>
        <v>46027</v>
      </c>
      <c r="B50" s="12" t="str">
        <f>IFERROR(__xludf.DUMMYFUNCTION("""COMPUTED_VALUE"""),"2601D049")</f>
        <v>2601D049</v>
      </c>
      <c r="C50" s="10" t="str">
        <f>IFERROR(__xludf.DUMMYFUNCTION("""COMPUTED_VALUE"""),"Fjr")</f>
        <v>Fjr</v>
      </c>
      <c r="D50" s="13" t="str">
        <f>IFERROR(__xludf.DUMMYFUNCTION("""COMPUTED_VALUE"""),"081937743496")</f>
        <v>081937743496</v>
      </c>
      <c r="E50" s="14" t="str">
        <f>IFERROR(__xludf.DUMMYFUNCTION("""COMPUTED_VALUE"""),"Instagram")</f>
        <v>Instagram</v>
      </c>
      <c r="F50" s="14" t="str">
        <f>IFERROR(__xludf.DUMMYFUNCTION("""COMPUTED_VALUE"""),"Gagal")</f>
        <v>Gagal</v>
      </c>
      <c r="G50" s="14" t="str">
        <f>IFERROR(__xludf.DUMMYFUNCTION("""COMPUTED_VALUE"""),"trip bedil ")</f>
        <v>trip bedil </v>
      </c>
      <c r="H50" s="16"/>
      <c r="I50" s="17"/>
      <c r="J50" s="54"/>
      <c r="K50" s="19" t="str">
        <f>IFERROR(__xludf.DUMMYFUNCTION("""COMPUTED_VALUE"""),"tidak jawab")</f>
        <v>tidak jawab</v>
      </c>
      <c r="L50" s="76"/>
      <c r="M50" s="20"/>
      <c r="N50" s="20"/>
      <c r="O50" s="20"/>
      <c r="P50" s="20"/>
    </row>
    <row r="51">
      <c r="A51" s="21">
        <f>IFERROR(__xludf.DUMMYFUNCTION("""COMPUTED_VALUE"""),46027.0)</f>
        <v>46027</v>
      </c>
      <c r="B51" s="22" t="str">
        <f>IFERROR(__xludf.DUMMYFUNCTION("""COMPUTED_VALUE"""),"2601D050")</f>
        <v>2601D050</v>
      </c>
      <c r="C51" s="23" t="str">
        <f>IFERROR(__xludf.DUMMYFUNCTION("""COMPUTED_VALUE"""),"Agus Trisunu")</f>
        <v>Agus Trisunu</v>
      </c>
      <c r="D51" s="24" t="str">
        <f>IFERROR(__xludf.DUMMYFUNCTION("""COMPUTED_VALUE"""),"082198600529")</f>
        <v>082198600529</v>
      </c>
      <c r="E51" s="14" t="str">
        <f>IFERROR(__xludf.DUMMYFUNCTION("""COMPUTED_VALUE"""),"Website")</f>
        <v>Website</v>
      </c>
      <c r="F51" s="14" t="str">
        <f>IFERROR(__xludf.DUMMYFUNCTION("""COMPUTED_VALUE"""),"Gagal")</f>
        <v>Gagal</v>
      </c>
      <c r="G51" s="14" t="str">
        <f>IFERROR(__xludf.DUMMYFUNCTION("""COMPUTED_VALUE"""),"3H2M ")</f>
        <v>3H2M </v>
      </c>
      <c r="H51" s="26">
        <f>IFERROR(__xludf.DUMMYFUNCTION("""COMPUTED_VALUE"""),46042.0)</f>
        <v>46042</v>
      </c>
      <c r="I51" s="27">
        <f>IFERROR(__xludf.DUMMYFUNCTION("""COMPUTED_VALUE"""),2.0)</f>
        <v>2</v>
      </c>
      <c r="J51" s="33"/>
      <c r="K51" s="36" t="str">
        <f>IFERROR(__xludf.DUMMYFUNCTION("""COMPUTED_VALUE"""),"batal")</f>
        <v>batal</v>
      </c>
      <c r="L51" s="49"/>
      <c r="M51" s="20"/>
      <c r="N51" s="20"/>
      <c r="O51" s="20"/>
      <c r="P51" s="20"/>
    </row>
    <row r="52">
      <c r="A52" s="11">
        <f>IFERROR(__xludf.DUMMYFUNCTION("""COMPUTED_VALUE"""),46027.0)</f>
        <v>46027</v>
      </c>
      <c r="B52" s="12" t="str">
        <f>IFERROR(__xludf.DUMMYFUNCTION("""COMPUTED_VALUE"""),"2601D051")</f>
        <v>2601D051</v>
      </c>
      <c r="C52" s="10" t="str">
        <f>IFERROR(__xludf.DUMMYFUNCTION("""COMPUTED_VALUE"""),"SriH fai hai")</f>
        <v>SriH fai hai</v>
      </c>
      <c r="D52" s="13" t="str">
        <f>IFERROR(__xludf.DUMMYFUNCTION("""COMPUTED_VALUE"""),"081317770228")</f>
        <v>081317770228</v>
      </c>
      <c r="E52" s="14" t="str">
        <f>IFERROR(__xludf.DUMMYFUNCTION("""COMPUTED_VALUE"""),"Instagram")</f>
        <v>Instagram</v>
      </c>
      <c r="F52" s="14" t="str">
        <f>IFERROR(__xludf.DUMMYFUNCTION("""COMPUTED_VALUE"""),"Closing")</f>
        <v>Closing</v>
      </c>
      <c r="G52" s="14" t="str">
        <f>IFERROR(__xludf.DUMMYFUNCTION("""COMPUTED_VALUE"""),"3H2M")</f>
        <v>3H2M</v>
      </c>
      <c r="H52" s="16"/>
      <c r="I52" s="17"/>
      <c r="J52" s="18">
        <f>IFERROR(__xludf.DUMMYFUNCTION("""COMPUTED_VALUE"""),6400000.0)</f>
        <v>6400000</v>
      </c>
      <c r="K52" s="46"/>
      <c r="L52" s="10"/>
      <c r="M52" s="20"/>
      <c r="N52" s="20"/>
      <c r="O52" s="20"/>
      <c r="P52" s="20"/>
    </row>
    <row r="53">
      <c r="A53" s="21">
        <f>IFERROR(__xludf.DUMMYFUNCTION("""COMPUTED_VALUE"""),46027.0)</f>
        <v>46027</v>
      </c>
      <c r="B53" s="22" t="str">
        <f>IFERROR(__xludf.DUMMYFUNCTION("""COMPUTED_VALUE"""),"2601D052")</f>
        <v>2601D052</v>
      </c>
      <c r="C53" s="23" t="str">
        <f>IFERROR(__xludf.DUMMYFUNCTION("""COMPUTED_VALUE"""),"Athaya")</f>
        <v>Athaya</v>
      </c>
      <c r="D53" s="24" t="str">
        <f>IFERROR(__xludf.DUMMYFUNCTION("""COMPUTED_VALUE"""),"087786696160")</f>
        <v>087786696160</v>
      </c>
      <c r="E53" s="14" t="str">
        <f>IFERROR(__xludf.DUMMYFUNCTION("""COMPUTED_VALUE"""),"Lainnya")</f>
        <v>Lainnya</v>
      </c>
      <c r="F53" s="14" t="str">
        <f>IFERROR(__xludf.DUMMYFUNCTION("""COMPUTED_VALUE"""),"Gagal")</f>
        <v>Gagal</v>
      </c>
      <c r="G53" s="15" t="str">
        <f>IFERROR(__xludf.DUMMYFUNCTION("""COMPUTED_VALUE"""),"OT 1 day")</f>
        <v>OT 1 day</v>
      </c>
      <c r="H53" s="26">
        <f>IFERROR(__xludf.DUMMYFUNCTION("""COMPUTED_VALUE"""),46042.0)</f>
        <v>46042</v>
      </c>
      <c r="I53" s="27">
        <f>IFERROR(__xludf.DUMMYFUNCTION("""COMPUTED_VALUE"""),1.0)</f>
        <v>1</v>
      </c>
      <c r="J53" s="28"/>
      <c r="K53" s="36" t="str">
        <f>IFERROR(__xludf.DUMMYFUNCTION("""COMPUTED_VALUE"""),"tidak ada barengan")</f>
        <v>tidak ada barengan</v>
      </c>
      <c r="L53" s="49"/>
      <c r="M53" s="20"/>
      <c r="N53" s="20"/>
      <c r="O53" s="20"/>
      <c r="P53" s="20"/>
    </row>
    <row r="54">
      <c r="A54" s="11">
        <f>IFERROR(__xludf.DUMMYFUNCTION("""COMPUTED_VALUE"""),46028.0)</f>
        <v>46028</v>
      </c>
      <c r="B54" s="12" t="str">
        <f>IFERROR(__xludf.DUMMYFUNCTION("""COMPUTED_VALUE"""),"2601D053")</f>
        <v>2601D053</v>
      </c>
      <c r="C54" s="10" t="str">
        <f>IFERROR(__xludf.DUMMYFUNCTION("""COMPUTED_VALUE"""),"Beni Kosnadi")</f>
        <v>Beni Kosnadi</v>
      </c>
      <c r="D54" s="13" t="str">
        <f>IFERROR(__xludf.DUMMYFUNCTION("""COMPUTED_VALUE"""),"082297981197")</f>
        <v>082297981197</v>
      </c>
      <c r="E54" s="14" t="str">
        <f>IFERROR(__xludf.DUMMYFUNCTION("""COMPUTED_VALUE"""),"Instagram")</f>
        <v>Instagram</v>
      </c>
      <c r="F54" s="14" t="str">
        <f>IFERROR(__xludf.DUMMYFUNCTION("""COMPUTED_VALUE"""),"Gagal")</f>
        <v>Gagal</v>
      </c>
      <c r="G54" s="15" t="str">
        <f>IFERROR(__xludf.DUMMYFUNCTION("""COMPUTED_VALUE"""),"OT 1 day Menjangan")</f>
        <v>OT 1 day Menjangan</v>
      </c>
      <c r="H54" s="16">
        <f>IFERROR(__xludf.DUMMYFUNCTION("""COMPUTED_VALUE"""),46039.0)</f>
        <v>46039</v>
      </c>
      <c r="I54" s="17">
        <f>IFERROR(__xludf.DUMMYFUNCTION("""COMPUTED_VALUE"""),1.0)</f>
        <v>1</v>
      </c>
      <c r="J54" s="18"/>
      <c r="K54" s="19" t="str">
        <f>IFERROR(__xludf.DUMMYFUNCTION("""COMPUTED_VALUE"""),"sdh dapat trip")</f>
        <v>sdh dapat trip</v>
      </c>
      <c r="L54" s="76"/>
      <c r="M54" s="20"/>
      <c r="N54" s="20"/>
      <c r="O54" s="20"/>
      <c r="P54" s="20"/>
    </row>
    <row r="55">
      <c r="A55" s="21">
        <f>IFERROR(__xludf.DUMMYFUNCTION("""COMPUTED_VALUE"""),46028.0)</f>
        <v>46028</v>
      </c>
      <c r="B55" s="22" t="str">
        <f>IFERROR(__xludf.DUMMYFUNCTION("""COMPUTED_VALUE"""),"2601D054")</f>
        <v>2601D054</v>
      </c>
      <c r="C55" s="23" t="str">
        <f>IFERROR(__xludf.DUMMYFUNCTION("""COMPUTED_VALUE"""),"Nsyw")</f>
        <v>Nsyw</v>
      </c>
      <c r="D55" s="24" t="str">
        <f>IFERROR(__xludf.DUMMYFUNCTION("""COMPUTED_VALUE"""),"085156302725")</f>
        <v>085156302725</v>
      </c>
      <c r="E55" s="14" t="str">
        <f>IFERROR(__xludf.DUMMYFUNCTION("""COMPUTED_VALUE"""),"Instagram")</f>
        <v>Instagram</v>
      </c>
      <c r="F55" s="14" t="str">
        <f>IFERROR(__xludf.DUMMYFUNCTION("""COMPUTED_VALUE"""),"Gagal")</f>
        <v>Gagal</v>
      </c>
      <c r="G55" s="15" t="str">
        <f>IFERROR(__xludf.DUMMYFUNCTION("""COMPUTED_VALUE"""),"OT 3H2M")</f>
        <v>OT 3H2M</v>
      </c>
      <c r="H55" s="26"/>
      <c r="I55" s="27"/>
      <c r="J55" s="28"/>
      <c r="K55" s="30" t="str">
        <f>IFERROR(__xludf.DUMMYFUNCTION("""COMPUTED_VALUE"""),"masih liat katalog")</f>
        <v>masih liat katalog</v>
      </c>
      <c r="L55" s="23"/>
      <c r="M55" s="20"/>
      <c r="N55" s="20"/>
      <c r="O55" s="20"/>
      <c r="P55" s="20"/>
    </row>
    <row r="56">
      <c r="A56" s="11">
        <f>IFERROR(__xludf.DUMMYFUNCTION("""COMPUTED_VALUE"""),46028.0)</f>
        <v>46028</v>
      </c>
      <c r="B56" s="12" t="str">
        <f>IFERROR(__xludf.DUMMYFUNCTION("""COMPUTED_VALUE"""),"2601D055")</f>
        <v>2601D055</v>
      </c>
      <c r="C56" s="10" t="str">
        <f>IFERROR(__xludf.DUMMYFUNCTION("""COMPUTED_VALUE"""),"Hari setiyawati ")</f>
        <v>Hari setiyawati </v>
      </c>
      <c r="D56" s="13" t="str">
        <f>IFERROR(__xludf.DUMMYFUNCTION("""COMPUTED_VALUE"""),"085921091374")</f>
        <v>085921091374</v>
      </c>
      <c r="E56" s="14" t="str">
        <f>IFERROR(__xludf.DUMMYFUNCTION("""COMPUTED_VALUE"""),"Website")</f>
        <v>Website</v>
      </c>
      <c r="F56" s="14" t="str">
        <f>IFERROR(__xludf.DUMMYFUNCTION("""COMPUTED_VALUE"""),"Gagal")</f>
        <v>Gagal</v>
      </c>
      <c r="G56" s="25" t="str">
        <f>IFERROR(__xludf.DUMMYFUNCTION("""COMPUTED_VALUE"""),"custom 3H2M")</f>
        <v>custom 3H2M</v>
      </c>
      <c r="H56" s="16"/>
      <c r="I56" s="80">
        <f>IFERROR(__xludf.DUMMYFUNCTION("""COMPUTED_VALUE"""),18.0)</f>
        <v>18</v>
      </c>
      <c r="J56" s="18"/>
      <c r="K56" s="46" t="str">
        <f>IFERROR(__xludf.DUMMYFUNCTION("""COMPUTED_VALUE"""),"tidak jadi budged tidak cukup")</f>
        <v>tidak jadi budged tidak cukup</v>
      </c>
      <c r="L56" s="10"/>
      <c r="M56" s="20"/>
      <c r="N56" s="20"/>
      <c r="O56" s="20"/>
      <c r="P56" s="20"/>
    </row>
    <row r="57">
      <c r="A57" s="21">
        <f>IFERROR(__xludf.DUMMYFUNCTION("""COMPUTED_VALUE"""),46028.0)</f>
        <v>46028</v>
      </c>
      <c r="B57" s="22" t="str">
        <f>IFERROR(__xludf.DUMMYFUNCTION("""COMPUTED_VALUE"""),"2601D056")</f>
        <v>2601D056</v>
      </c>
      <c r="C57" s="23" t="str">
        <f>IFERROR(__xludf.DUMMYFUNCTION("""COMPUTED_VALUE"""),"Robby rinaldy")</f>
        <v>Robby rinaldy</v>
      </c>
      <c r="D57" s="24" t="str">
        <f>IFERROR(__xludf.DUMMYFUNCTION("""COMPUTED_VALUE"""),"082122227424")</f>
        <v>082122227424</v>
      </c>
      <c r="E57" s="14" t="str">
        <f>IFERROR(__xludf.DUMMYFUNCTION("""COMPUTED_VALUE"""),"Instagram")</f>
        <v>Instagram</v>
      </c>
      <c r="F57" s="14" t="str">
        <f>IFERROR(__xludf.DUMMYFUNCTION("""COMPUTED_VALUE"""),"Gagal")</f>
        <v>Gagal</v>
      </c>
      <c r="G57" s="15"/>
      <c r="H57" s="26">
        <f>IFERROR(__xludf.DUMMYFUNCTION("""COMPUTED_VALUE"""),46038.0)</f>
        <v>46038</v>
      </c>
      <c r="I57" s="27">
        <f>IFERROR(__xludf.DUMMYFUNCTION("""COMPUTED_VALUE"""),1.0)</f>
        <v>1</v>
      </c>
      <c r="J57" s="33"/>
      <c r="K57" s="36" t="str">
        <f>IFERROR(__xludf.DUMMYFUNCTION("""COMPUTED_VALUE"""),"CARI TEMEN TRIP, lwt tanggal")</f>
        <v>CARI TEMEN TRIP, lwt tanggal</v>
      </c>
      <c r="L57" s="49"/>
      <c r="M57" s="20"/>
      <c r="N57" s="20"/>
      <c r="O57" s="20"/>
      <c r="P57" s="20"/>
    </row>
    <row r="58">
      <c r="A58" s="11">
        <f>IFERROR(__xludf.DUMMYFUNCTION("""COMPUTED_VALUE"""),46028.0)</f>
        <v>46028</v>
      </c>
      <c r="B58" s="12" t="str">
        <f>IFERROR(__xludf.DUMMYFUNCTION("""COMPUTED_VALUE"""),"2601D057")</f>
        <v>2601D057</v>
      </c>
      <c r="C58" s="10" t="str">
        <f>IFERROR(__xludf.DUMMYFUNCTION("""COMPUTED_VALUE"""),"Farrel Raynaldi")</f>
        <v>Farrel Raynaldi</v>
      </c>
      <c r="D58" s="13" t="str">
        <f>IFERROR(__xludf.DUMMYFUNCTION("""COMPUTED_VALUE"""),"087762831355")</f>
        <v>087762831355</v>
      </c>
      <c r="E58" s="14" t="str">
        <f>IFERROR(__xludf.DUMMYFUNCTION("""COMPUTED_VALUE"""),"Website")</f>
        <v>Website</v>
      </c>
      <c r="F58" s="14" t="str">
        <f>IFERROR(__xludf.DUMMYFUNCTION("""COMPUTED_VALUE"""),"Gagal")</f>
        <v>Gagal</v>
      </c>
      <c r="G58" s="15" t="str">
        <f>IFERROR(__xludf.DUMMYFUNCTION("""COMPUTED_VALUE"""),"3H2M")</f>
        <v>3H2M</v>
      </c>
      <c r="H58" s="16"/>
      <c r="I58" s="17">
        <f>IFERROR(__xludf.DUMMYFUNCTION("""COMPUTED_VALUE"""),30.0)</f>
        <v>30</v>
      </c>
      <c r="J58" s="18"/>
      <c r="K58" s="19" t="str">
        <f>IFERROR(__xludf.DUMMYFUNCTION("""COMPUTED_VALUE"""),"tidak jawab")</f>
        <v>tidak jawab</v>
      </c>
      <c r="L58" s="76"/>
      <c r="M58" s="20"/>
      <c r="N58" s="20"/>
      <c r="O58" s="20"/>
      <c r="P58" s="20"/>
    </row>
    <row r="59">
      <c r="A59" s="21">
        <f>IFERROR(__xludf.DUMMYFUNCTION("""COMPUTED_VALUE"""),46028.0)</f>
        <v>46028</v>
      </c>
      <c r="B59" s="22" t="str">
        <f>IFERROR(__xludf.DUMMYFUNCTION("""COMPUTED_VALUE"""),"2601D058")</f>
        <v>2601D058</v>
      </c>
      <c r="C59" s="23" t="str">
        <f>IFERROR(__xludf.DUMMYFUNCTION("""COMPUTED_VALUE"""),"Hajar adiwiyana ")</f>
        <v>Hajar adiwiyana </v>
      </c>
      <c r="D59" s="24" t="str">
        <f>IFERROR(__xludf.DUMMYFUNCTION("""COMPUTED_VALUE"""),"085755999900")</f>
        <v>085755999900</v>
      </c>
      <c r="E59" s="14" t="str">
        <f>IFERROR(__xludf.DUMMYFUNCTION("""COMPUTED_VALUE"""),"Instagram")</f>
        <v>Instagram</v>
      </c>
      <c r="F59" s="14" t="str">
        <f>IFERROR(__xludf.DUMMYFUNCTION("""COMPUTED_VALUE"""),"Gagal")</f>
        <v>Gagal</v>
      </c>
      <c r="G59" s="14" t="str">
        <f>IFERROR(__xludf.DUMMYFUNCTION("""COMPUTED_VALUE"""),"2H1M")</f>
        <v>2H1M</v>
      </c>
      <c r="H59" s="26"/>
      <c r="I59" s="27">
        <f>IFERROR(__xludf.DUMMYFUNCTION("""COMPUTED_VALUE"""),2.0)</f>
        <v>2</v>
      </c>
      <c r="J59" s="28"/>
      <c r="K59" s="30" t="str">
        <f>IFERROR(__xludf.DUMMYFUNCTION("""COMPUTED_VALUE"""),"pending ke bwi")</f>
        <v>pending ke bwi</v>
      </c>
      <c r="L59" s="23"/>
      <c r="M59" s="20"/>
      <c r="N59" s="20"/>
      <c r="O59" s="20"/>
      <c r="P59" s="20"/>
    </row>
    <row r="60">
      <c r="A60" s="11">
        <f>IFERROR(__xludf.DUMMYFUNCTION("""COMPUTED_VALUE"""),46028.0)</f>
        <v>46028</v>
      </c>
      <c r="B60" s="12" t="str">
        <f>IFERROR(__xludf.DUMMYFUNCTION("""COMPUTED_VALUE"""),"2601D059")</f>
        <v>2601D059</v>
      </c>
      <c r="C60" s="10" t="str">
        <f>IFERROR(__xludf.DUMMYFUNCTION("""COMPUTED_VALUE"""),"Weny")</f>
        <v>Weny</v>
      </c>
      <c r="D60" s="13" t="str">
        <f>IFERROR(__xludf.DUMMYFUNCTION("""COMPUTED_VALUE"""),"08125262656")</f>
        <v>08125262656</v>
      </c>
      <c r="E60" s="14" t="str">
        <f>IFERROR(__xludf.DUMMYFUNCTION("""COMPUTED_VALUE"""),"Website")</f>
        <v>Website</v>
      </c>
      <c r="F60" s="14" t="str">
        <f>IFERROR(__xludf.DUMMYFUNCTION("""COMPUTED_VALUE"""),"Gagal")</f>
        <v>Gagal</v>
      </c>
      <c r="G60" s="25" t="str">
        <f>IFERROR(__xludf.DUMMYFUNCTION("""COMPUTED_VALUE"""),"2H1M")</f>
        <v>2H1M</v>
      </c>
      <c r="H60" s="16"/>
      <c r="I60" s="17"/>
      <c r="J60" s="18"/>
      <c r="K60" s="19" t="str">
        <f>IFERROR(__xludf.DUMMYFUNCTION("""COMPUTED_VALUE"""),"start sby")</f>
        <v>start sby</v>
      </c>
      <c r="L60" s="76"/>
      <c r="M60" s="20"/>
      <c r="N60" s="20"/>
      <c r="O60" s="20"/>
      <c r="P60" s="20"/>
    </row>
    <row r="61">
      <c r="A61" s="21">
        <f>IFERROR(__xludf.DUMMYFUNCTION("""COMPUTED_VALUE"""),46028.0)</f>
        <v>46028</v>
      </c>
      <c r="B61" s="22" t="str">
        <f>IFERROR(__xludf.DUMMYFUNCTION("""COMPUTED_VALUE"""),"2601D060")</f>
        <v>2601D060</v>
      </c>
      <c r="C61" s="23" t="str">
        <f>IFERROR(__xludf.DUMMYFUNCTION("""COMPUTED_VALUE"""),"Yande BaliBagus")</f>
        <v>Yande BaliBagus</v>
      </c>
      <c r="D61" s="24" t="str">
        <f>IFERROR(__xludf.DUMMYFUNCTION("""COMPUTED_VALUE"""),"081225318054")</f>
        <v>081225318054</v>
      </c>
      <c r="E61" s="14" t="str">
        <f>IFERROR(__xludf.DUMMYFUNCTION("""COMPUTED_VALUE"""),"Website")</f>
        <v>Website</v>
      </c>
      <c r="F61" s="14" t="str">
        <f>IFERROR(__xludf.DUMMYFUNCTION("""COMPUTED_VALUE"""),"Gagal")</f>
        <v>Gagal</v>
      </c>
      <c r="G61" s="14" t="str">
        <f>IFERROR(__xludf.DUMMYFUNCTION("""COMPUTED_VALUE"""),"2H1M (trekking ijen)")</f>
        <v>2H1M (trekking ijen)</v>
      </c>
      <c r="H61" s="26"/>
      <c r="I61" s="27">
        <f>IFERROR(__xludf.DUMMYFUNCTION("""COMPUTED_VALUE"""),4.0)</f>
        <v>4</v>
      </c>
      <c r="J61" s="28">
        <f>IFERROR(__xludf.DUMMYFUNCTION("""COMPUTED_VALUE"""),6600000.0)</f>
        <v>6600000</v>
      </c>
      <c r="K61" s="30" t="str">
        <f>IFERROR(__xludf.DUMMYFUNCTION("""COMPUTED_VALUE"""),"follow up akhir februari")</f>
        <v>follow up akhir februari</v>
      </c>
      <c r="L61" s="23"/>
      <c r="M61" s="20"/>
      <c r="N61" s="20"/>
      <c r="O61" s="20"/>
      <c r="P61" s="20"/>
    </row>
    <row r="62">
      <c r="A62" s="11">
        <f>IFERROR(__xludf.DUMMYFUNCTION("""COMPUTED_VALUE"""),46028.0)</f>
        <v>46028</v>
      </c>
      <c r="B62" s="12" t="str">
        <f>IFERROR(__xludf.DUMMYFUNCTION("""COMPUTED_VALUE"""),"2601D061")</f>
        <v>2601D061</v>
      </c>
      <c r="C62" s="10" t="str">
        <f>IFERROR(__xludf.DUMMYFUNCTION("""COMPUTED_VALUE"""),"Sinta julianti ")</f>
        <v>Sinta julianti </v>
      </c>
      <c r="D62" s="13" t="str">
        <f>IFERROR(__xludf.DUMMYFUNCTION("""COMPUTED_VALUE"""),"085865365502")</f>
        <v>085865365502</v>
      </c>
      <c r="E62" s="14" t="str">
        <f>IFERROR(__xludf.DUMMYFUNCTION("""COMPUTED_VALUE"""),"Instagram")</f>
        <v>Instagram</v>
      </c>
      <c r="F62" s="14" t="str">
        <f>IFERROR(__xludf.DUMMYFUNCTION("""COMPUTED_VALUE"""),"Gagal")</f>
        <v>Gagal</v>
      </c>
      <c r="G62" s="14"/>
      <c r="H62" s="16"/>
      <c r="I62" s="17"/>
      <c r="J62" s="54"/>
      <c r="K62" s="46" t="str">
        <f>IFERROR(__xludf.DUMMYFUNCTION("""COMPUTED_VALUE"""),"tidak jawab")</f>
        <v>tidak jawab</v>
      </c>
      <c r="L62" s="10"/>
      <c r="M62" s="20"/>
      <c r="N62" s="20"/>
      <c r="O62" s="20"/>
      <c r="P62" s="20"/>
    </row>
    <row r="63">
      <c r="A63" s="21">
        <f>IFERROR(__xludf.DUMMYFUNCTION("""COMPUTED_VALUE"""),46029.0)</f>
        <v>46029</v>
      </c>
      <c r="B63" s="22" t="str">
        <f>IFERROR(__xludf.DUMMYFUNCTION("""COMPUTED_VALUE"""),"2601D062")</f>
        <v>2601D062</v>
      </c>
      <c r="C63" s="23" t="str">
        <f>IFERROR(__xludf.DUMMYFUNCTION("""COMPUTED_VALUE"""),"Rachel")</f>
        <v>Rachel</v>
      </c>
      <c r="D63" s="24" t="str">
        <f>IFERROR(__xludf.DUMMYFUNCTION("""COMPUTED_VALUE"""),"085775220152")</f>
        <v>085775220152</v>
      </c>
      <c r="E63" s="14" t="str">
        <f>IFERROR(__xludf.DUMMYFUNCTION("""COMPUTED_VALUE"""),"Instagram")</f>
        <v>Instagram</v>
      </c>
      <c r="F63" s="14" t="str">
        <f>IFERROR(__xludf.DUMMYFUNCTION("""COMPUTED_VALUE"""),"Gagal")</f>
        <v>Gagal</v>
      </c>
      <c r="G63" s="15"/>
      <c r="H63" s="83">
        <f>IFERROR(__xludf.DUMMYFUNCTION("""COMPUTED_VALUE"""),46038.0)</f>
        <v>46038</v>
      </c>
      <c r="I63" s="27"/>
      <c r="J63" s="33"/>
      <c r="K63" s="36" t="str">
        <f>IFERROR(__xludf.DUMMYFUNCTION("""COMPUTED_VALUE"""),"tidak jawab")</f>
        <v>tidak jawab</v>
      </c>
      <c r="L63" s="49"/>
      <c r="M63" s="20"/>
      <c r="N63" s="20"/>
      <c r="O63" s="20"/>
      <c r="P63" s="20"/>
    </row>
    <row r="64">
      <c r="A64" s="11">
        <f>IFERROR(__xludf.DUMMYFUNCTION("""COMPUTED_VALUE"""),46029.0)</f>
        <v>46029</v>
      </c>
      <c r="B64" s="12" t="str">
        <f>IFERROR(__xludf.DUMMYFUNCTION("""COMPUTED_VALUE"""),"2601D063")</f>
        <v>2601D063</v>
      </c>
      <c r="C64" s="10" t="str">
        <f>IFERROR(__xludf.DUMMYFUNCTION("""COMPUTED_VALUE"""),"Sobar")</f>
        <v>Sobar</v>
      </c>
      <c r="D64" s="13" t="str">
        <f>IFERROR(__xludf.DUMMYFUNCTION("""COMPUTED_VALUE"""),"081353674012")</f>
        <v>081353674012</v>
      </c>
      <c r="E64" s="14" t="str">
        <f>IFERROR(__xludf.DUMMYFUNCTION("""COMPUTED_VALUE"""),"Lainnya")</f>
        <v>Lainnya</v>
      </c>
      <c r="F64" s="14" t="str">
        <f>IFERROR(__xludf.DUMMYFUNCTION("""COMPUTED_VALUE"""),"Gagal")</f>
        <v>Gagal</v>
      </c>
      <c r="G64" s="14" t="str">
        <f>IFERROR(__xludf.DUMMYFUNCTION("""COMPUTED_VALUE"""),"OT D TI")</f>
        <v>OT D TI</v>
      </c>
      <c r="H64" s="16">
        <f>IFERROR(__xludf.DUMMYFUNCTION("""COMPUTED_VALUE"""),46030.0)</f>
        <v>46030</v>
      </c>
      <c r="I64" s="17">
        <f>IFERROR(__xludf.DUMMYFUNCTION("""COMPUTED_VALUE"""),1.0)</f>
        <v>1</v>
      </c>
      <c r="J64" s="18"/>
      <c r="K64" s="19" t="str">
        <f>IFERROR(__xludf.DUMMYFUNCTION("""COMPUTED_VALUE"""),"tidak ada barengan")</f>
        <v>tidak ada barengan</v>
      </c>
      <c r="L64" s="76"/>
      <c r="M64" s="20"/>
      <c r="N64" s="20"/>
      <c r="O64" s="20"/>
      <c r="P64" s="20"/>
    </row>
    <row r="65">
      <c r="A65" s="21">
        <f>IFERROR(__xludf.DUMMYFUNCTION("""COMPUTED_VALUE"""),46030.0)</f>
        <v>46030</v>
      </c>
      <c r="B65" s="22" t="str">
        <f>IFERROR(__xludf.DUMMYFUNCTION("""COMPUTED_VALUE"""),"2601D064")</f>
        <v>2601D064</v>
      </c>
      <c r="C65" s="23" t="str">
        <f>IFERROR(__xludf.DUMMYFUNCTION("""COMPUTED_VALUE"""),"Nanik A")</f>
        <v>Nanik A</v>
      </c>
      <c r="D65" s="24" t="str">
        <f>IFERROR(__xludf.DUMMYFUNCTION("""COMPUTED_VALUE"""),"082225737622")</f>
        <v>082225737622</v>
      </c>
      <c r="E65" s="14" t="str">
        <f>IFERROR(__xludf.DUMMYFUNCTION("""COMPUTED_VALUE"""),"Instagram")</f>
        <v>Instagram</v>
      </c>
      <c r="F65" s="14" t="str">
        <f>IFERROR(__xludf.DUMMYFUNCTION("""COMPUTED_VALUE"""),"Gagal")</f>
        <v>Gagal</v>
      </c>
      <c r="G65" s="15" t="str">
        <f>IFERROR(__xludf.DUMMYFUNCTION("""COMPUTED_VALUE"""),"Trip djawatan baluran")</f>
        <v>Trip djawatan baluran</v>
      </c>
      <c r="H65" s="26"/>
      <c r="I65" s="27">
        <f>IFERROR(__xludf.DUMMYFUNCTION("""COMPUTED_VALUE"""),3.0)</f>
        <v>3</v>
      </c>
      <c r="J65" s="33"/>
      <c r="K65" s="36" t="str">
        <f>IFERROR(__xludf.DUMMYFUNCTION("""COMPUTED_VALUE"""),"nunggu jadwal cuti")</f>
        <v>nunggu jadwal cuti</v>
      </c>
      <c r="L65" s="23"/>
      <c r="M65" s="20"/>
      <c r="N65" s="20"/>
      <c r="O65" s="20"/>
      <c r="P65" s="20"/>
    </row>
    <row r="66">
      <c r="A66" s="11">
        <f>IFERROR(__xludf.DUMMYFUNCTION("""COMPUTED_VALUE"""),46030.0)</f>
        <v>46030</v>
      </c>
      <c r="B66" s="12" t="str">
        <f>IFERROR(__xludf.DUMMYFUNCTION("""COMPUTED_VALUE"""),"2601D065")</f>
        <v>2601D065</v>
      </c>
      <c r="C66" s="10" t="str">
        <f>IFERROR(__xludf.DUMMYFUNCTION("""COMPUTED_VALUE"""),"Ganang Age")</f>
        <v>Ganang Age</v>
      </c>
      <c r="D66" s="13" t="str">
        <f>IFERROR(__xludf.DUMMYFUNCTION("""COMPUTED_VALUE"""),"0895363160977")</f>
        <v>0895363160977</v>
      </c>
      <c r="E66" s="14" t="str">
        <f>IFERROR(__xludf.DUMMYFUNCTION("""COMPUTED_VALUE"""),"Lainnya")</f>
        <v>Lainnya</v>
      </c>
      <c r="F66" s="14" t="str">
        <f>IFERROR(__xludf.DUMMYFUNCTION("""COMPUTED_VALUE"""),"Gagal")</f>
        <v>Gagal</v>
      </c>
      <c r="G66" s="14"/>
      <c r="H66" s="16"/>
      <c r="I66" s="17"/>
      <c r="J66" s="18"/>
      <c r="K66" s="19" t="str">
        <f>IFERROR(__xludf.DUMMYFUNCTION("""COMPUTED_VALUE"""),"tidak jawab")</f>
        <v>tidak jawab</v>
      </c>
      <c r="L66" s="76"/>
      <c r="M66" s="20"/>
      <c r="N66" s="20"/>
      <c r="O66" s="20"/>
      <c r="P66" s="20"/>
    </row>
    <row r="67">
      <c r="A67" s="21">
        <f>IFERROR(__xludf.DUMMYFUNCTION("""COMPUTED_VALUE"""),46030.0)</f>
        <v>46030</v>
      </c>
      <c r="B67" s="22" t="str">
        <f>IFERROR(__xludf.DUMMYFUNCTION("""COMPUTED_VALUE"""),"2601D066")</f>
        <v>2601D066</v>
      </c>
      <c r="C67" s="23" t="str">
        <f>IFERROR(__xludf.DUMMYFUNCTION("""COMPUTED_VALUE"""),"Adhelia")</f>
        <v>Adhelia</v>
      </c>
      <c r="D67" s="24" t="str">
        <f>IFERROR(__xludf.DUMMYFUNCTION("""COMPUTED_VALUE"""),"082335290562")</f>
        <v>082335290562</v>
      </c>
      <c r="E67" s="14" t="str">
        <f>IFERROR(__xludf.DUMMYFUNCTION("""COMPUTED_VALUE"""),"Lainnya")</f>
        <v>Lainnya</v>
      </c>
      <c r="F67" s="14" t="str">
        <f>IFERROR(__xludf.DUMMYFUNCTION("""COMPUTED_VALUE"""),"Gagal")</f>
        <v>Gagal</v>
      </c>
      <c r="G67" s="14" t="str">
        <f>IFERROR(__xludf.DUMMYFUNCTION("""COMPUTED_VALUE"""),"Trip baluran ")</f>
        <v>Trip baluran </v>
      </c>
      <c r="H67" s="26"/>
      <c r="I67" s="27">
        <f>IFERROR(__xludf.DUMMYFUNCTION("""COMPUTED_VALUE"""),4.0)</f>
        <v>4</v>
      </c>
      <c r="J67" s="28"/>
      <c r="K67" s="36" t="str">
        <f>IFERROR(__xludf.DUMMYFUNCTION("""COMPUTED_VALUE"""),"ga jawab")</f>
        <v>ga jawab</v>
      </c>
      <c r="L67" s="49"/>
      <c r="M67" s="20"/>
      <c r="N67" s="20"/>
      <c r="O67" s="20"/>
      <c r="P67" s="20"/>
    </row>
    <row r="68">
      <c r="A68" s="11">
        <f>IFERROR(__xludf.DUMMYFUNCTION("""COMPUTED_VALUE"""),46030.0)</f>
        <v>46030</v>
      </c>
      <c r="B68" s="12" t="str">
        <f>IFERROR(__xludf.DUMMYFUNCTION("""COMPUTED_VALUE"""),"2601D067")</f>
        <v>2601D067</v>
      </c>
      <c r="C68" s="10" t="str">
        <f>IFERROR(__xludf.DUMMYFUNCTION("""COMPUTED_VALUE"""),"Khoirunnisa' linaas ")</f>
        <v>Khoirunnisa' linaas </v>
      </c>
      <c r="D68" s="13" t="str">
        <f>IFERROR(__xludf.DUMMYFUNCTION("""COMPUTED_VALUE"""),"081230352078")</f>
        <v>081230352078</v>
      </c>
      <c r="E68" s="14" t="str">
        <f>IFERROR(__xludf.DUMMYFUNCTION("""COMPUTED_VALUE"""),"Instagram")</f>
        <v>Instagram</v>
      </c>
      <c r="F68" s="14" t="str">
        <f>IFERROR(__xludf.DUMMYFUNCTION("""COMPUTED_VALUE"""),"Gagal")</f>
        <v>Gagal</v>
      </c>
      <c r="G68" s="14" t="str">
        <f>IFERROR(__xludf.DUMMYFUNCTION("""COMPUTED_VALUE"""),"tim building KW")</f>
        <v>tim building KW</v>
      </c>
      <c r="H68" s="16"/>
      <c r="I68" s="17">
        <f>IFERROR(__xludf.DUMMYFUNCTION("""COMPUTED_VALUE"""),100.0)</f>
        <v>100</v>
      </c>
      <c r="J68" s="54">
        <f>IFERROR(__xludf.DUMMYFUNCTION("""COMPUTED_VALUE"""),1.75E7)</f>
        <v>17500000</v>
      </c>
      <c r="K68" s="46" t="str">
        <f>IFERROR(__xludf.DUMMYFUNCTION("""COMPUTED_VALUE"""),"tidak ada jawaban")</f>
        <v>tidak ada jawaban</v>
      </c>
      <c r="L68" s="10"/>
      <c r="M68" s="20"/>
      <c r="N68" s="20"/>
      <c r="O68" s="20"/>
      <c r="P68" s="20"/>
    </row>
    <row r="69">
      <c r="A69" s="21">
        <f>IFERROR(__xludf.DUMMYFUNCTION("""COMPUTED_VALUE"""),46030.0)</f>
        <v>46030</v>
      </c>
      <c r="B69" s="22" t="str">
        <f>IFERROR(__xludf.DUMMYFUNCTION("""COMPUTED_VALUE"""),"2601D068")</f>
        <v>2601D068</v>
      </c>
      <c r="C69" s="23" t="str">
        <f>IFERROR(__xludf.DUMMYFUNCTION("""COMPUTED_VALUE"""),"No name WNA WNI")</f>
        <v>No name WNA WNI</v>
      </c>
      <c r="D69" s="24" t="str">
        <f>IFERROR(__xludf.DUMMYFUNCTION("""COMPUTED_VALUE"""),"085784629188")</f>
        <v>085784629188</v>
      </c>
      <c r="E69" s="14" t="str">
        <f>IFERROR(__xludf.DUMMYFUNCTION("""COMPUTED_VALUE"""),"Lainnya")</f>
        <v>Lainnya</v>
      </c>
      <c r="F69" s="14" t="str">
        <f>IFERROR(__xludf.DUMMYFUNCTION("""COMPUTED_VALUE"""),"Gagal")</f>
        <v>Gagal</v>
      </c>
      <c r="G69" s="14" t="str">
        <f>IFERROR(__xludf.DUMMYFUNCTION("""COMPUTED_VALUE"""),"custom desinasi")</f>
        <v>custom desinasi</v>
      </c>
      <c r="H69" s="26"/>
      <c r="I69" s="27">
        <f>IFERROR(__xludf.DUMMYFUNCTION("""COMPUTED_VALUE"""),2.0)</f>
        <v>2</v>
      </c>
      <c r="J69" s="28"/>
      <c r="K69" s="30" t="str">
        <f>IFERROR(__xludf.DUMMYFUNCTION("""COMPUTED_VALUE"""),"buat penawaran, FU pertengahan jan")</f>
        <v>buat penawaran, FU pertengahan jan</v>
      </c>
      <c r="L69" s="23"/>
      <c r="M69" s="20"/>
      <c r="N69" s="20"/>
      <c r="O69" s="20"/>
      <c r="P69" s="20"/>
    </row>
    <row r="70">
      <c r="A70" s="11">
        <f>IFERROR(__xludf.DUMMYFUNCTION("""COMPUTED_VALUE"""),46030.0)</f>
        <v>46030</v>
      </c>
      <c r="B70" s="12" t="str">
        <f>IFERROR(__xludf.DUMMYFUNCTION("""COMPUTED_VALUE"""),"2601D069")</f>
        <v>2601D069</v>
      </c>
      <c r="C70" s="10" t="str">
        <f>IFERROR(__xludf.DUMMYFUNCTION("""COMPUTED_VALUE"""),"No name Maret")</f>
        <v>No name Maret</v>
      </c>
      <c r="D70" s="13" t="str">
        <f>IFERROR(__xludf.DUMMYFUNCTION("""COMPUTED_VALUE"""),"081236371881")</f>
        <v>081236371881</v>
      </c>
      <c r="E70" s="14" t="str">
        <f>IFERROR(__xludf.DUMMYFUNCTION("""COMPUTED_VALUE"""),"Instagram")</f>
        <v>Instagram</v>
      </c>
      <c r="F70" s="14" t="str">
        <f>IFERROR(__xludf.DUMMYFUNCTION("""COMPUTED_VALUE"""),"Gagal")</f>
        <v>Gagal</v>
      </c>
      <c r="G70" s="14" t="str">
        <f>IFERROR(__xludf.DUMMYFUNCTION("""COMPUTED_VALUE"""),"OT 3H2M")</f>
        <v>OT 3H2M</v>
      </c>
      <c r="H70" s="79"/>
      <c r="I70" s="17"/>
      <c r="J70" s="18">
        <f>IFERROR(__xludf.DUMMYFUNCTION("""COMPUTED_VALUE"""),6400000.0)</f>
        <v>6400000</v>
      </c>
      <c r="K70" s="46" t="str">
        <f>IFERROR(__xludf.DUMMYFUNCTION("""COMPUTED_VALUE"""),"tidak ada jawaban, sudah fu 5 kali")</f>
        <v>tidak ada jawaban, sudah fu 5 kali</v>
      </c>
      <c r="L70" s="10"/>
      <c r="M70" s="20"/>
      <c r="N70" s="20"/>
      <c r="O70" s="20"/>
      <c r="P70" s="20"/>
    </row>
    <row r="71">
      <c r="A71" s="21">
        <f>IFERROR(__xludf.DUMMYFUNCTION("""COMPUTED_VALUE"""),46030.0)</f>
        <v>46030</v>
      </c>
      <c r="B71" s="22" t="str">
        <f>IFERROR(__xludf.DUMMYFUNCTION("""COMPUTED_VALUE"""),"2601D070")</f>
        <v>2601D070</v>
      </c>
      <c r="C71" s="23" t="str">
        <f>IFERROR(__xludf.DUMMYFUNCTION("""COMPUTED_VALUE"""),"Alfian ")</f>
        <v>Alfian </v>
      </c>
      <c r="D71" s="24" t="str">
        <f>IFERROR(__xludf.DUMMYFUNCTION("""COMPUTED_VALUE"""),"085729019851")</f>
        <v>085729019851</v>
      </c>
      <c r="E71" s="14" t="str">
        <f>IFERROR(__xludf.DUMMYFUNCTION("""COMPUTED_VALUE"""),"Lainnya")</f>
        <v>Lainnya</v>
      </c>
      <c r="F71" s="14" t="str">
        <f>IFERROR(__xludf.DUMMYFUNCTION("""COMPUTED_VALUE"""),"Gagal")</f>
        <v>Gagal</v>
      </c>
      <c r="G71" s="15" t="str">
        <f>IFERROR(__xludf.DUMMYFUNCTION("""COMPUTED_VALUE"""),"private trip")</f>
        <v>private trip</v>
      </c>
      <c r="H71" s="26"/>
      <c r="I71" s="27">
        <f>IFERROR(__xludf.DUMMYFUNCTION("""COMPUTED_VALUE"""),5.0)</f>
        <v>5</v>
      </c>
      <c r="J71" s="28"/>
      <c r="K71" s="36" t="str">
        <f>IFERROR(__xludf.DUMMYFUNCTION("""COMPUTED_VALUE"""),"tanya tanya, sudah FU tgl 9")</f>
        <v>tanya tanya, sudah FU tgl 9</v>
      </c>
      <c r="L71" s="49"/>
      <c r="M71" s="20"/>
      <c r="N71" s="20"/>
      <c r="O71" s="20"/>
      <c r="P71" s="20"/>
    </row>
    <row r="72">
      <c r="A72" s="11">
        <f>IFERROR(__xludf.DUMMYFUNCTION("""COMPUTED_VALUE"""),46030.0)</f>
        <v>46030</v>
      </c>
      <c r="B72" s="12" t="str">
        <f>IFERROR(__xludf.DUMMYFUNCTION("""COMPUTED_VALUE"""),"2601D071")</f>
        <v>2601D071</v>
      </c>
      <c r="C72" s="10" t="str">
        <f>IFERROR(__xludf.DUMMYFUNCTION("""COMPUTED_VALUE"""),"Terry sukma ezaria")</f>
        <v>Terry sukma ezaria</v>
      </c>
      <c r="D72" s="13" t="str">
        <f>IFERROR(__xludf.DUMMYFUNCTION("""COMPUTED_VALUE"""),"081910004277")</f>
        <v>081910004277</v>
      </c>
      <c r="E72" s="14" t="str">
        <f>IFERROR(__xludf.DUMMYFUNCTION("""COMPUTED_VALUE"""),"Instagram")</f>
        <v>Instagram</v>
      </c>
      <c r="F72" s="14" t="str">
        <f>IFERROR(__xludf.DUMMYFUNCTION("""COMPUTED_VALUE"""),"Prospek")</f>
        <v>Prospek</v>
      </c>
      <c r="G72" s="14" t="str">
        <f>IFERROR(__xludf.DUMMYFUNCTION("""COMPUTED_VALUE"""),"paket custom")</f>
        <v>paket custom</v>
      </c>
      <c r="H72" s="16"/>
      <c r="I72" s="17"/>
      <c r="J72" s="18">
        <f>IFERROR(__xludf.DUMMYFUNCTION("""COMPUTED_VALUE"""),1.44E8)</f>
        <v>144000000</v>
      </c>
      <c r="K72" s="19" t="str">
        <f>IFERROR(__xludf.DUMMYFUNCTION("""COMPUTED_VALUE"""),"buat penawaran, FU 2 Juni ")</f>
        <v>buat penawaran, FU 2 Juni </v>
      </c>
      <c r="L72" s="88" t="str">
        <f>IFERROR(__xludf.DUMMYFUNCTION("""COMPUTED_VALUE"""),"https://docs.google.com/document/d/1fMFdvXachGDtyak_UDLjTqjsPv8dJU-8h8riaob89KM/edit?tab=t.0")</f>
        <v>https://docs.google.com/document/d/1fMFdvXachGDtyak_UDLjTqjsPv8dJU-8h8riaob89KM/edit?tab=t.0</v>
      </c>
      <c r="M72" s="20"/>
      <c r="N72" s="20"/>
      <c r="O72" s="20"/>
      <c r="P72" s="20"/>
    </row>
    <row r="73">
      <c r="A73" s="21">
        <f>IFERROR(__xludf.DUMMYFUNCTION("""COMPUTED_VALUE"""),46030.0)</f>
        <v>46030</v>
      </c>
      <c r="B73" s="22" t="str">
        <f>IFERROR(__xludf.DUMMYFUNCTION("""COMPUTED_VALUE"""),"2601D072")</f>
        <v>2601D072</v>
      </c>
      <c r="C73" s="23" t="str">
        <f>IFERROR(__xludf.DUMMYFUNCTION("""COMPUTED_VALUE"""),"Novia dian  ")</f>
        <v>Novia dian  </v>
      </c>
      <c r="D73" s="24" t="str">
        <f>IFERROR(__xludf.DUMMYFUNCTION("""COMPUTED_VALUE"""),"087748304348")</f>
        <v>087748304348</v>
      </c>
      <c r="E73" s="14" t="str">
        <f>IFERROR(__xludf.DUMMYFUNCTION("""COMPUTED_VALUE"""),"Instagram")</f>
        <v>Instagram</v>
      </c>
      <c r="F73" s="14" t="str">
        <f>IFERROR(__xludf.DUMMYFUNCTION("""COMPUTED_VALUE"""),"Gagal")</f>
        <v>Gagal</v>
      </c>
      <c r="G73" s="14" t="str">
        <f>IFERROR(__xludf.DUMMYFUNCTION("""COMPUTED_VALUE"""),"OT 3H2M")</f>
        <v>OT 3H2M</v>
      </c>
      <c r="H73" s="26"/>
      <c r="I73" s="27">
        <f>IFERROR(__xludf.DUMMYFUNCTION("""COMPUTED_VALUE"""),1.0)</f>
        <v>1</v>
      </c>
      <c r="J73" s="33"/>
      <c r="K73" s="36" t="str">
        <f>IFERROR(__xludf.DUMMYFUNCTION("""COMPUTED_VALUE"""),"tidak ada jawaban dan barengan, lewat tanggal")</f>
        <v>tidak ada jawaban dan barengan, lewat tanggal</v>
      </c>
      <c r="L73" s="49"/>
      <c r="M73" s="20"/>
      <c r="N73" s="20"/>
      <c r="O73" s="20"/>
      <c r="P73" s="20"/>
    </row>
    <row r="74">
      <c r="A74" s="11">
        <f>IFERROR(__xludf.DUMMYFUNCTION("""COMPUTED_VALUE"""),46031.0)</f>
        <v>46031</v>
      </c>
      <c r="B74" s="12" t="str">
        <f>IFERROR(__xludf.DUMMYFUNCTION("""COMPUTED_VALUE"""),"2601D073")</f>
        <v>2601D073</v>
      </c>
      <c r="C74" s="10" t="str">
        <f>IFERROR(__xludf.DUMMYFUNCTION("""COMPUTED_VALUE"""),"Nusroh Linnas")</f>
        <v>Nusroh Linnas</v>
      </c>
      <c r="D74" s="13" t="str">
        <f>IFERROR(__xludf.DUMMYFUNCTION("""COMPUTED_VALUE"""),"08973257454")</f>
        <v>08973257454</v>
      </c>
      <c r="E74" s="14" t="str">
        <f>IFERROR(__xludf.DUMMYFUNCTION("""COMPUTED_VALUE"""),"Instagram")</f>
        <v>Instagram</v>
      </c>
      <c r="F74" s="14" t="str">
        <f>IFERROR(__xludf.DUMMYFUNCTION("""COMPUTED_VALUE"""),"Gagal")</f>
        <v>Gagal</v>
      </c>
      <c r="G74" s="25"/>
      <c r="H74" s="16"/>
      <c r="I74" s="17"/>
      <c r="J74" s="18"/>
      <c r="K74" s="19" t="str">
        <f>IFERROR(__xludf.DUMMYFUNCTION("""COMPUTED_VALUE"""),"tanya terkait dokumentasi ")</f>
        <v>tanya terkait dokumentasi </v>
      </c>
      <c r="L74" s="76"/>
      <c r="M74" s="20"/>
      <c r="N74" s="20"/>
      <c r="O74" s="20"/>
      <c r="P74" s="20"/>
    </row>
    <row r="75">
      <c r="A75" s="21">
        <f>IFERROR(__xludf.DUMMYFUNCTION("""COMPUTED_VALUE"""),46031.0)</f>
        <v>46031</v>
      </c>
      <c r="B75" s="22" t="str">
        <f>IFERROR(__xludf.DUMMYFUNCTION("""COMPUTED_VALUE"""),"2601D074")</f>
        <v>2601D074</v>
      </c>
      <c r="C75" s="23" t="str">
        <f>IFERROR(__xludf.DUMMYFUNCTION("""COMPUTED_VALUE"""),"Khalisa")</f>
        <v>Khalisa</v>
      </c>
      <c r="D75" s="24" t="str">
        <f>IFERROR(__xludf.DUMMYFUNCTION("""COMPUTED_VALUE"""),"082159266648")</f>
        <v>082159266648</v>
      </c>
      <c r="E75" s="14" t="str">
        <f>IFERROR(__xludf.DUMMYFUNCTION("""COMPUTED_VALUE"""),"Instagram")</f>
        <v>Instagram</v>
      </c>
      <c r="F75" s="14" t="str">
        <f>IFERROR(__xludf.DUMMYFUNCTION("""COMPUTED_VALUE"""),"Gagal")</f>
        <v>Gagal</v>
      </c>
      <c r="G75" s="14" t="str">
        <f>IFERROR(__xludf.DUMMYFUNCTION("""COMPUTED_VALUE"""),"Open trip MT")</f>
        <v>Open trip MT</v>
      </c>
      <c r="H75" s="26"/>
      <c r="I75" s="27"/>
      <c r="J75" s="33">
        <f>IFERROR(__xludf.DUMMYFUNCTION("""COMPUTED_VALUE"""),1475000.0)</f>
        <v>1475000</v>
      </c>
      <c r="K75" s="36" t="str">
        <f>IFERROR(__xludf.DUMMYFUNCTION("""COMPUTED_VALUE"""),"gajadi liburan tahun inii")</f>
        <v>gajadi liburan tahun inii</v>
      </c>
      <c r="L75" s="81" t="str">
        <f>IFERROR(__xludf.DUMMYFUNCTION("""COMPUTED_VALUE"""),"https://docs.google.com/document/d/1vdzggSvQW_6p_JDwwPzKp9o4Qo3PymCg6LpFHcmIR1M/edit?tab=t.0")</f>
        <v>https://docs.google.com/document/d/1vdzggSvQW_6p_JDwwPzKp9o4Qo3PymCg6LpFHcmIR1M/edit?tab=t.0</v>
      </c>
      <c r="M75" s="20"/>
      <c r="N75" s="20"/>
      <c r="O75" s="20"/>
      <c r="P75" s="20"/>
    </row>
    <row r="76">
      <c r="A76" s="11">
        <f>IFERROR(__xludf.DUMMYFUNCTION("""COMPUTED_VALUE"""),46031.0)</f>
        <v>46031</v>
      </c>
      <c r="B76" s="12" t="str">
        <f>IFERROR(__xludf.DUMMYFUNCTION("""COMPUTED_VALUE"""),"2601D075")</f>
        <v>2601D075</v>
      </c>
      <c r="C76" s="10" t="str">
        <f>IFERROR(__xludf.DUMMYFUNCTION("""COMPUTED_VALUE"""),"Arifah")</f>
        <v>Arifah</v>
      </c>
      <c r="D76" s="13" t="str">
        <f>IFERROR(__xludf.DUMMYFUNCTION("""COMPUTED_VALUE"""),"085174307926")</f>
        <v>085174307926</v>
      </c>
      <c r="E76" s="14" t="str">
        <f>IFERROR(__xludf.DUMMYFUNCTION("""COMPUTED_VALUE"""),"Instagram")</f>
        <v>Instagram</v>
      </c>
      <c r="F76" s="14" t="str">
        <f>IFERROR(__xludf.DUMMYFUNCTION("""COMPUTED_VALUE"""),"Review")</f>
        <v>Review</v>
      </c>
      <c r="G76" s="14" t="str">
        <f>IFERROR(__xludf.DUMMYFUNCTION("""COMPUTED_VALUE"""),"Trip 4H3M")</f>
        <v>Trip 4H3M</v>
      </c>
      <c r="H76" s="16"/>
      <c r="I76" s="17">
        <f>IFERROR(__xludf.DUMMYFUNCTION("""COMPUTED_VALUE"""),4.0)</f>
        <v>4</v>
      </c>
      <c r="J76" s="54">
        <f>IFERROR(__xludf.DUMMYFUNCTION("""COMPUTED_VALUE"""),8460000.0)</f>
        <v>8460000</v>
      </c>
      <c r="K76" s="19" t="str">
        <f>IFERROR(__xludf.DUMMYFUNCTION("""COMPUTED_VALUE"""),"sdh closing")</f>
        <v>sdh closing</v>
      </c>
      <c r="L76" s="76"/>
      <c r="M76" s="20"/>
      <c r="N76" s="20"/>
      <c r="O76" s="20"/>
      <c r="P76" s="20"/>
    </row>
    <row r="77">
      <c r="A77" s="21">
        <f>IFERROR(__xludf.DUMMYFUNCTION("""COMPUTED_VALUE"""),46031.0)</f>
        <v>46031</v>
      </c>
      <c r="B77" s="22" t="str">
        <f>IFERROR(__xludf.DUMMYFUNCTION("""COMPUTED_VALUE"""),"2601D076")</f>
        <v>2601D076</v>
      </c>
      <c r="C77" s="23" t="str">
        <f>IFERROR(__xludf.DUMMYFUNCTION("""COMPUTED_VALUE"""),"Livia")</f>
        <v>Livia</v>
      </c>
      <c r="D77" s="24" t="str">
        <f>IFERROR(__xludf.DUMMYFUNCTION("""COMPUTED_VALUE"""),"085786328047")</f>
        <v>085786328047</v>
      </c>
      <c r="E77" s="14" t="str">
        <f>IFERROR(__xludf.DUMMYFUNCTION("""COMPUTED_VALUE"""),"Instagram")</f>
        <v>Instagram</v>
      </c>
      <c r="F77" s="14" t="str">
        <f>IFERROR(__xludf.DUMMYFUNCTION("""COMPUTED_VALUE"""),"Gagal")</f>
        <v>Gagal</v>
      </c>
      <c r="G77" s="14"/>
      <c r="H77" s="78"/>
      <c r="I77" s="89"/>
      <c r="J77" s="28"/>
      <c r="K77" s="36" t="str">
        <f>IFERROR(__xludf.DUMMYFUNCTION("""COMPUTED_VALUE"""),"di FU tidak balas")</f>
        <v>di FU tidak balas</v>
      </c>
      <c r="L77" s="81" t="str">
        <f>IFERROR(__xludf.DUMMYFUNCTION("""COMPUTED_VALUE"""),"https://docs.google.com/document/d/1GT9NMnoa3lcZIxGW9QCfVEc-3eBA1sFnuwQzkzq4o4M/edit?tab=t.0")</f>
        <v>https://docs.google.com/document/d/1GT9NMnoa3lcZIxGW9QCfVEc-3eBA1sFnuwQzkzq4o4M/edit?tab=t.0</v>
      </c>
      <c r="M77" s="20"/>
      <c r="N77" s="20"/>
      <c r="O77" s="20"/>
      <c r="P77" s="20"/>
    </row>
    <row r="78">
      <c r="A78" s="11">
        <f>IFERROR(__xludf.DUMMYFUNCTION("""COMPUTED_VALUE"""),46031.0)</f>
        <v>46031</v>
      </c>
      <c r="B78" s="12" t="str">
        <f>IFERROR(__xludf.DUMMYFUNCTION("""COMPUTED_VALUE"""),"2601D077")</f>
        <v>2601D077</v>
      </c>
      <c r="C78" s="10" t="str">
        <f>IFERROR(__xludf.DUMMYFUNCTION("""COMPUTED_VALUE"""),"Helsa")</f>
        <v>Helsa</v>
      </c>
      <c r="D78" s="13" t="str">
        <f>IFERROR(__xludf.DUMMYFUNCTION("""COMPUTED_VALUE"""),"085721780257")</f>
        <v>085721780257</v>
      </c>
      <c r="E78" s="14" t="str">
        <f>IFERROR(__xludf.DUMMYFUNCTION("""COMPUTED_VALUE"""),"Instagram")</f>
        <v>Instagram</v>
      </c>
      <c r="F78" s="14" t="str">
        <f>IFERROR(__xludf.DUMMYFUNCTION("""COMPUTED_VALUE"""),"Gagal")</f>
        <v>Gagal</v>
      </c>
      <c r="G78" s="14"/>
      <c r="H78" s="16"/>
      <c r="I78" s="17">
        <f>IFERROR(__xludf.DUMMYFUNCTION("""COMPUTED_VALUE"""),2.0)</f>
        <v>2</v>
      </c>
      <c r="J78" s="18"/>
      <c r="K78" s="46" t="str">
        <f>IFERROR(__xludf.DUMMYFUNCTION("""COMPUTED_VALUE"""),"tanya tanya, FU tgl 11")</f>
        <v>tanya tanya, FU tgl 11</v>
      </c>
      <c r="L78" s="10"/>
      <c r="M78" s="20"/>
      <c r="N78" s="20"/>
      <c r="O78" s="20"/>
      <c r="P78" s="20"/>
    </row>
    <row r="79">
      <c r="A79" s="21">
        <f>IFERROR(__xludf.DUMMYFUNCTION("""COMPUTED_VALUE"""),46031.0)</f>
        <v>46031</v>
      </c>
      <c r="B79" s="22" t="str">
        <f>IFERROR(__xludf.DUMMYFUNCTION("""COMPUTED_VALUE"""),"2601D078")</f>
        <v>2601D078</v>
      </c>
      <c r="C79" s="23" t="str">
        <f>IFERROR(__xludf.DUMMYFUNCTION("""COMPUTED_VALUE"""),"Muawanah ")</f>
        <v>Muawanah </v>
      </c>
      <c r="D79" s="24" t="str">
        <f>IFERROR(__xludf.DUMMYFUNCTION("""COMPUTED_VALUE"""),"08111626220")</f>
        <v>08111626220</v>
      </c>
      <c r="E79" s="14" t="str">
        <f>IFERROR(__xludf.DUMMYFUNCTION("""COMPUTED_VALUE"""),"Lainnya")</f>
        <v>Lainnya</v>
      </c>
      <c r="F79" s="14" t="str">
        <f>IFERROR(__xludf.DUMMYFUNCTION("""COMPUTED_VALUE"""),"Gagal")</f>
        <v>Gagal</v>
      </c>
      <c r="G79" s="14" t="str">
        <f>IFERROR(__xludf.DUMMYFUNCTION("""COMPUTED_VALUE"""),"OT 3H2M")</f>
        <v>OT 3H2M</v>
      </c>
      <c r="H79" s="26"/>
      <c r="I79" s="27"/>
      <c r="J79" s="24"/>
      <c r="K79" s="36" t="str">
        <f>IFERROR(__xludf.DUMMYFUNCTION("""COMPUTED_VALUE"""),"nunggu info tanggal, FU tgl 11")</f>
        <v>nunggu info tanggal, FU tgl 11</v>
      </c>
      <c r="L79" s="49"/>
      <c r="M79" s="20"/>
      <c r="N79" s="20"/>
      <c r="O79" s="20"/>
      <c r="P79" s="20"/>
    </row>
    <row r="80">
      <c r="A80" s="11">
        <f>IFERROR(__xludf.DUMMYFUNCTION("""COMPUTED_VALUE"""),46031.0)</f>
        <v>46031</v>
      </c>
      <c r="B80" s="12" t="str">
        <f>IFERROR(__xludf.DUMMYFUNCTION("""COMPUTED_VALUE"""),"2601D079")</f>
        <v>2601D079</v>
      </c>
      <c r="C80" s="10" t="str">
        <f>IFERROR(__xludf.DUMMYFUNCTION("""COMPUTED_VALUE"""),"Anis dadik")</f>
        <v>Anis dadik</v>
      </c>
      <c r="D80" s="13" t="str">
        <f>IFERROR(__xludf.DUMMYFUNCTION("""COMPUTED_VALUE"""),"081238722671")</f>
        <v>081238722671</v>
      </c>
      <c r="E80" s="14" t="str">
        <f>IFERROR(__xludf.DUMMYFUNCTION("""COMPUTED_VALUE"""),"Instagram")</f>
        <v>Instagram</v>
      </c>
      <c r="F80" s="14" t="str">
        <f>IFERROR(__xludf.DUMMYFUNCTION("""COMPUTED_VALUE"""),"Gagal")</f>
        <v>Gagal</v>
      </c>
      <c r="G80" s="14" t="str">
        <f>IFERROR(__xludf.DUMMYFUNCTION("""COMPUTED_VALUE"""),"Trip 3H2M")</f>
        <v>Trip 3H2M</v>
      </c>
      <c r="H80" s="16"/>
      <c r="I80" s="17">
        <f>IFERROR(__xludf.DUMMYFUNCTION("""COMPUTED_VALUE"""),2.0)</f>
        <v>2</v>
      </c>
      <c r="J80" s="18"/>
      <c r="K80" s="19" t="str">
        <f>IFERROR(__xludf.DUMMYFUNCTION("""COMPUTED_VALUE"""),"menunggu kabar selanjutnya, FU tgl 11")</f>
        <v>menunggu kabar selanjutnya, FU tgl 11</v>
      </c>
      <c r="L80" s="76"/>
      <c r="M80" s="20"/>
      <c r="N80" s="20"/>
      <c r="O80" s="20"/>
      <c r="P80" s="20"/>
    </row>
    <row r="81">
      <c r="A81" s="21">
        <f>IFERROR(__xludf.DUMMYFUNCTION("""COMPUTED_VALUE"""),46031.0)</f>
        <v>46031</v>
      </c>
      <c r="B81" s="22" t="str">
        <f>IFERROR(__xludf.DUMMYFUNCTION("""COMPUTED_VALUE"""),"2601D080")</f>
        <v>2601D080</v>
      </c>
      <c r="C81" s="23" t="str">
        <f>IFERROR(__xludf.DUMMYFUNCTION("""COMPUTED_VALUE"""),"Tya mardin F.A")</f>
        <v>Tya mardin F.A</v>
      </c>
      <c r="D81" s="24" t="str">
        <f>IFERROR(__xludf.DUMMYFUNCTION("""COMPUTED_VALUE"""),"081297769438")</f>
        <v>081297769438</v>
      </c>
      <c r="E81" s="14" t="str">
        <f>IFERROR(__xludf.DUMMYFUNCTION("""COMPUTED_VALUE"""),"Lainnya")</f>
        <v>Lainnya</v>
      </c>
      <c r="F81" s="14" t="str">
        <f>IFERROR(__xludf.DUMMYFUNCTION("""COMPUTED_VALUE"""),"Gagal")</f>
        <v>Gagal</v>
      </c>
      <c r="G81" s="25"/>
      <c r="H81" s="26"/>
      <c r="I81" s="89"/>
      <c r="J81" s="90"/>
      <c r="K81" s="36" t="str">
        <f>IFERROR(__xludf.DUMMYFUNCTION("""COMPUTED_VALUE"""),"tanya mepo ")</f>
        <v>tanya mepo </v>
      </c>
      <c r="L81" s="49"/>
      <c r="M81" s="20"/>
      <c r="N81" s="20"/>
      <c r="O81" s="20"/>
      <c r="P81" s="20"/>
    </row>
    <row r="82">
      <c r="A82" s="11">
        <f>IFERROR(__xludf.DUMMYFUNCTION("""COMPUTED_VALUE"""),46032.0)</f>
        <v>46032</v>
      </c>
      <c r="B82" s="12" t="str">
        <f>IFERROR(__xludf.DUMMYFUNCTION("""COMPUTED_VALUE"""),"2601D081")</f>
        <v>2601D081</v>
      </c>
      <c r="C82" s="10" t="str">
        <f>IFERROR(__xludf.DUMMYFUNCTION("""COMPUTED_VALUE"""),"Evi yemima ")</f>
        <v>Evi yemima </v>
      </c>
      <c r="D82" s="13" t="str">
        <f>IFERROR(__xludf.DUMMYFUNCTION("""COMPUTED_VALUE"""),"08973106657")</f>
        <v>08973106657</v>
      </c>
      <c r="E82" s="14" t="str">
        <f>IFERROR(__xludf.DUMMYFUNCTION("""COMPUTED_VALUE"""),"Instagram")</f>
        <v>Instagram</v>
      </c>
      <c r="F82" s="14" t="str">
        <f>IFERROR(__xludf.DUMMYFUNCTION("""COMPUTED_VALUE"""),"Gagal")</f>
        <v>Gagal</v>
      </c>
      <c r="G82" s="15" t="str">
        <f>IFERROR(__xludf.DUMMYFUNCTION("""COMPUTED_VALUE"""),"2H1M opsi C")</f>
        <v>2H1M opsi C</v>
      </c>
      <c r="H82" s="16"/>
      <c r="I82" s="17"/>
      <c r="J82" s="18"/>
      <c r="K82" s="46" t="str">
        <f>IFERROR(__xludf.DUMMYFUNCTION("""COMPUTED_VALUE"""),"tanya tanya")</f>
        <v>tanya tanya</v>
      </c>
      <c r="L82" s="10"/>
      <c r="M82" s="20"/>
      <c r="N82" s="20"/>
      <c r="O82" s="20"/>
      <c r="P82" s="20"/>
    </row>
    <row r="83">
      <c r="A83" s="21">
        <f>IFERROR(__xludf.DUMMYFUNCTION("""COMPUTED_VALUE"""),46032.0)</f>
        <v>46032</v>
      </c>
      <c r="B83" s="22" t="str">
        <f>IFERROR(__xludf.DUMMYFUNCTION("""COMPUTED_VALUE"""),"2601D082")</f>
        <v>2601D082</v>
      </c>
      <c r="C83" s="23" t="str">
        <f>IFERROR(__xludf.DUMMYFUNCTION("""COMPUTED_VALUE"""),"Yuninda cahyani")</f>
        <v>Yuninda cahyani</v>
      </c>
      <c r="D83" s="24" t="str">
        <f>IFERROR(__xludf.DUMMYFUNCTION("""COMPUTED_VALUE"""),"08562899073")</f>
        <v>08562899073</v>
      </c>
      <c r="E83" s="14" t="str">
        <f>IFERROR(__xludf.DUMMYFUNCTION("""COMPUTED_VALUE"""),"Lainnya")</f>
        <v>Lainnya</v>
      </c>
      <c r="F83" s="14" t="str">
        <f>IFERROR(__xludf.DUMMYFUNCTION("""COMPUTED_VALUE"""),"Gagal")</f>
        <v>Gagal</v>
      </c>
      <c r="G83" s="25" t="str">
        <f>IFERROR(__xludf.DUMMYFUNCTION("""COMPUTED_VALUE"""),"opsi 3H2M")</f>
        <v>opsi 3H2M</v>
      </c>
      <c r="H83" s="78"/>
      <c r="I83" s="27"/>
      <c r="J83" s="91"/>
      <c r="K83" s="30" t="str">
        <f>IFERROR(__xludf.DUMMYFUNCTION("""COMPUTED_VALUE"""),"cuaca tidak bersahabat")</f>
        <v>cuaca tidak bersahabat</v>
      </c>
      <c r="L83" s="49"/>
      <c r="M83" s="20"/>
      <c r="N83" s="20"/>
      <c r="O83" s="20"/>
      <c r="P83" s="20"/>
    </row>
    <row r="84">
      <c r="A84" s="11">
        <f>IFERROR(__xludf.DUMMYFUNCTION("""COMPUTED_VALUE"""),46032.0)</f>
        <v>46032</v>
      </c>
      <c r="B84" s="12" t="str">
        <f>IFERROR(__xludf.DUMMYFUNCTION("""COMPUTED_VALUE"""),"2601D083")</f>
        <v>2601D083</v>
      </c>
      <c r="C84" s="10" t="str">
        <f>IFERROR(__xludf.DUMMYFUNCTION("""COMPUTED_VALUE"""),"Pel ")</f>
        <v>Pel </v>
      </c>
      <c r="D84" s="13" t="str">
        <f>IFERROR(__xludf.DUMMYFUNCTION("""COMPUTED_VALUE"""),"081211252959")</f>
        <v>081211252959</v>
      </c>
      <c r="E84" s="14" t="str">
        <f>IFERROR(__xludf.DUMMYFUNCTION("""COMPUTED_VALUE"""),"Instagram")</f>
        <v>Instagram</v>
      </c>
      <c r="F84" s="14" t="str">
        <f>IFERROR(__xludf.DUMMYFUNCTION("""COMPUTED_VALUE"""),"Review")</f>
        <v>Review</v>
      </c>
      <c r="G84" s="14" t="str">
        <f>IFERROR(__xludf.DUMMYFUNCTION("""COMPUTED_VALUE"""),"custom 2H1M ")</f>
        <v>custom 2H1M </v>
      </c>
      <c r="H84" s="16"/>
      <c r="I84" s="17">
        <f>IFERROR(__xludf.DUMMYFUNCTION("""COMPUTED_VALUE"""),4.0)</f>
        <v>4</v>
      </c>
      <c r="J84" s="18">
        <f>IFERROR(__xludf.DUMMYFUNCTION("""COMPUTED_VALUE"""),6800000.0)</f>
        <v>6800000</v>
      </c>
      <c r="K84" s="46" t="str">
        <f>IFERROR(__xludf.DUMMYFUNCTION("""COMPUTED_VALUE"""),"FU AKHIR JANUARI")</f>
        <v>FU AKHIR JANUARI</v>
      </c>
      <c r="L84" s="10"/>
      <c r="M84" s="20"/>
      <c r="N84" s="20"/>
      <c r="O84" s="20"/>
      <c r="P84" s="20"/>
    </row>
    <row r="85">
      <c r="A85" s="21">
        <f>IFERROR(__xludf.DUMMYFUNCTION("""COMPUTED_VALUE"""),46032.0)</f>
        <v>46032</v>
      </c>
      <c r="B85" s="22" t="str">
        <f>IFERROR(__xludf.DUMMYFUNCTION("""COMPUTED_VALUE"""),"2601D084")</f>
        <v>2601D084</v>
      </c>
      <c r="C85" s="49" t="str">
        <f>IFERROR(__xludf.DUMMYFUNCTION("""COMPUTED_VALUE"""),"Wiwit supranata")</f>
        <v>Wiwit supranata</v>
      </c>
      <c r="D85" s="24" t="str">
        <f>IFERROR(__xludf.DUMMYFUNCTION("""COMPUTED_VALUE"""),"085640533187")</f>
        <v>085640533187</v>
      </c>
      <c r="E85" s="14" t="str">
        <f>IFERROR(__xludf.DUMMYFUNCTION("""COMPUTED_VALUE"""),"Lainnya")</f>
        <v>Lainnya</v>
      </c>
      <c r="F85" s="14" t="str">
        <f>IFERROR(__xludf.DUMMYFUNCTION("""COMPUTED_VALUE"""),"Review")</f>
        <v>Review</v>
      </c>
      <c r="G85" s="14" t="str">
        <f>IFERROR(__xludf.DUMMYFUNCTION("""COMPUTED_VALUE"""),"Tim building PT SBI")</f>
        <v>Tim building PT SBI</v>
      </c>
      <c r="H85" s="26">
        <f>IFERROR(__xludf.DUMMYFUNCTION("""COMPUTED_VALUE"""),46066.0)</f>
        <v>46066</v>
      </c>
      <c r="I85" s="27">
        <f>IFERROR(__xludf.DUMMYFUNCTION("""COMPUTED_VALUE"""),38.0)</f>
        <v>38</v>
      </c>
      <c r="J85" s="91">
        <f>IFERROR(__xludf.DUMMYFUNCTION("""COMPUTED_VALUE"""),3.6753E7)</f>
        <v>36753000</v>
      </c>
      <c r="K85" s="30" t="str">
        <f>IFERROR(__xludf.DUMMYFUNCTION("""COMPUTED_VALUE"""),"penawaran")</f>
        <v>penawaran</v>
      </c>
      <c r="L85" s="23"/>
      <c r="M85" s="20"/>
      <c r="N85" s="20"/>
      <c r="O85" s="20"/>
      <c r="P85" s="20"/>
    </row>
    <row r="86">
      <c r="A86" s="11">
        <f>IFERROR(__xludf.DUMMYFUNCTION("""COMPUTED_VALUE"""),46032.0)</f>
        <v>46032</v>
      </c>
      <c r="B86" s="12" t="str">
        <f>IFERROR(__xludf.DUMMYFUNCTION("""COMPUTED_VALUE"""),"2601D085")</f>
        <v>2601D085</v>
      </c>
      <c r="C86" s="10" t="str">
        <f>IFERROR(__xludf.DUMMYFUNCTION("""COMPUTED_VALUE"""),"Cindy alicia ")</f>
        <v>Cindy alicia </v>
      </c>
      <c r="D86" s="13" t="str">
        <f>IFERROR(__xludf.DUMMYFUNCTION("""COMPUTED_VALUE"""),"085782665535")</f>
        <v>085782665535</v>
      </c>
      <c r="E86" s="14" t="str">
        <f>IFERROR(__xludf.DUMMYFUNCTION("""COMPUTED_VALUE"""),"Instagram")</f>
        <v>Instagram</v>
      </c>
      <c r="F86" s="14" t="str">
        <f>IFERROR(__xludf.DUMMYFUNCTION("""COMPUTED_VALUE"""),"Closing")</f>
        <v>Closing</v>
      </c>
      <c r="G86" s="25" t="str">
        <f>IFERROR(__xludf.DUMMYFUNCTION("""COMPUTED_VALUE"""),"OT one day D, B")</f>
        <v>OT one day D, B</v>
      </c>
      <c r="H86" s="92">
        <f>IFERROR(__xludf.DUMMYFUNCTION("""COMPUTED_VALUE"""),46037.0)</f>
        <v>46037</v>
      </c>
      <c r="I86" s="80">
        <f>IFERROR(__xludf.DUMMYFUNCTION("""COMPUTED_VALUE"""),3.0)</f>
        <v>3</v>
      </c>
      <c r="J86" s="93">
        <f>IFERROR(__xludf.DUMMYFUNCTION("""COMPUTED_VALUE"""),1650000.0)</f>
        <v>1650000</v>
      </c>
      <c r="K86" s="19"/>
      <c r="L86" s="76"/>
      <c r="M86" s="20"/>
      <c r="N86" s="20"/>
      <c r="O86" s="20"/>
      <c r="P86" s="20"/>
    </row>
    <row r="87">
      <c r="A87" s="21">
        <f>IFERROR(__xludf.DUMMYFUNCTION("""COMPUTED_VALUE"""),46032.0)</f>
        <v>46032</v>
      </c>
      <c r="B87" s="22" t="str">
        <f>IFERROR(__xludf.DUMMYFUNCTION("""COMPUTED_VALUE"""),"2601D086")</f>
        <v>2601D086</v>
      </c>
      <c r="C87" s="23" t="str">
        <f>IFERROR(__xludf.DUMMYFUNCTION("""COMPUTED_VALUE"""),"Adhiww ")</f>
        <v>Adhiww </v>
      </c>
      <c r="D87" s="24" t="str">
        <f>IFERROR(__xludf.DUMMYFUNCTION("""COMPUTED_VALUE"""),"08921872710")</f>
        <v>08921872710</v>
      </c>
      <c r="E87" s="14" t="str">
        <f>IFERROR(__xludf.DUMMYFUNCTION("""COMPUTED_VALUE"""),"Website")</f>
        <v>Website</v>
      </c>
      <c r="F87" s="14" t="str">
        <f>IFERROR(__xludf.DUMMYFUNCTION("""COMPUTED_VALUE"""),"Gagal")</f>
        <v>Gagal</v>
      </c>
      <c r="G87" s="14" t="str">
        <f>IFERROR(__xludf.DUMMYFUNCTION("""COMPUTED_VALUE"""),"OP kawah ijen")</f>
        <v>OP kawah ijen</v>
      </c>
      <c r="H87" s="26">
        <f>IFERROR(__xludf.DUMMYFUNCTION("""COMPUTED_VALUE"""),46038.0)</f>
        <v>46038</v>
      </c>
      <c r="I87" s="27">
        <f>IFERROR(__xludf.DUMMYFUNCTION("""COMPUTED_VALUE"""),2.0)</f>
        <v>2</v>
      </c>
      <c r="J87" s="24"/>
      <c r="K87" s="30" t="str">
        <f>IFERROR(__xludf.DUMMYFUNCTION("""COMPUTED_VALUE"""),"tanya tanya, lewat tanggal")</f>
        <v>tanya tanya, lewat tanggal</v>
      </c>
      <c r="L87" s="23"/>
      <c r="M87" s="20"/>
      <c r="N87" s="20"/>
      <c r="O87" s="20"/>
      <c r="P87" s="20"/>
    </row>
    <row r="88">
      <c r="A88" s="11">
        <f>IFERROR(__xludf.DUMMYFUNCTION("""COMPUTED_VALUE"""),46033.0)</f>
        <v>46033</v>
      </c>
      <c r="B88" s="12" t="str">
        <f>IFERROR(__xludf.DUMMYFUNCTION("""COMPUTED_VALUE"""),"2601D087")</f>
        <v>2601D087</v>
      </c>
      <c r="C88" s="10" t="str">
        <f>IFERROR(__xludf.DUMMYFUNCTION("""COMPUTED_VALUE"""),"Nurhoeda")</f>
        <v>Nurhoeda</v>
      </c>
      <c r="D88" s="13" t="str">
        <f>IFERROR(__xludf.DUMMYFUNCTION("""COMPUTED_VALUE"""),"081223809344")</f>
        <v>081223809344</v>
      </c>
      <c r="E88" s="14" t="str">
        <f>IFERROR(__xludf.DUMMYFUNCTION("""COMPUTED_VALUE"""),"Lainnya")</f>
        <v>Lainnya</v>
      </c>
      <c r="F88" s="14" t="str">
        <f>IFERROR(__xludf.DUMMYFUNCTION("""COMPUTED_VALUE"""),"Gagal")</f>
        <v>Gagal</v>
      </c>
      <c r="G88" s="15" t="str">
        <f>IFERROR(__xludf.DUMMYFUNCTION("""COMPUTED_VALUE"""),"Trip one day")</f>
        <v>Trip one day</v>
      </c>
      <c r="H88" s="16"/>
      <c r="I88" s="17"/>
      <c r="J88" s="94"/>
      <c r="K88" s="46" t="str">
        <f>IFERROR(__xludf.DUMMYFUNCTION("""COMPUTED_VALUE"""),"tanya tanya terkait fotografer")</f>
        <v>tanya tanya terkait fotografer</v>
      </c>
      <c r="L88" s="10"/>
      <c r="M88" s="20"/>
      <c r="N88" s="20"/>
      <c r="O88" s="20"/>
      <c r="P88" s="20"/>
    </row>
    <row r="89">
      <c r="A89" s="21">
        <f>IFERROR(__xludf.DUMMYFUNCTION("""COMPUTED_VALUE"""),46033.0)</f>
        <v>46033</v>
      </c>
      <c r="B89" s="22" t="str">
        <f>IFERROR(__xludf.DUMMYFUNCTION("""COMPUTED_VALUE"""),"2601D088")</f>
        <v>2601D088</v>
      </c>
      <c r="C89" s="23" t="str">
        <f>IFERROR(__xludf.DUMMYFUNCTION("""COMPUTED_VALUE"""),"Annisa ")</f>
        <v>Annisa </v>
      </c>
      <c r="D89" s="24" t="str">
        <f>IFERROR(__xludf.DUMMYFUNCTION("""COMPUTED_VALUE"""),"089646617851")</f>
        <v>089646617851</v>
      </c>
      <c r="E89" s="14" t="str">
        <f>IFERROR(__xludf.DUMMYFUNCTION("""COMPUTED_VALUE"""),"Website")</f>
        <v>Website</v>
      </c>
      <c r="F89" s="14" t="str">
        <f>IFERROR(__xludf.DUMMYFUNCTION("""COMPUTED_VALUE"""),"Gagal")</f>
        <v>Gagal</v>
      </c>
      <c r="G89" s="25" t="str">
        <f>IFERROR(__xludf.DUMMYFUNCTION("""COMPUTED_VALUE"""),"OP 3H2M")</f>
        <v>OP 3H2M</v>
      </c>
      <c r="H89" s="26"/>
      <c r="I89" s="27">
        <f>IFERROR(__xludf.DUMMYFUNCTION("""COMPUTED_VALUE"""),2.0)</f>
        <v>2</v>
      </c>
      <c r="J89" s="28"/>
      <c r="K89" s="36" t="str">
        <f>IFERROR(__xludf.DUMMYFUNCTION("""COMPUTED_VALUE"""),"tanya tanya")</f>
        <v>tanya tanya</v>
      </c>
      <c r="L89" s="49"/>
      <c r="M89" s="20"/>
      <c r="N89" s="20"/>
      <c r="O89" s="20"/>
      <c r="P89" s="20"/>
    </row>
    <row r="90">
      <c r="A90" s="11">
        <f>IFERROR(__xludf.DUMMYFUNCTION("""COMPUTED_VALUE"""),46033.0)</f>
        <v>46033</v>
      </c>
      <c r="B90" s="12" t="str">
        <f>IFERROR(__xludf.DUMMYFUNCTION("""COMPUTED_VALUE"""),"2601D089")</f>
        <v>2601D089</v>
      </c>
      <c r="C90" s="10" t="str">
        <f>IFERROR(__xludf.DUMMYFUNCTION("""COMPUTED_VALUE"""),"Ny wiwin ysn")</f>
        <v>Ny wiwin ysn</v>
      </c>
      <c r="D90" s="13" t="str">
        <f>IFERROR(__xludf.DUMMYFUNCTION("""COMPUTED_VALUE"""),"081339772111")</f>
        <v>081339772111</v>
      </c>
      <c r="E90" s="14" t="str">
        <f>IFERROR(__xludf.DUMMYFUNCTION("""COMPUTED_VALUE"""),"Lainnya")</f>
        <v>Lainnya</v>
      </c>
      <c r="F90" s="14" t="str">
        <f>IFERROR(__xludf.DUMMYFUNCTION("""COMPUTED_VALUE"""),"Gagal")</f>
        <v>Gagal</v>
      </c>
      <c r="G90" s="25" t="str">
        <f>IFERROR(__xludf.DUMMYFUNCTION("""COMPUTED_VALUE"""),"custom 2H1M ")</f>
        <v>custom 2H1M </v>
      </c>
      <c r="H90" s="16"/>
      <c r="I90" s="80">
        <f>IFERROR(__xludf.DUMMYFUNCTION("""COMPUTED_VALUE"""),3.0)</f>
        <v>3</v>
      </c>
      <c r="J90" s="54"/>
      <c r="K90" s="19" t="str">
        <f>IFERROR(__xludf.DUMMYFUNCTION("""COMPUTED_VALUE"""),"ga sesuai dengan budget")</f>
        <v>ga sesuai dengan budget</v>
      </c>
      <c r="L90" s="76"/>
      <c r="M90" s="20"/>
      <c r="N90" s="20"/>
      <c r="O90" s="20"/>
      <c r="P90" s="20"/>
    </row>
    <row r="91">
      <c r="A91" s="21">
        <f>IFERROR(__xludf.DUMMYFUNCTION("""COMPUTED_VALUE"""),46033.0)</f>
        <v>46033</v>
      </c>
      <c r="B91" s="22" t="str">
        <f>IFERROR(__xludf.DUMMYFUNCTION("""COMPUTED_VALUE"""),"2601D090")</f>
        <v>2601D090</v>
      </c>
      <c r="C91" s="23" t="str">
        <f>IFERROR(__xludf.DUMMYFUNCTION("""COMPUTED_VALUE"""),"Yovita")</f>
        <v>Yovita</v>
      </c>
      <c r="D91" s="24" t="str">
        <f>IFERROR(__xludf.DUMMYFUNCTION("""COMPUTED_VALUE"""),"087811723237")</f>
        <v>087811723237</v>
      </c>
      <c r="E91" s="14" t="str">
        <f>IFERROR(__xludf.DUMMYFUNCTION("""COMPUTED_VALUE"""),"Instagram")</f>
        <v>Instagram</v>
      </c>
      <c r="F91" s="14" t="str">
        <f>IFERROR(__xludf.DUMMYFUNCTION("""COMPUTED_VALUE"""),"Gagal")</f>
        <v>Gagal</v>
      </c>
      <c r="G91" s="14" t="str">
        <f>IFERROR(__xludf.DUMMYFUNCTION("""COMPUTED_VALUE"""),"family gathering 3H2M")</f>
        <v>family gathering 3H2M</v>
      </c>
      <c r="H91" s="26"/>
      <c r="I91" s="27">
        <f>IFERROR(__xludf.DUMMYFUNCTION("""COMPUTED_VALUE"""),20.0)</f>
        <v>20</v>
      </c>
      <c r="J91" s="28"/>
      <c r="K91" s="30" t="str">
        <f>IFERROR(__xludf.DUMMYFUNCTION("""COMPUTED_VALUE"""),"nunggu info selanjutnya, sudah FU tgl15")</f>
        <v>nunggu info selanjutnya, sudah FU tgl15</v>
      </c>
      <c r="L91" s="23"/>
      <c r="M91" s="20"/>
      <c r="N91" s="20"/>
      <c r="O91" s="20"/>
      <c r="P91" s="20"/>
    </row>
    <row r="92">
      <c r="A92" s="11">
        <f>IFERROR(__xludf.DUMMYFUNCTION("""COMPUTED_VALUE"""),46033.0)</f>
        <v>46033</v>
      </c>
      <c r="B92" s="12" t="str">
        <f>IFERROR(__xludf.DUMMYFUNCTION("""COMPUTED_VALUE"""),"2601D091")</f>
        <v>2601D091</v>
      </c>
      <c r="C92" s="10" t="str">
        <f>IFERROR(__xludf.DUMMYFUNCTION("""COMPUTED_VALUE"""),"Herman")</f>
        <v>Herman</v>
      </c>
      <c r="D92" s="13" t="str">
        <f>IFERROR(__xludf.DUMMYFUNCTION("""COMPUTED_VALUE"""),"082125479301")</f>
        <v>082125479301</v>
      </c>
      <c r="E92" s="14" t="str">
        <f>IFERROR(__xludf.DUMMYFUNCTION("""COMPUTED_VALUE"""),"Lainnya")</f>
        <v>Lainnya</v>
      </c>
      <c r="F92" s="14" t="str">
        <f>IFERROR(__xludf.DUMMYFUNCTION("""COMPUTED_VALUE"""),"Gagal")</f>
        <v>Gagal</v>
      </c>
      <c r="G92" s="15" t="str">
        <f>IFERROR(__xludf.DUMMYFUNCTION("""COMPUTED_VALUE"""),"3H2M")</f>
        <v>3H2M</v>
      </c>
      <c r="H92" s="92"/>
      <c r="I92" s="17"/>
      <c r="J92" s="54"/>
      <c r="K92" s="46" t="str">
        <f>IFERROR(__xludf.DUMMYFUNCTION("""COMPUTED_VALUE"""),"sdh FU 1")</f>
        <v>sdh FU 1</v>
      </c>
      <c r="L92" s="10"/>
      <c r="M92" s="20"/>
      <c r="N92" s="20"/>
      <c r="O92" s="20"/>
      <c r="P92" s="20"/>
    </row>
    <row r="93">
      <c r="A93" s="21">
        <f>IFERROR(__xludf.DUMMYFUNCTION("""COMPUTED_VALUE"""),46033.0)</f>
        <v>46033</v>
      </c>
      <c r="B93" s="22" t="str">
        <f>IFERROR(__xludf.DUMMYFUNCTION("""COMPUTED_VALUE"""),"2601D092")</f>
        <v>2601D092</v>
      </c>
      <c r="C93" s="23" t="str">
        <f>IFERROR(__xludf.DUMMYFUNCTION("""COMPUTED_VALUE"""),"Nathaniaacr")</f>
        <v>Nathaniaacr</v>
      </c>
      <c r="D93" s="24" t="str">
        <f>IFERROR(__xludf.DUMMYFUNCTION("""COMPUTED_VALUE"""),"085175207678")</f>
        <v>085175207678</v>
      </c>
      <c r="E93" s="14" t="str">
        <f>IFERROR(__xludf.DUMMYFUNCTION("""COMPUTED_VALUE"""),"Instagram")</f>
        <v>Instagram</v>
      </c>
      <c r="F93" s="14" t="str">
        <f>IFERROR(__xludf.DUMMYFUNCTION("""COMPUTED_VALUE"""),"Closing")</f>
        <v>Closing</v>
      </c>
      <c r="G93" s="14" t="str">
        <f>IFERROR(__xludf.DUMMYFUNCTION("""COMPUTED_VALUE"""),"2H1M opsi B")</f>
        <v>2H1M opsi B</v>
      </c>
      <c r="H93" s="26">
        <f>IFERROR(__xludf.DUMMYFUNCTION("""COMPUTED_VALUE"""),46048.0)</f>
        <v>46048</v>
      </c>
      <c r="I93" s="27">
        <f>IFERROR(__xludf.DUMMYFUNCTION("""COMPUTED_VALUE"""),2.0)</f>
        <v>2</v>
      </c>
      <c r="J93" s="28">
        <f>IFERROR(__xludf.DUMMYFUNCTION("""COMPUTED_VALUE"""),3920000.0)</f>
        <v>3920000</v>
      </c>
      <c r="K93" s="30"/>
      <c r="L93" s="23"/>
      <c r="M93" s="20"/>
      <c r="N93" s="20"/>
      <c r="O93" s="20"/>
      <c r="P93" s="20"/>
    </row>
    <row r="94">
      <c r="A94" s="11">
        <f>IFERROR(__xludf.DUMMYFUNCTION("""COMPUTED_VALUE"""),46033.0)</f>
        <v>46033</v>
      </c>
      <c r="B94" s="12" t="str">
        <f>IFERROR(__xludf.DUMMYFUNCTION("""COMPUTED_VALUE"""),"2601D093")</f>
        <v>2601D093</v>
      </c>
      <c r="C94" s="10" t="str">
        <f>IFERROR(__xludf.DUMMYFUNCTION("""COMPUTED_VALUE"""),"Mytha ")</f>
        <v>Mytha </v>
      </c>
      <c r="D94" s="13" t="str">
        <f>IFERROR(__xludf.DUMMYFUNCTION("""COMPUTED_VALUE"""),"081333603433")</f>
        <v>081333603433</v>
      </c>
      <c r="E94" s="14" t="str">
        <f>IFERROR(__xludf.DUMMYFUNCTION("""COMPUTED_VALUE"""),"Instagram")</f>
        <v>Instagram</v>
      </c>
      <c r="F94" s="14" t="str">
        <f>IFERROR(__xludf.DUMMYFUNCTION("""COMPUTED_VALUE"""),"Gagal")</f>
        <v>Gagal</v>
      </c>
      <c r="G94" s="14" t="str">
        <f>IFERROR(__xludf.DUMMYFUNCTION("""COMPUTED_VALUE"""),"Trip 1 day")</f>
        <v>Trip 1 day</v>
      </c>
      <c r="H94" s="16"/>
      <c r="I94" s="80"/>
      <c r="J94" s="54"/>
      <c r="K94" s="46" t="str">
        <f>IFERROR(__xludf.DUMMYFUNCTION("""COMPUTED_VALUE"""),"masih chek katalog ")</f>
        <v>masih chek katalog </v>
      </c>
      <c r="L94" s="10"/>
      <c r="M94" s="20"/>
      <c r="N94" s="20"/>
      <c r="O94" s="20"/>
      <c r="P94" s="20"/>
    </row>
    <row r="95">
      <c r="A95" s="21">
        <f>IFERROR(__xludf.DUMMYFUNCTION("""COMPUTED_VALUE"""),46033.0)</f>
        <v>46033</v>
      </c>
      <c r="B95" s="22" t="str">
        <f>IFERROR(__xludf.DUMMYFUNCTION("""COMPUTED_VALUE"""),"2601D094")</f>
        <v>2601D094</v>
      </c>
      <c r="C95" s="23" t="str">
        <f>IFERROR(__xludf.DUMMYFUNCTION("""COMPUTED_VALUE"""),"Sylvia mariam ")</f>
        <v>Sylvia mariam </v>
      </c>
      <c r="D95" s="24" t="str">
        <f>IFERROR(__xludf.DUMMYFUNCTION("""COMPUTED_VALUE"""),"089602611056")</f>
        <v>089602611056</v>
      </c>
      <c r="E95" s="14" t="str">
        <f>IFERROR(__xludf.DUMMYFUNCTION("""COMPUTED_VALUE"""),"Instagram")</f>
        <v>Instagram</v>
      </c>
      <c r="F95" s="14" t="str">
        <f>IFERROR(__xludf.DUMMYFUNCTION("""COMPUTED_VALUE"""),"Gagal")</f>
        <v>Gagal</v>
      </c>
      <c r="G95" s="15" t="str">
        <f>IFERROR(__xludf.DUMMYFUNCTION("""COMPUTED_VALUE"""),"Trip menjangan ")</f>
        <v>Trip menjangan </v>
      </c>
      <c r="H95" s="26"/>
      <c r="I95" s="27">
        <f>IFERROR(__xludf.DUMMYFUNCTION("""COMPUTED_VALUE"""),2.0)</f>
        <v>2</v>
      </c>
      <c r="J95" s="33"/>
      <c r="K95" s="30" t="str">
        <f>IFERROR(__xludf.DUMMYFUNCTION("""COMPUTED_VALUE"""),"nunggu info, FU tgl 14 ")</f>
        <v>nunggu info, FU tgl 14 </v>
      </c>
      <c r="L95" s="23"/>
      <c r="M95" s="20"/>
      <c r="N95" s="20"/>
      <c r="O95" s="20"/>
      <c r="P95" s="20"/>
    </row>
    <row r="96">
      <c r="A96" s="11">
        <f>IFERROR(__xludf.DUMMYFUNCTION("""COMPUTED_VALUE"""),46033.0)</f>
        <v>46033</v>
      </c>
      <c r="B96" s="12" t="str">
        <f>IFERROR(__xludf.DUMMYFUNCTION("""COMPUTED_VALUE"""),"2601D095")</f>
        <v>2601D095</v>
      </c>
      <c r="C96" s="10" t="str">
        <f>IFERROR(__xludf.DUMMYFUNCTION("""COMPUTED_VALUE"""),"Wahid")</f>
        <v>Wahid</v>
      </c>
      <c r="D96" s="13" t="str">
        <f>IFERROR(__xludf.DUMMYFUNCTION("""COMPUTED_VALUE"""),"081805902225")</f>
        <v>081805902225</v>
      </c>
      <c r="E96" s="14" t="str">
        <f>IFERROR(__xludf.DUMMYFUNCTION("""COMPUTED_VALUE"""),"Lainnya")</f>
        <v>Lainnya</v>
      </c>
      <c r="F96" s="14" t="str">
        <f>IFERROR(__xludf.DUMMYFUNCTION("""COMPUTED_VALUE"""),"Gagal")</f>
        <v>Gagal</v>
      </c>
      <c r="G96" s="14" t="str">
        <f>IFERROR(__xludf.DUMMYFUNCTION("""COMPUTED_VALUE"""),"custom destinasi 2H1M")</f>
        <v>custom destinasi 2H1M</v>
      </c>
      <c r="H96" s="16"/>
      <c r="I96" s="17">
        <f>IFERROR(__xludf.DUMMYFUNCTION("""COMPUTED_VALUE"""),2.0)</f>
        <v>2</v>
      </c>
      <c r="J96" s="54"/>
      <c r="K96" s="46" t="str">
        <f>IFERROR(__xludf.DUMMYFUNCTION("""COMPUTED_VALUE"""),"masih dikomunikasikan, FU tgl 14")</f>
        <v>masih dikomunikasikan, FU tgl 14</v>
      </c>
      <c r="L96" s="10"/>
      <c r="M96" s="20"/>
      <c r="N96" s="20"/>
      <c r="O96" s="20"/>
      <c r="P96" s="20"/>
    </row>
    <row r="97">
      <c r="A97" s="21">
        <f>IFERROR(__xludf.DUMMYFUNCTION("""COMPUTED_VALUE"""),46034.0)</f>
        <v>46034</v>
      </c>
      <c r="B97" s="22" t="str">
        <f>IFERROR(__xludf.DUMMYFUNCTION("""COMPUTED_VALUE"""),"2601D096")</f>
        <v>2601D096</v>
      </c>
      <c r="C97" s="23" t="str">
        <f>IFERROR(__xludf.DUMMYFUNCTION("""COMPUTED_VALUE"""),"Fdly")</f>
        <v>Fdly</v>
      </c>
      <c r="D97" s="24" t="str">
        <f>IFERROR(__xludf.DUMMYFUNCTION("""COMPUTED_VALUE"""),"085781304728")</f>
        <v>085781304728</v>
      </c>
      <c r="E97" s="14" t="str">
        <f>IFERROR(__xludf.DUMMYFUNCTION("""COMPUTED_VALUE"""),"Lainnya")</f>
        <v>Lainnya</v>
      </c>
      <c r="F97" s="14" t="str">
        <f>IFERROR(__xludf.DUMMYFUNCTION("""COMPUTED_VALUE"""),"Gagal")</f>
        <v>Gagal</v>
      </c>
      <c r="G97" s="25"/>
      <c r="H97" s="26"/>
      <c r="I97" s="27"/>
      <c r="J97" s="28"/>
      <c r="K97" s="36"/>
      <c r="L97" s="23"/>
      <c r="M97" s="20"/>
      <c r="N97" s="20"/>
      <c r="O97" s="20"/>
      <c r="P97" s="20"/>
    </row>
    <row r="98">
      <c r="A98" s="11">
        <f>IFERROR(__xludf.DUMMYFUNCTION("""COMPUTED_VALUE"""),46034.0)</f>
        <v>46034</v>
      </c>
      <c r="B98" s="12" t="str">
        <f>IFERROR(__xludf.DUMMYFUNCTION("""COMPUTED_VALUE"""),"2601D097")</f>
        <v>2601D097</v>
      </c>
      <c r="C98" s="10" t="str">
        <f>IFERROR(__xludf.DUMMYFUNCTION("""COMPUTED_VALUE"""),"Epi")</f>
        <v>Epi</v>
      </c>
      <c r="D98" s="13" t="str">
        <f>IFERROR(__xludf.DUMMYFUNCTION("""COMPUTED_VALUE"""),"081318840028")</f>
        <v>081318840028</v>
      </c>
      <c r="E98" s="14" t="str">
        <f>IFERROR(__xludf.DUMMYFUNCTION("""COMPUTED_VALUE"""),"Instagram")</f>
        <v>Instagram</v>
      </c>
      <c r="F98" s="14" t="str">
        <f>IFERROR(__xludf.DUMMYFUNCTION("""COMPUTED_VALUE"""),"Gagal")</f>
        <v>Gagal</v>
      </c>
      <c r="G98" s="25" t="str">
        <f>IFERROR(__xludf.DUMMYFUNCTION("""COMPUTED_VALUE"""),"3H2M opsi A")</f>
        <v>3H2M opsi A</v>
      </c>
      <c r="H98" s="16"/>
      <c r="I98" s="80">
        <f>IFERROR(__xludf.DUMMYFUNCTION("""COMPUTED_VALUE"""),5.0)</f>
        <v>5</v>
      </c>
      <c r="J98" s="95"/>
      <c r="K98" s="19" t="str">
        <f>IFERROR(__xludf.DUMMYFUNCTION("""COMPUTED_VALUE"""),"masih liat harga")</f>
        <v>masih liat harga</v>
      </c>
      <c r="L98" s="10"/>
      <c r="M98" s="20"/>
      <c r="N98" s="20"/>
      <c r="O98" s="20"/>
      <c r="P98" s="20"/>
    </row>
    <row r="99">
      <c r="A99" s="21">
        <f>IFERROR(__xludf.DUMMYFUNCTION("""COMPUTED_VALUE"""),46034.0)</f>
        <v>46034</v>
      </c>
      <c r="B99" s="22" t="str">
        <f>IFERROR(__xludf.DUMMYFUNCTION("""COMPUTED_VALUE"""),"2601D098")</f>
        <v>2601D098</v>
      </c>
      <c r="C99" s="23" t="str">
        <f>IFERROR(__xludf.DUMMYFUNCTION("""COMPUTED_VALUE"""),"Vica")</f>
        <v>Vica</v>
      </c>
      <c r="D99" s="24" t="str">
        <f>IFERROR(__xludf.DUMMYFUNCTION("""COMPUTED_VALUE"""),"085716117974")</f>
        <v>085716117974</v>
      </c>
      <c r="E99" s="14" t="str">
        <f>IFERROR(__xludf.DUMMYFUNCTION("""COMPUTED_VALUE"""),"Instagram")</f>
        <v>Instagram</v>
      </c>
      <c r="F99" s="14" t="str">
        <f>IFERROR(__xludf.DUMMYFUNCTION("""COMPUTED_VALUE"""),"Gagal")</f>
        <v>Gagal</v>
      </c>
      <c r="G99" s="15" t="str">
        <f>IFERROR(__xludf.DUMMYFUNCTION("""COMPUTED_VALUE"""),"2H1M")</f>
        <v>2H1M</v>
      </c>
      <c r="H99" s="26"/>
      <c r="I99" s="27">
        <f>IFERROR(__xludf.DUMMYFUNCTION("""COMPUTED_VALUE"""),4.0)</f>
        <v>4</v>
      </c>
      <c r="J99" s="28"/>
      <c r="K99" s="36" t="str">
        <f>IFERROR(__xludf.DUMMYFUNCTION("""COMPUTED_VALUE"""),"tanya titik penjemputan ")</f>
        <v>tanya titik penjemputan </v>
      </c>
      <c r="L99" s="23"/>
      <c r="M99" s="20"/>
      <c r="N99" s="20"/>
      <c r="O99" s="20"/>
      <c r="P99" s="20"/>
    </row>
    <row r="100">
      <c r="A100" s="11">
        <f>IFERROR(__xludf.DUMMYFUNCTION("""COMPUTED_VALUE"""),46034.0)</f>
        <v>46034</v>
      </c>
      <c r="B100" s="12" t="str">
        <f>IFERROR(__xludf.DUMMYFUNCTION("""COMPUTED_VALUE"""),"2601D099")</f>
        <v>2601D099</v>
      </c>
      <c r="C100" s="10" t="str">
        <f>IFERROR(__xludf.DUMMYFUNCTION("""COMPUTED_VALUE"""),"N")</f>
        <v>N</v>
      </c>
      <c r="D100" s="13" t="str">
        <f>IFERROR(__xludf.DUMMYFUNCTION("""COMPUTED_VALUE"""),"081260909299")</f>
        <v>081260909299</v>
      </c>
      <c r="E100" s="14" t="str">
        <f>IFERROR(__xludf.DUMMYFUNCTION("""COMPUTED_VALUE"""),"Instagram")</f>
        <v>Instagram</v>
      </c>
      <c r="F100" s="14" t="str">
        <f>IFERROR(__xludf.DUMMYFUNCTION("""COMPUTED_VALUE"""),"Gagal")</f>
        <v>Gagal</v>
      </c>
      <c r="G100" s="14" t="str">
        <f>IFERROR(__xludf.DUMMYFUNCTION("""COMPUTED_VALUE"""),"OT baluran")</f>
        <v>OT baluran</v>
      </c>
      <c r="H100" s="16">
        <f>IFERROR(__xludf.DUMMYFUNCTION("""COMPUTED_VALUE"""),46039.0)</f>
        <v>46039</v>
      </c>
      <c r="I100" s="17"/>
      <c r="J100" s="18"/>
      <c r="K100" s="46" t="str">
        <f>IFERROR(__xludf.DUMMYFUNCTION("""COMPUTED_VALUE"""),"lewat tanggal")</f>
        <v>lewat tanggal</v>
      </c>
      <c r="L100" s="10"/>
      <c r="M100" s="20"/>
      <c r="N100" s="20"/>
      <c r="O100" s="20"/>
      <c r="P100" s="20"/>
    </row>
    <row r="101">
      <c r="A101" s="21">
        <f>IFERROR(__xludf.DUMMYFUNCTION("""COMPUTED_VALUE"""),46035.0)</f>
        <v>46035</v>
      </c>
      <c r="B101" s="22" t="str">
        <f>IFERROR(__xludf.DUMMYFUNCTION("""COMPUTED_VALUE"""),"2601D100")</f>
        <v>2601D100</v>
      </c>
      <c r="C101" s="23" t="str">
        <f>IFERROR(__xludf.DUMMYFUNCTION("""COMPUTED_VALUE"""),"Milly")</f>
        <v>Milly</v>
      </c>
      <c r="D101" s="24" t="str">
        <f>IFERROR(__xludf.DUMMYFUNCTION("""COMPUTED_VALUE"""),"083893333973")</f>
        <v>083893333973</v>
      </c>
      <c r="E101" s="14" t="str">
        <f>IFERROR(__xludf.DUMMYFUNCTION("""COMPUTED_VALUE"""),"Instagram")</f>
        <v>Instagram</v>
      </c>
      <c r="F101" s="14" t="str">
        <f>IFERROR(__xludf.DUMMYFUNCTION("""COMPUTED_VALUE"""),"Gagal")</f>
        <v>Gagal</v>
      </c>
      <c r="G101" s="15" t="str">
        <f>IFERROR(__xludf.DUMMYFUNCTION("""COMPUTED_VALUE"""),"rekom 2H1M")</f>
        <v>rekom 2H1M</v>
      </c>
      <c r="H101" s="26"/>
      <c r="I101" s="27">
        <f>IFERROR(__xludf.DUMMYFUNCTION("""COMPUTED_VALUE"""),5.0)</f>
        <v>5</v>
      </c>
      <c r="J101" s="33"/>
      <c r="K101" s="30" t="str">
        <f>IFERROR(__xludf.DUMMYFUNCTION("""COMPUTED_VALUE"""),"masih tanya, fu awal maret")</f>
        <v>masih tanya, fu awal maret</v>
      </c>
      <c r="L101" s="23"/>
      <c r="M101" s="20"/>
      <c r="N101" s="20"/>
      <c r="O101" s="20"/>
      <c r="P101" s="20"/>
    </row>
    <row r="102">
      <c r="A102" s="11">
        <f>IFERROR(__xludf.DUMMYFUNCTION("""COMPUTED_VALUE"""),46035.0)</f>
        <v>46035</v>
      </c>
      <c r="B102" s="12" t="str">
        <f>IFERROR(__xludf.DUMMYFUNCTION("""COMPUTED_VALUE"""),"2601D102")</f>
        <v>2601D102</v>
      </c>
      <c r="C102" s="10" t="str">
        <f>IFERROR(__xludf.DUMMYFUNCTION("""COMPUTED_VALUE"""),"Anissa ")</f>
        <v>Anissa </v>
      </c>
      <c r="D102" s="13" t="str">
        <f>IFERROR(__xludf.DUMMYFUNCTION("""COMPUTED_VALUE"""),"085729891650")</f>
        <v>085729891650</v>
      </c>
      <c r="E102" s="14" t="str">
        <f>IFERROR(__xludf.DUMMYFUNCTION("""COMPUTED_VALUE"""),"Instagram")</f>
        <v>Instagram</v>
      </c>
      <c r="F102" s="14" t="str">
        <f>IFERROR(__xludf.DUMMYFUNCTION("""COMPUTED_VALUE"""),"Gagal")</f>
        <v>Gagal</v>
      </c>
      <c r="G102" s="15" t="str">
        <f>IFERROR(__xludf.DUMMYFUNCTION("""COMPUTED_VALUE"""),"Trip 1 day")</f>
        <v>Trip 1 day</v>
      </c>
      <c r="H102" s="16"/>
      <c r="I102" s="17"/>
      <c r="J102" s="18"/>
      <c r="K102" s="46" t="str">
        <f>IFERROR(__xludf.DUMMYFUNCTION("""COMPUTED_VALUE"""),"tanya paket 1 day")</f>
        <v>tanya paket 1 day</v>
      </c>
      <c r="L102" s="10"/>
      <c r="M102" s="20"/>
      <c r="N102" s="20"/>
      <c r="O102" s="20"/>
      <c r="P102" s="20"/>
    </row>
    <row r="103">
      <c r="A103" s="21">
        <f>IFERROR(__xludf.DUMMYFUNCTION("""COMPUTED_VALUE"""),46035.0)</f>
        <v>46035</v>
      </c>
      <c r="B103" s="22" t="str">
        <f>IFERROR(__xludf.DUMMYFUNCTION("""COMPUTED_VALUE"""),"2601D103")</f>
        <v>2601D103</v>
      </c>
      <c r="C103" s="23" t="str">
        <f>IFERROR(__xludf.DUMMYFUNCTION("""COMPUTED_VALUE"""),"indah syafitri")</f>
        <v>indah syafitri</v>
      </c>
      <c r="D103" s="24" t="str">
        <f>IFERROR(__xludf.DUMMYFUNCTION("""COMPUTED_VALUE"""),"083895563443")</f>
        <v>083895563443</v>
      </c>
      <c r="E103" s="14" t="str">
        <f>IFERROR(__xludf.DUMMYFUNCTION("""COMPUTED_VALUE"""),"Instagram")</f>
        <v>Instagram</v>
      </c>
      <c r="F103" s="14" t="str">
        <f>IFERROR(__xludf.DUMMYFUNCTION("""COMPUTED_VALUE"""),"Gagal")</f>
        <v>Gagal</v>
      </c>
      <c r="G103" s="14" t="str">
        <f>IFERROR(__xludf.DUMMYFUNCTION("""COMPUTED_VALUE"""),"OT 3H2M")</f>
        <v>OT 3H2M</v>
      </c>
      <c r="H103" s="26">
        <f>IFERROR(__xludf.DUMMYFUNCTION("""COMPUTED_VALUE"""),46052.0)</f>
        <v>46052</v>
      </c>
      <c r="I103" s="27">
        <f>IFERROR(__xludf.DUMMYFUNCTION("""COMPUTED_VALUE"""),1.0)</f>
        <v>1</v>
      </c>
      <c r="J103" s="28"/>
      <c r="K103" s="30" t="str">
        <f>IFERROR(__xludf.DUMMYFUNCTION("""COMPUTED_VALUE"""),"sendirian aja")</f>
        <v>sendirian aja</v>
      </c>
      <c r="L103" s="23"/>
      <c r="M103" s="20"/>
      <c r="N103" s="20"/>
      <c r="O103" s="20"/>
      <c r="P103" s="20"/>
    </row>
    <row r="104">
      <c r="A104" s="11">
        <f>IFERROR(__xludf.DUMMYFUNCTION("""COMPUTED_VALUE"""),46035.0)</f>
        <v>46035</v>
      </c>
      <c r="B104" s="12" t="str">
        <f>IFERROR(__xludf.DUMMYFUNCTION("""COMPUTED_VALUE"""),"2601D104")</f>
        <v>2601D104</v>
      </c>
      <c r="C104" s="10" t="str">
        <f>IFERROR(__xludf.DUMMYFUNCTION("""COMPUTED_VALUE"""),"K (WNA)")</f>
        <v>K (WNA)</v>
      </c>
      <c r="D104" s="13" t="str">
        <f>IFERROR(__xludf.DUMMYFUNCTION("""COMPUTED_VALUE"""),"61402375242")</f>
        <v>61402375242</v>
      </c>
      <c r="E104" s="14" t="str">
        <f>IFERROR(__xludf.DUMMYFUNCTION("""COMPUTED_VALUE"""),"Lainnya")</f>
        <v>Lainnya</v>
      </c>
      <c r="F104" s="14" t="str">
        <f>IFERROR(__xludf.DUMMYFUNCTION("""COMPUTED_VALUE"""),"Gagal")</f>
        <v>Gagal</v>
      </c>
      <c r="G104" s="14" t="str">
        <f>IFERROR(__xludf.DUMMYFUNCTION("""COMPUTED_VALUE"""),"OT Ijen ")</f>
        <v>OT Ijen </v>
      </c>
      <c r="H104" s="16"/>
      <c r="I104" s="17">
        <f>IFERROR(__xludf.DUMMYFUNCTION("""COMPUTED_VALUE"""),1.0)</f>
        <v>1</v>
      </c>
      <c r="J104" s="18"/>
      <c r="K104" s="46" t="str">
        <f>IFERROR(__xludf.DUMMYFUNCTION("""COMPUTED_VALUE"""),"nunggu info OP pertengan minggu depan ")</f>
        <v>nunggu info OP pertengan minggu depan </v>
      </c>
      <c r="L104" s="10"/>
      <c r="M104" s="20"/>
      <c r="N104" s="20"/>
      <c r="O104" s="20"/>
      <c r="P104" s="20"/>
    </row>
    <row r="105">
      <c r="A105" s="21">
        <f>IFERROR(__xludf.DUMMYFUNCTION("""COMPUTED_VALUE"""),46035.0)</f>
        <v>46035</v>
      </c>
      <c r="B105" s="22" t="str">
        <f>IFERROR(__xludf.DUMMYFUNCTION("""COMPUTED_VALUE"""),"2601D105")</f>
        <v>2601D105</v>
      </c>
      <c r="C105" s="23" t="str">
        <f>IFERROR(__xludf.DUMMYFUNCTION("""COMPUTED_VALUE"""),"NadyaPR")</f>
        <v>NadyaPR</v>
      </c>
      <c r="D105" s="24" t="str">
        <f>IFERROR(__xludf.DUMMYFUNCTION("""COMPUTED_VALUE"""),"081910081972")</f>
        <v>081910081972</v>
      </c>
      <c r="E105" s="14" t="str">
        <f>IFERROR(__xludf.DUMMYFUNCTION("""COMPUTED_VALUE"""),"Instagram")</f>
        <v>Instagram</v>
      </c>
      <c r="F105" s="14" t="str">
        <f>IFERROR(__xludf.DUMMYFUNCTION("""COMPUTED_VALUE"""),"Gagal")</f>
        <v>Gagal</v>
      </c>
      <c r="G105" s="15" t="str">
        <f>IFERROR(__xludf.DUMMYFUNCTION("""COMPUTED_VALUE"""),"OT 1 day D, B")</f>
        <v>OT 1 day D, B</v>
      </c>
      <c r="H105" s="26"/>
      <c r="I105" s="89"/>
      <c r="J105" s="96"/>
      <c r="K105" s="30" t="str">
        <f>IFERROR(__xludf.DUMMYFUNCTION("""COMPUTED_VALUE"""),"tanya penjemputan dimana")</f>
        <v>tanya penjemputan dimana</v>
      </c>
      <c r="L105" s="23"/>
      <c r="M105" s="20"/>
      <c r="N105" s="20"/>
      <c r="O105" s="20"/>
      <c r="P105" s="20"/>
    </row>
    <row r="106">
      <c r="A106" s="11">
        <f>IFERROR(__xludf.DUMMYFUNCTION("""COMPUTED_VALUE"""),46035.0)</f>
        <v>46035</v>
      </c>
      <c r="B106" s="12" t="str">
        <f>IFERROR(__xludf.DUMMYFUNCTION("""COMPUTED_VALUE"""),"2601D106")</f>
        <v>2601D106</v>
      </c>
      <c r="C106" s="10" t="str">
        <f>IFERROR(__xludf.DUMMYFUNCTION("""COMPUTED_VALUE"""),"No name 800")</f>
        <v>No name 800</v>
      </c>
      <c r="D106" s="13" t="str">
        <f>IFERROR(__xludf.DUMMYFUNCTION("""COMPUTED_VALUE"""),"081939051800")</f>
        <v>081939051800</v>
      </c>
      <c r="E106" s="14" t="str">
        <f>IFERROR(__xludf.DUMMYFUNCTION("""COMPUTED_VALUE"""),"Lainnya")</f>
        <v>Lainnya</v>
      </c>
      <c r="F106" s="14" t="str">
        <f>IFERROR(__xludf.DUMMYFUNCTION("""COMPUTED_VALUE"""),"Gagal")</f>
        <v>Gagal</v>
      </c>
      <c r="G106" s="14" t="str">
        <f>IFERROR(__xludf.DUMMYFUNCTION("""COMPUTED_VALUE"""),"Private trip menjangan ")</f>
        <v>Private trip menjangan </v>
      </c>
      <c r="H106" s="16"/>
      <c r="I106" s="17">
        <f>IFERROR(__xludf.DUMMYFUNCTION("""COMPUTED_VALUE"""),2.0)</f>
        <v>2</v>
      </c>
      <c r="J106" s="18"/>
      <c r="K106" s="46" t="str">
        <f>IFERROR(__xludf.DUMMYFUNCTION("""COMPUTED_VALUE"""),"tunggu info")</f>
        <v>tunggu info</v>
      </c>
      <c r="L106" s="10"/>
      <c r="M106" s="20"/>
      <c r="N106" s="20"/>
      <c r="O106" s="20"/>
      <c r="P106" s="20"/>
    </row>
    <row r="107">
      <c r="A107" s="21">
        <f>IFERROR(__xludf.DUMMYFUNCTION("""COMPUTED_VALUE"""),46035.0)</f>
        <v>46035</v>
      </c>
      <c r="B107" s="22" t="str">
        <f>IFERROR(__xludf.DUMMYFUNCTION("""COMPUTED_VALUE"""),"2601D107")</f>
        <v>2601D107</v>
      </c>
      <c r="C107" s="23" t="str">
        <f>IFERROR(__xludf.DUMMYFUNCTION("""COMPUTED_VALUE"""),"Jessica")</f>
        <v>Jessica</v>
      </c>
      <c r="D107" s="24" t="str">
        <f>IFERROR(__xludf.DUMMYFUNCTION("""COMPUTED_VALUE"""),"081578949262")</f>
        <v>081578949262</v>
      </c>
      <c r="E107" s="14" t="str">
        <f>IFERROR(__xludf.DUMMYFUNCTION("""COMPUTED_VALUE"""),"Instagram")</f>
        <v>Instagram</v>
      </c>
      <c r="F107" s="14" t="str">
        <f>IFERROR(__xludf.DUMMYFUNCTION("""COMPUTED_VALUE"""),"Gagal")</f>
        <v>Gagal</v>
      </c>
      <c r="G107" s="15" t="str">
        <f>IFERROR(__xludf.DUMMYFUNCTION("""COMPUTED_VALUE"""),"Trip MT")</f>
        <v>Trip MT</v>
      </c>
      <c r="H107" s="26"/>
      <c r="I107" s="27">
        <f>IFERROR(__xludf.DUMMYFUNCTION("""COMPUTED_VALUE"""),3.0)</f>
        <v>3</v>
      </c>
      <c r="J107" s="28"/>
      <c r="K107" s="36" t="str">
        <f>IFERROR(__xludf.DUMMYFUNCTION("""COMPUTED_VALUE"""),"tanyaa tanyaa")</f>
        <v>tanyaa tanyaa</v>
      </c>
      <c r="L107" s="23"/>
      <c r="M107" s="20"/>
      <c r="N107" s="20"/>
      <c r="O107" s="20"/>
      <c r="P107" s="20"/>
    </row>
    <row r="108">
      <c r="A108" s="11">
        <f>IFERROR(__xludf.DUMMYFUNCTION("""COMPUTED_VALUE"""),46035.0)</f>
        <v>46035</v>
      </c>
      <c r="B108" s="12" t="str">
        <f>IFERROR(__xludf.DUMMYFUNCTION("""COMPUTED_VALUE"""),"2601D108")</f>
        <v>2601D108</v>
      </c>
      <c r="C108" s="10" t="str">
        <f>IFERROR(__xludf.DUMMYFUNCTION("""COMPUTED_VALUE"""),"Ami ")</f>
        <v>Ami </v>
      </c>
      <c r="D108" s="13" t="str">
        <f>IFERROR(__xludf.DUMMYFUNCTION("""COMPUTED_VALUE"""),"081384572180")</f>
        <v>081384572180</v>
      </c>
      <c r="E108" s="14" t="str">
        <f>IFERROR(__xludf.DUMMYFUNCTION("""COMPUTED_VALUE"""),"Lainnya")</f>
        <v>Lainnya</v>
      </c>
      <c r="F108" s="14" t="str">
        <f>IFERROR(__xludf.DUMMYFUNCTION("""COMPUTED_VALUE"""),"Gagal")</f>
        <v>Gagal</v>
      </c>
      <c r="G108" s="14" t="str">
        <f>IFERROR(__xludf.DUMMYFUNCTION("""COMPUTED_VALUE"""),"custom paket")</f>
        <v>custom paket</v>
      </c>
      <c r="H108" s="16"/>
      <c r="I108" s="17">
        <f>IFERROR(__xludf.DUMMYFUNCTION("""COMPUTED_VALUE"""),5.0)</f>
        <v>5</v>
      </c>
      <c r="J108" s="18"/>
      <c r="K108" s="46" t="str">
        <f>IFERROR(__xludf.DUMMYFUNCTION("""COMPUTED_VALUE"""),"ganti destinasi")</f>
        <v>ganti destinasi</v>
      </c>
      <c r="L108" s="76"/>
      <c r="M108" s="20"/>
      <c r="N108" s="20"/>
      <c r="O108" s="20"/>
      <c r="P108" s="20"/>
    </row>
    <row r="109">
      <c r="A109" s="21">
        <f>IFERROR(__xludf.DUMMYFUNCTION("""COMPUTED_VALUE"""),46036.0)</f>
        <v>46036</v>
      </c>
      <c r="B109" s="22" t="str">
        <f>IFERROR(__xludf.DUMMYFUNCTION("""COMPUTED_VALUE"""),"2601D109")</f>
        <v>2601D109</v>
      </c>
      <c r="C109" s="23" t="str">
        <f>IFERROR(__xludf.DUMMYFUNCTION("""COMPUTED_VALUE"""),"Dewi nur")</f>
        <v>Dewi nur</v>
      </c>
      <c r="D109" s="24" t="str">
        <f>IFERROR(__xludf.DUMMYFUNCTION("""COMPUTED_VALUE"""),"087809480648")</f>
        <v>087809480648</v>
      </c>
      <c r="E109" s="14" t="str">
        <f>IFERROR(__xludf.DUMMYFUNCTION("""COMPUTED_VALUE"""),"Instagram")</f>
        <v>Instagram</v>
      </c>
      <c r="F109" s="14" t="str">
        <f>IFERROR(__xludf.DUMMYFUNCTION("""COMPUTED_VALUE"""),"Gagal")</f>
        <v>Gagal</v>
      </c>
      <c r="G109" s="15"/>
      <c r="H109" s="26"/>
      <c r="I109" s="27"/>
      <c r="J109" s="33"/>
      <c r="K109" s="30"/>
      <c r="L109" s="23"/>
      <c r="M109" s="20"/>
      <c r="N109" s="20"/>
      <c r="O109" s="20"/>
      <c r="P109" s="20"/>
    </row>
    <row r="110">
      <c r="A110" s="11">
        <f>IFERROR(__xludf.DUMMYFUNCTION("""COMPUTED_VALUE"""),46036.0)</f>
        <v>46036</v>
      </c>
      <c r="B110" s="12" t="str">
        <f>IFERROR(__xludf.DUMMYFUNCTION("""COMPUTED_VALUE"""),"2601D110")</f>
        <v>2601D110</v>
      </c>
      <c r="C110" s="10" t="str">
        <f>IFERROR(__xludf.DUMMYFUNCTION("""COMPUTED_VALUE"""),"No Name..")</f>
        <v>No Name..</v>
      </c>
      <c r="D110" s="13" t="str">
        <f>IFERROR(__xludf.DUMMYFUNCTION("""COMPUTED_VALUE"""),"081328364137")</f>
        <v>081328364137</v>
      </c>
      <c r="E110" s="14" t="str">
        <f>IFERROR(__xludf.DUMMYFUNCTION("""COMPUTED_VALUE"""),"Instagram")</f>
        <v>Instagram</v>
      </c>
      <c r="F110" s="14" t="str">
        <f>IFERROR(__xludf.DUMMYFUNCTION("""COMPUTED_VALUE"""),"Gagal")</f>
        <v>Gagal</v>
      </c>
      <c r="G110" s="15" t="str">
        <f>IFERROR(__xludf.DUMMYFUNCTION("""COMPUTED_VALUE"""),"3H2M")</f>
        <v>3H2M</v>
      </c>
      <c r="H110" s="16"/>
      <c r="I110" s="17"/>
      <c r="J110" s="18"/>
      <c r="K110" s="46" t="str">
        <f>IFERROR(__xludf.DUMMYFUNCTION("""COMPUTED_VALUE"""),"masih chek katalog ")</f>
        <v>masih chek katalog </v>
      </c>
      <c r="L110" s="10"/>
      <c r="M110" s="20"/>
      <c r="N110" s="20"/>
      <c r="O110" s="20"/>
      <c r="P110" s="20"/>
    </row>
    <row r="111">
      <c r="A111" s="21">
        <f>IFERROR(__xludf.DUMMYFUNCTION("""COMPUTED_VALUE"""),46036.0)</f>
        <v>46036</v>
      </c>
      <c r="B111" s="22" t="str">
        <f>IFERROR(__xludf.DUMMYFUNCTION("""COMPUTED_VALUE"""),"2601D111")</f>
        <v>2601D111</v>
      </c>
      <c r="C111" s="23" t="str">
        <f>IFERROR(__xludf.DUMMYFUNCTION("""COMPUTED_VALUE"""),"Widiyanto")</f>
        <v>Widiyanto</v>
      </c>
      <c r="D111" s="24" t="str">
        <f>IFERROR(__xludf.DUMMYFUNCTION("""COMPUTED_VALUE"""),"081510101828")</f>
        <v>081510101828</v>
      </c>
      <c r="E111" s="14" t="str">
        <f>IFERROR(__xludf.DUMMYFUNCTION("""COMPUTED_VALUE"""),"Website")</f>
        <v>Website</v>
      </c>
      <c r="F111" s="14" t="str">
        <f>IFERROR(__xludf.DUMMYFUNCTION("""COMPUTED_VALUE"""),"Gagal")</f>
        <v>Gagal</v>
      </c>
      <c r="G111" s="14" t="str">
        <f>IFERROR(__xludf.DUMMYFUNCTION("""COMPUTED_VALUE"""),"custom 4H3M")</f>
        <v>custom 4H3M</v>
      </c>
      <c r="H111" s="26"/>
      <c r="I111" s="27">
        <f>IFERROR(__xludf.DUMMYFUNCTION("""COMPUTED_VALUE"""),12.0)</f>
        <v>12</v>
      </c>
      <c r="J111" s="28"/>
      <c r="K111" s="30" t="str">
        <f>IFERROR(__xludf.DUMMYFUNCTION("""COMPUTED_VALUE"""),"overbudget")</f>
        <v>overbudget</v>
      </c>
      <c r="L111" s="23"/>
      <c r="M111" s="20"/>
      <c r="N111" s="20"/>
      <c r="O111" s="20"/>
      <c r="P111" s="20"/>
    </row>
    <row r="112">
      <c r="A112" s="97">
        <f>IFERROR(__xludf.DUMMYFUNCTION("""COMPUTED_VALUE"""),46037.0)</f>
        <v>46037</v>
      </c>
      <c r="B112" s="98" t="str">
        <f>IFERROR(__xludf.DUMMYFUNCTION("""COMPUTED_VALUE"""),"2601D112")</f>
        <v>2601D112</v>
      </c>
      <c r="C112" s="76" t="str">
        <f>IFERROR(__xludf.DUMMYFUNCTION("""COMPUTED_VALUE"""),"Sipidt Citra ")</f>
        <v>Sipidt Citra </v>
      </c>
      <c r="D112" s="99" t="str">
        <f>IFERROR(__xludf.DUMMYFUNCTION("""COMPUTED_VALUE"""),"081944941910")</f>
        <v>081944941910</v>
      </c>
      <c r="E112" s="25" t="str">
        <f>IFERROR(__xludf.DUMMYFUNCTION("""COMPUTED_VALUE"""),"Website")</f>
        <v>Website</v>
      </c>
      <c r="F112" s="25" t="str">
        <f>IFERROR(__xludf.DUMMYFUNCTION("""COMPUTED_VALUE"""),"Gagal")</f>
        <v>Gagal</v>
      </c>
      <c r="G112" s="25" t="str">
        <f>IFERROR(__xludf.DUMMYFUNCTION("""COMPUTED_VALUE"""),"Trip djawatan ")</f>
        <v>Trip djawatan </v>
      </c>
      <c r="H112" s="92"/>
      <c r="I112" s="80">
        <f>IFERROR(__xludf.DUMMYFUNCTION("""COMPUTED_VALUE"""),2.0)</f>
        <v>2</v>
      </c>
      <c r="J112" s="95"/>
      <c r="K112" s="19" t="str">
        <f>IFERROR(__xludf.DUMMYFUNCTION("""COMPUTED_VALUE"""),"kirim katalog")</f>
        <v>kirim katalog</v>
      </c>
      <c r="L112" s="76"/>
      <c r="M112" s="20"/>
      <c r="N112" s="20"/>
      <c r="O112" s="20"/>
      <c r="P112" s="20"/>
    </row>
    <row r="113">
      <c r="A113" s="21">
        <f>IFERROR(__xludf.DUMMYFUNCTION("""COMPUTED_VALUE"""),46037.0)</f>
        <v>46037</v>
      </c>
      <c r="B113" s="22" t="str">
        <f>IFERROR(__xludf.DUMMYFUNCTION("""COMPUTED_VALUE"""),"2601D113")</f>
        <v>2601D113</v>
      </c>
      <c r="C113" s="23" t="str">
        <f>IFERROR(__xludf.DUMMYFUNCTION("""COMPUTED_VALUE"""),"Elvira catrine ")</f>
        <v>Elvira catrine </v>
      </c>
      <c r="D113" s="24" t="str">
        <f>IFERROR(__xludf.DUMMYFUNCTION("""COMPUTED_VALUE"""),"082145806568")</f>
        <v>082145806568</v>
      </c>
      <c r="E113" s="14" t="str">
        <f>IFERROR(__xludf.DUMMYFUNCTION("""COMPUTED_VALUE"""),"Instagram")</f>
        <v>Instagram</v>
      </c>
      <c r="F113" s="14" t="str">
        <f>IFERROR(__xludf.DUMMYFUNCTION("""COMPUTED_VALUE"""),"Gagal")</f>
        <v>Gagal</v>
      </c>
      <c r="G113" s="14" t="str">
        <f>IFERROR(__xludf.DUMMYFUNCTION("""COMPUTED_VALUE"""),"Trip baluran ")</f>
        <v>Trip baluran </v>
      </c>
      <c r="H113" s="26">
        <f>IFERROR(__xludf.DUMMYFUNCTION("""COMPUTED_VALUE"""),46037.0)</f>
        <v>46037</v>
      </c>
      <c r="I113" s="27"/>
      <c r="J113" s="33"/>
      <c r="K113" s="30" t="str">
        <f>IFERROR(__xludf.DUMMYFUNCTION("""COMPUTED_VALUE"""),"lewat tanggal")</f>
        <v>lewat tanggal</v>
      </c>
      <c r="L113" s="23"/>
      <c r="M113" s="20"/>
      <c r="N113" s="20"/>
      <c r="O113" s="20"/>
      <c r="P113" s="20"/>
    </row>
    <row r="114">
      <c r="A114" s="11">
        <f>IFERROR(__xludf.DUMMYFUNCTION("""COMPUTED_VALUE"""),46037.0)</f>
        <v>46037</v>
      </c>
      <c r="B114" s="12" t="str">
        <f>IFERROR(__xludf.DUMMYFUNCTION("""COMPUTED_VALUE"""),"2601D114")</f>
        <v>2601D114</v>
      </c>
      <c r="C114" s="10" t="str">
        <f>IFERROR(__xludf.DUMMYFUNCTION("""COMPUTED_VALUE"""),"Balqis Bimbel putra")</f>
        <v>Balqis Bimbel putra</v>
      </c>
      <c r="D114" s="13" t="str">
        <f>IFERROR(__xludf.DUMMYFUNCTION("""COMPUTED_VALUE"""),"082234884236")</f>
        <v>082234884236</v>
      </c>
      <c r="E114" s="14" t="str">
        <f>IFERROR(__xludf.DUMMYFUNCTION("""COMPUTED_VALUE"""),"Instagram")</f>
        <v>Instagram</v>
      </c>
      <c r="F114" s="14" t="str">
        <f>IFERROR(__xludf.DUMMYFUNCTION("""COMPUTED_VALUE"""),"Gagal")</f>
        <v>Gagal</v>
      </c>
      <c r="G114" s="15"/>
      <c r="H114" s="16"/>
      <c r="I114" s="17"/>
      <c r="J114" s="18"/>
      <c r="K114" s="46" t="str">
        <f>IFERROR(__xludf.DUMMYFUNCTION("""COMPUTED_VALUE"""),"tanya harga perorangan ")</f>
        <v>tanya harga perorangan </v>
      </c>
      <c r="L114" s="10"/>
      <c r="M114" s="20"/>
      <c r="N114" s="20"/>
      <c r="O114" s="20"/>
      <c r="P114" s="20"/>
    </row>
    <row r="115">
      <c r="A115" s="21">
        <f>IFERROR(__xludf.DUMMYFUNCTION("""COMPUTED_VALUE"""),46037.0)</f>
        <v>46037</v>
      </c>
      <c r="B115" s="22" t="str">
        <f>IFERROR(__xludf.DUMMYFUNCTION("""COMPUTED_VALUE"""),"2601D115")</f>
        <v>2601D115</v>
      </c>
      <c r="C115" s="49" t="str">
        <f>IFERROR(__xludf.DUMMYFUNCTION("""COMPUTED_VALUE"""),"Nuansa utama tour")</f>
        <v>Nuansa utama tour</v>
      </c>
      <c r="D115" s="24" t="str">
        <f>IFERROR(__xludf.DUMMYFUNCTION("""COMPUTED_VALUE"""),"082226326555")</f>
        <v>082226326555</v>
      </c>
      <c r="E115" s="14" t="str">
        <f>IFERROR(__xludf.DUMMYFUNCTION("""COMPUTED_VALUE"""),"Website")</f>
        <v>Website</v>
      </c>
      <c r="F115" s="14" t="str">
        <f>IFERROR(__xludf.DUMMYFUNCTION("""COMPUTED_VALUE"""),"Gagal")</f>
        <v>Gagal</v>
      </c>
      <c r="G115" s="15"/>
      <c r="H115" s="26"/>
      <c r="I115" s="27"/>
      <c r="J115" s="28"/>
      <c r="K115" s="30" t="str">
        <f>IFERROR(__xludf.DUMMYFUNCTION("""COMPUTED_VALUE"""),"masih di Bandung, tidak ada jawaban")</f>
        <v>masih di Bandung, tidak ada jawaban</v>
      </c>
      <c r="L115" s="23"/>
      <c r="M115" s="20"/>
      <c r="N115" s="20"/>
      <c r="O115" s="20"/>
      <c r="P115" s="20"/>
    </row>
    <row r="116">
      <c r="A116" s="11">
        <f>IFERROR(__xludf.DUMMYFUNCTION("""COMPUTED_VALUE"""),46037.0)</f>
        <v>46037</v>
      </c>
      <c r="B116" s="12" t="str">
        <f>IFERROR(__xludf.DUMMYFUNCTION("""COMPUTED_VALUE"""),"2601D116")</f>
        <v>2601D116</v>
      </c>
      <c r="C116" s="10" t="str">
        <f>IFERROR(__xludf.DUMMYFUNCTION("""COMPUTED_VALUE"""),"Iqbal")</f>
        <v>Iqbal</v>
      </c>
      <c r="D116" s="13" t="str">
        <f>IFERROR(__xludf.DUMMYFUNCTION("""COMPUTED_VALUE"""),"081253002311")</f>
        <v>081253002311</v>
      </c>
      <c r="E116" s="14" t="str">
        <f>IFERROR(__xludf.DUMMYFUNCTION("""COMPUTED_VALUE"""),"Website")</f>
        <v>Website</v>
      </c>
      <c r="F116" s="14" t="str">
        <f>IFERROR(__xludf.DUMMYFUNCTION("""COMPUTED_VALUE"""),"Gagal")</f>
        <v>Gagal</v>
      </c>
      <c r="G116" s="15" t="str">
        <f>IFERROR(__xludf.DUMMYFUNCTION("""COMPUTED_VALUE"""),"3H2M")</f>
        <v>3H2M</v>
      </c>
      <c r="H116" s="16"/>
      <c r="I116" s="17"/>
      <c r="J116" s="54"/>
      <c r="K116" s="19" t="str">
        <f>IFERROR(__xludf.DUMMYFUNCTION("""COMPUTED_VALUE"""),"lewat tanggal trip")</f>
        <v>lewat tanggal trip</v>
      </c>
      <c r="L116" s="88" t="str">
        <f>IFERROR(__xludf.DUMMYFUNCTION("""COMPUTED_VALUE"""),"https://docs.google.com/document/d/1owrFmHM_sukRfYRa4zQEBuqM7mjk6T76hgm2yyhQq7I/edit?tab=t.0")</f>
        <v>https://docs.google.com/document/d/1owrFmHM_sukRfYRa4zQEBuqM7mjk6T76hgm2yyhQq7I/edit?tab=t.0</v>
      </c>
      <c r="M116" s="20"/>
      <c r="N116" s="20"/>
      <c r="O116" s="20"/>
      <c r="P116" s="20"/>
    </row>
    <row r="117">
      <c r="A117" s="21">
        <f>IFERROR(__xludf.DUMMYFUNCTION("""COMPUTED_VALUE"""),46037.0)</f>
        <v>46037</v>
      </c>
      <c r="B117" s="22" t="str">
        <f>IFERROR(__xludf.DUMMYFUNCTION("""COMPUTED_VALUE"""),"2601D117")</f>
        <v>2601D117</v>
      </c>
      <c r="C117" s="23" t="str">
        <f>IFERROR(__xludf.DUMMYFUNCTION("""COMPUTED_VALUE"""),"Meeniik")</f>
        <v>Meeniik</v>
      </c>
      <c r="D117" s="24" t="str">
        <f>IFERROR(__xludf.DUMMYFUNCTION("""COMPUTED_VALUE"""),"081231865687")</f>
        <v>081231865687</v>
      </c>
      <c r="E117" s="14" t="str">
        <f>IFERROR(__xludf.DUMMYFUNCTION("""COMPUTED_VALUE"""),"Instagram")</f>
        <v>Instagram</v>
      </c>
      <c r="F117" s="14" t="str">
        <f>IFERROR(__xludf.DUMMYFUNCTION("""COMPUTED_VALUE"""),"Gagal")</f>
        <v>Gagal</v>
      </c>
      <c r="G117" s="15" t="str">
        <f>IFERROR(__xludf.DUMMYFUNCTION("""COMPUTED_VALUE"""),"private trip")</f>
        <v>private trip</v>
      </c>
      <c r="H117" s="26"/>
      <c r="I117" s="27"/>
      <c r="J117" s="28"/>
      <c r="K117" s="30" t="str">
        <f>IFERROR(__xludf.DUMMYFUNCTION("""COMPUTED_VALUE"""),"tanya tanya ")</f>
        <v>tanya tanya </v>
      </c>
      <c r="L117" s="23"/>
      <c r="M117" s="20"/>
      <c r="N117" s="20"/>
      <c r="O117" s="20"/>
      <c r="P117" s="20"/>
    </row>
    <row r="118">
      <c r="A118" s="11">
        <f>IFERROR(__xludf.DUMMYFUNCTION("""COMPUTED_VALUE"""),46037.0)</f>
        <v>46037</v>
      </c>
      <c r="B118" s="12" t="str">
        <f>IFERROR(__xludf.DUMMYFUNCTION("""COMPUTED_VALUE"""),"2601D118")</f>
        <v>2601D118</v>
      </c>
      <c r="C118" s="10" t="str">
        <f>IFERROR(__xludf.DUMMYFUNCTION("""COMPUTED_VALUE"""),"Tyas mariyati")</f>
        <v>Tyas mariyati</v>
      </c>
      <c r="D118" s="13" t="str">
        <f>IFERROR(__xludf.DUMMYFUNCTION("""COMPUTED_VALUE"""),"08113632667")</f>
        <v>08113632667</v>
      </c>
      <c r="E118" s="14" t="str">
        <f>IFERROR(__xludf.DUMMYFUNCTION("""COMPUTED_VALUE"""),"Website")</f>
        <v>Website</v>
      </c>
      <c r="F118" s="14" t="str">
        <f>IFERROR(__xludf.DUMMYFUNCTION("""COMPUTED_VALUE"""),"Review")</f>
        <v>Review</v>
      </c>
      <c r="G118" s="15" t="str">
        <f>IFERROR(__xludf.DUMMYFUNCTION("""COMPUTED_VALUE"""),"custom ")</f>
        <v>custom </v>
      </c>
      <c r="H118" s="16"/>
      <c r="I118" s="17">
        <f>IFERROR(__xludf.DUMMYFUNCTION("""COMPUTED_VALUE"""),15.0)</f>
        <v>15</v>
      </c>
      <c r="J118" s="54">
        <f>IFERROR(__xludf.DUMMYFUNCTION("""COMPUTED_VALUE"""),4.29E7)</f>
        <v>42900000</v>
      </c>
      <c r="K118" s="46" t="str">
        <f>IFERROR(__xludf.DUMMYFUNCTION("""COMPUTED_VALUE"""),"buat penawaran ")</f>
        <v>buat penawaran </v>
      </c>
      <c r="L118" s="10"/>
      <c r="M118" s="20"/>
      <c r="N118" s="20"/>
      <c r="O118" s="20"/>
      <c r="P118" s="20"/>
    </row>
    <row r="119">
      <c r="A119" s="21">
        <f>IFERROR(__xludf.DUMMYFUNCTION("""COMPUTED_VALUE"""),46037.0)</f>
        <v>46037</v>
      </c>
      <c r="B119" s="22" t="str">
        <f>IFERROR(__xludf.DUMMYFUNCTION("""COMPUTED_VALUE"""),"2601D119")</f>
        <v>2601D119</v>
      </c>
      <c r="C119" s="23" t="str">
        <f>IFERROR(__xludf.DUMMYFUNCTION("""COMPUTED_VALUE"""),"Achgalih")</f>
        <v>Achgalih</v>
      </c>
      <c r="D119" s="24" t="str">
        <f>IFERROR(__xludf.DUMMYFUNCTION("""COMPUTED_VALUE"""),"082115142008")</f>
        <v>082115142008</v>
      </c>
      <c r="E119" s="14" t="str">
        <f>IFERROR(__xludf.DUMMYFUNCTION("""COMPUTED_VALUE"""),"Instagram")</f>
        <v>Instagram</v>
      </c>
      <c r="F119" s="14" t="str">
        <f>IFERROR(__xludf.DUMMYFUNCTION("""COMPUTED_VALUE"""),"Gagal")</f>
        <v>Gagal</v>
      </c>
      <c r="G119" s="15" t="str">
        <f>IFERROR(__xludf.DUMMYFUNCTION("""COMPUTED_VALUE"""),"Trip 1 day ")</f>
        <v>Trip 1 day </v>
      </c>
      <c r="H119" s="26"/>
      <c r="I119" s="27">
        <f>IFERROR(__xludf.DUMMYFUNCTION("""COMPUTED_VALUE"""),2.0)</f>
        <v>2</v>
      </c>
      <c r="J119" s="28"/>
      <c r="K119" s="36" t="str">
        <f>IFERROR(__xludf.DUMMYFUNCTION("""COMPUTED_VALUE"""),"sudah FU tgl17")</f>
        <v>sudah FU tgl17</v>
      </c>
      <c r="L119" s="49"/>
      <c r="M119" s="20"/>
      <c r="N119" s="20"/>
      <c r="O119" s="20"/>
      <c r="P119" s="20"/>
    </row>
    <row r="120">
      <c r="A120" s="11">
        <f>IFERROR(__xludf.DUMMYFUNCTION("""COMPUTED_VALUE"""),46037.0)</f>
        <v>46037</v>
      </c>
      <c r="B120" s="12" t="str">
        <f>IFERROR(__xludf.DUMMYFUNCTION("""COMPUTED_VALUE"""),"2601D120")</f>
        <v>2601D120</v>
      </c>
      <c r="C120" s="10" t="str">
        <f>IFERROR(__xludf.DUMMYFUNCTION("""COMPUTED_VALUE"""),"Kfajarn ")</f>
        <v>Kfajarn </v>
      </c>
      <c r="D120" s="13" t="str">
        <f>IFERROR(__xludf.DUMMYFUNCTION("""COMPUTED_VALUE"""),"0811262567")</f>
        <v>0811262567</v>
      </c>
      <c r="E120" s="14" t="str">
        <f>IFERROR(__xludf.DUMMYFUNCTION("""COMPUTED_VALUE"""),"Website")</f>
        <v>Website</v>
      </c>
      <c r="F120" s="14" t="str">
        <f>IFERROR(__xludf.DUMMYFUNCTION("""COMPUTED_VALUE"""),"Gagal")</f>
        <v>Gagal</v>
      </c>
      <c r="G120" s="14"/>
      <c r="H120" s="16"/>
      <c r="I120" s="17"/>
      <c r="J120" s="54"/>
      <c r="K120" s="46" t="str">
        <f>IFERROR(__xludf.DUMMYFUNCTION("""COMPUTED_VALUE"""),"tanya tanya snorkling ")</f>
        <v>tanya tanya snorkling </v>
      </c>
      <c r="L120" s="76"/>
      <c r="M120" s="20"/>
      <c r="N120" s="20"/>
      <c r="O120" s="20"/>
      <c r="P120" s="20"/>
    </row>
    <row r="121">
      <c r="A121" s="21">
        <f>IFERROR(__xludf.DUMMYFUNCTION("""COMPUTED_VALUE"""),46038.0)</f>
        <v>46038</v>
      </c>
      <c r="B121" s="22" t="str">
        <f>IFERROR(__xludf.DUMMYFUNCTION("""COMPUTED_VALUE"""),"2601D121")</f>
        <v>2601D121</v>
      </c>
      <c r="C121" s="23" t="str">
        <f>IFERROR(__xludf.DUMMYFUNCTION("""COMPUTED_VALUE"""),"Edi lukito")</f>
        <v>Edi lukito</v>
      </c>
      <c r="D121" s="102" t="str">
        <f>IFERROR(__xludf.DUMMYFUNCTION("""COMPUTED_VALUE"""),"081352095218")</f>
        <v>081352095218</v>
      </c>
      <c r="E121" s="14" t="str">
        <f>IFERROR(__xludf.DUMMYFUNCTION("""COMPUTED_VALUE"""),"Instagram")</f>
        <v>Instagram</v>
      </c>
      <c r="F121" s="14" t="str">
        <f>IFERROR(__xludf.DUMMYFUNCTION("""COMPUTED_VALUE"""),"Prospek")</f>
        <v>Prospek</v>
      </c>
      <c r="G121" s="14" t="str">
        <f>IFERROR(__xludf.DUMMYFUNCTION("""COMPUTED_VALUE"""),"Trip 1 day I, B, KW")</f>
        <v>Trip 1 day I, B, KW</v>
      </c>
      <c r="H121" s="26"/>
      <c r="I121" s="27">
        <f>IFERROR(__xludf.DUMMYFUNCTION("""COMPUTED_VALUE"""),30.0)</f>
        <v>30</v>
      </c>
      <c r="J121" s="28">
        <f>IFERROR(__xludf.DUMMYFUNCTION("""COMPUTED_VALUE"""),2.4E7)</f>
        <v>24000000</v>
      </c>
      <c r="K121" s="30" t="str">
        <f>IFERROR(__xludf.DUMMYFUNCTION("""COMPUTED_VALUE"""),"jika sdh ada update, akan dihubungi lagi, FU 3 Januari 2027")</f>
        <v>jika sdh ada update, akan dihubungi lagi, FU 3 Januari 2027</v>
      </c>
      <c r="L121" s="87" t="str">
        <f>IFERROR(__xludf.DUMMYFUNCTION("""COMPUTED_VALUE"""),"https://docs.google.com/document/d/1WNu7Cyk_CX0yd-KTveK1mhJ7xL5DhL0u4yqOI9OoKps/edit?tab=t.0")</f>
        <v>https://docs.google.com/document/d/1WNu7Cyk_CX0yd-KTveK1mhJ7xL5DhL0u4yqOI9OoKps/edit?tab=t.0</v>
      </c>
      <c r="M121" s="20"/>
      <c r="N121" s="20"/>
      <c r="O121" s="20"/>
      <c r="P121" s="20"/>
    </row>
    <row r="122">
      <c r="A122" s="11">
        <f>IFERROR(__xludf.DUMMYFUNCTION("""COMPUTED_VALUE"""),46038.0)</f>
        <v>46038</v>
      </c>
      <c r="B122" s="12" t="str">
        <f>IFERROR(__xludf.DUMMYFUNCTION("""COMPUTED_VALUE"""),"2601D122")</f>
        <v>2601D122</v>
      </c>
      <c r="C122" s="10" t="str">
        <f>IFERROR(__xludf.DUMMYFUNCTION("""COMPUTED_VALUE"""),"Amelia wijayati")</f>
        <v>Amelia wijayati</v>
      </c>
      <c r="D122" s="13" t="str">
        <f>IFERROR(__xludf.DUMMYFUNCTION("""COMPUTED_VALUE"""),"082226189494")</f>
        <v>082226189494</v>
      </c>
      <c r="E122" s="14" t="str">
        <f>IFERROR(__xludf.DUMMYFUNCTION("""COMPUTED_VALUE"""),"Instagram")</f>
        <v>Instagram</v>
      </c>
      <c r="F122" s="14" t="str">
        <f>IFERROR(__xludf.DUMMYFUNCTION("""COMPUTED_VALUE"""),"Gagal")</f>
        <v>Gagal</v>
      </c>
      <c r="G122" s="15"/>
      <c r="H122" s="16"/>
      <c r="I122" s="17"/>
      <c r="J122" s="54"/>
      <c r="K122" s="46" t="str">
        <f>IFERROR(__xludf.DUMMYFUNCTION("""COMPUTED_VALUE"""),"tanya harga perpax")</f>
        <v>tanya harga perpax</v>
      </c>
      <c r="L122" s="10"/>
      <c r="M122" s="20"/>
      <c r="N122" s="20"/>
      <c r="O122" s="20"/>
      <c r="P122" s="20"/>
    </row>
    <row r="123">
      <c r="A123" s="21">
        <f>IFERROR(__xludf.DUMMYFUNCTION("""COMPUTED_VALUE"""),46038.0)</f>
        <v>46038</v>
      </c>
      <c r="B123" s="22" t="str">
        <f>IFERROR(__xludf.DUMMYFUNCTION("""COMPUTED_VALUE"""),"2601D123")</f>
        <v>2601D123</v>
      </c>
      <c r="C123" s="23" t="str">
        <f>IFERROR(__xludf.DUMMYFUNCTION("""COMPUTED_VALUE"""),"Ity")</f>
        <v>Ity</v>
      </c>
      <c r="D123" s="24" t="str">
        <f>IFERROR(__xludf.DUMMYFUNCTION("""COMPUTED_VALUE"""),"0895337453274")</f>
        <v>0895337453274</v>
      </c>
      <c r="E123" s="14" t="str">
        <f>IFERROR(__xludf.DUMMYFUNCTION("""COMPUTED_VALUE"""),"Instagram")</f>
        <v>Instagram</v>
      </c>
      <c r="F123" s="14" t="str">
        <f>IFERROR(__xludf.DUMMYFUNCTION("""COMPUTED_VALUE"""),"Gagal")</f>
        <v>Gagal</v>
      </c>
      <c r="G123" s="14" t="str">
        <f>IFERROR(__xludf.DUMMYFUNCTION("""COMPUTED_VALUE"""),"OT 3H2M")</f>
        <v>OT 3H2M</v>
      </c>
      <c r="H123" s="26"/>
      <c r="I123" s="27"/>
      <c r="J123" s="28"/>
      <c r="K123" s="30" t="str">
        <f>IFERROR(__xludf.DUMMYFUNCTION("""COMPUTED_VALUE"""),"tanya tanya ijen")</f>
        <v>tanya tanya ijen</v>
      </c>
      <c r="L123" s="23"/>
      <c r="M123" s="20"/>
      <c r="N123" s="20"/>
      <c r="O123" s="20"/>
      <c r="P123" s="20"/>
    </row>
    <row r="124">
      <c r="A124" s="11">
        <f>IFERROR(__xludf.DUMMYFUNCTION("""COMPUTED_VALUE"""),46038.0)</f>
        <v>46038</v>
      </c>
      <c r="B124" s="12" t="str">
        <f>IFERROR(__xludf.DUMMYFUNCTION("""COMPUTED_VALUE"""),"2601D124")</f>
        <v>2601D124</v>
      </c>
      <c r="C124" s="10" t="str">
        <f>IFERROR(__xludf.DUMMYFUNCTION("""COMPUTED_VALUE"""),"She")</f>
        <v>She</v>
      </c>
      <c r="D124" s="13" t="str">
        <f>IFERROR(__xludf.DUMMYFUNCTION("""COMPUTED_VALUE"""),"088225301233")</f>
        <v>088225301233</v>
      </c>
      <c r="E124" s="14" t="str">
        <f>IFERROR(__xludf.DUMMYFUNCTION("""COMPUTED_VALUE"""),"Instagram")</f>
        <v>Instagram</v>
      </c>
      <c r="F124" s="14" t="str">
        <f>IFERROR(__xludf.DUMMYFUNCTION("""COMPUTED_VALUE"""),"Gagal")</f>
        <v>Gagal</v>
      </c>
      <c r="G124" s="15" t="str">
        <f>IFERROR(__xludf.DUMMYFUNCTION("""COMPUTED_VALUE"""),"OT 3H2M")</f>
        <v>OT 3H2M</v>
      </c>
      <c r="H124" s="16"/>
      <c r="I124" s="17">
        <f>IFERROR(__xludf.DUMMYFUNCTION("""COMPUTED_VALUE"""),2.0)</f>
        <v>2</v>
      </c>
      <c r="J124" s="18"/>
      <c r="K124" s="46" t="str">
        <f>IFERROR(__xludf.DUMMYFUNCTION("""COMPUTED_VALUE"""),"masih milih tanggal")</f>
        <v>masih milih tanggal</v>
      </c>
      <c r="L124" s="10"/>
      <c r="M124" s="20"/>
      <c r="N124" s="20"/>
      <c r="O124" s="20"/>
      <c r="P124" s="20"/>
    </row>
    <row r="125">
      <c r="A125" s="21">
        <f>IFERROR(__xludf.DUMMYFUNCTION("""COMPUTED_VALUE"""),46038.0)</f>
        <v>46038</v>
      </c>
      <c r="B125" s="22" t="str">
        <f>IFERROR(__xludf.DUMMYFUNCTION("""COMPUTED_VALUE"""),"2601D125")</f>
        <v>2601D125</v>
      </c>
      <c r="C125" s="23" t="str">
        <f>IFERROR(__xludf.DUMMYFUNCTION("""COMPUTED_VALUE"""),"Faa")</f>
        <v>Faa</v>
      </c>
      <c r="D125" s="24" t="str">
        <f>IFERROR(__xludf.DUMMYFUNCTION("""COMPUTED_VALUE"""),"081229899693")</f>
        <v>081229899693</v>
      </c>
      <c r="E125" s="14" t="str">
        <f>IFERROR(__xludf.DUMMYFUNCTION("""COMPUTED_VALUE"""),"Instagram")</f>
        <v>Instagram</v>
      </c>
      <c r="F125" s="14" t="str">
        <f>IFERROR(__xludf.DUMMYFUNCTION("""COMPUTED_VALUE"""),"Gagal")</f>
        <v>Gagal</v>
      </c>
      <c r="G125" s="15" t="str">
        <f>IFERROR(__xludf.DUMMYFUNCTION("""COMPUTED_VALUE"""),"OT MT")</f>
        <v>OT MT</v>
      </c>
      <c r="H125" s="26">
        <f>IFERROR(__xludf.DUMMYFUNCTION("""COMPUTED_VALUE"""),46057.0)</f>
        <v>46057</v>
      </c>
      <c r="I125" s="27"/>
      <c r="J125" s="28"/>
      <c r="K125" s="36" t="str">
        <f>IFERROR(__xludf.DUMMYFUNCTION("""COMPUTED_VALUE"""),"chek ketersediaan kapal")</f>
        <v>chek ketersediaan kapal</v>
      </c>
      <c r="L125" s="49"/>
      <c r="M125" s="20"/>
      <c r="N125" s="20"/>
      <c r="O125" s="20"/>
      <c r="P125" s="20"/>
    </row>
    <row r="126">
      <c r="A126" s="11">
        <f>IFERROR(__xludf.DUMMYFUNCTION("""COMPUTED_VALUE"""),46038.0)</f>
        <v>46038</v>
      </c>
      <c r="B126" s="12" t="str">
        <f>IFERROR(__xludf.DUMMYFUNCTION("""COMPUTED_VALUE"""),"2601D126")</f>
        <v>2601D126</v>
      </c>
      <c r="C126" s="10" t="str">
        <f>IFERROR(__xludf.DUMMYFUNCTION("""COMPUTED_VALUE"""),"Puput nofbriyanti")</f>
        <v>Puput nofbriyanti</v>
      </c>
      <c r="D126" s="13" t="str">
        <f>IFERROR(__xludf.DUMMYFUNCTION("""COMPUTED_VALUE"""),"085212437856")</f>
        <v>085212437856</v>
      </c>
      <c r="E126" s="14" t="str">
        <f>IFERROR(__xludf.DUMMYFUNCTION("""COMPUTED_VALUE"""),"Instagram")</f>
        <v>Instagram</v>
      </c>
      <c r="F126" s="14" t="str">
        <f>IFERROR(__xludf.DUMMYFUNCTION("""COMPUTED_VALUE"""),"Gagal")</f>
        <v>Gagal</v>
      </c>
      <c r="G126" s="14" t="str">
        <f>IFERROR(__xludf.DUMMYFUNCTION("""COMPUTED_VALUE"""),"Trip 4H3M")</f>
        <v>Trip 4H3M</v>
      </c>
      <c r="H126" s="16"/>
      <c r="I126" s="17">
        <f>IFERROR(__xludf.DUMMYFUNCTION("""COMPUTED_VALUE"""),1.0)</f>
        <v>1</v>
      </c>
      <c r="J126" s="18"/>
      <c r="K126" s="46" t="str">
        <f>IFERROR(__xludf.DUMMYFUNCTION("""COMPUTED_VALUE"""),"tanya tanya ")</f>
        <v>tanya tanya </v>
      </c>
      <c r="L126" s="10"/>
      <c r="M126" s="20"/>
      <c r="N126" s="20"/>
      <c r="O126" s="20"/>
      <c r="P126" s="20"/>
    </row>
    <row r="127">
      <c r="A127" s="21">
        <f>IFERROR(__xludf.DUMMYFUNCTION("""COMPUTED_VALUE"""),46038.0)</f>
        <v>46038</v>
      </c>
      <c r="B127" s="22" t="str">
        <f>IFERROR(__xludf.DUMMYFUNCTION("""COMPUTED_VALUE"""),"2601D127")</f>
        <v>2601D127</v>
      </c>
      <c r="C127" s="23" t="str">
        <f>IFERROR(__xludf.DUMMYFUNCTION("""COMPUTED_VALUE"""),"Niaa")</f>
        <v>Niaa</v>
      </c>
      <c r="D127" s="24" t="str">
        <f>IFERROR(__xludf.DUMMYFUNCTION("""COMPUTED_VALUE"""),"085753609890")</f>
        <v>085753609890</v>
      </c>
      <c r="E127" s="14" t="str">
        <f>IFERROR(__xludf.DUMMYFUNCTION("""COMPUTED_VALUE"""),"Instagram")</f>
        <v>Instagram</v>
      </c>
      <c r="F127" s="14" t="str">
        <f>IFERROR(__xludf.DUMMYFUNCTION("""COMPUTED_VALUE"""),"Gagal")</f>
        <v>Gagal</v>
      </c>
      <c r="G127" s="15"/>
      <c r="H127" s="26"/>
      <c r="I127" s="27"/>
      <c r="J127" s="33"/>
      <c r="K127" s="30"/>
      <c r="L127" s="23"/>
      <c r="M127" s="20"/>
      <c r="N127" s="20"/>
      <c r="O127" s="20"/>
      <c r="P127" s="20"/>
    </row>
    <row r="128">
      <c r="A128" s="11">
        <f>IFERROR(__xludf.DUMMYFUNCTION("""COMPUTED_VALUE"""),46038.0)</f>
        <v>46038</v>
      </c>
      <c r="B128" s="12" t="str">
        <f>IFERROR(__xludf.DUMMYFUNCTION("""COMPUTED_VALUE"""),"2601D128")</f>
        <v>2601D128</v>
      </c>
      <c r="C128" s="10" t="str">
        <f>IFERROR(__xludf.DUMMYFUNCTION("""COMPUTED_VALUE"""),"Sandra ")</f>
        <v>Sandra </v>
      </c>
      <c r="D128" s="13" t="str">
        <f>IFERROR(__xludf.DUMMYFUNCTION("""COMPUTED_VALUE"""),"085158058819")</f>
        <v>085158058819</v>
      </c>
      <c r="E128" s="14" t="str">
        <f>IFERROR(__xludf.DUMMYFUNCTION("""COMPUTED_VALUE"""),"Instagram")</f>
        <v>Instagram</v>
      </c>
      <c r="F128" s="14" t="str">
        <f>IFERROR(__xludf.DUMMYFUNCTION("""COMPUTED_VALUE"""),"Gagal")</f>
        <v>Gagal</v>
      </c>
      <c r="G128" s="15" t="str">
        <f>IFERROR(__xludf.DUMMYFUNCTION("""COMPUTED_VALUE"""),"3H2M")</f>
        <v>3H2M</v>
      </c>
      <c r="H128" s="16"/>
      <c r="I128" s="17">
        <f>IFERROR(__xludf.DUMMYFUNCTION("""COMPUTED_VALUE"""),2.0)</f>
        <v>2</v>
      </c>
      <c r="J128" s="54">
        <f>IFERROR(__xludf.DUMMYFUNCTION("""COMPUTED_VALUE"""),612000.0)</f>
        <v>612000</v>
      </c>
      <c r="K128" s="46" t="str">
        <f>IFERROR(__xludf.DUMMYFUNCTION("""COMPUTED_VALUE"""),"dipending dulu biar bisa barengan")</f>
        <v>dipending dulu biar bisa barengan</v>
      </c>
      <c r="L128" s="100" t="str">
        <f>IFERROR(__xludf.DUMMYFUNCTION("""COMPUTED_VALUE"""),"https://docs.google.com/document/d/1LVPx6Knnjt0Zo-xWig0RuPdACmCYP4kO3oIzdCV-V3M/edit?tab=t.0")</f>
        <v>https://docs.google.com/document/d/1LVPx6Knnjt0Zo-xWig0RuPdACmCYP4kO3oIzdCV-V3M/edit?tab=t.0</v>
      </c>
      <c r="M128" s="20"/>
      <c r="N128" s="20"/>
      <c r="O128" s="20"/>
      <c r="P128" s="20"/>
    </row>
    <row r="129">
      <c r="A129" s="21">
        <f>IFERROR(__xludf.DUMMYFUNCTION("""COMPUTED_VALUE"""),46038.0)</f>
        <v>46038</v>
      </c>
      <c r="B129" s="22" t="str">
        <f>IFERROR(__xludf.DUMMYFUNCTION("""COMPUTED_VALUE"""),"2601D129")</f>
        <v>2601D129</v>
      </c>
      <c r="C129" s="23" t="str">
        <f>IFERROR(__xludf.DUMMYFUNCTION("""COMPUTED_VALUE"""),"Azizah ")</f>
        <v>Azizah </v>
      </c>
      <c r="D129" s="24" t="str">
        <f>IFERROR(__xludf.DUMMYFUNCTION("""COMPUTED_VALUE"""),"089505500413")</f>
        <v>089505500413</v>
      </c>
      <c r="E129" s="14" t="str">
        <f>IFERROR(__xludf.DUMMYFUNCTION("""COMPUTED_VALUE"""),"Instagram")</f>
        <v>Instagram</v>
      </c>
      <c r="F129" s="14" t="str">
        <f>IFERROR(__xludf.DUMMYFUNCTION("""COMPUTED_VALUE"""),"Gagal")</f>
        <v>Gagal</v>
      </c>
      <c r="G129" s="15"/>
      <c r="H129" s="26"/>
      <c r="I129" s="27"/>
      <c r="J129" s="28"/>
      <c r="K129" s="30"/>
      <c r="L129" s="49"/>
      <c r="M129" s="20"/>
      <c r="N129" s="20"/>
      <c r="O129" s="20"/>
      <c r="P129" s="20"/>
    </row>
    <row r="130">
      <c r="A130" s="11">
        <f>IFERROR(__xludf.DUMMYFUNCTION("""COMPUTED_VALUE"""),46039.0)</f>
        <v>46039</v>
      </c>
      <c r="B130" s="12" t="str">
        <f>IFERROR(__xludf.DUMMYFUNCTION("""COMPUTED_VALUE"""),"2601D130")</f>
        <v>2601D130</v>
      </c>
      <c r="C130" s="10" t="str">
        <f>IFERROR(__xludf.DUMMYFUNCTION("""COMPUTED_VALUE"""),"Sartika ")</f>
        <v>Sartika </v>
      </c>
      <c r="D130" s="13" t="str">
        <f>IFERROR(__xludf.DUMMYFUNCTION("""COMPUTED_VALUE"""),"01123611072")</f>
        <v>01123611072</v>
      </c>
      <c r="E130" s="14" t="str">
        <f>IFERROR(__xludf.DUMMYFUNCTION("""COMPUTED_VALUE"""),"Instagram")</f>
        <v>Instagram</v>
      </c>
      <c r="F130" s="14" t="str">
        <f>IFERROR(__xludf.DUMMYFUNCTION("""COMPUTED_VALUE"""),"Gagal")</f>
        <v>Gagal</v>
      </c>
      <c r="G130" s="14"/>
      <c r="H130" s="16"/>
      <c r="I130" s="17"/>
      <c r="J130" s="54"/>
      <c r="K130" s="46"/>
      <c r="L130" s="76"/>
      <c r="M130" s="20"/>
      <c r="N130" s="20"/>
      <c r="O130" s="20"/>
      <c r="P130" s="20"/>
    </row>
    <row r="131">
      <c r="A131" s="21">
        <f>IFERROR(__xludf.DUMMYFUNCTION("""COMPUTED_VALUE"""),46039.0)</f>
        <v>46039</v>
      </c>
      <c r="B131" s="22" t="str">
        <f>IFERROR(__xludf.DUMMYFUNCTION("""COMPUTED_VALUE"""),"2601D131")</f>
        <v>2601D131</v>
      </c>
      <c r="C131" s="23" t="str">
        <f>IFERROR(__xludf.DUMMYFUNCTION("""COMPUTED_VALUE"""),"Wiwit Septiyawati")</f>
        <v>Wiwit Septiyawati</v>
      </c>
      <c r="D131" s="24" t="str">
        <f>IFERROR(__xludf.DUMMYFUNCTION("""COMPUTED_VALUE"""),"087742092442")</f>
        <v>087742092442</v>
      </c>
      <c r="E131" s="14" t="str">
        <f>IFERROR(__xludf.DUMMYFUNCTION("""COMPUTED_VALUE"""),"Instagram")</f>
        <v>Instagram</v>
      </c>
      <c r="F131" s="14" t="str">
        <f>IFERROR(__xludf.DUMMYFUNCTION("""COMPUTED_VALUE"""),"Follow Up")</f>
        <v>Follow Up</v>
      </c>
      <c r="G131" s="15" t="str">
        <f>IFERROR(__xludf.DUMMYFUNCTION("""COMPUTED_VALUE"""),"custom 2H1M")</f>
        <v>custom 2H1M</v>
      </c>
      <c r="H131" s="26"/>
      <c r="I131" s="27">
        <f>IFERROR(__xludf.DUMMYFUNCTION("""COMPUTED_VALUE"""),2.0)</f>
        <v>2</v>
      </c>
      <c r="J131" s="28">
        <f>IFERROR(__xludf.DUMMYFUNCTION("""COMPUTED_VALUE"""),3400000.0)</f>
        <v>3400000</v>
      </c>
      <c r="K131" s="30" t="str">
        <f>IFERROR(__xludf.DUMMYFUNCTION("""COMPUTED_VALUE"""),"FU 28 Juli")</f>
        <v>FU 28 Juli</v>
      </c>
      <c r="L131" s="87" t="str">
        <f>IFERROR(__xludf.DUMMYFUNCTION("""COMPUTED_VALUE"""),"https://docs.google.com/document/d/136SMbtvX3TL4Cj5B8n8miIXkxwe4gUR4X2iSv7S4rO8/edit?tab=t.0")</f>
        <v>https://docs.google.com/document/d/136SMbtvX3TL4Cj5B8n8miIXkxwe4gUR4X2iSv7S4rO8/edit?tab=t.0</v>
      </c>
      <c r="M131" s="20"/>
      <c r="N131" s="20"/>
      <c r="O131" s="20"/>
      <c r="P131" s="20"/>
    </row>
    <row r="132">
      <c r="A132" s="11">
        <f>IFERROR(__xludf.DUMMYFUNCTION("""COMPUTED_VALUE"""),46039.0)</f>
        <v>46039</v>
      </c>
      <c r="B132" s="12" t="str">
        <f>IFERROR(__xludf.DUMMYFUNCTION("""COMPUTED_VALUE"""),"2601D132")</f>
        <v>2601D132</v>
      </c>
      <c r="C132" s="10" t="str">
        <f>IFERROR(__xludf.DUMMYFUNCTION("""COMPUTED_VALUE"""),"Ha_Natsuki")</f>
        <v>Ha_Natsuki</v>
      </c>
      <c r="D132" s="13" t="str">
        <f>IFERROR(__xludf.DUMMYFUNCTION("""COMPUTED_VALUE"""),"0895412476578")</f>
        <v>0895412476578</v>
      </c>
      <c r="E132" s="14" t="str">
        <f>IFERROR(__xludf.DUMMYFUNCTION("""COMPUTED_VALUE"""),"Instagram")</f>
        <v>Instagram</v>
      </c>
      <c r="F132" s="14" t="str">
        <f>IFERROR(__xludf.DUMMYFUNCTION("""COMPUTED_VALUE"""),"Gagal")</f>
        <v>Gagal</v>
      </c>
      <c r="G132" s="14" t="str">
        <f>IFERROR(__xludf.DUMMYFUNCTION("""COMPUTED_VALUE"""),"OT 3H2M")</f>
        <v>OT 3H2M</v>
      </c>
      <c r="H132" s="16"/>
      <c r="I132" s="17">
        <f>IFERROR(__xludf.DUMMYFUNCTION("""COMPUTED_VALUE"""),2.0)</f>
        <v>2</v>
      </c>
      <c r="J132" s="54">
        <f>IFERROR(__xludf.DUMMYFUNCTION("""COMPUTED_VALUE"""),4000000.0)</f>
        <v>4000000</v>
      </c>
      <c r="K132" s="46" t="str">
        <f>IFERROR(__xludf.DUMMYFUNCTION("""COMPUTED_VALUE"""),"gajadiiii")</f>
        <v>gajadiiii</v>
      </c>
      <c r="L132" s="100" t="str">
        <f>IFERROR(__xludf.DUMMYFUNCTION("""COMPUTED_VALUE"""),"https://docs.google.com/document/d/1KvgxfmxwbvtEdsYUmvDVH8AmLHY6-gICC8p8r-iFWWI/edit?tab=t.0")</f>
        <v>https://docs.google.com/document/d/1KvgxfmxwbvtEdsYUmvDVH8AmLHY6-gICC8p8r-iFWWI/edit?tab=t.0</v>
      </c>
      <c r="M132" s="20"/>
      <c r="N132" s="20"/>
      <c r="O132" s="20"/>
      <c r="P132" s="20"/>
    </row>
    <row r="133">
      <c r="A133" s="21">
        <f>IFERROR(__xludf.DUMMYFUNCTION("""COMPUTED_VALUE"""),46039.0)</f>
        <v>46039</v>
      </c>
      <c r="B133" s="22" t="str">
        <f>IFERROR(__xludf.DUMMYFUNCTION("""COMPUTED_VALUE"""),"2601D133")</f>
        <v>2601D133</v>
      </c>
      <c r="C133" s="23" t="str">
        <f>IFERROR(__xludf.DUMMYFUNCTION("""COMPUTED_VALUE"""),"Magdalena")</f>
        <v>Magdalena</v>
      </c>
      <c r="D133" s="24" t="str">
        <f>IFERROR(__xludf.DUMMYFUNCTION("""COMPUTED_VALUE"""),"081331875161")</f>
        <v>081331875161</v>
      </c>
      <c r="E133" s="14" t="str">
        <f>IFERROR(__xludf.DUMMYFUNCTION("""COMPUTED_VALUE"""),"Lainnya")</f>
        <v>Lainnya</v>
      </c>
      <c r="F133" s="14" t="str">
        <f>IFERROR(__xludf.DUMMYFUNCTION("""COMPUTED_VALUE"""),"Gagal")</f>
        <v>Gagal</v>
      </c>
      <c r="G133" s="14" t="str">
        <f>IFERROR(__xludf.DUMMYFUNCTION("""COMPUTED_VALUE"""),"3H2M")</f>
        <v>3H2M</v>
      </c>
      <c r="H133" s="26"/>
      <c r="I133" s="27"/>
      <c r="J133" s="33"/>
      <c r="K133" s="30" t="str">
        <f>IFERROR(__xludf.DUMMYFUNCTION("""COMPUTED_VALUE"""),"tanya tanyaa")</f>
        <v>tanya tanyaa</v>
      </c>
      <c r="L133" s="23"/>
      <c r="M133" s="20"/>
      <c r="N133" s="20"/>
      <c r="O133" s="20"/>
      <c r="P133" s="20"/>
    </row>
    <row r="134">
      <c r="A134" s="11">
        <f>IFERROR(__xludf.DUMMYFUNCTION("""COMPUTED_VALUE"""),46040.0)</f>
        <v>46040</v>
      </c>
      <c r="B134" s="12" t="str">
        <f>IFERROR(__xludf.DUMMYFUNCTION("""COMPUTED_VALUE"""),"2601D134")</f>
        <v>2601D134</v>
      </c>
      <c r="C134" s="10" t="str">
        <f>IFERROR(__xludf.DUMMYFUNCTION("""COMPUTED_VALUE"""),"Giin")</f>
        <v>Giin</v>
      </c>
      <c r="D134" s="13" t="str">
        <f>IFERROR(__xludf.DUMMYFUNCTION("""COMPUTED_VALUE"""),"087898653538")</f>
        <v>087898653538</v>
      </c>
      <c r="E134" s="14" t="str">
        <f>IFERROR(__xludf.DUMMYFUNCTION("""COMPUTED_VALUE"""),"Instagram")</f>
        <v>Instagram</v>
      </c>
      <c r="F134" s="14" t="str">
        <f>IFERROR(__xludf.DUMMYFUNCTION("""COMPUTED_VALUE"""),"Gagal")</f>
        <v>Gagal</v>
      </c>
      <c r="G134" s="15" t="str">
        <f>IFERROR(__xludf.DUMMYFUNCTION("""COMPUTED_VALUE"""),"OT MT")</f>
        <v>OT MT</v>
      </c>
      <c r="H134" s="16"/>
      <c r="I134" s="17">
        <f>IFERROR(__xludf.DUMMYFUNCTION("""COMPUTED_VALUE"""),1.0)</f>
        <v>1</v>
      </c>
      <c r="J134" s="18"/>
      <c r="K134" s="46" t="str">
        <f>IFERROR(__xludf.DUMMYFUNCTION("""COMPUTED_VALUE"""),"tunggu info fiks nya")</f>
        <v>tunggu info fiks nya</v>
      </c>
      <c r="L134" s="76"/>
      <c r="M134" s="20"/>
      <c r="N134" s="20"/>
      <c r="O134" s="20"/>
      <c r="P134" s="20"/>
    </row>
    <row r="135">
      <c r="A135" s="21">
        <f>IFERROR(__xludf.DUMMYFUNCTION("""COMPUTED_VALUE"""),46040.0)</f>
        <v>46040</v>
      </c>
      <c r="B135" s="22" t="str">
        <f>IFERROR(__xludf.DUMMYFUNCTION("""COMPUTED_VALUE"""),"2601D135")</f>
        <v>2601D135</v>
      </c>
      <c r="C135" s="23" t="str">
        <f>IFERROR(__xludf.DUMMYFUNCTION("""COMPUTED_VALUE"""),"Deni Sultan")</f>
        <v>Deni Sultan</v>
      </c>
      <c r="D135" s="24" t="str">
        <f>IFERROR(__xludf.DUMMYFUNCTION("""COMPUTED_VALUE"""),"085156837522")</f>
        <v>085156837522</v>
      </c>
      <c r="E135" s="14" t="str">
        <f>IFERROR(__xludf.DUMMYFUNCTION("""COMPUTED_VALUE"""),"Instagram")</f>
        <v>Instagram</v>
      </c>
      <c r="F135" s="14" t="str">
        <f>IFERROR(__xludf.DUMMYFUNCTION("""COMPUTED_VALUE"""),"Gagal")</f>
        <v>Gagal</v>
      </c>
      <c r="G135" s="25" t="str">
        <f>IFERROR(__xludf.DUMMYFUNCTION("""COMPUTED_VALUE"""),"OT MT")</f>
        <v>OT MT</v>
      </c>
      <c r="H135" s="26">
        <f>IFERROR(__xludf.DUMMYFUNCTION("""COMPUTED_VALUE"""),46046.0)</f>
        <v>46046</v>
      </c>
      <c r="I135" s="27"/>
      <c r="J135" s="33"/>
      <c r="K135" s="36" t="str">
        <f>IFERROR(__xludf.DUMMYFUNCTION("""COMPUTED_VALUE"""),"nomr wa nya ganti")</f>
        <v>nomr wa nya ganti</v>
      </c>
      <c r="L135" s="49"/>
      <c r="M135" s="20"/>
      <c r="N135" s="20"/>
      <c r="O135" s="20"/>
      <c r="P135" s="20"/>
    </row>
    <row r="136">
      <c r="A136" s="11">
        <f>IFERROR(__xludf.DUMMYFUNCTION("""COMPUTED_VALUE"""),46040.0)</f>
        <v>46040</v>
      </c>
      <c r="B136" s="12" t="str">
        <f>IFERROR(__xludf.DUMMYFUNCTION("""COMPUTED_VALUE"""),"2601D136")</f>
        <v>2601D136</v>
      </c>
      <c r="C136" s="10" t="str">
        <f>IFERROR(__xludf.DUMMYFUNCTION("""COMPUTED_VALUE"""),"Intan safira ")</f>
        <v>Intan safira </v>
      </c>
      <c r="D136" s="13" t="str">
        <f>IFERROR(__xludf.DUMMYFUNCTION("""COMPUTED_VALUE"""),"081230005911")</f>
        <v>081230005911</v>
      </c>
      <c r="E136" s="14" t="str">
        <f>IFERROR(__xludf.DUMMYFUNCTION("""COMPUTED_VALUE"""),"Instagram")</f>
        <v>Instagram</v>
      </c>
      <c r="F136" s="14" t="str">
        <f>IFERROR(__xludf.DUMMYFUNCTION("""COMPUTED_VALUE"""),"Gagal")</f>
        <v>Gagal</v>
      </c>
      <c r="G136" s="25" t="str">
        <f>IFERROR(__xludf.DUMMYFUNCTION("""COMPUTED_VALUE"""),"outbond kantor ")</f>
        <v>outbond kantor </v>
      </c>
      <c r="H136" s="16"/>
      <c r="I136" s="80"/>
      <c r="J136" s="54"/>
      <c r="K136" s="19" t="str">
        <f>IFERROR(__xludf.DUMMYFUNCTION("""COMPUTED_VALUE"""),"tunggu informasi selanjutnya")</f>
        <v>tunggu informasi selanjutnya</v>
      </c>
      <c r="L136" s="76"/>
      <c r="M136" s="20"/>
      <c r="N136" s="20"/>
      <c r="O136" s="20"/>
      <c r="P136" s="20"/>
    </row>
    <row r="137">
      <c r="A137" s="21">
        <f>IFERROR(__xludf.DUMMYFUNCTION("""COMPUTED_VALUE"""),46040.0)</f>
        <v>46040</v>
      </c>
      <c r="B137" s="22" t="str">
        <f>IFERROR(__xludf.DUMMYFUNCTION("""COMPUTED_VALUE"""),"2601D137")</f>
        <v>2601D137</v>
      </c>
      <c r="C137" s="23" t="str">
        <f>IFERROR(__xludf.DUMMYFUNCTION("""COMPUTED_VALUE"""),"Silpink")</f>
        <v>Silpink</v>
      </c>
      <c r="D137" s="24" t="str">
        <f>IFERROR(__xludf.DUMMYFUNCTION("""COMPUTED_VALUE"""),"082113390249")</f>
        <v>082113390249</v>
      </c>
      <c r="E137" s="14" t="str">
        <f>IFERROR(__xludf.DUMMYFUNCTION("""COMPUTED_VALUE"""),"Instagram")</f>
        <v>Instagram</v>
      </c>
      <c r="F137" s="14" t="str">
        <f>IFERROR(__xludf.DUMMYFUNCTION("""COMPUTED_VALUE"""),"Gagal")</f>
        <v>Gagal</v>
      </c>
      <c r="G137" s="15" t="str">
        <f>IFERROR(__xludf.DUMMYFUNCTION("""COMPUTED_VALUE"""),"custom ")</f>
        <v>custom </v>
      </c>
      <c r="H137" s="26"/>
      <c r="I137" s="27"/>
      <c r="J137" s="28"/>
      <c r="K137" s="30" t="str">
        <f>IFERROR(__xludf.DUMMYFUNCTION("""COMPUTED_VALUE"""),"tanya tanya")</f>
        <v>tanya tanya</v>
      </c>
      <c r="L137" s="23"/>
      <c r="M137" s="20"/>
      <c r="N137" s="20"/>
      <c r="O137" s="20"/>
      <c r="P137" s="20"/>
    </row>
    <row r="138">
      <c r="A138" s="11">
        <f>IFERROR(__xludf.DUMMYFUNCTION("""COMPUTED_VALUE"""),46040.0)</f>
        <v>46040</v>
      </c>
      <c r="B138" s="12" t="str">
        <f>IFERROR(__xludf.DUMMYFUNCTION("""COMPUTED_VALUE"""),"2601D138")</f>
        <v>2601D138</v>
      </c>
      <c r="C138" s="10" t="str">
        <f>IFERROR(__xludf.DUMMYFUNCTION("""COMPUTED_VALUE"""),"Rhma")</f>
        <v>Rhma</v>
      </c>
      <c r="D138" s="13" t="str">
        <f>IFERROR(__xludf.DUMMYFUNCTION("""COMPUTED_VALUE"""),"087877184620")</f>
        <v>087877184620</v>
      </c>
      <c r="E138" s="14" t="str">
        <f>IFERROR(__xludf.DUMMYFUNCTION("""COMPUTED_VALUE"""),"Instagram")</f>
        <v>Instagram</v>
      </c>
      <c r="F138" s="14" t="str">
        <f>IFERROR(__xludf.DUMMYFUNCTION("""COMPUTED_VALUE"""),"Gagal")</f>
        <v>Gagal</v>
      </c>
      <c r="G138" s="15"/>
      <c r="H138" s="16"/>
      <c r="I138" s="17"/>
      <c r="J138" s="18"/>
      <c r="K138" s="46" t="str">
        <f>IFERROR(__xludf.DUMMYFUNCTION("""COMPUTED_VALUE"""),"tanya meeting point")</f>
        <v>tanya meeting point</v>
      </c>
      <c r="L138" s="10"/>
      <c r="M138" s="20"/>
      <c r="N138" s="20"/>
      <c r="O138" s="20"/>
      <c r="P138" s="20"/>
    </row>
    <row r="139">
      <c r="A139" s="21">
        <f>IFERROR(__xludf.DUMMYFUNCTION("""COMPUTED_VALUE"""),46040.0)</f>
        <v>46040</v>
      </c>
      <c r="B139" s="22" t="str">
        <f>IFERROR(__xludf.DUMMYFUNCTION("""COMPUTED_VALUE"""),"2601D139")</f>
        <v>2601D139</v>
      </c>
      <c r="C139" s="23" t="str">
        <f>IFERROR(__xludf.DUMMYFUNCTION("""COMPUTED_VALUE"""),"Rubya R")</f>
        <v>Rubya R</v>
      </c>
      <c r="D139" s="24" t="str">
        <f>IFERROR(__xludf.DUMMYFUNCTION("""COMPUTED_VALUE"""),"082295403309")</f>
        <v>082295403309</v>
      </c>
      <c r="E139" s="14" t="str">
        <f>IFERROR(__xludf.DUMMYFUNCTION("""COMPUTED_VALUE"""),"Instagram")</f>
        <v>Instagram</v>
      </c>
      <c r="F139" s="14" t="str">
        <f>IFERROR(__xludf.DUMMYFUNCTION("""COMPUTED_VALUE"""),"Gagal")</f>
        <v>Gagal</v>
      </c>
      <c r="G139" s="15" t="str">
        <f>IFERROR(__xludf.DUMMYFUNCTION("""COMPUTED_VALUE"""),"1 day trip")</f>
        <v>1 day trip</v>
      </c>
      <c r="H139" s="26"/>
      <c r="I139" s="27"/>
      <c r="J139" s="28"/>
      <c r="K139" s="30" t="str">
        <f>IFERROR(__xludf.DUMMYFUNCTION("""COMPUTED_VALUE"""),"tanya custom destinasi")</f>
        <v>tanya custom destinasi</v>
      </c>
      <c r="L139" s="23"/>
      <c r="M139" s="20"/>
      <c r="N139" s="20"/>
      <c r="O139" s="20"/>
      <c r="P139" s="20"/>
    </row>
    <row r="140">
      <c r="A140" s="11">
        <f>IFERROR(__xludf.DUMMYFUNCTION("""COMPUTED_VALUE"""),46040.0)</f>
        <v>46040</v>
      </c>
      <c r="B140" s="12" t="str">
        <f>IFERROR(__xludf.DUMMYFUNCTION("""COMPUTED_VALUE"""),"2601D140")</f>
        <v>2601D140</v>
      </c>
      <c r="C140" s="10" t="str">
        <f>IFERROR(__xludf.DUMMYFUNCTION("""COMPUTED_VALUE"""),"No Name love")</f>
        <v>No Name love</v>
      </c>
      <c r="D140" s="13" t="str">
        <f>IFERROR(__xludf.DUMMYFUNCTION("""COMPUTED_VALUE"""),"0895366283298")</f>
        <v>0895366283298</v>
      </c>
      <c r="E140" s="14" t="str">
        <f>IFERROR(__xludf.DUMMYFUNCTION("""COMPUTED_VALUE"""),"Instagram")</f>
        <v>Instagram</v>
      </c>
      <c r="F140" s="14" t="str">
        <f>IFERROR(__xludf.DUMMYFUNCTION("""COMPUTED_VALUE"""),"Gagal")</f>
        <v>Gagal</v>
      </c>
      <c r="G140" s="15"/>
      <c r="H140" s="16"/>
      <c r="I140" s="17"/>
      <c r="J140" s="54"/>
      <c r="K140" s="46" t="str">
        <f>IFERROR(__xludf.DUMMYFUNCTION("""COMPUTED_VALUE"""),"tanya penjemputan dari surabaya")</f>
        <v>tanya penjemputan dari surabaya</v>
      </c>
      <c r="L140" s="10"/>
      <c r="M140" s="20"/>
      <c r="N140" s="20"/>
      <c r="O140" s="20"/>
      <c r="P140" s="20"/>
    </row>
    <row r="141">
      <c r="A141" s="21">
        <f>IFERROR(__xludf.DUMMYFUNCTION("""COMPUTED_VALUE"""),46041.0)</f>
        <v>46041</v>
      </c>
      <c r="B141" s="22" t="str">
        <f>IFERROR(__xludf.DUMMYFUNCTION("""COMPUTED_VALUE"""),"2601D141")</f>
        <v>2601D141</v>
      </c>
      <c r="C141" s="23" t="str">
        <f>IFERROR(__xludf.DUMMYFUNCTION("""COMPUTED_VALUE"""),"Salsabiila rizky ")</f>
        <v>Salsabiila rizky </v>
      </c>
      <c r="D141" s="24" t="str">
        <f>IFERROR(__xludf.DUMMYFUNCTION("""COMPUTED_VALUE"""),"082253199432")</f>
        <v>082253199432</v>
      </c>
      <c r="E141" s="14" t="str">
        <f>IFERROR(__xludf.DUMMYFUNCTION("""COMPUTED_VALUE"""),"Instagram")</f>
        <v>Instagram</v>
      </c>
      <c r="F141" s="14" t="str">
        <f>IFERROR(__xludf.DUMMYFUNCTION("""COMPUTED_VALUE"""),"Gagal")</f>
        <v>Gagal</v>
      </c>
      <c r="G141" s="15" t="str">
        <f>IFERROR(__xludf.DUMMYFUNCTION("""COMPUTED_VALUE"""),"4H3M")</f>
        <v>4H3M</v>
      </c>
      <c r="H141" s="26"/>
      <c r="I141" s="89"/>
      <c r="J141" s="28"/>
      <c r="K141" s="30" t="str">
        <f>IFERROR(__xludf.DUMMYFUNCTION("""COMPUTED_VALUE"""),"tanya tanya ")</f>
        <v>tanya tanya </v>
      </c>
      <c r="L141" s="49"/>
      <c r="M141" s="20"/>
      <c r="N141" s="20"/>
      <c r="O141" s="20"/>
      <c r="P141" s="20"/>
    </row>
    <row r="142">
      <c r="A142" s="11">
        <f>IFERROR(__xludf.DUMMYFUNCTION("""COMPUTED_VALUE"""),46041.0)</f>
        <v>46041</v>
      </c>
      <c r="B142" s="12" t="str">
        <f>IFERROR(__xludf.DUMMYFUNCTION("""COMPUTED_VALUE"""),"2601D142")</f>
        <v>2601D142</v>
      </c>
      <c r="C142" s="10" t="str">
        <f>IFERROR(__xludf.DUMMYFUNCTION("""COMPUTED_VALUE"""),"Nabhita Maulia")</f>
        <v>Nabhita Maulia</v>
      </c>
      <c r="D142" s="13" t="str">
        <f>IFERROR(__xludf.DUMMYFUNCTION("""COMPUTED_VALUE"""),"085878729443")</f>
        <v>085878729443</v>
      </c>
      <c r="E142" s="14" t="str">
        <f>IFERROR(__xludf.DUMMYFUNCTION("""COMPUTED_VALUE"""),"Instagram")</f>
        <v>Instagram</v>
      </c>
      <c r="F142" s="14" t="str">
        <f>IFERROR(__xludf.DUMMYFUNCTION("""COMPUTED_VALUE"""),"Gagal")</f>
        <v>Gagal</v>
      </c>
      <c r="G142" s="14"/>
      <c r="H142" s="16"/>
      <c r="I142" s="17"/>
      <c r="J142" s="54"/>
      <c r="K142" s="46" t="str">
        <f>IFERROR(__xludf.DUMMYFUNCTION("""COMPUTED_VALUE"""),"Sekedar nyapa")</f>
        <v>Sekedar nyapa</v>
      </c>
      <c r="L142" s="10"/>
      <c r="M142" s="20"/>
      <c r="N142" s="20"/>
      <c r="O142" s="20"/>
      <c r="P142" s="20"/>
    </row>
    <row r="143">
      <c r="A143" s="21">
        <f>IFERROR(__xludf.DUMMYFUNCTION("""COMPUTED_VALUE"""),46041.0)</f>
        <v>46041</v>
      </c>
      <c r="B143" s="22" t="str">
        <f>IFERROR(__xludf.DUMMYFUNCTION("""COMPUTED_VALUE"""),"2601D143")</f>
        <v>2601D143</v>
      </c>
      <c r="C143" s="23" t="str">
        <f>IFERROR(__xludf.DUMMYFUNCTION("""COMPUTED_VALUE"""),"Adi Suseno")</f>
        <v>Adi Suseno</v>
      </c>
      <c r="D143" s="24" t="str">
        <f>IFERROR(__xludf.DUMMYFUNCTION("""COMPUTED_VALUE"""),"081293287733")</f>
        <v>081293287733</v>
      </c>
      <c r="E143" s="14" t="str">
        <f>IFERROR(__xludf.DUMMYFUNCTION("""COMPUTED_VALUE"""),"Website")</f>
        <v>Website</v>
      </c>
      <c r="F143" s="14" t="str">
        <f>IFERROR(__xludf.DUMMYFUNCTION("""COMPUTED_VALUE"""),"Gagal")</f>
        <v>Gagal</v>
      </c>
      <c r="G143" s="15"/>
      <c r="H143" s="26"/>
      <c r="I143" s="27"/>
      <c r="J143" s="33"/>
      <c r="K143" s="30" t="str">
        <f>IFERROR(__xludf.DUMMYFUNCTION("""COMPUTED_VALUE"""),"deal di admin 2")</f>
        <v>deal di admin 2</v>
      </c>
      <c r="L143" s="23"/>
      <c r="M143" s="20"/>
      <c r="N143" s="20"/>
      <c r="O143" s="20"/>
      <c r="P143" s="20"/>
    </row>
    <row r="144">
      <c r="A144" s="11">
        <f>IFERROR(__xludf.DUMMYFUNCTION("""COMPUTED_VALUE"""),46041.0)</f>
        <v>46041</v>
      </c>
      <c r="B144" s="12" t="str">
        <f>IFERROR(__xludf.DUMMYFUNCTION("""COMPUTED_VALUE"""),"2601D144")</f>
        <v>2601D144</v>
      </c>
      <c r="C144" s="10" t="str">
        <f>IFERROR(__xludf.DUMMYFUNCTION("""COMPUTED_VALUE"""),"Anez")</f>
        <v>Anez</v>
      </c>
      <c r="D144" s="13" t="str">
        <f>IFERROR(__xludf.DUMMYFUNCTION("""COMPUTED_VALUE"""),"085155121201")</f>
        <v>085155121201</v>
      </c>
      <c r="E144" s="14" t="str">
        <f>IFERROR(__xludf.DUMMYFUNCTION("""COMPUTED_VALUE"""),"Lainnya")</f>
        <v>Lainnya</v>
      </c>
      <c r="F144" s="14" t="str">
        <f>IFERROR(__xludf.DUMMYFUNCTION("""COMPUTED_VALUE"""),"Gagal")</f>
        <v>Gagal</v>
      </c>
      <c r="G144" s="15"/>
      <c r="H144" s="16"/>
      <c r="I144" s="17"/>
      <c r="J144" s="18"/>
      <c r="K144" s="46" t="str">
        <f>IFERROR(__xludf.DUMMYFUNCTION("""COMPUTED_VALUE"""),"Sekedar nyapa")</f>
        <v>Sekedar nyapa</v>
      </c>
      <c r="L144" s="10"/>
      <c r="M144" s="20"/>
      <c r="N144" s="20"/>
      <c r="O144" s="20"/>
      <c r="P144" s="20"/>
    </row>
    <row r="145">
      <c r="A145" s="21">
        <f>IFERROR(__xludf.DUMMYFUNCTION("""COMPUTED_VALUE"""),46041.0)</f>
        <v>46041</v>
      </c>
      <c r="B145" s="22" t="str">
        <f>IFERROR(__xludf.DUMMYFUNCTION("""COMPUTED_VALUE"""),"2601D145")</f>
        <v>2601D145</v>
      </c>
      <c r="C145" s="23" t="str">
        <f>IFERROR(__xludf.DUMMYFUNCTION("""COMPUTED_VALUE"""),"Ocha")</f>
        <v>Ocha</v>
      </c>
      <c r="D145" s="24" t="str">
        <f>IFERROR(__xludf.DUMMYFUNCTION("""COMPUTED_VALUE"""),"082131670248")</f>
        <v>082131670248</v>
      </c>
      <c r="E145" s="14" t="str">
        <f>IFERROR(__xludf.DUMMYFUNCTION("""COMPUTED_VALUE"""),"Website")</f>
        <v>Website</v>
      </c>
      <c r="F145" s="14" t="str">
        <f>IFERROR(__xludf.DUMMYFUNCTION("""COMPUTED_VALUE"""),"Gagal")</f>
        <v>Gagal</v>
      </c>
      <c r="G145" s="14" t="str">
        <f>IFERROR(__xludf.DUMMYFUNCTION("""COMPUTED_VALUE"""),"MT")</f>
        <v>MT</v>
      </c>
      <c r="H145" s="26"/>
      <c r="I145" s="27"/>
      <c r="J145" s="33"/>
      <c r="K145" s="30" t="str">
        <f>IFERROR(__xludf.DUMMYFUNCTION("""COMPUTED_VALUE"""),"tanya kapal menjangan ")</f>
        <v>tanya kapal menjangan </v>
      </c>
      <c r="L145" s="23"/>
      <c r="M145" s="20"/>
      <c r="N145" s="20"/>
      <c r="O145" s="20"/>
      <c r="P145" s="20"/>
    </row>
    <row r="146">
      <c r="A146" s="11">
        <f>IFERROR(__xludf.DUMMYFUNCTION("""COMPUTED_VALUE"""),46042.0)</f>
        <v>46042</v>
      </c>
      <c r="B146" s="12" t="str">
        <f>IFERROR(__xludf.DUMMYFUNCTION("""COMPUTED_VALUE"""),"2601D146")</f>
        <v>2601D146</v>
      </c>
      <c r="C146" s="10" t="str">
        <f>IFERROR(__xludf.DUMMYFUNCTION("""COMPUTED_VALUE"""),"Galihr")</f>
        <v>Galihr</v>
      </c>
      <c r="D146" s="13" t="str">
        <f>IFERROR(__xludf.DUMMYFUNCTION("""COMPUTED_VALUE"""),"087838222422")</f>
        <v>087838222422</v>
      </c>
      <c r="E146" s="14" t="str">
        <f>IFERROR(__xludf.DUMMYFUNCTION("""COMPUTED_VALUE"""),"Website")</f>
        <v>Website</v>
      </c>
      <c r="F146" s="14" t="str">
        <f>IFERROR(__xludf.DUMMYFUNCTION("""COMPUTED_VALUE"""),"Gagal")</f>
        <v>Gagal</v>
      </c>
      <c r="G146" s="14" t="str">
        <f>IFERROR(__xludf.DUMMYFUNCTION("""COMPUTED_VALUE"""),"4H3M")</f>
        <v>4H3M</v>
      </c>
      <c r="H146" s="16"/>
      <c r="I146" s="17"/>
      <c r="J146" s="18"/>
      <c r="K146" s="46" t="str">
        <f>IFERROR(__xludf.DUMMYFUNCTION("""COMPUTED_VALUE"""),"tunggu info fiks")</f>
        <v>tunggu info fiks</v>
      </c>
      <c r="L146" s="10"/>
      <c r="M146" s="20"/>
      <c r="N146" s="20"/>
      <c r="O146" s="20"/>
      <c r="P146" s="20"/>
    </row>
    <row r="147">
      <c r="A147" s="21">
        <f>IFERROR(__xludf.DUMMYFUNCTION("""COMPUTED_VALUE"""),46042.0)</f>
        <v>46042</v>
      </c>
      <c r="B147" s="22" t="str">
        <f>IFERROR(__xludf.DUMMYFUNCTION("""COMPUTED_VALUE"""),"2601D147")</f>
        <v>2601D147</v>
      </c>
      <c r="C147" s="23" t="str">
        <f>IFERROR(__xludf.DUMMYFUNCTION("""COMPUTED_VALUE"""),"Nita")</f>
        <v>Nita</v>
      </c>
      <c r="D147" s="24" t="str">
        <f>IFERROR(__xludf.DUMMYFUNCTION("""COMPUTED_VALUE"""),"08156533676")</f>
        <v>08156533676</v>
      </c>
      <c r="E147" s="14" t="str">
        <f>IFERROR(__xludf.DUMMYFUNCTION("""COMPUTED_VALUE"""),"Rekomendasi")</f>
        <v>Rekomendasi</v>
      </c>
      <c r="F147" s="14" t="str">
        <f>IFERROR(__xludf.DUMMYFUNCTION("""COMPUTED_VALUE"""),"Closing")</f>
        <v>Closing</v>
      </c>
      <c r="G147" s="15" t="str">
        <f>IFERROR(__xludf.DUMMYFUNCTION("""COMPUTED_VALUE"""),"3H2M opsi A")</f>
        <v>3H2M opsi A</v>
      </c>
      <c r="H147" s="26"/>
      <c r="I147" s="27">
        <f>IFERROR(__xludf.DUMMYFUNCTION("""COMPUTED_VALUE"""),20.0)</f>
        <v>20</v>
      </c>
      <c r="J147" s="33">
        <f>IFERROR(__xludf.DUMMYFUNCTION("""COMPUTED_VALUE"""),5.5E7)</f>
        <v>55000000</v>
      </c>
      <c r="K147" s="30" t="str">
        <f>IFERROR(__xludf.DUMMYFUNCTION("""COMPUTED_VALUE"""),"alhamdulillah orderrr")</f>
        <v>alhamdulillah orderrr</v>
      </c>
      <c r="L147" s="87" t="str">
        <f>IFERROR(__xludf.DUMMYFUNCTION("""COMPUTED_VALUE"""),"https://docs.google.com/document/d/1LJwqoLcXbSwFP_30EVsW4KLvu-cSUrZCXBNqf3OtCww/edit?tab=t.0")</f>
        <v>https://docs.google.com/document/d/1LJwqoLcXbSwFP_30EVsW4KLvu-cSUrZCXBNqf3OtCww/edit?tab=t.0</v>
      </c>
      <c r="M147" s="20"/>
      <c r="N147" s="20"/>
      <c r="O147" s="20"/>
      <c r="P147" s="20"/>
    </row>
    <row r="148">
      <c r="A148" s="11">
        <f>IFERROR(__xludf.DUMMYFUNCTION("""COMPUTED_VALUE"""),46042.0)</f>
        <v>46042</v>
      </c>
      <c r="B148" s="12" t="str">
        <f>IFERROR(__xludf.DUMMYFUNCTION("""COMPUTED_VALUE"""),"2601D148")</f>
        <v>2601D148</v>
      </c>
      <c r="C148" s="10" t="str">
        <f>IFERROR(__xludf.DUMMYFUNCTION("""COMPUTED_VALUE"""),"Pesona Trip Nusantara ")</f>
        <v>Pesona Trip Nusantara </v>
      </c>
      <c r="D148" s="13" t="str">
        <f>IFERROR(__xludf.DUMMYFUNCTION("""COMPUTED_VALUE"""),"081998217087")</f>
        <v>081998217087</v>
      </c>
      <c r="E148" s="14" t="str">
        <f>IFERROR(__xludf.DUMMYFUNCTION("""COMPUTED_VALUE"""),"Website")</f>
        <v>Website</v>
      </c>
      <c r="F148" s="14" t="str">
        <f>IFERROR(__xludf.DUMMYFUNCTION("""COMPUTED_VALUE"""),"Gagal")</f>
        <v>Gagal</v>
      </c>
      <c r="G148" s="15" t="str">
        <f>IFERROR(__xludf.DUMMYFUNCTION("""COMPUTED_VALUE"""),"custom 2H1M")</f>
        <v>custom 2H1M</v>
      </c>
      <c r="H148" s="16">
        <f>IFERROR(__xludf.DUMMYFUNCTION("""COMPUTED_VALUE"""),46172.0)</f>
        <v>46172</v>
      </c>
      <c r="I148" s="17">
        <f>IFERROR(__xludf.DUMMYFUNCTION("""COMPUTED_VALUE"""),150.0)</f>
        <v>150</v>
      </c>
      <c r="J148" s="54">
        <f>IFERROR(__xludf.DUMMYFUNCTION("""COMPUTED_VALUE"""),1.05E8)</f>
        <v>105000000</v>
      </c>
      <c r="K148" s="19" t="str">
        <f>IFERROR(__xludf.DUMMYFUNCTION("""COMPUTED_VALUE"""),"sudah FU 5 kali tidak ada balasan ")</f>
        <v>sudah FU 5 kali tidak ada balasan </v>
      </c>
      <c r="L148" s="88" t="str">
        <f>IFERROR(__xludf.DUMMYFUNCTION("""COMPUTED_VALUE"""),"https://docs.google.com/document/d/1fG6ksUPanEFRm-7kRV6QZq8KIeujMhm94-N85xQ7a2s/edit?tab=t.0")</f>
        <v>https://docs.google.com/document/d/1fG6ksUPanEFRm-7kRV6QZq8KIeujMhm94-N85xQ7a2s/edit?tab=t.0</v>
      </c>
      <c r="M148" s="20"/>
      <c r="N148" s="20"/>
      <c r="O148" s="20"/>
      <c r="P148" s="20"/>
    </row>
    <row r="149">
      <c r="A149" s="21">
        <f>IFERROR(__xludf.DUMMYFUNCTION("""COMPUTED_VALUE"""),46043.0)</f>
        <v>46043</v>
      </c>
      <c r="B149" s="22" t="str">
        <f>IFERROR(__xludf.DUMMYFUNCTION("""COMPUTED_VALUE"""),"2601D149")</f>
        <v>2601D149</v>
      </c>
      <c r="C149" s="23" t="str">
        <f>IFERROR(__xludf.DUMMYFUNCTION("""COMPUTED_VALUE"""),"M. Syamsul Bakri")</f>
        <v>M. Syamsul Bakri</v>
      </c>
      <c r="D149" s="24" t="str">
        <f>IFERROR(__xludf.DUMMYFUNCTION("""COMPUTED_VALUE"""),"082131651818")</f>
        <v>082131651818</v>
      </c>
      <c r="E149" s="14" t="str">
        <f>IFERROR(__xludf.DUMMYFUNCTION("""COMPUTED_VALUE"""),"Website")</f>
        <v>Website</v>
      </c>
      <c r="F149" s="14" t="str">
        <f>IFERROR(__xludf.DUMMYFUNCTION("""COMPUTED_VALUE"""),"Gagal")</f>
        <v>Gagal</v>
      </c>
      <c r="G149" s="15"/>
      <c r="H149" s="26"/>
      <c r="I149" s="27">
        <f>IFERROR(__xludf.DUMMYFUNCTION("""COMPUTED_VALUE"""),4.0)</f>
        <v>4</v>
      </c>
      <c r="J149" s="28"/>
      <c r="K149" s="36" t="str">
        <f>IFERROR(__xludf.DUMMYFUNCTION("""COMPUTED_VALUE"""),"ganti destinasi")</f>
        <v>ganti destinasi</v>
      </c>
      <c r="L149" s="49"/>
      <c r="M149" s="20"/>
      <c r="N149" s="20"/>
      <c r="O149" s="20"/>
      <c r="P149" s="20"/>
    </row>
    <row r="150">
      <c r="A150" s="11">
        <f>IFERROR(__xludf.DUMMYFUNCTION("""COMPUTED_VALUE"""),46043.0)</f>
        <v>46043</v>
      </c>
      <c r="B150" s="12" t="str">
        <f>IFERROR(__xludf.DUMMYFUNCTION("""COMPUTED_VALUE"""),"2601D150")</f>
        <v>2601D150</v>
      </c>
      <c r="C150" s="10" t="str">
        <f>IFERROR(__xludf.DUMMYFUNCTION("""COMPUTED_VALUE"""),"Aldo.wp")</f>
        <v>Aldo.wp</v>
      </c>
      <c r="D150" s="13" t="str">
        <f>IFERROR(__xludf.DUMMYFUNCTION("""COMPUTED_VALUE"""),"08165487012")</f>
        <v>08165487012</v>
      </c>
      <c r="E150" s="14" t="str">
        <f>IFERROR(__xludf.DUMMYFUNCTION("""COMPUTED_VALUE"""),"Lainnya")</f>
        <v>Lainnya</v>
      </c>
      <c r="F150" s="14" t="str">
        <f>IFERROR(__xludf.DUMMYFUNCTION("""COMPUTED_VALUE"""),"Gagal")</f>
        <v>Gagal</v>
      </c>
      <c r="G150" s="14" t="str">
        <f>IFERROR(__xludf.DUMMYFUNCTION("""COMPUTED_VALUE"""),"Trip menjangan ")</f>
        <v>Trip menjangan </v>
      </c>
      <c r="H150" s="16">
        <f>IFERROR(__xludf.DUMMYFUNCTION("""COMPUTED_VALUE"""),46045.0)</f>
        <v>46045</v>
      </c>
      <c r="I150" s="17"/>
      <c r="J150" s="54"/>
      <c r="K150" s="46" t="str">
        <f>IFERROR(__xludf.DUMMYFUNCTION("""COMPUTED_VALUE"""),"cuma satu orang")</f>
        <v>cuma satu orang</v>
      </c>
      <c r="L150" s="10"/>
      <c r="M150" s="20"/>
      <c r="N150" s="20"/>
      <c r="O150" s="20"/>
      <c r="P150" s="20"/>
    </row>
    <row r="151">
      <c r="A151" s="21">
        <f>IFERROR(__xludf.DUMMYFUNCTION("""COMPUTED_VALUE"""),46043.0)</f>
        <v>46043</v>
      </c>
      <c r="B151" s="22" t="str">
        <f>IFERROR(__xludf.DUMMYFUNCTION("""COMPUTED_VALUE"""),"2601D151")</f>
        <v>2601D151</v>
      </c>
      <c r="C151" s="23" t="str">
        <f>IFERROR(__xludf.DUMMYFUNCTION("""COMPUTED_VALUE"""),"Ika")</f>
        <v>Ika</v>
      </c>
      <c r="D151" s="24" t="str">
        <f>IFERROR(__xludf.DUMMYFUNCTION("""COMPUTED_VALUE"""),"085162763767")</f>
        <v>085162763767</v>
      </c>
      <c r="E151" s="14" t="str">
        <f>IFERROR(__xludf.DUMMYFUNCTION("""COMPUTED_VALUE"""),"Website")</f>
        <v>Website</v>
      </c>
      <c r="F151" s="14" t="str">
        <f>IFERROR(__xludf.DUMMYFUNCTION("""COMPUTED_VALUE"""),"Gagal")</f>
        <v>Gagal</v>
      </c>
      <c r="G151" s="15" t="str">
        <f>IFERROR(__xludf.DUMMYFUNCTION("""COMPUTED_VALUE"""),"Trip menjangan tabuhan ")</f>
        <v>Trip menjangan tabuhan </v>
      </c>
      <c r="H151" s="26"/>
      <c r="I151" s="27"/>
      <c r="J151" s="33"/>
      <c r="K151" s="30" t="str">
        <f>IFERROR(__xludf.DUMMYFUNCTION("""COMPUTED_VALUE"""),"masih mempertimbamgkan ")</f>
        <v>masih mempertimbamgkan </v>
      </c>
      <c r="L151" s="23"/>
      <c r="M151" s="20"/>
      <c r="N151" s="20"/>
      <c r="O151" s="20"/>
      <c r="P151" s="20"/>
    </row>
    <row r="152">
      <c r="A152" s="11">
        <f>IFERROR(__xludf.DUMMYFUNCTION("""COMPUTED_VALUE"""),46043.0)</f>
        <v>46043</v>
      </c>
      <c r="B152" s="12" t="str">
        <f>IFERROR(__xludf.DUMMYFUNCTION("""COMPUTED_VALUE"""),"2601D152")</f>
        <v>2601D152</v>
      </c>
      <c r="C152" s="10" t="str">
        <f>IFERROR(__xludf.DUMMYFUNCTION("""COMPUTED_VALUE"""),"Natasya charissa ")</f>
        <v>Natasya charissa </v>
      </c>
      <c r="D152" s="13" t="str">
        <f>IFERROR(__xludf.DUMMYFUNCTION("""COMPUTED_VALUE"""),"085100607474")</f>
        <v>085100607474</v>
      </c>
      <c r="E152" s="14" t="str">
        <f>IFERROR(__xludf.DUMMYFUNCTION("""COMPUTED_VALUE"""),"Website")</f>
        <v>Website</v>
      </c>
      <c r="F152" s="14" t="str">
        <f>IFERROR(__xludf.DUMMYFUNCTION("""COMPUTED_VALUE"""),"Review")</f>
        <v>Review</v>
      </c>
      <c r="G152" s="15"/>
      <c r="H152" s="16"/>
      <c r="I152" s="17">
        <f>IFERROR(__xludf.DUMMYFUNCTION("""COMPUTED_VALUE"""),2.0)</f>
        <v>2</v>
      </c>
      <c r="J152" s="18">
        <f>IFERROR(__xludf.DUMMYFUNCTION("""COMPUTED_VALUE"""),1690000.0)</f>
        <v>1690000</v>
      </c>
      <c r="K152" s="19"/>
      <c r="L152" s="76"/>
      <c r="M152" s="20"/>
      <c r="N152" s="20"/>
      <c r="O152" s="20"/>
      <c r="P152" s="20"/>
    </row>
    <row r="153">
      <c r="A153" s="21">
        <f>IFERROR(__xludf.DUMMYFUNCTION("""COMPUTED_VALUE"""),46043.0)</f>
        <v>46043</v>
      </c>
      <c r="B153" s="22" t="str">
        <f>IFERROR(__xludf.DUMMYFUNCTION("""COMPUTED_VALUE"""),"2601D153")</f>
        <v>2601D153</v>
      </c>
      <c r="C153" s="23" t="str">
        <f>IFERROR(__xludf.DUMMYFUNCTION("""COMPUTED_VALUE"""),"Sulis Fj Store ")</f>
        <v>Sulis Fj Store </v>
      </c>
      <c r="D153" s="24" t="str">
        <f>IFERROR(__xludf.DUMMYFUNCTION("""COMPUTED_VALUE"""),"085746940622")</f>
        <v>085746940622</v>
      </c>
      <c r="E153" s="14" t="str">
        <f>IFERROR(__xludf.DUMMYFUNCTION("""COMPUTED_VALUE"""),"Lainnya")</f>
        <v>Lainnya</v>
      </c>
      <c r="F153" s="14" t="str">
        <f>IFERROR(__xludf.DUMMYFUNCTION("""COMPUTED_VALUE"""),"Gagal")</f>
        <v>Gagal</v>
      </c>
      <c r="G153" s="25" t="str">
        <f>IFERROR(__xludf.DUMMYFUNCTION("""COMPUTED_VALUE"""),"2H1M opsi c")</f>
        <v>2H1M opsi c</v>
      </c>
      <c r="H153" s="78"/>
      <c r="I153" s="89"/>
      <c r="J153" s="96"/>
      <c r="K153" s="36" t="str">
        <f>IFERROR(__xludf.DUMMYFUNCTION("""COMPUTED_VALUE"""),"tanya harga ")</f>
        <v>tanya harga </v>
      </c>
      <c r="L153" s="49"/>
      <c r="M153" s="20"/>
      <c r="N153" s="20"/>
      <c r="O153" s="20"/>
      <c r="P153" s="20"/>
    </row>
    <row r="154">
      <c r="A154" s="11">
        <f>IFERROR(__xludf.DUMMYFUNCTION("""COMPUTED_VALUE"""),46043.0)</f>
        <v>46043</v>
      </c>
      <c r="B154" s="12" t="str">
        <f>IFERROR(__xludf.DUMMYFUNCTION("""COMPUTED_VALUE"""),"2601D154")</f>
        <v>2601D154</v>
      </c>
      <c r="C154" s="10" t="str">
        <f>IFERROR(__xludf.DUMMYFUNCTION("""COMPUTED_VALUE"""),"Mursida Baharuddin")</f>
        <v>Mursida Baharuddin</v>
      </c>
      <c r="D154" s="13" t="str">
        <f>IFERROR(__xludf.DUMMYFUNCTION("""COMPUTED_VALUE"""),"08129365865")</f>
        <v>08129365865</v>
      </c>
      <c r="E154" s="14" t="str">
        <f>IFERROR(__xludf.DUMMYFUNCTION("""COMPUTED_VALUE"""),"Lainnya")</f>
        <v>Lainnya</v>
      </c>
      <c r="F154" s="14" t="str">
        <f>IFERROR(__xludf.DUMMYFUNCTION("""COMPUTED_VALUE"""),"Closing")</f>
        <v>Closing</v>
      </c>
      <c r="G154" s="15" t="str">
        <f>IFERROR(__xludf.DUMMYFUNCTION("""COMPUTED_VALUE"""),"custom destinasi")</f>
        <v>custom destinasi</v>
      </c>
      <c r="H154" s="16"/>
      <c r="I154" s="17">
        <f>IFERROR(__xludf.DUMMYFUNCTION("""COMPUTED_VALUE"""),8.0)</f>
        <v>8</v>
      </c>
      <c r="J154" s="54">
        <f>IFERROR(__xludf.DUMMYFUNCTION("""COMPUTED_VALUE"""),1.6904E7)</f>
        <v>16904000</v>
      </c>
      <c r="K154" s="46" t="str">
        <f>IFERROR(__xludf.DUMMYFUNCTION("""COMPUTED_VALUE"""),"alhamdulillahh orderrr")</f>
        <v>alhamdulillahh orderrr</v>
      </c>
      <c r="L154" s="100" t="str">
        <f>IFERROR(__xludf.DUMMYFUNCTION("""COMPUTED_VALUE"""),"https://docs.google.com/document/d/152d4DtQJJPMD-i4CY-UR9DxnnBB4NTjjP4XsMx9uwLg/edit?tab=t.0")</f>
        <v>https://docs.google.com/document/d/152d4DtQJJPMD-i4CY-UR9DxnnBB4NTjjP4XsMx9uwLg/edit?tab=t.0</v>
      </c>
      <c r="M154" s="20"/>
      <c r="N154" s="20"/>
      <c r="O154" s="20"/>
      <c r="P154" s="20"/>
    </row>
    <row r="155">
      <c r="A155" s="21">
        <f>IFERROR(__xludf.DUMMYFUNCTION("""COMPUTED_VALUE"""),46043.0)</f>
        <v>46043</v>
      </c>
      <c r="B155" s="22" t="str">
        <f>IFERROR(__xludf.DUMMYFUNCTION("""COMPUTED_VALUE"""),"2601D155")</f>
        <v>2601D155</v>
      </c>
      <c r="C155" s="23" t="str">
        <f>IFERROR(__xludf.DUMMYFUNCTION("""COMPUTED_VALUE"""),"Lady Lucky")</f>
        <v>Lady Lucky</v>
      </c>
      <c r="D155" s="24" t="str">
        <f>IFERROR(__xludf.DUMMYFUNCTION("""COMPUTED_VALUE"""),"081219766771")</f>
        <v>081219766771</v>
      </c>
      <c r="E155" s="14" t="str">
        <f>IFERROR(__xludf.DUMMYFUNCTION("""COMPUTED_VALUE"""),"Website")</f>
        <v>Website</v>
      </c>
      <c r="F155" s="14" t="str">
        <f>IFERROR(__xludf.DUMMYFUNCTION("""COMPUTED_VALUE"""),"Review")</f>
        <v>Review</v>
      </c>
      <c r="G155" s="15" t="str">
        <f>IFERROR(__xludf.DUMMYFUNCTION("""COMPUTED_VALUE"""),"custom destinasi")</f>
        <v>custom destinasi</v>
      </c>
      <c r="H155" s="26"/>
      <c r="I155" s="27">
        <f>IFERROR(__xludf.DUMMYFUNCTION("""COMPUTED_VALUE"""),5.0)</f>
        <v>5</v>
      </c>
      <c r="J155" s="33">
        <f>IFERROR(__xludf.DUMMYFUNCTION("""COMPUTED_VALUE"""),3.475E7)</f>
        <v>34750000</v>
      </c>
      <c r="K155" s="30" t="str">
        <f>IFERROR(__xludf.DUMMYFUNCTION("""COMPUTED_VALUE"""),"sudah mengirim penawaran")</f>
        <v>sudah mengirim penawaran</v>
      </c>
      <c r="L155" s="49"/>
      <c r="M155" s="20"/>
      <c r="N155" s="20"/>
      <c r="O155" s="20"/>
      <c r="P155" s="20"/>
    </row>
    <row r="156">
      <c r="A156" s="11">
        <f>IFERROR(__xludf.DUMMYFUNCTION("""COMPUTED_VALUE"""),46043.0)</f>
        <v>46043</v>
      </c>
      <c r="B156" s="12" t="str">
        <f>IFERROR(__xludf.DUMMYFUNCTION("""COMPUTED_VALUE"""),"2601D156")</f>
        <v>2601D156</v>
      </c>
      <c r="C156" s="10" t="str">
        <f>IFERROR(__xludf.DUMMYFUNCTION("""COMPUTED_VALUE"""),"Fika fikria riasti")</f>
        <v>Fika fikria riasti</v>
      </c>
      <c r="D156" s="13" t="str">
        <f>IFERROR(__xludf.DUMMYFUNCTION("""COMPUTED_VALUE"""),"087876061025")</f>
        <v>087876061025</v>
      </c>
      <c r="E156" s="14" t="str">
        <f>IFERROR(__xludf.DUMMYFUNCTION("""COMPUTED_VALUE"""),"Website")</f>
        <v>Website</v>
      </c>
      <c r="F156" s="14" t="str">
        <f>IFERROR(__xludf.DUMMYFUNCTION("""COMPUTED_VALUE"""),"Gagal")</f>
        <v>Gagal</v>
      </c>
      <c r="G156" s="15"/>
      <c r="H156" s="16"/>
      <c r="I156" s="17"/>
      <c r="J156" s="54"/>
      <c r="K156" s="46" t="str">
        <f>IFERROR(__xludf.DUMMYFUNCTION("""COMPUTED_VALUE"""),"tanya beda OT dan Private trip")</f>
        <v>tanya beda OT dan Private trip</v>
      </c>
      <c r="L156" s="76"/>
      <c r="M156" s="20"/>
      <c r="N156" s="20"/>
      <c r="O156" s="20"/>
      <c r="P156" s="20"/>
    </row>
    <row r="157">
      <c r="A157" s="21">
        <f>IFERROR(__xludf.DUMMYFUNCTION("""COMPUTED_VALUE"""),46044.0)</f>
        <v>46044</v>
      </c>
      <c r="B157" s="22" t="str">
        <f>IFERROR(__xludf.DUMMYFUNCTION("""COMPUTED_VALUE"""),"2601D157")</f>
        <v>2601D157</v>
      </c>
      <c r="C157" s="23" t="str">
        <f>IFERROR(__xludf.DUMMYFUNCTION("""COMPUTED_VALUE"""),"Faris Pramanakusuma")</f>
        <v>Faris Pramanakusuma</v>
      </c>
      <c r="D157" s="24" t="str">
        <f>IFERROR(__xludf.DUMMYFUNCTION("""COMPUTED_VALUE"""),"085779991858")</f>
        <v>085779991858</v>
      </c>
      <c r="E157" s="14" t="str">
        <f>IFERROR(__xludf.DUMMYFUNCTION("""COMPUTED_VALUE"""),"Website")</f>
        <v>Website</v>
      </c>
      <c r="F157" s="14" t="str">
        <f>IFERROR(__xludf.DUMMYFUNCTION("""COMPUTED_VALUE"""),"Gagal")</f>
        <v>Gagal</v>
      </c>
      <c r="G157" s="15" t="str">
        <f>IFERROR(__xludf.DUMMYFUNCTION("""COMPUTED_VALUE"""),"custom")</f>
        <v>custom</v>
      </c>
      <c r="H157" s="26"/>
      <c r="I157" s="27">
        <f>IFERROR(__xludf.DUMMYFUNCTION("""COMPUTED_VALUE"""),13.0)</f>
        <v>13</v>
      </c>
      <c r="J157" s="28">
        <f>IFERROR(__xludf.DUMMYFUNCTION("""COMPUTED_VALUE"""),7.54E7)</f>
        <v>75400000</v>
      </c>
      <c r="K157" s="30" t="str">
        <f>IFERROR(__xludf.DUMMYFUNCTION("""COMPUTED_VALUE"""),"gagall, FU tidak pernah di balas")</f>
        <v>gagall, FU tidak pernah di balas</v>
      </c>
      <c r="L157" s="87" t="str">
        <f>IFERROR(__xludf.DUMMYFUNCTION("""COMPUTED_VALUE"""),"https://docs.google.com/document/d/127D-CAKtKzkQUrFJW4stYMujpTZfTS_5rXP8fA1PQsk/edit?tab=t.0")</f>
        <v>https://docs.google.com/document/d/127D-CAKtKzkQUrFJW4stYMujpTZfTS_5rXP8fA1PQsk/edit?tab=t.0</v>
      </c>
      <c r="M157" s="20"/>
      <c r="N157" s="20"/>
      <c r="O157" s="20"/>
      <c r="P157" s="20"/>
    </row>
    <row r="158">
      <c r="A158" s="11">
        <f>IFERROR(__xludf.DUMMYFUNCTION("""COMPUTED_VALUE"""),46044.0)</f>
        <v>46044</v>
      </c>
      <c r="B158" s="12" t="str">
        <f>IFERROR(__xludf.DUMMYFUNCTION("""COMPUTED_VALUE"""),"2601D158")</f>
        <v>2601D158</v>
      </c>
      <c r="C158" s="10" t="str">
        <f>IFERROR(__xludf.DUMMYFUNCTION("""COMPUTED_VALUE"""),"No Name februari")</f>
        <v>No Name februari</v>
      </c>
      <c r="D158" s="13" t="str">
        <f>IFERROR(__xludf.DUMMYFUNCTION("""COMPUTED_VALUE"""),"088980398815")</f>
        <v>088980398815</v>
      </c>
      <c r="E158" s="14" t="str">
        <f>IFERROR(__xludf.DUMMYFUNCTION("""COMPUTED_VALUE"""),"Website")</f>
        <v>Website</v>
      </c>
      <c r="F158" s="14" t="str">
        <f>IFERROR(__xludf.DUMMYFUNCTION("""COMPUTED_VALUE"""),"Gagal")</f>
        <v>Gagal</v>
      </c>
      <c r="G158" s="15"/>
      <c r="H158" s="16"/>
      <c r="I158" s="17"/>
      <c r="J158" s="54"/>
      <c r="K158" s="46" t="str">
        <f>IFERROR(__xludf.DUMMYFUNCTION("""COMPUTED_VALUE"""),"tanya tanya")</f>
        <v>tanya tanya</v>
      </c>
      <c r="L158" s="10"/>
      <c r="M158" s="20"/>
      <c r="N158" s="20"/>
      <c r="O158" s="20"/>
      <c r="P158" s="20"/>
    </row>
    <row r="159">
      <c r="A159" s="21">
        <f>IFERROR(__xludf.DUMMYFUNCTION("""COMPUTED_VALUE"""),46045.0)</f>
        <v>46045</v>
      </c>
      <c r="B159" s="22" t="str">
        <f>IFERROR(__xludf.DUMMYFUNCTION("""COMPUTED_VALUE"""),"2601D159")</f>
        <v>2601D159</v>
      </c>
      <c r="C159" s="23" t="str">
        <f>IFERROR(__xludf.DUMMYFUNCTION("""COMPUTED_VALUE"""),"M Ridho Farisyah")</f>
        <v>M Ridho Farisyah</v>
      </c>
      <c r="D159" s="24" t="str">
        <f>IFERROR(__xludf.DUMMYFUNCTION("""COMPUTED_VALUE"""),"082181668773")</f>
        <v>082181668773</v>
      </c>
      <c r="E159" s="14" t="str">
        <f>IFERROR(__xludf.DUMMYFUNCTION("""COMPUTED_VALUE"""),"Website")</f>
        <v>Website</v>
      </c>
      <c r="F159" s="14" t="str">
        <f>IFERROR(__xludf.DUMMYFUNCTION("""COMPUTED_VALUE"""),"Gagal")</f>
        <v>Gagal</v>
      </c>
      <c r="G159" s="15"/>
      <c r="H159" s="26"/>
      <c r="I159" s="27">
        <f>IFERROR(__xludf.DUMMYFUNCTION("""COMPUTED_VALUE"""),2.0)</f>
        <v>2</v>
      </c>
      <c r="J159" s="33"/>
      <c r="K159" s="30" t="str">
        <f>IFERROR(__xludf.DUMMYFUNCTION("""COMPUTED_VALUE"""),"tanya penjemputan ")</f>
        <v>tanya penjemputan </v>
      </c>
      <c r="L159" s="23"/>
      <c r="M159" s="20"/>
      <c r="N159" s="20"/>
      <c r="O159" s="20"/>
      <c r="P159" s="20"/>
    </row>
    <row r="160">
      <c r="A160" s="11">
        <f>IFERROR(__xludf.DUMMYFUNCTION("""COMPUTED_VALUE"""),46045.0)</f>
        <v>46045</v>
      </c>
      <c r="B160" s="12" t="str">
        <f>IFERROR(__xludf.DUMMYFUNCTION("""COMPUTED_VALUE"""),"2601D160")</f>
        <v>2601D160</v>
      </c>
      <c r="C160" s="10" t="str">
        <f>IFERROR(__xludf.DUMMYFUNCTION("""COMPUTED_VALUE"""),"Kian Djiang ")</f>
        <v>Kian Djiang </v>
      </c>
      <c r="D160" s="13" t="str">
        <f>IFERROR(__xludf.DUMMYFUNCTION("""COMPUTED_VALUE"""),"0895603297486")</f>
        <v>0895603297486</v>
      </c>
      <c r="E160" s="14" t="str">
        <f>IFERROR(__xludf.DUMMYFUNCTION("""COMPUTED_VALUE"""),"Lainnya")</f>
        <v>Lainnya</v>
      </c>
      <c r="F160" s="14" t="str">
        <f>IFERROR(__xludf.DUMMYFUNCTION("""COMPUTED_VALUE"""),"Gagal")</f>
        <v>Gagal</v>
      </c>
      <c r="G160" s="14" t="str">
        <f>IFERROR(__xludf.DUMMYFUNCTION("""COMPUTED_VALUE"""),"custom")</f>
        <v>custom</v>
      </c>
      <c r="H160" s="16"/>
      <c r="I160" s="17">
        <f>IFERROR(__xludf.DUMMYFUNCTION("""COMPUTED_VALUE"""),50.0)</f>
        <v>50</v>
      </c>
      <c r="J160" s="54"/>
      <c r="K160" s="46" t="str">
        <f>IFERROR(__xludf.DUMMYFUNCTION("""COMPUTED_VALUE"""),"sudah dihandle admin 2")</f>
        <v>sudah dihandle admin 2</v>
      </c>
      <c r="L160" s="10"/>
      <c r="M160" s="20"/>
      <c r="N160" s="20"/>
      <c r="O160" s="20"/>
      <c r="P160" s="20"/>
    </row>
    <row r="161">
      <c r="A161" s="21">
        <f>IFERROR(__xludf.DUMMYFUNCTION("""COMPUTED_VALUE"""),46045.0)</f>
        <v>46045</v>
      </c>
      <c r="B161" s="22" t="str">
        <f>IFERROR(__xludf.DUMMYFUNCTION("""COMPUTED_VALUE"""),"2601D161")</f>
        <v>2601D161</v>
      </c>
      <c r="C161" s="23" t="str">
        <f>IFERROR(__xludf.DUMMYFUNCTION("""COMPUTED_VALUE"""),"Gayatri Putri ")</f>
        <v>Gayatri Putri </v>
      </c>
      <c r="D161" s="24" t="str">
        <f>IFERROR(__xludf.DUMMYFUNCTION("""COMPUTED_VALUE"""),"081249001530")</f>
        <v>081249001530</v>
      </c>
      <c r="E161" s="14" t="str">
        <f>IFERROR(__xludf.DUMMYFUNCTION("""COMPUTED_VALUE"""),"Website")</f>
        <v>Website</v>
      </c>
      <c r="F161" s="14" t="str">
        <f>IFERROR(__xludf.DUMMYFUNCTION("""COMPUTED_VALUE"""),"Closing")</f>
        <v>Closing</v>
      </c>
      <c r="G161" s="14" t="str">
        <f>IFERROR(__xludf.DUMMYFUNCTION("""COMPUTED_VALUE"""),"1 day trip D, B")</f>
        <v>1 day trip D, B</v>
      </c>
      <c r="H161" s="26">
        <f>IFERROR(__xludf.DUMMYFUNCTION("""COMPUTED_VALUE"""),46046.0)</f>
        <v>46046</v>
      </c>
      <c r="I161" s="27">
        <f>IFERROR(__xludf.DUMMYFUNCTION("""COMPUTED_VALUE"""),3.0)</f>
        <v>3</v>
      </c>
      <c r="J161" s="33">
        <f>IFERROR(__xludf.DUMMYFUNCTION("""COMPUTED_VALUE"""),1875000.0)</f>
        <v>1875000</v>
      </c>
      <c r="K161" s="30"/>
      <c r="L161" s="23"/>
      <c r="M161" s="20"/>
      <c r="N161" s="20"/>
      <c r="O161" s="20"/>
      <c r="P161" s="20"/>
    </row>
    <row r="162">
      <c r="A162" s="11">
        <f>IFERROR(__xludf.DUMMYFUNCTION("""COMPUTED_VALUE"""),46045.0)</f>
        <v>46045</v>
      </c>
      <c r="B162" s="12" t="str">
        <f>IFERROR(__xludf.DUMMYFUNCTION("""COMPUTED_VALUE"""),"2601D162")</f>
        <v>2601D162</v>
      </c>
      <c r="C162" s="10" t="str">
        <f>IFERROR(__xludf.DUMMYFUNCTION("""COMPUTED_VALUE"""),"Shafna dinar")</f>
        <v>Shafna dinar</v>
      </c>
      <c r="D162" s="13" t="str">
        <f>IFERROR(__xludf.DUMMYFUNCTION("""COMPUTED_VALUE"""),"085156081067")</f>
        <v>085156081067</v>
      </c>
      <c r="E162" s="14" t="str">
        <f>IFERROR(__xludf.DUMMYFUNCTION("""COMPUTED_VALUE"""),"Website")</f>
        <v>Website</v>
      </c>
      <c r="F162" s="14" t="str">
        <f>IFERROR(__xludf.DUMMYFUNCTION("""COMPUTED_VALUE"""),"Follow Up")</f>
        <v>Follow Up</v>
      </c>
      <c r="G162" s="15" t="str">
        <f>IFERROR(__xludf.DUMMYFUNCTION("""COMPUTED_VALUE"""),"OT 3H2M")</f>
        <v>OT 3H2M</v>
      </c>
      <c r="H162" s="16"/>
      <c r="I162" s="17">
        <f>IFERROR(__xludf.DUMMYFUNCTION("""COMPUTED_VALUE"""),2.0)</f>
        <v>2</v>
      </c>
      <c r="J162" s="54">
        <f>IFERROR(__xludf.DUMMYFUNCTION("""COMPUTED_VALUE"""),3200000.0)</f>
        <v>3200000</v>
      </c>
      <c r="K162" s="46" t="str">
        <f>IFERROR(__xludf.DUMMYFUNCTION("""COMPUTED_VALUE"""),"sudah FU, FU lagi 13 Juni")</f>
        <v>sudah FU, FU lagi 13 Juni</v>
      </c>
      <c r="L162" s="100" t="str">
        <f>IFERROR(__xludf.DUMMYFUNCTION("""COMPUTED_VALUE"""),"https://docs.google.com/document/d/1FChC5lKKlcfwOPMJMUHK78mBVTrB_tiworHHjIiS8_Y/edit?tab=t.0")</f>
        <v>https://docs.google.com/document/d/1FChC5lKKlcfwOPMJMUHK78mBVTrB_tiworHHjIiS8_Y/edit?tab=t.0</v>
      </c>
      <c r="M162" s="20"/>
      <c r="N162" s="20"/>
      <c r="O162" s="20"/>
      <c r="P162" s="20"/>
    </row>
    <row r="163">
      <c r="A163" s="21">
        <f>IFERROR(__xludf.DUMMYFUNCTION("""COMPUTED_VALUE"""),46045.0)</f>
        <v>46045</v>
      </c>
      <c r="B163" s="22" t="str">
        <f>IFERROR(__xludf.DUMMYFUNCTION("""COMPUTED_VALUE"""),"2601D163")</f>
        <v>2601D163</v>
      </c>
      <c r="C163" s="23" t="str">
        <f>IFERROR(__xludf.DUMMYFUNCTION("""COMPUTED_VALUE"""),"Intantrdr")</f>
        <v>Intantrdr</v>
      </c>
      <c r="D163" s="24" t="str">
        <f>IFERROR(__xludf.DUMMYFUNCTION("""COMPUTED_VALUE"""),"0895335113066")</f>
        <v>0895335113066</v>
      </c>
      <c r="E163" s="14" t="str">
        <f>IFERROR(__xludf.DUMMYFUNCTION("""COMPUTED_VALUE"""),"Website")</f>
        <v>Website</v>
      </c>
      <c r="F163" s="14" t="str">
        <f>IFERROR(__xludf.DUMMYFUNCTION("""COMPUTED_VALUE"""),"Gagal")</f>
        <v>Gagal</v>
      </c>
      <c r="G163" s="14" t="str">
        <f>IFERROR(__xludf.DUMMYFUNCTION("""COMPUTED_VALUE"""),"custom 1 day trip")</f>
        <v>custom 1 day trip</v>
      </c>
      <c r="H163" s="26"/>
      <c r="I163" s="27">
        <f>IFERROR(__xludf.DUMMYFUNCTION("""COMPUTED_VALUE"""),2.0)</f>
        <v>2</v>
      </c>
      <c r="J163" s="33"/>
      <c r="K163" s="30" t="str">
        <f>IFERROR(__xludf.DUMMYFUNCTION("""COMPUTED_VALUE"""),"tanya tanya harga")</f>
        <v>tanya tanya harga</v>
      </c>
      <c r="L163" s="23"/>
      <c r="M163" s="20"/>
      <c r="N163" s="20"/>
      <c r="O163" s="20"/>
      <c r="P163" s="20"/>
    </row>
    <row r="164">
      <c r="A164" s="11">
        <f>IFERROR(__xludf.DUMMYFUNCTION("""COMPUTED_VALUE"""),46047.0)</f>
        <v>46047</v>
      </c>
      <c r="B164" s="12" t="str">
        <f>IFERROR(__xludf.DUMMYFUNCTION("""COMPUTED_VALUE"""),"2601D164")</f>
        <v>2601D164</v>
      </c>
      <c r="C164" s="10" t="str">
        <f>IFERROR(__xludf.DUMMYFUNCTION("""COMPUTED_VALUE"""),"Dinaa")</f>
        <v>Dinaa</v>
      </c>
      <c r="D164" s="13" t="str">
        <f>IFERROR(__xludf.DUMMYFUNCTION("""COMPUTED_VALUE"""),"08982230715")</f>
        <v>08982230715</v>
      </c>
      <c r="E164" s="14" t="str">
        <f>IFERROR(__xludf.DUMMYFUNCTION("""COMPUTED_VALUE"""),"Website")</f>
        <v>Website</v>
      </c>
      <c r="F164" s="14" t="str">
        <f>IFERROR(__xludf.DUMMYFUNCTION("""COMPUTED_VALUE"""),"Gagal")</f>
        <v>Gagal</v>
      </c>
      <c r="G164" s="15" t="str">
        <f>IFERROR(__xludf.DUMMYFUNCTION("""COMPUTED_VALUE"""),"Trip D, B")</f>
        <v>Trip D, B</v>
      </c>
      <c r="H164" s="16"/>
      <c r="I164" s="17">
        <f>IFERROR(__xludf.DUMMYFUNCTION("""COMPUTED_VALUE"""),2.0)</f>
        <v>2</v>
      </c>
      <c r="J164" s="54"/>
      <c r="K164" s="19" t="str">
        <f>IFERROR(__xludf.DUMMYFUNCTION("""COMPUTED_VALUE"""),"tanya tanya")</f>
        <v>tanya tanya</v>
      </c>
      <c r="L164" s="76"/>
      <c r="M164" s="20"/>
      <c r="N164" s="20"/>
      <c r="O164" s="20"/>
      <c r="P164" s="20"/>
    </row>
    <row r="165">
      <c r="A165" s="110">
        <f>IFERROR(__xludf.DUMMYFUNCTION("""COMPUTED_VALUE"""),46047.0)</f>
        <v>46047</v>
      </c>
      <c r="B165" s="22" t="str">
        <f>IFERROR(__xludf.DUMMYFUNCTION("""COMPUTED_VALUE"""),"2601D165")</f>
        <v>2601D165</v>
      </c>
      <c r="C165" s="23" t="str">
        <f>IFERROR(__xludf.DUMMYFUNCTION("""COMPUTED_VALUE"""),"Khansaluth")</f>
        <v>Khansaluth</v>
      </c>
      <c r="D165" s="24" t="str">
        <f>IFERROR(__xludf.DUMMYFUNCTION("""COMPUTED_VALUE"""),"085772222054")</f>
        <v>085772222054</v>
      </c>
      <c r="E165" s="14" t="str">
        <f>IFERROR(__xludf.DUMMYFUNCTION("""COMPUTED_VALUE"""),"Website")</f>
        <v>Website</v>
      </c>
      <c r="F165" s="14" t="str">
        <f>IFERROR(__xludf.DUMMYFUNCTION("""COMPUTED_VALUE"""),"Leads Baru")</f>
        <v>Leads Baru</v>
      </c>
      <c r="G165" s="15" t="str">
        <f>IFERROR(__xludf.DUMMYFUNCTION("""COMPUTED_VALUE"""),"Open trip ")</f>
        <v>Open trip </v>
      </c>
      <c r="H165" s="26"/>
      <c r="I165" s="27"/>
      <c r="J165" s="33"/>
      <c r="K165" s="30" t="str">
        <f>IFERROR(__xludf.DUMMYFUNCTION("""COMPUTED_VALUE"""),"FOLLOW UP JUNI")</f>
        <v>FOLLOW UP JUNI</v>
      </c>
      <c r="L165" s="87" t="str">
        <f>IFERROR(__xludf.DUMMYFUNCTION("""COMPUTED_VALUE"""),"https://docs.google.com/document/d/1vwA3C4sLhh6AgXzopg8bicj0mXTaouOY-CI7llsmeHU/edit?tab=t.0")</f>
        <v>https://docs.google.com/document/d/1vwA3C4sLhh6AgXzopg8bicj0mXTaouOY-CI7llsmeHU/edit?tab=t.0</v>
      </c>
      <c r="M165" s="20"/>
      <c r="N165" s="20"/>
      <c r="O165" s="20"/>
      <c r="P165" s="20"/>
    </row>
    <row r="166">
      <c r="A166" s="97">
        <f>IFERROR(__xludf.DUMMYFUNCTION("""COMPUTED_VALUE"""),46047.0)</f>
        <v>46047</v>
      </c>
      <c r="B166" s="12" t="str">
        <f>IFERROR(__xludf.DUMMYFUNCTION("""COMPUTED_VALUE"""),"2601D166")</f>
        <v>2601D166</v>
      </c>
      <c r="C166" s="10" t="str">
        <f>IFERROR(__xludf.DUMMYFUNCTION("""COMPUTED_VALUE"""),"Kezia ")</f>
        <v>Kezia </v>
      </c>
      <c r="D166" s="13" t="str">
        <f>IFERROR(__xludf.DUMMYFUNCTION("""COMPUTED_VALUE"""),"081805979771")</f>
        <v>081805979771</v>
      </c>
      <c r="E166" s="14" t="str">
        <f>IFERROR(__xludf.DUMMYFUNCTION("""COMPUTED_VALUE"""),"Website")</f>
        <v>Website</v>
      </c>
      <c r="F166" s="14" t="str">
        <f>IFERROR(__xludf.DUMMYFUNCTION("""COMPUTED_VALUE"""),"Gagal")</f>
        <v>Gagal</v>
      </c>
      <c r="G166" s="15" t="str">
        <f>IFERROR(__xludf.DUMMYFUNCTION("""COMPUTED_VALUE"""),"Privae trip D, B")</f>
        <v>Privae trip D, B</v>
      </c>
      <c r="H166" s="92">
        <f>IFERROR(__xludf.DUMMYFUNCTION("""COMPUTED_VALUE"""),46068.0)</f>
        <v>46068</v>
      </c>
      <c r="I166" s="17">
        <f>IFERROR(__xludf.DUMMYFUNCTION("""COMPUTED_VALUE"""),4.0)</f>
        <v>4</v>
      </c>
      <c r="J166" s="18">
        <f>IFERROR(__xludf.DUMMYFUNCTION("""COMPUTED_VALUE"""),1996000.0)</f>
        <v>1996000</v>
      </c>
      <c r="K166" s="19" t="str">
        <f>IFERROR(__xludf.DUMMYFUNCTION("""COMPUTED_VALUE"""),"FU tgl 9 feb, ga ada jawaban")</f>
        <v>FU tgl 9 feb, ga ada jawaban</v>
      </c>
      <c r="L166" s="76"/>
      <c r="M166" s="20"/>
      <c r="N166" s="20"/>
      <c r="O166" s="20"/>
      <c r="P166" s="20"/>
    </row>
    <row r="167">
      <c r="A167" s="110">
        <f>IFERROR(__xludf.DUMMYFUNCTION("""COMPUTED_VALUE"""),46048.0)</f>
        <v>46048</v>
      </c>
      <c r="B167" s="22" t="str">
        <f>IFERROR(__xludf.DUMMYFUNCTION("""COMPUTED_VALUE"""),"2601D167")</f>
        <v>2601D167</v>
      </c>
      <c r="C167" s="23" t="str">
        <f>IFERROR(__xludf.DUMMYFUNCTION("""COMPUTED_VALUE"""),"Ananda ")</f>
        <v>Ananda </v>
      </c>
      <c r="D167" s="24" t="str">
        <f>IFERROR(__xludf.DUMMYFUNCTION("""COMPUTED_VALUE"""),"081287066330")</f>
        <v>081287066330</v>
      </c>
      <c r="E167" s="14" t="str">
        <f>IFERROR(__xludf.DUMMYFUNCTION("""COMPUTED_VALUE"""),"Website")</f>
        <v>Website</v>
      </c>
      <c r="F167" s="14" t="str">
        <f>IFERROR(__xludf.DUMMYFUNCTION("""COMPUTED_VALUE"""),"Gagal")</f>
        <v>Gagal</v>
      </c>
      <c r="G167" s="15" t="str">
        <f>IFERROR(__xludf.DUMMYFUNCTION("""COMPUTED_VALUE"""),"menjangan tabuhan")</f>
        <v>menjangan tabuhan</v>
      </c>
      <c r="H167" s="26">
        <f>IFERROR(__xludf.DUMMYFUNCTION("""COMPUTED_VALUE"""),46049.0)</f>
        <v>46049</v>
      </c>
      <c r="I167" s="27">
        <f>IFERROR(__xludf.DUMMYFUNCTION("""COMPUTED_VALUE"""),9.0)</f>
        <v>9</v>
      </c>
      <c r="J167" s="33"/>
      <c r="K167" s="30" t="str">
        <f>IFERROR(__xludf.DUMMYFUNCTION("""COMPUTED_VALUE"""),"lewat tanggal")</f>
        <v>lewat tanggal</v>
      </c>
      <c r="L167" s="49"/>
      <c r="M167" s="20"/>
      <c r="N167" s="20"/>
      <c r="O167" s="20"/>
      <c r="P167" s="20"/>
    </row>
    <row r="168">
      <c r="A168" s="11">
        <f>IFERROR(__xludf.DUMMYFUNCTION("""COMPUTED_VALUE"""),46048.0)</f>
        <v>46048</v>
      </c>
      <c r="B168" s="12" t="str">
        <f>IFERROR(__xludf.DUMMYFUNCTION("""COMPUTED_VALUE"""),"2601D168")</f>
        <v>2601D168</v>
      </c>
      <c r="C168" s="10" t="str">
        <f>IFERROR(__xludf.DUMMYFUNCTION("""COMPUTED_VALUE"""),"Nico")</f>
        <v>Nico</v>
      </c>
      <c r="D168" s="13" t="str">
        <f>IFERROR(__xludf.DUMMYFUNCTION("""COMPUTED_VALUE"""),"61422937349")</f>
        <v>61422937349</v>
      </c>
      <c r="E168" s="14" t="str">
        <f>IFERROR(__xludf.DUMMYFUNCTION("""COMPUTED_VALUE"""),"Lainnya")</f>
        <v>Lainnya</v>
      </c>
      <c r="F168" s="14" t="str">
        <f>IFERROR(__xludf.DUMMYFUNCTION("""COMPUTED_VALUE"""),"Gagal")</f>
        <v>Gagal</v>
      </c>
      <c r="G168" s="15" t="str">
        <f>IFERROR(__xludf.DUMMYFUNCTION("""COMPUTED_VALUE"""),"trip M, T")</f>
        <v>trip M, T</v>
      </c>
      <c r="H168" s="16">
        <f>IFERROR(__xludf.DUMMYFUNCTION("""COMPUTED_VALUE"""),46053.0)</f>
        <v>46053</v>
      </c>
      <c r="I168" s="17">
        <f>IFERROR(__xludf.DUMMYFUNCTION("""COMPUTED_VALUE"""),4.0)</f>
        <v>4</v>
      </c>
      <c r="J168" s="54"/>
      <c r="K168" s="46" t="str">
        <f>IFERROR(__xludf.DUMMYFUNCTION("""COMPUTED_VALUE"""),"nunggu fiks ")</f>
        <v>nunggu fiks </v>
      </c>
      <c r="L168" s="10"/>
      <c r="M168" s="20"/>
      <c r="N168" s="20"/>
      <c r="O168" s="20"/>
      <c r="P168" s="20"/>
    </row>
    <row r="169">
      <c r="A169" s="21">
        <f>IFERROR(__xludf.DUMMYFUNCTION("""COMPUTED_VALUE"""),46048.0)</f>
        <v>46048</v>
      </c>
      <c r="B169" s="22" t="str">
        <f>IFERROR(__xludf.DUMMYFUNCTION("""COMPUTED_VALUE"""),"2601D169")</f>
        <v>2601D169</v>
      </c>
      <c r="C169" s="23" t="str">
        <f>IFERROR(__xludf.DUMMYFUNCTION("""COMPUTED_VALUE"""),"Yulia ")</f>
        <v>Yulia </v>
      </c>
      <c r="D169" s="24" t="str">
        <f>IFERROR(__xludf.DUMMYFUNCTION("""COMPUTED_VALUE"""),"083830522020")</f>
        <v>083830522020</v>
      </c>
      <c r="E169" s="14" t="str">
        <f>IFERROR(__xludf.DUMMYFUNCTION("""COMPUTED_VALUE"""),"Website")</f>
        <v>Website</v>
      </c>
      <c r="F169" s="14" t="str">
        <f>IFERROR(__xludf.DUMMYFUNCTION("""COMPUTED_VALUE"""),"Gagal")</f>
        <v>Gagal</v>
      </c>
      <c r="G169" s="15" t="str">
        <f>IFERROR(__xludf.DUMMYFUNCTION("""COMPUTED_VALUE"""),"3H2M")</f>
        <v>3H2M</v>
      </c>
      <c r="H169" s="26">
        <f>IFERROR(__xludf.DUMMYFUNCTION("""COMPUTED_VALUE"""),46103.0)</f>
        <v>46103</v>
      </c>
      <c r="I169" s="27">
        <f>IFERROR(__xludf.DUMMYFUNCTION("""COMPUTED_VALUE"""),10.0)</f>
        <v>10</v>
      </c>
      <c r="J169" s="33"/>
      <c r="K169" s="30" t="str">
        <f>IFERROR(__xludf.DUMMYFUNCTION("""COMPUTED_VALUE"""),"nunggu info lanjut")</f>
        <v>nunggu info lanjut</v>
      </c>
      <c r="L169" s="49"/>
      <c r="M169" s="20"/>
      <c r="N169" s="20"/>
      <c r="O169" s="20"/>
      <c r="P169" s="20"/>
    </row>
    <row r="170">
      <c r="A170" s="11">
        <f>IFERROR(__xludf.DUMMYFUNCTION("""COMPUTED_VALUE"""),46048.0)</f>
        <v>46048</v>
      </c>
      <c r="B170" s="12" t="str">
        <f>IFERROR(__xludf.DUMMYFUNCTION("""COMPUTED_VALUE"""),"2601D170")</f>
        <v>2601D170</v>
      </c>
      <c r="C170" s="10" t="str">
        <f>IFERROR(__xludf.DUMMYFUNCTION("""COMPUTED_VALUE"""),"Bajalan bareng")</f>
        <v>Bajalan bareng</v>
      </c>
      <c r="D170" s="13" t="str">
        <f>IFERROR(__xludf.DUMMYFUNCTION("""COMPUTED_VALUE"""),"08988404333")</f>
        <v>08988404333</v>
      </c>
      <c r="E170" s="14" t="str">
        <f>IFERROR(__xludf.DUMMYFUNCTION("""COMPUTED_VALUE"""),"Website")</f>
        <v>Website</v>
      </c>
      <c r="F170" s="14" t="str">
        <f>IFERROR(__xludf.DUMMYFUNCTION("""COMPUTED_VALUE"""),"Gagal")</f>
        <v>Gagal</v>
      </c>
      <c r="G170" s="14" t="str">
        <f>IFERROR(__xludf.DUMMYFUNCTION("""COMPUTED_VALUE"""),"paket private trip")</f>
        <v>paket private trip</v>
      </c>
      <c r="H170" s="16"/>
      <c r="I170" s="17">
        <f>IFERROR(__xludf.DUMMYFUNCTION("""COMPUTED_VALUE"""),6.0)</f>
        <v>6</v>
      </c>
      <c r="J170" s="54"/>
      <c r="K170" s="46" t="str">
        <f>IFERROR(__xludf.DUMMYFUNCTION("""COMPUTED_VALUE"""),"tanya tanya")</f>
        <v>tanya tanya</v>
      </c>
      <c r="L170" s="10"/>
      <c r="M170" s="20"/>
      <c r="N170" s="20"/>
      <c r="O170" s="20"/>
      <c r="P170" s="20"/>
    </row>
    <row r="171">
      <c r="A171" s="21">
        <f>IFERROR(__xludf.DUMMYFUNCTION("""COMPUTED_VALUE"""),46049.0)</f>
        <v>46049</v>
      </c>
      <c r="B171" s="22" t="str">
        <f>IFERROR(__xludf.DUMMYFUNCTION("""COMPUTED_VALUE"""),"2601D171")</f>
        <v>2601D171</v>
      </c>
      <c r="C171" s="23" t="str">
        <f>IFERROR(__xludf.DUMMYFUNCTION("""COMPUTED_VALUE"""),"Muhammad akbar")</f>
        <v>Muhammad akbar</v>
      </c>
      <c r="D171" s="24" t="str">
        <f>IFERROR(__xludf.DUMMYFUNCTION("""COMPUTED_VALUE"""),"085870033173")</f>
        <v>085870033173</v>
      </c>
      <c r="E171" s="14" t="str">
        <f>IFERROR(__xludf.DUMMYFUNCTION("""COMPUTED_VALUE"""),"Lainnya")</f>
        <v>Lainnya</v>
      </c>
      <c r="F171" s="14" t="str">
        <f>IFERROR(__xludf.DUMMYFUNCTION("""COMPUTED_VALUE"""),"Gagal")</f>
        <v>Gagal</v>
      </c>
      <c r="G171" s="15" t="str">
        <f>IFERROR(__xludf.DUMMYFUNCTION("""COMPUTED_VALUE"""),"paket 3H2M")</f>
        <v>paket 3H2M</v>
      </c>
      <c r="H171" s="26"/>
      <c r="I171" s="27"/>
      <c r="J171" s="33"/>
      <c r="K171" s="30" t="str">
        <f>IFERROR(__xludf.DUMMYFUNCTION("""COMPUTED_VALUE"""),"blm ada balasan")</f>
        <v>blm ada balasan</v>
      </c>
      <c r="L171" s="49"/>
      <c r="M171" s="20"/>
      <c r="N171" s="20"/>
      <c r="O171" s="20"/>
      <c r="P171" s="20"/>
    </row>
    <row r="172">
      <c r="A172" s="11">
        <f>IFERROR(__xludf.DUMMYFUNCTION("""COMPUTED_VALUE"""),46049.0)</f>
        <v>46049</v>
      </c>
      <c r="B172" s="12" t="str">
        <f>IFERROR(__xludf.DUMMYFUNCTION("""COMPUTED_VALUE"""),"2601D172")</f>
        <v>2601D172</v>
      </c>
      <c r="C172" s="10" t="str">
        <f>IFERROR(__xludf.DUMMYFUNCTION("""COMPUTED_VALUE"""),"Ichafelarycha")</f>
        <v>Ichafelarycha</v>
      </c>
      <c r="D172" s="13" t="str">
        <f>IFERROR(__xludf.DUMMYFUNCTION("""COMPUTED_VALUE"""),"085647857772")</f>
        <v>085647857772</v>
      </c>
      <c r="E172" s="14" t="str">
        <f>IFERROR(__xludf.DUMMYFUNCTION("""COMPUTED_VALUE"""),"Website")</f>
        <v>Website</v>
      </c>
      <c r="F172" s="14" t="str">
        <f>IFERROR(__xludf.DUMMYFUNCTION("""COMPUTED_VALUE"""),"Gagal")</f>
        <v>Gagal</v>
      </c>
      <c r="G172" s="15" t="str">
        <f>IFERROR(__xludf.DUMMYFUNCTION("""COMPUTED_VALUE"""),"2H1M custom")</f>
        <v>2H1M custom</v>
      </c>
      <c r="H172" s="92"/>
      <c r="I172" s="17">
        <f>IFERROR(__xludf.DUMMYFUNCTION("""COMPUTED_VALUE"""),4.0)</f>
        <v>4</v>
      </c>
      <c r="J172" s="54"/>
      <c r="K172" s="46" t="str">
        <f>IFERROR(__xludf.DUMMYFUNCTION("""COMPUTED_VALUE"""),"nunggu fiks ")</f>
        <v>nunggu fiks </v>
      </c>
      <c r="L172" s="10"/>
      <c r="M172" s="20"/>
      <c r="N172" s="20"/>
      <c r="O172" s="20"/>
      <c r="P172" s="20"/>
    </row>
    <row r="173">
      <c r="A173" s="21">
        <f>IFERROR(__xludf.DUMMYFUNCTION("""COMPUTED_VALUE"""),46050.0)</f>
        <v>46050</v>
      </c>
      <c r="B173" s="22" t="str">
        <f>IFERROR(__xludf.DUMMYFUNCTION("""COMPUTED_VALUE"""),"2601D173")</f>
        <v>2601D173</v>
      </c>
      <c r="C173" s="23" t="str">
        <f>IFERROR(__xludf.DUMMYFUNCTION("""COMPUTED_VALUE"""),"Nadya")</f>
        <v>Nadya</v>
      </c>
      <c r="D173" s="24" t="str">
        <f>IFERROR(__xludf.DUMMYFUNCTION("""COMPUTED_VALUE"""),"085161963870")</f>
        <v>085161963870</v>
      </c>
      <c r="E173" s="14" t="str">
        <f>IFERROR(__xludf.DUMMYFUNCTION("""COMPUTED_VALUE"""),"Website")</f>
        <v>Website</v>
      </c>
      <c r="F173" s="14" t="str">
        <f>IFERROR(__xludf.DUMMYFUNCTION("""COMPUTED_VALUE"""),"Gagal")</f>
        <v>Gagal</v>
      </c>
      <c r="G173" s="15" t="str">
        <f>IFERROR(__xludf.DUMMYFUNCTION("""COMPUTED_VALUE"""),"trip 3H2M")</f>
        <v>trip 3H2M</v>
      </c>
      <c r="H173" s="78">
        <f>IFERROR(__xludf.DUMMYFUNCTION("""COMPUTED_VALUE"""),46053.0)</f>
        <v>46053</v>
      </c>
      <c r="I173" s="27">
        <f>IFERROR(__xludf.DUMMYFUNCTION("""COMPUTED_VALUE"""),2.0)</f>
        <v>2</v>
      </c>
      <c r="J173" s="33"/>
      <c r="K173" s="30" t="str">
        <f>IFERROR(__xludf.DUMMYFUNCTION("""COMPUTED_VALUE"""),"lewat tanggal")</f>
        <v>lewat tanggal</v>
      </c>
      <c r="L173" s="23"/>
      <c r="M173" s="20"/>
      <c r="N173" s="20"/>
      <c r="O173" s="20"/>
      <c r="P173" s="20"/>
    </row>
    <row r="174">
      <c r="A174" s="11">
        <f>IFERROR(__xludf.DUMMYFUNCTION("""COMPUTED_VALUE"""),46050.0)</f>
        <v>46050</v>
      </c>
      <c r="B174" s="12" t="str">
        <f>IFERROR(__xludf.DUMMYFUNCTION("""COMPUTED_VALUE"""),"2601D174")</f>
        <v>2601D174</v>
      </c>
      <c r="C174" s="10" t="str">
        <f>IFERROR(__xludf.DUMMYFUNCTION("""COMPUTED_VALUE"""),"Audiif")</f>
        <v>Audiif</v>
      </c>
      <c r="D174" s="13" t="str">
        <f>IFERROR(__xludf.DUMMYFUNCTION("""COMPUTED_VALUE"""),"081808234456")</f>
        <v>081808234456</v>
      </c>
      <c r="E174" s="14" t="str">
        <f>IFERROR(__xludf.DUMMYFUNCTION("""COMPUTED_VALUE"""),"Website")</f>
        <v>Website</v>
      </c>
      <c r="F174" s="14" t="str">
        <f>IFERROR(__xludf.DUMMYFUNCTION("""COMPUTED_VALUE"""),"Gagal")</f>
        <v>Gagal</v>
      </c>
      <c r="G174" s="15" t="str">
        <f>IFERROR(__xludf.DUMMYFUNCTION("""COMPUTED_VALUE"""),"trip menjangan tabuhan ")</f>
        <v>trip menjangan tabuhan </v>
      </c>
      <c r="H174" s="92"/>
      <c r="I174" s="80"/>
      <c r="J174" s="93"/>
      <c r="K174" s="19" t="str">
        <f>IFERROR(__xludf.DUMMYFUNCTION("""COMPUTED_VALUE"""),"fu hari rabu")</f>
        <v>fu hari rabu</v>
      </c>
      <c r="L174" s="76"/>
      <c r="M174" s="20"/>
      <c r="N174" s="20"/>
      <c r="O174" s="20"/>
      <c r="P174" s="20"/>
    </row>
    <row r="175">
      <c r="A175" s="21">
        <f>IFERROR(__xludf.DUMMYFUNCTION("""COMPUTED_VALUE"""),46050.0)</f>
        <v>46050</v>
      </c>
      <c r="B175" s="22" t="str">
        <f>IFERROR(__xludf.DUMMYFUNCTION("""COMPUTED_VALUE"""),"2601D175")</f>
        <v>2601D175</v>
      </c>
      <c r="C175" s="23" t="str">
        <f>IFERROR(__xludf.DUMMYFUNCTION("""COMPUTED_VALUE"""),"Syafriza Bhima ")</f>
        <v>Syafriza Bhima </v>
      </c>
      <c r="D175" s="24" t="str">
        <f>IFERROR(__xludf.DUMMYFUNCTION("""COMPUTED_VALUE"""),"081232232441")</f>
        <v>081232232441</v>
      </c>
      <c r="E175" s="14" t="str">
        <f>IFERROR(__xludf.DUMMYFUNCTION("""COMPUTED_VALUE"""),"Website")</f>
        <v>Website</v>
      </c>
      <c r="F175" s="14" t="str">
        <f>IFERROR(__xludf.DUMMYFUNCTION("""COMPUTED_VALUE"""),"Review")</f>
        <v>Review</v>
      </c>
      <c r="G175" s="15" t="str">
        <f>IFERROR(__xludf.DUMMYFUNCTION("""COMPUTED_VALUE"""),"trip ijen")</f>
        <v>trip ijen</v>
      </c>
      <c r="H175" s="26">
        <f>IFERROR(__xludf.DUMMYFUNCTION("""COMPUTED_VALUE"""),46060.0)</f>
        <v>46060</v>
      </c>
      <c r="I175" s="27">
        <f>IFERROR(__xludf.DUMMYFUNCTION("""COMPUTED_VALUE"""),6.0)</f>
        <v>6</v>
      </c>
      <c r="J175" s="28">
        <f>IFERROR(__xludf.DUMMYFUNCTION("""COMPUTED_VALUE"""),2800000.0)</f>
        <v>2800000</v>
      </c>
      <c r="K175" s="36" t="str">
        <f>IFERROR(__xludf.DUMMYFUNCTION("""COMPUTED_VALUE"""),"masih tanya tanya")</f>
        <v>masih tanya tanya</v>
      </c>
      <c r="L175" s="49"/>
      <c r="M175" s="20"/>
      <c r="N175" s="20"/>
      <c r="O175" s="20"/>
      <c r="P175" s="20"/>
    </row>
    <row r="176">
      <c r="A176" s="97">
        <f>IFERROR(__xludf.DUMMYFUNCTION("""COMPUTED_VALUE"""),46050.0)</f>
        <v>46050</v>
      </c>
      <c r="B176" s="97" t="str">
        <f>IFERROR(__xludf.DUMMYFUNCTION("""COMPUTED_VALUE"""),"2601D176")</f>
        <v>2601D176</v>
      </c>
      <c r="C176" s="76" t="str">
        <f>IFERROR(__xludf.DUMMYFUNCTION("""COMPUTED_VALUE"""),"Gonzaga")</f>
        <v>Gonzaga</v>
      </c>
      <c r="D176" s="13" t="str">
        <f>IFERROR(__xludf.DUMMYFUNCTION("""COMPUTED_VALUE"""),"081327249305")</f>
        <v>081327249305</v>
      </c>
      <c r="E176" s="25" t="str">
        <f>IFERROR(__xludf.DUMMYFUNCTION("""COMPUTED_VALUE"""),"Lainnya")</f>
        <v>Lainnya</v>
      </c>
      <c r="F176" s="25" t="str">
        <f>IFERROR(__xludf.DUMMYFUNCTION("""COMPUTED_VALUE"""),"Gagal")</f>
        <v>Gagal</v>
      </c>
      <c r="G176" s="15" t="str">
        <f>IFERROR(__xludf.DUMMYFUNCTION("""COMPUTED_VALUE"""),"paket custom")</f>
        <v>paket custom</v>
      </c>
      <c r="H176" s="92"/>
      <c r="I176" s="80">
        <f>IFERROR(__xludf.DUMMYFUNCTION("""COMPUTED_VALUE"""),30.0)</f>
        <v>30</v>
      </c>
      <c r="J176" s="93"/>
      <c r="K176" s="46" t="str">
        <f>IFERROR(__xludf.DUMMYFUNCTION("""COMPUTED_VALUE"""),"dibuatkan penawaran ")</f>
        <v>dibuatkan penawaran </v>
      </c>
      <c r="L176" s="76"/>
      <c r="M176" s="20"/>
      <c r="N176" s="20"/>
      <c r="O176" s="20"/>
      <c r="P176" s="20"/>
    </row>
    <row r="177">
      <c r="A177" s="110">
        <f>IFERROR(__xludf.DUMMYFUNCTION("""COMPUTED_VALUE"""),46050.0)</f>
        <v>46050</v>
      </c>
      <c r="B177" s="110" t="str">
        <f>IFERROR(__xludf.DUMMYFUNCTION("""COMPUTED_VALUE"""),"2601D177")</f>
        <v>2601D177</v>
      </c>
      <c r="C177" s="49" t="str">
        <f>IFERROR(__xludf.DUMMYFUNCTION("""COMPUTED_VALUE"""),"Arinda ")</f>
        <v>Arinda </v>
      </c>
      <c r="D177" s="102" t="str">
        <f>IFERROR(__xludf.DUMMYFUNCTION("""COMPUTED_VALUE"""),"081311105575")</f>
        <v>081311105575</v>
      </c>
      <c r="E177" s="25" t="str">
        <f>IFERROR(__xludf.DUMMYFUNCTION("""COMPUTED_VALUE"""),"Website")</f>
        <v>Website</v>
      </c>
      <c r="F177" s="25" t="str">
        <f>IFERROR(__xludf.DUMMYFUNCTION("""COMPUTED_VALUE"""),"Gagal")</f>
        <v>Gagal</v>
      </c>
      <c r="G177" s="15" t="str">
        <f>IFERROR(__xludf.DUMMYFUNCTION("""COMPUTED_VALUE"""),"Trip djawatan baluran")</f>
        <v>Trip djawatan baluran</v>
      </c>
      <c r="H177" s="26">
        <f>IFERROR(__xludf.DUMMYFUNCTION("""COMPUTED_VALUE"""),46108.0)</f>
        <v>46108</v>
      </c>
      <c r="I177" s="27">
        <f>IFERROR(__xludf.DUMMYFUNCTION("""COMPUTED_VALUE"""),5.0)</f>
        <v>5</v>
      </c>
      <c r="J177" s="33">
        <f>IFERROR(__xludf.DUMMYFUNCTION("""COMPUTED_VALUE"""),2415000.0)</f>
        <v>2415000</v>
      </c>
      <c r="K177" s="30" t="str">
        <f>IFERROR(__xludf.DUMMYFUNCTION("""COMPUTED_VALUE"""),"Tidak ada jawaban, sdh fu 5 kali")</f>
        <v>Tidak ada jawaban, sdh fu 5 kali</v>
      </c>
      <c r="L177" s="81" t="str">
        <f>IFERROR(__xludf.DUMMYFUNCTION("""COMPUTED_VALUE"""),"https://docs.google.com/document/d/1phGEX3jkoIZ26Seoz_IPs9mfRQD39g92ydREz-liX-4/edit?tab=t.0")</f>
        <v>https://docs.google.com/document/d/1phGEX3jkoIZ26Seoz_IPs9mfRQD39g92ydREz-liX-4/edit?tab=t.0</v>
      </c>
      <c r="M177" s="20"/>
      <c r="N177" s="20"/>
      <c r="O177" s="20"/>
      <c r="P177" s="20"/>
    </row>
    <row r="178">
      <c r="A178" s="97">
        <f>IFERROR(__xludf.DUMMYFUNCTION("""COMPUTED_VALUE"""),46051.0)</f>
        <v>46051</v>
      </c>
      <c r="B178" s="97" t="str">
        <f>IFERROR(__xludf.DUMMYFUNCTION("""COMPUTED_VALUE"""),"2601D178")</f>
        <v>2601D178</v>
      </c>
      <c r="C178" s="76" t="str">
        <f>IFERROR(__xludf.DUMMYFUNCTION("""COMPUTED_VALUE"""),"Tika devi ")</f>
        <v>Tika devi </v>
      </c>
      <c r="D178" s="99" t="str">
        <f>IFERROR(__xludf.DUMMYFUNCTION("""COMPUTED_VALUE"""),"089647678594")</f>
        <v>089647678594</v>
      </c>
      <c r="E178" s="25" t="str">
        <f>IFERROR(__xludf.DUMMYFUNCTION("""COMPUTED_VALUE"""),"Lainnya")</f>
        <v>Lainnya</v>
      </c>
      <c r="F178" s="25" t="str">
        <f>IFERROR(__xludf.DUMMYFUNCTION("""COMPUTED_VALUE"""),"Gagal")</f>
        <v>Gagal</v>
      </c>
      <c r="G178" s="25" t="str">
        <f>IFERROR(__xludf.DUMMYFUNCTION("""COMPUTED_VALUE"""),"Trip djawatan baluran ")</f>
        <v>Trip djawatan baluran </v>
      </c>
      <c r="H178" s="92">
        <f>IFERROR(__xludf.DUMMYFUNCTION("""COMPUTED_VALUE"""),46070.0)</f>
        <v>46070</v>
      </c>
      <c r="I178" s="80">
        <f>IFERROR(__xludf.DUMMYFUNCTION("""COMPUTED_VALUE"""),2.0)</f>
        <v>2</v>
      </c>
      <c r="J178" s="54">
        <f>IFERROR(__xludf.DUMMYFUNCTION("""COMPUTED_VALUE"""),1754000.0)</f>
        <v>1754000</v>
      </c>
      <c r="K178" s="19" t="str">
        <f>IFERROR(__xludf.DUMMYFUNCTION("""COMPUTED_VALUE"""),"gajadiii")</f>
        <v>gajadiii</v>
      </c>
      <c r="L178" s="76"/>
      <c r="M178" s="20"/>
      <c r="N178" s="20"/>
      <c r="O178" s="20"/>
      <c r="P178" s="20"/>
    </row>
    <row r="179">
      <c r="A179" s="110">
        <f>IFERROR(__xludf.DUMMYFUNCTION("""COMPUTED_VALUE"""),46051.0)</f>
        <v>46051</v>
      </c>
      <c r="B179" s="110" t="str">
        <f>IFERROR(__xludf.DUMMYFUNCTION("""COMPUTED_VALUE"""),"2601D179")</f>
        <v>2601D179</v>
      </c>
      <c r="C179" s="49" t="str">
        <f>IFERROR(__xludf.DUMMYFUNCTION("""COMPUTED_VALUE"""),"Katarina angelica")</f>
        <v>Katarina angelica</v>
      </c>
      <c r="D179" s="102" t="str">
        <f>IFERROR(__xludf.DUMMYFUNCTION("""COMPUTED_VALUE"""),"082329094963")</f>
        <v>082329094963</v>
      </c>
      <c r="E179" s="25" t="str">
        <f>IFERROR(__xludf.DUMMYFUNCTION("""COMPUTED_VALUE"""),"Lainnya")</f>
        <v>Lainnya</v>
      </c>
      <c r="F179" s="25" t="str">
        <f>IFERROR(__xludf.DUMMYFUNCTION("""COMPUTED_VALUE"""),"Gagal")</f>
        <v>Gagal</v>
      </c>
      <c r="G179" s="15" t="str">
        <f>IFERROR(__xludf.DUMMYFUNCTION("""COMPUTED_VALUE"""),"3H2M")</f>
        <v>3H2M</v>
      </c>
      <c r="H179" s="78">
        <f>IFERROR(__xludf.DUMMYFUNCTION("""COMPUTED_VALUE"""),46104.0)</f>
        <v>46104</v>
      </c>
      <c r="I179" s="27">
        <f>IFERROR(__xludf.DUMMYFUNCTION("""COMPUTED_VALUE"""),5.0)</f>
        <v>5</v>
      </c>
      <c r="J179" s="33">
        <f>IFERROR(__xludf.DUMMYFUNCTION("""COMPUTED_VALUE"""),1.2E7)</f>
        <v>12000000</v>
      </c>
      <c r="K179" s="30" t="str">
        <f>IFERROR(__xludf.DUMMYFUNCTION("""COMPUTED_VALUE"""),"belum bisa di bulan ini")</f>
        <v>belum bisa di bulan ini</v>
      </c>
      <c r="L179" s="49"/>
      <c r="M179" s="20"/>
      <c r="N179" s="20"/>
      <c r="O179" s="20"/>
      <c r="P179" s="20"/>
    </row>
    <row r="180">
      <c r="A180" s="97">
        <f>IFERROR(__xludf.DUMMYFUNCTION("""COMPUTED_VALUE"""),46051.0)</f>
        <v>46051</v>
      </c>
      <c r="B180" s="97" t="str">
        <f>IFERROR(__xludf.DUMMYFUNCTION("""COMPUTED_VALUE"""),"2601D180")</f>
        <v>2601D180</v>
      </c>
      <c r="C180" s="76" t="str">
        <f>IFERROR(__xludf.DUMMYFUNCTION("""COMPUTED_VALUE"""),"Cak Tri")</f>
        <v>Cak Tri</v>
      </c>
      <c r="D180" s="99" t="str">
        <f>IFERROR(__xludf.DUMMYFUNCTION("""COMPUTED_VALUE"""),"089678451834")</f>
        <v>089678451834</v>
      </c>
      <c r="E180" s="25" t="str">
        <f>IFERROR(__xludf.DUMMYFUNCTION("""COMPUTED_VALUE"""),"Website")</f>
        <v>Website</v>
      </c>
      <c r="F180" s="25" t="str">
        <f>IFERROR(__xludf.DUMMYFUNCTION("""COMPUTED_VALUE"""),"Gagal")</f>
        <v>Gagal</v>
      </c>
      <c r="G180" s="25"/>
      <c r="H180" s="92"/>
      <c r="I180" s="80">
        <f>IFERROR(__xludf.DUMMYFUNCTION("""COMPUTED_VALUE"""),20.0)</f>
        <v>20</v>
      </c>
      <c r="J180" s="93"/>
      <c r="K180" s="19" t="str">
        <f>IFERROR(__xludf.DUMMYFUNCTION("""COMPUTED_VALUE"""),"luar kota")</f>
        <v>luar kota</v>
      </c>
      <c r="L180" s="76"/>
      <c r="M180" s="20"/>
      <c r="N180" s="20"/>
      <c r="O180" s="20"/>
      <c r="P180" s="20"/>
    </row>
    <row r="181">
      <c r="A181" s="110">
        <f>IFERROR(__xludf.DUMMYFUNCTION("""COMPUTED_VALUE"""),46051.0)</f>
        <v>46051</v>
      </c>
      <c r="B181" s="110" t="str">
        <f>IFERROR(__xludf.DUMMYFUNCTION("""COMPUTED_VALUE"""),"2601D181")</f>
        <v>2601D181</v>
      </c>
      <c r="C181" s="49" t="str">
        <f>IFERROR(__xludf.DUMMYFUNCTION("""COMPUTED_VALUE"""),"Briliya Crisping ")</f>
        <v>Briliya Crisping </v>
      </c>
      <c r="D181" s="102" t="str">
        <f>IFERROR(__xludf.DUMMYFUNCTION("""COMPUTED_VALUE"""),"085157474662")</f>
        <v>085157474662</v>
      </c>
      <c r="E181" s="25" t="str">
        <f>IFERROR(__xludf.DUMMYFUNCTION("""COMPUTED_VALUE"""),"Website")</f>
        <v>Website</v>
      </c>
      <c r="F181" s="25" t="str">
        <f>IFERROR(__xludf.DUMMYFUNCTION("""COMPUTED_VALUE"""),"Gagal")</f>
        <v>Gagal</v>
      </c>
      <c r="G181" s="15"/>
      <c r="H181" s="78"/>
      <c r="I181" s="89"/>
      <c r="J181" s="96"/>
      <c r="K181" s="30" t="str">
        <f>IFERROR(__xludf.DUMMYFUNCTION("""COMPUTED_VALUE"""),"minta pricelist ")</f>
        <v>minta pricelist </v>
      </c>
      <c r="L181" s="49"/>
      <c r="M181" s="20"/>
      <c r="N181" s="20"/>
      <c r="O181" s="20"/>
      <c r="P181" s="20"/>
    </row>
    <row r="182">
      <c r="A182" s="97">
        <f>IFERROR(__xludf.DUMMYFUNCTION("""COMPUTED_VALUE"""),46051.0)</f>
        <v>46051</v>
      </c>
      <c r="B182" s="97" t="str">
        <f>IFERROR(__xludf.DUMMYFUNCTION("""COMPUTED_VALUE"""),"2601D182")</f>
        <v>2601D182</v>
      </c>
      <c r="C182" s="76" t="str">
        <f>IFERROR(__xludf.DUMMYFUNCTION("""COMPUTED_VALUE"""),"Umi")</f>
        <v>Umi</v>
      </c>
      <c r="D182" s="99" t="str">
        <f>IFERROR(__xludf.DUMMYFUNCTION("""COMPUTED_VALUE"""),"081326432649")</f>
        <v>081326432649</v>
      </c>
      <c r="E182" s="25" t="str">
        <f>IFERROR(__xludf.DUMMYFUNCTION("""COMPUTED_VALUE"""),"Website")</f>
        <v>Website</v>
      </c>
      <c r="F182" s="25" t="str">
        <f>IFERROR(__xludf.DUMMYFUNCTION("""COMPUTED_VALUE"""),"Gagal")</f>
        <v>Gagal</v>
      </c>
      <c r="G182" s="15" t="str">
        <f>IFERROR(__xludf.DUMMYFUNCTION("""COMPUTED_VALUE"""),"trip menjangan tabuhan ")</f>
        <v>trip menjangan tabuhan </v>
      </c>
      <c r="H182" s="92">
        <f>IFERROR(__xludf.DUMMYFUNCTION("""COMPUTED_VALUE"""),46069.0)</f>
        <v>46069</v>
      </c>
      <c r="I182" s="80">
        <f>IFERROR(__xludf.DUMMYFUNCTION("""COMPUTED_VALUE"""),3.0)</f>
        <v>3</v>
      </c>
      <c r="J182" s="54"/>
      <c r="K182" s="46" t="str">
        <f>IFERROR(__xludf.DUMMYFUNCTION("""COMPUTED_VALUE"""),"minta jemput, gagal")</f>
        <v>minta jemput, gagal</v>
      </c>
      <c r="L182" s="10"/>
      <c r="M182" s="20"/>
      <c r="N182" s="20"/>
      <c r="O182" s="20"/>
      <c r="P182" s="20"/>
    </row>
    <row r="183">
      <c r="A183" s="110">
        <f>IFERROR(__xludf.DUMMYFUNCTION("""COMPUTED_VALUE"""),46051.0)</f>
        <v>46051</v>
      </c>
      <c r="B183" s="110" t="str">
        <f>IFERROR(__xludf.DUMMYFUNCTION("""COMPUTED_VALUE"""),"2601D183")</f>
        <v>2601D183</v>
      </c>
      <c r="C183" s="49" t="str">
        <f>IFERROR(__xludf.DUMMYFUNCTION("""COMPUTED_VALUE"""),"Revand ")</f>
        <v>Revand </v>
      </c>
      <c r="D183" s="102" t="str">
        <f>IFERROR(__xludf.DUMMYFUNCTION("""COMPUTED_VALUE"""),"085231074853")</f>
        <v>085231074853</v>
      </c>
      <c r="E183" s="25" t="str">
        <f>IFERROR(__xludf.DUMMYFUNCTION("""COMPUTED_VALUE"""),"Website")</f>
        <v>Website</v>
      </c>
      <c r="F183" s="25" t="str">
        <f>IFERROR(__xludf.DUMMYFUNCTION("""COMPUTED_VALUE"""),"Gagal")</f>
        <v>Gagal</v>
      </c>
      <c r="G183" s="15" t="str">
        <f>IFERROR(__xludf.DUMMYFUNCTION("""COMPUTED_VALUE"""),"2H1M")</f>
        <v>2H1M</v>
      </c>
      <c r="H183" s="78"/>
      <c r="I183" s="89"/>
      <c r="J183" s="96"/>
      <c r="K183" s="30" t="str">
        <f>IFERROR(__xludf.DUMMYFUNCTION("""COMPUTED_VALUE"""),"tanya tanya")</f>
        <v>tanya tanya</v>
      </c>
      <c r="L183" s="49"/>
      <c r="M183" s="20"/>
      <c r="N183" s="20"/>
      <c r="O183" s="20"/>
      <c r="P183" s="20"/>
    </row>
    <row r="184">
      <c r="A184" s="97">
        <f>IFERROR(__xludf.DUMMYFUNCTION("""COMPUTED_VALUE"""),46052.0)</f>
        <v>46052</v>
      </c>
      <c r="B184" s="110" t="str">
        <f>IFERROR(__xludf.DUMMYFUNCTION("""COMPUTED_VALUE"""),"2601D184")</f>
        <v>2601D184</v>
      </c>
      <c r="C184" s="76" t="str">
        <f>IFERROR(__xludf.DUMMYFUNCTION("""COMPUTED_VALUE"""),"Natali")</f>
        <v>Natali</v>
      </c>
      <c r="D184" s="99" t="str">
        <f>IFERROR(__xludf.DUMMYFUNCTION("""COMPUTED_VALUE"""),"082132282858")</f>
        <v>082132282858</v>
      </c>
      <c r="E184" s="25" t="str">
        <f>IFERROR(__xludf.DUMMYFUNCTION("""COMPUTED_VALUE"""),"Lainnya")</f>
        <v>Lainnya</v>
      </c>
      <c r="F184" s="25" t="str">
        <f>IFERROR(__xludf.DUMMYFUNCTION("""COMPUTED_VALUE"""),"Gagal")</f>
        <v>Gagal</v>
      </c>
      <c r="G184" s="15"/>
      <c r="H184" s="92"/>
      <c r="I184" s="80"/>
      <c r="J184" s="93"/>
      <c r="K184" s="19" t="str">
        <f>IFERROR(__xludf.DUMMYFUNCTION("""COMPUTED_VALUE"""),"ga balas")</f>
        <v>ga balas</v>
      </c>
      <c r="L184" s="76"/>
      <c r="M184" s="20"/>
      <c r="N184" s="20"/>
      <c r="O184" s="20"/>
      <c r="P184" s="20"/>
    </row>
    <row r="185">
      <c r="A185" s="110">
        <f>IFERROR(__xludf.DUMMYFUNCTION("""COMPUTED_VALUE"""),46053.0)</f>
        <v>46053</v>
      </c>
      <c r="B185" s="110" t="str">
        <f>IFERROR(__xludf.DUMMYFUNCTION("""COMPUTED_VALUE"""),"2601D185")</f>
        <v>2601D185</v>
      </c>
      <c r="C185" s="112" t="str">
        <f>IFERROR(__xludf.DUMMYFUNCTION("""COMPUTED_VALUE"""),"Zee")</f>
        <v>Zee</v>
      </c>
      <c r="D185" s="102" t="str">
        <f>IFERROR(__xludf.DUMMYFUNCTION("""COMPUTED_VALUE"""),"085607907412")</f>
        <v>085607907412</v>
      </c>
      <c r="E185" s="25" t="str">
        <f>IFERROR(__xludf.DUMMYFUNCTION("""COMPUTED_VALUE"""),"Lainnya")</f>
        <v>Lainnya</v>
      </c>
      <c r="F185" s="25" t="str">
        <f>IFERROR(__xludf.DUMMYFUNCTION("""COMPUTED_VALUE"""),"Gagal")</f>
        <v>Gagal</v>
      </c>
      <c r="G185" s="25"/>
      <c r="H185" s="78">
        <f>IFERROR(__xludf.DUMMYFUNCTION("""COMPUTED_VALUE"""),46054.0)</f>
        <v>46054</v>
      </c>
      <c r="I185" s="89">
        <f>IFERROR(__xludf.DUMMYFUNCTION("""COMPUTED_VALUE"""),2.0)</f>
        <v>2</v>
      </c>
      <c r="J185" s="96"/>
      <c r="K185" s="36" t="str">
        <f>IFERROR(__xludf.DUMMYFUNCTION("""COMPUTED_VALUE"""),"`")</f>
        <v>`</v>
      </c>
      <c r="L185" s="49"/>
      <c r="M185" s="20"/>
      <c r="N185" s="20"/>
      <c r="O185" s="20"/>
      <c r="P185" s="20"/>
    </row>
    <row r="186">
      <c r="A186" s="97">
        <f>IFERROR(__xludf.DUMMYFUNCTION("""COMPUTED_VALUE"""),46053.0)</f>
        <v>46053</v>
      </c>
      <c r="B186" s="97" t="str">
        <f>IFERROR(__xludf.DUMMYFUNCTION("""COMPUTED_VALUE"""),"2601D186")</f>
        <v>2601D186</v>
      </c>
      <c r="C186" s="76" t="str">
        <f>IFERROR(__xludf.DUMMYFUNCTION("""COMPUTED_VALUE"""),"Nadhillah Hulfa ")</f>
        <v>Nadhillah Hulfa </v>
      </c>
      <c r="D186" s="99" t="str">
        <f>IFERROR(__xludf.DUMMYFUNCTION("""COMPUTED_VALUE"""),"085759951914")</f>
        <v>085759951914</v>
      </c>
      <c r="E186" s="25" t="str">
        <f>IFERROR(__xludf.DUMMYFUNCTION("""COMPUTED_VALUE"""),"Lainnya")</f>
        <v>Lainnya</v>
      </c>
      <c r="F186" s="25" t="str">
        <f>IFERROR(__xludf.DUMMYFUNCTION("""COMPUTED_VALUE"""),"Gagal")</f>
        <v>Gagal</v>
      </c>
      <c r="G186" s="15"/>
      <c r="H186" s="16"/>
      <c r="I186" s="17"/>
      <c r="J186" s="93"/>
      <c r="K186" s="19" t="str">
        <f>IFERROR(__xludf.DUMMYFUNCTION("""COMPUTED_VALUE"""),"tidak ada jawaban,udh  FU5")</f>
        <v>tidak ada jawaban,udh  FU5</v>
      </c>
      <c r="L186" s="76"/>
      <c r="M186" s="20"/>
      <c r="N186" s="20"/>
      <c r="O186" s="20"/>
      <c r="P186" s="20"/>
    </row>
    <row r="187">
      <c r="A187" s="110">
        <f>IFERROR(__xludf.DUMMYFUNCTION("""COMPUTED_VALUE"""),46053.0)</f>
        <v>46053</v>
      </c>
      <c r="B187" s="110" t="str">
        <f>IFERROR(__xludf.DUMMYFUNCTION("""COMPUTED_VALUE"""),"2601D187")</f>
        <v>2601D187</v>
      </c>
      <c r="C187" s="49" t="str">
        <f>IFERROR(__xludf.DUMMYFUNCTION("""COMPUTED_VALUE"""),"Nisa")</f>
        <v>Nisa</v>
      </c>
      <c r="D187" s="102" t="str">
        <f>IFERROR(__xludf.DUMMYFUNCTION("""COMPUTED_VALUE"""),"089687187821")</f>
        <v>089687187821</v>
      </c>
      <c r="E187" s="25" t="str">
        <f>IFERROR(__xludf.DUMMYFUNCTION("""COMPUTED_VALUE"""),"Instagram")</f>
        <v>Instagram</v>
      </c>
      <c r="F187" s="25" t="str">
        <f>IFERROR(__xludf.DUMMYFUNCTION("""COMPUTED_VALUE"""),"Closing")</f>
        <v>Closing</v>
      </c>
      <c r="G187" s="15" t="str">
        <f>IFERROR(__xludf.DUMMYFUNCTION("""COMPUTED_VALUE"""),"OT MT")</f>
        <v>OT MT</v>
      </c>
      <c r="H187" s="78">
        <f>IFERROR(__xludf.DUMMYFUNCTION("""COMPUTED_VALUE"""),46175.0)</f>
        <v>46175</v>
      </c>
      <c r="I187" s="89">
        <f>IFERROR(__xludf.DUMMYFUNCTION("""COMPUTED_VALUE"""),3.0)</f>
        <v>3</v>
      </c>
      <c r="J187" s="33"/>
      <c r="K187" s="36" t="str">
        <f>IFERROR(__xludf.DUMMYFUNCTION("""COMPUTED_VALUE"""),"ORDERR")</f>
        <v>ORDERR</v>
      </c>
      <c r="L187" s="81" t="str">
        <f>IFERROR(__xludf.DUMMYFUNCTION("""COMPUTED_VALUE"""),"https://docs.google.com/document/d/1PayTX2QZC-lfx0CpdQpBPhmpU2Nj5Q2b9dhBJ1MOYeY/edit?tab=t.0")</f>
        <v>https://docs.google.com/document/d/1PayTX2QZC-lfx0CpdQpBPhmpU2Nj5Q2b9dhBJ1MOYeY/edit?tab=t.0</v>
      </c>
      <c r="M187" s="20"/>
      <c r="N187" s="20"/>
      <c r="O187" s="20"/>
      <c r="P187" s="20"/>
    </row>
    <row r="188">
      <c r="A188" s="97">
        <f>IFERROR(__xludf.DUMMYFUNCTION("""COMPUTED_VALUE"""),46054.0)</f>
        <v>46054</v>
      </c>
      <c r="B188" s="97" t="str">
        <f>IFERROR(__xludf.DUMMYFUNCTION("""COMPUTED_VALUE"""),"2602D001")</f>
        <v>2602D001</v>
      </c>
      <c r="C188" s="76" t="str">
        <f>IFERROR(__xludf.DUMMYFUNCTION("""COMPUTED_VALUE"""),"Rangga ")</f>
        <v>Rangga </v>
      </c>
      <c r="D188" s="99" t="str">
        <f>IFERROR(__xludf.DUMMYFUNCTION("""COMPUTED_VALUE"""),"083851037150")</f>
        <v>083851037150</v>
      </c>
      <c r="E188" s="25" t="str">
        <f>IFERROR(__xludf.DUMMYFUNCTION("""COMPUTED_VALUE"""),"Lainnya")</f>
        <v>Lainnya</v>
      </c>
      <c r="F188" s="25" t="str">
        <f>IFERROR(__xludf.DUMMYFUNCTION("""COMPUTED_VALUE"""),"Gagal")</f>
        <v>Gagal</v>
      </c>
      <c r="G188" s="15" t="str">
        <f>IFERROR(__xludf.DUMMYFUNCTION("""COMPUTED_VALUE"""),"acara famget")</f>
        <v>acara famget</v>
      </c>
      <c r="H188" s="92"/>
      <c r="I188" s="17">
        <f>IFERROR(__xludf.DUMMYFUNCTION("""COMPUTED_VALUE"""),36.0)</f>
        <v>36</v>
      </c>
      <c r="J188" s="54">
        <f>IFERROR(__xludf.DUMMYFUNCTION("""COMPUTED_VALUE"""),8.64E7)</f>
        <v>86400000</v>
      </c>
      <c r="K188" s="19" t="str">
        <f>IFERROR(__xludf.DUMMYFUNCTION("""COMPUTED_VALUE"""),"buat penawaran ")</f>
        <v>buat penawaran </v>
      </c>
      <c r="L188" s="76"/>
      <c r="M188" s="20"/>
      <c r="N188" s="20"/>
      <c r="O188" s="20"/>
      <c r="P188" s="20"/>
    </row>
    <row r="189">
      <c r="A189" s="110">
        <f>IFERROR(__xludf.DUMMYFUNCTION("""COMPUTED_VALUE"""),46054.0)</f>
        <v>46054</v>
      </c>
      <c r="B189" s="110" t="str">
        <f>IFERROR(__xludf.DUMMYFUNCTION("""COMPUTED_VALUE"""),"2602D002")</f>
        <v>2602D002</v>
      </c>
      <c r="C189" s="49" t="str">
        <f>IFERROR(__xludf.DUMMYFUNCTION("""COMPUTED_VALUE"""),"Agoespri ")</f>
        <v>Agoespri </v>
      </c>
      <c r="D189" s="102" t="str">
        <f>IFERROR(__xludf.DUMMYFUNCTION("""COMPUTED_VALUE"""),"081310712196")</f>
        <v>081310712196</v>
      </c>
      <c r="E189" s="25" t="str">
        <f>IFERROR(__xludf.DUMMYFUNCTION("""COMPUTED_VALUE"""),"Website")</f>
        <v>Website</v>
      </c>
      <c r="F189" s="25" t="str">
        <f>IFERROR(__xludf.DUMMYFUNCTION("""COMPUTED_VALUE"""),"Review")</f>
        <v>Review</v>
      </c>
      <c r="G189" s="15" t="str">
        <f>IFERROR(__xludf.DUMMYFUNCTION("""COMPUTED_VALUE"""),"one day trip ijen")</f>
        <v>one day trip ijen</v>
      </c>
      <c r="H189" s="78">
        <f>IFERROR(__xludf.DUMMYFUNCTION("""COMPUTED_VALUE"""),46104.0)</f>
        <v>46104</v>
      </c>
      <c r="I189" s="89">
        <f>IFERROR(__xludf.DUMMYFUNCTION("""COMPUTED_VALUE"""),5.0)</f>
        <v>5</v>
      </c>
      <c r="J189" s="96">
        <f>IFERROR(__xludf.DUMMYFUNCTION("""COMPUTED_VALUE"""),2000000.0)</f>
        <v>2000000</v>
      </c>
      <c r="K189" s="36" t="str">
        <f>IFERROR(__xludf.DUMMYFUNCTION("""COMPUTED_VALUE"""),"sudah closing")</f>
        <v>sudah closing</v>
      </c>
      <c r="L189" s="81" t="str">
        <f>IFERROR(__xludf.DUMMYFUNCTION("""COMPUTED_VALUE"""),"https://docs.google.com/document/d/1nEuZ3HSwD3Xqnw8frE84LpIQraKDwdIcVKcHepaXuE0/edit?tab=t.0")</f>
        <v>https://docs.google.com/document/d/1nEuZ3HSwD3Xqnw8frE84LpIQraKDwdIcVKcHepaXuE0/edit?tab=t.0</v>
      </c>
      <c r="M189" s="20"/>
      <c r="N189" s="20"/>
      <c r="O189" s="20"/>
      <c r="P189" s="20"/>
    </row>
    <row r="190">
      <c r="A190" s="97">
        <f>IFERROR(__xludf.DUMMYFUNCTION("""COMPUTED_VALUE"""),46054.0)</f>
        <v>46054</v>
      </c>
      <c r="B190" s="97" t="str">
        <f>IFERROR(__xludf.DUMMYFUNCTION("""COMPUTED_VALUE"""),"2602D003")</f>
        <v>2602D003</v>
      </c>
      <c r="C190" s="76" t="str">
        <f>IFERROR(__xludf.DUMMYFUNCTION("""COMPUTED_VALUE"""),"Amel")</f>
        <v>Amel</v>
      </c>
      <c r="D190" s="99" t="str">
        <f>IFERROR(__xludf.DUMMYFUNCTION("""COMPUTED_VALUE"""),"087881114085")</f>
        <v>087881114085</v>
      </c>
      <c r="E190" s="25" t="str">
        <f>IFERROR(__xludf.DUMMYFUNCTION("""COMPUTED_VALUE"""),"Lainnya")</f>
        <v>Lainnya</v>
      </c>
      <c r="F190" s="25" t="str">
        <f>IFERROR(__xludf.DUMMYFUNCTION("""COMPUTED_VALUE"""),"Gagal")</f>
        <v>Gagal</v>
      </c>
      <c r="G190" s="15"/>
      <c r="H190" s="92"/>
      <c r="I190" s="17"/>
      <c r="J190" s="54"/>
      <c r="K190" s="19" t="str">
        <f>IFERROR(__xludf.DUMMYFUNCTION("""COMPUTED_VALUE"""),"tidak balas")</f>
        <v>tidak balas</v>
      </c>
      <c r="L190" s="76"/>
      <c r="M190" s="20"/>
      <c r="N190" s="20"/>
      <c r="O190" s="20"/>
      <c r="P190" s="20"/>
    </row>
    <row r="191">
      <c r="A191" s="110">
        <f>IFERROR(__xludf.DUMMYFUNCTION("""COMPUTED_VALUE"""),46055.0)</f>
        <v>46055</v>
      </c>
      <c r="B191" s="110" t="str">
        <f>IFERROR(__xludf.DUMMYFUNCTION("""COMPUTED_VALUE"""),"2602D004")</f>
        <v>2602D004</v>
      </c>
      <c r="C191" s="49" t="str">
        <f>IFERROR(__xludf.DUMMYFUNCTION("""COMPUTED_VALUE"""),"Ri")</f>
        <v>Ri</v>
      </c>
      <c r="D191" s="102" t="str">
        <f>IFERROR(__xludf.DUMMYFUNCTION("""COMPUTED_VALUE"""),"083870229793")</f>
        <v>083870229793</v>
      </c>
      <c r="E191" s="25" t="str">
        <f>IFERROR(__xludf.DUMMYFUNCTION("""COMPUTED_VALUE"""),"Lainnya")</f>
        <v>Lainnya</v>
      </c>
      <c r="F191" s="25" t="str">
        <f>IFERROR(__xludf.DUMMYFUNCTION("""COMPUTED_VALUE"""),"Gagal")</f>
        <v>Gagal</v>
      </c>
      <c r="G191" s="25" t="str">
        <f>IFERROR(__xludf.DUMMYFUNCTION("""COMPUTED_VALUE""")," Custom 3H2M")</f>
        <v> Custom 3H2M</v>
      </c>
      <c r="H191" s="78"/>
      <c r="I191" s="89">
        <f>IFERROR(__xludf.DUMMYFUNCTION("""COMPUTED_VALUE"""),3.0)</f>
        <v>3</v>
      </c>
      <c r="J191" s="33">
        <f>IFERROR(__xludf.DUMMYFUNCTION("""COMPUTED_VALUE"""),6600000.0)</f>
        <v>6600000</v>
      </c>
      <c r="K191" s="36" t="str">
        <f>IFERROR(__xludf.DUMMYFUNCTION("""COMPUTED_VALUE"""),"FU lagi 9 Mei")</f>
        <v>FU lagi 9 Mei</v>
      </c>
      <c r="L191" s="81" t="str">
        <f>IFERROR(__xludf.DUMMYFUNCTION("""COMPUTED_VALUE"""),"https://docs.google.com/document/d/15RF16GQudPkbA3O0qUVk2G56Mrmc0ggT6Ql38QS4fpI/edit?tab=t.0")</f>
        <v>https://docs.google.com/document/d/15RF16GQudPkbA3O0qUVk2G56Mrmc0ggT6Ql38QS4fpI/edit?tab=t.0</v>
      </c>
      <c r="M191" s="20"/>
      <c r="N191" s="20"/>
      <c r="O191" s="20"/>
      <c r="P191" s="20"/>
    </row>
    <row r="192">
      <c r="A192" s="97">
        <f>IFERROR(__xludf.DUMMYFUNCTION("""COMPUTED_VALUE"""),46055.0)</f>
        <v>46055</v>
      </c>
      <c r="B192" s="97" t="str">
        <f>IFERROR(__xludf.DUMMYFUNCTION("""COMPUTED_VALUE"""),"2602D005")</f>
        <v>2602D005</v>
      </c>
      <c r="C192" s="76" t="str">
        <f>IFERROR(__xludf.DUMMYFUNCTION("""COMPUTED_VALUE"""),"Rochmad99")</f>
        <v>Rochmad99</v>
      </c>
      <c r="D192" s="99" t="str">
        <f>IFERROR(__xludf.DUMMYFUNCTION("""COMPUTED_VALUE"""),"081351474899")</f>
        <v>081351474899</v>
      </c>
      <c r="E192" s="25" t="str">
        <f>IFERROR(__xludf.DUMMYFUNCTION("""COMPUTED_VALUE"""),"Website")</f>
        <v>Website</v>
      </c>
      <c r="F192" s="25" t="str">
        <f>IFERROR(__xludf.DUMMYFUNCTION("""COMPUTED_VALUE"""),"Gagal")</f>
        <v>Gagal</v>
      </c>
      <c r="G192" s="15" t="str">
        <f>IFERROR(__xludf.DUMMYFUNCTION("""COMPUTED_VALUE"""),"Trip MT")</f>
        <v>Trip MT</v>
      </c>
      <c r="H192" s="92"/>
      <c r="I192" s="80">
        <f>IFERROR(__xludf.DUMMYFUNCTION("""COMPUTED_VALUE"""),5.0)</f>
        <v>5</v>
      </c>
      <c r="J192" s="93"/>
      <c r="K192" s="19" t="str">
        <f>IFERROR(__xludf.DUMMYFUNCTION("""COMPUTED_VALUE"""),"anaknya sdh ikut trip")</f>
        <v>anaknya sdh ikut trip</v>
      </c>
      <c r="L192" s="76"/>
      <c r="M192" s="20"/>
      <c r="N192" s="20"/>
      <c r="O192" s="20"/>
      <c r="P192" s="20"/>
    </row>
    <row r="193">
      <c r="A193" s="110">
        <f>IFERROR(__xludf.DUMMYFUNCTION("""COMPUTED_VALUE"""),46055.0)</f>
        <v>46055</v>
      </c>
      <c r="B193" s="110" t="str">
        <f>IFERROR(__xludf.DUMMYFUNCTION("""COMPUTED_VALUE"""),"2602D006")</f>
        <v>2602D006</v>
      </c>
      <c r="C193" s="49" t="str">
        <f>IFERROR(__xludf.DUMMYFUNCTION("""COMPUTED_VALUE"""),"De De")</f>
        <v>De De</v>
      </c>
      <c r="D193" s="102" t="str">
        <f>IFERROR(__xludf.DUMMYFUNCTION("""COMPUTED_VALUE"""),"41796833424")</f>
        <v>41796833424</v>
      </c>
      <c r="E193" s="25" t="str">
        <f>IFERROR(__xludf.DUMMYFUNCTION("""COMPUTED_VALUE"""),"Website")</f>
        <v>Website</v>
      </c>
      <c r="F193" s="25" t="str">
        <f>IFERROR(__xludf.DUMMYFUNCTION("""COMPUTED_VALUE"""),"Gagal")</f>
        <v>Gagal</v>
      </c>
      <c r="G193" s="15" t="str">
        <f>IFERROR(__xludf.DUMMYFUNCTION("""COMPUTED_VALUE"""),"Trip Teluk Hijau")</f>
        <v>Trip Teluk Hijau</v>
      </c>
      <c r="H193" s="26">
        <f>IFERROR(__xludf.DUMMYFUNCTION("""COMPUTED_VALUE"""),46057.0)</f>
        <v>46057</v>
      </c>
      <c r="I193" s="27">
        <f>IFERROR(__xludf.DUMMYFUNCTION("""COMPUTED_VALUE"""),2.0)</f>
        <v>2</v>
      </c>
      <c r="J193" s="33"/>
      <c r="K193" s="36" t="str">
        <f>IFERROR(__xludf.DUMMYFUNCTION("""COMPUTED_VALUE"""),"masalah tf dan hnya bisa tgl 4 feb")</f>
        <v>masalah tf dan hnya bisa tgl 4 feb</v>
      </c>
      <c r="L193" s="49"/>
      <c r="M193" s="20"/>
      <c r="N193" s="20"/>
      <c r="O193" s="20"/>
      <c r="P193" s="20"/>
    </row>
    <row r="194">
      <c r="A194" s="97">
        <f>IFERROR(__xludf.DUMMYFUNCTION("""COMPUTED_VALUE"""),46055.0)</f>
        <v>46055</v>
      </c>
      <c r="B194" s="97" t="str">
        <f>IFERROR(__xludf.DUMMYFUNCTION("""COMPUTED_VALUE"""),"2602D007")</f>
        <v>2602D007</v>
      </c>
      <c r="C194" s="76" t="str">
        <f>IFERROR(__xludf.DUMMYFUNCTION("""COMPUTED_VALUE"""),"Zilzi Zade")</f>
        <v>Zilzi Zade</v>
      </c>
      <c r="D194" s="99" t="str">
        <f>IFERROR(__xludf.DUMMYFUNCTION("""COMPUTED_VALUE"""),"085524718925")</f>
        <v>085524718925</v>
      </c>
      <c r="E194" s="25" t="str">
        <f>IFERROR(__xludf.DUMMYFUNCTION("""COMPUTED_VALUE"""),"Lainnya")</f>
        <v>Lainnya</v>
      </c>
      <c r="F194" s="25" t="str">
        <f>IFERROR(__xludf.DUMMYFUNCTION("""COMPUTED_VALUE"""),"Gagal")</f>
        <v>Gagal</v>
      </c>
      <c r="G194" s="15" t="str">
        <f>IFERROR(__xludf.DUMMYFUNCTION("""COMPUTED_VALUE"""),"4H3M, OT")</f>
        <v>4H3M, OT</v>
      </c>
      <c r="H194" s="92"/>
      <c r="I194" s="80"/>
      <c r="J194" s="93"/>
      <c r="K194" s="19" t="str">
        <f>IFERROR(__xludf.DUMMYFUNCTION("""COMPUTED_VALUE"""),"waktunya belum jelas")</f>
        <v>waktunya belum jelas</v>
      </c>
      <c r="L194" s="76"/>
      <c r="M194" s="20"/>
      <c r="N194" s="20"/>
      <c r="O194" s="20"/>
      <c r="P194" s="20"/>
    </row>
    <row r="195">
      <c r="A195" s="110">
        <f>IFERROR(__xludf.DUMMYFUNCTION("""COMPUTED_VALUE"""),46055.0)</f>
        <v>46055</v>
      </c>
      <c r="B195" s="110" t="str">
        <f>IFERROR(__xludf.DUMMYFUNCTION("""COMPUTED_VALUE"""),"2602D008")</f>
        <v>2602D008</v>
      </c>
      <c r="C195" s="112" t="str">
        <f>IFERROR(__xludf.DUMMYFUNCTION("""COMPUTED_VALUE"""),"Chao")</f>
        <v>Chao</v>
      </c>
      <c r="D195" s="102" t="str">
        <f>IFERROR(__xludf.DUMMYFUNCTION("""COMPUTED_VALUE"""),"085248509954")</f>
        <v>085248509954</v>
      </c>
      <c r="E195" s="25" t="str">
        <f>IFERROR(__xludf.DUMMYFUNCTION("""COMPUTED_VALUE"""),"Lainnya")</f>
        <v>Lainnya</v>
      </c>
      <c r="F195" s="25" t="str">
        <f>IFERROR(__xludf.DUMMYFUNCTION("""COMPUTED_VALUE"""),"Closing")</f>
        <v>Closing</v>
      </c>
      <c r="G195" s="15"/>
      <c r="H195" s="78"/>
      <c r="I195" s="89">
        <f>IFERROR(__xludf.DUMMYFUNCTION("""COMPUTED_VALUE"""),2.0)</f>
        <v>2</v>
      </c>
      <c r="J195" s="33">
        <f>IFERROR(__xludf.DUMMYFUNCTION("""COMPUTED_VALUE"""),3000000.0)</f>
        <v>3000000</v>
      </c>
      <c r="K195" s="30"/>
      <c r="L195" s="23"/>
      <c r="M195" s="20"/>
      <c r="N195" s="20"/>
      <c r="O195" s="20"/>
      <c r="P195" s="20"/>
    </row>
    <row r="196">
      <c r="A196" s="97">
        <f>IFERROR(__xludf.DUMMYFUNCTION("""COMPUTED_VALUE"""),46055.0)</f>
        <v>46055</v>
      </c>
      <c r="B196" s="97" t="str">
        <f>IFERROR(__xludf.DUMMYFUNCTION("""COMPUTED_VALUE"""),"2602D009")</f>
        <v>2602D009</v>
      </c>
      <c r="C196" s="76" t="str">
        <f>IFERROR(__xludf.DUMMYFUNCTION("""COMPUTED_VALUE"""),"Nailah Putri")</f>
        <v>Nailah Putri</v>
      </c>
      <c r="D196" s="99" t="str">
        <f>IFERROR(__xludf.DUMMYFUNCTION("""COMPUTED_VALUE"""),"085725704196")</f>
        <v>085725704196</v>
      </c>
      <c r="E196" s="25" t="str">
        <f>IFERROR(__xludf.DUMMYFUNCTION("""COMPUTED_VALUE"""),"Lainnya")</f>
        <v>Lainnya</v>
      </c>
      <c r="F196" s="25" t="str">
        <f>IFERROR(__xludf.DUMMYFUNCTION("""COMPUTED_VALUE"""),"Gagal")</f>
        <v>Gagal</v>
      </c>
      <c r="G196" s="15"/>
      <c r="H196" s="92"/>
      <c r="I196" s="17"/>
      <c r="J196" s="54"/>
      <c r="K196" s="46" t="str">
        <f>IFERROR(__xludf.DUMMYFUNCTION("""COMPUTED_VALUE"""),"tidak ada jawaban")</f>
        <v>tidak ada jawaban</v>
      </c>
      <c r="L196" s="10"/>
      <c r="M196" s="20"/>
      <c r="N196" s="20"/>
      <c r="O196" s="20"/>
      <c r="P196" s="20"/>
    </row>
    <row r="197">
      <c r="A197" s="110">
        <f>IFERROR(__xludf.DUMMYFUNCTION("""COMPUTED_VALUE"""),46056.0)</f>
        <v>46056</v>
      </c>
      <c r="B197" s="110" t="str">
        <f>IFERROR(__xludf.DUMMYFUNCTION("""COMPUTED_VALUE"""),"2602D010")</f>
        <v>2602D010</v>
      </c>
      <c r="C197" s="49" t="str">
        <f>IFERROR(__xludf.DUMMYFUNCTION("""COMPUTED_VALUE"""),"A Joan")</f>
        <v>A Joan</v>
      </c>
      <c r="D197" s="102" t="str">
        <f>IFERROR(__xludf.DUMMYFUNCTION("""COMPUTED_VALUE"""),"081232254196")</f>
        <v>081232254196</v>
      </c>
      <c r="E197" s="25" t="str">
        <f>IFERROR(__xludf.DUMMYFUNCTION("""COMPUTED_VALUE"""),"Lainnya")</f>
        <v>Lainnya</v>
      </c>
      <c r="F197" s="25" t="str">
        <f>IFERROR(__xludf.DUMMYFUNCTION("""COMPUTED_VALUE"""),"Review")</f>
        <v>Review</v>
      </c>
      <c r="G197" s="15" t="str">
        <f>IFERROR(__xludf.DUMMYFUNCTION("""COMPUTED_VALUE"""),"Custom 2H1M (MT, D,TNB)")</f>
        <v>Custom 2H1M (MT, D,TNB)</v>
      </c>
      <c r="H197" s="78"/>
      <c r="I197" s="89">
        <f>IFERROR(__xludf.DUMMYFUNCTION("""COMPUTED_VALUE"""),3.0)</f>
        <v>3</v>
      </c>
      <c r="J197" s="96">
        <f>IFERROR(__xludf.DUMMYFUNCTION("""COMPUTED_VALUE"""),4816500.0)</f>
        <v>4816500</v>
      </c>
      <c r="K197" s="36"/>
      <c r="L197" s="49"/>
      <c r="M197" s="20"/>
      <c r="N197" s="20"/>
      <c r="O197" s="20"/>
      <c r="P197" s="20"/>
    </row>
    <row r="198">
      <c r="A198" s="97">
        <f>IFERROR(__xludf.DUMMYFUNCTION("""COMPUTED_VALUE"""),46056.0)</f>
        <v>46056</v>
      </c>
      <c r="B198" s="97" t="str">
        <f>IFERROR(__xludf.DUMMYFUNCTION("""COMPUTED_VALUE"""),"2602D011")</f>
        <v>2602D011</v>
      </c>
      <c r="C198" s="76" t="str">
        <f>IFERROR(__xludf.DUMMYFUNCTION("""COMPUTED_VALUE"""),"Fadilla Riesty")</f>
        <v>Fadilla Riesty</v>
      </c>
      <c r="D198" s="99" t="str">
        <f>IFERROR(__xludf.DUMMYFUNCTION("""COMPUTED_VALUE"""),"085800484767")</f>
        <v>085800484767</v>
      </c>
      <c r="E198" s="25" t="str">
        <f>IFERROR(__xludf.DUMMYFUNCTION("""COMPUTED_VALUE"""),"Lainnya")</f>
        <v>Lainnya</v>
      </c>
      <c r="F198" s="25" t="str">
        <f>IFERROR(__xludf.DUMMYFUNCTION("""COMPUTED_VALUE"""),"Gagal")</f>
        <v>Gagal</v>
      </c>
      <c r="G198" s="15" t="str">
        <f>IFERROR(__xludf.DUMMYFUNCTION("""COMPUTED_VALUE"""),"4H3M")</f>
        <v>4H3M</v>
      </c>
      <c r="H198" s="92"/>
      <c r="I198" s="17"/>
      <c r="J198" s="54"/>
      <c r="K198" s="46" t="str">
        <f>IFERROR(__xludf.DUMMYFUNCTION("""COMPUTED_VALUE"""),"tidak ada jawaban")</f>
        <v>tidak ada jawaban</v>
      </c>
      <c r="L198" s="76"/>
      <c r="M198" s="20"/>
      <c r="N198" s="20"/>
      <c r="O198" s="20"/>
      <c r="P198" s="20"/>
    </row>
    <row r="199">
      <c r="A199" s="110">
        <f>IFERROR(__xludf.DUMMYFUNCTION("""COMPUTED_VALUE"""),46056.0)</f>
        <v>46056</v>
      </c>
      <c r="B199" s="110" t="str">
        <f>IFERROR(__xludf.DUMMYFUNCTION("""COMPUTED_VALUE"""),"2602D012")</f>
        <v>2602D012</v>
      </c>
      <c r="C199" s="49" t="str">
        <f>IFERROR(__xludf.DUMMYFUNCTION("""COMPUTED_VALUE"""),"Novita Utami")</f>
        <v>Novita Utami</v>
      </c>
      <c r="D199" s="102" t="str">
        <f>IFERROR(__xludf.DUMMYFUNCTION("""COMPUTED_VALUE"""),"0818171194")</f>
        <v>0818171194</v>
      </c>
      <c r="E199" s="25" t="str">
        <f>IFERROR(__xludf.DUMMYFUNCTION("""COMPUTED_VALUE"""),"Lainnya")</f>
        <v>Lainnya</v>
      </c>
      <c r="F199" s="25" t="str">
        <f>IFERROR(__xludf.DUMMYFUNCTION("""COMPUTED_VALUE"""),"Gagal")</f>
        <v>Gagal</v>
      </c>
      <c r="G199" s="15" t="str">
        <f>IFERROR(__xludf.DUMMYFUNCTION("""COMPUTED_VALUE"""),"4H3M")</f>
        <v>4H3M</v>
      </c>
      <c r="H199" s="78"/>
      <c r="I199" s="89">
        <f>IFERROR(__xludf.DUMMYFUNCTION("""COMPUTED_VALUE"""),19.0)</f>
        <v>19</v>
      </c>
      <c r="J199" s="96"/>
      <c r="K199" s="30" t="str">
        <f>IFERROR(__xludf.DUMMYFUNCTION("""COMPUTED_VALUE"""),"ingin incl hotel saat highseason")</f>
        <v>ingin incl hotel saat highseason</v>
      </c>
      <c r="L199" s="23"/>
      <c r="M199" s="20"/>
      <c r="N199" s="20"/>
      <c r="O199" s="20"/>
      <c r="P199" s="20"/>
    </row>
    <row r="200">
      <c r="A200" s="97">
        <f>IFERROR(__xludf.DUMMYFUNCTION("""COMPUTED_VALUE"""),46057.0)</f>
        <v>46057</v>
      </c>
      <c r="B200" s="97" t="str">
        <f>IFERROR(__xludf.DUMMYFUNCTION("""COMPUTED_VALUE"""),"2602D013")</f>
        <v>2602D013</v>
      </c>
      <c r="C200" s="76" t="str">
        <f>IFERROR(__xludf.DUMMYFUNCTION("""COMPUTED_VALUE"""),"Andika Savira")</f>
        <v>Andika Savira</v>
      </c>
      <c r="D200" s="99" t="str">
        <f>IFERROR(__xludf.DUMMYFUNCTION("""COMPUTED_VALUE"""),"082336252464")</f>
        <v>082336252464</v>
      </c>
      <c r="E200" s="25" t="str">
        <f>IFERROR(__xludf.DUMMYFUNCTION("""COMPUTED_VALUE"""),"Website")</f>
        <v>Website</v>
      </c>
      <c r="F200" s="25" t="str">
        <f>IFERROR(__xludf.DUMMYFUNCTION("""COMPUTED_VALUE"""),"Gagal")</f>
        <v>Gagal</v>
      </c>
      <c r="G200" s="15"/>
      <c r="H200" s="92"/>
      <c r="I200" s="80"/>
      <c r="J200" s="93"/>
      <c r="K200" s="19" t="str">
        <f>IFERROR(__xludf.DUMMYFUNCTION("""COMPUTED_VALUE"""),"tidak ada informasi lanjut dari temannya yg ingin pesan")</f>
        <v>tidak ada informasi lanjut dari temannya yg ingin pesan</v>
      </c>
      <c r="L200" s="76"/>
      <c r="M200" s="20"/>
      <c r="N200" s="20"/>
      <c r="O200" s="20"/>
      <c r="P200" s="20"/>
    </row>
    <row r="201">
      <c r="A201" s="110">
        <f>IFERROR(__xludf.DUMMYFUNCTION("""COMPUTED_VALUE"""),46057.0)</f>
        <v>46057</v>
      </c>
      <c r="B201" s="110" t="str">
        <f>IFERROR(__xludf.DUMMYFUNCTION("""COMPUTED_VALUE"""),"2602D014")</f>
        <v>2602D014</v>
      </c>
      <c r="C201" s="49" t="str">
        <f>IFERROR(__xludf.DUMMYFUNCTION("""COMPUTED_VALUE"""),"ipaan")</f>
        <v>ipaan</v>
      </c>
      <c r="D201" s="102" t="str">
        <f>IFERROR(__xludf.DUMMYFUNCTION("""COMPUTED_VALUE"""),"082138351869")</f>
        <v>082138351869</v>
      </c>
      <c r="E201" s="25" t="str">
        <f>IFERROR(__xludf.DUMMYFUNCTION("""COMPUTED_VALUE"""),"Lainnya")</f>
        <v>Lainnya</v>
      </c>
      <c r="F201" s="25" t="str">
        <f>IFERROR(__xludf.DUMMYFUNCTION("""COMPUTED_VALUE"""),"Gagal")</f>
        <v>Gagal</v>
      </c>
      <c r="G201" s="15" t="str">
        <f>IFERROR(__xludf.DUMMYFUNCTION("""COMPUTED_VALUE"""),"1D BEDIL")</f>
        <v>1D BEDIL</v>
      </c>
      <c r="H201" s="78"/>
      <c r="I201" s="89"/>
      <c r="J201" s="33"/>
      <c r="K201" s="36" t="str">
        <f>IFERROR(__xludf.DUMMYFUNCTION("""COMPUTED_VALUE"""),"tidak ada jawaban")</f>
        <v>tidak ada jawaban</v>
      </c>
      <c r="L201" s="49"/>
      <c r="M201" s="20"/>
      <c r="N201" s="20"/>
      <c r="O201" s="20"/>
      <c r="P201" s="20"/>
    </row>
    <row r="202">
      <c r="A202" s="97">
        <f>IFERROR(__xludf.DUMMYFUNCTION("""COMPUTED_VALUE"""),46057.0)</f>
        <v>46057</v>
      </c>
      <c r="B202" s="97" t="str">
        <f>IFERROR(__xludf.DUMMYFUNCTION("""COMPUTED_VALUE"""),"2602D015")</f>
        <v>2602D015</v>
      </c>
      <c r="C202" s="76" t="str">
        <f>IFERROR(__xludf.DUMMYFUNCTION("""COMPUTED_VALUE"""),"Bella Adelia")</f>
        <v>Bella Adelia</v>
      </c>
      <c r="D202" s="99" t="str">
        <f>IFERROR(__xludf.DUMMYFUNCTION("""COMPUTED_VALUE"""),"085784272210")</f>
        <v>085784272210</v>
      </c>
      <c r="E202" s="25" t="str">
        <f>IFERROR(__xludf.DUMMYFUNCTION("""COMPUTED_VALUE"""),"Lainnya")</f>
        <v>Lainnya</v>
      </c>
      <c r="F202" s="25" t="str">
        <f>IFERROR(__xludf.DUMMYFUNCTION("""COMPUTED_VALUE"""),"Gagal")</f>
        <v>Gagal</v>
      </c>
      <c r="G202" s="15" t="str">
        <f>IFERROR(__xludf.DUMMYFUNCTION("""COMPUTED_VALUE"""),"1D BEDIL")</f>
        <v>1D BEDIL</v>
      </c>
      <c r="H202" s="16"/>
      <c r="I202" s="80">
        <f>IFERROR(__xludf.DUMMYFUNCTION("""COMPUTED_VALUE"""),15.0)</f>
        <v>15</v>
      </c>
      <c r="J202" s="93">
        <f>IFERROR(__xludf.DUMMYFUNCTION("""COMPUTED_VALUE"""),7000000.0)</f>
        <v>7000000</v>
      </c>
      <c r="K202" s="46" t="str">
        <f>IFERROR(__xludf.DUMMYFUNCTION("""COMPUTED_VALUE"""),"semestara belum dulu, trip ditunda")</f>
        <v>semestara belum dulu, trip ditunda</v>
      </c>
      <c r="L202" s="100" t="str">
        <f>IFERROR(__xludf.DUMMYFUNCTION("""COMPUTED_VALUE"""),"https://docs.google.com/document/d/17HHm3vNEHgyZuevQSS1ldU2N8v39DVrl2Jocnh2KgEo/edit?tab=t.0")</f>
        <v>https://docs.google.com/document/d/17HHm3vNEHgyZuevQSS1ldU2N8v39DVrl2Jocnh2KgEo/edit?tab=t.0</v>
      </c>
      <c r="M202" s="20"/>
      <c r="N202" s="20"/>
      <c r="O202" s="20"/>
      <c r="P202" s="20"/>
    </row>
    <row r="203">
      <c r="A203" s="110">
        <f>IFERROR(__xludf.DUMMYFUNCTION("""COMPUTED_VALUE"""),46057.0)</f>
        <v>46057</v>
      </c>
      <c r="B203" s="110" t="str">
        <f>IFERROR(__xludf.DUMMYFUNCTION("""COMPUTED_VALUE"""),"2602D016")</f>
        <v>2602D016</v>
      </c>
      <c r="C203" s="49" t="str">
        <f>IFERROR(__xludf.DUMMYFUNCTION("""COMPUTED_VALUE"""),"Sally")</f>
        <v>Sally</v>
      </c>
      <c r="D203" s="102" t="str">
        <f>IFERROR(__xludf.DUMMYFUNCTION("""COMPUTED_VALUE"""),"081314588507")</f>
        <v>081314588507</v>
      </c>
      <c r="E203" s="25" t="str">
        <f>IFERROR(__xludf.DUMMYFUNCTION("""COMPUTED_VALUE"""),"Website")</f>
        <v>Website</v>
      </c>
      <c r="F203" s="25" t="str">
        <f>IFERROR(__xludf.DUMMYFUNCTION("""COMPUTED_VALUE"""),"Gagal")</f>
        <v>Gagal</v>
      </c>
      <c r="G203" s="15" t="str">
        <f>IFERROR(__xludf.DUMMYFUNCTION("""COMPUTED_VALUE"""),"1 day trip")</f>
        <v>1 day trip</v>
      </c>
      <c r="H203" s="26"/>
      <c r="I203" s="89">
        <f>IFERROR(__xludf.DUMMYFUNCTION("""COMPUTED_VALUE"""),3.0)</f>
        <v>3</v>
      </c>
      <c r="J203" s="96"/>
      <c r="K203" s="36" t="str">
        <f>IFERROR(__xludf.DUMMYFUNCTION("""COMPUTED_VALUE"""),"tidak ada jawaban")</f>
        <v>tidak ada jawaban</v>
      </c>
      <c r="L203" s="23"/>
      <c r="M203" s="20"/>
      <c r="N203" s="20"/>
      <c r="O203" s="20"/>
      <c r="P203" s="20"/>
    </row>
    <row r="204">
      <c r="A204" s="97">
        <f>IFERROR(__xludf.DUMMYFUNCTION("""COMPUTED_VALUE"""),46057.0)</f>
        <v>46057</v>
      </c>
      <c r="B204" s="97" t="str">
        <f>IFERROR(__xludf.DUMMYFUNCTION("""COMPUTED_VALUE"""),"2602D017")</f>
        <v>2602D017</v>
      </c>
      <c r="C204" s="76" t="str">
        <f>IFERROR(__xludf.DUMMYFUNCTION("""COMPUTED_VALUE"""),"ga ada jawaban ")</f>
        <v>ga ada jawaban </v>
      </c>
      <c r="D204" s="99" t="str">
        <f>IFERROR(__xludf.DUMMYFUNCTION("""COMPUTED_VALUE"""),"08317322999")</f>
        <v>08317322999</v>
      </c>
      <c r="E204" s="25" t="str">
        <f>IFERROR(__xludf.DUMMYFUNCTION("""COMPUTED_VALUE"""),"Website")</f>
        <v>Website</v>
      </c>
      <c r="F204" s="25" t="str">
        <f>IFERROR(__xludf.DUMMYFUNCTION("""COMPUTED_VALUE"""),"Gagal")</f>
        <v>Gagal</v>
      </c>
      <c r="G204" s="15"/>
      <c r="H204" s="16"/>
      <c r="I204" s="80"/>
      <c r="J204" s="93"/>
      <c r="K204" s="19" t="str">
        <f>IFERROR(__xludf.DUMMYFUNCTION("""COMPUTED_VALUE"""),"tidak ada jawaban")</f>
        <v>tidak ada jawaban</v>
      </c>
      <c r="L204" s="10"/>
      <c r="M204" s="20"/>
      <c r="N204" s="20"/>
      <c r="O204" s="20"/>
      <c r="P204" s="20"/>
    </row>
    <row r="205">
      <c r="A205" s="110">
        <f>IFERROR(__xludf.DUMMYFUNCTION("""COMPUTED_VALUE"""),46057.0)</f>
        <v>46057</v>
      </c>
      <c r="B205" s="110" t="str">
        <f>IFERROR(__xludf.DUMMYFUNCTION("""COMPUTED_VALUE"""),"2602D018")</f>
        <v>2602D018</v>
      </c>
      <c r="C205" s="49" t="str">
        <f>IFERROR(__xludf.DUMMYFUNCTION("""COMPUTED_VALUE"""),"le")</f>
        <v>le</v>
      </c>
      <c r="D205" s="102" t="str">
        <f>IFERROR(__xludf.DUMMYFUNCTION("""COMPUTED_VALUE"""),"085817262943")</f>
        <v>085817262943</v>
      </c>
      <c r="E205" s="25" t="str">
        <f>IFERROR(__xludf.DUMMYFUNCTION("""COMPUTED_VALUE"""),"Lainnya")</f>
        <v>Lainnya</v>
      </c>
      <c r="F205" s="25" t="str">
        <f>IFERROR(__xludf.DUMMYFUNCTION("""COMPUTED_VALUE"""),"Gagal")</f>
        <v>Gagal</v>
      </c>
      <c r="G205" s="15" t="str">
        <f>IFERROR(__xludf.DUMMYFUNCTION("""COMPUTED_VALUE"""),"trip 2H1M")</f>
        <v>trip 2H1M</v>
      </c>
      <c r="H205" s="26">
        <f>IFERROR(__xludf.DUMMYFUNCTION("""COMPUTED_VALUE"""),46101.0)</f>
        <v>46101</v>
      </c>
      <c r="I205" s="89">
        <f>IFERROR(__xludf.DUMMYFUNCTION("""COMPUTED_VALUE"""),6.0)</f>
        <v>6</v>
      </c>
      <c r="J205" s="96">
        <f>IFERROR(__xludf.DUMMYFUNCTION("""COMPUTED_VALUE"""),6444000.0)</f>
        <v>6444000</v>
      </c>
      <c r="K205" s="36" t="str">
        <f>IFERROR(__xludf.DUMMYFUNCTION("""COMPUTED_VALUE"""),"minta dijemput dr malang, gagal")</f>
        <v>minta dijemput dr malang, gagal</v>
      </c>
      <c r="L205" s="23"/>
      <c r="M205" s="20"/>
      <c r="N205" s="20"/>
      <c r="O205" s="20"/>
      <c r="P205" s="20"/>
    </row>
    <row r="206">
      <c r="A206" s="97">
        <f>IFERROR(__xludf.DUMMYFUNCTION("""COMPUTED_VALUE"""),46058.0)</f>
        <v>46058</v>
      </c>
      <c r="B206" s="97" t="str">
        <f>IFERROR(__xludf.DUMMYFUNCTION("""COMPUTED_VALUE"""),"2602D019")</f>
        <v>2602D019</v>
      </c>
      <c r="C206" s="76" t="str">
        <f>IFERROR(__xludf.DUMMYFUNCTION("""COMPUTED_VALUE"""),"Ratih Pratama")</f>
        <v>Ratih Pratama</v>
      </c>
      <c r="D206" s="99" t="str">
        <f>IFERROR(__xludf.DUMMYFUNCTION("""COMPUTED_VALUE"""),"082298487924")</f>
        <v>082298487924</v>
      </c>
      <c r="E206" s="25" t="str">
        <f>IFERROR(__xludf.DUMMYFUNCTION("""COMPUTED_VALUE"""),"Website")</f>
        <v>Website</v>
      </c>
      <c r="F206" s="25" t="str">
        <f>IFERROR(__xludf.DUMMYFUNCTION("""COMPUTED_VALUE"""),"Closing")</f>
        <v>Closing</v>
      </c>
      <c r="G206" s="15" t="str">
        <f>IFERROR(__xludf.DUMMYFUNCTION("""COMPUTED_VALUE"""),"MT")</f>
        <v>MT</v>
      </c>
      <c r="H206" s="16">
        <f>IFERROR(__xludf.DUMMYFUNCTION("""COMPUTED_VALUE"""),46104.0)</f>
        <v>46104</v>
      </c>
      <c r="I206" s="80"/>
      <c r="J206" s="93">
        <f>IFERROR(__xludf.DUMMYFUNCTION("""COMPUTED_VALUE"""),2600000.0)</f>
        <v>2600000</v>
      </c>
      <c r="K206" s="19"/>
      <c r="L206" s="10"/>
      <c r="M206" s="20"/>
      <c r="N206" s="20"/>
      <c r="O206" s="20"/>
      <c r="P206" s="20"/>
    </row>
    <row r="207">
      <c r="A207" s="110">
        <f>IFERROR(__xludf.DUMMYFUNCTION("""COMPUTED_VALUE"""),46058.0)</f>
        <v>46058</v>
      </c>
      <c r="B207" s="110" t="str">
        <f>IFERROR(__xludf.DUMMYFUNCTION("""COMPUTED_VALUE"""),"2602D020")</f>
        <v>2602D020</v>
      </c>
      <c r="C207" s="49" t="str">
        <f>IFERROR(__xludf.DUMMYFUNCTION("""COMPUTED_VALUE"""),"Merin")</f>
        <v>Merin</v>
      </c>
      <c r="D207" s="102" t="str">
        <f>IFERROR(__xludf.DUMMYFUNCTION("""COMPUTED_VALUE"""),"082230308898")</f>
        <v>082230308898</v>
      </c>
      <c r="E207" s="25" t="str">
        <f>IFERROR(__xludf.DUMMYFUNCTION("""COMPUTED_VALUE"""),"Website")</f>
        <v>Website</v>
      </c>
      <c r="F207" s="25" t="str">
        <f>IFERROR(__xludf.DUMMYFUNCTION("""COMPUTED_VALUE"""),"Gagal")</f>
        <v>Gagal</v>
      </c>
      <c r="G207" s="15" t="str">
        <f>IFERROR(__xludf.DUMMYFUNCTION("""COMPUTED_VALUE"""),"1D D, B")</f>
        <v>1D D, B</v>
      </c>
      <c r="H207" s="26"/>
      <c r="I207" s="89">
        <f>IFERROR(__xludf.DUMMYFUNCTION("""COMPUTED_VALUE"""),15.0)</f>
        <v>15</v>
      </c>
      <c r="J207" s="96"/>
      <c r="K207" s="36" t="str">
        <f>IFERROR(__xludf.DUMMYFUNCTION("""COMPUTED_VALUE"""),"tidak jadi")</f>
        <v>tidak jadi</v>
      </c>
      <c r="L207" s="23"/>
      <c r="M207" s="20"/>
      <c r="N207" s="20"/>
      <c r="O207" s="20"/>
      <c r="P207" s="20"/>
    </row>
    <row r="208">
      <c r="A208" s="97">
        <f>IFERROR(__xludf.DUMMYFUNCTION("""COMPUTED_VALUE"""),46058.0)</f>
        <v>46058</v>
      </c>
      <c r="B208" s="97" t="str">
        <f>IFERROR(__xludf.DUMMYFUNCTION("""COMPUTED_VALUE"""),"2602D021")</f>
        <v>2602D021</v>
      </c>
      <c r="C208" s="76" t="str">
        <f>IFERROR(__xludf.DUMMYFUNCTION("""COMPUTED_VALUE"""),"Raudhah Mariyah")</f>
        <v>Raudhah Mariyah</v>
      </c>
      <c r="D208" s="99" t="str">
        <f>IFERROR(__xludf.DUMMYFUNCTION("""COMPUTED_VALUE"""),"082121900204")</f>
        <v>082121900204</v>
      </c>
      <c r="E208" s="25" t="str">
        <f>IFERROR(__xludf.DUMMYFUNCTION("""COMPUTED_VALUE"""),"Lainnya")</f>
        <v>Lainnya</v>
      </c>
      <c r="F208" s="25" t="str">
        <f>IFERROR(__xludf.DUMMYFUNCTION("""COMPUTED_VALUE"""),"Gagal")</f>
        <v>Gagal</v>
      </c>
      <c r="G208" s="15" t="str">
        <f>IFERROR(__xludf.DUMMYFUNCTION("""COMPUTED_VALUE"""),"1 day trip D, B")</f>
        <v>1 day trip D, B</v>
      </c>
      <c r="H208" s="92">
        <f>IFERROR(__xludf.DUMMYFUNCTION("""COMPUTED_VALUE"""),46061.0)</f>
        <v>46061</v>
      </c>
      <c r="I208" s="17">
        <f>IFERROR(__xludf.DUMMYFUNCTION("""COMPUTED_VALUE"""),2.0)</f>
        <v>2</v>
      </c>
      <c r="J208" s="54">
        <f>IFERROR(__xludf.DUMMYFUNCTION("""COMPUTED_VALUE"""),1754000.0)</f>
        <v>1754000</v>
      </c>
      <c r="K208" s="19" t="str">
        <f>IFERROR(__xludf.DUMMYFUNCTION("""COMPUTED_VALUE"""),"tidak ada jawaban")</f>
        <v>tidak ada jawaban</v>
      </c>
      <c r="L208" s="76"/>
      <c r="M208" s="20"/>
      <c r="N208" s="20"/>
      <c r="O208" s="20"/>
      <c r="P208" s="20"/>
    </row>
    <row r="209">
      <c r="A209" s="110">
        <f>IFERROR(__xludf.DUMMYFUNCTION("""COMPUTED_VALUE"""),46058.0)</f>
        <v>46058</v>
      </c>
      <c r="B209" s="110" t="str">
        <f>IFERROR(__xludf.DUMMYFUNCTION("""COMPUTED_VALUE"""),"2602D022")</f>
        <v>2602D022</v>
      </c>
      <c r="C209" s="112" t="str">
        <f>IFERROR(__xludf.DUMMYFUNCTION("""COMPUTED_VALUE"""),"Tifenn Rosenkranz")</f>
        <v>Tifenn Rosenkranz</v>
      </c>
      <c r="D209" s="102" t="str">
        <f>IFERROR(__xludf.DUMMYFUNCTION("""COMPUTED_VALUE"""),"33621946594")</f>
        <v>33621946594</v>
      </c>
      <c r="E209" s="25" t="str">
        <f>IFERROR(__xludf.DUMMYFUNCTION("""COMPUTED_VALUE"""),"Lainnya")</f>
        <v>Lainnya</v>
      </c>
      <c r="F209" s="25" t="str">
        <f>IFERROR(__xludf.DUMMYFUNCTION("""COMPUTED_VALUE"""),"Gagal")</f>
        <v>Gagal</v>
      </c>
      <c r="G209" s="15" t="str">
        <f>IFERROR(__xludf.DUMMYFUNCTION("""COMPUTED_VALUE"""),"Baluran")</f>
        <v>Baluran</v>
      </c>
      <c r="H209" s="26"/>
      <c r="I209" s="27"/>
      <c r="J209" s="33"/>
      <c r="K209" s="36" t="str">
        <f>IFERROR(__xludf.DUMMYFUNCTION("""COMPUTED_VALUE"""),"tidak ada jawaban")</f>
        <v>tidak ada jawaban</v>
      </c>
      <c r="L209" s="36"/>
      <c r="M209" s="20"/>
      <c r="N209" s="20"/>
      <c r="O209" s="20"/>
      <c r="P209" s="20"/>
    </row>
    <row r="210">
      <c r="A210" s="97">
        <f>IFERROR(__xludf.DUMMYFUNCTION("""COMPUTED_VALUE"""),46059.0)</f>
        <v>46059</v>
      </c>
      <c r="B210" s="97" t="str">
        <f>IFERROR(__xludf.DUMMYFUNCTION("""COMPUTED_VALUE"""),"2602D023")</f>
        <v>2602D023</v>
      </c>
      <c r="C210" s="76" t="str">
        <f>IFERROR(__xludf.DUMMYFUNCTION("""COMPUTED_VALUE"""),"Assyifa interior")</f>
        <v>Assyifa interior</v>
      </c>
      <c r="D210" s="99" t="str">
        <f>IFERROR(__xludf.DUMMYFUNCTION("""COMPUTED_VALUE"""),"082329459329")</f>
        <v>082329459329</v>
      </c>
      <c r="E210" s="25" t="str">
        <f>IFERROR(__xludf.DUMMYFUNCTION("""COMPUTED_VALUE"""),"Lainnya")</f>
        <v>Lainnya</v>
      </c>
      <c r="F210" s="25" t="str">
        <f>IFERROR(__xludf.DUMMYFUNCTION("""COMPUTED_VALUE"""),"Gagal")</f>
        <v>Gagal</v>
      </c>
      <c r="G210" s="15"/>
      <c r="H210" s="92"/>
      <c r="I210" s="80"/>
      <c r="J210" s="93"/>
      <c r="K210" s="19" t="str">
        <f>IFERROR(__xludf.DUMMYFUNCTION("""COMPUTED_VALUE"""),"tidak ada jawaban")</f>
        <v>tidak ada jawaban</v>
      </c>
      <c r="L210" s="19"/>
      <c r="M210" s="20"/>
      <c r="N210" s="20"/>
      <c r="O210" s="20"/>
      <c r="P210" s="20"/>
    </row>
    <row r="211">
      <c r="A211" s="110">
        <f>IFERROR(__xludf.DUMMYFUNCTION("""COMPUTED_VALUE"""),46059.0)</f>
        <v>46059</v>
      </c>
      <c r="B211" s="110" t="str">
        <f>IFERROR(__xludf.DUMMYFUNCTION("""COMPUTED_VALUE"""),"2602D024")</f>
        <v>2602D024</v>
      </c>
      <c r="C211" s="49" t="str">
        <f>IFERROR(__xludf.DUMMYFUNCTION("""COMPUTED_VALUE"""),"Elfiniama")</f>
        <v>Elfiniama</v>
      </c>
      <c r="D211" s="102" t="str">
        <f>IFERROR(__xludf.DUMMYFUNCTION("""COMPUTED_VALUE"""),"081332159872")</f>
        <v>081332159872</v>
      </c>
      <c r="E211" s="25" t="str">
        <f>IFERROR(__xludf.DUMMYFUNCTION("""COMPUTED_VALUE"""),"Website")</f>
        <v>Website</v>
      </c>
      <c r="F211" s="25" t="str">
        <f>IFERROR(__xludf.DUMMYFUNCTION("""COMPUTED_VALUE"""),"Qualified")</f>
        <v>Qualified</v>
      </c>
      <c r="G211" s="25" t="str">
        <f>IFERROR(__xludf.DUMMYFUNCTION("""COMPUTED_VALUE"""),"2H1M")</f>
        <v>2H1M</v>
      </c>
      <c r="H211" s="78"/>
      <c r="I211" s="89">
        <f>IFERROR(__xludf.DUMMYFUNCTION("""COMPUTED_VALUE"""),14.0)</f>
        <v>14</v>
      </c>
      <c r="J211" s="96">
        <f>IFERROR(__xludf.DUMMYFUNCTION("""COMPUTED_VALUE"""),1.54E7)</f>
        <v>15400000</v>
      </c>
      <c r="K211" s="36" t="str">
        <f>IFERROR(__xludf.DUMMYFUNCTION("""COMPUTED_VALUE"""),"sudah FU ga baless")</f>
        <v>sudah FU ga baless</v>
      </c>
      <c r="L211" s="81" t="str">
        <f>IFERROR(__xludf.DUMMYFUNCTION("""COMPUTED_VALUE"""),"https://docs.google.com/document/d/1g9qkJm1JWRZnNc8K9G-Uxdkk8x_mBdqBJzs5XfY_eDA/edit?tab=t.0")</f>
        <v>https://docs.google.com/document/d/1g9qkJm1JWRZnNc8K9G-Uxdkk8x_mBdqBJzs5XfY_eDA/edit?tab=t.0</v>
      </c>
      <c r="M211" s="20"/>
      <c r="N211" s="20"/>
      <c r="O211" s="20"/>
      <c r="P211" s="20"/>
    </row>
    <row r="212">
      <c r="A212" s="97">
        <f>IFERROR(__xludf.DUMMYFUNCTION("""COMPUTED_VALUE"""),46058.0)</f>
        <v>46058</v>
      </c>
      <c r="B212" s="97" t="str">
        <f>IFERROR(__xludf.DUMMYFUNCTION("""COMPUTED_VALUE"""),"2602D025")</f>
        <v>2602D025</v>
      </c>
      <c r="C212" s="76" t="str">
        <f>IFERROR(__xludf.DUMMYFUNCTION("""COMPUTED_VALUE"""),"Juwita Sari Soedarto")</f>
        <v>Juwita Sari Soedarto</v>
      </c>
      <c r="D212" s="99" t="str">
        <f>IFERROR(__xludf.DUMMYFUNCTION("""COMPUTED_VALUE"""),"089512027924")</f>
        <v>089512027924</v>
      </c>
      <c r="E212" s="25" t="str">
        <f>IFERROR(__xludf.DUMMYFUNCTION("""COMPUTED_VALUE"""),"Lainnya")</f>
        <v>Lainnya</v>
      </c>
      <c r="F212" s="25" t="str">
        <f>IFERROR(__xludf.DUMMYFUNCTION("""COMPUTED_VALUE"""),"Gagal")</f>
        <v>Gagal</v>
      </c>
      <c r="G212" s="15"/>
      <c r="H212" s="92"/>
      <c r="I212" s="80">
        <f>IFERROR(__xludf.DUMMYFUNCTION("""COMPUTED_VALUE"""),2.0)</f>
        <v>2</v>
      </c>
      <c r="J212" s="93"/>
      <c r="K212" s="19" t="str">
        <f>IFERROR(__xludf.DUMMYFUNCTION("""COMPUTED_VALUE"""),"cancelll")</f>
        <v>cancelll</v>
      </c>
      <c r="L212" s="88" t="str">
        <f>IFERROR(__xludf.DUMMYFUNCTION("""COMPUTED_VALUE"""),"https://docs.google.com/document/d/193S103462jSmdwdv_4XIc_MBhcjnQr12YoKfHNnAN9Q/edit?tab=t.0")</f>
        <v>https://docs.google.com/document/d/193S103462jSmdwdv_4XIc_MBhcjnQr12YoKfHNnAN9Q/edit?tab=t.0</v>
      </c>
      <c r="M212" s="20"/>
      <c r="N212" s="20"/>
      <c r="O212" s="20"/>
      <c r="P212" s="20"/>
    </row>
    <row r="213">
      <c r="A213" s="110">
        <f>IFERROR(__xludf.DUMMYFUNCTION("""COMPUTED_VALUE"""),46060.0)</f>
        <v>46060</v>
      </c>
      <c r="B213" s="110" t="str">
        <f>IFERROR(__xludf.DUMMYFUNCTION("""COMPUTED_VALUE"""),"2602D026")</f>
        <v>2602D026</v>
      </c>
      <c r="C213" s="49" t="str">
        <f>IFERROR(__xludf.DUMMYFUNCTION("""COMPUTED_VALUE"""),"Rini Pujiastuti")</f>
        <v>Rini Pujiastuti</v>
      </c>
      <c r="D213" s="102" t="str">
        <f>IFERROR(__xludf.DUMMYFUNCTION("""COMPUTED_VALUE"""),"08977709082")</f>
        <v>08977709082</v>
      </c>
      <c r="E213" s="25" t="str">
        <f>IFERROR(__xludf.DUMMYFUNCTION("""COMPUTED_VALUE"""),"Lainnya")</f>
        <v>Lainnya</v>
      </c>
      <c r="F213" s="25" t="str">
        <f>IFERROR(__xludf.DUMMYFUNCTION("""COMPUTED_VALUE"""),"Gagal")</f>
        <v>Gagal</v>
      </c>
      <c r="G213" s="15" t="str">
        <f>IFERROR(__xludf.DUMMYFUNCTION("""COMPUTED_VALUE"""),"OT")</f>
        <v>OT</v>
      </c>
      <c r="H213" s="26">
        <f>IFERROR(__xludf.DUMMYFUNCTION("""COMPUTED_VALUE"""),46104.0)</f>
        <v>46104</v>
      </c>
      <c r="I213" s="89">
        <f>IFERROR(__xludf.DUMMYFUNCTION("""COMPUTED_VALUE"""),1.0)</f>
        <v>1</v>
      </c>
      <c r="J213" s="33"/>
      <c r="K213" s="36" t="str">
        <f>IFERROR(__xludf.DUMMYFUNCTION("""COMPUTED_VALUE"""),"kehabisan tiket kereta")</f>
        <v>kehabisan tiket kereta</v>
      </c>
      <c r="L213" s="49"/>
      <c r="M213" s="20"/>
      <c r="N213" s="20"/>
      <c r="O213" s="20"/>
      <c r="P213" s="20"/>
    </row>
    <row r="214">
      <c r="A214" s="97">
        <f>IFERROR(__xludf.DUMMYFUNCTION("""COMPUTED_VALUE"""),46060.0)</f>
        <v>46060</v>
      </c>
      <c r="B214" s="97" t="str">
        <f>IFERROR(__xludf.DUMMYFUNCTION("""COMPUTED_VALUE"""),"2602D027")</f>
        <v>2602D027</v>
      </c>
      <c r="C214" s="76" t="str">
        <f>IFERROR(__xludf.DUMMYFUNCTION("""COMPUTED_VALUE"""),"PT Sonton Food Indonesia")</f>
        <v>PT Sonton Food Indonesia</v>
      </c>
      <c r="D214" s="99" t="str">
        <f>IFERROR(__xludf.DUMMYFUNCTION("""COMPUTED_VALUE"""),"081180101566")</f>
        <v>081180101566</v>
      </c>
      <c r="E214" s="25" t="str">
        <f>IFERROR(__xludf.DUMMYFUNCTION("""COMPUTED_VALUE"""),"Lainnya")</f>
        <v>Lainnya</v>
      </c>
      <c r="F214" s="25" t="str">
        <f>IFERROR(__xludf.DUMMYFUNCTION("""COMPUTED_VALUE"""),"Gagal")</f>
        <v>Gagal</v>
      </c>
      <c r="G214" s="15"/>
      <c r="H214" s="16"/>
      <c r="I214" s="17"/>
      <c r="J214" s="93"/>
      <c r="K214" s="19" t="str">
        <f>IFERROR(__xludf.DUMMYFUNCTION("""COMPUTED_VALUE"""),"tidak ada jawaban")</f>
        <v>tidak ada jawaban</v>
      </c>
      <c r="L214" s="76"/>
      <c r="M214" s="20"/>
      <c r="N214" s="20"/>
      <c r="O214" s="20"/>
      <c r="P214" s="20"/>
    </row>
    <row r="215">
      <c r="A215" s="110">
        <f>IFERROR(__xludf.DUMMYFUNCTION("""COMPUTED_VALUE"""),46061.0)</f>
        <v>46061</v>
      </c>
      <c r="B215" s="110" t="str">
        <f>IFERROR(__xludf.DUMMYFUNCTION("""COMPUTED_VALUE"""),"2602D028")</f>
        <v>2602D028</v>
      </c>
      <c r="C215" s="49" t="str">
        <f>IFERROR(__xludf.DUMMYFUNCTION("""COMPUTED_VALUE"""),"Herlina Intan")</f>
        <v>Herlina Intan</v>
      </c>
      <c r="D215" s="102" t="str">
        <f>IFERROR(__xludf.DUMMYFUNCTION("""COMPUTED_VALUE"""),"085828312909")</f>
        <v>085828312909</v>
      </c>
      <c r="E215" s="25" t="str">
        <f>IFERROR(__xludf.DUMMYFUNCTION("""COMPUTED_VALUE"""),"Lainnya")</f>
        <v>Lainnya</v>
      </c>
      <c r="F215" s="25" t="str">
        <f>IFERROR(__xludf.DUMMYFUNCTION("""COMPUTED_VALUE"""),"Gagal")</f>
        <v>Gagal</v>
      </c>
      <c r="G215" s="15" t="str">
        <f>IFERROR(__xludf.DUMMYFUNCTION("""COMPUTED_VALUE"""),"OT Menjangan Tabuhan")</f>
        <v>OT Menjangan Tabuhan</v>
      </c>
      <c r="H215" s="78"/>
      <c r="I215" s="89"/>
      <c r="J215" s="96"/>
      <c r="K215" s="36" t="str">
        <f>IFERROR(__xludf.DUMMYFUNCTION("""COMPUTED_VALUE"""),"tidak ada jawaban")</f>
        <v>tidak ada jawaban</v>
      </c>
      <c r="L215" s="49"/>
      <c r="M215" s="20"/>
      <c r="N215" s="20"/>
      <c r="O215" s="20"/>
      <c r="P215" s="20"/>
    </row>
    <row r="216">
      <c r="A216" s="97">
        <f>IFERROR(__xludf.DUMMYFUNCTION("""COMPUTED_VALUE"""),46061.0)</f>
        <v>46061</v>
      </c>
      <c r="B216" s="97" t="str">
        <f>IFERROR(__xludf.DUMMYFUNCTION("""COMPUTED_VALUE"""),"2602D029")</f>
        <v>2602D029</v>
      </c>
      <c r="C216" s="76" t="str">
        <f>IFERROR(__xludf.DUMMYFUNCTION("""COMPUTED_VALUE"""),"M Iqbal Kurniawan")</f>
        <v>M Iqbal Kurniawan</v>
      </c>
      <c r="D216" s="99" t="str">
        <f>IFERROR(__xludf.DUMMYFUNCTION("""COMPUTED_VALUE"""),"08155059830")</f>
        <v>08155059830</v>
      </c>
      <c r="E216" s="25" t="str">
        <f>IFERROR(__xludf.DUMMYFUNCTION("""COMPUTED_VALUE"""),"Website")</f>
        <v>Website</v>
      </c>
      <c r="F216" s="25" t="str">
        <f>IFERROR(__xludf.DUMMYFUNCTION("""COMPUTED_VALUE"""),"Gagal")</f>
        <v>Gagal</v>
      </c>
      <c r="G216" s="15"/>
      <c r="H216" s="92"/>
      <c r="I216" s="80"/>
      <c r="J216" s="93"/>
      <c r="K216" s="19" t="str">
        <f>IFERROR(__xludf.DUMMYFUNCTION("""COMPUTED_VALUE"""),"tidak ada jawaban")</f>
        <v>tidak ada jawaban</v>
      </c>
      <c r="L216" s="76"/>
      <c r="M216" s="20"/>
      <c r="N216" s="20"/>
      <c r="O216" s="20"/>
      <c r="P216" s="20"/>
    </row>
    <row r="217">
      <c r="A217" s="110">
        <f>IFERROR(__xludf.DUMMYFUNCTION("""COMPUTED_VALUE"""),46061.0)</f>
        <v>46061</v>
      </c>
      <c r="B217" s="110" t="str">
        <f>IFERROR(__xludf.DUMMYFUNCTION("""COMPUTED_VALUE"""),"2602D030")</f>
        <v>2602D030</v>
      </c>
      <c r="C217" s="49" t="str">
        <f>IFERROR(__xludf.DUMMYFUNCTION("""COMPUTED_VALUE"""),"Grace")</f>
        <v>Grace</v>
      </c>
      <c r="D217" s="102" t="str">
        <f>IFERROR(__xludf.DUMMYFUNCTION("""COMPUTED_VALUE"""),"085719171914")</f>
        <v>085719171914</v>
      </c>
      <c r="E217" s="25" t="str">
        <f>IFERROR(__xludf.DUMMYFUNCTION("""COMPUTED_VALUE"""),"Lainnya")</f>
        <v>Lainnya</v>
      </c>
      <c r="F217" s="25" t="str">
        <f>IFERROR(__xludf.DUMMYFUNCTION("""COMPUTED_VALUE"""),"Gagal")</f>
        <v>Gagal</v>
      </c>
      <c r="G217" s="25" t="str">
        <f>IFERROR(__xludf.DUMMYFUNCTION("""COMPUTED_VALUE"""),"OT 3H2M")</f>
        <v>OT 3H2M</v>
      </c>
      <c r="H217" s="78"/>
      <c r="I217" s="89">
        <f>IFERROR(__xludf.DUMMYFUNCTION("""COMPUTED_VALUE"""),6.0)</f>
        <v>6</v>
      </c>
      <c r="J217" s="96">
        <f>IFERROR(__xludf.DUMMYFUNCTION("""COMPUTED_VALUE"""),9600000.0)</f>
        <v>9600000</v>
      </c>
      <c r="K217" s="36" t="str">
        <f>IFERROR(__xludf.DUMMYFUNCTION("""COMPUTED_VALUE"""),"tidak ada jawaban")</f>
        <v>tidak ada jawaban</v>
      </c>
      <c r="L217" s="49"/>
      <c r="M217" s="20"/>
      <c r="N217" s="20"/>
      <c r="O217" s="20"/>
      <c r="P217" s="20"/>
    </row>
    <row r="218">
      <c r="A218" s="97">
        <f>IFERROR(__xludf.DUMMYFUNCTION("""COMPUTED_VALUE"""),46061.0)</f>
        <v>46061</v>
      </c>
      <c r="B218" s="97" t="str">
        <f>IFERROR(__xludf.DUMMYFUNCTION("""COMPUTED_VALUE"""),"2602D031")</f>
        <v>2602D031</v>
      </c>
      <c r="C218" s="76" t="str">
        <f>IFERROR(__xludf.DUMMYFUNCTION("""COMPUTED_VALUE"""),"Taqiyya")</f>
        <v>Taqiyya</v>
      </c>
      <c r="D218" s="99" t="str">
        <f>IFERROR(__xludf.DUMMYFUNCTION("""COMPUTED_VALUE"""),"0811200777270")</f>
        <v>0811200777270</v>
      </c>
      <c r="E218" s="25" t="str">
        <f>IFERROR(__xludf.DUMMYFUNCTION("""COMPUTED_VALUE"""),"Lainnya")</f>
        <v>Lainnya</v>
      </c>
      <c r="F218" s="25" t="str">
        <f>IFERROR(__xludf.DUMMYFUNCTION("""COMPUTED_VALUE"""),"Gagal")</f>
        <v>Gagal</v>
      </c>
      <c r="G218" s="15" t="str">
        <f>IFERROR(__xludf.DUMMYFUNCTION("""COMPUTED_VALUE"""),"OT 3H2M, green island")</f>
        <v>OT 3H2M, green island</v>
      </c>
      <c r="H218" s="16"/>
      <c r="I218" s="17">
        <f>IFERROR(__xludf.DUMMYFUNCTION("""COMPUTED_VALUE"""),2.0)</f>
        <v>2</v>
      </c>
      <c r="J218" s="54"/>
      <c r="K218" s="46" t="str">
        <f>IFERROR(__xludf.DUMMYFUNCTION("""COMPUTED_VALUE"""),"tidak ada jawaban, tanggal lewat")</f>
        <v>tidak ada jawaban, tanggal lewat</v>
      </c>
      <c r="L218" s="76"/>
      <c r="M218" s="20"/>
      <c r="N218" s="20"/>
      <c r="O218" s="20"/>
      <c r="P218" s="20"/>
    </row>
    <row r="219">
      <c r="A219" s="110">
        <f>IFERROR(__xludf.DUMMYFUNCTION("""COMPUTED_VALUE"""),46061.0)</f>
        <v>46061</v>
      </c>
      <c r="B219" s="110" t="str">
        <f>IFERROR(__xludf.DUMMYFUNCTION("""COMPUTED_VALUE"""),"2602D032")</f>
        <v>2602D032</v>
      </c>
      <c r="C219" s="49" t="str">
        <f>IFERROR(__xludf.DUMMYFUNCTION("""COMPUTED_VALUE"""),"Najwa Wafi")</f>
        <v>Najwa Wafi</v>
      </c>
      <c r="D219" s="102" t="str">
        <f>IFERROR(__xludf.DUMMYFUNCTION("""COMPUTED_VALUE"""),"081312340975")</f>
        <v>081312340975</v>
      </c>
      <c r="E219" s="25" t="str">
        <f>IFERROR(__xludf.DUMMYFUNCTION("""COMPUTED_VALUE"""),"Lainnya")</f>
        <v>Lainnya</v>
      </c>
      <c r="F219" s="25" t="str">
        <f>IFERROR(__xludf.DUMMYFUNCTION("""COMPUTED_VALUE"""),"Gagal")</f>
        <v>Gagal</v>
      </c>
      <c r="G219" s="15" t="str">
        <f>IFERROR(__xludf.DUMMYFUNCTION("""COMPUTED_VALUE"""),"OT 2 hari")</f>
        <v>OT 2 hari</v>
      </c>
      <c r="H219" s="78"/>
      <c r="I219" s="89">
        <f>IFERROR(__xludf.DUMMYFUNCTION("""COMPUTED_VALUE"""),4.0)</f>
        <v>4</v>
      </c>
      <c r="J219" s="96"/>
      <c r="K219" s="36" t="str">
        <f>IFERROR(__xludf.DUMMYFUNCTION("""COMPUTED_VALUE"""),"full booked")</f>
        <v>full booked</v>
      </c>
      <c r="L219" s="49"/>
      <c r="M219" s="20"/>
      <c r="N219" s="20"/>
      <c r="O219" s="20"/>
      <c r="P219" s="20"/>
    </row>
    <row r="220">
      <c r="A220" s="97">
        <f>IFERROR(__xludf.DUMMYFUNCTION("""COMPUTED_VALUE"""),46061.0)</f>
        <v>46061</v>
      </c>
      <c r="B220" s="97" t="str">
        <f>IFERROR(__xludf.DUMMYFUNCTION("""COMPUTED_VALUE"""),"2602D033")</f>
        <v>2602D033</v>
      </c>
      <c r="C220" s="76" t="str">
        <f>IFERROR(__xludf.DUMMYFUNCTION("""COMPUTED_VALUE"""),"HudaAdi")</f>
        <v>HudaAdi</v>
      </c>
      <c r="D220" s="99" t="str">
        <f>IFERROR(__xludf.DUMMYFUNCTION("""COMPUTED_VALUE"""),"087837134619")</f>
        <v>087837134619</v>
      </c>
      <c r="E220" s="25" t="str">
        <f>IFERROR(__xludf.DUMMYFUNCTION("""COMPUTED_VALUE"""),"Lainnya")</f>
        <v>Lainnya</v>
      </c>
      <c r="F220" s="25" t="str">
        <f>IFERROR(__xludf.DUMMYFUNCTION("""COMPUTED_VALUE"""),"Gagal")</f>
        <v>Gagal</v>
      </c>
      <c r="G220" s="15" t="str">
        <f>IFERROR(__xludf.DUMMYFUNCTION("""COMPUTED_VALUE"""),"3H2M")</f>
        <v>3H2M</v>
      </c>
      <c r="H220" s="92">
        <f>IFERROR(__xludf.DUMMYFUNCTION("""COMPUTED_VALUE"""),46121.0)</f>
        <v>46121</v>
      </c>
      <c r="I220" s="17">
        <f>IFERROR(__xludf.DUMMYFUNCTION("""COMPUTED_VALUE"""),100.0)</f>
        <v>100</v>
      </c>
      <c r="J220" s="93">
        <f>IFERROR(__xludf.DUMMYFUNCTION("""COMPUTED_VALUE"""),2.5E8)</f>
        <v>250000000</v>
      </c>
      <c r="K220" s="19" t="str">
        <f>IFERROR(__xludf.DUMMYFUNCTION("""COMPUTED_VALUE"""),"gagal, di FU gapernah balesss")</f>
        <v>gagal, di FU gapernah balesss</v>
      </c>
      <c r="L220" s="88" t="str">
        <f>IFERROR(__xludf.DUMMYFUNCTION("""COMPUTED_VALUE"""),"https://docs.google.com/document/d/1ULP3xXceO9XbkcvmS1t6PgcCpXO9CkeL-6btEbJOAPI/edit?tab=t.0")</f>
        <v>https://docs.google.com/document/d/1ULP3xXceO9XbkcvmS1t6PgcCpXO9CkeL-6btEbJOAPI/edit?tab=t.0</v>
      </c>
      <c r="M220" s="20"/>
      <c r="N220" s="20"/>
      <c r="O220" s="20"/>
      <c r="P220" s="20"/>
    </row>
    <row r="221">
      <c r="A221" s="110">
        <f>IFERROR(__xludf.DUMMYFUNCTION("""COMPUTED_VALUE"""),46061.0)</f>
        <v>46061</v>
      </c>
      <c r="B221" s="110" t="str">
        <f>IFERROR(__xludf.DUMMYFUNCTION("""COMPUTED_VALUE"""),"2602D034")</f>
        <v>2602D034</v>
      </c>
      <c r="C221" s="49" t="str">
        <f>IFERROR(__xludf.DUMMYFUNCTION("""COMPUTED_VALUE"""),"RH.Ghany")</f>
        <v>RH.Ghany</v>
      </c>
      <c r="D221" s="102" t="str">
        <f>IFERROR(__xludf.DUMMYFUNCTION("""COMPUTED_VALUE"""),"081321845121")</f>
        <v>081321845121</v>
      </c>
      <c r="E221" s="25" t="str">
        <f>IFERROR(__xludf.DUMMYFUNCTION("""COMPUTED_VALUE"""),"Lainnya")</f>
        <v>Lainnya</v>
      </c>
      <c r="F221" s="25" t="str">
        <f>IFERROR(__xludf.DUMMYFUNCTION("""COMPUTED_VALUE"""),"Gagal")</f>
        <v>Gagal</v>
      </c>
      <c r="G221" s="25" t="str">
        <f>IFERROR(__xludf.DUMMYFUNCTION("""COMPUTED_VALUE"""),"MT")</f>
        <v>MT</v>
      </c>
      <c r="H221" s="26"/>
      <c r="I221" s="89">
        <f>IFERROR(__xludf.DUMMYFUNCTION("""COMPUTED_VALUE"""),3.0)</f>
        <v>3</v>
      </c>
      <c r="J221" s="33"/>
      <c r="K221" s="36" t="str">
        <f>IFERROR(__xludf.DUMMYFUNCTION("""COMPUTED_VALUE"""),"tanya tanya")</f>
        <v>tanya tanya</v>
      </c>
      <c r="L221" s="49"/>
      <c r="M221" s="20"/>
      <c r="N221" s="20"/>
      <c r="O221" s="20"/>
      <c r="P221" s="20"/>
    </row>
    <row r="222">
      <c r="A222" s="97">
        <f>IFERROR(__xludf.DUMMYFUNCTION("""COMPUTED_VALUE"""),46062.0)</f>
        <v>46062</v>
      </c>
      <c r="B222" s="97" t="str">
        <f>IFERROR(__xludf.DUMMYFUNCTION("""COMPUTED_VALUE"""),"2602D035")</f>
        <v>2602D035</v>
      </c>
      <c r="C222" s="76" t="str">
        <f>IFERROR(__xludf.DUMMYFUNCTION("""COMPUTED_VALUE"""),"Risda")</f>
        <v>Risda</v>
      </c>
      <c r="D222" s="99" t="str">
        <f>IFERROR(__xludf.DUMMYFUNCTION("""COMPUTED_VALUE"""),"08895370735")</f>
        <v>08895370735</v>
      </c>
      <c r="E222" s="25" t="str">
        <f>IFERROR(__xludf.DUMMYFUNCTION("""COMPUTED_VALUE"""),"Website")</f>
        <v>Website</v>
      </c>
      <c r="F222" s="25" t="str">
        <f>IFERROR(__xludf.DUMMYFUNCTION("""COMPUTED_VALUE"""),"Gagal")</f>
        <v>Gagal</v>
      </c>
      <c r="G222" s="25" t="str">
        <f>IFERROR(__xludf.DUMMYFUNCTION("""COMPUTED_VALUE"""),"OT")</f>
        <v>OT</v>
      </c>
      <c r="H222" s="16"/>
      <c r="I222" s="89">
        <f>IFERROR(__xludf.DUMMYFUNCTION("""COMPUTED_VALUE"""),1.0)</f>
        <v>1</v>
      </c>
      <c r="J222" s="93"/>
      <c r="K222" s="19" t="str">
        <f>IFERROR(__xludf.DUMMYFUNCTION("""COMPUTED_VALUE"""),"belum ada barengan")</f>
        <v>belum ada barengan</v>
      </c>
      <c r="L222" s="76"/>
      <c r="M222" s="20"/>
      <c r="N222" s="20"/>
      <c r="O222" s="20"/>
      <c r="P222" s="20"/>
    </row>
    <row r="223">
      <c r="A223" s="110">
        <f>IFERROR(__xludf.DUMMYFUNCTION("""COMPUTED_VALUE"""),46062.0)</f>
        <v>46062</v>
      </c>
      <c r="B223" s="110" t="str">
        <f>IFERROR(__xludf.DUMMYFUNCTION("""COMPUTED_VALUE"""),"2602D036")</f>
        <v>2602D036</v>
      </c>
      <c r="C223" s="49" t="str">
        <f>IFERROR(__xludf.DUMMYFUNCTION("""COMPUTED_VALUE"""),"Nasron")</f>
        <v>Nasron</v>
      </c>
      <c r="D223" s="102" t="str">
        <f>IFERROR(__xludf.DUMMYFUNCTION("""COMPUTED_VALUE"""),"08980693688")</f>
        <v>08980693688</v>
      </c>
      <c r="E223" s="25" t="str">
        <f>IFERROR(__xludf.DUMMYFUNCTION("""COMPUTED_VALUE"""),"Instagram")</f>
        <v>Instagram</v>
      </c>
      <c r="F223" s="25" t="str">
        <f>IFERROR(__xludf.DUMMYFUNCTION("""COMPUTED_VALUE"""),"Gagal")</f>
        <v>Gagal</v>
      </c>
      <c r="G223" s="15" t="str">
        <f>IFERROR(__xludf.DUMMYFUNCTION("""COMPUTED_VALUE"""),"2D1N opsi B")</f>
        <v>2D1N opsi B</v>
      </c>
      <c r="H223" s="26">
        <f>IFERROR(__xludf.DUMMYFUNCTION("""COMPUTED_VALUE"""),46119.0)</f>
        <v>46119</v>
      </c>
      <c r="I223" s="27">
        <f>IFERROR(__xludf.DUMMYFUNCTION("""COMPUTED_VALUE"""),2.0)</f>
        <v>2</v>
      </c>
      <c r="J223" s="33">
        <f>IFERROR(__xludf.DUMMYFUNCTION("""COMPUTED_VALUE"""),4120000.0)</f>
        <v>4120000</v>
      </c>
      <c r="K223" s="36" t="str">
        <f>IFERROR(__xludf.DUMMYFUNCTION("""COMPUTED_VALUE"""),"ganti destinasi serta waktu")</f>
        <v>ganti destinasi serta waktu</v>
      </c>
      <c r="L223" s="81" t="str">
        <f>IFERROR(__xludf.DUMMYFUNCTION("""COMPUTED_VALUE"""),"https://docs.google.com/document/d/1hYch31oVZJmoh4-CBxkGhZhr0lg3Nv2GLiazRoyUDZc/edit?tab=t.0")</f>
        <v>https://docs.google.com/document/d/1hYch31oVZJmoh4-CBxkGhZhr0lg3Nv2GLiazRoyUDZc/edit?tab=t.0</v>
      </c>
      <c r="M223" s="20"/>
      <c r="N223" s="20"/>
      <c r="O223" s="20"/>
      <c r="P223" s="20"/>
    </row>
    <row r="224">
      <c r="A224" s="97">
        <f>IFERROR(__xludf.DUMMYFUNCTION("""COMPUTED_VALUE"""),46062.0)</f>
        <v>46062</v>
      </c>
      <c r="B224" s="97" t="str">
        <f>IFERROR(__xludf.DUMMYFUNCTION("""COMPUTED_VALUE"""),"2602D037")</f>
        <v>2602D037</v>
      </c>
      <c r="C224" s="76" t="str">
        <f>IFERROR(__xludf.DUMMYFUNCTION("""COMPUTED_VALUE"""),"laili")</f>
        <v>laili</v>
      </c>
      <c r="D224" s="99" t="str">
        <f>IFERROR(__xludf.DUMMYFUNCTION("""COMPUTED_VALUE"""),"085707952271")</f>
        <v>085707952271</v>
      </c>
      <c r="E224" s="25" t="str">
        <f>IFERROR(__xludf.DUMMYFUNCTION("""COMPUTED_VALUE"""),"Lainnya")</f>
        <v>Lainnya</v>
      </c>
      <c r="F224" s="25" t="str">
        <f>IFERROR(__xludf.DUMMYFUNCTION("""COMPUTED_VALUE"""),"Gagal")</f>
        <v>Gagal</v>
      </c>
      <c r="G224" s="25" t="str">
        <f>IFERROR(__xludf.DUMMYFUNCTION("""COMPUTED_VALUE"""),"trip ijen")</f>
        <v>trip ijen</v>
      </c>
      <c r="H224" s="16"/>
      <c r="I224" s="17"/>
      <c r="J224" s="54"/>
      <c r="K224" s="19" t="str">
        <f>IFERROR(__xludf.DUMMYFUNCTION("""COMPUTED_VALUE"""),"tidak ada jawaban")</f>
        <v>tidak ada jawaban</v>
      </c>
      <c r="L224" s="76"/>
      <c r="M224" s="20"/>
      <c r="N224" s="20"/>
      <c r="O224" s="20"/>
      <c r="P224" s="20"/>
    </row>
    <row r="225">
      <c r="A225" s="110">
        <f>IFERROR(__xludf.DUMMYFUNCTION("""COMPUTED_VALUE"""),46063.0)</f>
        <v>46063</v>
      </c>
      <c r="B225" s="110" t="str">
        <f>IFERROR(__xludf.DUMMYFUNCTION("""COMPUTED_VALUE"""),"2602D038")</f>
        <v>2602D038</v>
      </c>
      <c r="C225" s="49" t="str">
        <f>IFERROR(__xludf.DUMMYFUNCTION("""COMPUTED_VALUE"""),"evariyati")</f>
        <v>evariyati</v>
      </c>
      <c r="D225" s="102" t="str">
        <f>IFERROR(__xludf.DUMMYFUNCTION("""COMPUTED_VALUE"""),"081361638989")</f>
        <v>081361638989</v>
      </c>
      <c r="E225" s="25" t="str">
        <f>IFERROR(__xludf.DUMMYFUNCTION("""COMPUTED_VALUE"""),"Lainnya")</f>
        <v>Lainnya</v>
      </c>
      <c r="F225" s="25" t="str">
        <f>IFERROR(__xludf.DUMMYFUNCTION("""COMPUTED_VALUE"""),"Gagal")</f>
        <v>Gagal</v>
      </c>
      <c r="G225" s="25" t="str">
        <f>IFERROR(__xludf.DUMMYFUNCTION("""COMPUTED_VALUE"""),"1D Trip ijen")</f>
        <v>1D Trip ijen</v>
      </c>
      <c r="H225" s="26">
        <f>IFERROR(__xludf.DUMMYFUNCTION("""COMPUTED_VALUE"""),46069.0)</f>
        <v>46069</v>
      </c>
      <c r="I225" s="27">
        <f>IFERROR(__xludf.DUMMYFUNCTION("""COMPUTED_VALUE"""),7.0)</f>
        <v>7</v>
      </c>
      <c r="J225" s="33"/>
      <c r="K225" s="36" t="str">
        <f>IFERROR(__xludf.DUMMYFUNCTION("""COMPUTED_VALUE"""),"deal di trip bwi 2")</f>
        <v>deal di trip bwi 2</v>
      </c>
      <c r="L225" s="49"/>
      <c r="M225" s="20"/>
      <c r="N225" s="20"/>
      <c r="O225" s="20"/>
      <c r="P225" s="20"/>
    </row>
    <row r="226">
      <c r="A226" s="97">
        <f>IFERROR(__xludf.DUMMYFUNCTION("""COMPUTED_VALUE"""),46063.0)</f>
        <v>46063</v>
      </c>
      <c r="B226" s="97" t="str">
        <f>IFERROR(__xludf.DUMMYFUNCTION("""COMPUTED_VALUE"""),"2602D039")</f>
        <v>2602D039</v>
      </c>
      <c r="C226" s="76" t="str">
        <f>IFERROR(__xludf.DUMMYFUNCTION("""COMPUTED_VALUE"""),"Diana")</f>
        <v>Diana</v>
      </c>
      <c r="D226" s="99" t="str">
        <f>IFERROR(__xludf.DUMMYFUNCTION("""COMPUTED_VALUE"""),"08159150518")</f>
        <v>08159150518</v>
      </c>
      <c r="E226" s="25" t="str">
        <f>IFERROR(__xludf.DUMMYFUNCTION("""COMPUTED_VALUE"""),"Website")</f>
        <v>Website</v>
      </c>
      <c r="F226" s="25" t="str">
        <f>IFERROR(__xludf.DUMMYFUNCTION("""COMPUTED_VALUE"""),"Review")</f>
        <v>Review</v>
      </c>
      <c r="G226" s="15" t="str">
        <f>IFERROR(__xludf.DUMMYFUNCTION("""COMPUTED_VALUE"""),"2H1M")</f>
        <v>2H1M</v>
      </c>
      <c r="H226" s="92"/>
      <c r="I226" s="17">
        <f>IFERROR(__xludf.DUMMYFUNCTION("""COMPUTED_VALUE"""),2.0)</f>
        <v>2</v>
      </c>
      <c r="J226" s="93">
        <f>IFERROR(__xludf.DUMMYFUNCTION("""COMPUTED_VALUE"""),3000000.0)</f>
        <v>3000000</v>
      </c>
      <c r="K226" s="19" t="str">
        <f>IFERROR(__xludf.DUMMYFUNCTION("""COMPUTED_VALUE"""),"tanya tanya")</f>
        <v>tanya tanya</v>
      </c>
      <c r="L226" s="76"/>
      <c r="M226" s="20"/>
      <c r="N226" s="20"/>
      <c r="O226" s="20"/>
      <c r="P226" s="20"/>
    </row>
    <row r="227">
      <c r="A227" s="110">
        <f>IFERROR(__xludf.DUMMYFUNCTION("""COMPUTED_VALUE"""),46062.0)</f>
        <v>46062</v>
      </c>
      <c r="B227" s="110" t="str">
        <f>IFERROR(__xludf.DUMMYFUNCTION("""COMPUTED_VALUE"""),"2602D040")</f>
        <v>2602D040</v>
      </c>
      <c r="C227" s="49" t="str">
        <f>IFERROR(__xludf.DUMMYFUNCTION("""COMPUTED_VALUE"""),"Kurniawan")</f>
        <v>Kurniawan</v>
      </c>
      <c r="D227" s="102" t="str">
        <f>IFERROR(__xludf.DUMMYFUNCTION("""COMPUTED_VALUE"""),"follow up Minggu tanggal 1 Maret")</f>
        <v>follow up Minggu tanggal 1 Maret</v>
      </c>
      <c r="E227" s="25" t="str">
        <f>IFERROR(__xludf.DUMMYFUNCTION("""COMPUTED_VALUE"""),"Lainnya")</f>
        <v>Lainnya</v>
      </c>
      <c r="F227" s="25" t="str">
        <f>IFERROR(__xludf.DUMMYFUNCTION("""COMPUTED_VALUE"""),"Closing")</f>
        <v>Closing</v>
      </c>
      <c r="G227" s="25" t="str">
        <f>IFERROR(__xludf.DUMMYFUNCTION("""COMPUTED_VALUE"""),"3H2M custom")</f>
        <v>3H2M custom</v>
      </c>
      <c r="H227" s="26"/>
      <c r="I227" s="27">
        <f>IFERROR(__xludf.DUMMYFUNCTION("""COMPUTED_VALUE"""),2.0)</f>
        <v>2</v>
      </c>
      <c r="J227" s="33">
        <f>IFERROR(__xludf.DUMMYFUNCTION("""COMPUTED_VALUE"""),2.175E7)</f>
        <v>21750000</v>
      </c>
      <c r="K227" s="36" t="str">
        <f>IFERROR(__xludf.DUMMYFUNCTION("""COMPUTED_VALUE"""),"orderrr")</f>
        <v>orderrr</v>
      </c>
      <c r="L227" s="81" t="str">
        <f>IFERROR(__xludf.DUMMYFUNCTION("""COMPUTED_VALUE"""),"https://docs.google.com/document/d/1ZCTQyOJEvY__WLUnORBdvw4VrWfQj4EKgywhv3O6mBw/edit?tab=t.0")</f>
        <v>https://docs.google.com/document/d/1ZCTQyOJEvY__WLUnORBdvw4VrWfQj4EKgywhv3O6mBw/edit?tab=t.0</v>
      </c>
      <c r="M227" s="20"/>
      <c r="N227" s="20"/>
      <c r="O227" s="20"/>
      <c r="P227" s="20"/>
    </row>
    <row r="228">
      <c r="A228" s="97">
        <f>IFERROR(__xludf.DUMMYFUNCTION("""COMPUTED_VALUE"""),46063.0)</f>
        <v>46063</v>
      </c>
      <c r="B228" s="97" t="str">
        <f>IFERROR(__xludf.DUMMYFUNCTION("""COMPUTED_VALUE"""),"2602D041")</f>
        <v>2602D041</v>
      </c>
      <c r="C228" s="76" t="str">
        <f>IFERROR(__xludf.DUMMYFUNCTION("""COMPUTED_VALUE"""),"Bartosz")</f>
        <v>Bartosz</v>
      </c>
      <c r="D228" s="99" t="str">
        <f>IFERROR(__xludf.DUMMYFUNCTION("""COMPUTED_VALUE"""),"31631776084")</f>
        <v>31631776084</v>
      </c>
      <c r="E228" s="25" t="str">
        <f>IFERROR(__xludf.DUMMYFUNCTION("""COMPUTED_VALUE"""),"Lainnya")</f>
        <v>Lainnya</v>
      </c>
      <c r="F228" s="25" t="str">
        <f>IFERROR(__xludf.DUMMYFUNCTION("""COMPUTED_VALUE"""),"Gagal")</f>
        <v>Gagal</v>
      </c>
      <c r="G228" s="25" t="str">
        <f>IFERROR(__xludf.DUMMYFUNCTION("""COMPUTED_VALUE"""),"I,PM,B")</f>
        <v>I,PM,B</v>
      </c>
      <c r="H228" s="92">
        <f>IFERROR(__xludf.DUMMYFUNCTION("""COMPUTED_VALUE"""),46071.0)</f>
        <v>46071</v>
      </c>
      <c r="I228" s="80"/>
      <c r="J228" s="93"/>
      <c r="K228" s="19" t="str">
        <f>IFERROR(__xludf.DUMMYFUNCTION("""COMPUTED_VALUE"""),"follow up besok, tanggal 13")</f>
        <v>follow up besok, tanggal 13</v>
      </c>
      <c r="L228" s="76"/>
      <c r="M228" s="20"/>
      <c r="N228" s="20"/>
      <c r="O228" s="20"/>
      <c r="P228" s="20"/>
    </row>
    <row r="229">
      <c r="A229" s="110">
        <f>IFERROR(__xludf.DUMMYFUNCTION("""COMPUTED_VALUE"""),46064.0)</f>
        <v>46064</v>
      </c>
      <c r="B229" s="110" t="str">
        <f>IFERROR(__xludf.DUMMYFUNCTION("""COMPUTED_VALUE"""),"2602D042")</f>
        <v>2602D042</v>
      </c>
      <c r="C229" s="49" t="str">
        <f>IFERROR(__xludf.DUMMYFUNCTION("""COMPUTED_VALUE"""),"Shofaatin Mardiah")</f>
        <v>Shofaatin Mardiah</v>
      </c>
      <c r="D229" s="102" t="str">
        <f>IFERROR(__xludf.DUMMYFUNCTION("""COMPUTED_VALUE"""),"085851187800")</f>
        <v>085851187800</v>
      </c>
      <c r="E229" s="25" t="str">
        <f>IFERROR(__xludf.DUMMYFUNCTION("""COMPUTED_VALUE"""),"Lainnya")</f>
        <v>Lainnya</v>
      </c>
      <c r="F229" s="25" t="str">
        <f>IFERROR(__xludf.DUMMYFUNCTION("""COMPUTED_VALUE"""),"Closing")</f>
        <v>Closing</v>
      </c>
      <c r="G229" s="25" t="str">
        <f>IFERROR(__xludf.DUMMYFUNCTION("""COMPUTED_VALUE"""),"D,B")</f>
        <v>D,B</v>
      </c>
      <c r="H229" s="78">
        <f>IFERROR(__xludf.DUMMYFUNCTION("""COMPUTED_VALUE"""),46068.0)</f>
        <v>46068</v>
      </c>
      <c r="I229" s="27">
        <f>IFERROR(__xludf.DUMMYFUNCTION("""COMPUTED_VALUE"""),3.0)</f>
        <v>3</v>
      </c>
      <c r="J229" s="33">
        <f>IFERROR(__xludf.DUMMYFUNCTION("""COMPUTED_VALUE"""),1875000.0)</f>
        <v>1875000</v>
      </c>
      <c r="K229" s="36" t="str">
        <f>IFERROR(__xludf.DUMMYFUNCTION("""COMPUTED_VALUE"""),"privat trip ")</f>
        <v>privat trip </v>
      </c>
      <c r="L229" s="49"/>
      <c r="M229" s="20"/>
      <c r="N229" s="20"/>
      <c r="O229" s="20"/>
      <c r="P229" s="20"/>
    </row>
    <row r="230">
      <c r="A230" s="97">
        <f>IFERROR(__xludf.DUMMYFUNCTION("""COMPUTED_VALUE"""),46064.0)</f>
        <v>46064</v>
      </c>
      <c r="B230" s="97" t="str">
        <f>IFERROR(__xludf.DUMMYFUNCTION("""COMPUTED_VALUE"""),"2602D043")</f>
        <v>2602D043</v>
      </c>
      <c r="C230" s="76" t="str">
        <f>IFERROR(__xludf.DUMMYFUNCTION("""COMPUTED_VALUE"""),"Evi Rinawati")</f>
        <v>Evi Rinawati</v>
      </c>
      <c r="D230" s="99" t="str">
        <f>IFERROR(__xludf.DUMMYFUNCTION("""COMPUTED_VALUE"""),"082123333559")</f>
        <v>082123333559</v>
      </c>
      <c r="E230" s="25" t="str">
        <f>IFERROR(__xludf.DUMMYFUNCTION("""COMPUTED_VALUE"""),"Lainnya")</f>
        <v>Lainnya</v>
      </c>
      <c r="F230" s="25" t="str">
        <f>IFERROR(__xludf.DUMMYFUNCTION("""COMPUTED_VALUE"""),"Gagal")</f>
        <v>Gagal</v>
      </c>
      <c r="G230" s="15" t="str">
        <f>IFERROR(__xludf.DUMMYFUNCTION("""COMPUTED_VALUE"""),"trip ijen")</f>
        <v>trip ijen</v>
      </c>
      <c r="H230" s="92">
        <f>IFERROR(__xludf.DUMMYFUNCTION("""COMPUTED_VALUE"""),46067.0)</f>
        <v>46067</v>
      </c>
      <c r="I230" s="17">
        <f>IFERROR(__xludf.DUMMYFUNCTION("""COMPUTED_VALUE"""),3.0)</f>
        <v>3</v>
      </c>
      <c r="J230" s="93"/>
      <c r="K230" s="19" t="str">
        <f>IFERROR(__xludf.DUMMYFUNCTION("""COMPUTED_VALUE"""),"ingin lihat blue fire, tp tidak ada")</f>
        <v>ingin lihat blue fire, tp tidak ada</v>
      </c>
      <c r="L230" s="76"/>
      <c r="M230" s="20"/>
      <c r="N230" s="20"/>
      <c r="O230" s="20"/>
      <c r="P230" s="20"/>
    </row>
    <row r="231">
      <c r="A231" s="110">
        <f>IFERROR(__xludf.DUMMYFUNCTION("""COMPUTED_VALUE"""),46064.0)</f>
        <v>46064</v>
      </c>
      <c r="B231" s="110" t="str">
        <f>IFERROR(__xludf.DUMMYFUNCTION("""COMPUTED_VALUE"""),"2602D044")</f>
        <v>2602D044</v>
      </c>
      <c r="C231" s="49" t="str">
        <f>IFERROR(__xludf.DUMMYFUNCTION("""COMPUTED_VALUE"""),"haf")</f>
        <v>haf</v>
      </c>
      <c r="D231" s="102" t="str">
        <f>IFERROR(__xludf.DUMMYFUNCTION("""COMPUTED_VALUE"""),"085158139908")</f>
        <v>085158139908</v>
      </c>
      <c r="E231" s="25" t="str">
        <f>IFERROR(__xludf.DUMMYFUNCTION("""COMPUTED_VALUE"""),"Lainnya")</f>
        <v>Lainnya</v>
      </c>
      <c r="F231" s="25" t="str">
        <f>IFERROR(__xludf.DUMMYFUNCTION("""COMPUTED_VALUE"""),"Gagal")</f>
        <v>Gagal</v>
      </c>
      <c r="G231" s="15" t="str">
        <f>IFERROR(__xludf.DUMMYFUNCTION("""COMPUTED_VALUE"""),"trip MT")</f>
        <v>trip MT</v>
      </c>
      <c r="H231" s="26"/>
      <c r="I231" s="27">
        <f>IFERROR(__xludf.DUMMYFUNCTION("""COMPUTED_VALUE"""),3.0)</f>
        <v>3</v>
      </c>
      <c r="J231" s="33">
        <f>IFERROR(__xludf.DUMMYFUNCTION("""COMPUTED_VALUE"""),2379000.0)</f>
        <v>2379000</v>
      </c>
      <c r="K231" s="36" t="str">
        <f>IFERROR(__xludf.DUMMYFUNCTION("""COMPUTED_VALUE"""),"tidak ada jawaban, sdh fu 5x")</f>
        <v>tidak ada jawaban, sdh fu 5x</v>
      </c>
      <c r="L231" s="49"/>
      <c r="M231" s="20"/>
      <c r="N231" s="20"/>
      <c r="O231" s="20"/>
      <c r="P231" s="20"/>
    </row>
    <row r="232">
      <c r="A232" s="97">
        <f>IFERROR(__xludf.DUMMYFUNCTION("""COMPUTED_VALUE"""),46065.0)</f>
        <v>46065</v>
      </c>
      <c r="B232" s="97" t="str">
        <f>IFERROR(__xludf.DUMMYFUNCTION("""COMPUTED_VALUE"""),"2602D045")</f>
        <v>2602D045</v>
      </c>
      <c r="C232" s="76" t="str">
        <f>IFERROR(__xludf.DUMMYFUNCTION("""COMPUTED_VALUE"""),"Dian Rahmawati")</f>
        <v>Dian Rahmawati</v>
      </c>
      <c r="D232" s="99" t="str">
        <f>IFERROR(__xludf.DUMMYFUNCTION("""COMPUTED_VALUE"""),"095814982390")</f>
        <v>095814982390</v>
      </c>
      <c r="E232" s="25" t="str">
        <f>IFERROR(__xludf.DUMMYFUNCTION("""COMPUTED_VALUE"""),"Website")</f>
        <v>Website</v>
      </c>
      <c r="F232" s="25" t="str">
        <f>IFERROR(__xludf.DUMMYFUNCTION("""COMPUTED_VALUE"""),"Closing")</f>
        <v>Closing</v>
      </c>
      <c r="G232" s="15" t="str">
        <f>IFERROR(__xludf.DUMMYFUNCTION("""COMPUTED_VALUE"""),"3H2M")</f>
        <v>3H2M</v>
      </c>
      <c r="H232" s="16"/>
      <c r="I232" s="17">
        <f>IFERROR(__xludf.DUMMYFUNCTION("""COMPUTED_VALUE"""),4.0)</f>
        <v>4</v>
      </c>
      <c r="J232" s="54">
        <f>IFERROR(__xludf.DUMMYFUNCTION("""COMPUTED_VALUE"""),6942000.0)</f>
        <v>6942000</v>
      </c>
      <c r="K232" s="19" t="str">
        <f>IFERROR(__xludf.DUMMYFUNCTION("""COMPUTED_VALUE"""),"udh order")</f>
        <v>udh order</v>
      </c>
      <c r="L232" s="76"/>
      <c r="M232" s="20"/>
      <c r="N232" s="20"/>
      <c r="O232" s="20"/>
      <c r="P232" s="20"/>
    </row>
    <row r="233">
      <c r="A233" s="110">
        <f>IFERROR(__xludf.DUMMYFUNCTION("""COMPUTED_VALUE"""),46065.0)</f>
        <v>46065</v>
      </c>
      <c r="B233" s="110" t="str">
        <f>IFERROR(__xludf.DUMMYFUNCTION("""COMPUTED_VALUE"""),"2602D046")</f>
        <v>2602D046</v>
      </c>
      <c r="C233" s="49" t="str">
        <f>IFERROR(__xludf.DUMMYFUNCTION("""COMPUTED_VALUE"""),"Andriono Dermawan")</f>
        <v>Andriono Dermawan</v>
      </c>
      <c r="D233" s="102" t="str">
        <f>IFERROR(__xludf.DUMMYFUNCTION("""COMPUTED_VALUE"""),"081335176528")</f>
        <v>081335176528</v>
      </c>
      <c r="E233" s="25" t="str">
        <f>IFERROR(__xludf.DUMMYFUNCTION("""COMPUTED_VALUE"""),"Lainnya")</f>
        <v>Lainnya</v>
      </c>
      <c r="F233" s="25" t="str">
        <f>IFERROR(__xludf.DUMMYFUNCTION("""COMPUTED_VALUE"""),"Gagal")</f>
        <v>Gagal</v>
      </c>
      <c r="G233" s="15" t="str">
        <f>IFERROR(__xludf.DUMMYFUNCTION("""COMPUTED_VALUE"""),"1 day trip")</f>
        <v>1 day trip</v>
      </c>
      <c r="H233" s="78"/>
      <c r="I233" s="89"/>
      <c r="J233" s="96"/>
      <c r="K233" s="36" t="str">
        <f>IFERROR(__xludf.DUMMYFUNCTION("""COMPUTED_VALUE"""),"cek katalog")</f>
        <v>cek katalog</v>
      </c>
      <c r="L233" s="49"/>
      <c r="M233" s="20"/>
      <c r="N233" s="20"/>
      <c r="O233" s="20"/>
      <c r="P233" s="20"/>
    </row>
    <row r="234">
      <c r="A234" s="97">
        <f>IFERROR(__xludf.DUMMYFUNCTION("""COMPUTED_VALUE"""),46066.0)</f>
        <v>46066</v>
      </c>
      <c r="B234" s="97" t="str">
        <f>IFERROR(__xludf.DUMMYFUNCTION("""COMPUTED_VALUE"""),"2602D047")</f>
        <v>2602D047</v>
      </c>
      <c r="C234" s="76" t="str">
        <f>IFERROR(__xludf.DUMMYFUNCTION("""COMPUTED_VALUE"""),"Dewi")</f>
        <v>Dewi</v>
      </c>
      <c r="D234" s="99" t="str">
        <f>IFERROR(__xludf.DUMMYFUNCTION("""COMPUTED_VALUE"""),"08118403311")</f>
        <v>08118403311</v>
      </c>
      <c r="E234" s="25" t="str">
        <f>IFERROR(__xludf.DUMMYFUNCTION("""COMPUTED_VALUE"""),"Website")</f>
        <v>Website</v>
      </c>
      <c r="F234" s="25" t="str">
        <f>IFERROR(__xludf.DUMMYFUNCTION("""COMPUTED_VALUE"""),"Gagal")</f>
        <v>Gagal</v>
      </c>
      <c r="G234" s="25" t="str">
        <f>IFERROR(__xludf.DUMMYFUNCTION("""COMPUTED_VALUE"""),"Trip Ijen")</f>
        <v>Trip Ijen</v>
      </c>
      <c r="H234" s="92"/>
      <c r="I234" s="17">
        <f>IFERROR(__xludf.DUMMYFUNCTION("""COMPUTED_VALUE"""),5.0)</f>
        <v>5</v>
      </c>
      <c r="J234" s="93"/>
      <c r="K234" s="19" t="str">
        <f>IFERROR(__xludf.DUMMYFUNCTION("""COMPUTED_VALUE"""),"ga jadi, over budget")</f>
        <v>ga jadi, over budget</v>
      </c>
      <c r="L234" s="76"/>
      <c r="M234" s="20"/>
      <c r="N234" s="20"/>
      <c r="O234" s="20"/>
      <c r="P234" s="20"/>
    </row>
    <row r="235">
      <c r="A235" s="110">
        <f>IFERROR(__xludf.DUMMYFUNCTION("""COMPUTED_VALUE"""),46066.0)</f>
        <v>46066</v>
      </c>
      <c r="B235" s="110" t="str">
        <f>IFERROR(__xludf.DUMMYFUNCTION("""COMPUTED_VALUE"""),"2602D048")</f>
        <v>2602D048</v>
      </c>
      <c r="C235" s="49" t="str">
        <f>IFERROR(__xludf.DUMMYFUNCTION("""COMPUTED_VALUE"""),"12")</f>
        <v>12</v>
      </c>
      <c r="D235" s="102" t="str">
        <f>IFERROR(__xludf.DUMMYFUNCTION("""COMPUTED_VALUE"""),"082281836204")</f>
        <v>082281836204</v>
      </c>
      <c r="E235" s="25" t="str">
        <f>IFERROR(__xludf.DUMMYFUNCTION("""COMPUTED_VALUE"""),"Lainnya")</f>
        <v>Lainnya</v>
      </c>
      <c r="F235" s="25" t="str">
        <f>IFERROR(__xludf.DUMMYFUNCTION("""COMPUTED_VALUE"""),"Gagal")</f>
        <v>Gagal</v>
      </c>
      <c r="G235" s="15" t="str">
        <f>IFERROR(__xludf.DUMMYFUNCTION("""COMPUTED_VALUE"""),"3H2M")</f>
        <v>3H2M</v>
      </c>
      <c r="H235" s="78">
        <f>IFERROR(__xludf.DUMMYFUNCTION("""COMPUTED_VALUE"""),46104.0)</f>
        <v>46104</v>
      </c>
      <c r="I235" s="89"/>
      <c r="J235" s="96">
        <f>IFERROR(__xludf.DUMMYFUNCTION("""COMPUTED_VALUE"""),7080000.0)</f>
        <v>7080000</v>
      </c>
      <c r="K235" s="30" t="str">
        <f>IFERROR(__xludf.DUMMYFUNCTION("""COMPUTED_VALUE"""),"tidak ada jawaban")</f>
        <v>tidak ada jawaban</v>
      </c>
      <c r="L235" s="49"/>
      <c r="M235" s="20"/>
      <c r="N235" s="20"/>
      <c r="O235" s="20"/>
      <c r="P235" s="20"/>
    </row>
    <row r="236">
      <c r="A236" s="97">
        <f>IFERROR(__xludf.DUMMYFUNCTION("""COMPUTED_VALUE"""),46067.0)</f>
        <v>46067</v>
      </c>
      <c r="B236" s="97" t="str">
        <f>IFERROR(__xludf.DUMMYFUNCTION("""COMPUTED_VALUE"""),"2602D049")</f>
        <v>2602D049</v>
      </c>
      <c r="C236" s="76" t="str">
        <f>IFERROR(__xludf.DUMMYFUNCTION("""COMPUTED_VALUE"""),"Roza Amalia")</f>
        <v>Roza Amalia</v>
      </c>
      <c r="D236" s="99" t="str">
        <f>IFERROR(__xludf.DUMMYFUNCTION("""COMPUTED_VALUE"""),"085296900029")</f>
        <v>085296900029</v>
      </c>
      <c r="E236" s="25" t="str">
        <f>IFERROR(__xludf.DUMMYFUNCTION("""COMPUTED_VALUE"""),"Lainnya")</f>
        <v>Lainnya</v>
      </c>
      <c r="F236" s="25" t="str">
        <f>IFERROR(__xludf.DUMMYFUNCTION("""COMPUTED_VALUE"""),"Gagal")</f>
        <v>Gagal</v>
      </c>
      <c r="G236" s="15" t="str">
        <f>IFERROR(__xludf.DUMMYFUNCTION("""COMPUTED_VALUE"""),"trip baluran")</f>
        <v>trip baluran</v>
      </c>
      <c r="H236" s="16"/>
      <c r="I236" s="17"/>
      <c r="J236" s="54"/>
      <c r="K236" s="19" t="str">
        <f>IFERROR(__xludf.DUMMYFUNCTION("""COMPUTED_VALUE"""),"pakai trip sebelah")</f>
        <v>pakai trip sebelah</v>
      </c>
      <c r="L236" s="76"/>
      <c r="M236" s="20"/>
      <c r="N236" s="20"/>
      <c r="O236" s="20"/>
      <c r="P236" s="20"/>
    </row>
    <row r="237">
      <c r="A237" s="110">
        <f>IFERROR(__xludf.DUMMYFUNCTION("""COMPUTED_VALUE"""),46067.0)</f>
        <v>46067</v>
      </c>
      <c r="B237" s="110" t="str">
        <f>IFERROR(__xludf.DUMMYFUNCTION("""COMPUTED_VALUE"""),"2602D050")</f>
        <v>2602D050</v>
      </c>
      <c r="C237" s="49" t="str">
        <f>IFERROR(__xludf.DUMMYFUNCTION("""COMPUTED_VALUE"""),"Tripco Indonesia ")</f>
        <v>Tripco Indonesia </v>
      </c>
      <c r="D237" s="102" t="str">
        <f>IFERROR(__xludf.DUMMYFUNCTION("""COMPUTED_VALUE"""),"085156171784")</f>
        <v>085156171784</v>
      </c>
      <c r="E237" s="25" t="str">
        <f>IFERROR(__xludf.DUMMYFUNCTION("""COMPUTED_VALUE"""),"Lainnya")</f>
        <v>Lainnya</v>
      </c>
      <c r="F237" s="25" t="str">
        <f>IFERROR(__xludf.DUMMYFUNCTION("""COMPUTED_VALUE"""),"Prospek")</f>
        <v>Prospek</v>
      </c>
      <c r="G237" s="25" t="str">
        <f>IFERROR(__xludf.DUMMYFUNCTION("""COMPUTED_VALUE"""),"4H3M team building ")</f>
        <v>4H3M team building </v>
      </c>
      <c r="H237" s="78"/>
      <c r="I237" s="89">
        <f>IFERROR(__xludf.DUMMYFUNCTION("""COMPUTED_VALUE"""),45.0)</f>
        <v>45</v>
      </c>
      <c r="J237" s="96">
        <f>IFERROR(__xludf.DUMMYFUNCTION("""COMPUTED_VALUE"""),2.7E8)</f>
        <v>270000000</v>
      </c>
      <c r="K237" s="36" t="str">
        <f>IFERROR(__xludf.DUMMYFUNCTION("""COMPUTED_VALUE"""),"mereka ada opsi selain bwi, tunggu di hubungin kembali")</f>
        <v>mereka ada opsi selain bwi, tunggu di hubungin kembali</v>
      </c>
      <c r="L237" s="81" t="str">
        <f>IFERROR(__xludf.DUMMYFUNCTION("""COMPUTED_VALUE"""),"https://docs.google.com/document/d/1uXyLnw8hd1fBYCW7sxMp0YnsQncnUuG1a4gA-FGNX0Q/edit?tab=t.0")</f>
        <v>https://docs.google.com/document/d/1uXyLnw8hd1fBYCW7sxMp0YnsQncnUuG1a4gA-FGNX0Q/edit?tab=t.0</v>
      </c>
      <c r="M237" s="20"/>
      <c r="N237" s="20"/>
      <c r="O237" s="20"/>
      <c r="P237" s="20"/>
    </row>
    <row r="238">
      <c r="A238" s="97">
        <f>IFERROR(__xludf.DUMMYFUNCTION("""COMPUTED_VALUE"""),46067.0)</f>
        <v>46067</v>
      </c>
      <c r="B238" s="97" t="str">
        <f>IFERROR(__xludf.DUMMYFUNCTION("""COMPUTED_VALUE"""),"2602D051")</f>
        <v>2602D051</v>
      </c>
      <c r="C238" s="76" t="str">
        <f>IFERROR(__xludf.DUMMYFUNCTION("""COMPUTED_VALUE"""),"Ida Parwati Pramitha Sari")</f>
        <v>Ida Parwati Pramitha Sari</v>
      </c>
      <c r="D238" s="99" t="str">
        <f>IFERROR(__xludf.DUMMYFUNCTION("""COMPUTED_VALUE"""),"081316547366")</f>
        <v>081316547366</v>
      </c>
      <c r="E238" s="25" t="str">
        <f>IFERROR(__xludf.DUMMYFUNCTION("""COMPUTED_VALUE"""),"Lainnya")</f>
        <v>Lainnya</v>
      </c>
      <c r="F238" s="25" t="str">
        <f>IFERROR(__xludf.DUMMYFUNCTION("""COMPUTED_VALUE"""),"Gagal")</f>
        <v>Gagal</v>
      </c>
      <c r="G238" s="25" t="str">
        <f>IFERROR(__xludf.DUMMYFUNCTION("""COMPUTED_VALUE"""),"3H2M opsi B")</f>
        <v>3H2M opsi B</v>
      </c>
      <c r="H238" s="16">
        <f>IFERROR(__xludf.DUMMYFUNCTION("""COMPUTED_VALUE"""),46186.0)</f>
        <v>46186</v>
      </c>
      <c r="I238" s="17">
        <f>IFERROR(__xludf.DUMMYFUNCTION("""COMPUTED_VALUE"""),6.0)</f>
        <v>6</v>
      </c>
      <c r="J238" s="54">
        <f>IFERROR(__xludf.DUMMYFUNCTION("""COMPUTED_VALUE"""),1.2414E7)</f>
        <v>12414000</v>
      </c>
      <c r="K238" s="46" t="str">
        <f>IFERROR(__xludf.DUMMYFUNCTION("""COMPUTED_VALUE"""),"masih nunggu waktu liburan, nanti dikabarin lagi ")</f>
        <v>masih nunggu waktu liburan, nanti dikabarin lagi </v>
      </c>
      <c r="L238" s="88" t="str">
        <f>IFERROR(__xludf.DUMMYFUNCTION("""COMPUTED_VALUE"""),"https://docs.google.com/document/d/1gQe56bnjUvPXy6QNSr3cCJLYRhgE1qyx6vGTsEkwEsA/edit?tab=t.0")</f>
        <v>https://docs.google.com/document/d/1gQe56bnjUvPXy6QNSr3cCJLYRhgE1qyx6vGTsEkwEsA/edit?tab=t.0</v>
      </c>
      <c r="M238" s="20"/>
      <c r="N238" s="20"/>
      <c r="O238" s="20"/>
      <c r="P238" s="20"/>
    </row>
    <row r="239">
      <c r="A239" s="110">
        <f>IFERROR(__xludf.DUMMYFUNCTION("""COMPUTED_VALUE"""),46068.0)</f>
        <v>46068</v>
      </c>
      <c r="B239" s="110" t="str">
        <f>IFERROR(__xludf.DUMMYFUNCTION("""COMPUTED_VALUE"""),"2602D052")</f>
        <v>2602D052</v>
      </c>
      <c r="C239" s="49" t="str">
        <f>IFERROR(__xludf.DUMMYFUNCTION("""COMPUTED_VALUE"""),"Safana")</f>
        <v>Safana</v>
      </c>
      <c r="D239" s="102" t="str">
        <f>IFERROR(__xludf.DUMMYFUNCTION("""COMPUTED_VALUE"""),"087820051127")</f>
        <v>087820051127</v>
      </c>
      <c r="E239" s="25" t="str">
        <f>IFERROR(__xludf.DUMMYFUNCTION("""COMPUTED_VALUE"""),"Lainnya")</f>
        <v>Lainnya</v>
      </c>
      <c r="F239" s="25" t="str">
        <f>IFERROR(__xludf.DUMMYFUNCTION("""COMPUTED_VALUE"""),"Gagal")</f>
        <v>Gagal</v>
      </c>
      <c r="G239" s="25" t="str">
        <f>IFERROR(__xludf.DUMMYFUNCTION("""COMPUTED_VALUE"""),"one day TN Baluran")</f>
        <v>one day TN Baluran</v>
      </c>
      <c r="H239" s="78">
        <f>IFERROR(__xludf.DUMMYFUNCTION("""COMPUTED_VALUE"""),46068.0)</f>
        <v>46068</v>
      </c>
      <c r="I239" s="89">
        <f>IFERROR(__xludf.DUMMYFUNCTION("""COMPUTED_VALUE"""),3.0)</f>
        <v>3</v>
      </c>
      <c r="J239" s="96">
        <f>IFERROR(__xludf.DUMMYFUNCTION("""COMPUTED_VALUE"""),1674000.0)</f>
        <v>1674000</v>
      </c>
      <c r="K239" s="36" t="str">
        <f>IFERROR(__xludf.DUMMYFUNCTION("""COMPUTED_VALUE"""),"full booked")</f>
        <v>full booked</v>
      </c>
      <c r="L239" s="49"/>
      <c r="M239" s="20"/>
      <c r="N239" s="20"/>
      <c r="O239" s="20"/>
      <c r="P239" s="20"/>
    </row>
    <row r="240">
      <c r="A240" s="97">
        <f>IFERROR(__xludf.DUMMYFUNCTION("""COMPUTED_VALUE"""),46068.0)</f>
        <v>46068</v>
      </c>
      <c r="B240" s="97" t="str">
        <f>IFERROR(__xludf.DUMMYFUNCTION("""COMPUTED_VALUE"""),"2602D053")</f>
        <v>2602D053</v>
      </c>
      <c r="C240" s="76" t="str">
        <f>IFERROR(__xludf.DUMMYFUNCTION("""COMPUTED_VALUE"""),"Bumigora Holidays")</f>
        <v>Bumigora Holidays</v>
      </c>
      <c r="D240" s="99" t="str">
        <f>IFERROR(__xludf.DUMMYFUNCTION("""COMPUTED_VALUE"""),"085792960742")</f>
        <v>085792960742</v>
      </c>
      <c r="E240" s="25" t="str">
        <f>IFERROR(__xludf.DUMMYFUNCTION("""COMPUTED_VALUE"""),"Lainnya")</f>
        <v>Lainnya</v>
      </c>
      <c r="F240" s="25" t="str">
        <f>IFERROR(__xludf.DUMMYFUNCTION("""COMPUTED_VALUE"""),"Gagal")</f>
        <v>Gagal</v>
      </c>
      <c r="G240" s="25" t="str">
        <f>IFERROR(__xludf.DUMMYFUNCTION("""COMPUTED_VALUE"""),"one day trip")</f>
        <v>one day trip</v>
      </c>
      <c r="H240" s="92"/>
      <c r="I240" s="80"/>
      <c r="J240" s="93"/>
      <c r="K240" s="19" t="str">
        <f>IFERROR(__xludf.DUMMYFUNCTION("""COMPUTED_VALUE"""),"overbudget")</f>
        <v>overbudget</v>
      </c>
      <c r="L240" s="76"/>
      <c r="M240" s="20"/>
      <c r="N240" s="20"/>
      <c r="O240" s="20"/>
      <c r="P240" s="20"/>
    </row>
    <row r="241">
      <c r="A241" s="110">
        <f>IFERROR(__xludf.DUMMYFUNCTION("""COMPUTED_VALUE"""),46068.0)</f>
        <v>46068</v>
      </c>
      <c r="B241" s="110" t="str">
        <f>IFERROR(__xludf.DUMMYFUNCTION("""COMPUTED_VALUE"""),"2602D054")</f>
        <v>2602D054</v>
      </c>
      <c r="C241" s="49" t="str">
        <f>IFERROR(__xludf.DUMMYFUNCTION("""COMPUTED_VALUE"""),"M. Firhan Alifarichsa")</f>
        <v>M. Firhan Alifarichsa</v>
      </c>
      <c r="D241" s="102" t="str">
        <f>IFERROR(__xludf.DUMMYFUNCTION("""COMPUTED_VALUE"""),"08175111515")</f>
        <v>08175111515</v>
      </c>
      <c r="E241" s="25" t="str">
        <f>IFERROR(__xludf.DUMMYFUNCTION("""COMPUTED_VALUE"""),"Tiktok")</f>
        <v>Tiktok</v>
      </c>
      <c r="F241" s="25" t="str">
        <f>IFERROR(__xludf.DUMMYFUNCTION("""COMPUTED_VALUE"""),"Review")</f>
        <v>Review</v>
      </c>
      <c r="G241" s="25" t="str">
        <f>IFERROR(__xludf.DUMMYFUNCTION("""COMPUTED_VALUE"""),"one day trip")</f>
        <v>one day trip</v>
      </c>
      <c r="H241" s="78">
        <f>IFERROR(__xludf.DUMMYFUNCTION("""COMPUTED_VALUE"""),46069.0)</f>
        <v>46069</v>
      </c>
      <c r="I241" s="89"/>
      <c r="J241" s="96">
        <f>IFERROR(__xludf.DUMMYFUNCTION("""COMPUTED_VALUE"""),2075000.0)</f>
        <v>2075000</v>
      </c>
      <c r="K241" s="36" t="str">
        <f>IFERROR(__xludf.DUMMYFUNCTION("""COMPUTED_VALUE"""),"diskus dengan keluarga")</f>
        <v>diskus dengan keluarga</v>
      </c>
      <c r="L241" s="49"/>
      <c r="M241" s="20"/>
      <c r="N241" s="20"/>
      <c r="O241" s="20"/>
      <c r="P241" s="20"/>
    </row>
    <row r="242">
      <c r="A242" s="97">
        <f>IFERROR(__xludf.DUMMYFUNCTION("""COMPUTED_VALUE"""),46068.0)</f>
        <v>46068</v>
      </c>
      <c r="B242" s="97" t="str">
        <f>IFERROR(__xludf.DUMMYFUNCTION("""COMPUTED_VALUE"""),"2602D055")</f>
        <v>2602D055</v>
      </c>
      <c r="C242" s="76" t="str">
        <f>IFERROR(__xludf.DUMMYFUNCTION("""COMPUTED_VALUE"""),"Dea")</f>
        <v>Dea</v>
      </c>
      <c r="D242" s="99" t="str">
        <f>IFERROR(__xludf.DUMMYFUNCTION("""COMPUTED_VALUE"""),"081343483155")</f>
        <v>081343483155</v>
      </c>
      <c r="E242" s="25" t="str">
        <f>IFERROR(__xludf.DUMMYFUNCTION("""COMPUTED_VALUE"""),"Tiktok")</f>
        <v>Tiktok</v>
      </c>
      <c r="F242" s="25" t="str">
        <f>IFERROR(__xludf.DUMMYFUNCTION("""COMPUTED_VALUE"""),"Gagal")</f>
        <v>Gagal</v>
      </c>
      <c r="G242" s="15" t="str">
        <f>IFERROR(__xludf.DUMMYFUNCTION("""COMPUTED_VALUE"""),"Paket Trip Pulau bedil + Trip Kawah Ijen")</f>
        <v>Paket Trip Pulau bedil + Trip Kawah Ijen</v>
      </c>
      <c r="H242" s="92"/>
      <c r="I242" s="80">
        <f>IFERROR(__xludf.DUMMYFUNCTION("""COMPUTED_VALUE"""),2.0)</f>
        <v>2</v>
      </c>
      <c r="J242" s="93"/>
      <c r="K242" s="19" t="str">
        <f>IFERROR(__xludf.DUMMYFUNCTION("""COMPUTED_VALUE"""),"tidak ada jawaban, sdh lbh 5 kali FU")</f>
        <v>tidak ada jawaban, sdh lbh 5 kali FU</v>
      </c>
      <c r="L242" s="88" t="str">
        <f>IFERROR(__xludf.DUMMYFUNCTION("""COMPUTED_VALUE"""),"https://docs.google.com/document/d/1hvzIgUvJAOrhbzA6qN6tff__xq1WlQHHFPzpfbV3cN4/edit?tab=t.0")</f>
        <v>https://docs.google.com/document/d/1hvzIgUvJAOrhbzA6qN6tff__xq1WlQHHFPzpfbV3cN4/edit?tab=t.0</v>
      </c>
      <c r="M242" s="20"/>
      <c r="N242" s="20"/>
      <c r="O242" s="20"/>
      <c r="P242" s="20"/>
    </row>
    <row r="243">
      <c r="A243" s="110">
        <f>IFERROR(__xludf.DUMMYFUNCTION("""COMPUTED_VALUE"""),46068.0)</f>
        <v>46068</v>
      </c>
      <c r="B243" s="110" t="str">
        <f>IFERROR(__xludf.DUMMYFUNCTION("""COMPUTED_VALUE"""),"2602D056")</f>
        <v>2602D056</v>
      </c>
      <c r="C243" s="49" t="str">
        <f>IFERROR(__xludf.DUMMYFUNCTION("""COMPUTED_VALUE"""),"Retno Wulandari ")</f>
        <v>Retno Wulandari </v>
      </c>
      <c r="D243" s="102" t="str">
        <f>IFERROR(__xludf.DUMMYFUNCTION("""COMPUTED_VALUE"""),"082140799946")</f>
        <v>082140799946</v>
      </c>
      <c r="E243" s="25" t="str">
        <f>IFERROR(__xludf.DUMMYFUNCTION("""COMPUTED_VALUE"""),"Lainnya")</f>
        <v>Lainnya</v>
      </c>
      <c r="F243" s="25" t="str">
        <f>IFERROR(__xludf.DUMMYFUNCTION("""COMPUTED_VALUE"""),"Gagal")</f>
        <v>Gagal</v>
      </c>
      <c r="G243" s="25" t="str">
        <f>IFERROR(__xludf.DUMMYFUNCTION("""COMPUTED_VALUE"""),"2H1M opsi A")</f>
        <v>2H1M opsi A</v>
      </c>
      <c r="H243" s="78">
        <f>IFERROR(__xludf.DUMMYFUNCTION("""COMPUTED_VALUE"""),46069.0)</f>
        <v>46069</v>
      </c>
      <c r="I243" s="89">
        <f>IFERROR(__xludf.DUMMYFUNCTION("""COMPUTED_VALUE"""),3.0)</f>
        <v>3</v>
      </c>
      <c r="J243" s="96"/>
      <c r="K243" s="36" t="str">
        <f>IFERROR(__xludf.DUMMYFUNCTION("""COMPUTED_VALUE"""),"lain waktu")</f>
        <v>lain waktu</v>
      </c>
      <c r="L243" s="49"/>
      <c r="M243" s="20"/>
      <c r="N243" s="20"/>
      <c r="O243" s="20"/>
      <c r="P243" s="20"/>
    </row>
    <row r="244">
      <c r="A244" s="97">
        <f>IFERROR(__xludf.DUMMYFUNCTION("""COMPUTED_VALUE"""),46068.0)</f>
        <v>46068</v>
      </c>
      <c r="B244" s="97" t="str">
        <f>IFERROR(__xludf.DUMMYFUNCTION("""COMPUTED_VALUE"""),"2602D057")</f>
        <v>2602D057</v>
      </c>
      <c r="C244" s="76" t="str">
        <f>IFERROR(__xludf.DUMMYFUNCTION("""COMPUTED_VALUE"""),"Mei Fang ")</f>
        <v>Mei Fang </v>
      </c>
      <c r="D244" s="99" t="str">
        <f>IFERROR(__xludf.DUMMYFUNCTION("""COMPUTED_VALUE"""),"085863456898")</f>
        <v>085863456898</v>
      </c>
      <c r="E244" s="25" t="str">
        <f>IFERROR(__xludf.DUMMYFUNCTION("""COMPUTED_VALUE"""),"Lainnya")</f>
        <v>Lainnya</v>
      </c>
      <c r="F244" s="25" t="str">
        <f>IFERROR(__xludf.DUMMYFUNCTION("""COMPUTED_VALUE"""),"Gagal")</f>
        <v>Gagal</v>
      </c>
      <c r="G244" s="25" t="str">
        <f>IFERROR(__xludf.DUMMYFUNCTION("""COMPUTED_VALUE"""),"Ijen, Menjangan (3H2M, 4H3M)")</f>
        <v>Ijen, Menjangan (3H2M, 4H3M)</v>
      </c>
      <c r="H244" s="92">
        <f>IFERROR(__xludf.DUMMYFUNCTION("""COMPUTED_VALUE"""),46102.0)</f>
        <v>46102</v>
      </c>
      <c r="I244" s="80">
        <f>IFERROR(__xludf.DUMMYFUNCTION("""COMPUTED_VALUE"""),5.0)</f>
        <v>5</v>
      </c>
      <c r="J244" s="93"/>
      <c r="K244" s="19" t="str">
        <f>IFERROR(__xludf.DUMMYFUNCTION("""COMPUTED_VALUE"""),"tanggal belum sesuai, tidak jadi trip")</f>
        <v>tanggal belum sesuai, tidak jadi trip</v>
      </c>
      <c r="L244" s="88" t="str">
        <f>IFERROR(__xludf.DUMMYFUNCTION("""COMPUTED_VALUE"""),"https://docs.google.com/document/d/17apRlemu7Vh7yfjpbiq6AkcP3cRy5ZOXpXbpQQOIqPE/edit?tab=t.0")</f>
        <v>https://docs.google.com/document/d/17apRlemu7Vh7yfjpbiq6AkcP3cRy5ZOXpXbpQQOIqPE/edit?tab=t.0</v>
      </c>
      <c r="M244" s="20"/>
      <c r="N244" s="20"/>
      <c r="O244" s="20"/>
      <c r="P244" s="20"/>
    </row>
    <row r="245">
      <c r="A245" s="110">
        <f>IFERROR(__xludf.DUMMYFUNCTION("""COMPUTED_VALUE"""),46068.0)</f>
        <v>46068</v>
      </c>
      <c r="B245" s="110" t="str">
        <f>IFERROR(__xludf.DUMMYFUNCTION("""COMPUTED_VALUE"""),"2602D058")</f>
        <v>2602D058</v>
      </c>
      <c r="C245" s="49" t="str">
        <f>IFERROR(__xludf.DUMMYFUNCTION("""COMPUTED_VALUE"""),"Hesti Wahyuningsih ")</f>
        <v>Hesti Wahyuningsih </v>
      </c>
      <c r="D245" s="102" t="str">
        <f>IFERROR(__xludf.DUMMYFUNCTION("""COMPUTED_VALUE"""),"08126025269")</f>
        <v>08126025269</v>
      </c>
      <c r="E245" s="25" t="str">
        <f>IFERROR(__xludf.DUMMYFUNCTION("""COMPUTED_VALUE"""),"Lainnya")</f>
        <v>Lainnya</v>
      </c>
      <c r="F245" s="25" t="str">
        <f>IFERROR(__xludf.DUMMYFUNCTION("""COMPUTED_VALUE"""),"Closing")</f>
        <v>Closing</v>
      </c>
      <c r="G245" s="25" t="str">
        <f>IFERROR(__xludf.DUMMYFUNCTION("""COMPUTED_VALUE"""),"3H2M")</f>
        <v>3H2M</v>
      </c>
      <c r="H245" s="78"/>
      <c r="I245" s="89">
        <f>IFERROR(__xludf.DUMMYFUNCTION("""COMPUTED_VALUE"""),5.0)</f>
        <v>5</v>
      </c>
      <c r="J245" s="96">
        <f>IFERROR(__xludf.DUMMYFUNCTION("""COMPUTED_VALUE"""),1.95E7)</f>
        <v>19500000</v>
      </c>
      <c r="K245" s="36"/>
      <c r="L245" s="49"/>
      <c r="M245" s="20"/>
      <c r="N245" s="20"/>
      <c r="O245" s="20"/>
      <c r="P245" s="20"/>
    </row>
    <row r="246">
      <c r="A246" s="97">
        <f>IFERROR(__xludf.DUMMYFUNCTION("""COMPUTED_VALUE"""),46068.0)</f>
        <v>46068</v>
      </c>
      <c r="B246" s="97" t="str">
        <f>IFERROR(__xludf.DUMMYFUNCTION("""COMPUTED_VALUE"""),"2602D059")</f>
        <v>2602D059</v>
      </c>
      <c r="C246" s="76" t="str">
        <f>IFERROR(__xludf.DUMMYFUNCTION("""COMPUTED_VALUE"""),"Dila")</f>
        <v>Dila</v>
      </c>
      <c r="D246" s="99" t="str">
        <f>IFERROR(__xludf.DUMMYFUNCTION("""COMPUTED_VALUE"""),"081220151323")</f>
        <v>081220151323</v>
      </c>
      <c r="E246" s="25" t="str">
        <f>IFERROR(__xludf.DUMMYFUNCTION("""COMPUTED_VALUE"""),"Lainnya")</f>
        <v>Lainnya</v>
      </c>
      <c r="F246" s="25" t="str">
        <f>IFERROR(__xludf.DUMMYFUNCTION("""COMPUTED_VALUE"""),"Gagal")</f>
        <v>Gagal</v>
      </c>
      <c r="G246" s="15" t="str">
        <f>IFERROR(__xludf.DUMMYFUNCTION("""COMPUTED_VALUE"""),"Trip Menjangan Tabuhan, Djabal")</f>
        <v>Trip Menjangan Tabuhan, Djabal</v>
      </c>
      <c r="H246" s="92"/>
      <c r="I246" s="17">
        <f>IFERROR(__xludf.DUMMYFUNCTION("""COMPUTED_VALUE"""),2.0)</f>
        <v>2</v>
      </c>
      <c r="J246" s="93">
        <f>IFERROR(__xludf.DUMMYFUNCTION("""COMPUTED_VALUE"""),1700000.0)</f>
        <v>1700000</v>
      </c>
      <c r="K246" s="19" t="str">
        <f>IFERROR(__xludf.DUMMYFUNCTION("""COMPUTED_VALUE"""),"gagall, sudah FU 5 kali ga ada balasan")</f>
        <v>gagall, sudah FU 5 kali ga ada balasan</v>
      </c>
      <c r="L246" s="88" t="str">
        <f>IFERROR(__xludf.DUMMYFUNCTION("""COMPUTED_VALUE"""),"https://docs.google.com/document/d/1L-7Eatb8VGovZhCBXD7YlYFS6Sg4JFCOt1-y5B_jUXQ/edit?tab=t.0")</f>
        <v>https://docs.google.com/document/d/1L-7Eatb8VGovZhCBXD7YlYFS6Sg4JFCOt1-y5B_jUXQ/edit?tab=t.0</v>
      </c>
      <c r="M246" s="20"/>
      <c r="N246" s="20"/>
      <c r="O246" s="20"/>
      <c r="P246" s="20"/>
    </row>
    <row r="247">
      <c r="A247" s="110">
        <f>IFERROR(__xludf.DUMMYFUNCTION("""COMPUTED_VALUE"""),46069.0)</f>
        <v>46069</v>
      </c>
      <c r="B247" s="110" t="str">
        <f>IFERROR(__xludf.DUMMYFUNCTION("""COMPUTED_VALUE"""),"2602D060")</f>
        <v>2602D060</v>
      </c>
      <c r="C247" s="49" t="str">
        <f>IFERROR(__xludf.DUMMYFUNCTION("""COMPUTED_VALUE"""),"Ilham")</f>
        <v>Ilham</v>
      </c>
      <c r="D247" s="102" t="str">
        <f>IFERROR(__xludf.DUMMYFUNCTION("""COMPUTED_VALUE"""),"089696367463")</f>
        <v>089696367463</v>
      </c>
      <c r="E247" s="25" t="str">
        <f>IFERROR(__xludf.DUMMYFUNCTION("""COMPUTED_VALUE"""),"Lainnya")</f>
        <v>Lainnya</v>
      </c>
      <c r="F247" s="25" t="str">
        <f>IFERROR(__xludf.DUMMYFUNCTION("""COMPUTED_VALUE"""),"Gagal")</f>
        <v>Gagal</v>
      </c>
      <c r="G247" s="25" t="str">
        <f>IFERROR(__xludf.DUMMYFUNCTION("""COMPUTED_VALUE"""),"OT 3H2M")</f>
        <v>OT 3H2M</v>
      </c>
      <c r="H247" s="78"/>
      <c r="I247" s="89">
        <f>IFERROR(__xludf.DUMMYFUNCTION("""COMPUTED_VALUE"""),9.0)</f>
        <v>9</v>
      </c>
      <c r="J247" s="96">
        <f>IFERROR(__xludf.DUMMYFUNCTION("""COMPUTED_VALUE"""),1.44E7)</f>
        <v>14400000</v>
      </c>
      <c r="K247" s="36" t="str">
        <f>IFERROR(__xludf.DUMMYFUNCTION("""COMPUTED_VALUE"""),"gagalll")</f>
        <v>gagalll</v>
      </c>
      <c r="L247" s="81" t="str">
        <f>IFERROR(__xludf.DUMMYFUNCTION("""COMPUTED_VALUE"""),"https://docs.google.com/document/d/1XNoXmGPx-ce7YDo0U4w4uSNaVU_A5EP3Lvvt9b_V91o/edit?tab=t.0")</f>
        <v>https://docs.google.com/document/d/1XNoXmGPx-ce7YDo0U4w4uSNaVU_A5EP3Lvvt9b_V91o/edit?tab=t.0</v>
      </c>
      <c r="M247" s="20"/>
      <c r="N247" s="20"/>
      <c r="O247" s="20"/>
      <c r="P247" s="20"/>
    </row>
    <row r="248">
      <c r="A248" s="97">
        <f>IFERROR(__xludf.DUMMYFUNCTION("""COMPUTED_VALUE"""),46069.0)</f>
        <v>46069</v>
      </c>
      <c r="B248" s="97" t="str">
        <f>IFERROR(__xludf.DUMMYFUNCTION("""COMPUTED_VALUE"""),"2602D061")</f>
        <v>2602D061</v>
      </c>
      <c r="C248" s="76" t="str">
        <f>IFERROR(__xludf.DUMMYFUNCTION("""COMPUTED_VALUE"""),"Wida Dwi Hapsari")</f>
        <v>Wida Dwi Hapsari</v>
      </c>
      <c r="D248" s="99" t="str">
        <f>IFERROR(__xludf.DUMMYFUNCTION("""COMPUTED_VALUE"""),"081227783117")</f>
        <v>081227783117</v>
      </c>
      <c r="E248" s="25" t="str">
        <f>IFERROR(__xludf.DUMMYFUNCTION("""COMPUTED_VALUE"""),"Lainnya")</f>
        <v>Lainnya</v>
      </c>
      <c r="F248" s="25" t="str">
        <f>IFERROR(__xludf.DUMMYFUNCTION("""COMPUTED_VALUE"""),"Gagal")</f>
        <v>Gagal</v>
      </c>
      <c r="G248" s="25" t="str">
        <f>IFERROR(__xludf.DUMMYFUNCTION("""COMPUTED_VALUE"""),"1D Djawatan Baluran")</f>
        <v>1D Djawatan Baluran</v>
      </c>
      <c r="H248" s="16"/>
      <c r="I248" s="80">
        <f>IFERROR(__xludf.DUMMYFUNCTION("""COMPUTED_VALUE"""),6.0)</f>
        <v>6</v>
      </c>
      <c r="J248" s="54">
        <f>IFERROR(__xludf.DUMMYFUNCTION("""COMPUTED_VALUE"""),4290000.0)</f>
        <v>4290000</v>
      </c>
      <c r="K248" s="19" t="str">
        <f>IFERROR(__xludf.DUMMYFUNCTION("""COMPUTED_VALUE"""),"ga jadi")</f>
        <v>ga jadi</v>
      </c>
      <c r="L248" s="76"/>
      <c r="M248" s="20"/>
      <c r="N248" s="20"/>
      <c r="O248" s="20"/>
      <c r="P248" s="20"/>
    </row>
    <row r="249">
      <c r="A249" s="110">
        <f>IFERROR(__xludf.DUMMYFUNCTION("""COMPUTED_VALUE"""),46069.0)</f>
        <v>46069</v>
      </c>
      <c r="B249" s="110" t="str">
        <f>IFERROR(__xludf.DUMMYFUNCTION("""COMPUTED_VALUE"""),"2602D062")</f>
        <v>2602D062</v>
      </c>
      <c r="C249" s="49" t="str">
        <f>IFERROR(__xludf.DUMMYFUNCTION("""COMPUTED_VALUE"""),"Dytha Wilujeng Maharani")</f>
        <v>Dytha Wilujeng Maharani</v>
      </c>
      <c r="D249" s="102" t="str">
        <f>IFERROR(__xludf.DUMMYFUNCTION("""COMPUTED_VALUE"""),"085162696879")</f>
        <v>085162696879</v>
      </c>
      <c r="E249" s="25" t="str">
        <f>IFERROR(__xludf.DUMMYFUNCTION("""COMPUTED_VALUE"""),"Lainnya")</f>
        <v>Lainnya</v>
      </c>
      <c r="F249" s="25" t="str">
        <f>IFERROR(__xludf.DUMMYFUNCTION("""COMPUTED_VALUE"""),"Closing")</f>
        <v>Closing</v>
      </c>
      <c r="G249" s="15" t="str">
        <f>IFERROR(__xludf.DUMMYFUNCTION("""COMPUTED_VALUE"""),"1D snorkling")</f>
        <v>1D snorkling</v>
      </c>
      <c r="H249" s="78">
        <f>IFERROR(__xludf.DUMMYFUNCTION("""COMPUTED_VALUE"""),46107.0)</f>
        <v>46107</v>
      </c>
      <c r="I249" s="89">
        <f>IFERROR(__xludf.DUMMYFUNCTION("""COMPUTED_VALUE"""),3.0)</f>
        <v>3</v>
      </c>
      <c r="J249" s="96">
        <f>IFERROR(__xludf.DUMMYFUNCTION("""COMPUTED_VALUE"""),2600000.0)</f>
        <v>2600000</v>
      </c>
      <c r="K249" s="30"/>
      <c r="L249" s="49"/>
      <c r="M249" s="20"/>
      <c r="N249" s="20"/>
      <c r="O249" s="20"/>
      <c r="P249" s="20"/>
    </row>
    <row r="250">
      <c r="A250" s="97">
        <f>IFERROR(__xludf.DUMMYFUNCTION("""COMPUTED_VALUE"""),46069.0)</f>
        <v>46069</v>
      </c>
      <c r="B250" s="97" t="str">
        <f>IFERROR(__xludf.DUMMYFUNCTION("""COMPUTED_VALUE"""),"2602D063")</f>
        <v>2602D063</v>
      </c>
      <c r="C250" s="76" t="str">
        <f>IFERROR(__xludf.DUMMYFUNCTION("""COMPUTED_VALUE"""),"Iv")</f>
        <v>Iv</v>
      </c>
      <c r="D250" s="99" t="str">
        <f>IFERROR(__xludf.DUMMYFUNCTION("""COMPUTED_VALUE"""),"081231440369")</f>
        <v>081231440369</v>
      </c>
      <c r="E250" s="25" t="str">
        <f>IFERROR(__xludf.DUMMYFUNCTION("""COMPUTED_VALUE"""),"Lainnya")</f>
        <v>Lainnya</v>
      </c>
      <c r="F250" s="25" t="str">
        <f>IFERROR(__xludf.DUMMYFUNCTION("""COMPUTED_VALUE"""),"Gagal")</f>
        <v>Gagal</v>
      </c>
      <c r="G250" s="25" t="str">
        <f>IFERROR(__xludf.DUMMYFUNCTION("""COMPUTED_VALUE"""),"Bedil green island")</f>
        <v>Bedil green island</v>
      </c>
      <c r="H250" s="92"/>
      <c r="I250" s="80"/>
      <c r="J250" s="54"/>
      <c r="K250" s="19" t="str">
        <f>IFERROR(__xludf.DUMMYFUNCTION("""COMPUTED_VALUE"""),"tidak ada balasan")</f>
        <v>tidak ada balasan</v>
      </c>
      <c r="L250" s="76"/>
      <c r="M250" s="20"/>
      <c r="N250" s="20"/>
      <c r="O250" s="20"/>
      <c r="P250" s="20"/>
    </row>
    <row r="251">
      <c r="A251" s="110">
        <f>IFERROR(__xludf.DUMMYFUNCTION("""COMPUTED_VALUE"""),46069.0)</f>
        <v>46069</v>
      </c>
      <c r="B251" s="110" t="str">
        <f>IFERROR(__xludf.DUMMYFUNCTION("""COMPUTED_VALUE"""),"2602D064")</f>
        <v>2602D064</v>
      </c>
      <c r="C251" s="49" t="str">
        <f>IFERROR(__xludf.DUMMYFUNCTION("""COMPUTED_VALUE"""),"Dewi Kinanti Khasanah ")</f>
        <v>Dewi Kinanti Khasanah </v>
      </c>
      <c r="D251" s="102" t="str">
        <f>IFERROR(__xludf.DUMMYFUNCTION("""COMPUTED_VALUE"""),"081284938856")</f>
        <v>081284938856</v>
      </c>
      <c r="E251" s="25" t="str">
        <f>IFERROR(__xludf.DUMMYFUNCTION("""COMPUTED_VALUE"""),"Lainnya")</f>
        <v>Lainnya</v>
      </c>
      <c r="F251" s="25" t="str">
        <f>IFERROR(__xludf.DUMMYFUNCTION("""COMPUTED_VALUE"""),"Review")</f>
        <v>Review</v>
      </c>
      <c r="G251" s="25" t="str">
        <f>IFERROR(__xludf.DUMMYFUNCTION("""COMPUTED_VALUE"""),"Baluran 1D")</f>
        <v>Baluran 1D</v>
      </c>
      <c r="H251" s="78">
        <f>IFERROR(__xludf.DUMMYFUNCTION("""COMPUTED_VALUE"""),46070.0)</f>
        <v>46070</v>
      </c>
      <c r="I251" s="89">
        <f>IFERROR(__xludf.DUMMYFUNCTION("""COMPUTED_VALUE"""),4.0)</f>
        <v>4</v>
      </c>
      <c r="J251" s="96">
        <f>IFERROR(__xludf.DUMMYFUNCTION("""COMPUTED_VALUE"""),2915000.0)</f>
        <v>2915000</v>
      </c>
      <c r="K251" s="19"/>
      <c r="L251" s="76"/>
      <c r="M251" s="20"/>
      <c r="N251" s="20"/>
      <c r="O251" s="20"/>
      <c r="P251" s="20"/>
    </row>
    <row r="252">
      <c r="A252" s="97">
        <f>IFERROR(__xludf.DUMMYFUNCTION("""COMPUTED_VALUE"""),46069.0)</f>
        <v>46069</v>
      </c>
      <c r="B252" s="97" t="str">
        <f>IFERROR(__xludf.DUMMYFUNCTION("""COMPUTED_VALUE"""),"2602D065")</f>
        <v>2602D065</v>
      </c>
      <c r="C252" s="76" t="str">
        <f>IFERROR(__xludf.DUMMYFUNCTION("""COMPUTED_VALUE"""),"Caitleen")</f>
        <v>Caitleen</v>
      </c>
      <c r="D252" s="99" t="str">
        <f>IFERROR(__xludf.DUMMYFUNCTION("""COMPUTED_VALUE"""),"081259965685")</f>
        <v>081259965685</v>
      </c>
      <c r="E252" s="25" t="str">
        <f>IFERROR(__xludf.DUMMYFUNCTION("""COMPUTED_VALUE"""),"Lainnya")</f>
        <v>Lainnya</v>
      </c>
      <c r="F252" s="25" t="str">
        <f>IFERROR(__xludf.DUMMYFUNCTION("""COMPUTED_VALUE"""),"Gagal")</f>
        <v>Gagal</v>
      </c>
      <c r="G252" s="15" t="str">
        <f>IFERROR(__xludf.DUMMYFUNCTION("""COMPUTED_VALUE"""),"tanya paket")</f>
        <v>tanya paket</v>
      </c>
      <c r="H252" s="92"/>
      <c r="I252" s="80"/>
      <c r="J252" s="93"/>
      <c r="K252" s="19" t="str">
        <f>IFERROR(__xludf.DUMMYFUNCTION("""COMPUTED_VALUE"""),"tidak ada jawaban")</f>
        <v>tidak ada jawaban</v>
      </c>
      <c r="L252" s="76"/>
      <c r="M252" s="20"/>
      <c r="N252" s="20"/>
      <c r="O252" s="20"/>
      <c r="P252" s="20"/>
    </row>
    <row r="253">
      <c r="A253" s="110">
        <f>IFERROR(__xludf.DUMMYFUNCTION("""COMPUTED_VALUE"""),46069.0)</f>
        <v>46069</v>
      </c>
      <c r="B253" s="110" t="str">
        <f>IFERROR(__xludf.DUMMYFUNCTION("""COMPUTED_VALUE"""),"2602D066")</f>
        <v>2602D066</v>
      </c>
      <c r="C253" s="49" t="str">
        <f>IFERROR(__xludf.DUMMYFUNCTION("""COMPUTED_VALUE"""),"Sofia")</f>
        <v>Sofia</v>
      </c>
      <c r="D253" s="102" t="str">
        <f>IFERROR(__xludf.DUMMYFUNCTION("""COMPUTED_VALUE"""),"087868903013")</f>
        <v>087868903013</v>
      </c>
      <c r="E253" s="25" t="str">
        <f>IFERROR(__xludf.DUMMYFUNCTION("""COMPUTED_VALUE"""),"Lainnya")</f>
        <v>Lainnya</v>
      </c>
      <c r="F253" s="25" t="str">
        <f>IFERROR(__xludf.DUMMYFUNCTION("""COMPUTED_VALUE"""),"Review")</f>
        <v>Review</v>
      </c>
      <c r="G253" s="15" t="str">
        <f>IFERROR(__xludf.DUMMYFUNCTION("""COMPUTED_VALUE"""),"3H2M opsi A")</f>
        <v>3H2M opsi A</v>
      </c>
      <c r="H253" s="92"/>
      <c r="I253" s="89">
        <f>IFERROR(__xludf.DUMMYFUNCTION("""COMPUTED_VALUE"""),3.0)</f>
        <v>3</v>
      </c>
      <c r="J253" s="96"/>
      <c r="K253" s="36" t="str">
        <f>IFERROR(__xludf.DUMMYFUNCTION("""COMPUTED_VALUE"""),"udh order, minta rincian itinerary")</f>
        <v>udh order, minta rincian itinerary</v>
      </c>
      <c r="L253" s="49"/>
      <c r="M253" s="20"/>
      <c r="N253" s="20"/>
      <c r="O253" s="20"/>
      <c r="P253" s="20"/>
    </row>
    <row r="254">
      <c r="A254" s="97">
        <f>IFERROR(__xludf.DUMMYFUNCTION("""COMPUTED_VALUE"""),46069.0)</f>
        <v>46069</v>
      </c>
      <c r="B254" s="97" t="str">
        <f>IFERROR(__xludf.DUMMYFUNCTION("""COMPUTED_VALUE"""),"2602D067")</f>
        <v>2602D067</v>
      </c>
      <c r="C254" s="76" t="str">
        <f>IFERROR(__xludf.DUMMYFUNCTION("""COMPUTED_VALUE"""),"Ditha Pratiwi")</f>
        <v>Ditha Pratiwi</v>
      </c>
      <c r="D254" s="99" t="str">
        <f>IFERROR(__xludf.DUMMYFUNCTION("""COMPUTED_VALUE"""),"082114830314")</f>
        <v>082114830314</v>
      </c>
      <c r="E254" s="25" t="str">
        <f>IFERROR(__xludf.DUMMYFUNCTION("""COMPUTED_VALUE"""),"Website")</f>
        <v>Website</v>
      </c>
      <c r="F254" s="25" t="str">
        <f>IFERROR(__xludf.DUMMYFUNCTION("""COMPUTED_VALUE"""),"Gagal")</f>
        <v>Gagal</v>
      </c>
      <c r="G254" s="25" t="str">
        <f>IFERROR(__xludf.DUMMYFUNCTION("""COMPUTED_VALUE"""),"4H3M")</f>
        <v>4H3M</v>
      </c>
      <c r="H254" s="92"/>
      <c r="I254" s="80"/>
      <c r="J254" s="93"/>
      <c r="K254" s="19" t="str">
        <f>IFERROR(__xludf.DUMMYFUNCTION("""COMPUTED_VALUE"""),"tidak ada jawaban")</f>
        <v>tidak ada jawaban</v>
      </c>
      <c r="L254" s="76"/>
      <c r="M254" s="20"/>
      <c r="N254" s="20"/>
      <c r="O254" s="20"/>
      <c r="P254" s="20"/>
    </row>
    <row r="255">
      <c r="A255" s="110">
        <f>IFERROR(__xludf.DUMMYFUNCTION("""COMPUTED_VALUE"""),46069.0)</f>
        <v>46069</v>
      </c>
      <c r="B255" s="110" t="str">
        <f>IFERROR(__xludf.DUMMYFUNCTION("""COMPUTED_VALUE"""),"2602D068")</f>
        <v>2602D068</v>
      </c>
      <c r="C255" s="49" t="str">
        <f>IFERROR(__xludf.DUMMYFUNCTION("""COMPUTED_VALUE"""),"Junio Sesar Gurning")</f>
        <v>Junio Sesar Gurning</v>
      </c>
      <c r="D255" s="102" t="str">
        <f>IFERROR(__xludf.DUMMYFUNCTION("""COMPUTED_VALUE"""),"082111850864")</f>
        <v>082111850864</v>
      </c>
      <c r="E255" s="25" t="str">
        <f>IFERROR(__xludf.DUMMYFUNCTION("""COMPUTED_VALUE"""),"Website")</f>
        <v>Website</v>
      </c>
      <c r="F255" s="25" t="str">
        <f>IFERROR(__xludf.DUMMYFUNCTION("""COMPUTED_VALUE"""),"Gagal")</f>
        <v>Gagal</v>
      </c>
      <c r="G255" s="15" t="str">
        <f>IFERROR(__xludf.DUMMYFUNCTION("""COMPUTED_VALUE"""),"4H3M")</f>
        <v>4H3M</v>
      </c>
      <c r="H255" s="26"/>
      <c r="I255" s="27"/>
      <c r="J255" s="33">
        <f>IFERROR(__xludf.DUMMYFUNCTION("""COMPUTED_VALUE"""),1.68E8)</f>
        <v>168000000</v>
      </c>
      <c r="K255" s="30" t="str">
        <f>IFERROR(__xludf.DUMMYFUNCTION("""COMPUTED_VALUE"""),"ga baless, uda fu 5 kali")</f>
        <v>ga baless, uda fu 5 kali</v>
      </c>
      <c r="L255" s="81" t="str">
        <f>IFERROR(__xludf.DUMMYFUNCTION("""COMPUTED_VALUE"""),"https://docs.google.com/document/d/1y_QF_ErkjAaH2tP-dSKmn13n-VC4nuH6Z4w9Q3MrEvk/edit?tab=t.0")</f>
        <v>https://docs.google.com/document/d/1y_QF_ErkjAaH2tP-dSKmn13n-VC4nuH6Z4w9Q3MrEvk/edit?tab=t.0</v>
      </c>
      <c r="M255" s="20"/>
      <c r="N255" s="20"/>
      <c r="O255" s="20"/>
      <c r="P255" s="20"/>
    </row>
    <row r="256">
      <c r="A256" s="97">
        <f>IFERROR(__xludf.DUMMYFUNCTION("""COMPUTED_VALUE"""),46070.0)</f>
        <v>46070</v>
      </c>
      <c r="B256" s="97" t="str">
        <f>IFERROR(__xludf.DUMMYFUNCTION("""COMPUTED_VALUE"""),"2602D069")</f>
        <v>2602D069</v>
      </c>
      <c r="C256" s="76" t="str">
        <f>IFERROR(__xludf.DUMMYFUNCTION("""COMPUTED_VALUE"""),"Refia")</f>
        <v>Refia</v>
      </c>
      <c r="D256" s="99" t="str">
        <f>IFERROR(__xludf.DUMMYFUNCTION("""COMPUTED_VALUE"""),"081383023858")</f>
        <v>081383023858</v>
      </c>
      <c r="E256" s="25" t="str">
        <f>IFERROR(__xludf.DUMMYFUNCTION("""COMPUTED_VALUE"""),"Instagram")</f>
        <v>Instagram</v>
      </c>
      <c r="F256" s="25" t="str">
        <f>IFERROR(__xludf.DUMMYFUNCTION("""COMPUTED_VALUE"""),"Gagal")</f>
        <v>Gagal</v>
      </c>
      <c r="G256" s="15" t="str">
        <f>IFERROR(__xludf.DUMMYFUNCTION("""COMPUTED_VALUE"""),"2H1M")</f>
        <v>2H1M</v>
      </c>
      <c r="H256" s="92"/>
      <c r="I256" s="80">
        <f>IFERROR(__xludf.DUMMYFUNCTION("""COMPUTED_VALUE"""),2.0)</f>
        <v>2</v>
      </c>
      <c r="J256" s="93"/>
      <c r="K256" s="46" t="str">
        <f>IFERROR(__xludf.DUMMYFUNCTION("""COMPUTED_VALUE"""),"tidak ada jawaban, sdh fu 5 kali")</f>
        <v>tidak ada jawaban, sdh fu 5 kali</v>
      </c>
      <c r="L256" s="76"/>
      <c r="M256" s="20"/>
      <c r="N256" s="20"/>
      <c r="O256" s="20"/>
      <c r="P256" s="20"/>
    </row>
    <row r="257">
      <c r="A257" s="110">
        <f>IFERROR(__xludf.DUMMYFUNCTION("""COMPUTED_VALUE"""),46070.0)</f>
        <v>46070</v>
      </c>
      <c r="B257" s="110" t="str">
        <f>IFERROR(__xludf.DUMMYFUNCTION("""COMPUTED_VALUE"""),"2602D070")</f>
        <v>2602D070</v>
      </c>
      <c r="C257" s="49" t="str">
        <f>IFERROR(__xludf.DUMMYFUNCTION("""COMPUTED_VALUE"""),"Ayu")</f>
        <v>Ayu</v>
      </c>
      <c r="D257" s="102" t="str">
        <f>IFERROR(__xludf.DUMMYFUNCTION("""COMPUTED_VALUE"""),"085648034881")</f>
        <v>085648034881</v>
      </c>
      <c r="E257" s="25" t="str">
        <f>IFERROR(__xludf.DUMMYFUNCTION("""COMPUTED_VALUE"""),"Website")</f>
        <v>Website</v>
      </c>
      <c r="F257" s="25" t="str">
        <f>IFERROR(__xludf.DUMMYFUNCTION("""COMPUTED_VALUE"""),"Gagal")</f>
        <v>Gagal</v>
      </c>
      <c r="G257" s="15"/>
      <c r="H257" s="92"/>
      <c r="I257" s="27"/>
      <c r="J257" s="96"/>
      <c r="K257" s="30" t="str">
        <f>IFERROR(__xludf.DUMMYFUNCTION("""COMPUTED_VALUE"""),"tidak ada jawaban")</f>
        <v>tidak ada jawaban</v>
      </c>
      <c r="L257" s="49"/>
      <c r="M257" s="20"/>
      <c r="N257" s="20"/>
      <c r="O257" s="20"/>
      <c r="P257" s="20"/>
    </row>
    <row r="258">
      <c r="A258" s="97">
        <f>IFERROR(__xludf.DUMMYFUNCTION("""COMPUTED_VALUE"""),46070.0)</f>
        <v>46070</v>
      </c>
      <c r="B258" s="97" t="str">
        <f>IFERROR(__xludf.DUMMYFUNCTION("""COMPUTED_VALUE"""),"2602D071")</f>
        <v>2602D071</v>
      </c>
      <c r="C258" s="76" t="str">
        <f>IFERROR(__xludf.DUMMYFUNCTION("""COMPUTED_VALUE"""),"Miya")</f>
        <v>Miya</v>
      </c>
      <c r="D258" s="99" t="str">
        <f>IFERROR(__xludf.DUMMYFUNCTION("""COMPUTED_VALUE"""),"085712888702")</f>
        <v>085712888702</v>
      </c>
      <c r="E258" s="25" t="str">
        <f>IFERROR(__xludf.DUMMYFUNCTION("""COMPUTED_VALUE"""),"Lainnya")</f>
        <v>Lainnya</v>
      </c>
      <c r="F258" s="25" t="str">
        <f>IFERROR(__xludf.DUMMYFUNCTION("""COMPUTED_VALUE"""),"Qualified")</f>
        <v>Qualified</v>
      </c>
      <c r="G258" s="25" t="str">
        <f>IFERROR(__xludf.DUMMYFUNCTION("""COMPUTED_VALUE"""),"Tabuhan only")</f>
        <v>Tabuhan only</v>
      </c>
      <c r="H258" s="92"/>
      <c r="I258" s="17">
        <f>IFERROR(__xludf.DUMMYFUNCTION("""COMPUTED_VALUE"""),6.0)</f>
        <v>6</v>
      </c>
      <c r="J258" s="93">
        <f>IFERROR(__xludf.DUMMYFUNCTION("""COMPUTED_VALUE"""),5760000.0)</f>
        <v>5760000</v>
      </c>
      <c r="K258" s="46" t="str">
        <f>IFERROR(__xludf.DUMMYFUNCTION("""COMPUTED_VALUE"""),"follow up lagi 10 agustus")</f>
        <v>follow up lagi 10 agustus</v>
      </c>
      <c r="L258" s="88" t="str">
        <f>IFERROR(__xludf.DUMMYFUNCTION("""COMPUTED_VALUE"""),"https://docs.google.com/document/d/1HtzEQxfI4NIAUGVm294-5-2cYK9FJMhe8kG-q5hwniQ/edit?tab=t.0")</f>
        <v>https://docs.google.com/document/d/1HtzEQxfI4NIAUGVm294-5-2cYK9FJMhe8kG-q5hwniQ/edit?tab=t.0</v>
      </c>
      <c r="M258" s="20"/>
      <c r="N258" s="20"/>
      <c r="O258" s="20"/>
      <c r="P258" s="20"/>
    </row>
    <row r="259">
      <c r="A259" s="110">
        <f>IFERROR(__xludf.DUMMYFUNCTION("""COMPUTED_VALUE"""),46070.0)</f>
        <v>46070</v>
      </c>
      <c r="B259" s="97" t="str">
        <f>IFERROR(__xludf.DUMMYFUNCTION("""COMPUTED_VALUE"""),"2602D072")</f>
        <v>2602D072</v>
      </c>
      <c r="C259" s="49" t="str">
        <f>IFERROR(__xludf.DUMMYFUNCTION("""COMPUTED_VALUE"""),"Diah")</f>
        <v>Diah</v>
      </c>
      <c r="D259" s="102" t="str">
        <f>IFERROR(__xludf.DUMMYFUNCTION("""COMPUTED_VALUE"""),"085883601711")</f>
        <v>085883601711</v>
      </c>
      <c r="E259" s="25" t="str">
        <f>IFERROR(__xludf.DUMMYFUNCTION("""COMPUTED_VALUE"""),"Instagram")</f>
        <v>Instagram</v>
      </c>
      <c r="F259" s="25" t="str">
        <f>IFERROR(__xludf.DUMMYFUNCTION("""COMPUTED_VALUE"""),"Leads Baru")</f>
        <v>Leads Baru</v>
      </c>
      <c r="G259" s="15" t="str">
        <f>IFERROR(__xludf.DUMMYFUNCTION("""COMPUTED_VALUE"""),"4H3M atau 3H2M ")</f>
        <v>4H3M atau 3H2M </v>
      </c>
      <c r="H259" s="78"/>
      <c r="I259" s="27">
        <f>IFERROR(__xludf.DUMMYFUNCTION("""COMPUTED_VALUE"""),30.0)</f>
        <v>30</v>
      </c>
      <c r="J259" s="96"/>
      <c r="K259" s="36" t="str">
        <f>IFERROR(__xludf.DUMMYFUNCTION("""COMPUTED_VALUE"""),"FU3, FU juni")</f>
        <v>FU3, FU juni</v>
      </c>
      <c r="L259" s="81" t="str">
        <f>IFERROR(__xludf.DUMMYFUNCTION("""COMPUTED_VALUE"""),"https://docs.google.com/document/d/12yOIFO9Hc3lXlVyYyL4zOaaW2R_BdHBvgyplmpg2HVo/edit?tab=t.0")</f>
        <v>https://docs.google.com/document/d/12yOIFO9Hc3lXlVyYyL4zOaaW2R_BdHBvgyplmpg2HVo/edit?tab=t.0</v>
      </c>
      <c r="M259" s="20"/>
      <c r="N259" s="20"/>
      <c r="O259" s="20"/>
      <c r="P259" s="20"/>
    </row>
    <row r="260">
      <c r="A260" s="97">
        <f>IFERROR(__xludf.DUMMYFUNCTION("""COMPUTED_VALUE"""),46070.0)</f>
        <v>46070</v>
      </c>
      <c r="B260" s="97" t="str">
        <f>IFERROR(__xludf.DUMMYFUNCTION("""COMPUTED_VALUE"""),"2602D073")</f>
        <v>2602D073</v>
      </c>
      <c r="C260" s="76" t="str">
        <f>IFERROR(__xludf.DUMMYFUNCTION("""COMPUTED_VALUE"""),"Benazir Anjani")</f>
        <v>Benazir Anjani</v>
      </c>
      <c r="D260" s="99" t="str">
        <f>IFERROR(__xludf.DUMMYFUNCTION("""COMPUTED_VALUE"""),"081325834167")</f>
        <v>081325834167</v>
      </c>
      <c r="E260" s="25" t="str">
        <f>IFERROR(__xludf.DUMMYFUNCTION("""COMPUTED_VALUE"""),"Instagram")</f>
        <v>Instagram</v>
      </c>
      <c r="F260" s="25" t="str">
        <f>IFERROR(__xludf.DUMMYFUNCTION("""COMPUTED_VALUE"""),"Gagal")</f>
        <v>Gagal</v>
      </c>
      <c r="G260" s="15" t="str">
        <f>IFERROR(__xludf.DUMMYFUNCTION("""COMPUTED_VALUE"""),"open trip baluran ijen")</f>
        <v>open trip baluran ijen</v>
      </c>
      <c r="H260" s="92"/>
      <c r="I260" s="80">
        <f>IFERROR(__xludf.DUMMYFUNCTION("""COMPUTED_VALUE"""),2.0)</f>
        <v>2</v>
      </c>
      <c r="J260" s="93">
        <f>IFERROR(__xludf.DUMMYFUNCTION("""COMPUTED_VALUE"""),2548000.0)</f>
        <v>2548000</v>
      </c>
      <c r="K260" s="19" t="str">
        <f>IFERROR(__xludf.DUMMYFUNCTION("""COMPUTED_VALUE"""),"tidak ada jawaban")</f>
        <v>tidak ada jawaban</v>
      </c>
      <c r="L260" s="76"/>
      <c r="M260" s="20"/>
      <c r="N260" s="20"/>
      <c r="O260" s="20"/>
      <c r="P260" s="20"/>
    </row>
    <row r="261">
      <c r="A261" s="110">
        <f>IFERROR(__xludf.DUMMYFUNCTION("""COMPUTED_VALUE"""),46070.0)</f>
        <v>46070</v>
      </c>
      <c r="B261" s="110" t="str">
        <f>IFERROR(__xludf.DUMMYFUNCTION("""COMPUTED_VALUE"""),"2602D074")</f>
        <v>2602D074</v>
      </c>
      <c r="C261" s="49" t="str">
        <f>IFERROR(__xludf.DUMMYFUNCTION("""COMPUTED_VALUE"""),"Tri Juliana")</f>
        <v>Tri Juliana</v>
      </c>
      <c r="D261" s="102" t="str">
        <f>IFERROR(__xludf.DUMMYFUNCTION("""COMPUTED_VALUE"""),"085706666697")</f>
        <v>085706666697</v>
      </c>
      <c r="E261" s="25" t="str">
        <f>IFERROR(__xludf.DUMMYFUNCTION("""COMPUTED_VALUE"""),"Instagram")</f>
        <v>Instagram</v>
      </c>
      <c r="F261" s="25" t="str">
        <f>IFERROR(__xludf.DUMMYFUNCTION("""COMPUTED_VALUE"""),"Gagal")</f>
        <v>Gagal</v>
      </c>
      <c r="G261" s="15"/>
      <c r="H261" s="78"/>
      <c r="I261" s="27"/>
      <c r="J261" s="96"/>
      <c r="K261" s="19" t="str">
        <f>IFERROR(__xludf.DUMMYFUNCTION("""COMPUTED_VALUE"""),"tidak ada jawaban")</f>
        <v>tidak ada jawaban</v>
      </c>
      <c r="L261" s="76"/>
      <c r="M261" s="20"/>
      <c r="N261" s="20"/>
      <c r="O261" s="20"/>
      <c r="P261" s="20"/>
    </row>
    <row r="262">
      <c r="A262" s="97">
        <f>IFERROR(__xludf.DUMMYFUNCTION("""COMPUTED_VALUE"""),46070.0)</f>
        <v>46070</v>
      </c>
      <c r="B262" s="97" t="str">
        <f>IFERROR(__xludf.DUMMYFUNCTION("""COMPUTED_VALUE"""),"2602D075")</f>
        <v>2602D075</v>
      </c>
      <c r="C262" s="76" t="str">
        <f>IFERROR(__xludf.DUMMYFUNCTION("""COMPUTED_VALUE"""),"Silvia")</f>
        <v>Silvia</v>
      </c>
      <c r="D262" s="99" t="str">
        <f>IFERROR(__xludf.DUMMYFUNCTION("""COMPUTED_VALUE"""),"082312860266")</f>
        <v>082312860266</v>
      </c>
      <c r="E262" s="25" t="str">
        <f>IFERROR(__xludf.DUMMYFUNCTION("""COMPUTED_VALUE"""),"Instagram")</f>
        <v>Instagram</v>
      </c>
      <c r="F262" s="25" t="str">
        <f>IFERROR(__xludf.DUMMYFUNCTION("""COMPUTED_VALUE"""),"Gagal")</f>
        <v>Gagal</v>
      </c>
      <c r="G262" s="15"/>
      <c r="H262" s="92"/>
      <c r="I262" s="17"/>
      <c r="J262" s="54"/>
      <c r="K262" s="19" t="str">
        <f>IFERROR(__xludf.DUMMYFUNCTION("""COMPUTED_VALUE"""),"tidak ada jawaban")</f>
        <v>tidak ada jawaban</v>
      </c>
      <c r="L262" s="76"/>
      <c r="M262" s="20"/>
      <c r="N262" s="20"/>
      <c r="O262" s="20"/>
      <c r="P262" s="20"/>
    </row>
    <row r="263">
      <c r="A263" s="110">
        <f>IFERROR(__xludf.DUMMYFUNCTION("""COMPUTED_VALUE"""),46070.0)</f>
        <v>46070</v>
      </c>
      <c r="B263" s="110" t="str">
        <f>IFERROR(__xludf.DUMMYFUNCTION("""COMPUTED_VALUE"""),"2602D076")</f>
        <v>2602D076</v>
      </c>
      <c r="C263" s="102" t="str">
        <f>IFERROR(__xludf.DUMMYFUNCTION("""COMPUTED_VALUE"""),"Mei Mutlimah")</f>
        <v>Mei Mutlimah</v>
      </c>
      <c r="D263" s="102" t="str">
        <f>IFERROR(__xludf.DUMMYFUNCTION("""COMPUTED_VALUE"""),"085725757304")</f>
        <v>085725757304</v>
      </c>
      <c r="E263" s="25" t="str">
        <f>IFERROR(__xludf.DUMMYFUNCTION("""COMPUTED_VALUE"""),"Instagram")</f>
        <v>Instagram</v>
      </c>
      <c r="F263" s="25" t="str">
        <f>IFERROR(__xludf.DUMMYFUNCTION("""COMPUTED_VALUE"""),"Prospek")</f>
        <v>Prospek</v>
      </c>
      <c r="G263" s="15" t="str">
        <f>IFERROR(__xludf.DUMMYFUNCTION("""COMPUTED_VALUE"""),"OT 3H2M")</f>
        <v>OT 3H2M</v>
      </c>
      <c r="H263" s="78"/>
      <c r="I263" s="89">
        <f>IFERROR(__xludf.DUMMYFUNCTION("""COMPUTED_VALUE"""),1.0)</f>
        <v>1</v>
      </c>
      <c r="J263" s="96">
        <f>IFERROR(__xludf.DUMMYFUNCTION("""COMPUTED_VALUE"""),1600000.0)</f>
        <v>1600000</v>
      </c>
      <c r="K263" s="36" t="str">
        <f>IFERROR(__xludf.DUMMYFUNCTION("""COMPUTED_VALUE"""),"FU 15 Juni")</f>
        <v>FU 15 Juni</v>
      </c>
      <c r="L263" s="81" t="str">
        <f>IFERROR(__xludf.DUMMYFUNCTION("""COMPUTED_VALUE"""),"https://docs.google.com/document/d/1DRDWKmmjSOvXTvSCfoda4qfFTETdDDY0ftrb1BkuuVU/edit?tab=t.0")</f>
        <v>https://docs.google.com/document/d/1DRDWKmmjSOvXTvSCfoda4qfFTETdDDY0ftrb1BkuuVU/edit?tab=t.0</v>
      </c>
      <c r="M263" s="20"/>
      <c r="N263" s="20"/>
      <c r="O263" s="20"/>
      <c r="P263" s="20"/>
    </row>
    <row r="264">
      <c r="A264" s="97">
        <f>IFERROR(__xludf.DUMMYFUNCTION("""COMPUTED_VALUE"""),46070.0)</f>
        <v>46070</v>
      </c>
      <c r="B264" s="97" t="str">
        <f>IFERROR(__xludf.DUMMYFUNCTION("""COMPUTED_VALUE"""),"2602D077")</f>
        <v>2602D077</v>
      </c>
      <c r="C264" s="76" t="str">
        <f>IFERROR(__xludf.DUMMYFUNCTION("""COMPUTED_VALUE"""),"Aya")</f>
        <v>Aya</v>
      </c>
      <c r="D264" s="99" t="str">
        <f>IFERROR(__xludf.DUMMYFUNCTION("""COMPUTED_VALUE"""),"085220263212")</f>
        <v>085220263212</v>
      </c>
      <c r="E264" s="25" t="str">
        <f>IFERROR(__xludf.DUMMYFUNCTION("""COMPUTED_VALUE"""),"Instagram")</f>
        <v>Instagram</v>
      </c>
      <c r="F264" s="25" t="str">
        <f>IFERROR(__xludf.DUMMYFUNCTION("""COMPUTED_VALUE"""),"Gagal")</f>
        <v>Gagal</v>
      </c>
      <c r="G264" s="15" t="str">
        <f>IFERROR(__xludf.DUMMYFUNCTION("""COMPUTED_VALUE"""),"3H2M")</f>
        <v>3H2M</v>
      </c>
      <c r="H264" s="92"/>
      <c r="I264" s="80">
        <f>IFERROR(__xludf.DUMMYFUNCTION("""COMPUTED_VALUE"""),2.0)</f>
        <v>2</v>
      </c>
      <c r="J264" s="93">
        <f>IFERROR(__xludf.DUMMYFUNCTION("""COMPUTED_VALUE"""),6128000.0)</f>
        <v>6128000</v>
      </c>
      <c r="K264" s="19" t="str">
        <f>IFERROR(__xludf.DUMMYFUNCTION("""COMPUTED_VALUE"""),"tidakk balas lagi , fu beberapa kali")</f>
        <v>tidakk balas lagi , fu beberapa kali</v>
      </c>
      <c r="L264" s="88" t="str">
        <f>IFERROR(__xludf.DUMMYFUNCTION("""COMPUTED_VALUE"""),"https://docs.google.com/document/d/1PWW3NnWBcbmm8ihSbOV_eZLGRVS0OlbZW_Rxr375rEk/edit?tab=t.0")</f>
        <v>https://docs.google.com/document/d/1PWW3NnWBcbmm8ihSbOV_eZLGRVS0OlbZW_Rxr375rEk/edit?tab=t.0</v>
      </c>
      <c r="M264" s="20"/>
      <c r="N264" s="20"/>
      <c r="O264" s="20"/>
      <c r="P264" s="20"/>
    </row>
    <row r="265">
      <c r="A265" s="110">
        <f>IFERROR(__xludf.DUMMYFUNCTION("""COMPUTED_VALUE"""),46070.0)</f>
        <v>46070</v>
      </c>
      <c r="B265" s="110" t="str">
        <f>IFERROR(__xludf.DUMMYFUNCTION("""COMPUTED_VALUE"""),"2602D078")</f>
        <v>2602D078</v>
      </c>
      <c r="C265" s="49" t="str">
        <f>IFERROR(__xludf.DUMMYFUNCTION("""COMPUTED_VALUE"""),"Martha Saphira")</f>
        <v>Martha Saphira</v>
      </c>
      <c r="D265" s="102" t="str">
        <f>IFERROR(__xludf.DUMMYFUNCTION("""COMPUTED_VALUE"""),"081807971414")</f>
        <v>081807971414</v>
      </c>
      <c r="E265" s="25" t="str">
        <f>IFERROR(__xludf.DUMMYFUNCTION("""COMPUTED_VALUE"""),"Instagram")</f>
        <v>Instagram</v>
      </c>
      <c r="F265" s="25" t="str">
        <f>IFERROR(__xludf.DUMMYFUNCTION("""COMPUTED_VALUE"""),"Closing")</f>
        <v>Closing</v>
      </c>
      <c r="G265" s="15" t="str">
        <f>IFERROR(__xludf.DUMMYFUNCTION("""COMPUTED_VALUE"""),"3H2M ")</f>
        <v>3H2M </v>
      </c>
      <c r="H265" s="78"/>
      <c r="I265" s="89">
        <f>IFERROR(__xludf.DUMMYFUNCTION("""COMPUTED_VALUE"""),8.0)</f>
        <v>8</v>
      </c>
      <c r="J265" s="96">
        <f>IFERROR(__xludf.DUMMYFUNCTION("""COMPUTED_VALUE"""),1.54E7)</f>
        <v>15400000</v>
      </c>
      <c r="K265" s="36" t="str">
        <f>IFERROR(__xludf.DUMMYFUNCTION("""COMPUTED_VALUE"""),"orderrrr")</f>
        <v>orderrrr</v>
      </c>
      <c r="L265" s="81" t="str">
        <f>IFERROR(__xludf.DUMMYFUNCTION("""COMPUTED_VALUE"""),"https://docs.google.com/document/d/1SQn_vx6ZxV5nuWpX0XsAC7DC1gRcOdGAO9AecFQQcJ0/edit?tab=t.0")</f>
        <v>https://docs.google.com/document/d/1SQn_vx6ZxV5nuWpX0XsAC7DC1gRcOdGAO9AecFQQcJ0/edit?tab=t.0</v>
      </c>
      <c r="M265" s="20"/>
      <c r="N265" s="20"/>
      <c r="O265" s="20"/>
      <c r="P265" s="20"/>
    </row>
    <row r="266">
      <c r="A266" s="97">
        <f>IFERROR(__xludf.DUMMYFUNCTION("""COMPUTED_VALUE"""),46070.0)</f>
        <v>46070</v>
      </c>
      <c r="B266" s="97" t="str">
        <f>IFERROR(__xludf.DUMMYFUNCTION("""COMPUTED_VALUE"""),"2602D079")</f>
        <v>2602D079</v>
      </c>
      <c r="C266" s="76" t="str">
        <f>IFERROR(__xludf.DUMMYFUNCTION("""COMPUTED_VALUE"""),"Komala Dewi")</f>
        <v>Komala Dewi</v>
      </c>
      <c r="D266" s="99" t="str">
        <f>IFERROR(__xludf.DUMMYFUNCTION("""COMPUTED_VALUE"""),"085710902901")</f>
        <v>085710902901</v>
      </c>
      <c r="E266" s="25" t="str">
        <f>IFERROR(__xludf.DUMMYFUNCTION("""COMPUTED_VALUE"""),"Instagram")</f>
        <v>Instagram</v>
      </c>
      <c r="F266" s="25" t="str">
        <f>IFERROR(__xludf.DUMMYFUNCTION("""COMPUTED_VALUE"""),"Gagal")</f>
        <v>Gagal</v>
      </c>
      <c r="G266" s="25" t="str">
        <f>IFERROR(__xludf.DUMMYFUNCTION("""COMPUTED_VALUE"""),"3H2M A")</f>
        <v>3H2M A</v>
      </c>
      <c r="H266" s="92"/>
      <c r="I266" s="80"/>
      <c r="J266" s="93"/>
      <c r="K266" s="19" t="str">
        <f>IFERROR(__xludf.DUMMYFUNCTION("""COMPUTED_VALUE"""),"tidak ada jawaban")</f>
        <v>tidak ada jawaban</v>
      </c>
      <c r="L266" s="76"/>
      <c r="M266" s="20"/>
      <c r="N266" s="20"/>
      <c r="O266" s="20"/>
      <c r="P266" s="20"/>
    </row>
    <row r="267">
      <c r="A267" s="110">
        <f>IFERROR(__xludf.DUMMYFUNCTION("""COMPUTED_VALUE"""),46071.0)</f>
        <v>46071</v>
      </c>
      <c r="B267" s="110" t="str">
        <f>IFERROR(__xludf.DUMMYFUNCTION("""COMPUTED_VALUE"""),"2602D080")</f>
        <v>2602D080</v>
      </c>
      <c r="C267" s="49" t="str">
        <f>IFERROR(__xludf.DUMMYFUNCTION("""COMPUTED_VALUE"""),"Nurti_not")</f>
        <v>Nurti_not</v>
      </c>
      <c r="D267" s="102" t="str">
        <f>IFERROR(__xludf.DUMMYFUNCTION("""COMPUTED_VALUE"""),"082324996939")</f>
        <v>082324996939</v>
      </c>
      <c r="E267" s="25" t="str">
        <f>IFERROR(__xludf.DUMMYFUNCTION("""COMPUTED_VALUE"""),"Lainnya")</f>
        <v>Lainnya</v>
      </c>
      <c r="F267" s="25" t="str">
        <f>IFERROR(__xludf.DUMMYFUNCTION("""COMPUTED_VALUE"""),"Gagal")</f>
        <v>Gagal</v>
      </c>
      <c r="G267" s="15" t="str">
        <f>IFERROR(__xludf.DUMMYFUNCTION("""COMPUTED_VALUE"""),"2H1M")</f>
        <v>2H1M</v>
      </c>
      <c r="H267" s="78">
        <f>IFERROR(__xludf.DUMMYFUNCTION("""COMPUTED_VALUE"""),46143.0)</f>
        <v>46143</v>
      </c>
      <c r="I267" s="89">
        <f>IFERROR(__xludf.DUMMYFUNCTION("""COMPUTED_VALUE"""),2.0)</f>
        <v>2</v>
      </c>
      <c r="J267" s="33">
        <f>IFERROR(__xludf.DUMMYFUNCTION("""COMPUTED_VALUE"""),4680000.0)</f>
        <v>4680000</v>
      </c>
      <c r="K267" s="36" t="str">
        <f>IFERROR(__xludf.DUMMYFUNCTION("""COMPUTED_VALUE"""),"gagal, trip ditunda karena ada acara lain")</f>
        <v>gagal, trip ditunda karena ada acara lain</v>
      </c>
      <c r="L267" s="81" t="str">
        <f>IFERROR(__xludf.DUMMYFUNCTION("""COMPUTED_VALUE"""),"https://docs.google.com/document/d/14PL6KQ09_8CRB-CN1yhQi_AVf5hGTlzOMwPUhlfSvGc/edit?tab=t.0")</f>
        <v>https://docs.google.com/document/d/14PL6KQ09_8CRB-CN1yhQi_AVf5hGTlzOMwPUhlfSvGc/edit?tab=t.0</v>
      </c>
      <c r="M267" s="20"/>
      <c r="N267" s="20"/>
      <c r="O267" s="20"/>
      <c r="P267" s="20"/>
    </row>
    <row r="268">
      <c r="A268" s="97">
        <f>IFERROR(__xludf.DUMMYFUNCTION("""COMPUTED_VALUE"""),46071.0)</f>
        <v>46071</v>
      </c>
      <c r="B268" s="97" t="str">
        <f>IFERROR(__xludf.DUMMYFUNCTION("""COMPUTED_VALUE"""),"2602D081")</f>
        <v>2602D081</v>
      </c>
      <c r="C268" s="76" t="str">
        <f>IFERROR(__xludf.DUMMYFUNCTION("""COMPUTED_VALUE"""),"Agustina")</f>
        <v>Agustina</v>
      </c>
      <c r="D268" s="99" t="str">
        <f>IFERROR(__xludf.DUMMYFUNCTION("""COMPUTED_VALUE"""),"0895367133459")</f>
        <v>0895367133459</v>
      </c>
      <c r="E268" s="25" t="str">
        <f>IFERROR(__xludf.DUMMYFUNCTION("""COMPUTED_VALUE"""),"Instagram")</f>
        <v>Instagram</v>
      </c>
      <c r="F268" s="25" t="str">
        <f>IFERROR(__xludf.DUMMYFUNCTION("""COMPUTED_VALUE"""),"Qualified")</f>
        <v>Qualified</v>
      </c>
      <c r="G268" s="25" t="str">
        <f>IFERROR(__xludf.DUMMYFUNCTION("""COMPUTED_VALUE"""),"2H1M C")</f>
        <v>2H1M C</v>
      </c>
      <c r="H268" s="92"/>
      <c r="I268" s="80">
        <f>IFERROR(__xludf.DUMMYFUNCTION("""COMPUTED_VALUE"""),2.0)</f>
        <v>2</v>
      </c>
      <c r="J268" s="93">
        <f>IFERROR(__xludf.DUMMYFUNCTION("""COMPUTED_VALUE"""),3000000.0)</f>
        <v>3000000</v>
      </c>
      <c r="K268" s="19" t="str">
        <f>IFERROR(__xludf.DUMMYFUNCTION("""COMPUTED_VALUE"""),"tanya-tanya untuk honeymoon, FU 3 Januari 2027")</f>
        <v>tanya-tanya untuk honeymoon, FU 3 Januari 2027</v>
      </c>
      <c r="L268" s="88" t="str">
        <f>IFERROR(__xludf.DUMMYFUNCTION("""COMPUTED_VALUE"""),"https://docs.google.com/document/d/1ZVM2nG5A0QpryZ7a7SN7THwKSatwlik4_oLgFDGnrHQ/edit?tab=t.0")</f>
        <v>https://docs.google.com/document/d/1ZVM2nG5A0QpryZ7a7SN7THwKSatwlik4_oLgFDGnrHQ/edit?tab=t.0</v>
      </c>
      <c r="M268" s="20"/>
      <c r="N268" s="20"/>
      <c r="O268" s="20"/>
      <c r="P268" s="20"/>
    </row>
    <row r="269">
      <c r="A269" s="110">
        <f>IFERROR(__xludf.DUMMYFUNCTION("""COMPUTED_VALUE"""),46071.0)</f>
        <v>46071</v>
      </c>
      <c r="B269" s="110" t="str">
        <f>IFERROR(__xludf.DUMMYFUNCTION("""COMPUTED_VALUE"""),"2602D082")</f>
        <v>2602D082</v>
      </c>
      <c r="C269" s="49" t="str">
        <f>IFERROR(__xludf.DUMMYFUNCTION("""COMPUTED_VALUE"""),"Arum")</f>
        <v>Arum</v>
      </c>
      <c r="D269" s="102" t="str">
        <f>IFERROR(__xludf.DUMMYFUNCTION("""COMPUTED_VALUE"""),"087789300092")</f>
        <v>087789300092</v>
      </c>
      <c r="E269" s="25" t="str">
        <f>IFERROR(__xludf.DUMMYFUNCTION("""COMPUTED_VALUE"""),"Instagram")</f>
        <v>Instagram</v>
      </c>
      <c r="F269" s="25" t="str">
        <f>IFERROR(__xludf.DUMMYFUNCTION("""COMPUTED_VALUE"""),"Gagal")</f>
        <v>Gagal</v>
      </c>
      <c r="G269" s="15" t="str">
        <f>IFERROR(__xludf.DUMMYFUNCTION("""COMPUTED_VALUE"""),"4H3M ")</f>
        <v>4H3M </v>
      </c>
      <c r="H269" s="78"/>
      <c r="I269" s="89">
        <f>IFERROR(__xludf.DUMMYFUNCTION("""COMPUTED_VALUE"""),4.0)</f>
        <v>4</v>
      </c>
      <c r="J269" s="96">
        <f>IFERROR(__xludf.DUMMYFUNCTION("""COMPUTED_VALUE"""),8460000.0)</f>
        <v>8460000</v>
      </c>
      <c r="K269" s="36" t="str">
        <f>IFERROR(__xludf.DUMMYFUNCTION("""COMPUTED_VALUE"""),"ga dapat tiket pesawat")</f>
        <v>ga dapat tiket pesawat</v>
      </c>
      <c r="L269" s="49"/>
      <c r="M269" s="20"/>
      <c r="N269" s="20"/>
      <c r="O269" s="20"/>
      <c r="P269" s="20"/>
    </row>
    <row r="270">
      <c r="A270" s="97">
        <f>IFERROR(__xludf.DUMMYFUNCTION("""COMPUTED_VALUE"""),46071.0)</f>
        <v>46071</v>
      </c>
      <c r="B270" s="97" t="str">
        <f>IFERROR(__xludf.DUMMYFUNCTION("""COMPUTED_VALUE"""),"2602D083")</f>
        <v>2602D083</v>
      </c>
      <c r="C270" s="76" t="str">
        <f>IFERROR(__xludf.DUMMYFUNCTION("""COMPUTED_VALUE"""),"lulu")</f>
        <v>lulu</v>
      </c>
      <c r="D270" s="99" t="str">
        <f>IFERROR(__xludf.DUMMYFUNCTION("""COMPUTED_VALUE"""),"082123901471")</f>
        <v>082123901471</v>
      </c>
      <c r="E270" s="25" t="str">
        <f>IFERROR(__xludf.DUMMYFUNCTION("""COMPUTED_VALUE"""),"Lainnya")</f>
        <v>Lainnya</v>
      </c>
      <c r="F270" s="25" t="str">
        <f>IFERROR(__xludf.DUMMYFUNCTION("""COMPUTED_VALUE"""),"Gagal")</f>
        <v>Gagal</v>
      </c>
      <c r="G270" s="25" t="str">
        <f>IFERROR(__xludf.DUMMYFUNCTION("""COMPUTED_VALUE"""),"MT,DB")</f>
        <v>MT,DB</v>
      </c>
      <c r="H270" s="92">
        <f>IFERROR(__xludf.DUMMYFUNCTION("""COMPUTED_VALUE"""),46157.0)</f>
        <v>46157</v>
      </c>
      <c r="I270" s="80">
        <f>IFERROR(__xludf.DUMMYFUNCTION("""COMPUTED_VALUE"""),2.0)</f>
        <v>2</v>
      </c>
      <c r="J270" s="93">
        <f>IFERROR(__xludf.DUMMYFUNCTION("""COMPUTED_VALUE"""),1900000.0)</f>
        <v>1900000</v>
      </c>
      <c r="K270" s="19" t="str">
        <f>IFERROR(__xludf.DUMMYFUNCTION("""COMPUTED_VALUE"""),"fullbooked, ga ada balasan")</f>
        <v>fullbooked, ga ada balasan</v>
      </c>
      <c r="L270" s="88" t="str">
        <f>IFERROR(__xludf.DUMMYFUNCTION("""COMPUTED_VALUE"""),"https://docs.google.com/document/d/1oRyF8UkrQPn0Tse4l-gIjOvJm0ZPE8TR15M7IrFmYyQ/edit?tab=t.0")</f>
        <v>https://docs.google.com/document/d/1oRyF8UkrQPn0Tse4l-gIjOvJm0ZPE8TR15M7IrFmYyQ/edit?tab=t.0</v>
      </c>
      <c r="M270" s="20"/>
      <c r="N270" s="20"/>
      <c r="O270" s="20"/>
      <c r="P270" s="20"/>
    </row>
    <row r="271">
      <c r="A271" s="110">
        <f>IFERROR(__xludf.DUMMYFUNCTION("""COMPUTED_VALUE"""),46071.0)</f>
        <v>46071</v>
      </c>
      <c r="B271" s="110" t="str">
        <f>IFERROR(__xludf.DUMMYFUNCTION("""COMPUTED_VALUE"""),"2602D084")</f>
        <v>2602D084</v>
      </c>
      <c r="C271" s="49" t="str">
        <f>IFERROR(__xludf.DUMMYFUNCTION("""COMPUTED_VALUE"""),"maria melinda")</f>
        <v>maria melinda</v>
      </c>
      <c r="D271" s="102" t="str">
        <f>IFERROR(__xludf.DUMMYFUNCTION("""COMPUTED_VALUE"""),"081365986558")</f>
        <v>081365986558</v>
      </c>
      <c r="E271" s="25" t="str">
        <f>IFERROR(__xludf.DUMMYFUNCTION("""COMPUTED_VALUE"""),"Lainnya")</f>
        <v>Lainnya</v>
      </c>
      <c r="F271" s="25" t="str">
        <f>IFERROR(__xludf.DUMMYFUNCTION("""COMPUTED_VALUE"""),"Gagal")</f>
        <v>Gagal</v>
      </c>
      <c r="G271" s="25" t="str">
        <f>IFERROR(__xludf.DUMMYFUNCTION("""COMPUTED_VALUE"""),"3H2M")</f>
        <v>3H2M</v>
      </c>
      <c r="H271" s="78"/>
      <c r="I271" s="89">
        <f>IFERROR(__xludf.DUMMYFUNCTION("""COMPUTED_VALUE"""),3.0)</f>
        <v>3</v>
      </c>
      <c r="J271" s="33"/>
      <c r="K271" s="30" t="str">
        <f>IFERROR(__xludf.DUMMYFUNCTION("""COMPUTED_VALUE"""),"tidak ada jawaban")</f>
        <v>tidak ada jawaban</v>
      </c>
      <c r="L271" s="49"/>
      <c r="M271" s="20"/>
      <c r="N271" s="20"/>
      <c r="O271" s="20"/>
      <c r="P271" s="20"/>
    </row>
    <row r="272">
      <c r="A272" s="97">
        <f>IFERROR(__xludf.DUMMYFUNCTION("""COMPUTED_VALUE"""),46071.0)</f>
        <v>46071</v>
      </c>
      <c r="B272" s="97" t="str">
        <f>IFERROR(__xludf.DUMMYFUNCTION("""COMPUTED_VALUE"""),"2602D085")</f>
        <v>2602D085</v>
      </c>
      <c r="C272" s="76" t="str">
        <f>IFERROR(__xludf.DUMMYFUNCTION("""COMPUTED_VALUE"""),"kintana")</f>
        <v>kintana</v>
      </c>
      <c r="D272" s="99" t="str">
        <f>IFERROR(__xludf.DUMMYFUNCTION("""COMPUTED_VALUE"""),"081574797803")</f>
        <v>081574797803</v>
      </c>
      <c r="E272" s="25" t="str">
        <f>IFERROR(__xludf.DUMMYFUNCTION("""COMPUTED_VALUE"""),"Lainnya")</f>
        <v>Lainnya</v>
      </c>
      <c r="F272" s="25" t="str">
        <f>IFERROR(__xludf.DUMMYFUNCTION("""COMPUTED_VALUE"""),"Gagal")</f>
        <v>Gagal</v>
      </c>
      <c r="G272" s="25" t="str">
        <f>IFERROR(__xludf.DUMMYFUNCTION("""COMPUTED_VALUE"""),"3H2M Custom")</f>
        <v>3H2M Custom</v>
      </c>
      <c r="H272" s="92">
        <f>IFERROR(__xludf.DUMMYFUNCTION("""COMPUTED_VALUE"""),46106.0)</f>
        <v>46106</v>
      </c>
      <c r="I272" s="80">
        <f>IFERROR(__xludf.DUMMYFUNCTION("""COMPUTED_VALUE"""),2.0)</f>
        <v>2</v>
      </c>
      <c r="J272" s="93">
        <f>IFERROR(__xludf.DUMMYFUNCTION("""COMPUTED_VALUE"""),1.0E7)</f>
        <v>10000000</v>
      </c>
      <c r="K272" s="19" t="str">
        <f>IFERROR(__xludf.DUMMYFUNCTION("""COMPUTED_VALUE"""),"sudah FU 5")</f>
        <v>sudah FU 5</v>
      </c>
      <c r="L272" s="88" t="str">
        <f>IFERROR(__xludf.DUMMYFUNCTION("""COMPUTED_VALUE"""),"https://docs.google.com/document/d/1nyARtUsvrxgITeyFZAtQL4OYVLmutkV8NtvELVyHkrM/edit?tab=t.0")</f>
        <v>https://docs.google.com/document/d/1nyARtUsvrxgITeyFZAtQL4OYVLmutkV8NtvELVyHkrM/edit?tab=t.0</v>
      </c>
      <c r="M272" s="20"/>
      <c r="N272" s="20"/>
      <c r="O272" s="20"/>
      <c r="P272" s="20"/>
    </row>
    <row r="273">
      <c r="A273" s="110">
        <f>IFERROR(__xludf.DUMMYFUNCTION("""COMPUTED_VALUE"""),46071.0)</f>
        <v>46071</v>
      </c>
      <c r="B273" s="110" t="str">
        <f>IFERROR(__xludf.DUMMYFUNCTION("""COMPUTED_VALUE"""),"2602D086")</f>
        <v>2602D086</v>
      </c>
      <c r="C273" s="49" t="str">
        <f>IFERROR(__xludf.DUMMYFUNCTION("""COMPUTED_VALUE"""),"Nova Pramita")</f>
        <v>Nova Pramita</v>
      </c>
      <c r="D273" s="102" t="str">
        <f>IFERROR(__xludf.DUMMYFUNCTION("""COMPUTED_VALUE"""),"087777341697")</f>
        <v>087777341697</v>
      </c>
      <c r="E273" s="25" t="str">
        <f>IFERROR(__xludf.DUMMYFUNCTION("""COMPUTED_VALUE"""),"Instagram")</f>
        <v>Instagram</v>
      </c>
      <c r="F273" s="25" t="str">
        <f>IFERROR(__xludf.DUMMYFUNCTION("""COMPUTED_VALUE"""),"Gagal")</f>
        <v>Gagal</v>
      </c>
      <c r="G273" s="25" t="str">
        <f>IFERROR(__xludf.DUMMYFUNCTION("""COMPUTED_VALUE"""),"3h2m custom")</f>
        <v>3h2m custom</v>
      </c>
      <c r="H273" s="78"/>
      <c r="I273" s="89">
        <f>IFERROR(__xludf.DUMMYFUNCTION("""COMPUTED_VALUE"""),6.0)</f>
        <v>6</v>
      </c>
      <c r="J273" s="96"/>
      <c r="K273" s="30" t="str">
        <f>IFERROR(__xludf.DUMMYFUNCTION("""COMPUTED_VALUE"""),"Menjangan full booked")</f>
        <v>Menjangan full booked</v>
      </c>
      <c r="L273" s="49"/>
      <c r="M273" s="20"/>
      <c r="N273" s="20"/>
      <c r="O273" s="20"/>
      <c r="P273" s="20"/>
    </row>
    <row r="274">
      <c r="A274" s="97">
        <f>IFERROR(__xludf.DUMMYFUNCTION("""COMPUTED_VALUE"""),46072.0)</f>
        <v>46072</v>
      </c>
      <c r="B274" s="97" t="str">
        <f>IFERROR(__xludf.DUMMYFUNCTION("""COMPUTED_VALUE"""),"2602D087")</f>
        <v>2602D087</v>
      </c>
      <c r="C274" s="76" t="str">
        <f>IFERROR(__xludf.DUMMYFUNCTION("""COMPUTED_VALUE"""),"Devitaa")</f>
        <v>Devitaa</v>
      </c>
      <c r="D274" s="99" t="str">
        <f>IFERROR(__xludf.DUMMYFUNCTION("""COMPUTED_VALUE"""),"08158122558")</f>
        <v>08158122558</v>
      </c>
      <c r="E274" s="25" t="str">
        <f>IFERROR(__xludf.DUMMYFUNCTION("""COMPUTED_VALUE"""),"Instagram")</f>
        <v>Instagram</v>
      </c>
      <c r="F274" s="25" t="str">
        <f>IFERROR(__xludf.DUMMYFUNCTION("""COMPUTED_VALUE"""),"Gagal")</f>
        <v>Gagal</v>
      </c>
      <c r="G274" s="15" t="str">
        <f>IFERROR(__xludf.DUMMYFUNCTION("""COMPUTED_VALUE"""),"3H2M")</f>
        <v>3H2M</v>
      </c>
      <c r="H274" s="16"/>
      <c r="I274" s="17"/>
      <c r="J274" s="54"/>
      <c r="K274" s="46" t="str">
        <f>IFERROR(__xludf.DUMMYFUNCTION("""COMPUTED_VALUE"""),"jadinya ke Jogja")</f>
        <v>jadinya ke Jogja</v>
      </c>
      <c r="L274" s="76"/>
      <c r="M274" s="20"/>
      <c r="N274" s="20"/>
      <c r="O274" s="20"/>
      <c r="P274" s="20"/>
    </row>
    <row r="275">
      <c r="A275" s="110">
        <f>IFERROR(__xludf.DUMMYFUNCTION("""COMPUTED_VALUE"""),46072.0)</f>
        <v>46072</v>
      </c>
      <c r="B275" s="110" t="str">
        <f>IFERROR(__xludf.DUMMYFUNCTION("""COMPUTED_VALUE"""),"2602D088")</f>
        <v>2602D088</v>
      </c>
      <c r="C275" s="49" t="str">
        <f>IFERROR(__xludf.DUMMYFUNCTION("""COMPUTED_VALUE"""),"Resna")</f>
        <v>Resna</v>
      </c>
      <c r="D275" s="102" t="str">
        <f>IFERROR(__xludf.DUMMYFUNCTION("""COMPUTED_VALUE"""),"081585383655")</f>
        <v>081585383655</v>
      </c>
      <c r="E275" s="25" t="str">
        <f>IFERROR(__xludf.DUMMYFUNCTION("""COMPUTED_VALUE"""),"Lainnya")</f>
        <v>Lainnya</v>
      </c>
      <c r="F275" s="25" t="str">
        <f>IFERROR(__xludf.DUMMYFUNCTION("""COMPUTED_VALUE"""),"Gagal")</f>
        <v>Gagal</v>
      </c>
      <c r="G275" s="25" t="str">
        <f>IFERROR(__xludf.DUMMYFUNCTION("""COMPUTED_VALUE"""),"OT D,B")</f>
        <v>OT D,B</v>
      </c>
      <c r="H275" s="78"/>
      <c r="I275" s="89"/>
      <c r="J275" s="96"/>
      <c r="K275" s="36" t="str">
        <f>IFERROR(__xludf.DUMMYFUNCTION("""COMPUTED_VALUE"""),"tidak ada jawaban")</f>
        <v>tidak ada jawaban</v>
      </c>
      <c r="L275" s="49"/>
      <c r="M275" s="20"/>
      <c r="N275" s="20"/>
      <c r="O275" s="20"/>
      <c r="P275" s="20"/>
    </row>
    <row r="276">
      <c r="A276" s="97">
        <f>IFERROR(__xludf.DUMMYFUNCTION("""COMPUTED_VALUE"""),46073.0)</f>
        <v>46073</v>
      </c>
      <c r="B276" s="97" t="str">
        <f>IFERROR(__xludf.DUMMYFUNCTION("""COMPUTED_VALUE"""),"2602D089")</f>
        <v>2602D089</v>
      </c>
      <c r="C276" s="76" t="str">
        <f>IFERROR(__xludf.DUMMYFUNCTION("""COMPUTED_VALUE"""),"Rama")</f>
        <v>Rama</v>
      </c>
      <c r="D276" s="99" t="str">
        <f>IFERROR(__xludf.DUMMYFUNCTION("""COMPUTED_VALUE"""),"085815842363")</f>
        <v>085815842363</v>
      </c>
      <c r="E276" s="25" t="str">
        <f>IFERROR(__xludf.DUMMYFUNCTION("""COMPUTED_VALUE"""),"Instagram")</f>
        <v>Instagram</v>
      </c>
      <c r="F276" s="25" t="str">
        <f>IFERROR(__xludf.DUMMYFUNCTION("""COMPUTED_VALUE"""),"Gagal")</f>
        <v>Gagal</v>
      </c>
      <c r="G276" s="25"/>
      <c r="H276" s="92"/>
      <c r="I276" s="80"/>
      <c r="J276" s="93"/>
      <c r="K276" s="19" t="str">
        <f>IFERROR(__xludf.DUMMYFUNCTION("""COMPUTED_VALUE"""),"tidak ada jawaban")</f>
        <v>tidak ada jawaban</v>
      </c>
      <c r="L276" s="76"/>
      <c r="M276" s="20"/>
      <c r="N276" s="20"/>
      <c r="O276" s="20"/>
      <c r="P276" s="20"/>
    </row>
    <row r="277">
      <c r="A277" s="110">
        <f>IFERROR(__xludf.DUMMYFUNCTION("""COMPUTED_VALUE"""),46073.0)</f>
        <v>46073</v>
      </c>
      <c r="B277" s="110" t="str">
        <f>IFERROR(__xludf.DUMMYFUNCTION("""COMPUTED_VALUE"""),"2602D090")</f>
        <v>2602D090</v>
      </c>
      <c r="C277" s="49" t="str">
        <f>IFERROR(__xludf.DUMMYFUNCTION("""COMPUTED_VALUE"""),"Bagas K")</f>
        <v>Bagas K</v>
      </c>
      <c r="D277" s="102" t="str">
        <f>IFERROR(__xludf.DUMMYFUNCTION("""COMPUTED_VALUE"""),"081281916862")</f>
        <v>081281916862</v>
      </c>
      <c r="E277" s="25" t="str">
        <f>IFERROR(__xludf.DUMMYFUNCTION("""COMPUTED_VALUE"""),"Instagram")</f>
        <v>Instagram</v>
      </c>
      <c r="F277" s="25" t="str">
        <f>IFERROR(__xludf.DUMMYFUNCTION("""COMPUTED_VALUE"""),"Gagal")</f>
        <v>Gagal</v>
      </c>
      <c r="G277" s="15" t="str">
        <f>IFERROR(__xludf.DUMMYFUNCTION("""COMPUTED_VALUE"""),"OT Menjangan Tabuhan")</f>
        <v>OT Menjangan Tabuhan</v>
      </c>
      <c r="H277" s="78">
        <f>IFERROR(__xludf.DUMMYFUNCTION("""COMPUTED_VALUE"""),46107.0)</f>
        <v>46107</v>
      </c>
      <c r="I277" s="27">
        <f>IFERROR(__xludf.DUMMYFUNCTION("""COMPUTED_VALUE"""),5.0)</f>
        <v>5</v>
      </c>
      <c r="J277" s="96">
        <f>IFERROR(__xludf.DUMMYFUNCTION("""COMPUTED_VALUE"""),2875000.0)</f>
        <v>2875000</v>
      </c>
      <c r="K277" s="36" t="str">
        <f>IFERROR(__xludf.DUMMYFUNCTION("""COMPUTED_VALUE"""),"belum jadi")</f>
        <v>belum jadi</v>
      </c>
      <c r="L277" s="49"/>
      <c r="M277" s="20"/>
      <c r="N277" s="20"/>
      <c r="O277" s="20"/>
      <c r="P277" s="20"/>
    </row>
    <row r="278">
      <c r="A278" s="97">
        <f>IFERROR(__xludf.DUMMYFUNCTION("""COMPUTED_VALUE"""),46073.0)</f>
        <v>46073</v>
      </c>
      <c r="B278" s="97" t="str">
        <f>IFERROR(__xludf.DUMMYFUNCTION("""COMPUTED_VALUE"""),"2602D091")</f>
        <v>2602D091</v>
      </c>
      <c r="C278" s="76" t="str">
        <f>IFERROR(__xludf.DUMMYFUNCTION("""COMPUTED_VALUE"""),"vo")</f>
        <v>vo</v>
      </c>
      <c r="D278" s="99" t="str">
        <f>IFERROR(__xludf.DUMMYFUNCTION("""COMPUTED_VALUE"""),"085218179125")</f>
        <v>085218179125</v>
      </c>
      <c r="E278" s="25" t="str">
        <f>IFERROR(__xludf.DUMMYFUNCTION("""COMPUTED_VALUE"""),"Instagram")</f>
        <v>Instagram</v>
      </c>
      <c r="F278" s="25" t="str">
        <f>IFERROR(__xludf.DUMMYFUNCTION("""COMPUTED_VALUE"""),"Gagal")</f>
        <v>Gagal</v>
      </c>
      <c r="G278" s="25" t="str">
        <f>IFERROR(__xludf.DUMMYFUNCTION("""COMPUTED_VALUE"""),"1D trip")</f>
        <v>1D trip</v>
      </c>
      <c r="H278" s="92">
        <f>IFERROR(__xludf.DUMMYFUNCTION("""COMPUTED_VALUE"""),46108.0)</f>
        <v>46108</v>
      </c>
      <c r="I278" s="17"/>
      <c r="J278" s="93"/>
      <c r="K278" s="46" t="str">
        <f>IFERROR(__xludf.DUMMYFUNCTION("""COMPUTED_VALUE"""),"ga jadi, next time aja")</f>
        <v>ga jadi, next time aja</v>
      </c>
      <c r="L278" s="76"/>
      <c r="M278" s="20"/>
      <c r="N278" s="20"/>
      <c r="O278" s="20"/>
      <c r="P278" s="20"/>
    </row>
    <row r="279">
      <c r="A279" s="110">
        <f>IFERROR(__xludf.DUMMYFUNCTION("""COMPUTED_VALUE"""),46073.0)</f>
        <v>46073</v>
      </c>
      <c r="B279" s="110" t="str">
        <f>IFERROR(__xludf.DUMMYFUNCTION("""COMPUTED_VALUE"""),"2602D092")</f>
        <v>2602D092</v>
      </c>
      <c r="C279" s="49" t="str">
        <f>IFERROR(__xludf.DUMMYFUNCTION("""COMPUTED_VALUE"""),"Slime")</f>
        <v>Slime</v>
      </c>
      <c r="D279" s="102" t="str">
        <f>IFERROR(__xludf.DUMMYFUNCTION("""COMPUTED_VALUE"""),"082251237082")</f>
        <v>082251237082</v>
      </c>
      <c r="E279" s="25" t="str">
        <f>IFERROR(__xludf.DUMMYFUNCTION("""COMPUTED_VALUE"""),"Lainnya")</f>
        <v>Lainnya</v>
      </c>
      <c r="F279" s="25" t="str">
        <f>IFERROR(__xludf.DUMMYFUNCTION("""COMPUTED_VALUE"""),"Gagal")</f>
        <v>Gagal</v>
      </c>
      <c r="G279" s="25" t="str">
        <f>IFERROR(__xludf.DUMMYFUNCTION("""COMPUTED_VALUE"""),"trip kawah ijen")</f>
        <v>trip kawah ijen</v>
      </c>
      <c r="H279" s="78">
        <f>IFERROR(__xludf.DUMMYFUNCTION("""COMPUTED_VALUE"""),46080.0)</f>
        <v>46080</v>
      </c>
      <c r="I279" s="89">
        <f>IFERROR(__xludf.DUMMYFUNCTION("""COMPUTED_VALUE"""),1.0)</f>
        <v>1</v>
      </c>
      <c r="J279" s="96">
        <f>IFERROR(__xludf.DUMMYFUNCTION("""COMPUTED_VALUE"""),250000.0)</f>
        <v>250000</v>
      </c>
      <c r="K279" s="36" t="str">
        <f>IFERROR(__xludf.DUMMYFUNCTION("""COMPUTED_VALUE"""),"gagal karna cuma 1 org yg trip")</f>
        <v>gagal karna cuma 1 org yg trip</v>
      </c>
      <c r="L279" s="76"/>
      <c r="M279" s="20"/>
      <c r="N279" s="20"/>
      <c r="O279" s="20"/>
      <c r="P279" s="20"/>
    </row>
    <row r="280">
      <c r="A280" s="97">
        <f>IFERROR(__xludf.DUMMYFUNCTION("""COMPUTED_VALUE"""),46073.0)</f>
        <v>46073</v>
      </c>
      <c r="B280" s="97" t="str">
        <f>IFERROR(__xludf.DUMMYFUNCTION("""COMPUTED_VALUE"""),"2602D093")</f>
        <v>2602D093</v>
      </c>
      <c r="C280" s="76" t="str">
        <f>IFERROR(__xludf.DUMMYFUNCTION("""COMPUTED_VALUE"""),"Uven Sanjay")</f>
        <v>Uven Sanjay</v>
      </c>
      <c r="D280" s="99" t="str">
        <f>IFERROR(__xludf.DUMMYFUNCTION("""COMPUTED_VALUE"""),"082277484501")</f>
        <v>082277484501</v>
      </c>
      <c r="E280" s="25" t="str">
        <f>IFERROR(__xludf.DUMMYFUNCTION("""COMPUTED_VALUE"""),"Website")</f>
        <v>Website</v>
      </c>
      <c r="F280" s="25" t="str">
        <f>IFERROR(__xludf.DUMMYFUNCTION("""COMPUTED_VALUE"""),"Gagal")</f>
        <v>Gagal</v>
      </c>
      <c r="G280" s="25" t="str">
        <f>IFERROR(__xludf.DUMMYFUNCTION("""COMPUTED_VALUE"""),"trip  D,B")</f>
        <v>trip  D,B</v>
      </c>
      <c r="H280" s="92"/>
      <c r="I280" s="17">
        <f>IFERROR(__xludf.DUMMYFUNCTION("""COMPUTED_VALUE"""),3.0)</f>
        <v>3</v>
      </c>
      <c r="J280" s="93"/>
      <c r="K280" s="19" t="str">
        <f>IFERROR(__xludf.DUMMYFUNCTION("""COMPUTED_VALUE"""),"tidak ada jawaban, sudah fu 5 kali")</f>
        <v>tidak ada jawaban, sudah fu 5 kali</v>
      </c>
      <c r="L280" s="88" t="str">
        <f>IFERROR(__xludf.DUMMYFUNCTION("""COMPUTED_VALUE"""),"https://docs.google.com/document/d/1sUo9upmASQKQw8QiENxcDK9iyfPsCXHIligIb4ig5nA/edit?tab=t.0")</f>
        <v>https://docs.google.com/document/d/1sUo9upmASQKQw8QiENxcDK9iyfPsCXHIligIb4ig5nA/edit?tab=t.0</v>
      </c>
      <c r="M280" s="20"/>
      <c r="N280" s="20"/>
      <c r="O280" s="20"/>
      <c r="P280" s="20"/>
    </row>
    <row r="281">
      <c r="A281" s="110">
        <f>IFERROR(__xludf.DUMMYFUNCTION("""COMPUTED_VALUE"""),46073.0)</f>
        <v>46073</v>
      </c>
      <c r="B281" s="110" t="str">
        <f>IFERROR(__xludf.DUMMYFUNCTION("""COMPUTED_VALUE"""),"2602D094")</f>
        <v>2602D094</v>
      </c>
      <c r="C281" s="49" t="str">
        <f>IFERROR(__xludf.DUMMYFUNCTION("""COMPUTED_VALUE"""),"Erwin Juniarto")</f>
        <v>Erwin Juniarto</v>
      </c>
      <c r="D281" s="102" t="str">
        <f>IFERROR(__xludf.DUMMYFUNCTION("""COMPUTED_VALUE"""),"0811428787")</f>
        <v>0811428787</v>
      </c>
      <c r="E281" s="25" t="str">
        <f>IFERROR(__xludf.DUMMYFUNCTION("""COMPUTED_VALUE"""),"Lainnya")</f>
        <v>Lainnya</v>
      </c>
      <c r="F281" s="25" t="str">
        <f>IFERROR(__xludf.DUMMYFUNCTION("""COMPUTED_VALUE"""),"Gagal")</f>
        <v>Gagal</v>
      </c>
      <c r="G281" s="25"/>
      <c r="H281" s="78"/>
      <c r="I281" s="89">
        <f>IFERROR(__xludf.DUMMYFUNCTION("""COMPUTED_VALUE"""),3.0)</f>
        <v>3</v>
      </c>
      <c r="J281" s="96"/>
      <c r="K281" s="36" t="str">
        <f>IFERROR(__xludf.DUMMYFUNCTION("""COMPUTED_VALUE"""),"berubah lokasi trip")</f>
        <v>berubah lokasi trip</v>
      </c>
      <c r="L281" s="49"/>
      <c r="M281" s="20"/>
      <c r="N281" s="20"/>
      <c r="O281" s="20"/>
      <c r="P281" s="20"/>
    </row>
    <row r="282">
      <c r="A282" s="97">
        <f>IFERROR(__xludf.DUMMYFUNCTION("""COMPUTED_VALUE"""),46074.0)</f>
        <v>46074</v>
      </c>
      <c r="B282" s="97" t="str">
        <f>IFERROR(__xludf.DUMMYFUNCTION("""COMPUTED_VALUE"""),"2602D095")</f>
        <v>2602D095</v>
      </c>
      <c r="C282" s="76" t="str">
        <f>IFERROR(__xludf.DUMMYFUNCTION("""COMPUTED_VALUE"""),"Vanda")</f>
        <v>Vanda</v>
      </c>
      <c r="D282" s="99" t="str">
        <f>IFERROR(__xludf.DUMMYFUNCTION("""COMPUTED_VALUE"""),"082114270940")</f>
        <v>082114270940</v>
      </c>
      <c r="E282" s="25" t="str">
        <f>IFERROR(__xludf.DUMMYFUNCTION("""COMPUTED_VALUE"""),"Instagram")</f>
        <v>Instagram</v>
      </c>
      <c r="F282" s="25" t="str">
        <f>IFERROR(__xludf.DUMMYFUNCTION("""COMPUTED_VALUE"""),"Gagal")</f>
        <v>Gagal</v>
      </c>
      <c r="G282" s="25" t="str">
        <f>IFERROR(__xludf.DUMMYFUNCTION("""COMPUTED_VALUE"""),"2H1M Opsi B")</f>
        <v>2H1M Opsi B</v>
      </c>
      <c r="H282" s="92"/>
      <c r="I282" s="80">
        <f>IFERROR(__xludf.DUMMYFUNCTION("""COMPUTED_VALUE"""),4.0)</f>
        <v>4</v>
      </c>
      <c r="J282" s="93">
        <f>IFERROR(__xludf.DUMMYFUNCTION("""COMPUTED_VALUE"""),5392400.0)</f>
        <v>5392400</v>
      </c>
      <c r="K282" s="19" t="str">
        <f>IFERROR(__xludf.DUMMYFUNCTION("""COMPUTED_VALUE"""),"tidak ada jawaban, sdh fu 5 kali")</f>
        <v>tidak ada jawaban, sdh fu 5 kali</v>
      </c>
      <c r="L282" s="88" t="str">
        <f>IFERROR(__xludf.DUMMYFUNCTION("""COMPUTED_VALUE"""),"https://docs.google.com/document/d/1XBTsBc8L7tW8dQus1Z0rLhQJFDdu9hROOIL2mURXDJ0/edit?tab=t.0")</f>
        <v>https://docs.google.com/document/d/1XBTsBc8L7tW8dQus1Z0rLhQJFDdu9hROOIL2mURXDJ0/edit?tab=t.0</v>
      </c>
      <c r="M282" s="20"/>
      <c r="N282" s="20"/>
      <c r="O282" s="20"/>
      <c r="P282" s="20"/>
    </row>
    <row r="283">
      <c r="A283" s="110">
        <f>IFERROR(__xludf.DUMMYFUNCTION("""COMPUTED_VALUE"""),46074.0)</f>
        <v>46074</v>
      </c>
      <c r="B283" s="110" t="str">
        <f>IFERROR(__xludf.DUMMYFUNCTION("""COMPUTED_VALUE"""),"2602D096")</f>
        <v>2602D096</v>
      </c>
      <c r="C283" s="49" t="str">
        <f>IFERROR(__xludf.DUMMYFUNCTION("""COMPUTED_VALUE"""),"Syafira")</f>
        <v>Syafira</v>
      </c>
      <c r="D283" s="102" t="str">
        <f>IFERROR(__xludf.DUMMYFUNCTION("""COMPUTED_VALUE"""),"089519991115")</f>
        <v>089519991115</v>
      </c>
      <c r="E283" s="25" t="str">
        <f>IFERROR(__xludf.DUMMYFUNCTION("""COMPUTED_VALUE"""),"Instagram")</f>
        <v>Instagram</v>
      </c>
      <c r="F283" s="25" t="str">
        <f>IFERROR(__xludf.DUMMYFUNCTION("""COMPUTED_VALUE"""),"Closing")</f>
        <v>Closing</v>
      </c>
      <c r="G283" s="15" t="str">
        <f>IFERROR(__xludf.DUMMYFUNCTION("""COMPUTED_VALUE"""),"open trip 3h2m")</f>
        <v>open trip 3h2m</v>
      </c>
      <c r="H283" s="26"/>
      <c r="I283" s="27">
        <f>IFERROR(__xludf.DUMMYFUNCTION("""COMPUTED_VALUE"""),2.0)</f>
        <v>2</v>
      </c>
      <c r="J283" s="96">
        <f>IFERROR(__xludf.DUMMYFUNCTION("""COMPUTED_VALUE"""),3200000.0)</f>
        <v>3200000</v>
      </c>
      <c r="K283" s="36" t="str">
        <f>IFERROR(__xludf.DUMMYFUNCTION("""COMPUTED_VALUE"""),"cek kamar lagi")</f>
        <v>cek kamar lagi</v>
      </c>
      <c r="L283" s="81" t="str">
        <f>IFERROR(__xludf.DUMMYFUNCTION("""COMPUTED_VALUE"""),"https://docs.google.com/document/d/1V_TrD_FeaK4qHeoYg-2_qc9fw7SKmeuzfL3RgxHGOjw/edit?tab=t.0")</f>
        <v>https://docs.google.com/document/d/1V_TrD_FeaK4qHeoYg-2_qc9fw7SKmeuzfL3RgxHGOjw/edit?tab=t.0</v>
      </c>
      <c r="M283" s="20"/>
      <c r="N283" s="20"/>
      <c r="O283" s="20"/>
      <c r="P283" s="20"/>
    </row>
    <row r="284">
      <c r="A284" s="97">
        <f>IFERROR(__xludf.DUMMYFUNCTION("""COMPUTED_VALUE"""),46075.0)</f>
        <v>46075</v>
      </c>
      <c r="B284" s="97" t="str">
        <f>IFERROR(__xludf.DUMMYFUNCTION("""COMPUTED_VALUE"""),"2602D097")</f>
        <v>2602D097</v>
      </c>
      <c r="C284" s="76" t="str">
        <f>IFERROR(__xludf.DUMMYFUNCTION("""COMPUTED_VALUE"""),"Cornelius Dino")</f>
        <v>Cornelius Dino</v>
      </c>
      <c r="D284" s="99" t="str">
        <f>IFERROR(__xludf.DUMMYFUNCTION("""COMPUTED_VALUE"""),"0812211100")</f>
        <v>0812211100</v>
      </c>
      <c r="E284" s="25" t="str">
        <f>IFERROR(__xludf.DUMMYFUNCTION("""COMPUTED_VALUE"""),"Lainnya")</f>
        <v>Lainnya</v>
      </c>
      <c r="F284" s="25" t="str">
        <f>IFERROR(__xludf.DUMMYFUNCTION("""COMPUTED_VALUE"""),"Closing")</f>
        <v>Closing</v>
      </c>
      <c r="G284" s="15" t="str">
        <f>IFERROR(__xludf.DUMMYFUNCTION("""COMPUTED_VALUE"""),"2H1M")</f>
        <v>2H1M</v>
      </c>
      <c r="H284" s="16"/>
      <c r="I284" s="17">
        <f>IFERROR(__xludf.DUMMYFUNCTION("""COMPUTED_VALUE"""),6.0)</f>
        <v>6</v>
      </c>
      <c r="J284" s="54">
        <f>IFERROR(__xludf.DUMMYFUNCTION("""COMPUTED_VALUE"""),8496000.0)</f>
        <v>8496000</v>
      </c>
      <c r="K284" s="19" t="str">
        <f>IFERROR(__xludf.DUMMYFUNCTION("""COMPUTED_VALUE"""),"tanya tanya foto destinasi, FU Tanggal Bulan April tanggal 20")</f>
        <v>tanya tanya foto destinasi, FU Tanggal Bulan April tanggal 20</v>
      </c>
      <c r="L284" s="88" t="str">
        <f>IFERROR(__xludf.DUMMYFUNCTION("""COMPUTED_VALUE"""),"https://docs.google.com/document/d/1DpONH5d7bMeK0kLiCkaBv25uBBZlLCXWnx36awKBFUU/edit?tab=t.0")</f>
        <v>https://docs.google.com/document/d/1DpONH5d7bMeK0kLiCkaBv25uBBZlLCXWnx36awKBFUU/edit?tab=t.0</v>
      </c>
      <c r="M284" s="20"/>
      <c r="N284" s="20"/>
      <c r="O284" s="20"/>
      <c r="P284" s="20"/>
    </row>
    <row r="285">
      <c r="A285" s="110">
        <f>IFERROR(__xludf.DUMMYFUNCTION("""COMPUTED_VALUE"""),46075.0)</f>
        <v>46075</v>
      </c>
      <c r="B285" s="110" t="str">
        <f>IFERROR(__xludf.DUMMYFUNCTION("""COMPUTED_VALUE"""),"2602D098")</f>
        <v>2602D098</v>
      </c>
      <c r="C285" s="49" t="str">
        <f>IFERROR(__xludf.DUMMYFUNCTION("""COMPUTED_VALUE"""),"Siti hamidah")</f>
        <v>Siti hamidah</v>
      </c>
      <c r="D285" s="102" t="str">
        <f>IFERROR(__xludf.DUMMYFUNCTION("""COMPUTED_VALUE"""),"085729855841")</f>
        <v>085729855841</v>
      </c>
      <c r="E285" s="25" t="str">
        <f>IFERROR(__xludf.DUMMYFUNCTION("""COMPUTED_VALUE"""),"Lainnya")</f>
        <v>Lainnya</v>
      </c>
      <c r="F285" s="25" t="str">
        <f>IFERROR(__xludf.DUMMYFUNCTION("""COMPUTED_VALUE"""),"Closing")</f>
        <v>Closing</v>
      </c>
      <c r="G285" s="15" t="str">
        <f>IFERROR(__xludf.DUMMYFUNCTION("""COMPUTED_VALUE"""),"2H1M C")</f>
        <v>2H1M C</v>
      </c>
      <c r="H285" s="78">
        <f>IFERROR(__xludf.DUMMYFUNCTION("""COMPUTED_VALUE"""),46105.0)</f>
        <v>46105</v>
      </c>
      <c r="I285" s="89">
        <f>IFERROR(__xludf.DUMMYFUNCTION("""COMPUTED_VALUE"""),6.0)</f>
        <v>6</v>
      </c>
      <c r="J285" s="96">
        <f>IFERROR(__xludf.DUMMYFUNCTION("""COMPUTED_VALUE"""),8916600.0)</f>
        <v>8916600</v>
      </c>
      <c r="K285" s="36" t="str">
        <f>IFERROR(__xludf.DUMMYFUNCTION("""COMPUTED_VALUE"""),"minta itinirery")</f>
        <v>minta itinirery</v>
      </c>
      <c r="L285" s="49"/>
      <c r="M285" s="20"/>
      <c r="N285" s="20"/>
      <c r="O285" s="20"/>
      <c r="P285" s="20"/>
    </row>
    <row r="286">
      <c r="A286" s="97">
        <f>IFERROR(__xludf.DUMMYFUNCTION("""COMPUTED_VALUE"""),46075.0)</f>
        <v>46075</v>
      </c>
      <c r="B286" s="97" t="str">
        <f>IFERROR(__xludf.DUMMYFUNCTION("""COMPUTED_VALUE"""),"2602D099")</f>
        <v>2602D099</v>
      </c>
      <c r="C286" s="76" t="str">
        <f>IFERROR(__xludf.DUMMYFUNCTION("""COMPUTED_VALUE"""),"Zahra Amalia")</f>
        <v>Zahra Amalia</v>
      </c>
      <c r="D286" s="99" t="str">
        <f>IFERROR(__xludf.DUMMYFUNCTION("""COMPUTED_VALUE"""),"085885609087")</f>
        <v>085885609087</v>
      </c>
      <c r="E286" s="25" t="str">
        <f>IFERROR(__xludf.DUMMYFUNCTION("""COMPUTED_VALUE"""),"Instagram")</f>
        <v>Instagram</v>
      </c>
      <c r="F286" s="25" t="str">
        <f>IFERROR(__xludf.DUMMYFUNCTION("""COMPUTED_VALUE"""),"Gagal")</f>
        <v>Gagal</v>
      </c>
      <c r="G286" s="15"/>
      <c r="H286" s="92"/>
      <c r="I286" s="17"/>
      <c r="J286" s="54"/>
      <c r="K286" s="19" t="str">
        <f>IFERROR(__xludf.DUMMYFUNCTION("""COMPUTED_VALUE"""),"tidak ada jawaban, hanya menyapa")</f>
        <v>tidak ada jawaban, hanya menyapa</v>
      </c>
      <c r="L286" s="76"/>
      <c r="M286" s="20"/>
      <c r="N286" s="20"/>
      <c r="O286" s="20"/>
      <c r="P286" s="20"/>
    </row>
    <row r="287">
      <c r="A287" s="110">
        <f>IFERROR(__xludf.DUMMYFUNCTION("""COMPUTED_VALUE"""),46076.0)</f>
        <v>46076</v>
      </c>
      <c r="B287" s="110" t="str">
        <f>IFERROR(__xludf.DUMMYFUNCTION("""COMPUTED_VALUE"""),"2602D100")</f>
        <v>2602D100</v>
      </c>
      <c r="C287" s="49" t="str">
        <f>IFERROR(__xludf.DUMMYFUNCTION("""COMPUTED_VALUE"""),"Ary Setyo")</f>
        <v>Ary Setyo</v>
      </c>
      <c r="D287" s="102" t="str">
        <f>IFERROR(__xludf.DUMMYFUNCTION("""COMPUTED_VALUE"""),"085712571791")</f>
        <v>085712571791</v>
      </c>
      <c r="E287" s="25" t="str">
        <f>IFERROR(__xludf.DUMMYFUNCTION("""COMPUTED_VALUE"""),"Website")</f>
        <v>Website</v>
      </c>
      <c r="F287" s="25" t="str">
        <f>IFERROR(__xludf.DUMMYFUNCTION("""COMPUTED_VALUE"""),"Closing")</f>
        <v>Closing</v>
      </c>
      <c r="G287" s="15" t="str">
        <f>IFERROR(__xludf.DUMMYFUNCTION("""COMPUTED_VALUE"""),"3H2M")</f>
        <v>3H2M</v>
      </c>
      <c r="H287" s="78">
        <f>IFERROR(__xludf.DUMMYFUNCTION("""COMPUTED_VALUE"""),46129.0)</f>
        <v>46129</v>
      </c>
      <c r="I287" s="27">
        <f>IFERROR(__xludf.DUMMYFUNCTION("""COMPUTED_VALUE"""),10.0)</f>
        <v>10</v>
      </c>
      <c r="J287" s="96">
        <f>IFERROR(__xludf.DUMMYFUNCTION("""COMPUTED_VALUE"""),9300000.0)</f>
        <v>9300000</v>
      </c>
      <c r="K287" s="30" t="str">
        <f>IFERROR(__xludf.DUMMYFUNCTION("""COMPUTED_VALUE"""),"ALHAMDULILLAH ORDER")</f>
        <v>ALHAMDULILLAH ORDER</v>
      </c>
      <c r="L287" s="81" t="str">
        <f>IFERROR(__xludf.DUMMYFUNCTION("""COMPUTED_VALUE"""),"https://docs.google.com/document/d/187QEXKWyFnHutsTlQmvxeE5f5UhR_fjPeyu0CM-4XjM/edit?tab=t.0")</f>
        <v>https://docs.google.com/document/d/187QEXKWyFnHutsTlQmvxeE5f5UhR_fjPeyu0CM-4XjM/edit?tab=t.0</v>
      </c>
      <c r="M287" s="20"/>
      <c r="N287" s="20"/>
      <c r="O287" s="20"/>
      <c r="P287" s="20"/>
    </row>
    <row r="288">
      <c r="A288" s="97">
        <f>IFERROR(__xludf.DUMMYFUNCTION("""COMPUTED_VALUE"""),46076.0)</f>
        <v>46076</v>
      </c>
      <c r="B288" s="97" t="str">
        <f>IFERROR(__xludf.DUMMYFUNCTION("""COMPUTED_VALUE"""),"2602D101")</f>
        <v>2602D101</v>
      </c>
      <c r="C288" s="76" t="str">
        <f>IFERROR(__xludf.DUMMYFUNCTION("""COMPUTED_VALUE"""),"Moh Nur Faizi")</f>
        <v>Moh Nur Faizi</v>
      </c>
      <c r="D288" s="99" t="str">
        <f>IFERROR(__xludf.DUMMYFUNCTION("""COMPUTED_VALUE"""),"082338927839")</f>
        <v>082338927839</v>
      </c>
      <c r="E288" s="25" t="str">
        <f>IFERROR(__xludf.DUMMYFUNCTION("""COMPUTED_VALUE"""),"Tiktok")</f>
        <v>Tiktok</v>
      </c>
      <c r="F288" s="25" t="str">
        <f>IFERROR(__xludf.DUMMYFUNCTION("""COMPUTED_VALUE"""),"Qualified")</f>
        <v>Qualified</v>
      </c>
      <c r="G288" s="15" t="str">
        <f>IFERROR(__xludf.DUMMYFUNCTION("""COMPUTED_VALUE"""),"Menjangan Tabuhan")</f>
        <v>Menjangan Tabuhan</v>
      </c>
      <c r="H288" s="16"/>
      <c r="I288" s="17">
        <f>IFERROR(__xludf.DUMMYFUNCTION("""COMPUTED_VALUE"""),4.0)</f>
        <v>4</v>
      </c>
      <c r="J288" s="54">
        <f>IFERROR(__xludf.DUMMYFUNCTION("""COMPUTED_VALUE"""),2600000.0)</f>
        <v>2600000</v>
      </c>
      <c r="K288" s="19" t="str">
        <f>IFERROR(__xludf.DUMMYFUNCTION("""COMPUTED_VALUE"""),"nunggu uts, FU 5 Juni")</f>
        <v>nunggu uts, FU 5 Juni</v>
      </c>
      <c r="L288" s="88" t="str">
        <f>IFERROR(__xludf.DUMMYFUNCTION("""COMPUTED_VALUE"""),"https://docs.google.com/document/d/1QSjLqNBg4UULazz3KLHCdoUvo5_37rPn72UHRCLXC-U/edit?tab=t.0")</f>
        <v>https://docs.google.com/document/d/1QSjLqNBg4UULazz3KLHCdoUvo5_37rPn72UHRCLXC-U/edit?tab=t.0</v>
      </c>
      <c r="M288" s="20"/>
      <c r="N288" s="20"/>
      <c r="O288" s="20"/>
      <c r="P288" s="20"/>
    </row>
    <row r="289">
      <c r="A289" s="110">
        <f>IFERROR(__xludf.DUMMYFUNCTION("""COMPUTED_VALUE"""),46076.0)</f>
        <v>46076</v>
      </c>
      <c r="B289" s="110" t="str">
        <f>IFERROR(__xludf.DUMMYFUNCTION("""COMPUTED_VALUE"""),"2602D102")</f>
        <v>2602D102</v>
      </c>
      <c r="C289" s="49" t="str">
        <f>IFERROR(__xludf.DUMMYFUNCTION("""COMPUTED_VALUE"""),"ariedewayani")</f>
        <v>ariedewayani</v>
      </c>
      <c r="D289" s="102" t="str">
        <f>IFERROR(__xludf.DUMMYFUNCTION("""COMPUTED_VALUE"""),"085693320233")</f>
        <v>085693320233</v>
      </c>
      <c r="E289" s="25" t="str">
        <f>IFERROR(__xludf.DUMMYFUNCTION("""COMPUTED_VALUE"""),"Instagram")</f>
        <v>Instagram</v>
      </c>
      <c r="F289" s="25" t="str">
        <f>IFERROR(__xludf.DUMMYFUNCTION("""COMPUTED_VALUE"""),"Gagal")</f>
        <v>Gagal</v>
      </c>
      <c r="G289" s="25" t="str">
        <f>IFERROR(__xludf.DUMMYFUNCTION("""COMPUTED_VALUE"""),"3H2M custom")</f>
        <v>3H2M custom</v>
      </c>
      <c r="H289" s="78"/>
      <c r="I289" s="89">
        <f>IFERROR(__xludf.DUMMYFUNCTION("""COMPUTED_VALUE"""),2.0)</f>
        <v>2</v>
      </c>
      <c r="J289" s="96">
        <f>IFERROR(__xludf.DUMMYFUNCTION("""COMPUTED_VALUE"""),7070000.0)</f>
        <v>7070000</v>
      </c>
      <c r="K289" s="36" t="str">
        <f>IFERROR(__xludf.DUMMYFUNCTION("""COMPUTED_VALUE"""),"teman sakit, ada rencana ke LN")</f>
        <v>teman sakit, ada rencana ke LN</v>
      </c>
      <c r="L289" s="49"/>
      <c r="M289" s="20"/>
      <c r="N289" s="20"/>
      <c r="O289" s="20"/>
      <c r="P289" s="20"/>
    </row>
    <row r="290">
      <c r="A290" s="97">
        <f>IFERROR(__xludf.DUMMYFUNCTION("""COMPUTED_VALUE"""),46076.0)</f>
        <v>46076</v>
      </c>
      <c r="B290" s="97" t="str">
        <f>IFERROR(__xludf.DUMMYFUNCTION("""COMPUTED_VALUE"""),"2602D103")</f>
        <v>2602D103</v>
      </c>
      <c r="C290" s="76" t="str">
        <f>IFERROR(__xludf.DUMMYFUNCTION("""COMPUTED_VALUE"""),"Obby")</f>
        <v>Obby</v>
      </c>
      <c r="D290" s="99" t="str">
        <f>IFERROR(__xludf.DUMMYFUNCTION("""COMPUTED_VALUE"""),"081233737121")</f>
        <v>081233737121</v>
      </c>
      <c r="E290" s="25" t="str">
        <f>IFERROR(__xludf.DUMMYFUNCTION("""COMPUTED_VALUE"""),"Website")</f>
        <v>Website</v>
      </c>
      <c r="F290" s="25" t="str">
        <f>IFERROR(__xludf.DUMMYFUNCTION("""COMPUTED_VALUE"""),"Gagal")</f>
        <v>Gagal</v>
      </c>
      <c r="G290" s="15"/>
      <c r="H290" s="92"/>
      <c r="I290" s="80">
        <f>IFERROR(__xludf.DUMMYFUNCTION("""COMPUTED_VALUE"""),3.0)</f>
        <v>3</v>
      </c>
      <c r="J290" s="93"/>
      <c r="K290" s="19" t="str">
        <f>IFERROR(__xludf.DUMMYFUNCTION("""COMPUTED_VALUE"""),"ada kegiatan ditanggal tsb")</f>
        <v>ada kegiatan ditanggal tsb</v>
      </c>
      <c r="L290" s="76"/>
      <c r="M290" s="20"/>
      <c r="N290" s="20"/>
      <c r="O290" s="20"/>
      <c r="P290" s="20"/>
    </row>
    <row r="291">
      <c r="A291" s="110">
        <f>IFERROR(__xludf.DUMMYFUNCTION("""COMPUTED_VALUE"""),46076.0)</f>
        <v>46076</v>
      </c>
      <c r="B291" s="110" t="str">
        <f>IFERROR(__xludf.DUMMYFUNCTION("""COMPUTED_VALUE"""),"2602D104")</f>
        <v>2602D104</v>
      </c>
      <c r="C291" s="49" t="str">
        <f>IFERROR(__xludf.DUMMYFUNCTION("""COMPUTED_VALUE"""),"Muhammad Anfasa Ridho")</f>
        <v>Muhammad Anfasa Ridho</v>
      </c>
      <c r="D291" s="102" t="str">
        <f>IFERROR(__xludf.DUMMYFUNCTION("""COMPUTED_VALUE"""),"087576489425")</f>
        <v>087576489425</v>
      </c>
      <c r="E291" s="25" t="str">
        <f>IFERROR(__xludf.DUMMYFUNCTION("""COMPUTED_VALUE"""),"Instagram")</f>
        <v>Instagram</v>
      </c>
      <c r="F291" s="25" t="str">
        <f>IFERROR(__xludf.DUMMYFUNCTION("""COMPUTED_VALUE"""),"Gagal")</f>
        <v>Gagal</v>
      </c>
      <c r="G291" s="15" t="str">
        <f>IFERROR(__xludf.DUMMYFUNCTION("""COMPUTED_VALUE"""),"2H1M")</f>
        <v>2H1M</v>
      </c>
      <c r="H291" s="26"/>
      <c r="I291" s="89">
        <f>IFERROR(__xludf.DUMMYFUNCTION("""COMPUTED_VALUE"""),2.0)</f>
        <v>2</v>
      </c>
      <c r="J291" s="96">
        <f>IFERROR(__xludf.DUMMYFUNCTION("""COMPUTED_VALUE"""),4348000.0)</f>
        <v>4348000</v>
      </c>
      <c r="K291" s="36" t="str">
        <f>IFERROR(__xludf.DUMMYFUNCTION("""COMPUTED_VALUE"""),"fu lagi 2 April")</f>
        <v>fu lagi 2 April</v>
      </c>
      <c r="L291" s="49"/>
      <c r="M291" s="20"/>
      <c r="N291" s="20"/>
      <c r="O291" s="20"/>
      <c r="P291" s="20"/>
    </row>
    <row r="292">
      <c r="A292" s="97">
        <f>IFERROR(__xludf.DUMMYFUNCTION("""COMPUTED_VALUE"""),46076.0)</f>
        <v>46076</v>
      </c>
      <c r="B292" s="97" t="str">
        <f>IFERROR(__xludf.DUMMYFUNCTION("""COMPUTED_VALUE"""),"2602D105")</f>
        <v>2602D105</v>
      </c>
      <c r="C292" s="76" t="str">
        <f>IFERROR(__xludf.DUMMYFUNCTION("""COMPUTED_VALUE"""),"abu (bylarostransportmalang)")</f>
        <v>abu (bylarostransportmalang)</v>
      </c>
      <c r="D292" s="99" t="str">
        <f>IFERROR(__xludf.DUMMYFUNCTION("""COMPUTED_VALUE"""),"082331542611")</f>
        <v>082331542611</v>
      </c>
      <c r="E292" s="25" t="str">
        <f>IFERROR(__xludf.DUMMYFUNCTION("""COMPUTED_VALUE"""),"Lainnya")</f>
        <v>Lainnya</v>
      </c>
      <c r="F292" s="25" t="str">
        <f>IFERROR(__xludf.DUMMYFUNCTION("""COMPUTED_VALUE"""),"Qualified")</f>
        <v>Qualified</v>
      </c>
      <c r="G292" s="25" t="str">
        <f>IFERROR(__xludf.DUMMYFUNCTION("""COMPUTED_VALUE"""),"2D1N")</f>
        <v>2D1N</v>
      </c>
      <c r="H292" s="16"/>
      <c r="I292" s="17">
        <f>IFERROR(__xludf.DUMMYFUNCTION("""COMPUTED_VALUE"""),3.0)</f>
        <v>3</v>
      </c>
      <c r="J292" s="54">
        <f>IFERROR(__xludf.DUMMYFUNCTION("""COMPUTED_VALUE"""),6150000.0)</f>
        <v>6150000</v>
      </c>
      <c r="K292" s="46" t="str">
        <f>IFERROR(__xludf.DUMMYFUNCTION("""COMPUTED_VALUE"""),"b2b, nunggu keputusan tamu mereka")</f>
        <v>b2b, nunggu keputusan tamu mereka</v>
      </c>
      <c r="L292" s="88" t="str">
        <f>IFERROR(__xludf.DUMMYFUNCTION("""COMPUTED_VALUE"""),"https://docs.google.com/document/d/1t4vXE490j6K036vvo7qtTwSiVZcwn_UGE-CkkPg7csw/edit?tab=t.0")</f>
        <v>https://docs.google.com/document/d/1t4vXE490j6K036vvo7qtTwSiVZcwn_UGE-CkkPg7csw/edit?tab=t.0</v>
      </c>
      <c r="M292" s="20"/>
      <c r="N292" s="20"/>
      <c r="O292" s="20"/>
      <c r="P292" s="20"/>
    </row>
    <row r="293">
      <c r="A293" s="110">
        <f>IFERROR(__xludf.DUMMYFUNCTION("""COMPUTED_VALUE"""),46076.0)</f>
        <v>46076</v>
      </c>
      <c r="B293" s="110" t="str">
        <f>IFERROR(__xludf.DUMMYFUNCTION("""COMPUTED_VALUE"""),"2602D106")</f>
        <v>2602D106</v>
      </c>
      <c r="C293" s="49" t="str">
        <f>IFERROR(__xludf.DUMMYFUNCTION("""COMPUTED_VALUE"""),".")</f>
        <v>.</v>
      </c>
      <c r="D293" s="102" t="str">
        <f>IFERROR(__xludf.DUMMYFUNCTION("""COMPUTED_VALUE"""),"353857048159")</f>
        <v>353857048159</v>
      </c>
      <c r="E293" s="25" t="str">
        <f>IFERROR(__xludf.DUMMYFUNCTION("""COMPUTED_VALUE"""),"Lainnya")</f>
        <v>Lainnya</v>
      </c>
      <c r="F293" s="25" t="str">
        <f>IFERROR(__xludf.DUMMYFUNCTION("""COMPUTED_VALUE"""),"Gagal")</f>
        <v>Gagal</v>
      </c>
      <c r="G293" s="25" t="str">
        <f>IFERROR(__xludf.DUMMYFUNCTION("""COMPUTED_VALUE"""),"trip baluran")</f>
        <v>trip baluran</v>
      </c>
      <c r="H293" s="78"/>
      <c r="I293" s="89"/>
      <c r="J293" s="96"/>
      <c r="K293" s="36" t="str">
        <f>IFERROR(__xludf.DUMMYFUNCTION("""COMPUTED_VALUE"""),"gagal karna cuma 1 org yg trip")</f>
        <v>gagal karna cuma 1 org yg trip</v>
      </c>
      <c r="L293" s="49"/>
      <c r="M293" s="20"/>
      <c r="N293" s="20"/>
      <c r="O293" s="20"/>
      <c r="P293" s="20"/>
    </row>
    <row r="294">
      <c r="A294" s="97">
        <f>IFERROR(__xludf.DUMMYFUNCTION("""COMPUTED_VALUE"""),46076.0)</f>
        <v>46076</v>
      </c>
      <c r="B294" s="97" t="str">
        <f>IFERROR(__xludf.DUMMYFUNCTION("""COMPUTED_VALUE"""),"2602D107")</f>
        <v>2602D107</v>
      </c>
      <c r="C294" s="76" t="str">
        <f>IFERROR(__xludf.DUMMYFUNCTION("""COMPUTED_VALUE"""),"humairoh")</f>
        <v>humairoh</v>
      </c>
      <c r="D294" s="99" t="str">
        <f>IFERROR(__xludf.DUMMYFUNCTION("""COMPUTED_VALUE"""),"089604418127")</f>
        <v>089604418127</v>
      </c>
      <c r="E294" s="25" t="str">
        <f>IFERROR(__xludf.DUMMYFUNCTION("""COMPUTED_VALUE"""),"Website")</f>
        <v>Website</v>
      </c>
      <c r="F294" s="25" t="str">
        <f>IFERROR(__xludf.DUMMYFUNCTION("""COMPUTED_VALUE"""),"Gagal")</f>
        <v>Gagal</v>
      </c>
      <c r="G294" s="15" t="str">
        <f>IFERROR(__xludf.DUMMYFUNCTION("""COMPUTED_VALUE"""),"2H1N")</f>
        <v>2H1N</v>
      </c>
      <c r="H294" s="92"/>
      <c r="I294" s="80">
        <f>IFERROR(__xludf.DUMMYFUNCTION("""COMPUTED_VALUE"""),5.0)</f>
        <v>5</v>
      </c>
      <c r="J294" s="93">
        <f>IFERROR(__xludf.DUMMYFUNCTION("""COMPUTED_VALUE"""),4430000.0)</f>
        <v>4430000</v>
      </c>
      <c r="K294" s="19" t="str">
        <f>IFERROR(__xludf.DUMMYFUNCTION("""COMPUTED_VALUE"""),"karna satu lain hal yg tdk bisa disampaikan")</f>
        <v>karna satu lain hal yg tdk bisa disampaikan</v>
      </c>
      <c r="L294" s="88" t="str">
        <f>IFERROR(__xludf.DUMMYFUNCTION("""COMPUTED_VALUE"""),"https://docs.google.com/document/d/1WN7y1DA05qwrbXjmJztfmVh9x-_QFLFgKkp23rOWHEw/edit?tab=t.0")</f>
        <v>https://docs.google.com/document/d/1WN7y1DA05qwrbXjmJztfmVh9x-_QFLFgKkp23rOWHEw/edit?tab=t.0</v>
      </c>
      <c r="M294" s="20"/>
      <c r="N294" s="20"/>
      <c r="O294" s="20"/>
      <c r="P294" s="20"/>
    </row>
    <row r="295">
      <c r="A295" s="110">
        <f>IFERROR(__xludf.DUMMYFUNCTION("""COMPUTED_VALUE"""),46077.0)</f>
        <v>46077</v>
      </c>
      <c r="B295" s="110" t="str">
        <f>IFERROR(__xludf.DUMMYFUNCTION("""COMPUTED_VALUE"""),"2602D108")</f>
        <v>2602D108</v>
      </c>
      <c r="C295" s="49" t="str">
        <f>IFERROR(__xludf.DUMMYFUNCTION("""COMPUTED_VALUE"""),"Maudy Agustina")</f>
        <v>Maudy Agustina</v>
      </c>
      <c r="D295" s="102" t="str">
        <f>IFERROR(__xludf.DUMMYFUNCTION("""COMPUTED_VALUE"""),"082254795886")</f>
        <v>082254795886</v>
      </c>
      <c r="E295" s="25" t="str">
        <f>IFERROR(__xludf.DUMMYFUNCTION("""COMPUTED_VALUE"""),"Instagram")</f>
        <v>Instagram</v>
      </c>
      <c r="F295" s="25" t="str">
        <f>IFERROR(__xludf.DUMMYFUNCTION("""COMPUTED_VALUE"""),"Gagal")</f>
        <v>Gagal</v>
      </c>
      <c r="G295" s="25" t="str">
        <f>IFERROR(__xludf.DUMMYFUNCTION("""COMPUTED_VALUE"""),"3H2M opsi A")</f>
        <v>3H2M opsi A</v>
      </c>
      <c r="H295" s="26"/>
      <c r="I295" s="89"/>
      <c r="J295" s="33"/>
      <c r="K295" s="19" t="str">
        <f>IFERROR(__xludf.DUMMYFUNCTION("""COMPUTED_VALUE"""),"sapa saja")</f>
        <v>sapa saja</v>
      </c>
      <c r="L295" s="88" t="str">
        <f>IFERROR(__xludf.DUMMYFUNCTION("""COMPUTED_VALUE"""),"https://docs.google.com/document/d/1_4y28lQb8FybBxJSPIEHLGKiM3NEo0Gh3JhD9HrniQc/edit?tab=t.0#heading=h.589mmq9qpr5l")</f>
        <v>https://docs.google.com/document/d/1_4y28lQb8FybBxJSPIEHLGKiM3NEo0Gh3JhD9HrniQc/edit?tab=t.0#heading=h.589mmq9qpr5l</v>
      </c>
      <c r="M295" s="20"/>
      <c r="N295" s="20"/>
      <c r="O295" s="20"/>
      <c r="P295" s="20"/>
    </row>
    <row r="296">
      <c r="A296" s="97">
        <f>IFERROR(__xludf.DUMMYFUNCTION("""COMPUTED_VALUE"""),46077.0)</f>
        <v>46077</v>
      </c>
      <c r="B296" s="110" t="str">
        <f>IFERROR(__xludf.DUMMYFUNCTION("""COMPUTED_VALUE"""),"2602D109")</f>
        <v>2602D109</v>
      </c>
      <c r="C296" s="76" t="str">
        <f>IFERROR(__xludf.DUMMYFUNCTION("""COMPUTED_VALUE"""),"pimaa")</f>
        <v>pimaa</v>
      </c>
      <c r="D296" s="99" t="str">
        <f>IFERROR(__xludf.DUMMYFUNCTION("""COMPUTED_VALUE"""),"089681766716")</f>
        <v>089681766716</v>
      </c>
      <c r="E296" s="25" t="str">
        <f>IFERROR(__xludf.DUMMYFUNCTION("""COMPUTED_VALUE"""),"Instagram")</f>
        <v>Instagram</v>
      </c>
      <c r="F296" s="25" t="str">
        <f>IFERROR(__xludf.DUMMYFUNCTION("""COMPUTED_VALUE"""),"Gagal")</f>
        <v>Gagal</v>
      </c>
      <c r="G296" s="25" t="str">
        <f>IFERROR(__xludf.DUMMYFUNCTION("""COMPUTED_VALUE"""),"Djawatan, Pulau Merah")</f>
        <v>Djawatan, Pulau Merah</v>
      </c>
      <c r="H296" s="92"/>
      <c r="I296" s="80">
        <f>IFERROR(__xludf.DUMMYFUNCTION("""COMPUTED_VALUE"""),1.0)</f>
        <v>1</v>
      </c>
      <c r="J296" s="54">
        <f>IFERROR(__xludf.DUMMYFUNCTION("""COMPUTED_VALUE"""),550000.0)</f>
        <v>550000</v>
      </c>
      <c r="K296" s="19" t="str">
        <f>IFERROR(__xludf.DUMMYFUNCTION("""COMPUTED_VALUE"""),"lewat tanggal, tidak ada jawaban ")</f>
        <v>lewat tanggal, tidak ada jawaban </v>
      </c>
      <c r="L296" s="88" t="str">
        <f>IFERROR(__xludf.DUMMYFUNCTION("""COMPUTED_VALUE"""),"https://docs.google.com/document/d/1CzEmYuqrSTaTP5nNhucd_vqLsGJ-Us-4eTzNRkRE2Yc/edit?tab=t.0")</f>
        <v>https://docs.google.com/document/d/1CzEmYuqrSTaTP5nNhucd_vqLsGJ-Us-4eTzNRkRE2Yc/edit?tab=t.0</v>
      </c>
      <c r="M296" s="20"/>
      <c r="N296" s="20"/>
      <c r="O296" s="20"/>
      <c r="P296" s="20"/>
    </row>
    <row r="297">
      <c r="A297" s="110">
        <f>IFERROR(__xludf.DUMMYFUNCTION("""COMPUTED_VALUE"""),46077.0)</f>
        <v>46077</v>
      </c>
      <c r="B297" s="110" t="str">
        <f>IFERROR(__xludf.DUMMYFUNCTION("""COMPUTED_VALUE"""),"2602D110")</f>
        <v>2602D110</v>
      </c>
      <c r="C297" s="49" t="str">
        <f>IFERROR(__xludf.DUMMYFUNCTION("""COMPUTED_VALUE"""),"Junita")</f>
        <v>Junita</v>
      </c>
      <c r="D297" s="102" t="str">
        <f>IFERROR(__xludf.DUMMYFUNCTION("""COMPUTED_VALUE"""),"087727111549")</f>
        <v>087727111549</v>
      </c>
      <c r="E297" s="25" t="str">
        <f>IFERROR(__xludf.DUMMYFUNCTION("""COMPUTED_VALUE"""),"Instagram")</f>
        <v>Instagram</v>
      </c>
      <c r="F297" s="25" t="str">
        <f>IFERROR(__xludf.DUMMYFUNCTION("""COMPUTED_VALUE"""),"Gagal")</f>
        <v>Gagal</v>
      </c>
      <c r="G297" s="15" t="str">
        <f>IFERROR(__xludf.DUMMYFUNCTION("""COMPUTED_VALUE"""),"3H2M")</f>
        <v>3H2M</v>
      </c>
      <c r="H297" s="78"/>
      <c r="I297" s="27">
        <f>IFERROR(__xludf.DUMMYFUNCTION("""COMPUTED_VALUE"""),4.0)</f>
        <v>4</v>
      </c>
      <c r="J297" s="33">
        <f>IFERROR(__xludf.DUMMYFUNCTION("""COMPUTED_VALUE"""),6808000.0)</f>
        <v>6808000</v>
      </c>
      <c r="K297" s="30" t="str">
        <f>IFERROR(__xludf.DUMMYFUNCTION("""COMPUTED_VALUE"""),"ga jadi ")</f>
        <v>ga jadi </v>
      </c>
      <c r="L297" s="49"/>
      <c r="M297" s="20"/>
      <c r="N297" s="20"/>
      <c r="O297" s="20"/>
      <c r="P297" s="20"/>
    </row>
    <row r="298">
      <c r="A298" s="97">
        <f>IFERROR(__xludf.DUMMYFUNCTION("""COMPUTED_VALUE"""),46077.0)</f>
        <v>46077</v>
      </c>
      <c r="B298" s="97" t="str">
        <f>IFERROR(__xludf.DUMMYFUNCTION("""COMPUTED_VALUE"""),"2602D111")</f>
        <v>2602D111</v>
      </c>
      <c r="C298" s="49" t="str">
        <f>IFERROR(__xludf.DUMMYFUNCTION("""COMPUTED_VALUE"""),"yuri")</f>
        <v>yuri</v>
      </c>
      <c r="D298" s="102" t="str">
        <f>IFERROR(__xludf.DUMMYFUNCTION("""COMPUTED_VALUE"""),"085863758841")</f>
        <v>085863758841</v>
      </c>
      <c r="E298" s="25" t="str">
        <f>IFERROR(__xludf.DUMMYFUNCTION("""COMPUTED_VALUE"""),"Instagram")</f>
        <v>Instagram</v>
      </c>
      <c r="F298" s="25" t="str">
        <f>IFERROR(__xludf.DUMMYFUNCTION("""COMPUTED_VALUE"""),"Gagal")</f>
        <v>Gagal</v>
      </c>
      <c r="G298" s="25"/>
      <c r="H298" s="16"/>
      <c r="I298" s="17"/>
      <c r="J298" s="54"/>
      <c r="K298" s="46" t="str">
        <f>IFERROR(__xludf.DUMMYFUNCTION("""COMPUTED_VALUE"""),"menyapa saja, tidak ada jawaban")</f>
        <v>menyapa saja, tidak ada jawaban</v>
      </c>
      <c r="L298" s="76"/>
      <c r="M298" s="20"/>
      <c r="N298" s="20"/>
      <c r="O298" s="20"/>
      <c r="P298" s="20"/>
    </row>
    <row r="299">
      <c r="A299" s="110">
        <f>IFERROR(__xludf.DUMMYFUNCTION("""COMPUTED_VALUE"""),46077.0)</f>
        <v>46077</v>
      </c>
      <c r="B299" s="119" t="str">
        <f>IFERROR(__xludf.DUMMYFUNCTION("""COMPUTED_VALUE"""),"2602D112")</f>
        <v>2602D112</v>
      </c>
      <c r="C299" s="49" t="str">
        <f>IFERROR(__xludf.DUMMYFUNCTION("""COMPUTED_VALUE"""),"Deandra Imarizani F")</f>
        <v>Deandra Imarizani F</v>
      </c>
      <c r="D299" s="102" t="str">
        <f>IFERROR(__xludf.DUMMYFUNCTION("""COMPUTED_VALUE"""),"082127158736")</f>
        <v>082127158736</v>
      </c>
      <c r="E299" s="25" t="str">
        <f>IFERROR(__xludf.DUMMYFUNCTION("""COMPUTED_VALUE"""),"Instagram")</f>
        <v>Instagram</v>
      </c>
      <c r="F299" s="25" t="str">
        <f>IFERROR(__xludf.DUMMYFUNCTION("""COMPUTED_VALUE"""),"Closing")</f>
        <v>Closing</v>
      </c>
      <c r="G299" s="25" t="str">
        <f>IFERROR(__xludf.DUMMYFUNCTION("""COMPUTED_VALUE"""),"3H2M opsi B")</f>
        <v>3H2M opsi B</v>
      </c>
      <c r="H299" s="78"/>
      <c r="I299" s="89">
        <f>IFERROR(__xludf.DUMMYFUNCTION("""COMPUTED_VALUE"""),2.0)</f>
        <v>2</v>
      </c>
      <c r="J299" s="96">
        <f>IFERROR(__xludf.DUMMYFUNCTION("""COMPUTED_VALUE"""),6128000.0)</f>
        <v>6128000</v>
      </c>
      <c r="K299" s="36" t="str">
        <f>IFERROR(__xludf.DUMMYFUNCTION("""COMPUTED_VALUE"""),"alhamdulillah orderrrr")</f>
        <v>alhamdulillah orderrrr</v>
      </c>
      <c r="L299" s="81" t="str">
        <f>IFERROR(__xludf.DUMMYFUNCTION("""COMPUTED_VALUE"""),"https://docs.google.com/document/d/1lvupcofOhejJdDM8sBg5uBnPkBVneStZOkIaMpoVIjo/edit?tab=t.0")</f>
        <v>https://docs.google.com/document/d/1lvupcofOhejJdDM8sBg5uBnPkBVneStZOkIaMpoVIjo/edit?tab=t.0</v>
      </c>
      <c r="M299" s="20"/>
      <c r="N299" s="20"/>
      <c r="O299" s="20"/>
      <c r="P299" s="20"/>
    </row>
    <row r="300">
      <c r="A300" s="97">
        <f>IFERROR(__xludf.DUMMYFUNCTION("""COMPUTED_VALUE"""),46077.0)</f>
        <v>46077</v>
      </c>
      <c r="B300" s="97" t="str">
        <f>IFERROR(__xludf.DUMMYFUNCTION("""COMPUTED_VALUE"""),"2602D113")</f>
        <v>2602D113</v>
      </c>
      <c r="C300" s="76" t="str">
        <f>IFERROR(__xludf.DUMMYFUNCTION("""COMPUTED_VALUE"""),"Anida")</f>
        <v>Anida</v>
      </c>
      <c r="D300" s="99" t="str">
        <f>IFERROR(__xludf.DUMMYFUNCTION("""COMPUTED_VALUE"""),"085927351479")</f>
        <v>085927351479</v>
      </c>
      <c r="E300" s="25" t="str">
        <f>IFERROR(__xludf.DUMMYFUNCTION("""COMPUTED_VALUE"""),"Website")</f>
        <v>Website</v>
      </c>
      <c r="F300" s="25" t="str">
        <f>IFERROR(__xludf.DUMMYFUNCTION("""COMPUTED_VALUE"""),"Gagal")</f>
        <v>Gagal</v>
      </c>
      <c r="G300" s="25" t="str">
        <f>IFERROR(__xludf.DUMMYFUNCTION("""COMPUTED_VALUE"""),"trip ijen, GI,D")</f>
        <v>trip ijen, GI,D</v>
      </c>
      <c r="H300" s="92">
        <f>IFERROR(__xludf.DUMMYFUNCTION("""COMPUTED_VALUE"""),46107.0)</f>
        <v>46107</v>
      </c>
      <c r="I300" s="80">
        <f>IFERROR(__xludf.DUMMYFUNCTION("""COMPUTED_VALUE"""),2.0)</f>
        <v>2</v>
      </c>
      <c r="J300" s="93">
        <f>IFERROR(__xludf.DUMMYFUNCTION("""COMPUTED_VALUE"""),2388000.0)</f>
        <v>2388000</v>
      </c>
      <c r="K300" s="19" t="str">
        <f>IFERROR(__xludf.DUMMYFUNCTION("""COMPUTED_VALUE"""),"tidak ada jawaban, sudah fu 5 kali")</f>
        <v>tidak ada jawaban, sudah fu 5 kali</v>
      </c>
      <c r="L300" s="88" t="str">
        <f>IFERROR(__xludf.DUMMYFUNCTION("""COMPUTED_VALUE"""),"https://docs.google.com/document/d/1Q6UCBWLoKLq0ITjLu-aU9tlb47HeZ2zJRfuQ8lpjMRQ/edit?tab=t.0")</f>
        <v>https://docs.google.com/document/d/1Q6UCBWLoKLq0ITjLu-aU9tlb47HeZ2zJRfuQ8lpjMRQ/edit?tab=t.0</v>
      </c>
      <c r="M300" s="20"/>
      <c r="N300" s="20"/>
      <c r="O300" s="20"/>
      <c r="P300" s="20"/>
    </row>
    <row r="301">
      <c r="A301" s="110">
        <f>IFERROR(__xludf.DUMMYFUNCTION("""COMPUTED_VALUE"""),46078.0)</f>
        <v>46078</v>
      </c>
      <c r="B301" s="110" t="str">
        <f>IFERROR(__xludf.DUMMYFUNCTION("""COMPUTED_VALUE"""),"2602D114")</f>
        <v>2602D114</v>
      </c>
      <c r="C301" s="49" t="str">
        <f>IFERROR(__xludf.DUMMYFUNCTION("""COMPUTED_VALUE"""),"liss")</f>
        <v>liss</v>
      </c>
      <c r="D301" s="102" t="str">
        <f>IFERROR(__xludf.DUMMYFUNCTION("""COMPUTED_VALUE"""),"60192927672")</f>
        <v>60192927672</v>
      </c>
      <c r="E301" s="25" t="str">
        <f>IFERROR(__xludf.DUMMYFUNCTION("""COMPUTED_VALUE"""),"Instagram")</f>
        <v>Instagram</v>
      </c>
      <c r="F301" s="25" t="str">
        <f>IFERROR(__xludf.DUMMYFUNCTION("""COMPUTED_VALUE"""),"Qualified")</f>
        <v>Qualified</v>
      </c>
      <c r="G301" s="15" t="str">
        <f>IFERROR(__xludf.DUMMYFUNCTION("""COMPUTED_VALUE"""),"3H2M opsi b")</f>
        <v>3H2M opsi b</v>
      </c>
      <c r="H301" s="78"/>
      <c r="I301" s="89">
        <f>IFERROR(__xludf.DUMMYFUNCTION("""COMPUTED_VALUE"""),6.0)</f>
        <v>6</v>
      </c>
      <c r="J301" s="96">
        <f>IFERROR(__xludf.DUMMYFUNCTION("""COMPUTED_VALUE"""),7614000.0)</f>
        <v>7614000</v>
      </c>
      <c r="K301" s="36" t="str">
        <f>IFERROR(__xludf.DUMMYFUNCTION("""COMPUTED_VALUE"""),"masih diskusi, FU lagi 10 Juni")</f>
        <v>masih diskusi, FU lagi 10 Juni</v>
      </c>
      <c r="L301" s="81" t="str">
        <f>IFERROR(__xludf.DUMMYFUNCTION("""COMPUTED_VALUE"""),"https://docs.google.com/document/d/1UAXijAIE_KgioMdFnpJ3o33NhFhbrC1JfbDxHDAOUvs/edit?tab=t.0")</f>
        <v>https://docs.google.com/document/d/1UAXijAIE_KgioMdFnpJ3o33NhFhbrC1JfbDxHDAOUvs/edit?tab=t.0</v>
      </c>
      <c r="M301" s="20"/>
      <c r="N301" s="20"/>
      <c r="O301" s="20"/>
      <c r="P301" s="20"/>
    </row>
    <row r="302">
      <c r="A302" s="97">
        <f>IFERROR(__xludf.DUMMYFUNCTION("""COMPUTED_VALUE"""),46078.0)</f>
        <v>46078</v>
      </c>
      <c r="B302" s="97" t="str">
        <f>IFERROR(__xludf.DUMMYFUNCTION("""COMPUTED_VALUE"""),"2602D115")</f>
        <v>2602D115</v>
      </c>
      <c r="C302" s="76" t="str">
        <f>IFERROR(__xludf.DUMMYFUNCTION("""COMPUTED_VALUE"""),"Faqih al ghifari")</f>
        <v>Faqih al ghifari</v>
      </c>
      <c r="D302" s="99" t="str">
        <f>IFERROR(__xludf.DUMMYFUNCTION("""COMPUTED_VALUE"""),"081291207572")</f>
        <v>081291207572</v>
      </c>
      <c r="E302" s="25" t="str">
        <f>IFERROR(__xludf.DUMMYFUNCTION("""COMPUTED_VALUE"""),"Website")</f>
        <v>Website</v>
      </c>
      <c r="F302" s="25" t="str">
        <f>IFERROR(__xludf.DUMMYFUNCTION("""COMPUTED_VALUE"""),"Gagal")</f>
        <v>Gagal</v>
      </c>
      <c r="G302" s="15" t="str">
        <f>IFERROR(__xludf.DUMMYFUNCTION("""COMPUTED_VALUE"""),"4H3M custom")</f>
        <v>4H3M custom</v>
      </c>
      <c r="H302" s="16"/>
      <c r="I302" s="80">
        <f>IFERROR(__xludf.DUMMYFUNCTION("""COMPUTED_VALUE"""),70.0)</f>
        <v>70</v>
      </c>
      <c r="J302" s="54"/>
      <c r="K302" s="19" t="str">
        <f>IFERROR(__xludf.DUMMYFUNCTION("""COMPUTED_VALUE"""),"dialihkan ke holiday")</f>
        <v>dialihkan ke holiday</v>
      </c>
      <c r="L302" s="88" t="str">
        <f>IFERROR(__xludf.DUMMYFUNCTION("""COMPUTED_VALUE"""),"https://docs.google.com/document/d/1TZl9XrKj2kD-ZCqSVvaExgPnrj4GpaxuiSQasPSM-vQ/edit?tab=t.0")</f>
        <v>https://docs.google.com/document/d/1TZl9XrKj2kD-ZCqSVvaExgPnrj4GpaxuiSQasPSM-vQ/edit?tab=t.0</v>
      </c>
      <c r="M302" s="20"/>
      <c r="N302" s="20"/>
      <c r="O302" s="20"/>
      <c r="P302" s="20"/>
    </row>
    <row r="303">
      <c r="A303" s="110">
        <f>IFERROR(__xludf.DUMMYFUNCTION("""COMPUTED_VALUE"""),46078.0)</f>
        <v>46078</v>
      </c>
      <c r="B303" s="110" t="str">
        <f>IFERROR(__xludf.DUMMYFUNCTION("""COMPUTED_VALUE"""),"2602D116")</f>
        <v>2602D116</v>
      </c>
      <c r="C303" s="49" t="str">
        <f>IFERROR(__xludf.DUMMYFUNCTION("""COMPUTED_VALUE"""),"Sewan")</f>
        <v>Sewan</v>
      </c>
      <c r="D303" s="102" t="str">
        <f>IFERROR(__xludf.DUMMYFUNCTION("""COMPUTED_VALUE"""),"081221452628")</f>
        <v>081221452628</v>
      </c>
      <c r="E303" s="25" t="str">
        <f>IFERROR(__xludf.DUMMYFUNCTION("""COMPUTED_VALUE"""),"Website")</f>
        <v>Website</v>
      </c>
      <c r="F303" s="25" t="str">
        <f>IFERROR(__xludf.DUMMYFUNCTION("""COMPUTED_VALUE"""),"Gagal")</f>
        <v>Gagal</v>
      </c>
      <c r="G303" s="25" t="str">
        <f>IFERROR(__xludf.DUMMYFUNCTION("""COMPUTED_VALUE"""),"custom 3H2M ")</f>
        <v>custom 3H2M </v>
      </c>
      <c r="H303" s="26"/>
      <c r="I303" s="89">
        <f>IFERROR(__xludf.DUMMYFUNCTION("""COMPUTED_VALUE"""),5.0)</f>
        <v>5</v>
      </c>
      <c r="J303" s="33"/>
      <c r="K303" s="36" t="str">
        <f>IFERROR(__xludf.DUMMYFUNCTION("""COMPUTED_VALUE"""),"fiks di agen lain")</f>
        <v>fiks di agen lain</v>
      </c>
      <c r="L303" s="49"/>
      <c r="M303" s="20"/>
      <c r="N303" s="20"/>
      <c r="O303" s="20"/>
      <c r="P303" s="20"/>
    </row>
    <row r="304">
      <c r="A304" s="97">
        <f>IFERROR(__xludf.DUMMYFUNCTION("""COMPUTED_VALUE"""),46078.0)</f>
        <v>46078</v>
      </c>
      <c r="B304" s="97" t="str">
        <f>IFERROR(__xludf.DUMMYFUNCTION("""COMPUTED_VALUE"""),"2602D117")</f>
        <v>2602D117</v>
      </c>
      <c r="C304" s="76" t="str">
        <f>IFERROR(__xludf.DUMMYFUNCTION("""COMPUTED_VALUE"""),"Efi")</f>
        <v>Efi</v>
      </c>
      <c r="D304" s="99" t="str">
        <f>IFERROR(__xludf.DUMMYFUNCTION("""COMPUTED_VALUE"""),"085177413814")</f>
        <v>085177413814</v>
      </c>
      <c r="E304" s="25" t="str">
        <f>IFERROR(__xludf.DUMMYFUNCTION("""COMPUTED_VALUE"""),"Website")</f>
        <v>Website</v>
      </c>
      <c r="F304" s="25" t="str">
        <f>IFERROR(__xludf.DUMMYFUNCTION("""COMPUTED_VALUE"""),"Gagal")</f>
        <v>Gagal</v>
      </c>
      <c r="G304" s="15" t="str">
        <f>IFERROR(__xludf.DUMMYFUNCTION("""COMPUTED_VALUE"""),"trip ijen")</f>
        <v>trip ijen</v>
      </c>
      <c r="H304" s="92">
        <f>IFERROR(__xludf.DUMMYFUNCTION("""COMPUTED_VALUE"""),46104.0)</f>
        <v>46104</v>
      </c>
      <c r="I304" s="80">
        <f>IFERROR(__xludf.DUMMYFUNCTION("""COMPUTED_VALUE"""),7.0)</f>
        <v>7</v>
      </c>
      <c r="J304" s="93">
        <f>IFERROR(__xludf.DUMMYFUNCTION("""COMPUTED_VALUE"""),3640000.0)</f>
        <v>3640000</v>
      </c>
      <c r="K304" s="46" t="str">
        <f>IFERROR(__xludf.DUMMYFUNCTION("""COMPUTED_VALUE"""),"tidak jadi, mungkin habis lebaran")</f>
        <v>tidak jadi, mungkin habis lebaran</v>
      </c>
      <c r="L304" s="76"/>
      <c r="M304" s="20"/>
      <c r="N304" s="20"/>
      <c r="O304" s="20"/>
      <c r="P304" s="20"/>
    </row>
    <row r="305">
      <c r="A305" s="110">
        <f>IFERROR(__xludf.DUMMYFUNCTION("""COMPUTED_VALUE"""),46079.0)</f>
        <v>46079</v>
      </c>
      <c r="B305" s="110" t="str">
        <f>IFERROR(__xludf.DUMMYFUNCTION("""COMPUTED_VALUE"""),"2602D118")</f>
        <v>2602D118</v>
      </c>
      <c r="C305" s="49" t="str">
        <f>IFERROR(__xludf.DUMMYFUNCTION("""COMPUTED_VALUE"""),"Hariyanto")</f>
        <v>Hariyanto</v>
      </c>
      <c r="D305" s="102" t="str">
        <f>IFERROR(__xludf.DUMMYFUNCTION("""COMPUTED_VALUE"""),"081256126186")</f>
        <v>081256126186</v>
      </c>
      <c r="E305" s="25" t="str">
        <f>IFERROR(__xludf.DUMMYFUNCTION("""COMPUTED_VALUE"""),"Lainnya")</f>
        <v>Lainnya</v>
      </c>
      <c r="F305" s="25" t="str">
        <f>IFERROR(__xludf.DUMMYFUNCTION("""COMPUTED_VALUE"""),"Gagal")</f>
        <v>Gagal</v>
      </c>
      <c r="G305" s="15" t="str">
        <f>IFERROR(__xludf.DUMMYFUNCTION("""COMPUTED_VALUE"""),"trip menjangan")</f>
        <v>trip menjangan</v>
      </c>
      <c r="H305" s="78"/>
      <c r="I305" s="89"/>
      <c r="J305" s="96"/>
      <c r="K305" s="36" t="str">
        <f>IFERROR(__xludf.DUMMYFUNCTION("""COMPUTED_VALUE"""),"bawa tamu, sdh fullbooked")</f>
        <v>bawa tamu, sdh fullbooked</v>
      </c>
      <c r="L305" s="49"/>
      <c r="M305" s="20"/>
      <c r="N305" s="20"/>
      <c r="O305" s="20"/>
      <c r="P305" s="20"/>
    </row>
    <row r="306">
      <c r="A306" s="97">
        <f>IFERROR(__xludf.DUMMYFUNCTION("""COMPUTED_VALUE"""),46079.0)</f>
        <v>46079</v>
      </c>
      <c r="B306" s="97" t="str">
        <f>IFERROR(__xludf.DUMMYFUNCTION("""COMPUTED_VALUE"""),"2602D119")</f>
        <v>2602D119</v>
      </c>
      <c r="C306" s="76" t="str">
        <f>IFERROR(__xludf.DUMMYFUNCTION("""COMPUTED_VALUE"""),"Wulan")</f>
        <v>Wulan</v>
      </c>
      <c r="D306" s="99" t="str">
        <f>IFERROR(__xludf.DUMMYFUNCTION("""COMPUTED_VALUE"""),"087757339304")</f>
        <v>087757339304</v>
      </c>
      <c r="E306" s="25" t="str">
        <f>IFERROR(__xludf.DUMMYFUNCTION("""COMPUTED_VALUE"""),"Instagram")</f>
        <v>Instagram</v>
      </c>
      <c r="F306" s="25" t="str">
        <f>IFERROR(__xludf.DUMMYFUNCTION("""COMPUTED_VALUE"""),"Gagal")</f>
        <v>Gagal</v>
      </c>
      <c r="G306" s="15" t="str">
        <f>IFERROR(__xludf.DUMMYFUNCTION("""COMPUTED_VALUE"""),"open trip green island")</f>
        <v>open trip green island</v>
      </c>
      <c r="H306" s="92"/>
      <c r="I306" s="80">
        <f>IFERROR(__xludf.DUMMYFUNCTION("""COMPUTED_VALUE"""),2.0)</f>
        <v>2</v>
      </c>
      <c r="J306" s="93">
        <f>IFERROR(__xludf.DUMMYFUNCTION("""COMPUTED_VALUE"""),6160000.0)</f>
        <v>6160000</v>
      </c>
      <c r="K306" s="19" t="str">
        <f>IFERROR(__xludf.DUMMYFUNCTION("""COMPUTED_VALUE"""),"sdh dpt open trip lain")</f>
        <v>sdh dpt open trip lain</v>
      </c>
      <c r="L306" s="88" t="str">
        <f>IFERROR(__xludf.DUMMYFUNCTION("""COMPUTED_VALUE"""),"https://docs.google.com/document/d/1p-WcoEuHlZkYCRCQ-Ibe4cJdemv9kHo7TegpoS88jnc/edit?tab=t.0")</f>
        <v>https://docs.google.com/document/d/1p-WcoEuHlZkYCRCQ-Ibe4cJdemv9kHo7TegpoS88jnc/edit?tab=t.0</v>
      </c>
      <c r="M306" s="20"/>
      <c r="N306" s="20"/>
      <c r="O306" s="20"/>
      <c r="P306" s="20"/>
    </row>
    <row r="307">
      <c r="A307" s="110">
        <f>IFERROR(__xludf.DUMMYFUNCTION("""COMPUTED_VALUE"""),46079.0)</f>
        <v>46079</v>
      </c>
      <c r="B307" s="110" t="str">
        <f>IFERROR(__xludf.DUMMYFUNCTION("""COMPUTED_VALUE"""),"2602D120")</f>
        <v>2602D120</v>
      </c>
      <c r="C307" s="49" t="str">
        <f>IFERROR(__xludf.DUMMYFUNCTION("""COMPUTED_VALUE"""),"Santi")</f>
        <v>Santi</v>
      </c>
      <c r="D307" s="102" t="str">
        <f>IFERROR(__xludf.DUMMYFUNCTION("""COMPUTED_VALUE"""),"081215563222")</f>
        <v>081215563222</v>
      </c>
      <c r="E307" s="25" t="str">
        <f>IFERROR(__xludf.DUMMYFUNCTION("""COMPUTED_VALUE"""),"Lainnya")</f>
        <v>Lainnya</v>
      </c>
      <c r="F307" s="25" t="str">
        <f>IFERROR(__xludf.DUMMYFUNCTION("""COMPUTED_VALUE"""),"Qualified")</f>
        <v>Qualified</v>
      </c>
      <c r="G307" s="15" t="str">
        <f>IFERROR(__xludf.DUMMYFUNCTION("""COMPUTED_VALUE"""),"3H2M  custome")</f>
        <v>3H2M  custome</v>
      </c>
      <c r="H307" s="78"/>
      <c r="I307" s="89">
        <f>IFERROR(__xludf.DUMMYFUNCTION("""COMPUTED_VALUE"""),100.0)</f>
        <v>100</v>
      </c>
      <c r="J307" s="96">
        <f>IFERROR(__xludf.DUMMYFUNCTION("""COMPUTED_VALUE"""),2.0E8)</f>
        <v>200000000</v>
      </c>
      <c r="K307" s="36" t="str">
        <f>IFERROR(__xludf.DUMMYFUNCTION("""COMPUTED_VALUE"""),"FU 5 Januari 2027")</f>
        <v>FU 5 Januari 2027</v>
      </c>
      <c r="L307" s="81" t="str">
        <f>IFERROR(__xludf.DUMMYFUNCTION("""COMPUTED_VALUE"""),"https://docs.google.com/document/d/1PvCdXPMSknCW9u_KnjAgNv-i81OcgfcDq3tU7LVFf4c/edit?tab=t.0")</f>
        <v>https://docs.google.com/document/d/1PvCdXPMSknCW9u_KnjAgNv-i81OcgfcDq3tU7LVFf4c/edit?tab=t.0</v>
      </c>
      <c r="M307" s="20"/>
      <c r="N307" s="20"/>
      <c r="O307" s="20"/>
      <c r="P307" s="20"/>
    </row>
    <row r="308">
      <c r="A308" s="97">
        <f>IFERROR(__xludf.DUMMYFUNCTION("""COMPUTED_VALUE"""),46079.0)</f>
        <v>46079</v>
      </c>
      <c r="B308" s="97" t="str">
        <f>IFERROR(__xludf.DUMMYFUNCTION("""COMPUTED_VALUE"""),"2602D121")</f>
        <v>2602D121</v>
      </c>
      <c r="C308" s="76" t="str">
        <f>IFERROR(__xludf.DUMMYFUNCTION("""COMPUTED_VALUE"""),"Raki")</f>
        <v>Raki</v>
      </c>
      <c r="D308" s="99" t="str">
        <f>IFERROR(__xludf.DUMMYFUNCTION("""COMPUTED_VALUE"""),"087771209259")</f>
        <v>087771209259</v>
      </c>
      <c r="E308" s="25" t="str">
        <f>IFERROR(__xludf.DUMMYFUNCTION("""COMPUTED_VALUE"""),"Instagram")</f>
        <v>Instagram</v>
      </c>
      <c r="F308" s="25" t="str">
        <f>IFERROR(__xludf.DUMMYFUNCTION("""COMPUTED_VALUE"""),"Gagal")</f>
        <v>Gagal</v>
      </c>
      <c r="G308" s="25" t="str">
        <f>IFERROR(__xludf.DUMMYFUNCTION("""COMPUTED_VALUE"""),"3H2M atau OT")</f>
        <v>3H2M atau OT</v>
      </c>
      <c r="H308" s="92"/>
      <c r="I308" s="17">
        <f>IFERROR(__xludf.DUMMYFUNCTION("""COMPUTED_VALUE"""),3.0)</f>
        <v>3</v>
      </c>
      <c r="J308" s="54"/>
      <c r="K308" s="19" t="str">
        <f>IFERROR(__xludf.DUMMYFUNCTION("""COMPUTED_VALUE"""),"tidak ada jawaban, sdh fu 5 kali")</f>
        <v>tidak ada jawaban, sdh fu 5 kali</v>
      </c>
      <c r="L308" s="88" t="str">
        <f>IFERROR(__xludf.DUMMYFUNCTION("""COMPUTED_VALUE"""),"https://docs.google.com/document/d/1MbETcW40IbZZpFAQmyDaHWUSGZvqQ50SmS1xUXaHMY4/edit?tab=t.0")</f>
        <v>https://docs.google.com/document/d/1MbETcW40IbZZpFAQmyDaHWUSGZvqQ50SmS1xUXaHMY4/edit?tab=t.0</v>
      </c>
      <c r="M308" s="20"/>
      <c r="N308" s="20"/>
      <c r="O308" s="20"/>
      <c r="P308" s="20"/>
    </row>
    <row r="309">
      <c r="A309" s="110">
        <f>IFERROR(__xludf.DUMMYFUNCTION("""COMPUTED_VALUE"""),46079.0)</f>
        <v>46079</v>
      </c>
      <c r="B309" s="110" t="str">
        <f>IFERROR(__xludf.DUMMYFUNCTION("""COMPUTED_VALUE"""),"2602D122")</f>
        <v>2602D122</v>
      </c>
      <c r="C309" s="49" t="str">
        <f>IFERROR(__xludf.DUMMYFUNCTION("""COMPUTED_VALUE"""),"Teguh")</f>
        <v>Teguh</v>
      </c>
      <c r="D309" s="102" t="str">
        <f>IFERROR(__xludf.DUMMYFUNCTION("""COMPUTED_VALUE"""),"085323102110")</f>
        <v>085323102110</v>
      </c>
      <c r="E309" s="25" t="str">
        <f>IFERROR(__xludf.DUMMYFUNCTION("""COMPUTED_VALUE"""),"Website")</f>
        <v>Website</v>
      </c>
      <c r="F309" s="25" t="str">
        <f>IFERROR(__xludf.DUMMYFUNCTION("""COMPUTED_VALUE"""),"Gagal")</f>
        <v>Gagal</v>
      </c>
      <c r="G309" s="15" t="str">
        <f>IFERROR(__xludf.DUMMYFUNCTION("""COMPUTED_VALUE"""),"trip ijen")</f>
        <v>trip ijen</v>
      </c>
      <c r="H309" s="26">
        <f>IFERROR(__xludf.DUMMYFUNCTION("""COMPUTED_VALUE"""),46131.0)</f>
        <v>46131</v>
      </c>
      <c r="I309" s="89">
        <f>IFERROR(__xludf.DUMMYFUNCTION("""COMPUTED_VALUE"""),1.0)</f>
        <v>1</v>
      </c>
      <c r="J309" s="96">
        <f>IFERROR(__xludf.DUMMYFUNCTION("""COMPUTED_VALUE"""),250000.0)</f>
        <v>250000</v>
      </c>
      <c r="K309" s="36" t="str">
        <f>IFERROR(__xludf.DUMMYFUNCTION("""COMPUTED_VALUE"""),"lewat tanggal, tidak ada jawaban")</f>
        <v>lewat tanggal, tidak ada jawaban</v>
      </c>
      <c r="L309" s="81" t="str">
        <f>IFERROR(__xludf.DUMMYFUNCTION("""COMPUTED_VALUE"""),"https://docs.google.com/document/d/1WrHosX5Xh0BRMcVVDwuDR8t4w-75bgHUpDK5D5dJIUA/edit?tab=t.0")</f>
        <v>https://docs.google.com/document/d/1WrHosX5Xh0BRMcVVDwuDR8t4w-75bgHUpDK5D5dJIUA/edit?tab=t.0</v>
      </c>
      <c r="M309" s="20"/>
      <c r="N309" s="20"/>
      <c r="O309" s="20"/>
      <c r="P309" s="20"/>
    </row>
    <row r="310">
      <c r="A310" s="97">
        <f>IFERROR(__xludf.DUMMYFUNCTION("""COMPUTED_VALUE"""),46079.0)</f>
        <v>46079</v>
      </c>
      <c r="B310" s="97" t="str">
        <f>IFERROR(__xludf.DUMMYFUNCTION("""COMPUTED_VALUE"""),"2602D127")</f>
        <v>2602D127</v>
      </c>
      <c r="C310" s="76" t="str">
        <f>IFERROR(__xludf.DUMMYFUNCTION("""COMPUTED_VALUE"""),"Felix Hansen")</f>
        <v>Felix Hansen</v>
      </c>
      <c r="D310" s="99" t="str">
        <f>IFERROR(__xludf.DUMMYFUNCTION("""COMPUTED_VALUE"""),"081291586867")</f>
        <v>081291586867</v>
      </c>
      <c r="E310" s="25" t="str">
        <f>IFERROR(__xludf.DUMMYFUNCTION("""COMPUTED_VALUE"""),"Lainnya")</f>
        <v>Lainnya</v>
      </c>
      <c r="F310" s="25" t="str">
        <f>IFERROR(__xludf.DUMMYFUNCTION("""COMPUTED_VALUE"""),"Gagal")</f>
        <v>Gagal</v>
      </c>
      <c r="G310" s="25"/>
      <c r="H310" s="16"/>
      <c r="I310" s="17"/>
      <c r="J310" s="54"/>
      <c r="K310" s="19" t="str">
        <f>IFERROR(__xludf.DUMMYFUNCTION("""COMPUTED_VALUE"""),"nanyain tour jawa (bromo,dieng)")</f>
        <v>nanyain tour jawa (bromo,dieng)</v>
      </c>
      <c r="L310" s="76"/>
      <c r="M310" s="20"/>
      <c r="N310" s="20"/>
      <c r="O310" s="20"/>
      <c r="P310" s="20"/>
    </row>
    <row r="311">
      <c r="A311" s="110">
        <f>IFERROR(__xludf.DUMMYFUNCTION("""COMPUTED_VALUE"""),46080.0)</f>
        <v>46080</v>
      </c>
      <c r="B311" s="110" t="str">
        <f>IFERROR(__xludf.DUMMYFUNCTION("""COMPUTED_VALUE"""),"2602D123")</f>
        <v>2602D123</v>
      </c>
      <c r="C311" s="49" t="str">
        <f>IFERROR(__xludf.DUMMYFUNCTION("""COMPUTED_VALUE"""),"Ylia")</f>
        <v>Ylia</v>
      </c>
      <c r="D311" s="102" t="str">
        <f>IFERROR(__xludf.DUMMYFUNCTION("""COMPUTED_VALUE"""),"081316106742")</f>
        <v>081316106742</v>
      </c>
      <c r="E311" s="25" t="str">
        <f>IFERROR(__xludf.DUMMYFUNCTION("""COMPUTED_VALUE"""),"Lainnya")</f>
        <v>Lainnya</v>
      </c>
      <c r="F311" s="25" t="str">
        <f>IFERROR(__xludf.DUMMYFUNCTION("""COMPUTED_VALUE"""),"Gagal")</f>
        <v>Gagal</v>
      </c>
      <c r="G311" s="25"/>
      <c r="H311" s="78"/>
      <c r="I311" s="89"/>
      <c r="J311" s="96"/>
      <c r="K311" s="36" t="str">
        <f>IFERROR(__xludf.DUMMYFUNCTION("""COMPUTED_VALUE"""),"tidak ada jawaban, hanya menyapa")</f>
        <v>tidak ada jawaban, hanya menyapa</v>
      </c>
      <c r="L311" s="49"/>
      <c r="M311" s="20"/>
      <c r="N311" s="20"/>
      <c r="O311" s="20"/>
      <c r="P311" s="20"/>
    </row>
    <row r="312">
      <c r="A312" s="97">
        <f>IFERROR(__xludf.DUMMYFUNCTION("""COMPUTED_VALUE"""),46080.0)</f>
        <v>46080</v>
      </c>
      <c r="B312" s="97" t="str">
        <f>IFERROR(__xludf.DUMMYFUNCTION("""COMPUTED_VALUE"""),"2602D124")</f>
        <v>2602D124</v>
      </c>
      <c r="C312" s="76" t="str">
        <f>IFERROR(__xludf.DUMMYFUNCTION("""COMPUTED_VALUE"""),"Novryssa Raliani")</f>
        <v>Novryssa Raliani</v>
      </c>
      <c r="D312" s="99" t="str">
        <f>IFERROR(__xludf.DUMMYFUNCTION("""COMPUTED_VALUE"""),"085248147473")</f>
        <v>085248147473</v>
      </c>
      <c r="E312" s="25" t="str">
        <f>IFERROR(__xludf.DUMMYFUNCTION("""COMPUTED_VALUE"""),"Instagram")</f>
        <v>Instagram</v>
      </c>
      <c r="F312" s="25" t="str">
        <f>IFERROR(__xludf.DUMMYFUNCTION("""COMPUTED_VALUE"""),"Gagal")</f>
        <v>Gagal</v>
      </c>
      <c r="G312" s="15" t="str">
        <f>IFERROR(__xludf.DUMMYFUNCTION("""COMPUTED_VALUE"""),"snorkeling dan hutan")</f>
        <v>snorkeling dan hutan</v>
      </c>
      <c r="H312" s="92"/>
      <c r="I312" s="80">
        <f>IFERROR(__xludf.DUMMYFUNCTION("""COMPUTED_VALUE"""),5.0)</f>
        <v>5</v>
      </c>
      <c r="J312" s="93"/>
      <c r="K312" s="19" t="str">
        <f>IFERROR(__xludf.DUMMYFUNCTION("""COMPUTED_VALUE"""),"trip ditunda, cari waktu yang tepat")</f>
        <v>trip ditunda, cari waktu yang tepat</v>
      </c>
      <c r="L312" s="88" t="str">
        <f>IFERROR(__xludf.DUMMYFUNCTION("""COMPUTED_VALUE"""),"https://docs.google.com/document/d/1EYh6FZNuQ3O6ltimTfuHYrAG6YTE156ES81r1af3nZM/edit?tab=t.0")</f>
        <v>https://docs.google.com/document/d/1EYh6FZNuQ3O6ltimTfuHYrAG6YTE156ES81r1af3nZM/edit?tab=t.0</v>
      </c>
      <c r="M312" s="20"/>
      <c r="N312" s="20"/>
      <c r="O312" s="20"/>
      <c r="P312" s="20"/>
    </row>
    <row r="313">
      <c r="A313" s="110">
        <f>IFERROR(__xludf.DUMMYFUNCTION("""COMPUTED_VALUE"""),46080.0)</f>
        <v>46080</v>
      </c>
      <c r="B313" s="110" t="str">
        <f>IFERROR(__xludf.DUMMYFUNCTION("""COMPUTED_VALUE"""),"2602D125")</f>
        <v>2602D125</v>
      </c>
      <c r="C313" s="49" t="str">
        <f>IFERROR(__xludf.DUMMYFUNCTION("""COMPUTED_VALUE"""),"viananda")</f>
        <v>viananda</v>
      </c>
      <c r="D313" s="102" t="str">
        <f>IFERROR(__xludf.DUMMYFUNCTION("""COMPUTED_VALUE"""),"083103773637")</f>
        <v>083103773637</v>
      </c>
      <c r="E313" s="25" t="str">
        <f>IFERROR(__xludf.DUMMYFUNCTION("""COMPUTED_VALUE"""),"Lainnya")</f>
        <v>Lainnya</v>
      </c>
      <c r="F313" s="25" t="str">
        <f>IFERROR(__xludf.DUMMYFUNCTION("""COMPUTED_VALUE"""),"Gagal")</f>
        <v>Gagal</v>
      </c>
      <c r="G313" s="25"/>
      <c r="H313" s="78"/>
      <c r="I313" s="27">
        <f>IFERROR(__xludf.DUMMYFUNCTION("""COMPUTED_VALUE"""),2.0)</f>
        <v>2</v>
      </c>
      <c r="J313" s="33"/>
      <c r="K313" s="36" t="str">
        <f>IFERROR(__xludf.DUMMYFUNCTION("""COMPUTED_VALUE"""),"tidak ada jawaban, sdh fu 5 kali ")</f>
        <v>tidak ada jawaban, sdh fu 5 kali </v>
      </c>
      <c r="L313" s="81" t="str">
        <f>IFERROR(__xludf.DUMMYFUNCTION("""COMPUTED_VALUE"""),"https://docs.google.com/document/d/1KhXWkYPLQf77xqJU04uU3d2wh2F-atGH4ZwiSLH5Lmg/edit?tab=t.0")</f>
        <v>https://docs.google.com/document/d/1KhXWkYPLQf77xqJU04uU3d2wh2F-atGH4ZwiSLH5Lmg/edit?tab=t.0</v>
      </c>
      <c r="M313" s="20"/>
      <c r="N313" s="20"/>
      <c r="O313" s="20"/>
      <c r="P313" s="20"/>
    </row>
    <row r="314">
      <c r="A314" s="97">
        <f>IFERROR(__xludf.DUMMYFUNCTION("""COMPUTED_VALUE"""),46080.0)</f>
        <v>46080</v>
      </c>
      <c r="B314" s="97" t="str">
        <f>IFERROR(__xludf.DUMMYFUNCTION("""COMPUTED_VALUE"""),"2602D126")</f>
        <v>2602D126</v>
      </c>
      <c r="C314" s="76" t="str">
        <f>IFERROR(__xludf.DUMMYFUNCTION("""COMPUTED_VALUE"""),"A Cahyadin")</f>
        <v>A Cahyadin</v>
      </c>
      <c r="D314" s="99" t="str">
        <f>IFERROR(__xludf.DUMMYFUNCTION("""COMPUTED_VALUE"""),"089648073758")</f>
        <v>089648073758</v>
      </c>
      <c r="E314" s="25" t="str">
        <f>IFERROR(__xludf.DUMMYFUNCTION("""COMPUTED_VALUE"""),"Tiktok")</f>
        <v>Tiktok</v>
      </c>
      <c r="F314" s="25" t="str">
        <f>IFERROR(__xludf.DUMMYFUNCTION("""COMPUTED_VALUE"""),"Gagal")</f>
        <v>Gagal</v>
      </c>
      <c r="G314" s="25"/>
      <c r="H314" s="92"/>
      <c r="I314" s="80">
        <f>IFERROR(__xludf.DUMMYFUNCTION("""COMPUTED_VALUE"""),2.0)</f>
        <v>2</v>
      </c>
      <c r="J314" s="93"/>
      <c r="K314" s="19" t="str">
        <f>IFERROR(__xludf.DUMMYFUNCTION("""COMPUTED_VALUE"""),"tidak ada jawaban, sdh fu 5 kali")</f>
        <v>tidak ada jawaban, sdh fu 5 kali</v>
      </c>
      <c r="L314" s="88" t="str">
        <f>IFERROR(__xludf.DUMMYFUNCTION("""COMPUTED_VALUE"""),"https://docs.google.com/document/d/1XNBLh8erHozdX4wbuKyKbL_urUIlh-Ays7hkuUyd2Jw/edit?tab=t.0")</f>
        <v>https://docs.google.com/document/d/1XNBLh8erHozdX4wbuKyKbL_urUIlh-Ays7hkuUyd2Jw/edit?tab=t.0</v>
      </c>
      <c r="M314" s="20"/>
      <c r="N314" s="20"/>
      <c r="O314" s="20"/>
      <c r="P314" s="20"/>
    </row>
    <row r="315">
      <c r="A315" s="110">
        <f>IFERROR(__xludf.DUMMYFUNCTION("""COMPUTED_VALUE"""),46080.0)</f>
        <v>46080</v>
      </c>
      <c r="B315" s="110" t="str">
        <f>IFERROR(__xludf.DUMMYFUNCTION("""COMPUTED_VALUE"""),"2602D128")</f>
        <v>2602D128</v>
      </c>
      <c r="C315" s="49" t="str">
        <f>IFERROR(__xludf.DUMMYFUNCTION("""COMPUTED_VALUE"""),"Henry")</f>
        <v>Henry</v>
      </c>
      <c r="D315" s="102" t="str">
        <f>IFERROR(__xludf.DUMMYFUNCTION("""COMPUTED_VALUE"""),"081212641269")</f>
        <v>081212641269</v>
      </c>
      <c r="E315" s="25" t="str">
        <f>IFERROR(__xludf.DUMMYFUNCTION("""COMPUTED_VALUE"""),"Lainnya")</f>
        <v>Lainnya</v>
      </c>
      <c r="F315" s="25" t="str">
        <f>IFERROR(__xludf.DUMMYFUNCTION("""COMPUTED_VALUE"""),"Gagal")</f>
        <v>Gagal</v>
      </c>
      <c r="G315" s="15" t="str">
        <f>IFERROR(__xludf.DUMMYFUNCTION("""COMPUTED_VALUE"""),"3H2M opsi a")</f>
        <v>3H2M opsi a</v>
      </c>
      <c r="H315" s="78"/>
      <c r="I315" s="89">
        <f>IFERROR(__xludf.DUMMYFUNCTION("""COMPUTED_VALUE"""),12.0)</f>
        <v>12</v>
      </c>
      <c r="J315" s="96">
        <f>IFERROR(__xludf.DUMMYFUNCTION("""COMPUTED_VALUE"""),1.2732E7)</f>
        <v>12732000</v>
      </c>
      <c r="K315" s="36" t="str">
        <f>IFERROR(__xludf.DUMMYFUNCTION("""COMPUTED_VALUE"""),"kirim penawaran, FU 24 April")</f>
        <v>kirim penawaran, FU 24 April</v>
      </c>
      <c r="L315" s="81" t="str">
        <f>IFERROR(__xludf.DUMMYFUNCTION("""COMPUTED_VALUE"""),"https://docs.google.com/document/d/1CRlqaj6ZRa7CzeaR0m9u8rXId3WMzUTWEMLphayaeCA/edit?tab=t.0")</f>
        <v>https://docs.google.com/document/d/1CRlqaj6ZRa7CzeaR0m9u8rXId3WMzUTWEMLphayaeCA/edit?tab=t.0</v>
      </c>
      <c r="M315" s="20"/>
      <c r="N315" s="20"/>
      <c r="O315" s="20"/>
      <c r="P315" s="20"/>
    </row>
    <row r="316">
      <c r="A316" s="97">
        <f>IFERROR(__xludf.DUMMYFUNCTION("""COMPUTED_VALUE"""),46080.0)</f>
        <v>46080</v>
      </c>
      <c r="B316" s="97" t="str">
        <f>IFERROR(__xludf.DUMMYFUNCTION("""COMPUTED_VALUE"""),"2602D129")</f>
        <v>2602D129</v>
      </c>
      <c r="C316" s="76" t="str">
        <f>IFERROR(__xludf.DUMMYFUNCTION("""COMPUTED_VALUE"""),"Glh")</f>
        <v>Glh</v>
      </c>
      <c r="D316" s="99" t="str">
        <f>IFERROR(__xludf.DUMMYFUNCTION("""COMPUTED_VALUE"""),"085183355430")</f>
        <v>085183355430</v>
      </c>
      <c r="E316" s="25" t="str">
        <f>IFERROR(__xludf.DUMMYFUNCTION("""COMPUTED_VALUE"""),"Instagram")</f>
        <v>Instagram</v>
      </c>
      <c r="F316" s="25" t="str">
        <f>IFERROR(__xludf.DUMMYFUNCTION("""COMPUTED_VALUE"""),"Gagal")</f>
        <v>Gagal</v>
      </c>
      <c r="G316" s="25" t="str">
        <f>IFERROR(__xludf.DUMMYFUNCTION("""COMPUTED_VALUE"""),"teluk ijo, pulau merah")</f>
        <v>teluk ijo, pulau merah</v>
      </c>
      <c r="H316" s="92">
        <f>IFERROR(__xludf.DUMMYFUNCTION("""COMPUTED_VALUE"""),46104.0)</f>
        <v>46104</v>
      </c>
      <c r="I316" s="80">
        <f>IFERROR(__xludf.DUMMYFUNCTION("""COMPUTED_VALUE"""),6.0)</f>
        <v>6</v>
      </c>
      <c r="J316" s="93">
        <f>IFERROR(__xludf.DUMMYFUNCTION("""COMPUTED_VALUE"""),3090000.0)</f>
        <v>3090000</v>
      </c>
      <c r="K316" s="19" t="str">
        <f>IFERROR(__xludf.DUMMYFUNCTION("""COMPUTED_VALUE"""),"lewat tanggal, tidak ada jawaban")</f>
        <v>lewat tanggal, tidak ada jawaban</v>
      </c>
      <c r="L316" s="88" t="str">
        <f>IFERROR(__xludf.DUMMYFUNCTION("""COMPUTED_VALUE"""),"https://docs.google.com/document/d/1kKOAN5Hz1e9Ge1PK5nErHM0e1M6-xbfB1rLJ4Ehr4qk/edit?tab=t.0")</f>
        <v>https://docs.google.com/document/d/1kKOAN5Hz1e9Ge1PK5nErHM0e1M6-xbfB1rLJ4Ehr4qk/edit?tab=t.0</v>
      </c>
      <c r="M316" s="20"/>
      <c r="N316" s="20"/>
      <c r="O316" s="20"/>
      <c r="P316" s="20"/>
    </row>
    <row r="317">
      <c r="A317" s="110">
        <f>IFERROR(__xludf.DUMMYFUNCTION("""COMPUTED_VALUE"""),46080.0)</f>
        <v>46080</v>
      </c>
      <c r="B317" s="110" t="str">
        <f>IFERROR(__xludf.DUMMYFUNCTION("""COMPUTED_VALUE"""),"2602D130")</f>
        <v>2602D130</v>
      </c>
      <c r="C317" s="49" t="str">
        <f>IFERROR(__xludf.DUMMYFUNCTION("""COMPUTED_VALUE"""),"Momih Ceisya")</f>
        <v>Momih Ceisya</v>
      </c>
      <c r="D317" s="102" t="str">
        <f>IFERROR(__xludf.DUMMYFUNCTION("""COMPUTED_VALUE"""),"085695838737")</f>
        <v>085695838737</v>
      </c>
      <c r="E317" s="25" t="str">
        <f>IFERROR(__xludf.DUMMYFUNCTION("""COMPUTED_VALUE"""),"Lainnya")</f>
        <v>Lainnya</v>
      </c>
      <c r="F317" s="25" t="str">
        <f>IFERROR(__xludf.DUMMYFUNCTION("""COMPUTED_VALUE"""),"Gagal")</f>
        <v>Gagal</v>
      </c>
      <c r="G317" s="25" t="str">
        <f>IFERROR(__xludf.DUMMYFUNCTION("""COMPUTED_VALUE"""),"one day trip djawatan baluran")</f>
        <v>one day trip djawatan baluran</v>
      </c>
      <c r="H317" s="26">
        <f>IFERROR(__xludf.DUMMYFUNCTION("""COMPUTED_VALUE"""),46107.0)</f>
        <v>46107</v>
      </c>
      <c r="I317" s="27">
        <f>IFERROR(__xludf.DUMMYFUNCTION("""COMPUTED_VALUE"""),4.0)</f>
        <v>4</v>
      </c>
      <c r="J317" s="33">
        <f>IFERROR(__xludf.DUMMYFUNCTION("""COMPUTED_VALUE"""),1996000.0)</f>
        <v>1996000</v>
      </c>
      <c r="K317" s="36" t="str">
        <f>IFERROR(__xludf.DUMMYFUNCTION("""COMPUTED_VALUE"""),"over budget, nabung dulu")</f>
        <v>over budget, nabung dulu</v>
      </c>
      <c r="L317" s="49"/>
      <c r="M317" s="20"/>
      <c r="N317" s="20"/>
      <c r="O317" s="20"/>
      <c r="P317" s="20"/>
    </row>
    <row r="318">
      <c r="A318" s="97">
        <f>IFERROR(__xludf.DUMMYFUNCTION("""COMPUTED_VALUE"""),46080.0)</f>
        <v>46080</v>
      </c>
      <c r="B318" s="97" t="str">
        <f>IFERROR(__xludf.DUMMYFUNCTION("""COMPUTED_VALUE"""),"2602D131")</f>
        <v>2602D131</v>
      </c>
      <c r="C318" s="76" t="str">
        <f>IFERROR(__xludf.DUMMYFUNCTION("""COMPUTED_VALUE"""),"Valenciags")</f>
        <v>Valenciags</v>
      </c>
      <c r="D318" s="99" t="str">
        <f>IFERROR(__xludf.DUMMYFUNCTION("""COMPUTED_VALUE"""),"081806481806")</f>
        <v>081806481806</v>
      </c>
      <c r="E318" s="25" t="str">
        <f>IFERROR(__xludf.DUMMYFUNCTION("""COMPUTED_VALUE"""),"Instagram")</f>
        <v>Instagram</v>
      </c>
      <c r="F318" s="25" t="str">
        <f>IFERROR(__xludf.DUMMYFUNCTION("""COMPUTED_VALUE"""),"Gagal")</f>
        <v>Gagal</v>
      </c>
      <c r="G318" s="25" t="str">
        <f>IFERROR(__xludf.DUMMYFUNCTION("""COMPUTED_VALUE"""),"2H1M")</f>
        <v>2H1M</v>
      </c>
      <c r="H318" s="92"/>
      <c r="I318" s="17">
        <f>IFERROR(__xludf.DUMMYFUNCTION("""COMPUTED_VALUE"""),2.0)</f>
        <v>2</v>
      </c>
      <c r="J318" s="54">
        <f>IFERROR(__xludf.DUMMYFUNCTION("""COMPUTED_VALUE"""),3882000.0)</f>
        <v>3882000</v>
      </c>
      <c r="K318" s="19" t="str">
        <f>IFERROR(__xludf.DUMMYFUNCTION("""COMPUTED_VALUE"""),"minta pricelist, fu tanggal 2 april")</f>
        <v>minta pricelist, fu tanggal 2 april</v>
      </c>
      <c r="L318" s="88" t="str">
        <f>IFERROR(__xludf.DUMMYFUNCTION("""COMPUTED_VALUE"""),"https://docs.google.com/document/d/141xZi6MqSxtNzt8SYKBNDsVwpYnBAbkG245i1hwRBAY/edit?tab=t.0")</f>
        <v>https://docs.google.com/document/d/141xZi6MqSxtNzt8SYKBNDsVwpYnBAbkG245i1hwRBAY/edit?tab=t.0</v>
      </c>
      <c r="M318" s="20"/>
      <c r="N318" s="20"/>
      <c r="O318" s="20"/>
      <c r="P318" s="20"/>
    </row>
    <row r="319">
      <c r="A319" s="110">
        <f>IFERROR(__xludf.DUMMYFUNCTION("""COMPUTED_VALUE"""),46080.0)</f>
        <v>46080</v>
      </c>
      <c r="B319" s="110" t="str">
        <f>IFERROR(__xludf.DUMMYFUNCTION("""COMPUTED_VALUE"""),"2602D132")</f>
        <v>2602D132</v>
      </c>
      <c r="C319" s="49" t="str">
        <f>IFERROR(__xludf.DUMMYFUNCTION("""COMPUTED_VALUE"""),"Lukita Anggraeni Jati")</f>
        <v>Lukita Anggraeni Jati</v>
      </c>
      <c r="D319" s="102" t="str">
        <f>IFERROR(__xludf.DUMMYFUNCTION("""COMPUTED_VALUE"""),"081233932620")</f>
        <v>081233932620</v>
      </c>
      <c r="E319" s="25" t="str">
        <f>IFERROR(__xludf.DUMMYFUNCTION("""COMPUTED_VALUE"""),"Website")</f>
        <v>Website</v>
      </c>
      <c r="F319" s="25" t="str">
        <f>IFERROR(__xludf.DUMMYFUNCTION("""COMPUTED_VALUE"""),"Gagal")</f>
        <v>Gagal</v>
      </c>
      <c r="G319" s="15" t="str">
        <f>IFERROR(__xludf.DUMMYFUNCTION("""COMPUTED_VALUE"""),"OT ")</f>
        <v>OT </v>
      </c>
      <c r="H319" s="78"/>
      <c r="I319" s="27">
        <f>IFERROR(__xludf.DUMMYFUNCTION("""COMPUTED_VALUE"""),3.0)</f>
        <v>3</v>
      </c>
      <c r="J319" s="96"/>
      <c r="K319" s="36" t="str">
        <f>IFERROR(__xludf.DUMMYFUNCTION("""COMPUTED_VALUE"""),"ga jadi ke Banyuwangi ")</f>
        <v>ga jadi ke Banyuwangi </v>
      </c>
      <c r="L319" s="81" t="str">
        <f>IFERROR(__xludf.DUMMYFUNCTION("""COMPUTED_VALUE"""),"https://docs.google.com/document/d/1arR3xFKib7xD8ofEpcXEB-oPtpqEnhODEFSqtBqKpgg/edit?tab=t.0")</f>
        <v>https://docs.google.com/document/d/1arR3xFKib7xD8ofEpcXEB-oPtpqEnhODEFSqtBqKpgg/edit?tab=t.0</v>
      </c>
      <c r="M319" s="20"/>
      <c r="N319" s="20"/>
      <c r="O319" s="20"/>
      <c r="P319" s="20"/>
    </row>
    <row r="320">
      <c r="A320" s="97">
        <f>IFERROR(__xludf.DUMMYFUNCTION("""COMPUTED_VALUE"""),46081.0)</f>
        <v>46081</v>
      </c>
      <c r="B320" s="97" t="str">
        <f>IFERROR(__xludf.DUMMYFUNCTION("""COMPUTED_VALUE"""),"2602D133")</f>
        <v>2602D133</v>
      </c>
      <c r="C320" s="76" t="str">
        <f>IFERROR(__xludf.DUMMYFUNCTION("""COMPUTED_VALUE"""),"Rizha Anugerah")</f>
        <v>Rizha Anugerah</v>
      </c>
      <c r="D320" s="99" t="str">
        <f>IFERROR(__xludf.DUMMYFUNCTION("""COMPUTED_VALUE"""),"081233932620")</f>
        <v>081233932620</v>
      </c>
      <c r="E320" s="25" t="str">
        <f>IFERROR(__xludf.DUMMYFUNCTION("""COMPUTED_VALUE"""),"Lainnya")</f>
        <v>Lainnya</v>
      </c>
      <c r="F320" s="25" t="str">
        <f>IFERROR(__xludf.DUMMYFUNCTION("""COMPUTED_VALUE"""),"Gagal")</f>
        <v>Gagal</v>
      </c>
      <c r="G320" s="25" t="str">
        <f>IFERROR(__xludf.DUMMYFUNCTION("""COMPUTED_VALUE"""),"3H2M")</f>
        <v>3H2M</v>
      </c>
      <c r="H320" s="92"/>
      <c r="I320" s="80"/>
      <c r="J320" s="93"/>
      <c r="K320" s="19" t="str">
        <f>IFERROR(__xludf.DUMMYFUNCTION("""COMPUTED_VALUE"""),"nunggu bulan april atau nunggu istri lahiran,lg trimester3")</f>
        <v>nunggu bulan april atau nunggu istri lahiran,lg trimester3</v>
      </c>
      <c r="L320" s="88" t="str">
        <f>IFERROR(__xludf.DUMMYFUNCTION("""COMPUTED_VALUE"""),"https://docs.google.com/document/d/1XAFUSxNKFH6vfiCRAw3Mpj4nbZIGE1JyFFZle82s0Sc/edit?tab=t.0")</f>
        <v>https://docs.google.com/document/d/1XAFUSxNKFH6vfiCRAw3Mpj4nbZIGE1JyFFZle82s0Sc/edit?tab=t.0</v>
      </c>
      <c r="M320" s="20"/>
      <c r="N320" s="20"/>
      <c r="O320" s="20"/>
      <c r="P320" s="20"/>
    </row>
    <row r="321">
      <c r="A321" s="110">
        <f>IFERROR(__xludf.DUMMYFUNCTION("""COMPUTED_VALUE"""),46081.0)</f>
        <v>46081</v>
      </c>
      <c r="B321" s="110" t="str">
        <f>IFERROR(__xludf.DUMMYFUNCTION("""COMPUTED_VALUE"""),"2602D134")</f>
        <v>2602D134</v>
      </c>
      <c r="C321" s="49" t="str">
        <f>IFERROR(__xludf.DUMMYFUNCTION("""COMPUTED_VALUE"""),"Elsa Oktavia")</f>
        <v>Elsa Oktavia</v>
      </c>
      <c r="D321" s="102" t="str">
        <f>IFERROR(__xludf.DUMMYFUNCTION("""COMPUTED_VALUE"""),"089690342213")</f>
        <v>089690342213</v>
      </c>
      <c r="E321" s="25" t="str">
        <f>IFERROR(__xludf.DUMMYFUNCTION("""COMPUTED_VALUE"""),"Instagram")</f>
        <v>Instagram</v>
      </c>
      <c r="F321" s="25" t="str">
        <f>IFERROR(__xludf.DUMMYFUNCTION("""COMPUTED_VALUE"""),"Gagal")</f>
        <v>Gagal</v>
      </c>
      <c r="G321" s="25" t="str">
        <f>IFERROR(__xludf.DUMMYFUNCTION("""COMPUTED_VALUE"""),"trip kawah wurung")</f>
        <v>trip kawah wurung</v>
      </c>
      <c r="H321" s="26"/>
      <c r="I321" s="27">
        <f>IFERROR(__xludf.DUMMYFUNCTION("""COMPUTED_VALUE"""),2.0)</f>
        <v>2</v>
      </c>
      <c r="J321" s="33"/>
      <c r="K321" s="30" t="str">
        <f>IFERROR(__xludf.DUMMYFUNCTION("""COMPUTED_VALUE"""),"tidak ada jawaban, sdh fu 5 kali ")</f>
        <v>tidak ada jawaban, sdh fu 5 kali </v>
      </c>
      <c r="L321" s="81" t="str">
        <f>IFERROR(__xludf.DUMMYFUNCTION("""COMPUTED_VALUE"""),"https://docs.google.com/document/d/1ZuX30UKljHeGOTBVnVIfBPow6f4-Azj-UrZd_K0RPVI/edit?tab=t.0")</f>
        <v>https://docs.google.com/document/d/1ZuX30UKljHeGOTBVnVIfBPow6f4-Azj-UrZd_K0RPVI/edit?tab=t.0</v>
      </c>
      <c r="M321" s="20"/>
      <c r="N321" s="20"/>
      <c r="O321" s="20"/>
      <c r="P321" s="20"/>
    </row>
    <row r="322">
      <c r="A322" s="110">
        <f>IFERROR(__xludf.DUMMYFUNCTION("""COMPUTED_VALUE"""),46081.0)</f>
        <v>46081</v>
      </c>
      <c r="B322" s="110" t="str">
        <f>IFERROR(__xludf.DUMMYFUNCTION("""COMPUTED_VALUE"""),"2602D135")</f>
        <v>2602D135</v>
      </c>
      <c r="C322" s="49" t="str">
        <f>IFERROR(__xludf.DUMMYFUNCTION("""COMPUTED_VALUE"""),"Sherly")</f>
        <v>Sherly</v>
      </c>
      <c r="D322" s="102" t="str">
        <f>IFERROR(__xludf.DUMMYFUNCTION("""COMPUTED_VALUE"""),"081292955939")</f>
        <v>081292955939</v>
      </c>
      <c r="E322" s="25" t="str">
        <f>IFERROR(__xludf.DUMMYFUNCTION("""COMPUTED_VALUE"""),"Lainnya")</f>
        <v>Lainnya</v>
      </c>
      <c r="F322" s="25" t="str">
        <f>IFERROR(__xludf.DUMMYFUNCTION("""COMPUTED_VALUE"""),"Gagal")</f>
        <v>Gagal</v>
      </c>
      <c r="G322" s="25" t="str">
        <f>IFERROR(__xludf.DUMMYFUNCTION("""COMPUTED_VALUE"""),"trip pulau bedil")</f>
        <v>trip pulau bedil</v>
      </c>
      <c r="H322" s="78"/>
      <c r="I322" s="89">
        <f>IFERROR(__xludf.DUMMYFUNCTION("""COMPUTED_VALUE"""),2.0)</f>
        <v>2</v>
      </c>
      <c r="J322" s="96">
        <f>IFERROR(__xludf.DUMMYFUNCTION("""COMPUTED_VALUE"""),3104400.0)</f>
        <v>3104400</v>
      </c>
      <c r="K322" s="36" t="str">
        <f>IFERROR(__xludf.DUMMYFUNCTION("""COMPUTED_VALUE"""),"tidak jawab alasan batal")</f>
        <v>tidak jawab alasan batal</v>
      </c>
      <c r="L322" s="49"/>
      <c r="M322" s="20"/>
      <c r="N322" s="20"/>
      <c r="O322" s="20"/>
      <c r="P322" s="20"/>
    </row>
    <row r="323">
      <c r="A323" s="97">
        <f>IFERROR(__xludf.DUMMYFUNCTION("""COMPUTED_VALUE"""),46082.0)</f>
        <v>46082</v>
      </c>
      <c r="B323" s="97" t="str">
        <f>IFERROR(__xludf.DUMMYFUNCTION("""COMPUTED_VALUE"""),"2603D001")</f>
        <v>2603D001</v>
      </c>
      <c r="C323" s="120" t="str">
        <f>IFERROR(__xludf.DUMMYFUNCTION("""COMPUTED_VALUE"""),"alimaa")</f>
        <v>alimaa</v>
      </c>
      <c r="D323" s="99" t="str">
        <f>IFERROR(__xludf.DUMMYFUNCTION("""COMPUTED_VALUE"""),"087775157228")</f>
        <v>087775157228</v>
      </c>
      <c r="E323" s="25" t="str">
        <f>IFERROR(__xludf.DUMMYFUNCTION("""COMPUTED_VALUE"""),"Instagram")</f>
        <v>Instagram</v>
      </c>
      <c r="F323" s="25" t="str">
        <f>IFERROR(__xludf.DUMMYFUNCTION("""COMPUTED_VALUE"""),"Closing")</f>
        <v>Closing</v>
      </c>
      <c r="G323" s="25" t="str">
        <f>IFERROR(__xludf.DUMMYFUNCTION("""COMPUTED_VALUE"""),"OT menjangan tabuhan")</f>
        <v>OT menjangan tabuhan</v>
      </c>
      <c r="H323" s="92"/>
      <c r="I323" s="17">
        <f>IFERROR(__xludf.DUMMYFUNCTION("""COMPUTED_VALUE"""),4.0)</f>
        <v>4</v>
      </c>
      <c r="J323" s="93">
        <f>IFERROR(__xludf.DUMMYFUNCTION("""COMPUTED_VALUE"""),1180000.0)</f>
        <v>1180000</v>
      </c>
      <c r="K323" s="46" t="str">
        <f>IFERROR(__xludf.DUMMYFUNCTION("""COMPUTED_VALUE"""),"orderr, temen sikna")</f>
        <v>orderr, temen sikna</v>
      </c>
      <c r="L323" s="88" t="str">
        <f>IFERROR(__xludf.DUMMYFUNCTION("""COMPUTED_VALUE"""),"https://docs.google.com/document/d/1xCqv007F6ZYJg0DBxZhdbI4gd9st7q8GJtLZFYeyD_E/edit?tab=t.0")</f>
        <v>https://docs.google.com/document/d/1xCqv007F6ZYJg0DBxZhdbI4gd9st7q8GJtLZFYeyD_E/edit?tab=t.0</v>
      </c>
      <c r="M323" s="20"/>
      <c r="N323" s="20"/>
      <c r="O323" s="20"/>
      <c r="P323" s="20"/>
    </row>
    <row r="324">
      <c r="A324" s="110">
        <f>IFERROR(__xludf.DUMMYFUNCTION("""COMPUTED_VALUE"""),46082.0)</f>
        <v>46082</v>
      </c>
      <c r="B324" s="110" t="str">
        <f>IFERROR(__xludf.DUMMYFUNCTION("""COMPUTED_VALUE"""),"2603D002")</f>
        <v>2603D002</v>
      </c>
      <c r="C324" s="49" t="str">
        <f>IFERROR(__xludf.DUMMYFUNCTION("""COMPUTED_VALUE"""),"Marita")</f>
        <v>Marita</v>
      </c>
      <c r="D324" s="102" t="str">
        <f>IFERROR(__xludf.DUMMYFUNCTION("""COMPUTED_VALUE"""),"085945580825")</f>
        <v>085945580825</v>
      </c>
      <c r="E324" s="25" t="str">
        <f>IFERROR(__xludf.DUMMYFUNCTION("""COMPUTED_VALUE"""),"Instagram")</f>
        <v>Instagram</v>
      </c>
      <c r="F324" s="25" t="str">
        <f>IFERROR(__xludf.DUMMYFUNCTION("""COMPUTED_VALUE"""),"Gagal")</f>
        <v>Gagal</v>
      </c>
      <c r="G324" s="25"/>
      <c r="H324" s="78"/>
      <c r="I324" s="89"/>
      <c r="J324" s="96"/>
      <c r="K324" s="36" t="str">
        <f>IFERROR(__xludf.DUMMYFUNCTION("""COMPUTED_VALUE"""),"hanya menyapa, tidak ada jawaban")</f>
        <v>hanya menyapa, tidak ada jawaban</v>
      </c>
      <c r="L324" s="49"/>
      <c r="M324" s="20"/>
      <c r="N324" s="20"/>
      <c r="O324" s="20"/>
      <c r="P324" s="20"/>
    </row>
    <row r="325">
      <c r="A325" s="97">
        <f>IFERROR(__xludf.DUMMYFUNCTION("""COMPUTED_VALUE"""),46082.0)</f>
        <v>46082</v>
      </c>
      <c r="B325" s="97" t="str">
        <f>IFERROR(__xludf.DUMMYFUNCTION("""COMPUTED_VALUE"""),"2603D003")</f>
        <v>2603D003</v>
      </c>
      <c r="C325" s="76" t="str">
        <f>IFERROR(__xludf.DUMMYFUNCTION("""COMPUTED_VALUE"""),"Wilda Nurrohma")</f>
        <v>Wilda Nurrohma</v>
      </c>
      <c r="D325" s="99" t="str">
        <f>IFERROR(__xludf.DUMMYFUNCTION("""COMPUTED_VALUE"""),"082221225119")</f>
        <v>082221225119</v>
      </c>
      <c r="E325" s="25" t="str">
        <f>IFERROR(__xludf.DUMMYFUNCTION("""COMPUTED_VALUE"""),"Instagram")</f>
        <v>Instagram</v>
      </c>
      <c r="F325" s="25" t="str">
        <f>IFERROR(__xludf.DUMMYFUNCTION("""COMPUTED_VALUE"""),"Gagal")</f>
        <v>Gagal</v>
      </c>
      <c r="G325" s="15" t="str">
        <f>IFERROR(__xludf.DUMMYFUNCTION("""COMPUTED_VALUE"""),"trip kawah wurung baluran")</f>
        <v>trip kawah wurung baluran</v>
      </c>
      <c r="H325" s="16">
        <f>IFERROR(__xludf.DUMMYFUNCTION("""COMPUTED_VALUE"""),46105.0)</f>
        <v>46105</v>
      </c>
      <c r="I325" s="17">
        <f>IFERROR(__xludf.DUMMYFUNCTION("""COMPUTED_VALUE"""),5.0)</f>
        <v>5</v>
      </c>
      <c r="J325" s="54">
        <f>IFERROR(__xludf.DUMMYFUNCTION("""COMPUTED_VALUE"""),3139500.0)</f>
        <v>3139500</v>
      </c>
      <c r="K325" s="19" t="str">
        <f>IFERROR(__xludf.DUMMYFUNCTION("""COMPUTED_VALUE"""),"belum jadi ke Banyuwangi")</f>
        <v>belum jadi ke Banyuwangi</v>
      </c>
      <c r="L325" s="88" t="str">
        <f>IFERROR(__xludf.DUMMYFUNCTION("""COMPUTED_VALUE"""),"https://docs.google.com/document/d/1QyxTRr285_PToTbwzWOuF6wRwG7WDDSbWVEYsbHxDeg/edit?tab=t.0")</f>
        <v>https://docs.google.com/document/d/1QyxTRr285_PToTbwzWOuF6wRwG7WDDSbWVEYsbHxDeg/edit?tab=t.0</v>
      </c>
      <c r="M325" s="20"/>
      <c r="N325" s="20"/>
      <c r="O325" s="20"/>
      <c r="P325" s="20"/>
    </row>
    <row r="326">
      <c r="A326" s="110">
        <f>IFERROR(__xludf.DUMMYFUNCTION("""COMPUTED_VALUE"""),46054.0)</f>
        <v>46054</v>
      </c>
      <c r="B326" s="110" t="str">
        <f>IFERROR(__xludf.DUMMYFUNCTION("""COMPUTED_VALUE"""),"2603D004")</f>
        <v>2603D004</v>
      </c>
      <c r="C326" s="49" t="str">
        <f>IFERROR(__xludf.DUMMYFUNCTION("""COMPUTED_VALUE"""),"febriani leni")</f>
        <v>febriani leni</v>
      </c>
      <c r="D326" s="102" t="str">
        <f>IFERROR(__xludf.DUMMYFUNCTION("""COMPUTED_VALUE"""),"082284350841")</f>
        <v>082284350841</v>
      </c>
      <c r="E326" s="25" t="str">
        <f>IFERROR(__xludf.DUMMYFUNCTION("""COMPUTED_VALUE"""),"Instagram")</f>
        <v>Instagram</v>
      </c>
      <c r="F326" s="25" t="str">
        <f>IFERROR(__xludf.DUMMYFUNCTION("""COMPUTED_VALUE"""),"Gagal")</f>
        <v>Gagal</v>
      </c>
      <c r="G326" s="25" t="str">
        <f>IFERROR(__xludf.DUMMYFUNCTION("""COMPUTED_VALUE"""),"3H2M opsi B + ijen")</f>
        <v>3H2M opsi B + ijen</v>
      </c>
      <c r="H326" s="78"/>
      <c r="I326" s="89">
        <f>IFERROR(__xludf.DUMMYFUNCTION("""COMPUTED_VALUE"""),3.0)</f>
        <v>3</v>
      </c>
      <c r="J326" s="33">
        <f>IFERROR(__xludf.DUMMYFUNCTION("""COMPUTED_VALUE"""),4856400.0)</f>
        <v>4856400</v>
      </c>
      <c r="K326" s="36" t="str">
        <f>IFERROR(__xludf.DUMMYFUNCTION("""COMPUTED_VALUE"""),"terkendala cutinyaaaa lur")</f>
        <v>terkendala cutinyaaaa lur</v>
      </c>
      <c r="L326" s="81" t="str">
        <f>IFERROR(__xludf.DUMMYFUNCTION("""COMPUTED_VALUE"""),"https://docs.google.com/document/d/1yPlH0P9L1XApDtEkix3vIAcsDQIuGmDwJZ8Vn3XG3Mw/edit?tab=t.0")</f>
        <v>https://docs.google.com/document/d/1yPlH0P9L1XApDtEkix3vIAcsDQIuGmDwJZ8Vn3XG3Mw/edit?tab=t.0</v>
      </c>
      <c r="M326" s="20"/>
      <c r="N326" s="20"/>
      <c r="O326" s="20"/>
      <c r="P326" s="20"/>
    </row>
    <row r="327">
      <c r="A327" s="97">
        <f>IFERROR(__xludf.DUMMYFUNCTION("""COMPUTED_VALUE"""),46082.0)</f>
        <v>46082</v>
      </c>
      <c r="B327" s="97" t="str">
        <f>IFERROR(__xludf.DUMMYFUNCTION("""COMPUTED_VALUE"""),"2603D005")</f>
        <v>2603D005</v>
      </c>
      <c r="C327" s="76" t="str">
        <f>IFERROR(__xludf.DUMMYFUNCTION("""COMPUTED_VALUE"""),"Riskajul")</f>
        <v>Riskajul</v>
      </c>
      <c r="D327" s="99" t="str">
        <f>IFERROR(__xludf.DUMMYFUNCTION("""COMPUTED_VALUE"""),"085229037726")</f>
        <v>085229037726</v>
      </c>
      <c r="E327" s="25" t="str">
        <f>IFERROR(__xludf.DUMMYFUNCTION("""COMPUTED_VALUE"""),"Lainnya")</f>
        <v>Lainnya</v>
      </c>
      <c r="F327" s="25" t="str">
        <f>IFERROR(__xludf.DUMMYFUNCTION("""COMPUTED_VALUE"""),"Gagal")</f>
        <v>Gagal</v>
      </c>
      <c r="G327" s="25"/>
      <c r="H327" s="92"/>
      <c r="I327" s="80"/>
      <c r="J327" s="93"/>
      <c r="K327" s="19" t="str">
        <f>IFERROR(__xludf.DUMMYFUNCTION("""COMPUTED_VALUE"""),"tidak bisa jetski")</f>
        <v>tidak bisa jetski</v>
      </c>
      <c r="L327" s="88" t="str">
        <f>IFERROR(__xludf.DUMMYFUNCTION("""COMPUTED_VALUE"""),"https://docs.google.com/document/d/1oTF9qHwExlqBQtux8l_wX1GMgfR5VCUgl4BaJS3RNbA/edit?tab=t.0")</f>
        <v>https://docs.google.com/document/d/1oTF9qHwExlqBQtux8l_wX1GMgfR5VCUgl4BaJS3RNbA/edit?tab=t.0</v>
      </c>
      <c r="M327" s="20"/>
      <c r="N327" s="20"/>
      <c r="O327" s="20"/>
      <c r="P327" s="20"/>
    </row>
    <row r="328">
      <c r="A328" s="110">
        <f>IFERROR(__xludf.DUMMYFUNCTION("""COMPUTED_VALUE"""),46083.0)</f>
        <v>46083</v>
      </c>
      <c r="B328" s="110" t="str">
        <f>IFERROR(__xludf.DUMMYFUNCTION("""COMPUTED_VALUE"""),"2603D006")</f>
        <v>2603D006</v>
      </c>
      <c r="C328" s="49" t="str">
        <f>IFERROR(__xludf.DUMMYFUNCTION("""COMPUTED_VALUE"""),"Arief Amrullah")</f>
        <v>Arief Amrullah</v>
      </c>
      <c r="D328" s="102" t="str">
        <f>IFERROR(__xludf.DUMMYFUNCTION("""COMPUTED_VALUE"""),"08121881397")</f>
        <v>08121881397</v>
      </c>
      <c r="E328" s="25" t="str">
        <f>IFERROR(__xludf.DUMMYFUNCTION("""COMPUTED_VALUE"""),"Lainnya")</f>
        <v>Lainnya</v>
      </c>
      <c r="F328" s="25" t="str">
        <f>IFERROR(__xludf.DUMMYFUNCTION("""COMPUTED_VALUE"""),"Gagal")</f>
        <v>Gagal</v>
      </c>
      <c r="G328" s="25" t="str">
        <f>IFERROR(__xludf.DUMMYFUNCTION("""COMPUTED_VALUE"""),"2H1M / 3H2M")</f>
        <v>2H1M / 3H2M</v>
      </c>
      <c r="H328" s="78">
        <f>IFERROR(__xludf.DUMMYFUNCTION("""COMPUTED_VALUE"""),46104.0)</f>
        <v>46104</v>
      </c>
      <c r="I328" s="89">
        <f>IFERROR(__xludf.DUMMYFUNCTION("""COMPUTED_VALUE"""),4.0)</f>
        <v>4</v>
      </c>
      <c r="J328" s="96">
        <f>IFERROR(__xludf.DUMMYFUNCTION("""COMPUTED_VALUE"""),6708000.0)</f>
        <v>6708000</v>
      </c>
      <c r="K328" s="36" t="str">
        <f>IFERROR(__xludf.DUMMYFUNCTION("""COMPUTED_VALUE"""),"sdh fu, tidak ada jawaban, gagal lewat tanggal")</f>
        <v>sdh fu, tidak ada jawaban, gagal lewat tanggal</v>
      </c>
      <c r="L328" s="81" t="str">
        <f>IFERROR(__xludf.DUMMYFUNCTION("""COMPUTED_VALUE"""),"https://docs.google.com/document/d/1ael5OXl1VJwm_7k4CZDlqPkzTaFT8pJOzcYGg92JB-4/edit?tab=t.0")</f>
        <v>https://docs.google.com/document/d/1ael5OXl1VJwm_7k4CZDlqPkzTaFT8pJOzcYGg92JB-4/edit?tab=t.0</v>
      </c>
      <c r="M328" s="20"/>
      <c r="N328" s="20"/>
      <c r="O328" s="20"/>
      <c r="P328" s="20"/>
    </row>
    <row r="329">
      <c r="A329" s="97">
        <f>IFERROR(__xludf.DUMMYFUNCTION("""COMPUTED_VALUE"""),46083.0)</f>
        <v>46083</v>
      </c>
      <c r="B329" s="110" t="str">
        <f>IFERROR(__xludf.DUMMYFUNCTION("""COMPUTED_VALUE"""),"2603D007")</f>
        <v>2603D007</v>
      </c>
      <c r="C329" s="76" t="str">
        <f>IFERROR(__xludf.DUMMYFUNCTION("""COMPUTED_VALUE"""),"karen")</f>
        <v>karen</v>
      </c>
      <c r="D329" s="99" t="str">
        <f>IFERROR(__xludf.DUMMYFUNCTION("""COMPUTED_VALUE"""),"082297460743")</f>
        <v>082297460743</v>
      </c>
      <c r="E329" s="25" t="str">
        <f>IFERROR(__xludf.DUMMYFUNCTION("""COMPUTED_VALUE"""),"Instagram")</f>
        <v>Instagram</v>
      </c>
      <c r="F329" s="25" t="str">
        <f>IFERROR(__xludf.DUMMYFUNCTION("""COMPUTED_VALUE"""),"Gagal")</f>
        <v>Gagal</v>
      </c>
      <c r="G329" s="25" t="str">
        <f>IFERROR(__xludf.DUMMYFUNCTION("""COMPUTED_VALUE"""),"1 day trip djawatan baluran")</f>
        <v>1 day trip djawatan baluran</v>
      </c>
      <c r="H329" s="92">
        <f>IFERROR(__xludf.DUMMYFUNCTION("""COMPUTED_VALUE"""),46106.0)</f>
        <v>46106</v>
      </c>
      <c r="I329" s="17">
        <f>IFERROR(__xludf.DUMMYFUNCTION("""COMPUTED_VALUE"""),6.0)</f>
        <v>6</v>
      </c>
      <c r="J329" s="93">
        <f>IFERROR(__xludf.DUMMYFUNCTION("""COMPUTED_VALUE"""),4290000.0)</f>
        <v>4290000</v>
      </c>
      <c r="K329" s="46" t="str">
        <f>IFERROR(__xludf.DUMMYFUNCTION("""COMPUTED_VALUE"""),"tidak ada jawaban, sdh fu 5 kali")</f>
        <v>tidak ada jawaban, sdh fu 5 kali</v>
      </c>
      <c r="L329" s="88" t="str">
        <f>IFERROR(__xludf.DUMMYFUNCTION("""COMPUTED_VALUE"""),"https://docs.google.com/document/d/1-GjwCUw9wU0O2EvCaf8aTTsrnxyKHRWGXiXvf7f1wjU/edit?tab=t.0")</f>
        <v>https://docs.google.com/document/d/1-GjwCUw9wU0O2EvCaf8aTTsrnxyKHRWGXiXvf7f1wjU/edit?tab=t.0</v>
      </c>
      <c r="M329" s="20"/>
      <c r="N329" s="20"/>
      <c r="O329" s="20"/>
      <c r="P329" s="20"/>
    </row>
    <row r="330">
      <c r="A330" s="110">
        <f>IFERROR(__xludf.DUMMYFUNCTION("""COMPUTED_VALUE"""),46083.0)</f>
        <v>46083</v>
      </c>
      <c r="B330" s="110" t="str">
        <f>IFERROR(__xludf.DUMMYFUNCTION("""COMPUTED_VALUE"""),"2603D008")</f>
        <v>2603D008</v>
      </c>
      <c r="C330" s="49" t="str">
        <f>IFERROR(__xludf.DUMMYFUNCTION("""COMPUTED_VALUE"""),"irul")</f>
        <v>irul</v>
      </c>
      <c r="D330" s="102" t="str">
        <f>IFERROR(__xludf.DUMMYFUNCTION("""COMPUTED_VALUE"""),"08979151870")</f>
        <v>08979151870</v>
      </c>
      <c r="E330" s="25" t="str">
        <f>IFERROR(__xludf.DUMMYFUNCTION("""COMPUTED_VALUE"""),"Lainnya")</f>
        <v>Lainnya</v>
      </c>
      <c r="F330" s="25" t="str">
        <f>IFERROR(__xludf.DUMMYFUNCTION("""COMPUTED_VALUE"""),"Gagal")</f>
        <v>Gagal</v>
      </c>
      <c r="G330" s="25"/>
      <c r="H330" s="26"/>
      <c r="I330" s="27">
        <f>IFERROR(__xludf.DUMMYFUNCTION("""COMPUTED_VALUE"""),2.0)</f>
        <v>2</v>
      </c>
      <c r="J330" s="96"/>
      <c r="K330" s="36" t="str">
        <f>IFERROR(__xludf.DUMMYFUNCTION("""COMPUTED_VALUE"""),"FU 4 kali tidak balas")</f>
        <v>FU 4 kali tidak balas</v>
      </c>
      <c r="L330" s="81" t="str">
        <f>IFERROR(__xludf.DUMMYFUNCTION("""COMPUTED_VALUE"""),"https://docs.google.com/document/d/1bEmKKSZPMrS0csRaCFaVnWMqqkHIuzcBA_P3nPwsDnk/edit?tab=t.0")</f>
        <v>https://docs.google.com/document/d/1bEmKKSZPMrS0csRaCFaVnWMqqkHIuzcBA_P3nPwsDnk/edit?tab=t.0</v>
      </c>
      <c r="M330" s="20"/>
      <c r="N330" s="20"/>
      <c r="O330" s="20"/>
      <c r="P330" s="20"/>
    </row>
    <row r="331">
      <c r="A331" s="97">
        <f>IFERROR(__xludf.DUMMYFUNCTION("""COMPUTED_VALUE"""),46083.0)</f>
        <v>46083</v>
      </c>
      <c r="B331" s="97" t="str">
        <f>IFERROR(__xludf.DUMMYFUNCTION("""COMPUTED_VALUE"""),"masih diskusi sm istrinya, FU 24 Mei ")</f>
        <v>masih diskusi sm istrinya, FU 24 Mei </v>
      </c>
      <c r="C331" s="76" t="str">
        <f>IFERROR(__xludf.DUMMYFUNCTION("""COMPUTED_VALUE"""),"Dita")</f>
        <v>Dita</v>
      </c>
      <c r="D331" s="99" t="str">
        <f>IFERROR(__xludf.DUMMYFUNCTION("""COMPUTED_VALUE"""),"08119693747")</f>
        <v>08119693747</v>
      </c>
      <c r="E331" s="25" t="str">
        <f>IFERROR(__xludf.DUMMYFUNCTION("""COMPUTED_VALUE"""),"Instagram")</f>
        <v>Instagram</v>
      </c>
      <c r="F331" s="25" t="str">
        <f>IFERROR(__xludf.DUMMYFUNCTION("""COMPUTED_VALUE"""),"Closing")</f>
        <v>Closing</v>
      </c>
      <c r="G331" s="25" t="str">
        <f>IFERROR(__xludf.DUMMYFUNCTION("""COMPUTED_VALUE"""),"4H3M")</f>
        <v>4H3M</v>
      </c>
      <c r="H331" s="92"/>
      <c r="I331" s="17">
        <f>IFERROR(__xludf.DUMMYFUNCTION("""COMPUTED_VALUE"""),66.0)</f>
        <v>66</v>
      </c>
      <c r="J331" s="93"/>
      <c r="K331" s="19" t="str">
        <f>IFERROR(__xludf.DUMMYFUNCTION("""COMPUTED_VALUE"""),"orderrrrr")</f>
        <v>orderrrrr</v>
      </c>
      <c r="L331" s="88" t="str">
        <f>IFERROR(__xludf.DUMMYFUNCTION("""COMPUTED_VALUE"""),"https://docs.google.com/document/d/1aN4qmuL-VcZ9zIGOCdexdwMIFAGfK_RJ0aQkT84bF28/edit?tab=t.0")</f>
        <v>https://docs.google.com/document/d/1aN4qmuL-VcZ9zIGOCdexdwMIFAGfK_RJ0aQkT84bF28/edit?tab=t.0</v>
      </c>
      <c r="M331" s="20"/>
      <c r="N331" s="20"/>
      <c r="O331" s="20"/>
      <c r="P331" s="20"/>
    </row>
    <row r="332">
      <c r="A332" s="110">
        <f>IFERROR(__xludf.DUMMYFUNCTION("""COMPUTED_VALUE"""),46083.0)</f>
        <v>46083</v>
      </c>
      <c r="B332" s="110" t="str">
        <f>IFERROR(__xludf.DUMMYFUNCTION("""COMPUTED_VALUE"""),"2603D010")</f>
        <v>2603D010</v>
      </c>
      <c r="C332" s="49" t="str">
        <f>IFERROR(__xludf.DUMMYFUNCTION("""COMPUTED_VALUE"""),"Bobi")</f>
        <v>Bobi</v>
      </c>
      <c r="D332" s="102" t="str">
        <f>IFERROR(__xludf.DUMMYFUNCTION("""COMPUTED_VALUE"""),"081383336043")</f>
        <v>081383336043</v>
      </c>
      <c r="E332" s="25" t="str">
        <f>IFERROR(__xludf.DUMMYFUNCTION("""COMPUTED_VALUE"""),"Lainnya")</f>
        <v>Lainnya</v>
      </c>
      <c r="F332" s="25" t="str">
        <f>IFERROR(__xludf.DUMMYFUNCTION("""COMPUTED_VALUE"""),"Gagal")</f>
        <v>Gagal</v>
      </c>
      <c r="G332" s="25" t="str">
        <f>IFERROR(__xludf.DUMMYFUNCTION("""COMPUTED_VALUE"""),"custom 3D2N")</f>
        <v>custom 3D2N</v>
      </c>
      <c r="H332" s="78"/>
      <c r="I332" s="89">
        <f>IFERROR(__xludf.DUMMYFUNCTION("""COMPUTED_VALUE"""),7.0)</f>
        <v>7</v>
      </c>
      <c r="J332" s="96">
        <f>IFERROR(__xludf.DUMMYFUNCTION("""COMPUTED_VALUE"""),1.421E7)</f>
        <v>14210000</v>
      </c>
      <c r="K332" s="36" t="str">
        <f>IFERROR(__xludf.DUMMYFUNCTION("""COMPUTED_VALUE"""),"GAGALL")</f>
        <v>GAGALL</v>
      </c>
      <c r="L332" s="81" t="str">
        <f>IFERROR(__xludf.DUMMYFUNCTION("""COMPUTED_VALUE"""),"https://docs.google.com/document/d/1aV94GOrQaRCGR4RIxdFXBWD-Rx0dW3jUGlYG_LTTTSA/edit?tab=t.0")</f>
        <v>https://docs.google.com/document/d/1aV94GOrQaRCGR4RIxdFXBWD-Rx0dW3jUGlYG_LTTTSA/edit?tab=t.0</v>
      </c>
      <c r="M332" s="20"/>
      <c r="N332" s="20"/>
      <c r="O332" s="20"/>
      <c r="P332" s="20"/>
    </row>
    <row r="333">
      <c r="A333" s="97">
        <f>IFERROR(__xludf.DUMMYFUNCTION("""COMPUTED_VALUE"""),46083.0)</f>
        <v>46083</v>
      </c>
      <c r="B333" s="97" t="str">
        <f>IFERROR(__xludf.DUMMYFUNCTION("""COMPUTED_VALUE"""),"2603D011")</f>
        <v>2603D011</v>
      </c>
      <c r="C333" s="76" t="str">
        <f>IFERROR(__xludf.DUMMYFUNCTION("""COMPUTED_VALUE"""),"idairiani")</f>
        <v>idairiani</v>
      </c>
      <c r="D333" s="99" t="str">
        <f>IFERROR(__xludf.DUMMYFUNCTION("""COMPUTED_VALUE"""),"081998288104")</f>
        <v>081998288104</v>
      </c>
      <c r="E333" s="25" t="str">
        <f>IFERROR(__xludf.DUMMYFUNCTION("""COMPUTED_VALUE"""),"Lainnya")</f>
        <v>Lainnya</v>
      </c>
      <c r="F333" s="25" t="str">
        <f>IFERROR(__xludf.DUMMYFUNCTION("""COMPUTED_VALUE"""),"Gagal")</f>
        <v>Gagal</v>
      </c>
      <c r="G333" s="25" t="str">
        <f>IFERROR(__xludf.DUMMYFUNCTION("""COMPUTED_VALUE"""),"OT")</f>
        <v>OT</v>
      </c>
      <c r="H333" s="92">
        <f>IFERROR(__xludf.DUMMYFUNCTION("""COMPUTED_VALUE"""),46106.0)</f>
        <v>46106</v>
      </c>
      <c r="I333" s="17">
        <f>IFERROR(__xludf.DUMMYFUNCTION("""COMPUTED_VALUE"""),2.0)</f>
        <v>2</v>
      </c>
      <c r="J333" s="54"/>
      <c r="K333" s="46" t="str">
        <f>IFERROR(__xludf.DUMMYFUNCTION("""COMPUTED_VALUE"""),"jadinya ke kerinci")</f>
        <v>jadinya ke kerinci</v>
      </c>
      <c r="L333" s="76"/>
      <c r="M333" s="20"/>
      <c r="N333" s="20"/>
      <c r="O333" s="20"/>
      <c r="P333" s="20"/>
    </row>
    <row r="334">
      <c r="A334" s="110">
        <f>IFERROR(__xludf.DUMMYFUNCTION("""COMPUTED_VALUE"""),46083.0)</f>
        <v>46083</v>
      </c>
      <c r="B334" s="110" t="str">
        <f>IFERROR(__xludf.DUMMYFUNCTION("""COMPUTED_VALUE"""),"2603D012")</f>
        <v>2603D012</v>
      </c>
      <c r="C334" s="49" t="str">
        <f>IFERROR(__xludf.DUMMYFUNCTION("""COMPUTED_VALUE"""),"Itta")</f>
        <v>Itta</v>
      </c>
      <c r="D334" s="102" t="str">
        <f>IFERROR(__xludf.DUMMYFUNCTION("""COMPUTED_VALUE"""),"081342989977")</f>
        <v>081342989977</v>
      </c>
      <c r="E334" s="25" t="str">
        <f>IFERROR(__xludf.DUMMYFUNCTION("""COMPUTED_VALUE"""),"Instagram")</f>
        <v>Instagram</v>
      </c>
      <c r="F334" s="25" t="str">
        <f>IFERROR(__xludf.DUMMYFUNCTION("""COMPUTED_VALUE"""),"Gagal")</f>
        <v>Gagal</v>
      </c>
      <c r="G334" s="25" t="str">
        <f>IFERROR(__xludf.DUMMYFUNCTION("""COMPUTED_VALUE"""),"3D2M opsi B")</f>
        <v>3D2M opsi B</v>
      </c>
      <c r="H334" s="78"/>
      <c r="I334" s="89">
        <f>IFERROR(__xludf.DUMMYFUNCTION("""COMPUTED_VALUE"""),6.0)</f>
        <v>6</v>
      </c>
      <c r="J334" s="96">
        <f>IFERROR(__xludf.DUMMYFUNCTION("""COMPUTED_VALUE"""),9898200.0)</f>
        <v>9898200</v>
      </c>
      <c r="K334" s="36" t="str">
        <f>IFERROR(__xludf.DUMMYFUNCTION("""COMPUTED_VALUE"""),"waktunya mepet, karna harus balik tgl 24 ke semarang")</f>
        <v>waktunya mepet, karna harus balik tgl 24 ke semarang</v>
      </c>
      <c r="L334" s="81" t="str">
        <f>IFERROR(__xludf.DUMMYFUNCTION("""COMPUTED_VALUE"""),"https://docs.google.com/document/d/17OZHf5u5bAj4ZF18umFwwD_s0yJ2NXYwL-LAqPBEcSo/edit?tab=t.0")</f>
        <v>https://docs.google.com/document/d/17OZHf5u5bAj4ZF18umFwwD_s0yJ2NXYwL-LAqPBEcSo/edit?tab=t.0</v>
      </c>
      <c r="M334" s="20"/>
      <c r="N334" s="20"/>
      <c r="O334" s="20"/>
      <c r="P334" s="20"/>
    </row>
    <row r="335">
      <c r="A335" s="97">
        <f>IFERROR(__xludf.DUMMYFUNCTION("""COMPUTED_VALUE"""),46084.0)</f>
        <v>46084</v>
      </c>
      <c r="B335" s="97" t="str">
        <f>IFERROR(__xludf.DUMMYFUNCTION("""COMPUTED_VALUE"""),"2603D013")</f>
        <v>2603D013</v>
      </c>
      <c r="C335" s="76" t="str">
        <f>IFERROR(__xludf.DUMMYFUNCTION("""COMPUTED_VALUE"""),"Hilda")</f>
        <v>Hilda</v>
      </c>
      <c r="D335" s="99" t="str">
        <f>IFERROR(__xludf.DUMMYFUNCTION("""COMPUTED_VALUE"""),"085692636940")</f>
        <v>085692636940</v>
      </c>
      <c r="E335" s="25" t="str">
        <f>IFERROR(__xludf.DUMMYFUNCTION("""COMPUTED_VALUE"""),"Instagram")</f>
        <v>Instagram</v>
      </c>
      <c r="F335" s="25" t="str">
        <f>IFERROR(__xludf.DUMMYFUNCTION("""COMPUTED_VALUE"""),"Gagal")</f>
        <v>Gagal</v>
      </c>
      <c r="G335" s="25" t="str">
        <f>IFERROR(__xludf.DUMMYFUNCTION("""COMPUTED_VALUE"""),"2H1M")</f>
        <v>2H1M</v>
      </c>
      <c r="H335" s="92"/>
      <c r="I335" s="80">
        <f>IFERROR(__xludf.DUMMYFUNCTION("""COMPUTED_VALUE"""),5.0)</f>
        <v>5</v>
      </c>
      <c r="J335" s="93">
        <f>IFERROR(__xludf.DUMMYFUNCTION("""COMPUTED_VALUE"""),8346000.0)</f>
        <v>8346000</v>
      </c>
      <c r="K335" s="19" t="str">
        <f>IFERROR(__xludf.DUMMYFUNCTION("""COMPUTED_VALUE"""),"ga jadi ke Banyuwangi")</f>
        <v>ga jadi ke Banyuwangi</v>
      </c>
      <c r="L335" s="81" t="str">
        <f>IFERROR(__xludf.DUMMYFUNCTION("""COMPUTED_VALUE"""),"https://docs.google.com/document/d/1okHiuxbx10A9ZzQrFc6L9oqqkHcJHMn4Co3aZBSMwH4/edit?tab=t.0")</f>
        <v>https://docs.google.com/document/d/1okHiuxbx10A9ZzQrFc6L9oqqkHcJHMn4Co3aZBSMwH4/edit?tab=t.0</v>
      </c>
      <c r="M335" s="20"/>
      <c r="N335" s="20"/>
      <c r="O335" s="20"/>
      <c r="P335" s="20"/>
    </row>
    <row r="336">
      <c r="A336" s="110">
        <f>IFERROR(__xludf.DUMMYFUNCTION("""COMPUTED_VALUE"""),46084.0)</f>
        <v>46084</v>
      </c>
      <c r="B336" s="110" t="str">
        <f>IFERROR(__xludf.DUMMYFUNCTION("""COMPUTED_VALUE"""),"2603D014")</f>
        <v>2603D014</v>
      </c>
      <c r="C336" s="49" t="str">
        <f>IFERROR(__xludf.DUMMYFUNCTION("""COMPUTED_VALUE"""),"Tanti")</f>
        <v>Tanti</v>
      </c>
      <c r="D336" s="102" t="str">
        <f>IFERROR(__xludf.DUMMYFUNCTION("""COMPUTED_VALUE"""),"081377024301")</f>
        <v>081377024301</v>
      </c>
      <c r="E336" s="25" t="str">
        <f>IFERROR(__xludf.DUMMYFUNCTION("""COMPUTED_VALUE"""),"Instagram")</f>
        <v>Instagram</v>
      </c>
      <c r="F336" s="25" t="str">
        <f>IFERROR(__xludf.DUMMYFUNCTION("""COMPUTED_VALUE"""),"Gagal")</f>
        <v>Gagal</v>
      </c>
      <c r="G336" s="25"/>
      <c r="H336" s="26"/>
      <c r="I336" s="27"/>
      <c r="J336" s="33"/>
      <c r="K336" s="30" t="str">
        <f>IFERROR(__xludf.DUMMYFUNCTION("""COMPUTED_VALUE"""),"Menyapa saja, tidak ada jawaban")</f>
        <v>Menyapa saja, tidak ada jawaban</v>
      </c>
      <c r="L336" s="49"/>
      <c r="M336" s="20"/>
      <c r="N336" s="20"/>
      <c r="O336" s="20"/>
      <c r="P336" s="20"/>
    </row>
    <row r="337">
      <c r="A337" s="97">
        <f>IFERROR(__xludf.DUMMYFUNCTION("""COMPUTED_VALUE"""),46084.0)</f>
        <v>46084</v>
      </c>
      <c r="B337" s="97" t="str">
        <f>IFERROR(__xludf.DUMMYFUNCTION("""COMPUTED_VALUE"""),"2603D015")</f>
        <v>2603D015</v>
      </c>
      <c r="C337" s="76" t="str">
        <f>IFERROR(__xludf.DUMMYFUNCTION("""COMPUTED_VALUE"""),"Sarita Ayas")</f>
        <v>Sarita Ayas</v>
      </c>
      <c r="D337" s="99" t="str">
        <f>IFERROR(__xludf.DUMMYFUNCTION("""COMPUTED_VALUE"""),"085777822641")</f>
        <v>085777822641</v>
      </c>
      <c r="E337" s="25" t="str">
        <f>IFERROR(__xludf.DUMMYFUNCTION("""COMPUTED_VALUE"""),"Instagram")</f>
        <v>Instagram</v>
      </c>
      <c r="F337" s="25" t="str">
        <f>IFERROR(__xludf.DUMMYFUNCTION("""COMPUTED_VALUE"""),"Gagal")</f>
        <v>Gagal</v>
      </c>
      <c r="G337" s="25" t="str">
        <f>IFERROR(__xludf.DUMMYFUNCTION("""COMPUTED_VALUE"""),"MT, D, Alas Purwo, Pulau merah")</f>
        <v>MT, D, Alas Purwo, Pulau merah</v>
      </c>
      <c r="H337" s="92"/>
      <c r="I337" s="80">
        <f>IFERROR(__xludf.DUMMYFUNCTION("""COMPUTED_VALUE"""),2.0)</f>
        <v>2</v>
      </c>
      <c r="J337" s="93">
        <f>IFERROR(__xludf.DUMMYFUNCTION("""COMPUTED_VALUE"""),5500000.0)</f>
        <v>5500000</v>
      </c>
      <c r="K337" s="46" t="str">
        <f>IFERROR(__xludf.DUMMYFUNCTION("""COMPUTED_VALUE"""),"akan dihubungi lagi kalo dah fiks")</f>
        <v>akan dihubungi lagi kalo dah fiks</v>
      </c>
      <c r="L337" s="88" t="str">
        <f>IFERROR(__xludf.DUMMYFUNCTION("""COMPUTED_VALUE"""),"https://docs.google.com/document/d/1VpBVKer9LpxENHOIXQEAr-MVCI3YadkLpQnCC4jVDJk/edit?tab=t.0")</f>
        <v>https://docs.google.com/document/d/1VpBVKer9LpxENHOIXQEAr-MVCI3YadkLpQnCC4jVDJk/edit?tab=t.0</v>
      </c>
      <c r="M337" s="20"/>
      <c r="N337" s="20"/>
      <c r="O337" s="20"/>
      <c r="P337" s="20"/>
    </row>
    <row r="338">
      <c r="A338" s="110">
        <f>IFERROR(__xludf.DUMMYFUNCTION("""COMPUTED_VALUE"""),46085.0)</f>
        <v>46085</v>
      </c>
      <c r="B338" s="110" t="str">
        <f>IFERROR(__xludf.DUMMYFUNCTION("""COMPUTED_VALUE"""),"2603D016")</f>
        <v>2603D016</v>
      </c>
      <c r="C338" s="49" t="str">
        <f>IFERROR(__xludf.DUMMYFUNCTION("""COMPUTED_VALUE"""),"rajaperabot.srg")</f>
        <v>rajaperabot.srg</v>
      </c>
      <c r="D338" s="102" t="str">
        <f>IFERROR(__xludf.DUMMYFUNCTION("""COMPUTED_VALUE"""),"081225369612")</f>
        <v>081225369612</v>
      </c>
      <c r="E338" s="25" t="str">
        <f>IFERROR(__xludf.DUMMYFUNCTION("""COMPUTED_VALUE"""),"Instagram")</f>
        <v>Instagram</v>
      </c>
      <c r="F338" s="25" t="str">
        <f>IFERROR(__xludf.DUMMYFUNCTION("""COMPUTED_VALUE"""),"Gagal")</f>
        <v>Gagal</v>
      </c>
      <c r="G338" s="25" t="str">
        <f>IFERROR(__xludf.DUMMYFUNCTION("""COMPUTED_VALUE"""),"OT")</f>
        <v>OT</v>
      </c>
      <c r="H338" s="78"/>
      <c r="I338" s="89">
        <f>IFERROR(__xludf.DUMMYFUNCTION("""COMPUTED_VALUE"""),4.0)</f>
        <v>4</v>
      </c>
      <c r="J338" s="96">
        <f>IFERROR(__xludf.DUMMYFUNCTION("""COMPUTED_VALUE"""),1180000.0)</f>
        <v>1180000</v>
      </c>
      <c r="K338" s="36" t="str">
        <f>IFERROR(__xludf.DUMMYFUNCTION("""COMPUTED_VALUE"""),"deal ke alvin")</f>
        <v>deal ke alvin</v>
      </c>
      <c r="L338" s="49"/>
      <c r="M338" s="20"/>
      <c r="N338" s="20"/>
      <c r="O338" s="20"/>
      <c r="P338" s="20"/>
    </row>
    <row r="339">
      <c r="A339" s="97">
        <f>IFERROR(__xludf.DUMMYFUNCTION("""COMPUTED_VALUE"""),46085.0)</f>
        <v>46085</v>
      </c>
      <c r="B339" s="97" t="str">
        <f>IFERROR(__xludf.DUMMYFUNCTION("""COMPUTED_VALUE"""),"2603D017")</f>
        <v>2603D017</v>
      </c>
      <c r="C339" s="76" t="str">
        <f>IFERROR(__xludf.DUMMYFUNCTION("""COMPUTED_VALUE"""),"ais")</f>
        <v>ais</v>
      </c>
      <c r="D339" s="99" t="str">
        <f>IFERROR(__xludf.DUMMYFUNCTION("""COMPUTED_VALUE"""),"081235460480")</f>
        <v>081235460480</v>
      </c>
      <c r="E339" s="25" t="str">
        <f>IFERROR(__xludf.DUMMYFUNCTION("""COMPUTED_VALUE"""),"Instagram")</f>
        <v>Instagram</v>
      </c>
      <c r="F339" s="25" t="str">
        <f>IFERROR(__xludf.DUMMYFUNCTION("""COMPUTED_VALUE"""),"Gagal")</f>
        <v>Gagal</v>
      </c>
      <c r="G339" s="25" t="str">
        <f>IFERROR(__xludf.DUMMYFUNCTION("""COMPUTED_VALUE"""),"MT")</f>
        <v>MT</v>
      </c>
      <c r="H339" s="92">
        <f>IFERROR(__xludf.DUMMYFUNCTION("""COMPUTED_VALUE"""),46103.0)</f>
        <v>46103</v>
      </c>
      <c r="I339" s="80">
        <f>IFERROR(__xludf.DUMMYFUNCTION("""COMPUTED_VALUE"""),2.0)</f>
        <v>2</v>
      </c>
      <c r="J339" s="93">
        <f>IFERROR(__xludf.DUMMYFUNCTION("""COMPUTED_VALUE"""),590000.0)</f>
        <v>590000</v>
      </c>
      <c r="K339" s="46" t="str">
        <f>IFERROR(__xludf.DUMMYFUNCTION("""COMPUTED_VALUE"""),"tidak ada jawaban, sdh fu 5 kali ")</f>
        <v>tidak ada jawaban, sdh fu 5 kali </v>
      </c>
      <c r="L339" s="88" t="str">
        <f>IFERROR(__xludf.DUMMYFUNCTION("""COMPUTED_VALUE"""),"https://docs.google.com/document/d/1tv6hCZvwASZTMUs6CeRdI9YexFDvpmhMcKwOy1q4Lxk/edit?tab=t.0")</f>
        <v>https://docs.google.com/document/d/1tv6hCZvwASZTMUs6CeRdI9YexFDvpmhMcKwOy1q4Lxk/edit?tab=t.0</v>
      </c>
      <c r="M339" s="20"/>
      <c r="N339" s="20"/>
      <c r="O339" s="20"/>
      <c r="P339" s="20"/>
    </row>
    <row r="340">
      <c r="A340" s="110">
        <f>IFERROR(__xludf.DUMMYFUNCTION("""COMPUTED_VALUE"""),46085.0)</f>
        <v>46085</v>
      </c>
      <c r="B340" s="110" t="str">
        <f>IFERROR(__xludf.DUMMYFUNCTION("""COMPUTED_VALUE"""),"2603D018")</f>
        <v>2603D018</v>
      </c>
      <c r="C340" s="49" t="str">
        <f>IFERROR(__xludf.DUMMYFUNCTION("""COMPUTED_VALUE"""),"Astria")</f>
        <v>Astria</v>
      </c>
      <c r="D340" s="102" t="str">
        <f>IFERROR(__xludf.DUMMYFUNCTION("""COMPUTED_VALUE"""),"087877490080")</f>
        <v>087877490080</v>
      </c>
      <c r="E340" s="25" t="str">
        <f>IFERROR(__xludf.DUMMYFUNCTION("""COMPUTED_VALUE"""),"Instagram")</f>
        <v>Instagram</v>
      </c>
      <c r="F340" s="25" t="str">
        <f>IFERROR(__xludf.DUMMYFUNCTION("""COMPUTED_VALUE"""),"Closing")</f>
        <v>Closing</v>
      </c>
      <c r="G340" s="25" t="str">
        <f>IFERROR(__xludf.DUMMYFUNCTION("""COMPUTED_VALUE"""),"3H2M")</f>
        <v>3H2M</v>
      </c>
      <c r="H340" s="78"/>
      <c r="I340" s="89">
        <f>IFERROR(__xludf.DUMMYFUNCTION("""COMPUTED_VALUE"""),3.0)</f>
        <v>3</v>
      </c>
      <c r="J340" s="96">
        <f>IFERROR(__xludf.DUMMYFUNCTION("""COMPUTED_VALUE"""),4800000.0)</f>
        <v>4800000</v>
      </c>
      <c r="K340" s="36" t="str">
        <f>IFERROR(__xludf.DUMMYFUNCTION("""COMPUTED_VALUE"""),"Alhamdulillah order")</f>
        <v>Alhamdulillah order</v>
      </c>
      <c r="L340" s="49"/>
      <c r="M340" s="20"/>
      <c r="N340" s="20"/>
      <c r="O340" s="20"/>
      <c r="P340" s="20"/>
    </row>
    <row r="341">
      <c r="A341" s="97">
        <f>IFERROR(__xludf.DUMMYFUNCTION("""COMPUTED_VALUE"""),46085.0)</f>
        <v>46085</v>
      </c>
      <c r="B341" s="97" t="str">
        <f>IFERROR(__xludf.DUMMYFUNCTION("""COMPUTED_VALUE"""),"2603D019")</f>
        <v>2603D019</v>
      </c>
      <c r="C341" s="76" t="str">
        <f>IFERROR(__xludf.DUMMYFUNCTION("""COMPUTED_VALUE"""),"Meii")</f>
        <v>Meii</v>
      </c>
      <c r="D341" s="99" t="str">
        <f>IFERROR(__xludf.DUMMYFUNCTION("""COMPUTED_VALUE"""),"085179707599")</f>
        <v>085179707599</v>
      </c>
      <c r="E341" s="25" t="str">
        <f>IFERROR(__xludf.DUMMYFUNCTION("""COMPUTED_VALUE"""),"Instagram")</f>
        <v>Instagram</v>
      </c>
      <c r="F341" s="25" t="str">
        <f>IFERROR(__xludf.DUMMYFUNCTION("""COMPUTED_VALUE"""),"Qualified")</f>
        <v>Qualified</v>
      </c>
      <c r="G341" s="25" t="str">
        <f>IFERROR(__xludf.DUMMYFUNCTION("""COMPUTED_VALUE"""),"Trip 4H3M")</f>
        <v>Trip 4H3M</v>
      </c>
      <c r="H341" s="92"/>
      <c r="I341" s="80">
        <f>IFERROR(__xludf.DUMMYFUNCTION("""COMPUTED_VALUE"""),4.0)</f>
        <v>4</v>
      </c>
      <c r="J341" s="54">
        <f>IFERROR(__xludf.DUMMYFUNCTION("""COMPUTED_VALUE"""),8460000.0)</f>
        <v>8460000</v>
      </c>
      <c r="K341" s="46" t="str">
        <f>IFERROR(__xludf.DUMMYFUNCTION("""COMPUTED_VALUE"""),"FU mendekati trip bulan Mei tanggal 28")</f>
        <v>FU mendekati trip bulan Mei tanggal 28</v>
      </c>
      <c r="L341" s="88" t="str">
        <f>IFERROR(__xludf.DUMMYFUNCTION("""COMPUTED_VALUE"""),"https://docs.google.com/document/d/1sXzMp55HHwyZhUaflDk_ynWTkd2LpN6_nVIFagYDum4/edit?tab=t.0")</f>
        <v>https://docs.google.com/document/d/1sXzMp55HHwyZhUaflDk_ynWTkd2LpN6_nVIFagYDum4/edit?tab=t.0</v>
      </c>
      <c r="M341" s="20"/>
      <c r="N341" s="20"/>
      <c r="O341" s="20"/>
      <c r="P341" s="20"/>
    </row>
    <row r="342">
      <c r="A342" s="110">
        <f>IFERROR(__xludf.DUMMYFUNCTION("""COMPUTED_VALUE"""),46085.0)</f>
        <v>46085</v>
      </c>
      <c r="B342" s="110" t="str">
        <f>IFERROR(__xludf.DUMMYFUNCTION("""COMPUTED_VALUE"""),"2603D020")</f>
        <v>2603D020</v>
      </c>
      <c r="C342" s="49" t="str">
        <f>IFERROR(__xludf.DUMMYFUNCTION("""COMPUTED_VALUE"""),"rafly")</f>
        <v>rafly</v>
      </c>
      <c r="D342" s="102" t="str">
        <f>IFERROR(__xludf.DUMMYFUNCTION("""COMPUTED_VALUE"""),"088210600087")</f>
        <v>088210600087</v>
      </c>
      <c r="E342" s="25" t="str">
        <f>IFERROR(__xludf.DUMMYFUNCTION("""COMPUTED_VALUE"""),"Lainnya")</f>
        <v>Lainnya</v>
      </c>
      <c r="F342" s="25" t="str">
        <f>IFERROR(__xludf.DUMMYFUNCTION("""COMPUTED_VALUE"""),"Prospek")</f>
        <v>Prospek</v>
      </c>
      <c r="G342" s="25" t="str">
        <f>IFERROR(__xludf.DUMMYFUNCTION("""COMPUTED_VALUE"""),"one day trip custom")</f>
        <v>one day trip custom</v>
      </c>
      <c r="H342" s="78"/>
      <c r="I342" s="89">
        <f>IFERROR(__xludf.DUMMYFUNCTION("""COMPUTED_VALUE"""),50.0)</f>
        <v>50</v>
      </c>
      <c r="J342" s="96">
        <f>IFERROR(__xludf.DUMMYFUNCTION("""COMPUTED_VALUE"""),4.0E7)</f>
        <v>40000000</v>
      </c>
      <c r="K342" s="30" t="str">
        <f>IFERROR(__xludf.DUMMYFUNCTION("""COMPUTED_VALUE"""),"survey ditunda dulu")</f>
        <v>survey ditunda dulu</v>
      </c>
      <c r="L342" s="81" t="str">
        <f>IFERROR(__xludf.DUMMYFUNCTION("""COMPUTED_VALUE"""),"https://docs.google.com/document/d/1t5yaIXJrE8jZ9lhDjW0V7L8XSaWXoI241xlMwXmphVQ/edit?tab=t.0")</f>
        <v>https://docs.google.com/document/d/1t5yaIXJrE8jZ9lhDjW0V7L8XSaWXoI241xlMwXmphVQ/edit?tab=t.0</v>
      </c>
      <c r="M342" s="20"/>
      <c r="N342" s="20"/>
      <c r="O342" s="20"/>
      <c r="P342" s="20"/>
    </row>
    <row r="343">
      <c r="A343" s="97">
        <f>IFERROR(__xludf.DUMMYFUNCTION("""COMPUTED_VALUE"""),46085.0)</f>
        <v>46085</v>
      </c>
      <c r="B343" s="97" t="str">
        <f>IFERROR(__xludf.DUMMYFUNCTION("""COMPUTED_VALUE"""),"2603D021")</f>
        <v>2603D021</v>
      </c>
      <c r="C343" s="76" t="str">
        <f>IFERROR(__xludf.DUMMYFUNCTION("""COMPUTED_VALUE"""),"Lisa")</f>
        <v>Lisa</v>
      </c>
      <c r="D343" s="99" t="str">
        <f>IFERROR(__xludf.DUMMYFUNCTION("""COMPUTED_VALUE"""),"085934318627")</f>
        <v>085934318627</v>
      </c>
      <c r="E343" s="25" t="str">
        <f>IFERROR(__xludf.DUMMYFUNCTION("""COMPUTED_VALUE"""),"Instagram")</f>
        <v>Instagram</v>
      </c>
      <c r="F343" s="25" t="str">
        <f>IFERROR(__xludf.DUMMYFUNCTION("""COMPUTED_VALUE"""),"Gagal")</f>
        <v>Gagal</v>
      </c>
      <c r="G343" s="25" t="str">
        <f>IFERROR(__xludf.DUMMYFUNCTION("""COMPUTED_VALUE"""),"trip kawah wurung")</f>
        <v>trip kawah wurung</v>
      </c>
      <c r="H343" s="92"/>
      <c r="I343" s="80"/>
      <c r="J343" s="93"/>
      <c r="K343" s="46" t="str">
        <f>IFERROR(__xludf.DUMMYFUNCTION("""COMPUTED_VALUE"""),"hanya menyapa. tidak ada jawaban")</f>
        <v>hanya menyapa. tidak ada jawaban</v>
      </c>
      <c r="L343" s="88" t="str">
        <f>IFERROR(__xludf.DUMMYFUNCTION("""COMPUTED_VALUE"""),"https://docs.google.com/document/d/1vAyrTb7pEeMwo3UVFsGlxPMF-COofMXIbEZFNDwIBlQ/edit?tab=t.0")</f>
        <v>https://docs.google.com/document/d/1vAyrTb7pEeMwo3UVFsGlxPMF-COofMXIbEZFNDwIBlQ/edit?tab=t.0</v>
      </c>
      <c r="M343" s="20"/>
      <c r="N343" s="20"/>
      <c r="O343" s="20"/>
      <c r="P343" s="20"/>
    </row>
    <row r="344">
      <c r="A344" s="110">
        <f>IFERROR(__xludf.DUMMYFUNCTION("""COMPUTED_VALUE"""),46085.0)</f>
        <v>46085</v>
      </c>
      <c r="B344" s="110" t="str">
        <f>IFERROR(__xludf.DUMMYFUNCTION("""COMPUTED_VALUE"""),"2603D022")</f>
        <v>2603D022</v>
      </c>
      <c r="C344" s="49" t="str">
        <f>IFERROR(__xludf.DUMMYFUNCTION("""COMPUTED_VALUE"""),"Novi Nuraini")</f>
        <v>Novi Nuraini</v>
      </c>
      <c r="D344" s="102" t="str">
        <f>IFERROR(__xludf.DUMMYFUNCTION("""COMPUTED_VALUE"""),"089649186785")</f>
        <v>089649186785</v>
      </c>
      <c r="E344" s="25" t="str">
        <f>IFERROR(__xludf.DUMMYFUNCTION("""COMPUTED_VALUE"""),"Tiktok")</f>
        <v>Tiktok</v>
      </c>
      <c r="F344" s="25" t="str">
        <f>IFERROR(__xludf.DUMMYFUNCTION("""COMPUTED_VALUE"""),"Gagal")</f>
        <v>Gagal</v>
      </c>
      <c r="G344" s="25" t="str">
        <f>IFERROR(__xludf.DUMMYFUNCTION("""COMPUTED_VALUE"""),"3H2M")</f>
        <v>3H2M</v>
      </c>
      <c r="H344" s="78"/>
      <c r="I344" s="89">
        <f>IFERROR(__xludf.DUMMYFUNCTION("""COMPUTED_VALUE"""),3.0)</f>
        <v>3</v>
      </c>
      <c r="J344" s="96">
        <f>IFERROR(__xludf.DUMMYFUNCTION("""COMPUTED_VALUE"""),4800000.0)</f>
        <v>4800000</v>
      </c>
      <c r="K344" s="36" t="str">
        <f>IFERROR(__xludf.DUMMYFUNCTION("""COMPUTED_VALUE"""),"sudah lewat tanggal")</f>
        <v>sudah lewat tanggal</v>
      </c>
      <c r="L344" s="49"/>
      <c r="M344" s="20"/>
      <c r="N344" s="20"/>
      <c r="O344" s="20"/>
      <c r="P344" s="20"/>
    </row>
    <row r="345">
      <c r="A345" s="97">
        <f>IFERROR(__xludf.DUMMYFUNCTION("""COMPUTED_VALUE"""),46115.0)</f>
        <v>46115</v>
      </c>
      <c r="B345" s="97" t="str">
        <f>IFERROR(__xludf.DUMMYFUNCTION("""COMPUTED_VALUE"""),"2603D023")</f>
        <v>2603D023</v>
      </c>
      <c r="C345" s="76" t="str">
        <f>IFERROR(__xludf.DUMMYFUNCTION("""COMPUTED_VALUE"""),"Ria")</f>
        <v>Ria</v>
      </c>
      <c r="D345" s="99" t="str">
        <f>IFERROR(__xludf.DUMMYFUNCTION("""COMPUTED_VALUE"""),"082317423539")</f>
        <v>082317423539</v>
      </c>
      <c r="E345" s="25" t="str">
        <f>IFERROR(__xludf.DUMMYFUNCTION("""COMPUTED_VALUE"""),"Instagram")</f>
        <v>Instagram</v>
      </c>
      <c r="F345" s="25" t="str">
        <f>IFERROR(__xludf.DUMMYFUNCTION("""COMPUTED_VALUE"""),"Gagal")</f>
        <v>Gagal</v>
      </c>
      <c r="G345" s="25" t="str">
        <f>IFERROR(__xludf.DUMMYFUNCTION("""COMPUTED_VALUE"""),"3H2M or 1D Ijen")</f>
        <v>3H2M or 1D Ijen</v>
      </c>
      <c r="H345" s="16"/>
      <c r="I345" s="17">
        <f>IFERROR(__xludf.DUMMYFUNCTION("""COMPUTED_VALUE"""),2.0)</f>
        <v>2</v>
      </c>
      <c r="J345" s="54">
        <f>IFERROR(__xludf.DUMMYFUNCTION("""COMPUTED_VALUE"""),1228000.0)</f>
        <v>1228000</v>
      </c>
      <c r="K345" s="46" t="str">
        <f>IFERROR(__xludf.DUMMYFUNCTION("""COMPUTED_VALUE"""),"tidak ada jawaban, sdh fu 5 kali ")</f>
        <v>tidak ada jawaban, sdh fu 5 kali </v>
      </c>
      <c r="L345" s="88" t="str">
        <f>IFERROR(__xludf.DUMMYFUNCTION("""COMPUTED_VALUE"""),"https://docs.google.com/document/d/1PWYXfvb0PoQLgLBAMNhYlcpZkGtXn0rmQa5XFuRy2iY/edit?tab=t.0")</f>
        <v>https://docs.google.com/document/d/1PWYXfvb0PoQLgLBAMNhYlcpZkGtXn0rmQa5XFuRy2iY/edit?tab=t.0</v>
      </c>
      <c r="M345" s="20"/>
      <c r="N345" s="20"/>
      <c r="O345" s="20"/>
      <c r="P345" s="20"/>
    </row>
    <row r="346">
      <c r="A346" s="97">
        <f>IFERROR(__xludf.DUMMYFUNCTION("""COMPUTED_VALUE"""),46086.0)</f>
        <v>46086</v>
      </c>
      <c r="B346" s="110" t="str">
        <f>IFERROR(__xludf.DUMMYFUNCTION("""COMPUTED_VALUE"""),"2603D024")</f>
        <v>2603D024</v>
      </c>
      <c r="C346" s="49" t="str">
        <f>IFERROR(__xludf.DUMMYFUNCTION("""COMPUTED_VALUE"""),"rafidfasya")</f>
        <v>rafidfasya</v>
      </c>
      <c r="D346" s="102" t="str">
        <f>IFERROR(__xludf.DUMMYFUNCTION("""COMPUTED_VALUE"""),"089646312945")</f>
        <v>089646312945</v>
      </c>
      <c r="E346" s="25" t="str">
        <f>IFERROR(__xludf.DUMMYFUNCTION("""COMPUTED_VALUE"""),"Instagram")</f>
        <v>Instagram</v>
      </c>
      <c r="F346" s="25" t="str">
        <f>IFERROR(__xludf.DUMMYFUNCTION("""COMPUTED_VALUE"""),"Gagal")</f>
        <v>Gagal</v>
      </c>
      <c r="G346" s="25" t="str">
        <f>IFERROR(__xludf.DUMMYFUNCTION("""COMPUTED_VALUE"""),"3H2M opsi A atau B ")</f>
        <v>3H2M opsi A atau B </v>
      </c>
      <c r="H346" s="78"/>
      <c r="I346" s="27">
        <f>IFERROR(__xludf.DUMMYFUNCTION("""COMPUTED_VALUE"""),2.0)</f>
        <v>2</v>
      </c>
      <c r="J346" s="33"/>
      <c r="K346" s="30" t="str">
        <f>IFERROR(__xludf.DUMMYFUNCTION("""COMPUTED_VALUE"""),"sdh fu lebih dr 5 kali. lewat tanggal")</f>
        <v>sdh fu lebih dr 5 kali. lewat tanggal</v>
      </c>
      <c r="L346" s="81" t="str">
        <f>IFERROR(__xludf.DUMMYFUNCTION("""COMPUTED_VALUE"""),"https://docs.google.com/document/d/1piCjMlCAHF1HNf49gx8BgZA7N3gl1dONHtONWXV4sEU/edit?tab=t.0")</f>
        <v>https://docs.google.com/document/d/1piCjMlCAHF1HNf49gx8BgZA7N3gl1dONHtONWXV4sEU/edit?tab=t.0</v>
      </c>
      <c r="M346" s="20"/>
      <c r="N346" s="20"/>
      <c r="O346" s="20"/>
      <c r="P346" s="20"/>
    </row>
    <row r="347">
      <c r="A347" s="97">
        <f>IFERROR(__xludf.DUMMYFUNCTION("""COMPUTED_VALUE"""),46086.0)</f>
        <v>46086</v>
      </c>
      <c r="B347" s="110" t="str">
        <f>IFERROR(__xludf.DUMMYFUNCTION("""COMPUTED_VALUE"""),"2603D025")</f>
        <v>2603D025</v>
      </c>
      <c r="C347" s="76" t="str">
        <f>IFERROR(__xludf.DUMMYFUNCTION("""COMPUTED_VALUE"""),"Darmada eka")</f>
        <v>Darmada eka</v>
      </c>
      <c r="D347" s="99" t="str">
        <f>IFERROR(__xludf.DUMMYFUNCTION("""COMPUTED_VALUE"""),"08563878376")</f>
        <v>08563878376</v>
      </c>
      <c r="E347" s="25" t="str">
        <f>IFERROR(__xludf.DUMMYFUNCTION("""COMPUTED_VALUE"""),"Lainnya")</f>
        <v>Lainnya</v>
      </c>
      <c r="F347" s="25" t="str">
        <f>IFERROR(__xludf.DUMMYFUNCTION("""COMPUTED_VALUE"""),"Gagal")</f>
        <v>Gagal</v>
      </c>
      <c r="G347" s="25" t="str">
        <f>IFERROR(__xludf.DUMMYFUNCTION("""COMPUTED_VALUE"""),"OT Menjangan Tabuhan")</f>
        <v>OT Menjangan Tabuhan</v>
      </c>
      <c r="H347" s="16"/>
      <c r="I347" s="17">
        <f>IFERROR(__xludf.DUMMYFUNCTION("""COMPUTED_VALUE"""),2.0)</f>
        <v>2</v>
      </c>
      <c r="J347" s="54"/>
      <c r="K347" s="46" t="str">
        <f>IFERROR(__xludf.DUMMYFUNCTION("""COMPUTED_VALUE"""),"sudah lewat tanggal")</f>
        <v>sudah lewat tanggal</v>
      </c>
      <c r="L347" s="88" t="str">
        <f>IFERROR(__xludf.DUMMYFUNCTION("""COMPUTED_VALUE"""),"https://docs.google.com/document/d/1pKavIIbdbjDyBzUb-BPg9WBhHNYpqereXz355HVMpww/edit?tab=t.0")</f>
        <v>https://docs.google.com/document/d/1pKavIIbdbjDyBzUb-BPg9WBhHNYpqereXz355HVMpww/edit?tab=t.0</v>
      </c>
      <c r="M347" s="20"/>
      <c r="N347" s="20"/>
      <c r="O347" s="20"/>
      <c r="P347" s="20"/>
    </row>
    <row r="348">
      <c r="A348" s="110">
        <f>IFERROR(__xludf.DUMMYFUNCTION("""COMPUTED_VALUE"""),46086.0)</f>
        <v>46086</v>
      </c>
      <c r="B348" s="110" t="str">
        <f>IFERROR(__xludf.DUMMYFUNCTION("""COMPUTED_VALUE"""),"2603D026")</f>
        <v>2603D026</v>
      </c>
      <c r="C348" s="49" t="str">
        <f>IFERROR(__xludf.DUMMYFUNCTION("""COMPUTED_VALUE"""),"Astrid Januarita")</f>
        <v>Astrid Januarita</v>
      </c>
      <c r="D348" s="102" t="str">
        <f>IFERROR(__xludf.DUMMYFUNCTION("""COMPUTED_VALUE"""),"081311029389")</f>
        <v>081311029389</v>
      </c>
      <c r="E348" s="25" t="str">
        <f>IFERROR(__xludf.DUMMYFUNCTION("""COMPUTED_VALUE"""),"Lainnya")</f>
        <v>Lainnya</v>
      </c>
      <c r="F348" s="25" t="str">
        <f>IFERROR(__xludf.DUMMYFUNCTION("""COMPUTED_VALUE"""),"Closing")</f>
        <v>Closing</v>
      </c>
      <c r="G348" s="25" t="str">
        <f>IFERROR(__xludf.DUMMYFUNCTION("""COMPUTED_VALUE"""),"OT 3H2M")</f>
        <v>OT 3H2M</v>
      </c>
      <c r="H348" s="78"/>
      <c r="I348" s="89">
        <f>IFERROR(__xludf.DUMMYFUNCTION("""COMPUTED_VALUE"""),2.0)</f>
        <v>2</v>
      </c>
      <c r="J348" s="96">
        <f>IFERROR(__xludf.DUMMYFUNCTION("""COMPUTED_VALUE"""),3200000.0)</f>
        <v>3200000</v>
      </c>
      <c r="K348" s="36" t="str">
        <f>IFERROR(__xludf.DUMMYFUNCTION("""COMPUTED_VALUE"""),"waktunya pendek")</f>
        <v>waktunya pendek</v>
      </c>
      <c r="L348" s="81" t="str">
        <f>IFERROR(__xludf.DUMMYFUNCTION("""COMPUTED_VALUE"""),"https://docs.google.com/document/d/1aMVSqHTm66T8FbK5dESswZVgK4TyV4ymV6q_SVM4hMw/edit?tab=t.0")</f>
        <v>https://docs.google.com/document/d/1aMVSqHTm66T8FbK5dESswZVgK4TyV4ymV6q_SVM4hMw/edit?tab=t.0</v>
      </c>
      <c r="M348" s="20"/>
      <c r="N348" s="20"/>
      <c r="O348" s="20"/>
      <c r="P348" s="20"/>
    </row>
    <row r="349">
      <c r="A349" s="97">
        <f>IFERROR(__xludf.DUMMYFUNCTION("""COMPUTED_VALUE"""),46086.0)</f>
        <v>46086</v>
      </c>
      <c r="B349" s="97" t="str">
        <f>IFERROR(__xludf.DUMMYFUNCTION("""COMPUTED_VALUE"""),"2603D027")</f>
        <v>2603D027</v>
      </c>
      <c r="C349" s="76" t="str">
        <f>IFERROR(__xludf.DUMMYFUNCTION("""COMPUTED_VALUE"""),"Rosa Sayentina Amin ")</f>
        <v>Rosa Sayentina Amin </v>
      </c>
      <c r="D349" s="99" t="str">
        <f>IFERROR(__xludf.DUMMYFUNCTION("""COMPUTED_VALUE"""),"085601107828")</f>
        <v>085601107828</v>
      </c>
      <c r="E349" s="25" t="str">
        <f>IFERROR(__xludf.DUMMYFUNCTION("""COMPUTED_VALUE"""),"Instagram")</f>
        <v>Instagram</v>
      </c>
      <c r="F349" s="25" t="str">
        <f>IFERROR(__xludf.DUMMYFUNCTION("""COMPUTED_VALUE"""),"Gagal")</f>
        <v>Gagal</v>
      </c>
      <c r="G349" s="25" t="str">
        <f>IFERROR(__xludf.DUMMYFUNCTION("""COMPUTED_VALUE"""),"OT 3H2M")</f>
        <v>OT 3H2M</v>
      </c>
      <c r="H349" s="92"/>
      <c r="I349" s="80">
        <f>IFERROR(__xludf.DUMMYFUNCTION("""COMPUTED_VALUE"""),2.0)</f>
        <v>2</v>
      </c>
      <c r="J349" s="93">
        <f>IFERROR(__xludf.DUMMYFUNCTION("""COMPUTED_VALUE"""),3200000.0)</f>
        <v>3200000</v>
      </c>
      <c r="K349" s="46" t="str">
        <f>IFERROR(__xludf.DUMMYFUNCTION("""COMPUTED_VALUE"""),"ganti lokasi destinasi")</f>
        <v>ganti lokasi destinasi</v>
      </c>
      <c r="L349" s="88" t="str">
        <f>IFERROR(__xludf.DUMMYFUNCTION("""COMPUTED_VALUE"""),"https://docs.google.com/document/d/160d7q8AK3rchcLAH05Afu5W4s6W63GfSmQ7RB1DAv7A/edit?tab=t.0")</f>
        <v>https://docs.google.com/document/d/160d7q8AK3rchcLAH05Afu5W4s6W63GfSmQ7RB1DAv7A/edit?tab=t.0</v>
      </c>
      <c r="M349" s="20"/>
      <c r="N349" s="20"/>
      <c r="O349" s="20"/>
      <c r="P349" s="20"/>
    </row>
    <row r="350">
      <c r="A350" s="110">
        <f>IFERROR(__xludf.DUMMYFUNCTION("""COMPUTED_VALUE"""),46086.0)</f>
        <v>46086</v>
      </c>
      <c r="B350" s="110" t="str">
        <f>IFERROR(__xludf.DUMMYFUNCTION("""COMPUTED_VALUE"""),"2603D028")</f>
        <v>2603D028</v>
      </c>
      <c r="C350" s="49" t="str">
        <f>IFERROR(__xludf.DUMMYFUNCTION("""COMPUTED_VALUE"""),"Kaka")</f>
        <v>Kaka</v>
      </c>
      <c r="D350" s="102" t="str">
        <f>IFERROR(__xludf.DUMMYFUNCTION("""COMPUTED_VALUE"""),"081542046305")</f>
        <v>081542046305</v>
      </c>
      <c r="E350" s="25" t="str">
        <f>IFERROR(__xludf.DUMMYFUNCTION("""COMPUTED_VALUE"""),"Instagram")</f>
        <v>Instagram</v>
      </c>
      <c r="F350" s="25" t="str">
        <f>IFERROR(__xludf.DUMMYFUNCTION("""COMPUTED_VALUE"""),"Gagal")</f>
        <v>Gagal</v>
      </c>
      <c r="G350" s="25" t="str">
        <f>IFERROR(__xludf.DUMMYFUNCTION("""COMPUTED_VALUE"""),"custom 2H1M")</f>
        <v>custom 2H1M</v>
      </c>
      <c r="H350" s="78"/>
      <c r="I350" s="89">
        <f>IFERROR(__xludf.DUMMYFUNCTION("""COMPUTED_VALUE"""),7.0)</f>
        <v>7</v>
      </c>
      <c r="J350" s="96">
        <f>IFERROR(__xludf.DUMMYFUNCTION("""COMPUTED_VALUE"""),1.403E7)</f>
        <v>14030000</v>
      </c>
      <c r="K350" s="30" t="str">
        <f>IFERROR(__xludf.DUMMYFUNCTION("""COMPUTED_VALUE"""),"ga jadi, peserta masih pemulihan sakit")</f>
        <v>ga jadi, peserta masih pemulihan sakit</v>
      </c>
      <c r="L350" s="81" t="str">
        <f>IFERROR(__xludf.DUMMYFUNCTION("""COMPUTED_VALUE"""),"https://docs.google.com/document/d/1BR5MmtBO7CPriqub6ebpfeF8V8Iob-1QFgyhQKoTcy0/edit?tab=t.0")</f>
        <v>https://docs.google.com/document/d/1BR5MmtBO7CPriqub6ebpfeF8V8Iob-1QFgyhQKoTcy0/edit?tab=t.0</v>
      </c>
      <c r="M350" s="20"/>
      <c r="N350" s="20"/>
      <c r="O350" s="20"/>
      <c r="P350" s="20"/>
    </row>
    <row r="351">
      <c r="A351" s="97">
        <f>IFERROR(__xludf.DUMMYFUNCTION("""COMPUTED_VALUE"""),46087.0)</f>
        <v>46087</v>
      </c>
      <c r="B351" s="97" t="str">
        <f>IFERROR(__xludf.DUMMYFUNCTION("""COMPUTED_VALUE"""),"2603D029")</f>
        <v>2603D029</v>
      </c>
      <c r="C351" s="76" t="str">
        <f>IFERROR(__xludf.DUMMYFUNCTION("""COMPUTED_VALUE"""),"Bagus Fajar")</f>
        <v>Bagus Fajar</v>
      </c>
      <c r="D351" s="99" t="str">
        <f>IFERROR(__xludf.DUMMYFUNCTION("""COMPUTED_VALUE"""),"085604355420")</f>
        <v>085604355420</v>
      </c>
      <c r="E351" s="25" t="str">
        <f>IFERROR(__xludf.DUMMYFUNCTION("""COMPUTED_VALUE"""),"Instagram")</f>
        <v>Instagram</v>
      </c>
      <c r="F351" s="25" t="str">
        <f>IFERROR(__xludf.DUMMYFUNCTION("""COMPUTED_VALUE"""),"Gagal")</f>
        <v>Gagal</v>
      </c>
      <c r="G351" s="25" t="str">
        <f>IFERROR(__xludf.DUMMYFUNCTION("""COMPUTED_VALUE"""),"OT 3H2M")</f>
        <v>OT 3H2M</v>
      </c>
      <c r="H351" s="92">
        <f>IFERROR(__xludf.DUMMYFUNCTION("""COMPUTED_VALUE"""),46115.0)</f>
        <v>46115</v>
      </c>
      <c r="I351" s="80">
        <f>IFERROR(__xludf.DUMMYFUNCTION("""COMPUTED_VALUE"""),1.0)</f>
        <v>1</v>
      </c>
      <c r="J351" s="93">
        <f>IFERROR(__xludf.DUMMYFUNCTION("""COMPUTED_VALUE"""),1600000.0)</f>
        <v>1600000</v>
      </c>
      <c r="K351" s="46" t="str">
        <f>IFERROR(__xludf.DUMMYFUNCTION("""COMPUTED_VALUE"""),"tanggal gabisa fleksibel")</f>
        <v>tanggal gabisa fleksibel</v>
      </c>
      <c r="L351" s="88" t="str">
        <f>IFERROR(__xludf.DUMMYFUNCTION("""COMPUTED_VALUE"""),"https://docs.google.com/document/d/1jsNUUqry396_Gb3dUKxFTGTg07BQjBQYl7vI5P62b1I/edit?tab=t.0")</f>
        <v>https://docs.google.com/document/d/1jsNUUqry396_Gb3dUKxFTGTg07BQjBQYl7vI5P62b1I/edit?tab=t.0</v>
      </c>
      <c r="M351" s="20"/>
      <c r="N351" s="20"/>
      <c r="O351" s="20"/>
      <c r="P351" s="20"/>
    </row>
    <row r="352">
      <c r="A352" s="110">
        <f>IFERROR(__xludf.DUMMYFUNCTION("""COMPUTED_VALUE"""),46087.0)</f>
        <v>46087</v>
      </c>
      <c r="B352" s="110" t="str">
        <f>IFERROR(__xludf.DUMMYFUNCTION("""COMPUTED_VALUE"""),"2603D030")</f>
        <v>2603D030</v>
      </c>
      <c r="C352" s="49" t="str">
        <f>IFERROR(__xludf.DUMMYFUNCTION("""COMPUTED_VALUE"""),"Grace")</f>
        <v>Grace</v>
      </c>
      <c r="D352" s="102" t="str">
        <f>IFERROR(__xludf.DUMMYFUNCTION("""COMPUTED_VALUE"""),"082230156632")</f>
        <v>082230156632</v>
      </c>
      <c r="E352" s="25" t="str">
        <f>IFERROR(__xludf.DUMMYFUNCTION("""COMPUTED_VALUE"""),"Instagram")</f>
        <v>Instagram</v>
      </c>
      <c r="F352" s="25" t="str">
        <f>IFERROR(__xludf.DUMMYFUNCTION("""COMPUTED_VALUE"""),"Gagal")</f>
        <v>Gagal</v>
      </c>
      <c r="G352" s="25"/>
      <c r="H352" s="78"/>
      <c r="I352" s="89">
        <f>IFERROR(__xludf.DUMMYFUNCTION("""COMPUTED_VALUE"""),5.0)</f>
        <v>5</v>
      </c>
      <c r="J352" s="96"/>
      <c r="K352" s="30" t="str">
        <f>IFERROR(__xludf.DUMMYFUNCTION("""COMPUTED_VALUE"""),"gagal, tidak ada jawaban")</f>
        <v>gagal, tidak ada jawaban</v>
      </c>
      <c r="L352" s="81" t="str">
        <f>IFERROR(__xludf.DUMMYFUNCTION("""COMPUTED_VALUE"""),"https://docs.google.com/document/d/1QQTofkemOFKftUzDPXegy1ood3tvADqKnFrmkBUjU9g/edit?tab=t.0")</f>
        <v>https://docs.google.com/document/d/1QQTofkemOFKftUzDPXegy1ood3tvADqKnFrmkBUjU9g/edit?tab=t.0</v>
      </c>
      <c r="M352" s="20"/>
      <c r="N352" s="20"/>
      <c r="O352" s="20"/>
      <c r="P352" s="20"/>
    </row>
    <row r="353">
      <c r="A353" s="97">
        <f>IFERROR(__xludf.DUMMYFUNCTION("""COMPUTED_VALUE"""),46087.0)</f>
        <v>46087</v>
      </c>
      <c r="B353" s="97" t="str">
        <f>IFERROR(__xludf.DUMMYFUNCTION("""COMPUTED_VALUE"""),"2603D031")</f>
        <v>2603D031</v>
      </c>
      <c r="C353" s="76" t="str">
        <f>IFERROR(__xludf.DUMMYFUNCTION("""COMPUTED_VALUE"""),"Denavia")</f>
        <v>Denavia</v>
      </c>
      <c r="D353" s="99" t="str">
        <f>IFERROR(__xludf.DUMMYFUNCTION("""COMPUTED_VALUE"""),"085645696429")</f>
        <v>085645696429</v>
      </c>
      <c r="E353" s="25" t="str">
        <f>IFERROR(__xludf.DUMMYFUNCTION("""COMPUTED_VALUE"""),"Instagram")</f>
        <v>Instagram</v>
      </c>
      <c r="F353" s="25" t="str">
        <f>IFERROR(__xludf.DUMMYFUNCTION("""COMPUTED_VALUE"""),"Gagal")</f>
        <v>Gagal</v>
      </c>
      <c r="G353" s="25" t="str">
        <f>IFERROR(__xludf.DUMMYFUNCTION("""COMPUTED_VALUE"""),"OT")</f>
        <v>OT</v>
      </c>
      <c r="H353" s="92"/>
      <c r="I353" s="80">
        <f>IFERROR(__xludf.DUMMYFUNCTION("""COMPUTED_VALUE"""),2.0)</f>
        <v>2</v>
      </c>
      <c r="J353" s="54"/>
      <c r="K353" s="46" t="str">
        <f>IFERROR(__xludf.DUMMYFUNCTION("""COMPUTED_VALUE"""),"belum tau alasannya tidak jadi")</f>
        <v>belum tau alasannya tidak jadi</v>
      </c>
      <c r="L353" s="88" t="str">
        <f>IFERROR(__xludf.DUMMYFUNCTION("""COMPUTED_VALUE"""),"https://docs.google.com/document/d/1Ui-eY0TeF9AeLCO-OyEerDAxiWk_VK83Fb75ZBoHNdM/edit?tab=t.0")</f>
        <v>https://docs.google.com/document/d/1Ui-eY0TeF9AeLCO-OyEerDAxiWk_VK83Fb75ZBoHNdM/edit?tab=t.0</v>
      </c>
      <c r="M353" s="20"/>
      <c r="N353" s="20"/>
      <c r="O353" s="20"/>
      <c r="P353" s="20"/>
    </row>
    <row r="354">
      <c r="A354" s="110">
        <f>IFERROR(__xludf.DUMMYFUNCTION("""COMPUTED_VALUE"""),46087.0)</f>
        <v>46087</v>
      </c>
      <c r="B354" s="110" t="str">
        <f>IFERROR(__xludf.DUMMYFUNCTION("""COMPUTED_VALUE"""),"2603D032")</f>
        <v>2603D032</v>
      </c>
      <c r="C354" s="49" t="str">
        <f>IFERROR(__xludf.DUMMYFUNCTION("""COMPUTED_VALUE"""),"Dhea Lubis")</f>
        <v>Dhea Lubis</v>
      </c>
      <c r="D354" s="102" t="str">
        <f>IFERROR(__xludf.DUMMYFUNCTION("""COMPUTED_VALUE"""),"085359207689")</f>
        <v>085359207689</v>
      </c>
      <c r="E354" s="25" t="str">
        <f>IFERROR(__xludf.DUMMYFUNCTION("""COMPUTED_VALUE"""),"Instagram")</f>
        <v>Instagram</v>
      </c>
      <c r="F354" s="25" t="str">
        <f>IFERROR(__xludf.DUMMYFUNCTION("""COMPUTED_VALUE"""),"Gagal")</f>
        <v>Gagal</v>
      </c>
      <c r="G354" s="25" t="str">
        <f>IFERROR(__xludf.DUMMYFUNCTION("""COMPUTED_VALUE"""),"custom 2H1M")</f>
        <v>custom 2H1M</v>
      </c>
      <c r="H354" s="78"/>
      <c r="I354" s="89">
        <f>IFERROR(__xludf.DUMMYFUNCTION("""COMPUTED_VALUE"""),3.0)</f>
        <v>3</v>
      </c>
      <c r="J354" s="96"/>
      <c r="K354" s="30" t="str">
        <f>IFERROR(__xludf.DUMMYFUNCTION("""COMPUTED_VALUE"""),"ga jadi, alasan belum tahu")</f>
        <v>ga jadi, alasan belum tahu</v>
      </c>
      <c r="L354" s="81" t="str">
        <f>IFERROR(__xludf.DUMMYFUNCTION("""COMPUTED_VALUE"""),"https://docs.google.com/document/d/1BF2_D6GwNtWCG5zJrnx3_udrBvTpRyoJifdRoiE8pSE/edit?tab=t.0")</f>
        <v>https://docs.google.com/document/d/1BF2_D6GwNtWCG5zJrnx3_udrBvTpRyoJifdRoiE8pSE/edit?tab=t.0</v>
      </c>
      <c r="M354" s="20"/>
      <c r="N354" s="20"/>
      <c r="O354" s="20"/>
      <c r="P354" s="20"/>
    </row>
    <row r="355">
      <c r="A355" s="97">
        <f>IFERROR(__xludf.DUMMYFUNCTION("""COMPUTED_VALUE"""),46088.0)</f>
        <v>46088</v>
      </c>
      <c r="B355" s="97" t="str">
        <f>IFERROR(__xludf.DUMMYFUNCTION("""COMPUTED_VALUE"""),"2602D033")</f>
        <v>2602D033</v>
      </c>
      <c r="C355" s="76" t="str">
        <f>IFERROR(__xludf.DUMMYFUNCTION("""COMPUTED_VALUE"""),"Dzakiyah")</f>
        <v>Dzakiyah</v>
      </c>
      <c r="D355" s="99" t="str">
        <f>IFERROR(__xludf.DUMMYFUNCTION("""COMPUTED_VALUE"""),"081230027737")</f>
        <v>081230027737</v>
      </c>
      <c r="E355" s="25" t="str">
        <f>IFERROR(__xludf.DUMMYFUNCTION("""COMPUTED_VALUE"""),"Instagram")</f>
        <v>Instagram</v>
      </c>
      <c r="F355" s="25" t="str">
        <f>IFERROR(__xludf.DUMMYFUNCTION("""COMPUTED_VALUE"""),"Gagal")</f>
        <v>Gagal</v>
      </c>
      <c r="G355" s="25" t="str">
        <f>IFERROR(__xludf.DUMMYFUNCTION("""COMPUTED_VALUE"""),"1day trip menjangan")</f>
        <v>1day trip menjangan</v>
      </c>
      <c r="H355" s="92"/>
      <c r="I355" s="80">
        <f>IFERROR(__xludf.DUMMYFUNCTION("""COMPUTED_VALUE"""),3.0)</f>
        <v>3</v>
      </c>
      <c r="J355" s="93">
        <f>IFERROR(__xludf.DUMMYFUNCTION("""COMPUTED_VALUE"""),1830000.0)</f>
        <v>1830000</v>
      </c>
      <c r="K355" s="46" t="str">
        <f>IFERROR(__xludf.DUMMYFUNCTION("""COMPUTED_VALUE"""),"tidak membalas lagi, Fu beberapa lagi")</f>
        <v>tidak membalas lagi, Fu beberapa lagi</v>
      </c>
      <c r="L355" s="88" t="str">
        <f>IFERROR(__xludf.DUMMYFUNCTION("""COMPUTED_VALUE"""),"https://docs.google.com/document/d/1YYc7gan_UBmP22ewiot4Bj7T35WCBKzCoblSBRBauas/edit?tab=t.0")</f>
        <v>https://docs.google.com/document/d/1YYc7gan_UBmP22ewiot4Bj7T35WCBKzCoblSBRBauas/edit?tab=t.0</v>
      </c>
      <c r="M355" s="20"/>
      <c r="N355" s="20"/>
      <c r="O355" s="20"/>
      <c r="P355" s="20"/>
    </row>
    <row r="356">
      <c r="A356" s="110">
        <f>IFERROR(__xludf.DUMMYFUNCTION("""COMPUTED_VALUE"""),46088.0)</f>
        <v>46088</v>
      </c>
      <c r="B356" s="110" t="str">
        <f>IFERROR(__xludf.DUMMYFUNCTION("""COMPUTED_VALUE"""),"2603D034")</f>
        <v>2603D034</v>
      </c>
      <c r="C356" s="49" t="str">
        <f>IFERROR(__xludf.DUMMYFUNCTION("""COMPUTED_VALUE"""),"Meilin")</f>
        <v>Meilin</v>
      </c>
      <c r="D356" s="102" t="str">
        <f>IFERROR(__xludf.DUMMYFUNCTION("""COMPUTED_VALUE"""),"083119577736")</f>
        <v>083119577736</v>
      </c>
      <c r="E356" s="25" t="str">
        <f>IFERROR(__xludf.DUMMYFUNCTION("""COMPUTED_VALUE"""),"Instagram")</f>
        <v>Instagram</v>
      </c>
      <c r="F356" s="25" t="str">
        <f>IFERROR(__xludf.DUMMYFUNCTION("""COMPUTED_VALUE"""),"Gagal")</f>
        <v>Gagal</v>
      </c>
      <c r="G356" s="25" t="str">
        <f>IFERROR(__xludf.DUMMYFUNCTION("""COMPUTED_VALUE"""),"MT, D, B")</f>
        <v>MT, D, B</v>
      </c>
      <c r="H356" s="78"/>
      <c r="I356" s="89"/>
      <c r="J356" s="33"/>
      <c r="K356" s="30" t="str">
        <f>IFERROR(__xludf.DUMMYFUNCTION("""COMPUTED_VALUE"""),"tidak ada jawaban. lewat tanggal")</f>
        <v>tidak ada jawaban. lewat tanggal</v>
      </c>
      <c r="L356" s="88" t="str">
        <f>IFERROR(__xludf.DUMMYFUNCTION("""COMPUTED_VALUE"""),"https://docs.google.com/document/d/1trjP0noS__BYQ-f5ZNEpjM_FjkK5fLvcSbWJghhsTPA/edit?tab=t.0")</f>
        <v>https://docs.google.com/document/d/1trjP0noS__BYQ-f5ZNEpjM_FjkK5fLvcSbWJghhsTPA/edit?tab=t.0</v>
      </c>
      <c r="M356" s="20"/>
      <c r="N356" s="20"/>
      <c r="O356" s="20"/>
      <c r="P356" s="20"/>
    </row>
    <row r="357">
      <c r="A357" s="97">
        <f>IFERROR(__xludf.DUMMYFUNCTION("""COMPUTED_VALUE"""),46088.0)</f>
        <v>46088</v>
      </c>
      <c r="B357" s="97" t="str">
        <f>IFERROR(__xludf.DUMMYFUNCTION("""COMPUTED_VALUE"""),"2603D035")</f>
        <v>2603D035</v>
      </c>
      <c r="C357" s="76" t="str">
        <f>IFERROR(__xludf.DUMMYFUNCTION("""COMPUTED_VALUE"""),"Kharis")</f>
        <v>Kharis</v>
      </c>
      <c r="D357" s="99" t="str">
        <f>IFERROR(__xludf.DUMMYFUNCTION("""COMPUTED_VALUE"""),"081553818001")</f>
        <v>081553818001</v>
      </c>
      <c r="E357" s="25" t="str">
        <f>IFERROR(__xludf.DUMMYFUNCTION("""COMPUTED_VALUE"""),"Instagram")</f>
        <v>Instagram</v>
      </c>
      <c r="F357" s="25" t="str">
        <f>IFERROR(__xludf.DUMMYFUNCTION("""COMPUTED_VALUE"""),"Gagal")</f>
        <v>Gagal</v>
      </c>
      <c r="G357" s="25" t="str">
        <f>IFERROR(__xludf.DUMMYFUNCTION("""COMPUTED_VALUE"""),"3H2M")</f>
        <v>3H2M</v>
      </c>
      <c r="H357" s="92">
        <f>IFERROR(__xludf.DUMMYFUNCTION("""COMPUTED_VALUE"""),46106.0)</f>
        <v>46106</v>
      </c>
      <c r="I357" s="80">
        <f>IFERROR(__xludf.DUMMYFUNCTION("""COMPUTED_VALUE"""),3.0)</f>
        <v>3</v>
      </c>
      <c r="J357" s="93">
        <f>IFERROR(__xludf.DUMMYFUNCTION("""COMPUTED_VALUE"""),8550000.0)</f>
        <v>8550000</v>
      </c>
      <c r="K357" s="46" t="str">
        <f>IFERROR(__xludf.DUMMYFUNCTION("""COMPUTED_VALUE"""),"lewat tanggal, gagal")</f>
        <v>lewat tanggal, gagal</v>
      </c>
      <c r="L357" s="88" t="str">
        <f>IFERROR(__xludf.DUMMYFUNCTION("""COMPUTED_VALUE"""),"https://docs.google.com/document/d/1vb3mdrXEZ1cKiA_XJRVWFArT8F6Zcku_n_L-9OWWWBk/edit?tab=t.0")</f>
        <v>https://docs.google.com/document/d/1vb3mdrXEZ1cKiA_XJRVWFArT8F6Zcku_n_L-9OWWWBk/edit?tab=t.0</v>
      </c>
      <c r="M357" s="20"/>
      <c r="N357" s="20"/>
      <c r="O357" s="20"/>
      <c r="P357" s="20"/>
    </row>
    <row r="358">
      <c r="A358" s="110">
        <f>IFERROR(__xludf.DUMMYFUNCTION("""COMPUTED_VALUE"""),46088.0)</f>
        <v>46088</v>
      </c>
      <c r="B358" s="110" t="str">
        <f>IFERROR(__xludf.DUMMYFUNCTION("""COMPUTED_VALUE"""),"2603D036")</f>
        <v>2603D036</v>
      </c>
      <c r="C358" s="49" t="str">
        <f>IFERROR(__xludf.DUMMYFUNCTION("""COMPUTED_VALUE"""),"i")</f>
        <v>i</v>
      </c>
      <c r="D358" s="102" t="str">
        <f>IFERROR(__xludf.DUMMYFUNCTION("""COMPUTED_VALUE"""),"082124871700")</f>
        <v>082124871700</v>
      </c>
      <c r="E358" s="25" t="str">
        <f>IFERROR(__xludf.DUMMYFUNCTION("""COMPUTED_VALUE"""),"Instagram")</f>
        <v>Instagram</v>
      </c>
      <c r="F358" s="25" t="str">
        <f>IFERROR(__xludf.DUMMYFUNCTION("""COMPUTED_VALUE"""),"Gagal")</f>
        <v>Gagal</v>
      </c>
      <c r="G358" s="25"/>
      <c r="H358" s="78"/>
      <c r="I358" s="89"/>
      <c r="J358" s="96"/>
      <c r="K358" s="30" t="str">
        <f>IFERROR(__xludf.DUMMYFUNCTION("""COMPUTED_VALUE"""),"hanya menyapa, tidak ada jawaban ")</f>
        <v>hanya menyapa, tidak ada jawaban </v>
      </c>
      <c r="L358" s="49"/>
      <c r="M358" s="20"/>
      <c r="N358" s="20"/>
      <c r="O358" s="20"/>
      <c r="P358" s="20"/>
    </row>
    <row r="359">
      <c r="A359" s="97">
        <f>IFERROR(__xludf.DUMMYFUNCTION("""COMPUTED_VALUE"""),46089.0)</f>
        <v>46089</v>
      </c>
      <c r="B359" s="97" t="str">
        <f>IFERROR(__xludf.DUMMYFUNCTION("""COMPUTED_VALUE"""),"2603D037")</f>
        <v>2603D037</v>
      </c>
      <c r="C359" s="76" t="str">
        <f>IFERROR(__xludf.DUMMYFUNCTION("""COMPUTED_VALUE"""),"Mayrican A.T")</f>
        <v>Mayrican A.T</v>
      </c>
      <c r="D359" s="13" t="str">
        <f>IFERROR(__xludf.DUMMYFUNCTION("""COMPUTED_VALUE"""),"0895411879995")</f>
        <v>0895411879995</v>
      </c>
      <c r="E359" s="25" t="str">
        <f>IFERROR(__xludf.DUMMYFUNCTION("""COMPUTED_VALUE"""),"Instagram")</f>
        <v>Instagram</v>
      </c>
      <c r="F359" s="25" t="str">
        <f>IFERROR(__xludf.DUMMYFUNCTION("""COMPUTED_VALUE"""),"Gagal")</f>
        <v>Gagal</v>
      </c>
      <c r="G359" s="25" t="str">
        <f>IFERROR(__xludf.DUMMYFUNCTION("""COMPUTED_VALUE"""),"paket 1 day trip pulau merah")</f>
        <v>paket 1 day trip pulau merah</v>
      </c>
      <c r="H359" s="92"/>
      <c r="I359" s="80">
        <f>IFERROR(__xludf.DUMMYFUNCTION("""COMPUTED_VALUE"""),3.0)</f>
        <v>3</v>
      </c>
      <c r="J359" s="93">
        <f>IFERROR(__xludf.DUMMYFUNCTION("""COMPUTED_VALUE"""),1548000.0)</f>
        <v>1548000</v>
      </c>
      <c r="K359" s="19" t="str">
        <f>IFERROR(__xludf.DUMMYFUNCTION("""COMPUTED_VALUE"""),"ga jadi, alasan belum tahu")</f>
        <v>ga jadi, alasan belum tahu</v>
      </c>
      <c r="L359" s="88" t="str">
        <f>IFERROR(__xludf.DUMMYFUNCTION("""COMPUTED_VALUE"""),"https://docs.google.com/document/d/1ODdoPFhIMejdIzVB3Oc4FcACfbDPhJRttFrPG-j4Sgw/edit?tab=t.0")</f>
        <v>https://docs.google.com/document/d/1ODdoPFhIMejdIzVB3Oc4FcACfbDPhJRttFrPG-j4Sgw/edit?tab=t.0</v>
      </c>
      <c r="M359" s="20"/>
      <c r="N359" s="20"/>
      <c r="O359" s="20"/>
      <c r="P359" s="20"/>
    </row>
    <row r="360">
      <c r="A360" s="110">
        <f>IFERROR(__xludf.DUMMYFUNCTION("""COMPUTED_VALUE"""),46089.0)</f>
        <v>46089</v>
      </c>
      <c r="B360" s="110" t="str">
        <f>IFERROR(__xludf.DUMMYFUNCTION("""COMPUTED_VALUE"""),"2603D038")</f>
        <v>2603D038</v>
      </c>
      <c r="C360" s="49" t="str">
        <f>IFERROR(__xludf.DUMMYFUNCTION("""COMPUTED_VALUE"""),"Ericka")</f>
        <v>Ericka</v>
      </c>
      <c r="D360" s="102" t="str">
        <f>IFERROR(__xludf.DUMMYFUNCTION("""COMPUTED_VALUE"""),"089608986331")</f>
        <v>089608986331</v>
      </c>
      <c r="E360" s="25" t="str">
        <f>IFERROR(__xludf.DUMMYFUNCTION("""COMPUTED_VALUE"""),"Instagram")</f>
        <v>Instagram</v>
      </c>
      <c r="F360" s="25" t="str">
        <f>IFERROR(__xludf.DUMMYFUNCTION("""COMPUTED_VALUE"""),"Leads Baru")</f>
        <v>Leads Baru</v>
      </c>
      <c r="G360" s="25"/>
      <c r="H360" s="78"/>
      <c r="I360" s="27"/>
      <c r="J360" s="96"/>
      <c r="K360" s="36" t="str">
        <f>IFERROR(__xludf.DUMMYFUNCTION("""COMPUTED_VALUE"""),"belum ada jawaban, fu kembali 20 Juli")</f>
        <v>belum ada jawaban, fu kembali 20 Juli</v>
      </c>
      <c r="L360" s="81" t="str">
        <f>IFERROR(__xludf.DUMMYFUNCTION("""COMPUTED_VALUE"""),"https://docs.google.com/document/d/1gW_EXGpkSe2_Y5up1f8c7DGMtM6Xb1nMiakPkC-zr9c/edit?tab=t.0")</f>
        <v>https://docs.google.com/document/d/1gW_EXGpkSe2_Y5up1f8c7DGMtM6Xb1nMiakPkC-zr9c/edit?tab=t.0</v>
      </c>
      <c r="M360" s="20"/>
      <c r="N360" s="20"/>
      <c r="O360" s="20"/>
      <c r="P360" s="20"/>
    </row>
    <row r="361">
      <c r="A361" s="97">
        <f>IFERROR(__xludf.DUMMYFUNCTION("""COMPUTED_VALUE"""),46089.0)</f>
        <v>46089</v>
      </c>
      <c r="B361" s="97" t="str">
        <f>IFERROR(__xludf.DUMMYFUNCTION("""COMPUTED_VALUE"""),"2603D039")</f>
        <v>2603D039</v>
      </c>
      <c r="C361" s="76" t="str">
        <f>IFERROR(__xludf.DUMMYFUNCTION("""COMPUTED_VALUE"""),"Aditya Novantiasa")</f>
        <v>Aditya Novantiasa</v>
      </c>
      <c r="D361" s="99" t="str">
        <f>IFERROR(__xludf.DUMMYFUNCTION("""COMPUTED_VALUE"""),"085695861182")</f>
        <v>085695861182</v>
      </c>
      <c r="E361" s="25" t="str">
        <f>IFERROR(__xludf.DUMMYFUNCTION("""COMPUTED_VALUE"""),"Lainnya")</f>
        <v>Lainnya</v>
      </c>
      <c r="F361" s="25" t="str">
        <f>IFERROR(__xludf.DUMMYFUNCTION("""COMPUTED_VALUE"""),"Prospek")</f>
        <v>Prospek</v>
      </c>
      <c r="G361" s="25" t="str">
        <f>IFERROR(__xludf.DUMMYFUNCTION("""COMPUTED_VALUE"""),"3H2M")</f>
        <v>3H2M</v>
      </c>
      <c r="H361" s="92"/>
      <c r="I361" s="80">
        <f>IFERROR(__xludf.DUMMYFUNCTION("""COMPUTED_VALUE"""),60.0)</f>
        <v>60</v>
      </c>
      <c r="J361" s="93">
        <f>IFERROR(__xludf.DUMMYFUNCTION("""COMPUTED_VALUE"""),1.431E8)</f>
        <v>143100000</v>
      </c>
      <c r="K361" s="19" t="str">
        <f>IFERROR(__xludf.DUMMYFUNCTION("""COMPUTED_VALUE"""),"sedang meeting dg client, FU 3 Juli")</f>
        <v>sedang meeting dg client, FU 3 Juli</v>
      </c>
      <c r="L361" s="88" t="str">
        <f>IFERROR(__xludf.DUMMYFUNCTION("""COMPUTED_VALUE"""),"https://docs.google.com/document/d/1NB8XufaILagXcrmdAimDWR-rogYLQtSpvRTYBPtcaRo/edit?tab=t.0")</f>
        <v>https://docs.google.com/document/d/1NB8XufaILagXcrmdAimDWR-rogYLQtSpvRTYBPtcaRo/edit?tab=t.0</v>
      </c>
      <c r="M361" s="20"/>
      <c r="N361" s="20"/>
      <c r="O361" s="20"/>
      <c r="P361" s="20"/>
    </row>
    <row r="362">
      <c r="A362" s="110">
        <f>IFERROR(__xludf.DUMMYFUNCTION("""COMPUTED_VALUE"""),46089.0)</f>
        <v>46089</v>
      </c>
      <c r="B362" s="110" t="str">
        <f>IFERROR(__xludf.DUMMYFUNCTION("""COMPUTED_VALUE"""),"2603D040")</f>
        <v>2603D040</v>
      </c>
      <c r="C362" s="49" t="str">
        <f>IFERROR(__xludf.DUMMYFUNCTION("""COMPUTED_VALUE"""),"Aulia ")</f>
        <v>Aulia </v>
      </c>
      <c r="D362" s="102" t="str">
        <f>IFERROR(__xludf.DUMMYFUNCTION("""COMPUTED_VALUE"""),"085176745278")</f>
        <v>085176745278</v>
      </c>
      <c r="E362" s="25" t="str">
        <f>IFERROR(__xludf.DUMMYFUNCTION("""COMPUTED_VALUE"""),"Instagram")</f>
        <v>Instagram</v>
      </c>
      <c r="F362" s="25" t="str">
        <f>IFERROR(__xludf.DUMMYFUNCTION("""COMPUTED_VALUE"""),"Qualified")</f>
        <v>Qualified</v>
      </c>
      <c r="G362" s="25" t="str">
        <f>IFERROR(__xludf.DUMMYFUNCTION("""COMPUTED_VALUE"""),"OT 3H2M")</f>
        <v>OT 3H2M</v>
      </c>
      <c r="H362" s="78">
        <f>IFERROR(__xludf.DUMMYFUNCTION("""COMPUTED_VALUE"""),46179.0)</f>
        <v>46179</v>
      </c>
      <c r="I362" s="89">
        <f>IFERROR(__xludf.DUMMYFUNCTION("""COMPUTED_VALUE"""),2.0)</f>
        <v>2</v>
      </c>
      <c r="J362" s="96">
        <f>IFERROR(__xludf.DUMMYFUNCTION("""COMPUTED_VALUE"""),3200000.0)</f>
        <v>3200000</v>
      </c>
      <c r="K362" s="30" t="str">
        <f>IFERROR(__xludf.DUMMYFUNCTION("""COMPUTED_VALUE"""),"belum dibalas, FU 25  Mei")</f>
        <v>belum dibalas, FU 25  Mei</v>
      </c>
      <c r="L362" s="81" t="str">
        <f>IFERROR(__xludf.DUMMYFUNCTION("""COMPUTED_VALUE"""),"https://docs.google.com/document/d/1es5OHEvaDxyy_XrYins0EXSxtBFIKPer9jyDGHbAFhM/edit?tab=t.0")</f>
        <v>https://docs.google.com/document/d/1es5OHEvaDxyy_XrYins0EXSxtBFIKPer9jyDGHbAFhM/edit?tab=t.0</v>
      </c>
      <c r="M362" s="20"/>
      <c r="N362" s="20"/>
      <c r="O362" s="20"/>
      <c r="P362" s="20"/>
    </row>
    <row r="363">
      <c r="A363" s="97">
        <f>IFERROR(__xludf.DUMMYFUNCTION("""COMPUTED_VALUE"""),46090.0)</f>
        <v>46090</v>
      </c>
      <c r="B363" s="97" t="str">
        <f>IFERROR(__xludf.DUMMYFUNCTION("""COMPUTED_VALUE"""),"2603D041")</f>
        <v>2603D041</v>
      </c>
      <c r="C363" s="76" t="str">
        <f>IFERROR(__xludf.DUMMYFUNCTION("""COMPUTED_VALUE"""),"Ashta")</f>
        <v>Ashta</v>
      </c>
      <c r="D363" s="99" t="str">
        <f>IFERROR(__xludf.DUMMYFUNCTION("""COMPUTED_VALUE"""),"085121330989")</f>
        <v>085121330989</v>
      </c>
      <c r="E363" s="25" t="str">
        <f>IFERROR(__xludf.DUMMYFUNCTION("""COMPUTED_VALUE"""),"Lainnya")</f>
        <v>Lainnya</v>
      </c>
      <c r="F363" s="25" t="str">
        <f>IFERROR(__xludf.DUMMYFUNCTION("""COMPUTED_VALUE"""),"Gagal")</f>
        <v>Gagal</v>
      </c>
      <c r="G363" s="25"/>
      <c r="H363" s="92">
        <f>IFERROR(__xludf.DUMMYFUNCTION("""COMPUTED_VALUE"""),46107.0)</f>
        <v>46107</v>
      </c>
      <c r="I363" s="80">
        <f>IFERROR(__xludf.DUMMYFUNCTION("""COMPUTED_VALUE"""),2.0)</f>
        <v>2</v>
      </c>
      <c r="J363" s="93"/>
      <c r="K363" s="46" t="str">
        <f>IFERROR(__xludf.DUMMYFUNCTION("""COMPUTED_VALUE"""),"belum dulu")</f>
        <v>belum dulu</v>
      </c>
      <c r="L363" s="88" t="str">
        <f>IFERROR(__xludf.DUMMYFUNCTION("""COMPUTED_VALUE"""),"https://docs.google.com/document/d/188WSJ__JnCjKWa2EkLpMgBOEN6GXmSGhO37ogQAysDM/edit?tab=t.0")</f>
        <v>https://docs.google.com/document/d/188WSJ__JnCjKWa2EkLpMgBOEN6GXmSGhO37ogQAysDM/edit?tab=t.0</v>
      </c>
      <c r="M363" s="20"/>
      <c r="N363" s="20"/>
      <c r="O363" s="20"/>
      <c r="P363" s="20"/>
    </row>
    <row r="364">
      <c r="A364" s="110">
        <f>IFERROR(__xludf.DUMMYFUNCTION("""COMPUTED_VALUE"""),46090.0)</f>
        <v>46090</v>
      </c>
      <c r="B364" s="110" t="str">
        <f>IFERROR(__xludf.DUMMYFUNCTION("""COMPUTED_VALUE"""),"2603D042")</f>
        <v>2603D042</v>
      </c>
      <c r="C364" s="49" t="str">
        <f>IFERROR(__xludf.DUMMYFUNCTION("""COMPUTED_VALUE"""),"Reni")</f>
        <v>Reni</v>
      </c>
      <c r="D364" s="102" t="str">
        <f>IFERROR(__xludf.DUMMYFUNCTION("""COMPUTED_VALUE"""),"082233760255")</f>
        <v>082233760255</v>
      </c>
      <c r="E364" s="25" t="str">
        <f>IFERROR(__xludf.DUMMYFUNCTION("""COMPUTED_VALUE"""),"Lainnya")</f>
        <v>Lainnya</v>
      </c>
      <c r="F364" s="25" t="str">
        <f>IFERROR(__xludf.DUMMYFUNCTION("""COMPUTED_VALUE"""),"Gagal")</f>
        <v>Gagal</v>
      </c>
      <c r="G364" s="25" t="str">
        <f>IFERROR(__xludf.DUMMYFUNCTION("""COMPUTED_VALUE"""),"3H2M atau 2H1M")</f>
        <v>3H2M atau 2H1M</v>
      </c>
      <c r="H364" s="78"/>
      <c r="I364" s="89">
        <f>IFERROR(__xludf.DUMMYFUNCTION("""COMPUTED_VALUE"""),8.0)</f>
        <v>8</v>
      </c>
      <c r="J364" s="33"/>
      <c r="K364" s="30" t="str">
        <f>IFERROR(__xludf.DUMMYFUNCTION("""COMPUTED_VALUE"""),"tidak ada jawaban, lewat tanggal")</f>
        <v>tidak ada jawaban, lewat tanggal</v>
      </c>
      <c r="L364" s="81" t="str">
        <f>IFERROR(__xludf.DUMMYFUNCTION("""COMPUTED_VALUE"""),"https://docs.google.com/document/d/1VrGPe9lPLtS1Q6J-pimyK6scNDpKxGCsFYgmpk_6Gy8/edit?tab=t.0")</f>
        <v>https://docs.google.com/document/d/1VrGPe9lPLtS1Q6J-pimyK6scNDpKxGCsFYgmpk_6Gy8/edit?tab=t.0</v>
      </c>
      <c r="M364" s="20"/>
      <c r="N364" s="20"/>
      <c r="O364" s="20"/>
      <c r="P364" s="20"/>
    </row>
    <row r="365">
      <c r="A365" s="97">
        <f>IFERROR(__xludf.DUMMYFUNCTION("""COMPUTED_VALUE"""),46091.0)</f>
        <v>46091</v>
      </c>
      <c r="B365" s="97" t="str">
        <f>IFERROR(__xludf.DUMMYFUNCTION("""COMPUTED_VALUE"""),"2603D043")</f>
        <v>2603D043</v>
      </c>
      <c r="C365" s="76" t="str">
        <f>IFERROR(__xludf.DUMMYFUNCTION("""COMPUTED_VALUE"""),"Kunny")</f>
        <v>Kunny</v>
      </c>
      <c r="D365" s="99" t="str">
        <f>IFERROR(__xludf.DUMMYFUNCTION("""COMPUTED_VALUE"""),"087776268365")</f>
        <v>087776268365</v>
      </c>
      <c r="E365" s="25" t="str">
        <f>IFERROR(__xludf.DUMMYFUNCTION("""COMPUTED_VALUE"""),"Instagram")</f>
        <v>Instagram</v>
      </c>
      <c r="F365" s="25" t="str">
        <f>IFERROR(__xludf.DUMMYFUNCTION("""COMPUTED_VALUE"""),"Gagal")</f>
        <v>Gagal</v>
      </c>
      <c r="G365" s="25"/>
      <c r="H365" s="92"/>
      <c r="I365" s="80"/>
      <c r="J365" s="54"/>
      <c r="K365" s="46" t="str">
        <f>IFERROR(__xludf.DUMMYFUNCTION("""COMPUTED_VALUE"""),"gada jawaban. hanya menyapa")</f>
        <v>gada jawaban. hanya menyapa</v>
      </c>
      <c r="L365" s="76"/>
      <c r="M365" s="20"/>
      <c r="N365" s="20"/>
      <c r="O365" s="20"/>
      <c r="P365" s="20"/>
    </row>
    <row r="366">
      <c r="A366" s="110">
        <f>IFERROR(__xludf.DUMMYFUNCTION("""COMPUTED_VALUE"""),46091.0)</f>
        <v>46091</v>
      </c>
      <c r="B366" s="110" t="str">
        <f>IFERROR(__xludf.DUMMYFUNCTION("""COMPUTED_VALUE"""),"2603D044")</f>
        <v>2603D044</v>
      </c>
      <c r="C366" s="49" t="str">
        <f>IFERROR(__xludf.DUMMYFUNCTION("""COMPUTED_VALUE"""),"titik")</f>
        <v>titik</v>
      </c>
      <c r="D366" s="102" t="str">
        <f>IFERROR(__xludf.DUMMYFUNCTION("""COMPUTED_VALUE"""),"081380952392")</f>
        <v>081380952392</v>
      </c>
      <c r="E366" s="25" t="str">
        <f>IFERROR(__xludf.DUMMYFUNCTION("""COMPUTED_VALUE"""),"Instagram")</f>
        <v>Instagram</v>
      </c>
      <c r="F366" s="25" t="str">
        <f>IFERROR(__xludf.DUMMYFUNCTION("""COMPUTED_VALUE"""),"Gagal")</f>
        <v>Gagal</v>
      </c>
      <c r="G366" s="25" t="str">
        <f>IFERROR(__xludf.DUMMYFUNCTION("""COMPUTED_VALUE"""),"green island ")</f>
        <v>green island </v>
      </c>
      <c r="H366" s="78">
        <f>IFERROR(__xludf.DUMMYFUNCTION("""COMPUTED_VALUE"""),46123.0)</f>
        <v>46123</v>
      </c>
      <c r="I366" s="89">
        <f>IFERROR(__xludf.DUMMYFUNCTION("""COMPUTED_VALUE"""),3.0)</f>
        <v>3</v>
      </c>
      <c r="J366" s="96">
        <f>IFERROR(__xludf.DUMMYFUNCTION("""COMPUTED_VALUE"""),2475000.0)</f>
        <v>2475000</v>
      </c>
      <c r="K366" s="30" t="str">
        <f>IFERROR(__xludf.DUMMYFUNCTION("""COMPUTED_VALUE"""),"FU 6 April")</f>
        <v>FU 6 April</v>
      </c>
      <c r="L366" s="81" t="str">
        <f>IFERROR(__xludf.DUMMYFUNCTION("""COMPUTED_VALUE"""),"https://docs.google.com/document/d/1jK_20xfivfAFRwW7pxnh1HcWOlEWwF-mBfZoznxnpRM/edit?tab=t.0")</f>
        <v>https://docs.google.com/document/d/1jK_20xfivfAFRwW7pxnh1HcWOlEWwF-mBfZoznxnpRM/edit?tab=t.0</v>
      </c>
      <c r="M366" s="20"/>
      <c r="N366" s="20"/>
      <c r="O366" s="20"/>
      <c r="P366" s="20"/>
    </row>
    <row r="367">
      <c r="A367" s="97">
        <f>IFERROR(__xludf.DUMMYFUNCTION("""COMPUTED_VALUE"""),46091.0)</f>
        <v>46091</v>
      </c>
      <c r="B367" s="97" t="str">
        <f>IFERROR(__xludf.DUMMYFUNCTION("""COMPUTED_VALUE"""),"2603D045")</f>
        <v>2603D045</v>
      </c>
      <c r="C367" s="76" t="str">
        <f>IFERROR(__xludf.DUMMYFUNCTION("""COMPUTED_VALUE"""),"Irvandiptr")</f>
        <v>Irvandiptr</v>
      </c>
      <c r="D367" s="99" t="str">
        <f>IFERROR(__xludf.DUMMYFUNCTION("""COMPUTED_VALUE"""),"087830130288")</f>
        <v>087830130288</v>
      </c>
      <c r="E367" s="25" t="str">
        <f>IFERROR(__xludf.DUMMYFUNCTION("""COMPUTED_VALUE"""),"Instagram")</f>
        <v>Instagram</v>
      </c>
      <c r="F367" s="25" t="str">
        <f>IFERROR(__xludf.DUMMYFUNCTION("""COMPUTED_VALUE"""),"Gagal")</f>
        <v>Gagal</v>
      </c>
      <c r="G367" s="25" t="str">
        <f>IFERROR(__xludf.DUMMYFUNCTION("""COMPUTED_VALUE"""),"3H2M")</f>
        <v>3H2M</v>
      </c>
      <c r="H367" s="92">
        <f>IFERROR(__xludf.DUMMYFUNCTION("""COMPUTED_VALUE"""),46104.0)</f>
        <v>46104</v>
      </c>
      <c r="I367" s="80">
        <f>IFERROR(__xludf.DUMMYFUNCTION("""COMPUTED_VALUE"""),10.0)</f>
        <v>10</v>
      </c>
      <c r="J367" s="93">
        <f>IFERROR(__xludf.DUMMYFUNCTION("""COMPUTED_VALUE"""),1.1E7)</f>
        <v>11000000</v>
      </c>
      <c r="K367" s="19" t="str">
        <f>IFERROR(__xludf.DUMMYFUNCTION("""COMPUTED_VALUE"""),"lewat tanggal, tidak ada jawaban ")</f>
        <v>lewat tanggal, tidak ada jawaban </v>
      </c>
      <c r="L367" s="88" t="str">
        <f>IFERROR(__xludf.DUMMYFUNCTION("""COMPUTED_VALUE"""),"https://docs.google.com/document/d/1kLTBF4HokNJs-w_8ZEioVbjH9F6I9Fd7GZZckzsJBok/edit?tab=t.0")</f>
        <v>https://docs.google.com/document/d/1kLTBF4HokNJs-w_8ZEioVbjH9F6I9Fd7GZZckzsJBok/edit?tab=t.0</v>
      </c>
      <c r="M367" s="20"/>
      <c r="N367" s="20"/>
      <c r="O367" s="20"/>
      <c r="P367" s="20"/>
    </row>
    <row r="368">
      <c r="A368" s="110">
        <f>IFERROR(__xludf.DUMMYFUNCTION("""COMPUTED_VALUE"""),46091.0)</f>
        <v>46091</v>
      </c>
      <c r="B368" s="110" t="str">
        <f>IFERROR(__xludf.DUMMYFUNCTION("""COMPUTED_VALUE"""),"2603D046")</f>
        <v>2603D046</v>
      </c>
      <c r="C368" s="49" t="str">
        <f>IFERROR(__xludf.DUMMYFUNCTION("""COMPUTED_VALUE"""),"Chacha")</f>
        <v>Chacha</v>
      </c>
      <c r="D368" s="102" t="str">
        <f>IFERROR(__xludf.DUMMYFUNCTION("""COMPUTED_VALUE"""),"085881293821")</f>
        <v>085881293821</v>
      </c>
      <c r="E368" s="25" t="str">
        <f>IFERROR(__xludf.DUMMYFUNCTION("""COMPUTED_VALUE"""),"Instagram")</f>
        <v>Instagram</v>
      </c>
      <c r="F368" s="25" t="str">
        <f>IFERROR(__xludf.DUMMYFUNCTION("""COMPUTED_VALUE"""),"Gagal")</f>
        <v>Gagal</v>
      </c>
      <c r="G368" s="25" t="str">
        <f>IFERROR(__xludf.DUMMYFUNCTION("""COMPUTED_VALUE"""),"4H3M")</f>
        <v>4H3M</v>
      </c>
      <c r="H368" s="78"/>
      <c r="I368" s="89">
        <f>IFERROR(__xludf.DUMMYFUNCTION("""COMPUTED_VALUE"""),6.0)</f>
        <v>6</v>
      </c>
      <c r="J368" s="96">
        <f>IFERROR(__xludf.DUMMYFUNCTION("""COMPUTED_VALUE"""),1.137E7)</f>
        <v>11370000</v>
      </c>
      <c r="K368" s="36" t="str">
        <f>IFERROR(__xludf.DUMMYFUNCTION("""COMPUTED_VALUE"""),"lewat tanggal, tidak ada jawaban ")</f>
        <v>lewat tanggal, tidak ada jawaban </v>
      </c>
      <c r="L368" s="81" t="str">
        <f>IFERROR(__xludf.DUMMYFUNCTION("""COMPUTED_VALUE"""),"https://docs.google.com/document/d/1WDLIQDMqF30_WieKCw0rdIX3Wb6BiHGBVCDTjGnWC2Q/edit?tab=t.0")</f>
        <v>https://docs.google.com/document/d/1WDLIQDMqF30_WieKCw0rdIX3Wb6BiHGBVCDTjGnWC2Q/edit?tab=t.0</v>
      </c>
      <c r="M368" s="20"/>
      <c r="N368" s="20"/>
      <c r="O368" s="20"/>
      <c r="P368" s="20"/>
    </row>
    <row r="369">
      <c r="A369" s="97">
        <f>IFERROR(__xludf.DUMMYFUNCTION("""COMPUTED_VALUE"""),46092.0)</f>
        <v>46092</v>
      </c>
      <c r="B369" s="97" t="str">
        <f>IFERROR(__xludf.DUMMYFUNCTION("""COMPUTED_VALUE"""),"2602D047")</f>
        <v>2602D047</v>
      </c>
      <c r="C369" s="76" t="str">
        <f>IFERROR(__xludf.DUMMYFUNCTION("""COMPUTED_VALUE"""),"Christine")</f>
        <v>Christine</v>
      </c>
      <c r="D369" s="99" t="str">
        <f>IFERROR(__xludf.DUMMYFUNCTION("""COMPUTED_VALUE"""),"14692588393")</f>
        <v>14692588393</v>
      </c>
      <c r="E369" s="25" t="str">
        <f>IFERROR(__xludf.DUMMYFUNCTION("""COMPUTED_VALUE"""),"Website")</f>
        <v>Website</v>
      </c>
      <c r="F369" s="25" t="str">
        <f>IFERROR(__xludf.DUMMYFUNCTION("""COMPUTED_VALUE"""),"Closing")</f>
        <v>Closing</v>
      </c>
      <c r="G369" s="25" t="str">
        <f>IFERROR(__xludf.DUMMYFUNCTION("""COMPUTED_VALUE"""),"open trip ijen")</f>
        <v>open trip ijen</v>
      </c>
      <c r="H369" s="92"/>
      <c r="I369" s="80">
        <f>IFERROR(__xludf.DUMMYFUNCTION("""COMPUTED_VALUE"""),1.0)</f>
        <v>1</v>
      </c>
      <c r="J369" s="93">
        <f>IFERROR(__xludf.DUMMYFUNCTION("""COMPUTED_VALUE"""),250000.0)</f>
        <v>250000</v>
      </c>
      <c r="K369" s="46" t="str">
        <f>IFERROR(__xludf.DUMMYFUNCTION("""COMPUTED_VALUE"""),"ORDERRR")</f>
        <v>ORDERRR</v>
      </c>
      <c r="L369" s="88" t="str">
        <f>IFERROR(__xludf.DUMMYFUNCTION("""COMPUTED_VALUE"""),"https://docs.google.com/document/d/19vDWAEusi2UrHTFPWCkZwE741j9gzfjBiA2czAmGKag/edit?tab=t.0")</f>
        <v>https://docs.google.com/document/d/19vDWAEusi2UrHTFPWCkZwE741j9gzfjBiA2czAmGKag/edit?tab=t.0</v>
      </c>
      <c r="M369" s="20"/>
      <c r="N369" s="20"/>
      <c r="O369" s="20"/>
      <c r="P369" s="20"/>
    </row>
    <row r="370">
      <c r="A370" s="110">
        <f>IFERROR(__xludf.DUMMYFUNCTION("""COMPUTED_VALUE"""),46092.0)</f>
        <v>46092</v>
      </c>
      <c r="B370" s="110" t="str">
        <f>IFERROR(__xludf.DUMMYFUNCTION("""COMPUTED_VALUE"""),"2603D048")</f>
        <v>2603D048</v>
      </c>
      <c r="C370" s="49" t="str">
        <f>IFERROR(__xludf.DUMMYFUNCTION("""COMPUTED_VALUE"""),"Anggia Desti")</f>
        <v>Anggia Desti</v>
      </c>
      <c r="D370" s="102" t="str">
        <f>IFERROR(__xludf.DUMMYFUNCTION("""COMPUTED_VALUE"""),"085740117527")</f>
        <v>085740117527</v>
      </c>
      <c r="E370" s="25" t="str">
        <f>IFERROR(__xludf.DUMMYFUNCTION("""COMPUTED_VALUE"""),"Website")</f>
        <v>Website</v>
      </c>
      <c r="F370" s="25" t="str">
        <f>IFERROR(__xludf.DUMMYFUNCTION("""COMPUTED_VALUE"""),"Gagal")</f>
        <v>Gagal</v>
      </c>
      <c r="G370" s="25" t="str">
        <f>IFERROR(__xludf.DUMMYFUNCTION("""COMPUTED_VALUE"""),"OPEN TRIP")</f>
        <v>OPEN TRIP</v>
      </c>
      <c r="H370" s="78"/>
      <c r="I370" s="89">
        <f>IFERROR(__xludf.DUMMYFUNCTION("""COMPUTED_VALUE"""),2.0)</f>
        <v>2</v>
      </c>
      <c r="J370" s="96">
        <f>IFERROR(__xludf.DUMMYFUNCTION("""COMPUTED_VALUE"""),1750000.0)</f>
        <v>1750000</v>
      </c>
      <c r="K370" s="36" t="str">
        <f>IFERROR(__xludf.DUMMYFUNCTION("""COMPUTED_VALUE"""),"prepare belum matang")</f>
        <v>prepare belum matang</v>
      </c>
      <c r="L370" s="81" t="str">
        <f>IFERROR(__xludf.DUMMYFUNCTION("""COMPUTED_VALUE"""),"https://docs.google.com/document/d/1df_q7FJctM2miPbdPrUsps-OMG3MusnBFgOsWrqP8dE/edit?tab=t.0")</f>
        <v>https://docs.google.com/document/d/1df_q7FJctM2miPbdPrUsps-OMG3MusnBFgOsWrqP8dE/edit?tab=t.0</v>
      </c>
      <c r="M370" s="20"/>
      <c r="N370" s="20"/>
      <c r="O370" s="20"/>
      <c r="P370" s="20"/>
    </row>
    <row r="371">
      <c r="A371" s="97">
        <f>IFERROR(__xludf.DUMMYFUNCTION("""COMPUTED_VALUE"""),46092.0)</f>
        <v>46092</v>
      </c>
      <c r="B371" s="97" t="str">
        <f>IFERROR(__xludf.DUMMYFUNCTION("""COMPUTED_VALUE"""),"2603D049")</f>
        <v>2603D049</v>
      </c>
      <c r="C371" s="76" t="str">
        <f>IFERROR(__xludf.DUMMYFUNCTION("""COMPUTED_VALUE"""),"Adee W")</f>
        <v>Adee W</v>
      </c>
      <c r="D371" s="76" t="str">
        <f>IFERROR(__xludf.DUMMYFUNCTION("""COMPUTED_VALUE"""),"082399441109")</f>
        <v>082399441109</v>
      </c>
      <c r="E371" s="25" t="str">
        <f>IFERROR(__xludf.DUMMYFUNCTION("""COMPUTED_VALUE"""),"Lainnya")</f>
        <v>Lainnya</v>
      </c>
      <c r="F371" s="25" t="str">
        <f>IFERROR(__xludf.DUMMYFUNCTION("""COMPUTED_VALUE"""),"Gagal")</f>
        <v>Gagal</v>
      </c>
      <c r="G371" s="25" t="str">
        <f>IFERROR(__xludf.DUMMYFUNCTION("""COMPUTED_VALUE"""),"open trip kawah ijen")</f>
        <v>open trip kawah ijen</v>
      </c>
      <c r="H371" s="92"/>
      <c r="I371" s="80">
        <f>IFERROR(__xludf.DUMMYFUNCTION("""COMPUTED_VALUE"""),1.0)</f>
        <v>1</v>
      </c>
      <c r="J371" s="93">
        <f>IFERROR(__xludf.DUMMYFUNCTION("""COMPUTED_VALUE"""),250000.0)</f>
        <v>250000</v>
      </c>
      <c r="K371" s="19" t="str">
        <f>IFERROR(__xludf.DUMMYFUNCTION("""COMPUTED_VALUE"""),"tiket pesawat papua mahal")</f>
        <v>tiket pesawat papua mahal</v>
      </c>
      <c r="L371" s="123" t="str">
        <f>IFERROR(__xludf.DUMMYFUNCTION("""COMPUTED_VALUE"""),"https://docs.google.com/document/d/1R0SwkfU3rmENN0-JKEl51IrzLlGkZ_b0tpxlpFEpfcE/edit?tab=t.00")</f>
        <v>https://docs.google.com/document/d/1R0SwkfU3rmENN0-JKEl51IrzLlGkZ_b0tpxlpFEpfcE/edit?tab=t.00</v>
      </c>
      <c r="M371" s="20"/>
      <c r="N371" s="20"/>
      <c r="O371" s="20"/>
      <c r="P371" s="20"/>
    </row>
    <row r="372">
      <c r="A372" s="110">
        <f>IFERROR(__xludf.DUMMYFUNCTION("""COMPUTED_VALUE"""),46092.0)</f>
        <v>46092</v>
      </c>
      <c r="B372" s="110" t="str">
        <f>IFERROR(__xludf.DUMMYFUNCTION("""COMPUTED_VALUE"""),"2603D050")</f>
        <v>2603D050</v>
      </c>
      <c r="C372" s="49" t="str">
        <f>IFERROR(__xludf.DUMMYFUNCTION("""COMPUTED_VALUE"""),"Zakiaaaaa")</f>
        <v>Zakiaaaaa</v>
      </c>
      <c r="D372" s="102" t="str">
        <f>IFERROR(__xludf.DUMMYFUNCTION("""COMPUTED_VALUE"""),"089657364735")</f>
        <v>089657364735</v>
      </c>
      <c r="E372" s="25" t="str">
        <f>IFERROR(__xludf.DUMMYFUNCTION("""COMPUTED_VALUE"""),"Instagram")</f>
        <v>Instagram</v>
      </c>
      <c r="F372" s="25" t="str">
        <f>IFERROR(__xludf.DUMMYFUNCTION("""COMPUTED_VALUE"""),"Gagal")</f>
        <v>Gagal</v>
      </c>
      <c r="G372" s="25" t="str">
        <f>IFERROR(__xludf.DUMMYFUNCTION("""COMPUTED_VALUE"""),"2H1M opsi A")</f>
        <v>2H1M opsi A</v>
      </c>
      <c r="H372" s="78"/>
      <c r="I372" s="89">
        <f>IFERROR(__xludf.DUMMYFUNCTION("""COMPUTED_VALUE"""),2.0)</f>
        <v>2</v>
      </c>
      <c r="J372" s="33">
        <f>IFERROR(__xludf.DUMMYFUNCTION("""COMPUTED_VALUE"""),4680000.0)</f>
        <v>4680000</v>
      </c>
      <c r="K372" s="30" t="str">
        <f>IFERROR(__xludf.DUMMYFUNCTION("""COMPUTED_VALUE"""),"ga ada balasan, sudah fu 5x")</f>
        <v>ga ada balasan, sudah fu 5x</v>
      </c>
      <c r="L372" s="81" t="str">
        <f>IFERROR(__xludf.DUMMYFUNCTION("""COMPUTED_VALUE"""),"https://docs.google.com/document/d/1DrXYffe2okACDr27gjitlEII78Wzy80s_I7zecCY8jw/edit?tab=t.0")</f>
        <v>https://docs.google.com/document/d/1DrXYffe2okACDr27gjitlEII78Wzy80s_I7zecCY8jw/edit?tab=t.0</v>
      </c>
      <c r="M372" s="20"/>
      <c r="N372" s="20"/>
      <c r="O372" s="20"/>
      <c r="P372" s="20"/>
    </row>
    <row r="373">
      <c r="A373" s="97">
        <f>IFERROR(__xludf.DUMMYFUNCTION("""COMPUTED_VALUE"""),46092.0)</f>
        <v>46092</v>
      </c>
      <c r="B373" s="97" t="str">
        <f>IFERROR(__xludf.DUMMYFUNCTION("""COMPUTED_VALUE"""),"2603D051")</f>
        <v>2603D051</v>
      </c>
      <c r="C373" s="76" t="str">
        <f>IFERROR(__xludf.DUMMYFUNCTION("""COMPUTED_VALUE"""),"Syemi")</f>
        <v>Syemi</v>
      </c>
      <c r="D373" s="99" t="str">
        <f>IFERROR(__xludf.DUMMYFUNCTION("""COMPUTED_VALUE"""),"082187073907")</f>
        <v>082187073907</v>
      </c>
      <c r="E373" s="25" t="str">
        <f>IFERROR(__xludf.DUMMYFUNCTION("""COMPUTED_VALUE"""),"Instagram")</f>
        <v>Instagram</v>
      </c>
      <c r="F373" s="25" t="str">
        <f>IFERROR(__xludf.DUMMYFUNCTION("""COMPUTED_VALUE"""),"Gagal")</f>
        <v>Gagal</v>
      </c>
      <c r="G373" s="25" t="str">
        <f>IFERROR(__xludf.DUMMYFUNCTION("""COMPUTED_VALUE"""),"1D Djawatan Baluran ")</f>
        <v>1D Djawatan Baluran </v>
      </c>
      <c r="H373" s="92">
        <f>IFERROR(__xludf.DUMMYFUNCTION("""COMPUTED_VALUE"""),46147.0)</f>
        <v>46147</v>
      </c>
      <c r="I373" s="80">
        <f>IFERROR(__xludf.DUMMYFUNCTION("""COMPUTED_VALUE"""),3.0)</f>
        <v>3</v>
      </c>
      <c r="J373" s="93">
        <f>IFERROR(__xludf.DUMMYFUNCTION("""COMPUTED_VALUE"""),1875000.0)</f>
        <v>1875000</v>
      </c>
      <c r="K373" s="19" t="str">
        <f>IFERROR(__xludf.DUMMYFUNCTION("""COMPUTED_VALUE"""),"tidak jadi ke banyuwangiii")</f>
        <v>tidak jadi ke banyuwangiii</v>
      </c>
      <c r="L373" s="88" t="str">
        <f>IFERROR(__xludf.DUMMYFUNCTION("""COMPUTED_VALUE"""),"https://docs.google.com/document/d/1clmkzgr9YtTHfUz8Nxubt3phUlaV_FgZviQJQc-3wY0/edit?tab=t.0")</f>
        <v>https://docs.google.com/document/d/1clmkzgr9YtTHfUz8Nxubt3phUlaV_FgZviQJQc-3wY0/edit?tab=t.0</v>
      </c>
      <c r="M373" s="20"/>
      <c r="N373" s="20"/>
      <c r="O373" s="20"/>
      <c r="P373" s="20"/>
    </row>
    <row r="374">
      <c r="A374" s="110">
        <f>IFERROR(__xludf.DUMMYFUNCTION("""COMPUTED_VALUE"""),46092.0)</f>
        <v>46092</v>
      </c>
      <c r="B374" s="110" t="str">
        <f>IFERROR(__xludf.DUMMYFUNCTION("""COMPUTED_VALUE"""),"2603D052")</f>
        <v>2603D052</v>
      </c>
      <c r="C374" s="49" t="str">
        <f>IFERROR(__xludf.DUMMYFUNCTION("""COMPUTED_VALUE"""),"Irine")</f>
        <v>Irine</v>
      </c>
      <c r="D374" s="102" t="str">
        <f>IFERROR(__xludf.DUMMYFUNCTION("""COMPUTED_VALUE"""),"081250667985")</f>
        <v>081250667985</v>
      </c>
      <c r="E374" s="25" t="str">
        <f>IFERROR(__xludf.DUMMYFUNCTION("""COMPUTED_VALUE"""),"Instagram")</f>
        <v>Instagram</v>
      </c>
      <c r="F374" s="25" t="str">
        <f>IFERROR(__xludf.DUMMYFUNCTION("""COMPUTED_VALUE"""),"Closing")</f>
        <v>Closing</v>
      </c>
      <c r="G374" s="25" t="str">
        <f>IFERROR(__xludf.DUMMYFUNCTION("""COMPUTED_VALUE"""),"open trip 3H2M ")</f>
        <v>open trip 3H2M </v>
      </c>
      <c r="H374" s="78"/>
      <c r="I374" s="89">
        <f>IFERROR(__xludf.DUMMYFUNCTION("""COMPUTED_VALUE"""),3.0)</f>
        <v>3</v>
      </c>
      <c r="J374" s="96">
        <f>IFERROR(__xludf.DUMMYFUNCTION("""COMPUTED_VALUE"""),4800000.0)</f>
        <v>4800000</v>
      </c>
      <c r="K374" s="30" t="str">
        <f>IFERROR(__xludf.DUMMYFUNCTION("""COMPUTED_VALUE"""),"teman syafira")</f>
        <v>teman syafira</v>
      </c>
      <c r="L374" s="49"/>
      <c r="M374" s="20"/>
      <c r="N374" s="20"/>
      <c r="O374" s="20"/>
      <c r="P374" s="20"/>
    </row>
    <row r="375">
      <c r="A375" s="97">
        <f>IFERROR(__xludf.DUMMYFUNCTION("""COMPUTED_VALUE"""),46092.0)</f>
        <v>46092</v>
      </c>
      <c r="B375" s="97" t="str">
        <f>IFERROR(__xludf.DUMMYFUNCTION("""COMPUTED_VALUE"""),"2603D053")</f>
        <v>2603D053</v>
      </c>
      <c r="C375" s="76" t="str">
        <f>IFERROR(__xludf.DUMMYFUNCTION("""COMPUTED_VALUE"""),"Rian Surya Kesuma")</f>
        <v>Rian Surya Kesuma</v>
      </c>
      <c r="D375" s="99" t="str">
        <f>IFERROR(__xludf.DUMMYFUNCTION("""COMPUTED_VALUE"""),"0895616877302")</f>
        <v>0895616877302</v>
      </c>
      <c r="E375" s="25" t="str">
        <f>IFERROR(__xludf.DUMMYFUNCTION("""COMPUTED_VALUE"""),"Instagram")</f>
        <v>Instagram</v>
      </c>
      <c r="F375" s="25" t="str">
        <f>IFERROR(__xludf.DUMMYFUNCTION("""COMPUTED_VALUE"""),"Gagal")</f>
        <v>Gagal</v>
      </c>
      <c r="G375" s="25" t="str">
        <f>IFERROR(__xludf.DUMMYFUNCTION("""COMPUTED_VALUE"""),"Ijen")</f>
        <v>Ijen</v>
      </c>
      <c r="H375" s="92">
        <f>IFERROR(__xludf.DUMMYFUNCTION("""COMPUTED_VALUE"""),46142.0)</f>
        <v>46142</v>
      </c>
      <c r="I375" s="80">
        <f>IFERROR(__xludf.DUMMYFUNCTION("""COMPUTED_VALUE"""),30.0)</f>
        <v>30</v>
      </c>
      <c r="J375" s="93">
        <f>IFERROR(__xludf.DUMMYFUNCTION("""COMPUTED_VALUE"""),1.05E7)</f>
        <v>10500000</v>
      </c>
      <c r="K375" s="46" t="str">
        <f>IFERROR(__xludf.DUMMYFUNCTION("""COMPUTED_VALUE"""),"batal karena pembatasan perjalanan dinas")</f>
        <v>batal karena pembatasan perjalanan dinas</v>
      </c>
      <c r="L375" s="88" t="str">
        <f>IFERROR(__xludf.DUMMYFUNCTION("""COMPUTED_VALUE"""),"https://docs.google.com/document/d/1_HeGTxRIzQ-C5-_9AoXFNAknHJX6n5zs9PDKkXjDJaY/edit?tab=t.0")</f>
        <v>https://docs.google.com/document/d/1_HeGTxRIzQ-C5-_9AoXFNAknHJX6n5zs9PDKkXjDJaY/edit?tab=t.0</v>
      </c>
      <c r="M375" s="20"/>
      <c r="N375" s="20"/>
      <c r="O375" s="20"/>
      <c r="P375" s="20"/>
    </row>
    <row r="376">
      <c r="A376" s="97">
        <f>IFERROR(__xludf.DUMMYFUNCTION("""COMPUTED_VALUE"""),46092.0)</f>
        <v>46092</v>
      </c>
      <c r="B376" s="97" t="str">
        <f>IFERROR(__xludf.DUMMYFUNCTION("""COMPUTED_VALUE"""),"2603D054")</f>
        <v>2603D054</v>
      </c>
      <c r="C376" s="76" t="str">
        <f>IFERROR(__xludf.DUMMYFUNCTION("""COMPUTED_VALUE"""),"Desi Simbolon")</f>
        <v>Desi Simbolon</v>
      </c>
      <c r="D376" s="99" t="str">
        <f>IFERROR(__xludf.DUMMYFUNCTION("""COMPUTED_VALUE"""),"081513924119")</f>
        <v>081513924119</v>
      </c>
      <c r="E376" s="25" t="str">
        <f>IFERROR(__xludf.DUMMYFUNCTION("""COMPUTED_VALUE"""),"Instagram")</f>
        <v>Instagram</v>
      </c>
      <c r="F376" s="25" t="str">
        <f>IFERROR(__xludf.DUMMYFUNCTION("""COMPUTED_VALUE"""),"Closing")</f>
        <v>Closing</v>
      </c>
      <c r="G376" s="25" t="str">
        <f>IFERROR(__xludf.DUMMYFUNCTION("""COMPUTED_VALUE"""),"trip pulau")</f>
        <v>trip pulau</v>
      </c>
      <c r="H376" s="92">
        <f>IFERROR(__xludf.DUMMYFUNCTION("""COMPUTED_VALUE"""),46104.0)</f>
        <v>46104</v>
      </c>
      <c r="I376" s="80">
        <f>IFERROR(__xludf.DUMMYFUNCTION("""COMPUTED_VALUE"""),1.0)</f>
        <v>1</v>
      </c>
      <c r="J376" s="93"/>
      <c r="K376" s="46" t="str">
        <f>IFERROR(__xludf.DUMMYFUNCTION("""COMPUTED_VALUE"""),"Teman astrid")</f>
        <v>Teman astrid</v>
      </c>
      <c r="L376" s="76"/>
      <c r="M376" s="20"/>
      <c r="N376" s="20"/>
      <c r="O376" s="20"/>
      <c r="P376" s="20"/>
    </row>
    <row r="377">
      <c r="A377" s="110">
        <f>IFERROR(__xludf.DUMMYFUNCTION("""COMPUTED_VALUE"""),46093.0)</f>
        <v>46093</v>
      </c>
      <c r="B377" s="110" t="str">
        <f>IFERROR(__xludf.DUMMYFUNCTION("""COMPUTED_VALUE"""),"2603D055")</f>
        <v>2603D055</v>
      </c>
      <c r="C377" s="49" t="str">
        <f>IFERROR(__xludf.DUMMYFUNCTION("""COMPUTED_VALUE"""),"Melisa")</f>
        <v>Melisa</v>
      </c>
      <c r="D377" s="102" t="str">
        <f>IFERROR(__xludf.DUMMYFUNCTION("""COMPUTED_VALUE"""),"081807251858")</f>
        <v>081807251858</v>
      </c>
      <c r="E377" s="25" t="str">
        <f>IFERROR(__xludf.DUMMYFUNCTION("""COMPUTED_VALUE"""),"Website")</f>
        <v>Website</v>
      </c>
      <c r="F377" s="25" t="str">
        <f>IFERROR(__xludf.DUMMYFUNCTION("""COMPUTED_VALUE"""),"Gagal")</f>
        <v>Gagal</v>
      </c>
      <c r="G377" s="25" t="str">
        <f>IFERROR(__xludf.DUMMYFUNCTION("""COMPUTED_VALUE"""),"3H2M atau 2H1M")</f>
        <v>3H2M atau 2H1M</v>
      </c>
      <c r="H377" s="92">
        <f>IFERROR(__xludf.DUMMYFUNCTION("""COMPUTED_VALUE"""),46118.0)</f>
        <v>46118</v>
      </c>
      <c r="I377" s="89">
        <f>IFERROR(__xludf.DUMMYFUNCTION("""COMPUTED_VALUE"""),2.0)</f>
        <v>2</v>
      </c>
      <c r="J377" s="96"/>
      <c r="K377" s="36" t="str">
        <f>IFERROR(__xludf.DUMMYFUNCTION("""COMPUTED_VALUE"""),"gagal, rencana mau ke taman galuh")</f>
        <v>gagal, rencana mau ke taman galuh</v>
      </c>
      <c r="L377" s="88" t="str">
        <f>IFERROR(__xludf.DUMMYFUNCTION("""COMPUTED_VALUE"""),"https://docs.google.com/document/d/1hs7UjwoC-istj2tIDwMFr0DLvm3fruHWD2efike5fJw/edit?tab=t.0")</f>
        <v>https://docs.google.com/document/d/1hs7UjwoC-istj2tIDwMFr0DLvm3fruHWD2efike5fJw/edit?tab=t.0</v>
      </c>
      <c r="M377" s="20"/>
      <c r="N377" s="20"/>
      <c r="O377" s="20"/>
      <c r="P377" s="20"/>
    </row>
    <row r="378">
      <c r="A378" s="97">
        <f>IFERROR(__xludf.DUMMYFUNCTION("""COMPUTED_VALUE"""),46093.0)</f>
        <v>46093</v>
      </c>
      <c r="B378" s="97" t="str">
        <f>IFERROR(__xludf.DUMMYFUNCTION("""COMPUTED_VALUE"""),"2603D056")</f>
        <v>2603D056</v>
      </c>
      <c r="C378" s="76" t="str">
        <f>IFERROR(__xludf.DUMMYFUNCTION("""COMPUTED_VALUE"""),"Krisna Buana")</f>
        <v>Krisna Buana</v>
      </c>
      <c r="D378" s="99" t="str">
        <f>IFERROR(__xludf.DUMMYFUNCTION("""COMPUTED_VALUE"""),"0895387055527")</f>
        <v>0895387055527</v>
      </c>
      <c r="E378" s="25" t="str">
        <f>IFERROR(__xludf.DUMMYFUNCTION("""COMPUTED_VALUE"""),"Instagram")</f>
        <v>Instagram</v>
      </c>
      <c r="F378" s="25" t="str">
        <f>IFERROR(__xludf.DUMMYFUNCTION("""COMPUTED_VALUE"""),"Leads Baru")</f>
        <v>Leads Baru</v>
      </c>
      <c r="G378" s="25" t="str">
        <f>IFERROR(__xludf.DUMMYFUNCTION("""COMPUTED_VALUE"""),"3H2M")</f>
        <v>3H2M</v>
      </c>
      <c r="H378" s="92"/>
      <c r="I378" s="17"/>
      <c r="J378" s="54"/>
      <c r="K378" s="19" t="str">
        <f>IFERROR(__xludf.DUMMYFUNCTION("""COMPUTED_VALUE"""),"FU 16 Juni")</f>
        <v>FU 16 Juni</v>
      </c>
      <c r="L378" s="88" t="str">
        <f>IFERROR(__xludf.DUMMYFUNCTION("""COMPUTED_VALUE"""),"https://docs.google.com/document/d/1v6M6NA7UTXTt-9f8yhvKPLRJ9Zr_LobMfCv6MzzVjYU/edit?tab=t.0")</f>
        <v>https://docs.google.com/document/d/1v6M6NA7UTXTt-9f8yhvKPLRJ9Zr_LobMfCv6MzzVjYU/edit?tab=t.0</v>
      </c>
      <c r="M378" s="20"/>
      <c r="N378" s="20"/>
      <c r="O378" s="20"/>
      <c r="P378" s="20"/>
    </row>
    <row r="379">
      <c r="A379" s="110">
        <f>IFERROR(__xludf.DUMMYFUNCTION("""COMPUTED_VALUE"""),46094.0)</f>
        <v>46094</v>
      </c>
      <c r="B379" s="110" t="str">
        <f>IFERROR(__xludf.DUMMYFUNCTION("""COMPUTED_VALUE"""),"2603D057")</f>
        <v>2603D057</v>
      </c>
      <c r="C379" s="49" t="str">
        <f>IFERROR(__xludf.DUMMYFUNCTION("""COMPUTED_VALUE"""),"Leyla")</f>
        <v>Leyla</v>
      </c>
      <c r="D379" s="102" t="str">
        <f>IFERROR(__xludf.DUMMYFUNCTION("""COMPUTED_VALUE"""),"085747432346")</f>
        <v>085747432346</v>
      </c>
      <c r="E379" s="25" t="str">
        <f>IFERROR(__xludf.DUMMYFUNCTION("""COMPUTED_VALUE"""),"Instagram")</f>
        <v>Instagram</v>
      </c>
      <c r="F379" s="25" t="str">
        <f>IFERROR(__xludf.DUMMYFUNCTION("""COMPUTED_VALUE"""),"Gagal")</f>
        <v>Gagal</v>
      </c>
      <c r="G379" s="25"/>
      <c r="H379" s="78"/>
      <c r="I379" s="89"/>
      <c r="J379" s="96"/>
      <c r="K379" s="36" t="str">
        <f>IFERROR(__xludf.DUMMYFUNCTION("""COMPUTED_VALUE"""),"hanya menyapa, tidak ada jawaban, gagal")</f>
        <v>hanya menyapa, tidak ada jawaban, gagal</v>
      </c>
      <c r="L379" s="49"/>
      <c r="M379" s="20"/>
      <c r="N379" s="20"/>
      <c r="O379" s="20"/>
      <c r="P379" s="20"/>
    </row>
    <row r="380">
      <c r="A380" s="97">
        <f>IFERROR(__xludf.DUMMYFUNCTION("""COMPUTED_VALUE"""),46094.0)</f>
        <v>46094</v>
      </c>
      <c r="B380" s="97" t="str">
        <f>IFERROR(__xludf.DUMMYFUNCTION("""COMPUTED_VALUE"""),"2603D058")</f>
        <v>2603D058</v>
      </c>
      <c r="C380" s="76" t="str">
        <f>IFERROR(__xludf.DUMMYFUNCTION("""COMPUTED_VALUE"""),"Deni")</f>
        <v>Deni</v>
      </c>
      <c r="D380" s="99" t="str">
        <f>IFERROR(__xludf.DUMMYFUNCTION("""COMPUTED_VALUE"""),"087824774118")</f>
        <v>087824774118</v>
      </c>
      <c r="E380" s="25" t="str">
        <f>IFERROR(__xludf.DUMMYFUNCTION("""COMPUTED_VALUE"""),"Lainnya")</f>
        <v>Lainnya</v>
      </c>
      <c r="F380" s="25" t="str">
        <f>IFERROR(__xludf.DUMMYFUNCTION("""COMPUTED_VALUE"""),"Gagal")</f>
        <v>Gagal</v>
      </c>
      <c r="G380" s="25" t="str">
        <f>IFERROR(__xludf.DUMMYFUNCTION("""COMPUTED_VALUE"""),"3H2M opsi A")</f>
        <v>3H2M opsi A</v>
      </c>
      <c r="H380" s="16"/>
      <c r="I380" s="17">
        <f>IFERROR(__xludf.DUMMYFUNCTION("""COMPUTED_VALUE"""),46364.0)</f>
        <v>46364</v>
      </c>
      <c r="J380" s="54">
        <f>IFERROR(__xludf.DUMMYFUNCTION("""COMPUTED_VALUE"""),1.0504E7)</f>
        <v>10504000</v>
      </c>
      <c r="K380" s="46" t="str">
        <f>IFERROR(__xludf.DUMMYFUNCTION("""COMPUTED_VALUE"""),"sudah FU ga balasss")</f>
        <v>sudah FU ga balasss</v>
      </c>
      <c r="L380" s="100" t="str">
        <f>IFERROR(__xludf.DUMMYFUNCTION("""COMPUTED_VALUE"""),"https://docs.google.com/document/d/1yEog4NDlXHKwLQBJcgy3JZ0SiIXrLRif4gzl5qr0HHk/edit?tab=t.0")</f>
        <v>https://docs.google.com/document/d/1yEog4NDlXHKwLQBJcgy3JZ0SiIXrLRif4gzl5qr0HHk/edit?tab=t.0</v>
      </c>
      <c r="M380" s="20"/>
      <c r="N380" s="20"/>
      <c r="O380" s="20"/>
      <c r="P380" s="20"/>
    </row>
    <row r="381">
      <c r="A381" s="110">
        <f>IFERROR(__xludf.DUMMYFUNCTION("""COMPUTED_VALUE"""),46094.0)</f>
        <v>46094</v>
      </c>
      <c r="B381" s="110" t="str">
        <f>IFERROR(__xludf.DUMMYFUNCTION("""COMPUTED_VALUE"""),"2603D059")</f>
        <v>2603D059</v>
      </c>
      <c r="C381" s="49" t="str">
        <f>IFERROR(__xludf.DUMMYFUNCTION("""COMPUTED_VALUE"""),"Gracia")</f>
        <v>Gracia</v>
      </c>
      <c r="D381" s="102" t="str">
        <f>IFERROR(__xludf.DUMMYFUNCTION("""COMPUTED_VALUE"""),"081257278990")</f>
        <v>081257278990</v>
      </c>
      <c r="E381" s="25" t="str">
        <f>IFERROR(__xludf.DUMMYFUNCTION("""COMPUTED_VALUE"""),"Instagram")</f>
        <v>Instagram</v>
      </c>
      <c r="F381" s="25" t="str">
        <f>IFERROR(__xludf.DUMMYFUNCTION("""COMPUTED_VALUE"""),"Closing")</f>
        <v>Closing</v>
      </c>
      <c r="G381" s="25" t="str">
        <f>IFERROR(__xludf.DUMMYFUNCTION("""COMPUTED_VALUE"""),"1D Djawatan Baluran ")</f>
        <v>1D Djawatan Baluran </v>
      </c>
      <c r="H381" s="78"/>
      <c r="I381" s="27">
        <f>IFERROR(__xludf.DUMMYFUNCTION("""COMPUTED_VALUE"""),4.0)</f>
        <v>4</v>
      </c>
      <c r="J381" s="96">
        <f>IFERROR(__xludf.DUMMYFUNCTION("""COMPUTED_VALUE"""),2188000.0)</f>
        <v>2188000</v>
      </c>
      <c r="K381" s="30" t="str">
        <f>IFERROR(__xludf.DUMMYFUNCTION("""COMPUTED_VALUE"""),"masih tanya2")</f>
        <v>masih tanya2</v>
      </c>
      <c r="L381" s="81" t="str">
        <f>IFERROR(__xludf.DUMMYFUNCTION("""COMPUTED_VALUE"""),"https://docs.google.com/document/d/1yQCCZaWiCQ5JIWpbhGA3jrnyRCX2R8WnalBaLgzrcxs/edit?tab=t.0")</f>
        <v>https://docs.google.com/document/d/1yQCCZaWiCQ5JIWpbhGA3jrnyRCX2R8WnalBaLgzrcxs/edit?tab=t.0</v>
      </c>
      <c r="M381" s="20"/>
      <c r="N381" s="20"/>
      <c r="O381" s="20"/>
      <c r="P381" s="20"/>
    </row>
    <row r="382">
      <c r="A382" s="97">
        <f>IFERROR(__xludf.DUMMYFUNCTION("""COMPUTED_VALUE"""),46095.0)</f>
        <v>46095</v>
      </c>
      <c r="B382" s="97" t="str">
        <f>IFERROR(__xludf.DUMMYFUNCTION("""COMPUTED_VALUE"""),"2603D060")</f>
        <v>2603D060</v>
      </c>
      <c r="C382" s="76" t="str">
        <f>IFERROR(__xludf.DUMMYFUNCTION("""COMPUTED_VALUE"""),"Sikna")</f>
        <v>Sikna</v>
      </c>
      <c r="D382" s="99" t="str">
        <f>IFERROR(__xludf.DUMMYFUNCTION("""COMPUTED_VALUE"""),"087741062741")</f>
        <v>087741062741</v>
      </c>
      <c r="E382" s="25" t="str">
        <f>IFERROR(__xludf.DUMMYFUNCTION("""COMPUTED_VALUE"""),"Instagram")</f>
        <v>Instagram</v>
      </c>
      <c r="F382" s="25" t="str">
        <f>IFERROR(__xludf.DUMMYFUNCTION("""COMPUTED_VALUE"""),"Closing")</f>
        <v>Closing</v>
      </c>
      <c r="G382" s="25" t="str">
        <f>IFERROR(__xludf.DUMMYFUNCTION("""COMPUTED_VALUE"""),"1D Menjangan Tabuhan")</f>
        <v>1D Menjangan Tabuhan</v>
      </c>
      <c r="H382" s="92">
        <f>IFERROR(__xludf.DUMMYFUNCTION("""COMPUTED_VALUE"""),46115.0)</f>
        <v>46115</v>
      </c>
      <c r="I382" s="80">
        <f>IFERROR(__xludf.DUMMYFUNCTION("""COMPUTED_VALUE"""),4.0)</f>
        <v>4</v>
      </c>
      <c r="J382" s="93">
        <f>IFERROR(__xludf.DUMMYFUNCTION("""COMPUTED_VALUE"""),2000000.0)</f>
        <v>2000000</v>
      </c>
      <c r="K382" s="19" t="str">
        <f>IFERROR(__xludf.DUMMYFUNCTION("""COMPUTED_VALUE"""),"ORDERRRRRRR")</f>
        <v>ORDERRRRRRR</v>
      </c>
      <c r="L382" s="88" t="str">
        <f>IFERROR(__xludf.DUMMYFUNCTION("""COMPUTED_VALUE"""),"https://docs.google.com/document/d/1Bjkz56EKprWrZ2GCMvaVu5KWkYcXWDCTqjrmUyGT-Tw/edit?tab=t.0")</f>
        <v>https://docs.google.com/document/d/1Bjkz56EKprWrZ2GCMvaVu5KWkYcXWDCTqjrmUyGT-Tw/edit?tab=t.0</v>
      </c>
      <c r="M382" s="20"/>
      <c r="N382" s="20"/>
      <c r="O382" s="20"/>
      <c r="P382" s="20"/>
    </row>
    <row r="383">
      <c r="A383" s="110">
        <f>IFERROR(__xludf.DUMMYFUNCTION("""COMPUTED_VALUE"""),46095.0)</f>
        <v>46095</v>
      </c>
      <c r="B383" s="110" t="str">
        <f>IFERROR(__xludf.DUMMYFUNCTION("""COMPUTED_VALUE"""),"2603D061")</f>
        <v>2603D061</v>
      </c>
      <c r="C383" s="49" t="str">
        <f>IFERROR(__xludf.DUMMYFUNCTION("""COMPUTED_VALUE"""),"Sistha Widita")</f>
        <v>Sistha Widita</v>
      </c>
      <c r="D383" s="102" t="str">
        <f>IFERROR(__xludf.DUMMYFUNCTION("""COMPUTED_VALUE"""),"08117338635")</f>
        <v>08117338635</v>
      </c>
      <c r="E383" s="25" t="str">
        <f>IFERROR(__xludf.DUMMYFUNCTION("""COMPUTED_VALUE"""),"Instagram")</f>
        <v>Instagram</v>
      </c>
      <c r="F383" s="25" t="str">
        <f>IFERROR(__xludf.DUMMYFUNCTION("""COMPUTED_VALUE"""),"Gagal")</f>
        <v>Gagal</v>
      </c>
      <c r="G383" s="25" t="str">
        <f>IFERROR(__xludf.DUMMYFUNCTION("""COMPUTED_VALUE"""),"open trip Menjangan Baluran ")</f>
        <v>open trip Menjangan Baluran </v>
      </c>
      <c r="H383" s="78"/>
      <c r="I383" s="89">
        <f>IFERROR(__xludf.DUMMYFUNCTION("""COMPUTED_VALUE"""),2.0)</f>
        <v>2</v>
      </c>
      <c r="J383" s="96"/>
      <c r="K383" s="30" t="str">
        <f>IFERROR(__xludf.DUMMYFUNCTION("""COMPUTED_VALUE"""),"belum ada jawaban sudah FU")</f>
        <v>belum ada jawaban sudah FU</v>
      </c>
      <c r="L383" s="81" t="str">
        <f>IFERROR(__xludf.DUMMYFUNCTION("""COMPUTED_VALUE"""),"https://docs.google.com/document/d/1lJn3aSbbYIwiJo0lRHF_ZvxduZACeVkcnXIm7_w03N8/edit?tab=t.0")</f>
        <v>https://docs.google.com/document/d/1lJn3aSbbYIwiJo0lRHF_ZvxduZACeVkcnXIm7_w03N8/edit?tab=t.0</v>
      </c>
      <c r="M383" s="20"/>
      <c r="N383" s="20"/>
      <c r="O383" s="20"/>
      <c r="P383" s="20"/>
    </row>
    <row r="384">
      <c r="A384" s="97">
        <f>IFERROR(__xludf.DUMMYFUNCTION("""COMPUTED_VALUE"""),45938.0)</f>
        <v>45938</v>
      </c>
      <c r="B384" s="97" t="str">
        <f>IFERROR(__xludf.DUMMYFUNCTION("""COMPUTED_VALUE"""),"2510D027")</f>
        <v>2510D027</v>
      </c>
      <c r="C384" s="76" t="str">
        <f>IFERROR(__xludf.DUMMYFUNCTION("""COMPUTED_VALUE"""),"Hanny Nurhayati")</f>
        <v>Hanny Nurhayati</v>
      </c>
      <c r="D384" s="99" t="str">
        <f>IFERROR(__xludf.DUMMYFUNCTION("""COMPUTED_VALUE"""),"085694425986")</f>
        <v>085694425986</v>
      </c>
      <c r="E384" s="25" t="str">
        <f>IFERROR(__xludf.DUMMYFUNCTION("""COMPUTED_VALUE"""),"Instagram")</f>
        <v>Instagram</v>
      </c>
      <c r="F384" s="25" t="str">
        <f>IFERROR(__xludf.DUMMYFUNCTION("""COMPUTED_VALUE"""),"Closing")</f>
        <v>Closing</v>
      </c>
      <c r="G384" s="25" t="str">
        <f>IFERROR(__xludf.DUMMYFUNCTION("""COMPUTED_VALUE"""),"4H3M  custom")</f>
        <v>4H3M  custom</v>
      </c>
      <c r="H384" s="92"/>
      <c r="I384" s="80">
        <f>IFERROR(__xludf.DUMMYFUNCTION("""COMPUTED_VALUE"""),9.0)</f>
        <v>9</v>
      </c>
      <c r="J384" s="93">
        <f>IFERROR(__xludf.DUMMYFUNCTION("""COMPUTED_VALUE"""),1.71E7)</f>
        <v>17100000</v>
      </c>
      <c r="K384" s="46" t="str">
        <f>IFERROR(__xludf.DUMMYFUNCTION("""COMPUTED_VALUE"""),"Alhamdulillah order")</f>
        <v>Alhamdulillah order</v>
      </c>
      <c r="L384" s="88" t="str">
        <f>IFERROR(__xludf.DUMMYFUNCTION("""COMPUTED_VALUE"""),"https://docs.google.com/document/d/1luXE2yKrGR-V6Z1XfMyP0WqFccvk5ULuoGn4kfO01T4/edit?tab=t.0")</f>
        <v>https://docs.google.com/document/d/1luXE2yKrGR-V6Z1XfMyP0WqFccvk5ULuoGn4kfO01T4/edit?tab=t.0</v>
      </c>
      <c r="M384" s="20"/>
      <c r="N384" s="20"/>
      <c r="O384" s="20"/>
      <c r="P384" s="20"/>
    </row>
    <row r="385">
      <c r="A385" s="110">
        <f>IFERROR(__xludf.DUMMYFUNCTION("""COMPUTED_VALUE"""),46095.0)</f>
        <v>46095</v>
      </c>
      <c r="B385" s="110" t="str">
        <f>IFERROR(__xludf.DUMMYFUNCTION("""COMPUTED_VALUE"""),"2603D062")</f>
        <v>2603D062</v>
      </c>
      <c r="C385" s="49" t="str">
        <f>IFERROR(__xludf.DUMMYFUNCTION("""COMPUTED_VALUE"""),"Joseph Wibisono ")</f>
        <v>Joseph Wibisono </v>
      </c>
      <c r="D385" s="102" t="str">
        <f>IFERROR(__xludf.DUMMYFUNCTION("""COMPUTED_VALUE"""),"085227893637")</f>
        <v>085227893637</v>
      </c>
      <c r="E385" s="25" t="str">
        <f>IFERROR(__xludf.DUMMYFUNCTION("""COMPUTED_VALUE"""),"Website")</f>
        <v>Website</v>
      </c>
      <c r="F385" s="25" t="str">
        <f>IFERROR(__xludf.DUMMYFUNCTION("""COMPUTED_VALUE"""),"Closing")</f>
        <v>Closing</v>
      </c>
      <c r="G385" s="25" t="str">
        <f>IFERROR(__xludf.DUMMYFUNCTION("""COMPUTED_VALUE"""),"3H2M custome")</f>
        <v>3H2M custome</v>
      </c>
      <c r="H385" s="78"/>
      <c r="I385" s="27">
        <f>IFERROR(__xludf.DUMMYFUNCTION("""COMPUTED_VALUE"""),2.0)</f>
        <v>2</v>
      </c>
      <c r="J385" s="96"/>
      <c r="K385" s="30" t="str">
        <f>IFERROR(__xludf.DUMMYFUNCTION("""COMPUTED_VALUE"""),"ORDERRRRRRR")</f>
        <v>ORDERRRRRRR</v>
      </c>
      <c r="L385" s="88" t="str">
        <f>IFERROR(__xludf.DUMMYFUNCTION("""COMPUTED_VALUE"""),"https://docs.google.com/document/d/1HZzihJyG0jPC4XKKOObEkv1YexYVHyPRa97To4qMWU4/edit?tab=t.0")</f>
        <v>https://docs.google.com/document/d/1HZzihJyG0jPC4XKKOObEkv1YexYVHyPRa97To4qMWU4/edit?tab=t.0</v>
      </c>
      <c r="M385" s="20"/>
      <c r="N385" s="20"/>
      <c r="O385" s="20"/>
      <c r="P385" s="20"/>
    </row>
    <row r="386">
      <c r="A386" s="97">
        <f>IFERROR(__xludf.DUMMYFUNCTION("""COMPUTED_VALUE"""),46095.0)</f>
        <v>46095</v>
      </c>
      <c r="B386" s="97" t="str">
        <f>IFERROR(__xludf.DUMMYFUNCTION("""COMPUTED_VALUE"""),"2603D063")</f>
        <v>2603D063</v>
      </c>
      <c r="C386" s="76" t="str">
        <f>IFERROR(__xludf.DUMMYFUNCTION("""COMPUTED_VALUE"""),"Doffi")</f>
        <v>Doffi</v>
      </c>
      <c r="D386" s="99" t="str">
        <f>IFERROR(__xludf.DUMMYFUNCTION("""COMPUTED_VALUE"""),"087776868837")</f>
        <v>087776868837</v>
      </c>
      <c r="E386" s="25" t="str">
        <f>IFERROR(__xludf.DUMMYFUNCTION("""COMPUTED_VALUE"""),"Instagram")</f>
        <v>Instagram</v>
      </c>
      <c r="F386" s="25" t="str">
        <f>IFERROR(__xludf.DUMMYFUNCTION("""COMPUTED_VALUE"""),"Gagal")</f>
        <v>Gagal</v>
      </c>
      <c r="G386" s="25" t="str">
        <f>IFERROR(__xludf.DUMMYFUNCTION("""COMPUTED_VALUE"""),"3h2m Custom")</f>
        <v>3h2m Custom</v>
      </c>
      <c r="H386" s="92">
        <f>IFERROR(__xludf.DUMMYFUNCTION("""COMPUTED_VALUE"""),46169.0)</f>
        <v>46169</v>
      </c>
      <c r="I386" s="80">
        <f>IFERROR(__xludf.DUMMYFUNCTION("""COMPUTED_VALUE"""),11.0)</f>
        <v>11</v>
      </c>
      <c r="J386" s="93">
        <f>IFERROR(__xludf.DUMMYFUNCTION("""COMPUTED_VALUE"""),1.87E7)</f>
        <v>18700000</v>
      </c>
      <c r="K386" s="19" t="str">
        <f>IFERROR(__xludf.DUMMYFUNCTION("""COMPUTED_VALUE"""),"lewat tgl")</f>
        <v>lewat tgl</v>
      </c>
      <c r="L386" s="88" t="str">
        <f>IFERROR(__xludf.DUMMYFUNCTION("""COMPUTED_VALUE"""),"https://docs.google.com/document/d/1Ao4sruNzpRIli30JfRFhnylp1UVbTGG7X0DOROIUP8Q/edit?tab=t.0")</f>
        <v>https://docs.google.com/document/d/1Ao4sruNzpRIli30JfRFhnylp1UVbTGG7X0DOROIUP8Q/edit?tab=t.0</v>
      </c>
      <c r="M386" s="20"/>
      <c r="N386" s="20"/>
      <c r="O386" s="20"/>
      <c r="P386" s="20"/>
    </row>
    <row r="387">
      <c r="A387" s="110">
        <f>IFERROR(__xludf.DUMMYFUNCTION("""COMPUTED_VALUE"""),46095.0)</f>
        <v>46095</v>
      </c>
      <c r="B387" s="110" t="str">
        <f>IFERROR(__xludf.DUMMYFUNCTION("""COMPUTED_VALUE"""),"2603D064")</f>
        <v>2603D064</v>
      </c>
      <c r="C387" s="49" t="str">
        <f>IFERROR(__xludf.DUMMYFUNCTION("""COMPUTED_VALUE"""),"Lazka Roosie")</f>
        <v>Lazka Roosie</v>
      </c>
      <c r="D387" s="102" t="str">
        <f>IFERROR(__xludf.DUMMYFUNCTION("""COMPUTED_VALUE"""),"085172092079")</f>
        <v>085172092079</v>
      </c>
      <c r="E387" s="25" t="str">
        <f>IFERROR(__xludf.DUMMYFUNCTION("""COMPUTED_VALUE"""),"Instagram")</f>
        <v>Instagram</v>
      </c>
      <c r="F387" s="25" t="str">
        <f>IFERROR(__xludf.DUMMYFUNCTION("""COMPUTED_VALUE"""),"Gagal")</f>
        <v>Gagal</v>
      </c>
      <c r="G387" s="25"/>
      <c r="H387" s="78"/>
      <c r="I387" s="27"/>
      <c r="J387" s="33"/>
      <c r="K387" s="36" t="str">
        <f>IFERROR(__xludf.DUMMYFUNCTION("""COMPUTED_VALUE"""),"tidak memberi tau alasan gagal")</f>
        <v>tidak memberi tau alasan gagal</v>
      </c>
      <c r="L387" s="81" t="str">
        <f>IFERROR(__xludf.DUMMYFUNCTION("""COMPUTED_VALUE"""),"https://docs.google.com/document/d/1NYk73jKp5ShqIU7SVvmCG-eJL8Y_ON9s7ZLPsIiPyTg/edit?tab=t.0")</f>
        <v>https://docs.google.com/document/d/1NYk73jKp5ShqIU7SVvmCG-eJL8Y_ON9s7ZLPsIiPyTg/edit?tab=t.0</v>
      </c>
      <c r="M387" s="20"/>
      <c r="N387" s="20"/>
      <c r="O387" s="20"/>
      <c r="P387" s="20"/>
    </row>
    <row r="388">
      <c r="A388" s="97">
        <f>IFERROR(__xludf.DUMMYFUNCTION("""COMPUTED_VALUE"""),46096.0)</f>
        <v>46096</v>
      </c>
      <c r="B388" s="97" t="str">
        <f>IFERROR(__xludf.DUMMYFUNCTION("""COMPUTED_VALUE"""),"2603D065")</f>
        <v>2603D065</v>
      </c>
      <c r="C388" s="76" t="str">
        <f>IFERROR(__xludf.DUMMYFUNCTION("""COMPUTED_VALUE"""),"Neni")</f>
        <v>Neni</v>
      </c>
      <c r="D388" s="99" t="str">
        <f>IFERROR(__xludf.DUMMYFUNCTION("""COMPUTED_VALUE"""),"081213494140")</f>
        <v>081213494140</v>
      </c>
      <c r="E388" s="25" t="str">
        <f>IFERROR(__xludf.DUMMYFUNCTION("""COMPUTED_VALUE"""),"Instagram")</f>
        <v>Instagram</v>
      </c>
      <c r="F388" s="25" t="str">
        <f>IFERROR(__xludf.DUMMYFUNCTION("""COMPUTED_VALUE"""),"Gagal")</f>
        <v>Gagal</v>
      </c>
      <c r="G388" s="25" t="str">
        <f>IFERROR(__xludf.DUMMYFUNCTION("""COMPUTED_VALUE"""),"Djawatan Baluran ")</f>
        <v>Djawatan Baluran </v>
      </c>
      <c r="H388" s="92">
        <f>IFERROR(__xludf.DUMMYFUNCTION("""COMPUTED_VALUE"""),46105.0)</f>
        <v>46105</v>
      </c>
      <c r="I388" s="80">
        <f>IFERROR(__xludf.DUMMYFUNCTION("""COMPUTED_VALUE"""),2.0)</f>
        <v>2</v>
      </c>
      <c r="J388" s="93">
        <f>IFERROR(__xludf.DUMMYFUNCTION("""COMPUTED_VALUE"""),2280200.0)</f>
        <v>2280200</v>
      </c>
      <c r="K388" s="19" t="str">
        <f>IFERROR(__xludf.DUMMYFUNCTION("""COMPUTED_VALUE"""),"gagal, tidak jawab, lewat tanggal")</f>
        <v>gagal, tidak jawab, lewat tanggal</v>
      </c>
      <c r="L388" s="76"/>
      <c r="M388" s="20"/>
      <c r="N388" s="20"/>
      <c r="O388" s="20"/>
      <c r="P388" s="20"/>
    </row>
    <row r="389">
      <c r="A389" s="110">
        <f>IFERROR(__xludf.DUMMYFUNCTION("""COMPUTED_VALUE"""),46096.0)</f>
        <v>46096</v>
      </c>
      <c r="B389" s="110" t="str">
        <f>IFERROR(__xludf.DUMMYFUNCTION("""COMPUTED_VALUE"""),"2603D066")</f>
        <v>2603D066</v>
      </c>
      <c r="C389" s="49" t="str">
        <f>IFERROR(__xludf.DUMMYFUNCTION("""COMPUTED_VALUE"""),"Nur")</f>
        <v>Nur</v>
      </c>
      <c r="D389" s="102" t="str">
        <f>IFERROR(__xludf.DUMMYFUNCTION("""COMPUTED_VALUE"""),"0895621093883")</f>
        <v>0895621093883</v>
      </c>
      <c r="E389" s="25" t="str">
        <f>IFERROR(__xludf.DUMMYFUNCTION("""COMPUTED_VALUE"""),"Instagram")</f>
        <v>Instagram</v>
      </c>
      <c r="F389" s="25" t="str">
        <f>IFERROR(__xludf.DUMMYFUNCTION("""COMPUTED_VALUE"""),"Gagal")</f>
        <v>Gagal</v>
      </c>
      <c r="G389" s="25" t="str">
        <f>IFERROR(__xludf.DUMMYFUNCTION("""COMPUTED_VALUE"""),"Baluran ")</f>
        <v>Baluran </v>
      </c>
      <c r="H389" s="78"/>
      <c r="I389" s="89">
        <f>IFERROR(__xludf.DUMMYFUNCTION("""COMPUTED_VALUE"""),7.0)</f>
        <v>7</v>
      </c>
      <c r="J389" s="33"/>
      <c r="K389" s="30" t="str">
        <f>IFERROR(__xludf.DUMMYFUNCTION("""COMPUTED_VALUE"""),"belum jadi liburan")</f>
        <v>belum jadi liburan</v>
      </c>
      <c r="L389" s="81" t="str">
        <f>IFERROR(__xludf.DUMMYFUNCTION("""COMPUTED_VALUE"""),"https://docs.google.com/document/d/1azKhDvdH5hhHqmOJX12VjL6z04g3k_AKdJxhxjI9_mE/edit?tab=t.0")</f>
        <v>https://docs.google.com/document/d/1azKhDvdH5hhHqmOJX12VjL6z04g3k_AKdJxhxjI9_mE/edit?tab=t.0</v>
      </c>
      <c r="M389" s="20"/>
      <c r="N389" s="20"/>
      <c r="O389" s="20"/>
      <c r="P389" s="20"/>
    </row>
    <row r="390">
      <c r="A390" s="97">
        <f>IFERROR(__xludf.DUMMYFUNCTION("""COMPUTED_VALUE"""),46097.0)</f>
        <v>46097</v>
      </c>
      <c r="B390" s="97" t="str">
        <f>IFERROR(__xludf.DUMMYFUNCTION("""COMPUTED_VALUE"""),"2603D067")</f>
        <v>2603D067</v>
      </c>
      <c r="C390" s="76" t="str">
        <f>IFERROR(__xludf.DUMMYFUNCTION("""COMPUTED_VALUE"""),"Veren")</f>
        <v>Veren</v>
      </c>
      <c r="D390" s="99" t="str">
        <f>IFERROR(__xludf.DUMMYFUNCTION("""COMPUTED_VALUE"""),"0895630000543")</f>
        <v>0895630000543</v>
      </c>
      <c r="E390" s="25" t="str">
        <f>IFERROR(__xludf.DUMMYFUNCTION("""COMPUTED_VALUE"""),"Rekomendasi")</f>
        <v>Rekomendasi</v>
      </c>
      <c r="F390" s="25" t="str">
        <f>IFERROR(__xludf.DUMMYFUNCTION("""COMPUTED_VALUE"""),"Closing")</f>
        <v>Closing</v>
      </c>
      <c r="G390" s="25" t="str">
        <f>IFERROR(__xludf.DUMMYFUNCTION("""COMPUTED_VALUE"""),"freedive ")</f>
        <v>freedive </v>
      </c>
      <c r="H390" s="92"/>
      <c r="I390" s="80"/>
      <c r="J390" s="93"/>
      <c r="K390" s="19" t="str">
        <f>IFERROR(__xludf.DUMMYFUNCTION("""COMPUTED_VALUE"""),"teman Astria")</f>
        <v>teman Astria</v>
      </c>
      <c r="L390" s="76"/>
      <c r="M390" s="20"/>
      <c r="N390" s="20"/>
      <c r="O390" s="20"/>
      <c r="P390" s="20"/>
    </row>
    <row r="391">
      <c r="A391" s="110">
        <f>IFERROR(__xludf.DUMMYFUNCTION("""COMPUTED_VALUE"""),46097.0)</f>
        <v>46097</v>
      </c>
      <c r="B391" s="97" t="str">
        <f>IFERROR(__xludf.DUMMYFUNCTION("""COMPUTED_VALUE"""),"2603D068")</f>
        <v>2603D068</v>
      </c>
      <c r="C391" s="49" t="str">
        <f>IFERROR(__xludf.DUMMYFUNCTION("""COMPUTED_VALUE"""),"Bayu Setyo")</f>
        <v>Bayu Setyo</v>
      </c>
      <c r="D391" s="102" t="str">
        <f>IFERROR(__xludf.DUMMYFUNCTION("""COMPUTED_VALUE"""),"085158111827")</f>
        <v>085158111827</v>
      </c>
      <c r="E391" s="25" t="str">
        <f>IFERROR(__xludf.DUMMYFUNCTION("""COMPUTED_VALUE"""),"Instagram")</f>
        <v>Instagram</v>
      </c>
      <c r="F391" s="25" t="str">
        <f>IFERROR(__xludf.DUMMYFUNCTION("""COMPUTED_VALUE"""),"Gagal")</f>
        <v>Gagal</v>
      </c>
      <c r="G391" s="25" t="str">
        <f>IFERROR(__xludf.DUMMYFUNCTION("""COMPUTED_VALUE"""),"2H1M pantai")</f>
        <v>2H1M pantai</v>
      </c>
      <c r="H391" s="78"/>
      <c r="I391" s="89">
        <f>IFERROR(__xludf.DUMMYFUNCTION("""COMPUTED_VALUE"""),2.0)</f>
        <v>2</v>
      </c>
      <c r="J391" s="96"/>
      <c r="K391" s="36" t="str">
        <f>IFERROR(__xludf.DUMMYFUNCTION("""COMPUTED_VALUE"""),"tidak ada jawaban, lewat tanggal")</f>
        <v>tidak ada jawaban, lewat tanggal</v>
      </c>
      <c r="L391" s="49"/>
      <c r="M391" s="20"/>
      <c r="N391" s="20"/>
      <c r="O391" s="20"/>
      <c r="P391" s="20"/>
    </row>
    <row r="392">
      <c r="A392" s="97">
        <f>IFERROR(__xludf.DUMMYFUNCTION("""COMPUTED_VALUE"""),46097.0)</f>
        <v>46097</v>
      </c>
      <c r="B392" s="97" t="str">
        <f>IFERROR(__xludf.DUMMYFUNCTION("""COMPUTED_VALUE"""),"2603D069")</f>
        <v>2603D069</v>
      </c>
      <c r="C392" s="76" t="str">
        <f>IFERROR(__xludf.DUMMYFUNCTION("""COMPUTED_VALUE"""),"Farah Bahreisy")</f>
        <v>Farah Bahreisy</v>
      </c>
      <c r="D392" s="99" t="str">
        <f>IFERROR(__xludf.DUMMYFUNCTION("""COMPUTED_VALUE"""),"085715571072")</f>
        <v>085715571072</v>
      </c>
      <c r="E392" s="25" t="str">
        <f>IFERROR(__xludf.DUMMYFUNCTION("""COMPUTED_VALUE"""),"Instagram")</f>
        <v>Instagram</v>
      </c>
      <c r="F392" s="25" t="str">
        <f>IFERROR(__xludf.DUMMYFUNCTION("""COMPUTED_VALUE"""),"Gagal")</f>
        <v>Gagal</v>
      </c>
      <c r="G392" s="25" t="str">
        <f>IFERROR(__xludf.DUMMYFUNCTION("""COMPUTED_VALUE"""),"3H2M")</f>
        <v>3H2M</v>
      </c>
      <c r="H392" s="92"/>
      <c r="I392" s="80">
        <f>IFERROR(__xludf.DUMMYFUNCTION("""COMPUTED_VALUE"""),2.0)</f>
        <v>2</v>
      </c>
      <c r="J392" s="93">
        <f>IFERROR(__xludf.DUMMYFUNCTION("""COMPUTED_VALUE"""),4100000.0)</f>
        <v>4100000</v>
      </c>
      <c r="K392" s="46" t="str">
        <f>IFERROR(__xludf.DUMMYFUNCTION("""COMPUTED_VALUE"""),"FU 15 April")</f>
        <v>FU 15 April</v>
      </c>
      <c r="L392" s="76"/>
      <c r="M392" s="20"/>
      <c r="N392" s="20"/>
      <c r="O392" s="20"/>
      <c r="P392" s="20"/>
    </row>
    <row r="393">
      <c r="A393" s="110">
        <f>IFERROR(__xludf.DUMMYFUNCTION("""COMPUTED_VALUE"""),46097.0)</f>
        <v>46097</v>
      </c>
      <c r="B393" s="110" t="str">
        <f>IFERROR(__xludf.DUMMYFUNCTION("""COMPUTED_VALUE"""),"2603D070")</f>
        <v>2603D070</v>
      </c>
      <c r="C393" s="49" t="str">
        <f>IFERROR(__xludf.DUMMYFUNCTION("""COMPUTED_VALUE"""),"Hilyana")</f>
        <v>Hilyana</v>
      </c>
      <c r="D393" s="102" t="str">
        <f>IFERROR(__xludf.DUMMYFUNCTION("""COMPUTED_VALUE"""),"089689734707")</f>
        <v>089689734707</v>
      </c>
      <c r="E393" s="25" t="str">
        <f>IFERROR(__xludf.DUMMYFUNCTION("""COMPUTED_VALUE"""),"Instagram")</f>
        <v>Instagram</v>
      </c>
      <c r="F393" s="25" t="str">
        <f>IFERROR(__xludf.DUMMYFUNCTION("""COMPUTED_VALUE"""),"Gagal")</f>
        <v>Gagal</v>
      </c>
      <c r="G393" s="25" t="str">
        <f>IFERROR(__xludf.DUMMYFUNCTION("""COMPUTED_VALUE"""),"Menjangan Tabuhan")</f>
        <v>Menjangan Tabuhan</v>
      </c>
      <c r="H393" s="78"/>
      <c r="I393" s="89">
        <f>IFERROR(__xludf.DUMMYFUNCTION("""COMPUTED_VALUE"""),5.0)</f>
        <v>5</v>
      </c>
      <c r="J393" s="96">
        <f>IFERROR(__xludf.DUMMYFUNCTION("""COMPUTED_VALUE"""),2300000.0)</f>
        <v>2300000</v>
      </c>
      <c r="K393" s="30" t="str">
        <f>IFERROR(__xludf.DUMMYFUNCTION("""COMPUTED_VALUE"""),"tidakk balas ")</f>
        <v>tidakk balas </v>
      </c>
      <c r="L393" s="81" t="str">
        <f>IFERROR(__xludf.DUMMYFUNCTION("""COMPUTED_VALUE"""),"https://docs.google.com/document/d/1L2KFELN8aBEyQM7-PdDpQjkUT5S4_LFfFT4nxs9Ck00/edit?tab=t.0")</f>
        <v>https://docs.google.com/document/d/1L2KFELN8aBEyQM7-PdDpQjkUT5S4_LFfFT4nxs9Ck00/edit?tab=t.0</v>
      </c>
      <c r="M393" s="20"/>
      <c r="N393" s="20"/>
      <c r="O393" s="20"/>
      <c r="P393" s="20"/>
    </row>
    <row r="394">
      <c r="A394" s="97">
        <f>IFERROR(__xludf.DUMMYFUNCTION("""COMPUTED_VALUE"""),46098.0)</f>
        <v>46098</v>
      </c>
      <c r="B394" s="97" t="str">
        <f>IFERROR(__xludf.DUMMYFUNCTION("""COMPUTED_VALUE"""),"2603D071")</f>
        <v>2603D071</v>
      </c>
      <c r="C394" s="76" t="str">
        <f>IFERROR(__xludf.DUMMYFUNCTION("""COMPUTED_VALUE"""),"Geri")</f>
        <v>Geri</v>
      </c>
      <c r="D394" s="99" t="str">
        <f>IFERROR(__xludf.DUMMYFUNCTION("""COMPUTED_VALUE"""),"085711392393")</f>
        <v>085711392393</v>
      </c>
      <c r="E394" s="25" t="str">
        <f>IFERROR(__xludf.DUMMYFUNCTION("""COMPUTED_VALUE"""),"Instagram")</f>
        <v>Instagram</v>
      </c>
      <c r="F394" s="25" t="str">
        <f>IFERROR(__xludf.DUMMYFUNCTION("""COMPUTED_VALUE"""),"Gagal")</f>
        <v>Gagal</v>
      </c>
      <c r="G394" s="25" t="str">
        <f>IFERROR(__xludf.DUMMYFUNCTION("""COMPUTED_VALUE"""),"3h2m ")</f>
        <v>3h2m </v>
      </c>
      <c r="H394" s="92"/>
      <c r="I394" s="80">
        <f>IFERROR(__xludf.DUMMYFUNCTION("""COMPUTED_VALUE"""),2.0)</f>
        <v>2</v>
      </c>
      <c r="J394" s="93">
        <f>IFERROR(__xludf.DUMMYFUNCTION("""COMPUTED_VALUE"""),6128000.0)</f>
        <v>6128000</v>
      </c>
      <c r="K394" s="46" t="str">
        <f>IFERROR(__xludf.DUMMYFUNCTION("""COMPUTED_VALUE"""),"cancelll")</f>
        <v>cancelll</v>
      </c>
      <c r="L394" s="88" t="str">
        <f>IFERROR(__xludf.DUMMYFUNCTION("""COMPUTED_VALUE"""),"https://docs.google.com/document/d/1zHT--hvn-tgSLgQfLe-HjO40cOFxyHIiL8h3DBcS0HM/edit?tab=t.0")</f>
        <v>https://docs.google.com/document/d/1zHT--hvn-tgSLgQfLe-HjO40cOFxyHIiL8h3DBcS0HM/edit?tab=t.0</v>
      </c>
      <c r="M394" s="20"/>
      <c r="N394" s="20"/>
      <c r="O394" s="20"/>
      <c r="P394" s="20"/>
    </row>
    <row r="395">
      <c r="A395" s="110">
        <f>IFERROR(__xludf.DUMMYFUNCTION("""COMPUTED_VALUE"""),46098.0)</f>
        <v>46098</v>
      </c>
      <c r="B395" s="110" t="str">
        <f>IFERROR(__xludf.DUMMYFUNCTION("""COMPUTED_VALUE"""),"2603D072")</f>
        <v>2603D072</v>
      </c>
      <c r="C395" s="49" t="str">
        <f>IFERROR(__xludf.DUMMYFUNCTION("""COMPUTED_VALUE"""),"Livia")</f>
        <v>Livia</v>
      </c>
      <c r="D395" s="102" t="str">
        <f>IFERROR(__xludf.DUMMYFUNCTION("""COMPUTED_VALUE"""),"085943691514")</f>
        <v>085943691514</v>
      </c>
      <c r="E395" s="25" t="str">
        <f>IFERROR(__xludf.DUMMYFUNCTION("""COMPUTED_VALUE"""),"Lainnya")</f>
        <v>Lainnya</v>
      </c>
      <c r="F395" s="25" t="str">
        <f>IFERROR(__xludf.DUMMYFUNCTION("""COMPUTED_VALUE"""),"Gagal")</f>
        <v>Gagal</v>
      </c>
      <c r="G395" s="25" t="str">
        <f>IFERROR(__xludf.DUMMYFUNCTION("""COMPUTED_VALUE"""),"3h2m")</f>
        <v>3h2m</v>
      </c>
      <c r="H395" s="78">
        <f>IFERROR(__xludf.DUMMYFUNCTION("""COMPUTED_VALUE"""),46102.0)</f>
        <v>46102</v>
      </c>
      <c r="I395" s="27">
        <f>IFERROR(__xludf.DUMMYFUNCTION("""COMPUTED_VALUE"""),2.0)</f>
        <v>2</v>
      </c>
      <c r="J395" s="96"/>
      <c r="K395" s="30" t="str">
        <f>IFERROR(__xludf.DUMMYFUNCTION("""COMPUTED_VALUE"""),"tidak ada jawaban, sudah lewat tanggal")</f>
        <v>tidak ada jawaban, sudah lewat tanggal</v>
      </c>
      <c r="L395" s="49"/>
      <c r="M395" s="20"/>
      <c r="N395" s="20"/>
      <c r="O395" s="20"/>
      <c r="P395" s="20"/>
    </row>
    <row r="396">
      <c r="A396" s="97">
        <f>IFERROR(__xludf.DUMMYFUNCTION("""COMPUTED_VALUE"""),46098.0)</f>
        <v>46098</v>
      </c>
      <c r="B396" s="97" t="str">
        <f>IFERROR(__xludf.DUMMYFUNCTION("""COMPUTED_VALUE"""),"2603D073")</f>
        <v>2603D073</v>
      </c>
      <c r="C396" s="76" t="str">
        <f>IFERROR(__xludf.DUMMYFUNCTION("""COMPUTED_VALUE"""),"Mega")</f>
        <v>Mega</v>
      </c>
      <c r="D396" s="99" t="str">
        <f>IFERROR(__xludf.DUMMYFUNCTION("""COMPUTED_VALUE"""),"085608866643")</f>
        <v>085608866643</v>
      </c>
      <c r="E396" s="25" t="str">
        <f>IFERROR(__xludf.DUMMYFUNCTION("""COMPUTED_VALUE"""),"Instagram")</f>
        <v>Instagram</v>
      </c>
      <c r="F396" s="25" t="str">
        <f>IFERROR(__xludf.DUMMYFUNCTION("""COMPUTED_VALUE"""),"Gagal")</f>
        <v>Gagal</v>
      </c>
      <c r="G396" s="25" t="str">
        <f>IFERROR(__xludf.DUMMYFUNCTION("""COMPUTED_VALUE"""),"2H1M")</f>
        <v>2H1M</v>
      </c>
      <c r="H396" s="92"/>
      <c r="I396" s="80">
        <f>IFERROR(__xludf.DUMMYFUNCTION("""COMPUTED_VALUE"""),2.0)</f>
        <v>2</v>
      </c>
      <c r="J396" s="54"/>
      <c r="K396" s="19" t="str">
        <f>IFERROR(__xludf.DUMMYFUNCTION("""COMPUTED_VALUE"""),"sudah fu, tidk jawab, gagal lewat tanggal")</f>
        <v>sudah fu, tidk jawab, gagal lewat tanggal</v>
      </c>
      <c r="L396" s="76"/>
      <c r="M396" s="20"/>
      <c r="N396" s="20"/>
      <c r="O396" s="20"/>
      <c r="P396" s="20"/>
    </row>
    <row r="397">
      <c r="A397" s="110">
        <f>IFERROR(__xludf.DUMMYFUNCTION("""COMPUTED_VALUE"""),46098.0)</f>
        <v>46098</v>
      </c>
      <c r="B397" s="110" t="str">
        <f>IFERROR(__xludf.DUMMYFUNCTION("""COMPUTED_VALUE"""),"2603D074")</f>
        <v>2603D074</v>
      </c>
      <c r="C397" s="49" t="str">
        <f>IFERROR(__xludf.DUMMYFUNCTION("""COMPUTED_VALUE"""),"Gieska")</f>
        <v>Gieska</v>
      </c>
      <c r="D397" s="102" t="str">
        <f>IFERROR(__xludf.DUMMYFUNCTION("""COMPUTED_VALUE"""),"081230996849")</f>
        <v>081230996849</v>
      </c>
      <c r="E397" s="25" t="str">
        <f>IFERROR(__xludf.DUMMYFUNCTION("""COMPUTED_VALUE"""),"Instagram")</f>
        <v>Instagram</v>
      </c>
      <c r="F397" s="25" t="str">
        <f>IFERROR(__xludf.DUMMYFUNCTION("""COMPUTED_VALUE"""),"Gagal")</f>
        <v>Gagal</v>
      </c>
      <c r="G397" s="25" t="str">
        <f>IFERROR(__xludf.DUMMYFUNCTION("""COMPUTED_VALUE"""),"Menjangan Tabuhan")</f>
        <v>Menjangan Tabuhan</v>
      </c>
      <c r="H397" s="78">
        <f>IFERROR(__xludf.DUMMYFUNCTION("""COMPUTED_VALUE"""),46103.0)</f>
        <v>46103</v>
      </c>
      <c r="I397" s="27">
        <f>IFERROR(__xludf.DUMMYFUNCTION("""COMPUTED_VALUE"""),4.0)</f>
        <v>4</v>
      </c>
      <c r="J397" s="96">
        <f>IFERROR(__xludf.DUMMYFUNCTION("""COMPUTED_VALUE"""),2700000.0)</f>
        <v>2700000</v>
      </c>
      <c r="K397" s="30" t="str">
        <f>IFERROR(__xludf.DUMMYFUNCTION("""COMPUTED_VALUE"""),"tidak ada jawaban, gagal lewat tanggal")</f>
        <v>tidak ada jawaban, gagal lewat tanggal</v>
      </c>
      <c r="L397" s="49"/>
      <c r="M397" s="20"/>
      <c r="N397" s="20"/>
      <c r="O397" s="20"/>
      <c r="P397" s="20"/>
    </row>
    <row r="398">
      <c r="A398" s="97">
        <f>IFERROR(__xludf.DUMMYFUNCTION("""COMPUTED_VALUE"""),46098.0)</f>
        <v>46098</v>
      </c>
      <c r="B398" s="97" t="str">
        <f>IFERROR(__xludf.DUMMYFUNCTION("""COMPUTED_VALUE"""),"2603D075")</f>
        <v>2603D075</v>
      </c>
      <c r="C398" s="76" t="str">
        <f>IFERROR(__xludf.DUMMYFUNCTION("""COMPUTED_VALUE"""),"hnanidaaaa")</f>
        <v>hnanidaaaa</v>
      </c>
      <c r="D398" s="99" t="str">
        <f>IFERROR(__xludf.DUMMYFUNCTION("""COMPUTED_VALUE"""),"082254426334")</f>
        <v>082254426334</v>
      </c>
      <c r="E398" s="25" t="str">
        <f>IFERROR(__xludf.DUMMYFUNCTION("""COMPUTED_VALUE"""),"Instagram")</f>
        <v>Instagram</v>
      </c>
      <c r="F398" s="25" t="str">
        <f>IFERROR(__xludf.DUMMYFUNCTION("""COMPUTED_VALUE"""),"Gagal")</f>
        <v>Gagal</v>
      </c>
      <c r="G398" s="25" t="str">
        <f>IFERROR(__xludf.DUMMYFUNCTION("""COMPUTED_VALUE"""),"2h1m")</f>
        <v>2h1m</v>
      </c>
      <c r="H398" s="92"/>
      <c r="I398" s="80">
        <f>IFERROR(__xludf.DUMMYFUNCTION("""COMPUTED_VALUE"""),2.0)</f>
        <v>2</v>
      </c>
      <c r="J398" s="93">
        <f>IFERROR(__xludf.DUMMYFUNCTION("""COMPUTED_VALUE"""),3640000.0)</f>
        <v>3640000</v>
      </c>
      <c r="K398" s="46" t="str">
        <f>IFERROR(__xludf.DUMMYFUNCTION("""COMPUTED_VALUE"""),"tidak balassss")</f>
        <v>tidak balassss</v>
      </c>
      <c r="L398" s="88" t="str">
        <f>IFERROR(__xludf.DUMMYFUNCTION("""COMPUTED_VALUE"""),"https://docs.google.com/document/d/1V3orTRx2b4SEvBXNB5sgVwC5f6dRW-FPPdx6HGTv1YQ/edit?tab=t.0")</f>
        <v>https://docs.google.com/document/d/1V3orTRx2b4SEvBXNB5sgVwC5f6dRW-FPPdx6HGTv1YQ/edit?tab=t.0</v>
      </c>
      <c r="M398" s="20"/>
      <c r="N398" s="20"/>
      <c r="O398" s="20"/>
      <c r="P398" s="20"/>
    </row>
    <row r="399">
      <c r="A399" s="110">
        <f>IFERROR(__xludf.DUMMYFUNCTION("""COMPUTED_VALUE"""),46099.0)</f>
        <v>46099</v>
      </c>
      <c r="B399" s="110" t="str">
        <f>IFERROR(__xludf.DUMMYFUNCTION("""COMPUTED_VALUE"""),"2603D076")</f>
        <v>2603D076</v>
      </c>
      <c r="C399" s="49" t="str">
        <f>IFERROR(__xludf.DUMMYFUNCTION("""COMPUTED_VALUE"""),"Nungky Ayu Paramita")</f>
        <v>Nungky Ayu Paramita</v>
      </c>
      <c r="D399" s="102" t="str">
        <f>IFERROR(__xludf.DUMMYFUNCTION("""COMPUTED_VALUE"""),"08113040099")</f>
        <v>08113040099</v>
      </c>
      <c r="E399" s="25" t="str">
        <f>IFERROR(__xludf.DUMMYFUNCTION("""COMPUTED_VALUE"""),"Instagram")</f>
        <v>Instagram</v>
      </c>
      <c r="F399" s="25" t="str">
        <f>IFERROR(__xludf.DUMMYFUNCTION("""COMPUTED_VALUE"""),"Gagal")</f>
        <v>Gagal</v>
      </c>
      <c r="G399" s="25"/>
      <c r="H399" s="92"/>
      <c r="I399" s="89"/>
      <c r="J399" s="96"/>
      <c r="K399" s="36" t="str">
        <f>IFERROR(__xludf.DUMMYFUNCTION("""COMPUTED_VALUE"""),"memastikan. dihandle mas Alvin")</f>
        <v>memastikan. dihandle mas Alvin</v>
      </c>
      <c r="L399" s="76"/>
      <c r="M399" s="20"/>
      <c r="N399" s="20"/>
      <c r="O399" s="20"/>
      <c r="P399" s="20"/>
    </row>
    <row r="400">
      <c r="A400" s="97">
        <f>IFERROR(__xludf.DUMMYFUNCTION("""COMPUTED_VALUE"""),46099.0)</f>
        <v>46099</v>
      </c>
      <c r="B400" s="97" t="str">
        <f>IFERROR(__xludf.DUMMYFUNCTION("""COMPUTED_VALUE"""),"2603D077")</f>
        <v>2603D077</v>
      </c>
      <c r="C400" s="76" t="str">
        <f>IFERROR(__xludf.DUMMYFUNCTION("""COMPUTED_VALUE"""),"Diana Livia")</f>
        <v>Diana Livia</v>
      </c>
      <c r="D400" s="99" t="str">
        <f>IFERROR(__xludf.DUMMYFUNCTION("""COMPUTED_VALUE"""),"08156011859")</f>
        <v>08156011859</v>
      </c>
      <c r="E400" s="25" t="str">
        <f>IFERROR(__xludf.DUMMYFUNCTION("""COMPUTED_VALUE"""),"Website")</f>
        <v>Website</v>
      </c>
      <c r="F400" s="25" t="str">
        <f>IFERROR(__xludf.DUMMYFUNCTION("""COMPUTED_VALUE"""),"Gagal")</f>
        <v>Gagal</v>
      </c>
      <c r="G400" s="25" t="str">
        <f>IFERROR(__xludf.DUMMYFUNCTION("""COMPUTED_VALUE"""),"3h2m custom")</f>
        <v>3h2m custom</v>
      </c>
      <c r="H400" s="92"/>
      <c r="I400" s="80">
        <f>IFERROR(__xludf.DUMMYFUNCTION("""COMPUTED_VALUE"""),4.0)</f>
        <v>4</v>
      </c>
      <c r="J400" s="93">
        <f>IFERROR(__xludf.DUMMYFUNCTION("""COMPUTED_VALUE"""),8140000.0)</f>
        <v>8140000</v>
      </c>
      <c r="K400" s="19" t="str">
        <f>IFERROR(__xludf.DUMMYFUNCTION("""COMPUTED_VALUE"""),"gagal, berganti trip jogja, keterbatasan waktu liburan")</f>
        <v>gagal, berganti trip jogja, keterbatasan waktu liburan</v>
      </c>
      <c r="L400" s="76"/>
      <c r="M400" s="20"/>
      <c r="N400" s="20"/>
      <c r="O400" s="20"/>
      <c r="P400" s="20"/>
    </row>
    <row r="401">
      <c r="A401" s="110">
        <f>IFERROR(__xludf.DUMMYFUNCTION("""COMPUTED_VALUE"""),46099.0)</f>
        <v>46099</v>
      </c>
      <c r="B401" s="110" t="str">
        <f>IFERROR(__xludf.DUMMYFUNCTION("""COMPUTED_VALUE"""),"2603D078")</f>
        <v>2603D078</v>
      </c>
      <c r="C401" s="49" t="str">
        <f>IFERROR(__xludf.DUMMYFUNCTION("""COMPUTED_VALUE"""),"Amalia Maharani Nuril")</f>
        <v>Amalia Maharani Nuril</v>
      </c>
      <c r="D401" s="102" t="str">
        <f>IFERROR(__xludf.DUMMYFUNCTION("""COMPUTED_VALUE"""),"081331073902")</f>
        <v>081331073902</v>
      </c>
      <c r="E401" s="25" t="str">
        <f>IFERROR(__xludf.DUMMYFUNCTION("""COMPUTED_VALUE"""),"Instagram")</f>
        <v>Instagram</v>
      </c>
      <c r="F401" s="25" t="str">
        <f>IFERROR(__xludf.DUMMYFUNCTION("""COMPUTED_VALUE"""),"Gagal")</f>
        <v>Gagal</v>
      </c>
      <c r="G401" s="25"/>
      <c r="H401" s="78"/>
      <c r="I401" s="89"/>
      <c r="J401" s="96"/>
      <c r="K401" s="30" t="str">
        <f>IFERROR(__xludf.DUMMYFUNCTION("""COMPUTED_VALUE"""),"hanya menyapa. tidak menjawab")</f>
        <v>hanya menyapa. tidak menjawab</v>
      </c>
      <c r="L401" s="49"/>
      <c r="M401" s="20"/>
      <c r="N401" s="20"/>
      <c r="O401" s="20"/>
      <c r="P401" s="20"/>
    </row>
    <row r="402">
      <c r="A402" s="97">
        <f>IFERROR(__xludf.DUMMYFUNCTION("""COMPUTED_VALUE"""),46099.0)</f>
        <v>46099</v>
      </c>
      <c r="B402" s="97" t="str">
        <f>IFERROR(__xludf.DUMMYFUNCTION("""COMPUTED_VALUE"""),"2603D079")</f>
        <v>2603D079</v>
      </c>
      <c r="C402" s="76" t="str">
        <f>IFERROR(__xludf.DUMMYFUNCTION("""COMPUTED_VALUE"""),"Slamet")</f>
        <v>Slamet</v>
      </c>
      <c r="D402" s="99" t="str">
        <f>IFERROR(__xludf.DUMMYFUNCTION("""COMPUTED_VALUE"""),"08561122172")</f>
        <v>08561122172</v>
      </c>
      <c r="E402" s="25" t="str">
        <f>IFERROR(__xludf.DUMMYFUNCTION("""COMPUTED_VALUE"""),"Instagram")</f>
        <v>Instagram</v>
      </c>
      <c r="F402" s="25" t="str">
        <f>IFERROR(__xludf.DUMMYFUNCTION("""COMPUTED_VALUE"""),"Gagal")</f>
        <v>Gagal</v>
      </c>
      <c r="G402" s="25" t="str">
        <f>IFERROR(__xludf.DUMMYFUNCTION("""COMPUTED_VALUE"""),"menjangan tabuhan")</f>
        <v>menjangan tabuhan</v>
      </c>
      <c r="H402" s="92">
        <f>IFERROR(__xludf.DUMMYFUNCTION("""COMPUTED_VALUE"""),46106.0)</f>
        <v>46106</v>
      </c>
      <c r="I402" s="80"/>
      <c r="J402" s="93"/>
      <c r="K402" s="19" t="str">
        <f>IFERROR(__xludf.DUMMYFUNCTION("""COMPUTED_VALUE"""),"lewat tanggal, tidak ada jawaban")</f>
        <v>lewat tanggal, tidak ada jawaban</v>
      </c>
      <c r="L402" s="76"/>
      <c r="M402" s="20"/>
      <c r="N402" s="20"/>
      <c r="O402" s="20"/>
      <c r="P402" s="20"/>
    </row>
    <row r="403">
      <c r="A403" s="110">
        <f>IFERROR(__xludf.DUMMYFUNCTION("""COMPUTED_VALUE"""),46831.0)</f>
        <v>46831</v>
      </c>
      <c r="B403" s="110" t="str">
        <f>IFERROR(__xludf.DUMMYFUNCTION("""COMPUTED_VALUE"""),"2603D080")</f>
        <v>2603D080</v>
      </c>
      <c r="C403" s="49" t="str">
        <f>IFERROR(__xludf.DUMMYFUNCTION("""COMPUTED_VALUE"""),"Mizts Hendry")</f>
        <v>Mizts Hendry</v>
      </c>
      <c r="D403" s="102" t="str">
        <f>IFERROR(__xludf.DUMMYFUNCTION("""COMPUTED_VALUE"""),"08113333576")</f>
        <v>08113333576</v>
      </c>
      <c r="E403" s="25" t="str">
        <f>IFERROR(__xludf.DUMMYFUNCTION("""COMPUTED_VALUE"""),"Lainnya")</f>
        <v>Lainnya</v>
      </c>
      <c r="F403" s="25" t="str">
        <f>IFERROR(__xludf.DUMMYFUNCTION("""COMPUTED_VALUE"""),"Gagal")</f>
        <v>Gagal</v>
      </c>
      <c r="G403" s="25" t="str">
        <f>IFERROR(__xludf.DUMMYFUNCTION("""COMPUTED_VALUE"""),"2h1m (djawatan, green island, baluran)")</f>
        <v>2h1m (djawatan, green island, baluran)</v>
      </c>
      <c r="H403" s="78"/>
      <c r="I403" s="89">
        <f>IFERROR(__xludf.DUMMYFUNCTION("""COMPUTED_VALUE"""),3.0)</f>
        <v>3</v>
      </c>
      <c r="J403" s="96"/>
      <c r="K403" s="30" t="str">
        <f>IFERROR(__xludf.DUMMYFUNCTION("""COMPUTED_VALUE"""),"lewat tanggal, tidak ada jawaban")</f>
        <v>lewat tanggal, tidak ada jawaban</v>
      </c>
      <c r="L403" s="49"/>
      <c r="M403" s="20"/>
      <c r="N403" s="20"/>
      <c r="O403" s="20"/>
      <c r="P403" s="20"/>
    </row>
    <row r="404">
      <c r="A404" s="97">
        <f>IFERROR(__xludf.DUMMYFUNCTION("""COMPUTED_VALUE"""),46100.0)</f>
        <v>46100</v>
      </c>
      <c r="B404" s="98" t="str">
        <f>IFERROR(__xludf.DUMMYFUNCTION("""COMPUTED_VALUE"""),"2603D081")</f>
        <v>2603D081</v>
      </c>
      <c r="C404" s="76" t="str">
        <f>IFERROR(__xludf.DUMMYFUNCTION("""COMPUTED_VALUE"""),"Rika Yulia")</f>
        <v>Rika Yulia</v>
      </c>
      <c r="D404" s="99" t="str">
        <f>IFERROR(__xludf.DUMMYFUNCTION("""COMPUTED_VALUE"""),"085257411886")</f>
        <v>085257411886</v>
      </c>
      <c r="E404" s="25" t="str">
        <f>IFERROR(__xludf.DUMMYFUNCTION("""COMPUTED_VALUE"""),"Website")</f>
        <v>Website</v>
      </c>
      <c r="F404" s="25" t="str">
        <f>IFERROR(__xludf.DUMMYFUNCTION("""COMPUTED_VALUE"""),"Gagal")</f>
        <v>Gagal</v>
      </c>
      <c r="G404" s="25" t="str">
        <f>IFERROR(__xludf.DUMMYFUNCTION("""COMPUTED_VALUE"""),"one day trip bedil")</f>
        <v>one day trip bedil</v>
      </c>
      <c r="H404" s="92">
        <f>IFERROR(__xludf.DUMMYFUNCTION("""COMPUTED_VALUE"""),46103.0)</f>
        <v>46103</v>
      </c>
      <c r="I404" s="80">
        <f>IFERROR(__xludf.DUMMYFUNCTION("""COMPUTED_VALUE"""),6.0)</f>
        <v>6</v>
      </c>
      <c r="J404" s="93">
        <f>IFERROR(__xludf.DUMMYFUNCTION("""COMPUTED_VALUE"""),4819500.0)</f>
        <v>4819500</v>
      </c>
      <c r="K404" s="46" t="str">
        <f>IFERROR(__xludf.DUMMYFUNCTION("""COMPUTED_VALUE"""),"ganti plan ke Jogja")</f>
        <v>ganti plan ke Jogja</v>
      </c>
      <c r="L404" s="76"/>
      <c r="M404" s="20"/>
      <c r="N404" s="20"/>
      <c r="O404" s="20"/>
      <c r="P404" s="20"/>
    </row>
    <row r="405">
      <c r="A405" s="110">
        <f>IFERROR(__xludf.DUMMYFUNCTION("""COMPUTED_VALUE"""),46100.0)</f>
        <v>46100</v>
      </c>
      <c r="B405" s="119" t="str">
        <f>IFERROR(__xludf.DUMMYFUNCTION("""COMPUTED_VALUE"""),"2603D082")</f>
        <v>2603D082</v>
      </c>
      <c r="C405" s="49" t="str">
        <f>IFERROR(__xludf.DUMMYFUNCTION("""COMPUTED_VALUE"""),"Veronica P")</f>
        <v>Veronica P</v>
      </c>
      <c r="D405" s="102" t="str">
        <f>IFERROR(__xludf.DUMMYFUNCTION("""COMPUTED_VALUE"""),"089677622586")</f>
        <v>089677622586</v>
      </c>
      <c r="E405" s="25" t="str">
        <f>IFERROR(__xludf.DUMMYFUNCTION("""COMPUTED_VALUE"""),"Lainnya")</f>
        <v>Lainnya</v>
      </c>
      <c r="F405" s="25" t="str">
        <f>IFERROR(__xludf.DUMMYFUNCTION("""COMPUTED_VALUE"""),"Gagal")</f>
        <v>Gagal</v>
      </c>
      <c r="G405" s="25" t="str">
        <f>IFERROR(__xludf.DUMMYFUNCTION("""COMPUTED_VALUE"""),"Menjangan Baluran ")</f>
        <v>Menjangan Baluran </v>
      </c>
      <c r="H405" s="78">
        <f>IFERROR(__xludf.DUMMYFUNCTION("""COMPUTED_VALUE"""),46107.0)</f>
        <v>46107</v>
      </c>
      <c r="I405" s="89">
        <f>IFERROR(__xludf.DUMMYFUNCTION("""COMPUTED_VALUE"""),4.0)</f>
        <v>4</v>
      </c>
      <c r="J405" s="96">
        <f>IFERROR(__xludf.DUMMYFUNCTION("""COMPUTED_VALUE"""),261.0)</f>
        <v>261</v>
      </c>
      <c r="K405" s="36" t="str">
        <f>IFERROR(__xludf.DUMMYFUNCTION("""COMPUTED_VALUE"""),"tidak ada kelanjutan, gagal lewat tanggal")</f>
        <v>tidak ada kelanjutan, gagal lewat tanggal</v>
      </c>
      <c r="L405" s="49"/>
      <c r="M405" s="20"/>
      <c r="N405" s="20"/>
      <c r="O405" s="20"/>
      <c r="P405" s="20"/>
    </row>
    <row r="406">
      <c r="A406" s="97">
        <f>IFERROR(__xludf.DUMMYFUNCTION("""COMPUTED_VALUE"""),46100.0)</f>
        <v>46100</v>
      </c>
      <c r="B406" s="98" t="str">
        <f>IFERROR(__xludf.DUMMYFUNCTION("""COMPUTED_VALUE"""),"2603D083")</f>
        <v>2603D083</v>
      </c>
      <c r="C406" s="76" t="str">
        <f>IFERROR(__xludf.DUMMYFUNCTION("""COMPUTED_VALUE"""),"carmaylinna")</f>
        <v>carmaylinna</v>
      </c>
      <c r="D406" s="99" t="str">
        <f>IFERROR(__xludf.DUMMYFUNCTION("""COMPUTED_VALUE"""),"082233434696")</f>
        <v>082233434696</v>
      </c>
      <c r="E406" s="25" t="str">
        <f>IFERROR(__xludf.DUMMYFUNCTION("""COMPUTED_VALUE"""),"Website")</f>
        <v>Website</v>
      </c>
      <c r="F406" s="25" t="str">
        <f>IFERROR(__xludf.DUMMYFUNCTION("""COMPUTED_VALUE"""),"Gagal")</f>
        <v>Gagal</v>
      </c>
      <c r="G406" s="25" t="str">
        <f>IFERROR(__xludf.DUMMYFUNCTION("""COMPUTED_VALUE"""),"trip pulau bedil")</f>
        <v>trip pulau bedil</v>
      </c>
      <c r="H406" s="92">
        <f>IFERROR(__xludf.DUMMYFUNCTION("""COMPUTED_VALUE"""),46101.0)</f>
        <v>46101</v>
      </c>
      <c r="I406" s="80"/>
      <c r="J406" s="93"/>
      <c r="K406" s="46" t="str">
        <f>IFERROR(__xludf.DUMMYFUNCTION("""COMPUTED_VALUE"""),"tidak ada jawaban, sdh diberikan tawaran tanggal lain")</f>
        <v>tidak ada jawaban, sdh diberikan tawaran tanggal lain</v>
      </c>
      <c r="L406" s="76"/>
      <c r="M406" s="20"/>
      <c r="N406" s="20"/>
      <c r="O406" s="20"/>
      <c r="P406" s="20"/>
    </row>
    <row r="407">
      <c r="A407" s="110">
        <f>IFERROR(__xludf.DUMMYFUNCTION("""COMPUTED_VALUE"""),46100.0)</f>
        <v>46100</v>
      </c>
      <c r="B407" s="119" t="str">
        <f>IFERROR(__xludf.DUMMYFUNCTION("""COMPUTED_VALUE"""),"2603D084")</f>
        <v>2603D084</v>
      </c>
      <c r="C407" s="49" t="str">
        <f>IFERROR(__xludf.DUMMYFUNCTION("""COMPUTED_VALUE"""),"Sahat M.Manik")</f>
        <v>Sahat M.Manik</v>
      </c>
      <c r="D407" s="102" t="str">
        <f>IFERROR(__xludf.DUMMYFUNCTION("""COMPUTED_VALUE"""),"08111119540")</f>
        <v>08111119540</v>
      </c>
      <c r="E407" s="25" t="str">
        <f>IFERROR(__xludf.DUMMYFUNCTION("""COMPUTED_VALUE"""),"Lainnya")</f>
        <v>Lainnya</v>
      </c>
      <c r="F407" s="25" t="str">
        <f>IFERROR(__xludf.DUMMYFUNCTION("""COMPUTED_VALUE"""),"Gagal")</f>
        <v>Gagal</v>
      </c>
      <c r="G407" s="25" t="str">
        <f>IFERROR(__xludf.DUMMYFUNCTION("""COMPUTED_VALUE"""),"snorkling")</f>
        <v>snorkling</v>
      </c>
      <c r="H407" s="78">
        <f>IFERROR(__xludf.DUMMYFUNCTION("""COMPUTED_VALUE"""),46101.0)</f>
        <v>46101</v>
      </c>
      <c r="I407" s="27">
        <f>IFERROR(__xludf.DUMMYFUNCTION("""COMPUTED_VALUE"""),4.0)</f>
        <v>4</v>
      </c>
      <c r="J407" s="33">
        <f>IFERROR(__xludf.DUMMYFUNCTION("""COMPUTED_VALUE"""),2600000.0)</f>
        <v>2600000</v>
      </c>
      <c r="K407" s="30" t="str">
        <f>IFERROR(__xludf.DUMMYFUNCTION("""COMPUTED_VALUE"""),"sudah dapat trip lain ")</f>
        <v>sudah dapat trip lain </v>
      </c>
      <c r="L407" s="49"/>
      <c r="M407" s="20"/>
      <c r="N407" s="20"/>
      <c r="O407" s="20"/>
      <c r="P407" s="20"/>
    </row>
    <row r="408">
      <c r="A408" s="97">
        <f>IFERROR(__xludf.DUMMYFUNCTION("""COMPUTED_VALUE"""),46100.0)</f>
        <v>46100</v>
      </c>
      <c r="B408" s="97" t="str">
        <f>IFERROR(__xludf.DUMMYFUNCTION("""COMPUTED_VALUE"""),"2603D085")</f>
        <v>2603D085</v>
      </c>
      <c r="C408" s="76" t="str">
        <f>IFERROR(__xludf.DUMMYFUNCTION("""COMPUTED_VALUE"""),"Farahdinta")</f>
        <v>Farahdinta</v>
      </c>
      <c r="D408" s="99" t="str">
        <f>IFERROR(__xludf.DUMMYFUNCTION("""COMPUTED_VALUE"""),"081315681977")</f>
        <v>081315681977</v>
      </c>
      <c r="E408" s="25" t="str">
        <f>IFERROR(__xludf.DUMMYFUNCTION("""COMPUTED_VALUE"""),"Instagram")</f>
        <v>Instagram</v>
      </c>
      <c r="F408" s="25" t="str">
        <f>IFERROR(__xludf.DUMMYFUNCTION("""COMPUTED_VALUE"""),"Gagal")</f>
        <v>Gagal</v>
      </c>
      <c r="G408" s="25" t="str">
        <f>IFERROR(__xludf.DUMMYFUNCTION("""COMPUTED_VALUE"""),"Djabal ")</f>
        <v>Djabal </v>
      </c>
      <c r="H408" s="92">
        <f>IFERROR(__xludf.DUMMYFUNCTION("""COMPUTED_VALUE"""),46105.0)</f>
        <v>46105</v>
      </c>
      <c r="I408" s="80">
        <f>IFERROR(__xludf.DUMMYFUNCTION("""COMPUTED_VALUE"""),4.0)</f>
        <v>4</v>
      </c>
      <c r="J408" s="93">
        <f>IFERROR(__xludf.DUMMYFUNCTION("""COMPUTED_VALUE"""),1269000.0)</f>
        <v>1269000</v>
      </c>
      <c r="K408" s="19" t="str">
        <f>IFERROR(__xludf.DUMMYFUNCTION("""COMPUTED_VALUE"""),"lewat tanggal tidak balas")</f>
        <v>lewat tanggal tidak balas</v>
      </c>
      <c r="L408" s="76"/>
      <c r="M408" s="20"/>
      <c r="N408" s="20"/>
      <c r="O408" s="20"/>
      <c r="P408" s="20"/>
    </row>
    <row r="409">
      <c r="A409" s="110">
        <f>IFERROR(__xludf.DUMMYFUNCTION("""COMPUTED_VALUE"""),46100.0)</f>
        <v>46100</v>
      </c>
      <c r="B409" s="110" t="str">
        <f>IFERROR(__xludf.DUMMYFUNCTION("""COMPUTED_VALUE"""),"2603D086")</f>
        <v>2603D086</v>
      </c>
      <c r="C409" s="49" t="str">
        <f>IFERROR(__xludf.DUMMYFUNCTION("""COMPUTED_VALUE"""),"Kyy")</f>
        <v>Kyy</v>
      </c>
      <c r="D409" s="102" t="str">
        <f>IFERROR(__xludf.DUMMYFUNCTION("""COMPUTED_VALUE"""),"089676415755")</f>
        <v>089676415755</v>
      </c>
      <c r="E409" s="25" t="str">
        <f>IFERROR(__xludf.DUMMYFUNCTION("""COMPUTED_VALUE"""),"Lainnya")</f>
        <v>Lainnya</v>
      </c>
      <c r="F409" s="25" t="str">
        <f>IFERROR(__xludf.DUMMYFUNCTION("""COMPUTED_VALUE"""),"Gagal")</f>
        <v>Gagal</v>
      </c>
      <c r="G409" s="25" t="str">
        <f>IFERROR(__xludf.DUMMYFUNCTION("""COMPUTED_VALUE"""),"Menjangan Tabuhan")</f>
        <v>Menjangan Tabuhan</v>
      </c>
      <c r="H409" s="78">
        <f>IFERROR(__xludf.DUMMYFUNCTION("""COMPUTED_VALUE"""),46105.0)</f>
        <v>46105</v>
      </c>
      <c r="I409" s="89">
        <f>IFERROR(__xludf.DUMMYFUNCTION("""COMPUTED_VALUE"""),2.0)</f>
        <v>2</v>
      </c>
      <c r="J409" s="96">
        <f>IFERROR(__xludf.DUMMYFUNCTION("""COMPUTED_VALUE"""),2295000.0)</f>
        <v>2295000</v>
      </c>
      <c r="K409" s="36" t="str">
        <f>IFERROR(__xludf.DUMMYFUNCTION("""COMPUTED_VALUE"""),"tannggal tidak bisa")</f>
        <v>tannggal tidak bisa</v>
      </c>
      <c r="L409" s="23"/>
      <c r="M409" s="20"/>
      <c r="N409" s="20"/>
      <c r="O409" s="20"/>
      <c r="P409" s="20"/>
    </row>
    <row r="410">
      <c r="A410" s="110">
        <f>IFERROR(__xludf.DUMMYFUNCTION("""COMPUTED_VALUE"""),46101.0)</f>
        <v>46101</v>
      </c>
      <c r="B410" s="110" t="str">
        <f>IFERROR(__xludf.DUMMYFUNCTION("""COMPUTED_VALUE"""),"2603D087")</f>
        <v>2603D087</v>
      </c>
      <c r="C410" s="49" t="str">
        <f>IFERROR(__xludf.DUMMYFUNCTION("""COMPUTED_VALUE"""),"Abel")</f>
        <v>Abel</v>
      </c>
      <c r="D410" s="102" t="str">
        <f>IFERROR(__xludf.DUMMYFUNCTION("""COMPUTED_VALUE"""),"081703445500")</f>
        <v>081703445500</v>
      </c>
      <c r="E410" s="25" t="str">
        <f>IFERROR(__xludf.DUMMYFUNCTION("""COMPUTED_VALUE"""),"Instagram")</f>
        <v>Instagram</v>
      </c>
      <c r="F410" s="25" t="str">
        <f>IFERROR(__xludf.DUMMYFUNCTION("""COMPUTED_VALUE"""),"Review")</f>
        <v>Review</v>
      </c>
      <c r="G410" s="25" t="str">
        <f>IFERROR(__xludf.DUMMYFUNCTION("""COMPUTED_VALUE"""),"djawatan, muustika, bedil, green wedi ireng")</f>
        <v>djawatan, muustika, bedil, green wedi ireng</v>
      </c>
      <c r="H410" s="78">
        <f>IFERROR(__xludf.DUMMYFUNCTION("""COMPUTED_VALUE"""),46103.0)</f>
        <v>46103</v>
      </c>
      <c r="I410" s="27">
        <f>IFERROR(__xludf.DUMMYFUNCTION("""COMPUTED_VALUE"""),5.0)</f>
        <v>5</v>
      </c>
      <c r="J410" s="33">
        <f>IFERROR(__xludf.DUMMYFUNCTION("""COMPUTED_VALUE"""),6000000.0)</f>
        <v>6000000</v>
      </c>
      <c r="K410" s="30" t="str">
        <f>IFERROR(__xludf.DUMMYFUNCTION("""COMPUTED_VALUE"""),"alhamdulillah order")</f>
        <v>alhamdulillah order</v>
      </c>
      <c r="L410" s="49"/>
      <c r="M410" s="20"/>
      <c r="N410" s="20"/>
      <c r="O410" s="20"/>
      <c r="P410" s="20"/>
    </row>
    <row r="411">
      <c r="A411" s="97">
        <f>IFERROR(__xludf.DUMMYFUNCTION("""COMPUTED_VALUE"""),46101.0)</f>
        <v>46101</v>
      </c>
      <c r="B411" s="97" t="str">
        <f>IFERROR(__xludf.DUMMYFUNCTION("""COMPUTED_VALUE"""),"2603D088")</f>
        <v>2603D088</v>
      </c>
      <c r="C411" s="76" t="str">
        <f>IFERROR(__xludf.DUMMYFUNCTION("""COMPUTED_VALUE"""),"Ajikk")</f>
        <v>Ajikk</v>
      </c>
      <c r="D411" s="99" t="str">
        <f>IFERROR(__xludf.DUMMYFUNCTION("""COMPUTED_VALUE"""),"085881851846")</f>
        <v>085881851846</v>
      </c>
      <c r="E411" s="25" t="str">
        <f>IFERROR(__xludf.DUMMYFUNCTION("""COMPUTED_VALUE"""),"Instagram")</f>
        <v>Instagram</v>
      </c>
      <c r="F411" s="25" t="str">
        <f>IFERROR(__xludf.DUMMYFUNCTION("""COMPUTED_VALUE"""),"Closing")</f>
        <v>Closing</v>
      </c>
      <c r="G411" s="25" t="str">
        <f>IFERROR(__xludf.DUMMYFUNCTION("""COMPUTED_VALUE"""),"2h1m custom")</f>
        <v>2h1m custom</v>
      </c>
      <c r="H411" s="92">
        <f>IFERROR(__xludf.DUMMYFUNCTION("""COMPUTED_VALUE"""),46105.0)</f>
        <v>46105</v>
      </c>
      <c r="I411" s="80">
        <f>IFERROR(__xludf.DUMMYFUNCTION("""COMPUTED_VALUE"""),5.0)</f>
        <v>5</v>
      </c>
      <c r="J411" s="93">
        <f>IFERROR(__xludf.DUMMYFUNCTION("""COMPUTED_VALUE"""),5600000.0)</f>
        <v>5600000</v>
      </c>
      <c r="K411" s="46" t="str">
        <f>IFERROR(__xludf.DUMMYFUNCTION("""COMPUTED_VALUE"""),"alhamdulillah order")</f>
        <v>alhamdulillah order</v>
      </c>
      <c r="L411" s="76"/>
      <c r="M411" s="20"/>
      <c r="N411" s="20"/>
      <c r="O411" s="20"/>
      <c r="P411" s="20"/>
    </row>
    <row r="412">
      <c r="A412" s="110">
        <f>IFERROR(__xludf.DUMMYFUNCTION("""COMPUTED_VALUE"""),46101.0)</f>
        <v>46101</v>
      </c>
      <c r="B412" s="110" t="str">
        <f>IFERROR(__xludf.DUMMYFUNCTION("""COMPUTED_VALUE"""),"2603D089")</f>
        <v>2603D089</v>
      </c>
      <c r="C412" s="49" t="str">
        <f>IFERROR(__xludf.DUMMYFUNCTION("""COMPUTED_VALUE"""),"Ridwan")</f>
        <v>Ridwan</v>
      </c>
      <c r="D412" s="102" t="str">
        <f>IFERROR(__xludf.DUMMYFUNCTION("""COMPUTED_VALUE"""),"081973724104")</f>
        <v>081973724104</v>
      </c>
      <c r="E412" s="25" t="str">
        <f>IFERROR(__xludf.DUMMYFUNCTION("""COMPUTED_VALUE"""),"Website")</f>
        <v>Website</v>
      </c>
      <c r="F412" s="25" t="str">
        <f>IFERROR(__xludf.DUMMYFUNCTION("""COMPUTED_VALUE"""),"Gagal")</f>
        <v>Gagal</v>
      </c>
      <c r="G412" s="25" t="str">
        <f>IFERROR(__xludf.DUMMYFUNCTION("""COMPUTED_VALUE"""),"2h1m Baluran ")</f>
        <v>2h1m Baluran </v>
      </c>
      <c r="H412" s="78"/>
      <c r="I412" s="27">
        <f>IFERROR(__xludf.DUMMYFUNCTION("""COMPUTED_VALUE"""),6.0)</f>
        <v>6</v>
      </c>
      <c r="J412" s="33"/>
      <c r="K412" s="30" t="str">
        <f>IFERROR(__xludf.DUMMYFUNCTION("""COMPUTED_VALUE"""),"tidak ada kelanjutan, lewat tanggal")</f>
        <v>tidak ada kelanjutan, lewat tanggal</v>
      </c>
      <c r="L412" s="49"/>
      <c r="M412" s="20"/>
      <c r="N412" s="20"/>
      <c r="O412" s="20"/>
      <c r="P412" s="20"/>
    </row>
    <row r="413">
      <c r="A413" s="97">
        <f>IFERROR(__xludf.DUMMYFUNCTION("""COMPUTED_VALUE"""),46101.0)</f>
        <v>46101</v>
      </c>
      <c r="B413" s="97" t="str">
        <f>IFERROR(__xludf.DUMMYFUNCTION("""COMPUTED_VALUE"""),"2603D090")</f>
        <v>2603D090</v>
      </c>
      <c r="C413" s="76" t="str">
        <f>IFERROR(__xludf.DUMMYFUNCTION("""COMPUTED_VALUE"""),"Kartika Eliyandari")</f>
        <v>Kartika Eliyandari</v>
      </c>
      <c r="D413" s="99" t="str">
        <f>IFERROR(__xludf.DUMMYFUNCTION("""COMPUTED_VALUE"""),"085643613528")</f>
        <v>085643613528</v>
      </c>
      <c r="E413" s="25" t="str">
        <f>IFERROR(__xludf.DUMMYFUNCTION("""COMPUTED_VALUE"""),"Lainnya")</f>
        <v>Lainnya</v>
      </c>
      <c r="F413" s="25" t="str">
        <f>IFERROR(__xludf.DUMMYFUNCTION("""COMPUTED_VALUE"""),"Gagal")</f>
        <v>Gagal</v>
      </c>
      <c r="G413" s="25"/>
      <c r="H413" s="92"/>
      <c r="I413" s="80"/>
      <c r="J413" s="93"/>
      <c r="K413" s="46" t="str">
        <f>IFERROR(__xludf.DUMMYFUNCTION("""COMPUTED_VALUE"""),"tidak balas")</f>
        <v>tidak balas</v>
      </c>
      <c r="L413" s="88" t="str">
        <f>IFERROR(__xludf.DUMMYFUNCTION("""COMPUTED_VALUE"""),"https://docs.google.com/document/d/1GQ-gB6RLaTJ3SbxgOJK99AU6IzHO5r6UQlrsJyaZSNM/edit?tab=t.0")</f>
        <v>https://docs.google.com/document/d/1GQ-gB6RLaTJ3SbxgOJK99AU6IzHO5r6UQlrsJyaZSNM/edit?tab=t.0</v>
      </c>
      <c r="M413" s="20"/>
      <c r="N413" s="20"/>
      <c r="O413" s="20"/>
      <c r="P413" s="20"/>
    </row>
    <row r="414">
      <c r="A414" s="97">
        <f>IFERROR(__xludf.DUMMYFUNCTION("""COMPUTED_VALUE"""),46101.0)</f>
        <v>46101</v>
      </c>
      <c r="B414" s="97" t="str">
        <f>IFERROR(__xludf.DUMMYFUNCTION("""COMPUTED_VALUE"""),"2603D091")</f>
        <v>2603D091</v>
      </c>
      <c r="C414" s="76" t="str">
        <f>IFERROR(__xludf.DUMMYFUNCTION("""COMPUTED_VALUE"""),"Moru")</f>
        <v>Moru</v>
      </c>
      <c r="D414" s="99" t="str">
        <f>IFERROR(__xludf.DUMMYFUNCTION("""COMPUTED_VALUE"""),"085780135199")</f>
        <v>085780135199</v>
      </c>
      <c r="E414" s="25" t="str">
        <f>IFERROR(__xludf.DUMMYFUNCTION("""COMPUTED_VALUE"""),"Instagram")</f>
        <v>Instagram</v>
      </c>
      <c r="F414" s="25" t="str">
        <f>IFERROR(__xludf.DUMMYFUNCTION("""COMPUTED_VALUE"""),"Gagal")</f>
        <v>Gagal</v>
      </c>
      <c r="G414" s="25"/>
      <c r="H414" s="92"/>
      <c r="I414" s="80"/>
      <c r="J414" s="93"/>
      <c r="K414" s="19" t="str">
        <f>IFERROR(__xludf.DUMMYFUNCTION("""COMPUTED_VALUE"""),"hanya menyapa, tidak menjawab")</f>
        <v>hanya menyapa, tidak menjawab</v>
      </c>
      <c r="L414" s="76"/>
      <c r="M414" s="20"/>
      <c r="N414" s="20"/>
      <c r="O414" s="20"/>
      <c r="P414" s="20"/>
    </row>
    <row r="415">
      <c r="A415" s="97">
        <f>IFERROR(__xludf.DUMMYFUNCTION("""COMPUTED_VALUE"""),46101.0)</f>
        <v>46101</v>
      </c>
      <c r="B415" s="97" t="str">
        <f>IFERROR(__xludf.DUMMYFUNCTION("""COMPUTED_VALUE"""),"2603D092")</f>
        <v>2603D092</v>
      </c>
      <c r="C415" s="76" t="str">
        <f>IFERROR(__xludf.DUMMYFUNCTION("""COMPUTED_VALUE"""),"love ungu")</f>
        <v>love ungu</v>
      </c>
      <c r="D415" s="99" t="str">
        <f>IFERROR(__xludf.DUMMYFUNCTION("""COMPUTED_VALUE"""),"085168936337")</f>
        <v>085168936337</v>
      </c>
      <c r="E415" s="25" t="str">
        <f>IFERROR(__xludf.DUMMYFUNCTION("""COMPUTED_VALUE"""),"Lainnya")</f>
        <v>Lainnya</v>
      </c>
      <c r="F415" s="25" t="str">
        <f>IFERROR(__xludf.DUMMYFUNCTION("""COMPUTED_VALUE"""),"Gagal")</f>
        <v>Gagal</v>
      </c>
      <c r="G415" s="25"/>
      <c r="H415" s="92"/>
      <c r="I415" s="17"/>
      <c r="J415" s="93"/>
      <c r="K415" s="46" t="str">
        <f>IFERROR(__xludf.DUMMYFUNCTION("""COMPUTED_VALUE"""),"sdh pulang dr banyuwangi")</f>
        <v>sdh pulang dr banyuwangi</v>
      </c>
      <c r="L415" s="76"/>
      <c r="M415" s="20"/>
      <c r="N415" s="20"/>
      <c r="O415" s="20"/>
      <c r="P415" s="20"/>
    </row>
    <row r="416">
      <c r="A416" s="110">
        <f>IFERROR(__xludf.DUMMYFUNCTION("""COMPUTED_VALUE"""),46101.0)</f>
        <v>46101</v>
      </c>
      <c r="B416" s="110" t="str">
        <f>IFERROR(__xludf.DUMMYFUNCTION("""COMPUTED_VALUE"""),"2603D093")</f>
        <v>2603D093</v>
      </c>
      <c r="C416" s="49" t="str">
        <f>IFERROR(__xludf.DUMMYFUNCTION("""COMPUTED_VALUE"""),"Aisyah Aulia")</f>
        <v>Aisyah Aulia</v>
      </c>
      <c r="D416" s="102" t="str">
        <f>IFERROR(__xludf.DUMMYFUNCTION("""COMPUTED_VALUE"""),"0895363638105")</f>
        <v>0895363638105</v>
      </c>
      <c r="E416" s="25" t="str">
        <f>IFERROR(__xludf.DUMMYFUNCTION("""COMPUTED_VALUE"""),"Instagram")</f>
        <v>Instagram</v>
      </c>
      <c r="F416" s="25" t="str">
        <f>IFERROR(__xludf.DUMMYFUNCTION("""COMPUTED_VALUE"""),"Gagal")</f>
        <v>Gagal</v>
      </c>
      <c r="G416" s="25" t="str">
        <f>IFERROR(__xludf.DUMMYFUNCTION("""COMPUTED_VALUE"""),"2H1M")</f>
        <v>2H1M</v>
      </c>
      <c r="H416" s="26"/>
      <c r="I416" s="27"/>
      <c r="J416" s="33"/>
      <c r="K416" s="30" t="str">
        <f>IFERROR(__xludf.DUMMYFUNCTION("""COMPUTED_VALUE"""),"sudah FU, ga balesss")</f>
        <v>sudah FU, ga balesss</v>
      </c>
      <c r="L416" s="81" t="str">
        <f>IFERROR(__xludf.DUMMYFUNCTION("""COMPUTED_VALUE"""),"https://docs.google.com/document/d/1poLmlCEHG7XWRuGIvRV3OpZQjReiu01uC4u7uztG-KU/edit?tab=t.0")</f>
        <v>https://docs.google.com/document/d/1poLmlCEHG7XWRuGIvRV3OpZQjReiu01uC4u7uztG-KU/edit?tab=t.0</v>
      </c>
      <c r="M416" s="20"/>
      <c r="N416" s="20"/>
      <c r="O416" s="20"/>
      <c r="P416" s="20"/>
    </row>
    <row r="417">
      <c r="A417" s="110">
        <f>IFERROR(__xludf.DUMMYFUNCTION("""COMPUTED_VALUE"""),46101.0)</f>
        <v>46101</v>
      </c>
      <c r="B417" s="110" t="str">
        <f>IFERROR(__xludf.DUMMYFUNCTION("""COMPUTED_VALUE"""),"2603D094")</f>
        <v>2603D094</v>
      </c>
      <c r="C417" s="49" t="str">
        <f>IFERROR(__xludf.DUMMYFUNCTION("""COMPUTED_VALUE"""),"Claudia Putri Siregar")</f>
        <v>Claudia Putri Siregar</v>
      </c>
      <c r="D417" s="102" t="str">
        <f>IFERROR(__xludf.DUMMYFUNCTION("""COMPUTED_VALUE"""),"08999021457")</f>
        <v>08999021457</v>
      </c>
      <c r="E417" s="25" t="str">
        <f>IFERROR(__xludf.DUMMYFUNCTION("""COMPUTED_VALUE"""),"Website")</f>
        <v>Website</v>
      </c>
      <c r="F417" s="25" t="str">
        <f>IFERROR(__xludf.DUMMYFUNCTION("""COMPUTED_VALUE"""),"Gagal")</f>
        <v>Gagal</v>
      </c>
      <c r="G417" s="25" t="str">
        <f>IFERROR(__xludf.DUMMYFUNCTION("""COMPUTED_VALUE"""),"ijen")</f>
        <v>ijen</v>
      </c>
      <c r="H417" s="78">
        <f>IFERROR(__xludf.DUMMYFUNCTION("""COMPUTED_VALUE"""),46110.0)</f>
        <v>46110</v>
      </c>
      <c r="I417" s="89">
        <f>IFERROR(__xludf.DUMMYFUNCTION("""COMPUTED_VALUE"""),4.0)</f>
        <v>4</v>
      </c>
      <c r="J417" s="96">
        <f>IFERROR(__xludf.DUMMYFUNCTION("""COMPUTED_VALUE"""),1456000.0)</f>
        <v>1456000</v>
      </c>
      <c r="K417" s="30" t="str">
        <f>IFERROR(__xludf.DUMMYFUNCTION("""COMPUTED_VALUE"""),"tidak balas, gagal lewat taggal")</f>
        <v>tidak balas, gagal lewat taggal</v>
      </c>
      <c r="L417" s="81" t="str">
        <f>IFERROR(__xludf.DUMMYFUNCTION("""COMPUTED_VALUE"""),"https://docs.google.com/document/d/1rkf52aNbSGvG3l7RqQmVjlrGE7XMoTt_4zmWC6P3klM/edit?tab=t.0")</f>
        <v>https://docs.google.com/document/d/1rkf52aNbSGvG3l7RqQmVjlrGE7XMoTt_4zmWC6P3klM/edit?tab=t.0</v>
      </c>
      <c r="M417" s="20"/>
      <c r="N417" s="20"/>
      <c r="O417" s="20"/>
      <c r="P417" s="20"/>
    </row>
    <row r="418">
      <c r="A418" s="110">
        <f>IFERROR(__xludf.DUMMYFUNCTION("""COMPUTED_VALUE"""),46101.0)</f>
        <v>46101</v>
      </c>
      <c r="B418" s="110" t="str">
        <f>IFERROR(__xludf.DUMMYFUNCTION("""COMPUTED_VALUE"""),"2603D095")</f>
        <v>2603D095</v>
      </c>
      <c r="C418" s="49" t="str">
        <f>IFERROR(__xludf.DUMMYFUNCTION("""COMPUTED_VALUE"""),"Rifqi Athallah")</f>
        <v>Rifqi Athallah</v>
      </c>
      <c r="D418" s="102" t="str">
        <f>IFERROR(__xludf.DUMMYFUNCTION("""COMPUTED_VALUE"""),"085645602833")</f>
        <v>085645602833</v>
      </c>
      <c r="E418" s="25" t="str">
        <f>IFERROR(__xludf.DUMMYFUNCTION("""COMPUTED_VALUE"""),"Instagram")</f>
        <v>Instagram</v>
      </c>
      <c r="F418" s="25" t="str">
        <f>IFERROR(__xludf.DUMMYFUNCTION("""COMPUTED_VALUE"""),"Gagal")</f>
        <v>Gagal</v>
      </c>
      <c r="G418" s="25" t="str">
        <f>IFERROR(__xludf.DUMMYFUNCTION("""COMPUTED_VALUE"""),"3H2M opsi B")</f>
        <v>3H2M opsi B</v>
      </c>
      <c r="H418" s="78"/>
      <c r="I418" s="27">
        <f>IFERROR(__xludf.DUMMYFUNCTION("""COMPUTED_VALUE"""),2.0)</f>
        <v>2</v>
      </c>
      <c r="J418" s="96">
        <f>IFERROR(__xludf.DUMMYFUNCTION("""COMPUTED_VALUE"""),5334000.0)</f>
        <v>5334000</v>
      </c>
      <c r="K418" s="30" t="str">
        <f>IFERROR(__xludf.DUMMYFUNCTION("""COMPUTED_VALUE"""),"tidak jadi dalam waktu dekat")</f>
        <v>tidak jadi dalam waktu dekat</v>
      </c>
      <c r="L418" s="81" t="str">
        <f>IFERROR(__xludf.DUMMYFUNCTION("""COMPUTED_VALUE"""),"https://docs.google.com/document/d/1pklc54rNUj4xRDIS8HV-QSlbFJ3cKJCTZ8RLmJXieSs/edit?tab=t.0")</f>
        <v>https://docs.google.com/document/d/1pklc54rNUj4xRDIS8HV-QSlbFJ3cKJCTZ8RLmJXieSs/edit?tab=t.0</v>
      </c>
      <c r="M418" s="20"/>
      <c r="N418" s="20"/>
      <c r="O418" s="20"/>
      <c r="P418" s="20"/>
    </row>
    <row r="419">
      <c r="A419" s="97">
        <f>IFERROR(__xludf.DUMMYFUNCTION("""COMPUTED_VALUE"""),46102.0)</f>
        <v>46102</v>
      </c>
      <c r="B419" s="97" t="str">
        <f>IFERROR(__xludf.DUMMYFUNCTION("""COMPUTED_VALUE"""),"2603D096")</f>
        <v>2603D096</v>
      </c>
      <c r="C419" s="76" t="str">
        <f>IFERROR(__xludf.DUMMYFUNCTION("""COMPUTED_VALUE"""),"Michelle")</f>
        <v>Michelle</v>
      </c>
      <c r="D419" s="99" t="str">
        <f>IFERROR(__xludf.DUMMYFUNCTION("""COMPUTED_VALUE"""),"0895405358348")</f>
        <v>0895405358348</v>
      </c>
      <c r="E419" s="25" t="str">
        <f>IFERROR(__xludf.DUMMYFUNCTION("""COMPUTED_VALUE"""),"Instagram")</f>
        <v>Instagram</v>
      </c>
      <c r="F419" s="25" t="str">
        <f>IFERROR(__xludf.DUMMYFUNCTION("""COMPUTED_VALUE"""),"Gagal")</f>
        <v>Gagal</v>
      </c>
      <c r="G419" s="25"/>
      <c r="H419" s="92"/>
      <c r="I419" s="80"/>
      <c r="J419" s="93"/>
      <c r="K419" s="46" t="str">
        <f>IFERROR(__xludf.DUMMYFUNCTION("""COMPUTED_VALUE"""),"hanya menyapa, tidak menjawab")</f>
        <v>hanya menyapa, tidak menjawab</v>
      </c>
      <c r="L419" s="76"/>
      <c r="M419" s="20"/>
      <c r="N419" s="20"/>
      <c r="O419" s="20"/>
      <c r="P419" s="20"/>
    </row>
    <row r="420">
      <c r="A420" s="110">
        <f>IFERROR(__xludf.DUMMYFUNCTION("""COMPUTED_VALUE"""),46102.0)</f>
        <v>46102</v>
      </c>
      <c r="B420" s="110" t="str">
        <f>IFERROR(__xludf.DUMMYFUNCTION("""COMPUTED_VALUE"""),"2603D097")</f>
        <v>2603D097</v>
      </c>
      <c r="C420" s="49" t="str">
        <f>IFERROR(__xludf.DUMMYFUNCTION("""COMPUTED_VALUE"""),"Hendro Wang")</f>
        <v>Hendro Wang</v>
      </c>
      <c r="D420" s="102" t="str">
        <f>IFERROR(__xludf.DUMMYFUNCTION("""COMPUTED_VALUE"""),"082230515188")</f>
        <v>082230515188</v>
      </c>
      <c r="E420" s="25" t="str">
        <f>IFERROR(__xludf.DUMMYFUNCTION("""COMPUTED_VALUE"""),"Website")</f>
        <v>Website</v>
      </c>
      <c r="F420" s="25" t="str">
        <f>IFERROR(__xludf.DUMMYFUNCTION("""COMPUTED_VALUE"""),"Gagal")</f>
        <v>Gagal</v>
      </c>
      <c r="G420" s="25" t="str">
        <f>IFERROR(__xludf.DUMMYFUNCTION("""COMPUTED_VALUE"""),"one day trip pm ")</f>
        <v>one day trip pm </v>
      </c>
      <c r="H420" s="78"/>
      <c r="I420" s="89">
        <f>IFERROR(__xludf.DUMMYFUNCTION("""COMPUTED_VALUE"""),4.0)</f>
        <v>4</v>
      </c>
      <c r="J420" s="96">
        <f>IFERROR(__xludf.DUMMYFUNCTION("""COMPUTED_VALUE"""),1648000.0)</f>
        <v>1648000</v>
      </c>
      <c r="K420" s="30" t="str">
        <f>IFERROR(__xludf.DUMMYFUNCTION("""COMPUTED_VALUE"""),"sudah full booked ")</f>
        <v>sudah full booked </v>
      </c>
      <c r="L420" s="49"/>
      <c r="M420" s="20"/>
      <c r="N420" s="20"/>
      <c r="O420" s="20"/>
      <c r="P420" s="20"/>
    </row>
    <row r="421">
      <c r="A421" s="97">
        <f>IFERROR(__xludf.DUMMYFUNCTION("""COMPUTED_VALUE"""),46102.0)</f>
        <v>46102</v>
      </c>
      <c r="B421" s="97" t="str">
        <f>IFERROR(__xludf.DUMMYFUNCTION("""COMPUTED_VALUE"""),"2603D098")</f>
        <v>2603D098</v>
      </c>
      <c r="C421" s="76" t="str">
        <f>IFERROR(__xludf.DUMMYFUNCTION("""COMPUTED_VALUE"""),"Lukas Andrew")</f>
        <v>Lukas Andrew</v>
      </c>
      <c r="D421" s="99" t="str">
        <f>IFERROR(__xludf.DUMMYFUNCTION("""COMPUTED_VALUE"""),"082132322747")</f>
        <v>082132322747</v>
      </c>
      <c r="E421" s="25" t="str">
        <f>IFERROR(__xludf.DUMMYFUNCTION("""COMPUTED_VALUE"""),"Instagram")</f>
        <v>Instagram</v>
      </c>
      <c r="F421" s="25" t="str">
        <f>IFERROR(__xludf.DUMMYFUNCTION("""COMPUTED_VALUE"""),"Gagal")</f>
        <v>Gagal</v>
      </c>
      <c r="G421" s="25" t="str">
        <f>IFERROR(__xludf.DUMMYFUNCTION("""COMPUTED_VALUE"""),"ot menjangan tabuhan")</f>
        <v>ot menjangan tabuhan</v>
      </c>
      <c r="H421" s="92"/>
      <c r="I421" s="17">
        <f>IFERROR(__xludf.DUMMYFUNCTION("""COMPUTED_VALUE"""),2.0)</f>
        <v>2</v>
      </c>
      <c r="J421" s="54">
        <f>IFERROR(__xludf.DUMMYFUNCTION("""COMPUTED_VALUE"""),1050000.0)</f>
        <v>1050000</v>
      </c>
      <c r="K421" s="46" t="str">
        <f>IFERROR(__xludf.DUMMYFUNCTION("""COMPUTED_VALUE"""),"gagal lewat tanggal")</f>
        <v>gagal lewat tanggal</v>
      </c>
      <c r="L421" s="88" t="str">
        <f>IFERROR(__xludf.DUMMYFUNCTION("""COMPUTED_VALUE"""),"https://docs.google.com/document/d/15qkuA-TZio0KA-pE5Dvhy_8cmwsIwJXZRuRvcGHQosI/edit?tab=t.0")</f>
        <v>https://docs.google.com/document/d/15qkuA-TZio0KA-pE5Dvhy_8cmwsIwJXZRuRvcGHQosI/edit?tab=t.0</v>
      </c>
      <c r="M421" s="20"/>
      <c r="N421" s="20"/>
      <c r="O421" s="20"/>
      <c r="P421" s="20"/>
    </row>
    <row r="422">
      <c r="A422" s="110">
        <f>IFERROR(__xludf.DUMMYFUNCTION("""COMPUTED_VALUE"""),46102.0)</f>
        <v>46102</v>
      </c>
      <c r="B422" s="110" t="str">
        <f>IFERROR(__xludf.DUMMYFUNCTION("""COMPUTED_VALUE"""),"2603D099")</f>
        <v>2603D099</v>
      </c>
      <c r="C422" s="49" t="str">
        <f>IFERROR(__xludf.DUMMYFUNCTION("""COMPUTED_VALUE"""),"Susie Koo")</f>
        <v>Susie Koo</v>
      </c>
      <c r="D422" s="102" t="str">
        <f>IFERROR(__xludf.DUMMYFUNCTION("""COMPUTED_VALUE"""),"0811258778")</f>
        <v>0811258778</v>
      </c>
      <c r="E422" s="25" t="str">
        <f>IFERROR(__xludf.DUMMYFUNCTION("""COMPUTED_VALUE"""),"Rekomendasi")</f>
        <v>Rekomendasi</v>
      </c>
      <c r="F422" s="25" t="str">
        <f>IFERROR(__xludf.DUMMYFUNCTION("""COMPUTED_VALUE"""),"Gagal")</f>
        <v>Gagal</v>
      </c>
      <c r="G422" s="25" t="str">
        <f>IFERROR(__xludf.DUMMYFUNCTION("""COMPUTED_VALUE"""),"3H2M ")</f>
        <v>3H2M </v>
      </c>
      <c r="H422" s="78"/>
      <c r="I422" s="89">
        <f>IFERROR(__xludf.DUMMYFUNCTION("""COMPUTED_VALUE"""),2.0)</f>
        <v>2</v>
      </c>
      <c r="J422" s="96"/>
      <c r="K422" s="36" t="str">
        <f>IFERROR(__xludf.DUMMYFUNCTION("""COMPUTED_VALUE"""),"pasti ke BWI tp belum tau kapan, mau ke china dulu")</f>
        <v>pasti ke BWI tp belum tau kapan, mau ke china dulu</v>
      </c>
      <c r="L422" s="81" t="str">
        <f>IFERROR(__xludf.DUMMYFUNCTION("""COMPUTED_VALUE"""),"https://docs.google.com/document/d/1NpmPjznKr8eOu33mzvIpT7C6knljoTf898xomYMjUro/edit?tab=t.0")</f>
        <v>https://docs.google.com/document/d/1NpmPjznKr8eOu33mzvIpT7C6knljoTf898xomYMjUro/edit?tab=t.0</v>
      </c>
      <c r="M422" s="20"/>
      <c r="N422" s="20"/>
      <c r="O422" s="20"/>
      <c r="P422" s="20"/>
    </row>
    <row r="423">
      <c r="A423" s="97">
        <f>IFERROR(__xludf.DUMMYFUNCTION("""COMPUTED_VALUE"""),46102.0)</f>
        <v>46102</v>
      </c>
      <c r="B423" s="97" t="str">
        <f>IFERROR(__xludf.DUMMYFUNCTION("""COMPUTED_VALUE"""),"2603D100")</f>
        <v>2603D100</v>
      </c>
      <c r="C423" s="76" t="str">
        <f>IFERROR(__xludf.DUMMYFUNCTION("""COMPUTED_VALUE"""),"Revinsa")</f>
        <v>Revinsa</v>
      </c>
      <c r="D423" s="99" t="str">
        <f>IFERROR(__xludf.DUMMYFUNCTION("""COMPUTED_VALUE"""),"081317000071")</f>
        <v>081317000071</v>
      </c>
      <c r="E423" s="25" t="str">
        <f>IFERROR(__xludf.DUMMYFUNCTION("""COMPUTED_VALUE"""),"Lainnya")</f>
        <v>Lainnya</v>
      </c>
      <c r="F423" s="25" t="str">
        <f>IFERROR(__xludf.DUMMYFUNCTION("""COMPUTED_VALUE"""),"Gagal")</f>
        <v>Gagal</v>
      </c>
      <c r="G423" s="25"/>
      <c r="H423" s="92"/>
      <c r="I423" s="80"/>
      <c r="J423" s="93"/>
      <c r="K423" s="19" t="str">
        <f>IFERROR(__xludf.DUMMYFUNCTION("""COMPUTED_VALUE"""),"hanya menyapa, tidak ada jawaban")</f>
        <v>hanya menyapa, tidak ada jawaban</v>
      </c>
      <c r="L423" s="76"/>
      <c r="M423" s="20"/>
      <c r="N423" s="20"/>
      <c r="O423" s="20"/>
      <c r="P423" s="20"/>
    </row>
    <row r="424">
      <c r="A424" s="97">
        <f>IFERROR(__xludf.DUMMYFUNCTION("""COMPUTED_VALUE"""),46102.0)</f>
        <v>46102</v>
      </c>
      <c r="B424" s="97" t="str">
        <f>IFERROR(__xludf.DUMMYFUNCTION("""COMPUTED_VALUE"""),"2603D101")</f>
        <v>2603D101</v>
      </c>
      <c r="C424" s="76" t="str">
        <f>IFERROR(__xludf.DUMMYFUNCTION("""COMPUTED_VALUE"""),"Risa")</f>
        <v>Risa</v>
      </c>
      <c r="D424" s="99" t="str">
        <f>IFERROR(__xludf.DUMMYFUNCTION("""COMPUTED_VALUE"""),"082122906213")</f>
        <v>082122906213</v>
      </c>
      <c r="E424" s="25" t="str">
        <f>IFERROR(__xludf.DUMMYFUNCTION("""COMPUTED_VALUE"""),"Instagram")</f>
        <v>Instagram</v>
      </c>
      <c r="F424" s="25" t="str">
        <f>IFERROR(__xludf.DUMMYFUNCTION("""COMPUTED_VALUE"""),"Gagal")</f>
        <v>Gagal</v>
      </c>
      <c r="G424" s="25" t="str">
        <f>IFERROR(__xludf.DUMMYFUNCTION("""COMPUTED_VALUE"""),"3h2m opsi a")</f>
        <v>3h2m opsi a</v>
      </c>
      <c r="H424" s="92"/>
      <c r="I424" s="80">
        <f>IFERROR(__xludf.DUMMYFUNCTION("""COMPUTED_VALUE"""),3.0)</f>
        <v>3</v>
      </c>
      <c r="J424" s="93">
        <f>IFERROR(__xludf.DUMMYFUNCTION("""COMPUTED_VALUE"""),6402000.0)</f>
        <v>6402000</v>
      </c>
      <c r="K424" s="46" t="str">
        <f>IFERROR(__xludf.DUMMYFUNCTION("""COMPUTED_VALUE"""),"sudah FU ga ada balasann")</f>
        <v>sudah FU ga ada balasann</v>
      </c>
      <c r="L424" s="88" t="str">
        <f>IFERROR(__xludf.DUMMYFUNCTION("""COMPUTED_VALUE"""),"https://docs.google.com/document/d/1thtwV5znaS5XYCKBHnTVhEIrxg978zuoGDeOj2bHom8/edit?tab=t.0")</f>
        <v>https://docs.google.com/document/d/1thtwV5znaS5XYCKBHnTVhEIrxg978zuoGDeOj2bHom8/edit?tab=t.0</v>
      </c>
      <c r="M424" s="20"/>
      <c r="N424" s="20"/>
      <c r="O424" s="20"/>
      <c r="P424" s="20"/>
    </row>
    <row r="425">
      <c r="A425" s="110">
        <f>IFERROR(__xludf.DUMMYFUNCTION("""COMPUTED_VALUE"""),46102.0)</f>
        <v>46102</v>
      </c>
      <c r="B425" s="110" t="str">
        <f>IFERROR(__xludf.DUMMYFUNCTION("""COMPUTED_VALUE"""),"2603D102")</f>
        <v>2603D102</v>
      </c>
      <c r="C425" s="49" t="str">
        <f>IFERROR(__xludf.DUMMYFUNCTION("""COMPUTED_VALUE"""),"Anindya Luthfi S")</f>
        <v>Anindya Luthfi S</v>
      </c>
      <c r="D425" s="102" t="str">
        <f>IFERROR(__xludf.DUMMYFUNCTION("""COMPUTED_VALUE"""),"081247738886")</f>
        <v>081247738886</v>
      </c>
      <c r="E425" s="25" t="str">
        <f>IFERROR(__xludf.DUMMYFUNCTION("""COMPUTED_VALUE"""),"Instagram")</f>
        <v>Instagram</v>
      </c>
      <c r="F425" s="25" t="str">
        <f>IFERROR(__xludf.DUMMYFUNCTION("""COMPUTED_VALUE"""),"Gagal")</f>
        <v>Gagal</v>
      </c>
      <c r="G425" s="25" t="str">
        <f>IFERROR(__xludf.DUMMYFUNCTION("""COMPUTED_VALUE"""),"3h2m opsi a ")</f>
        <v>3h2m opsi a </v>
      </c>
      <c r="H425" s="78"/>
      <c r="I425" s="89">
        <f>IFERROR(__xludf.DUMMYFUNCTION("""COMPUTED_VALUE"""),3.0)</f>
        <v>3</v>
      </c>
      <c r="J425" s="96">
        <f>IFERROR(__xludf.DUMMYFUNCTION("""COMPUTED_VALUE"""),8642700.0)</f>
        <v>8642700</v>
      </c>
      <c r="K425" s="30" t="str">
        <f>IFERROR(__xludf.DUMMYFUNCTION("""COMPUTED_VALUE"""),"sdh fu, tidak ada jawaban, gagal lewat taggal")</f>
        <v>sdh fu, tidak ada jawaban, gagal lewat taggal</v>
      </c>
      <c r="L425" s="49"/>
      <c r="M425" s="20"/>
      <c r="N425" s="20"/>
      <c r="O425" s="20"/>
      <c r="P425" s="20"/>
    </row>
    <row r="426">
      <c r="A426" s="97">
        <f>IFERROR(__xludf.DUMMYFUNCTION("""COMPUTED_VALUE"""),46103.0)</f>
        <v>46103</v>
      </c>
      <c r="B426" s="97" t="str">
        <f>IFERROR(__xludf.DUMMYFUNCTION("""COMPUTED_VALUE"""),"2603D103")</f>
        <v>2603D103</v>
      </c>
      <c r="C426" s="76" t="str">
        <f>IFERROR(__xludf.DUMMYFUNCTION("""COMPUTED_VALUE"""),"sonny")</f>
        <v>sonny</v>
      </c>
      <c r="D426" s="99" t="str">
        <f>IFERROR(__xludf.DUMMYFUNCTION("""COMPUTED_VALUE"""),"08122881781")</f>
        <v>08122881781</v>
      </c>
      <c r="E426" s="25" t="str">
        <f>IFERROR(__xludf.DUMMYFUNCTION("""COMPUTED_VALUE"""),"Website")</f>
        <v>Website</v>
      </c>
      <c r="F426" s="25" t="str">
        <f>IFERROR(__xludf.DUMMYFUNCTION("""COMPUTED_VALUE"""),"Gagal")</f>
        <v>Gagal</v>
      </c>
      <c r="G426" s="25" t="str">
        <f>IFERROR(__xludf.DUMMYFUNCTION("""COMPUTED_VALUE"""),"tabuhan menjangan")</f>
        <v>tabuhan menjangan</v>
      </c>
      <c r="H426" s="16">
        <f>IFERROR(__xludf.DUMMYFUNCTION("""COMPUTED_VALUE"""),46104.0)</f>
        <v>46104</v>
      </c>
      <c r="I426" s="17">
        <f>IFERROR(__xludf.DUMMYFUNCTION("""COMPUTED_VALUE"""),8.0)</f>
        <v>8</v>
      </c>
      <c r="J426" s="54">
        <f>IFERROR(__xludf.DUMMYFUNCTION("""COMPUTED_VALUE"""),3536000.0)</f>
        <v>3536000</v>
      </c>
      <c r="K426" s="46" t="str">
        <f>IFERROR(__xludf.DUMMYFUNCTION("""COMPUTED_VALUE"""),"fullbooked ")</f>
        <v>fullbooked </v>
      </c>
      <c r="L426" s="76"/>
      <c r="M426" s="20"/>
      <c r="N426" s="20"/>
      <c r="O426" s="20"/>
      <c r="P426" s="20"/>
    </row>
    <row r="427">
      <c r="A427" s="110">
        <f>IFERROR(__xludf.DUMMYFUNCTION("""COMPUTED_VALUE"""),46103.0)</f>
        <v>46103</v>
      </c>
      <c r="B427" s="110" t="str">
        <f>IFERROR(__xludf.DUMMYFUNCTION("""COMPUTED_VALUE"""),"2603D104")</f>
        <v>2603D104</v>
      </c>
      <c r="C427" s="49" t="str">
        <f>IFERROR(__xludf.DUMMYFUNCTION("""COMPUTED_VALUE"""),"no name")</f>
        <v>no name</v>
      </c>
      <c r="D427" s="102" t="str">
        <f>IFERROR(__xludf.DUMMYFUNCTION("""COMPUTED_VALUE"""),"081233967366")</f>
        <v>081233967366</v>
      </c>
      <c r="E427" s="25" t="str">
        <f>IFERROR(__xludf.DUMMYFUNCTION("""COMPUTED_VALUE"""),"Lainnya")</f>
        <v>Lainnya</v>
      </c>
      <c r="F427" s="25" t="str">
        <f>IFERROR(__xludf.DUMMYFUNCTION("""COMPUTED_VALUE"""),"Gagal")</f>
        <v>Gagal</v>
      </c>
      <c r="G427" s="25" t="str">
        <f>IFERROR(__xludf.DUMMYFUNCTION("""COMPUTED_VALUE"""),"one day trip")</f>
        <v>one day trip</v>
      </c>
      <c r="H427" s="26">
        <f>IFERROR(__xludf.DUMMYFUNCTION("""COMPUTED_VALUE"""),46104.0)</f>
        <v>46104</v>
      </c>
      <c r="I427" s="27"/>
      <c r="J427" s="33"/>
      <c r="K427" s="30" t="str">
        <f>IFERROR(__xludf.DUMMYFUNCTION("""COMPUTED_VALUE"""),"fullbooked ")</f>
        <v>fullbooked </v>
      </c>
      <c r="L427" s="49"/>
      <c r="M427" s="20"/>
      <c r="N427" s="20"/>
      <c r="O427" s="20"/>
      <c r="P427" s="20"/>
    </row>
    <row r="428">
      <c r="A428" s="97">
        <f>IFERROR(__xludf.DUMMYFUNCTION("""COMPUTED_VALUE"""),46103.0)</f>
        <v>46103</v>
      </c>
      <c r="B428" s="97" t="str">
        <f>IFERROR(__xludf.DUMMYFUNCTION("""COMPUTED_VALUE"""),"2603D105")</f>
        <v>2603D105</v>
      </c>
      <c r="C428" s="76" t="str">
        <f>IFERROR(__xludf.DUMMYFUNCTION("""COMPUTED_VALUE"""),"alita")</f>
        <v>alita</v>
      </c>
      <c r="D428" s="99" t="str">
        <f>IFERROR(__xludf.DUMMYFUNCTION("""COMPUTED_VALUE"""),"0818335909")</f>
        <v>0818335909</v>
      </c>
      <c r="E428" s="25" t="str">
        <f>IFERROR(__xludf.DUMMYFUNCTION("""COMPUTED_VALUE"""),"Instagram")</f>
        <v>Instagram</v>
      </c>
      <c r="F428" s="25" t="str">
        <f>IFERROR(__xludf.DUMMYFUNCTION("""COMPUTED_VALUE"""),"Gagal")</f>
        <v>Gagal</v>
      </c>
      <c r="G428" s="25"/>
      <c r="H428" s="92"/>
      <c r="I428" s="80"/>
      <c r="J428" s="93"/>
      <c r="K428" s="19" t="str">
        <f>IFERROR(__xludf.DUMMYFUNCTION("""COMPUTED_VALUE"""),"hanya menyapa. ")</f>
        <v>hanya menyapa. </v>
      </c>
      <c r="L428" s="88" t="str">
        <f>IFERROR(__xludf.DUMMYFUNCTION("""COMPUTED_VALUE"""),"https://docs.google.com/document/d/1BgXKXWReknvsaVDha8u_CC2HO3oT8_bO3Bgg3JZIUMI/edit?tab=t.0")</f>
        <v>https://docs.google.com/document/d/1BgXKXWReknvsaVDha8u_CC2HO3oT8_bO3Bgg3JZIUMI/edit?tab=t.0</v>
      </c>
      <c r="M428" s="20"/>
      <c r="N428" s="20"/>
      <c r="O428" s="20"/>
      <c r="P428" s="20"/>
    </row>
    <row r="429">
      <c r="A429" s="110">
        <f>IFERROR(__xludf.DUMMYFUNCTION("""COMPUTED_VALUE"""),46104.0)</f>
        <v>46104</v>
      </c>
      <c r="B429" s="110" t="str">
        <f>IFERROR(__xludf.DUMMYFUNCTION("""COMPUTED_VALUE"""),"2603D106")</f>
        <v>2603D106</v>
      </c>
      <c r="C429" s="49" t="str">
        <f>IFERROR(__xludf.DUMMYFUNCTION("""COMPUTED_VALUE"""),"no name")</f>
        <v>no name</v>
      </c>
      <c r="D429" s="102" t="str">
        <f>IFERROR(__xludf.DUMMYFUNCTION("""COMPUTED_VALUE"""),"085641517949")</f>
        <v>085641517949</v>
      </c>
      <c r="E429" s="25" t="str">
        <f>IFERROR(__xludf.DUMMYFUNCTION("""COMPUTED_VALUE"""),"Instagram")</f>
        <v>Instagram</v>
      </c>
      <c r="F429" s="25" t="str">
        <f>IFERROR(__xludf.DUMMYFUNCTION("""COMPUTED_VALUE"""),"Gagal")</f>
        <v>Gagal</v>
      </c>
      <c r="G429" s="25" t="str">
        <f>IFERROR(__xludf.DUMMYFUNCTION("""COMPUTED_VALUE"""),"1D Djawatan Baluran ")</f>
        <v>1D Djawatan Baluran </v>
      </c>
      <c r="H429" s="78">
        <f>IFERROR(__xludf.DUMMYFUNCTION("""COMPUTED_VALUE"""),46104.0)</f>
        <v>46104</v>
      </c>
      <c r="I429" s="89"/>
      <c r="J429" s="96"/>
      <c r="K429" s="30" t="str">
        <f>IFERROR(__xludf.DUMMYFUNCTION("""COMPUTED_VALUE"""),"fullbooked ")</f>
        <v>fullbooked </v>
      </c>
      <c r="L429" s="49"/>
      <c r="M429" s="20"/>
      <c r="N429" s="20"/>
      <c r="O429" s="20"/>
      <c r="P429" s="20"/>
    </row>
    <row r="430">
      <c r="A430" s="97">
        <f>IFERROR(__xludf.DUMMYFUNCTION("""COMPUTED_VALUE"""),46104.0)</f>
        <v>46104</v>
      </c>
      <c r="B430" s="97" t="str">
        <f>IFERROR(__xludf.DUMMYFUNCTION("""COMPUTED_VALUE"""),"2603D107")</f>
        <v>2603D107</v>
      </c>
      <c r="C430" s="76" t="str">
        <f>IFERROR(__xludf.DUMMYFUNCTION("""COMPUTED_VALUE"""),"Yusuf YF")</f>
        <v>Yusuf YF</v>
      </c>
      <c r="D430" s="99" t="str">
        <f>IFERROR(__xludf.DUMMYFUNCTION("""COMPUTED_VALUE"""),"085853080073")</f>
        <v>085853080073</v>
      </c>
      <c r="E430" s="25" t="str">
        <f>IFERROR(__xludf.DUMMYFUNCTION("""COMPUTED_VALUE"""),"Website")</f>
        <v>Website</v>
      </c>
      <c r="F430" s="25" t="str">
        <f>IFERROR(__xludf.DUMMYFUNCTION("""COMPUTED_VALUE"""),"Gagal")</f>
        <v>Gagal</v>
      </c>
      <c r="G430" s="25" t="str">
        <f>IFERROR(__xludf.DUMMYFUNCTION("""COMPUTED_VALUE"""),"2h1m pelepasan tukik")</f>
        <v>2h1m pelepasan tukik</v>
      </c>
      <c r="H430" s="92">
        <f>IFERROR(__xludf.DUMMYFUNCTION("""COMPUTED_VALUE"""),46110.0)</f>
        <v>46110</v>
      </c>
      <c r="I430" s="80">
        <f>IFERROR(__xludf.DUMMYFUNCTION("""COMPUTED_VALUE"""),3.0)</f>
        <v>3</v>
      </c>
      <c r="J430" s="93"/>
      <c r="K430" s="46" t="str">
        <f>IFERROR(__xludf.DUMMYFUNCTION("""COMPUTED_VALUE"""),"pelepasan penyu, belum tersedia. lain kali")</f>
        <v>pelepasan penyu, belum tersedia. lain kali</v>
      </c>
      <c r="L430" s="76"/>
      <c r="M430" s="20"/>
      <c r="N430" s="20"/>
      <c r="O430" s="20"/>
      <c r="P430" s="20"/>
    </row>
    <row r="431">
      <c r="A431" s="126">
        <f>IFERROR(__xludf.DUMMYFUNCTION("""COMPUTED_VALUE"""),46104.0)</f>
        <v>46104</v>
      </c>
      <c r="B431" s="110" t="str">
        <f>IFERROR(__xludf.DUMMYFUNCTION("""COMPUTED_VALUE"""),"2603D108")</f>
        <v>2603D108</v>
      </c>
      <c r="C431" s="49" t="str">
        <f>IFERROR(__xludf.DUMMYFUNCTION("""COMPUTED_VALUE"""),"dianar")</f>
        <v>dianar</v>
      </c>
      <c r="D431" s="102" t="str">
        <f>IFERROR(__xludf.DUMMYFUNCTION("""COMPUTED_VALUE"""),"085693302022")</f>
        <v>085693302022</v>
      </c>
      <c r="E431" s="25" t="str">
        <f>IFERROR(__xludf.DUMMYFUNCTION("""COMPUTED_VALUE"""),"Website")</f>
        <v>Website</v>
      </c>
      <c r="F431" s="25" t="str">
        <f>IFERROR(__xludf.DUMMYFUNCTION("""COMPUTED_VALUE"""),"Gagal")</f>
        <v>Gagal</v>
      </c>
      <c r="G431" s="25" t="str">
        <f>IFERROR(__xludf.DUMMYFUNCTION("""COMPUTED_VALUE"""),"wurung - Djawatan ")</f>
        <v>wurung - Djawatan </v>
      </c>
      <c r="H431" s="78">
        <f>IFERROR(__xludf.DUMMYFUNCTION("""COMPUTED_VALUE"""),46106.0)</f>
        <v>46106</v>
      </c>
      <c r="I431" s="27">
        <f>IFERROR(__xludf.DUMMYFUNCTION("""COMPUTED_VALUE"""),7.0)</f>
        <v>7</v>
      </c>
      <c r="J431" s="33">
        <f>IFERROR(__xludf.DUMMYFUNCTION("""COMPUTED_VALUE"""),6405000.0)</f>
        <v>6405000</v>
      </c>
      <c r="K431" s="30" t="str">
        <f>IFERROR(__xludf.DUMMYFUNCTION("""COMPUTED_VALUE"""),"lewat tanggal, gagal")</f>
        <v>lewat tanggal, gagal</v>
      </c>
      <c r="L431" s="49"/>
      <c r="M431" s="20"/>
      <c r="N431" s="20"/>
      <c r="O431" s="20"/>
      <c r="P431" s="20"/>
    </row>
    <row r="432">
      <c r="A432" s="97">
        <f>IFERROR(__xludf.DUMMYFUNCTION("""COMPUTED_VALUE"""),46104.0)</f>
        <v>46104</v>
      </c>
      <c r="B432" s="97" t="str">
        <f>IFERROR(__xludf.DUMMYFUNCTION("""COMPUTED_VALUE"""),"2603D109")</f>
        <v>2603D109</v>
      </c>
      <c r="C432" s="76" t="str">
        <f>IFERROR(__xludf.DUMMYFUNCTION("""COMPUTED_VALUE"""),"SHSUTANTO")</f>
        <v>SHSUTANTO</v>
      </c>
      <c r="D432" s="99" t="str">
        <f>IFERROR(__xludf.DUMMYFUNCTION("""COMPUTED_VALUE"""),"0817340040")</f>
        <v>0817340040</v>
      </c>
      <c r="E432" s="25" t="str">
        <f>IFERROR(__xludf.DUMMYFUNCTION("""COMPUTED_VALUE"""),"Lainnya")</f>
        <v>Lainnya</v>
      </c>
      <c r="F432" s="25" t="str">
        <f>IFERROR(__xludf.DUMMYFUNCTION("""COMPUTED_VALUE"""),"Gagal")</f>
        <v>Gagal</v>
      </c>
      <c r="G432" s="25" t="str">
        <f>IFERROR(__xludf.DUMMYFUNCTION("""COMPUTED_VALUE"""),"2h1m custom")</f>
        <v>2h1m custom</v>
      </c>
      <c r="H432" s="92"/>
      <c r="I432" s="80">
        <f>IFERROR(__xludf.DUMMYFUNCTION("""COMPUTED_VALUE"""),2.0)</f>
        <v>2</v>
      </c>
      <c r="J432" s="93">
        <f>IFERROR(__xludf.DUMMYFUNCTION("""COMPUTED_VALUE"""),2800000.0)</f>
        <v>2800000</v>
      </c>
      <c r="K432" s="46" t="str">
        <f>IFERROR(__xludf.DUMMYFUNCTION("""COMPUTED_VALUE"""),"sudah FU tidak ada balasan")</f>
        <v>sudah FU tidak ada balasan</v>
      </c>
      <c r="L432" s="88" t="str">
        <f>IFERROR(__xludf.DUMMYFUNCTION("""COMPUTED_VALUE"""),"https://docs.google.com/document/d/1BScTqXtBpVmHyV0rwDE7lm9BgAh5V5avOqfvqx7BwdQ/edit?tab=t.0")</f>
        <v>https://docs.google.com/document/d/1BScTqXtBpVmHyV0rwDE7lm9BgAh5V5avOqfvqx7BwdQ/edit?tab=t.0</v>
      </c>
      <c r="M432" s="20"/>
      <c r="N432" s="20"/>
      <c r="O432" s="20"/>
      <c r="P432" s="20"/>
    </row>
    <row r="433">
      <c r="A433" s="110">
        <f>IFERROR(__xludf.DUMMYFUNCTION("""COMPUTED_VALUE"""),46104.0)</f>
        <v>46104</v>
      </c>
      <c r="B433" s="110" t="str">
        <f>IFERROR(__xludf.DUMMYFUNCTION("""COMPUTED_VALUE"""),"2603D110")</f>
        <v>2603D110</v>
      </c>
      <c r="C433" s="49" t="str">
        <f>IFERROR(__xludf.DUMMYFUNCTION("""COMPUTED_VALUE"""),"Fit Ummu Kenzie")</f>
        <v>Fit Ummu Kenzie</v>
      </c>
      <c r="D433" s="102" t="str">
        <f>IFERROR(__xludf.DUMMYFUNCTION("""COMPUTED_VALUE"""),"081214842048")</f>
        <v>081214842048</v>
      </c>
      <c r="E433" s="25" t="str">
        <f>IFERROR(__xludf.DUMMYFUNCTION("""COMPUTED_VALUE"""),"Instagram")</f>
        <v>Instagram</v>
      </c>
      <c r="F433" s="25" t="str">
        <f>IFERROR(__xludf.DUMMYFUNCTION("""COMPUTED_VALUE"""),"Gagal")</f>
        <v>Gagal</v>
      </c>
      <c r="G433" s="25"/>
      <c r="H433" s="78"/>
      <c r="I433" s="89"/>
      <c r="J433" s="96"/>
      <c r="K433" s="30" t="str">
        <f>IFERROR(__xludf.DUMMYFUNCTION("""COMPUTED_VALUE"""),"gaa bales lagi")</f>
        <v>gaa bales lagi</v>
      </c>
      <c r="L433" s="49"/>
      <c r="M433" s="20"/>
      <c r="N433" s="20"/>
      <c r="O433" s="20"/>
      <c r="P433" s="20"/>
    </row>
    <row r="434">
      <c r="A434" s="97">
        <f>IFERROR(__xludf.DUMMYFUNCTION("""COMPUTED_VALUE"""),46105.0)</f>
        <v>46105</v>
      </c>
      <c r="B434" s="97" t="str">
        <f>IFERROR(__xludf.DUMMYFUNCTION("""COMPUTED_VALUE"""),"2603D111")</f>
        <v>2603D111</v>
      </c>
      <c r="C434" s="76" t="str">
        <f>IFERROR(__xludf.DUMMYFUNCTION("""COMPUTED_VALUE"""),"Yusmianto Use")</f>
        <v>Yusmianto Use</v>
      </c>
      <c r="D434" s="99" t="str">
        <f>IFERROR(__xludf.DUMMYFUNCTION("""COMPUTED_VALUE"""),"081460004147")</f>
        <v>081460004147</v>
      </c>
      <c r="E434" s="25" t="str">
        <f>IFERROR(__xludf.DUMMYFUNCTION("""COMPUTED_VALUE"""),"Website")</f>
        <v>Website</v>
      </c>
      <c r="F434" s="25" t="str">
        <f>IFERROR(__xludf.DUMMYFUNCTION("""COMPUTED_VALUE"""),"Closing")</f>
        <v>Closing</v>
      </c>
      <c r="G434" s="25" t="str">
        <f>IFERROR(__xludf.DUMMYFUNCTION("""COMPUTED_VALUE"""),"trip 1d teluk ijo ")</f>
        <v>trip 1d teluk ijo </v>
      </c>
      <c r="H434" s="92">
        <f>IFERROR(__xludf.DUMMYFUNCTION("""COMPUTED_VALUE"""),46107.0)</f>
        <v>46107</v>
      </c>
      <c r="I434" s="80">
        <f>IFERROR(__xludf.DUMMYFUNCTION("""COMPUTED_VALUE"""),5.0)</f>
        <v>5</v>
      </c>
      <c r="J434" s="93">
        <f>IFERROR(__xludf.DUMMYFUNCTION("""COMPUTED_VALUE"""),3037500.0)</f>
        <v>3037500</v>
      </c>
      <c r="K434" s="46" t="str">
        <f>IFERROR(__xludf.DUMMYFUNCTION("""COMPUTED_VALUE"""),"ALHAMDULILLAH ORDER LAGIII")</f>
        <v>ALHAMDULILLAH ORDER LAGIII</v>
      </c>
      <c r="L434" s="88" t="str">
        <f>IFERROR(__xludf.DUMMYFUNCTION("""COMPUTED_VALUE"""),"https://docs.google.com/document/d/1HiIhsYUVmorMXWR0uY0zfQHqNuTwlJP0ErjaqLpV__U/edit?tab=t.0")</f>
        <v>https://docs.google.com/document/d/1HiIhsYUVmorMXWR0uY0zfQHqNuTwlJP0ErjaqLpV__U/edit?tab=t.0</v>
      </c>
      <c r="M434" s="20"/>
      <c r="N434" s="20"/>
      <c r="O434" s="20"/>
      <c r="P434" s="20"/>
    </row>
    <row r="435">
      <c r="A435" s="110">
        <f>IFERROR(__xludf.DUMMYFUNCTION("""COMPUTED_VALUE"""),46105.0)</f>
        <v>46105</v>
      </c>
      <c r="B435" s="110" t="str">
        <f>IFERROR(__xludf.DUMMYFUNCTION("""COMPUTED_VALUE"""),"2603D112")</f>
        <v>2603D112</v>
      </c>
      <c r="C435" s="49" t="str">
        <f>IFERROR(__xludf.DUMMYFUNCTION("""COMPUTED_VALUE"""),"Trulli")</f>
        <v>Trulli</v>
      </c>
      <c r="D435" s="102" t="str">
        <f>IFERROR(__xludf.DUMMYFUNCTION("""COMPUTED_VALUE"""),"085731608891")</f>
        <v>085731608891</v>
      </c>
      <c r="E435" s="25" t="str">
        <f>IFERROR(__xludf.DUMMYFUNCTION("""COMPUTED_VALUE"""),"Website")</f>
        <v>Website</v>
      </c>
      <c r="F435" s="25" t="str">
        <f>IFERROR(__xludf.DUMMYFUNCTION("""COMPUTED_VALUE"""),"Gagal")</f>
        <v>Gagal</v>
      </c>
      <c r="G435" s="25"/>
      <c r="H435" s="78"/>
      <c r="I435" s="89"/>
      <c r="J435" s="96"/>
      <c r="K435" s="30" t="str">
        <f>IFERROR(__xludf.DUMMYFUNCTION("""COMPUTED_VALUE"""),"hanya menyapa saja, tidak ada jawaban")</f>
        <v>hanya menyapa saja, tidak ada jawaban</v>
      </c>
      <c r="L435" s="49"/>
      <c r="M435" s="20"/>
      <c r="N435" s="20"/>
      <c r="O435" s="20"/>
      <c r="P435" s="20"/>
    </row>
    <row r="436">
      <c r="A436" s="97">
        <f>IFERROR(__xludf.DUMMYFUNCTION("""COMPUTED_VALUE"""),46105.0)</f>
        <v>46105</v>
      </c>
      <c r="B436" s="97" t="str">
        <f>IFERROR(__xludf.DUMMYFUNCTION("""COMPUTED_VALUE"""),"2603D113")</f>
        <v>2603D113</v>
      </c>
      <c r="C436" s="76" t="str">
        <f>IFERROR(__xludf.DUMMYFUNCTION("""COMPUTED_VALUE"""),"Fitri Kartikasari")</f>
        <v>Fitri Kartikasari</v>
      </c>
      <c r="D436" s="99" t="str">
        <f>IFERROR(__xludf.DUMMYFUNCTION("""COMPUTED_VALUE"""),"085183106701")</f>
        <v>085183106701</v>
      </c>
      <c r="E436" s="25" t="str">
        <f>IFERROR(__xludf.DUMMYFUNCTION("""COMPUTED_VALUE"""),"Instagram")</f>
        <v>Instagram</v>
      </c>
      <c r="F436" s="25" t="str">
        <f>IFERROR(__xludf.DUMMYFUNCTION("""COMPUTED_VALUE"""),"Gagal")</f>
        <v>Gagal</v>
      </c>
      <c r="G436" s="25"/>
      <c r="H436" s="92"/>
      <c r="I436" s="17"/>
      <c r="J436" s="54"/>
      <c r="K436" s="46" t="str">
        <f>IFERROR(__xludf.DUMMYFUNCTION("""COMPUTED_VALUE"""),"hanya menyapa saja")</f>
        <v>hanya menyapa saja</v>
      </c>
      <c r="L436" s="10"/>
      <c r="M436" s="20"/>
      <c r="N436" s="20"/>
      <c r="O436" s="20"/>
      <c r="P436" s="20"/>
    </row>
    <row r="437">
      <c r="A437" s="110">
        <f>IFERROR(__xludf.DUMMYFUNCTION("""COMPUTED_VALUE"""),46105.0)</f>
        <v>46105</v>
      </c>
      <c r="B437" s="110" t="str">
        <f>IFERROR(__xludf.DUMMYFUNCTION("""COMPUTED_VALUE"""),"2603D114")</f>
        <v>2603D114</v>
      </c>
      <c r="C437" s="49" t="str">
        <f>IFERROR(__xludf.DUMMYFUNCTION("""COMPUTED_VALUE"""),"Dina Rizkia Iskandar ")</f>
        <v>Dina Rizkia Iskandar </v>
      </c>
      <c r="D437" s="102" t="str">
        <f>IFERROR(__xludf.DUMMYFUNCTION("""COMPUTED_VALUE"""),"085885424452")</f>
        <v>085885424452</v>
      </c>
      <c r="E437" s="25" t="str">
        <f>IFERROR(__xludf.DUMMYFUNCTION("""COMPUTED_VALUE"""),"Instagram")</f>
        <v>Instagram</v>
      </c>
      <c r="F437" s="25" t="str">
        <f>IFERROR(__xludf.DUMMYFUNCTION("""COMPUTED_VALUE"""),"Closing")</f>
        <v>Closing</v>
      </c>
      <c r="G437" s="25" t="str">
        <f>IFERROR(__xludf.DUMMYFUNCTION("""COMPUTED_VALUE"""),"Menjangan Tabuhan ")</f>
        <v>Menjangan Tabuhan </v>
      </c>
      <c r="H437" s="26">
        <f>IFERROR(__xludf.DUMMYFUNCTION("""COMPUTED_VALUE"""),46157.0)</f>
        <v>46157</v>
      </c>
      <c r="I437" s="27">
        <f>IFERROR(__xludf.DUMMYFUNCTION("""COMPUTED_VALUE"""),2.0)</f>
        <v>2</v>
      </c>
      <c r="J437" s="33">
        <f>IFERROR(__xludf.DUMMYFUNCTION("""COMPUTED_VALUE"""),1700000.0)</f>
        <v>1700000</v>
      </c>
      <c r="K437" s="30" t="str">
        <f>IFERROR(__xludf.DUMMYFUNCTION("""COMPUTED_VALUE"""),"orderrr")</f>
        <v>orderrr</v>
      </c>
      <c r="L437" s="49"/>
      <c r="M437" s="20"/>
      <c r="N437" s="20"/>
      <c r="O437" s="20"/>
      <c r="P437" s="20"/>
    </row>
    <row r="438">
      <c r="A438" s="97">
        <f>IFERROR(__xludf.DUMMYFUNCTION("""COMPUTED_VALUE"""),46105.0)</f>
        <v>46105</v>
      </c>
      <c r="B438" s="97" t="str">
        <f>IFERROR(__xludf.DUMMYFUNCTION("""COMPUTED_VALUE"""),"2603D115")</f>
        <v>2603D115</v>
      </c>
      <c r="C438" s="76" t="str">
        <f>IFERROR(__xludf.DUMMYFUNCTION("""COMPUTED_VALUE"""),"Rina Marlina")</f>
        <v>Rina Marlina</v>
      </c>
      <c r="D438" s="99" t="str">
        <f>IFERROR(__xludf.DUMMYFUNCTION("""COMPUTED_VALUE"""),"085779848323")</f>
        <v>085779848323</v>
      </c>
      <c r="E438" s="25" t="str">
        <f>IFERROR(__xludf.DUMMYFUNCTION("""COMPUTED_VALUE"""),"Instagram")</f>
        <v>Instagram</v>
      </c>
      <c r="F438" s="25" t="str">
        <f>IFERROR(__xludf.DUMMYFUNCTION("""COMPUTED_VALUE"""),"Gagal")</f>
        <v>Gagal</v>
      </c>
      <c r="G438" s="25" t="str">
        <f>IFERROR(__xludf.DUMMYFUNCTION("""COMPUTED_VALUE"""),"3H2M ")</f>
        <v>3H2M </v>
      </c>
      <c r="H438" s="92"/>
      <c r="I438" s="80">
        <f>IFERROR(__xludf.DUMMYFUNCTION("""COMPUTED_VALUE"""),1.0)</f>
        <v>1</v>
      </c>
      <c r="J438" s="93">
        <f>IFERROR(__xludf.DUMMYFUNCTION("""COMPUTED_VALUE"""),1600000.0)</f>
        <v>1600000</v>
      </c>
      <c r="K438" s="19" t="str">
        <f>IFERROR(__xludf.DUMMYFUNCTION("""COMPUTED_VALUE"""),"sudah daftar di agent lain")</f>
        <v>sudah daftar di agent lain</v>
      </c>
      <c r="L438" s="76"/>
      <c r="M438" s="20"/>
      <c r="N438" s="20"/>
      <c r="O438" s="20"/>
      <c r="P438" s="20"/>
    </row>
    <row r="439">
      <c r="A439" s="110">
        <f>IFERROR(__xludf.DUMMYFUNCTION("""COMPUTED_VALUE"""),46105.0)</f>
        <v>46105</v>
      </c>
      <c r="B439" s="110" t="str">
        <f>IFERROR(__xludf.DUMMYFUNCTION("""COMPUTED_VALUE"""),"2603D116")</f>
        <v>2603D116</v>
      </c>
      <c r="C439" s="49" t="str">
        <f>IFERROR(__xludf.DUMMYFUNCTION("""COMPUTED_VALUE"""),"CC U&amp;I PRODUCT &amp; CONTRACTING (RUTH)")</f>
        <v>CC U&amp;I PRODUCT &amp; CONTRACTING (RUTH)</v>
      </c>
      <c r="D439" s="102" t="str">
        <f>IFERROR(__xludf.DUMMYFUNCTION("""COMPUTED_VALUE"""),"081519307720")</f>
        <v>081519307720</v>
      </c>
      <c r="E439" s="25" t="str">
        <f>IFERROR(__xludf.DUMMYFUNCTION("""COMPUTED_VALUE"""),"Lainnya")</f>
        <v>Lainnya</v>
      </c>
      <c r="F439" s="25" t="str">
        <f>IFERROR(__xludf.DUMMYFUNCTION("""COMPUTED_VALUE"""),"Qualified")</f>
        <v>Qualified</v>
      </c>
      <c r="G439" s="25" t="str">
        <f>IFERROR(__xludf.DUMMYFUNCTION("""COMPUTED_VALUE"""),"ijen")</f>
        <v>ijen</v>
      </c>
      <c r="H439" s="78"/>
      <c r="I439" s="89">
        <f>IFERROR(__xludf.DUMMYFUNCTION("""COMPUTED_VALUE"""),46083.0)</f>
        <v>46083</v>
      </c>
      <c r="J439" s="96">
        <f>IFERROR(__xludf.DUMMYFUNCTION("""COMPUTED_VALUE"""),2850000.0)</f>
        <v>2850000</v>
      </c>
      <c r="K439" s="30" t="str">
        <f>IFERROR(__xludf.DUMMYFUNCTION("""COMPUTED_VALUE"""),"fu 20 mei ")</f>
        <v>fu 20 mei </v>
      </c>
      <c r="L439" s="81" t="str">
        <f>IFERROR(__xludf.DUMMYFUNCTION("""COMPUTED_VALUE"""),"https://docs.google.com/document/d/1bWDLC_S1dDdqUJIl6l8SadiOJ_wEc2KGgd1yRhuL91c/edit?tab=t.0")</f>
        <v>https://docs.google.com/document/d/1bWDLC_S1dDdqUJIl6l8SadiOJ_wEc2KGgd1yRhuL91c/edit?tab=t.0</v>
      </c>
      <c r="M439" s="20"/>
      <c r="N439" s="20"/>
      <c r="O439" s="20"/>
      <c r="P439" s="20"/>
    </row>
    <row r="440">
      <c r="A440" s="97">
        <f>IFERROR(__xludf.DUMMYFUNCTION("""COMPUTED_VALUE"""),46105.0)</f>
        <v>46105</v>
      </c>
      <c r="B440" s="97" t="str">
        <f>IFERROR(__xludf.DUMMYFUNCTION("""COMPUTED_VALUE"""),"2603D117")</f>
        <v>2603D117</v>
      </c>
      <c r="C440" s="76" t="str">
        <f>IFERROR(__xludf.DUMMYFUNCTION("""COMPUTED_VALUE"""),"ERP Ninis")</f>
        <v>ERP Ninis</v>
      </c>
      <c r="D440" s="99" t="str">
        <f>IFERROR(__xludf.DUMMYFUNCTION("""COMPUTED_VALUE"""),"081325285117")</f>
        <v>081325285117</v>
      </c>
      <c r="E440" s="25" t="str">
        <f>IFERROR(__xludf.DUMMYFUNCTION("""COMPUTED_VALUE"""),"Lainnya")</f>
        <v>Lainnya</v>
      </c>
      <c r="F440" s="25" t="str">
        <f>IFERROR(__xludf.DUMMYFUNCTION("""COMPUTED_VALUE"""),"Gagal")</f>
        <v>Gagal</v>
      </c>
      <c r="G440" s="25" t="str">
        <f>IFERROR(__xludf.DUMMYFUNCTION("""COMPUTED_VALUE"""),"3h2m ")</f>
        <v>3h2m </v>
      </c>
      <c r="H440" s="92"/>
      <c r="I440" s="17">
        <f>IFERROR(__xludf.DUMMYFUNCTION("""COMPUTED_VALUE"""),2.0)</f>
        <v>2</v>
      </c>
      <c r="J440" s="93">
        <f>IFERROR(__xludf.DUMMYFUNCTION("""COMPUTED_VALUE"""),6128000.0)</f>
        <v>6128000</v>
      </c>
      <c r="K440" s="46" t="str">
        <f>IFERROR(__xludf.DUMMYFUNCTION("""COMPUTED_VALUE"""),"belum jadi untuk saat ini")</f>
        <v>belum jadi untuk saat ini</v>
      </c>
      <c r="L440" s="88" t="str">
        <f>IFERROR(__xludf.DUMMYFUNCTION("""COMPUTED_VALUE"""),"https://docs.google.com/document/d/1DMMts7_QbzPyB1W58DRSGL4WPjjxYmk128R6KzvFYrU/edit?tab=t.0")</f>
        <v>https://docs.google.com/document/d/1DMMts7_QbzPyB1W58DRSGL4WPjjxYmk128R6KzvFYrU/edit?tab=t.0</v>
      </c>
      <c r="M440" s="20"/>
      <c r="N440" s="20"/>
      <c r="O440" s="20"/>
      <c r="P440" s="20"/>
    </row>
    <row r="441">
      <c r="A441" s="110">
        <f>IFERROR(__xludf.DUMMYFUNCTION("""COMPUTED_VALUE"""),46105.0)</f>
        <v>46105</v>
      </c>
      <c r="B441" s="110" t="str">
        <f>IFERROR(__xludf.DUMMYFUNCTION("""COMPUTED_VALUE"""),"2603D118")</f>
        <v>2603D118</v>
      </c>
      <c r="C441" s="49" t="str">
        <f>IFERROR(__xludf.DUMMYFUNCTION("""COMPUTED_VALUE"""),"Fadzilah Fadjar")</f>
        <v>Fadzilah Fadjar</v>
      </c>
      <c r="D441" s="24" t="str">
        <f>IFERROR(__xludf.DUMMYFUNCTION("""COMPUTED_VALUE"""),"081371900435")</f>
        <v>081371900435</v>
      </c>
      <c r="E441" s="25" t="str">
        <f>IFERROR(__xludf.DUMMYFUNCTION("""COMPUTED_VALUE"""),"Instagram")</f>
        <v>Instagram</v>
      </c>
      <c r="F441" s="25" t="str">
        <f>IFERROR(__xludf.DUMMYFUNCTION("""COMPUTED_VALUE"""),"Review")</f>
        <v>Review</v>
      </c>
      <c r="G441" s="25" t="str">
        <f>IFERROR(__xludf.DUMMYFUNCTION("""COMPUTED_VALUE"""),"3H2M")</f>
        <v>3H2M</v>
      </c>
      <c r="H441" s="78">
        <f>IFERROR(__xludf.DUMMYFUNCTION("""COMPUTED_VALUE"""),46112.0)</f>
        <v>46112</v>
      </c>
      <c r="I441" s="89">
        <f>IFERROR(__xludf.DUMMYFUNCTION("""COMPUTED_VALUE"""),2.0)</f>
        <v>2</v>
      </c>
      <c r="J441" s="96">
        <f>IFERROR(__xludf.DUMMYFUNCTION("""COMPUTED_VALUE"""),2050000.0)</f>
        <v>2050000</v>
      </c>
      <c r="K441" s="30" t="str">
        <f>IFERROR(__xludf.DUMMYFUNCTION("""COMPUTED_VALUE"""),"orderr")</f>
        <v>orderr</v>
      </c>
      <c r="L441" s="81" t="str">
        <f>IFERROR(__xludf.DUMMYFUNCTION("""COMPUTED_VALUE"""),"https://docs.google.com/document/d/1VPgo7XKuoTR4N0OdQnG73oienUtNQfE4-AdhXN21WHc/edit?tab=t.0")</f>
        <v>https://docs.google.com/document/d/1VPgo7XKuoTR4N0OdQnG73oienUtNQfE4-AdhXN21WHc/edit?tab=t.0</v>
      </c>
      <c r="M441" s="20"/>
      <c r="N441" s="20"/>
      <c r="O441" s="20"/>
      <c r="P441" s="20"/>
    </row>
    <row r="442">
      <c r="A442" s="97">
        <f>IFERROR(__xludf.DUMMYFUNCTION("""COMPUTED_VALUE"""),46105.0)</f>
        <v>46105</v>
      </c>
      <c r="B442" s="97" t="str">
        <f>IFERROR(__xludf.DUMMYFUNCTION("""COMPUTED_VALUE"""),"2603D119")</f>
        <v>2603D119</v>
      </c>
      <c r="C442" s="76" t="str">
        <f>IFERROR(__xludf.DUMMYFUNCTION("""COMPUTED_VALUE"""),"Putri ")</f>
        <v>Putri </v>
      </c>
      <c r="D442" s="99" t="str">
        <f>IFERROR(__xludf.DUMMYFUNCTION("""COMPUTED_VALUE"""),"085883174655")</f>
        <v>085883174655</v>
      </c>
      <c r="E442" s="25" t="str">
        <f>IFERROR(__xludf.DUMMYFUNCTION("""COMPUTED_VALUE"""),"Instagram")</f>
        <v>Instagram</v>
      </c>
      <c r="F442" s="25" t="str">
        <f>IFERROR(__xludf.DUMMYFUNCTION("""COMPUTED_VALUE"""),"Leads Baru")</f>
        <v>Leads Baru</v>
      </c>
      <c r="G442" s="25" t="str">
        <f>IFERROR(__xludf.DUMMYFUNCTION("""COMPUTED_VALUE"""),"3H2M ")</f>
        <v>3H2M </v>
      </c>
      <c r="H442" s="78"/>
      <c r="I442" s="80">
        <f>IFERROR(__xludf.DUMMYFUNCTION("""COMPUTED_VALUE"""),2.0)</f>
        <v>2</v>
      </c>
      <c r="J442" s="93"/>
      <c r="K442" s="46" t="str">
        <f>IFERROR(__xludf.DUMMYFUNCTION("""COMPUTED_VALUE"""),"FU 3 Juni")</f>
        <v>FU 3 Juni</v>
      </c>
      <c r="L442" s="88" t="str">
        <f>IFERROR(__xludf.DUMMYFUNCTION("""COMPUTED_VALUE"""),"https://docs.google.com/document/d/196Sv2BVHhpvzaSjUz7JM9ou9oQ7qXN_KszUVGpjnL5Q/edit?tab=t.0")</f>
        <v>https://docs.google.com/document/d/196Sv2BVHhpvzaSjUz7JM9ou9oQ7qXN_KszUVGpjnL5Q/edit?tab=t.0</v>
      </c>
      <c r="M442" s="20"/>
      <c r="N442" s="20"/>
      <c r="O442" s="20"/>
      <c r="P442" s="20"/>
    </row>
    <row r="443">
      <c r="A443" s="110">
        <f>IFERROR(__xludf.DUMMYFUNCTION("""COMPUTED_VALUE"""),46105.0)</f>
        <v>46105</v>
      </c>
      <c r="B443" s="110" t="str">
        <f>IFERROR(__xludf.DUMMYFUNCTION("""COMPUTED_VALUE"""),"2603D120")</f>
        <v>2603D120</v>
      </c>
      <c r="C443" s="49" t="str">
        <f>IFERROR(__xludf.DUMMYFUNCTION("""COMPUTED_VALUE"""),"Mizdaaa")</f>
        <v>Mizdaaa</v>
      </c>
      <c r="D443" s="102" t="str">
        <f>IFERROR(__xludf.DUMMYFUNCTION("""COMPUTED_VALUE"""),"085752315174")</f>
        <v>085752315174</v>
      </c>
      <c r="E443" s="25" t="str">
        <f>IFERROR(__xludf.DUMMYFUNCTION("""COMPUTED_VALUE"""),"Instagram")</f>
        <v>Instagram</v>
      </c>
      <c r="F443" s="25" t="str">
        <f>IFERROR(__xludf.DUMMYFUNCTION("""COMPUTED_VALUE"""),"Gagal")</f>
        <v>Gagal</v>
      </c>
      <c r="G443" s="25"/>
      <c r="H443" s="78"/>
      <c r="I443" s="89"/>
      <c r="J443" s="96"/>
      <c r="K443" s="36" t="str">
        <f>IFERROR(__xludf.DUMMYFUNCTION("""COMPUTED_VALUE"""),"menyapa saja")</f>
        <v>menyapa saja</v>
      </c>
      <c r="L443" s="81" t="str">
        <f>IFERROR(__xludf.DUMMYFUNCTION("""COMPUTED_VALUE"""),"https://docs.google.com/document/d/1f3hRHCZqueHPNaTgFUOhJNoTFlQn5jfmB6CWEv2oyto/edit?tab=t.0")</f>
        <v>https://docs.google.com/document/d/1f3hRHCZqueHPNaTgFUOhJNoTFlQn5jfmB6CWEv2oyto/edit?tab=t.0</v>
      </c>
      <c r="M443" s="20"/>
      <c r="N443" s="20"/>
      <c r="O443" s="20"/>
      <c r="P443" s="20"/>
    </row>
    <row r="444">
      <c r="A444" s="97">
        <f>IFERROR(__xludf.DUMMYFUNCTION("""COMPUTED_VALUE"""),46105.0)</f>
        <v>46105</v>
      </c>
      <c r="B444" s="97" t="str">
        <f>IFERROR(__xludf.DUMMYFUNCTION("""COMPUTED_VALUE"""),"2603D121")</f>
        <v>2603D121</v>
      </c>
      <c r="C444" s="76" t="str">
        <f>IFERROR(__xludf.DUMMYFUNCTION("""COMPUTED_VALUE"""),"bungaa")</f>
        <v>bungaa</v>
      </c>
      <c r="D444" s="99" t="str">
        <f>IFERROR(__xludf.DUMMYFUNCTION("""COMPUTED_VALUE"""),"089675814346")</f>
        <v>089675814346</v>
      </c>
      <c r="E444" s="25" t="str">
        <f>IFERROR(__xludf.DUMMYFUNCTION("""COMPUTED_VALUE"""),"Instagram")</f>
        <v>Instagram</v>
      </c>
      <c r="F444" s="25" t="str">
        <f>IFERROR(__xludf.DUMMYFUNCTION("""COMPUTED_VALUE"""),"Gagal")</f>
        <v>Gagal</v>
      </c>
      <c r="G444" s="25" t="str">
        <f>IFERROR(__xludf.DUMMYFUNCTION("""COMPUTED_VALUE"""),"3h2m opsi a")</f>
        <v>3h2m opsi a</v>
      </c>
      <c r="H444" s="92"/>
      <c r="I444" s="80"/>
      <c r="J444" s="93"/>
      <c r="K444" s="46" t="str">
        <f>IFERROR(__xludf.DUMMYFUNCTION("""COMPUTED_VALUE"""),"sudah FU tidak balass")</f>
        <v>sudah FU tidak balass</v>
      </c>
      <c r="L444" s="88" t="str">
        <f>IFERROR(__xludf.DUMMYFUNCTION("""COMPUTED_VALUE"""),"https://docs.google.com/document/d/1vwglbjajmwgPde8hLTU28mP5WOy0Xpq6FsriFihN_RU/edit?tab=t.0#heading=h.37ziu0z3fkpm")</f>
        <v>https://docs.google.com/document/d/1vwglbjajmwgPde8hLTU28mP5WOy0Xpq6FsriFihN_RU/edit?tab=t.0#heading=h.37ziu0z3fkpm</v>
      </c>
      <c r="M444" s="20"/>
      <c r="N444" s="20"/>
      <c r="O444" s="20"/>
      <c r="P444" s="20"/>
    </row>
    <row r="445">
      <c r="A445" s="110">
        <f>IFERROR(__xludf.DUMMYFUNCTION("""COMPUTED_VALUE"""),46106.0)</f>
        <v>46106</v>
      </c>
      <c r="B445" s="110" t="str">
        <f>IFERROR(__xludf.DUMMYFUNCTION("""COMPUTED_VALUE"""),"2603D122")</f>
        <v>2603D122</v>
      </c>
      <c r="C445" s="49" t="str">
        <f>IFERROR(__xludf.DUMMYFUNCTION("""COMPUTED_VALUE"""),"altino")</f>
        <v>altino</v>
      </c>
      <c r="D445" s="102" t="str">
        <f>IFERROR(__xludf.DUMMYFUNCTION("""COMPUTED_VALUE"""),"081250683017")</f>
        <v>081250683017</v>
      </c>
      <c r="E445" s="25" t="str">
        <f>IFERROR(__xludf.DUMMYFUNCTION("""COMPUTED_VALUE"""),"Lainnya")</f>
        <v>Lainnya</v>
      </c>
      <c r="F445" s="25" t="str">
        <f>IFERROR(__xludf.DUMMYFUNCTION("""COMPUTED_VALUE"""),"Gagal")</f>
        <v>Gagal</v>
      </c>
      <c r="G445" s="25" t="str">
        <f>IFERROR(__xludf.DUMMYFUNCTION("""COMPUTED_VALUE"""),"ot ijen")</f>
        <v>ot ijen</v>
      </c>
      <c r="H445" s="78">
        <f>IFERROR(__xludf.DUMMYFUNCTION("""COMPUTED_VALUE"""),46107.0)</f>
        <v>46107</v>
      </c>
      <c r="I445" s="27">
        <f>IFERROR(__xludf.DUMMYFUNCTION("""COMPUTED_VALUE"""),1.0)</f>
        <v>1</v>
      </c>
      <c r="J445" s="33">
        <f>IFERROR(__xludf.DUMMYFUNCTION("""COMPUTED_VALUE"""),300000.0)</f>
        <v>300000</v>
      </c>
      <c r="K445" s="30" t="str">
        <f>IFERROR(__xludf.DUMMYFUNCTION("""COMPUTED_VALUE"""),"lewat tanggal, gada balasan")</f>
        <v>lewat tanggal, gada balasan</v>
      </c>
      <c r="L445" s="76"/>
      <c r="M445" s="20"/>
      <c r="N445" s="20"/>
      <c r="O445" s="20"/>
      <c r="P445" s="20"/>
    </row>
    <row r="446">
      <c r="A446" s="97">
        <f>IFERROR(__xludf.DUMMYFUNCTION("""COMPUTED_VALUE"""),46106.0)</f>
        <v>46106</v>
      </c>
      <c r="B446" s="97" t="str">
        <f>IFERROR(__xludf.DUMMYFUNCTION("""COMPUTED_VALUE"""),"2603D123")</f>
        <v>2603D123</v>
      </c>
      <c r="C446" s="76" t="str">
        <f>IFERROR(__xludf.DUMMYFUNCTION("""COMPUTED_VALUE"""),"Al Hasan")</f>
        <v>Al Hasan</v>
      </c>
      <c r="D446" s="99" t="str">
        <f>IFERROR(__xludf.DUMMYFUNCTION("""COMPUTED_VALUE"""),"085784092260")</f>
        <v>085784092260</v>
      </c>
      <c r="E446" s="25" t="str">
        <f>IFERROR(__xludf.DUMMYFUNCTION("""COMPUTED_VALUE"""),"Instagram")</f>
        <v>Instagram</v>
      </c>
      <c r="F446" s="25" t="str">
        <f>IFERROR(__xludf.DUMMYFUNCTION("""COMPUTED_VALUE"""),"Gagal")</f>
        <v>Gagal</v>
      </c>
      <c r="G446" s="25" t="str">
        <f>IFERROR(__xludf.DUMMYFUNCTION("""COMPUTED_VALUE"""),"OT 3H2M ")</f>
        <v>OT 3H2M </v>
      </c>
      <c r="H446" s="16"/>
      <c r="I446" s="17">
        <f>IFERROR(__xludf.DUMMYFUNCTION("""COMPUTED_VALUE"""),1.0)</f>
        <v>1</v>
      </c>
      <c r="J446" s="54"/>
      <c r="K446" s="46" t="str">
        <f>IFERROR(__xludf.DUMMYFUNCTION("""COMPUTED_VALUE"""),"sdh dapat yg sesuai")</f>
        <v>sdh dapat yg sesuai</v>
      </c>
      <c r="L446" s="76"/>
      <c r="M446" s="20"/>
      <c r="N446" s="20"/>
      <c r="O446" s="20"/>
      <c r="P446" s="20"/>
    </row>
    <row r="447">
      <c r="A447" s="110">
        <f>IFERROR(__xludf.DUMMYFUNCTION("""COMPUTED_VALUE"""),46106.0)</f>
        <v>46106</v>
      </c>
      <c r="B447" s="110" t="str">
        <f>IFERROR(__xludf.DUMMYFUNCTION("""COMPUTED_VALUE"""),"2603D124")</f>
        <v>2603D124</v>
      </c>
      <c r="C447" s="49" t="str">
        <f>IFERROR(__xludf.DUMMYFUNCTION("""COMPUTED_VALUE"""),"Akbar Daulay")</f>
        <v>Akbar Daulay</v>
      </c>
      <c r="D447" s="102" t="str">
        <f>IFERROR(__xludf.DUMMYFUNCTION("""COMPUTED_VALUE"""),"087886639535")</f>
        <v>087886639535</v>
      </c>
      <c r="E447" s="25" t="str">
        <f>IFERROR(__xludf.DUMMYFUNCTION("""COMPUTED_VALUE"""),"Instagram")</f>
        <v>Instagram</v>
      </c>
      <c r="F447" s="25" t="str">
        <f>IFERROR(__xludf.DUMMYFUNCTION("""COMPUTED_VALUE"""),"Gagal")</f>
        <v>Gagal</v>
      </c>
      <c r="G447" s="25"/>
      <c r="H447" s="78"/>
      <c r="I447" s="89"/>
      <c r="J447" s="96"/>
      <c r="K447" s="36" t="str">
        <f>IFERROR(__xludf.DUMMYFUNCTION("""COMPUTED_VALUE"""),"hanya menyapa")</f>
        <v>hanya menyapa</v>
      </c>
      <c r="L447" s="49"/>
      <c r="M447" s="20"/>
      <c r="N447" s="20"/>
      <c r="O447" s="20"/>
      <c r="P447" s="20"/>
    </row>
    <row r="448">
      <c r="A448" s="97">
        <f>IFERROR(__xludf.DUMMYFUNCTION("""COMPUTED_VALUE"""),46106.0)</f>
        <v>46106</v>
      </c>
      <c r="B448" s="97" t="str">
        <f>IFERROR(__xludf.DUMMYFUNCTION("""COMPUTED_VALUE"""),"2603D125")</f>
        <v>2603D125</v>
      </c>
      <c r="C448" s="76" t="str">
        <f>IFERROR(__xludf.DUMMYFUNCTION("""COMPUTED_VALUE"""),"Gina Almirah")</f>
        <v>Gina Almirah</v>
      </c>
      <c r="D448" s="99" t="str">
        <f>IFERROR(__xludf.DUMMYFUNCTION("""COMPUTED_VALUE"""),"082157964277")</f>
        <v>082157964277</v>
      </c>
      <c r="E448" s="25" t="str">
        <f>IFERROR(__xludf.DUMMYFUNCTION("""COMPUTED_VALUE"""),"Website")</f>
        <v>Website</v>
      </c>
      <c r="F448" s="25" t="str">
        <f>IFERROR(__xludf.DUMMYFUNCTION("""COMPUTED_VALUE"""),"Review")</f>
        <v>Review</v>
      </c>
      <c r="G448" s="25" t="str">
        <f>IFERROR(__xludf.DUMMYFUNCTION("""COMPUTED_VALUE"""),"2h1m")</f>
        <v>2h1m</v>
      </c>
      <c r="H448" s="92">
        <f>IFERROR(__xludf.DUMMYFUNCTION("""COMPUTED_VALUE"""),46113.0)</f>
        <v>46113</v>
      </c>
      <c r="I448" s="80">
        <f>IFERROR(__xludf.DUMMYFUNCTION("""COMPUTED_VALUE"""),2.0)</f>
        <v>2</v>
      </c>
      <c r="J448" s="54">
        <f>IFERROR(__xludf.DUMMYFUNCTION("""COMPUTED_VALUE"""),7000000.0)</f>
        <v>7000000</v>
      </c>
      <c r="K448" s="46" t="str">
        <f>IFERROR(__xludf.DUMMYFUNCTION("""COMPUTED_VALUE"""),"alhamdulillah order, for honeymoon")</f>
        <v>alhamdulillah order, for honeymoon</v>
      </c>
      <c r="L448" s="88" t="str">
        <f>IFERROR(__xludf.DUMMYFUNCTION("""COMPUTED_VALUE"""),"https://docs.google.com/document/d/19Wcv5Zzsaq41N9o0lu1qBCUqPE_VD86GPVzZYrSIprA/edit?tab=t.0")</f>
        <v>https://docs.google.com/document/d/19Wcv5Zzsaq41N9o0lu1qBCUqPE_VD86GPVzZYrSIprA/edit?tab=t.0</v>
      </c>
      <c r="M448" s="20"/>
      <c r="N448" s="20"/>
      <c r="O448" s="20"/>
      <c r="P448" s="20"/>
    </row>
    <row r="449">
      <c r="A449" s="110">
        <f>IFERROR(__xludf.DUMMYFUNCTION("""COMPUTED_VALUE"""),46107.0)</f>
        <v>46107</v>
      </c>
      <c r="B449" s="110" t="str">
        <f>IFERROR(__xludf.DUMMYFUNCTION("""COMPUTED_VALUE"""),"2603D126")</f>
        <v>2603D126</v>
      </c>
      <c r="C449" s="49" t="str">
        <f>IFERROR(__xludf.DUMMYFUNCTION("""COMPUTED_VALUE"""),"Sugianto")</f>
        <v>Sugianto</v>
      </c>
      <c r="D449" s="102" t="str">
        <f>IFERROR(__xludf.DUMMYFUNCTION("""COMPUTED_VALUE"""),"081213084515")</f>
        <v>081213084515</v>
      </c>
      <c r="E449" s="25" t="str">
        <f>IFERROR(__xludf.DUMMYFUNCTION("""COMPUTED_VALUE"""),"Website")</f>
        <v>Website</v>
      </c>
      <c r="F449" s="25" t="str">
        <f>IFERROR(__xludf.DUMMYFUNCTION("""COMPUTED_VALUE"""),"Gagal")</f>
        <v>Gagal</v>
      </c>
      <c r="G449" s="25" t="str">
        <f>IFERROR(__xludf.DUMMYFUNCTION("""COMPUTED_VALUE"""),"one day trip ")</f>
        <v>one day trip </v>
      </c>
      <c r="H449" s="78"/>
      <c r="I449" s="89">
        <f>IFERROR(__xludf.DUMMYFUNCTION("""COMPUTED_VALUE"""),5.0)</f>
        <v>5</v>
      </c>
      <c r="J449" s="96"/>
      <c r="K449" s="36" t="str">
        <f>IFERROR(__xludf.DUMMYFUNCTION("""COMPUTED_VALUE"""),"gagal, tidak membalas, lewat tanggal")</f>
        <v>gagal, tidak membalas, lewat tanggal</v>
      </c>
      <c r="L449" s="81" t="str">
        <f>IFERROR(__xludf.DUMMYFUNCTION("""COMPUTED_VALUE"""),"https://docs.google.com/document/d/1knTzA2rx597xhY379P2qm7UoJOJAEECdfkG8v8Z9Brk/edit?tab=t.0")</f>
        <v>https://docs.google.com/document/d/1knTzA2rx597xhY379P2qm7UoJOJAEECdfkG8v8Z9Brk/edit?tab=t.0</v>
      </c>
      <c r="M449" s="20"/>
      <c r="N449" s="20"/>
      <c r="O449" s="20"/>
      <c r="P449" s="20"/>
    </row>
    <row r="450">
      <c r="A450" s="97">
        <f>IFERROR(__xludf.DUMMYFUNCTION("""COMPUTED_VALUE"""),46107.0)</f>
        <v>46107</v>
      </c>
      <c r="B450" s="97" t="str">
        <f>IFERROR(__xludf.DUMMYFUNCTION("""COMPUTED_VALUE"""),"2603D127")</f>
        <v>2603D127</v>
      </c>
      <c r="C450" s="76" t="str">
        <f>IFERROR(__xludf.DUMMYFUNCTION("""COMPUTED_VALUE"""),"Dftm")</f>
        <v>Dftm</v>
      </c>
      <c r="D450" s="99" t="str">
        <f>IFERROR(__xludf.DUMMYFUNCTION("""COMPUTED_VALUE"""),"085727267198")</f>
        <v>085727267198</v>
      </c>
      <c r="E450" s="25" t="str">
        <f>IFERROR(__xludf.DUMMYFUNCTION("""COMPUTED_VALUE"""),"Tiktok")</f>
        <v>Tiktok</v>
      </c>
      <c r="F450" s="25" t="str">
        <f>IFERROR(__xludf.DUMMYFUNCTION("""COMPUTED_VALUE"""),"Gagal")</f>
        <v>Gagal</v>
      </c>
      <c r="G450" s="25"/>
      <c r="H450" s="92"/>
      <c r="I450" s="80"/>
      <c r="J450" s="54"/>
      <c r="K450" s="46" t="str">
        <f>IFERROR(__xludf.DUMMYFUNCTION("""COMPUTED_VALUE"""),"ingin rental mobil saja")</f>
        <v>ingin rental mobil saja</v>
      </c>
      <c r="L450" s="76"/>
      <c r="M450" s="20"/>
      <c r="N450" s="20"/>
      <c r="O450" s="20"/>
      <c r="P450" s="20"/>
    </row>
    <row r="451">
      <c r="A451" s="110">
        <f>IFERROR(__xludf.DUMMYFUNCTION("""COMPUTED_VALUE"""),46107.0)</f>
        <v>46107</v>
      </c>
      <c r="B451" s="110" t="str">
        <f>IFERROR(__xludf.DUMMYFUNCTION("""COMPUTED_VALUE"""),"2603D128")</f>
        <v>2603D128</v>
      </c>
      <c r="C451" s="49" t="str">
        <f>IFERROR(__xludf.DUMMYFUNCTION("""COMPUTED_VALUE"""),"YayaMaria ")</f>
        <v>YayaMaria </v>
      </c>
      <c r="D451" s="102" t="str">
        <f>IFERROR(__xludf.DUMMYFUNCTION("""COMPUTED_VALUE"""),"0877000897770")</f>
        <v>0877000897770</v>
      </c>
      <c r="E451" s="25" t="str">
        <f>IFERROR(__xludf.DUMMYFUNCTION("""COMPUTED_VALUE"""),"Instagram")</f>
        <v>Instagram</v>
      </c>
      <c r="F451" s="25" t="str">
        <f>IFERROR(__xludf.DUMMYFUNCTION("""COMPUTED_VALUE"""),"Gagal")</f>
        <v>Gagal</v>
      </c>
      <c r="G451" s="25" t="str">
        <f>IFERROR(__xludf.DUMMYFUNCTION("""COMPUTED_VALUE"""),"one day trip teluk ijo")</f>
        <v>one day trip teluk ijo</v>
      </c>
      <c r="H451" s="26">
        <f>IFERROR(__xludf.DUMMYFUNCTION("""COMPUTED_VALUE"""),46108.0)</f>
        <v>46108</v>
      </c>
      <c r="I451" s="27">
        <f>IFERROR(__xludf.DUMMYFUNCTION("""COMPUTED_VALUE"""),5.0)</f>
        <v>5</v>
      </c>
      <c r="J451" s="33">
        <f>IFERROR(__xludf.DUMMYFUNCTION("""COMPUTED_VALUE"""),3037500.0)</f>
        <v>3037500</v>
      </c>
      <c r="K451" s="30" t="str">
        <f>IFERROR(__xludf.DUMMYFUNCTION("""COMPUTED_VALUE"""),"sdh ke teluk ijo")</f>
        <v>sdh ke teluk ijo</v>
      </c>
      <c r="L451" s="81" t="str">
        <f>IFERROR(__xludf.DUMMYFUNCTION("""COMPUTED_VALUE"""),"https://docs.google.com/document/d/1U1YEWdYwd_w9gSEbRFPOO96ZYGCXCFi1W6Ee4rtcm20/edit?tab=t.0")</f>
        <v>https://docs.google.com/document/d/1U1YEWdYwd_w9gSEbRFPOO96ZYGCXCFi1W6Ee4rtcm20/edit?tab=t.0</v>
      </c>
      <c r="M451" s="20"/>
      <c r="N451" s="20"/>
      <c r="O451" s="20"/>
      <c r="P451" s="20"/>
    </row>
    <row r="452">
      <c r="A452" s="97">
        <f>IFERROR(__xludf.DUMMYFUNCTION("""COMPUTED_VALUE"""),46107.0)</f>
        <v>46107</v>
      </c>
      <c r="B452" s="97" t="str">
        <f>IFERROR(__xludf.DUMMYFUNCTION("""COMPUTED_VALUE"""),"2603D129")</f>
        <v>2603D129</v>
      </c>
      <c r="C452" s="76" t="str">
        <f>IFERROR(__xludf.DUMMYFUNCTION("""COMPUTED_VALUE"""),"Elzha")</f>
        <v>Elzha</v>
      </c>
      <c r="D452" s="99" t="str">
        <f>IFERROR(__xludf.DUMMYFUNCTION("""COMPUTED_VALUE"""),"08881383969")</f>
        <v>08881383969</v>
      </c>
      <c r="E452" s="25" t="str">
        <f>IFERROR(__xludf.DUMMYFUNCTION("""COMPUTED_VALUE"""),"Rekomendasi")</f>
        <v>Rekomendasi</v>
      </c>
      <c r="F452" s="25" t="str">
        <f>IFERROR(__xludf.DUMMYFUNCTION("""COMPUTED_VALUE"""),"Gagal")</f>
        <v>Gagal</v>
      </c>
      <c r="G452" s="25" t="str">
        <f>IFERROR(__xludf.DUMMYFUNCTION("""COMPUTED_VALUE"""),"Private Trip Djabal")</f>
        <v>Private Trip Djabal</v>
      </c>
      <c r="H452" s="92">
        <f>IFERROR(__xludf.DUMMYFUNCTION("""COMPUTED_VALUE"""),46131.0)</f>
        <v>46131</v>
      </c>
      <c r="I452" s="80">
        <f>IFERROR(__xludf.DUMMYFUNCTION("""COMPUTED_VALUE"""),5.0)</f>
        <v>5</v>
      </c>
      <c r="J452" s="93">
        <f>IFERROR(__xludf.DUMMYFUNCTION("""COMPUTED_VALUE"""),2115000.0)</f>
        <v>2115000</v>
      </c>
      <c r="K452" s="46" t="str">
        <f>IFERROR(__xludf.DUMMYFUNCTION("""COMPUTED_VALUE"""),"sdh fu 5 kali tidak bales")</f>
        <v>sdh fu 5 kali tidak bales</v>
      </c>
      <c r="L452" s="88" t="str">
        <f>IFERROR(__xludf.DUMMYFUNCTION("""COMPUTED_VALUE"""),"https://docs.google.com/document/d/1nl0bOAyUAWZYDySnobqRQUsbrIsrPaMo_ne2s4SJq64/edit?tab=t.0")</f>
        <v>https://docs.google.com/document/d/1nl0bOAyUAWZYDySnobqRQUsbrIsrPaMo_ne2s4SJq64/edit?tab=t.0</v>
      </c>
      <c r="M452" s="20"/>
      <c r="N452" s="20"/>
      <c r="O452" s="20"/>
      <c r="P452" s="20"/>
    </row>
    <row r="453">
      <c r="A453" s="110">
        <f>IFERROR(__xludf.DUMMYFUNCTION("""COMPUTED_VALUE"""),46108.0)</f>
        <v>46108</v>
      </c>
      <c r="B453" s="110" t="str">
        <f>IFERROR(__xludf.DUMMYFUNCTION("""COMPUTED_VALUE"""),"2603D130")</f>
        <v>2603D130</v>
      </c>
      <c r="C453" s="49" t="str">
        <f>IFERROR(__xludf.DUMMYFUNCTION("""COMPUTED_VALUE"""),"Fanny Nur Hidayah")</f>
        <v>Fanny Nur Hidayah</v>
      </c>
      <c r="D453" s="102" t="str">
        <f>IFERROR(__xludf.DUMMYFUNCTION("""COMPUTED_VALUE"""),"085870662706")</f>
        <v>085870662706</v>
      </c>
      <c r="E453" s="25" t="str">
        <f>IFERROR(__xludf.DUMMYFUNCTION("""COMPUTED_VALUE"""),"Lainnya")</f>
        <v>Lainnya</v>
      </c>
      <c r="F453" s="25" t="str">
        <f>IFERROR(__xludf.DUMMYFUNCTION("""COMPUTED_VALUE"""),"Gagal")</f>
        <v>Gagal</v>
      </c>
      <c r="G453" s="25" t="str">
        <f>IFERROR(__xludf.DUMMYFUNCTION("""COMPUTED_VALUE"""),"3H2M")</f>
        <v>3H2M</v>
      </c>
      <c r="H453" s="78"/>
      <c r="I453" s="89">
        <f>IFERROR(__xludf.DUMMYFUNCTION("""COMPUTED_VALUE"""),46115.0)</f>
        <v>46115</v>
      </c>
      <c r="J453" s="33"/>
      <c r="K453" s="30" t="str">
        <f>IFERROR(__xludf.DUMMYFUNCTION("""COMPUTED_VALUE"""),"tidakk balass")</f>
        <v>tidakk balass</v>
      </c>
      <c r="L453" s="81" t="str">
        <f>IFERROR(__xludf.DUMMYFUNCTION("""COMPUTED_VALUE"""),"https://docs.google.com/document/d/1MP075bjEdT6KIvGm2pSURrTfcNe-a0JEFIUc_YhZ7IU/edit?tab=t.0")</f>
        <v>https://docs.google.com/document/d/1MP075bjEdT6KIvGm2pSURrTfcNe-a0JEFIUc_YhZ7IU/edit?tab=t.0</v>
      </c>
      <c r="M453" s="20"/>
      <c r="N453" s="20"/>
      <c r="O453" s="20"/>
      <c r="P453" s="20"/>
    </row>
    <row r="454">
      <c r="A454" s="97">
        <f>IFERROR(__xludf.DUMMYFUNCTION("""COMPUTED_VALUE"""),46108.0)</f>
        <v>46108</v>
      </c>
      <c r="B454" s="97" t="str">
        <f>IFERROR(__xludf.DUMMYFUNCTION("""COMPUTED_VALUE"""),"2603D131")</f>
        <v>2603D131</v>
      </c>
      <c r="C454" s="76" t="str">
        <f>IFERROR(__xludf.DUMMYFUNCTION("""COMPUTED_VALUE"""),"Eliza")</f>
        <v>Eliza</v>
      </c>
      <c r="D454" s="99" t="str">
        <f>IFERROR(__xludf.DUMMYFUNCTION("""COMPUTED_VALUE"""),"085775530781")</f>
        <v>085775530781</v>
      </c>
      <c r="E454" s="25" t="str">
        <f>IFERROR(__xludf.DUMMYFUNCTION("""COMPUTED_VALUE"""),"Lainnya")</f>
        <v>Lainnya</v>
      </c>
      <c r="F454" s="25" t="str">
        <f>IFERROR(__xludf.DUMMYFUNCTION("""COMPUTED_VALUE"""),"Gagal")</f>
        <v>Gagal</v>
      </c>
      <c r="G454" s="25" t="str">
        <f>IFERROR(__xludf.DUMMYFUNCTION("""COMPUTED_VALUE"""),"open trip")</f>
        <v>open trip</v>
      </c>
      <c r="H454" s="92"/>
      <c r="I454" s="80">
        <f>IFERROR(__xludf.DUMMYFUNCTION("""COMPUTED_VALUE"""),1.0)</f>
        <v>1</v>
      </c>
      <c r="J454" s="129">
        <f>IFERROR(__xludf.DUMMYFUNCTION("""COMPUTED_VALUE"""),1600000.0)</f>
        <v>1600000</v>
      </c>
      <c r="K454" s="19" t="str">
        <f>IFERROR(__xludf.DUMMYFUNCTION("""COMPUTED_VALUE"""),"tidak balas lagiii")</f>
        <v>tidak balas lagiii</v>
      </c>
      <c r="L454" s="88" t="str">
        <f>IFERROR(__xludf.DUMMYFUNCTION("""COMPUTED_VALUE"""),"https://docs.google.com/document/d/1QxNtkCHXkIexJBMZwL7Ho94bhdTlJZzzfE56ZfazSmE/edit?tab=t.0")</f>
        <v>https://docs.google.com/document/d/1QxNtkCHXkIexJBMZwL7Ho94bhdTlJZzzfE56ZfazSmE/edit?tab=t.0</v>
      </c>
      <c r="M454" s="20"/>
      <c r="N454" s="20"/>
      <c r="O454" s="20"/>
      <c r="P454" s="20"/>
    </row>
    <row r="455">
      <c r="A455" s="110">
        <f>IFERROR(__xludf.DUMMYFUNCTION("""COMPUTED_VALUE"""),46108.0)</f>
        <v>46108</v>
      </c>
      <c r="B455" s="110" t="str">
        <f>IFERROR(__xludf.DUMMYFUNCTION("""COMPUTED_VALUE"""),"2603D132")</f>
        <v>2603D132</v>
      </c>
      <c r="C455" s="49" t="str">
        <f>IFERROR(__xludf.DUMMYFUNCTION("""COMPUTED_VALUE"""),"Bahrul Ulum")</f>
        <v>Bahrul Ulum</v>
      </c>
      <c r="D455" s="102" t="str">
        <f>IFERROR(__xludf.DUMMYFUNCTION("""COMPUTED_VALUE"""),"082226300034")</f>
        <v>082226300034</v>
      </c>
      <c r="E455" s="25" t="str">
        <f>IFERROR(__xludf.DUMMYFUNCTION("""COMPUTED_VALUE"""),"Website")</f>
        <v>Website</v>
      </c>
      <c r="F455" s="25" t="str">
        <f>IFERROR(__xludf.DUMMYFUNCTION("""COMPUTED_VALUE"""),"Gagal")</f>
        <v>Gagal</v>
      </c>
      <c r="G455" s="25" t="str">
        <f>IFERROR(__xludf.DUMMYFUNCTION("""COMPUTED_VALUE"""),"1d pulau merah")</f>
        <v>1d pulau merah</v>
      </c>
      <c r="H455" s="78">
        <f>IFERROR(__xludf.DUMMYFUNCTION("""COMPUTED_VALUE"""),46109.0)</f>
        <v>46109</v>
      </c>
      <c r="I455" s="89">
        <f>IFERROR(__xludf.DUMMYFUNCTION("""COMPUTED_VALUE"""),4.0)</f>
        <v>4</v>
      </c>
      <c r="J455" s="96">
        <f>IFERROR(__xludf.DUMMYFUNCTION("""COMPUTED_VALUE"""),1648000.0)</f>
        <v>1648000</v>
      </c>
      <c r="K455" s="36" t="str">
        <f>IFERROR(__xludf.DUMMYFUNCTION("""COMPUTED_VALUE"""),"badan kecapekan")</f>
        <v>badan kecapekan</v>
      </c>
      <c r="L455" s="49"/>
      <c r="M455" s="20"/>
      <c r="N455" s="20"/>
      <c r="O455" s="20"/>
      <c r="P455" s="20"/>
    </row>
    <row r="456">
      <c r="A456" s="97">
        <f>IFERROR(__xludf.DUMMYFUNCTION("""COMPUTED_VALUE"""),46109.0)</f>
        <v>46109</v>
      </c>
      <c r="B456" s="97" t="str">
        <f>IFERROR(__xludf.DUMMYFUNCTION("""COMPUTED_VALUE"""),"2603D133")</f>
        <v>2603D133</v>
      </c>
      <c r="C456" s="76" t="str">
        <f>IFERROR(__xludf.DUMMYFUNCTION("""COMPUTED_VALUE"""),"Reendiana")</f>
        <v>Reendiana</v>
      </c>
      <c r="D456" s="99" t="str">
        <f>IFERROR(__xludf.DUMMYFUNCTION("""COMPUTED_VALUE"""),"085730017788")</f>
        <v>085730017788</v>
      </c>
      <c r="E456" s="25" t="str">
        <f>IFERROR(__xludf.DUMMYFUNCTION("""COMPUTED_VALUE"""),"Lainnya")</f>
        <v>Lainnya</v>
      </c>
      <c r="F456" s="25" t="str">
        <f>IFERROR(__xludf.DUMMYFUNCTION("""COMPUTED_VALUE"""),"Closing")</f>
        <v>Closing</v>
      </c>
      <c r="G456" s="25" t="str">
        <f>IFERROR(__xludf.DUMMYFUNCTION("""COMPUTED_VALUE"""),"2H1M Custome")</f>
        <v>2H1M Custome</v>
      </c>
      <c r="H456" s="92"/>
      <c r="I456" s="80">
        <f>IFERROR(__xludf.DUMMYFUNCTION("""COMPUTED_VALUE"""),2.0)</f>
        <v>2</v>
      </c>
      <c r="J456" s="93">
        <f>IFERROR(__xludf.DUMMYFUNCTION("""COMPUTED_VALUE"""),3850000.0)</f>
        <v>3850000</v>
      </c>
      <c r="K456" s="19" t="str">
        <f>IFERROR(__xludf.DUMMYFUNCTION("""COMPUTED_VALUE"""),"orderrr")</f>
        <v>orderrr</v>
      </c>
      <c r="L456" s="88" t="str">
        <f>IFERROR(__xludf.DUMMYFUNCTION("""COMPUTED_VALUE"""),"https://docs.google.com/document/d/1cmgH7qVzkRdmK8pnAn9E6L2Epe24jAkxkkHjH2J0qR0/edit?tab=t.0")</f>
        <v>https://docs.google.com/document/d/1cmgH7qVzkRdmK8pnAn9E6L2Epe24jAkxkkHjH2J0qR0/edit?tab=t.0</v>
      </c>
      <c r="M456" s="20"/>
      <c r="N456" s="20"/>
      <c r="O456" s="20"/>
      <c r="P456" s="20"/>
    </row>
    <row r="457">
      <c r="A457" s="110">
        <f>IFERROR(__xludf.DUMMYFUNCTION("""COMPUTED_VALUE"""),46109.0)</f>
        <v>46109</v>
      </c>
      <c r="B457" s="110" t="str">
        <f>IFERROR(__xludf.DUMMYFUNCTION("""COMPUTED_VALUE"""),"2603D134")</f>
        <v>2603D134</v>
      </c>
      <c r="C457" s="49" t="str">
        <f>IFERROR(__xludf.DUMMYFUNCTION("""COMPUTED_VALUE"""),"Yeni")</f>
        <v>Yeni</v>
      </c>
      <c r="D457" s="102" t="str">
        <f>IFERROR(__xludf.DUMMYFUNCTION("""COMPUTED_VALUE"""),"083122244376")</f>
        <v>083122244376</v>
      </c>
      <c r="E457" s="25" t="str">
        <f>IFERROR(__xludf.DUMMYFUNCTION("""COMPUTED_VALUE"""),"Tiktok")</f>
        <v>Tiktok</v>
      </c>
      <c r="F457" s="25" t="str">
        <f>IFERROR(__xludf.DUMMYFUNCTION("""COMPUTED_VALUE"""),"Gagal")</f>
        <v>Gagal</v>
      </c>
      <c r="G457" s="25" t="str">
        <f>IFERROR(__xludf.DUMMYFUNCTION("""COMPUTED_VALUE"""),"Green Island")</f>
        <v>Green Island</v>
      </c>
      <c r="H457" s="78">
        <f>IFERROR(__xludf.DUMMYFUNCTION("""COMPUTED_VALUE"""),46116.0)</f>
        <v>46116</v>
      </c>
      <c r="I457" s="89">
        <f>IFERROR(__xludf.DUMMYFUNCTION("""COMPUTED_VALUE"""),14.0)</f>
        <v>14</v>
      </c>
      <c r="J457" s="96">
        <f>IFERROR(__xludf.DUMMYFUNCTION("""COMPUTED_VALUE"""),5950000.0)</f>
        <v>5950000</v>
      </c>
      <c r="K457" s="36" t="str">
        <f>IFERROR(__xludf.DUMMYFUNCTION("""COMPUTED_VALUE"""),"belum jadi liburan")</f>
        <v>belum jadi liburan</v>
      </c>
      <c r="L457" s="81" t="str">
        <f>IFERROR(__xludf.DUMMYFUNCTION("""COMPUTED_VALUE"""),"https://docs.google.com/document/d/1lnI7NGkIOtGPC8yQBMcRxYNS0k1t8q2ItmmQtnlcwaE/edit?tab=t.0")</f>
        <v>https://docs.google.com/document/d/1lnI7NGkIOtGPC8yQBMcRxYNS0k1t8q2ItmmQtnlcwaE/edit?tab=t.0</v>
      </c>
      <c r="M457" s="20"/>
      <c r="N457" s="20"/>
      <c r="O457" s="20"/>
      <c r="P457" s="20"/>
    </row>
    <row r="458">
      <c r="A458" s="97">
        <f>IFERROR(__xludf.DUMMYFUNCTION("""COMPUTED_VALUE"""),46109.0)</f>
        <v>46109</v>
      </c>
      <c r="B458" s="97" t="str">
        <f>IFERROR(__xludf.DUMMYFUNCTION("""COMPUTED_VALUE"""),"2603D135")</f>
        <v>2603D135</v>
      </c>
      <c r="C458" s="76" t="str">
        <f>IFERROR(__xludf.DUMMYFUNCTION("""COMPUTED_VALUE"""),"Agus PT TIGA PUTRA MULTIKREASI")</f>
        <v>Agus PT TIGA PUTRA MULTIKREASI</v>
      </c>
      <c r="D458" s="99" t="str">
        <f>IFERROR(__xludf.DUMMYFUNCTION("""COMPUTED_VALUE"""),"0818878398")</f>
        <v>0818878398</v>
      </c>
      <c r="E458" s="25" t="str">
        <f>IFERROR(__xludf.DUMMYFUNCTION("""COMPUTED_VALUE"""),"Lainnya")</f>
        <v>Lainnya</v>
      </c>
      <c r="F458" s="25" t="str">
        <f>IFERROR(__xludf.DUMMYFUNCTION("""COMPUTED_VALUE"""),"Gagal")</f>
        <v>Gagal</v>
      </c>
      <c r="G458" s="25" t="str">
        <f>IFERROR(__xludf.DUMMYFUNCTION("""COMPUTED_VALUE"""),"trip pantai hutan")</f>
        <v>trip pantai hutan</v>
      </c>
      <c r="H458" s="92"/>
      <c r="I458" s="80">
        <f>IFERROR(__xludf.DUMMYFUNCTION("""COMPUTED_VALUE"""),7.0)</f>
        <v>7</v>
      </c>
      <c r="J458" s="93"/>
      <c r="K458" s="19" t="str">
        <f>IFERROR(__xludf.DUMMYFUNCTION("""COMPUTED_VALUE"""),"blm deal jadi ke bwi atau ke jogjal")</f>
        <v>blm deal jadi ke bwi atau ke jogjal</v>
      </c>
      <c r="L458" s="88" t="str">
        <f>IFERROR(__xludf.DUMMYFUNCTION("""COMPUTED_VALUE"""),"https://docs.google.com/document/d/1paOhTqvwC0KJHC6YWeQhYRygzeaGqjyy5pfncIYVeWQ/edit?tab=t.0")</f>
        <v>https://docs.google.com/document/d/1paOhTqvwC0KJHC6YWeQhYRygzeaGqjyy5pfncIYVeWQ/edit?tab=t.0</v>
      </c>
      <c r="M458" s="20"/>
      <c r="N458" s="20"/>
      <c r="O458" s="20"/>
      <c r="P458" s="20"/>
    </row>
    <row r="459">
      <c r="A459" s="110">
        <f>IFERROR(__xludf.DUMMYFUNCTION("""COMPUTED_VALUE"""),46109.0)</f>
        <v>46109</v>
      </c>
      <c r="B459" s="110" t="str">
        <f>IFERROR(__xludf.DUMMYFUNCTION("""COMPUTED_VALUE"""),"2603D136")</f>
        <v>2603D136</v>
      </c>
      <c r="C459" s="49" t="str">
        <f>IFERROR(__xludf.DUMMYFUNCTION("""COMPUTED_VALUE"""),"Ischaq Sumartonohadji")</f>
        <v>Ischaq Sumartonohadji</v>
      </c>
      <c r="D459" s="102" t="str">
        <f>IFERROR(__xludf.DUMMYFUNCTION("""COMPUTED_VALUE"""),"08121200813")</f>
        <v>08121200813</v>
      </c>
      <c r="E459" s="25" t="str">
        <f>IFERROR(__xludf.DUMMYFUNCTION("""COMPUTED_VALUE"""),"Website")</f>
        <v>Website</v>
      </c>
      <c r="F459" s="25" t="str">
        <f>IFERROR(__xludf.DUMMYFUNCTION("""COMPUTED_VALUE"""),"Closing")</f>
        <v>Closing</v>
      </c>
      <c r="G459" s="25" t="str">
        <f>IFERROR(__xludf.DUMMYFUNCTION("""COMPUTED_VALUE"""),"one day trip baluran")</f>
        <v>one day trip baluran</v>
      </c>
      <c r="H459" s="78">
        <f>IFERROR(__xludf.DUMMYFUNCTION("""COMPUTED_VALUE"""),46114.0)</f>
        <v>46114</v>
      </c>
      <c r="I459" s="27">
        <f>IFERROR(__xludf.DUMMYFUNCTION("""COMPUTED_VALUE"""),4.0)</f>
        <v>4</v>
      </c>
      <c r="J459" s="96">
        <f>IFERROR(__xludf.DUMMYFUNCTION("""COMPUTED_VALUE"""),1996000.0)</f>
        <v>1996000</v>
      </c>
      <c r="K459" s="30" t="str">
        <f>IFERROR(__xludf.DUMMYFUNCTION("""COMPUTED_VALUE"""),"ALHAMDULILLAH ORDER")</f>
        <v>ALHAMDULILLAH ORDER</v>
      </c>
      <c r="L459" s="81" t="str">
        <f>IFERROR(__xludf.DUMMYFUNCTION("""COMPUTED_VALUE"""),"https://docs.google.com/document/d/1GJDEqMFX1sxlca8uw5uy9rgB_hY2so4CA5FKZuhs5uQ/edit?tab=t.0")</f>
        <v>https://docs.google.com/document/d/1GJDEqMFX1sxlca8uw5uy9rgB_hY2so4CA5FKZuhs5uQ/edit?tab=t.0</v>
      </c>
      <c r="M459" s="20"/>
      <c r="N459" s="20"/>
      <c r="O459" s="20"/>
      <c r="P459" s="20"/>
    </row>
    <row r="460">
      <c r="A460" s="97">
        <f>IFERROR(__xludf.DUMMYFUNCTION("""COMPUTED_VALUE"""),46110.0)</f>
        <v>46110</v>
      </c>
      <c r="B460" s="97" t="str">
        <f>IFERROR(__xludf.DUMMYFUNCTION("""COMPUTED_VALUE"""),"2603D137")</f>
        <v>2603D137</v>
      </c>
      <c r="C460" s="76" t="str">
        <f>IFERROR(__xludf.DUMMYFUNCTION("""COMPUTED_VALUE"""),"Wina Bunda Lila")</f>
        <v>Wina Bunda Lila</v>
      </c>
      <c r="D460" s="99" t="str">
        <f>IFERROR(__xludf.DUMMYFUNCTION("""COMPUTED_VALUE"""),"0813106295776")</f>
        <v>0813106295776</v>
      </c>
      <c r="E460" s="25" t="str">
        <f>IFERROR(__xludf.DUMMYFUNCTION("""COMPUTED_VALUE"""),"Lainnya")</f>
        <v>Lainnya</v>
      </c>
      <c r="F460" s="25" t="str">
        <f>IFERROR(__xludf.DUMMYFUNCTION("""COMPUTED_VALUE"""),"Leads Baru")</f>
        <v>Leads Baru</v>
      </c>
      <c r="G460" s="25"/>
      <c r="H460" s="92"/>
      <c r="I460" s="80">
        <f>IFERROR(__xludf.DUMMYFUNCTION("""COMPUTED_VALUE"""),4.0)</f>
        <v>4</v>
      </c>
      <c r="J460" s="93"/>
      <c r="K460" s="46" t="str">
        <f>IFERROR(__xludf.DUMMYFUNCTION("""COMPUTED_VALUE"""),"FU lagi 17 Mei")</f>
        <v>FU lagi 17 Mei</v>
      </c>
      <c r="L460" s="88" t="str">
        <f>IFERROR(__xludf.DUMMYFUNCTION("""COMPUTED_VALUE"""),"https://docs.google.com/document/d/1tScJgq0LFTGK-9y3qRP8nSzpLJwxFlWml9gSP56CN-k/edit?tab=t.0#heading=h.a9kqk3xbyygu")</f>
        <v>https://docs.google.com/document/d/1tScJgq0LFTGK-9y3qRP8nSzpLJwxFlWml9gSP56CN-k/edit?tab=t.0#heading=h.a9kqk3xbyygu</v>
      </c>
      <c r="M460" s="20"/>
      <c r="N460" s="20"/>
      <c r="O460" s="20"/>
      <c r="P460" s="20"/>
    </row>
    <row r="461">
      <c r="A461" s="110">
        <f>IFERROR(__xludf.DUMMYFUNCTION("""COMPUTED_VALUE"""),46110.0)</f>
        <v>46110</v>
      </c>
      <c r="B461" s="110" t="str">
        <f>IFERROR(__xludf.DUMMYFUNCTION("""COMPUTED_VALUE"""),"2603D138")</f>
        <v>2603D138</v>
      </c>
      <c r="C461" s="49" t="str">
        <f>IFERROR(__xludf.DUMMYFUNCTION("""COMPUTED_VALUE"""),"Faiza")</f>
        <v>Faiza</v>
      </c>
      <c r="D461" s="102" t="str">
        <f>IFERROR(__xludf.DUMMYFUNCTION("""COMPUTED_VALUE"""),"08116720999")</f>
        <v>08116720999</v>
      </c>
      <c r="E461" s="25" t="str">
        <f>IFERROR(__xludf.DUMMYFUNCTION("""COMPUTED_VALUE"""),"Website")</f>
        <v>Website</v>
      </c>
      <c r="F461" s="25" t="str">
        <f>IFERROR(__xludf.DUMMYFUNCTION("""COMPUTED_VALUE"""),"Gagal")</f>
        <v>Gagal</v>
      </c>
      <c r="G461" s="25" t="str">
        <f>IFERROR(__xludf.DUMMYFUNCTION("""COMPUTED_VALUE"""),"Menjangan Tabuhan")</f>
        <v>Menjangan Tabuhan</v>
      </c>
      <c r="H461" s="78">
        <f>IFERROR(__xludf.DUMMYFUNCTION("""COMPUTED_VALUE"""),46111.0)</f>
        <v>46111</v>
      </c>
      <c r="I461" s="89">
        <f>IFERROR(__xludf.DUMMYFUNCTION("""COMPUTED_VALUE"""),4.0)</f>
        <v>4</v>
      </c>
      <c r="J461" s="96">
        <f>IFERROR(__xludf.DUMMYFUNCTION("""COMPUTED_VALUE"""),2000000.0)</f>
        <v>2000000</v>
      </c>
      <c r="K461" s="36" t="str">
        <f>IFERROR(__xludf.DUMMYFUNCTION("""COMPUTED_VALUE"""),"orang tua sdh booking di tempat lain")</f>
        <v>orang tua sdh booking di tempat lain</v>
      </c>
      <c r="L461" s="49"/>
      <c r="M461" s="20"/>
      <c r="N461" s="20"/>
      <c r="O461" s="20"/>
      <c r="P461" s="20"/>
    </row>
    <row r="462">
      <c r="A462" s="97">
        <f>IFERROR(__xludf.DUMMYFUNCTION("""COMPUTED_VALUE"""),46110.0)</f>
        <v>46110</v>
      </c>
      <c r="B462" s="97" t="str">
        <f>IFERROR(__xludf.DUMMYFUNCTION("""COMPUTED_VALUE"""),"2603D139")</f>
        <v>2603D139</v>
      </c>
      <c r="C462" s="76" t="str">
        <f>IFERROR(__xludf.DUMMYFUNCTION("""COMPUTED_VALUE"""),"tyak")</f>
        <v>tyak</v>
      </c>
      <c r="D462" s="99" t="str">
        <f>IFERROR(__xludf.DUMMYFUNCTION("""COMPUTED_VALUE"""),"089681588980")</f>
        <v>089681588980</v>
      </c>
      <c r="E462" s="25" t="str">
        <f>IFERROR(__xludf.DUMMYFUNCTION("""COMPUTED_VALUE"""),"Lainnya")</f>
        <v>Lainnya</v>
      </c>
      <c r="F462" s="25" t="str">
        <f>IFERROR(__xludf.DUMMYFUNCTION("""COMPUTED_VALUE"""),"Gagal")</f>
        <v>Gagal</v>
      </c>
      <c r="G462" s="25"/>
      <c r="H462" s="92"/>
      <c r="I462" s="17"/>
      <c r="J462" s="93"/>
      <c r="K462" s="19" t="str">
        <f>IFERROR(__xludf.DUMMYFUNCTION("""COMPUTED_VALUE"""),"tanya booking tiket kapal bwi-lombok")</f>
        <v>tanya booking tiket kapal bwi-lombok</v>
      </c>
      <c r="L462" s="49"/>
      <c r="M462" s="20"/>
      <c r="N462" s="20"/>
      <c r="O462" s="20"/>
      <c r="P462" s="20"/>
    </row>
    <row r="463">
      <c r="A463" s="110">
        <f>IFERROR(__xludf.DUMMYFUNCTION("""COMPUTED_VALUE"""),46111.0)</f>
        <v>46111</v>
      </c>
      <c r="B463" s="110" t="str">
        <f>IFERROR(__xludf.DUMMYFUNCTION("""COMPUTED_VALUE"""),"2603D140")</f>
        <v>2603D140</v>
      </c>
      <c r="C463" s="49" t="str">
        <f>IFERROR(__xludf.DUMMYFUNCTION("""COMPUTED_VALUE"""),"Eka_NS")</f>
        <v>Eka_NS</v>
      </c>
      <c r="D463" s="102" t="str">
        <f>IFERROR(__xludf.DUMMYFUNCTION("""COMPUTED_VALUE"""),"08569012365")</f>
        <v>08569012365</v>
      </c>
      <c r="E463" s="25" t="str">
        <f>IFERROR(__xludf.DUMMYFUNCTION("""COMPUTED_VALUE"""),"Instagram")</f>
        <v>Instagram</v>
      </c>
      <c r="F463" s="25" t="str">
        <f>IFERROR(__xludf.DUMMYFUNCTION("""COMPUTED_VALUE"""),"Qualified")</f>
        <v>Qualified</v>
      </c>
      <c r="G463" s="25" t="str">
        <f>IFERROR(__xludf.DUMMYFUNCTION("""COMPUTED_VALUE"""),"4H3M")</f>
        <v>4H3M</v>
      </c>
      <c r="H463" s="78">
        <f>IFERROR(__xludf.DUMMYFUNCTION("""COMPUTED_VALUE"""),46187.0)</f>
        <v>46187</v>
      </c>
      <c r="I463" s="89">
        <f>IFERROR(__xludf.DUMMYFUNCTION("""COMPUTED_VALUE"""),25.0)</f>
        <v>25</v>
      </c>
      <c r="J463" s="96">
        <f>IFERROR(__xludf.DUMMYFUNCTION("""COMPUTED_VALUE"""),2.75E7)</f>
        <v>27500000</v>
      </c>
      <c r="K463" s="30" t="str">
        <f>IFERROR(__xludf.DUMMYFUNCTION("""COMPUTED_VALUE"""),"FU 1 juni")</f>
        <v>FU 1 juni</v>
      </c>
      <c r="L463" s="81" t="str">
        <f>IFERROR(__xludf.DUMMYFUNCTION("""COMPUTED_VALUE"""),"https://docs.google.com/document/d/1b_RgaW-9UCNiTM50ldow1WNLeivh6w_tgiWEEs0Lkg4/edit?tab=t.0")</f>
        <v>https://docs.google.com/document/d/1b_RgaW-9UCNiTM50ldow1WNLeivh6w_tgiWEEs0Lkg4/edit?tab=t.0</v>
      </c>
      <c r="M463" s="20"/>
      <c r="N463" s="20"/>
      <c r="O463" s="20"/>
      <c r="P463" s="20"/>
    </row>
    <row r="464">
      <c r="A464" s="97">
        <f>IFERROR(__xludf.DUMMYFUNCTION("""COMPUTED_VALUE"""),46111.0)</f>
        <v>46111</v>
      </c>
      <c r="B464" s="97" t="str">
        <f>IFERROR(__xludf.DUMMYFUNCTION("""COMPUTED_VALUE"""),"2603D141")</f>
        <v>2603D141</v>
      </c>
      <c r="C464" s="76" t="str">
        <f>IFERROR(__xludf.DUMMYFUNCTION("""COMPUTED_VALUE"""),"Rey")</f>
        <v>Rey</v>
      </c>
      <c r="D464" s="99" t="str">
        <f>IFERROR(__xludf.DUMMYFUNCTION("""COMPUTED_VALUE"""),"085265252689")</f>
        <v>085265252689</v>
      </c>
      <c r="E464" s="25" t="str">
        <f>IFERROR(__xludf.DUMMYFUNCTION("""COMPUTED_VALUE"""),"Instagram")</f>
        <v>Instagram</v>
      </c>
      <c r="F464" s="25" t="str">
        <f>IFERROR(__xludf.DUMMYFUNCTION("""COMPUTED_VALUE"""),"Closing")</f>
        <v>Closing</v>
      </c>
      <c r="G464" s="25" t="str">
        <f>IFERROR(__xludf.DUMMYFUNCTION("""COMPUTED_VALUE"""),"temannya fadjar")</f>
        <v>temannya fadjar</v>
      </c>
      <c r="H464" s="92"/>
      <c r="I464" s="80"/>
      <c r="J464" s="93"/>
      <c r="K464" s="19"/>
      <c r="L464" s="49"/>
      <c r="M464" s="20"/>
      <c r="N464" s="20"/>
      <c r="O464" s="20"/>
      <c r="P464" s="20"/>
    </row>
    <row r="465">
      <c r="A465" s="110">
        <f>IFERROR(__xludf.DUMMYFUNCTION("""COMPUTED_VALUE"""),46111.0)</f>
        <v>46111</v>
      </c>
      <c r="B465" s="110" t="str">
        <f>IFERROR(__xludf.DUMMYFUNCTION("""COMPUTED_VALUE"""),"2603D142")</f>
        <v>2603D142</v>
      </c>
      <c r="C465" s="49" t="str">
        <f>IFERROR(__xludf.DUMMYFUNCTION("""COMPUTED_VALUE"""),"Fitri Yani")</f>
        <v>Fitri Yani</v>
      </c>
      <c r="D465" s="102" t="str">
        <f>IFERROR(__xludf.DUMMYFUNCTION("""COMPUTED_VALUE"""),"081413563474")</f>
        <v>081413563474</v>
      </c>
      <c r="E465" s="25" t="str">
        <f>IFERROR(__xludf.DUMMYFUNCTION("""COMPUTED_VALUE"""),"Lainnya")</f>
        <v>Lainnya</v>
      </c>
      <c r="F465" s="25" t="str">
        <f>IFERROR(__xludf.DUMMYFUNCTION("""COMPUTED_VALUE"""),"Closing")</f>
        <v>Closing</v>
      </c>
      <c r="G465" s="25" t="str">
        <f>IFERROR(__xludf.DUMMYFUNCTION("""COMPUTED_VALUE"""),"3h2m opsi A")</f>
        <v>3h2m opsi A</v>
      </c>
      <c r="H465" s="78">
        <f>IFERROR(__xludf.DUMMYFUNCTION("""COMPUTED_VALUE"""),46164.0)</f>
        <v>46164</v>
      </c>
      <c r="I465" s="89">
        <f>IFERROR(__xludf.DUMMYFUNCTION("""COMPUTED_VALUE"""),2.0)</f>
        <v>2</v>
      </c>
      <c r="J465" s="96">
        <f>IFERROR(__xludf.DUMMYFUNCTION("""COMPUTED_VALUE"""),7194000.0)</f>
        <v>7194000</v>
      </c>
      <c r="K465" s="30" t="str">
        <f>IFERROR(__xludf.DUMMYFUNCTION("""COMPUTED_VALUE"""),"Orderrrr")</f>
        <v>Orderrrr</v>
      </c>
      <c r="L465" s="81" t="str">
        <f>IFERROR(__xludf.DUMMYFUNCTION("""COMPUTED_VALUE"""),"https://docs.google.com/document/d/1xyO-FaFnz_89ENC_61HhAUvj9_nuu3JzUMNBlJ-pIn0/edit?tab=t.0")</f>
        <v>https://docs.google.com/document/d/1xyO-FaFnz_89ENC_61HhAUvj9_nuu3JzUMNBlJ-pIn0/edit?tab=t.0</v>
      </c>
      <c r="M465" s="20"/>
      <c r="N465" s="20"/>
      <c r="O465" s="20"/>
      <c r="P465" s="20"/>
    </row>
    <row r="466">
      <c r="A466" s="97">
        <f>IFERROR(__xludf.DUMMYFUNCTION("""COMPUTED_VALUE"""),46111.0)</f>
        <v>46111</v>
      </c>
      <c r="B466" s="97" t="str">
        <f>IFERROR(__xludf.DUMMYFUNCTION("""COMPUTED_VALUE"""),"2603D143")</f>
        <v>2603D143</v>
      </c>
      <c r="C466" s="76" t="str">
        <f>IFERROR(__xludf.DUMMYFUNCTION("""COMPUTED_VALUE"""),"Dhifa Prilia")</f>
        <v>Dhifa Prilia</v>
      </c>
      <c r="D466" s="99" t="str">
        <f>IFERROR(__xludf.DUMMYFUNCTION("""COMPUTED_VALUE"""),"082122646428")</f>
        <v>082122646428</v>
      </c>
      <c r="E466" s="25" t="str">
        <f>IFERROR(__xludf.DUMMYFUNCTION("""COMPUTED_VALUE"""),"Lainnya")</f>
        <v>Lainnya</v>
      </c>
      <c r="F466" s="25" t="str">
        <f>IFERROR(__xludf.DUMMYFUNCTION("""COMPUTED_VALUE"""),"Closing")</f>
        <v>Closing</v>
      </c>
      <c r="G466" s="25" t="str">
        <f>IFERROR(__xludf.DUMMYFUNCTION("""COMPUTED_VALUE"""),"OT3H2M")</f>
        <v>OT3H2M</v>
      </c>
      <c r="H466" s="92">
        <f>IFERROR(__xludf.DUMMYFUNCTION("""COMPUTED_VALUE"""),46143.0)</f>
        <v>46143</v>
      </c>
      <c r="I466" s="80">
        <f>IFERROR(__xludf.DUMMYFUNCTION("""COMPUTED_VALUE"""),46083.0)</f>
        <v>46083</v>
      </c>
      <c r="J466" s="93">
        <f>IFERROR(__xludf.DUMMYFUNCTION("""COMPUTED_VALUE"""),4800000.0)</f>
        <v>4800000</v>
      </c>
      <c r="K466" s="19" t="str">
        <f>IFERROR(__xludf.DUMMYFUNCTION("""COMPUTED_VALUE"""),"alhamdulillah DP")</f>
        <v>alhamdulillah DP</v>
      </c>
      <c r="L466" s="76"/>
      <c r="M466" s="20"/>
      <c r="N466" s="20"/>
      <c r="O466" s="20"/>
      <c r="P466" s="20"/>
    </row>
    <row r="467">
      <c r="A467" s="110">
        <f>IFERROR(__xludf.DUMMYFUNCTION("""COMPUTED_VALUE"""),46111.0)</f>
        <v>46111</v>
      </c>
      <c r="B467" s="110" t="str">
        <f>IFERROR(__xludf.DUMMYFUNCTION("""COMPUTED_VALUE"""),"2603D144")</f>
        <v>2603D144</v>
      </c>
      <c r="C467" s="49" t="str">
        <f>IFERROR(__xludf.DUMMYFUNCTION("""COMPUTED_VALUE"""),"Novita oktaviani")</f>
        <v>Novita oktaviani</v>
      </c>
      <c r="D467" s="102" t="str">
        <f>IFERROR(__xludf.DUMMYFUNCTION("""COMPUTED_VALUE"""),"08895740103")</f>
        <v>08895740103</v>
      </c>
      <c r="E467" s="25" t="str">
        <f>IFERROR(__xludf.DUMMYFUNCTION("""COMPUTED_VALUE"""),"Instagram")</f>
        <v>Instagram</v>
      </c>
      <c r="F467" s="25" t="str">
        <f>IFERROR(__xludf.DUMMYFUNCTION("""COMPUTED_VALUE"""),"Gagal")</f>
        <v>Gagal</v>
      </c>
      <c r="G467" s="25" t="str">
        <f>IFERROR(__xludf.DUMMYFUNCTION("""COMPUTED_VALUE"""),"trip M,T")</f>
        <v>trip M,T</v>
      </c>
      <c r="H467" s="78">
        <f>IFERROR(__xludf.DUMMYFUNCTION("""COMPUTED_VALUE"""),46161.0)</f>
        <v>46161</v>
      </c>
      <c r="I467" s="89">
        <f>IFERROR(__xludf.DUMMYFUNCTION("""COMPUTED_VALUE"""),2.0)</f>
        <v>2</v>
      </c>
      <c r="J467" s="96">
        <f>IFERROR(__xludf.DUMMYFUNCTION("""COMPUTED_VALUE"""),2388000.0)</f>
        <v>2388000</v>
      </c>
      <c r="K467" s="30" t="str">
        <f>IFERROR(__xludf.DUMMYFUNCTION("""COMPUTED_VALUE"""),"sudah dpt yg lain")</f>
        <v>sudah dpt yg lain</v>
      </c>
      <c r="L467" s="81" t="str">
        <f>IFERROR(__xludf.DUMMYFUNCTION("""COMPUTED_VALUE"""),"https://docs.google.com/document/d/1ZFMAPJbIOiF32NhaYEod6gUy7kGK4LMmwjp_UVUGGmk/edit?tab=t.0")</f>
        <v>https://docs.google.com/document/d/1ZFMAPJbIOiF32NhaYEod6gUy7kGK4LMmwjp_UVUGGmk/edit?tab=t.0</v>
      </c>
      <c r="M467" s="20"/>
      <c r="N467" s="20"/>
      <c r="O467" s="20"/>
      <c r="P467" s="20"/>
    </row>
    <row r="468">
      <c r="A468" s="97">
        <f>IFERROR(__xludf.DUMMYFUNCTION("""COMPUTED_VALUE"""),46112.0)</f>
        <v>46112</v>
      </c>
      <c r="B468" s="97" t="str">
        <f>IFERROR(__xludf.DUMMYFUNCTION("""COMPUTED_VALUE"""),"2603D145")</f>
        <v>2603D145</v>
      </c>
      <c r="C468" s="76" t="str">
        <f>IFERROR(__xludf.DUMMYFUNCTION("""COMPUTED_VALUE"""),"MiNa Dhanty")</f>
        <v>MiNa Dhanty</v>
      </c>
      <c r="D468" s="99" t="str">
        <f>IFERROR(__xludf.DUMMYFUNCTION("""COMPUTED_VALUE"""),"082125888932")</f>
        <v>082125888932</v>
      </c>
      <c r="E468" s="25" t="str">
        <f>IFERROR(__xludf.DUMMYFUNCTION("""COMPUTED_VALUE"""),"Instagram")</f>
        <v>Instagram</v>
      </c>
      <c r="F468" s="25" t="str">
        <f>IFERROR(__xludf.DUMMYFUNCTION("""COMPUTED_VALUE"""),"Closing")</f>
        <v>Closing</v>
      </c>
      <c r="G468" s="25" t="str">
        <f>IFERROR(__xludf.DUMMYFUNCTION("""COMPUTED_VALUE"""),"OT D,B &amp; M,T")</f>
        <v>OT D,B &amp; M,T</v>
      </c>
      <c r="H468" s="92">
        <f>IFERROR(__xludf.DUMMYFUNCTION("""COMPUTED_VALUE"""),46116.0)</f>
        <v>46116</v>
      </c>
      <c r="I468" s="80">
        <f>IFERROR(__xludf.DUMMYFUNCTION("""COMPUTED_VALUE"""),1.0)</f>
        <v>1</v>
      </c>
      <c r="J468" s="93">
        <f>IFERROR(__xludf.DUMMYFUNCTION("""COMPUTED_VALUE"""),845000.0)</f>
        <v>845000</v>
      </c>
      <c r="K468" s="19" t="str">
        <f>IFERROR(__xludf.DUMMYFUNCTION("""COMPUTED_VALUE"""),"orderrr alhamdulillah")</f>
        <v>orderrr alhamdulillah</v>
      </c>
      <c r="L468" s="76"/>
      <c r="M468" s="20"/>
      <c r="N468" s="20"/>
      <c r="O468" s="20"/>
      <c r="P468" s="20"/>
    </row>
    <row r="469">
      <c r="A469" s="110">
        <f>IFERROR(__xludf.DUMMYFUNCTION("""COMPUTED_VALUE"""),46112.0)</f>
        <v>46112</v>
      </c>
      <c r="B469" s="110" t="str">
        <f>IFERROR(__xludf.DUMMYFUNCTION("""COMPUTED_VALUE"""),"2603D146")</f>
        <v>2603D146</v>
      </c>
      <c r="C469" s="49" t="str">
        <f>IFERROR(__xludf.DUMMYFUNCTION("""COMPUTED_VALUE"""),"No name WNA")</f>
        <v>No name WNA</v>
      </c>
      <c r="D469" s="102" t="str">
        <f>IFERROR(__xludf.DUMMYFUNCTION("""COMPUTED_VALUE"""),"33651287386")</f>
        <v>33651287386</v>
      </c>
      <c r="E469" s="25" t="str">
        <f>IFERROR(__xludf.DUMMYFUNCTION("""COMPUTED_VALUE"""),"Lainnya")</f>
        <v>Lainnya</v>
      </c>
      <c r="F469" s="25" t="str">
        <f>IFERROR(__xludf.DUMMYFUNCTION("""COMPUTED_VALUE"""),"Gagal")</f>
        <v>Gagal</v>
      </c>
      <c r="G469" s="25" t="str">
        <f>IFERROR(__xludf.DUMMYFUNCTION("""COMPUTED_VALUE"""),"1 day trip Ijen")</f>
        <v>1 day trip Ijen</v>
      </c>
      <c r="H469" s="26">
        <f>IFERROR(__xludf.DUMMYFUNCTION("""COMPUTED_VALUE"""),46113.0)</f>
        <v>46113</v>
      </c>
      <c r="I469" s="27">
        <f>IFERROR(__xludf.DUMMYFUNCTION("""COMPUTED_VALUE"""),2.0)</f>
        <v>2</v>
      </c>
      <c r="J469" s="33"/>
      <c r="K469" s="30" t="str">
        <f>IFERROR(__xludf.DUMMYFUNCTION("""COMPUTED_VALUE"""),"tidak ada jawaban")</f>
        <v>tidak ada jawaban</v>
      </c>
      <c r="L469" s="49"/>
      <c r="M469" s="20"/>
      <c r="N469" s="20"/>
      <c r="O469" s="20"/>
      <c r="P469" s="20"/>
    </row>
    <row r="470">
      <c r="A470" s="97">
        <f>IFERROR(__xludf.DUMMYFUNCTION("""COMPUTED_VALUE"""),46112.0)</f>
        <v>46112</v>
      </c>
      <c r="B470" s="97" t="str">
        <f>IFERROR(__xludf.DUMMYFUNCTION("""COMPUTED_VALUE"""),"2603D147")</f>
        <v>2603D147</v>
      </c>
      <c r="C470" s="76" t="str">
        <f>IFERROR(__xludf.DUMMYFUNCTION("""COMPUTED_VALUE"""),"Dyah Ayu")</f>
        <v>Dyah Ayu</v>
      </c>
      <c r="D470" s="99" t="str">
        <f>IFERROR(__xludf.DUMMYFUNCTION("""COMPUTED_VALUE"""),"087737066893")</f>
        <v>087737066893</v>
      </c>
      <c r="E470" s="25" t="str">
        <f>IFERROR(__xludf.DUMMYFUNCTION("""COMPUTED_VALUE"""),"Instagram")</f>
        <v>Instagram</v>
      </c>
      <c r="F470" s="25" t="str">
        <f>IFERROR(__xludf.DUMMYFUNCTION("""COMPUTED_VALUE"""),"Closing")</f>
        <v>Closing</v>
      </c>
      <c r="G470" s="25" t="str">
        <f>IFERROR(__xludf.DUMMYFUNCTION("""COMPUTED_VALUE"""),"open trip 3h2m")</f>
        <v>open trip 3h2m</v>
      </c>
      <c r="H470" s="92"/>
      <c r="I470" s="80">
        <f>IFERROR(__xludf.DUMMYFUNCTION("""COMPUTED_VALUE"""),2.0)</f>
        <v>2</v>
      </c>
      <c r="J470" s="93">
        <f>IFERROR(__xludf.DUMMYFUNCTION("""COMPUTED_VALUE"""),3200000.0)</f>
        <v>3200000</v>
      </c>
      <c r="K470" s="19" t="str">
        <f>IFERROR(__xludf.DUMMYFUNCTION("""COMPUTED_VALUE"""),"orderrr")</f>
        <v>orderrr</v>
      </c>
      <c r="L470" s="76"/>
      <c r="M470" s="20"/>
      <c r="N470" s="20"/>
      <c r="O470" s="20"/>
      <c r="P470" s="20"/>
    </row>
    <row r="471">
      <c r="A471" s="110">
        <f>IFERROR(__xludf.DUMMYFUNCTION("""COMPUTED_VALUE"""),46112.0)</f>
        <v>46112</v>
      </c>
      <c r="B471" s="110" t="str">
        <f>IFERROR(__xludf.DUMMYFUNCTION("""COMPUTED_VALUE"""),"2603D148")</f>
        <v>2603D148</v>
      </c>
      <c r="C471" s="49" t="str">
        <f>IFERROR(__xludf.DUMMYFUNCTION("""COMPUTED_VALUE"""),"Neta")</f>
        <v>Neta</v>
      </c>
      <c r="D471" s="102" t="str">
        <f>IFERROR(__xludf.DUMMYFUNCTION("""COMPUTED_VALUE"""),"082120112988")</f>
        <v>082120112988</v>
      </c>
      <c r="E471" s="25" t="str">
        <f>IFERROR(__xludf.DUMMYFUNCTION("""COMPUTED_VALUE"""),"Instagram")</f>
        <v>Instagram</v>
      </c>
      <c r="F471" s="25" t="str">
        <f>IFERROR(__xludf.DUMMYFUNCTION("""COMPUTED_VALUE"""),"Qualified")</f>
        <v>Qualified</v>
      </c>
      <c r="G471" s="25" t="str">
        <f>IFERROR(__xludf.DUMMYFUNCTION("""COMPUTED_VALUE"""),"3h2m opsi a")</f>
        <v>3h2m opsi a</v>
      </c>
      <c r="H471" s="78"/>
      <c r="I471" s="27">
        <f>IFERROR(__xludf.DUMMYFUNCTION("""COMPUTED_VALUE"""),4.0)</f>
        <v>4</v>
      </c>
      <c r="J471" s="96">
        <f>IFERROR(__xludf.DUMMYFUNCTION("""COMPUTED_VALUE"""),6808000.0)</f>
        <v>6808000</v>
      </c>
      <c r="K471" s="36" t="str">
        <f>IFERROR(__xludf.DUMMYFUNCTION("""COMPUTED_VALUE"""),"fu 1 juni")</f>
        <v>fu 1 juni</v>
      </c>
      <c r="L471" s="81" t="str">
        <f>IFERROR(__xludf.DUMMYFUNCTION("""COMPUTED_VALUE"""),"https://docs.google.com/document/d/1zPw8Zfr98kjQUxz1f9zZYGpikX0vPV5fNylvqLkLIGI/edit?tab=t.0")</f>
        <v>https://docs.google.com/document/d/1zPw8Zfr98kjQUxz1f9zZYGpikX0vPV5fNylvqLkLIGI/edit?tab=t.0</v>
      </c>
      <c r="M471" s="20"/>
      <c r="N471" s="20"/>
      <c r="O471" s="20"/>
      <c r="P471" s="20"/>
    </row>
    <row r="472">
      <c r="A472" s="97">
        <f>IFERROR(__xludf.DUMMYFUNCTION("""COMPUTED_VALUE"""),46113.0)</f>
        <v>46113</v>
      </c>
      <c r="B472" s="97" t="str">
        <f>IFERROR(__xludf.DUMMYFUNCTION("""COMPUTED_VALUE"""),"2604D001")</f>
        <v>2604D001</v>
      </c>
      <c r="C472" s="76" t="str">
        <f>IFERROR(__xludf.DUMMYFUNCTION("""COMPUTED_VALUE"""),"Ald")</f>
        <v>Ald</v>
      </c>
      <c r="D472" s="99" t="str">
        <f>IFERROR(__xludf.DUMMYFUNCTION("""COMPUTED_VALUE"""),"081221606458")</f>
        <v>081221606458</v>
      </c>
      <c r="E472" s="25" t="str">
        <f>IFERROR(__xludf.DUMMYFUNCTION("""COMPUTED_VALUE"""),"Lainnya")</f>
        <v>Lainnya</v>
      </c>
      <c r="F472" s="25" t="str">
        <f>IFERROR(__xludf.DUMMYFUNCTION("""COMPUTED_VALUE"""),"Gagal")</f>
        <v>Gagal</v>
      </c>
      <c r="G472" s="25" t="str">
        <f>IFERROR(__xludf.DUMMYFUNCTION("""COMPUTED_VALUE"""),"Trip alas purwo")</f>
        <v>Trip alas purwo</v>
      </c>
      <c r="H472" s="92"/>
      <c r="I472" s="80">
        <f>IFERROR(__xludf.DUMMYFUNCTION("""COMPUTED_VALUE"""),2.0)</f>
        <v>2</v>
      </c>
      <c r="J472" s="93">
        <f>IFERROR(__xludf.DUMMYFUNCTION("""COMPUTED_VALUE"""),1768000.0)</f>
        <v>1768000</v>
      </c>
      <c r="K472" s="46" t="str">
        <f>IFERROR(__xludf.DUMMYFUNCTION("""COMPUTED_VALUE"""),"FU 1 Juni")</f>
        <v>FU 1 Juni</v>
      </c>
      <c r="L472" s="88" t="str">
        <f>IFERROR(__xludf.DUMMYFUNCTION("""COMPUTED_VALUE"""),"https://docs.google.com/document/d/1LdfjBq3bM8lCIu60ZYoWWoa7Pcy45UILWjJgg9d1E_M/edit?tab=t.0")</f>
        <v>https://docs.google.com/document/d/1LdfjBq3bM8lCIu60ZYoWWoa7Pcy45UILWjJgg9d1E_M/edit?tab=t.0</v>
      </c>
      <c r="M472" s="20"/>
      <c r="N472" s="20"/>
      <c r="O472" s="20"/>
      <c r="P472" s="20"/>
    </row>
    <row r="473">
      <c r="A473" s="110">
        <f>IFERROR(__xludf.DUMMYFUNCTION("""COMPUTED_VALUE"""),46113.0)</f>
        <v>46113</v>
      </c>
      <c r="B473" s="110" t="str">
        <f>IFERROR(__xludf.DUMMYFUNCTION("""COMPUTED_VALUE"""),"2604D002")</f>
        <v>2604D002</v>
      </c>
      <c r="C473" s="49" t="str">
        <f>IFERROR(__xludf.DUMMYFUNCTION("""COMPUTED_VALUE"""),"Liaaa")</f>
        <v>Liaaa</v>
      </c>
      <c r="D473" s="102" t="str">
        <f>IFERROR(__xludf.DUMMYFUNCTION("""COMPUTED_VALUE"""),"087834760295")</f>
        <v>087834760295</v>
      </c>
      <c r="E473" s="25" t="str">
        <f>IFERROR(__xludf.DUMMYFUNCTION("""COMPUTED_VALUE"""),"Instagram")</f>
        <v>Instagram</v>
      </c>
      <c r="F473" s="25" t="str">
        <f>IFERROR(__xludf.DUMMYFUNCTION("""COMPUTED_VALUE"""),"Gagal")</f>
        <v>Gagal</v>
      </c>
      <c r="G473" s="25" t="str">
        <f>IFERROR(__xludf.DUMMYFUNCTION("""COMPUTED_VALUE"""),"1d baluran djawatan")</f>
        <v>1d baluran djawatan</v>
      </c>
      <c r="H473" s="26"/>
      <c r="I473" s="27">
        <f>IFERROR(__xludf.DUMMYFUNCTION("""COMPUTED_VALUE"""),2.0)</f>
        <v>2</v>
      </c>
      <c r="J473" s="33">
        <f>IFERROR(__xludf.DUMMYFUNCTION("""COMPUTED_VALUE"""),1754000.0)</f>
        <v>1754000</v>
      </c>
      <c r="K473" s="30" t="str">
        <f>IFERROR(__xludf.DUMMYFUNCTION("""COMPUTED_VALUE"""),"gajadi trip karena ada hal lain")</f>
        <v>gajadi trip karena ada hal lain</v>
      </c>
      <c r="L473" s="81" t="str">
        <f>IFERROR(__xludf.DUMMYFUNCTION("""COMPUTED_VALUE"""),"https://docs.google.com/document/d/1l9tdypDDXJs-pBP1lW3qG6l4Iibz2jds2Iiu8s9WWmU/edit?tab=t.0")</f>
        <v>https://docs.google.com/document/d/1l9tdypDDXJs-pBP1lW3qG6l4Iibz2jds2Iiu8s9WWmU/edit?tab=t.0</v>
      </c>
      <c r="M473" s="20"/>
      <c r="N473" s="20"/>
      <c r="O473" s="20"/>
      <c r="P473" s="20"/>
    </row>
    <row r="474">
      <c r="A474" s="97">
        <f>IFERROR(__xludf.DUMMYFUNCTION("""COMPUTED_VALUE"""),46114.0)</f>
        <v>46114</v>
      </c>
      <c r="B474" s="110" t="str">
        <f>IFERROR(__xludf.DUMMYFUNCTION("""COMPUTED_VALUE"""),"2604D003")</f>
        <v>2604D003</v>
      </c>
      <c r="C474" s="76" t="str">
        <f>IFERROR(__xludf.DUMMYFUNCTION("""COMPUTED_VALUE"""),"Emma Ummu Dawud")</f>
        <v>Emma Ummu Dawud</v>
      </c>
      <c r="D474" s="99" t="str">
        <f>IFERROR(__xludf.DUMMYFUNCTION("""COMPUTED_VALUE"""),"0852316277770")</f>
        <v>0852316277770</v>
      </c>
      <c r="E474" s="25" t="str">
        <f>IFERROR(__xludf.DUMMYFUNCTION("""COMPUTED_VALUE"""),"Lainnya")</f>
        <v>Lainnya</v>
      </c>
      <c r="F474" s="25" t="str">
        <f>IFERROR(__xludf.DUMMYFUNCTION("""COMPUTED_VALUE"""),"Leads Baru")</f>
        <v>Leads Baru</v>
      </c>
      <c r="G474" s="25" t="str">
        <f>IFERROR(__xludf.DUMMYFUNCTION("""COMPUTED_VALUE"""),"2h1m opsi c")</f>
        <v>2h1m opsi c</v>
      </c>
      <c r="H474" s="92"/>
      <c r="I474" s="80"/>
      <c r="J474" s="93"/>
      <c r="K474" s="19" t="str">
        <f>IFERROR(__xludf.DUMMYFUNCTION("""COMPUTED_VALUE"""),"masih belum ada lanjutan")</f>
        <v>masih belum ada lanjutan</v>
      </c>
      <c r="L474" s="88" t="str">
        <f>IFERROR(__xludf.DUMMYFUNCTION("""COMPUTED_VALUE"""),"https://docs.google.com/document/d/1B-k6PK34SP6ONYfk4qpXAGipac6GwiuF9nUmyQWTmak/edit?tab=t.0")</f>
        <v>https://docs.google.com/document/d/1B-k6PK34SP6ONYfk4qpXAGipac6GwiuF9nUmyQWTmak/edit?tab=t.0</v>
      </c>
      <c r="M474" s="20"/>
      <c r="N474" s="20"/>
      <c r="O474" s="20"/>
      <c r="P474" s="20"/>
    </row>
    <row r="475">
      <c r="A475" s="110">
        <f>IFERROR(__xludf.DUMMYFUNCTION("""COMPUTED_VALUE"""),46114.0)</f>
        <v>46114</v>
      </c>
      <c r="B475" s="110" t="str">
        <f>IFERROR(__xludf.DUMMYFUNCTION("""COMPUTED_VALUE"""),"2604D004")</f>
        <v>2604D004</v>
      </c>
      <c r="C475" s="49" t="str">
        <f>IFERROR(__xludf.DUMMYFUNCTION("""COMPUTED_VALUE"""),"Jihan sulistiana")</f>
        <v>Jihan sulistiana</v>
      </c>
      <c r="D475" s="102" t="str">
        <f>IFERROR(__xludf.DUMMYFUNCTION("""COMPUTED_VALUE"""),"081586769984")</f>
        <v>081586769984</v>
      </c>
      <c r="E475" s="25" t="str">
        <f>IFERROR(__xludf.DUMMYFUNCTION("""COMPUTED_VALUE"""),"Lainnya")</f>
        <v>Lainnya</v>
      </c>
      <c r="F475" s="25" t="str">
        <f>IFERROR(__xludf.DUMMYFUNCTION("""COMPUTED_VALUE"""),"Gagal")</f>
        <v>Gagal</v>
      </c>
      <c r="G475" s="25" t="str">
        <f>IFERROR(__xludf.DUMMYFUNCTION("""COMPUTED_VALUE"""),"OT 3H2M")</f>
        <v>OT 3H2M</v>
      </c>
      <c r="H475" s="78">
        <f>IFERROR(__xludf.DUMMYFUNCTION("""COMPUTED_VALUE"""),46126.0)</f>
        <v>46126</v>
      </c>
      <c r="I475" s="89">
        <f>IFERROR(__xludf.DUMMYFUNCTION("""COMPUTED_VALUE"""),2.0)</f>
        <v>2</v>
      </c>
      <c r="J475" s="96">
        <f>IFERROR(__xludf.DUMMYFUNCTION("""COMPUTED_VALUE"""),3200000.0)</f>
        <v>3200000</v>
      </c>
      <c r="K475" s="30" t="str">
        <f>IFERROR(__xludf.DUMMYFUNCTION("""COMPUTED_VALUE"""),"lewat tgl, FU tidak di balas")</f>
        <v>lewat tgl, FU tidak di balas</v>
      </c>
      <c r="L475" s="81" t="str">
        <f>IFERROR(__xludf.DUMMYFUNCTION("""COMPUTED_VALUE"""),"https://docs.google.com/document/d/11S9_ljoNm2tka5kUc6715t9HkrRiV-nvOFzSGLImzbs/edit?tab=t.0")</f>
        <v>https://docs.google.com/document/d/11S9_ljoNm2tka5kUc6715t9HkrRiV-nvOFzSGLImzbs/edit?tab=t.0</v>
      </c>
      <c r="M475" s="20"/>
      <c r="N475" s="20"/>
      <c r="O475" s="20"/>
      <c r="P475" s="20"/>
    </row>
    <row r="476">
      <c r="A476" s="97">
        <f>IFERROR(__xludf.DUMMYFUNCTION("""COMPUTED_VALUE"""),46114.0)</f>
        <v>46114</v>
      </c>
      <c r="B476" s="110" t="str">
        <f>IFERROR(__xludf.DUMMYFUNCTION("""COMPUTED_VALUE"""),"2604D005")</f>
        <v>2604D005</v>
      </c>
      <c r="C476" s="76" t="str">
        <f>IFERROR(__xludf.DUMMYFUNCTION("""COMPUTED_VALUE"""),"Karol")</f>
        <v>Karol</v>
      </c>
      <c r="D476" s="99" t="str">
        <f>IFERROR(__xludf.DUMMYFUNCTION("""COMPUTED_VALUE"""),"48601515259")</f>
        <v>48601515259</v>
      </c>
      <c r="E476" s="25" t="str">
        <f>IFERROR(__xludf.DUMMYFUNCTION("""COMPUTED_VALUE"""),"Lainnya")</f>
        <v>Lainnya</v>
      </c>
      <c r="F476" s="25" t="str">
        <f>IFERROR(__xludf.DUMMYFUNCTION("""COMPUTED_VALUE"""),"Gagal")</f>
        <v>Gagal</v>
      </c>
      <c r="G476" s="25" t="str">
        <f>IFERROR(__xludf.DUMMYFUNCTION("""COMPUTED_VALUE"""),"trip Ijen")</f>
        <v>trip Ijen</v>
      </c>
      <c r="H476" s="92"/>
      <c r="I476" s="80">
        <f>IFERROR(__xludf.DUMMYFUNCTION("""COMPUTED_VALUE"""),2.0)</f>
        <v>2</v>
      </c>
      <c r="J476" s="93"/>
      <c r="K476" s="19" t="str">
        <f>IFERROR(__xludf.DUMMYFUNCTION("""COMPUTED_VALUE"""),"gajadiiii")</f>
        <v>gajadiiii</v>
      </c>
      <c r="L476" s="88" t="str">
        <f>IFERROR(__xludf.DUMMYFUNCTION("""COMPUTED_VALUE"""),"https://docs.google.com/document/d/1LAfz6NaqHOTVGBlIePewMX0mVa1wm_mxqlTcoWpE7mU/edit?tab=t.0")</f>
        <v>https://docs.google.com/document/d/1LAfz6NaqHOTVGBlIePewMX0mVa1wm_mxqlTcoWpE7mU/edit?tab=t.0</v>
      </c>
      <c r="M476" s="20"/>
      <c r="N476" s="20"/>
      <c r="O476" s="20"/>
      <c r="P476" s="20"/>
    </row>
    <row r="477">
      <c r="A477" s="110">
        <f>IFERROR(__xludf.DUMMYFUNCTION("""COMPUTED_VALUE"""),46115.0)</f>
        <v>46115</v>
      </c>
      <c r="B477" s="110" t="str">
        <f>IFERROR(__xludf.DUMMYFUNCTION("""COMPUTED_VALUE"""),"2604D006")</f>
        <v>2604D006</v>
      </c>
      <c r="C477" s="49" t="str">
        <f>IFERROR(__xludf.DUMMYFUNCTION("""COMPUTED_VALUE"""),"May")</f>
        <v>May</v>
      </c>
      <c r="D477" s="102" t="str">
        <f>IFERROR(__xludf.DUMMYFUNCTION("""COMPUTED_VALUE"""),"082142822692")</f>
        <v>082142822692</v>
      </c>
      <c r="E477" s="25" t="str">
        <f>IFERROR(__xludf.DUMMYFUNCTION("""COMPUTED_VALUE"""),"Lainnya")</f>
        <v>Lainnya</v>
      </c>
      <c r="F477" s="25" t="str">
        <f>IFERROR(__xludf.DUMMYFUNCTION("""COMPUTED_VALUE"""),"Gagal")</f>
        <v>Gagal</v>
      </c>
      <c r="G477" s="25" t="str">
        <f>IFERROR(__xludf.DUMMYFUNCTION("""COMPUTED_VALUE"""),"trip pulau bedil")</f>
        <v>trip pulau bedil</v>
      </c>
      <c r="H477" s="78"/>
      <c r="I477" s="89">
        <f>IFERROR(__xludf.DUMMYFUNCTION("""COMPUTED_VALUE"""),1.0)</f>
        <v>1</v>
      </c>
      <c r="J477" s="96">
        <f>IFERROR(__xludf.DUMMYFUNCTION("""COMPUTED_VALUE"""),1194000.0)</f>
        <v>1194000</v>
      </c>
      <c r="K477" s="30" t="str">
        <f>IFERROR(__xludf.DUMMYFUNCTION("""COMPUTED_VALUE"""),"tidakk balass")</f>
        <v>tidakk balass</v>
      </c>
      <c r="L477" s="81" t="str">
        <f>IFERROR(__xludf.DUMMYFUNCTION("""COMPUTED_VALUE"""),"https://docs.google.com/document/d/1cMHV-rIZTWglYrNnxoJiOWC4N9DaeUrlteaDr5AsNc0/edit?tab=t.0")</f>
        <v>https://docs.google.com/document/d/1cMHV-rIZTWglYrNnxoJiOWC4N9DaeUrlteaDr5AsNc0/edit?tab=t.0</v>
      </c>
      <c r="M477" s="20"/>
      <c r="N477" s="20"/>
      <c r="O477" s="20"/>
      <c r="P477" s="20"/>
    </row>
    <row r="478">
      <c r="A478" s="97">
        <f>IFERROR(__xludf.DUMMYFUNCTION("""COMPUTED_VALUE"""),46115.0)</f>
        <v>46115</v>
      </c>
      <c r="B478" s="97" t="str">
        <f>IFERROR(__xludf.DUMMYFUNCTION("""COMPUTED_VALUE"""),"2604D007")</f>
        <v>2604D007</v>
      </c>
      <c r="C478" s="76" t="str">
        <f>IFERROR(__xludf.DUMMYFUNCTION("""COMPUTED_VALUE"""),"Maooo")</f>
        <v>Maooo</v>
      </c>
      <c r="D478" s="99" t="str">
        <f>IFERROR(__xludf.DUMMYFUNCTION("""COMPUTED_VALUE"""),"083822875840")</f>
        <v>083822875840</v>
      </c>
      <c r="E478" s="25" t="str">
        <f>IFERROR(__xludf.DUMMYFUNCTION("""COMPUTED_VALUE"""),"Instagram")</f>
        <v>Instagram</v>
      </c>
      <c r="F478" s="25" t="str">
        <f>IFERROR(__xludf.DUMMYFUNCTION("""COMPUTED_VALUE"""),"Gagal")</f>
        <v>Gagal</v>
      </c>
      <c r="G478" s="25" t="str">
        <f>IFERROR(__xludf.DUMMYFUNCTION("""COMPUTED_VALUE"""),"1 day pulau bedil")</f>
        <v>1 day pulau bedil</v>
      </c>
      <c r="H478" s="92">
        <f>IFERROR(__xludf.DUMMYFUNCTION("""COMPUTED_VALUE"""),46131.0)</f>
        <v>46131</v>
      </c>
      <c r="I478" s="80">
        <f>IFERROR(__xludf.DUMMYFUNCTION("""COMPUTED_VALUE"""),1.0)</f>
        <v>1</v>
      </c>
      <c r="J478" s="93"/>
      <c r="K478" s="46" t="str">
        <f>IFERROR(__xludf.DUMMYFUNCTION("""COMPUTED_VALUE"""),"sudah FU tidak balass")</f>
        <v>sudah FU tidak balass</v>
      </c>
      <c r="L478" s="88" t="str">
        <f>IFERROR(__xludf.DUMMYFUNCTION("""COMPUTED_VALUE"""),"https://docs.google.com/document/d/1lbRZvBcTYPRM8jyct_NrF6b8TmnLn7LCg-lAhupKsu0/edit?tab=t.0")</f>
        <v>https://docs.google.com/document/d/1lbRZvBcTYPRM8jyct_NrF6b8TmnLn7LCg-lAhupKsu0/edit?tab=t.0</v>
      </c>
      <c r="M478" s="20"/>
      <c r="N478" s="20"/>
      <c r="O478" s="20"/>
      <c r="P478" s="20"/>
    </row>
    <row r="479">
      <c r="A479" s="110">
        <f>IFERROR(__xludf.DUMMYFUNCTION("""COMPUTED_VALUE"""),46115.0)</f>
        <v>46115</v>
      </c>
      <c r="B479" s="110" t="str">
        <f>IFERROR(__xludf.DUMMYFUNCTION("""COMPUTED_VALUE"""),"2604D008")</f>
        <v>2604D008</v>
      </c>
      <c r="C479" s="49" t="str">
        <f>IFERROR(__xludf.DUMMYFUNCTION("""COMPUTED_VALUE"""),"Nabila")</f>
        <v>Nabila</v>
      </c>
      <c r="D479" s="102" t="str">
        <f>IFERROR(__xludf.DUMMYFUNCTION("""COMPUTED_VALUE"""),"087724193982")</f>
        <v>087724193982</v>
      </c>
      <c r="E479" s="25" t="str">
        <f>IFERROR(__xludf.DUMMYFUNCTION("""COMPUTED_VALUE"""),"Instagram")</f>
        <v>Instagram</v>
      </c>
      <c r="F479" s="25" t="str">
        <f>IFERROR(__xludf.DUMMYFUNCTION("""COMPUTED_VALUE"""),"Gagal")</f>
        <v>Gagal</v>
      </c>
      <c r="G479" s="25" t="str">
        <f>IFERROR(__xludf.DUMMYFUNCTION("""COMPUTED_VALUE"""),"OT Ijen")</f>
        <v>OT Ijen</v>
      </c>
      <c r="H479" s="26">
        <f>IFERROR(__xludf.DUMMYFUNCTION("""COMPUTED_VALUE"""),46121.0)</f>
        <v>46121</v>
      </c>
      <c r="I479" s="89">
        <f>IFERROR(__xludf.DUMMYFUNCTION("""COMPUTED_VALUE"""),1.0)</f>
        <v>1</v>
      </c>
      <c r="J479" s="96">
        <f>IFERROR(__xludf.DUMMYFUNCTION("""COMPUTED_VALUE"""),250000.0)</f>
        <v>250000</v>
      </c>
      <c r="K479" s="30" t="str">
        <f>IFERROR(__xludf.DUMMYFUNCTION("""COMPUTED_VALUE"""),"lewat tgl")</f>
        <v>lewat tgl</v>
      </c>
      <c r="L479" s="81" t="str">
        <f>IFERROR(__xludf.DUMMYFUNCTION("""COMPUTED_VALUE"""),"https://docs.google.com/document/d/1r7ggBtbT1aetrbhL-pnQpj0byi9SfvzGmybz_U5W0lg/edit?tab=t.0")</f>
        <v>https://docs.google.com/document/d/1r7ggBtbT1aetrbhL-pnQpj0byi9SfvzGmybz_U5W0lg/edit?tab=t.0</v>
      </c>
      <c r="M479" s="20"/>
      <c r="N479" s="20"/>
      <c r="O479" s="20"/>
      <c r="P479" s="20"/>
    </row>
    <row r="480">
      <c r="A480" s="97">
        <f>IFERROR(__xludf.DUMMYFUNCTION("""COMPUTED_VALUE"""),46115.0)</f>
        <v>46115</v>
      </c>
      <c r="B480" s="97" t="str">
        <f>IFERROR(__xludf.DUMMYFUNCTION("""COMPUTED_VALUE"""),"2604D009")</f>
        <v>2604D009</v>
      </c>
      <c r="C480" s="76" t="str">
        <f>IFERROR(__xludf.DUMMYFUNCTION("""COMPUTED_VALUE"""),"Din")</f>
        <v>Din</v>
      </c>
      <c r="D480" s="99" t="str">
        <f>IFERROR(__xludf.DUMMYFUNCTION("""COMPUTED_VALUE"""),"081217601281")</f>
        <v>081217601281</v>
      </c>
      <c r="E480" s="25" t="str">
        <f>IFERROR(__xludf.DUMMYFUNCTION("""COMPUTED_VALUE"""),"Instagram")</f>
        <v>Instagram</v>
      </c>
      <c r="F480" s="25" t="str">
        <f>IFERROR(__xludf.DUMMYFUNCTION("""COMPUTED_VALUE"""),"Gagal")</f>
        <v>Gagal</v>
      </c>
      <c r="G480" s="25" t="str">
        <f>IFERROR(__xludf.DUMMYFUNCTION("""COMPUTED_VALUE"""),"OT menjangan tabuhan")</f>
        <v>OT menjangan tabuhan</v>
      </c>
      <c r="H480" s="92">
        <f>IFERROR(__xludf.DUMMYFUNCTION("""COMPUTED_VALUE"""),46144.0)</f>
        <v>46144</v>
      </c>
      <c r="I480" s="80">
        <f>IFERROR(__xludf.DUMMYFUNCTION("""COMPUTED_VALUE"""),3.0)</f>
        <v>3</v>
      </c>
      <c r="J480" s="93">
        <f>IFERROR(__xludf.DUMMYFUNCTION("""COMPUTED_VALUE"""),885000.0)</f>
        <v>885000</v>
      </c>
      <c r="K480" s="46" t="str">
        <f>IFERROR(__xludf.DUMMYFUNCTION("""COMPUTED_VALUE"""),"sudah fu ga balesss")</f>
        <v>sudah fu ga balesss</v>
      </c>
      <c r="L480" s="88" t="str">
        <f>IFERROR(__xludf.DUMMYFUNCTION("""COMPUTED_VALUE"""),"https://docs.google.com/document/d/15Hn4rDITaRld5XtGOUeMHR2ufDHW1KsJq6y31DOs_oI/edit?tab=t.0")</f>
        <v>https://docs.google.com/document/d/15Hn4rDITaRld5XtGOUeMHR2ufDHW1KsJq6y31DOs_oI/edit?tab=t.0</v>
      </c>
      <c r="M480" s="20"/>
      <c r="N480" s="20"/>
      <c r="O480" s="20"/>
      <c r="P480" s="20"/>
    </row>
    <row r="481">
      <c r="A481" s="110">
        <f>IFERROR(__xludf.DUMMYFUNCTION("""COMPUTED_VALUE"""),46115.0)</f>
        <v>46115</v>
      </c>
      <c r="B481" s="110" t="str">
        <f>IFERROR(__xludf.DUMMYFUNCTION("""COMPUTED_VALUE"""),"2604D010")</f>
        <v>2604D010</v>
      </c>
      <c r="C481" s="49" t="str">
        <f>IFERROR(__xludf.DUMMYFUNCTION("""COMPUTED_VALUE"""),"Sigit Wibisono")</f>
        <v>Sigit Wibisono</v>
      </c>
      <c r="D481" s="102" t="str">
        <f>IFERROR(__xludf.DUMMYFUNCTION("""COMPUTED_VALUE"""),"081357543345")</f>
        <v>081357543345</v>
      </c>
      <c r="E481" s="25" t="str">
        <f>IFERROR(__xludf.DUMMYFUNCTION("""COMPUTED_VALUE"""),"Website")</f>
        <v>Website</v>
      </c>
      <c r="F481" s="25" t="str">
        <f>IFERROR(__xludf.DUMMYFUNCTION("""COMPUTED_VALUE"""),"Gagal")</f>
        <v>Gagal</v>
      </c>
      <c r="G481" s="25" t="str">
        <f>IFERROR(__xludf.DUMMYFUNCTION("""COMPUTED_VALUE"""),"OT menjangan tabuhan")</f>
        <v>OT menjangan tabuhan</v>
      </c>
      <c r="H481" s="78">
        <f>IFERROR(__xludf.DUMMYFUNCTION("""COMPUTED_VALUE"""),46116.0)</f>
        <v>46116</v>
      </c>
      <c r="I481" s="89">
        <f>IFERROR(__xludf.DUMMYFUNCTION("""COMPUTED_VALUE"""),4.0)</f>
        <v>4</v>
      </c>
      <c r="J481" s="96"/>
      <c r="K481" s="30" t="str">
        <f>IFERROR(__xludf.DUMMYFUNCTION("""COMPUTED_VALUE"""),"belum jadiii")</f>
        <v>belum jadiii</v>
      </c>
      <c r="L481" s="49"/>
      <c r="M481" s="20"/>
      <c r="N481" s="20"/>
      <c r="O481" s="20"/>
      <c r="P481" s="20"/>
    </row>
    <row r="482">
      <c r="A482" s="110">
        <f>IFERROR(__xludf.DUMMYFUNCTION("""COMPUTED_VALUE"""),46116.0)</f>
        <v>46116</v>
      </c>
      <c r="B482" s="110" t="str">
        <f>IFERROR(__xludf.DUMMYFUNCTION("""COMPUTED_VALUE"""),"2604D011")</f>
        <v>2604D011</v>
      </c>
      <c r="C482" s="49" t="str">
        <f>IFERROR(__xludf.DUMMYFUNCTION("""COMPUTED_VALUE"""),"Hemi")</f>
        <v>Hemi</v>
      </c>
      <c r="D482" s="102" t="str">
        <f>IFERROR(__xludf.DUMMYFUNCTION("""COMPUTED_VALUE"""),"08562236424")</f>
        <v>08562236424</v>
      </c>
      <c r="E482" s="25" t="str">
        <f>IFERROR(__xludf.DUMMYFUNCTION("""COMPUTED_VALUE"""),"Lainnya")</f>
        <v>Lainnya</v>
      </c>
      <c r="F482" s="25" t="str">
        <f>IFERROR(__xludf.DUMMYFUNCTION("""COMPUTED_VALUE"""),"Leads Baru")</f>
        <v>Leads Baru</v>
      </c>
      <c r="G482" s="25"/>
      <c r="H482" s="78"/>
      <c r="I482" s="89"/>
      <c r="J482" s="96"/>
      <c r="K482" s="30" t="str">
        <f>IFERROR(__xludf.DUMMYFUNCTION("""COMPUTED_VALUE"""),"masih info2 ke temennya, FU lagi 19 Mei")</f>
        <v>masih info2 ke temennya, FU lagi 19 Mei</v>
      </c>
      <c r="L482" s="81" t="str">
        <f>IFERROR(__xludf.DUMMYFUNCTION("""COMPUTED_VALUE"""),"https://docs.google.com/document/d/15GlHt0TOCeYUfGOgOrTVVyf6Gdj6A2frJMmeHl4gw54/edit?tab=t.0")</f>
        <v>https://docs.google.com/document/d/15GlHt0TOCeYUfGOgOrTVVyf6Gdj6A2frJMmeHl4gw54/edit?tab=t.0</v>
      </c>
      <c r="M482" s="20"/>
      <c r="N482" s="20"/>
      <c r="O482" s="20"/>
      <c r="P482" s="20"/>
    </row>
    <row r="483">
      <c r="A483" s="110">
        <f>IFERROR(__xludf.DUMMYFUNCTION("""COMPUTED_VALUE"""),46116.0)</f>
        <v>46116</v>
      </c>
      <c r="B483" s="110" t="str">
        <f>IFERROR(__xludf.DUMMYFUNCTION("""COMPUTED_VALUE"""),"2604D012")</f>
        <v>2604D012</v>
      </c>
      <c r="C483" s="49" t="str">
        <f>IFERROR(__xludf.DUMMYFUNCTION("""COMPUTED_VALUE"""),"Galih Ragawati ")</f>
        <v>Galih Ragawati </v>
      </c>
      <c r="D483" s="102" t="str">
        <f>IFERROR(__xludf.DUMMYFUNCTION("""COMPUTED_VALUE"""),"085641919435")</f>
        <v>085641919435</v>
      </c>
      <c r="E483" s="25" t="str">
        <f>IFERROR(__xludf.DUMMYFUNCTION("""COMPUTED_VALUE"""),"Instagram")</f>
        <v>Instagram</v>
      </c>
      <c r="F483" s="25" t="str">
        <f>IFERROR(__xludf.DUMMYFUNCTION("""COMPUTED_VALUE"""),"Gagal")</f>
        <v>Gagal</v>
      </c>
      <c r="G483" s="25"/>
      <c r="H483" s="78"/>
      <c r="I483" s="89"/>
      <c r="J483" s="96"/>
      <c r="K483" s="30" t="str">
        <f>IFERROR(__xludf.DUMMYFUNCTION("""COMPUTED_VALUE"""),"tidak ada balasan")</f>
        <v>tidak ada balasan</v>
      </c>
      <c r="L483" s="81" t="str">
        <f>IFERROR(__xludf.DUMMYFUNCTION("""COMPUTED_VALUE"""),"https://docs.google.com/document/d/1JKrfl2qUBJmXEq-A0AOFOyryon2B4FT-7B8z1Biotg4/edit?tab=t.0")</f>
        <v>https://docs.google.com/document/d/1JKrfl2qUBJmXEq-A0AOFOyryon2B4FT-7B8z1Biotg4/edit?tab=t.0</v>
      </c>
      <c r="M483" s="20"/>
      <c r="N483" s="20"/>
      <c r="O483" s="20"/>
      <c r="P483" s="20"/>
    </row>
    <row r="484">
      <c r="A484" s="97">
        <f>IFERROR(__xludf.DUMMYFUNCTION("""COMPUTED_VALUE"""),46116.0)</f>
        <v>46116</v>
      </c>
      <c r="B484" s="97" t="str">
        <f>IFERROR(__xludf.DUMMYFUNCTION("""COMPUTED_VALUE"""),"2604D013")</f>
        <v>2604D013</v>
      </c>
      <c r="C484" s="76" t="str">
        <f>IFERROR(__xludf.DUMMYFUNCTION("""COMPUTED_VALUE"""),"Chevy")</f>
        <v>Chevy</v>
      </c>
      <c r="D484" s="99" t="str">
        <f>IFERROR(__xludf.DUMMYFUNCTION("""COMPUTED_VALUE"""),"087716217985")</f>
        <v>087716217985</v>
      </c>
      <c r="E484" s="25" t="str">
        <f>IFERROR(__xludf.DUMMYFUNCTION("""COMPUTED_VALUE"""),"Instagram")</f>
        <v>Instagram</v>
      </c>
      <c r="F484" s="25" t="str">
        <f>IFERROR(__xludf.DUMMYFUNCTION("""COMPUTED_VALUE"""),"Gagal")</f>
        <v>Gagal</v>
      </c>
      <c r="G484" s="25"/>
      <c r="H484" s="92"/>
      <c r="I484" s="80"/>
      <c r="J484" s="54"/>
      <c r="K484" s="46" t="str">
        <f>IFERROR(__xludf.DUMMYFUNCTION("""COMPUTED_VALUE"""),"hanya menyapa")</f>
        <v>hanya menyapa</v>
      </c>
      <c r="L484" s="88" t="str">
        <f>IFERROR(__xludf.DUMMYFUNCTION("""COMPUTED_VALUE"""),"https://docs.google.com/document/d/1t9EPlsu_eiVjYGs9TIRQAboIlCQNTJ9bJ8z4RiD-9qI/edit?tab=t.0")</f>
        <v>https://docs.google.com/document/d/1t9EPlsu_eiVjYGs9TIRQAboIlCQNTJ9bJ8z4RiD-9qI/edit?tab=t.0</v>
      </c>
      <c r="M484" s="20"/>
      <c r="N484" s="20"/>
      <c r="O484" s="20"/>
      <c r="P484" s="20"/>
    </row>
    <row r="485">
      <c r="A485" s="110">
        <f>IFERROR(__xludf.DUMMYFUNCTION("""COMPUTED_VALUE"""),46116.0)</f>
        <v>46116</v>
      </c>
      <c r="B485" s="110" t="str">
        <f>IFERROR(__xludf.DUMMYFUNCTION("""COMPUTED_VALUE"""),"2604D014")</f>
        <v>2604D014</v>
      </c>
      <c r="C485" s="49" t="str">
        <f>IFERROR(__xludf.DUMMYFUNCTION("""COMPUTED_VALUE"""),"Anto")</f>
        <v>Anto</v>
      </c>
      <c r="D485" s="102" t="str">
        <f>IFERROR(__xludf.DUMMYFUNCTION("""COMPUTED_VALUE"""),"085727801119")</f>
        <v>085727801119</v>
      </c>
      <c r="E485" s="25" t="str">
        <f>IFERROR(__xludf.DUMMYFUNCTION("""COMPUTED_VALUE"""),"Website")</f>
        <v>Website</v>
      </c>
      <c r="F485" s="25" t="str">
        <f>IFERROR(__xludf.DUMMYFUNCTION("""COMPUTED_VALUE"""),"Gagal")</f>
        <v>Gagal</v>
      </c>
      <c r="G485" s="25" t="str">
        <f>IFERROR(__xludf.DUMMYFUNCTION("""COMPUTED_VALUE"""),"OT Baluran")</f>
        <v>OT Baluran</v>
      </c>
      <c r="H485" s="78">
        <f>IFERROR(__xludf.DUMMYFUNCTION("""COMPUTED_VALUE"""),46119.0)</f>
        <v>46119</v>
      </c>
      <c r="I485" s="89">
        <f>IFERROR(__xludf.DUMMYFUNCTION("""COMPUTED_VALUE"""),2.0)</f>
        <v>2</v>
      </c>
      <c r="J485" s="96">
        <f>IFERROR(__xludf.DUMMYFUNCTION("""COMPUTED_VALUE"""),700000.0)</f>
        <v>700000</v>
      </c>
      <c r="K485" s="36" t="str">
        <f>IFERROR(__xludf.DUMMYFUNCTION("""COMPUTED_VALUE"""),"next time, ada acara dadakan ")</f>
        <v>next time, ada acara dadakan </v>
      </c>
      <c r="L485" s="81" t="str">
        <f>IFERROR(__xludf.DUMMYFUNCTION("""COMPUTED_VALUE"""),"https://docs.google.com/document/d/1hNdE9ojsS-r41C0SSpqXUVSKxjeXjcNosXvoAJph-m8/edit?tab=t.0")</f>
        <v>https://docs.google.com/document/d/1hNdE9ojsS-r41C0SSpqXUVSKxjeXjcNosXvoAJph-m8/edit?tab=t.0</v>
      </c>
      <c r="M485" s="20"/>
      <c r="N485" s="20"/>
      <c r="O485" s="20"/>
      <c r="P485" s="20"/>
    </row>
    <row r="486">
      <c r="A486" s="97">
        <f>IFERROR(__xludf.DUMMYFUNCTION("""COMPUTED_VALUE"""),46116.0)</f>
        <v>46116</v>
      </c>
      <c r="B486" s="97" t="str">
        <f>IFERROR(__xludf.DUMMYFUNCTION("""COMPUTED_VALUE"""),"2604D015")</f>
        <v>2604D015</v>
      </c>
      <c r="C486" s="76" t="str">
        <f>IFERROR(__xludf.DUMMYFUNCTION("""COMPUTED_VALUE"""),"Aprenny")</f>
        <v>Aprenny</v>
      </c>
      <c r="D486" s="99" t="str">
        <f>IFERROR(__xludf.DUMMYFUNCTION("""COMPUTED_VALUE"""),"085755092376")</f>
        <v>085755092376</v>
      </c>
      <c r="E486" s="25" t="str">
        <f>IFERROR(__xludf.DUMMYFUNCTION("""COMPUTED_VALUE"""),"Website")</f>
        <v>Website</v>
      </c>
      <c r="F486" s="25" t="str">
        <f>IFERROR(__xludf.DUMMYFUNCTION("""COMPUTED_VALUE"""),"Gagal")</f>
        <v>Gagal</v>
      </c>
      <c r="G486" s="25" t="str">
        <f>IFERROR(__xludf.DUMMYFUNCTION("""COMPUTED_VALUE"""),"trip Djawatan Baluran ")</f>
        <v>trip Djawatan Baluran </v>
      </c>
      <c r="H486" s="92"/>
      <c r="I486" s="80">
        <f>IFERROR(__xludf.DUMMYFUNCTION("""COMPUTED_VALUE"""),4.0)</f>
        <v>4</v>
      </c>
      <c r="J486" s="93">
        <f>IFERROR(__xludf.DUMMYFUNCTION("""COMPUTED_VALUE"""),1996000.0)</f>
        <v>1996000</v>
      </c>
      <c r="K486" s="46" t="str">
        <f>IFERROR(__xludf.DUMMYFUNCTION("""COMPUTED_VALUE"""),"gagalll, FU sudah 5 kali tdk ada balasan")</f>
        <v>gagalll, FU sudah 5 kali tdk ada balasan</v>
      </c>
      <c r="L486" s="88" t="str">
        <f>IFERROR(__xludf.DUMMYFUNCTION("""COMPUTED_VALUE"""),"https://docs.google.com/document/d/1GRiQeZjiv2jBxkud2z9hmpZmm0f6k_cSLyjOgxW-WS0/edit?tab=t.0")</f>
        <v>https://docs.google.com/document/d/1GRiQeZjiv2jBxkud2z9hmpZmm0f6k_cSLyjOgxW-WS0/edit?tab=t.0</v>
      </c>
      <c r="M486" s="20"/>
      <c r="N486" s="20"/>
      <c r="O486" s="20"/>
      <c r="P486" s="20"/>
    </row>
    <row r="487">
      <c r="A487" s="110">
        <f>IFERROR(__xludf.DUMMYFUNCTION("""COMPUTED_VALUE"""),46116.0)</f>
        <v>46116</v>
      </c>
      <c r="B487" s="110" t="str">
        <f>IFERROR(__xludf.DUMMYFUNCTION("""COMPUTED_VALUE"""),"2604D016")</f>
        <v>2604D016</v>
      </c>
      <c r="C487" s="49" t="str">
        <f>IFERROR(__xludf.DUMMYFUNCTION("""COMPUTED_VALUE"""),"Azila Hatika")</f>
        <v>Azila Hatika</v>
      </c>
      <c r="D487" s="102" t="str">
        <f>IFERROR(__xludf.DUMMYFUNCTION("""COMPUTED_VALUE"""),"081281949477")</f>
        <v>081281949477</v>
      </c>
      <c r="E487" s="25" t="str">
        <f>IFERROR(__xludf.DUMMYFUNCTION("""COMPUTED_VALUE"""),"Instagram")</f>
        <v>Instagram</v>
      </c>
      <c r="F487" s="25" t="str">
        <f>IFERROR(__xludf.DUMMYFUNCTION("""COMPUTED_VALUE"""),"Leads Baru")</f>
        <v>Leads Baru</v>
      </c>
      <c r="G487" s="25"/>
      <c r="H487" s="26"/>
      <c r="I487" s="27"/>
      <c r="J487" s="33"/>
      <c r="K487" s="30" t="str">
        <f>IFERROR(__xludf.DUMMYFUNCTION("""COMPUTED_VALUE"""),"baru menyapa ")</f>
        <v>baru menyapa </v>
      </c>
      <c r="L487" s="81" t="str">
        <f>IFERROR(__xludf.DUMMYFUNCTION("""COMPUTED_VALUE"""),"https://docs.google.com/document/d/1MONAAMhrzI1AIle8BsD1q-yobhUClb32KYUBoJ7yoaM/edit?tab=t.0")</f>
        <v>https://docs.google.com/document/d/1MONAAMhrzI1AIle8BsD1q-yobhUClb32KYUBoJ7yoaM/edit?tab=t.0</v>
      </c>
      <c r="M487" s="20"/>
      <c r="N487" s="20"/>
      <c r="O487" s="20"/>
      <c r="P487" s="20"/>
    </row>
    <row r="488">
      <c r="A488" s="97">
        <f>IFERROR(__xludf.DUMMYFUNCTION("""COMPUTED_VALUE"""),46116.0)</f>
        <v>46116</v>
      </c>
      <c r="B488" s="97" t="str">
        <f>IFERROR(__xludf.DUMMYFUNCTION("""COMPUTED_VALUE"""),"2604D017")</f>
        <v>2604D017</v>
      </c>
      <c r="C488" s="76" t="str">
        <f>IFERROR(__xludf.DUMMYFUNCTION("""COMPUTED_VALUE"""),"Isna")</f>
        <v>Isna</v>
      </c>
      <c r="D488" s="99" t="str">
        <f>IFERROR(__xludf.DUMMYFUNCTION("""COMPUTED_VALUE"""),"08995209826")</f>
        <v>08995209826</v>
      </c>
      <c r="E488" s="25" t="str">
        <f>IFERROR(__xludf.DUMMYFUNCTION("""COMPUTED_VALUE"""),"Instagram")</f>
        <v>Instagram</v>
      </c>
      <c r="F488" s="25" t="str">
        <f>IFERROR(__xludf.DUMMYFUNCTION("""COMPUTED_VALUE"""),"Gagal")</f>
        <v>Gagal</v>
      </c>
      <c r="G488" s="25" t="str">
        <f>IFERROR(__xludf.DUMMYFUNCTION("""COMPUTED_VALUE"""),"OT 3h2m ")</f>
        <v>OT 3h2m </v>
      </c>
      <c r="H488" s="92">
        <f>IFERROR(__xludf.DUMMYFUNCTION("""COMPUTED_VALUE"""),46156.0)</f>
        <v>46156</v>
      </c>
      <c r="I488" s="80">
        <f>IFERROR(__xludf.DUMMYFUNCTION("""COMPUTED_VALUE"""),2.0)</f>
        <v>2</v>
      </c>
      <c r="J488" s="93">
        <f>IFERROR(__xludf.DUMMYFUNCTION("""COMPUTED_VALUE"""),3200000.0)</f>
        <v>3200000</v>
      </c>
      <c r="K488" s="46" t="str">
        <f>IFERROR(__xludf.DUMMYFUNCTION("""COMPUTED_VALUE"""),"reschehedule tanggal trip, akan dihubungi lagi")</f>
        <v>reschehedule tanggal trip, akan dihubungi lagi</v>
      </c>
      <c r="L488" s="88" t="str">
        <f>IFERROR(__xludf.DUMMYFUNCTION("""COMPUTED_VALUE"""),"https://docs.google.com/document/d/1YYj1C0XKk72COFtjtQBjoCDyzliiHz73NJVLYrlp4yE/edit?tab=t.0")</f>
        <v>https://docs.google.com/document/d/1YYj1C0XKk72COFtjtQBjoCDyzliiHz73NJVLYrlp4yE/edit?tab=t.0</v>
      </c>
      <c r="M488" s="20"/>
      <c r="N488" s="20"/>
      <c r="O488" s="20"/>
      <c r="P488" s="20"/>
    </row>
    <row r="489">
      <c r="A489" s="110">
        <f>IFERROR(__xludf.DUMMYFUNCTION("""COMPUTED_VALUE"""),46117.0)</f>
        <v>46117</v>
      </c>
      <c r="B489" s="110" t="str">
        <f>IFERROR(__xludf.DUMMYFUNCTION("""COMPUTED_VALUE"""),"2604D018")</f>
        <v>2604D018</v>
      </c>
      <c r="C489" s="49" t="str">
        <f>IFERROR(__xludf.DUMMYFUNCTION("""COMPUTED_VALUE"""),"M Yusuf Eko")</f>
        <v>M Yusuf Eko</v>
      </c>
      <c r="D489" s="102" t="str">
        <f>IFERROR(__xludf.DUMMYFUNCTION("""COMPUTED_VALUE"""),"08977744823")</f>
        <v>08977744823</v>
      </c>
      <c r="E489" s="25" t="str">
        <f>IFERROR(__xludf.DUMMYFUNCTION("""COMPUTED_VALUE"""),"Website")</f>
        <v>Website</v>
      </c>
      <c r="F489" s="25" t="str">
        <f>IFERROR(__xludf.DUMMYFUNCTION("""COMPUTED_VALUE"""),"Gagal")</f>
        <v>Gagal</v>
      </c>
      <c r="G489" s="25"/>
      <c r="H489" s="78"/>
      <c r="I489" s="89"/>
      <c r="J489" s="96"/>
      <c r="K489" s="36" t="str">
        <f>IFERROR(__xludf.DUMMYFUNCTION("""COMPUTED_VALUE"""),"hanya menyapa")</f>
        <v>hanya menyapa</v>
      </c>
      <c r="L489" s="81" t="str">
        <f>IFERROR(__xludf.DUMMYFUNCTION("""COMPUTED_VALUE"""),"https://docs.google.com/document/d/1hiJ3MVzlM7pzJzCjfGbhQmGFRI7XJ8O9ym5Ou4qv3X8/edit?tab=t.0")</f>
        <v>https://docs.google.com/document/d/1hiJ3MVzlM7pzJzCjfGbhQmGFRI7XJ8O9ym5Ou4qv3X8/edit?tab=t.0</v>
      </c>
      <c r="M489" s="20"/>
      <c r="N489" s="20"/>
      <c r="O489" s="20"/>
      <c r="P489" s="20"/>
    </row>
    <row r="490">
      <c r="A490" s="97">
        <f>IFERROR(__xludf.DUMMYFUNCTION("""COMPUTED_VALUE"""),46117.0)</f>
        <v>46117</v>
      </c>
      <c r="B490" s="97" t="str">
        <f>IFERROR(__xludf.DUMMYFUNCTION("""COMPUTED_VALUE"""),"2604D019")</f>
        <v>2604D019</v>
      </c>
      <c r="C490" s="76" t="str">
        <f>IFERROR(__xludf.DUMMYFUNCTION("""COMPUTED_VALUE"""),"Anggun")</f>
        <v>Anggun</v>
      </c>
      <c r="D490" s="99" t="str">
        <f>IFERROR(__xludf.DUMMYFUNCTION("""COMPUTED_VALUE"""),"081259961730")</f>
        <v>081259961730</v>
      </c>
      <c r="E490" s="25" t="str">
        <f>IFERROR(__xludf.DUMMYFUNCTION("""COMPUTED_VALUE"""),"Website")</f>
        <v>Website</v>
      </c>
      <c r="F490" s="25" t="str">
        <f>IFERROR(__xludf.DUMMYFUNCTION("""COMPUTED_VALUE"""),"Qualified")</f>
        <v>Qualified</v>
      </c>
      <c r="G490" s="25" t="str">
        <f>IFERROR(__xludf.DUMMYFUNCTION("""COMPUTED_VALUE"""),"2H1M custome")</f>
        <v>2H1M custome</v>
      </c>
      <c r="H490" s="92"/>
      <c r="I490" s="17">
        <f>IFERROR(__xludf.DUMMYFUNCTION("""COMPUTED_VALUE"""),3.0)</f>
        <v>3</v>
      </c>
      <c r="J490" s="54">
        <f>IFERROR(__xludf.DUMMYFUNCTION("""COMPUTED_VALUE"""),5991000.0)</f>
        <v>5991000</v>
      </c>
      <c r="K490" s="46" t="str">
        <f>IFERROR(__xludf.DUMMYFUNCTION("""COMPUTED_VALUE"""),"FU 1 Juni")</f>
        <v>FU 1 Juni</v>
      </c>
      <c r="L490" s="100" t="str">
        <f>IFERROR(__xludf.DUMMYFUNCTION("""COMPUTED_VALUE"""),"https://docs.google.com/document/d/1Q2JSvqPvvAFnjlutBohyWwKn1mwjm4gvVKyx99SgLfU/edit?tab=t.0")</f>
        <v>https://docs.google.com/document/d/1Q2JSvqPvvAFnjlutBohyWwKn1mwjm4gvVKyx99SgLfU/edit?tab=t.0</v>
      </c>
      <c r="M490" s="20"/>
      <c r="N490" s="20"/>
      <c r="O490" s="20"/>
      <c r="P490" s="20"/>
    </row>
    <row r="491">
      <c r="A491" s="110">
        <f>IFERROR(__xludf.DUMMYFUNCTION("""COMPUTED_VALUE"""),46117.0)</f>
        <v>46117</v>
      </c>
      <c r="B491" s="110" t="str">
        <f>IFERROR(__xludf.DUMMYFUNCTION("""COMPUTED_VALUE"""),"2604D020")</f>
        <v>2604D020</v>
      </c>
      <c r="C491" s="49" t="str">
        <f>IFERROR(__xludf.DUMMYFUNCTION("""COMPUTED_VALUE"""),"Jeims")</f>
        <v>Jeims</v>
      </c>
      <c r="D491" s="102" t="str">
        <f>IFERROR(__xludf.DUMMYFUNCTION("""COMPUTED_VALUE"""),"081296137594")</f>
        <v>081296137594</v>
      </c>
      <c r="E491" s="25" t="str">
        <f>IFERROR(__xludf.DUMMYFUNCTION("""COMPUTED_VALUE"""),"Website")</f>
        <v>Website</v>
      </c>
      <c r="F491" s="25" t="str">
        <f>IFERROR(__xludf.DUMMYFUNCTION("""COMPUTED_VALUE"""),"Gagal")</f>
        <v>Gagal</v>
      </c>
      <c r="G491" s="25" t="str">
        <f>IFERROR(__xludf.DUMMYFUNCTION("""COMPUTED_VALUE"""),"OT Ijen Baluran")</f>
        <v>OT Ijen Baluran</v>
      </c>
      <c r="H491" s="78">
        <f>IFERROR(__xludf.DUMMYFUNCTION("""COMPUTED_VALUE"""),46156.0)</f>
        <v>46156</v>
      </c>
      <c r="I491" s="89">
        <f>IFERROR(__xludf.DUMMYFUNCTION("""COMPUTED_VALUE"""),2.0)</f>
        <v>2</v>
      </c>
      <c r="J491" s="96">
        <f>IFERROR(__xludf.DUMMYFUNCTION("""COMPUTED_VALUE"""),1000000.0)</f>
        <v>1000000</v>
      </c>
      <c r="K491" s="30" t="str">
        <f>IFERROR(__xludf.DUMMYFUNCTION("""COMPUTED_VALUE"""),"gajadiii")</f>
        <v>gajadiii</v>
      </c>
      <c r="L491" s="81" t="str">
        <f>IFERROR(__xludf.DUMMYFUNCTION("""COMPUTED_VALUE"""),"https://docs.google.com/document/d/1xSwno7VuWyPp5-qYM6yqsXLjREdapjNMUZSAGJ2qPSQ/edit?tab=t.0")</f>
        <v>https://docs.google.com/document/d/1xSwno7VuWyPp5-qYM6yqsXLjREdapjNMUZSAGJ2qPSQ/edit?tab=t.0</v>
      </c>
      <c r="M491" s="20"/>
      <c r="N491" s="20"/>
      <c r="O491" s="20"/>
      <c r="P491" s="20"/>
    </row>
    <row r="492">
      <c r="A492" s="97">
        <f>IFERROR(__xludf.DUMMYFUNCTION("""COMPUTED_VALUE"""),46118.0)</f>
        <v>46118</v>
      </c>
      <c r="B492" s="97" t="str">
        <f>IFERROR(__xludf.DUMMYFUNCTION("""COMPUTED_VALUE"""),"2604D021")</f>
        <v>2604D021</v>
      </c>
      <c r="C492" s="76" t="str">
        <f>IFERROR(__xludf.DUMMYFUNCTION("""COMPUTED_VALUE"""),"Adam")</f>
        <v>Adam</v>
      </c>
      <c r="D492" s="99" t="str">
        <f>IFERROR(__xludf.DUMMYFUNCTION("""COMPUTED_VALUE"""),"087741134769")</f>
        <v>087741134769</v>
      </c>
      <c r="E492" s="25" t="str">
        <f>IFERROR(__xludf.DUMMYFUNCTION("""COMPUTED_VALUE"""),"Lainnya")</f>
        <v>Lainnya</v>
      </c>
      <c r="F492" s="25" t="str">
        <f>IFERROR(__xludf.DUMMYFUNCTION("""COMPUTED_VALUE"""),"Gagal")</f>
        <v>Gagal</v>
      </c>
      <c r="G492" s="25" t="str">
        <f>IFERROR(__xludf.DUMMYFUNCTION("""COMPUTED_VALUE"""),"OT Ijen &amp; trip pulau bedil")</f>
        <v>OT Ijen &amp; trip pulau bedil</v>
      </c>
      <c r="H492" s="92"/>
      <c r="I492" s="80">
        <f>IFERROR(__xludf.DUMMYFUNCTION("""COMPUTED_VALUE"""),3.0)</f>
        <v>3</v>
      </c>
      <c r="J492" s="93"/>
      <c r="K492" s="46" t="str">
        <f>IFERROR(__xludf.DUMMYFUNCTION("""COMPUTED_VALUE"""),"reschedule, akan dihubungi kembali kalo fiks")</f>
        <v>reschedule, akan dihubungi kembali kalo fiks</v>
      </c>
      <c r="L492" s="88" t="str">
        <f>IFERROR(__xludf.DUMMYFUNCTION("""COMPUTED_VALUE"""),"https://docs.google.com/document/d/10-B0iQPVK_hJIDZfTn4_Ka0kwvz5M9fI6kBkC_Jvcu4/edit?tab=t.0")</f>
        <v>https://docs.google.com/document/d/10-B0iQPVK_hJIDZfTn4_Ka0kwvz5M9fI6kBkC_Jvcu4/edit?tab=t.0</v>
      </c>
      <c r="M492" s="20"/>
      <c r="N492" s="20"/>
      <c r="O492" s="20"/>
      <c r="P492" s="20"/>
    </row>
    <row r="493">
      <c r="A493" s="110">
        <f>IFERROR(__xludf.DUMMYFUNCTION("""COMPUTED_VALUE"""),46118.0)</f>
        <v>46118</v>
      </c>
      <c r="B493" s="110" t="str">
        <f>IFERROR(__xludf.DUMMYFUNCTION("""COMPUTED_VALUE"""),"2604D022")</f>
        <v>2604D022</v>
      </c>
      <c r="C493" s="49" t="str">
        <f>IFERROR(__xludf.DUMMYFUNCTION("""COMPUTED_VALUE"""),"Hanny Multazamah")</f>
        <v>Hanny Multazamah</v>
      </c>
      <c r="D493" s="102" t="str">
        <f>IFERROR(__xludf.DUMMYFUNCTION("""COMPUTED_VALUE"""),"089659947965")</f>
        <v>089659947965</v>
      </c>
      <c r="E493" s="25" t="str">
        <f>IFERROR(__xludf.DUMMYFUNCTION("""COMPUTED_VALUE"""),"Website")</f>
        <v>Website</v>
      </c>
      <c r="F493" s="25" t="str">
        <f>IFERROR(__xludf.DUMMYFUNCTION("""COMPUTED_VALUE"""),"Gagal")</f>
        <v>Gagal</v>
      </c>
      <c r="G493" s="25"/>
      <c r="H493" s="26"/>
      <c r="I493" s="27"/>
      <c r="J493" s="33"/>
      <c r="K493" s="30" t="str">
        <f>IFERROR(__xludf.DUMMYFUNCTION("""COMPUTED_VALUE"""),"baruu menyapa")</f>
        <v>baruu menyapa</v>
      </c>
      <c r="L493" s="81" t="str">
        <f>IFERROR(__xludf.DUMMYFUNCTION("""COMPUTED_VALUE"""),"https://docs.google.com/document/d/1cAZfXEmNiw9kI1_WPTtyTJhJ2lL03-_i_1GYTxbl4xQ/edit?tab=t.0")</f>
        <v>https://docs.google.com/document/d/1cAZfXEmNiw9kI1_WPTtyTJhJ2lL03-_i_1GYTxbl4xQ/edit?tab=t.0</v>
      </c>
      <c r="M493" s="20"/>
      <c r="N493" s="20"/>
      <c r="O493" s="20"/>
      <c r="P493" s="20"/>
    </row>
    <row r="494">
      <c r="A494" s="110">
        <f>IFERROR(__xludf.DUMMYFUNCTION("""COMPUTED_VALUE"""),46119.0)</f>
        <v>46119</v>
      </c>
      <c r="B494" s="110" t="str">
        <f>IFERROR(__xludf.DUMMYFUNCTION("""COMPUTED_VALUE"""),"2604D023")</f>
        <v>2604D023</v>
      </c>
      <c r="C494" s="76" t="str">
        <f>IFERROR(__xludf.DUMMYFUNCTION("""COMPUTED_VALUE"""),"Feelia")</f>
        <v>Feelia</v>
      </c>
      <c r="D494" s="99" t="str">
        <f>IFERROR(__xludf.DUMMYFUNCTION("""COMPUTED_VALUE""")," 08151650808")</f>
        <v> 08151650808</v>
      </c>
      <c r="E494" s="25" t="str">
        <f>IFERROR(__xludf.DUMMYFUNCTION("""COMPUTED_VALUE"""),"Lainnya")</f>
        <v>Lainnya</v>
      </c>
      <c r="F494" s="25" t="str">
        <f>IFERROR(__xludf.DUMMYFUNCTION("""COMPUTED_VALUE"""),"Gagal")</f>
        <v>Gagal</v>
      </c>
      <c r="G494" s="25" t="str">
        <f>IFERROR(__xludf.DUMMYFUNCTION("""COMPUTED_VALUE"""),"trip green island ")</f>
        <v>trip green island </v>
      </c>
      <c r="H494" s="16">
        <f>IFERROR(__xludf.DUMMYFUNCTION("""COMPUTED_VALUE"""),46120.0)</f>
        <v>46120</v>
      </c>
      <c r="I494" s="17">
        <f>IFERROR(__xludf.DUMMYFUNCTION("""COMPUTED_VALUE"""),2.0)</f>
        <v>2</v>
      </c>
      <c r="J494" s="93"/>
      <c r="K494" s="46" t="str">
        <f>IFERROR(__xludf.DUMMYFUNCTION("""COMPUTED_VALUE"""),"gagalll")</f>
        <v>gagalll</v>
      </c>
      <c r="L494" s="88" t="str">
        <f>IFERROR(__xludf.DUMMYFUNCTION("""COMPUTED_VALUE"""),"https://docs.google.com/document/d/1LD3TMebMEIgAwyIz2wJqo2xX1a7jH3NeLoYji0nXvZE/edit?tab=t.0")</f>
        <v>https://docs.google.com/document/d/1LD3TMebMEIgAwyIz2wJqo2xX1a7jH3NeLoYji0nXvZE/edit?tab=t.0</v>
      </c>
      <c r="M494" s="20"/>
      <c r="N494" s="20"/>
      <c r="O494" s="20"/>
      <c r="P494" s="20"/>
    </row>
    <row r="495">
      <c r="A495" s="110">
        <f>IFERROR(__xludf.DUMMYFUNCTION("""COMPUTED_VALUE"""),46119.0)</f>
        <v>46119</v>
      </c>
      <c r="B495" s="110" t="str">
        <f>IFERROR(__xludf.DUMMYFUNCTION("""COMPUTED_VALUE"""),"2604D024")</f>
        <v>2604D024</v>
      </c>
      <c r="C495" s="49" t="str">
        <f>IFERROR(__xludf.DUMMYFUNCTION("""COMPUTED_VALUE"""),"Sumarlan")</f>
        <v>Sumarlan</v>
      </c>
      <c r="D495" s="102" t="str">
        <f>IFERROR(__xludf.DUMMYFUNCTION("""COMPUTED_VALUE"""),"0811507442")</f>
        <v>0811507442</v>
      </c>
      <c r="E495" s="25" t="str">
        <f>IFERROR(__xludf.DUMMYFUNCTION("""COMPUTED_VALUE"""),"Lainnya")</f>
        <v>Lainnya</v>
      </c>
      <c r="F495" s="25" t="str">
        <f>IFERROR(__xludf.DUMMYFUNCTION("""COMPUTED_VALUE"""),"Gagal")</f>
        <v>Gagal</v>
      </c>
      <c r="G495" s="25" t="str">
        <f>IFERROR(__xludf.DUMMYFUNCTION("""COMPUTED_VALUE"""),"2H1M")</f>
        <v>2H1M</v>
      </c>
      <c r="H495" s="78">
        <f>IFERROR(__xludf.DUMMYFUNCTION("""COMPUTED_VALUE"""),46120.0)</f>
        <v>46120</v>
      </c>
      <c r="I495" s="89">
        <f>IFERROR(__xludf.DUMMYFUNCTION("""COMPUTED_VALUE"""),2.0)</f>
        <v>2</v>
      </c>
      <c r="J495" s="96"/>
      <c r="K495" s="30" t="str">
        <f>IFERROR(__xludf.DUMMYFUNCTION("""COMPUTED_VALUE"""),"lewat tgl")</f>
        <v>lewat tgl</v>
      </c>
      <c r="L495" s="81" t="str">
        <f>IFERROR(__xludf.DUMMYFUNCTION("""COMPUTED_VALUE"""),"https://docs.google.com/document/d/13ufNfA806FOAZ3cAzYWNlAMq5IaDonbML_O1Rg7cn7g/edit?tab=t.0")</f>
        <v>https://docs.google.com/document/d/13ufNfA806FOAZ3cAzYWNlAMq5IaDonbML_O1Rg7cn7g/edit?tab=t.0</v>
      </c>
      <c r="M495" s="20"/>
      <c r="N495" s="20"/>
      <c r="O495" s="20"/>
      <c r="P495" s="20"/>
    </row>
    <row r="496">
      <c r="A496" s="97">
        <f>IFERROR(__xludf.DUMMYFUNCTION("""COMPUTED_VALUE"""),46119.0)</f>
        <v>46119</v>
      </c>
      <c r="B496" s="97" t="str">
        <f>IFERROR(__xludf.DUMMYFUNCTION("""COMPUTED_VALUE"""),"2604D025")</f>
        <v>2604D025</v>
      </c>
      <c r="C496" s="76" t="str">
        <f>IFERROR(__xludf.DUMMYFUNCTION("""COMPUTED_VALUE"""),"Sabrina")</f>
        <v>Sabrina</v>
      </c>
      <c r="D496" s="99" t="str">
        <f>IFERROR(__xludf.DUMMYFUNCTION("""COMPUTED_VALUE"""),"081218123077")</f>
        <v>081218123077</v>
      </c>
      <c r="E496" s="25" t="str">
        <f>IFERROR(__xludf.DUMMYFUNCTION("""COMPUTED_VALUE"""),"Lainnya")</f>
        <v>Lainnya</v>
      </c>
      <c r="F496" s="25" t="str">
        <f>IFERROR(__xludf.DUMMYFUNCTION("""COMPUTED_VALUE"""),"Closing")</f>
        <v>Closing</v>
      </c>
      <c r="G496" s="25" t="str">
        <f>IFERROR(__xludf.DUMMYFUNCTION("""COMPUTED_VALUE"""),"2h1m cutome")</f>
        <v>2h1m cutome</v>
      </c>
      <c r="H496" s="92">
        <f>IFERROR(__xludf.DUMMYFUNCTION("""COMPUTED_VALUE"""),46183.0)</f>
        <v>46183</v>
      </c>
      <c r="I496" s="80">
        <f>IFERROR(__xludf.DUMMYFUNCTION("""COMPUTED_VALUE"""),2.0)</f>
        <v>2</v>
      </c>
      <c r="J496" s="93">
        <f>IFERROR(__xludf.DUMMYFUNCTION("""COMPUTED_VALUE"""),5350000.0)</f>
        <v>5350000</v>
      </c>
      <c r="K496" s="46" t="str">
        <f>IFERROR(__xludf.DUMMYFUNCTION("""COMPUTED_VALUE"""),"Orderrrr")</f>
        <v>Orderrrr</v>
      </c>
      <c r="L496" s="88" t="str">
        <f>IFERROR(__xludf.DUMMYFUNCTION("""COMPUTED_VALUE"""),"https://docs.google.com/document/d/1fQIHzbO2-j1FYE_VaIvmLPE0frUA1UKkGJbO9KlUdqg/edit?tab=t.0")</f>
        <v>https://docs.google.com/document/d/1fQIHzbO2-j1FYE_VaIvmLPE0frUA1UKkGJbO9KlUdqg/edit?tab=t.0</v>
      </c>
      <c r="M496" s="20"/>
      <c r="N496" s="20"/>
      <c r="O496" s="20"/>
      <c r="P496" s="20"/>
    </row>
    <row r="497">
      <c r="A497" s="110">
        <f>IFERROR(__xludf.DUMMYFUNCTION("""COMPUTED_VALUE"""),46119.0)</f>
        <v>46119</v>
      </c>
      <c r="B497" s="110" t="str">
        <f>IFERROR(__xludf.DUMMYFUNCTION("""COMPUTED_VALUE"""),"2604D026")</f>
        <v>2604D026</v>
      </c>
      <c r="C497" s="49" t="str">
        <f>IFERROR(__xludf.DUMMYFUNCTION("""COMPUTED_VALUE"""),"M. Kajanto")</f>
        <v>M. Kajanto</v>
      </c>
      <c r="D497" s="102" t="str">
        <f>IFERROR(__xludf.DUMMYFUNCTION("""COMPUTED_VALUE"""),"08123452227")</f>
        <v>08123452227</v>
      </c>
      <c r="E497" s="25" t="str">
        <f>IFERROR(__xludf.DUMMYFUNCTION("""COMPUTED_VALUE"""),"Lainnya")</f>
        <v>Lainnya</v>
      </c>
      <c r="F497" s="25" t="str">
        <f>IFERROR(__xludf.DUMMYFUNCTION("""COMPUTED_VALUE"""),"Leads Baru")</f>
        <v>Leads Baru</v>
      </c>
      <c r="G497" s="25"/>
      <c r="H497" s="78"/>
      <c r="I497" s="89">
        <f>IFERROR(__xludf.DUMMYFUNCTION("""COMPUTED_VALUE"""),15.0)</f>
        <v>15</v>
      </c>
      <c r="J497" s="96"/>
      <c r="K497" s="36" t="str">
        <f>IFERROR(__xludf.DUMMYFUNCTION("""COMPUTED_VALUE"""),"tanya obyek wisata baru, FU lagi  ")</f>
        <v>tanya obyek wisata baru, FU lagi  </v>
      </c>
      <c r="L497" s="81" t="str">
        <f>IFERROR(__xludf.DUMMYFUNCTION("""COMPUTED_VALUE"""),"https://docs.google.com/document/d/1E_OV4Mro0vek_NSCMZPP4kCsW9Z5qbTX4jJzOtCiHZY/edit?tab=t.0")</f>
        <v>https://docs.google.com/document/d/1E_OV4Mro0vek_NSCMZPP4kCsW9Z5qbTX4jJzOtCiHZY/edit?tab=t.0</v>
      </c>
      <c r="M497" s="20"/>
      <c r="N497" s="20"/>
      <c r="O497" s="20"/>
      <c r="P497" s="20"/>
    </row>
    <row r="498">
      <c r="A498" s="97">
        <f>IFERROR(__xludf.DUMMYFUNCTION("""COMPUTED_VALUE"""),46119.0)</f>
        <v>46119</v>
      </c>
      <c r="B498" s="97" t="str">
        <f>IFERROR(__xludf.DUMMYFUNCTION("""COMPUTED_VALUE"""),"2604D027")</f>
        <v>2604D027</v>
      </c>
      <c r="C498" s="76" t="str">
        <f>IFERROR(__xludf.DUMMYFUNCTION("""COMPUTED_VALUE"""),"Devina Dwi")</f>
        <v>Devina Dwi</v>
      </c>
      <c r="D498" s="99" t="str">
        <f>IFERROR(__xludf.DUMMYFUNCTION("""COMPUTED_VALUE"""),"081517222541")</f>
        <v>081517222541</v>
      </c>
      <c r="E498" s="25" t="str">
        <f>IFERROR(__xludf.DUMMYFUNCTION("""COMPUTED_VALUE"""),"Instagram")</f>
        <v>Instagram</v>
      </c>
      <c r="F498" s="25" t="str">
        <f>IFERROR(__xludf.DUMMYFUNCTION("""COMPUTED_VALUE"""),"Leads Baru")</f>
        <v>Leads Baru</v>
      </c>
      <c r="G498" s="25"/>
      <c r="H498" s="92"/>
      <c r="I498" s="80"/>
      <c r="J498" s="93"/>
      <c r="K498" s="46" t="str">
        <f>IFERROR(__xludf.DUMMYFUNCTION("""COMPUTED_VALUE"""),"tanya perbedaan paket 3h2m opsi A&amp;opsi B, FU 10 Juni")</f>
        <v>tanya perbedaan paket 3h2m opsi A&amp;opsi B, FU 10 Juni</v>
      </c>
      <c r="L498" s="88" t="str">
        <f>IFERROR(__xludf.DUMMYFUNCTION("""COMPUTED_VALUE"""),"https://docs.google.com/document/d/1rJHZSvk_7jGgi8u-pR7VZm12_hT4SqYDsgX2cOvLqE8/edit?tab=t.0")</f>
        <v>https://docs.google.com/document/d/1rJHZSvk_7jGgi8u-pR7VZm12_hT4SqYDsgX2cOvLqE8/edit?tab=t.0</v>
      </c>
      <c r="M498" s="20"/>
      <c r="N498" s="20"/>
      <c r="O498" s="20"/>
      <c r="P498" s="20"/>
    </row>
    <row r="499">
      <c r="A499" s="110">
        <f>IFERROR(__xludf.DUMMYFUNCTION("""COMPUTED_VALUE"""),46119.0)</f>
        <v>46119</v>
      </c>
      <c r="B499" s="110" t="str">
        <f>IFERROR(__xludf.DUMMYFUNCTION("""COMPUTED_VALUE"""),"2604D028")</f>
        <v>2604D028</v>
      </c>
      <c r="C499" s="49" t="str">
        <f>IFERROR(__xludf.DUMMYFUNCTION("""COMPUTED_VALUE"""),"Manda Alvita")</f>
        <v>Manda Alvita</v>
      </c>
      <c r="D499" s="102" t="str">
        <f>IFERROR(__xludf.DUMMYFUNCTION("""COMPUTED_VALUE"""),"081901716202")</f>
        <v>081901716202</v>
      </c>
      <c r="E499" s="25" t="str">
        <f>IFERROR(__xludf.DUMMYFUNCTION("""COMPUTED_VALUE"""),"Instagram")</f>
        <v>Instagram</v>
      </c>
      <c r="F499" s="25" t="str">
        <f>IFERROR(__xludf.DUMMYFUNCTION("""COMPUTED_VALUE"""),"Gagal")</f>
        <v>Gagal</v>
      </c>
      <c r="G499" s="25" t="str">
        <f>IFERROR(__xludf.DUMMYFUNCTION("""COMPUTED_VALUE"""),"3H2M custome")</f>
        <v>3H2M custome</v>
      </c>
      <c r="H499" s="78"/>
      <c r="I499" s="89">
        <f>IFERROR(__xludf.DUMMYFUNCTION("""COMPUTED_VALUE"""),3.0)</f>
        <v>3</v>
      </c>
      <c r="J499" s="96"/>
      <c r="K499" s="30" t="str">
        <f>IFERROR(__xludf.DUMMYFUNCTION("""COMPUTED_VALUE"""),"belum balas lagi")</f>
        <v>belum balas lagi</v>
      </c>
      <c r="L499" s="49"/>
      <c r="M499" s="20"/>
      <c r="N499" s="20"/>
      <c r="O499" s="20"/>
      <c r="P499" s="20"/>
    </row>
    <row r="500">
      <c r="A500" s="97">
        <f>IFERROR(__xludf.DUMMYFUNCTION("""COMPUTED_VALUE"""),46119.0)</f>
        <v>46119</v>
      </c>
      <c r="B500" s="97" t="str">
        <f>IFERROR(__xludf.DUMMYFUNCTION("""COMPUTED_VALUE"""),"2604D029")</f>
        <v>2604D029</v>
      </c>
      <c r="C500" s="76" t="str">
        <f>IFERROR(__xludf.DUMMYFUNCTION("""COMPUTED_VALUE"""),"Tri Kodrat Prasetyo")</f>
        <v>Tri Kodrat Prasetyo</v>
      </c>
      <c r="D500" s="99" t="str">
        <f>IFERROR(__xludf.DUMMYFUNCTION("""COMPUTED_VALUE"""),"085777314701")</f>
        <v>085777314701</v>
      </c>
      <c r="E500" s="25" t="str">
        <f>IFERROR(__xludf.DUMMYFUNCTION("""COMPUTED_VALUE"""),"Website")</f>
        <v>Website</v>
      </c>
      <c r="F500" s="25" t="str">
        <f>IFERROR(__xludf.DUMMYFUNCTION("""COMPUTED_VALUE"""),"Leads Baru")</f>
        <v>Leads Baru</v>
      </c>
      <c r="G500" s="25"/>
      <c r="H500" s="92"/>
      <c r="I500" s="80"/>
      <c r="J500" s="93"/>
      <c r="K500" s="19"/>
      <c r="L500" s="88" t="str">
        <f>IFERROR(__xludf.DUMMYFUNCTION("""COMPUTED_VALUE"""),"https://docs.google.com/document/d/1-Lcruo5ljFzJVci_Tk-TOeAfKjvtqP1bJF4UY58U-r4/edit?tab=t.0")</f>
        <v>https://docs.google.com/document/d/1-Lcruo5ljFzJVci_Tk-TOeAfKjvtqP1bJF4UY58U-r4/edit?tab=t.0</v>
      </c>
      <c r="M500" s="20"/>
      <c r="N500" s="20"/>
      <c r="O500" s="20"/>
      <c r="P500" s="20"/>
    </row>
    <row r="501">
      <c r="A501" s="110">
        <f>IFERROR(__xludf.DUMMYFUNCTION("""COMPUTED_VALUE"""),46119.0)</f>
        <v>46119</v>
      </c>
      <c r="B501" s="110" t="str">
        <f>IFERROR(__xludf.DUMMYFUNCTION("""COMPUTED_VALUE"""),"2604D030")</f>
        <v>2604D030</v>
      </c>
      <c r="C501" s="49" t="str">
        <f>IFERROR(__xludf.DUMMYFUNCTION("""COMPUTED_VALUE"""),"Tabitaherra")</f>
        <v>Tabitaherra</v>
      </c>
      <c r="D501" s="102" t="str">
        <f>IFERROR(__xludf.DUMMYFUNCTION("""COMPUTED_VALUE"""),"081392624454")</f>
        <v>081392624454</v>
      </c>
      <c r="E501" s="25" t="str">
        <f>IFERROR(__xludf.DUMMYFUNCTION("""COMPUTED_VALUE"""),"Instagram")</f>
        <v>Instagram</v>
      </c>
      <c r="F501" s="25" t="str">
        <f>IFERROR(__xludf.DUMMYFUNCTION("""COMPUTED_VALUE"""),"Leads Baru")</f>
        <v>Leads Baru</v>
      </c>
      <c r="G501" s="25" t="str">
        <f>IFERROR(__xludf.DUMMYFUNCTION("""COMPUTED_VALUE"""),"OT 3h2m")</f>
        <v>OT 3h2m</v>
      </c>
      <c r="H501" s="78"/>
      <c r="I501" s="89"/>
      <c r="J501" s="96"/>
      <c r="K501" s="36" t="str">
        <f>IFERROR(__xludf.DUMMYFUNCTION("""COMPUTED_VALUE"""),"tanya penginapan ")</f>
        <v>tanya penginapan </v>
      </c>
      <c r="L501" s="81" t="str">
        <f>IFERROR(__xludf.DUMMYFUNCTION("""COMPUTED_VALUE"""),"https://docs.google.com/document/d/1zT_mfHgHkhbnWdDTbCC5iedQ8UcQE042JaEIOC0-Zrk/edit?tab=t.0")</f>
        <v>https://docs.google.com/document/d/1zT_mfHgHkhbnWdDTbCC5iedQ8UcQE042JaEIOC0-Zrk/edit?tab=t.0</v>
      </c>
      <c r="M501" s="20"/>
      <c r="N501" s="20"/>
      <c r="O501" s="20"/>
      <c r="P501" s="20"/>
    </row>
    <row r="502">
      <c r="A502" s="97">
        <f>IFERROR(__xludf.DUMMYFUNCTION("""COMPUTED_VALUE"""),46119.0)</f>
        <v>46119</v>
      </c>
      <c r="B502" s="97" t="str">
        <f>IFERROR(__xludf.DUMMYFUNCTION("""COMPUTED_VALUE"""),"2604D031")</f>
        <v>2604D031</v>
      </c>
      <c r="C502" s="76" t="str">
        <f>IFERROR(__xludf.DUMMYFUNCTION("""COMPUTED_VALUE"""),"Putri ")</f>
        <v>Putri </v>
      </c>
      <c r="D502" s="99" t="str">
        <f>IFERROR(__xludf.DUMMYFUNCTION("""COMPUTED_VALUE"""),"089521277035")</f>
        <v>089521277035</v>
      </c>
      <c r="E502" s="25" t="str">
        <f>IFERROR(__xludf.DUMMYFUNCTION("""COMPUTED_VALUE"""),"Instagram")</f>
        <v>Instagram</v>
      </c>
      <c r="F502" s="25" t="str">
        <f>IFERROR(__xludf.DUMMYFUNCTION("""COMPUTED_VALUE"""),"Gagal")</f>
        <v>Gagal</v>
      </c>
      <c r="G502" s="25"/>
      <c r="H502" s="92"/>
      <c r="I502" s="17"/>
      <c r="J502" s="54"/>
      <c r="K502" s="46" t="str">
        <f>IFERROR(__xludf.DUMMYFUNCTION("""COMPUTED_VALUE"""),"gajadii karena penjemputan di sby")</f>
        <v>gajadii karena penjemputan di sby</v>
      </c>
      <c r="L502" s="88" t="str">
        <f>IFERROR(__xludf.DUMMYFUNCTION("""COMPUTED_VALUE"""),"https://docs.google.com/document/d/1ZqixU84EI84vbKqeGbrTeshGxFyoVpfLf-Yw3ZK3sWU/edit?tab=t.0")</f>
        <v>https://docs.google.com/document/d/1ZqixU84EI84vbKqeGbrTeshGxFyoVpfLf-Yw3ZK3sWU/edit?tab=t.0</v>
      </c>
      <c r="M502" s="20"/>
      <c r="N502" s="20"/>
      <c r="O502" s="20"/>
      <c r="P502" s="20"/>
    </row>
    <row r="503">
      <c r="A503" s="110">
        <f>IFERROR(__xludf.DUMMYFUNCTION("""COMPUTED_VALUE"""),46119.0)</f>
        <v>46119</v>
      </c>
      <c r="B503" s="110" t="str">
        <f>IFERROR(__xludf.DUMMYFUNCTION("""COMPUTED_VALUE"""),"2604D032")</f>
        <v>2604D032</v>
      </c>
      <c r="C503" s="49" t="str">
        <f>IFERROR(__xludf.DUMMYFUNCTION("""COMPUTED_VALUE"""),"Suci")</f>
        <v>Suci</v>
      </c>
      <c r="D503" s="102" t="str">
        <f>IFERROR(__xludf.DUMMYFUNCTION("""COMPUTED_VALUE"""),"088291308924")</f>
        <v>088291308924</v>
      </c>
      <c r="E503" s="25" t="str">
        <f>IFERROR(__xludf.DUMMYFUNCTION("""COMPUTED_VALUE"""),"Lainnya")</f>
        <v>Lainnya</v>
      </c>
      <c r="F503" s="25" t="str">
        <f>IFERROR(__xludf.DUMMYFUNCTION("""COMPUTED_VALUE"""),"Gagal")</f>
        <v>Gagal</v>
      </c>
      <c r="G503" s="25" t="str">
        <f>IFERROR(__xludf.DUMMYFUNCTION("""COMPUTED_VALUE"""),"trip green island, bedil")</f>
        <v>trip green island, bedil</v>
      </c>
      <c r="H503" s="78">
        <f>IFERROR(__xludf.DUMMYFUNCTION("""COMPUTED_VALUE"""),46157.0)</f>
        <v>46157</v>
      </c>
      <c r="I503" s="89">
        <f>IFERROR(__xludf.DUMMYFUNCTION("""COMPUTED_VALUE"""),2.0)</f>
        <v>2</v>
      </c>
      <c r="J503" s="96">
        <f>IFERROR(__xludf.DUMMYFUNCTION("""COMPUTED_VALUE"""),2700000.0)</f>
        <v>2700000</v>
      </c>
      <c r="K503" s="30" t="str">
        <f>IFERROR(__xludf.DUMMYFUNCTION("""COMPUTED_VALUE"""),"sudah fu, FU lagi 4 Mei")</f>
        <v>sudah fu, FU lagi 4 Mei</v>
      </c>
      <c r="L503" s="81" t="str">
        <f>IFERROR(__xludf.DUMMYFUNCTION("""COMPUTED_VALUE"""),"https://docs.google.com/document/d/1cWd0qkNXFtuiAtF0DEyUxlPxR5D2vX-BSb-3f6xnIXg/edit?tab=t.0")</f>
        <v>https://docs.google.com/document/d/1cWd0qkNXFtuiAtF0DEyUxlPxR5D2vX-BSb-3f6xnIXg/edit?tab=t.0</v>
      </c>
      <c r="M503" s="20"/>
      <c r="N503" s="20"/>
      <c r="O503" s="20"/>
      <c r="P503" s="20"/>
    </row>
    <row r="504">
      <c r="A504" s="97">
        <f>IFERROR(__xludf.DUMMYFUNCTION("""COMPUTED_VALUE"""),46120.0)</f>
        <v>46120</v>
      </c>
      <c r="B504" s="97" t="str">
        <f>IFERROR(__xludf.DUMMYFUNCTION("""COMPUTED_VALUE"""),"2604D033")</f>
        <v>2604D033</v>
      </c>
      <c r="C504" s="76" t="str">
        <f>IFERROR(__xludf.DUMMYFUNCTION("""COMPUTED_VALUE"""),"Darno avian")</f>
        <v>Darno avian</v>
      </c>
      <c r="D504" s="99" t="str">
        <f>IFERROR(__xludf.DUMMYFUNCTION("""COMPUTED_VALUE"""),"08123086548")</f>
        <v>08123086548</v>
      </c>
      <c r="E504" s="25" t="str">
        <f>IFERROR(__xludf.DUMMYFUNCTION("""COMPUTED_VALUE"""),"Lainnya")</f>
        <v>Lainnya</v>
      </c>
      <c r="F504" s="25" t="str">
        <f>IFERROR(__xludf.DUMMYFUNCTION("""COMPUTED_VALUE"""),"Leads Baru")</f>
        <v>Leads Baru</v>
      </c>
      <c r="G504" s="25" t="str">
        <f>IFERROR(__xludf.DUMMYFUNCTION("""COMPUTED_VALUE"""),"paket custom ")</f>
        <v>paket custom </v>
      </c>
      <c r="H504" s="92"/>
      <c r="I504" s="80">
        <f>IFERROR(__xludf.DUMMYFUNCTION("""COMPUTED_VALUE"""),50.0)</f>
        <v>50</v>
      </c>
      <c r="J504" s="93"/>
      <c r="K504" s="46" t="str">
        <f>IFERROR(__xludf.DUMMYFUNCTION("""COMPUTED_VALUE"""),"tanggal masih jauh, masih dirundingkan")</f>
        <v>tanggal masih jauh, masih dirundingkan</v>
      </c>
      <c r="L504" s="88" t="str">
        <f>IFERROR(__xludf.DUMMYFUNCTION("""COMPUTED_VALUE"""),"https://docs.google.com/document/d/1_eI_7yyf9oa3VPmio_yctFgsNo-Bai4mWIvSxme_oUI/edit?tab=t.0")</f>
        <v>https://docs.google.com/document/d/1_eI_7yyf9oa3VPmio_yctFgsNo-Bai4mWIvSxme_oUI/edit?tab=t.0</v>
      </c>
      <c r="M504" s="20"/>
      <c r="N504" s="20"/>
      <c r="O504" s="20"/>
      <c r="P504" s="20"/>
    </row>
    <row r="505">
      <c r="A505" s="110">
        <f>IFERROR(__xludf.DUMMYFUNCTION("""COMPUTED_VALUE"""),46120.0)</f>
        <v>46120</v>
      </c>
      <c r="B505" s="110" t="str">
        <f>IFERROR(__xludf.DUMMYFUNCTION("""COMPUTED_VALUE"""),"2604D034")</f>
        <v>2604D034</v>
      </c>
      <c r="C505" s="49" t="str">
        <f>IFERROR(__xludf.DUMMYFUNCTION("""COMPUTED_VALUE"""),"Nia Kusniatin")</f>
        <v>Nia Kusniatin</v>
      </c>
      <c r="D505" s="102" t="str">
        <f>IFERROR(__xludf.DUMMYFUNCTION("""COMPUTED_VALUE"""),"0817430784")</f>
        <v>0817430784</v>
      </c>
      <c r="E505" s="25" t="str">
        <f>IFERROR(__xludf.DUMMYFUNCTION("""COMPUTED_VALUE"""),"Lainnya")</f>
        <v>Lainnya</v>
      </c>
      <c r="F505" s="25" t="str">
        <f>IFERROR(__xludf.DUMMYFUNCTION("""COMPUTED_VALUE"""),"Leads Baru")</f>
        <v>Leads Baru</v>
      </c>
      <c r="G505" s="25" t="str">
        <f>IFERROR(__xludf.DUMMYFUNCTION("""COMPUTED_VALUE"""),"private trip ijen")</f>
        <v>private trip ijen</v>
      </c>
      <c r="H505" s="78"/>
      <c r="I505" s="27">
        <f>IFERROR(__xludf.DUMMYFUNCTION("""COMPUTED_VALUE"""),6.0)</f>
        <v>6</v>
      </c>
      <c r="J505" s="96">
        <f>IFERROR(__xludf.DUMMYFUNCTION("""COMPUTED_VALUE"""),1.068E7)</f>
        <v>10680000</v>
      </c>
      <c r="K505" s="30" t="str">
        <f>IFERROR(__xludf.DUMMYFUNCTION("""COMPUTED_VALUE"""),"b to b, nunggu dikabarin lagi")</f>
        <v>b to b, nunggu dikabarin lagi</v>
      </c>
      <c r="L505" s="81" t="str">
        <f>IFERROR(__xludf.DUMMYFUNCTION("""COMPUTED_VALUE"""),"https://docs.google.com/document/d/1R0OuFwKDTSHwj-spoYOjBF1EYgGhVfO4rj1PiVA0xV0/edit?tab=t.0")</f>
        <v>https://docs.google.com/document/d/1R0OuFwKDTSHwj-spoYOjBF1EYgGhVfO4rj1PiVA0xV0/edit?tab=t.0</v>
      </c>
      <c r="M505" s="20"/>
      <c r="N505" s="20"/>
      <c r="O505" s="20"/>
      <c r="P505" s="20"/>
    </row>
    <row r="506">
      <c r="A506" s="97">
        <f>IFERROR(__xludf.DUMMYFUNCTION("""COMPUTED_VALUE"""),46120.0)</f>
        <v>46120</v>
      </c>
      <c r="B506" s="97" t="str">
        <f>IFERROR(__xludf.DUMMYFUNCTION("""COMPUTED_VALUE"""),"2604D035")</f>
        <v>2604D035</v>
      </c>
      <c r="C506" s="76" t="str">
        <f>IFERROR(__xludf.DUMMYFUNCTION("""COMPUTED_VALUE"""),"Setyo Wardayati")</f>
        <v>Setyo Wardayati</v>
      </c>
      <c r="D506" s="99" t="str">
        <f>IFERROR(__xludf.DUMMYFUNCTION("""COMPUTED_VALUE""")," 08123173933")</f>
        <v> 08123173933</v>
      </c>
      <c r="E506" s="25" t="str">
        <f>IFERROR(__xludf.DUMMYFUNCTION("""COMPUTED_VALUE"""),"Website")</f>
        <v>Website</v>
      </c>
      <c r="F506" s="25" t="str">
        <f>IFERROR(__xludf.DUMMYFUNCTION("""COMPUTED_VALUE"""),"Gagal")</f>
        <v>Gagal</v>
      </c>
      <c r="G506" s="25" t="str">
        <f>IFERROR(__xludf.DUMMYFUNCTION("""COMPUTED_VALUE"""),"2h1m custom")</f>
        <v>2h1m custom</v>
      </c>
      <c r="H506" s="92">
        <f>IFERROR(__xludf.DUMMYFUNCTION("""COMPUTED_VALUE"""),46157.0)</f>
        <v>46157</v>
      </c>
      <c r="I506" s="80">
        <f>IFERROR(__xludf.DUMMYFUNCTION("""COMPUTED_VALUE"""),3.0)</f>
        <v>3</v>
      </c>
      <c r="J506" s="93"/>
      <c r="K506" s="19" t="str">
        <f>IFERROR(__xludf.DUMMYFUNCTION("""COMPUTED_VALUE"""),"fullbooked")</f>
        <v>fullbooked</v>
      </c>
      <c r="L506" s="88" t="str">
        <f>IFERROR(__xludf.DUMMYFUNCTION("""COMPUTED_VALUE"""),"https://docs.google.com/document/d/1txr-s5SSLmwK-btZxN9Pgq04TGYBUh_llkUDTvxmd2o/edit?tab=t.0")</f>
        <v>https://docs.google.com/document/d/1txr-s5SSLmwK-btZxN9Pgq04TGYBUh_llkUDTvxmd2o/edit?tab=t.0</v>
      </c>
      <c r="M506" s="20"/>
      <c r="N506" s="20"/>
      <c r="O506" s="20"/>
      <c r="P506" s="20"/>
    </row>
    <row r="507">
      <c r="A507" s="97">
        <f>IFERROR(__xludf.DUMMYFUNCTION("""COMPUTED_VALUE"""),46120.0)</f>
        <v>46120</v>
      </c>
      <c r="B507" s="97" t="str">
        <f>IFERROR(__xludf.DUMMYFUNCTION("""COMPUTED_VALUE"""),"2604D036")</f>
        <v>2604D036</v>
      </c>
      <c r="C507" s="76" t="str">
        <f>IFERROR(__xludf.DUMMYFUNCTION("""COMPUTED_VALUE"""),"Budi Bangun ")</f>
        <v>Budi Bangun </v>
      </c>
      <c r="D507" s="99" t="str">
        <f>IFERROR(__xludf.DUMMYFUNCTION("""COMPUTED_VALUE"""),"081335103322")</f>
        <v>081335103322</v>
      </c>
      <c r="E507" s="25" t="str">
        <f>IFERROR(__xludf.DUMMYFUNCTION("""COMPUTED_VALUE"""),"Lainnya")</f>
        <v>Lainnya</v>
      </c>
      <c r="F507" s="25" t="str">
        <f>IFERROR(__xludf.DUMMYFUNCTION("""COMPUTED_VALUE"""),"Leads Baru")</f>
        <v>Leads Baru</v>
      </c>
      <c r="G507" s="25" t="str">
        <f>IFERROR(__xludf.DUMMYFUNCTION("""COMPUTED_VALUE"""),"trip Baluran")</f>
        <v>trip Baluran</v>
      </c>
      <c r="H507" s="16"/>
      <c r="I507" s="17"/>
      <c r="J507" s="54"/>
      <c r="K507" s="46" t="str">
        <f>IFERROR(__xludf.DUMMYFUNCTION("""COMPUTED_VALUE"""),"Belum ada tgl pasti")</f>
        <v>Belum ada tgl pasti</v>
      </c>
      <c r="L507" s="88" t="str">
        <f>IFERROR(__xludf.DUMMYFUNCTION("""COMPUTED_VALUE"""),"https://docs.google.com/document/d/1r5GdYSSVmM4s2x4lpbeB7GN2ryRh07hfEON5MeHY5TU/edit?tab=t.0")</f>
        <v>https://docs.google.com/document/d/1r5GdYSSVmM4s2x4lpbeB7GN2ryRh07hfEON5MeHY5TU/edit?tab=t.0</v>
      </c>
      <c r="M507" s="20"/>
      <c r="N507" s="20"/>
      <c r="O507" s="20"/>
      <c r="P507" s="20"/>
    </row>
    <row r="508">
      <c r="A508" s="110">
        <f>IFERROR(__xludf.DUMMYFUNCTION("""COMPUTED_VALUE"""),46120.0)</f>
        <v>46120</v>
      </c>
      <c r="B508" s="110" t="str">
        <f>IFERROR(__xludf.DUMMYFUNCTION("""COMPUTED_VALUE"""),"2604D037")</f>
        <v>2604D037</v>
      </c>
      <c r="C508" s="49" t="str">
        <f>IFERROR(__xludf.DUMMYFUNCTION("""COMPUTED_VALUE"""),"Nessa")</f>
        <v>Nessa</v>
      </c>
      <c r="D508" s="102" t="str">
        <f>IFERROR(__xludf.DUMMYFUNCTION("""COMPUTED_VALUE"""),"082112462579")</f>
        <v>082112462579</v>
      </c>
      <c r="E508" s="25" t="str">
        <f>IFERROR(__xludf.DUMMYFUNCTION("""COMPUTED_VALUE"""),"Website")</f>
        <v>Website</v>
      </c>
      <c r="F508" s="25" t="str">
        <f>IFERROR(__xludf.DUMMYFUNCTION("""COMPUTED_VALUE"""),"Gagal")</f>
        <v>Gagal</v>
      </c>
      <c r="G508" s="25" t="str">
        <f>IFERROR(__xludf.DUMMYFUNCTION("""COMPUTED_VALUE"""),"trip 2h1m")</f>
        <v>trip 2h1m</v>
      </c>
      <c r="H508" s="26">
        <f>IFERROR(__xludf.DUMMYFUNCTION("""COMPUTED_VALUE"""),46157.0)</f>
        <v>46157</v>
      </c>
      <c r="I508" s="27">
        <f>IFERROR(__xludf.DUMMYFUNCTION("""COMPUTED_VALUE"""),4.0)</f>
        <v>4</v>
      </c>
      <c r="J508" s="33">
        <f>IFERROR(__xludf.DUMMYFUNCTION("""COMPUTED_VALUE"""),3440000.0)</f>
        <v>3440000</v>
      </c>
      <c r="K508" s="30" t="str">
        <f>IFERROR(__xludf.DUMMYFUNCTION("""COMPUTED_VALUE"""),"fullbooked")</f>
        <v>fullbooked</v>
      </c>
      <c r="L508" s="81" t="str">
        <f>IFERROR(__xludf.DUMMYFUNCTION("""COMPUTED_VALUE"""),"https://docs.google.com/document/d/1JG8N3Jkp6Wq2VdmMjmE58np7zkRwq9MuOrdtsLAnMV4/edit?tab=t.0")</f>
        <v>https://docs.google.com/document/d/1JG8N3Jkp6Wq2VdmMjmE58np7zkRwq9MuOrdtsLAnMV4/edit?tab=t.0</v>
      </c>
      <c r="M508" s="20"/>
      <c r="N508" s="20"/>
      <c r="O508" s="20"/>
      <c r="P508" s="20"/>
    </row>
    <row r="509">
      <c r="A509" s="97">
        <f>IFERROR(__xludf.DUMMYFUNCTION("""COMPUTED_VALUE"""),46120.0)</f>
        <v>46120</v>
      </c>
      <c r="B509" s="97" t="str">
        <f>IFERROR(__xludf.DUMMYFUNCTION("""COMPUTED_VALUE"""),"2604D038")</f>
        <v>2604D038</v>
      </c>
      <c r="C509" s="76" t="str">
        <f>IFERROR(__xludf.DUMMYFUNCTION("""COMPUTED_VALUE"""),"Noviaveve")</f>
        <v>Noviaveve</v>
      </c>
      <c r="D509" s="99" t="str">
        <f>IFERROR(__xludf.DUMMYFUNCTION("""COMPUTED_VALUE"""),"085855165695")</f>
        <v>085855165695</v>
      </c>
      <c r="E509" s="25" t="str">
        <f>IFERROR(__xludf.DUMMYFUNCTION("""COMPUTED_VALUE"""),"Instagram")</f>
        <v>Instagram</v>
      </c>
      <c r="F509" s="25" t="str">
        <f>IFERROR(__xludf.DUMMYFUNCTION("""COMPUTED_VALUE"""),"Leads Baru")</f>
        <v>Leads Baru</v>
      </c>
      <c r="G509" s="25"/>
      <c r="H509" s="92"/>
      <c r="I509" s="80"/>
      <c r="J509" s="93"/>
      <c r="K509" s="19"/>
      <c r="L509" s="88" t="str">
        <f>IFERROR(__xludf.DUMMYFUNCTION("""COMPUTED_VALUE"""),"https://docs.google.com/document/d/1pWuheGDgrS9z3oKLNJ2QaVLoSvY682BD_9Wca9h7qtk/edit?tab=t.0")</f>
        <v>https://docs.google.com/document/d/1pWuheGDgrS9z3oKLNJ2QaVLoSvY682BD_9Wca9h7qtk/edit?tab=t.0</v>
      </c>
      <c r="M509" s="20"/>
      <c r="N509" s="20"/>
      <c r="O509" s="20"/>
      <c r="P509" s="20"/>
    </row>
    <row r="510">
      <c r="A510" s="110">
        <f>IFERROR(__xludf.DUMMYFUNCTION("""COMPUTED_VALUE"""),46120.0)</f>
        <v>46120</v>
      </c>
      <c r="B510" s="110" t="str">
        <f>IFERROR(__xludf.DUMMYFUNCTION("""COMPUTED_VALUE"""),"2604D039")</f>
        <v>2604D039</v>
      </c>
      <c r="C510" s="49" t="str">
        <f>IFERROR(__xludf.DUMMYFUNCTION("""COMPUTED_VALUE"""),"Audi firstania")</f>
        <v>Audi firstania</v>
      </c>
      <c r="D510" s="102" t="str">
        <f>IFERROR(__xludf.DUMMYFUNCTION("""COMPUTED_VALUE"""),"081334332305")</f>
        <v>081334332305</v>
      </c>
      <c r="E510" s="25" t="str">
        <f>IFERROR(__xludf.DUMMYFUNCTION("""COMPUTED_VALUE"""),"Lainnya")</f>
        <v>Lainnya</v>
      </c>
      <c r="F510" s="25" t="str">
        <f>IFERROR(__xludf.DUMMYFUNCTION("""COMPUTED_VALUE"""),"Gagal")</f>
        <v>Gagal</v>
      </c>
      <c r="G510" s="25"/>
      <c r="H510" s="78"/>
      <c r="I510" s="27"/>
      <c r="J510" s="96"/>
      <c r="K510" s="36" t="str">
        <f>IFERROR(__xludf.DUMMYFUNCTION("""COMPUTED_VALUE"""),"deal chat di admin 2")</f>
        <v>deal chat di admin 2</v>
      </c>
      <c r="L510" s="49"/>
      <c r="M510" s="20"/>
      <c r="N510" s="20"/>
      <c r="O510" s="20"/>
      <c r="P510" s="20"/>
    </row>
    <row r="511">
      <c r="A511" s="97">
        <f>IFERROR(__xludf.DUMMYFUNCTION("""COMPUTED_VALUE"""),46120.0)</f>
        <v>46120</v>
      </c>
      <c r="B511" s="97" t="str">
        <f>IFERROR(__xludf.DUMMYFUNCTION("""COMPUTED_VALUE"""),"2604D040")</f>
        <v>2604D040</v>
      </c>
      <c r="C511" s="76" t="str">
        <f>IFERROR(__xludf.DUMMYFUNCTION("""COMPUTED_VALUE"""),"Elsa")</f>
        <v>Elsa</v>
      </c>
      <c r="D511" s="99" t="str">
        <f>IFERROR(__xludf.DUMMYFUNCTION("""COMPUTED_VALUE"""),"081218256341")</f>
        <v>081218256341</v>
      </c>
      <c r="E511" s="25" t="str">
        <f>IFERROR(__xludf.DUMMYFUNCTION("""COMPUTED_VALUE"""),"Instagram")</f>
        <v>Instagram</v>
      </c>
      <c r="F511" s="25" t="str">
        <f>IFERROR(__xludf.DUMMYFUNCTION("""COMPUTED_VALUE"""),"Closing")</f>
        <v>Closing</v>
      </c>
      <c r="G511" s="25" t="str">
        <f>IFERROR(__xludf.DUMMYFUNCTION("""COMPUTED_VALUE"""),"private trip M,T")</f>
        <v>private trip M,T</v>
      </c>
      <c r="H511" s="92">
        <f>IFERROR(__xludf.DUMMYFUNCTION("""COMPUTED_VALUE"""),46167.0)</f>
        <v>46167</v>
      </c>
      <c r="I511" s="80">
        <f>IFERROR(__xludf.DUMMYFUNCTION("""COMPUTED_VALUE"""),2.0)</f>
        <v>2</v>
      </c>
      <c r="J511" s="93">
        <f>IFERROR(__xludf.DUMMYFUNCTION("""COMPUTED_VALUE"""),1700000.0)</f>
        <v>1700000</v>
      </c>
      <c r="K511" s="46" t="str">
        <f>IFERROR(__xludf.DUMMYFUNCTION("""COMPUTED_VALUE"""),"yesss orderrr")</f>
        <v>yesss orderrr</v>
      </c>
      <c r="L511" s="88" t="str">
        <f>IFERROR(__xludf.DUMMYFUNCTION("""COMPUTED_VALUE"""),"https://docs.google.com/document/d/1rzr0zDpBEkN9fgMyTkUxt78EJkeeAusTBAFnDsa4108/edit?tab=t.0")</f>
        <v>https://docs.google.com/document/d/1rzr0zDpBEkN9fgMyTkUxt78EJkeeAusTBAFnDsa4108/edit?tab=t.0</v>
      </c>
      <c r="M511" s="20"/>
      <c r="N511" s="20"/>
      <c r="O511" s="20"/>
      <c r="P511" s="20"/>
    </row>
    <row r="512">
      <c r="A512" s="110">
        <f>IFERROR(__xludf.DUMMYFUNCTION("""COMPUTED_VALUE"""),46120.0)</f>
        <v>46120</v>
      </c>
      <c r="B512" s="110" t="str">
        <f>IFERROR(__xludf.DUMMYFUNCTION("""COMPUTED_VALUE"""),"2604D041")</f>
        <v>2604D041</v>
      </c>
      <c r="C512" s="49" t="str">
        <f>IFERROR(__xludf.DUMMYFUNCTION("""COMPUTED_VALUE"""),"Riski")</f>
        <v>Riski</v>
      </c>
      <c r="D512" s="102" t="str">
        <f>IFERROR(__xludf.DUMMYFUNCTION("""COMPUTED_VALUE"""),"085236599558")</f>
        <v>085236599558</v>
      </c>
      <c r="E512" s="25" t="str">
        <f>IFERROR(__xludf.DUMMYFUNCTION("""COMPUTED_VALUE"""),"Instagram")</f>
        <v>Instagram</v>
      </c>
      <c r="F512" s="25" t="str">
        <f>IFERROR(__xludf.DUMMYFUNCTION("""COMPUTED_VALUE"""),"Leads Baru")</f>
        <v>Leads Baru</v>
      </c>
      <c r="G512" s="25" t="str">
        <f>IFERROR(__xludf.DUMMYFUNCTION("""COMPUTED_VALUE"""),"OT menjanan, tabuhan")</f>
        <v>OT menjanan, tabuhan</v>
      </c>
      <c r="H512" s="26"/>
      <c r="I512" s="89"/>
      <c r="J512" s="96"/>
      <c r="K512" s="30" t="str">
        <f>IFERROR(__xludf.DUMMYFUNCTION("""COMPUTED_VALUE"""),"tanya dulu, blm tau tanggal")</f>
        <v>tanya dulu, blm tau tanggal</v>
      </c>
      <c r="L512" s="81" t="str">
        <f>IFERROR(__xludf.DUMMYFUNCTION("""COMPUTED_VALUE"""),"https://docs.google.com/document/d/1EOJTregGxriInA1A_ZMlo5O21BTMoJ9V-ZxlFph0ybQ/edit?tab=t.0")</f>
        <v>https://docs.google.com/document/d/1EOJTregGxriInA1A_ZMlo5O21BTMoJ9V-ZxlFph0ybQ/edit?tab=t.0</v>
      </c>
      <c r="M512" s="20"/>
      <c r="N512" s="20"/>
      <c r="O512" s="20"/>
      <c r="P512" s="20"/>
    </row>
    <row r="513">
      <c r="A513" s="97">
        <f>IFERROR(__xludf.DUMMYFUNCTION("""COMPUTED_VALUE"""),46120.0)</f>
        <v>46120</v>
      </c>
      <c r="B513" s="97" t="str">
        <f>IFERROR(__xludf.DUMMYFUNCTION("""COMPUTED_VALUE"""),"2604D042")</f>
        <v>2604D042</v>
      </c>
      <c r="C513" s="76" t="str">
        <f>IFERROR(__xludf.DUMMYFUNCTION("""COMPUTED_VALUE"""),"Haning")</f>
        <v>Haning</v>
      </c>
      <c r="D513" s="99" t="str">
        <f>IFERROR(__xludf.DUMMYFUNCTION("""COMPUTED_VALUE"""),"081904412811")</f>
        <v>081904412811</v>
      </c>
      <c r="E513" s="25" t="str">
        <f>IFERROR(__xludf.DUMMYFUNCTION("""COMPUTED_VALUE"""),"Instagram")</f>
        <v>Instagram</v>
      </c>
      <c r="F513" s="25" t="str">
        <f>IFERROR(__xludf.DUMMYFUNCTION("""COMPUTED_VALUE"""),"Leads Baru")</f>
        <v>Leads Baru</v>
      </c>
      <c r="G513" s="25"/>
      <c r="H513" s="16"/>
      <c r="I513" s="80"/>
      <c r="J513" s="93"/>
      <c r="K513" s="46" t="str">
        <f>IFERROR(__xludf.DUMMYFUNCTION("""COMPUTED_VALUE"""),"blm balas lagi")</f>
        <v>blm balas lagi</v>
      </c>
      <c r="L513" s="88" t="str">
        <f>IFERROR(__xludf.DUMMYFUNCTION("""COMPUTED_VALUE"""),"https://docs.google.com/document/d/1NGrTRrS8NLaBAYL0CMZ9BXI4W99t71VWsqmVSOJSCCI/edit?tab=t.0")</f>
        <v>https://docs.google.com/document/d/1NGrTRrS8NLaBAYL0CMZ9BXI4W99t71VWsqmVSOJSCCI/edit?tab=t.0</v>
      </c>
      <c r="M513" s="20"/>
      <c r="N513" s="20"/>
      <c r="O513" s="20"/>
      <c r="P513" s="20"/>
    </row>
    <row r="514">
      <c r="A514" s="110">
        <f>IFERROR(__xludf.DUMMYFUNCTION("""COMPUTED_VALUE"""),46121.0)</f>
        <v>46121</v>
      </c>
      <c r="B514" s="110" t="str">
        <f>IFERROR(__xludf.DUMMYFUNCTION("""COMPUTED_VALUE"""),"2604D043")</f>
        <v>2604D043</v>
      </c>
      <c r="C514" s="49" t="str">
        <f>IFERROR(__xludf.DUMMYFUNCTION("""COMPUTED_VALUE"""),"ILHAM aji")</f>
        <v>ILHAM aji</v>
      </c>
      <c r="D514" s="102" t="str">
        <f>IFERROR(__xludf.DUMMYFUNCTION("""COMPUTED_VALUE"""),"085770744552")</f>
        <v>085770744552</v>
      </c>
      <c r="E514" s="25" t="str">
        <f>IFERROR(__xludf.DUMMYFUNCTION("""COMPUTED_VALUE"""),"Instagram")</f>
        <v>Instagram</v>
      </c>
      <c r="F514" s="25" t="str">
        <f>IFERROR(__xludf.DUMMYFUNCTION("""COMPUTED_VALUE"""),"Gagal")</f>
        <v>Gagal</v>
      </c>
      <c r="G514" s="25" t="str">
        <f>IFERROR(__xludf.DUMMYFUNCTION("""COMPUTED_VALUE"""),"trip djawatan, baliuran ")</f>
        <v>trip djawatan, baliuran </v>
      </c>
      <c r="H514" s="78">
        <f>IFERROR(__xludf.DUMMYFUNCTION("""COMPUTED_VALUE"""),46136.0)</f>
        <v>46136</v>
      </c>
      <c r="I514" s="89">
        <f>IFERROR(__xludf.DUMMYFUNCTION("""COMPUTED_VALUE"""),2.0)</f>
        <v>2</v>
      </c>
      <c r="J514" s="96"/>
      <c r="K514" s="36" t="str">
        <f>IFERROR(__xludf.DUMMYFUNCTION("""COMPUTED_VALUE"""),"gagalllll")</f>
        <v>gagalllll</v>
      </c>
      <c r="L514" s="81" t="str">
        <f>IFERROR(__xludf.DUMMYFUNCTION("""COMPUTED_VALUE"""),"https://docs.google.com/document/d/1lcfVxI9nsqRq_UicPL0KMYSIGF2sI8g4WNqPHyLvJFY/edit?tab=t.0")</f>
        <v>https://docs.google.com/document/d/1lcfVxI9nsqRq_UicPL0KMYSIGF2sI8g4WNqPHyLvJFY/edit?tab=t.0</v>
      </c>
      <c r="M514" s="20"/>
      <c r="N514" s="20"/>
      <c r="O514" s="20"/>
      <c r="P514" s="20"/>
    </row>
    <row r="515">
      <c r="A515" s="110">
        <f>IFERROR(__xludf.DUMMYFUNCTION("""COMPUTED_VALUE"""),46121.0)</f>
        <v>46121</v>
      </c>
      <c r="B515" s="110" t="str">
        <f>IFERROR(__xludf.DUMMYFUNCTION("""COMPUTED_VALUE"""),"2604D044")</f>
        <v>2604D044</v>
      </c>
      <c r="C515" s="49" t="str">
        <f>IFERROR(__xludf.DUMMYFUNCTION("""COMPUTED_VALUE"""),"Asna Hasjim")</f>
        <v>Asna Hasjim</v>
      </c>
      <c r="D515" s="102" t="str">
        <f>IFERROR(__xludf.DUMMYFUNCTION("""COMPUTED_VALUE"""),"08123521577")</f>
        <v>08123521577</v>
      </c>
      <c r="E515" s="25" t="str">
        <f>IFERROR(__xludf.DUMMYFUNCTION("""COMPUTED_VALUE"""),"Lainnya")</f>
        <v>Lainnya</v>
      </c>
      <c r="F515" s="25" t="str">
        <f>IFERROR(__xludf.DUMMYFUNCTION("""COMPUTED_VALUE"""),"Gagal")</f>
        <v>Gagal</v>
      </c>
      <c r="G515" s="25" t="str">
        <f>IFERROR(__xludf.DUMMYFUNCTION("""COMPUTED_VALUE"""),"paket wisata sby, malang, bwi")</f>
        <v>paket wisata sby, malang, bwi</v>
      </c>
      <c r="H515" s="78"/>
      <c r="I515" s="89">
        <f>IFERROR(__xludf.DUMMYFUNCTION("""COMPUTED_VALUE"""),10.0)</f>
        <v>10</v>
      </c>
      <c r="J515" s="96"/>
      <c r="K515" s="30" t="str">
        <f>IFERROR(__xludf.DUMMYFUNCTION("""COMPUTED_VALUE"""),"di arahkan ke holiday")</f>
        <v>di arahkan ke holiday</v>
      </c>
      <c r="L515" s="49"/>
      <c r="M515" s="20"/>
      <c r="N515" s="20"/>
      <c r="O515" s="20"/>
      <c r="P515" s="20"/>
    </row>
    <row r="516">
      <c r="A516" s="97">
        <f>IFERROR(__xludf.DUMMYFUNCTION("""COMPUTED_VALUE"""),46121.0)</f>
        <v>46121</v>
      </c>
      <c r="B516" s="97" t="str">
        <f>IFERROR(__xludf.DUMMYFUNCTION("""COMPUTED_VALUE"""),"2604D045")</f>
        <v>2604D045</v>
      </c>
      <c r="C516" s="76" t="str">
        <f>IFERROR(__xludf.DUMMYFUNCTION("""COMPUTED_VALUE"""),"Nugroho Fadjar Shodik")</f>
        <v>Nugroho Fadjar Shodik</v>
      </c>
      <c r="D516" s="99" t="str">
        <f>IFERROR(__xludf.DUMMYFUNCTION("""COMPUTED_VALUE"""),"081286772029")</f>
        <v>081286772029</v>
      </c>
      <c r="E516" s="25" t="str">
        <f>IFERROR(__xludf.DUMMYFUNCTION("""COMPUTED_VALUE"""),"Website")</f>
        <v>Website</v>
      </c>
      <c r="F516" s="25" t="str">
        <f>IFERROR(__xludf.DUMMYFUNCTION("""COMPUTED_VALUE"""),"Leads Baru")</f>
        <v>Leads Baru</v>
      </c>
      <c r="G516" s="25" t="str">
        <f>IFERROR(__xludf.DUMMYFUNCTION("""COMPUTED_VALUE"""),"paket 2H1M")</f>
        <v>paket 2H1M</v>
      </c>
      <c r="H516" s="16"/>
      <c r="I516" s="80">
        <f>IFERROR(__xludf.DUMMYFUNCTION("""COMPUTED_VALUE"""),12.0)</f>
        <v>12</v>
      </c>
      <c r="J516" s="93"/>
      <c r="K516" s="46" t="str">
        <f>IFERROR(__xludf.DUMMYFUNCTION("""COMPUTED_VALUE"""),"buat penawaran ")</f>
        <v>buat penawaran </v>
      </c>
      <c r="L516" s="88" t="str">
        <f>IFERROR(__xludf.DUMMYFUNCTION("""COMPUTED_VALUE"""),"https://docs.google.com/document/d/129CR5LlITMzRfQ0-ceekbC4hAVVMG8Zi_RXypmdhIuI/edit?tab=t.0")</f>
        <v>https://docs.google.com/document/d/129CR5LlITMzRfQ0-ceekbC4hAVVMG8Zi_RXypmdhIuI/edit?tab=t.0</v>
      </c>
      <c r="M516" s="20"/>
      <c r="N516" s="20"/>
      <c r="O516" s="20"/>
      <c r="P516" s="20"/>
    </row>
    <row r="517">
      <c r="A517" s="110">
        <f>IFERROR(__xludf.DUMMYFUNCTION("""COMPUTED_VALUE"""),46121.0)</f>
        <v>46121</v>
      </c>
      <c r="B517" s="110" t="str">
        <f>IFERROR(__xludf.DUMMYFUNCTION("""COMPUTED_VALUE"""),"2604D046")</f>
        <v>2604D046</v>
      </c>
      <c r="C517" s="49" t="str">
        <f>IFERROR(__xludf.DUMMYFUNCTION("""COMPUTED_VALUE"""),"Fabian Arndtzen")</f>
        <v>Fabian Arndtzen</v>
      </c>
      <c r="D517" s="102" t="str">
        <f>IFERROR(__xludf.DUMMYFUNCTION("""COMPUTED_VALUE"""),"4540984393")</f>
        <v>4540984393</v>
      </c>
      <c r="E517" s="25" t="str">
        <f>IFERROR(__xludf.DUMMYFUNCTION("""COMPUTED_VALUE"""),"Lainnya")</f>
        <v>Lainnya</v>
      </c>
      <c r="F517" s="25" t="str">
        <f>IFERROR(__xludf.DUMMYFUNCTION("""COMPUTED_VALUE"""),"Gagal")</f>
        <v>Gagal</v>
      </c>
      <c r="G517" s="25" t="str">
        <f>IFERROR(__xludf.DUMMYFUNCTION("""COMPUTED_VALUE"""),"trip 1D teluk ijo")</f>
        <v>trip 1D teluk ijo</v>
      </c>
      <c r="H517" s="78"/>
      <c r="I517" s="89">
        <f>IFERROR(__xludf.DUMMYFUNCTION("""COMPUTED_VALUE"""),2.0)</f>
        <v>2</v>
      </c>
      <c r="J517" s="96"/>
      <c r="K517" s="30" t="str">
        <f>IFERROR(__xludf.DUMMYFUNCTION("""COMPUTED_VALUE"""),"gagall, karena dia mau transportasi nya aja")</f>
        <v>gagall, karena dia mau transportasi nya aja</v>
      </c>
      <c r="L517" s="49"/>
      <c r="M517" s="20"/>
      <c r="N517" s="20"/>
      <c r="O517" s="20"/>
      <c r="P517" s="20"/>
    </row>
    <row r="518">
      <c r="A518" s="97">
        <f>IFERROR(__xludf.DUMMYFUNCTION("""COMPUTED_VALUE"""),46122.0)</f>
        <v>46122</v>
      </c>
      <c r="B518" s="97" t="str">
        <f>IFERROR(__xludf.DUMMYFUNCTION("""COMPUTED_VALUE"""),"2604D047")</f>
        <v>2604D047</v>
      </c>
      <c r="C518" s="76" t="str">
        <f>IFERROR(__xludf.DUMMYFUNCTION("""COMPUTED_VALUE"""),"Yanti")</f>
        <v>Yanti</v>
      </c>
      <c r="D518" s="99" t="str">
        <f>IFERROR(__xludf.DUMMYFUNCTION("""COMPUTED_VALUE"""),"081281105743")</f>
        <v>081281105743</v>
      </c>
      <c r="E518" s="25" t="str">
        <f>IFERROR(__xludf.DUMMYFUNCTION("""COMPUTED_VALUE"""),"Instagram")</f>
        <v>Instagram</v>
      </c>
      <c r="F518" s="25" t="str">
        <f>IFERROR(__xludf.DUMMYFUNCTION("""COMPUTED_VALUE"""),"Gagal")</f>
        <v>Gagal</v>
      </c>
      <c r="G518" s="25" t="str">
        <f>IFERROR(__xludf.DUMMYFUNCTION("""COMPUTED_VALUE"""),"3h2m custome")</f>
        <v>3h2m custome</v>
      </c>
      <c r="H518" s="92">
        <f>IFERROR(__xludf.DUMMYFUNCTION("""COMPUTED_VALUE"""),46156.0)</f>
        <v>46156</v>
      </c>
      <c r="I518" s="80">
        <f>IFERROR(__xludf.DUMMYFUNCTION("""COMPUTED_VALUE"""),4.0)</f>
        <v>4</v>
      </c>
      <c r="J518" s="93">
        <f>IFERROR(__xludf.DUMMYFUNCTION("""COMPUTED_VALUE"""),6040000.0)</f>
        <v>6040000</v>
      </c>
      <c r="K518" s="46" t="str">
        <f>IFERROR(__xludf.DUMMYFUNCTION("""COMPUTED_VALUE"""),"gagallll")</f>
        <v>gagallll</v>
      </c>
      <c r="L518" s="88" t="str">
        <f>IFERROR(__xludf.DUMMYFUNCTION("""COMPUTED_VALUE"""),"https://docs.google.com/document/d/1j0LO5dOFX6tnftZnraRIH5-OEMifIzBa1BvP-suW8Y8/edit?tab=t.0")</f>
        <v>https://docs.google.com/document/d/1j0LO5dOFX6tnftZnraRIH5-OEMifIzBa1BvP-suW8Y8/edit?tab=t.0</v>
      </c>
      <c r="M518" s="20"/>
      <c r="N518" s="20"/>
      <c r="O518" s="20"/>
      <c r="P518" s="20"/>
    </row>
    <row r="519">
      <c r="A519" s="110">
        <f>IFERROR(__xludf.DUMMYFUNCTION("""COMPUTED_VALUE"""),46122.0)</f>
        <v>46122</v>
      </c>
      <c r="B519" s="110" t="str">
        <f>IFERROR(__xludf.DUMMYFUNCTION("""COMPUTED_VALUE"""),"2604D048")</f>
        <v>2604D048</v>
      </c>
      <c r="C519" s="49" t="str">
        <f>IFERROR(__xludf.DUMMYFUNCTION("""COMPUTED_VALUE"""),"Akhmad Fais")</f>
        <v>Akhmad Fais</v>
      </c>
      <c r="D519" s="102" t="str">
        <f>IFERROR(__xludf.DUMMYFUNCTION("""COMPUTED_VALUE"""),"0859187532463")</f>
        <v>0859187532463</v>
      </c>
      <c r="E519" s="25" t="str">
        <f>IFERROR(__xludf.DUMMYFUNCTION("""COMPUTED_VALUE"""),"Instagram")</f>
        <v>Instagram</v>
      </c>
      <c r="F519" s="25" t="str">
        <f>IFERROR(__xludf.DUMMYFUNCTION("""COMPUTED_VALUE"""),"Gagal")</f>
        <v>Gagal</v>
      </c>
      <c r="G519" s="25" t="str">
        <f>IFERROR(__xludf.DUMMYFUNCTION("""COMPUTED_VALUE"""),"trip menjangan tabuhan ")</f>
        <v>trip menjangan tabuhan </v>
      </c>
      <c r="H519" s="78">
        <f>IFERROR(__xludf.DUMMYFUNCTION("""COMPUTED_VALUE"""),46135.0)</f>
        <v>46135</v>
      </c>
      <c r="I519" s="89">
        <f>IFERROR(__xludf.DUMMYFUNCTION("""COMPUTED_VALUE"""),5.0)</f>
        <v>5</v>
      </c>
      <c r="J519" s="96"/>
      <c r="K519" s="30" t="str">
        <f>IFERROR(__xludf.DUMMYFUNCTION("""COMPUTED_VALUE"""),"belum jadi tripp")</f>
        <v>belum jadi tripp</v>
      </c>
      <c r="L519" s="81" t="str">
        <f>IFERROR(__xludf.DUMMYFUNCTION("""COMPUTED_VALUE"""),"https://docs.google.com/document/d/1gYjevxfOUwHqdDVj0LtdMivFI51mnOIxW-aCxuQIRfI/edit?tab=t.0")</f>
        <v>https://docs.google.com/document/d/1gYjevxfOUwHqdDVj0LtdMivFI51mnOIxW-aCxuQIRfI/edit?tab=t.0</v>
      </c>
      <c r="M519" s="20"/>
      <c r="N519" s="20"/>
      <c r="O519" s="20"/>
      <c r="P519" s="20"/>
    </row>
    <row r="520">
      <c r="A520" s="97">
        <f>IFERROR(__xludf.DUMMYFUNCTION("""COMPUTED_VALUE"""),46122.0)</f>
        <v>46122</v>
      </c>
      <c r="B520" s="97" t="str">
        <f>IFERROR(__xludf.DUMMYFUNCTION("""COMPUTED_VALUE"""),"2604D049")</f>
        <v>2604D049</v>
      </c>
      <c r="C520" s="76" t="str">
        <f>IFERROR(__xludf.DUMMYFUNCTION("""COMPUTED_VALUE"""),"Tina")</f>
        <v>Tina</v>
      </c>
      <c r="D520" s="99" t="str">
        <f>IFERROR(__xludf.DUMMYFUNCTION("""COMPUTED_VALUE"""),"082149664011")</f>
        <v>082149664011</v>
      </c>
      <c r="E520" s="25" t="str">
        <f>IFERROR(__xludf.DUMMYFUNCTION("""COMPUTED_VALUE"""),"Lainnya")</f>
        <v>Lainnya</v>
      </c>
      <c r="F520" s="25" t="str">
        <f>IFERROR(__xludf.DUMMYFUNCTION("""COMPUTED_VALUE"""),"Gagal")</f>
        <v>Gagal</v>
      </c>
      <c r="G520" s="25" t="str">
        <f>IFERROR(__xludf.DUMMYFUNCTION("""COMPUTED_VALUE"""),"trip ijen")</f>
        <v>trip ijen</v>
      </c>
      <c r="H520" s="92">
        <f>IFERROR(__xludf.DUMMYFUNCTION("""COMPUTED_VALUE"""),46144.0)</f>
        <v>46144</v>
      </c>
      <c r="I520" s="80">
        <f>IFERROR(__xludf.DUMMYFUNCTION("""COMPUTED_VALUE"""),1.0)</f>
        <v>1</v>
      </c>
      <c r="J520" s="93"/>
      <c r="K520" s="19" t="str">
        <f>IFERROR(__xludf.DUMMYFUNCTION("""COMPUTED_VALUE"""),"ditunda dulu nunggu blue fire dibuka lagi, dihubungi lagi nanti")</f>
        <v>ditunda dulu nunggu blue fire dibuka lagi, dihubungi lagi nanti</v>
      </c>
      <c r="L520" s="88" t="str">
        <f>IFERROR(__xludf.DUMMYFUNCTION("""COMPUTED_VALUE"""),"https://docs.google.com/document/d/1Nj4V9FWeMbisg1MNJuyWLKF9JWWhzlIphb0Oao960q0/edit?tab=t.0")</f>
        <v>https://docs.google.com/document/d/1Nj4V9FWeMbisg1MNJuyWLKF9JWWhzlIphb0Oao960q0/edit?tab=t.0</v>
      </c>
      <c r="M520" s="20"/>
      <c r="N520" s="20"/>
      <c r="O520" s="20"/>
      <c r="P520" s="20"/>
    </row>
    <row r="521">
      <c r="A521" s="110">
        <f>IFERROR(__xludf.DUMMYFUNCTION("""COMPUTED_VALUE"""),46122.0)</f>
        <v>46122</v>
      </c>
      <c r="B521" s="110" t="str">
        <f>IFERROR(__xludf.DUMMYFUNCTION("""COMPUTED_VALUE"""),"2604D050")</f>
        <v>2604D050</v>
      </c>
      <c r="C521" s="49" t="str">
        <f>IFERROR(__xludf.DUMMYFUNCTION("""COMPUTED_VALUE"""),"Alyya Delvin")</f>
        <v>Alyya Delvin</v>
      </c>
      <c r="D521" s="102" t="str">
        <f>IFERROR(__xludf.DUMMYFUNCTION("""COMPUTED_VALUE"""),"085736815515")</f>
        <v>085736815515</v>
      </c>
      <c r="E521" s="25" t="str">
        <f>IFERROR(__xludf.DUMMYFUNCTION("""COMPUTED_VALUE"""),"Instagram")</f>
        <v>Instagram</v>
      </c>
      <c r="F521" s="25" t="str">
        <f>IFERROR(__xludf.DUMMYFUNCTION("""COMPUTED_VALUE"""),"Closing")</f>
        <v>Closing</v>
      </c>
      <c r="G521" s="25" t="str">
        <f>IFERROR(__xludf.DUMMYFUNCTION("""COMPUTED_VALUE"""),"3H2M custome")</f>
        <v>3H2M custome</v>
      </c>
      <c r="H521" s="78">
        <f>IFERROR(__xludf.DUMMYFUNCTION("""COMPUTED_VALUE"""),46123.0)</f>
        <v>46123</v>
      </c>
      <c r="I521" s="89">
        <f>IFERROR(__xludf.DUMMYFUNCTION("""COMPUTED_VALUE"""),4.0)</f>
        <v>4</v>
      </c>
      <c r="J521" s="96">
        <f>IFERROR(__xludf.DUMMYFUNCTION("""COMPUTED_VALUE"""),7700000.0)</f>
        <v>7700000</v>
      </c>
      <c r="K521" s="30" t="str">
        <f>IFERROR(__xludf.DUMMYFUNCTION("""COMPUTED_VALUE"""),"alhamduliillah orderrr")</f>
        <v>alhamduliillah orderrr</v>
      </c>
      <c r="L521" s="49"/>
      <c r="M521" s="20"/>
      <c r="N521" s="20"/>
      <c r="O521" s="20"/>
      <c r="P521" s="20"/>
    </row>
    <row r="522">
      <c r="A522" s="97">
        <f>IFERROR(__xludf.DUMMYFUNCTION("""COMPUTED_VALUE"""),46123.0)</f>
        <v>46123</v>
      </c>
      <c r="B522" s="97" t="str">
        <f>IFERROR(__xludf.DUMMYFUNCTION("""COMPUTED_VALUE"""),"2604D051")</f>
        <v>2604D051</v>
      </c>
      <c r="C522" s="76" t="str">
        <f>IFERROR(__xludf.DUMMYFUNCTION("""COMPUTED_VALUE"""),"Ria")</f>
        <v>Ria</v>
      </c>
      <c r="D522" s="99" t="str">
        <f>IFERROR(__xludf.DUMMYFUNCTION("""COMPUTED_VALUE"""),"447368848471")</f>
        <v>447368848471</v>
      </c>
      <c r="E522" s="25" t="str">
        <f>IFERROR(__xludf.DUMMYFUNCTION("""COMPUTED_VALUE"""),"Website")</f>
        <v>Website</v>
      </c>
      <c r="F522" s="25" t="str">
        <f>IFERROR(__xludf.DUMMYFUNCTION("""COMPUTED_VALUE"""),"Gagal")</f>
        <v>Gagal</v>
      </c>
      <c r="G522" s="25"/>
      <c r="H522" s="92"/>
      <c r="I522" s="17"/>
      <c r="J522" s="54"/>
      <c r="K522" s="46" t="str">
        <f>IFERROR(__xludf.DUMMYFUNCTION("""COMPUTED_VALUE"""),"hanya menyapa")</f>
        <v>hanya menyapa</v>
      </c>
      <c r="L522" s="88" t="str">
        <f>IFERROR(__xludf.DUMMYFUNCTION("""COMPUTED_VALUE"""),"https://docs.google.com/document/d/1qqOPrXKUOceQYdYlfJwOu42GZKEP-qJi-FH3i5OPNZc/edit?tab=t.0")</f>
        <v>https://docs.google.com/document/d/1qqOPrXKUOceQYdYlfJwOu42GZKEP-qJi-FH3i5OPNZc/edit?tab=t.0</v>
      </c>
      <c r="M522" s="20"/>
      <c r="N522" s="20"/>
      <c r="O522" s="20"/>
      <c r="P522" s="20"/>
    </row>
    <row r="523">
      <c r="A523" s="110">
        <f>IFERROR(__xludf.DUMMYFUNCTION("""COMPUTED_VALUE"""),46123.0)</f>
        <v>46123</v>
      </c>
      <c r="B523" s="110" t="str">
        <f>IFERROR(__xludf.DUMMYFUNCTION("""COMPUTED_VALUE"""),"2604D052")</f>
        <v>2604D052</v>
      </c>
      <c r="C523" s="49" t="str">
        <f>IFERROR(__xludf.DUMMYFUNCTION("""COMPUTED_VALUE"""),"Sindy")</f>
        <v>Sindy</v>
      </c>
      <c r="D523" s="102" t="str">
        <f>IFERROR(__xludf.DUMMYFUNCTION("""COMPUTED_VALUE"""),"081262384098")</f>
        <v>081262384098</v>
      </c>
      <c r="E523" s="25" t="str">
        <f>IFERROR(__xludf.DUMMYFUNCTION("""COMPUTED_VALUE"""),"Instagram")</f>
        <v>Instagram</v>
      </c>
      <c r="F523" s="25" t="str">
        <f>IFERROR(__xludf.DUMMYFUNCTION("""COMPUTED_VALUE"""),"Closing")</f>
        <v>Closing</v>
      </c>
      <c r="G523" s="25" t="str">
        <f>IFERROR(__xludf.DUMMYFUNCTION("""COMPUTED_VALUE"""),"OT menjangan tabuhan")</f>
        <v>OT menjangan tabuhan</v>
      </c>
      <c r="H523" s="78">
        <f>IFERROR(__xludf.DUMMYFUNCTION("""COMPUTED_VALUE"""),46128.0)</f>
        <v>46128</v>
      </c>
      <c r="I523" s="89">
        <f>IFERROR(__xludf.DUMMYFUNCTION("""COMPUTED_VALUE"""),2.0)</f>
        <v>2</v>
      </c>
      <c r="J523" s="33">
        <f>IFERROR(__xludf.DUMMYFUNCTION("""COMPUTED_VALUE"""),1650000.0)</f>
        <v>1650000</v>
      </c>
      <c r="K523" s="30" t="str">
        <f>IFERROR(__xludf.DUMMYFUNCTION("""COMPUTED_VALUE"""),"Orderrrr")</f>
        <v>Orderrrr</v>
      </c>
      <c r="L523" s="81" t="str">
        <f>IFERROR(__xludf.DUMMYFUNCTION("""COMPUTED_VALUE"""),"https://docs.google.com/document/d/1tmCe_nCJBKHQSwugenr8t18fzSDeMNm38e5jd7oTzaM/edit?tab=t.0")</f>
        <v>https://docs.google.com/document/d/1tmCe_nCJBKHQSwugenr8t18fzSDeMNm38e5jd7oTzaM/edit?tab=t.0</v>
      </c>
      <c r="M523" s="20"/>
      <c r="N523" s="20"/>
      <c r="O523" s="20"/>
      <c r="P523" s="20"/>
    </row>
    <row r="524">
      <c r="A524" s="97">
        <f>IFERROR(__xludf.DUMMYFUNCTION("""COMPUTED_VALUE"""),46123.0)</f>
        <v>46123</v>
      </c>
      <c r="B524" s="121" t="str">
        <f>IFERROR(__xludf.DUMMYFUNCTION("""COMPUTED_VALUE"""),"2604D053")</f>
        <v>2604D053</v>
      </c>
      <c r="C524" s="76" t="str">
        <f>IFERROR(__xludf.DUMMYFUNCTION("""COMPUTED_VALUE"""),"Harjanto")</f>
        <v>Harjanto</v>
      </c>
      <c r="D524" s="99" t="str">
        <f>IFERROR(__xludf.DUMMYFUNCTION("""COMPUTED_VALUE"""),"085812821113")</f>
        <v>085812821113</v>
      </c>
      <c r="E524" s="25" t="str">
        <f>IFERROR(__xludf.DUMMYFUNCTION("""COMPUTED_VALUE"""),"Instagram")</f>
        <v>Instagram</v>
      </c>
      <c r="F524" s="25" t="str">
        <f>IFERROR(__xludf.DUMMYFUNCTION("""COMPUTED_VALUE"""),"Gagal")</f>
        <v>Gagal</v>
      </c>
      <c r="G524" s="25" t="str">
        <f>IFERROR(__xludf.DUMMYFUNCTION("""COMPUTED_VALUE"""),"4H3M")</f>
        <v>4H3M</v>
      </c>
      <c r="H524" s="92">
        <f>IFERROR(__xludf.DUMMYFUNCTION("""COMPUTED_VALUE"""),46154.0)</f>
        <v>46154</v>
      </c>
      <c r="I524" s="17">
        <f>IFERROR(__xludf.DUMMYFUNCTION("""COMPUTED_VALUE"""),2.0)</f>
        <v>2</v>
      </c>
      <c r="J524" s="93"/>
      <c r="K524" s="46" t="str">
        <f>IFERROR(__xludf.DUMMYFUNCTION("""COMPUTED_VALUE"""),"lewat tanggal")</f>
        <v>lewat tanggal</v>
      </c>
      <c r="L524" s="88" t="str">
        <f>IFERROR(__xludf.DUMMYFUNCTION("""COMPUTED_VALUE"""),"https://docs.google.com/document/d/1RoPWVIm6JUULt1efbgaRzRZM0I7AHkFiCeGCCjWNeQk/edit?tab=t.0")</f>
        <v>https://docs.google.com/document/d/1RoPWVIm6JUULt1efbgaRzRZM0I7AHkFiCeGCCjWNeQk/edit?tab=t.0</v>
      </c>
      <c r="M524" s="20"/>
      <c r="N524" s="20"/>
      <c r="O524" s="20"/>
      <c r="P524" s="20"/>
    </row>
    <row r="525">
      <c r="A525" s="110">
        <f>IFERROR(__xludf.DUMMYFUNCTION("""COMPUTED_VALUE"""),46123.0)</f>
        <v>46123</v>
      </c>
      <c r="B525" s="110" t="str">
        <f>IFERROR(__xludf.DUMMYFUNCTION("""COMPUTED_VALUE"""),"2604D054")</f>
        <v>2604D054</v>
      </c>
      <c r="C525" s="49" t="str">
        <f>IFERROR(__xludf.DUMMYFUNCTION("""COMPUTED_VALUE"""),"Endyah Siwi")</f>
        <v>Endyah Siwi</v>
      </c>
      <c r="D525" s="102" t="str">
        <f>IFERROR(__xludf.DUMMYFUNCTION("""COMPUTED_VALUE"""),"082137978784")</f>
        <v>082137978784</v>
      </c>
      <c r="E525" s="25" t="str">
        <f>IFERROR(__xludf.DUMMYFUNCTION("""COMPUTED_VALUE"""),"Instagram")</f>
        <v>Instagram</v>
      </c>
      <c r="F525" s="25" t="str">
        <f>IFERROR(__xludf.DUMMYFUNCTION("""COMPUTED_VALUE"""),"Gagal")</f>
        <v>Gagal</v>
      </c>
      <c r="G525" s="25" t="str">
        <f>IFERROR(__xludf.DUMMYFUNCTION("""COMPUTED_VALUE"""),"ot 3h2m ")</f>
        <v>ot 3h2m </v>
      </c>
      <c r="H525" s="78"/>
      <c r="I525" s="89">
        <f>IFERROR(__xludf.DUMMYFUNCTION("""COMPUTED_VALUE"""),1.0)</f>
        <v>1</v>
      </c>
      <c r="J525" s="96"/>
      <c r="K525" s="30" t="str">
        <f>IFERROR(__xludf.DUMMYFUNCTION("""COMPUTED_VALUE"""),"gagallll")</f>
        <v>gagallll</v>
      </c>
      <c r="L525" s="81" t="str">
        <f>IFERROR(__xludf.DUMMYFUNCTION("""COMPUTED_VALUE"""),"https://docs.google.com/document/d/1PkJd1jl6vzVgSIptaX0VfSx-icGarZYK1HwvDKK6vtE/edit?tab=t.0")</f>
        <v>https://docs.google.com/document/d/1PkJd1jl6vzVgSIptaX0VfSx-icGarZYK1HwvDKK6vtE/edit?tab=t.0</v>
      </c>
      <c r="M525" s="20"/>
      <c r="N525" s="20"/>
      <c r="O525" s="20"/>
      <c r="P525" s="20"/>
    </row>
    <row r="526">
      <c r="A526" s="97">
        <f>IFERROR(__xludf.DUMMYFUNCTION("""COMPUTED_VALUE"""),46123.0)</f>
        <v>46123</v>
      </c>
      <c r="B526" s="97" t="str">
        <f>IFERROR(__xludf.DUMMYFUNCTION("""COMPUTED_VALUE"""),"2604D055")</f>
        <v>2604D055</v>
      </c>
      <c r="C526" s="76" t="str">
        <f>IFERROR(__xludf.DUMMYFUNCTION("""COMPUTED_VALUE"""),"Hesti")</f>
        <v>Hesti</v>
      </c>
      <c r="D526" s="99" t="str">
        <f>IFERROR(__xludf.DUMMYFUNCTION("""COMPUTED_VALUE"""),"08113890797")</f>
        <v>08113890797</v>
      </c>
      <c r="E526" s="25" t="str">
        <f>IFERROR(__xludf.DUMMYFUNCTION("""COMPUTED_VALUE"""),"Instagram")</f>
        <v>Instagram</v>
      </c>
      <c r="F526" s="25" t="str">
        <f>IFERROR(__xludf.DUMMYFUNCTION("""COMPUTED_VALUE"""),"Leads Baru")</f>
        <v>Leads Baru</v>
      </c>
      <c r="G526" s="25" t="str">
        <f>IFERROR(__xludf.DUMMYFUNCTION("""COMPUTED_VALUE"""),"ot djawatan baluran")</f>
        <v>ot djawatan baluran</v>
      </c>
      <c r="H526" s="92"/>
      <c r="I526" s="80">
        <f>IFERROR(__xludf.DUMMYFUNCTION("""COMPUTED_VALUE"""),2.0)</f>
        <v>2</v>
      </c>
      <c r="J526" s="93"/>
      <c r="K526" s="46" t="str">
        <f>IFERROR(__xludf.DUMMYFUNCTION("""COMPUTED_VALUE"""),"belum balas lagi")</f>
        <v>belum balas lagi</v>
      </c>
      <c r="L526" s="88" t="str">
        <f>IFERROR(__xludf.DUMMYFUNCTION("""COMPUTED_VALUE"""),"https://docs.google.com/document/d/1kK0Ed5Xb0k1KL0UZfA2SORvd0Ne_tKcCKIG3HES5zy4/edit?tab=t.0")</f>
        <v>https://docs.google.com/document/d/1kK0Ed5Xb0k1KL0UZfA2SORvd0Ne_tKcCKIG3HES5zy4/edit?tab=t.0</v>
      </c>
      <c r="M526" s="20"/>
      <c r="N526" s="20"/>
      <c r="O526" s="20"/>
      <c r="P526" s="20"/>
    </row>
    <row r="527">
      <c r="A527" s="110">
        <f>IFERROR(__xludf.DUMMYFUNCTION("""COMPUTED_VALUE"""),46123.0)</f>
        <v>46123</v>
      </c>
      <c r="B527" s="110" t="str">
        <f>IFERROR(__xludf.DUMMYFUNCTION("""COMPUTED_VALUE"""),"2604D056")</f>
        <v>2604D056</v>
      </c>
      <c r="C527" s="49" t="str">
        <f>IFERROR(__xludf.DUMMYFUNCTION("""COMPUTED_VALUE"""),"Nadya Fitri")</f>
        <v>Nadya Fitri</v>
      </c>
      <c r="D527" s="102" t="str">
        <f>IFERROR(__xludf.DUMMYFUNCTION("""COMPUTED_VALUE"""),"085694273926")</f>
        <v>085694273926</v>
      </c>
      <c r="E527" s="25" t="str">
        <f>IFERROR(__xludf.DUMMYFUNCTION("""COMPUTED_VALUE"""),"Instagram")</f>
        <v>Instagram</v>
      </c>
      <c r="F527" s="25" t="str">
        <f>IFERROR(__xludf.DUMMYFUNCTION("""COMPUTED_VALUE"""),"Closing")</f>
        <v>Closing</v>
      </c>
      <c r="G527" s="25" t="str">
        <f>IFERROR(__xludf.DUMMYFUNCTION("""COMPUTED_VALUE"""),"OT MT, OT Ijen")</f>
        <v>OT MT, OT Ijen</v>
      </c>
      <c r="H527" s="26"/>
      <c r="I527" s="27">
        <f>IFERROR(__xludf.DUMMYFUNCTION("""COMPUTED_VALUE"""),2.0)</f>
        <v>2</v>
      </c>
      <c r="J527" s="33">
        <f>IFERROR(__xludf.DUMMYFUNCTION("""COMPUTED_VALUE"""),1090000.0)</f>
        <v>1090000</v>
      </c>
      <c r="K527" s="30" t="str">
        <f>IFERROR(__xludf.DUMMYFUNCTION("""COMPUTED_VALUE"""),"yeyyyy orderrr")</f>
        <v>yeyyyy orderrr</v>
      </c>
      <c r="L527" s="81" t="str">
        <f>IFERROR(__xludf.DUMMYFUNCTION("""COMPUTED_VALUE"""),"https://docs.google.com/document/d/1K6_uKgU3GAxpFNWJUyOIgB2_sjIK_dDasv7rcEDaXAo/edit?tab=t.0")</f>
        <v>https://docs.google.com/document/d/1K6_uKgU3GAxpFNWJUyOIgB2_sjIK_dDasv7rcEDaXAo/edit?tab=t.0</v>
      </c>
      <c r="M527" s="20"/>
      <c r="N527" s="20"/>
      <c r="O527" s="20"/>
      <c r="P527" s="20"/>
    </row>
    <row r="528">
      <c r="A528" s="97">
        <f>IFERROR(__xludf.DUMMYFUNCTION("""COMPUTED_VALUE"""),46123.0)</f>
        <v>46123</v>
      </c>
      <c r="B528" s="97" t="str">
        <f>IFERROR(__xludf.DUMMYFUNCTION("""COMPUTED_VALUE"""),"2604D057")</f>
        <v>2604D057</v>
      </c>
      <c r="C528" s="76" t="str">
        <f>IFERROR(__xludf.DUMMYFUNCTION("""COMPUTED_VALUE"""),"Resti Cendana Wiradesa")</f>
        <v>Resti Cendana Wiradesa</v>
      </c>
      <c r="D528" s="99" t="str">
        <f>IFERROR(__xludf.DUMMYFUNCTION("""COMPUTED_VALUE"""),"085747254152")</f>
        <v>085747254152</v>
      </c>
      <c r="E528" s="25" t="str">
        <f>IFERROR(__xludf.DUMMYFUNCTION("""COMPUTED_VALUE"""),"Website")</f>
        <v>Website</v>
      </c>
      <c r="F528" s="25" t="str">
        <f>IFERROR(__xludf.DUMMYFUNCTION("""COMPUTED_VALUE"""),"Gagal")</f>
        <v>Gagal</v>
      </c>
      <c r="G528" s="25" t="str">
        <f>IFERROR(__xludf.DUMMYFUNCTION("""COMPUTED_VALUE"""),"OT MT")</f>
        <v>OT MT</v>
      </c>
      <c r="H528" s="92"/>
      <c r="I528" s="80">
        <f>IFERROR(__xludf.DUMMYFUNCTION("""COMPUTED_VALUE"""),2.0)</f>
        <v>2</v>
      </c>
      <c r="J528" s="129">
        <f>IFERROR(__xludf.DUMMYFUNCTION("""COMPUTED_VALUE"""),590000.0)</f>
        <v>590000</v>
      </c>
      <c r="K528" s="46" t="str">
        <f>IFERROR(__xludf.DUMMYFUNCTION("""COMPUTED_VALUE"""),"kendala suami masih kerja, diskusi lagi tanggal nya")</f>
        <v>kendala suami masih kerja, diskusi lagi tanggal nya</v>
      </c>
      <c r="L528" s="88" t="str">
        <f>IFERROR(__xludf.DUMMYFUNCTION("""COMPUTED_VALUE"""),"https://docs.google.com/document/d/1oaaRNM8Pl50DfYTlEKQihdWbp9EQqwQZT6Jlukw_pP4/edit?tab=t.0")</f>
        <v>https://docs.google.com/document/d/1oaaRNM8Pl50DfYTlEKQihdWbp9EQqwQZT6Jlukw_pP4/edit?tab=t.0</v>
      </c>
      <c r="M528" s="20"/>
      <c r="N528" s="20"/>
      <c r="O528" s="20"/>
      <c r="P528" s="20"/>
    </row>
    <row r="529">
      <c r="A529" s="110">
        <f>IFERROR(__xludf.DUMMYFUNCTION("""COMPUTED_VALUE"""),46124.0)</f>
        <v>46124</v>
      </c>
      <c r="B529" s="110" t="str">
        <f>IFERROR(__xludf.DUMMYFUNCTION("""COMPUTED_VALUE"""),"2604D058")</f>
        <v>2604D058</v>
      </c>
      <c r="C529" s="49" t="str">
        <f>IFERROR(__xludf.DUMMYFUNCTION("""COMPUTED_VALUE"""),"No name (titik)")</f>
        <v>No name (titik)</v>
      </c>
      <c r="D529" s="102" t="str">
        <f>IFERROR(__xludf.DUMMYFUNCTION("""COMPUTED_VALUE"""),"08893515642")</f>
        <v>08893515642</v>
      </c>
      <c r="E529" s="25" t="str">
        <f>IFERROR(__xludf.DUMMYFUNCTION("""COMPUTED_VALUE"""),"Instagram")</f>
        <v>Instagram</v>
      </c>
      <c r="F529" s="25" t="str">
        <f>IFERROR(__xludf.DUMMYFUNCTION("""COMPUTED_VALUE"""),"Gagal")</f>
        <v>Gagal</v>
      </c>
      <c r="G529" s="25"/>
      <c r="H529" s="78"/>
      <c r="I529" s="89"/>
      <c r="J529" s="96"/>
      <c r="K529" s="36" t="str">
        <f>IFERROR(__xludf.DUMMYFUNCTION("""COMPUTED_VALUE"""),"ga bls")</f>
        <v>ga bls</v>
      </c>
      <c r="L529" s="81" t="str">
        <f>IFERROR(__xludf.DUMMYFUNCTION("""COMPUTED_VALUE"""),"https://docs.google.com/document/d/1BOrx0WJp4btclLH1ASV3o9vnzD87xLZfhzFHOf098Bc/edit?tab=t.0")</f>
        <v>https://docs.google.com/document/d/1BOrx0WJp4btclLH1ASV3o9vnzD87xLZfhzFHOf098Bc/edit?tab=t.0</v>
      </c>
      <c r="M529" s="20"/>
      <c r="N529" s="20"/>
      <c r="O529" s="20"/>
      <c r="P529" s="20"/>
    </row>
    <row r="530">
      <c r="A530" s="97">
        <f>IFERROR(__xludf.DUMMYFUNCTION("""COMPUTED_VALUE"""),46123.0)</f>
        <v>46123</v>
      </c>
      <c r="B530" s="97" t="str">
        <f>IFERROR(__xludf.DUMMYFUNCTION("""COMPUTED_VALUE"""),"2604D059")</f>
        <v>2604D059</v>
      </c>
      <c r="C530" s="76" t="str">
        <f>IFERROR(__xludf.DUMMYFUNCTION("""COMPUTED_VALUE"""),"No name garis")</f>
        <v>No name garis</v>
      </c>
      <c r="D530" s="99" t="str">
        <f>IFERROR(__xludf.DUMMYFUNCTION("""COMPUTED_VALUE"""),"08112424428")</f>
        <v>08112424428</v>
      </c>
      <c r="E530" s="25" t="str">
        <f>IFERROR(__xludf.DUMMYFUNCTION("""COMPUTED_VALUE"""),"Website")</f>
        <v>Website</v>
      </c>
      <c r="F530" s="25" t="str">
        <f>IFERROR(__xludf.DUMMYFUNCTION("""COMPUTED_VALUE"""),"Gagal")</f>
        <v>Gagal</v>
      </c>
      <c r="G530" s="25"/>
      <c r="H530" s="92"/>
      <c r="I530" s="80"/>
      <c r="J530" s="93"/>
      <c r="K530" s="46" t="str">
        <f>IFERROR(__xludf.DUMMYFUNCTION("""COMPUTED_VALUE"""),"gagal, di arahkan ke Holiday")</f>
        <v>gagal, di arahkan ke Holiday</v>
      </c>
      <c r="L530" s="76"/>
      <c r="M530" s="20"/>
      <c r="N530" s="20"/>
      <c r="O530" s="20"/>
      <c r="P530" s="20"/>
    </row>
    <row r="531">
      <c r="A531" s="110">
        <f>IFERROR(__xludf.DUMMYFUNCTION("""COMPUTED_VALUE"""),46122.0)</f>
        <v>46122</v>
      </c>
      <c r="B531" s="110" t="str">
        <f>IFERROR(__xludf.DUMMYFUNCTION("""COMPUTED_VALUE"""),"2604D060")</f>
        <v>2604D060</v>
      </c>
      <c r="C531" s="49" t="str">
        <f>IFERROR(__xludf.DUMMYFUNCTION("""COMPUTED_VALUE"""),"No name malang")</f>
        <v>No name malang</v>
      </c>
      <c r="D531" s="102" t="str">
        <f>IFERROR(__xludf.DUMMYFUNCTION("""COMPUTED_VALUE"""),"081230528752")</f>
        <v>081230528752</v>
      </c>
      <c r="E531" s="25" t="str">
        <f>IFERROR(__xludf.DUMMYFUNCTION("""COMPUTED_VALUE"""),"Instagram")</f>
        <v>Instagram</v>
      </c>
      <c r="F531" s="25" t="str">
        <f>IFERROR(__xludf.DUMMYFUNCTION("""COMPUTED_VALUE"""),"Gagal")</f>
        <v>Gagal</v>
      </c>
      <c r="G531" s="25" t="str">
        <f>IFERROR(__xludf.DUMMYFUNCTION("""COMPUTED_VALUE"""),"open trip baluran")</f>
        <v>open trip baluran</v>
      </c>
      <c r="H531" s="78"/>
      <c r="I531" s="89"/>
      <c r="J531" s="96"/>
      <c r="K531" s="30" t="str">
        <f>IFERROR(__xludf.DUMMYFUNCTION("""COMPUTED_VALUE"""),"tidak balas lagi, minta penjemputan dari Malang")</f>
        <v>tidak balas lagi, minta penjemputan dari Malang</v>
      </c>
      <c r="L531" s="49"/>
      <c r="M531" s="20"/>
      <c r="N531" s="20"/>
      <c r="O531" s="20"/>
      <c r="P531" s="20"/>
    </row>
    <row r="532">
      <c r="A532" s="97">
        <f>IFERROR(__xludf.DUMMYFUNCTION("""COMPUTED_VALUE"""),46124.0)</f>
        <v>46124</v>
      </c>
      <c r="B532" s="97" t="str">
        <f>IFERROR(__xludf.DUMMYFUNCTION("""COMPUTED_VALUE"""),"2604D061")</f>
        <v>2604D061</v>
      </c>
      <c r="C532" s="76" t="str">
        <f>IFERROR(__xludf.DUMMYFUNCTION("""COMPUTED_VALUE"""),"Dian Agustian Hadi")</f>
        <v>Dian Agustian Hadi</v>
      </c>
      <c r="D532" s="99" t="str">
        <f>IFERROR(__xludf.DUMMYFUNCTION("""COMPUTED_VALUE"""),"087778335988")</f>
        <v>087778335988</v>
      </c>
      <c r="E532" s="25" t="str">
        <f>IFERROR(__xludf.DUMMYFUNCTION("""COMPUTED_VALUE"""),"Website")</f>
        <v>Website</v>
      </c>
      <c r="F532" s="25" t="str">
        <f>IFERROR(__xludf.DUMMYFUNCTION("""COMPUTED_VALUE"""),"Gagal")</f>
        <v>Gagal</v>
      </c>
      <c r="G532" s="25" t="str">
        <f>IFERROR(__xludf.DUMMYFUNCTION("""COMPUTED_VALUE"""),"4H3M ")</f>
        <v>4H3M </v>
      </c>
      <c r="H532" s="92">
        <f>IFERROR(__xludf.DUMMYFUNCTION("""COMPUTED_VALUE"""),46142.0)</f>
        <v>46142</v>
      </c>
      <c r="I532" s="80">
        <f>IFERROR(__xludf.DUMMYFUNCTION("""COMPUTED_VALUE"""),5.0)</f>
        <v>5</v>
      </c>
      <c r="J532" s="93"/>
      <c r="K532" s="19" t="str">
        <f>IFERROR(__xludf.DUMMYFUNCTION("""COMPUTED_VALUE"""),"gajadiiii")</f>
        <v>gajadiiii</v>
      </c>
      <c r="L532" s="100" t="str">
        <f>IFERROR(__xludf.DUMMYFUNCTION("""COMPUTED_VALUE"""),"https://docs.google.com/document/d/1LVgVHmvL3aOZv38iKHSXcmb7s0pERBN2N5X4Y7qLvXA/edit?tab=t.0")</f>
        <v>https://docs.google.com/document/d/1LVgVHmvL3aOZv38iKHSXcmb7s0pERBN2N5X4Y7qLvXA/edit?tab=t.0</v>
      </c>
      <c r="M532" s="20"/>
      <c r="N532" s="20"/>
      <c r="O532" s="20"/>
      <c r="P532" s="20"/>
    </row>
    <row r="533">
      <c r="A533" s="110">
        <f>IFERROR(__xludf.DUMMYFUNCTION("""COMPUTED_VALUE"""),46124.0)</f>
        <v>46124</v>
      </c>
      <c r="B533" s="110" t="str">
        <f>IFERROR(__xludf.DUMMYFUNCTION("""COMPUTED_VALUE"""),"2604D062")</f>
        <v>2604D062</v>
      </c>
      <c r="C533" s="49" t="str">
        <f>IFERROR(__xludf.DUMMYFUNCTION("""COMPUTED_VALUE"""),"Awinda Dyah Paraswati")</f>
        <v>Awinda Dyah Paraswati</v>
      </c>
      <c r="D533" s="102" t="str">
        <f>IFERROR(__xludf.DUMMYFUNCTION("""COMPUTED_VALUE"""),"081334443328")</f>
        <v>081334443328</v>
      </c>
      <c r="E533" s="25" t="str">
        <f>IFERROR(__xludf.DUMMYFUNCTION("""COMPUTED_VALUE"""),"Lainnya")</f>
        <v>Lainnya</v>
      </c>
      <c r="F533" s="25" t="str">
        <f>IFERROR(__xludf.DUMMYFUNCTION("""COMPUTED_VALUE"""),"Qualified")</f>
        <v>Qualified</v>
      </c>
      <c r="G533" s="25" t="str">
        <f>IFERROR(__xludf.DUMMYFUNCTION("""COMPUTED_VALUE"""),"private trip ijen baluran")</f>
        <v>private trip ijen baluran</v>
      </c>
      <c r="H533" s="26"/>
      <c r="I533" s="27">
        <f>IFERROR(__xludf.DUMMYFUNCTION("""COMPUTED_VALUE"""),2.0)</f>
        <v>2</v>
      </c>
      <c r="J533" s="33">
        <f>IFERROR(__xludf.DUMMYFUNCTION("""COMPUTED_VALUE"""),1960000.0)</f>
        <v>1960000</v>
      </c>
      <c r="K533" s="30" t="str">
        <f>IFERROR(__xludf.DUMMYFUNCTION("""COMPUTED_VALUE"""),"memastikan jadwal dulu, minta di FU lagi 5 Juli")</f>
        <v>memastikan jadwal dulu, minta di FU lagi 5 Juli</v>
      </c>
      <c r="L533" s="81" t="str">
        <f>IFERROR(__xludf.DUMMYFUNCTION("""COMPUTED_VALUE"""),"https://docs.google.com/document/d/1xVbH47ibZ9li1jq8nP-jxwgBDVPbB6K58Z0g10KOPr8/edit?tab=t.0")</f>
        <v>https://docs.google.com/document/d/1xVbH47ibZ9li1jq8nP-jxwgBDVPbB6K58Z0g10KOPr8/edit?tab=t.0</v>
      </c>
      <c r="M533" s="20"/>
      <c r="N533" s="20"/>
      <c r="O533" s="20"/>
      <c r="P533" s="20"/>
    </row>
    <row r="534">
      <c r="A534" s="97">
        <f>IFERROR(__xludf.DUMMYFUNCTION("""COMPUTED_VALUE"""),46124.0)</f>
        <v>46124</v>
      </c>
      <c r="B534" s="97" t="str">
        <f>IFERROR(__xludf.DUMMYFUNCTION("""COMPUTED_VALUE"""),"2604D063")</f>
        <v>2604D063</v>
      </c>
      <c r="C534" s="76" t="str">
        <f>IFERROR(__xludf.DUMMYFUNCTION("""COMPUTED_VALUE"""),"Haryandabagus")</f>
        <v>Haryandabagus</v>
      </c>
      <c r="D534" s="99" t="str">
        <f>IFERROR(__xludf.DUMMYFUNCTION("""COMPUTED_VALUE"""),"085258584658")</f>
        <v>085258584658</v>
      </c>
      <c r="E534" s="25" t="str">
        <f>IFERROR(__xludf.DUMMYFUNCTION("""COMPUTED_VALUE"""),"Instagram")</f>
        <v>Instagram</v>
      </c>
      <c r="F534" s="25" t="str">
        <f>IFERROR(__xludf.DUMMYFUNCTION("""COMPUTED_VALUE"""),"Gagal")</f>
        <v>Gagal</v>
      </c>
      <c r="G534" s="25" t="str">
        <f>IFERROR(__xludf.DUMMYFUNCTION("""COMPUTED_VALUE"""),"2h1m custome")</f>
        <v>2h1m custome</v>
      </c>
      <c r="H534" s="92">
        <f>IFERROR(__xludf.DUMMYFUNCTION("""COMPUTED_VALUE"""),46127.0)</f>
        <v>46127</v>
      </c>
      <c r="I534" s="80">
        <f>IFERROR(__xludf.DUMMYFUNCTION("""COMPUTED_VALUE"""),4.0)</f>
        <v>4</v>
      </c>
      <c r="J534" s="93">
        <f>IFERROR(__xludf.DUMMYFUNCTION("""COMPUTED_VALUE"""),4600000.0)</f>
        <v>4600000</v>
      </c>
      <c r="K534" s="46" t="str">
        <f>IFERROR(__xludf.DUMMYFUNCTION("""COMPUTED_VALUE"""),"lewat tanggal, di FU tidak balas")</f>
        <v>lewat tanggal, di FU tidak balas</v>
      </c>
      <c r="L534" s="76"/>
      <c r="M534" s="20"/>
      <c r="N534" s="20"/>
      <c r="O534" s="20"/>
      <c r="P534" s="20"/>
    </row>
    <row r="535">
      <c r="A535" s="110">
        <f>IFERROR(__xludf.DUMMYFUNCTION("""COMPUTED_VALUE"""),46125.0)</f>
        <v>46125</v>
      </c>
      <c r="B535" s="110" t="str">
        <f>IFERROR(__xludf.DUMMYFUNCTION("""COMPUTED_VALUE"""),"2604D064")</f>
        <v>2604D064</v>
      </c>
      <c r="C535" s="49" t="str">
        <f>IFERROR(__xludf.DUMMYFUNCTION("""COMPUTED_VALUE"""),"Karina Wiyanda ")</f>
        <v>Karina Wiyanda </v>
      </c>
      <c r="D535" s="102" t="str">
        <f>IFERROR(__xludf.DUMMYFUNCTION("""COMPUTED_VALUE"""),"081226153369")</f>
        <v>081226153369</v>
      </c>
      <c r="E535" s="25" t="str">
        <f>IFERROR(__xludf.DUMMYFUNCTION("""COMPUTED_VALUE"""),"Website")</f>
        <v>Website</v>
      </c>
      <c r="F535" s="25" t="str">
        <f>IFERROR(__xludf.DUMMYFUNCTION("""COMPUTED_VALUE"""),"Qualified")</f>
        <v>Qualified</v>
      </c>
      <c r="G535" s="25" t="str">
        <f>IFERROR(__xludf.DUMMYFUNCTION("""COMPUTED_VALUE"""),"1 day Ijen, Djawatan")</f>
        <v>1 day Ijen, Djawatan</v>
      </c>
      <c r="H535" s="78"/>
      <c r="I535" s="89">
        <f>IFERROR(__xludf.DUMMYFUNCTION("""COMPUTED_VALUE"""),3.0)</f>
        <v>3</v>
      </c>
      <c r="J535" s="96">
        <f>IFERROR(__xludf.DUMMYFUNCTION("""COMPUTED_VALUE"""),2067000.0)</f>
        <v>2067000</v>
      </c>
      <c r="K535" s="30" t="str">
        <f>IFERROR(__xludf.DUMMYFUNCTION("""COMPUTED_VALUE"""),"FU lagi 4 Juni")</f>
        <v>FU lagi 4 Juni</v>
      </c>
      <c r="L535" s="88" t="str">
        <f>IFERROR(__xludf.DUMMYFUNCTION("""COMPUTED_VALUE"""),"https://docs.google.com/document/d/1Jb5ymGjxU3kv79KarXQZYoP7hpF7VeAki-qGiuF0b8o/edit?tab=t.0")</f>
        <v>https://docs.google.com/document/d/1Jb5ymGjxU3kv79KarXQZYoP7hpF7VeAki-qGiuF0b8o/edit?tab=t.0</v>
      </c>
      <c r="M535" s="20"/>
      <c r="N535" s="20"/>
      <c r="O535" s="20"/>
      <c r="P535" s="20"/>
    </row>
    <row r="536">
      <c r="A536" s="97">
        <f>IFERROR(__xludf.DUMMYFUNCTION("""COMPUTED_VALUE"""),46125.0)</f>
        <v>46125</v>
      </c>
      <c r="B536" s="97" t="str">
        <f>IFERROR(__xludf.DUMMYFUNCTION("""COMPUTED_VALUE"""),"2604D065")</f>
        <v>2604D065</v>
      </c>
      <c r="C536" s="76" t="str">
        <f>IFERROR(__xludf.DUMMYFUNCTION("""COMPUTED_VALUE"""),"Ruben")</f>
        <v>Ruben</v>
      </c>
      <c r="D536" s="99" t="str">
        <f>IFERROR(__xludf.DUMMYFUNCTION("""COMPUTED_VALUE"""),"34647685658")</f>
        <v>34647685658</v>
      </c>
      <c r="E536" s="25" t="str">
        <f>IFERROR(__xludf.DUMMYFUNCTION("""COMPUTED_VALUE"""),"Instagram")</f>
        <v>Instagram</v>
      </c>
      <c r="F536" s="25" t="str">
        <f>IFERROR(__xludf.DUMMYFUNCTION("""COMPUTED_VALUE"""),"Leads Baru")</f>
        <v>Leads Baru</v>
      </c>
      <c r="G536" s="25"/>
      <c r="H536" s="16"/>
      <c r="I536" s="17">
        <f>IFERROR(__xludf.DUMMYFUNCTION("""COMPUTED_VALUE"""),2.0)</f>
        <v>2</v>
      </c>
      <c r="J536" s="93"/>
      <c r="K536" s="46" t="str">
        <f>IFERROR(__xludf.DUMMYFUNCTION("""COMPUTED_VALUE"""),"FU 10 Juni")</f>
        <v>FU 10 Juni</v>
      </c>
      <c r="L536" s="88" t="str">
        <f>IFERROR(__xludf.DUMMYFUNCTION("""COMPUTED_VALUE"""),"https://docs.google.com/document/d/1JSI182IsN0SjFEkKpXgdw47JPfdq9s9aMiw--Cmob1g/edit?tab=t.0")</f>
        <v>https://docs.google.com/document/d/1JSI182IsN0SjFEkKpXgdw47JPfdq9s9aMiw--Cmob1g/edit?tab=t.0</v>
      </c>
      <c r="M536" s="20"/>
      <c r="N536" s="20"/>
      <c r="O536" s="20"/>
      <c r="P536" s="20"/>
    </row>
    <row r="537">
      <c r="A537" s="110">
        <f>IFERROR(__xludf.DUMMYFUNCTION("""COMPUTED_VALUE"""),46125.0)</f>
        <v>46125</v>
      </c>
      <c r="B537" s="110" t="str">
        <f>IFERROR(__xludf.DUMMYFUNCTION("""COMPUTED_VALUE"""),"2604D066")</f>
        <v>2604D066</v>
      </c>
      <c r="C537" s="49" t="str">
        <f>IFERROR(__xludf.DUMMYFUNCTION("""COMPUTED_VALUE"""),"Widia")</f>
        <v>Widia</v>
      </c>
      <c r="D537" s="102" t="str">
        <f>IFERROR(__xludf.DUMMYFUNCTION("""COMPUTED_VALUE"""),"0895638969722")</f>
        <v>0895638969722</v>
      </c>
      <c r="E537" s="25" t="str">
        <f>IFERROR(__xludf.DUMMYFUNCTION("""COMPUTED_VALUE"""),"Instagram")</f>
        <v>Instagram</v>
      </c>
      <c r="F537" s="25" t="str">
        <f>IFERROR(__xludf.DUMMYFUNCTION("""COMPUTED_VALUE"""),"Leads Baru")</f>
        <v>Leads Baru</v>
      </c>
      <c r="G537" s="25" t="str">
        <f>IFERROR(__xludf.DUMMYFUNCTION("""COMPUTED_VALUE"""),"OT1 day D, AP")</f>
        <v>OT1 day D, AP</v>
      </c>
      <c r="H537" s="26">
        <f>IFERROR(__xludf.DUMMYFUNCTION("""COMPUTED_VALUE"""),46188.0)</f>
        <v>46188</v>
      </c>
      <c r="I537" s="89">
        <f>IFERROR(__xludf.DUMMYFUNCTION("""COMPUTED_VALUE"""),2.0)</f>
        <v>2</v>
      </c>
      <c r="J537" s="33"/>
      <c r="K537" s="30" t="str">
        <f>IFERROR(__xludf.DUMMYFUNCTION("""COMPUTED_VALUE"""),"belum balas lagi, FU 3 Juni")</f>
        <v>belum balas lagi, FU 3 Juni</v>
      </c>
      <c r="L537" s="81" t="str">
        <f>IFERROR(__xludf.DUMMYFUNCTION("""COMPUTED_VALUE"""),"https://docs.google.com/document/d/17wJKrF-qMTsQxVnpPPLODqvJrzsIbF7SqjjwgrUQd90/edit?tab=t.0")</f>
        <v>https://docs.google.com/document/d/17wJKrF-qMTsQxVnpPPLODqvJrzsIbF7SqjjwgrUQd90/edit?tab=t.0</v>
      </c>
      <c r="M537" s="20"/>
      <c r="N537" s="20"/>
      <c r="O537" s="20"/>
      <c r="P537" s="20"/>
    </row>
    <row r="538">
      <c r="A538" s="97">
        <f>IFERROR(__xludf.DUMMYFUNCTION("""COMPUTED_VALUE"""),46125.0)</f>
        <v>46125</v>
      </c>
      <c r="B538" s="97" t="str">
        <f>IFERROR(__xludf.DUMMYFUNCTION("""COMPUTED_VALUE"""),"2604D067")</f>
        <v>2604D067</v>
      </c>
      <c r="C538" s="76" t="str">
        <f>IFERROR(__xludf.DUMMYFUNCTION("""COMPUTED_VALUE"""),"Wanti")</f>
        <v>Wanti</v>
      </c>
      <c r="D538" s="99" t="str">
        <f>IFERROR(__xludf.DUMMYFUNCTION("""COMPUTED_VALUE"""),"081524136041")</f>
        <v>081524136041</v>
      </c>
      <c r="E538" s="25" t="str">
        <f>IFERROR(__xludf.DUMMYFUNCTION("""COMPUTED_VALUE"""),"Lainnya")</f>
        <v>Lainnya</v>
      </c>
      <c r="F538" s="25" t="str">
        <f>IFERROR(__xludf.DUMMYFUNCTION("""COMPUTED_VALUE"""),"Leads Baru")</f>
        <v>Leads Baru</v>
      </c>
      <c r="G538" s="25" t="str">
        <f>IFERROR(__xludf.DUMMYFUNCTION("""COMPUTED_VALUE"""),"3H2M")</f>
        <v>3H2M</v>
      </c>
      <c r="H538" s="92"/>
      <c r="I538" s="80">
        <f>IFERROR(__xludf.DUMMYFUNCTION("""COMPUTED_VALUE"""),2.0)</f>
        <v>2</v>
      </c>
      <c r="J538" s="93"/>
      <c r="K538" s="46" t="str">
        <f>IFERROR(__xludf.DUMMYFUNCTION("""COMPUTED_VALUE"""),"FU 2 Juni")</f>
        <v>FU 2 Juni</v>
      </c>
      <c r="L538" s="88" t="str">
        <f>IFERROR(__xludf.DUMMYFUNCTION("""COMPUTED_VALUE"""),"https://docs.google.com/document/d/1IkCwwX8gwQKwgozKKGhEbDbVIrqIZ2qZt5Njy0mLe2A/edit?tab=t.0")</f>
        <v>https://docs.google.com/document/d/1IkCwwX8gwQKwgozKKGhEbDbVIrqIZ2qZt5Njy0mLe2A/edit?tab=t.0</v>
      </c>
      <c r="M538" s="20"/>
      <c r="N538" s="20"/>
      <c r="O538" s="20"/>
      <c r="P538" s="20"/>
    </row>
    <row r="539">
      <c r="A539" s="110">
        <f>IFERROR(__xludf.DUMMYFUNCTION("""COMPUTED_VALUE"""),46125.0)</f>
        <v>46125</v>
      </c>
      <c r="B539" s="110" t="str">
        <f>IFERROR(__xludf.DUMMYFUNCTION("""COMPUTED_VALUE"""),"2604D068")</f>
        <v>2604D068</v>
      </c>
      <c r="C539" s="49" t="str">
        <f>IFERROR(__xludf.DUMMYFUNCTION("""COMPUTED_VALUE"""),"Wrestiandini")</f>
        <v>Wrestiandini</v>
      </c>
      <c r="D539" s="102" t="str">
        <f>IFERROR(__xludf.DUMMYFUNCTION("""COMPUTED_VALUE"""),"081776440965")</f>
        <v>081776440965</v>
      </c>
      <c r="E539" s="25" t="str">
        <f>IFERROR(__xludf.DUMMYFUNCTION("""COMPUTED_VALUE"""),"Instagram")</f>
        <v>Instagram</v>
      </c>
      <c r="F539" s="25" t="str">
        <f>IFERROR(__xludf.DUMMYFUNCTION("""COMPUTED_VALUE"""),"Closing")</f>
        <v>Closing</v>
      </c>
      <c r="G539" s="25" t="str">
        <f>IFERROR(__xludf.DUMMYFUNCTION("""COMPUTED_VALUE"""),"2h1m custome")</f>
        <v>2h1m custome</v>
      </c>
      <c r="H539" s="78">
        <f>IFERROR(__xludf.DUMMYFUNCTION("""COMPUTED_VALUE"""),46127.0)</f>
        <v>46127</v>
      </c>
      <c r="I539" s="89">
        <f>IFERROR(__xludf.DUMMYFUNCTION("""COMPUTED_VALUE"""),4.0)</f>
        <v>4</v>
      </c>
      <c r="J539" s="96">
        <f>IFERROR(__xludf.DUMMYFUNCTION("""COMPUTED_VALUE"""),4900000.0)</f>
        <v>4900000</v>
      </c>
      <c r="K539" s="36" t="str">
        <f>IFERROR(__xludf.DUMMYFUNCTION("""COMPUTED_VALUE"""),"ORDERRR")</f>
        <v>ORDERRR</v>
      </c>
      <c r="L539" s="49"/>
      <c r="M539" s="20"/>
      <c r="N539" s="20"/>
      <c r="O539" s="20"/>
      <c r="P539" s="20"/>
    </row>
    <row r="540">
      <c r="A540" s="97">
        <f>IFERROR(__xludf.DUMMYFUNCTION("""COMPUTED_VALUE"""),46125.0)</f>
        <v>46125</v>
      </c>
      <c r="B540" s="97" t="str">
        <f>IFERROR(__xludf.DUMMYFUNCTION("""COMPUTED_VALUE"""),"2604D069")</f>
        <v>2604D069</v>
      </c>
      <c r="C540" s="76" t="str">
        <f>IFERROR(__xludf.DUMMYFUNCTION("""COMPUTED_VALUE"""),"Handoyo")</f>
        <v>Handoyo</v>
      </c>
      <c r="D540" s="99" t="str">
        <f>IFERROR(__xludf.DUMMYFUNCTION("""COMPUTED_VALUE"""),"0818334587")</f>
        <v>0818334587</v>
      </c>
      <c r="E540" s="25" t="str">
        <f>IFERROR(__xludf.DUMMYFUNCTION("""COMPUTED_VALUE"""),"Lainnya")</f>
        <v>Lainnya</v>
      </c>
      <c r="F540" s="25" t="str">
        <f>IFERROR(__xludf.DUMMYFUNCTION("""COMPUTED_VALUE"""),"Gagal")</f>
        <v>Gagal</v>
      </c>
      <c r="G540" s="25"/>
      <c r="H540" s="92"/>
      <c r="I540" s="80"/>
      <c r="J540" s="129"/>
      <c r="K540" s="19" t="str">
        <f>IFERROR(__xludf.DUMMYFUNCTION("""COMPUTED_VALUE"""),"di arahkan ke holiday, trip tumpak sewu ke bwi")</f>
        <v>di arahkan ke holiday, trip tumpak sewu ke bwi</v>
      </c>
      <c r="L540" s="76"/>
      <c r="M540" s="20"/>
      <c r="N540" s="20"/>
      <c r="O540" s="20"/>
      <c r="P540" s="20"/>
    </row>
    <row r="541">
      <c r="A541" s="110">
        <f>IFERROR(__xludf.DUMMYFUNCTION("""COMPUTED_VALUE"""),46125.0)</f>
        <v>46125</v>
      </c>
      <c r="B541" s="110" t="str">
        <f>IFERROR(__xludf.DUMMYFUNCTION("""COMPUTED_VALUE"""),"2604D070")</f>
        <v>2604D070</v>
      </c>
      <c r="C541" s="49" t="str">
        <f>IFERROR(__xludf.DUMMYFUNCTION("""COMPUTED_VALUE"""),"Arsha")</f>
        <v>Arsha</v>
      </c>
      <c r="D541" s="102" t="str">
        <f>IFERROR(__xludf.DUMMYFUNCTION("""COMPUTED_VALUE"""),"082242790799")</f>
        <v>082242790799</v>
      </c>
      <c r="E541" s="25" t="str">
        <f>IFERROR(__xludf.DUMMYFUNCTION("""COMPUTED_VALUE"""),"Instagram")</f>
        <v>Instagram</v>
      </c>
      <c r="F541" s="25" t="str">
        <f>IFERROR(__xludf.DUMMYFUNCTION("""COMPUTED_VALUE"""),"Leads Baru")</f>
        <v>Leads Baru</v>
      </c>
      <c r="G541" s="25" t="str">
        <f>IFERROR(__xludf.DUMMYFUNCTION("""COMPUTED_VALUE"""),"3h2m custome")</f>
        <v>3h2m custome</v>
      </c>
      <c r="H541" s="26"/>
      <c r="I541" s="27">
        <f>IFERROR(__xludf.DUMMYFUNCTION("""COMPUTED_VALUE"""),55.0)</f>
        <v>55</v>
      </c>
      <c r="J541" s="96">
        <f>IFERROR(__xludf.DUMMYFUNCTION("""COMPUTED_VALUE"""),7.8375E7)</f>
        <v>78375000</v>
      </c>
      <c r="K541" s="30" t="str">
        <f>IFERROR(__xludf.DUMMYFUNCTION("""COMPUTED_VALUE"""),"kasih penawaran, FU lagi 15 september")</f>
        <v>kasih penawaran, FU lagi 15 september</v>
      </c>
      <c r="L541" s="81" t="str">
        <f>IFERROR(__xludf.DUMMYFUNCTION("""COMPUTED_VALUE"""),"https://docs.google.com/document/d/1_T-CuLyo7nWjfkrZgrfHthCQnf3_5agttdRGdfiO-3M/edit?tab=t.0")</f>
        <v>https://docs.google.com/document/d/1_T-CuLyo7nWjfkrZgrfHthCQnf3_5agttdRGdfiO-3M/edit?tab=t.0</v>
      </c>
      <c r="M541" s="20"/>
      <c r="N541" s="20"/>
      <c r="O541" s="20"/>
      <c r="P541" s="20"/>
    </row>
    <row r="542">
      <c r="A542" s="97">
        <f>IFERROR(__xludf.DUMMYFUNCTION("""COMPUTED_VALUE"""),46125.0)</f>
        <v>46125</v>
      </c>
      <c r="B542" s="121" t="str">
        <f>IFERROR(__xludf.DUMMYFUNCTION("""COMPUTED_VALUE"""),"2604D071")</f>
        <v>2604D071</v>
      </c>
      <c r="C542" s="76" t="str">
        <f>IFERROR(__xludf.DUMMYFUNCTION("""COMPUTED_VALUE"""),"Joko Puthut")</f>
        <v>Joko Puthut</v>
      </c>
      <c r="D542" s="99" t="str">
        <f>IFERROR(__xludf.DUMMYFUNCTION("""COMPUTED_VALUE"""),"081390522766")</f>
        <v>081390522766</v>
      </c>
      <c r="E542" s="25" t="str">
        <f>IFERROR(__xludf.DUMMYFUNCTION("""COMPUTED_VALUE"""),"Website")</f>
        <v>Website</v>
      </c>
      <c r="F542" s="25" t="str">
        <f>IFERROR(__xludf.DUMMYFUNCTION("""COMPUTED_VALUE"""),"Gagal")</f>
        <v>Gagal</v>
      </c>
      <c r="G542" s="25" t="str">
        <f>IFERROR(__xludf.DUMMYFUNCTION("""COMPUTED_VALUE"""),"2H1M custome ")</f>
        <v>2H1M custome </v>
      </c>
      <c r="H542" s="92">
        <f>IFERROR(__xludf.DUMMYFUNCTION("""COMPUTED_VALUE"""),46156.0)</f>
        <v>46156</v>
      </c>
      <c r="I542" s="80">
        <f>IFERROR(__xludf.DUMMYFUNCTION("""COMPUTED_VALUE"""),10.0)</f>
        <v>10</v>
      </c>
      <c r="J542" s="93">
        <f>IFERROR(__xludf.DUMMYFUNCTION("""COMPUTED_VALUE"""),8950000.0)</f>
        <v>8950000</v>
      </c>
      <c r="K542" s="46" t="str">
        <f>IFERROR(__xludf.DUMMYFUNCTION("""COMPUTED_VALUE"""),"cancelll")</f>
        <v>cancelll</v>
      </c>
      <c r="L542" s="76"/>
      <c r="M542" s="20"/>
      <c r="N542" s="20"/>
      <c r="O542" s="20"/>
      <c r="P542" s="20"/>
    </row>
    <row r="543">
      <c r="A543" s="110">
        <f>IFERROR(__xludf.DUMMYFUNCTION("""COMPUTED_VALUE"""),46125.0)</f>
        <v>46125</v>
      </c>
      <c r="B543" s="110" t="str">
        <f>IFERROR(__xludf.DUMMYFUNCTION("""COMPUTED_VALUE"""),"2604D072")</f>
        <v>2604D072</v>
      </c>
      <c r="C543" s="49" t="str">
        <f>IFERROR(__xludf.DUMMYFUNCTION("""COMPUTED_VALUE"""),"Abby")</f>
        <v>Abby</v>
      </c>
      <c r="D543" s="102" t="str">
        <f>IFERROR(__xludf.DUMMYFUNCTION("""COMPUTED_VALUE"""),"085168888024")</f>
        <v>085168888024</v>
      </c>
      <c r="E543" s="25" t="str">
        <f>IFERROR(__xludf.DUMMYFUNCTION("""COMPUTED_VALUE"""),"Website")</f>
        <v>Website</v>
      </c>
      <c r="F543" s="25" t="str">
        <f>IFERROR(__xludf.DUMMYFUNCTION("""COMPUTED_VALUE"""),"Qualified")</f>
        <v>Qualified</v>
      </c>
      <c r="G543" s="25" t="str">
        <f>IFERROR(__xludf.DUMMYFUNCTION("""COMPUTED_VALUE"""),"3h2m cuatome")</f>
        <v>3h2m cuatome</v>
      </c>
      <c r="H543" s="78">
        <f>IFERROR(__xludf.DUMMYFUNCTION("""COMPUTED_VALUE"""),46256.0)</f>
        <v>46256</v>
      </c>
      <c r="I543" s="89">
        <f>IFERROR(__xludf.DUMMYFUNCTION("""COMPUTED_VALUE"""),10.0)</f>
        <v>10</v>
      </c>
      <c r="J543" s="96">
        <f>IFERROR(__xludf.DUMMYFUNCTION("""COMPUTED_VALUE"""),2.29E7)</f>
        <v>22900000</v>
      </c>
      <c r="K543" s="30" t="str">
        <f>IFERROR(__xludf.DUMMYFUNCTION("""COMPUTED_VALUE"""),"b2b, masih tawar menawar harga")</f>
        <v>b2b, masih tawar menawar harga</v>
      </c>
      <c r="L543" s="88" t="str">
        <f>IFERROR(__xludf.DUMMYFUNCTION("""COMPUTED_VALUE"""),"https://docs.google.com/document/d/1mRMP_d1RnyR2VFJVUfelYJSN1lvShuZ-6xa11YnGlWE/edit?tab=t.0")</f>
        <v>https://docs.google.com/document/d/1mRMP_d1RnyR2VFJVUfelYJSN1lvShuZ-6xa11YnGlWE/edit?tab=t.0</v>
      </c>
      <c r="M543" s="20"/>
      <c r="N543" s="20"/>
      <c r="O543" s="20"/>
      <c r="P543" s="20"/>
    </row>
    <row r="544">
      <c r="A544" s="97">
        <f>IFERROR(__xludf.DUMMYFUNCTION("""COMPUTED_VALUE"""),46126.0)</f>
        <v>46126</v>
      </c>
      <c r="B544" s="97" t="str">
        <f>IFERROR(__xludf.DUMMYFUNCTION("""COMPUTED_VALUE"""),"2604D073")</f>
        <v>2604D073</v>
      </c>
      <c r="C544" s="76" t="str">
        <f>IFERROR(__xludf.DUMMYFUNCTION("""COMPUTED_VALUE"""),"Ardiles")</f>
        <v>Ardiles</v>
      </c>
      <c r="D544" s="99" t="str">
        <f>IFERROR(__xludf.DUMMYFUNCTION("""COMPUTED_VALUE"""),"082225097929")</f>
        <v>082225097929</v>
      </c>
      <c r="E544" s="25" t="str">
        <f>IFERROR(__xludf.DUMMYFUNCTION("""COMPUTED_VALUE"""),"Lainnya")</f>
        <v>Lainnya</v>
      </c>
      <c r="F544" s="25" t="str">
        <f>IFERROR(__xludf.DUMMYFUNCTION("""COMPUTED_VALUE"""),"Closing")</f>
        <v>Closing</v>
      </c>
      <c r="G544" s="25" t="str">
        <f>IFERROR(__xludf.DUMMYFUNCTION("""COMPUTED_VALUE"""),"OT MT")</f>
        <v>OT MT</v>
      </c>
      <c r="H544" s="92">
        <f>IFERROR(__xludf.DUMMYFUNCTION("""COMPUTED_VALUE"""),46130.0)</f>
        <v>46130</v>
      </c>
      <c r="I544" s="80">
        <f>IFERROR(__xludf.DUMMYFUNCTION("""COMPUTED_VALUE"""),2.0)</f>
        <v>2</v>
      </c>
      <c r="J544" s="93">
        <f>IFERROR(__xludf.DUMMYFUNCTION("""COMPUTED_VALUE"""),590000.0)</f>
        <v>590000</v>
      </c>
      <c r="K544" s="19" t="str">
        <f>IFERROR(__xludf.DUMMYFUNCTION("""COMPUTED_VALUE"""),"orderr")</f>
        <v>orderr</v>
      </c>
      <c r="L544" s="76"/>
      <c r="M544" s="20"/>
      <c r="N544" s="20"/>
      <c r="O544" s="20"/>
      <c r="P544" s="20"/>
    </row>
    <row r="545">
      <c r="A545" s="110">
        <f>IFERROR(__xludf.DUMMYFUNCTION("""COMPUTED_VALUE"""),46126.0)</f>
        <v>46126</v>
      </c>
      <c r="B545" s="110" t="str">
        <f>IFERROR(__xludf.DUMMYFUNCTION("""COMPUTED_VALUE"""),"2604D074")</f>
        <v>2604D074</v>
      </c>
      <c r="C545" s="49" t="str">
        <f>IFERROR(__xludf.DUMMYFUNCTION("""COMPUTED_VALUE"""),"Farisfisio")</f>
        <v>Farisfisio</v>
      </c>
      <c r="D545" s="102" t="str">
        <f>IFERROR(__xludf.DUMMYFUNCTION("""COMPUTED_VALUE"""),"082337446500")</f>
        <v>082337446500</v>
      </c>
      <c r="E545" s="25" t="str">
        <f>IFERROR(__xludf.DUMMYFUNCTION("""COMPUTED_VALUE"""),"Website")</f>
        <v>Website</v>
      </c>
      <c r="F545" s="25" t="str">
        <f>IFERROR(__xludf.DUMMYFUNCTION("""COMPUTED_VALUE"""),"Gagal")</f>
        <v>Gagal</v>
      </c>
      <c r="G545" s="25" t="str">
        <f>IFERROR(__xludf.DUMMYFUNCTION("""COMPUTED_VALUE"""),"trip MT")</f>
        <v>trip MT</v>
      </c>
      <c r="H545" s="78">
        <f>IFERROR(__xludf.DUMMYFUNCTION("""COMPUTED_VALUE"""),46156.0)</f>
        <v>46156</v>
      </c>
      <c r="I545" s="89"/>
      <c r="J545" s="96">
        <f>IFERROR(__xludf.DUMMYFUNCTION("""COMPUTED_VALUE"""),1.264E7)</f>
        <v>12640000</v>
      </c>
      <c r="K545" s="30" t="str">
        <f>IFERROR(__xludf.DUMMYFUNCTION("""COMPUTED_VALUE"""),"GAGALL, belum jadi liburan")</f>
        <v>GAGALL, belum jadi liburan</v>
      </c>
      <c r="L545" s="81" t="str">
        <f>IFERROR(__xludf.DUMMYFUNCTION("""COMPUTED_VALUE"""),"https://docs.google.com/document/d/1jZ7F9RgOWG4qPDAe2UMQEpPAnSaL0Qv3FLIPtq1GsFc/edit?tab=t.0")</f>
        <v>https://docs.google.com/document/d/1jZ7F9RgOWG4qPDAe2UMQEpPAnSaL0Qv3FLIPtq1GsFc/edit?tab=t.0</v>
      </c>
      <c r="M545" s="20"/>
      <c r="N545" s="20"/>
      <c r="O545" s="20"/>
      <c r="P545" s="20"/>
    </row>
    <row r="546">
      <c r="A546" s="97">
        <f>IFERROR(__xludf.DUMMYFUNCTION("""COMPUTED_VALUE"""),46126.0)</f>
        <v>46126</v>
      </c>
      <c r="B546" s="97" t="str">
        <f>IFERROR(__xludf.DUMMYFUNCTION("""COMPUTED_VALUE"""),"2604D075")</f>
        <v>2604D075</v>
      </c>
      <c r="C546" s="76" t="str">
        <f>IFERROR(__xludf.DUMMYFUNCTION("""COMPUTED_VALUE"""),"Romi")</f>
        <v>Romi</v>
      </c>
      <c r="D546" s="99" t="str">
        <f>IFERROR(__xludf.DUMMYFUNCTION("""COMPUTED_VALUE"""),"08128880882")</f>
        <v>08128880882</v>
      </c>
      <c r="E546" s="25" t="str">
        <f>IFERROR(__xludf.DUMMYFUNCTION("""COMPUTED_VALUE"""),"Website")</f>
        <v>Website</v>
      </c>
      <c r="F546" s="25" t="str">
        <f>IFERROR(__xludf.DUMMYFUNCTION("""COMPUTED_VALUE"""),"Qualified")</f>
        <v>Qualified</v>
      </c>
      <c r="G546" s="25" t="str">
        <f>IFERROR(__xludf.DUMMYFUNCTION("""COMPUTED_VALUE"""),"3h2m opsi B")</f>
        <v>3h2m opsi B</v>
      </c>
      <c r="H546" s="16">
        <f>IFERROR(__xludf.DUMMYFUNCTION("""COMPUTED_VALUE"""),46196.0)</f>
        <v>46196</v>
      </c>
      <c r="I546" s="17">
        <f>IFERROR(__xludf.DUMMYFUNCTION("""COMPUTED_VALUE"""),4.0)</f>
        <v>4</v>
      </c>
      <c r="J546" s="54">
        <f>IFERROR(__xludf.DUMMYFUNCTION("""COMPUTED_VALUE"""),5040000.0)</f>
        <v>5040000</v>
      </c>
      <c r="K546" s="46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L546" s="88" t="str">
        <f>IFERROR(__xludf.DUMMYFUNCTION("""COMPUTED_VALUE"""),"https://docs.google.com/document/d/129WbEOC8OLCDbzY8FNFRP9eZLzrYIytMh5qd-ugrKeA/edit?tab=t.0")</f>
        <v>https://docs.google.com/document/d/129WbEOC8OLCDbzY8FNFRP9eZLzrYIytMh5qd-ugrKeA/edit?tab=t.0</v>
      </c>
      <c r="M546" s="20"/>
      <c r="N546" s="20"/>
      <c r="O546" s="20"/>
      <c r="P546" s="20"/>
    </row>
    <row r="547">
      <c r="A547" s="110">
        <f>IFERROR(__xludf.DUMMYFUNCTION("""COMPUTED_VALUE"""),46126.0)</f>
        <v>46126</v>
      </c>
      <c r="B547" s="110" t="str">
        <f>IFERROR(__xludf.DUMMYFUNCTION("""COMPUTED_VALUE"""),"2604D076")</f>
        <v>2604D076</v>
      </c>
      <c r="C547" s="49" t="str">
        <f>IFERROR(__xludf.DUMMYFUNCTION("""COMPUTED_VALUE"""),"Kiki")</f>
        <v>Kiki</v>
      </c>
      <c r="D547" s="102" t="str">
        <f>IFERROR(__xludf.DUMMYFUNCTION("""COMPUTED_VALUE"""),"081288110888")</f>
        <v>081288110888</v>
      </c>
      <c r="E547" s="25" t="str">
        <f>IFERROR(__xludf.DUMMYFUNCTION("""COMPUTED_VALUE"""),"Lainnya")</f>
        <v>Lainnya</v>
      </c>
      <c r="F547" s="25" t="str">
        <f>IFERROR(__xludf.DUMMYFUNCTION("""COMPUTED_VALUE"""),"Gagal")</f>
        <v>Gagal</v>
      </c>
      <c r="G547" s="25"/>
      <c r="H547" s="92"/>
      <c r="I547" s="89"/>
      <c r="J547" s="96"/>
      <c r="K547" s="36" t="str">
        <f>IFERROR(__xludf.DUMMYFUNCTION("""COMPUTED_VALUE"""),"di arahkan ke holiday, trip ke bromo")</f>
        <v>di arahkan ke holiday, trip ke bromo</v>
      </c>
      <c r="L547" s="49"/>
      <c r="M547" s="20"/>
      <c r="N547" s="20"/>
      <c r="O547" s="20"/>
      <c r="P547" s="20"/>
    </row>
    <row r="548">
      <c r="A548" s="97">
        <f>IFERROR(__xludf.DUMMYFUNCTION("""COMPUTED_VALUE"""),46126.0)</f>
        <v>46126</v>
      </c>
      <c r="B548" s="97" t="str">
        <f>IFERROR(__xludf.DUMMYFUNCTION("""COMPUTED_VALUE"""),"2604D077")</f>
        <v>2604D077</v>
      </c>
      <c r="C548" s="76" t="str">
        <f>IFERROR(__xludf.DUMMYFUNCTION("""COMPUTED_VALUE"""),"Agung")</f>
        <v>Agung</v>
      </c>
      <c r="D548" s="99" t="str">
        <f>IFERROR(__xludf.DUMMYFUNCTION("""COMPUTED_VALUE"""),"08123838113")</f>
        <v>08123838113</v>
      </c>
      <c r="E548" s="25" t="str">
        <f>IFERROR(__xludf.DUMMYFUNCTION("""COMPUTED_VALUE"""),"Website")</f>
        <v>Website</v>
      </c>
      <c r="F548" s="25" t="str">
        <f>IFERROR(__xludf.DUMMYFUNCTION("""COMPUTED_VALUE"""),"Gagal")</f>
        <v>Gagal</v>
      </c>
      <c r="G548" s="25"/>
      <c r="H548" s="92"/>
      <c r="I548" s="80"/>
      <c r="J548" s="93"/>
      <c r="K548" s="46" t="str">
        <f>IFERROR(__xludf.DUMMYFUNCTION("""COMPUTED_VALUE"""),"gagall")</f>
        <v>gagall</v>
      </c>
      <c r="L548" s="76"/>
      <c r="M548" s="20"/>
      <c r="N548" s="20"/>
      <c r="O548" s="20"/>
      <c r="P548" s="20"/>
    </row>
    <row r="549">
      <c r="A549" s="97">
        <f>IFERROR(__xludf.DUMMYFUNCTION("""COMPUTED_VALUE"""),46127.0)</f>
        <v>46127</v>
      </c>
      <c r="B549" s="97" t="str">
        <f>IFERROR(__xludf.DUMMYFUNCTION("""COMPUTED_VALUE"""),"2604D078")</f>
        <v>2604D078</v>
      </c>
      <c r="C549" s="76" t="str">
        <f>IFERROR(__xludf.DUMMYFUNCTION("""COMPUTED_VALUE"""),"Ida Farida")</f>
        <v>Ida Farida</v>
      </c>
      <c r="D549" s="99" t="str">
        <f>IFERROR(__xludf.DUMMYFUNCTION("""COMPUTED_VALUE"""),"081809548297")</f>
        <v>081809548297</v>
      </c>
      <c r="E549" s="25" t="str">
        <f>IFERROR(__xludf.DUMMYFUNCTION("""COMPUTED_VALUE"""),"Lainnya")</f>
        <v>Lainnya</v>
      </c>
      <c r="F549" s="25" t="str">
        <f>IFERROR(__xludf.DUMMYFUNCTION("""COMPUTED_VALUE"""),"Closing")</f>
        <v>Closing</v>
      </c>
      <c r="G549" s="25" t="str">
        <f>IFERROR(__xludf.DUMMYFUNCTION("""COMPUTED_VALUE"""),"2h1m custome")</f>
        <v>2h1m custome</v>
      </c>
      <c r="H549" s="92"/>
      <c r="I549" s="80">
        <f>IFERROR(__xludf.DUMMYFUNCTION("""COMPUTED_VALUE"""),5.0)</f>
        <v>5</v>
      </c>
      <c r="J549" s="93"/>
      <c r="K549" s="46" t="str">
        <f>IFERROR(__xludf.DUMMYFUNCTION("""COMPUTED_VALUE"""),"orderrrrrr")</f>
        <v>orderrrrrr</v>
      </c>
      <c r="L549" s="76"/>
      <c r="M549" s="20"/>
      <c r="N549" s="20"/>
      <c r="O549" s="20"/>
      <c r="P549" s="20"/>
    </row>
    <row r="550">
      <c r="A550" s="110">
        <f>IFERROR(__xludf.DUMMYFUNCTION("""COMPUTED_VALUE"""),46127.0)</f>
        <v>46127</v>
      </c>
      <c r="B550" s="110" t="str">
        <f>IFERROR(__xludf.DUMMYFUNCTION("""COMPUTED_VALUE"""),"2604D079")</f>
        <v>2604D079</v>
      </c>
      <c r="C550" s="49" t="str">
        <f>IFERROR(__xludf.DUMMYFUNCTION("""COMPUTED_VALUE"""),"Aisyiah Budi Utami")</f>
        <v>Aisyiah Budi Utami</v>
      </c>
      <c r="D550" s="102" t="str">
        <f>IFERROR(__xludf.DUMMYFUNCTION("""COMPUTED_VALUE"""),"088295110961")</f>
        <v>088295110961</v>
      </c>
      <c r="E550" s="25" t="str">
        <f>IFERROR(__xludf.DUMMYFUNCTION("""COMPUTED_VALUE"""),"Instagram")</f>
        <v>Instagram</v>
      </c>
      <c r="F550" s="25" t="str">
        <f>IFERROR(__xludf.DUMMYFUNCTION("""COMPUTED_VALUE"""),"Gagal")</f>
        <v>Gagal</v>
      </c>
      <c r="G550" s="25" t="str">
        <f>IFERROR(__xludf.DUMMYFUNCTION("""COMPUTED_VALUE"""),"3h2m opsi A")</f>
        <v>3h2m opsi A</v>
      </c>
      <c r="H550" s="78"/>
      <c r="I550" s="89"/>
      <c r="J550" s="96"/>
      <c r="K550" s="30" t="str">
        <f>IFERROR(__xludf.DUMMYFUNCTION("""COMPUTED_VALUE"""),"lewat tanggal, sudah fu tidak balas")</f>
        <v>lewat tanggal, sudah fu tidak balas</v>
      </c>
      <c r="L550" s="81" t="str">
        <f>IFERROR(__xludf.DUMMYFUNCTION("""COMPUTED_VALUE"""),"https://docs.google.com/document/d/1ZhoIvxIjB_eJ38d8xAFAPMwbQ2uWAO5aJzvuBLw2L3s/edit?tab=t.0")</f>
        <v>https://docs.google.com/document/d/1ZhoIvxIjB_eJ38d8xAFAPMwbQ2uWAO5aJzvuBLw2L3s/edit?tab=t.0</v>
      </c>
      <c r="M550" s="20"/>
      <c r="N550" s="20"/>
      <c r="O550" s="20"/>
      <c r="P550" s="20"/>
    </row>
    <row r="551">
      <c r="A551" s="110">
        <f>IFERROR(__xludf.DUMMYFUNCTION("""COMPUTED_VALUE"""),46127.0)</f>
        <v>46127</v>
      </c>
      <c r="B551" s="110" t="str">
        <f>IFERROR(__xludf.DUMMYFUNCTION("""COMPUTED_VALUE"""),"2604D080")</f>
        <v>2604D080</v>
      </c>
      <c r="C551" s="49" t="str">
        <f>IFERROR(__xludf.DUMMYFUNCTION("""COMPUTED_VALUE"""),"alfarizi shop")</f>
        <v>alfarizi shop</v>
      </c>
      <c r="D551" s="102" t="str">
        <f>IFERROR(__xludf.DUMMYFUNCTION("""COMPUTED_VALUE"""),"085640511280")</f>
        <v>085640511280</v>
      </c>
      <c r="E551" s="25" t="str">
        <f>IFERROR(__xludf.DUMMYFUNCTION("""COMPUTED_VALUE"""),"Website")</f>
        <v>Website</v>
      </c>
      <c r="F551" s="25" t="str">
        <f>IFERROR(__xludf.DUMMYFUNCTION("""COMPUTED_VALUE"""),"Gagal")</f>
        <v>Gagal</v>
      </c>
      <c r="G551" s="25"/>
      <c r="H551" s="78"/>
      <c r="I551" s="89"/>
      <c r="J551" s="96"/>
      <c r="K551" s="30" t="str">
        <f>IFERROR(__xludf.DUMMYFUNCTION("""COMPUTED_VALUE"""),"iseng chat, dapet info kao bwi baguss")</f>
        <v>iseng chat, dapet info kao bwi baguss</v>
      </c>
      <c r="L551" s="81" t="str">
        <f>IFERROR(__xludf.DUMMYFUNCTION("""COMPUTED_VALUE"""),"https://docs.google.com/document/d/1DajiEyv3RzKPi--cxeF9R-JUw38NWnODJO6LC4rSlzY/edit?tab=t.0")</f>
        <v>https://docs.google.com/document/d/1DajiEyv3RzKPi--cxeF9R-JUw38NWnODJO6LC4rSlzY/edit?tab=t.0</v>
      </c>
      <c r="M551" s="20"/>
      <c r="N551" s="20"/>
      <c r="O551" s="20"/>
      <c r="P551" s="20"/>
    </row>
    <row r="552">
      <c r="A552" s="97">
        <f>IFERROR(__xludf.DUMMYFUNCTION("""COMPUTED_VALUE"""),46127.0)</f>
        <v>46127</v>
      </c>
      <c r="B552" s="97" t="str">
        <f>IFERROR(__xludf.DUMMYFUNCTION("""COMPUTED_VALUE"""),"2604D081")</f>
        <v>2604D081</v>
      </c>
      <c r="C552" s="76" t="str">
        <f>IFERROR(__xludf.DUMMYFUNCTION("""COMPUTED_VALUE"""),"Parahita")</f>
        <v>Parahita</v>
      </c>
      <c r="D552" s="99" t="str">
        <f>IFERROR(__xludf.DUMMYFUNCTION("""COMPUTED_VALUE"""),"087732026218")</f>
        <v>087732026218</v>
      </c>
      <c r="E552" s="25" t="str">
        <f>IFERROR(__xludf.DUMMYFUNCTION("""COMPUTED_VALUE"""),"Lainnya")</f>
        <v>Lainnya</v>
      </c>
      <c r="F552" s="25" t="str">
        <f>IFERROR(__xludf.DUMMYFUNCTION("""COMPUTED_VALUE"""),"Gagal")</f>
        <v>Gagal</v>
      </c>
      <c r="G552" s="25"/>
      <c r="H552" s="92"/>
      <c r="I552" s="80"/>
      <c r="J552" s="93"/>
      <c r="K552" s="46" t="str">
        <f>IFERROR(__xludf.DUMMYFUNCTION("""COMPUTED_VALUE"""),"tidak balasss")</f>
        <v>tidak balasss</v>
      </c>
      <c r="L552" s="88" t="str">
        <f>IFERROR(__xludf.DUMMYFUNCTION("""COMPUTED_VALUE"""),"https://docs.google.com/document/d/15jo4z9eGQ_POaKdkaQxLjO8JvdJGQn7XwEVM2jQ99j8/edit?tab=t.0")</f>
        <v>https://docs.google.com/document/d/15jo4z9eGQ_POaKdkaQxLjO8JvdJGQn7XwEVM2jQ99j8/edit?tab=t.0</v>
      </c>
      <c r="M552" s="20"/>
      <c r="N552" s="20"/>
      <c r="O552" s="20"/>
      <c r="P552" s="20"/>
    </row>
    <row r="553">
      <c r="A553" s="110">
        <f>IFERROR(__xludf.DUMMYFUNCTION("""COMPUTED_VALUE"""),46128.0)</f>
        <v>46128</v>
      </c>
      <c r="B553" s="110" t="str">
        <f>IFERROR(__xludf.DUMMYFUNCTION("""COMPUTED_VALUE"""),"2604D082")</f>
        <v>2604D082</v>
      </c>
      <c r="C553" s="49" t="str">
        <f>IFERROR(__xludf.DUMMYFUNCTION("""COMPUTED_VALUE"""),"Nadia")</f>
        <v>Nadia</v>
      </c>
      <c r="D553" s="102" t="str">
        <f>IFERROR(__xludf.DUMMYFUNCTION("""COMPUTED_VALUE"""),"081357132150")</f>
        <v>081357132150</v>
      </c>
      <c r="E553" s="25" t="str">
        <f>IFERROR(__xludf.DUMMYFUNCTION("""COMPUTED_VALUE"""),"Instagram")</f>
        <v>Instagram</v>
      </c>
      <c r="F553" s="25" t="str">
        <f>IFERROR(__xludf.DUMMYFUNCTION("""COMPUTED_VALUE"""),"Gagal")</f>
        <v>Gagal</v>
      </c>
      <c r="G553" s="25" t="str">
        <f>IFERROR(__xludf.DUMMYFUNCTION("""COMPUTED_VALUE"""),"OT baluran")</f>
        <v>OT baluran</v>
      </c>
      <c r="H553" s="78">
        <f>IFERROR(__xludf.DUMMYFUNCTION("""COMPUTED_VALUE"""),46138.0)</f>
        <v>46138</v>
      </c>
      <c r="I553" s="89">
        <f>IFERROR(__xludf.DUMMYFUNCTION("""COMPUTED_VALUE"""),2.0)</f>
        <v>2</v>
      </c>
      <c r="J553" s="96"/>
      <c r="K553" s="30" t="str">
        <f>IFERROR(__xludf.DUMMYFUNCTION("""COMPUTED_VALUE"""),"gagalll, sudah FU di read ajaaa")</f>
        <v>gagalll, sudah FU di read ajaaa</v>
      </c>
      <c r="L553" s="81" t="str">
        <f>IFERROR(__xludf.DUMMYFUNCTION("""COMPUTED_VALUE"""),"https://docs.google.com/document/d/10ltkeh-LVI5NcGltJU3_TOe79x99pr9L4JJuLZhHKQc/edit?tab=t.0")</f>
        <v>https://docs.google.com/document/d/10ltkeh-LVI5NcGltJU3_TOe79x99pr9L4JJuLZhHKQc/edit?tab=t.0</v>
      </c>
      <c r="M553" s="20"/>
      <c r="N553" s="20"/>
      <c r="O553" s="20"/>
      <c r="P553" s="20"/>
    </row>
    <row r="554">
      <c r="A554" s="97">
        <f>IFERROR(__xludf.DUMMYFUNCTION("""COMPUTED_VALUE"""),46128.0)</f>
        <v>46128</v>
      </c>
      <c r="B554" s="97" t="str">
        <f>IFERROR(__xludf.DUMMYFUNCTION("""COMPUTED_VALUE"""),"2604D083")</f>
        <v>2604D083</v>
      </c>
      <c r="C554" s="76" t="str">
        <f>IFERROR(__xludf.DUMMYFUNCTION("""COMPUTED_VALUE"""),"Aldo")</f>
        <v>Aldo</v>
      </c>
      <c r="D554" s="99" t="str">
        <f>IFERROR(__xludf.DUMMYFUNCTION("""COMPUTED_VALUE"""),"08179114506")</f>
        <v>08179114506</v>
      </c>
      <c r="E554" s="25" t="str">
        <f>IFERROR(__xludf.DUMMYFUNCTION("""COMPUTED_VALUE"""),"Lainnya")</f>
        <v>Lainnya</v>
      </c>
      <c r="F554" s="25" t="str">
        <f>IFERROR(__xludf.DUMMYFUNCTION("""COMPUTED_VALUE"""),"Gagal")</f>
        <v>Gagal</v>
      </c>
      <c r="G554" s="25" t="str">
        <f>IFERROR(__xludf.DUMMYFUNCTION("""COMPUTED_VALUE"""),"4h3m ")</f>
        <v>4h3m </v>
      </c>
      <c r="H554" s="92"/>
      <c r="I554" s="17">
        <f>IFERROR(__xludf.DUMMYFUNCTION("""COMPUTED_VALUE"""),150.0)</f>
        <v>150</v>
      </c>
      <c r="J554" s="54"/>
      <c r="K554" s="46" t="str">
        <f>IFERROR(__xludf.DUMMYFUNCTION("""COMPUTED_VALUE"""),"tamu belum jadii")</f>
        <v>tamu belum jadii</v>
      </c>
      <c r="L554" s="88" t="str">
        <f>IFERROR(__xludf.DUMMYFUNCTION("""COMPUTED_VALUE"""),"https://docs.google.com/document/d/1WHVGc6pXr_NA5e8bnKxYIiD6YaWvqASNC8gVt1j0ALs/edit?tab=t.0")</f>
        <v>https://docs.google.com/document/d/1WHVGc6pXr_NA5e8bnKxYIiD6YaWvqASNC8gVt1j0ALs/edit?tab=t.0</v>
      </c>
      <c r="M554" s="20"/>
      <c r="N554" s="20"/>
      <c r="O554" s="20"/>
      <c r="P554" s="20"/>
    </row>
    <row r="555">
      <c r="A555" s="110">
        <f>IFERROR(__xludf.DUMMYFUNCTION("""COMPUTED_VALUE"""),46127.0)</f>
        <v>46127</v>
      </c>
      <c r="B555" s="110" t="str">
        <f>IFERROR(__xludf.DUMMYFUNCTION("""COMPUTED_VALUE"""),"2604D084")</f>
        <v>2604D084</v>
      </c>
      <c r="C555" s="49" t="str">
        <f>IFERROR(__xludf.DUMMYFUNCTION("""COMPUTED_VALUE"""),"iwatmasud")</f>
        <v>iwatmasud</v>
      </c>
      <c r="D555" s="102" t="str">
        <f>IFERROR(__xludf.DUMMYFUNCTION("""COMPUTED_VALUE"""),"081774174123")</f>
        <v>081774174123</v>
      </c>
      <c r="E555" s="25" t="str">
        <f>IFERROR(__xludf.DUMMYFUNCTION("""COMPUTED_VALUE"""),"Instagram")</f>
        <v>Instagram</v>
      </c>
      <c r="F555" s="25" t="str">
        <f>IFERROR(__xludf.DUMMYFUNCTION("""COMPUTED_VALUE"""),"Gagal")</f>
        <v>Gagal</v>
      </c>
      <c r="G555" s="25"/>
      <c r="H555" s="78"/>
      <c r="I555" s="89"/>
      <c r="J555" s="96"/>
      <c r="K555" s="30" t="str">
        <f>IFERROR(__xludf.DUMMYFUNCTION("""COMPUTED_VALUE"""),"di arahkan ke holiday")</f>
        <v>di arahkan ke holiday</v>
      </c>
      <c r="L555" s="49"/>
      <c r="M555" s="20"/>
      <c r="N555" s="20"/>
      <c r="O555" s="20"/>
      <c r="P555" s="20"/>
    </row>
    <row r="556">
      <c r="A556" s="97">
        <f>IFERROR(__xludf.DUMMYFUNCTION("""COMPUTED_VALUE"""),46128.0)</f>
        <v>46128</v>
      </c>
      <c r="B556" s="133" t="str">
        <f>IFERROR(__xludf.DUMMYFUNCTION("""COMPUTED_VALUE"""),"2604D085")</f>
        <v>2604D085</v>
      </c>
      <c r="C556" s="76" t="str">
        <f>IFERROR(__xludf.DUMMYFUNCTION("""COMPUTED_VALUE"""),"Vishesh")</f>
        <v>Vishesh</v>
      </c>
      <c r="D556" s="99" t="str">
        <f>IFERROR(__xludf.DUMMYFUNCTION("""COMPUTED_VALUE"""),"918744007799")</f>
        <v>918744007799</v>
      </c>
      <c r="E556" s="25" t="str">
        <f>IFERROR(__xludf.DUMMYFUNCTION("""COMPUTED_VALUE"""),"Lainnya")</f>
        <v>Lainnya</v>
      </c>
      <c r="F556" s="25" t="str">
        <f>IFERROR(__xludf.DUMMYFUNCTION("""COMPUTED_VALUE"""),"Gagal")</f>
        <v>Gagal</v>
      </c>
      <c r="G556" s="25"/>
      <c r="H556" s="92"/>
      <c r="I556" s="80"/>
      <c r="J556" s="93"/>
      <c r="K556" s="46" t="str">
        <f>IFERROR(__xludf.DUMMYFUNCTION("""COMPUTED_VALUE"""),"gagalll, sudah FU ga balass")</f>
        <v>gagalll, sudah FU ga balass</v>
      </c>
      <c r="L556" s="88" t="str">
        <f>IFERROR(__xludf.DUMMYFUNCTION("""COMPUTED_VALUE"""),"https://docs.google.com/document/d/1gbR_PYd-rMYlzwtKx9T4TMiE2AJquNPpuyNRqVOykPI/edit?tab=t.0")</f>
        <v>https://docs.google.com/document/d/1gbR_PYd-rMYlzwtKx9T4TMiE2AJquNPpuyNRqVOykPI/edit?tab=t.0</v>
      </c>
      <c r="M556" s="20"/>
      <c r="N556" s="20"/>
      <c r="O556" s="20"/>
      <c r="P556" s="20"/>
    </row>
    <row r="557">
      <c r="A557" s="110">
        <f>IFERROR(__xludf.DUMMYFUNCTION("""COMPUTED_VALUE"""),46127.0)</f>
        <v>46127</v>
      </c>
      <c r="B557" s="110" t="str">
        <f>IFERROR(__xludf.DUMMYFUNCTION("""COMPUTED_VALUE"""),"2604D086")</f>
        <v>2604D086</v>
      </c>
      <c r="C557" s="49" t="str">
        <f>IFERROR(__xludf.DUMMYFUNCTION("""COMPUTED_VALUE"""),"Rizky M")</f>
        <v>Rizky M</v>
      </c>
      <c r="D557" s="102" t="str">
        <f>IFERROR(__xludf.DUMMYFUNCTION("""COMPUTED_VALUE"""),"085733618059")</f>
        <v>085733618059</v>
      </c>
      <c r="E557" s="25" t="str">
        <f>IFERROR(__xludf.DUMMYFUNCTION("""COMPUTED_VALUE"""),"Instagram")</f>
        <v>Instagram</v>
      </c>
      <c r="F557" s="25" t="str">
        <f>IFERROR(__xludf.DUMMYFUNCTION("""COMPUTED_VALUE"""),"Gagal")</f>
        <v>Gagal</v>
      </c>
      <c r="G557" s="25"/>
      <c r="H557" s="78"/>
      <c r="I557" s="89"/>
      <c r="J557" s="96"/>
      <c r="K557" s="30" t="str">
        <f>IFERROR(__xludf.DUMMYFUNCTION("""COMPUTED_VALUE"""),"di arahkan ke holiday")</f>
        <v>di arahkan ke holiday</v>
      </c>
      <c r="L557" s="49"/>
      <c r="M557" s="20"/>
      <c r="N557" s="20"/>
      <c r="O557" s="20"/>
      <c r="P557" s="20"/>
    </row>
    <row r="558">
      <c r="A558" s="97">
        <f>IFERROR(__xludf.DUMMYFUNCTION("""COMPUTED_VALUE"""),46128.0)</f>
        <v>46128</v>
      </c>
      <c r="B558" s="134" t="str">
        <f>IFERROR(__xludf.DUMMYFUNCTION("""COMPUTED_VALUE"""),"2604D087")</f>
        <v>2604D087</v>
      </c>
      <c r="C558" s="76" t="str">
        <f>IFERROR(__xludf.DUMMYFUNCTION("""COMPUTED_VALUE"""),"Ayu")</f>
        <v>Ayu</v>
      </c>
      <c r="D558" s="99" t="str">
        <f>IFERROR(__xludf.DUMMYFUNCTION("""COMPUTED_VALUE"""),"081358610149")</f>
        <v>081358610149</v>
      </c>
      <c r="E558" s="25" t="str">
        <f>IFERROR(__xludf.DUMMYFUNCTION("""COMPUTED_VALUE"""),"Instagram")</f>
        <v>Instagram</v>
      </c>
      <c r="F558" s="25" t="str">
        <f>IFERROR(__xludf.DUMMYFUNCTION("""COMPUTED_VALUE"""),"Gagal")</f>
        <v>Gagal</v>
      </c>
      <c r="G558" s="25" t="str">
        <f>IFERROR(__xludf.DUMMYFUNCTION("""COMPUTED_VALUE"""),"private trip djawatan, baluran")</f>
        <v>private trip djawatan, baluran</v>
      </c>
      <c r="H558" s="92">
        <f>IFERROR(__xludf.DUMMYFUNCTION("""COMPUTED_VALUE"""),46173.0)</f>
        <v>46173</v>
      </c>
      <c r="I558" s="80">
        <f>IFERROR(__xludf.DUMMYFUNCTION("""COMPUTED_VALUE"""),3.0)</f>
        <v>3</v>
      </c>
      <c r="J558" s="93">
        <f>IFERROR(__xludf.DUMMYFUNCTION("""COMPUTED_VALUE"""),1875000.0)</f>
        <v>1875000</v>
      </c>
      <c r="K558" s="46" t="str">
        <f>IFERROR(__xludf.DUMMYFUNCTION("""COMPUTED_VALUE"""),"belum jadii")</f>
        <v>belum jadii</v>
      </c>
      <c r="L558" s="76"/>
      <c r="M558" s="20"/>
      <c r="N558" s="20"/>
      <c r="O558" s="20"/>
      <c r="P558" s="20"/>
    </row>
    <row r="559">
      <c r="A559" s="110">
        <f>IFERROR(__xludf.DUMMYFUNCTION("""COMPUTED_VALUE"""),46128.0)</f>
        <v>46128</v>
      </c>
      <c r="B559" s="110" t="str">
        <f>IFERROR(__xludf.DUMMYFUNCTION("""COMPUTED_VALUE"""),"2604D088")</f>
        <v>2604D088</v>
      </c>
      <c r="C559" s="49" t="str">
        <f>IFERROR(__xludf.DUMMYFUNCTION("""COMPUTED_VALUE"""),"Angga Saputra")</f>
        <v>Angga Saputra</v>
      </c>
      <c r="D559" s="102" t="str">
        <f>IFERROR(__xludf.DUMMYFUNCTION("""COMPUTED_VALUE"""),"08816929017")</f>
        <v>08816929017</v>
      </c>
      <c r="E559" s="25" t="str">
        <f>IFERROR(__xludf.DUMMYFUNCTION("""COMPUTED_VALUE"""),"Instagram")</f>
        <v>Instagram</v>
      </c>
      <c r="F559" s="25" t="str">
        <f>IFERROR(__xludf.DUMMYFUNCTION("""COMPUTED_VALUE"""),"Gagal")</f>
        <v>Gagal</v>
      </c>
      <c r="G559" s="25" t="str">
        <f>IFERROR(__xludf.DUMMYFUNCTION("""COMPUTED_VALUE"""),"2h1m opsi A")</f>
        <v>2h1m opsi A</v>
      </c>
      <c r="H559" s="78"/>
      <c r="I559" s="89">
        <f>IFERROR(__xludf.DUMMYFUNCTION("""COMPUTED_VALUE"""),2.0)</f>
        <v>2</v>
      </c>
      <c r="J559" s="96"/>
      <c r="K559" s="30" t="str">
        <f>IFERROR(__xludf.DUMMYFUNCTION("""COMPUTED_VALUE"""),"kalo jadi di info")</f>
        <v>kalo jadi di info</v>
      </c>
      <c r="L559" s="81" t="str">
        <f>IFERROR(__xludf.DUMMYFUNCTION("""COMPUTED_VALUE"""),"https://docs.google.com/document/d/1H23uD1unkjsXPdPRrToI5gh9OXpr4eoISiSVyZ72fWA/edit?tab=t.0")</f>
        <v>https://docs.google.com/document/d/1H23uD1unkjsXPdPRrToI5gh9OXpr4eoISiSVyZ72fWA/edit?tab=t.0</v>
      </c>
      <c r="M559" s="20"/>
      <c r="N559" s="20"/>
      <c r="O559" s="20"/>
      <c r="P559" s="20"/>
    </row>
    <row r="560">
      <c r="A560" s="97">
        <f>IFERROR(__xludf.DUMMYFUNCTION("""COMPUTED_VALUE"""),46128.0)</f>
        <v>46128</v>
      </c>
      <c r="B560" s="97" t="str">
        <f>IFERROR(__xludf.DUMMYFUNCTION("""COMPUTED_VALUE"""),"2604D089")</f>
        <v>2604D089</v>
      </c>
      <c r="C560" s="76" t="str">
        <f>IFERROR(__xludf.DUMMYFUNCTION("""COMPUTED_VALUE"""),"Odit")</f>
        <v>Odit</v>
      </c>
      <c r="D560" s="99" t="str">
        <f>IFERROR(__xludf.DUMMYFUNCTION("""COMPUTED_VALUE"""),"08113070033")</f>
        <v>08113070033</v>
      </c>
      <c r="E560" s="25" t="str">
        <f>IFERROR(__xludf.DUMMYFUNCTION("""COMPUTED_VALUE"""),"Instagram")</f>
        <v>Instagram</v>
      </c>
      <c r="F560" s="25" t="str">
        <f>IFERROR(__xludf.DUMMYFUNCTION("""COMPUTED_VALUE"""),"Gagal")</f>
        <v>Gagal</v>
      </c>
      <c r="G560" s="25" t="str">
        <f>IFERROR(__xludf.DUMMYFUNCTION("""COMPUTED_VALUE"""),"2h1m custome")</f>
        <v>2h1m custome</v>
      </c>
      <c r="H560" s="92">
        <f>IFERROR(__xludf.DUMMYFUNCTION("""COMPUTED_VALUE"""),46150.0)</f>
        <v>46150</v>
      </c>
      <c r="I560" s="80">
        <f>IFERROR(__xludf.DUMMYFUNCTION("""COMPUTED_VALUE"""),4.0)</f>
        <v>4</v>
      </c>
      <c r="J560" s="93"/>
      <c r="K560" s="46" t="str">
        <f>IFERROR(__xludf.DUMMYFUNCTION("""COMPUTED_VALUE"""),"kelewat tanggal")</f>
        <v>kelewat tanggal</v>
      </c>
      <c r="L560" s="88" t="str">
        <f>IFERROR(__xludf.DUMMYFUNCTION("""COMPUTED_VALUE"""),"https://docs.google.com/document/d/1-cwMCPH082Ptf7_zffMp1LWyiKIf3AVpdGMe4oEpiCo/edit?tab=t.0")</f>
        <v>https://docs.google.com/document/d/1-cwMCPH082Ptf7_zffMp1LWyiKIf3AVpdGMe4oEpiCo/edit?tab=t.0</v>
      </c>
      <c r="M560" s="20"/>
      <c r="N560" s="20"/>
      <c r="O560" s="20"/>
      <c r="P560" s="20"/>
    </row>
    <row r="561">
      <c r="A561" s="110">
        <f>IFERROR(__xludf.DUMMYFUNCTION("""COMPUTED_VALUE"""),46128.0)</f>
        <v>46128</v>
      </c>
      <c r="B561" s="110" t="str">
        <f>IFERROR(__xludf.DUMMYFUNCTION("""COMPUTED_VALUE"""),"2604D090")</f>
        <v>2604D090</v>
      </c>
      <c r="C561" s="49" t="str">
        <f>IFERROR(__xludf.DUMMYFUNCTION("""COMPUTED_VALUE"""),"Hanif")</f>
        <v>Hanif</v>
      </c>
      <c r="D561" s="102" t="str">
        <f>IFERROR(__xludf.DUMMYFUNCTION("""COMPUTED_VALUE"""),"08985451699")</f>
        <v>08985451699</v>
      </c>
      <c r="E561" s="25" t="str">
        <f>IFERROR(__xludf.DUMMYFUNCTION("""COMPUTED_VALUE"""),"Instagram")</f>
        <v>Instagram</v>
      </c>
      <c r="F561" s="25" t="str">
        <f>IFERROR(__xludf.DUMMYFUNCTION("""COMPUTED_VALUE"""),"Gagal")</f>
        <v>Gagal</v>
      </c>
      <c r="G561" s="25"/>
      <c r="H561" s="78"/>
      <c r="I561" s="89"/>
      <c r="J561" s="96"/>
      <c r="K561" s="36" t="str">
        <f>IFERROR(__xludf.DUMMYFUNCTION("""COMPUTED_VALUE"""),"menyapaa")</f>
        <v>menyapaa</v>
      </c>
      <c r="L561" s="81" t="str">
        <f>IFERROR(__xludf.DUMMYFUNCTION("""COMPUTED_VALUE"""),"https://docs.google.com/document/d/1gYTiRPC6QEoPvD6WAzjjC5Cp_rqN-Mufsw4gvFKUZKk/edit?tab=t.0")</f>
        <v>https://docs.google.com/document/d/1gYTiRPC6QEoPvD6WAzjjC5Cp_rqN-Mufsw4gvFKUZKk/edit?tab=t.0</v>
      </c>
      <c r="M561" s="20"/>
      <c r="N561" s="20"/>
      <c r="O561" s="20"/>
      <c r="P561" s="20"/>
    </row>
    <row r="562">
      <c r="A562" s="97">
        <f>IFERROR(__xludf.DUMMYFUNCTION("""COMPUTED_VALUE"""),46128.0)</f>
        <v>46128</v>
      </c>
      <c r="B562" s="97" t="str">
        <f>IFERROR(__xludf.DUMMYFUNCTION("""COMPUTED_VALUE"""),"2604D091")</f>
        <v>2604D091</v>
      </c>
      <c r="C562" s="76" t="str">
        <f>IFERROR(__xludf.DUMMYFUNCTION("""COMPUTED_VALUE"""),"Iqbal")</f>
        <v>Iqbal</v>
      </c>
      <c r="D562" s="99" t="str">
        <f>IFERROR(__xludf.DUMMYFUNCTION("""COMPUTED_VALUE"""),"082210722324")</f>
        <v>082210722324</v>
      </c>
      <c r="E562" s="25" t="str">
        <f>IFERROR(__xludf.DUMMYFUNCTION("""COMPUTED_VALUE"""),"Instagram")</f>
        <v>Instagram</v>
      </c>
      <c r="F562" s="25" t="str">
        <f>IFERROR(__xludf.DUMMYFUNCTION("""COMPUTED_VALUE"""),"Leads Baru")</f>
        <v>Leads Baru</v>
      </c>
      <c r="G562" s="25" t="str">
        <f>IFERROR(__xludf.DUMMYFUNCTION("""COMPUTED_VALUE"""),"3h2m custome")</f>
        <v>3h2m custome</v>
      </c>
      <c r="H562" s="92"/>
      <c r="I562" s="80">
        <f>IFERROR(__xludf.DUMMYFUNCTION("""COMPUTED_VALUE"""),150.0)</f>
        <v>150</v>
      </c>
      <c r="J562" s="93"/>
      <c r="K562" s="19" t="str">
        <f>IFERROR(__xludf.DUMMYFUNCTION("""COMPUTED_VALUE"""),"FU 5 Agustus")</f>
        <v>FU 5 Agustus</v>
      </c>
      <c r="L562" s="88" t="str">
        <f>IFERROR(__xludf.DUMMYFUNCTION("""COMPUTED_VALUE"""),"https://docs.google.com/document/d/1JRZn0K39ppYXfl4VxkmDOzu1LmcwBe1zyBzTdcKm8WA/edit?tab=t.0")</f>
        <v>https://docs.google.com/document/d/1JRZn0K39ppYXfl4VxkmDOzu1LmcwBe1zyBzTdcKm8WA/edit?tab=t.0</v>
      </c>
      <c r="M562" s="20"/>
      <c r="N562" s="20"/>
      <c r="O562" s="20"/>
      <c r="P562" s="20"/>
    </row>
    <row r="563">
      <c r="A563" s="110">
        <f>IFERROR(__xludf.DUMMYFUNCTION("""COMPUTED_VALUE"""),46129.0)</f>
        <v>46129</v>
      </c>
      <c r="B563" s="110" t="str">
        <f>IFERROR(__xludf.DUMMYFUNCTION("""COMPUTED_VALUE"""),"2604D092")</f>
        <v>2604D092</v>
      </c>
      <c r="C563" s="49" t="str">
        <f>IFERROR(__xludf.DUMMYFUNCTION("""COMPUTED_VALUE"""),"GreciaLamellae")</f>
        <v>GreciaLamellae</v>
      </c>
      <c r="D563" s="102" t="str">
        <f>IFERROR(__xludf.DUMMYFUNCTION("""COMPUTED_VALUE"""),"081459107981")</f>
        <v>081459107981</v>
      </c>
      <c r="E563" s="25" t="str">
        <f>IFERROR(__xludf.DUMMYFUNCTION("""COMPUTED_VALUE"""),"Instagram")</f>
        <v>Instagram</v>
      </c>
      <c r="F563" s="25" t="str">
        <f>IFERROR(__xludf.DUMMYFUNCTION("""COMPUTED_VALUE"""),"Closing")</f>
        <v>Closing</v>
      </c>
      <c r="G563" s="25" t="str">
        <f>IFERROR(__xludf.DUMMYFUNCTION("""COMPUTED_VALUE"""),"2h1m custome")</f>
        <v>2h1m custome</v>
      </c>
      <c r="H563" s="78">
        <f>IFERROR(__xludf.DUMMYFUNCTION("""COMPUTED_VALUE"""),46156.0)</f>
        <v>46156</v>
      </c>
      <c r="I563" s="89">
        <f>IFERROR(__xludf.DUMMYFUNCTION("""COMPUTED_VALUE"""),20.0)</f>
        <v>20</v>
      </c>
      <c r="J563" s="96">
        <f>IFERROR(__xludf.DUMMYFUNCTION("""COMPUTED_VALUE"""),1.256E7)</f>
        <v>12560000</v>
      </c>
      <c r="K563" s="36" t="str">
        <f>IFERROR(__xludf.DUMMYFUNCTION("""COMPUTED_VALUE"""),"orderrrr")</f>
        <v>orderrrr</v>
      </c>
      <c r="L563" s="81" t="str">
        <f>IFERROR(__xludf.DUMMYFUNCTION("""COMPUTED_VALUE"""),"https://docs.google.com/document/d/1c5nznB_CRMCLBHzgfA1rpf1pzE6IS6xb4bTZa9yTgnQ/edit?tab=t.0")</f>
        <v>https://docs.google.com/document/d/1c5nznB_CRMCLBHzgfA1rpf1pzE6IS6xb4bTZa9yTgnQ/edit?tab=t.0</v>
      </c>
      <c r="M563" s="20"/>
      <c r="N563" s="20"/>
      <c r="O563" s="20"/>
      <c r="P563" s="20"/>
    </row>
    <row r="564">
      <c r="A564" s="97">
        <f>IFERROR(__xludf.DUMMYFUNCTION("""COMPUTED_VALUE"""),46129.0)</f>
        <v>46129</v>
      </c>
      <c r="B564" s="97" t="str">
        <f>IFERROR(__xludf.DUMMYFUNCTION("""COMPUTED_VALUE"""),"2604D093")</f>
        <v>2604D093</v>
      </c>
      <c r="C564" s="76" t="str">
        <f>IFERROR(__xludf.DUMMYFUNCTION("""COMPUTED_VALUE"""),"Bima")</f>
        <v>Bima</v>
      </c>
      <c r="D564" s="99" t="str">
        <f>IFERROR(__xludf.DUMMYFUNCTION("""COMPUTED_VALUE"""),"081228857646")</f>
        <v>081228857646</v>
      </c>
      <c r="E564" s="25" t="str">
        <f>IFERROR(__xludf.DUMMYFUNCTION("""COMPUTED_VALUE"""),"Instagram")</f>
        <v>Instagram</v>
      </c>
      <c r="F564" s="25" t="str">
        <f>IFERROR(__xludf.DUMMYFUNCTION("""COMPUTED_VALUE"""),"Gagal")</f>
        <v>Gagal</v>
      </c>
      <c r="G564" s="25" t="str">
        <f>IFERROR(__xludf.DUMMYFUNCTION("""COMPUTED_VALUE"""),"1 day trip DB")</f>
        <v>1 day trip DB</v>
      </c>
      <c r="H564" s="92"/>
      <c r="I564" s="80">
        <f>IFERROR(__xludf.DUMMYFUNCTION("""COMPUTED_VALUE"""),2.0)</f>
        <v>2</v>
      </c>
      <c r="J564" s="93"/>
      <c r="K564" s="19" t="str">
        <f>IFERROR(__xludf.DUMMYFUNCTION("""COMPUTED_VALUE"""),"FU 1 JUNI")</f>
        <v>FU 1 JUNI</v>
      </c>
      <c r="L564" s="88" t="str">
        <f>IFERROR(__xludf.DUMMYFUNCTION("""COMPUTED_VALUE"""),"https://docs.google.com/document/d/10dnotU6s3JVD-IrIEAB0vbLeWPzVBoeQpYonpSw6F8M/edit?tab=t.0")</f>
        <v>https://docs.google.com/document/d/10dnotU6s3JVD-IrIEAB0vbLeWPzVBoeQpYonpSw6F8M/edit?tab=t.0</v>
      </c>
      <c r="M564" s="20"/>
      <c r="N564" s="20"/>
      <c r="O564" s="20"/>
      <c r="P564" s="20"/>
    </row>
    <row r="565">
      <c r="A565" s="110">
        <f>IFERROR(__xludf.DUMMYFUNCTION("""COMPUTED_VALUE"""),46129.0)</f>
        <v>46129</v>
      </c>
      <c r="B565" s="110" t="str">
        <f>IFERROR(__xludf.DUMMYFUNCTION("""COMPUTED_VALUE"""),"2604D094")</f>
        <v>2604D094</v>
      </c>
      <c r="C565" s="49" t="str">
        <f>IFERROR(__xludf.DUMMYFUNCTION("""COMPUTED_VALUE"""),"Bekti Bayu")</f>
        <v>Bekti Bayu</v>
      </c>
      <c r="D565" s="102" t="str">
        <f>IFERROR(__xludf.DUMMYFUNCTION("""COMPUTED_VALUE"""),"085900046463")</f>
        <v>085900046463</v>
      </c>
      <c r="E565" s="25" t="str">
        <f>IFERROR(__xludf.DUMMYFUNCTION("""COMPUTED_VALUE"""),"Lainnya")</f>
        <v>Lainnya</v>
      </c>
      <c r="F565" s="25" t="str">
        <f>IFERROR(__xludf.DUMMYFUNCTION("""COMPUTED_VALUE"""),"Gagal")</f>
        <v>Gagal</v>
      </c>
      <c r="G565" s="25"/>
      <c r="H565" s="78"/>
      <c r="I565" s="89">
        <f>IFERROR(__xludf.DUMMYFUNCTION("""COMPUTED_VALUE"""),1.0)</f>
        <v>1</v>
      </c>
      <c r="J565" s="96"/>
      <c r="K565" s="30" t="str">
        <f>IFERROR(__xludf.DUMMYFUNCTION("""COMPUTED_VALUE"""),"gagal, ada urusan mendadak")</f>
        <v>gagal, ada urusan mendadak</v>
      </c>
      <c r="L565" s="81" t="str">
        <f>IFERROR(__xludf.DUMMYFUNCTION("""COMPUTED_VALUE"""),"https://docs.google.com/document/d/1PJFJOvn2faWLJ1Ux1j7Uu1bxaYrUiXoX0d45e367nEg/edit?tab=t.0")</f>
        <v>https://docs.google.com/document/d/1PJFJOvn2faWLJ1Ux1j7Uu1bxaYrUiXoX0d45e367nEg/edit?tab=t.0</v>
      </c>
      <c r="M565" s="20"/>
      <c r="N565" s="20"/>
      <c r="O565" s="20"/>
      <c r="P565" s="20"/>
    </row>
    <row r="566">
      <c r="A566" s="97">
        <f>IFERROR(__xludf.DUMMYFUNCTION("""COMPUTED_VALUE"""),46129.0)</f>
        <v>46129</v>
      </c>
      <c r="B566" s="97" t="str">
        <f>IFERROR(__xludf.DUMMYFUNCTION("""COMPUTED_VALUE"""),"2604D095")</f>
        <v>2604D095</v>
      </c>
      <c r="C566" s="76" t="str">
        <f>IFERROR(__xludf.DUMMYFUNCTION("""COMPUTED_VALUE"""),"Willy")</f>
        <v>Willy</v>
      </c>
      <c r="D566" s="99" t="str">
        <f>IFERROR(__xludf.DUMMYFUNCTION("""COMPUTED_VALUE"""),"085777418479")</f>
        <v>085777418479</v>
      </c>
      <c r="E566" s="25" t="str">
        <f>IFERROR(__xludf.DUMMYFUNCTION("""COMPUTED_VALUE"""),"Lainnya")</f>
        <v>Lainnya</v>
      </c>
      <c r="F566" s="25" t="str">
        <f>IFERROR(__xludf.DUMMYFUNCTION("""COMPUTED_VALUE"""),"Gagal")</f>
        <v>Gagal</v>
      </c>
      <c r="G566" s="25" t="str">
        <f>IFERROR(__xludf.DUMMYFUNCTION("""COMPUTED_VALUE"""),"1 day ijen baluran")</f>
        <v>1 day ijen baluran</v>
      </c>
      <c r="H566" s="92"/>
      <c r="I566" s="80">
        <f>IFERROR(__xludf.DUMMYFUNCTION("""COMPUTED_VALUE"""),2.0)</f>
        <v>2</v>
      </c>
      <c r="J566" s="93"/>
      <c r="K566" s="46" t="str">
        <f>IFERROR(__xludf.DUMMYFUNCTION("""COMPUTED_VALUE"""),"belum jadi, ada urusan mendadak")</f>
        <v>belum jadi, ada urusan mendadak</v>
      </c>
      <c r="L566" s="88" t="str">
        <f>IFERROR(__xludf.DUMMYFUNCTION("""COMPUTED_VALUE"""),"https://docs.google.com/document/d/1c17S0pxBtYvxsGVfqW4ikoMmrpZ6XgxkgbTfn9NlNhc/edit?tab=t.0")</f>
        <v>https://docs.google.com/document/d/1c17S0pxBtYvxsGVfqW4ikoMmrpZ6XgxkgbTfn9NlNhc/edit?tab=t.0</v>
      </c>
      <c r="M566" s="20"/>
      <c r="N566" s="20"/>
      <c r="O566" s="20"/>
      <c r="P566" s="20"/>
    </row>
    <row r="567">
      <c r="A567" s="110">
        <f>IFERROR(__xludf.DUMMYFUNCTION("""COMPUTED_VALUE"""),46130.0)</f>
        <v>46130</v>
      </c>
      <c r="B567" s="110" t="str">
        <f>IFERROR(__xludf.DUMMYFUNCTION("""COMPUTED_VALUE"""),"2604D096")</f>
        <v>2604D096</v>
      </c>
      <c r="C567" s="49" t="str">
        <f>IFERROR(__xludf.DUMMYFUNCTION("""COMPUTED_VALUE"""),"MHJ")</f>
        <v>MHJ</v>
      </c>
      <c r="D567" s="102" t="str">
        <f>IFERROR(__xludf.DUMMYFUNCTION("""COMPUTED_VALUE"""),"085361362363")</f>
        <v>085361362363</v>
      </c>
      <c r="E567" s="25" t="str">
        <f>IFERROR(__xludf.DUMMYFUNCTION("""COMPUTED_VALUE"""),"Website")</f>
        <v>Website</v>
      </c>
      <c r="F567" s="25" t="str">
        <f>IFERROR(__xludf.DUMMYFUNCTION("""COMPUTED_VALUE"""),"Leads Baru")</f>
        <v>Leads Baru</v>
      </c>
      <c r="G567" s="25" t="str">
        <f>IFERROR(__xludf.DUMMYFUNCTION("""COMPUTED_VALUE"""),"3h2m opsi B")</f>
        <v>3h2m opsi B</v>
      </c>
      <c r="H567" s="78"/>
      <c r="I567" s="27">
        <f>IFERROR(__xludf.DUMMYFUNCTION("""COMPUTED_VALUE"""),4.0)</f>
        <v>4</v>
      </c>
      <c r="J567" s="33"/>
      <c r="K567" s="30"/>
      <c r="L567" s="81" t="str">
        <f>IFERROR(__xludf.DUMMYFUNCTION("""COMPUTED_VALUE"""),"https://docs.google.com/document/d/1ubq0Ip7xPVyg8ZBjIfFDcaQ1VmWNf-BxLe8ivWxflmQ/edit?tab=t.0")</f>
        <v>https://docs.google.com/document/d/1ubq0Ip7xPVyg8ZBjIfFDcaQ1VmWNf-BxLe8ivWxflmQ/edit?tab=t.0</v>
      </c>
      <c r="M567" s="20"/>
      <c r="N567" s="20"/>
      <c r="O567" s="20"/>
      <c r="P567" s="20"/>
    </row>
    <row r="568">
      <c r="A568" s="97">
        <f>IFERROR(__xludf.DUMMYFUNCTION("""COMPUTED_VALUE"""),46130.0)</f>
        <v>46130</v>
      </c>
      <c r="B568" s="97" t="str">
        <f>IFERROR(__xludf.DUMMYFUNCTION("""COMPUTED_VALUE"""),"2604D097")</f>
        <v>2604D097</v>
      </c>
      <c r="C568" s="76" t="str">
        <f>IFERROR(__xludf.DUMMYFUNCTION("""COMPUTED_VALUE"""),"Pinastika")</f>
        <v>Pinastika</v>
      </c>
      <c r="D568" s="99" t="str">
        <f>IFERROR(__xludf.DUMMYFUNCTION("""COMPUTED_VALUE"""),"081990039512")</f>
        <v>081990039512</v>
      </c>
      <c r="E568" s="25" t="str">
        <f>IFERROR(__xludf.DUMMYFUNCTION("""COMPUTED_VALUE"""),"Instagram")</f>
        <v>Instagram</v>
      </c>
      <c r="F568" s="25" t="str">
        <f>IFERROR(__xludf.DUMMYFUNCTION("""COMPUTED_VALUE"""),"Gagal")</f>
        <v>Gagal</v>
      </c>
      <c r="G568" s="25" t="str">
        <f>IFERROR(__xludf.DUMMYFUNCTION("""COMPUTED_VALUE"""),"3h2m custome")</f>
        <v>3h2m custome</v>
      </c>
      <c r="H568" s="92"/>
      <c r="I568" s="80">
        <f>IFERROR(__xludf.DUMMYFUNCTION("""COMPUTED_VALUE"""),3.0)</f>
        <v>3</v>
      </c>
      <c r="J568" s="93"/>
      <c r="K568" s="19" t="str">
        <f>IFERROR(__xludf.DUMMYFUNCTION("""COMPUTED_VALUE"""),"lewat tanggal")</f>
        <v>lewat tanggal</v>
      </c>
      <c r="L568" s="88" t="str">
        <f>IFERROR(__xludf.DUMMYFUNCTION("""COMPUTED_VALUE"""),"https://docs.google.com/document/d/1AjBY8BCoVDTovakPW8tYxCqeUYfqPlnGQWrNOT5vPHs/edit?tab=t.0")</f>
        <v>https://docs.google.com/document/d/1AjBY8BCoVDTovakPW8tYxCqeUYfqPlnGQWrNOT5vPHs/edit?tab=t.0</v>
      </c>
      <c r="M568" s="20"/>
      <c r="N568" s="20"/>
      <c r="O568" s="20"/>
      <c r="P568" s="20"/>
    </row>
    <row r="569">
      <c r="A569" s="110">
        <f>IFERROR(__xludf.DUMMYFUNCTION("""COMPUTED_VALUE"""),46131.0)</f>
        <v>46131</v>
      </c>
      <c r="B569" s="110" t="str">
        <f>IFERROR(__xludf.DUMMYFUNCTION("""COMPUTED_VALUE"""),"2604D098")</f>
        <v>2604D098</v>
      </c>
      <c r="C569" s="49" t="str">
        <f>IFERROR(__xludf.DUMMYFUNCTION("""COMPUTED_VALUE"""),"Dira")</f>
        <v>Dira</v>
      </c>
      <c r="D569" s="102" t="str">
        <f>IFERROR(__xludf.DUMMYFUNCTION("""COMPUTED_VALUE"""),"083843366135")</f>
        <v>083843366135</v>
      </c>
      <c r="E569" s="25" t="str">
        <f>IFERROR(__xludf.DUMMYFUNCTION("""COMPUTED_VALUE"""),"Tiktok")</f>
        <v>Tiktok</v>
      </c>
      <c r="F569" s="25" t="str">
        <f>IFERROR(__xludf.DUMMYFUNCTION("""COMPUTED_VALUE"""),"Closing")</f>
        <v>Closing</v>
      </c>
      <c r="G569" s="25" t="str">
        <f>IFERROR(__xludf.DUMMYFUNCTION("""COMPUTED_VALUE"""),"OT Ijen")</f>
        <v>OT Ijen</v>
      </c>
      <c r="H569" s="78">
        <f>IFERROR(__xludf.DUMMYFUNCTION("""COMPUTED_VALUE"""),46157.0)</f>
        <v>46157</v>
      </c>
      <c r="I569" s="27">
        <f>IFERROR(__xludf.DUMMYFUNCTION("""COMPUTED_VALUE"""),2.0)</f>
        <v>2</v>
      </c>
      <c r="J569" s="96">
        <f>IFERROR(__xludf.DUMMYFUNCTION("""COMPUTED_VALUE"""),500000.0)</f>
        <v>500000</v>
      </c>
      <c r="K569" s="30" t="str">
        <f>IFERROR(__xludf.DUMMYFUNCTION("""COMPUTED_VALUE"""),"orderrrr")</f>
        <v>orderrrr</v>
      </c>
      <c r="L569" s="87" t="str">
        <f>IFERROR(__xludf.DUMMYFUNCTION("""COMPUTED_VALUE"""),"https://docs.google.com/document/d/1TSb2qucwcTB-lnHSY8aSFKClNo8ZAAx9J3xhvspkGsw/edit?tab=t.0")</f>
        <v>https://docs.google.com/document/d/1TSb2qucwcTB-lnHSY8aSFKClNo8ZAAx9J3xhvspkGsw/edit?tab=t.0</v>
      </c>
      <c r="M569" s="20"/>
      <c r="N569" s="20"/>
      <c r="O569" s="20"/>
      <c r="P569" s="20"/>
    </row>
    <row r="570">
      <c r="A570" s="97">
        <f>IFERROR(__xludf.DUMMYFUNCTION("""COMPUTED_VALUE"""),46131.0)</f>
        <v>46131</v>
      </c>
      <c r="B570" s="97" t="str">
        <f>IFERROR(__xludf.DUMMYFUNCTION("""COMPUTED_VALUE"""),"2604D099")</f>
        <v>2604D099</v>
      </c>
      <c r="C570" s="76" t="str">
        <f>IFERROR(__xludf.DUMMYFUNCTION("""COMPUTED_VALUE"""),"Lia")</f>
        <v>Lia</v>
      </c>
      <c r="D570" s="99" t="str">
        <f>IFERROR(__xludf.DUMMYFUNCTION("""COMPUTED_VALUE"""),"0818410600")</f>
        <v>0818410600</v>
      </c>
      <c r="E570" s="25" t="str">
        <f>IFERROR(__xludf.DUMMYFUNCTION("""COMPUTED_VALUE"""),"Instagram")</f>
        <v>Instagram</v>
      </c>
      <c r="F570" s="25" t="str">
        <f>IFERROR(__xludf.DUMMYFUNCTION("""COMPUTED_VALUE"""),"Leads Baru")</f>
        <v>Leads Baru</v>
      </c>
      <c r="G570" s="25" t="str">
        <f>IFERROR(__xludf.DUMMYFUNCTION("""COMPUTED_VALUE"""),"2h1m custome")</f>
        <v>2h1m custome</v>
      </c>
      <c r="H570" s="92"/>
      <c r="I570" s="80">
        <f>IFERROR(__xludf.DUMMYFUNCTION("""COMPUTED_VALUE"""),4.0)</f>
        <v>4</v>
      </c>
      <c r="J570" s="93"/>
      <c r="K570" s="46" t="str">
        <f>IFERROR(__xludf.DUMMYFUNCTION("""COMPUTED_VALUE"""),"belum bales lagi, FU 1 Juni")</f>
        <v>belum bales lagi, FU 1 Juni</v>
      </c>
      <c r="L570" s="88" t="str">
        <f>IFERROR(__xludf.DUMMYFUNCTION("""COMPUTED_VALUE"""),"https://docs.google.com/document/d/1a2t2xh-Q_GbId736HdtjCusOSHNyn2NFhJYQLCrw0Qg/edit?tab=t.0")</f>
        <v>https://docs.google.com/document/d/1a2t2xh-Q_GbId736HdtjCusOSHNyn2NFhJYQLCrw0Qg/edit?tab=t.0</v>
      </c>
      <c r="M570" s="20"/>
      <c r="N570" s="20"/>
      <c r="O570" s="20"/>
      <c r="P570" s="20"/>
    </row>
    <row r="571">
      <c r="A571" s="110">
        <f>IFERROR(__xludf.DUMMYFUNCTION("""COMPUTED_VALUE"""),46131.0)</f>
        <v>46131</v>
      </c>
      <c r="B571" s="110" t="str">
        <f>IFERROR(__xludf.DUMMYFUNCTION("""COMPUTED_VALUE"""),"2604D100")</f>
        <v>2604D100</v>
      </c>
      <c r="C571" s="49" t="str">
        <f>IFERROR(__xludf.DUMMYFUNCTION("""COMPUTED_VALUE"""),"Rich Hans")</f>
        <v>Rich Hans</v>
      </c>
      <c r="D571" s="102" t="str">
        <f>IFERROR(__xludf.DUMMYFUNCTION("""COMPUTED_VALUE"""),"081393906568")</f>
        <v>081393906568</v>
      </c>
      <c r="E571" s="25" t="str">
        <f>IFERROR(__xludf.DUMMYFUNCTION("""COMPUTED_VALUE"""),"Lainnya")</f>
        <v>Lainnya</v>
      </c>
      <c r="F571" s="25" t="str">
        <f>IFERROR(__xludf.DUMMYFUNCTION("""COMPUTED_VALUE"""),"Gagal")</f>
        <v>Gagal</v>
      </c>
      <c r="G571" s="25" t="str">
        <f>IFERROR(__xludf.DUMMYFUNCTION("""COMPUTED_VALUE"""),"trip menjangan tabuhan")</f>
        <v>trip menjangan tabuhan</v>
      </c>
      <c r="H571" s="78">
        <f>IFERROR(__xludf.DUMMYFUNCTION("""COMPUTED_VALUE"""),46152.0)</f>
        <v>46152</v>
      </c>
      <c r="I571" s="89">
        <f>IFERROR(__xludf.DUMMYFUNCTION("""COMPUTED_VALUE"""),4.0)</f>
        <v>4</v>
      </c>
      <c r="J571" s="96"/>
      <c r="K571" s="30" t="str">
        <f>IFERROR(__xludf.DUMMYFUNCTION("""COMPUTED_VALUE"""),"lewat tanggal")</f>
        <v>lewat tanggal</v>
      </c>
      <c r="L571" s="81" t="str">
        <f>IFERROR(__xludf.DUMMYFUNCTION("""COMPUTED_VALUE"""),"https://docs.google.com/document/d/1cT6fLdOPeHhrUXtlP9vy3aNQrrus8gmoBWVtcQLeBQE/edit?tab=t.0")</f>
        <v>https://docs.google.com/document/d/1cT6fLdOPeHhrUXtlP9vy3aNQrrus8gmoBWVtcQLeBQE/edit?tab=t.0</v>
      </c>
      <c r="M571" s="20"/>
      <c r="N571" s="20"/>
      <c r="O571" s="20"/>
      <c r="P571" s="20"/>
    </row>
    <row r="572">
      <c r="A572" s="97">
        <f>IFERROR(__xludf.DUMMYFUNCTION("""COMPUTED_VALUE"""),46131.0)</f>
        <v>46131</v>
      </c>
      <c r="B572" s="97" t="str">
        <f>IFERROR(__xludf.DUMMYFUNCTION("""COMPUTED_VALUE"""),"2604D101")</f>
        <v>2604D101</v>
      </c>
      <c r="C572" s="76" t="str">
        <f>IFERROR(__xludf.DUMMYFUNCTION("""COMPUTED_VALUE"""),"Natasya ")</f>
        <v>Natasya </v>
      </c>
      <c r="D572" s="99" t="str">
        <f>IFERROR(__xludf.DUMMYFUNCTION("""COMPUTED_VALUE"""),"085334830053")</f>
        <v>085334830053</v>
      </c>
      <c r="E572" s="25" t="str">
        <f>IFERROR(__xludf.DUMMYFUNCTION("""COMPUTED_VALUE"""),"Instagram")</f>
        <v>Instagram</v>
      </c>
      <c r="F572" s="25" t="str">
        <f>IFERROR(__xludf.DUMMYFUNCTION("""COMPUTED_VALUE"""),"Gagal")</f>
        <v>Gagal</v>
      </c>
      <c r="G572" s="25" t="str">
        <f>IFERROR(__xludf.DUMMYFUNCTION("""COMPUTED_VALUE"""),"OT 3H2M")</f>
        <v>OT 3H2M</v>
      </c>
      <c r="H572" s="92"/>
      <c r="I572" s="80">
        <f>IFERROR(__xludf.DUMMYFUNCTION("""COMPUTED_VALUE"""),4.0)</f>
        <v>4</v>
      </c>
      <c r="J572" s="54"/>
      <c r="K572" s="46" t="str">
        <f>IFERROR(__xludf.DUMMYFUNCTION("""COMPUTED_VALUE"""),"belum jadi tripppp")</f>
        <v>belum jadi tripppp</v>
      </c>
      <c r="L572" s="88" t="str">
        <f>IFERROR(__xludf.DUMMYFUNCTION("""COMPUTED_VALUE"""),"https://docs.google.com/document/d/1qCdI3qwDLku3digI-0EAyY7bralfjjk1O8wu_5CgYpg/edit?tab=t.0")</f>
        <v>https://docs.google.com/document/d/1qCdI3qwDLku3digI-0EAyY7bralfjjk1O8wu_5CgYpg/edit?tab=t.0</v>
      </c>
      <c r="M572" s="20"/>
      <c r="N572" s="20"/>
      <c r="O572" s="20"/>
      <c r="P572" s="20"/>
    </row>
    <row r="573">
      <c r="A573" s="110">
        <f>IFERROR(__xludf.DUMMYFUNCTION("""COMPUTED_VALUE"""),46132.0)</f>
        <v>46132</v>
      </c>
      <c r="B573" s="110" t="str">
        <f>IFERROR(__xludf.DUMMYFUNCTION("""COMPUTED_VALUE"""),"2604D102")</f>
        <v>2604D102</v>
      </c>
      <c r="C573" s="49" t="str">
        <f>IFERROR(__xludf.DUMMYFUNCTION("""COMPUTED_VALUE"""),"Daffa Muhammad")</f>
        <v>Daffa Muhammad</v>
      </c>
      <c r="D573" s="102" t="str">
        <f>IFERROR(__xludf.DUMMYFUNCTION("""COMPUTED_VALUE"""),"081388266430")</f>
        <v>081388266430</v>
      </c>
      <c r="E573" s="25" t="str">
        <f>IFERROR(__xludf.DUMMYFUNCTION("""COMPUTED_VALUE"""),"Lainnya")</f>
        <v>Lainnya</v>
      </c>
      <c r="F573" s="25" t="str">
        <f>IFERROR(__xludf.DUMMYFUNCTION("""COMPUTED_VALUE"""),"Gagal")</f>
        <v>Gagal</v>
      </c>
      <c r="G573" s="25" t="str">
        <f>IFERROR(__xludf.DUMMYFUNCTION("""COMPUTED_VALUE"""),"trip green island, bedil, wedi ireng")</f>
        <v>trip green island, bedil, wedi ireng</v>
      </c>
      <c r="H573" s="78">
        <f>IFERROR(__xludf.DUMMYFUNCTION("""COMPUTED_VALUE"""),46182.0)</f>
        <v>46182</v>
      </c>
      <c r="I573" s="89">
        <f>IFERROR(__xludf.DUMMYFUNCTION("""COMPUTED_VALUE"""),2.0)</f>
        <v>2</v>
      </c>
      <c r="J573" s="96">
        <f>IFERROR(__xludf.DUMMYFUNCTION("""COMPUTED_VALUE"""),3050000.0)</f>
        <v>3050000</v>
      </c>
      <c r="K573" s="30" t="str">
        <f>IFERROR(__xludf.DUMMYFUNCTION("""COMPUTED_VALUE"""),"diskusi duluuu, FU 1 juni")</f>
        <v>diskusi duluuu, FU 1 juni</v>
      </c>
      <c r="L573" s="81" t="str">
        <f>IFERROR(__xludf.DUMMYFUNCTION("""COMPUTED_VALUE"""),"https://docs.google.com/document/d/1X0f_5xWozLUZJFzEwcAzBKr_mGtEWeh88d4DtkMMXA0/edit?tab=t.0")</f>
        <v>https://docs.google.com/document/d/1X0f_5xWozLUZJFzEwcAzBKr_mGtEWeh88d4DtkMMXA0/edit?tab=t.0</v>
      </c>
      <c r="M573" s="20"/>
      <c r="N573" s="20"/>
      <c r="O573" s="20"/>
      <c r="P573" s="20"/>
    </row>
    <row r="574">
      <c r="A574" s="97">
        <f>IFERROR(__xludf.DUMMYFUNCTION("""COMPUTED_VALUE"""),46133.0)</f>
        <v>46133</v>
      </c>
      <c r="B574" s="97" t="str">
        <f>IFERROR(__xludf.DUMMYFUNCTION("""COMPUTED_VALUE"""),"2604D103")</f>
        <v>2604D103</v>
      </c>
      <c r="C574" s="76" t="str">
        <f>IFERROR(__xludf.DUMMYFUNCTION("""COMPUTED_VALUE"""),"Dilly Genkei")</f>
        <v>Dilly Genkei</v>
      </c>
      <c r="D574" s="99" t="str">
        <f>IFERROR(__xludf.DUMMYFUNCTION("""COMPUTED_VALUE"""),"081311462880")</f>
        <v>081311462880</v>
      </c>
      <c r="E574" s="25" t="str">
        <f>IFERROR(__xludf.DUMMYFUNCTION("""COMPUTED_VALUE"""),"Website")</f>
        <v>Website</v>
      </c>
      <c r="F574" s="25" t="str">
        <f>IFERROR(__xludf.DUMMYFUNCTION("""COMPUTED_VALUE"""),"Gagal")</f>
        <v>Gagal</v>
      </c>
      <c r="G574" s="25" t="str">
        <f>IFERROR(__xludf.DUMMYFUNCTION("""COMPUTED_VALUE"""),"3h2m ")</f>
        <v>3h2m </v>
      </c>
      <c r="H574" s="92"/>
      <c r="I574" s="80">
        <f>IFERROR(__xludf.DUMMYFUNCTION("""COMPUTED_VALUE"""),15.0)</f>
        <v>15</v>
      </c>
      <c r="J574" s="93"/>
      <c r="K574" s="46" t="str">
        <f>IFERROR(__xludf.DUMMYFUNCTION("""COMPUTED_VALUE"""),"B2B, gagalll")</f>
        <v>B2B, gagalll</v>
      </c>
      <c r="L574" s="81" t="str">
        <f>IFERROR(__xludf.DUMMYFUNCTION("""COMPUTED_VALUE"""),"https://docs.google.com/document/d/14owENsUAna9OJBscZNOqK_QB8eD0-c4S1N9otfCRiiY/edit?tab=t.0")</f>
        <v>https://docs.google.com/document/d/14owENsUAna9OJBscZNOqK_QB8eD0-c4S1N9otfCRiiY/edit?tab=t.0</v>
      </c>
      <c r="M574" s="20"/>
      <c r="N574" s="20"/>
      <c r="O574" s="20"/>
      <c r="P574" s="20"/>
    </row>
    <row r="575">
      <c r="A575" s="110">
        <f>IFERROR(__xludf.DUMMYFUNCTION("""COMPUTED_VALUE"""),46132.0)</f>
        <v>46132</v>
      </c>
      <c r="B575" s="110" t="str">
        <f>IFERROR(__xludf.DUMMYFUNCTION("""COMPUTED_VALUE"""),"2604D104")</f>
        <v>2604D104</v>
      </c>
      <c r="C575" s="49" t="str">
        <f>IFERROR(__xludf.DUMMYFUNCTION("""COMPUTED_VALUE"""),"Siska")</f>
        <v>Siska</v>
      </c>
      <c r="D575" s="102" t="str">
        <f>IFERROR(__xludf.DUMMYFUNCTION("""COMPUTED_VALUE"""),"082138203623")</f>
        <v>082138203623</v>
      </c>
      <c r="E575" s="25" t="str">
        <f>IFERROR(__xludf.DUMMYFUNCTION("""COMPUTED_VALUE"""),"Instagram")</f>
        <v>Instagram</v>
      </c>
      <c r="F575" s="25" t="str">
        <f>IFERROR(__xludf.DUMMYFUNCTION("""COMPUTED_VALUE"""),"Gagal")</f>
        <v>Gagal</v>
      </c>
      <c r="G575" s="25" t="str">
        <f>IFERROR(__xludf.DUMMYFUNCTION("""COMPUTED_VALUE"""),"ot 3h2m")</f>
        <v>ot 3h2m</v>
      </c>
      <c r="H575" s="78"/>
      <c r="I575" s="89">
        <f>IFERROR(__xludf.DUMMYFUNCTION("""COMPUTED_VALUE"""),5.0)</f>
        <v>5</v>
      </c>
      <c r="J575" s="96"/>
      <c r="K575" s="36" t="str">
        <f>IFERROR(__xludf.DUMMYFUNCTION("""COMPUTED_VALUE"""),"belum jadi tripppp")</f>
        <v>belum jadi tripppp</v>
      </c>
      <c r="L575" s="81" t="str">
        <f>IFERROR(__xludf.DUMMYFUNCTION("""COMPUTED_VALUE"""),"https://docs.google.com/document/d/1kQd95kaRrTTKOaLXD0rooMQF4JmGezlLDRf-ptKMh7I/edit?tab=t.0")</f>
        <v>https://docs.google.com/document/d/1kQd95kaRrTTKOaLXD0rooMQF4JmGezlLDRf-ptKMh7I/edit?tab=t.0</v>
      </c>
      <c r="M575" s="20"/>
      <c r="N575" s="20"/>
      <c r="O575" s="20"/>
      <c r="P575" s="20"/>
    </row>
    <row r="576">
      <c r="A576" s="97">
        <f>IFERROR(__xludf.DUMMYFUNCTION("""COMPUTED_VALUE"""),46133.0)</f>
        <v>46133</v>
      </c>
      <c r="B576" s="97" t="str">
        <f>IFERROR(__xludf.DUMMYFUNCTION("""COMPUTED_VALUE"""),"2604D105")</f>
        <v>2604D105</v>
      </c>
      <c r="C576" s="76" t="str">
        <f>IFERROR(__xludf.DUMMYFUNCTION("""COMPUTED_VALUE"""),"Rohma Aulia")</f>
        <v>Rohma Aulia</v>
      </c>
      <c r="D576" s="99" t="str">
        <f>IFERROR(__xludf.DUMMYFUNCTION("""COMPUTED_VALUE"""),"081910676027")</f>
        <v>081910676027</v>
      </c>
      <c r="E576" s="25" t="str">
        <f>IFERROR(__xludf.DUMMYFUNCTION("""COMPUTED_VALUE"""),"Instagram")</f>
        <v>Instagram</v>
      </c>
      <c r="F576" s="25" t="str">
        <f>IFERROR(__xludf.DUMMYFUNCTION("""COMPUTED_VALUE"""),"Closing")</f>
        <v>Closing</v>
      </c>
      <c r="G576" s="25" t="str">
        <f>IFERROR(__xludf.DUMMYFUNCTION("""COMPUTED_VALUE"""),"OT Green Island ")</f>
        <v>OT Green Island </v>
      </c>
      <c r="H576" s="16">
        <f>IFERROR(__xludf.DUMMYFUNCTION("""COMPUTED_VALUE"""),46188.0)</f>
        <v>46188</v>
      </c>
      <c r="I576" s="17">
        <f>IFERROR(__xludf.DUMMYFUNCTION("""COMPUTED_VALUE"""),2.0)</f>
        <v>2</v>
      </c>
      <c r="J576" s="54">
        <f>IFERROR(__xludf.DUMMYFUNCTION("""COMPUTED_VALUE"""),1100000.0)</f>
        <v>1100000</v>
      </c>
      <c r="K576" s="46" t="str">
        <f>IFERROR(__xludf.DUMMYFUNCTION("""COMPUTED_VALUE"""),"orderrrrr")</f>
        <v>orderrrrr</v>
      </c>
      <c r="L576" s="88" t="str">
        <f>IFERROR(__xludf.DUMMYFUNCTION("""COMPUTED_VALUE"""),"https://docs.google.com/document/d/1OIJrejhEk0YN5CbXlmD-s4POkpG8C_tJjmRZ334H8ZI/edit?tab=t.0")</f>
        <v>https://docs.google.com/document/d/1OIJrejhEk0YN5CbXlmD-s4POkpG8C_tJjmRZ334H8ZI/edit?tab=t.0</v>
      </c>
      <c r="M576" s="20"/>
      <c r="N576" s="20"/>
      <c r="O576" s="20"/>
      <c r="P576" s="20"/>
    </row>
    <row r="577">
      <c r="A577" s="110">
        <f>IFERROR(__xludf.DUMMYFUNCTION("""COMPUTED_VALUE"""),46133.0)</f>
        <v>46133</v>
      </c>
      <c r="B577" s="110" t="str">
        <f>IFERROR(__xludf.DUMMYFUNCTION("""COMPUTED_VALUE"""),"2604D106")</f>
        <v>2604D106</v>
      </c>
      <c r="C577" s="49" t="str">
        <f>IFERROR(__xludf.DUMMYFUNCTION("""COMPUTED_VALUE"""),"Sri Redjeki")</f>
        <v>Sri Redjeki</v>
      </c>
      <c r="D577" s="102" t="str">
        <f>IFERROR(__xludf.DUMMYFUNCTION("""COMPUTED_VALUE"""),"08156515877")</f>
        <v>08156515877</v>
      </c>
      <c r="E577" s="25" t="str">
        <f>IFERROR(__xludf.DUMMYFUNCTION("""COMPUTED_VALUE"""),"Website")</f>
        <v>Website</v>
      </c>
      <c r="F577" s="25" t="str">
        <f>IFERROR(__xludf.DUMMYFUNCTION("""COMPUTED_VALUE"""),"Leads Baru")</f>
        <v>Leads Baru</v>
      </c>
      <c r="G577" s="25" t="str">
        <f>IFERROR(__xludf.DUMMYFUNCTION("""COMPUTED_VALUE"""),"trip 4h3m")</f>
        <v>trip 4h3m</v>
      </c>
      <c r="H577" s="26"/>
      <c r="I577" s="27"/>
      <c r="J577" s="33"/>
      <c r="K577" s="30" t="str">
        <f>IFERROR(__xludf.DUMMYFUNCTION("""COMPUTED_VALUE"""),"nyari temen dulu, FU 2 Juni")</f>
        <v>nyari temen dulu, FU 2 Juni</v>
      </c>
      <c r="L577" s="81" t="str">
        <f>IFERROR(__xludf.DUMMYFUNCTION("""COMPUTED_VALUE"""),"https://docs.google.com/document/d/1o23ao31TurwoyYl_Fxn4HKpRIQ5AZViwXjLqiK9LHcc/edit?tab=t.0")</f>
        <v>https://docs.google.com/document/d/1o23ao31TurwoyYl_Fxn4HKpRIQ5AZViwXjLqiK9LHcc/edit?tab=t.0</v>
      </c>
      <c r="M577" s="20"/>
      <c r="N577" s="20"/>
      <c r="O577" s="20"/>
      <c r="P577" s="20"/>
    </row>
    <row r="578">
      <c r="A578" s="97">
        <f>IFERROR(__xludf.DUMMYFUNCTION("""COMPUTED_VALUE"""),46133.0)</f>
        <v>46133</v>
      </c>
      <c r="B578" s="97" t="str">
        <f>IFERROR(__xludf.DUMMYFUNCTION("""COMPUTED_VALUE"""),"2604D107")</f>
        <v>2604D107</v>
      </c>
      <c r="C578" s="76" t="str">
        <f>IFERROR(__xludf.DUMMYFUNCTION("""COMPUTED_VALUE"""),"Laili  ")</f>
        <v>Laili  </v>
      </c>
      <c r="D578" s="99" t="str">
        <f>IFERROR(__xludf.DUMMYFUNCTION("""COMPUTED_VALUE"""),"087753967585")</f>
        <v>087753967585</v>
      </c>
      <c r="E578" s="25" t="str">
        <f>IFERROR(__xludf.DUMMYFUNCTION("""COMPUTED_VALUE"""),"Instagram")</f>
        <v>Instagram</v>
      </c>
      <c r="F578" s="25" t="str">
        <f>IFERROR(__xludf.DUMMYFUNCTION("""COMPUTED_VALUE"""),"Follow Up")</f>
        <v>Follow Up</v>
      </c>
      <c r="G578" s="25" t="str">
        <f>IFERROR(__xludf.DUMMYFUNCTION("""COMPUTED_VALUE"""),"3h2m ")</f>
        <v>3h2m </v>
      </c>
      <c r="H578" s="92"/>
      <c r="I578" s="80">
        <f>IFERROR(__xludf.DUMMYFUNCTION("""COMPUTED_VALUE"""),60.0)</f>
        <v>60</v>
      </c>
      <c r="J578" s="93">
        <f>IFERROR(__xludf.DUMMYFUNCTION("""COMPUTED_VALUE"""),8.31E7)</f>
        <v>83100000</v>
      </c>
      <c r="K578" s="46" t="str">
        <f>IFERROR(__xludf.DUMMYFUNCTION("""COMPUTED_VALUE"""),"kirim penawaran, belum ada balasan")</f>
        <v>kirim penawaran, belum ada balasan</v>
      </c>
      <c r="L578" s="88" t="str">
        <f>IFERROR(__xludf.DUMMYFUNCTION("""COMPUTED_VALUE"""),"https://docs.google.com/document/d/1bKxe1ycKmo9cuWtnuOPOjlrPx29JYMR1Nj9Yznf_MaU/edit?tab=t.0")</f>
        <v>https://docs.google.com/document/d/1bKxe1ycKmo9cuWtnuOPOjlrPx29JYMR1Nj9Yznf_MaU/edit?tab=t.0</v>
      </c>
      <c r="M578" s="20"/>
      <c r="N578" s="20"/>
      <c r="O578" s="20"/>
      <c r="P578" s="20"/>
    </row>
    <row r="579">
      <c r="A579" s="110">
        <f>IFERROR(__xludf.DUMMYFUNCTION("""COMPUTED_VALUE"""),46134.0)</f>
        <v>46134</v>
      </c>
      <c r="B579" s="110" t="str">
        <f>IFERROR(__xludf.DUMMYFUNCTION("""COMPUTED_VALUE"""),"2604D108")</f>
        <v>2604D108</v>
      </c>
      <c r="C579" s="49" t="str">
        <f>IFERROR(__xludf.DUMMYFUNCTION("""COMPUTED_VALUE"""),"Rara")</f>
        <v>Rara</v>
      </c>
      <c r="D579" s="102" t="str">
        <f>IFERROR(__xludf.DUMMYFUNCTION("""COMPUTED_VALUE"""),"085163080638")</f>
        <v>085163080638</v>
      </c>
      <c r="E579" s="25" t="str">
        <f>IFERROR(__xludf.DUMMYFUNCTION("""COMPUTED_VALUE"""),"Instagram")</f>
        <v>Instagram</v>
      </c>
      <c r="F579" s="25" t="str">
        <f>IFERROR(__xludf.DUMMYFUNCTION("""COMPUTED_VALUE"""),"Gagal")</f>
        <v>Gagal</v>
      </c>
      <c r="G579" s="25" t="str">
        <f>IFERROR(__xludf.DUMMYFUNCTION("""COMPUTED_VALUE"""),"1 day trip")</f>
        <v>1 day trip</v>
      </c>
      <c r="H579" s="26"/>
      <c r="I579" s="89"/>
      <c r="J579" s="33"/>
      <c r="K579" s="30" t="str">
        <f>IFERROR(__xludf.DUMMYFUNCTION("""COMPUTED_VALUE"""),"buat penawaran, FU lagi 27 Mei")</f>
        <v>buat penawaran, FU lagi 27 Mei</v>
      </c>
      <c r="L579" s="81" t="str">
        <f>IFERROR(__xludf.DUMMYFUNCTION("""COMPUTED_VALUE"""),"https://docs.google.com/document/d/13_wp2Rd-OLkZ5GFjOehwpUKWbNXhzwXOVTgMs8-dBYk/edit?tab=t.0")</f>
        <v>https://docs.google.com/document/d/13_wp2Rd-OLkZ5GFjOehwpUKWbNXhzwXOVTgMs8-dBYk/edit?tab=t.0</v>
      </c>
      <c r="M579" s="20"/>
      <c r="N579" s="20"/>
      <c r="O579" s="20"/>
      <c r="P579" s="20"/>
    </row>
    <row r="580">
      <c r="A580" s="97">
        <f>IFERROR(__xludf.DUMMYFUNCTION("""COMPUTED_VALUE"""),46134.0)</f>
        <v>46134</v>
      </c>
      <c r="B580" s="97" t="str">
        <f>IFERROR(__xludf.DUMMYFUNCTION("""COMPUTED_VALUE"""),"2604D109 ")</f>
        <v>2604D109 </v>
      </c>
      <c r="C580" s="76" t="str">
        <f>IFERROR(__xludf.DUMMYFUNCTION("""COMPUTED_VALUE"""),"Deki Sulistiyo")</f>
        <v>Deki Sulistiyo</v>
      </c>
      <c r="D580" s="99" t="str">
        <f>IFERROR(__xludf.DUMMYFUNCTION("""COMPUTED_VALUE"""),"0895418947735")</f>
        <v>0895418947735</v>
      </c>
      <c r="E580" s="25" t="str">
        <f>IFERROR(__xludf.DUMMYFUNCTION("""COMPUTED_VALUE"""),"Lainnya")</f>
        <v>Lainnya</v>
      </c>
      <c r="F580" s="25" t="str">
        <f>IFERROR(__xludf.DUMMYFUNCTION("""COMPUTED_VALUE"""),"Gagal")</f>
        <v>Gagal</v>
      </c>
      <c r="G580" s="25" t="str">
        <f>IFERROR(__xludf.DUMMYFUNCTION("""COMPUTED_VALUE"""),"private trip Ijen")</f>
        <v>private trip Ijen</v>
      </c>
      <c r="H580" s="92">
        <f>IFERROR(__xludf.DUMMYFUNCTION("""COMPUTED_VALUE"""),46185.0)</f>
        <v>46185</v>
      </c>
      <c r="I580" s="80">
        <f>IFERROR(__xludf.DUMMYFUNCTION("""COMPUTED_VALUE"""),7.0)</f>
        <v>7</v>
      </c>
      <c r="J580" s="93"/>
      <c r="K580" s="46" t="str">
        <f>IFERROR(__xludf.DUMMYFUNCTION("""COMPUTED_VALUE"""),"belum balas lagi, 4 WNA 3 WNi, B2B. FU 2 Juni")</f>
        <v>belum balas lagi, 4 WNA 3 WNi, B2B. FU 2 Juni</v>
      </c>
      <c r="L580" s="100" t="str">
        <f>IFERROR(__xludf.DUMMYFUNCTION("""COMPUTED_VALUE"""),"https://docs.google.com/document/d/1WkLKWZA8TygP9nFTYVgBd70FECJBPcigBzsef06K1qc/edit?tab=t.0")</f>
        <v>https://docs.google.com/document/d/1WkLKWZA8TygP9nFTYVgBd70FECJBPcigBzsef06K1qc/edit?tab=t.0</v>
      </c>
      <c r="M580" s="20"/>
      <c r="N580" s="20"/>
      <c r="O580" s="20"/>
      <c r="P580" s="20"/>
    </row>
    <row r="581">
      <c r="A581" s="97">
        <f>IFERROR(__xludf.DUMMYFUNCTION("""COMPUTED_VALUE"""),45767.0)</f>
        <v>45767</v>
      </c>
      <c r="B581" s="97" t="str">
        <f>IFERROR(__xludf.DUMMYFUNCTION("""COMPUTED_VALUE"""),"2604D110")</f>
        <v>2604D110</v>
      </c>
      <c r="C581" s="76" t="str">
        <f>IFERROR(__xludf.DUMMYFUNCTION("""COMPUTED_VALUE"""),"Bulan Fitria")</f>
        <v>Bulan Fitria</v>
      </c>
      <c r="D581" s="99" t="str">
        <f>IFERROR(__xludf.DUMMYFUNCTION("""COMPUTED_VALUE"""),"085161082238")</f>
        <v>085161082238</v>
      </c>
      <c r="E581" s="25" t="str">
        <f>IFERROR(__xludf.DUMMYFUNCTION("""COMPUTED_VALUE"""),"Rekomendasi")</f>
        <v>Rekomendasi</v>
      </c>
      <c r="F581" s="25" t="str">
        <f>IFERROR(__xludf.DUMMYFUNCTION("""COMPUTED_VALUE"""),"Closing")</f>
        <v>Closing</v>
      </c>
      <c r="G581" s="25" t="str">
        <f>IFERROR(__xludf.DUMMYFUNCTION("""COMPUTED_VALUE"""),"OT kawah ijen")</f>
        <v>OT kawah ijen</v>
      </c>
      <c r="H581" s="92">
        <f>IFERROR(__xludf.DUMMYFUNCTION("""COMPUTED_VALUE"""),46139.0)</f>
        <v>46139</v>
      </c>
      <c r="I581" s="80">
        <f>IFERROR(__xludf.DUMMYFUNCTION("""COMPUTED_VALUE"""),1.0)</f>
        <v>1</v>
      </c>
      <c r="J581" s="93">
        <f>IFERROR(__xludf.DUMMYFUNCTION("""COMPUTED_VALUE"""),250000.0)</f>
        <v>250000</v>
      </c>
      <c r="K581" s="19" t="str">
        <f>IFERROR(__xludf.DUMMYFUNCTION("""COMPUTED_VALUE"""),"orderrrr")</f>
        <v>orderrrr</v>
      </c>
      <c r="L581" s="76"/>
      <c r="M581" s="20"/>
      <c r="N581" s="20"/>
      <c r="O581" s="20"/>
      <c r="P581" s="20"/>
    </row>
    <row r="582">
      <c r="A582" s="110">
        <f>IFERROR(__xludf.DUMMYFUNCTION("""COMPUTED_VALUE"""),46134.0)</f>
        <v>46134</v>
      </c>
      <c r="B582" s="110" t="str">
        <f>IFERROR(__xludf.DUMMYFUNCTION("""COMPUTED_VALUE"""),"2604D111")</f>
        <v>2604D111</v>
      </c>
      <c r="C582" s="49" t="str">
        <f>IFERROR(__xludf.DUMMYFUNCTION("""COMPUTED_VALUE"""),"Dy")</f>
        <v>Dy</v>
      </c>
      <c r="D582" s="102" t="str">
        <f>IFERROR(__xludf.DUMMYFUNCTION("""COMPUTED_VALUE"""),"081311116988")</f>
        <v>081311116988</v>
      </c>
      <c r="E582" s="25" t="str">
        <f>IFERROR(__xludf.DUMMYFUNCTION("""COMPUTED_VALUE"""),"Website")</f>
        <v>Website</v>
      </c>
      <c r="F582" s="25" t="str">
        <f>IFERROR(__xludf.DUMMYFUNCTION("""COMPUTED_VALUE"""),"Gagal")</f>
        <v>Gagal</v>
      </c>
      <c r="G582" s="25" t="str">
        <f>IFERROR(__xludf.DUMMYFUNCTION("""COMPUTED_VALUE"""),"3h2m opsi B")</f>
        <v>3h2m opsi B</v>
      </c>
      <c r="H582" s="78">
        <f>IFERROR(__xludf.DUMMYFUNCTION("""COMPUTED_VALUE"""),46161.0)</f>
        <v>46161</v>
      </c>
      <c r="I582" s="89">
        <f>IFERROR(__xludf.DUMMYFUNCTION("""COMPUTED_VALUE"""),4.0)</f>
        <v>4</v>
      </c>
      <c r="J582" s="96">
        <f>IFERROR(__xludf.DUMMYFUNCTION("""COMPUTED_VALUE"""),6376000.0)</f>
        <v>6376000</v>
      </c>
      <c r="K582" s="36" t="str">
        <f>IFERROR(__xludf.DUMMYFUNCTION("""COMPUTED_VALUE"""),"Ditunda blm tau kapan")</f>
        <v>Ditunda blm tau kapan</v>
      </c>
      <c r="L582" s="81" t="str">
        <f>IFERROR(__xludf.DUMMYFUNCTION("""COMPUTED_VALUE"""),"https://docs.google.com/document/d/1qDG5xKQw3NSkuet7vF5jjItKu_hXzf5_Hpp9a2ke-wE/edit?tab=t.0")</f>
        <v>https://docs.google.com/document/d/1qDG5xKQw3NSkuet7vF5jjItKu_hXzf5_Hpp9a2ke-wE/edit?tab=t.0</v>
      </c>
      <c r="M582" s="20"/>
      <c r="N582" s="20"/>
      <c r="O582" s="20"/>
      <c r="P582" s="20"/>
    </row>
    <row r="583">
      <c r="A583" s="97">
        <f>IFERROR(__xludf.DUMMYFUNCTION("""COMPUTED_VALUE"""),46134.0)</f>
        <v>46134</v>
      </c>
      <c r="B583" s="97" t="str">
        <f>IFERROR(__xludf.DUMMYFUNCTION("""COMPUTED_VALUE"""),"2604D112")</f>
        <v>2604D112</v>
      </c>
      <c r="C583" s="76" t="str">
        <f>IFERROR(__xludf.DUMMYFUNCTION("""COMPUTED_VALUE"""),"Yuli")</f>
        <v>Yuli</v>
      </c>
      <c r="D583" s="99" t="str">
        <f>IFERROR(__xludf.DUMMYFUNCTION("""COMPUTED_VALUE"""),"085779434648")</f>
        <v>085779434648</v>
      </c>
      <c r="E583" s="25" t="str">
        <f>IFERROR(__xludf.DUMMYFUNCTION("""COMPUTED_VALUE"""),"Instagram")</f>
        <v>Instagram</v>
      </c>
      <c r="F583" s="25" t="str">
        <f>IFERROR(__xludf.DUMMYFUNCTION("""COMPUTED_VALUE"""),"Leads Baru")</f>
        <v>Leads Baru</v>
      </c>
      <c r="G583" s="25" t="str">
        <f>IFERROR(__xludf.DUMMYFUNCTION("""COMPUTED_VALUE"""),"OT 3h2m")</f>
        <v>OT 3h2m</v>
      </c>
      <c r="H583" s="92"/>
      <c r="I583" s="80">
        <f>IFERROR(__xludf.DUMMYFUNCTION("""COMPUTED_VALUE"""),3.0)</f>
        <v>3</v>
      </c>
      <c r="J583" s="93"/>
      <c r="K583" s="46" t="str">
        <f>IFERROR(__xludf.DUMMYFUNCTION("""COMPUTED_VALUE"""),"bilang ke temen, FU 8 Juni")</f>
        <v>bilang ke temen, FU 8 Juni</v>
      </c>
      <c r="L583" s="88" t="str">
        <f>IFERROR(__xludf.DUMMYFUNCTION("""COMPUTED_VALUE"""),"https://docs.google.com/document/d/1uKnkM18Fe91cFflSBe0nc4YXygjnGQozE03oMr8vpH4/edit?tab=t.0")</f>
        <v>https://docs.google.com/document/d/1uKnkM18Fe91cFflSBe0nc4YXygjnGQozE03oMr8vpH4/edit?tab=t.0</v>
      </c>
      <c r="M583" s="20"/>
      <c r="N583" s="20"/>
      <c r="O583" s="20"/>
      <c r="P583" s="20"/>
    </row>
    <row r="584">
      <c r="A584" s="110">
        <f>IFERROR(__xludf.DUMMYFUNCTION("""COMPUTED_VALUE"""),46135.0)</f>
        <v>46135</v>
      </c>
      <c r="B584" s="110" t="str">
        <f>IFERROR(__xludf.DUMMYFUNCTION("""COMPUTED_VALUE"""),"2604D113")</f>
        <v>2604D113</v>
      </c>
      <c r="C584" s="49" t="str">
        <f>IFERROR(__xludf.DUMMYFUNCTION("""COMPUTED_VALUE"""),"Regina")</f>
        <v>Regina</v>
      </c>
      <c r="D584" s="102" t="str">
        <f>IFERROR(__xludf.DUMMYFUNCTION("""COMPUTED_VALUE"""),"085962869696")</f>
        <v>085962869696</v>
      </c>
      <c r="E584" s="25" t="str">
        <f>IFERROR(__xludf.DUMMYFUNCTION("""COMPUTED_VALUE"""),"Website")</f>
        <v>Website</v>
      </c>
      <c r="F584" s="25" t="str">
        <f>IFERROR(__xludf.DUMMYFUNCTION("""COMPUTED_VALUE"""),"Gagal")</f>
        <v>Gagal</v>
      </c>
      <c r="G584" s="25" t="str">
        <f>IFERROR(__xludf.DUMMYFUNCTION("""COMPUTED_VALUE"""),"paket OT")</f>
        <v>paket OT</v>
      </c>
      <c r="H584" s="78"/>
      <c r="I584" s="89">
        <f>IFERROR(__xludf.DUMMYFUNCTION("""COMPUTED_VALUE"""),1.0)</f>
        <v>1</v>
      </c>
      <c r="J584" s="96"/>
      <c r="K584" s="30" t="str">
        <f>IFERROR(__xludf.DUMMYFUNCTION("""COMPUTED_VALUE"""),"sudah fu 4 kali ga pernah baless")</f>
        <v>sudah fu 4 kali ga pernah baless</v>
      </c>
      <c r="L584" s="81" t="str">
        <f>IFERROR(__xludf.DUMMYFUNCTION("""COMPUTED_VALUE"""),"https://docs.google.com/document/d/1JEhsed8cUIpeRhpSoeVkt_K3u-Rsjohv86_T5zNuGNA/edit?tab=t.0")</f>
        <v>https://docs.google.com/document/d/1JEhsed8cUIpeRhpSoeVkt_K3u-Rsjohv86_T5zNuGNA/edit?tab=t.0</v>
      </c>
      <c r="M584" s="20"/>
      <c r="N584" s="20"/>
      <c r="O584" s="20"/>
      <c r="P584" s="20"/>
    </row>
    <row r="585">
      <c r="A585" s="97">
        <f>IFERROR(__xludf.DUMMYFUNCTION("""COMPUTED_VALUE"""),46135.0)</f>
        <v>46135</v>
      </c>
      <c r="B585" s="97" t="str">
        <f>IFERROR(__xludf.DUMMYFUNCTION("""COMPUTED_VALUE"""),"2604D114")</f>
        <v>2604D114</v>
      </c>
      <c r="C585" s="76" t="str">
        <f>IFERROR(__xludf.DUMMYFUNCTION("""COMPUTED_VALUE"""),"Aprida")</f>
        <v>Aprida</v>
      </c>
      <c r="D585" s="99" t="str">
        <f>IFERROR(__xludf.DUMMYFUNCTION("""COMPUTED_VALUE"""),"085642365218")</f>
        <v>085642365218</v>
      </c>
      <c r="E585" s="25" t="str">
        <f>IFERROR(__xludf.DUMMYFUNCTION("""COMPUTED_VALUE"""),"Instagram")</f>
        <v>Instagram</v>
      </c>
      <c r="F585" s="25" t="str">
        <f>IFERROR(__xludf.DUMMYFUNCTION("""COMPUTED_VALUE"""),"Leads Baru")</f>
        <v>Leads Baru</v>
      </c>
      <c r="G585" s="25" t="str">
        <f>IFERROR(__xludf.DUMMYFUNCTION("""COMPUTED_VALUE"""),"1 day trip")</f>
        <v>1 day trip</v>
      </c>
      <c r="H585" s="92"/>
      <c r="I585" s="80">
        <f>IFERROR(__xludf.DUMMYFUNCTION("""COMPUTED_VALUE"""),2.0)</f>
        <v>2</v>
      </c>
      <c r="J585" s="93"/>
      <c r="K585" s="19" t="str">
        <f>IFERROR(__xludf.DUMMYFUNCTION("""COMPUTED_VALUE"""),"sudah kasih 2 opsi, FU 3 Juni")</f>
        <v>sudah kasih 2 opsi, FU 3 Juni</v>
      </c>
      <c r="L585" s="88" t="str">
        <f>IFERROR(__xludf.DUMMYFUNCTION("""COMPUTED_VALUE"""),"https://docs.google.com/document/d/1kZ8sC95ZVys9F7tzKPfFAOA9ZTL8W7zP-Ie392VQKTk/edit?tab=t.0")</f>
        <v>https://docs.google.com/document/d/1kZ8sC95ZVys9F7tzKPfFAOA9ZTL8W7zP-Ie392VQKTk/edit?tab=t.0</v>
      </c>
      <c r="M585" s="20"/>
      <c r="N585" s="20"/>
      <c r="O585" s="20"/>
      <c r="P585" s="20"/>
    </row>
    <row r="586">
      <c r="A586" s="110">
        <f>IFERROR(__xludf.DUMMYFUNCTION("""COMPUTED_VALUE"""),46135.0)</f>
        <v>46135</v>
      </c>
      <c r="B586" s="110" t="str">
        <f>IFERROR(__xludf.DUMMYFUNCTION("""COMPUTED_VALUE"""),"2604D115")</f>
        <v>2604D115</v>
      </c>
      <c r="C586" s="49" t="str">
        <f>IFERROR(__xludf.DUMMYFUNCTION("""COMPUTED_VALUE"""),"Intan")</f>
        <v>Intan</v>
      </c>
      <c r="D586" s="102" t="str">
        <f>IFERROR(__xludf.DUMMYFUNCTION("""COMPUTED_VALUE"""),"089685639006")</f>
        <v>089685639006</v>
      </c>
      <c r="E586" s="25" t="str">
        <f>IFERROR(__xludf.DUMMYFUNCTION("""COMPUTED_VALUE"""),"Rekomendasi")</f>
        <v>Rekomendasi</v>
      </c>
      <c r="F586" s="25" t="str">
        <f>IFERROR(__xludf.DUMMYFUNCTION("""COMPUTED_VALUE"""),"Gagal")</f>
        <v>Gagal</v>
      </c>
      <c r="G586" s="25" t="str">
        <f>IFERROR(__xludf.DUMMYFUNCTION("""COMPUTED_VALUE"""),"trip Menjangan ")</f>
        <v>trip Menjangan </v>
      </c>
      <c r="H586" s="26"/>
      <c r="I586" s="27">
        <f>IFERROR(__xludf.DUMMYFUNCTION("""COMPUTED_VALUE"""),2.0)</f>
        <v>2</v>
      </c>
      <c r="J586" s="33"/>
      <c r="K586" s="30" t="str">
        <f>IFERROR(__xludf.DUMMYFUNCTION("""COMPUTED_VALUE"""),"belum jadi, mama nya meninggal dunia")</f>
        <v>belum jadi, mama nya meninggal dunia</v>
      </c>
      <c r="L586" s="49"/>
      <c r="M586" s="20"/>
      <c r="N586" s="20"/>
      <c r="O586" s="20"/>
      <c r="P586" s="20"/>
    </row>
    <row r="587">
      <c r="A587" s="97">
        <f>IFERROR(__xludf.DUMMYFUNCTION("""COMPUTED_VALUE"""),45770.0)</f>
        <v>45770</v>
      </c>
      <c r="B587" s="97" t="str">
        <f>IFERROR(__xludf.DUMMYFUNCTION("""COMPUTED_VALUE"""),"2604D116")</f>
        <v>2604D116</v>
      </c>
      <c r="C587" s="76" t="str">
        <f>IFERROR(__xludf.DUMMYFUNCTION("""COMPUTED_VALUE"""),"Febrina Mila")</f>
        <v>Febrina Mila</v>
      </c>
      <c r="D587" s="99" t="str">
        <f>IFERROR(__xludf.DUMMYFUNCTION("""COMPUTED_VALUE"""),"085336925757")</f>
        <v>085336925757</v>
      </c>
      <c r="E587" s="25" t="str">
        <f>IFERROR(__xludf.DUMMYFUNCTION("""COMPUTED_VALUE"""),"Instagram")</f>
        <v>Instagram</v>
      </c>
      <c r="F587" s="25" t="str">
        <f>IFERROR(__xludf.DUMMYFUNCTION("""COMPUTED_VALUE"""),"Gagal")</f>
        <v>Gagal</v>
      </c>
      <c r="G587" s="25" t="str">
        <f>IFERROR(__xludf.DUMMYFUNCTION("""COMPUTED_VALUE"""),"trip Green Island")</f>
        <v>trip Green Island</v>
      </c>
      <c r="H587" s="16">
        <f>IFERROR(__xludf.DUMMYFUNCTION("""COMPUTED_VALUE"""),46158.0)</f>
        <v>46158</v>
      </c>
      <c r="I587" s="80"/>
      <c r="J587" s="93"/>
      <c r="K587" s="46" t="str">
        <f>IFERROR(__xludf.DUMMYFUNCTION("""COMPUTED_VALUE"""),"lewat tgl")</f>
        <v>lewat tgl</v>
      </c>
      <c r="L587" s="88" t="str">
        <f>IFERROR(__xludf.DUMMYFUNCTION("""COMPUTED_VALUE"""),"https://docs.google.com/document/d/1rfIICJjN92fpcp9-HHu41Z4u3SfYLWBa7nWYFFSePAk/edit?tab=t.0")</f>
        <v>https://docs.google.com/document/d/1rfIICJjN92fpcp9-HHu41Z4u3SfYLWBa7nWYFFSePAk/edit?tab=t.0</v>
      </c>
      <c r="M587" s="20"/>
      <c r="N587" s="20"/>
      <c r="O587" s="20"/>
      <c r="P587" s="20"/>
    </row>
    <row r="588">
      <c r="A588" s="110">
        <f>IFERROR(__xludf.DUMMYFUNCTION("""COMPUTED_VALUE"""),46136.0)</f>
        <v>46136</v>
      </c>
      <c r="B588" s="110" t="str">
        <f>IFERROR(__xludf.DUMMYFUNCTION("""COMPUTED_VALUE"""),"2604D117")</f>
        <v>2604D117</v>
      </c>
      <c r="C588" s="49" t="str">
        <f>IFERROR(__xludf.DUMMYFUNCTION("""COMPUTED_VALUE"""),"Prisca Augustria")</f>
        <v>Prisca Augustria</v>
      </c>
      <c r="D588" s="102" t="str">
        <f>IFERROR(__xludf.DUMMYFUNCTION("""COMPUTED_VALUE"""),"081808084037")</f>
        <v>081808084037</v>
      </c>
      <c r="E588" s="25" t="str">
        <f>IFERROR(__xludf.DUMMYFUNCTION("""COMPUTED_VALUE"""),"Instagram")</f>
        <v>Instagram</v>
      </c>
      <c r="F588" s="25" t="str">
        <f>IFERROR(__xludf.DUMMYFUNCTION("""COMPUTED_VALUE"""),"Gagal")</f>
        <v>Gagal</v>
      </c>
      <c r="G588" s="25" t="str">
        <f>IFERROR(__xludf.DUMMYFUNCTION("""COMPUTED_VALUE"""),"trip Ijen Baluran")</f>
        <v>trip Ijen Baluran</v>
      </c>
      <c r="H588" s="26">
        <f>IFERROR(__xludf.DUMMYFUNCTION("""COMPUTED_VALUE"""),46158.0)</f>
        <v>46158</v>
      </c>
      <c r="I588" s="27">
        <f>IFERROR(__xludf.DUMMYFUNCTION("""COMPUTED_VALUE"""),4.0)</f>
        <v>4</v>
      </c>
      <c r="J588" s="33">
        <f>IFERROR(__xludf.DUMMYFUNCTION("""COMPUTED_VALUE"""),2188000.0)</f>
        <v>2188000</v>
      </c>
      <c r="K588" s="30" t="str">
        <f>IFERROR(__xludf.DUMMYFUNCTION("""COMPUTED_VALUE"""),"Lewat tanggal dan tidak balas")</f>
        <v>Lewat tanggal dan tidak balas</v>
      </c>
      <c r="L588" s="81" t="str">
        <f>IFERROR(__xludf.DUMMYFUNCTION("""COMPUTED_VALUE"""),"https://docs.google.com/document/d/1cK1b0Z2fSfWsfILIB481EGy5hGnfouFuX2k8GdvvtUw/edit?tab=t.0")</f>
        <v>https://docs.google.com/document/d/1cK1b0Z2fSfWsfILIB481EGy5hGnfouFuX2k8GdvvtUw/edit?tab=t.0</v>
      </c>
      <c r="M588" s="20"/>
      <c r="N588" s="20"/>
      <c r="O588" s="20"/>
      <c r="P588" s="20"/>
    </row>
    <row r="589">
      <c r="A589" s="97">
        <f>IFERROR(__xludf.DUMMYFUNCTION("""COMPUTED_VALUE"""),46137.0)</f>
        <v>46137</v>
      </c>
      <c r="B589" s="97" t="str">
        <f>IFERROR(__xludf.DUMMYFUNCTION("""COMPUTED_VALUE"""),"2604D118")</f>
        <v>2604D118</v>
      </c>
      <c r="C589" s="76" t="str">
        <f>IFERROR(__xludf.DUMMYFUNCTION("""COMPUTED_VALUE"""),"Gaby Rostanawa")</f>
        <v>Gaby Rostanawa</v>
      </c>
      <c r="D589" s="99" t="str">
        <f>IFERROR(__xludf.DUMMYFUNCTION("""COMPUTED_VALUE"""),"085648882359")</f>
        <v>085648882359</v>
      </c>
      <c r="E589" s="25" t="str">
        <f>IFERROR(__xludf.DUMMYFUNCTION("""COMPUTED_VALUE"""),"Lainnya")</f>
        <v>Lainnya</v>
      </c>
      <c r="F589" s="25" t="str">
        <f>IFERROR(__xludf.DUMMYFUNCTION("""COMPUTED_VALUE"""),"Closing")</f>
        <v>Closing</v>
      </c>
      <c r="G589" s="25" t="str">
        <f>IFERROR(__xludf.DUMMYFUNCTION("""COMPUTED_VALUE"""),"OT Menjangan Tabuhan")</f>
        <v>OT Menjangan Tabuhan</v>
      </c>
      <c r="H589" s="16">
        <f>IFERROR(__xludf.DUMMYFUNCTION("""COMPUTED_VALUE"""),46151.0)</f>
        <v>46151</v>
      </c>
      <c r="I589" s="17">
        <f>IFERROR(__xludf.DUMMYFUNCTION("""COMPUTED_VALUE"""),2.0)</f>
        <v>2</v>
      </c>
      <c r="J589" s="54">
        <f>IFERROR(__xludf.DUMMYFUNCTION("""COMPUTED_VALUE"""),590000.0)</f>
        <v>590000</v>
      </c>
      <c r="K589" s="46" t="str">
        <f>IFERROR(__xludf.DUMMYFUNCTION("""COMPUTED_VALUE"""),"ORDERR")</f>
        <v>ORDERR</v>
      </c>
      <c r="L589" s="76"/>
      <c r="M589" s="20"/>
      <c r="N589" s="20"/>
      <c r="O589" s="20"/>
      <c r="P589" s="20"/>
    </row>
    <row r="590">
      <c r="A590" s="110">
        <f>IFERROR(__xludf.DUMMYFUNCTION("""COMPUTED_VALUE"""),46137.0)</f>
        <v>46137</v>
      </c>
      <c r="B590" s="135" t="str">
        <f>IFERROR(__xludf.DUMMYFUNCTION("""COMPUTED_VALUE"""),"2604D119 ")</f>
        <v>2604D119 </v>
      </c>
      <c r="C590" s="49" t="str">
        <f>IFERROR(__xludf.DUMMYFUNCTION("""COMPUTED_VALUE"""),"Kevin")</f>
        <v>Kevin</v>
      </c>
      <c r="D590" s="102" t="str">
        <f>IFERROR(__xludf.DUMMYFUNCTION("""COMPUTED_VALUE"""),"085704064490")</f>
        <v>085704064490</v>
      </c>
      <c r="E590" s="25" t="str">
        <f>IFERROR(__xludf.DUMMYFUNCTION("""COMPUTED_VALUE"""),"Lainnya")</f>
        <v>Lainnya</v>
      </c>
      <c r="F590" s="25" t="str">
        <f>IFERROR(__xludf.DUMMYFUNCTION("""COMPUTED_VALUE"""),"Closing")</f>
        <v>Closing</v>
      </c>
      <c r="G590" s="25" t="str">
        <f>IFERROR(__xludf.DUMMYFUNCTION("""COMPUTED_VALUE"""),"OT teluk Ijo ")</f>
        <v>OT teluk Ijo </v>
      </c>
      <c r="H590" s="78">
        <f>IFERROR(__xludf.DUMMYFUNCTION("""COMPUTED_VALUE"""),46229.0)</f>
        <v>46229</v>
      </c>
      <c r="I590" s="89">
        <f>IFERROR(__xludf.DUMMYFUNCTION("""COMPUTED_VALUE"""),1.0)</f>
        <v>1</v>
      </c>
      <c r="J590" s="96">
        <f>IFERROR(__xludf.DUMMYFUNCTION("""COMPUTED_VALUE"""),600000.0)</f>
        <v>600000</v>
      </c>
      <c r="K590" s="30" t="str">
        <f>IFERROR(__xludf.DUMMYFUNCTION("""COMPUTED_VALUE"""),"ORDERR, cari barengan 26 JULI")</f>
        <v>ORDERR, cari barengan 26 JULI</v>
      </c>
      <c r="L590" s="81" t="str">
        <f>IFERROR(__xludf.DUMMYFUNCTION("""COMPUTED_VALUE"""),"https://docs.google.com/document/d/1EQMAU5KNut7qFBpf4Cip1yoVpIyTmHY90yH4vKktdx8/edit?tab=t.0")</f>
        <v>https://docs.google.com/document/d/1EQMAU5KNut7qFBpf4Cip1yoVpIyTmHY90yH4vKktdx8/edit?tab=t.0</v>
      </c>
      <c r="M590" s="20"/>
      <c r="N590" s="20"/>
      <c r="O590" s="20"/>
      <c r="P590" s="20"/>
    </row>
    <row r="591">
      <c r="A591" s="97">
        <f>IFERROR(__xludf.DUMMYFUNCTION("""COMPUTED_VALUE"""),46137.0)</f>
        <v>46137</v>
      </c>
      <c r="B591" s="97" t="str">
        <f>IFERROR(__xludf.DUMMYFUNCTION("""COMPUTED_VALUE"""),"2604D120")</f>
        <v>2604D120</v>
      </c>
      <c r="C591" s="76" t="str">
        <f>IFERROR(__xludf.DUMMYFUNCTION("""COMPUTED_VALUE"""),"Username Jepang")</f>
        <v>Username Jepang</v>
      </c>
      <c r="D591" s="99" t="str">
        <f>IFERROR(__xludf.DUMMYFUNCTION("""COMPUTED_VALUE"""),"082325834235")</f>
        <v>082325834235</v>
      </c>
      <c r="E591" s="25" t="str">
        <f>IFERROR(__xludf.DUMMYFUNCTION("""COMPUTED_VALUE"""),"Website")</f>
        <v>Website</v>
      </c>
      <c r="F591" s="25" t="str">
        <f>IFERROR(__xludf.DUMMYFUNCTION("""COMPUTED_VALUE"""),"Gagal")</f>
        <v>Gagal</v>
      </c>
      <c r="G591" s="25" t="str">
        <f>IFERROR(__xludf.DUMMYFUNCTION("""COMPUTED_VALUE"""),"3h2m")</f>
        <v>3h2m</v>
      </c>
      <c r="H591" s="16">
        <f>IFERROR(__xludf.DUMMYFUNCTION("""COMPUTED_VALUE"""),46152.0)</f>
        <v>46152</v>
      </c>
      <c r="I591" s="17">
        <f>IFERROR(__xludf.DUMMYFUNCTION("""COMPUTED_VALUE"""),2.0)</f>
        <v>2</v>
      </c>
      <c r="J591" s="54"/>
      <c r="K591" s="46" t="str">
        <f>IFERROR(__xludf.DUMMYFUNCTION("""COMPUTED_VALUE"""),"sudah fu tidak balasss")</f>
        <v>sudah fu tidak balasss</v>
      </c>
      <c r="L591" s="88" t="str">
        <f>IFERROR(__xludf.DUMMYFUNCTION("""COMPUTED_VALUE"""),"https://docs.google.com/document/d/1R4h21_Q98umNU7M4vKLZtciPB8rej6eCA_CXgUFW74M/edit?tab=t.0")</f>
        <v>https://docs.google.com/document/d/1R4h21_Q98umNU7M4vKLZtciPB8rej6eCA_CXgUFW74M/edit?tab=t.0</v>
      </c>
      <c r="M591" s="20"/>
      <c r="N591" s="20"/>
      <c r="O591" s="20"/>
      <c r="P591" s="20"/>
    </row>
    <row r="592">
      <c r="A592" s="110">
        <f>IFERROR(__xludf.DUMMYFUNCTION("""COMPUTED_VALUE"""),46138.0)</f>
        <v>46138</v>
      </c>
      <c r="B592" s="110" t="str">
        <f>IFERROR(__xludf.DUMMYFUNCTION("""COMPUTED_VALUE"""),"2604D121")</f>
        <v>2604D121</v>
      </c>
      <c r="C592" s="49" t="str">
        <f>IFERROR(__xludf.DUMMYFUNCTION("""COMPUTED_VALUE"""),"Farraz")</f>
        <v>Farraz</v>
      </c>
      <c r="D592" s="102" t="str">
        <f>IFERROR(__xludf.DUMMYFUNCTION("""COMPUTED_VALUE"""),"085624461293")</f>
        <v>085624461293</v>
      </c>
      <c r="E592" s="25" t="str">
        <f>IFERROR(__xludf.DUMMYFUNCTION("""COMPUTED_VALUE"""),"Instagram")</f>
        <v>Instagram</v>
      </c>
      <c r="F592" s="25" t="str">
        <f>IFERROR(__xludf.DUMMYFUNCTION("""COMPUTED_VALUE"""),"Closing")</f>
        <v>Closing</v>
      </c>
      <c r="G592" s="25" t="str">
        <f>IFERROR(__xludf.DUMMYFUNCTION("""COMPUTED_VALUE"""),"2h1m Z")</f>
        <v>2h1m Z</v>
      </c>
      <c r="H592" s="78">
        <f>IFERROR(__xludf.DUMMYFUNCTION("""COMPUTED_VALUE"""),46179.0)</f>
        <v>46179</v>
      </c>
      <c r="I592" s="89">
        <f>IFERROR(__xludf.DUMMYFUNCTION("""COMPUTED_VALUE"""),8.0)</f>
        <v>8</v>
      </c>
      <c r="J592" s="96">
        <f>IFERROR(__xludf.DUMMYFUNCTION("""COMPUTED_VALUE"""),8800000.0)</f>
        <v>8800000</v>
      </c>
      <c r="K592" s="30" t="str">
        <f>IFERROR(__xludf.DUMMYFUNCTION("""COMPUTED_VALUE"""),"ORDERRR")</f>
        <v>ORDERRR</v>
      </c>
      <c r="L592" s="81" t="str">
        <f>IFERROR(__xludf.DUMMYFUNCTION("""COMPUTED_VALUE"""),"https://docs.google.com/document/d/1BJZZMF6iC8ti9RESWrp_LQDwdt6IKegVi4GDfcb9vj8/edit?tab=t.0")</f>
        <v>https://docs.google.com/document/d/1BJZZMF6iC8ti9RESWrp_LQDwdt6IKegVi4GDfcb9vj8/edit?tab=t.0</v>
      </c>
      <c r="M592" s="20"/>
      <c r="N592" s="20"/>
      <c r="O592" s="20"/>
      <c r="P592" s="20"/>
    </row>
    <row r="593">
      <c r="A593" s="97">
        <f>IFERROR(__xludf.DUMMYFUNCTION("""COMPUTED_VALUE"""),46138.0)</f>
        <v>46138</v>
      </c>
      <c r="B593" s="97" t="str">
        <f>IFERROR(__xludf.DUMMYFUNCTION("""COMPUTED_VALUE"""),"2604D122")</f>
        <v>2604D122</v>
      </c>
      <c r="C593" s="76" t="str">
        <f>IFERROR(__xludf.DUMMYFUNCTION("""COMPUTED_VALUE"""),"Bella Davidson")</f>
        <v>Bella Davidson</v>
      </c>
      <c r="D593" s="99" t="str">
        <f>IFERROR(__xludf.DUMMYFUNCTION("""COMPUTED_VALUE"""),"082299269363")</f>
        <v>082299269363</v>
      </c>
      <c r="E593" s="25" t="str">
        <f>IFERROR(__xludf.DUMMYFUNCTION("""COMPUTED_VALUE"""),"Instagram")</f>
        <v>Instagram</v>
      </c>
      <c r="F593" s="25" t="str">
        <f>IFERROR(__xludf.DUMMYFUNCTION("""COMPUTED_VALUE"""),"Gagal")</f>
        <v>Gagal</v>
      </c>
      <c r="G593" s="25" t="str">
        <f>IFERROR(__xludf.DUMMYFUNCTION("""COMPUTED_VALUE"""),"OT DjaBal")</f>
        <v>OT DjaBal</v>
      </c>
      <c r="H593" s="92">
        <f>IFERROR(__xludf.DUMMYFUNCTION("""COMPUTED_VALUE"""),46144.0)</f>
        <v>46144</v>
      </c>
      <c r="I593" s="80">
        <f>IFERROR(__xludf.DUMMYFUNCTION("""COMPUTED_VALUE"""),1.0)</f>
        <v>1</v>
      </c>
      <c r="J593" s="93"/>
      <c r="K593" s="46" t="str">
        <f>IFERROR(__xludf.DUMMYFUNCTION("""COMPUTED_VALUE"""),"gajadiii, sudah dapat lain")</f>
        <v>gajadiii, sudah dapat lain</v>
      </c>
      <c r="L593" s="76"/>
      <c r="M593" s="20"/>
      <c r="N593" s="20"/>
      <c r="O593" s="20"/>
      <c r="P593" s="20"/>
    </row>
    <row r="594">
      <c r="A594" s="110">
        <f>IFERROR(__xludf.DUMMYFUNCTION("""COMPUTED_VALUE"""),46138.0)</f>
        <v>46138</v>
      </c>
      <c r="B594" s="110" t="str">
        <f>IFERROR(__xludf.DUMMYFUNCTION("""COMPUTED_VALUE"""),"2604D123")</f>
        <v>2604D123</v>
      </c>
      <c r="C594" s="49" t="str">
        <f>IFERROR(__xludf.DUMMYFUNCTION("""COMPUTED_VALUE"""),"Azzat")</f>
        <v>Azzat</v>
      </c>
      <c r="D594" s="102" t="str">
        <f>IFERROR(__xludf.DUMMYFUNCTION("""COMPUTED_VALUE"""),"085353175191")</f>
        <v>085353175191</v>
      </c>
      <c r="E594" s="25" t="str">
        <f>IFERROR(__xludf.DUMMYFUNCTION("""COMPUTED_VALUE"""),"Instagram")</f>
        <v>Instagram</v>
      </c>
      <c r="F594" s="25" t="str">
        <f>IFERROR(__xludf.DUMMYFUNCTION("""COMPUTED_VALUE"""),"Gagal")</f>
        <v>Gagal</v>
      </c>
      <c r="G594" s="25" t="str">
        <f>IFERROR(__xludf.DUMMYFUNCTION("""COMPUTED_VALUE"""),"paket custome trip")</f>
        <v>paket custome trip</v>
      </c>
      <c r="H594" s="78">
        <f>IFERROR(__xludf.DUMMYFUNCTION("""COMPUTED_VALUE"""),46157.0)</f>
        <v>46157</v>
      </c>
      <c r="I594" s="89">
        <f>IFERROR(__xludf.DUMMYFUNCTION("""COMPUTED_VALUE"""),2.0)</f>
        <v>2</v>
      </c>
      <c r="J594" s="96"/>
      <c r="K594" s="36" t="str">
        <f>IFERROR(__xludf.DUMMYFUNCTION("""COMPUTED_VALUE"""),"belum balas lagi dah di FU")</f>
        <v>belum balas lagi dah di FU</v>
      </c>
      <c r="L594" s="81" t="str">
        <f>IFERROR(__xludf.DUMMYFUNCTION("""COMPUTED_VALUE"""),"https://docs.google.com/document/d/1ejWc2tJqS0etMEG3hJqvd-qrKivNirSBS2K74sKgHcQ/edit?tab=t.0")</f>
        <v>https://docs.google.com/document/d/1ejWc2tJqS0etMEG3hJqvd-qrKivNirSBS2K74sKgHcQ/edit?tab=t.0</v>
      </c>
      <c r="M594" s="20"/>
      <c r="N594" s="20"/>
      <c r="O594" s="20"/>
      <c r="P594" s="20"/>
    </row>
    <row r="595">
      <c r="A595" s="97">
        <f>IFERROR(__xludf.DUMMYFUNCTION("""COMPUTED_VALUE"""),46138.0)</f>
        <v>46138</v>
      </c>
      <c r="B595" s="97" t="str">
        <f>IFERROR(__xludf.DUMMYFUNCTION("""COMPUTED_VALUE"""),"2604D124")</f>
        <v>2604D124</v>
      </c>
      <c r="C595" s="76" t="str">
        <f>IFERROR(__xludf.DUMMYFUNCTION("""COMPUTED_VALUE"""),"Maya Syakina")</f>
        <v>Maya Syakina</v>
      </c>
      <c r="D595" s="99" t="str">
        <f>IFERROR(__xludf.DUMMYFUNCTION("""COMPUTED_VALUE"""),"081381070613")</f>
        <v>081381070613</v>
      </c>
      <c r="E595" s="25" t="str">
        <f>IFERROR(__xludf.DUMMYFUNCTION("""COMPUTED_VALUE"""),"Instagram")</f>
        <v>Instagram</v>
      </c>
      <c r="F595" s="25" t="str">
        <f>IFERROR(__xludf.DUMMYFUNCTION("""COMPUTED_VALUE"""),"Gagal")</f>
        <v>Gagal</v>
      </c>
      <c r="G595" s="25" t="str">
        <f>IFERROR(__xludf.DUMMYFUNCTION("""COMPUTED_VALUE"""),"3h2m")</f>
        <v>3h2m</v>
      </c>
      <c r="H595" s="92">
        <f>IFERROR(__xludf.DUMMYFUNCTION("""COMPUTED_VALUE"""),46157.0)</f>
        <v>46157</v>
      </c>
      <c r="I595" s="80">
        <f>IFERROR(__xludf.DUMMYFUNCTION("""COMPUTED_VALUE"""),2.0)</f>
        <v>2</v>
      </c>
      <c r="J595" s="93"/>
      <c r="K595" s="46" t="str">
        <f>IFERROR(__xludf.DUMMYFUNCTION("""COMPUTED_VALUE"""),"sudah fu tidak balasss")</f>
        <v>sudah fu tidak balasss</v>
      </c>
      <c r="L595" s="88" t="str">
        <f>IFERROR(__xludf.DUMMYFUNCTION("""COMPUTED_VALUE"""),"https://docs.google.com/document/d/1vGMO64q1Wwp2Jk704qSf6-Fy7R_81D1vUhJ-UpC5Nd0/edit?tab=t.0")</f>
        <v>https://docs.google.com/document/d/1vGMO64q1Wwp2Jk704qSf6-Fy7R_81D1vUhJ-UpC5Nd0/edit?tab=t.0</v>
      </c>
      <c r="M595" s="20"/>
      <c r="N595" s="20"/>
      <c r="O595" s="20"/>
      <c r="P595" s="20"/>
    </row>
    <row r="596">
      <c r="A596" s="110">
        <f>IFERROR(__xludf.DUMMYFUNCTION("""COMPUTED_VALUE"""),46139.0)</f>
        <v>46139</v>
      </c>
      <c r="B596" s="110" t="str">
        <f>IFERROR(__xludf.DUMMYFUNCTION("""COMPUTED_VALUE"""),"2604D125")</f>
        <v>2604D125</v>
      </c>
      <c r="C596" s="49" t="str">
        <f>IFERROR(__xludf.DUMMYFUNCTION("""COMPUTED_VALUE"""),"Sekar Pramesti")</f>
        <v>Sekar Pramesti</v>
      </c>
      <c r="D596" s="102" t="str">
        <f>IFERROR(__xludf.DUMMYFUNCTION("""COMPUTED_VALUE"""),"081232003274")</f>
        <v>081232003274</v>
      </c>
      <c r="E596" s="25" t="str">
        <f>IFERROR(__xludf.DUMMYFUNCTION("""COMPUTED_VALUE"""),"Website")</f>
        <v>Website</v>
      </c>
      <c r="F596" s="25" t="str">
        <f>IFERROR(__xludf.DUMMYFUNCTION("""COMPUTED_VALUE"""),"Gagal")</f>
        <v>Gagal</v>
      </c>
      <c r="G596" s="25" t="str">
        <f>IFERROR(__xludf.DUMMYFUNCTION("""COMPUTED_VALUE"""),"trip DjaBal")</f>
        <v>trip DjaBal</v>
      </c>
      <c r="H596" s="78"/>
      <c r="I596" s="89">
        <f>IFERROR(__xludf.DUMMYFUNCTION("""COMPUTED_VALUE"""),4.0)</f>
        <v>4</v>
      </c>
      <c r="J596" s="96"/>
      <c r="K596" s="30" t="str">
        <f>IFERROR(__xludf.DUMMYFUNCTION("""COMPUTED_VALUE"""),"lewat tanggal")</f>
        <v>lewat tanggal</v>
      </c>
      <c r="L596" s="81" t="str">
        <f>IFERROR(__xludf.DUMMYFUNCTION("""COMPUTED_VALUE"""),"https://docs.google.com/document/d/1KLro28T6VTTx_DjhVMx8wqBU0FbwKuvqE9uBOipRrXw/edit?tab=t.0")</f>
        <v>https://docs.google.com/document/d/1KLro28T6VTTx_DjhVMx8wqBU0FbwKuvqE9uBOipRrXw/edit?tab=t.0</v>
      </c>
      <c r="M596" s="20"/>
      <c r="N596" s="20"/>
      <c r="O596" s="20"/>
      <c r="P596" s="20"/>
    </row>
    <row r="597">
      <c r="A597" s="97">
        <f>IFERROR(__xludf.DUMMYFUNCTION("""COMPUTED_VALUE"""),46139.0)</f>
        <v>46139</v>
      </c>
      <c r="B597" s="97" t="str">
        <f>IFERROR(__xludf.DUMMYFUNCTION("""COMPUTED_VALUE"""),"2604D126")</f>
        <v>2604D126</v>
      </c>
      <c r="C597" s="76" t="str">
        <f>IFERROR(__xludf.DUMMYFUNCTION("""COMPUTED_VALUE"""),"Angela Isabel")</f>
        <v>Angela Isabel</v>
      </c>
      <c r="D597" s="99" t="str">
        <f>IFERROR(__xludf.DUMMYFUNCTION("""COMPUTED_VALUE"""),"081232652016")</f>
        <v>081232652016</v>
      </c>
      <c r="E597" s="25" t="str">
        <f>IFERROR(__xludf.DUMMYFUNCTION("""COMPUTED_VALUE"""),"Instagram")</f>
        <v>Instagram</v>
      </c>
      <c r="F597" s="25" t="str">
        <f>IFERROR(__xludf.DUMMYFUNCTION("""COMPUTED_VALUE"""),"Gagal")</f>
        <v>Gagal</v>
      </c>
      <c r="G597" s="25" t="str">
        <f>IFERROR(__xludf.DUMMYFUNCTION("""COMPUTED_VALUE"""),"2h1m custome")</f>
        <v>2h1m custome</v>
      </c>
      <c r="H597" s="92"/>
      <c r="I597" s="80">
        <f>IFERROR(__xludf.DUMMYFUNCTION("""COMPUTED_VALUE"""),3.0)</f>
        <v>3</v>
      </c>
      <c r="J597" s="93"/>
      <c r="K597" s="19" t="str">
        <f>IFERROR(__xludf.DUMMYFUNCTION("""COMPUTED_VALUE"""),"gagal, deal di admin 2")</f>
        <v>gagal, deal di admin 2</v>
      </c>
      <c r="L597" s="76"/>
      <c r="M597" s="20"/>
      <c r="N597" s="20"/>
      <c r="O597" s="20"/>
      <c r="P597" s="20"/>
    </row>
    <row r="598">
      <c r="A598" s="110">
        <f>IFERROR(__xludf.DUMMYFUNCTION("""COMPUTED_VALUE"""),46140.0)</f>
        <v>46140</v>
      </c>
      <c r="B598" s="110" t="str">
        <f>IFERROR(__xludf.DUMMYFUNCTION("""COMPUTED_VALUE"""),"2604D127")</f>
        <v>2604D127</v>
      </c>
      <c r="C598" s="49" t="str">
        <f>IFERROR(__xludf.DUMMYFUNCTION("""COMPUTED_VALUE"""),"Sheila")</f>
        <v>Sheila</v>
      </c>
      <c r="D598" s="102" t="str">
        <f>IFERROR(__xludf.DUMMYFUNCTION("""COMPUTED_VALUE"""),"085186877535")</f>
        <v>085186877535</v>
      </c>
      <c r="E598" s="25" t="str">
        <f>IFERROR(__xludf.DUMMYFUNCTION("""COMPUTED_VALUE"""),"Instagram")</f>
        <v>Instagram</v>
      </c>
      <c r="F598" s="25" t="str">
        <f>IFERROR(__xludf.DUMMYFUNCTION("""COMPUTED_VALUE"""),"Gagal")</f>
        <v>Gagal</v>
      </c>
      <c r="G598" s="25" t="str">
        <f>IFERROR(__xludf.DUMMYFUNCTION("""COMPUTED_VALUE"""),"trip menjangan tabuhan ")</f>
        <v>trip menjangan tabuhan </v>
      </c>
      <c r="H598" s="78">
        <f>IFERROR(__xludf.DUMMYFUNCTION("""COMPUTED_VALUE"""),46167.0)</f>
        <v>46167</v>
      </c>
      <c r="I598" s="89">
        <f>IFERROR(__xludf.DUMMYFUNCTION("""COMPUTED_VALUE"""),2.0)</f>
        <v>2</v>
      </c>
      <c r="J598" s="96"/>
      <c r="K598" s="30" t="str">
        <f>IFERROR(__xludf.DUMMYFUNCTION("""COMPUTED_VALUE"""),"sudah fu tidak balasss")</f>
        <v>sudah fu tidak balasss</v>
      </c>
      <c r="L598" s="81" t="str">
        <f>IFERROR(__xludf.DUMMYFUNCTION("""COMPUTED_VALUE"""),"https://docs.google.com/document/d/1U9bwj5-1gucK2W1SMlItJqY1ZPagbqeNEW3MDa5QGrs/edit?tab=t.0")</f>
        <v>https://docs.google.com/document/d/1U9bwj5-1gucK2W1SMlItJqY1ZPagbqeNEW3MDa5QGrs/edit?tab=t.0</v>
      </c>
      <c r="M598" s="20"/>
      <c r="N598" s="20"/>
      <c r="O598" s="20"/>
      <c r="P598" s="20"/>
    </row>
    <row r="599">
      <c r="A599" s="97">
        <f>IFERROR(__xludf.DUMMYFUNCTION("""COMPUTED_VALUE"""),46141.0)</f>
        <v>46141</v>
      </c>
      <c r="B599" s="97" t="str">
        <f>IFERROR(__xludf.DUMMYFUNCTION("""COMPUTED_VALUE"""),"2604D128")</f>
        <v>2604D128</v>
      </c>
      <c r="C599" s="76" t="str">
        <f>IFERROR(__xludf.DUMMYFUNCTION("""COMPUTED_VALUE"""),"Addy Garage")</f>
        <v>Addy Garage</v>
      </c>
      <c r="D599" s="99" t="str">
        <f>IFERROR(__xludf.DUMMYFUNCTION("""COMPUTED_VALUE"""),"19122241723")</f>
        <v>19122241723</v>
      </c>
      <c r="E599" s="25" t="str">
        <f>IFERROR(__xludf.DUMMYFUNCTION("""COMPUTED_VALUE"""),"Lainnya")</f>
        <v>Lainnya</v>
      </c>
      <c r="F599" s="25" t="str">
        <f>IFERROR(__xludf.DUMMYFUNCTION("""COMPUTED_VALUE"""),"Closing")</f>
        <v>Closing</v>
      </c>
      <c r="G599" s="25" t="str">
        <f>IFERROR(__xludf.DUMMYFUNCTION("""COMPUTED_VALUE"""),"3h2m opsi A")</f>
        <v>3h2m opsi A</v>
      </c>
      <c r="H599" s="92">
        <f>IFERROR(__xludf.DUMMYFUNCTION("""COMPUTED_VALUE"""),46182.0)</f>
        <v>46182</v>
      </c>
      <c r="I599" s="80">
        <f>IFERROR(__xludf.DUMMYFUNCTION("""COMPUTED_VALUE"""),5.0)</f>
        <v>5</v>
      </c>
      <c r="J599" s="93">
        <f>IFERROR(__xludf.DUMMYFUNCTION("""COMPUTED_VALUE"""),8750000.0)</f>
        <v>8750000</v>
      </c>
      <c r="K599" s="19" t="str">
        <f>IFERROR(__xludf.DUMMYFUNCTION("""COMPUTED_VALUE"""),"alhamdulillah orderrr")</f>
        <v>alhamdulillah orderrr</v>
      </c>
      <c r="L599" s="88" t="str">
        <f>IFERROR(__xludf.DUMMYFUNCTION("""COMPUTED_VALUE"""),"https://docs.google.com/document/d/1MsfPm7xT_D_6xe8LCjE-rNmOy4JCpmGVZOAXCj_l-xE/edit?tab=t.0")</f>
        <v>https://docs.google.com/document/d/1MsfPm7xT_D_6xe8LCjE-rNmOy4JCpmGVZOAXCj_l-xE/edit?tab=t.0</v>
      </c>
      <c r="M599" s="20"/>
      <c r="N599" s="20"/>
      <c r="O599" s="20"/>
      <c r="P599" s="20"/>
    </row>
    <row r="600">
      <c r="A600" s="110">
        <f>IFERROR(__xludf.DUMMYFUNCTION("""COMPUTED_VALUE"""),46141.0)</f>
        <v>46141</v>
      </c>
      <c r="B600" s="110" t="str">
        <f>IFERROR(__xludf.DUMMYFUNCTION("""COMPUTED_VALUE"""),"2604D129")</f>
        <v>2604D129</v>
      </c>
      <c r="C600" s="49" t="str">
        <f>IFERROR(__xludf.DUMMYFUNCTION("""COMPUTED_VALUE"""),"Krish")</f>
        <v>Krish</v>
      </c>
      <c r="D600" s="102" t="str">
        <f>IFERROR(__xludf.DUMMYFUNCTION("""COMPUTED_VALUE"""),"082127635128")</f>
        <v>082127635128</v>
      </c>
      <c r="E600" s="25" t="str">
        <f>IFERROR(__xludf.DUMMYFUNCTION("""COMPUTED_VALUE"""),"Instagram")</f>
        <v>Instagram</v>
      </c>
      <c r="F600" s="25" t="str">
        <f>IFERROR(__xludf.DUMMYFUNCTION("""COMPUTED_VALUE"""),"Gagal")</f>
        <v>Gagal</v>
      </c>
      <c r="G600" s="25" t="str">
        <f>IFERROR(__xludf.DUMMYFUNCTION("""COMPUTED_VALUE"""),"OT djawatan baluran")</f>
        <v>OT djawatan baluran</v>
      </c>
      <c r="H600" s="78">
        <f>IFERROR(__xludf.DUMMYFUNCTION("""COMPUTED_VALUE"""),46143.0)</f>
        <v>46143</v>
      </c>
      <c r="I600" s="89"/>
      <c r="J600" s="96"/>
      <c r="K600" s="30" t="str">
        <f>IFERROR(__xludf.DUMMYFUNCTION("""COMPUTED_VALUE"""),"Full booked")</f>
        <v>Full booked</v>
      </c>
      <c r="L600" s="81" t="str">
        <f>IFERROR(__xludf.DUMMYFUNCTION("""COMPUTED_VALUE"""),"https://docs.google.com/document/d/1FHkAO9NbIaTBp8A0SO4zUhwmaqIZvkVHxVfoEdUYL2s/edit?tab=t.0")</f>
        <v>https://docs.google.com/document/d/1FHkAO9NbIaTBp8A0SO4zUhwmaqIZvkVHxVfoEdUYL2s/edit?tab=t.0</v>
      </c>
      <c r="M600" s="20"/>
      <c r="N600" s="20"/>
      <c r="O600" s="20"/>
      <c r="P600" s="20"/>
    </row>
    <row r="601">
      <c r="A601" s="97">
        <f>IFERROR(__xludf.DUMMYFUNCTION("""COMPUTED_VALUE"""),46141.0)</f>
        <v>46141</v>
      </c>
      <c r="B601" s="97" t="str">
        <f>IFERROR(__xludf.DUMMYFUNCTION("""COMPUTED_VALUE"""),"2604D130")</f>
        <v>2604D130</v>
      </c>
      <c r="C601" s="76" t="str">
        <f>IFERROR(__xludf.DUMMYFUNCTION("""COMPUTED_VALUE"""),"Dinda")</f>
        <v>Dinda</v>
      </c>
      <c r="D601" s="99" t="str">
        <f>IFERROR(__xludf.DUMMYFUNCTION("""COMPUTED_VALUE"""),"085252200823")</f>
        <v>085252200823</v>
      </c>
      <c r="E601" s="25" t="str">
        <f>IFERROR(__xludf.DUMMYFUNCTION("""COMPUTED_VALUE"""),"Instagram")</f>
        <v>Instagram</v>
      </c>
      <c r="F601" s="25" t="str">
        <f>IFERROR(__xludf.DUMMYFUNCTION("""COMPUTED_VALUE"""),"Gagal")</f>
        <v>Gagal</v>
      </c>
      <c r="G601" s="25" t="str">
        <f>IFERROR(__xludf.DUMMYFUNCTION("""COMPUTED_VALUE"""),"OT djawatan baluran")</f>
        <v>OT djawatan baluran</v>
      </c>
      <c r="H601" s="92">
        <f>IFERROR(__xludf.DUMMYFUNCTION("""COMPUTED_VALUE"""),46159.0)</f>
        <v>46159</v>
      </c>
      <c r="I601" s="80">
        <f>IFERROR(__xludf.DUMMYFUNCTION("""COMPUTED_VALUE"""),1.0)</f>
        <v>1</v>
      </c>
      <c r="J601" s="93"/>
      <c r="K601" s="19" t="str">
        <f>IFERROR(__xludf.DUMMYFUNCTION("""COMPUTED_VALUE"""),"next timeee")</f>
        <v>next timeee</v>
      </c>
      <c r="L601" s="88" t="str">
        <f>IFERROR(__xludf.DUMMYFUNCTION("""COMPUTED_VALUE"""),"https://docs.google.com/document/d/1L3TqfYc-OUgrRkuBd1D0JRmljvW2vyYkfVzVNQbKTTg/edit?tab=t.0")</f>
        <v>https://docs.google.com/document/d/1L3TqfYc-OUgrRkuBd1D0JRmljvW2vyYkfVzVNQbKTTg/edit?tab=t.0</v>
      </c>
      <c r="M601" s="20"/>
      <c r="N601" s="20"/>
      <c r="O601" s="20"/>
      <c r="P601" s="20"/>
    </row>
    <row r="602">
      <c r="A602" s="110">
        <f>IFERROR(__xludf.DUMMYFUNCTION("""COMPUTED_VALUE"""),46141.0)</f>
        <v>46141</v>
      </c>
      <c r="B602" s="110" t="str">
        <f>IFERROR(__xludf.DUMMYFUNCTION("""COMPUTED_VALUE"""),"2604D131")</f>
        <v>2604D131</v>
      </c>
      <c r="C602" s="49" t="str">
        <f>IFERROR(__xludf.DUMMYFUNCTION("""COMPUTED_VALUE"""),"Anggita")</f>
        <v>Anggita</v>
      </c>
      <c r="D602" s="102" t="str">
        <f>IFERROR(__xludf.DUMMYFUNCTION("""COMPUTED_VALUE"""),"081334735285")</f>
        <v>081334735285</v>
      </c>
      <c r="E602" s="25" t="str">
        <f>IFERROR(__xludf.DUMMYFUNCTION("""COMPUTED_VALUE"""),"Website")</f>
        <v>Website</v>
      </c>
      <c r="F602" s="25" t="str">
        <f>IFERROR(__xludf.DUMMYFUNCTION("""COMPUTED_VALUE"""),"Gagal")</f>
        <v>Gagal</v>
      </c>
      <c r="G602" s="25" t="str">
        <f>IFERROR(__xludf.DUMMYFUNCTION("""COMPUTED_VALUE"""),"trip Djawatan")</f>
        <v>trip Djawatan</v>
      </c>
      <c r="H602" s="78">
        <f>IFERROR(__xludf.DUMMYFUNCTION("""COMPUTED_VALUE"""),46157.0)</f>
        <v>46157</v>
      </c>
      <c r="I602" s="89">
        <f>IFERROR(__xludf.DUMMYFUNCTION("""COMPUTED_VALUE"""),4.0)</f>
        <v>4</v>
      </c>
      <c r="J602" s="96"/>
      <c r="K602" s="30" t="str">
        <f>IFERROR(__xludf.DUMMYFUNCTION("""COMPUTED_VALUE"""),"belum balas lagi dah di FU")</f>
        <v>belum balas lagi dah di FU</v>
      </c>
      <c r="L602" s="81" t="str">
        <f>IFERROR(__xludf.DUMMYFUNCTION("""COMPUTED_VALUE"""),"https://docs.google.com/document/d/1LwFD_yT24Qlj7HSHKUYnvTtq24TR3a3jeMRKdKXsjTo/edit?tab=t.0")</f>
        <v>https://docs.google.com/document/d/1LwFD_yT24Qlj7HSHKUYnvTtq24TR3a3jeMRKdKXsjTo/edit?tab=t.0</v>
      </c>
      <c r="M602" s="20"/>
      <c r="N602" s="20"/>
      <c r="O602" s="20"/>
      <c r="P602" s="20"/>
    </row>
    <row r="603">
      <c r="A603" s="97">
        <f>IFERROR(__xludf.DUMMYFUNCTION("""COMPUTED_VALUE"""),46142.0)</f>
        <v>46142</v>
      </c>
      <c r="B603" s="97" t="str">
        <f>IFERROR(__xludf.DUMMYFUNCTION("""COMPUTED_VALUE"""),"2604D132")</f>
        <v>2604D132</v>
      </c>
      <c r="C603" s="76" t="str">
        <f>IFERROR(__xludf.DUMMYFUNCTION("""COMPUTED_VALUE"""),"Bambang")</f>
        <v>Bambang</v>
      </c>
      <c r="D603" s="99" t="str">
        <f>IFERROR(__xludf.DUMMYFUNCTION("""COMPUTED_VALUE"""),"08112484200")</f>
        <v>08112484200</v>
      </c>
      <c r="E603" s="25" t="str">
        <f>IFERROR(__xludf.DUMMYFUNCTION("""COMPUTED_VALUE"""),"Website")</f>
        <v>Website</v>
      </c>
      <c r="F603" s="25" t="str">
        <f>IFERROR(__xludf.DUMMYFUNCTION("""COMPUTED_VALUE"""),"Leads Baru")</f>
        <v>Leads Baru</v>
      </c>
      <c r="G603" s="25" t="str">
        <f>IFERROR(__xludf.DUMMYFUNCTION("""COMPUTED_VALUE"""),"3h2m")</f>
        <v>3h2m</v>
      </c>
      <c r="H603" s="92"/>
      <c r="I603" s="80">
        <f>IFERROR(__xludf.DUMMYFUNCTION("""COMPUTED_VALUE"""),30.0)</f>
        <v>30</v>
      </c>
      <c r="J603" s="93"/>
      <c r="K603" s="46" t="str">
        <f>IFERROR(__xludf.DUMMYFUNCTION("""COMPUTED_VALUE"""),"sudah kirim penawaran 2 opsi paket, FU 10 Juni")</f>
        <v>sudah kirim penawaran 2 opsi paket, FU 10 Juni</v>
      </c>
      <c r="L603" s="88" t="str">
        <f>IFERROR(__xludf.DUMMYFUNCTION("""COMPUTED_VALUE"""),"https://docs.google.com/document/d/1RZeYAuufxwMiCdA-lLrG6KxYBPvONNJ90nnjpmOoD8g/edit?tab=t.0")</f>
        <v>https://docs.google.com/document/d/1RZeYAuufxwMiCdA-lLrG6KxYBPvONNJ90nnjpmOoD8g/edit?tab=t.0</v>
      </c>
      <c r="M603" s="20"/>
      <c r="N603" s="20"/>
      <c r="O603" s="20"/>
      <c r="P603" s="20"/>
    </row>
    <row r="604">
      <c r="A604" s="110">
        <f>IFERROR(__xludf.DUMMYFUNCTION("""COMPUTED_VALUE"""),46142.0)</f>
        <v>46142</v>
      </c>
      <c r="B604" s="110" t="str">
        <f>IFERROR(__xludf.DUMMYFUNCTION("""COMPUTED_VALUE"""),"2604D133")</f>
        <v>2604D133</v>
      </c>
      <c r="C604" s="49" t="str">
        <f>IFERROR(__xludf.DUMMYFUNCTION("""COMPUTED_VALUE"""),"Repli Despriyanto")</f>
        <v>Repli Despriyanto</v>
      </c>
      <c r="D604" s="102" t="str">
        <f>IFERROR(__xludf.DUMMYFUNCTION("""COMPUTED_VALUE"""),"081218371755")</f>
        <v>081218371755</v>
      </c>
      <c r="E604" s="25" t="str">
        <f>IFERROR(__xludf.DUMMYFUNCTION("""COMPUTED_VALUE"""),"Instagram")</f>
        <v>Instagram</v>
      </c>
      <c r="F604" s="25" t="str">
        <f>IFERROR(__xludf.DUMMYFUNCTION("""COMPUTED_VALUE"""),"Leads Baru")</f>
        <v>Leads Baru</v>
      </c>
      <c r="G604" s="25" t="str">
        <f>IFERROR(__xludf.DUMMYFUNCTION("""COMPUTED_VALUE"""),"3h2m opsi A")</f>
        <v>3h2m opsi A</v>
      </c>
      <c r="H604" s="78"/>
      <c r="I604" s="89">
        <f>IFERROR(__xludf.DUMMYFUNCTION("""COMPUTED_VALUE"""),46240.0)</f>
        <v>46240</v>
      </c>
      <c r="J604" s="96"/>
      <c r="K604" s="30" t="str">
        <f>IFERROR(__xludf.DUMMYFUNCTION("""COMPUTED_VALUE"""),"diskus dulu, FU 12 Juli")</f>
        <v>diskus dulu, FU 12 Juli</v>
      </c>
      <c r="L604" s="81" t="str">
        <f>IFERROR(__xludf.DUMMYFUNCTION("""COMPUTED_VALUE"""),"https://docs.google.com/document/d/1w6jTgO3RJfzf-x01EvkuPqKmjHIeul8R4Gh4WhbSbiE/edit?tab=t.0")</f>
        <v>https://docs.google.com/document/d/1w6jTgO3RJfzf-x01EvkuPqKmjHIeul8R4Gh4WhbSbiE/edit?tab=t.0</v>
      </c>
      <c r="M604" s="20"/>
      <c r="N604" s="20"/>
      <c r="O604" s="20"/>
      <c r="P604" s="20"/>
    </row>
    <row r="605">
      <c r="A605" s="97">
        <f>IFERROR(__xludf.DUMMYFUNCTION("""COMPUTED_VALUE"""),46142.0)</f>
        <v>46142</v>
      </c>
      <c r="B605" s="97" t="str">
        <f>IFERROR(__xludf.DUMMYFUNCTION("""COMPUTED_VALUE"""),"2604D134")</f>
        <v>2604D134</v>
      </c>
      <c r="C605" s="76" t="str">
        <f>IFERROR(__xludf.DUMMYFUNCTION("""COMPUTED_VALUE"""),"ILMA")</f>
        <v>ILMA</v>
      </c>
      <c r="D605" s="99" t="str">
        <f>IFERROR(__xludf.DUMMYFUNCTION("""COMPUTED_VALUE"""),"081545760260")</f>
        <v>081545760260</v>
      </c>
      <c r="E605" s="25" t="str">
        <f>IFERROR(__xludf.DUMMYFUNCTION("""COMPUTED_VALUE"""),"Website")</f>
        <v>Website</v>
      </c>
      <c r="F605" s="25" t="str">
        <f>IFERROR(__xludf.DUMMYFUNCTION("""COMPUTED_VALUE"""),"Gagal")</f>
        <v>Gagal</v>
      </c>
      <c r="G605" s="25" t="str">
        <f>IFERROR(__xludf.DUMMYFUNCTION("""COMPUTED_VALUE"""),"trip MT")</f>
        <v>trip MT</v>
      </c>
      <c r="H605" s="92"/>
      <c r="I605" s="80">
        <f>IFERROR(__xludf.DUMMYFUNCTION("""COMPUTED_VALUE"""),3.0)</f>
        <v>3</v>
      </c>
      <c r="J605" s="93"/>
      <c r="K605" s="19" t="str">
        <f>IFERROR(__xludf.DUMMYFUNCTION("""COMPUTED_VALUE"""),"fullbookedd")</f>
        <v>fullbookedd</v>
      </c>
      <c r="L605" s="76"/>
      <c r="M605" s="20"/>
      <c r="N605" s="20"/>
      <c r="O605" s="20"/>
      <c r="P605" s="20"/>
    </row>
    <row r="606">
      <c r="A606" s="110">
        <f>IFERROR(__xludf.DUMMYFUNCTION("""COMPUTED_VALUE"""),46142.0)</f>
        <v>46142</v>
      </c>
      <c r="B606" s="110" t="str">
        <f>IFERROR(__xludf.DUMMYFUNCTION("""COMPUTED_VALUE"""),"2604D135")</f>
        <v>2604D135</v>
      </c>
      <c r="C606" s="49" t="str">
        <f>IFERROR(__xludf.DUMMYFUNCTION("""COMPUTED_VALUE"""),"Vano&amp;Freya")</f>
        <v>Vano&amp;Freya</v>
      </c>
      <c r="D606" s="102" t="str">
        <f>IFERROR(__xludf.DUMMYFUNCTION("""COMPUTED_VALUE"""),"082232082157")</f>
        <v>082232082157</v>
      </c>
      <c r="E606" s="25" t="str">
        <f>IFERROR(__xludf.DUMMYFUNCTION("""COMPUTED_VALUE"""),"Instagram")</f>
        <v>Instagram</v>
      </c>
      <c r="F606" s="25" t="str">
        <f>IFERROR(__xludf.DUMMYFUNCTION("""COMPUTED_VALUE"""),"Gagal")</f>
        <v>Gagal</v>
      </c>
      <c r="G606" s="25" t="str">
        <f>IFERROR(__xludf.DUMMYFUNCTION("""COMPUTED_VALUE"""),"1 Day trip baluran")</f>
        <v>1 Day trip baluran</v>
      </c>
      <c r="H606" s="78">
        <f>IFERROR(__xludf.DUMMYFUNCTION("""COMPUTED_VALUE"""),46144.0)</f>
        <v>46144</v>
      </c>
      <c r="I606" s="89">
        <f>IFERROR(__xludf.DUMMYFUNCTION("""COMPUTED_VALUE"""),6.0)</f>
        <v>6</v>
      </c>
      <c r="J606" s="96"/>
      <c r="K606" s="36" t="str">
        <f>IFERROR(__xludf.DUMMYFUNCTION("""COMPUTED_VALUE"""),"gajadiiii")</f>
        <v>gajadiiii</v>
      </c>
      <c r="L606" s="81" t="str">
        <f>IFERROR(__xludf.DUMMYFUNCTION("""COMPUTED_VALUE"""),"https://docs.google.com/document/d/1wwW70MxlMtdTHRAuf9pgQjo_WdTPdfBtryGA2782JWI/edit?usp=sharing")</f>
        <v>https://docs.google.com/document/d/1wwW70MxlMtdTHRAuf9pgQjo_WdTPdfBtryGA2782JWI/edit?usp=sharing</v>
      </c>
      <c r="M606" s="20"/>
      <c r="N606" s="20"/>
      <c r="O606" s="20"/>
      <c r="P606" s="20"/>
    </row>
    <row r="607">
      <c r="A607" s="97">
        <f>IFERROR(__xludf.DUMMYFUNCTION("""COMPUTED_VALUE"""),46143.0)</f>
        <v>46143</v>
      </c>
      <c r="B607" s="97" t="str">
        <f>IFERROR(__xludf.DUMMYFUNCTION("""COMPUTED_VALUE"""),"2605D001")</f>
        <v>2605D001</v>
      </c>
      <c r="C607" s="76" t="str">
        <f>IFERROR(__xludf.DUMMYFUNCTION("""COMPUTED_VALUE"""),"Nurfa Caesarini")</f>
        <v>Nurfa Caesarini</v>
      </c>
      <c r="D607" s="99" t="str">
        <f>IFERROR(__xludf.DUMMYFUNCTION("""COMPUTED_VALUE"""),"081224970222")</f>
        <v>081224970222</v>
      </c>
      <c r="E607" s="25" t="str">
        <f>IFERROR(__xludf.DUMMYFUNCTION("""COMPUTED_VALUE"""),"Instagram")</f>
        <v>Instagram</v>
      </c>
      <c r="F607" s="25" t="str">
        <f>IFERROR(__xludf.DUMMYFUNCTION("""COMPUTED_VALUE"""),"Closing")</f>
        <v>Closing</v>
      </c>
      <c r="G607" s="25" t="str">
        <f>IFERROR(__xludf.DUMMYFUNCTION("""COMPUTED_VALUE"""),"2h1m custome")</f>
        <v>2h1m custome</v>
      </c>
      <c r="H607" s="92">
        <f>IFERROR(__xludf.DUMMYFUNCTION("""COMPUTED_VALUE"""),46156.0)</f>
        <v>46156</v>
      </c>
      <c r="I607" s="80">
        <f>IFERROR(__xludf.DUMMYFUNCTION("""COMPUTED_VALUE"""),4.0)</f>
        <v>4</v>
      </c>
      <c r="J607" s="93">
        <f>IFERROR(__xludf.DUMMYFUNCTION("""COMPUTED_VALUE"""),3452000.0)</f>
        <v>3452000</v>
      </c>
      <c r="K607" s="19" t="str">
        <f>IFERROR(__xludf.DUMMYFUNCTION("""COMPUTED_VALUE"""),"ORDERRR")</f>
        <v>ORDERRR</v>
      </c>
      <c r="L607" s="76"/>
      <c r="M607" s="20"/>
      <c r="N607" s="20"/>
      <c r="O607" s="20"/>
      <c r="P607" s="20"/>
    </row>
    <row r="608">
      <c r="A608" s="110">
        <f>IFERROR(__xludf.DUMMYFUNCTION("""COMPUTED_VALUE"""),46143.0)</f>
        <v>46143</v>
      </c>
      <c r="B608" s="110" t="str">
        <f>IFERROR(__xludf.DUMMYFUNCTION("""COMPUTED_VALUE"""),"2605D002")</f>
        <v>2605D002</v>
      </c>
      <c r="C608" s="49" t="str">
        <f>IFERROR(__xludf.DUMMYFUNCTION("""COMPUTED_VALUE"""),"Yeny")</f>
        <v>Yeny</v>
      </c>
      <c r="D608" s="102" t="str">
        <f>IFERROR(__xludf.DUMMYFUNCTION("""COMPUTED_VALUE"""),"08117707008")</f>
        <v>08117707008</v>
      </c>
      <c r="E608" s="25" t="str">
        <f>IFERROR(__xludf.DUMMYFUNCTION("""COMPUTED_VALUE"""),"Website")</f>
        <v>Website</v>
      </c>
      <c r="F608" s="25" t="str">
        <f>IFERROR(__xludf.DUMMYFUNCTION("""COMPUTED_VALUE"""),"Closing")</f>
        <v>Closing</v>
      </c>
      <c r="G608" s="25" t="str">
        <f>IFERROR(__xludf.DUMMYFUNCTION("""COMPUTED_VALUE"""),"3h2m ")</f>
        <v>3h2m </v>
      </c>
      <c r="H608" s="78">
        <f>IFERROR(__xludf.DUMMYFUNCTION("""COMPUTED_VALUE"""),46170.0)</f>
        <v>46170</v>
      </c>
      <c r="I608" s="89">
        <f>IFERROR(__xludf.DUMMYFUNCTION("""COMPUTED_VALUE"""),4.0)</f>
        <v>4</v>
      </c>
      <c r="J608" s="96">
        <f>IFERROR(__xludf.DUMMYFUNCTION("""COMPUTED_VALUE"""),8600000.0)</f>
        <v>8600000</v>
      </c>
      <c r="K608" s="30" t="str">
        <f>IFERROR(__xludf.DUMMYFUNCTION("""COMPUTED_VALUE"""),"ALHAMDULILLAH ORDER")</f>
        <v>ALHAMDULILLAH ORDER</v>
      </c>
      <c r="L608" s="49"/>
      <c r="M608" s="20"/>
      <c r="N608" s="20"/>
      <c r="O608" s="20"/>
      <c r="P608" s="20"/>
    </row>
    <row r="609">
      <c r="A609" s="97">
        <f>IFERROR(__xludf.DUMMYFUNCTION("""COMPUTED_VALUE"""),46143.0)</f>
        <v>46143</v>
      </c>
      <c r="B609" s="97" t="str">
        <f>IFERROR(__xludf.DUMMYFUNCTION("""COMPUTED_VALUE"""),"2605D003")</f>
        <v>2605D003</v>
      </c>
      <c r="C609" s="76" t="str">
        <f>IFERROR(__xludf.DUMMYFUNCTION("""COMPUTED_VALUE"""),"Bian")</f>
        <v>Bian</v>
      </c>
      <c r="D609" s="99" t="str">
        <f>IFERROR(__xludf.DUMMYFUNCTION("""COMPUTED_VALUE"""),"089506107498")</f>
        <v>089506107498</v>
      </c>
      <c r="E609" s="25" t="str">
        <f>IFERROR(__xludf.DUMMYFUNCTION("""COMPUTED_VALUE"""),"Rekomendasi")</f>
        <v>Rekomendasi</v>
      </c>
      <c r="F609" s="25" t="str">
        <f>IFERROR(__xludf.DUMMYFUNCTION("""COMPUTED_VALUE"""),"Closing")</f>
        <v>Closing</v>
      </c>
      <c r="G609" s="25" t="str">
        <f>IFERROR(__xludf.DUMMYFUNCTION("""COMPUTED_VALUE"""),"OT MT")</f>
        <v>OT MT</v>
      </c>
      <c r="H609" s="92">
        <f>IFERROR(__xludf.DUMMYFUNCTION("""COMPUTED_VALUE"""),46159.0)</f>
        <v>46159</v>
      </c>
      <c r="I609" s="80">
        <f>IFERROR(__xludf.DUMMYFUNCTION("""COMPUTED_VALUE"""),2.0)</f>
        <v>2</v>
      </c>
      <c r="J609" s="93">
        <f>IFERROR(__xludf.DUMMYFUNCTION("""COMPUTED_VALUE"""),590000.0)</f>
        <v>590000</v>
      </c>
      <c r="K609" s="46" t="str">
        <f>IFERROR(__xludf.DUMMYFUNCTION("""COMPUTED_VALUE"""),"orderrr")</f>
        <v>orderrr</v>
      </c>
      <c r="L609" s="76"/>
      <c r="M609" s="20"/>
      <c r="N609" s="20"/>
      <c r="O609" s="20"/>
      <c r="P609" s="20"/>
    </row>
    <row r="610">
      <c r="A610" s="110">
        <f>IFERROR(__xludf.DUMMYFUNCTION("""COMPUTED_VALUE"""),46144.0)</f>
        <v>46144</v>
      </c>
      <c r="B610" s="110" t="str">
        <f>IFERROR(__xludf.DUMMYFUNCTION("""COMPUTED_VALUE"""),"2605D004")</f>
        <v>2605D004</v>
      </c>
      <c r="C610" s="49" t="str">
        <f>IFERROR(__xludf.DUMMYFUNCTION("""COMPUTED_VALUE"""),"Muchammad Fauzan")</f>
        <v>Muchammad Fauzan</v>
      </c>
      <c r="D610" s="102" t="str">
        <f>IFERROR(__xludf.DUMMYFUNCTION("""COMPUTED_VALUE"""),"08813338169")</f>
        <v>08813338169</v>
      </c>
      <c r="E610" s="25" t="str">
        <f>IFERROR(__xludf.DUMMYFUNCTION("""COMPUTED_VALUE"""),"Lainnya")</f>
        <v>Lainnya</v>
      </c>
      <c r="F610" s="25" t="str">
        <f>IFERROR(__xludf.DUMMYFUNCTION("""COMPUTED_VALUE"""),"Qualified")</f>
        <v>Qualified</v>
      </c>
      <c r="G610" s="25" t="str">
        <f>IFERROR(__xludf.DUMMYFUNCTION("""COMPUTED_VALUE"""),"3h2m opsi B")</f>
        <v>3h2m opsi B</v>
      </c>
      <c r="H610" s="78"/>
      <c r="I610" s="89">
        <f>IFERROR(__xludf.DUMMYFUNCTION("""COMPUTED_VALUE"""),2.0)</f>
        <v>2</v>
      </c>
      <c r="J610" s="33">
        <f>IFERROR(__xludf.DUMMYFUNCTION("""COMPUTED_VALUE"""),5334000.0)</f>
        <v>5334000</v>
      </c>
      <c r="K610" s="30" t="str">
        <f>IFERROR(__xludf.DUMMYFUNCTION("""COMPUTED_VALUE"""),"masih diskus, FU 13 Juni")</f>
        <v>masih diskus, FU 13 Juni</v>
      </c>
      <c r="L610" s="81" t="str">
        <f>IFERROR(__xludf.DUMMYFUNCTION("""COMPUTED_VALUE"""),"https://docs.google.com/document/d/1TuWrmHDQG0B8cDSHAajLv_nuBGxt4QylHcdm7u2pSqE/edit?usp=sharing")</f>
        <v>https://docs.google.com/document/d/1TuWrmHDQG0B8cDSHAajLv_nuBGxt4QylHcdm7u2pSqE/edit?usp=sharing</v>
      </c>
      <c r="M610" s="20"/>
      <c r="N610" s="20"/>
      <c r="O610" s="20"/>
      <c r="P610" s="20"/>
    </row>
    <row r="611">
      <c r="A611" s="97">
        <f>IFERROR(__xludf.DUMMYFUNCTION("""COMPUTED_VALUE"""),46144.0)</f>
        <v>46144</v>
      </c>
      <c r="B611" s="97" t="str">
        <f>IFERROR(__xludf.DUMMYFUNCTION("""COMPUTED_VALUE"""),"2605D005")</f>
        <v>2605D005</v>
      </c>
      <c r="C611" s="76" t="str">
        <f>IFERROR(__xludf.DUMMYFUNCTION("""COMPUTED_VALUE"""),"Fajar trimira")</f>
        <v>Fajar trimira</v>
      </c>
      <c r="D611" s="99" t="str">
        <f>IFERROR(__xludf.DUMMYFUNCTION("""COMPUTED_VALUE"""),"087804047180")</f>
        <v>087804047180</v>
      </c>
      <c r="E611" s="25" t="str">
        <f>IFERROR(__xludf.DUMMYFUNCTION("""COMPUTED_VALUE"""),"Lainnya")</f>
        <v>Lainnya</v>
      </c>
      <c r="F611" s="25" t="str">
        <f>IFERROR(__xludf.DUMMYFUNCTION("""COMPUTED_VALUE"""),"Closing")</f>
        <v>Closing</v>
      </c>
      <c r="G611" s="25" t="str">
        <f>IFERROR(__xludf.DUMMYFUNCTION("""COMPUTED_VALUE"""),"OT GI,PB,I")</f>
        <v>OT GI,PB,I</v>
      </c>
      <c r="H611" s="92">
        <f>IFERROR(__xludf.DUMMYFUNCTION("""COMPUTED_VALUE"""),46158.0)</f>
        <v>46158</v>
      </c>
      <c r="I611" s="80">
        <f>IFERROR(__xludf.DUMMYFUNCTION("""COMPUTED_VALUE"""),1.0)</f>
        <v>1</v>
      </c>
      <c r="J611" s="93">
        <f>IFERROR(__xludf.DUMMYFUNCTION("""COMPUTED_VALUE"""),800000.0)</f>
        <v>800000</v>
      </c>
      <c r="K611" s="46" t="str">
        <f>IFERROR(__xludf.DUMMYFUNCTION("""COMPUTED_VALUE"""),"orderrrrrr")</f>
        <v>orderrrrrr</v>
      </c>
      <c r="L611" s="88" t="str">
        <f>IFERROR(__xludf.DUMMYFUNCTION("""COMPUTED_VALUE"""),"https://docs.google.com/document/d/1ggbhECHDIWWlkqGsYVaL4_4PR_nIDjOtET-Oo8SgU9I/edit?tab=t.0")</f>
        <v>https://docs.google.com/document/d/1ggbhECHDIWWlkqGsYVaL4_4PR_nIDjOtET-Oo8SgU9I/edit?tab=t.0</v>
      </c>
      <c r="M611" s="20"/>
      <c r="N611" s="20"/>
      <c r="O611" s="20"/>
      <c r="P611" s="20"/>
    </row>
    <row r="612">
      <c r="A612" s="110">
        <f>IFERROR(__xludf.DUMMYFUNCTION("""COMPUTED_VALUE"""),46145.0)</f>
        <v>46145</v>
      </c>
      <c r="B612" s="110" t="str">
        <f>IFERROR(__xludf.DUMMYFUNCTION("""COMPUTED_VALUE"""),"2605D006")</f>
        <v>2605D006</v>
      </c>
      <c r="C612" s="49" t="str">
        <f>IFERROR(__xludf.DUMMYFUNCTION("""COMPUTED_VALUE"""),"Lina")</f>
        <v>Lina</v>
      </c>
      <c r="D612" s="102" t="str">
        <f>IFERROR(__xludf.DUMMYFUNCTION("""COMPUTED_VALUE"""),"085371330887")</f>
        <v>085371330887</v>
      </c>
      <c r="E612" s="25" t="str">
        <f>IFERROR(__xludf.DUMMYFUNCTION("""COMPUTED_VALUE"""),"Instagram")</f>
        <v>Instagram</v>
      </c>
      <c r="F612" s="25" t="str">
        <f>IFERROR(__xludf.DUMMYFUNCTION("""COMPUTED_VALUE"""),"Closing")</f>
        <v>Closing</v>
      </c>
      <c r="G612" s="25" t="str">
        <f>IFERROR(__xludf.DUMMYFUNCTION("""COMPUTED_VALUE"""),"OT 3h2m ")</f>
        <v>OT 3h2m </v>
      </c>
      <c r="H612" s="78"/>
      <c r="I612" s="89">
        <f>IFERROR(__xludf.DUMMYFUNCTION("""COMPUTED_VALUE"""),2.0)</f>
        <v>2</v>
      </c>
      <c r="J612" s="96">
        <f>IFERROR(__xludf.DUMMYFUNCTION("""COMPUTED_VALUE"""),3200000.0)</f>
        <v>3200000</v>
      </c>
      <c r="K612" s="36" t="str">
        <f>IFERROR(__xludf.DUMMYFUNCTION("""COMPUTED_VALUE"""),"ORDERR")</f>
        <v>ORDERR</v>
      </c>
      <c r="L612" s="49"/>
      <c r="M612" s="20"/>
      <c r="N612" s="20"/>
      <c r="O612" s="20"/>
      <c r="P612" s="20"/>
    </row>
    <row r="613">
      <c r="A613" s="97">
        <f>IFERROR(__xludf.DUMMYFUNCTION("""COMPUTED_VALUE"""),46144.0)</f>
        <v>46144</v>
      </c>
      <c r="B613" s="97" t="str">
        <f>IFERROR(__xludf.DUMMYFUNCTION("""COMPUTED_VALUE"""),"2605D007")</f>
        <v>2605D007</v>
      </c>
      <c r="C613" s="76" t="str">
        <f>IFERROR(__xludf.DUMMYFUNCTION("""COMPUTED_VALUE"""),"Fahmi Ijen Estate")</f>
        <v>Fahmi Ijen Estate</v>
      </c>
      <c r="D613" s="99" t="str">
        <f>IFERROR(__xludf.DUMMYFUNCTION("""COMPUTED_VALUE"""),"082333548230")</f>
        <v>082333548230</v>
      </c>
      <c r="E613" s="25" t="str">
        <f>IFERROR(__xludf.DUMMYFUNCTION("""COMPUTED_VALUE"""),"Lainnya")</f>
        <v>Lainnya</v>
      </c>
      <c r="F613" s="25" t="str">
        <f>IFERROR(__xludf.DUMMYFUNCTION("""COMPUTED_VALUE"""),"Gagal")</f>
        <v>Gagal</v>
      </c>
      <c r="G613" s="25" t="str">
        <f>IFERROR(__xludf.DUMMYFUNCTION("""COMPUTED_VALUE"""),"Ijen Baluran")</f>
        <v>Ijen Baluran</v>
      </c>
      <c r="H613" s="16">
        <f>IFERROR(__xludf.DUMMYFUNCTION("""COMPUTED_VALUE"""),46152.0)</f>
        <v>46152</v>
      </c>
      <c r="I613" s="17">
        <f>IFERROR(__xludf.DUMMYFUNCTION("""COMPUTED_VALUE"""),4.0)</f>
        <v>4</v>
      </c>
      <c r="J613" s="54"/>
      <c r="K613" s="46" t="str">
        <f>IFERROR(__xludf.DUMMYFUNCTION("""COMPUTED_VALUE"""),"kalau ada konfirmasi dari tamunya akan dihubungi lagi")</f>
        <v>kalau ada konfirmasi dari tamunya akan dihubungi lagi</v>
      </c>
      <c r="L613" s="88" t="str">
        <f>IFERROR(__xludf.DUMMYFUNCTION("""COMPUTED_VALUE"""),"https://docs.google.com/document/d/1yIoQYJ6YWaTyn325IwmjaMgPf-g648-UhyS7w3GfX4o/edit?usp=sharing")</f>
        <v>https://docs.google.com/document/d/1yIoQYJ6YWaTyn325IwmjaMgPf-g648-UhyS7w3GfX4o/edit?usp=sharing</v>
      </c>
      <c r="M613" s="20"/>
      <c r="N613" s="20"/>
      <c r="O613" s="20"/>
      <c r="P613" s="20"/>
    </row>
    <row r="614">
      <c r="A614" s="110">
        <f>IFERROR(__xludf.DUMMYFUNCTION("""COMPUTED_VALUE"""),46144.0)</f>
        <v>46144</v>
      </c>
      <c r="B614" s="110" t="str">
        <f>IFERROR(__xludf.DUMMYFUNCTION("""COMPUTED_VALUE"""),"2605D008")</f>
        <v>2605D008</v>
      </c>
      <c r="C614" s="49" t="str">
        <f>IFERROR(__xludf.DUMMYFUNCTION("""COMPUTED_VALUE"""),"Githa Prawirawinata")</f>
        <v>Githa Prawirawinata</v>
      </c>
      <c r="D614" s="102" t="str">
        <f>IFERROR(__xludf.DUMMYFUNCTION("""COMPUTED_VALUE"""),"082264479161")</f>
        <v>082264479161</v>
      </c>
      <c r="E614" s="25" t="str">
        <f>IFERROR(__xludf.DUMMYFUNCTION("""COMPUTED_VALUE"""),"Instagram")</f>
        <v>Instagram</v>
      </c>
      <c r="F614" s="25" t="str">
        <f>IFERROR(__xludf.DUMMYFUNCTION("""COMPUTED_VALUE"""),"Closing")</f>
        <v>Closing</v>
      </c>
      <c r="G614" s="25" t="str">
        <f>IFERROR(__xludf.DUMMYFUNCTION("""COMPUTED_VALUE"""),"2h1m custome")</f>
        <v>2h1m custome</v>
      </c>
      <c r="H614" s="78"/>
      <c r="I614" s="27"/>
      <c r="J614" s="136"/>
      <c r="K614" s="30" t="str">
        <f>IFERROR(__xludf.DUMMYFUNCTION("""COMPUTED_VALUE"""),"orderrrrrr")</f>
        <v>orderrrrrr</v>
      </c>
      <c r="L614" s="49"/>
      <c r="M614" s="20"/>
      <c r="N614" s="20"/>
      <c r="O614" s="20"/>
      <c r="P614" s="20"/>
    </row>
    <row r="615">
      <c r="A615" s="97">
        <f>IFERROR(__xludf.DUMMYFUNCTION("""COMPUTED_VALUE"""),46145.0)</f>
        <v>46145</v>
      </c>
      <c r="B615" s="97" t="str">
        <f>IFERROR(__xludf.DUMMYFUNCTION("""COMPUTED_VALUE"""),"2605D009")</f>
        <v>2605D009</v>
      </c>
      <c r="C615" s="76" t="str">
        <f>IFERROR(__xludf.DUMMYFUNCTION("""COMPUTED_VALUE"""),"Arun")</f>
        <v>Arun</v>
      </c>
      <c r="D615" s="99" t="str">
        <f>IFERROR(__xludf.DUMMYFUNCTION("""COMPUTED_VALUE"""),"081326936347")</f>
        <v>081326936347</v>
      </c>
      <c r="E615" s="25" t="str">
        <f>IFERROR(__xludf.DUMMYFUNCTION("""COMPUTED_VALUE"""),"Instagram")</f>
        <v>Instagram</v>
      </c>
      <c r="F615" s="25" t="str">
        <f>IFERROR(__xludf.DUMMYFUNCTION("""COMPUTED_VALUE"""),"Closing")</f>
        <v>Closing</v>
      </c>
      <c r="G615" s="25" t="str">
        <f>IFERROR(__xludf.DUMMYFUNCTION("""COMPUTED_VALUE"""),"private trip MT")</f>
        <v>private trip MT</v>
      </c>
      <c r="H615" s="92">
        <f>IFERROR(__xludf.DUMMYFUNCTION("""COMPUTED_VALUE"""),46155.0)</f>
        <v>46155</v>
      </c>
      <c r="I615" s="80">
        <f>IFERROR(__xludf.DUMMYFUNCTION("""COMPUTED_VALUE"""),5.0)</f>
        <v>5</v>
      </c>
      <c r="J615" s="93">
        <f>IFERROR(__xludf.DUMMYFUNCTION("""COMPUTED_VALUE"""),4350000.0)</f>
        <v>4350000</v>
      </c>
      <c r="K615" s="19" t="str">
        <f>IFERROR(__xludf.DUMMYFUNCTION("""COMPUTED_VALUE"""),"ORDERR")</f>
        <v>ORDERR</v>
      </c>
      <c r="L615" s="76"/>
      <c r="M615" s="20"/>
      <c r="N615" s="20"/>
      <c r="O615" s="20"/>
      <c r="P615" s="20"/>
    </row>
    <row r="616">
      <c r="A616" s="110">
        <f>IFERROR(__xludf.DUMMYFUNCTION("""COMPUTED_VALUE"""),46146.0)</f>
        <v>46146</v>
      </c>
      <c r="B616" s="110" t="str">
        <f>IFERROR(__xludf.DUMMYFUNCTION("""COMPUTED_VALUE"""),"2605D010")</f>
        <v>2605D010</v>
      </c>
      <c r="C616" s="49" t="str">
        <f>IFERROR(__xludf.DUMMYFUNCTION("""COMPUTED_VALUE"""),"Elyus")</f>
        <v>Elyus</v>
      </c>
      <c r="D616" s="102" t="str">
        <f>IFERROR(__xludf.DUMMYFUNCTION("""COMPUTED_VALUE"""),"085204750074")</f>
        <v>085204750074</v>
      </c>
      <c r="E616" s="25" t="str">
        <f>IFERROR(__xludf.DUMMYFUNCTION("""COMPUTED_VALUE"""),"Lainnya")</f>
        <v>Lainnya</v>
      </c>
      <c r="F616" s="25" t="str">
        <f>IFERROR(__xludf.DUMMYFUNCTION("""COMPUTED_VALUE"""),"Leads Baru")</f>
        <v>Leads Baru</v>
      </c>
      <c r="G616" s="25" t="str">
        <f>IFERROR(__xludf.DUMMYFUNCTION("""COMPUTED_VALUE"""),"3h2m custome")</f>
        <v>3h2m custome</v>
      </c>
      <c r="H616" s="78"/>
      <c r="I616" s="89">
        <f>IFERROR(__xludf.DUMMYFUNCTION("""COMPUTED_VALUE"""),50.0)</f>
        <v>50</v>
      </c>
      <c r="J616" s="96"/>
      <c r="K616" s="30" t="str">
        <f>IFERROR(__xludf.DUMMYFUNCTION("""COMPUTED_VALUE"""),"B2B masih blm ada jawaban, FU  13 Juni")</f>
        <v>B2B masih blm ada jawaban, FU  13 Juni</v>
      </c>
      <c r="L616" s="81" t="str">
        <f>IFERROR(__xludf.DUMMYFUNCTION("""COMPUTED_VALUE"""),"https://docs.google.com/document/d/1Lf-LbXOi-qB-iaZZeumqmCheNk3IVriVuYCFtobORA0/edit?tab=t.0")</f>
        <v>https://docs.google.com/document/d/1Lf-LbXOi-qB-iaZZeumqmCheNk3IVriVuYCFtobORA0/edit?tab=t.0</v>
      </c>
      <c r="M616" s="20"/>
      <c r="N616" s="20"/>
      <c r="O616" s="20"/>
      <c r="P616" s="20"/>
    </row>
    <row r="617">
      <c r="A617" s="97">
        <f>IFERROR(__xludf.DUMMYFUNCTION("""COMPUTED_VALUE"""),46146.0)</f>
        <v>46146</v>
      </c>
      <c r="B617" s="97" t="str">
        <f>IFERROR(__xludf.DUMMYFUNCTION("""COMPUTED_VALUE"""),"2605D011")</f>
        <v>2605D011</v>
      </c>
      <c r="C617" s="76" t="str">
        <f>IFERROR(__xludf.DUMMYFUNCTION("""COMPUTED_VALUE"""),"Sindi Anggayani")</f>
        <v>Sindi Anggayani</v>
      </c>
      <c r="D617" s="99" t="str">
        <f>IFERROR(__xludf.DUMMYFUNCTION("""COMPUTED_VALUE"""),"081338965400")</f>
        <v>081338965400</v>
      </c>
      <c r="E617" s="25" t="str">
        <f>IFERROR(__xludf.DUMMYFUNCTION("""COMPUTED_VALUE"""),"Lainnya")</f>
        <v>Lainnya</v>
      </c>
      <c r="F617" s="25" t="str">
        <f>IFERROR(__xludf.DUMMYFUNCTION("""COMPUTED_VALUE"""),"Closing")</f>
        <v>Closing</v>
      </c>
      <c r="G617" s="25" t="str">
        <f>IFERROR(__xludf.DUMMYFUNCTION("""COMPUTED_VALUE"""),"OT MT")</f>
        <v>OT MT</v>
      </c>
      <c r="H617" s="92">
        <f>IFERROR(__xludf.DUMMYFUNCTION("""COMPUTED_VALUE"""),46156.0)</f>
        <v>46156</v>
      </c>
      <c r="I617" s="80">
        <f>IFERROR(__xludf.DUMMYFUNCTION("""COMPUTED_VALUE"""),4.0)</f>
        <v>4</v>
      </c>
      <c r="J617" s="93">
        <f>IFERROR(__xludf.DUMMYFUNCTION("""COMPUTED_VALUE"""),1180000.0)</f>
        <v>1180000</v>
      </c>
      <c r="K617" s="19" t="str">
        <f>IFERROR(__xludf.DUMMYFUNCTION("""COMPUTED_VALUE"""),"orderrrrrr")</f>
        <v>orderrrrrr</v>
      </c>
      <c r="L617" s="76"/>
      <c r="M617" s="20"/>
      <c r="N617" s="20"/>
      <c r="O617" s="20"/>
      <c r="P617" s="20"/>
    </row>
    <row r="618">
      <c r="A618" s="110">
        <f>IFERROR(__xludf.DUMMYFUNCTION("""COMPUTED_VALUE"""),46145.0)</f>
        <v>46145</v>
      </c>
      <c r="B618" s="110" t="str">
        <f>IFERROR(__xludf.DUMMYFUNCTION("""COMPUTED_VALUE"""),"2605D012")</f>
        <v>2605D012</v>
      </c>
      <c r="C618" s="49" t="str">
        <f>IFERROR(__xludf.DUMMYFUNCTION("""COMPUTED_VALUE"""),"Lyny")</f>
        <v>Lyny</v>
      </c>
      <c r="D618" s="102" t="str">
        <f>IFERROR(__xludf.DUMMYFUNCTION("""COMPUTED_VALUE"""),"08119304020")</f>
        <v>08119304020</v>
      </c>
      <c r="E618" s="25" t="str">
        <f>IFERROR(__xludf.DUMMYFUNCTION("""COMPUTED_VALUE"""),"Instagram")</f>
        <v>Instagram</v>
      </c>
      <c r="F618" s="25" t="str">
        <f>IFERROR(__xludf.DUMMYFUNCTION("""COMPUTED_VALUE"""),"Closing")</f>
        <v>Closing</v>
      </c>
      <c r="G618" s="25" t="str">
        <f>IFERROR(__xludf.DUMMYFUNCTION("""COMPUTED_VALUE"""),"3h2m opsi B")</f>
        <v>3h2m opsi B</v>
      </c>
      <c r="H618" s="78">
        <f>IFERROR(__xludf.DUMMYFUNCTION("""COMPUTED_VALUE"""),46154.0)</f>
        <v>46154</v>
      </c>
      <c r="I618" s="89">
        <f>IFERROR(__xludf.DUMMYFUNCTION("""COMPUTED_VALUE"""),2.0)</f>
        <v>2</v>
      </c>
      <c r="J618" s="96">
        <f>IFERROR(__xludf.DUMMYFUNCTION("""COMPUTED_VALUE"""),6128000.0)</f>
        <v>6128000</v>
      </c>
      <c r="K618" s="36" t="str">
        <f>IFERROR(__xludf.DUMMYFUNCTION("""COMPUTED_VALUE"""),"ORDERRRR")</f>
        <v>ORDERRRR</v>
      </c>
      <c r="L618" s="49"/>
      <c r="M618" s="20"/>
      <c r="N618" s="20"/>
      <c r="O618" s="20"/>
      <c r="P618" s="20"/>
    </row>
    <row r="619">
      <c r="A619" s="97">
        <f>IFERROR(__xludf.DUMMYFUNCTION("""COMPUTED_VALUE"""),46147.0)</f>
        <v>46147</v>
      </c>
      <c r="B619" s="97" t="str">
        <f>IFERROR(__xludf.DUMMYFUNCTION("""COMPUTED_VALUE"""),"2605D013")</f>
        <v>2605D013</v>
      </c>
      <c r="C619" s="76" t="str">
        <f>IFERROR(__xludf.DUMMYFUNCTION("""COMPUTED_VALUE"""),"Winda Yulianti")</f>
        <v>Winda Yulianti</v>
      </c>
      <c r="D619" s="99" t="str">
        <f>IFERROR(__xludf.DUMMYFUNCTION("""COMPUTED_VALUE"""),"081220288408")</f>
        <v>081220288408</v>
      </c>
      <c r="E619" s="25" t="str">
        <f>IFERROR(__xludf.DUMMYFUNCTION("""COMPUTED_VALUE"""),"Instagram")</f>
        <v>Instagram</v>
      </c>
      <c r="F619" s="25" t="str">
        <f>IFERROR(__xludf.DUMMYFUNCTION("""COMPUTED_VALUE"""),"Closing")</f>
        <v>Closing</v>
      </c>
      <c r="G619" s="25" t="str">
        <f>IFERROR(__xludf.DUMMYFUNCTION("""COMPUTED_VALUE"""),"2h1m opsi B")</f>
        <v>2h1m opsi B</v>
      </c>
      <c r="H619" s="92">
        <f>IFERROR(__xludf.DUMMYFUNCTION("""COMPUTED_VALUE"""),46157.0)</f>
        <v>46157</v>
      </c>
      <c r="I619" s="80">
        <f>IFERROR(__xludf.DUMMYFUNCTION("""COMPUTED_VALUE"""),2.0)</f>
        <v>2</v>
      </c>
      <c r="J619" s="93">
        <f>IFERROR(__xludf.DUMMYFUNCTION("""COMPUTED_VALUE"""),3588000.0)</f>
        <v>3588000</v>
      </c>
      <c r="K619" s="46" t="str">
        <f>IFERROR(__xludf.DUMMYFUNCTION("""COMPUTED_VALUE"""),"orderrr")</f>
        <v>orderrr</v>
      </c>
      <c r="L619" s="76"/>
      <c r="M619" s="20"/>
      <c r="N619" s="20"/>
      <c r="O619" s="20"/>
      <c r="P619" s="20"/>
    </row>
    <row r="620">
      <c r="A620" s="110">
        <f>IFERROR(__xludf.DUMMYFUNCTION("""COMPUTED_VALUE"""),46147.0)</f>
        <v>46147</v>
      </c>
      <c r="B620" s="110" t="str">
        <f>IFERROR(__xludf.DUMMYFUNCTION("""COMPUTED_VALUE"""),"2605D014")</f>
        <v>2605D014</v>
      </c>
      <c r="C620" s="49" t="str">
        <f>IFERROR(__xludf.DUMMYFUNCTION("""COMPUTED_VALUE"""),"Anggita Oktavia")</f>
        <v>Anggita Oktavia</v>
      </c>
      <c r="D620" s="102" t="str">
        <f>IFERROR(__xludf.DUMMYFUNCTION("""COMPUTED_VALUE"""),"081807903434")</f>
        <v>081807903434</v>
      </c>
      <c r="E620" s="25" t="str">
        <f>IFERROR(__xludf.DUMMYFUNCTION("""COMPUTED_VALUE"""),"Instagram")</f>
        <v>Instagram</v>
      </c>
      <c r="F620" s="25" t="str">
        <f>IFERROR(__xludf.DUMMYFUNCTION("""COMPUTED_VALUE"""),"Leads Baru")</f>
        <v>Leads Baru</v>
      </c>
      <c r="G620" s="25" t="str">
        <f>IFERROR(__xludf.DUMMYFUNCTION("""COMPUTED_VALUE"""),"4h3m")</f>
        <v>4h3m</v>
      </c>
      <c r="H620" s="78">
        <f>IFERROR(__xludf.DUMMYFUNCTION("""COMPUTED_VALUE"""),46206.0)</f>
        <v>46206</v>
      </c>
      <c r="I620" s="89">
        <f>IFERROR(__xludf.DUMMYFUNCTION("""COMPUTED_VALUE"""),44.0)</f>
        <v>44</v>
      </c>
      <c r="J620" s="96"/>
      <c r="K620" s="36" t="str">
        <f>IFERROR(__xludf.DUMMYFUNCTION("""COMPUTED_VALUE"""),"kirim penawaran, FU lagi 1 juni")</f>
        <v>kirim penawaran, FU lagi 1 juni</v>
      </c>
      <c r="L620" s="81" t="str">
        <f>IFERROR(__xludf.DUMMYFUNCTION("""COMPUTED_VALUE"""),"https://docs.google.com/document/d/1oHoo0h0KIE9ZojSF9tN8i-whNzw1nD7doKEFA7u9CJM/edit?usp=sharing")</f>
        <v>https://docs.google.com/document/d/1oHoo0h0KIE9ZojSF9tN8i-whNzw1nD7doKEFA7u9CJM/edit?usp=sharing</v>
      </c>
      <c r="M620" s="20"/>
      <c r="N620" s="20"/>
      <c r="O620" s="20"/>
      <c r="P620" s="20"/>
    </row>
    <row r="621">
      <c r="A621" s="97">
        <f>IFERROR(__xludf.DUMMYFUNCTION("""COMPUTED_VALUE"""),46146.0)</f>
        <v>46146</v>
      </c>
      <c r="B621" s="97" t="str">
        <f>IFERROR(__xludf.DUMMYFUNCTION("""COMPUTED_VALUE"""),"2605D014")</f>
        <v>2605D014</v>
      </c>
      <c r="C621" s="76" t="str">
        <f>IFERROR(__xludf.DUMMYFUNCTION("""COMPUTED_VALUE"""),"Weni Safitri")</f>
        <v>Weni Safitri</v>
      </c>
      <c r="D621" s="99" t="str">
        <f>IFERROR(__xludf.DUMMYFUNCTION("""COMPUTED_VALUE"""),"085267425448")</f>
        <v>085267425448</v>
      </c>
      <c r="E621" s="25" t="str">
        <f>IFERROR(__xludf.DUMMYFUNCTION("""COMPUTED_VALUE"""),"Website")</f>
        <v>Website</v>
      </c>
      <c r="F621" s="25" t="str">
        <f>IFERROR(__xludf.DUMMYFUNCTION("""COMPUTED_VALUE"""),"Gagal")</f>
        <v>Gagal</v>
      </c>
      <c r="G621" s="25" t="str">
        <f>IFERROR(__xludf.DUMMYFUNCTION("""COMPUTED_VALUE"""),"2h1m opsi B")</f>
        <v>2h1m opsi B</v>
      </c>
      <c r="H621" s="16">
        <f>IFERROR(__xludf.DUMMYFUNCTION("""COMPUTED_VALUE"""),46156.0)</f>
        <v>46156</v>
      </c>
      <c r="I621" s="17">
        <f>IFERROR(__xludf.DUMMYFUNCTION("""COMPUTED_VALUE"""),2.0)</f>
        <v>2</v>
      </c>
      <c r="J621" s="54"/>
      <c r="K621" s="46" t="str">
        <f>IFERROR(__xludf.DUMMYFUNCTION("""COMPUTED_VALUE"""),"cari waktu lain, honeymoon  ")</f>
        <v>cari waktu lain, honeymoon  </v>
      </c>
      <c r="L621" s="88" t="str">
        <f>IFERROR(__xludf.DUMMYFUNCTION("""COMPUTED_VALUE"""),"https://docs.google.com/document/d/1AQSM01m6bQcJsuP75k3TjEaMqk7XcS-NQ9qknft_5K0/edit?usp=sharing")</f>
        <v>https://docs.google.com/document/d/1AQSM01m6bQcJsuP75k3TjEaMqk7XcS-NQ9qknft_5K0/edit?usp=sharing</v>
      </c>
      <c r="M621" s="20"/>
      <c r="N621" s="20"/>
      <c r="O621" s="20"/>
      <c r="P621" s="20"/>
    </row>
    <row r="622">
      <c r="A622" s="110">
        <f>IFERROR(__xludf.DUMMYFUNCTION("""COMPUTED_VALUE"""),46146.0)</f>
        <v>46146</v>
      </c>
      <c r="B622" s="110" t="str">
        <f>IFERROR(__xludf.DUMMYFUNCTION("""COMPUTED_VALUE"""),"2605D015")</f>
        <v>2605D015</v>
      </c>
      <c r="C622" s="49" t="str">
        <f>IFERROR(__xludf.DUMMYFUNCTION("""COMPUTED_VALUE"""),"Lien Karlina")</f>
        <v>Lien Karlina</v>
      </c>
      <c r="D622" s="102" t="str">
        <f>IFERROR(__xludf.DUMMYFUNCTION("""COMPUTED_VALUE""")," 081111151907")</f>
        <v> 081111151907</v>
      </c>
      <c r="E622" s="25" t="str">
        <f>IFERROR(__xludf.DUMMYFUNCTION("""COMPUTED_VALUE"""),"Instagram")</f>
        <v>Instagram</v>
      </c>
      <c r="F622" s="25" t="str">
        <f>IFERROR(__xludf.DUMMYFUNCTION("""COMPUTED_VALUE"""),"Gagal")</f>
        <v>Gagal</v>
      </c>
      <c r="G622" s="25" t="str">
        <f>IFERROR(__xludf.DUMMYFUNCTION("""COMPUTED_VALUE"""),"2h1m opsi B")</f>
        <v>2h1m opsi B</v>
      </c>
      <c r="H622" s="78">
        <f>IFERROR(__xludf.DUMMYFUNCTION("""COMPUTED_VALUE"""),46156.0)</f>
        <v>46156</v>
      </c>
      <c r="I622" s="89">
        <f>IFERROR(__xludf.DUMMYFUNCTION("""COMPUTED_VALUE"""),4.0)</f>
        <v>4</v>
      </c>
      <c r="J622" s="96"/>
      <c r="K622" s="30" t="str">
        <f>IFERROR(__xludf.DUMMYFUNCTION("""COMPUTED_VALUE"""),"FU 9 Mei")</f>
        <v>FU 9 Mei</v>
      </c>
      <c r="L622" s="81" t="str">
        <f>IFERROR(__xludf.DUMMYFUNCTION("""COMPUTED_VALUE"""),"https://docs.google.com/document/d/17ivz-YTQYvNp4LjODTyuRQ8zExch6b8DgVK-u6ctK3A/edit?usp=sharing")</f>
        <v>https://docs.google.com/document/d/17ivz-YTQYvNp4LjODTyuRQ8zExch6b8DgVK-u6ctK3A/edit?usp=sharing</v>
      </c>
      <c r="M622" s="20"/>
      <c r="N622" s="20"/>
      <c r="O622" s="20"/>
      <c r="P622" s="20"/>
    </row>
    <row r="623">
      <c r="A623" s="97">
        <f>IFERROR(__xludf.DUMMYFUNCTION("""COMPUTED_VALUE"""),46146.0)</f>
        <v>46146</v>
      </c>
      <c r="B623" s="97" t="str">
        <f>IFERROR(__xludf.DUMMYFUNCTION("""COMPUTED_VALUE"""),"2605D016")</f>
        <v>2605D016</v>
      </c>
      <c r="C623" s="76" t="str">
        <f>IFERROR(__xludf.DUMMYFUNCTION("""COMPUTED_VALUE"""),"Sasa")</f>
        <v>Sasa</v>
      </c>
      <c r="D623" s="99" t="str">
        <f>IFERROR(__xludf.DUMMYFUNCTION("""COMPUTED_VALUE"""),"085748099870")</f>
        <v>085748099870</v>
      </c>
      <c r="E623" s="25" t="str">
        <f>IFERROR(__xludf.DUMMYFUNCTION("""COMPUTED_VALUE"""),"Instagram")</f>
        <v>Instagram</v>
      </c>
      <c r="F623" s="25" t="str">
        <f>IFERROR(__xludf.DUMMYFUNCTION("""COMPUTED_VALUE"""),"Gagal")</f>
        <v>Gagal</v>
      </c>
      <c r="G623" s="25" t="str">
        <f>IFERROR(__xludf.DUMMYFUNCTION("""COMPUTED_VALUE"""),"1 day custome ")</f>
        <v>1 day custome </v>
      </c>
      <c r="H623" s="92">
        <f>IFERROR(__xludf.DUMMYFUNCTION("""COMPUTED_VALUE"""),46151.0)</f>
        <v>46151</v>
      </c>
      <c r="I623" s="80">
        <f>IFERROR(__xludf.DUMMYFUNCTION("""COMPUTED_VALUE"""),10.0)</f>
        <v>10</v>
      </c>
      <c r="J623" s="93"/>
      <c r="K623" s="46" t="str">
        <f>IFERROR(__xludf.DUMMYFUNCTION("""COMPUTED_VALUE"""),"gagalll, gajadi tripp")</f>
        <v>gagalll, gajadi tripp</v>
      </c>
      <c r="L623" s="88" t="str">
        <f>IFERROR(__xludf.DUMMYFUNCTION("""COMPUTED_VALUE"""),"https://docs.google.com/document/d/1GLUcZNJyecrdhfsl2I3Rx-cBll0MHvJ9V1IPRUe7ayw/edit?usp=sharing")</f>
        <v>https://docs.google.com/document/d/1GLUcZNJyecrdhfsl2I3Rx-cBll0MHvJ9V1IPRUe7ayw/edit?usp=sharing</v>
      </c>
      <c r="M623" s="20"/>
      <c r="N623" s="20"/>
      <c r="O623" s="20"/>
      <c r="P623" s="20"/>
    </row>
    <row r="624">
      <c r="A624" s="110">
        <f>IFERROR(__xludf.DUMMYFUNCTION("""COMPUTED_VALUE"""),46147.0)</f>
        <v>46147</v>
      </c>
      <c r="B624" s="110" t="str">
        <f>IFERROR(__xludf.DUMMYFUNCTION("""COMPUTED_VALUE"""),"2605D017")</f>
        <v>2605D017</v>
      </c>
      <c r="C624" s="49" t="str">
        <f>IFERROR(__xludf.DUMMYFUNCTION("""COMPUTED_VALUE"""),"Dipta Daniswara")</f>
        <v>Dipta Daniswara</v>
      </c>
      <c r="D624" s="102" t="str">
        <f>IFERROR(__xludf.DUMMYFUNCTION("""COMPUTED_VALUE"""),"085640643545")</f>
        <v>085640643545</v>
      </c>
      <c r="E624" s="25" t="str">
        <f>IFERROR(__xludf.DUMMYFUNCTION("""COMPUTED_VALUE"""),"Instagram")</f>
        <v>Instagram</v>
      </c>
      <c r="F624" s="25" t="str">
        <f>IFERROR(__xludf.DUMMYFUNCTION("""COMPUTED_VALUE"""),"Gagal")</f>
        <v>Gagal</v>
      </c>
      <c r="G624" s="25" t="str">
        <f>IFERROR(__xludf.DUMMYFUNCTION("""COMPUTED_VALUE"""),"OT Djabal")</f>
        <v>OT Djabal</v>
      </c>
      <c r="H624" s="78">
        <f>IFERROR(__xludf.DUMMYFUNCTION("""COMPUTED_VALUE"""),46174.0)</f>
        <v>46174</v>
      </c>
      <c r="I624" s="89">
        <f>IFERROR(__xludf.DUMMYFUNCTION("""COMPUTED_VALUE"""),2.0)</f>
        <v>2</v>
      </c>
      <c r="J624" s="96"/>
      <c r="K624" s="36" t="str">
        <f>IFERROR(__xludf.DUMMYFUNCTION("""COMPUTED_VALUE"""),"URGENSI")</f>
        <v>URGENSI</v>
      </c>
      <c r="L624" s="138" t="str">
        <f>IFERROR(__xludf.DUMMYFUNCTION("""COMPUTED_VALUE"""),"https://docs.google.com/document/d/13Jm6qni_34WZX-KjQ6PL7A4tl7nXxf4EigNzYgZuA2k/edit?usp=sharing")</f>
        <v>https://docs.google.com/document/d/13Jm6qni_34WZX-KjQ6PL7A4tl7nXxf4EigNzYgZuA2k/edit?usp=sharing</v>
      </c>
      <c r="M624" s="20"/>
      <c r="N624" s="20"/>
      <c r="O624" s="20"/>
      <c r="P624" s="20"/>
    </row>
    <row r="625">
      <c r="A625" s="97">
        <f>IFERROR(__xludf.DUMMYFUNCTION("""COMPUTED_VALUE"""),46147.0)</f>
        <v>46147</v>
      </c>
      <c r="B625" s="97" t="str">
        <f>IFERROR(__xludf.DUMMYFUNCTION("""COMPUTED_VALUE"""),"2605D018")</f>
        <v>2605D018</v>
      </c>
      <c r="C625" s="76" t="str">
        <f>IFERROR(__xludf.DUMMYFUNCTION("""COMPUTED_VALUE"""),"Fikamelinda")</f>
        <v>Fikamelinda</v>
      </c>
      <c r="D625" s="99" t="str">
        <f>IFERROR(__xludf.DUMMYFUNCTION("""COMPUTED_VALUE"""),"088215725502")</f>
        <v>088215725502</v>
      </c>
      <c r="E625" s="25" t="str">
        <f>IFERROR(__xludf.DUMMYFUNCTION("""COMPUTED_VALUE"""),"Instagram")</f>
        <v>Instagram</v>
      </c>
      <c r="F625" s="25" t="str">
        <f>IFERROR(__xludf.DUMMYFUNCTION("""COMPUTED_VALUE"""),"Gagal")</f>
        <v>Gagal</v>
      </c>
      <c r="G625" s="25" t="str">
        <f>IFERROR(__xludf.DUMMYFUNCTION("""COMPUTED_VALUE"""),"3h2m Opsi B")</f>
        <v>3h2m Opsi B</v>
      </c>
      <c r="H625" s="92"/>
      <c r="I625" s="17">
        <f>IFERROR(__xludf.DUMMYFUNCTION("""COMPUTED_VALUE"""),5.0)</f>
        <v>5</v>
      </c>
      <c r="J625" s="93"/>
      <c r="K625" s="46" t="str">
        <f>IFERROR(__xludf.DUMMYFUNCTION("""COMPUTED_VALUE"""),"gajadii, cari ot green island")</f>
        <v>gajadii, cari ot green island</v>
      </c>
      <c r="L625" s="76"/>
      <c r="M625" s="20"/>
      <c r="N625" s="20"/>
      <c r="O625" s="20"/>
      <c r="P625" s="20"/>
    </row>
    <row r="626">
      <c r="A626" s="110">
        <f>IFERROR(__xludf.DUMMYFUNCTION("""COMPUTED_VALUE"""),46148.0)</f>
        <v>46148</v>
      </c>
      <c r="B626" s="110" t="str">
        <f>IFERROR(__xludf.DUMMYFUNCTION("""COMPUTED_VALUE"""),"2605D019")</f>
        <v>2605D019</v>
      </c>
      <c r="C626" s="49" t="str">
        <f>IFERROR(__xludf.DUMMYFUNCTION("""COMPUTED_VALUE"""),"Sandychantyka")</f>
        <v>Sandychantyka</v>
      </c>
      <c r="D626" s="102" t="str">
        <f>IFERROR(__xludf.DUMMYFUNCTION("""COMPUTED_VALUE"""),"085864140226")</f>
        <v>085864140226</v>
      </c>
      <c r="E626" s="25" t="str">
        <f>IFERROR(__xludf.DUMMYFUNCTION("""COMPUTED_VALUE"""),"Instagram")</f>
        <v>Instagram</v>
      </c>
      <c r="F626" s="25" t="str">
        <f>IFERROR(__xludf.DUMMYFUNCTION("""COMPUTED_VALUE"""),"Leads Baru")</f>
        <v>Leads Baru</v>
      </c>
      <c r="G626" s="25" t="str">
        <f>IFERROR(__xludf.DUMMYFUNCTION("""COMPUTED_VALUE"""),"2h1m Opsi C")</f>
        <v>2h1m Opsi C</v>
      </c>
      <c r="H626" s="78"/>
      <c r="I626" s="89">
        <f>IFERROR(__xludf.DUMMYFUNCTION("""COMPUTED_VALUE"""),2.0)</f>
        <v>2</v>
      </c>
      <c r="J626" s="96"/>
      <c r="K626" s="30" t="str">
        <f>IFERROR(__xludf.DUMMYFUNCTION("""COMPUTED_VALUE"""),"kalo jadi akan dihubungi lagii")</f>
        <v>kalo jadi akan dihubungi lagii</v>
      </c>
      <c r="L626" s="81" t="str">
        <f>IFERROR(__xludf.DUMMYFUNCTION("""COMPUTED_VALUE"""),"https://docs.google.com/document/d/1dyP1DzjpVtL4dEedf_0GH93y3aGmSGBvCrAH0ja_CyQ/edit?tab=t.0")</f>
        <v>https://docs.google.com/document/d/1dyP1DzjpVtL4dEedf_0GH93y3aGmSGBvCrAH0ja_CyQ/edit?tab=t.0</v>
      </c>
      <c r="M626" s="20"/>
      <c r="N626" s="20"/>
      <c r="O626" s="20"/>
      <c r="P626" s="20"/>
    </row>
    <row r="627">
      <c r="A627" s="97">
        <f>IFERROR(__xludf.DUMMYFUNCTION("""COMPUTED_VALUE"""),46148.0)</f>
        <v>46148</v>
      </c>
      <c r="B627" s="97" t="str">
        <f>IFERROR(__xludf.DUMMYFUNCTION("""COMPUTED_VALUE"""),"2605D020")</f>
        <v>2605D020</v>
      </c>
      <c r="C627" s="76" t="str">
        <f>IFERROR(__xludf.DUMMYFUNCTION("""COMPUTED_VALUE"""),"Ika")</f>
        <v>Ika</v>
      </c>
      <c r="D627" s="99" t="str">
        <f>IFERROR(__xludf.DUMMYFUNCTION("""COMPUTED_VALUE"""),"089680730407")</f>
        <v>089680730407</v>
      </c>
      <c r="E627" s="25" t="str">
        <f>IFERROR(__xludf.DUMMYFUNCTION("""COMPUTED_VALUE"""),"Instagram")</f>
        <v>Instagram</v>
      </c>
      <c r="F627" s="25" t="str">
        <f>IFERROR(__xludf.DUMMYFUNCTION("""COMPUTED_VALUE"""),"Gagal")</f>
        <v>Gagal</v>
      </c>
      <c r="G627" s="25" t="str">
        <f>IFERROR(__xludf.DUMMYFUNCTION("""COMPUTED_VALUE"""),"2h1m")</f>
        <v>2h1m</v>
      </c>
      <c r="H627" s="92">
        <f>IFERROR(__xludf.DUMMYFUNCTION("""COMPUTED_VALUE"""),46157.0)</f>
        <v>46157</v>
      </c>
      <c r="I627" s="80">
        <f>IFERROR(__xludf.DUMMYFUNCTION("""COMPUTED_VALUE"""),2.0)</f>
        <v>2</v>
      </c>
      <c r="J627" s="93"/>
      <c r="K627" s="19" t="str">
        <f>IFERROR(__xludf.DUMMYFUNCTION("""COMPUTED_VALUE"""),"fullbooked")</f>
        <v>fullbooked</v>
      </c>
      <c r="L627" s="88" t="str">
        <f>IFERROR(__xludf.DUMMYFUNCTION("""COMPUTED_VALUE"""),"https://docs.google.com/document/d/1elRKRoDF9nJ6FY-bxMaewuUYmg5daKmCVPna9bj5G_U/edit?usp=sharing")</f>
        <v>https://docs.google.com/document/d/1elRKRoDF9nJ6FY-bxMaewuUYmg5daKmCVPna9bj5G_U/edit?usp=sharing</v>
      </c>
      <c r="M627" s="20"/>
      <c r="N627" s="20"/>
      <c r="O627" s="20"/>
      <c r="P627" s="20"/>
    </row>
    <row r="628">
      <c r="A628" s="110">
        <f>IFERROR(__xludf.DUMMYFUNCTION("""COMPUTED_VALUE"""),46146.0)</f>
        <v>46146</v>
      </c>
      <c r="B628" s="110" t="str">
        <f>IFERROR(__xludf.DUMMYFUNCTION("""COMPUTED_VALUE"""),"2605D021")</f>
        <v>2605D021</v>
      </c>
      <c r="C628" s="49" t="str">
        <f>IFERROR(__xludf.DUMMYFUNCTION("""COMPUTED_VALUE"""),"Heru Prihandono")</f>
        <v>Heru Prihandono</v>
      </c>
      <c r="D628" s="102" t="str">
        <f>IFERROR(__xludf.DUMMYFUNCTION("""COMPUTED_VALUE"""),"08161155135")</f>
        <v>08161155135</v>
      </c>
      <c r="E628" s="25" t="str">
        <f>IFERROR(__xludf.DUMMYFUNCTION("""COMPUTED_VALUE"""),"Lainnya")</f>
        <v>Lainnya</v>
      </c>
      <c r="F628" s="25" t="str">
        <f>IFERROR(__xludf.DUMMYFUNCTION("""COMPUTED_VALUE"""),"Gagal")</f>
        <v>Gagal</v>
      </c>
      <c r="G628" s="25" t="str">
        <f>IFERROR(__xludf.DUMMYFUNCTION("""COMPUTED_VALUE"""),"2h1m opsi B")</f>
        <v>2h1m opsi B</v>
      </c>
      <c r="H628" s="78">
        <f>IFERROR(__xludf.DUMMYFUNCTION("""COMPUTED_VALUE"""),46157.0)</f>
        <v>46157</v>
      </c>
      <c r="I628" s="89">
        <f>IFERROR(__xludf.DUMMYFUNCTION("""COMPUTED_VALUE"""),13.0)</f>
        <v>13</v>
      </c>
      <c r="J628" s="96"/>
      <c r="K628" s="30" t="str">
        <f>IFERROR(__xludf.DUMMYFUNCTION("""COMPUTED_VALUE"""),"tidak jadi ke Banyuwangi")</f>
        <v>tidak jadi ke Banyuwangi</v>
      </c>
      <c r="L628" s="49"/>
      <c r="M628" s="20"/>
      <c r="N628" s="20"/>
      <c r="O628" s="20"/>
      <c r="P628" s="20"/>
    </row>
    <row r="629">
      <c r="A629" s="97">
        <f>IFERROR(__xludf.DUMMYFUNCTION("""COMPUTED_VALUE"""),46148.0)</f>
        <v>46148</v>
      </c>
      <c r="B629" s="97" t="str">
        <f>IFERROR(__xludf.DUMMYFUNCTION("""COMPUTED_VALUE"""),"2605D022")</f>
        <v>2605D022</v>
      </c>
      <c r="C629" s="76" t="str">
        <f>IFERROR(__xludf.DUMMYFUNCTION("""COMPUTED_VALUE"""),"Ana")</f>
        <v>Ana</v>
      </c>
      <c r="D629" s="99" t="str">
        <f>IFERROR(__xludf.DUMMYFUNCTION("""COMPUTED_VALUE"""),"082258275496")</f>
        <v>082258275496</v>
      </c>
      <c r="E629" s="25" t="str">
        <f>IFERROR(__xludf.DUMMYFUNCTION("""COMPUTED_VALUE"""),"Lainnya")</f>
        <v>Lainnya</v>
      </c>
      <c r="F629" s="25" t="str">
        <f>IFERROR(__xludf.DUMMYFUNCTION("""COMPUTED_VALUE"""),"Gagal")</f>
        <v>Gagal</v>
      </c>
      <c r="G629" s="25"/>
      <c r="H629" s="92">
        <f>IFERROR(__xludf.DUMMYFUNCTION("""COMPUTED_VALUE"""),46157.0)</f>
        <v>46157</v>
      </c>
      <c r="I629" s="80">
        <f>IFERROR(__xludf.DUMMYFUNCTION("""COMPUTED_VALUE"""),2.0)</f>
        <v>2</v>
      </c>
      <c r="J629" s="93"/>
      <c r="K629" s="46" t="str">
        <f>IFERROR(__xludf.DUMMYFUNCTION("""COMPUTED_VALUE"""),"fullbooked")</f>
        <v>fullbooked</v>
      </c>
      <c r="L629" s="88" t="str">
        <f>IFERROR(__xludf.DUMMYFUNCTION("""COMPUTED_VALUE"""),"https://docs.google.com/document/d/19be7I9TeaXjQcpKX0Eb2IKE5o8eQ_4TGdh4DjG30860/edit?usp=sharing")</f>
        <v>https://docs.google.com/document/d/19be7I9TeaXjQcpKX0Eb2IKE5o8eQ_4TGdh4DjG30860/edit?usp=sharing</v>
      </c>
      <c r="M629" s="20"/>
      <c r="N629" s="20"/>
      <c r="O629" s="20"/>
      <c r="P629" s="20"/>
    </row>
    <row r="630">
      <c r="A630" s="110">
        <f>IFERROR(__xludf.DUMMYFUNCTION("""COMPUTED_VALUE"""),46148.0)</f>
        <v>46148</v>
      </c>
      <c r="B630" s="110" t="str">
        <f>IFERROR(__xludf.DUMMYFUNCTION("""COMPUTED_VALUE"""),"2605D023")</f>
        <v>2605D023</v>
      </c>
      <c r="C630" s="49" t="str">
        <f>IFERROR(__xludf.DUMMYFUNCTION("""COMPUTED_VALUE"""),"Cahya Puspita")</f>
        <v>Cahya Puspita</v>
      </c>
      <c r="D630" s="102" t="str">
        <f>IFERROR(__xludf.DUMMYFUNCTION("""COMPUTED_VALUE"""),"085234768672")</f>
        <v>085234768672</v>
      </c>
      <c r="E630" s="25" t="str">
        <f>IFERROR(__xludf.DUMMYFUNCTION("""COMPUTED_VALUE"""),"Instagram")</f>
        <v>Instagram</v>
      </c>
      <c r="F630" s="25" t="str">
        <f>IFERROR(__xludf.DUMMYFUNCTION("""COMPUTED_VALUE"""),"Closing")</f>
        <v>Closing</v>
      </c>
      <c r="G630" s="25" t="str">
        <f>IFERROR(__xludf.DUMMYFUNCTION("""COMPUTED_VALUE"""),"OT Ijen")</f>
        <v>OT Ijen</v>
      </c>
      <c r="H630" s="78">
        <f>IFERROR(__xludf.DUMMYFUNCTION("""COMPUTED_VALUE"""),46172.0)</f>
        <v>46172</v>
      </c>
      <c r="I630" s="27">
        <f>IFERROR(__xludf.DUMMYFUNCTION("""COMPUTED_VALUE"""),4.0)</f>
        <v>4</v>
      </c>
      <c r="J630" s="33">
        <f>IFERROR(__xludf.DUMMYFUNCTION("""COMPUTED_VALUE"""),1000000.0)</f>
        <v>1000000</v>
      </c>
      <c r="K630" s="30" t="str">
        <f>IFERROR(__xludf.DUMMYFUNCTION("""COMPUTED_VALUE"""),"orderrrrr")</f>
        <v>orderrrrr</v>
      </c>
      <c r="L630" s="81" t="str">
        <f>IFERROR(__xludf.DUMMYFUNCTION("""COMPUTED_VALUE"""),"https://docs.google.com/document/d/1_bxpNWTqgV45U3ll1CyRSQG6hX6eJdqGNkSG_VFc0pM/edit?tab=t.0")</f>
        <v>https://docs.google.com/document/d/1_bxpNWTqgV45U3ll1CyRSQG6hX6eJdqGNkSG_VFc0pM/edit?tab=t.0</v>
      </c>
      <c r="M630" s="20"/>
      <c r="N630" s="20"/>
      <c r="O630" s="20"/>
      <c r="P630" s="20"/>
    </row>
    <row r="631">
      <c r="A631" s="97">
        <f>IFERROR(__xludf.DUMMYFUNCTION("""COMPUTED_VALUE"""),46148.0)</f>
        <v>46148</v>
      </c>
      <c r="B631" s="97" t="str">
        <f>IFERROR(__xludf.DUMMYFUNCTION("""COMPUTED_VALUE"""),"2605D024")</f>
        <v>2605D024</v>
      </c>
      <c r="C631" s="76" t="str">
        <f>IFERROR(__xludf.DUMMYFUNCTION("""COMPUTED_VALUE"""),"Wahyu Ismail")</f>
        <v>Wahyu Ismail</v>
      </c>
      <c r="D631" s="99" t="str">
        <f>IFERROR(__xludf.DUMMYFUNCTION("""COMPUTED_VALUE"""),"087738979188")</f>
        <v>087738979188</v>
      </c>
      <c r="E631" s="25" t="str">
        <f>IFERROR(__xludf.DUMMYFUNCTION("""COMPUTED_VALUE"""),"Lainnya")</f>
        <v>Lainnya</v>
      </c>
      <c r="F631" s="25" t="str">
        <f>IFERROR(__xludf.DUMMYFUNCTION("""COMPUTED_VALUE"""),"Leads Baru")</f>
        <v>Leads Baru</v>
      </c>
      <c r="G631" s="25"/>
      <c r="H631" s="92"/>
      <c r="I631" s="80"/>
      <c r="J631" s="93"/>
      <c r="K631" s="46" t="str">
        <f>IFERROR(__xludf.DUMMYFUNCTION("""COMPUTED_VALUE"""),"B2B")</f>
        <v>B2B</v>
      </c>
      <c r="L631" s="88" t="str">
        <f>IFERROR(__xludf.DUMMYFUNCTION("""COMPUTED_VALUE"""),"https://docs.google.com/document/d/1-yIpC01ZGDcoSgBQczirpYBq5zg0qIol8COZIov61RQ/edit?usp=sharing")</f>
        <v>https://docs.google.com/document/d/1-yIpC01ZGDcoSgBQczirpYBq5zg0qIol8COZIov61RQ/edit?usp=sharing</v>
      </c>
      <c r="M631" s="20"/>
      <c r="N631" s="20"/>
      <c r="O631" s="20"/>
      <c r="P631" s="20"/>
    </row>
    <row r="632">
      <c r="A632" s="110">
        <f>IFERROR(__xludf.DUMMYFUNCTION("""COMPUTED_VALUE"""),46149.0)</f>
        <v>46149</v>
      </c>
      <c r="B632" s="110" t="str">
        <f>IFERROR(__xludf.DUMMYFUNCTION("""COMPUTED_VALUE"""),"2605D025")</f>
        <v>2605D025</v>
      </c>
      <c r="C632" s="49" t="str">
        <f>IFERROR(__xludf.DUMMYFUNCTION("""COMPUTED_VALUE"""),"Mila")</f>
        <v>Mila</v>
      </c>
      <c r="D632" s="102" t="str">
        <f>IFERROR(__xludf.DUMMYFUNCTION("""COMPUTED_VALUE"""),"081329605303")</f>
        <v>081329605303</v>
      </c>
      <c r="E632" s="25" t="str">
        <f>IFERROR(__xludf.DUMMYFUNCTION("""COMPUTED_VALUE"""),"Lainnya")</f>
        <v>Lainnya</v>
      </c>
      <c r="F632" s="25" t="str">
        <f>IFERROR(__xludf.DUMMYFUNCTION("""COMPUTED_VALUE"""),"Gagal")</f>
        <v>Gagal</v>
      </c>
      <c r="G632" s="25" t="str">
        <f>IFERROR(__xludf.DUMMYFUNCTION("""COMPUTED_VALUE"""),"3h2m opsi B")</f>
        <v>3h2m opsi B</v>
      </c>
      <c r="H632" s="78">
        <f>IFERROR(__xludf.DUMMYFUNCTION("""COMPUTED_VALUE"""),46156.0)</f>
        <v>46156</v>
      </c>
      <c r="I632" s="89">
        <f>IFERROR(__xludf.DUMMYFUNCTION("""COMPUTED_VALUE"""),4.0)</f>
        <v>4</v>
      </c>
      <c r="J632" s="96"/>
      <c r="K632" s="36" t="str">
        <f>IFERROR(__xludf.DUMMYFUNCTION("""COMPUTED_VALUE"""),"tidakk balass")</f>
        <v>tidakk balass</v>
      </c>
      <c r="L632" s="49"/>
      <c r="M632" s="20"/>
      <c r="N632" s="20"/>
      <c r="O632" s="20"/>
      <c r="P632" s="20"/>
    </row>
    <row r="633">
      <c r="A633" s="97">
        <f>IFERROR(__xludf.DUMMYFUNCTION("""COMPUTED_VALUE"""),46150.0)</f>
        <v>46150</v>
      </c>
      <c r="B633" s="97" t="str">
        <f>IFERROR(__xludf.DUMMYFUNCTION("""COMPUTED_VALUE"""),"2605D026")</f>
        <v>2605D026</v>
      </c>
      <c r="C633" s="76" t="str">
        <f>IFERROR(__xludf.DUMMYFUNCTION("""COMPUTED_VALUE"""),"Erli Susandi")</f>
        <v>Erli Susandi</v>
      </c>
      <c r="D633" s="99" t="str">
        <f>IFERROR(__xludf.DUMMYFUNCTION("""COMPUTED_VALUE"""),"085236743404")</f>
        <v>085236743404</v>
      </c>
      <c r="E633" s="25" t="str">
        <f>IFERROR(__xludf.DUMMYFUNCTION("""COMPUTED_VALUE"""),"Lainnya")</f>
        <v>Lainnya</v>
      </c>
      <c r="F633" s="25" t="str">
        <f>IFERROR(__xludf.DUMMYFUNCTION("""COMPUTED_VALUE"""),"Gagal")</f>
        <v>Gagal</v>
      </c>
      <c r="G633" s="25" t="str">
        <f>IFERROR(__xludf.DUMMYFUNCTION("""COMPUTED_VALUE"""),"trip MT")</f>
        <v>trip MT</v>
      </c>
      <c r="H633" s="92">
        <f>IFERROR(__xludf.DUMMYFUNCTION("""COMPUTED_VALUE"""),46166.0)</f>
        <v>46166</v>
      </c>
      <c r="I633" s="80"/>
      <c r="J633" s="93"/>
      <c r="K633" s="19" t="str">
        <f>IFERROR(__xludf.DUMMYFUNCTION("""COMPUTED_VALUE"""),"masih rundingan sm temen, last FU 23 Mei")</f>
        <v>masih rundingan sm temen, last FU 23 Mei</v>
      </c>
      <c r="L633" s="88" t="str">
        <f>IFERROR(__xludf.DUMMYFUNCTION("""COMPUTED_VALUE"""),"https://docs.google.com/document/d/14nVUxQn49jSgY-IHGB_ZpviSf8lJr_HMeyKXc84oauI/edit?usp=sharing")</f>
        <v>https://docs.google.com/document/d/14nVUxQn49jSgY-IHGB_ZpviSf8lJr_HMeyKXc84oauI/edit?usp=sharing</v>
      </c>
      <c r="M633" s="20"/>
      <c r="N633" s="20"/>
      <c r="O633" s="20"/>
      <c r="P633" s="20"/>
    </row>
    <row r="634">
      <c r="A634" s="110">
        <f>IFERROR(__xludf.DUMMYFUNCTION("""COMPUTED_VALUE"""),46151.0)</f>
        <v>46151</v>
      </c>
      <c r="B634" s="110" t="str">
        <f>IFERROR(__xludf.DUMMYFUNCTION("""COMPUTED_VALUE"""),"2605D027")</f>
        <v>2605D027</v>
      </c>
      <c r="C634" s="49" t="str">
        <f>IFERROR(__xludf.DUMMYFUNCTION("""COMPUTED_VALUE"""),"Username N")</f>
        <v>Username N</v>
      </c>
      <c r="D634" s="102" t="str">
        <f>IFERROR(__xludf.DUMMYFUNCTION("""COMPUTED_VALUE"""),"081333004126")</f>
        <v>081333004126</v>
      </c>
      <c r="E634" s="25" t="str">
        <f>IFERROR(__xludf.DUMMYFUNCTION("""COMPUTED_VALUE"""),"Instagram")</f>
        <v>Instagram</v>
      </c>
      <c r="F634" s="25" t="str">
        <f>IFERROR(__xludf.DUMMYFUNCTION("""COMPUTED_VALUE"""),"Gagal")</f>
        <v>Gagal</v>
      </c>
      <c r="G634" s="25" t="str">
        <f>IFERROR(__xludf.DUMMYFUNCTION("""COMPUTED_VALUE"""),"2h1m Opsi C")</f>
        <v>2h1m Opsi C</v>
      </c>
      <c r="H634" s="78">
        <f>IFERROR(__xludf.DUMMYFUNCTION("""COMPUTED_VALUE"""),46158.0)</f>
        <v>46158</v>
      </c>
      <c r="I634" s="89">
        <f>IFERROR(__xludf.DUMMYFUNCTION("""COMPUTED_VALUE"""),3.0)</f>
        <v>3</v>
      </c>
      <c r="J634" s="96">
        <f>IFERROR(__xludf.DUMMYFUNCTION("""COMPUTED_VALUE"""),3222000.0)</f>
        <v>3222000</v>
      </c>
      <c r="K634" s="36" t="str">
        <f>IFERROR(__xludf.DUMMYFUNCTION("""COMPUTED_VALUE"""),"Fullbooked")</f>
        <v>Fullbooked</v>
      </c>
      <c r="L634" s="87" t="str">
        <f>IFERROR(__xludf.DUMMYFUNCTION("""COMPUTED_VALUE"""),"https://docs.google.com/document/d/1tFfyUhfqFxF-B-eJAeH01Uo7E6YRby2LaZEDeJ7180g/edit?usp=sharing")</f>
        <v>https://docs.google.com/document/d/1tFfyUhfqFxF-B-eJAeH01Uo7E6YRby2LaZEDeJ7180g/edit?usp=sharing</v>
      </c>
      <c r="M634" s="20"/>
      <c r="N634" s="20"/>
      <c r="O634" s="20"/>
      <c r="P634" s="20"/>
    </row>
    <row r="635">
      <c r="A635" s="97">
        <f>IFERROR(__xludf.DUMMYFUNCTION("""COMPUTED_VALUE"""),46152.0)</f>
        <v>46152</v>
      </c>
      <c r="B635" s="97" t="str">
        <f>IFERROR(__xludf.DUMMYFUNCTION("""COMPUTED_VALUE"""),"2605D028")</f>
        <v>2605D028</v>
      </c>
      <c r="C635" s="76" t="str">
        <f>IFERROR(__xludf.DUMMYFUNCTION("""COMPUTED_VALUE"""),"Fakhri")</f>
        <v>Fakhri</v>
      </c>
      <c r="D635" s="99" t="str">
        <f>IFERROR(__xludf.DUMMYFUNCTION("""COMPUTED_VALUE"""),"082220555002")</f>
        <v>082220555002</v>
      </c>
      <c r="E635" s="25" t="str">
        <f>IFERROR(__xludf.DUMMYFUNCTION("""COMPUTED_VALUE"""),"Website")</f>
        <v>Website</v>
      </c>
      <c r="F635" s="25" t="str">
        <f>IFERROR(__xludf.DUMMYFUNCTION("""COMPUTED_VALUE"""),"Leads Baru")</f>
        <v>Leads Baru</v>
      </c>
      <c r="G635" s="25" t="str">
        <f>IFERROR(__xludf.DUMMYFUNCTION("""COMPUTED_VALUE"""),"4H3M")</f>
        <v>4H3M</v>
      </c>
      <c r="H635" s="16"/>
      <c r="I635" s="17">
        <f>IFERROR(__xludf.DUMMYFUNCTION("""COMPUTED_VALUE"""),2.0)</f>
        <v>2</v>
      </c>
      <c r="J635" s="54"/>
      <c r="K635" s="46" t="str">
        <f>IFERROR(__xludf.DUMMYFUNCTION("""COMPUTED_VALUE"""),"sudah kasih harga, FU 11 Juni")</f>
        <v>sudah kasih harga, FU 11 Juni</v>
      </c>
      <c r="L635" s="88" t="str">
        <f>IFERROR(__xludf.DUMMYFUNCTION("""COMPUTED_VALUE"""),"https://docs.google.com/document/d/1NtlzGZDLfNlt1971pPrT4aFEB86nNTHmGbbDZtSIAKk/edit?usp=sharing")</f>
        <v>https://docs.google.com/document/d/1NtlzGZDLfNlt1971pPrT4aFEB86nNTHmGbbDZtSIAKk/edit?usp=sharing</v>
      </c>
      <c r="M635" s="20"/>
      <c r="N635" s="20"/>
      <c r="O635" s="20"/>
      <c r="P635" s="20"/>
    </row>
    <row r="636">
      <c r="A636" s="110">
        <f>IFERROR(__xludf.DUMMYFUNCTION("""COMPUTED_VALUE"""),46152.0)</f>
        <v>46152</v>
      </c>
      <c r="B636" s="110" t="str">
        <f>IFERROR(__xludf.DUMMYFUNCTION("""COMPUTED_VALUE"""),"2605D029")</f>
        <v>2605D029</v>
      </c>
      <c r="C636" s="49" t="str">
        <f>IFERROR(__xludf.DUMMYFUNCTION("""COMPUTED_VALUE"""),"Herlina")</f>
        <v>Herlina</v>
      </c>
      <c r="D636" s="102" t="str">
        <f>IFERROR(__xludf.DUMMYFUNCTION("""COMPUTED_VALUE"""),"081228226656")</f>
        <v>081228226656</v>
      </c>
      <c r="E636" s="25" t="str">
        <f>IFERROR(__xludf.DUMMYFUNCTION("""COMPUTED_VALUE"""),"Lainnya")</f>
        <v>Lainnya</v>
      </c>
      <c r="F636" s="25" t="str">
        <f>IFERROR(__xludf.DUMMYFUNCTION("""COMPUTED_VALUE"""),"Gagal")</f>
        <v>Gagal</v>
      </c>
      <c r="G636" s="25" t="str">
        <f>IFERROR(__xludf.DUMMYFUNCTION("""COMPUTED_VALUE"""),"3H2M")</f>
        <v>3H2M</v>
      </c>
      <c r="H636" s="78">
        <f>IFERROR(__xludf.DUMMYFUNCTION("""COMPUTED_VALUE"""),46169.0)</f>
        <v>46169</v>
      </c>
      <c r="I636" s="89">
        <f>IFERROR(__xludf.DUMMYFUNCTION("""COMPUTED_VALUE"""),46083.0)</f>
        <v>46083</v>
      </c>
      <c r="J636" s="96"/>
      <c r="K636" s="30" t="str">
        <f>IFERROR(__xludf.DUMMYFUNCTION("""COMPUTED_VALUE"""),"FU 2 kali tdk balass, FU 24 Mei")</f>
        <v>FU 2 kali tdk balass, FU 24 Mei</v>
      </c>
      <c r="L636" s="81" t="str">
        <f>IFERROR(__xludf.DUMMYFUNCTION("""COMPUTED_VALUE"""),"https://docs.google.com/document/d/1w5BYt9K4-hnVW2x_E89mhsEuetKe0MW4tD-JiV5CQlc/edit?usp=sharing")</f>
        <v>https://docs.google.com/document/d/1w5BYt9K4-hnVW2x_E89mhsEuetKe0MW4tD-JiV5CQlc/edit?usp=sharing</v>
      </c>
      <c r="M636" s="20"/>
      <c r="N636" s="20"/>
      <c r="O636" s="20"/>
      <c r="P636" s="20"/>
    </row>
    <row r="637">
      <c r="A637" s="97">
        <f>IFERROR(__xludf.DUMMYFUNCTION("""COMPUTED_VALUE"""),46149.0)</f>
        <v>46149</v>
      </c>
      <c r="B637" s="97" t="str">
        <f>IFERROR(__xludf.DUMMYFUNCTION("""COMPUTED_VALUE"""),"2605D030")</f>
        <v>2605D030</v>
      </c>
      <c r="C637" s="76" t="str">
        <f>IFERROR(__xludf.DUMMYFUNCTION("""COMPUTED_VALUE"""),"Binta Ali tamara")</f>
        <v>Binta Ali tamara</v>
      </c>
      <c r="D637" s="99" t="str">
        <f>IFERROR(__xludf.DUMMYFUNCTION("""COMPUTED_VALUE"""),"081216822288")</f>
        <v>081216822288</v>
      </c>
      <c r="E637" s="25" t="str">
        <f>IFERROR(__xludf.DUMMYFUNCTION("""COMPUTED_VALUE"""),"Website")</f>
        <v>Website</v>
      </c>
      <c r="F637" s="25" t="str">
        <f>IFERROR(__xludf.DUMMYFUNCTION("""COMPUTED_VALUE"""),"Gagal")</f>
        <v>Gagal</v>
      </c>
      <c r="G637" s="25" t="str">
        <f>IFERROR(__xludf.DUMMYFUNCTION("""COMPUTED_VALUE"""),"2h1m custome")</f>
        <v>2h1m custome</v>
      </c>
      <c r="H637" s="92"/>
      <c r="I637" s="80"/>
      <c r="J637" s="93"/>
      <c r="K637" s="46" t="str">
        <f>IFERROR(__xludf.DUMMYFUNCTION("""COMPUTED_VALUE"""),"gagall, ga bales lagi")</f>
        <v>gagall, ga bales lagi</v>
      </c>
      <c r="L637" s="76"/>
      <c r="M637" s="20"/>
      <c r="N637" s="20"/>
      <c r="O637" s="20"/>
      <c r="P637" s="20"/>
    </row>
    <row r="638">
      <c r="A638" s="110">
        <f>IFERROR(__xludf.DUMMYFUNCTION("""COMPUTED_VALUE"""),46153.0)</f>
        <v>46153</v>
      </c>
      <c r="B638" s="135" t="str">
        <f>IFERROR(__xludf.DUMMYFUNCTION("""COMPUTED_VALUE"""),"2605D031")</f>
        <v>2605D031</v>
      </c>
      <c r="C638" s="49" t="str">
        <f>IFERROR(__xludf.DUMMYFUNCTION("""COMPUTED_VALUE"""),"Herry Poer")</f>
        <v>Herry Poer</v>
      </c>
      <c r="D638" s="102" t="str">
        <f>IFERROR(__xludf.DUMMYFUNCTION("""COMPUTED_VALUE"""),"081333093581")</f>
        <v>081333093581</v>
      </c>
      <c r="E638" s="25" t="str">
        <f>IFERROR(__xludf.DUMMYFUNCTION("""COMPUTED_VALUE"""),"Instagram")</f>
        <v>Instagram</v>
      </c>
      <c r="F638" s="25" t="str">
        <f>IFERROR(__xludf.DUMMYFUNCTION("""COMPUTED_VALUE"""),"Qualified")</f>
        <v>Qualified</v>
      </c>
      <c r="G638" s="25" t="str">
        <f>IFERROR(__xludf.DUMMYFUNCTION("""COMPUTED_VALUE"""),"1 day trip GI")</f>
        <v>1 day trip GI</v>
      </c>
      <c r="H638" s="78"/>
      <c r="I638" s="27">
        <f>IFERROR(__xludf.DUMMYFUNCTION("""COMPUTED_VALUE"""),35.0)</f>
        <v>35</v>
      </c>
      <c r="J638" s="96"/>
      <c r="K638" s="30" t="str">
        <f>IFERROR(__xludf.DUMMYFUNCTION("""COMPUTED_VALUE"""),"sudah kirim penawaran, ")</f>
        <v>sudah kirim penawaran, </v>
      </c>
      <c r="L638" s="81" t="str">
        <f>IFERROR(__xludf.DUMMYFUNCTION("""COMPUTED_VALUE"""),"https://docs.google.com/document/d/1XkoZRZYTZtCw9mFuV7U6sPx0gO3_qmUr5kwO2HmMm6o/edit?usp=sharing")</f>
        <v>https://docs.google.com/document/d/1XkoZRZYTZtCw9mFuV7U6sPx0gO3_qmUr5kwO2HmMm6o/edit?usp=sharing</v>
      </c>
      <c r="M638" s="20"/>
      <c r="N638" s="20"/>
      <c r="O638" s="20"/>
      <c r="P638" s="20"/>
    </row>
    <row r="639">
      <c r="A639" s="97">
        <f>IFERROR(__xludf.DUMMYFUNCTION("""COMPUTED_VALUE"""),46153.0)</f>
        <v>46153</v>
      </c>
      <c r="B639" s="97" t="str">
        <f>IFERROR(__xludf.DUMMYFUNCTION("""COMPUTED_VALUE"""),"2605D032")</f>
        <v>2605D032</v>
      </c>
      <c r="C639" s="76" t="str">
        <f>IFERROR(__xludf.DUMMYFUNCTION("""COMPUTED_VALUE"""),"Dita Aulia")</f>
        <v>Dita Aulia</v>
      </c>
      <c r="D639" s="99" t="str">
        <f>IFERROR(__xludf.DUMMYFUNCTION("""COMPUTED_VALUE"""),"083107565563")</f>
        <v>083107565563</v>
      </c>
      <c r="E639" s="25" t="str">
        <f>IFERROR(__xludf.DUMMYFUNCTION("""COMPUTED_VALUE"""),"Instagram")</f>
        <v>Instagram</v>
      </c>
      <c r="F639" s="25" t="str">
        <f>IFERROR(__xludf.DUMMYFUNCTION("""COMPUTED_VALUE"""),"Closing")</f>
        <v>Closing</v>
      </c>
      <c r="G639" s="25" t="str">
        <f>IFERROR(__xludf.DUMMYFUNCTION("""COMPUTED_VALUE"""),"Open trip MT, DB, I")</f>
        <v>Open trip MT, DB, I</v>
      </c>
      <c r="H639" s="92">
        <f>IFERROR(__xludf.DUMMYFUNCTION("""COMPUTED_VALUE"""),46159.0)</f>
        <v>46159</v>
      </c>
      <c r="I639" s="80">
        <f>IFERROR(__xludf.DUMMYFUNCTION("""COMPUTED_VALUE"""),1.0)</f>
        <v>1</v>
      </c>
      <c r="J639" s="93">
        <f>IFERROR(__xludf.DUMMYFUNCTION("""COMPUTED_VALUE"""),1725000.0)</f>
        <v>1725000</v>
      </c>
      <c r="K639" s="46" t="str">
        <f>IFERROR(__xludf.DUMMYFUNCTION("""COMPUTED_VALUE"""),"orderrr")</f>
        <v>orderrr</v>
      </c>
      <c r="L639" s="10"/>
      <c r="M639" s="20"/>
      <c r="N639" s="20"/>
      <c r="O639" s="20"/>
      <c r="P639" s="20"/>
    </row>
    <row r="640">
      <c r="A640" s="110">
        <f>IFERROR(__xludf.DUMMYFUNCTION("""COMPUTED_VALUE"""),46153.0)</f>
        <v>46153</v>
      </c>
      <c r="B640" s="110" t="str">
        <f>IFERROR(__xludf.DUMMYFUNCTION("""COMPUTED_VALUE"""),"2605D033")</f>
        <v>2605D033</v>
      </c>
      <c r="C640" s="49" t="str">
        <f>IFERROR(__xludf.DUMMYFUNCTION("""COMPUTED_VALUE"""),"Laurie Octaviane")</f>
        <v>Laurie Octaviane</v>
      </c>
      <c r="D640" s="102" t="str">
        <f>IFERROR(__xludf.DUMMYFUNCTION("""COMPUTED_VALUE"""),"081510109409")</f>
        <v>081510109409</v>
      </c>
      <c r="E640" s="25" t="str">
        <f>IFERROR(__xludf.DUMMYFUNCTION("""COMPUTED_VALUE"""),"Website")</f>
        <v>Website</v>
      </c>
      <c r="F640" s="25" t="str">
        <f>IFERROR(__xludf.DUMMYFUNCTION("""COMPUTED_VALUE"""),"Closing")</f>
        <v>Closing</v>
      </c>
      <c r="G640" s="25" t="str">
        <f>IFERROR(__xludf.DUMMYFUNCTION("""COMPUTED_VALUE"""),"private trip Djawatan Baluran")</f>
        <v>private trip Djawatan Baluran</v>
      </c>
      <c r="H640" s="78">
        <f>IFERROR(__xludf.DUMMYFUNCTION("""COMPUTED_VALUE"""),46172.0)</f>
        <v>46172</v>
      </c>
      <c r="I640" s="89">
        <f>IFERROR(__xludf.DUMMYFUNCTION("""COMPUTED_VALUE"""),3.0)</f>
        <v>3</v>
      </c>
      <c r="J640" s="96">
        <f>IFERROR(__xludf.DUMMYFUNCTION("""COMPUTED_VALUE"""),1875000.0)</f>
        <v>1875000</v>
      </c>
      <c r="K640" s="36" t="str">
        <f>IFERROR(__xludf.DUMMYFUNCTION("""COMPUTED_VALUE"""),"orderrrr")</f>
        <v>orderrrr</v>
      </c>
      <c r="L640" s="23"/>
      <c r="M640" s="20"/>
      <c r="N640" s="20"/>
      <c r="O640" s="20"/>
      <c r="P640" s="20"/>
    </row>
    <row r="641">
      <c r="A641" s="97">
        <f>IFERROR(__xludf.DUMMYFUNCTION("""COMPUTED_VALUE"""),46153.0)</f>
        <v>46153</v>
      </c>
      <c r="B641" s="97" t="str">
        <f>IFERROR(__xludf.DUMMYFUNCTION("""COMPUTED_VALUE"""),"2605D034")</f>
        <v>2605D034</v>
      </c>
      <c r="C641" s="76" t="str">
        <f>IFERROR(__xludf.DUMMYFUNCTION("""COMPUTED_VALUE"""),"Nono Heri")</f>
        <v>Nono Heri</v>
      </c>
      <c r="D641" s="99" t="str">
        <f>IFERROR(__xludf.DUMMYFUNCTION("""COMPUTED_VALUE"""),"081384192675")</f>
        <v>081384192675</v>
      </c>
      <c r="E641" s="25" t="str">
        <f>IFERROR(__xludf.DUMMYFUNCTION("""COMPUTED_VALUE"""),"Website")</f>
        <v>Website</v>
      </c>
      <c r="F641" s="25" t="str">
        <f>IFERROR(__xludf.DUMMYFUNCTION("""COMPUTED_VALUE"""),"Gagal")</f>
        <v>Gagal</v>
      </c>
      <c r="G641" s="25" t="str">
        <f>IFERROR(__xludf.DUMMYFUNCTION("""COMPUTED_VALUE"""),"OT MT")</f>
        <v>OT MT</v>
      </c>
      <c r="H641" s="92">
        <f>IFERROR(__xludf.DUMMYFUNCTION("""COMPUTED_VALUE"""),46159.0)</f>
        <v>46159</v>
      </c>
      <c r="I641" s="80">
        <f>IFERROR(__xludf.DUMMYFUNCTION("""COMPUTED_VALUE"""),4.0)</f>
        <v>4</v>
      </c>
      <c r="J641" s="93">
        <f>IFERROR(__xludf.DUMMYFUNCTION("""COMPUTED_VALUE"""),1100000.0)</f>
        <v>1100000</v>
      </c>
      <c r="K641" s="19" t="str">
        <f>IFERROR(__xludf.DUMMYFUNCTION("""COMPUTED_VALUE"""),"cancelll")</f>
        <v>cancelll</v>
      </c>
      <c r="L641" s="76"/>
      <c r="M641" s="20"/>
      <c r="N641" s="20"/>
      <c r="O641" s="20"/>
      <c r="P641" s="20"/>
    </row>
    <row r="642">
      <c r="A642" s="110">
        <f>IFERROR(__xludf.DUMMYFUNCTION("""COMPUTED_VALUE"""),46153.0)</f>
        <v>46153</v>
      </c>
      <c r="B642" s="110" t="str">
        <f>IFERROR(__xludf.DUMMYFUNCTION("""COMPUTED_VALUE"""),"2605D035")</f>
        <v>2605D035</v>
      </c>
      <c r="C642" s="49" t="str">
        <f>IFERROR(__xludf.DUMMYFUNCTION("""COMPUTED_VALUE"""),"Mama Boy")</f>
        <v>Mama Boy</v>
      </c>
      <c r="D642" s="102" t="str">
        <f>IFERROR(__xludf.DUMMYFUNCTION("""COMPUTED_VALUE"""),"60102003144")</f>
        <v>60102003144</v>
      </c>
      <c r="E642" s="25" t="str">
        <f>IFERROR(__xludf.DUMMYFUNCTION("""COMPUTED_VALUE"""),"Website")</f>
        <v>Website</v>
      </c>
      <c r="F642" s="25" t="str">
        <f>IFERROR(__xludf.DUMMYFUNCTION("""COMPUTED_VALUE"""),"Leads Baru")</f>
        <v>Leads Baru</v>
      </c>
      <c r="G642" s="25" t="str">
        <f>IFERROR(__xludf.DUMMYFUNCTION("""COMPUTED_VALUE"""),"2h1m opsi c")</f>
        <v>2h1m opsi c</v>
      </c>
      <c r="H642" s="78"/>
      <c r="I642" s="89">
        <f>IFERROR(__xludf.DUMMYFUNCTION("""COMPUTED_VALUE"""),3.0)</f>
        <v>3</v>
      </c>
      <c r="J642" s="96"/>
      <c r="K642" s="36" t="str">
        <f>IFERROR(__xludf.DUMMYFUNCTION("""COMPUTED_VALUE"""),"masih diskuss")</f>
        <v>masih diskuss</v>
      </c>
      <c r="L642" s="81" t="str">
        <f>IFERROR(__xludf.DUMMYFUNCTION("""COMPUTED_VALUE"""),"https://docs.google.com/document/d/1xPan_0giyffBX4xkJJkx1CbbXnWtbmRsjkDBBx6vTFY/edit?usp=sharing")</f>
        <v>https://docs.google.com/document/d/1xPan_0giyffBX4xkJJkx1CbbXnWtbmRsjkDBBx6vTFY/edit?usp=sharing</v>
      </c>
      <c r="M642" s="20"/>
      <c r="N642" s="20"/>
      <c r="O642" s="20"/>
      <c r="P642" s="20"/>
    </row>
    <row r="643">
      <c r="A643" s="97">
        <f>IFERROR(__xludf.DUMMYFUNCTION("""COMPUTED_VALUE"""),46154.0)</f>
        <v>46154</v>
      </c>
      <c r="B643" s="97" t="str">
        <f>IFERROR(__xludf.DUMMYFUNCTION("""COMPUTED_VALUE"""),"2605D036")</f>
        <v>2605D036</v>
      </c>
      <c r="C643" s="76" t="str">
        <f>IFERROR(__xludf.DUMMYFUNCTION("""COMPUTED_VALUE"""),"Sisi")</f>
        <v>Sisi</v>
      </c>
      <c r="D643" s="99" t="str">
        <f>IFERROR(__xludf.DUMMYFUNCTION("""COMPUTED_VALUE"""),"081316886516")</f>
        <v>081316886516</v>
      </c>
      <c r="E643" s="25" t="str">
        <f>IFERROR(__xludf.DUMMYFUNCTION("""COMPUTED_VALUE"""),"Instagram")</f>
        <v>Instagram</v>
      </c>
      <c r="F643" s="25" t="str">
        <f>IFERROR(__xludf.DUMMYFUNCTION("""COMPUTED_VALUE"""),"Gagal")</f>
        <v>Gagal</v>
      </c>
      <c r="G643" s="25" t="str">
        <f>IFERROR(__xludf.DUMMYFUNCTION("""COMPUTED_VALUE"""),"2h1m custome ")</f>
        <v>2h1m custome </v>
      </c>
      <c r="H643" s="92">
        <f>IFERROR(__xludf.DUMMYFUNCTION("""COMPUTED_VALUE"""),46158.0)</f>
        <v>46158</v>
      </c>
      <c r="I643" s="17">
        <f>IFERROR(__xludf.DUMMYFUNCTION("""COMPUTED_VALUE"""),2.0)</f>
        <v>2</v>
      </c>
      <c r="J643" s="54"/>
      <c r="K643" s="46"/>
      <c r="L643" s="88" t="str">
        <f>IFERROR(__xludf.DUMMYFUNCTION("""COMPUTED_VALUE"""),"https://docs.google.com/document/d/1AvocrKK5urav6aCROcQ9LAMDYgIbJl3RYGznd0WPdsI/edit?usp=sharing")</f>
        <v>https://docs.google.com/document/d/1AvocrKK5urav6aCROcQ9LAMDYgIbJl3RYGznd0WPdsI/edit?usp=sharing</v>
      </c>
      <c r="M643" s="20"/>
      <c r="N643" s="20"/>
      <c r="O643" s="20"/>
      <c r="P643" s="20"/>
    </row>
    <row r="644">
      <c r="A644" s="110">
        <f>IFERROR(__xludf.DUMMYFUNCTION("""COMPUTED_VALUE"""),46154.0)</f>
        <v>46154</v>
      </c>
      <c r="B644" s="110" t="str">
        <f>IFERROR(__xludf.DUMMYFUNCTION("""COMPUTED_VALUE"""),"2605D037")</f>
        <v>2605D037</v>
      </c>
      <c r="C644" s="49" t="str">
        <f>IFERROR(__xludf.DUMMYFUNCTION("""COMPUTED_VALUE"""),"Raniah")</f>
        <v>Raniah</v>
      </c>
      <c r="D644" s="102" t="str">
        <f>IFERROR(__xludf.DUMMYFUNCTION("""COMPUTED_VALUE"""),"081296575430")</f>
        <v>081296575430</v>
      </c>
      <c r="E644" s="25" t="str">
        <f>IFERROR(__xludf.DUMMYFUNCTION("""COMPUTED_VALUE"""),"Instagram")</f>
        <v>Instagram</v>
      </c>
      <c r="F644" s="25" t="str">
        <f>IFERROR(__xludf.DUMMYFUNCTION("""COMPUTED_VALUE"""),"Gagal")</f>
        <v>Gagal</v>
      </c>
      <c r="G644" s="25" t="str">
        <f>IFERROR(__xludf.DUMMYFUNCTION("""COMPUTED_VALUE"""),"OT MT, IB")</f>
        <v>OT MT, IB</v>
      </c>
      <c r="H644" s="78">
        <f>IFERROR(__xludf.DUMMYFUNCTION("""COMPUTED_VALUE"""),46177.0)</f>
        <v>46177</v>
      </c>
      <c r="I644" s="89">
        <f>IFERROR(__xludf.DUMMYFUNCTION("""COMPUTED_VALUE"""),3.0)</f>
        <v>3</v>
      </c>
      <c r="J644" s="96"/>
      <c r="K644" s="30"/>
      <c r="L644" s="81" t="str">
        <f>IFERROR(__xludf.DUMMYFUNCTION("""COMPUTED_VALUE"""),"https://docs.google.com/document/d/1G0l2Un5VkFEqv_WYzjV4_qQyrnqVLChynkyLgUrsfMw/edit?usp=sharing")</f>
        <v>https://docs.google.com/document/d/1G0l2Un5VkFEqv_WYzjV4_qQyrnqVLChynkyLgUrsfMw/edit?usp=sharing</v>
      </c>
      <c r="M644" s="20"/>
      <c r="N644" s="20"/>
      <c r="O644" s="20"/>
      <c r="P644" s="20"/>
    </row>
    <row r="645">
      <c r="A645" s="97">
        <f>IFERROR(__xludf.DUMMYFUNCTION("""COMPUTED_VALUE"""),46154.0)</f>
        <v>46154</v>
      </c>
      <c r="B645" s="97" t="str">
        <f>IFERROR(__xludf.DUMMYFUNCTION("""COMPUTED_VALUE"""),"2605D038")</f>
        <v>2605D038</v>
      </c>
      <c r="C645" s="76" t="str">
        <f>IFERROR(__xludf.DUMMYFUNCTION("""COMPUTED_VALUE"""),"Regina DA")</f>
        <v>Regina DA</v>
      </c>
      <c r="D645" s="99" t="str">
        <f>IFERROR(__xludf.DUMMYFUNCTION("""COMPUTED_VALUE"""),"081253317588")</f>
        <v>081253317588</v>
      </c>
      <c r="E645" s="25" t="str">
        <f>IFERROR(__xludf.DUMMYFUNCTION("""COMPUTED_VALUE"""),"Instagram")</f>
        <v>Instagram</v>
      </c>
      <c r="F645" s="25" t="str">
        <f>IFERROR(__xludf.DUMMYFUNCTION("""COMPUTED_VALUE"""),"Leads Baru")</f>
        <v>Leads Baru</v>
      </c>
      <c r="G645" s="25" t="str">
        <f>IFERROR(__xludf.DUMMYFUNCTION("""COMPUTED_VALUE"""),"trip 2h1m custome GI,I")</f>
        <v>trip 2h1m custome GI,I</v>
      </c>
      <c r="H645" s="92"/>
      <c r="I645" s="17">
        <f>IFERROR(__xludf.DUMMYFUNCTION("""COMPUTED_VALUE"""),2.0)</f>
        <v>2</v>
      </c>
      <c r="J645" s="93"/>
      <c r="K645" s="19"/>
      <c r="L645" s="88" t="str">
        <f>IFERROR(__xludf.DUMMYFUNCTION("""COMPUTED_VALUE"""),"https://docs.google.com/document/d/1IcU39YlcONko4OhP92nIf2FY_6RStNqsi3fxy-nVFhw/edit?usp=sharing")</f>
        <v>https://docs.google.com/document/d/1IcU39YlcONko4OhP92nIf2FY_6RStNqsi3fxy-nVFhw/edit?usp=sharing</v>
      </c>
      <c r="M645" s="20"/>
      <c r="N645" s="20"/>
      <c r="O645" s="20"/>
      <c r="P645" s="20"/>
    </row>
    <row r="646">
      <c r="A646" s="110">
        <f>IFERROR(__xludf.DUMMYFUNCTION("""COMPUTED_VALUE"""),46153.0)</f>
        <v>46153</v>
      </c>
      <c r="B646" s="110" t="str">
        <f>IFERROR(__xludf.DUMMYFUNCTION("""COMPUTED_VALUE"""),"2605D039")</f>
        <v>2605D039</v>
      </c>
      <c r="C646" s="49" t="str">
        <f>IFERROR(__xludf.DUMMYFUNCTION("""COMPUTED_VALUE"""),"Laksana")</f>
        <v>Laksana</v>
      </c>
      <c r="D646" s="102" t="str">
        <f>IFERROR(__xludf.DUMMYFUNCTION("""COMPUTED_VALUE"""),"081323536688")</f>
        <v>081323536688</v>
      </c>
      <c r="E646" s="25" t="str">
        <f>IFERROR(__xludf.DUMMYFUNCTION("""COMPUTED_VALUE"""),"Instagram")</f>
        <v>Instagram</v>
      </c>
      <c r="F646" s="25" t="str">
        <f>IFERROR(__xludf.DUMMYFUNCTION("""COMPUTED_VALUE"""),"Leads Baru")</f>
        <v>Leads Baru</v>
      </c>
      <c r="G646" s="25" t="str">
        <f>IFERROR(__xludf.DUMMYFUNCTION("""COMPUTED_VALUE"""),"2h1m opsi B")</f>
        <v>2h1m opsi B</v>
      </c>
      <c r="H646" s="78"/>
      <c r="I646" s="89">
        <f>IFERROR(__xludf.DUMMYFUNCTION("""COMPUTED_VALUE"""),40.0)</f>
        <v>40</v>
      </c>
      <c r="J646" s="96"/>
      <c r="K646" s="30" t="str">
        <f>IFERROR(__xludf.DUMMYFUNCTION("""COMPUTED_VALUE"""),"minta penawaran, belum tau trip nya kapan")</f>
        <v>minta penawaran, belum tau trip nya kapan</v>
      </c>
      <c r="L646" s="81" t="str">
        <f>IFERROR(__xludf.DUMMYFUNCTION("""COMPUTED_VALUE"""),"https://docs.google.com/document/d/1JQuoQnXo77V-gAoncDa2yTF-WFWwq7xoUi0JIb1gglI/edit?usp=sharing")</f>
        <v>https://docs.google.com/document/d/1JQuoQnXo77V-gAoncDa2yTF-WFWwq7xoUi0JIb1gglI/edit?usp=sharing</v>
      </c>
      <c r="M646" s="20"/>
      <c r="N646" s="20"/>
      <c r="O646" s="20"/>
      <c r="P646" s="20"/>
    </row>
    <row r="647">
      <c r="A647" s="97">
        <f>IFERROR(__xludf.DUMMYFUNCTION("""COMPUTED_VALUE"""),46153.0)</f>
        <v>46153</v>
      </c>
      <c r="B647" s="97" t="str">
        <f>IFERROR(__xludf.DUMMYFUNCTION("""COMPUTED_VALUE"""),"2605D040")</f>
        <v>2605D040</v>
      </c>
      <c r="C647" s="76" t="str">
        <f>IFERROR(__xludf.DUMMYFUNCTION("""COMPUTED_VALUE"""),"Kurniawan")</f>
        <v>Kurniawan</v>
      </c>
      <c r="D647" s="99" t="str">
        <f>IFERROR(__xludf.DUMMYFUNCTION("""COMPUTED_VALUE"""),"085804387059")</f>
        <v>085804387059</v>
      </c>
      <c r="E647" s="25" t="str">
        <f>IFERROR(__xludf.DUMMYFUNCTION("""COMPUTED_VALUE"""),"Website")</f>
        <v>Website</v>
      </c>
      <c r="F647" s="25" t="str">
        <f>IFERROR(__xludf.DUMMYFUNCTION("""COMPUTED_VALUE"""),"Closing")</f>
        <v>Closing</v>
      </c>
      <c r="G647" s="25" t="str">
        <f>IFERROR(__xludf.DUMMYFUNCTION("""COMPUTED_VALUE"""),"OT MT, IJEN")</f>
        <v>OT MT, IJEN</v>
      </c>
      <c r="H647" s="92">
        <f>IFERROR(__xludf.DUMMYFUNCTION("""COMPUTED_VALUE"""),46187.0)</f>
        <v>46187</v>
      </c>
      <c r="I647" s="17">
        <f>IFERROR(__xludf.DUMMYFUNCTION("""COMPUTED_VALUE"""),2.0)</f>
        <v>2</v>
      </c>
      <c r="J647" s="93">
        <f>IFERROR(__xludf.DUMMYFUNCTION("""COMPUTED_VALUE"""),1150000.0)</f>
        <v>1150000</v>
      </c>
      <c r="K647" s="46" t="str">
        <f>IFERROR(__xludf.DUMMYFUNCTION("""COMPUTED_VALUE"""),"orrdeerrrr")</f>
        <v>orrdeerrrr</v>
      </c>
      <c r="L647" s="100" t="str">
        <f>IFERROR(__xludf.DUMMYFUNCTION("""COMPUTED_VALUE"""),"https://docs.google.com/document/d/1MRZMtb4K1mNC6IKmxtKhDrP7R3pTKIIWrBoKumQqJCc/edit?tab=t.0")</f>
        <v>https://docs.google.com/document/d/1MRZMtb4K1mNC6IKmxtKhDrP7R3pTKIIWrBoKumQqJCc/edit?tab=t.0</v>
      </c>
      <c r="M647" s="20"/>
      <c r="N647" s="20"/>
      <c r="O647" s="20"/>
      <c r="P647" s="20"/>
    </row>
    <row r="648">
      <c r="A648" s="110">
        <f>IFERROR(__xludf.DUMMYFUNCTION("""COMPUTED_VALUE"""),46154.0)</f>
        <v>46154</v>
      </c>
      <c r="B648" s="110" t="str">
        <f>IFERROR(__xludf.DUMMYFUNCTION("""COMPUTED_VALUE"""),"2605D041")</f>
        <v>2605D041</v>
      </c>
      <c r="C648" s="49" t="str">
        <f>IFERROR(__xludf.DUMMYFUNCTION("""COMPUTED_VALUE"""),"No Name")</f>
        <v>No Name</v>
      </c>
      <c r="D648" s="102" t="str">
        <f>IFERROR(__xludf.DUMMYFUNCTION("""COMPUTED_VALUE"""),"083134174391")</f>
        <v>083134174391</v>
      </c>
      <c r="E648" s="25" t="str">
        <f>IFERROR(__xludf.DUMMYFUNCTION("""COMPUTED_VALUE"""),"Instagram")</f>
        <v>Instagram</v>
      </c>
      <c r="F648" s="25" t="str">
        <f>IFERROR(__xludf.DUMMYFUNCTION("""COMPUTED_VALUE"""),"Gagal")</f>
        <v>Gagal</v>
      </c>
      <c r="G648" s="25" t="str">
        <f>IFERROR(__xludf.DUMMYFUNCTION("""COMPUTED_VALUE"""),"OT IJEN")</f>
        <v>OT IJEN</v>
      </c>
      <c r="H648" s="78">
        <f>IFERROR(__xludf.DUMMYFUNCTION("""COMPUTED_VALUE"""),46156.0)</f>
        <v>46156</v>
      </c>
      <c r="I648" s="89">
        <f>IFERROR(__xludf.DUMMYFUNCTION("""COMPUTED_VALUE"""),1.0)</f>
        <v>1</v>
      </c>
      <c r="J648" s="96">
        <f>IFERROR(__xludf.DUMMYFUNCTION("""COMPUTED_VALUE"""),250000.0)</f>
        <v>250000</v>
      </c>
      <c r="K648" s="30" t="str">
        <f>IFERROR(__xludf.DUMMYFUNCTION("""COMPUTED_VALUE"""),"sudah di FU ga balesss, lewat tgl")</f>
        <v>sudah di FU ga balesss, lewat tgl</v>
      </c>
      <c r="L648" s="49"/>
      <c r="M648" s="20"/>
      <c r="N648" s="20"/>
      <c r="O648" s="20"/>
      <c r="P648" s="20"/>
    </row>
    <row r="649">
      <c r="A649" s="97">
        <f>IFERROR(__xludf.DUMMYFUNCTION("""COMPUTED_VALUE"""),46154.0)</f>
        <v>46154</v>
      </c>
      <c r="B649" s="97" t="str">
        <f>IFERROR(__xludf.DUMMYFUNCTION("""COMPUTED_VALUE"""),"2605D042")</f>
        <v>2605D042</v>
      </c>
      <c r="C649" s="76" t="str">
        <f>IFERROR(__xludf.DUMMYFUNCTION("""COMPUTED_VALUE"""),"Selviana Daranita")</f>
        <v>Selviana Daranita</v>
      </c>
      <c r="D649" s="99" t="str">
        <f>IFERROR(__xludf.DUMMYFUNCTION("""COMPUTED_VALUE"""),"085782512477")</f>
        <v>085782512477</v>
      </c>
      <c r="E649" s="25" t="str">
        <f>IFERROR(__xludf.DUMMYFUNCTION("""COMPUTED_VALUE"""),"Website")</f>
        <v>Website</v>
      </c>
      <c r="F649" s="25" t="str">
        <f>IFERROR(__xludf.DUMMYFUNCTION("""COMPUTED_VALUE"""),"Closing")</f>
        <v>Closing</v>
      </c>
      <c r="G649" s="25" t="str">
        <f>IFERROR(__xludf.DUMMYFUNCTION("""COMPUTED_VALUE"""),"2h1m custome ")</f>
        <v>2h1m custome </v>
      </c>
      <c r="H649" s="92">
        <f>IFERROR(__xludf.DUMMYFUNCTION("""COMPUTED_VALUE"""),46171.0)</f>
        <v>46171</v>
      </c>
      <c r="I649" s="80">
        <f>IFERROR(__xludf.DUMMYFUNCTION("""COMPUTED_VALUE"""),3.0)</f>
        <v>3</v>
      </c>
      <c r="J649" s="93">
        <f>IFERROR(__xludf.DUMMYFUNCTION("""COMPUTED_VALUE"""),5400000.0)</f>
        <v>5400000</v>
      </c>
      <c r="K649" s="19" t="str">
        <f>IFERROR(__xludf.DUMMYFUNCTION("""COMPUTED_VALUE"""),"orderrrr")</f>
        <v>orderrrr</v>
      </c>
      <c r="L649" s="10"/>
      <c r="M649" s="20"/>
      <c r="N649" s="20"/>
      <c r="O649" s="20"/>
      <c r="P649" s="20"/>
    </row>
    <row r="650">
      <c r="A650" s="110">
        <f>IFERROR(__xludf.DUMMYFUNCTION("""COMPUTED_VALUE"""),46154.0)</f>
        <v>46154</v>
      </c>
      <c r="B650" s="110" t="str">
        <f>IFERROR(__xludf.DUMMYFUNCTION("""COMPUTED_VALUE"""),"2605D043")</f>
        <v>2605D043</v>
      </c>
      <c r="C650" s="49" t="str">
        <f>IFERROR(__xludf.DUMMYFUNCTION("""COMPUTED_VALUE"""),"Wildan Dika")</f>
        <v>Wildan Dika</v>
      </c>
      <c r="D650" s="102" t="str">
        <f>IFERROR(__xludf.DUMMYFUNCTION("""COMPUTED_VALUE"""),"085695494960")</f>
        <v>085695494960</v>
      </c>
      <c r="E650" s="25" t="str">
        <f>IFERROR(__xludf.DUMMYFUNCTION("""COMPUTED_VALUE"""),"Instagram")</f>
        <v>Instagram</v>
      </c>
      <c r="F650" s="25" t="str">
        <f>IFERROR(__xludf.DUMMYFUNCTION("""COMPUTED_VALUE"""),"Gagal")</f>
        <v>Gagal</v>
      </c>
      <c r="G650" s="25" t="str">
        <f>IFERROR(__xludf.DUMMYFUNCTION("""COMPUTED_VALUE"""),"2h1m opsi B")</f>
        <v>2h1m opsi B</v>
      </c>
      <c r="H650" s="78"/>
      <c r="I650" s="89">
        <f>IFERROR(__xludf.DUMMYFUNCTION("""COMPUTED_VALUE"""),10.0)</f>
        <v>10</v>
      </c>
      <c r="J650" s="96"/>
      <c r="K650" s="36" t="str">
        <f>IFERROR(__xludf.DUMMYFUNCTION("""COMPUTED_VALUE"""),"lewat tgl")</f>
        <v>lewat tgl</v>
      </c>
      <c r="L650" s="88" t="str">
        <f>IFERROR(__xludf.DUMMYFUNCTION("""COMPUTED_VALUE"""),"https://docs.google.com/document/d/1WRkteQpQfSS6LXqqj9yjC9_etwoXw0TGvCl7jRw3o7M/edit?usp=sharing")</f>
        <v>https://docs.google.com/document/d/1WRkteQpQfSS6LXqqj9yjC9_etwoXw0TGvCl7jRw3o7M/edit?usp=sharing</v>
      </c>
      <c r="M650" s="20"/>
      <c r="N650" s="20"/>
      <c r="O650" s="20"/>
      <c r="P650" s="20"/>
    </row>
    <row r="651">
      <c r="A651" s="97">
        <f>IFERROR(__xludf.DUMMYFUNCTION("""COMPUTED_VALUE"""),46155.0)</f>
        <v>46155</v>
      </c>
      <c r="B651" s="97" t="str">
        <f>IFERROR(__xludf.DUMMYFUNCTION("""COMPUTED_VALUE"""),"2605D044")</f>
        <v>2605D044</v>
      </c>
      <c r="C651" s="76" t="str">
        <f>IFERROR(__xludf.DUMMYFUNCTION("""COMPUTED_VALUE"""),"Sri")</f>
        <v>Sri</v>
      </c>
      <c r="D651" s="99" t="str">
        <f>IFERROR(__xludf.DUMMYFUNCTION("""COMPUTED_VALUE"""),"085703453400")</f>
        <v>085703453400</v>
      </c>
      <c r="E651" s="25" t="str">
        <f>IFERROR(__xludf.DUMMYFUNCTION("""COMPUTED_VALUE"""),"Instagram")</f>
        <v>Instagram</v>
      </c>
      <c r="F651" s="25" t="str">
        <f>IFERROR(__xludf.DUMMYFUNCTION("""COMPUTED_VALUE"""),"Gagal")</f>
        <v>Gagal</v>
      </c>
      <c r="G651" s="25" t="str">
        <f>IFERROR(__xludf.DUMMYFUNCTION("""COMPUTED_VALUE"""),"Trip Baluran ")</f>
        <v>Trip Baluran </v>
      </c>
      <c r="H651" s="92">
        <f>IFERROR(__xludf.DUMMYFUNCTION("""COMPUTED_VALUE"""),46158.0)</f>
        <v>46158</v>
      </c>
      <c r="I651" s="80">
        <f>IFERROR(__xludf.DUMMYFUNCTION("""COMPUTED_VALUE"""),4.0)</f>
        <v>4</v>
      </c>
      <c r="J651" s="93"/>
      <c r="K651" s="19" t="str">
        <f>IFERROR(__xludf.DUMMYFUNCTION("""COMPUTED_VALUE"""),"fuulbooked")</f>
        <v>fuulbooked</v>
      </c>
      <c r="L651" s="10"/>
      <c r="M651" s="20"/>
      <c r="N651" s="20"/>
      <c r="O651" s="20"/>
      <c r="P651" s="20"/>
    </row>
    <row r="652">
      <c r="A652" s="110">
        <f>IFERROR(__xludf.DUMMYFUNCTION("""COMPUTED_VALUE"""),46154.0)</f>
        <v>46154</v>
      </c>
      <c r="B652" s="97" t="str">
        <f>IFERROR(__xludf.DUMMYFUNCTION("""COMPUTED_VALUE"""),"2605D045")</f>
        <v>2605D045</v>
      </c>
      <c r="C652" s="49" t="str">
        <f>IFERROR(__xludf.DUMMYFUNCTION("""COMPUTED_VALUE"""),"Ardan")</f>
        <v>Ardan</v>
      </c>
      <c r="D652" s="102" t="str">
        <f>IFERROR(__xludf.DUMMYFUNCTION("""COMPUTED_VALUE"""),"08133113870")</f>
        <v>08133113870</v>
      </c>
      <c r="E652" s="25" t="str">
        <f>IFERROR(__xludf.DUMMYFUNCTION("""COMPUTED_VALUE"""),"Instagram")</f>
        <v>Instagram</v>
      </c>
      <c r="F652" s="25" t="str">
        <f>IFERROR(__xludf.DUMMYFUNCTION("""COMPUTED_VALUE"""),"Closing")</f>
        <v>Closing</v>
      </c>
      <c r="G652" s="25" t="str">
        <f>IFERROR(__xludf.DUMMYFUNCTION("""COMPUTED_VALUE"""),"OT IJEN")</f>
        <v>OT IJEN</v>
      </c>
      <c r="H652" s="78">
        <f>IFERROR(__xludf.DUMMYFUNCTION("""COMPUTED_VALUE"""),46160.0)</f>
        <v>46160</v>
      </c>
      <c r="I652" s="89">
        <f>IFERROR(__xludf.DUMMYFUNCTION("""COMPUTED_VALUE"""),1.0)</f>
        <v>1</v>
      </c>
      <c r="J652" s="96">
        <f>IFERROR(__xludf.DUMMYFUNCTION("""COMPUTED_VALUE"""),250000.0)</f>
        <v>250000</v>
      </c>
      <c r="K652" s="36" t="str">
        <f>IFERROR(__xludf.DUMMYFUNCTION("""COMPUTED_VALUE"""),"orderrrr")</f>
        <v>orderrrr</v>
      </c>
      <c r="L652" s="49"/>
      <c r="M652" s="20"/>
      <c r="N652" s="20"/>
      <c r="O652" s="20"/>
      <c r="P652" s="20"/>
    </row>
    <row r="653">
      <c r="A653" s="97">
        <f>IFERROR(__xludf.DUMMYFUNCTION("""COMPUTED_VALUE"""),46155.0)</f>
        <v>46155</v>
      </c>
      <c r="B653" s="97" t="str">
        <f>IFERROR(__xludf.DUMMYFUNCTION("""COMPUTED_VALUE"""),"2605D046")</f>
        <v>2605D046</v>
      </c>
      <c r="C653" s="76" t="str">
        <f>IFERROR(__xludf.DUMMYFUNCTION("""COMPUTED_VALUE"""),"Rina Budi")</f>
        <v>Rina Budi</v>
      </c>
      <c r="D653" s="99" t="str">
        <f>IFERROR(__xludf.DUMMYFUNCTION("""COMPUTED_VALUE"""),"082116593784")</f>
        <v>082116593784</v>
      </c>
      <c r="E653" s="25" t="str">
        <f>IFERROR(__xludf.DUMMYFUNCTION("""COMPUTED_VALUE"""),"Website")</f>
        <v>Website</v>
      </c>
      <c r="F653" s="25" t="str">
        <f>IFERROR(__xludf.DUMMYFUNCTION("""COMPUTED_VALUE"""),"Closing")</f>
        <v>Closing</v>
      </c>
      <c r="G653" s="25" t="str">
        <f>IFERROR(__xludf.DUMMYFUNCTION("""COMPUTED_VALUE"""),"2h1m custom")</f>
        <v>2h1m custom</v>
      </c>
      <c r="H653" s="92">
        <f>IFERROR(__xludf.DUMMYFUNCTION("""COMPUTED_VALUE"""),46171.0)</f>
        <v>46171</v>
      </c>
      <c r="I653" s="80">
        <f>IFERROR(__xludf.DUMMYFUNCTION("""COMPUTED_VALUE"""),2.0)</f>
        <v>2</v>
      </c>
      <c r="J653" s="93">
        <f>IFERROR(__xludf.DUMMYFUNCTION("""COMPUTED_VALUE"""),2800000.0)</f>
        <v>2800000</v>
      </c>
      <c r="K653" s="46" t="str">
        <f>IFERROR(__xludf.DUMMYFUNCTION("""COMPUTED_VALUE"""),"orrrderrrr ")</f>
        <v>orrrderrrr </v>
      </c>
      <c r="L653" s="88" t="str">
        <f>IFERROR(__xludf.DUMMYFUNCTION("""COMPUTED_VALUE"""),"https://docs.google.com/document/d/1IvK_efpkY1rgIua1WBOEds3pF6a1nYOXYku3bmh95Sk/edit?usp=sharing")</f>
        <v>https://docs.google.com/document/d/1IvK_efpkY1rgIua1WBOEds3pF6a1nYOXYku3bmh95Sk/edit?usp=sharing</v>
      </c>
      <c r="M653" s="20"/>
      <c r="N653" s="20"/>
      <c r="O653" s="20"/>
      <c r="P653" s="20"/>
    </row>
    <row r="654">
      <c r="A654" s="110">
        <f>IFERROR(__xludf.DUMMYFUNCTION("""COMPUTED_VALUE"""),46154.0)</f>
        <v>46154</v>
      </c>
      <c r="B654" s="110" t="str">
        <f>IFERROR(__xludf.DUMMYFUNCTION("""COMPUTED_VALUE"""),"2605D047")</f>
        <v>2605D047</v>
      </c>
      <c r="C654" s="49" t="str">
        <f>IFERROR(__xludf.DUMMYFUNCTION("""COMPUTED_VALUE"""),"Aulia")</f>
        <v>Aulia</v>
      </c>
      <c r="D654" s="102" t="str">
        <f>IFERROR(__xludf.DUMMYFUNCTION("""COMPUTED_VALUE"""),"081226566964")</f>
        <v>081226566964</v>
      </c>
      <c r="E654" s="25" t="str">
        <f>IFERROR(__xludf.DUMMYFUNCTION("""COMPUTED_VALUE"""),"Instagram")</f>
        <v>Instagram</v>
      </c>
      <c r="F654" s="25" t="str">
        <f>IFERROR(__xludf.DUMMYFUNCTION("""COMPUTED_VALUE"""),"Gagal")</f>
        <v>Gagal</v>
      </c>
      <c r="G654" s="25" t="str">
        <f>IFERROR(__xludf.DUMMYFUNCTION("""COMPUTED_VALUE"""),"2h1m Opsi B")</f>
        <v>2h1m Opsi B</v>
      </c>
      <c r="H654" s="78">
        <f>IFERROR(__xludf.DUMMYFUNCTION("""COMPUTED_VALUE"""),46163.0)</f>
        <v>46163</v>
      </c>
      <c r="I654" s="89">
        <f>IFERROR(__xludf.DUMMYFUNCTION("""COMPUTED_VALUE"""),2.0)</f>
        <v>2</v>
      </c>
      <c r="J654" s="96"/>
      <c r="K654" s="36" t="str">
        <f>IFERROR(__xludf.DUMMYFUNCTION("""COMPUTED_VALUE"""),"lewat tgl")</f>
        <v>lewat tgl</v>
      </c>
      <c r="L654" s="81" t="str">
        <f>IFERROR(__xludf.DUMMYFUNCTION("""COMPUTED_VALUE"""),"https://docs.google.com/document/d/1TQHz_FpJpgCHX1fMcYqfwDL_vOsJ_RkmV_68R8rII6s/edit?usp=sharing")</f>
        <v>https://docs.google.com/document/d/1TQHz_FpJpgCHX1fMcYqfwDL_vOsJ_RkmV_68R8rII6s/edit?usp=sharing</v>
      </c>
      <c r="M654" s="20"/>
      <c r="N654" s="20"/>
      <c r="O654" s="20"/>
      <c r="P654" s="20"/>
    </row>
    <row r="655">
      <c r="A655" s="97">
        <f>IFERROR(__xludf.DUMMYFUNCTION("""COMPUTED_VALUE"""),46155.0)</f>
        <v>46155</v>
      </c>
      <c r="B655" s="97" t="str">
        <f>IFERROR(__xludf.DUMMYFUNCTION("""COMPUTED_VALUE"""),"2605D048")</f>
        <v>2605D048</v>
      </c>
      <c r="C655" s="76" t="str">
        <f>IFERROR(__xludf.DUMMYFUNCTION("""COMPUTED_VALUE"""),"Ayu Manik")</f>
        <v>Ayu Manik</v>
      </c>
      <c r="D655" s="99" t="str">
        <f>IFERROR(__xludf.DUMMYFUNCTION("""COMPUTED_VALUE"""),"0895421979200")</f>
        <v>0895421979200</v>
      </c>
      <c r="E655" s="25" t="str">
        <f>IFERROR(__xludf.DUMMYFUNCTION("""COMPUTED_VALUE"""),"Website")</f>
        <v>Website</v>
      </c>
      <c r="F655" s="25" t="str">
        <f>IFERROR(__xludf.DUMMYFUNCTION("""COMPUTED_VALUE"""),"Gagal")</f>
        <v>Gagal</v>
      </c>
      <c r="G655" s="25" t="str">
        <f>IFERROR(__xludf.DUMMYFUNCTION("""COMPUTED_VALUE"""),"trip alas purwo")</f>
        <v>trip alas purwo</v>
      </c>
      <c r="H655" s="92">
        <f>IFERROR(__xludf.DUMMYFUNCTION("""COMPUTED_VALUE"""),46169.0)</f>
        <v>46169</v>
      </c>
      <c r="I655" s="80">
        <f>IFERROR(__xludf.DUMMYFUNCTION("""COMPUTED_VALUE"""),100.0)</f>
        <v>100</v>
      </c>
      <c r="J655" s="93"/>
      <c r="K655" s="19" t="str">
        <f>IFERROR(__xludf.DUMMYFUNCTION("""COMPUTED_VALUE"""),"lewat tgl")</f>
        <v>lewat tgl</v>
      </c>
      <c r="L655" s="88" t="str">
        <f>IFERROR(__xludf.DUMMYFUNCTION("""COMPUTED_VALUE"""),"https://docs.google.com/document/d/1YZLxa_opgGO1OmtnteVGmEaZNCo2ELaZEHs5CdLmano/edit?usp=sharing")</f>
        <v>https://docs.google.com/document/d/1YZLxa_opgGO1OmtnteVGmEaZNCo2ELaZEHs5CdLmano/edit?usp=sharing</v>
      </c>
      <c r="M655" s="20"/>
      <c r="N655" s="20"/>
      <c r="O655" s="20"/>
      <c r="P655" s="20"/>
    </row>
    <row r="656">
      <c r="A656" s="110">
        <f>IFERROR(__xludf.DUMMYFUNCTION("""COMPUTED_VALUE"""),46125.0)</f>
        <v>46125</v>
      </c>
      <c r="B656" s="110" t="str">
        <f>IFERROR(__xludf.DUMMYFUNCTION("""COMPUTED_VALUE"""),"2605D049")</f>
        <v>2605D049</v>
      </c>
      <c r="C656" s="49" t="str">
        <f>IFERROR(__xludf.DUMMYFUNCTION("""COMPUTED_VALUE"""),"Asep Dayat")</f>
        <v>Asep Dayat</v>
      </c>
      <c r="D656" s="102" t="str">
        <f>IFERROR(__xludf.DUMMYFUNCTION("""COMPUTED_VALUE"""),"085871271263")</f>
        <v>085871271263</v>
      </c>
      <c r="E656" s="25" t="str">
        <f>IFERROR(__xludf.DUMMYFUNCTION("""COMPUTED_VALUE"""),"Instagram")</f>
        <v>Instagram</v>
      </c>
      <c r="F656" s="25" t="str">
        <f>IFERROR(__xludf.DUMMYFUNCTION("""COMPUTED_VALUE"""),"Gagal")</f>
        <v>Gagal</v>
      </c>
      <c r="G656" s="25" t="str">
        <f>IFERROR(__xludf.DUMMYFUNCTION("""COMPUTED_VALUE"""),"baluran")</f>
        <v>baluran</v>
      </c>
      <c r="H656" s="78">
        <f>IFERROR(__xludf.DUMMYFUNCTION("""COMPUTED_VALUE"""),46156.0)</f>
        <v>46156</v>
      </c>
      <c r="I656" s="89"/>
      <c r="J656" s="96"/>
      <c r="K656" s="30" t="str">
        <f>IFERROR(__xludf.DUMMYFUNCTION("""COMPUTED_VALUE"""),"fullbooked")</f>
        <v>fullbooked</v>
      </c>
      <c r="L656" s="49"/>
      <c r="M656" s="20"/>
      <c r="N656" s="20"/>
      <c r="O656" s="20"/>
      <c r="P656" s="20"/>
    </row>
    <row r="657">
      <c r="A657" s="97">
        <f>IFERROR(__xludf.DUMMYFUNCTION("""COMPUTED_VALUE"""),46155.0)</f>
        <v>46155</v>
      </c>
      <c r="B657" s="97" t="str">
        <f>IFERROR(__xludf.DUMMYFUNCTION("""COMPUTED_VALUE"""),"2605D050")</f>
        <v>2605D050</v>
      </c>
      <c r="C657" s="76" t="str">
        <f>IFERROR(__xludf.DUMMYFUNCTION("""COMPUTED_VALUE"""),"Chazella")</f>
        <v>Chazella</v>
      </c>
      <c r="D657" s="99" t="str">
        <f>IFERROR(__xludf.DUMMYFUNCTION("""COMPUTED_VALUE"""),"08135734838")</f>
        <v>08135734838</v>
      </c>
      <c r="E657" s="25" t="str">
        <f>IFERROR(__xludf.DUMMYFUNCTION("""COMPUTED_VALUE"""),"Instagram")</f>
        <v>Instagram</v>
      </c>
      <c r="F657" s="25" t="str">
        <f>IFERROR(__xludf.DUMMYFUNCTION("""COMPUTED_VALUE"""),"Gagal")</f>
        <v>Gagal</v>
      </c>
      <c r="G657" s="25"/>
      <c r="H657" s="92">
        <f>IFERROR(__xludf.DUMMYFUNCTION("""COMPUTED_VALUE"""),46157.0)</f>
        <v>46157</v>
      </c>
      <c r="I657" s="80">
        <f>IFERROR(__xludf.DUMMYFUNCTION("""COMPUTED_VALUE"""),2.0)</f>
        <v>2</v>
      </c>
      <c r="J657" s="93"/>
      <c r="K657" s="19" t="str">
        <f>IFERROR(__xludf.DUMMYFUNCTION("""COMPUTED_VALUE"""),"fullbooked")</f>
        <v>fullbooked</v>
      </c>
      <c r="L657" s="76"/>
      <c r="M657" s="20"/>
      <c r="N657" s="20"/>
      <c r="O657" s="20"/>
      <c r="P657" s="20"/>
    </row>
    <row r="658">
      <c r="A658" s="110">
        <f>IFERROR(__xludf.DUMMYFUNCTION("""COMPUTED_VALUE"""),46155.0)</f>
        <v>46155</v>
      </c>
      <c r="B658" s="110" t="str">
        <f>IFERROR(__xludf.DUMMYFUNCTION("""COMPUTED_VALUE"""),"2605D051")</f>
        <v>2605D051</v>
      </c>
      <c r="C658" s="49" t="str">
        <f>IFERROR(__xludf.DUMMYFUNCTION("""COMPUTED_VALUE"""),"Dewi  ")</f>
        <v>Dewi  </v>
      </c>
      <c r="D658" s="102" t="str">
        <f>IFERROR(__xludf.DUMMYFUNCTION("""COMPUTED_VALUE"""),"085892567182")</f>
        <v>085892567182</v>
      </c>
      <c r="E658" s="25" t="str">
        <f>IFERROR(__xludf.DUMMYFUNCTION("""COMPUTED_VALUE"""),"Instagram")</f>
        <v>Instagram</v>
      </c>
      <c r="F658" s="25" t="str">
        <f>IFERROR(__xludf.DUMMYFUNCTION("""COMPUTED_VALUE"""),"Gagal")</f>
        <v>Gagal</v>
      </c>
      <c r="G658" s="25" t="str">
        <f>IFERROR(__xludf.DUMMYFUNCTION("""COMPUTED_VALUE"""),"KW, B")</f>
        <v>KW, B</v>
      </c>
      <c r="H658" s="78">
        <f>IFERROR(__xludf.DUMMYFUNCTION("""COMPUTED_VALUE"""),46157.0)</f>
        <v>46157</v>
      </c>
      <c r="I658" s="89"/>
      <c r="J658" s="96"/>
      <c r="K658" s="30" t="str">
        <f>IFERROR(__xludf.DUMMYFUNCTION("""COMPUTED_VALUE"""),"fullbooked")</f>
        <v>fullbooked</v>
      </c>
      <c r="L658" s="49"/>
      <c r="M658" s="20"/>
      <c r="N658" s="20"/>
      <c r="O658" s="20"/>
      <c r="P658" s="20"/>
    </row>
    <row r="659">
      <c r="A659" s="97">
        <f>IFERROR(__xludf.DUMMYFUNCTION("""COMPUTED_VALUE"""),46155.0)</f>
        <v>46155</v>
      </c>
      <c r="B659" s="97" t="str">
        <f>IFERROR(__xludf.DUMMYFUNCTION("""COMPUTED_VALUE"""),"2605D052")</f>
        <v>2605D052</v>
      </c>
      <c r="C659" s="76" t="str">
        <f>IFERROR(__xludf.DUMMYFUNCTION("""COMPUTED_VALUE"""),"Dian")</f>
        <v>Dian</v>
      </c>
      <c r="D659" s="99" t="str">
        <f>IFERROR(__xludf.DUMMYFUNCTION("""COMPUTED_VALUE"""),"085748214644")</f>
        <v>085748214644</v>
      </c>
      <c r="E659" s="25" t="str">
        <f>IFERROR(__xludf.DUMMYFUNCTION("""COMPUTED_VALUE"""),"Website")</f>
        <v>Website</v>
      </c>
      <c r="F659" s="25" t="str">
        <f>IFERROR(__xludf.DUMMYFUNCTION("""COMPUTED_VALUE"""),"Gagal")</f>
        <v>Gagal</v>
      </c>
      <c r="G659" s="25"/>
      <c r="H659" s="92"/>
      <c r="I659" s="80"/>
      <c r="J659" s="93"/>
      <c r="K659" s="46" t="str">
        <f>IFERROR(__xludf.DUMMYFUNCTION("""COMPUTED_VALUE"""),"tanya sewa mobill")</f>
        <v>tanya sewa mobill</v>
      </c>
      <c r="L659" s="76"/>
      <c r="M659" s="20"/>
      <c r="N659" s="20"/>
      <c r="O659" s="20"/>
      <c r="P659" s="20"/>
    </row>
    <row r="660">
      <c r="A660" s="110">
        <f>IFERROR(__xludf.DUMMYFUNCTION("""COMPUTED_VALUE"""),46156.0)</f>
        <v>46156</v>
      </c>
      <c r="B660" s="110" t="str">
        <f>IFERROR(__xludf.DUMMYFUNCTION("""COMPUTED_VALUE"""),"2605D053")</f>
        <v>2605D053</v>
      </c>
      <c r="C660" s="49" t="str">
        <f>IFERROR(__xludf.DUMMYFUNCTION("""COMPUTED_VALUE"""),"Fitri Ramayanti")</f>
        <v>Fitri Ramayanti</v>
      </c>
      <c r="D660" s="102" t="str">
        <f>IFERROR(__xludf.DUMMYFUNCTION("""COMPUTED_VALUE"""),"085771154647")</f>
        <v>085771154647</v>
      </c>
      <c r="E660" s="25" t="str">
        <f>IFERROR(__xludf.DUMMYFUNCTION("""COMPUTED_VALUE"""),"Website")</f>
        <v>Website</v>
      </c>
      <c r="F660" s="25" t="str">
        <f>IFERROR(__xludf.DUMMYFUNCTION("""COMPUTED_VALUE"""),"Leads Baru")</f>
        <v>Leads Baru</v>
      </c>
      <c r="G660" s="25" t="str">
        <f>IFERROR(__xludf.DUMMYFUNCTION("""COMPUTED_VALUE"""),"4h3m")</f>
        <v>4h3m</v>
      </c>
      <c r="H660" s="78"/>
      <c r="I660" s="89">
        <f>IFERROR(__xludf.DUMMYFUNCTION("""COMPUTED_VALUE"""),46177.0)</f>
        <v>46177</v>
      </c>
      <c r="J660" s="96"/>
      <c r="K660" s="36" t="str">
        <f>IFERROR(__xludf.DUMMYFUNCTION("""COMPUTED_VALUE"""),"sudah share penawaran")</f>
        <v>sudah share penawaran</v>
      </c>
      <c r="L660" s="81" t="str">
        <f>IFERROR(__xludf.DUMMYFUNCTION("""COMPUTED_VALUE"""),"https://docs.google.com/document/d/1TypYMg3aYXCbvMtvL4Kecfq4ZczuTgRbJoXE0MWp8h8/edit?usp=sharing")</f>
        <v>https://docs.google.com/document/d/1TypYMg3aYXCbvMtvL4Kecfq4ZczuTgRbJoXE0MWp8h8/edit?usp=sharing</v>
      </c>
      <c r="M660" s="20"/>
      <c r="N660" s="20"/>
      <c r="O660" s="20"/>
      <c r="P660" s="20"/>
    </row>
    <row r="661">
      <c r="A661" s="97">
        <f>IFERROR(__xludf.DUMMYFUNCTION("""COMPUTED_VALUE"""),46156.0)</f>
        <v>46156</v>
      </c>
      <c r="B661" s="97" t="str">
        <f>IFERROR(__xludf.DUMMYFUNCTION("""COMPUTED_VALUE"""),"2605D054")</f>
        <v>2605D054</v>
      </c>
      <c r="C661" s="76" t="str">
        <f>IFERROR(__xludf.DUMMYFUNCTION("""COMPUTED_VALUE"""),"Diego")</f>
        <v>Diego</v>
      </c>
      <c r="D661" s="99" t="str">
        <f>IFERROR(__xludf.DUMMYFUNCTION("""COMPUTED_VALUE"""),"34665076750")</f>
        <v>34665076750</v>
      </c>
      <c r="E661" s="25" t="str">
        <f>IFERROR(__xludf.DUMMYFUNCTION("""COMPUTED_VALUE"""),"Instagram")</f>
        <v>Instagram</v>
      </c>
      <c r="F661" s="25" t="str">
        <f>IFERROR(__xludf.DUMMYFUNCTION("""COMPUTED_VALUE"""),"Leads Baru")</f>
        <v>Leads Baru</v>
      </c>
      <c r="G661" s="25" t="str">
        <f>IFERROR(__xludf.DUMMYFUNCTION("""COMPUTED_VALUE"""),"1 day trip Baluran")</f>
        <v>1 day trip Baluran</v>
      </c>
      <c r="H661" s="92">
        <f>IFERROR(__xludf.DUMMYFUNCTION("""COMPUTED_VALUE"""),46295.0)</f>
        <v>46295</v>
      </c>
      <c r="I661" s="80">
        <f>IFERROR(__xludf.DUMMYFUNCTION("""COMPUTED_VALUE"""),2.0)</f>
        <v>2</v>
      </c>
      <c r="J661" s="93"/>
      <c r="K661" s="46"/>
      <c r="L661" s="88" t="str">
        <f>IFERROR(__xludf.DUMMYFUNCTION("""COMPUTED_VALUE"""),"https://docs.google.com/document/d/1KsUZiEOpey8CauwBJNMim9b7gTbcYdB7kkQmJUa8kP0/edit?usp=sharing")</f>
        <v>https://docs.google.com/document/d/1KsUZiEOpey8CauwBJNMim9b7gTbcYdB7kkQmJUa8kP0/edit?usp=sharing</v>
      </c>
      <c r="M661" s="20"/>
      <c r="N661" s="20"/>
      <c r="O661" s="20"/>
      <c r="P661" s="20"/>
    </row>
    <row r="662">
      <c r="A662" s="110">
        <f>IFERROR(__xludf.DUMMYFUNCTION("""COMPUTED_VALUE"""),46152.0)</f>
        <v>46152</v>
      </c>
      <c r="B662" s="110" t="str">
        <f>IFERROR(__xludf.DUMMYFUNCTION("""COMPUTED_VALUE"""),"2605D055")</f>
        <v>2605D055</v>
      </c>
      <c r="C662" s="102" t="str">
        <f>IFERROR(__xludf.DUMMYFUNCTION("""COMPUTED_VALUE"""),"IMAM")</f>
        <v>IMAM</v>
      </c>
      <c r="D662" s="102" t="str">
        <f>IFERROR(__xludf.DUMMYFUNCTION("""COMPUTED_VALUE"""),"0811188127")</f>
        <v>0811188127</v>
      </c>
      <c r="E662" s="25" t="str">
        <f>IFERROR(__xludf.DUMMYFUNCTION("""COMPUTED_VALUE"""),"Website")</f>
        <v>Website</v>
      </c>
      <c r="F662" s="25" t="str">
        <f>IFERROR(__xludf.DUMMYFUNCTION("""COMPUTED_VALUE"""),"Gagal")</f>
        <v>Gagal</v>
      </c>
      <c r="G662" s="25" t="str">
        <f>IFERROR(__xludf.DUMMYFUNCTION("""COMPUTED_VALUE"""),"trip wedi ireng")</f>
        <v>trip wedi ireng</v>
      </c>
      <c r="H662" s="78"/>
      <c r="I662" s="89"/>
      <c r="J662" s="96"/>
      <c r="K662" s="30" t="str">
        <f>IFERROR(__xludf.DUMMYFUNCTION("""COMPUTED_VALUE"""),"fullbooked")</f>
        <v>fullbooked</v>
      </c>
      <c r="L662" s="49"/>
      <c r="M662" s="20"/>
      <c r="N662" s="20"/>
      <c r="O662" s="20"/>
      <c r="P662" s="20"/>
    </row>
    <row r="663">
      <c r="A663" s="97">
        <f>IFERROR(__xludf.DUMMYFUNCTION("""COMPUTED_VALUE"""),46152.0)</f>
        <v>46152</v>
      </c>
      <c r="B663" s="97" t="str">
        <f>IFERROR(__xludf.DUMMYFUNCTION("""COMPUTED_VALUE"""),"2605D056")</f>
        <v>2605D056</v>
      </c>
      <c r="C663" s="76" t="str">
        <f>IFERROR(__xludf.DUMMYFUNCTION("""COMPUTED_VALUE"""),"No Name Fredive")</f>
        <v>No Name Fredive</v>
      </c>
      <c r="D663" s="99" t="str">
        <f>IFERROR(__xludf.DUMMYFUNCTION("""COMPUTED_VALUE"""),"082143930913")</f>
        <v>082143930913</v>
      </c>
      <c r="E663" s="25" t="str">
        <f>IFERROR(__xludf.DUMMYFUNCTION("""COMPUTED_VALUE"""),"Website")</f>
        <v>Website</v>
      </c>
      <c r="F663" s="25" t="str">
        <f>IFERROR(__xludf.DUMMYFUNCTION("""COMPUTED_VALUE"""),"Leads Baru")</f>
        <v>Leads Baru</v>
      </c>
      <c r="G663" s="25" t="str">
        <f>IFERROR(__xludf.DUMMYFUNCTION("""COMPUTED_VALUE"""),"fredive menjangan")</f>
        <v>fredive menjangan</v>
      </c>
      <c r="H663" s="92"/>
      <c r="I663" s="80">
        <f>IFERROR(__xludf.DUMMYFUNCTION("""COMPUTED_VALUE"""),46083.0)</f>
        <v>46083</v>
      </c>
      <c r="J663" s="93"/>
      <c r="K663" s="19" t="str">
        <f>IFERROR(__xludf.DUMMYFUNCTION("""COMPUTED_VALUE"""),"nanti di kabarin lagi, FU 16 Juni")</f>
        <v>nanti di kabarin lagi, FU 16 Juni</v>
      </c>
      <c r="L663" s="88" t="str">
        <f>IFERROR(__xludf.DUMMYFUNCTION("""COMPUTED_VALUE"""),"https://docs.google.com/document/d/1HJKzaTjwfBvmHn0nrO_YCBoJfDg9m_2Ysi8mmb7NiZs/edit?usp=sharing")</f>
        <v>https://docs.google.com/document/d/1HJKzaTjwfBvmHn0nrO_YCBoJfDg9m_2Ysi8mmb7NiZs/edit?usp=sharing</v>
      </c>
      <c r="M663" s="20"/>
      <c r="N663" s="20"/>
      <c r="O663" s="20"/>
      <c r="P663" s="20"/>
    </row>
    <row r="664">
      <c r="A664" s="110">
        <f>IFERROR(__xludf.DUMMYFUNCTION("""COMPUTED_VALUE"""),46152.0)</f>
        <v>46152</v>
      </c>
      <c r="B664" s="110" t="str">
        <f>IFERROR(__xludf.DUMMYFUNCTION("""COMPUTED_VALUE"""),"2605D057")</f>
        <v>2605D057</v>
      </c>
      <c r="C664" s="49" t="str">
        <f>IFERROR(__xludf.DUMMYFUNCTION("""COMPUTED_VALUE"""),"Oca")</f>
        <v>Oca</v>
      </c>
      <c r="D664" s="102" t="str">
        <f>IFERROR(__xludf.DUMMYFUNCTION("""COMPUTED_VALUE"""),"08125976622")</f>
        <v>08125976622</v>
      </c>
      <c r="E664" s="25" t="str">
        <f>IFERROR(__xludf.DUMMYFUNCTION("""COMPUTED_VALUE"""),"Instagram")</f>
        <v>Instagram</v>
      </c>
      <c r="F664" s="25" t="str">
        <f>IFERROR(__xludf.DUMMYFUNCTION("""COMPUTED_VALUE"""),"Leads Baru")</f>
        <v>Leads Baru</v>
      </c>
      <c r="G664" s="25" t="str">
        <f>IFERROR(__xludf.DUMMYFUNCTION("""COMPUTED_VALUE"""),"trip Baluran")</f>
        <v>trip Baluran</v>
      </c>
      <c r="H664" s="78"/>
      <c r="I664" s="89">
        <f>IFERROR(__xludf.DUMMYFUNCTION("""COMPUTED_VALUE"""),18.0)</f>
        <v>18</v>
      </c>
      <c r="J664" s="96"/>
      <c r="K664" s="30" t="str">
        <f>IFERROR(__xludf.DUMMYFUNCTION("""COMPUTED_VALUE"""),"blm tau kapan, FU 7 Juni")</f>
        <v>blm tau kapan, FU 7 Juni</v>
      </c>
      <c r="L664" s="81" t="str">
        <f>IFERROR(__xludf.DUMMYFUNCTION("""COMPUTED_VALUE"""),"https://docs.google.com/document/d/1iQk879LN0LGJVBypwfFb2qTSlmBtnlceQXhcCxoivHQ/edit?usp=sharing")</f>
        <v>https://docs.google.com/document/d/1iQk879LN0LGJVBypwfFb2qTSlmBtnlceQXhcCxoivHQ/edit?usp=sharing</v>
      </c>
      <c r="M664" s="20"/>
      <c r="N664" s="20"/>
      <c r="O664" s="20"/>
      <c r="P664" s="20"/>
    </row>
    <row r="665">
      <c r="A665" s="97">
        <f>IFERROR(__xludf.DUMMYFUNCTION("""COMPUTED_VALUE"""),46156.0)</f>
        <v>46156</v>
      </c>
      <c r="B665" s="97" t="str">
        <f>IFERROR(__xludf.DUMMYFUNCTION("""COMPUTED_VALUE"""),"2605D058")</f>
        <v>2605D058</v>
      </c>
      <c r="C665" s="76" t="str">
        <f>IFERROR(__xludf.DUMMYFUNCTION("""COMPUTED_VALUE"""),"Paulus")</f>
        <v>Paulus</v>
      </c>
      <c r="D665" s="99" t="str">
        <f>IFERROR(__xludf.DUMMYFUNCTION("""COMPUTED_VALUE"""),"083870097564")</f>
        <v>083870097564</v>
      </c>
      <c r="E665" s="25" t="str">
        <f>IFERROR(__xludf.DUMMYFUNCTION("""COMPUTED_VALUE"""),"Instagram")</f>
        <v>Instagram</v>
      </c>
      <c r="F665" s="25" t="str">
        <f>IFERROR(__xludf.DUMMYFUNCTION("""COMPUTED_VALUE"""),"Leads Baru")</f>
        <v>Leads Baru</v>
      </c>
      <c r="G665" s="25"/>
      <c r="H665" s="92"/>
      <c r="I665" s="80"/>
      <c r="J665" s="93"/>
      <c r="K665" s="46" t="str">
        <f>IFERROR(__xludf.DUMMYFUNCTION("""COMPUTED_VALUE"""),"FU 15 Juni")</f>
        <v>FU 15 Juni</v>
      </c>
      <c r="L665" s="88" t="str">
        <f>IFERROR(__xludf.DUMMYFUNCTION("""COMPUTED_VALUE"""),"https://docs.google.com/document/d/1nXFlt5PN8DmKMyAgcX4HUwwXDZjhKr3YX5LL-EjpR5E/edit?tab=t.0")</f>
        <v>https://docs.google.com/document/d/1nXFlt5PN8DmKMyAgcX4HUwwXDZjhKr3YX5LL-EjpR5E/edit?tab=t.0</v>
      </c>
      <c r="M665" s="20"/>
      <c r="N665" s="20"/>
      <c r="O665" s="20"/>
      <c r="P665" s="20"/>
    </row>
    <row r="666">
      <c r="A666" s="110">
        <f>IFERROR(__xludf.DUMMYFUNCTION("""COMPUTED_VALUE"""),46156.0)</f>
        <v>46156</v>
      </c>
      <c r="B666" s="110" t="str">
        <f>IFERROR(__xludf.DUMMYFUNCTION("""COMPUTED_VALUE"""),"2605D059")</f>
        <v>2605D059</v>
      </c>
      <c r="C666" s="49" t="str">
        <f>IFERROR(__xludf.DUMMYFUNCTION("""COMPUTED_VALUE"""),"Dina Puspita")</f>
        <v>Dina Puspita</v>
      </c>
      <c r="D666" s="102" t="str">
        <f>IFERROR(__xludf.DUMMYFUNCTION("""COMPUTED_VALUE"""),"085867037481")</f>
        <v>085867037481</v>
      </c>
      <c r="E666" s="25" t="str">
        <f>IFERROR(__xludf.DUMMYFUNCTION("""COMPUTED_VALUE"""),"Instagram")</f>
        <v>Instagram</v>
      </c>
      <c r="F666" s="25" t="str">
        <f>IFERROR(__xludf.DUMMYFUNCTION("""COMPUTED_VALUE"""),"Gagal")</f>
        <v>Gagal</v>
      </c>
      <c r="G666" s="25" t="str">
        <f>IFERROR(__xludf.DUMMYFUNCTION("""COMPUTED_VALUE"""),"menjangan tabuhan")</f>
        <v>menjangan tabuhan</v>
      </c>
      <c r="H666" s="78">
        <f>IFERROR(__xludf.DUMMYFUNCTION("""COMPUTED_VALUE"""),46163.0)</f>
        <v>46163</v>
      </c>
      <c r="I666" s="27">
        <f>IFERROR(__xludf.DUMMYFUNCTION("""COMPUTED_VALUE"""),2.0)</f>
        <v>2</v>
      </c>
      <c r="J666" s="96"/>
      <c r="K666" s="30" t="str">
        <f>IFERROR(__xludf.DUMMYFUNCTION("""COMPUTED_VALUE"""),"gagalll")</f>
        <v>gagalll</v>
      </c>
      <c r="L666" s="81" t="str">
        <f>IFERROR(__xludf.DUMMYFUNCTION("""COMPUTED_VALUE"""),"https://docs.google.com/document/d/1QQ4LJj-KN6c9jzlyhBzf8FDeU0fe9sGslVexpZnaPo8/edit?usp=sharing")</f>
        <v>https://docs.google.com/document/d/1QQ4LJj-KN6c9jzlyhBzf8FDeU0fe9sGslVexpZnaPo8/edit?usp=sharing</v>
      </c>
      <c r="M666" s="20"/>
      <c r="N666" s="20"/>
      <c r="O666" s="20"/>
      <c r="P666" s="20"/>
    </row>
    <row r="667">
      <c r="A667" s="97">
        <f>IFERROR(__xludf.DUMMYFUNCTION("""COMPUTED_VALUE"""),46156.0)</f>
        <v>46156</v>
      </c>
      <c r="B667" s="97" t="str">
        <f>IFERROR(__xludf.DUMMYFUNCTION("""COMPUTED_VALUE"""),"2605D060")</f>
        <v>2605D060</v>
      </c>
      <c r="C667" s="76" t="str">
        <f>IFERROR(__xludf.DUMMYFUNCTION("""COMPUTED_VALUE"""),"Sheva")</f>
        <v>Sheva</v>
      </c>
      <c r="D667" s="99" t="str">
        <f>IFERROR(__xludf.DUMMYFUNCTION("""COMPUTED_VALUE"""),"089517052148")</f>
        <v>089517052148</v>
      </c>
      <c r="E667" s="25" t="str">
        <f>IFERROR(__xludf.DUMMYFUNCTION("""COMPUTED_VALUE"""),"Instagram")</f>
        <v>Instagram</v>
      </c>
      <c r="F667" s="25" t="str">
        <f>IFERROR(__xludf.DUMMYFUNCTION("""COMPUTED_VALUE"""),"Closing")</f>
        <v>Closing</v>
      </c>
      <c r="G667" s="25" t="str">
        <f>IFERROR(__xludf.DUMMYFUNCTION("""COMPUTED_VALUE"""),"private MT")</f>
        <v>private MT</v>
      </c>
      <c r="H667" s="16">
        <f>IFERROR(__xludf.DUMMYFUNCTION("""COMPUTED_VALUE"""),46226.0)</f>
        <v>46226</v>
      </c>
      <c r="I667" s="17">
        <f>IFERROR(__xludf.DUMMYFUNCTION("""COMPUTED_VALUE"""),2.0)</f>
        <v>2</v>
      </c>
      <c r="J667" s="54">
        <f>IFERROR(__xludf.DUMMYFUNCTION("""COMPUTED_VALUE"""),2000000.0)</f>
        <v>2000000</v>
      </c>
      <c r="K667" s="46" t="str">
        <f>IFERROR(__xludf.DUMMYFUNCTION("""COMPUTED_VALUE"""),"orrderr")</f>
        <v>orrderr</v>
      </c>
      <c r="L667" s="88" t="str">
        <f>IFERROR(__xludf.DUMMYFUNCTION("""COMPUTED_VALUE"""),"https://docs.google.com/document/d/1FLmCY1qsAT3s5afJsYWVEy5XQewU4Fnx5ifDIhcAd54/edit?usp=sharing")</f>
        <v>https://docs.google.com/document/d/1FLmCY1qsAT3s5afJsYWVEy5XQewU4Fnx5ifDIhcAd54/edit?usp=sharing</v>
      </c>
      <c r="M667" s="20"/>
      <c r="N667" s="20"/>
      <c r="O667" s="20"/>
      <c r="P667" s="20"/>
    </row>
    <row r="668">
      <c r="A668" s="110">
        <f>IFERROR(__xludf.DUMMYFUNCTION("""COMPUTED_VALUE"""),46156.0)</f>
        <v>46156</v>
      </c>
      <c r="B668" s="110" t="str">
        <f>IFERROR(__xludf.DUMMYFUNCTION("""COMPUTED_VALUE"""),"2605D061")</f>
        <v>2605D061</v>
      </c>
      <c r="C668" s="49" t="str">
        <f>IFERROR(__xludf.DUMMYFUNCTION("""COMPUTED_VALUE"""),"SM")</f>
        <v>SM</v>
      </c>
      <c r="D668" s="102" t="str">
        <f>IFERROR(__xludf.DUMMYFUNCTION("""COMPUTED_VALUE"""),"085885866078")</f>
        <v>085885866078</v>
      </c>
      <c r="E668" s="25" t="str">
        <f>IFERROR(__xludf.DUMMYFUNCTION("""COMPUTED_VALUE"""),"Website")</f>
        <v>Website</v>
      </c>
      <c r="F668" s="25" t="str">
        <f>IFERROR(__xludf.DUMMYFUNCTION("""COMPUTED_VALUE"""),"Gagal")</f>
        <v>Gagal</v>
      </c>
      <c r="G668" s="25" t="str">
        <f>IFERROR(__xludf.DUMMYFUNCTION("""COMPUTED_VALUE"""),"menjangan tabuhan")</f>
        <v>menjangan tabuhan</v>
      </c>
      <c r="H668" s="78"/>
      <c r="I668" s="89"/>
      <c r="J668" s="96"/>
      <c r="K668" s="30" t="str">
        <f>IFERROR(__xludf.DUMMYFUNCTION("""COMPUTED_VALUE"""),"fullbooked")</f>
        <v>fullbooked</v>
      </c>
      <c r="L668" s="49"/>
      <c r="M668" s="20"/>
      <c r="N668" s="20"/>
      <c r="O668" s="20"/>
      <c r="P668" s="20"/>
    </row>
    <row r="669">
      <c r="A669" s="97">
        <f>IFERROR(__xludf.DUMMYFUNCTION("""COMPUTED_VALUE"""),46156.0)</f>
        <v>46156</v>
      </c>
      <c r="B669" s="97" t="str">
        <f>IFERROR(__xludf.DUMMYFUNCTION("""COMPUTED_VALUE"""),"2605D062")</f>
        <v>2605D062</v>
      </c>
      <c r="C669" s="76" t="str">
        <f>IFERROR(__xludf.DUMMYFUNCTION("""COMPUTED_VALUE"""),"Jm")</f>
        <v>Jm</v>
      </c>
      <c r="D669" s="99" t="str">
        <f>IFERROR(__xludf.DUMMYFUNCTION("""COMPUTED_VALUE"""),"085784218421")</f>
        <v>085784218421</v>
      </c>
      <c r="E669" s="25" t="str">
        <f>IFERROR(__xludf.DUMMYFUNCTION("""COMPUTED_VALUE"""),"Instagram")</f>
        <v>Instagram</v>
      </c>
      <c r="F669" s="25" t="str">
        <f>IFERROR(__xludf.DUMMYFUNCTION("""COMPUTED_VALUE"""),"Gagal")</f>
        <v>Gagal</v>
      </c>
      <c r="G669" s="25" t="str">
        <f>IFERROR(__xludf.DUMMYFUNCTION("""COMPUTED_VALUE"""),"trip KW")</f>
        <v>trip KW</v>
      </c>
      <c r="H669" s="92">
        <f>IFERROR(__xludf.DUMMYFUNCTION("""COMPUTED_VALUE"""),46159.0)</f>
        <v>46159</v>
      </c>
      <c r="I669" s="80">
        <f>IFERROR(__xludf.DUMMYFUNCTION("""COMPUTED_VALUE"""),5.0)</f>
        <v>5</v>
      </c>
      <c r="J669" s="93"/>
      <c r="K669" s="19" t="str">
        <f>IFERROR(__xludf.DUMMYFUNCTION("""COMPUTED_VALUE"""),"fullbooked")</f>
        <v>fullbooked</v>
      </c>
      <c r="L669" s="76"/>
      <c r="M669" s="20"/>
      <c r="N669" s="20"/>
      <c r="O669" s="20"/>
      <c r="P669" s="20"/>
    </row>
    <row r="670">
      <c r="A670" s="110">
        <f>IFERROR(__xludf.DUMMYFUNCTION("""COMPUTED_VALUE"""),46157.0)</f>
        <v>46157</v>
      </c>
      <c r="B670" s="110" t="str">
        <f>IFERROR(__xludf.DUMMYFUNCTION("""COMPUTED_VALUE"""),"2605D063")</f>
        <v>2605D063</v>
      </c>
      <c r="C670" s="49" t="str">
        <f>IFERROR(__xludf.DUMMYFUNCTION("""COMPUTED_VALUE"""),"WNA rusia")</f>
        <v>WNA rusia</v>
      </c>
      <c r="D670" s="102" t="str">
        <f>IFERROR(__xludf.DUMMYFUNCTION("""COMPUTED_VALUE"""),"79623344464")</f>
        <v>79623344464</v>
      </c>
      <c r="E670" s="25" t="str">
        <f>IFERROR(__xludf.DUMMYFUNCTION("""COMPUTED_VALUE"""),"Instagram")</f>
        <v>Instagram</v>
      </c>
      <c r="F670" s="25" t="str">
        <f>IFERROR(__xludf.DUMMYFUNCTION("""COMPUTED_VALUE"""),"Gagal")</f>
        <v>Gagal</v>
      </c>
      <c r="G670" s="25" t="str">
        <f>IFERROR(__xludf.DUMMYFUNCTION("""COMPUTED_VALUE"""),"Ijen")</f>
        <v>Ijen</v>
      </c>
      <c r="H670" s="78">
        <f>IFERROR(__xludf.DUMMYFUNCTION("""COMPUTED_VALUE"""),46163.0)</f>
        <v>46163</v>
      </c>
      <c r="I670" s="89">
        <f>IFERROR(__xludf.DUMMYFUNCTION("""COMPUTED_VALUE"""),2.0)</f>
        <v>2</v>
      </c>
      <c r="J670" s="96"/>
      <c r="K670" s="36" t="str">
        <f>IFERROR(__xludf.DUMMYFUNCTION("""COMPUTED_VALUE"""),"tidak ada balasannn")</f>
        <v>tidak ada balasannn</v>
      </c>
      <c r="L670" s="81" t="str">
        <f>IFERROR(__xludf.DUMMYFUNCTION("""COMPUTED_VALUE"""),"https://docs.google.com/document/d/1wIM1KwKJz4ECnFQeUlQs6Ll-vhIEvguIvUfQy56B5z4/edit?usp=sharing")</f>
        <v>https://docs.google.com/document/d/1wIM1KwKJz4ECnFQeUlQs6Ll-vhIEvguIvUfQy56B5z4/edit?usp=sharing</v>
      </c>
      <c r="M670" s="20"/>
      <c r="N670" s="20"/>
      <c r="O670" s="20"/>
      <c r="P670" s="20"/>
    </row>
    <row r="671">
      <c r="A671" s="97">
        <f>IFERROR(__xludf.DUMMYFUNCTION("""COMPUTED_VALUE"""),46157.0)</f>
        <v>46157</v>
      </c>
      <c r="B671" s="97" t="str">
        <f>IFERROR(__xludf.DUMMYFUNCTION("""COMPUTED_VALUE"""),"2605D064")</f>
        <v>2605D064</v>
      </c>
      <c r="C671" s="76" t="str">
        <f>IFERROR(__xludf.DUMMYFUNCTION("""COMPUTED_VALUE"""),"Enan")</f>
        <v>Enan</v>
      </c>
      <c r="D671" s="99" t="str">
        <f>IFERROR(__xludf.DUMMYFUNCTION("""COMPUTED_VALUE"""),"083821675707")</f>
        <v>083821675707</v>
      </c>
      <c r="E671" s="25" t="str">
        <f>IFERROR(__xludf.DUMMYFUNCTION("""COMPUTED_VALUE"""),"Instagram")</f>
        <v>Instagram</v>
      </c>
      <c r="F671" s="25" t="str">
        <f>IFERROR(__xludf.DUMMYFUNCTION("""COMPUTED_VALUE"""),"Leads Baru")</f>
        <v>Leads Baru</v>
      </c>
      <c r="G671" s="25" t="str">
        <f>IFERROR(__xludf.DUMMYFUNCTION("""COMPUTED_VALUE"""),"kawah ijen")</f>
        <v>kawah ijen</v>
      </c>
      <c r="H671" s="16"/>
      <c r="I671" s="17"/>
      <c r="J671" s="54"/>
      <c r="K671" s="46" t="str">
        <f>IFERROR(__xludf.DUMMYFUNCTION("""COMPUTED_VALUE"""),"belum balas lagi, FU 1 Juni")</f>
        <v>belum balas lagi, FU 1 Juni</v>
      </c>
      <c r="L671" s="88" t="str">
        <f>IFERROR(__xludf.DUMMYFUNCTION("""COMPUTED_VALUE"""),"https://docs.google.com/document/d/15hz2PSF-2gug1lvBVLr7b30e7p5j2nYP9lcgi6OVZIg/edit?tab=t.0")</f>
        <v>https://docs.google.com/document/d/15hz2PSF-2gug1lvBVLr7b30e7p5j2nYP9lcgi6OVZIg/edit?tab=t.0</v>
      </c>
      <c r="M671" s="20"/>
      <c r="N671" s="20"/>
      <c r="O671" s="20"/>
      <c r="P671" s="20"/>
    </row>
    <row r="672">
      <c r="A672" s="110">
        <f>IFERROR(__xludf.DUMMYFUNCTION("""COMPUTED_VALUE"""),46157.0)</f>
        <v>46157</v>
      </c>
      <c r="B672" s="110" t="str">
        <f>IFERROR(__xludf.DUMMYFUNCTION("""COMPUTED_VALUE"""),"2605D065")</f>
        <v>2605D065</v>
      </c>
      <c r="C672" s="49" t="str">
        <f>IFERROR(__xludf.DUMMYFUNCTION("""COMPUTED_VALUE"""),"A.I.R")</f>
        <v>A.I.R</v>
      </c>
      <c r="D672" s="102" t="str">
        <f>IFERROR(__xludf.DUMMYFUNCTION("""COMPUTED_VALUE"""),"089673994031")</f>
        <v>089673994031</v>
      </c>
      <c r="E672" s="25" t="str">
        <f>IFERROR(__xludf.DUMMYFUNCTION("""COMPUTED_VALUE"""),"Tiktok")</f>
        <v>Tiktok</v>
      </c>
      <c r="F672" s="25" t="str">
        <f>IFERROR(__xludf.DUMMYFUNCTION("""COMPUTED_VALUE"""),"Gagal")</f>
        <v>Gagal</v>
      </c>
      <c r="G672" s="25" t="str">
        <f>IFERROR(__xludf.DUMMYFUNCTION("""COMPUTED_VALUE"""),"OT Ijen")</f>
        <v>OT Ijen</v>
      </c>
      <c r="H672" s="78">
        <f>IFERROR(__xludf.DUMMYFUNCTION("""COMPUTED_VALUE"""),46162.0)</f>
        <v>46162</v>
      </c>
      <c r="I672" s="89">
        <f>IFERROR(__xludf.DUMMYFUNCTION("""COMPUTED_VALUE"""),1.0)</f>
        <v>1</v>
      </c>
      <c r="J672" s="33"/>
      <c r="K672" s="30" t="str">
        <f>IFERROR(__xludf.DUMMYFUNCTION("""COMPUTED_VALUE"""),"tanya penjemputan Bondowoso")</f>
        <v>tanya penjemputan Bondowoso</v>
      </c>
      <c r="L672" s="49"/>
      <c r="M672" s="20"/>
      <c r="N672" s="20"/>
      <c r="O672" s="20"/>
      <c r="P672" s="20"/>
    </row>
    <row r="673">
      <c r="A673" s="97">
        <f>IFERROR(__xludf.DUMMYFUNCTION("""COMPUTED_VALUE"""),46157.0)</f>
        <v>46157</v>
      </c>
      <c r="B673" s="97" t="str">
        <f>IFERROR(__xludf.DUMMYFUNCTION("""COMPUTED_VALUE"""),"2605D066")</f>
        <v>2605D066</v>
      </c>
      <c r="C673" s="76" t="str">
        <f>IFERROR(__xludf.DUMMYFUNCTION("""COMPUTED_VALUE"""),"Merysa Amelya ")</f>
        <v>Merysa Amelya </v>
      </c>
      <c r="D673" s="99" t="str">
        <f>IFERROR(__xludf.DUMMYFUNCTION("""COMPUTED_VALUE"""),"085649129099")</f>
        <v>085649129099</v>
      </c>
      <c r="E673" s="25" t="str">
        <f>IFERROR(__xludf.DUMMYFUNCTION("""COMPUTED_VALUE"""),"Website")</f>
        <v>Website</v>
      </c>
      <c r="F673" s="25" t="str">
        <f>IFERROR(__xludf.DUMMYFUNCTION("""COMPUTED_VALUE"""),"Leads Baru")</f>
        <v>Leads Baru</v>
      </c>
      <c r="G673" s="25" t="str">
        <f>IFERROR(__xludf.DUMMYFUNCTION("""COMPUTED_VALUE"""),"trip Baluran")</f>
        <v>trip Baluran</v>
      </c>
      <c r="H673" s="92"/>
      <c r="I673" s="80">
        <f>IFERROR(__xludf.DUMMYFUNCTION("""COMPUTED_VALUE"""),3.0)</f>
        <v>3</v>
      </c>
      <c r="J673" s="93"/>
      <c r="K673" s="46" t="str">
        <f>IFERROR(__xludf.DUMMYFUNCTION("""COMPUTED_VALUE"""),"belum balas lagi, FU 1 Juni")</f>
        <v>belum balas lagi, FU 1 Juni</v>
      </c>
      <c r="L673" s="88" t="str">
        <f>IFERROR(__xludf.DUMMYFUNCTION("""COMPUTED_VALUE"""),"https://docs.google.com/document/d/1cHwMOxnJExCciaKMyRceJkRibKUdvBNCPTVFTK8y0fE/edit?tab=t.0")</f>
        <v>https://docs.google.com/document/d/1cHwMOxnJExCciaKMyRceJkRibKUdvBNCPTVFTK8y0fE/edit?tab=t.0</v>
      </c>
      <c r="M673" s="20"/>
      <c r="N673" s="20"/>
      <c r="O673" s="20"/>
      <c r="P673" s="20"/>
    </row>
    <row r="674">
      <c r="A674" s="110">
        <f>IFERROR(__xludf.DUMMYFUNCTION("""COMPUTED_VALUE"""),46157.0)</f>
        <v>46157</v>
      </c>
      <c r="B674" s="110" t="str">
        <f>IFERROR(__xludf.DUMMYFUNCTION("""COMPUTED_VALUE"""),"2605D067")</f>
        <v>2605D067</v>
      </c>
      <c r="C674" s="49" t="str">
        <f>IFERROR(__xludf.DUMMYFUNCTION("""COMPUTED_VALUE"""),"Nopal")</f>
        <v>Nopal</v>
      </c>
      <c r="D674" s="102" t="str">
        <f>IFERROR(__xludf.DUMMYFUNCTION("""COMPUTED_VALUE"""),"08132944705")</f>
        <v>08132944705</v>
      </c>
      <c r="E674" s="25" t="str">
        <f>IFERROR(__xludf.DUMMYFUNCTION("""COMPUTED_VALUE"""),"Instagram")</f>
        <v>Instagram</v>
      </c>
      <c r="F674" s="25" t="str">
        <f>IFERROR(__xludf.DUMMYFUNCTION("""COMPUTED_VALUE"""),"Leads Baru")</f>
        <v>Leads Baru</v>
      </c>
      <c r="G674" s="25"/>
      <c r="H674" s="78"/>
      <c r="I674" s="89"/>
      <c r="J674" s="96"/>
      <c r="K674" s="30" t="str">
        <f>IFERROR(__xludf.DUMMYFUNCTION("""COMPUTED_VALUE"""),"Last FU")</f>
        <v>Last FU</v>
      </c>
      <c r="L674" s="49"/>
      <c r="M674" s="20"/>
      <c r="N674" s="20"/>
      <c r="O674" s="20"/>
      <c r="P674" s="20"/>
    </row>
    <row r="675">
      <c r="A675" s="97">
        <f>IFERROR(__xludf.DUMMYFUNCTION("""COMPUTED_VALUE"""),46158.0)</f>
        <v>46158</v>
      </c>
      <c r="B675" s="97" t="str">
        <f>IFERROR(__xludf.DUMMYFUNCTION("""COMPUTED_VALUE"""),"2605D068")</f>
        <v>2605D068</v>
      </c>
      <c r="C675" s="76" t="str">
        <f>IFERROR(__xludf.DUMMYFUNCTION("""COMPUTED_VALUE"""),"Evy")</f>
        <v>Evy</v>
      </c>
      <c r="D675" s="99" t="str">
        <f>IFERROR(__xludf.DUMMYFUNCTION("""COMPUTED_VALUE"""),"081326610202")</f>
        <v>081326610202</v>
      </c>
      <c r="E675" s="25" t="str">
        <f>IFERROR(__xludf.DUMMYFUNCTION("""COMPUTED_VALUE"""),"Website")</f>
        <v>Website</v>
      </c>
      <c r="F675" s="25" t="str">
        <f>IFERROR(__xludf.DUMMYFUNCTION("""COMPUTED_VALUE"""),"Leads Baru")</f>
        <v>Leads Baru</v>
      </c>
      <c r="G675" s="25" t="str">
        <f>IFERROR(__xludf.DUMMYFUNCTION("""COMPUTED_VALUE"""),"2h1m")</f>
        <v>2h1m</v>
      </c>
      <c r="H675" s="92"/>
      <c r="I675" s="80">
        <f>IFERROR(__xludf.DUMMYFUNCTION("""COMPUTED_VALUE"""),20.0)</f>
        <v>20</v>
      </c>
      <c r="J675" s="93"/>
      <c r="K675" s="46" t="str">
        <f>IFERROR(__xludf.DUMMYFUNCTION("""COMPUTED_VALUE"""),"FU 1 Juni")</f>
        <v>FU 1 Juni</v>
      </c>
      <c r="L675" s="76"/>
      <c r="M675" s="20"/>
      <c r="N675" s="20"/>
      <c r="O675" s="20"/>
      <c r="P675" s="20"/>
    </row>
    <row r="676">
      <c r="A676" s="110">
        <f>IFERROR(__xludf.DUMMYFUNCTION("""COMPUTED_VALUE"""),46158.0)</f>
        <v>46158</v>
      </c>
      <c r="B676" s="110" t="str">
        <f>IFERROR(__xludf.DUMMYFUNCTION("""COMPUTED_VALUE"""),"2605D069")</f>
        <v>2605D069</v>
      </c>
      <c r="C676" s="49" t="str">
        <f>IFERROR(__xludf.DUMMYFUNCTION("""COMPUTED_VALUE"""),"Nurmaulia Sukma")</f>
        <v>Nurmaulia Sukma</v>
      </c>
      <c r="D676" s="102" t="str">
        <f>IFERROR(__xludf.DUMMYFUNCTION("""COMPUTED_VALUE"""),"089619142097")</f>
        <v>089619142097</v>
      </c>
      <c r="E676" s="25" t="str">
        <f>IFERROR(__xludf.DUMMYFUNCTION("""COMPUTED_VALUE"""),"Website")</f>
        <v>Website</v>
      </c>
      <c r="F676" s="25" t="str">
        <f>IFERROR(__xludf.DUMMYFUNCTION("""COMPUTED_VALUE"""),"Leads Baru")</f>
        <v>Leads Baru</v>
      </c>
      <c r="G676" s="25"/>
      <c r="H676" s="26"/>
      <c r="I676" s="27"/>
      <c r="J676" s="33"/>
      <c r="K676" s="30" t="str">
        <f>IFERROR(__xludf.DUMMYFUNCTION("""COMPUTED_VALUE"""),"FU 2 Juni, menyapa aja")</f>
        <v>FU 2 Juni, menyapa aja</v>
      </c>
      <c r="L676" s="49"/>
      <c r="M676" s="20"/>
      <c r="N676" s="20"/>
      <c r="O676" s="20"/>
      <c r="P676" s="20"/>
    </row>
    <row r="677">
      <c r="A677" s="97">
        <f>IFERROR(__xludf.DUMMYFUNCTION("""COMPUTED_VALUE"""),46158.0)</f>
        <v>46158</v>
      </c>
      <c r="B677" s="97" t="str">
        <f>IFERROR(__xludf.DUMMYFUNCTION("""COMPUTED_VALUE"""),"2605D070")</f>
        <v>2605D070</v>
      </c>
      <c r="C677" s="76" t="str">
        <f>IFERROR(__xludf.DUMMYFUNCTION("""COMPUTED_VALUE"""),"Andhayu Nik")</f>
        <v>Andhayu Nik</v>
      </c>
      <c r="D677" s="99" t="str">
        <f>IFERROR(__xludf.DUMMYFUNCTION("""COMPUTED_VALUE"""),"081294491814")</f>
        <v>081294491814</v>
      </c>
      <c r="E677" s="25" t="str">
        <f>IFERROR(__xludf.DUMMYFUNCTION("""COMPUTED_VALUE"""),"Instagram")</f>
        <v>Instagram</v>
      </c>
      <c r="F677" s="25" t="str">
        <f>IFERROR(__xludf.DUMMYFUNCTION("""COMPUTED_VALUE"""),"Leads Baru")</f>
        <v>Leads Baru</v>
      </c>
      <c r="G677" s="25"/>
      <c r="H677" s="16"/>
      <c r="I677" s="17"/>
      <c r="J677" s="54"/>
      <c r="K677" s="46" t="str">
        <f>IFERROR(__xludf.DUMMYFUNCTION("""COMPUTED_VALUE"""),"FU 2 Juni, menyapa aja")</f>
        <v>FU 2 Juni, menyapa aja</v>
      </c>
      <c r="L677" s="76"/>
      <c r="M677" s="20"/>
      <c r="N677" s="20"/>
      <c r="O677" s="20"/>
      <c r="P677" s="20"/>
    </row>
    <row r="678">
      <c r="A678" s="110">
        <f>IFERROR(__xludf.DUMMYFUNCTION("""COMPUTED_VALUE"""),46159.0)</f>
        <v>46159</v>
      </c>
      <c r="B678" s="110" t="str">
        <f>IFERROR(__xludf.DUMMYFUNCTION("""COMPUTED_VALUE"""),"2605D071")</f>
        <v>2605D071</v>
      </c>
      <c r="C678" s="49" t="str">
        <f>IFERROR(__xludf.DUMMYFUNCTION("""COMPUTED_VALUE"""),"Zahid")</f>
        <v>Zahid</v>
      </c>
      <c r="D678" s="102" t="str">
        <f>IFERROR(__xludf.DUMMYFUNCTION("""COMPUTED_VALUE"""),"087778512675")</f>
        <v>087778512675</v>
      </c>
      <c r="E678" s="25" t="str">
        <f>IFERROR(__xludf.DUMMYFUNCTION("""COMPUTED_VALUE"""),"Website")</f>
        <v>Website</v>
      </c>
      <c r="F678" s="25" t="str">
        <f>IFERROR(__xludf.DUMMYFUNCTION("""COMPUTED_VALUE"""),"Leads Baru")</f>
        <v>Leads Baru</v>
      </c>
      <c r="G678" s="25" t="str">
        <f>IFERROR(__xludf.DUMMYFUNCTION("""COMPUTED_VALUE"""),"trip ijen djawatan")</f>
        <v>trip ijen djawatan</v>
      </c>
      <c r="H678" s="78"/>
      <c r="I678" s="89"/>
      <c r="J678" s="96"/>
      <c r="K678" s="36" t="str">
        <f>IFERROR(__xludf.DUMMYFUNCTION("""COMPUTED_VALUE"""),"belum ada balasan lagi, FU 1 Juni")</f>
        <v>belum ada balasan lagi, FU 1 Juni</v>
      </c>
      <c r="L678" s="49"/>
      <c r="M678" s="20"/>
      <c r="N678" s="20"/>
      <c r="O678" s="20"/>
      <c r="P678" s="20"/>
    </row>
    <row r="679">
      <c r="A679" s="97">
        <f>IFERROR(__xludf.DUMMYFUNCTION("""COMPUTED_VALUE"""),46158.0)</f>
        <v>46158</v>
      </c>
      <c r="B679" s="97" t="str">
        <f>IFERROR(__xludf.DUMMYFUNCTION("""COMPUTED_VALUE"""),"2605D072")</f>
        <v>2605D072</v>
      </c>
      <c r="C679" s="76" t="str">
        <f>IFERROR(__xludf.DUMMYFUNCTION("""COMPUTED_VALUE"""),"Rizqi Puji")</f>
        <v>Rizqi Puji</v>
      </c>
      <c r="D679" s="99" t="str">
        <f>IFERROR(__xludf.DUMMYFUNCTION("""COMPUTED_VALUE"""),"081231574625")</f>
        <v>081231574625</v>
      </c>
      <c r="E679" s="25" t="str">
        <f>IFERROR(__xludf.DUMMYFUNCTION("""COMPUTED_VALUE"""),"Website")</f>
        <v>Website</v>
      </c>
      <c r="F679" s="25" t="str">
        <f>IFERROR(__xludf.DUMMYFUNCTION("""COMPUTED_VALUE"""),"Gagal")</f>
        <v>Gagal</v>
      </c>
      <c r="G679" s="25" t="str">
        <f>IFERROR(__xludf.DUMMYFUNCTION("""COMPUTED_VALUE"""),"trip MT")</f>
        <v>trip MT</v>
      </c>
      <c r="H679" s="92">
        <f>IFERROR(__xludf.DUMMYFUNCTION("""COMPUTED_VALUE"""),46158.0)</f>
        <v>46158</v>
      </c>
      <c r="I679" s="80"/>
      <c r="J679" s="93"/>
      <c r="K679" s="46" t="str">
        <f>IFERROR(__xludf.DUMMYFUNCTION("""COMPUTED_VALUE"""),"fullbooked")</f>
        <v>fullbooked</v>
      </c>
      <c r="L679" s="76"/>
      <c r="M679" s="20"/>
      <c r="N679" s="20"/>
      <c r="O679" s="20"/>
      <c r="P679" s="20"/>
    </row>
    <row r="680">
      <c r="A680" s="110">
        <f>IFERROR(__xludf.DUMMYFUNCTION("""COMPUTED_VALUE"""),46159.0)</f>
        <v>46159</v>
      </c>
      <c r="B680" s="110" t="str">
        <f>IFERROR(__xludf.DUMMYFUNCTION("""COMPUTED_VALUE"""),"2605D073")</f>
        <v>2605D073</v>
      </c>
      <c r="C680" s="49" t="str">
        <f>IFERROR(__xludf.DUMMYFUNCTION("""COMPUTED_VALUE"""),"Saif")</f>
        <v>Saif</v>
      </c>
      <c r="D680" s="102" t="str">
        <f>IFERROR(__xludf.DUMMYFUNCTION("""COMPUTED_VALUE"""),"082223264429")</f>
        <v>082223264429</v>
      </c>
      <c r="E680" s="25" t="str">
        <f>IFERROR(__xludf.DUMMYFUNCTION("""COMPUTED_VALUE"""),"Instagram")</f>
        <v>Instagram</v>
      </c>
      <c r="F680" s="25" t="str">
        <f>IFERROR(__xludf.DUMMYFUNCTION("""COMPUTED_VALUE"""),"Gagal")</f>
        <v>Gagal</v>
      </c>
      <c r="G680" s="25" t="str">
        <f>IFERROR(__xludf.DUMMYFUNCTION("""COMPUTED_VALUE"""),"OT Ijen, GI")</f>
        <v>OT Ijen, GI</v>
      </c>
      <c r="H680" s="78">
        <f>IFERROR(__xludf.DUMMYFUNCTION("""COMPUTED_VALUE"""),46176.0)</f>
        <v>46176</v>
      </c>
      <c r="I680" s="89">
        <f>IFERROR(__xludf.DUMMYFUNCTION("""COMPUTED_VALUE"""),2.0)</f>
        <v>2</v>
      </c>
      <c r="J680" s="96"/>
      <c r="K680" s="36" t="str">
        <f>IFERROR(__xludf.DUMMYFUNCTION("""COMPUTED_VALUE"""),"belum balas lagi, FU 1 juni")</f>
        <v>belum balas lagi, FU 1 juni</v>
      </c>
      <c r="L680" s="49"/>
      <c r="M680" s="20"/>
      <c r="N680" s="20"/>
      <c r="O680" s="20"/>
      <c r="P680" s="20"/>
    </row>
    <row r="681">
      <c r="A681" s="97">
        <f>IFERROR(__xludf.DUMMYFUNCTION("""COMPUTED_VALUE"""),46159.0)</f>
        <v>46159</v>
      </c>
      <c r="B681" s="97" t="str">
        <f>IFERROR(__xludf.DUMMYFUNCTION("""COMPUTED_VALUE"""),"2605D074")</f>
        <v>2605D074</v>
      </c>
      <c r="C681" s="76" t="str">
        <f>IFERROR(__xludf.DUMMYFUNCTION("""COMPUTED_VALUE"""),"Choirul Hidayat")</f>
        <v>Choirul Hidayat</v>
      </c>
      <c r="D681" s="99" t="str">
        <f>IFERROR(__xludf.DUMMYFUNCTION("""COMPUTED_VALUE"""),"089527162819")</f>
        <v>089527162819</v>
      </c>
      <c r="E681" s="25" t="str">
        <f>IFERROR(__xludf.DUMMYFUNCTION("""COMPUTED_VALUE"""),"Instagram")</f>
        <v>Instagram</v>
      </c>
      <c r="F681" s="25" t="str">
        <f>IFERROR(__xludf.DUMMYFUNCTION("""COMPUTED_VALUE"""),"Leads Baru")</f>
        <v>Leads Baru</v>
      </c>
      <c r="G681" s="25" t="str">
        <f>IFERROR(__xludf.DUMMYFUNCTION("""COMPUTED_VALUE"""),"2h1m opsi A&amp;B")</f>
        <v>2h1m opsi A&amp;B</v>
      </c>
      <c r="H681" s="92"/>
      <c r="I681" s="80">
        <f>IFERROR(__xludf.DUMMYFUNCTION("""COMPUTED_VALUE"""),50.0)</f>
        <v>50</v>
      </c>
      <c r="J681" s="93"/>
      <c r="K681" s="19" t="str">
        <f>IFERROR(__xludf.DUMMYFUNCTION("""COMPUTED_VALUE"""),"B2B, sudah kirim penawaran")</f>
        <v>B2B, sudah kirim penawaran</v>
      </c>
      <c r="L681" s="76"/>
      <c r="M681" s="20"/>
      <c r="N681" s="20"/>
      <c r="O681" s="20"/>
      <c r="P681" s="20"/>
    </row>
    <row r="682">
      <c r="A682" s="110">
        <f>IFERROR(__xludf.DUMMYFUNCTION("""COMPUTED_VALUE"""),46159.0)</f>
        <v>46159</v>
      </c>
      <c r="B682" s="110" t="str">
        <f>IFERROR(__xludf.DUMMYFUNCTION("""COMPUTED_VALUE"""),"2605D075")</f>
        <v>2605D075</v>
      </c>
      <c r="C682" s="49" t="str">
        <f>IFERROR(__xludf.DUMMYFUNCTION("""COMPUTED_VALUE"""),"Meliyana")</f>
        <v>Meliyana</v>
      </c>
      <c r="D682" s="99" t="str">
        <f>IFERROR(__xludf.DUMMYFUNCTION("""COMPUTED_VALUE"""),"083813795762")</f>
        <v>083813795762</v>
      </c>
      <c r="E682" s="25" t="str">
        <f>IFERROR(__xludf.DUMMYFUNCTION("""COMPUTED_VALUE"""),"Instagram")</f>
        <v>Instagram</v>
      </c>
      <c r="F682" s="25" t="str">
        <f>IFERROR(__xludf.DUMMYFUNCTION("""COMPUTED_VALUE"""),"Closing")</f>
        <v>Closing</v>
      </c>
      <c r="G682" s="25" t="str">
        <f>IFERROR(__xludf.DUMMYFUNCTION("""COMPUTED_VALUE"""),"OT3H2M ")</f>
        <v>OT3H2M </v>
      </c>
      <c r="H682" s="78">
        <f>IFERROR(__xludf.DUMMYFUNCTION("""COMPUTED_VALUE"""),46250.0)</f>
        <v>46250</v>
      </c>
      <c r="I682" s="89">
        <f>IFERROR(__xludf.DUMMYFUNCTION("""COMPUTED_VALUE"""),2.0)</f>
        <v>2</v>
      </c>
      <c r="J682" s="96">
        <f>IFERROR(__xludf.DUMMYFUNCTION("""COMPUTED_VALUE"""),3200000.0)</f>
        <v>3200000</v>
      </c>
      <c r="K682" s="36" t="str">
        <f>IFERROR(__xludf.DUMMYFUNCTION("""COMPUTED_VALUE"""),"orrdeerrr")</f>
        <v>orrdeerrr</v>
      </c>
      <c r="L682" s="49"/>
      <c r="M682" s="20"/>
      <c r="N682" s="20"/>
      <c r="O682" s="20"/>
      <c r="P682" s="20"/>
    </row>
    <row r="683">
      <c r="A683" s="97">
        <f>IFERROR(__xludf.DUMMYFUNCTION("""COMPUTED_VALUE"""),46160.0)</f>
        <v>46160</v>
      </c>
      <c r="B683" s="97" t="str">
        <f>IFERROR(__xludf.DUMMYFUNCTION("""COMPUTED_VALUE"""),"2605D076")</f>
        <v>2605D076</v>
      </c>
      <c r="C683" s="76" t="str">
        <f>IFERROR(__xludf.DUMMYFUNCTION("""COMPUTED_VALUE"""),"Yoshi")</f>
        <v>Yoshi</v>
      </c>
      <c r="D683" s="99" t="str">
        <f>IFERROR(__xludf.DUMMYFUNCTION("""COMPUTED_VALUE"""),"085317777587")</f>
        <v>085317777587</v>
      </c>
      <c r="E683" s="25" t="str">
        <f>IFERROR(__xludf.DUMMYFUNCTION("""COMPUTED_VALUE"""),"Instagram")</f>
        <v>Instagram</v>
      </c>
      <c r="F683" s="25" t="str">
        <f>IFERROR(__xludf.DUMMYFUNCTION("""COMPUTED_VALUE"""),"Leads Baru")</f>
        <v>Leads Baru</v>
      </c>
      <c r="G683" s="25" t="str">
        <f>IFERROR(__xludf.DUMMYFUNCTION("""COMPUTED_VALUE"""),"2H1M ")</f>
        <v>2H1M </v>
      </c>
      <c r="H683" s="16">
        <f>IFERROR(__xludf.DUMMYFUNCTION("""COMPUTED_VALUE"""),46190.0)</f>
        <v>46190</v>
      </c>
      <c r="I683" s="17">
        <f>IFERROR(__xludf.DUMMYFUNCTION("""COMPUTED_VALUE"""),2.0)</f>
        <v>2</v>
      </c>
      <c r="J683" s="54"/>
      <c r="K683" s="46" t="str">
        <f>IFERROR(__xludf.DUMMYFUNCTION("""COMPUTED_VALUE"""),"FU 4 Juni")</f>
        <v>FU 4 Juni</v>
      </c>
      <c r="L683" s="76"/>
      <c r="M683" s="20"/>
      <c r="N683" s="20"/>
      <c r="O683" s="20"/>
      <c r="P683" s="20"/>
    </row>
    <row r="684">
      <c r="A684" s="110">
        <f>IFERROR(__xludf.DUMMYFUNCTION("""COMPUTED_VALUE"""),46160.0)</f>
        <v>46160</v>
      </c>
      <c r="B684" s="110" t="str">
        <f>IFERROR(__xludf.DUMMYFUNCTION("""COMPUTED_VALUE"""),"2605D077")</f>
        <v>2605D077</v>
      </c>
      <c r="C684" s="49" t="str">
        <f>IFERROR(__xludf.DUMMYFUNCTION("""COMPUTED_VALUE"""),"Ratna Budi")</f>
        <v>Ratna Budi</v>
      </c>
      <c r="D684" s="102" t="str">
        <f>IFERROR(__xludf.DUMMYFUNCTION("""COMPUTED_VALUE"""),"081802626999")</f>
        <v>081802626999</v>
      </c>
      <c r="E684" s="25" t="str">
        <f>IFERROR(__xludf.DUMMYFUNCTION("""COMPUTED_VALUE"""),"Website")</f>
        <v>Website</v>
      </c>
      <c r="F684" s="25" t="str">
        <f>IFERROR(__xludf.DUMMYFUNCTION("""COMPUTED_VALUE"""),"Leads Baru")</f>
        <v>Leads Baru</v>
      </c>
      <c r="G684" s="25" t="str">
        <f>IFERROR(__xludf.DUMMYFUNCTION("""COMPUTED_VALUE"""),"2H1M opsi B")</f>
        <v>2H1M opsi B</v>
      </c>
      <c r="H684" s="78"/>
      <c r="I684" s="89">
        <f>IFERROR(__xludf.DUMMYFUNCTION("""COMPUTED_VALUE"""),46083.0)</f>
        <v>46083</v>
      </c>
      <c r="J684" s="33"/>
      <c r="K684" s="30" t="str">
        <f>IFERROR(__xludf.DUMMYFUNCTION("""COMPUTED_VALUE"""),"URGENSI")</f>
        <v>URGENSI</v>
      </c>
      <c r="L684" s="49"/>
      <c r="M684" s="20"/>
      <c r="N684" s="20"/>
      <c r="O684" s="20"/>
      <c r="P684" s="20"/>
    </row>
    <row r="685">
      <c r="A685" s="97">
        <f>IFERROR(__xludf.DUMMYFUNCTION("""COMPUTED_VALUE"""),46160.0)</f>
        <v>46160</v>
      </c>
      <c r="B685" s="97" t="str">
        <f>IFERROR(__xludf.DUMMYFUNCTION("""COMPUTED_VALUE"""),"2605D078")</f>
        <v>2605D078</v>
      </c>
      <c r="C685" s="76" t="str">
        <f>IFERROR(__xludf.DUMMYFUNCTION("""COMPUTED_VALUE"""),"Farida")</f>
        <v>Farida</v>
      </c>
      <c r="D685" s="99" t="str">
        <f>IFERROR(__xludf.DUMMYFUNCTION("""COMPUTED_VALUE"""),"081331962444")</f>
        <v>081331962444</v>
      </c>
      <c r="E685" s="25" t="str">
        <f>IFERROR(__xludf.DUMMYFUNCTION("""COMPUTED_VALUE"""),"Website")</f>
        <v>Website</v>
      </c>
      <c r="F685" s="25" t="str">
        <f>IFERROR(__xludf.DUMMYFUNCTION("""COMPUTED_VALUE"""),"Gagal")</f>
        <v>Gagal</v>
      </c>
      <c r="G685" s="25" t="str">
        <f>IFERROR(__xludf.DUMMYFUNCTION("""COMPUTED_VALUE"""),"2h1m ")</f>
        <v>2h1m </v>
      </c>
      <c r="H685" s="92">
        <f>IFERROR(__xludf.DUMMYFUNCTION("""COMPUTED_VALUE"""),46172.0)</f>
        <v>46172</v>
      </c>
      <c r="I685" s="80">
        <f>IFERROR(__xludf.DUMMYFUNCTION("""COMPUTED_VALUE"""),3.0)</f>
        <v>3</v>
      </c>
      <c r="J685" s="93"/>
      <c r="K685" s="46"/>
      <c r="L685" s="76"/>
      <c r="M685" s="20"/>
      <c r="N685" s="20"/>
      <c r="O685" s="20"/>
      <c r="P685" s="20"/>
    </row>
    <row r="686">
      <c r="A686" s="110">
        <f>IFERROR(__xludf.DUMMYFUNCTION("""COMPUTED_VALUE"""),46160.0)</f>
        <v>46160</v>
      </c>
      <c r="B686" s="110" t="str">
        <f>IFERROR(__xludf.DUMMYFUNCTION("""COMPUTED_VALUE"""),"2605D076")</f>
        <v>2605D076</v>
      </c>
      <c r="C686" s="49" t="str">
        <f>IFERROR(__xludf.DUMMYFUNCTION("""COMPUTED_VALUE"""),"Lilik Ratnaningsih")</f>
        <v>Lilik Ratnaningsih</v>
      </c>
      <c r="D686" s="102" t="str">
        <f>IFERROR(__xludf.DUMMYFUNCTION("""COMPUTED_VALUE"""),"082122922826")</f>
        <v>082122922826</v>
      </c>
      <c r="E686" s="25" t="str">
        <f>IFERROR(__xludf.DUMMYFUNCTION("""COMPUTED_VALUE"""),"Tiktok")</f>
        <v>Tiktok</v>
      </c>
      <c r="F686" s="25" t="str">
        <f>IFERROR(__xludf.DUMMYFUNCTION("""COMPUTED_VALUE"""),"Closing")</f>
        <v>Closing</v>
      </c>
      <c r="G686" s="25" t="str">
        <f>IFERROR(__xludf.DUMMYFUNCTION("""COMPUTED_VALUE"""),"2H1M opsi B")</f>
        <v>2H1M opsi B</v>
      </c>
      <c r="H686" s="78">
        <f>IFERROR(__xludf.DUMMYFUNCTION("""COMPUTED_VALUE"""),46191.0)</f>
        <v>46191</v>
      </c>
      <c r="I686" s="89">
        <f>IFERROR(__xludf.DUMMYFUNCTION("""COMPUTED_VALUE"""),5.0)</f>
        <v>5</v>
      </c>
      <c r="J686" s="96">
        <f>IFERROR(__xludf.DUMMYFUNCTION("""COMPUTED_VALUE"""),4950000.0)</f>
        <v>4950000</v>
      </c>
      <c r="K686" s="30" t="str">
        <f>IFERROR(__xludf.DUMMYFUNCTION("""COMPUTED_VALUE"""),"Orderrrr")</f>
        <v>Orderrrr</v>
      </c>
      <c r="L686" s="49"/>
      <c r="M686" s="20"/>
      <c r="N686" s="20"/>
      <c r="O686" s="20"/>
      <c r="P686" s="20"/>
    </row>
    <row r="687">
      <c r="A687" s="97">
        <f>IFERROR(__xludf.DUMMYFUNCTION("""COMPUTED_VALUE"""),46160.0)</f>
        <v>46160</v>
      </c>
      <c r="B687" s="97" t="str">
        <f>IFERROR(__xludf.DUMMYFUNCTION("""COMPUTED_VALUE"""),"2605D077")</f>
        <v>2605D077</v>
      </c>
      <c r="C687" s="76" t="str">
        <f>IFERROR(__xludf.DUMMYFUNCTION("""COMPUTED_VALUE"""),"JO")</f>
        <v>JO</v>
      </c>
      <c r="D687" s="99" t="str">
        <f>IFERROR(__xludf.DUMMYFUNCTION("""COMPUTED_VALUE"""),"085743383933")</f>
        <v>085743383933</v>
      </c>
      <c r="E687" s="25" t="str">
        <f>IFERROR(__xludf.DUMMYFUNCTION("""COMPUTED_VALUE"""),"Website")</f>
        <v>Website</v>
      </c>
      <c r="F687" s="25" t="str">
        <f>IFERROR(__xludf.DUMMYFUNCTION("""COMPUTED_VALUE"""),"Leads Baru")</f>
        <v>Leads Baru</v>
      </c>
      <c r="G687" s="25" t="str">
        <f>IFERROR(__xludf.DUMMYFUNCTION("""COMPUTED_VALUE"""),"2H1M")</f>
        <v>2H1M</v>
      </c>
      <c r="H687" s="92"/>
      <c r="I687" s="80"/>
      <c r="J687" s="93"/>
      <c r="K687" s="46" t="str">
        <f>IFERROR(__xludf.DUMMYFUNCTION("""COMPUTED_VALUE"""),"jangan di FU, biar orgnya yang WA")</f>
        <v>jangan di FU, biar orgnya yang WA</v>
      </c>
      <c r="L687" s="76"/>
      <c r="M687" s="20"/>
      <c r="N687" s="20"/>
      <c r="O687" s="20"/>
      <c r="P687" s="20"/>
    </row>
    <row r="688">
      <c r="A688" s="110">
        <f>IFERROR(__xludf.DUMMYFUNCTION("""COMPUTED_VALUE"""),46160.0)</f>
        <v>46160</v>
      </c>
      <c r="B688" s="110" t="str">
        <f>IFERROR(__xludf.DUMMYFUNCTION("""COMPUTED_VALUE"""),"2605D078")</f>
        <v>2605D078</v>
      </c>
      <c r="C688" s="49" t="str">
        <f>IFERROR(__xludf.DUMMYFUNCTION("""COMPUTED_VALUE"""),"Hikari")</f>
        <v>Hikari</v>
      </c>
      <c r="D688" s="102" t="str">
        <f>IFERROR(__xludf.DUMMYFUNCTION("""COMPUTED_VALUE"""),"082147212206")</f>
        <v>082147212206</v>
      </c>
      <c r="E688" s="25" t="str">
        <f>IFERROR(__xludf.DUMMYFUNCTION("""COMPUTED_VALUE"""),"Instagram")</f>
        <v>Instagram</v>
      </c>
      <c r="F688" s="25" t="str">
        <f>IFERROR(__xludf.DUMMYFUNCTION("""COMPUTED_VALUE"""),"Gagal")</f>
        <v>Gagal</v>
      </c>
      <c r="G688" s="25" t="str">
        <f>IFERROR(__xludf.DUMMYFUNCTION("""COMPUTED_VALUE"""),"OT Djabal")</f>
        <v>OT Djabal</v>
      </c>
      <c r="H688" s="78">
        <f>IFERROR(__xludf.DUMMYFUNCTION("""COMPUTED_VALUE"""),46174.0)</f>
        <v>46174</v>
      </c>
      <c r="I688" s="89">
        <f>IFERROR(__xludf.DUMMYFUNCTION("""COMPUTED_VALUE"""),1.0)</f>
        <v>1</v>
      </c>
      <c r="J688" s="96"/>
      <c r="K688" s="36" t="str">
        <f>IFERROR(__xludf.DUMMYFUNCTION("""COMPUTED_VALUE"""),"gagall, gajadi liburan")</f>
        <v>gagall, gajadi liburan</v>
      </c>
      <c r="L688" s="49"/>
      <c r="M688" s="20"/>
      <c r="N688" s="20"/>
      <c r="O688" s="20"/>
      <c r="P688" s="20"/>
    </row>
    <row r="689">
      <c r="A689" s="97">
        <f>IFERROR(__xludf.DUMMYFUNCTION("""COMPUTED_VALUE"""),46160.0)</f>
        <v>46160</v>
      </c>
      <c r="B689" s="97" t="str">
        <f>IFERROR(__xludf.DUMMYFUNCTION("""COMPUTED_VALUE"""),"2605D079")</f>
        <v>2605D079</v>
      </c>
      <c r="C689" s="76" t="str">
        <f>IFERROR(__xludf.DUMMYFUNCTION("""COMPUTED_VALUE"""),"Auudiaa")</f>
        <v>Auudiaa</v>
      </c>
      <c r="D689" s="99" t="str">
        <f>IFERROR(__xludf.DUMMYFUNCTION("""COMPUTED_VALUE"""),"081260055983")</f>
        <v>081260055983</v>
      </c>
      <c r="E689" s="25" t="str">
        <f>IFERROR(__xludf.DUMMYFUNCTION("""COMPUTED_VALUE"""),"Instagram")</f>
        <v>Instagram</v>
      </c>
      <c r="F689" s="25" t="str">
        <f>IFERROR(__xludf.DUMMYFUNCTION("""COMPUTED_VALUE"""),"Gagal")</f>
        <v>Gagal</v>
      </c>
      <c r="G689" s="25" t="str">
        <f>IFERROR(__xludf.DUMMYFUNCTION("""COMPUTED_VALUE"""),"OT Djabal")</f>
        <v>OT Djabal</v>
      </c>
      <c r="H689" s="16">
        <f>IFERROR(__xludf.DUMMYFUNCTION("""COMPUTED_VALUE"""),46188.0)</f>
        <v>46188</v>
      </c>
      <c r="I689" s="17">
        <f>IFERROR(__xludf.DUMMYFUNCTION("""COMPUTED_VALUE"""),1.0)</f>
        <v>1</v>
      </c>
      <c r="J689" s="54"/>
      <c r="K689" s="46" t="str">
        <f>IFERROR(__xludf.DUMMYFUNCTION("""COMPUTED_VALUE"""),"waktu mepet, tiket kereta jam 5 sore KBR")</f>
        <v>waktu mepet, tiket kereta jam 5 sore KBR</v>
      </c>
      <c r="L689" s="76"/>
      <c r="M689" s="20"/>
      <c r="N689" s="20"/>
      <c r="O689" s="20"/>
      <c r="P689" s="20"/>
    </row>
    <row r="690">
      <c r="A690" s="110">
        <f>IFERROR(__xludf.DUMMYFUNCTION("""COMPUTED_VALUE"""),46160.0)</f>
        <v>46160</v>
      </c>
      <c r="B690" s="110" t="str">
        <f>IFERROR(__xludf.DUMMYFUNCTION("""COMPUTED_VALUE"""),"2605D080")</f>
        <v>2605D080</v>
      </c>
      <c r="C690" s="49" t="str">
        <f>IFERROR(__xludf.DUMMYFUNCTION("""COMPUTED_VALUE"""),"Nila Rau Fanza")</f>
        <v>Nila Rau Fanza</v>
      </c>
      <c r="D690" s="102" t="str">
        <f>IFERROR(__xludf.DUMMYFUNCTION("""COMPUTED_VALUE"""),"085310700300")</f>
        <v>085310700300</v>
      </c>
      <c r="E690" s="25" t="str">
        <f>IFERROR(__xludf.DUMMYFUNCTION("""COMPUTED_VALUE"""),"Instagram")</f>
        <v>Instagram</v>
      </c>
      <c r="F690" s="25" t="str">
        <f>IFERROR(__xludf.DUMMYFUNCTION("""COMPUTED_VALUE"""),"Closing")</f>
        <v>Closing</v>
      </c>
      <c r="G690" s="25" t="str">
        <f>IFERROR(__xludf.DUMMYFUNCTION("""COMPUTED_VALUE"""),"2h1m custome")</f>
        <v>2h1m custome</v>
      </c>
      <c r="H690" s="78">
        <f>IFERROR(__xludf.DUMMYFUNCTION("""COMPUTED_VALUE"""),46171.0)</f>
        <v>46171</v>
      </c>
      <c r="I690" s="89">
        <f>IFERROR(__xludf.DUMMYFUNCTION("""COMPUTED_VALUE"""),4.0)</f>
        <v>4</v>
      </c>
      <c r="J690" s="96"/>
      <c r="K690" s="36" t="str">
        <f>IFERROR(__xludf.DUMMYFUNCTION("""COMPUTED_VALUE"""),"orderrrr")</f>
        <v>orderrrr</v>
      </c>
      <c r="L690" s="49"/>
      <c r="M690" s="20"/>
      <c r="N690" s="20"/>
      <c r="O690" s="20"/>
      <c r="P690" s="20"/>
    </row>
    <row r="691">
      <c r="A691" s="97">
        <f>IFERROR(__xludf.DUMMYFUNCTION("""COMPUTED_VALUE"""),46160.0)</f>
        <v>46160</v>
      </c>
      <c r="B691" s="97" t="str">
        <f>IFERROR(__xludf.DUMMYFUNCTION("""COMPUTED_VALUE"""),"2605D081")</f>
        <v>2605D081</v>
      </c>
      <c r="C691" s="76" t="str">
        <f>IFERROR(__xludf.DUMMYFUNCTION("""COMPUTED_VALUE"""),"Nyulenta S")</f>
        <v>Nyulenta S</v>
      </c>
      <c r="D691" s="99" t="str">
        <f>IFERROR(__xludf.DUMMYFUNCTION("""COMPUTED_VALUE"""),"085748798211")</f>
        <v>085748798211</v>
      </c>
      <c r="E691" s="25" t="str">
        <f>IFERROR(__xludf.DUMMYFUNCTION("""COMPUTED_VALUE"""),"Instagram")</f>
        <v>Instagram</v>
      </c>
      <c r="F691" s="25" t="str">
        <f>IFERROR(__xludf.DUMMYFUNCTION("""COMPUTED_VALUE"""),"Leads Baru")</f>
        <v>Leads Baru</v>
      </c>
      <c r="G691" s="25"/>
      <c r="H691" s="92"/>
      <c r="I691" s="80">
        <f>IFERROR(__xludf.DUMMYFUNCTION("""COMPUTED_VALUE"""),46115.0)</f>
        <v>46115</v>
      </c>
      <c r="J691" s="93"/>
      <c r="K691" s="46" t="str">
        <f>IFERROR(__xludf.DUMMYFUNCTION("""COMPUTED_VALUE"""),"minta penawaran")</f>
        <v>minta penawaran</v>
      </c>
      <c r="L691" s="76"/>
      <c r="M691" s="20"/>
      <c r="N691" s="20"/>
      <c r="O691" s="20"/>
      <c r="P691" s="20"/>
    </row>
    <row r="692">
      <c r="A692" s="110">
        <f>IFERROR(__xludf.DUMMYFUNCTION("""COMPUTED_VALUE"""),46160.0)</f>
        <v>46160</v>
      </c>
      <c r="B692" s="110" t="str">
        <f>IFERROR(__xludf.DUMMYFUNCTION("""COMPUTED_VALUE"""),"2605D082")</f>
        <v>2605D082</v>
      </c>
      <c r="C692" s="49" t="str">
        <f>IFERROR(__xludf.DUMMYFUNCTION("""COMPUTED_VALUE"""),"Hilma Adia")</f>
        <v>Hilma Adia</v>
      </c>
      <c r="D692" s="102" t="str">
        <f>IFERROR(__xludf.DUMMYFUNCTION("""COMPUTED_VALUE"""),"081554541159")</f>
        <v>081554541159</v>
      </c>
      <c r="E692" s="25" t="str">
        <f>IFERROR(__xludf.DUMMYFUNCTION("""COMPUTED_VALUE"""),"Website")</f>
        <v>Website</v>
      </c>
      <c r="F692" s="25" t="str">
        <f>IFERROR(__xludf.DUMMYFUNCTION("""COMPUTED_VALUE"""),"Leads Baru")</f>
        <v>Leads Baru</v>
      </c>
      <c r="G692" s="25"/>
      <c r="H692" s="78"/>
      <c r="I692" s="89"/>
      <c r="J692" s="96"/>
      <c r="K692" s="30"/>
      <c r="L692" s="49"/>
      <c r="M692" s="20"/>
      <c r="N692" s="20"/>
      <c r="O692" s="20"/>
      <c r="P692" s="20"/>
    </row>
    <row r="693">
      <c r="A693" s="97">
        <f>IFERROR(__xludf.DUMMYFUNCTION("""COMPUTED_VALUE"""),46161.0)</f>
        <v>46161</v>
      </c>
      <c r="B693" s="97" t="str">
        <f>IFERROR(__xludf.DUMMYFUNCTION("""COMPUTED_VALUE"""),"2605D083")</f>
        <v>2605D083</v>
      </c>
      <c r="C693" s="120" t="str">
        <f>IFERROR(__xludf.DUMMYFUNCTION("""COMPUTED_VALUE"""),"Jayanti")</f>
        <v>Jayanti</v>
      </c>
      <c r="D693" s="99" t="str">
        <f>IFERROR(__xludf.DUMMYFUNCTION("""COMPUTED_VALUE"""),"082192137659")</f>
        <v>082192137659</v>
      </c>
      <c r="E693" s="25" t="str">
        <f>IFERROR(__xludf.DUMMYFUNCTION("""COMPUTED_VALUE"""),"Website")</f>
        <v>Website</v>
      </c>
      <c r="F693" s="25" t="str">
        <f>IFERROR(__xludf.DUMMYFUNCTION("""COMPUTED_VALUE"""),"Leads Baru")</f>
        <v>Leads Baru</v>
      </c>
      <c r="G693" s="25" t="str">
        <f>IFERROR(__xludf.DUMMYFUNCTION("""COMPUTED_VALUE"""),"Open Trip")</f>
        <v>Open Trip</v>
      </c>
      <c r="H693" s="16"/>
      <c r="I693" s="17">
        <f>IFERROR(__xludf.DUMMYFUNCTION("""COMPUTED_VALUE"""),1.0)</f>
        <v>1</v>
      </c>
      <c r="J693" s="54"/>
      <c r="K693" s="46" t="str">
        <f>IFERROR(__xludf.DUMMYFUNCTION("""COMPUTED_VALUE"""),"mau pesan mendadak, nanti akan dihubungi lagi")</f>
        <v>mau pesan mendadak, nanti akan dihubungi lagi</v>
      </c>
      <c r="L693" s="76"/>
      <c r="M693" s="20"/>
      <c r="N693" s="20"/>
      <c r="O693" s="20"/>
      <c r="P693" s="20"/>
    </row>
    <row r="694">
      <c r="A694" s="110">
        <f>IFERROR(__xludf.DUMMYFUNCTION("""COMPUTED_VALUE"""),46161.0)</f>
        <v>46161</v>
      </c>
      <c r="B694" s="110" t="str">
        <f>IFERROR(__xludf.DUMMYFUNCTION("""COMPUTED_VALUE"""),"2605D084")</f>
        <v>2605D084</v>
      </c>
      <c r="C694" s="49" t="str">
        <f>IFERROR(__xludf.DUMMYFUNCTION("""COMPUTED_VALUE"""),"Ridza")</f>
        <v>Ridza</v>
      </c>
      <c r="D694" s="102" t="str">
        <f>IFERROR(__xludf.DUMMYFUNCTION("""COMPUTED_VALUE"""),"082228082929")</f>
        <v>082228082929</v>
      </c>
      <c r="E694" s="25" t="str">
        <f>IFERROR(__xludf.DUMMYFUNCTION("""COMPUTED_VALUE"""),"Instagram")</f>
        <v>Instagram</v>
      </c>
      <c r="F694" s="25" t="str">
        <f>IFERROR(__xludf.DUMMYFUNCTION("""COMPUTED_VALUE"""),"Leads Baru")</f>
        <v>Leads Baru</v>
      </c>
      <c r="G694" s="25" t="str">
        <f>IFERROR(__xludf.DUMMYFUNCTION("""COMPUTED_VALUE"""),"1 day Djabal")</f>
        <v>1 day Djabal</v>
      </c>
      <c r="H694" s="26"/>
      <c r="I694" s="89">
        <f>IFERROR(__xludf.DUMMYFUNCTION("""COMPUTED_VALUE"""),4.0)</f>
        <v>4</v>
      </c>
      <c r="J694" s="33"/>
      <c r="K694" s="30" t="str">
        <f>IFERROR(__xludf.DUMMYFUNCTION("""COMPUTED_VALUE"""),"FU 16 Juni")</f>
        <v>FU 16 Juni</v>
      </c>
      <c r="L694" s="76"/>
      <c r="M694" s="20"/>
      <c r="N694" s="20"/>
      <c r="O694" s="20"/>
      <c r="P694" s="20"/>
    </row>
    <row r="695">
      <c r="A695" s="110">
        <f>IFERROR(__xludf.DUMMYFUNCTION("""COMPUTED_VALUE"""),46161.0)</f>
        <v>46161</v>
      </c>
      <c r="B695" s="110" t="str">
        <f>IFERROR(__xludf.DUMMYFUNCTION("""COMPUTED_VALUE"""),"2605D085")</f>
        <v>2605D085</v>
      </c>
      <c r="C695" s="76" t="str">
        <f>IFERROR(__xludf.DUMMYFUNCTION("""COMPUTED_VALUE"""),"Liana")</f>
        <v>Liana</v>
      </c>
      <c r="D695" s="99" t="str">
        <f>IFERROR(__xludf.DUMMYFUNCTION("""COMPUTED_VALUE"""),"081369648000")</f>
        <v>081369648000</v>
      </c>
      <c r="E695" s="25" t="str">
        <f>IFERROR(__xludf.DUMMYFUNCTION("""COMPUTED_VALUE"""),"Website")</f>
        <v>Website</v>
      </c>
      <c r="F695" s="25" t="str">
        <f>IFERROR(__xludf.DUMMYFUNCTION("""COMPUTED_VALUE"""),"Closing")</f>
        <v>Closing</v>
      </c>
      <c r="G695" s="25" t="str">
        <f>IFERROR(__xludf.DUMMYFUNCTION("""COMPUTED_VALUE"""),"PT Ijen")</f>
        <v>PT Ijen</v>
      </c>
      <c r="H695" s="92"/>
      <c r="I695" s="80">
        <f>IFERROR(__xludf.DUMMYFUNCTION("""COMPUTED_VALUE"""),3.0)</f>
        <v>3</v>
      </c>
      <c r="J695" s="93">
        <f>IFERROR(__xludf.DUMMYFUNCTION("""COMPUTED_VALUE"""),1228000.0)</f>
        <v>1228000</v>
      </c>
      <c r="K695" s="19" t="str">
        <f>IFERROR(__xludf.DUMMYFUNCTION("""COMPUTED_VALUE"""),"orderrrr")</f>
        <v>orderrrr</v>
      </c>
      <c r="L695" s="76"/>
      <c r="M695" s="20"/>
      <c r="N695" s="20"/>
      <c r="O695" s="20"/>
      <c r="P695" s="20"/>
    </row>
    <row r="696">
      <c r="A696" s="110">
        <f>IFERROR(__xludf.DUMMYFUNCTION("""COMPUTED_VALUE"""),46161.0)</f>
        <v>46161</v>
      </c>
      <c r="B696" s="110" t="str">
        <f>IFERROR(__xludf.DUMMYFUNCTION("""COMPUTED_VALUE"""),"2605D086")</f>
        <v>2605D086</v>
      </c>
      <c r="C696" s="49" t="str">
        <f>IFERROR(__xludf.DUMMYFUNCTION("""COMPUTED_VALUE"""),"Resto Pagu")</f>
        <v>Resto Pagu</v>
      </c>
      <c r="D696" s="102" t="str">
        <f>IFERROR(__xludf.DUMMYFUNCTION("""COMPUTED_VALUE"""),"085782082239")</f>
        <v>085782082239</v>
      </c>
      <c r="E696" s="25" t="str">
        <f>IFERROR(__xludf.DUMMYFUNCTION("""COMPUTED_VALUE"""),"Website")</f>
        <v>Website</v>
      </c>
      <c r="F696" s="25" t="str">
        <f>IFERROR(__xludf.DUMMYFUNCTION("""COMPUTED_VALUE"""),"Gagal")</f>
        <v>Gagal</v>
      </c>
      <c r="G696" s="25" t="str">
        <f>IFERROR(__xludf.DUMMYFUNCTION("""COMPUTED_VALUE"""),"OT Ijen")</f>
        <v>OT Ijen</v>
      </c>
      <c r="H696" s="78">
        <f>IFERROR(__xludf.DUMMYFUNCTION("""COMPUTED_VALUE"""),46162.0)</f>
        <v>46162</v>
      </c>
      <c r="I696" s="89">
        <f>IFERROR(__xludf.DUMMYFUNCTION("""COMPUTED_VALUE"""),3.0)</f>
        <v>3</v>
      </c>
      <c r="J696" s="96"/>
      <c r="K696" s="36" t="str">
        <f>IFERROR(__xludf.DUMMYFUNCTION("""COMPUTED_VALUE"""),"tidak mau kalo tidak ada blue fire, jadinya ke bromo")</f>
        <v>tidak mau kalo tidak ada blue fire, jadinya ke bromo</v>
      </c>
      <c r="L696" s="49"/>
      <c r="M696" s="20"/>
      <c r="N696" s="20"/>
      <c r="O696" s="20"/>
      <c r="P696" s="20"/>
    </row>
    <row r="697">
      <c r="A697" s="97">
        <f>IFERROR(__xludf.DUMMYFUNCTION("""COMPUTED_VALUE"""),46162.0)</f>
        <v>46162</v>
      </c>
      <c r="B697" s="97" t="str">
        <f>IFERROR(__xludf.DUMMYFUNCTION("""COMPUTED_VALUE"""),"2605D087")</f>
        <v>2605D087</v>
      </c>
      <c r="C697" s="76" t="str">
        <f>IFERROR(__xludf.DUMMYFUNCTION("""COMPUTED_VALUE"""),"Monika")</f>
        <v>Monika</v>
      </c>
      <c r="D697" s="99" t="str">
        <f>IFERROR(__xludf.DUMMYFUNCTION("""COMPUTED_VALUE"""),"087777222254")</f>
        <v>087777222254</v>
      </c>
      <c r="E697" s="25" t="str">
        <f>IFERROR(__xludf.DUMMYFUNCTION("""COMPUTED_VALUE"""),"Instagram")</f>
        <v>Instagram</v>
      </c>
      <c r="F697" s="25" t="str">
        <f>IFERROR(__xludf.DUMMYFUNCTION("""COMPUTED_VALUE"""),"Leads Baru")</f>
        <v>Leads Baru</v>
      </c>
      <c r="G697" s="25" t="str">
        <f>IFERROR(__xludf.DUMMYFUNCTION("""COMPUTED_VALUE"""),"4h3m")</f>
        <v>4h3m</v>
      </c>
      <c r="H697" s="139"/>
      <c r="I697" s="17">
        <f>IFERROR(__xludf.DUMMYFUNCTION("""COMPUTED_VALUE"""),20.0)</f>
        <v>20</v>
      </c>
      <c r="J697" s="93"/>
      <c r="K697" s="46" t="str">
        <f>IFERROR(__xludf.DUMMYFUNCTION("""COMPUTED_VALUE"""),"minta ganti 3h2m")</f>
        <v>minta ganti 3h2m</v>
      </c>
      <c r="L697" s="76"/>
      <c r="M697" s="20"/>
      <c r="N697" s="20"/>
      <c r="O697" s="20"/>
      <c r="P697" s="20"/>
    </row>
    <row r="698">
      <c r="A698" s="110">
        <f>IFERROR(__xludf.DUMMYFUNCTION("""COMPUTED_VALUE"""),46162.0)</f>
        <v>46162</v>
      </c>
      <c r="B698" s="110" t="str">
        <f>IFERROR(__xludf.DUMMYFUNCTION("""COMPUTED_VALUE"""),"2605D088")</f>
        <v>2605D088</v>
      </c>
      <c r="C698" s="76" t="str">
        <f>IFERROR(__xludf.DUMMYFUNCTION("""COMPUTED_VALUE"""),"No Name MT")</f>
        <v>No Name MT</v>
      </c>
      <c r="D698" s="99" t="str">
        <f>IFERROR(__xludf.DUMMYFUNCTION("""COMPUTED_VALUE"""),"087676059074")</f>
        <v>087676059074</v>
      </c>
      <c r="E698" s="25" t="str">
        <f>IFERROR(__xludf.DUMMYFUNCTION("""COMPUTED_VALUE"""),"Instagram")</f>
        <v>Instagram</v>
      </c>
      <c r="F698" s="25" t="str">
        <f>IFERROR(__xludf.DUMMYFUNCTION("""COMPUTED_VALUE"""),"Gagal")</f>
        <v>Gagal</v>
      </c>
      <c r="G698" s="25" t="str">
        <f>IFERROR(__xludf.DUMMYFUNCTION("""COMPUTED_VALUE"""),"Trip MT")</f>
        <v>Trip MT</v>
      </c>
      <c r="H698" s="92"/>
      <c r="I698" s="80">
        <f>IFERROR(__xludf.DUMMYFUNCTION("""COMPUTED_VALUE"""),2.0)</f>
        <v>2</v>
      </c>
      <c r="J698" s="96"/>
      <c r="K698" s="30" t="str">
        <f>IFERROR(__xludf.DUMMYFUNCTION("""COMPUTED_VALUE"""),"belum balas lagi")</f>
        <v>belum balas lagi</v>
      </c>
      <c r="L698" s="23"/>
      <c r="M698" s="20"/>
      <c r="N698" s="20"/>
      <c r="O698" s="20"/>
      <c r="P698" s="20"/>
    </row>
    <row r="699">
      <c r="A699" s="97">
        <f>IFERROR(__xludf.DUMMYFUNCTION("""COMPUTED_VALUE"""),46162.0)</f>
        <v>46162</v>
      </c>
      <c r="B699" s="97" t="str">
        <f>IFERROR(__xludf.DUMMYFUNCTION("""COMPUTED_VALUE"""),"2605D089")</f>
        <v>2605D089</v>
      </c>
      <c r="C699" s="76" t="str">
        <f>IFERROR(__xludf.DUMMYFUNCTION("""COMPUTED_VALUE"""),"Aya")</f>
        <v>Aya</v>
      </c>
      <c r="D699" s="99" t="str">
        <f>IFERROR(__xludf.DUMMYFUNCTION("""COMPUTED_VALUE"""),"085725110310")</f>
        <v>085725110310</v>
      </c>
      <c r="E699" s="25" t="str">
        <f>IFERROR(__xludf.DUMMYFUNCTION("""COMPUTED_VALUE"""),"Instagram")</f>
        <v>Instagram</v>
      </c>
      <c r="F699" s="25" t="str">
        <f>IFERROR(__xludf.DUMMYFUNCTION("""COMPUTED_VALUE"""),"Gagal")</f>
        <v>Gagal</v>
      </c>
      <c r="G699" s="25" t="str">
        <f>IFERROR(__xludf.DUMMYFUNCTION("""COMPUTED_VALUE"""),"OT 3H2M")</f>
        <v>OT 3H2M</v>
      </c>
      <c r="H699" s="92"/>
      <c r="I699" s="80">
        <f>IFERROR(__xludf.DUMMYFUNCTION("""COMPUTED_VALUE"""),1.0)</f>
        <v>1</v>
      </c>
      <c r="J699" s="93"/>
      <c r="K699" s="19" t="str">
        <f>IFERROR(__xludf.DUMMYFUNCTION("""COMPUTED_VALUE"""),"fullbooked")</f>
        <v>fullbooked</v>
      </c>
      <c r="L699" s="76"/>
      <c r="M699" s="20"/>
      <c r="N699" s="20"/>
      <c r="O699" s="20"/>
      <c r="P699" s="20"/>
    </row>
    <row r="700">
      <c r="A700" s="110">
        <f>IFERROR(__xludf.DUMMYFUNCTION("""COMPUTED_VALUE"""),46162.0)</f>
        <v>46162</v>
      </c>
      <c r="B700" s="110" t="str">
        <f>IFERROR(__xludf.DUMMYFUNCTION("""COMPUTED_VALUE"""),"2605D090")</f>
        <v>2605D090</v>
      </c>
      <c r="C700" s="49" t="str">
        <f>IFERROR(__xludf.DUMMYFUNCTION("""COMPUTED_VALUE"""),"May")</f>
        <v>May</v>
      </c>
      <c r="D700" s="102" t="str">
        <f>IFERROR(__xludf.DUMMYFUNCTION("""COMPUTED_VALUE"""),"08176396486")</f>
        <v>08176396486</v>
      </c>
      <c r="E700" s="25" t="str">
        <f>IFERROR(__xludf.DUMMYFUNCTION("""COMPUTED_VALUE"""),"Website")</f>
        <v>Website</v>
      </c>
      <c r="F700" s="25" t="str">
        <f>IFERROR(__xludf.DUMMYFUNCTION("""COMPUTED_VALUE"""),"Leads Baru")</f>
        <v>Leads Baru</v>
      </c>
      <c r="G700" s="25" t="str">
        <f>IFERROR(__xludf.DUMMYFUNCTION("""COMPUTED_VALUE"""),"OT 3H2M")</f>
        <v>OT 3H2M</v>
      </c>
      <c r="H700" s="26"/>
      <c r="I700" s="27">
        <f>IFERROR(__xludf.DUMMYFUNCTION("""COMPUTED_VALUE"""),1.0)</f>
        <v>1</v>
      </c>
      <c r="J700" s="33"/>
      <c r="K700" s="30" t="str">
        <f>IFERROR(__xludf.DUMMYFUNCTION("""COMPUTED_VALUE"""),"nunggu pendaftar lain, FU 5 Juli")</f>
        <v>nunggu pendaftar lain, FU 5 Juli</v>
      </c>
      <c r="L700" s="49"/>
      <c r="M700" s="20"/>
      <c r="N700" s="20"/>
      <c r="O700" s="20"/>
      <c r="P700" s="20"/>
    </row>
    <row r="701">
      <c r="A701" s="97">
        <f>IFERROR(__xludf.DUMMYFUNCTION("""COMPUTED_VALUE"""),46162.0)</f>
        <v>46162</v>
      </c>
      <c r="B701" s="97" t="str">
        <f>IFERROR(__xludf.DUMMYFUNCTION("""COMPUTED_VALUE"""),"2605D091")</f>
        <v>2605D091</v>
      </c>
      <c r="C701" s="76" t="str">
        <f>IFERROR(__xludf.DUMMYFUNCTION("""COMPUTED_VALUE"""),"Anne Pesik")</f>
        <v>Anne Pesik</v>
      </c>
      <c r="D701" s="99" t="str">
        <f>IFERROR(__xludf.DUMMYFUNCTION("""COMPUTED_VALUE"""),"081280839119")</f>
        <v>081280839119</v>
      </c>
      <c r="E701" s="25" t="str">
        <f>IFERROR(__xludf.DUMMYFUNCTION("""COMPUTED_VALUE"""),"Website")</f>
        <v>Website</v>
      </c>
      <c r="F701" s="25" t="str">
        <f>IFERROR(__xludf.DUMMYFUNCTION("""COMPUTED_VALUE"""),"Leads Baru")</f>
        <v>Leads Baru</v>
      </c>
      <c r="G701" s="25" t="str">
        <f>IFERROR(__xludf.DUMMYFUNCTION("""COMPUTED_VALUE"""),"OT 3H2M")</f>
        <v>OT 3H2M</v>
      </c>
      <c r="H701" s="16">
        <f>IFERROR(__xludf.DUMMYFUNCTION("""COMPUTED_VALUE"""),46199.0)</f>
        <v>46199</v>
      </c>
      <c r="I701" s="17">
        <f>IFERROR(__xludf.DUMMYFUNCTION("""COMPUTED_VALUE"""),8.0)</f>
        <v>8</v>
      </c>
      <c r="J701" s="54"/>
      <c r="K701" s="46" t="str">
        <f>IFERROR(__xludf.DUMMYFUNCTION("""COMPUTED_VALUE"""),"gagalll, menghubungi admin 2")</f>
        <v>gagalll, menghubungi admin 2</v>
      </c>
      <c r="L701" s="76"/>
      <c r="M701" s="20"/>
      <c r="N701" s="20"/>
      <c r="O701" s="20"/>
      <c r="P701" s="20"/>
    </row>
    <row r="702">
      <c r="A702" s="110">
        <f>IFERROR(__xludf.DUMMYFUNCTION("""COMPUTED_VALUE"""),46162.0)</f>
        <v>46162</v>
      </c>
      <c r="B702" s="110" t="str">
        <f>IFERROR(__xludf.DUMMYFUNCTION("""COMPUTED_VALUE"""),"2605D092")</f>
        <v>2605D092</v>
      </c>
      <c r="C702" s="49" t="str">
        <f>IFERROR(__xludf.DUMMYFUNCTION("""COMPUTED_VALUE"""),"Tia  ")</f>
        <v>Tia  </v>
      </c>
      <c r="D702" s="102" t="str">
        <f>IFERROR(__xludf.DUMMYFUNCTION("""COMPUTED_VALUE"""),"085648197249")</f>
        <v>085648197249</v>
      </c>
      <c r="E702" s="25" t="str">
        <f>IFERROR(__xludf.DUMMYFUNCTION("""COMPUTED_VALUE"""),"Instagram")</f>
        <v>Instagram</v>
      </c>
      <c r="F702" s="25" t="str">
        <f>IFERROR(__xludf.DUMMYFUNCTION("""COMPUTED_VALUE"""),"Closing")</f>
        <v>Closing</v>
      </c>
      <c r="G702" s="25" t="str">
        <f>IFERROR(__xludf.DUMMYFUNCTION("""COMPUTED_VALUE"""),"OT Kawah Ijen")</f>
        <v>OT Kawah Ijen</v>
      </c>
      <c r="H702" s="78">
        <f>IFERROR(__xludf.DUMMYFUNCTION("""COMPUTED_VALUE"""),46176.0)</f>
        <v>46176</v>
      </c>
      <c r="I702" s="27">
        <f>IFERROR(__xludf.DUMMYFUNCTION("""COMPUTED_VALUE"""),3.0)</f>
        <v>3</v>
      </c>
      <c r="J702" s="96">
        <f>IFERROR(__xludf.DUMMYFUNCTION("""COMPUTED_VALUE"""),750000.0)</f>
        <v>750000</v>
      </c>
      <c r="K702" s="30" t="str">
        <f>IFERROR(__xludf.DUMMYFUNCTION("""COMPUTED_VALUE"""),"orrderrr")</f>
        <v>orrderrr</v>
      </c>
      <c r="L702" s="49"/>
      <c r="M702" s="20"/>
      <c r="N702" s="20"/>
      <c r="O702" s="20"/>
      <c r="P702" s="20"/>
    </row>
    <row r="703">
      <c r="A703" s="97">
        <f>IFERROR(__xludf.DUMMYFUNCTION("""COMPUTED_VALUE"""),46162.0)</f>
        <v>46162</v>
      </c>
      <c r="B703" s="97" t="str">
        <f>IFERROR(__xludf.DUMMYFUNCTION("""COMPUTED_VALUE"""),"2605D093")</f>
        <v>2605D093</v>
      </c>
      <c r="C703" s="76" t="str">
        <f>IFERROR(__xludf.DUMMYFUNCTION("""COMPUTED_VALUE"""),"Poppy Lestari")</f>
        <v>Poppy Lestari</v>
      </c>
      <c r="D703" s="99" t="str">
        <f>IFERROR(__xludf.DUMMYFUNCTION("""COMPUTED_VALUE"""),"08192656688")</f>
        <v>08192656688</v>
      </c>
      <c r="E703" s="25" t="str">
        <f>IFERROR(__xludf.DUMMYFUNCTION("""COMPUTED_VALUE"""),"Instagram")</f>
        <v>Instagram</v>
      </c>
      <c r="F703" s="25" t="str">
        <f>IFERROR(__xludf.DUMMYFUNCTION("""COMPUTED_VALUE"""),"Leads Baru")</f>
        <v>Leads Baru</v>
      </c>
      <c r="G703" s="25" t="str">
        <f>IFERROR(__xludf.DUMMYFUNCTION("""COMPUTED_VALUE"""),"2h1m")</f>
        <v>2h1m</v>
      </c>
      <c r="H703" s="16"/>
      <c r="I703" s="17">
        <f>IFERROR(__xludf.DUMMYFUNCTION("""COMPUTED_VALUE"""),6.0)</f>
        <v>6</v>
      </c>
      <c r="J703" s="54"/>
      <c r="K703" s="46" t="str">
        <f>IFERROR(__xludf.DUMMYFUNCTION("""COMPUTED_VALUE"""),"buat penawaran")</f>
        <v>buat penawaran</v>
      </c>
      <c r="L703" s="76"/>
      <c r="M703" s="20"/>
      <c r="N703" s="20"/>
      <c r="O703" s="20"/>
      <c r="P703" s="20"/>
    </row>
    <row r="704">
      <c r="A704" s="110">
        <f>IFERROR(__xludf.DUMMYFUNCTION("""COMPUTED_VALUE"""),46163.0)</f>
        <v>46163</v>
      </c>
      <c r="B704" s="110" t="str">
        <f>IFERROR(__xludf.DUMMYFUNCTION("""COMPUTED_VALUE"""),"2605D094")</f>
        <v>2605D094</v>
      </c>
      <c r="C704" s="49" t="str">
        <f>IFERROR(__xludf.DUMMYFUNCTION("""COMPUTED_VALUE"""),"Ricko Hanggoro")</f>
        <v>Ricko Hanggoro</v>
      </c>
      <c r="D704" s="102" t="str">
        <f>IFERROR(__xludf.DUMMYFUNCTION("""COMPUTED_VALUE"""),"61426419450")</f>
        <v>61426419450</v>
      </c>
      <c r="E704" s="25" t="str">
        <f>IFERROR(__xludf.DUMMYFUNCTION("""COMPUTED_VALUE"""),"Instagram")</f>
        <v>Instagram</v>
      </c>
      <c r="F704" s="25" t="str">
        <f>IFERROR(__xludf.DUMMYFUNCTION("""COMPUTED_VALUE"""),"Gagal")</f>
        <v>Gagal</v>
      </c>
      <c r="G704" s="25" t="str">
        <f>IFERROR(__xludf.DUMMYFUNCTION("""COMPUTED_VALUE"""),"OT Ijen")</f>
        <v>OT Ijen</v>
      </c>
      <c r="H704" s="78">
        <f>IFERROR(__xludf.DUMMYFUNCTION("""COMPUTED_VALUE"""),46184.0)</f>
        <v>46184</v>
      </c>
      <c r="I704" s="27">
        <f>IFERROR(__xludf.DUMMYFUNCTION("""COMPUTED_VALUE"""),2.0)</f>
        <v>2</v>
      </c>
      <c r="J704" s="33"/>
      <c r="K704" s="30" t="str">
        <f>IFERROR(__xludf.DUMMYFUNCTION("""COMPUTED_VALUE"""),"FU 1 Juni")</f>
        <v>FU 1 Juni</v>
      </c>
      <c r="L704" s="49"/>
      <c r="M704" s="20"/>
      <c r="N704" s="20"/>
      <c r="O704" s="20"/>
      <c r="P704" s="20"/>
    </row>
    <row r="705">
      <c r="A705" s="97">
        <f>IFERROR(__xludf.DUMMYFUNCTION("""COMPUTED_VALUE"""),38858.0)</f>
        <v>38858</v>
      </c>
      <c r="B705" s="97" t="str">
        <f>IFERROR(__xludf.DUMMYFUNCTION("""COMPUTED_VALUE"""),"2605D095")</f>
        <v>2605D095</v>
      </c>
      <c r="C705" s="76" t="str">
        <f>IFERROR(__xludf.DUMMYFUNCTION("""COMPUTED_VALUE"""),"Vika")</f>
        <v>Vika</v>
      </c>
      <c r="D705" s="99" t="str">
        <f>IFERROR(__xludf.DUMMYFUNCTION("""COMPUTED_VALUE"""),"087722792004")</f>
        <v>087722792004</v>
      </c>
      <c r="E705" s="25" t="str">
        <f>IFERROR(__xludf.DUMMYFUNCTION("""COMPUTED_VALUE"""),"Instagram")</f>
        <v>Instagram</v>
      </c>
      <c r="F705" s="25" t="str">
        <f>IFERROR(__xludf.DUMMYFUNCTION("""COMPUTED_VALUE"""),"Gagal")</f>
        <v>Gagal</v>
      </c>
      <c r="G705" s="25" t="str">
        <f>IFERROR(__xludf.DUMMYFUNCTION("""COMPUTED_VALUE"""),"3H2M")</f>
        <v>3H2M</v>
      </c>
      <c r="H705" s="92">
        <f>IFERROR(__xludf.DUMMYFUNCTION("""COMPUTED_VALUE"""),46186.0)</f>
        <v>46186</v>
      </c>
      <c r="I705" s="80">
        <f>IFERROR(__xludf.DUMMYFUNCTION("""COMPUTED_VALUE"""),25.0)</f>
        <v>25</v>
      </c>
      <c r="J705" s="93"/>
      <c r="K705" s="46" t="str">
        <f>IFERROR(__xludf.DUMMYFUNCTION("""COMPUTED_VALUE"""),"kirim penawaran, FU 1 Juni ")</f>
        <v>kirim penawaran, FU 1 Juni </v>
      </c>
      <c r="L705" s="76"/>
      <c r="M705" s="20"/>
      <c r="N705" s="20"/>
      <c r="O705" s="20"/>
      <c r="P705" s="20"/>
    </row>
    <row r="706">
      <c r="A706" s="110">
        <f>IFERROR(__xludf.DUMMYFUNCTION("""COMPUTED_VALUE"""),46163.0)</f>
        <v>46163</v>
      </c>
      <c r="B706" s="110" t="str">
        <f>IFERROR(__xludf.DUMMYFUNCTION("""COMPUTED_VALUE"""),"2605D096")</f>
        <v>2605D096</v>
      </c>
      <c r="C706" s="49" t="str">
        <f>IFERROR(__xludf.DUMMYFUNCTION("""COMPUTED_VALUE"""),"Gabby Demana")</f>
        <v>Gabby Demana</v>
      </c>
      <c r="D706" s="102" t="str">
        <f>IFERROR(__xludf.DUMMYFUNCTION("""COMPUTED_VALUE"""),"082188743113")</f>
        <v>082188743113</v>
      </c>
      <c r="E706" s="25" t="str">
        <f>IFERROR(__xludf.DUMMYFUNCTION("""COMPUTED_VALUE"""),"Website")</f>
        <v>Website</v>
      </c>
      <c r="F706" s="25" t="str">
        <f>IFERROR(__xludf.DUMMYFUNCTION("""COMPUTED_VALUE"""),"Closing")</f>
        <v>Closing</v>
      </c>
      <c r="G706" s="25" t="str">
        <f>IFERROR(__xludf.DUMMYFUNCTION("""COMPUTED_VALUE"""),"2H1M opsi C")</f>
        <v>2H1M opsi C</v>
      </c>
      <c r="H706" s="78">
        <f>IFERROR(__xludf.DUMMYFUNCTION("""COMPUTED_VALUE"""),46172.0)</f>
        <v>46172</v>
      </c>
      <c r="I706" s="89">
        <f>IFERROR(__xludf.DUMMYFUNCTION("""COMPUTED_VALUE"""),2.0)</f>
        <v>2</v>
      </c>
      <c r="J706" s="96">
        <f>IFERROR(__xludf.DUMMYFUNCTION("""COMPUTED_VALUE"""),3600000.0)</f>
        <v>3600000</v>
      </c>
      <c r="K706" s="30" t="str">
        <f>IFERROR(__xludf.DUMMYFUNCTION("""COMPUTED_VALUE"""),"orderrrrr")</f>
        <v>orderrrrr</v>
      </c>
      <c r="L706" s="49"/>
      <c r="M706" s="20"/>
      <c r="N706" s="20"/>
      <c r="O706" s="20"/>
      <c r="P706" s="20"/>
    </row>
    <row r="707">
      <c r="A707" s="97">
        <f>IFERROR(__xludf.DUMMYFUNCTION("""COMPUTED_VALUE"""),46163.0)</f>
        <v>46163</v>
      </c>
      <c r="B707" s="97" t="str">
        <f>IFERROR(__xludf.DUMMYFUNCTION("""COMPUTED_VALUE"""),"2605D097")</f>
        <v>2605D097</v>
      </c>
      <c r="C707" s="76" t="str">
        <f>IFERROR(__xludf.DUMMYFUNCTION("""COMPUTED_VALUE"""),"Quinn")</f>
        <v>Quinn</v>
      </c>
      <c r="D707" s="99" t="str">
        <f>IFERROR(__xludf.DUMMYFUNCTION("""COMPUTED_VALUE"""),"082350402065")</f>
        <v>082350402065</v>
      </c>
      <c r="E707" s="25" t="str">
        <f>IFERROR(__xludf.DUMMYFUNCTION("""COMPUTED_VALUE"""),"Instagram")</f>
        <v>Instagram</v>
      </c>
      <c r="F707" s="25" t="str">
        <f>IFERROR(__xludf.DUMMYFUNCTION("""COMPUTED_VALUE"""),"Leads Baru")</f>
        <v>Leads Baru</v>
      </c>
      <c r="G707" s="25" t="str">
        <f>IFERROR(__xludf.DUMMYFUNCTION("""COMPUTED_VALUE"""),"3h2m Opsi A")</f>
        <v>3h2m Opsi A</v>
      </c>
      <c r="H707" s="16">
        <f>IFERROR(__xludf.DUMMYFUNCTION("""COMPUTED_VALUE"""),46195.0)</f>
        <v>46195</v>
      </c>
      <c r="I707" s="17">
        <f>IFERROR(__xludf.DUMMYFUNCTION("""COMPUTED_VALUE"""),4.0)</f>
        <v>4</v>
      </c>
      <c r="J707" s="54"/>
      <c r="K707" s="46" t="str">
        <f>IFERROR(__xludf.DUMMYFUNCTION("""COMPUTED_VALUE"""),"belum balas lagi, FU 6 Juni")</f>
        <v>belum balas lagi, FU 6 Juni</v>
      </c>
      <c r="L707" s="76"/>
      <c r="M707" s="20"/>
      <c r="N707" s="20"/>
      <c r="O707" s="20"/>
      <c r="P707" s="20"/>
    </row>
    <row r="708">
      <c r="A708" s="110">
        <f>IFERROR(__xludf.DUMMYFUNCTION("""COMPUTED_VALUE"""),46163.0)</f>
        <v>46163</v>
      </c>
      <c r="B708" s="110" t="str">
        <f>IFERROR(__xludf.DUMMYFUNCTION("""COMPUTED_VALUE"""),"2605D098")</f>
        <v>2605D098</v>
      </c>
      <c r="C708" s="49" t="str">
        <f>IFERROR(__xludf.DUMMYFUNCTION("""COMPUTED_VALUE"""),"Andri")</f>
        <v>Andri</v>
      </c>
      <c r="D708" s="102" t="str">
        <f>IFERROR(__xludf.DUMMYFUNCTION("""COMPUTED_VALUE"""),"081320330544")</f>
        <v>081320330544</v>
      </c>
      <c r="E708" s="25" t="str">
        <f>IFERROR(__xludf.DUMMYFUNCTION("""COMPUTED_VALUE"""),"Website")</f>
        <v>Website</v>
      </c>
      <c r="F708" s="25" t="str">
        <f>IFERROR(__xludf.DUMMYFUNCTION("""COMPUTED_VALUE"""),"Closing")</f>
        <v>Closing</v>
      </c>
      <c r="G708" s="25" t="str">
        <f>IFERROR(__xludf.DUMMYFUNCTION("""COMPUTED_VALUE"""),"OT Ijen, Baluran")</f>
        <v>OT Ijen, Baluran</v>
      </c>
      <c r="H708" s="78">
        <f>IFERROR(__xludf.DUMMYFUNCTION("""COMPUTED_VALUE"""),46170.0)</f>
        <v>46170</v>
      </c>
      <c r="I708" s="89">
        <f>IFERROR(__xludf.DUMMYFUNCTION("""COMPUTED_VALUE"""),2.0)</f>
        <v>2</v>
      </c>
      <c r="J708" s="96">
        <f>IFERROR(__xludf.DUMMYFUNCTION("""COMPUTED_VALUE"""),1000000.0)</f>
        <v>1000000</v>
      </c>
      <c r="K708" s="30" t="str">
        <f>IFERROR(__xludf.DUMMYFUNCTION("""COMPUTED_VALUE"""),"ORDERRR")</f>
        <v>ORDERRR</v>
      </c>
      <c r="L708" s="49"/>
      <c r="M708" s="20"/>
      <c r="N708" s="20"/>
      <c r="O708" s="20"/>
      <c r="P708" s="20"/>
    </row>
    <row r="709">
      <c r="A709" s="97">
        <f>IFERROR(__xludf.DUMMYFUNCTION("""COMPUTED_VALUE"""),46164.0)</f>
        <v>46164</v>
      </c>
      <c r="B709" s="97" t="str">
        <f>IFERROR(__xludf.DUMMYFUNCTION("""COMPUTED_VALUE"""),"2605D099")</f>
        <v>2605D099</v>
      </c>
      <c r="C709" s="76" t="str">
        <f>IFERROR(__xludf.DUMMYFUNCTION("""COMPUTED_VALUE"""),"Vanessa Claudia")</f>
        <v>Vanessa Claudia</v>
      </c>
      <c r="D709" s="99" t="str">
        <f>IFERROR(__xludf.DUMMYFUNCTION("""COMPUTED_VALUE"""),"085156819256")</f>
        <v>085156819256</v>
      </c>
      <c r="E709" s="25" t="str">
        <f>IFERROR(__xludf.DUMMYFUNCTION("""COMPUTED_VALUE"""),"Instagram")</f>
        <v>Instagram</v>
      </c>
      <c r="F709" s="25" t="str">
        <f>IFERROR(__xludf.DUMMYFUNCTION("""COMPUTED_VALUE"""),"Leads Baru")</f>
        <v>Leads Baru</v>
      </c>
      <c r="G709" s="25" t="str">
        <f>IFERROR(__xludf.DUMMYFUNCTION("""COMPUTED_VALUE"""),"3h2m Opsi A")</f>
        <v>3h2m Opsi A</v>
      </c>
      <c r="H709" s="92"/>
      <c r="I709" s="80"/>
      <c r="J709" s="93"/>
      <c r="K709" s="46" t="str">
        <f>IFERROR(__xludf.DUMMYFUNCTION("""COMPUTED_VALUE"""),"belum balas lagi, FU 1 juni")</f>
        <v>belum balas lagi, FU 1 juni</v>
      </c>
      <c r="L709" s="76"/>
      <c r="M709" s="20"/>
      <c r="N709" s="20"/>
      <c r="O709" s="20"/>
      <c r="P709" s="20"/>
    </row>
    <row r="710">
      <c r="A710" s="110">
        <f>IFERROR(__xludf.DUMMYFUNCTION("""COMPUTED_VALUE"""),46163.0)</f>
        <v>46163</v>
      </c>
      <c r="B710" s="110" t="str">
        <f>IFERROR(__xludf.DUMMYFUNCTION("""COMPUTED_VALUE"""),"2605D100 ")</f>
        <v>2605D100 </v>
      </c>
      <c r="C710" s="49" t="str">
        <f>IFERROR(__xludf.DUMMYFUNCTION("""COMPUTED_VALUE"""),"Natasha")</f>
        <v>Natasha</v>
      </c>
      <c r="D710" s="102" t="str">
        <f>IFERROR(__xludf.DUMMYFUNCTION("""COMPUTED_VALUE"""),"08990176964")</f>
        <v>08990176964</v>
      </c>
      <c r="E710" s="25" t="str">
        <f>IFERROR(__xludf.DUMMYFUNCTION("""COMPUTED_VALUE"""),"Instagram")</f>
        <v>Instagram</v>
      </c>
      <c r="F710" s="25" t="str">
        <f>IFERROR(__xludf.DUMMYFUNCTION("""COMPUTED_VALUE"""),"Gagal")</f>
        <v>Gagal</v>
      </c>
      <c r="G710" s="25" t="str">
        <f>IFERROR(__xludf.DUMMYFUNCTION("""COMPUTED_VALUE"""),"trip MT")</f>
        <v>trip MT</v>
      </c>
      <c r="H710" s="78">
        <f>IFERROR(__xludf.DUMMYFUNCTION("""COMPUTED_VALUE"""),46171.0)</f>
        <v>46171</v>
      </c>
      <c r="I710" s="27">
        <f>IFERROR(__xludf.DUMMYFUNCTION("""COMPUTED_VALUE"""),2.0)</f>
        <v>2</v>
      </c>
      <c r="J710" s="96"/>
      <c r="K710" s="30" t="str">
        <f>IFERROR(__xludf.DUMMYFUNCTION("""COMPUTED_VALUE"""),"fullbooked")</f>
        <v>fullbooked</v>
      </c>
      <c r="L710" s="49"/>
      <c r="M710" s="20"/>
      <c r="N710" s="20"/>
      <c r="O710" s="20"/>
      <c r="P710" s="20"/>
    </row>
    <row r="711">
      <c r="A711" s="97">
        <f>IFERROR(__xludf.DUMMYFUNCTION("""COMPUTED_VALUE"""),46164.0)</f>
        <v>46164</v>
      </c>
      <c r="B711" s="97" t="str">
        <f>IFERROR(__xludf.DUMMYFUNCTION("""COMPUTED_VALUE"""),"2605D101")</f>
        <v>2605D101</v>
      </c>
      <c r="C711" s="76" t="str">
        <f>IFERROR(__xludf.DUMMYFUNCTION("""COMPUTED_VALUE"""),"Exhie")</f>
        <v>Exhie</v>
      </c>
      <c r="D711" s="99" t="str">
        <f>IFERROR(__xludf.DUMMYFUNCTION("""COMPUTED_VALUE"""),"608209897")</f>
        <v>608209897</v>
      </c>
      <c r="E711" s="25" t="str">
        <f>IFERROR(__xludf.DUMMYFUNCTION("""COMPUTED_VALUE"""),"Tiktok")</f>
        <v>Tiktok</v>
      </c>
      <c r="F711" s="25" t="str">
        <f>IFERROR(__xludf.DUMMYFUNCTION("""COMPUTED_VALUE"""),"Leads Baru")</f>
        <v>Leads Baru</v>
      </c>
      <c r="G711" s="25"/>
      <c r="H711" s="92"/>
      <c r="I711" s="80"/>
      <c r="J711" s="93"/>
      <c r="K711" s="46" t="str">
        <f>IFERROR(__xludf.DUMMYFUNCTION("""COMPUTED_VALUE"""),"masihh nyapa")</f>
        <v>masihh nyapa</v>
      </c>
      <c r="L711" s="76"/>
      <c r="M711" s="20"/>
      <c r="N711" s="20"/>
      <c r="O711" s="20"/>
      <c r="P711" s="20"/>
    </row>
    <row r="712">
      <c r="A712" s="110">
        <f>IFERROR(__xludf.DUMMYFUNCTION("""COMPUTED_VALUE"""),46164.0)</f>
        <v>46164</v>
      </c>
      <c r="B712" s="110" t="str">
        <f>IFERROR(__xludf.DUMMYFUNCTION("""COMPUTED_VALUE"""),"2605D102")</f>
        <v>2605D102</v>
      </c>
      <c r="C712" s="49" t="str">
        <f>IFERROR(__xludf.DUMMYFUNCTION("""COMPUTED_VALUE"""),"Sisca")</f>
        <v>Sisca</v>
      </c>
      <c r="D712" s="102" t="str">
        <f>IFERROR(__xludf.DUMMYFUNCTION("""COMPUTED_VALUE"""),"082213266871")</f>
        <v>082213266871</v>
      </c>
      <c r="E712" s="25" t="str">
        <f>IFERROR(__xludf.DUMMYFUNCTION("""COMPUTED_VALUE"""),"Website")</f>
        <v>Website</v>
      </c>
      <c r="F712" s="25" t="str">
        <f>IFERROR(__xludf.DUMMYFUNCTION("""COMPUTED_VALUE"""),"Leads Baru")</f>
        <v>Leads Baru</v>
      </c>
      <c r="G712" s="25" t="str">
        <f>IFERROR(__xludf.DUMMYFUNCTION("""COMPUTED_VALUE"""),"3H2M opsi A")</f>
        <v>3H2M opsi A</v>
      </c>
      <c r="H712" s="92"/>
      <c r="I712" s="80">
        <f>IFERROR(__xludf.DUMMYFUNCTION("""COMPUTED_VALUE"""),2.0)</f>
        <v>2</v>
      </c>
      <c r="J712" s="96"/>
      <c r="K712" s="30" t="str">
        <f>IFERROR(__xludf.DUMMYFUNCTION("""COMPUTED_VALUE"""),"FU 5 Juni")</f>
        <v>FU 5 Juni</v>
      </c>
      <c r="L712" s="23"/>
      <c r="M712" s="20"/>
      <c r="N712" s="20"/>
      <c r="O712" s="20"/>
      <c r="P712" s="20"/>
    </row>
    <row r="713">
      <c r="A713" s="97">
        <f>IFERROR(__xludf.DUMMYFUNCTION("""COMPUTED_VALUE"""),46164.0)</f>
        <v>46164</v>
      </c>
      <c r="B713" s="97" t="str">
        <f>IFERROR(__xludf.DUMMYFUNCTION("""COMPUTED_VALUE"""),"2605D103")</f>
        <v>2605D103</v>
      </c>
      <c r="C713" s="76" t="str">
        <f>IFERROR(__xludf.DUMMYFUNCTION("""COMPUTED_VALUE"""),"Tidak Dikenal")</f>
        <v>Tidak Dikenal</v>
      </c>
      <c r="D713" s="99" t="str">
        <f>IFERROR(__xludf.DUMMYFUNCTION("""COMPUTED_VALUE"""),"081337769288")</f>
        <v>081337769288</v>
      </c>
      <c r="E713" s="25" t="str">
        <f>IFERROR(__xludf.DUMMYFUNCTION("""COMPUTED_VALUE"""),"Website")</f>
        <v>Website</v>
      </c>
      <c r="F713" s="25" t="str">
        <f>IFERROR(__xludf.DUMMYFUNCTION("""COMPUTED_VALUE"""),"Leads Baru")</f>
        <v>Leads Baru</v>
      </c>
      <c r="G713" s="25" t="str">
        <f>IFERROR(__xludf.DUMMYFUNCTION("""COMPUTED_VALUE"""),"4h3m")</f>
        <v>4h3m</v>
      </c>
      <c r="H713" s="92"/>
      <c r="I713" s="80">
        <f>IFERROR(__xludf.DUMMYFUNCTION("""COMPUTED_VALUE"""),3.0)</f>
        <v>3</v>
      </c>
      <c r="J713" s="93"/>
      <c r="K713" s="46" t="str">
        <f>IFERROR(__xludf.DUMMYFUNCTION("""COMPUTED_VALUE"""),"FU 20 Juni")</f>
        <v>FU 20 Juni</v>
      </c>
      <c r="L713" s="76"/>
      <c r="M713" s="20"/>
      <c r="N713" s="20"/>
      <c r="O713" s="20"/>
      <c r="P713" s="20"/>
    </row>
    <row r="714">
      <c r="A714" s="110">
        <f>IFERROR(__xludf.DUMMYFUNCTION("""COMPUTED_VALUE"""),46164.0)</f>
        <v>46164</v>
      </c>
      <c r="B714" s="135" t="str">
        <f>IFERROR(__xludf.DUMMYFUNCTION("""COMPUTED_VALUE"""),"2605D104")</f>
        <v>2605D104</v>
      </c>
      <c r="C714" s="49" t="str">
        <f>IFERROR(__xludf.DUMMYFUNCTION("""COMPUTED_VALUE"""),"Hai")</f>
        <v>Hai</v>
      </c>
      <c r="D714" s="102" t="str">
        <f>IFERROR(__xludf.DUMMYFUNCTION("""COMPUTED_VALUE"""),"085122906880")</f>
        <v>085122906880</v>
      </c>
      <c r="E714" s="25" t="str">
        <f>IFERROR(__xludf.DUMMYFUNCTION("""COMPUTED_VALUE"""),"Website")</f>
        <v>Website</v>
      </c>
      <c r="F714" s="25" t="str">
        <f>IFERROR(__xludf.DUMMYFUNCTION("""COMPUTED_VALUE"""),"Leads Baru")</f>
        <v>Leads Baru</v>
      </c>
      <c r="G714" s="25" t="str">
        <f>IFERROR(__xludf.DUMMYFUNCTION("""COMPUTED_VALUE"""),"OT MT")</f>
        <v>OT MT</v>
      </c>
      <c r="H714" s="26">
        <f>IFERROR(__xludf.DUMMYFUNCTION("""COMPUTED_VALUE"""),46194.0)</f>
        <v>46194</v>
      </c>
      <c r="I714" s="27">
        <f>IFERROR(__xludf.DUMMYFUNCTION("""COMPUTED_VALUE"""),2.0)</f>
        <v>2</v>
      </c>
      <c r="J714" s="33"/>
      <c r="K714" s="30" t="str">
        <f>IFERROR(__xludf.DUMMYFUNCTION("""COMPUTED_VALUE"""),"FU 3 Juni")</f>
        <v>FU 3 Juni</v>
      </c>
      <c r="L714" s="49"/>
      <c r="M714" s="20"/>
      <c r="N714" s="20"/>
      <c r="O714" s="20"/>
      <c r="P714" s="20"/>
    </row>
    <row r="715">
      <c r="A715" s="97">
        <f>IFERROR(__xludf.DUMMYFUNCTION("""COMPUTED_VALUE"""),46164.0)</f>
        <v>46164</v>
      </c>
      <c r="B715" s="97" t="str">
        <f>IFERROR(__xludf.DUMMYFUNCTION("""COMPUTED_VALUE"""),"2605D105")</f>
        <v>2605D105</v>
      </c>
      <c r="C715" s="76" t="str">
        <f>IFERROR(__xludf.DUMMYFUNCTION("""COMPUTED_VALUE"""),"Adelia")</f>
        <v>Adelia</v>
      </c>
      <c r="D715" s="99" t="str">
        <f>IFERROR(__xludf.DUMMYFUNCTION("""COMPUTED_VALUE"""),"085179953048")</f>
        <v>085179953048</v>
      </c>
      <c r="E715" s="25" t="str">
        <f>IFERROR(__xludf.DUMMYFUNCTION("""COMPUTED_VALUE"""),"Instagram")</f>
        <v>Instagram</v>
      </c>
      <c r="F715" s="25" t="str">
        <f>IFERROR(__xludf.DUMMYFUNCTION("""COMPUTED_VALUE"""),"Gagal")</f>
        <v>Gagal</v>
      </c>
      <c r="G715" s="25" t="str">
        <f>IFERROR(__xludf.DUMMYFUNCTION("""COMPUTED_VALUE"""),"MT")</f>
        <v>MT</v>
      </c>
      <c r="H715" s="92">
        <f>IFERROR(__xludf.DUMMYFUNCTION("""COMPUTED_VALUE"""),46172.0)</f>
        <v>46172</v>
      </c>
      <c r="I715" s="80">
        <f>IFERROR(__xludf.DUMMYFUNCTION("""COMPUTED_VALUE"""),4.0)</f>
        <v>4</v>
      </c>
      <c r="J715" s="93"/>
      <c r="K715" s="46" t="str">
        <f>IFERROR(__xludf.DUMMYFUNCTION("""COMPUTED_VALUE"""),"fullbooked")</f>
        <v>fullbooked</v>
      </c>
      <c r="L715" s="10"/>
      <c r="M715" s="20"/>
      <c r="N715" s="20"/>
      <c r="O715" s="20"/>
      <c r="P715" s="20"/>
    </row>
    <row r="716">
      <c r="A716" s="110">
        <f>IFERROR(__xludf.DUMMYFUNCTION("""COMPUTED_VALUE"""),46165.0)</f>
        <v>46165</v>
      </c>
      <c r="B716" s="110" t="str">
        <f>IFERROR(__xludf.DUMMYFUNCTION("""COMPUTED_VALUE"""),"2605D106")</f>
        <v>2605D106</v>
      </c>
      <c r="C716" s="49" t="str">
        <f>IFERROR(__xludf.DUMMYFUNCTION("""COMPUTED_VALUE"""),"Chaidir Hasibuan")</f>
        <v>Chaidir Hasibuan</v>
      </c>
      <c r="D716" s="102" t="str">
        <f>IFERROR(__xludf.DUMMYFUNCTION("""COMPUTED_VALUE"""),"082185777874")</f>
        <v>082185777874</v>
      </c>
      <c r="E716" s="25" t="str">
        <f>IFERROR(__xludf.DUMMYFUNCTION("""COMPUTED_VALUE"""),"Website")</f>
        <v>Website</v>
      </c>
      <c r="F716" s="25" t="str">
        <f>IFERROR(__xludf.DUMMYFUNCTION("""COMPUTED_VALUE"""),"Closing")</f>
        <v>Closing</v>
      </c>
      <c r="G716" s="25" t="str">
        <f>IFERROR(__xludf.DUMMYFUNCTION("""COMPUTED_VALUE"""),"PT Djawatan Baluran")</f>
        <v>PT Djawatan Baluran</v>
      </c>
      <c r="H716" s="78">
        <f>IFERROR(__xludf.DUMMYFUNCTION("""COMPUTED_VALUE"""),46166.0)</f>
        <v>46166</v>
      </c>
      <c r="I716" s="89">
        <f>IFERROR(__xludf.DUMMYFUNCTION("""COMPUTED_VALUE"""),2.0)</f>
        <v>2</v>
      </c>
      <c r="J716" s="96">
        <f>IFERROR(__xludf.DUMMYFUNCTION("""COMPUTED_VALUE"""),1754000.0)</f>
        <v>1754000</v>
      </c>
      <c r="K716" s="30" t="str">
        <f>IFERROR(__xludf.DUMMYFUNCTION("""COMPUTED_VALUE"""),"orderrrrr")</f>
        <v>orderrrrr</v>
      </c>
      <c r="L716" s="49"/>
      <c r="M716" s="20"/>
      <c r="N716" s="20"/>
      <c r="O716" s="20"/>
      <c r="P716" s="20"/>
    </row>
    <row r="717">
      <c r="A717" s="97">
        <f>IFERROR(__xludf.DUMMYFUNCTION("""COMPUTED_VALUE"""),46165.0)</f>
        <v>46165</v>
      </c>
      <c r="B717" s="97" t="str">
        <f>IFERROR(__xludf.DUMMYFUNCTION("""COMPUTED_VALUE"""),"2605D107")</f>
        <v>2605D107</v>
      </c>
      <c r="C717" s="76" t="str">
        <f>IFERROR(__xludf.DUMMYFUNCTION("""COMPUTED_VALUE"""),"Irin")</f>
        <v>Irin</v>
      </c>
      <c r="D717" s="99" t="str">
        <f>IFERROR(__xludf.DUMMYFUNCTION("""COMPUTED_VALUE"""),"082114140111")</f>
        <v>082114140111</v>
      </c>
      <c r="E717" s="25" t="str">
        <f>IFERROR(__xludf.DUMMYFUNCTION("""COMPUTED_VALUE"""),"Website")</f>
        <v>Website</v>
      </c>
      <c r="F717" s="25" t="str">
        <f>IFERROR(__xludf.DUMMYFUNCTION("""COMPUTED_VALUE"""),"Leads Baru")</f>
        <v>Leads Baru</v>
      </c>
      <c r="G717" s="25"/>
      <c r="H717" s="92"/>
      <c r="I717" s="80"/>
      <c r="J717" s="54"/>
      <c r="K717" s="46" t="str">
        <f>IFERROR(__xludf.DUMMYFUNCTION("""COMPUTED_VALUE"""),"masihh nyapa")</f>
        <v>masihh nyapa</v>
      </c>
      <c r="L717" s="76"/>
      <c r="M717" s="20"/>
      <c r="N717" s="20"/>
      <c r="O717" s="20"/>
      <c r="P717" s="20"/>
    </row>
    <row r="718">
      <c r="A718" s="110">
        <f>IFERROR(__xludf.DUMMYFUNCTION("""COMPUTED_VALUE"""),46165.0)</f>
        <v>46165</v>
      </c>
      <c r="B718" s="110" t="str">
        <f>IFERROR(__xludf.DUMMYFUNCTION("""COMPUTED_VALUE"""),"2605D108")</f>
        <v>2605D108</v>
      </c>
      <c r="C718" s="49" t="str">
        <f>IFERROR(__xludf.DUMMYFUNCTION("""COMPUTED_VALUE"""),"Nindya ")</f>
        <v>Nindya </v>
      </c>
      <c r="D718" s="102" t="str">
        <f>IFERROR(__xludf.DUMMYFUNCTION("""COMPUTED_VALUE"""),"081284177651")</f>
        <v>081284177651</v>
      </c>
      <c r="E718" s="25" t="str">
        <f>IFERROR(__xludf.DUMMYFUNCTION("""COMPUTED_VALUE"""),"Website")</f>
        <v>Website</v>
      </c>
      <c r="F718" s="25" t="str">
        <f>IFERROR(__xludf.DUMMYFUNCTION("""COMPUTED_VALUE"""),"Leads Baru")</f>
        <v>Leads Baru</v>
      </c>
      <c r="G718" s="25" t="str">
        <f>IFERROR(__xludf.DUMMYFUNCTION("""COMPUTED_VALUE"""),"2H1M opsi B")</f>
        <v>2H1M opsi B</v>
      </c>
      <c r="H718" s="78">
        <f>IFERROR(__xludf.DUMMYFUNCTION("""COMPUTED_VALUE"""),46203.0)</f>
        <v>46203</v>
      </c>
      <c r="I718" s="89">
        <f>IFERROR(__xludf.DUMMYFUNCTION("""COMPUTED_VALUE"""),3.0)</f>
        <v>3</v>
      </c>
      <c r="J718" s="96"/>
      <c r="K718" s="30" t="str">
        <f>IFERROR(__xludf.DUMMYFUNCTION("""COMPUTED_VALUE"""),"FU 8 Juni")</f>
        <v>FU 8 Juni</v>
      </c>
      <c r="L718" s="49"/>
      <c r="M718" s="20"/>
      <c r="N718" s="20"/>
      <c r="O718" s="20"/>
      <c r="P718" s="20"/>
    </row>
    <row r="719">
      <c r="A719" s="97">
        <f>IFERROR(__xludf.DUMMYFUNCTION("""COMPUTED_VALUE"""),46165.0)</f>
        <v>46165</v>
      </c>
      <c r="B719" s="110" t="str">
        <f>IFERROR(__xludf.DUMMYFUNCTION("""COMPUTED_VALUE"""),"2605D109")</f>
        <v>2605D109</v>
      </c>
      <c r="C719" s="76" t="str">
        <f>IFERROR(__xludf.DUMMYFUNCTION("""COMPUTED_VALUE"""),"Cucu siti Hotijah")</f>
        <v>Cucu siti Hotijah</v>
      </c>
      <c r="D719" s="99" t="str">
        <f>IFERROR(__xludf.DUMMYFUNCTION("""COMPUTED_VALUE"""),"081214558682")</f>
        <v>081214558682</v>
      </c>
      <c r="E719" s="25" t="str">
        <f>IFERROR(__xludf.DUMMYFUNCTION("""COMPUTED_VALUE"""),"Website")</f>
        <v>Website</v>
      </c>
      <c r="F719" s="25" t="str">
        <f>IFERROR(__xludf.DUMMYFUNCTION("""COMPUTED_VALUE"""),"Leads Baru")</f>
        <v>Leads Baru</v>
      </c>
      <c r="G719" s="25" t="str">
        <f>IFERROR(__xludf.DUMMYFUNCTION("""COMPUTED_VALUE"""),"3H2M")</f>
        <v>3H2M</v>
      </c>
      <c r="H719" s="92"/>
      <c r="I719" s="80">
        <f>IFERROR(__xludf.DUMMYFUNCTION("""COMPUTED_VALUE"""),2.0)</f>
        <v>2</v>
      </c>
      <c r="J719" s="93"/>
      <c r="K719" s="46" t="str">
        <f>IFERROR(__xludf.DUMMYFUNCTION("""COMPUTED_VALUE"""),"FU mendekati bulan desember")</f>
        <v>FU mendekati bulan desember</v>
      </c>
      <c r="L719" s="76"/>
      <c r="M719" s="20"/>
      <c r="N719" s="20"/>
      <c r="O719" s="20"/>
      <c r="P719" s="20"/>
    </row>
    <row r="720">
      <c r="A720" s="110">
        <f>IFERROR(__xludf.DUMMYFUNCTION("""COMPUTED_VALUE"""),46165.0)</f>
        <v>46165</v>
      </c>
      <c r="B720" s="110" t="str">
        <f>IFERROR(__xludf.DUMMYFUNCTION("""COMPUTED_VALUE"""),"2605D110")</f>
        <v>2605D110</v>
      </c>
      <c r="C720" s="49" t="str">
        <f>IFERROR(__xludf.DUMMYFUNCTION("""COMPUTED_VALUE"""),"Dewi Alleta ")</f>
        <v>Dewi Alleta </v>
      </c>
      <c r="D720" s="102" t="str">
        <f>IFERROR(__xludf.DUMMYFUNCTION("""COMPUTED_VALUE"""),"082140514145")</f>
        <v>082140514145</v>
      </c>
      <c r="E720" s="25" t="str">
        <f>IFERROR(__xludf.DUMMYFUNCTION("""COMPUTED_VALUE"""),"Website")</f>
        <v>Website</v>
      </c>
      <c r="F720" s="25" t="str">
        <f>IFERROR(__xludf.DUMMYFUNCTION("""COMPUTED_VALUE"""),"Gagal")</f>
        <v>Gagal</v>
      </c>
      <c r="G720" s="25" t="str">
        <f>IFERROR(__xludf.DUMMYFUNCTION("""COMPUTED_VALUE"""),"OT Djabal")</f>
        <v>OT Djabal</v>
      </c>
      <c r="H720" s="78">
        <f>IFERROR(__xludf.DUMMYFUNCTION("""COMPUTED_VALUE"""),46172.0)</f>
        <v>46172</v>
      </c>
      <c r="I720" s="89">
        <f>IFERROR(__xludf.DUMMYFUNCTION("""COMPUTED_VALUE"""),1.0)</f>
        <v>1</v>
      </c>
      <c r="J720" s="96"/>
      <c r="K720" s="30" t="str">
        <f>IFERROR(__xludf.DUMMYFUNCTION("""COMPUTED_VALUE"""),"fullbooked")</f>
        <v>fullbooked</v>
      </c>
      <c r="L720" s="49"/>
      <c r="M720" s="20"/>
      <c r="N720" s="20"/>
      <c r="O720" s="20"/>
      <c r="P720" s="20"/>
    </row>
    <row r="721">
      <c r="A721" s="97">
        <f>IFERROR(__xludf.DUMMYFUNCTION("""COMPUTED_VALUE"""),46165.0)</f>
        <v>46165</v>
      </c>
      <c r="B721" s="97" t="str">
        <f>IFERROR(__xludf.DUMMYFUNCTION("""COMPUTED_VALUE"""),"2605D111")</f>
        <v>2605D111</v>
      </c>
      <c r="C721" s="76" t="str">
        <f>IFERROR(__xludf.DUMMYFUNCTION("""COMPUTED_VALUE"""),"Maggy")</f>
        <v>Maggy</v>
      </c>
      <c r="D721" s="99" t="str">
        <f>IFERROR(__xludf.DUMMYFUNCTION("""COMPUTED_VALUE"""),"081295931151")</f>
        <v>081295931151</v>
      </c>
      <c r="E721" s="25" t="str">
        <f>IFERROR(__xludf.DUMMYFUNCTION("""COMPUTED_VALUE"""),"Website")</f>
        <v>Website</v>
      </c>
      <c r="F721" s="25" t="str">
        <f>IFERROR(__xludf.DUMMYFUNCTION("""COMPUTED_VALUE"""),"Closing")</f>
        <v>Closing</v>
      </c>
      <c r="G721" s="25" t="str">
        <f>IFERROR(__xludf.DUMMYFUNCTION("""COMPUTED_VALUE"""),"1 day Baluran")</f>
        <v>1 day Baluran</v>
      </c>
      <c r="H721" s="92">
        <f>IFERROR(__xludf.DUMMYFUNCTION("""COMPUTED_VALUE"""),46174.0)</f>
        <v>46174</v>
      </c>
      <c r="I721" s="80">
        <f>IFERROR(__xludf.DUMMYFUNCTION("""COMPUTED_VALUE"""),2.0)</f>
        <v>2</v>
      </c>
      <c r="J721" s="93">
        <f>IFERROR(__xludf.DUMMYFUNCTION("""COMPUTED_VALUE"""),1750000.0)</f>
        <v>1750000</v>
      </c>
      <c r="K721" s="46" t="str">
        <f>IFERROR(__xludf.DUMMYFUNCTION("""COMPUTED_VALUE"""),"Orrdeerrrr")</f>
        <v>Orrdeerrrr</v>
      </c>
      <c r="L721" s="10"/>
      <c r="M721" s="20"/>
      <c r="N721" s="20"/>
      <c r="O721" s="20"/>
      <c r="P721" s="20"/>
    </row>
    <row r="722">
      <c r="A722" s="110">
        <f>IFERROR(__xludf.DUMMYFUNCTION("""COMPUTED_VALUE"""),46163.0)</f>
        <v>46163</v>
      </c>
      <c r="B722" s="110" t="str">
        <f>IFERROR(__xludf.DUMMYFUNCTION("""COMPUTED_VALUE"""),"2605D112")</f>
        <v>2605D112</v>
      </c>
      <c r="C722" s="49" t="str">
        <f>IFERROR(__xludf.DUMMYFUNCTION("""COMPUTED_VALUE"""),"Meylanie")</f>
        <v>Meylanie</v>
      </c>
      <c r="D722" s="102" t="str">
        <f>IFERROR(__xludf.DUMMYFUNCTION("""COMPUTED_VALUE"""),"085778289588")</f>
        <v>085778289588</v>
      </c>
      <c r="E722" s="25" t="str">
        <f>IFERROR(__xludf.DUMMYFUNCTION("""COMPUTED_VALUE"""),"Lainnya")</f>
        <v>Lainnya</v>
      </c>
      <c r="F722" s="25" t="str">
        <f>IFERROR(__xludf.DUMMYFUNCTION("""COMPUTED_VALUE"""),"Gagal")</f>
        <v>Gagal</v>
      </c>
      <c r="G722" s="25"/>
      <c r="H722" s="78"/>
      <c r="I722" s="89">
        <f>IFERROR(__xludf.DUMMYFUNCTION("""COMPUTED_VALUE"""),3.0)</f>
        <v>3</v>
      </c>
      <c r="J722" s="96"/>
      <c r="K722" s="30" t="str">
        <f>IFERROR(__xludf.DUMMYFUNCTION("""COMPUTED_VALUE"""),"memastikan trip anaknya")</f>
        <v>memastikan trip anaknya</v>
      </c>
      <c r="L722" s="23"/>
      <c r="M722" s="20"/>
      <c r="N722" s="20"/>
      <c r="O722" s="20"/>
      <c r="P722" s="20"/>
    </row>
    <row r="723">
      <c r="A723" s="97">
        <f>IFERROR(__xludf.DUMMYFUNCTION("""COMPUTED_VALUE"""),46165.0)</f>
        <v>46165</v>
      </c>
      <c r="B723" s="97" t="str">
        <f>IFERROR(__xludf.DUMMYFUNCTION("""COMPUTED_VALUE"""),"2605D113")</f>
        <v>2605D113</v>
      </c>
      <c r="C723" s="76" t="str">
        <f>IFERROR(__xludf.DUMMYFUNCTION("""COMPUTED_VALUE"""),"Dr. Masza")</f>
        <v>Dr. Masza</v>
      </c>
      <c r="D723" s="99" t="str">
        <f>IFERROR(__xludf.DUMMYFUNCTION("""COMPUTED_VALUE"""),"081216909886")</f>
        <v>081216909886</v>
      </c>
      <c r="E723" s="25" t="str">
        <f>IFERROR(__xludf.DUMMYFUNCTION("""COMPUTED_VALUE"""),"Lainnya")</f>
        <v>Lainnya</v>
      </c>
      <c r="F723" s="25" t="str">
        <f>IFERROR(__xludf.DUMMYFUNCTION("""COMPUTED_VALUE"""),"Leads Baru")</f>
        <v>Leads Baru</v>
      </c>
      <c r="G723" s="25" t="str">
        <f>IFERROR(__xludf.DUMMYFUNCTION("""COMPUTED_VALUE"""),"OT MT")</f>
        <v>OT MT</v>
      </c>
      <c r="H723" s="92"/>
      <c r="I723" s="80">
        <f>IFERROR(__xludf.DUMMYFUNCTION("""COMPUTED_VALUE"""),3.0)</f>
        <v>3</v>
      </c>
      <c r="J723" s="129"/>
      <c r="K723" s="19" t="str">
        <f>IFERROR(__xludf.DUMMYFUNCTION("""COMPUTED_VALUE"""),"FU 19 Juni")</f>
        <v>FU 19 Juni</v>
      </c>
      <c r="L723" s="10"/>
      <c r="M723" s="20"/>
      <c r="N723" s="20"/>
      <c r="O723" s="20"/>
      <c r="P723" s="20"/>
    </row>
    <row r="724">
      <c r="A724" s="110">
        <f>IFERROR(__xludf.DUMMYFUNCTION("""COMPUTED_VALUE"""),46165.0)</f>
        <v>46165</v>
      </c>
      <c r="B724" s="110" t="str">
        <f>IFERROR(__xludf.DUMMYFUNCTION("""COMPUTED_VALUE"""),"2605D114")</f>
        <v>2605D114</v>
      </c>
      <c r="C724" s="49" t="str">
        <f>IFERROR(__xludf.DUMMYFUNCTION("""COMPUTED_VALUE"""),"Chrisfito")</f>
        <v>Chrisfito</v>
      </c>
      <c r="D724" s="102" t="str">
        <f>IFERROR(__xludf.DUMMYFUNCTION("""COMPUTED_VALUE"""),"082329785779")</f>
        <v>082329785779</v>
      </c>
      <c r="E724" s="25" t="str">
        <f>IFERROR(__xludf.DUMMYFUNCTION("""COMPUTED_VALUE"""),"Instagram")</f>
        <v>Instagram</v>
      </c>
      <c r="F724" s="25" t="str">
        <f>IFERROR(__xludf.DUMMYFUNCTION("""COMPUTED_VALUE"""),"Gagal")</f>
        <v>Gagal</v>
      </c>
      <c r="G724" s="25" t="str">
        <f>IFERROR(__xludf.DUMMYFUNCTION("""COMPUTED_VALUE"""),"OT GI")</f>
        <v>OT GI</v>
      </c>
      <c r="H724" s="78"/>
      <c r="I724" s="89"/>
      <c r="J724" s="96"/>
      <c r="K724" s="36" t="str">
        <f>IFERROR(__xludf.DUMMYFUNCTION("""COMPUTED_VALUE"""),"mendadak minta hari H trip, gagalll")</f>
        <v>mendadak minta hari H trip, gagalll</v>
      </c>
      <c r="L724" s="49"/>
      <c r="M724" s="20"/>
      <c r="N724" s="20"/>
      <c r="O724" s="20"/>
      <c r="P724" s="20"/>
    </row>
    <row r="725">
      <c r="A725" s="97">
        <f>IFERROR(__xludf.DUMMYFUNCTION("""COMPUTED_VALUE"""),46165.0)</f>
        <v>46165</v>
      </c>
      <c r="B725" s="97" t="str">
        <f>IFERROR(__xludf.DUMMYFUNCTION("""COMPUTED_VALUE"""),"2605D115")</f>
        <v>2605D115</v>
      </c>
      <c r="C725" s="76" t="str">
        <f>IFERROR(__xludf.DUMMYFUNCTION("""COMPUTED_VALUE"""),"Fy")</f>
        <v>Fy</v>
      </c>
      <c r="D725" s="99" t="str">
        <f>IFERROR(__xludf.DUMMYFUNCTION("""COMPUTED_VALUE"""),"085157946006")</f>
        <v>085157946006</v>
      </c>
      <c r="E725" s="25" t="str">
        <f>IFERROR(__xludf.DUMMYFUNCTION("""COMPUTED_VALUE"""),"Instagram")</f>
        <v>Instagram</v>
      </c>
      <c r="F725" s="25" t="str">
        <f>IFERROR(__xludf.DUMMYFUNCTION("""COMPUTED_VALUE"""),"gagal")</f>
        <v>gagal</v>
      </c>
      <c r="G725" s="25" t="str">
        <f>IFERROR(__xludf.DUMMYFUNCTION("""COMPUTED_VALUE"""),"OT MT")</f>
        <v>OT MT</v>
      </c>
      <c r="H725" s="92"/>
      <c r="I725" s="80">
        <f>IFERROR(__xludf.DUMMYFUNCTION("""COMPUTED_VALUE"""),1.0)</f>
        <v>1</v>
      </c>
      <c r="J725" s="93"/>
      <c r="K725" s="46" t="str">
        <f>IFERROR(__xludf.DUMMYFUNCTION("""COMPUTED_VALUE"""),"fullbooked")</f>
        <v>fullbooked</v>
      </c>
      <c r="L725" s="76"/>
      <c r="M725" s="20"/>
      <c r="N725" s="20"/>
      <c r="O725" s="20"/>
      <c r="P725" s="20"/>
    </row>
    <row r="726">
      <c r="A726" s="110">
        <f>IFERROR(__xludf.DUMMYFUNCTION("""COMPUTED_VALUE"""),46165.0)</f>
        <v>46165</v>
      </c>
      <c r="B726" s="110" t="str">
        <f>IFERROR(__xludf.DUMMYFUNCTION("""COMPUTED_VALUE"""),"2605D116")</f>
        <v>2605D116</v>
      </c>
      <c r="C726" s="49" t="str">
        <f>IFERROR(__xludf.DUMMYFUNCTION("""COMPUTED_VALUE"""),"Mitarosariahermawan ")</f>
        <v>Mitarosariahermawan </v>
      </c>
      <c r="D726" s="102" t="str">
        <f>IFERROR(__xludf.DUMMYFUNCTION("""COMPUTED_VALUE"""),"089619432035")</f>
        <v>089619432035</v>
      </c>
      <c r="E726" s="25" t="str">
        <f>IFERROR(__xludf.DUMMYFUNCTION("""COMPUTED_VALUE"""),"Instagram")</f>
        <v>Instagram</v>
      </c>
      <c r="F726" s="25" t="str">
        <f>IFERROR(__xludf.DUMMYFUNCTION("""COMPUTED_VALUE"""),"Gagal")</f>
        <v>Gagal</v>
      </c>
      <c r="G726" s="25" t="str">
        <f>IFERROR(__xludf.DUMMYFUNCTION("""COMPUTED_VALUE"""),"OT MT")</f>
        <v>OT MT</v>
      </c>
      <c r="H726" s="78"/>
      <c r="I726" s="89"/>
      <c r="J726" s="96"/>
      <c r="K726" s="30" t="str">
        <f>IFERROR(__xludf.DUMMYFUNCTION("""COMPUTED_VALUE"""),"fullbokeed")</f>
        <v>fullbokeed</v>
      </c>
      <c r="L726" s="49"/>
      <c r="M726" s="20"/>
      <c r="N726" s="20"/>
      <c r="O726" s="20"/>
      <c r="P726" s="20"/>
    </row>
    <row r="727">
      <c r="A727" s="97">
        <f>IFERROR(__xludf.DUMMYFUNCTION("""COMPUTED_VALUE"""),46165.0)</f>
        <v>46165</v>
      </c>
      <c r="B727" s="97" t="str">
        <f>IFERROR(__xludf.DUMMYFUNCTION("""COMPUTED_VALUE"""),"2605D117")</f>
        <v>2605D117</v>
      </c>
      <c r="C727" s="76" t="str">
        <f>IFERROR(__xludf.DUMMYFUNCTION("""COMPUTED_VALUE"""),"Evi R. Wahyuni")</f>
        <v>Evi R. Wahyuni</v>
      </c>
      <c r="D727" s="99" t="str">
        <f>IFERROR(__xludf.DUMMYFUNCTION("""COMPUTED_VALUE"""),"08111030695")</f>
        <v>08111030695</v>
      </c>
      <c r="E727" s="25" t="str">
        <f>IFERROR(__xludf.DUMMYFUNCTION("""COMPUTED_VALUE"""),"Instagram")</f>
        <v>Instagram</v>
      </c>
      <c r="F727" s="25" t="str">
        <f>IFERROR(__xludf.DUMMYFUNCTION("""COMPUTED_VALUE"""),"Closing")</f>
        <v>Closing</v>
      </c>
      <c r="G727" s="25" t="str">
        <f>IFERROR(__xludf.DUMMYFUNCTION("""COMPUTED_VALUE"""),"OT MT")</f>
        <v>OT MT</v>
      </c>
      <c r="H727" s="92">
        <f>IFERROR(__xludf.DUMMYFUNCTION("""COMPUTED_VALUE"""),46173.0)</f>
        <v>46173</v>
      </c>
      <c r="I727" s="80">
        <f>IFERROR(__xludf.DUMMYFUNCTION("""COMPUTED_VALUE"""),2.0)</f>
        <v>2</v>
      </c>
      <c r="J727" s="93">
        <f>IFERROR(__xludf.DUMMYFUNCTION("""COMPUTED_VALUE"""),550000.0)</f>
        <v>550000</v>
      </c>
      <c r="K727" s="46" t="str">
        <f>IFERROR(__xludf.DUMMYFUNCTION("""COMPUTED_VALUE"""),"orrrdeeerrr")</f>
        <v>orrrdeeerrr</v>
      </c>
      <c r="L727" s="76"/>
      <c r="M727" s="20"/>
      <c r="N727" s="20"/>
      <c r="O727" s="20"/>
      <c r="P727" s="20"/>
    </row>
    <row r="728">
      <c r="A728" s="110">
        <f>IFERROR(__xludf.DUMMYFUNCTION("""COMPUTED_VALUE"""),46165.0)</f>
        <v>46165</v>
      </c>
      <c r="B728" s="110" t="str">
        <f>IFERROR(__xludf.DUMMYFUNCTION("""COMPUTED_VALUE"""),"2605D118")</f>
        <v>2605D118</v>
      </c>
      <c r="C728" s="49" t="str">
        <f>IFERROR(__xludf.DUMMYFUNCTION("""COMPUTED_VALUE"""),"Dilla")</f>
        <v>Dilla</v>
      </c>
      <c r="D728" s="102" t="str">
        <f>IFERROR(__xludf.DUMMYFUNCTION("""COMPUTED_VALUE"""),"081380278612")</f>
        <v>081380278612</v>
      </c>
      <c r="E728" s="25" t="str">
        <f>IFERROR(__xludf.DUMMYFUNCTION("""COMPUTED_VALUE"""),"Instagram")</f>
        <v>Instagram</v>
      </c>
      <c r="F728" s="25" t="str">
        <f>IFERROR(__xludf.DUMMYFUNCTION("""COMPUTED_VALUE"""),"Closing")</f>
        <v>Closing</v>
      </c>
      <c r="G728" s="25" t="str">
        <f>IFERROR(__xludf.DUMMYFUNCTION("""COMPUTED_VALUE"""),"2H1M opsi A")</f>
        <v>2H1M opsi A</v>
      </c>
      <c r="H728" s="26">
        <f>IFERROR(__xludf.DUMMYFUNCTION("""COMPUTED_VALUE"""),46169.0)</f>
        <v>46169</v>
      </c>
      <c r="I728" s="27">
        <f>IFERROR(__xludf.DUMMYFUNCTION("""COMPUTED_VALUE"""),2.0)</f>
        <v>2</v>
      </c>
      <c r="J728" s="33"/>
      <c r="K728" s="30" t="str">
        <f>IFERROR(__xludf.DUMMYFUNCTION("""COMPUTED_VALUE"""),"alhamdulillah orderr")</f>
        <v>alhamdulillah orderr</v>
      </c>
      <c r="L728" s="49"/>
      <c r="M728" s="20"/>
      <c r="N728" s="20"/>
      <c r="O728" s="20"/>
      <c r="P728" s="20"/>
    </row>
    <row r="729">
      <c r="A729" s="97">
        <f>IFERROR(__xludf.DUMMYFUNCTION("""COMPUTED_VALUE"""),46166.0)</f>
        <v>46166</v>
      </c>
      <c r="B729" s="97" t="str">
        <f>IFERROR(__xludf.DUMMYFUNCTION("""COMPUTED_VALUE"""),"2605D119")</f>
        <v>2605D119</v>
      </c>
      <c r="C729" s="76" t="str">
        <f>IFERROR(__xludf.DUMMYFUNCTION("""COMPUTED_VALUE"""),"Faris Al-Fatih")</f>
        <v>Faris Al-Fatih</v>
      </c>
      <c r="D729" s="99" t="str">
        <f>IFERROR(__xludf.DUMMYFUNCTION("""COMPUTED_VALUE"""),"081211077201")</f>
        <v>081211077201</v>
      </c>
      <c r="E729" s="25" t="str">
        <f>IFERROR(__xludf.DUMMYFUNCTION("""COMPUTED_VALUE"""),"Instagram")</f>
        <v>Instagram</v>
      </c>
      <c r="F729" s="25" t="str">
        <f>IFERROR(__xludf.DUMMYFUNCTION("""COMPUTED_VALUE"""),"Gagal")</f>
        <v>Gagal</v>
      </c>
      <c r="G729" s="25" t="str">
        <f>IFERROR(__xludf.DUMMYFUNCTION("""COMPUTED_VALUE"""),"OT MT")</f>
        <v>OT MT</v>
      </c>
      <c r="H729" s="92">
        <f>IFERROR(__xludf.DUMMYFUNCTION("""COMPUTED_VALUE"""),46168.0)</f>
        <v>46168</v>
      </c>
      <c r="I729" s="80">
        <f>IFERROR(__xludf.DUMMYFUNCTION("""COMPUTED_VALUE"""),1.0)</f>
        <v>1</v>
      </c>
      <c r="J729" s="93"/>
      <c r="K729" s="46"/>
      <c r="L729" s="76"/>
      <c r="M729" s="20"/>
      <c r="N729" s="20"/>
      <c r="O729" s="20"/>
      <c r="P729" s="20"/>
    </row>
    <row r="730">
      <c r="A730" s="110">
        <f>IFERROR(__xludf.DUMMYFUNCTION("""COMPUTED_VALUE"""),46166.0)</f>
        <v>46166</v>
      </c>
      <c r="B730" s="110" t="str">
        <f>IFERROR(__xludf.DUMMYFUNCTION("""COMPUTED_VALUE"""),"2605D120")</f>
        <v>2605D120</v>
      </c>
      <c r="C730" s="49" t="str">
        <f>IFERROR(__xludf.DUMMYFUNCTION("""COMPUTED_VALUE"""),"Zanura")</f>
        <v>Zanura</v>
      </c>
      <c r="D730" s="102" t="str">
        <f>IFERROR(__xludf.DUMMYFUNCTION("""COMPUTED_VALUE"""),"082113925550")</f>
        <v>082113925550</v>
      </c>
      <c r="E730" s="25" t="str">
        <f>IFERROR(__xludf.DUMMYFUNCTION("""COMPUTED_VALUE"""),"Website")</f>
        <v>Website</v>
      </c>
      <c r="F730" s="25" t="str">
        <f>IFERROR(__xludf.DUMMYFUNCTION("""COMPUTED_VALUE"""),"Leads Baru")</f>
        <v>Leads Baru</v>
      </c>
      <c r="G730" s="25" t="str">
        <f>IFERROR(__xludf.DUMMYFUNCTION("""COMPUTED_VALUE"""),"3H2M custome")</f>
        <v>3H2M custome</v>
      </c>
      <c r="H730" s="78"/>
      <c r="I730" s="89">
        <f>IFERROR(__xludf.DUMMYFUNCTION("""COMPUTED_VALUE"""),4.0)</f>
        <v>4</v>
      </c>
      <c r="J730" s="96"/>
      <c r="K730" s="30" t="str">
        <f>IFERROR(__xludf.DUMMYFUNCTION("""COMPUTED_VALUE"""),"FU 6 Juni")</f>
        <v>FU 6 Juni</v>
      </c>
      <c r="L730" s="49"/>
      <c r="M730" s="20"/>
      <c r="N730" s="20"/>
      <c r="O730" s="20"/>
      <c r="P730" s="20"/>
    </row>
    <row r="731">
      <c r="A731" s="97">
        <f>IFERROR(__xludf.DUMMYFUNCTION("""COMPUTED_VALUE"""),46166.0)</f>
        <v>46166</v>
      </c>
      <c r="B731" s="97" t="str">
        <f>IFERROR(__xludf.DUMMYFUNCTION("""COMPUTED_VALUE"""),"2605D121")</f>
        <v>2605D121</v>
      </c>
      <c r="C731" s="76" t="str">
        <f>IFERROR(__xludf.DUMMYFUNCTION("""COMPUTED_VALUE"""),"Sofie")</f>
        <v>Sofie</v>
      </c>
      <c r="D731" s="99" t="str">
        <f>IFERROR(__xludf.DUMMYFUNCTION("""COMPUTED_VALUE"""),"085900045354")</f>
        <v>085900045354</v>
      </c>
      <c r="E731" s="25" t="str">
        <f>IFERROR(__xludf.DUMMYFUNCTION("""COMPUTED_VALUE"""),"Instagram")</f>
        <v>Instagram</v>
      </c>
      <c r="F731" s="25" t="str">
        <f>IFERROR(__xludf.DUMMYFUNCTION("""COMPUTED_VALUE"""),"Leads Baru")</f>
        <v>Leads Baru</v>
      </c>
      <c r="G731" s="25" t="str">
        <f>IFERROR(__xludf.DUMMYFUNCTION("""COMPUTED_VALUE"""),"OT 3h2m ")</f>
        <v>OT 3h2m </v>
      </c>
      <c r="H731" s="92">
        <f>IFERROR(__xludf.DUMMYFUNCTION("""COMPUTED_VALUE"""),46203.0)</f>
        <v>46203</v>
      </c>
      <c r="I731" s="80"/>
      <c r="J731" s="54"/>
      <c r="K731" s="46" t="str">
        <f>IFERROR(__xludf.DUMMYFUNCTION("""COMPUTED_VALUE"""),"blm kasih tgl, FU 6 Juni")</f>
        <v>blm kasih tgl, FU 6 Juni</v>
      </c>
      <c r="L731" s="76"/>
      <c r="M731" s="20"/>
      <c r="N731" s="20"/>
      <c r="O731" s="20"/>
      <c r="P731" s="20"/>
    </row>
    <row r="732">
      <c r="A732" s="110">
        <f>IFERROR(__xludf.DUMMYFUNCTION("""COMPUTED_VALUE"""),46166.0)</f>
        <v>46166</v>
      </c>
      <c r="B732" s="110" t="str">
        <f>IFERROR(__xludf.DUMMYFUNCTION("""COMPUTED_VALUE"""),"2605D122 ")</f>
        <v>2605D122 </v>
      </c>
      <c r="C732" s="49" t="str">
        <f>IFERROR(__xludf.DUMMYFUNCTION("""COMPUTED_VALUE"""),"Bani ")</f>
        <v>Bani </v>
      </c>
      <c r="D732" s="102" t="str">
        <f>IFERROR(__xludf.DUMMYFUNCTION("""COMPUTED_VALUE"""),"088227967462")</f>
        <v>088227967462</v>
      </c>
      <c r="E732" s="25" t="str">
        <f>IFERROR(__xludf.DUMMYFUNCTION("""COMPUTED_VALUE"""),"Website")</f>
        <v>Website</v>
      </c>
      <c r="F732" s="25" t="str">
        <f>IFERROR(__xludf.DUMMYFUNCTION("""COMPUTED_VALUE"""),"Leads Baru")</f>
        <v>Leads Baru</v>
      </c>
      <c r="G732" s="25" t="str">
        <f>IFERROR(__xludf.DUMMYFUNCTION("""COMPUTED_VALUE"""),"OT GI, Teluk ijo")</f>
        <v>OT GI, Teluk ijo</v>
      </c>
      <c r="H732" s="26">
        <f>IFERROR(__xludf.DUMMYFUNCTION("""COMPUTED_VALUE"""),46187.0)</f>
        <v>46187</v>
      </c>
      <c r="I732" s="27">
        <f>IFERROR(__xludf.DUMMYFUNCTION("""COMPUTED_VALUE"""),2.0)</f>
        <v>2</v>
      </c>
      <c r="J732" s="33"/>
      <c r="K732" s="30" t="str">
        <f>IFERROR(__xludf.DUMMYFUNCTION("""COMPUTED_VALUE"""),"FU 4 Juni")</f>
        <v>FU 4 Juni</v>
      </c>
      <c r="L732" s="49"/>
      <c r="M732" s="20"/>
      <c r="N732" s="20"/>
      <c r="O732" s="20"/>
      <c r="P732" s="20"/>
    </row>
    <row r="733">
      <c r="A733" s="97">
        <f>IFERROR(__xludf.DUMMYFUNCTION("""COMPUTED_VALUE"""),46166.0)</f>
        <v>46166</v>
      </c>
      <c r="B733" s="97" t="str">
        <f>IFERROR(__xludf.DUMMYFUNCTION("""COMPUTED_VALUE"""),"2605D123")</f>
        <v>2605D123</v>
      </c>
      <c r="C733" s="76" t="str">
        <f>IFERROR(__xludf.DUMMYFUNCTION("""COMPUTED_VALUE"""),"Wiwik tarricone")</f>
        <v>Wiwik tarricone</v>
      </c>
      <c r="D733" s="99" t="str">
        <f>IFERROR(__xludf.DUMMYFUNCTION("""COMPUTED_VALUE"""),"082236865958")</f>
        <v>082236865958</v>
      </c>
      <c r="E733" s="25" t="str">
        <f>IFERROR(__xludf.DUMMYFUNCTION("""COMPUTED_VALUE"""),"Website")</f>
        <v>Website</v>
      </c>
      <c r="F733" s="25" t="str">
        <f>IFERROR(__xludf.DUMMYFUNCTION("""COMPUTED_VALUE"""),"Closing")</f>
        <v>Closing</v>
      </c>
      <c r="G733" s="25" t="str">
        <f>IFERROR(__xludf.DUMMYFUNCTION("""COMPUTED_VALUE"""),"OT MT")</f>
        <v>OT MT</v>
      </c>
      <c r="H733" s="92"/>
      <c r="I733" s="80">
        <f>IFERROR(__xludf.DUMMYFUNCTION("""COMPUTED_VALUE"""),4.0)</f>
        <v>4</v>
      </c>
      <c r="J733" s="54"/>
      <c r="K733" s="46" t="str">
        <f>IFERROR(__xludf.DUMMYFUNCTION("""COMPUTED_VALUE"""),"orrdeerrrr")</f>
        <v>orrdeerrrr</v>
      </c>
      <c r="L733" s="76"/>
      <c r="M733" s="20"/>
      <c r="N733" s="20"/>
      <c r="O733" s="20"/>
      <c r="P733" s="20"/>
    </row>
    <row r="734">
      <c r="A734" s="110">
        <f>IFERROR(__xludf.DUMMYFUNCTION("""COMPUTED_VALUE"""),46166.0)</f>
        <v>46166</v>
      </c>
      <c r="B734" s="110" t="str">
        <f>IFERROR(__xludf.DUMMYFUNCTION("""COMPUTED_VALUE"""),"2605D124")</f>
        <v>2605D124</v>
      </c>
      <c r="C734" s="49" t="str">
        <f>IFERROR(__xludf.DUMMYFUNCTION("""COMPUTED_VALUE"""),"Feni")</f>
        <v>Feni</v>
      </c>
      <c r="D734" s="102" t="str">
        <f>IFERROR(__xludf.DUMMYFUNCTION("""COMPUTED_VALUE"""),"089605532749")</f>
        <v>089605532749</v>
      </c>
      <c r="E734" s="25" t="str">
        <f>IFERROR(__xludf.DUMMYFUNCTION("""COMPUTED_VALUE"""),"Website")</f>
        <v>Website</v>
      </c>
      <c r="F734" s="25" t="str">
        <f>IFERROR(__xludf.DUMMYFUNCTION("""COMPUTED_VALUE"""),"Leads Baru")</f>
        <v>Leads Baru</v>
      </c>
      <c r="G734" s="25" t="str">
        <f>IFERROR(__xludf.DUMMYFUNCTION("""COMPUTED_VALUE"""),"OT MT")</f>
        <v>OT MT</v>
      </c>
      <c r="H734" s="78"/>
      <c r="I734" s="89"/>
      <c r="J734" s="96"/>
      <c r="K734" s="30" t="str">
        <f>IFERROR(__xludf.DUMMYFUNCTION("""COMPUTED_VALUE"""),"masih cek jadwal, FU 10 Juni ")</f>
        <v>masih cek jadwal, FU 10 Juni </v>
      </c>
      <c r="L734" s="49"/>
      <c r="M734" s="20"/>
      <c r="N734" s="20"/>
      <c r="O734" s="20"/>
      <c r="P734" s="20"/>
    </row>
    <row r="735">
      <c r="A735" s="97">
        <f>IFERROR(__xludf.DUMMYFUNCTION("""COMPUTED_VALUE"""),46166.0)</f>
        <v>46166</v>
      </c>
      <c r="B735" s="97" t="str">
        <f>IFERROR(__xludf.DUMMYFUNCTION("""COMPUTED_VALUE"""),"2605D125")</f>
        <v>2605D125</v>
      </c>
      <c r="C735" s="76" t="str">
        <f>IFERROR(__xludf.DUMMYFUNCTION("""COMPUTED_VALUE"""),"Fauziah ")</f>
        <v>Fauziah </v>
      </c>
      <c r="D735" s="99" t="str">
        <f>IFERROR(__xludf.DUMMYFUNCTION("""COMPUTED_VALUE"""),"085820009433")</f>
        <v>085820009433</v>
      </c>
      <c r="E735" s="25" t="str">
        <f>IFERROR(__xludf.DUMMYFUNCTION("""COMPUTED_VALUE"""),"Instagram")</f>
        <v>Instagram</v>
      </c>
      <c r="F735" s="25" t="str">
        <f>IFERROR(__xludf.DUMMYFUNCTION("""COMPUTED_VALUE"""),"Closing")</f>
        <v>Closing</v>
      </c>
      <c r="G735" s="25" t="str">
        <f>IFERROR(__xludf.DUMMYFUNCTION("""COMPUTED_VALUE"""),"3H2M custome")</f>
        <v>3H2M custome</v>
      </c>
      <c r="H735" s="92">
        <f>IFERROR(__xludf.DUMMYFUNCTION("""COMPUTED_VALUE"""),46190.0)</f>
        <v>46190</v>
      </c>
      <c r="I735" s="80">
        <f>IFERROR(__xludf.DUMMYFUNCTION("""COMPUTED_VALUE"""),2.0)</f>
        <v>2</v>
      </c>
      <c r="J735" s="93">
        <f>IFERROR(__xludf.DUMMYFUNCTION("""COMPUTED_VALUE"""),4700000.0)</f>
        <v>4700000</v>
      </c>
      <c r="K735" s="46" t="str">
        <f>IFERROR(__xludf.DUMMYFUNCTION("""COMPUTED_VALUE"""),"alhamdulillah orrdeerr")</f>
        <v>alhamdulillah orrdeerr</v>
      </c>
      <c r="L735" s="76"/>
      <c r="M735" s="20"/>
      <c r="N735" s="20"/>
      <c r="O735" s="20"/>
      <c r="P735" s="20"/>
    </row>
    <row r="736">
      <c r="A736" s="110">
        <f>IFERROR(__xludf.DUMMYFUNCTION("""COMPUTED_VALUE"""),46166.0)</f>
        <v>46166</v>
      </c>
      <c r="B736" s="110" t="str">
        <f>IFERROR(__xludf.DUMMYFUNCTION("""COMPUTED_VALUE"""),"2605D126")</f>
        <v>2605D126</v>
      </c>
      <c r="C736" s="49" t="str">
        <f>IFERROR(__xludf.DUMMYFUNCTION("""COMPUTED_VALUE"""),"Dhien citra ")</f>
        <v>Dhien citra </v>
      </c>
      <c r="D736" s="102" t="str">
        <f>IFERROR(__xludf.DUMMYFUNCTION("""COMPUTED_VALUE"""),"081289081004")</f>
        <v>081289081004</v>
      </c>
      <c r="E736" s="25" t="str">
        <f>IFERROR(__xludf.DUMMYFUNCTION("""COMPUTED_VALUE"""),"Instagram")</f>
        <v>Instagram</v>
      </c>
      <c r="F736" s="25" t="str">
        <f>IFERROR(__xludf.DUMMYFUNCTION("""COMPUTED_VALUE"""),"Leads Baru")</f>
        <v>Leads Baru</v>
      </c>
      <c r="G736" s="25" t="str">
        <f>IFERROR(__xludf.DUMMYFUNCTION("""COMPUTED_VALUE"""),"OT 3h2m ")</f>
        <v>OT 3h2m </v>
      </c>
      <c r="H736" s="78">
        <f>IFERROR(__xludf.DUMMYFUNCTION("""COMPUTED_VALUE"""),46244.0)</f>
        <v>46244</v>
      </c>
      <c r="I736" s="89">
        <f>IFERROR(__xludf.DUMMYFUNCTION("""COMPUTED_VALUE"""),2.0)</f>
        <v>2</v>
      </c>
      <c r="J736" s="96"/>
      <c r="K736" s="30" t="str">
        <f>IFERROR(__xludf.DUMMYFUNCTION("""COMPUTED_VALUE"""),"FU 25 Juni")</f>
        <v>FU 25 Juni</v>
      </c>
      <c r="L736" s="49"/>
      <c r="M736" s="20"/>
      <c r="N736" s="20"/>
      <c r="O736" s="20"/>
      <c r="P736" s="20"/>
    </row>
    <row r="737">
      <c r="A737" s="97">
        <f>IFERROR(__xludf.DUMMYFUNCTION("""COMPUTED_VALUE"""),46166.0)</f>
        <v>46166</v>
      </c>
      <c r="B737" s="97" t="str">
        <f>IFERROR(__xludf.DUMMYFUNCTION("""COMPUTED_VALUE"""),"2605D127")</f>
        <v>2605D127</v>
      </c>
      <c r="C737" s="76" t="str">
        <f>IFERROR(__xludf.DUMMYFUNCTION("""COMPUTED_VALUE"""),"Liya.amsaroh")</f>
        <v>Liya.amsaroh</v>
      </c>
      <c r="D737" s="99" t="str">
        <f>IFERROR(__xludf.DUMMYFUNCTION("""COMPUTED_VALUE"""),"08112923117")</f>
        <v>08112923117</v>
      </c>
      <c r="E737" s="25" t="str">
        <f>IFERROR(__xludf.DUMMYFUNCTION("""COMPUTED_VALUE"""),"Instagram")</f>
        <v>Instagram</v>
      </c>
      <c r="F737" s="25" t="str">
        <f>IFERROR(__xludf.DUMMYFUNCTION("""COMPUTED_VALUE"""),"Leads Baru")</f>
        <v>Leads Baru</v>
      </c>
      <c r="G737" s="25" t="str">
        <f>IFERROR(__xludf.DUMMYFUNCTION("""COMPUTED_VALUE"""),"2h1m custome")</f>
        <v>2h1m custome</v>
      </c>
      <c r="H737" s="16">
        <f>IFERROR(__xludf.DUMMYFUNCTION("""COMPUTED_VALUE"""),46194.0)</f>
        <v>46194</v>
      </c>
      <c r="I737" s="17">
        <f>IFERROR(__xludf.DUMMYFUNCTION("""COMPUTED_VALUE"""),4.0)</f>
        <v>4</v>
      </c>
      <c r="J737" s="54"/>
      <c r="K737" s="46" t="str">
        <f>IFERROR(__xludf.DUMMYFUNCTION("""COMPUTED_VALUE"""),"minta pricelist ")</f>
        <v>minta pricelist </v>
      </c>
      <c r="L737" s="76"/>
      <c r="M737" s="20"/>
      <c r="N737" s="20"/>
      <c r="O737" s="20"/>
      <c r="P737" s="20"/>
    </row>
    <row r="738">
      <c r="A738" s="110">
        <f>IFERROR(__xludf.DUMMYFUNCTION("""COMPUTED_VALUE"""),46166.0)</f>
        <v>46166</v>
      </c>
      <c r="B738" s="110" t="str">
        <f>IFERROR(__xludf.DUMMYFUNCTION("""COMPUTED_VALUE"""),"2605D128")</f>
        <v>2605D128</v>
      </c>
      <c r="C738" s="49" t="str">
        <f>IFERROR(__xludf.DUMMYFUNCTION("""COMPUTED_VALUE"""),"Shoumi Damayanti")</f>
        <v>Shoumi Damayanti</v>
      </c>
      <c r="D738" s="102" t="str">
        <f>IFERROR(__xludf.DUMMYFUNCTION("""COMPUTED_VALUE"""),"081905000460")</f>
        <v>081905000460</v>
      </c>
      <c r="E738" s="25" t="str">
        <f>IFERROR(__xludf.DUMMYFUNCTION("""COMPUTED_VALUE"""),"Website")</f>
        <v>Website</v>
      </c>
      <c r="F738" s="25" t="str">
        <f>IFERROR(__xludf.DUMMYFUNCTION("""COMPUTED_VALUE"""),"Leads Baru")</f>
        <v>Leads Baru</v>
      </c>
      <c r="G738" s="25" t="str">
        <f>IFERROR(__xludf.DUMMYFUNCTION("""COMPUTED_VALUE"""),"3h2m opsi A")</f>
        <v>3h2m opsi A</v>
      </c>
      <c r="H738" s="78">
        <f>IFERROR(__xludf.DUMMYFUNCTION("""COMPUTED_VALUE"""),46194.0)</f>
        <v>46194</v>
      </c>
      <c r="I738" s="89">
        <f>IFERROR(__xludf.DUMMYFUNCTION("""COMPUTED_VALUE"""),10.0)</f>
        <v>10</v>
      </c>
      <c r="J738" s="96"/>
      <c r="K738" s="30"/>
      <c r="L738" s="49"/>
      <c r="M738" s="20"/>
      <c r="N738" s="20"/>
      <c r="O738" s="20"/>
      <c r="P738" s="20"/>
    </row>
    <row r="739">
      <c r="A739" s="97">
        <f>IFERROR(__xludf.DUMMYFUNCTION("""COMPUTED_VALUE"""),46166.0)</f>
        <v>46166</v>
      </c>
      <c r="B739" s="97" t="str">
        <f>IFERROR(__xludf.DUMMYFUNCTION("""COMPUTED_VALUE"""),"2605D129")</f>
        <v>2605D129</v>
      </c>
      <c r="C739" s="76" t="str">
        <f>IFERROR(__xludf.DUMMYFUNCTION("""COMPUTED_VALUE"""),"Abifatta")</f>
        <v>Abifatta</v>
      </c>
      <c r="D739" s="99" t="str">
        <f>IFERROR(__xludf.DUMMYFUNCTION("""COMPUTED_VALUE"""),"082325777227")</f>
        <v>082325777227</v>
      </c>
      <c r="E739" s="25" t="str">
        <f>IFERROR(__xludf.DUMMYFUNCTION("""COMPUTED_VALUE"""),"Instagram")</f>
        <v>Instagram</v>
      </c>
      <c r="F739" s="25" t="str">
        <f>IFERROR(__xludf.DUMMYFUNCTION("""COMPUTED_VALUE"""),"Gagal")</f>
        <v>Gagal</v>
      </c>
      <c r="G739" s="25" t="str">
        <f>IFERROR(__xludf.DUMMYFUNCTION("""COMPUTED_VALUE"""),"OT MT, OT I")</f>
        <v>OT MT, OT I</v>
      </c>
      <c r="H739" s="92">
        <f>IFERROR(__xludf.DUMMYFUNCTION("""COMPUTED_VALUE"""),46170.0)</f>
        <v>46170</v>
      </c>
      <c r="I739" s="80">
        <f>IFERROR(__xludf.DUMMYFUNCTION("""COMPUTED_VALUE"""),5.0)</f>
        <v>5</v>
      </c>
      <c r="J739" s="93"/>
      <c r="K739" s="46" t="str">
        <f>IFERROR(__xludf.DUMMYFUNCTION("""COMPUTED_VALUE"""),"masih diskusi, FU 25 Mei")</f>
        <v>masih diskusi, FU 25 Mei</v>
      </c>
      <c r="L739" s="76"/>
      <c r="M739" s="20"/>
      <c r="N739" s="20"/>
      <c r="O739" s="20"/>
      <c r="P739" s="20"/>
    </row>
    <row r="740">
      <c r="A740" s="110">
        <f>IFERROR(__xludf.DUMMYFUNCTION("""COMPUTED_VALUE"""),46167.0)</f>
        <v>46167</v>
      </c>
      <c r="B740" s="110" t="str">
        <f>IFERROR(__xludf.DUMMYFUNCTION("""COMPUTED_VALUE"""),"2605D130")</f>
        <v>2605D130</v>
      </c>
      <c r="C740" s="49" t="str">
        <f>IFERROR(__xludf.DUMMYFUNCTION("""COMPUTED_VALUE"""),"Garry")</f>
        <v>Garry</v>
      </c>
      <c r="D740" s="102" t="str">
        <f>IFERROR(__xludf.DUMMYFUNCTION("""COMPUTED_VALUE"""),"085692781477")</f>
        <v>085692781477</v>
      </c>
      <c r="E740" s="25" t="str">
        <f>IFERROR(__xludf.DUMMYFUNCTION("""COMPUTED_VALUE"""),"Website")</f>
        <v>Website</v>
      </c>
      <c r="F740" s="25" t="str">
        <f>IFERROR(__xludf.DUMMYFUNCTION("""COMPUTED_VALUE"""),"Gagal")</f>
        <v>Gagal</v>
      </c>
      <c r="G740" s="25" t="str">
        <f>IFERROR(__xludf.DUMMYFUNCTION("""COMPUTED_VALUE"""),"private trip MT")</f>
        <v>private trip MT</v>
      </c>
      <c r="H740" s="78">
        <f>IFERROR(__xludf.DUMMYFUNCTION("""COMPUTED_VALUE"""),46172.0)</f>
        <v>46172</v>
      </c>
      <c r="I740" s="89">
        <f>IFERROR(__xludf.DUMMYFUNCTION("""COMPUTED_VALUE"""),1.0)</f>
        <v>1</v>
      </c>
      <c r="J740" s="96"/>
      <c r="K740" s="30" t="str">
        <f>IFERROR(__xludf.DUMMYFUNCTION("""COMPUTED_VALUE"""),"Penjemputan malang blm bisaa")</f>
        <v>Penjemputan malang blm bisaa</v>
      </c>
      <c r="L740" s="49"/>
      <c r="M740" s="20"/>
      <c r="N740" s="20"/>
      <c r="O740" s="20"/>
      <c r="P740" s="20"/>
    </row>
    <row r="741">
      <c r="A741" s="97">
        <f>IFERROR(__xludf.DUMMYFUNCTION("""COMPUTED_VALUE"""),46167.0)</f>
        <v>46167</v>
      </c>
      <c r="B741" s="97" t="str">
        <f>IFERROR(__xludf.DUMMYFUNCTION("""COMPUTED_VALUE"""),"2605D131")</f>
        <v>2605D131</v>
      </c>
      <c r="C741" s="76" t="str">
        <f>IFERROR(__xludf.DUMMYFUNCTION("""COMPUTED_VALUE"""),"Ni Kadek Dwi Ariani")</f>
        <v>Ni Kadek Dwi Ariani</v>
      </c>
      <c r="D741" s="99" t="str">
        <f>IFERROR(__xludf.DUMMYFUNCTION("""COMPUTED_VALUE"""),"088266081021")</f>
        <v>088266081021</v>
      </c>
      <c r="E741" s="25" t="str">
        <f>IFERROR(__xludf.DUMMYFUNCTION("""COMPUTED_VALUE"""),"Instagram")</f>
        <v>Instagram</v>
      </c>
      <c r="F741" s="25" t="str">
        <f>IFERROR(__xludf.DUMMYFUNCTION("""COMPUTED_VALUE"""),"Closing")</f>
        <v>Closing</v>
      </c>
      <c r="G741" s="25" t="str">
        <f>IFERROR(__xludf.DUMMYFUNCTION("""COMPUTED_VALUE"""),"OT Djabal")</f>
        <v>OT Djabal</v>
      </c>
      <c r="H741" s="92">
        <f>IFERROR(__xludf.DUMMYFUNCTION("""COMPUTED_VALUE"""),46171.0)</f>
        <v>46171</v>
      </c>
      <c r="I741" s="80">
        <f>IFERROR(__xludf.DUMMYFUNCTION("""COMPUTED_VALUE"""),2.0)</f>
        <v>2</v>
      </c>
      <c r="J741" s="93">
        <f>IFERROR(__xludf.DUMMYFUNCTION("""COMPUTED_VALUE"""),1100000.0)</f>
        <v>1100000</v>
      </c>
      <c r="K741" s="19" t="str">
        <f>IFERROR(__xludf.DUMMYFUNCTION("""COMPUTED_VALUE"""),"orrderrr")</f>
        <v>orrderrr</v>
      </c>
      <c r="L741" s="76"/>
      <c r="M741" s="20"/>
      <c r="N741" s="20"/>
      <c r="O741" s="20"/>
      <c r="P741" s="20"/>
    </row>
    <row r="742">
      <c r="A742" s="97">
        <f>IFERROR(__xludf.DUMMYFUNCTION("""COMPUTED_VALUE"""),46167.0)</f>
        <v>46167</v>
      </c>
      <c r="B742" s="97" t="str">
        <f>IFERROR(__xludf.DUMMYFUNCTION("""COMPUTED_VALUE"""),"2605D132")</f>
        <v>2605D132</v>
      </c>
      <c r="C742" s="49" t="str">
        <f>IFERROR(__xludf.DUMMYFUNCTION("""COMPUTED_VALUE"""),"Amanda")</f>
        <v>Amanda</v>
      </c>
      <c r="D742" s="102" t="str">
        <f>IFERROR(__xludf.DUMMYFUNCTION("""COMPUTED_VALUE"""),"087760110163")</f>
        <v>087760110163</v>
      </c>
      <c r="E742" s="25" t="str">
        <f>IFERROR(__xludf.DUMMYFUNCTION("""COMPUTED_VALUE"""),"Instagram")</f>
        <v>Instagram</v>
      </c>
      <c r="F742" s="25" t="str">
        <f>IFERROR(__xludf.DUMMYFUNCTION("""COMPUTED_VALUE"""),"Gagal")</f>
        <v>Gagal</v>
      </c>
      <c r="G742" s="25" t="str">
        <f>IFERROR(__xludf.DUMMYFUNCTION("""COMPUTED_VALUE"""),"OT Djabal")</f>
        <v>OT Djabal</v>
      </c>
      <c r="H742" s="78">
        <f>IFERROR(__xludf.DUMMYFUNCTION("""COMPUTED_VALUE"""),46171.0)</f>
        <v>46171</v>
      </c>
      <c r="I742" s="89">
        <f>IFERROR(__xludf.DUMMYFUNCTION("""COMPUTED_VALUE"""),2.0)</f>
        <v>2</v>
      </c>
      <c r="J742" s="96"/>
      <c r="K742" s="30" t="str">
        <f>IFERROR(__xludf.DUMMYFUNCTION("""COMPUTED_VALUE"""),"belum balas lagi, FU 28 Mei")</f>
        <v>belum balas lagi, FU 28 Mei</v>
      </c>
      <c r="L742" s="23"/>
      <c r="M742" s="20"/>
      <c r="N742" s="20"/>
      <c r="O742" s="20"/>
      <c r="P742" s="20"/>
    </row>
    <row r="743">
      <c r="A743" s="97">
        <f>IFERROR(__xludf.DUMMYFUNCTION("""COMPUTED_VALUE"""),46167.0)</f>
        <v>46167</v>
      </c>
      <c r="B743" s="97" t="str">
        <f>IFERROR(__xludf.DUMMYFUNCTION("""COMPUTED_VALUE"""),"2605D133")</f>
        <v>2605D133</v>
      </c>
      <c r="C743" s="76" t="str">
        <f>IFERROR(__xludf.DUMMYFUNCTION("""COMPUTED_VALUE"""),"Memey")</f>
        <v>Memey</v>
      </c>
      <c r="D743" s="99" t="str">
        <f>IFERROR(__xludf.DUMMYFUNCTION("""COMPUTED_VALUE"""),"08562585352")</f>
        <v>08562585352</v>
      </c>
      <c r="E743" s="25" t="str">
        <f>IFERROR(__xludf.DUMMYFUNCTION("""COMPUTED_VALUE"""),"Instagram")</f>
        <v>Instagram</v>
      </c>
      <c r="F743" s="25" t="str">
        <f>IFERROR(__xludf.DUMMYFUNCTION("""COMPUTED_VALUE"""),"Leads Baru")</f>
        <v>Leads Baru</v>
      </c>
      <c r="G743" s="25" t="str">
        <f>IFERROR(__xludf.DUMMYFUNCTION("""COMPUTED_VALUE"""),"2H1M custome")</f>
        <v>2H1M custome</v>
      </c>
      <c r="H743" s="92"/>
      <c r="I743" s="17">
        <f>IFERROR(__xludf.DUMMYFUNCTION("""COMPUTED_VALUE"""),2.0)</f>
        <v>2</v>
      </c>
      <c r="J743" s="93"/>
      <c r="K743" s="46" t="str">
        <f>IFERROR(__xludf.DUMMYFUNCTION("""COMPUTED_VALUE"""),"nanti dikabarin nunggu cuti acc, FU 1 Juni")</f>
        <v>nanti dikabarin nunggu cuti acc, FU 1 Juni</v>
      </c>
      <c r="L743" s="76"/>
      <c r="M743" s="20"/>
      <c r="N743" s="20"/>
      <c r="O743" s="20"/>
      <c r="P743" s="20"/>
    </row>
    <row r="744">
      <c r="A744" s="97">
        <f>IFERROR(__xludf.DUMMYFUNCTION("""COMPUTED_VALUE"""),46167.0)</f>
        <v>46167</v>
      </c>
      <c r="B744" s="110" t="str">
        <f>IFERROR(__xludf.DUMMYFUNCTION("""COMPUTED_VALUE"""),"2605D134")</f>
        <v>2605D134</v>
      </c>
      <c r="C744" s="49" t="str">
        <f>IFERROR(__xludf.DUMMYFUNCTION("""COMPUTED_VALUE"""),"Enung Asih Gandirum")</f>
        <v>Enung Asih Gandirum</v>
      </c>
      <c r="D744" s="102" t="str">
        <f>IFERROR(__xludf.DUMMYFUNCTION("""COMPUTED_VALUE"""),"08122180908")</f>
        <v>08122180908</v>
      </c>
      <c r="E744" s="25" t="str">
        <f>IFERROR(__xludf.DUMMYFUNCTION("""COMPUTED_VALUE"""),"Website")</f>
        <v>Website</v>
      </c>
      <c r="F744" s="25" t="str">
        <f>IFERROR(__xludf.DUMMYFUNCTION("""COMPUTED_VALUE"""),"Leads Baru")</f>
        <v>Leads Baru</v>
      </c>
      <c r="G744" s="25" t="str">
        <f>IFERROR(__xludf.DUMMYFUNCTION("""COMPUTED_VALUE"""),"2H1M opsi C")</f>
        <v>2H1M opsi C</v>
      </c>
      <c r="H744" s="26"/>
      <c r="I744" s="27">
        <f>IFERROR(__xludf.DUMMYFUNCTION("""COMPUTED_VALUE"""),2.0)</f>
        <v>2</v>
      </c>
      <c r="J744" s="33"/>
      <c r="K744" s="30" t="str">
        <f>IFERROR(__xludf.DUMMYFUNCTION("""COMPUTED_VALUE"""),"blm tau tglnya, FU 1 Juni")</f>
        <v>blm tau tglnya, FU 1 Juni</v>
      </c>
      <c r="L744" s="49"/>
      <c r="M744" s="20"/>
      <c r="N744" s="20"/>
      <c r="O744" s="20"/>
      <c r="P744" s="20"/>
    </row>
    <row r="745">
      <c r="A745" s="97">
        <f>IFERROR(__xludf.DUMMYFUNCTION("""COMPUTED_VALUE"""),46167.0)</f>
        <v>46167</v>
      </c>
      <c r="B745" s="97" t="str">
        <f>IFERROR(__xludf.DUMMYFUNCTION("""COMPUTED_VALUE"""),"2605D135")</f>
        <v>2605D135</v>
      </c>
      <c r="C745" s="76" t="str">
        <f>IFERROR(__xludf.DUMMYFUNCTION("""COMPUTED_VALUE"""),"Noreen Nareswari")</f>
        <v>Noreen Nareswari</v>
      </c>
      <c r="D745" s="99" t="str">
        <f>IFERROR(__xludf.DUMMYFUNCTION("""COMPUTED_VALUE"""),"083111986394")</f>
        <v>083111986394</v>
      </c>
      <c r="E745" s="25" t="str">
        <f>IFERROR(__xludf.DUMMYFUNCTION("""COMPUTED_VALUE"""),"Instagram")</f>
        <v>Instagram</v>
      </c>
      <c r="F745" s="25" t="str">
        <f>IFERROR(__xludf.DUMMYFUNCTION("""COMPUTED_VALUE"""),"Gagal")</f>
        <v>Gagal</v>
      </c>
      <c r="G745" s="25" t="str">
        <f>IFERROR(__xludf.DUMMYFUNCTION("""COMPUTED_VALUE"""),"OT Ijen ")</f>
        <v>OT Ijen </v>
      </c>
      <c r="H745" s="92">
        <f>IFERROR(__xludf.DUMMYFUNCTION("""COMPUTED_VALUE"""),46175.0)</f>
        <v>46175</v>
      </c>
      <c r="I745" s="80">
        <f>IFERROR(__xludf.DUMMYFUNCTION("""COMPUTED_VALUE"""),2.0)</f>
        <v>2</v>
      </c>
      <c r="J745" s="93"/>
      <c r="K745" s="46" t="str">
        <f>IFERROR(__xludf.DUMMYFUNCTION("""COMPUTED_VALUE"""),"blm bales lagi, FU 11 Juni")</f>
        <v>blm bales lagi, FU 11 Juni</v>
      </c>
      <c r="L745" s="76"/>
      <c r="M745" s="20"/>
      <c r="N745" s="20"/>
      <c r="O745" s="20"/>
      <c r="P745" s="20"/>
    </row>
    <row r="746">
      <c r="A746" s="97">
        <f>IFERROR(__xludf.DUMMYFUNCTION("""COMPUTED_VALUE"""),46167.0)</f>
        <v>46167</v>
      </c>
      <c r="B746" s="110" t="str">
        <f>IFERROR(__xludf.DUMMYFUNCTION("""COMPUTED_VALUE"""),"2605D136")</f>
        <v>2605D136</v>
      </c>
      <c r="C746" s="49" t="str">
        <f>IFERROR(__xludf.DUMMYFUNCTION("""COMPUTED_VALUE"""),"Karina")</f>
        <v>Karina</v>
      </c>
      <c r="D746" s="102" t="str">
        <f>IFERROR(__xludf.DUMMYFUNCTION("""COMPUTED_VALUE"""),"085156570817")</f>
        <v>085156570817</v>
      </c>
      <c r="E746" s="25" t="str">
        <f>IFERROR(__xludf.DUMMYFUNCTION("""COMPUTED_VALUE"""),"Instagram")</f>
        <v>Instagram</v>
      </c>
      <c r="F746" s="25" t="str">
        <f>IFERROR(__xludf.DUMMYFUNCTION("""COMPUTED_VALUE"""),"Leads Baru")</f>
        <v>Leads Baru</v>
      </c>
      <c r="G746" s="25" t="str">
        <f>IFERROR(__xludf.DUMMYFUNCTION("""COMPUTED_VALUE"""),"4H3M")</f>
        <v>4H3M</v>
      </c>
      <c r="H746" s="78"/>
      <c r="I746" s="89"/>
      <c r="J746" s="136"/>
      <c r="K746" s="30" t="str">
        <f>IFERROR(__xludf.DUMMYFUNCTION("""COMPUTED_VALUE"""),"belum balas lagi   ")</f>
        <v>belum balas lagi   </v>
      </c>
      <c r="L746" s="23"/>
      <c r="M746" s="20"/>
      <c r="N746" s="20"/>
      <c r="O746" s="20"/>
      <c r="P746" s="20"/>
    </row>
    <row r="747">
      <c r="A747" s="97">
        <f>IFERROR(__xludf.DUMMYFUNCTION("""COMPUTED_VALUE"""),46167.0)</f>
        <v>46167</v>
      </c>
      <c r="B747" s="97" t="str">
        <f>IFERROR(__xludf.DUMMYFUNCTION("""COMPUTED_VALUE"""),"2605D137")</f>
        <v>2605D137</v>
      </c>
      <c r="C747" s="76" t="str">
        <f>IFERROR(__xludf.DUMMYFUNCTION("""COMPUTED_VALUE"""),"Nurin")</f>
        <v>Nurin</v>
      </c>
      <c r="D747" s="99" t="str">
        <f>IFERROR(__xludf.DUMMYFUNCTION("""COMPUTED_VALUE"""),"085784410760")</f>
        <v>085784410760</v>
      </c>
      <c r="E747" s="25" t="str">
        <f>IFERROR(__xludf.DUMMYFUNCTION("""COMPUTED_VALUE"""),"Instagram")</f>
        <v>Instagram</v>
      </c>
      <c r="F747" s="25" t="str">
        <f>IFERROR(__xludf.DUMMYFUNCTION("""COMPUTED_VALUE"""),"Gagal")</f>
        <v>Gagal</v>
      </c>
      <c r="G747" s="25" t="str">
        <f>IFERROR(__xludf.DUMMYFUNCTION("""COMPUTED_VALUE"""),"OT Ijen ")</f>
        <v>OT Ijen </v>
      </c>
      <c r="H747" s="92"/>
      <c r="I747" s="17">
        <f>IFERROR(__xludf.DUMMYFUNCTION("""COMPUTED_VALUE"""),46146.0)</f>
        <v>46146</v>
      </c>
      <c r="J747" s="93"/>
      <c r="K747" s="46" t="str">
        <f>IFERROR(__xludf.DUMMYFUNCTION("""COMPUTED_VALUE"""),"FU 2 Juni ")</f>
        <v>FU 2 Juni </v>
      </c>
      <c r="L747" s="76"/>
      <c r="M747" s="20"/>
      <c r="N747" s="20"/>
      <c r="O747" s="20"/>
      <c r="P747" s="20"/>
    </row>
    <row r="748">
      <c r="A748" s="97">
        <f>IFERROR(__xludf.DUMMYFUNCTION("""COMPUTED_VALUE"""),46168.0)</f>
        <v>46168</v>
      </c>
      <c r="B748" s="110" t="str">
        <f>IFERROR(__xludf.DUMMYFUNCTION("""COMPUTED_VALUE"""),"2605D138")</f>
        <v>2605D138</v>
      </c>
      <c r="C748" s="49" t="str">
        <f>IFERROR(__xludf.DUMMYFUNCTION("""COMPUTED_VALUE"""),"Dhena Aloiya ")</f>
        <v>Dhena Aloiya </v>
      </c>
      <c r="D748" s="102" t="str">
        <f>IFERROR(__xludf.DUMMYFUNCTION("""COMPUTED_VALUE"""),"081232224190")</f>
        <v>081232224190</v>
      </c>
      <c r="E748" s="25" t="str">
        <f>IFERROR(__xludf.DUMMYFUNCTION("""COMPUTED_VALUE"""),"Instagram")</f>
        <v>Instagram</v>
      </c>
      <c r="F748" s="25" t="str">
        <f>IFERROR(__xludf.DUMMYFUNCTION("""COMPUTED_VALUE"""),"Gagal")</f>
        <v>Gagal</v>
      </c>
      <c r="G748" s="25" t="str">
        <f>IFERROR(__xludf.DUMMYFUNCTION("""COMPUTED_VALUE"""),"c")</f>
        <v>c</v>
      </c>
      <c r="H748" s="26">
        <f>IFERROR(__xludf.DUMMYFUNCTION("""COMPUTED_VALUE"""),46170.0)</f>
        <v>46170</v>
      </c>
      <c r="I748" s="27">
        <f>IFERROR(__xludf.DUMMYFUNCTION("""COMPUTED_VALUE"""),1.0)</f>
        <v>1</v>
      </c>
      <c r="J748" s="33"/>
      <c r="K748" s="30" t="str">
        <f>IFERROR(__xludf.DUMMYFUNCTION("""COMPUTED_VALUE"""),"tidak balas lagi, fullbooked")</f>
        <v>tidak balas lagi, fullbooked</v>
      </c>
      <c r="L748" s="49"/>
      <c r="M748" s="20"/>
      <c r="N748" s="20"/>
      <c r="O748" s="20"/>
      <c r="P748" s="20"/>
    </row>
    <row r="749">
      <c r="A749" s="97">
        <f>IFERROR(__xludf.DUMMYFUNCTION("""COMPUTED_VALUE"""),46168.0)</f>
        <v>46168</v>
      </c>
      <c r="B749" s="97" t="str">
        <f>IFERROR(__xludf.DUMMYFUNCTION("""COMPUTED_VALUE"""),"2605D139")</f>
        <v>2605D139</v>
      </c>
      <c r="C749" s="76" t="str">
        <f>IFERROR(__xludf.DUMMYFUNCTION("""COMPUTED_VALUE"""),"Blessing")</f>
        <v>Blessing</v>
      </c>
      <c r="D749" s="99" t="str">
        <f>IFERROR(__xludf.DUMMYFUNCTION("""COMPUTED_VALUE"""),"081337042933")</f>
        <v>081337042933</v>
      </c>
      <c r="E749" s="25" t="str">
        <f>IFERROR(__xludf.DUMMYFUNCTION("""COMPUTED_VALUE"""),"Website")</f>
        <v>Website</v>
      </c>
      <c r="F749" s="25" t="str">
        <f>IFERROR(__xludf.DUMMYFUNCTION("""COMPUTED_VALUE"""),"Gagal")</f>
        <v>Gagal</v>
      </c>
      <c r="G749" s="25" t="str">
        <f>IFERROR(__xludf.DUMMYFUNCTION("""COMPUTED_VALUE"""),"OT Ijen ")</f>
        <v>OT Ijen </v>
      </c>
      <c r="H749" s="92">
        <f>IFERROR(__xludf.DUMMYFUNCTION("""COMPUTED_VALUE"""),46171.0)</f>
        <v>46171</v>
      </c>
      <c r="I749" s="80">
        <f>IFERROR(__xludf.DUMMYFUNCTION("""COMPUTED_VALUE"""),1.0)</f>
        <v>1</v>
      </c>
      <c r="J749" s="93"/>
      <c r="K749" s="19"/>
      <c r="L749" s="76"/>
      <c r="M749" s="20"/>
      <c r="N749" s="20"/>
      <c r="O749" s="20"/>
      <c r="P749" s="20"/>
    </row>
    <row r="750">
      <c r="A750" s="97">
        <f>IFERROR(__xludf.DUMMYFUNCTION("""COMPUTED_VALUE"""),46167.0)</f>
        <v>46167</v>
      </c>
      <c r="B750" s="110" t="str">
        <f>IFERROR(__xludf.DUMMYFUNCTION("""COMPUTED_VALUE"""),"2605D140")</f>
        <v>2605D140</v>
      </c>
      <c r="C750" s="49" t="str">
        <f>IFERROR(__xludf.DUMMYFUNCTION("""COMPUTED_VALUE"""),"Farhan")</f>
        <v>Farhan</v>
      </c>
      <c r="D750" s="102" t="str">
        <f>IFERROR(__xludf.DUMMYFUNCTION("""COMPUTED_VALUE"""),"081380146024")</f>
        <v>081380146024</v>
      </c>
      <c r="E750" s="25" t="str">
        <f>IFERROR(__xludf.DUMMYFUNCTION("""COMPUTED_VALUE"""),"Instagram")</f>
        <v>Instagram</v>
      </c>
      <c r="F750" s="25" t="str">
        <f>IFERROR(__xludf.DUMMYFUNCTION("""COMPUTED_VALUE"""),"Leads Baru")</f>
        <v>Leads Baru</v>
      </c>
      <c r="G750" s="25" t="str">
        <f>IFERROR(__xludf.DUMMYFUNCTION("""COMPUTED_VALUE"""),"3H2M opsi A")</f>
        <v>3H2M opsi A</v>
      </c>
      <c r="H750" s="78">
        <f>IFERROR(__xludf.DUMMYFUNCTION("""COMPUTED_VALUE"""),46209.0)</f>
        <v>46209</v>
      </c>
      <c r="I750" s="89">
        <f>IFERROR(__xludf.DUMMYFUNCTION("""COMPUTED_VALUE"""),2.0)</f>
        <v>2</v>
      </c>
      <c r="J750" s="96"/>
      <c r="K750" s="30" t="str">
        <f>IFERROR(__xludf.DUMMYFUNCTION("""COMPUTED_VALUE"""),"nunggu info blue fire, FU 12 Juni")</f>
        <v>nunggu info blue fire, FU 12 Juni</v>
      </c>
      <c r="L750" s="23"/>
      <c r="M750" s="20"/>
      <c r="N750" s="20"/>
      <c r="O750" s="20"/>
      <c r="P750" s="20"/>
    </row>
    <row r="751">
      <c r="A751" s="97">
        <f>IFERROR(__xludf.DUMMYFUNCTION("""COMPUTED_VALUE"""),46168.0)</f>
        <v>46168</v>
      </c>
      <c r="B751" s="97" t="str">
        <f>IFERROR(__xludf.DUMMYFUNCTION("""COMPUTED_VALUE"""),"2605D141")</f>
        <v>2605D141</v>
      </c>
      <c r="C751" s="120" t="str">
        <f>IFERROR(__xludf.DUMMYFUNCTION("""COMPUTED_VALUE"""),"Angga ")</f>
        <v>Angga </v>
      </c>
      <c r="D751" s="99" t="str">
        <f>IFERROR(__xludf.DUMMYFUNCTION("""COMPUTED_VALUE"""),"08115392088")</f>
        <v>08115392088</v>
      </c>
      <c r="E751" s="25" t="str">
        <f>IFERROR(__xludf.DUMMYFUNCTION("""COMPUTED_VALUE"""),"Lainnya")</f>
        <v>Lainnya</v>
      </c>
      <c r="F751" s="25" t="str">
        <f>IFERROR(__xludf.DUMMYFUNCTION("""COMPUTED_VALUE"""),"Gagal")</f>
        <v>Gagal</v>
      </c>
      <c r="G751" s="25" t="str">
        <f>IFERROR(__xludf.DUMMYFUNCTION("""COMPUTED_VALUE"""),"OT Ijen ")</f>
        <v>OT Ijen </v>
      </c>
      <c r="H751" s="16"/>
      <c r="I751" s="80">
        <f>IFERROR(__xludf.DUMMYFUNCTION("""COMPUTED_VALUE"""),3.0)</f>
        <v>3</v>
      </c>
      <c r="J751" s="54"/>
      <c r="K751" s="46" t="str">
        <f>IFERROR(__xludf.DUMMYFUNCTION("""COMPUTED_VALUE"""),"gagall, di fu tidak pernah balas")</f>
        <v>gagall, di fu tidak pernah balas</v>
      </c>
      <c r="L751" s="76"/>
      <c r="M751" s="20"/>
      <c r="N751" s="20"/>
      <c r="O751" s="20"/>
      <c r="P751" s="20"/>
    </row>
    <row r="752">
      <c r="A752" s="97">
        <f>IFERROR(__xludf.DUMMYFUNCTION("""COMPUTED_VALUE"""),46168.0)</f>
        <v>46168</v>
      </c>
      <c r="B752" s="110" t="str">
        <f>IFERROR(__xludf.DUMMYFUNCTION("""COMPUTED_VALUE"""),"2605D142")</f>
        <v>2605D142</v>
      </c>
      <c r="C752" s="49" t="str">
        <f>IFERROR(__xludf.DUMMYFUNCTION("""COMPUTED_VALUE"""),"No Name korban janji")</f>
        <v>No Name korban janji</v>
      </c>
      <c r="D752" s="102" t="str">
        <f>IFERROR(__xludf.DUMMYFUNCTION("""COMPUTED_VALUE"""),"081333550560")</f>
        <v>081333550560</v>
      </c>
      <c r="E752" s="25" t="str">
        <f>IFERROR(__xludf.DUMMYFUNCTION("""COMPUTED_VALUE"""),"Tiktok")</f>
        <v>Tiktok</v>
      </c>
      <c r="F752" s="25" t="str">
        <f>IFERROR(__xludf.DUMMYFUNCTION("""COMPUTED_VALUE"""),"Leads Baru")</f>
        <v>Leads Baru</v>
      </c>
      <c r="G752" s="25"/>
      <c r="H752" s="78"/>
      <c r="I752" s="89">
        <f>IFERROR(__xludf.DUMMYFUNCTION("""COMPUTED_VALUE"""),1.0)</f>
        <v>1</v>
      </c>
      <c r="J752" s="136"/>
      <c r="K752" s="36" t="str">
        <f>IFERROR(__xludf.DUMMYFUNCTION("""COMPUTED_VALUE"""),"belum fiks mau trip yg mana, FU 6 Juni")</f>
        <v>belum fiks mau trip yg mana, FU 6 Juni</v>
      </c>
      <c r="L752" s="49"/>
      <c r="M752" s="20"/>
      <c r="N752" s="20"/>
      <c r="O752" s="20"/>
      <c r="P752" s="20"/>
    </row>
    <row r="753">
      <c r="A753" s="97">
        <f>IFERROR(__xludf.DUMMYFUNCTION("""COMPUTED_VALUE"""),46167.0)</f>
        <v>46167</v>
      </c>
      <c r="B753" s="97" t="str">
        <f>IFERROR(__xludf.DUMMYFUNCTION("""COMPUTED_VALUE"""),"2605D143")</f>
        <v>2605D143</v>
      </c>
      <c r="C753" s="76" t="str">
        <f>IFERROR(__xludf.DUMMYFUNCTION("""COMPUTED_VALUE"""),"Dedewww")</f>
        <v>Dedewww</v>
      </c>
      <c r="D753" s="99" t="str">
        <f>IFERROR(__xludf.DUMMYFUNCTION("""COMPUTED_VALUE"""),"085693602638")</f>
        <v>085693602638</v>
      </c>
      <c r="E753" s="25" t="str">
        <f>IFERROR(__xludf.DUMMYFUNCTION("""COMPUTED_VALUE"""),"Instagram")</f>
        <v>Instagram</v>
      </c>
      <c r="F753" s="25" t="str">
        <f>IFERROR(__xludf.DUMMYFUNCTION("""COMPUTED_VALUE"""),"Gagal")</f>
        <v>Gagal</v>
      </c>
      <c r="G753" s="25"/>
      <c r="H753" s="16"/>
      <c r="I753" s="17"/>
      <c r="J753" s="54"/>
      <c r="K753" s="46" t="str">
        <f>IFERROR(__xludf.DUMMYFUNCTION("""COMPUTED_VALUE"""),"sudah fu tidakk balass")</f>
        <v>sudah fu tidakk balass</v>
      </c>
      <c r="L753" s="76"/>
      <c r="M753" s="20"/>
      <c r="N753" s="20"/>
      <c r="O753" s="20"/>
      <c r="P753" s="20"/>
    </row>
    <row r="754">
      <c r="A754" s="110">
        <f>IFERROR(__xludf.DUMMYFUNCTION("""COMPUTED_VALUE"""),46168.0)</f>
        <v>46168</v>
      </c>
      <c r="B754" s="110" t="str">
        <f>IFERROR(__xludf.DUMMYFUNCTION("""COMPUTED_VALUE"""),"2605D144")</f>
        <v>2605D144</v>
      </c>
      <c r="C754" s="49" t="str">
        <f>IFERROR(__xludf.DUMMYFUNCTION("""COMPUTED_VALUE"""),"Ayu Desy")</f>
        <v>Ayu Desy</v>
      </c>
      <c r="D754" s="102" t="str">
        <f>IFERROR(__xludf.DUMMYFUNCTION("""COMPUTED_VALUE"""),"081345445626")</f>
        <v>081345445626</v>
      </c>
      <c r="E754" s="25" t="str">
        <f>IFERROR(__xludf.DUMMYFUNCTION("""COMPUTED_VALUE"""),"Instagram")</f>
        <v>Instagram</v>
      </c>
      <c r="F754" s="25" t="str">
        <f>IFERROR(__xludf.DUMMYFUNCTION("""COMPUTED_VALUE"""),"Gagal")</f>
        <v>Gagal</v>
      </c>
      <c r="G754" s="25" t="str">
        <f>IFERROR(__xludf.DUMMYFUNCTION("""COMPUTED_VALUE"""),"OT GI ")</f>
        <v>OT GI </v>
      </c>
      <c r="H754" s="26">
        <f>IFERROR(__xludf.DUMMYFUNCTION("""COMPUTED_VALUE"""),46173.0)</f>
        <v>46173</v>
      </c>
      <c r="I754" s="27">
        <f>IFERROR(__xludf.DUMMYFUNCTION("""COMPUTED_VALUE"""),1.0)</f>
        <v>1</v>
      </c>
      <c r="J754" s="33"/>
      <c r="K754" s="30" t="str">
        <f>IFERROR(__xludf.DUMMYFUNCTION("""COMPUTED_VALUE"""),"kabarin kalau ada barengan")</f>
        <v>kabarin kalau ada barengan</v>
      </c>
      <c r="L754" s="49"/>
      <c r="M754" s="20"/>
      <c r="N754" s="20"/>
      <c r="O754" s="20"/>
      <c r="P754" s="20"/>
    </row>
    <row r="755">
      <c r="A755" s="97">
        <f>IFERROR(__xludf.DUMMYFUNCTION("""COMPUTED_VALUE"""),46168.0)</f>
        <v>46168</v>
      </c>
      <c r="B755" s="97" t="str">
        <f>IFERROR(__xludf.DUMMYFUNCTION("""COMPUTED_VALUE"""),"2605D145")</f>
        <v>2605D145</v>
      </c>
      <c r="C755" s="76" t="str">
        <f>IFERROR(__xludf.DUMMYFUNCTION("""COMPUTED_VALUE"""),"Bustomi")</f>
        <v>Bustomi</v>
      </c>
      <c r="D755" s="99" t="str">
        <f>IFERROR(__xludf.DUMMYFUNCTION("""COMPUTED_VALUE"""),"081220030020")</f>
        <v>081220030020</v>
      </c>
      <c r="E755" s="25" t="str">
        <f>IFERROR(__xludf.DUMMYFUNCTION("""COMPUTED_VALUE"""),"Website")</f>
        <v>Website</v>
      </c>
      <c r="F755" s="25" t="str">
        <f>IFERROR(__xludf.DUMMYFUNCTION("""COMPUTED_VALUE"""),"Leads Baru")</f>
        <v>Leads Baru</v>
      </c>
      <c r="G755" s="25" t="str">
        <f>IFERROR(__xludf.DUMMYFUNCTION("""COMPUTED_VALUE"""),"3h2m ")</f>
        <v>3h2m </v>
      </c>
      <c r="H755" s="92">
        <f>IFERROR(__xludf.DUMMYFUNCTION("""COMPUTED_VALUE"""),46388.0)</f>
        <v>46388</v>
      </c>
      <c r="I755" s="80">
        <f>IFERROR(__xludf.DUMMYFUNCTION("""COMPUTED_VALUE"""),8.0)</f>
        <v>8</v>
      </c>
      <c r="J755" s="93"/>
      <c r="K755" s="46" t="str">
        <f>IFERROR(__xludf.DUMMYFUNCTION("""COMPUTED_VALUE"""),"buat penawaran")</f>
        <v>buat penawaran</v>
      </c>
      <c r="L755" s="76"/>
      <c r="M755" s="20"/>
      <c r="N755" s="20"/>
      <c r="O755" s="20"/>
      <c r="P755" s="20"/>
    </row>
    <row r="756">
      <c r="A756" s="110">
        <f>IFERROR(__xludf.DUMMYFUNCTION("""COMPUTED_VALUE"""),46168.0)</f>
        <v>46168</v>
      </c>
      <c r="B756" s="110" t="str">
        <f>IFERROR(__xludf.DUMMYFUNCTION("""COMPUTED_VALUE"""),"2605D146")</f>
        <v>2605D146</v>
      </c>
      <c r="C756" s="49" t="str">
        <f>IFERROR(__xludf.DUMMYFUNCTION("""COMPUTED_VALUE"""),"agunghw25")</f>
        <v>agunghw25</v>
      </c>
      <c r="D756" s="102" t="str">
        <f>IFERROR(__xludf.DUMMYFUNCTION("""COMPUTED_VALUE"""),"085692467719")</f>
        <v>085692467719</v>
      </c>
      <c r="E756" s="25" t="str">
        <f>IFERROR(__xludf.DUMMYFUNCTION("""COMPUTED_VALUE"""),"Website")</f>
        <v>Website</v>
      </c>
      <c r="F756" s="25" t="str">
        <f>IFERROR(__xludf.DUMMYFUNCTION("""COMPUTED_VALUE"""),"Gagal")</f>
        <v>Gagal</v>
      </c>
      <c r="G756" s="25" t="str">
        <f>IFERROR(__xludf.DUMMYFUNCTION("""COMPUTED_VALUE"""),"2h1m")</f>
        <v>2h1m</v>
      </c>
      <c r="H756" s="78">
        <f>IFERROR(__xludf.DUMMYFUNCTION("""COMPUTED_VALUE"""),46171.0)</f>
        <v>46171</v>
      </c>
      <c r="I756" s="89">
        <f>IFERROR(__xludf.DUMMYFUNCTION("""COMPUTED_VALUE"""),5.0)</f>
        <v>5</v>
      </c>
      <c r="J756" s="96"/>
      <c r="K756" s="36" t="str">
        <f>IFERROR(__xludf.DUMMYFUNCTION("""COMPUTED_VALUE"""),"fullbookedd")</f>
        <v>fullbookedd</v>
      </c>
      <c r="L756" s="49"/>
      <c r="M756" s="20"/>
      <c r="N756" s="20"/>
      <c r="O756" s="20"/>
      <c r="P756" s="20"/>
    </row>
    <row r="757">
      <c r="A757" s="97">
        <f>IFERROR(__xludf.DUMMYFUNCTION("""COMPUTED_VALUE"""),46168.0)</f>
        <v>46168</v>
      </c>
      <c r="B757" s="97" t="str">
        <f>IFERROR(__xludf.DUMMYFUNCTION("""COMPUTED_VALUE"""),"2605D147")</f>
        <v>2605D147</v>
      </c>
      <c r="C757" s="76" t="str">
        <f>IFERROR(__xludf.DUMMYFUNCTION("""COMPUTED_VALUE"""),"Rahayu")</f>
        <v>Rahayu</v>
      </c>
      <c r="D757" s="99" t="str">
        <f>IFERROR(__xludf.DUMMYFUNCTION("""COMPUTED_VALUE"""),"085231166604")</f>
        <v>085231166604</v>
      </c>
      <c r="E757" s="25" t="str">
        <f>IFERROR(__xludf.DUMMYFUNCTION("""COMPUTED_VALUE"""),"Website")</f>
        <v>Website</v>
      </c>
      <c r="F757" s="25" t="str">
        <f>IFERROR(__xludf.DUMMYFUNCTION("""COMPUTED_VALUE"""),"Leads Baru")</f>
        <v>Leads Baru</v>
      </c>
      <c r="G757" s="25" t="str">
        <f>IFERROR(__xludf.DUMMYFUNCTION("""COMPUTED_VALUE"""),"2h1m custome")</f>
        <v>2h1m custome</v>
      </c>
      <c r="H757" s="92"/>
      <c r="I757" s="80">
        <f>IFERROR(__xludf.DUMMYFUNCTION("""COMPUTED_VALUE"""),4.0)</f>
        <v>4</v>
      </c>
      <c r="J757" s="140"/>
      <c r="K757" s="46"/>
      <c r="L757" s="76"/>
      <c r="M757" s="20"/>
      <c r="N757" s="20"/>
      <c r="O757" s="20"/>
      <c r="P757" s="20"/>
    </row>
    <row r="758">
      <c r="A758" s="110">
        <f>IFERROR(__xludf.DUMMYFUNCTION("""COMPUTED_VALUE"""),46169.0)</f>
        <v>46169</v>
      </c>
      <c r="B758" s="110" t="str">
        <f>IFERROR(__xludf.DUMMYFUNCTION("""COMPUTED_VALUE"""),"2605D148")</f>
        <v>2605D148</v>
      </c>
      <c r="C758" s="49" t="str">
        <f>IFERROR(__xludf.DUMMYFUNCTION("""COMPUTED_VALUE"""),"Rann")</f>
        <v>Rann</v>
      </c>
      <c r="D758" s="102" t="str">
        <f>IFERROR(__xludf.DUMMYFUNCTION("""COMPUTED_VALUE"""),"972544922252")</f>
        <v>972544922252</v>
      </c>
      <c r="E758" s="25" t="str">
        <f>IFERROR(__xludf.DUMMYFUNCTION("""COMPUTED_VALUE"""),"Instagram")</f>
        <v>Instagram</v>
      </c>
      <c r="F758" s="25" t="str">
        <f>IFERROR(__xludf.DUMMYFUNCTION("""COMPUTED_VALUE"""),"Leads Baru")</f>
        <v>Leads Baru</v>
      </c>
      <c r="G758" s="25" t="str">
        <f>IFERROR(__xludf.DUMMYFUNCTION("""COMPUTED_VALUE"""),"Ijen, Djawatan")</f>
        <v>Ijen, Djawatan</v>
      </c>
      <c r="H758" s="78"/>
      <c r="I758" s="89">
        <f>IFERROR(__xludf.DUMMYFUNCTION("""COMPUTED_VALUE"""),2.0)</f>
        <v>2</v>
      </c>
      <c r="J758" s="96"/>
      <c r="K758" s="30" t="str">
        <f>IFERROR(__xludf.DUMMYFUNCTION("""COMPUTED_VALUE"""),"belum balas lagi")</f>
        <v>belum balas lagi</v>
      </c>
      <c r="L758" s="49"/>
      <c r="M758" s="20"/>
      <c r="N758" s="20"/>
      <c r="O758" s="20"/>
      <c r="P758" s="20"/>
    </row>
    <row r="759">
      <c r="A759" s="97">
        <f>IFERROR(__xludf.DUMMYFUNCTION("""COMPUTED_VALUE"""),46169.0)</f>
        <v>46169</v>
      </c>
      <c r="B759" s="97" t="str">
        <f>IFERROR(__xludf.DUMMYFUNCTION("""COMPUTED_VALUE"""),"2605D149")</f>
        <v>2605D149</v>
      </c>
      <c r="C759" s="76" t="str">
        <f>IFERROR(__xludf.DUMMYFUNCTION("""COMPUTED_VALUE"""),"Agusdrmwn")</f>
        <v>Agusdrmwn</v>
      </c>
      <c r="D759" s="99" t="str">
        <f>IFERROR(__xludf.DUMMYFUNCTION("""COMPUTED_VALUE"""),"089624718830")</f>
        <v>089624718830</v>
      </c>
      <c r="E759" s="25" t="str">
        <f>IFERROR(__xludf.DUMMYFUNCTION("""COMPUTED_VALUE"""),"Instagram")</f>
        <v>Instagram</v>
      </c>
      <c r="F759" s="25" t="str">
        <f>IFERROR(__xludf.DUMMYFUNCTION("""COMPUTED_VALUE"""),"Leads Baru")</f>
        <v>Leads Baru</v>
      </c>
      <c r="G759" s="25" t="str">
        <f>IFERROR(__xludf.DUMMYFUNCTION("""COMPUTED_VALUE"""),"1D trip")</f>
        <v>1D trip</v>
      </c>
      <c r="H759" s="92"/>
      <c r="I759" s="80">
        <f>IFERROR(__xludf.DUMMYFUNCTION("""COMPUTED_VALUE"""),46114.0)</f>
        <v>46114</v>
      </c>
      <c r="J759" s="93"/>
      <c r="K759" s="19" t="str">
        <f>IFERROR(__xludf.DUMMYFUNCTION("""COMPUTED_VALUE"""),"FU 6 Juni")</f>
        <v>FU 6 Juni</v>
      </c>
      <c r="L759" s="10"/>
      <c r="M759" s="20"/>
      <c r="N759" s="20"/>
      <c r="O759" s="20"/>
      <c r="P759" s="20"/>
    </row>
    <row r="760">
      <c r="A760" s="110">
        <f>IFERROR(__xludf.DUMMYFUNCTION("""COMPUTED_VALUE"""),46169.0)</f>
        <v>46169</v>
      </c>
      <c r="B760" s="110" t="str">
        <f>IFERROR(__xludf.DUMMYFUNCTION("""COMPUTED_VALUE"""),"2605D150")</f>
        <v>2605D150</v>
      </c>
      <c r="C760" s="49" t="str">
        <f>IFERROR(__xludf.DUMMYFUNCTION("""COMPUTED_VALUE"""),"Risal kwee")</f>
        <v>Risal kwee</v>
      </c>
      <c r="D760" s="102" t="str">
        <f>IFERROR(__xludf.DUMMYFUNCTION("""COMPUTED_VALUE"""),"08977280909")</f>
        <v>08977280909</v>
      </c>
      <c r="E760" s="25" t="str">
        <f>IFERROR(__xludf.DUMMYFUNCTION("""COMPUTED_VALUE"""),"Instagram")</f>
        <v>Instagram</v>
      </c>
      <c r="F760" s="25" t="str">
        <f>IFERROR(__xludf.DUMMYFUNCTION("""COMPUTED_VALUE"""),"Gagal")</f>
        <v>Gagal</v>
      </c>
      <c r="G760" s="25" t="str">
        <f>IFERROR(__xludf.DUMMYFUNCTION("""COMPUTED_VALUE"""),"OT 3H2M ")</f>
        <v>OT 3H2M </v>
      </c>
      <c r="H760" s="26">
        <f>IFERROR(__xludf.DUMMYFUNCTION("""COMPUTED_VALUE"""),46171.0)</f>
        <v>46171</v>
      </c>
      <c r="I760" s="27">
        <f>IFERROR(__xludf.DUMMYFUNCTION("""COMPUTED_VALUE"""),2.0)</f>
        <v>2</v>
      </c>
      <c r="J760" s="33"/>
      <c r="K760" s="30" t="str">
        <f>IFERROR(__xludf.DUMMYFUNCTION("""COMPUTED_VALUE"""),"fullbookeedddd")</f>
        <v>fullbookeedddd</v>
      </c>
      <c r="L760" s="49"/>
      <c r="M760" s="20"/>
      <c r="N760" s="20"/>
      <c r="O760" s="20"/>
      <c r="P760" s="20"/>
    </row>
    <row r="761">
      <c r="A761" s="97">
        <f>IFERROR(__xludf.DUMMYFUNCTION("""COMPUTED_VALUE"""),46169.0)</f>
        <v>46169</v>
      </c>
      <c r="B761" s="97" t="str">
        <f>IFERROR(__xludf.DUMMYFUNCTION("""COMPUTED_VALUE"""),"2605D151")</f>
        <v>2605D151</v>
      </c>
      <c r="C761" s="76" t="str">
        <f>IFERROR(__xludf.DUMMYFUNCTION("""COMPUTED_VALUE"""),"Octavishanta")</f>
        <v>Octavishanta</v>
      </c>
      <c r="D761" s="99" t="str">
        <f>IFERROR(__xludf.DUMMYFUNCTION("""COMPUTED_VALUE"""),"085871964453")</f>
        <v>085871964453</v>
      </c>
      <c r="E761" s="25" t="str">
        <f>IFERROR(__xludf.DUMMYFUNCTION("""COMPUTED_VALUE"""),"Instagram")</f>
        <v>Instagram</v>
      </c>
      <c r="F761" s="25" t="str">
        <f>IFERROR(__xludf.DUMMYFUNCTION("""COMPUTED_VALUE"""),"Gagal")</f>
        <v>Gagal</v>
      </c>
      <c r="G761" s="25" t="str">
        <f>IFERROR(__xludf.DUMMYFUNCTION("""COMPUTED_VALUE"""),"OT MT")</f>
        <v>OT MT</v>
      </c>
      <c r="H761" s="92"/>
      <c r="I761" s="80">
        <f>IFERROR(__xludf.DUMMYFUNCTION("""COMPUTED_VALUE"""),2.0)</f>
        <v>2</v>
      </c>
      <c r="J761" s="93"/>
      <c r="K761" s="19" t="str">
        <f>IFERROR(__xludf.DUMMYFUNCTION("""COMPUTED_VALUE"""),"FU 30 Mei ")</f>
        <v>FU 30 Mei </v>
      </c>
      <c r="L761" s="76"/>
      <c r="M761" s="20"/>
      <c r="N761" s="20"/>
      <c r="O761" s="20"/>
      <c r="P761" s="20"/>
    </row>
    <row r="762">
      <c r="A762" s="110">
        <f>IFERROR(__xludf.DUMMYFUNCTION("""COMPUTED_VALUE"""),46169.0)</f>
        <v>46169</v>
      </c>
      <c r="B762" s="110" t="str">
        <f>IFERROR(__xludf.DUMMYFUNCTION("""COMPUTED_VALUE"""),"2605d152")</f>
        <v>2605d152</v>
      </c>
      <c r="C762" s="49" t="str">
        <f>IFERROR(__xludf.DUMMYFUNCTION("""COMPUTED_VALUE"""),"No Name MT")</f>
        <v>No Name MT</v>
      </c>
      <c r="D762" s="102" t="str">
        <f>IFERROR(__xludf.DUMMYFUNCTION("""COMPUTED_VALUE"""),"08990300975")</f>
        <v>08990300975</v>
      </c>
      <c r="E762" s="25" t="str">
        <f>IFERROR(__xludf.DUMMYFUNCTION("""COMPUTED_VALUE"""),"Instagram")</f>
        <v>Instagram</v>
      </c>
      <c r="F762" s="25" t="str">
        <f>IFERROR(__xludf.DUMMYFUNCTION("""COMPUTED_VALUE"""),"Gagal")</f>
        <v>Gagal</v>
      </c>
      <c r="G762" s="25" t="str">
        <f>IFERROR(__xludf.DUMMYFUNCTION("""COMPUTED_VALUE"""),"OT MT")</f>
        <v>OT MT</v>
      </c>
      <c r="H762" s="78">
        <f>IFERROR(__xludf.DUMMYFUNCTION("""COMPUTED_VALUE"""),46171.0)</f>
        <v>46171</v>
      </c>
      <c r="I762" s="141">
        <f>IFERROR(__xludf.DUMMYFUNCTION("""COMPUTED_VALUE"""),2.0)</f>
        <v>2</v>
      </c>
      <c r="J762" s="96"/>
      <c r="K762" s="30" t="str">
        <f>IFERROR(__xludf.DUMMYFUNCTION("""COMPUTED_VALUE"""),"fullbookedd")</f>
        <v>fullbookedd</v>
      </c>
      <c r="L762" s="49"/>
      <c r="M762" s="20"/>
      <c r="N762" s="20"/>
      <c r="O762" s="20"/>
      <c r="P762" s="20"/>
    </row>
    <row r="763">
      <c r="A763" s="97">
        <f>IFERROR(__xludf.DUMMYFUNCTION("""COMPUTED_VALUE"""),46170.0)</f>
        <v>46170</v>
      </c>
      <c r="B763" s="97" t="str">
        <f>IFERROR(__xludf.DUMMYFUNCTION("""COMPUTED_VALUE"""),"2605D153")</f>
        <v>2605D153</v>
      </c>
      <c r="C763" s="76" t="str">
        <f>IFERROR(__xludf.DUMMYFUNCTION("""COMPUTED_VALUE"""),"Lia")</f>
        <v>Lia</v>
      </c>
      <c r="D763" s="99" t="str">
        <f>IFERROR(__xludf.DUMMYFUNCTION("""COMPUTED_VALUE"""),"082243948501")</f>
        <v>082243948501</v>
      </c>
      <c r="E763" s="25" t="str">
        <f>IFERROR(__xludf.DUMMYFUNCTION("""COMPUTED_VALUE"""),"Instagram")</f>
        <v>Instagram</v>
      </c>
      <c r="F763" s="25" t="str">
        <f>IFERROR(__xludf.DUMMYFUNCTION("""COMPUTED_VALUE"""),"Leads Baru")</f>
        <v>Leads Baru</v>
      </c>
      <c r="G763" s="25" t="str">
        <f>IFERROR(__xludf.DUMMYFUNCTION("""COMPUTED_VALUE"""),"OT MT")</f>
        <v>OT MT</v>
      </c>
      <c r="H763" s="16"/>
      <c r="I763" s="17"/>
      <c r="J763" s="54"/>
      <c r="K763" s="46" t="str">
        <f>IFERROR(__xludf.DUMMYFUNCTION("""COMPUTED_VALUE"""),"belum balas lagi, FU 4 Juni")</f>
        <v>belum balas lagi, FU 4 Juni</v>
      </c>
      <c r="L763" s="76"/>
      <c r="M763" s="20"/>
      <c r="N763" s="20"/>
      <c r="O763" s="20"/>
      <c r="P763" s="20"/>
    </row>
    <row r="764">
      <c r="A764" s="110">
        <f>IFERROR(__xludf.DUMMYFUNCTION("""COMPUTED_VALUE"""),46170.0)</f>
        <v>46170</v>
      </c>
      <c r="B764" s="110" t="str">
        <f>IFERROR(__xludf.DUMMYFUNCTION("""COMPUTED_VALUE"""),"2605D154")</f>
        <v>2605D154</v>
      </c>
      <c r="C764" s="49" t="str">
        <f>IFERROR(__xludf.DUMMYFUNCTION("""COMPUTED_VALUE"""),"Aldino yurizal")</f>
        <v>Aldino yurizal</v>
      </c>
      <c r="D764" s="102" t="str">
        <f>IFERROR(__xludf.DUMMYFUNCTION("""COMPUTED_VALUE"""),"081280404715")</f>
        <v>081280404715</v>
      </c>
      <c r="E764" s="25" t="str">
        <f>IFERROR(__xludf.DUMMYFUNCTION("""COMPUTED_VALUE"""),"Instagram")</f>
        <v>Instagram</v>
      </c>
      <c r="F764" s="25" t="str">
        <f>IFERROR(__xludf.DUMMYFUNCTION("""COMPUTED_VALUE"""),"Gagal")</f>
        <v>Gagal</v>
      </c>
      <c r="G764" s="25" t="str">
        <f>IFERROR(__xludf.DUMMYFUNCTION("""COMPUTED_VALUE"""),"OT 3H2M ")</f>
        <v>OT 3H2M </v>
      </c>
      <c r="H764" s="78">
        <f>IFERROR(__xludf.DUMMYFUNCTION("""COMPUTED_VALUE"""),46172.0)</f>
        <v>46172</v>
      </c>
      <c r="I764" s="27">
        <f>IFERROR(__xludf.DUMMYFUNCTION("""COMPUTED_VALUE"""),2.0)</f>
        <v>2</v>
      </c>
      <c r="J764" s="145"/>
      <c r="K764" s="30" t="str">
        <f>IFERROR(__xludf.DUMMYFUNCTION("""COMPUTED_VALUE"""),"fuulbookedd")</f>
        <v>fuulbookedd</v>
      </c>
      <c r="L764" s="49"/>
      <c r="M764" s="20"/>
      <c r="N764" s="20"/>
      <c r="O764" s="20"/>
      <c r="P764" s="20"/>
    </row>
    <row r="765">
      <c r="A765" s="97">
        <f>IFERROR(__xludf.DUMMYFUNCTION("""COMPUTED_VALUE"""),46170.0)</f>
        <v>46170</v>
      </c>
      <c r="B765" s="97" t="str">
        <f>IFERROR(__xludf.DUMMYFUNCTION("""COMPUTED_VALUE"""),"2605D155")</f>
        <v>2605D155</v>
      </c>
      <c r="C765" s="76" t="str">
        <f>IFERROR(__xludf.DUMMYFUNCTION("""COMPUTED_VALUE"""),"Nabilazaein")</f>
        <v>Nabilazaein</v>
      </c>
      <c r="D765" s="99" t="str">
        <f>IFERROR(__xludf.DUMMYFUNCTION("""COMPUTED_VALUE"""),"082233703699")</f>
        <v>082233703699</v>
      </c>
      <c r="E765" s="25" t="str">
        <f>IFERROR(__xludf.DUMMYFUNCTION("""COMPUTED_VALUE"""),"Instagram")</f>
        <v>Instagram</v>
      </c>
      <c r="F765" s="25" t="str">
        <f>IFERROR(__xludf.DUMMYFUNCTION("""COMPUTED_VALUE"""),"Gagal")</f>
        <v>Gagal</v>
      </c>
      <c r="G765" s="25" t="str">
        <f>IFERROR(__xludf.DUMMYFUNCTION("""COMPUTED_VALUE"""),"OT MT")</f>
        <v>OT MT</v>
      </c>
      <c r="H765" s="92">
        <f>IFERROR(__xludf.DUMMYFUNCTION("""COMPUTED_VALUE"""),46172.0)</f>
        <v>46172</v>
      </c>
      <c r="I765" s="80"/>
      <c r="J765" s="93"/>
      <c r="K765" s="19" t="str">
        <f>IFERROR(__xludf.DUMMYFUNCTION("""COMPUTED_VALUE"""),"fuulbookedd")</f>
        <v>fuulbookedd</v>
      </c>
      <c r="L765" s="76"/>
      <c r="M765" s="20"/>
      <c r="N765" s="20"/>
      <c r="O765" s="20"/>
      <c r="P765" s="20"/>
    </row>
    <row r="766">
      <c r="A766" s="110">
        <f>IFERROR(__xludf.DUMMYFUNCTION("""COMPUTED_VALUE"""),46170.0)</f>
        <v>46170</v>
      </c>
      <c r="B766" s="110" t="str">
        <f>IFERROR(__xludf.DUMMYFUNCTION("""COMPUTED_VALUE"""),"2605D156")</f>
        <v>2605D156</v>
      </c>
      <c r="C766" s="49" t="str">
        <f>IFERROR(__xludf.DUMMYFUNCTION("""COMPUTED_VALUE"""),"Wawan Abner")</f>
        <v>Wawan Abner</v>
      </c>
      <c r="D766" s="102" t="str">
        <f>IFERROR(__xludf.DUMMYFUNCTION("""COMPUTED_VALUE"""),"082216210536")</f>
        <v>082216210536</v>
      </c>
      <c r="E766" s="25" t="str">
        <f>IFERROR(__xludf.DUMMYFUNCTION("""COMPUTED_VALUE"""),"Website")</f>
        <v>Website</v>
      </c>
      <c r="F766" s="25" t="str">
        <f>IFERROR(__xludf.DUMMYFUNCTION("""COMPUTED_VALUE"""),"Gagal")</f>
        <v>Gagal</v>
      </c>
      <c r="G766" s="25" t="str">
        <f>IFERROR(__xludf.DUMMYFUNCTION("""COMPUTED_VALUE"""),"OT MT")</f>
        <v>OT MT</v>
      </c>
      <c r="H766" s="78">
        <f>IFERROR(__xludf.DUMMYFUNCTION("""COMPUTED_VALUE"""),46172.0)</f>
        <v>46172</v>
      </c>
      <c r="I766" s="89"/>
      <c r="J766" s="96"/>
      <c r="K766" s="30" t="str">
        <f>IFERROR(__xludf.DUMMYFUNCTION("""COMPUTED_VALUE"""),"fuulbookedd")</f>
        <v>fuulbookedd</v>
      </c>
      <c r="L766" s="49"/>
      <c r="M766" s="20"/>
      <c r="N766" s="20"/>
      <c r="O766" s="20"/>
      <c r="P766" s="20"/>
    </row>
    <row r="767">
      <c r="A767" s="97">
        <f>IFERROR(__xludf.DUMMYFUNCTION("""COMPUTED_VALUE"""),46170.0)</f>
        <v>46170</v>
      </c>
      <c r="B767" s="97" t="str">
        <f>IFERROR(__xludf.DUMMYFUNCTION("""COMPUTED_VALUE"""),"2605D157")</f>
        <v>2605D157</v>
      </c>
      <c r="C767" s="76" t="str">
        <f>IFERROR(__xludf.DUMMYFUNCTION("""COMPUTED_VALUE"""),"Zhenhe Fu")</f>
        <v>Zhenhe Fu</v>
      </c>
      <c r="D767" s="99" t="str">
        <f>IFERROR(__xludf.DUMMYFUNCTION("""COMPUTED_VALUE"""),"8615912057370")</f>
        <v>8615912057370</v>
      </c>
      <c r="E767" s="25" t="str">
        <f>IFERROR(__xludf.DUMMYFUNCTION("""COMPUTED_VALUE"""),"Instagram")</f>
        <v>Instagram</v>
      </c>
      <c r="F767" s="25" t="str">
        <f>IFERROR(__xludf.DUMMYFUNCTION("""COMPUTED_VALUE"""),"Closing")</f>
        <v>Closing</v>
      </c>
      <c r="G767" s="25" t="str">
        <f>IFERROR(__xludf.DUMMYFUNCTION("""COMPUTED_VALUE"""),"OT Ijen ")</f>
        <v>OT Ijen </v>
      </c>
      <c r="H767" s="92">
        <f>IFERROR(__xludf.DUMMYFUNCTION("""COMPUTED_VALUE"""),46172.0)</f>
        <v>46172</v>
      </c>
      <c r="I767" s="80">
        <f>IFERROR(__xludf.DUMMYFUNCTION("""COMPUTED_VALUE"""),1.0)</f>
        <v>1</v>
      </c>
      <c r="J767" s="93">
        <f>IFERROR(__xludf.DUMMYFUNCTION("""COMPUTED_VALUE"""),500000.0)</f>
        <v>500000</v>
      </c>
      <c r="K767" s="19" t="str">
        <f>IFERROR(__xludf.DUMMYFUNCTION("""COMPUTED_VALUE"""),"orderrrr")</f>
        <v>orderrrr</v>
      </c>
      <c r="L767" s="76"/>
      <c r="M767" s="20"/>
      <c r="N767" s="20"/>
      <c r="O767" s="20"/>
      <c r="P767" s="20"/>
    </row>
    <row r="768">
      <c r="A768" s="110">
        <f>IFERROR(__xludf.DUMMYFUNCTION("""COMPUTED_VALUE"""),46170.0)</f>
        <v>46170</v>
      </c>
      <c r="B768" s="110" t="str">
        <f>IFERROR(__xludf.DUMMYFUNCTION("""COMPUTED_VALUE"""),"2605D158")</f>
        <v>2605D158</v>
      </c>
      <c r="C768" s="49" t="str">
        <f>IFERROR(__xludf.DUMMYFUNCTION("""COMPUTED_VALUE"""),"Firdah Tia Yuliana")</f>
        <v>Firdah Tia Yuliana</v>
      </c>
      <c r="D768" s="102" t="str">
        <f>IFERROR(__xludf.DUMMYFUNCTION("""COMPUTED_VALUE"""),"081213575770")</f>
        <v>081213575770</v>
      </c>
      <c r="E768" s="25" t="str">
        <f>IFERROR(__xludf.DUMMYFUNCTION("""COMPUTED_VALUE"""),"Website")</f>
        <v>Website</v>
      </c>
      <c r="F768" s="25" t="str">
        <f>IFERROR(__xludf.DUMMYFUNCTION("""COMPUTED_VALUE"""),"Leads Baru")</f>
        <v>Leads Baru</v>
      </c>
      <c r="G768" s="25" t="str">
        <f>IFERROR(__xludf.DUMMYFUNCTION("""COMPUTED_VALUE"""),"3H2M opsi A")</f>
        <v>3H2M opsi A</v>
      </c>
      <c r="H768" s="78"/>
      <c r="I768" s="27">
        <f>IFERROR(__xludf.DUMMYFUNCTION("""COMPUTED_VALUE"""),17.0)</f>
        <v>17</v>
      </c>
      <c r="J768" s="96"/>
      <c r="K768" s="30" t="str">
        <f>IFERROR(__xludf.DUMMYFUNCTION("""COMPUTED_VALUE"""),"buat penawaran")</f>
        <v>buat penawaran</v>
      </c>
      <c r="L768" s="49"/>
      <c r="M768" s="20"/>
      <c r="N768" s="20"/>
      <c r="O768" s="20"/>
      <c r="P768" s="20"/>
    </row>
    <row r="769">
      <c r="A769" s="97">
        <f>IFERROR(__xludf.DUMMYFUNCTION("""COMPUTED_VALUE"""),46170.0)</f>
        <v>46170</v>
      </c>
      <c r="B769" s="97" t="str">
        <f>IFERROR(__xludf.DUMMYFUNCTION("""COMPUTED_VALUE"""),"2605D159")</f>
        <v>2605D159</v>
      </c>
      <c r="C769" s="76" t="str">
        <f>IFERROR(__xludf.DUMMYFUNCTION("""COMPUTED_VALUE"""),"Name C")</f>
        <v>Name C</v>
      </c>
      <c r="D769" s="99" t="str">
        <f>IFERROR(__xludf.DUMMYFUNCTION("""COMPUTED_VALUE"""),"081332799583")</f>
        <v>081332799583</v>
      </c>
      <c r="E769" s="25" t="str">
        <f>IFERROR(__xludf.DUMMYFUNCTION("""COMPUTED_VALUE"""),"Instagram")</f>
        <v>Instagram</v>
      </c>
      <c r="F769" s="25" t="str">
        <f>IFERROR(__xludf.DUMMYFUNCTION("""COMPUTED_VALUE"""),"Qualified")</f>
        <v>Qualified</v>
      </c>
      <c r="G769" s="25" t="str">
        <f>IFERROR(__xludf.DUMMYFUNCTION("""COMPUTED_VALUE"""),"2h1m custome")</f>
        <v>2h1m custome</v>
      </c>
      <c r="H769" s="16"/>
      <c r="I769" s="17">
        <f>IFERROR(__xludf.DUMMYFUNCTION("""COMPUTED_VALUE"""),3.0)</f>
        <v>3</v>
      </c>
      <c r="J769" s="54">
        <f>IFERROR(__xludf.DUMMYFUNCTION("""COMPUTED_VALUE"""),5850000.0)</f>
        <v>5850000</v>
      </c>
      <c r="K769" s="46" t="str">
        <f>IFERROR(__xludf.DUMMYFUNCTION("""COMPUTED_VALUE"""),"FU 2 Juni")</f>
        <v>FU 2 Juni</v>
      </c>
      <c r="L769" s="76"/>
      <c r="M769" s="20"/>
      <c r="N769" s="20"/>
      <c r="O769" s="20"/>
      <c r="P769" s="20"/>
    </row>
    <row r="770">
      <c r="A770" s="110">
        <f>IFERROR(__xludf.DUMMYFUNCTION("""COMPUTED_VALUE"""),46170.0)</f>
        <v>46170</v>
      </c>
      <c r="B770" s="110" t="str">
        <f>IFERROR(__xludf.DUMMYFUNCTION("""COMPUTED_VALUE"""),"2605D160")</f>
        <v>2605D160</v>
      </c>
      <c r="C770" s="49" t="str">
        <f>IFERROR(__xludf.DUMMYFUNCTION("""COMPUTED_VALUE"""),"Tatat Permana")</f>
        <v>Tatat Permana</v>
      </c>
      <c r="D770" s="102" t="str">
        <f>IFERROR(__xludf.DUMMYFUNCTION("""COMPUTED_VALUE"""),"081282904213")</f>
        <v>081282904213</v>
      </c>
      <c r="E770" s="25" t="str">
        <f>IFERROR(__xludf.DUMMYFUNCTION("""COMPUTED_VALUE"""),"Lainnya")</f>
        <v>Lainnya</v>
      </c>
      <c r="F770" s="25" t="str">
        <f>IFERROR(__xludf.DUMMYFUNCTION("""COMPUTED_VALUE"""),"Gagal")</f>
        <v>Gagal</v>
      </c>
      <c r="G770" s="25" t="str">
        <f>IFERROR(__xludf.DUMMYFUNCTION("""COMPUTED_VALUE"""),"trip MT")</f>
        <v>trip MT</v>
      </c>
      <c r="H770" s="78">
        <f>IFERROR(__xludf.DUMMYFUNCTION("""COMPUTED_VALUE"""),46171.0)</f>
        <v>46171</v>
      </c>
      <c r="I770" s="89"/>
      <c r="J770" s="96"/>
      <c r="K770" s="36" t="str">
        <f>IFERROR(__xludf.DUMMYFUNCTION("""COMPUTED_VALUE"""),"fullbooked")</f>
        <v>fullbooked</v>
      </c>
      <c r="L770" s="49"/>
      <c r="M770" s="20"/>
      <c r="N770" s="20"/>
      <c r="O770" s="20"/>
      <c r="P770" s="20"/>
    </row>
    <row r="771">
      <c r="A771" s="97">
        <f>IFERROR(__xludf.DUMMYFUNCTION("""COMPUTED_VALUE"""),46170.0)</f>
        <v>46170</v>
      </c>
      <c r="B771" s="97" t="str">
        <f>IFERROR(__xludf.DUMMYFUNCTION("""COMPUTED_VALUE"""),"2605D161")</f>
        <v>2605D161</v>
      </c>
      <c r="C771" s="76" t="str">
        <f>IFERROR(__xludf.DUMMYFUNCTION("""COMPUTED_VALUE"""),"No Name Kopi")</f>
        <v>No Name Kopi</v>
      </c>
      <c r="D771" s="99" t="str">
        <f>IFERROR(__xludf.DUMMYFUNCTION("""COMPUTED_VALUE"""),"085943433983")</f>
        <v>085943433983</v>
      </c>
      <c r="E771" s="25" t="str">
        <f>IFERROR(__xludf.DUMMYFUNCTION("""COMPUTED_VALUE"""),"Instagram")</f>
        <v>Instagram</v>
      </c>
      <c r="F771" s="25" t="str">
        <f>IFERROR(__xludf.DUMMYFUNCTION("""COMPUTED_VALUE"""),"Leads Baru")</f>
        <v>Leads Baru</v>
      </c>
      <c r="G771" s="25" t="str">
        <f>IFERROR(__xludf.DUMMYFUNCTION("""COMPUTED_VALUE"""),"OT 3H2M ")</f>
        <v>OT 3H2M </v>
      </c>
      <c r="H771" s="92"/>
      <c r="I771" s="80"/>
      <c r="J771" s="54"/>
      <c r="K771" s="46" t="str">
        <f>IFERROR(__xludf.DUMMYFUNCTION("""COMPUTED_VALUE"""),"belum ada balasan, Fu 8 Juni")</f>
        <v>belum ada balasan, Fu 8 Juni</v>
      </c>
      <c r="L771" s="10"/>
      <c r="M771" s="20"/>
      <c r="N771" s="20"/>
      <c r="O771" s="20"/>
      <c r="P771" s="20"/>
    </row>
    <row r="772">
      <c r="A772" s="110">
        <f>IFERROR(__xludf.DUMMYFUNCTION("""COMPUTED_VALUE"""),46171.0)</f>
        <v>46171</v>
      </c>
      <c r="B772" s="110" t="str">
        <f>IFERROR(__xludf.DUMMYFUNCTION("""COMPUTED_VALUE"""),"2605D162")</f>
        <v>2605D162</v>
      </c>
      <c r="C772" s="49" t="str">
        <f>IFERROR(__xludf.DUMMYFUNCTION("""COMPUTED_VALUE"""),"Momie Soe")</f>
        <v>Momie Soe</v>
      </c>
      <c r="D772" s="99" t="str">
        <f>IFERROR(__xludf.DUMMYFUNCTION("""COMPUTED_VALUE"""),"087852782586")</f>
        <v>087852782586</v>
      </c>
      <c r="E772" s="25" t="str">
        <f>IFERROR(__xludf.DUMMYFUNCTION("""COMPUTED_VALUE"""),"Lainnya")</f>
        <v>Lainnya</v>
      </c>
      <c r="F772" s="25" t="str">
        <f>IFERROR(__xludf.DUMMYFUNCTION("""COMPUTED_VALUE"""),"Leads Baru")</f>
        <v>Leads Baru</v>
      </c>
      <c r="G772" s="25" t="str">
        <f>IFERROR(__xludf.DUMMYFUNCTION("""COMPUTED_VALUE"""),"trip djawatan baluran")</f>
        <v>trip djawatan baluran</v>
      </c>
      <c r="H772" s="78"/>
      <c r="I772" s="89"/>
      <c r="J772" s="96"/>
      <c r="K772" s="30" t="str">
        <f>IFERROR(__xludf.DUMMYFUNCTION("""COMPUTED_VALUE"""),"belum ada balasan, Fu 8 Juni")</f>
        <v>belum ada balasan, Fu 8 Juni</v>
      </c>
      <c r="L772" s="49"/>
      <c r="M772" s="20"/>
      <c r="N772" s="20"/>
      <c r="O772" s="20"/>
      <c r="P772" s="20"/>
    </row>
    <row r="773">
      <c r="A773" s="97">
        <f>IFERROR(__xludf.DUMMYFUNCTION("""COMPUTED_VALUE"""),46171.0)</f>
        <v>46171</v>
      </c>
      <c r="B773" s="110" t="str">
        <f>IFERROR(__xludf.DUMMYFUNCTION("""COMPUTED_VALUE"""),"2605D163")</f>
        <v>2605D163</v>
      </c>
      <c r="C773" s="76" t="str">
        <f>IFERROR(__xludf.DUMMYFUNCTION("""COMPUTED_VALUE"""),"Dessy")</f>
        <v>Dessy</v>
      </c>
      <c r="D773" s="99" t="str">
        <f>IFERROR(__xludf.DUMMYFUNCTION("""COMPUTED_VALUE"""),"08131586257")</f>
        <v>08131586257</v>
      </c>
      <c r="E773" s="25" t="str">
        <f>IFERROR(__xludf.DUMMYFUNCTION("""COMPUTED_VALUE"""),"Instagram")</f>
        <v>Instagram</v>
      </c>
      <c r="F773" s="25" t="str">
        <f>IFERROR(__xludf.DUMMYFUNCTION("""COMPUTED_VALUE"""),"Leads Baru")</f>
        <v>Leads Baru</v>
      </c>
      <c r="G773" s="25" t="str">
        <f>IFERROR(__xludf.DUMMYFUNCTION("""COMPUTED_VALUE"""),"3h2m opsi A")</f>
        <v>3h2m opsi A</v>
      </c>
      <c r="H773" s="92"/>
      <c r="I773" s="80"/>
      <c r="J773" s="93"/>
      <c r="K773" s="46" t="str">
        <f>IFERROR(__xludf.DUMMYFUNCTION("""COMPUTED_VALUE"""),"tanya additional GI, FU 8 Juni")</f>
        <v>tanya additional GI, FU 8 Juni</v>
      </c>
      <c r="L773" s="76"/>
      <c r="M773" s="20"/>
      <c r="N773" s="20"/>
      <c r="O773" s="20"/>
      <c r="P773" s="20"/>
    </row>
    <row r="774">
      <c r="A774" s="110">
        <f>IFERROR(__xludf.DUMMYFUNCTION("""COMPUTED_VALUE"""),46171.0)</f>
        <v>46171</v>
      </c>
      <c r="B774" s="110" t="str">
        <f>IFERROR(__xludf.DUMMYFUNCTION("""COMPUTED_VALUE"""),"2605D164")</f>
        <v>2605D164</v>
      </c>
      <c r="C774" s="49" t="str">
        <f>IFERROR(__xludf.DUMMYFUNCTION("""COMPUTED_VALUE"""),"Annisa")</f>
        <v>Annisa</v>
      </c>
      <c r="D774" s="102" t="str">
        <f>IFERROR(__xludf.DUMMYFUNCTION("""COMPUTED_VALUE"""),"085710168093")</f>
        <v>085710168093</v>
      </c>
      <c r="E774" s="25" t="str">
        <f>IFERROR(__xludf.DUMMYFUNCTION("""COMPUTED_VALUE"""),"Instagram")</f>
        <v>Instagram</v>
      </c>
      <c r="F774" s="25" t="str">
        <f>IFERROR(__xludf.DUMMYFUNCTION("""COMPUTED_VALUE"""),"Leads Baru")</f>
        <v>Leads Baru</v>
      </c>
      <c r="G774" s="25" t="str">
        <f>IFERROR(__xludf.DUMMYFUNCTION("""COMPUTED_VALUE"""),"OT GI ")</f>
        <v>OT GI </v>
      </c>
      <c r="H774" s="26">
        <f>IFERROR(__xludf.DUMMYFUNCTION("""COMPUTED_VALUE"""),46195.0)</f>
        <v>46195</v>
      </c>
      <c r="I774" s="27">
        <f>IFERROR(__xludf.DUMMYFUNCTION("""COMPUTED_VALUE"""),2.0)</f>
        <v>2</v>
      </c>
      <c r="J774" s="33"/>
      <c r="K774" s="30" t="str">
        <f>IFERROR(__xludf.DUMMYFUNCTION("""COMPUTED_VALUE"""),"FU 6 Juni")</f>
        <v>FU 6 Juni</v>
      </c>
      <c r="L774" s="49"/>
      <c r="M774" s="20"/>
      <c r="N774" s="20"/>
      <c r="O774" s="20"/>
      <c r="P774" s="20"/>
    </row>
    <row r="775">
      <c r="A775" s="97">
        <f>IFERROR(__xludf.DUMMYFUNCTION("""COMPUTED_VALUE"""),46171.0)</f>
        <v>46171</v>
      </c>
      <c r="B775" s="110" t="str">
        <f>IFERROR(__xludf.DUMMYFUNCTION("""COMPUTED_VALUE"""),"2605D165 ")</f>
        <v>2605D165 </v>
      </c>
      <c r="C775" s="76" t="str">
        <f>IFERROR(__xludf.DUMMYFUNCTION("""COMPUTED_VALUE"""),"Stale")</f>
        <v>Stale</v>
      </c>
      <c r="D775" s="99" t="str">
        <f>IFERROR(__xludf.DUMMYFUNCTION("""COMPUTED_VALUE"""),"085134579266")</f>
        <v>085134579266</v>
      </c>
      <c r="E775" s="25" t="str">
        <f>IFERROR(__xludf.DUMMYFUNCTION("""COMPUTED_VALUE"""),"Instagram")</f>
        <v>Instagram</v>
      </c>
      <c r="F775" s="25" t="str">
        <f>IFERROR(__xludf.DUMMYFUNCTION("""COMPUTED_VALUE"""),"Leads Baru")</f>
        <v>Leads Baru</v>
      </c>
      <c r="G775" s="25" t="str">
        <f>IFERROR(__xludf.DUMMYFUNCTION("""COMPUTED_VALUE"""),"3h2m opsi A")</f>
        <v>3h2m opsi A</v>
      </c>
      <c r="H775" s="92"/>
      <c r="I775" s="80">
        <f>IFERROR(__xludf.DUMMYFUNCTION("""COMPUTED_VALUE"""),2.0)</f>
        <v>2</v>
      </c>
      <c r="J775" s="93"/>
      <c r="K775" s="46" t="str">
        <f>IFERROR(__xludf.DUMMYFUNCTION("""COMPUTED_VALUE"""),"FU 2 Juni")</f>
        <v>FU 2 Juni</v>
      </c>
      <c r="L775" s="76"/>
      <c r="M775" s="20"/>
      <c r="N775" s="20"/>
      <c r="O775" s="20"/>
      <c r="P775" s="20"/>
    </row>
    <row r="776">
      <c r="A776" s="110">
        <f>IFERROR(__xludf.DUMMYFUNCTION("""COMPUTED_VALUE"""),46172.0)</f>
        <v>46172</v>
      </c>
      <c r="B776" s="110" t="str">
        <f>IFERROR(__xludf.DUMMYFUNCTION("""COMPUTED_VALUE"""),"2605D166")</f>
        <v>2605D166</v>
      </c>
      <c r="C776" s="49" t="str">
        <f>IFERROR(__xludf.DUMMYFUNCTION("""COMPUTED_VALUE"""),"Nofia Erika Putri")</f>
        <v>Nofia Erika Putri</v>
      </c>
      <c r="D776" s="102" t="str">
        <f>IFERROR(__xludf.DUMMYFUNCTION("""COMPUTED_VALUE"""),"0895334131967")</f>
        <v>0895334131967</v>
      </c>
      <c r="E776" s="25" t="str">
        <f>IFERROR(__xludf.DUMMYFUNCTION("""COMPUTED_VALUE"""),"Instagram")</f>
        <v>Instagram</v>
      </c>
      <c r="F776" s="25" t="str">
        <f>IFERROR(__xludf.DUMMYFUNCTION("""COMPUTED_VALUE"""),"Gagal")</f>
        <v>Gagal</v>
      </c>
      <c r="G776" s="25" t="str">
        <f>IFERROR(__xludf.DUMMYFUNCTION("""COMPUTED_VALUE"""),"jetski Tabuhan")</f>
        <v>jetski Tabuhan</v>
      </c>
      <c r="H776" s="78">
        <f>IFERROR(__xludf.DUMMYFUNCTION("""COMPUTED_VALUE"""),46174.0)</f>
        <v>46174</v>
      </c>
      <c r="I776" s="89"/>
      <c r="J776" s="96"/>
      <c r="K776" s="30" t="str">
        <f>IFERROR(__xludf.DUMMYFUNCTION("""COMPUTED_VALUE"""),"masih ditanyakan")</f>
        <v>masih ditanyakan</v>
      </c>
      <c r="L776" s="49"/>
      <c r="M776" s="20"/>
      <c r="N776" s="20"/>
      <c r="O776" s="20"/>
      <c r="P776" s="20"/>
    </row>
    <row r="777">
      <c r="A777" s="97">
        <f>IFERROR(__xludf.DUMMYFUNCTION("""COMPUTED_VALUE"""),46172.0)</f>
        <v>46172</v>
      </c>
      <c r="B777" s="97" t="str">
        <f>IFERROR(__xludf.DUMMYFUNCTION("""COMPUTED_VALUE"""),"2605D167")</f>
        <v>2605D167</v>
      </c>
      <c r="C777" s="76" t="str">
        <f>IFERROR(__xludf.DUMMYFUNCTION("""COMPUTED_VALUE"""),"Risa   ")</f>
        <v>Risa   </v>
      </c>
      <c r="D777" s="99" t="str">
        <f>IFERROR(__xludf.DUMMYFUNCTION("""COMPUTED_VALUE"""),"085692525245")</f>
        <v>085692525245</v>
      </c>
      <c r="E777" s="25" t="str">
        <f>IFERROR(__xludf.DUMMYFUNCTION("""COMPUTED_VALUE"""),"Instagram")</f>
        <v>Instagram</v>
      </c>
      <c r="F777" s="25" t="str">
        <f>IFERROR(__xludf.DUMMYFUNCTION("""COMPUTED_VALUE"""),"Gagal")</f>
        <v>Gagal</v>
      </c>
      <c r="G777" s="25" t="str">
        <f>IFERROR(__xludf.DUMMYFUNCTION("""COMPUTED_VALUE"""),"OT MT")</f>
        <v>OT MT</v>
      </c>
      <c r="H777" s="92"/>
      <c r="I777" s="17">
        <f>IFERROR(__xludf.DUMMYFUNCTION("""COMPUTED_VALUE"""),2.0)</f>
        <v>2</v>
      </c>
      <c r="J777" s="129"/>
      <c r="K777" s="46" t="str">
        <f>IFERROR(__xludf.DUMMYFUNCTION("""COMPUTED_VALUE"""),"fullbooked")</f>
        <v>fullbooked</v>
      </c>
      <c r="L777" s="76"/>
      <c r="M777" s="20"/>
      <c r="N777" s="20"/>
      <c r="O777" s="20"/>
      <c r="P777" s="20"/>
    </row>
    <row r="778">
      <c r="A778" s="110">
        <f>IFERROR(__xludf.DUMMYFUNCTION("""COMPUTED_VALUE"""),46172.0)</f>
        <v>46172</v>
      </c>
      <c r="B778" s="110" t="str">
        <f>IFERROR(__xludf.DUMMYFUNCTION("""COMPUTED_VALUE"""),"2605D168")</f>
        <v>2605D168</v>
      </c>
      <c r="C778" s="49" t="str">
        <f>IFERROR(__xludf.DUMMYFUNCTION("""COMPUTED_VALUE"""),"Asep")</f>
        <v>Asep</v>
      </c>
      <c r="D778" s="102" t="str">
        <f>IFERROR(__xludf.DUMMYFUNCTION("""COMPUTED_VALUE"""),"083192139399")</f>
        <v>083192139399</v>
      </c>
      <c r="E778" s="25" t="str">
        <f>IFERROR(__xludf.DUMMYFUNCTION("""COMPUTED_VALUE"""),"Instagram")</f>
        <v>Instagram</v>
      </c>
      <c r="F778" s="25" t="str">
        <f>IFERROR(__xludf.DUMMYFUNCTION("""COMPUTED_VALUE"""),"Closing")</f>
        <v>Closing</v>
      </c>
      <c r="G778" s="25" t="str">
        <f>IFERROR(__xludf.DUMMYFUNCTION("""COMPUTED_VALUE"""),"OT MT")</f>
        <v>OT MT</v>
      </c>
      <c r="H778" s="78">
        <f>IFERROR(__xludf.DUMMYFUNCTION("""COMPUTED_VALUE"""),46177.0)</f>
        <v>46177</v>
      </c>
      <c r="I778" s="89">
        <f>IFERROR(__xludf.DUMMYFUNCTION("""COMPUTED_VALUE"""),2.0)</f>
        <v>2</v>
      </c>
      <c r="J778" s="143">
        <f>IFERROR(__xludf.DUMMYFUNCTION("""COMPUTED_VALUE"""),800000.0)</f>
        <v>800000</v>
      </c>
      <c r="K778" s="30" t="str">
        <f>IFERROR(__xludf.DUMMYFUNCTION("""COMPUTED_VALUE"""),"orrderrr")</f>
        <v>orrderrr</v>
      </c>
      <c r="L778" s="49"/>
      <c r="M778" s="20"/>
      <c r="N778" s="20"/>
      <c r="O778" s="20"/>
      <c r="P778" s="20"/>
    </row>
    <row r="779">
      <c r="A779" s="97">
        <f>IFERROR(__xludf.DUMMYFUNCTION("""COMPUTED_VALUE"""),46172.0)</f>
        <v>46172</v>
      </c>
      <c r="B779" s="97" t="str">
        <f>IFERROR(__xludf.DUMMYFUNCTION("""COMPUTED_VALUE"""),"2605D169")</f>
        <v>2605D169</v>
      </c>
      <c r="C779" s="76" t="str">
        <f>IFERROR(__xludf.DUMMYFUNCTION("""COMPUTED_VALUE"""),"Bagus Budiono ")</f>
        <v>Bagus Budiono </v>
      </c>
      <c r="D779" s="99" t="str">
        <f>IFERROR(__xludf.DUMMYFUNCTION("""COMPUTED_VALUE"""),"08812247507")</f>
        <v>08812247507</v>
      </c>
      <c r="E779" s="25" t="str">
        <f>IFERROR(__xludf.DUMMYFUNCTION("""COMPUTED_VALUE"""),"Instagram")</f>
        <v>Instagram</v>
      </c>
      <c r="F779" s="25" t="str">
        <f>IFERROR(__xludf.DUMMYFUNCTION("""COMPUTED_VALUE"""),"Leads Baru")</f>
        <v>Leads Baru</v>
      </c>
      <c r="G779" s="25" t="str">
        <f>IFERROR(__xludf.DUMMYFUNCTION("""COMPUTED_VALUE"""),"trip Ijen/Ijen Baluran")</f>
        <v>trip Ijen/Ijen Baluran</v>
      </c>
      <c r="H779" s="92">
        <f>IFERROR(__xludf.DUMMYFUNCTION("""COMPUTED_VALUE"""),46204.0)</f>
        <v>46204</v>
      </c>
      <c r="I779" s="80">
        <f>IFERROR(__xludf.DUMMYFUNCTION("""COMPUTED_VALUE"""),20.0)</f>
        <v>20</v>
      </c>
      <c r="J779" s="93"/>
      <c r="K779" s="19"/>
      <c r="L779" s="76"/>
      <c r="M779" s="20"/>
      <c r="N779" s="20"/>
      <c r="O779" s="20"/>
      <c r="P779" s="20"/>
    </row>
    <row r="780">
      <c r="A780" s="110">
        <f>IFERROR(__xludf.DUMMYFUNCTION("""COMPUTED_VALUE"""),46172.0)</f>
        <v>46172</v>
      </c>
      <c r="B780" s="110" t="str">
        <f>IFERROR(__xludf.DUMMYFUNCTION("""COMPUTED_VALUE"""),"2605D170")</f>
        <v>2605D170</v>
      </c>
      <c r="C780" s="49" t="str">
        <f>IFERROR(__xludf.DUMMYFUNCTION("""COMPUTED_VALUE"""),"Catur")</f>
        <v>Catur</v>
      </c>
      <c r="D780" s="102" t="str">
        <f>IFERROR(__xludf.DUMMYFUNCTION("""COMPUTED_VALUE"""),"085282923654")</f>
        <v>085282923654</v>
      </c>
      <c r="E780" s="25" t="str">
        <f>IFERROR(__xludf.DUMMYFUNCTION("""COMPUTED_VALUE"""),"Website")</f>
        <v>Website</v>
      </c>
      <c r="F780" s="25" t="str">
        <f>IFERROR(__xludf.DUMMYFUNCTION("""COMPUTED_VALUE"""),"Closing")</f>
        <v>Closing</v>
      </c>
      <c r="G780" s="25" t="str">
        <f>IFERROR(__xludf.DUMMYFUNCTION("""COMPUTED_VALUE"""),"OT ijen")</f>
        <v>OT ijen</v>
      </c>
      <c r="H780" s="78">
        <f>IFERROR(__xludf.DUMMYFUNCTION("""COMPUTED_VALUE"""),46183.0)</f>
        <v>46183</v>
      </c>
      <c r="I780" s="89">
        <f>IFERROR(__xludf.DUMMYFUNCTION("""COMPUTED_VALUE"""),2.0)</f>
        <v>2</v>
      </c>
      <c r="J780" s="96">
        <f>IFERROR(__xludf.DUMMYFUNCTION("""COMPUTED_VALUE"""),500000.0)</f>
        <v>500000</v>
      </c>
      <c r="K780" s="30" t="str">
        <f>IFERROR(__xludf.DUMMYFUNCTION("""COMPUTED_VALUE"""),"orderrrrr")</f>
        <v>orderrrrr</v>
      </c>
      <c r="L780" s="49"/>
      <c r="M780" s="20"/>
      <c r="N780" s="20"/>
      <c r="O780" s="20"/>
      <c r="P780" s="20"/>
    </row>
    <row r="781">
      <c r="A781" s="97">
        <f>IFERROR(__xludf.DUMMYFUNCTION("""COMPUTED_VALUE"""),46173.0)</f>
        <v>46173</v>
      </c>
      <c r="B781" s="97" t="str">
        <f>IFERROR(__xludf.DUMMYFUNCTION("""COMPUTED_VALUE"""),"2605D171")</f>
        <v>2605D171</v>
      </c>
      <c r="C781" s="76" t="str">
        <f>IFERROR(__xludf.DUMMYFUNCTION("""COMPUTED_VALUE"""),"Dj")</f>
        <v>Dj</v>
      </c>
      <c r="D781" s="99" t="str">
        <f>IFERROR(__xludf.DUMMYFUNCTION("""COMPUTED_VALUE"""),"085212345656")</f>
        <v>085212345656</v>
      </c>
      <c r="E781" s="25" t="str">
        <f>IFERROR(__xludf.DUMMYFUNCTION("""COMPUTED_VALUE"""),"Lainnya")</f>
        <v>Lainnya</v>
      </c>
      <c r="F781" s="25" t="str">
        <f>IFERROR(__xludf.DUMMYFUNCTION("""COMPUTED_VALUE"""),"Leads Baru")</f>
        <v>Leads Baru</v>
      </c>
      <c r="G781" s="25" t="str">
        <f>IFERROR(__xludf.DUMMYFUNCTION("""COMPUTED_VALUE"""),"3h2m ")</f>
        <v>3h2m </v>
      </c>
      <c r="H781" s="92"/>
      <c r="I781" s="80">
        <f>IFERROR(__xludf.DUMMYFUNCTION("""COMPUTED_VALUE"""),2.0)</f>
        <v>2</v>
      </c>
      <c r="J781" s="93"/>
      <c r="K781" s="19" t="str">
        <f>IFERROR(__xludf.DUMMYFUNCTION("""COMPUTED_VALUE"""),"diskusi duluu, FU 6 Juni ")</f>
        <v>diskusi duluu, FU 6 Juni </v>
      </c>
      <c r="L781" s="76"/>
      <c r="M781" s="20"/>
      <c r="N781" s="20"/>
      <c r="O781" s="20"/>
      <c r="P781" s="20"/>
    </row>
    <row r="782">
      <c r="A782" s="110">
        <f>IFERROR(__xludf.DUMMYFUNCTION("""COMPUTED_VALUE"""),46173.0)</f>
        <v>46173</v>
      </c>
      <c r="B782" s="110" t="str">
        <f>IFERROR(__xludf.DUMMYFUNCTION("""COMPUTED_VALUE"""),"2605D172")</f>
        <v>2605D172</v>
      </c>
      <c r="C782" s="49" t="str">
        <f>IFERROR(__xludf.DUMMYFUNCTION("""COMPUTED_VALUE"""),"Ida  ")</f>
        <v>Ida  </v>
      </c>
      <c r="D782" s="102" t="str">
        <f>IFERROR(__xludf.DUMMYFUNCTION("""COMPUTED_VALUE"""),"08170442004")</f>
        <v>08170442004</v>
      </c>
      <c r="E782" s="25" t="str">
        <f>IFERROR(__xludf.DUMMYFUNCTION("""COMPUTED_VALUE"""),"Website")</f>
        <v>Website</v>
      </c>
      <c r="F782" s="25" t="str">
        <f>IFERROR(__xludf.DUMMYFUNCTION("""COMPUTED_VALUE"""),"Leads Baru")</f>
        <v>Leads Baru</v>
      </c>
      <c r="G782" s="25" t="str">
        <f>IFERROR(__xludf.DUMMYFUNCTION("""COMPUTED_VALUE"""),"3h2m custome")</f>
        <v>3h2m custome</v>
      </c>
      <c r="H782" s="78"/>
      <c r="I782" s="89">
        <f>IFERROR(__xludf.DUMMYFUNCTION("""COMPUTED_VALUE"""),20.0)</f>
        <v>20</v>
      </c>
      <c r="J782" s="96"/>
      <c r="K782" s="36" t="str">
        <f>IFERROR(__xludf.DUMMYFUNCTION("""COMPUTED_VALUE"""),"kirim penawaran, FU 15 Juni")</f>
        <v>kirim penawaran, FU 15 Juni</v>
      </c>
      <c r="L782" s="23"/>
      <c r="M782" s="20"/>
      <c r="N782" s="20"/>
      <c r="O782" s="20"/>
      <c r="P782" s="20"/>
    </row>
    <row r="783">
      <c r="A783" s="97">
        <f>IFERROR(__xludf.DUMMYFUNCTION("""COMPUTED_VALUE"""),46173.0)</f>
        <v>46173</v>
      </c>
      <c r="B783" s="97" t="str">
        <f>IFERROR(__xludf.DUMMYFUNCTION("""COMPUTED_VALUE"""),"2605D173")</f>
        <v>2605D173</v>
      </c>
      <c r="C783" s="76" t="str">
        <f>IFERROR(__xludf.DUMMYFUNCTION("""COMPUTED_VALUE"""),"Irfandi")</f>
        <v>Irfandi</v>
      </c>
      <c r="D783" s="99" t="str">
        <f>IFERROR(__xludf.DUMMYFUNCTION("""COMPUTED_VALUE"""),"081233693806")</f>
        <v>081233693806</v>
      </c>
      <c r="E783" s="25" t="str">
        <f>IFERROR(__xludf.DUMMYFUNCTION("""COMPUTED_VALUE"""),"Instagram")</f>
        <v>Instagram</v>
      </c>
      <c r="F783" s="25" t="str">
        <f>IFERROR(__xludf.DUMMYFUNCTION("""COMPUTED_VALUE"""),"Closing")</f>
        <v>Closing</v>
      </c>
      <c r="G783" s="25" t="str">
        <f>IFERROR(__xludf.DUMMYFUNCTION("""COMPUTED_VALUE"""),"OT 3h2m")</f>
        <v>OT 3h2m</v>
      </c>
      <c r="H783" s="92">
        <f>IFERROR(__xludf.DUMMYFUNCTION("""COMPUTED_VALUE"""),46182.0)</f>
        <v>46182</v>
      </c>
      <c r="I783" s="17">
        <f>IFERROR(__xludf.DUMMYFUNCTION("""COMPUTED_VALUE"""),2.0)</f>
        <v>2</v>
      </c>
      <c r="J783" s="129">
        <f>IFERROR(__xludf.DUMMYFUNCTION("""COMPUTED_VALUE"""),3200000.0)</f>
        <v>3200000</v>
      </c>
      <c r="K783" s="19" t="str">
        <f>IFERROR(__xludf.DUMMYFUNCTION("""COMPUTED_VALUE"""),"Orrdeerrr")</f>
        <v>Orrdeerrr</v>
      </c>
      <c r="L783" s="76"/>
      <c r="M783" s="20"/>
      <c r="N783" s="20"/>
      <c r="O783" s="20"/>
      <c r="P783" s="20"/>
    </row>
    <row r="784">
      <c r="A784" s="110">
        <f>IFERROR(__xludf.DUMMYFUNCTION("""COMPUTED_VALUE"""),46173.0)</f>
        <v>46173</v>
      </c>
      <c r="B784" s="110" t="str">
        <f>IFERROR(__xludf.DUMMYFUNCTION("""COMPUTED_VALUE"""),"2605D174")</f>
        <v>2605D174</v>
      </c>
      <c r="C784" s="49" t="str">
        <f>IFERROR(__xludf.DUMMYFUNCTION("""COMPUTED_VALUE"""),"Lili Nugroho")</f>
        <v>Lili Nugroho</v>
      </c>
      <c r="D784" s="102" t="str">
        <f>IFERROR(__xludf.DUMMYFUNCTION("""COMPUTED_VALUE"""),"087860091492")</f>
        <v>087860091492</v>
      </c>
      <c r="E784" s="25" t="str">
        <f>IFERROR(__xludf.DUMMYFUNCTION("""COMPUTED_VALUE"""),"Instagram")</f>
        <v>Instagram</v>
      </c>
      <c r="F784" s="25" t="str">
        <f>IFERROR(__xludf.DUMMYFUNCTION("""COMPUTED_VALUE"""),"Gagal")</f>
        <v>Gagal</v>
      </c>
      <c r="G784" s="25" t="str">
        <f>IFERROR(__xludf.DUMMYFUNCTION("""COMPUTED_VALUE"""),"trip Baluran")</f>
        <v>trip Baluran</v>
      </c>
      <c r="H784" s="26">
        <f>IFERROR(__xludf.DUMMYFUNCTION("""COMPUTED_VALUE"""),46173.0)</f>
        <v>46173</v>
      </c>
      <c r="I784" s="89">
        <f>IFERROR(__xludf.DUMMYFUNCTION("""COMPUTED_VALUE"""),2.0)</f>
        <v>2</v>
      </c>
      <c r="J784" s="96"/>
      <c r="K784" s="36" t="str">
        <f>IFERROR(__xludf.DUMMYFUNCTION("""COMPUTED_VALUE"""),"gagalll, gajadi ke Baluran")</f>
        <v>gagalll, gajadi ke Baluran</v>
      </c>
      <c r="L784" s="49"/>
      <c r="M784" s="20"/>
      <c r="N784" s="20"/>
      <c r="O784" s="20"/>
      <c r="P784" s="20"/>
    </row>
    <row r="785">
      <c r="A785" s="97">
        <f>IFERROR(__xludf.DUMMYFUNCTION("""COMPUTED_VALUE"""),46173.0)</f>
        <v>46173</v>
      </c>
      <c r="B785" s="97" t="str">
        <f>IFERROR(__xludf.DUMMYFUNCTION("""COMPUTED_VALUE"""),"2605D175")</f>
        <v>2605D175</v>
      </c>
      <c r="C785" s="76" t="str">
        <f>IFERROR(__xludf.DUMMYFUNCTION("""COMPUTED_VALUE"""),"Arya Fauzi")</f>
        <v>Arya Fauzi</v>
      </c>
      <c r="D785" s="99" t="str">
        <f>IFERROR(__xludf.DUMMYFUNCTION("""COMPUTED_VALUE"""),"089636081671")</f>
        <v>089636081671</v>
      </c>
      <c r="E785" s="25" t="str">
        <f>IFERROR(__xludf.DUMMYFUNCTION("""COMPUTED_VALUE"""),"Instagram")</f>
        <v>Instagram</v>
      </c>
      <c r="F785" s="25" t="str">
        <f>IFERROR(__xludf.DUMMYFUNCTION("""COMPUTED_VALUE"""),"Leads Baru")</f>
        <v>Leads Baru</v>
      </c>
      <c r="G785" s="25" t="str">
        <f>IFERROR(__xludf.DUMMYFUNCTION("""COMPUTED_VALUE"""),"3h2m opsi A")</f>
        <v>3h2m opsi A</v>
      </c>
      <c r="H785" s="16"/>
      <c r="I785" s="17">
        <f>IFERROR(__xludf.DUMMYFUNCTION("""COMPUTED_VALUE"""),2.0)</f>
        <v>2</v>
      </c>
      <c r="J785" s="54"/>
      <c r="K785" s="46" t="str">
        <f>IFERROR(__xludf.DUMMYFUNCTION("""COMPUTED_VALUE"""),"di infokan kembali, FU 4 Juni")</f>
        <v>di infokan kembali, FU 4 Juni</v>
      </c>
      <c r="L785" s="76"/>
      <c r="M785" s="20"/>
      <c r="N785" s="20"/>
      <c r="O785" s="20"/>
      <c r="P785" s="20"/>
    </row>
    <row r="786">
      <c r="A786" s="110">
        <f>IFERROR(__xludf.DUMMYFUNCTION("""COMPUTED_VALUE"""),46173.0)</f>
        <v>46173</v>
      </c>
      <c r="B786" s="135" t="str">
        <f>IFERROR(__xludf.DUMMYFUNCTION("""COMPUTED_VALUE"""),"2605D176")</f>
        <v>2605D176</v>
      </c>
      <c r="C786" s="49" t="str">
        <f>IFERROR(__xludf.DUMMYFUNCTION("""COMPUTED_VALUE"""),"Rnl")</f>
        <v>Rnl</v>
      </c>
      <c r="D786" s="102" t="str">
        <f>IFERROR(__xludf.DUMMYFUNCTION("""COMPUTED_VALUE"""),"081252222769")</f>
        <v>081252222769</v>
      </c>
      <c r="E786" s="25" t="str">
        <f>IFERROR(__xludf.DUMMYFUNCTION("""COMPUTED_VALUE"""),"Instagram")</f>
        <v>Instagram</v>
      </c>
      <c r="F786" s="25" t="str">
        <f>IFERROR(__xludf.DUMMYFUNCTION("""COMPUTED_VALUE"""),"Gagal")</f>
        <v>Gagal</v>
      </c>
      <c r="G786" s="25" t="str">
        <f>IFERROR(__xludf.DUMMYFUNCTION("""COMPUTED_VALUE"""),"PT MT sunrise")</f>
        <v>PT MT sunrise</v>
      </c>
      <c r="H786" s="78">
        <f>IFERROR(__xludf.DUMMYFUNCTION("""COMPUTED_VALUE"""),46177.0)</f>
        <v>46177</v>
      </c>
      <c r="I786" s="89">
        <f>IFERROR(__xludf.DUMMYFUNCTION("""COMPUTED_VALUE"""),2.0)</f>
        <v>2</v>
      </c>
      <c r="J786" s="96"/>
      <c r="K786" s="36" t="str">
        <f>IFERROR(__xludf.DUMMYFUNCTION("""COMPUTED_VALUE"""),"belum baas lagi, FU 2 Juni")</f>
        <v>belum baas lagi, FU 2 Juni</v>
      </c>
      <c r="L786" s="49"/>
      <c r="M786" s="20"/>
      <c r="N786" s="20"/>
      <c r="O786" s="20"/>
      <c r="P786" s="20"/>
    </row>
    <row r="787">
      <c r="A787" s="97">
        <f>IFERROR(__xludf.DUMMYFUNCTION("""COMPUTED_VALUE"""),46174.0)</f>
        <v>46174</v>
      </c>
      <c r="B787" s="97" t="str">
        <f>IFERROR(__xludf.DUMMYFUNCTION("""COMPUTED_VALUE"""),"2606D001")</f>
        <v>2606D001</v>
      </c>
      <c r="C787" s="76" t="str">
        <f>IFERROR(__xludf.DUMMYFUNCTION("""COMPUTED_VALUE"""),"Ilma Anisa")</f>
        <v>Ilma Anisa</v>
      </c>
      <c r="D787" s="99" t="str">
        <f>IFERROR(__xludf.DUMMYFUNCTION("""COMPUTED_VALUE"""),"081227619883")</f>
        <v>081227619883</v>
      </c>
      <c r="E787" s="25" t="str">
        <f>IFERROR(__xludf.DUMMYFUNCTION("""COMPUTED_VALUE"""),"Instagram")</f>
        <v>Instagram</v>
      </c>
      <c r="F787" s="25" t="str">
        <f>IFERROR(__xludf.DUMMYFUNCTION("""COMPUTED_VALUE"""),"Gagal")</f>
        <v>Gagal</v>
      </c>
      <c r="G787" s="25" t="str">
        <f>IFERROR(__xludf.DUMMYFUNCTION("""COMPUTED_VALUE"""),"OT MT")</f>
        <v>OT MT</v>
      </c>
      <c r="H787" s="92">
        <f>IFERROR(__xludf.DUMMYFUNCTION("""COMPUTED_VALUE"""),46183.0)</f>
        <v>46183</v>
      </c>
      <c r="I787" s="80">
        <f>IFERROR(__xludf.DUMMYFUNCTION("""COMPUTED_VALUE"""),2.0)</f>
        <v>2</v>
      </c>
      <c r="J787" s="93"/>
      <c r="K787" s="46" t="str">
        <f>IFERROR(__xludf.DUMMYFUNCTION("""COMPUTED_VALUE"""),"diskus dulu, FU 2Juni")</f>
        <v>diskus dulu, FU 2Juni</v>
      </c>
      <c r="L787" s="76"/>
      <c r="M787" s="20"/>
      <c r="N787" s="20"/>
      <c r="O787" s="20"/>
      <c r="P787" s="20"/>
    </row>
    <row r="788">
      <c r="A788" s="110">
        <f>IFERROR(__xludf.DUMMYFUNCTION("""COMPUTED_VALUE"""),46174.0)</f>
        <v>46174</v>
      </c>
      <c r="B788" s="110" t="str">
        <f>IFERROR(__xludf.DUMMYFUNCTION("""COMPUTED_VALUE"""),"2606D002")</f>
        <v>2606D002</v>
      </c>
      <c r="C788" s="49" t="str">
        <f>IFERROR(__xludf.DUMMYFUNCTION("""COMPUTED_VALUE"""),"Devy ")</f>
        <v>Devy </v>
      </c>
      <c r="D788" s="102" t="str">
        <f>IFERROR(__xludf.DUMMYFUNCTION("""COMPUTED_VALUE"""),"081299056000")</f>
        <v>081299056000</v>
      </c>
      <c r="E788" s="25" t="str">
        <f>IFERROR(__xludf.DUMMYFUNCTION("""COMPUTED_VALUE"""),"Website")</f>
        <v>Website</v>
      </c>
      <c r="F788" s="25" t="str">
        <f>IFERROR(__xludf.DUMMYFUNCTION("""COMPUTED_VALUE"""),"Leads Baru")</f>
        <v>Leads Baru</v>
      </c>
      <c r="G788" s="25" t="str">
        <f>IFERROR(__xludf.DUMMYFUNCTION("""COMPUTED_VALUE"""),"2h1m ")</f>
        <v>2h1m </v>
      </c>
      <c r="H788" s="26"/>
      <c r="I788" s="27">
        <f>IFERROR(__xludf.DUMMYFUNCTION("""COMPUTED_VALUE"""),2.0)</f>
        <v>2</v>
      </c>
      <c r="J788" s="33"/>
      <c r="K788" s="30" t="str">
        <f>IFERROR(__xludf.DUMMYFUNCTION("""COMPUTED_VALUE"""),"FU 8 Juni")</f>
        <v>FU 8 Juni</v>
      </c>
      <c r="L788" s="49"/>
      <c r="M788" s="20"/>
      <c r="N788" s="20"/>
      <c r="O788" s="20"/>
      <c r="P788" s="20"/>
    </row>
    <row r="789">
      <c r="A789" s="110">
        <f>IFERROR(__xludf.DUMMYFUNCTION("""COMPUTED_VALUE"""),46174.0)</f>
        <v>46174</v>
      </c>
      <c r="B789" s="97" t="str">
        <f>IFERROR(__xludf.DUMMYFUNCTION("""COMPUTED_VALUE"""),"2606D003")</f>
        <v>2606D003</v>
      </c>
      <c r="C789" s="76" t="str">
        <f>IFERROR(__xludf.DUMMYFUNCTION("""COMPUTED_VALUE"""),"Novaria Indra")</f>
        <v>Novaria Indra</v>
      </c>
      <c r="D789" s="99" t="str">
        <f>IFERROR(__xludf.DUMMYFUNCTION("""COMPUTED_VALUE"""),"08977176449")</f>
        <v>08977176449</v>
      </c>
      <c r="E789" s="25" t="str">
        <f>IFERROR(__xludf.DUMMYFUNCTION("""COMPUTED_VALUE"""),"Instagram")</f>
        <v>Instagram</v>
      </c>
      <c r="F789" s="25" t="str">
        <f>IFERROR(__xludf.DUMMYFUNCTION("""COMPUTED_VALUE"""),"Gagal")</f>
        <v>Gagal</v>
      </c>
      <c r="G789" s="25"/>
      <c r="H789" s="92"/>
      <c r="I789" s="80"/>
      <c r="J789" s="93"/>
      <c r="K789" s="19" t="str">
        <f>IFERROR(__xludf.DUMMYFUNCTION("""COMPUTED_VALUE"""),"gagalll, minta transportasinya sajaaa")</f>
        <v>gagalll, minta transportasinya sajaaa</v>
      </c>
      <c r="L789" s="76"/>
      <c r="M789" s="20"/>
      <c r="N789" s="20"/>
      <c r="O789" s="20"/>
      <c r="P789" s="20"/>
    </row>
    <row r="790">
      <c r="A790" s="110">
        <f>IFERROR(__xludf.DUMMYFUNCTION("""COMPUTED_VALUE"""),46174.0)</f>
        <v>46174</v>
      </c>
      <c r="B790" s="110" t="str">
        <f>IFERROR(__xludf.DUMMYFUNCTION("""COMPUTED_VALUE"""),"2606D004")</f>
        <v>2606D004</v>
      </c>
      <c r="C790" s="49" t="str">
        <f>IFERROR(__xludf.DUMMYFUNCTION("""COMPUTED_VALUE"""),"Steffen Miething")</f>
        <v>Steffen Miething</v>
      </c>
      <c r="D790" s="102" t="str">
        <f>IFERROR(__xludf.DUMMYFUNCTION("""COMPUTED_VALUE"""),"491757366094")</f>
        <v>491757366094</v>
      </c>
      <c r="E790" s="25" t="str">
        <f>IFERROR(__xludf.DUMMYFUNCTION("""COMPUTED_VALUE"""),"Lainnya")</f>
        <v>Lainnya</v>
      </c>
      <c r="F790" s="25" t="str">
        <f>IFERROR(__xludf.DUMMYFUNCTION("""COMPUTED_VALUE"""),"Gagal")</f>
        <v>Gagal</v>
      </c>
      <c r="G790" s="25"/>
      <c r="H790" s="78"/>
      <c r="I790" s="89"/>
      <c r="J790" s="96"/>
      <c r="K790" s="30" t="str">
        <f>IFERROR(__xludf.DUMMYFUNCTION("""COMPUTED_VALUE"""),"gagalll, minta transportasinya sajaaa")</f>
        <v>gagalll, minta transportasinya sajaaa</v>
      </c>
      <c r="L790" s="49"/>
      <c r="M790" s="20"/>
      <c r="N790" s="20"/>
      <c r="O790" s="20"/>
      <c r="P790" s="20"/>
    </row>
    <row r="791">
      <c r="A791" s="97">
        <f>IFERROR(__xludf.DUMMYFUNCTION("""COMPUTED_VALUE"""),46175.0)</f>
        <v>46175</v>
      </c>
      <c r="B791" s="97" t="str">
        <f>IFERROR(__xludf.DUMMYFUNCTION("""COMPUTED_VALUE"""),"2606D005")</f>
        <v>2606D005</v>
      </c>
      <c r="C791" s="76" t="str">
        <f>IFERROR(__xludf.DUMMYFUNCTION("""COMPUTED_VALUE"""),"Citra Rana")</f>
        <v>Citra Rana</v>
      </c>
      <c r="D791" s="99" t="str">
        <f>IFERROR(__xludf.DUMMYFUNCTION("""COMPUTED_VALUE"""),"081217457637")</f>
        <v>081217457637</v>
      </c>
      <c r="E791" s="25" t="str">
        <f>IFERROR(__xludf.DUMMYFUNCTION("""COMPUTED_VALUE"""),"Instagram")</f>
        <v>Instagram</v>
      </c>
      <c r="F791" s="25" t="str">
        <f>IFERROR(__xludf.DUMMYFUNCTION("""COMPUTED_VALUE"""),"Closing")</f>
        <v>Closing</v>
      </c>
      <c r="G791" s="25" t="str">
        <f>IFERROR(__xludf.DUMMYFUNCTION("""COMPUTED_VALUE"""),"ot menjangan tabuhan")</f>
        <v>ot menjangan tabuhan</v>
      </c>
      <c r="H791" s="92">
        <f>IFERROR(__xludf.DUMMYFUNCTION("""COMPUTED_VALUE"""),46193.0)</f>
        <v>46193</v>
      </c>
      <c r="I791" s="80">
        <f>IFERROR(__xludf.DUMMYFUNCTION("""COMPUTED_VALUE"""),7.0)</f>
        <v>7</v>
      </c>
      <c r="J791" s="93">
        <f>IFERROR(__xludf.DUMMYFUNCTION("""COMPUTED_VALUE"""),1925000.0)</f>
        <v>1925000</v>
      </c>
      <c r="K791" s="19" t="str">
        <f>IFERROR(__xludf.DUMMYFUNCTION("""COMPUTED_VALUE"""),"orrderrrr")</f>
        <v>orrderrrr</v>
      </c>
      <c r="L791" s="76"/>
      <c r="M791" s="20"/>
      <c r="N791" s="20"/>
      <c r="O791" s="20"/>
      <c r="P791" s="20"/>
    </row>
    <row r="792">
      <c r="A792" s="110">
        <f>IFERROR(__xludf.DUMMYFUNCTION("""COMPUTED_VALUE"""),46175.0)</f>
        <v>46175</v>
      </c>
      <c r="B792" s="110" t="str">
        <f>IFERROR(__xludf.DUMMYFUNCTION("""COMPUTED_VALUE"""),"2606D006")</f>
        <v>2606D006</v>
      </c>
      <c r="C792" s="49" t="str">
        <f>IFERROR(__xludf.DUMMYFUNCTION("""COMPUTED_VALUE"""),"Eko Suprobo")</f>
        <v>Eko Suprobo</v>
      </c>
      <c r="D792" s="102" t="str">
        <f>IFERROR(__xludf.DUMMYFUNCTION("""COMPUTED_VALUE"""),"085727609064")</f>
        <v>085727609064</v>
      </c>
      <c r="E792" s="25" t="str">
        <f>IFERROR(__xludf.DUMMYFUNCTION("""COMPUTED_VALUE"""),"Instagram")</f>
        <v>Instagram</v>
      </c>
      <c r="F792" s="25" t="str">
        <f>IFERROR(__xludf.DUMMYFUNCTION("""COMPUTED_VALUE"""),"Leads Baru")</f>
        <v>Leads Baru</v>
      </c>
      <c r="G792" s="25" t="str">
        <f>IFERROR(__xludf.DUMMYFUNCTION("""COMPUTED_VALUE"""),"1 day trip")</f>
        <v>1 day trip</v>
      </c>
      <c r="H792" s="26"/>
      <c r="I792" s="89"/>
      <c r="J792" s="33"/>
      <c r="K792" s="30" t="str">
        <f>IFERROR(__xludf.DUMMYFUNCTION("""COMPUTED_VALUE"""),"masih nentuin tripnya dan tglnya, FU 10 Juni")</f>
        <v>masih nentuin tripnya dan tglnya, FU 10 Juni</v>
      </c>
      <c r="L792" s="49"/>
      <c r="M792" s="20"/>
      <c r="N792" s="20"/>
      <c r="O792" s="20"/>
      <c r="P792" s="20"/>
    </row>
    <row r="793">
      <c r="A793" s="97">
        <f>IFERROR(__xludf.DUMMYFUNCTION("""COMPUTED_VALUE"""),46175.0)</f>
        <v>46175</v>
      </c>
      <c r="B793" s="97" t="str">
        <f>IFERROR(__xludf.DUMMYFUNCTION("""COMPUTED_VALUE"""),"2606D007")</f>
        <v>2606D007</v>
      </c>
      <c r="C793" s="76" t="str">
        <f>IFERROR(__xludf.DUMMYFUNCTION("""COMPUTED_VALUE"""),"Kezia Ayu ")</f>
        <v>Kezia Ayu </v>
      </c>
      <c r="D793" s="99" t="str">
        <f>IFERROR(__xludf.DUMMYFUNCTION("""COMPUTED_VALUE"""),"081228521096")</f>
        <v>081228521096</v>
      </c>
      <c r="E793" s="25" t="str">
        <f>IFERROR(__xludf.DUMMYFUNCTION("""COMPUTED_VALUE"""),"Instagram")</f>
        <v>Instagram</v>
      </c>
      <c r="F793" s="25" t="str">
        <f>IFERROR(__xludf.DUMMYFUNCTION("""COMPUTED_VALUE"""),"Gagal")</f>
        <v>Gagal</v>
      </c>
      <c r="G793" s="25" t="str">
        <f>IFERROR(__xludf.DUMMYFUNCTION("""COMPUTED_VALUE"""),"OT 3H2M ")</f>
        <v>OT 3H2M </v>
      </c>
      <c r="H793" s="92"/>
      <c r="I793" s="17"/>
      <c r="J793" s="93"/>
      <c r="K793" s="46" t="str">
        <f>IFERROR(__xludf.DUMMYFUNCTION("""COMPUTED_VALUE"""),"gagalll")</f>
        <v>gagalll</v>
      </c>
      <c r="L793" s="76"/>
      <c r="M793" s="20"/>
      <c r="N793" s="20"/>
      <c r="O793" s="20"/>
      <c r="P793" s="20"/>
    </row>
    <row r="794">
      <c r="A794" s="110">
        <f>IFERROR(__xludf.DUMMYFUNCTION("""COMPUTED_VALUE"""),46175.0)</f>
        <v>46175</v>
      </c>
      <c r="B794" s="110" t="str">
        <f>IFERROR(__xludf.DUMMYFUNCTION("""COMPUTED_VALUE"""),"2606D008")</f>
        <v>2606D008</v>
      </c>
      <c r="C794" s="49" t="str">
        <f>IFERROR(__xludf.DUMMYFUNCTION("""COMPUTED_VALUE"""),"Raisa")</f>
        <v>Raisa</v>
      </c>
      <c r="D794" s="102" t="str">
        <f>IFERROR(__xludf.DUMMYFUNCTION("""COMPUTED_VALUE"""),"081215551663")</f>
        <v>081215551663</v>
      </c>
      <c r="E794" s="25" t="str">
        <f>IFERROR(__xludf.DUMMYFUNCTION("""COMPUTED_VALUE"""),"Instagram")</f>
        <v>Instagram</v>
      </c>
      <c r="F794" s="25" t="str">
        <f>IFERROR(__xludf.DUMMYFUNCTION("""COMPUTED_VALUE"""),"Leads Baru")</f>
        <v>Leads Baru</v>
      </c>
      <c r="G794" s="25"/>
      <c r="H794" s="78"/>
      <c r="I794" s="89"/>
      <c r="J794" s="96"/>
      <c r="K794" s="30" t="str">
        <f>IFERROR(__xludf.DUMMYFUNCTION("""COMPUTED_VALUE"""),"baru menyapaa aja, FU 10 Juni")</f>
        <v>baru menyapaa aja, FU 10 Juni</v>
      </c>
      <c r="L794" s="49"/>
      <c r="M794" s="20"/>
      <c r="N794" s="20"/>
      <c r="O794" s="20"/>
      <c r="P794" s="20"/>
    </row>
    <row r="795">
      <c r="A795" s="97">
        <f>IFERROR(__xludf.DUMMYFUNCTION("""COMPUTED_VALUE"""),46175.0)</f>
        <v>46175</v>
      </c>
      <c r="B795" s="97" t="str">
        <f>IFERROR(__xludf.DUMMYFUNCTION("""COMPUTED_VALUE"""),"2606D009")</f>
        <v>2606D009</v>
      </c>
      <c r="C795" s="76" t="str">
        <f>IFERROR(__xludf.DUMMYFUNCTION("""COMPUTED_VALUE"""),"Kannika Dee")</f>
        <v>Kannika Dee</v>
      </c>
      <c r="D795" s="99" t="str">
        <f>IFERROR(__xludf.DUMMYFUNCTION("""COMPUTED_VALUE"""),"08113760088")</f>
        <v>08113760088</v>
      </c>
      <c r="E795" s="25" t="str">
        <f>IFERROR(__xludf.DUMMYFUNCTION("""COMPUTED_VALUE"""),"Website")</f>
        <v>Website</v>
      </c>
      <c r="F795" s="25" t="str">
        <f>IFERROR(__xludf.DUMMYFUNCTION("""COMPUTED_VALUE"""),"Leads Baru")</f>
        <v>Leads Baru</v>
      </c>
      <c r="G795" s="25" t="str">
        <f>IFERROR(__xludf.DUMMYFUNCTION("""COMPUTED_VALUE"""),"3h2m")</f>
        <v>3h2m</v>
      </c>
      <c r="H795" s="92"/>
      <c r="I795" s="80"/>
      <c r="J795" s="93"/>
      <c r="K795" s="19" t="str">
        <f>IFERROR(__xludf.DUMMYFUNCTION("""COMPUTED_VALUE"""),"masih pelajari penawaran, FU 12 Juni")</f>
        <v>masih pelajari penawaran, FU 12 Juni</v>
      </c>
      <c r="L795" s="76"/>
      <c r="M795" s="20"/>
      <c r="N795" s="20"/>
      <c r="O795" s="20"/>
      <c r="P795" s="20"/>
    </row>
    <row r="796">
      <c r="A796" s="110">
        <f>IFERROR(__xludf.DUMMYFUNCTION("""COMPUTED_VALUE"""),46175.0)</f>
        <v>46175</v>
      </c>
      <c r="B796" s="110" t="str">
        <f>IFERROR(__xludf.DUMMYFUNCTION("""COMPUTED_VALUE"""),"2606D010")</f>
        <v>2606D010</v>
      </c>
      <c r="C796" s="49" t="str">
        <f>IFERROR(__xludf.DUMMYFUNCTION("""COMPUTED_VALUE"""),"Dienne Ch")</f>
        <v>Dienne Ch</v>
      </c>
      <c r="D796" s="102" t="str">
        <f>IFERROR(__xludf.DUMMYFUNCTION("""COMPUTED_VALUE"""),"081330141507")</f>
        <v>081330141507</v>
      </c>
      <c r="E796" s="25" t="str">
        <f>IFERROR(__xludf.DUMMYFUNCTION("""COMPUTED_VALUE"""),"Website")</f>
        <v>Website</v>
      </c>
      <c r="F796" s="25" t="str">
        <f>IFERROR(__xludf.DUMMYFUNCTION("""COMPUTED_VALUE"""),"Leads Baru")</f>
        <v>Leads Baru</v>
      </c>
      <c r="G796" s="25" t="str">
        <f>IFERROR(__xludf.DUMMYFUNCTION("""COMPUTED_VALUE"""),"3h2m dan 4h3m")</f>
        <v>3h2m dan 4h3m</v>
      </c>
      <c r="H796" s="78"/>
      <c r="I796" s="89">
        <f>IFERROR(__xludf.DUMMYFUNCTION("""COMPUTED_VALUE"""),2.0)</f>
        <v>2</v>
      </c>
      <c r="J796" s="96"/>
      <c r="K796" s="30" t="str">
        <f>IFERROR(__xludf.DUMMYFUNCTION("""COMPUTED_VALUE"""),"masih blm fiks, FU 12 Juni")</f>
        <v>masih blm fiks, FU 12 Juni</v>
      </c>
      <c r="L796" s="49"/>
      <c r="M796" s="20"/>
      <c r="N796" s="20"/>
      <c r="O796" s="20"/>
      <c r="P796" s="20"/>
    </row>
    <row r="797">
      <c r="A797" s="97">
        <f>IFERROR(__xludf.DUMMYFUNCTION("""COMPUTED_VALUE"""),46175.0)</f>
        <v>46175</v>
      </c>
      <c r="B797" s="97" t="str">
        <f>IFERROR(__xludf.DUMMYFUNCTION("""COMPUTED_VALUE"""),"2606D011")</f>
        <v>2606D011</v>
      </c>
      <c r="C797" s="76" t="str">
        <f>IFERROR(__xludf.DUMMYFUNCTION("""COMPUTED_VALUE"""),"Tri Joko Wintolo")</f>
        <v>Tri Joko Wintolo</v>
      </c>
      <c r="D797" s="99" t="str">
        <f>IFERROR(__xludf.DUMMYFUNCTION("""COMPUTED_VALUE"""),"082242415557")</f>
        <v>082242415557</v>
      </c>
      <c r="E797" s="25" t="str">
        <f>IFERROR(__xludf.DUMMYFUNCTION("""COMPUTED_VALUE"""),"Lainnya")</f>
        <v>Lainnya</v>
      </c>
      <c r="F797" s="25" t="str">
        <f>IFERROR(__xludf.DUMMYFUNCTION("""COMPUTED_VALUE"""),"Leads Baru")</f>
        <v>Leads Baru</v>
      </c>
      <c r="G797" s="25" t="str">
        <f>IFERROR(__xludf.DUMMYFUNCTION("""COMPUTED_VALUE"""),"open trip")</f>
        <v>open trip</v>
      </c>
      <c r="H797" s="16"/>
      <c r="I797" s="80"/>
      <c r="J797" s="93"/>
      <c r="K797" s="46" t="str">
        <f>IFERROR(__xludf.DUMMYFUNCTION("""COMPUTED_VALUE"""),"belum bales lagi, FU 11 Juni")</f>
        <v>belum bales lagi, FU 11 Juni</v>
      </c>
      <c r="L797" s="76"/>
      <c r="M797" s="20"/>
      <c r="N797" s="20"/>
      <c r="O797" s="20"/>
      <c r="P797" s="20"/>
    </row>
    <row r="798">
      <c r="A798" s="110">
        <f>IFERROR(__xludf.DUMMYFUNCTION("""COMPUTED_VALUE"""),46175.0)</f>
        <v>46175</v>
      </c>
      <c r="B798" s="110" t="str">
        <f>IFERROR(__xludf.DUMMYFUNCTION("""COMPUTED_VALUE"""),"2606D012")</f>
        <v>2606D012</v>
      </c>
      <c r="C798" s="49" t="str">
        <f>IFERROR(__xludf.DUMMYFUNCTION("""COMPUTED_VALUE"""),"Aye")</f>
        <v>Aye</v>
      </c>
      <c r="D798" s="102" t="str">
        <f>IFERROR(__xludf.DUMMYFUNCTION("""COMPUTED_VALUE"""),"085141170283")</f>
        <v>085141170283</v>
      </c>
      <c r="E798" s="25" t="str">
        <f>IFERROR(__xludf.DUMMYFUNCTION("""COMPUTED_VALUE"""),"Instagram")</f>
        <v>Instagram</v>
      </c>
      <c r="F798" s="25" t="str">
        <f>IFERROR(__xludf.DUMMYFUNCTION("""COMPUTED_VALUE"""),"Gagal")</f>
        <v>Gagal</v>
      </c>
      <c r="G798" s="25" t="str">
        <f>IFERROR(__xludf.DUMMYFUNCTION("""COMPUTED_VALUE"""),"ot menjangan tabuhan")</f>
        <v>ot menjangan tabuhan</v>
      </c>
      <c r="H798" s="78"/>
      <c r="I798" s="89"/>
      <c r="J798" s="96"/>
      <c r="K798" s="30" t="str">
        <f>IFERROR(__xludf.DUMMYFUNCTION("""COMPUTED_VALUE"""),"FU 7 Juni")</f>
        <v>FU 7 Juni</v>
      </c>
      <c r="L798" s="49"/>
      <c r="M798" s="20"/>
      <c r="N798" s="20"/>
      <c r="O798" s="20"/>
      <c r="P798" s="20"/>
    </row>
    <row r="799">
      <c r="A799" s="97">
        <f>IFERROR(__xludf.DUMMYFUNCTION("""COMPUTED_VALUE"""),46175.0)</f>
        <v>46175</v>
      </c>
      <c r="B799" s="97" t="str">
        <f>IFERROR(__xludf.DUMMYFUNCTION("""COMPUTED_VALUE"""),"2606D013")</f>
        <v>2606D013</v>
      </c>
      <c r="C799" s="76" t="str">
        <f>IFERROR(__xludf.DUMMYFUNCTION("""COMPUTED_VALUE"""),"Anes")</f>
        <v>Anes</v>
      </c>
      <c r="D799" s="99" t="str">
        <f>IFERROR(__xludf.DUMMYFUNCTION("""COMPUTED_VALUE"""),"081460930128")</f>
        <v>081460930128</v>
      </c>
      <c r="E799" s="25" t="str">
        <f>IFERROR(__xludf.DUMMYFUNCTION("""COMPUTED_VALUE"""),"Tiktok")</f>
        <v>Tiktok</v>
      </c>
      <c r="F799" s="25" t="str">
        <f>IFERROR(__xludf.DUMMYFUNCTION("""COMPUTED_VALUE"""),"Leads Baru")</f>
        <v>Leads Baru</v>
      </c>
      <c r="G799" s="25" t="str">
        <f>IFERROR(__xludf.DUMMYFUNCTION("""COMPUTED_VALUE"""),"OT GI ")</f>
        <v>OT GI </v>
      </c>
      <c r="H799" s="16">
        <f>IFERROR(__xludf.DUMMYFUNCTION("""COMPUTED_VALUE"""),46212.0)</f>
        <v>46212</v>
      </c>
      <c r="I799" s="17">
        <f>IFERROR(__xludf.DUMMYFUNCTION("""COMPUTED_VALUE"""),2.0)</f>
        <v>2</v>
      </c>
      <c r="J799" s="54"/>
      <c r="K799" s="46" t="str">
        <f>IFERROR(__xludf.DUMMYFUNCTION("""COMPUTED_VALUE"""),"belum bales lagi, FU 16 Juni")</f>
        <v>belum bales lagi, FU 16 Juni</v>
      </c>
      <c r="L799" s="76"/>
      <c r="M799" s="20"/>
      <c r="N799" s="20"/>
      <c r="O799" s="20"/>
      <c r="P799" s="20"/>
    </row>
    <row r="800">
      <c r="A800" s="110">
        <f>IFERROR(__xludf.DUMMYFUNCTION("""COMPUTED_VALUE"""),46174.0)</f>
        <v>46174</v>
      </c>
      <c r="B800" s="110" t="str">
        <f>IFERROR(__xludf.DUMMYFUNCTION("""COMPUTED_VALUE"""),"2606D014")</f>
        <v>2606D014</v>
      </c>
      <c r="C800" s="49" t="str">
        <f>IFERROR(__xludf.DUMMYFUNCTION("""COMPUTED_VALUE"""),"Imanda Raisa")</f>
        <v>Imanda Raisa</v>
      </c>
      <c r="D800" s="102" t="str">
        <f>IFERROR(__xludf.DUMMYFUNCTION("""COMPUTED_VALUE"""),"085795274846")</f>
        <v>085795274846</v>
      </c>
      <c r="E800" s="25" t="str">
        <f>IFERROR(__xludf.DUMMYFUNCTION("""COMPUTED_VALUE"""),"Instagram")</f>
        <v>Instagram</v>
      </c>
      <c r="F800" s="25" t="str">
        <f>IFERROR(__xludf.DUMMYFUNCTION("""COMPUTED_VALUE"""),"Leads Baru")</f>
        <v>Leads Baru</v>
      </c>
      <c r="G800" s="25" t="str">
        <f>IFERROR(__xludf.DUMMYFUNCTION("""COMPUTED_VALUE"""),"3H2M custome")</f>
        <v>3H2M custome</v>
      </c>
      <c r="H800" s="78"/>
      <c r="I800" s="89">
        <f>IFERROR(__xludf.DUMMYFUNCTION("""COMPUTED_VALUE"""),10.0)</f>
        <v>10</v>
      </c>
      <c r="J800" s="96"/>
      <c r="K800" s="36" t="str">
        <f>IFERROR(__xludf.DUMMYFUNCTION("""COMPUTED_VALUE"""),"FU 6 Juni")</f>
        <v>FU 6 Juni</v>
      </c>
      <c r="L800" s="49"/>
      <c r="M800" s="20"/>
      <c r="N800" s="20"/>
      <c r="O800" s="20"/>
      <c r="P800" s="20"/>
    </row>
    <row r="801">
      <c r="A801" s="97">
        <f>IFERROR(__xludf.DUMMYFUNCTION("""COMPUTED_VALUE"""),46176.0)</f>
        <v>46176</v>
      </c>
      <c r="B801" s="97" t="str">
        <f>IFERROR(__xludf.DUMMYFUNCTION("""COMPUTED_VALUE"""),"2606D015")</f>
        <v>2606D015</v>
      </c>
      <c r="C801" s="76" t="str">
        <f>IFERROR(__xludf.DUMMYFUNCTION("""COMPUTED_VALUE"""),"Electra ")</f>
        <v>Electra </v>
      </c>
      <c r="D801" s="99" t="str">
        <f>IFERROR(__xludf.DUMMYFUNCTION("""COMPUTED_VALUE"""),"0818300357")</f>
        <v>0818300357</v>
      </c>
      <c r="E801" s="25" t="str">
        <f>IFERROR(__xludf.DUMMYFUNCTION("""COMPUTED_VALUE"""),"Website")</f>
        <v>Website</v>
      </c>
      <c r="F801" s="25" t="str">
        <f>IFERROR(__xludf.DUMMYFUNCTION("""COMPUTED_VALUE"""),"Leads Baru")</f>
        <v>Leads Baru</v>
      </c>
      <c r="G801" s="25" t="str">
        <f>IFERROR(__xludf.DUMMYFUNCTION("""COMPUTED_VALUE"""),"OT 3H2M ")</f>
        <v>OT 3H2M </v>
      </c>
      <c r="H801" s="92"/>
      <c r="I801" s="80"/>
      <c r="J801" s="93"/>
      <c r="K801" s="19" t="str">
        <f>IFERROR(__xludf.DUMMYFUNCTION("""COMPUTED_VALUE"""),"blm bales lagi, FU 12 Juni")</f>
        <v>blm bales lagi, FU 12 Juni</v>
      </c>
      <c r="L801" s="76"/>
      <c r="M801" s="20"/>
      <c r="N801" s="20"/>
      <c r="O801" s="20"/>
      <c r="P801" s="20"/>
    </row>
    <row r="802">
      <c r="A802" s="110">
        <f>IFERROR(__xludf.DUMMYFUNCTION("""COMPUTED_VALUE"""),46176.0)</f>
        <v>46176</v>
      </c>
      <c r="B802" s="110" t="str">
        <f>IFERROR(__xludf.DUMMYFUNCTION("""COMPUTED_VALUE"""),"2606D016")</f>
        <v>2606D016</v>
      </c>
      <c r="C802" s="49" t="str">
        <f>IFERROR(__xludf.DUMMYFUNCTION("""COMPUTED_VALUE"""),"Ach")</f>
        <v>Ach</v>
      </c>
      <c r="D802" s="102" t="str">
        <f>IFERROR(__xludf.DUMMYFUNCTION("""COMPUTED_VALUE"""),"085648287210")</f>
        <v>085648287210</v>
      </c>
      <c r="E802" s="25" t="str">
        <f>IFERROR(__xludf.DUMMYFUNCTION("""COMPUTED_VALUE"""),"Instagram")</f>
        <v>Instagram</v>
      </c>
      <c r="F802" s="25" t="str">
        <f>IFERROR(__xludf.DUMMYFUNCTION("""COMPUTED_VALUE"""),"Leads Baru")</f>
        <v>Leads Baru</v>
      </c>
      <c r="G802" s="25" t="str">
        <f>IFERROR(__xludf.DUMMYFUNCTION("""COMPUTED_VALUE"""),"3h2m opsi A")</f>
        <v>3h2m opsi A</v>
      </c>
      <c r="H802" s="78"/>
      <c r="I802" s="89">
        <f>IFERROR(__xludf.DUMMYFUNCTION("""COMPUTED_VALUE"""),2.0)</f>
        <v>2</v>
      </c>
      <c r="J802" s="96"/>
      <c r="K802" s="36" t="str">
        <f>IFERROR(__xludf.DUMMYFUNCTION("""COMPUTED_VALUE"""),"FU 11 Juni")</f>
        <v>FU 11 Juni</v>
      </c>
      <c r="L802" s="49"/>
      <c r="M802" s="20"/>
      <c r="N802" s="20"/>
      <c r="O802" s="20"/>
      <c r="P802" s="20"/>
    </row>
    <row r="803">
      <c r="A803" s="97">
        <f>IFERROR(__xludf.DUMMYFUNCTION("""COMPUTED_VALUE"""),46175.0)</f>
        <v>46175</v>
      </c>
      <c r="B803" s="97" t="str">
        <f>IFERROR(__xludf.DUMMYFUNCTION("""COMPUTED_VALUE"""),"2606D017")</f>
        <v>2606D017</v>
      </c>
      <c r="C803" s="76" t="str">
        <f>IFERROR(__xludf.DUMMYFUNCTION("""COMPUTED_VALUE"""),"Artha Aprilla ")</f>
        <v>Artha Aprilla </v>
      </c>
      <c r="D803" s="99" t="str">
        <f>IFERROR(__xludf.DUMMYFUNCTION("""COMPUTED_VALUE"""),"088806705595")</f>
        <v>088806705595</v>
      </c>
      <c r="E803" s="25" t="str">
        <f>IFERROR(__xludf.DUMMYFUNCTION("""COMPUTED_VALUE"""),"Instagram")</f>
        <v>Instagram</v>
      </c>
      <c r="F803" s="25" t="str">
        <f>IFERROR(__xludf.DUMMYFUNCTION("""COMPUTED_VALUE"""),"Leads Baru")</f>
        <v>Leads Baru</v>
      </c>
      <c r="G803" s="25" t="str">
        <f>IFERROR(__xludf.DUMMYFUNCTION("""COMPUTED_VALUE"""),"2h1m")</f>
        <v>2h1m</v>
      </c>
      <c r="H803" s="92"/>
      <c r="I803" s="80">
        <f>IFERROR(__xludf.DUMMYFUNCTION("""COMPUTED_VALUE"""),100.0)</f>
        <v>100</v>
      </c>
      <c r="J803" s="93"/>
      <c r="K803" s="46" t="str">
        <f>IFERROR(__xludf.DUMMYFUNCTION("""COMPUTED_VALUE"""),"FU 11 Juni")</f>
        <v>FU 11 Juni</v>
      </c>
      <c r="L803" s="10"/>
      <c r="M803" s="20"/>
      <c r="N803" s="20"/>
      <c r="O803" s="20"/>
      <c r="P803" s="20"/>
    </row>
    <row r="804">
      <c r="A804" s="110">
        <f>IFERROR(__xludf.DUMMYFUNCTION("""COMPUTED_VALUE"""),46176.0)</f>
        <v>46176</v>
      </c>
      <c r="B804" s="110" t="str">
        <f>IFERROR(__xludf.DUMMYFUNCTION("""COMPUTED_VALUE"""),"2606D018")</f>
        <v>2606D018</v>
      </c>
      <c r="C804" s="102" t="str">
        <f>IFERROR(__xludf.DUMMYFUNCTION("""COMPUTED_VALUE"""),"SMK Telkom")</f>
        <v>SMK Telkom</v>
      </c>
      <c r="D804" s="102" t="str">
        <f>IFERROR(__xludf.DUMMYFUNCTION("""COMPUTED_VALUE"""),"08111701157")</f>
        <v>08111701157</v>
      </c>
      <c r="E804" s="25" t="str">
        <f>IFERROR(__xludf.DUMMYFUNCTION("""COMPUTED_VALUE"""),"Website")</f>
        <v>Website</v>
      </c>
      <c r="F804" s="25" t="str">
        <f>IFERROR(__xludf.DUMMYFUNCTION("""COMPUTED_VALUE"""),"Gagal")</f>
        <v>Gagal</v>
      </c>
      <c r="G804" s="25" t="str">
        <f>IFERROR(__xludf.DUMMYFUNCTION("""COMPUTED_VALUE"""),"3h2m")</f>
        <v>3h2m</v>
      </c>
      <c r="H804" s="78"/>
      <c r="I804" s="27">
        <f>IFERROR(__xludf.DUMMYFUNCTION("""COMPUTED_VALUE"""),80.0)</f>
        <v>80</v>
      </c>
      <c r="J804" s="33"/>
      <c r="K804" s="30" t="str">
        <f>IFERROR(__xludf.DUMMYFUNCTION("""COMPUTED_VALUE"""),"gagalll, jadi liburan ke bandung")</f>
        <v>gagalll, jadi liburan ke bandung</v>
      </c>
      <c r="L804" s="23"/>
      <c r="M804" s="20"/>
      <c r="N804" s="20"/>
      <c r="O804" s="20"/>
      <c r="P804" s="20"/>
    </row>
    <row r="805">
      <c r="A805" s="97">
        <f>IFERROR(__xludf.DUMMYFUNCTION("""COMPUTED_VALUE"""),46176.0)</f>
        <v>46176</v>
      </c>
      <c r="B805" s="97" t="str">
        <f>IFERROR(__xludf.DUMMYFUNCTION("""COMPUTED_VALUE"""),"2606D019")</f>
        <v>2606D019</v>
      </c>
      <c r="C805" s="76" t="str">
        <f>IFERROR(__xludf.DUMMYFUNCTION("""COMPUTED_VALUE"""),"Novi")</f>
        <v>Novi</v>
      </c>
      <c r="D805" s="99" t="str">
        <f>IFERROR(__xludf.DUMMYFUNCTION("""COMPUTED_VALUE"""),"081903852661")</f>
        <v>081903852661</v>
      </c>
      <c r="E805" s="25" t="str">
        <f>IFERROR(__xludf.DUMMYFUNCTION("""COMPUTED_VALUE"""),"Website")</f>
        <v>Website</v>
      </c>
      <c r="F805" s="25" t="str">
        <f>IFERROR(__xludf.DUMMYFUNCTION("""COMPUTED_VALUE"""),"Leads Baru")</f>
        <v>Leads Baru</v>
      </c>
      <c r="G805" s="25" t="str">
        <f>IFERROR(__xludf.DUMMYFUNCTION("""COMPUTED_VALUE"""),"3h2m Opsi A")</f>
        <v>3h2m Opsi A</v>
      </c>
      <c r="H805" s="92">
        <f>IFERROR(__xludf.DUMMYFUNCTION("""COMPUTED_VALUE"""),46199.0)</f>
        <v>46199</v>
      </c>
      <c r="I805" s="17">
        <f>IFERROR(__xludf.DUMMYFUNCTION("""COMPUTED_VALUE"""),14.0)</f>
        <v>14</v>
      </c>
      <c r="J805" s="54"/>
      <c r="K805" s="46" t="str">
        <f>IFERROR(__xludf.DUMMYFUNCTION("""COMPUTED_VALUE"""),"FU 6 Juni")</f>
        <v>FU 6 Juni</v>
      </c>
      <c r="L805" s="10"/>
      <c r="M805" s="20"/>
      <c r="N805" s="20"/>
      <c r="O805" s="20"/>
      <c r="P805" s="20"/>
    </row>
    <row r="806">
      <c r="A806" s="110">
        <f>IFERROR(__xludf.DUMMYFUNCTION("""COMPUTED_VALUE"""),46176.0)</f>
        <v>46176</v>
      </c>
      <c r="B806" s="110" t="str">
        <f>IFERROR(__xludf.DUMMYFUNCTION("""COMPUTED_VALUE"""),"2606D020")</f>
        <v>2606D020</v>
      </c>
      <c r="C806" s="49" t="str">
        <f>IFERROR(__xludf.DUMMYFUNCTION("""COMPUTED_VALUE"""),"Monica")</f>
        <v>Monica</v>
      </c>
      <c r="D806" s="102" t="str">
        <f>IFERROR(__xludf.DUMMYFUNCTION("""COMPUTED_VALUE"""),"081280100207")</f>
        <v>081280100207</v>
      </c>
      <c r="E806" s="25" t="str">
        <f>IFERROR(__xludf.DUMMYFUNCTION("""COMPUTED_VALUE"""),"Instagram")</f>
        <v>Instagram</v>
      </c>
      <c r="F806" s="25" t="str">
        <f>IFERROR(__xludf.DUMMYFUNCTION("""COMPUTED_VALUE"""),"Leads Baru")</f>
        <v>Leads Baru</v>
      </c>
      <c r="G806" s="25" t="str">
        <f>IFERROR(__xludf.DUMMYFUNCTION("""COMPUTED_VALUE"""),"3h2m Opsi A")</f>
        <v>3h2m Opsi A</v>
      </c>
      <c r="H806" s="26"/>
      <c r="I806" s="27">
        <f>IFERROR(__xludf.DUMMYFUNCTION("""COMPUTED_VALUE"""),6.0)</f>
        <v>6</v>
      </c>
      <c r="J806" s="33"/>
      <c r="K806" s="30" t="str">
        <f>IFERROR(__xludf.DUMMYFUNCTION("""COMPUTED_VALUE"""),"FU 9 Juni")</f>
        <v>FU 9 Juni</v>
      </c>
      <c r="L806" s="49"/>
      <c r="M806" s="20"/>
      <c r="N806" s="20"/>
      <c r="O806" s="20"/>
      <c r="P806" s="20"/>
    </row>
    <row r="807">
      <c r="A807" s="97">
        <f>IFERROR(__xludf.DUMMYFUNCTION("""COMPUTED_VALUE"""),46176.0)</f>
        <v>46176</v>
      </c>
      <c r="B807" s="97" t="str">
        <f>IFERROR(__xludf.DUMMYFUNCTION("""COMPUTED_VALUE"""),"2606D021")</f>
        <v>2606D021</v>
      </c>
      <c r="C807" s="76" t="str">
        <f>IFERROR(__xludf.DUMMYFUNCTION("""COMPUTED_VALUE"""),"Weliya Karisma")</f>
        <v>Weliya Karisma</v>
      </c>
      <c r="D807" s="99" t="str">
        <f>IFERROR(__xludf.DUMMYFUNCTION("""COMPUTED_VALUE"""),"082281113334")</f>
        <v>082281113334</v>
      </c>
      <c r="E807" s="25" t="str">
        <f>IFERROR(__xludf.DUMMYFUNCTION("""COMPUTED_VALUE"""),"Instagram")</f>
        <v>Instagram</v>
      </c>
      <c r="F807" s="25" t="str">
        <f>IFERROR(__xludf.DUMMYFUNCTION("""COMPUTED_VALUE"""),"Leads Baru")</f>
        <v>Leads Baru</v>
      </c>
      <c r="G807" s="25" t="str">
        <f>IFERROR(__xludf.DUMMYFUNCTION("""COMPUTED_VALUE"""),"OT ijen")</f>
        <v>OT ijen</v>
      </c>
      <c r="H807" s="92">
        <f>IFERROR(__xludf.DUMMYFUNCTION("""COMPUTED_VALUE"""),46194.0)</f>
        <v>46194</v>
      </c>
      <c r="I807" s="80">
        <f>IFERROR(__xludf.DUMMYFUNCTION("""COMPUTED_VALUE"""),1.0)</f>
        <v>1</v>
      </c>
      <c r="J807" s="129"/>
      <c r="K807" s="19" t="str">
        <f>IFERROR(__xludf.DUMMYFUNCTION("""COMPUTED_VALUE"""),"1 orang, FU 8 Juni ")</f>
        <v>1 orang, FU 8 Juni </v>
      </c>
      <c r="L807" s="76"/>
      <c r="M807" s="20"/>
      <c r="N807" s="20"/>
      <c r="O807" s="20"/>
      <c r="P807" s="20"/>
    </row>
    <row r="808">
      <c r="A808" s="110">
        <f>IFERROR(__xludf.DUMMYFUNCTION("""COMPUTED_VALUE"""),46177.0)</f>
        <v>46177</v>
      </c>
      <c r="B808" s="110" t="str">
        <f>IFERROR(__xludf.DUMMYFUNCTION("""COMPUTED_VALUE"""),"2606D022")</f>
        <v>2606D022</v>
      </c>
      <c r="C808" s="49" t="str">
        <f>IFERROR(__xludf.DUMMYFUNCTION("""COMPUTED_VALUE"""),"Atin Kurniawati ")</f>
        <v>Atin Kurniawati </v>
      </c>
      <c r="D808" s="102" t="str">
        <f>IFERROR(__xludf.DUMMYFUNCTION("""COMPUTED_VALUE"""),"085867185560")</f>
        <v>085867185560</v>
      </c>
      <c r="E808" s="25" t="str">
        <f>IFERROR(__xludf.DUMMYFUNCTION("""COMPUTED_VALUE"""),"Website")</f>
        <v>Website</v>
      </c>
      <c r="F808" s="25" t="str">
        <f>IFERROR(__xludf.DUMMYFUNCTION("""COMPUTED_VALUE"""),"Leads Baru")</f>
        <v>Leads Baru</v>
      </c>
      <c r="G808" s="25"/>
      <c r="H808" s="78"/>
      <c r="I808" s="89"/>
      <c r="J808" s="96"/>
      <c r="K808" s="36"/>
      <c r="L808" s="49"/>
      <c r="M808" s="20"/>
      <c r="N808" s="20"/>
      <c r="O808" s="20"/>
      <c r="P808" s="20"/>
    </row>
    <row r="809">
      <c r="A809" s="110">
        <f>IFERROR(__xludf.DUMMYFUNCTION("""COMPUTED_VALUE"""),46178.0)</f>
        <v>46178</v>
      </c>
      <c r="B809" s="110" t="str">
        <f>IFERROR(__xludf.DUMMYFUNCTION("""COMPUTED_VALUE"""),"2606D023")</f>
        <v>2606D023</v>
      </c>
      <c r="C809" s="49" t="str">
        <f>IFERROR(__xludf.DUMMYFUNCTION("""COMPUTED_VALUE"""),"Nur Apriliani")</f>
        <v>Nur Apriliani</v>
      </c>
      <c r="D809" s="102" t="str">
        <f>IFERROR(__xludf.DUMMYFUNCTION("""COMPUTED_VALUE"""),"08992824307")</f>
        <v>08992824307</v>
      </c>
      <c r="E809" s="25" t="str">
        <f>IFERROR(__xludf.DUMMYFUNCTION("""COMPUTED_VALUE"""),"Instagram")</f>
        <v>Instagram</v>
      </c>
      <c r="F809" s="25" t="str">
        <f>IFERROR(__xludf.DUMMYFUNCTION("""COMPUTED_VALUE"""),"Closing")</f>
        <v>Closing</v>
      </c>
      <c r="G809" s="25" t="str">
        <f>IFERROR(__xludf.DUMMYFUNCTION("""COMPUTED_VALUE"""),"OT Ijen")</f>
        <v>OT Ijen</v>
      </c>
      <c r="H809" s="78">
        <f>IFERROR(__xludf.DUMMYFUNCTION("""COMPUTED_VALUE"""),46179.0)</f>
        <v>46179</v>
      </c>
      <c r="I809" s="89">
        <f>IFERROR(__xludf.DUMMYFUNCTION("""COMPUTED_VALUE"""),1.0)</f>
        <v>1</v>
      </c>
      <c r="J809" s="96">
        <f>IFERROR(__xludf.DUMMYFUNCTION("""COMPUTED_VALUE"""),250000.0)</f>
        <v>250000</v>
      </c>
      <c r="K809" s="36" t="str">
        <f>IFERROR(__xludf.DUMMYFUNCTION("""COMPUTED_VALUE"""),"ORDEERRR")</f>
        <v>ORDEERRR</v>
      </c>
      <c r="L809" s="49"/>
      <c r="M809" s="20"/>
      <c r="N809" s="20"/>
      <c r="O809" s="20"/>
      <c r="P809" s="20"/>
    </row>
    <row r="810">
      <c r="A810" s="97">
        <f>IFERROR(__xludf.DUMMYFUNCTION("""COMPUTED_VALUE"""),46178.0)</f>
        <v>46178</v>
      </c>
      <c r="B810" s="97" t="str">
        <f>IFERROR(__xludf.DUMMYFUNCTION("""COMPUTED_VALUE"""),"2606D024")</f>
        <v>2606D024</v>
      </c>
      <c r="C810" s="76" t="str">
        <f>IFERROR(__xludf.DUMMYFUNCTION("""COMPUTED_VALUE"""),"Robin")</f>
        <v>Robin</v>
      </c>
      <c r="D810" s="99" t="str">
        <f>IFERROR(__xludf.DUMMYFUNCTION("""COMPUTED_VALUE"""),"08128048305")</f>
        <v>08128048305</v>
      </c>
      <c r="E810" s="25" t="str">
        <f>IFERROR(__xludf.DUMMYFUNCTION("""COMPUTED_VALUE"""),"Website")</f>
        <v>Website</v>
      </c>
      <c r="F810" s="25" t="str">
        <f>IFERROR(__xludf.DUMMYFUNCTION("""COMPUTED_VALUE"""),"Closing")</f>
        <v>Closing</v>
      </c>
      <c r="G810" s="25" t="str">
        <f>IFERROR(__xludf.DUMMYFUNCTION("""COMPUTED_VALUE"""),"3h2m custome")</f>
        <v>3h2m custome</v>
      </c>
      <c r="H810" s="92">
        <f>IFERROR(__xludf.DUMMYFUNCTION("""COMPUTED_VALUE"""),46186.0)</f>
        <v>46186</v>
      </c>
      <c r="I810" s="80">
        <f>IFERROR(__xludf.DUMMYFUNCTION("""COMPUTED_VALUE"""),3.0)</f>
        <v>3</v>
      </c>
      <c r="J810" s="93">
        <f>IFERROR(__xludf.DUMMYFUNCTION("""COMPUTED_VALUE"""),6825000.0)</f>
        <v>6825000</v>
      </c>
      <c r="K810" s="46" t="str">
        <f>IFERROR(__xludf.DUMMYFUNCTION("""COMPUTED_VALUE"""),"ORDEERRR")</f>
        <v>ORDEERRR</v>
      </c>
      <c r="L810" s="76"/>
      <c r="M810" s="20"/>
      <c r="N810" s="20"/>
      <c r="O810" s="20"/>
      <c r="P810" s="20"/>
    </row>
    <row r="811">
      <c r="A811" s="97">
        <f>IFERROR(__xludf.DUMMYFUNCTION("""COMPUTED_VALUE"""),46178.0)</f>
        <v>46178</v>
      </c>
      <c r="B811" s="97" t="str">
        <f>IFERROR(__xludf.DUMMYFUNCTION("""COMPUTED_VALUE"""),"2606D025")</f>
        <v>2606D025</v>
      </c>
      <c r="C811" s="76" t="str">
        <f>IFERROR(__xludf.DUMMYFUNCTION("""COMPUTED_VALUE"""),"Joko Widodo")</f>
        <v>Joko Widodo</v>
      </c>
      <c r="D811" s="99" t="str">
        <f>IFERROR(__xludf.DUMMYFUNCTION("""COMPUTED_VALUE"""),"082146152357")</f>
        <v>082146152357</v>
      </c>
      <c r="E811" s="25" t="str">
        <f>IFERROR(__xludf.DUMMYFUNCTION("""COMPUTED_VALUE"""),"Website")</f>
        <v>Website</v>
      </c>
      <c r="F811" s="25" t="str">
        <f>IFERROR(__xludf.DUMMYFUNCTION("""COMPUTED_VALUE"""),"Closing")</f>
        <v>Closing</v>
      </c>
      <c r="G811" s="25" t="str">
        <f>IFERROR(__xludf.DUMMYFUNCTION("""COMPUTED_VALUE"""),"PT Djabal")</f>
        <v>PT Djabal</v>
      </c>
      <c r="H811" s="92">
        <f>IFERROR(__xludf.DUMMYFUNCTION("""COMPUTED_VALUE"""),46180.0)</f>
        <v>46180</v>
      </c>
      <c r="I811" s="17">
        <f>IFERROR(__xludf.DUMMYFUNCTION("""COMPUTED_VALUE"""),3.0)</f>
        <v>3</v>
      </c>
      <c r="J811" s="93">
        <f>IFERROR(__xludf.DUMMYFUNCTION("""COMPUTED_VALUE"""),1875000.0)</f>
        <v>1875000</v>
      </c>
      <c r="K811" s="19" t="str">
        <f>IFERROR(__xludf.DUMMYFUNCTION("""COMPUTED_VALUE"""),"ORDEERRR")</f>
        <v>ORDEERRR</v>
      </c>
      <c r="L811" s="76"/>
      <c r="M811" s="20"/>
      <c r="N811" s="20"/>
      <c r="O811" s="20"/>
      <c r="P811" s="20"/>
    </row>
    <row r="812">
      <c r="A812" s="110">
        <f>IFERROR(__xludf.DUMMYFUNCTION("""COMPUTED_VALUE"""),46178.0)</f>
        <v>46178</v>
      </c>
      <c r="B812" s="97" t="str">
        <f>IFERROR(__xludf.DUMMYFUNCTION("""COMPUTED_VALUE"""),"2606D026")</f>
        <v>2606D026</v>
      </c>
      <c r="C812" s="49" t="str">
        <f>IFERROR(__xludf.DUMMYFUNCTION("""COMPUTED_VALUE"""),"Leisny")</f>
        <v>Leisny</v>
      </c>
      <c r="D812" s="102" t="str">
        <f>IFERROR(__xludf.DUMMYFUNCTION("""COMPUTED_VALUE"""),"085891350910")</f>
        <v>085891350910</v>
      </c>
      <c r="E812" s="25" t="str">
        <f>IFERROR(__xludf.DUMMYFUNCTION("""COMPUTED_VALUE"""),"Instagram")</f>
        <v>Instagram</v>
      </c>
      <c r="F812" s="25" t="str">
        <f>IFERROR(__xludf.DUMMYFUNCTION("""COMPUTED_VALUE"""),"Closing")</f>
        <v>Closing</v>
      </c>
      <c r="G812" s="25" t="str">
        <f>IFERROR(__xludf.DUMMYFUNCTION("""COMPUTED_VALUE"""),"PT MT")</f>
        <v>PT MT</v>
      </c>
      <c r="H812" s="78">
        <f>IFERROR(__xludf.DUMMYFUNCTION("""COMPUTED_VALUE"""),46201.0)</f>
        <v>46201</v>
      </c>
      <c r="I812" s="89">
        <f>IFERROR(__xludf.DUMMYFUNCTION("""COMPUTED_VALUE"""),4.0)</f>
        <v>4</v>
      </c>
      <c r="J812" s="96">
        <f>IFERROR(__xludf.DUMMYFUNCTION("""COMPUTED_VALUE"""),2000000.0)</f>
        <v>2000000</v>
      </c>
      <c r="K812" s="36" t="str">
        <f>IFERROR(__xludf.DUMMYFUNCTION("""COMPUTED_VALUE"""),"ORDEERRR")</f>
        <v>ORDEERRR</v>
      </c>
      <c r="L812" s="49"/>
      <c r="M812" s="20"/>
      <c r="N812" s="20"/>
      <c r="O812" s="20"/>
      <c r="P812" s="20"/>
    </row>
    <row r="813">
      <c r="A813" s="97">
        <f>IFERROR(__xludf.DUMMYFUNCTION("""COMPUTED_VALUE"""),46174.0)</f>
        <v>46174</v>
      </c>
      <c r="B813" s="97" t="str">
        <f>IFERROR(__xludf.DUMMYFUNCTION("""COMPUTED_VALUE"""),"2606D027")</f>
        <v>2606D027</v>
      </c>
      <c r="C813" s="76" t="str">
        <f>IFERROR(__xludf.DUMMYFUNCTION("""COMPUTED_VALUE"""),"Fauzan")</f>
        <v>Fauzan</v>
      </c>
      <c r="D813" s="99" t="str">
        <f>IFERROR(__xludf.DUMMYFUNCTION("""COMPUTED_VALUE"""),"081311539490")</f>
        <v>081311539490</v>
      </c>
      <c r="E813" s="25" t="str">
        <f>IFERROR(__xludf.DUMMYFUNCTION("""COMPUTED_VALUE"""),"Website")</f>
        <v>Website</v>
      </c>
      <c r="F813" s="25" t="str">
        <f>IFERROR(__xludf.DUMMYFUNCTION("""COMPUTED_VALUE"""),"Leads Baru")</f>
        <v>Leads Baru</v>
      </c>
      <c r="G813" s="25" t="str">
        <f>IFERROR(__xludf.DUMMYFUNCTION("""COMPUTED_VALUE"""),"4h3m custome")</f>
        <v>4h3m custome</v>
      </c>
      <c r="H813" s="92">
        <f>IFERROR(__xludf.DUMMYFUNCTION("""COMPUTED_VALUE"""),46243.0)</f>
        <v>46243</v>
      </c>
      <c r="I813" s="80">
        <f>IFERROR(__xludf.DUMMYFUNCTION("""COMPUTED_VALUE"""),3.0)</f>
        <v>3</v>
      </c>
      <c r="J813" s="93"/>
      <c r="K813" s="19" t="str">
        <f>IFERROR(__xludf.DUMMYFUNCTION("""COMPUTED_VALUE"""),"FU 17 Juni")</f>
        <v>FU 17 Juni</v>
      </c>
      <c r="L813" s="10"/>
      <c r="M813" s="20"/>
      <c r="N813" s="20"/>
      <c r="O813" s="20"/>
      <c r="P813" s="20"/>
    </row>
    <row r="814">
      <c r="A814" s="110">
        <f>IFERROR(__xludf.DUMMYFUNCTION("""COMPUTED_VALUE"""),46177.0)</f>
        <v>46177</v>
      </c>
      <c r="B814" s="110" t="str">
        <f>IFERROR(__xludf.DUMMYFUNCTION("""COMPUTED_VALUE"""),"2606D028")</f>
        <v>2606D028</v>
      </c>
      <c r="C814" s="49" t="str">
        <f>IFERROR(__xludf.DUMMYFUNCTION("""COMPUTED_VALUE"""),"Qory")</f>
        <v>Qory</v>
      </c>
      <c r="D814" s="102" t="str">
        <f>IFERROR(__xludf.DUMMYFUNCTION("""COMPUTED_VALUE"""),"081413456263")</f>
        <v>081413456263</v>
      </c>
      <c r="E814" s="25" t="str">
        <f>IFERROR(__xludf.DUMMYFUNCTION("""COMPUTED_VALUE"""),"Instagram")</f>
        <v>Instagram</v>
      </c>
      <c r="F814" s="25" t="str">
        <f>IFERROR(__xludf.DUMMYFUNCTION("""COMPUTED_VALUE"""),"Leads Baru")</f>
        <v>Leads Baru</v>
      </c>
      <c r="G814" s="25" t="str">
        <f>IFERROR(__xludf.DUMMYFUNCTION("""COMPUTED_VALUE"""),"3h2m opsi A")</f>
        <v>3h2m opsi A</v>
      </c>
      <c r="H814" s="78">
        <f>IFERROR(__xludf.DUMMYFUNCTION("""COMPUTED_VALUE"""),46256.0)</f>
        <v>46256</v>
      </c>
      <c r="I814" s="89"/>
      <c r="J814" s="96"/>
      <c r="K814" s="30" t="str">
        <f>IFERROR(__xludf.DUMMYFUNCTION("""COMPUTED_VALUE"""),"FU 4 Juli")</f>
        <v>FU 4 Juli</v>
      </c>
      <c r="L814" s="49"/>
      <c r="M814" s="20"/>
      <c r="N814" s="20"/>
      <c r="O814" s="20"/>
      <c r="P814" s="20"/>
    </row>
    <row r="815">
      <c r="A815" s="97">
        <f>IFERROR(__xludf.DUMMYFUNCTION("""COMPUTED_VALUE"""),46177.0)</f>
        <v>46177</v>
      </c>
      <c r="B815" s="97" t="str">
        <f>IFERROR(__xludf.DUMMYFUNCTION("""COMPUTED_VALUE"""),"2606D029")</f>
        <v>2606D029</v>
      </c>
      <c r="C815" s="76" t="str">
        <f>IFERROR(__xludf.DUMMYFUNCTION("""COMPUTED_VALUE"""),"Krent")</f>
        <v>Krent</v>
      </c>
      <c r="D815" s="99" t="str">
        <f>IFERROR(__xludf.DUMMYFUNCTION("""COMPUTED_VALUE"""),"082140807506")</f>
        <v>082140807506</v>
      </c>
      <c r="E815" s="25" t="str">
        <f>IFERROR(__xludf.DUMMYFUNCTION("""COMPUTED_VALUE"""),"Website")</f>
        <v>Website</v>
      </c>
      <c r="F815" s="25" t="str">
        <f>IFERROR(__xludf.DUMMYFUNCTION("""COMPUTED_VALUE"""),"Leads Baru")</f>
        <v>Leads Baru</v>
      </c>
      <c r="G815" s="25" t="str">
        <f>IFERROR(__xludf.DUMMYFUNCTION("""COMPUTED_VALUE"""),"2h1m opsi A")</f>
        <v>2h1m opsi A</v>
      </c>
      <c r="H815" s="92"/>
      <c r="I815" s="80"/>
      <c r="J815" s="93"/>
      <c r="K815" s="46" t="str">
        <f>IFERROR(__xludf.DUMMYFUNCTION("""COMPUTED_VALUE"""),"FU 9 Juni")</f>
        <v>FU 9 Juni</v>
      </c>
      <c r="L815" s="76"/>
      <c r="M815" s="20"/>
      <c r="N815" s="20"/>
      <c r="O815" s="20"/>
      <c r="P815" s="20"/>
    </row>
    <row r="816">
      <c r="A816" s="110">
        <f>IFERROR(__xludf.DUMMYFUNCTION("""COMPUTED_VALUE"""),46177.0)</f>
        <v>46177</v>
      </c>
      <c r="B816" s="97" t="str">
        <f>IFERROR(__xludf.DUMMYFUNCTION("""COMPUTED_VALUE"""),"2606D030")</f>
        <v>2606D030</v>
      </c>
      <c r="C816" s="49" t="str">
        <f>IFERROR(__xludf.DUMMYFUNCTION("""COMPUTED_VALUE"""),"Vaton ")</f>
        <v>Vaton </v>
      </c>
      <c r="D816" s="102" t="str">
        <f>IFERROR(__xludf.DUMMYFUNCTION("""COMPUTED_VALUE"""),"082140319854")</f>
        <v>082140319854</v>
      </c>
      <c r="E816" s="25" t="str">
        <f>IFERROR(__xludf.DUMMYFUNCTION("""COMPUTED_VALUE"""),"Website")</f>
        <v>Website</v>
      </c>
      <c r="F816" s="25" t="str">
        <f>IFERROR(__xludf.DUMMYFUNCTION("""COMPUTED_VALUE"""),"Leads Baru")</f>
        <v>Leads Baru</v>
      </c>
      <c r="G816" s="25" t="str">
        <f>IFERROR(__xludf.DUMMYFUNCTION("""COMPUTED_VALUE"""),"OT MT")</f>
        <v>OT MT</v>
      </c>
      <c r="H816" s="78"/>
      <c r="I816" s="89"/>
      <c r="J816" s="96"/>
      <c r="K816" s="36" t="str">
        <f>IFERROR(__xludf.DUMMYFUNCTION("""COMPUTED_VALUE"""),"FU 8 Juni")</f>
        <v>FU 8 Juni</v>
      </c>
      <c r="L816" s="49"/>
      <c r="M816" s="20"/>
      <c r="N816" s="20"/>
      <c r="O816" s="20"/>
      <c r="P816" s="20"/>
    </row>
    <row r="817">
      <c r="A817" s="97">
        <f>IFERROR(__xludf.DUMMYFUNCTION("""COMPUTED_VALUE"""),46176.0)</f>
        <v>46176</v>
      </c>
      <c r="B817" s="97" t="str">
        <f>IFERROR(__xludf.DUMMYFUNCTION("""COMPUTED_VALUE"""),"2606D031")</f>
        <v>2606D031</v>
      </c>
      <c r="C817" s="76" t="str">
        <f>IFERROR(__xludf.DUMMYFUNCTION("""COMPUTED_VALUE"""),"Peggy Tyas")</f>
        <v>Peggy Tyas</v>
      </c>
      <c r="D817" s="99" t="str">
        <f>IFERROR(__xludf.DUMMYFUNCTION("""COMPUTED_VALUE"""),"082221370981")</f>
        <v>082221370981</v>
      </c>
      <c r="E817" s="25" t="str">
        <f>IFERROR(__xludf.DUMMYFUNCTION("""COMPUTED_VALUE"""),"Instagram")</f>
        <v>Instagram</v>
      </c>
      <c r="F817" s="25" t="str">
        <f>IFERROR(__xludf.DUMMYFUNCTION("""COMPUTED_VALUE"""),"Leads Baru")</f>
        <v>Leads Baru</v>
      </c>
      <c r="G817" s="25" t="str">
        <f>IFERROR(__xludf.DUMMYFUNCTION("""COMPUTED_VALUE"""),"2H1M")</f>
        <v>2H1M</v>
      </c>
      <c r="H817" s="92"/>
      <c r="I817" s="17">
        <f>IFERROR(__xludf.DUMMYFUNCTION("""COMPUTED_VALUE"""),2.0)</f>
        <v>2</v>
      </c>
      <c r="J817" s="93"/>
      <c r="K817" s="46" t="str">
        <f>IFERROR(__xludf.DUMMYFUNCTION("""COMPUTED_VALUE"""),"FU 9 Juni")</f>
        <v>FU 9 Juni</v>
      </c>
      <c r="L817" s="10"/>
      <c r="M817" s="20"/>
      <c r="N817" s="20"/>
      <c r="O817" s="20"/>
      <c r="P817" s="20"/>
    </row>
    <row r="818">
      <c r="A818" s="110">
        <f>IFERROR(__xludf.DUMMYFUNCTION("""COMPUTED_VALUE"""),46177.0)</f>
        <v>46177</v>
      </c>
      <c r="B818" s="110" t="str">
        <f>IFERROR(__xludf.DUMMYFUNCTION("""COMPUTED_VALUE"""),"2606D032")</f>
        <v>2606D032</v>
      </c>
      <c r="C818" s="49" t="str">
        <f>IFERROR(__xludf.DUMMYFUNCTION("""COMPUTED_VALUE"""),"Telepitu stempel")</f>
        <v>Telepitu stempel</v>
      </c>
      <c r="D818" s="102" t="str">
        <f>IFERROR(__xludf.DUMMYFUNCTION("""COMPUTED_VALUE"""),"089618500344")</f>
        <v>089618500344</v>
      </c>
      <c r="E818" s="25" t="str">
        <f>IFERROR(__xludf.DUMMYFUNCTION("""COMPUTED_VALUE"""),"Lainnya")</f>
        <v>Lainnya</v>
      </c>
      <c r="F818" s="25" t="str">
        <f>IFERROR(__xludf.DUMMYFUNCTION("""COMPUTED_VALUE"""),"Leads Baru")</f>
        <v>Leads Baru</v>
      </c>
      <c r="G818" s="25" t="str">
        <f>IFERROR(__xludf.DUMMYFUNCTION("""COMPUTED_VALUE"""),"2h1m/1 day trip")</f>
        <v>2h1m/1 day trip</v>
      </c>
      <c r="H818" s="78"/>
      <c r="I818" s="89">
        <f>IFERROR(__xludf.DUMMYFUNCTION("""COMPUTED_VALUE"""),12.0)</f>
        <v>12</v>
      </c>
      <c r="J818" s="96"/>
      <c r="K818" s="30" t="str">
        <f>IFERROR(__xludf.DUMMYFUNCTION("""COMPUTED_VALUE"""),"buat penawaran")</f>
        <v>buat penawaran</v>
      </c>
      <c r="L818" s="23"/>
      <c r="M818" s="20"/>
      <c r="N818" s="20"/>
      <c r="O818" s="20"/>
      <c r="P818" s="20"/>
    </row>
    <row r="819">
      <c r="A819" s="97">
        <f>IFERROR(__xludf.DUMMYFUNCTION("""COMPUTED_VALUE"""),46177.0)</f>
        <v>46177</v>
      </c>
      <c r="B819" s="97" t="str">
        <f>IFERROR(__xludf.DUMMYFUNCTION("""COMPUTED_VALUE"""),"2606D033")</f>
        <v>2606D033</v>
      </c>
      <c r="C819" s="76" t="str">
        <f>IFERROR(__xludf.DUMMYFUNCTION("""COMPUTED_VALUE"""),"Ridho Banahsan")</f>
        <v>Ridho Banahsan</v>
      </c>
      <c r="D819" s="99" t="str">
        <f>IFERROR(__xludf.DUMMYFUNCTION("""COMPUTED_VALUE"""),"085156583478")</f>
        <v>085156583478</v>
      </c>
      <c r="E819" s="25" t="str">
        <f>IFERROR(__xludf.DUMMYFUNCTION("""COMPUTED_VALUE"""),"Instagram")</f>
        <v>Instagram</v>
      </c>
      <c r="F819" s="25" t="str">
        <f>IFERROR(__xludf.DUMMYFUNCTION("""COMPUTED_VALUE"""),"Leads Baru")</f>
        <v>Leads Baru</v>
      </c>
      <c r="G819" s="25" t="str">
        <f>IFERROR(__xludf.DUMMYFUNCTION("""COMPUTED_VALUE"""),"OT MT")</f>
        <v>OT MT</v>
      </c>
      <c r="H819" s="92"/>
      <c r="I819" s="17"/>
      <c r="J819" s="93"/>
      <c r="K819" s="46" t="str">
        <f>IFERROR(__xludf.DUMMYFUNCTION("""COMPUTED_VALUE"""),"FU 9 Juni")</f>
        <v>FU 9 Juni</v>
      </c>
      <c r="L819" s="10"/>
      <c r="M819" s="20"/>
      <c r="N819" s="20"/>
      <c r="O819" s="20"/>
      <c r="P819" s="20"/>
    </row>
    <row r="820">
      <c r="A820" s="110">
        <f>IFERROR(__xludf.DUMMYFUNCTION("""COMPUTED_VALUE"""),46177.0)</f>
        <v>46177</v>
      </c>
      <c r="B820" s="110" t="str">
        <f>IFERROR(__xludf.DUMMYFUNCTION("""COMPUTED_VALUE"""),"2606D034")</f>
        <v>2606D034</v>
      </c>
      <c r="C820" s="49" t="str">
        <f>IFERROR(__xludf.DUMMYFUNCTION("""COMPUTED_VALUE"""),"Ary Suryaning Tiyas")</f>
        <v>Ary Suryaning Tiyas</v>
      </c>
      <c r="D820" s="102" t="str">
        <f>IFERROR(__xludf.DUMMYFUNCTION("""COMPUTED_VALUE"""),"088996881431")</f>
        <v>088996881431</v>
      </c>
      <c r="E820" s="25" t="str">
        <f>IFERROR(__xludf.DUMMYFUNCTION("""COMPUTED_VALUE"""),"Instagram")</f>
        <v>Instagram</v>
      </c>
      <c r="F820" s="25" t="str">
        <f>IFERROR(__xludf.DUMMYFUNCTION("""COMPUTED_VALUE"""),"Leads Baru")</f>
        <v>Leads Baru</v>
      </c>
      <c r="G820" s="25" t="str">
        <f>IFERROR(__xludf.DUMMYFUNCTION("""COMPUTED_VALUE"""),"1 day trip ")</f>
        <v>1 day trip </v>
      </c>
      <c r="H820" s="78"/>
      <c r="I820" s="27">
        <f>IFERROR(__xludf.DUMMYFUNCTION("""COMPUTED_VALUE"""),12.0)</f>
        <v>12</v>
      </c>
      <c r="J820" s="96"/>
      <c r="K820" s="30" t="str">
        <f>IFERROR(__xludf.DUMMYFUNCTION("""COMPUTED_VALUE"""),"FU 10 Juni")</f>
        <v>FU 10 Juni</v>
      </c>
      <c r="L820" s="23"/>
      <c r="M820" s="20"/>
      <c r="N820" s="20"/>
      <c r="O820" s="20"/>
      <c r="P820" s="20"/>
    </row>
    <row r="821">
      <c r="A821" s="97">
        <f>IFERROR(__xludf.DUMMYFUNCTION("""COMPUTED_VALUE"""),46177.0)</f>
        <v>46177</v>
      </c>
      <c r="B821" s="97" t="str">
        <f>IFERROR(__xludf.DUMMYFUNCTION("""COMPUTED_VALUE"""),"2606D035")</f>
        <v>2606D035</v>
      </c>
      <c r="C821" s="76" t="str">
        <f>IFERROR(__xludf.DUMMYFUNCTION("""COMPUTED_VALUE"""),"Diana Silvia ")</f>
        <v>Diana Silvia </v>
      </c>
      <c r="D821" s="99" t="str">
        <f>IFERROR(__xludf.DUMMYFUNCTION("""COMPUTED_VALUE"""),"082264222010")</f>
        <v>082264222010</v>
      </c>
      <c r="E821" s="25" t="str">
        <f>IFERROR(__xludf.DUMMYFUNCTION("""COMPUTED_VALUE"""),"Instagram")</f>
        <v>Instagram</v>
      </c>
      <c r="F821" s="25" t="str">
        <f>IFERROR(__xludf.DUMMYFUNCTION("""COMPUTED_VALUE"""),"Leads Baru")</f>
        <v>Leads Baru</v>
      </c>
      <c r="G821" s="25"/>
      <c r="H821" s="92"/>
      <c r="I821" s="17"/>
      <c r="J821" s="54"/>
      <c r="K821" s="46" t="str">
        <f>IFERROR(__xludf.DUMMYFUNCTION("""COMPUTED_VALUE"""),"belum bales lagi")</f>
        <v>belum bales lagi</v>
      </c>
      <c r="L821" s="10"/>
      <c r="M821" s="20"/>
      <c r="N821" s="20"/>
      <c r="O821" s="20"/>
      <c r="P821" s="20"/>
    </row>
    <row r="822">
      <c r="A822" s="110">
        <f>IFERROR(__xludf.DUMMYFUNCTION("""COMPUTED_VALUE"""),46178.0)</f>
        <v>46178</v>
      </c>
      <c r="B822" s="110" t="str">
        <f>IFERROR(__xludf.DUMMYFUNCTION("""COMPUTED_VALUE"""),"2606D036")</f>
        <v>2606D036</v>
      </c>
      <c r="C822" s="49" t="str">
        <f>IFERROR(__xludf.DUMMYFUNCTION("""COMPUTED_VALUE"""),"Almanura")</f>
        <v>Almanura</v>
      </c>
      <c r="D822" s="102" t="str">
        <f>IFERROR(__xludf.DUMMYFUNCTION("""COMPUTED_VALUE"""),"085716498446")</f>
        <v>085716498446</v>
      </c>
      <c r="E822" s="25" t="str">
        <f>IFERROR(__xludf.DUMMYFUNCTION("""COMPUTED_VALUE"""),"Instagram")</f>
        <v>Instagram</v>
      </c>
      <c r="F822" s="25" t="str">
        <f>IFERROR(__xludf.DUMMYFUNCTION("""COMPUTED_VALUE"""),"Leads Baru")</f>
        <v>Leads Baru</v>
      </c>
      <c r="G822" s="25" t="str">
        <f>IFERROR(__xludf.DUMMYFUNCTION("""COMPUTED_VALUE"""),"2h1m opsi B")</f>
        <v>2h1m opsi B</v>
      </c>
      <c r="H822" s="78"/>
      <c r="I822" s="89"/>
      <c r="J822" s="96"/>
      <c r="K822" s="36" t="str">
        <f>IFERROR(__xludf.DUMMYFUNCTION("""COMPUTED_VALUE"""),"belum bales lagi, FU 12 Juni")</f>
        <v>belum bales lagi, FU 12 Juni</v>
      </c>
      <c r="L822" s="49"/>
      <c r="M822" s="20"/>
      <c r="N822" s="20"/>
      <c r="O822" s="20"/>
      <c r="P822" s="20"/>
    </row>
    <row r="823">
      <c r="A823" s="97">
        <f>IFERROR(__xludf.DUMMYFUNCTION("""COMPUTED_VALUE"""),46178.0)</f>
        <v>46178</v>
      </c>
      <c r="B823" s="97" t="str">
        <f>IFERROR(__xludf.DUMMYFUNCTION("""COMPUTED_VALUE"""),"2606D037")</f>
        <v>2606D037</v>
      </c>
      <c r="C823" s="49" t="str">
        <f>IFERROR(__xludf.DUMMYFUNCTION("""COMPUTED_VALUE"""),"Bambang")</f>
        <v>Bambang</v>
      </c>
      <c r="D823" s="102" t="str">
        <f>IFERROR(__xludf.DUMMYFUNCTION("""COMPUTED_VALUE"""),"081392398400")</f>
        <v>081392398400</v>
      </c>
      <c r="E823" s="25" t="str">
        <f>IFERROR(__xludf.DUMMYFUNCTION("""COMPUTED_VALUE"""),"Lainnya")</f>
        <v>Lainnya</v>
      </c>
      <c r="F823" s="25" t="str">
        <f>IFERROR(__xludf.DUMMYFUNCTION("""COMPUTED_VALUE"""),"Leads Baru")</f>
        <v>Leads Baru</v>
      </c>
      <c r="G823" s="25" t="str">
        <f>IFERROR(__xludf.DUMMYFUNCTION("""COMPUTED_VALUE"""),"2h1m/1 day trip")</f>
        <v>2h1m/1 day trip</v>
      </c>
      <c r="H823" s="92"/>
      <c r="I823" s="80"/>
      <c r="J823" s="93"/>
      <c r="K823" s="46" t="str">
        <f>IFERROR(__xludf.DUMMYFUNCTION("""COMPUTED_VALUE"""),"FU 12 Juni")</f>
        <v>FU 12 Juni</v>
      </c>
      <c r="L823" s="76"/>
      <c r="M823" s="20"/>
      <c r="N823" s="20"/>
      <c r="O823" s="20"/>
      <c r="P823" s="20"/>
    </row>
    <row r="824">
      <c r="A824" s="110">
        <f>IFERROR(__xludf.DUMMYFUNCTION("""COMPUTED_VALUE"""),46178.0)</f>
        <v>46178</v>
      </c>
      <c r="B824" s="97" t="str">
        <f>IFERROR(__xludf.DUMMYFUNCTION("""COMPUTED_VALUE"""),"2606D038")</f>
        <v>2606D038</v>
      </c>
      <c r="C824" s="49" t="str">
        <f>IFERROR(__xludf.DUMMYFUNCTION("""COMPUTED_VALUE"""),"Sherryl")</f>
        <v>Sherryl</v>
      </c>
      <c r="D824" s="102" t="str">
        <f>IFERROR(__xludf.DUMMYFUNCTION("""COMPUTED_VALUE"""),"081355412374")</f>
        <v>081355412374</v>
      </c>
      <c r="E824" s="25" t="str">
        <f>IFERROR(__xludf.DUMMYFUNCTION("""COMPUTED_VALUE"""),"Instagram")</f>
        <v>Instagram</v>
      </c>
      <c r="F824" s="25" t="str">
        <f>IFERROR(__xludf.DUMMYFUNCTION("""COMPUTED_VALUE"""),"Leads Baru")</f>
        <v>Leads Baru</v>
      </c>
      <c r="G824" s="25"/>
      <c r="H824" s="78"/>
      <c r="I824" s="89"/>
      <c r="J824" s="96"/>
      <c r="K824" s="30" t="str">
        <f>IFERROR(__xludf.DUMMYFUNCTION("""COMPUTED_VALUE"""),"FU 12 Juni")</f>
        <v>FU 12 Juni</v>
      </c>
      <c r="L824" s="76"/>
      <c r="M824" s="20"/>
      <c r="N824" s="20"/>
      <c r="O824" s="20"/>
      <c r="P824" s="20"/>
    </row>
    <row r="825">
      <c r="A825" s="97">
        <f>IFERROR(__xludf.DUMMYFUNCTION("""COMPUTED_VALUE"""),46178.0)</f>
        <v>46178</v>
      </c>
      <c r="B825" s="97" t="str">
        <f>IFERROR(__xludf.DUMMYFUNCTION("""COMPUTED_VALUE"""),"2606D039")</f>
        <v>2606D039</v>
      </c>
      <c r="C825" s="49" t="str">
        <f>IFERROR(__xludf.DUMMYFUNCTION("""COMPUTED_VALUE"""),"Bimo Ario ")</f>
        <v>Bimo Ario </v>
      </c>
      <c r="D825" s="102" t="str">
        <f>IFERROR(__xludf.DUMMYFUNCTION("""COMPUTED_VALUE"""),"087765247762")</f>
        <v>087765247762</v>
      </c>
      <c r="E825" s="25" t="str">
        <f>IFERROR(__xludf.DUMMYFUNCTION("""COMPUTED_VALUE"""),"Instagram")</f>
        <v>Instagram</v>
      </c>
      <c r="F825" s="25" t="str">
        <f>IFERROR(__xludf.DUMMYFUNCTION("""COMPUTED_VALUE"""),"Leads Baru")</f>
        <v>Leads Baru</v>
      </c>
      <c r="G825" s="25" t="str">
        <f>IFERROR(__xludf.DUMMYFUNCTION("""COMPUTED_VALUE"""),"3H2M")</f>
        <v>3H2M</v>
      </c>
      <c r="H825" s="92"/>
      <c r="I825" s="80"/>
      <c r="J825" s="93"/>
      <c r="K825" s="46" t="str">
        <f>IFERROR(__xludf.DUMMYFUNCTION("""COMPUTED_VALUE"""),"belum balas lagi, FU 13 Juni")</f>
        <v>belum balas lagi, FU 13 Juni</v>
      </c>
      <c r="L825" s="76"/>
      <c r="M825" s="20"/>
      <c r="N825" s="20"/>
      <c r="O825" s="20"/>
      <c r="P825" s="20"/>
    </row>
    <row r="826">
      <c r="A826" s="110">
        <f>IFERROR(__xludf.DUMMYFUNCTION("""COMPUTED_VALUE"""),46178.0)</f>
        <v>46178</v>
      </c>
      <c r="B826" s="110" t="str">
        <f>IFERROR(__xludf.DUMMYFUNCTION("""COMPUTED_VALUE"""),"2606D040")</f>
        <v>2606D040</v>
      </c>
      <c r="C826" s="49" t="str">
        <f>IFERROR(__xludf.DUMMYFUNCTION("""COMPUTED_VALUE"""),"propertybanten")</f>
        <v>propertybanten</v>
      </c>
      <c r="D826" s="102" t="str">
        <f>IFERROR(__xludf.DUMMYFUNCTION("""COMPUTED_VALUE"""),"085894302364")</f>
        <v>085894302364</v>
      </c>
      <c r="E826" s="25" t="str">
        <f>IFERROR(__xludf.DUMMYFUNCTION("""COMPUTED_VALUE"""),"Lainnya")</f>
        <v>Lainnya</v>
      </c>
      <c r="F826" s="25" t="str">
        <f>IFERROR(__xludf.DUMMYFUNCTION("""COMPUTED_VALUE"""),"Gagal")</f>
        <v>Gagal</v>
      </c>
      <c r="G826" s="25" t="str">
        <f>IFERROR(__xludf.DUMMYFUNCTION("""COMPUTED_VALUE"""),"trip pulau bedil")</f>
        <v>trip pulau bedil</v>
      </c>
      <c r="H826" s="78">
        <f>IFERROR(__xludf.DUMMYFUNCTION("""COMPUTED_VALUE"""),46178.0)</f>
        <v>46178</v>
      </c>
      <c r="I826" s="89">
        <f>IFERROR(__xludf.DUMMYFUNCTION("""COMPUTED_VALUE"""),1.0)</f>
        <v>1</v>
      </c>
      <c r="J826" s="96"/>
      <c r="K826" s="30" t="str">
        <f>IFERROR(__xludf.DUMMYFUNCTION("""COMPUTED_VALUE"""),"gagalll, tidak ada pendaftar lain")</f>
        <v>gagalll, tidak ada pendaftar lain</v>
      </c>
      <c r="L826" s="49"/>
      <c r="M826" s="20"/>
      <c r="N826" s="20"/>
      <c r="O826" s="20"/>
      <c r="P826" s="20"/>
    </row>
    <row r="827">
      <c r="A827" s="97">
        <f>IFERROR(__xludf.DUMMYFUNCTION("""COMPUTED_VALUE"""),46178.0)</f>
        <v>46178</v>
      </c>
      <c r="B827" s="97" t="str">
        <f>IFERROR(__xludf.DUMMYFUNCTION("""COMPUTED_VALUE"""),"2606D041")</f>
        <v>2606D041</v>
      </c>
      <c r="C827" s="49" t="str">
        <f>IFERROR(__xludf.DUMMYFUNCTION("""COMPUTED_VALUE"""),"Dhinda Syahviraa")</f>
        <v>Dhinda Syahviraa</v>
      </c>
      <c r="D827" s="102" t="str">
        <f>IFERROR(__xludf.DUMMYFUNCTION("""COMPUTED_VALUE"""),"082225550566")</f>
        <v>082225550566</v>
      </c>
      <c r="E827" s="25" t="str">
        <f>IFERROR(__xludf.DUMMYFUNCTION("""COMPUTED_VALUE"""),"Instagram")</f>
        <v>Instagram</v>
      </c>
      <c r="F827" s="25" t="str">
        <f>IFERROR(__xludf.DUMMYFUNCTION("""COMPUTED_VALUE"""),"Leads Baru")</f>
        <v>Leads Baru</v>
      </c>
      <c r="G827" s="25" t="str">
        <f>IFERROR(__xludf.DUMMYFUNCTION("""COMPUTED_VALUE"""),"trip Baluran")</f>
        <v>trip Baluran</v>
      </c>
      <c r="H827" s="92"/>
      <c r="I827" s="17">
        <f>IFERROR(__xludf.DUMMYFUNCTION("""COMPUTED_VALUE"""),2.0)</f>
        <v>2</v>
      </c>
      <c r="J827" s="93"/>
      <c r="K827" s="19"/>
      <c r="L827" s="76"/>
      <c r="M827" s="20"/>
      <c r="N827" s="20"/>
      <c r="O827" s="20"/>
      <c r="P827" s="20"/>
    </row>
    <row r="828">
      <c r="A828" s="110">
        <f>IFERROR(__xludf.DUMMYFUNCTION("""COMPUTED_VALUE"""),46178.0)</f>
        <v>46178</v>
      </c>
      <c r="B828" s="110" t="str">
        <f>IFERROR(__xludf.DUMMYFUNCTION("""COMPUTED_VALUE"""),"2606D042")</f>
        <v>2606D042</v>
      </c>
      <c r="C828" s="49" t="str">
        <f>IFERROR(__xludf.DUMMYFUNCTION("""COMPUTED_VALUE"""),"Fanny")</f>
        <v>Fanny</v>
      </c>
      <c r="D828" s="102" t="str">
        <f>IFERROR(__xludf.DUMMYFUNCTION("""COMPUTED_VALUE"""),"08122177273")</f>
        <v>08122177273</v>
      </c>
      <c r="E828" s="25" t="str">
        <f>IFERROR(__xludf.DUMMYFUNCTION("""COMPUTED_VALUE"""),"Website")</f>
        <v>Website</v>
      </c>
      <c r="F828" s="25" t="str">
        <f>IFERROR(__xludf.DUMMYFUNCTION("""COMPUTED_VALUE"""),"Leads Baru")</f>
        <v>Leads Baru</v>
      </c>
      <c r="G828" s="25" t="str">
        <f>IFERROR(__xludf.DUMMYFUNCTION("""COMPUTED_VALUE"""),"3H2M opsi A")</f>
        <v>3H2M opsi A</v>
      </c>
      <c r="H828" s="78"/>
      <c r="I828" s="89">
        <f>IFERROR(__xludf.DUMMYFUNCTION("""COMPUTED_VALUE"""),10.0)</f>
        <v>10</v>
      </c>
      <c r="J828" s="96"/>
      <c r="K828" s="36" t="str">
        <f>IFERROR(__xludf.DUMMYFUNCTION("""COMPUTED_VALUE"""),"FU 11 Juni")</f>
        <v>FU 11 Juni</v>
      </c>
      <c r="L828" s="49"/>
      <c r="M828" s="20"/>
      <c r="N828" s="20"/>
      <c r="O828" s="20"/>
      <c r="P828" s="20"/>
    </row>
    <row r="829">
      <c r="A829" s="97">
        <f>IFERROR(__xludf.DUMMYFUNCTION("""COMPUTED_VALUE"""),46178.0)</f>
        <v>46178</v>
      </c>
      <c r="B829" s="110" t="str">
        <f>IFERROR(__xludf.DUMMYFUNCTION("""COMPUTED_VALUE"""),"2606D043")</f>
        <v>2606D043</v>
      </c>
      <c r="C829" s="76" t="str">
        <f>IFERROR(__xludf.DUMMYFUNCTION("""COMPUTED_VALUE"""),"Th")</f>
        <v>Th</v>
      </c>
      <c r="D829" s="99" t="str">
        <f>IFERROR(__xludf.DUMMYFUNCTION("""COMPUTED_VALUE"""),"082234838511")</f>
        <v>082234838511</v>
      </c>
      <c r="E829" s="25" t="str">
        <f>IFERROR(__xludf.DUMMYFUNCTION("""COMPUTED_VALUE"""),"Lainnya")</f>
        <v>Lainnya</v>
      </c>
      <c r="F829" s="25" t="str">
        <f>IFERROR(__xludf.DUMMYFUNCTION("""COMPUTED_VALUE"""),"Leads Baru")</f>
        <v>Leads Baru</v>
      </c>
      <c r="G829" s="25" t="str">
        <f>IFERROR(__xludf.DUMMYFUNCTION("""COMPUTED_VALUE"""),"3H2M opsi A")</f>
        <v>3H2M opsi A</v>
      </c>
      <c r="H829" s="92">
        <f>IFERROR(__xludf.DUMMYFUNCTION("""COMPUTED_VALUE"""),46210.0)</f>
        <v>46210</v>
      </c>
      <c r="I829" s="80">
        <f>IFERROR(__xludf.DUMMYFUNCTION("""COMPUTED_VALUE"""),2.0)</f>
        <v>2</v>
      </c>
      <c r="J829" s="93"/>
      <c r="K829" s="19" t="str">
        <f>IFERROR(__xludf.DUMMYFUNCTION("""COMPUTED_VALUE"""),"FU 15 Juni")</f>
        <v>FU 15 Juni</v>
      </c>
      <c r="L829" s="10"/>
      <c r="M829" s="20"/>
      <c r="N829" s="20"/>
      <c r="O829" s="20"/>
      <c r="P829" s="20"/>
    </row>
    <row r="830">
      <c r="A830" s="110">
        <f>IFERROR(__xludf.DUMMYFUNCTION("""COMPUTED_VALUE"""),46179.0)</f>
        <v>46179</v>
      </c>
      <c r="B830" s="110" t="str">
        <f>IFERROR(__xludf.DUMMYFUNCTION("""COMPUTED_VALUE"""),"2606D044")</f>
        <v>2606D044</v>
      </c>
      <c r="C830" s="49" t="str">
        <f>IFERROR(__xludf.DUMMYFUNCTION("""COMPUTED_VALUE"""),"Lilis")</f>
        <v>Lilis</v>
      </c>
      <c r="D830" s="102" t="str">
        <f>IFERROR(__xludf.DUMMYFUNCTION("""COMPUTED_VALUE"""),"08129092824")</f>
        <v>08129092824</v>
      </c>
      <c r="E830" s="25" t="str">
        <f>IFERROR(__xludf.DUMMYFUNCTION("""COMPUTED_VALUE"""),"Website")</f>
        <v>Website</v>
      </c>
      <c r="F830" s="25" t="str">
        <f>IFERROR(__xludf.DUMMYFUNCTION("""COMPUTED_VALUE"""),"Leads Baru")</f>
        <v>Leads Baru</v>
      </c>
      <c r="G830" s="25" t="str">
        <f>IFERROR(__xludf.DUMMYFUNCTION("""COMPUTED_VALUE"""),"2H1M")</f>
        <v>2H1M</v>
      </c>
      <c r="H830" s="78"/>
      <c r="I830" s="89"/>
      <c r="J830" s="96"/>
      <c r="K830" s="30" t="str">
        <f>IFERROR(__xludf.DUMMYFUNCTION("""COMPUTED_VALUE"""),"belum bales lagi, FU ")</f>
        <v>belum bales lagi, FU </v>
      </c>
      <c r="L830" s="49"/>
      <c r="M830" s="20"/>
      <c r="N830" s="20"/>
      <c r="O830" s="20"/>
      <c r="P830" s="20"/>
    </row>
    <row r="831">
      <c r="A831" s="97">
        <f>IFERROR(__xludf.DUMMYFUNCTION("""COMPUTED_VALUE"""),46179.0)</f>
        <v>46179</v>
      </c>
      <c r="B831" s="97" t="str">
        <f>IFERROR(__xludf.DUMMYFUNCTION("""COMPUTED_VALUE"""),"2606D045")</f>
        <v>2606D045</v>
      </c>
      <c r="C831" s="76" t="str">
        <f>IFERROR(__xludf.DUMMYFUNCTION("""COMPUTED_VALUE"""),"Cornelia Melinda")</f>
        <v>Cornelia Melinda</v>
      </c>
      <c r="D831" s="99" t="str">
        <f>IFERROR(__xludf.DUMMYFUNCTION("""COMPUTED_VALUE"""),"081392012961")</f>
        <v>081392012961</v>
      </c>
      <c r="E831" s="25" t="str">
        <f>IFERROR(__xludf.DUMMYFUNCTION("""COMPUTED_VALUE"""),"Instagram")</f>
        <v>Instagram</v>
      </c>
      <c r="F831" s="25" t="str">
        <f>IFERROR(__xludf.DUMMYFUNCTION("""COMPUTED_VALUE"""),"Qualified")</f>
        <v>Qualified</v>
      </c>
      <c r="G831" s="25" t="str">
        <f>IFERROR(__xludf.DUMMYFUNCTION("""COMPUTED_VALUE"""),"trip Kawah Wurung")</f>
        <v>trip Kawah Wurung</v>
      </c>
      <c r="H831" s="92"/>
      <c r="I831" s="80">
        <f>IFERROR(__xludf.DUMMYFUNCTION("""COMPUTED_VALUE"""),3.0)</f>
        <v>3</v>
      </c>
      <c r="J831" s="93">
        <f>IFERROR(__xludf.DUMMYFUNCTION("""COMPUTED_VALUE"""),1509000.0)</f>
        <v>1509000</v>
      </c>
      <c r="K831" s="46" t="str">
        <f>IFERROR(__xludf.DUMMYFUNCTION("""COMPUTED_VALUE"""),"FU 8 Juni")</f>
        <v>FU 8 Juni</v>
      </c>
      <c r="L831" s="76"/>
      <c r="M831" s="20"/>
      <c r="N831" s="20"/>
      <c r="O831" s="20"/>
      <c r="P831" s="20"/>
    </row>
    <row r="832">
      <c r="A832" s="110">
        <f>IFERROR(__xludf.DUMMYFUNCTION("""COMPUTED_VALUE"""),46179.0)</f>
        <v>46179</v>
      </c>
      <c r="B832" s="110" t="str">
        <f>IFERROR(__xludf.DUMMYFUNCTION("""COMPUTED_VALUE"""),"2606D046")</f>
        <v>2606D046</v>
      </c>
      <c r="C832" s="49" t="str">
        <f>IFERROR(__xludf.DUMMYFUNCTION("""COMPUTED_VALUE"""),"Dian Sari Magdalena ")</f>
        <v>Dian Sari Magdalena </v>
      </c>
      <c r="D832" s="102" t="str">
        <f>IFERROR(__xludf.DUMMYFUNCTION("""COMPUTED_VALUE"""),"081310612022")</f>
        <v>081310612022</v>
      </c>
      <c r="E832" s="25" t="str">
        <f>IFERROR(__xludf.DUMMYFUNCTION("""COMPUTED_VALUE"""),"Website")</f>
        <v>Website</v>
      </c>
      <c r="F832" s="25" t="str">
        <f>IFERROR(__xludf.DUMMYFUNCTION("""COMPUTED_VALUE"""),"Leads Baru")</f>
        <v>Leads Baru</v>
      </c>
      <c r="G832" s="25" t="str">
        <f>IFERROR(__xludf.DUMMYFUNCTION("""COMPUTED_VALUE"""),"OT 3h2m")</f>
        <v>OT 3h2m</v>
      </c>
      <c r="H832" s="26"/>
      <c r="I832" s="27">
        <f>IFERROR(__xludf.DUMMYFUNCTION("""COMPUTED_VALUE"""),2.0)</f>
        <v>2</v>
      </c>
      <c r="J832" s="96"/>
      <c r="K832" s="30" t="str">
        <f>IFERROR(__xludf.DUMMYFUNCTION("""COMPUTED_VALUE"""),"FU 9 Juni")</f>
        <v>FU 9 Juni</v>
      </c>
      <c r="L832" s="49"/>
      <c r="M832" s="20"/>
      <c r="N832" s="20"/>
      <c r="O832" s="20"/>
      <c r="P832" s="20"/>
    </row>
    <row r="833">
      <c r="A833" s="97">
        <f>IFERROR(__xludf.DUMMYFUNCTION("""COMPUTED_VALUE"""),46179.0)</f>
        <v>46179</v>
      </c>
      <c r="B833" s="97" t="str">
        <f>IFERROR(__xludf.DUMMYFUNCTION("""COMPUTED_VALUE"""),"2606D047")</f>
        <v>2606D047</v>
      </c>
      <c r="C833" s="76" t="str">
        <f>IFERROR(__xludf.DUMMYFUNCTION("""COMPUTED_VALUE"""),"Dwipayani")</f>
        <v>Dwipayani</v>
      </c>
      <c r="D833" s="99" t="str">
        <f>IFERROR(__xludf.DUMMYFUNCTION("""COMPUTED_VALUE"""),"085880632986")</f>
        <v>085880632986</v>
      </c>
      <c r="E833" s="25" t="str">
        <f>IFERROR(__xludf.DUMMYFUNCTION("""COMPUTED_VALUE"""),"Website")</f>
        <v>Website</v>
      </c>
      <c r="F833" s="25" t="str">
        <f>IFERROR(__xludf.DUMMYFUNCTION("""COMPUTED_VALUE"""),"Leads Baru")</f>
        <v>Leads Baru</v>
      </c>
      <c r="G833" s="25" t="str">
        <f>IFERROR(__xludf.DUMMYFUNCTION("""COMPUTED_VALUE"""),"OT MT")</f>
        <v>OT MT</v>
      </c>
      <c r="H833" s="16">
        <f>IFERROR(__xludf.DUMMYFUNCTION("""COMPUTED_VALUE"""),46192.0)</f>
        <v>46192</v>
      </c>
      <c r="I833" s="80">
        <f>IFERROR(__xludf.DUMMYFUNCTION("""COMPUTED_VALUE"""),2.0)</f>
        <v>2</v>
      </c>
      <c r="J833" s="93"/>
      <c r="K833" s="46" t="str">
        <f>IFERROR(__xludf.DUMMYFUNCTION("""COMPUTED_VALUE"""),"FU 9 Juni")</f>
        <v>FU 9 Juni</v>
      </c>
      <c r="L833" s="76"/>
      <c r="M833" s="20"/>
      <c r="N833" s="20"/>
      <c r="O833" s="20"/>
      <c r="P833" s="20"/>
    </row>
    <row r="834">
      <c r="A834" s="110">
        <f>IFERROR(__xludf.DUMMYFUNCTION("""COMPUTED_VALUE"""),46179.0)</f>
        <v>46179</v>
      </c>
      <c r="B834" s="110" t="str">
        <f>IFERROR(__xludf.DUMMYFUNCTION("""COMPUTED_VALUE"""),"2606D048")</f>
        <v>2606D048</v>
      </c>
      <c r="C834" s="49" t="str">
        <f>IFERROR(__xludf.DUMMYFUNCTION("""COMPUTED_VALUE"""),"Justine")</f>
        <v>Justine</v>
      </c>
      <c r="D834" s="102" t="str">
        <f>IFERROR(__xludf.DUMMYFUNCTION("""COMPUTED_VALUE"""),"33633053357")</f>
        <v>33633053357</v>
      </c>
      <c r="E834" s="25" t="str">
        <f>IFERROR(__xludf.DUMMYFUNCTION("""COMPUTED_VALUE"""),"Instagram")</f>
        <v>Instagram</v>
      </c>
      <c r="F834" s="25" t="str">
        <f>IFERROR(__xludf.DUMMYFUNCTION("""COMPUTED_VALUE"""),"Gagal")</f>
        <v>Gagal</v>
      </c>
      <c r="G834" s="25" t="str">
        <f>IFERROR(__xludf.DUMMYFUNCTION("""COMPUTED_VALUE"""),"trip kawah ijen")</f>
        <v>trip kawah ijen</v>
      </c>
      <c r="H834" s="78">
        <f>IFERROR(__xludf.DUMMYFUNCTION("""COMPUTED_VALUE"""),46184.0)</f>
        <v>46184</v>
      </c>
      <c r="I834" s="89">
        <f>IFERROR(__xludf.DUMMYFUNCTION("""COMPUTED_VALUE"""),2.0)</f>
        <v>2</v>
      </c>
      <c r="J834" s="96"/>
      <c r="K834" s="30" t="str">
        <f>IFERROR(__xludf.DUMMYFUNCTION("""COMPUTED_VALUE"""),"FU 8 Juni")</f>
        <v>FU 8 Juni</v>
      </c>
      <c r="L834" s="49"/>
      <c r="M834" s="20"/>
      <c r="N834" s="20"/>
      <c r="O834" s="20"/>
      <c r="P834" s="20"/>
    </row>
    <row r="835">
      <c r="A835" s="97">
        <f>IFERROR(__xludf.DUMMYFUNCTION("""COMPUTED_VALUE"""),46179.0)</f>
        <v>46179</v>
      </c>
      <c r="B835" s="97" t="str">
        <f>IFERROR(__xludf.DUMMYFUNCTION("""COMPUTED_VALUE"""),"2606D049")</f>
        <v>2606D049</v>
      </c>
      <c r="C835" s="76" t="str">
        <f>IFERROR(__xludf.DUMMYFUNCTION("""COMPUTED_VALUE"""),"Noviani Rachmisari")</f>
        <v>Noviani Rachmisari</v>
      </c>
      <c r="D835" s="99" t="str">
        <f>IFERROR(__xludf.DUMMYFUNCTION("""COMPUTED_VALUE"""),"0818672878")</f>
        <v>0818672878</v>
      </c>
      <c r="E835" s="25" t="str">
        <f>IFERROR(__xludf.DUMMYFUNCTION("""COMPUTED_VALUE"""),"Website")</f>
        <v>Website</v>
      </c>
      <c r="F835" s="25" t="str">
        <f>IFERROR(__xludf.DUMMYFUNCTION("""COMPUTED_VALUE"""),"Leads Baru")</f>
        <v>Leads Baru</v>
      </c>
      <c r="G835" s="25" t="str">
        <f>IFERROR(__xludf.DUMMYFUNCTION("""COMPUTED_VALUE"""),"3H2M opsi A")</f>
        <v>3H2M opsi A</v>
      </c>
      <c r="H835" s="92">
        <f>IFERROR(__xludf.DUMMYFUNCTION("""COMPUTED_VALUE"""),46202.0)</f>
        <v>46202</v>
      </c>
      <c r="I835" s="17">
        <f>IFERROR(__xludf.DUMMYFUNCTION("""COMPUTED_VALUE"""),7.0)</f>
        <v>7</v>
      </c>
      <c r="J835" s="93"/>
      <c r="K835" s="46" t="str">
        <f>IFERROR(__xludf.DUMMYFUNCTION("""COMPUTED_VALUE"""),"FU 13 Juni")</f>
        <v>FU 13 Juni</v>
      </c>
      <c r="L835" s="10"/>
      <c r="M835" s="20"/>
      <c r="N835" s="20"/>
      <c r="O835" s="20"/>
      <c r="P835" s="20"/>
    </row>
    <row r="836">
      <c r="A836" s="110">
        <f>IFERROR(__xludf.DUMMYFUNCTION("""COMPUTED_VALUE"""),46179.0)</f>
        <v>46179</v>
      </c>
      <c r="B836" s="110" t="str">
        <f>IFERROR(__xludf.DUMMYFUNCTION("""COMPUTED_VALUE"""),"2606D050")</f>
        <v>2606D050</v>
      </c>
      <c r="C836" s="49" t="str">
        <f>IFERROR(__xludf.DUMMYFUNCTION("""COMPUTED_VALUE"""),"Adinda Fachreza")</f>
        <v>Adinda Fachreza</v>
      </c>
      <c r="D836" s="102" t="str">
        <f>IFERROR(__xludf.DUMMYFUNCTION("""COMPUTED_VALUE"""),"085157644801")</f>
        <v>085157644801</v>
      </c>
      <c r="E836" s="25" t="str">
        <f>IFERROR(__xludf.DUMMYFUNCTION("""COMPUTED_VALUE"""),"Instagram")</f>
        <v>Instagram</v>
      </c>
      <c r="F836" s="25" t="str">
        <f>IFERROR(__xludf.DUMMYFUNCTION("""COMPUTED_VALUE"""),"Leads Baru")</f>
        <v>Leads Baru</v>
      </c>
      <c r="G836" s="25" t="str">
        <f>IFERROR(__xludf.DUMMYFUNCTION("""COMPUTED_VALUE"""),"PT MT")</f>
        <v>PT MT</v>
      </c>
      <c r="H836" s="78"/>
      <c r="I836" s="89">
        <f>IFERROR(__xludf.DUMMYFUNCTION("""COMPUTED_VALUE"""),10.0)</f>
        <v>10</v>
      </c>
      <c r="J836" s="96"/>
      <c r="K836" s="30" t="str">
        <f>IFERROR(__xludf.DUMMYFUNCTION("""COMPUTED_VALUE"""),"FU 19 Juni")</f>
        <v>FU 19 Juni</v>
      </c>
      <c r="L836" s="49"/>
      <c r="M836" s="20"/>
      <c r="N836" s="20"/>
      <c r="O836" s="20"/>
      <c r="P836" s="20"/>
    </row>
    <row r="837">
      <c r="A837" s="97">
        <f>IFERROR(__xludf.DUMMYFUNCTION("""COMPUTED_VALUE"""),46178.0)</f>
        <v>46178</v>
      </c>
      <c r="B837" s="97" t="str">
        <f>IFERROR(__xludf.DUMMYFUNCTION("""COMPUTED_VALUE"""),"2606D051")</f>
        <v>2606D051</v>
      </c>
      <c r="C837" s="76" t="str">
        <f>IFERROR(__xludf.DUMMYFUNCTION("""COMPUTED_VALUE"""),"Ria")</f>
        <v>Ria</v>
      </c>
      <c r="D837" s="99" t="str">
        <f>IFERROR(__xludf.DUMMYFUNCTION("""COMPUTED_VALUE"""),"089690908261")</f>
        <v>089690908261</v>
      </c>
      <c r="E837" s="25" t="str">
        <f>IFERROR(__xludf.DUMMYFUNCTION("""COMPUTED_VALUE"""),"Instagram")</f>
        <v>Instagram</v>
      </c>
      <c r="F837" s="25" t="str">
        <f>IFERROR(__xludf.DUMMYFUNCTION("""COMPUTED_VALUE"""),"Leads Baru")</f>
        <v>Leads Baru</v>
      </c>
      <c r="G837" s="25"/>
      <c r="H837" s="16"/>
      <c r="I837" s="17">
        <f>IFERROR(__xludf.DUMMYFUNCTION("""COMPUTED_VALUE"""),2.0)</f>
        <v>2</v>
      </c>
      <c r="J837" s="54"/>
      <c r="K837" s="46" t="str">
        <f>IFERROR(__xludf.DUMMYFUNCTION("""COMPUTED_VALUE"""),"FU 9 Juni  ")</f>
        <v>FU 9 Juni  </v>
      </c>
      <c r="L837" s="76"/>
      <c r="M837" s="20"/>
      <c r="N837" s="20"/>
      <c r="O837" s="20"/>
      <c r="P837" s="20"/>
    </row>
    <row r="838">
      <c r="A838" s="110">
        <f>IFERROR(__xludf.DUMMYFUNCTION("""COMPUTED_VALUE"""),46179.0)</f>
        <v>46179</v>
      </c>
      <c r="B838" s="110" t="str">
        <f>IFERROR(__xludf.DUMMYFUNCTION("""COMPUTED_VALUE"""),"2606D052")</f>
        <v>2606D052</v>
      </c>
      <c r="C838" s="49" t="str">
        <f>IFERROR(__xludf.DUMMYFUNCTION("""COMPUTED_VALUE"""),"Haifa")</f>
        <v>Haifa</v>
      </c>
      <c r="D838" s="102" t="str">
        <f>IFERROR(__xludf.DUMMYFUNCTION("""COMPUTED_VALUE"""),"089636430689")</f>
        <v>089636430689</v>
      </c>
      <c r="E838" s="25" t="str">
        <f>IFERROR(__xludf.DUMMYFUNCTION("""COMPUTED_VALUE"""),"Instagram")</f>
        <v>Instagram</v>
      </c>
      <c r="F838" s="25" t="str">
        <f>IFERROR(__xludf.DUMMYFUNCTION("""COMPUTED_VALUE"""),"Leads Baru")</f>
        <v>Leads Baru</v>
      </c>
      <c r="G838" s="25" t="str">
        <f>IFERROR(__xludf.DUMMYFUNCTION("""COMPUTED_VALUE"""),"3h2m Opsi A")</f>
        <v>3h2m Opsi A</v>
      </c>
      <c r="H838" s="78"/>
      <c r="I838" s="89"/>
      <c r="J838" s="96"/>
      <c r="K838" s="30" t="str">
        <f>IFERROR(__xludf.DUMMYFUNCTION("""COMPUTED_VALUE"""),"FU 10 Juni")</f>
        <v>FU 10 Juni</v>
      </c>
      <c r="L838" s="49"/>
      <c r="M838" s="20"/>
      <c r="N838" s="20"/>
      <c r="O838" s="20"/>
      <c r="P838" s="20"/>
    </row>
    <row r="839">
      <c r="A839" s="97">
        <f>IFERROR(__xludf.DUMMYFUNCTION("""COMPUTED_VALUE"""),46179.0)</f>
        <v>46179</v>
      </c>
      <c r="B839" s="97" t="str">
        <f>IFERROR(__xludf.DUMMYFUNCTION("""COMPUTED_VALUE"""),"2606D053")</f>
        <v>2606D053</v>
      </c>
      <c r="C839" s="76" t="str">
        <f>IFERROR(__xludf.DUMMYFUNCTION("""COMPUTED_VALUE"""),"Feli")</f>
        <v>Feli</v>
      </c>
      <c r="D839" s="99" t="str">
        <f>IFERROR(__xludf.DUMMYFUNCTION("""COMPUTED_VALUE"""),"085173486857")</f>
        <v>085173486857</v>
      </c>
      <c r="E839" s="25" t="str">
        <f>IFERROR(__xludf.DUMMYFUNCTION("""COMPUTED_VALUE"""),"Rekomendasi")</f>
        <v>Rekomendasi</v>
      </c>
      <c r="F839" s="25" t="str">
        <f>IFERROR(__xludf.DUMMYFUNCTION("""COMPUTED_VALUE"""),"Closing")</f>
        <v>Closing</v>
      </c>
      <c r="G839" s="25" t="str">
        <f>IFERROR(__xludf.DUMMYFUNCTION("""COMPUTED_VALUE"""),"PT djawatan baluran")</f>
        <v>PT djawatan baluran</v>
      </c>
      <c r="H839" s="16">
        <f>IFERROR(__xludf.DUMMYFUNCTION("""COMPUTED_VALUE"""),46180.0)</f>
        <v>46180</v>
      </c>
      <c r="I839" s="17">
        <f>IFERROR(__xludf.DUMMYFUNCTION("""COMPUTED_VALUE"""),4.0)</f>
        <v>4</v>
      </c>
      <c r="J839" s="54">
        <f>IFERROR(__xludf.DUMMYFUNCTION("""COMPUTED_VALUE"""),1996000.0)</f>
        <v>1996000</v>
      </c>
      <c r="K839" s="46" t="str">
        <f>IFERROR(__xludf.DUMMYFUNCTION("""COMPUTED_VALUE"""),"Orrdeerrrr")</f>
        <v>Orrdeerrrr</v>
      </c>
      <c r="L839" s="76"/>
      <c r="M839" s="20"/>
      <c r="N839" s="20"/>
      <c r="O839" s="20"/>
      <c r="P839" s="20"/>
    </row>
    <row r="840">
      <c r="A840" s="110">
        <f>IFERROR(__xludf.DUMMYFUNCTION("""COMPUTED_VALUE"""),46180.0)</f>
        <v>46180</v>
      </c>
      <c r="B840" s="110" t="str">
        <f>IFERROR(__xludf.DUMMYFUNCTION("""COMPUTED_VALUE"""),"2606D054")</f>
        <v>2606D054</v>
      </c>
      <c r="C840" s="49" t="str">
        <f>IFERROR(__xludf.DUMMYFUNCTION("""COMPUTED_VALUE"""),"Kirana ")</f>
        <v>Kirana </v>
      </c>
      <c r="D840" s="102" t="str">
        <f>IFERROR(__xludf.DUMMYFUNCTION("""COMPUTED_VALUE"""),"082217777309")</f>
        <v>082217777309</v>
      </c>
      <c r="E840" s="25" t="str">
        <f>IFERROR(__xludf.DUMMYFUNCTION("""COMPUTED_VALUE"""),"Instagram")</f>
        <v>Instagram</v>
      </c>
      <c r="F840" s="25" t="str">
        <f>IFERROR(__xludf.DUMMYFUNCTION("""COMPUTED_VALUE"""),"Leads Baru")</f>
        <v>Leads Baru</v>
      </c>
      <c r="G840" s="25" t="str">
        <f>IFERROR(__xludf.DUMMYFUNCTION("""COMPUTED_VALUE"""),"3H2M opsi A")</f>
        <v>3H2M opsi A</v>
      </c>
      <c r="H840" s="26">
        <f>IFERROR(__xludf.DUMMYFUNCTION("""COMPUTED_VALUE"""),46186.0)</f>
        <v>46186</v>
      </c>
      <c r="I840" s="27">
        <f>IFERROR(__xludf.DUMMYFUNCTION("""COMPUTED_VALUE"""),3.0)</f>
        <v>3</v>
      </c>
      <c r="J840" s="33"/>
      <c r="K840" s="30" t="str">
        <f>IFERROR(__xludf.DUMMYFUNCTION("""COMPUTED_VALUE"""),"FU 9 Juni")</f>
        <v>FU 9 Juni</v>
      </c>
      <c r="L840" s="49"/>
      <c r="M840" s="20"/>
      <c r="N840" s="20"/>
      <c r="O840" s="20"/>
      <c r="P840" s="20"/>
    </row>
    <row r="841">
      <c r="A841" s="97">
        <f>IFERROR(__xludf.DUMMYFUNCTION("""COMPUTED_VALUE"""),46180.0)</f>
        <v>46180</v>
      </c>
      <c r="B841" s="97" t="str">
        <f>IFERROR(__xludf.DUMMYFUNCTION("""COMPUTED_VALUE"""),"2602D055")</f>
        <v>2602D055</v>
      </c>
      <c r="C841" s="76" t="str">
        <f>IFERROR(__xludf.DUMMYFUNCTION("""COMPUTED_VALUE"""),"Ddi3")</f>
        <v>Ddi3</v>
      </c>
      <c r="D841" s="99" t="str">
        <f>IFERROR(__xludf.DUMMYFUNCTION("""COMPUTED_VALUE"""),"081327081982")</f>
        <v>081327081982</v>
      </c>
      <c r="E841" s="25" t="str">
        <f>IFERROR(__xludf.DUMMYFUNCTION("""COMPUTED_VALUE"""),"Website")</f>
        <v>Website</v>
      </c>
      <c r="F841" s="25" t="str">
        <f>IFERROR(__xludf.DUMMYFUNCTION("""COMPUTED_VALUE"""),"Leads Baru")</f>
        <v>Leads Baru</v>
      </c>
      <c r="G841" s="25"/>
      <c r="H841" s="16"/>
      <c r="I841" s="17">
        <f>IFERROR(__xludf.DUMMYFUNCTION("""COMPUTED_VALUE"""),3.0)</f>
        <v>3</v>
      </c>
      <c r="J841" s="54"/>
      <c r="K841" s="46" t="str">
        <f>IFERROR(__xludf.DUMMYFUNCTION("""COMPUTED_VALUE"""),"FU 9 Juni")</f>
        <v>FU 9 Juni</v>
      </c>
      <c r="L841" s="76"/>
      <c r="M841" s="20"/>
      <c r="N841" s="20"/>
      <c r="O841" s="20"/>
      <c r="P841" s="20"/>
    </row>
    <row r="842">
      <c r="A842" s="110">
        <f>IFERROR(__xludf.DUMMYFUNCTION("""COMPUTED_VALUE"""),46180.0)</f>
        <v>46180</v>
      </c>
      <c r="B842" s="110" t="str">
        <f>IFERROR(__xludf.DUMMYFUNCTION("""COMPUTED_VALUE"""),"2606D056")</f>
        <v>2606D056</v>
      </c>
      <c r="C842" s="49" t="str">
        <f>IFERROR(__xludf.DUMMYFUNCTION("""COMPUTED_VALUE"""),"Ana  ")</f>
        <v>Ana  </v>
      </c>
      <c r="D842" s="102" t="str">
        <f>IFERROR(__xludf.DUMMYFUNCTION("""COMPUTED_VALUE"""),"081259427377")</f>
        <v>081259427377</v>
      </c>
      <c r="E842" s="25" t="str">
        <f>IFERROR(__xludf.DUMMYFUNCTION("""COMPUTED_VALUE"""),"Website")</f>
        <v>Website</v>
      </c>
      <c r="F842" s="25" t="str">
        <f>IFERROR(__xludf.DUMMYFUNCTION("""COMPUTED_VALUE"""),"Leads Baru")</f>
        <v>Leads Baru</v>
      </c>
      <c r="G842" s="25" t="str">
        <f>IFERROR(__xludf.DUMMYFUNCTION("""COMPUTED_VALUE"""),"OT MT, Djabal, GI")</f>
        <v>OT MT, Djabal, GI</v>
      </c>
      <c r="H842" s="78"/>
      <c r="I842" s="89">
        <f>IFERROR(__xludf.DUMMYFUNCTION("""COMPUTED_VALUE"""),2.0)</f>
        <v>2</v>
      </c>
      <c r="J842" s="96"/>
      <c r="K842" s="30" t="str">
        <f>IFERROR(__xludf.DUMMYFUNCTION("""COMPUTED_VALUE"""),"masih nentuin tanggal, FU 11 Juni")</f>
        <v>masih nentuin tanggal, FU 11 Juni</v>
      </c>
      <c r="L842" s="49"/>
      <c r="M842" s="20"/>
      <c r="N842" s="20"/>
      <c r="O842" s="20"/>
      <c r="P842" s="20"/>
    </row>
    <row r="843">
      <c r="A843" s="97">
        <f>IFERROR(__xludf.DUMMYFUNCTION("""COMPUTED_VALUE"""),46180.0)</f>
        <v>46180</v>
      </c>
      <c r="B843" s="97" t="str">
        <f>IFERROR(__xludf.DUMMYFUNCTION("""COMPUTED_VALUE"""),"2606D057")</f>
        <v>2606D057</v>
      </c>
      <c r="C843" s="76" t="str">
        <f>IFERROR(__xludf.DUMMYFUNCTION("""COMPUTED_VALUE"""),"Muh Asyrofil")</f>
        <v>Muh Asyrofil</v>
      </c>
      <c r="D843" s="99" t="str">
        <f>IFERROR(__xludf.DUMMYFUNCTION("""COMPUTED_VALUE"""),"081233627472")</f>
        <v>081233627472</v>
      </c>
      <c r="E843" s="25" t="str">
        <f>IFERROR(__xludf.DUMMYFUNCTION("""COMPUTED_VALUE"""),"Website")</f>
        <v>Website</v>
      </c>
      <c r="F843" s="25" t="str">
        <f>IFERROR(__xludf.DUMMYFUNCTION("""COMPUTED_VALUE"""),"Leads Baru")</f>
        <v>Leads Baru</v>
      </c>
      <c r="G843" s="25" t="str">
        <f>IFERROR(__xludf.DUMMYFUNCTION("""COMPUTED_VALUE"""),"trip menjangan")</f>
        <v>trip menjangan</v>
      </c>
      <c r="H843" s="92"/>
      <c r="I843" s="80"/>
      <c r="J843" s="93"/>
      <c r="K843" s="46" t="str">
        <f>IFERROR(__xludf.DUMMYFUNCTION("""COMPUTED_VALUE"""),"menyapaa")</f>
        <v>menyapaa</v>
      </c>
      <c r="L843" s="76"/>
      <c r="M843" s="20"/>
      <c r="N843" s="20"/>
      <c r="O843" s="20"/>
      <c r="P843" s="20"/>
    </row>
    <row r="844">
      <c r="A844" s="110">
        <f>IFERROR(__xludf.DUMMYFUNCTION("""COMPUTED_VALUE"""),46181.0)</f>
        <v>46181</v>
      </c>
      <c r="B844" s="110" t="str">
        <f>IFERROR(__xludf.DUMMYFUNCTION("""COMPUTED_VALUE"""),"2606D058")</f>
        <v>2606D058</v>
      </c>
      <c r="C844" s="49" t="str">
        <f>IFERROR(__xludf.DUMMYFUNCTION("""COMPUTED_VALUE"""),"LookMan")</f>
        <v>LookMan</v>
      </c>
      <c r="D844" s="102" t="str">
        <f>IFERROR(__xludf.DUMMYFUNCTION("""COMPUTED_VALUE"""),"08119100055")</f>
        <v>08119100055</v>
      </c>
      <c r="E844" s="25" t="str">
        <f>IFERROR(__xludf.DUMMYFUNCTION("""COMPUTED_VALUE"""),"Website")</f>
        <v>Website</v>
      </c>
      <c r="F844" s="25" t="str">
        <f>IFERROR(__xludf.DUMMYFUNCTION("""COMPUTED_VALUE"""),"Leads Baru")</f>
        <v>Leads Baru</v>
      </c>
      <c r="G844" s="25" t="str">
        <f>IFERROR(__xludf.DUMMYFUNCTION("""COMPUTED_VALUE"""),"2H1M opsi A")</f>
        <v>2H1M opsi A</v>
      </c>
      <c r="H844" s="78"/>
      <c r="I844" s="89"/>
      <c r="J844" s="96"/>
      <c r="K844" s="30"/>
      <c r="L844" s="49"/>
      <c r="M844" s="20"/>
      <c r="N844" s="20"/>
      <c r="O844" s="20"/>
      <c r="P844" s="20"/>
    </row>
    <row r="845">
      <c r="A845" s="97">
        <f>IFERROR(__xludf.DUMMYFUNCTION("""COMPUTED_VALUE"""),46181.0)</f>
        <v>46181</v>
      </c>
      <c r="B845" s="97" t="str">
        <f>IFERROR(__xludf.DUMMYFUNCTION("""COMPUTED_VALUE"""),"2606D059")</f>
        <v>2606D059</v>
      </c>
      <c r="C845" s="76" t="str">
        <f>IFERROR(__xludf.DUMMYFUNCTION("""COMPUTED_VALUE"""),"Yuli Ermawati")</f>
        <v>Yuli Ermawati</v>
      </c>
      <c r="D845" s="99" t="str">
        <f>IFERROR(__xludf.DUMMYFUNCTION("""COMPUTED_VALUE"""),"085290229000")</f>
        <v>085290229000</v>
      </c>
      <c r="E845" s="25" t="str">
        <f>IFERROR(__xludf.DUMMYFUNCTION("""COMPUTED_VALUE"""),"Instagram")</f>
        <v>Instagram</v>
      </c>
      <c r="F845" s="25" t="str">
        <f>IFERROR(__xludf.DUMMYFUNCTION("""COMPUTED_VALUE"""),"Leads Baru")</f>
        <v>Leads Baru</v>
      </c>
      <c r="G845" s="25" t="str">
        <f>IFERROR(__xludf.DUMMYFUNCTION("""COMPUTED_VALUE"""),"3H2M custome")</f>
        <v>3H2M custome</v>
      </c>
      <c r="H845" s="16"/>
      <c r="I845" s="17">
        <f>IFERROR(__xludf.DUMMYFUNCTION("""COMPUTED_VALUE"""),30.0)</f>
        <v>30</v>
      </c>
      <c r="J845" s="54"/>
      <c r="K845" s="46" t="str">
        <f>IFERROR(__xludf.DUMMYFUNCTION("""COMPUTED_VALUE"""),"buat penawaran")</f>
        <v>buat penawaran</v>
      </c>
      <c r="L845" s="76"/>
      <c r="M845" s="20"/>
      <c r="N845" s="20"/>
      <c r="O845" s="20"/>
      <c r="P845" s="20"/>
    </row>
    <row r="846">
      <c r="A846" s="110">
        <f>IFERROR(__xludf.DUMMYFUNCTION("""COMPUTED_VALUE"""),46181.0)</f>
        <v>46181</v>
      </c>
      <c r="B846" s="110" t="str">
        <f>IFERROR(__xludf.DUMMYFUNCTION("""COMPUTED_VALUE"""),"2606D060")</f>
        <v>2606D060</v>
      </c>
      <c r="C846" s="49" t="str">
        <f>IFERROR(__xludf.DUMMYFUNCTION("""COMPUTED_VALUE"""),"Yuliana Melani")</f>
        <v>Yuliana Melani</v>
      </c>
      <c r="D846" s="102" t="str">
        <f>IFERROR(__xludf.DUMMYFUNCTION("""COMPUTED_VALUE"""),"089680857762")</f>
        <v>089680857762</v>
      </c>
      <c r="E846" s="25" t="str">
        <f>IFERROR(__xludf.DUMMYFUNCTION("""COMPUTED_VALUE"""),"Website")</f>
        <v>Website</v>
      </c>
      <c r="F846" s="25" t="str">
        <f>IFERROR(__xludf.DUMMYFUNCTION("""COMPUTED_VALUE"""),"Gagal")</f>
        <v>Gagal</v>
      </c>
      <c r="G846" s="25" t="str">
        <f>IFERROR(__xludf.DUMMYFUNCTION("""COMPUTED_VALUE"""),"OT MT ")</f>
        <v>OT MT </v>
      </c>
      <c r="H846" s="78">
        <f>IFERROR(__xludf.DUMMYFUNCTION("""COMPUTED_VALUE"""),46186.0)</f>
        <v>46186</v>
      </c>
      <c r="I846" s="89">
        <f>IFERROR(__xludf.DUMMYFUNCTION("""COMPUTED_VALUE"""),9.0)</f>
        <v>9</v>
      </c>
      <c r="J846" s="96"/>
      <c r="K846" s="36"/>
      <c r="L846" s="49"/>
      <c r="M846" s="20"/>
      <c r="N846" s="20"/>
      <c r="O846" s="20"/>
      <c r="P846" s="20"/>
    </row>
    <row r="847">
      <c r="A847" s="110">
        <f>IFERROR(__xludf.DUMMYFUNCTION("""COMPUTED_VALUE"""),46181.0)</f>
        <v>46181</v>
      </c>
      <c r="B847" s="110" t="str">
        <f>IFERROR(__xludf.DUMMYFUNCTION("""COMPUTED_VALUE"""),"2606D061")</f>
        <v>2606D061</v>
      </c>
      <c r="C847" s="49" t="str">
        <f>IFERROR(__xludf.DUMMYFUNCTION("""COMPUTED_VALUE"""),"Ain Nurul Fadilah")</f>
        <v>Ain Nurul Fadilah</v>
      </c>
      <c r="D847" s="102" t="str">
        <f>IFERROR(__xludf.DUMMYFUNCTION("""COMPUTED_VALUE"""),"081909411660")</f>
        <v>081909411660</v>
      </c>
      <c r="E847" s="25" t="str">
        <f>IFERROR(__xludf.DUMMYFUNCTION("""COMPUTED_VALUE"""),"Instagram")</f>
        <v>Instagram</v>
      </c>
      <c r="F847" s="25" t="str">
        <f>IFERROR(__xludf.DUMMYFUNCTION("""COMPUTED_VALUE"""),"Closing")</f>
        <v>Closing</v>
      </c>
      <c r="G847" s="25" t="str">
        <f>IFERROR(__xludf.DUMMYFUNCTION("""COMPUTED_VALUE"""),"OT 3H2M ")</f>
        <v>OT 3H2M </v>
      </c>
      <c r="H847" s="78">
        <f>IFERROR(__xludf.DUMMYFUNCTION("""COMPUTED_VALUE"""),46196.0)</f>
        <v>46196</v>
      </c>
      <c r="I847" s="89">
        <f>IFERROR(__xludf.DUMMYFUNCTION("""COMPUTED_VALUE"""),2.0)</f>
        <v>2</v>
      </c>
      <c r="J847" s="96">
        <f>IFERROR(__xludf.DUMMYFUNCTION("""COMPUTED_VALUE"""),3200000.0)</f>
        <v>3200000</v>
      </c>
      <c r="K847" s="30" t="str">
        <f>IFERROR(__xludf.DUMMYFUNCTION("""COMPUTED_VALUE"""),"orrdeerrr")</f>
        <v>orrdeerrr</v>
      </c>
      <c r="L847" s="49"/>
      <c r="M847" s="20"/>
      <c r="N847" s="20"/>
      <c r="O847" s="20"/>
      <c r="P847" s="20"/>
    </row>
    <row r="848">
      <c r="A848" s="97">
        <f>IFERROR(__xludf.DUMMYFUNCTION("""COMPUTED_VALUE"""),46181.0)</f>
        <v>46181</v>
      </c>
      <c r="B848" s="97" t="str">
        <f>IFERROR(__xludf.DUMMYFUNCTION("""COMPUTED_VALUE"""),"2606D062")</f>
        <v>2606D062</v>
      </c>
      <c r="C848" s="76" t="str">
        <f>IFERROR(__xludf.DUMMYFUNCTION("""COMPUTED_VALUE"""),"No Name 2h1m")</f>
        <v>No Name 2h1m</v>
      </c>
      <c r="D848" s="99" t="str">
        <f>IFERROR(__xludf.DUMMYFUNCTION("""COMPUTED_VALUE"""),"082177719919")</f>
        <v>082177719919</v>
      </c>
      <c r="E848" s="25" t="str">
        <f>IFERROR(__xludf.DUMMYFUNCTION("""COMPUTED_VALUE"""),"Instagram")</f>
        <v>Instagram</v>
      </c>
      <c r="F848" s="25" t="str">
        <f>IFERROR(__xludf.DUMMYFUNCTION("""COMPUTED_VALUE"""),"Leads Baru")</f>
        <v>Leads Baru</v>
      </c>
      <c r="G848" s="25" t="str">
        <f>IFERROR(__xludf.DUMMYFUNCTION("""COMPUTED_VALUE"""),"2h1m opsi B")</f>
        <v>2h1m opsi B</v>
      </c>
      <c r="H848" s="16"/>
      <c r="I848" s="17"/>
      <c r="J848" s="54"/>
      <c r="K848" s="46"/>
      <c r="L848" s="76"/>
      <c r="M848" s="20"/>
      <c r="N848" s="20"/>
      <c r="O848" s="20"/>
      <c r="P848" s="20"/>
    </row>
    <row r="849">
      <c r="A849" s="97">
        <f>IFERROR(__xludf.DUMMYFUNCTION("""COMPUTED_VALUE"""),46181.0)</f>
        <v>46181</v>
      </c>
      <c r="B849" s="97" t="str">
        <f>IFERROR(__xludf.DUMMYFUNCTION("""COMPUTED_VALUE"""),"2606D063")</f>
        <v>2606D063</v>
      </c>
      <c r="C849" s="76" t="str">
        <f>IFERROR(__xludf.DUMMYFUNCTION("""COMPUTED_VALUE"""),"Zilfa")</f>
        <v>Zilfa</v>
      </c>
      <c r="D849" s="99" t="str">
        <f>IFERROR(__xludf.DUMMYFUNCTION("""COMPUTED_VALUE"""),"083895350490")</f>
        <v>083895350490</v>
      </c>
      <c r="E849" s="25" t="str">
        <f>IFERROR(__xludf.DUMMYFUNCTION("""COMPUTED_VALUE"""),"Instagram")</f>
        <v>Instagram</v>
      </c>
      <c r="F849" s="25" t="str">
        <f>IFERROR(__xludf.DUMMYFUNCTION("""COMPUTED_VALUE"""),"Qualified")</f>
        <v>Qualified</v>
      </c>
      <c r="G849" s="25" t="str">
        <f>IFERROR(__xludf.DUMMYFUNCTION("""COMPUTED_VALUE"""),"2h1m custome")</f>
        <v>2h1m custome</v>
      </c>
      <c r="H849" s="92"/>
      <c r="I849" s="80">
        <f>IFERROR(__xludf.DUMMYFUNCTION("""COMPUTED_VALUE"""),4.0)</f>
        <v>4</v>
      </c>
      <c r="J849" s="93"/>
      <c r="K849" s="19" t="str">
        <f>IFERROR(__xludf.DUMMYFUNCTION("""COMPUTED_VALUE"""),"nunggu persetujuan ortu, FU 17 Juni")</f>
        <v>nunggu persetujuan ortu, FU 17 Juni</v>
      </c>
      <c r="L849" s="10"/>
      <c r="M849" s="20"/>
      <c r="N849" s="20"/>
      <c r="O849" s="20"/>
      <c r="P849" s="20"/>
    </row>
    <row r="850">
      <c r="A850" s="110">
        <f>IFERROR(__xludf.DUMMYFUNCTION("""COMPUTED_VALUE"""),46182.0)</f>
        <v>46182</v>
      </c>
      <c r="B850" s="110" t="str">
        <f>IFERROR(__xludf.DUMMYFUNCTION("""COMPUTED_VALUE"""),"2606D064")</f>
        <v>2606D064</v>
      </c>
      <c r="C850" s="49" t="str">
        <f>IFERROR(__xludf.DUMMYFUNCTION("""COMPUTED_VALUE"""),"Anggun Tri Utami")</f>
        <v>Anggun Tri Utami</v>
      </c>
      <c r="D850" s="102" t="str">
        <f>IFERROR(__xludf.DUMMYFUNCTION("""COMPUTED_VALUE"""),"081398761652")</f>
        <v>081398761652</v>
      </c>
      <c r="E850" s="25" t="str">
        <f>IFERROR(__xludf.DUMMYFUNCTION("""COMPUTED_VALUE"""),"Instagram")</f>
        <v>Instagram</v>
      </c>
      <c r="F850" s="25" t="str">
        <f>IFERROR(__xludf.DUMMYFUNCTION("""COMPUTED_VALUE"""),"Leads Baru")</f>
        <v>Leads Baru</v>
      </c>
      <c r="G850" s="25" t="str">
        <f>IFERROR(__xludf.DUMMYFUNCTION("""COMPUTED_VALUE"""),"trip Djabal")</f>
        <v>trip Djabal</v>
      </c>
      <c r="H850" s="78"/>
      <c r="I850" s="89"/>
      <c r="J850" s="96"/>
      <c r="K850" s="36" t="str">
        <f>IFERROR(__xludf.DUMMYFUNCTION("""COMPUTED_VALUE"""),"blm balas lagi, FU 17 Juni")</f>
        <v>blm balas lagi, FU 17 Juni</v>
      </c>
      <c r="L850" s="23"/>
      <c r="M850" s="20"/>
      <c r="N850" s="20"/>
      <c r="O850" s="20"/>
      <c r="P850" s="20"/>
    </row>
    <row r="851">
      <c r="A851" s="97">
        <f>IFERROR(__xludf.DUMMYFUNCTION("""COMPUTED_VALUE"""),46181.0)</f>
        <v>46181</v>
      </c>
      <c r="B851" s="97" t="str">
        <f>IFERROR(__xludf.DUMMYFUNCTION("""COMPUTED_VALUE"""),"2606D065")</f>
        <v>2606D065</v>
      </c>
      <c r="C851" s="76" t="str">
        <f>IFERROR(__xludf.DUMMYFUNCTION("""COMPUTED_VALUE"""),"Eva yunieta")</f>
        <v>Eva yunieta</v>
      </c>
      <c r="D851" s="99" t="str">
        <f>IFERROR(__xludf.DUMMYFUNCTION("""COMPUTED_VALUE"""),"08113191918")</f>
        <v>08113191918</v>
      </c>
      <c r="E851" s="25" t="str">
        <f>IFERROR(__xludf.DUMMYFUNCTION("""COMPUTED_VALUE"""),"Website")</f>
        <v>Website</v>
      </c>
      <c r="F851" s="25" t="str">
        <f>IFERROR(__xludf.DUMMYFUNCTION("""COMPUTED_VALUE"""),"Closing")</f>
        <v>Closing</v>
      </c>
      <c r="G851" s="25" t="str">
        <f>IFERROR(__xludf.DUMMYFUNCTION("""COMPUTED_VALUE"""),"3h2m opsi a")</f>
        <v>3h2m opsi a</v>
      </c>
      <c r="H851" s="92">
        <f>IFERROR(__xludf.DUMMYFUNCTION("""COMPUTED_VALUE"""),46195.0)</f>
        <v>46195</v>
      </c>
      <c r="I851" s="80">
        <f>IFERROR(__xludf.DUMMYFUNCTION("""COMPUTED_VALUE"""),11.0)</f>
        <v>11</v>
      </c>
      <c r="J851" s="93"/>
      <c r="K851" s="19" t="str">
        <f>IFERROR(__xludf.DUMMYFUNCTION("""COMPUTED_VALUE"""),"orrderrr")</f>
        <v>orrderrr</v>
      </c>
      <c r="L851" s="76"/>
      <c r="M851" s="20"/>
      <c r="N851" s="20"/>
      <c r="O851" s="20"/>
      <c r="P851" s="20"/>
    </row>
    <row r="852">
      <c r="A852" s="110">
        <f>IFERROR(__xludf.DUMMYFUNCTION("""COMPUTED_VALUE"""),46182.0)</f>
        <v>46182</v>
      </c>
      <c r="B852" s="110" t="str">
        <f>IFERROR(__xludf.DUMMYFUNCTION("""COMPUTED_VALUE"""),"2606D066")</f>
        <v>2606D066</v>
      </c>
      <c r="C852" s="49" t="str">
        <f>IFERROR(__xludf.DUMMYFUNCTION("""COMPUTED_VALUE"""),"Ira Nirmala")</f>
        <v>Ira Nirmala</v>
      </c>
      <c r="D852" s="102" t="str">
        <f>IFERROR(__xludf.DUMMYFUNCTION("""COMPUTED_VALUE"""),"085659201038")</f>
        <v>085659201038</v>
      </c>
      <c r="E852" s="25" t="str">
        <f>IFERROR(__xludf.DUMMYFUNCTION("""COMPUTED_VALUE"""),"Website")</f>
        <v>Website</v>
      </c>
      <c r="F852" s="25" t="str">
        <f>IFERROR(__xludf.DUMMYFUNCTION("""COMPUTED_VALUE"""),"Leads Baru")</f>
        <v>Leads Baru</v>
      </c>
      <c r="G852" s="25" t="str">
        <f>IFERROR(__xludf.DUMMYFUNCTION("""COMPUTED_VALUE"""),"3h2m opsi A")</f>
        <v>3h2m opsi A</v>
      </c>
      <c r="H852" s="78"/>
      <c r="I852" s="89">
        <f>IFERROR(__xludf.DUMMYFUNCTION("""COMPUTED_VALUE"""),5.0)</f>
        <v>5</v>
      </c>
      <c r="J852" s="96"/>
      <c r="K852" s="30" t="str">
        <f>IFERROR(__xludf.DUMMYFUNCTION("""COMPUTED_VALUE"""),"diskus duu, FU 11 Juni")</f>
        <v>diskus duu, FU 11 Juni</v>
      </c>
      <c r="L852" s="23"/>
      <c r="M852" s="20"/>
      <c r="N852" s="20"/>
      <c r="O852" s="20"/>
      <c r="P852" s="20"/>
    </row>
    <row r="853">
      <c r="A853" s="11">
        <f>IFERROR(__xludf.DUMMYFUNCTION("""COMPUTED_VALUE"""),46182.0)</f>
        <v>46182</v>
      </c>
      <c r="B853" s="11" t="str">
        <f>IFERROR(__xludf.DUMMYFUNCTION("""COMPUTED_VALUE"""),"2606D067")</f>
        <v>2606D067</v>
      </c>
      <c r="C853" s="10" t="str">
        <f>IFERROR(__xludf.DUMMYFUNCTION("""COMPUTED_VALUE"""),"Melik")</f>
        <v>Melik</v>
      </c>
      <c r="D853" s="13" t="str">
        <f>IFERROR(__xludf.DUMMYFUNCTION("""COMPUTED_VALUE"""),"081325730022")</f>
        <v>081325730022</v>
      </c>
      <c r="E853" s="14" t="str">
        <f>IFERROR(__xludf.DUMMYFUNCTION("""COMPUTED_VALUE"""),"Website")</f>
        <v>Website</v>
      </c>
      <c r="F853" s="14" t="str">
        <f>IFERROR(__xludf.DUMMYFUNCTION("""COMPUTED_VALUE"""),"Leads Baru")</f>
        <v>Leads Baru</v>
      </c>
      <c r="G853" s="14" t="str">
        <f>IFERROR(__xludf.DUMMYFUNCTION("""COMPUTED_VALUE"""),"3h2m")</f>
        <v>3h2m</v>
      </c>
      <c r="H853" s="16"/>
      <c r="I853" s="17"/>
      <c r="J853" s="54"/>
      <c r="K853" s="46" t="str">
        <f>IFERROR(__xludf.DUMMYFUNCTION("""COMPUTED_VALUE"""),"buat penawaran")</f>
        <v>buat penawaran</v>
      </c>
      <c r="L853" s="10"/>
      <c r="M853" s="20"/>
      <c r="N853" s="20"/>
      <c r="O853" s="20"/>
      <c r="P853" s="20"/>
    </row>
    <row r="854">
      <c r="A854" s="21">
        <f>IFERROR(__xludf.DUMMYFUNCTION("""COMPUTED_VALUE"""),46182.0)</f>
        <v>46182</v>
      </c>
      <c r="B854" s="21" t="str">
        <f>IFERROR(__xludf.DUMMYFUNCTION("""COMPUTED_VALUE"""),"2606D068")</f>
        <v>2606D068</v>
      </c>
      <c r="C854" s="23" t="str">
        <f>IFERROR(__xludf.DUMMYFUNCTION("""COMPUTED_VALUE"""),"Muslih")</f>
        <v>Muslih</v>
      </c>
      <c r="D854" s="24" t="str">
        <f>IFERROR(__xludf.DUMMYFUNCTION("""COMPUTED_VALUE"""),"081231234235")</f>
        <v>081231234235</v>
      </c>
      <c r="E854" s="14" t="str">
        <f>IFERROR(__xludf.DUMMYFUNCTION("""COMPUTED_VALUE"""),"Website")</f>
        <v>Website</v>
      </c>
      <c r="F854" s="14" t="str">
        <f>IFERROR(__xludf.DUMMYFUNCTION("""COMPUTED_VALUE"""),"Leads Baru")</f>
        <v>Leads Baru</v>
      </c>
      <c r="G854" s="14" t="str">
        <f>IFERROR(__xludf.DUMMYFUNCTION("""COMPUTED_VALUE"""),"OT harian")</f>
        <v>OT harian</v>
      </c>
      <c r="H854" s="26"/>
      <c r="I854" s="27">
        <f>IFERROR(__xludf.DUMMYFUNCTION("""COMPUTED_VALUE"""),1.0)</f>
        <v>1</v>
      </c>
      <c r="J854" s="33"/>
      <c r="K854" s="30" t="str">
        <f>IFERROR(__xludf.DUMMYFUNCTION("""COMPUTED_VALUE"""),"masih mikir pilih trip yg mana, FU 11 Juni")</f>
        <v>masih mikir pilih trip yg mana, FU 11 Juni</v>
      </c>
      <c r="L854" s="23"/>
      <c r="M854" s="20"/>
      <c r="N854" s="20"/>
      <c r="O854" s="20"/>
      <c r="P854" s="20"/>
    </row>
    <row r="855">
      <c r="A855" s="11">
        <f>IFERROR(__xludf.DUMMYFUNCTION("""COMPUTED_VALUE"""),46182.0)</f>
        <v>46182</v>
      </c>
      <c r="B855" s="11" t="str">
        <f>IFERROR(__xludf.DUMMYFUNCTION("""COMPUTED_VALUE"""),"2606D069")</f>
        <v>2606D069</v>
      </c>
      <c r="C855" s="10" t="str">
        <f>IFERROR(__xludf.DUMMYFUNCTION("""COMPUTED_VALUE"""),"Endi (Nur Laely)")</f>
        <v>Endi (Nur Laely)</v>
      </c>
      <c r="D855" s="13" t="str">
        <f>IFERROR(__xludf.DUMMYFUNCTION("""COMPUTED_VALUE"""),"085723509115")</f>
        <v>085723509115</v>
      </c>
      <c r="E855" s="14" t="str">
        <f>IFERROR(__xludf.DUMMYFUNCTION("""COMPUTED_VALUE"""),"Instagram")</f>
        <v>Instagram</v>
      </c>
      <c r="F855" s="14" t="str">
        <f>IFERROR(__xludf.DUMMYFUNCTION("""COMPUTED_VALUE"""),"Closing")</f>
        <v>Closing</v>
      </c>
      <c r="G855" s="14" t="str">
        <f>IFERROR(__xludf.DUMMYFUNCTION("""COMPUTED_VALUE"""),"3h2m custome")</f>
        <v>3h2m custome</v>
      </c>
      <c r="H855" s="16">
        <f>IFERROR(__xludf.DUMMYFUNCTION("""COMPUTED_VALUE"""),46192.0)</f>
        <v>46192</v>
      </c>
      <c r="I855" s="17">
        <f>IFERROR(__xludf.DUMMYFUNCTION("""COMPUTED_VALUE"""),2.0)</f>
        <v>2</v>
      </c>
      <c r="J855" s="54">
        <f>IFERROR(__xludf.DUMMYFUNCTION("""COMPUTED_VALUE"""),6850000.0)</f>
        <v>6850000</v>
      </c>
      <c r="K855" s="46" t="str">
        <f>IFERROR(__xludf.DUMMYFUNCTION("""COMPUTED_VALUE"""),"orrdeerrr, Hadiah wedding sepupu")</f>
        <v>orrdeerrr, Hadiah wedding sepupu</v>
      </c>
      <c r="L855" s="10"/>
      <c r="M855" s="20"/>
      <c r="N855" s="20"/>
      <c r="O855" s="20"/>
      <c r="P855" s="20"/>
    </row>
    <row r="856">
      <c r="A856" s="21">
        <f>IFERROR(__xludf.DUMMYFUNCTION("""COMPUTED_VALUE"""),46180.0)</f>
        <v>46180</v>
      </c>
      <c r="B856" s="21" t="str">
        <f>IFERROR(__xludf.DUMMYFUNCTION("""COMPUTED_VALUE"""),"2606D070")</f>
        <v>2606D070</v>
      </c>
      <c r="C856" s="23" t="str">
        <f>IFERROR(__xludf.DUMMYFUNCTION("""COMPUTED_VALUE"""),"Alora Homemade ")</f>
        <v>Alora Homemade </v>
      </c>
      <c r="D856" s="24" t="str">
        <f>IFERROR(__xludf.DUMMYFUNCTION("""COMPUTED_VALUE"""),"085156490853")</f>
        <v>085156490853</v>
      </c>
      <c r="E856" s="14" t="str">
        <f>IFERROR(__xludf.DUMMYFUNCTION("""COMPUTED_VALUE"""),"Instagram")</f>
        <v>Instagram</v>
      </c>
      <c r="F856" s="14" t="str">
        <f>IFERROR(__xludf.DUMMYFUNCTION("""COMPUTED_VALUE"""),"Leads Baru")</f>
        <v>Leads Baru</v>
      </c>
      <c r="G856" s="14"/>
      <c r="H856" s="26"/>
      <c r="I856" s="27"/>
      <c r="J856" s="33"/>
      <c r="K856" s="30" t="str">
        <f>IFERROR(__xludf.DUMMYFUNCTION("""COMPUTED_VALUE"""),"baru menyapa")</f>
        <v>baru menyapa</v>
      </c>
      <c r="L856" s="23"/>
      <c r="M856" s="20"/>
      <c r="N856" s="20"/>
      <c r="O856" s="20"/>
      <c r="P856" s="20"/>
    </row>
    <row r="857">
      <c r="A857" s="11">
        <f>IFERROR(__xludf.DUMMYFUNCTION("""COMPUTED_VALUE"""),46180.0)</f>
        <v>46180</v>
      </c>
      <c r="B857" s="11" t="str">
        <f>IFERROR(__xludf.DUMMYFUNCTION("""COMPUTED_VALUE"""),"2606D071")</f>
        <v>2606D071</v>
      </c>
      <c r="C857" s="10" t="str">
        <f>IFERROR(__xludf.DUMMYFUNCTION("""COMPUTED_VALUE"""),"Via")</f>
        <v>Via</v>
      </c>
      <c r="D857" s="13" t="str">
        <f>IFERROR(__xludf.DUMMYFUNCTION("""COMPUTED_VALUE"""),"081388044571")</f>
        <v>081388044571</v>
      </c>
      <c r="E857" s="14" t="str">
        <f>IFERROR(__xludf.DUMMYFUNCTION("""COMPUTED_VALUE"""),"Tiktok")</f>
        <v>Tiktok</v>
      </c>
      <c r="F857" s="14" t="str">
        <f>IFERROR(__xludf.DUMMYFUNCTION("""COMPUTED_VALUE"""),"Leads Baru")</f>
        <v>Leads Baru</v>
      </c>
      <c r="G857" s="14"/>
      <c r="H857" s="16"/>
      <c r="I857" s="17"/>
      <c r="J857" s="54"/>
      <c r="K857" s="46" t="str">
        <f>IFERROR(__xludf.DUMMYFUNCTION("""COMPUTED_VALUE"""),"nyari OT 4h3m26, FU 13 Juni")</f>
        <v>nyari OT 4h3m26, FU 13 Juni</v>
      </c>
      <c r="L857" s="10"/>
      <c r="M857" s="20"/>
      <c r="N857" s="20"/>
      <c r="O857" s="20"/>
      <c r="P857" s="20"/>
    </row>
    <row r="858">
      <c r="A858" s="21">
        <f>IFERROR(__xludf.DUMMYFUNCTION("""COMPUTED_VALUE"""),46182.0)</f>
        <v>46182</v>
      </c>
      <c r="B858" s="21" t="str">
        <f>IFERROR(__xludf.DUMMYFUNCTION("""COMPUTED_VALUE"""),"2606D071")</f>
        <v>2606D071</v>
      </c>
      <c r="C858" s="23" t="str">
        <f>IFERROR(__xludf.DUMMYFUNCTION("""COMPUTED_VALUE"""),"Nna")</f>
        <v>Nna</v>
      </c>
      <c r="D858" s="24" t="str">
        <f>IFERROR(__xludf.DUMMYFUNCTION("""COMPUTED_VALUE"""),"082172977987")</f>
        <v>082172977987</v>
      </c>
      <c r="E858" s="14" t="str">
        <f>IFERROR(__xludf.DUMMYFUNCTION("""COMPUTED_VALUE"""),"Website")</f>
        <v>Website</v>
      </c>
      <c r="F858" s="14" t="str">
        <f>IFERROR(__xludf.DUMMYFUNCTION("""COMPUTED_VALUE"""),"Leads Baru")</f>
        <v>Leads Baru</v>
      </c>
      <c r="G858" s="14"/>
      <c r="H858" s="26"/>
      <c r="I858" s="27"/>
      <c r="J858" s="33"/>
      <c r="K858" s="30" t="str">
        <f>IFERROR(__xludf.DUMMYFUNCTION("""COMPUTED_VALUE"""),"baru menyapa, FU 13 Juni")</f>
        <v>baru menyapa, FU 13 Juni</v>
      </c>
      <c r="L858" s="23"/>
      <c r="M858" s="20"/>
      <c r="N858" s="20"/>
      <c r="O858" s="20"/>
      <c r="P858" s="20"/>
    </row>
    <row r="859">
      <c r="A859" s="11">
        <f>IFERROR(__xludf.DUMMYFUNCTION("""COMPUTED_VALUE"""),46182.0)</f>
        <v>46182</v>
      </c>
      <c r="B859" s="11" t="str">
        <f>IFERROR(__xludf.DUMMYFUNCTION("""COMPUTED_VALUE"""),"2606D072")</f>
        <v>2606D072</v>
      </c>
      <c r="C859" s="10" t="str">
        <f>IFERROR(__xludf.DUMMYFUNCTION("""COMPUTED_VALUE"""),"Dewi Octaviani")</f>
        <v>Dewi Octaviani</v>
      </c>
      <c r="D859" s="13" t="str">
        <f>IFERROR(__xludf.DUMMYFUNCTION("""COMPUTED_VALUE"""),"082127009715")</f>
        <v>082127009715</v>
      </c>
      <c r="E859" s="14" t="str">
        <f>IFERROR(__xludf.DUMMYFUNCTION("""COMPUTED_VALUE"""),"Instagram")</f>
        <v>Instagram</v>
      </c>
      <c r="F859" s="14" t="str">
        <f>IFERROR(__xludf.DUMMYFUNCTION("""COMPUTED_VALUE"""),"Leads Baru")</f>
        <v>Leads Baru</v>
      </c>
      <c r="G859" s="14"/>
      <c r="H859" s="16"/>
      <c r="I859" s="17"/>
      <c r="J859" s="54"/>
      <c r="K859" s="46" t="str">
        <f>IFERROR(__xludf.DUMMYFUNCTION("""COMPUTED_VALUE"""),"baru nanya mepo")</f>
        <v>baru nanya mepo</v>
      </c>
      <c r="L859" s="10"/>
      <c r="M859" s="20"/>
      <c r="N859" s="20"/>
      <c r="O859" s="20"/>
      <c r="P859" s="20"/>
    </row>
    <row r="860">
      <c r="A860" s="21">
        <f>IFERROR(__xludf.DUMMYFUNCTION("""COMPUTED_VALUE"""),46182.0)</f>
        <v>46182</v>
      </c>
      <c r="B860" s="21" t="str">
        <f>IFERROR(__xludf.DUMMYFUNCTION("""COMPUTED_VALUE"""),"2606D073")</f>
        <v>2606D073</v>
      </c>
      <c r="C860" s="23" t="str">
        <f>IFERROR(__xludf.DUMMYFUNCTION("""COMPUTED_VALUE"""),"Nida")</f>
        <v>Nida</v>
      </c>
      <c r="D860" s="24" t="str">
        <f>IFERROR(__xludf.DUMMYFUNCTION("""COMPUTED_VALUE"""),"0895352831337")</f>
        <v>0895352831337</v>
      </c>
      <c r="E860" s="14" t="str">
        <f>IFERROR(__xludf.DUMMYFUNCTION("""COMPUTED_VALUE"""),"Instagram")</f>
        <v>Instagram</v>
      </c>
      <c r="F860" s="14" t="str">
        <f>IFERROR(__xludf.DUMMYFUNCTION("""COMPUTED_VALUE"""),"Closing")</f>
        <v>Closing</v>
      </c>
      <c r="G860" s="14" t="str">
        <f>IFERROR(__xludf.DUMMYFUNCTION("""COMPUTED_VALUE"""),"3h2m opsi A")</f>
        <v>3h2m opsi A</v>
      </c>
      <c r="H860" s="26">
        <f>IFERROR(__xludf.DUMMYFUNCTION("""COMPUTED_VALUE"""),46256.0)</f>
        <v>46256</v>
      </c>
      <c r="I860" s="27">
        <f>IFERROR(__xludf.DUMMYFUNCTION("""COMPUTED_VALUE"""),3.0)</f>
        <v>3</v>
      </c>
      <c r="J860" s="33">
        <f>IFERROR(__xludf.DUMMYFUNCTION("""COMPUTED_VALUE"""),8001000.0)</f>
        <v>8001000</v>
      </c>
      <c r="K860" s="30" t="str">
        <f>IFERROR(__xludf.DUMMYFUNCTION("""COMPUTED_VALUE"""),"alhamdulillah orrderr")</f>
        <v>alhamdulillah orrderr</v>
      </c>
      <c r="L860" s="23"/>
      <c r="M860" s="20"/>
      <c r="N860" s="20"/>
      <c r="O860" s="20"/>
      <c r="P860" s="20"/>
    </row>
    <row r="861">
      <c r="A861" s="11">
        <f>IFERROR(__xludf.DUMMYFUNCTION("""COMPUTED_VALUE"""),46182.0)</f>
        <v>46182</v>
      </c>
      <c r="B861" s="11" t="str">
        <f>IFERROR(__xludf.DUMMYFUNCTION("""COMPUTED_VALUE"""),"2606D074")</f>
        <v>2606D074</v>
      </c>
      <c r="C861" s="10" t="str">
        <f>IFERROR(__xludf.DUMMYFUNCTION("""COMPUTED_VALUE"""),"Climb")</f>
        <v>Climb</v>
      </c>
      <c r="D861" s="13" t="str">
        <f>IFERROR(__xludf.DUMMYFUNCTION("""COMPUTED_VALUE"""),"081231230748")</f>
        <v>081231230748</v>
      </c>
      <c r="E861" s="14" t="str">
        <f>IFERROR(__xludf.DUMMYFUNCTION("""COMPUTED_VALUE"""),"Website")</f>
        <v>Website</v>
      </c>
      <c r="F861" s="14" t="str">
        <f>IFERROR(__xludf.DUMMYFUNCTION("""COMPUTED_VALUE"""),"Qualified")</f>
        <v>Qualified</v>
      </c>
      <c r="G861" s="14" t="str">
        <f>IFERROR(__xludf.DUMMYFUNCTION("""COMPUTED_VALUE"""),"OT MT")</f>
        <v>OT MT</v>
      </c>
      <c r="H861" s="16"/>
      <c r="I861" s="17">
        <f>IFERROR(__xludf.DUMMYFUNCTION("""COMPUTED_VALUE"""),1.0)</f>
        <v>1</v>
      </c>
      <c r="J861" s="54">
        <f>IFERROR(__xludf.DUMMYFUNCTION("""COMPUTED_VALUE"""),275000.0)</f>
        <v>275000</v>
      </c>
      <c r="K861" s="46" t="str">
        <f>IFERROR(__xludf.DUMMYFUNCTION("""COMPUTED_VALUE"""),"FU 11 Juni")</f>
        <v>FU 11 Juni</v>
      </c>
      <c r="L861" s="10"/>
      <c r="M861" s="20"/>
      <c r="N861" s="20"/>
      <c r="O861" s="20"/>
      <c r="P861" s="20"/>
    </row>
    <row r="862">
      <c r="A862" s="21">
        <f>IFERROR(__xludf.DUMMYFUNCTION("""COMPUTED_VALUE"""),46183.0)</f>
        <v>46183</v>
      </c>
      <c r="B862" s="21" t="str">
        <f>IFERROR(__xludf.DUMMYFUNCTION("""COMPUTED_VALUE"""),"2606D075")</f>
        <v>2606D075</v>
      </c>
      <c r="C862" s="23" t="str">
        <f>IFERROR(__xludf.DUMMYFUNCTION("""COMPUTED_VALUE"""),"Achmad Rizky")</f>
        <v>Achmad Rizky</v>
      </c>
      <c r="D862" s="24" t="str">
        <f>IFERROR(__xludf.DUMMYFUNCTION("""COMPUTED_VALUE"""),"081181200155")</f>
        <v>081181200155</v>
      </c>
      <c r="E862" s="14" t="str">
        <f>IFERROR(__xludf.DUMMYFUNCTION("""COMPUTED_VALUE"""),"Website")</f>
        <v>Website</v>
      </c>
      <c r="F862" s="14" t="str">
        <f>IFERROR(__xludf.DUMMYFUNCTION("""COMPUTED_VALUE"""),"Leads Baru")</f>
        <v>Leads Baru</v>
      </c>
      <c r="G862" s="14" t="str">
        <f>IFERROR(__xludf.DUMMYFUNCTION("""COMPUTED_VALUE"""),"paket custome")</f>
        <v>paket custome</v>
      </c>
      <c r="H862" s="26">
        <f>IFERROR(__xludf.DUMMYFUNCTION("""COMPUTED_VALUE"""),46244.0)</f>
        <v>46244</v>
      </c>
      <c r="I862" s="27">
        <f>IFERROR(__xludf.DUMMYFUNCTION("""COMPUTED_VALUE"""),50.0)</f>
        <v>50</v>
      </c>
      <c r="J862" s="33"/>
      <c r="K862" s="30" t="str">
        <f>IFERROR(__xludf.DUMMYFUNCTION("""COMPUTED_VALUE"""),"B2B, FU 11 Juli  ")</f>
        <v>B2B, FU 11 Juli  </v>
      </c>
      <c r="L862" s="23"/>
      <c r="M862" s="20"/>
      <c r="N862" s="20"/>
      <c r="O862" s="20"/>
      <c r="P862" s="20"/>
    </row>
    <row r="863">
      <c r="A863" s="11">
        <f>IFERROR(__xludf.DUMMYFUNCTION("""COMPUTED_VALUE"""),46183.0)</f>
        <v>46183</v>
      </c>
      <c r="B863" s="11" t="str">
        <f>IFERROR(__xludf.DUMMYFUNCTION("""COMPUTED_VALUE"""),"2606D076")</f>
        <v>2606D076</v>
      </c>
      <c r="C863" s="10" t="str">
        <f>IFERROR(__xludf.DUMMYFUNCTION("""COMPUTED_VALUE"""),"Fatin DN")</f>
        <v>Fatin DN</v>
      </c>
      <c r="D863" s="13" t="str">
        <f>IFERROR(__xludf.DUMMYFUNCTION("""COMPUTED_VALUE"""),"081392461331")</f>
        <v>081392461331</v>
      </c>
      <c r="E863" s="14" t="str">
        <f>IFERROR(__xludf.DUMMYFUNCTION("""COMPUTED_VALUE"""),"Instagram")</f>
        <v>Instagram</v>
      </c>
      <c r="F863" s="14" t="str">
        <f>IFERROR(__xludf.DUMMYFUNCTION("""COMPUTED_VALUE"""),"Leads Baru")</f>
        <v>Leads Baru</v>
      </c>
      <c r="G863" s="14" t="str">
        <f>IFERROR(__xludf.DUMMYFUNCTION("""COMPUTED_VALUE"""),"2h1m custome")</f>
        <v>2h1m custome</v>
      </c>
      <c r="H863" s="16"/>
      <c r="I863" s="17"/>
      <c r="J863" s="54"/>
      <c r="K863" s="46" t="str">
        <f>IFERROR(__xludf.DUMMYFUNCTION("""COMPUTED_VALUE"""),"belum ada balasan, FU 13 Juni")</f>
        <v>belum ada balasan, FU 13 Juni</v>
      </c>
      <c r="L863" s="10"/>
      <c r="M863" s="20"/>
      <c r="N863" s="20"/>
      <c r="O863" s="20"/>
      <c r="P863" s="20"/>
    </row>
    <row r="864">
      <c r="A864" s="21">
        <f>IFERROR(__xludf.DUMMYFUNCTION("""COMPUTED_VALUE"""),46183.0)</f>
        <v>46183</v>
      </c>
      <c r="B864" s="21" t="str">
        <f>IFERROR(__xludf.DUMMYFUNCTION("""COMPUTED_VALUE"""),"2606D077")</f>
        <v>2606D077</v>
      </c>
      <c r="C864" s="23" t="str">
        <f>IFERROR(__xludf.DUMMYFUNCTION("""COMPUTED_VALUE"""),"Nia")</f>
        <v>Nia</v>
      </c>
      <c r="D864" s="24" t="str">
        <f>IFERROR(__xludf.DUMMYFUNCTION("""COMPUTED_VALUE"""),"082244534042")</f>
        <v>082244534042</v>
      </c>
      <c r="E864" s="14" t="str">
        <f>IFERROR(__xludf.DUMMYFUNCTION("""COMPUTED_VALUE"""),"Instagram")</f>
        <v>Instagram</v>
      </c>
      <c r="F864" s="14" t="str">
        <f>IFERROR(__xludf.DUMMYFUNCTION("""COMPUTED_VALUE"""),"Leads Baru")</f>
        <v>Leads Baru</v>
      </c>
      <c r="G864" s="14" t="str">
        <f>IFERROR(__xludf.DUMMYFUNCTION("""COMPUTED_VALUE"""),"OT 3H2M")</f>
        <v>OT 3H2M</v>
      </c>
      <c r="H864" s="26"/>
      <c r="I864" s="27">
        <f>IFERROR(__xludf.DUMMYFUNCTION("""COMPUTED_VALUE"""),1.0)</f>
        <v>1</v>
      </c>
      <c r="J864" s="33"/>
      <c r="K864" s="30" t="str">
        <f>IFERROR(__xludf.DUMMYFUNCTION("""COMPUTED_VALUE"""),"sendirian, tidak pas tglnya ")</f>
        <v>sendirian, tidak pas tglnya </v>
      </c>
      <c r="L864" s="23"/>
      <c r="M864" s="20"/>
      <c r="N864" s="20"/>
      <c r="O864" s="20"/>
      <c r="P864" s="20"/>
    </row>
    <row r="865">
      <c r="A865" s="11">
        <f>IFERROR(__xludf.DUMMYFUNCTION("""COMPUTED_VALUE"""),46183.0)</f>
        <v>46183</v>
      </c>
      <c r="B865" s="11" t="str">
        <f>IFERROR(__xludf.DUMMYFUNCTION("""COMPUTED_VALUE"""),"2606D078")</f>
        <v>2606D078</v>
      </c>
      <c r="C865" s="10" t="str">
        <f>IFERROR(__xludf.DUMMYFUNCTION("""COMPUTED_VALUE"""),"Tuti")</f>
        <v>Tuti</v>
      </c>
      <c r="D865" s="13" t="str">
        <f>IFERROR(__xludf.DUMMYFUNCTION("""COMPUTED_VALUE"""),"087810005045")</f>
        <v>087810005045</v>
      </c>
      <c r="E865" s="14" t="str">
        <f>IFERROR(__xludf.DUMMYFUNCTION("""COMPUTED_VALUE"""),"Instagram")</f>
        <v>Instagram</v>
      </c>
      <c r="F865" s="14" t="str">
        <f>IFERROR(__xludf.DUMMYFUNCTION("""COMPUTED_VALUE"""),"Leads Baru")</f>
        <v>Leads Baru</v>
      </c>
      <c r="G865" s="14" t="str">
        <f>IFERROR(__xludf.DUMMYFUNCTION("""COMPUTED_VALUE"""),"3h2m opsi A")</f>
        <v>3h2m opsi A</v>
      </c>
      <c r="H865" s="16"/>
      <c r="I865" s="17">
        <f>IFERROR(__xludf.DUMMYFUNCTION("""COMPUTED_VALUE"""),2.0)</f>
        <v>2</v>
      </c>
      <c r="J865" s="54"/>
      <c r="K865" s="46" t="str">
        <f>IFERROR(__xludf.DUMMYFUNCTION("""COMPUTED_VALUE"""),"FU 17 Juni")</f>
        <v>FU 17 Juni</v>
      </c>
      <c r="L865" s="10"/>
      <c r="M865" s="20"/>
      <c r="N865" s="20"/>
      <c r="O865" s="20"/>
      <c r="P865" s="20"/>
    </row>
    <row r="866">
      <c r="A866" s="21">
        <f>IFERROR(__xludf.DUMMYFUNCTION("""COMPUTED_VALUE"""),46183.0)</f>
        <v>46183</v>
      </c>
      <c r="B866" s="21" t="str">
        <f>IFERROR(__xludf.DUMMYFUNCTION("""COMPUTED_VALUE"""),"2606D079")</f>
        <v>2606D079</v>
      </c>
      <c r="C866" s="23" t="str">
        <f>IFERROR(__xludf.DUMMYFUNCTION("""COMPUTED_VALUE"""),"Theresia Mery")</f>
        <v>Theresia Mery</v>
      </c>
      <c r="D866" s="24" t="str">
        <f>IFERROR(__xludf.DUMMYFUNCTION("""COMPUTED_VALUE"""),"081314160309")</f>
        <v>081314160309</v>
      </c>
      <c r="E866" s="14" t="str">
        <f>IFERROR(__xludf.DUMMYFUNCTION("""COMPUTED_VALUE"""),"Instagram")</f>
        <v>Instagram</v>
      </c>
      <c r="F866" s="14" t="str">
        <f>IFERROR(__xludf.DUMMYFUNCTION("""COMPUTED_VALUE"""),"Leads Baru")</f>
        <v>Leads Baru</v>
      </c>
      <c r="G866" s="14" t="str">
        <f>IFERROR(__xludf.DUMMYFUNCTION("""COMPUTED_VALUE"""),"OT 3H2M")</f>
        <v>OT 3H2M</v>
      </c>
      <c r="H866" s="26">
        <f>IFERROR(__xludf.DUMMYFUNCTION("""COMPUTED_VALUE"""),46195.0)</f>
        <v>46195</v>
      </c>
      <c r="I866" s="27">
        <f>IFERROR(__xludf.DUMMYFUNCTION("""COMPUTED_VALUE"""),4.0)</f>
        <v>4</v>
      </c>
      <c r="J866" s="33"/>
      <c r="K866" s="30" t="str">
        <f>IFERROR(__xludf.DUMMYFUNCTION("""COMPUTED_VALUE"""),"FU 13 Juni")</f>
        <v>FU 13 Juni</v>
      </c>
      <c r="L866" s="23"/>
      <c r="M866" s="20"/>
      <c r="N866" s="20"/>
      <c r="O866" s="20"/>
      <c r="P866" s="20"/>
    </row>
    <row r="867">
      <c r="A867" s="11">
        <f>IFERROR(__xludf.DUMMYFUNCTION("""COMPUTED_VALUE"""),46183.0)</f>
        <v>46183</v>
      </c>
      <c r="B867" s="11" t="str">
        <f>IFERROR(__xludf.DUMMYFUNCTION("""COMPUTED_VALUE"""),"2606D080")</f>
        <v>2606D080</v>
      </c>
      <c r="C867" s="10" t="str">
        <f>IFERROR(__xludf.DUMMYFUNCTION("""COMPUTED_VALUE"""),"Widhi Bhaskara")</f>
        <v>Widhi Bhaskara</v>
      </c>
      <c r="D867" s="13" t="str">
        <f>IFERROR(__xludf.DUMMYFUNCTION("""COMPUTED_VALUE"""),"08128008500")</f>
        <v>08128008500</v>
      </c>
      <c r="E867" s="14" t="str">
        <f>IFERROR(__xludf.DUMMYFUNCTION("""COMPUTED_VALUE"""),"Website")</f>
        <v>Website</v>
      </c>
      <c r="F867" s="14" t="str">
        <f>IFERROR(__xludf.DUMMYFUNCTION("""COMPUTED_VALUE"""),"Gagal")</f>
        <v>Gagal</v>
      </c>
      <c r="G867" s="14" t="str">
        <f>IFERROR(__xludf.DUMMYFUNCTION("""COMPUTED_VALUE"""),"3h2m opsi A")</f>
        <v>3h2m opsi A</v>
      </c>
      <c r="H867" s="16">
        <f>IFERROR(__xludf.DUMMYFUNCTION("""COMPUTED_VALUE"""),46187.0)</f>
        <v>46187</v>
      </c>
      <c r="I867" s="17">
        <f>IFERROR(__xludf.DUMMYFUNCTION("""COMPUTED_VALUE"""),2.0)</f>
        <v>2</v>
      </c>
      <c r="J867" s="54"/>
      <c r="K867" s="46" t="str">
        <f>IFERROR(__xludf.DUMMYFUNCTION("""COMPUTED_VALUE"""),"FU 11 Juni")</f>
        <v>FU 11 Juni</v>
      </c>
      <c r="L867" s="10"/>
      <c r="M867" s="20"/>
      <c r="N867" s="20"/>
      <c r="O867" s="20"/>
      <c r="P867" s="20"/>
    </row>
    <row r="868">
      <c r="A868" s="21">
        <f>IFERROR(__xludf.DUMMYFUNCTION("""COMPUTED_VALUE"""),46183.0)</f>
        <v>46183</v>
      </c>
      <c r="B868" s="21" t="str">
        <f>IFERROR(__xludf.DUMMYFUNCTION("""COMPUTED_VALUE"""),"2606D081")</f>
        <v>2606D081</v>
      </c>
      <c r="C868" s="23" t="str">
        <f>IFERROR(__xludf.DUMMYFUNCTION("""COMPUTED_VALUE"""),"Azzah")</f>
        <v>Azzah</v>
      </c>
      <c r="D868" s="24" t="str">
        <f>IFERROR(__xludf.DUMMYFUNCTION("""COMPUTED_VALUE"""),"085775168075")</f>
        <v>085775168075</v>
      </c>
      <c r="E868" s="14" t="str">
        <f>IFERROR(__xludf.DUMMYFUNCTION("""COMPUTED_VALUE"""),"Instagram")</f>
        <v>Instagram</v>
      </c>
      <c r="F868" s="14" t="str">
        <f>IFERROR(__xludf.DUMMYFUNCTION("""COMPUTED_VALUE"""),"Leads Baru")</f>
        <v>Leads Baru</v>
      </c>
      <c r="G868" s="14"/>
      <c r="H868" s="26"/>
      <c r="I868" s="27"/>
      <c r="J868" s="33"/>
      <c r="K868" s="30" t="str">
        <f>IFERROR(__xludf.DUMMYFUNCTION("""COMPUTED_VALUE"""),"belum balas lagi, FU 20 Juni")</f>
        <v>belum balas lagi, FU 20 Juni</v>
      </c>
      <c r="L868" s="23"/>
      <c r="M868" s="20"/>
      <c r="N868" s="20"/>
      <c r="O868" s="20"/>
      <c r="P868" s="20"/>
    </row>
    <row r="869">
      <c r="A869" s="11">
        <f>IFERROR(__xludf.DUMMYFUNCTION("""COMPUTED_VALUE"""),46183.0)</f>
        <v>46183</v>
      </c>
      <c r="B869" s="11" t="str">
        <f>IFERROR(__xludf.DUMMYFUNCTION("""COMPUTED_VALUE"""),"2606D082")</f>
        <v>2606D082</v>
      </c>
      <c r="C869" s="10" t="str">
        <f>IFERROR(__xludf.DUMMYFUNCTION("""COMPUTED_VALUE"""),"Ndaa")</f>
        <v>Ndaa</v>
      </c>
      <c r="D869" s="13" t="str">
        <f>IFERROR(__xludf.DUMMYFUNCTION("""COMPUTED_VALUE"""),"085925081887")</f>
        <v>085925081887</v>
      </c>
      <c r="E869" s="14" t="str">
        <f>IFERROR(__xludf.DUMMYFUNCTION("""COMPUTED_VALUE"""),"Instagram")</f>
        <v>Instagram</v>
      </c>
      <c r="F869" s="14" t="str">
        <f>IFERROR(__xludf.DUMMYFUNCTION("""COMPUTED_VALUE"""),"Gagal")</f>
        <v>Gagal</v>
      </c>
      <c r="G869" s="14" t="str">
        <f>IFERROR(__xludf.DUMMYFUNCTION("""COMPUTED_VALUE"""),"OT MT")</f>
        <v>OT MT</v>
      </c>
      <c r="H869" s="16">
        <f>IFERROR(__xludf.DUMMYFUNCTION("""COMPUTED_VALUE"""),46229.0)</f>
        <v>46229</v>
      </c>
      <c r="I869" s="17">
        <f>IFERROR(__xludf.DUMMYFUNCTION("""COMPUTED_VALUE"""),2.0)</f>
        <v>2</v>
      </c>
      <c r="J869" s="54"/>
      <c r="K869" s="46"/>
      <c r="L869" s="10"/>
      <c r="M869" s="20"/>
      <c r="N869" s="20"/>
      <c r="O869" s="20"/>
      <c r="P869" s="20"/>
    </row>
    <row r="870">
      <c r="A870" s="21">
        <f>IFERROR(__xludf.DUMMYFUNCTION("""COMPUTED_VALUE"""),46183.0)</f>
        <v>46183</v>
      </c>
      <c r="B870" s="21" t="str">
        <f>IFERROR(__xludf.DUMMYFUNCTION("""COMPUTED_VALUE"""),"2606D083")</f>
        <v>2606D083</v>
      </c>
      <c r="C870" s="23" t="str">
        <f>IFERROR(__xludf.DUMMYFUNCTION("""COMPUTED_VALUE"""),"Nuzla Ramadhani")</f>
        <v>Nuzla Ramadhani</v>
      </c>
      <c r="D870" s="24" t="str">
        <f>IFERROR(__xludf.DUMMYFUNCTION("""COMPUTED_VALUE"""),"089686703829")</f>
        <v>089686703829</v>
      </c>
      <c r="E870" s="14" t="str">
        <f>IFERROR(__xludf.DUMMYFUNCTION("""COMPUTED_VALUE"""),"Instagram")</f>
        <v>Instagram</v>
      </c>
      <c r="F870" s="14" t="str">
        <f>IFERROR(__xludf.DUMMYFUNCTION("""COMPUTED_VALUE"""),"Leads Baru")</f>
        <v>Leads Baru</v>
      </c>
      <c r="G870" s="14" t="str">
        <f>IFERROR(__xludf.DUMMYFUNCTION("""COMPUTED_VALUE"""),"OT MT")</f>
        <v>OT MT</v>
      </c>
      <c r="H870" s="26"/>
      <c r="I870" s="27"/>
      <c r="J870" s="33"/>
      <c r="K870" s="30" t="str">
        <f>IFERROR(__xludf.DUMMYFUNCTION("""COMPUTED_VALUE"""),"FU 12 Juni")</f>
        <v>FU 12 Juni</v>
      </c>
      <c r="L870" s="23"/>
      <c r="M870" s="20"/>
      <c r="N870" s="20"/>
      <c r="O870" s="20"/>
      <c r="P870" s="20"/>
    </row>
    <row r="871">
      <c r="A871" s="11">
        <f>IFERROR(__xludf.DUMMYFUNCTION("""COMPUTED_VALUE"""),46184.0)</f>
        <v>46184</v>
      </c>
      <c r="B871" s="11" t="str">
        <f>IFERROR(__xludf.DUMMYFUNCTION("""COMPUTED_VALUE"""),"2606D084")</f>
        <v>2606D084</v>
      </c>
      <c r="C871" s="10" t="str">
        <f>IFERROR(__xludf.DUMMYFUNCTION("""COMPUTED_VALUE"""),"Selsia")</f>
        <v>Selsia</v>
      </c>
      <c r="D871" s="13" t="str">
        <f>IFERROR(__xludf.DUMMYFUNCTION("""COMPUTED_VALUE"""),"081330587777")</f>
        <v>081330587777</v>
      </c>
      <c r="E871" s="14" t="str">
        <f>IFERROR(__xludf.DUMMYFUNCTION("""COMPUTED_VALUE"""),"Website")</f>
        <v>Website</v>
      </c>
      <c r="F871" s="14" t="str">
        <f>IFERROR(__xludf.DUMMYFUNCTION("""COMPUTED_VALUE"""),"Leads Baru")</f>
        <v>Leads Baru</v>
      </c>
      <c r="G871" s="14" t="str">
        <f>IFERROR(__xludf.DUMMYFUNCTION("""COMPUTED_VALUE"""),"OT MT")</f>
        <v>OT MT</v>
      </c>
      <c r="H871" s="16">
        <f>IFERROR(__xludf.DUMMYFUNCTION("""COMPUTED_VALUE"""),46191.0)</f>
        <v>46191</v>
      </c>
      <c r="I871" s="17">
        <f>IFERROR(__xludf.DUMMYFUNCTION("""COMPUTED_VALUE"""),5.0)</f>
        <v>5</v>
      </c>
      <c r="J871" s="54"/>
      <c r="K871" s="46"/>
      <c r="L871" s="10"/>
      <c r="M871" s="20"/>
      <c r="N871" s="20"/>
      <c r="O871" s="20"/>
      <c r="P871" s="20"/>
    </row>
    <row r="872">
      <c r="A872" s="21">
        <f>IFERROR(__xludf.DUMMYFUNCTION("""COMPUTED_VALUE"""),46184.0)</f>
        <v>46184</v>
      </c>
      <c r="B872" s="21" t="str">
        <f>IFERROR(__xludf.DUMMYFUNCTION("""COMPUTED_VALUE"""),"2606D085")</f>
        <v>2606D085</v>
      </c>
      <c r="C872" s="23" t="str">
        <f>IFERROR(__xludf.DUMMYFUNCTION("""COMPUTED_VALUE"""),"Binti888")</f>
        <v>Binti888</v>
      </c>
      <c r="D872" s="24" t="str">
        <f>IFERROR(__xludf.DUMMYFUNCTION("""COMPUTED_VALUE"""),"0859106908827")</f>
        <v>0859106908827</v>
      </c>
      <c r="E872" s="14" t="str">
        <f>IFERROR(__xludf.DUMMYFUNCTION("""COMPUTED_VALUE"""),"Instagram")</f>
        <v>Instagram</v>
      </c>
      <c r="F872" s="14" t="str">
        <f>IFERROR(__xludf.DUMMYFUNCTION("""COMPUTED_VALUE"""),"Leads Baru")</f>
        <v>Leads Baru</v>
      </c>
      <c r="G872" s="14" t="str">
        <f>IFERROR(__xludf.DUMMYFUNCTION("""COMPUTED_VALUE"""),"OT MT")</f>
        <v>OT MT</v>
      </c>
      <c r="H872" s="26"/>
      <c r="I872" s="27"/>
      <c r="J872" s="33"/>
      <c r="K872" s="30" t="str">
        <f>IFERROR(__xludf.DUMMYFUNCTION("""COMPUTED_VALUE"""),"tanya penjemputan dari sby")</f>
        <v>tanya penjemputan dari sby</v>
      </c>
      <c r="L872" s="23"/>
      <c r="M872" s="20"/>
      <c r="N872" s="20"/>
      <c r="O872" s="20"/>
      <c r="P872" s="20"/>
    </row>
    <row r="873">
      <c r="A873" s="11">
        <f>IFERROR(__xludf.DUMMYFUNCTION("""COMPUTED_VALUE"""),46184.0)</f>
        <v>46184</v>
      </c>
      <c r="B873" s="11" t="str">
        <f>IFERROR(__xludf.DUMMYFUNCTION("""COMPUTED_VALUE"""),"2606D086")</f>
        <v>2606D086</v>
      </c>
      <c r="C873" s="10" t="str">
        <f>IFERROR(__xludf.DUMMYFUNCTION("""COMPUTED_VALUE"""),"Soon")</f>
        <v>Soon</v>
      </c>
      <c r="D873" s="13" t="str">
        <f>IFERROR(__xludf.DUMMYFUNCTION("""COMPUTED_VALUE"""),"085713491813")</f>
        <v>085713491813</v>
      </c>
      <c r="E873" s="14" t="str">
        <f>IFERROR(__xludf.DUMMYFUNCTION("""COMPUTED_VALUE"""),"Instagram")</f>
        <v>Instagram</v>
      </c>
      <c r="F873" s="14" t="str">
        <f>IFERROR(__xludf.DUMMYFUNCTION("""COMPUTED_VALUE"""),"Gagal")</f>
        <v>Gagal</v>
      </c>
      <c r="G873" s="14" t="str">
        <f>IFERROR(__xludf.DUMMYFUNCTION("""COMPUTED_VALUE"""),"OT Djabal, MT")</f>
        <v>OT Djabal, MT</v>
      </c>
      <c r="H873" s="16">
        <f>IFERROR(__xludf.DUMMYFUNCTION("""COMPUTED_VALUE"""),46187.0)</f>
        <v>46187</v>
      </c>
      <c r="I873" s="17">
        <f>IFERROR(__xludf.DUMMYFUNCTION("""COMPUTED_VALUE"""),2.0)</f>
        <v>2</v>
      </c>
      <c r="J873" s="54"/>
      <c r="K873" s="46"/>
      <c r="L873" s="10"/>
      <c r="M873" s="20"/>
      <c r="N873" s="20"/>
      <c r="O873" s="20"/>
      <c r="P873" s="20"/>
    </row>
    <row r="874">
      <c r="A874" s="21">
        <f>IFERROR(__xludf.DUMMYFUNCTION("""COMPUTED_VALUE"""),46184.0)</f>
        <v>46184</v>
      </c>
      <c r="B874" s="21" t="str">
        <f>IFERROR(__xludf.DUMMYFUNCTION("""COMPUTED_VALUE"""),"2606D087")</f>
        <v>2606D087</v>
      </c>
      <c r="C874" s="23" t="str">
        <f>IFERROR(__xludf.DUMMYFUNCTION("""COMPUTED_VALUE"""),"Sazali")</f>
        <v>Sazali</v>
      </c>
      <c r="D874" s="24" t="str">
        <f>IFERROR(__xludf.DUMMYFUNCTION("""COMPUTED_VALUE"""),"081266359190")</f>
        <v>081266359190</v>
      </c>
      <c r="E874" s="14" t="str">
        <f>IFERROR(__xludf.DUMMYFUNCTION("""COMPUTED_VALUE"""),"Website")</f>
        <v>Website</v>
      </c>
      <c r="F874" s="14" t="str">
        <f>IFERROR(__xludf.DUMMYFUNCTION("""COMPUTED_VALUE"""),"Leads Baru")</f>
        <v>Leads Baru</v>
      </c>
      <c r="G874" s="14" t="str">
        <f>IFERROR(__xludf.DUMMYFUNCTION("""COMPUTED_VALUE"""),"4h3m custome")</f>
        <v>4h3m custome</v>
      </c>
      <c r="H874" s="26">
        <f>IFERROR(__xludf.DUMMYFUNCTION("""COMPUTED_VALUE"""),46195.0)</f>
        <v>46195</v>
      </c>
      <c r="I874" s="27">
        <f>IFERROR(__xludf.DUMMYFUNCTION("""COMPUTED_VALUE"""),3.0)</f>
        <v>3</v>
      </c>
      <c r="J874" s="33"/>
      <c r="K874" s="30" t="str">
        <f>IFERROR(__xludf.DUMMYFUNCTION("""COMPUTED_VALUE"""),"FU 17 Juni")</f>
        <v>FU 17 Juni</v>
      </c>
      <c r="L874" s="23"/>
      <c r="M874" s="20"/>
      <c r="N874" s="20"/>
      <c r="O874" s="20"/>
      <c r="P874" s="20"/>
    </row>
    <row r="875">
      <c r="A875" s="11">
        <f>IFERROR(__xludf.DUMMYFUNCTION("""COMPUTED_VALUE"""),46184.0)</f>
        <v>46184</v>
      </c>
      <c r="B875" s="11" t="str">
        <f>IFERROR(__xludf.DUMMYFUNCTION("""COMPUTED_VALUE"""),"2606D088")</f>
        <v>2606D088</v>
      </c>
      <c r="C875" s="10" t="str">
        <f>IFERROR(__xludf.DUMMYFUNCTION("""COMPUTED_VALUE"""),"Karmila")</f>
        <v>Karmila</v>
      </c>
      <c r="D875" s="13" t="str">
        <f>IFERROR(__xludf.DUMMYFUNCTION("""COMPUTED_VALUE"""),"085695892130")</f>
        <v>085695892130</v>
      </c>
      <c r="E875" s="14" t="str">
        <f>IFERROR(__xludf.DUMMYFUNCTION("""COMPUTED_VALUE"""),"Instagram")</f>
        <v>Instagram</v>
      </c>
      <c r="F875" s="14" t="str">
        <f>IFERROR(__xludf.DUMMYFUNCTION("""COMPUTED_VALUE"""),"Closing")</f>
        <v>Closing</v>
      </c>
      <c r="G875" s="14" t="str">
        <f>IFERROR(__xludf.DUMMYFUNCTION("""COMPUTED_VALUE"""),"OT MT")</f>
        <v>OT MT</v>
      </c>
      <c r="H875" s="16">
        <f>IFERROR(__xludf.DUMMYFUNCTION("""COMPUTED_VALUE"""),46191.0)</f>
        <v>46191</v>
      </c>
      <c r="I875" s="17">
        <f>IFERROR(__xludf.DUMMYFUNCTION("""COMPUTED_VALUE"""),2.0)</f>
        <v>2</v>
      </c>
      <c r="J875" s="54">
        <f>IFERROR(__xludf.DUMMYFUNCTION("""COMPUTED_VALUE"""),550000.0)</f>
        <v>550000</v>
      </c>
      <c r="K875" s="46" t="str">
        <f>IFERROR(__xludf.DUMMYFUNCTION("""COMPUTED_VALUE"""),"orrderrrr")</f>
        <v>orrderrrr</v>
      </c>
      <c r="L875" s="10"/>
      <c r="M875" s="20"/>
      <c r="N875" s="20"/>
      <c r="O875" s="20"/>
      <c r="P875" s="20"/>
    </row>
    <row r="876">
      <c r="A876" s="21">
        <f>IFERROR(__xludf.DUMMYFUNCTION("""COMPUTED_VALUE"""),46184.0)</f>
        <v>46184</v>
      </c>
      <c r="B876" s="21" t="str">
        <f>IFERROR(__xludf.DUMMYFUNCTION("""COMPUTED_VALUE"""),"2606D089")</f>
        <v>2606D089</v>
      </c>
      <c r="C876" s="23" t="str">
        <f>IFERROR(__xludf.DUMMYFUNCTION("""COMPUTED_VALUE"""),"Ade Sutiana DSLNG")</f>
        <v>Ade Sutiana DSLNG</v>
      </c>
      <c r="D876" s="24" t="str">
        <f>IFERROR(__xludf.DUMMYFUNCTION("""COMPUTED_VALUE"""),"081287449580")</f>
        <v>081287449580</v>
      </c>
      <c r="E876" s="14" t="str">
        <f>IFERROR(__xludf.DUMMYFUNCTION("""COMPUTED_VALUE"""),"Rekomendasi")</f>
        <v>Rekomendasi</v>
      </c>
      <c r="F876" s="14" t="str">
        <f>IFERROR(__xludf.DUMMYFUNCTION("""COMPUTED_VALUE"""),"Leads Baru")</f>
        <v>Leads Baru</v>
      </c>
      <c r="G876" s="14"/>
      <c r="H876" s="26"/>
      <c r="I876" s="27"/>
      <c r="J876" s="33"/>
      <c r="K876" s="30"/>
      <c r="L876" s="23"/>
      <c r="M876" s="20"/>
      <c r="N876" s="20"/>
      <c r="O876" s="20"/>
      <c r="P876" s="20"/>
    </row>
    <row r="877">
      <c r="A877" s="11">
        <f>IFERROR(__xludf.DUMMYFUNCTION("""COMPUTED_VALUE"""),46184.0)</f>
        <v>46184</v>
      </c>
      <c r="B877" s="11" t="str">
        <f>IFERROR(__xludf.DUMMYFUNCTION("""COMPUTED_VALUE"""),"2606D090")</f>
        <v>2606D090</v>
      </c>
      <c r="C877" s="10" t="str">
        <f>IFERROR(__xludf.DUMMYFUNCTION("""COMPUTED_VALUE"""),"Devinia Angela")</f>
        <v>Devinia Angela</v>
      </c>
      <c r="D877" s="13" t="str">
        <f>IFERROR(__xludf.DUMMYFUNCTION("""COMPUTED_VALUE"""),"081347932039")</f>
        <v>081347932039</v>
      </c>
      <c r="E877" s="14" t="str">
        <f>IFERROR(__xludf.DUMMYFUNCTION("""COMPUTED_VALUE"""),"Instagram")</f>
        <v>Instagram</v>
      </c>
      <c r="F877" s="14" t="str">
        <f>IFERROR(__xludf.DUMMYFUNCTION("""COMPUTED_VALUE"""),"Leads Baru")</f>
        <v>Leads Baru</v>
      </c>
      <c r="G877" s="14" t="str">
        <f>IFERROR(__xludf.DUMMYFUNCTION("""COMPUTED_VALUE"""),"OT Djabal, MT, GI")</f>
        <v>OT Djabal, MT, GI</v>
      </c>
      <c r="H877" s="16"/>
      <c r="I877" s="17">
        <f>IFERROR(__xludf.DUMMYFUNCTION("""COMPUTED_VALUE"""),2.0)</f>
        <v>2</v>
      </c>
      <c r="J877" s="54"/>
      <c r="K877" s="46"/>
      <c r="L877" s="10"/>
      <c r="M877" s="20"/>
      <c r="N877" s="20"/>
      <c r="O877" s="20"/>
      <c r="P877" s="20"/>
    </row>
    <row r="878">
      <c r="A878" s="21">
        <f>IFERROR(__xludf.DUMMYFUNCTION("""COMPUTED_VALUE"""),46184.0)</f>
        <v>46184</v>
      </c>
      <c r="B878" s="21" t="str">
        <f>IFERROR(__xludf.DUMMYFUNCTION("""COMPUTED_VALUE"""),"2606D091")</f>
        <v>2606D091</v>
      </c>
      <c r="C878" s="23" t="str">
        <f>IFERROR(__xludf.DUMMYFUNCTION("""COMPUTED_VALUE"""),"Carrensca Wahyudi")</f>
        <v>Carrensca Wahyudi</v>
      </c>
      <c r="D878" s="24" t="str">
        <f>IFERROR(__xludf.DUMMYFUNCTION("""COMPUTED_VALUE"""),"085715343590")</f>
        <v>085715343590</v>
      </c>
      <c r="E878" s="14" t="str">
        <f>IFERROR(__xludf.DUMMYFUNCTION("""COMPUTED_VALUE"""),"Instagram")</f>
        <v>Instagram</v>
      </c>
      <c r="F878" s="14" t="str">
        <f>IFERROR(__xludf.DUMMYFUNCTION("""COMPUTED_VALUE"""),"Leads Baru")</f>
        <v>Leads Baru</v>
      </c>
      <c r="G878" s="14" t="str">
        <f>IFERROR(__xludf.DUMMYFUNCTION("""COMPUTED_VALUE"""),"2h1m opsi B")</f>
        <v>2h1m opsi B</v>
      </c>
      <c r="H878" s="26"/>
      <c r="I878" s="27">
        <f>IFERROR(__xludf.DUMMYFUNCTION("""COMPUTED_VALUE"""),46083.0)</f>
        <v>46083</v>
      </c>
      <c r="J878" s="33"/>
      <c r="K878" s="30"/>
      <c r="L878" s="23"/>
      <c r="M878" s="20"/>
      <c r="N878" s="20"/>
      <c r="O878" s="20"/>
      <c r="P878" s="20"/>
    </row>
    <row r="879">
      <c r="A879" s="11">
        <f>IFERROR(__xludf.DUMMYFUNCTION("""COMPUTED_VALUE"""),46184.0)</f>
        <v>46184</v>
      </c>
      <c r="B879" s="11" t="str">
        <f>IFERROR(__xludf.DUMMYFUNCTION("""COMPUTED_VALUE"""),"2606D092")</f>
        <v>2606D092</v>
      </c>
      <c r="C879" s="10" t="str">
        <f>IFERROR(__xludf.DUMMYFUNCTION("""COMPUTED_VALUE"""),"An")</f>
        <v>An</v>
      </c>
      <c r="D879" s="13" t="str">
        <f>IFERROR(__xludf.DUMMYFUNCTION("""COMPUTED_VALUE"""),"085886299576")</f>
        <v>085886299576</v>
      </c>
      <c r="E879" s="14" t="str">
        <f>IFERROR(__xludf.DUMMYFUNCTION("""COMPUTED_VALUE"""),"Website")</f>
        <v>Website</v>
      </c>
      <c r="F879" s="14" t="str">
        <f>IFERROR(__xludf.DUMMYFUNCTION("""COMPUTED_VALUE"""),"Leads Baru")</f>
        <v>Leads Baru</v>
      </c>
      <c r="G879" s="14"/>
      <c r="H879" s="16"/>
      <c r="I879" s="17"/>
      <c r="J879" s="54"/>
      <c r="K879" s="46" t="str">
        <f>IFERROR(__xludf.DUMMYFUNCTION("""COMPUTED_VALUE"""),"baru menyapa")</f>
        <v>baru menyapa</v>
      </c>
      <c r="L879" s="10"/>
      <c r="M879" s="20"/>
      <c r="N879" s="20"/>
      <c r="O879" s="20"/>
      <c r="P879" s="20"/>
    </row>
    <row r="880">
      <c r="A880" s="21">
        <f>IFERROR(__xludf.DUMMYFUNCTION("""COMPUTED_VALUE"""),46184.0)</f>
        <v>46184</v>
      </c>
      <c r="B880" s="21" t="str">
        <f>IFERROR(__xludf.DUMMYFUNCTION("""COMPUTED_VALUE"""),"2606D093")</f>
        <v>2606D093</v>
      </c>
      <c r="C880" s="23" t="str">
        <f>IFERROR(__xludf.DUMMYFUNCTION("""COMPUTED_VALUE"""),"Lidya Vera")</f>
        <v>Lidya Vera</v>
      </c>
      <c r="D880" s="24" t="str">
        <f>IFERROR(__xludf.DUMMYFUNCTION("""COMPUTED_VALUE"""),"089633369059")</f>
        <v>089633369059</v>
      </c>
      <c r="E880" s="14" t="str">
        <f>IFERROR(__xludf.DUMMYFUNCTION("""COMPUTED_VALUE"""),"Instagram")</f>
        <v>Instagram</v>
      </c>
      <c r="F880" s="14" t="str">
        <f>IFERROR(__xludf.DUMMYFUNCTION("""COMPUTED_VALUE"""),"Leads Baru")</f>
        <v>Leads Baru</v>
      </c>
      <c r="G880" s="14"/>
      <c r="H880" s="26"/>
      <c r="I880" s="27"/>
      <c r="J880" s="33"/>
      <c r="K880" s="30" t="str">
        <f>IFERROR(__xludf.DUMMYFUNCTION("""COMPUTED_VALUE"""),"tanya beda 3h2m opsi a&amp;b")</f>
        <v>tanya beda 3h2m opsi a&amp;b</v>
      </c>
      <c r="L880" s="23"/>
      <c r="M880" s="20"/>
      <c r="N880" s="20"/>
      <c r="O880" s="20"/>
      <c r="P880" s="20"/>
    </row>
    <row r="881">
      <c r="A881" s="11">
        <f>IFERROR(__xludf.DUMMYFUNCTION("""COMPUTED_VALUE"""),46184.0)</f>
        <v>46184</v>
      </c>
      <c r="B881" s="11" t="str">
        <f>IFERROR(__xludf.DUMMYFUNCTION("""COMPUTED_VALUE"""),"2606D094")</f>
        <v>2606D094</v>
      </c>
      <c r="C881" s="10" t="str">
        <f>IFERROR(__xludf.DUMMYFUNCTION("""COMPUTED_VALUE"""),"Agung")</f>
        <v>Agung</v>
      </c>
      <c r="D881" s="13" t="str">
        <f>IFERROR(__xludf.DUMMYFUNCTION("""COMPUTED_VALUE"""),"081274299557")</f>
        <v>081274299557</v>
      </c>
      <c r="E881" s="14" t="str">
        <f>IFERROR(__xludf.DUMMYFUNCTION("""COMPUTED_VALUE"""),"Instagram")</f>
        <v>Instagram</v>
      </c>
      <c r="F881" s="14" t="str">
        <f>IFERROR(__xludf.DUMMYFUNCTION("""COMPUTED_VALUE"""),"Gagal")</f>
        <v>Gagal</v>
      </c>
      <c r="G881" s="14"/>
      <c r="H881" s="16"/>
      <c r="I881" s="17"/>
      <c r="J881" s="54"/>
      <c r="K881" s="46" t="str">
        <f>IFERROR(__xludf.DUMMYFUNCTION("""COMPUTED_VALUE"""),"mau transport aja ke Ijen")</f>
        <v>mau transport aja ke Ijen</v>
      </c>
      <c r="L881" s="10"/>
      <c r="M881" s="20"/>
      <c r="N881" s="20"/>
      <c r="O881" s="20"/>
      <c r="P881" s="20"/>
    </row>
    <row r="882">
      <c r="A882" s="21">
        <f>IFERROR(__xludf.DUMMYFUNCTION("""COMPUTED_VALUE"""),46185.0)</f>
        <v>46185</v>
      </c>
      <c r="B882" s="21" t="str">
        <f>IFERROR(__xludf.DUMMYFUNCTION("""COMPUTED_VALUE"""),"2606D095")</f>
        <v>2606D095</v>
      </c>
      <c r="C882" s="23" t="str">
        <f>IFERROR(__xludf.DUMMYFUNCTION("""COMPUTED_VALUE"""),"Nur Khamid")</f>
        <v>Nur Khamid</v>
      </c>
      <c r="D882" s="24" t="str">
        <f>IFERROR(__xludf.DUMMYFUNCTION("""COMPUTED_VALUE"""),"085236225100")</f>
        <v>085236225100</v>
      </c>
      <c r="E882" s="14" t="str">
        <f>IFERROR(__xludf.DUMMYFUNCTION("""COMPUTED_VALUE"""),"Tiktok")</f>
        <v>Tiktok</v>
      </c>
      <c r="F882" s="14" t="str">
        <f>IFERROR(__xludf.DUMMYFUNCTION("""COMPUTED_VALUE"""),"Leads Baru")</f>
        <v>Leads Baru</v>
      </c>
      <c r="G882" s="14" t="str">
        <f>IFERROR(__xludf.DUMMYFUNCTION("""COMPUTED_VALUE"""),"4h3m")</f>
        <v>4h3m</v>
      </c>
      <c r="H882" s="26"/>
      <c r="I882" s="27">
        <f>IFERROR(__xludf.DUMMYFUNCTION("""COMPUTED_VALUE"""),2.0)</f>
        <v>2</v>
      </c>
      <c r="J882" s="33"/>
      <c r="K882" s="30" t="str">
        <f>IFERROR(__xludf.DUMMYFUNCTION("""COMPUTED_VALUE"""),"FU 16 Juni")</f>
        <v>FU 16 Juni</v>
      </c>
      <c r="L882" s="23"/>
      <c r="M882" s="20"/>
      <c r="N882" s="20"/>
      <c r="O882" s="20"/>
      <c r="P882" s="20"/>
    </row>
    <row r="883">
      <c r="A883" s="11">
        <f>IFERROR(__xludf.DUMMYFUNCTION("""COMPUTED_VALUE"""),46185.0)</f>
        <v>46185</v>
      </c>
      <c r="B883" s="11" t="str">
        <f>IFERROR(__xludf.DUMMYFUNCTION("""COMPUTED_VALUE"""),"2606D096")</f>
        <v>2606D096</v>
      </c>
      <c r="C883" s="10" t="str">
        <f>IFERROR(__xludf.DUMMYFUNCTION("""COMPUTED_VALUE"""),"Esti Natsir")</f>
        <v>Esti Natsir</v>
      </c>
      <c r="D883" s="13" t="str">
        <f>IFERROR(__xludf.DUMMYFUNCTION("""COMPUTED_VALUE"""),"081514181976")</f>
        <v>081514181976</v>
      </c>
      <c r="E883" s="14" t="str">
        <f>IFERROR(__xludf.DUMMYFUNCTION("""COMPUTED_VALUE"""),"Instagram")</f>
        <v>Instagram</v>
      </c>
      <c r="F883" s="14" t="str">
        <f>IFERROR(__xludf.DUMMYFUNCTION("""COMPUTED_VALUE"""),"Gagal")</f>
        <v>Gagal</v>
      </c>
      <c r="G883" s="14" t="str">
        <f>IFERROR(__xludf.DUMMYFUNCTION("""COMPUTED_VALUE"""),"trip Ijen")</f>
        <v>trip Ijen</v>
      </c>
      <c r="H883" s="16">
        <f>IFERROR(__xludf.DUMMYFUNCTION("""COMPUTED_VALUE"""),46186.0)</f>
        <v>46186</v>
      </c>
      <c r="I883" s="17">
        <f>IFERROR(__xludf.DUMMYFUNCTION("""COMPUTED_VALUE"""),2.0)</f>
        <v>2</v>
      </c>
      <c r="J883" s="54"/>
      <c r="K883" s="46" t="str">
        <f>IFERROR(__xludf.DUMMYFUNCTION("""COMPUTED_VALUE"""),"gajadiiii")</f>
        <v>gajadiiii</v>
      </c>
      <c r="L883" s="10"/>
      <c r="M883" s="20"/>
      <c r="N883" s="20"/>
      <c r="O883" s="20"/>
      <c r="P883" s="20"/>
    </row>
    <row r="884">
      <c r="A884" s="21">
        <f>IFERROR(__xludf.DUMMYFUNCTION("""COMPUTED_VALUE"""),46185.0)</f>
        <v>46185</v>
      </c>
      <c r="B884" s="21" t="str">
        <f>IFERROR(__xludf.DUMMYFUNCTION("""COMPUTED_VALUE"""),"2606D097")</f>
        <v>2606D097</v>
      </c>
      <c r="C884" s="23" t="str">
        <f>IFERROR(__xludf.DUMMYFUNCTION("""COMPUTED_VALUE"""),"Stefanus")</f>
        <v>Stefanus</v>
      </c>
      <c r="D884" s="24" t="str">
        <f>IFERROR(__xludf.DUMMYFUNCTION("""COMPUTED_VALUE"""),"081353359495")</f>
        <v>081353359495</v>
      </c>
      <c r="E884" s="14" t="str">
        <f>IFERROR(__xludf.DUMMYFUNCTION("""COMPUTED_VALUE"""),"Website")</f>
        <v>Website</v>
      </c>
      <c r="F884" s="14" t="str">
        <f>IFERROR(__xludf.DUMMYFUNCTION("""COMPUTED_VALUE"""),"Closing")</f>
        <v>Closing</v>
      </c>
      <c r="G884" s="14" t="str">
        <f>IFERROR(__xludf.DUMMYFUNCTION("""COMPUTED_VALUE"""),"1 day teluk ijo")</f>
        <v>1 day teluk ijo</v>
      </c>
      <c r="H884" s="26">
        <f>IFERROR(__xludf.DUMMYFUNCTION("""COMPUTED_VALUE"""),46259.0)</f>
        <v>46259</v>
      </c>
      <c r="I884" s="27">
        <f>IFERROR(__xludf.DUMMYFUNCTION("""COMPUTED_VALUE"""),7.0)</f>
        <v>7</v>
      </c>
      <c r="J884" s="33">
        <f>IFERROR(__xludf.DUMMYFUNCTION("""COMPUTED_VALUE"""),3262000.0)</f>
        <v>3262000</v>
      </c>
      <c r="K884" s="30" t="str">
        <f>IFERROR(__xludf.DUMMYFUNCTION("""COMPUTED_VALUE"""),"Orrdderrrr")</f>
        <v>Orrdderrrr</v>
      </c>
      <c r="L884" s="23"/>
      <c r="M884" s="20"/>
      <c r="N884" s="20"/>
      <c r="O884" s="20"/>
      <c r="P884" s="20"/>
    </row>
    <row r="885">
      <c r="A885" s="11">
        <f>IFERROR(__xludf.DUMMYFUNCTION("""COMPUTED_VALUE"""),46185.0)</f>
        <v>46185</v>
      </c>
      <c r="B885" s="11" t="str">
        <f>IFERROR(__xludf.DUMMYFUNCTION("""COMPUTED_VALUE"""),"2606D098")</f>
        <v>2606D098</v>
      </c>
      <c r="C885" s="10" t="str">
        <f>IFERROR(__xludf.DUMMYFUNCTION("""COMPUTED_VALUE"""),"Wiguna")</f>
        <v>Wiguna</v>
      </c>
      <c r="D885" s="13" t="str">
        <f>IFERROR(__xludf.DUMMYFUNCTION("""COMPUTED_VALUE"""),"08112292225")</f>
        <v>08112292225</v>
      </c>
      <c r="E885" s="14" t="str">
        <f>IFERROR(__xludf.DUMMYFUNCTION("""COMPUTED_VALUE"""),"Instagram")</f>
        <v>Instagram</v>
      </c>
      <c r="F885" s="14" t="str">
        <f>IFERROR(__xludf.DUMMYFUNCTION("""COMPUTED_VALUE"""),"Closing")</f>
        <v>Closing</v>
      </c>
      <c r="G885" s="14" t="str">
        <f>IFERROR(__xludf.DUMMYFUNCTION("""COMPUTED_VALUE"""),"OT MT")</f>
        <v>OT MT</v>
      </c>
      <c r="H885" s="16">
        <f>IFERROR(__xludf.DUMMYFUNCTION("""COMPUTED_VALUE"""),46186.0)</f>
        <v>46186</v>
      </c>
      <c r="I885" s="17">
        <f>IFERROR(__xludf.DUMMYFUNCTION("""COMPUTED_VALUE"""),5.0)</f>
        <v>5</v>
      </c>
      <c r="J885" s="54">
        <f>IFERROR(__xludf.DUMMYFUNCTION("""COMPUTED_VALUE"""),1375000.0)</f>
        <v>1375000</v>
      </c>
      <c r="K885" s="46" t="str">
        <f>IFERROR(__xludf.DUMMYFUNCTION("""COMPUTED_VALUE"""),"orrdeerrrr")</f>
        <v>orrdeerrrr</v>
      </c>
      <c r="L885" s="10"/>
      <c r="M885" s="20"/>
      <c r="N885" s="20"/>
      <c r="O885" s="20"/>
      <c r="P885" s="20"/>
    </row>
    <row r="886">
      <c r="A886" s="21">
        <f>IFERROR(__xludf.DUMMYFUNCTION("""COMPUTED_VALUE"""),46185.0)</f>
        <v>46185</v>
      </c>
      <c r="B886" s="21" t="str">
        <f>IFERROR(__xludf.DUMMYFUNCTION("""COMPUTED_VALUE"""),"2606D099")</f>
        <v>2606D099</v>
      </c>
      <c r="C886" s="23" t="str">
        <f>IFERROR(__xludf.DUMMYFUNCTION("""COMPUTED_VALUE"""),"Tri Bagus ")</f>
        <v>Tri Bagus </v>
      </c>
      <c r="D886" s="24" t="str">
        <f>IFERROR(__xludf.DUMMYFUNCTION("""COMPUTED_VALUE"""),"085211132129")</f>
        <v>085211132129</v>
      </c>
      <c r="E886" s="14" t="str">
        <f>IFERROR(__xludf.DUMMYFUNCTION("""COMPUTED_VALUE"""),"Instagram")</f>
        <v>Instagram</v>
      </c>
      <c r="F886" s="14" t="str">
        <f>IFERROR(__xludf.DUMMYFUNCTION("""COMPUTED_VALUE"""),"Closing")</f>
        <v>Closing</v>
      </c>
      <c r="G886" s="14" t="str">
        <f>IFERROR(__xludf.DUMMYFUNCTION("""COMPUTED_VALUE"""),"OT Ijen")</f>
        <v>OT Ijen</v>
      </c>
      <c r="H886" s="26">
        <f>IFERROR(__xludf.DUMMYFUNCTION("""COMPUTED_VALUE"""),46186.0)</f>
        <v>46186</v>
      </c>
      <c r="I886" s="27">
        <f>IFERROR(__xludf.DUMMYFUNCTION("""COMPUTED_VALUE"""),2.0)</f>
        <v>2</v>
      </c>
      <c r="J886" s="33">
        <f>IFERROR(__xludf.DUMMYFUNCTION("""COMPUTED_VALUE"""),500000.0)</f>
        <v>500000</v>
      </c>
      <c r="K886" s="30" t="str">
        <f>IFERROR(__xludf.DUMMYFUNCTION("""COMPUTED_VALUE"""),"orrdeerrrr")</f>
        <v>orrdeerrrr</v>
      </c>
      <c r="L886" s="23"/>
      <c r="M886" s="20"/>
      <c r="N886" s="20"/>
      <c r="O886" s="20"/>
      <c r="P886" s="20"/>
    </row>
    <row r="887">
      <c r="A887" s="11">
        <f>IFERROR(__xludf.DUMMYFUNCTION("""COMPUTED_VALUE"""),46185.0)</f>
        <v>46185</v>
      </c>
      <c r="B887" s="11" t="str">
        <f>IFERROR(__xludf.DUMMYFUNCTION("""COMPUTED_VALUE"""),"2606D100")</f>
        <v>2606D100</v>
      </c>
      <c r="C887" s="10" t="str">
        <f>IFERROR(__xludf.DUMMYFUNCTION("""COMPUTED_VALUE"""),"Natsir")</f>
        <v>Natsir</v>
      </c>
      <c r="D887" s="13" t="str">
        <f>IFERROR(__xludf.DUMMYFUNCTION("""COMPUTED_VALUE"""),"081519720008")</f>
        <v>081519720008</v>
      </c>
      <c r="E887" s="14" t="str">
        <f>IFERROR(__xludf.DUMMYFUNCTION("""COMPUTED_VALUE"""),"Website")</f>
        <v>Website</v>
      </c>
      <c r="F887" s="14" t="str">
        <f>IFERROR(__xludf.DUMMYFUNCTION("""COMPUTED_VALUE"""),"Leads Baru")</f>
        <v>Leads Baru</v>
      </c>
      <c r="G887" s="14" t="str">
        <f>IFERROR(__xludf.DUMMYFUNCTION("""COMPUTED_VALUE"""),"trip Ijen")</f>
        <v>trip Ijen</v>
      </c>
      <c r="H887" s="16"/>
      <c r="I887" s="17"/>
      <c r="J887" s="54"/>
      <c r="K887" s="46" t="str">
        <f>IFERROR(__xludf.DUMMYFUNCTION("""COMPUTED_VALUE"""),"masi tanyaa")</f>
        <v>masi tanyaa</v>
      </c>
      <c r="L887" s="10"/>
      <c r="M887" s="20"/>
      <c r="N887" s="20"/>
      <c r="O887" s="20"/>
      <c r="P887" s="20"/>
    </row>
    <row r="888">
      <c r="A888" s="21">
        <f>IFERROR(__xludf.DUMMYFUNCTION("""COMPUTED_VALUE"""),46185.0)</f>
        <v>46185</v>
      </c>
      <c r="B888" s="21" t="str">
        <f>IFERROR(__xludf.DUMMYFUNCTION("""COMPUTED_VALUE"""),"2606D101")</f>
        <v>2606D101</v>
      </c>
      <c r="C888" s="23" t="str">
        <f>IFERROR(__xludf.DUMMYFUNCTION("""COMPUTED_VALUE"""),"Terezia")</f>
        <v>Terezia</v>
      </c>
      <c r="D888" s="24" t="str">
        <f>IFERROR(__xludf.DUMMYFUNCTION("""COMPUTED_VALUE"""),"082332011113")</f>
        <v>082332011113</v>
      </c>
      <c r="E888" s="14" t="str">
        <f>IFERROR(__xludf.DUMMYFUNCTION("""COMPUTED_VALUE"""),"Instagram")</f>
        <v>Instagram</v>
      </c>
      <c r="F888" s="14" t="str">
        <f>IFERROR(__xludf.DUMMYFUNCTION("""COMPUTED_VALUE"""),"Gagal")</f>
        <v>Gagal</v>
      </c>
      <c r="G888" s="14" t="str">
        <f>IFERROR(__xludf.DUMMYFUNCTION("""COMPUTED_VALUE"""),"OT MT")</f>
        <v>OT MT</v>
      </c>
      <c r="H888" s="26">
        <f>IFERROR(__xludf.DUMMYFUNCTION("""COMPUTED_VALUE"""),46187.0)</f>
        <v>46187</v>
      </c>
      <c r="I888" s="27">
        <f>IFERROR(__xludf.DUMMYFUNCTION("""COMPUTED_VALUE"""),6.0)</f>
        <v>6</v>
      </c>
      <c r="J888" s="33"/>
      <c r="K888" s="30"/>
      <c r="L888" s="23"/>
      <c r="M888" s="20"/>
      <c r="N888" s="20"/>
      <c r="O888" s="20"/>
      <c r="P888" s="20"/>
    </row>
    <row r="889">
      <c r="A889" s="11">
        <f>IFERROR(__xludf.DUMMYFUNCTION("""COMPUTED_VALUE"""),46188.0)</f>
        <v>46188</v>
      </c>
      <c r="B889" s="11" t="str">
        <f>IFERROR(__xludf.DUMMYFUNCTION("""COMPUTED_VALUE"""),"2606D102")</f>
        <v>2606D102</v>
      </c>
      <c r="C889" s="10" t="str">
        <f>IFERROR(__xludf.DUMMYFUNCTION("""COMPUTED_VALUE"""),"Widia Setiawan ")</f>
        <v>Widia Setiawan </v>
      </c>
      <c r="D889" s="13" t="str">
        <f>IFERROR(__xludf.DUMMYFUNCTION("""COMPUTED_VALUE"""),"085816908273")</f>
        <v>085816908273</v>
      </c>
      <c r="E889" s="14" t="str">
        <f>IFERROR(__xludf.DUMMYFUNCTION("""COMPUTED_VALUE"""),"Website")</f>
        <v>Website</v>
      </c>
      <c r="F889" s="14" t="str">
        <f>IFERROR(__xludf.DUMMYFUNCTION("""COMPUTED_VALUE"""),"Closing")</f>
        <v>Closing</v>
      </c>
      <c r="G889" s="14" t="str">
        <f>IFERROR(__xludf.DUMMYFUNCTION("""COMPUTED_VALUE"""),"OT Ijen")</f>
        <v>OT Ijen</v>
      </c>
      <c r="H889" s="16">
        <f>IFERROR(__xludf.DUMMYFUNCTION("""COMPUTED_VALUE"""),46189.0)</f>
        <v>46189</v>
      </c>
      <c r="I889" s="17">
        <f>IFERROR(__xludf.DUMMYFUNCTION("""COMPUTED_VALUE"""),1.0)</f>
        <v>1</v>
      </c>
      <c r="J889" s="54">
        <f>IFERROR(__xludf.DUMMYFUNCTION("""COMPUTED_VALUE"""),250000.0)</f>
        <v>250000</v>
      </c>
      <c r="K889" s="46" t="str">
        <f>IFERROR(__xludf.DUMMYFUNCTION("""COMPUTED_VALUE"""),"orrderrr")</f>
        <v>orrderrr</v>
      </c>
      <c r="L889" s="10"/>
      <c r="M889" s="20"/>
      <c r="N889" s="20"/>
      <c r="O889" s="20"/>
      <c r="P889" s="20"/>
    </row>
    <row r="890">
      <c r="A890" s="21">
        <f>IFERROR(__xludf.DUMMYFUNCTION("""COMPUTED_VALUE"""),46186.0)</f>
        <v>46186</v>
      </c>
      <c r="B890" s="21" t="str">
        <f>IFERROR(__xludf.DUMMYFUNCTION("""COMPUTED_VALUE"""),"2606D103")</f>
        <v>2606D103</v>
      </c>
      <c r="C890" s="23" t="str">
        <f>IFERROR(__xludf.DUMMYFUNCTION("""COMPUTED_VALUE"""),"Nova Novia")</f>
        <v>Nova Novia</v>
      </c>
      <c r="D890" s="24" t="str">
        <f>IFERROR(__xludf.DUMMYFUNCTION("""COMPUTED_VALUE"""),"08112193391")</f>
        <v>08112193391</v>
      </c>
      <c r="E890" s="14" t="str">
        <f>IFERROR(__xludf.DUMMYFUNCTION("""COMPUTED_VALUE"""),"Website")</f>
        <v>Website</v>
      </c>
      <c r="F890" s="14" t="str">
        <f>IFERROR(__xludf.DUMMYFUNCTION("""COMPUTED_VALUE"""),"Leads Baru")</f>
        <v>Leads Baru</v>
      </c>
      <c r="G890" s="14" t="str">
        <f>IFERROR(__xludf.DUMMYFUNCTION("""COMPUTED_VALUE"""),"1 day trip")</f>
        <v>1 day trip</v>
      </c>
      <c r="H890" s="26"/>
      <c r="I890" s="27"/>
      <c r="J890" s="33"/>
      <c r="K890" s="30"/>
      <c r="L890" s="23"/>
      <c r="M890" s="20"/>
      <c r="N890" s="20"/>
      <c r="O890" s="20"/>
      <c r="P890" s="20"/>
    </row>
    <row r="891">
      <c r="A891" s="11">
        <f>IFERROR(__xludf.DUMMYFUNCTION("""COMPUTED_VALUE"""),46186.0)</f>
        <v>46186</v>
      </c>
      <c r="B891" s="11" t="str">
        <f>IFERROR(__xludf.DUMMYFUNCTION("""COMPUTED_VALUE"""),"2606D104")</f>
        <v>2606D104</v>
      </c>
      <c r="C891" s="10" t="str">
        <f>IFERROR(__xludf.DUMMYFUNCTION("""COMPUTED_VALUE"""),"Hapsari ")</f>
        <v>Hapsari </v>
      </c>
      <c r="D891" s="13" t="str">
        <f>IFERROR(__xludf.DUMMYFUNCTION("""COMPUTED_VALUE"""),"087877752190")</f>
        <v>087877752190</v>
      </c>
      <c r="E891" s="14" t="str">
        <f>IFERROR(__xludf.DUMMYFUNCTION("""COMPUTED_VALUE"""),"Instagram")</f>
        <v>Instagram</v>
      </c>
      <c r="F891" s="14" t="str">
        <f>IFERROR(__xludf.DUMMYFUNCTION("""COMPUTED_VALUE"""),"Closing")</f>
        <v>Closing</v>
      </c>
      <c r="G891" s="14" t="str">
        <f>IFERROR(__xludf.DUMMYFUNCTION("""COMPUTED_VALUE"""),"4H3M")</f>
        <v>4H3M</v>
      </c>
      <c r="H891" s="16">
        <f>IFERROR(__xludf.DUMMYFUNCTION("""COMPUTED_VALUE"""),46200.0)</f>
        <v>46200</v>
      </c>
      <c r="I891" s="17">
        <f>IFERROR(__xludf.DUMMYFUNCTION("""COMPUTED_VALUE"""),5.0)</f>
        <v>5</v>
      </c>
      <c r="J891" s="54">
        <f>IFERROR(__xludf.DUMMYFUNCTION("""COMPUTED_VALUE"""),7750000.0)</f>
        <v>7750000</v>
      </c>
      <c r="K891" s="46" t="str">
        <f>IFERROR(__xludf.DUMMYFUNCTION("""COMPUTED_VALUE"""),"orrderrr")</f>
        <v>orrderrr</v>
      </c>
      <c r="L891" s="10"/>
      <c r="M891" s="20"/>
      <c r="N891" s="20"/>
      <c r="O891" s="20"/>
      <c r="P891" s="20"/>
    </row>
    <row r="892">
      <c r="A892" s="21">
        <f>IFERROR(__xludf.DUMMYFUNCTION("""COMPUTED_VALUE"""),46186.0)</f>
        <v>46186</v>
      </c>
      <c r="B892" s="21" t="str">
        <f>IFERROR(__xludf.DUMMYFUNCTION("""COMPUTED_VALUE"""),"2606D105")</f>
        <v>2606D105</v>
      </c>
      <c r="C892" s="23" t="str">
        <f>IFERROR(__xludf.DUMMYFUNCTION("""COMPUTED_VALUE"""),"Isnaini")</f>
        <v>Isnaini</v>
      </c>
      <c r="D892" s="24" t="str">
        <f>IFERROR(__xludf.DUMMYFUNCTION("""COMPUTED_VALUE"""),"081295404483")</f>
        <v>081295404483</v>
      </c>
      <c r="E892" s="14" t="str">
        <f>IFERROR(__xludf.DUMMYFUNCTION("""COMPUTED_VALUE"""),"Website")</f>
        <v>Website</v>
      </c>
      <c r="F892" s="14" t="str">
        <f>IFERROR(__xludf.DUMMYFUNCTION("""COMPUTED_VALUE"""),"Closing")</f>
        <v>Closing</v>
      </c>
      <c r="G892" s="14" t="str">
        <f>IFERROR(__xludf.DUMMYFUNCTION("""COMPUTED_VALUE"""),"3h2m opsi A")</f>
        <v>3h2m opsi A</v>
      </c>
      <c r="H892" s="26">
        <f>IFERROR(__xludf.DUMMYFUNCTION("""COMPUTED_VALUE"""),46211.0)</f>
        <v>46211</v>
      </c>
      <c r="I892" s="27">
        <f>IFERROR(__xludf.DUMMYFUNCTION("""COMPUTED_VALUE"""),2.0)</f>
        <v>2</v>
      </c>
      <c r="J892" s="33">
        <f>IFERROR(__xludf.DUMMYFUNCTION("""COMPUTED_VALUE"""),7194000.0)</f>
        <v>7194000</v>
      </c>
      <c r="K892" s="30" t="str">
        <f>IFERROR(__xludf.DUMMYFUNCTION("""COMPUTED_VALUE"""),"alhamdulillah orrderr")</f>
        <v>alhamdulillah orrderr</v>
      </c>
      <c r="L892" s="23"/>
      <c r="M892" s="20"/>
      <c r="N892" s="20"/>
      <c r="O892" s="20"/>
      <c r="P892" s="20"/>
    </row>
    <row r="893">
      <c r="A893" s="11">
        <f>IFERROR(__xludf.DUMMYFUNCTION("""COMPUTED_VALUE"""),46186.0)</f>
        <v>46186</v>
      </c>
      <c r="B893" s="11" t="str">
        <f>IFERROR(__xludf.DUMMYFUNCTION("""COMPUTED_VALUE"""),"2606D106")</f>
        <v>2606D106</v>
      </c>
      <c r="C893" s="10" t="str">
        <f>IFERROR(__xludf.DUMMYFUNCTION("""COMPUTED_VALUE"""),"Husna")</f>
        <v>Husna</v>
      </c>
      <c r="D893" s="13" t="str">
        <f>IFERROR(__xludf.DUMMYFUNCTION("""COMPUTED_VALUE"""),"085972835898")</f>
        <v>085972835898</v>
      </c>
      <c r="E893" s="14" t="str">
        <f>IFERROR(__xludf.DUMMYFUNCTION("""COMPUTED_VALUE"""),"Instagram")</f>
        <v>Instagram</v>
      </c>
      <c r="F893" s="14" t="str">
        <f>IFERROR(__xludf.DUMMYFUNCTION("""COMPUTED_VALUE"""),"Leads Baru")</f>
        <v>Leads Baru</v>
      </c>
      <c r="G893" s="14" t="str">
        <f>IFERROR(__xludf.DUMMYFUNCTION("""COMPUTED_VALUE"""),"4H3M")</f>
        <v>4H3M</v>
      </c>
      <c r="H893" s="16"/>
      <c r="I893" s="17">
        <f>IFERROR(__xludf.DUMMYFUNCTION("""COMPUTED_VALUE"""),31.0)</f>
        <v>31</v>
      </c>
      <c r="J893" s="54"/>
      <c r="K893" s="46"/>
      <c r="L893" s="10"/>
      <c r="M893" s="20"/>
      <c r="N893" s="20"/>
      <c r="O893" s="20"/>
      <c r="P893" s="20"/>
    </row>
    <row r="894">
      <c r="A894" s="21">
        <f>IFERROR(__xludf.DUMMYFUNCTION("""COMPUTED_VALUE"""),46186.0)</f>
        <v>46186</v>
      </c>
      <c r="B894" s="21" t="str">
        <f>IFERROR(__xludf.DUMMYFUNCTION("""COMPUTED_VALUE"""),"2606D107")</f>
        <v>2606D107</v>
      </c>
      <c r="C894" s="23" t="str">
        <f>IFERROR(__xludf.DUMMYFUNCTION("""COMPUTED_VALUE"""),"Naudi")</f>
        <v>Naudi</v>
      </c>
      <c r="D894" s="24" t="str">
        <f>IFERROR(__xludf.DUMMYFUNCTION("""COMPUTED_VALUE"""),"8618688390947")</f>
        <v>8618688390947</v>
      </c>
      <c r="E894" s="14" t="str">
        <f>IFERROR(__xludf.DUMMYFUNCTION("""COMPUTED_VALUE"""),"Instagram")</f>
        <v>Instagram</v>
      </c>
      <c r="F894" s="14" t="str">
        <f>IFERROR(__xludf.DUMMYFUNCTION("""COMPUTED_VALUE"""),"Closing")</f>
        <v>Closing</v>
      </c>
      <c r="G894" s="14" t="str">
        <f>IFERROR(__xludf.DUMMYFUNCTION("""COMPUTED_VALUE"""),"OT 3H2M")</f>
        <v>OT 3H2M</v>
      </c>
      <c r="H894" s="26">
        <f>IFERROR(__xludf.DUMMYFUNCTION("""COMPUTED_VALUE"""),46214.0)</f>
        <v>46214</v>
      </c>
      <c r="I894" s="27">
        <f>IFERROR(__xludf.DUMMYFUNCTION("""COMPUTED_VALUE"""),2.0)</f>
        <v>2</v>
      </c>
      <c r="J894" s="33">
        <f>IFERROR(__xludf.DUMMYFUNCTION("""COMPUTED_VALUE"""),3200000.0)</f>
        <v>3200000</v>
      </c>
      <c r="K894" s="30" t="str">
        <f>IFERROR(__xludf.DUMMYFUNCTION("""COMPUTED_VALUE"""),"orrderrr")</f>
        <v>orrderrr</v>
      </c>
      <c r="L894" s="23"/>
      <c r="M894" s="20"/>
      <c r="N894" s="20"/>
      <c r="O894" s="20"/>
      <c r="P894" s="20"/>
    </row>
    <row r="895">
      <c r="A895" s="11">
        <f>IFERROR(__xludf.DUMMYFUNCTION("""COMPUTED_VALUE"""),46186.0)</f>
        <v>46186</v>
      </c>
      <c r="B895" s="11" t="str">
        <f>IFERROR(__xludf.DUMMYFUNCTION("""COMPUTED_VALUE"""),"2606D108")</f>
        <v>2606D108</v>
      </c>
      <c r="C895" s="10" t="str">
        <f>IFERROR(__xludf.DUMMYFUNCTION("""COMPUTED_VALUE"""),"Fzhr")</f>
        <v>Fzhr</v>
      </c>
      <c r="D895" s="13" t="str">
        <f>IFERROR(__xludf.DUMMYFUNCTION("""COMPUTED_VALUE"""),"088297289117")</f>
        <v>088297289117</v>
      </c>
      <c r="E895" s="14" t="str">
        <f>IFERROR(__xludf.DUMMYFUNCTION("""COMPUTED_VALUE"""),"Lainnya")</f>
        <v>Lainnya</v>
      </c>
      <c r="F895" s="14" t="str">
        <f>IFERROR(__xludf.DUMMYFUNCTION("""COMPUTED_VALUE"""),"Leads Baru")</f>
        <v>Leads Baru</v>
      </c>
      <c r="G895" s="14" t="str">
        <f>IFERROR(__xludf.DUMMYFUNCTION("""COMPUTED_VALUE"""),"OT GI, Ijen Baluran")</f>
        <v>OT GI, Ijen Baluran</v>
      </c>
      <c r="H895" s="16"/>
      <c r="I895" s="17">
        <f>IFERROR(__xludf.DUMMYFUNCTION("""COMPUTED_VALUE"""),2.0)</f>
        <v>2</v>
      </c>
      <c r="J895" s="54"/>
      <c r="K895" s="46" t="str">
        <f>IFERROR(__xludf.DUMMYFUNCTION("""COMPUTED_VALUE"""),"FU 15 Juni")</f>
        <v>FU 15 Juni</v>
      </c>
      <c r="L895" s="10"/>
      <c r="M895" s="20"/>
      <c r="N895" s="20"/>
      <c r="O895" s="20"/>
      <c r="P895" s="20"/>
    </row>
    <row r="896">
      <c r="A896" s="21">
        <f>IFERROR(__xludf.DUMMYFUNCTION("""COMPUTED_VALUE"""),46186.0)</f>
        <v>46186</v>
      </c>
      <c r="B896" s="21" t="str">
        <f>IFERROR(__xludf.DUMMYFUNCTION("""COMPUTED_VALUE"""),"2606D109")</f>
        <v>2606D109</v>
      </c>
      <c r="C896" s="23" t="str">
        <f>IFERROR(__xludf.DUMMYFUNCTION("""COMPUTED_VALUE"""),"Nizam")</f>
        <v>Nizam</v>
      </c>
      <c r="D896" s="24" t="str">
        <f>IFERROR(__xludf.DUMMYFUNCTION("""COMPUTED_VALUE"""),"081235122895")</f>
        <v>081235122895</v>
      </c>
      <c r="E896" s="14" t="str">
        <f>IFERROR(__xludf.DUMMYFUNCTION("""COMPUTED_VALUE"""),"Tiktok")</f>
        <v>Tiktok</v>
      </c>
      <c r="F896" s="14" t="str">
        <f>IFERROR(__xludf.DUMMYFUNCTION("""COMPUTED_VALUE"""),"Closing")</f>
        <v>Closing</v>
      </c>
      <c r="G896" s="14" t="str">
        <f>IFERROR(__xludf.DUMMYFUNCTION("""COMPUTED_VALUE"""),"OT MT")</f>
        <v>OT MT</v>
      </c>
      <c r="H896" s="26">
        <f>IFERROR(__xludf.DUMMYFUNCTION("""COMPUTED_VALUE"""),46215.0)</f>
        <v>46215</v>
      </c>
      <c r="I896" s="27">
        <f>IFERROR(__xludf.DUMMYFUNCTION("""COMPUTED_VALUE"""),6.0)</f>
        <v>6</v>
      </c>
      <c r="J896" s="33">
        <f>IFERROR(__xludf.DUMMYFUNCTION("""COMPUTED_VALUE"""),1650000.0)</f>
        <v>1650000</v>
      </c>
      <c r="K896" s="30" t="str">
        <f>IFERROR(__xludf.DUMMYFUNCTION("""COMPUTED_VALUE"""),"orrderrr")</f>
        <v>orrderrr</v>
      </c>
      <c r="L896" s="23"/>
      <c r="M896" s="20"/>
      <c r="N896" s="20"/>
      <c r="O896" s="20"/>
      <c r="P896" s="20"/>
    </row>
    <row r="897">
      <c r="A897" s="11">
        <f>IFERROR(__xludf.DUMMYFUNCTION("""COMPUTED_VALUE"""),46186.0)</f>
        <v>46186</v>
      </c>
      <c r="B897" s="11" t="str">
        <f>IFERROR(__xludf.DUMMYFUNCTION("""COMPUTED_VALUE"""),"2606D110")</f>
        <v>2606D110</v>
      </c>
      <c r="C897" s="10" t="str">
        <f>IFERROR(__xludf.DUMMYFUNCTION("""COMPUTED_VALUE"""),"Ichsan Halwan ")</f>
        <v>Ichsan Halwan </v>
      </c>
      <c r="D897" s="13" t="str">
        <f>IFERROR(__xludf.DUMMYFUNCTION("""COMPUTED_VALUE"""),"082124454174")</f>
        <v>082124454174</v>
      </c>
      <c r="E897" s="14" t="str">
        <f>IFERROR(__xludf.DUMMYFUNCTION("""COMPUTED_VALUE"""),"Instagram")</f>
        <v>Instagram</v>
      </c>
      <c r="F897" s="14" t="str">
        <f>IFERROR(__xludf.DUMMYFUNCTION("""COMPUTED_VALUE"""),"Closing")</f>
        <v>Closing</v>
      </c>
      <c r="G897" s="14" t="str">
        <f>IFERROR(__xludf.DUMMYFUNCTION("""COMPUTED_VALUE"""),"OT MT")</f>
        <v>OT MT</v>
      </c>
      <c r="H897" s="16">
        <f>IFERROR(__xludf.DUMMYFUNCTION("""COMPUTED_VALUE"""),46201.0)</f>
        <v>46201</v>
      </c>
      <c r="I897" s="17">
        <f>IFERROR(__xludf.DUMMYFUNCTION("""COMPUTED_VALUE"""),5.0)</f>
        <v>5</v>
      </c>
      <c r="J897" s="54">
        <f>IFERROR(__xludf.DUMMYFUNCTION("""COMPUTED_VALUE"""),1375000.0)</f>
        <v>1375000</v>
      </c>
      <c r="K897" s="46" t="str">
        <f>IFERROR(__xludf.DUMMYFUNCTION("""COMPUTED_VALUE"""),"orrdderrr")</f>
        <v>orrdderrr</v>
      </c>
      <c r="L897" s="10"/>
      <c r="M897" s="20"/>
      <c r="N897" s="20"/>
      <c r="O897" s="20"/>
      <c r="P897" s="20"/>
    </row>
    <row r="898">
      <c r="A898" s="21">
        <f>IFERROR(__xludf.DUMMYFUNCTION("""COMPUTED_VALUE"""),46187.0)</f>
        <v>46187</v>
      </c>
      <c r="B898" s="21" t="str">
        <f>IFERROR(__xludf.DUMMYFUNCTION("""COMPUTED_VALUE"""),"2606D111")</f>
        <v>2606D111</v>
      </c>
      <c r="C898" s="23" t="str">
        <f>IFERROR(__xludf.DUMMYFUNCTION("""COMPUTED_VALUE"""),"Yuyun ")</f>
        <v>Yuyun </v>
      </c>
      <c r="D898" s="24" t="str">
        <f>IFERROR(__xludf.DUMMYFUNCTION("""COMPUTED_VALUE"""),"089666507813")</f>
        <v>089666507813</v>
      </c>
      <c r="E898" s="14" t="str">
        <f>IFERROR(__xludf.DUMMYFUNCTION("""COMPUTED_VALUE"""),"Instagram")</f>
        <v>Instagram</v>
      </c>
      <c r="F898" s="14" t="str">
        <f>IFERROR(__xludf.DUMMYFUNCTION("""COMPUTED_VALUE"""),"Leads Baru")</f>
        <v>Leads Baru</v>
      </c>
      <c r="G898" s="14" t="str">
        <f>IFERROR(__xludf.DUMMYFUNCTION("""COMPUTED_VALUE"""),"OT Baluran")</f>
        <v>OT Baluran</v>
      </c>
      <c r="H898" s="26">
        <f>IFERROR(__xludf.DUMMYFUNCTION("""COMPUTED_VALUE"""),46200.0)</f>
        <v>46200</v>
      </c>
      <c r="I898" s="27">
        <f>IFERROR(__xludf.DUMMYFUNCTION("""COMPUTED_VALUE"""),4.0)</f>
        <v>4</v>
      </c>
      <c r="J898" s="33"/>
      <c r="K898" s="30" t="str">
        <f>IFERROR(__xludf.DUMMYFUNCTION("""COMPUTED_VALUE"""),"FU 16 Juni")</f>
        <v>FU 16 Juni</v>
      </c>
      <c r="L898" s="23"/>
      <c r="M898" s="20"/>
      <c r="N898" s="20"/>
      <c r="O898" s="20"/>
      <c r="P898" s="20"/>
    </row>
    <row r="899">
      <c r="A899" s="11">
        <f>IFERROR(__xludf.DUMMYFUNCTION("""COMPUTED_VALUE"""),46187.0)</f>
        <v>46187</v>
      </c>
      <c r="B899" s="11" t="str">
        <f>IFERROR(__xludf.DUMMYFUNCTION("""COMPUTED_VALUE"""),"2606D112")</f>
        <v>2606D112</v>
      </c>
      <c r="C899" s="10" t="str">
        <f>IFERROR(__xludf.DUMMYFUNCTION("""COMPUTED_VALUE"""),"Ai Nurhicmah")</f>
        <v>Ai Nurhicmah</v>
      </c>
      <c r="D899" s="13" t="str">
        <f>IFERROR(__xludf.DUMMYFUNCTION("""COMPUTED_VALUE"""),"085267593008")</f>
        <v>085267593008</v>
      </c>
      <c r="E899" s="14" t="str">
        <f>IFERROR(__xludf.DUMMYFUNCTION("""COMPUTED_VALUE"""),"Instagram")</f>
        <v>Instagram</v>
      </c>
      <c r="F899" s="14" t="str">
        <f>IFERROR(__xludf.DUMMYFUNCTION("""COMPUTED_VALUE"""),"Leads Baru")</f>
        <v>Leads Baru</v>
      </c>
      <c r="G899" s="14" t="str">
        <f>IFERROR(__xludf.DUMMYFUNCTION("""COMPUTED_VALUE"""),"ot 3h2m")</f>
        <v>ot 3h2m</v>
      </c>
      <c r="H899" s="16"/>
      <c r="I899" s="17">
        <f>IFERROR(__xludf.DUMMYFUNCTION("""COMPUTED_VALUE"""),4.0)</f>
        <v>4</v>
      </c>
      <c r="J899" s="54"/>
      <c r="K899" s="46" t="str">
        <f>IFERROR(__xludf.DUMMYFUNCTION("""COMPUTED_VALUE"""),"masih diskusi, FU 17 Juni")</f>
        <v>masih diskusi, FU 17 Juni</v>
      </c>
      <c r="L899" s="10"/>
      <c r="M899" s="20"/>
      <c r="N899" s="20"/>
      <c r="O899" s="20"/>
      <c r="P899" s="20"/>
    </row>
    <row r="900">
      <c r="A900" s="21">
        <f>IFERROR(__xludf.DUMMYFUNCTION("""COMPUTED_VALUE"""),46187.0)</f>
        <v>46187</v>
      </c>
      <c r="B900" s="21" t="str">
        <f>IFERROR(__xludf.DUMMYFUNCTION("""COMPUTED_VALUE"""),"2606D113")</f>
        <v>2606D113</v>
      </c>
      <c r="C900" s="23" t="str">
        <f>IFERROR(__xludf.DUMMYFUNCTION("""COMPUTED_VALUE"""),"Jean ")</f>
        <v>Jean </v>
      </c>
      <c r="D900" s="24" t="str">
        <f>IFERROR(__xludf.DUMMYFUNCTION("""COMPUTED_VALUE"""),"082259563022")</f>
        <v>082259563022</v>
      </c>
      <c r="E900" s="14" t="str">
        <f>IFERROR(__xludf.DUMMYFUNCTION("""COMPUTED_VALUE"""),"Tiktok")</f>
        <v>Tiktok</v>
      </c>
      <c r="F900" s="14" t="str">
        <f>IFERROR(__xludf.DUMMYFUNCTION("""COMPUTED_VALUE"""),"Leads Baru")</f>
        <v>Leads Baru</v>
      </c>
      <c r="G900" s="14" t="str">
        <f>IFERROR(__xludf.DUMMYFUNCTION("""COMPUTED_VALUE"""),"OT Ijen")</f>
        <v>OT Ijen</v>
      </c>
      <c r="H900" s="26">
        <f>IFERROR(__xludf.DUMMYFUNCTION("""COMPUTED_VALUE"""),46200.0)</f>
        <v>46200</v>
      </c>
      <c r="I900" s="27">
        <f>IFERROR(__xludf.DUMMYFUNCTION("""COMPUTED_VALUE"""),2.0)</f>
        <v>2</v>
      </c>
      <c r="J900" s="33"/>
      <c r="K900" s="30" t="str">
        <f>IFERROR(__xludf.DUMMYFUNCTION("""COMPUTED_VALUE"""),"FU 20 Juni")</f>
        <v>FU 20 Juni</v>
      </c>
      <c r="L900" s="23"/>
      <c r="M900" s="20"/>
      <c r="N900" s="20"/>
      <c r="O900" s="20"/>
      <c r="P900" s="20"/>
    </row>
    <row r="901">
      <c r="A901" s="11">
        <f>IFERROR(__xludf.DUMMYFUNCTION("""COMPUTED_VALUE"""),46187.0)</f>
        <v>46187</v>
      </c>
      <c r="B901" s="11" t="str">
        <f>IFERROR(__xludf.DUMMYFUNCTION("""COMPUTED_VALUE"""),"2606D114")</f>
        <v>2606D114</v>
      </c>
      <c r="C901" s="10" t="str">
        <f>IFERROR(__xludf.DUMMYFUNCTION("""COMPUTED_VALUE"""),"Jo  ")</f>
        <v>Jo  </v>
      </c>
      <c r="D901" s="13" t="str">
        <f>IFERROR(__xludf.DUMMYFUNCTION("""COMPUTED_VALUE"""),"081212832603")</f>
        <v>081212832603</v>
      </c>
      <c r="E901" s="14" t="str">
        <f>IFERROR(__xludf.DUMMYFUNCTION("""COMPUTED_VALUE"""),"Website")</f>
        <v>Website</v>
      </c>
      <c r="F901" s="14" t="str">
        <f>IFERROR(__xludf.DUMMYFUNCTION("""COMPUTED_VALUE"""),"Gagal")</f>
        <v>Gagal</v>
      </c>
      <c r="G901" s="14" t="str">
        <f>IFERROR(__xludf.DUMMYFUNCTION("""COMPUTED_VALUE"""),"ot GI")</f>
        <v>ot GI</v>
      </c>
      <c r="H901" s="16">
        <f>IFERROR(__xludf.DUMMYFUNCTION("""COMPUTED_VALUE"""),46190.0)</f>
        <v>46190</v>
      </c>
      <c r="I901" s="17">
        <f>IFERROR(__xludf.DUMMYFUNCTION("""COMPUTED_VALUE"""),1.0)</f>
        <v>1</v>
      </c>
      <c r="J901" s="54"/>
      <c r="K901" s="46"/>
      <c r="L901" s="10"/>
      <c r="M901" s="20"/>
      <c r="N901" s="20"/>
      <c r="O901" s="20"/>
      <c r="P901" s="20"/>
    </row>
    <row r="902">
      <c r="A902" s="21">
        <f>IFERROR(__xludf.DUMMYFUNCTION("""COMPUTED_VALUE"""),46188.0)</f>
        <v>46188</v>
      </c>
      <c r="B902" s="21" t="str">
        <f>IFERROR(__xludf.DUMMYFUNCTION("""COMPUTED_VALUE"""),"2606D115")</f>
        <v>2606D115</v>
      </c>
      <c r="C902" s="23" t="str">
        <f>IFERROR(__xludf.DUMMYFUNCTION("""COMPUTED_VALUE"""),"Wiwi Anik")</f>
        <v>Wiwi Anik</v>
      </c>
      <c r="D902" s="24" t="str">
        <f>IFERROR(__xludf.DUMMYFUNCTION("""COMPUTED_VALUE"""),"085718148494")</f>
        <v>085718148494</v>
      </c>
      <c r="E902" s="14" t="str">
        <f>IFERROR(__xludf.DUMMYFUNCTION("""COMPUTED_VALUE"""),"Instagram")</f>
        <v>Instagram</v>
      </c>
      <c r="F902" s="14" t="str">
        <f>IFERROR(__xludf.DUMMYFUNCTION("""COMPUTED_VALUE"""),"Closing")</f>
        <v>Closing</v>
      </c>
      <c r="G902" s="14" t="str">
        <f>IFERROR(__xludf.DUMMYFUNCTION("""COMPUTED_VALUE"""),"2H1M custome")</f>
        <v>2H1M custome</v>
      </c>
      <c r="H902" s="26">
        <f>IFERROR(__xludf.DUMMYFUNCTION("""COMPUTED_VALUE"""),46303.0)</f>
        <v>46303</v>
      </c>
      <c r="I902" s="27">
        <f>IFERROR(__xludf.DUMMYFUNCTION("""COMPUTED_VALUE"""),11.0)</f>
        <v>11</v>
      </c>
      <c r="J902" s="33">
        <f>IFERROR(__xludf.DUMMYFUNCTION("""COMPUTED_VALUE"""),1.1275E7)</f>
        <v>11275000</v>
      </c>
      <c r="K902" s="30" t="str">
        <f>IFERROR(__xludf.DUMMYFUNCTION("""COMPUTED_VALUE"""),"orrderrr (12pax 1 anak kecil)")</f>
        <v>orrderrr (12pax 1 anak kecil)</v>
      </c>
      <c r="L902" s="23"/>
      <c r="M902" s="20"/>
      <c r="N902" s="20"/>
      <c r="O902" s="20"/>
      <c r="P902" s="20"/>
    </row>
    <row r="903">
      <c r="A903" s="11">
        <f>IFERROR(__xludf.DUMMYFUNCTION("""COMPUTED_VALUE"""),46188.0)</f>
        <v>46188</v>
      </c>
      <c r="B903" s="11" t="str">
        <f>IFERROR(__xludf.DUMMYFUNCTION("""COMPUTED_VALUE"""),"2606D116")</f>
        <v>2606D116</v>
      </c>
      <c r="C903" s="10" t="str">
        <f>IFERROR(__xludf.DUMMYFUNCTION("""COMPUTED_VALUE"""),"Wicak")</f>
        <v>Wicak</v>
      </c>
      <c r="D903" s="13" t="str">
        <f>IFERROR(__xludf.DUMMYFUNCTION("""COMPUTED_VALUE"""),"08122028374")</f>
        <v>08122028374</v>
      </c>
      <c r="E903" s="14" t="str">
        <f>IFERROR(__xludf.DUMMYFUNCTION("""COMPUTED_VALUE"""),"Website")</f>
        <v>Website</v>
      </c>
      <c r="F903" s="14" t="str">
        <f>IFERROR(__xludf.DUMMYFUNCTION("""COMPUTED_VALUE"""),"Gagal")</f>
        <v>Gagal</v>
      </c>
      <c r="G903" s="14" t="str">
        <f>IFERROR(__xludf.DUMMYFUNCTION("""COMPUTED_VALUE"""),"4h3m custome")</f>
        <v>4h3m custome</v>
      </c>
      <c r="H903" s="16">
        <f>IFERROR(__xludf.DUMMYFUNCTION("""COMPUTED_VALUE"""),46190.0)</f>
        <v>46190</v>
      </c>
      <c r="I903" s="17">
        <f>IFERROR(__xludf.DUMMYFUNCTION("""COMPUTED_VALUE"""),5.0)</f>
        <v>5</v>
      </c>
      <c r="J903" s="54">
        <f>IFERROR(__xludf.DUMMYFUNCTION("""COMPUTED_VALUE"""),1.0E7)</f>
        <v>10000000</v>
      </c>
      <c r="K903" s="46" t="str">
        <f>IFERROR(__xludf.DUMMYFUNCTION("""COMPUTED_VALUE"""),"ganti liburan di jogjaa")</f>
        <v>ganti liburan di jogjaa</v>
      </c>
      <c r="L903" s="10"/>
      <c r="M903" s="20"/>
      <c r="N903" s="20"/>
      <c r="O903" s="20"/>
      <c r="P903" s="20"/>
    </row>
    <row r="904">
      <c r="A904" s="21">
        <f>IFERROR(__xludf.DUMMYFUNCTION("""COMPUTED_VALUE"""),46188.0)</f>
        <v>46188</v>
      </c>
      <c r="B904" s="21" t="str">
        <f>IFERROR(__xludf.DUMMYFUNCTION("""COMPUTED_VALUE"""),"2606D117")</f>
        <v>2606D117</v>
      </c>
      <c r="C904" s="23" t="str">
        <f>IFERROR(__xludf.DUMMYFUNCTION("""COMPUTED_VALUE"""),"Wedy")</f>
        <v>Wedy</v>
      </c>
      <c r="D904" s="24" t="str">
        <f>IFERROR(__xludf.DUMMYFUNCTION("""COMPUTED_VALUE"""),"081330277999")</f>
        <v>081330277999</v>
      </c>
      <c r="E904" s="14" t="str">
        <f>IFERROR(__xludf.DUMMYFUNCTION("""COMPUTED_VALUE"""),"Website")</f>
        <v>Website</v>
      </c>
      <c r="F904" s="14" t="str">
        <f>IFERROR(__xludf.DUMMYFUNCTION("""COMPUTED_VALUE"""),"Gagal")</f>
        <v>Gagal</v>
      </c>
      <c r="G904" s="14" t="str">
        <f>IFERROR(__xludf.DUMMYFUNCTION("""COMPUTED_VALUE"""),"trip Menjangan tabuhan")</f>
        <v>trip Menjangan tabuhan</v>
      </c>
      <c r="H904" s="26">
        <f>IFERROR(__xludf.DUMMYFUNCTION("""COMPUTED_VALUE"""),46191.0)</f>
        <v>46191</v>
      </c>
      <c r="I904" s="27">
        <f>IFERROR(__xludf.DUMMYFUNCTION("""COMPUTED_VALUE"""),5.0)</f>
        <v>5</v>
      </c>
      <c r="J904" s="33"/>
      <c r="K904" s="30" t="str">
        <f>IFERROR(__xludf.DUMMYFUNCTION("""COMPUTED_VALUE"""),"dah di FU tidakk balas")</f>
        <v>dah di FU tidakk balas</v>
      </c>
      <c r="L904" s="23"/>
      <c r="M904" s="20"/>
      <c r="N904" s="20"/>
      <c r="O904" s="20"/>
      <c r="P904" s="20"/>
    </row>
    <row r="905">
      <c r="A905" s="11">
        <f>IFERROR(__xludf.DUMMYFUNCTION("""COMPUTED_VALUE"""),46188.0)</f>
        <v>46188</v>
      </c>
      <c r="B905" s="11" t="str">
        <f>IFERROR(__xludf.DUMMYFUNCTION("""COMPUTED_VALUE"""),"2606D118")</f>
        <v>2606D118</v>
      </c>
      <c r="C905" s="10" t="str">
        <f>IFERROR(__xludf.DUMMYFUNCTION("""COMPUTED_VALUE"""),"Naurahel")</f>
        <v>Naurahel</v>
      </c>
      <c r="D905" s="13" t="str">
        <f>IFERROR(__xludf.DUMMYFUNCTION("""COMPUTED_VALUE"""),"081312900025")</f>
        <v>081312900025</v>
      </c>
      <c r="E905" s="14" t="str">
        <f>IFERROR(__xludf.DUMMYFUNCTION("""COMPUTED_VALUE"""),"Instagram")</f>
        <v>Instagram</v>
      </c>
      <c r="F905" s="14" t="str">
        <f>IFERROR(__xludf.DUMMYFUNCTION("""COMPUTED_VALUE"""),"Leads Baru")</f>
        <v>Leads Baru</v>
      </c>
      <c r="G905" s="14" t="str">
        <f>IFERROR(__xludf.DUMMYFUNCTION("""COMPUTED_VALUE"""),"4H3M")</f>
        <v>4H3M</v>
      </c>
      <c r="H905" s="16"/>
      <c r="I905" s="17">
        <f>IFERROR(__xludf.DUMMYFUNCTION("""COMPUTED_VALUE"""),46178.0)</f>
        <v>46178</v>
      </c>
      <c r="J905" s="54"/>
      <c r="K905" s="46" t="str">
        <f>IFERROR(__xludf.DUMMYFUNCTION("""COMPUTED_VALUE"""),"FU 20 Juni")</f>
        <v>FU 20 Juni</v>
      </c>
      <c r="L905" s="10"/>
      <c r="M905" s="20"/>
      <c r="N905" s="20"/>
      <c r="O905" s="20"/>
      <c r="P905" s="20"/>
    </row>
    <row r="906">
      <c r="A906" s="21">
        <f>IFERROR(__xludf.DUMMYFUNCTION("""COMPUTED_VALUE"""),46189.0)</f>
        <v>46189</v>
      </c>
      <c r="B906" s="21" t="str">
        <f>IFERROR(__xludf.DUMMYFUNCTION("""COMPUTED_VALUE"""),"2606D119")</f>
        <v>2606D119</v>
      </c>
      <c r="C906" s="23" t="str">
        <f>IFERROR(__xludf.DUMMYFUNCTION("""COMPUTED_VALUE"""),"Hana")</f>
        <v>Hana</v>
      </c>
      <c r="D906" s="24" t="str">
        <f>IFERROR(__xludf.DUMMYFUNCTION("""COMPUTED_VALUE"""),"082128625697")</f>
        <v>082128625697</v>
      </c>
      <c r="E906" s="14" t="str">
        <f>IFERROR(__xludf.DUMMYFUNCTION("""COMPUTED_VALUE"""),"Website")</f>
        <v>Website</v>
      </c>
      <c r="F906" s="14" t="str">
        <f>IFERROR(__xludf.DUMMYFUNCTION("""COMPUTED_VALUE"""),"Gagal")</f>
        <v>Gagal</v>
      </c>
      <c r="G906" s="14" t="str">
        <f>IFERROR(__xludf.DUMMYFUNCTION("""COMPUTED_VALUE"""),"OT 3H2M")</f>
        <v>OT 3H2M</v>
      </c>
      <c r="H906" s="26"/>
      <c r="I906" s="27"/>
      <c r="J906" s="33"/>
      <c r="K906" s="30" t="str">
        <f>IFERROR(__xludf.DUMMYFUNCTION("""COMPUTED_VALUE"""),"ke bajo")</f>
        <v>ke bajo</v>
      </c>
      <c r="L906" s="23"/>
      <c r="M906" s="20"/>
      <c r="N906" s="20"/>
      <c r="O906" s="20"/>
      <c r="P906" s="20"/>
    </row>
    <row r="907">
      <c r="A907" s="11">
        <f>IFERROR(__xludf.DUMMYFUNCTION("""COMPUTED_VALUE"""),46189.0)</f>
        <v>46189</v>
      </c>
      <c r="B907" s="11" t="str">
        <f>IFERROR(__xludf.DUMMYFUNCTION("""COMPUTED_VALUE"""),"2606D120")</f>
        <v>2606D120</v>
      </c>
      <c r="C907" s="10" t="str">
        <f>IFERROR(__xludf.DUMMYFUNCTION("""COMPUTED_VALUE"""),"Dinda  ")</f>
        <v>Dinda  </v>
      </c>
      <c r="D907" s="13" t="str">
        <f>IFERROR(__xludf.DUMMYFUNCTION("""COMPUTED_VALUE"""),"08112995597")</f>
        <v>08112995597</v>
      </c>
      <c r="E907" s="14" t="str">
        <f>IFERROR(__xludf.DUMMYFUNCTION("""COMPUTED_VALUE"""),"Instagram")</f>
        <v>Instagram</v>
      </c>
      <c r="F907" s="14" t="str">
        <f>IFERROR(__xludf.DUMMYFUNCTION("""COMPUTED_VALUE"""),"Qualified")</f>
        <v>Qualified</v>
      </c>
      <c r="G907" s="14" t="str">
        <f>IFERROR(__xludf.DUMMYFUNCTION("""COMPUTED_VALUE"""),"2h1m custome")</f>
        <v>2h1m custome</v>
      </c>
      <c r="H907" s="16"/>
      <c r="I907" s="17">
        <f>IFERROR(__xludf.DUMMYFUNCTION("""COMPUTED_VALUE"""),9.0)</f>
        <v>9</v>
      </c>
      <c r="J907" s="54">
        <f>IFERROR(__xludf.DUMMYFUNCTION("""COMPUTED_VALUE"""),6975000.0)</f>
        <v>6975000</v>
      </c>
      <c r="K907" s="46" t="str">
        <f>IFERROR(__xludf.DUMMYFUNCTION("""COMPUTED_VALUE"""),"FU 19 Juni")</f>
        <v>FU 19 Juni</v>
      </c>
      <c r="L907" s="10"/>
      <c r="M907" s="20"/>
      <c r="N907" s="20"/>
      <c r="O907" s="20"/>
      <c r="P907" s="20"/>
    </row>
    <row r="908">
      <c r="A908" s="21">
        <f>IFERROR(__xludf.DUMMYFUNCTION("""COMPUTED_VALUE"""),46189.0)</f>
        <v>46189</v>
      </c>
      <c r="B908" s="21" t="str">
        <f>IFERROR(__xludf.DUMMYFUNCTION("""COMPUTED_VALUE"""),"2606D121")</f>
        <v>2606D121</v>
      </c>
      <c r="C908" s="23" t="str">
        <f>IFERROR(__xludf.DUMMYFUNCTION("""COMPUTED_VALUE"""),"Ipang")</f>
        <v>Ipang</v>
      </c>
      <c r="D908" s="24" t="str">
        <f>IFERROR(__xludf.DUMMYFUNCTION("""COMPUTED_VALUE"""),"081290407415")</f>
        <v>081290407415</v>
      </c>
      <c r="E908" s="14" t="str">
        <f>IFERROR(__xludf.DUMMYFUNCTION("""COMPUTED_VALUE"""),"Instagram")</f>
        <v>Instagram</v>
      </c>
      <c r="F908" s="14" t="str">
        <f>IFERROR(__xludf.DUMMYFUNCTION("""COMPUTED_VALUE"""),"Leads Baru")</f>
        <v>Leads Baru</v>
      </c>
      <c r="G908" s="14" t="str">
        <f>IFERROR(__xludf.DUMMYFUNCTION("""COMPUTED_VALUE"""),"3H2M opsi A")</f>
        <v>3H2M opsi A</v>
      </c>
      <c r="H908" s="26"/>
      <c r="I908" s="27">
        <f>IFERROR(__xludf.DUMMYFUNCTION("""COMPUTED_VALUE"""),8.0)</f>
        <v>8</v>
      </c>
      <c r="J908" s="33"/>
      <c r="K908" s="30" t="str">
        <f>IFERROR(__xludf.DUMMYFUNCTION("""COMPUTED_VALUE"""),"diskusi dulu, FU 11 Juli")</f>
        <v>diskusi dulu, FU 11 Juli</v>
      </c>
      <c r="L908" s="23"/>
      <c r="M908" s="20"/>
      <c r="N908" s="20"/>
      <c r="O908" s="20"/>
      <c r="P908" s="20"/>
    </row>
    <row r="909">
      <c r="A909" s="11">
        <f>IFERROR(__xludf.DUMMYFUNCTION("""COMPUTED_VALUE"""),46189.0)</f>
        <v>46189</v>
      </c>
      <c r="B909" s="11" t="str">
        <f>IFERROR(__xludf.DUMMYFUNCTION("""COMPUTED_VALUE"""),"2606D122")</f>
        <v>2606D122</v>
      </c>
      <c r="C909" s="10" t="str">
        <f>IFERROR(__xludf.DUMMYFUNCTION("""COMPUTED_VALUE"""),"Ahmad Soim")</f>
        <v>Ahmad Soim</v>
      </c>
      <c r="D909" s="13" t="str">
        <f>IFERROR(__xludf.DUMMYFUNCTION("""COMPUTED_VALUE"""),"08127452390")</f>
        <v>08127452390</v>
      </c>
      <c r="E909" s="14" t="str">
        <f>IFERROR(__xludf.DUMMYFUNCTION("""COMPUTED_VALUE"""),"Website")</f>
        <v>Website</v>
      </c>
      <c r="F909" s="14" t="str">
        <f>IFERROR(__xludf.DUMMYFUNCTION("""COMPUTED_VALUE"""),"Closing")</f>
        <v>Closing</v>
      </c>
      <c r="G909" s="14" t="str">
        <f>IFERROR(__xludf.DUMMYFUNCTION("""COMPUTED_VALUE"""),"3h2m custome")</f>
        <v>3h2m custome</v>
      </c>
      <c r="H909" s="16">
        <f>IFERROR(__xludf.DUMMYFUNCTION("""COMPUTED_VALUE"""),46202.0)</f>
        <v>46202</v>
      </c>
      <c r="I909" s="17">
        <f>IFERROR(__xludf.DUMMYFUNCTION("""COMPUTED_VALUE"""),5.0)</f>
        <v>5</v>
      </c>
      <c r="J909" s="54">
        <f>IFERROR(__xludf.DUMMYFUNCTION("""COMPUTED_VALUE"""),1.185E7)</f>
        <v>11850000</v>
      </c>
      <c r="K909" s="46" t="str">
        <f>IFERROR(__xludf.DUMMYFUNCTION("""COMPUTED_VALUE"""),"orrderrr")</f>
        <v>orrderrr</v>
      </c>
      <c r="L909" s="10"/>
      <c r="M909" s="20"/>
      <c r="N909" s="20"/>
      <c r="O909" s="20"/>
      <c r="P909" s="20"/>
    </row>
    <row r="910">
      <c r="A910" s="21">
        <f>IFERROR(__xludf.DUMMYFUNCTION("""COMPUTED_VALUE"""),46189.0)</f>
        <v>46189</v>
      </c>
      <c r="B910" s="21" t="str">
        <f>IFERROR(__xludf.DUMMYFUNCTION("""COMPUTED_VALUE"""),"2606D123")</f>
        <v>2606D123</v>
      </c>
      <c r="C910" s="23" t="str">
        <f>IFERROR(__xludf.DUMMYFUNCTION("""COMPUTED_VALUE"""),"Amanda")</f>
        <v>Amanda</v>
      </c>
      <c r="D910" s="24" t="str">
        <f>IFERROR(__xludf.DUMMYFUNCTION("""COMPUTED_VALUE"""),"089688855219")</f>
        <v>089688855219</v>
      </c>
      <c r="E910" s="14" t="str">
        <f>IFERROR(__xludf.DUMMYFUNCTION("""COMPUTED_VALUE"""),"Website")</f>
        <v>Website</v>
      </c>
      <c r="F910" s="14" t="str">
        <f>IFERROR(__xludf.DUMMYFUNCTION("""COMPUTED_VALUE"""),"Closing")</f>
        <v>Closing</v>
      </c>
      <c r="G910" s="14" t="str">
        <f>IFERROR(__xludf.DUMMYFUNCTION("""COMPUTED_VALUE"""),"OT Djabal")</f>
        <v>OT Djabal</v>
      </c>
      <c r="H910" s="26">
        <f>IFERROR(__xludf.DUMMYFUNCTION("""COMPUTED_VALUE"""),46191.0)</f>
        <v>46191</v>
      </c>
      <c r="I910" s="27">
        <f>IFERROR(__xludf.DUMMYFUNCTION("""COMPUTED_VALUE"""),2.0)</f>
        <v>2</v>
      </c>
      <c r="J910" s="33">
        <f>IFERROR(__xludf.DUMMYFUNCTION("""COMPUTED_VALUE"""),1100000.0)</f>
        <v>1100000</v>
      </c>
      <c r="K910" s="30" t="str">
        <f>IFERROR(__xludf.DUMMYFUNCTION("""COMPUTED_VALUE"""),"orrderrr")</f>
        <v>orrderrr</v>
      </c>
      <c r="L910" s="23"/>
      <c r="M910" s="20"/>
      <c r="N910" s="20"/>
      <c r="O910" s="20"/>
      <c r="P910" s="20"/>
    </row>
    <row r="911">
      <c r="A911" s="11">
        <f>IFERROR(__xludf.DUMMYFUNCTION("""COMPUTED_VALUE"""),46189.0)</f>
        <v>46189</v>
      </c>
      <c r="B911" s="11" t="str">
        <f>IFERROR(__xludf.DUMMYFUNCTION("""COMPUTED_VALUE"""),"2606D124")</f>
        <v>2606D124</v>
      </c>
      <c r="C911" s="10" t="str">
        <f>IFERROR(__xludf.DUMMYFUNCTION("""COMPUTED_VALUE"""),"Mota ")</f>
        <v>Mota </v>
      </c>
      <c r="D911" s="13" t="str">
        <f>IFERROR(__xludf.DUMMYFUNCTION("""COMPUTED_VALUE"""),"085770423505 ")</f>
        <v>085770423505 </v>
      </c>
      <c r="E911" s="14" t="str">
        <f>IFERROR(__xludf.DUMMYFUNCTION("""COMPUTED_VALUE"""),"Instagram")</f>
        <v>Instagram</v>
      </c>
      <c r="F911" s="14" t="str">
        <f>IFERROR(__xludf.DUMMYFUNCTION("""COMPUTED_VALUE"""),"Closing")</f>
        <v>Closing</v>
      </c>
      <c r="G911" s="14" t="str">
        <f>IFERROR(__xludf.DUMMYFUNCTION("""COMPUTED_VALUE"""),"OT MT")</f>
        <v>OT MT</v>
      </c>
      <c r="H911" s="16">
        <f>IFERROR(__xludf.DUMMYFUNCTION("""COMPUTED_VALUE"""),46191.0)</f>
        <v>46191</v>
      </c>
      <c r="I911" s="17">
        <f>IFERROR(__xludf.DUMMYFUNCTION("""COMPUTED_VALUE"""),2.0)</f>
        <v>2</v>
      </c>
      <c r="J911" s="54">
        <f>IFERROR(__xludf.DUMMYFUNCTION("""COMPUTED_VALUE"""),800000.0)</f>
        <v>800000</v>
      </c>
      <c r="K911" s="46" t="str">
        <f>IFERROR(__xludf.DUMMYFUNCTION("""COMPUTED_VALUE"""),"orrderrr")</f>
        <v>orrderrr</v>
      </c>
      <c r="L911" s="10"/>
      <c r="M911" s="20"/>
      <c r="N911" s="20"/>
      <c r="O911" s="20"/>
      <c r="P911" s="20"/>
    </row>
    <row r="912">
      <c r="A912" s="21">
        <f>IFERROR(__xludf.DUMMYFUNCTION("""COMPUTED_VALUE"""),46189.0)</f>
        <v>46189</v>
      </c>
      <c r="B912" s="21" t="str">
        <f>IFERROR(__xludf.DUMMYFUNCTION("""COMPUTED_VALUE"""),"2606D125")</f>
        <v>2606D125</v>
      </c>
      <c r="C912" s="23" t="str">
        <f>IFERROR(__xludf.DUMMYFUNCTION("""COMPUTED_VALUE"""),"Azzahra Salsabilla")</f>
        <v>Azzahra Salsabilla</v>
      </c>
      <c r="D912" s="24" t="str">
        <f>IFERROR(__xludf.DUMMYFUNCTION("""COMPUTED_VALUE"""),"087788177153")</f>
        <v>087788177153</v>
      </c>
      <c r="E912" s="14" t="str">
        <f>IFERROR(__xludf.DUMMYFUNCTION("""COMPUTED_VALUE"""),"Instagram")</f>
        <v>Instagram</v>
      </c>
      <c r="F912" s="14" t="str">
        <f>IFERROR(__xludf.DUMMYFUNCTION("""COMPUTED_VALUE"""),"Leads Baru")</f>
        <v>Leads Baru</v>
      </c>
      <c r="G912" s="14" t="str">
        <f>IFERROR(__xludf.DUMMYFUNCTION("""COMPUTED_VALUE"""),"3h2m opsi A")</f>
        <v>3h2m opsi A</v>
      </c>
      <c r="H912" s="26">
        <f>IFERROR(__xludf.DUMMYFUNCTION("""COMPUTED_VALUE"""),46261.0)</f>
        <v>46261</v>
      </c>
      <c r="I912" s="27">
        <f>IFERROR(__xludf.DUMMYFUNCTION("""COMPUTED_VALUE"""),5.0)</f>
        <v>5</v>
      </c>
      <c r="J912" s="33"/>
      <c r="K912" s="30" t="str">
        <f>IFERROR(__xludf.DUMMYFUNCTION("""COMPUTED_VALUE"""),"diskus dulu, FU 5 agustus")</f>
        <v>diskus dulu, FU 5 agustus</v>
      </c>
      <c r="L912" s="23"/>
      <c r="M912" s="20"/>
      <c r="N912" s="20"/>
      <c r="O912" s="20"/>
      <c r="P912" s="20"/>
    </row>
    <row r="913">
      <c r="A913" s="11">
        <f>IFERROR(__xludf.DUMMYFUNCTION("""COMPUTED_VALUE"""),46190.0)</f>
        <v>46190</v>
      </c>
      <c r="B913" s="11" t="str">
        <f>IFERROR(__xludf.DUMMYFUNCTION("""COMPUTED_VALUE"""),"2606D126")</f>
        <v>2606D126</v>
      </c>
      <c r="C913" s="10" t="str">
        <f>IFERROR(__xludf.DUMMYFUNCTION("""COMPUTED_VALUE"""),"Mas Karmin")</f>
        <v>Mas Karmin</v>
      </c>
      <c r="D913" s="13" t="str">
        <f>IFERROR(__xludf.DUMMYFUNCTION("""COMPUTED_VALUE"""),"085646472493")</f>
        <v>085646472493</v>
      </c>
      <c r="E913" s="14" t="str">
        <f>IFERROR(__xludf.DUMMYFUNCTION("""COMPUTED_VALUE"""),"Website")</f>
        <v>Website</v>
      </c>
      <c r="F913" s="14" t="str">
        <f>IFERROR(__xludf.DUMMYFUNCTION("""COMPUTED_VALUE"""),"Leads Baru")</f>
        <v>Leads Baru</v>
      </c>
      <c r="G913" s="14"/>
      <c r="H913" s="16"/>
      <c r="I913" s="17">
        <f>IFERROR(__xludf.DUMMYFUNCTION("""COMPUTED_VALUE"""),30.0)</f>
        <v>30</v>
      </c>
      <c r="J913" s="54"/>
      <c r="K913" s="46" t="str">
        <f>IFERROR(__xludf.DUMMYFUNCTION("""COMPUTED_VALUE"""),"FU 1 Juli ")</f>
        <v>FU 1 Juli </v>
      </c>
      <c r="L913" s="10"/>
      <c r="M913" s="20"/>
      <c r="N913" s="20"/>
      <c r="O913" s="20"/>
      <c r="P913" s="20"/>
    </row>
    <row r="914">
      <c r="A914" s="21">
        <f>IFERROR(__xludf.DUMMYFUNCTION("""COMPUTED_VALUE"""),46190.0)</f>
        <v>46190</v>
      </c>
      <c r="B914" s="21" t="str">
        <f>IFERROR(__xludf.DUMMYFUNCTION("""COMPUTED_VALUE"""),"2606D127")</f>
        <v>2606D127</v>
      </c>
      <c r="C914" s="23" t="str">
        <f>IFERROR(__xludf.DUMMYFUNCTION("""COMPUTED_VALUE"""),"Susett Maria")</f>
        <v>Susett Maria</v>
      </c>
      <c r="D914" s="24" t="str">
        <f>IFERROR(__xludf.DUMMYFUNCTION("""COMPUTED_VALUE"""),"082361300550")</f>
        <v>082361300550</v>
      </c>
      <c r="E914" s="14" t="str">
        <f>IFERROR(__xludf.DUMMYFUNCTION("""COMPUTED_VALUE"""),"Instagram")</f>
        <v>Instagram</v>
      </c>
      <c r="F914" s="14" t="str">
        <f>IFERROR(__xludf.DUMMYFUNCTION("""COMPUTED_VALUE"""),"Leads Baru")</f>
        <v>Leads Baru</v>
      </c>
      <c r="G914" s="14" t="str">
        <f>IFERROR(__xludf.DUMMYFUNCTION("""COMPUTED_VALUE"""),"OT MT")</f>
        <v>OT MT</v>
      </c>
      <c r="H914" s="26">
        <f>IFERROR(__xludf.DUMMYFUNCTION("""COMPUTED_VALUE"""),46191.0)</f>
        <v>46191</v>
      </c>
      <c r="I914" s="27">
        <f>IFERROR(__xludf.DUMMYFUNCTION("""COMPUTED_VALUE"""),2.0)</f>
        <v>2</v>
      </c>
      <c r="J914" s="33"/>
      <c r="K914" s="30" t="str">
        <f>IFERROR(__xludf.DUMMYFUNCTION("""COMPUTED_VALUE"""),"cek ketersediaan")</f>
        <v>cek ketersediaan</v>
      </c>
      <c r="L914" s="23"/>
      <c r="M914" s="20"/>
      <c r="N914" s="20"/>
      <c r="O914" s="20"/>
      <c r="P914" s="20"/>
    </row>
    <row r="915">
      <c r="A915" s="11">
        <f>IFERROR(__xludf.DUMMYFUNCTION("""COMPUTED_VALUE"""),46190.0)</f>
        <v>46190</v>
      </c>
      <c r="B915" s="11" t="str">
        <f>IFERROR(__xludf.DUMMYFUNCTION("""COMPUTED_VALUE"""),"2606D128")</f>
        <v>2606D128</v>
      </c>
      <c r="C915" s="10" t="str">
        <f>IFERROR(__xludf.DUMMYFUNCTION("""COMPUTED_VALUE"""),"Joko Stel")</f>
        <v>Joko Stel</v>
      </c>
      <c r="D915" s="13" t="str">
        <f>IFERROR(__xludf.DUMMYFUNCTION("""COMPUTED_VALUE"""),"08992230001")</f>
        <v>08992230001</v>
      </c>
      <c r="E915" s="14" t="str">
        <f>IFERROR(__xludf.DUMMYFUNCTION("""COMPUTED_VALUE"""),"Website")</f>
        <v>Website</v>
      </c>
      <c r="F915" s="14" t="str">
        <f>IFERROR(__xludf.DUMMYFUNCTION("""COMPUTED_VALUE"""),"Leads Baru")</f>
        <v>Leads Baru</v>
      </c>
      <c r="G915" s="14" t="str">
        <f>IFERROR(__xludf.DUMMYFUNCTION("""COMPUTED_VALUE"""),"3H2M Opsi A")</f>
        <v>3H2M Opsi A</v>
      </c>
      <c r="H915" s="16"/>
      <c r="I915" s="17">
        <f>IFERROR(__xludf.DUMMYFUNCTION("""COMPUTED_VALUE"""),25.0)</f>
        <v>25</v>
      </c>
      <c r="J915" s="54"/>
      <c r="K915" s="46" t="str">
        <f>IFERROR(__xludf.DUMMYFUNCTION("""COMPUTED_VALUE"""),"buat penawaran")</f>
        <v>buat penawaran</v>
      </c>
      <c r="L915" s="10"/>
      <c r="M915" s="20"/>
      <c r="N915" s="20"/>
      <c r="O915" s="20"/>
      <c r="P915" s="20"/>
    </row>
    <row r="916">
      <c r="A916" s="21">
        <f>IFERROR(__xludf.DUMMYFUNCTION("""COMPUTED_VALUE"""),46190.0)</f>
        <v>46190</v>
      </c>
      <c r="B916" s="21" t="str">
        <f>IFERROR(__xludf.DUMMYFUNCTION("""COMPUTED_VALUE"""),"2606D129")</f>
        <v>2606D129</v>
      </c>
      <c r="C916" s="23" t="str">
        <f>IFERROR(__xludf.DUMMYFUNCTION("""COMPUTED_VALUE"""),"Keisha Aziza")</f>
        <v>Keisha Aziza</v>
      </c>
      <c r="D916" s="24" t="str">
        <f>IFERROR(__xludf.DUMMYFUNCTION("""COMPUTED_VALUE"""),"081282438158")</f>
        <v>081282438158</v>
      </c>
      <c r="E916" s="14" t="str">
        <f>IFERROR(__xludf.DUMMYFUNCTION("""COMPUTED_VALUE"""),"Instagram")</f>
        <v>Instagram</v>
      </c>
      <c r="F916" s="14" t="str">
        <f>IFERROR(__xludf.DUMMYFUNCTION("""COMPUTED_VALUE"""),"Leads Baru")</f>
        <v>Leads Baru</v>
      </c>
      <c r="G916" s="14" t="str">
        <f>IFERROR(__xludf.DUMMYFUNCTION("""COMPUTED_VALUE"""),"OT 3H2M")</f>
        <v>OT 3H2M</v>
      </c>
      <c r="H916" s="26"/>
      <c r="I916" s="27">
        <f>IFERROR(__xludf.DUMMYFUNCTION("""COMPUTED_VALUE"""),3.0)</f>
        <v>3</v>
      </c>
      <c r="J916" s="33"/>
      <c r="K916" s="30" t="str">
        <f>IFERROR(__xludf.DUMMYFUNCTION("""COMPUTED_VALUE"""),"FU 26 Juni")</f>
        <v>FU 26 Juni</v>
      </c>
      <c r="L916" s="23"/>
      <c r="M916" s="20"/>
      <c r="N916" s="20"/>
      <c r="O916" s="20"/>
      <c r="P916" s="20"/>
    </row>
    <row r="917">
      <c r="A917" s="11">
        <f>IFERROR(__xludf.DUMMYFUNCTION("""COMPUTED_VALUE"""),46190.0)</f>
        <v>46190</v>
      </c>
      <c r="B917" s="11" t="str">
        <f>IFERROR(__xludf.DUMMYFUNCTION("""COMPUTED_VALUE"""),"2606D130")</f>
        <v>2606D130</v>
      </c>
      <c r="C917" s="10" t="str">
        <f>IFERROR(__xludf.DUMMYFUNCTION("""COMPUTED_VALUE"""),"Alfa Reza")</f>
        <v>Alfa Reza</v>
      </c>
      <c r="D917" s="13" t="str">
        <f>IFERROR(__xludf.DUMMYFUNCTION("""COMPUTED_VALUE"""),"085389493068")</f>
        <v>085389493068</v>
      </c>
      <c r="E917" s="14" t="str">
        <f>IFERROR(__xludf.DUMMYFUNCTION("""COMPUTED_VALUE"""),"Instagram")</f>
        <v>Instagram</v>
      </c>
      <c r="F917" s="14" t="str">
        <f>IFERROR(__xludf.DUMMYFUNCTION("""COMPUTED_VALUE"""),"Gagal")</f>
        <v>Gagal</v>
      </c>
      <c r="G917" s="14" t="str">
        <f>IFERROR(__xludf.DUMMYFUNCTION("""COMPUTED_VALUE"""),"OT MT, Djabal")</f>
        <v>OT MT, Djabal</v>
      </c>
      <c r="H917" s="16">
        <f>IFERROR(__xludf.DUMMYFUNCTION("""COMPUTED_VALUE"""),46192.0)</f>
        <v>46192</v>
      </c>
      <c r="I917" s="17">
        <f>IFERROR(__xludf.DUMMYFUNCTION("""COMPUTED_VALUE"""),1.0)</f>
        <v>1</v>
      </c>
      <c r="J917" s="54"/>
      <c r="K917" s="46" t="str">
        <f>IFERROR(__xludf.DUMMYFUNCTION("""COMPUTED_VALUE"""),"belum jadi trip")</f>
        <v>belum jadi trip</v>
      </c>
      <c r="L917" s="10"/>
      <c r="M917" s="20"/>
      <c r="N917" s="20"/>
      <c r="O917" s="20"/>
      <c r="P917" s="20"/>
    </row>
    <row r="918">
      <c r="A918" s="21">
        <f>IFERROR(__xludf.DUMMYFUNCTION("""COMPUTED_VALUE"""),42538.0)</f>
        <v>42538</v>
      </c>
      <c r="B918" s="21" t="str">
        <f>IFERROR(__xludf.DUMMYFUNCTION("""COMPUTED_VALUE"""),"2606D131")</f>
        <v>2606D131</v>
      </c>
      <c r="C918" s="23" t="str">
        <f>IFERROR(__xludf.DUMMYFUNCTION("""COMPUTED_VALUE"""),"Hafidz Danan")</f>
        <v>Hafidz Danan</v>
      </c>
      <c r="D918" s="24" t="str">
        <f>IFERROR(__xludf.DUMMYFUNCTION("""COMPUTED_VALUE"""),"082112108038")</f>
        <v>082112108038</v>
      </c>
      <c r="E918" s="14" t="str">
        <f>IFERROR(__xludf.DUMMYFUNCTION("""COMPUTED_VALUE"""),"Instagram")</f>
        <v>Instagram</v>
      </c>
      <c r="F918" s="14" t="str">
        <f>IFERROR(__xludf.DUMMYFUNCTION("""COMPUTED_VALUE"""),"Leads Baru")</f>
        <v>Leads Baru</v>
      </c>
      <c r="G918" s="14" t="str">
        <f>IFERROR(__xludf.DUMMYFUNCTION("""COMPUTED_VALUE"""),"2h1m Opsi B")</f>
        <v>2h1m Opsi B</v>
      </c>
      <c r="H918" s="26">
        <f>IFERROR(__xludf.DUMMYFUNCTION("""COMPUTED_VALUE"""),46192.0)</f>
        <v>46192</v>
      </c>
      <c r="I918" s="27">
        <f>IFERROR(__xludf.DUMMYFUNCTION("""COMPUTED_VALUE"""),4.0)</f>
        <v>4</v>
      </c>
      <c r="J918" s="33"/>
      <c r="K918" s="30"/>
      <c r="L918" s="23"/>
      <c r="M918" s="20"/>
      <c r="N918" s="20"/>
      <c r="O918" s="20"/>
      <c r="P918" s="20"/>
    </row>
    <row r="919">
      <c r="A919" s="11">
        <f>IFERROR(__xludf.DUMMYFUNCTION("""COMPUTED_VALUE"""),46191.0)</f>
        <v>46191</v>
      </c>
      <c r="B919" s="11" t="str">
        <f>IFERROR(__xludf.DUMMYFUNCTION("""COMPUTED_VALUE"""),"2606D132")</f>
        <v>2606D132</v>
      </c>
      <c r="C919" s="10" t="str">
        <f>IFERROR(__xludf.DUMMYFUNCTION("""COMPUTED_VALUE"""),"Pratiwi Puji Hastuti")</f>
        <v>Pratiwi Puji Hastuti</v>
      </c>
      <c r="D919" s="13" t="str">
        <f>IFERROR(__xludf.DUMMYFUNCTION("""COMPUTED_VALUE"""),"085103430833")</f>
        <v>085103430833</v>
      </c>
      <c r="E919" s="14" t="str">
        <f>IFERROR(__xludf.DUMMYFUNCTION("""COMPUTED_VALUE"""),"Website")</f>
        <v>Website</v>
      </c>
      <c r="F919" s="14" t="str">
        <f>IFERROR(__xludf.DUMMYFUNCTION("""COMPUTED_VALUE"""),"Leads Baru")</f>
        <v>Leads Baru</v>
      </c>
      <c r="G919" s="14"/>
      <c r="H919" s="16"/>
      <c r="I919" s="17"/>
      <c r="J919" s="54"/>
      <c r="K919" s="46" t="str">
        <f>IFERROR(__xludf.DUMMYFUNCTION("""COMPUTED_VALUE"""),"tanya Fotografer")</f>
        <v>tanya Fotografer</v>
      </c>
      <c r="L919" s="10"/>
      <c r="M919" s="20"/>
      <c r="N919" s="20"/>
      <c r="O919" s="20"/>
      <c r="P919" s="20"/>
    </row>
    <row r="920">
      <c r="A920" s="21">
        <f>IFERROR(__xludf.DUMMYFUNCTION("""COMPUTED_VALUE"""),46191.0)</f>
        <v>46191</v>
      </c>
      <c r="B920" s="21" t="str">
        <f>IFERROR(__xludf.DUMMYFUNCTION("""COMPUTED_VALUE"""),"2606D133")</f>
        <v>2606D133</v>
      </c>
      <c r="C920" s="23" t="str">
        <f>IFERROR(__xludf.DUMMYFUNCTION("""COMPUTED_VALUE"""),"Dian")</f>
        <v>Dian</v>
      </c>
      <c r="D920" s="24" t="str">
        <f>IFERROR(__xludf.DUMMYFUNCTION("""COMPUTED_VALUE"""),"081381807350")</f>
        <v>081381807350</v>
      </c>
      <c r="E920" s="14" t="str">
        <f>IFERROR(__xludf.DUMMYFUNCTION("""COMPUTED_VALUE"""),"Website")</f>
        <v>Website</v>
      </c>
      <c r="F920" s="14" t="str">
        <f>IFERROR(__xludf.DUMMYFUNCTION("""COMPUTED_VALUE"""),"Leads Baru")</f>
        <v>Leads Baru</v>
      </c>
      <c r="G920" s="14" t="str">
        <f>IFERROR(__xludf.DUMMYFUNCTION("""COMPUTED_VALUE"""),"private trip MT")</f>
        <v>private trip MT</v>
      </c>
      <c r="H920" s="26">
        <f>IFERROR(__xludf.DUMMYFUNCTION("""COMPUTED_VALUE"""),46198.0)</f>
        <v>46198</v>
      </c>
      <c r="I920" s="27">
        <f>IFERROR(__xludf.DUMMYFUNCTION("""COMPUTED_VALUE"""),2.0)</f>
        <v>2</v>
      </c>
      <c r="J920" s="33"/>
      <c r="K920" s="30" t="str">
        <f>IFERROR(__xludf.DUMMYFUNCTION("""COMPUTED_VALUE"""),"FU 23 Juni")</f>
        <v>FU 23 Juni</v>
      </c>
      <c r="L920" s="23"/>
      <c r="M920" s="20"/>
      <c r="N920" s="20"/>
      <c r="O920" s="20"/>
      <c r="P920" s="20"/>
    </row>
    <row r="921">
      <c r="A921" s="11">
        <f>IFERROR(__xludf.DUMMYFUNCTION("""COMPUTED_VALUE"""),46191.0)</f>
        <v>46191</v>
      </c>
      <c r="B921" s="11" t="str">
        <f>IFERROR(__xludf.DUMMYFUNCTION("""COMPUTED_VALUE"""),"2606D134")</f>
        <v>2606D134</v>
      </c>
      <c r="C921" s="10" t="str">
        <f>IFERROR(__xludf.DUMMYFUNCTION("""COMPUTED_VALUE"""),"Bimantara")</f>
        <v>Bimantara</v>
      </c>
      <c r="D921" s="13" t="str">
        <f>IFERROR(__xludf.DUMMYFUNCTION("""COMPUTED_VALUE"""),"85156911247")</f>
        <v>85156911247</v>
      </c>
      <c r="E921" s="14" t="str">
        <f>IFERROR(__xludf.DUMMYFUNCTION("""COMPUTED_VALUE"""),"Lainnya")</f>
        <v>Lainnya</v>
      </c>
      <c r="F921" s="14" t="str">
        <f>IFERROR(__xludf.DUMMYFUNCTION("""COMPUTED_VALUE"""),"Gagal")</f>
        <v>Gagal</v>
      </c>
      <c r="G921" s="14" t="str">
        <f>IFERROR(__xludf.DUMMYFUNCTION("""COMPUTED_VALUE"""),"3h2m opsi A&amp;B")</f>
        <v>3h2m opsi A&amp;B</v>
      </c>
      <c r="H921" s="16"/>
      <c r="I921" s="17">
        <f>IFERROR(__xludf.DUMMYFUNCTION("""COMPUTED_VALUE"""),90.0)</f>
        <v>90</v>
      </c>
      <c r="J921" s="54"/>
      <c r="K921" s="46" t="str">
        <f>IFERROR(__xludf.DUMMYFUNCTION("""COMPUTED_VALUE"""),"ganti kota liburann")</f>
        <v>ganti kota liburann</v>
      </c>
      <c r="L921" s="10"/>
      <c r="M921" s="20"/>
      <c r="N921" s="20"/>
      <c r="O921" s="20"/>
      <c r="P921" s="20"/>
    </row>
    <row r="922">
      <c r="A922" s="21">
        <f>IFERROR(__xludf.DUMMYFUNCTION("""COMPUTED_VALUE"""),46191.0)</f>
        <v>46191</v>
      </c>
      <c r="B922" s="21" t="str">
        <f>IFERROR(__xludf.DUMMYFUNCTION("""COMPUTED_VALUE"""),"2606D135")</f>
        <v>2606D135</v>
      </c>
      <c r="C922" s="23" t="str">
        <f>IFERROR(__xludf.DUMMYFUNCTION("""COMPUTED_VALUE"""),"Flo")</f>
        <v>Flo</v>
      </c>
      <c r="D922" s="24" t="str">
        <f>IFERROR(__xludf.DUMMYFUNCTION("""COMPUTED_VALUE"""),"08122226577")</f>
        <v>08122226577</v>
      </c>
      <c r="E922" s="14" t="str">
        <f>IFERROR(__xludf.DUMMYFUNCTION("""COMPUTED_VALUE"""),"Website")</f>
        <v>Website</v>
      </c>
      <c r="F922" s="14" t="str">
        <f>IFERROR(__xludf.DUMMYFUNCTION("""COMPUTED_VALUE"""),"Closing")</f>
        <v>Closing</v>
      </c>
      <c r="G922" s="14" t="str">
        <f>IFERROR(__xludf.DUMMYFUNCTION("""COMPUTED_VALUE"""),"2H1M Custome")</f>
        <v>2H1M Custome</v>
      </c>
      <c r="H922" s="26">
        <f>IFERROR(__xludf.DUMMYFUNCTION("""COMPUTED_VALUE"""),46192.0)</f>
        <v>46192</v>
      </c>
      <c r="I922" s="27">
        <f>IFERROR(__xludf.DUMMYFUNCTION("""COMPUTED_VALUE"""),4.0)</f>
        <v>4</v>
      </c>
      <c r="J922" s="33">
        <f>IFERROR(__xludf.DUMMYFUNCTION("""COMPUTED_VALUE"""),1.425E7)</f>
        <v>14250000</v>
      </c>
      <c r="K922" s="30" t="str">
        <f>IFERROR(__xludf.DUMMYFUNCTION("""COMPUTED_VALUE"""),"orrderrr")</f>
        <v>orrderrr</v>
      </c>
      <c r="L922" s="23"/>
      <c r="M922" s="20"/>
      <c r="N922" s="20"/>
      <c r="O922" s="20"/>
      <c r="P922" s="20"/>
    </row>
    <row r="923">
      <c r="A923" s="11">
        <f>IFERROR(__xludf.DUMMYFUNCTION("""COMPUTED_VALUE"""),46192.0)</f>
        <v>46192</v>
      </c>
      <c r="B923" s="11" t="str">
        <f>IFERROR(__xludf.DUMMYFUNCTION("""COMPUTED_VALUE"""),"2606D136")</f>
        <v>2606D136</v>
      </c>
      <c r="C923" s="10" t="str">
        <f>IFERROR(__xludf.DUMMYFUNCTION("""COMPUTED_VALUE"""),"Anggie")</f>
        <v>Anggie</v>
      </c>
      <c r="D923" s="13" t="str">
        <f>IFERROR(__xludf.DUMMYFUNCTION("""COMPUTED_VALUE"""),"087882000082")</f>
        <v>087882000082</v>
      </c>
      <c r="E923" s="14" t="str">
        <f>IFERROR(__xludf.DUMMYFUNCTION("""COMPUTED_VALUE"""),"Instagram")</f>
        <v>Instagram</v>
      </c>
      <c r="F923" s="14" t="str">
        <f>IFERROR(__xludf.DUMMYFUNCTION("""COMPUTED_VALUE"""),"Closing")</f>
        <v>Closing</v>
      </c>
      <c r="G923" s="14" t="str">
        <f>IFERROR(__xludf.DUMMYFUNCTION("""COMPUTED_VALUE"""),"OT MT")</f>
        <v>OT MT</v>
      </c>
      <c r="H923" s="16">
        <f>IFERROR(__xludf.DUMMYFUNCTION("""COMPUTED_VALUE"""),46194.0)</f>
        <v>46194</v>
      </c>
      <c r="I923" s="17">
        <f>IFERROR(__xludf.DUMMYFUNCTION("""COMPUTED_VALUE"""),4.0)</f>
        <v>4</v>
      </c>
      <c r="J923" s="54">
        <f>IFERROR(__xludf.DUMMYFUNCTION("""COMPUTED_VALUE"""),1100000.0)</f>
        <v>1100000</v>
      </c>
      <c r="K923" s="46" t="str">
        <f>IFERROR(__xludf.DUMMYFUNCTION("""COMPUTED_VALUE"""),"Alhamdulillah orrdeerr")</f>
        <v>Alhamdulillah orrdeerr</v>
      </c>
      <c r="L923" s="10"/>
      <c r="M923" s="20"/>
      <c r="N923" s="20"/>
      <c r="O923" s="20"/>
      <c r="P923" s="20"/>
    </row>
    <row r="924">
      <c r="A924" s="21">
        <f>IFERROR(__xludf.DUMMYFUNCTION("""COMPUTED_VALUE"""),46192.0)</f>
        <v>46192</v>
      </c>
      <c r="B924" s="21" t="str">
        <f>IFERROR(__xludf.DUMMYFUNCTION("""COMPUTED_VALUE"""),"2606D137")</f>
        <v>2606D137</v>
      </c>
      <c r="C924" s="23" t="str">
        <f>IFERROR(__xludf.DUMMYFUNCTION("""COMPUTED_VALUE"""),"Ruzza")</f>
        <v>Ruzza</v>
      </c>
      <c r="D924" s="24" t="str">
        <f>IFERROR(__xludf.DUMMYFUNCTION("""COMPUTED_VALUE"""),"0811868567")</f>
        <v>0811868567</v>
      </c>
      <c r="E924" s="14" t="str">
        <f>IFERROR(__xludf.DUMMYFUNCTION("""COMPUTED_VALUE"""),"Instagram")</f>
        <v>Instagram</v>
      </c>
      <c r="F924" s="14" t="str">
        <f>IFERROR(__xludf.DUMMYFUNCTION("""COMPUTED_VALUE"""),"Gagal")</f>
        <v>Gagal</v>
      </c>
      <c r="G924" s="14" t="str">
        <f>IFERROR(__xludf.DUMMYFUNCTION("""COMPUTED_VALUE"""),"3H2M")</f>
        <v>3H2M</v>
      </c>
      <c r="H924" s="26">
        <f>IFERROR(__xludf.DUMMYFUNCTION("""COMPUTED_VALUE"""),46227.0)</f>
        <v>46227</v>
      </c>
      <c r="I924" s="27">
        <f>IFERROR(__xludf.DUMMYFUNCTION("""COMPUTED_VALUE"""),3.0)</f>
        <v>3</v>
      </c>
      <c r="J924" s="33"/>
      <c r="K924" s="30" t="str">
        <f>IFERROR(__xludf.DUMMYFUNCTION("""COMPUTED_VALUE"""),"belum jadi duluu")</f>
        <v>belum jadi duluu</v>
      </c>
      <c r="L924" s="23"/>
      <c r="M924" s="20"/>
      <c r="N924" s="20"/>
      <c r="O924" s="20"/>
      <c r="P924" s="20"/>
    </row>
    <row r="925">
      <c r="A925" s="11">
        <f>IFERROR(__xludf.DUMMYFUNCTION("""COMPUTED_VALUE"""),46192.0)</f>
        <v>46192</v>
      </c>
      <c r="B925" s="11" t="str">
        <f>IFERROR(__xludf.DUMMYFUNCTION("""COMPUTED_VALUE"""),"2606D138")</f>
        <v>2606D138</v>
      </c>
      <c r="C925" s="10" t="str">
        <f>IFERROR(__xludf.DUMMYFUNCTION("""COMPUTED_VALUE"""),"Raini")</f>
        <v>Raini</v>
      </c>
      <c r="D925" s="13" t="str">
        <f>IFERROR(__xludf.DUMMYFUNCTION("""COMPUTED_VALUE"""),"082120002984")</f>
        <v>082120002984</v>
      </c>
      <c r="E925" s="14" t="str">
        <f>IFERROR(__xludf.DUMMYFUNCTION("""COMPUTED_VALUE"""),"Instagram")</f>
        <v>Instagram</v>
      </c>
      <c r="F925" s="14" t="str">
        <f>IFERROR(__xludf.DUMMYFUNCTION("""COMPUTED_VALUE"""),"Closing")</f>
        <v>Closing</v>
      </c>
      <c r="G925" s="14" t="str">
        <f>IFERROR(__xludf.DUMMYFUNCTION("""COMPUTED_VALUE"""),"OT MT")</f>
        <v>OT MT</v>
      </c>
      <c r="H925" s="16">
        <f>IFERROR(__xludf.DUMMYFUNCTION("""COMPUTED_VALUE"""),46213.0)</f>
        <v>46213</v>
      </c>
      <c r="I925" s="17">
        <f>IFERROR(__xludf.DUMMYFUNCTION("""COMPUTED_VALUE"""),2.0)</f>
        <v>2</v>
      </c>
      <c r="J925" s="54">
        <f>IFERROR(__xludf.DUMMYFUNCTION("""COMPUTED_VALUE"""),1600000.0)</f>
        <v>1600000</v>
      </c>
      <c r="K925" s="46" t="str">
        <f>IFERROR(__xludf.DUMMYFUNCTION("""COMPUTED_VALUE"""),"orrderrr")</f>
        <v>orrderrr</v>
      </c>
      <c r="L925" s="10"/>
      <c r="M925" s="20"/>
      <c r="N925" s="20"/>
      <c r="O925" s="20"/>
      <c r="P925" s="20"/>
    </row>
    <row r="926">
      <c r="A926" s="21">
        <f>IFERROR(__xludf.DUMMYFUNCTION("""COMPUTED_VALUE"""),46191.0)</f>
        <v>46191</v>
      </c>
      <c r="B926" s="21" t="str">
        <f>IFERROR(__xludf.DUMMYFUNCTION("""COMPUTED_VALUE"""),"2606D139")</f>
        <v>2606D139</v>
      </c>
      <c r="C926" s="23" t="str">
        <f>IFERROR(__xludf.DUMMYFUNCTION("""COMPUTED_VALUE"""),"Tien Rostini")</f>
        <v>Tien Rostini</v>
      </c>
      <c r="D926" s="24" t="str">
        <f>IFERROR(__xludf.DUMMYFUNCTION("""COMPUTED_VALUE"""),"082126850024")</f>
        <v>082126850024</v>
      </c>
      <c r="E926" s="14" t="str">
        <f>IFERROR(__xludf.DUMMYFUNCTION("""COMPUTED_VALUE"""),"Instagram")</f>
        <v>Instagram</v>
      </c>
      <c r="F926" s="14" t="str">
        <f>IFERROR(__xludf.DUMMYFUNCTION("""COMPUTED_VALUE"""),"Leads Baru")</f>
        <v>Leads Baru</v>
      </c>
      <c r="G926" s="14" t="str">
        <f>IFERROR(__xludf.DUMMYFUNCTION("""COMPUTED_VALUE"""),"2h1m ")</f>
        <v>2h1m </v>
      </c>
      <c r="H926" s="26">
        <f>IFERROR(__xludf.DUMMYFUNCTION("""COMPUTED_VALUE"""),46209.0)</f>
        <v>46209</v>
      </c>
      <c r="I926" s="27">
        <f>IFERROR(__xludf.DUMMYFUNCTION("""COMPUTED_VALUE"""),5.0)</f>
        <v>5</v>
      </c>
      <c r="J926" s="33"/>
      <c r="K926" s="30" t="str">
        <f>IFERROR(__xludf.DUMMYFUNCTION("""COMPUTED_VALUE"""),"fu 28 juni")</f>
        <v>fu 28 juni</v>
      </c>
      <c r="L926" s="23"/>
      <c r="M926" s="20"/>
      <c r="N926" s="20"/>
      <c r="O926" s="20"/>
      <c r="P926" s="20"/>
    </row>
    <row r="927">
      <c r="A927" s="11">
        <f>IFERROR(__xludf.DUMMYFUNCTION("""COMPUTED_VALUE"""),46192.0)</f>
        <v>46192</v>
      </c>
      <c r="B927" s="11" t="str">
        <f>IFERROR(__xludf.DUMMYFUNCTION("""COMPUTED_VALUE"""),"2606D140")</f>
        <v>2606D140</v>
      </c>
      <c r="C927" s="10" t="str">
        <f>IFERROR(__xludf.DUMMYFUNCTION("""COMPUTED_VALUE"""),"Afner Siregar ")</f>
        <v>Afner Siregar </v>
      </c>
      <c r="D927" s="13" t="str">
        <f>IFERROR(__xludf.DUMMYFUNCTION("""COMPUTED_VALUE"""),"08170109190")</f>
        <v>08170109190</v>
      </c>
      <c r="E927" s="14" t="str">
        <f>IFERROR(__xludf.DUMMYFUNCTION("""COMPUTED_VALUE"""),"Website")</f>
        <v>Website</v>
      </c>
      <c r="F927" s="14" t="str">
        <f>IFERROR(__xludf.DUMMYFUNCTION("""COMPUTED_VALUE"""),"Closing")</f>
        <v>Closing</v>
      </c>
      <c r="G927" s="14" t="str">
        <f>IFERROR(__xludf.DUMMYFUNCTION("""COMPUTED_VALUE"""),"OT djabal, PT MT, OT Ijen")</f>
        <v>OT djabal, PT MT, OT Ijen</v>
      </c>
      <c r="H927" s="16">
        <f>IFERROR(__xludf.DUMMYFUNCTION("""COMPUTED_VALUE"""),46197.0)</f>
        <v>46197</v>
      </c>
      <c r="I927" s="17">
        <f>IFERROR(__xludf.DUMMYFUNCTION("""COMPUTED_VALUE"""),4.0)</f>
        <v>4</v>
      </c>
      <c r="J927" s="54">
        <f>IFERROR(__xludf.DUMMYFUNCTION("""COMPUTED_VALUE"""),5950000.0)</f>
        <v>5950000</v>
      </c>
      <c r="K927" s="46" t="str">
        <f>IFERROR(__xludf.DUMMYFUNCTION("""COMPUTED_VALUE"""),"orrdeerrr")</f>
        <v>orrdeerrr</v>
      </c>
      <c r="L927" s="10"/>
      <c r="M927" s="20"/>
      <c r="N927" s="20"/>
      <c r="O927" s="20"/>
      <c r="P927" s="20"/>
    </row>
    <row r="928">
      <c r="A928" s="21">
        <f>IFERROR(__xludf.DUMMYFUNCTION("""COMPUTED_VALUE"""),46192.0)</f>
        <v>46192</v>
      </c>
      <c r="B928" s="21" t="str">
        <f>IFERROR(__xludf.DUMMYFUNCTION("""COMPUTED_VALUE"""),"2606D141")</f>
        <v>2606D141</v>
      </c>
      <c r="C928" s="23" t="str">
        <f>IFERROR(__xludf.DUMMYFUNCTION("""COMPUTED_VALUE"""),"Maisyafriana")</f>
        <v>Maisyafriana</v>
      </c>
      <c r="D928" s="24" t="str">
        <f>IFERROR(__xludf.DUMMYFUNCTION("""COMPUTED_VALUE"""),"0816599036")</f>
        <v>0816599036</v>
      </c>
      <c r="E928" s="14" t="str">
        <f>IFERROR(__xludf.DUMMYFUNCTION("""COMPUTED_VALUE"""),"Website")</f>
        <v>Website</v>
      </c>
      <c r="F928" s="14" t="str">
        <f>IFERROR(__xludf.DUMMYFUNCTION("""COMPUTED_VALUE"""),"Gagal")</f>
        <v>Gagal</v>
      </c>
      <c r="G928" s="14" t="str">
        <f>IFERROR(__xludf.DUMMYFUNCTION("""COMPUTED_VALUE"""),"OT 3H2M")</f>
        <v>OT 3H2M</v>
      </c>
      <c r="H928" s="26">
        <f>IFERROR(__xludf.DUMMYFUNCTION("""COMPUTED_VALUE"""),46197.0)</f>
        <v>46197</v>
      </c>
      <c r="I928" s="27">
        <f>IFERROR(__xludf.DUMMYFUNCTION("""COMPUTED_VALUE"""),2.0)</f>
        <v>2</v>
      </c>
      <c r="J928" s="33"/>
      <c r="K928" s="30" t="str">
        <f>IFERROR(__xludf.DUMMYFUNCTION("""COMPUTED_VALUE"""),"gagallll")</f>
        <v>gagallll</v>
      </c>
      <c r="L928" s="23"/>
      <c r="M928" s="20"/>
      <c r="N928" s="20"/>
      <c r="O928" s="20"/>
      <c r="P928" s="20"/>
    </row>
    <row r="929">
      <c r="A929" s="11">
        <f>IFERROR(__xludf.DUMMYFUNCTION("""COMPUTED_VALUE"""),46192.0)</f>
        <v>46192</v>
      </c>
      <c r="B929" s="11" t="str">
        <f>IFERROR(__xludf.DUMMYFUNCTION("""COMPUTED_VALUE"""),"2606D142")</f>
        <v>2606D142</v>
      </c>
      <c r="C929" s="10" t="str">
        <f>IFERROR(__xludf.DUMMYFUNCTION("""COMPUTED_VALUE"""),"Anna Enggelena")</f>
        <v>Anna Enggelena</v>
      </c>
      <c r="D929" s="13" t="str">
        <f>IFERROR(__xludf.DUMMYFUNCTION("""COMPUTED_VALUE"""),"082299688008")</f>
        <v>082299688008</v>
      </c>
      <c r="E929" s="14" t="str">
        <f>IFERROR(__xludf.DUMMYFUNCTION("""COMPUTED_VALUE"""),"Lainnya")</f>
        <v>Lainnya</v>
      </c>
      <c r="F929" s="14" t="str">
        <f>IFERROR(__xludf.DUMMYFUNCTION("""COMPUTED_VALUE"""),"Gagal")</f>
        <v>Gagal</v>
      </c>
      <c r="G929" s="14" t="str">
        <f>IFERROR(__xludf.DUMMYFUNCTION("""COMPUTED_VALUE"""),"private trip DjaBal")</f>
        <v>private trip DjaBal</v>
      </c>
      <c r="H929" s="16"/>
      <c r="I929" s="17">
        <f>IFERROR(__xludf.DUMMYFUNCTION("""COMPUTED_VALUE"""),2.0)</f>
        <v>2</v>
      </c>
      <c r="J929" s="54"/>
      <c r="K929" s="46" t="str">
        <f>IFERROR(__xludf.DUMMYFUNCTION("""COMPUTED_VALUE"""),"tidak jadi ke Banyuwangi")</f>
        <v>tidak jadi ke Banyuwangi</v>
      </c>
      <c r="L929" s="10"/>
      <c r="M929" s="20"/>
      <c r="N929" s="20"/>
      <c r="O929" s="20"/>
      <c r="P929" s="20"/>
    </row>
    <row r="930">
      <c r="A930" s="21">
        <f>IFERROR(__xludf.DUMMYFUNCTION("""COMPUTED_VALUE"""),46192.0)</f>
        <v>46192</v>
      </c>
      <c r="B930" s="21" t="str">
        <f>IFERROR(__xludf.DUMMYFUNCTION("""COMPUTED_VALUE"""),"2606D143")</f>
        <v>2606D143</v>
      </c>
      <c r="C930" s="23" t="str">
        <f>IFERROR(__xludf.DUMMYFUNCTION("""COMPUTED_VALUE"""),"Alya")</f>
        <v>Alya</v>
      </c>
      <c r="D930" s="24" t="str">
        <f>IFERROR(__xludf.DUMMYFUNCTION("""COMPUTED_VALUE"""),"085811382464")</f>
        <v>085811382464</v>
      </c>
      <c r="E930" s="14" t="str">
        <f>IFERROR(__xludf.DUMMYFUNCTION("""COMPUTED_VALUE"""),"Instagram")</f>
        <v>Instagram</v>
      </c>
      <c r="F930" s="14" t="str">
        <f>IFERROR(__xludf.DUMMYFUNCTION("""COMPUTED_VALUE"""),"Leads Baru")</f>
        <v>Leads Baru</v>
      </c>
      <c r="G930" s="14" t="str">
        <f>IFERROR(__xludf.DUMMYFUNCTION("""COMPUTED_VALUE"""),"Ot Harian")</f>
        <v>Ot Harian</v>
      </c>
      <c r="H930" s="26"/>
      <c r="I930" s="27">
        <f>IFERROR(__xludf.DUMMYFUNCTION("""COMPUTED_VALUE"""),2.0)</f>
        <v>2</v>
      </c>
      <c r="J930" s="33"/>
      <c r="K930" s="30" t="str">
        <f>IFERROR(__xludf.DUMMYFUNCTION("""COMPUTED_VALUE"""),"Fu 23 Juni")</f>
        <v>Fu 23 Juni</v>
      </c>
      <c r="L930" s="23"/>
      <c r="M930" s="20"/>
      <c r="N930" s="20"/>
      <c r="O930" s="20"/>
      <c r="P930" s="20"/>
    </row>
    <row r="931">
      <c r="A931" s="11">
        <f>IFERROR(__xludf.DUMMYFUNCTION("""COMPUTED_VALUE"""),46192.0)</f>
        <v>46192</v>
      </c>
      <c r="B931" s="11" t="str">
        <f>IFERROR(__xludf.DUMMYFUNCTION("""COMPUTED_VALUE"""),"2606D144")</f>
        <v>2606D144</v>
      </c>
      <c r="C931" s="10" t="str">
        <f>IFERROR(__xludf.DUMMYFUNCTION("""COMPUTED_VALUE"""),"Diamaulita")</f>
        <v>Diamaulita</v>
      </c>
      <c r="D931" s="13" t="str">
        <f>IFERROR(__xludf.DUMMYFUNCTION("""COMPUTED_VALUE"""),"085649481723")</f>
        <v>085649481723</v>
      </c>
      <c r="E931" s="14" t="str">
        <f>IFERROR(__xludf.DUMMYFUNCTION("""COMPUTED_VALUE"""),"Instagram")</f>
        <v>Instagram</v>
      </c>
      <c r="F931" s="14" t="str">
        <f>IFERROR(__xludf.DUMMYFUNCTION("""COMPUTED_VALUE"""),"Leads Baru")</f>
        <v>Leads Baru</v>
      </c>
      <c r="G931" s="14"/>
      <c r="H931" s="16"/>
      <c r="I931" s="17"/>
      <c r="J931" s="54"/>
      <c r="K931" s="46" t="str">
        <f>IFERROR(__xludf.DUMMYFUNCTION("""COMPUTED_VALUE"""),"FU 24 Juni")</f>
        <v>FU 24 Juni</v>
      </c>
      <c r="L931" s="10"/>
      <c r="M931" s="20"/>
      <c r="N931" s="20"/>
      <c r="O931" s="20"/>
      <c r="P931" s="20"/>
    </row>
    <row r="932">
      <c r="A932" s="21">
        <f>IFERROR(__xludf.DUMMYFUNCTION("""COMPUTED_VALUE"""),46193.0)</f>
        <v>46193</v>
      </c>
      <c r="B932" s="21" t="str">
        <f>IFERROR(__xludf.DUMMYFUNCTION("""COMPUTED_VALUE"""),"2606D145")</f>
        <v>2606D145</v>
      </c>
      <c r="C932" s="23" t="str">
        <f>IFERROR(__xludf.DUMMYFUNCTION("""COMPUTED_VALUE"""),"Salsa")</f>
        <v>Salsa</v>
      </c>
      <c r="D932" s="24" t="str">
        <f>IFERROR(__xludf.DUMMYFUNCTION("""COMPUTED_VALUE"""),"081228924392")</f>
        <v>081228924392</v>
      </c>
      <c r="E932" s="14" t="str">
        <f>IFERROR(__xludf.DUMMYFUNCTION("""COMPUTED_VALUE"""),"Instagram")</f>
        <v>Instagram</v>
      </c>
      <c r="F932" s="14" t="str">
        <f>IFERROR(__xludf.DUMMYFUNCTION("""COMPUTED_VALUE"""),"Leads Baru")</f>
        <v>Leads Baru</v>
      </c>
      <c r="G932" s="14" t="str">
        <f>IFERROR(__xludf.DUMMYFUNCTION("""COMPUTED_VALUE"""),"trip green island")</f>
        <v>trip green island</v>
      </c>
      <c r="H932" s="26"/>
      <c r="I932" s="27">
        <f>IFERROR(__xludf.DUMMYFUNCTION("""COMPUTED_VALUE"""),4.0)</f>
        <v>4</v>
      </c>
      <c r="J932" s="33"/>
      <c r="K932" s="30" t="str">
        <f>IFERROR(__xludf.DUMMYFUNCTION("""COMPUTED_VALUE"""),"FU 24 Juni")</f>
        <v>FU 24 Juni</v>
      </c>
      <c r="L932" s="23"/>
      <c r="M932" s="20"/>
      <c r="N932" s="20"/>
      <c r="O932" s="20"/>
      <c r="P932" s="20"/>
    </row>
    <row r="933">
      <c r="A933" s="11">
        <f>IFERROR(__xludf.DUMMYFUNCTION("""COMPUTED_VALUE"""),46193.0)</f>
        <v>46193</v>
      </c>
      <c r="B933" s="11" t="str">
        <f>IFERROR(__xludf.DUMMYFUNCTION("""COMPUTED_VALUE"""),"2606D146")</f>
        <v>2606D146</v>
      </c>
      <c r="C933" s="10" t="str">
        <f>IFERROR(__xludf.DUMMYFUNCTION("""COMPUTED_VALUE"""),"Aurelia Mitha")</f>
        <v>Aurelia Mitha</v>
      </c>
      <c r="D933" s="13" t="str">
        <f>IFERROR(__xludf.DUMMYFUNCTION("""COMPUTED_VALUE"""),"081227038958")</f>
        <v>081227038958</v>
      </c>
      <c r="E933" s="14" t="str">
        <f>IFERROR(__xludf.DUMMYFUNCTION("""COMPUTED_VALUE"""),"Instagram")</f>
        <v>Instagram</v>
      </c>
      <c r="F933" s="14" t="str">
        <f>IFERROR(__xludf.DUMMYFUNCTION("""COMPUTED_VALUE"""),"Leads Baru")</f>
        <v>Leads Baru</v>
      </c>
      <c r="G933" s="14" t="str">
        <f>IFERROR(__xludf.DUMMYFUNCTION("""COMPUTED_VALUE"""),"3h2m opsi A")</f>
        <v>3h2m opsi A</v>
      </c>
      <c r="H933" s="16"/>
      <c r="I933" s="17">
        <f>IFERROR(__xludf.DUMMYFUNCTION("""COMPUTED_VALUE"""),1.0)</f>
        <v>1</v>
      </c>
      <c r="J933" s="54"/>
      <c r="K933" s="46" t="str">
        <f>IFERROR(__xludf.DUMMYFUNCTION("""COMPUTED_VALUE"""),"kalau ada pendaftar lain dikabarin, FU 4 Juli")</f>
        <v>kalau ada pendaftar lain dikabarin, FU 4 Juli</v>
      </c>
      <c r="L933" s="10"/>
      <c r="M933" s="20"/>
      <c r="N933" s="20"/>
      <c r="O933" s="20"/>
      <c r="P933" s="20"/>
    </row>
    <row r="934">
      <c r="A934" s="21">
        <f>IFERROR(__xludf.DUMMYFUNCTION("""COMPUTED_VALUE"""),46193.0)</f>
        <v>46193</v>
      </c>
      <c r="B934" s="21" t="str">
        <f>IFERROR(__xludf.DUMMYFUNCTION("""COMPUTED_VALUE"""),"2606D147")</f>
        <v>2606D147</v>
      </c>
      <c r="C934" s="23" t="str">
        <f>IFERROR(__xludf.DUMMYFUNCTION("""COMPUTED_VALUE"""),"Irma Kharisma ")</f>
        <v>Irma Kharisma </v>
      </c>
      <c r="D934" s="24" t="str">
        <f>IFERROR(__xludf.DUMMYFUNCTION("""COMPUTED_VALUE"""),"081221400049")</f>
        <v>081221400049</v>
      </c>
      <c r="E934" s="14" t="str">
        <f>IFERROR(__xludf.DUMMYFUNCTION("""COMPUTED_VALUE"""),"Instagram")</f>
        <v>Instagram</v>
      </c>
      <c r="F934" s="14" t="str">
        <f>IFERROR(__xludf.DUMMYFUNCTION("""COMPUTED_VALUE"""),"Leads Baru")</f>
        <v>Leads Baru</v>
      </c>
      <c r="G934" s="14" t="str">
        <f>IFERROR(__xludf.DUMMYFUNCTION("""COMPUTED_VALUE"""),"paket family trip")</f>
        <v>paket family trip</v>
      </c>
      <c r="H934" s="26"/>
      <c r="I934" s="27">
        <f>IFERROR(__xludf.DUMMYFUNCTION("""COMPUTED_VALUE"""),5.0)</f>
        <v>5</v>
      </c>
      <c r="J934" s="33"/>
      <c r="K934" s="30" t="str">
        <f>IFERROR(__xludf.DUMMYFUNCTION("""COMPUTED_VALUE"""),"FU 26 Juni")</f>
        <v>FU 26 Juni</v>
      </c>
      <c r="L934" s="23"/>
      <c r="M934" s="20"/>
      <c r="N934" s="20"/>
      <c r="O934" s="20"/>
      <c r="P934" s="20"/>
    </row>
    <row r="935">
      <c r="A935" s="11">
        <f>IFERROR(__xludf.DUMMYFUNCTION("""COMPUTED_VALUE"""),46193.0)</f>
        <v>46193</v>
      </c>
      <c r="B935" s="11" t="str">
        <f>IFERROR(__xludf.DUMMYFUNCTION("""COMPUTED_VALUE"""),"2606D148")</f>
        <v>2606D148</v>
      </c>
      <c r="C935" s="10" t="str">
        <f>IFERROR(__xludf.DUMMYFUNCTION("""COMPUTED_VALUE"""),"Win")</f>
        <v>Win</v>
      </c>
      <c r="D935" s="13" t="str">
        <f>IFERROR(__xludf.DUMMYFUNCTION("""COMPUTED_VALUE"""),"081939048993")</f>
        <v>081939048993</v>
      </c>
      <c r="E935" s="14" t="str">
        <f>IFERROR(__xludf.DUMMYFUNCTION("""COMPUTED_VALUE"""),"Website")</f>
        <v>Website</v>
      </c>
      <c r="F935" s="14" t="str">
        <f>IFERROR(__xludf.DUMMYFUNCTION("""COMPUTED_VALUE"""),"Leads Baru")</f>
        <v>Leads Baru</v>
      </c>
      <c r="G935" s="14" t="str">
        <f>IFERROR(__xludf.DUMMYFUNCTION("""COMPUTED_VALUE"""),"3h2m opsi B")</f>
        <v>3h2m opsi B</v>
      </c>
      <c r="H935" s="16"/>
      <c r="I935" s="17"/>
      <c r="J935" s="54"/>
      <c r="K935" s="46" t="str">
        <f>IFERROR(__xludf.DUMMYFUNCTION("""COMPUTED_VALUE"""),"FU 26 Juni")</f>
        <v>FU 26 Juni</v>
      </c>
      <c r="L935" s="10"/>
      <c r="M935" s="20"/>
      <c r="N935" s="20"/>
      <c r="O935" s="20"/>
      <c r="P935" s="20"/>
    </row>
    <row r="936">
      <c r="A936" s="21">
        <f>IFERROR(__xludf.DUMMYFUNCTION("""COMPUTED_VALUE"""),46193.0)</f>
        <v>46193</v>
      </c>
      <c r="B936" s="21" t="str">
        <f>IFERROR(__xludf.DUMMYFUNCTION("""COMPUTED_VALUE"""),"2606D149")</f>
        <v>2606D149</v>
      </c>
      <c r="C936" s="23" t="str">
        <f>IFERROR(__xludf.DUMMYFUNCTION("""COMPUTED_VALUE"""),"Siti Fimbay")</f>
        <v>Siti Fimbay</v>
      </c>
      <c r="D936" s="24" t="str">
        <f>IFERROR(__xludf.DUMMYFUNCTION("""COMPUTED_VALUE"""),"085259020063")</f>
        <v>085259020063</v>
      </c>
      <c r="E936" s="14" t="str">
        <f>IFERROR(__xludf.DUMMYFUNCTION("""COMPUTED_VALUE"""),"Instagram")</f>
        <v>Instagram</v>
      </c>
      <c r="F936" s="14" t="str">
        <f>IFERROR(__xludf.DUMMYFUNCTION("""COMPUTED_VALUE"""),"Leads Baru")</f>
        <v>Leads Baru</v>
      </c>
      <c r="G936" s="14" t="str">
        <f>IFERROR(__xludf.DUMMYFUNCTION("""COMPUTED_VALUE"""),"3h2m opsi A")</f>
        <v>3h2m opsi A</v>
      </c>
      <c r="H936" s="26"/>
      <c r="I936" s="27">
        <f>IFERROR(__xludf.DUMMYFUNCTION("""COMPUTED_VALUE"""),2.0)</f>
        <v>2</v>
      </c>
      <c r="J936" s="33"/>
      <c r="K936" s="30" t="str">
        <f>IFERROR(__xludf.DUMMYFUNCTION("""COMPUTED_VALUE"""),"belum blasa lagi, FU 27 Juni")</f>
        <v>belum blasa lagi, FU 27 Juni</v>
      </c>
      <c r="L936" s="23"/>
      <c r="M936" s="20"/>
      <c r="N936" s="20"/>
      <c r="O936" s="20"/>
      <c r="P936" s="20"/>
    </row>
    <row r="937">
      <c r="A937" s="11">
        <f>IFERROR(__xludf.DUMMYFUNCTION("""COMPUTED_VALUE"""),46193.0)</f>
        <v>46193</v>
      </c>
      <c r="B937" s="11" t="str">
        <f>IFERROR(__xludf.DUMMYFUNCTION("""COMPUTED_VALUE"""),"2696D150")</f>
        <v>2696D150</v>
      </c>
      <c r="C937" s="10" t="str">
        <f>IFERROR(__xludf.DUMMYFUNCTION("""COMPUTED_VALUE"""),"Dian Rosita")</f>
        <v>Dian Rosita</v>
      </c>
      <c r="D937" s="13" t="str">
        <f>IFERROR(__xludf.DUMMYFUNCTION("""COMPUTED_VALUE"""),"08134053568")</f>
        <v>08134053568</v>
      </c>
      <c r="E937" s="14" t="str">
        <f>IFERROR(__xludf.DUMMYFUNCTION("""COMPUTED_VALUE"""),"Instagram")</f>
        <v>Instagram</v>
      </c>
      <c r="F937" s="14" t="str">
        <f>IFERROR(__xludf.DUMMYFUNCTION("""COMPUTED_VALUE"""),"Closing")</f>
        <v>Closing</v>
      </c>
      <c r="G937" s="14" t="str">
        <f>IFERROR(__xludf.DUMMYFUNCTION("""COMPUTED_VALUE"""),"OT MT")</f>
        <v>OT MT</v>
      </c>
      <c r="H937" s="16">
        <f>IFERROR(__xludf.DUMMYFUNCTION("""COMPUTED_VALUE"""),46226.0)</f>
        <v>46226</v>
      </c>
      <c r="I937" s="17">
        <f>IFERROR(__xludf.DUMMYFUNCTION("""COMPUTED_VALUE"""),4.0)</f>
        <v>4</v>
      </c>
      <c r="J937" s="54">
        <f>IFERROR(__xludf.DUMMYFUNCTION("""COMPUTED_VALUE"""),1600000.0)</f>
        <v>1600000</v>
      </c>
      <c r="K937" s="46" t="str">
        <f>IFERROR(__xludf.DUMMYFUNCTION("""COMPUTED_VALUE"""),"yess orderr")</f>
        <v>yess orderr</v>
      </c>
      <c r="L937" s="10"/>
      <c r="M937" s="20"/>
      <c r="N937" s="20"/>
      <c r="O937" s="20"/>
      <c r="P937" s="20"/>
    </row>
    <row r="938">
      <c r="A938" s="21">
        <f>IFERROR(__xludf.DUMMYFUNCTION("""COMPUTED_VALUE"""),46193.0)</f>
        <v>46193</v>
      </c>
      <c r="B938" s="21" t="str">
        <f>IFERROR(__xludf.DUMMYFUNCTION("""COMPUTED_VALUE"""),"2606D151")</f>
        <v>2606D151</v>
      </c>
      <c r="C938" s="23" t="str">
        <f>IFERROR(__xludf.DUMMYFUNCTION("""COMPUTED_VALUE"""),"Reno Arvando")</f>
        <v>Reno Arvando</v>
      </c>
      <c r="D938" s="24" t="str">
        <f>IFERROR(__xludf.DUMMYFUNCTION("""COMPUTED_VALUE"""),"085727001842")</f>
        <v>085727001842</v>
      </c>
      <c r="E938" s="14" t="str">
        <f>IFERROR(__xludf.DUMMYFUNCTION("""COMPUTED_VALUE"""),"Website")</f>
        <v>Website</v>
      </c>
      <c r="F938" s="14" t="str">
        <f>IFERROR(__xludf.DUMMYFUNCTION("""COMPUTED_VALUE"""),"Closing")</f>
        <v>Closing</v>
      </c>
      <c r="G938" s="14" t="str">
        <f>IFERROR(__xludf.DUMMYFUNCTION("""COMPUTED_VALUE"""),"3H2M opsi A Include hotel aston")</f>
        <v>3H2M opsi A Include hotel aston</v>
      </c>
      <c r="H938" s="26">
        <f>IFERROR(__xludf.DUMMYFUNCTION("""COMPUTED_VALUE"""),46205.0)</f>
        <v>46205</v>
      </c>
      <c r="I938" s="27">
        <f>IFERROR(__xludf.DUMMYFUNCTION("""COMPUTED_VALUE"""),3.0)</f>
        <v>3</v>
      </c>
      <c r="J938" s="33">
        <f>IFERROR(__xludf.DUMMYFUNCTION("""COMPUTED_VALUE"""),8802000.0)</f>
        <v>8802000</v>
      </c>
      <c r="K938" s="30" t="str">
        <f>IFERROR(__xludf.DUMMYFUNCTION("""COMPUTED_VALUE"""),"orrderrr")</f>
        <v>orrderrr</v>
      </c>
      <c r="L938" s="23"/>
      <c r="M938" s="20"/>
      <c r="N938" s="20"/>
      <c r="O938" s="20"/>
      <c r="P938" s="20"/>
    </row>
    <row r="939">
      <c r="A939" s="11">
        <f>IFERROR(__xludf.DUMMYFUNCTION("""COMPUTED_VALUE"""),46193.0)</f>
        <v>46193</v>
      </c>
      <c r="B939" s="11" t="str">
        <f>IFERROR(__xludf.DUMMYFUNCTION("""COMPUTED_VALUE"""),"2606D152")</f>
        <v>2606D152</v>
      </c>
      <c r="C939" s="10" t="str">
        <f>IFERROR(__xludf.DUMMYFUNCTION("""COMPUTED_VALUE"""),"May")</f>
        <v>May</v>
      </c>
      <c r="D939" s="13" t="str">
        <f>IFERROR(__xludf.DUMMYFUNCTION("""COMPUTED_VALUE"""),"0895340964490")</f>
        <v>0895340964490</v>
      </c>
      <c r="E939" s="14" t="str">
        <f>IFERROR(__xludf.DUMMYFUNCTION("""COMPUTED_VALUE"""),"Instagram")</f>
        <v>Instagram</v>
      </c>
      <c r="F939" s="14" t="str">
        <f>IFERROR(__xludf.DUMMYFUNCTION("""COMPUTED_VALUE"""),"Leads Baru")</f>
        <v>Leads Baru</v>
      </c>
      <c r="G939" s="14" t="str">
        <f>IFERROR(__xludf.DUMMYFUNCTION("""COMPUTED_VALUE"""),"3h2m custome")</f>
        <v>3h2m custome</v>
      </c>
      <c r="H939" s="16"/>
      <c r="I939" s="17">
        <f>IFERROR(__xludf.DUMMYFUNCTION("""COMPUTED_VALUE"""),4.0)</f>
        <v>4</v>
      </c>
      <c r="J939" s="54"/>
      <c r="K939" s="46" t="str">
        <f>IFERROR(__xludf.DUMMYFUNCTION("""COMPUTED_VALUE"""),"diskusi dulu, FU 9 Juli")</f>
        <v>diskusi dulu, FU 9 Juli</v>
      </c>
      <c r="L939" s="10"/>
      <c r="M939" s="20"/>
      <c r="N939" s="20"/>
      <c r="O939" s="20"/>
      <c r="P939" s="20"/>
    </row>
    <row r="940">
      <c r="A940" s="21">
        <f>IFERROR(__xludf.DUMMYFUNCTION("""COMPUTED_VALUE"""),46193.0)</f>
        <v>46193</v>
      </c>
      <c r="B940" s="21" t="str">
        <f>IFERROR(__xludf.DUMMYFUNCTION("""COMPUTED_VALUE"""),"2606D153")</f>
        <v>2606D153</v>
      </c>
      <c r="C940" s="23" t="str">
        <f>IFERROR(__xludf.DUMMYFUNCTION("""COMPUTED_VALUE"""),"Yizhuo Ying")</f>
        <v>Yizhuo Ying</v>
      </c>
      <c r="D940" s="24" t="str">
        <f>IFERROR(__xludf.DUMMYFUNCTION("""COMPUTED_VALUE"""),"0447718635730")</f>
        <v>0447718635730</v>
      </c>
      <c r="E940" s="14" t="str">
        <f>IFERROR(__xludf.DUMMYFUNCTION("""COMPUTED_VALUE"""),"Website")</f>
        <v>Website</v>
      </c>
      <c r="F940" s="14" t="str">
        <f>IFERROR(__xludf.DUMMYFUNCTION("""COMPUTED_VALUE"""),"Leads Baru")</f>
        <v>Leads Baru</v>
      </c>
      <c r="G940" s="14" t="str">
        <f>IFERROR(__xludf.DUMMYFUNCTION("""COMPUTED_VALUE"""),"OT Ijen")</f>
        <v>OT Ijen</v>
      </c>
      <c r="H940" s="26"/>
      <c r="I940" s="27">
        <f>IFERROR(__xludf.DUMMYFUNCTION("""COMPUTED_VALUE"""),1.0)</f>
        <v>1</v>
      </c>
      <c r="J940" s="33"/>
      <c r="K940" s="30" t="str">
        <f>IFERROR(__xludf.DUMMYFUNCTION("""COMPUTED_VALUE"""),"FU 23 Juni")</f>
        <v>FU 23 Juni</v>
      </c>
      <c r="L940" s="23"/>
      <c r="M940" s="20"/>
      <c r="N940" s="20"/>
      <c r="O940" s="20"/>
      <c r="P940" s="20"/>
    </row>
    <row r="941">
      <c r="A941" s="11">
        <f>IFERROR(__xludf.DUMMYFUNCTION("""COMPUTED_VALUE"""),46193.0)</f>
        <v>46193</v>
      </c>
      <c r="B941" s="11" t="str">
        <f>IFERROR(__xludf.DUMMYFUNCTION("""COMPUTED_VALUE"""),"2606D154")</f>
        <v>2606D154</v>
      </c>
      <c r="C941" s="10" t="str">
        <f>IFERROR(__xludf.DUMMYFUNCTION("""COMPUTED_VALUE"""),"Binta Ihtada")</f>
        <v>Binta Ihtada</v>
      </c>
      <c r="D941" s="13" t="str">
        <f>IFERROR(__xludf.DUMMYFUNCTION("""COMPUTED_VALUE"""),"085281202621")</f>
        <v>085281202621</v>
      </c>
      <c r="E941" s="14" t="str">
        <f>IFERROR(__xludf.DUMMYFUNCTION("""COMPUTED_VALUE"""),"Instagram")</f>
        <v>Instagram</v>
      </c>
      <c r="F941" s="14" t="str">
        <f>IFERROR(__xludf.DUMMYFUNCTION("""COMPUTED_VALUE"""),"Leads Baru")</f>
        <v>Leads Baru</v>
      </c>
      <c r="G941" s="14" t="str">
        <f>IFERROR(__xludf.DUMMYFUNCTION("""COMPUTED_VALUE"""),"OT 3H2M")</f>
        <v>OT 3H2M</v>
      </c>
      <c r="H941" s="16"/>
      <c r="I941" s="17">
        <f>IFERROR(__xludf.DUMMYFUNCTION("""COMPUTED_VALUE"""),2.0)</f>
        <v>2</v>
      </c>
      <c r="J941" s="54"/>
      <c r="K941" s="46" t="str">
        <f>IFERROR(__xludf.DUMMYFUNCTION("""COMPUTED_VALUE"""),"FU 2 Agustus")</f>
        <v>FU 2 Agustus</v>
      </c>
      <c r="L941" s="10"/>
      <c r="M941" s="20"/>
      <c r="N941" s="20"/>
      <c r="O941" s="20"/>
      <c r="P941" s="20"/>
    </row>
    <row r="942">
      <c r="A942" s="21">
        <f>IFERROR(__xludf.DUMMYFUNCTION("""COMPUTED_VALUE"""),46194.0)</f>
        <v>46194</v>
      </c>
      <c r="B942" s="21" t="str">
        <f>IFERROR(__xludf.DUMMYFUNCTION("""COMPUTED_VALUE"""),"2606D155")</f>
        <v>2606D155</v>
      </c>
      <c r="C942" s="23" t="str">
        <f>IFERROR(__xludf.DUMMYFUNCTION("""COMPUTED_VALUE"""),"Rizkapulung")</f>
        <v>Rizkapulung</v>
      </c>
      <c r="D942" s="24" t="str">
        <f>IFERROR(__xludf.DUMMYFUNCTION("""COMPUTED_VALUE"""),"085643119425")</f>
        <v>085643119425</v>
      </c>
      <c r="E942" s="14" t="str">
        <f>IFERROR(__xludf.DUMMYFUNCTION("""COMPUTED_VALUE"""),"Website")</f>
        <v>Website</v>
      </c>
      <c r="F942" s="14" t="str">
        <f>IFERROR(__xludf.DUMMYFUNCTION("""COMPUTED_VALUE"""),"Leads Baru")</f>
        <v>Leads Baru</v>
      </c>
      <c r="G942" s="14"/>
      <c r="H942" s="26"/>
      <c r="I942" s="27"/>
      <c r="J942" s="33"/>
      <c r="K942" s="30" t="str">
        <f>IFERROR(__xludf.DUMMYFUNCTION("""COMPUTED_VALUE"""),"belum balas lagi, FU 24 Juni")</f>
        <v>belum balas lagi, FU 24 Juni</v>
      </c>
      <c r="L942" s="23"/>
      <c r="M942" s="20"/>
      <c r="N942" s="20"/>
      <c r="O942" s="20"/>
      <c r="P942" s="20"/>
    </row>
    <row r="943">
      <c r="A943" s="11">
        <f>IFERROR(__xludf.DUMMYFUNCTION("""COMPUTED_VALUE"""),46194.0)</f>
        <v>46194</v>
      </c>
      <c r="B943" s="11" t="str">
        <f>IFERROR(__xludf.DUMMYFUNCTION("""COMPUTED_VALUE"""),"2606D156")</f>
        <v>2606D156</v>
      </c>
      <c r="C943" s="10" t="str">
        <f>IFERROR(__xludf.DUMMYFUNCTION("""COMPUTED_VALUE"""),"Nur Syifa Azrya")</f>
        <v>Nur Syifa Azrya</v>
      </c>
      <c r="D943" s="13" t="str">
        <f>IFERROR(__xludf.DUMMYFUNCTION("""COMPUTED_VALUE"""),"08978101222")</f>
        <v>08978101222</v>
      </c>
      <c r="E943" s="14" t="str">
        <f>IFERROR(__xludf.DUMMYFUNCTION("""COMPUTED_VALUE"""),"Instagram")</f>
        <v>Instagram</v>
      </c>
      <c r="F943" s="14" t="str">
        <f>IFERROR(__xludf.DUMMYFUNCTION("""COMPUTED_VALUE"""),"Leads Baru")</f>
        <v>Leads Baru</v>
      </c>
      <c r="G943" s="14" t="str">
        <f>IFERROR(__xludf.DUMMYFUNCTION("""COMPUTED_VALUE"""),"3h2m opsi A")</f>
        <v>3h2m opsi A</v>
      </c>
      <c r="H943" s="16"/>
      <c r="I943" s="17"/>
      <c r="J943" s="54"/>
      <c r="K943" s="46" t="str">
        <f>IFERROR(__xludf.DUMMYFUNCTION("""COMPUTED_VALUE"""),"minta additional GI, FU 24 Juni")</f>
        <v>minta additional GI, FU 24 Juni</v>
      </c>
      <c r="L943" s="10"/>
      <c r="M943" s="20"/>
      <c r="N943" s="20"/>
      <c r="O943" s="20"/>
      <c r="P943" s="20"/>
    </row>
    <row r="944">
      <c r="A944" s="21">
        <f>IFERROR(__xludf.DUMMYFUNCTION("""COMPUTED_VALUE"""),46190.0)</f>
        <v>46190</v>
      </c>
      <c r="B944" s="21" t="str">
        <f>IFERROR(__xludf.DUMMYFUNCTION("""COMPUTED_VALUE"""),"2606D157")</f>
        <v>2606D157</v>
      </c>
      <c r="C944" s="23" t="str">
        <f>IFERROR(__xludf.DUMMYFUNCTION("""COMPUTED_VALUE"""),"Ichiocha")</f>
        <v>Ichiocha</v>
      </c>
      <c r="D944" s="24" t="str">
        <f>IFERROR(__xludf.DUMMYFUNCTION("""COMPUTED_VALUE"""),"085646688307")</f>
        <v>085646688307</v>
      </c>
      <c r="E944" s="14" t="str">
        <f>IFERROR(__xludf.DUMMYFUNCTION("""COMPUTED_VALUE"""),"Website")</f>
        <v>Website</v>
      </c>
      <c r="F944" s="14" t="str">
        <f>IFERROR(__xludf.DUMMYFUNCTION("""COMPUTED_VALUE"""),"Leads Baru")</f>
        <v>Leads Baru</v>
      </c>
      <c r="G944" s="14" t="str">
        <f>IFERROR(__xludf.DUMMYFUNCTION("""COMPUTED_VALUE"""),"OT MT")</f>
        <v>OT MT</v>
      </c>
      <c r="H944" s="26"/>
      <c r="I944" s="27"/>
      <c r="J944" s="33"/>
      <c r="K944" s="30" t="str">
        <f>IFERROR(__xludf.DUMMYFUNCTION("""COMPUTED_VALUE"""),"tanya paddle, FU 25 Juni")</f>
        <v>tanya paddle, FU 25 Juni</v>
      </c>
      <c r="L944" s="23"/>
      <c r="M944" s="20"/>
      <c r="N944" s="20"/>
      <c r="O944" s="20"/>
      <c r="P944" s="20"/>
    </row>
    <row r="945">
      <c r="A945" s="11">
        <f>IFERROR(__xludf.DUMMYFUNCTION("""COMPUTED_VALUE"""),46192.0)</f>
        <v>46192</v>
      </c>
      <c r="B945" s="11" t="str">
        <f>IFERROR(__xludf.DUMMYFUNCTION("""COMPUTED_VALUE"""),"2606D158")</f>
        <v>2606D158</v>
      </c>
      <c r="C945" s="10" t="str">
        <f>IFERROR(__xludf.DUMMYFUNCTION("""COMPUTED_VALUE"""),"Abdusyekti")</f>
        <v>Abdusyekti</v>
      </c>
      <c r="D945" s="13" t="str">
        <f>IFERROR(__xludf.DUMMYFUNCTION("""COMPUTED_VALUE"""),"085258810812")</f>
        <v>085258810812</v>
      </c>
      <c r="E945" s="14" t="str">
        <f>IFERROR(__xludf.DUMMYFUNCTION("""COMPUTED_VALUE"""),"Website")</f>
        <v>Website</v>
      </c>
      <c r="F945" s="14" t="str">
        <f>IFERROR(__xludf.DUMMYFUNCTION("""COMPUTED_VALUE"""),"Leads Baru")</f>
        <v>Leads Baru</v>
      </c>
      <c r="G945" s="14"/>
      <c r="H945" s="16"/>
      <c r="I945" s="17"/>
      <c r="J945" s="54"/>
      <c r="K945" s="46" t="str">
        <f>IFERROR(__xludf.DUMMYFUNCTION("""COMPUTED_VALUE"""),"baru menyapa")</f>
        <v>baru menyapa</v>
      </c>
      <c r="L945" s="10"/>
      <c r="M945" s="20"/>
      <c r="N945" s="20"/>
      <c r="O945" s="20"/>
      <c r="P945" s="20"/>
    </row>
    <row r="946">
      <c r="A946" s="21">
        <f>IFERROR(__xludf.DUMMYFUNCTION("""COMPUTED_VALUE"""),46194.0)</f>
        <v>46194</v>
      </c>
      <c r="B946" s="21" t="str">
        <f>IFERROR(__xludf.DUMMYFUNCTION("""COMPUTED_VALUE"""),"2606D159")</f>
        <v>2606D159</v>
      </c>
      <c r="C946" s="23" t="str">
        <f>IFERROR(__xludf.DUMMYFUNCTION("""COMPUTED_VALUE"""),"Anindya ")</f>
        <v>Anindya </v>
      </c>
      <c r="D946" s="24" t="str">
        <f>IFERROR(__xludf.DUMMYFUNCTION("""COMPUTED_VALUE"""),"081280135601")</f>
        <v>081280135601</v>
      </c>
      <c r="E946" s="14" t="str">
        <f>IFERROR(__xludf.DUMMYFUNCTION("""COMPUTED_VALUE"""),"Instagram")</f>
        <v>Instagram</v>
      </c>
      <c r="F946" s="14" t="str">
        <f>IFERROR(__xludf.DUMMYFUNCTION("""COMPUTED_VALUE"""),"Closing")</f>
        <v>Closing</v>
      </c>
      <c r="G946" s="14" t="str">
        <f>IFERROR(__xludf.DUMMYFUNCTION("""COMPUTED_VALUE"""),"2h1m custome")</f>
        <v>2h1m custome</v>
      </c>
      <c r="H946" s="26">
        <f>IFERROR(__xludf.DUMMYFUNCTION("""COMPUTED_VALUE"""),46208.0)</f>
        <v>46208</v>
      </c>
      <c r="I946" s="27">
        <f>IFERROR(__xludf.DUMMYFUNCTION("""COMPUTED_VALUE"""),3.0)</f>
        <v>3</v>
      </c>
      <c r="J946" s="33">
        <f>IFERROR(__xludf.DUMMYFUNCTION("""COMPUTED_VALUE"""),3750000.0)</f>
        <v>3750000</v>
      </c>
      <c r="K946" s="30" t="str">
        <f>IFERROR(__xludf.DUMMYFUNCTION("""COMPUTED_VALUE"""),"alhamdulillah orrderrr")</f>
        <v>alhamdulillah orrderrr</v>
      </c>
      <c r="L946" s="23"/>
      <c r="M946" s="20"/>
      <c r="N946" s="20"/>
      <c r="O946" s="20"/>
      <c r="P946" s="20"/>
    </row>
    <row r="947">
      <c r="A947" s="11">
        <f>IFERROR(__xludf.DUMMYFUNCTION("""COMPUTED_VALUE"""),46194.0)</f>
        <v>46194</v>
      </c>
      <c r="B947" s="11" t="str">
        <f>IFERROR(__xludf.DUMMYFUNCTION("""COMPUTED_VALUE"""),"2606D160")</f>
        <v>2606D160</v>
      </c>
      <c r="C947" s="10" t="str">
        <f>IFERROR(__xludf.DUMMYFUNCTION("""COMPUTED_VALUE"""),"Frisda")</f>
        <v>Frisda</v>
      </c>
      <c r="D947" s="13" t="str">
        <f>IFERROR(__xludf.DUMMYFUNCTION("""COMPUTED_VALUE"""),"0818789246")</f>
        <v>0818789246</v>
      </c>
      <c r="E947" s="14" t="str">
        <f>IFERROR(__xludf.DUMMYFUNCTION("""COMPUTED_VALUE"""),"Website")</f>
        <v>Website</v>
      </c>
      <c r="F947" s="14" t="str">
        <f>IFERROR(__xludf.DUMMYFUNCTION("""COMPUTED_VALUE"""),"Leads Baru")</f>
        <v>Leads Baru</v>
      </c>
      <c r="G947" s="14"/>
      <c r="H947" s="16"/>
      <c r="I947" s="17">
        <f>IFERROR(__xludf.DUMMYFUNCTION("""COMPUTED_VALUE"""),4.0)</f>
        <v>4</v>
      </c>
      <c r="J947" s="54"/>
      <c r="K947" s="46" t="str">
        <f>IFERROR(__xludf.DUMMYFUNCTION("""COMPUTED_VALUE"""),"masih menyapa, FU 23 Juni")</f>
        <v>masih menyapa, FU 23 Juni</v>
      </c>
      <c r="L947" s="10"/>
      <c r="M947" s="20"/>
      <c r="N947" s="20"/>
      <c r="O947" s="20"/>
      <c r="P947" s="20"/>
    </row>
    <row r="948">
      <c r="A948" s="21">
        <f>IFERROR(__xludf.DUMMYFUNCTION("""COMPUTED_VALUE"""),46194.0)</f>
        <v>46194</v>
      </c>
      <c r="B948" s="21" t="str">
        <f>IFERROR(__xludf.DUMMYFUNCTION("""COMPUTED_VALUE"""),"2606D161")</f>
        <v>2606D161</v>
      </c>
      <c r="C948" s="23" t="str">
        <f>IFERROR(__xludf.DUMMYFUNCTION("""COMPUTED_VALUE"""),"Yudha Santi")</f>
        <v>Yudha Santi</v>
      </c>
      <c r="D948" s="24" t="str">
        <f>IFERROR(__xludf.DUMMYFUNCTION("""COMPUTED_VALUE"""),"081249580999")</f>
        <v>081249580999</v>
      </c>
      <c r="E948" s="14" t="str">
        <f>IFERROR(__xludf.DUMMYFUNCTION("""COMPUTED_VALUE"""),"Website")</f>
        <v>Website</v>
      </c>
      <c r="F948" s="14" t="str">
        <f>IFERROR(__xludf.DUMMYFUNCTION("""COMPUTED_VALUE"""),"Leads Baru")</f>
        <v>Leads Baru</v>
      </c>
      <c r="G948" s="14" t="str">
        <f>IFERROR(__xludf.DUMMYFUNCTION("""COMPUTED_VALUE"""),"2H1M opsi B")</f>
        <v>2H1M opsi B</v>
      </c>
      <c r="H948" s="26"/>
      <c r="I948" s="27"/>
      <c r="J948" s="33"/>
      <c r="K948" s="30" t="str">
        <f>IFERROR(__xludf.DUMMYFUNCTION("""COMPUTED_VALUE"""),"tanya mepo, FU 27 Juni")</f>
        <v>tanya mepo, FU 27 Juni</v>
      </c>
      <c r="L948" s="23"/>
      <c r="M948" s="20"/>
      <c r="N948" s="20"/>
      <c r="O948" s="20"/>
      <c r="P948" s="20"/>
    </row>
    <row r="949">
      <c r="A949" s="11">
        <f>IFERROR(__xludf.DUMMYFUNCTION("""COMPUTED_VALUE"""),46194.0)</f>
        <v>46194</v>
      </c>
      <c r="B949" s="11" t="str">
        <f>IFERROR(__xludf.DUMMYFUNCTION("""COMPUTED_VALUE"""),"2606D162")</f>
        <v>2606D162</v>
      </c>
      <c r="C949" s="10" t="str">
        <f>IFERROR(__xludf.DUMMYFUNCTION("""COMPUTED_VALUE"""),"Faizal")</f>
        <v>Faizal</v>
      </c>
      <c r="D949" s="13" t="str">
        <f>IFERROR(__xludf.DUMMYFUNCTION("""COMPUTED_VALUE"""),"081280736569")</f>
        <v>081280736569</v>
      </c>
      <c r="E949" s="14" t="str">
        <f>IFERROR(__xludf.DUMMYFUNCTION("""COMPUTED_VALUE"""),"Website")</f>
        <v>Website</v>
      </c>
      <c r="F949" s="14" t="str">
        <f>IFERROR(__xludf.DUMMYFUNCTION("""COMPUTED_VALUE"""),"Qualified")</f>
        <v>Qualified</v>
      </c>
      <c r="G949" s="14" t="str">
        <f>IFERROR(__xludf.DUMMYFUNCTION("""COMPUTED_VALUE"""),"3H2M custome")</f>
        <v>3H2M custome</v>
      </c>
      <c r="H949" s="16">
        <f>IFERROR(__xludf.DUMMYFUNCTION("""COMPUTED_VALUE"""),46205.0)</f>
        <v>46205</v>
      </c>
      <c r="I949" s="17">
        <f>IFERROR(__xludf.DUMMYFUNCTION("""COMPUTED_VALUE"""),4.0)</f>
        <v>4</v>
      </c>
      <c r="J949" s="54">
        <f>IFERROR(__xludf.DUMMYFUNCTION("""COMPUTED_VALUE"""),1.06E7)</f>
        <v>10600000</v>
      </c>
      <c r="K949" s="46" t="str">
        <f>IFERROR(__xludf.DUMMYFUNCTION("""COMPUTED_VALUE"""),"masih cek ketersediaan hotel, FU 25 Juni")</f>
        <v>masih cek ketersediaan hotel, FU 25 Juni</v>
      </c>
      <c r="L949" s="10"/>
      <c r="M949" s="20"/>
      <c r="N949" s="20"/>
      <c r="O949" s="20"/>
      <c r="P949" s="20"/>
    </row>
    <row r="950">
      <c r="A950" s="21">
        <f>IFERROR(__xludf.DUMMYFUNCTION("""COMPUTED_VALUE"""),46194.0)</f>
        <v>46194</v>
      </c>
      <c r="B950" s="21" t="str">
        <f>IFERROR(__xludf.DUMMYFUNCTION("""COMPUTED_VALUE"""),"2606D163")</f>
        <v>2606D163</v>
      </c>
      <c r="C950" s="23" t="str">
        <f>IFERROR(__xludf.DUMMYFUNCTION("""COMPUTED_VALUE"""),"Fidelia")</f>
        <v>Fidelia</v>
      </c>
      <c r="D950" s="24" t="str">
        <f>IFERROR(__xludf.DUMMYFUNCTION("""COMPUTED_VALUE"""),"08111405888")</f>
        <v>08111405888</v>
      </c>
      <c r="E950" s="14" t="str">
        <f>IFERROR(__xludf.DUMMYFUNCTION("""COMPUTED_VALUE"""),"Instagram")</f>
        <v>Instagram</v>
      </c>
      <c r="F950" s="14" t="str">
        <f>IFERROR(__xludf.DUMMYFUNCTION("""COMPUTED_VALUE"""),"Leads Baru")</f>
        <v>Leads Baru</v>
      </c>
      <c r="G950" s="14" t="str">
        <f>IFERROR(__xludf.DUMMYFUNCTION("""COMPUTED_VALUE"""),"trip menjangan tabuhan")</f>
        <v>trip menjangan tabuhan</v>
      </c>
      <c r="H950" s="26"/>
      <c r="I950" s="27"/>
      <c r="J950" s="33"/>
      <c r="K950" s="30" t="str">
        <f>IFERROR(__xludf.DUMMYFUNCTION("""COMPUTED_VALUE"""),"belum balas lagi, FU 24 Juni ")</f>
        <v>belum balas lagi, FU 24 Juni </v>
      </c>
      <c r="L950" s="23"/>
      <c r="M950" s="20"/>
      <c r="N950" s="20"/>
      <c r="O950" s="20"/>
      <c r="P950" s="20"/>
    </row>
    <row r="951">
      <c r="A951" s="11">
        <f>IFERROR(__xludf.DUMMYFUNCTION("""COMPUTED_VALUE"""),46194.0)</f>
        <v>46194</v>
      </c>
      <c r="B951" s="11" t="str">
        <f>IFERROR(__xludf.DUMMYFUNCTION("""COMPUTED_VALUE"""),"2606D164")</f>
        <v>2606D164</v>
      </c>
      <c r="C951" s="10" t="str">
        <f>IFERROR(__xludf.DUMMYFUNCTION("""COMPUTED_VALUE"""),"Ecaa")</f>
        <v>Ecaa</v>
      </c>
      <c r="D951" s="13" t="str">
        <f>IFERROR(__xludf.DUMMYFUNCTION("""COMPUTED_VALUE"""),"082230434813")</f>
        <v>082230434813</v>
      </c>
      <c r="E951" s="14" t="str">
        <f>IFERROR(__xludf.DUMMYFUNCTION("""COMPUTED_VALUE"""),"Instagram")</f>
        <v>Instagram</v>
      </c>
      <c r="F951" s="14" t="str">
        <f>IFERROR(__xludf.DUMMYFUNCTION("""COMPUTED_VALUE"""),"Leads Baru")</f>
        <v>Leads Baru</v>
      </c>
      <c r="G951" s="14" t="str">
        <f>IFERROR(__xludf.DUMMYFUNCTION("""COMPUTED_VALUE"""),"3H2M opsi A")</f>
        <v>3H2M opsi A</v>
      </c>
      <c r="H951" s="16"/>
      <c r="I951" s="17"/>
      <c r="J951" s="54"/>
      <c r="K951" s="46" t="str">
        <f>IFERROR(__xludf.DUMMYFUNCTION("""COMPUTED_VALUE"""),"masih menyapa, FU 23 Juni")</f>
        <v>masih menyapa, FU 23 Juni</v>
      </c>
      <c r="L951" s="10"/>
      <c r="M951" s="20"/>
      <c r="N951" s="20"/>
      <c r="O951" s="20"/>
      <c r="P951" s="20"/>
    </row>
    <row r="952">
      <c r="A952" s="21">
        <f>IFERROR(__xludf.DUMMYFUNCTION("""COMPUTED_VALUE"""),46194.0)</f>
        <v>46194</v>
      </c>
      <c r="B952" s="21" t="str">
        <f>IFERROR(__xludf.DUMMYFUNCTION("""COMPUTED_VALUE"""),"2606D165")</f>
        <v>2606D165</v>
      </c>
      <c r="C952" s="23" t="str">
        <f>IFERROR(__xludf.DUMMYFUNCTION("""COMPUTED_VALUE"""),"Euis Kurniawati")</f>
        <v>Euis Kurniawati</v>
      </c>
      <c r="D952" s="24" t="str">
        <f>IFERROR(__xludf.DUMMYFUNCTION("""COMPUTED_VALUE"""),"08563117020")</f>
        <v>08563117020</v>
      </c>
      <c r="E952" s="14" t="str">
        <f>IFERROR(__xludf.DUMMYFUNCTION("""COMPUTED_VALUE"""),"Instagram")</f>
        <v>Instagram</v>
      </c>
      <c r="F952" s="14" t="str">
        <f>IFERROR(__xludf.DUMMYFUNCTION("""COMPUTED_VALUE"""),"Leads Baru")</f>
        <v>Leads Baru</v>
      </c>
      <c r="G952" s="14" t="str">
        <f>IFERROR(__xludf.DUMMYFUNCTION("""COMPUTED_VALUE"""),"2H1M  custome")</f>
        <v>2H1M  custome</v>
      </c>
      <c r="H952" s="26"/>
      <c r="I952" s="27">
        <f>IFERROR(__xludf.DUMMYFUNCTION("""COMPUTED_VALUE"""),5.0)</f>
        <v>5</v>
      </c>
      <c r="J952" s="33">
        <f>IFERROR(__xludf.DUMMYFUNCTION("""COMPUTED_VALUE"""),6300000.0)</f>
        <v>6300000</v>
      </c>
      <c r="K952" s="30" t="str">
        <f>IFERROR(__xludf.DUMMYFUNCTION("""COMPUTED_VALUE"""),"masih tanya, FU 25 Juni")</f>
        <v>masih tanya, FU 25 Juni</v>
      </c>
      <c r="L952" s="23"/>
      <c r="M952" s="20"/>
      <c r="N952" s="20"/>
      <c r="O952" s="20"/>
      <c r="P952" s="20"/>
    </row>
    <row r="953">
      <c r="A953" s="11">
        <f>IFERROR(__xludf.DUMMYFUNCTION("""COMPUTED_VALUE"""),46195.0)</f>
        <v>46195</v>
      </c>
      <c r="B953" s="11" t="str">
        <f>IFERROR(__xludf.DUMMYFUNCTION("""COMPUTED_VALUE"""),"2606D166")</f>
        <v>2606D166</v>
      </c>
      <c r="C953" s="10" t="str">
        <f>IFERROR(__xludf.DUMMYFUNCTION("""COMPUTED_VALUE"""),"Arma")</f>
        <v>Arma</v>
      </c>
      <c r="D953" s="13" t="str">
        <f>IFERROR(__xludf.DUMMYFUNCTION("""COMPUTED_VALUE"""),"081234039479")</f>
        <v>081234039479</v>
      </c>
      <c r="E953" s="14" t="str">
        <f>IFERROR(__xludf.DUMMYFUNCTION("""COMPUTED_VALUE"""),"Instagram")</f>
        <v>Instagram</v>
      </c>
      <c r="F953" s="14" t="str">
        <f>IFERROR(__xludf.DUMMYFUNCTION("""COMPUTED_VALUE"""),"Leads Baru")</f>
        <v>Leads Baru</v>
      </c>
      <c r="G953" s="14" t="str">
        <f>IFERROR(__xludf.DUMMYFUNCTION("""COMPUTED_VALUE"""),"family trip")</f>
        <v>family trip</v>
      </c>
      <c r="H953" s="16"/>
      <c r="I953" s="17"/>
      <c r="J953" s="54"/>
      <c r="K953" s="46" t="str">
        <f>IFERROR(__xludf.DUMMYFUNCTION("""COMPUTED_VALUE"""),"masih menyapa, FU 23 Juni")</f>
        <v>masih menyapa, FU 23 Juni</v>
      </c>
      <c r="L953" s="10"/>
      <c r="M953" s="20"/>
      <c r="N953" s="20"/>
      <c r="O953" s="20"/>
      <c r="P953" s="20"/>
    </row>
    <row r="954">
      <c r="A954" s="21">
        <f>IFERROR(__xludf.DUMMYFUNCTION("""COMPUTED_VALUE"""),46195.0)</f>
        <v>46195</v>
      </c>
      <c r="B954" s="21" t="str">
        <f>IFERROR(__xludf.DUMMYFUNCTION("""COMPUTED_VALUE"""),"2606D167")</f>
        <v>2606D167</v>
      </c>
      <c r="C954" s="23" t="str">
        <f>IFERROR(__xludf.DUMMYFUNCTION("""COMPUTED_VALUE"""),"Dwigraha")</f>
        <v>Dwigraha</v>
      </c>
      <c r="D954" s="24" t="str">
        <f>IFERROR(__xludf.DUMMYFUNCTION("""COMPUTED_VALUE"""),"082230006527")</f>
        <v>082230006527</v>
      </c>
      <c r="E954" s="14" t="str">
        <f>IFERROR(__xludf.DUMMYFUNCTION("""COMPUTED_VALUE"""),"Website")</f>
        <v>Website</v>
      </c>
      <c r="F954" s="14" t="str">
        <f>IFERROR(__xludf.DUMMYFUNCTION("""COMPUTED_VALUE"""),"Leads Baru")</f>
        <v>Leads Baru</v>
      </c>
      <c r="G954" s="14"/>
      <c r="H954" s="26"/>
      <c r="I954" s="27"/>
      <c r="J954" s="33"/>
      <c r="K954" s="30" t="str">
        <f>IFERROR(__xludf.DUMMYFUNCTION("""COMPUTED_VALUE"""),"masih menyapa, FU 23 Juni")</f>
        <v>masih menyapa, FU 23 Juni</v>
      </c>
      <c r="L954" s="23"/>
      <c r="M954" s="20"/>
      <c r="N954" s="20"/>
      <c r="O954" s="20"/>
      <c r="P954" s="20"/>
    </row>
    <row r="955">
      <c r="A955" s="11">
        <f>IFERROR(__xludf.DUMMYFUNCTION("""COMPUTED_VALUE"""),46195.0)</f>
        <v>46195</v>
      </c>
      <c r="B955" s="11" t="str">
        <f>IFERROR(__xludf.DUMMYFUNCTION("""COMPUTED_VALUE"""),"2606D168")</f>
        <v>2606D168</v>
      </c>
      <c r="C955" s="10" t="str">
        <f>IFERROR(__xludf.DUMMYFUNCTION("""COMPUTED_VALUE"""),"Dwi koraningsih")</f>
        <v>Dwi koraningsih</v>
      </c>
      <c r="D955" s="13" t="str">
        <f>IFERROR(__xludf.DUMMYFUNCTION("""COMPUTED_VALUE"""),"085737140849")</f>
        <v>085737140849</v>
      </c>
      <c r="E955" s="14" t="str">
        <f>IFERROR(__xludf.DUMMYFUNCTION("""COMPUTED_VALUE"""),"Website")</f>
        <v>Website</v>
      </c>
      <c r="F955" s="14" t="str">
        <f>IFERROR(__xludf.DUMMYFUNCTION("""COMPUTED_VALUE"""),"Closing")</f>
        <v>Closing</v>
      </c>
      <c r="G955" s="14" t="str">
        <f>IFERROR(__xludf.DUMMYFUNCTION("""COMPUTED_VALUE"""),"4H3M custome")</f>
        <v>4H3M custome</v>
      </c>
      <c r="H955" s="16">
        <f>IFERROR(__xludf.DUMMYFUNCTION("""COMPUTED_VALUE"""),46211.0)</f>
        <v>46211</v>
      </c>
      <c r="I955" s="17">
        <f>IFERROR(__xludf.DUMMYFUNCTION("""COMPUTED_VALUE"""),3.0)</f>
        <v>3</v>
      </c>
      <c r="J955" s="54">
        <f>IFERROR(__xludf.DUMMYFUNCTION("""COMPUTED_VALUE"""),1.1625E7)</f>
        <v>11625000</v>
      </c>
      <c r="K955" s="46" t="str">
        <f>IFERROR(__xludf.DUMMYFUNCTION("""COMPUTED_VALUE"""),"alhamdulillah orderr")</f>
        <v>alhamdulillah orderr</v>
      </c>
      <c r="L955" s="10"/>
      <c r="M955" s="20"/>
      <c r="N955" s="20"/>
      <c r="O955" s="20"/>
      <c r="P955" s="20"/>
    </row>
    <row r="956">
      <c r="A956" s="21">
        <f>IFERROR(__xludf.DUMMYFUNCTION("""COMPUTED_VALUE"""),46195.0)</f>
        <v>46195</v>
      </c>
      <c r="B956" s="21" t="str">
        <f>IFERROR(__xludf.DUMMYFUNCTION("""COMPUTED_VALUE"""),"2606D169")</f>
        <v>2606D169</v>
      </c>
      <c r="C956" s="23" t="str">
        <f>IFERROR(__xludf.DUMMYFUNCTION("""COMPUTED_VALUE"""),"Ita   ")</f>
        <v>Ita   </v>
      </c>
      <c r="D956" s="24" t="str">
        <f>IFERROR(__xludf.DUMMYFUNCTION("""COMPUTED_VALUE"""),"081326129991")</f>
        <v>081326129991</v>
      </c>
      <c r="E956" s="14" t="str">
        <f>IFERROR(__xludf.DUMMYFUNCTION("""COMPUTED_VALUE"""),"Instagram")</f>
        <v>Instagram</v>
      </c>
      <c r="F956" s="14" t="str">
        <f>IFERROR(__xludf.DUMMYFUNCTION("""COMPUTED_VALUE"""),"Leads Baru")</f>
        <v>Leads Baru</v>
      </c>
      <c r="G956" s="14" t="str">
        <f>IFERROR(__xludf.DUMMYFUNCTION("""COMPUTED_VALUE"""),"family trip")</f>
        <v>family trip</v>
      </c>
      <c r="H956" s="26"/>
      <c r="I956" s="27"/>
      <c r="J956" s="33"/>
      <c r="K956" s="30" t="str">
        <f>IFERROR(__xludf.DUMMYFUNCTION("""COMPUTED_VALUE"""),"masih menyapa, FU 23 Juni")</f>
        <v>masih menyapa, FU 23 Juni</v>
      </c>
      <c r="L956" s="23"/>
      <c r="M956" s="20"/>
      <c r="N956" s="20"/>
      <c r="O956" s="20"/>
      <c r="P956" s="20"/>
    </row>
    <row r="957">
      <c r="A957" s="11">
        <f>IFERROR(__xludf.DUMMYFUNCTION("""COMPUTED_VALUE"""),46195.0)</f>
        <v>46195</v>
      </c>
      <c r="B957" s="11" t="str">
        <f>IFERROR(__xludf.DUMMYFUNCTION("""COMPUTED_VALUE"""),"2606D170")</f>
        <v>2606D170</v>
      </c>
      <c r="C957" s="10" t="str">
        <f>IFERROR(__xludf.DUMMYFUNCTION("""COMPUTED_VALUE"""),"Dudung")</f>
        <v>Dudung</v>
      </c>
      <c r="D957" s="13" t="str">
        <f>IFERROR(__xludf.DUMMYFUNCTION("""COMPUTED_VALUE"""),"081395501381")</f>
        <v>081395501381</v>
      </c>
      <c r="E957" s="14" t="str">
        <f>IFERROR(__xludf.DUMMYFUNCTION("""COMPUTED_VALUE"""),"Website")</f>
        <v>Website</v>
      </c>
      <c r="F957" s="14" t="str">
        <f>IFERROR(__xludf.DUMMYFUNCTION("""COMPUTED_VALUE"""),"Closing")</f>
        <v>Closing</v>
      </c>
      <c r="G957" s="14" t="str">
        <f>IFERROR(__xludf.DUMMYFUNCTION("""COMPUTED_VALUE"""),"3H2M opsi A")</f>
        <v>3H2M opsi A</v>
      </c>
      <c r="H957" s="16">
        <f>IFERROR(__xludf.DUMMYFUNCTION("""COMPUTED_VALUE"""),46200.0)</f>
        <v>46200</v>
      </c>
      <c r="I957" s="17">
        <f>IFERROR(__xludf.DUMMYFUNCTION("""COMPUTED_VALUE"""),4.0)</f>
        <v>4</v>
      </c>
      <c r="J957" s="54">
        <f>IFERROR(__xludf.DUMMYFUNCTION("""COMPUTED_VALUE"""),7408000.0)</f>
        <v>7408000</v>
      </c>
      <c r="K957" s="46" t="str">
        <f>IFERROR(__xludf.DUMMYFUNCTION("""COMPUTED_VALUE"""),"alhamdulillah orrderrr")</f>
        <v>alhamdulillah orrderrr</v>
      </c>
      <c r="L957" s="10"/>
      <c r="M957" s="20"/>
      <c r="N957" s="20"/>
      <c r="O957" s="20"/>
      <c r="P957" s="20"/>
    </row>
    <row r="958">
      <c r="A958" s="21">
        <f>IFERROR(__xludf.DUMMYFUNCTION("""COMPUTED_VALUE"""),46195.0)</f>
        <v>46195</v>
      </c>
      <c r="B958" s="21" t="str">
        <f>IFERROR(__xludf.DUMMYFUNCTION("""COMPUTED_VALUE"""),"2606D171")</f>
        <v>2606D171</v>
      </c>
      <c r="C958" s="23" t="str">
        <f>IFERROR(__xludf.DUMMYFUNCTION("""COMPUTED_VALUE"""),"Ratih Dewi")</f>
        <v>Ratih Dewi</v>
      </c>
      <c r="D958" s="24" t="str">
        <f>IFERROR(__xludf.DUMMYFUNCTION("""COMPUTED_VALUE"""),"0895612974454")</f>
        <v>0895612974454</v>
      </c>
      <c r="E958" s="14" t="str">
        <f>IFERROR(__xludf.DUMMYFUNCTION("""COMPUTED_VALUE"""),"Instagram")</f>
        <v>Instagram</v>
      </c>
      <c r="F958" s="14" t="str">
        <f>IFERROR(__xludf.DUMMYFUNCTION("""COMPUTED_VALUE"""),"Leads Baru")</f>
        <v>Leads Baru</v>
      </c>
      <c r="G958" s="14"/>
      <c r="H958" s="26"/>
      <c r="I958" s="27"/>
      <c r="J958" s="33"/>
      <c r="K958" s="30" t="str">
        <f>IFERROR(__xludf.DUMMYFUNCTION("""COMPUTED_VALUE"""),"tanya OT bulan Juli, FU 28 Juni")</f>
        <v>tanya OT bulan Juli, FU 28 Juni</v>
      </c>
      <c r="L958" s="23"/>
      <c r="M958" s="20"/>
      <c r="N958" s="20"/>
      <c r="O958" s="20"/>
      <c r="P958" s="20"/>
    </row>
    <row r="959">
      <c r="A959" s="11">
        <f>IFERROR(__xludf.DUMMYFUNCTION("""COMPUTED_VALUE"""),46195.0)</f>
        <v>46195</v>
      </c>
      <c r="B959" s="11" t="str">
        <f>IFERROR(__xludf.DUMMYFUNCTION("""COMPUTED_VALUE"""),"2606D172")</f>
        <v>2606D172</v>
      </c>
      <c r="C959" s="10" t="str">
        <f>IFERROR(__xludf.DUMMYFUNCTION("""COMPUTED_VALUE"""),"Alam Mucharam")</f>
        <v>Alam Mucharam</v>
      </c>
      <c r="D959" s="13" t="str">
        <f>IFERROR(__xludf.DUMMYFUNCTION("""COMPUTED_VALUE"""),"0811227338")</f>
        <v>0811227338</v>
      </c>
      <c r="E959" s="14" t="str">
        <f>IFERROR(__xludf.DUMMYFUNCTION("""COMPUTED_VALUE"""),"Website")</f>
        <v>Website</v>
      </c>
      <c r="F959" s="14" t="str">
        <f>IFERROR(__xludf.DUMMYFUNCTION("""COMPUTED_VALUE"""),"Leads Baru")</f>
        <v>Leads Baru</v>
      </c>
      <c r="G959" s="14" t="str">
        <f>IFERROR(__xludf.DUMMYFUNCTION("""COMPUTED_VALUE"""),"4H3M ")</f>
        <v>4H3M </v>
      </c>
      <c r="H959" s="16"/>
      <c r="I959" s="17">
        <f>IFERROR(__xludf.DUMMYFUNCTION("""COMPUTED_VALUE"""),10.0)</f>
        <v>10</v>
      </c>
      <c r="J959" s="54"/>
      <c r="K959" s="46" t="str">
        <f>IFERROR(__xludf.DUMMYFUNCTION("""COMPUTED_VALUE"""),"diskus dulu, FU 3 Juli")</f>
        <v>diskus dulu, FU 3 Juli</v>
      </c>
      <c r="L959" s="10"/>
      <c r="M959" s="20"/>
      <c r="N959" s="20"/>
      <c r="O959" s="20"/>
      <c r="P959" s="20"/>
    </row>
    <row r="960">
      <c r="A960" s="21">
        <f>IFERROR(__xludf.DUMMYFUNCTION("""COMPUTED_VALUE"""),46199.0)</f>
        <v>46199</v>
      </c>
      <c r="B960" s="21" t="str">
        <f>IFERROR(__xludf.DUMMYFUNCTION("""COMPUTED_VALUE"""),"2606D173")</f>
        <v>2606D173</v>
      </c>
      <c r="C960" s="23" t="str">
        <f>IFERROR(__xludf.DUMMYFUNCTION("""COMPUTED_VALUE"""),"Ummu Hanna")</f>
        <v>Ummu Hanna</v>
      </c>
      <c r="D960" s="24" t="str">
        <f>IFERROR(__xludf.DUMMYFUNCTION("""COMPUTED_VALUE"""),"0895616277000")</f>
        <v>0895616277000</v>
      </c>
      <c r="E960" s="14" t="str">
        <f>IFERROR(__xludf.DUMMYFUNCTION("""COMPUTED_VALUE"""),"Instagram")</f>
        <v>Instagram</v>
      </c>
      <c r="F960" s="14" t="str">
        <f>IFERROR(__xludf.DUMMYFUNCTION("""COMPUTED_VALUE"""),"Leads Baru")</f>
        <v>Leads Baru</v>
      </c>
      <c r="G960" s="14" t="str">
        <f>IFERROR(__xludf.DUMMYFUNCTION("""COMPUTED_VALUE"""),"family trip")</f>
        <v>family trip</v>
      </c>
      <c r="H960" s="26"/>
      <c r="I960" s="27">
        <f>IFERROR(__xludf.DUMMYFUNCTION("""COMPUTED_VALUE"""),3.0)</f>
        <v>3</v>
      </c>
      <c r="J960" s="33"/>
      <c r="K960" s="30" t="str">
        <f>IFERROR(__xludf.DUMMYFUNCTION("""COMPUTED_VALUE"""),"belum ada balasan, FU 28 Juni")</f>
        <v>belum ada balasan, FU 28 Juni</v>
      </c>
      <c r="L960" s="23"/>
      <c r="M960" s="20"/>
      <c r="N960" s="20"/>
      <c r="O960" s="20"/>
      <c r="P960" s="20"/>
    </row>
    <row r="961">
      <c r="A961" s="11">
        <f>IFERROR(__xludf.DUMMYFUNCTION("""COMPUTED_VALUE"""),46195.0)</f>
        <v>46195</v>
      </c>
      <c r="B961" s="11" t="str">
        <f>IFERROR(__xludf.DUMMYFUNCTION("""COMPUTED_VALUE"""),"2606D174")</f>
        <v>2606D174</v>
      </c>
      <c r="C961" s="10" t="str">
        <f>IFERROR(__xludf.DUMMYFUNCTION("""COMPUTED_VALUE"""),"Rizfky")</f>
        <v>Rizfky</v>
      </c>
      <c r="D961" s="13" t="str">
        <f>IFERROR(__xludf.DUMMYFUNCTION("""COMPUTED_VALUE"""),"089507899797")</f>
        <v>089507899797</v>
      </c>
      <c r="E961" s="14" t="str">
        <f>IFERROR(__xludf.DUMMYFUNCTION("""COMPUTED_VALUE"""),"Lainnya")</f>
        <v>Lainnya</v>
      </c>
      <c r="F961" s="14" t="str">
        <f>IFERROR(__xludf.DUMMYFUNCTION("""COMPUTED_VALUE"""),"Gagal")</f>
        <v>Gagal</v>
      </c>
      <c r="G961" s="14" t="str">
        <f>IFERROR(__xludf.DUMMYFUNCTION("""COMPUTED_VALUE"""),"OT Baluran")</f>
        <v>OT Baluran</v>
      </c>
      <c r="H961" s="16">
        <f>IFERROR(__xludf.DUMMYFUNCTION("""COMPUTED_VALUE"""),46196.0)</f>
        <v>46196</v>
      </c>
      <c r="I961" s="17">
        <f>IFERROR(__xludf.DUMMYFUNCTION("""COMPUTED_VALUE"""),2.0)</f>
        <v>2</v>
      </c>
      <c r="J961" s="54"/>
      <c r="K961" s="46" t="str">
        <f>IFERROR(__xludf.DUMMYFUNCTION("""COMPUTED_VALUE"""),"uda FU ga ada balass")</f>
        <v>uda FU ga ada balass</v>
      </c>
      <c r="L961" s="10"/>
      <c r="M961" s="20"/>
      <c r="N961" s="20"/>
      <c r="O961" s="20"/>
      <c r="P961" s="20"/>
    </row>
    <row r="962">
      <c r="A962" s="21">
        <f>IFERROR(__xludf.DUMMYFUNCTION("""COMPUTED_VALUE"""),46195.0)</f>
        <v>46195</v>
      </c>
      <c r="B962" s="21" t="str">
        <f>IFERROR(__xludf.DUMMYFUNCTION("""COMPUTED_VALUE"""),"2606D175")</f>
        <v>2606D175</v>
      </c>
      <c r="C962" s="23" t="str">
        <f>IFERROR(__xludf.DUMMYFUNCTION("""COMPUTED_VALUE"""),"No Name GI")</f>
        <v>No Name GI</v>
      </c>
      <c r="D962" s="24" t="str">
        <f>IFERROR(__xludf.DUMMYFUNCTION("""COMPUTED_VALUE"""),"0881036161438")</f>
        <v>0881036161438</v>
      </c>
      <c r="E962" s="14" t="str">
        <f>IFERROR(__xludf.DUMMYFUNCTION("""COMPUTED_VALUE"""),"Instagram")</f>
        <v>Instagram</v>
      </c>
      <c r="F962" s="14" t="str">
        <f>IFERROR(__xludf.DUMMYFUNCTION("""COMPUTED_VALUE"""),"Leads Baru")</f>
        <v>Leads Baru</v>
      </c>
      <c r="G962" s="14" t="str">
        <f>IFERROR(__xludf.DUMMYFUNCTION("""COMPUTED_VALUE"""),"2H1M Custome")</f>
        <v>2H1M Custome</v>
      </c>
      <c r="H962" s="26"/>
      <c r="I962" s="27">
        <f>IFERROR(__xludf.DUMMYFUNCTION("""COMPUTED_VALUE"""),4.0)</f>
        <v>4</v>
      </c>
      <c r="J962" s="33"/>
      <c r="K962" s="30" t="str">
        <f>IFERROR(__xludf.DUMMYFUNCTION("""COMPUTED_VALUE"""),"belum ada balasan, FU 29 Juni")</f>
        <v>belum ada balasan, FU 29 Juni</v>
      </c>
      <c r="L962" s="23"/>
      <c r="M962" s="20"/>
      <c r="N962" s="20"/>
      <c r="O962" s="20"/>
      <c r="P962" s="20"/>
    </row>
    <row r="963">
      <c r="A963" s="11">
        <f>IFERROR(__xludf.DUMMYFUNCTION("""COMPUTED_VALUE"""),46195.0)</f>
        <v>46195</v>
      </c>
      <c r="B963" s="11" t="str">
        <f>IFERROR(__xludf.DUMMYFUNCTION("""COMPUTED_VALUE"""),"2606D176")</f>
        <v>2606D176</v>
      </c>
      <c r="C963" s="10" t="str">
        <f>IFERROR(__xludf.DUMMYFUNCTION("""COMPUTED_VALUE"""),"Indra")</f>
        <v>Indra</v>
      </c>
      <c r="D963" s="13" t="str">
        <f>IFERROR(__xludf.DUMMYFUNCTION("""COMPUTED_VALUE"""),"08161804671")</f>
        <v>08161804671</v>
      </c>
      <c r="E963" s="14" t="str">
        <f>IFERROR(__xludf.DUMMYFUNCTION("""COMPUTED_VALUE"""),"Website")</f>
        <v>Website</v>
      </c>
      <c r="F963" s="14" t="str">
        <f>IFERROR(__xludf.DUMMYFUNCTION("""COMPUTED_VALUE"""),"Closing")</f>
        <v>Closing</v>
      </c>
      <c r="G963" s="14" t="str">
        <f>IFERROR(__xludf.DUMMYFUNCTION("""COMPUTED_VALUE"""),"3h2m custome")</f>
        <v>3h2m custome</v>
      </c>
      <c r="H963" s="16">
        <f>IFERROR(__xludf.DUMMYFUNCTION("""COMPUTED_VALUE"""),46202.0)</f>
        <v>46202</v>
      </c>
      <c r="I963" s="17">
        <f>IFERROR(__xludf.DUMMYFUNCTION("""COMPUTED_VALUE"""),5.0)</f>
        <v>5</v>
      </c>
      <c r="J963" s="54">
        <f>IFERROR(__xludf.DUMMYFUNCTION("""COMPUTED_VALUE"""),8125000.0)</f>
        <v>8125000</v>
      </c>
      <c r="K963" s="46" t="str">
        <f>IFERROR(__xludf.DUMMYFUNCTION("""COMPUTED_VALUE"""),"alhamdulillah orrderr")</f>
        <v>alhamdulillah orrderr</v>
      </c>
      <c r="L963" s="10"/>
      <c r="M963" s="20"/>
      <c r="N963" s="20"/>
      <c r="O963" s="20"/>
      <c r="P963" s="20"/>
    </row>
    <row r="964">
      <c r="A964" s="21">
        <f>IFERROR(__xludf.DUMMYFUNCTION("""COMPUTED_VALUE"""),46196.0)</f>
        <v>46196</v>
      </c>
      <c r="B964" s="21" t="str">
        <f>IFERROR(__xludf.DUMMYFUNCTION("""COMPUTED_VALUE"""),"2606D177")</f>
        <v>2606D177</v>
      </c>
      <c r="C964" s="23" t="str">
        <f>IFERROR(__xludf.DUMMYFUNCTION("""COMPUTED_VALUE"""),"Maharani")</f>
        <v>Maharani</v>
      </c>
      <c r="D964" s="24" t="str">
        <f>IFERROR(__xludf.DUMMYFUNCTION("""COMPUTED_VALUE"""),"0895638996820")</f>
        <v>0895638996820</v>
      </c>
      <c r="E964" s="14" t="str">
        <f>IFERROR(__xludf.DUMMYFUNCTION("""COMPUTED_VALUE"""),"Instagram")</f>
        <v>Instagram</v>
      </c>
      <c r="F964" s="14" t="str">
        <f>IFERROR(__xludf.DUMMYFUNCTION("""COMPUTED_VALUE"""),"Closing")</f>
        <v>Closing</v>
      </c>
      <c r="G964" s="14" t="str">
        <f>IFERROR(__xludf.DUMMYFUNCTION("""COMPUTED_VALUE"""),"3H2M")</f>
        <v>3H2M</v>
      </c>
      <c r="H964" s="26">
        <f>IFERROR(__xludf.DUMMYFUNCTION("""COMPUTED_VALUE"""),46209.0)</f>
        <v>46209</v>
      </c>
      <c r="I964" s="27">
        <f>IFERROR(__xludf.DUMMYFUNCTION("""COMPUTED_VALUE"""),2.0)</f>
        <v>2</v>
      </c>
      <c r="J964" s="33">
        <f>IFERROR(__xludf.DUMMYFUNCTION("""COMPUTED_VALUE"""),3200000.0)</f>
        <v>3200000</v>
      </c>
      <c r="K964" s="30" t="str">
        <f>IFERROR(__xludf.DUMMYFUNCTION("""COMPUTED_VALUE"""),"alhamdulillah closing")</f>
        <v>alhamdulillah closing</v>
      </c>
      <c r="L964" s="23"/>
      <c r="M964" s="20"/>
      <c r="N964" s="20"/>
      <c r="O964" s="20"/>
      <c r="P964" s="20"/>
    </row>
    <row r="965">
      <c r="A965" s="11">
        <f>IFERROR(__xludf.DUMMYFUNCTION("""COMPUTED_VALUE"""),46196.0)</f>
        <v>46196</v>
      </c>
      <c r="B965" s="11" t="str">
        <f>IFERROR(__xludf.DUMMYFUNCTION("""COMPUTED_VALUE"""),"2606D178")</f>
        <v>2606D178</v>
      </c>
      <c r="C965" s="10" t="str">
        <f>IFERROR(__xludf.DUMMYFUNCTION("""COMPUTED_VALUE"""),"Ichda Fitryah ")</f>
        <v>Ichda Fitryah </v>
      </c>
      <c r="D965" s="13" t="str">
        <f>IFERROR(__xludf.DUMMYFUNCTION("""COMPUTED_VALUE"""),"082213449486")</f>
        <v>082213449486</v>
      </c>
      <c r="E965" s="14" t="str">
        <f>IFERROR(__xludf.DUMMYFUNCTION("""COMPUTED_VALUE"""),"Instagram")</f>
        <v>Instagram</v>
      </c>
      <c r="F965" s="14" t="str">
        <f>IFERROR(__xludf.DUMMYFUNCTION("""COMPUTED_VALUE"""),"Leads Baru")</f>
        <v>Leads Baru</v>
      </c>
      <c r="G965" s="14" t="str">
        <f>IFERROR(__xludf.DUMMYFUNCTION("""COMPUTED_VALUE"""),"OT MT")</f>
        <v>OT MT</v>
      </c>
      <c r="H965" s="16">
        <f>IFERROR(__xludf.DUMMYFUNCTION("""COMPUTED_VALUE"""),46198.0)</f>
        <v>46198</v>
      </c>
      <c r="I965" s="17">
        <f>IFERROR(__xludf.DUMMYFUNCTION("""COMPUTED_VALUE"""),2.0)</f>
        <v>2</v>
      </c>
      <c r="J965" s="54"/>
      <c r="K965" s="46" t="str">
        <f>IFERROR(__xludf.DUMMYFUNCTION("""COMPUTED_VALUE"""),"FU 24 Juni")</f>
        <v>FU 24 Juni</v>
      </c>
      <c r="L965" s="10"/>
      <c r="M965" s="20"/>
      <c r="N965" s="20"/>
      <c r="O965" s="20"/>
      <c r="P965" s="20"/>
    </row>
    <row r="966">
      <c r="A966" s="21">
        <f>IFERROR(__xludf.DUMMYFUNCTION("""COMPUTED_VALUE"""),46196.0)</f>
        <v>46196</v>
      </c>
      <c r="B966" s="21" t="str">
        <f>IFERROR(__xludf.DUMMYFUNCTION("""COMPUTED_VALUE"""),"2606D179")</f>
        <v>2606D179</v>
      </c>
      <c r="C966" s="23" t="str">
        <f>IFERROR(__xludf.DUMMYFUNCTION("""COMPUTED_VALUE"""),"Novitha ")</f>
        <v>Novitha </v>
      </c>
      <c r="D966" s="24" t="str">
        <f>IFERROR(__xludf.DUMMYFUNCTION("""COMPUTED_VALUE"""),"081215078887")</f>
        <v>081215078887</v>
      </c>
      <c r="E966" s="14" t="str">
        <f>IFERROR(__xludf.DUMMYFUNCTION("""COMPUTED_VALUE"""),"Instagram")</f>
        <v>Instagram</v>
      </c>
      <c r="F966" s="14" t="str">
        <f>IFERROR(__xludf.DUMMYFUNCTION("""COMPUTED_VALUE"""),"Leads Baru")</f>
        <v>Leads Baru</v>
      </c>
      <c r="G966" s="14" t="str">
        <f>IFERROR(__xludf.DUMMYFUNCTION("""COMPUTED_VALUE"""),"PT Menjangan Baluran")</f>
        <v>PT Menjangan Baluran</v>
      </c>
      <c r="H966" s="26">
        <f>IFERROR(__xludf.DUMMYFUNCTION("""COMPUTED_VALUE"""),46200.0)</f>
        <v>46200</v>
      </c>
      <c r="I966" s="27">
        <f>IFERROR(__xludf.DUMMYFUNCTION("""COMPUTED_VALUE"""),46178.0)</f>
        <v>46178</v>
      </c>
      <c r="J966" s="33"/>
      <c r="K966" s="30" t="str">
        <f>IFERROR(__xludf.DUMMYFUNCTION("""COMPUTED_VALUE"""),"cek ketersediaan")</f>
        <v>cek ketersediaan</v>
      </c>
      <c r="L966" s="23"/>
      <c r="M966" s="20"/>
      <c r="N966" s="20"/>
      <c r="O966" s="20"/>
      <c r="P966" s="20"/>
    </row>
    <row r="967">
      <c r="A967" s="11">
        <f>IFERROR(__xludf.DUMMYFUNCTION("""COMPUTED_VALUE"""),46196.0)</f>
        <v>46196</v>
      </c>
      <c r="B967" s="11" t="str">
        <f>IFERROR(__xludf.DUMMYFUNCTION("""COMPUTED_VALUE"""),"2606D180")</f>
        <v>2606D180</v>
      </c>
      <c r="C967" s="10" t="str">
        <f>IFERROR(__xludf.DUMMYFUNCTION("""COMPUTED_VALUE"""),"Wianita Tumanggor")</f>
        <v>Wianita Tumanggor</v>
      </c>
      <c r="D967" s="13" t="str">
        <f>IFERROR(__xludf.DUMMYFUNCTION("""COMPUTED_VALUE"""),"082277042165")</f>
        <v>082277042165</v>
      </c>
      <c r="E967" s="14" t="str">
        <f>IFERROR(__xludf.DUMMYFUNCTION("""COMPUTED_VALUE"""),"Lainnya")</f>
        <v>Lainnya</v>
      </c>
      <c r="F967" s="14" t="str">
        <f>IFERROR(__xludf.DUMMYFUNCTION("""COMPUTED_VALUE"""),"Hot Leads")</f>
        <v>Hot Leads</v>
      </c>
      <c r="G967" s="14" t="str">
        <f>IFERROR(__xludf.DUMMYFUNCTION("""COMPUTED_VALUE"""),"OT 3H2M")</f>
        <v>OT 3H2M</v>
      </c>
      <c r="H967" s="16">
        <f>IFERROR(__xludf.DUMMYFUNCTION("""COMPUTED_VALUE"""),46220.0)</f>
        <v>46220</v>
      </c>
      <c r="I967" s="17">
        <f>IFERROR(__xludf.DUMMYFUNCTION("""COMPUTED_VALUE"""),3.0)</f>
        <v>3</v>
      </c>
      <c r="J967" s="54"/>
      <c r="K967" s="46" t="str">
        <f>IFERROR(__xludf.DUMMYFUNCTION("""COMPUTED_VALUE"""),"kirim foem reservasi")</f>
        <v>kirim foem reservasi</v>
      </c>
      <c r="L967" s="10"/>
      <c r="M967" s="20"/>
      <c r="N967" s="20"/>
      <c r="O967" s="20"/>
      <c r="P967" s="20"/>
    </row>
    <row r="968">
      <c r="A968" s="21">
        <f>IFERROR(__xludf.DUMMYFUNCTION("""COMPUTED_VALUE"""),46196.0)</f>
        <v>46196</v>
      </c>
      <c r="B968" s="21" t="str">
        <f>IFERROR(__xludf.DUMMYFUNCTION("""COMPUTED_VALUE"""),"2606D181")</f>
        <v>2606D181</v>
      </c>
      <c r="C968" s="23" t="str">
        <f>IFERROR(__xludf.DUMMYFUNCTION("""COMPUTED_VALUE"""),"Pavita")</f>
        <v>Pavita</v>
      </c>
      <c r="D968" s="24" t="str">
        <f>IFERROR(__xludf.DUMMYFUNCTION("""COMPUTED_VALUE"""),"087766106692")</f>
        <v>087766106692</v>
      </c>
      <c r="E968" s="14" t="str">
        <f>IFERROR(__xludf.DUMMYFUNCTION("""COMPUTED_VALUE"""),"Instagram")</f>
        <v>Instagram</v>
      </c>
      <c r="F968" s="14" t="str">
        <f>IFERROR(__xludf.DUMMYFUNCTION("""COMPUTED_VALUE"""),"Leads Baru")</f>
        <v>Leads Baru</v>
      </c>
      <c r="G968" s="14" t="str">
        <f>IFERROR(__xludf.DUMMYFUNCTION("""COMPUTED_VALUE"""),"3H2M Opsi A")</f>
        <v>3H2M Opsi A</v>
      </c>
      <c r="H968" s="26"/>
      <c r="I968" s="27">
        <f>IFERROR(__xludf.DUMMYFUNCTION("""COMPUTED_VALUE"""),2.0)</f>
        <v>2</v>
      </c>
      <c r="J968" s="33"/>
      <c r="K968" s="30" t="str">
        <f>IFERROR(__xludf.DUMMYFUNCTION("""COMPUTED_VALUE"""),"FU 25 Juni")</f>
        <v>FU 25 Juni</v>
      </c>
      <c r="L968" s="23"/>
      <c r="M968" s="20"/>
      <c r="N968" s="20"/>
      <c r="O968" s="20"/>
      <c r="P968" s="20"/>
    </row>
    <row r="969">
      <c r="A969" s="11">
        <f>IFERROR(__xludf.DUMMYFUNCTION("""COMPUTED_VALUE"""),46196.0)</f>
        <v>46196</v>
      </c>
      <c r="B969" s="11" t="str">
        <f>IFERROR(__xludf.DUMMYFUNCTION("""COMPUTED_VALUE"""),"2606D182")</f>
        <v>2606D182</v>
      </c>
      <c r="C969" s="10" t="str">
        <f>IFERROR(__xludf.DUMMYFUNCTION("""COMPUTED_VALUE"""),"No Name MT")</f>
        <v>No Name MT</v>
      </c>
      <c r="D969" s="13" t="str">
        <f>IFERROR(__xludf.DUMMYFUNCTION("""COMPUTED_VALUE"""),"089518447815")</f>
        <v>089518447815</v>
      </c>
      <c r="E969" s="14" t="str">
        <f>IFERROR(__xludf.DUMMYFUNCTION("""COMPUTED_VALUE"""),"Tiktok")</f>
        <v>Tiktok</v>
      </c>
      <c r="F969" s="14" t="str">
        <f>IFERROR(__xludf.DUMMYFUNCTION("""COMPUTED_VALUE"""),"Qualified")</f>
        <v>Qualified</v>
      </c>
      <c r="G969" s="14" t="str">
        <f>IFERROR(__xludf.DUMMYFUNCTION("""COMPUTED_VALUE"""),"OT MT")</f>
        <v>OT MT</v>
      </c>
      <c r="H969" s="16"/>
      <c r="I969" s="17">
        <f>IFERROR(__xludf.DUMMYFUNCTION("""COMPUTED_VALUE"""),1.0)</f>
        <v>1</v>
      </c>
      <c r="J969" s="54"/>
      <c r="K969" s="46" t="str">
        <f>IFERROR(__xludf.DUMMYFUNCTION("""COMPUTED_VALUE"""),"belum ada balasan   ")</f>
        <v>belum ada balasan   </v>
      </c>
      <c r="L969" s="10"/>
      <c r="M969" s="20"/>
      <c r="N969" s="20"/>
      <c r="O969" s="20"/>
      <c r="P969" s="20"/>
    </row>
    <row r="970">
      <c r="A970" s="21">
        <f>IFERROR(__xludf.DUMMYFUNCTION("""COMPUTED_VALUE"""),46196.0)</f>
        <v>46196</v>
      </c>
      <c r="B970" s="21" t="str">
        <f>IFERROR(__xludf.DUMMYFUNCTION("""COMPUTED_VALUE"""),"2606D183")</f>
        <v>2606D183</v>
      </c>
      <c r="C970" s="23" t="str">
        <f>IFERROR(__xludf.DUMMYFUNCTION("""COMPUTED_VALUE"""),"CindyNH ")</f>
        <v>CindyNH </v>
      </c>
      <c r="D970" s="24" t="str">
        <f>IFERROR(__xludf.DUMMYFUNCTION("""COMPUTED_VALUE"""),"085721041998")</f>
        <v>085721041998</v>
      </c>
      <c r="E970" s="14" t="str">
        <f>IFERROR(__xludf.DUMMYFUNCTION("""COMPUTED_VALUE"""),"Instagram")</f>
        <v>Instagram</v>
      </c>
      <c r="F970" s="14" t="str">
        <f>IFERROR(__xludf.DUMMYFUNCTION("""COMPUTED_VALUE"""),"Leads Baru")</f>
        <v>Leads Baru</v>
      </c>
      <c r="G970" s="14" t="str">
        <f>IFERROR(__xludf.DUMMYFUNCTION("""COMPUTED_VALUE"""),"OT MT")</f>
        <v>OT MT</v>
      </c>
      <c r="H970" s="26">
        <f>IFERROR(__xludf.DUMMYFUNCTION("""COMPUTED_VALUE"""),46224.0)</f>
        <v>46224</v>
      </c>
      <c r="I970" s="27">
        <f>IFERROR(__xludf.DUMMYFUNCTION("""COMPUTED_VALUE"""),2.0)</f>
        <v>2</v>
      </c>
      <c r="J970" s="33"/>
      <c r="K970" s="30" t="str">
        <f>IFERROR(__xludf.DUMMYFUNCTION("""COMPUTED_VALUE"""),"FU 2 Juli")</f>
        <v>FU 2 Juli</v>
      </c>
      <c r="L970" s="23"/>
      <c r="M970" s="20"/>
      <c r="N970" s="20"/>
      <c r="O970" s="20"/>
      <c r="P970" s="20"/>
    </row>
    <row r="971">
      <c r="A971" s="11">
        <f>IFERROR(__xludf.DUMMYFUNCTION("""COMPUTED_VALUE"""),46196.0)</f>
        <v>46196</v>
      </c>
      <c r="B971" s="11" t="str">
        <f>IFERROR(__xludf.DUMMYFUNCTION("""COMPUTED_VALUE"""),"2606D184")</f>
        <v>2606D184</v>
      </c>
      <c r="C971" s="10" t="str">
        <f>IFERROR(__xludf.DUMMYFUNCTION("""COMPUTED_VALUE"""),"Intan ")</f>
        <v>Intan </v>
      </c>
      <c r="D971" s="13" t="str">
        <f>IFERROR(__xludf.DUMMYFUNCTION("""COMPUTED_VALUE"""),"081328062727")</f>
        <v>081328062727</v>
      </c>
      <c r="E971" s="14" t="str">
        <f>IFERROR(__xludf.DUMMYFUNCTION("""COMPUTED_VALUE"""),"Instagram")</f>
        <v>Instagram</v>
      </c>
      <c r="F971" s="14" t="str">
        <f>IFERROR(__xludf.DUMMYFUNCTION("""COMPUTED_VALUE"""),"Closing")</f>
        <v>Closing</v>
      </c>
      <c r="G971" s="14" t="str">
        <f>IFERROR(__xludf.DUMMYFUNCTION("""COMPUTED_VALUE"""),"PT Menjangan Baluran")</f>
        <v>PT Menjangan Baluran</v>
      </c>
      <c r="H971" s="16">
        <f>IFERROR(__xludf.DUMMYFUNCTION("""COMPUTED_VALUE"""),46205.0)</f>
        <v>46205</v>
      </c>
      <c r="I971" s="17">
        <f>IFERROR(__xludf.DUMMYFUNCTION("""COMPUTED_VALUE"""),4.0)</f>
        <v>4</v>
      </c>
      <c r="J971" s="54">
        <f>IFERROR(__xludf.DUMMYFUNCTION("""COMPUTED_VALUE"""),2600000.0)</f>
        <v>2600000</v>
      </c>
      <c r="K971" s="46" t="str">
        <f>IFERROR(__xludf.DUMMYFUNCTION("""COMPUTED_VALUE"""),"orrderr")</f>
        <v>orrderr</v>
      </c>
      <c r="L971" s="10"/>
      <c r="M971" s="20"/>
      <c r="N971" s="20"/>
      <c r="O971" s="20"/>
      <c r="P971" s="20"/>
    </row>
    <row r="972">
      <c r="A972" s="21">
        <f>IFERROR(__xludf.DUMMYFUNCTION("""COMPUTED_VALUE"""),46196.0)</f>
        <v>46196</v>
      </c>
      <c r="B972" s="21" t="str">
        <f>IFERROR(__xludf.DUMMYFUNCTION("""COMPUTED_VALUE"""),"2606D185")</f>
        <v>2606D185</v>
      </c>
      <c r="C972" s="23" t="str">
        <f>IFERROR(__xludf.DUMMYFUNCTION("""COMPUTED_VALUE"""),"Lia")</f>
        <v>Lia</v>
      </c>
      <c r="D972" s="24" t="str">
        <f>IFERROR(__xludf.DUMMYFUNCTION("""COMPUTED_VALUE"""),"085646682833")</f>
        <v>085646682833</v>
      </c>
      <c r="E972" s="14" t="str">
        <f>IFERROR(__xludf.DUMMYFUNCTION("""COMPUTED_VALUE"""),"Instagram")</f>
        <v>Instagram</v>
      </c>
      <c r="F972" s="14" t="str">
        <f>IFERROR(__xludf.DUMMYFUNCTION("""COMPUTED_VALUE"""),"Leads Baru")</f>
        <v>Leads Baru</v>
      </c>
      <c r="G972" s="14" t="str">
        <f>IFERROR(__xludf.DUMMYFUNCTION("""COMPUTED_VALUE"""),"OT MT")</f>
        <v>OT MT</v>
      </c>
      <c r="H972" s="26">
        <f>IFERROR(__xludf.DUMMYFUNCTION("""COMPUTED_VALUE"""),46198.0)</f>
        <v>46198</v>
      </c>
      <c r="I972" s="27">
        <f>IFERROR(__xludf.DUMMYFUNCTION("""COMPUTED_VALUE"""),2.0)</f>
        <v>2</v>
      </c>
      <c r="J972" s="33"/>
      <c r="K972" s="30" t="str">
        <f>IFERROR(__xludf.DUMMYFUNCTION("""COMPUTED_VALUE"""),"FU 24 Juni")</f>
        <v>FU 24 Juni</v>
      </c>
      <c r="L972" s="23"/>
      <c r="M972" s="20"/>
      <c r="N972" s="20"/>
      <c r="O972" s="20"/>
      <c r="P972" s="20"/>
    </row>
    <row r="973">
      <c r="A973" s="11">
        <f>IFERROR(__xludf.DUMMYFUNCTION("""COMPUTED_VALUE"""),46197.0)</f>
        <v>46197</v>
      </c>
      <c r="B973" s="11" t="str">
        <f>IFERROR(__xludf.DUMMYFUNCTION("""COMPUTED_VALUE"""),"2606D186")</f>
        <v>2606D186</v>
      </c>
      <c r="C973" s="10" t="str">
        <f>IFERROR(__xludf.DUMMYFUNCTION("""COMPUTED_VALUE"""),"Nabila")</f>
        <v>Nabila</v>
      </c>
      <c r="D973" s="13" t="str">
        <f>IFERROR(__xludf.DUMMYFUNCTION("""COMPUTED_VALUE"""),"0895331162895")</f>
        <v>0895331162895</v>
      </c>
      <c r="E973" s="14" t="str">
        <f>IFERROR(__xludf.DUMMYFUNCTION("""COMPUTED_VALUE"""),"Instagram")</f>
        <v>Instagram</v>
      </c>
      <c r="F973" s="14" t="str">
        <f>IFERROR(__xludf.DUMMYFUNCTION("""COMPUTED_VALUE"""),"Closing")</f>
        <v>Closing</v>
      </c>
      <c r="G973" s="14" t="str">
        <f>IFERROR(__xludf.DUMMYFUNCTION("""COMPUTED_VALUE"""),"OT MT")</f>
        <v>OT MT</v>
      </c>
      <c r="H973" s="16">
        <f>IFERROR(__xludf.DUMMYFUNCTION("""COMPUTED_VALUE"""),46204.0)</f>
        <v>46204</v>
      </c>
      <c r="I973" s="17">
        <f>IFERROR(__xludf.DUMMYFUNCTION("""COMPUTED_VALUE"""),2.0)</f>
        <v>2</v>
      </c>
      <c r="J973" s="54">
        <f>IFERROR(__xludf.DUMMYFUNCTION("""COMPUTED_VALUE"""),800000.0)</f>
        <v>800000</v>
      </c>
      <c r="K973" s="46" t="str">
        <f>IFERROR(__xludf.DUMMYFUNCTION("""COMPUTED_VALUE"""),"orrddeerrr")</f>
        <v>orrddeerrr</v>
      </c>
      <c r="L973" s="10"/>
      <c r="M973" s="20"/>
      <c r="N973" s="20"/>
      <c r="O973" s="20"/>
      <c r="P973" s="20"/>
    </row>
    <row r="974">
      <c r="A974" s="21">
        <f>IFERROR(__xludf.DUMMYFUNCTION("""COMPUTED_VALUE"""),46197.0)</f>
        <v>46197</v>
      </c>
      <c r="B974" s="21" t="str">
        <f>IFERROR(__xludf.DUMMYFUNCTION("""COMPUTED_VALUE"""),"2606D187")</f>
        <v>2606D187</v>
      </c>
      <c r="C974" s="23" t="str">
        <f>IFERROR(__xludf.DUMMYFUNCTION("""COMPUTED_VALUE"""),"Yoga")</f>
        <v>Yoga</v>
      </c>
      <c r="D974" s="24" t="str">
        <f>IFERROR(__xludf.DUMMYFUNCTION("""COMPUTED_VALUE"""),"081227333699")</f>
        <v>081227333699</v>
      </c>
      <c r="E974" s="14" t="str">
        <f>IFERROR(__xludf.DUMMYFUNCTION("""COMPUTED_VALUE"""),"Website")</f>
        <v>Website</v>
      </c>
      <c r="F974" s="14" t="str">
        <f>IFERROR(__xludf.DUMMYFUNCTION("""COMPUTED_VALUE"""),"Closing")</f>
        <v>Closing</v>
      </c>
      <c r="G974" s="14" t="str">
        <f>IFERROR(__xludf.DUMMYFUNCTION("""COMPUTED_VALUE"""),"3H2M ops B")</f>
        <v>3H2M ops B</v>
      </c>
      <c r="H974" s="26">
        <f>IFERROR(__xludf.DUMMYFUNCTION("""COMPUTED_VALUE"""),46204.0)</f>
        <v>46204</v>
      </c>
      <c r="I974" s="27">
        <f>IFERROR(__xludf.DUMMYFUNCTION("""COMPUTED_VALUE"""),3.0)</f>
        <v>3</v>
      </c>
      <c r="J974" s="33">
        <f>IFERROR(__xludf.DUMMYFUNCTION("""COMPUTED_VALUE"""),4854000.0)</f>
        <v>4854000</v>
      </c>
      <c r="K974" s="30" t="str">
        <f>IFERROR(__xludf.DUMMYFUNCTION("""COMPUTED_VALUE"""),"orrderr")</f>
        <v>orrderr</v>
      </c>
      <c r="L974" s="23"/>
      <c r="M974" s="20"/>
      <c r="N974" s="20"/>
      <c r="O974" s="20"/>
      <c r="P974" s="20"/>
    </row>
    <row r="975">
      <c r="A975" s="11">
        <f>IFERROR(__xludf.DUMMYFUNCTION("""COMPUTED_VALUE"""),46197.0)</f>
        <v>46197</v>
      </c>
      <c r="B975" s="11" t="str">
        <f>IFERROR(__xludf.DUMMYFUNCTION("""COMPUTED_VALUE"""),"2606D188")</f>
        <v>2606D188</v>
      </c>
      <c r="C975" s="10" t="str">
        <f>IFERROR(__xludf.DUMMYFUNCTION("""COMPUTED_VALUE"""),"Indri Wilson")</f>
        <v>Indri Wilson</v>
      </c>
      <c r="D975" s="13" t="str">
        <f>IFERROR(__xludf.DUMMYFUNCTION("""COMPUTED_VALUE"""),"085200007722")</f>
        <v>085200007722</v>
      </c>
      <c r="E975" s="14" t="str">
        <f>IFERROR(__xludf.DUMMYFUNCTION("""COMPUTED_VALUE"""),"Website")</f>
        <v>Website</v>
      </c>
      <c r="F975" s="14" t="str">
        <f>IFERROR(__xludf.DUMMYFUNCTION("""COMPUTED_VALUE"""),"Leads Baru")</f>
        <v>Leads Baru</v>
      </c>
      <c r="G975" s="14"/>
      <c r="H975" s="16"/>
      <c r="I975" s="17"/>
      <c r="J975" s="54"/>
      <c r="K975" s="46" t="str">
        <f>IFERROR(__xludf.DUMMYFUNCTION("""COMPUTED_VALUE"""),"ga ada balasan")</f>
        <v>ga ada balasan</v>
      </c>
      <c r="L975" s="10"/>
      <c r="M975" s="20"/>
      <c r="N975" s="20"/>
      <c r="O975" s="20"/>
      <c r="P975" s="20"/>
    </row>
    <row r="976">
      <c r="A976" s="21">
        <f>IFERROR(__xludf.DUMMYFUNCTION("""COMPUTED_VALUE"""),46197.0)</f>
        <v>46197</v>
      </c>
      <c r="B976" s="21" t="str">
        <f>IFERROR(__xludf.DUMMYFUNCTION("""COMPUTED_VALUE"""),"2606D189")</f>
        <v>2606D189</v>
      </c>
      <c r="C976" s="23" t="str">
        <f>IFERROR(__xludf.DUMMYFUNCTION("""COMPUTED_VALUE"""),"Sarah")</f>
        <v>Sarah</v>
      </c>
      <c r="D976" s="24" t="str">
        <f>IFERROR(__xludf.DUMMYFUNCTION("""COMPUTED_VALUE"""),"082130124287")</f>
        <v>082130124287</v>
      </c>
      <c r="E976" s="14" t="str">
        <f>IFERROR(__xludf.DUMMYFUNCTION("""COMPUTED_VALUE"""),"Instagram")</f>
        <v>Instagram</v>
      </c>
      <c r="F976" s="14" t="str">
        <f>IFERROR(__xludf.DUMMYFUNCTION("""COMPUTED_VALUE"""),"Leads Baru")</f>
        <v>Leads Baru</v>
      </c>
      <c r="G976" s="14" t="str">
        <f>IFERROR(__xludf.DUMMYFUNCTION("""COMPUTED_VALUE"""),"5H4M custome")</f>
        <v>5H4M custome</v>
      </c>
      <c r="H976" s="26"/>
      <c r="I976" s="27">
        <f>IFERROR(__xludf.DUMMYFUNCTION("""COMPUTED_VALUE"""),20.0)</f>
        <v>20</v>
      </c>
      <c r="J976" s="33"/>
      <c r="K976" s="30" t="str">
        <f>IFERROR(__xludf.DUMMYFUNCTION("""COMPUTED_VALUE"""),"buat penawaran")</f>
        <v>buat penawaran</v>
      </c>
      <c r="L976" s="23"/>
      <c r="M976" s="20"/>
      <c r="N976" s="20"/>
      <c r="O976" s="20"/>
      <c r="P976" s="20"/>
    </row>
    <row r="977">
      <c r="A977" s="11">
        <f>IFERROR(__xludf.DUMMYFUNCTION("""COMPUTED_VALUE"""),46197.0)</f>
        <v>46197</v>
      </c>
      <c r="B977" s="11" t="str">
        <f>IFERROR(__xludf.DUMMYFUNCTION("""COMPUTED_VALUE"""),"2606D190")</f>
        <v>2606D190</v>
      </c>
      <c r="C977" s="10" t="str">
        <f>IFERROR(__xludf.DUMMYFUNCTION("""COMPUTED_VALUE"""),"Tari Kins")</f>
        <v>Tari Kins</v>
      </c>
      <c r="D977" s="13" t="str">
        <f>IFERROR(__xludf.DUMMYFUNCTION("""COMPUTED_VALUE"""),"0817456563")</f>
        <v>0817456563</v>
      </c>
      <c r="E977" s="14" t="str">
        <f>IFERROR(__xludf.DUMMYFUNCTION("""COMPUTED_VALUE"""),"Instagram")</f>
        <v>Instagram</v>
      </c>
      <c r="F977" s="14" t="str">
        <f>IFERROR(__xludf.DUMMYFUNCTION("""COMPUTED_VALUE"""),"Leads Baru")</f>
        <v>Leads Baru</v>
      </c>
      <c r="G977" s="14" t="str">
        <f>IFERROR(__xludf.DUMMYFUNCTION("""COMPUTED_VALUE"""),"4H3M")</f>
        <v>4H3M</v>
      </c>
      <c r="H977" s="16"/>
      <c r="I977" s="17">
        <f>IFERROR(__xludf.DUMMYFUNCTION("""COMPUTED_VALUE"""),6.0)</f>
        <v>6</v>
      </c>
      <c r="J977" s="54"/>
      <c r="K977" s="46" t="str">
        <f>IFERROR(__xludf.DUMMYFUNCTION("""COMPUTED_VALUE"""),"masih diskus, FU 29 Juni")</f>
        <v>masih diskus, FU 29 Juni</v>
      </c>
      <c r="L977" s="10"/>
      <c r="M977" s="20"/>
      <c r="N977" s="20"/>
      <c r="O977" s="20"/>
      <c r="P977" s="20"/>
    </row>
    <row r="978">
      <c r="A978" s="21">
        <f>IFERROR(__xludf.DUMMYFUNCTION("""COMPUTED_VALUE"""),46198.0)</f>
        <v>46198</v>
      </c>
      <c r="B978" s="21" t="str">
        <f>IFERROR(__xludf.DUMMYFUNCTION("""COMPUTED_VALUE"""),"2606D191")</f>
        <v>2606D191</v>
      </c>
      <c r="C978" s="23" t="str">
        <f>IFERROR(__xludf.DUMMYFUNCTION("""COMPUTED_VALUE"""),"Deya Azizah")</f>
        <v>Deya Azizah</v>
      </c>
      <c r="D978" s="24" t="str">
        <f>IFERROR(__xludf.DUMMYFUNCTION("""COMPUTED_VALUE"""),"0881027904996")</f>
        <v>0881027904996</v>
      </c>
      <c r="E978" s="14" t="str">
        <f>IFERROR(__xludf.DUMMYFUNCTION("""COMPUTED_VALUE"""),"Instagram")</f>
        <v>Instagram</v>
      </c>
      <c r="F978" s="14" t="str">
        <f>IFERROR(__xludf.DUMMYFUNCTION("""COMPUTED_VALUE"""),"Closing")</f>
        <v>Closing</v>
      </c>
      <c r="G978" s="14" t="str">
        <f>IFERROR(__xludf.DUMMYFUNCTION("""COMPUTED_VALUE"""),"OT MT")</f>
        <v>OT MT</v>
      </c>
      <c r="H978" s="26">
        <f>IFERROR(__xludf.DUMMYFUNCTION("""COMPUTED_VALUE"""),46205.0)</f>
        <v>46205</v>
      </c>
      <c r="I978" s="27">
        <f>IFERROR(__xludf.DUMMYFUNCTION("""COMPUTED_VALUE"""),2.0)</f>
        <v>2</v>
      </c>
      <c r="J978" s="33">
        <f>IFERROR(__xludf.DUMMYFUNCTION("""COMPUTED_VALUE"""),800000.0)</f>
        <v>800000</v>
      </c>
      <c r="K978" s="30" t="str">
        <f>IFERROR(__xludf.DUMMYFUNCTION("""COMPUTED_VALUE"""),"alhamdulillah orderr")</f>
        <v>alhamdulillah orderr</v>
      </c>
      <c r="L978" s="23"/>
      <c r="M978" s="20"/>
      <c r="N978" s="20"/>
      <c r="O978" s="20"/>
      <c r="P978" s="20"/>
    </row>
    <row r="979">
      <c r="A979" s="11">
        <f>IFERROR(__xludf.DUMMYFUNCTION("""COMPUTED_VALUE"""),46198.0)</f>
        <v>46198</v>
      </c>
      <c r="B979" s="11" t="str">
        <f>IFERROR(__xludf.DUMMYFUNCTION("""COMPUTED_VALUE"""),"2606D192")</f>
        <v>2606D192</v>
      </c>
      <c r="C979" s="10" t="str">
        <f>IFERROR(__xludf.DUMMYFUNCTION("""COMPUTED_VALUE"""),"Reinaldi")</f>
        <v>Reinaldi</v>
      </c>
      <c r="D979" s="13" t="str">
        <f>IFERROR(__xludf.DUMMYFUNCTION("""COMPUTED_VALUE"""),"0895357925773")</f>
        <v>0895357925773</v>
      </c>
      <c r="E979" s="14" t="str">
        <f>IFERROR(__xludf.DUMMYFUNCTION("""COMPUTED_VALUE"""),"Website")</f>
        <v>Website</v>
      </c>
      <c r="F979" s="14" t="str">
        <f>IFERROR(__xludf.DUMMYFUNCTION("""COMPUTED_VALUE"""),"Closing")</f>
        <v>Closing</v>
      </c>
      <c r="G979" s="14" t="str">
        <f>IFERROR(__xludf.DUMMYFUNCTION("""COMPUTED_VALUE"""),"2H1M custome")</f>
        <v>2H1M custome</v>
      </c>
      <c r="H979" s="16">
        <f>IFERROR(__xludf.DUMMYFUNCTION("""COMPUTED_VALUE"""),46203.0)</f>
        <v>46203</v>
      </c>
      <c r="I979" s="17">
        <f>IFERROR(__xludf.DUMMYFUNCTION("""COMPUTED_VALUE"""),3.0)</f>
        <v>3</v>
      </c>
      <c r="J979" s="54">
        <f>IFERROR(__xludf.DUMMYFUNCTION("""COMPUTED_VALUE"""),2955000.0)</f>
        <v>2955000</v>
      </c>
      <c r="K979" s="46" t="str">
        <f>IFERROR(__xludf.DUMMYFUNCTION("""COMPUTED_VALUE"""),"orrderrr")</f>
        <v>orrderrr</v>
      </c>
      <c r="L979" s="10"/>
      <c r="M979" s="20"/>
      <c r="N979" s="20"/>
      <c r="O979" s="20"/>
      <c r="P979" s="20"/>
    </row>
    <row r="980">
      <c r="A980" s="21">
        <f>IFERROR(__xludf.DUMMYFUNCTION("""COMPUTED_VALUE"""),46198.0)</f>
        <v>46198</v>
      </c>
      <c r="B980" s="21" t="str">
        <f>IFERROR(__xludf.DUMMYFUNCTION("""COMPUTED_VALUE"""),"2606D193")</f>
        <v>2606D193</v>
      </c>
      <c r="C980" s="23" t="str">
        <f>IFERROR(__xludf.DUMMYFUNCTION("""COMPUTED_VALUE"""),"Pak Sukotjo")</f>
        <v>Pak Sukotjo</v>
      </c>
      <c r="D980" s="24" t="str">
        <f>IFERROR(__xludf.DUMMYFUNCTION("""COMPUTED_VALUE"""),"082110312277")</f>
        <v>082110312277</v>
      </c>
      <c r="E980" s="14" t="str">
        <f>IFERROR(__xludf.DUMMYFUNCTION("""COMPUTED_VALUE"""),"Rekomendasi")</f>
        <v>Rekomendasi</v>
      </c>
      <c r="F980" s="14" t="str">
        <f>IFERROR(__xludf.DUMMYFUNCTION("""COMPUTED_VALUE"""),"Closing")</f>
        <v>Closing</v>
      </c>
      <c r="G980" s="14" t="str">
        <f>IFERROR(__xludf.DUMMYFUNCTION("""COMPUTED_VALUE"""),"trip Green Island")</f>
        <v>trip Green Island</v>
      </c>
      <c r="H980" s="26">
        <f>IFERROR(__xludf.DUMMYFUNCTION("""COMPUTED_VALUE"""),46201.0)</f>
        <v>46201</v>
      </c>
      <c r="I980" s="27">
        <f>IFERROR(__xludf.DUMMYFUNCTION("""COMPUTED_VALUE"""),4.0)</f>
        <v>4</v>
      </c>
      <c r="J980" s="33">
        <f>IFERROR(__xludf.DUMMYFUNCTION("""COMPUTED_VALUE"""),5910000.0)</f>
        <v>5910000</v>
      </c>
      <c r="K980" s="30" t="str">
        <f>IFERROR(__xludf.DUMMYFUNCTION("""COMPUTED_VALUE"""),"orrderrr")</f>
        <v>orrderrr</v>
      </c>
      <c r="L980" s="23"/>
      <c r="M980" s="20"/>
      <c r="N980" s="20"/>
      <c r="O980" s="20"/>
      <c r="P980" s="20"/>
    </row>
    <row r="981">
      <c r="A981" s="11">
        <f>IFERROR(__xludf.DUMMYFUNCTION("""COMPUTED_VALUE"""),46198.0)</f>
        <v>46198</v>
      </c>
      <c r="B981" s="11" t="str">
        <f>IFERROR(__xludf.DUMMYFUNCTION("""COMPUTED_VALUE"""),"2606D194")</f>
        <v>2606D194</v>
      </c>
      <c r="C981" s="10" t="str">
        <f>IFERROR(__xludf.DUMMYFUNCTION("""COMPUTED_VALUE"""),"Budi Siswanto")</f>
        <v>Budi Siswanto</v>
      </c>
      <c r="D981" s="13" t="str">
        <f>IFERROR(__xludf.DUMMYFUNCTION("""COMPUTED_VALUE"""),"082310971717")</f>
        <v>082310971717</v>
      </c>
      <c r="E981" s="14" t="str">
        <f>IFERROR(__xludf.DUMMYFUNCTION("""COMPUTED_VALUE"""),"Website")</f>
        <v>Website</v>
      </c>
      <c r="F981" s="14" t="str">
        <f>IFERROR(__xludf.DUMMYFUNCTION("""COMPUTED_VALUE"""),"Closing")</f>
        <v>Closing</v>
      </c>
      <c r="G981" s="14" t="str">
        <f>IFERROR(__xludf.DUMMYFUNCTION("""COMPUTED_VALUE"""),"private trip Ijen")</f>
        <v>private trip Ijen</v>
      </c>
      <c r="H981" s="16">
        <f>IFERROR(__xludf.DUMMYFUNCTION("""COMPUTED_VALUE"""),46244.0)</f>
        <v>46244</v>
      </c>
      <c r="I981" s="17">
        <f>IFERROR(__xludf.DUMMYFUNCTION("""COMPUTED_VALUE"""),5.0)</f>
        <v>5</v>
      </c>
      <c r="J981" s="54">
        <f>IFERROR(__xludf.DUMMYFUNCTION("""COMPUTED_VALUE"""),1570000.0)</f>
        <v>1570000</v>
      </c>
      <c r="K981" s="46" t="str">
        <f>IFERROR(__xludf.DUMMYFUNCTION("""COMPUTED_VALUE"""),"alhamdulillah orderr")</f>
        <v>alhamdulillah orderr</v>
      </c>
      <c r="L981" s="10"/>
      <c r="M981" s="20"/>
      <c r="N981" s="20"/>
      <c r="O981" s="20"/>
      <c r="P981" s="20"/>
    </row>
    <row r="982">
      <c r="A982" s="21">
        <f>IFERROR(__xludf.DUMMYFUNCTION("""COMPUTED_VALUE"""),46198.0)</f>
        <v>46198</v>
      </c>
      <c r="B982" s="21" t="str">
        <f>IFERROR(__xludf.DUMMYFUNCTION("""COMPUTED_VALUE"""),"2606D195")</f>
        <v>2606D195</v>
      </c>
      <c r="C982" s="23" t="str">
        <f>IFERROR(__xludf.DUMMYFUNCTION("""COMPUTED_VALUE"""),"Aulia Irvana")</f>
        <v>Aulia Irvana</v>
      </c>
      <c r="D982" s="24" t="str">
        <f>IFERROR(__xludf.DUMMYFUNCTION("""COMPUTED_VALUE"""),"0895357925773")</f>
        <v>0895357925773</v>
      </c>
      <c r="E982" s="14" t="str">
        <f>IFERROR(__xludf.DUMMYFUNCTION("""COMPUTED_VALUE"""),"Tiktok")</f>
        <v>Tiktok</v>
      </c>
      <c r="F982" s="14" t="str">
        <f>IFERROR(__xludf.DUMMYFUNCTION("""COMPUTED_VALUE"""),"Gagal")</f>
        <v>Gagal</v>
      </c>
      <c r="G982" s="14" t="str">
        <f>IFERROR(__xludf.DUMMYFUNCTION("""COMPUTED_VALUE"""),"OT MT")</f>
        <v>OT MT</v>
      </c>
      <c r="H982" s="26">
        <f>IFERROR(__xludf.DUMMYFUNCTION("""COMPUTED_VALUE"""),46200.0)</f>
        <v>46200</v>
      </c>
      <c r="I982" s="27"/>
      <c r="J982" s="33"/>
      <c r="K982" s="30" t="str">
        <f>IFERROR(__xludf.DUMMYFUNCTION("""COMPUTED_VALUE"""),"fullbooked")</f>
        <v>fullbooked</v>
      </c>
      <c r="L982" s="23"/>
      <c r="M982" s="20"/>
      <c r="N982" s="20"/>
      <c r="O982" s="20"/>
      <c r="P982" s="20"/>
    </row>
    <row r="983">
      <c r="A983" s="11">
        <f>IFERROR(__xludf.DUMMYFUNCTION("""COMPUTED_VALUE"""),46198.0)</f>
        <v>46198</v>
      </c>
      <c r="B983" s="11" t="str">
        <f>IFERROR(__xludf.DUMMYFUNCTION("""COMPUTED_VALUE"""),"2606D196")</f>
        <v>2606D196</v>
      </c>
      <c r="C983" s="10" t="str">
        <f>IFERROR(__xludf.DUMMYFUNCTION("""COMPUTED_VALUE"""),"wong ashor")</f>
        <v>wong ashor</v>
      </c>
      <c r="D983" s="13" t="str">
        <f>IFERROR(__xludf.DUMMYFUNCTION("""COMPUTED_VALUE"""),"089512106978")</f>
        <v>089512106978</v>
      </c>
      <c r="E983" s="14" t="str">
        <f>IFERROR(__xludf.DUMMYFUNCTION("""COMPUTED_VALUE"""),"Instagram")</f>
        <v>Instagram</v>
      </c>
      <c r="F983" s="14" t="str">
        <f>IFERROR(__xludf.DUMMYFUNCTION("""COMPUTED_VALUE"""),"Leads Baru")</f>
        <v>Leads Baru</v>
      </c>
      <c r="G983" s="14" t="str">
        <f>IFERROR(__xludf.DUMMYFUNCTION("""COMPUTED_VALUE"""),"OT MT")</f>
        <v>OT MT</v>
      </c>
      <c r="H983" s="16"/>
      <c r="I983" s="17">
        <f>IFERROR(__xludf.DUMMYFUNCTION("""COMPUTED_VALUE"""),3.0)</f>
        <v>3</v>
      </c>
      <c r="J983" s="54"/>
      <c r="K983" s="46" t="str">
        <f>IFERROR(__xludf.DUMMYFUNCTION("""COMPUTED_VALUE"""),"FU 3 Juli")</f>
        <v>FU 3 Juli</v>
      </c>
      <c r="L983" s="10"/>
      <c r="M983" s="20"/>
      <c r="N983" s="20"/>
      <c r="O983" s="20"/>
      <c r="P983" s="20"/>
    </row>
    <row r="984">
      <c r="A984" s="21">
        <f>IFERROR(__xludf.DUMMYFUNCTION("""COMPUTED_VALUE"""),46198.0)</f>
        <v>46198</v>
      </c>
      <c r="B984" s="21" t="str">
        <f>IFERROR(__xludf.DUMMYFUNCTION("""COMPUTED_VALUE"""),"2606D197")</f>
        <v>2606D197</v>
      </c>
      <c r="C984" s="23" t="str">
        <f>IFERROR(__xludf.DUMMYFUNCTION("""COMPUTED_VALUE"""),"angel")</f>
        <v>angel</v>
      </c>
      <c r="D984" s="24" t="str">
        <f>IFERROR(__xludf.DUMMYFUNCTION("""COMPUTED_VALUE"""),"082157998900")</f>
        <v>082157998900</v>
      </c>
      <c r="E984" s="14" t="str">
        <f>IFERROR(__xludf.DUMMYFUNCTION("""COMPUTED_VALUE"""),"Instagram")</f>
        <v>Instagram</v>
      </c>
      <c r="F984" s="14" t="str">
        <f>IFERROR(__xludf.DUMMYFUNCTION("""COMPUTED_VALUE"""),"Leads Baru")</f>
        <v>Leads Baru</v>
      </c>
      <c r="G984" s="14"/>
      <c r="H984" s="26"/>
      <c r="I984" s="27"/>
      <c r="J984" s="33"/>
      <c r="K984" s="30" t="str">
        <f>IFERROR(__xludf.DUMMYFUNCTION("""COMPUTED_VALUE"""),"masih nyapa, FU 26 Juni")</f>
        <v>masih nyapa, FU 26 Juni</v>
      </c>
      <c r="L984" s="23"/>
      <c r="M984" s="20"/>
      <c r="N984" s="20"/>
      <c r="O984" s="20"/>
      <c r="P984" s="20"/>
    </row>
    <row r="985">
      <c r="A985" s="11">
        <f>IFERROR(__xludf.DUMMYFUNCTION("""COMPUTED_VALUE"""),46198.0)</f>
        <v>46198</v>
      </c>
      <c r="B985" s="11" t="str">
        <f>IFERROR(__xludf.DUMMYFUNCTION("""COMPUTED_VALUE"""),"2606D198")</f>
        <v>2606D198</v>
      </c>
      <c r="C985" s="10" t="str">
        <f>IFERROR(__xludf.DUMMYFUNCTION("""COMPUTED_VALUE"""),"Faiz  ")</f>
        <v>Faiz  </v>
      </c>
      <c r="D985" s="13" t="str">
        <f>IFERROR(__xludf.DUMMYFUNCTION("""COMPUTED_VALUE"""),"0895358986343")</f>
        <v>0895358986343</v>
      </c>
      <c r="E985" s="14" t="str">
        <f>IFERROR(__xludf.DUMMYFUNCTION("""COMPUTED_VALUE"""),"Instagram")</f>
        <v>Instagram</v>
      </c>
      <c r="F985" s="14" t="str">
        <f>IFERROR(__xludf.DUMMYFUNCTION("""COMPUTED_VALUE"""),"Gagal")</f>
        <v>Gagal</v>
      </c>
      <c r="G985" s="14" t="str">
        <f>IFERROR(__xludf.DUMMYFUNCTION("""COMPUTED_VALUE"""),"OT MT")</f>
        <v>OT MT</v>
      </c>
      <c r="H985" s="16">
        <f>IFERROR(__xludf.DUMMYFUNCTION("""COMPUTED_VALUE"""),46200.0)</f>
        <v>46200</v>
      </c>
      <c r="I985" s="17">
        <f>IFERROR(__xludf.DUMMYFUNCTION("""COMPUTED_VALUE"""),1.0)</f>
        <v>1</v>
      </c>
      <c r="J985" s="54"/>
      <c r="K985" s="46" t="str">
        <f>IFERROR(__xludf.DUMMYFUNCTION("""COMPUTED_VALUE"""),"fullbooked")</f>
        <v>fullbooked</v>
      </c>
      <c r="L985" s="10"/>
      <c r="M985" s="20"/>
      <c r="N985" s="20"/>
      <c r="O985" s="20"/>
      <c r="P985" s="20"/>
    </row>
    <row r="986">
      <c r="A986" s="21">
        <f>IFERROR(__xludf.DUMMYFUNCTION("""COMPUTED_VALUE"""),46197.0)</f>
        <v>46197</v>
      </c>
      <c r="B986" s="21" t="str">
        <f>IFERROR(__xludf.DUMMYFUNCTION("""COMPUTED_VALUE"""),"2606D199")</f>
        <v>2606D199</v>
      </c>
      <c r="C986" s="23" t="str">
        <f>IFERROR(__xludf.DUMMYFUNCTION("""COMPUTED_VALUE"""),"Agus Lestiono")</f>
        <v>Agus Lestiono</v>
      </c>
      <c r="D986" s="24" t="str">
        <f>IFERROR(__xludf.DUMMYFUNCTION("""COMPUTED_VALUE"""),"081225903010")</f>
        <v>081225903010</v>
      </c>
      <c r="E986" s="14" t="str">
        <f>IFERROR(__xludf.DUMMYFUNCTION("""COMPUTED_VALUE"""),"Website")</f>
        <v>Website</v>
      </c>
      <c r="F986" s="14" t="str">
        <f>IFERROR(__xludf.DUMMYFUNCTION("""COMPUTED_VALUE"""),"Gagal")</f>
        <v>Gagal</v>
      </c>
      <c r="G986" s="14" t="str">
        <f>IFERROR(__xludf.DUMMYFUNCTION("""COMPUTED_VALUE"""),"1 day GI")</f>
        <v>1 day GI</v>
      </c>
      <c r="H986" s="26"/>
      <c r="I986" s="27">
        <f>IFERROR(__xludf.DUMMYFUNCTION("""COMPUTED_VALUE"""),4.0)</f>
        <v>4</v>
      </c>
      <c r="J986" s="33"/>
      <c r="K986" s="30" t="str">
        <f>IFERROR(__xludf.DUMMYFUNCTION("""COMPUTED_VALUE"""),"cancell")</f>
        <v>cancell</v>
      </c>
      <c r="L986" s="23"/>
      <c r="M986" s="20"/>
      <c r="N986" s="20"/>
      <c r="O986" s="20"/>
      <c r="P986" s="20"/>
    </row>
    <row r="987">
      <c r="A987" s="11">
        <f>IFERROR(__xludf.DUMMYFUNCTION("""COMPUTED_VALUE"""),46199.0)</f>
        <v>46199</v>
      </c>
      <c r="B987" s="11" t="str">
        <f>IFERROR(__xludf.DUMMYFUNCTION("""COMPUTED_VALUE"""),"2606D200")</f>
        <v>2606D200</v>
      </c>
      <c r="C987" s="10" t="str">
        <f>IFERROR(__xludf.DUMMYFUNCTION("""COMPUTED_VALUE"""),"Leman")</f>
        <v>Leman</v>
      </c>
      <c r="D987" s="13" t="str">
        <f>IFERROR(__xludf.DUMMYFUNCTION("""COMPUTED_VALUE"""),"082240970000")</f>
        <v>082240970000</v>
      </c>
      <c r="E987" s="14" t="str">
        <f>IFERROR(__xludf.DUMMYFUNCTION("""COMPUTED_VALUE"""),"Website")</f>
        <v>Website</v>
      </c>
      <c r="F987" s="14" t="str">
        <f>IFERROR(__xludf.DUMMYFUNCTION("""COMPUTED_VALUE"""),"Closing")</f>
        <v>Closing</v>
      </c>
      <c r="G987" s="14" t="str">
        <f>IFERROR(__xludf.DUMMYFUNCTION("""COMPUTED_VALUE"""),"Private Ijen")</f>
        <v>Private Ijen</v>
      </c>
      <c r="H987" s="16">
        <f>IFERROR(__xludf.DUMMYFUNCTION("""COMPUTED_VALUE"""),46200.0)</f>
        <v>46200</v>
      </c>
      <c r="I987" s="17">
        <f>IFERROR(__xludf.DUMMYFUNCTION("""COMPUTED_VALUE"""),5.0)</f>
        <v>5</v>
      </c>
      <c r="J987" s="54">
        <f>IFERROR(__xludf.DUMMYFUNCTION("""COMPUTED_VALUE"""),1570000.0)</f>
        <v>1570000</v>
      </c>
      <c r="K987" s="46" t="str">
        <f>IFERROR(__xludf.DUMMYFUNCTION("""COMPUTED_VALUE"""),"orrderrr yes")</f>
        <v>orrderrr yes</v>
      </c>
      <c r="L987" s="10"/>
      <c r="M987" s="20"/>
      <c r="N987" s="20"/>
      <c r="O987" s="20"/>
      <c r="P987" s="20"/>
    </row>
    <row r="988">
      <c r="A988" s="21">
        <f>IFERROR(__xludf.DUMMYFUNCTION("""COMPUTED_VALUE"""),46197.0)</f>
        <v>46197</v>
      </c>
      <c r="B988" s="21" t="str">
        <f>IFERROR(__xludf.DUMMYFUNCTION("""COMPUTED_VALUE"""),"2606D201")</f>
        <v>2606D201</v>
      </c>
      <c r="C988" s="23" t="str">
        <f>IFERROR(__xludf.DUMMYFUNCTION("""COMPUTED_VALUE"""),"No Name garis")</f>
        <v>No Name garis</v>
      </c>
      <c r="D988" s="24" t="str">
        <f>IFERROR(__xludf.DUMMYFUNCTION("""COMPUTED_VALUE"""),"082266369983")</f>
        <v>082266369983</v>
      </c>
      <c r="E988" s="14" t="str">
        <f>IFERROR(__xludf.DUMMYFUNCTION("""COMPUTED_VALUE"""),"Website")</f>
        <v>Website</v>
      </c>
      <c r="F988" s="14" t="str">
        <f>IFERROR(__xludf.DUMMYFUNCTION("""COMPUTED_VALUE"""),"Leads Baru")</f>
        <v>Leads Baru</v>
      </c>
      <c r="G988" s="14"/>
      <c r="H988" s="26"/>
      <c r="I988" s="27"/>
      <c r="J988" s="33"/>
      <c r="K988" s="30" t="str">
        <f>IFERROR(__xludf.DUMMYFUNCTION("""COMPUTED_VALUE"""),"masih nyapa, FU 27 Juni")</f>
        <v>masih nyapa, FU 27 Juni</v>
      </c>
      <c r="L988" s="23"/>
      <c r="M988" s="20"/>
      <c r="N988" s="20"/>
      <c r="O988" s="20"/>
      <c r="P988" s="20"/>
    </row>
    <row r="989">
      <c r="A989" s="11">
        <f>IFERROR(__xludf.DUMMYFUNCTION("""COMPUTED_VALUE"""),46197.0)</f>
        <v>46197</v>
      </c>
      <c r="B989" s="11" t="str">
        <f>IFERROR(__xludf.DUMMYFUNCTION("""COMPUTED_VALUE"""),"2606D202 ")</f>
        <v>2606D202 </v>
      </c>
      <c r="C989" s="10" t="str">
        <f>IFERROR(__xludf.DUMMYFUNCTION("""COMPUTED_VALUE"""),"ibnhamzah")</f>
        <v>ibnhamzah</v>
      </c>
      <c r="D989" s="13" t="str">
        <f>IFERROR(__xludf.DUMMYFUNCTION("""COMPUTED_VALUE"""),"087836044965")</f>
        <v>087836044965</v>
      </c>
      <c r="E989" s="14" t="str">
        <f>IFERROR(__xludf.DUMMYFUNCTION("""COMPUTED_VALUE"""),"Website")</f>
        <v>Website</v>
      </c>
      <c r="F989" s="14" t="str">
        <f>IFERROR(__xludf.DUMMYFUNCTION("""COMPUTED_VALUE"""),"Leads Baru")</f>
        <v>Leads Baru</v>
      </c>
      <c r="G989" s="14"/>
      <c r="H989" s="16"/>
      <c r="I989" s="17"/>
      <c r="J989" s="54"/>
      <c r="K989" s="46" t="str">
        <f>IFERROR(__xludf.DUMMYFUNCTION("""COMPUTED_VALUE"""),"masih nyapa, FU 27 Juni")</f>
        <v>masih nyapa, FU 27 Juni</v>
      </c>
      <c r="L989" s="10"/>
      <c r="M989" s="20"/>
      <c r="N989" s="20"/>
      <c r="O989" s="20"/>
      <c r="P989" s="20"/>
    </row>
    <row r="990">
      <c r="A990" s="21">
        <f>IFERROR(__xludf.DUMMYFUNCTION("""COMPUTED_VALUE"""),46198.0)</f>
        <v>46198</v>
      </c>
      <c r="B990" s="21" t="str">
        <f>IFERROR(__xludf.DUMMYFUNCTION("""COMPUTED_VALUE"""),"2606D203 ")</f>
        <v>2606D203 </v>
      </c>
      <c r="C990" s="23" t="str">
        <f>IFERROR(__xludf.DUMMYFUNCTION("""COMPUTED_VALUE"""),"riusbukit   ")</f>
        <v>riusbukit   </v>
      </c>
      <c r="D990" s="24" t="str">
        <f>IFERROR(__xludf.DUMMYFUNCTION("""COMPUTED_VALUE"""),"081382395521")</f>
        <v>081382395521</v>
      </c>
      <c r="E990" s="14" t="str">
        <f>IFERROR(__xludf.DUMMYFUNCTION("""COMPUTED_VALUE"""),"Instagram")</f>
        <v>Instagram</v>
      </c>
      <c r="F990" s="14" t="str">
        <f>IFERROR(__xludf.DUMMYFUNCTION("""COMPUTED_VALUE"""),"Gagal")</f>
        <v>Gagal</v>
      </c>
      <c r="G990" s="14"/>
      <c r="H990" s="26"/>
      <c r="I990" s="27"/>
      <c r="J990" s="33"/>
      <c r="K990" s="30" t="str">
        <f>IFERROR(__xludf.DUMMYFUNCTION("""COMPUTED_VALUE"""),"tanya mepo Surabaya")</f>
        <v>tanya mepo Surabaya</v>
      </c>
      <c r="L990" s="23"/>
      <c r="M990" s="20"/>
      <c r="N990" s="20"/>
      <c r="O990" s="20"/>
      <c r="P990" s="20"/>
    </row>
    <row r="991">
      <c r="A991" s="11">
        <f>IFERROR(__xludf.DUMMYFUNCTION("""COMPUTED_VALUE"""),46198.0)</f>
        <v>46198</v>
      </c>
      <c r="B991" s="11" t="str">
        <f>IFERROR(__xludf.DUMMYFUNCTION("""COMPUTED_VALUE"""),"2606D204")</f>
        <v>2606D204</v>
      </c>
      <c r="C991" s="10" t="str">
        <f>IFERROR(__xludf.DUMMYFUNCTION("""COMPUTED_VALUE"""),"Prama")</f>
        <v>Prama</v>
      </c>
      <c r="D991" s="13" t="str">
        <f>IFERROR(__xludf.DUMMYFUNCTION("""COMPUTED_VALUE"""),"082136493980")</f>
        <v>082136493980</v>
      </c>
      <c r="E991" s="14" t="str">
        <f>IFERROR(__xludf.DUMMYFUNCTION("""COMPUTED_VALUE"""),"Instagram")</f>
        <v>Instagram</v>
      </c>
      <c r="F991" s="14" t="str">
        <f>IFERROR(__xludf.DUMMYFUNCTION("""COMPUTED_VALUE"""),"Gagal")</f>
        <v>Gagal</v>
      </c>
      <c r="G991" s="14"/>
      <c r="H991" s="16"/>
      <c r="I991" s="17"/>
      <c r="J991" s="54"/>
      <c r="K991" s="46" t="str">
        <f>IFERROR(__xludf.DUMMYFUNCTION("""COMPUTED_VALUE"""),"sudah dikonfir ga bales lagi")</f>
        <v>sudah dikonfir ga bales lagi</v>
      </c>
      <c r="L991" s="10"/>
      <c r="M991" s="20"/>
      <c r="N991" s="20"/>
      <c r="O991" s="20"/>
      <c r="P991" s="20"/>
    </row>
    <row r="992">
      <c r="A992" s="21">
        <f>IFERROR(__xludf.DUMMYFUNCTION("""COMPUTED_VALUE"""),46199.0)</f>
        <v>46199</v>
      </c>
      <c r="B992" s="21" t="str">
        <f>IFERROR(__xludf.DUMMYFUNCTION("""COMPUTED_VALUE"""),"2606D205")</f>
        <v>2606D205</v>
      </c>
      <c r="C992" s="23" t="str">
        <f>IFERROR(__xludf.DUMMYFUNCTION("""COMPUTED_VALUE"""),"Weni")</f>
        <v>Weni</v>
      </c>
      <c r="D992" s="24" t="str">
        <f>IFERROR(__xludf.DUMMYFUNCTION("""COMPUTED_VALUE"""),"087880788898")</f>
        <v>087880788898</v>
      </c>
      <c r="E992" s="14" t="str">
        <f>IFERROR(__xludf.DUMMYFUNCTION("""COMPUTED_VALUE"""),"Website")</f>
        <v>Website</v>
      </c>
      <c r="F992" s="14" t="str">
        <f>IFERROR(__xludf.DUMMYFUNCTION("""COMPUTED_VALUE"""),"Closing")</f>
        <v>Closing</v>
      </c>
      <c r="G992" s="14" t="str">
        <f>IFERROR(__xludf.DUMMYFUNCTION("""COMPUTED_VALUE"""),"3H2M Custome")</f>
        <v>3H2M Custome</v>
      </c>
      <c r="H992" s="26">
        <f>IFERROR(__xludf.DUMMYFUNCTION("""COMPUTED_VALUE"""),46212.0)</f>
        <v>46212</v>
      </c>
      <c r="I992" s="27">
        <f>IFERROR(__xludf.DUMMYFUNCTION("""COMPUTED_VALUE"""),4.0)</f>
        <v>4</v>
      </c>
      <c r="J992" s="33">
        <f>IFERROR(__xludf.DUMMYFUNCTION("""COMPUTED_VALUE"""),8100000.0)</f>
        <v>8100000</v>
      </c>
      <c r="K992" s="30" t="str">
        <f>IFERROR(__xludf.DUMMYFUNCTION("""COMPUTED_VALUE"""),"yess orderr")</f>
        <v>yess orderr</v>
      </c>
      <c r="L992" s="23"/>
      <c r="M992" s="20"/>
      <c r="N992" s="20"/>
      <c r="O992" s="20"/>
      <c r="P992" s="20"/>
    </row>
    <row r="993">
      <c r="A993" s="11">
        <f>IFERROR(__xludf.DUMMYFUNCTION("""COMPUTED_VALUE"""),46198.0)</f>
        <v>46198</v>
      </c>
      <c r="B993" s="11" t="str">
        <f>IFERROR(__xludf.DUMMYFUNCTION("""COMPUTED_VALUE"""),"2606D206")</f>
        <v>2606D206</v>
      </c>
      <c r="C993" s="10" t="str">
        <f>IFERROR(__xludf.DUMMYFUNCTION("""COMPUTED_VALUE"""),"Megasari")</f>
        <v>Megasari</v>
      </c>
      <c r="D993" s="13" t="str">
        <f>IFERROR(__xludf.DUMMYFUNCTION("""COMPUTED_VALUE"""),"085113333041")</f>
        <v>085113333041</v>
      </c>
      <c r="E993" s="14" t="str">
        <f>IFERROR(__xludf.DUMMYFUNCTION("""COMPUTED_VALUE"""),"Instagram")</f>
        <v>Instagram</v>
      </c>
      <c r="F993" s="14" t="str">
        <f>IFERROR(__xludf.DUMMYFUNCTION("""COMPUTED_VALUE"""),"Leads Baru")</f>
        <v>Leads Baru</v>
      </c>
      <c r="G993" s="14" t="str">
        <f>IFERROR(__xludf.DUMMYFUNCTION("""COMPUTED_VALUE"""),"OT Ijen")</f>
        <v>OT Ijen</v>
      </c>
      <c r="H993" s="16"/>
      <c r="I993" s="17">
        <f>IFERROR(__xludf.DUMMYFUNCTION("""COMPUTED_VALUE"""),5.0)</f>
        <v>5</v>
      </c>
      <c r="J993" s="54"/>
      <c r="K993" s="46" t="str">
        <f>IFERROR(__xludf.DUMMYFUNCTION("""COMPUTED_VALUE"""),"FU 28 Juni")</f>
        <v>FU 28 Juni</v>
      </c>
      <c r="L993" s="10"/>
      <c r="M993" s="20"/>
      <c r="N993" s="20"/>
      <c r="O993" s="20"/>
      <c r="P993" s="20"/>
    </row>
    <row r="994">
      <c r="A994" s="21">
        <f>IFERROR(__xludf.DUMMYFUNCTION("""COMPUTED_VALUE"""),46197.0)</f>
        <v>46197</v>
      </c>
      <c r="B994" s="21" t="str">
        <f>IFERROR(__xludf.DUMMYFUNCTION("""COMPUTED_VALUE"""),"2606D207")</f>
        <v>2606D207</v>
      </c>
      <c r="C994" s="23" t="str">
        <f>IFERROR(__xludf.DUMMYFUNCTION("""COMPUTED_VALUE"""),"Yogi")</f>
        <v>Yogi</v>
      </c>
      <c r="D994" s="24" t="str">
        <f>IFERROR(__xludf.DUMMYFUNCTION("""COMPUTED_VALUE"""),"087774140717")</f>
        <v>087774140717</v>
      </c>
      <c r="E994" s="14" t="str">
        <f>IFERROR(__xludf.DUMMYFUNCTION("""COMPUTED_VALUE"""),"Instagram")</f>
        <v>Instagram</v>
      </c>
      <c r="F994" s="14" t="str">
        <f>IFERROR(__xludf.DUMMYFUNCTION("""COMPUTED_VALUE"""),"Leads Baru")</f>
        <v>Leads Baru</v>
      </c>
      <c r="G994" s="14" t="str">
        <f>IFERROR(__xludf.DUMMYFUNCTION("""COMPUTED_VALUE"""),"2h1m custome")</f>
        <v>2h1m custome</v>
      </c>
      <c r="H994" s="26"/>
      <c r="I994" s="27">
        <f>IFERROR(__xludf.DUMMYFUNCTION("""COMPUTED_VALUE"""),2.0)</f>
        <v>2</v>
      </c>
      <c r="J994" s="33"/>
      <c r="K994" s="30" t="str">
        <f>IFERROR(__xludf.DUMMYFUNCTION("""COMPUTED_VALUE"""),"FU 5 Juli")</f>
        <v>FU 5 Juli</v>
      </c>
      <c r="L994" s="23"/>
      <c r="M994" s="20"/>
      <c r="N994" s="20"/>
      <c r="O994" s="20"/>
      <c r="P994" s="20"/>
    </row>
    <row r="995">
      <c r="A995" s="11">
        <f>IFERROR(__xludf.DUMMYFUNCTION("""COMPUTED_VALUE"""),46198.0)</f>
        <v>46198</v>
      </c>
      <c r="B995" s="11" t="str">
        <f>IFERROR(__xludf.DUMMYFUNCTION("""COMPUTED_VALUE"""),"2606D208")</f>
        <v>2606D208</v>
      </c>
      <c r="C995" s="10" t="str">
        <f>IFERROR(__xludf.DUMMYFUNCTION("""COMPUTED_VALUE"""),"Yulius")</f>
        <v>Yulius</v>
      </c>
      <c r="D995" s="13" t="str">
        <f>IFERROR(__xludf.DUMMYFUNCTION("""COMPUTED_VALUE"""),"08161103785")</f>
        <v>08161103785</v>
      </c>
      <c r="E995" s="14" t="str">
        <f>IFERROR(__xludf.DUMMYFUNCTION("""COMPUTED_VALUE"""),"Website")</f>
        <v>Website</v>
      </c>
      <c r="F995" s="14" t="str">
        <f>IFERROR(__xludf.DUMMYFUNCTION("""COMPUTED_VALUE"""),"Leads Baru")</f>
        <v>Leads Baru</v>
      </c>
      <c r="G995" s="14"/>
      <c r="H995" s="16"/>
      <c r="I995" s="17"/>
      <c r="J995" s="54"/>
      <c r="K995" s="46" t="str">
        <f>IFERROR(__xludf.DUMMYFUNCTION("""COMPUTED_VALUE"""),"masih nyapa, FU 27 Juni")</f>
        <v>masih nyapa, FU 27 Juni</v>
      </c>
      <c r="L995" s="10"/>
      <c r="M995" s="20"/>
      <c r="N995" s="20"/>
      <c r="O995" s="20"/>
      <c r="P995" s="20"/>
    </row>
    <row r="996">
      <c r="A996" s="21">
        <f>IFERROR(__xludf.DUMMYFUNCTION("""COMPUTED_VALUE"""),46198.0)</f>
        <v>46198</v>
      </c>
      <c r="B996" s="21" t="str">
        <f>IFERROR(__xludf.DUMMYFUNCTION("""COMPUTED_VALUE"""),"2606D209")</f>
        <v>2606D209</v>
      </c>
      <c r="C996" s="23" t="str">
        <f>IFERROR(__xludf.DUMMYFUNCTION("""COMPUTED_VALUE"""),"Nindya")</f>
        <v>Nindya</v>
      </c>
      <c r="D996" s="24" t="str">
        <f>IFERROR(__xludf.DUMMYFUNCTION("""COMPUTED_VALUE"""),"085694522135")</f>
        <v>085694522135</v>
      </c>
      <c r="E996" s="14" t="str">
        <f>IFERROR(__xludf.DUMMYFUNCTION("""COMPUTED_VALUE"""),"Instagram")</f>
        <v>Instagram</v>
      </c>
      <c r="F996" s="14" t="str">
        <f>IFERROR(__xludf.DUMMYFUNCTION("""COMPUTED_VALUE"""),"Leads Baru")</f>
        <v>Leads Baru</v>
      </c>
      <c r="G996" s="14" t="str">
        <f>IFERROR(__xludf.DUMMYFUNCTION("""COMPUTED_VALUE"""),"OT 3H2M")</f>
        <v>OT 3H2M</v>
      </c>
      <c r="H996" s="26">
        <f>IFERROR(__xludf.DUMMYFUNCTION("""COMPUTED_VALUE"""),46212.0)</f>
        <v>46212</v>
      </c>
      <c r="I996" s="27">
        <f>IFERROR(__xludf.DUMMYFUNCTION("""COMPUTED_VALUE"""),2.0)</f>
        <v>2</v>
      </c>
      <c r="J996" s="33"/>
      <c r="K996" s="30" t="str">
        <f>IFERROR(__xludf.DUMMYFUNCTION("""COMPUTED_VALUE"""),"FU 30 Juni")</f>
        <v>FU 30 Juni</v>
      </c>
      <c r="L996" s="23"/>
      <c r="M996" s="20"/>
      <c r="N996" s="20"/>
      <c r="O996" s="20"/>
      <c r="P996" s="20"/>
    </row>
    <row r="997">
      <c r="A997" s="11">
        <f>IFERROR(__xludf.DUMMYFUNCTION("""COMPUTED_VALUE"""),46198.0)</f>
        <v>46198</v>
      </c>
      <c r="B997" s="11" t="str">
        <f>IFERROR(__xludf.DUMMYFUNCTION("""COMPUTED_VALUE"""),"2606D210")</f>
        <v>2606D210</v>
      </c>
      <c r="C997" s="10" t="str">
        <f>IFERROR(__xludf.DUMMYFUNCTION("""COMPUTED_VALUE"""),"Rifia")</f>
        <v>Rifia</v>
      </c>
      <c r="D997" s="13" t="str">
        <f>IFERROR(__xludf.DUMMYFUNCTION("""COMPUTED_VALUE"""),"082137510282")</f>
        <v>082137510282</v>
      </c>
      <c r="E997" s="14" t="str">
        <f>IFERROR(__xludf.DUMMYFUNCTION("""COMPUTED_VALUE"""),"Website")</f>
        <v>Website</v>
      </c>
      <c r="F997" s="14" t="str">
        <f>IFERROR(__xludf.DUMMYFUNCTION("""COMPUTED_VALUE"""),"Leads Baru")</f>
        <v>Leads Baru</v>
      </c>
      <c r="G997" s="14" t="str">
        <f>IFERROR(__xludf.DUMMYFUNCTION("""COMPUTED_VALUE"""),"private Ijen")</f>
        <v>private Ijen</v>
      </c>
      <c r="H997" s="16"/>
      <c r="I997" s="17">
        <f>IFERROR(__xludf.DUMMYFUNCTION("""COMPUTED_VALUE"""),5.0)</f>
        <v>5</v>
      </c>
      <c r="J997" s="54"/>
      <c r="K997" s="46" t="str">
        <f>IFERROR(__xludf.DUMMYFUNCTION("""COMPUTED_VALUE"""),"penjemputan dari Muncar, FU 29 Juni")</f>
        <v>penjemputan dari Muncar, FU 29 Juni</v>
      </c>
      <c r="L997" s="10"/>
      <c r="M997" s="20"/>
      <c r="N997" s="20"/>
      <c r="O997" s="20"/>
      <c r="P997" s="20"/>
    </row>
    <row r="998">
      <c r="A998" s="21">
        <f>IFERROR(__xludf.DUMMYFUNCTION("""COMPUTED_VALUE"""),46199.0)</f>
        <v>46199</v>
      </c>
      <c r="B998" s="21" t="str">
        <f>IFERROR(__xludf.DUMMYFUNCTION("""COMPUTED_VALUE"""),"2606D211")</f>
        <v>2606D211</v>
      </c>
      <c r="C998" s="23" t="str">
        <f>IFERROR(__xludf.DUMMYFUNCTION("""COMPUTED_VALUE"""),"Rej-pul")</f>
        <v>Rej-pul</v>
      </c>
      <c r="D998" s="24" t="str">
        <f>IFERROR(__xludf.DUMMYFUNCTION("""COMPUTED_VALUE"""),"082277733031")</f>
        <v>082277733031</v>
      </c>
      <c r="E998" s="14" t="str">
        <f>IFERROR(__xludf.DUMMYFUNCTION("""COMPUTED_VALUE"""),"Instagram")</f>
        <v>Instagram</v>
      </c>
      <c r="F998" s="14" t="str">
        <f>IFERROR(__xludf.DUMMYFUNCTION("""COMPUTED_VALUE"""),"Leads Baru")</f>
        <v>Leads Baru</v>
      </c>
      <c r="G998" s="14" t="str">
        <f>IFERROR(__xludf.DUMMYFUNCTION("""COMPUTED_VALUE"""),"OT MT")</f>
        <v>OT MT</v>
      </c>
      <c r="H998" s="26">
        <f>IFERROR(__xludf.DUMMYFUNCTION("""COMPUTED_VALUE"""),46202.0)</f>
        <v>46202</v>
      </c>
      <c r="I998" s="27">
        <f>IFERROR(__xludf.DUMMYFUNCTION("""COMPUTED_VALUE"""),1.0)</f>
        <v>1</v>
      </c>
      <c r="J998" s="33"/>
      <c r="K998" s="30" t="str">
        <f>IFERROR(__xludf.DUMMYFUNCTION("""COMPUTED_VALUE"""),"cek ketersediaan, FU 27 Juni")</f>
        <v>cek ketersediaan, FU 27 Juni</v>
      </c>
      <c r="L998" s="23"/>
      <c r="M998" s="20"/>
      <c r="N998" s="20"/>
      <c r="O998" s="20"/>
      <c r="P998" s="20"/>
    </row>
    <row r="999">
      <c r="A999" s="11">
        <f>IFERROR(__xludf.DUMMYFUNCTION("""COMPUTED_VALUE"""),46199.0)</f>
        <v>46199</v>
      </c>
      <c r="B999" s="11" t="str">
        <f>IFERROR(__xludf.DUMMYFUNCTION("""COMPUTED_VALUE"""),"2606D212")</f>
        <v>2606D212</v>
      </c>
      <c r="C999" s="10" t="str">
        <f>IFERROR(__xludf.DUMMYFUNCTION("""COMPUTED_VALUE"""),"Ben")</f>
        <v>Ben</v>
      </c>
      <c r="D999" s="13" t="str">
        <f>IFERROR(__xludf.DUMMYFUNCTION("""COMPUTED_VALUE"""),"087888799134")</f>
        <v>087888799134</v>
      </c>
      <c r="E999" s="14" t="str">
        <f>IFERROR(__xludf.DUMMYFUNCTION("""COMPUTED_VALUE"""),"Instagram")</f>
        <v>Instagram</v>
      </c>
      <c r="F999" s="14" t="str">
        <f>IFERROR(__xludf.DUMMYFUNCTION("""COMPUTED_VALUE"""),"Leads Baru")</f>
        <v>Leads Baru</v>
      </c>
      <c r="G999" s="14" t="str">
        <f>IFERROR(__xludf.DUMMYFUNCTION("""COMPUTED_VALUE"""),"OT MT")</f>
        <v>OT MT</v>
      </c>
      <c r="H999" s="16"/>
      <c r="I999" s="17">
        <f>IFERROR(__xludf.DUMMYFUNCTION("""COMPUTED_VALUE"""),1.0)</f>
        <v>1</v>
      </c>
      <c r="J999" s="54"/>
      <c r="K999" s="46" t="str">
        <f>IFERROR(__xludf.DUMMYFUNCTION("""COMPUTED_VALUE"""),"FU 30 Juni")</f>
        <v>FU 30 Juni</v>
      </c>
      <c r="L999" s="10"/>
      <c r="M999" s="20"/>
      <c r="N999" s="20"/>
      <c r="O999" s="20"/>
      <c r="P999" s="20"/>
    </row>
    <row r="1000">
      <c r="A1000" s="21">
        <f>IFERROR(__xludf.DUMMYFUNCTION("""COMPUTED_VALUE"""),46197.0)</f>
        <v>46197</v>
      </c>
      <c r="B1000" s="21" t="str">
        <f>IFERROR(__xludf.DUMMYFUNCTION("""COMPUTED_VALUE"""),"2606D213")</f>
        <v>2606D213</v>
      </c>
      <c r="C1000" s="23" t="str">
        <f>IFERROR(__xludf.DUMMYFUNCTION("""COMPUTED_VALUE"""),"Migui")</f>
        <v>Migui</v>
      </c>
      <c r="D1000" s="24" t="str">
        <f>IFERROR(__xludf.DUMMYFUNCTION("""COMPUTED_VALUE"""),"34685271744")</f>
        <v>34685271744</v>
      </c>
      <c r="E1000" s="14" t="str">
        <f>IFERROR(__xludf.DUMMYFUNCTION("""COMPUTED_VALUE"""),"Website")</f>
        <v>Website</v>
      </c>
      <c r="F1000" s="14" t="str">
        <f>IFERROR(__xludf.DUMMYFUNCTION("""COMPUTED_VALUE"""),"Gagal")</f>
        <v>Gagal</v>
      </c>
      <c r="G1000" s="14" t="str">
        <f>IFERROR(__xludf.DUMMYFUNCTION("""COMPUTED_VALUE"""),"OT Ijen WNA")</f>
        <v>OT Ijen WNA</v>
      </c>
      <c r="H1000" s="26">
        <f>IFERROR(__xludf.DUMMYFUNCTION("""COMPUTED_VALUE"""),46200.0)</f>
        <v>46200</v>
      </c>
      <c r="I1000" s="27">
        <f>IFERROR(__xludf.DUMMYFUNCTION("""COMPUTED_VALUE"""),2.0)</f>
        <v>2</v>
      </c>
      <c r="J1000" s="33"/>
      <c r="K1000" s="30" t="str">
        <f>IFERROR(__xludf.DUMMYFUNCTION("""COMPUTED_VALUE"""),"ga ada balasan, nawar harga")</f>
        <v>ga ada balasan, nawar harga</v>
      </c>
      <c r="L1000" s="23"/>
      <c r="M1000" s="20"/>
      <c r="N1000" s="20"/>
      <c r="O1000" s="20"/>
      <c r="P1000" s="20"/>
    </row>
    <row r="1001">
      <c r="A1001" s="11">
        <f>IFERROR(__xludf.DUMMYFUNCTION("""COMPUTED_VALUE"""),46198.0)</f>
        <v>46198</v>
      </c>
      <c r="B1001" s="11" t="str">
        <f>IFERROR(__xludf.DUMMYFUNCTION("""COMPUTED_VALUE"""),"2606D214")</f>
        <v>2606D214</v>
      </c>
      <c r="C1001" s="10" t="str">
        <f>IFERROR(__xludf.DUMMYFUNCTION("""COMPUTED_VALUE"""),"Diyan Agustin")</f>
        <v>Diyan Agustin</v>
      </c>
      <c r="D1001" s="13" t="str">
        <f>IFERROR(__xludf.DUMMYFUNCTION("""COMPUTED_VALUE"""),"087758189419")</f>
        <v>087758189419</v>
      </c>
      <c r="E1001" s="14" t="str">
        <f>IFERROR(__xludf.DUMMYFUNCTION("""COMPUTED_VALUE"""),"Instagram")</f>
        <v>Instagram</v>
      </c>
      <c r="F1001" s="14" t="str">
        <f>IFERROR(__xludf.DUMMYFUNCTION("""COMPUTED_VALUE"""),"Leads Baru")</f>
        <v>Leads Baru</v>
      </c>
      <c r="G1001" s="14" t="str">
        <f>IFERROR(__xludf.DUMMYFUNCTION("""COMPUTED_VALUE"""),"3H2M opsi A")</f>
        <v>3H2M opsi A</v>
      </c>
      <c r="H1001" s="16"/>
      <c r="I1001" s="17">
        <f>IFERROR(__xludf.DUMMYFUNCTION("""COMPUTED_VALUE"""),3.0)</f>
        <v>3</v>
      </c>
      <c r="J1001" s="54"/>
      <c r="K1001" s="46" t="str">
        <f>IFERROR(__xludf.DUMMYFUNCTION("""COMPUTED_VALUE"""),"mau ambil day 1 dan day 2 aja, FU 29 Juni")</f>
        <v>mau ambil day 1 dan day 2 aja, FU 29 Juni</v>
      </c>
      <c r="L1001" s="10"/>
      <c r="M1001" s="20"/>
      <c r="N1001" s="20"/>
      <c r="O1001" s="20"/>
      <c r="P1001" s="20"/>
    </row>
    <row r="1002">
      <c r="A1002" s="21">
        <f>IFERROR(__xludf.DUMMYFUNCTION("""COMPUTED_VALUE"""),46199.0)</f>
        <v>46199</v>
      </c>
      <c r="B1002" s="21" t="str">
        <f>IFERROR(__xludf.DUMMYFUNCTION("""COMPUTED_VALUE"""),"2606D215")</f>
        <v>2606D215</v>
      </c>
      <c r="C1002" s="23" t="str">
        <f>IFERROR(__xludf.DUMMYFUNCTION("""COMPUTED_VALUE"""),"Jenifer Christin")</f>
        <v>Jenifer Christin</v>
      </c>
      <c r="D1002" s="24" t="str">
        <f>IFERROR(__xludf.DUMMYFUNCTION("""COMPUTED_VALUE"""),"082150244043")</f>
        <v>082150244043</v>
      </c>
      <c r="E1002" s="14" t="str">
        <f>IFERROR(__xludf.DUMMYFUNCTION("""COMPUTED_VALUE"""),"Instagram")</f>
        <v>Instagram</v>
      </c>
      <c r="F1002" s="14" t="str">
        <f>IFERROR(__xludf.DUMMYFUNCTION("""COMPUTED_VALUE"""),"Closing")</f>
        <v>Closing</v>
      </c>
      <c r="G1002" s="14" t="str">
        <f>IFERROR(__xludf.DUMMYFUNCTION("""COMPUTED_VALUE"""),"OT Ijen Baluran")</f>
        <v>OT Ijen Baluran</v>
      </c>
      <c r="H1002" s="26">
        <f>IFERROR(__xludf.DUMMYFUNCTION("""COMPUTED_VALUE"""),46203.0)</f>
        <v>46203</v>
      </c>
      <c r="I1002" s="27">
        <f>IFERROR(__xludf.DUMMYFUNCTION("""COMPUTED_VALUE"""),2.0)</f>
        <v>2</v>
      </c>
      <c r="J1002" s="33">
        <f>IFERROR(__xludf.DUMMYFUNCTION("""COMPUTED_VALUE"""),1200000.0)</f>
        <v>1200000</v>
      </c>
      <c r="K1002" s="30" t="str">
        <f>IFERROR(__xludf.DUMMYFUNCTION("""COMPUTED_VALUE"""),"orrderr")</f>
        <v>orrderr</v>
      </c>
      <c r="L1002" s="23"/>
      <c r="M1002" s="20"/>
      <c r="N1002" s="20"/>
      <c r="O1002" s="20"/>
      <c r="P1002" s="20"/>
    </row>
    <row r="1003">
      <c r="A1003" s="11">
        <f>IFERROR(__xludf.DUMMYFUNCTION("""COMPUTED_VALUE"""),46199.0)</f>
        <v>46199</v>
      </c>
      <c r="B1003" s="11" t="str">
        <f>IFERROR(__xludf.DUMMYFUNCTION("""COMPUTED_VALUE"""),"2606D216")</f>
        <v>2606D216</v>
      </c>
      <c r="C1003" s="10" t="str">
        <f>IFERROR(__xludf.DUMMYFUNCTION("""COMPUTED_VALUE"""),"Afina Ayu")</f>
        <v>Afina Ayu</v>
      </c>
      <c r="D1003" s="13" t="str">
        <f>IFERROR(__xludf.DUMMYFUNCTION("""COMPUTED_VALUE"""),"082218891759")</f>
        <v>082218891759</v>
      </c>
      <c r="E1003" s="14" t="str">
        <f>IFERROR(__xludf.DUMMYFUNCTION("""COMPUTED_VALUE"""),"Website")</f>
        <v>Website</v>
      </c>
      <c r="F1003" s="14" t="str">
        <f>IFERROR(__xludf.DUMMYFUNCTION("""COMPUTED_VALUE"""),"Leads Baru")</f>
        <v>Leads Baru</v>
      </c>
      <c r="G1003" s="14" t="str">
        <f>IFERROR(__xludf.DUMMYFUNCTION("""COMPUTED_VALUE"""),"3H2M custome")</f>
        <v>3H2M custome</v>
      </c>
      <c r="H1003" s="16"/>
      <c r="I1003" s="17">
        <f>IFERROR(__xludf.DUMMYFUNCTION("""COMPUTED_VALUE"""),2.0)</f>
        <v>2</v>
      </c>
      <c r="J1003" s="54"/>
      <c r="K1003" s="46" t="str">
        <f>IFERROR(__xludf.DUMMYFUNCTION("""COMPUTED_VALUE"""),"nanti di wa")</f>
        <v>nanti di wa</v>
      </c>
      <c r="L1003" s="10"/>
      <c r="M1003" s="20"/>
      <c r="N1003" s="20"/>
      <c r="O1003" s="20"/>
      <c r="P1003" s="20"/>
    </row>
    <row r="1004">
      <c r="A1004" s="21">
        <f>IFERROR(__xludf.DUMMYFUNCTION("""COMPUTED_VALUE"""),46199.0)</f>
        <v>46199</v>
      </c>
      <c r="B1004" s="21" t="str">
        <f>IFERROR(__xludf.DUMMYFUNCTION("""COMPUTED_VALUE"""),"2606D217")</f>
        <v>2606D217</v>
      </c>
      <c r="C1004" s="23" t="str">
        <f>IFERROR(__xludf.DUMMYFUNCTION("""COMPUTED_VALUE"""),"Wida")</f>
        <v>Wida</v>
      </c>
      <c r="D1004" s="24" t="str">
        <f>IFERROR(__xludf.DUMMYFUNCTION("""COMPUTED_VALUE"""),"08128175569")</f>
        <v>08128175569</v>
      </c>
      <c r="E1004" s="14" t="str">
        <f>IFERROR(__xludf.DUMMYFUNCTION("""COMPUTED_VALUE"""),"Website")</f>
        <v>Website</v>
      </c>
      <c r="F1004" s="14" t="str">
        <f>IFERROR(__xludf.DUMMYFUNCTION("""COMPUTED_VALUE"""),"Closing")</f>
        <v>Closing</v>
      </c>
      <c r="G1004" s="14" t="str">
        <f>IFERROR(__xludf.DUMMYFUNCTION("""COMPUTED_VALUE"""),"2H1M custome")</f>
        <v>2H1M custome</v>
      </c>
      <c r="H1004" s="26">
        <f>IFERROR(__xludf.DUMMYFUNCTION("""COMPUTED_VALUE"""),46211.0)</f>
        <v>46211</v>
      </c>
      <c r="I1004" s="27">
        <f>IFERROR(__xludf.DUMMYFUNCTION("""COMPUTED_VALUE"""),4.0)</f>
        <v>4</v>
      </c>
      <c r="J1004" s="33">
        <f>IFERROR(__xludf.DUMMYFUNCTION("""COMPUTED_VALUE"""),6060000.0)</f>
        <v>6060000</v>
      </c>
      <c r="K1004" s="30" t="str">
        <f>IFERROR(__xludf.DUMMYFUNCTION("""COMPUTED_VALUE"""),"orderrr")</f>
        <v>orderrr</v>
      </c>
      <c r="L1004" s="23"/>
      <c r="M1004" s="20"/>
      <c r="N1004" s="20"/>
      <c r="O1004" s="20"/>
      <c r="P1004" s="20"/>
    </row>
    <row r="1005">
      <c r="A1005" s="11">
        <f>IFERROR(__xludf.DUMMYFUNCTION("""COMPUTED_VALUE"""),46199.0)</f>
        <v>46199</v>
      </c>
      <c r="B1005" s="11" t="str">
        <f>IFERROR(__xludf.DUMMYFUNCTION("""COMPUTED_VALUE"""),"2606D218")</f>
        <v>2606D218</v>
      </c>
      <c r="C1005" s="10" t="str">
        <f>IFERROR(__xludf.DUMMYFUNCTION("""COMPUTED_VALUE"""),"Adeyaka")</f>
        <v>Adeyaka</v>
      </c>
      <c r="D1005" s="13" t="str">
        <f>IFERROR(__xludf.DUMMYFUNCTION("""COMPUTED_VALUE"""),"082112218293")</f>
        <v>082112218293</v>
      </c>
      <c r="E1005" s="14" t="str">
        <f>IFERROR(__xludf.DUMMYFUNCTION("""COMPUTED_VALUE"""),"Instagram")</f>
        <v>Instagram</v>
      </c>
      <c r="F1005" s="14" t="str">
        <f>IFERROR(__xludf.DUMMYFUNCTION("""COMPUTED_VALUE"""),"Closing")</f>
        <v>Closing</v>
      </c>
      <c r="G1005" s="14" t="str">
        <f>IFERROR(__xludf.DUMMYFUNCTION("""COMPUTED_VALUE"""),"3H2M custome")</f>
        <v>3H2M custome</v>
      </c>
      <c r="H1005" s="16">
        <f>IFERROR(__xludf.DUMMYFUNCTION("""COMPUTED_VALUE"""),46240.0)</f>
        <v>46240</v>
      </c>
      <c r="I1005" s="17">
        <f>IFERROR(__xludf.DUMMYFUNCTION("""COMPUTED_VALUE"""),3.0)</f>
        <v>3</v>
      </c>
      <c r="J1005" s="54">
        <f>IFERROR(__xludf.DUMMYFUNCTION("""COMPUTED_VALUE"""),6765000.0)</f>
        <v>6765000</v>
      </c>
      <c r="K1005" s="46" t="str">
        <f>IFERROR(__xludf.DUMMYFUNCTION("""COMPUTED_VALUE"""),"alhamdulillah orderr")</f>
        <v>alhamdulillah orderr</v>
      </c>
      <c r="L1005" s="10"/>
      <c r="M1005" s="20"/>
      <c r="N1005" s="20"/>
      <c r="O1005" s="20"/>
      <c r="P1005" s="20"/>
    </row>
    <row r="1006">
      <c r="A1006" s="21">
        <f>IFERROR(__xludf.DUMMYFUNCTION("""COMPUTED_VALUE"""),46199.0)</f>
        <v>46199</v>
      </c>
      <c r="B1006" s="21" t="str">
        <f>IFERROR(__xludf.DUMMYFUNCTION("""COMPUTED_VALUE"""),"2606D219 ")</f>
        <v>2606D219 </v>
      </c>
      <c r="C1006" s="23" t="str">
        <f>IFERROR(__xludf.DUMMYFUNCTION("""COMPUTED_VALUE"""),"Heru Indrawidjajanto")</f>
        <v>Heru Indrawidjajanto</v>
      </c>
      <c r="D1006" s="24" t="str">
        <f>IFERROR(__xludf.DUMMYFUNCTION("""COMPUTED_VALUE"""),"08123526974")</f>
        <v>08123526974</v>
      </c>
      <c r="E1006" s="14" t="str">
        <f>IFERROR(__xludf.DUMMYFUNCTION("""COMPUTED_VALUE"""),"Instagram")</f>
        <v>Instagram</v>
      </c>
      <c r="F1006" s="14" t="str">
        <f>IFERROR(__xludf.DUMMYFUNCTION("""COMPUTED_VALUE"""),"Leads Baru")</f>
        <v>Leads Baru</v>
      </c>
      <c r="G1006" s="14" t="str">
        <f>IFERROR(__xludf.DUMMYFUNCTION("""COMPUTED_VALUE"""),"trip 1 day")</f>
        <v>trip 1 day</v>
      </c>
      <c r="H1006" s="26"/>
      <c r="I1006" s="27">
        <f>IFERROR(__xludf.DUMMYFUNCTION("""COMPUTED_VALUE"""),50.0)</f>
        <v>50</v>
      </c>
      <c r="J1006" s="33"/>
      <c r="K1006" s="30" t="str">
        <f>IFERROR(__xludf.DUMMYFUNCTION("""COMPUTED_VALUE"""),"belum balas lagi")</f>
        <v>belum balas lagi</v>
      </c>
      <c r="L1006" s="23"/>
      <c r="M1006" s="20"/>
      <c r="N1006" s="20"/>
      <c r="O1006" s="20"/>
      <c r="P1006" s="20"/>
    </row>
    <row r="1007">
      <c r="A1007" s="11">
        <f>IFERROR(__xludf.DUMMYFUNCTION("""COMPUTED_VALUE"""),46199.0)</f>
        <v>46199</v>
      </c>
      <c r="B1007" s="11" t="str">
        <f>IFERROR(__xludf.DUMMYFUNCTION("""COMPUTED_VALUE"""),"2606D220")</f>
        <v>2606D220</v>
      </c>
      <c r="C1007" s="10" t="str">
        <f>IFERROR(__xludf.DUMMYFUNCTION("""COMPUTED_VALUE"""),"Muhammad Nizam")</f>
        <v>Muhammad Nizam</v>
      </c>
      <c r="D1007" s="13" t="str">
        <f>IFERROR(__xludf.DUMMYFUNCTION("""COMPUTED_VALUE"""),"081319516652")</f>
        <v>081319516652</v>
      </c>
      <c r="E1007" s="14" t="str">
        <f>IFERROR(__xludf.DUMMYFUNCTION("""COMPUTED_VALUE"""),"Instagram")</f>
        <v>Instagram</v>
      </c>
      <c r="F1007" s="14" t="str">
        <f>IFERROR(__xludf.DUMMYFUNCTION("""COMPUTED_VALUE"""),"Closing")</f>
        <v>Closing</v>
      </c>
      <c r="G1007" s="14" t="str">
        <f>IFERROR(__xludf.DUMMYFUNCTION("""COMPUTED_VALUE"""),"2H1M custome")</f>
        <v>2H1M custome</v>
      </c>
      <c r="H1007" s="16">
        <f>IFERROR(__xludf.DUMMYFUNCTION("""COMPUTED_VALUE"""),46235.0)</f>
        <v>46235</v>
      </c>
      <c r="I1007" s="17">
        <f>IFERROR(__xludf.DUMMYFUNCTION("""COMPUTED_VALUE"""),4.0)</f>
        <v>4</v>
      </c>
      <c r="J1007" s="54">
        <f>IFERROR(__xludf.DUMMYFUNCTION("""COMPUTED_VALUE"""),6100000.0)</f>
        <v>6100000</v>
      </c>
      <c r="K1007" s="46" t="str">
        <f>IFERROR(__xludf.DUMMYFUNCTION("""COMPUTED_VALUE"""),"orrderrr")</f>
        <v>orrderrr</v>
      </c>
      <c r="L1007" s="10"/>
      <c r="M1007" s="20"/>
      <c r="N1007" s="20"/>
      <c r="O1007" s="20"/>
      <c r="P1007" s="20"/>
    </row>
    <row r="1008">
      <c r="A1008" s="21">
        <f>IFERROR(__xludf.DUMMYFUNCTION("""COMPUTED_VALUE"""),46199.0)</f>
        <v>46199</v>
      </c>
      <c r="B1008" s="21" t="str">
        <f>IFERROR(__xludf.DUMMYFUNCTION("""COMPUTED_VALUE"""),"2606D221")</f>
        <v>2606D221</v>
      </c>
      <c r="C1008" s="23" t="str">
        <f>IFERROR(__xludf.DUMMYFUNCTION("""COMPUTED_VALUE"""),"Diana")</f>
        <v>Diana</v>
      </c>
      <c r="D1008" s="24" t="str">
        <f>IFERROR(__xludf.DUMMYFUNCTION("""COMPUTED_VALUE"""),"085178114894")</f>
        <v>085178114894</v>
      </c>
      <c r="E1008" s="14" t="str">
        <f>IFERROR(__xludf.DUMMYFUNCTION("""COMPUTED_VALUE"""),"Website")</f>
        <v>Website</v>
      </c>
      <c r="F1008" s="14" t="str">
        <f>IFERROR(__xludf.DUMMYFUNCTION("""COMPUTED_VALUE"""),"Leads Baru")</f>
        <v>Leads Baru</v>
      </c>
      <c r="G1008" s="14" t="str">
        <f>IFERROR(__xludf.DUMMYFUNCTION("""COMPUTED_VALUE"""),"2H1M")</f>
        <v>2H1M</v>
      </c>
      <c r="H1008" s="26"/>
      <c r="I1008" s="27"/>
      <c r="J1008" s="33"/>
      <c r="K1008" s="30"/>
      <c r="L1008" s="23"/>
      <c r="M1008" s="20"/>
      <c r="N1008" s="20"/>
      <c r="O1008" s="20"/>
      <c r="P1008" s="20"/>
    </row>
    <row r="1009">
      <c r="A1009" s="11">
        <f>IFERROR(__xludf.DUMMYFUNCTION("""COMPUTED_VALUE"""),46200.0)</f>
        <v>46200</v>
      </c>
      <c r="B1009" s="11" t="str">
        <f>IFERROR(__xludf.DUMMYFUNCTION("""COMPUTED_VALUE"""),"2606D222")</f>
        <v>2606D222</v>
      </c>
      <c r="C1009" s="10" t="str">
        <f>IFERROR(__xludf.DUMMYFUNCTION("""COMPUTED_VALUE"""),"Umm  ")</f>
        <v>Umm  </v>
      </c>
      <c r="D1009" s="13" t="str">
        <f>IFERROR(__xludf.DUMMYFUNCTION("""COMPUTED_VALUE"""),"089646880256")</f>
        <v>089646880256</v>
      </c>
      <c r="E1009" s="14" t="str">
        <f>IFERROR(__xludf.DUMMYFUNCTION("""COMPUTED_VALUE"""),"Instagram")</f>
        <v>Instagram</v>
      </c>
      <c r="F1009" s="14" t="str">
        <f>IFERROR(__xludf.DUMMYFUNCTION("""COMPUTED_VALUE"""),"Leads Baru")</f>
        <v>Leads Baru</v>
      </c>
      <c r="G1009" s="14"/>
      <c r="H1009" s="16"/>
      <c r="I1009" s="17"/>
      <c r="J1009" s="54"/>
      <c r="K1009" s="46"/>
      <c r="L1009" s="10"/>
      <c r="M1009" s="20"/>
      <c r="N1009" s="20"/>
      <c r="O1009" s="20"/>
      <c r="P1009" s="20"/>
    </row>
    <row r="1010">
      <c r="A1010" s="21">
        <f>IFERROR(__xludf.DUMMYFUNCTION("""COMPUTED_VALUE"""),46200.0)</f>
        <v>46200</v>
      </c>
      <c r="B1010" s="21" t="str">
        <f>IFERROR(__xludf.DUMMYFUNCTION("""COMPUTED_VALUE"""),"2606D223")</f>
        <v>2606D223</v>
      </c>
      <c r="C1010" s="23" t="str">
        <f>IFERROR(__xludf.DUMMYFUNCTION("""COMPUTED_VALUE"""),"Rani Sulistyorini")</f>
        <v>Rani Sulistyorini</v>
      </c>
      <c r="D1010" s="24" t="str">
        <f>IFERROR(__xludf.DUMMYFUNCTION("""COMPUTED_VALUE"""),"081252367297")</f>
        <v>081252367297</v>
      </c>
      <c r="E1010" s="14" t="str">
        <f>IFERROR(__xludf.DUMMYFUNCTION("""COMPUTED_VALUE"""),"Website")</f>
        <v>Website</v>
      </c>
      <c r="F1010" s="14" t="str">
        <f>IFERROR(__xludf.DUMMYFUNCTION("""COMPUTED_VALUE"""),"Gagal")</f>
        <v>Gagal</v>
      </c>
      <c r="G1010" s="14" t="str">
        <f>IFERROR(__xludf.DUMMYFUNCTION("""COMPUTED_VALUE"""),"OT MT")</f>
        <v>OT MT</v>
      </c>
      <c r="H1010" s="26">
        <f>IFERROR(__xludf.DUMMYFUNCTION("""COMPUTED_VALUE"""),46200.0)</f>
        <v>46200</v>
      </c>
      <c r="I1010" s="27">
        <f>IFERROR(__xludf.DUMMYFUNCTION("""COMPUTED_VALUE"""),2.0)</f>
        <v>2</v>
      </c>
      <c r="J1010" s="33"/>
      <c r="K1010" s="30" t="str">
        <f>IFERROR(__xludf.DUMMYFUNCTION("""COMPUTED_VALUE"""),"fullbookedd")</f>
        <v>fullbookedd</v>
      </c>
      <c r="L1010" s="23"/>
      <c r="M1010" s="20"/>
      <c r="N1010" s="20"/>
      <c r="O1010" s="20"/>
      <c r="P1010" s="20"/>
    </row>
    <row r="1011">
      <c r="A1011" s="11">
        <f>IFERROR(__xludf.DUMMYFUNCTION("""COMPUTED_VALUE"""),46200.0)</f>
        <v>46200</v>
      </c>
      <c r="B1011" s="11" t="str">
        <f>IFERROR(__xludf.DUMMYFUNCTION("""COMPUTED_VALUE"""),"2606D224")</f>
        <v>2606D224</v>
      </c>
      <c r="C1011" s="10" t="str">
        <f>IFERROR(__xludf.DUMMYFUNCTION("""COMPUTED_VALUE"""),"Pak Johar DSLNG")</f>
        <v>Pak Johar DSLNG</v>
      </c>
      <c r="D1011" s="13" t="str">
        <f>IFERROR(__xludf.DUMMYFUNCTION("""COMPUTED_VALUE"""),"08111045053")</f>
        <v>08111045053</v>
      </c>
      <c r="E1011" s="14" t="str">
        <f>IFERROR(__xludf.DUMMYFUNCTION("""COMPUTED_VALUE"""),"Rekomendasi")</f>
        <v>Rekomendasi</v>
      </c>
      <c r="F1011" s="14" t="str">
        <f>IFERROR(__xludf.DUMMYFUNCTION("""COMPUTED_VALUE"""),"Closing")</f>
        <v>Closing</v>
      </c>
      <c r="G1011" s="14" t="str">
        <f>IFERROR(__xludf.DUMMYFUNCTION("""COMPUTED_VALUE"""),"1 day trip ")</f>
        <v>1 day trip </v>
      </c>
      <c r="H1011" s="16">
        <f>IFERROR(__xludf.DUMMYFUNCTION("""COMPUTED_VALUE"""),46201.0)</f>
        <v>46201</v>
      </c>
      <c r="I1011" s="17">
        <f>IFERROR(__xludf.DUMMYFUNCTION("""COMPUTED_VALUE"""),2.0)</f>
        <v>2</v>
      </c>
      <c r="J1011" s="54">
        <f>IFERROR(__xludf.DUMMYFUNCTION("""COMPUTED_VALUE"""),2400000.0)</f>
        <v>2400000</v>
      </c>
      <c r="K1011" s="46" t="str">
        <f>IFERROR(__xludf.DUMMYFUNCTION("""COMPUTED_VALUE"""),"orrderrr")</f>
        <v>orrderrr</v>
      </c>
      <c r="L1011" s="10"/>
      <c r="M1011" s="20"/>
      <c r="N1011" s="20"/>
      <c r="O1011" s="20"/>
      <c r="P1011" s="20"/>
    </row>
    <row r="1012">
      <c r="A1012" s="21">
        <f>IFERROR(__xludf.DUMMYFUNCTION("""COMPUTED_VALUE"""),46199.0)</f>
        <v>46199</v>
      </c>
      <c r="B1012" s="21" t="str">
        <f>IFERROR(__xludf.DUMMYFUNCTION("""COMPUTED_VALUE"""),"2606D225")</f>
        <v>2606D225</v>
      </c>
      <c r="C1012" s="23" t="str">
        <f>IFERROR(__xludf.DUMMYFUNCTION("""COMPUTED_VALUE"""),"Harry Smith ")</f>
        <v>Harry Smith </v>
      </c>
      <c r="D1012" s="24" t="str">
        <f>IFERROR(__xludf.DUMMYFUNCTION("""COMPUTED_VALUE"""),"447841460781")</f>
        <v>447841460781</v>
      </c>
      <c r="E1012" s="14" t="str">
        <f>IFERROR(__xludf.DUMMYFUNCTION("""COMPUTED_VALUE"""),"Instagram")</f>
        <v>Instagram</v>
      </c>
      <c r="F1012" s="14" t="str">
        <f>IFERROR(__xludf.DUMMYFUNCTION("""COMPUTED_VALUE"""),"Gagal")</f>
        <v>Gagal</v>
      </c>
      <c r="G1012" s="14"/>
      <c r="H1012" s="26"/>
      <c r="I1012" s="27"/>
      <c r="J1012" s="33"/>
      <c r="K1012" s="30" t="str">
        <f>IFERROR(__xludf.DUMMYFUNCTION("""COMPUTED_VALUE"""),"tanya transport ajaa blm bisaa")</f>
        <v>tanya transport ajaa blm bisaa</v>
      </c>
      <c r="L1012" s="23"/>
      <c r="M1012" s="20"/>
      <c r="N1012" s="20"/>
      <c r="O1012" s="20"/>
      <c r="P1012" s="20"/>
    </row>
    <row r="1013">
      <c r="A1013" s="11">
        <f>IFERROR(__xludf.DUMMYFUNCTION("""COMPUTED_VALUE"""),46200.0)</f>
        <v>46200</v>
      </c>
      <c r="B1013" s="11" t="str">
        <f>IFERROR(__xludf.DUMMYFUNCTION("""COMPUTED_VALUE"""),"2606D226")</f>
        <v>2606D226</v>
      </c>
      <c r="C1013" s="10" t="str">
        <f>IFERROR(__xludf.DUMMYFUNCTION("""COMPUTED_VALUE"""),"Woro Citra Imansari")</f>
        <v>Woro Citra Imansari</v>
      </c>
      <c r="D1013" s="13" t="str">
        <f>IFERROR(__xludf.DUMMYFUNCTION("""COMPUTED_VALUE"""),"08174100790")</f>
        <v>08174100790</v>
      </c>
      <c r="E1013" s="14" t="str">
        <f>IFERROR(__xludf.DUMMYFUNCTION("""COMPUTED_VALUE"""),"Instagram")</f>
        <v>Instagram</v>
      </c>
      <c r="F1013" s="14" t="str">
        <f>IFERROR(__xludf.DUMMYFUNCTION("""COMPUTED_VALUE"""),"Leads Baru")</f>
        <v>Leads Baru</v>
      </c>
      <c r="G1013" s="14" t="str">
        <f>IFERROR(__xludf.DUMMYFUNCTION("""COMPUTED_VALUE"""),"OT 3H2M")</f>
        <v>OT 3H2M</v>
      </c>
      <c r="H1013" s="16">
        <f>IFERROR(__xludf.DUMMYFUNCTION("""COMPUTED_VALUE"""),46206.0)</f>
        <v>46206</v>
      </c>
      <c r="I1013" s="17">
        <f>IFERROR(__xludf.DUMMYFUNCTION("""COMPUTED_VALUE"""),1.0)</f>
        <v>1</v>
      </c>
      <c r="J1013" s="54"/>
      <c r="K1013" s="46" t="str">
        <f>IFERROR(__xludf.DUMMYFUNCTION("""COMPUTED_VALUE"""),"FU 29 Juni")</f>
        <v>FU 29 Juni</v>
      </c>
      <c r="L1013" s="10"/>
      <c r="M1013" s="20"/>
      <c r="N1013" s="20"/>
      <c r="O1013" s="20"/>
      <c r="P1013" s="20"/>
    </row>
    <row r="1014">
      <c r="A1014" s="21">
        <f>IFERROR(__xludf.DUMMYFUNCTION("""COMPUTED_VALUE"""),46200.0)</f>
        <v>46200</v>
      </c>
      <c r="B1014" s="21" t="str">
        <f>IFERROR(__xludf.DUMMYFUNCTION("""COMPUTED_VALUE"""),"2606D227")</f>
        <v>2606D227</v>
      </c>
      <c r="C1014" s="23" t="str">
        <f>IFERROR(__xludf.DUMMYFUNCTION("""COMPUTED_VALUE"""),"Widya Putri")</f>
        <v>Widya Putri</v>
      </c>
      <c r="D1014" s="24" t="str">
        <f>IFERROR(__xludf.DUMMYFUNCTION("""COMPUTED_VALUE"""),"083120843959")</f>
        <v>083120843959</v>
      </c>
      <c r="E1014" s="14" t="str">
        <f>IFERROR(__xludf.DUMMYFUNCTION("""COMPUTED_VALUE"""),"Instagram")</f>
        <v>Instagram</v>
      </c>
      <c r="F1014" s="14" t="str">
        <f>IFERROR(__xludf.DUMMYFUNCTION("""COMPUTED_VALUE"""),"Leads Baru")</f>
        <v>Leads Baru</v>
      </c>
      <c r="G1014" s="14" t="str">
        <f>IFERROR(__xludf.DUMMYFUNCTION("""COMPUTED_VALUE"""),"3H2M opsi A")</f>
        <v>3H2M opsi A</v>
      </c>
      <c r="H1014" s="26"/>
      <c r="I1014" s="27"/>
      <c r="J1014" s="33"/>
      <c r="K1014" s="30" t="str">
        <f>IFERROR(__xludf.DUMMYFUNCTION("""COMPUTED_VALUE"""),"FU 29 Juni")</f>
        <v>FU 29 Juni</v>
      </c>
      <c r="L1014" s="23"/>
      <c r="M1014" s="20"/>
      <c r="N1014" s="20"/>
      <c r="O1014" s="20"/>
      <c r="P1014" s="20"/>
    </row>
    <row r="1015">
      <c r="A1015" s="11">
        <f>IFERROR(__xludf.DUMMYFUNCTION("""COMPUTED_VALUE"""),46200.0)</f>
        <v>46200</v>
      </c>
      <c r="B1015" s="11" t="str">
        <f>IFERROR(__xludf.DUMMYFUNCTION("""COMPUTED_VALUE"""),"2606D228")</f>
        <v>2606D228</v>
      </c>
      <c r="C1015" s="10" t="str">
        <f>IFERROR(__xludf.DUMMYFUNCTION("""COMPUTED_VALUE"""),"Aliefan")</f>
        <v>Aliefan</v>
      </c>
      <c r="D1015" s="13" t="str">
        <f>IFERROR(__xludf.DUMMYFUNCTION("""COMPUTED_VALUE"""),"081329139994")</f>
        <v>081329139994</v>
      </c>
      <c r="E1015" s="14" t="str">
        <f>IFERROR(__xludf.DUMMYFUNCTION("""COMPUTED_VALUE"""),"Instagram")</f>
        <v>Instagram</v>
      </c>
      <c r="F1015" s="14" t="str">
        <f>IFERROR(__xludf.DUMMYFUNCTION("""COMPUTED_VALUE"""),"Leads Baru")</f>
        <v>Leads Baru</v>
      </c>
      <c r="G1015" s="14" t="str">
        <f>IFERROR(__xludf.DUMMYFUNCTION("""COMPUTED_VALUE"""),"3H2M Custome")</f>
        <v>3H2M Custome</v>
      </c>
      <c r="H1015" s="16"/>
      <c r="I1015" s="17">
        <f>IFERROR(__xludf.DUMMYFUNCTION("""COMPUTED_VALUE"""),2.0)</f>
        <v>2</v>
      </c>
      <c r="J1015" s="54"/>
      <c r="K1015" s="46" t="str">
        <f>IFERROR(__xludf.DUMMYFUNCTION("""COMPUTED_VALUE"""),"FU 2 agustus")</f>
        <v>FU 2 agustus</v>
      </c>
      <c r="L1015" s="10"/>
      <c r="M1015" s="20"/>
      <c r="N1015" s="20"/>
      <c r="O1015" s="20"/>
      <c r="P1015" s="20"/>
    </row>
    <row r="1016">
      <c r="A1016" s="21">
        <f>IFERROR(__xludf.DUMMYFUNCTION("""COMPUTED_VALUE"""),46201.0)</f>
        <v>46201</v>
      </c>
      <c r="B1016" s="21" t="str">
        <f>IFERROR(__xludf.DUMMYFUNCTION("""COMPUTED_VALUE"""),"2606D229")</f>
        <v>2606D229</v>
      </c>
      <c r="C1016" s="23" t="str">
        <f>IFERROR(__xludf.DUMMYFUNCTION("""COMPUTED_VALUE"""),"J")</f>
        <v>J</v>
      </c>
      <c r="D1016" s="24" t="str">
        <f>IFERROR(__xludf.DUMMYFUNCTION("""COMPUTED_VALUE"""),"081238905264")</f>
        <v>081238905264</v>
      </c>
      <c r="E1016" s="14" t="str">
        <f>IFERROR(__xludf.DUMMYFUNCTION("""COMPUTED_VALUE"""),"Instagram")</f>
        <v>Instagram</v>
      </c>
      <c r="F1016" s="14" t="str">
        <f>IFERROR(__xludf.DUMMYFUNCTION("""COMPUTED_VALUE"""),"Leads Baru")</f>
        <v>Leads Baru</v>
      </c>
      <c r="G1016" s="14" t="str">
        <f>IFERROR(__xludf.DUMMYFUNCTION("""COMPUTED_VALUE"""),"tabuhan only")</f>
        <v>tabuhan only</v>
      </c>
      <c r="H1016" s="26">
        <f>IFERROR(__xludf.DUMMYFUNCTION("""COMPUTED_VALUE"""),46205.0)</f>
        <v>46205</v>
      </c>
      <c r="I1016" s="27">
        <f>IFERROR(__xludf.DUMMYFUNCTION("""COMPUTED_VALUE"""),5.0)</f>
        <v>5</v>
      </c>
      <c r="J1016" s="33"/>
      <c r="K1016" s="30" t="str">
        <f>IFERROR(__xludf.DUMMYFUNCTION("""COMPUTED_VALUE"""),"belum blas lagi")</f>
        <v>belum blas lagi</v>
      </c>
      <c r="L1016" s="23"/>
      <c r="M1016" s="20"/>
      <c r="N1016" s="20"/>
      <c r="O1016" s="20"/>
      <c r="P1016" s="20"/>
    </row>
    <row r="1017">
      <c r="A1017" s="11">
        <f>IFERROR(__xludf.DUMMYFUNCTION("""COMPUTED_VALUE"""),46201.0)</f>
        <v>46201</v>
      </c>
      <c r="B1017" s="11" t="str">
        <f>IFERROR(__xludf.DUMMYFUNCTION("""COMPUTED_VALUE"""),"2606D230")</f>
        <v>2606D230</v>
      </c>
      <c r="C1017" s="10" t="str">
        <f>IFERROR(__xludf.DUMMYFUNCTION("""COMPUTED_VALUE"""),"Iva")</f>
        <v>Iva</v>
      </c>
      <c r="D1017" s="13" t="str">
        <f>IFERROR(__xludf.DUMMYFUNCTION("""COMPUTED_VALUE"""),"085878217585")</f>
        <v>085878217585</v>
      </c>
      <c r="E1017" s="14" t="str">
        <f>IFERROR(__xludf.DUMMYFUNCTION("""COMPUTED_VALUE"""),"Website")</f>
        <v>Website</v>
      </c>
      <c r="F1017" s="14" t="str">
        <f>IFERROR(__xludf.DUMMYFUNCTION("""COMPUTED_VALUE"""),"Leads Baru")</f>
        <v>Leads Baru</v>
      </c>
      <c r="G1017" s="14"/>
      <c r="H1017" s="16"/>
      <c r="I1017" s="17"/>
      <c r="J1017" s="54"/>
      <c r="K1017" s="46" t="str">
        <f>IFERROR(__xludf.DUMMYFUNCTION("""COMPUTED_VALUE"""),"masih nyari temen biar 2 orang")</f>
        <v>masih nyari temen biar 2 orang</v>
      </c>
      <c r="L1017" s="10"/>
      <c r="M1017" s="20"/>
      <c r="N1017" s="20"/>
      <c r="O1017" s="20"/>
      <c r="P1017" s="20"/>
    </row>
    <row r="1018">
      <c r="A1018" s="21">
        <f>IFERROR(__xludf.DUMMYFUNCTION("""COMPUTED_VALUE"""),46201.0)</f>
        <v>46201</v>
      </c>
      <c r="B1018" s="21" t="str">
        <f>IFERROR(__xludf.DUMMYFUNCTION("""COMPUTED_VALUE"""),"2606D231")</f>
        <v>2606D231</v>
      </c>
      <c r="C1018" s="23" t="str">
        <f>IFERROR(__xludf.DUMMYFUNCTION("""COMPUTED_VALUE"""),"No Name senyum")</f>
        <v>No Name senyum</v>
      </c>
      <c r="D1018" s="24" t="str">
        <f>IFERROR(__xludf.DUMMYFUNCTION("""COMPUTED_VALUE"""),"081229900076")</f>
        <v>081229900076</v>
      </c>
      <c r="E1018" s="14" t="str">
        <f>IFERROR(__xludf.DUMMYFUNCTION("""COMPUTED_VALUE"""),"Website")</f>
        <v>Website</v>
      </c>
      <c r="F1018" s="14" t="str">
        <f>IFERROR(__xludf.DUMMYFUNCTION("""COMPUTED_VALUE"""),"Leads Baru")</f>
        <v>Leads Baru</v>
      </c>
      <c r="G1018" s="14"/>
      <c r="H1018" s="26"/>
      <c r="I1018" s="27"/>
      <c r="J1018" s="33"/>
      <c r="K1018" s="30"/>
      <c r="L1018" s="23"/>
      <c r="M1018" s="20"/>
      <c r="N1018" s="20"/>
      <c r="O1018" s="20"/>
      <c r="P1018" s="20"/>
    </row>
    <row r="1019">
      <c r="A1019" s="11">
        <f>IFERROR(__xludf.DUMMYFUNCTION("""COMPUTED_VALUE"""),46201.0)</f>
        <v>46201</v>
      </c>
      <c r="B1019" s="11" t="str">
        <f>IFERROR(__xludf.DUMMYFUNCTION("""COMPUTED_VALUE"""),"2606D232")</f>
        <v>2606D232</v>
      </c>
      <c r="C1019" s="10" t="str">
        <f>IFERROR(__xludf.DUMMYFUNCTION("""COMPUTED_VALUE"""),"Wiena")</f>
        <v>Wiena</v>
      </c>
      <c r="D1019" s="13" t="str">
        <f>IFERROR(__xludf.DUMMYFUNCTION("""COMPUTED_VALUE"""),"085780066292")</f>
        <v>085780066292</v>
      </c>
      <c r="E1019" s="14" t="str">
        <f>IFERROR(__xludf.DUMMYFUNCTION("""COMPUTED_VALUE"""),"Instagram")</f>
        <v>Instagram</v>
      </c>
      <c r="F1019" s="14" t="str">
        <f>IFERROR(__xludf.DUMMYFUNCTION("""COMPUTED_VALUE"""),"Leads Baru")</f>
        <v>Leads Baru</v>
      </c>
      <c r="G1019" s="14" t="str">
        <f>IFERROR(__xludf.DUMMYFUNCTION("""COMPUTED_VALUE"""),"trip 3H2M")</f>
        <v>trip 3H2M</v>
      </c>
      <c r="H1019" s="16">
        <f>IFERROR(__xludf.DUMMYFUNCTION("""COMPUTED_VALUE"""),46253.0)</f>
        <v>46253</v>
      </c>
      <c r="I1019" s="17">
        <f>IFERROR(__xludf.DUMMYFUNCTION("""COMPUTED_VALUE"""),5.0)</f>
        <v>5</v>
      </c>
      <c r="J1019" s="54"/>
      <c r="K1019" s="46" t="str">
        <f>IFERROR(__xludf.DUMMYFUNCTION("""COMPUTED_VALUE"""),"diskus dulu sm temen, FU 12 Juii")</f>
        <v>diskus dulu sm temen, FU 12 Juii</v>
      </c>
      <c r="L1019" s="10"/>
      <c r="M1019" s="20"/>
      <c r="N1019" s="20"/>
      <c r="O1019" s="20"/>
      <c r="P1019" s="20"/>
    </row>
    <row r="1020">
      <c r="A1020" s="21">
        <f>IFERROR(__xludf.DUMMYFUNCTION("""COMPUTED_VALUE"""),46201.0)</f>
        <v>46201</v>
      </c>
      <c r="B1020" s="21" t="str">
        <f>IFERROR(__xludf.DUMMYFUNCTION("""COMPUTED_VALUE"""),"2606D234")</f>
        <v>2606D234</v>
      </c>
      <c r="C1020" s="23" t="str">
        <f>IFERROR(__xludf.DUMMYFUNCTION("""COMPUTED_VALUE"""),"Firza Olivia Susan")</f>
        <v>Firza Olivia Susan</v>
      </c>
      <c r="D1020" s="24" t="str">
        <f>IFERROR(__xludf.DUMMYFUNCTION("""COMPUTED_VALUE"""),"081390020799")</f>
        <v>081390020799</v>
      </c>
      <c r="E1020" s="14" t="str">
        <f>IFERROR(__xludf.DUMMYFUNCTION("""COMPUTED_VALUE"""),"Lainnya")</f>
        <v>Lainnya</v>
      </c>
      <c r="F1020" s="14" t="str">
        <f>IFERROR(__xludf.DUMMYFUNCTION("""COMPUTED_VALUE"""),"Leads Baru")</f>
        <v>Leads Baru</v>
      </c>
      <c r="G1020" s="14" t="str">
        <f>IFERROR(__xludf.DUMMYFUNCTION("""COMPUTED_VALUE"""),"trip kawa wurung")</f>
        <v>trip kawa wurung</v>
      </c>
      <c r="H1020" s="26"/>
      <c r="I1020" s="27">
        <f>IFERROR(__xludf.DUMMYFUNCTION("""COMPUTED_VALUE"""),5.0)</f>
        <v>5</v>
      </c>
      <c r="J1020" s="33"/>
      <c r="K1020" s="30" t="str">
        <f>IFERROR(__xludf.DUMMYFUNCTION("""COMPUTED_VALUE"""),"FU 1 Juli")</f>
        <v>FU 1 Juli</v>
      </c>
      <c r="L1020" s="23"/>
      <c r="M1020" s="20"/>
      <c r="N1020" s="20"/>
      <c r="O1020" s="20"/>
      <c r="P1020" s="20"/>
    </row>
    <row r="1021">
      <c r="A1021" s="11">
        <f>IFERROR(__xludf.DUMMYFUNCTION("""COMPUTED_VALUE"""),46201.0)</f>
        <v>46201</v>
      </c>
      <c r="B1021" s="11" t="str">
        <f>IFERROR(__xludf.DUMMYFUNCTION("""COMPUTED_VALUE"""),"2606D235")</f>
        <v>2606D235</v>
      </c>
      <c r="C1021" s="10" t="str">
        <f>IFERROR(__xludf.DUMMYFUNCTION("""COMPUTED_VALUE"""),"Moelyati")</f>
        <v>Moelyati</v>
      </c>
      <c r="D1021" s="13" t="str">
        <f>IFERROR(__xludf.DUMMYFUNCTION("""COMPUTED_VALUE"""),"0811913893")</f>
        <v>0811913893</v>
      </c>
      <c r="E1021" s="14" t="str">
        <f>IFERROR(__xludf.DUMMYFUNCTION("""COMPUTED_VALUE"""),"Instagram")</f>
        <v>Instagram</v>
      </c>
      <c r="F1021" s="14" t="str">
        <f>IFERROR(__xludf.DUMMYFUNCTION("""COMPUTED_VALUE"""),"Leads Baru")</f>
        <v>Leads Baru</v>
      </c>
      <c r="G1021" s="14"/>
      <c r="H1021" s="16"/>
      <c r="I1021" s="17"/>
      <c r="J1021" s="54"/>
      <c r="K1021" s="46" t="str">
        <f>IFERROR(__xludf.DUMMYFUNCTION("""COMPUTED_VALUE"""),"baru menyapa")</f>
        <v>baru menyapa</v>
      </c>
      <c r="L1021" s="10"/>
      <c r="M1021" s="20"/>
      <c r="N1021" s="20"/>
      <c r="O1021" s="20"/>
      <c r="P1021" s="20"/>
    </row>
    <row r="1022">
      <c r="A1022" s="21">
        <f>IFERROR(__xludf.DUMMYFUNCTION("""COMPUTED_VALUE"""),46201.0)</f>
        <v>46201</v>
      </c>
      <c r="B1022" s="21" t="str">
        <f>IFERROR(__xludf.DUMMYFUNCTION("""COMPUTED_VALUE"""),"2606D236")</f>
        <v>2606D236</v>
      </c>
      <c r="C1022" s="23" t="str">
        <f>IFERROR(__xludf.DUMMYFUNCTION("""COMPUTED_VALUE"""),"Monicha Roosa")</f>
        <v>Monicha Roosa</v>
      </c>
      <c r="D1022" s="24" t="str">
        <f>IFERROR(__xludf.DUMMYFUNCTION("""COMPUTED_VALUE"""),"089680733336")</f>
        <v>089680733336</v>
      </c>
      <c r="E1022" s="14" t="str">
        <f>IFERROR(__xludf.DUMMYFUNCTION("""COMPUTED_VALUE"""),"Instagram")</f>
        <v>Instagram</v>
      </c>
      <c r="F1022" s="14" t="str">
        <f>IFERROR(__xludf.DUMMYFUNCTION("""COMPUTED_VALUE"""),"Leads Baru")</f>
        <v>Leads Baru</v>
      </c>
      <c r="G1022" s="14" t="str">
        <f>IFERROR(__xludf.DUMMYFUNCTION("""COMPUTED_VALUE"""),"private trip kawah wurung")</f>
        <v>private trip kawah wurung</v>
      </c>
      <c r="H1022" s="26"/>
      <c r="I1022" s="27">
        <f>IFERROR(__xludf.DUMMYFUNCTION("""COMPUTED_VALUE"""),2.0)</f>
        <v>2</v>
      </c>
      <c r="J1022" s="33"/>
      <c r="K1022" s="30" t="str">
        <f>IFERROR(__xludf.DUMMYFUNCTION("""COMPUTED_VALUE"""),"belum balas lagi, FU 29 Juni")</f>
        <v>belum balas lagi, FU 29 Juni</v>
      </c>
      <c r="L1022" s="23"/>
      <c r="M1022" s="20"/>
      <c r="N1022" s="20"/>
      <c r="O1022" s="20"/>
      <c r="P1022" s="20"/>
    </row>
    <row r="1023">
      <c r="A1023" s="11">
        <f>IFERROR(__xludf.DUMMYFUNCTION("""COMPUTED_VALUE"""),46202.0)</f>
        <v>46202</v>
      </c>
      <c r="B1023" s="11" t="str">
        <f>IFERROR(__xludf.DUMMYFUNCTION("""COMPUTED_VALUE"""),"2606D237")</f>
        <v>2606D237</v>
      </c>
      <c r="C1023" s="10" t="str">
        <f>IFERROR(__xludf.DUMMYFUNCTION("""COMPUTED_VALUE"""),"Ameera Zahwah")</f>
        <v>Ameera Zahwah</v>
      </c>
      <c r="D1023" s="13" t="str">
        <f>IFERROR(__xludf.DUMMYFUNCTION("""COMPUTED_VALUE"""),"082223083995")</f>
        <v>082223083995</v>
      </c>
      <c r="E1023" s="14" t="str">
        <f>IFERROR(__xludf.DUMMYFUNCTION("""COMPUTED_VALUE"""),"Instagram")</f>
        <v>Instagram</v>
      </c>
      <c r="F1023" s="14" t="str">
        <f>IFERROR(__xludf.DUMMYFUNCTION("""COMPUTED_VALUE"""),"Closing")</f>
        <v>Closing</v>
      </c>
      <c r="G1023" s="14" t="str">
        <f>IFERROR(__xludf.DUMMYFUNCTION("""COMPUTED_VALUE"""),"OT MT")</f>
        <v>OT MT</v>
      </c>
      <c r="H1023" s="16">
        <f>IFERROR(__xludf.DUMMYFUNCTION("""COMPUTED_VALUE"""),46208.0)</f>
        <v>46208</v>
      </c>
      <c r="I1023" s="17">
        <f>IFERROR(__xludf.DUMMYFUNCTION("""COMPUTED_VALUE"""),4.0)</f>
        <v>4</v>
      </c>
      <c r="J1023" s="54">
        <f>IFERROR(__xludf.DUMMYFUNCTION("""COMPUTED_VALUE"""),1100000.0)</f>
        <v>1100000</v>
      </c>
      <c r="K1023" s="46" t="str">
        <f>IFERROR(__xludf.DUMMYFUNCTION("""COMPUTED_VALUE"""),"orrderrr")</f>
        <v>orrderrr</v>
      </c>
      <c r="L1023" s="10"/>
      <c r="M1023" s="20"/>
      <c r="N1023" s="20"/>
      <c r="O1023" s="20"/>
      <c r="P1023" s="20"/>
    </row>
    <row r="1024">
      <c r="A1024" s="21">
        <f>IFERROR(__xludf.DUMMYFUNCTION("""COMPUTED_VALUE"""),46201.0)</f>
        <v>46201</v>
      </c>
      <c r="B1024" s="21" t="str">
        <f>IFERROR(__xludf.DUMMYFUNCTION("""COMPUTED_VALUE"""),"2606D238")</f>
        <v>2606D238</v>
      </c>
      <c r="C1024" s="23" t="str">
        <f>IFERROR(__xludf.DUMMYFUNCTION("""COMPUTED_VALUE"""),"Darso")</f>
        <v>Darso</v>
      </c>
      <c r="D1024" s="24" t="str">
        <f>IFERROR(__xludf.DUMMYFUNCTION("""COMPUTED_VALUE"""),"08123424513")</f>
        <v>08123424513</v>
      </c>
      <c r="E1024" s="14" t="str">
        <f>IFERROR(__xludf.DUMMYFUNCTION("""COMPUTED_VALUE"""),"Website")</f>
        <v>Website</v>
      </c>
      <c r="F1024" s="14" t="str">
        <f>IFERROR(__xludf.DUMMYFUNCTION("""COMPUTED_VALUE"""),"Leads Baru")</f>
        <v>Leads Baru</v>
      </c>
      <c r="G1024" s="14" t="str">
        <f>IFERROR(__xludf.DUMMYFUNCTION("""COMPUTED_VALUE"""),"2H1M custome")</f>
        <v>2H1M custome</v>
      </c>
      <c r="H1024" s="26">
        <f>IFERROR(__xludf.DUMMYFUNCTION("""COMPUTED_VALUE"""),46210.0)</f>
        <v>46210</v>
      </c>
      <c r="I1024" s="27">
        <f>IFERROR(__xludf.DUMMYFUNCTION("""COMPUTED_VALUE"""),5.0)</f>
        <v>5</v>
      </c>
      <c r="J1024" s="33"/>
      <c r="K1024" s="30" t="str">
        <f>IFERROR(__xludf.DUMMYFUNCTION("""COMPUTED_VALUE"""),"FU 2 juli")</f>
        <v>FU 2 juli</v>
      </c>
      <c r="L1024" s="23"/>
      <c r="M1024" s="20"/>
      <c r="N1024" s="20"/>
      <c r="O1024" s="20"/>
      <c r="P1024" s="20"/>
    </row>
    <row r="1025">
      <c r="A1025" s="11">
        <f>IFERROR(__xludf.DUMMYFUNCTION("""COMPUTED_VALUE"""),46202.0)</f>
        <v>46202</v>
      </c>
      <c r="B1025" s="11" t="str">
        <f>IFERROR(__xludf.DUMMYFUNCTION("""COMPUTED_VALUE"""),"2606D239")</f>
        <v>2606D239</v>
      </c>
      <c r="C1025" s="10" t="str">
        <f>IFERROR(__xludf.DUMMYFUNCTION("""COMPUTED_VALUE"""),"Via Angga")</f>
        <v>Via Angga</v>
      </c>
      <c r="D1025" s="13" t="str">
        <f>IFERROR(__xludf.DUMMYFUNCTION("""COMPUTED_VALUE"""),"085888466244")</f>
        <v>085888466244</v>
      </c>
      <c r="E1025" s="14" t="str">
        <f>IFERROR(__xludf.DUMMYFUNCTION("""COMPUTED_VALUE"""),"Instagram")</f>
        <v>Instagram</v>
      </c>
      <c r="F1025" s="14" t="str">
        <f>IFERROR(__xludf.DUMMYFUNCTION("""COMPUTED_VALUE"""),"Closing")</f>
        <v>Closing</v>
      </c>
      <c r="G1025" s="14" t="str">
        <f>IFERROR(__xludf.DUMMYFUNCTION("""COMPUTED_VALUE"""),"OT MT")</f>
        <v>OT MT</v>
      </c>
      <c r="H1025" s="16">
        <f>IFERROR(__xludf.DUMMYFUNCTION("""COMPUTED_VALUE"""),46205.0)</f>
        <v>46205</v>
      </c>
      <c r="I1025" s="17">
        <f>IFERROR(__xludf.DUMMYFUNCTION("""COMPUTED_VALUE"""),2.0)</f>
        <v>2</v>
      </c>
      <c r="J1025" s="54">
        <f>IFERROR(__xludf.DUMMYFUNCTION("""COMPUTED_VALUE"""),800000.0)</f>
        <v>800000</v>
      </c>
      <c r="K1025" s="46" t="str">
        <f>IFERROR(__xludf.DUMMYFUNCTION("""COMPUTED_VALUE"""),"orrderrr")</f>
        <v>orrderrr</v>
      </c>
      <c r="L1025" s="10"/>
      <c r="M1025" s="20"/>
      <c r="N1025" s="20"/>
      <c r="O1025" s="20"/>
      <c r="P1025" s="20"/>
    </row>
    <row r="1026">
      <c r="A1026" s="21">
        <f>IFERROR(__xludf.DUMMYFUNCTION("""COMPUTED_VALUE"""),46203.0)</f>
        <v>46203</v>
      </c>
      <c r="B1026" s="21" t="str">
        <f>IFERROR(__xludf.DUMMYFUNCTION("""COMPUTED_VALUE"""),"2606D240")</f>
        <v>2606D240</v>
      </c>
      <c r="C1026" s="23" t="str">
        <f>IFERROR(__xludf.DUMMYFUNCTION("""COMPUTED_VALUE"""),"Arief Cahyadi")</f>
        <v>Arief Cahyadi</v>
      </c>
      <c r="D1026" s="24" t="str">
        <f>IFERROR(__xludf.DUMMYFUNCTION("""COMPUTED_VALUE"""),"081381620825")</f>
        <v>081381620825</v>
      </c>
      <c r="E1026" s="14" t="str">
        <f>IFERROR(__xludf.DUMMYFUNCTION("""COMPUTED_VALUE"""),"Website")</f>
        <v>Website</v>
      </c>
      <c r="F1026" s="14" t="str">
        <f>IFERROR(__xludf.DUMMYFUNCTION("""COMPUTED_VALUE"""),"Closing")</f>
        <v>Closing</v>
      </c>
      <c r="G1026" s="14" t="str">
        <f>IFERROR(__xludf.DUMMYFUNCTION("""COMPUTED_VALUE"""),"2H1M custome")</f>
        <v>2H1M custome</v>
      </c>
      <c r="H1026" s="26">
        <f>IFERROR(__xludf.DUMMYFUNCTION("""COMPUTED_VALUE"""),46204.0)</f>
        <v>46204</v>
      </c>
      <c r="I1026" s="27">
        <f>IFERROR(__xludf.DUMMYFUNCTION("""COMPUTED_VALUE"""),7.0)</f>
        <v>7</v>
      </c>
      <c r="J1026" s="33">
        <f>IFERROR(__xludf.DUMMYFUNCTION("""COMPUTED_VALUE"""),8400000.0)</f>
        <v>8400000</v>
      </c>
      <c r="K1026" s="30" t="str">
        <f>IFERROR(__xludf.DUMMYFUNCTION("""COMPUTED_VALUE"""),"orrderrr")</f>
        <v>orrderrr</v>
      </c>
      <c r="L1026" s="23"/>
      <c r="M1026" s="20"/>
      <c r="N1026" s="20"/>
      <c r="O1026" s="20"/>
      <c r="P1026" s="20"/>
    </row>
    <row r="1027">
      <c r="A1027" s="11">
        <f>IFERROR(__xludf.DUMMYFUNCTION("""COMPUTED_VALUE"""),46202.0)</f>
        <v>46202</v>
      </c>
      <c r="B1027" s="11" t="str">
        <f>IFERROR(__xludf.DUMMYFUNCTION("""COMPUTED_VALUE"""),"2606D241")</f>
        <v>2606D241</v>
      </c>
      <c r="C1027" s="10" t="str">
        <f>IFERROR(__xludf.DUMMYFUNCTION("""COMPUTED_VALUE"""),"Agung stita")</f>
        <v>Agung stita</v>
      </c>
      <c r="D1027" s="13" t="str">
        <f>IFERROR(__xludf.DUMMYFUNCTION("""COMPUTED_VALUE"""),"081238555044")</f>
        <v>081238555044</v>
      </c>
      <c r="E1027" s="14" t="str">
        <f>IFERROR(__xludf.DUMMYFUNCTION("""COMPUTED_VALUE"""),"Website")</f>
        <v>Website</v>
      </c>
      <c r="F1027" s="14" t="str">
        <f>IFERROR(__xludf.DUMMYFUNCTION("""COMPUTED_VALUE"""),"Leads Baru")</f>
        <v>Leads Baru</v>
      </c>
      <c r="G1027" s="14" t="str">
        <f>IFERROR(__xludf.DUMMYFUNCTION("""COMPUTED_VALUE"""),"OT GI")</f>
        <v>OT GI</v>
      </c>
      <c r="H1027" s="16"/>
      <c r="I1027" s="17">
        <f>IFERROR(__xludf.DUMMYFUNCTION("""COMPUTED_VALUE"""),1.0)</f>
        <v>1</v>
      </c>
      <c r="J1027" s="54"/>
      <c r="K1027" s="46" t="str">
        <f>IFERROR(__xludf.DUMMYFUNCTION("""COMPUTED_VALUE"""),"kalau ada barenagn dikabari")</f>
        <v>kalau ada barenagn dikabari</v>
      </c>
      <c r="L1027" s="10"/>
      <c r="M1027" s="20"/>
      <c r="N1027" s="20"/>
      <c r="O1027" s="20"/>
      <c r="P1027" s="20"/>
    </row>
    <row r="1028">
      <c r="A1028" s="21">
        <f>IFERROR(__xludf.DUMMYFUNCTION("""COMPUTED_VALUE"""),46202.0)</f>
        <v>46202</v>
      </c>
      <c r="B1028" s="21" t="str">
        <f>IFERROR(__xludf.DUMMYFUNCTION("""COMPUTED_VALUE"""),"2606D242")</f>
        <v>2606D242</v>
      </c>
      <c r="C1028" s="23" t="str">
        <f>IFERROR(__xludf.DUMMYFUNCTION("""COMPUTED_VALUE"""),"Lilie")</f>
        <v>Lilie</v>
      </c>
      <c r="D1028" s="24" t="str">
        <f>IFERROR(__xludf.DUMMYFUNCTION("""COMPUTED_VALUE"""),"082221719898")</f>
        <v>082221719898</v>
      </c>
      <c r="E1028" s="14" t="str">
        <f>IFERROR(__xludf.DUMMYFUNCTION("""COMPUTED_VALUE"""),"Website")</f>
        <v>Website</v>
      </c>
      <c r="F1028" s="14" t="str">
        <f>IFERROR(__xludf.DUMMYFUNCTION("""COMPUTED_VALUE"""),"Leads Baru")</f>
        <v>Leads Baru</v>
      </c>
      <c r="G1028" s="14" t="str">
        <f>IFERROR(__xludf.DUMMYFUNCTION("""COMPUTED_VALUE"""),"2H1M custome")</f>
        <v>2H1M custome</v>
      </c>
      <c r="H1028" s="26">
        <f>IFERROR(__xludf.DUMMYFUNCTION("""COMPUTED_VALUE"""),46260.0)</f>
        <v>46260</v>
      </c>
      <c r="I1028" s="27">
        <f>IFERROR(__xludf.DUMMYFUNCTION("""COMPUTED_VALUE"""),10.0)</f>
        <v>10</v>
      </c>
      <c r="J1028" s="33"/>
      <c r="K1028" s="30" t="str">
        <f>IFERROR(__xludf.DUMMYFUNCTION("""COMPUTED_VALUE"""),"FU 30 Juli")</f>
        <v>FU 30 Juli</v>
      </c>
      <c r="L1028" s="23"/>
      <c r="M1028" s="20"/>
      <c r="N1028" s="20"/>
      <c r="O1028" s="20"/>
      <c r="P1028" s="20"/>
    </row>
    <row r="1029">
      <c r="A1029" s="11">
        <f>IFERROR(__xludf.DUMMYFUNCTION("""COMPUTED_VALUE"""),46202.0)</f>
        <v>46202</v>
      </c>
      <c r="B1029" s="11" t="str">
        <f>IFERROR(__xludf.DUMMYFUNCTION("""COMPUTED_VALUE"""),"2606D243")</f>
        <v>2606D243</v>
      </c>
      <c r="C1029" s="10" t="str">
        <f>IFERROR(__xludf.DUMMYFUNCTION("""COMPUTED_VALUE"""),"Christian")</f>
        <v>Christian</v>
      </c>
      <c r="D1029" s="13" t="str">
        <f>IFERROR(__xludf.DUMMYFUNCTION("""COMPUTED_VALUE"""),"081283264650")</f>
        <v>081283264650</v>
      </c>
      <c r="E1029" s="14" t="str">
        <f>IFERROR(__xludf.DUMMYFUNCTION("""COMPUTED_VALUE"""),"Website")</f>
        <v>Website</v>
      </c>
      <c r="F1029" s="14" t="str">
        <f>IFERROR(__xludf.DUMMYFUNCTION("""COMPUTED_VALUE"""),"Leads Baru")</f>
        <v>Leads Baru</v>
      </c>
      <c r="G1029" s="14" t="str">
        <f>IFERROR(__xludf.DUMMYFUNCTION("""COMPUTED_VALUE"""),"4H3M")</f>
        <v>4H3M</v>
      </c>
      <c r="H1029" s="16">
        <f>IFERROR(__xludf.DUMMYFUNCTION("""COMPUTED_VALUE"""),46226.0)</f>
        <v>46226</v>
      </c>
      <c r="I1029" s="17">
        <f>IFERROR(__xludf.DUMMYFUNCTION("""COMPUTED_VALUE"""),2.0)</f>
        <v>2</v>
      </c>
      <c r="J1029" s="54"/>
      <c r="K1029" s="46" t="str">
        <f>IFERROR(__xludf.DUMMYFUNCTION("""COMPUTED_VALUE"""),"FU 7 Juli")</f>
        <v>FU 7 Juli</v>
      </c>
      <c r="L1029" s="10"/>
      <c r="M1029" s="20"/>
      <c r="N1029" s="20"/>
      <c r="O1029" s="20"/>
      <c r="P1029" s="20"/>
    </row>
    <row r="1030">
      <c r="A1030" s="21">
        <f>IFERROR(__xludf.DUMMYFUNCTION("""COMPUTED_VALUE"""),46202.0)</f>
        <v>46202</v>
      </c>
      <c r="B1030" s="21" t="str">
        <f>IFERROR(__xludf.DUMMYFUNCTION("""COMPUTED_VALUE"""),"2606D244")</f>
        <v>2606D244</v>
      </c>
      <c r="C1030" s="23" t="str">
        <f>IFERROR(__xludf.DUMMYFUNCTION("""COMPUTED_VALUE"""),"No Name peri")</f>
        <v>No Name peri</v>
      </c>
      <c r="D1030" s="24" t="str">
        <f>IFERROR(__xludf.DUMMYFUNCTION("""COMPUTED_VALUE"""),"085753634415")</f>
        <v>085753634415</v>
      </c>
      <c r="E1030" s="14" t="str">
        <f>IFERROR(__xludf.DUMMYFUNCTION("""COMPUTED_VALUE"""),"Instagram")</f>
        <v>Instagram</v>
      </c>
      <c r="F1030" s="14" t="str">
        <f>IFERROR(__xludf.DUMMYFUNCTION("""COMPUTED_VALUE"""),"Leads Baru")</f>
        <v>Leads Baru</v>
      </c>
      <c r="G1030" s="14" t="str">
        <f>IFERROR(__xludf.DUMMYFUNCTION("""COMPUTED_VALUE"""),"3h2m opsi A")</f>
        <v>3h2m opsi A</v>
      </c>
      <c r="H1030" s="26"/>
      <c r="I1030" s="27"/>
      <c r="J1030" s="33"/>
      <c r="K1030" s="30" t="str">
        <f>IFERROR(__xludf.DUMMYFUNCTION("""COMPUTED_VALUE"""),"belum ada balasan, FU 7 Juli")</f>
        <v>belum ada balasan, FU 7 Juli</v>
      </c>
      <c r="L1030" s="23"/>
      <c r="M1030" s="20"/>
      <c r="N1030" s="20"/>
      <c r="O1030" s="20"/>
      <c r="P1030" s="20"/>
    </row>
    <row r="1031">
      <c r="A1031" s="11">
        <f>IFERROR(__xludf.DUMMYFUNCTION("""COMPUTED_VALUE"""),46202.0)</f>
        <v>46202</v>
      </c>
      <c r="B1031" s="11" t="str">
        <f>IFERROR(__xludf.DUMMYFUNCTION("""COMPUTED_VALUE"""),"2606D245")</f>
        <v>2606D245</v>
      </c>
      <c r="C1031" s="10" t="str">
        <f>IFERROR(__xludf.DUMMYFUNCTION("""COMPUTED_VALUE"""),"Rohanda")</f>
        <v>Rohanda</v>
      </c>
      <c r="D1031" s="13" t="str">
        <f>IFERROR(__xludf.DUMMYFUNCTION("""COMPUTED_VALUE"""),"081220449539")</f>
        <v>081220449539</v>
      </c>
      <c r="E1031" s="14" t="str">
        <f>IFERROR(__xludf.DUMMYFUNCTION("""COMPUTED_VALUE"""),"Website")</f>
        <v>Website</v>
      </c>
      <c r="F1031" s="14" t="str">
        <f>IFERROR(__xludf.DUMMYFUNCTION("""COMPUTED_VALUE"""),"Leads Baru")</f>
        <v>Leads Baru</v>
      </c>
      <c r="G1031" s="14" t="str">
        <f>IFERROR(__xludf.DUMMYFUNCTION("""COMPUTED_VALUE"""),"3h2m custome")</f>
        <v>3h2m custome</v>
      </c>
      <c r="H1031" s="16">
        <f>IFERROR(__xludf.DUMMYFUNCTION("""COMPUTED_VALUE"""),46255.0)</f>
        <v>46255</v>
      </c>
      <c r="I1031" s="17">
        <f>IFERROR(__xludf.DUMMYFUNCTION("""COMPUTED_VALUE"""),2.0)</f>
        <v>2</v>
      </c>
      <c r="J1031" s="54"/>
      <c r="K1031" s="46"/>
      <c r="L1031" s="10"/>
      <c r="M1031" s="20"/>
      <c r="N1031" s="20"/>
      <c r="O1031" s="20"/>
      <c r="P1031" s="20"/>
    </row>
    <row r="1032">
      <c r="A1032" s="21">
        <f>IFERROR(__xludf.DUMMYFUNCTION("""COMPUTED_VALUE"""),46203.0)</f>
        <v>46203</v>
      </c>
      <c r="B1032" s="21" t="str">
        <f>IFERROR(__xludf.DUMMYFUNCTION("""COMPUTED_VALUE"""),"2606D246")</f>
        <v>2606D246</v>
      </c>
      <c r="C1032" s="23" t="str">
        <f>IFERROR(__xludf.DUMMYFUNCTION("""COMPUTED_VALUE"""),"Cipta Makmur Jaya Tours")</f>
        <v>Cipta Makmur Jaya Tours</v>
      </c>
      <c r="D1032" s="24" t="str">
        <f>IFERROR(__xludf.DUMMYFUNCTION("""COMPUTED_VALUE"""),"08113373328")</f>
        <v>08113373328</v>
      </c>
      <c r="E1032" s="14" t="str">
        <f>IFERROR(__xludf.DUMMYFUNCTION("""COMPUTED_VALUE"""),"Website")</f>
        <v>Website</v>
      </c>
      <c r="F1032" s="14" t="str">
        <f>IFERROR(__xludf.DUMMYFUNCTION("""COMPUTED_VALUE"""),"Leads Baru")</f>
        <v>Leads Baru</v>
      </c>
      <c r="G1032" s="14" t="str">
        <f>IFERROR(__xludf.DUMMYFUNCTION("""COMPUTED_VALUE"""),"2H1m custome")</f>
        <v>2H1m custome</v>
      </c>
      <c r="H1032" s="26"/>
      <c r="I1032" s="27">
        <f>IFERROR(__xludf.DUMMYFUNCTION("""COMPUTED_VALUE"""),30.0)</f>
        <v>30</v>
      </c>
      <c r="J1032" s="33"/>
      <c r="K1032" s="30"/>
      <c r="L1032" s="23"/>
      <c r="M1032" s="20"/>
      <c r="N1032" s="20"/>
      <c r="O1032" s="20"/>
      <c r="P1032" s="20"/>
    </row>
    <row r="1033">
      <c r="A1033" s="11">
        <f>IFERROR(__xludf.DUMMYFUNCTION("""COMPUTED_VALUE"""),46203.0)</f>
        <v>46203</v>
      </c>
      <c r="B1033" s="11" t="str">
        <f>IFERROR(__xludf.DUMMYFUNCTION("""COMPUTED_VALUE"""),"2606D247")</f>
        <v>2606D247</v>
      </c>
      <c r="C1033" s="10" t="str">
        <f>IFERROR(__xludf.DUMMYFUNCTION("""COMPUTED_VALUE"""),"Yetti Kurniawati ")</f>
        <v>Yetti Kurniawati </v>
      </c>
      <c r="D1033" s="13" t="str">
        <f>IFERROR(__xludf.DUMMYFUNCTION("""COMPUTED_VALUE"""),"083840547993")</f>
        <v>083840547993</v>
      </c>
      <c r="E1033" s="14" t="str">
        <f>IFERROR(__xludf.DUMMYFUNCTION("""COMPUTED_VALUE"""),"Instagram")</f>
        <v>Instagram</v>
      </c>
      <c r="F1033" s="14" t="str">
        <f>IFERROR(__xludf.DUMMYFUNCTION("""COMPUTED_VALUE"""),"Leads Baru")</f>
        <v>Leads Baru</v>
      </c>
      <c r="G1033" s="14" t="str">
        <f>IFERROR(__xludf.DUMMYFUNCTION("""COMPUTED_VALUE"""),"OT MT")</f>
        <v>OT MT</v>
      </c>
      <c r="H1033" s="16">
        <f>IFERROR(__xludf.DUMMYFUNCTION("""COMPUTED_VALUE"""),46207.0)</f>
        <v>46207</v>
      </c>
      <c r="I1033" s="17">
        <f>IFERROR(__xludf.DUMMYFUNCTION("""COMPUTED_VALUE"""),4.0)</f>
        <v>4</v>
      </c>
      <c r="J1033" s="54"/>
      <c r="K1033" s="46" t="str">
        <f>IFERROR(__xludf.DUMMYFUNCTION("""COMPUTED_VALUE"""),"fullbookedd")</f>
        <v>fullbookedd</v>
      </c>
      <c r="L1033" s="10"/>
      <c r="M1033" s="20"/>
      <c r="N1033" s="20"/>
      <c r="O1033" s="20"/>
      <c r="P1033" s="20"/>
    </row>
    <row r="1034">
      <c r="A1034" s="21">
        <f>IFERROR(__xludf.DUMMYFUNCTION("""COMPUTED_VALUE"""),46203.0)</f>
        <v>46203</v>
      </c>
      <c r="B1034" s="21" t="str">
        <f>IFERROR(__xludf.DUMMYFUNCTION("""COMPUTED_VALUE"""),"2606D248")</f>
        <v>2606D248</v>
      </c>
      <c r="C1034" s="23" t="str">
        <f>IFERROR(__xludf.DUMMYFUNCTION("""COMPUTED_VALUE"""),"Rheina")</f>
        <v>Rheina</v>
      </c>
      <c r="D1034" s="24" t="str">
        <f>IFERROR(__xludf.DUMMYFUNCTION("""COMPUTED_VALUE"""),"08787473633")</f>
        <v>08787473633</v>
      </c>
      <c r="E1034" s="14" t="str">
        <f>IFERROR(__xludf.DUMMYFUNCTION("""COMPUTED_VALUE"""),"Instagram")</f>
        <v>Instagram</v>
      </c>
      <c r="F1034" s="14" t="str">
        <f>IFERROR(__xludf.DUMMYFUNCTION("""COMPUTED_VALUE"""),"Leads Baru")</f>
        <v>Leads Baru</v>
      </c>
      <c r="G1034" s="14" t="str">
        <f>IFERROR(__xludf.DUMMYFUNCTION("""COMPUTED_VALUE"""),"3h2m opsi A")</f>
        <v>3h2m opsi A</v>
      </c>
      <c r="H1034" s="26"/>
      <c r="I1034" s="27"/>
      <c r="J1034" s="33"/>
      <c r="K1034" s="30" t="str">
        <f>IFERROR(__xludf.DUMMYFUNCTION("""COMPUTED_VALUE"""),"FU 31 Juli")</f>
        <v>FU 31 Juli</v>
      </c>
      <c r="L1034" s="23"/>
      <c r="M1034" s="20"/>
      <c r="N1034" s="20"/>
      <c r="O1034" s="20"/>
      <c r="P1034" s="20"/>
    </row>
    <row r="1035">
      <c r="A1035" s="11">
        <f>IFERROR(__xludf.DUMMYFUNCTION("""COMPUTED_VALUE"""),46203.0)</f>
        <v>46203</v>
      </c>
      <c r="B1035" s="11" t="str">
        <f>IFERROR(__xludf.DUMMYFUNCTION("""COMPUTED_VALUE"""),"2606D249")</f>
        <v>2606D249</v>
      </c>
      <c r="C1035" s="10" t="str">
        <f>IFERROR(__xludf.DUMMYFUNCTION("""COMPUTED_VALUE"""),"Asti Lestari")</f>
        <v>Asti Lestari</v>
      </c>
      <c r="D1035" s="13" t="str">
        <f>IFERROR(__xludf.DUMMYFUNCTION("""COMPUTED_VALUE"""),"081394047757")</f>
        <v>081394047757</v>
      </c>
      <c r="E1035" s="14" t="str">
        <f>IFERROR(__xludf.DUMMYFUNCTION("""COMPUTED_VALUE"""),"Instagram")</f>
        <v>Instagram</v>
      </c>
      <c r="F1035" s="14" t="str">
        <f>IFERROR(__xludf.DUMMYFUNCTION("""COMPUTED_VALUE"""),"Leads Baru")</f>
        <v>Leads Baru</v>
      </c>
      <c r="G1035" s="14" t="str">
        <f>IFERROR(__xludf.DUMMYFUNCTION("""COMPUTED_VALUE"""),"OT MT")</f>
        <v>OT MT</v>
      </c>
      <c r="H1035" s="16">
        <f>IFERROR(__xludf.DUMMYFUNCTION("""COMPUTED_VALUE"""),46213.0)</f>
        <v>46213</v>
      </c>
      <c r="I1035" s="17">
        <f>IFERROR(__xludf.DUMMYFUNCTION("""COMPUTED_VALUE"""),5.0)</f>
        <v>5</v>
      </c>
      <c r="J1035" s="54"/>
      <c r="K1035" s="46" t="str">
        <f>IFERROR(__xludf.DUMMYFUNCTION("""COMPUTED_VALUE"""),"FU 3 Juli ")</f>
        <v>FU 3 Juli </v>
      </c>
      <c r="L1035" s="10"/>
      <c r="M1035" s="20"/>
      <c r="N1035" s="20"/>
      <c r="O1035" s="20"/>
      <c r="P1035" s="20"/>
    </row>
    <row r="1036">
      <c r="A1036" s="21">
        <f>IFERROR(__xludf.DUMMYFUNCTION("""COMPUTED_VALUE"""),46203.0)</f>
        <v>46203</v>
      </c>
      <c r="B1036" s="21" t="str">
        <f>IFERROR(__xludf.DUMMYFUNCTION("""COMPUTED_VALUE"""),"2606D250")</f>
        <v>2606D250</v>
      </c>
      <c r="C1036" s="23" t="str">
        <f>IFERROR(__xludf.DUMMYFUNCTION("""COMPUTED_VALUE"""),"Najmuddin Kholish")</f>
        <v>Najmuddin Kholish</v>
      </c>
      <c r="D1036" s="24" t="str">
        <f>IFERROR(__xludf.DUMMYFUNCTION("""COMPUTED_VALUE"""),"085649017879")</f>
        <v>085649017879</v>
      </c>
      <c r="E1036" s="14" t="str">
        <f>IFERROR(__xludf.DUMMYFUNCTION("""COMPUTED_VALUE"""),"Instagram")</f>
        <v>Instagram</v>
      </c>
      <c r="F1036" s="14" t="str">
        <f>IFERROR(__xludf.DUMMYFUNCTION("""COMPUTED_VALUE"""),"Leads Baru")</f>
        <v>Leads Baru</v>
      </c>
      <c r="G1036" s="14" t="str">
        <f>IFERROR(__xludf.DUMMYFUNCTION("""COMPUTED_VALUE"""),"private Djabal")</f>
        <v>private Djabal</v>
      </c>
      <c r="H1036" s="26"/>
      <c r="I1036" s="27">
        <f>IFERROR(__xludf.DUMMYFUNCTION("""COMPUTED_VALUE"""),3.0)</f>
        <v>3</v>
      </c>
      <c r="J1036" s="33"/>
      <c r="K1036" s="30" t="str">
        <f>IFERROR(__xludf.DUMMYFUNCTION("""COMPUTED_VALUE"""),"FU 5 Juli")</f>
        <v>FU 5 Juli</v>
      </c>
      <c r="L1036" s="23"/>
      <c r="M1036" s="20"/>
      <c r="N1036" s="20"/>
      <c r="O1036" s="20"/>
      <c r="P1036" s="20"/>
    </row>
    <row r="1037">
      <c r="A1037" s="11">
        <f>IFERROR(__xludf.DUMMYFUNCTION("""COMPUTED_VALUE"""),46203.0)</f>
        <v>46203</v>
      </c>
      <c r="B1037" s="11" t="str">
        <f>IFERROR(__xludf.DUMMYFUNCTION("""COMPUTED_VALUE"""),"2606D251")</f>
        <v>2606D251</v>
      </c>
      <c r="C1037" s="10" t="str">
        <f>IFERROR(__xludf.DUMMYFUNCTION("""COMPUTED_VALUE"""),"Kumala")</f>
        <v>Kumala</v>
      </c>
      <c r="D1037" s="13" t="str">
        <f>IFERROR(__xludf.DUMMYFUNCTION("""COMPUTED_VALUE"""),"085878304239")</f>
        <v>085878304239</v>
      </c>
      <c r="E1037" s="14" t="str">
        <f>IFERROR(__xludf.DUMMYFUNCTION("""COMPUTED_VALUE"""),"Instagram")</f>
        <v>Instagram</v>
      </c>
      <c r="F1037" s="14" t="str">
        <f>IFERROR(__xludf.DUMMYFUNCTION("""COMPUTED_VALUE"""),"Closing")</f>
        <v>Closing</v>
      </c>
      <c r="G1037" s="14" t="str">
        <f>IFERROR(__xludf.DUMMYFUNCTION("""COMPUTED_VALUE"""),"OT MT, OT Alas Purwo")</f>
        <v>OT MT, OT Alas Purwo</v>
      </c>
      <c r="H1037" s="16">
        <f>IFERROR(__xludf.DUMMYFUNCTION("""COMPUTED_VALUE"""),46243.0)</f>
        <v>46243</v>
      </c>
      <c r="I1037" s="17">
        <f>IFERROR(__xludf.DUMMYFUNCTION("""COMPUTED_VALUE"""),2.0)</f>
        <v>2</v>
      </c>
      <c r="J1037" s="54">
        <f>IFERROR(__xludf.DUMMYFUNCTION("""COMPUTED_VALUE"""),1650000.0)</f>
        <v>1650000</v>
      </c>
      <c r="K1037" s="46" t="str">
        <f>IFERROR(__xludf.DUMMYFUNCTION("""COMPUTED_VALUE"""),"alhamdulillah orrderrr")</f>
        <v>alhamdulillah orrderrr</v>
      </c>
      <c r="L1037" s="10"/>
      <c r="M1037" s="20"/>
      <c r="N1037" s="20"/>
      <c r="O1037" s="20"/>
      <c r="P1037" s="20"/>
    </row>
    <row r="1038">
      <c r="A1038" s="21">
        <f>IFERROR(__xludf.DUMMYFUNCTION("""COMPUTED_VALUE"""),46203.0)</f>
        <v>46203</v>
      </c>
      <c r="B1038" s="21" t="str">
        <f>IFERROR(__xludf.DUMMYFUNCTION("""COMPUTED_VALUE"""),"2606D252")</f>
        <v>2606D252</v>
      </c>
      <c r="C1038" s="23" t="str">
        <f>IFERROR(__xludf.DUMMYFUNCTION("""COMPUTED_VALUE"""),"Raisa")</f>
        <v>Raisa</v>
      </c>
      <c r="D1038" s="24" t="str">
        <f>IFERROR(__xludf.DUMMYFUNCTION("""COMPUTED_VALUE"""),"60168641592")</f>
        <v>60168641592</v>
      </c>
      <c r="E1038" s="14" t="str">
        <f>IFERROR(__xludf.DUMMYFUNCTION("""COMPUTED_VALUE"""),"Website")</f>
        <v>Website</v>
      </c>
      <c r="F1038" s="14" t="str">
        <f>IFERROR(__xludf.DUMMYFUNCTION("""COMPUTED_VALUE"""),"Leads Baru")</f>
        <v>Leads Baru</v>
      </c>
      <c r="G1038" s="14" t="str">
        <f>IFERROR(__xludf.DUMMYFUNCTION("""COMPUTED_VALUE"""),"trip kawah ijen")</f>
        <v>trip kawah ijen</v>
      </c>
      <c r="H1038" s="26"/>
      <c r="I1038" s="27">
        <f>IFERROR(__xludf.DUMMYFUNCTION("""COMPUTED_VALUE"""),2.0)</f>
        <v>2</v>
      </c>
      <c r="J1038" s="33"/>
      <c r="K1038" s="30" t="str">
        <f>IFERROR(__xludf.DUMMYFUNCTION("""COMPUTED_VALUE"""),"pengen blue fire")</f>
        <v>pengen blue fire</v>
      </c>
      <c r="L1038" s="23"/>
      <c r="M1038" s="20"/>
      <c r="N1038" s="20"/>
      <c r="O1038" s="20"/>
      <c r="P1038" s="20"/>
    </row>
    <row r="1039">
      <c r="A1039" s="11">
        <f>IFERROR(__xludf.DUMMYFUNCTION("""COMPUTED_VALUE"""),46203.0)</f>
        <v>46203</v>
      </c>
      <c r="B1039" s="11" t="str">
        <f>IFERROR(__xludf.DUMMYFUNCTION("""COMPUTED_VALUE"""),"2606D253")</f>
        <v>2606D253</v>
      </c>
      <c r="C1039" s="10" t="str">
        <f>IFERROR(__xludf.DUMMYFUNCTION("""COMPUTED_VALUE"""),"Fajar Bakti")</f>
        <v>Fajar Bakti</v>
      </c>
      <c r="D1039" s="13" t="str">
        <f>IFERROR(__xludf.DUMMYFUNCTION("""COMPUTED_VALUE"""),"082299559696")</f>
        <v>082299559696</v>
      </c>
      <c r="E1039" s="14" t="str">
        <f>IFERROR(__xludf.DUMMYFUNCTION("""COMPUTED_VALUE"""),"Instagram")</f>
        <v>Instagram</v>
      </c>
      <c r="F1039" s="14" t="str">
        <f>IFERROR(__xludf.DUMMYFUNCTION("""COMPUTED_VALUE"""),"Gagal")</f>
        <v>Gagal</v>
      </c>
      <c r="G1039" s="14" t="str">
        <f>IFERROR(__xludf.DUMMYFUNCTION("""COMPUTED_VALUE"""),"1 day Baluran")</f>
        <v>1 day Baluran</v>
      </c>
      <c r="H1039" s="16">
        <f>IFERROR(__xludf.DUMMYFUNCTION("""COMPUTED_VALUE"""),46221.0)</f>
        <v>46221</v>
      </c>
      <c r="I1039" s="17">
        <f>IFERROR(__xludf.DUMMYFUNCTION("""COMPUTED_VALUE"""),2.0)</f>
        <v>2</v>
      </c>
      <c r="J1039" s="54"/>
      <c r="K1039" s="46" t="str">
        <f>IFERROR(__xludf.DUMMYFUNCTION("""COMPUTED_VALUE"""),"FU 7 Juli, tgl lewat")</f>
        <v>FU 7 Juli, tgl lewat</v>
      </c>
      <c r="L1039" s="10"/>
      <c r="M1039" s="20"/>
      <c r="N1039" s="20"/>
      <c r="O1039" s="20"/>
      <c r="P1039" s="20"/>
    </row>
    <row r="1040">
      <c r="A1040" s="21">
        <f>IFERROR(__xludf.DUMMYFUNCTION("""COMPUTED_VALUE"""),46202.0)</f>
        <v>46202</v>
      </c>
      <c r="B1040" s="21" t="str">
        <f>IFERROR(__xludf.DUMMYFUNCTION("""COMPUTED_VALUE"""),"2606D254")</f>
        <v>2606D254</v>
      </c>
      <c r="C1040" s="23" t="str">
        <f>IFERROR(__xludf.DUMMYFUNCTION("""COMPUTED_VALUE"""),"Halimeh")</f>
        <v>Halimeh</v>
      </c>
      <c r="D1040" s="24" t="str">
        <f>IFERROR(__xludf.DUMMYFUNCTION("""COMPUTED_VALUE"""),"081247057545")</f>
        <v>081247057545</v>
      </c>
      <c r="E1040" s="14" t="str">
        <f>IFERROR(__xludf.DUMMYFUNCTION("""COMPUTED_VALUE"""),"Instagram")</f>
        <v>Instagram</v>
      </c>
      <c r="F1040" s="14" t="str">
        <f>IFERROR(__xludf.DUMMYFUNCTION("""COMPUTED_VALUE"""),"Gagal")</f>
        <v>Gagal</v>
      </c>
      <c r="G1040" s="14" t="str">
        <f>IFERROR(__xludf.DUMMYFUNCTION("""COMPUTED_VALUE"""),"trip MT")</f>
        <v>trip MT</v>
      </c>
      <c r="H1040" s="26">
        <f>IFERROR(__xludf.DUMMYFUNCTION("""COMPUTED_VALUE"""),46219.0)</f>
        <v>46219</v>
      </c>
      <c r="I1040" s="27"/>
      <c r="J1040" s="33"/>
      <c r="K1040" s="30" t="str">
        <f>IFERROR(__xludf.DUMMYFUNCTION("""COMPUTED_VALUE"""),"blm balas lagi, FU 7 Juli")</f>
        <v>blm balas lagi, FU 7 Juli</v>
      </c>
      <c r="L1040" s="23"/>
      <c r="M1040" s="20"/>
      <c r="N1040" s="20"/>
      <c r="O1040" s="20"/>
      <c r="P1040" s="20"/>
    </row>
    <row r="1041">
      <c r="A1041" s="11">
        <f>IFERROR(__xludf.DUMMYFUNCTION("""COMPUTED_VALUE"""),46204.0)</f>
        <v>46204</v>
      </c>
      <c r="B1041" s="11" t="str">
        <f>IFERROR(__xludf.DUMMYFUNCTION("""COMPUTED_VALUE"""),"2607D001")</f>
        <v>2607D001</v>
      </c>
      <c r="C1041" s="10" t="str">
        <f>IFERROR(__xludf.DUMMYFUNCTION("""COMPUTED_VALUE"""),"V")</f>
        <v>V</v>
      </c>
      <c r="D1041" s="13" t="str">
        <f>IFERROR(__xludf.DUMMYFUNCTION("""COMPUTED_VALUE"""),"085649247772")</f>
        <v>085649247772</v>
      </c>
      <c r="E1041" s="14" t="str">
        <f>IFERROR(__xludf.DUMMYFUNCTION("""COMPUTED_VALUE"""),"Instagram")</f>
        <v>Instagram</v>
      </c>
      <c r="F1041" s="14" t="str">
        <f>IFERROR(__xludf.DUMMYFUNCTION("""COMPUTED_VALUE"""),"Gagal")</f>
        <v>Gagal</v>
      </c>
      <c r="G1041" s="14" t="str">
        <f>IFERROR(__xludf.DUMMYFUNCTION("""COMPUTED_VALUE"""),"OT MT")</f>
        <v>OT MT</v>
      </c>
      <c r="H1041" s="16">
        <f>IFERROR(__xludf.DUMMYFUNCTION("""COMPUTED_VALUE"""),46215.0)</f>
        <v>46215</v>
      </c>
      <c r="I1041" s="17">
        <f>IFERROR(__xludf.DUMMYFUNCTION("""COMPUTED_VALUE"""),1.0)</f>
        <v>1</v>
      </c>
      <c r="J1041" s="54"/>
      <c r="K1041" s="46" t="str">
        <f>IFERROR(__xludf.DUMMYFUNCTION("""COMPUTED_VALUE"""),"FU 4 Juli ")</f>
        <v>FU 4 Juli </v>
      </c>
      <c r="L1041" s="10"/>
      <c r="M1041" s="20"/>
      <c r="N1041" s="20"/>
      <c r="O1041" s="20"/>
      <c r="P1041" s="20"/>
    </row>
    <row r="1042">
      <c r="A1042" s="21">
        <f>IFERROR(__xludf.DUMMYFUNCTION("""COMPUTED_VALUE"""),46204.0)</f>
        <v>46204</v>
      </c>
      <c r="B1042" s="21" t="str">
        <f>IFERROR(__xludf.DUMMYFUNCTION("""COMPUTED_VALUE"""),"2607D002")</f>
        <v>2607D002</v>
      </c>
      <c r="C1042" s="23" t="str">
        <f>IFERROR(__xludf.DUMMYFUNCTION("""COMPUTED_VALUE"""),"Athifa Magitasari")</f>
        <v>Athifa Magitasari</v>
      </c>
      <c r="D1042" s="24" t="str">
        <f>IFERROR(__xludf.DUMMYFUNCTION("""COMPUTED_VALUE"""),"082234900751")</f>
        <v>082234900751</v>
      </c>
      <c r="E1042" s="14" t="str">
        <f>IFERROR(__xludf.DUMMYFUNCTION("""COMPUTED_VALUE"""),"Instagram")</f>
        <v>Instagram</v>
      </c>
      <c r="F1042" s="14" t="str">
        <f>IFERROR(__xludf.DUMMYFUNCTION("""COMPUTED_VALUE"""),"Gagal")</f>
        <v>Gagal</v>
      </c>
      <c r="G1042" s="14" t="str">
        <f>IFERROR(__xludf.DUMMYFUNCTION("""COMPUTED_VALUE"""),"OT MT")</f>
        <v>OT MT</v>
      </c>
      <c r="H1042" s="26">
        <f>IFERROR(__xludf.DUMMYFUNCTION("""COMPUTED_VALUE"""),46205.0)</f>
        <v>46205</v>
      </c>
      <c r="I1042" s="27">
        <f>IFERROR(__xludf.DUMMYFUNCTION("""COMPUTED_VALUE"""),4.0)</f>
        <v>4</v>
      </c>
      <c r="J1042" s="33"/>
      <c r="K1042" s="30" t="str">
        <f>IFERROR(__xludf.DUMMYFUNCTION("""COMPUTED_VALUE"""),"tidakk jadi trip")</f>
        <v>tidakk jadi trip</v>
      </c>
      <c r="L1042" s="23"/>
      <c r="M1042" s="20"/>
      <c r="N1042" s="20"/>
      <c r="O1042" s="20"/>
      <c r="P1042" s="20"/>
    </row>
    <row r="1043">
      <c r="A1043" s="11">
        <f>IFERROR(__xludf.DUMMYFUNCTION("""COMPUTED_VALUE"""),46204.0)</f>
        <v>46204</v>
      </c>
      <c r="B1043" s="11" t="str">
        <f>IFERROR(__xludf.DUMMYFUNCTION("""COMPUTED_VALUE"""),"2607D003")</f>
        <v>2607D003</v>
      </c>
      <c r="C1043" s="10" t="str">
        <f>IFERROR(__xludf.DUMMYFUNCTION("""COMPUTED_VALUE"""),"Maulida")</f>
        <v>Maulida</v>
      </c>
      <c r="D1043" s="13" t="str">
        <f>IFERROR(__xludf.DUMMYFUNCTION("""COMPUTED_VALUE"""),"082334335533")</f>
        <v>082334335533</v>
      </c>
      <c r="E1043" s="14" t="str">
        <f>IFERROR(__xludf.DUMMYFUNCTION("""COMPUTED_VALUE"""),"Instagram")</f>
        <v>Instagram</v>
      </c>
      <c r="F1043" s="14" t="str">
        <f>IFERROR(__xludf.DUMMYFUNCTION("""COMPUTED_VALUE"""),"Gagal")</f>
        <v>Gagal</v>
      </c>
      <c r="G1043" s="14" t="str">
        <f>IFERROR(__xludf.DUMMYFUNCTION("""COMPUTED_VALUE"""),"OT MT")</f>
        <v>OT MT</v>
      </c>
      <c r="H1043" s="16">
        <f>IFERROR(__xludf.DUMMYFUNCTION("""COMPUTED_VALUE"""),46207.0)</f>
        <v>46207</v>
      </c>
      <c r="I1043" s="17">
        <f>IFERROR(__xludf.DUMMYFUNCTION("""COMPUTED_VALUE"""),5.0)</f>
        <v>5</v>
      </c>
      <c r="J1043" s="54"/>
      <c r="K1043" s="46" t="str">
        <f>IFERROR(__xludf.DUMMYFUNCTION("""COMPUTED_VALUE"""),"fullbookeddd")</f>
        <v>fullbookeddd</v>
      </c>
      <c r="L1043" s="10"/>
      <c r="M1043" s="20"/>
      <c r="N1043" s="20"/>
      <c r="O1043" s="20"/>
      <c r="P1043" s="20"/>
    </row>
    <row r="1044">
      <c r="A1044" s="21">
        <f>IFERROR(__xludf.DUMMYFUNCTION("""COMPUTED_VALUE"""),46202.0)</f>
        <v>46202</v>
      </c>
      <c r="B1044" s="21" t="str">
        <f>IFERROR(__xludf.DUMMYFUNCTION("""COMPUTED_VALUE"""),"2607D004")</f>
        <v>2607D004</v>
      </c>
      <c r="C1044" s="23" t="str">
        <f>IFERROR(__xludf.DUMMYFUNCTION("""COMPUTED_VALUE"""),"Bontar (PPA Malang Sby)")</f>
        <v>Bontar (PPA Malang Sby)</v>
      </c>
      <c r="D1044" s="24" t="str">
        <f>IFERROR(__xludf.DUMMYFUNCTION("""COMPUTED_VALUE"""),"082150935112")</f>
        <v>082150935112</v>
      </c>
      <c r="E1044" s="14" t="str">
        <f>IFERROR(__xludf.DUMMYFUNCTION("""COMPUTED_VALUE"""),"Website")</f>
        <v>Website</v>
      </c>
      <c r="F1044" s="14" t="str">
        <f>IFERROR(__xludf.DUMMYFUNCTION("""COMPUTED_VALUE"""),"Closing")</f>
        <v>Closing</v>
      </c>
      <c r="G1044" s="14" t="str">
        <f>IFERROR(__xludf.DUMMYFUNCTION("""COMPUTED_VALUE"""),"2H1M custome")</f>
        <v>2H1M custome</v>
      </c>
      <c r="H1044" s="26">
        <f>IFERROR(__xludf.DUMMYFUNCTION("""COMPUTED_VALUE"""),46216.0)</f>
        <v>46216</v>
      </c>
      <c r="I1044" s="27">
        <f>IFERROR(__xludf.DUMMYFUNCTION("""COMPUTED_VALUE"""),48.0)</f>
        <v>48</v>
      </c>
      <c r="J1044" s="33">
        <f>IFERROR(__xludf.DUMMYFUNCTION("""COMPUTED_VALUE"""),4.032E7)</f>
        <v>40320000</v>
      </c>
      <c r="K1044" s="30" t="str">
        <f>IFERROR(__xludf.DUMMYFUNCTION("""COMPUTED_VALUE"""),"alhamdulillah orrderrr")</f>
        <v>alhamdulillah orrderrr</v>
      </c>
      <c r="L1044" s="23"/>
      <c r="M1044" s="20"/>
      <c r="N1044" s="20"/>
      <c r="O1044" s="20"/>
      <c r="P1044" s="20"/>
    </row>
    <row r="1045">
      <c r="A1045" s="11">
        <f>IFERROR(__xludf.DUMMYFUNCTION("""COMPUTED_VALUE"""),46204.0)</f>
        <v>46204</v>
      </c>
      <c r="B1045" s="11" t="str">
        <f>IFERROR(__xludf.DUMMYFUNCTION("""COMPUTED_VALUE"""),"2607D005")</f>
        <v>2607D005</v>
      </c>
      <c r="C1045" s="10" t="str">
        <f>IFERROR(__xludf.DUMMYFUNCTION("""COMPUTED_VALUE"""),"Andita")</f>
        <v>Andita</v>
      </c>
      <c r="D1045" s="13" t="str">
        <f>IFERROR(__xludf.DUMMYFUNCTION("""COMPUTED_VALUE"""),"085727026326")</f>
        <v>085727026326</v>
      </c>
      <c r="E1045" s="14" t="str">
        <f>IFERROR(__xludf.DUMMYFUNCTION("""COMPUTED_VALUE"""),"Instagram")</f>
        <v>Instagram</v>
      </c>
      <c r="F1045" s="14" t="str">
        <f>IFERROR(__xludf.DUMMYFUNCTION("""COMPUTED_VALUE"""),"Gagal")</f>
        <v>Gagal</v>
      </c>
      <c r="G1045" s="14" t="str">
        <f>IFERROR(__xludf.DUMMYFUNCTION("""COMPUTED_VALUE"""),"OT 3H2M")</f>
        <v>OT 3H2M</v>
      </c>
      <c r="H1045" s="16">
        <f>IFERROR(__xludf.DUMMYFUNCTION("""COMPUTED_VALUE"""),46223.0)</f>
        <v>46223</v>
      </c>
      <c r="I1045" s="17">
        <f>IFERROR(__xludf.DUMMYFUNCTION("""COMPUTED_VALUE"""),2.0)</f>
        <v>2</v>
      </c>
      <c r="J1045" s="54"/>
      <c r="K1045" s="46"/>
      <c r="L1045" s="10"/>
      <c r="M1045" s="20"/>
      <c r="N1045" s="20"/>
      <c r="O1045" s="20"/>
      <c r="P1045" s="20"/>
    </row>
    <row r="1046">
      <c r="A1046" s="21">
        <f>IFERROR(__xludf.DUMMYFUNCTION("""COMPUTED_VALUE"""),46204.0)</f>
        <v>46204</v>
      </c>
      <c r="B1046" s="21" t="str">
        <f>IFERROR(__xludf.DUMMYFUNCTION("""COMPUTED_VALUE"""),"2607D006")</f>
        <v>2607D006</v>
      </c>
      <c r="C1046" s="23" t="str">
        <f>IFERROR(__xludf.DUMMYFUNCTION("""COMPUTED_VALUE"""),"Rooom")</f>
        <v>Rooom</v>
      </c>
      <c r="D1046" s="24" t="str">
        <f>IFERROR(__xludf.DUMMYFUNCTION("""COMPUTED_VALUE"""),"087893735674")</f>
        <v>087893735674</v>
      </c>
      <c r="E1046" s="14" t="str">
        <f>IFERROR(__xludf.DUMMYFUNCTION("""COMPUTED_VALUE"""),"Instagram")</f>
        <v>Instagram</v>
      </c>
      <c r="F1046" s="14" t="str">
        <f>IFERROR(__xludf.DUMMYFUNCTION("""COMPUTED_VALUE"""),"Gagal")</f>
        <v>Gagal</v>
      </c>
      <c r="G1046" s="14" t="str">
        <f>IFERROR(__xludf.DUMMYFUNCTION("""COMPUTED_VALUE"""),"OT MT")</f>
        <v>OT MT</v>
      </c>
      <c r="H1046" s="26">
        <f>IFERROR(__xludf.DUMMYFUNCTION("""COMPUTED_VALUE"""),46216.0)</f>
        <v>46216</v>
      </c>
      <c r="I1046" s="27">
        <f>IFERROR(__xludf.DUMMYFUNCTION("""COMPUTED_VALUE"""),20.0)</f>
        <v>20</v>
      </c>
      <c r="J1046" s="33"/>
      <c r="K1046" s="30" t="str">
        <f>IFERROR(__xludf.DUMMYFUNCTION("""COMPUTED_VALUE"""),"belum jadi liburan ke bwi")</f>
        <v>belum jadi liburan ke bwi</v>
      </c>
      <c r="L1046" s="23"/>
      <c r="M1046" s="20"/>
      <c r="N1046" s="20"/>
      <c r="O1046" s="20"/>
      <c r="P1046" s="20"/>
    </row>
    <row r="1047">
      <c r="A1047" s="11">
        <f>IFERROR(__xludf.DUMMYFUNCTION("""COMPUTED_VALUE"""),46205.0)</f>
        <v>46205</v>
      </c>
      <c r="B1047" s="11" t="str">
        <f>IFERROR(__xludf.DUMMYFUNCTION("""COMPUTED_VALUE"""),"2607D007")</f>
        <v>2607D007</v>
      </c>
      <c r="C1047" s="10" t="str">
        <f>IFERROR(__xludf.DUMMYFUNCTION("""COMPUTED_VALUE"""),"Dory Oktriandi")</f>
        <v>Dory Oktriandi</v>
      </c>
      <c r="D1047" s="13" t="str">
        <f>IFERROR(__xludf.DUMMYFUNCTION("""COMPUTED_VALUE"""),"081284202836")</f>
        <v>081284202836</v>
      </c>
      <c r="E1047" s="14" t="str">
        <f>IFERROR(__xludf.DUMMYFUNCTION("""COMPUTED_VALUE"""),"Instagram")</f>
        <v>Instagram</v>
      </c>
      <c r="F1047" s="14" t="str">
        <f>IFERROR(__xludf.DUMMYFUNCTION("""COMPUTED_VALUE"""),"Gagal")</f>
        <v>Gagal</v>
      </c>
      <c r="G1047" s="14" t="str">
        <f>IFERROR(__xludf.DUMMYFUNCTION("""COMPUTED_VALUE"""),"3H2M opsi B")</f>
        <v>3H2M opsi B</v>
      </c>
      <c r="H1047" s="16">
        <f>IFERROR(__xludf.DUMMYFUNCTION("""COMPUTED_VALUE"""),46210.0)</f>
        <v>46210</v>
      </c>
      <c r="I1047" s="17">
        <f>IFERROR(__xludf.DUMMYFUNCTION("""COMPUTED_VALUE"""),4.0)</f>
        <v>4</v>
      </c>
      <c r="J1047" s="54"/>
      <c r="K1047" s="46" t="str">
        <f>IFERROR(__xludf.DUMMYFUNCTION("""COMPUTED_VALUE"""),"FU 4 Juli")</f>
        <v>FU 4 Juli</v>
      </c>
      <c r="L1047" s="10"/>
      <c r="M1047" s="20"/>
      <c r="N1047" s="20"/>
      <c r="O1047" s="20"/>
      <c r="P1047" s="20"/>
    </row>
    <row r="1048">
      <c r="A1048" s="21">
        <f>IFERROR(__xludf.DUMMYFUNCTION("""COMPUTED_VALUE"""),46205.0)</f>
        <v>46205</v>
      </c>
      <c r="B1048" s="21" t="str">
        <f>IFERROR(__xludf.DUMMYFUNCTION("""COMPUTED_VALUE"""),"2607D008")</f>
        <v>2607D008</v>
      </c>
      <c r="C1048" s="23" t="str">
        <f>IFERROR(__xludf.DUMMYFUNCTION("""COMPUTED_VALUE"""),"Amalia")</f>
        <v>Amalia</v>
      </c>
      <c r="D1048" s="24" t="str">
        <f>IFERROR(__xludf.DUMMYFUNCTION("""COMPUTED_VALUE"""),"0811226651")</f>
        <v>0811226651</v>
      </c>
      <c r="E1048" s="14" t="str">
        <f>IFERROR(__xludf.DUMMYFUNCTION("""COMPUTED_VALUE"""),"Instagram")</f>
        <v>Instagram</v>
      </c>
      <c r="F1048" s="14" t="str">
        <f>IFERROR(__xludf.DUMMYFUNCTION("""COMPUTED_VALUE"""),"Leads Baru")</f>
        <v>Leads Baru</v>
      </c>
      <c r="G1048" s="14" t="str">
        <f>IFERROR(__xludf.DUMMYFUNCTION("""COMPUTED_VALUE"""),"OT 3H2M")</f>
        <v>OT 3H2M</v>
      </c>
      <c r="H1048" s="26"/>
      <c r="I1048" s="27"/>
      <c r="J1048" s="33"/>
      <c r="K1048" s="30"/>
      <c r="L1048" s="23"/>
      <c r="M1048" s="20"/>
      <c r="N1048" s="20"/>
      <c r="O1048" s="20"/>
      <c r="P1048" s="20"/>
    </row>
    <row r="1049">
      <c r="A1049" s="11">
        <f>IFERROR(__xludf.DUMMYFUNCTION("""COMPUTED_VALUE"""),46205.0)</f>
        <v>46205</v>
      </c>
      <c r="B1049" s="11" t="str">
        <f>IFERROR(__xludf.DUMMYFUNCTION("""COMPUTED_VALUE"""),"2607D009")</f>
        <v>2607D009</v>
      </c>
      <c r="C1049" s="10" t="str">
        <f>IFERROR(__xludf.DUMMYFUNCTION("""COMPUTED_VALUE"""),"Hesti")</f>
        <v>Hesti</v>
      </c>
      <c r="D1049" s="13" t="str">
        <f>IFERROR(__xludf.DUMMYFUNCTION("""COMPUTED_VALUE"""),"082199727658")</f>
        <v>082199727658</v>
      </c>
      <c r="E1049" s="14" t="str">
        <f>IFERROR(__xludf.DUMMYFUNCTION("""COMPUTED_VALUE"""),"Website")</f>
        <v>Website</v>
      </c>
      <c r="F1049" s="14" t="str">
        <f>IFERROR(__xludf.DUMMYFUNCTION("""COMPUTED_VALUE"""),"Closing")</f>
        <v>Closing</v>
      </c>
      <c r="G1049" s="14" t="str">
        <f>IFERROR(__xludf.DUMMYFUNCTION("""COMPUTED_VALUE"""),"3H2M opsi A")</f>
        <v>3H2M opsi A</v>
      </c>
      <c r="H1049" s="16">
        <f>IFERROR(__xludf.DUMMYFUNCTION("""COMPUTED_VALUE"""),46213.0)</f>
        <v>46213</v>
      </c>
      <c r="I1049" s="17">
        <f>IFERROR(__xludf.DUMMYFUNCTION("""COMPUTED_VALUE"""),6.0)</f>
        <v>6</v>
      </c>
      <c r="J1049" s="54">
        <f>IFERROR(__xludf.DUMMYFUNCTION("""COMPUTED_VALUE"""),9690000.0)</f>
        <v>9690000</v>
      </c>
      <c r="K1049" s="46" t="str">
        <f>IFERROR(__xludf.DUMMYFUNCTION("""COMPUTED_VALUE"""),"orrderrr")</f>
        <v>orrderrr</v>
      </c>
      <c r="L1049" s="10"/>
      <c r="M1049" s="20"/>
      <c r="N1049" s="20"/>
      <c r="O1049" s="20"/>
      <c r="P1049" s="20"/>
    </row>
    <row r="1050">
      <c r="A1050" s="21">
        <f>IFERROR(__xludf.DUMMYFUNCTION("""COMPUTED_VALUE"""),46205.0)</f>
        <v>46205</v>
      </c>
      <c r="B1050" s="21" t="str">
        <f>IFERROR(__xludf.DUMMYFUNCTION("""COMPUTED_VALUE"""),"2607D010")</f>
        <v>2607D010</v>
      </c>
      <c r="C1050" s="23" t="str">
        <f>IFERROR(__xludf.DUMMYFUNCTION("""COMPUTED_VALUE"""),"Ds")</f>
        <v>Ds</v>
      </c>
      <c r="D1050" s="24" t="str">
        <f>IFERROR(__xludf.DUMMYFUNCTION("""COMPUTED_VALUE"""),"085248580798")</f>
        <v>085248580798</v>
      </c>
      <c r="E1050" s="14" t="str">
        <f>IFERROR(__xludf.DUMMYFUNCTION("""COMPUTED_VALUE"""),"Website")</f>
        <v>Website</v>
      </c>
      <c r="F1050" s="14" t="str">
        <f>IFERROR(__xludf.DUMMYFUNCTION("""COMPUTED_VALUE"""),"Gagal")</f>
        <v>Gagal</v>
      </c>
      <c r="G1050" s="14" t="str">
        <f>IFERROR(__xludf.DUMMYFUNCTION("""COMPUTED_VALUE"""),"OT harian")</f>
        <v>OT harian</v>
      </c>
      <c r="H1050" s="26">
        <f>IFERROR(__xludf.DUMMYFUNCTION("""COMPUTED_VALUE"""),46228.0)</f>
        <v>46228</v>
      </c>
      <c r="I1050" s="27">
        <f>IFERROR(__xludf.DUMMYFUNCTION("""COMPUTED_VALUE"""),1.0)</f>
        <v>1</v>
      </c>
      <c r="J1050" s="33"/>
      <c r="K1050" s="30" t="str">
        <f>IFERROR(__xludf.DUMMYFUNCTION("""COMPUTED_VALUE"""),"gajadii waktunya kurang passss")</f>
        <v>gajadii waktunya kurang passss</v>
      </c>
      <c r="L1050" s="23"/>
      <c r="M1050" s="20"/>
      <c r="N1050" s="20"/>
      <c r="O1050" s="20"/>
      <c r="P1050" s="20"/>
    </row>
    <row r="1051">
      <c r="A1051" s="11">
        <f>IFERROR(__xludf.DUMMYFUNCTION("""COMPUTED_VALUE"""),46205.0)</f>
        <v>46205</v>
      </c>
      <c r="B1051" s="11" t="str">
        <f>IFERROR(__xludf.DUMMYFUNCTION("""COMPUTED_VALUE"""),"2607D011")</f>
        <v>2607D011</v>
      </c>
      <c r="C1051" s="10" t="str">
        <f>IFERROR(__xludf.DUMMYFUNCTION("""COMPUTED_VALUE"""),"Alieta")</f>
        <v>Alieta</v>
      </c>
      <c r="D1051" s="13" t="str">
        <f>IFERROR(__xludf.DUMMYFUNCTION("""COMPUTED_VALUE"""),"08122382234")</f>
        <v>08122382234</v>
      </c>
      <c r="E1051" s="14" t="str">
        <f>IFERROR(__xludf.DUMMYFUNCTION("""COMPUTED_VALUE"""),"Instagram")</f>
        <v>Instagram</v>
      </c>
      <c r="F1051" s="14" t="str">
        <f>IFERROR(__xludf.DUMMYFUNCTION("""COMPUTED_VALUE"""),"Leads Baru")</f>
        <v>Leads Baru</v>
      </c>
      <c r="G1051" s="14" t="str">
        <f>IFERROR(__xludf.DUMMYFUNCTION("""COMPUTED_VALUE"""),"3H2M custome")</f>
        <v>3H2M custome</v>
      </c>
      <c r="H1051" s="16"/>
      <c r="I1051" s="17">
        <f>IFERROR(__xludf.DUMMYFUNCTION("""COMPUTED_VALUE"""),8.0)</f>
        <v>8</v>
      </c>
      <c r="J1051" s="54"/>
      <c r="K1051" s="46"/>
      <c r="L1051" s="10"/>
      <c r="M1051" s="20"/>
      <c r="N1051" s="20"/>
      <c r="O1051" s="20"/>
      <c r="P1051" s="20"/>
    </row>
    <row r="1052">
      <c r="A1052" s="21">
        <f>IFERROR(__xludf.DUMMYFUNCTION("""COMPUTED_VALUE"""),46205.0)</f>
        <v>46205</v>
      </c>
      <c r="B1052" s="21" t="str">
        <f>IFERROR(__xludf.DUMMYFUNCTION("""COMPUTED_VALUE"""),"2607D012")</f>
        <v>2607D012</v>
      </c>
      <c r="C1052" s="23" t="str">
        <f>IFERROR(__xludf.DUMMYFUNCTION("""COMPUTED_VALUE"""),"Dwi")</f>
        <v>Dwi</v>
      </c>
      <c r="D1052" s="24" t="str">
        <f>IFERROR(__xludf.DUMMYFUNCTION("""COMPUTED_VALUE"""),"082338185599")</f>
        <v>082338185599</v>
      </c>
      <c r="E1052" s="14" t="str">
        <f>IFERROR(__xludf.DUMMYFUNCTION("""COMPUTED_VALUE"""),"Instagram")</f>
        <v>Instagram</v>
      </c>
      <c r="F1052" s="14" t="str">
        <f>IFERROR(__xludf.DUMMYFUNCTION("""COMPUTED_VALUE"""),"Gagal")</f>
        <v>Gagal</v>
      </c>
      <c r="G1052" s="14" t="str">
        <f>IFERROR(__xludf.DUMMYFUNCTION("""COMPUTED_VALUE"""),"OT MT")</f>
        <v>OT MT</v>
      </c>
      <c r="H1052" s="26">
        <f>IFERROR(__xludf.DUMMYFUNCTION("""COMPUTED_VALUE"""),46209.0)</f>
        <v>46209</v>
      </c>
      <c r="I1052" s="27">
        <f>IFERROR(__xludf.DUMMYFUNCTION("""COMPUTED_VALUE"""),2.0)</f>
        <v>2</v>
      </c>
      <c r="J1052" s="33"/>
      <c r="K1052" s="30" t="str">
        <f>IFERROR(__xludf.DUMMYFUNCTION("""COMPUTED_VALUE"""),"FU 3 Juli")</f>
        <v>FU 3 Juli</v>
      </c>
      <c r="L1052" s="23"/>
      <c r="M1052" s="20"/>
      <c r="N1052" s="20"/>
      <c r="O1052" s="20"/>
      <c r="P1052" s="20"/>
    </row>
    <row r="1053">
      <c r="A1053" s="11">
        <f>IFERROR(__xludf.DUMMYFUNCTION("""COMPUTED_VALUE"""),46205.0)</f>
        <v>46205</v>
      </c>
      <c r="B1053" s="11" t="str">
        <f>IFERROR(__xludf.DUMMYFUNCTION("""COMPUTED_VALUE"""),"2607D013")</f>
        <v>2607D013</v>
      </c>
      <c r="C1053" s="10" t="str">
        <f>IFERROR(__xludf.DUMMYFUNCTION("""COMPUTED_VALUE"""),"Witney Calora")</f>
        <v>Witney Calora</v>
      </c>
      <c r="D1053" s="13" t="str">
        <f>IFERROR(__xludf.DUMMYFUNCTION("""COMPUTED_VALUE"""),"085787767762")</f>
        <v>085787767762</v>
      </c>
      <c r="E1053" s="14" t="str">
        <f>IFERROR(__xludf.DUMMYFUNCTION("""COMPUTED_VALUE"""),"Instagram")</f>
        <v>Instagram</v>
      </c>
      <c r="F1053" s="14" t="str">
        <f>IFERROR(__xludf.DUMMYFUNCTION("""COMPUTED_VALUE"""),"Gagal")</f>
        <v>Gagal</v>
      </c>
      <c r="G1053" s="14" t="str">
        <f>IFERROR(__xludf.DUMMYFUNCTION("""COMPUTED_VALUE"""),"OT MT")</f>
        <v>OT MT</v>
      </c>
      <c r="H1053" s="16">
        <f>IFERROR(__xludf.DUMMYFUNCTION("""COMPUTED_VALUE"""),46207.0)</f>
        <v>46207</v>
      </c>
      <c r="I1053" s="17"/>
      <c r="J1053" s="54"/>
      <c r="K1053" s="46" t="str">
        <f>IFERROR(__xludf.DUMMYFUNCTION("""COMPUTED_VALUE"""),"fullbookeddd")</f>
        <v>fullbookeddd</v>
      </c>
      <c r="L1053" s="10"/>
      <c r="M1053" s="20"/>
      <c r="N1053" s="20"/>
      <c r="O1053" s="20"/>
      <c r="P1053" s="20"/>
    </row>
    <row r="1054">
      <c r="A1054" s="21">
        <f>IFERROR(__xludf.DUMMYFUNCTION("""COMPUTED_VALUE"""),46205.0)</f>
        <v>46205</v>
      </c>
      <c r="B1054" s="21" t="str">
        <f>IFERROR(__xludf.DUMMYFUNCTION("""COMPUTED_VALUE"""),"2607D014")</f>
        <v>2607D014</v>
      </c>
      <c r="C1054" s="23" t="str">
        <f>IFERROR(__xludf.DUMMYFUNCTION("""COMPUTED_VALUE"""),"Rifa")</f>
        <v>Rifa</v>
      </c>
      <c r="D1054" s="24" t="str">
        <f>IFERROR(__xludf.DUMMYFUNCTION("""COMPUTED_VALUE"""),"085606820090")</f>
        <v>085606820090</v>
      </c>
      <c r="E1054" s="14" t="str">
        <f>IFERROR(__xludf.DUMMYFUNCTION("""COMPUTED_VALUE"""),"Instagram")</f>
        <v>Instagram</v>
      </c>
      <c r="F1054" s="14" t="str">
        <f>IFERROR(__xludf.DUMMYFUNCTION("""COMPUTED_VALUE"""),"Closing")</f>
        <v>Closing</v>
      </c>
      <c r="G1054" s="14" t="str">
        <f>IFERROR(__xludf.DUMMYFUNCTION("""COMPUTED_VALUE"""),"OT MT")</f>
        <v>OT MT</v>
      </c>
      <c r="H1054" s="26">
        <f>IFERROR(__xludf.DUMMYFUNCTION("""COMPUTED_VALUE"""),46209.0)</f>
        <v>46209</v>
      </c>
      <c r="I1054" s="27">
        <f>IFERROR(__xludf.DUMMYFUNCTION("""COMPUTED_VALUE"""),2.0)</f>
        <v>2</v>
      </c>
      <c r="J1054" s="33">
        <f>IFERROR(__xludf.DUMMYFUNCTION("""COMPUTED_VALUE"""),800000.0)</f>
        <v>800000</v>
      </c>
      <c r="K1054" s="30" t="str">
        <f>IFERROR(__xludf.DUMMYFUNCTION("""COMPUTED_VALUE"""),"orrderr")</f>
        <v>orrderr</v>
      </c>
      <c r="L1054" s="23"/>
      <c r="M1054" s="20"/>
      <c r="N1054" s="20"/>
      <c r="O1054" s="20"/>
      <c r="P1054" s="20"/>
    </row>
    <row r="1055">
      <c r="A1055" s="11">
        <f>IFERROR(__xludf.DUMMYFUNCTION("""COMPUTED_VALUE"""),46204.0)</f>
        <v>46204</v>
      </c>
      <c r="B1055" s="11" t="str">
        <f>IFERROR(__xludf.DUMMYFUNCTION("""COMPUTED_VALUE"""),"2607D015")</f>
        <v>2607D015</v>
      </c>
      <c r="C1055" s="10" t="str">
        <f>IFERROR(__xludf.DUMMYFUNCTION("""COMPUTED_VALUE"""),"Ivan")</f>
        <v>Ivan</v>
      </c>
      <c r="D1055" s="13" t="str">
        <f>IFERROR(__xludf.DUMMYFUNCTION("""COMPUTED_VALUE"""),"085138086133")</f>
        <v>085138086133</v>
      </c>
      <c r="E1055" s="14" t="str">
        <f>IFERROR(__xludf.DUMMYFUNCTION("""COMPUTED_VALUE"""),"Website")</f>
        <v>Website</v>
      </c>
      <c r="F1055" s="14" t="str">
        <f>IFERROR(__xludf.DUMMYFUNCTION("""COMPUTED_VALUE"""),"Closing")</f>
        <v>Closing</v>
      </c>
      <c r="G1055" s="14" t="str">
        <f>IFERROR(__xludf.DUMMYFUNCTION("""COMPUTED_VALUE"""),"baluran only")</f>
        <v>baluran only</v>
      </c>
      <c r="H1055" s="16">
        <f>IFERROR(__xludf.DUMMYFUNCTION("""COMPUTED_VALUE"""),46207.0)</f>
        <v>46207</v>
      </c>
      <c r="I1055" s="17">
        <f>IFERROR(__xludf.DUMMYFUNCTION("""COMPUTED_VALUE"""),5.0)</f>
        <v>5</v>
      </c>
      <c r="J1055" s="54">
        <f>IFERROR(__xludf.DUMMYFUNCTION("""COMPUTED_VALUE"""),2000000.0)</f>
        <v>2000000</v>
      </c>
      <c r="K1055" s="46" t="str">
        <f>IFERROR(__xludf.DUMMYFUNCTION("""COMPUTED_VALUE"""),"orrderr")</f>
        <v>orrderr</v>
      </c>
      <c r="L1055" s="10"/>
      <c r="M1055" s="20"/>
      <c r="N1055" s="20"/>
      <c r="O1055" s="20"/>
      <c r="P1055" s="20"/>
    </row>
    <row r="1056">
      <c r="A1056" s="21">
        <f>IFERROR(__xludf.DUMMYFUNCTION("""COMPUTED_VALUE"""),46205.0)</f>
        <v>46205</v>
      </c>
      <c r="B1056" s="21" t="str">
        <f>IFERROR(__xludf.DUMMYFUNCTION("""COMPUTED_VALUE"""),"2607D016")</f>
        <v>2607D016</v>
      </c>
      <c r="C1056" s="23" t="str">
        <f>IFERROR(__xludf.DUMMYFUNCTION("""COMPUTED_VALUE"""),"Shinta Ayu ")</f>
        <v>Shinta Ayu </v>
      </c>
      <c r="D1056" s="24" t="str">
        <f>IFERROR(__xludf.DUMMYFUNCTION("""COMPUTED_VALUE"""),"082230575448")</f>
        <v>082230575448</v>
      </c>
      <c r="E1056" s="14" t="str">
        <f>IFERROR(__xludf.DUMMYFUNCTION("""COMPUTED_VALUE"""),"Instagram")</f>
        <v>Instagram</v>
      </c>
      <c r="F1056" s="14" t="str">
        <f>IFERROR(__xludf.DUMMYFUNCTION("""COMPUTED_VALUE"""),"Gagal")</f>
        <v>Gagal</v>
      </c>
      <c r="G1056" s="14" t="str">
        <f>IFERROR(__xludf.DUMMYFUNCTION("""COMPUTED_VALUE"""),"trip Djawatan Baluran")</f>
        <v>trip Djawatan Baluran</v>
      </c>
      <c r="H1056" s="26">
        <f>IFERROR(__xludf.DUMMYFUNCTION("""COMPUTED_VALUE"""),46208.0)</f>
        <v>46208</v>
      </c>
      <c r="I1056" s="27">
        <f>IFERROR(__xludf.DUMMYFUNCTION("""COMPUTED_VALUE"""),3.0)</f>
        <v>3</v>
      </c>
      <c r="J1056" s="33"/>
      <c r="K1056" s="30" t="str">
        <f>IFERROR(__xludf.DUMMYFUNCTION("""COMPUTED_VALUE"""),"Jeep Fullbookeddd, ditawarin avanza gamauu")</f>
        <v>Jeep Fullbookeddd, ditawarin avanza gamauu</v>
      </c>
      <c r="L1056" s="23"/>
      <c r="M1056" s="20"/>
      <c r="N1056" s="20"/>
      <c r="O1056" s="20"/>
      <c r="P1056" s="20"/>
    </row>
    <row r="1057">
      <c r="A1057" s="11">
        <f>IFERROR(__xludf.DUMMYFUNCTION("""COMPUTED_VALUE"""),46205.0)</f>
        <v>46205</v>
      </c>
      <c r="B1057" s="11" t="str">
        <f>IFERROR(__xludf.DUMMYFUNCTION("""COMPUTED_VALUE"""),"2607D017")</f>
        <v>2607D017</v>
      </c>
      <c r="C1057" s="10" t="str">
        <f>IFERROR(__xludf.DUMMYFUNCTION("""COMPUTED_VALUE"""),"PT Jaya Impian Abadi")</f>
        <v>PT Jaya Impian Abadi</v>
      </c>
      <c r="D1057" s="13" t="str">
        <f>IFERROR(__xludf.DUMMYFUNCTION("""COMPUTED_VALUE"""),"082312395793")</f>
        <v>082312395793</v>
      </c>
      <c r="E1057" s="14" t="str">
        <f>IFERROR(__xludf.DUMMYFUNCTION("""COMPUTED_VALUE"""),"Website")</f>
        <v>Website</v>
      </c>
      <c r="F1057" s="14" t="str">
        <f>IFERROR(__xludf.DUMMYFUNCTION("""COMPUTED_VALUE"""),"Leads Baru")</f>
        <v>Leads Baru</v>
      </c>
      <c r="G1057" s="14"/>
      <c r="H1057" s="16"/>
      <c r="I1057" s="17"/>
      <c r="J1057" s="54"/>
      <c r="K1057" s="46" t="str">
        <f>IFERROR(__xludf.DUMMYFUNCTION("""COMPUTED_VALUE"""),"masih nyapaa")</f>
        <v>masih nyapaa</v>
      </c>
      <c r="L1057" s="10"/>
      <c r="M1057" s="20"/>
      <c r="N1057" s="20"/>
      <c r="O1057" s="20"/>
      <c r="P1057" s="20"/>
    </row>
    <row r="1058">
      <c r="A1058" s="21">
        <f>IFERROR(__xludf.DUMMYFUNCTION("""COMPUTED_VALUE"""),46205.0)</f>
        <v>46205</v>
      </c>
      <c r="B1058" s="21" t="str">
        <f>IFERROR(__xludf.DUMMYFUNCTION("""COMPUTED_VALUE"""),"2607D018")</f>
        <v>2607D018</v>
      </c>
      <c r="C1058" s="23" t="str">
        <f>IFERROR(__xludf.DUMMYFUNCTION("""COMPUTED_VALUE"""),"Widya")</f>
        <v>Widya</v>
      </c>
      <c r="D1058" s="24" t="str">
        <f>IFERROR(__xludf.DUMMYFUNCTION("""COMPUTED_VALUE"""),"081329012486")</f>
        <v>081329012486</v>
      </c>
      <c r="E1058" s="14" t="str">
        <f>IFERROR(__xludf.DUMMYFUNCTION("""COMPUTED_VALUE"""),"Rekomendasi")</f>
        <v>Rekomendasi</v>
      </c>
      <c r="F1058" s="14" t="str">
        <f>IFERROR(__xludf.DUMMYFUNCTION("""COMPUTED_VALUE"""),"Qualified")</f>
        <v>Qualified</v>
      </c>
      <c r="G1058" s="14" t="str">
        <f>IFERROR(__xludf.DUMMYFUNCTION("""COMPUTED_VALUE"""),"3H2M")</f>
        <v>3H2M</v>
      </c>
      <c r="H1058" s="26"/>
      <c r="I1058" s="27">
        <f>IFERROR(__xludf.DUMMYFUNCTION("""COMPUTED_VALUE"""),4.0)</f>
        <v>4</v>
      </c>
      <c r="J1058" s="33">
        <f>IFERROR(__xludf.DUMMYFUNCTION("""COMPUTED_VALUE"""),1.392E7)</f>
        <v>13920000</v>
      </c>
      <c r="K1058" s="30" t="str">
        <f>IFERROR(__xludf.DUMMYFUNCTION("""COMPUTED_VALUE"""),"FU 4 Juli")</f>
        <v>FU 4 Juli</v>
      </c>
      <c r="L1058" s="23"/>
      <c r="M1058" s="20"/>
      <c r="N1058" s="20"/>
      <c r="O1058" s="20"/>
      <c r="P1058" s="20"/>
    </row>
    <row r="1059">
      <c r="A1059" s="11">
        <f>IFERROR(__xludf.DUMMYFUNCTION("""COMPUTED_VALUE"""),46184.0)</f>
        <v>46184</v>
      </c>
      <c r="B1059" s="11" t="str">
        <f>IFERROR(__xludf.DUMMYFUNCTION("""COMPUTED_VALUE"""),"2606D248")</f>
        <v>2606D248</v>
      </c>
      <c r="C1059" s="10" t="str">
        <f>IFERROR(__xludf.DUMMYFUNCTION("""COMPUTED_VALUE"""),"Ayu DSLNG")</f>
        <v>Ayu DSLNG</v>
      </c>
      <c r="D1059" s="13" t="str">
        <f>IFERROR(__xludf.DUMMYFUNCTION("""COMPUTED_VALUE"""),"081354848245")</f>
        <v>081354848245</v>
      </c>
      <c r="E1059" s="14" t="str">
        <f>IFERROR(__xludf.DUMMYFUNCTION("""COMPUTED_VALUE"""),"Rekomendasi")</f>
        <v>Rekomendasi</v>
      </c>
      <c r="F1059" s="14" t="str">
        <f>IFERROR(__xludf.DUMMYFUNCTION("""COMPUTED_VALUE"""),"Closing")</f>
        <v>Closing</v>
      </c>
      <c r="G1059" s="14" t="str">
        <f>IFERROR(__xludf.DUMMYFUNCTION("""COMPUTED_VALUE"""),"trip djawatan")</f>
        <v>trip djawatan</v>
      </c>
      <c r="H1059" s="16">
        <f>IFERROR(__xludf.DUMMYFUNCTION("""COMPUTED_VALUE"""),46202.0)</f>
        <v>46202</v>
      </c>
      <c r="I1059" s="17">
        <f>IFERROR(__xludf.DUMMYFUNCTION("""COMPUTED_VALUE"""),11.0)</f>
        <v>11</v>
      </c>
      <c r="J1059" s="54">
        <f>IFERROR(__xludf.DUMMYFUNCTION("""COMPUTED_VALUE"""),2365000.0)</f>
        <v>2365000</v>
      </c>
      <c r="K1059" s="46" t="str">
        <f>IFERROR(__xludf.DUMMYFUNCTION("""COMPUTED_VALUE"""),"orrderrr")</f>
        <v>orrderrr</v>
      </c>
      <c r="L1059" s="10"/>
      <c r="M1059" s="20"/>
      <c r="N1059" s="20"/>
      <c r="O1059" s="20"/>
      <c r="P1059" s="20"/>
    </row>
    <row r="1060">
      <c r="A1060" s="21">
        <f>IFERROR(__xludf.DUMMYFUNCTION("""COMPUTED_VALUE"""),46205.0)</f>
        <v>46205</v>
      </c>
      <c r="B1060" s="21" t="str">
        <f>IFERROR(__xludf.DUMMYFUNCTION("""COMPUTED_VALUE"""),"2607D019")</f>
        <v>2607D019</v>
      </c>
      <c r="C1060" s="23" t="str">
        <f>IFERROR(__xludf.DUMMYFUNCTION("""COMPUTED_VALUE"""),"Sulistyo")</f>
        <v>Sulistyo</v>
      </c>
      <c r="D1060" s="24" t="str">
        <f>IFERROR(__xludf.DUMMYFUNCTION("""COMPUTED_VALUE"""),"081252434153")</f>
        <v>081252434153</v>
      </c>
      <c r="E1060" s="14" t="str">
        <f>IFERROR(__xludf.DUMMYFUNCTION("""COMPUTED_VALUE"""),"Website")</f>
        <v>Website</v>
      </c>
      <c r="F1060" s="14" t="str">
        <f>IFERROR(__xludf.DUMMYFUNCTION("""COMPUTED_VALUE"""),"Closing")</f>
        <v>Closing</v>
      </c>
      <c r="G1060" s="14" t="str">
        <f>IFERROR(__xludf.DUMMYFUNCTION("""COMPUTED_VALUE"""),"OT 3H2M")</f>
        <v>OT 3H2M</v>
      </c>
      <c r="H1060" s="26">
        <f>IFERROR(__xludf.DUMMYFUNCTION("""COMPUTED_VALUE"""),46212.0)</f>
        <v>46212</v>
      </c>
      <c r="I1060" s="27">
        <f>IFERROR(__xludf.DUMMYFUNCTION("""COMPUTED_VALUE"""),2.0)</f>
        <v>2</v>
      </c>
      <c r="J1060" s="33">
        <f>IFERROR(__xludf.DUMMYFUNCTION("""COMPUTED_VALUE"""),3200000.0)</f>
        <v>3200000</v>
      </c>
      <c r="K1060" s="30" t="str">
        <f>IFERROR(__xludf.DUMMYFUNCTION("""COMPUTED_VALUE"""),"orrderrr")</f>
        <v>orrderrr</v>
      </c>
      <c r="L1060" s="23"/>
      <c r="M1060" s="20"/>
      <c r="N1060" s="20"/>
      <c r="O1060" s="20"/>
      <c r="P1060" s="20"/>
    </row>
    <row r="1061">
      <c r="A1061" s="11">
        <f>IFERROR(__xludf.DUMMYFUNCTION("""COMPUTED_VALUE"""),46205.0)</f>
        <v>46205</v>
      </c>
      <c r="B1061" s="11" t="str">
        <f>IFERROR(__xludf.DUMMYFUNCTION("""COMPUTED_VALUE"""),"2607D020")</f>
        <v>2607D020</v>
      </c>
      <c r="C1061" s="10" t="str">
        <f>IFERROR(__xludf.DUMMYFUNCTION("""COMPUTED_VALUE"""),"Destira ")</f>
        <v>Destira </v>
      </c>
      <c r="D1061" s="13" t="str">
        <f>IFERROR(__xludf.DUMMYFUNCTION("""COMPUTED_VALUE"""),"081225600450")</f>
        <v>081225600450</v>
      </c>
      <c r="E1061" s="14" t="str">
        <f>IFERROR(__xludf.DUMMYFUNCTION("""COMPUTED_VALUE"""),"Website")</f>
        <v>Website</v>
      </c>
      <c r="F1061" s="14" t="str">
        <f>IFERROR(__xludf.DUMMYFUNCTION("""COMPUTED_VALUE"""),"Gagal")</f>
        <v>Gagal</v>
      </c>
      <c r="G1061" s="14" t="str">
        <f>IFERROR(__xludf.DUMMYFUNCTION("""COMPUTED_VALUE"""),"1 day trip M,T,B")</f>
        <v>1 day trip M,T,B</v>
      </c>
      <c r="H1061" s="16"/>
      <c r="I1061" s="17">
        <f>IFERROR(__xludf.DUMMYFUNCTION("""COMPUTED_VALUE"""),4.0)</f>
        <v>4</v>
      </c>
      <c r="J1061" s="54"/>
      <c r="K1061" s="46" t="str">
        <f>IFERROR(__xludf.DUMMYFUNCTION("""COMPUTED_VALUE"""),"cancell, jadi liburan tanpa agent")</f>
        <v>cancell, jadi liburan tanpa agent</v>
      </c>
      <c r="L1061" s="10"/>
      <c r="M1061" s="20"/>
      <c r="N1061" s="20"/>
      <c r="O1061" s="20"/>
      <c r="P1061" s="20"/>
    </row>
    <row r="1062">
      <c r="A1062" s="21">
        <f>IFERROR(__xludf.DUMMYFUNCTION("""COMPUTED_VALUE"""),46205.0)</f>
        <v>46205</v>
      </c>
      <c r="B1062" s="21" t="str">
        <f>IFERROR(__xludf.DUMMYFUNCTION("""COMPUTED_VALUE"""),"2607D021")</f>
        <v>2607D021</v>
      </c>
      <c r="C1062" s="23" t="str">
        <f>IFERROR(__xludf.DUMMYFUNCTION("""COMPUTED_VALUE"""),"Anna Lord")</f>
        <v>Anna Lord</v>
      </c>
      <c r="D1062" s="24" t="str">
        <f>IFERROR(__xludf.DUMMYFUNCTION("""COMPUTED_VALUE"""),"081337874613")</f>
        <v>081337874613</v>
      </c>
      <c r="E1062" s="14" t="str">
        <f>IFERROR(__xludf.DUMMYFUNCTION("""COMPUTED_VALUE"""),"Website")</f>
        <v>Website</v>
      </c>
      <c r="F1062" s="14" t="str">
        <f>IFERROR(__xludf.DUMMYFUNCTION("""COMPUTED_VALUE"""),"Gagal")</f>
        <v>Gagal</v>
      </c>
      <c r="G1062" s="14"/>
      <c r="H1062" s="26"/>
      <c r="I1062" s="27"/>
      <c r="J1062" s="33"/>
      <c r="K1062" s="30" t="str">
        <f>IFERROR(__xludf.DUMMYFUNCTION("""COMPUTED_VALUE"""),"tanya boat, fullbookedd")</f>
        <v>tanya boat, fullbookedd</v>
      </c>
      <c r="L1062" s="23"/>
      <c r="M1062" s="20"/>
      <c r="N1062" s="20"/>
      <c r="O1062" s="20"/>
      <c r="P1062" s="20"/>
    </row>
    <row r="1063">
      <c r="A1063" s="11">
        <f>IFERROR(__xludf.DUMMYFUNCTION("""COMPUTED_VALUE"""),46206.0)</f>
        <v>46206</v>
      </c>
      <c r="B1063" s="11" t="str">
        <f>IFERROR(__xludf.DUMMYFUNCTION("""COMPUTED_VALUE"""),"2607D022")</f>
        <v>2607D022</v>
      </c>
      <c r="C1063" s="10" t="str">
        <f>IFERROR(__xludf.DUMMYFUNCTION("""COMPUTED_VALUE"""),"Ikka")</f>
        <v>Ikka</v>
      </c>
      <c r="D1063" s="13" t="str">
        <f>IFERROR(__xludf.DUMMYFUNCTION("""COMPUTED_VALUE"""),"085959387150")</f>
        <v>085959387150</v>
      </c>
      <c r="E1063" s="14" t="str">
        <f>IFERROR(__xludf.DUMMYFUNCTION("""COMPUTED_VALUE"""),"Instagram")</f>
        <v>Instagram</v>
      </c>
      <c r="F1063" s="14" t="str">
        <f>IFERROR(__xludf.DUMMYFUNCTION("""COMPUTED_VALUE"""),"Leads Baru")</f>
        <v>Leads Baru</v>
      </c>
      <c r="G1063" s="14"/>
      <c r="H1063" s="16"/>
      <c r="I1063" s="17"/>
      <c r="J1063" s="54"/>
      <c r="K1063" s="46" t="str">
        <f>IFERROR(__xludf.DUMMYFUNCTION("""COMPUTED_VALUE""")," ")</f>
        <v> </v>
      </c>
      <c r="L1063" s="10"/>
      <c r="M1063" s="20"/>
      <c r="N1063" s="20"/>
      <c r="O1063" s="20"/>
      <c r="P1063" s="20"/>
    </row>
    <row r="1064">
      <c r="A1064" s="21">
        <f>IFERROR(__xludf.DUMMYFUNCTION("""COMPUTED_VALUE"""),46206.0)</f>
        <v>46206</v>
      </c>
      <c r="B1064" s="21" t="str">
        <f>IFERROR(__xludf.DUMMYFUNCTION("""COMPUTED_VALUE"""),"2607D023")</f>
        <v>2607D023</v>
      </c>
      <c r="C1064" s="23" t="str">
        <f>IFERROR(__xludf.DUMMYFUNCTION("""COMPUTED_VALUE"""),"Putri Sinaga")</f>
        <v>Putri Sinaga</v>
      </c>
      <c r="D1064" s="24" t="str">
        <f>IFERROR(__xludf.DUMMYFUNCTION("""COMPUTED_VALUE"""),"081319102213")</f>
        <v>081319102213</v>
      </c>
      <c r="E1064" s="14" t="str">
        <f>IFERROR(__xludf.DUMMYFUNCTION("""COMPUTED_VALUE"""),"Website")</f>
        <v>Website</v>
      </c>
      <c r="F1064" s="14" t="str">
        <f>IFERROR(__xludf.DUMMYFUNCTION("""COMPUTED_VALUE"""),"Leads Baru")</f>
        <v>Leads Baru</v>
      </c>
      <c r="G1064" s="14" t="str">
        <f>IFERROR(__xludf.DUMMYFUNCTION("""COMPUTED_VALUE"""),"2H1M opsi B")</f>
        <v>2H1M opsi B</v>
      </c>
      <c r="H1064" s="26"/>
      <c r="I1064" s="27"/>
      <c r="J1064" s="33"/>
      <c r="K1064" s="30" t="str">
        <f>IFERROR(__xludf.DUMMYFUNCTION("""COMPUTED_VALUE"""),"FU 8 Juli")</f>
        <v>FU 8 Juli</v>
      </c>
      <c r="L1064" s="23"/>
      <c r="M1064" s="20"/>
      <c r="N1064" s="20"/>
      <c r="O1064" s="20"/>
      <c r="P1064" s="20"/>
    </row>
    <row r="1065">
      <c r="A1065" s="11">
        <f>IFERROR(__xludf.DUMMYFUNCTION("""COMPUTED_VALUE"""),46207.0)</f>
        <v>46207</v>
      </c>
      <c r="B1065" s="11" t="str">
        <f>IFERROR(__xludf.DUMMYFUNCTION("""COMPUTED_VALUE"""),"2607D024")</f>
        <v>2607D024</v>
      </c>
      <c r="C1065" s="10" t="str">
        <f>IFERROR(__xludf.DUMMYFUNCTION("""COMPUTED_VALUE"""),"Andi")</f>
        <v>Andi</v>
      </c>
      <c r="D1065" s="13" t="str">
        <f>IFERROR(__xludf.DUMMYFUNCTION("""COMPUTED_VALUE"""),"081994931195")</f>
        <v>081994931195</v>
      </c>
      <c r="E1065" s="14" t="str">
        <f>IFERROR(__xludf.DUMMYFUNCTION("""COMPUTED_VALUE"""),"Website")</f>
        <v>Website</v>
      </c>
      <c r="F1065" s="14" t="str">
        <f>IFERROR(__xludf.DUMMYFUNCTION("""COMPUTED_VALUE"""),"Gagal")</f>
        <v>Gagal</v>
      </c>
      <c r="G1065" s="14" t="str">
        <f>IFERROR(__xludf.DUMMYFUNCTION("""COMPUTED_VALUE"""),"4H3M")</f>
        <v>4H3M</v>
      </c>
      <c r="H1065" s="16">
        <f>IFERROR(__xludf.DUMMYFUNCTION("""COMPUTED_VALUE"""),46214.0)</f>
        <v>46214</v>
      </c>
      <c r="I1065" s="17">
        <f>IFERROR(__xludf.DUMMYFUNCTION("""COMPUTED_VALUE"""),30.0)</f>
        <v>30</v>
      </c>
      <c r="J1065" s="54"/>
      <c r="K1065" s="46" t="str">
        <f>IFERROR(__xludf.DUMMYFUNCTION("""COMPUTED_VALUE"""),"tdk ada kelanjutan")</f>
        <v>tdk ada kelanjutan</v>
      </c>
      <c r="L1065" s="10"/>
      <c r="M1065" s="20"/>
      <c r="N1065" s="20"/>
      <c r="O1065" s="20"/>
      <c r="P1065" s="20"/>
    </row>
    <row r="1066">
      <c r="A1066" s="21">
        <f>IFERROR(__xludf.DUMMYFUNCTION("""COMPUTED_VALUE"""),46206.0)</f>
        <v>46206</v>
      </c>
      <c r="B1066" s="21" t="str">
        <f>IFERROR(__xludf.DUMMYFUNCTION("""COMPUTED_VALUE"""),"2607D025")</f>
        <v>2607D025</v>
      </c>
      <c r="C1066" s="23" t="str">
        <f>IFERROR(__xludf.DUMMYFUNCTION("""COMPUTED_VALUE"""),"No Name Ijen")</f>
        <v>No Name Ijen</v>
      </c>
      <c r="D1066" s="24" t="str">
        <f>IFERROR(__xludf.DUMMYFUNCTION("""COMPUTED_VALUE"""),"08121028921")</f>
        <v>08121028921</v>
      </c>
      <c r="E1066" s="14" t="str">
        <f>IFERROR(__xludf.DUMMYFUNCTION("""COMPUTED_VALUE"""),"Instagram")</f>
        <v>Instagram</v>
      </c>
      <c r="F1066" s="14" t="str">
        <f>IFERROR(__xludf.DUMMYFUNCTION("""COMPUTED_VALUE"""),"Gagal")</f>
        <v>Gagal</v>
      </c>
      <c r="G1066" s="14" t="str">
        <f>IFERROR(__xludf.DUMMYFUNCTION("""COMPUTED_VALUE"""),"trip Ijen")</f>
        <v>trip Ijen</v>
      </c>
      <c r="H1066" s="26"/>
      <c r="I1066" s="27"/>
      <c r="J1066" s="33"/>
      <c r="K1066" s="30" t="str">
        <f>IFERROR(__xludf.DUMMYFUNCTION("""COMPUTED_VALUE"""),"FU 8 Juli")</f>
        <v>FU 8 Juli</v>
      </c>
      <c r="L1066" s="23"/>
      <c r="M1066" s="20"/>
      <c r="N1066" s="20"/>
      <c r="O1066" s="20"/>
      <c r="P1066" s="20"/>
    </row>
    <row r="1067">
      <c r="A1067" s="11">
        <f>IFERROR(__xludf.DUMMYFUNCTION("""COMPUTED_VALUE"""),46206.0)</f>
        <v>46206</v>
      </c>
      <c r="B1067" s="11" t="str">
        <f>IFERROR(__xludf.DUMMYFUNCTION("""COMPUTED_VALUE"""),"2607D026")</f>
        <v>2607D026</v>
      </c>
      <c r="C1067" s="10" t="str">
        <f>IFERROR(__xludf.DUMMYFUNCTION("""COMPUTED_VALUE"""),"No Name Bunga")</f>
        <v>No Name Bunga</v>
      </c>
      <c r="D1067" s="13" t="str">
        <f>IFERROR(__xludf.DUMMYFUNCTION("""COMPUTED_VALUE"""),"081280268827")</f>
        <v>081280268827</v>
      </c>
      <c r="E1067" s="14" t="str">
        <f>IFERROR(__xludf.DUMMYFUNCTION("""COMPUTED_VALUE"""),"Website")</f>
        <v>Website</v>
      </c>
      <c r="F1067" s="14" t="str">
        <f>IFERROR(__xludf.DUMMYFUNCTION("""COMPUTED_VALUE"""),"Leads Baru")</f>
        <v>Leads Baru</v>
      </c>
      <c r="G1067" s="14" t="str">
        <f>IFERROR(__xludf.DUMMYFUNCTION("""COMPUTED_VALUE"""),"2H1M Opsi A")</f>
        <v>2H1M Opsi A</v>
      </c>
      <c r="H1067" s="16">
        <f>IFERROR(__xludf.DUMMYFUNCTION("""COMPUTED_VALUE"""),46277.0)</f>
        <v>46277</v>
      </c>
      <c r="I1067" s="17">
        <f>IFERROR(__xludf.DUMMYFUNCTION("""COMPUTED_VALUE"""),4.0)</f>
        <v>4</v>
      </c>
      <c r="J1067" s="54"/>
      <c r="K1067" s="46" t="str">
        <f>IFERROR(__xludf.DUMMYFUNCTION("""COMPUTED_VALUE"""),"FU 30 agustus")</f>
        <v>FU 30 agustus</v>
      </c>
      <c r="L1067" s="10"/>
      <c r="M1067" s="20"/>
      <c r="N1067" s="20"/>
      <c r="O1067" s="20"/>
      <c r="P1067" s="20"/>
    </row>
    <row r="1068">
      <c r="A1068" s="21">
        <f>IFERROR(__xludf.DUMMYFUNCTION("""COMPUTED_VALUE"""),46206.0)</f>
        <v>46206</v>
      </c>
      <c r="B1068" s="21" t="str">
        <f>IFERROR(__xludf.DUMMYFUNCTION("""COMPUTED_VALUE"""),"2607D027")</f>
        <v>2607D027</v>
      </c>
      <c r="C1068" s="23" t="str">
        <f>IFERROR(__xludf.DUMMYFUNCTION("""COMPUTED_VALUE"""),"Sophia Menny Arthami")</f>
        <v>Sophia Menny Arthami</v>
      </c>
      <c r="D1068" s="24" t="str">
        <f>IFERROR(__xludf.DUMMYFUNCTION("""COMPUTED_VALUE"""),"085739024153")</f>
        <v>085739024153</v>
      </c>
      <c r="E1068" s="14" t="str">
        <f>IFERROR(__xludf.DUMMYFUNCTION("""COMPUTED_VALUE"""),"Instagram")</f>
        <v>Instagram</v>
      </c>
      <c r="F1068" s="14" t="str">
        <f>IFERROR(__xludf.DUMMYFUNCTION("""COMPUTED_VALUE"""),"Leads Baru")</f>
        <v>Leads Baru</v>
      </c>
      <c r="G1068" s="14" t="str">
        <f>IFERROR(__xludf.DUMMYFUNCTION("""COMPUTED_VALUE"""),"trip Djabal")</f>
        <v>trip Djabal</v>
      </c>
      <c r="H1068" s="26">
        <f>IFERROR(__xludf.DUMMYFUNCTION("""COMPUTED_VALUE"""),46255.0)</f>
        <v>46255</v>
      </c>
      <c r="I1068" s="27">
        <f>IFERROR(__xludf.DUMMYFUNCTION("""COMPUTED_VALUE"""),3.0)</f>
        <v>3</v>
      </c>
      <c r="J1068" s="33"/>
      <c r="K1068" s="30" t="str">
        <f>IFERROR(__xludf.DUMMYFUNCTION("""COMPUTED_VALUE"""),"FU 5 Agustus")</f>
        <v>FU 5 Agustus</v>
      </c>
      <c r="L1068" s="23"/>
      <c r="M1068" s="20"/>
      <c r="N1068" s="20"/>
      <c r="O1068" s="20"/>
      <c r="P1068" s="20"/>
    </row>
    <row r="1069">
      <c r="A1069" s="11">
        <f>IFERROR(__xludf.DUMMYFUNCTION("""COMPUTED_VALUE"""),46207.0)</f>
        <v>46207</v>
      </c>
      <c r="B1069" s="11" t="str">
        <f>IFERROR(__xludf.DUMMYFUNCTION("""COMPUTED_VALUE"""),"2607D028")</f>
        <v>2607D028</v>
      </c>
      <c r="C1069" s="10" t="str">
        <f>IFERROR(__xludf.DUMMYFUNCTION("""COMPUTED_VALUE"""),"Matayya ")</f>
        <v>Matayya </v>
      </c>
      <c r="D1069" s="13" t="str">
        <f>IFERROR(__xludf.DUMMYFUNCTION("""COMPUTED_VALUE"""),"082211307435")</f>
        <v>082211307435</v>
      </c>
      <c r="E1069" s="14" t="str">
        <f>IFERROR(__xludf.DUMMYFUNCTION("""COMPUTED_VALUE"""),"Website")</f>
        <v>Website</v>
      </c>
      <c r="F1069" s="14" t="str">
        <f>IFERROR(__xludf.DUMMYFUNCTION("""COMPUTED_VALUE"""),"Leads Baru")</f>
        <v>Leads Baru</v>
      </c>
      <c r="G1069" s="14" t="str">
        <f>IFERROR(__xludf.DUMMYFUNCTION("""COMPUTED_VALUE"""),"trip kawah wurung")</f>
        <v>trip kawah wurung</v>
      </c>
      <c r="H1069" s="16"/>
      <c r="I1069" s="17"/>
      <c r="J1069" s="54"/>
      <c r="K1069" s="46" t="str">
        <f>IFERROR(__xludf.DUMMYFUNCTION("""COMPUTED_VALUE"""),"masih tanya")</f>
        <v>masih tanya</v>
      </c>
      <c r="L1069" s="10"/>
      <c r="M1069" s="20"/>
      <c r="N1069" s="20"/>
      <c r="O1069" s="20"/>
      <c r="P1069" s="20"/>
    </row>
    <row r="1070">
      <c r="A1070" s="21">
        <f>IFERROR(__xludf.DUMMYFUNCTION("""COMPUTED_VALUE"""),46207.0)</f>
        <v>46207</v>
      </c>
      <c r="B1070" s="21" t="str">
        <f>IFERROR(__xludf.DUMMYFUNCTION("""COMPUTED_VALUE"""),"2607D029")</f>
        <v>2607D029</v>
      </c>
      <c r="C1070" s="23" t="str">
        <f>IFERROR(__xludf.DUMMYFUNCTION("""COMPUTED_VALUE"""),"Ihsan")</f>
        <v>Ihsan</v>
      </c>
      <c r="D1070" s="24" t="str">
        <f>IFERROR(__xludf.DUMMYFUNCTION("""COMPUTED_VALUE"""),"081292700079")</f>
        <v>081292700079</v>
      </c>
      <c r="E1070" s="14" t="str">
        <f>IFERROR(__xludf.DUMMYFUNCTION("""COMPUTED_VALUE"""),"Lainnya")</f>
        <v>Lainnya</v>
      </c>
      <c r="F1070" s="14" t="str">
        <f>IFERROR(__xludf.DUMMYFUNCTION("""COMPUTED_VALUE"""),"Closing")</f>
        <v>Closing</v>
      </c>
      <c r="G1070" s="14" t="str">
        <f>IFERROR(__xludf.DUMMYFUNCTION("""COMPUTED_VALUE"""),"2H1M custome")</f>
        <v>2H1M custome</v>
      </c>
      <c r="H1070" s="26">
        <f>IFERROR(__xludf.DUMMYFUNCTION("""COMPUTED_VALUE"""),46208.0)</f>
        <v>46208</v>
      </c>
      <c r="I1070" s="27">
        <f>IFERROR(__xludf.DUMMYFUNCTION("""COMPUTED_VALUE"""),4.0)</f>
        <v>4</v>
      </c>
      <c r="J1070" s="33">
        <f>IFERROR(__xludf.DUMMYFUNCTION("""COMPUTED_VALUE"""),4200000.0)</f>
        <v>4200000</v>
      </c>
      <c r="K1070" s="30" t="str">
        <f>IFERROR(__xludf.DUMMYFUNCTION("""COMPUTED_VALUE"""),"alhamdulillah orrderr")</f>
        <v>alhamdulillah orrderr</v>
      </c>
      <c r="L1070" s="23"/>
      <c r="M1070" s="20"/>
      <c r="N1070" s="20"/>
      <c r="O1070" s="20"/>
      <c r="P1070" s="20"/>
    </row>
    <row r="1071">
      <c r="A1071" s="11">
        <f>IFERROR(__xludf.DUMMYFUNCTION("""COMPUTED_VALUE"""),46207.0)</f>
        <v>46207</v>
      </c>
      <c r="B1071" s="11" t="str">
        <f>IFERROR(__xludf.DUMMYFUNCTION("""COMPUTED_VALUE"""),"2607D030")</f>
        <v>2607D030</v>
      </c>
      <c r="C1071" s="10" t="str">
        <f>IFERROR(__xludf.DUMMYFUNCTION("""COMPUTED_VALUE"""),"Anandita")</f>
        <v>Anandita</v>
      </c>
      <c r="D1071" s="13" t="str">
        <f>IFERROR(__xludf.DUMMYFUNCTION("""COMPUTED_VALUE"""),"08211039227")</f>
        <v>08211039227</v>
      </c>
      <c r="E1071" s="14" t="str">
        <f>IFERROR(__xludf.DUMMYFUNCTION("""COMPUTED_VALUE"""),"Website")</f>
        <v>Website</v>
      </c>
      <c r="F1071" s="14" t="str">
        <f>IFERROR(__xludf.DUMMYFUNCTION("""COMPUTED_VALUE"""),"Leads Baru")</f>
        <v>Leads Baru</v>
      </c>
      <c r="G1071" s="14"/>
      <c r="H1071" s="16"/>
      <c r="I1071" s="17"/>
      <c r="J1071" s="54"/>
      <c r="K1071" s="46"/>
      <c r="L1071" s="10"/>
      <c r="M1071" s="20"/>
      <c r="N1071" s="20"/>
      <c r="O1071" s="20"/>
      <c r="P1071" s="20"/>
    </row>
    <row r="1072">
      <c r="A1072" s="21">
        <f>IFERROR(__xludf.DUMMYFUNCTION("""COMPUTED_VALUE"""),46207.0)</f>
        <v>46207</v>
      </c>
      <c r="B1072" s="21" t="str">
        <f>IFERROR(__xludf.DUMMYFUNCTION("""COMPUTED_VALUE"""),"2607D031")</f>
        <v>2607D031</v>
      </c>
      <c r="C1072" s="23" t="str">
        <f>IFERROR(__xludf.DUMMYFUNCTION("""COMPUTED_VALUE"""),"Fio")</f>
        <v>Fio</v>
      </c>
      <c r="D1072" s="24" t="str">
        <f>IFERROR(__xludf.DUMMYFUNCTION("""COMPUTED_VALUE"""),"081233853482")</f>
        <v>081233853482</v>
      </c>
      <c r="E1072" s="14" t="str">
        <f>IFERROR(__xludf.DUMMYFUNCTION("""COMPUTED_VALUE"""),"Website")</f>
        <v>Website</v>
      </c>
      <c r="F1072" s="14" t="str">
        <f>IFERROR(__xludf.DUMMYFUNCTION("""COMPUTED_VALUE"""),"Leads Baru")</f>
        <v>Leads Baru</v>
      </c>
      <c r="G1072" s="14" t="str">
        <f>IFERROR(__xludf.DUMMYFUNCTION("""COMPUTED_VALUE"""),"OT kawah ijen, MT")</f>
        <v>OT kawah ijen, MT</v>
      </c>
      <c r="H1072" s="26"/>
      <c r="I1072" s="27"/>
      <c r="J1072" s="33"/>
      <c r="K1072" s="30" t="str">
        <f>IFERROR(__xludf.DUMMYFUNCTION("""COMPUTED_VALUE"""),"masih tanya, B2B")</f>
        <v>masih tanya, B2B</v>
      </c>
      <c r="L1072" s="23"/>
      <c r="M1072" s="20"/>
      <c r="N1072" s="20"/>
      <c r="O1072" s="20"/>
      <c r="P1072" s="20"/>
    </row>
    <row r="1073">
      <c r="A1073" s="11">
        <f>IFERROR(__xludf.DUMMYFUNCTION("""COMPUTED_VALUE"""),46207.0)</f>
        <v>46207</v>
      </c>
      <c r="B1073" s="11" t="str">
        <f>IFERROR(__xludf.DUMMYFUNCTION("""COMPUTED_VALUE"""),"2607D032")</f>
        <v>2607D032</v>
      </c>
      <c r="C1073" s="10" t="str">
        <f>IFERROR(__xludf.DUMMYFUNCTION("""COMPUTED_VALUE"""),"Princessa Chen")</f>
        <v>Princessa Chen</v>
      </c>
      <c r="D1073" s="13" t="str">
        <f>IFERROR(__xludf.DUMMYFUNCTION("""COMPUTED_VALUE"""),"081617796318")</f>
        <v>081617796318</v>
      </c>
      <c r="E1073" s="14" t="str">
        <f>IFERROR(__xludf.DUMMYFUNCTION("""COMPUTED_VALUE"""),"Instagram")</f>
        <v>Instagram</v>
      </c>
      <c r="F1073" s="14" t="str">
        <f>IFERROR(__xludf.DUMMYFUNCTION("""COMPUTED_VALUE"""),"Leads Baru")</f>
        <v>Leads Baru</v>
      </c>
      <c r="G1073" s="14" t="str">
        <f>IFERROR(__xludf.DUMMYFUNCTION("""COMPUTED_VALUE"""),"OT 3H2M ")</f>
        <v>OT 3H2M </v>
      </c>
      <c r="H1073" s="16"/>
      <c r="I1073" s="17"/>
      <c r="J1073" s="54"/>
      <c r="K1073" s="46" t="str">
        <f>IFERROR(__xludf.DUMMYFUNCTION("""COMPUTED_VALUE"""),"tanya turun terminal dimana, FU 8 Juli")</f>
        <v>tanya turun terminal dimana, FU 8 Juli</v>
      </c>
      <c r="L1073" s="10"/>
      <c r="M1073" s="20"/>
      <c r="N1073" s="20"/>
      <c r="O1073" s="20"/>
      <c r="P1073" s="20"/>
    </row>
    <row r="1074">
      <c r="A1074" s="21">
        <f>IFERROR(__xludf.DUMMYFUNCTION("""COMPUTED_VALUE"""),46207.0)</f>
        <v>46207</v>
      </c>
      <c r="B1074" s="21" t="str">
        <f>IFERROR(__xludf.DUMMYFUNCTION("""COMPUTED_VALUE"""),"2607D033")</f>
        <v>2607D033</v>
      </c>
      <c r="C1074" s="23" t="str">
        <f>IFERROR(__xludf.DUMMYFUNCTION("""COMPUTED_VALUE"""),"Husnan Yusuf")</f>
        <v>Husnan Yusuf</v>
      </c>
      <c r="D1074" s="24" t="str">
        <f>IFERROR(__xludf.DUMMYFUNCTION("""COMPUTED_VALUE"""),"085747438654")</f>
        <v>085747438654</v>
      </c>
      <c r="E1074" s="14" t="str">
        <f>IFERROR(__xludf.DUMMYFUNCTION("""COMPUTED_VALUE"""),"Instagram")</f>
        <v>Instagram</v>
      </c>
      <c r="F1074" s="14" t="str">
        <f>IFERROR(__xludf.DUMMYFUNCTION("""COMPUTED_VALUE"""),"Leads Baru")</f>
        <v>Leads Baru</v>
      </c>
      <c r="G1074" s="14" t="str">
        <f>IFERROR(__xludf.DUMMYFUNCTION("""COMPUTED_VALUE"""),"3H2M opsi A")</f>
        <v>3H2M opsi A</v>
      </c>
      <c r="H1074" s="26"/>
      <c r="I1074" s="27"/>
      <c r="J1074" s="33"/>
      <c r="K1074" s="30" t="str">
        <f>IFERROR(__xludf.DUMMYFUNCTION("""COMPUTED_VALUE"""),"FU 9Juli")</f>
        <v>FU 9Juli</v>
      </c>
      <c r="L1074" s="23"/>
      <c r="M1074" s="20"/>
      <c r="N1074" s="20"/>
      <c r="O1074" s="20"/>
      <c r="P1074" s="20"/>
    </row>
    <row r="1075">
      <c r="A1075" s="11">
        <f>IFERROR(__xludf.DUMMYFUNCTION("""COMPUTED_VALUE"""),46207.0)</f>
        <v>46207</v>
      </c>
      <c r="B1075" s="11" t="str">
        <f>IFERROR(__xludf.DUMMYFUNCTION("""COMPUTED_VALUE"""),"2607D034")</f>
        <v>2607D034</v>
      </c>
      <c r="C1075" s="10" t="str">
        <f>IFERROR(__xludf.DUMMYFUNCTION("""COMPUTED_VALUE"""),"Risya")</f>
        <v>Risya</v>
      </c>
      <c r="D1075" s="13" t="str">
        <f>IFERROR(__xludf.DUMMYFUNCTION("""COMPUTED_VALUE"""),"081292980140")</f>
        <v>081292980140</v>
      </c>
      <c r="E1075" s="14" t="str">
        <f>IFERROR(__xludf.DUMMYFUNCTION("""COMPUTED_VALUE"""),"Instagram")</f>
        <v>Instagram</v>
      </c>
      <c r="F1075" s="14" t="str">
        <f>IFERROR(__xludf.DUMMYFUNCTION("""COMPUTED_VALUE"""),"Leads Baru")</f>
        <v>Leads Baru</v>
      </c>
      <c r="G1075" s="14" t="str">
        <f>IFERROR(__xludf.DUMMYFUNCTION("""COMPUTED_VALUE"""),"OT Djabal")</f>
        <v>OT Djabal</v>
      </c>
      <c r="H1075" s="16"/>
      <c r="I1075" s="17"/>
      <c r="J1075" s="54"/>
      <c r="K1075" s="46" t="str">
        <f>IFERROR(__xludf.DUMMYFUNCTION("""COMPUTED_VALUE"""),"baru menyapa, FU 9 juli")</f>
        <v>baru menyapa, FU 9 juli</v>
      </c>
      <c r="L1075" s="10"/>
      <c r="M1075" s="20"/>
      <c r="N1075" s="20"/>
      <c r="O1075" s="20"/>
      <c r="P1075" s="20"/>
    </row>
    <row r="1076">
      <c r="A1076" s="21">
        <f>IFERROR(__xludf.DUMMYFUNCTION("""COMPUTED_VALUE"""),46207.0)</f>
        <v>46207</v>
      </c>
      <c r="B1076" s="21" t="str">
        <f>IFERROR(__xludf.DUMMYFUNCTION("""COMPUTED_VALUE"""),"2607D035")</f>
        <v>2607D035</v>
      </c>
      <c r="C1076" s="23" t="str">
        <f>IFERROR(__xludf.DUMMYFUNCTION("""COMPUTED_VALUE"""),"Saffa ")</f>
        <v>Saffa </v>
      </c>
      <c r="D1076" s="24" t="str">
        <f>IFERROR(__xludf.DUMMYFUNCTION("""COMPUTED_VALUE"""),"0895634515300")</f>
        <v>0895634515300</v>
      </c>
      <c r="E1076" s="14" t="str">
        <f>IFERROR(__xludf.DUMMYFUNCTION("""COMPUTED_VALUE"""),"Instagram")</f>
        <v>Instagram</v>
      </c>
      <c r="F1076" s="14" t="str">
        <f>IFERROR(__xludf.DUMMYFUNCTION("""COMPUTED_VALUE"""),"Leads Baru")</f>
        <v>Leads Baru</v>
      </c>
      <c r="G1076" s="14" t="str">
        <f>IFERROR(__xludf.DUMMYFUNCTION("""COMPUTED_VALUE"""),"3h2m opsi A")</f>
        <v>3h2m opsi A</v>
      </c>
      <c r="H1076" s="26"/>
      <c r="I1076" s="27">
        <f>IFERROR(__xludf.DUMMYFUNCTION("""COMPUTED_VALUE"""),5.0)</f>
        <v>5</v>
      </c>
      <c r="J1076" s="33"/>
      <c r="K1076" s="30" t="str">
        <f>IFERROR(__xludf.DUMMYFUNCTION("""COMPUTED_VALUE"""),"FU 8 Juli")</f>
        <v>FU 8 Juli</v>
      </c>
      <c r="L1076" s="23"/>
      <c r="M1076" s="20"/>
      <c r="N1076" s="20"/>
      <c r="O1076" s="20"/>
      <c r="P1076" s="20"/>
    </row>
    <row r="1077">
      <c r="A1077" s="11">
        <f>IFERROR(__xludf.DUMMYFUNCTION("""COMPUTED_VALUE"""),46207.0)</f>
        <v>46207</v>
      </c>
      <c r="B1077" s="11" t="str">
        <f>IFERROR(__xludf.DUMMYFUNCTION("""COMPUTED_VALUE"""),"2607D036")</f>
        <v>2607D036</v>
      </c>
      <c r="C1077" s="10" t="str">
        <f>IFERROR(__xludf.DUMMYFUNCTION("""COMPUTED_VALUE"""),"Sindoro medika")</f>
        <v>Sindoro medika</v>
      </c>
      <c r="D1077" s="13" t="str">
        <f>IFERROR(__xludf.DUMMYFUNCTION("""COMPUTED_VALUE"""),"081226873998")</f>
        <v>081226873998</v>
      </c>
      <c r="E1077" s="14" t="str">
        <f>IFERROR(__xludf.DUMMYFUNCTION("""COMPUTED_VALUE"""),"Website")</f>
        <v>Website</v>
      </c>
      <c r="F1077" s="14" t="str">
        <f>IFERROR(__xludf.DUMMYFUNCTION("""COMPUTED_VALUE"""),"Leads Baru")</f>
        <v>Leads Baru</v>
      </c>
      <c r="G1077" s="14" t="str">
        <f>IFERROR(__xludf.DUMMYFUNCTION("""COMPUTED_VALUE"""),"paket diving")</f>
        <v>paket diving</v>
      </c>
      <c r="H1077" s="16"/>
      <c r="I1077" s="17"/>
      <c r="J1077" s="54"/>
      <c r="K1077" s="46"/>
      <c r="L1077" s="10"/>
      <c r="M1077" s="20"/>
      <c r="N1077" s="20"/>
      <c r="O1077" s="20"/>
      <c r="P1077" s="20"/>
    </row>
    <row r="1078">
      <c r="A1078" s="21">
        <f>IFERROR(__xludf.DUMMYFUNCTION("""COMPUTED_VALUE"""),46208.0)</f>
        <v>46208</v>
      </c>
      <c r="B1078" s="21" t="str">
        <f>IFERROR(__xludf.DUMMYFUNCTION("""COMPUTED_VALUE"""),"2607D037")</f>
        <v>2607D037</v>
      </c>
      <c r="C1078" s="23" t="str">
        <f>IFERROR(__xludf.DUMMYFUNCTION("""COMPUTED_VALUE"""),"Yuni Amaya Salon")</f>
        <v>Yuni Amaya Salon</v>
      </c>
      <c r="D1078" s="24" t="str">
        <f>IFERROR(__xludf.DUMMYFUNCTION("""COMPUTED_VALUE"""),"085147632080")</f>
        <v>085147632080</v>
      </c>
      <c r="E1078" s="14" t="str">
        <f>IFERROR(__xludf.DUMMYFUNCTION("""COMPUTED_VALUE"""),"Website")</f>
        <v>Website</v>
      </c>
      <c r="F1078" s="14" t="str">
        <f>IFERROR(__xludf.DUMMYFUNCTION("""COMPUTED_VALUE"""),"Leads Baru")</f>
        <v>Leads Baru</v>
      </c>
      <c r="G1078" s="14" t="str">
        <f>IFERROR(__xludf.DUMMYFUNCTION("""COMPUTED_VALUE"""),"3H2M opsi A")</f>
        <v>3H2M opsi A</v>
      </c>
      <c r="H1078" s="26">
        <f>IFERROR(__xludf.DUMMYFUNCTION("""COMPUTED_VALUE"""),46236.0)</f>
        <v>46236</v>
      </c>
      <c r="I1078" s="27"/>
      <c r="J1078" s="33"/>
      <c r="K1078" s="30" t="str">
        <f>IFERROR(__xludf.DUMMYFUNCTION("""COMPUTED_VALUE"""),"FU 31 Juli")</f>
        <v>FU 31 Juli</v>
      </c>
      <c r="L1078" s="23"/>
      <c r="M1078" s="20"/>
      <c r="N1078" s="20"/>
      <c r="O1078" s="20"/>
      <c r="P1078" s="20"/>
    </row>
    <row r="1079">
      <c r="A1079" s="11">
        <f>IFERROR(__xludf.DUMMYFUNCTION("""COMPUTED_VALUE"""),46210.0)</f>
        <v>46210</v>
      </c>
      <c r="B1079" s="11" t="str">
        <f>IFERROR(__xludf.DUMMYFUNCTION("""COMPUTED_VALUE"""),"2607D038")</f>
        <v>2607D038</v>
      </c>
      <c r="C1079" s="10" t="str">
        <f>IFERROR(__xludf.DUMMYFUNCTION("""COMPUTED_VALUE"""),"Lili Sesilia")</f>
        <v>Lili Sesilia</v>
      </c>
      <c r="D1079" s="13" t="str">
        <f>IFERROR(__xludf.DUMMYFUNCTION("""COMPUTED_VALUE"""),"085785286939")</f>
        <v>085785286939</v>
      </c>
      <c r="E1079" s="14" t="str">
        <f>IFERROR(__xludf.DUMMYFUNCTION("""COMPUTED_VALUE"""),"Website")</f>
        <v>Website</v>
      </c>
      <c r="F1079" s="14" t="str">
        <f>IFERROR(__xludf.DUMMYFUNCTION("""COMPUTED_VALUE"""),"Gagal")</f>
        <v>Gagal</v>
      </c>
      <c r="G1079" s="14" t="str">
        <f>IFERROR(__xludf.DUMMYFUNCTION("""COMPUTED_VALUE"""),"trip GI, Bedil")</f>
        <v>trip GI, Bedil</v>
      </c>
      <c r="H1079" s="16">
        <f>IFERROR(__xludf.DUMMYFUNCTION("""COMPUTED_VALUE"""),46249.0)</f>
        <v>46249</v>
      </c>
      <c r="I1079" s="17">
        <f>IFERROR(__xludf.DUMMYFUNCTION("""COMPUTED_VALUE"""),22.0)</f>
        <v>22</v>
      </c>
      <c r="J1079" s="54"/>
      <c r="K1079" s="46" t="str">
        <f>IFERROR(__xludf.DUMMYFUNCTION("""COMPUTED_VALUE"""),"cancelll")</f>
        <v>cancelll</v>
      </c>
      <c r="L1079" s="10"/>
      <c r="M1079" s="20"/>
      <c r="N1079" s="20"/>
      <c r="O1079" s="20"/>
      <c r="P1079" s="20"/>
    </row>
    <row r="1080">
      <c r="A1080" s="21">
        <f>IFERROR(__xludf.DUMMYFUNCTION("""COMPUTED_VALUE"""),46210.0)</f>
        <v>46210</v>
      </c>
      <c r="B1080" s="21" t="str">
        <f>IFERROR(__xludf.DUMMYFUNCTION("""COMPUTED_VALUE"""),"2607D039")</f>
        <v>2607D039</v>
      </c>
      <c r="C1080" s="23" t="str">
        <f>IFERROR(__xludf.DUMMYFUNCTION("""COMPUTED_VALUE"""),"Bela Febrya PCI")</f>
        <v>Bela Febrya PCI</v>
      </c>
      <c r="D1080" s="24" t="str">
        <f>IFERROR(__xludf.DUMMYFUNCTION("""COMPUTED_VALUE"""),"085692046269")</f>
        <v>085692046269</v>
      </c>
      <c r="E1080" s="14" t="str">
        <f>IFERROR(__xludf.DUMMYFUNCTION("""COMPUTED_VALUE"""),"Instagram")</f>
        <v>Instagram</v>
      </c>
      <c r="F1080" s="14" t="str">
        <f>IFERROR(__xludf.DUMMYFUNCTION("""COMPUTED_VALUE"""),"Prospek")</f>
        <v>Prospek</v>
      </c>
      <c r="G1080" s="14" t="str">
        <f>IFERROR(__xludf.DUMMYFUNCTION("""COMPUTED_VALUE"""),"3H2M opsi A")</f>
        <v>3H2M opsi A</v>
      </c>
      <c r="H1080" s="26"/>
      <c r="I1080" s="27">
        <f>IFERROR(__xludf.DUMMYFUNCTION("""COMPUTED_VALUE"""),126.0)</f>
        <v>126</v>
      </c>
      <c r="J1080" s="33"/>
      <c r="K1080" s="30" t="str">
        <f>IFERROR(__xludf.DUMMYFUNCTION("""COMPUTED_VALUE"""),"kirim penawaran, FU 30 Juli")</f>
        <v>kirim penawaran, FU 30 Juli</v>
      </c>
      <c r="L1080" s="23"/>
      <c r="M1080" s="20"/>
      <c r="N1080" s="20"/>
      <c r="O1080" s="20"/>
      <c r="P1080" s="20"/>
    </row>
    <row r="1081">
      <c r="A1081" s="11">
        <f>IFERROR(__xludf.DUMMYFUNCTION("""COMPUTED_VALUE"""),46209.0)</f>
        <v>46209</v>
      </c>
      <c r="B1081" s="11" t="str">
        <f>IFERROR(__xludf.DUMMYFUNCTION("""COMPUTED_VALUE"""),"2607D040")</f>
        <v>2607D040</v>
      </c>
      <c r="C1081" s="10" t="str">
        <f>IFERROR(__xludf.DUMMYFUNCTION("""COMPUTED_VALUE"""),"Mosaz")</f>
        <v>Mosaz</v>
      </c>
      <c r="D1081" s="13" t="str">
        <f>IFERROR(__xludf.DUMMYFUNCTION("""COMPUTED_VALUE"""),"08113147100")</f>
        <v>08113147100</v>
      </c>
      <c r="E1081" s="14" t="str">
        <f>IFERROR(__xludf.DUMMYFUNCTION("""COMPUTED_VALUE"""),"Website")</f>
        <v>Website</v>
      </c>
      <c r="F1081" s="14" t="str">
        <f>IFERROR(__xludf.DUMMYFUNCTION("""COMPUTED_VALUE"""),"Leads Baru")</f>
        <v>Leads Baru</v>
      </c>
      <c r="G1081" s="14" t="str">
        <f>IFERROR(__xludf.DUMMYFUNCTION("""COMPUTED_VALUE"""),"2H1M")</f>
        <v>2H1M</v>
      </c>
      <c r="H1081" s="16"/>
      <c r="I1081" s="17">
        <f>IFERROR(__xludf.DUMMYFUNCTION("""COMPUTED_VALUE"""),3.0)</f>
        <v>3</v>
      </c>
      <c r="J1081" s="54"/>
      <c r="K1081" s="46" t="str">
        <f>IFERROR(__xludf.DUMMYFUNCTION("""COMPUTED_VALUE"""),"FU 30 Juli")</f>
        <v>FU 30 Juli</v>
      </c>
      <c r="L1081" s="10"/>
      <c r="M1081" s="20"/>
      <c r="N1081" s="20"/>
      <c r="O1081" s="20"/>
      <c r="P1081" s="20"/>
    </row>
    <row r="1082">
      <c r="A1082" s="21">
        <f>IFERROR(__xludf.DUMMYFUNCTION("""COMPUTED_VALUE"""),46209.0)</f>
        <v>46209</v>
      </c>
      <c r="B1082" s="21" t="str">
        <f>IFERROR(__xludf.DUMMYFUNCTION("""COMPUTED_VALUE"""),"2607D041")</f>
        <v>2607D041</v>
      </c>
      <c r="C1082" s="23" t="str">
        <f>IFERROR(__xludf.DUMMYFUNCTION("""COMPUTED_VALUE"""),"Fara ")</f>
        <v>Fara </v>
      </c>
      <c r="D1082" s="24" t="str">
        <f>IFERROR(__xludf.DUMMYFUNCTION("""COMPUTED_VALUE"""),"085875129620")</f>
        <v>085875129620</v>
      </c>
      <c r="E1082" s="14" t="str">
        <f>IFERROR(__xludf.DUMMYFUNCTION("""COMPUTED_VALUE"""),"Website")</f>
        <v>Website</v>
      </c>
      <c r="F1082" s="14" t="str">
        <f>IFERROR(__xludf.DUMMYFUNCTION("""COMPUTED_VALUE"""),"Gagal")</f>
        <v>Gagal</v>
      </c>
      <c r="G1082" s="14"/>
      <c r="H1082" s="26"/>
      <c r="I1082" s="27">
        <f>IFERROR(__xludf.DUMMYFUNCTION("""COMPUTED_VALUE"""),4.0)</f>
        <v>4</v>
      </c>
      <c r="J1082" s="33"/>
      <c r="K1082" s="30" t="str">
        <f>IFERROR(__xludf.DUMMYFUNCTION("""COMPUTED_VALUE"""),"dadakan")</f>
        <v>dadakan</v>
      </c>
      <c r="L1082" s="23"/>
      <c r="M1082" s="20"/>
      <c r="N1082" s="20"/>
      <c r="O1082" s="20"/>
      <c r="P1082" s="20"/>
    </row>
    <row r="1083">
      <c r="A1083" s="11">
        <f>IFERROR(__xludf.DUMMYFUNCTION("""COMPUTED_VALUE"""),46210.0)</f>
        <v>46210</v>
      </c>
      <c r="B1083" s="11" t="str">
        <f>IFERROR(__xludf.DUMMYFUNCTION("""COMPUTED_VALUE"""),"2607D042")</f>
        <v>2607D042</v>
      </c>
      <c r="C1083" s="10" t="str">
        <f>IFERROR(__xludf.DUMMYFUNCTION("""COMPUTED_VALUE"""),"Quin")</f>
        <v>Quin</v>
      </c>
      <c r="D1083" s="13" t="str">
        <f>IFERROR(__xludf.DUMMYFUNCTION("""COMPUTED_VALUE"""),"081567666594")</f>
        <v>081567666594</v>
      </c>
      <c r="E1083" s="14" t="str">
        <f>IFERROR(__xludf.DUMMYFUNCTION("""COMPUTED_VALUE"""),"Instagram")</f>
        <v>Instagram</v>
      </c>
      <c r="F1083" s="14" t="str">
        <f>IFERROR(__xludf.DUMMYFUNCTION("""COMPUTED_VALUE"""),"Leads Baru")</f>
        <v>Leads Baru</v>
      </c>
      <c r="G1083" s="14" t="str">
        <f>IFERROR(__xludf.DUMMYFUNCTION("""COMPUTED_VALUE"""),"OT MT")</f>
        <v>OT MT</v>
      </c>
      <c r="H1083" s="16"/>
      <c r="I1083" s="17"/>
      <c r="J1083" s="54"/>
      <c r="K1083" s="46" t="str">
        <f>IFERROR(__xludf.DUMMYFUNCTION("""COMPUTED_VALUE"""),"fullbookedd")</f>
        <v>fullbookedd</v>
      </c>
      <c r="L1083" s="10"/>
      <c r="M1083" s="20"/>
      <c r="N1083" s="20"/>
      <c r="O1083" s="20"/>
      <c r="P1083" s="20"/>
    </row>
    <row r="1084">
      <c r="A1084" s="21">
        <f>IFERROR(__xludf.DUMMYFUNCTION("""COMPUTED_VALUE"""),46210.0)</f>
        <v>46210</v>
      </c>
      <c r="B1084" s="21" t="str">
        <f>IFERROR(__xludf.DUMMYFUNCTION("""COMPUTED_VALUE"""),"2607D043")</f>
        <v>2607D043</v>
      </c>
      <c r="C1084" s="23" t="str">
        <f>IFERROR(__xludf.DUMMYFUNCTION("""COMPUTED_VALUE"""),"Nur Elyawati")</f>
        <v>Nur Elyawati</v>
      </c>
      <c r="D1084" s="24" t="str">
        <f>IFERROR(__xludf.DUMMYFUNCTION("""COMPUTED_VALUE"""),"081273106999")</f>
        <v>081273106999</v>
      </c>
      <c r="E1084" s="14" t="str">
        <f>IFERROR(__xludf.DUMMYFUNCTION("""COMPUTED_VALUE"""),"Instagram")</f>
        <v>Instagram</v>
      </c>
      <c r="F1084" s="14" t="str">
        <f>IFERROR(__xludf.DUMMYFUNCTION("""COMPUTED_VALUE"""),"Gagal")</f>
        <v>Gagal</v>
      </c>
      <c r="G1084" s="14" t="str">
        <f>IFERROR(__xludf.DUMMYFUNCTION("""COMPUTED_VALUE"""),"trip Djabal")</f>
        <v>trip Djabal</v>
      </c>
      <c r="H1084" s="26">
        <f>IFERROR(__xludf.DUMMYFUNCTION("""COMPUTED_VALUE"""),46211.0)</f>
        <v>46211</v>
      </c>
      <c r="I1084" s="27">
        <f>IFERROR(__xludf.DUMMYFUNCTION("""COMPUTED_VALUE"""),4.0)</f>
        <v>4</v>
      </c>
      <c r="J1084" s="33"/>
      <c r="K1084" s="30"/>
      <c r="L1084" s="23"/>
      <c r="M1084" s="20"/>
      <c r="N1084" s="20"/>
      <c r="O1084" s="20"/>
      <c r="P1084" s="20"/>
    </row>
    <row r="1085">
      <c r="A1085" s="11">
        <f>IFERROR(__xludf.DUMMYFUNCTION("""COMPUTED_VALUE"""),46210.0)</f>
        <v>46210</v>
      </c>
      <c r="B1085" s="11" t="str">
        <f>IFERROR(__xludf.DUMMYFUNCTION("""COMPUTED_VALUE"""),"2607D044")</f>
        <v>2607D044</v>
      </c>
      <c r="C1085" s="10" t="str">
        <f>IFERROR(__xludf.DUMMYFUNCTION("""COMPUTED_VALUE"""),"Desy Veronika ")</f>
        <v>Desy Veronika </v>
      </c>
      <c r="D1085" s="13" t="str">
        <f>IFERROR(__xludf.DUMMYFUNCTION("""COMPUTED_VALUE"""),"085261453054")</f>
        <v>085261453054</v>
      </c>
      <c r="E1085" s="14" t="str">
        <f>IFERROR(__xludf.DUMMYFUNCTION("""COMPUTED_VALUE"""),"Website")</f>
        <v>Website</v>
      </c>
      <c r="F1085" s="14" t="str">
        <f>IFERROR(__xludf.DUMMYFUNCTION("""COMPUTED_VALUE"""),"Closing")</f>
        <v>Closing</v>
      </c>
      <c r="G1085" s="14" t="str">
        <f>IFERROR(__xludf.DUMMYFUNCTION("""COMPUTED_VALUE"""),"3H2M Opsi A")</f>
        <v>3H2M Opsi A</v>
      </c>
      <c r="H1085" s="16">
        <f>IFERROR(__xludf.DUMMYFUNCTION("""COMPUTED_VALUE"""),46248.0)</f>
        <v>46248</v>
      </c>
      <c r="I1085" s="17">
        <f>IFERROR(__xludf.DUMMYFUNCTION("""COMPUTED_VALUE"""),3.0)</f>
        <v>3</v>
      </c>
      <c r="J1085" s="54">
        <f>IFERROR(__xludf.DUMMYFUNCTION("""COMPUTED_VALUE"""),6402000.0)</f>
        <v>6402000</v>
      </c>
      <c r="K1085" s="46" t="str">
        <f>IFERROR(__xludf.DUMMYFUNCTION("""COMPUTED_VALUE"""),"orrderrr")</f>
        <v>orrderrr</v>
      </c>
      <c r="L1085" s="10"/>
      <c r="M1085" s="20"/>
      <c r="N1085" s="20"/>
      <c r="O1085" s="20"/>
      <c r="P1085" s="20"/>
    </row>
    <row r="1086">
      <c r="A1086" s="21">
        <f>IFERROR(__xludf.DUMMYFUNCTION("""COMPUTED_VALUE"""),46209.0)</f>
        <v>46209</v>
      </c>
      <c r="B1086" s="21" t="str">
        <f>IFERROR(__xludf.DUMMYFUNCTION("""COMPUTED_VALUE"""),"2607D045")</f>
        <v>2607D045</v>
      </c>
      <c r="C1086" s="23" t="str">
        <f>IFERROR(__xludf.DUMMYFUNCTION("""COMPUTED_VALUE"""),"Kat")</f>
        <v>Kat</v>
      </c>
      <c r="D1086" s="24" t="str">
        <f>IFERROR(__xludf.DUMMYFUNCTION("""COMPUTED_VALUE"""),"081290273672")</f>
        <v>081290273672</v>
      </c>
      <c r="E1086" s="14" t="str">
        <f>IFERROR(__xludf.DUMMYFUNCTION("""COMPUTED_VALUE"""),"Instagram")</f>
        <v>Instagram</v>
      </c>
      <c r="F1086" s="14" t="str">
        <f>IFERROR(__xludf.DUMMYFUNCTION("""COMPUTED_VALUE"""),"Leads Baru")</f>
        <v>Leads Baru</v>
      </c>
      <c r="G1086" s="14" t="str">
        <f>IFERROR(__xludf.DUMMYFUNCTION("""COMPUTED_VALUE"""),"OT MT")</f>
        <v>OT MT</v>
      </c>
      <c r="H1086" s="26"/>
      <c r="I1086" s="27">
        <f>IFERROR(__xludf.DUMMYFUNCTION("""COMPUTED_VALUE"""),4.0)</f>
        <v>4</v>
      </c>
      <c r="J1086" s="33"/>
      <c r="K1086" s="30" t="str">
        <f>IFERROR(__xludf.DUMMYFUNCTION("""COMPUTED_VALUE"""),"FU 3 Agustus")</f>
        <v>FU 3 Agustus</v>
      </c>
      <c r="L1086" s="23"/>
      <c r="M1086" s="20"/>
      <c r="N1086" s="20"/>
      <c r="O1086" s="20"/>
      <c r="P1086" s="20"/>
    </row>
    <row r="1087">
      <c r="A1087" s="11">
        <f>IFERROR(__xludf.DUMMYFUNCTION("""COMPUTED_VALUE"""),46211.0)</f>
        <v>46211</v>
      </c>
      <c r="B1087" s="11" t="str">
        <f>IFERROR(__xludf.DUMMYFUNCTION("""COMPUTED_VALUE"""),"2607D046")</f>
        <v>2607D046</v>
      </c>
      <c r="C1087" s="10" t="str">
        <f>IFERROR(__xludf.DUMMYFUNCTION("""COMPUTED_VALUE"""),"Kirana")</f>
        <v>Kirana</v>
      </c>
      <c r="D1087" s="13" t="str">
        <f>IFERROR(__xludf.DUMMYFUNCTION("""COMPUTED_VALUE"""),"081314510407")</f>
        <v>081314510407</v>
      </c>
      <c r="E1087" s="14" t="str">
        <f>IFERROR(__xludf.DUMMYFUNCTION("""COMPUTED_VALUE"""),"Instagram")</f>
        <v>Instagram</v>
      </c>
      <c r="F1087" s="14" t="str">
        <f>IFERROR(__xludf.DUMMYFUNCTION("""COMPUTED_VALUE"""),"Closing")</f>
        <v>Closing</v>
      </c>
      <c r="G1087" s="14" t="str">
        <f>IFERROR(__xludf.DUMMYFUNCTION("""COMPUTED_VALUE"""),"3h2m custome")</f>
        <v>3h2m custome</v>
      </c>
      <c r="H1087" s="16">
        <f>IFERROR(__xludf.DUMMYFUNCTION("""COMPUTED_VALUE"""),46222.0)</f>
        <v>46222</v>
      </c>
      <c r="I1087" s="17">
        <f>IFERROR(__xludf.DUMMYFUNCTION("""COMPUTED_VALUE"""),2.0)</f>
        <v>2</v>
      </c>
      <c r="J1087" s="54">
        <f>IFERROR(__xludf.DUMMYFUNCTION("""COMPUTED_VALUE"""),2200000.0)</f>
        <v>2200000</v>
      </c>
      <c r="K1087" s="46" t="str">
        <f>IFERROR(__xludf.DUMMYFUNCTION("""COMPUTED_VALUE"""),"orrderrr")</f>
        <v>orrderrr</v>
      </c>
      <c r="L1087" s="10"/>
      <c r="M1087" s="20"/>
      <c r="N1087" s="20"/>
      <c r="O1087" s="20"/>
      <c r="P1087" s="20"/>
    </row>
    <row r="1088">
      <c r="A1088" s="21">
        <f>IFERROR(__xludf.DUMMYFUNCTION("""COMPUTED_VALUE"""),46209.0)</f>
        <v>46209</v>
      </c>
      <c r="B1088" s="21" t="str">
        <f>IFERROR(__xludf.DUMMYFUNCTION("""COMPUTED_VALUE"""),"2607D047")</f>
        <v>2607D047</v>
      </c>
      <c r="C1088" s="23" t="str">
        <f>IFERROR(__xludf.DUMMYFUNCTION("""COMPUTED_VALUE"""),"Amara Maulidi")</f>
        <v>Amara Maulidi</v>
      </c>
      <c r="D1088" s="24" t="str">
        <f>IFERROR(__xludf.DUMMYFUNCTION("""COMPUTED_VALUE"""),"087787151281")</f>
        <v>087787151281</v>
      </c>
      <c r="E1088" s="14" t="str">
        <f>IFERROR(__xludf.DUMMYFUNCTION("""COMPUTED_VALUE"""),"Instagram")</f>
        <v>Instagram</v>
      </c>
      <c r="F1088" s="14" t="str">
        <f>IFERROR(__xludf.DUMMYFUNCTION("""COMPUTED_VALUE"""),"Gagal")</f>
        <v>Gagal</v>
      </c>
      <c r="G1088" s="14" t="str">
        <f>IFERROR(__xludf.DUMMYFUNCTION("""COMPUTED_VALUE"""),"3H2M ")</f>
        <v>3H2M </v>
      </c>
      <c r="H1088" s="26">
        <f>IFERROR(__xludf.DUMMYFUNCTION("""COMPUTED_VALUE"""),46222.0)</f>
        <v>46222</v>
      </c>
      <c r="I1088" s="27">
        <f>IFERROR(__xludf.DUMMYFUNCTION("""COMPUTED_VALUE"""),2.0)</f>
        <v>2</v>
      </c>
      <c r="J1088" s="33"/>
      <c r="K1088" s="30" t="str">
        <f>IFERROR(__xludf.DUMMYFUNCTION("""COMPUTED_VALUE"""),"FU terakhir")</f>
        <v>FU terakhir</v>
      </c>
      <c r="L1088" s="23"/>
      <c r="M1088" s="20"/>
      <c r="N1088" s="20"/>
      <c r="O1088" s="20"/>
      <c r="P1088" s="20"/>
    </row>
    <row r="1089">
      <c r="A1089" s="11">
        <f>IFERROR(__xludf.DUMMYFUNCTION("""COMPUTED_VALUE"""),46209.0)</f>
        <v>46209</v>
      </c>
      <c r="B1089" s="11" t="str">
        <f>IFERROR(__xludf.DUMMYFUNCTION("""COMPUTED_VALUE"""),"2607D048")</f>
        <v>2607D048</v>
      </c>
      <c r="C1089" s="10" t="str">
        <f>IFERROR(__xludf.DUMMYFUNCTION("""COMPUTED_VALUE"""),"Ry")</f>
        <v>Ry</v>
      </c>
      <c r="D1089" s="13" t="str">
        <f>IFERROR(__xludf.DUMMYFUNCTION("""COMPUTED_VALUE"""),"089519684754")</f>
        <v>089519684754</v>
      </c>
      <c r="E1089" s="14" t="str">
        <f>IFERROR(__xludf.DUMMYFUNCTION("""COMPUTED_VALUE"""),"Instagram")</f>
        <v>Instagram</v>
      </c>
      <c r="F1089" s="14" t="str">
        <f>IFERROR(__xludf.DUMMYFUNCTION("""COMPUTED_VALUE"""),"Leads Baru")</f>
        <v>Leads Baru</v>
      </c>
      <c r="G1089" s="14"/>
      <c r="H1089" s="16"/>
      <c r="I1089" s="17"/>
      <c r="J1089" s="54"/>
      <c r="K1089" s="46" t="str">
        <f>IFERROR(__xludf.DUMMYFUNCTION("""COMPUTED_VALUE"""),"baru nyapaaa")</f>
        <v>baru nyapaaa</v>
      </c>
      <c r="L1089" s="10"/>
      <c r="M1089" s="20"/>
      <c r="N1089" s="20"/>
      <c r="O1089" s="20"/>
      <c r="P1089" s="20"/>
    </row>
    <row r="1090">
      <c r="A1090" s="21">
        <f>IFERROR(__xludf.DUMMYFUNCTION("""COMPUTED_VALUE"""),46209.0)</f>
        <v>46209</v>
      </c>
      <c r="B1090" s="21" t="str">
        <f>IFERROR(__xludf.DUMMYFUNCTION("""COMPUTED_VALUE"""),"2607D049")</f>
        <v>2607D049</v>
      </c>
      <c r="C1090" s="23" t="str">
        <f>IFERROR(__xludf.DUMMYFUNCTION("""COMPUTED_VALUE"""),"Vina")</f>
        <v>Vina</v>
      </c>
      <c r="D1090" s="24" t="str">
        <f>IFERROR(__xludf.DUMMYFUNCTION("""COMPUTED_VALUE"""),"082142554719")</f>
        <v>082142554719</v>
      </c>
      <c r="E1090" s="14" t="str">
        <f>IFERROR(__xludf.DUMMYFUNCTION("""COMPUTED_VALUE"""),"Instagram")</f>
        <v>Instagram</v>
      </c>
      <c r="F1090" s="14" t="str">
        <f>IFERROR(__xludf.DUMMYFUNCTION("""COMPUTED_VALUE"""),"Leads Baru")</f>
        <v>Leads Baru</v>
      </c>
      <c r="G1090" s="14" t="str">
        <f>IFERROR(__xludf.DUMMYFUNCTION("""COMPUTED_VALUE"""),"3H2M Opsi A")</f>
        <v>3H2M Opsi A</v>
      </c>
      <c r="H1090" s="26">
        <f>IFERROR(__xludf.DUMMYFUNCTION("""COMPUTED_VALUE"""),46237.0)</f>
        <v>46237</v>
      </c>
      <c r="I1090" s="27">
        <f>IFERROR(__xludf.DUMMYFUNCTION("""COMPUTED_VALUE"""),4.0)</f>
        <v>4</v>
      </c>
      <c r="J1090" s="33"/>
      <c r="K1090" s="30" t="str">
        <f>IFERROR(__xludf.DUMMYFUNCTION("""COMPUTED_VALUE"""),"FU 29 Juli")</f>
        <v>FU 29 Juli</v>
      </c>
      <c r="L1090" s="23"/>
      <c r="M1090" s="20"/>
      <c r="N1090" s="20"/>
      <c r="O1090" s="20"/>
      <c r="P1090" s="20"/>
    </row>
    <row r="1091">
      <c r="A1091" s="11">
        <f>IFERROR(__xludf.DUMMYFUNCTION("""COMPUTED_VALUE"""),46210.0)</f>
        <v>46210</v>
      </c>
      <c r="B1091" s="11" t="str">
        <f>IFERROR(__xludf.DUMMYFUNCTION("""COMPUTED_VALUE"""),"2607D050")</f>
        <v>2607D050</v>
      </c>
      <c r="C1091" s="10" t="str">
        <f>IFERROR(__xludf.DUMMYFUNCTION("""COMPUTED_VALUE"""),"Mukti Aray")</f>
        <v>Mukti Aray</v>
      </c>
      <c r="D1091" s="13" t="str">
        <f>IFERROR(__xludf.DUMMYFUNCTION("""COMPUTED_VALUE"""),"081289383778")</f>
        <v>081289383778</v>
      </c>
      <c r="E1091" s="14" t="str">
        <f>IFERROR(__xludf.DUMMYFUNCTION("""COMPUTED_VALUE"""),"Instagram")</f>
        <v>Instagram</v>
      </c>
      <c r="F1091" s="14" t="str">
        <f>IFERROR(__xludf.DUMMYFUNCTION("""COMPUTED_VALUE"""),"Gagal")</f>
        <v>Gagal</v>
      </c>
      <c r="G1091" s="14" t="str">
        <f>IFERROR(__xludf.DUMMYFUNCTION("""COMPUTED_VALUE"""),"GI ")</f>
        <v>GI </v>
      </c>
      <c r="H1091" s="16">
        <f>IFERROR(__xludf.DUMMYFUNCTION("""COMPUTED_VALUE"""),46211.0)</f>
        <v>46211</v>
      </c>
      <c r="I1091" s="17">
        <f>IFERROR(__xludf.DUMMYFUNCTION("""COMPUTED_VALUE"""),5.0)</f>
        <v>5</v>
      </c>
      <c r="J1091" s="54"/>
      <c r="K1091" s="46" t="str">
        <f>IFERROR(__xludf.DUMMYFUNCTION("""COMPUTED_VALUE"""),"ga ada konfirmasi lagi")</f>
        <v>ga ada konfirmasi lagi</v>
      </c>
      <c r="L1091" s="10"/>
      <c r="M1091" s="20"/>
      <c r="N1091" s="20"/>
      <c r="O1091" s="20"/>
      <c r="P1091" s="20"/>
    </row>
    <row r="1092">
      <c r="A1092" s="21">
        <f>IFERROR(__xludf.DUMMYFUNCTION("""COMPUTED_VALUE"""),46210.0)</f>
        <v>46210</v>
      </c>
      <c r="B1092" s="21" t="str">
        <f>IFERROR(__xludf.DUMMYFUNCTION("""COMPUTED_VALUE"""),"2607D051")</f>
        <v>2607D051</v>
      </c>
      <c r="C1092" s="23" t="str">
        <f>IFERROR(__xludf.DUMMYFUNCTION("""COMPUTED_VALUE"""),"Anggun")</f>
        <v>Anggun</v>
      </c>
      <c r="D1092" s="24" t="str">
        <f>IFERROR(__xludf.DUMMYFUNCTION("""COMPUTED_VALUE"""),"089606428293")</f>
        <v>089606428293</v>
      </c>
      <c r="E1092" s="14" t="str">
        <f>IFERROR(__xludf.DUMMYFUNCTION("""COMPUTED_VALUE"""),"Website")</f>
        <v>Website</v>
      </c>
      <c r="F1092" s="14" t="str">
        <f>IFERROR(__xludf.DUMMYFUNCTION("""COMPUTED_VALUE"""),"Prospek")</f>
        <v>Prospek</v>
      </c>
      <c r="G1092" s="14" t="str">
        <f>IFERROR(__xludf.DUMMYFUNCTION("""COMPUTED_VALUE"""),"3H2M ")</f>
        <v>3H2M </v>
      </c>
      <c r="H1092" s="26">
        <f>IFERROR(__xludf.DUMMYFUNCTION("""COMPUTED_VALUE"""),46283.0)</f>
        <v>46283</v>
      </c>
      <c r="I1092" s="27">
        <f>IFERROR(__xludf.DUMMYFUNCTION("""COMPUTED_VALUE"""),15.0)</f>
        <v>15</v>
      </c>
      <c r="J1092" s="33"/>
      <c r="K1092" s="30" t="str">
        <f>IFERROR(__xludf.DUMMYFUNCTION("""COMPUTED_VALUE"""),"FU 20 Juii")</f>
        <v>FU 20 Juii</v>
      </c>
      <c r="L1092" s="23"/>
      <c r="M1092" s="20"/>
      <c r="N1092" s="20"/>
      <c r="O1092" s="20"/>
      <c r="P1092" s="20"/>
    </row>
    <row r="1093">
      <c r="A1093" s="11">
        <f>IFERROR(__xludf.DUMMYFUNCTION("""COMPUTED_VALUE"""),46210.0)</f>
        <v>46210</v>
      </c>
      <c r="B1093" s="11" t="str">
        <f>IFERROR(__xludf.DUMMYFUNCTION("""COMPUTED_VALUE"""),"2607D052")</f>
        <v>2607D052</v>
      </c>
      <c r="C1093" s="10" t="str">
        <f>IFERROR(__xludf.DUMMYFUNCTION("""COMPUTED_VALUE"""),"Khenny Honesty")</f>
        <v>Khenny Honesty</v>
      </c>
      <c r="D1093" s="13" t="str">
        <f>IFERROR(__xludf.DUMMYFUNCTION("""COMPUTED_VALUE"""),"082188000498")</f>
        <v>082188000498</v>
      </c>
      <c r="E1093" s="14" t="str">
        <f>IFERROR(__xludf.DUMMYFUNCTION("""COMPUTED_VALUE"""),"Instagram")</f>
        <v>Instagram</v>
      </c>
      <c r="F1093" s="14" t="str">
        <f>IFERROR(__xludf.DUMMYFUNCTION("""COMPUTED_VALUE"""),"Gagal")</f>
        <v>Gagal</v>
      </c>
      <c r="G1093" s="14" t="str">
        <f>IFERROR(__xludf.DUMMYFUNCTION("""COMPUTED_VALUE"""),"OT 3H2M ")</f>
        <v>OT 3H2M </v>
      </c>
      <c r="H1093" s="16"/>
      <c r="I1093" s="17">
        <f>IFERROR(__xludf.DUMMYFUNCTION("""COMPUTED_VALUE"""),2.0)</f>
        <v>2</v>
      </c>
      <c r="J1093" s="54"/>
      <c r="K1093" s="46" t="str">
        <f>IFERROR(__xludf.DUMMYFUNCTION("""COMPUTED_VALUE"""),"sudah fu tidak dibalas")</f>
        <v>sudah fu tidak dibalas</v>
      </c>
      <c r="L1093" s="10"/>
      <c r="M1093" s="20"/>
      <c r="N1093" s="20"/>
      <c r="O1093" s="20"/>
      <c r="P1093" s="20"/>
    </row>
    <row r="1094">
      <c r="A1094" s="21">
        <f>IFERROR(__xludf.DUMMYFUNCTION("""COMPUTED_VALUE"""),46210.0)</f>
        <v>46210</v>
      </c>
      <c r="B1094" s="21" t="str">
        <f>IFERROR(__xludf.DUMMYFUNCTION("""COMPUTED_VALUE"""),"2607D053")</f>
        <v>2607D053</v>
      </c>
      <c r="C1094" s="23" t="str">
        <f>IFERROR(__xludf.DUMMYFUNCTION("""COMPUTED_VALUE"""),"Ahzar")</f>
        <v>Ahzar</v>
      </c>
      <c r="D1094" s="24" t="str">
        <f>IFERROR(__xludf.DUMMYFUNCTION("""COMPUTED_VALUE"""),"087720082441")</f>
        <v>087720082441</v>
      </c>
      <c r="E1094" s="14" t="str">
        <f>IFERROR(__xludf.DUMMYFUNCTION("""COMPUTED_VALUE"""),"Instagram")</f>
        <v>Instagram</v>
      </c>
      <c r="F1094" s="14" t="str">
        <f>IFERROR(__xludf.DUMMYFUNCTION("""COMPUTED_VALUE"""),"Closing")</f>
        <v>Closing</v>
      </c>
      <c r="G1094" s="14" t="str">
        <f>IFERROR(__xludf.DUMMYFUNCTION("""COMPUTED_VALUE"""),"OT MT, Ijen")</f>
        <v>OT MT, Ijen</v>
      </c>
      <c r="H1094" s="26"/>
      <c r="I1094" s="27">
        <f>IFERROR(__xludf.DUMMYFUNCTION("""COMPUTED_VALUE"""),1.0)</f>
        <v>1</v>
      </c>
      <c r="J1094" s="33">
        <f>IFERROR(__xludf.DUMMYFUNCTION("""COMPUTED_VALUE"""),650000.0)</f>
        <v>650000</v>
      </c>
      <c r="K1094" s="30" t="str">
        <f>IFERROR(__xludf.DUMMYFUNCTION("""COMPUTED_VALUE"""),"orrderrr")</f>
        <v>orrderrr</v>
      </c>
      <c r="L1094" s="23"/>
      <c r="M1094" s="20"/>
      <c r="N1094" s="20"/>
      <c r="O1094" s="20"/>
      <c r="P1094" s="20"/>
    </row>
    <row r="1095">
      <c r="A1095" s="11">
        <f>IFERROR(__xludf.DUMMYFUNCTION("""COMPUTED_VALUE"""),46210.0)</f>
        <v>46210</v>
      </c>
      <c r="B1095" s="11" t="str">
        <f>IFERROR(__xludf.DUMMYFUNCTION("""COMPUTED_VALUE"""),"2607D054")</f>
        <v>2607D054</v>
      </c>
      <c r="C1095" s="10" t="str">
        <f>IFERROR(__xludf.DUMMYFUNCTION("""COMPUTED_VALUE"""),"Yolanda Oktaviani")</f>
        <v>Yolanda Oktaviani</v>
      </c>
      <c r="D1095" s="13" t="str">
        <f>IFERROR(__xludf.DUMMYFUNCTION("""COMPUTED_VALUE"""),"082269667014")</f>
        <v>082269667014</v>
      </c>
      <c r="E1095" s="14" t="str">
        <f>IFERROR(__xludf.DUMMYFUNCTION("""COMPUTED_VALUE"""),"Instagram")</f>
        <v>Instagram</v>
      </c>
      <c r="F1095" s="14" t="str">
        <f>IFERROR(__xludf.DUMMYFUNCTION("""COMPUTED_VALUE"""),"Leads Baru")</f>
        <v>Leads Baru</v>
      </c>
      <c r="G1095" s="14" t="str">
        <f>IFERROR(__xludf.DUMMYFUNCTION("""COMPUTED_VALUE"""),"OT MT")</f>
        <v>OT MT</v>
      </c>
      <c r="H1095" s="16"/>
      <c r="I1095" s="17">
        <f>IFERROR(__xludf.DUMMYFUNCTION("""COMPUTED_VALUE"""),5.0)</f>
        <v>5</v>
      </c>
      <c r="J1095" s="54"/>
      <c r="K1095" s="46" t="str">
        <f>IFERROR(__xludf.DUMMYFUNCTION("""COMPUTED_VALUE"""),"FU 3 Agustus ")</f>
        <v>FU 3 Agustus </v>
      </c>
      <c r="L1095" s="10"/>
      <c r="M1095" s="20"/>
      <c r="N1095" s="20"/>
      <c r="O1095" s="20"/>
      <c r="P1095" s="20"/>
    </row>
    <row r="1096">
      <c r="A1096" s="21">
        <f>IFERROR(__xludf.DUMMYFUNCTION("""COMPUTED_VALUE"""),46210.0)</f>
        <v>46210</v>
      </c>
      <c r="B1096" s="21" t="str">
        <f>IFERROR(__xludf.DUMMYFUNCTION("""COMPUTED_VALUE"""),"2607D055")</f>
        <v>2607D055</v>
      </c>
      <c r="C1096" s="23" t="str">
        <f>IFERROR(__xludf.DUMMYFUNCTION("""COMPUTED_VALUE"""),"LAW")</f>
        <v>LAW</v>
      </c>
      <c r="D1096" s="24" t="str">
        <f>IFERROR(__xludf.DUMMYFUNCTION("""COMPUTED_VALUE"""),"081337111123")</f>
        <v>081337111123</v>
      </c>
      <c r="E1096" s="14" t="str">
        <f>IFERROR(__xludf.DUMMYFUNCTION("""COMPUTED_VALUE"""),"Instagram")</f>
        <v>Instagram</v>
      </c>
      <c r="F1096" s="14" t="str">
        <f>IFERROR(__xludf.DUMMYFUNCTION("""COMPUTED_VALUE"""),"Leads Baru")</f>
        <v>Leads Baru</v>
      </c>
      <c r="G1096" s="14" t="str">
        <f>IFERROR(__xludf.DUMMYFUNCTION("""COMPUTED_VALUE"""),"4H3M ")</f>
        <v>4H3M </v>
      </c>
      <c r="H1096" s="26"/>
      <c r="I1096" s="27"/>
      <c r="J1096" s="33"/>
      <c r="K1096" s="30" t="str">
        <f>IFERROR(__xludf.DUMMYFUNCTION("""COMPUTED_VALUE"""),"FU 2 agustus")</f>
        <v>FU 2 agustus</v>
      </c>
      <c r="L1096" s="23"/>
      <c r="M1096" s="20"/>
      <c r="N1096" s="20"/>
      <c r="O1096" s="20"/>
      <c r="P1096" s="20"/>
    </row>
    <row r="1097">
      <c r="A1097" s="11">
        <f>IFERROR(__xludf.DUMMYFUNCTION("""COMPUTED_VALUE"""),46211.0)</f>
        <v>46211</v>
      </c>
      <c r="B1097" s="11" t="str">
        <f>IFERROR(__xludf.DUMMYFUNCTION("""COMPUTED_VALUE"""),"2607D056")</f>
        <v>2607D056</v>
      </c>
      <c r="C1097" s="10" t="str">
        <f>IFERROR(__xludf.DUMMYFUNCTION("""COMPUTED_VALUE"""),"HD")</f>
        <v>HD</v>
      </c>
      <c r="D1097" s="13" t="str">
        <f>IFERROR(__xludf.DUMMYFUNCTION("""COMPUTED_VALUE"""),"087779602885")</f>
        <v>087779602885</v>
      </c>
      <c r="E1097" s="14" t="str">
        <f>IFERROR(__xludf.DUMMYFUNCTION("""COMPUTED_VALUE"""),"Website")</f>
        <v>Website</v>
      </c>
      <c r="F1097" s="14" t="str">
        <f>IFERROR(__xludf.DUMMYFUNCTION("""COMPUTED_VALUE"""),"Leads Baru")</f>
        <v>Leads Baru</v>
      </c>
      <c r="G1097" s="14" t="str">
        <f>IFERROR(__xludf.DUMMYFUNCTION("""COMPUTED_VALUE"""),"3H2M")</f>
        <v>3H2M</v>
      </c>
      <c r="H1097" s="16"/>
      <c r="I1097" s="17"/>
      <c r="J1097" s="54"/>
      <c r="K1097" s="46" t="str">
        <f>IFERROR(__xludf.DUMMYFUNCTION("""COMPUTED_VALUE"""),"FU 2 agustus")</f>
        <v>FU 2 agustus</v>
      </c>
      <c r="L1097" s="10"/>
      <c r="M1097" s="20"/>
      <c r="N1097" s="20"/>
      <c r="O1097" s="20"/>
      <c r="P1097" s="20"/>
    </row>
    <row r="1098">
      <c r="A1098" s="21">
        <f>IFERROR(__xludf.DUMMYFUNCTION("""COMPUTED_VALUE"""),46210.0)</f>
        <v>46210</v>
      </c>
      <c r="B1098" s="21" t="str">
        <f>IFERROR(__xludf.DUMMYFUNCTION("""COMPUTED_VALUE"""),"2607D057")</f>
        <v>2607D057</v>
      </c>
      <c r="C1098" s="23" t="str">
        <f>IFERROR(__xludf.DUMMYFUNCTION("""COMPUTED_VALUE"""),"Z")</f>
        <v>Z</v>
      </c>
      <c r="D1098" s="24" t="str">
        <f>IFERROR(__xludf.DUMMYFUNCTION("""COMPUTED_VALUE"""),"081910918412")</f>
        <v>081910918412</v>
      </c>
      <c r="E1098" s="14" t="str">
        <f>IFERROR(__xludf.DUMMYFUNCTION("""COMPUTED_VALUE"""),"Instagram")</f>
        <v>Instagram</v>
      </c>
      <c r="F1098" s="14" t="str">
        <f>IFERROR(__xludf.DUMMYFUNCTION("""COMPUTED_VALUE"""),"Gagal")</f>
        <v>Gagal</v>
      </c>
      <c r="G1098" s="14" t="str">
        <f>IFERROR(__xludf.DUMMYFUNCTION("""COMPUTED_VALUE"""),"OT MT")</f>
        <v>OT MT</v>
      </c>
      <c r="H1098" s="26"/>
      <c r="I1098" s="27">
        <f>IFERROR(__xludf.DUMMYFUNCTION("""COMPUTED_VALUE"""),5.0)</f>
        <v>5</v>
      </c>
      <c r="J1098" s="33"/>
      <c r="K1098" s="30" t="str">
        <f>IFERROR(__xludf.DUMMYFUNCTION("""COMPUTED_VALUE"""),"gajadii, ada musibah ayahnya meninggal")</f>
        <v>gajadii, ada musibah ayahnya meninggal</v>
      </c>
      <c r="L1098" s="23"/>
      <c r="M1098" s="20"/>
      <c r="N1098" s="20"/>
      <c r="O1098" s="20"/>
      <c r="P1098" s="20"/>
    </row>
    <row r="1099">
      <c r="A1099" s="11">
        <f>IFERROR(__xludf.DUMMYFUNCTION("""COMPUTED_VALUE"""),46211.0)</f>
        <v>46211</v>
      </c>
      <c r="B1099" s="11" t="str">
        <f>IFERROR(__xludf.DUMMYFUNCTION("""COMPUTED_VALUE"""),"2607D058")</f>
        <v>2607D058</v>
      </c>
      <c r="C1099" s="10" t="str">
        <f>IFERROR(__xludf.DUMMYFUNCTION("""COMPUTED_VALUE"""),"No Name 3h2m ")</f>
        <v>No Name 3h2m </v>
      </c>
      <c r="D1099" s="13" t="str">
        <f>IFERROR(__xludf.DUMMYFUNCTION("""COMPUTED_VALUE"""),"081325487738")</f>
        <v>081325487738</v>
      </c>
      <c r="E1099" s="14" t="str">
        <f>IFERROR(__xludf.DUMMYFUNCTION("""COMPUTED_VALUE"""),"Instagram")</f>
        <v>Instagram</v>
      </c>
      <c r="F1099" s="14" t="str">
        <f>IFERROR(__xludf.DUMMYFUNCTION("""COMPUTED_VALUE"""),"Leads Baru")</f>
        <v>Leads Baru</v>
      </c>
      <c r="G1099" s="14" t="str">
        <f>IFERROR(__xludf.DUMMYFUNCTION("""COMPUTED_VALUE"""),"3H2M Opsi A")</f>
        <v>3H2M Opsi A</v>
      </c>
      <c r="H1099" s="16"/>
      <c r="I1099" s="17"/>
      <c r="J1099" s="54"/>
      <c r="K1099" s="46" t="str">
        <f>IFERROR(__xludf.DUMMYFUNCTION("""COMPUTED_VALUE"""),"FU 4 Agustus")</f>
        <v>FU 4 Agustus</v>
      </c>
      <c r="L1099" s="10"/>
      <c r="M1099" s="20"/>
      <c r="N1099" s="20"/>
      <c r="O1099" s="20"/>
      <c r="P1099" s="20"/>
    </row>
    <row r="1100">
      <c r="A1100" s="21">
        <f>IFERROR(__xludf.DUMMYFUNCTION("""COMPUTED_VALUE"""),46210.0)</f>
        <v>46210</v>
      </c>
      <c r="B1100" s="21" t="str">
        <f>IFERROR(__xludf.DUMMYFUNCTION("""COMPUTED_VALUE"""),"2607D059")</f>
        <v>2607D059</v>
      </c>
      <c r="C1100" s="23" t="str">
        <f>IFERROR(__xludf.DUMMYFUNCTION("""COMPUTED_VALUE"""),"Suwirman")</f>
        <v>Suwirman</v>
      </c>
      <c r="D1100" s="24" t="str">
        <f>IFERROR(__xludf.DUMMYFUNCTION("""COMPUTED_VALUE"""),"081510019168")</f>
        <v>081510019168</v>
      </c>
      <c r="E1100" s="14" t="str">
        <f>IFERROR(__xludf.DUMMYFUNCTION("""COMPUTED_VALUE"""),"Website")</f>
        <v>Website</v>
      </c>
      <c r="F1100" s="14" t="str">
        <f>IFERROR(__xludf.DUMMYFUNCTION("""COMPUTED_VALUE"""),"Leads Baru")</f>
        <v>Leads Baru</v>
      </c>
      <c r="G1100" s="14" t="str">
        <f>IFERROR(__xludf.DUMMYFUNCTION("""COMPUTED_VALUE"""),"4H3M")</f>
        <v>4H3M</v>
      </c>
      <c r="H1100" s="26"/>
      <c r="I1100" s="27">
        <f>IFERROR(__xludf.DUMMYFUNCTION("""COMPUTED_VALUE"""),25.0)</f>
        <v>25</v>
      </c>
      <c r="J1100" s="33"/>
      <c r="K1100" s="30" t="str">
        <f>IFERROR(__xludf.DUMMYFUNCTION("""COMPUTED_VALUE"""),"FU 6 Agustus")</f>
        <v>FU 6 Agustus</v>
      </c>
      <c r="L1100" s="23"/>
      <c r="M1100" s="20"/>
      <c r="N1100" s="20"/>
      <c r="O1100" s="20"/>
      <c r="P1100" s="20"/>
    </row>
    <row r="1101">
      <c r="A1101" s="11">
        <f>IFERROR(__xludf.DUMMYFUNCTION("""COMPUTED_VALUE"""),46210.0)</f>
        <v>46210</v>
      </c>
      <c r="B1101" s="11" t="str">
        <f>IFERROR(__xludf.DUMMYFUNCTION("""COMPUTED_VALUE"""),"2607D060")</f>
        <v>2607D060</v>
      </c>
      <c r="C1101" s="10" t="str">
        <f>IFERROR(__xludf.DUMMYFUNCTION("""COMPUTED_VALUE"""),"Rahma  ")</f>
        <v>Rahma  </v>
      </c>
      <c r="D1101" s="13" t="str">
        <f>IFERROR(__xludf.DUMMYFUNCTION("""COMPUTED_VALUE"""),"081326257762")</f>
        <v>081326257762</v>
      </c>
      <c r="E1101" s="14" t="str">
        <f>IFERROR(__xludf.DUMMYFUNCTION("""COMPUTED_VALUE"""),"Instagram")</f>
        <v>Instagram</v>
      </c>
      <c r="F1101" s="14" t="str">
        <f>IFERROR(__xludf.DUMMYFUNCTION("""COMPUTED_VALUE"""),"Leads Baru")</f>
        <v>Leads Baru</v>
      </c>
      <c r="G1101" s="14" t="str">
        <f>IFERROR(__xludf.DUMMYFUNCTION("""COMPUTED_VALUE"""),"OT 3H2M ")</f>
        <v>OT 3H2M </v>
      </c>
      <c r="H1101" s="16"/>
      <c r="I1101" s="17">
        <f>IFERROR(__xludf.DUMMYFUNCTION("""COMPUTED_VALUE"""),3.0)</f>
        <v>3</v>
      </c>
      <c r="J1101" s="54"/>
      <c r="K1101" s="46" t="str">
        <f>IFERROR(__xludf.DUMMYFUNCTION("""COMPUTED_VALUE"""),"FU 8 Agustus")</f>
        <v>FU 8 Agustus</v>
      </c>
      <c r="L1101" s="10"/>
      <c r="M1101" s="20"/>
      <c r="N1101" s="20"/>
      <c r="O1101" s="20"/>
      <c r="P1101" s="20"/>
    </row>
    <row r="1102">
      <c r="A1102" s="21">
        <f>IFERROR(__xludf.DUMMYFUNCTION("""COMPUTED_VALUE"""),46211.0)</f>
        <v>46211</v>
      </c>
      <c r="B1102" s="21" t="str">
        <f>IFERROR(__xludf.DUMMYFUNCTION("""COMPUTED_VALUE"""),"2607D061")</f>
        <v>2607D061</v>
      </c>
      <c r="C1102" s="23" t="str">
        <f>IFERROR(__xludf.DUMMYFUNCTION("""COMPUTED_VALUE"""),"Cella")</f>
        <v>Cella</v>
      </c>
      <c r="D1102" s="24" t="str">
        <f>IFERROR(__xludf.DUMMYFUNCTION("""COMPUTED_VALUE"""),"087883955843")</f>
        <v>087883955843</v>
      </c>
      <c r="E1102" s="14" t="str">
        <f>IFERROR(__xludf.DUMMYFUNCTION("""COMPUTED_VALUE"""),"Instagram")</f>
        <v>Instagram</v>
      </c>
      <c r="F1102" s="14" t="str">
        <f>IFERROR(__xludf.DUMMYFUNCTION("""COMPUTED_VALUE"""),"Closing")</f>
        <v>Closing</v>
      </c>
      <c r="G1102" s="14" t="str">
        <f>IFERROR(__xludf.DUMMYFUNCTION("""COMPUTED_VALUE"""),"3H2M")</f>
        <v>3H2M</v>
      </c>
      <c r="H1102" s="26">
        <f>IFERROR(__xludf.DUMMYFUNCTION("""COMPUTED_VALUE"""),46221.0)</f>
        <v>46221</v>
      </c>
      <c r="I1102" s="27">
        <f>IFERROR(__xludf.DUMMYFUNCTION("""COMPUTED_VALUE"""),7.0)</f>
        <v>7</v>
      </c>
      <c r="J1102" s="33">
        <f>IFERROR(__xludf.DUMMYFUNCTION("""COMPUTED_VALUE"""),1.3045E7)</f>
        <v>13045000</v>
      </c>
      <c r="K1102" s="30" t="str">
        <f>IFERROR(__xludf.DUMMYFUNCTION("""COMPUTED_VALUE"""),"orrderrr")</f>
        <v>orrderrr</v>
      </c>
      <c r="L1102" s="23"/>
      <c r="M1102" s="20"/>
      <c r="N1102" s="20"/>
      <c r="O1102" s="20"/>
      <c r="P1102" s="20"/>
    </row>
    <row r="1103">
      <c r="A1103" s="11">
        <f>IFERROR(__xludf.DUMMYFUNCTION("""COMPUTED_VALUE"""),46211.0)</f>
        <v>46211</v>
      </c>
      <c r="B1103" s="11" t="str">
        <f>IFERROR(__xludf.DUMMYFUNCTION("""COMPUTED_VALUE"""),"2607D062")</f>
        <v>2607D062</v>
      </c>
      <c r="C1103" s="10" t="str">
        <f>IFERROR(__xludf.DUMMYFUNCTION("""COMPUTED_VALUE"""),"Sylvia Mardiani")</f>
        <v>Sylvia Mardiani</v>
      </c>
      <c r="D1103" s="13" t="str">
        <f>IFERROR(__xludf.DUMMYFUNCTION("""COMPUTED_VALUE"""),"085101782800")</f>
        <v>085101782800</v>
      </c>
      <c r="E1103" s="14" t="str">
        <f>IFERROR(__xludf.DUMMYFUNCTION("""COMPUTED_VALUE"""),"Website")</f>
        <v>Website</v>
      </c>
      <c r="F1103" s="14" t="str">
        <f>IFERROR(__xludf.DUMMYFUNCTION("""COMPUTED_VALUE"""),"Gagal")</f>
        <v>Gagal</v>
      </c>
      <c r="G1103" s="14" t="str">
        <f>IFERROR(__xludf.DUMMYFUNCTION("""COMPUTED_VALUE"""),"2H1M")</f>
        <v>2H1M</v>
      </c>
      <c r="H1103" s="16">
        <f>IFERROR(__xludf.DUMMYFUNCTION("""COMPUTED_VALUE"""),46228.0)</f>
        <v>46228</v>
      </c>
      <c r="I1103" s="17">
        <f>IFERROR(__xludf.DUMMYFUNCTION("""COMPUTED_VALUE"""),4.0)</f>
        <v>4</v>
      </c>
      <c r="J1103" s="54"/>
      <c r="K1103" s="46" t="str">
        <f>IFERROR(__xludf.DUMMYFUNCTION("""COMPUTED_VALUE"""),"tidak jadi trip, waktunya belum cocok")</f>
        <v>tidak jadi trip, waktunya belum cocok</v>
      </c>
      <c r="L1103" s="10"/>
      <c r="M1103" s="20"/>
      <c r="N1103" s="20"/>
      <c r="O1103" s="20"/>
      <c r="P1103" s="20"/>
    </row>
    <row r="1104">
      <c r="A1104" s="21">
        <f>IFERROR(__xludf.DUMMYFUNCTION("""COMPUTED_VALUE"""),46211.0)</f>
        <v>46211</v>
      </c>
      <c r="B1104" s="21" t="str">
        <f>IFERROR(__xludf.DUMMYFUNCTION("""COMPUTED_VALUE"""),"2607D063")</f>
        <v>2607D063</v>
      </c>
      <c r="C1104" s="23" t="str">
        <f>IFERROR(__xludf.DUMMYFUNCTION("""COMPUTED_VALUE"""),"Nadia Rahmatazahra")</f>
        <v>Nadia Rahmatazahra</v>
      </c>
      <c r="D1104" s="24" t="str">
        <f>IFERROR(__xludf.DUMMYFUNCTION("""COMPUTED_VALUE"""),"085816987741")</f>
        <v>085816987741</v>
      </c>
      <c r="E1104" s="14" t="str">
        <f>IFERROR(__xludf.DUMMYFUNCTION("""COMPUTED_VALUE"""),"Tiktok")</f>
        <v>Tiktok</v>
      </c>
      <c r="F1104" s="14" t="str">
        <f>IFERROR(__xludf.DUMMYFUNCTION("""COMPUTED_VALUE"""),"Gagal")</f>
        <v>Gagal</v>
      </c>
      <c r="G1104" s="14" t="str">
        <f>IFERROR(__xludf.DUMMYFUNCTION("""COMPUTED_VALUE"""),"private trip tabuhan")</f>
        <v>private trip tabuhan</v>
      </c>
      <c r="H1104" s="26"/>
      <c r="I1104" s="27">
        <f>IFERROR(__xludf.DUMMYFUNCTION("""COMPUTED_VALUE"""),1.0)</f>
        <v>1</v>
      </c>
      <c r="J1104" s="33"/>
      <c r="K1104" s="30" t="str">
        <f>IFERROR(__xludf.DUMMYFUNCTION("""COMPUTED_VALUE"""),"belum bisa 1 orang private")</f>
        <v>belum bisa 1 orang private</v>
      </c>
      <c r="L1104" s="23"/>
      <c r="M1104" s="20"/>
      <c r="N1104" s="20"/>
      <c r="O1104" s="20"/>
      <c r="P1104" s="20"/>
    </row>
    <row r="1105">
      <c r="A1105" s="11">
        <f>IFERROR(__xludf.DUMMYFUNCTION("""COMPUTED_VALUE"""),46212.0)</f>
        <v>46212</v>
      </c>
      <c r="B1105" s="11" t="str">
        <f>IFERROR(__xludf.DUMMYFUNCTION("""COMPUTED_VALUE"""),"2607D064")</f>
        <v>2607D064</v>
      </c>
      <c r="C1105" s="10" t="str">
        <f>IFERROR(__xludf.DUMMYFUNCTION("""COMPUTED_VALUE"""),"Sheina")</f>
        <v>Sheina</v>
      </c>
      <c r="D1105" s="13" t="str">
        <f>IFERROR(__xludf.DUMMYFUNCTION("""COMPUTED_VALUE"""),"081545571383")</f>
        <v>081545571383</v>
      </c>
      <c r="E1105" s="14" t="str">
        <f>IFERROR(__xludf.DUMMYFUNCTION("""COMPUTED_VALUE"""),"Instagram")</f>
        <v>Instagram</v>
      </c>
      <c r="F1105" s="14" t="str">
        <f>IFERROR(__xludf.DUMMYFUNCTION("""COMPUTED_VALUE"""),"Leads Baru")</f>
        <v>Leads Baru</v>
      </c>
      <c r="G1105" s="14" t="str">
        <f>IFERROR(__xludf.DUMMYFUNCTION("""COMPUTED_VALUE"""),"3H2M opsi B")</f>
        <v>3H2M opsi B</v>
      </c>
      <c r="H1105" s="16">
        <f>IFERROR(__xludf.DUMMYFUNCTION("""COMPUTED_VALUE"""),46297.0)</f>
        <v>46297</v>
      </c>
      <c r="I1105" s="17">
        <f>IFERROR(__xludf.DUMMYFUNCTION("""COMPUTED_VALUE"""),4.0)</f>
        <v>4</v>
      </c>
      <c r="J1105" s="54"/>
      <c r="K1105" s="46" t="str">
        <f>IFERROR(__xludf.DUMMYFUNCTION("""COMPUTED_VALUE"""),"FU 2 agustus")</f>
        <v>FU 2 agustus</v>
      </c>
      <c r="L1105" s="10"/>
      <c r="M1105" s="20"/>
      <c r="N1105" s="20"/>
      <c r="O1105" s="20"/>
      <c r="P1105" s="20"/>
    </row>
    <row r="1106">
      <c r="A1106" s="21">
        <f>IFERROR(__xludf.DUMMYFUNCTION("""COMPUTED_VALUE"""),46211.0)</f>
        <v>46211</v>
      </c>
      <c r="B1106" s="21" t="str">
        <f>IFERROR(__xludf.DUMMYFUNCTION("""COMPUTED_VALUE"""),"2607D065")</f>
        <v>2607D065</v>
      </c>
      <c r="C1106" s="23" t="str">
        <f>IFERROR(__xludf.DUMMYFUNCTION("""COMPUTED_VALUE"""),"Hannah ")</f>
        <v>Hannah </v>
      </c>
      <c r="D1106" s="24" t="str">
        <f>IFERROR(__xludf.DUMMYFUNCTION("""COMPUTED_VALUE"""),"0895351623399")</f>
        <v>0895351623399</v>
      </c>
      <c r="E1106" s="14" t="str">
        <f>IFERROR(__xludf.DUMMYFUNCTION("""COMPUTED_VALUE"""),"Instagram")</f>
        <v>Instagram</v>
      </c>
      <c r="F1106" s="14" t="str">
        <f>IFERROR(__xludf.DUMMYFUNCTION("""COMPUTED_VALUE"""),"Gagal")</f>
        <v>Gagal</v>
      </c>
      <c r="G1106" s="14" t="str">
        <f>IFERROR(__xludf.DUMMYFUNCTION("""COMPUTED_VALUE"""),"OT GI")</f>
        <v>OT GI</v>
      </c>
      <c r="H1106" s="26">
        <f>IFERROR(__xludf.DUMMYFUNCTION("""COMPUTED_VALUE"""),46215.0)</f>
        <v>46215</v>
      </c>
      <c r="I1106" s="27">
        <f>IFERROR(__xludf.DUMMYFUNCTION("""COMPUTED_VALUE"""),1.0)</f>
        <v>1</v>
      </c>
      <c r="J1106" s="33"/>
      <c r="K1106" s="30" t="str">
        <f>IFERROR(__xludf.DUMMYFUNCTION("""COMPUTED_VALUE"""),"sudah fu tidak balas")</f>
        <v>sudah fu tidak balas</v>
      </c>
      <c r="L1106" s="23"/>
      <c r="M1106" s="20"/>
      <c r="N1106" s="20"/>
      <c r="O1106" s="20"/>
      <c r="P1106" s="20"/>
    </row>
    <row r="1107">
      <c r="A1107" s="11">
        <f>IFERROR(__xludf.DUMMYFUNCTION("""COMPUTED_VALUE"""),46211.0)</f>
        <v>46211</v>
      </c>
      <c r="B1107" s="11" t="str">
        <f>IFERROR(__xludf.DUMMYFUNCTION("""COMPUTED_VALUE"""),"2607D066")</f>
        <v>2607D066</v>
      </c>
      <c r="C1107" s="10" t="str">
        <f>IFERROR(__xludf.DUMMYFUNCTION("""COMPUTED_VALUE"""),"Sahda ")</f>
        <v>Sahda </v>
      </c>
      <c r="D1107" s="13" t="str">
        <f>IFERROR(__xludf.DUMMYFUNCTION("""COMPUTED_VALUE"""),"081233829266")</f>
        <v>081233829266</v>
      </c>
      <c r="E1107" s="14" t="str">
        <f>IFERROR(__xludf.DUMMYFUNCTION("""COMPUTED_VALUE"""),"Website")</f>
        <v>Website</v>
      </c>
      <c r="F1107" s="14" t="str">
        <f>IFERROR(__xludf.DUMMYFUNCTION("""COMPUTED_VALUE"""),"Leads Baru")</f>
        <v>Leads Baru</v>
      </c>
      <c r="G1107" s="14" t="str">
        <f>IFERROR(__xludf.DUMMYFUNCTION("""COMPUTED_VALUE"""),"3h2M Opsi A")</f>
        <v>3h2M Opsi A</v>
      </c>
      <c r="H1107" s="16"/>
      <c r="I1107" s="17">
        <f>IFERROR(__xludf.DUMMYFUNCTION("""COMPUTED_VALUE"""),17.0)</f>
        <v>17</v>
      </c>
      <c r="J1107" s="54"/>
      <c r="K1107" s="46" t="str">
        <f>IFERROR(__xludf.DUMMYFUNCTION("""COMPUTED_VALUE"""),"FU 3 Agustus ")</f>
        <v>FU 3 Agustus </v>
      </c>
      <c r="L1107" s="10"/>
      <c r="M1107" s="20"/>
      <c r="N1107" s="20"/>
      <c r="O1107" s="20"/>
      <c r="P1107" s="20"/>
    </row>
    <row r="1108">
      <c r="A1108" s="21">
        <f>IFERROR(__xludf.DUMMYFUNCTION("""COMPUTED_VALUE"""),46212.0)</f>
        <v>46212</v>
      </c>
      <c r="B1108" s="21" t="str">
        <f>IFERROR(__xludf.DUMMYFUNCTION("""COMPUTED_VALUE"""),"2607D067")</f>
        <v>2607D067</v>
      </c>
      <c r="C1108" s="23" t="str">
        <f>IFERROR(__xludf.DUMMYFUNCTION("""COMPUTED_VALUE"""),"Astuti Nurwidiyanti")</f>
        <v>Astuti Nurwidiyanti</v>
      </c>
      <c r="D1108" s="24" t="str">
        <f>IFERROR(__xludf.DUMMYFUNCTION("""COMPUTED_VALUE"""),"0818119143")</f>
        <v>0818119143</v>
      </c>
      <c r="E1108" s="14" t="str">
        <f>IFERROR(__xludf.DUMMYFUNCTION("""COMPUTED_VALUE"""),"Website")</f>
        <v>Website</v>
      </c>
      <c r="F1108" s="14" t="str">
        <f>IFERROR(__xludf.DUMMYFUNCTION("""COMPUTED_VALUE"""),"Leads Baru")</f>
        <v>Leads Baru</v>
      </c>
      <c r="G1108" s="14" t="str">
        <f>IFERROR(__xludf.DUMMYFUNCTION("""COMPUTED_VALUE"""),"trip 5H4M ")</f>
        <v>trip 5H4M </v>
      </c>
      <c r="H1108" s="26"/>
      <c r="I1108" s="27">
        <f>IFERROR(__xludf.DUMMYFUNCTION("""COMPUTED_VALUE"""),5.0)</f>
        <v>5</v>
      </c>
      <c r="J1108" s="33"/>
      <c r="K1108" s="30" t="str">
        <f>IFERROR(__xludf.DUMMYFUNCTION("""COMPUTED_VALUE"""),"FU 12 Juli")</f>
        <v>FU 12 Juli</v>
      </c>
      <c r="L1108" s="23"/>
      <c r="M1108" s="20"/>
      <c r="N1108" s="20"/>
      <c r="O1108" s="20"/>
      <c r="P1108" s="20"/>
    </row>
    <row r="1109">
      <c r="A1109" s="11">
        <f>IFERROR(__xludf.DUMMYFUNCTION("""COMPUTED_VALUE"""),46211.0)</f>
        <v>46211</v>
      </c>
      <c r="B1109" s="11" t="str">
        <f>IFERROR(__xludf.DUMMYFUNCTION("""COMPUTED_VALUE"""),"2607D068")</f>
        <v>2607D068</v>
      </c>
      <c r="C1109" s="10" t="str">
        <f>IFERROR(__xludf.DUMMYFUNCTION("""COMPUTED_VALUE"""),"Gesya Shandy")</f>
        <v>Gesya Shandy</v>
      </c>
      <c r="D1109" s="13" t="str">
        <f>IFERROR(__xludf.DUMMYFUNCTION("""COMPUTED_VALUE"""),"081280122718")</f>
        <v>081280122718</v>
      </c>
      <c r="E1109" s="14" t="str">
        <f>IFERROR(__xludf.DUMMYFUNCTION("""COMPUTED_VALUE"""),"Instagram")</f>
        <v>Instagram</v>
      </c>
      <c r="F1109" s="14" t="str">
        <f>IFERROR(__xludf.DUMMYFUNCTION("""COMPUTED_VALUE"""),"Leads Baru")</f>
        <v>Leads Baru</v>
      </c>
      <c r="G1109" s="14" t="str">
        <f>IFERROR(__xludf.DUMMYFUNCTION("""COMPUTED_VALUE"""),"3H2M opsi A")</f>
        <v>3H2M opsi A</v>
      </c>
      <c r="H1109" s="16"/>
      <c r="I1109" s="17">
        <f>IFERROR(__xludf.DUMMYFUNCTION("""COMPUTED_VALUE"""),2.0)</f>
        <v>2</v>
      </c>
      <c r="J1109" s="54"/>
      <c r="K1109" s="46" t="str">
        <f>IFERROR(__xludf.DUMMYFUNCTION("""COMPUTED_VALUE"""),"blm bales lagi, FU 2 agustus")</f>
        <v>blm bales lagi, FU 2 agustus</v>
      </c>
      <c r="L1109" s="10"/>
      <c r="M1109" s="20"/>
      <c r="N1109" s="20"/>
      <c r="O1109" s="20"/>
      <c r="P1109" s="20"/>
    </row>
    <row r="1110">
      <c r="A1110" s="21">
        <f>IFERROR(__xludf.DUMMYFUNCTION("""COMPUTED_VALUE"""),46212.0)</f>
        <v>46212</v>
      </c>
      <c r="B1110" s="21" t="str">
        <f>IFERROR(__xludf.DUMMYFUNCTION("""COMPUTED_VALUE"""),"2607D069")</f>
        <v>2607D069</v>
      </c>
      <c r="C1110" s="23" t="str">
        <f>IFERROR(__xludf.DUMMYFUNCTION("""COMPUTED_VALUE"""),"Herdisyanms")</f>
        <v>Herdisyanms</v>
      </c>
      <c r="D1110" s="24" t="str">
        <f>IFERROR(__xludf.DUMMYFUNCTION("""COMPUTED_VALUE"""),"085840020359")</f>
        <v>085840020359</v>
      </c>
      <c r="E1110" s="14" t="str">
        <f>IFERROR(__xludf.DUMMYFUNCTION("""COMPUTED_VALUE"""),"Instagram")</f>
        <v>Instagram</v>
      </c>
      <c r="F1110" s="14" t="str">
        <f>IFERROR(__xludf.DUMMYFUNCTION("""COMPUTED_VALUE"""),"Leads Baru")</f>
        <v>Leads Baru</v>
      </c>
      <c r="G1110" s="14" t="str">
        <f>IFERROR(__xludf.DUMMYFUNCTION("""COMPUTED_VALUE"""),"OT 3H2M ")</f>
        <v>OT 3H2M </v>
      </c>
      <c r="H1110" s="26"/>
      <c r="I1110" s="27">
        <f>IFERROR(__xludf.DUMMYFUNCTION("""COMPUTED_VALUE"""),3.0)</f>
        <v>3</v>
      </c>
      <c r="J1110" s="33"/>
      <c r="K1110" s="30"/>
      <c r="L1110" s="23"/>
      <c r="M1110" s="20"/>
      <c r="N1110" s="20"/>
      <c r="O1110" s="20"/>
      <c r="P1110" s="20"/>
    </row>
    <row r="1111">
      <c r="A1111" s="11">
        <f>IFERROR(__xludf.DUMMYFUNCTION("""COMPUTED_VALUE"""),46212.0)</f>
        <v>46212</v>
      </c>
      <c r="B1111" s="11" t="str">
        <f>IFERROR(__xludf.DUMMYFUNCTION("""COMPUTED_VALUE"""),"2607D070")</f>
        <v>2607D070</v>
      </c>
      <c r="C1111" s="10" t="str">
        <f>IFERROR(__xludf.DUMMYFUNCTION("""COMPUTED_VALUE"""),"Isti Andiani")</f>
        <v>Isti Andiani</v>
      </c>
      <c r="D1111" s="13" t="str">
        <f>IFERROR(__xludf.DUMMYFUNCTION("""COMPUTED_VALUE"""),"081562780575")</f>
        <v>081562780575</v>
      </c>
      <c r="E1111" s="14" t="str">
        <f>IFERROR(__xludf.DUMMYFUNCTION("""COMPUTED_VALUE"""),"Instagram")</f>
        <v>Instagram</v>
      </c>
      <c r="F1111" s="14" t="str">
        <f>IFERROR(__xludf.DUMMYFUNCTION("""COMPUTED_VALUE"""),"Leads Baru")</f>
        <v>Leads Baru</v>
      </c>
      <c r="G1111" s="14" t="str">
        <f>IFERROR(__xludf.DUMMYFUNCTION("""COMPUTED_VALUE"""),"3H2M opsi A")</f>
        <v>3H2M opsi A</v>
      </c>
      <c r="H1111" s="16"/>
      <c r="I1111" s="17"/>
      <c r="J1111" s="54"/>
      <c r="K1111" s="46" t="str">
        <f>IFERROR(__xludf.DUMMYFUNCTION("""COMPUTED_VALUE"""),"FU 10 Juli ")</f>
        <v>FU 10 Juli </v>
      </c>
      <c r="L1111" s="10"/>
      <c r="M1111" s="20"/>
      <c r="N1111" s="20"/>
      <c r="O1111" s="20"/>
      <c r="P1111" s="20"/>
    </row>
    <row r="1112">
      <c r="A1112" s="21">
        <f>IFERROR(__xludf.DUMMYFUNCTION("""COMPUTED_VALUE"""),46211.0)</f>
        <v>46211</v>
      </c>
      <c r="B1112" s="21" t="str">
        <f>IFERROR(__xludf.DUMMYFUNCTION("""COMPUTED_VALUE"""),"2607D071")</f>
        <v>2607D071</v>
      </c>
      <c r="C1112" s="23" t="str">
        <f>IFERROR(__xludf.DUMMYFUNCTION("""COMPUTED_VALUE"""),"Rejokencana")</f>
        <v>Rejokencana</v>
      </c>
      <c r="D1112" s="24" t="str">
        <f>IFERROR(__xludf.DUMMYFUNCTION("""COMPUTED_VALUE"""),"085730262845")</f>
        <v>085730262845</v>
      </c>
      <c r="E1112" s="14" t="str">
        <f>IFERROR(__xludf.DUMMYFUNCTION("""COMPUTED_VALUE"""),"Instagram")</f>
        <v>Instagram</v>
      </c>
      <c r="F1112" s="14" t="str">
        <f>IFERROR(__xludf.DUMMYFUNCTION("""COMPUTED_VALUE"""),"Leads Baru")</f>
        <v>Leads Baru</v>
      </c>
      <c r="G1112" s="14" t="str">
        <f>IFERROR(__xludf.DUMMYFUNCTION("""COMPUTED_VALUE"""),"2h1m custome")</f>
        <v>2h1m custome</v>
      </c>
      <c r="H1112" s="26">
        <f>IFERROR(__xludf.DUMMYFUNCTION("""COMPUTED_VALUE"""),46267.0)</f>
        <v>46267</v>
      </c>
      <c r="I1112" s="27">
        <f>IFERROR(__xludf.DUMMYFUNCTION("""COMPUTED_VALUE"""),25.0)</f>
        <v>25</v>
      </c>
      <c r="J1112" s="33"/>
      <c r="K1112" s="30" t="str">
        <f>IFERROR(__xludf.DUMMYFUNCTION("""COMPUTED_VALUE"""),"FU 5 Agustus")</f>
        <v>FU 5 Agustus</v>
      </c>
      <c r="L1112" s="23"/>
      <c r="M1112" s="20"/>
      <c r="N1112" s="20"/>
      <c r="O1112" s="20"/>
      <c r="P1112" s="20"/>
    </row>
    <row r="1113">
      <c r="A1113" s="11">
        <f>IFERROR(__xludf.DUMMYFUNCTION("""COMPUTED_VALUE"""),46212.0)</f>
        <v>46212</v>
      </c>
      <c r="B1113" s="11" t="str">
        <f>IFERROR(__xludf.DUMMYFUNCTION("""COMPUTED_VALUE"""),"2607D072")</f>
        <v>2607D072</v>
      </c>
      <c r="C1113" s="10" t="str">
        <f>IFERROR(__xludf.DUMMYFUNCTION("""COMPUTED_VALUE"""),"No Name FG")</f>
        <v>No Name FG</v>
      </c>
      <c r="D1113" s="13" t="str">
        <f>IFERROR(__xludf.DUMMYFUNCTION("""COMPUTED_VALUE"""),"082137543952")</f>
        <v>082137543952</v>
      </c>
      <c r="E1113" s="14" t="str">
        <f>IFERROR(__xludf.DUMMYFUNCTION("""COMPUTED_VALUE"""),"Website")</f>
        <v>Website</v>
      </c>
      <c r="F1113" s="14" t="str">
        <f>IFERROR(__xludf.DUMMYFUNCTION("""COMPUTED_VALUE"""),"Gagal")</f>
        <v>Gagal</v>
      </c>
      <c r="G1113" s="14" t="str">
        <f>IFERROR(__xludf.DUMMYFUNCTION("""COMPUTED_VALUE"""),"FG Ijen")</f>
        <v>FG Ijen</v>
      </c>
      <c r="H1113" s="16">
        <f>IFERROR(__xludf.DUMMYFUNCTION("""COMPUTED_VALUE"""),46213.0)</f>
        <v>46213</v>
      </c>
      <c r="I1113" s="17"/>
      <c r="J1113" s="54"/>
      <c r="K1113" s="46" t="str">
        <f>IFERROR(__xludf.DUMMYFUNCTION("""COMPUTED_VALUE"""),"gajadiii")</f>
        <v>gajadiii</v>
      </c>
      <c r="L1113" s="10"/>
      <c r="M1113" s="20"/>
      <c r="N1113" s="20"/>
      <c r="O1113" s="20"/>
      <c r="P1113" s="20"/>
    </row>
    <row r="1114">
      <c r="A1114" s="21">
        <f>IFERROR(__xludf.DUMMYFUNCTION("""COMPUTED_VALUE"""),46211.0)</f>
        <v>46211</v>
      </c>
      <c r="B1114" s="21" t="str">
        <f>IFERROR(__xludf.DUMMYFUNCTION("""COMPUTED_VALUE"""),"2607D073")</f>
        <v>2607D073</v>
      </c>
      <c r="C1114" s="23" t="str">
        <f>IFERROR(__xludf.DUMMYFUNCTION("""COMPUTED_VALUE"""),"Lisa Margareth")</f>
        <v>Lisa Margareth</v>
      </c>
      <c r="D1114" s="24" t="str">
        <f>IFERROR(__xludf.DUMMYFUNCTION("""COMPUTED_VALUE"""),"081310905429")</f>
        <v>081310905429</v>
      </c>
      <c r="E1114" s="14" t="str">
        <f>IFERROR(__xludf.DUMMYFUNCTION("""COMPUTED_VALUE"""),"Website")</f>
        <v>Website</v>
      </c>
      <c r="F1114" s="14" t="str">
        <f>IFERROR(__xludf.DUMMYFUNCTION("""COMPUTED_VALUE"""),"Gagal")</f>
        <v>Gagal</v>
      </c>
      <c r="G1114" s="14" t="str">
        <f>IFERROR(__xludf.DUMMYFUNCTION("""COMPUTED_VALUE"""),"2H1M opsi B")</f>
        <v>2H1M opsi B</v>
      </c>
      <c r="H1114" s="26">
        <f>IFERROR(__xludf.DUMMYFUNCTION("""COMPUTED_VALUE"""),46213.0)</f>
        <v>46213</v>
      </c>
      <c r="I1114" s="27">
        <f>IFERROR(__xludf.DUMMYFUNCTION("""COMPUTED_VALUE"""),5.0)</f>
        <v>5</v>
      </c>
      <c r="J1114" s="33"/>
      <c r="K1114" s="30" t="str">
        <f>IFERROR(__xludf.DUMMYFUNCTION("""COMPUTED_VALUE"""),"gajadiii, sudah di fu ga baless")</f>
        <v>gajadiii, sudah di fu ga baless</v>
      </c>
      <c r="L1114" s="23"/>
      <c r="M1114" s="20"/>
      <c r="N1114" s="20"/>
      <c r="O1114" s="20"/>
      <c r="P1114" s="20"/>
    </row>
    <row r="1115">
      <c r="A1115" s="11">
        <f>IFERROR(__xludf.DUMMYFUNCTION("""COMPUTED_VALUE"""),46212.0)</f>
        <v>46212</v>
      </c>
      <c r="B1115" s="11" t="str">
        <f>IFERROR(__xludf.DUMMYFUNCTION("""COMPUTED_VALUE"""),"2607D074")</f>
        <v>2607D074</v>
      </c>
      <c r="C1115" s="10" t="str">
        <f>IFERROR(__xludf.DUMMYFUNCTION("""COMPUTED_VALUE"""),"Rose")</f>
        <v>Rose</v>
      </c>
      <c r="D1115" s="13" t="str">
        <f>IFERROR(__xludf.DUMMYFUNCTION("""COMPUTED_VALUE"""),"089680158397")</f>
        <v>089680158397</v>
      </c>
      <c r="E1115" s="14" t="str">
        <f>IFERROR(__xludf.DUMMYFUNCTION("""COMPUTED_VALUE"""),"Instagram")</f>
        <v>Instagram</v>
      </c>
      <c r="F1115" s="14" t="str">
        <f>IFERROR(__xludf.DUMMYFUNCTION("""COMPUTED_VALUE"""),"Gagal")</f>
        <v>Gagal</v>
      </c>
      <c r="G1115" s="14" t="str">
        <f>IFERROR(__xludf.DUMMYFUNCTION("""COMPUTED_VALUE"""),"open trip Ijen")</f>
        <v>open trip Ijen</v>
      </c>
      <c r="H1115" s="16">
        <f>IFERROR(__xludf.DUMMYFUNCTION("""COMPUTED_VALUE"""),46213.0)</f>
        <v>46213</v>
      </c>
      <c r="I1115" s="17">
        <f>IFERROR(__xludf.DUMMYFUNCTION("""COMPUTED_VALUE"""),1.0)</f>
        <v>1</v>
      </c>
      <c r="J1115" s="54"/>
      <c r="K1115" s="46" t="str">
        <f>IFERROR(__xludf.DUMMYFUNCTION("""COMPUTED_VALUE"""),"tanya OT, tapi gamau OT Ijen")</f>
        <v>tanya OT, tapi gamau OT Ijen</v>
      </c>
      <c r="L1115" s="10"/>
      <c r="M1115" s="20"/>
      <c r="N1115" s="20"/>
      <c r="O1115" s="20"/>
      <c r="P1115" s="20"/>
    </row>
    <row r="1116">
      <c r="A1116" s="21">
        <f>IFERROR(__xludf.DUMMYFUNCTION("""COMPUTED_VALUE"""),46212.0)</f>
        <v>46212</v>
      </c>
      <c r="B1116" s="21" t="str">
        <f>IFERROR(__xludf.DUMMYFUNCTION("""COMPUTED_VALUE"""),"2607D075")</f>
        <v>2607D075</v>
      </c>
      <c r="C1116" s="23" t="str">
        <f>IFERROR(__xludf.DUMMYFUNCTION("""COMPUTED_VALUE"""),"Suida")</f>
        <v>Suida</v>
      </c>
      <c r="D1116" s="24" t="str">
        <f>IFERROR(__xludf.DUMMYFUNCTION("""COMPUTED_VALUE"""),"087882828802")</f>
        <v>087882828802</v>
      </c>
      <c r="E1116" s="14" t="str">
        <f>IFERROR(__xludf.DUMMYFUNCTION("""COMPUTED_VALUE"""),"Instagram")</f>
        <v>Instagram</v>
      </c>
      <c r="F1116" s="14" t="str">
        <f>IFERROR(__xludf.DUMMYFUNCTION("""COMPUTED_VALUE"""),"Leads Baru")</f>
        <v>Leads Baru</v>
      </c>
      <c r="G1116" s="14"/>
      <c r="H1116" s="26"/>
      <c r="I1116" s="27"/>
      <c r="J1116" s="33"/>
      <c r="K1116" s="30" t="str">
        <f>IFERROR(__xludf.DUMMYFUNCTION("""COMPUTED_VALUE"""),"baru menyapa")</f>
        <v>baru menyapa</v>
      </c>
      <c r="L1116" s="23"/>
      <c r="M1116" s="20"/>
      <c r="N1116" s="20"/>
      <c r="O1116" s="20"/>
      <c r="P1116" s="20"/>
    </row>
    <row r="1117">
      <c r="A1117" s="11">
        <f>IFERROR(__xludf.DUMMYFUNCTION("""COMPUTED_VALUE"""),46213.0)</f>
        <v>46213</v>
      </c>
      <c r="B1117" s="11" t="str">
        <f>IFERROR(__xludf.DUMMYFUNCTION("""COMPUTED_VALUE"""),"2607D076")</f>
        <v>2607D076</v>
      </c>
      <c r="C1117" s="10" t="str">
        <f>IFERROR(__xludf.DUMMYFUNCTION("""COMPUTED_VALUE"""),"Maulida Rizki")</f>
        <v>Maulida Rizki</v>
      </c>
      <c r="D1117" s="13" t="str">
        <f>IFERROR(__xludf.DUMMYFUNCTION("""COMPUTED_VALUE"""),"083854812634")</f>
        <v>083854812634</v>
      </c>
      <c r="E1117" s="14" t="str">
        <f>IFERROR(__xludf.DUMMYFUNCTION("""COMPUTED_VALUE"""),"Instagram")</f>
        <v>Instagram</v>
      </c>
      <c r="F1117" s="14" t="str">
        <f>IFERROR(__xludf.DUMMYFUNCTION("""COMPUTED_VALUE"""),"Gagal")</f>
        <v>Gagal</v>
      </c>
      <c r="G1117" s="14" t="str">
        <f>IFERROR(__xludf.DUMMYFUNCTION("""COMPUTED_VALUE"""),"OT DjaBal")</f>
        <v>OT DjaBal</v>
      </c>
      <c r="H1117" s="16">
        <f>IFERROR(__xludf.DUMMYFUNCTION("""COMPUTED_VALUE"""),46214.0)</f>
        <v>46214</v>
      </c>
      <c r="I1117" s="17">
        <f>IFERROR(__xludf.DUMMYFUNCTION("""COMPUTED_VALUE"""),2.0)</f>
        <v>2</v>
      </c>
      <c r="J1117" s="54"/>
      <c r="K1117" s="46" t="str">
        <f>IFERROR(__xludf.DUMMYFUNCTION("""COMPUTED_VALUE"""),"tidak balas lagi")</f>
        <v>tidak balas lagi</v>
      </c>
      <c r="L1117" s="10"/>
      <c r="M1117" s="20"/>
      <c r="N1117" s="20"/>
      <c r="O1117" s="20"/>
      <c r="P1117" s="20"/>
    </row>
    <row r="1118">
      <c r="A1118" s="21">
        <f>IFERROR(__xludf.DUMMYFUNCTION("""COMPUTED_VALUE"""),46213.0)</f>
        <v>46213</v>
      </c>
      <c r="B1118" s="21" t="str">
        <f>IFERROR(__xludf.DUMMYFUNCTION("""COMPUTED_VALUE"""),"2607D077")</f>
        <v>2607D077</v>
      </c>
      <c r="C1118" s="23" t="str">
        <f>IFERROR(__xludf.DUMMYFUNCTION("""COMPUTED_VALUE"""),"Ahmad Supriadi")</f>
        <v>Ahmad Supriadi</v>
      </c>
      <c r="D1118" s="24" t="str">
        <f>IFERROR(__xludf.DUMMYFUNCTION("""COMPUTED_VALUE"""),"082127432230")</f>
        <v>082127432230</v>
      </c>
      <c r="E1118" s="14" t="str">
        <f>IFERROR(__xludf.DUMMYFUNCTION("""COMPUTED_VALUE"""),"Website")</f>
        <v>Website</v>
      </c>
      <c r="F1118" s="14" t="str">
        <f>IFERROR(__xludf.DUMMYFUNCTION("""COMPUTED_VALUE"""),"Gagal")</f>
        <v>Gagal</v>
      </c>
      <c r="G1118" s="14" t="str">
        <f>IFERROR(__xludf.DUMMYFUNCTION("""COMPUTED_VALUE"""),"trip DjaBal")</f>
        <v>trip DjaBal</v>
      </c>
      <c r="H1118" s="26">
        <f>IFERROR(__xludf.DUMMYFUNCTION("""COMPUTED_VALUE"""),46214.0)</f>
        <v>46214</v>
      </c>
      <c r="I1118" s="27">
        <f>IFERROR(__xludf.DUMMYFUNCTION("""COMPUTED_VALUE"""),1.0)</f>
        <v>1</v>
      </c>
      <c r="J1118" s="33"/>
      <c r="K1118" s="30" t="str">
        <f>IFERROR(__xludf.DUMMYFUNCTION("""COMPUTED_VALUE"""),"private trip bm bisa 1 orang")</f>
        <v>private trip bm bisa 1 orang</v>
      </c>
      <c r="L1118" s="23"/>
      <c r="M1118" s="20"/>
      <c r="N1118" s="20"/>
      <c r="O1118" s="20"/>
      <c r="P1118" s="20"/>
    </row>
    <row r="1119">
      <c r="A1119" s="11">
        <f>IFERROR(__xludf.DUMMYFUNCTION("""COMPUTED_VALUE"""),46211.0)</f>
        <v>46211</v>
      </c>
      <c r="B1119" s="11" t="str">
        <f>IFERROR(__xludf.DUMMYFUNCTION("""COMPUTED_VALUE"""),"2607D078")</f>
        <v>2607D078</v>
      </c>
      <c r="C1119" s="10" t="str">
        <f>IFERROR(__xludf.DUMMYFUNCTION("""COMPUTED_VALUE"""),"Cookiecology")</f>
        <v>Cookiecology</v>
      </c>
      <c r="D1119" s="13" t="str">
        <f>IFERROR(__xludf.DUMMYFUNCTION("""COMPUTED_VALUE"""),"081213841930")</f>
        <v>081213841930</v>
      </c>
      <c r="E1119" s="14" t="str">
        <f>IFERROR(__xludf.DUMMYFUNCTION("""COMPUTED_VALUE"""),"Instagram")</f>
        <v>Instagram</v>
      </c>
      <c r="F1119" s="14" t="str">
        <f>IFERROR(__xludf.DUMMYFUNCTION("""COMPUTED_VALUE"""),"Leads Baru")</f>
        <v>Leads Baru</v>
      </c>
      <c r="G1119" s="14" t="str">
        <f>IFERROR(__xludf.DUMMYFUNCTION("""COMPUTED_VALUE"""),"1 day trip")</f>
        <v>1 day trip</v>
      </c>
      <c r="H1119" s="16"/>
      <c r="I1119" s="17">
        <f>IFERROR(__xludf.DUMMYFUNCTION("""COMPUTED_VALUE"""),4.0)</f>
        <v>4</v>
      </c>
      <c r="J1119" s="54"/>
      <c r="K1119" s="46" t="str">
        <f>IFERROR(__xludf.DUMMYFUNCTION("""COMPUTED_VALUE"""),"FU 12 Juli")</f>
        <v>FU 12 Juli</v>
      </c>
      <c r="L1119" s="10"/>
      <c r="M1119" s="20"/>
      <c r="N1119" s="20"/>
      <c r="O1119" s="20"/>
      <c r="P1119" s="20"/>
    </row>
    <row r="1120">
      <c r="A1120" s="21">
        <f>IFERROR(__xludf.DUMMYFUNCTION("""COMPUTED_VALUE"""),46211.0)</f>
        <v>46211</v>
      </c>
      <c r="B1120" s="21" t="str">
        <f>IFERROR(__xludf.DUMMYFUNCTION("""COMPUTED_VALUE"""),"2607D079")</f>
        <v>2607D079</v>
      </c>
      <c r="C1120" s="23" t="str">
        <f>IFERROR(__xludf.DUMMYFUNCTION("""COMPUTED_VALUE"""),"Del  ")</f>
        <v>Del  </v>
      </c>
      <c r="D1120" s="24" t="str">
        <f>IFERROR(__xludf.DUMMYFUNCTION("""COMPUTED_VALUE"""),"081324026657")</f>
        <v>081324026657</v>
      </c>
      <c r="E1120" s="14" t="str">
        <f>IFERROR(__xludf.DUMMYFUNCTION("""COMPUTED_VALUE"""),"Lainnya")</f>
        <v>Lainnya</v>
      </c>
      <c r="F1120" s="14" t="str">
        <f>IFERROR(__xludf.DUMMYFUNCTION("""COMPUTED_VALUE"""),"Leads Baru")</f>
        <v>Leads Baru</v>
      </c>
      <c r="G1120" s="14"/>
      <c r="H1120" s="26"/>
      <c r="I1120" s="27">
        <f>IFERROR(__xludf.DUMMYFUNCTION("""COMPUTED_VALUE"""),2.0)</f>
        <v>2</v>
      </c>
      <c r="J1120" s="33"/>
      <c r="K1120" s="30"/>
      <c r="L1120" s="23"/>
      <c r="M1120" s="20"/>
      <c r="N1120" s="20"/>
      <c r="O1120" s="20"/>
      <c r="P1120" s="20"/>
    </row>
    <row r="1121">
      <c r="A1121" s="11">
        <f>IFERROR(__xludf.DUMMYFUNCTION("""COMPUTED_VALUE"""),46211.0)</f>
        <v>46211</v>
      </c>
      <c r="B1121" s="11" t="str">
        <f>IFERROR(__xludf.DUMMYFUNCTION("""COMPUTED_VALUE"""),"2607D080")</f>
        <v>2607D080</v>
      </c>
      <c r="C1121" s="10" t="str">
        <f>IFERROR(__xludf.DUMMYFUNCTION("""COMPUTED_VALUE"""),"No Name MTB")</f>
        <v>No Name MTB</v>
      </c>
      <c r="D1121" s="13" t="str">
        <f>IFERROR(__xludf.DUMMYFUNCTION("""COMPUTED_VALUE"""),"082132343238")</f>
        <v>082132343238</v>
      </c>
      <c r="E1121" s="14" t="str">
        <f>IFERROR(__xludf.DUMMYFUNCTION("""COMPUTED_VALUE"""),"Website")</f>
        <v>Website</v>
      </c>
      <c r="F1121" s="14" t="str">
        <f>IFERROR(__xludf.DUMMYFUNCTION("""COMPUTED_VALUE"""),"Leads Baru")</f>
        <v>Leads Baru</v>
      </c>
      <c r="G1121" s="14"/>
      <c r="H1121" s="16"/>
      <c r="I1121" s="17"/>
      <c r="J1121" s="54"/>
      <c r="K1121" s="46"/>
      <c r="L1121" s="10"/>
      <c r="M1121" s="20"/>
      <c r="N1121" s="20"/>
      <c r="O1121" s="20"/>
      <c r="P1121" s="20"/>
    </row>
    <row r="1122">
      <c r="A1122" s="21">
        <f>IFERROR(__xludf.DUMMYFUNCTION("""COMPUTED_VALUE"""),46213.0)</f>
        <v>46213</v>
      </c>
      <c r="B1122" s="21" t="str">
        <f>IFERROR(__xludf.DUMMYFUNCTION("""COMPUTED_VALUE"""),"2607D081")</f>
        <v>2607D081</v>
      </c>
      <c r="C1122" s="23" t="str">
        <f>IFERROR(__xludf.DUMMYFUNCTION("""COMPUTED_VALUE"""),"Ira")</f>
        <v>Ira</v>
      </c>
      <c r="D1122" s="24" t="str">
        <f>IFERROR(__xludf.DUMMYFUNCTION("""COMPUTED_VALUE"""),"082129111418")</f>
        <v>082129111418</v>
      </c>
      <c r="E1122" s="14" t="str">
        <f>IFERROR(__xludf.DUMMYFUNCTION("""COMPUTED_VALUE"""),"Instagram")</f>
        <v>Instagram</v>
      </c>
      <c r="F1122" s="14" t="str">
        <f>IFERROR(__xludf.DUMMYFUNCTION("""COMPUTED_VALUE"""),"Leads Baru")</f>
        <v>Leads Baru</v>
      </c>
      <c r="G1122" s="14" t="str">
        <f>IFERROR(__xludf.DUMMYFUNCTION("""COMPUTED_VALUE"""),"OT 3H2M")</f>
        <v>OT 3H2M</v>
      </c>
      <c r="H1122" s="26">
        <f>IFERROR(__xludf.DUMMYFUNCTION("""COMPUTED_VALUE"""),46257.0)</f>
        <v>46257</v>
      </c>
      <c r="I1122" s="27">
        <f>IFERROR(__xludf.DUMMYFUNCTION("""COMPUTED_VALUE"""),2.0)</f>
        <v>2</v>
      </c>
      <c r="J1122" s="33"/>
      <c r="K1122" s="30"/>
      <c r="L1122" s="23"/>
      <c r="M1122" s="20"/>
      <c r="N1122" s="20"/>
      <c r="O1122" s="20"/>
      <c r="P1122" s="20"/>
    </row>
    <row r="1123">
      <c r="A1123" s="11">
        <f>IFERROR(__xludf.DUMMYFUNCTION("""COMPUTED_VALUE"""),46213.0)</f>
        <v>46213</v>
      </c>
      <c r="B1123" s="11" t="str">
        <f>IFERROR(__xludf.DUMMYFUNCTION("""COMPUTED_VALUE"""),"2607D082")</f>
        <v>2607D082</v>
      </c>
      <c r="C1123" s="10" t="str">
        <f>IFERROR(__xludf.DUMMYFUNCTION("""COMPUTED_VALUE"""),"Mima")</f>
        <v>Mima</v>
      </c>
      <c r="D1123" s="13" t="str">
        <f>IFERROR(__xludf.DUMMYFUNCTION("""COMPUTED_VALUE"""),"085190344454")</f>
        <v>085190344454</v>
      </c>
      <c r="E1123" s="14" t="str">
        <f>IFERROR(__xludf.DUMMYFUNCTION("""COMPUTED_VALUE"""),"Instagram")</f>
        <v>Instagram</v>
      </c>
      <c r="F1123" s="14" t="str">
        <f>IFERROR(__xludf.DUMMYFUNCTION("""COMPUTED_VALUE"""),"Closing")</f>
        <v>Closing</v>
      </c>
      <c r="G1123" s="14" t="str">
        <f>IFERROR(__xludf.DUMMYFUNCTION("""COMPUTED_VALUE"""),"1 day Menjangan Baluran")</f>
        <v>1 day Menjangan Baluran</v>
      </c>
      <c r="H1123" s="16">
        <f>IFERROR(__xludf.DUMMYFUNCTION("""COMPUTED_VALUE"""),46215.0)</f>
        <v>46215</v>
      </c>
      <c r="I1123" s="17">
        <f>IFERROR(__xludf.DUMMYFUNCTION("""COMPUTED_VALUE"""),4.0)</f>
        <v>4</v>
      </c>
      <c r="J1123" s="54">
        <f>IFERROR(__xludf.DUMMYFUNCTION("""COMPUTED_VALUE"""),3480000.0)</f>
        <v>3480000</v>
      </c>
      <c r="K1123" s="46" t="str">
        <f>IFERROR(__xludf.DUMMYFUNCTION("""COMPUTED_VALUE"""),"alhamdulillah orderr")</f>
        <v>alhamdulillah orderr</v>
      </c>
      <c r="L1123" s="10"/>
      <c r="M1123" s="20"/>
      <c r="N1123" s="20"/>
      <c r="O1123" s="20"/>
      <c r="P1123" s="20"/>
    </row>
    <row r="1124">
      <c r="A1124" s="21">
        <f>IFERROR(__xludf.DUMMYFUNCTION("""COMPUTED_VALUE"""),46213.0)</f>
        <v>46213</v>
      </c>
      <c r="B1124" s="21" t="str">
        <f>IFERROR(__xludf.DUMMYFUNCTION("""COMPUTED_VALUE"""),"2607D083")</f>
        <v>2607D083</v>
      </c>
      <c r="C1124" s="23" t="str">
        <f>IFERROR(__xludf.DUMMYFUNCTION("""COMPUTED_VALUE"""),"Ardia")</f>
        <v>Ardia</v>
      </c>
      <c r="D1124" s="24" t="str">
        <f>IFERROR(__xludf.DUMMYFUNCTION("""COMPUTED_VALUE"""),"081994043386")</f>
        <v>081994043386</v>
      </c>
      <c r="E1124" s="14" t="str">
        <f>IFERROR(__xludf.DUMMYFUNCTION("""COMPUTED_VALUE"""),"Website")</f>
        <v>Website</v>
      </c>
      <c r="F1124" s="14" t="str">
        <f>IFERROR(__xludf.DUMMYFUNCTION("""COMPUTED_VALUE"""),"Gagal")</f>
        <v>Gagal</v>
      </c>
      <c r="G1124" s="14" t="str">
        <f>IFERROR(__xludf.DUMMYFUNCTION("""COMPUTED_VALUE"""),"private trip Ijen")</f>
        <v>private trip Ijen</v>
      </c>
      <c r="H1124" s="26">
        <f>IFERROR(__xludf.DUMMYFUNCTION("""COMPUTED_VALUE"""),46217.0)</f>
        <v>46217</v>
      </c>
      <c r="I1124" s="27">
        <f>IFERROR(__xludf.DUMMYFUNCTION("""COMPUTED_VALUE"""),2.0)</f>
        <v>2</v>
      </c>
      <c r="J1124" s="33"/>
      <c r="K1124" s="30" t="str">
        <f>IFERROR(__xludf.DUMMYFUNCTION("""COMPUTED_VALUE"""),"cancelll, ganti destinasi")</f>
        <v>cancelll, ganti destinasi</v>
      </c>
      <c r="L1124" s="23"/>
      <c r="M1124" s="20"/>
      <c r="N1124" s="20"/>
      <c r="O1124" s="20"/>
      <c r="P1124" s="20"/>
    </row>
    <row r="1125">
      <c r="A1125" s="11">
        <f>IFERROR(__xludf.DUMMYFUNCTION("""COMPUTED_VALUE"""),46214.0)</f>
        <v>46214</v>
      </c>
      <c r="B1125" s="11" t="str">
        <f>IFERROR(__xludf.DUMMYFUNCTION("""COMPUTED_VALUE"""),"2607D084")</f>
        <v>2607D084</v>
      </c>
      <c r="C1125" s="10" t="str">
        <f>IFERROR(__xludf.DUMMYFUNCTION("""COMPUTED_VALUE"""),"Dini")</f>
        <v>Dini</v>
      </c>
      <c r="D1125" s="13" t="str">
        <f>IFERROR(__xludf.DUMMYFUNCTION("""COMPUTED_VALUE"""),"088210025988")</f>
        <v>088210025988</v>
      </c>
      <c r="E1125" s="14" t="str">
        <f>IFERROR(__xludf.DUMMYFUNCTION("""COMPUTED_VALUE"""),"Instagram")</f>
        <v>Instagram</v>
      </c>
      <c r="F1125" s="14" t="str">
        <f>IFERROR(__xludf.DUMMYFUNCTION("""COMPUTED_VALUE"""),"Qualified")</f>
        <v>Qualified</v>
      </c>
      <c r="G1125" s="14" t="str">
        <f>IFERROR(__xludf.DUMMYFUNCTION("""COMPUTED_VALUE"""),"3H2M honeymoon")</f>
        <v>3H2M honeymoon</v>
      </c>
      <c r="H1125" s="16"/>
      <c r="I1125" s="17">
        <f>IFERROR(__xludf.DUMMYFUNCTION("""COMPUTED_VALUE"""),2.0)</f>
        <v>2</v>
      </c>
      <c r="J1125" s="54"/>
      <c r="K1125" s="46" t="str">
        <f>IFERROR(__xludf.DUMMYFUNCTION("""COMPUTED_VALUE"""),"FU 5 Agustus ")</f>
        <v>FU 5 Agustus </v>
      </c>
      <c r="L1125" s="10"/>
      <c r="M1125" s="20"/>
      <c r="N1125" s="20"/>
      <c r="O1125" s="20"/>
      <c r="P1125" s="20"/>
    </row>
    <row r="1126">
      <c r="A1126" s="21">
        <f>IFERROR(__xludf.DUMMYFUNCTION("""COMPUTED_VALUE"""),46214.0)</f>
        <v>46214</v>
      </c>
      <c r="B1126" s="21" t="str">
        <f>IFERROR(__xludf.DUMMYFUNCTION("""COMPUTED_VALUE"""),"2607D085")</f>
        <v>2607D085</v>
      </c>
      <c r="C1126" s="23" t="str">
        <f>IFERROR(__xludf.DUMMYFUNCTION("""COMPUTED_VALUE"""),"Salamma Nadila")</f>
        <v>Salamma Nadila</v>
      </c>
      <c r="D1126" s="24" t="str">
        <f>IFERROR(__xludf.DUMMYFUNCTION("""COMPUTED_VALUE"""),"081316284576")</f>
        <v>081316284576</v>
      </c>
      <c r="E1126" s="14" t="str">
        <f>IFERROR(__xludf.DUMMYFUNCTION("""COMPUTED_VALUE"""),"Instagram")</f>
        <v>Instagram</v>
      </c>
      <c r="F1126" s="14" t="str">
        <f>IFERROR(__xludf.DUMMYFUNCTION("""COMPUTED_VALUE"""),"Gagal")</f>
        <v>Gagal</v>
      </c>
      <c r="G1126" s="14" t="str">
        <f>IFERROR(__xludf.DUMMYFUNCTION("""COMPUTED_VALUE"""),"2h1m custome")</f>
        <v>2h1m custome</v>
      </c>
      <c r="H1126" s="26">
        <f>IFERROR(__xludf.DUMMYFUNCTION("""COMPUTED_VALUE"""),46228.0)</f>
        <v>46228</v>
      </c>
      <c r="I1126" s="27">
        <f>IFERROR(__xludf.DUMMYFUNCTION("""COMPUTED_VALUE"""),1.0)</f>
        <v>1</v>
      </c>
      <c r="J1126" s="33"/>
      <c r="K1126" s="30" t="str">
        <f>IFERROR(__xludf.DUMMYFUNCTION("""COMPUTED_VALUE"""),"tidak jadi ada acara mendadak")</f>
        <v>tidak jadi ada acara mendadak</v>
      </c>
      <c r="L1126" s="23"/>
      <c r="M1126" s="20"/>
      <c r="N1126" s="20"/>
      <c r="O1126" s="20"/>
      <c r="P1126" s="20"/>
    </row>
    <row r="1127">
      <c r="A1127" s="11">
        <f>IFERROR(__xludf.DUMMYFUNCTION("""COMPUTED_VALUE"""),46214.0)</f>
        <v>46214</v>
      </c>
      <c r="B1127" s="11" t="str">
        <f>IFERROR(__xludf.DUMMYFUNCTION("""COMPUTED_VALUE"""),"2607D084")</f>
        <v>2607D084</v>
      </c>
      <c r="C1127" s="10" t="str">
        <f>IFERROR(__xludf.DUMMYFUNCTION("""COMPUTED_VALUE"""),"Dina")</f>
        <v>Dina</v>
      </c>
      <c r="D1127" s="13" t="str">
        <f>IFERROR(__xludf.DUMMYFUNCTION("""COMPUTED_VALUE"""),"081210092570")</f>
        <v>081210092570</v>
      </c>
      <c r="E1127" s="14" t="str">
        <f>IFERROR(__xludf.DUMMYFUNCTION("""COMPUTED_VALUE"""),"Instagram")</f>
        <v>Instagram</v>
      </c>
      <c r="F1127" s="14" t="str">
        <f>IFERROR(__xludf.DUMMYFUNCTION("""COMPUTED_VALUE"""),"Gagal")</f>
        <v>Gagal</v>
      </c>
      <c r="G1127" s="14" t="str">
        <f>IFERROR(__xludf.DUMMYFUNCTION("""COMPUTED_VALUE"""),"open trip harian")</f>
        <v>open trip harian</v>
      </c>
      <c r="H1127" s="16">
        <f>IFERROR(__xludf.DUMMYFUNCTION("""COMPUTED_VALUE"""),46217.0)</f>
        <v>46217</v>
      </c>
      <c r="I1127" s="17">
        <f>IFERROR(__xludf.DUMMYFUNCTION("""COMPUTED_VALUE"""),2.0)</f>
        <v>2</v>
      </c>
      <c r="J1127" s="54"/>
      <c r="K1127" s="46" t="str">
        <f>IFERROR(__xludf.DUMMYFUNCTION("""COMPUTED_VALUE"""),"FU 12 Juli")</f>
        <v>FU 12 Juli</v>
      </c>
      <c r="L1127" s="10"/>
      <c r="M1127" s="20"/>
      <c r="N1127" s="20"/>
      <c r="O1127" s="20"/>
      <c r="P1127" s="20"/>
    </row>
    <row r="1128">
      <c r="A1128" s="21">
        <f>IFERROR(__xludf.DUMMYFUNCTION("""COMPUTED_VALUE"""),46214.0)</f>
        <v>46214</v>
      </c>
      <c r="B1128" s="21" t="str">
        <f>IFERROR(__xludf.DUMMYFUNCTION("""COMPUTED_VALUE"""),"2607D085")</f>
        <v>2607D085</v>
      </c>
      <c r="C1128" s="23" t="str">
        <f>IFERROR(__xludf.DUMMYFUNCTION("""COMPUTED_VALUE"""),"Frida")</f>
        <v>Frida</v>
      </c>
      <c r="D1128" s="24" t="str">
        <f>IFERROR(__xludf.DUMMYFUNCTION("""COMPUTED_VALUE"""),"085328722330")</f>
        <v>085328722330</v>
      </c>
      <c r="E1128" s="14" t="str">
        <f>IFERROR(__xludf.DUMMYFUNCTION("""COMPUTED_VALUE"""),"Instagram")</f>
        <v>Instagram</v>
      </c>
      <c r="F1128" s="14" t="str">
        <f>IFERROR(__xludf.DUMMYFUNCTION("""COMPUTED_VALUE"""),"Leads Baru")</f>
        <v>Leads Baru</v>
      </c>
      <c r="G1128" s="14" t="str">
        <f>IFERROR(__xludf.DUMMYFUNCTION("""COMPUTED_VALUE"""),"2H1M custome")</f>
        <v>2H1M custome</v>
      </c>
      <c r="H1128" s="26"/>
      <c r="I1128" s="27">
        <f>IFERROR(__xludf.DUMMYFUNCTION("""COMPUTED_VALUE"""),3.0)</f>
        <v>3</v>
      </c>
      <c r="J1128" s="33"/>
      <c r="K1128" s="30" t="str">
        <f>IFERROR(__xludf.DUMMYFUNCTION("""COMPUTED_VALUE"""),"FU 12 Juli")</f>
        <v>FU 12 Juli</v>
      </c>
      <c r="L1128" s="23"/>
      <c r="M1128" s="20"/>
      <c r="N1128" s="20"/>
      <c r="O1128" s="20"/>
      <c r="P1128" s="20"/>
    </row>
    <row r="1129">
      <c r="A1129" s="11">
        <f>IFERROR(__xludf.DUMMYFUNCTION("""COMPUTED_VALUE"""),46215.0)</f>
        <v>46215</v>
      </c>
      <c r="B1129" s="11" t="str">
        <f>IFERROR(__xludf.DUMMYFUNCTION("""COMPUTED_VALUE"""),"2607D086")</f>
        <v>2607D086</v>
      </c>
      <c r="C1129" s="10" t="str">
        <f>IFERROR(__xludf.DUMMYFUNCTION("""COMPUTED_VALUE"""),"Christanti")</f>
        <v>Christanti</v>
      </c>
      <c r="D1129" s="13" t="str">
        <f>IFERROR(__xludf.DUMMYFUNCTION("""COMPUTED_VALUE"""),"081215951574")</f>
        <v>081215951574</v>
      </c>
      <c r="E1129" s="14" t="str">
        <f>IFERROR(__xludf.DUMMYFUNCTION("""COMPUTED_VALUE"""),"Instagram")</f>
        <v>Instagram</v>
      </c>
      <c r="F1129" s="14" t="str">
        <f>IFERROR(__xludf.DUMMYFUNCTION("""COMPUTED_VALUE"""),"Leads Baru")</f>
        <v>Leads Baru</v>
      </c>
      <c r="G1129" s="14"/>
      <c r="H1129" s="16"/>
      <c r="I1129" s="17"/>
      <c r="J1129" s="54"/>
      <c r="K1129" s="46"/>
      <c r="L1129" s="10"/>
      <c r="M1129" s="20"/>
      <c r="N1129" s="20"/>
      <c r="O1129" s="20"/>
      <c r="P1129" s="20"/>
    </row>
    <row r="1130">
      <c r="A1130" s="21">
        <f>IFERROR(__xludf.DUMMYFUNCTION("""COMPUTED_VALUE"""),46224.0)</f>
        <v>46224</v>
      </c>
      <c r="B1130" s="21" t="str">
        <f>IFERROR(__xludf.DUMMYFUNCTION("""COMPUTED_VALUE"""),"2607D087")</f>
        <v>2607D087</v>
      </c>
      <c r="C1130" s="23" t="str">
        <f>IFERROR(__xludf.DUMMYFUNCTION("""COMPUTED_VALUE"""),"Noverio")</f>
        <v>Noverio</v>
      </c>
      <c r="D1130" s="24" t="str">
        <f>IFERROR(__xludf.DUMMYFUNCTION("""COMPUTED_VALUE"""),"081336078001")</f>
        <v>081336078001</v>
      </c>
      <c r="E1130" s="14" t="str">
        <f>IFERROR(__xludf.DUMMYFUNCTION("""COMPUTED_VALUE"""),"Website")</f>
        <v>Website</v>
      </c>
      <c r="F1130" s="14" t="str">
        <f>IFERROR(__xludf.DUMMYFUNCTION("""COMPUTED_VALUE"""),"Closing")</f>
        <v>Closing</v>
      </c>
      <c r="G1130" s="14" t="str">
        <f>IFERROR(__xludf.DUMMYFUNCTION("""COMPUTED_VALUE"""),"private Ijen")</f>
        <v>private Ijen</v>
      </c>
      <c r="H1130" s="26">
        <f>IFERROR(__xludf.DUMMYFUNCTION("""COMPUTED_VALUE"""),46221.0)</f>
        <v>46221</v>
      </c>
      <c r="I1130" s="27">
        <f>IFERROR(__xludf.DUMMYFUNCTION("""COMPUTED_VALUE"""),2.0)</f>
        <v>2</v>
      </c>
      <c r="J1130" s="33">
        <f>IFERROR(__xludf.DUMMYFUNCTION("""COMPUTED_VALUE"""),1228000.0)</f>
        <v>1228000</v>
      </c>
      <c r="K1130" s="30" t="str">
        <f>IFERROR(__xludf.DUMMYFUNCTION("""COMPUTED_VALUE"""),"orrderrr")</f>
        <v>orrderrr</v>
      </c>
      <c r="L1130" s="23"/>
      <c r="M1130" s="20"/>
      <c r="N1130" s="20"/>
      <c r="O1130" s="20"/>
      <c r="P1130" s="20"/>
    </row>
    <row r="1131">
      <c r="A1131" s="11">
        <f>IFERROR(__xludf.DUMMYFUNCTION("""COMPUTED_VALUE"""),46216.0)</f>
        <v>46216</v>
      </c>
      <c r="B1131" s="11" t="str">
        <f>IFERROR(__xludf.DUMMYFUNCTION("""COMPUTED_VALUE"""),"2607D088")</f>
        <v>2607D088</v>
      </c>
      <c r="C1131" s="10" t="str">
        <f>IFERROR(__xludf.DUMMYFUNCTION("""COMPUTED_VALUE"""),"Notbudiharto")</f>
        <v>Notbudiharto</v>
      </c>
      <c r="D1131" s="13" t="str">
        <f>IFERROR(__xludf.DUMMYFUNCTION("""COMPUTED_VALUE"""),"082188981943")</f>
        <v>082188981943</v>
      </c>
      <c r="E1131" s="14" t="str">
        <f>IFERROR(__xludf.DUMMYFUNCTION("""COMPUTED_VALUE"""),"Website")</f>
        <v>Website</v>
      </c>
      <c r="F1131" s="14" t="str">
        <f>IFERROR(__xludf.DUMMYFUNCTION("""COMPUTED_VALUE"""),"Leads Baru")</f>
        <v>Leads Baru</v>
      </c>
      <c r="G1131" s="14"/>
      <c r="H1131" s="16"/>
      <c r="I1131" s="17"/>
      <c r="J1131" s="54"/>
      <c r="K1131" s="46" t="str">
        <f>IFERROR(__xludf.DUMMYFUNCTION("""COMPUTED_VALUE"""),"menyapa")</f>
        <v>menyapa</v>
      </c>
      <c r="L1131" s="10"/>
      <c r="M1131" s="20"/>
      <c r="N1131" s="20"/>
      <c r="O1131" s="20"/>
      <c r="P1131" s="20"/>
    </row>
    <row r="1132">
      <c r="A1132" s="21">
        <f>IFERROR(__xludf.DUMMYFUNCTION("""COMPUTED_VALUE"""),46216.0)</f>
        <v>46216</v>
      </c>
      <c r="B1132" s="21" t="str">
        <f>IFERROR(__xludf.DUMMYFUNCTION("""COMPUTED_VALUE"""),"2607D089")</f>
        <v>2607D089</v>
      </c>
      <c r="C1132" s="23" t="str">
        <f>IFERROR(__xludf.DUMMYFUNCTION("""COMPUTED_VALUE"""),"Arini")</f>
        <v>Arini</v>
      </c>
      <c r="D1132" s="24" t="str">
        <f>IFERROR(__xludf.DUMMYFUNCTION("""COMPUTED_VALUE"""),"085648929168")</f>
        <v>085648929168</v>
      </c>
      <c r="E1132" s="14" t="str">
        <f>IFERROR(__xludf.DUMMYFUNCTION("""COMPUTED_VALUE"""),"Instagram")</f>
        <v>Instagram</v>
      </c>
      <c r="F1132" s="14" t="str">
        <f>IFERROR(__xludf.DUMMYFUNCTION("""COMPUTED_VALUE"""),"Leads Baru")</f>
        <v>Leads Baru</v>
      </c>
      <c r="G1132" s="14" t="str">
        <f>IFERROR(__xludf.DUMMYFUNCTION("""COMPUTED_VALUE"""),"trip tabuhan")</f>
        <v>trip tabuhan</v>
      </c>
      <c r="H1132" s="26"/>
      <c r="I1132" s="27"/>
      <c r="J1132" s="33"/>
      <c r="K1132" s="30" t="str">
        <f>IFERROR(__xludf.DUMMYFUNCTION("""COMPUTED_VALUE"""),"FU 3 Agustus")</f>
        <v>FU 3 Agustus</v>
      </c>
      <c r="L1132" s="23"/>
      <c r="M1132" s="20"/>
      <c r="N1132" s="20"/>
      <c r="O1132" s="20"/>
      <c r="P1132" s="20"/>
    </row>
    <row r="1133">
      <c r="A1133" s="11">
        <f>IFERROR(__xludf.DUMMYFUNCTION("""COMPUTED_VALUE"""),46215.0)</f>
        <v>46215</v>
      </c>
      <c r="B1133" s="11" t="str">
        <f>IFERROR(__xludf.DUMMYFUNCTION("""COMPUTED_VALUE"""),"2607D090")</f>
        <v>2607D090</v>
      </c>
      <c r="C1133" s="10" t="str">
        <f>IFERROR(__xludf.DUMMYFUNCTION("""COMPUTED_VALUE"""),"Elvina Debora")</f>
        <v>Elvina Debora</v>
      </c>
      <c r="D1133" s="13" t="str">
        <f>IFERROR(__xludf.DUMMYFUNCTION("""COMPUTED_VALUE"""),"082211912128")</f>
        <v>082211912128</v>
      </c>
      <c r="E1133" s="14" t="str">
        <f>IFERROR(__xludf.DUMMYFUNCTION("""COMPUTED_VALUE"""),"Instagram")</f>
        <v>Instagram</v>
      </c>
      <c r="F1133" s="14" t="str">
        <f>IFERROR(__xludf.DUMMYFUNCTION("""COMPUTED_VALUE"""),"Leads Baru")</f>
        <v>Leads Baru</v>
      </c>
      <c r="G1133" s="14" t="str">
        <f>IFERROR(__xludf.DUMMYFUNCTION("""COMPUTED_VALUE"""),"OT 3h2m")</f>
        <v>OT 3h2m</v>
      </c>
      <c r="H1133" s="16"/>
      <c r="I1133" s="17"/>
      <c r="J1133" s="54"/>
      <c r="K1133" s="46" t="str">
        <f>IFERROR(__xludf.DUMMYFUNCTION("""COMPUTED_VALUE"""),"fu 1 agustus")</f>
        <v>fu 1 agustus</v>
      </c>
      <c r="L1133" s="10"/>
      <c r="M1133" s="20"/>
      <c r="N1133" s="20"/>
      <c r="O1133" s="20"/>
      <c r="P1133" s="20"/>
    </row>
    <row r="1134">
      <c r="A1134" s="21">
        <f>IFERROR(__xludf.DUMMYFUNCTION("""COMPUTED_VALUE"""),46218.0)</f>
        <v>46218</v>
      </c>
      <c r="B1134" s="21" t="str">
        <f>IFERROR(__xludf.DUMMYFUNCTION("""COMPUTED_VALUE"""),"2607D091")</f>
        <v>2607D091</v>
      </c>
      <c r="C1134" s="23" t="str">
        <f>IFERROR(__xludf.DUMMYFUNCTION("""COMPUTED_VALUE"""),"Dira")</f>
        <v>Dira</v>
      </c>
      <c r="D1134" s="24" t="str">
        <f>IFERROR(__xludf.DUMMYFUNCTION("""COMPUTED_VALUE"""),"081285913069")</f>
        <v>081285913069</v>
      </c>
      <c r="E1134" s="14" t="str">
        <f>IFERROR(__xludf.DUMMYFUNCTION("""COMPUTED_VALUE"""),"Instagram")</f>
        <v>Instagram</v>
      </c>
      <c r="F1134" s="14" t="str">
        <f>IFERROR(__xludf.DUMMYFUNCTION("""COMPUTED_VALUE"""),"Closing")</f>
        <v>Closing</v>
      </c>
      <c r="G1134" s="14" t="str">
        <f>IFERROR(__xludf.DUMMYFUNCTION("""COMPUTED_VALUE"""),"OT MT, OT Ijen")</f>
        <v>OT MT, OT Ijen</v>
      </c>
      <c r="H1134" s="26"/>
      <c r="I1134" s="27">
        <f>IFERROR(__xludf.DUMMYFUNCTION("""COMPUTED_VALUE"""),2.0)</f>
        <v>2</v>
      </c>
      <c r="J1134" s="33">
        <f>IFERROR(__xludf.DUMMYFUNCTION("""COMPUTED_VALUE"""),1050000.0)</f>
        <v>1050000</v>
      </c>
      <c r="K1134" s="30" t="str">
        <f>IFERROR(__xludf.DUMMYFUNCTION("""COMPUTED_VALUE"""),"yess orrderr")</f>
        <v>yess orrderr</v>
      </c>
      <c r="L1134" s="23"/>
      <c r="M1134" s="20"/>
      <c r="N1134" s="20"/>
      <c r="O1134" s="20"/>
      <c r="P1134" s="20"/>
    </row>
    <row r="1135">
      <c r="A1135" s="11">
        <f>IFERROR(__xludf.DUMMYFUNCTION("""COMPUTED_VALUE"""),46216.0)</f>
        <v>46216</v>
      </c>
      <c r="B1135" s="11" t="str">
        <f>IFERROR(__xludf.DUMMYFUNCTION("""COMPUTED_VALUE"""),"2607D092")</f>
        <v>2607D092</v>
      </c>
      <c r="C1135" s="10" t="str">
        <f>IFERROR(__xludf.DUMMYFUNCTION("""COMPUTED_VALUE"""),"Yasmina")</f>
        <v>Yasmina</v>
      </c>
      <c r="D1135" s="13" t="str">
        <f>IFERROR(__xludf.DUMMYFUNCTION("""COMPUTED_VALUE"""),"082138580336")</f>
        <v>082138580336</v>
      </c>
      <c r="E1135" s="14" t="str">
        <f>IFERROR(__xludf.DUMMYFUNCTION("""COMPUTED_VALUE"""),"Instagram")</f>
        <v>Instagram</v>
      </c>
      <c r="F1135" s="14" t="str">
        <f>IFERROR(__xludf.DUMMYFUNCTION("""COMPUTED_VALUE"""),"Leads Baru")</f>
        <v>Leads Baru</v>
      </c>
      <c r="G1135" s="14" t="str">
        <f>IFERROR(__xludf.DUMMYFUNCTION("""COMPUTED_VALUE"""),"OT 3h2m")</f>
        <v>OT 3h2m</v>
      </c>
      <c r="H1135" s="16"/>
      <c r="I1135" s="17"/>
      <c r="J1135" s="54"/>
      <c r="K1135" s="46" t="str">
        <f>IFERROR(__xludf.DUMMYFUNCTION("""COMPUTED_VALUE"""),"tidak jadii menggunakan jasa travel")</f>
        <v>tidak jadii menggunakan jasa travel</v>
      </c>
      <c r="L1135" s="10"/>
      <c r="M1135" s="20"/>
      <c r="N1135" s="20"/>
      <c r="O1135" s="20"/>
      <c r="P1135" s="20"/>
    </row>
    <row r="1136">
      <c r="A1136" s="21">
        <f>IFERROR(__xludf.DUMMYFUNCTION("""COMPUTED_VALUE"""),46216.0)</f>
        <v>46216</v>
      </c>
      <c r="B1136" s="21" t="str">
        <f>IFERROR(__xludf.DUMMYFUNCTION("""COMPUTED_VALUE"""),"2607D093")</f>
        <v>2607D093</v>
      </c>
      <c r="C1136" s="23" t="str">
        <f>IFERROR(__xludf.DUMMYFUNCTION("""COMPUTED_VALUE"""),"Zalfaa Shine")</f>
        <v>Zalfaa Shine</v>
      </c>
      <c r="D1136" s="24" t="str">
        <f>IFERROR(__xludf.DUMMYFUNCTION("""COMPUTED_VALUE"""),"085117575763")</f>
        <v>085117575763</v>
      </c>
      <c r="E1136" s="14" t="str">
        <f>IFERROR(__xludf.DUMMYFUNCTION("""COMPUTED_VALUE"""),"Instagram")</f>
        <v>Instagram</v>
      </c>
      <c r="F1136" s="14" t="str">
        <f>IFERROR(__xludf.DUMMYFUNCTION("""COMPUTED_VALUE"""),"Gagal")</f>
        <v>Gagal</v>
      </c>
      <c r="G1136" s="14" t="str">
        <f>IFERROR(__xludf.DUMMYFUNCTION("""COMPUTED_VALUE"""),"4H3M")</f>
        <v>4H3M</v>
      </c>
      <c r="H1136" s="26"/>
      <c r="I1136" s="27"/>
      <c r="J1136" s="33"/>
      <c r="K1136" s="30" t="str">
        <f>IFERROR(__xludf.DUMMYFUNCTION("""COMPUTED_VALUE"""),"blum fiks jumlah peserta, FU 18 Juli")</f>
        <v>blum fiks jumlah peserta, FU 18 Juli</v>
      </c>
      <c r="L1136" s="23"/>
      <c r="M1136" s="20"/>
      <c r="N1136" s="20"/>
      <c r="O1136" s="20"/>
      <c r="P1136" s="20"/>
    </row>
    <row r="1137">
      <c r="A1137" s="11">
        <f>IFERROR(__xludf.DUMMYFUNCTION("""COMPUTED_VALUE"""),46216.0)</f>
        <v>46216</v>
      </c>
      <c r="B1137" s="11" t="str">
        <f>IFERROR(__xludf.DUMMYFUNCTION("""COMPUTED_VALUE"""),"2607D094")</f>
        <v>2607D094</v>
      </c>
      <c r="C1137" s="10" t="str">
        <f>IFERROR(__xludf.DUMMYFUNCTION("""COMPUTED_VALUE"""),"Bagus Dwiatmojo")</f>
        <v>Bagus Dwiatmojo</v>
      </c>
      <c r="D1137" s="13" t="str">
        <f>IFERROR(__xludf.DUMMYFUNCTION("""COMPUTED_VALUE"""),"081324051000")</f>
        <v>081324051000</v>
      </c>
      <c r="E1137" s="14" t="str">
        <f>IFERROR(__xludf.DUMMYFUNCTION("""COMPUTED_VALUE"""),"Instagram")</f>
        <v>Instagram</v>
      </c>
      <c r="F1137" s="14" t="str">
        <f>IFERROR(__xludf.DUMMYFUNCTION("""COMPUTED_VALUE"""),"Leads Baru")</f>
        <v>Leads Baru</v>
      </c>
      <c r="G1137" s="14" t="str">
        <f>IFERROR(__xludf.DUMMYFUNCTION("""COMPUTED_VALUE"""),"3H2M")</f>
        <v>3H2M</v>
      </c>
      <c r="H1137" s="16">
        <f>IFERROR(__xludf.DUMMYFUNCTION("""COMPUTED_VALUE"""),46249.0)</f>
        <v>46249</v>
      </c>
      <c r="I1137" s="17"/>
      <c r="J1137" s="54"/>
      <c r="K1137" s="46" t="str">
        <f>IFERROR(__xludf.DUMMYFUNCTION("""COMPUTED_VALUE"""),"tanya itinerary, FU 29 Juli")</f>
        <v>tanya itinerary, FU 29 Juli</v>
      </c>
      <c r="L1137" s="10"/>
      <c r="M1137" s="20"/>
      <c r="N1137" s="20"/>
      <c r="O1137" s="20"/>
      <c r="P1137" s="20"/>
    </row>
    <row r="1138">
      <c r="A1138" s="21">
        <f>IFERROR(__xludf.DUMMYFUNCTION("""COMPUTED_VALUE"""),46216.0)</f>
        <v>46216</v>
      </c>
      <c r="B1138" s="21" t="str">
        <f>IFERROR(__xludf.DUMMYFUNCTION("""COMPUTED_VALUE"""),"2607D095")</f>
        <v>2607D095</v>
      </c>
      <c r="C1138" s="23" t="str">
        <f>IFERROR(__xludf.DUMMYFUNCTION("""COMPUTED_VALUE"""),"Alfiyyah")</f>
        <v>Alfiyyah</v>
      </c>
      <c r="D1138" s="24" t="str">
        <f>IFERROR(__xludf.DUMMYFUNCTION("""COMPUTED_VALUE"""),"085959745670")</f>
        <v>085959745670</v>
      </c>
      <c r="E1138" s="14" t="str">
        <f>IFERROR(__xludf.DUMMYFUNCTION("""COMPUTED_VALUE"""),"Website")</f>
        <v>Website</v>
      </c>
      <c r="F1138" s="14" t="str">
        <f>IFERROR(__xludf.DUMMYFUNCTION("""COMPUTED_VALUE"""),"Leads Baru")</f>
        <v>Leads Baru</v>
      </c>
      <c r="G1138" s="14" t="str">
        <f>IFERROR(__xludf.DUMMYFUNCTION("""COMPUTED_VALUE"""),"OT TI, OT baluran")</f>
        <v>OT TI, OT baluran</v>
      </c>
      <c r="H1138" s="26">
        <f>IFERROR(__xludf.DUMMYFUNCTION("""COMPUTED_VALUE"""),46223.0)</f>
        <v>46223</v>
      </c>
      <c r="I1138" s="27"/>
      <c r="J1138" s="33"/>
      <c r="K1138" s="30" t="str">
        <f>IFERROR(__xludf.DUMMYFUNCTION("""COMPUTED_VALUE"""),"fu terakhir")</f>
        <v>fu terakhir</v>
      </c>
      <c r="L1138" s="23"/>
      <c r="M1138" s="20"/>
      <c r="N1138" s="20"/>
      <c r="O1138" s="20"/>
      <c r="P1138" s="20"/>
    </row>
    <row r="1139">
      <c r="A1139" s="11">
        <f>IFERROR(__xludf.DUMMYFUNCTION("""COMPUTED_VALUE"""),46217.0)</f>
        <v>46217</v>
      </c>
      <c r="B1139" s="11" t="str">
        <f>IFERROR(__xludf.DUMMYFUNCTION("""COMPUTED_VALUE"""),"2607D096")</f>
        <v>2607D096</v>
      </c>
      <c r="C1139" s="10" t="str">
        <f>IFERROR(__xludf.DUMMYFUNCTION("""COMPUTED_VALUE"""),"Lindhuet")</f>
        <v>Lindhuet</v>
      </c>
      <c r="D1139" s="13" t="str">
        <f>IFERROR(__xludf.DUMMYFUNCTION("""COMPUTED_VALUE"""),"082136993306")</f>
        <v>082136993306</v>
      </c>
      <c r="E1139" s="14" t="str">
        <f>IFERROR(__xludf.DUMMYFUNCTION("""COMPUTED_VALUE"""),"Website")</f>
        <v>Website</v>
      </c>
      <c r="F1139" s="14" t="str">
        <f>IFERROR(__xludf.DUMMYFUNCTION("""COMPUTED_VALUE"""),"Leads Baru")</f>
        <v>Leads Baru</v>
      </c>
      <c r="G1139" s="14"/>
      <c r="H1139" s="16"/>
      <c r="I1139" s="17"/>
      <c r="J1139" s="54"/>
      <c r="K1139" s="46" t="str">
        <f>IFERROR(__xludf.DUMMYFUNCTION("""COMPUTED_VALUE"""),"baru menyapa, FU 2 Agustus")</f>
        <v>baru menyapa, FU 2 Agustus</v>
      </c>
      <c r="L1139" s="10"/>
      <c r="M1139" s="20"/>
      <c r="N1139" s="20"/>
      <c r="O1139" s="20"/>
      <c r="P1139" s="20"/>
    </row>
    <row r="1140">
      <c r="A1140" s="21">
        <f>IFERROR(__xludf.DUMMYFUNCTION("""COMPUTED_VALUE"""),46217.0)</f>
        <v>46217</v>
      </c>
      <c r="B1140" s="21" t="str">
        <f>IFERROR(__xludf.DUMMYFUNCTION("""COMPUTED_VALUE"""),"2607D097")</f>
        <v>2607D097</v>
      </c>
      <c r="C1140" s="23" t="str">
        <f>IFERROR(__xludf.DUMMYFUNCTION("""COMPUTED_VALUE"""),"Rahmawati.nurf")</f>
        <v>Rahmawati.nurf</v>
      </c>
      <c r="D1140" s="24" t="str">
        <f>IFERROR(__xludf.DUMMYFUNCTION("""COMPUTED_VALUE"""),"085524477985")</f>
        <v>085524477985</v>
      </c>
      <c r="E1140" s="14" t="str">
        <f>IFERROR(__xludf.DUMMYFUNCTION("""COMPUTED_VALUE"""),"Instagram")</f>
        <v>Instagram</v>
      </c>
      <c r="F1140" s="14" t="str">
        <f>IFERROR(__xludf.DUMMYFUNCTION("""COMPUTED_VALUE"""),"Leads Baru")</f>
        <v>Leads Baru</v>
      </c>
      <c r="G1140" s="14" t="str">
        <f>IFERROR(__xludf.DUMMYFUNCTION("""COMPUTED_VALUE"""),"OT 3H2M")</f>
        <v>OT 3H2M</v>
      </c>
      <c r="H1140" s="26"/>
      <c r="I1140" s="27"/>
      <c r="J1140" s="33"/>
      <c r="K1140" s="30" t="str">
        <f>IFERROR(__xludf.DUMMYFUNCTION("""COMPUTED_VALUE"""),"tanya dokumentasi, FU 31 Juli")</f>
        <v>tanya dokumentasi, FU 31 Juli</v>
      </c>
      <c r="L1140" s="23"/>
      <c r="M1140" s="20"/>
      <c r="N1140" s="20"/>
      <c r="O1140" s="20"/>
      <c r="P1140" s="20"/>
    </row>
    <row r="1141">
      <c r="A1141" s="11">
        <f>IFERROR(__xludf.DUMMYFUNCTION("""COMPUTED_VALUE"""),46217.0)</f>
        <v>46217</v>
      </c>
      <c r="B1141" s="11" t="str">
        <f>IFERROR(__xludf.DUMMYFUNCTION("""COMPUTED_VALUE"""),"2607D098")</f>
        <v>2607D098</v>
      </c>
      <c r="C1141" s="10" t="str">
        <f>IFERROR(__xludf.DUMMYFUNCTION("""COMPUTED_VALUE"""),"Beya")</f>
        <v>Beya</v>
      </c>
      <c r="D1141" s="13" t="str">
        <f>IFERROR(__xludf.DUMMYFUNCTION("""COMPUTED_VALUE"""),"082258521629")</f>
        <v>082258521629</v>
      </c>
      <c r="E1141" s="14" t="str">
        <f>IFERROR(__xludf.DUMMYFUNCTION("""COMPUTED_VALUE"""),"Instagram")</f>
        <v>Instagram</v>
      </c>
      <c r="F1141" s="14" t="str">
        <f>IFERROR(__xludf.DUMMYFUNCTION("""COMPUTED_VALUE"""),"Leads Baru")</f>
        <v>Leads Baru</v>
      </c>
      <c r="G1141" s="14" t="str">
        <f>IFERROR(__xludf.DUMMYFUNCTION("""COMPUTED_VALUE"""),"OT 3H2M")</f>
        <v>OT 3H2M</v>
      </c>
      <c r="H1141" s="16"/>
      <c r="I1141" s="17"/>
      <c r="J1141" s="54"/>
      <c r="K1141" s="46" t="str">
        <f>IFERROR(__xludf.DUMMYFUNCTION("""COMPUTED_VALUE"""),"FU 30 juli")</f>
        <v>FU 30 juli</v>
      </c>
      <c r="L1141" s="10"/>
      <c r="M1141" s="20"/>
      <c r="N1141" s="20"/>
      <c r="O1141" s="20"/>
      <c r="P1141" s="20"/>
    </row>
    <row r="1142">
      <c r="A1142" s="21">
        <f>IFERROR(__xludf.DUMMYFUNCTION("""COMPUTED_VALUE"""),46218.0)</f>
        <v>46218</v>
      </c>
      <c r="B1142" s="21" t="str">
        <f>IFERROR(__xludf.DUMMYFUNCTION("""COMPUTED_VALUE"""),"2607D099")</f>
        <v>2607D099</v>
      </c>
      <c r="C1142" s="23" t="str">
        <f>IFERROR(__xludf.DUMMYFUNCTION("""COMPUTED_VALUE"""),"Alya")</f>
        <v>Alya</v>
      </c>
      <c r="D1142" s="24" t="str">
        <f>IFERROR(__xludf.DUMMYFUNCTION("""COMPUTED_VALUE"""),"081328836284")</f>
        <v>081328836284</v>
      </c>
      <c r="E1142" s="14" t="str">
        <f>IFERROR(__xludf.DUMMYFUNCTION("""COMPUTED_VALUE"""),"Instagram")</f>
        <v>Instagram</v>
      </c>
      <c r="F1142" s="14" t="str">
        <f>IFERROR(__xludf.DUMMYFUNCTION("""COMPUTED_VALUE"""),"Leads Baru")</f>
        <v>Leads Baru</v>
      </c>
      <c r="G1142" s="14" t="str">
        <f>IFERROR(__xludf.DUMMYFUNCTION("""COMPUTED_VALUE"""),"OT 3H2M")</f>
        <v>OT 3H2M</v>
      </c>
      <c r="H1142" s="26"/>
      <c r="I1142" s="27"/>
      <c r="J1142" s="33"/>
      <c r="K1142" s="30" t="str">
        <f>IFERROR(__xludf.DUMMYFUNCTION("""COMPUTED_VALUE"""),"menyapa, FU 30 juli")</f>
        <v>menyapa, FU 30 juli</v>
      </c>
      <c r="L1142" s="23"/>
      <c r="M1142" s="20"/>
      <c r="N1142" s="20"/>
      <c r="O1142" s="20"/>
      <c r="P1142" s="20"/>
    </row>
    <row r="1143">
      <c r="A1143" s="11">
        <f>IFERROR(__xludf.DUMMYFUNCTION("""COMPUTED_VALUE"""),46218.0)</f>
        <v>46218</v>
      </c>
      <c r="B1143" s="11" t="str">
        <f>IFERROR(__xludf.DUMMYFUNCTION("""COMPUTED_VALUE"""),"2607D100")</f>
        <v>2607D100</v>
      </c>
      <c r="C1143" s="10" t="str">
        <f>IFERROR(__xludf.DUMMYFUNCTION("""COMPUTED_VALUE"""),"Feby Aris")</f>
        <v>Feby Aris</v>
      </c>
      <c r="D1143" s="13" t="str">
        <f>IFERROR(__xludf.DUMMYFUNCTION("""COMPUTED_VALUE"""),"0895387144111")</f>
        <v>0895387144111</v>
      </c>
      <c r="E1143" s="14" t="str">
        <f>IFERROR(__xludf.DUMMYFUNCTION("""COMPUTED_VALUE"""),"Instagram")</f>
        <v>Instagram</v>
      </c>
      <c r="F1143" s="14" t="str">
        <f>IFERROR(__xludf.DUMMYFUNCTION("""COMPUTED_VALUE"""),"Leads Baru")</f>
        <v>Leads Baru</v>
      </c>
      <c r="G1143" s="14" t="str">
        <f>IFERROR(__xludf.DUMMYFUNCTION("""COMPUTED_VALUE"""),"OT 3H2M")</f>
        <v>OT 3H2M</v>
      </c>
      <c r="H1143" s="16">
        <f>IFERROR(__xludf.DUMMYFUNCTION("""COMPUTED_VALUE"""),46286.0)</f>
        <v>46286</v>
      </c>
      <c r="I1143" s="17">
        <f>IFERROR(__xludf.DUMMYFUNCTION("""COMPUTED_VALUE"""),2.0)</f>
        <v>2</v>
      </c>
      <c r="J1143" s="54"/>
      <c r="K1143" s="46" t="str">
        <f>IFERROR(__xludf.DUMMYFUNCTION("""COMPUTED_VALUE"""),"FU 12 Agustus")</f>
        <v>FU 12 Agustus</v>
      </c>
      <c r="L1143" s="10"/>
      <c r="M1143" s="20"/>
      <c r="N1143" s="20"/>
      <c r="O1143" s="20"/>
      <c r="P1143" s="20"/>
    </row>
    <row r="1144">
      <c r="A1144" s="21">
        <f>IFERROR(__xludf.DUMMYFUNCTION("""COMPUTED_VALUE"""),46218.0)</f>
        <v>46218</v>
      </c>
      <c r="B1144" s="21" t="str">
        <f>IFERROR(__xludf.DUMMYFUNCTION("""COMPUTED_VALUE"""),"2607D101")</f>
        <v>2607D101</v>
      </c>
      <c r="C1144" s="23" t="str">
        <f>IFERROR(__xludf.DUMMYFUNCTION("""COMPUTED_VALUE"""),"Dhini")</f>
        <v>Dhini</v>
      </c>
      <c r="D1144" s="24" t="str">
        <f>IFERROR(__xludf.DUMMYFUNCTION("""COMPUTED_VALUE"""),"085780969178")</f>
        <v>085780969178</v>
      </c>
      <c r="E1144" s="14" t="str">
        <f>IFERROR(__xludf.DUMMYFUNCTION("""COMPUTED_VALUE"""),"Instagram")</f>
        <v>Instagram</v>
      </c>
      <c r="F1144" s="14" t="str">
        <f>IFERROR(__xludf.DUMMYFUNCTION("""COMPUTED_VALUE"""),"Leads Baru")</f>
        <v>Leads Baru</v>
      </c>
      <c r="G1144" s="14" t="str">
        <f>IFERROR(__xludf.DUMMYFUNCTION("""COMPUTED_VALUE"""),"PT MT")</f>
        <v>PT MT</v>
      </c>
      <c r="H1144" s="26">
        <f>IFERROR(__xludf.DUMMYFUNCTION("""COMPUTED_VALUE"""),46223.0)</f>
        <v>46223</v>
      </c>
      <c r="I1144" s="27"/>
      <c r="J1144" s="33"/>
      <c r="K1144" s="30" t="str">
        <f>IFERROR(__xludf.DUMMYFUNCTION("""COMPUTED_VALUE"""),"FU terakhir")</f>
        <v>FU terakhir</v>
      </c>
      <c r="L1144" s="23"/>
      <c r="M1144" s="20"/>
      <c r="N1144" s="20"/>
      <c r="O1144" s="20"/>
      <c r="P1144" s="20"/>
    </row>
    <row r="1145">
      <c r="A1145" s="11">
        <f>IFERROR(__xludf.DUMMYFUNCTION("""COMPUTED_VALUE"""),46218.0)</f>
        <v>46218</v>
      </c>
      <c r="B1145" s="11" t="str">
        <f>IFERROR(__xludf.DUMMYFUNCTION("""COMPUTED_VALUE"""),"2607D102")</f>
        <v>2607D102</v>
      </c>
      <c r="C1145" s="10" t="str">
        <f>IFERROR(__xludf.DUMMYFUNCTION("""COMPUTED_VALUE"""),"Nadine Gracella")</f>
        <v>Nadine Gracella</v>
      </c>
      <c r="D1145" s="13" t="str">
        <f>IFERROR(__xludf.DUMMYFUNCTION("""COMPUTED_VALUE"""),"081110037711")</f>
        <v>081110037711</v>
      </c>
      <c r="E1145" s="14" t="str">
        <f>IFERROR(__xludf.DUMMYFUNCTION("""COMPUTED_VALUE"""),"Instagram")</f>
        <v>Instagram</v>
      </c>
      <c r="F1145" s="14" t="str">
        <f>IFERROR(__xludf.DUMMYFUNCTION("""COMPUTED_VALUE"""),"Gagal")</f>
        <v>Gagal</v>
      </c>
      <c r="G1145" s="14" t="str">
        <f>IFERROR(__xludf.DUMMYFUNCTION("""COMPUTED_VALUE"""),"3H2M opsi A")</f>
        <v>3H2M opsi A</v>
      </c>
      <c r="H1145" s="16"/>
      <c r="I1145" s="17"/>
      <c r="J1145" s="54"/>
      <c r="K1145" s="46" t="str">
        <f>IFERROR(__xludf.DUMMYFUNCTION("""COMPUTED_VALUE"""),"gajadi trip, next timee")</f>
        <v>gajadi trip, next timee</v>
      </c>
      <c r="L1145" s="10"/>
      <c r="M1145" s="20"/>
      <c r="N1145" s="20"/>
      <c r="O1145" s="20"/>
      <c r="P1145" s="20"/>
    </row>
    <row r="1146">
      <c r="A1146" s="21">
        <f>IFERROR(__xludf.DUMMYFUNCTION("""COMPUTED_VALUE"""),46218.0)</f>
        <v>46218</v>
      </c>
      <c r="B1146" s="21" t="str">
        <f>IFERROR(__xludf.DUMMYFUNCTION("""COMPUTED_VALUE"""),"1607D103")</f>
        <v>1607D103</v>
      </c>
      <c r="C1146" s="23" t="str">
        <f>IFERROR(__xludf.DUMMYFUNCTION("""COMPUTED_VALUE"""),"Huda")</f>
        <v>Huda</v>
      </c>
      <c r="D1146" s="24" t="str">
        <f>IFERROR(__xludf.DUMMYFUNCTION("""COMPUTED_VALUE"""),"6737414481")</f>
        <v>6737414481</v>
      </c>
      <c r="E1146" s="14" t="str">
        <f>IFERROR(__xludf.DUMMYFUNCTION("""COMPUTED_VALUE"""),"Rekomendasi")</f>
        <v>Rekomendasi</v>
      </c>
      <c r="F1146" s="14" t="str">
        <f>IFERROR(__xludf.DUMMYFUNCTION("""COMPUTED_VALUE"""),"Leads Baru")</f>
        <v>Leads Baru</v>
      </c>
      <c r="G1146" s="14" t="str">
        <f>IFERROR(__xludf.DUMMYFUNCTION("""COMPUTED_VALUE"""),"trip kawah Ijen")</f>
        <v>trip kawah Ijen</v>
      </c>
      <c r="H1146" s="26"/>
      <c r="I1146" s="27"/>
      <c r="J1146" s="33"/>
      <c r="K1146" s="30"/>
      <c r="L1146" s="23"/>
      <c r="M1146" s="20"/>
      <c r="N1146" s="20"/>
      <c r="O1146" s="20"/>
      <c r="P1146" s="20"/>
    </row>
    <row r="1147">
      <c r="A1147" s="11">
        <f>IFERROR(__xludf.DUMMYFUNCTION("""COMPUTED_VALUE"""),46217.0)</f>
        <v>46217</v>
      </c>
      <c r="B1147" s="11" t="str">
        <f>IFERROR(__xludf.DUMMYFUNCTION("""COMPUTED_VALUE"""),"2607D104")</f>
        <v>2607D104</v>
      </c>
      <c r="C1147" s="10" t="str">
        <f>IFERROR(__xludf.DUMMYFUNCTION("""COMPUTED_VALUE"""),"Eka Sari")</f>
        <v>Eka Sari</v>
      </c>
      <c r="D1147" s="13" t="str">
        <f>IFERROR(__xludf.DUMMYFUNCTION("""COMPUTED_VALUE"""),"082157070962")</f>
        <v>082157070962</v>
      </c>
      <c r="E1147" s="14" t="str">
        <f>IFERROR(__xludf.DUMMYFUNCTION("""COMPUTED_VALUE"""),"Instagram")</f>
        <v>Instagram</v>
      </c>
      <c r="F1147" s="14" t="str">
        <f>IFERROR(__xludf.DUMMYFUNCTION("""COMPUTED_VALUE"""),"Leads Baru")</f>
        <v>Leads Baru</v>
      </c>
      <c r="G1147" s="14" t="str">
        <f>IFERROR(__xludf.DUMMYFUNCTION("""COMPUTED_VALUE"""),"2H1M custome")</f>
        <v>2H1M custome</v>
      </c>
      <c r="H1147" s="16"/>
      <c r="I1147" s="17">
        <f>IFERROR(__xludf.DUMMYFUNCTION("""COMPUTED_VALUE"""),3.0)</f>
        <v>3</v>
      </c>
      <c r="J1147" s="54"/>
      <c r="K1147" s="46" t="str">
        <f>IFERROR(__xludf.DUMMYFUNCTION("""COMPUTED_VALUE"""),"nunggu jadwal cuti, FU 14 Agustus")</f>
        <v>nunggu jadwal cuti, FU 14 Agustus</v>
      </c>
      <c r="L1147" s="10"/>
      <c r="M1147" s="20"/>
      <c r="N1147" s="20"/>
      <c r="O1147" s="20"/>
      <c r="P1147" s="20"/>
    </row>
    <row r="1148">
      <c r="A1148" s="21">
        <f>IFERROR(__xludf.DUMMYFUNCTION("""COMPUTED_VALUE"""),46218.0)</f>
        <v>46218</v>
      </c>
      <c r="B1148" s="21" t="str">
        <f>IFERROR(__xludf.DUMMYFUNCTION("""COMPUTED_VALUE"""),"2607D105")</f>
        <v>2607D105</v>
      </c>
      <c r="C1148" s="23" t="str">
        <f>IFERROR(__xludf.DUMMYFUNCTION("""COMPUTED_VALUE"""),"Feli")</f>
        <v>Feli</v>
      </c>
      <c r="D1148" s="24" t="str">
        <f>IFERROR(__xludf.DUMMYFUNCTION("""COMPUTED_VALUE"""),"081234835990")</f>
        <v>081234835990</v>
      </c>
      <c r="E1148" s="14" t="str">
        <f>IFERROR(__xludf.DUMMYFUNCTION("""COMPUTED_VALUE"""),"Instagram")</f>
        <v>Instagram</v>
      </c>
      <c r="F1148" s="14" t="str">
        <f>IFERROR(__xludf.DUMMYFUNCTION("""COMPUTED_VALUE"""),"Leads Baru")</f>
        <v>Leads Baru</v>
      </c>
      <c r="G1148" s="14" t="str">
        <f>IFERROR(__xludf.DUMMYFUNCTION("""COMPUTED_VALUE"""),"2H1M custome")</f>
        <v>2H1M custome</v>
      </c>
      <c r="H1148" s="26"/>
      <c r="I1148" s="27"/>
      <c r="J1148" s="33"/>
      <c r="K1148" s="30" t="str">
        <f>IFERROR(__xludf.DUMMYFUNCTION("""COMPUTED_VALUE"""),"minta di FU 31 Juli")</f>
        <v>minta di FU 31 Juli</v>
      </c>
      <c r="L1148" s="23"/>
      <c r="M1148" s="20"/>
      <c r="N1148" s="20"/>
      <c r="O1148" s="20"/>
      <c r="P1148" s="20"/>
    </row>
    <row r="1149">
      <c r="A1149" s="11">
        <f>IFERROR(__xludf.DUMMYFUNCTION("""COMPUTED_VALUE"""),46219.0)</f>
        <v>46219</v>
      </c>
      <c r="B1149" s="11" t="str">
        <f>IFERROR(__xludf.DUMMYFUNCTION("""COMPUTED_VALUE"""),"2607D106")</f>
        <v>2607D106</v>
      </c>
      <c r="C1149" s="10" t="str">
        <f>IFERROR(__xludf.DUMMYFUNCTION("""COMPUTED_VALUE"""),"Venda")</f>
        <v>Venda</v>
      </c>
      <c r="D1149" s="13" t="str">
        <f>IFERROR(__xludf.DUMMYFUNCTION("""COMPUTED_VALUE"""),"081254704910")</f>
        <v>081254704910</v>
      </c>
      <c r="E1149" s="14" t="str">
        <f>IFERROR(__xludf.DUMMYFUNCTION("""COMPUTED_VALUE"""),"Instagram")</f>
        <v>Instagram</v>
      </c>
      <c r="F1149" s="14" t="str">
        <f>IFERROR(__xludf.DUMMYFUNCTION("""COMPUTED_VALUE"""),"Gagal")</f>
        <v>Gagal</v>
      </c>
      <c r="G1149" s="14" t="str">
        <f>IFERROR(__xludf.DUMMYFUNCTION("""COMPUTED_VALUE"""),"OT Djbal, MT ")</f>
        <v>OT Djbal, MT </v>
      </c>
      <c r="H1149" s="16">
        <f>IFERROR(__xludf.DUMMYFUNCTION("""COMPUTED_VALUE"""),46257.0)</f>
        <v>46257</v>
      </c>
      <c r="I1149" s="17">
        <f>IFERROR(__xludf.DUMMYFUNCTION("""COMPUTED_VALUE"""),2.0)</f>
        <v>2</v>
      </c>
      <c r="J1149" s="54"/>
      <c r="K1149" s="46" t="str">
        <f>IFERROR(__xludf.DUMMYFUNCTION("""COMPUTED_VALUE"""),"cancell, blm jadi trip")</f>
        <v>cancell, blm jadi trip</v>
      </c>
      <c r="L1149" s="10"/>
      <c r="M1149" s="20"/>
      <c r="N1149" s="20"/>
      <c r="O1149" s="20"/>
      <c r="P1149" s="20"/>
    </row>
    <row r="1150">
      <c r="A1150" s="21">
        <f>IFERROR(__xludf.DUMMYFUNCTION("""COMPUTED_VALUE"""),46219.0)</f>
        <v>46219</v>
      </c>
      <c r="B1150" s="21" t="str">
        <f>IFERROR(__xludf.DUMMYFUNCTION("""COMPUTED_VALUE"""),"2607D107")</f>
        <v>2607D107</v>
      </c>
      <c r="C1150" s="23" t="str">
        <f>IFERROR(__xludf.DUMMYFUNCTION("""COMPUTED_VALUE"""),"Kak Mei")</f>
        <v>Kak Mei</v>
      </c>
      <c r="D1150" s="24" t="str">
        <f>IFERROR(__xludf.DUMMYFUNCTION("""COMPUTED_VALUE"""),"08133369900")</f>
        <v>08133369900</v>
      </c>
      <c r="E1150" s="14" t="str">
        <f>IFERROR(__xludf.DUMMYFUNCTION("""COMPUTED_VALUE"""),"Instagram")</f>
        <v>Instagram</v>
      </c>
      <c r="F1150" s="14" t="str">
        <f>IFERROR(__xludf.DUMMYFUNCTION("""COMPUTED_VALUE"""),"Gagal")</f>
        <v>Gagal</v>
      </c>
      <c r="G1150" s="14" t="str">
        <f>IFERROR(__xludf.DUMMYFUNCTION("""COMPUTED_VALUE"""),"OT MT  ")</f>
        <v>OT MT  </v>
      </c>
      <c r="H1150" s="26"/>
      <c r="I1150" s="27">
        <f>IFERROR(__xludf.DUMMYFUNCTION("""COMPUTED_VALUE"""),1.0)</f>
        <v>1</v>
      </c>
      <c r="J1150" s="33"/>
      <c r="K1150" s="30" t="str">
        <f>IFERROR(__xludf.DUMMYFUNCTION("""COMPUTED_VALUE"""),"gagalll")</f>
        <v>gagalll</v>
      </c>
      <c r="L1150" s="23"/>
      <c r="M1150" s="20"/>
      <c r="N1150" s="20"/>
      <c r="O1150" s="20"/>
      <c r="P1150" s="20"/>
    </row>
    <row r="1151">
      <c r="A1151" s="11">
        <f>IFERROR(__xludf.DUMMYFUNCTION("""COMPUTED_VALUE"""),46219.0)</f>
        <v>46219</v>
      </c>
      <c r="B1151" s="11" t="str">
        <f>IFERROR(__xludf.DUMMYFUNCTION("""COMPUTED_VALUE"""),"2607D108")</f>
        <v>2607D108</v>
      </c>
      <c r="C1151" s="10" t="str">
        <f>IFERROR(__xludf.DUMMYFUNCTION("""COMPUTED_VALUE"""),"Ali Juwaidi")</f>
        <v>Ali Juwaidi</v>
      </c>
      <c r="D1151" s="13" t="str">
        <f>IFERROR(__xludf.DUMMYFUNCTION("""COMPUTED_VALUE"""),"081252217698")</f>
        <v>081252217698</v>
      </c>
      <c r="E1151" s="14" t="str">
        <f>IFERROR(__xludf.DUMMYFUNCTION("""COMPUTED_VALUE"""),"Instagram")</f>
        <v>Instagram</v>
      </c>
      <c r="F1151" s="14" t="str">
        <f>IFERROR(__xludf.DUMMYFUNCTION("""COMPUTED_VALUE"""),"Closing")</f>
        <v>Closing</v>
      </c>
      <c r="G1151" s="14" t="str">
        <f>IFERROR(__xludf.DUMMYFUNCTION("""COMPUTED_VALUE"""),"OT MT")</f>
        <v>OT MT</v>
      </c>
      <c r="H1151" s="16">
        <f>IFERROR(__xludf.DUMMYFUNCTION("""COMPUTED_VALUE"""),46239.0)</f>
        <v>46239</v>
      </c>
      <c r="I1151" s="17">
        <f>IFERROR(__xludf.DUMMYFUNCTION("""COMPUTED_VALUE"""),2.0)</f>
        <v>2</v>
      </c>
      <c r="J1151" s="54">
        <f>IFERROR(__xludf.DUMMYFUNCTION("""COMPUTED_VALUE"""),800000.0)</f>
        <v>800000</v>
      </c>
      <c r="K1151" s="46" t="str">
        <f>IFERROR(__xludf.DUMMYFUNCTION("""COMPUTED_VALUE"""),"orrderrr")</f>
        <v>orrderrr</v>
      </c>
      <c r="L1151" s="10"/>
      <c r="M1151" s="20"/>
      <c r="N1151" s="20"/>
      <c r="O1151" s="20"/>
      <c r="P1151" s="20"/>
    </row>
    <row r="1152">
      <c r="A1152" s="21">
        <f>IFERROR(__xludf.DUMMYFUNCTION("""COMPUTED_VALUE"""),46219.0)</f>
        <v>46219</v>
      </c>
      <c r="B1152" s="21" t="str">
        <f>IFERROR(__xludf.DUMMYFUNCTION("""COMPUTED_VALUE"""),"2607D109")</f>
        <v>2607D109</v>
      </c>
      <c r="C1152" s="23" t="str">
        <f>IFERROR(__xludf.DUMMYFUNCTION("""COMPUTED_VALUE"""),"Shalma Anggia")</f>
        <v>Shalma Anggia</v>
      </c>
      <c r="D1152" s="24" t="str">
        <f>IFERROR(__xludf.DUMMYFUNCTION("""COMPUTED_VALUE"""),"082122226660")</f>
        <v>082122226660</v>
      </c>
      <c r="E1152" s="14" t="str">
        <f>IFERROR(__xludf.DUMMYFUNCTION("""COMPUTED_VALUE"""),"Instagram")</f>
        <v>Instagram</v>
      </c>
      <c r="F1152" s="14" t="str">
        <f>IFERROR(__xludf.DUMMYFUNCTION("""COMPUTED_VALUE"""),"Closing")</f>
        <v>Closing</v>
      </c>
      <c r="G1152" s="14" t="str">
        <f>IFERROR(__xludf.DUMMYFUNCTION("""COMPUTED_VALUE"""),"OT 3h2m")</f>
        <v>OT 3h2m</v>
      </c>
      <c r="H1152" s="26">
        <f>IFERROR(__xludf.DUMMYFUNCTION("""COMPUTED_VALUE"""),46265.0)</f>
        <v>46265</v>
      </c>
      <c r="I1152" s="27">
        <f>IFERROR(__xludf.DUMMYFUNCTION("""COMPUTED_VALUE"""),2.0)</f>
        <v>2</v>
      </c>
      <c r="J1152" s="33">
        <f>IFERROR(__xludf.DUMMYFUNCTION("""COMPUTED_VALUE"""),3200000.0)</f>
        <v>3200000</v>
      </c>
      <c r="K1152" s="30" t="str">
        <f>IFERROR(__xludf.DUMMYFUNCTION("""COMPUTED_VALUE"""),"alhamdulillah orderr")</f>
        <v>alhamdulillah orderr</v>
      </c>
      <c r="L1152" s="23"/>
      <c r="M1152" s="20"/>
      <c r="N1152" s="20"/>
      <c r="O1152" s="20"/>
      <c r="P1152" s="20"/>
    </row>
    <row r="1153">
      <c r="A1153" s="11">
        <f>IFERROR(__xludf.DUMMYFUNCTION("""COMPUTED_VALUE"""),46219.0)</f>
        <v>46219</v>
      </c>
      <c r="B1153" s="11" t="str">
        <f>IFERROR(__xludf.DUMMYFUNCTION("""COMPUTED_VALUE"""),"2607D110")</f>
        <v>2607D110</v>
      </c>
      <c r="C1153" s="10" t="str">
        <f>IFERROR(__xludf.DUMMYFUNCTION("""COMPUTED_VALUE"""),"Yonna Agustin")</f>
        <v>Yonna Agustin</v>
      </c>
      <c r="D1153" s="13" t="str">
        <f>IFERROR(__xludf.DUMMYFUNCTION("""COMPUTED_VALUE"""),"087735368314")</f>
        <v>087735368314</v>
      </c>
      <c r="E1153" s="14" t="str">
        <f>IFERROR(__xludf.DUMMYFUNCTION("""COMPUTED_VALUE"""),"Website")</f>
        <v>Website</v>
      </c>
      <c r="F1153" s="14" t="str">
        <f>IFERROR(__xludf.DUMMYFUNCTION("""COMPUTED_VALUE"""),"Leads Baru")</f>
        <v>Leads Baru</v>
      </c>
      <c r="G1153" s="14" t="str">
        <f>IFERROR(__xludf.DUMMYFUNCTION("""COMPUTED_VALUE"""),"OT 3h2m")</f>
        <v>OT 3h2m</v>
      </c>
      <c r="H1153" s="16">
        <f>IFERROR(__xludf.DUMMYFUNCTION("""COMPUTED_VALUE"""),46241.0)</f>
        <v>46241</v>
      </c>
      <c r="I1153" s="17">
        <f>IFERROR(__xludf.DUMMYFUNCTION("""COMPUTED_VALUE"""),3.0)</f>
        <v>3</v>
      </c>
      <c r="J1153" s="54"/>
      <c r="K1153" s="46" t="str">
        <f>IFERROR(__xludf.DUMMYFUNCTION("""COMPUTED_VALUE"""),"FU 1 Agustus")</f>
        <v>FU 1 Agustus</v>
      </c>
      <c r="L1153" s="10"/>
      <c r="M1153" s="20"/>
      <c r="N1153" s="20"/>
      <c r="O1153" s="20"/>
      <c r="P1153" s="20"/>
    </row>
    <row r="1154">
      <c r="A1154" s="21">
        <f>IFERROR(__xludf.DUMMYFUNCTION("""COMPUTED_VALUE"""),46219.0)</f>
        <v>46219</v>
      </c>
      <c r="B1154" s="21" t="str">
        <f>IFERROR(__xludf.DUMMYFUNCTION("""COMPUTED_VALUE"""),"2607D111")</f>
        <v>2607D111</v>
      </c>
      <c r="C1154" s="23" t="str">
        <f>IFERROR(__xludf.DUMMYFUNCTION("""COMPUTED_VALUE"""),"Nada")</f>
        <v>Nada</v>
      </c>
      <c r="D1154" s="24" t="str">
        <f>IFERROR(__xludf.DUMMYFUNCTION("""COMPUTED_VALUE"""),"085774104208")</f>
        <v>085774104208</v>
      </c>
      <c r="E1154" s="14" t="str">
        <f>IFERROR(__xludf.DUMMYFUNCTION("""COMPUTED_VALUE"""),"Instagram")</f>
        <v>Instagram</v>
      </c>
      <c r="F1154" s="14" t="str">
        <f>IFERROR(__xludf.DUMMYFUNCTION("""COMPUTED_VALUE"""),"Leads Baru")</f>
        <v>Leads Baru</v>
      </c>
      <c r="G1154" s="14" t="str">
        <f>IFERROR(__xludf.DUMMYFUNCTION("""COMPUTED_VALUE"""),"3H2M custome")</f>
        <v>3H2M custome</v>
      </c>
      <c r="H1154" s="26">
        <f>IFERROR(__xludf.DUMMYFUNCTION("""COMPUTED_VALUE"""),46255.0)</f>
        <v>46255</v>
      </c>
      <c r="I1154" s="27">
        <f>IFERROR(__xludf.DUMMYFUNCTION("""COMPUTED_VALUE"""),2.0)</f>
        <v>2</v>
      </c>
      <c r="J1154" s="33"/>
      <c r="K1154" s="30" t="str">
        <f>IFERROR(__xludf.DUMMYFUNCTION("""COMPUTED_VALUE"""),"FU 3 agustus")</f>
        <v>FU 3 agustus</v>
      </c>
      <c r="L1154" s="23"/>
      <c r="M1154" s="20"/>
      <c r="N1154" s="20"/>
      <c r="O1154" s="20"/>
      <c r="P1154" s="20"/>
    </row>
    <row r="1155">
      <c r="A1155" s="11">
        <f>IFERROR(__xludf.DUMMYFUNCTION("""COMPUTED_VALUE"""),46219.0)</f>
        <v>46219</v>
      </c>
      <c r="B1155" s="11" t="str">
        <f>IFERROR(__xludf.DUMMYFUNCTION("""COMPUTED_VALUE"""),"2607D112")</f>
        <v>2607D112</v>
      </c>
      <c r="C1155" s="10" t="str">
        <f>IFERROR(__xludf.DUMMYFUNCTION("""COMPUTED_VALUE"""),"Villona ")</f>
        <v>Villona </v>
      </c>
      <c r="D1155" s="13" t="str">
        <f>IFERROR(__xludf.DUMMYFUNCTION("""COMPUTED_VALUE"""),"085119991631")</f>
        <v>085119991631</v>
      </c>
      <c r="E1155" s="14" t="str">
        <f>IFERROR(__xludf.DUMMYFUNCTION("""COMPUTED_VALUE"""),"Instagram")</f>
        <v>Instagram</v>
      </c>
      <c r="F1155" s="14" t="str">
        <f>IFERROR(__xludf.DUMMYFUNCTION("""COMPUTED_VALUE"""),"Leads Baru")</f>
        <v>Leads Baru</v>
      </c>
      <c r="G1155" s="14"/>
      <c r="H1155" s="16"/>
      <c r="I1155" s="17"/>
      <c r="J1155" s="54"/>
      <c r="K1155" s="46" t="str">
        <f>IFERROR(__xludf.DUMMYFUNCTION("""COMPUTED_VALUE"""),"baru menyapa")</f>
        <v>baru menyapa</v>
      </c>
      <c r="L1155" s="10"/>
      <c r="M1155" s="20"/>
      <c r="N1155" s="20"/>
      <c r="O1155" s="20"/>
      <c r="P1155" s="20"/>
    </row>
    <row r="1156">
      <c r="A1156" s="21">
        <f>IFERROR(__xludf.DUMMYFUNCTION("""COMPUTED_VALUE"""),46220.0)</f>
        <v>46220</v>
      </c>
      <c r="B1156" s="21" t="str">
        <f>IFERROR(__xludf.DUMMYFUNCTION("""COMPUTED_VALUE"""),"2607D113")</f>
        <v>2607D113</v>
      </c>
      <c r="C1156" s="23" t="str">
        <f>IFERROR(__xludf.DUMMYFUNCTION("""COMPUTED_VALUE"""),"James westcot")</f>
        <v>James westcot</v>
      </c>
      <c r="D1156" s="24" t="str">
        <f>IFERROR(__xludf.DUMMYFUNCTION("""COMPUTED_VALUE"""),"447497851278")</f>
        <v>447497851278</v>
      </c>
      <c r="E1156" s="14" t="str">
        <f>IFERROR(__xludf.DUMMYFUNCTION("""COMPUTED_VALUE"""),"Instagram")</f>
        <v>Instagram</v>
      </c>
      <c r="F1156" s="14" t="str">
        <f>IFERROR(__xludf.DUMMYFUNCTION("""COMPUTED_VALUE"""),"Leads Baru")</f>
        <v>Leads Baru</v>
      </c>
      <c r="G1156" s="14" t="str">
        <f>IFERROR(__xludf.DUMMYFUNCTION("""COMPUTED_VALUE"""),"OT Ijen")</f>
        <v>OT Ijen</v>
      </c>
      <c r="H1156" s="26">
        <f>IFERROR(__xludf.DUMMYFUNCTION("""COMPUTED_VALUE"""),46225.0)</f>
        <v>46225</v>
      </c>
      <c r="I1156" s="27">
        <f>IFERROR(__xludf.DUMMYFUNCTION("""COMPUTED_VALUE"""),2.0)</f>
        <v>2</v>
      </c>
      <c r="J1156" s="33"/>
      <c r="K1156" s="30" t="str">
        <f>IFERROR(__xludf.DUMMYFUNCTION("""COMPUTED_VALUE"""),"kelewat tanggal tp tetep coba di FU ")</f>
        <v>kelewat tanggal tp tetep coba di FU </v>
      </c>
      <c r="L1156" s="23"/>
      <c r="M1156" s="20"/>
      <c r="N1156" s="20"/>
      <c r="O1156" s="20"/>
      <c r="P1156" s="20"/>
    </row>
    <row r="1157">
      <c r="A1157" s="11">
        <f>IFERROR(__xludf.DUMMYFUNCTION("""COMPUTED_VALUE"""),46220.0)</f>
        <v>46220</v>
      </c>
      <c r="B1157" s="11" t="str">
        <f>IFERROR(__xludf.DUMMYFUNCTION("""COMPUTED_VALUE"""),"2607D114")</f>
        <v>2607D114</v>
      </c>
      <c r="C1157" s="10" t="str">
        <f>IFERROR(__xludf.DUMMYFUNCTION("""COMPUTED_VALUE"""),"Fiaa")</f>
        <v>Fiaa</v>
      </c>
      <c r="D1157" s="13" t="str">
        <f>IFERROR(__xludf.DUMMYFUNCTION("""COMPUTED_VALUE"""),"083847493564")</f>
        <v>083847493564</v>
      </c>
      <c r="E1157" s="14" t="str">
        <f>IFERROR(__xludf.DUMMYFUNCTION("""COMPUTED_VALUE"""),"Instagram")</f>
        <v>Instagram</v>
      </c>
      <c r="F1157" s="14" t="str">
        <f>IFERROR(__xludf.DUMMYFUNCTION("""COMPUTED_VALUE"""),"Leads Baru")</f>
        <v>Leads Baru</v>
      </c>
      <c r="G1157" s="14" t="str">
        <f>IFERROR(__xludf.DUMMYFUNCTION("""COMPUTED_VALUE"""),"OT Green Island")</f>
        <v>OT Green Island</v>
      </c>
      <c r="H1157" s="16">
        <f>IFERROR(__xludf.DUMMYFUNCTION("""COMPUTED_VALUE"""),46235.0)</f>
        <v>46235</v>
      </c>
      <c r="I1157" s="17">
        <f>IFERROR(__xludf.DUMMYFUNCTION("""COMPUTED_VALUE"""),2.0)</f>
        <v>2</v>
      </c>
      <c r="J1157" s="54"/>
      <c r="K1157" s="46" t="str">
        <f>IFERROR(__xludf.DUMMYFUNCTION("""COMPUTED_VALUE"""),"FU 29 Juli")</f>
        <v>FU 29 Juli</v>
      </c>
      <c r="L1157" s="10"/>
      <c r="M1157" s="20"/>
      <c r="N1157" s="20"/>
      <c r="O1157" s="20"/>
      <c r="P1157" s="20"/>
    </row>
    <row r="1158">
      <c r="A1158" s="21">
        <f>IFERROR(__xludf.DUMMYFUNCTION("""COMPUTED_VALUE"""),46220.0)</f>
        <v>46220</v>
      </c>
      <c r="B1158" s="21" t="str">
        <f>IFERROR(__xludf.DUMMYFUNCTION("""COMPUTED_VALUE"""),"2607D115")</f>
        <v>2607D115</v>
      </c>
      <c r="C1158" s="23" t="str">
        <f>IFERROR(__xludf.DUMMYFUNCTION("""COMPUTED_VALUE"""),"Sanchit Singhal")</f>
        <v>Sanchit Singhal</v>
      </c>
      <c r="D1158" s="24" t="str">
        <f>IFERROR(__xludf.DUMMYFUNCTION("""COMPUTED_VALUE"""),"919971188334")</f>
        <v>919971188334</v>
      </c>
      <c r="E1158" s="14" t="str">
        <f>IFERROR(__xludf.DUMMYFUNCTION("""COMPUTED_VALUE"""),"Website")</f>
        <v>Website</v>
      </c>
      <c r="F1158" s="14" t="str">
        <f>IFERROR(__xludf.DUMMYFUNCTION("""COMPUTED_VALUE"""),"Gagal")</f>
        <v>Gagal</v>
      </c>
      <c r="G1158" s="14" t="str">
        <f>IFERROR(__xludf.DUMMYFUNCTION("""COMPUTED_VALUE"""),"OT Ijen WNA")</f>
        <v>OT Ijen WNA</v>
      </c>
      <c r="H1158" s="26">
        <f>IFERROR(__xludf.DUMMYFUNCTION("""COMPUTED_VALUE"""),46223.0)</f>
        <v>46223</v>
      </c>
      <c r="I1158" s="27">
        <f>IFERROR(__xludf.DUMMYFUNCTION("""COMPUTED_VALUE"""),4.0)</f>
        <v>4</v>
      </c>
      <c r="J1158" s="33"/>
      <c r="K1158" s="30" t="str">
        <f>IFERROR(__xludf.DUMMYFUNCTION("""COMPUTED_VALUE"""),"rencana berubahh")</f>
        <v>rencana berubahh</v>
      </c>
      <c r="L1158" s="23"/>
      <c r="M1158" s="20"/>
      <c r="N1158" s="20"/>
      <c r="O1158" s="20"/>
      <c r="P1158" s="20"/>
    </row>
    <row r="1159">
      <c r="A1159" s="11">
        <f>IFERROR(__xludf.DUMMYFUNCTION("""COMPUTED_VALUE"""),46221.0)</f>
        <v>46221</v>
      </c>
      <c r="B1159" s="11" t="str">
        <f>IFERROR(__xludf.DUMMYFUNCTION("""COMPUTED_VALUE"""),"2607D116")</f>
        <v>2607D116</v>
      </c>
      <c r="C1159" s="10" t="str">
        <f>IFERROR(__xludf.DUMMYFUNCTION("""COMPUTED_VALUE"""),"Aninda")</f>
        <v>Aninda</v>
      </c>
      <c r="D1159" s="13" t="str">
        <f>IFERROR(__xludf.DUMMYFUNCTION("""COMPUTED_VALUE"""),"081393304508")</f>
        <v>081393304508</v>
      </c>
      <c r="E1159" s="14" t="str">
        <f>IFERROR(__xludf.DUMMYFUNCTION("""COMPUTED_VALUE"""),"Instagram")</f>
        <v>Instagram</v>
      </c>
      <c r="F1159" s="14" t="str">
        <f>IFERROR(__xludf.DUMMYFUNCTION("""COMPUTED_VALUE"""),"Leads Baru")</f>
        <v>Leads Baru</v>
      </c>
      <c r="G1159" s="14" t="str">
        <f>IFERROR(__xludf.DUMMYFUNCTION("""COMPUTED_VALUE"""),"3H2M opsi A")</f>
        <v>3H2M opsi A</v>
      </c>
      <c r="H1159" s="16"/>
      <c r="I1159" s="17">
        <f>IFERROR(__xludf.DUMMYFUNCTION("""COMPUTED_VALUE"""),6.0)</f>
        <v>6</v>
      </c>
      <c r="J1159" s="54"/>
      <c r="K1159" s="46" t="str">
        <f>IFERROR(__xludf.DUMMYFUNCTION("""COMPUTED_VALUE"""),"masih tanya2 untuk liburan akhir tahun, FU 5 oktober")</f>
        <v>masih tanya2 untuk liburan akhir tahun, FU 5 oktober</v>
      </c>
      <c r="L1159" s="10"/>
      <c r="M1159" s="20"/>
      <c r="N1159" s="20"/>
      <c r="O1159" s="20"/>
      <c r="P1159" s="20"/>
    </row>
    <row r="1160">
      <c r="A1160" s="21">
        <f>IFERROR(__xludf.DUMMYFUNCTION("""COMPUTED_VALUE"""),46221.0)</f>
        <v>46221</v>
      </c>
      <c r="B1160" s="21" t="str">
        <f>IFERROR(__xludf.DUMMYFUNCTION("""COMPUTED_VALUE"""),"2607D117")</f>
        <v>2607D117</v>
      </c>
      <c r="C1160" s="23" t="str">
        <f>IFERROR(__xludf.DUMMYFUNCTION("""COMPUTED_VALUE"""),"Zelda")</f>
        <v>Zelda</v>
      </c>
      <c r="D1160" s="24" t="str">
        <f>IFERROR(__xludf.DUMMYFUNCTION("""COMPUTED_VALUE"""),"085695078150")</f>
        <v>085695078150</v>
      </c>
      <c r="E1160" s="14" t="str">
        <f>IFERROR(__xludf.DUMMYFUNCTION("""COMPUTED_VALUE"""),"Instagram")</f>
        <v>Instagram</v>
      </c>
      <c r="F1160" s="14" t="str">
        <f>IFERROR(__xludf.DUMMYFUNCTION("""COMPUTED_VALUE"""),"Leads Baru")</f>
        <v>Leads Baru</v>
      </c>
      <c r="G1160" s="14" t="str">
        <f>IFERROR(__xludf.DUMMYFUNCTION("""COMPUTED_VALUE"""),"3H2M customre")</f>
        <v>3H2M customre</v>
      </c>
      <c r="H1160" s="26">
        <f>IFERROR(__xludf.DUMMYFUNCTION("""COMPUTED_VALUE"""),46311.0)</f>
        <v>46311</v>
      </c>
      <c r="I1160" s="27">
        <f>IFERROR(__xludf.DUMMYFUNCTION("""COMPUTED_VALUE"""),40.0)</f>
        <v>40</v>
      </c>
      <c r="J1160" s="33"/>
      <c r="K1160" s="30" t="str">
        <f>IFERROR(__xludf.DUMMYFUNCTION("""COMPUTED_VALUE"""),"kirim penawaran, FU 22 Agustus")</f>
        <v>kirim penawaran, FU 22 Agustus</v>
      </c>
      <c r="L1160" s="23"/>
      <c r="M1160" s="20"/>
      <c r="N1160" s="20"/>
      <c r="O1160" s="20"/>
      <c r="P1160" s="20"/>
    </row>
    <row r="1161">
      <c r="A1161" s="11">
        <f>IFERROR(__xludf.DUMMYFUNCTION("""COMPUTED_VALUE"""),46221.0)</f>
        <v>46221</v>
      </c>
      <c r="B1161" s="11" t="str">
        <f>IFERROR(__xludf.DUMMYFUNCTION("""COMPUTED_VALUE"""),"2607D118")</f>
        <v>2607D118</v>
      </c>
      <c r="C1161" s="10" t="str">
        <f>IFERROR(__xludf.DUMMYFUNCTION("""COMPUTED_VALUE"""),"Jopp")</f>
        <v>Jopp</v>
      </c>
      <c r="D1161" s="13" t="str">
        <f>IFERROR(__xludf.DUMMYFUNCTION("""COMPUTED_VALUE"""),"0895402558037")</f>
        <v>0895402558037</v>
      </c>
      <c r="E1161" s="14" t="str">
        <f>IFERROR(__xludf.DUMMYFUNCTION("""COMPUTED_VALUE"""),"Instagram")</f>
        <v>Instagram</v>
      </c>
      <c r="F1161" s="14" t="str">
        <f>IFERROR(__xludf.DUMMYFUNCTION("""COMPUTED_VALUE"""),"Gagal")</f>
        <v>Gagal</v>
      </c>
      <c r="G1161" s="14"/>
      <c r="H1161" s="16"/>
      <c r="I1161" s="17"/>
      <c r="J1161" s="54"/>
      <c r="K1161" s="46" t="str">
        <f>IFERROR(__xludf.DUMMYFUNCTION("""COMPUTED_VALUE"""),"tanya OT underwater cave tidak ada")</f>
        <v>tanya OT underwater cave tidak ada</v>
      </c>
      <c r="L1161" s="10"/>
      <c r="M1161" s="20"/>
      <c r="N1161" s="20"/>
      <c r="O1161" s="20"/>
      <c r="P1161" s="20"/>
    </row>
    <row r="1162">
      <c r="A1162" s="21">
        <f>IFERROR(__xludf.DUMMYFUNCTION("""COMPUTED_VALUE"""),46221.0)</f>
        <v>46221</v>
      </c>
      <c r="B1162" s="21" t="str">
        <f>IFERROR(__xludf.DUMMYFUNCTION("""COMPUTED_VALUE"""),"2607D119")</f>
        <v>2607D119</v>
      </c>
      <c r="C1162" s="23" t="str">
        <f>IFERROR(__xludf.DUMMYFUNCTION("""COMPUTED_VALUE"""),"Yodi")</f>
        <v>Yodi</v>
      </c>
      <c r="D1162" s="24" t="str">
        <f>IFERROR(__xludf.DUMMYFUNCTION("""COMPUTED_VALUE"""),"081389007558")</f>
        <v>081389007558</v>
      </c>
      <c r="E1162" s="14" t="str">
        <f>IFERROR(__xludf.DUMMYFUNCTION("""COMPUTED_VALUE"""),"Instagram")</f>
        <v>Instagram</v>
      </c>
      <c r="F1162" s="14" t="str">
        <f>IFERROR(__xludf.DUMMYFUNCTION("""COMPUTED_VALUE"""),"Leads Baru")</f>
        <v>Leads Baru</v>
      </c>
      <c r="G1162" s="14" t="str">
        <f>IFERROR(__xludf.DUMMYFUNCTION("""COMPUTED_VALUE"""),"3H2M ")</f>
        <v>3H2M </v>
      </c>
      <c r="H1162" s="26">
        <f>IFERROR(__xludf.DUMMYFUNCTION("""COMPUTED_VALUE"""),46240.0)</f>
        <v>46240</v>
      </c>
      <c r="I1162" s="27">
        <f>IFERROR(__xludf.DUMMYFUNCTION("""COMPUTED_VALUE"""),4.0)</f>
        <v>4</v>
      </c>
      <c r="J1162" s="33"/>
      <c r="K1162" s="30" t="str">
        <f>IFERROR(__xludf.DUMMYFUNCTION("""COMPUTED_VALUE"""),"fu 1 Agustus")</f>
        <v>fu 1 Agustus</v>
      </c>
      <c r="L1162" s="23"/>
      <c r="M1162" s="20"/>
      <c r="N1162" s="20"/>
      <c r="O1162" s="20"/>
      <c r="P1162" s="20"/>
    </row>
    <row r="1163">
      <c r="A1163" s="11">
        <f>IFERROR(__xludf.DUMMYFUNCTION("""COMPUTED_VALUE"""),46221.0)</f>
        <v>46221</v>
      </c>
      <c r="B1163" s="11" t="str">
        <f>IFERROR(__xludf.DUMMYFUNCTION("""COMPUTED_VALUE"""),"2607D120")</f>
        <v>2607D120</v>
      </c>
      <c r="C1163" s="10" t="str">
        <f>IFERROR(__xludf.DUMMYFUNCTION("""COMPUTED_VALUE"""),"Aysa")</f>
        <v>Aysa</v>
      </c>
      <c r="D1163" s="13" t="str">
        <f>IFERROR(__xludf.DUMMYFUNCTION("""COMPUTED_VALUE"""),"083113154413")</f>
        <v>083113154413</v>
      </c>
      <c r="E1163" s="14" t="str">
        <f>IFERROR(__xludf.DUMMYFUNCTION("""COMPUTED_VALUE"""),"Website")</f>
        <v>Website</v>
      </c>
      <c r="F1163" s="14" t="str">
        <f>IFERROR(__xludf.DUMMYFUNCTION("""COMPUTED_VALUE"""),"Leads Baru")</f>
        <v>Leads Baru</v>
      </c>
      <c r="G1163" s="14" t="str">
        <f>IFERROR(__xludf.DUMMYFUNCTION("""COMPUTED_VALUE"""),"trip Baluran")</f>
        <v>trip Baluran</v>
      </c>
      <c r="H1163" s="16"/>
      <c r="I1163" s="17">
        <f>IFERROR(__xludf.DUMMYFUNCTION("""COMPUTED_VALUE"""),3.0)</f>
        <v>3</v>
      </c>
      <c r="J1163" s="54"/>
      <c r="K1163" s="46" t="str">
        <f>IFERROR(__xludf.DUMMYFUNCTION("""COMPUTED_VALUE"""),"FU 2 Agustus")</f>
        <v>FU 2 Agustus</v>
      </c>
      <c r="L1163" s="10"/>
      <c r="M1163" s="20"/>
      <c r="N1163" s="20"/>
      <c r="O1163" s="20"/>
      <c r="P1163" s="20"/>
    </row>
    <row r="1164">
      <c r="A1164" s="21">
        <f>IFERROR(__xludf.DUMMYFUNCTION("""COMPUTED_VALUE"""),46222.0)</f>
        <v>46222</v>
      </c>
      <c r="B1164" s="21" t="str">
        <f>IFERROR(__xludf.DUMMYFUNCTION("""COMPUTED_VALUE"""),"2607D121")</f>
        <v>2607D121</v>
      </c>
      <c r="C1164" s="23" t="str">
        <f>IFERROR(__xludf.DUMMYFUNCTION("""COMPUTED_VALUE"""),"Aufa")</f>
        <v>Aufa</v>
      </c>
      <c r="D1164" s="24" t="str">
        <f>IFERROR(__xludf.DUMMYFUNCTION("""COMPUTED_VALUE"""),"082143346756")</f>
        <v>082143346756</v>
      </c>
      <c r="E1164" s="14" t="str">
        <f>IFERROR(__xludf.DUMMYFUNCTION("""COMPUTED_VALUE"""),"Instagram")</f>
        <v>Instagram</v>
      </c>
      <c r="F1164" s="14" t="str">
        <f>IFERROR(__xludf.DUMMYFUNCTION("""COMPUTED_VALUE"""),"Leads Baru")</f>
        <v>Leads Baru</v>
      </c>
      <c r="G1164" s="14" t="str">
        <f>IFERROR(__xludf.DUMMYFUNCTION("""COMPUTED_VALUE"""),"trip 2H1M custome")</f>
        <v>trip 2H1M custome</v>
      </c>
      <c r="H1164" s="26"/>
      <c r="I1164" s="27">
        <f>IFERROR(__xludf.DUMMYFUNCTION("""COMPUTED_VALUE"""),2.0)</f>
        <v>2</v>
      </c>
      <c r="J1164" s="33"/>
      <c r="K1164" s="30" t="str">
        <f>IFERROR(__xludf.DUMMYFUNCTION("""COMPUTED_VALUE"""),"dibalas ""sebentar ya"" FU 28 Juli")</f>
        <v>dibalas "sebentar ya" FU 28 Juli</v>
      </c>
      <c r="L1164" s="23"/>
      <c r="M1164" s="20"/>
      <c r="N1164" s="20"/>
      <c r="O1164" s="20"/>
      <c r="P1164" s="20"/>
    </row>
    <row r="1165">
      <c r="A1165" s="11">
        <f>IFERROR(__xludf.DUMMYFUNCTION("""COMPUTED_VALUE"""),46222.0)</f>
        <v>46222</v>
      </c>
      <c r="B1165" s="11" t="str">
        <f>IFERROR(__xludf.DUMMYFUNCTION("""COMPUTED_VALUE"""),"2607D122")</f>
        <v>2607D122</v>
      </c>
      <c r="C1165" s="10" t="str">
        <f>IFERROR(__xludf.DUMMYFUNCTION("""COMPUTED_VALUE"""),"Fely")</f>
        <v>Fely</v>
      </c>
      <c r="D1165" s="13" t="str">
        <f>IFERROR(__xludf.DUMMYFUNCTION("""COMPUTED_VALUE"""),"082141014839")</f>
        <v>082141014839</v>
      </c>
      <c r="E1165" s="14" t="str">
        <f>IFERROR(__xludf.DUMMYFUNCTION("""COMPUTED_VALUE"""),"Instagram")</f>
        <v>Instagram</v>
      </c>
      <c r="F1165" s="14" t="str">
        <f>IFERROR(__xludf.DUMMYFUNCTION("""COMPUTED_VALUE"""),"Leads Baru")</f>
        <v>Leads Baru</v>
      </c>
      <c r="G1165" s="14" t="str">
        <f>IFERROR(__xludf.DUMMYFUNCTION("""COMPUTED_VALUE"""),"OT 3H2M")</f>
        <v>OT 3H2M</v>
      </c>
      <c r="H1165" s="16"/>
      <c r="I1165" s="17">
        <f>IFERROR(__xludf.DUMMYFUNCTION("""COMPUTED_VALUE"""),2.0)</f>
        <v>2</v>
      </c>
      <c r="J1165" s="54"/>
      <c r="K1165" s="46" t="str">
        <f>IFERROR(__xludf.DUMMYFUNCTION("""COMPUTED_VALUE"""),"nanti dikabari lagi, FU 28 Juli")</f>
        <v>nanti dikabari lagi, FU 28 Juli</v>
      </c>
      <c r="L1165" s="10"/>
      <c r="M1165" s="20"/>
      <c r="N1165" s="20"/>
      <c r="O1165" s="20"/>
      <c r="P1165" s="20"/>
    </row>
    <row r="1166">
      <c r="A1166" s="21">
        <f>IFERROR(__xludf.DUMMYFUNCTION("""COMPUTED_VALUE"""),46222.0)</f>
        <v>46222</v>
      </c>
      <c r="B1166" s="21" t="str">
        <f>IFERROR(__xludf.DUMMYFUNCTION("""COMPUTED_VALUE"""),"2607D123")</f>
        <v>2607D123</v>
      </c>
      <c r="C1166" s="23" t="str">
        <f>IFERROR(__xludf.DUMMYFUNCTION("""COMPUTED_VALUE"""),"Rika Nurhasanah")</f>
        <v>Rika Nurhasanah</v>
      </c>
      <c r="D1166" s="24" t="str">
        <f>IFERROR(__xludf.DUMMYFUNCTION("""COMPUTED_VALUE"""),"08122234877")</f>
        <v>08122234877</v>
      </c>
      <c r="E1166" s="14" t="str">
        <f>IFERROR(__xludf.DUMMYFUNCTION("""COMPUTED_VALUE"""),"Website")</f>
        <v>Website</v>
      </c>
      <c r="F1166" s="14" t="str">
        <f>IFERROR(__xludf.DUMMYFUNCTION("""COMPUTED_VALUE"""),"Leads Baru")</f>
        <v>Leads Baru</v>
      </c>
      <c r="G1166" s="14" t="str">
        <f>IFERROR(__xludf.DUMMYFUNCTION("""COMPUTED_VALUE"""),"3h2m ")</f>
        <v>3h2m </v>
      </c>
      <c r="H1166" s="26"/>
      <c r="I1166" s="27">
        <f>IFERROR(__xludf.DUMMYFUNCTION("""COMPUTED_VALUE"""),46178.0)</f>
        <v>46178</v>
      </c>
      <c r="J1166" s="33"/>
      <c r="K1166" s="30" t="str">
        <f>IFERROR(__xludf.DUMMYFUNCTION("""COMPUTED_VALUE"""),"masih milih antara opsi a/b, FU 1 Agustus")</f>
        <v>masih milih antara opsi a/b, FU 1 Agustus</v>
      </c>
      <c r="L1166" s="23"/>
      <c r="M1166" s="20"/>
      <c r="N1166" s="20"/>
      <c r="O1166" s="20"/>
      <c r="P1166" s="20"/>
    </row>
    <row r="1167">
      <c r="A1167" s="11">
        <f>IFERROR(__xludf.DUMMYFUNCTION("""COMPUTED_VALUE"""),46221.0)</f>
        <v>46221</v>
      </c>
      <c r="B1167" s="11" t="str">
        <f>IFERROR(__xludf.DUMMYFUNCTION("""COMPUTED_VALUE"""),"2607D124")</f>
        <v>2607D124</v>
      </c>
      <c r="C1167" s="10" t="str">
        <f>IFERROR(__xludf.DUMMYFUNCTION("""COMPUTED_VALUE"""),"Bella")</f>
        <v>Bella</v>
      </c>
      <c r="D1167" s="13" t="str">
        <f>IFERROR(__xludf.DUMMYFUNCTION("""COMPUTED_VALUE"""),"085257316858")</f>
        <v>085257316858</v>
      </c>
      <c r="E1167" s="14" t="str">
        <f>IFERROR(__xludf.DUMMYFUNCTION("""COMPUTED_VALUE"""),"Instagram")</f>
        <v>Instagram</v>
      </c>
      <c r="F1167" s="14" t="str">
        <f>IFERROR(__xludf.DUMMYFUNCTION("""COMPUTED_VALUE"""),"Leads Baru")</f>
        <v>Leads Baru</v>
      </c>
      <c r="G1167" s="14" t="str">
        <f>IFERROR(__xludf.DUMMYFUNCTION("""COMPUTED_VALUE"""),"2H1M ")</f>
        <v>2H1M </v>
      </c>
      <c r="H1167" s="16"/>
      <c r="I1167" s="17">
        <f>IFERROR(__xludf.DUMMYFUNCTION("""COMPUTED_VALUE"""),2.0)</f>
        <v>2</v>
      </c>
      <c r="J1167" s="54"/>
      <c r="K1167" s="46" t="str">
        <f>IFERROR(__xludf.DUMMYFUNCTION("""COMPUTED_VALUE"""),"FU 29 Juli")</f>
        <v>FU 29 Juli</v>
      </c>
      <c r="L1167" s="10"/>
      <c r="M1167" s="20"/>
      <c r="N1167" s="20"/>
      <c r="O1167" s="20"/>
      <c r="P1167" s="20"/>
    </row>
    <row r="1168">
      <c r="A1168" s="21">
        <f>IFERROR(__xludf.DUMMYFUNCTION("""COMPUTED_VALUE"""),46222.0)</f>
        <v>46222</v>
      </c>
      <c r="B1168" s="21" t="str">
        <f>IFERROR(__xludf.DUMMYFUNCTION("""COMPUTED_VALUE"""),"2607D125")</f>
        <v>2607D125</v>
      </c>
      <c r="C1168" s="23" t="str">
        <f>IFERROR(__xludf.DUMMYFUNCTION("""COMPUTED_VALUE"""),"Aldi")</f>
        <v>Aldi</v>
      </c>
      <c r="D1168" s="24" t="str">
        <f>IFERROR(__xludf.DUMMYFUNCTION("""COMPUTED_VALUE"""),"089522536700")</f>
        <v>089522536700</v>
      </c>
      <c r="E1168" s="14" t="str">
        <f>IFERROR(__xludf.DUMMYFUNCTION("""COMPUTED_VALUE"""),"Instagram")</f>
        <v>Instagram</v>
      </c>
      <c r="F1168" s="14" t="str">
        <f>IFERROR(__xludf.DUMMYFUNCTION("""COMPUTED_VALUE"""),"Leads Baru")</f>
        <v>Leads Baru</v>
      </c>
      <c r="G1168" s="14"/>
      <c r="H1168" s="26"/>
      <c r="I1168" s="27"/>
      <c r="J1168" s="33"/>
      <c r="K1168" s="30" t="str">
        <f>IFERROR(__xludf.DUMMYFUNCTION("""COMPUTED_VALUE"""),"baru menyapa")</f>
        <v>baru menyapa</v>
      </c>
      <c r="L1168" s="23"/>
      <c r="M1168" s="20"/>
      <c r="N1168" s="20"/>
      <c r="O1168" s="20"/>
      <c r="P1168" s="20"/>
    </row>
    <row r="1169">
      <c r="A1169" s="11">
        <f>IFERROR(__xludf.DUMMYFUNCTION("""COMPUTED_VALUE"""),46222.0)</f>
        <v>46222</v>
      </c>
      <c r="B1169" s="11" t="str">
        <f>IFERROR(__xludf.DUMMYFUNCTION("""COMPUTED_VALUE"""),"2607D126")</f>
        <v>2607D126</v>
      </c>
      <c r="C1169" s="10" t="str">
        <f>IFERROR(__xludf.DUMMYFUNCTION("""COMPUTED_VALUE"""),"Zhang")</f>
        <v>Zhang</v>
      </c>
      <c r="D1169" s="13" t="str">
        <f>IFERROR(__xludf.DUMMYFUNCTION("""COMPUTED_VALUE"""),"8617356571098")</f>
        <v>8617356571098</v>
      </c>
      <c r="E1169" s="14" t="str">
        <f>IFERROR(__xludf.DUMMYFUNCTION("""COMPUTED_VALUE"""),"Lainnya")</f>
        <v>Lainnya</v>
      </c>
      <c r="F1169" s="14" t="str">
        <f>IFERROR(__xludf.DUMMYFUNCTION("""COMPUTED_VALUE"""),"Leads Baru")</f>
        <v>Leads Baru</v>
      </c>
      <c r="G1169" s="14" t="str">
        <f>IFERROR(__xludf.DUMMYFUNCTION("""COMPUTED_VALUE"""),"OT MT WNA")</f>
        <v>OT MT WNA</v>
      </c>
      <c r="H1169" s="16">
        <f>IFERROR(__xludf.DUMMYFUNCTION("""COMPUTED_VALUE"""),46241.0)</f>
        <v>46241</v>
      </c>
      <c r="I1169" s="17">
        <f>IFERROR(__xludf.DUMMYFUNCTION("""COMPUTED_VALUE"""),1.0)</f>
        <v>1</v>
      </c>
      <c r="J1169" s="54"/>
      <c r="K1169" s="46" t="str">
        <f>IFERROR(__xludf.DUMMYFUNCTION("""COMPUTED_VALUE"""),"FU 28 Juli")</f>
        <v>FU 28 Juli</v>
      </c>
      <c r="L1169" s="10"/>
      <c r="M1169" s="20"/>
      <c r="N1169" s="20"/>
      <c r="O1169" s="20"/>
      <c r="P1169" s="20"/>
    </row>
    <row r="1170">
      <c r="A1170" s="21">
        <f>IFERROR(__xludf.DUMMYFUNCTION("""COMPUTED_VALUE"""),46222.0)</f>
        <v>46222</v>
      </c>
      <c r="B1170" s="21" t="str">
        <f>IFERROR(__xludf.DUMMYFUNCTION("""COMPUTED_VALUE"""),"2607D127")</f>
        <v>2607D127</v>
      </c>
      <c r="C1170" s="23" t="str">
        <f>IFERROR(__xludf.DUMMYFUNCTION("""COMPUTED_VALUE"""),"Mutmainah")</f>
        <v>Mutmainah</v>
      </c>
      <c r="D1170" s="24" t="str">
        <f>IFERROR(__xludf.DUMMYFUNCTION("""COMPUTED_VALUE"""),"081329340619")</f>
        <v>081329340619</v>
      </c>
      <c r="E1170" s="14" t="str">
        <f>IFERROR(__xludf.DUMMYFUNCTION("""COMPUTED_VALUE"""),"Website")</f>
        <v>Website</v>
      </c>
      <c r="F1170" s="14" t="str">
        <f>IFERROR(__xludf.DUMMYFUNCTION("""COMPUTED_VALUE"""),"Closing")</f>
        <v>Closing</v>
      </c>
      <c r="G1170" s="14" t="str">
        <f>IFERROR(__xludf.DUMMYFUNCTION("""COMPUTED_VALUE"""),"3H2M custome")</f>
        <v>3H2M custome</v>
      </c>
      <c r="H1170" s="26">
        <f>IFERROR(__xludf.DUMMYFUNCTION("""COMPUTED_VALUE"""),46233.0)</f>
        <v>46233</v>
      </c>
      <c r="I1170" s="27">
        <f>IFERROR(__xludf.DUMMYFUNCTION("""COMPUTED_VALUE"""),4.0)</f>
        <v>4</v>
      </c>
      <c r="J1170" s="33">
        <f>IFERROR(__xludf.DUMMYFUNCTION("""COMPUTED_VALUE"""),9900000.0)</f>
        <v>9900000</v>
      </c>
      <c r="K1170" s="30" t="str">
        <f>IFERROR(__xludf.DUMMYFUNCTION("""COMPUTED_VALUE"""),"orderrr, teman ilmi ahmad")</f>
        <v>orderrr, teman ilmi ahmad</v>
      </c>
      <c r="L1170" s="23"/>
      <c r="M1170" s="20"/>
      <c r="N1170" s="20"/>
      <c r="O1170" s="20"/>
      <c r="P1170" s="20"/>
    </row>
    <row r="1171">
      <c r="A1171" s="11">
        <f>IFERROR(__xludf.DUMMYFUNCTION("""COMPUTED_VALUE"""),46223.0)</f>
        <v>46223</v>
      </c>
      <c r="B1171" s="11" t="str">
        <f>IFERROR(__xludf.DUMMYFUNCTION("""COMPUTED_VALUE"""),"2607D128")</f>
        <v>2607D128</v>
      </c>
      <c r="C1171" s="10" t="str">
        <f>IFERROR(__xludf.DUMMYFUNCTION("""COMPUTED_VALUE"""),"Nadya Alda")</f>
        <v>Nadya Alda</v>
      </c>
      <c r="D1171" s="13" t="str">
        <f>IFERROR(__xludf.DUMMYFUNCTION("""COMPUTED_VALUE"""),"081273136571")</f>
        <v>081273136571</v>
      </c>
      <c r="E1171" s="14" t="str">
        <f>IFERROR(__xludf.DUMMYFUNCTION("""COMPUTED_VALUE"""),"Instagram")</f>
        <v>Instagram</v>
      </c>
      <c r="F1171" s="14" t="str">
        <f>IFERROR(__xludf.DUMMYFUNCTION("""COMPUTED_VALUE"""),"Closing")</f>
        <v>Closing</v>
      </c>
      <c r="G1171" s="14" t="str">
        <f>IFERROR(__xludf.DUMMYFUNCTION("""COMPUTED_VALUE"""),"OT MT  ")</f>
        <v>OT MT  </v>
      </c>
      <c r="H1171" s="16">
        <f>IFERROR(__xludf.DUMMYFUNCTION("""COMPUTED_VALUE"""),46226.0)</f>
        <v>46226</v>
      </c>
      <c r="I1171" s="17">
        <f>IFERROR(__xludf.DUMMYFUNCTION("""COMPUTED_VALUE"""),2.0)</f>
        <v>2</v>
      </c>
      <c r="J1171" s="54">
        <f>IFERROR(__xludf.DUMMYFUNCTION("""COMPUTED_VALUE"""),800000.0)</f>
        <v>800000</v>
      </c>
      <c r="K1171" s="46" t="str">
        <f>IFERROR(__xludf.DUMMYFUNCTION("""COMPUTED_VALUE"""),"orrderrr")</f>
        <v>orrderrr</v>
      </c>
      <c r="L1171" s="10"/>
      <c r="M1171" s="20"/>
      <c r="N1171" s="20"/>
      <c r="O1171" s="20"/>
      <c r="P1171" s="20"/>
    </row>
    <row r="1172">
      <c r="A1172" s="21">
        <f>IFERROR(__xludf.DUMMYFUNCTION("""COMPUTED_VALUE"""),46222.0)</f>
        <v>46222</v>
      </c>
      <c r="B1172" s="21" t="str">
        <f>IFERROR(__xludf.DUMMYFUNCTION("""COMPUTED_VALUE"""),"2607D129")</f>
        <v>2607D129</v>
      </c>
      <c r="C1172" s="23" t="str">
        <f>IFERROR(__xludf.DUMMYFUNCTION("""COMPUTED_VALUE"""),"ilmi Ahmad")</f>
        <v>ilmi Ahmad</v>
      </c>
      <c r="D1172" s="24" t="str">
        <f>IFERROR(__xludf.DUMMYFUNCTION("""COMPUTED_VALUE"""),"088232149794")</f>
        <v>088232149794</v>
      </c>
      <c r="E1172" s="14" t="str">
        <f>IFERROR(__xludf.DUMMYFUNCTION("""COMPUTED_VALUE"""),"Instagram")</f>
        <v>Instagram</v>
      </c>
      <c r="F1172" s="14" t="str">
        <f>IFERROR(__xludf.DUMMYFUNCTION("""COMPUTED_VALUE"""),"Closing")</f>
        <v>Closing</v>
      </c>
      <c r="G1172" s="14" t="str">
        <f>IFERROR(__xludf.DUMMYFUNCTION("""COMPUTED_VALUE"""),"3H2M custome")</f>
        <v>3H2M custome</v>
      </c>
      <c r="H1172" s="26">
        <f>IFERROR(__xludf.DUMMYFUNCTION("""COMPUTED_VALUE"""),46233.0)</f>
        <v>46233</v>
      </c>
      <c r="I1172" s="27">
        <f>IFERROR(__xludf.DUMMYFUNCTION("""COMPUTED_VALUE"""),4.0)</f>
        <v>4</v>
      </c>
      <c r="J1172" s="33">
        <f>IFERROR(__xludf.DUMMYFUNCTION("""COMPUTED_VALUE"""),9900000.0)</f>
        <v>9900000</v>
      </c>
      <c r="K1172" s="30" t="str">
        <f>IFERROR(__xludf.DUMMYFUNCTION("""COMPUTED_VALUE"""),"yesss orrderr")</f>
        <v>yesss orrderr</v>
      </c>
      <c r="L1172" s="23"/>
      <c r="M1172" s="20"/>
      <c r="N1172" s="20"/>
      <c r="O1172" s="20"/>
      <c r="P1172" s="20"/>
    </row>
    <row r="1173">
      <c r="A1173" s="11">
        <f>IFERROR(__xludf.DUMMYFUNCTION("""COMPUTED_VALUE"""),46224.0)</f>
        <v>46224</v>
      </c>
      <c r="B1173" s="11" t="str">
        <f>IFERROR(__xludf.DUMMYFUNCTION("""COMPUTED_VALUE"""),"2607D130")</f>
        <v>2607D130</v>
      </c>
      <c r="C1173" s="10" t="str">
        <f>IFERROR(__xludf.DUMMYFUNCTION("""COMPUTED_VALUE"""),"Lala")</f>
        <v>Lala</v>
      </c>
      <c r="D1173" s="13" t="str">
        <f>IFERROR(__xludf.DUMMYFUNCTION("""COMPUTED_VALUE"""),"081331632269")</f>
        <v>081331632269</v>
      </c>
      <c r="E1173" s="14" t="str">
        <f>IFERROR(__xludf.DUMMYFUNCTION("""COMPUTED_VALUE"""),"Instagram")</f>
        <v>Instagram</v>
      </c>
      <c r="F1173" s="14" t="str">
        <f>IFERROR(__xludf.DUMMYFUNCTION("""COMPUTED_VALUE"""),"Closing")</f>
        <v>Closing</v>
      </c>
      <c r="G1173" s="14" t="str">
        <f>IFERROR(__xludf.DUMMYFUNCTION("""COMPUTED_VALUE"""),"OT MT")</f>
        <v>OT MT</v>
      </c>
      <c r="H1173" s="16">
        <f>IFERROR(__xludf.DUMMYFUNCTION("""COMPUTED_VALUE"""),46228.0)</f>
        <v>46228</v>
      </c>
      <c r="I1173" s="17">
        <f>IFERROR(__xludf.DUMMYFUNCTION("""COMPUTED_VALUE"""),10.0)</f>
        <v>10</v>
      </c>
      <c r="J1173" s="54">
        <f>IFERROR(__xludf.DUMMYFUNCTION("""COMPUTED_VALUE"""),2750000.0)</f>
        <v>2750000</v>
      </c>
      <c r="K1173" s="46" t="str">
        <f>IFERROR(__xludf.DUMMYFUNCTION("""COMPUTED_VALUE"""),"yess orrderr")</f>
        <v>yess orrderr</v>
      </c>
      <c r="L1173" s="10"/>
      <c r="M1173" s="20"/>
      <c r="N1173" s="20"/>
      <c r="O1173" s="20"/>
      <c r="P1173" s="20"/>
    </row>
    <row r="1174">
      <c r="A1174" s="21">
        <f>IFERROR(__xludf.DUMMYFUNCTION("""COMPUTED_VALUE"""),46223.0)</f>
        <v>46223</v>
      </c>
      <c r="B1174" s="21" t="str">
        <f>IFERROR(__xludf.DUMMYFUNCTION("""COMPUTED_VALUE"""),"2607D131")</f>
        <v>2607D131</v>
      </c>
      <c r="C1174" s="23" t="str">
        <f>IFERROR(__xludf.DUMMYFUNCTION("""COMPUTED_VALUE"""),"Jochebed Loekita")</f>
        <v>Jochebed Loekita</v>
      </c>
      <c r="D1174" s="24" t="str">
        <f>IFERROR(__xludf.DUMMYFUNCTION("""COMPUTED_VALUE"""),"081958060393")</f>
        <v>081958060393</v>
      </c>
      <c r="E1174" s="14" t="str">
        <f>IFERROR(__xludf.DUMMYFUNCTION("""COMPUTED_VALUE"""),"Instagram")</f>
        <v>Instagram</v>
      </c>
      <c r="F1174" s="14" t="str">
        <f>IFERROR(__xludf.DUMMYFUNCTION("""COMPUTED_VALUE"""),"Leads Baru")</f>
        <v>Leads Baru</v>
      </c>
      <c r="G1174" s="14"/>
      <c r="H1174" s="26"/>
      <c r="I1174" s="27"/>
      <c r="J1174" s="33"/>
      <c r="K1174" s="30" t="str">
        <f>IFERROR(__xludf.DUMMYFUNCTION("""COMPUTED_VALUE"""),"masih pilih destinasi, nanti dikabarin")</f>
        <v>masih pilih destinasi, nanti dikabarin</v>
      </c>
      <c r="L1174" s="23"/>
      <c r="M1174" s="20"/>
      <c r="N1174" s="20"/>
      <c r="O1174" s="20"/>
      <c r="P1174" s="20"/>
    </row>
    <row r="1175">
      <c r="A1175" s="11">
        <f>IFERROR(__xludf.DUMMYFUNCTION("""COMPUTED_VALUE"""),46224.0)</f>
        <v>46224</v>
      </c>
      <c r="B1175" s="11" t="str">
        <f>IFERROR(__xludf.DUMMYFUNCTION("""COMPUTED_VALUE"""),"2607D132")</f>
        <v>2607D132</v>
      </c>
      <c r="C1175" s="10" t="str">
        <f>IFERROR(__xludf.DUMMYFUNCTION("""COMPUTED_VALUE"""),"Caruban Nagari")</f>
        <v>Caruban Nagari</v>
      </c>
      <c r="D1175" s="13" t="str">
        <f>IFERROR(__xludf.DUMMYFUNCTION("""COMPUTED_VALUE"""),"089653444969")</f>
        <v>089653444969</v>
      </c>
      <c r="E1175" s="14" t="str">
        <f>IFERROR(__xludf.DUMMYFUNCTION("""COMPUTED_VALUE"""),"Instagram")</f>
        <v>Instagram</v>
      </c>
      <c r="F1175" s="14" t="str">
        <f>IFERROR(__xludf.DUMMYFUNCTION("""COMPUTED_VALUE"""),"Leads Baru")</f>
        <v>Leads Baru</v>
      </c>
      <c r="G1175" s="14"/>
      <c r="H1175" s="16"/>
      <c r="I1175" s="17"/>
      <c r="J1175" s="54"/>
      <c r="K1175" s="46" t="str">
        <f>IFERROR(__xludf.DUMMYFUNCTION("""COMPUTED_VALUE"""),"baru tanya pricelist ")</f>
        <v>baru tanya pricelist </v>
      </c>
      <c r="L1175" s="10"/>
      <c r="M1175" s="20"/>
      <c r="N1175" s="20"/>
      <c r="O1175" s="20"/>
      <c r="P1175" s="20"/>
    </row>
    <row r="1176">
      <c r="A1176" s="21">
        <f>IFERROR(__xludf.DUMMYFUNCTION("""COMPUTED_VALUE"""),46223.0)</f>
        <v>46223</v>
      </c>
      <c r="B1176" s="21" t="str">
        <f>IFERROR(__xludf.DUMMYFUNCTION("""COMPUTED_VALUE"""),"2607D133")</f>
        <v>2607D133</v>
      </c>
      <c r="C1176" s="23" t="str">
        <f>IFERROR(__xludf.DUMMYFUNCTION("""COMPUTED_VALUE"""),"DRS")</f>
        <v>DRS</v>
      </c>
      <c r="D1176" s="24" t="str">
        <f>IFERROR(__xludf.DUMMYFUNCTION("""COMPUTED_VALUE"""),"081314046102")</f>
        <v>081314046102</v>
      </c>
      <c r="E1176" s="14" t="str">
        <f>IFERROR(__xludf.DUMMYFUNCTION("""COMPUTED_VALUE"""),"Instagram")</f>
        <v>Instagram</v>
      </c>
      <c r="F1176" s="14" t="str">
        <f>IFERROR(__xludf.DUMMYFUNCTION("""COMPUTED_VALUE"""),"Leads Baru")</f>
        <v>Leads Baru</v>
      </c>
      <c r="G1176" s="14" t="str">
        <f>IFERROR(__xludf.DUMMYFUNCTION("""COMPUTED_VALUE"""),"OT 3H2M")</f>
        <v>OT 3H2M</v>
      </c>
      <c r="H1176" s="26"/>
      <c r="I1176" s="27"/>
      <c r="J1176" s="33"/>
      <c r="K1176" s="30" t="str">
        <f>IFERROR(__xludf.DUMMYFUNCTION("""COMPUTED_VALUE"""),"belum fiks pilih trip yg mana, Fu 30 Juli")</f>
        <v>belum fiks pilih trip yg mana, Fu 30 Juli</v>
      </c>
      <c r="L1176" s="23"/>
      <c r="M1176" s="20"/>
      <c r="N1176" s="20"/>
      <c r="O1176" s="20"/>
      <c r="P1176" s="20"/>
    </row>
    <row r="1177">
      <c r="A1177" s="11">
        <f>IFERROR(__xludf.DUMMYFUNCTION("""COMPUTED_VALUE"""),46224.0)</f>
        <v>46224</v>
      </c>
      <c r="B1177" s="11" t="str">
        <f>IFERROR(__xludf.DUMMYFUNCTION("""COMPUTED_VALUE"""),"2607D134")</f>
        <v>2607D134</v>
      </c>
      <c r="C1177" s="10" t="str">
        <f>IFERROR(__xludf.DUMMYFUNCTION("""COMPUTED_VALUE"""),"Dafina")</f>
        <v>Dafina</v>
      </c>
      <c r="D1177" s="13" t="str">
        <f>IFERROR(__xludf.DUMMYFUNCTION("""COMPUTED_VALUE"""),"085885225093")</f>
        <v>085885225093</v>
      </c>
      <c r="E1177" s="14" t="str">
        <f>IFERROR(__xludf.DUMMYFUNCTION("""COMPUTED_VALUE"""),"Instagram")</f>
        <v>Instagram</v>
      </c>
      <c r="F1177" s="14" t="str">
        <f>IFERROR(__xludf.DUMMYFUNCTION("""COMPUTED_VALUE"""),"Leads Baru")</f>
        <v>Leads Baru</v>
      </c>
      <c r="G1177" s="14" t="str">
        <f>IFERROR(__xludf.DUMMYFUNCTION("""COMPUTED_VALUE"""),"OT Ijen")</f>
        <v>OT Ijen</v>
      </c>
      <c r="H1177" s="16"/>
      <c r="I1177" s="17"/>
      <c r="J1177" s="54"/>
      <c r="K1177" s="46" t="str">
        <f>IFERROR(__xludf.DUMMYFUNCTION("""COMPUTED_VALUE"""),"FU 1 Agustus")</f>
        <v>FU 1 Agustus</v>
      </c>
      <c r="L1177" s="10"/>
      <c r="M1177" s="20"/>
      <c r="N1177" s="20"/>
      <c r="O1177" s="20"/>
      <c r="P1177" s="20"/>
    </row>
    <row r="1178">
      <c r="A1178" s="21">
        <f>IFERROR(__xludf.DUMMYFUNCTION("""COMPUTED_VALUE"""),46224.0)</f>
        <v>46224</v>
      </c>
      <c r="B1178" s="21" t="str">
        <f>IFERROR(__xludf.DUMMYFUNCTION("""COMPUTED_VALUE"""),"2607D135")</f>
        <v>2607D135</v>
      </c>
      <c r="C1178" s="23" t="str">
        <f>IFERROR(__xludf.DUMMYFUNCTION("""COMPUTED_VALUE"""),"Shamanth")</f>
        <v>Shamanth</v>
      </c>
      <c r="D1178" s="24" t="str">
        <f>IFERROR(__xludf.DUMMYFUNCTION("""COMPUTED_VALUE"""),"917026255919")</f>
        <v>917026255919</v>
      </c>
      <c r="E1178" s="14" t="str">
        <f>IFERROR(__xludf.DUMMYFUNCTION("""COMPUTED_VALUE"""),"Instagram")</f>
        <v>Instagram</v>
      </c>
      <c r="F1178" s="14" t="str">
        <f>IFERROR(__xludf.DUMMYFUNCTION("""COMPUTED_VALUE"""),"Leads Baru")</f>
        <v>Leads Baru</v>
      </c>
      <c r="G1178" s="14" t="str">
        <f>IFERROR(__xludf.DUMMYFUNCTION("""COMPUTED_VALUE"""),"OT MT WNA")</f>
        <v>OT MT WNA</v>
      </c>
      <c r="H1178" s="26">
        <f>IFERROR(__xludf.DUMMYFUNCTION("""COMPUTED_VALUE"""),46278.0)</f>
        <v>46278</v>
      </c>
      <c r="I1178" s="27">
        <f>IFERROR(__xludf.DUMMYFUNCTION("""COMPUTED_VALUE"""),2.0)</f>
        <v>2</v>
      </c>
      <c r="J1178" s="33"/>
      <c r="K1178" s="30" t="str">
        <f>IFERROR(__xludf.DUMMYFUNCTION("""COMPUTED_VALUE"""),"FU 6 Agustus")</f>
        <v>FU 6 Agustus</v>
      </c>
      <c r="L1178" s="23"/>
      <c r="M1178" s="20"/>
      <c r="N1178" s="20"/>
      <c r="O1178" s="20"/>
      <c r="P1178" s="20"/>
    </row>
    <row r="1179">
      <c r="A1179" s="11">
        <f>IFERROR(__xludf.DUMMYFUNCTION("""COMPUTED_VALUE"""),46224.0)</f>
        <v>46224</v>
      </c>
      <c r="B1179" s="11" t="str">
        <f>IFERROR(__xludf.DUMMYFUNCTION("""COMPUTED_VALUE"""),"2607D136")</f>
        <v>2607D136</v>
      </c>
      <c r="C1179" s="10" t="str">
        <f>IFERROR(__xludf.DUMMYFUNCTION("""COMPUTED_VALUE"""),"No name 52")</f>
        <v>No name 52</v>
      </c>
      <c r="D1179" s="13" t="str">
        <f>IFERROR(__xludf.DUMMYFUNCTION("""COMPUTED_VALUE"""),"082134254303")</f>
        <v>082134254303</v>
      </c>
      <c r="E1179" s="14" t="str">
        <f>IFERROR(__xludf.DUMMYFUNCTION("""COMPUTED_VALUE"""),"Website")</f>
        <v>Website</v>
      </c>
      <c r="F1179" s="14" t="str">
        <f>IFERROR(__xludf.DUMMYFUNCTION("""COMPUTED_VALUE"""),"Gagal")</f>
        <v>Gagal</v>
      </c>
      <c r="G1179" s="14"/>
      <c r="H1179" s="16"/>
      <c r="I1179" s="17"/>
      <c r="J1179" s="54"/>
      <c r="K1179" s="46" t="str">
        <f>IFERROR(__xludf.DUMMYFUNCTION("""COMPUTED_VALUE"""),"tanya trip ranukumbolo, gabisaa yaa")</f>
        <v>tanya trip ranukumbolo, gabisaa yaa</v>
      </c>
      <c r="L1179" s="10"/>
      <c r="M1179" s="20"/>
      <c r="N1179" s="20"/>
      <c r="O1179" s="20"/>
      <c r="P1179" s="20"/>
    </row>
    <row r="1180">
      <c r="A1180" s="21">
        <f>IFERROR(__xludf.DUMMYFUNCTION("""COMPUTED_VALUE"""),46224.0)</f>
        <v>46224</v>
      </c>
      <c r="B1180" s="21" t="str">
        <f>IFERROR(__xludf.DUMMYFUNCTION("""COMPUTED_VALUE"""),"2607D137")</f>
        <v>2607D137</v>
      </c>
      <c r="C1180" s="23" t="str">
        <f>IFERROR(__xludf.DUMMYFUNCTION("""COMPUTED_VALUE"""),"Cici Amel")</f>
        <v>Cici Amel</v>
      </c>
      <c r="D1180" s="24" t="str">
        <f>IFERROR(__xludf.DUMMYFUNCTION("""COMPUTED_VALUE"""),"08175117575")</f>
        <v>08175117575</v>
      </c>
      <c r="E1180" s="14" t="str">
        <f>IFERROR(__xludf.DUMMYFUNCTION("""COMPUTED_VALUE"""),"Instagram")</f>
        <v>Instagram</v>
      </c>
      <c r="F1180" s="14" t="str">
        <f>IFERROR(__xludf.DUMMYFUNCTION("""COMPUTED_VALUE"""),"Leads Baru")</f>
        <v>Leads Baru</v>
      </c>
      <c r="G1180" s="14" t="str">
        <f>IFERROR(__xludf.DUMMYFUNCTION("""COMPUTED_VALUE"""),"OT 3H2M")</f>
        <v>OT 3H2M</v>
      </c>
      <c r="H1180" s="26"/>
      <c r="I1180" s="27">
        <f>IFERROR(__xludf.DUMMYFUNCTION("""COMPUTED_VALUE"""),1.0)</f>
        <v>1</v>
      </c>
      <c r="J1180" s="33"/>
      <c r="K1180" s="30" t="str">
        <f>IFERROR(__xludf.DUMMYFUNCTION("""COMPUTED_VALUE"""),"FU 30 Juli")</f>
        <v>FU 30 Juli</v>
      </c>
      <c r="L1180" s="23"/>
      <c r="M1180" s="20"/>
      <c r="N1180" s="20"/>
      <c r="O1180" s="20"/>
      <c r="P1180" s="20"/>
    </row>
    <row r="1181">
      <c r="A1181" s="11">
        <f>IFERROR(__xludf.DUMMYFUNCTION("""COMPUTED_VALUE"""),46224.0)</f>
        <v>46224</v>
      </c>
      <c r="B1181" s="11" t="str">
        <f>IFERROR(__xludf.DUMMYFUNCTION("""COMPUTED_VALUE"""),"2607D138")</f>
        <v>2607D138</v>
      </c>
      <c r="C1181" s="10" t="str">
        <f>IFERROR(__xludf.DUMMYFUNCTION("""COMPUTED_VALUE"""),"MA")</f>
        <v>MA</v>
      </c>
      <c r="D1181" s="13" t="str">
        <f>IFERROR(__xludf.DUMMYFUNCTION("""COMPUTED_VALUE"""),"0812686493961")</f>
        <v>0812686493961</v>
      </c>
      <c r="E1181" s="14" t="str">
        <f>IFERROR(__xludf.DUMMYFUNCTION("""COMPUTED_VALUE"""),"Website")</f>
        <v>Website</v>
      </c>
      <c r="F1181" s="14" t="str">
        <f>IFERROR(__xludf.DUMMYFUNCTION("""COMPUTED_VALUE"""),"Leads Baru")</f>
        <v>Leads Baru</v>
      </c>
      <c r="G1181" s="14"/>
      <c r="H1181" s="16"/>
      <c r="I1181" s="17"/>
      <c r="J1181" s="54"/>
      <c r="K1181" s="46"/>
      <c r="L1181" s="10"/>
      <c r="M1181" s="20"/>
      <c r="N1181" s="20"/>
      <c r="O1181" s="20"/>
      <c r="P1181" s="20"/>
    </row>
    <row r="1182">
      <c r="A1182" s="21">
        <f>IFERROR(__xludf.DUMMYFUNCTION("""COMPUTED_VALUE"""),46224.0)</f>
        <v>46224</v>
      </c>
      <c r="B1182" s="21" t="str">
        <f>IFERROR(__xludf.DUMMYFUNCTION("""COMPUTED_VALUE"""),"2607D139")</f>
        <v>2607D139</v>
      </c>
      <c r="C1182" s="23" t="str">
        <f>IFERROR(__xludf.DUMMYFUNCTION("""COMPUTED_VALUE"""),"Dara Cikal SBY")</f>
        <v>Dara Cikal SBY</v>
      </c>
      <c r="D1182" s="24" t="str">
        <f>IFERROR(__xludf.DUMMYFUNCTION("""COMPUTED_VALUE"""),"089621717553")</f>
        <v>089621717553</v>
      </c>
      <c r="E1182" s="14" t="str">
        <f>IFERROR(__xludf.DUMMYFUNCTION("""COMPUTED_VALUE"""),"Website")</f>
        <v>Website</v>
      </c>
      <c r="F1182" s="14" t="str">
        <f>IFERROR(__xludf.DUMMYFUNCTION("""COMPUTED_VALUE"""),"Leads Baru")</f>
        <v>Leads Baru</v>
      </c>
      <c r="G1182" s="14"/>
      <c r="H1182" s="26"/>
      <c r="I1182" s="27"/>
      <c r="J1182" s="33"/>
      <c r="K1182" s="30" t="str">
        <f>IFERROR(__xludf.DUMMYFUNCTION("""COMPUTED_VALUE"""),"Repeat orderr, nunggu info selanjutnya")</f>
        <v>Repeat orderr, nunggu info selanjutnya</v>
      </c>
      <c r="L1182" s="23"/>
      <c r="M1182" s="20"/>
      <c r="N1182" s="20"/>
      <c r="O1182" s="20"/>
      <c r="P1182" s="20"/>
    </row>
    <row r="1183">
      <c r="A1183" s="11">
        <f>IFERROR(__xludf.DUMMYFUNCTION("""COMPUTED_VALUE"""),46224.0)</f>
        <v>46224</v>
      </c>
      <c r="B1183" s="11" t="str">
        <f>IFERROR(__xludf.DUMMYFUNCTION("""COMPUTED_VALUE"""),"2607D140")</f>
        <v>2607D140</v>
      </c>
      <c r="C1183" s="10" t="str">
        <f>IFERROR(__xludf.DUMMYFUNCTION("""COMPUTED_VALUE"""),"Dhea")</f>
        <v>Dhea</v>
      </c>
      <c r="D1183" s="13" t="str">
        <f>IFERROR(__xludf.DUMMYFUNCTION("""COMPUTED_VALUE"""),"082289702401")</f>
        <v>082289702401</v>
      </c>
      <c r="E1183" s="14" t="str">
        <f>IFERROR(__xludf.DUMMYFUNCTION("""COMPUTED_VALUE"""),"Instagram")</f>
        <v>Instagram</v>
      </c>
      <c r="F1183" s="14" t="str">
        <f>IFERROR(__xludf.DUMMYFUNCTION("""COMPUTED_VALUE"""),"Leads Baru")</f>
        <v>Leads Baru</v>
      </c>
      <c r="G1183" s="14" t="str">
        <f>IFERROR(__xludf.DUMMYFUNCTION("""COMPUTED_VALUE"""),"2H1M custome")</f>
        <v>2H1M custome</v>
      </c>
      <c r="H1183" s="16"/>
      <c r="I1183" s="17"/>
      <c r="J1183" s="54"/>
      <c r="K1183" s="46" t="str">
        <f>IFERROR(__xludf.DUMMYFUNCTION("""COMPUTED_VALUE"""),"buat penawaran")</f>
        <v>buat penawaran</v>
      </c>
      <c r="L1183" s="10"/>
      <c r="M1183" s="20"/>
      <c r="N1183" s="20"/>
      <c r="O1183" s="20"/>
      <c r="P1183" s="20"/>
    </row>
    <row r="1184">
      <c r="A1184" s="21">
        <f>IFERROR(__xludf.DUMMYFUNCTION("""COMPUTED_VALUE"""),46225.0)</f>
        <v>46225</v>
      </c>
      <c r="B1184" s="21" t="str">
        <f>IFERROR(__xludf.DUMMYFUNCTION("""COMPUTED_VALUE"""),"2607D141")</f>
        <v>2607D141</v>
      </c>
      <c r="C1184" s="23" t="str">
        <f>IFERROR(__xludf.DUMMYFUNCTION("""COMPUTED_VALUE"""),"Shafa Qurratul")</f>
        <v>Shafa Qurratul</v>
      </c>
      <c r="D1184" s="24" t="str">
        <f>IFERROR(__xludf.DUMMYFUNCTION("""COMPUTED_VALUE"""),"089513353871")</f>
        <v>089513353871</v>
      </c>
      <c r="E1184" s="14" t="str">
        <f>IFERROR(__xludf.DUMMYFUNCTION("""COMPUTED_VALUE"""),"Instagram")</f>
        <v>Instagram</v>
      </c>
      <c r="F1184" s="14" t="str">
        <f>IFERROR(__xludf.DUMMYFUNCTION("""COMPUTED_VALUE"""),"Gagal")</f>
        <v>Gagal</v>
      </c>
      <c r="G1184" s="14" t="str">
        <f>IFERROR(__xludf.DUMMYFUNCTION("""COMPUTED_VALUE"""),"1 day trip GI, Bedil, PM")</f>
        <v>1 day trip GI, Bedil, PM</v>
      </c>
      <c r="H1184" s="26">
        <f>IFERROR(__xludf.DUMMYFUNCTION("""COMPUTED_VALUE"""),46230.0)</f>
        <v>46230</v>
      </c>
      <c r="I1184" s="27">
        <f>IFERROR(__xludf.DUMMYFUNCTION("""COMPUTED_VALUE"""),3.0)</f>
        <v>3</v>
      </c>
      <c r="J1184" s="33"/>
      <c r="K1184" s="30" t="str">
        <f>IFERROR(__xludf.DUMMYFUNCTION("""COMPUTED_VALUE"""),"gagall, lewat tgl uda di FU gabaless")</f>
        <v>gagall, lewat tgl uda di FU gabaless</v>
      </c>
      <c r="L1184" s="23"/>
      <c r="M1184" s="20"/>
      <c r="N1184" s="20"/>
      <c r="O1184" s="20"/>
      <c r="P1184" s="20"/>
    </row>
    <row r="1185">
      <c r="A1185" s="11">
        <f>IFERROR(__xludf.DUMMYFUNCTION("""COMPUTED_VALUE"""),46225.0)</f>
        <v>46225</v>
      </c>
      <c r="B1185" s="11" t="str">
        <f>IFERROR(__xludf.DUMMYFUNCTION("""COMPUTED_VALUE"""),"2607D142")</f>
        <v>2607D142</v>
      </c>
      <c r="C1185" s="10" t="str">
        <f>IFERROR(__xludf.DUMMYFUNCTION("""COMPUTED_VALUE"""),"ilham")</f>
        <v>ilham</v>
      </c>
      <c r="D1185" s="13" t="str">
        <f>IFERROR(__xludf.DUMMYFUNCTION("""COMPUTED_VALUE"""),"081809536606")</f>
        <v>081809536606</v>
      </c>
      <c r="E1185" s="14" t="str">
        <f>IFERROR(__xludf.DUMMYFUNCTION("""COMPUTED_VALUE"""),"Instagram")</f>
        <v>Instagram</v>
      </c>
      <c r="F1185" s="14" t="str">
        <f>IFERROR(__xludf.DUMMYFUNCTION("""COMPUTED_VALUE"""),"Leads Baru")</f>
        <v>Leads Baru</v>
      </c>
      <c r="G1185" s="14" t="str">
        <f>IFERROR(__xludf.DUMMYFUNCTION("""COMPUTED_VALUE"""),"2H1M opsi B")</f>
        <v>2H1M opsi B</v>
      </c>
      <c r="H1185" s="16">
        <f>IFERROR(__xludf.DUMMYFUNCTION("""COMPUTED_VALUE"""),46237.0)</f>
        <v>46237</v>
      </c>
      <c r="I1185" s="17">
        <f>IFERROR(__xludf.DUMMYFUNCTION("""COMPUTED_VALUE"""),2.0)</f>
        <v>2</v>
      </c>
      <c r="J1185" s="54"/>
      <c r="K1185" s="46" t="str">
        <f>IFERROR(__xludf.DUMMYFUNCTION("""COMPUTED_VALUE"""),"belum balas lagi, FU 31 Juli")</f>
        <v>belum balas lagi, FU 31 Juli</v>
      </c>
      <c r="L1185" s="10"/>
      <c r="M1185" s="20"/>
      <c r="N1185" s="20"/>
      <c r="O1185" s="20"/>
      <c r="P1185" s="20"/>
    </row>
    <row r="1186">
      <c r="A1186" s="21">
        <f>IFERROR(__xludf.DUMMYFUNCTION("""COMPUTED_VALUE"""),46225.0)</f>
        <v>46225</v>
      </c>
      <c r="B1186" s="21" t="str">
        <f>IFERROR(__xludf.DUMMYFUNCTION("""COMPUTED_VALUE"""),"2607D143")</f>
        <v>2607D143</v>
      </c>
      <c r="C1186" s="23" t="str">
        <f>IFERROR(__xludf.DUMMYFUNCTION("""COMPUTED_VALUE"""),"Aditya Pratama")</f>
        <v>Aditya Pratama</v>
      </c>
      <c r="D1186" s="24" t="str">
        <f>IFERROR(__xludf.DUMMYFUNCTION("""COMPUTED_VALUE"""),"087716387014")</f>
        <v>087716387014</v>
      </c>
      <c r="E1186" s="14" t="str">
        <f>IFERROR(__xludf.DUMMYFUNCTION("""COMPUTED_VALUE"""),"Instagram")</f>
        <v>Instagram</v>
      </c>
      <c r="F1186" s="14" t="str">
        <f>IFERROR(__xludf.DUMMYFUNCTION("""COMPUTED_VALUE"""),"Leads Baru")</f>
        <v>Leads Baru</v>
      </c>
      <c r="G1186" s="14" t="str">
        <f>IFERROR(__xludf.DUMMYFUNCTION("""COMPUTED_VALUE"""),"OT 3H2M")</f>
        <v>OT 3H2M</v>
      </c>
      <c r="H1186" s="26"/>
      <c r="I1186" s="27"/>
      <c r="J1186" s="33"/>
      <c r="K1186" s="30" t="str">
        <f>IFERROR(__xludf.DUMMYFUNCTION("""COMPUTED_VALUE"""),"FU 31 Juli")</f>
        <v>FU 31 Juli</v>
      </c>
      <c r="L1186" s="23"/>
      <c r="M1186" s="20"/>
      <c r="N1186" s="20"/>
      <c r="O1186" s="20"/>
      <c r="P1186" s="20"/>
    </row>
    <row r="1187">
      <c r="A1187" s="11">
        <f>IFERROR(__xludf.DUMMYFUNCTION("""COMPUTED_VALUE"""),46223.0)</f>
        <v>46223</v>
      </c>
      <c r="B1187" s="11" t="str">
        <f>IFERROR(__xludf.DUMMYFUNCTION("""COMPUTED_VALUE"""),"2607D144")</f>
        <v>2607D144</v>
      </c>
      <c r="C1187" s="10" t="str">
        <f>IFERROR(__xludf.DUMMYFUNCTION("""COMPUTED_VALUE"""),"Rahmanisa")</f>
        <v>Rahmanisa</v>
      </c>
      <c r="D1187" s="13" t="str">
        <f>IFERROR(__xludf.DUMMYFUNCTION("""COMPUTED_VALUE"""),"082269228104")</f>
        <v>082269228104</v>
      </c>
      <c r="E1187" s="14" t="str">
        <f>IFERROR(__xludf.DUMMYFUNCTION("""COMPUTED_VALUE"""),"Website")</f>
        <v>Website</v>
      </c>
      <c r="F1187" s="14" t="str">
        <f>IFERROR(__xludf.DUMMYFUNCTION("""COMPUTED_VALUE"""),"Leads Baru")</f>
        <v>Leads Baru</v>
      </c>
      <c r="G1187" s="14" t="str">
        <f>IFERROR(__xludf.DUMMYFUNCTION("""COMPUTED_VALUE"""),"trip Kawah Ijen")</f>
        <v>trip Kawah Ijen</v>
      </c>
      <c r="H1187" s="16"/>
      <c r="I1187" s="17">
        <f>IFERROR(__xludf.DUMMYFUNCTION("""COMPUTED_VALUE"""),130.0)</f>
        <v>130</v>
      </c>
      <c r="J1187" s="54"/>
      <c r="K1187" s="46" t="str">
        <f>IFERROR(__xludf.DUMMYFUNCTION("""COMPUTED_VALUE"""),"dilanjut komunikasi dengan temannya")</f>
        <v>dilanjut komunikasi dengan temannya</v>
      </c>
      <c r="L1187" s="10"/>
      <c r="M1187" s="20"/>
      <c r="N1187" s="20"/>
      <c r="O1187" s="20"/>
      <c r="P1187" s="20"/>
    </row>
    <row r="1188">
      <c r="A1188" s="21">
        <f>IFERROR(__xludf.DUMMYFUNCTION("""COMPUTED_VALUE"""),46225.0)</f>
        <v>46225</v>
      </c>
      <c r="B1188" s="21" t="str">
        <f>IFERROR(__xludf.DUMMYFUNCTION("""COMPUTED_VALUE"""),"2607D145")</f>
        <v>2607D145</v>
      </c>
      <c r="C1188" s="23" t="str">
        <f>IFERROR(__xludf.DUMMYFUNCTION("""COMPUTED_VALUE"""),"Lil f4th")</f>
        <v>Lil f4th</v>
      </c>
      <c r="D1188" s="24" t="str">
        <f>IFERROR(__xludf.DUMMYFUNCTION("""COMPUTED_VALUE"""),"085746008752")</f>
        <v>085746008752</v>
      </c>
      <c r="E1188" s="14" t="str">
        <f>IFERROR(__xludf.DUMMYFUNCTION("""COMPUTED_VALUE"""),"Rekomendasi")</f>
        <v>Rekomendasi</v>
      </c>
      <c r="F1188" s="14" t="str">
        <f>IFERROR(__xludf.DUMMYFUNCTION("""COMPUTED_VALUE"""),"Leads Baru")</f>
        <v>Leads Baru</v>
      </c>
      <c r="G1188" s="14" t="str">
        <f>IFERROR(__xludf.DUMMYFUNCTION("""COMPUTED_VALUE"""),"trip Kawah Ijen")</f>
        <v>trip Kawah Ijen</v>
      </c>
      <c r="H1188" s="26"/>
      <c r="I1188" s="27">
        <f>IFERROR(__xludf.DUMMYFUNCTION("""COMPUTED_VALUE"""),130.0)</f>
        <v>130</v>
      </c>
      <c r="J1188" s="33"/>
      <c r="K1188" s="30" t="str">
        <f>IFERROR(__xludf.DUMMYFUNCTION("""COMPUTED_VALUE"""),"penyesuaian")</f>
        <v>penyesuaian</v>
      </c>
      <c r="L1188" s="23"/>
      <c r="M1188" s="20"/>
      <c r="N1188" s="20"/>
      <c r="O1188" s="20"/>
      <c r="P1188" s="20"/>
    </row>
    <row r="1189">
      <c r="A1189" s="11">
        <f>IFERROR(__xludf.DUMMYFUNCTION("""COMPUTED_VALUE"""),46225.0)</f>
        <v>46225</v>
      </c>
      <c r="B1189" s="11" t="str">
        <f>IFERROR(__xludf.DUMMYFUNCTION("""COMPUTED_VALUE"""),"2607D146")</f>
        <v>2607D146</v>
      </c>
      <c r="C1189" s="10" t="str">
        <f>IFERROR(__xludf.DUMMYFUNCTION("""COMPUTED_VALUE"""),"Aan Mardiah")</f>
        <v>Aan Mardiah</v>
      </c>
      <c r="D1189" s="13" t="str">
        <f>IFERROR(__xludf.DUMMYFUNCTION("""COMPUTED_VALUE"""),"082121804806")</f>
        <v>082121804806</v>
      </c>
      <c r="E1189" s="14" t="str">
        <f>IFERROR(__xludf.DUMMYFUNCTION("""COMPUTED_VALUE"""),"Website")</f>
        <v>Website</v>
      </c>
      <c r="F1189" s="14" t="str">
        <f>IFERROR(__xludf.DUMMYFUNCTION("""COMPUTED_VALUE"""),"Qualified")</f>
        <v>Qualified</v>
      </c>
      <c r="G1189" s="14" t="str">
        <f>IFERROR(__xludf.DUMMYFUNCTION("""COMPUTED_VALUE"""),"3H2M opsi A")</f>
        <v>3H2M opsi A</v>
      </c>
      <c r="H1189" s="16"/>
      <c r="I1189" s="17">
        <f>IFERROR(__xludf.DUMMYFUNCTION("""COMPUTED_VALUE"""),18.0)</f>
        <v>18</v>
      </c>
      <c r="J1189" s="54"/>
      <c r="K1189" s="46" t="str">
        <f>IFERROR(__xludf.DUMMYFUNCTION("""COMPUTED_VALUE"""),"tanggal nya blm tau, FU 5 Agustus")</f>
        <v>tanggal nya blm tau, FU 5 Agustus</v>
      </c>
      <c r="L1189" s="10"/>
      <c r="M1189" s="20"/>
      <c r="N1189" s="20"/>
      <c r="O1189" s="20"/>
      <c r="P1189" s="20"/>
    </row>
    <row r="1190">
      <c r="A1190" s="21">
        <f>IFERROR(__xludf.DUMMYFUNCTION("""COMPUTED_VALUE"""),46226.0)</f>
        <v>46226</v>
      </c>
      <c r="B1190" s="21" t="str">
        <f>IFERROR(__xludf.DUMMYFUNCTION("""COMPUTED_VALUE"""),"2607D147")</f>
        <v>2607D147</v>
      </c>
      <c r="C1190" s="23" t="str">
        <f>IFERROR(__xludf.DUMMYFUNCTION("""COMPUTED_VALUE"""),"Sekarayu Pancawitri")</f>
        <v>Sekarayu Pancawitri</v>
      </c>
      <c r="D1190" s="24" t="str">
        <f>IFERROR(__xludf.DUMMYFUNCTION("""COMPUTED_VALUE"""),"081225619832")</f>
        <v>081225619832</v>
      </c>
      <c r="E1190" s="14" t="str">
        <f>IFERROR(__xludf.DUMMYFUNCTION("""COMPUTED_VALUE"""),"Instagram")</f>
        <v>Instagram</v>
      </c>
      <c r="F1190" s="14" t="str">
        <f>IFERROR(__xludf.DUMMYFUNCTION("""COMPUTED_VALUE"""),"Leads Baru")</f>
        <v>Leads Baru</v>
      </c>
      <c r="G1190" s="14" t="str">
        <f>IFERROR(__xludf.DUMMYFUNCTION("""COMPUTED_VALUE"""),"OT MT")</f>
        <v>OT MT</v>
      </c>
      <c r="H1190" s="26"/>
      <c r="I1190" s="27"/>
      <c r="J1190" s="33"/>
      <c r="K1190" s="30" t="str">
        <f>IFERROR(__xludf.DUMMYFUNCTION("""COMPUTED_VALUE"""),"blm balas lagi, FU 29 Juli")</f>
        <v>blm balas lagi, FU 29 Juli</v>
      </c>
      <c r="L1190" s="23"/>
      <c r="M1190" s="20"/>
      <c r="N1190" s="20"/>
      <c r="O1190" s="20"/>
      <c r="P1190" s="20"/>
    </row>
    <row r="1191">
      <c r="A1191" s="11">
        <f>IFERROR(__xludf.DUMMYFUNCTION("""COMPUTED_VALUE"""),46226.0)</f>
        <v>46226</v>
      </c>
      <c r="B1191" s="11" t="str">
        <f>IFERROR(__xludf.DUMMYFUNCTION("""COMPUTED_VALUE"""),"2607D148")</f>
        <v>2607D148</v>
      </c>
      <c r="C1191" s="10" t="str">
        <f>IFERROR(__xludf.DUMMYFUNCTION("""COMPUTED_VALUE"""),"Irena")</f>
        <v>Irena</v>
      </c>
      <c r="D1191" s="13" t="str">
        <f>IFERROR(__xludf.DUMMYFUNCTION("""COMPUTED_VALUE"""),"085782678308")</f>
        <v>085782678308</v>
      </c>
      <c r="E1191" s="14" t="str">
        <f>IFERROR(__xludf.DUMMYFUNCTION("""COMPUTED_VALUE"""),"Instagram")</f>
        <v>Instagram</v>
      </c>
      <c r="F1191" s="14" t="str">
        <f>IFERROR(__xludf.DUMMYFUNCTION("""COMPUTED_VALUE"""),"Leads Baru")</f>
        <v>Leads Baru</v>
      </c>
      <c r="G1191" s="14" t="str">
        <f>IFERROR(__xludf.DUMMYFUNCTION("""COMPUTED_VALUE"""),"OT 3H2M")</f>
        <v>OT 3H2M</v>
      </c>
      <c r="H1191" s="16"/>
      <c r="I1191" s="17"/>
      <c r="J1191" s="54"/>
      <c r="K1191" s="46" t="str">
        <f>IFERROR(__xludf.DUMMYFUNCTION("""COMPUTED_VALUE"""),"FU 29 Juli")</f>
        <v>FU 29 Juli</v>
      </c>
      <c r="L1191" s="10"/>
      <c r="M1191" s="20"/>
      <c r="N1191" s="20"/>
      <c r="O1191" s="20"/>
      <c r="P1191" s="20"/>
    </row>
    <row r="1192">
      <c r="A1192" s="21">
        <f>IFERROR(__xludf.DUMMYFUNCTION("""COMPUTED_VALUE"""),46224.0)</f>
        <v>46224</v>
      </c>
      <c r="B1192" s="21" t="str">
        <f>IFERROR(__xludf.DUMMYFUNCTION("""COMPUTED_VALUE"""),"2607D149")</f>
        <v>2607D149</v>
      </c>
      <c r="C1192" s="23" t="str">
        <f>IFERROR(__xludf.DUMMYFUNCTION("""COMPUTED_VALUE"""),"Amelia Defita")</f>
        <v>Amelia Defita</v>
      </c>
      <c r="D1192" s="24" t="str">
        <f>IFERROR(__xludf.DUMMYFUNCTION("""COMPUTED_VALUE"""),"082328288883")</f>
        <v>082328288883</v>
      </c>
      <c r="E1192" s="14" t="str">
        <f>IFERROR(__xludf.DUMMYFUNCTION("""COMPUTED_VALUE"""),"Instagram")</f>
        <v>Instagram</v>
      </c>
      <c r="F1192" s="14" t="str">
        <f>IFERROR(__xludf.DUMMYFUNCTION("""COMPUTED_VALUE"""),"Leads Baru")</f>
        <v>Leads Baru</v>
      </c>
      <c r="G1192" s="14" t="str">
        <f>IFERROR(__xludf.DUMMYFUNCTION("""COMPUTED_VALUE"""),"OT 3H2M")</f>
        <v>OT 3H2M</v>
      </c>
      <c r="H1192" s="26">
        <f>IFERROR(__xludf.DUMMYFUNCTION("""COMPUTED_VALUE"""),46249.0)</f>
        <v>46249</v>
      </c>
      <c r="I1192" s="27">
        <f>IFERROR(__xludf.DUMMYFUNCTION("""COMPUTED_VALUE"""),2.0)</f>
        <v>2</v>
      </c>
      <c r="J1192" s="33"/>
      <c r="K1192" s="30" t="str">
        <f>IFERROR(__xludf.DUMMYFUNCTION("""COMPUTED_VALUE"""),"FU 2 Agustus")</f>
        <v>FU 2 Agustus</v>
      </c>
      <c r="L1192" s="23"/>
      <c r="M1192" s="20"/>
      <c r="N1192" s="20"/>
      <c r="O1192" s="20"/>
      <c r="P1192" s="20"/>
    </row>
    <row r="1193">
      <c r="A1193" s="11">
        <f>IFERROR(__xludf.DUMMYFUNCTION("""COMPUTED_VALUE"""),46226.0)</f>
        <v>46226</v>
      </c>
      <c r="B1193" s="11" t="str">
        <f>IFERROR(__xludf.DUMMYFUNCTION("""COMPUTED_VALUE"""),"2607D150")</f>
        <v>2607D150</v>
      </c>
      <c r="C1193" s="10" t="str">
        <f>IFERROR(__xludf.DUMMYFUNCTION("""COMPUTED_VALUE"""),"Akbar")</f>
        <v>Akbar</v>
      </c>
      <c r="D1193" s="13" t="str">
        <f>IFERROR(__xludf.DUMMYFUNCTION("""COMPUTED_VALUE"""),"081331197707")</f>
        <v>081331197707</v>
      </c>
      <c r="E1193" s="14" t="str">
        <f>IFERROR(__xludf.DUMMYFUNCTION("""COMPUTED_VALUE"""),"Lainnya")</f>
        <v>Lainnya</v>
      </c>
      <c r="F1193" s="14" t="str">
        <f>IFERROR(__xludf.DUMMYFUNCTION("""COMPUTED_VALUE"""),"Leads Baru")</f>
        <v>Leads Baru</v>
      </c>
      <c r="G1193" s="14" t="str">
        <f>IFERROR(__xludf.DUMMYFUNCTION("""COMPUTED_VALUE"""),"Private Trip Sunrise")</f>
        <v>Private Trip Sunrise</v>
      </c>
      <c r="H1193" s="16"/>
      <c r="I1193" s="17">
        <f>IFERROR(__xludf.DUMMYFUNCTION("""COMPUTED_VALUE"""),6.0)</f>
        <v>6</v>
      </c>
      <c r="J1193" s="54"/>
      <c r="K1193" s="46" t="str">
        <f>IFERROR(__xludf.DUMMYFUNCTION("""COMPUTED_VALUE"""),"FU 29 Juli")</f>
        <v>FU 29 Juli</v>
      </c>
      <c r="L1193" s="10"/>
      <c r="M1193" s="20"/>
      <c r="N1193" s="20"/>
      <c r="O1193" s="20"/>
      <c r="P1193" s="20"/>
    </row>
    <row r="1194">
      <c r="A1194" s="21">
        <f>IFERROR(__xludf.DUMMYFUNCTION("""COMPUTED_VALUE"""),46226.0)</f>
        <v>46226</v>
      </c>
      <c r="B1194" s="21" t="str">
        <f>IFERROR(__xludf.DUMMYFUNCTION("""COMPUTED_VALUE"""),"2607D151")</f>
        <v>2607D151</v>
      </c>
      <c r="C1194" s="23" t="str">
        <f>IFERROR(__xludf.DUMMYFUNCTION("""COMPUTED_VALUE"""),"F")</f>
        <v>F</v>
      </c>
      <c r="D1194" s="24" t="str">
        <f>IFERROR(__xludf.DUMMYFUNCTION("""COMPUTED_VALUE"""),"0895365294504")</f>
        <v>0895365294504</v>
      </c>
      <c r="E1194" s="14" t="str">
        <f>IFERROR(__xludf.DUMMYFUNCTION("""COMPUTED_VALUE"""),"Instagram")</f>
        <v>Instagram</v>
      </c>
      <c r="F1194" s="14" t="str">
        <f>IFERROR(__xludf.DUMMYFUNCTION("""COMPUTED_VALUE"""),"Leads Baru")</f>
        <v>Leads Baru</v>
      </c>
      <c r="G1194" s="14" t="str">
        <f>IFERROR(__xludf.DUMMYFUNCTION("""COMPUTED_VALUE"""),"OT GI")</f>
        <v>OT GI</v>
      </c>
      <c r="H1194" s="26"/>
      <c r="I1194" s="27">
        <f>IFERROR(__xludf.DUMMYFUNCTION("""COMPUTED_VALUE"""),2.0)</f>
        <v>2</v>
      </c>
      <c r="J1194" s="33"/>
      <c r="K1194" s="30" t="str">
        <f>IFERROR(__xludf.DUMMYFUNCTION("""COMPUTED_VALUE"""),"FU 29 Juli")</f>
        <v>FU 29 Juli</v>
      </c>
      <c r="L1194" s="23"/>
      <c r="M1194" s="20"/>
      <c r="N1194" s="20"/>
      <c r="O1194" s="20"/>
      <c r="P1194" s="20"/>
    </row>
    <row r="1195">
      <c r="A1195" s="11">
        <f>IFERROR(__xludf.DUMMYFUNCTION("""COMPUTED_VALUE"""),46226.0)</f>
        <v>46226</v>
      </c>
      <c r="B1195" s="11" t="str">
        <f>IFERROR(__xludf.DUMMYFUNCTION("""COMPUTED_VALUE"""),"2607D152")</f>
        <v>2607D152</v>
      </c>
      <c r="C1195" s="10" t="str">
        <f>IFERROR(__xludf.DUMMYFUNCTION("""COMPUTED_VALUE"""),"Nisss")</f>
        <v>Nisss</v>
      </c>
      <c r="D1195" s="13" t="str">
        <f>IFERROR(__xludf.DUMMYFUNCTION("""COMPUTED_VALUE"""),"0895366615340")</f>
        <v>0895366615340</v>
      </c>
      <c r="E1195" s="14" t="str">
        <f>IFERROR(__xludf.DUMMYFUNCTION("""COMPUTED_VALUE"""),"Instagram")</f>
        <v>Instagram</v>
      </c>
      <c r="F1195" s="14" t="str">
        <f>IFERROR(__xludf.DUMMYFUNCTION("""COMPUTED_VALUE"""),"Qualified")</f>
        <v>Qualified</v>
      </c>
      <c r="G1195" s="14" t="str">
        <f>IFERROR(__xludf.DUMMYFUNCTION("""COMPUTED_VALUE"""),"OT 3H2M")</f>
        <v>OT 3H2M</v>
      </c>
      <c r="H1195" s="16"/>
      <c r="I1195" s="17">
        <f>IFERROR(__xludf.DUMMYFUNCTION("""COMPUTED_VALUE"""),3.0)</f>
        <v>3</v>
      </c>
      <c r="J1195" s="54">
        <f>IFERROR(__xludf.DUMMYFUNCTION("""COMPUTED_VALUE"""),4800000.0)</f>
        <v>4800000</v>
      </c>
      <c r="K1195" s="46" t="str">
        <f>IFERROR(__xludf.DUMMYFUNCTION("""COMPUTED_VALUE"""),"belum tau tanggalnya, FU 30 Juli")</f>
        <v>belum tau tanggalnya, FU 30 Juli</v>
      </c>
      <c r="L1195" s="10"/>
      <c r="M1195" s="20"/>
      <c r="N1195" s="20"/>
      <c r="O1195" s="20"/>
      <c r="P1195" s="20"/>
    </row>
    <row r="1196">
      <c r="A1196" s="21">
        <f>IFERROR(__xludf.DUMMYFUNCTION("""COMPUTED_VALUE"""),46226.0)</f>
        <v>46226</v>
      </c>
      <c r="B1196" s="21" t="str">
        <f>IFERROR(__xludf.DUMMYFUNCTION("""COMPUTED_VALUE"""),"2697D153")</f>
        <v>2697D153</v>
      </c>
      <c r="C1196" s="23" t="str">
        <f>IFERROR(__xludf.DUMMYFUNCTION("""COMPUTED_VALUE"""),"Aldy Yolan")</f>
        <v>Aldy Yolan</v>
      </c>
      <c r="D1196" s="24" t="str">
        <f>IFERROR(__xludf.DUMMYFUNCTION("""COMPUTED_VALUE"""),"0812170902171")</f>
        <v>0812170902171</v>
      </c>
      <c r="E1196" s="14" t="str">
        <f>IFERROR(__xludf.DUMMYFUNCTION("""COMPUTED_VALUE"""),"Instagram")</f>
        <v>Instagram</v>
      </c>
      <c r="F1196" s="14" t="str">
        <f>IFERROR(__xludf.DUMMYFUNCTION("""COMPUTED_VALUE"""),"Leads Baru")</f>
        <v>Leads Baru</v>
      </c>
      <c r="G1196" s="14" t="str">
        <f>IFERROR(__xludf.DUMMYFUNCTION("""COMPUTED_VALUE"""),"OT 3H2M")</f>
        <v>OT 3H2M</v>
      </c>
      <c r="H1196" s="26">
        <f>IFERROR(__xludf.DUMMYFUNCTION("""COMPUTED_VALUE"""),46244.0)</f>
        <v>46244</v>
      </c>
      <c r="I1196" s="27">
        <f>IFERROR(__xludf.DUMMYFUNCTION("""COMPUTED_VALUE"""),2.0)</f>
        <v>2</v>
      </c>
      <c r="J1196" s="33"/>
      <c r="K1196" s="30" t="str">
        <f>IFERROR(__xludf.DUMMYFUNCTION("""COMPUTED_VALUE"""),"FU 1 Agustus")</f>
        <v>FU 1 Agustus</v>
      </c>
      <c r="L1196" s="23"/>
      <c r="M1196" s="20"/>
      <c r="N1196" s="20"/>
      <c r="O1196" s="20"/>
      <c r="P1196" s="20"/>
    </row>
    <row r="1197">
      <c r="A1197" s="11">
        <f>IFERROR(__xludf.DUMMYFUNCTION("""COMPUTED_VALUE"""),46226.0)</f>
        <v>46226</v>
      </c>
      <c r="B1197" s="11" t="str">
        <f>IFERROR(__xludf.DUMMYFUNCTION("""COMPUTED_VALUE"""),"2607D154")</f>
        <v>2607D154</v>
      </c>
      <c r="C1197" s="10" t="str">
        <f>IFERROR(__xludf.DUMMYFUNCTION("""COMPUTED_VALUE"""),"Ersa")</f>
        <v>Ersa</v>
      </c>
      <c r="D1197" s="13" t="str">
        <f>IFERROR(__xludf.DUMMYFUNCTION("""COMPUTED_VALUE"""),"085791257922")</f>
        <v>085791257922</v>
      </c>
      <c r="E1197" s="14" t="str">
        <f>IFERROR(__xludf.DUMMYFUNCTION("""COMPUTED_VALUE"""),"Website")</f>
        <v>Website</v>
      </c>
      <c r="F1197" s="14" t="str">
        <f>IFERROR(__xludf.DUMMYFUNCTION("""COMPUTED_VALUE"""),"Leads Baru")</f>
        <v>Leads Baru</v>
      </c>
      <c r="G1197" s="14" t="str">
        <f>IFERROR(__xludf.DUMMYFUNCTION("""COMPUTED_VALUE"""),"2H1M custome")</f>
        <v>2H1M custome</v>
      </c>
      <c r="H1197" s="16"/>
      <c r="I1197" s="17">
        <f>IFERROR(__xludf.DUMMYFUNCTION("""COMPUTED_VALUE"""),3.0)</f>
        <v>3</v>
      </c>
      <c r="J1197" s="54"/>
      <c r="K1197" s="46" t="str">
        <f>IFERROR(__xludf.DUMMYFUNCTION("""COMPUTED_VALUE"""),"FU 29 Juli")</f>
        <v>FU 29 Juli</v>
      </c>
      <c r="L1197" s="10"/>
      <c r="M1197" s="20"/>
      <c r="N1197" s="20"/>
      <c r="O1197" s="20"/>
      <c r="P1197" s="20"/>
    </row>
    <row r="1198">
      <c r="A1198" s="21">
        <f>IFERROR(__xludf.DUMMYFUNCTION("""COMPUTED_VALUE"""),46226.0)</f>
        <v>46226</v>
      </c>
      <c r="B1198" s="21" t="str">
        <f>IFERROR(__xludf.DUMMYFUNCTION("""COMPUTED_VALUE"""),"2607D154")</f>
        <v>2607D154</v>
      </c>
      <c r="C1198" s="23" t="str">
        <f>IFERROR(__xludf.DUMMYFUNCTION("""COMPUTED_VALUE"""),"Aghna")</f>
        <v>Aghna</v>
      </c>
      <c r="D1198" s="24" t="str">
        <f>IFERROR(__xludf.DUMMYFUNCTION("""COMPUTED_VALUE"""),"081237607801")</f>
        <v>081237607801</v>
      </c>
      <c r="E1198" s="14" t="str">
        <f>IFERROR(__xludf.DUMMYFUNCTION("""COMPUTED_VALUE"""),"Instagram")</f>
        <v>Instagram</v>
      </c>
      <c r="F1198" s="14" t="str">
        <f>IFERROR(__xludf.DUMMYFUNCTION("""COMPUTED_VALUE"""),"Leads Baru")</f>
        <v>Leads Baru</v>
      </c>
      <c r="G1198" s="14"/>
      <c r="H1198" s="26"/>
      <c r="I1198" s="27">
        <f>IFERROR(__xludf.DUMMYFUNCTION("""COMPUTED_VALUE"""),3.0)</f>
        <v>3</v>
      </c>
      <c r="J1198" s="33"/>
      <c r="K1198" s="30" t="str">
        <f>IFERROR(__xludf.DUMMYFUNCTION("""COMPUTED_VALUE"""),"belum balas lagi, FU 30 Juli")</f>
        <v>belum balas lagi, FU 30 Juli</v>
      </c>
      <c r="L1198" s="23"/>
      <c r="M1198" s="20"/>
      <c r="N1198" s="20"/>
      <c r="O1198" s="20"/>
      <c r="P1198" s="20"/>
    </row>
    <row r="1199">
      <c r="A1199" s="11">
        <f>IFERROR(__xludf.DUMMYFUNCTION("""COMPUTED_VALUE"""),46226.0)</f>
        <v>46226</v>
      </c>
      <c r="B1199" s="11" t="str">
        <f>IFERROR(__xludf.DUMMYFUNCTION("""COMPUTED_VALUE"""),"2607D155")</f>
        <v>2607D155</v>
      </c>
      <c r="C1199" s="10" t="str">
        <f>IFERROR(__xludf.DUMMYFUNCTION("""COMPUTED_VALUE"""),"Alief ")</f>
        <v>Alief </v>
      </c>
      <c r="D1199" s="13" t="str">
        <f>IFERROR(__xludf.DUMMYFUNCTION("""COMPUTED_VALUE"""),"085156392515")</f>
        <v>085156392515</v>
      </c>
      <c r="E1199" s="14" t="str">
        <f>IFERROR(__xludf.DUMMYFUNCTION("""COMPUTED_VALUE"""),"Instagram")</f>
        <v>Instagram</v>
      </c>
      <c r="F1199" s="14" t="str">
        <f>IFERROR(__xludf.DUMMYFUNCTION("""COMPUTED_VALUE"""),"Leads Baru")</f>
        <v>Leads Baru</v>
      </c>
      <c r="G1199" s="14" t="str">
        <f>IFERROR(__xludf.DUMMYFUNCTION("""COMPUTED_VALUE"""),"OT MT, OT Djabal")</f>
        <v>OT MT, OT Djabal</v>
      </c>
      <c r="H1199" s="16">
        <f>IFERROR(__xludf.DUMMYFUNCTION("""COMPUTED_VALUE"""),46244.0)</f>
        <v>46244</v>
      </c>
      <c r="I1199" s="17">
        <f>IFERROR(__xludf.DUMMYFUNCTION("""COMPUTED_VALUE"""),2.0)</f>
        <v>2</v>
      </c>
      <c r="J1199" s="54"/>
      <c r="K1199" s="46" t="str">
        <f>IFERROR(__xludf.DUMMYFUNCTION("""COMPUTED_VALUE"""),"FU 30 Juli")</f>
        <v>FU 30 Juli</v>
      </c>
      <c r="L1199" s="10"/>
      <c r="M1199" s="20"/>
      <c r="N1199" s="20"/>
      <c r="O1199" s="20"/>
      <c r="P1199" s="20"/>
    </row>
    <row r="1200">
      <c r="A1200" s="21">
        <f>IFERROR(__xludf.DUMMYFUNCTION("""COMPUTED_VALUE"""),46226.0)</f>
        <v>46226</v>
      </c>
      <c r="B1200" s="21" t="str">
        <f>IFERROR(__xludf.DUMMYFUNCTION("""COMPUTED_VALUE"""),"2607D156")</f>
        <v>2607D156</v>
      </c>
      <c r="C1200" s="23" t="str">
        <f>IFERROR(__xludf.DUMMYFUNCTION("""COMPUTED_VALUE"""),"Rudi Setiawan")</f>
        <v>Rudi Setiawan</v>
      </c>
      <c r="D1200" s="24" t="str">
        <f>IFERROR(__xludf.DUMMYFUNCTION("""COMPUTED_VALUE"""),"082339610400")</f>
        <v>082339610400</v>
      </c>
      <c r="E1200" s="14" t="str">
        <f>IFERROR(__xludf.DUMMYFUNCTION("""COMPUTED_VALUE"""),"Instagram")</f>
        <v>Instagram</v>
      </c>
      <c r="F1200" s="14" t="str">
        <f>IFERROR(__xludf.DUMMYFUNCTION("""COMPUTED_VALUE"""),"Leads Baru")</f>
        <v>Leads Baru</v>
      </c>
      <c r="G1200" s="14" t="str">
        <f>IFERROR(__xludf.DUMMYFUNCTION("""COMPUTED_VALUE"""),"Private Tabuhan")</f>
        <v>Private Tabuhan</v>
      </c>
      <c r="H1200" s="26">
        <f>IFERROR(__xludf.DUMMYFUNCTION("""COMPUTED_VALUE"""),46249.0)</f>
        <v>46249</v>
      </c>
      <c r="I1200" s="27">
        <f>IFERROR(__xludf.DUMMYFUNCTION("""COMPUTED_VALUE"""),2.0)</f>
        <v>2</v>
      </c>
      <c r="J1200" s="33"/>
      <c r="K1200" s="30" t="str">
        <f>IFERROR(__xludf.DUMMYFUNCTION("""COMPUTED_VALUE"""),"FU 1 Agustus")</f>
        <v>FU 1 Agustus</v>
      </c>
      <c r="L1200" s="23"/>
      <c r="M1200" s="20"/>
      <c r="N1200" s="20"/>
      <c r="O1200" s="20"/>
      <c r="P1200" s="20"/>
    </row>
    <row r="1201">
      <c r="A1201" s="11">
        <f>IFERROR(__xludf.DUMMYFUNCTION("""COMPUTED_VALUE"""),46227.0)</f>
        <v>46227</v>
      </c>
      <c r="B1201" s="11" t="str">
        <f>IFERROR(__xludf.DUMMYFUNCTION("""COMPUTED_VALUE"""),"2607D157")</f>
        <v>2607D157</v>
      </c>
      <c r="C1201" s="10" t="str">
        <f>IFERROR(__xludf.DUMMYFUNCTION("""COMPUTED_VALUE"""),"Lala Kantari")</f>
        <v>Lala Kantari</v>
      </c>
      <c r="D1201" s="13" t="str">
        <f>IFERROR(__xludf.DUMMYFUNCTION("""COMPUTED_VALUE"""),"082131717909")</f>
        <v>082131717909</v>
      </c>
      <c r="E1201" s="14" t="str">
        <f>IFERROR(__xludf.DUMMYFUNCTION("""COMPUTED_VALUE"""),"Instagram")</f>
        <v>Instagram</v>
      </c>
      <c r="F1201" s="14" t="str">
        <f>IFERROR(__xludf.DUMMYFUNCTION("""COMPUTED_VALUE"""),"Leads Baru")</f>
        <v>Leads Baru</v>
      </c>
      <c r="G1201" s="14" t="str">
        <f>IFERROR(__xludf.DUMMYFUNCTION("""COMPUTED_VALUE"""),"2H1M custome")</f>
        <v>2H1M custome</v>
      </c>
      <c r="H1201" s="16">
        <f>IFERROR(__xludf.DUMMYFUNCTION("""COMPUTED_VALUE"""),46249.0)</f>
        <v>46249</v>
      </c>
      <c r="I1201" s="17">
        <f>IFERROR(__xludf.DUMMYFUNCTION("""COMPUTED_VALUE"""),13.0)</f>
        <v>13</v>
      </c>
      <c r="J1201" s="54"/>
      <c r="K1201" s="46" t="str">
        <f>IFERROR(__xludf.DUMMYFUNCTION("""COMPUTED_VALUE"""),"buat penawaran")</f>
        <v>buat penawaran</v>
      </c>
      <c r="L1201" s="10"/>
      <c r="M1201" s="20"/>
      <c r="N1201" s="20"/>
      <c r="O1201" s="20"/>
      <c r="P1201" s="20"/>
    </row>
    <row r="1202">
      <c r="A1202" s="21">
        <f>IFERROR(__xludf.DUMMYFUNCTION("""COMPUTED_VALUE"""),46227.0)</f>
        <v>46227</v>
      </c>
      <c r="B1202" s="21" t="str">
        <f>IFERROR(__xludf.DUMMYFUNCTION("""COMPUTED_VALUE"""),"2607D158")</f>
        <v>2607D158</v>
      </c>
      <c r="C1202" s="23" t="str">
        <f>IFERROR(__xludf.DUMMYFUNCTION("""COMPUTED_VALUE"""),"Yaya")</f>
        <v>Yaya</v>
      </c>
      <c r="D1202" s="24" t="str">
        <f>IFERROR(__xludf.DUMMYFUNCTION("""COMPUTED_VALUE"""),"085649775489")</f>
        <v>085649775489</v>
      </c>
      <c r="E1202" s="14" t="str">
        <f>IFERROR(__xludf.DUMMYFUNCTION("""COMPUTED_VALUE"""),"Instagram")</f>
        <v>Instagram</v>
      </c>
      <c r="F1202" s="14" t="str">
        <f>IFERROR(__xludf.DUMMYFUNCTION("""COMPUTED_VALUE"""),"Leads Baru")</f>
        <v>Leads Baru</v>
      </c>
      <c r="G1202" s="14" t="str">
        <f>IFERROR(__xludf.DUMMYFUNCTION("""COMPUTED_VALUE"""),"OT Djabal, OT GI")</f>
        <v>OT Djabal, OT GI</v>
      </c>
      <c r="H1202" s="26">
        <f>IFERROR(__xludf.DUMMYFUNCTION("""COMPUTED_VALUE"""),46228.0)</f>
        <v>46228</v>
      </c>
      <c r="I1202" s="27">
        <f>IFERROR(__xludf.DUMMYFUNCTION("""COMPUTED_VALUE"""),2.0)</f>
        <v>2</v>
      </c>
      <c r="J1202" s="33"/>
      <c r="K1202" s="30"/>
      <c r="L1202" s="23"/>
      <c r="M1202" s="20"/>
      <c r="N1202" s="20"/>
      <c r="O1202" s="20"/>
      <c r="P1202" s="20"/>
    </row>
    <row r="1203">
      <c r="A1203" s="11">
        <f>IFERROR(__xludf.DUMMYFUNCTION("""COMPUTED_VALUE"""),46227.0)</f>
        <v>46227</v>
      </c>
      <c r="B1203" s="11" t="str">
        <f>IFERROR(__xludf.DUMMYFUNCTION("""COMPUTED_VALUE"""),"2607D159")</f>
        <v>2607D159</v>
      </c>
      <c r="C1203" s="10" t="str">
        <f>IFERROR(__xludf.DUMMYFUNCTION("""COMPUTED_VALUE"""),"Natadelecoco")</f>
        <v>Natadelecoco</v>
      </c>
      <c r="D1203" s="13" t="str">
        <f>IFERROR(__xludf.DUMMYFUNCTION("""COMPUTED_VALUE"""),"0895800133618")</f>
        <v>0895800133618</v>
      </c>
      <c r="E1203" s="14" t="str">
        <f>IFERROR(__xludf.DUMMYFUNCTION("""COMPUTED_VALUE"""),"Website")</f>
        <v>Website</v>
      </c>
      <c r="F1203" s="14" t="str">
        <f>IFERROR(__xludf.DUMMYFUNCTION("""COMPUTED_VALUE"""),"Leads Baru")</f>
        <v>Leads Baru</v>
      </c>
      <c r="G1203" s="14" t="str">
        <f>IFERROR(__xludf.DUMMYFUNCTION("""COMPUTED_VALUE"""),"3H2M ")</f>
        <v>3H2M </v>
      </c>
      <c r="H1203" s="16">
        <f>IFERROR(__xludf.DUMMYFUNCTION("""COMPUTED_VALUE"""),46256.0)</f>
        <v>46256</v>
      </c>
      <c r="I1203" s="17">
        <f>IFERROR(__xludf.DUMMYFUNCTION("""COMPUTED_VALUE"""),46115.0)</f>
        <v>46115</v>
      </c>
      <c r="J1203" s="54"/>
      <c r="K1203" s="46" t="str">
        <f>IFERROR(__xludf.DUMMYFUNCTION("""COMPUTED_VALUE"""),"FU 1 Agustus")</f>
        <v>FU 1 Agustus</v>
      </c>
      <c r="L1203" s="10"/>
      <c r="M1203" s="20"/>
      <c r="N1203" s="20"/>
      <c r="O1203" s="20"/>
      <c r="P1203" s="20"/>
    </row>
    <row r="1204">
      <c r="A1204" s="21">
        <f>IFERROR(__xludf.DUMMYFUNCTION("""COMPUTED_VALUE"""),46227.0)</f>
        <v>46227</v>
      </c>
      <c r="B1204" s="21" t="str">
        <f>IFERROR(__xludf.DUMMYFUNCTION("""COMPUTED_VALUE"""),"2607D160")</f>
        <v>2607D160</v>
      </c>
      <c r="C1204" s="23" t="str">
        <f>IFERROR(__xludf.DUMMYFUNCTION("""COMPUTED_VALUE"""),"Valentino Teguh ")</f>
        <v>Valentino Teguh </v>
      </c>
      <c r="D1204" s="24" t="str">
        <f>IFERROR(__xludf.DUMMYFUNCTION("""COMPUTED_VALUE"""),"081246073008")</f>
        <v>081246073008</v>
      </c>
      <c r="E1204" s="14" t="str">
        <f>IFERROR(__xludf.DUMMYFUNCTION("""COMPUTED_VALUE"""),"Instagram")</f>
        <v>Instagram</v>
      </c>
      <c r="F1204" s="14" t="str">
        <f>IFERROR(__xludf.DUMMYFUNCTION("""COMPUTED_VALUE"""),"Leads Baru")</f>
        <v>Leads Baru</v>
      </c>
      <c r="G1204" s="14" t="str">
        <f>IFERROR(__xludf.DUMMYFUNCTION("""COMPUTED_VALUE"""),"2H1M opsi B")</f>
        <v>2H1M opsi B</v>
      </c>
      <c r="H1204" s="26"/>
      <c r="I1204" s="27">
        <f>IFERROR(__xludf.DUMMYFUNCTION("""COMPUTED_VALUE"""),2.0)</f>
        <v>2</v>
      </c>
      <c r="J1204" s="33"/>
      <c r="K1204" s="30" t="str">
        <f>IFERROR(__xludf.DUMMYFUNCTION("""COMPUTED_VALUE"""),"FU 3 Agustus")</f>
        <v>FU 3 Agustus</v>
      </c>
      <c r="L1204" s="23"/>
      <c r="M1204" s="20"/>
      <c r="N1204" s="20"/>
      <c r="O1204" s="20"/>
      <c r="P1204" s="20"/>
    </row>
    <row r="1205">
      <c r="A1205" s="11">
        <f>IFERROR(__xludf.DUMMYFUNCTION("""COMPUTED_VALUE"""),46227.0)</f>
        <v>46227</v>
      </c>
      <c r="B1205" s="11" t="str">
        <f>IFERROR(__xludf.DUMMYFUNCTION("""COMPUTED_VALUE"""),"2607D161")</f>
        <v>2607D161</v>
      </c>
      <c r="C1205" s="10" t="str">
        <f>IFERROR(__xludf.DUMMYFUNCTION("""COMPUTED_VALUE"""),"Ncip")</f>
        <v>Ncip</v>
      </c>
      <c r="D1205" s="13" t="str">
        <f>IFERROR(__xludf.DUMMYFUNCTION("""COMPUTED_VALUE"""),"081214870020")</f>
        <v>081214870020</v>
      </c>
      <c r="E1205" s="14" t="str">
        <f>IFERROR(__xludf.DUMMYFUNCTION("""COMPUTED_VALUE"""),"Instagram")</f>
        <v>Instagram</v>
      </c>
      <c r="F1205" s="14" t="str">
        <f>IFERROR(__xludf.DUMMYFUNCTION("""COMPUTED_VALUE"""),"Leads Baru")</f>
        <v>Leads Baru</v>
      </c>
      <c r="G1205" s="14" t="str">
        <f>IFERROR(__xludf.DUMMYFUNCTION("""COMPUTED_VALUE"""),"3H2M")</f>
        <v>3H2M</v>
      </c>
      <c r="H1205" s="16">
        <f>IFERROR(__xludf.DUMMYFUNCTION("""COMPUTED_VALUE"""),46250.0)</f>
        <v>46250</v>
      </c>
      <c r="I1205" s="17"/>
      <c r="J1205" s="54"/>
      <c r="K1205" s="46" t="str">
        <f>IFERROR(__xludf.DUMMYFUNCTION("""COMPUTED_VALUE"""),"FU 3 Agustus")</f>
        <v>FU 3 Agustus</v>
      </c>
      <c r="L1205" s="10"/>
      <c r="M1205" s="20"/>
      <c r="N1205" s="20"/>
      <c r="O1205" s="20"/>
      <c r="P1205" s="20"/>
    </row>
    <row r="1206">
      <c r="A1206" s="21">
        <f>IFERROR(__xludf.DUMMYFUNCTION("""COMPUTED_VALUE"""),46227.0)</f>
        <v>46227</v>
      </c>
      <c r="B1206" s="21" t="str">
        <f>IFERROR(__xludf.DUMMYFUNCTION("""COMPUTED_VALUE"""),"2607D162")</f>
        <v>2607D162</v>
      </c>
      <c r="C1206" s="23" t="str">
        <f>IFERROR(__xludf.DUMMYFUNCTION("""COMPUTED_VALUE"""),"Febi ")</f>
        <v>Febi </v>
      </c>
      <c r="D1206" s="24" t="str">
        <f>IFERROR(__xludf.DUMMYFUNCTION("""COMPUTED_VALUE"""),"08113944456")</f>
        <v>08113944456</v>
      </c>
      <c r="E1206" s="14" t="str">
        <f>IFERROR(__xludf.DUMMYFUNCTION("""COMPUTED_VALUE"""),"Instagram")</f>
        <v>Instagram</v>
      </c>
      <c r="F1206" s="14" t="str">
        <f>IFERROR(__xludf.DUMMYFUNCTION("""COMPUTED_VALUE"""),"Leads Baru")</f>
        <v>Leads Baru</v>
      </c>
      <c r="G1206" s="14" t="str">
        <f>IFERROR(__xludf.DUMMYFUNCTION("""COMPUTED_VALUE"""),"OT Djbal, Ijen")</f>
        <v>OT Djbal, Ijen</v>
      </c>
      <c r="H1206" s="26"/>
      <c r="I1206" s="27"/>
      <c r="J1206" s="33"/>
      <c r="K1206" s="30" t="str">
        <f>IFERROR(__xludf.DUMMYFUNCTION("""COMPUTED_VALUE"""),"masih perbandingan antara OT/PT, FU 29 Juli")</f>
        <v>masih perbandingan antara OT/PT, FU 29 Juli</v>
      </c>
      <c r="L1206" s="23"/>
      <c r="M1206" s="20"/>
      <c r="N1206" s="20"/>
      <c r="O1206" s="20"/>
      <c r="P1206" s="20"/>
    </row>
    <row r="1207">
      <c r="A1207" s="11">
        <f>IFERROR(__xludf.DUMMYFUNCTION("""COMPUTED_VALUE"""),46228.0)</f>
        <v>46228</v>
      </c>
      <c r="B1207" s="11" t="str">
        <f>IFERROR(__xludf.DUMMYFUNCTION("""COMPUTED_VALUE"""),"2607D163")</f>
        <v>2607D163</v>
      </c>
      <c r="C1207" s="10" t="str">
        <f>IFERROR(__xludf.DUMMYFUNCTION("""COMPUTED_VALUE"""),"Vega")</f>
        <v>Vega</v>
      </c>
      <c r="D1207" s="13" t="str">
        <f>IFERROR(__xludf.DUMMYFUNCTION("""COMPUTED_VALUE"""),"081219148054")</f>
        <v>081219148054</v>
      </c>
      <c r="E1207" s="14" t="str">
        <f>IFERROR(__xludf.DUMMYFUNCTION("""COMPUTED_VALUE"""),"Instagram")</f>
        <v>Instagram</v>
      </c>
      <c r="F1207" s="14" t="str">
        <f>IFERROR(__xludf.DUMMYFUNCTION("""COMPUTED_VALUE"""),"Qualified")</f>
        <v>Qualified</v>
      </c>
      <c r="G1207" s="14" t="str">
        <f>IFERROR(__xludf.DUMMYFUNCTION("""COMPUTED_VALUE"""),"OT MT")</f>
        <v>OT MT</v>
      </c>
      <c r="H1207" s="16">
        <f>IFERROR(__xludf.DUMMYFUNCTION("""COMPUTED_VALUE"""),46229.0)</f>
        <v>46229</v>
      </c>
      <c r="I1207" s="17">
        <f>IFERROR(__xludf.DUMMYFUNCTION("""COMPUTED_VALUE"""),1.0)</f>
        <v>1</v>
      </c>
      <c r="J1207" s="54">
        <f>IFERROR(__xludf.DUMMYFUNCTION("""COMPUTED_VALUE"""),275000.0)</f>
        <v>275000</v>
      </c>
      <c r="K1207" s="46"/>
      <c r="L1207" s="10"/>
      <c r="M1207" s="20"/>
      <c r="N1207" s="20"/>
      <c r="O1207" s="20"/>
      <c r="P1207" s="20"/>
    </row>
    <row r="1208">
      <c r="A1208" s="21">
        <f>IFERROR(__xludf.DUMMYFUNCTION("""COMPUTED_VALUE"""),46228.0)</f>
        <v>46228</v>
      </c>
      <c r="B1208" s="21" t="str">
        <f>IFERROR(__xludf.DUMMYFUNCTION("""COMPUTED_VALUE"""),"2607D164")</f>
        <v>2607D164</v>
      </c>
      <c r="C1208" s="23" t="str">
        <f>IFERROR(__xludf.DUMMYFUNCTION("""COMPUTED_VALUE"""),"Kak.Hay")</f>
        <v>Kak.Hay</v>
      </c>
      <c r="D1208" s="24" t="str">
        <f>IFERROR(__xludf.DUMMYFUNCTION("""COMPUTED_VALUE"""),"082111426857")</f>
        <v>082111426857</v>
      </c>
      <c r="E1208" s="14" t="str">
        <f>IFERROR(__xludf.DUMMYFUNCTION("""COMPUTED_VALUE"""),"Instagram")</f>
        <v>Instagram</v>
      </c>
      <c r="F1208" s="14" t="str">
        <f>IFERROR(__xludf.DUMMYFUNCTION("""COMPUTED_VALUE"""),"Leads Baru")</f>
        <v>Leads Baru</v>
      </c>
      <c r="G1208" s="14" t="str">
        <f>IFERROR(__xludf.DUMMYFUNCTION("""COMPUTED_VALUE"""),"OT MT")</f>
        <v>OT MT</v>
      </c>
      <c r="H1208" s="26"/>
      <c r="I1208" s="27"/>
      <c r="J1208" s="33"/>
      <c r="K1208" s="30" t="str">
        <f>IFERROR(__xludf.DUMMYFUNCTION("""COMPUTED_VALUE"""),"FU 31 Juli")</f>
        <v>FU 31 Juli</v>
      </c>
      <c r="L1208" s="23"/>
      <c r="M1208" s="20"/>
      <c r="N1208" s="20"/>
      <c r="O1208" s="20"/>
      <c r="P1208" s="20"/>
    </row>
    <row r="1209">
      <c r="A1209" s="11">
        <f>IFERROR(__xludf.DUMMYFUNCTION("""COMPUTED_VALUE"""),46229.0)</f>
        <v>46229</v>
      </c>
      <c r="B1209" s="11" t="str">
        <f>IFERROR(__xludf.DUMMYFUNCTION("""COMPUTED_VALUE"""),"2607D165")</f>
        <v>2607D165</v>
      </c>
      <c r="C1209" s="10" t="str">
        <f>IFERROR(__xludf.DUMMYFUNCTION("""COMPUTED_VALUE"""),"Shella Trishel")</f>
        <v>Shella Trishel</v>
      </c>
      <c r="D1209" s="13" t="str">
        <f>IFERROR(__xludf.DUMMYFUNCTION("""COMPUTED_VALUE"""),"085747300036")</f>
        <v>085747300036</v>
      </c>
      <c r="E1209" s="14" t="str">
        <f>IFERROR(__xludf.DUMMYFUNCTION("""COMPUTED_VALUE"""),"Instagram")</f>
        <v>Instagram</v>
      </c>
      <c r="F1209" s="14" t="str">
        <f>IFERROR(__xludf.DUMMYFUNCTION("""COMPUTED_VALUE"""),"Leads Baru")</f>
        <v>Leads Baru</v>
      </c>
      <c r="G1209" s="14" t="str">
        <f>IFERROR(__xludf.DUMMYFUNCTION("""COMPUTED_VALUE"""),"trip 1 day Baluran")</f>
        <v>trip 1 day Baluran</v>
      </c>
      <c r="H1209" s="16"/>
      <c r="I1209" s="17">
        <f>IFERROR(__xludf.DUMMYFUNCTION("""COMPUTED_VALUE"""),5.0)</f>
        <v>5</v>
      </c>
      <c r="J1209" s="54"/>
      <c r="K1209" s="46" t="str">
        <f>IFERROR(__xludf.DUMMYFUNCTION("""COMPUTED_VALUE"""),"FU 30 Juli")</f>
        <v>FU 30 Juli</v>
      </c>
      <c r="L1209" s="10"/>
      <c r="M1209" s="20"/>
      <c r="N1209" s="20"/>
      <c r="O1209" s="20"/>
      <c r="P1209" s="20"/>
    </row>
    <row r="1210">
      <c r="A1210" s="21">
        <f>IFERROR(__xludf.DUMMYFUNCTION("""COMPUTED_VALUE"""),46230.0)</f>
        <v>46230</v>
      </c>
      <c r="B1210" s="21" t="str">
        <f>IFERROR(__xludf.DUMMYFUNCTION("""COMPUTED_VALUE"""),"2607D166")</f>
        <v>2607D166</v>
      </c>
      <c r="C1210" s="23" t="str">
        <f>IFERROR(__xludf.DUMMYFUNCTION("""COMPUTED_VALUE"""),"Rizkia Puri")</f>
        <v>Rizkia Puri</v>
      </c>
      <c r="D1210" s="24" t="str">
        <f>IFERROR(__xludf.DUMMYFUNCTION("""COMPUTED_VALUE"""),"081229463055")</f>
        <v>081229463055</v>
      </c>
      <c r="E1210" s="14" t="str">
        <f>IFERROR(__xludf.DUMMYFUNCTION("""COMPUTED_VALUE"""),"Instagram")</f>
        <v>Instagram</v>
      </c>
      <c r="F1210" s="14" t="str">
        <f>IFERROR(__xludf.DUMMYFUNCTION("""COMPUTED_VALUE"""),"Leads Baru")</f>
        <v>Leads Baru</v>
      </c>
      <c r="G1210" s="14" t="str">
        <f>IFERROR(__xludf.DUMMYFUNCTION("""COMPUTED_VALUE"""),"3H2M opsi A")</f>
        <v>3H2M opsi A</v>
      </c>
      <c r="H1210" s="26">
        <f>IFERROR(__xludf.DUMMYFUNCTION("""COMPUTED_VALUE"""),46252.0)</f>
        <v>46252</v>
      </c>
      <c r="I1210" s="27">
        <f>IFERROR(__xludf.DUMMYFUNCTION("""COMPUTED_VALUE"""),2.0)</f>
        <v>2</v>
      </c>
      <c r="J1210" s="33"/>
      <c r="K1210" s="30" t="str">
        <f>IFERROR(__xludf.DUMMYFUNCTION("""COMPUTED_VALUE"""),"FU 1 Agustus")</f>
        <v>FU 1 Agustus</v>
      </c>
      <c r="L1210" s="23"/>
      <c r="M1210" s="20"/>
      <c r="N1210" s="20"/>
      <c r="O1210" s="20"/>
      <c r="P1210" s="20"/>
    </row>
    <row r="1211">
      <c r="A1211" s="11">
        <f>IFERROR(__xludf.DUMMYFUNCTION("""COMPUTED_VALUE"""),46230.0)</f>
        <v>46230</v>
      </c>
      <c r="B1211" s="11" t="str">
        <f>IFERROR(__xludf.DUMMYFUNCTION("""COMPUTED_VALUE"""),"2607D167")</f>
        <v>2607D167</v>
      </c>
      <c r="C1211" s="10" t="str">
        <f>IFERROR(__xludf.DUMMYFUNCTION("""COMPUTED_VALUE"""),"WNA Inggris")</f>
        <v>WNA Inggris</v>
      </c>
      <c r="D1211" s="13" t="str">
        <f>IFERROR(__xludf.DUMMYFUNCTION("""COMPUTED_VALUE"""),"447494034531")</f>
        <v>447494034531</v>
      </c>
      <c r="E1211" s="14" t="str">
        <f>IFERROR(__xludf.DUMMYFUNCTION("""COMPUTED_VALUE"""),"Instagram")</f>
        <v>Instagram</v>
      </c>
      <c r="F1211" s="14" t="str">
        <f>IFERROR(__xludf.DUMMYFUNCTION("""COMPUTED_VALUE"""),"Leads Baru")</f>
        <v>Leads Baru</v>
      </c>
      <c r="G1211" s="14" t="str">
        <f>IFERROR(__xludf.DUMMYFUNCTION("""COMPUTED_VALUE"""),"private trip Ijen")</f>
        <v>private trip Ijen</v>
      </c>
      <c r="H1211" s="16">
        <f>IFERROR(__xludf.DUMMYFUNCTION("""COMPUTED_VALUE"""),46280.0)</f>
        <v>46280</v>
      </c>
      <c r="I1211" s="17">
        <f>IFERROR(__xludf.DUMMYFUNCTION("""COMPUTED_VALUE"""),3.0)</f>
        <v>3</v>
      </c>
      <c r="J1211" s="54"/>
      <c r="K1211" s="46" t="str">
        <f>IFERROR(__xludf.DUMMYFUNCTION("""COMPUTED_VALUE"""),"FU 14 Agustus")</f>
        <v>FU 14 Agustus</v>
      </c>
      <c r="L1211" s="10"/>
      <c r="M1211" s="20"/>
      <c r="N1211" s="20"/>
      <c r="O1211" s="20"/>
      <c r="P1211" s="20"/>
    </row>
    <row r="1212">
      <c r="A1212" s="21">
        <f>IFERROR(__xludf.DUMMYFUNCTION("""COMPUTED_VALUE"""),46230.0)</f>
        <v>46230</v>
      </c>
      <c r="B1212" s="21" t="str">
        <f>IFERROR(__xludf.DUMMYFUNCTION("""COMPUTED_VALUE"""),"2607D168")</f>
        <v>2607D168</v>
      </c>
      <c r="C1212" s="23" t="str">
        <f>IFERROR(__xludf.DUMMYFUNCTION("""COMPUTED_VALUE"""),"Intan Wulansari")</f>
        <v>Intan Wulansari</v>
      </c>
      <c r="D1212" s="24" t="str">
        <f>IFERROR(__xludf.DUMMYFUNCTION("""COMPUTED_VALUE"""),"08589202869")</f>
        <v>08589202869</v>
      </c>
      <c r="E1212" s="14" t="str">
        <f>IFERROR(__xludf.DUMMYFUNCTION("""COMPUTED_VALUE"""),"Instagram")</f>
        <v>Instagram</v>
      </c>
      <c r="F1212" s="14" t="str">
        <f>IFERROR(__xludf.DUMMYFUNCTION("""COMPUTED_VALUE"""),"Leads Baru")</f>
        <v>Leads Baru</v>
      </c>
      <c r="G1212" s="14" t="str">
        <f>IFERROR(__xludf.DUMMYFUNCTION("""COMPUTED_VALUE"""),"3H2M Custome")</f>
        <v>3H2M Custome</v>
      </c>
      <c r="H1212" s="26"/>
      <c r="I1212" s="27">
        <f>IFERROR(__xludf.DUMMYFUNCTION("""COMPUTED_VALUE"""),6.0)</f>
        <v>6</v>
      </c>
      <c r="J1212" s="33"/>
      <c r="K1212" s="30" t="str">
        <f>IFERROR(__xludf.DUMMYFUNCTION("""COMPUTED_VALUE"""),"FU 30 Juli")</f>
        <v>FU 30 Juli</v>
      </c>
      <c r="L1212" s="23"/>
      <c r="M1212" s="20"/>
      <c r="N1212" s="20"/>
      <c r="O1212" s="20"/>
      <c r="P1212" s="20"/>
    </row>
    <row r="1213">
      <c r="A1213" s="11">
        <f>IFERROR(__xludf.DUMMYFUNCTION("""COMPUTED_VALUE"""),46230.0)</f>
        <v>46230</v>
      </c>
      <c r="B1213" s="11" t="str">
        <f>IFERROR(__xludf.DUMMYFUNCTION("""COMPUTED_VALUE"""),"2607D169")</f>
        <v>2607D169</v>
      </c>
      <c r="C1213" s="10" t="str">
        <f>IFERROR(__xludf.DUMMYFUNCTION("""COMPUTED_VALUE"""),"Azizah")</f>
        <v>Azizah</v>
      </c>
      <c r="D1213" s="13" t="str">
        <f>IFERROR(__xludf.DUMMYFUNCTION("""COMPUTED_VALUE"""),"085289410324")</f>
        <v>085289410324</v>
      </c>
      <c r="E1213" s="14" t="str">
        <f>IFERROR(__xludf.DUMMYFUNCTION("""COMPUTED_VALUE"""),"Instagram")</f>
        <v>Instagram</v>
      </c>
      <c r="F1213" s="14" t="str">
        <f>IFERROR(__xludf.DUMMYFUNCTION("""COMPUTED_VALUE"""),"Leads Baru")</f>
        <v>Leads Baru</v>
      </c>
      <c r="G1213" s="14" t="str">
        <f>IFERROR(__xludf.DUMMYFUNCTION("""COMPUTED_VALUE"""),"OT MT")</f>
        <v>OT MT</v>
      </c>
      <c r="H1213" s="16">
        <f>IFERROR(__xludf.DUMMYFUNCTION("""COMPUTED_VALUE"""),46250.0)</f>
        <v>46250</v>
      </c>
      <c r="I1213" s="17"/>
      <c r="J1213" s="54"/>
      <c r="K1213" s="46" t="str">
        <f>IFERROR(__xludf.DUMMYFUNCTION("""COMPUTED_VALUE"""),"blm balas lagi, FU 30 Juli")</f>
        <v>blm balas lagi, FU 30 Juli</v>
      </c>
      <c r="L1213" s="10"/>
      <c r="M1213" s="20"/>
      <c r="N1213" s="20"/>
      <c r="O1213" s="20"/>
      <c r="P1213" s="20"/>
    </row>
    <row r="1214">
      <c r="A1214" s="21">
        <f>IFERROR(__xludf.DUMMYFUNCTION("""COMPUTED_VALUE"""),46230.0)</f>
        <v>46230</v>
      </c>
      <c r="B1214" s="21" t="str">
        <f>IFERROR(__xludf.DUMMYFUNCTION("""COMPUTED_VALUE"""),"2607D170")</f>
        <v>2607D170</v>
      </c>
      <c r="C1214" s="23" t="str">
        <f>IFERROR(__xludf.DUMMYFUNCTION("""COMPUTED_VALUE"""),"Intan Barus")</f>
        <v>Intan Barus</v>
      </c>
      <c r="D1214" s="24" t="str">
        <f>IFERROR(__xludf.DUMMYFUNCTION("""COMPUTED_VALUE"""),"085211734314")</f>
        <v>085211734314</v>
      </c>
      <c r="E1214" s="14" t="str">
        <f>IFERROR(__xludf.DUMMYFUNCTION("""COMPUTED_VALUE"""),"Instagram")</f>
        <v>Instagram</v>
      </c>
      <c r="F1214" s="14" t="str">
        <f>IFERROR(__xludf.DUMMYFUNCTION("""COMPUTED_VALUE"""),"Leads Baru")</f>
        <v>Leads Baru</v>
      </c>
      <c r="G1214" s="14" t="str">
        <f>IFERROR(__xludf.DUMMYFUNCTION("""COMPUTED_VALUE"""),"2H1M opsi B")</f>
        <v>2H1M opsi B</v>
      </c>
      <c r="H1214" s="26">
        <f>IFERROR(__xludf.DUMMYFUNCTION("""COMPUTED_VALUE"""),46265.0)</f>
        <v>46265</v>
      </c>
      <c r="I1214" s="27">
        <f>IFERROR(__xludf.DUMMYFUNCTION("""COMPUTED_VALUE"""),2.0)</f>
        <v>2</v>
      </c>
      <c r="J1214" s="33"/>
      <c r="K1214" s="30" t="str">
        <f>IFERROR(__xludf.DUMMYFUNCTION("""COMPUTED_VALUE"""),"FU 14 Agustus")</f>
        <v>FU 14 Agustus</v>
      </c>
      <c r="L1214" s="23"/>
      <c r="M1214" s="20"/>
      <c r="N1214" s="20"/>
      <c r="O1214" s="20"/>
      <c r="P1214" s="20"/>
    </row>
    <row r="1215">
      <c r="A1215" s="11">
        <f>IFERROR(__xludf.DUMMYFUNCTION("""COMPUTED_VALUE"""),46230.0)</f>
        <v>46230</v>
      </c>
      <c r="B1215" s="11" t="str">
        <f>IFERROR(__xludf.DUMMYFUNCTION("""COMPUTED_VALUE"""),"2607D171")</f>
        <v>2607D171</v>
      </c>
      <c r="C1215" s="10" t="str">
        <f>IFERROR(__xludf.DUMMYFUNCTION("""COMPUTED_VALUE"""),"Nadia Amelia ")</f>
        <v>Nadia Amelia </v>
      </c>
      <c r="D1215" s="13" t="str">
        <f>IFERROR(__xludf.DUMMYFUNCTION("""COMPUTED_VALUE"""),"08192165504")</f>
        <v>08192165504</v>
      </c>
      <c r="E1215" s="14" t="str">
        <f>IFERROR(__xludf.DUMMYFUNCTION("""COMPUTED_VALUE"""),"Instagram")</f>
        <v>Instagram</v>
      </c>
      <c r="F1215" s="14" t="str">
        <f>IFERROR(__xludf.DUMMYFUNCTION("""COMPUTED_VALUE"""),"Leads Baru")</f>
        <v>Leads Baru</v>
      </c>
      <c r="G1215" s="14" t="str">
        <f>IFERROR(__xludf.DUMMYFUNCTION("""COMPUTED_VALUE"""),"OT3H2M")</f>
        <v>OT3H2M</v>
      </c>
      <c r="H1215" s="16"/>
      <c r="I1215" s="17"/>
      <c r="J1215" s="54"/>
      <c r="K1215" s="46" t="str">
        <f>IFERROR(__xludf.DUMMYFUNCTION("""COMPUTED_VALUE"""),"FU 30 Juli")</f>
        <v>FU 30 Juli</v>
      </c>
      <c r="L1215" s="10"/>
      <c r="M1215" s="20"/>
      <c r="N1215" s="20"/>
      <c r="O1215" s="20"/>
      <c r="P1215" s="20"/>
    </row>
    <row r="1216">
      <c r="A1216" s="21">
        <f>IFERROR(__xludf.DUMMYFUNCTION("""COMPUTED_VALUE"""),46230.0)</f>
        <v>46230</v>
      </c>
      <c r="B1216" s="21" t="str">
        <f>IFERROR(__xludf.DUMMYFUNCTION("""COMPUTED_VALUE"""),"2607D172")</f>
        <v>2607D172</v>
      </c>
      <c r="C1216" s="23" t="str">
        <f>IFERROR(__xludf.DUMMYFUNCTION("""COMPUTED_VALUE"""),"Andre Januar Mulya")</f>
        <v>Andre Januar Mulya</v>
      </c>
      <c r="D1216" s="24" t="str">
        <f>IFERROR(__xludf.DUMMYFUNCTION("""COMPUTED_VALUE"""),"081519844165")</f>
        <v>081519844165</v>
      </c>
      <c r="E1216" s="14" t="str">
        <f>IFERROR(__xludf.DUMMYFUNCTION("""COMPUTED_VALUE"""),"Rekomendasi")</f>
        <v>Rekomendasi</v>
      </c>
      <c r="F1216" s="14" t="str">
        <f>IFERROR(__xludf.DUMMYFUNCTION("""COMPUTED_VALUE"""),"Leads Baru")</f>
        <v>Leads Baru</v>
      </c>
      <c r="G1216" s="14" t="str">
        <f>IFERROR(__xludf.DUMMYFUNCTION("""COMPUTED_VALUE"""),"trip custome")</f>
        <v>trip custome</v>
      </c>
      <c r="H1216" s="26"/>
      <c r="I1216" s="27"/>
      <c r="J1216" s="33"/>
      <c r="K1216" s="30" t="str">
        <f>IFERROR(__xludf.DUMMYFUNCTION("""COMPUTED_VALUE"""),"sudah kirim penawaran, FU 21 Agustus")</f>
        <v>sudah kirim penawaran, FU 21 Agustus</v>
      </c>
      <c r="L1216" s="23"/>
      <c r="M1216" s="20"/>
      <c r="N1216" s="20"/>
      <c r="O1216" s="20"/>
      <c r="P1216" s="20"/>
    </row>
    <row r="1217">
      <c r="A1217" s="11">
        <f>IFERROR(__xludf.DUMMYFUNCTION("""COMPUTED_VALUE"""),46230.0)</f>
        <v>46230</v>
      </c>
      <c r="B1217" s="11" t="str">
        <f>IFERROR(__xludf.DUMMYFUNCTION("""COMPUTED_VALUE"""),"2607D173")</f>
        <v>2607D173</v>
      </c>
      <c r="C1217" s="10" t="str">
        <f>IFERROR(__xludf.DUMMYFUNCTION("""COMPUTED_VALUE"""),"Zahra Athallah")</f>
        <v>Zahra Athallah</v>
      </c>
      <c r="D1217" s="13" t="str">
        <f>IFERROR(__xludf.DUMMYFUNCTION("""COMPUTED_VALUE"""),"081286968037")</f>
        <v>081286968037</v>
      </c>
      <c r="E1217" s="14" t="str">
        <f>IFERROR(__xludf.DUMMYFUNCTION("""COMPUTED_VALUE"""),"Instagram")</f>
        <v>Instagram</v>
      </c>
      <c r="F1217" s="14" t="str">
        <f>IFERROR(__xludf.DUMMYFUNCTION("""COMPUTED_VALUE"""),"Leads Baru")</f>
        <v>Leads Baru</v>
      </c>
      <c r="G1217" s="14" t="str">
        <f>IFERROR(__xludf.DUMMYFUNCTION("""COMPUTED_VALUE"""),"3H2M opsi A")</f>
        <v>3H2M opsi A</v>
      </c>
      <c r="H1217" s="16">
        <f>IFERROR(__xludf.DUMMYFUNCTION("""COMPUTED_VALUE"""),46249.0)</f>
        <v>46249</v>
      </c>
      <c r="I1217" s="17">
        <f>IFERROR(__xludf.DUMMYFUNCTION("""COMPUTED_VALUE"""),2.0)</f>
        <v>2</v>
      </c>
      <c r="J1217" s="54"/>
      <c r="K1217" s="46" t="str">
        <f>IFERROR(__xludf.DUMMYFUNCTION("""COMPUTED_VALUE"""),"FU 2 Agustus")</f>
        <v>FU 2 Agustus</v>
      </c>
      <c r="L1217" s="10"/>
      <c r="M1217" s="20"/>
      <c r="N1217" s="20"/>
      <c r="O1217" s="20"/>
      <c r="P1217" s="20"/>
    </row>
    <row r="1218">
      <c r="A1218" s="21">
        <f>IFERROR(__xludf.DUMMYFUNCTION("""COMPUTED_VALUE"""),46230.0)</f>
        <v>46230</v>
      </c>
      <c r="B1218" s="21" t="str">
        <f>IFERROR(__xludf.DUMMYFUNCTION("""COMPUTED_VALUE"""),"2607D174")</f>
        <v>2607D174</v>
      </c>
      <c r="C1218" s="23" t="str">
        <f>IFERROR(__xludf.DUMMYFUNCTION("""COMPUTED_VALUE"""),"Ridha Fatmasari")</f>
        <v>Ridha Fatmasari</v>
      </c>
      <c r="D1218" s="24" t="str">
        <f>IFERROR(__xludf.DUMMYFUNCTION("""COMPUTED_VALUE"""),"085225230819")</f>
        <v>085225230819</v>
      </c>
      <c r="E1218" s="14" t="str">
        <f>IFERROR(__xludf.DUMMYFUNCTION("""COMPUTED_VALUE"""),"Instagram")</f>
        <v>Instagram</v>
      </c>
      <c r="F1218" s="14" t="str">
        <f>IFERROR(__xludf.DUMMYFUNCTION("""COMPUTED_VALUE"""),"Leads Baru")</f>
        <v>Leads Baru</v>
      </c>
      <c r="G1218" s="14" t="str">
        <f>IFERROR(__xludf.DUMMYFUNCTION("""COMPUTED_VALUE"""),"OT MT")</f>
        <v>OT MT</v>
      </c>
      <c r="H1218" s="26">
        <f>IFERROR(__xludf.DUMMYFUNCTION("""COMPUTED_VALUE"""),46250.0)</f>
        <v>46250</v>
      </c>
      <c r="I1218" s="27">
        <f>IFERROR(__xludf.DUMMYFUNCTION("""COMPUTED_VALUE"""),4.0)</f>
        <v>4</v>
      </c>
      <c r="J1218" s="33"/>
      <c r="K1218" s="30" t="str">
        <f>IFERROR(__xludf.DUMMYFUNCTION("""COMPUTED_VALUE"""),"FU 30 Juli")</f>
        <v>FU 30 Juli</v>
      </c>
      <c r="L1218" s="23"/>
      <c r="M1218" s="20"/>
      <c r="N1218" s="20"/>
      <c r="O1218" s="20"/>
      <c r="P1218" s="20"/>
    </row>
    <row r="1219">
      <c r="A1219" s="10"/>
      <c r="B1219" s="11"/>
      <c r="C1219" s="10"/>
      <c r="D1219" s="13"/>
      <c r="E1219" s="14"/>
      <c r="F1219" s="14"/>
      <c r="G1219" s="14"/>
      <c r="H1219" s="10"/>
      <c r="I1219" s="17"/>
      <c r="J1219" s="10"/>
      <c r="K1219" s="46"/>
      <c r="L1219" s="10"/>
      <c r="M1219" s="20"/>
      <c r="N1219" s="20"/>
      <c r="O1219" s="20"/>
      <c r="P1219" s="20"/>
    </row>
    <row r="1220">
      <c r="A1220" s="23"/>
      <c r="B1220" s="21"/>
      <c r="C1220" s="23"/>
      <c r="D1220" s="24"/>
      <c r="E1220" s="14"/>
      <c r="F1220" s="14"/>
      <c r="G1220" s="14"/>
      <c r="H1220" s="23"/>
      <c r="I1220" s="27"/>
      <c r="J1220" s="23"/>
      <c r="K1220" s="30"/>
      <c r="L1220" s="23"/>
      <c r="M1220" s="20"/>
      <c r="N1220" s="20"/>
      <c r="O1220" s="20"/>
      <c r="P1220" s="20"/>
    </row>
    <row r="1221">
      <c r="A1221" s="10"/>
      <c r="B1221" s="11"/>
      <c r="C1221" s="10"/>
      <c r="D1221" s="13"/>
      <c r="E1221" s="14"/>
      <c r="F1221" s="14"/>
      <c r="G1221" s="14"/>
      <c r="H1221" s="10"/>
      <c r="I1221" s="17"/>
      <c r="J1221" s="10"/>
      <c r="K1221" s="46"/>
      <c r="L1221" s="10"/>
      <c r="M1221" s="20"/>
      <c r="N1221" s="20"/>
      <c r="O1221" s="20"/>
      <c r="P1221" s="20"/>
    </row>
    <row r="1222">
      <c r="A1222" s="23"/>
      <c r="B1222" s="21"/>
      <c r="C1222" s="23"/>
      <c r="D1222" s="24"/>
      <c r="E1222" s="14"/>
      <c r="F1222" s="14"/>
      <c r="G1222" s="14"/>
      <c r="H1222" s="23"/>
      <c r="I1222" s="27"/>
      <c r="J1222" s="23"/>
      <c r="K1222" s="30"/>
      <c r="L1222" s="23"/>
      <c r="M1222" s="20"/>
      <c r="N1222" s="20"/>
      <c r="O1222" s="20"/>
      <c r="P1222" s="20"/>
    </row>
    <row r="1223">
      <c r="A1223" s="10"/>
      <c r="B1223" s="11"/>
      <c r="C1223" s="10"/>
      <c r="D1223" s="13"/>
      <c r="E1223" s="14"/>
      <c r="F1223" s="14"/>
      <c r="G1223" s="14"/>
      <c r="H1223" s="10"/>
      <c r="I1223" s="17"/>
      <c r="J1223" s="10"/>
      <c r="K1223" s="46"/>
      <c r="L1223" s="10"/>
      <c r="M1223" s="20"/>
      <c r="N1223" s="20"/>
      <c r="O1223" s="20"/>
      <c r="P1223" s="20"/>
    </row>
    <row r="1224">
      <c r="A1224" s="23"/>
      <c r="B1224" s="21"/>
      <c r="C1224" s="23"/>
      <c r="D1224" s="24"/>
      <c r="E1224" s="14"/>
      <c r="F1224" s="14"/>
      <c r="G1224" s="14"/>
      <c r="H1224" s="23"/>
      <c r="I1224" s="27"/>
      <c r="J1224" s="23"/>
      <c r="K1224" s="30"/>
      <c r="L1224" s="23"/>
      <c r="M1224" s="20"/>
      <c r="N1224" s="20"/>
      <c r="O1224" s="20"/>
      <c r="P1224" s="20"/>
    </row>
    <row r="1225">
      <c r="A1225" s="10"/>
      <c r="B1225" s="11"/>
      <c r="C1225" s="10"/>
      <c r="D1225" s="13"/>
      <c r="E1225" s="14"/>
      <c r="F1225" s="14"/>
      <c r="G1225" s="14"/>
      <c r="H1225" s="10"/>
      <c r="I1225" s="17"/>
      <c r="J1225" s="10"/>
      <c r="K1225" s="46"/>
      <c r="L1225" s="10"/>
      <c r="M1225" s="20"/>
      <c r="N1225" s="20"/>
      <c r="O1225" s="20"/>
      <c r="P1225" s="20"/>
    </row>
    <row r="1226">
      <c r="A1226" s="23"/>
      <c r="B1226" s="21"/>
      <c r="C1226" s="23"/>
      <c r="D1226" s="24"/>
      <c r="E1226" s="14"/>
      <c r="F1226" s="14"/>
      <c r="G1226" s="14"/>
      <c r="H1226" s="23"/>
      <c r="I1226" s="27"/>
      <c r="J1226" s="23"/>
      <c r="K1226" s="30"/>
      <c r="L1226" s="23"/>
      <c r="M1226" s="20"/>
      <c r="N1226" s="20"/>
      <c r="O1226" s="20"/>
      <c r="P1226" s="20"/>
    </row>
    <row r="1227">
      <c r="A1227" s="10"/>
      <c r="B1227" s="11"/>
      <c r="C1227" s="10"/>
      <c r="D1227" s="13"/>
      <c r="E1227" s="14"/>
      <c r="F1227" s="14"/>
      <c r="G1227" s="14"/>
      <c r="H1227" s="10"/>
      <c r="I1227" s="17"/>
      <c r="J1227" s="10"/>
      <c r="K1227" s="46"/>
      <c r="L1227" s="10"/>
      <c r="M1227" s="20"/>
      <c r="N1227" s="20"/>
      <c r="O1227" s="20"/>
      <c r="P1227" s="20"/>
    </row>
    <row r="1228">
      <c r="A1228" s="23"/>
      <c r="B1228" s="21"/>
      <c r="C1228" s="23"/>
      <c r="D1228" s="24"/>
      <c r="E1228" s="14"/>
      <c r="F1228" s="14"/>
      <c r="G1228" s="14"/>
      <c r="H1228" s="23"/>
      <c r="I1228" s="27"/>
      <c r="J1228" s="23"/>
      <c r="K1228" s="30"/>
      <c r="L1228" s="23"/>
      <c r="M1228" s="20"/>
      <c r="N1228" s="20"/>
      <c r="O1228" s="20"/>
      <c r="P1228" s="20"/>
    </row>
    <row r="1229">
      <c r="A1229" s="10"/>
      <c r="B1229" s="11"/>
      <c r="C1229" s="10"/>
      <c r="D1229" s="13"/>
      <c r="E1229" s="14"/>
      <c r="F1229" s="14"/>
      <c r="G1229" s="14"/>
      <c r="H1229" s="10"/>
      <c r="I1229" s="17"/>
      <c r="J1229" s="10"/>
      <c r="K1229" s="46"/>
      <c r="L1229" s="10"/>
      <c r="M1229" s="20"/>
      <c r="N1229" s="20"/>
      <c r="O1229" s="20"/>
      <c r="P1229" s="20"/>
    </row>
    <row r="1230">
      <c r="A1230" s="23"/>
      <c r="B1230" s="21"/>
      <c r="C1230" s="23"/>
      <c r="D1230" s="24"/>
      <c r="E1230" s="14"/>
      <c r="F1230" s="14"/>
      <c r="G1230" s="14"/>
      <c r="H1230" s="23"/>
      <c r="I1230" s="27"/>
      <c r="J1230" s="23"/>
      <c r="K1230" s="30"/>
      <c r="L1230" s="23"/>
      <c r="M1230" s="20"/>
      <c r="N1230" s="20"/>
      <c r="O1230" s="20"/>
      <c r="P1230" s="20"/>
    </row>
    <row r="1231">
      <c r="A1231" s="10"/>
      <c r="B1231" s="11"/>
      <c r="C1231" s="10"/>
      <c r="D1231" s="13"/>
      <c r="E1231" s="14"/>
      <c r="F1231" s="14"/>
      <c r="G1231" s="14"/>
      <c r="H1231" s="10"/>
      <c r="I1231" s="17"/>
      <c r="J1231" s="10"/>
      <c r="K1231" s="46"/>
      <c r="L1231" s="10"/>
      <c r="M1231" s="20"/>
      <c r="N1231" s="20"/>
      <c r="O1231" s="20"/>
      <c r="P1231" s="20"/>
    </row>
    <row r="1232">
      <c r="A1232" s="23"/>
      <c r="B1232" s="21"/>
      <c r="C1232" s="23"/>
      <c r="D1232" s="24"/>
      <c r="E1232" s="14"/>
      <c r="F1232" s="14"/>
      <c r="G1232" s="14"/>
      <c r="H1232" s="23"/>
      <c r="I1232" s="27"/>
      <c r="J1232" s="23"/>
      <c r="K1232" s="30"/>
      <c r="L1232" s="23"/>
      <c r="M1232" s="20"/>
      <c r="N1232" s="20"/>
      <c r="O1232" s="20"/>
      <c r="P1232" s="20"/>
    </row>
    <row r="1233">
      <c r="A1233" s="10"/>
      <c r="B1233" s="11"/>
      <c r="C1233" s="10"/>
      <c r="D1233" s="13"/>
      <c r="E1233" s="14"/>
      <c r="F1233" s="14"/>
      <c r="G1233" s="14"/>
      <c r="H1233" s="10"/>
      <c r="I1233" s="17"/>
      <c r="J1233" s="10"/>
      <c r="K1233" s="46"/>
      <c r="L1233" s="10"/>
      <c r="M1233" s="20"/>
      <c r="N1233" s="20"/>
      <c r="O1233" s="20"/>
      <c r="P1233" s="20"/>
    </row>
    <row r="1234">
      <c r="A1234" s="23"/>
      <c r="B1234" s="21"/>
      <c r="C1234" s="23"/>
      <c r="D1234" s="24"/>
      <c r="E1234" s="14"/>
      <c r="F1234" s="14"/>
      <c r="G1234" s="14"/>
      <c r="H1234" s="23"/>
      <c r="I1234" s="27"/>
      <c r="J1234" s="23"/>
      <c r="K1234" s="30"/>
      <c r="L1234" s="23"/>
      <c r="M1234" s="20"/>
      <c r="N1234" s="20"/>
      <c r="O1234" s="20"/>
      <c r="P1234" s="20"/>
    </row>
    <row r="1235">
      <c r="A1235" s="10"/>
      <c r="B1235" s="11"/>
      <c r="C1235" s="10"/>
      <c r="D1235" s="13"/>
      <c r="E1235" s="14"/>
      <c r="F1235" s="14"/>
      <c r="G1235" s="14"/>
      <c r="H1235" s="10"/>
      <c r="I1235" s="17"/>
      <c r="J1235" s="10"/>
      <c r="K1235" s="46"/>
      <c r="L1235" s="10"/>
      <c r="M1235" s="20"/>
      <c r="N1235" s="20"/>
      <c r="O1235" s="20"/>
      <c r="P1235" s="20"/>
    </row>
    <row r="1236">
      <c r="A1236" s="23"/>
      <c r="B1236" s="21"/>
      <c r="C1236" s="23"/>
      <c r="D1236" s="24"/>
      <c r="E1236" s="14"/>
      <c r="F1236" s="14"/>
      <c r="G1236" s="14"/>
      <c r="H1236" s="23"/>
      <c r="I1236" s="27"/>
      <c r="J1236" s="23"/>
      <c r="K1236" s="30"/>
      <c r="L1236" s="23"/>
      <c r="M1236" s="20"/>
      <c r="N1236" s="20"/>
      <c r="O1236" s="20"/>
      <c r="P1236" s="20"/>
    </row>
    <row r="1237">
      <c r="A1237" s="10"/>
      <c r="B1237" s="11"/>
      <c r="C1237" s="10"/>
      <c r="D1237" s="13"/>
      <c r="E1237" s="14"/>
      <c r="F1237" s="14"/>
      <c r="G1237" s="14"/>
      <c r="H1237" s="10"/>
      <c r="I1237" s="17"/>
      <c r="J1237" s="10"/>
      <c r="K1237" s="46"/>
      <c r="L1237" s="10"/>
      <c r="M1237" s="20"/>
      <c r="N1237" s="20"/>
      <c r="O1237" s="20"/>
      <c r="P1237" s="20"/>
    </row>
    <row r="1238">
      <c r="A1238" s="23"/>
      <c r="B1238" s="21"/>
      <c r="C1238" s="23"/>
      <c r="D1238" s="24"/>
      <c r="E1238" s="14"/>
      <c r="F1238" s="14"/>
      <c r="G1238" s="14"/>
      <c r="H1238" s="23"/>
      <c r="I1238" s="27"/>
      <c r="J1238" s="23"/>
      <c r="K1238" s="30"/>
      <c r="L1238" s="23"/>
      <c r="M1238" s="20"/>
      <c r="N1238" s="20"/>
      <c r="O1238" s="20"/>
      <c r="P1238" s="20"/>
    </row>
    <row r="1239">
      <c r="A1239" s="10"/>
      <c r="B1239" s="11"/>
      <c r="C1239" s="10"/>
      <c r="D1239" s="13"/>
      <c r="E1239" s="14"/>
      <c r="F1239" s="14"/>
      <c r="G1239" s="14"/>
      <c r="H1239" s="10"/>
      <c r="I1239" s="17"/>
      <c r="J1239" s="10"/>
      <c r="K1239" s="46"/>
      <c r="L1239" s="10"/>
      <c r="M1239" s="20"/>
      <c r="N1239" s="20"/>
      <c r="O1239" s="20"/>
      <c r="P1239" s="20"/>
    </row>
    <row r="1240">
      <c r="A1240" s="23"/>
      <c r="B1240" s="21"/>
      <c r="C1240" s="23"/>
      <c r="D1240" s="24"/>
      <c r="E1240" s="14"/>
      <c r="F1240" s="14"/>
      <c r="G1240" s="14"/>
      <c r="H1240" s="23"/>
      <c r="I1240" s="27"/>
      <c r="J1240" s="23"/>
      <c r="K1240" s="30"/>
      <c r="L1240" s="23"/>
      <c r="M1240" s="20"/>
      <c r="N1240" s="20"/>
      <c r="O1240" s="20"/>
      <c r="P1240" s="20"/>
    </row>
    <row r="1241">
      <c r="A1241" s="10"/>
      <c r="B1241" s="11"/>
      <c r="C1241" s="10"/>
      <c r="D1241" s="13"/>
      <c r="E1241" s="14"/>
      <c r="F1241" s="14"/>
      <c r="G1241" s="14"/>
      <c r="H1241" s="10"/>
      <c r="I1241" s="17"/>
      <c r="J1241" s="10"/>
      <c r="K1241" s="46"/>
      <c r="L1241" s="10"/>
      <c r="M1241" s="20"/>
      <c r="N1241" s="20"/>
      <c r="O1241" s="20"/>
      <c r="P1241" s="20"/>
    </row>
    <row r="1242">
      <c r="A1242" s="23"/>
      <c r="B1242" s="21"/>
      <c r="C1242" s="23"/>
      <c r="D1242" s="24"/>
      <c r="E1242" s="14"/>
      <c r="F1242" s="14"/>
      <c r="G1242" s="14"/>
      <c r="H1242" s="23"/>
      <c r="I1242" s="27"/>
      <c r="J1242" s="23"/>
      <c r="K1242" s="30"/>
      <c r="L1242" s="23"/>
      <c r="M1242" s="20"/>
      <c r="N1242" s="20"/>
      <c r="O1242" s="20"/>
      <c r="P1242" s="20"/>
    </row>
    <row r="1243">
      <c r="A1243" s="10"/>
      <c r="B1243" s="11"/>
      <c r="C1243" s="10"/>
      <c r="D1243" s="13"/>
      <c r="E1243" s="14"/>
      <c r="F1243" s="14"/>
      <c r="G1243" s="14"/>
      <c r="H1243" s="10"/>
      <c r="I1243" s="17"/>
      <c r="J1243" s="10"/>
      <c r="K1243" s="46"/>
      <c r="L1243" s="10"/>
      <c r="M1243" s="20"/>
      <c r="N1243" s="20"/>
      <c r="O1243" s="20"/>
      <c r="P1243" s="20"/>
    </row>
    <row r="1244">
      <c r="A1244" s="23"/>
      <c r="B1244" s="21"/>
      <c r="C1244" s="23"/>
      <c r="D1244" s="24"/>
      <c r="E1244" s="14"/>
      <c r="F1244" s="14"/>
      <c r="G1244" s="14"/>
      <c r="H1244" s="23"/>
      <c r="I1244" s="27"/>
      <c r="J1244" s="23"/>
      <c r="K1244" s="30"/>
      <c r="L1244" s="23"/>
      <c r="M1244" s="20"/>
      <c r="N1244" s="20"/>
      <c r="O1244" s="20"/>
      <c r="P1244" s="20"/>
    </row>
    <row r="1245">
      <c r="A1245" s="10"/>
      <c r="B1245" s="11"/>
      <c r="C1245" s="10"/>
      <c r="D1245" s="13"/>
      <c r="E1245" s="14"/>
      <c r="F1245" s="14"/>
      <c r="G1245" s="14"/>
      <c r="H1245" s="10"/>
      <c r="I1245" s="17"/>
      <c r="J1245" s="10"/>
      <c r="K1245" s="46"/>
      <c r="L1245" s="10"/>
      <c r="M1245" s="20"/>
      <c r="N1245" s="20"/>
      <c r="O1245" s="20"/>
      <c r="P1245" s="20"/>
    </row>
    <row r="1246">
      <c r="A1246" s="23"/>
      <c r="B1246" s="21"/>
      <c r="C1246" s="23"/>
      <c r="D1246" s="24"/>
      <c r="E1246" s="14"/>
      <c r="F1246" s="14"/>
      <c r="G1246" s="14"/>
      <c r="H1246" s="23"/>
      <c r="I1246" s="27"/>
      <c r="J1246" s="23"/>
      <c r="K1246" s="30"/>
      <c r="L1246" s="23"/>
      <c r="M1246" s="20"/>
      <c r="N1246" s="20"/>
      <c r="O1246" s="20"/>
      <c r="P1246" s="20"/>
    </row>
    <row r="1247">
      <c r="A1247" s="10"/>
      <c r="B1247" s="11"/>
      <c r="C1247" s="10"/>
      <c r="D1247" s="13"/>
      <c r="E1247" s="14"/>
      <c r="F1247" s="14"/>
      <c r="G1247" s="14"/>
      <c r="H1247" s="10"/>
      <c r="I1247" s="17"/>
      <c r="J1247" s="10"/>
      <c r="K1247" s="46"/>
      <c r="L1247" s="10"/>
      <c r="M1247" s="20"/>
      <c r="N1247" s="20"/>
      <c r="O1247" s="20"/>
      <c r="P1247" s="20"/>
    </row>
    <row r="1248">
      <c r="A1248" s="23"/>
      <c r="B1248" s="21"/>
      <c r="C1248" s="23"/>
      <c r="D1248" s="24"/>
      <c r="E1248" s="14"/>
      <c r="F1248" s="14"/>
      <c r="G1248" s="14"/>
      <c r="H1248" s="23"/>
      <c r="I1248" s="27"/>
      <c r="J1248" s="23"/>
      <c r="K1248" s="30"/>
      <c r="L1248" s="23"/>
      <c r="M1248" s="20"/>
      <c r="N1248" s="20"/>
      <c r="O1248" s="20"/>
      <c r="P1248" s="20"/>
    </row>
    <row r="1249">
      <c r="A1249" s="10"/>
      <c r="B1249" s="11"/>
      <c r="C1249" s="10"/>
      <c r="D1249" s="13"/>
      <c r="E1249" s="14"/>
      <c r="F1249" s="14"/>
      <c r="G1249" s="14"/>
      <c r="H1249" s="10"/>
      <c r="I1249" s="17"/>
      <c r="J1249" s="10"/>
      <c r="K1249" s="46"/>
      <c r="L1249" s="10"/>
      <c r="M1249" s="20"/>
      <c r="N1249" s="20"/>
      <c r="O1249" s="20"/>
      <c r="P1249" s="20"/>
    </row>
    <row r="1250">
      <c r="A1250" s="23"/>
      <c r="B1250" s="21"/>
      <c r="C1250" s="23"/>
      <c r="D1250" s="24"/>
      <c r="E1250" s="14"/>
      <c r="F1250" s="14"/>
      <c r="G1250" s="14"/>
      <c r="H1250" s="23"/>
      <c r="I1250" s="27"/>
      <c r="J1250" s="23"/>
      <c r="K1250" s="30"/>
      <c r="L1250" s="23"/>
      <c r="M1250" s="20"/>
      <c r="N1250" s="20"/>
      <c r="O1250" s="20"/>
      <c r="P1250" s="20"/>
    </row>
    <row r="1251">
      <c r="A1251" s="10"/>
      <c r="B1251" s="11"/>
      <c r="C1251" s="10"/>
      <c r="D1251" s="13"/>
      <c r="E1251" s="14"/>
      <c r="F1251" s="14"/>
      <c r="G1251" s="14"/>
      <c r="H1251" s="10"/>
      <c r="I1251" s="17"/>
      <c r="J1251" s="10"/>
      <c r="K1251" s="46"/>
      <c r="L1251" s="10"/>
      <c r="M1251" s="20"/>
      <c r="N1251" s="20"/>
      <c r="O1251" s="20"/>
      <c r="P1251" s="20"/>
    </row>
    <row r="1252">
      <c r="A1252" s="23"/>
      <c r="B1252" s="21"/>
      <c r="C1252" s="23"/>
      <c r="D1252" s="24"/>
      <c r="E1252" s="14"/>
      <c r="F1252" s="14"/>
      <c r="G1252" s="14"/>
      <c r="H1252" s="23"/>
      <c r="I1252" s="27"/>
      <c r="J1252" s="23"/>
      <c r="K1252" s="30"/>
      <c r="L1252" s="23"/>
      <c r="M1252" s="20"/>
      <c r="N1252" s="20"/>
      <c r="O1252" s="20"/>
      <c r="P1252" s="20"/>
    </row>
    <row r="1253">
      <c r="A1253" s="10"/>
      <c r="B1253" s="11"/>
      <c r="C1253" s="10"/>
      <c r="D1253" s="13"/>
      <c r="E1253" s="14"/>
      <c r="F1253" s="14"/>
      <c r="G1253" s="14"/>
      <c r="H1253" s="10"/>
      <c r="I1253" s="17"/>
      <c r="J1253" s="10"/>
      <c r="K1253" s="46"/>
      <c r="L1253" s="10"/>
      <c r="M1253" s="20"/>
      <c r="N1253" s="20"/>
      <c r="O1253" s="20"/>
      <c r="P1253" s="20"/>
    </row>
    <row r="1254">
      <c r="A1254" s="23"/>
      <c r="B1254" s="21"/>
      <c r="C1254" s="23"/>
      <c r="D1254" s="24"/>
      <c r="E1254" s="14"/>
      <c r="F1254" s="14"/>
      <c r="G1254" s="14"/>
      <c r="H1254" s="23"/>
      <c r="I1254" s="27"/>
      <c r="J1254" s="23"/>
      <c r="K1254" s="30"/>
      <c r="L1254" s="23"/>
      <c r="M1254" s="20"/>
      <c r="N1254" s="20"/>
      <c r="O1254" s="20"/>
      <c r="P1254" s="20"/>
    </row>
    <row r="1255">
      <c r="A1255" s="10"/>
      <c r="B1255" s="11"/>
      <c r="C1255" s="10"/>
      <c r="D1255" s="13"/>
      <c r="E1255" s="14"/>
      <c r="F1255" s="14"/>
      <c r="G1255" s="14"/>
      <c r="H1255" s="10"/>
      <c r="I1255" s="17"/>
      <c r="J1255" s="10"/>
      <c r="K1255" s="46"/>
      <c r="L1255" s="10"/>
      <c r="M1255" s="20"/>
      <c r="N1255" s="20"/>
      <c r="O1255" s="20"/>
      <c r="P1255" s="20"/>
    </row>
    <row r="1256">
      <c r="A1256" s="23"/>
      <c r="B1256" s="21"/>
      <c r="C1256" s="23"/>
      <c r="D1256" s="24"/>
      <c r="E1256" s="14"/>
      <c r="F1256" s="14"/>
      <c r="G1256" s="14"/>
      <c r="H1256" s="23"/>
      <c r="I1256" s="27"/>
      <c r="J1256" s="23"/>
      <c r="K1256" s="30"/>
      <c r="L1256" s="23"/>
      <c r="M1256" s="20"/>
      <c r="N1256" s="20"/>
      <c r="O1256" s="20"/>
      <c r="P1256" s="20"/>
    </row>
    <row r="1257">
      <c r="A1257" s="10"/>
      <c r="B1257" s="11"/>
      <c r="C1257" s="10"/>
      <c r="D1257" s="13"/>
      <c r="E1257" s="14"/>
      <c r="F1257" s="14"/>
      <c r="G1257" s="14"/>
      <c r="H1257" s="10"/>
      <c r="I1257" s="17"/>
      <c r="J1257" s="10"/>
      <c r="K1257" s="46"/>
      <c r="L1257" s="10"/>
      <c r="M1257" s="20"/>
      <c r="N1257" s="20"/>
      <c r="O1257" s="20"/>
      <c r="P1257" s="20"/>
    </row>
    <row r="1258">
      <c r="A1258" s="23"/>
      <c r="B1258" s="21"/>
      <c r="C1258" s="23"/>
      <c r="D1258" s="24"/>
      <c r="E1258" s="14"/>
      <c r="F1258" s="14"/>
      <c r="G1258" s="14"/>
      <c r="H1258" s="23"/>
      <c r="I1258" s="27"/>
      <c r="J1258" s="23"/>
      <c r="K1258" s="30"/>
      <c r="L1258" s="23"/>
      <c r="M1258" s="20"/>
      <c r="N1258" s="20"/>
      <c r="O1258" s="20"/>
      <c r="P1258" s="20"/>
    </row>
    <row r="1259">
      <c r="A1259" s="10"/>
      <c r="B1259" s="11"/>
      <c r="C1259" s="10"/>
      <c r="D1259" s="13"/>
      <c r="E1259" s="14"/>
      <c r="F1259" s="14"/>
      <c r="G1259" s="14"/>
      <c r="H1259" s="10"/>
      <c r="I1259" s="17"/>
      <c r="J1259" s="10"/>
      <c r="K1259" s="46"/>
      <c r="L1259" s="10"/>
      <c r="M1259" s="20"/>
      <c r="N1259" s="20"/>
      <c r="O1259" s="20"/>
      <c r="P1259" s="20"/>
    </row>
    <row r="1260">
      <c r="A1260" s="23"/>
      <c r="B1260" s="21"/>
      <c r="C1260" s="23"/>
      <c r="D1260" s="24"/>
      <c r="E1260" s="14"/>
      <c r="F1260" s="14"/>
      <c r="G1260" s="14"/>
      <c r="H1260" s="23"/>
      <c r="I1260" s="27"/>
      <c r="J1260" s="23"/>
      <c r="K1260" s="30"/>
      <c r="L1260" s="23"/>
      <c r="M1260" s="20"/>
      <c r="N1260" s="20"/>
      <c r="O1260" s="20"/>
      <c r="P1260" s="20"/>
    </row>
    <row r="1261">
      <c r="A1261" s="10"/>
      <c r="B1261" s="11"/>
      <c r="C1261" s="10"/>
      <c r="D1261" s="13"/>
      <c r="E1261" s="14"/>
      <c r="F1261" s="14"/>
      <c r="G1261" s="14"/>
      <c r="H1261" s="10"/>
      <c r="I1261" s="17"/>
      <c r="J1261" s="10"/>
      <c r="K1261" s="46"/>
      <c r="L1261" s="10"/>
      <c r="M1261" s="20"/>
      <c r="N1261" s="20"/>
      <c r="O1261" s="20"/>
      <c r="P1261" s="20"/>
    </row>
    <row r="1262">
      <c r="A1262" s="23"/>
      <c r="B1262" s="21"/>
      <c r="C1262" s="23"/>
      <c r="D1262" s="24"/>
      <c r="E1262" s="14"/>
      <c r="F1262" s="14"/>
      <c r="G1262" s="14"/>
      <c r="H1262" s="23"/>
      <c r="I1262" s="27"/>
      <c r="J1262" s="23"/>
      <c r="K1262" s="30"/>
      <c r="L1262" s="23"/>
      <c r="M1262" s="20"/>
      <c r="N1262" s="20"/>
      <c r="O1262" s="20"/>
      <c r="P1262" s="20"/>
    </row>
    <row r="1263">
      <c r="A1263" s="10"/>
      <c r="B1263" s="11"/>
      <c r="C1263" s="10"/>
      <c r="D1263" s="13"/>
      <c r="E1263" s="14"/>
      <c r="F1263" s="14"/>
      <c r="G1263" s="14"/>
      <c r="H1263" s="10"/>
      <c r="I1263" s="17"/>
      <c r="J1263" s="10"/>
      <c r="K1263" s="46"/>
      <c r="L1263" s="10"/>
      <c r="M1263" s="20"/>
      <c r="N1263" s="20"/>
      <c r="O1263" s="20"/>
      <c r="P1263" s="20"/>
    </row>
    <row r="1264">
      <c r="A1264" s="23"/>
      <c r="B1264" s="21"/>
      <c r="C1264" s="23"/>
      <c r="D1264" s="24"/>
      <c r="E1264" s="14"/>
      <c r="F1264" s="14"/>
      <c r="G1264" s="14"/>
      <c r="H1264" s="23"/>
      <c r="I1264" s="27"/>
      <c r="J1264" s="23"/>
      <c r="K1264" s="30"/>
      <c r="L1264" s="23"/>
      <c r="M1264" s="20"/>
      <c r="N1264" s="20"/>
      <c r="O1264" s="20"/>
      <c r="P1264" s="20"/>
    </row>
    <row r="1265">
      <c r="A1265" s="10"/>
      <c r="B1265" s="11"/>
      <c r="C1265" s="10"/>
      <c r="D1265" s="13"/>
      <c r="E1265" s="14"/>
      <c r="F1265" s="14"/>
      <c r="G1265" s="14"/>
      <c r="H1265" s="10"/>
      <c r="I1265" s="17"/>
      <c r="J1265" s="10"/>
      <c r="K1265" s="46"/>
      <c r="L1265" s="10"/>
      <c r="M1265" s="20"/>
      <c r="N1265" s="20"/>
      <c r="O1265" s="20"/>
      <c r="P1265" s="20"/>
    </row>
    <row r="1266">
      <c r="A1266" s="23"/>
      <c r="B1266" s="21"/>
      <c r="C1266" s="23"/>
      <c r="D1266" s="24"/>
      <c r="E1266" s="14"/>
      <c r="F1266" s="14"/>
      <c r="G1266" s="14"/>
      <c r="H1266" s="23"/>
      <c r="I1266" s="27"/>
      <c r="J1266" s="23"/>
      <c r="K1266" s="30"/>
      <c r="L1266" s="23"/>
      <c r="M1266" s="20"/>
      <c r="N1266" s="20"/>
      <c r="O1266" s="20"/>
      <c r="P1266" s="20"/>
    </row>
    <row r="1267">
      <c r="A1267" s="10"/>
      <c r="B1267" s="11"/>
      <c r="C1267" s="10"/>
      <c r="D1267" s="13"/>
      <c r="E1267" s="14"/>
      <c r="F1267" s="14"/>
      <c r="G1267" s="14"/>
      <c r="H1267" s="10"/>
      <c r="I1267" s="17"/>
      <c r="J1267" s="10"/>
      <c r="K1267" s="46"/>
      <c r="L1267" s="10"/>
      <c r="M1267" s="20"/>
      <c r="N1267" s="20"/>
      <c r="O1267" s="20"/>
      <c r="P1267" s="20"/>
    </row>
    <row r="1268">
      <c r="A1268" s="23"/>
      <c r="B1268" s="21"/>
      <c r="C1268" s="23"/>
      <c r="D1268" s="24"/>
      <c r="E1268" s="14"/>
      <c r="F1268" s="14"/>
      <c r="G1268" s="14"/>
      <c r="H1268" s="23"/>
      <c r="I1268" s="27"/>
      <c r="J1268" s="23"/>
      <c r="K1268" s="30"/>
      <c r="L1268" s="23"/>
      <c r="M1268" s="20"/>
      <c r="N1268" s="20"/>
      <c r="O1268" s="20"/>
      <c r="P1268" s="20"/>
    </row>
    <row r="1269">
      <c r="A1269" s="10"/>
      <c r="B1269" s="11"/>
      <c r="C1269" s="10"/>
      <c r="D1269" s="13"/>
      <c r="E1269" s="14"/>
      <c r="F1269" s="14"/>
      <c r="G1269" s="14"/>
      <c r="H1269" s="10"/>
      <c r="I1269" s="17"/>
      <c r="J1269" s="10"/>
      <c r="K1269" s="46"/>
      <c r="L1269" s="10"/>
      <c r="M1269" s="20"/>
      <c r="N1269" s="20"/>
      <c r="O1269" s="20"/>
      <c r="P1269" s="20"/>
    </row>
    <row r="1270">
      <c r="A1270" s="23"/>
      <c r="B1270" s="21"/>
      <c r="C1270" s="23"/>
      <c r="D1270" s="24"/>
      <c r="E1270" s="14"/>
      <c r="F1270" s="14"/>
      <c r="G1270" s="14"/>
      <c r="H1270" s="23"/>
      <c r="I1270" s="27"/>
      <c r="J1270" s="23"/>
      <c r="K1270" s="30"/>
      <c r="L1270" s="23"/>
      <c r="M1270" s="20"/>
      <c r="N1270" s="20"/>
      <c r="O1270" s="20"/>
      <c r="P1270" s="20"/>
    </row>
    <row r="1271">
      <c r="A1271" s="10"/>
      <c r="B1271" s="11"/>
      <c r="C1271" s="10"/>
      <c r="D1271" s="13"/>
      <c r="E1271" s="14"/>
      <c r="F1271" s="14"/>
      <c r="G1271" s="14"/>
      <c r="H1271" s="10"/>
      <c r="I1271" s="17"/>
      <c r="J1271" s="10"/>
      <c r="K1271" s="46"/>
      <c r="L1271" s="10"/>
      <c r="M1271" s="20"/>
      <c r="N1271" s="20"/>
      <c r="O1271" s="20"/>
      <c r="P1271" s="20"/>
    </row>
    <row r="1272">
      <c r="A1272" s="23"/>
      <c r="B1272" s="21"/>
      <c r="C1272" s="23"/>
      <c r="D1272" s="24"/>
      <c r="E1272" s="14"/>
      <c r="F1272" s="14"/>
      <c r="G1272" s="14"/>
      <c r="H1272" s="23"/>
      <c r="I1272" s="27"/>
      <c r="J1272" s="23"/>
      <c r="K1272" s="30"/>
      <c r="L1272" s="23"/>
      <c r="M1272" s="20"/>
      <c r="N1272" s="20"/>
      <c r="O1272" s="20"/>
      <c r="P1272" s="20"/>
    </row>
    <row r="1273">
      <c r="A1273" s="10"/>
      <c r="B1273" s="11"/>
      <c r="C1273" s="10"/>
      <c r="D1273" s="13"/>
      <c r="E1273" s="14"/>
      <c r="F1273" s="14"/>
      <c r="G1273" s="14"/>
      <c r="H1273" s="10"/>
      <c r="I1273" s="17"/>
      <c r="J1273" s="10"/>
      <c r="K1273" s="46"/>
      <c r="L1273" s="10"/>
      <c r="M1273" s="20"/>
      <c r="N1273" s="20"/>
      <c r="O1273" s="20"/>
      <c r="P1273" s="20"/>
    </row>
    <row r="1274">
      <c r="A1274" s="23"/>
      <c r="B1274" s="21"/>
      <c r="C1274" s="23"/>
      <c r="D1274" s="24"/>
      <c r="E1274" s="14"/>
      <c r="F1274" s="14"/>
      <c r="G1274" s="14"/>
      <c r="H1274" s="23"/>
      <c r="I1274" s="27"/>
      <c r="J1274" s="23"/>
      <c r="K1274" s="30"/>
      <c r="L1274" s="23"/>
      <c r="M1274" s="20"/>
      <c r="N1274" s="20"/>
      <c r="O1274" s="20"/>
      <c r="P1274" s="20"/>
    </row>
    <row r="1275">
      <c r="A1275" s="10"/>
      <c r="B1275" s="11"/>
      <c r="C1275" s="10"/>
      <c r="D1275" s="13"/>
      <c r="E1275" s="14"/>
      <c r="F1275" s="14"/>
      <c r="G1275" s="14"/>
      <c r="H1275" s="10"/>
      <c r="I1275" s="17"/>
      <c r="J1275" s="10"/>
      <c r="K1275" s="46"/>
      <c r="L1275" s="10"/>
      <c r="M1275" s="20"/>
      <c r="N1275" s="20"/>
      <c r="O1275" s="20"/>
      <c r="P1275" s="20"/>
    </row>
    <row r="1276">
      <c r="A1276" s="23"/>
      <c r="B1276" s="21"/>
      <c r="C1276" s="23"/>
      <c r="D1276" s="24"/>
      <c r="E1276" s="14"/>
      <c r="F1276" s="14"/>
      <c r="G1276" s="14"/>
      <c r="H1276" s="23"/>
      <c r="I1276" s="27"/>
      <c r="J1276" s="23"/>
      <c r="K1276" s="30"/>
      <c r="L1276" s="23"/>
      <c r="M1276" s="20"/>
      <c r="N1276" s="20"/>
      <c r="O1276" s="20"/>
      <c r="P1276" s="20"/>
    </row>
    <row r="1277">
      <c r="A1277" s="10"/>
      <c r="B1277" s="11"/>
      <c r="C1277" s="10"/>
      <c r="D1277" s="13"/>
      <c r="E1277" s="14"/>
      <c r="F1277" s="14"/>
      <c r="G1277" s="14"/>
      <c r="H1277" s="10"/>
      <c r="I1277" s="17"/>
      <c r="J1277" s="10"/>
      <c r="K1277" s="46"/>
      <c r="L1277" s="10"/>
      <c r="M1277" s="20"/>
      <c r="N1277" s="20"/>
      <c r="O1277" s="20"/>
      <c r="P1277" s="20"/>
    </row>
    <row r="1278">
      <c r="A1278" s="23"/>
      <c r="B1278" s="21"/>
      <c r="C1278" s="23"/>
      <c r="D1278" s="24"/>
      <c r="E1278" s="14"/>
      <c r="F1278" s="14"/>
      <c r="G1278" s="14"/>
      <c r="H1278" s="23"/>
      <c r="I1278" s="27"/>
      <c r="J1278" s="23"/>
      <c r="K1278" s="30"/>
      <c r="L1278" s="23"/>
      <c r="M1278" s="20"/>
      <c r="N1278" s="20"/>
      <c r="O1278" s="20"/>
      <c r="P1278" s="20"/>
    </row>
    <row r="1279">
      <c r="A1279" s="10"/>
      <c r="B1279" s="11"/>
      <c r="C1279" s="10"/>
      <c r="D1279" s="13"/>
      <c r="E1279" s="14"/>
      <c r="F1279" s="14"/>
      <c r="G1279" s="14"/>
      <c r="H1279" s="10"/>
      <c r="I1279" s="17"/>
      <c r="J1279" s="10"/>
      <c r="K1279" s="46"/>
      <c r="L1279" s="10"/>
      <c r="M1279" s="20"/>
      <c r="N1279" s="20"/>
      <c r="O1279" s="20"/>
      <c r="P1279" s="20"/>
    </row>
    <row r="1280">
      <c r="A1280" s="23"/>
      <c r="B1280" s="21"/>
      <c r="C1280" s="23"/>
      <c r="D1280" s="24"/>
      <c r="E1280" s="14"/>
      <c r="F1280" s="14"/>
      <c r="G1280" s="14"/>
      <c r="H1280" s="23"/>
      <c r="I1280" s="27"/>
      <c r="J1280" s="23"/>
      <c r="K1280" s="30"/>
      <c r="L1280" s="23"/>
      <c r="M1280" s="20"/>
      <c r="N1280" s="20"/>
      <c r="O1280" s="20"/>
      <c r="P1280" s="20"/>
    </row>
    <row r="1281">
      <c r="A1281" s="10"/>
      <c r="B1281" s="11"/>
      <c r="C1281" s="10"/>
      <c r="D1281" s="13"/>
      <c r="E1281" s="14"/>
      <c r="F1281" s="14"/>
      <c r="G1281" s="14"/>
      <c r="H1281" s="10"/>
      <c r="I1281" s="17"/>
      <c r="J1281" s="10"/>
      <c r="K1281" s="46"/>
      <c r="L1281" s="10"/>
      <c r="M1281" s="20"/>
      <c r="N1281" s="20"/>
      <c r="O1281" s="20"/>
      <c r="P1281" s="20"/>
    </row>
    <row r="1282">
      <c r="A1282" s="23"/>
      <c r="B1282" s="21"/>
      <c r="C1282" s="23"/>
      <c r="D1282" s="24"/>
      <c r="E1282" s="14"/>
      <c r="F1282" s="14"/>
      <c r="G1282" s="14"/>
      <c r="H1282" s="23"/>
      <c r="I1282" s="27"/>
      <c r="J1282" s="23"/>
      <c r="K1282" s="30"/>
      <c r="L1282" s="23"/>
      <c r="M1282" s="20"/>
      <c r="N1282" s="20"/>
      <c r="O1282" s="20"/>
      <c r="P1282" s="20"/>
    </row>
    <row r="1283">
      <c r="A1283" s="10"/>
      <c r="B1283" s="11"/>
      <c r="C1283" s="10"/>
      <c r="D1283" s="13"/>
      <c r="E1283" s="14"/>
      <c r="F1283" s="14"/>
      <c r="G1283" s="14"/>
      <c r="H1283" s="10"/>
      <c r="I1283" s="17"/>
      <c r="J1283" s="10"/>
      <c r="K1283" s="46"/>
      <c r="L1283" s="10"/>
      <c r="M1283" s="20"/>
      <c r="N1283" s="20"/>
      <c r="O1283" s="20"/>
      <c r="P1283" s="20"/>
    </row>
    <row r="1284">
      <c r="A1284" s="23"/>
      <c r="B1284" s="21"/>
      <c r="C1284" s="23"/>
      <c r="D1284" s="24"/>
      <c r="E1284" s="14"/>
      <c r="F1284" s="14"/>
      <c r="G1284" s="14"/>
      <c r="H1284" s="23"/>
      <c r="I1284" s="27"/>
      <c r="J1284" s="23"/>
      <c r="K1284" s="30"/>
      <c r="L1284" s="23"/>
      <c r="M1284" s="20"/>
      <c r="N1284" s="20"/>
      <c r="O1284" s="20"/>
      <c r="P1284" s="20"/>
    </row>
    <row r="1285">
      <c r="A1285" s="10"/>
      <c r="B1285" s="11"/>
      <c r="C1285" s="10"/>
      <c r="D1285" s="13"/>
      <c r="E1285" s="14"/>
      <c r="F1285" s="14"/>
      <c r="G1285" s="14"/>
      <c r="H1285" s="10"/>
      <c r="I1285" s="17"/>
      <c r="J1285" s="10"/>
      <c r="K1285" s="46"/>
      <c r="L1285" s="10"/>
      <c r="M1285" s="20"/>
      <c r="N1285" s="20"/>
      <c r="O1285" s="20"/>
      <c r="P1285" s="20"/>
    </row>
    <row r="1286">
      <c r="A1286" s="23"/>
      <c r="B1286" s="21"/>
      <c r="C1286" s="23"/>
      <c r="D1286" s="24"/>
      <c r="E1286" s="14"/>
      <c r="F1286" s="14"/>
      <c r="G1286" s="14"/>
      <c r="H1286" s="23"/>
      <c r="I1286" s="27"/>
      <c r="J1286" s="23"/>
      <c r="K1286" s="30"/>
      <c r="L1286" s="23"/>
      <c r="M1286" s="20"/>
      <c r="N1286" s="20"/>
      <c r="O1286" s="20"/>
      <c r="P1286" s="20"/>
    </row>
    <row r="1287">
      <c r="A1287" s="10"/>
      <c r="B1287" s="11"/>
      <c r="C1287" s="10"/>
      <c r="D1287" s="13"/>
      <c r="E1287" s="14"/>
      <c r="F1287" s="14"/>
      <c r="G1287" s="14"/>
      <c r="H1287" s="10"/>
      <c r="I1287" s="17"/>
      <c r="J1287" s="10"/>
      <c r="K1287" s="46"/>
      <c r="L1287" s="10"/>
      <c r="M1287" s="20"/>
      <c r="N1287" s="20"/>
      <c r="O1287" s="20"/>
      <c r="P1287" s="20"/>
    </row>
    <row r="1288">
      <c r="A1288" s="23"/>
      <c r="B1288" s="21"/>
      <c r="C1288" s="23"/>
      <c r="D1288" s="24"/>
      <c r="E1288" s="14"/>
      <c r="F1288" s="14"/>
      <c r="G1288" s="14"/>
      <c r="H1288" s="23"/>
      <c r="I1288" s="27"/>
      <c r="J1288" s="23"/>
      <c r="K1288" s="30"/>
      <c r="L1288" s="23"/>
      <c r="M1288" s="20"/>
      <c r="N1288" s="20"/>
      <c r="O1288" s="20"/>
      <c r="P1288" s="20"/>
    </row>
    <row r="1289">
      <c r="A1289" s="10"/>
      <c r="B1289" s="11"/>
      <c r="C1289" s="10"/>
      <c r="D1289" s="13"/>
      <c r="E1289" s="14"/>
      <c r="F1289" s="14"/>
      <c r="G1289" s="14"/>
      <c r="H1289" s="10"/>
      <c r="I1289" s="17"/>
      <c r="J1289" s="10"/>
      <c r="K1289" s="46"/>
      <c r="L1289" s="10"/>
      <c r="M1289" s="20"/>
      <c r="N1289" s="20"/>
      <c r="O1289" s="20"/>
      <c r="P1289" s="20"/>
    </row>
    <row r="1290">
      <c r="A1290" s="23"/>
      <c r="B1290" s="21"/>
      <c r="C1290" s="23"/>
      <c r="D1290" s="24"/>
      <c r="E1290" s="14"/>
      <c r="F1290" s="14"/>
      <c r="G1290" s="14"/>
      <c r="H1290" s="23"/>
      <c r="I1290" s="27"/>
      <c r="J1290" s="23"/>
      <c r="K1290" s="30"/>
      <c r="L1290" s="23"/>
      <c r="M1290" s="20"/>
      <c r="N1290" s="20"/>
      <c r="O1290" s="20"/>
      <c r="P1290" s="20"/>
    </row>
    <row r="1291">
      <c r="A1291" s="10"/>
      <c r="B1291" s="11"/>
      <c r="C1291" s="10"/>
      <c r="D1291" s="13"/>
      <c r="E1291" s="14"/>
      <c r="F1291" s="14"/>
      <c r="G1291" s="14"/>
      <c r="H1291" s="10"/>
      <c r="I1291" s="17"/>
      <c r="J1291" s="10"/>
      <c r="K1291" s="46"/>
      <c r="L1291" s="10"/>
      <c r="M1291" s="20"/>
      <c r="N1291" s="20"/>
      <c r="O1291" s="20"/>
      <c r="P1291" s="20"/>
    </row>
    <row r="1292">
      <c r="A1292" s="23"/>
      <c r="B1292" s="21"/>
      <c r="C1292" s="23"/>
      <c r="D1292" s="24"/>
      <c r="E1292" s="14"/>
      <c r="F1292" s="14"/>
      <c r="G1292" s="14"/>
      <c r="H1292" s="23"/>
      <c r="I1292" s="27"/>
      <c r="J1292" s="23"/>
      <c r="K1292" s="30"/>
      <c r="L1292" s="23"/>
      <c r="M1292" s="20"/>
      <c r="N1292" s="20"/>
      <c r="O1292" s="20"/>
      <c r="P1292" s="20"/>
    </row>
    <row r="1293">
      <c r="A1293" s="10"/>
      <c r="B1293" s="11"/>
      <c r="C1293" s="10"/>
      <c r="D1293" s="13"/>
      <c r="E1293" s="14"/>
      <c r="F1293" s="14"/>
      <c r="G1293" s="14"/>
      <c r="H1293" s="10"/>
      <c r="I1293" s="17"/>
      <c r="J1293" s="10"/>
      <c r="K1293" s="46"/>
      <c r="L1293" s="10"/>
      <c r="M1293" s="20"/>
      <c r="N1293" s="20"/>
      <c r="O1293" s="20"/>
      <c r="P1293" s="20"/>
    </row>
    <row r="1294">
      <c r="A1294" s="23"/>
      <c r="B1294" s="21"/>
      <c r="C1294" s="23"/>
      <c r="D1294" s="24"/>
      <c r="E1294" s="14"/>
      <c r="F1294" s="14"/>
      <c r="G1294" s="14"/>
      <c r="H1294" s="23"/>
      <c r="I1294" s="27"/>
      <c r="J1294" s="23"/>
      <c r="K1294" s="30"/>
      <c r="L1294" s="23"/>
      <c r="M1294" s="20"/>
      <c r="N1294" s="20"/>
      <c r="O1294" s="20"/>
      <c r="P1294" s="20"/>
    </row>
    <row r="1295">
      <c r="A1295" s="10"/>
      <c r="B1295" s="11"/>
      <c r="C1295" s="10"/>
      <c r="D1295" s="13"/>
      <c r="E1295" s="14"/>
      <c r="F1295" s="14"/>
      <c r="G1295" s="14"/>
      <c r="H1295" s="10"/>
      <c r="I1295" s="17"/>
      <c r="J1295" s="10"/>
      <c r="K1295" s="46"/>
      <c r="L1295" s="10"/>
      <c r="M1295" s="20"/>
      <c r="N1295" s="20"/>
      <c r="O1295" s="20"/>
      <c r="P1295" s="20"/>
    </row>
    <row r="1296">
      <c r="A1296" s="23"/>
      <c r="B1296" s="21"/>
      <c r="C1296" s="23"/>
      <c r="D1296" s="24"/>
      <c r="E1296" s="14"/>
      <c r="F1296" s="14"/>
      <c r="G1296" s="14"/>
      <c r="H1296" s="23"/>
      <c r="I1296" s="27"/>
      <c r="J1296" s="23"/>
      <c r="K1296" s="30"/>
      <c r="L1296" s="23"/>
      <c r="M1296" s="20"/>
      <c r="N1296" s="20"/>
      <c r="O1296" s="20"/>
      <c r="P1296" s="20"/>
    </row>
    <row r="1297">
      <c r="A1297" s="10"/>
      <c r="B1297" s="11"/>
      <c r="C1297" s="10"/>
      <c r="D1297" s="13"/>
      <c r="E1297" s="14"/>
      <c r="F1297" s="14"/>
      <c r="G1297" s="14"/>
      <c r="H1297" s="10"/>
      <c r="I1297" s="17"/>
      <c r="J1297" s="10"/>
      <c r="K1297" s="46"/>
      <c r="L1297" s="10"/>
      <c r="M1297" s="20"/>
      <c r="N1297" s="20"/>
      <c r="O1297" s="20"/>
      <c r="P1297" s="20"/>
    </row>
    <row r="1298">
      <c r="A1298" s="23"/>
      <c r="B1298" s="21"/>
      <c r="C1298" s="23"/>
      <c r="D1298" s="24"/>
      <c r="E1298" s="14"/>
      <c r="F1298" s="14"/>
      <c r="G1298" s="14"/>
      <c r="H1298" s="23"/>
      <c r="I1298" s="27"/>
      <c r="J1298" s="23"/>
      <c r="K1298" s="30"/>
      <c r="L1298" s="23"/>
      <c r="M1298" s="20"/>
      <c r="N1298" s="20"/>
      <c r="O1298" s="20"/>
      <c r="P1298" s="20"/>
    </row>
    <row r="1299">
      <c r="A1299" s="10"/>
      <c r="B1299" s="11"/>
      <c r="C1299" s="10"/>
      <c r="D1299" s="13"/>
      <c r="E1299" s="14"/>
      <c r="F1299" s="14"/>
      <c r="G1299" s="14"/>
      <c r="H1299" s="10"/>
      <c r="I1299" s="17"/>
      <c r="J1299" s="10"/>
      <c r="K1299" s="46"/>
      <c r="L1299" s="10"/>
      <c r="M1299" s="20"/>
      <c r="N1299" s="20"/>
      <c r="O1299" s="20"/>
      <c r="P1299" s="20"/>
    </row>
    <row r="1300">
      <c r="A1300" s="23"/>
      <c r="B1300" s="21"/>
      <c r="C1300" s="23"/>
      <c r="D1300" s="24"/>
      <c r="E1300" s="14"/>
      <c r="F1300" s="14"/>
      <c r="G1300" s="14"/>
      <c r="H1300" s="23"/>
      <c r="I1300" s="27"/>
      <c r="J1300" s="23"/>
      <c r="K1300" s="30"/>
      <c r="L1300" s="23"/>
      <c r="M1300" s="20"/>
      <c r="N1300" s="20"/>
      <c r="O1300" s="20"/>
      <c r="P1300" s="20"/>
    </row>
    <row r="1301">
      <c r="A1301" s="10"/>
      <c r="B1301" s="11"/>
      <c r="C1301" s="10"/>
      <c r="D1301" s="13"/>
      <c r="E1301" s="14"/>
      <c r="F1301" s="14"/>
      <c r="G1301" s="14"/>
      <c r="H1301" s="10"/>
      <c r="I1301" s="17"/>
      <c r="J1301" s="10"/>
      <c r="K1301" s="46"/>
      <c r="L1301" s="10"/>
      <c r="M1301" s="20"/>
      <c r="N1301" s="20"/>
      <c r="O1301" s="20"/>
      <c r="P1301" s="20"/>
    </row>
    <row r="1302">
      <c r="A1302" s="23"/>
      <c r="B1302" s="21"/>
      <c r="C1302" s="23"/>
      <c r="D1302" s="24"/>
      <c r="E1302" s="14"/>
      <c r="F1302" s="14"/>
      <c r="G1302" s="14"/>
      <c r="H1302" s="23"/>
      <c r="I1302" s="27"/>
      <c r="J1302" s="23"/>
      <c r="K1302" s="30"/>
      <c r="L1302" s="23"/>
      <c r="M1302" s="20"/>
      <c r="N1302" s="20"/>
      <c r="O1302" s="20"/>
      <c r="P1302" s="20"/>
    </row>
    <row r="1303">
      <c r="A1303" s="10"/>
      <c r="B1303" s="11"/>
      <c r="C1303" s="10"/>
      <c r="D1303" s="13"/>
      <c r="E1303" s="14"/>
      <c r="F1303" s="14"/>
      <c r="G1303" s="14"/>
      <c r="H1303" s="10"/>
      <c r="I1303" s="17"/>
      <c r="J1303" s="10"/>
      <c r="K1303" s="46"/>
      <c r="L1303" s="10"/>
      <c r="M1303" s="20"/>
      <c r="N1303" s="20"/>
      <c r="O1303" s="20"/>
      <c r="P1303" s="20"/>
    </row>
    <row r="1304">
      <c r="A1304" s="23"/>
      <c r="B1304" s="21"/>
      <c r="C1304" s="23"/>
      <c r="D1304" s="24"/>
      <c r="E1304" s="14"/>
      <c r="F1304" s="14"/>
      <c r="G1304" s="14"/>
      <c r="H1304" s="23"/>
      <c r="I1304" s="27"/>
      <c r="J1304" s="23"/>
      <c r="K1304" s="30"/>
      <c r="L1304" s="23"/>
      <c r="M1304" s="20"/>
      <c r="N1304" s="20"/>
      <c r="O1304" s="20"/>
      <c r="P1304" s="20"/>
    </row>
    <row r="1305">
      <c r="A1305" s="10"/>
      <c r="B1305" s="11"/>
      <c r="C1305" s="10"/>
      <c r="D1305" s="13"/>
      <c r="E1305" s="14"/>
      <c r="F1305" s="14"/>
      <c r="G1305" s="14"/>
      <c r="H1305" s="10"/>
      <c r="I1305" s="17"/>
      <c r="J1305" s="10"/>
      <c r="K1305" s="46"/>
      <c r="L1305" s="10"/>
      <c r="M1305" s="20"/>
      <c r="N1305" s="20"/>
      <c r="O1305" s="20"/>
      <c r="P1305" s="20"/>
    </row>
    <row r="1306">
      <c r="A1306" s="23"/>
      <c r="B1306" s="21"/>
      <c r="C1306" s="23"/>
      <c r="D1306" s="24"/>
      <c r="E1306" s="14"/>
      <c r="F1306" s="14"/>
      <c r="G1306" s="14"/>
      <c r="H1306" s="23"/>
      <c r="I1306" s="27"/>
      <c r="J1306" s="23"/>
      <c r="K1306" s="30"/>
      <c r="L1306" s="23"/>
      <c r="M1306" s="20"/>
      <c r="N1306" s="20"/>
      <c r="O1306" s="20"/>
      <c r="P1306" s="20"/>
    </row>
    <row r="1307">
      <c r="A1307" s="10"/>
      <c r="B1307" s="11"/>
      <c r="C1307" s="10"/>
      <c r="D1307" s="13"/>
      <c r="E1307" s="14"/>
      <c r="F1307" s="14"/>
      <c r="G1307" s="14"/>
      <c r="H1307" s="10"/>
      <c r="I1307" s="17"/>
      <c r="J1307" s="10"/>
      <c r="K1307" s="46"/>
      <c r="L1307" s="10"/>
      <c r="M1307" s="20"/>
      <c r="N1307" s="20"/>
      <c r="O1307" s="20"/>
      <c r="P1307" s="20"/>
    </row>
    <row r="1308">
      <c r="A1308" s="23"/>
      <c r="B1308" s="21"/>
      <c r="C1308" s="23"/>
      <c r="D1308" s="24"/>
      <c r="E1308" s="14"/>
      <c r="F1308" s="14"/>
      <c r="G1308" s="14"/>
      <c r="H1308" s="23"/>
      <c r="I1308" s="27"/>
      <c r="J1308" s="23"/>
      <c r="K1308" s="30"/>
      <c r="L1308" s="23"/>
      <c r="M1308" s="20"/>
      <c r="N1308" s="20"/>
      <c r="O1308" s="20"/>
      <c r="P1308" s="20"/>
    </row>
    <row r="1309">
      <c r="A1309" s="10"/>
      <c r="B1309" s="11"/>
      <c r="C1309" s="10"/>
      <c r="D1309" s="13"/>
      <c r="E1309" s="14"/>
      <c r="F1309" s="14"/>
      <c r="G1309" s="14"/>
      <c r="H1309" s="10"/>
      <c r="I1309" s="17"/>
      <c r="J1309" s="10"/>
      <c r="K1309" s="46"/>
      <c r="L1309" s="10"/>
      <c r="M1309" s="20"/>
      <c r="N1309" s="20"/>
      <c r="O1309" s="20"/>
      <c r="P1309" s="20"/>
    </row>
    <row r="1310">
      <c r="A1310" s="23"/>
      <c r="B1310" s="21"/>
      <c r="C1310" s="23"/>
      <c r="D1310" s="24"/>
      <c r="E1310" s="14"/>
      <c r="F1310" s="14"/>
      <c r="G1310" s="14"/>
      <c r="H1310" s="23"/>
      <c r="I1310" s="27"/>
      <c r="J1310" s="23"/>
      <c r="K1310" s="30"/>
      <c r="L1310" s="23"/>
      <c r="M1310" s="20"/>
      <c r="N1310" s="20"/>
      <c r="O1310" s="20"/>
      <c r="P1310" s="20"/>
    </row>
    <row r="1311">
      <c r="A1311" s="10"/>
      <c r="B1311" s="11"/>
      <c r="C1311" s="10"/>
      <c r="D1311" s="13"/>
      <c r="E1311" s="14"/>
      <c r="F1311" s="14"/>
      <c r="G1311" s="14"/>
      <c r="H1311" s="10"/>
      <c r="I1311" s="17"/>
      <c r="J1311" s="10"/>
      <c r="K1311" s="46"/>
      <c r="L1311" s="10"/>
      <c r="M1311" s="20"/>
      <c r="N1311" s="20"/>
      <c r="O1311" s="20"/>
      <c r="P1311" s="20"/>
    </row>
    <row r="1312">
      <c r="A1312" s="23"/>
      <c r="B1312" s="21"/>
      <c r="C1312" s="23"/>
      <c r="D1312" s="24"/>
      <c r="E1312" s="14"/>
      <c r="F1312" s="14"/>
      <c r="G1312" s="14"/>
      <c r="H1312" s="23"/>
      <c r="I1312" s="27"/>
      <c r="J1312" s="23"/>
      <c r="K1312" s="30"/>
      <c r="L1312" s="23"/>
      <c r="M1312" s="20"/>
      <c r="N1312" s="20"/>
      <c r="O1312" s="20"/>
      <c r="P1312" s="20"/>
    </row>
    <row r="1313">
      <c r="A1313" s="10"/>
      <c r="B1313" s="11"/>
      <c r="C1313" s="10"/>
      <c r="D1313" s="13"/>
      <c r="E1313" s="14"/>
      <c r="F1313" s="14"/>
      <c r="G1313" s="14"/>
      <c r="H1313" s="10"/>
      <c r="I1313" s="17"/>
      <c r="J1313" s="10"/>
      <c r="K1313" s="46"/>
      <c r="L1313" s="10"/>
      <c r="M1313" s="20"/>
      <c r="N1313" s="20"/>
      <c r="O1313" s="20"/>
      <c r="P1313" s="20"/>
    </row>
    <row r="1314">
      <c r="A1314" s="23"/>
      <c r="B1314" s="21"/>
      <c r="C1314" s="23"/>
      <c r="D1314" s="24"/>
      <c r="E1314" s="14"/>
      <c r="F1314" s="14"/>
      <c r="G1314" s="14"/>
      <c r="H1314" s="23"/>
      <c r="I1314" s="27"/>
      <c r="J1314" s="23"/>
      <c r="K1314" s="30"/>
      <c r="L1314" s="23"/>
      <c r="M1314" s="20"/>
      <c r="N1314" s="20"/>
      <c r="O1314" s="20"/>
      <c r="P1314" s="20"/>
    </row>
    <row r="1315">
      <c r="A1315" s="10"/>
      <c r="B1315" s="11"/>
      <c r="C1315" s="10"/>
      <c r="D1315" s="13"/>
      <c r="E1315" s="14"/>
      <c r="F1315" s="14"/>
      <c r="G1315" s="14"/>
      <c r="H1315" s="10"/>
      <c r="I1315" s="17"/>
      <c r="J1315" s="10"/>
      <c r="K1315" s="46"/>
      <c r="L1315" s="10"/>
      <c r="M1315" s="20"/>
      <c r="N1315" s="20"/>
      <c r="O1315" s="20"/>
      <c r="P1315" s="20"/>
    </row>
    <row r="1316">
      <c r="A1316" s="23"/>
      <c r="B1316" s="21"/>
      <c r="C1316" s="23"/>
      <c r="D1316" s="24"/>
      <c r="E1316" s="14"/>
      <c r="F1316" s="14"/>
      <c r="G1316" s="14"/>
      <c r="H1316" s="23"/>
      <c r="I1316" s="27"/>
      <c r="J1316" s="23"/>
      <c r="K1316" s="30"/>
      <c r="L1316" s="23"/>
      <c r="M1316" s="20"/>
      <c r="N1316" s="20"/>
      <c r="O1316" s="20"/>
      <c r="P1316" s="20"/>
    </row>
    <row r="1317">
      <c r="A1317" s="10"/>
      <c r="B1317" s="11"/>
      <c r="C1317" s="10"/>
      <c r="D1317" s="13"/>
      <c r="E1317" s="14"/>
      <c r="F1317" s="14"/>
      <c r="G1317" s="14"/>
      <c r="H1317" s="10"/>
      <c r="I1317" s="17"/>
      <c r="J1317" s="10"/>
      <c r="K1317" s="46"/>
      <c r="L1317" s="10"/>
      <c r="M1317" s="20"/>
      <c r="N1317" s="20"/>
      <c r="O1317" s="20"/>
      <c r="P1317" s="20"/>
    </row>
    <row r="1318">
      <c r="A1318" s="23"/>
      <c r="B1318" s="21"/>
      <c r="C1318" s="23"/>
      <c r="D1318" s="24"/>
      <c r="E1318" s="14"/>
      <c r="F1318" s="14"/>
      <c r="G1318" s="14"/>
      <c r="H1318" s="23"/>
      <c r="I1318" s="27"/>
      <c r="J1318" s="23"/>
      <c r="K1318" s="30"/>
      <c r="L1318" s="23"/>
      <c r="M1318" s="20"/>
      <c r="N1318" s="20"/>
      <c r="O1318" s="20"/>
      <c r="P1318" s="20"/>
    </row>
    <row r="1319">
      <c r="A1319" s="10"/>
      <c r="B1319" s="11"/>
      <c r="C1319" s="10"/>
      <c r="D1319" s="13"/>
      <c r="E1319" s="14"/>
      <c r="F1319" s="14"/>
      <c r="G1319" s="14"/>
      <c r="H1319" s="10"/>
      <c r="I1319" s="17"/>
      <c r="J1319" s="10"/>
      <c r="K1319" s="46"/>
      <c r="L1319" s="10"/>
      <c r="M1319" s="20"/>
      <c r="N1319" s="20"/>
      <c r="O1319" s="20"/>
      <c r="P1319" s="20"/>
    </row>
    <row r="1320">
      <c r="A1320" s="23"/>
      <c r="B1320" s="21"/>
      <c r="C1320" s="23"/>
      <c r="D1320" s="24"/>
      <c r="E1320" s="14"/>
      <c r="F1320" s="14"/>
      <c r="G1320" s="14"/>
      <c r="H1320" s="23"/>
      <c r="I1320" s="27"/>
      <c r="J1320" s="23"/>
      <c r="K1320" s="30"/>
      <c r="L1320" s="23"/>
      <c r="M1320" s="20"/>
      <c r="N1320" s="20"/>
      <c r="O1320" s="20"/>
      <c r="P1320" s="20"/>
    </row>
    <row r="1321">
      <c r="A1321" s="10"/>
      <c r="B1321" s="11"/>
      <c r="C1321" s="10"/>
      <c r="D1321" s="13"/>
      <c r="E1321" s="14"/>
      <c r="F1321" s="14"/>
      <c r="G1321" s="14"/>
      <c r="H1321" s="10"/>
      <c r="I1321" s="17"/>
      <c r="J1321" s="10"/>
      <c r="K1321" s="46"/>
      <c r="L1321" s="10"/>
      <c r="M1321" s="20"/>
      <c r="N1321" s="20"/>
      <c r="O1321" s="20"/>
      <c r="P1321" s="20"/>
    </row>
    <row r="1322">
      <c r="A1322" s="23"/>
      <c r="B1322" s="21"/>
      <c r="C1322" s="23"/>
      <c r="D1322" s="24"/>
      <c r="E1322" s="14"/>
      <c r="F1322" s="14"/>
      <c r="G1322" s="14"/>
      <c r="H1322" s="23"/>
      <c r="I1322" s="27"/>
      <c r="J1322" s="23"/>
      <c r="K1322" s="30"/>
      <c r="L1322" s="23"/>
      <c r="M1322" s="20"/>
      <c r="N1322" s="20"/>
      <c r="O1322" s="20"/>
      <c r="P1322" s="20"/>
    </row>
    <row r="1323">
      <c r="A1323" s="10"/>
      <c r="B1323" s="11"/>
      <c r="C1323" s="10"/>
      <c r="D1323" s="13"/>
      <c r="E1323" s="14"/>
      <c r="F1323" s="14"/>
      <c r="G1323" s="14"/>
      <c r="H1323" s="10"/>
      <c r="I1323" s="17"/>
      <c r="J1323" s="10"/>
      <c r="K1323" s="46"/>
      <c r="L1323" s="10"/>
      <c r="M1323" s="20"/>
      <c r="N1323" s="20"/>
      <c r="O1323" s="20"/>
      <c r="P1323" s="20"/>
    </row>
    <row r="1324">
      <c r="A1324" s="23"/>
      <c r="B1324" s="21"/>
      <c r="C1324" s="23"/>
      <c r="D1324" s="24"/>
      <c r="E1324" s="14"/>
      <c r="F1324" s="14"/>
      <c r="G1324" s="14"/>
      <c r="H1324" s="23"/>
      <c r="I1324" s="27"/>
      <c r="J1324" s="23"/>
      <c r="K1324" s="30"/>
      <c r="L1324" s="23"/>
      <c r="M1324" s="20"/>
      <c r="N1324" s="20"/>
      <c r="O1324" s="20"/>
      <c r="P1324" s="20"/>
    </row>
    <row r="1325">
      <c r="A1325" s="10"/>
      <c r="B1325" s="11"/>
      <c r="C1325" s="10"/>
      <c r="D1325" s="13"/>
      <c r="E1325" s="14"/>
      <c r="F1325" s="14"/>
      <c r="G1325" s="14"/>
      <c r="H1325" s="10"/>
      <c r="I1325" s="17"/>
      <c r="J1325" s="10"/>
      <c r="K1325" s="46"/>
      <c r="L1325" s="10"/>
      <c r="M1325" s="20"/>
      <c r="N1325" s="20"/>
      <c r="O1325" s="20"/>
      <c r="P1325" s="20"/>
    </row>
    <row r="1326">
      <c r="A1326" s="23"/>
      <c r="B1326" s="21"/>
      <c r="C1326" s="23"/>
      <c r="D1326" s="24"/>
      <c r="E1326" s="14"/>
      <c r="F1326" s="14"/>
      <c r="G1326" s="14"/>
      <c r="H1326" s="23"/>
      <c r="I1326" s="27"/>
      <c r="J1326" s="23"/>
      <c r="K1326" s="30"/>
      <c r="L1326" s="23"/>
      <c r="M1326" s="20"/>
      <c r="N1326" s="20"/>
      <c r="O1326" s="20"/>
      <c r="P1326" s="20"/>
    </row>
    <row r="1327">
      <c r="A1327" s="10"/>
      <c r="B1327" s="11"/>
      <c r="C1327" s="10"/>
      <c r="D1327" s="13"/>
      <c r="E1327" s="14"/>
      <c r="F1327" s="14"/>
      <c r="G1327" s="14"/>
      <c r="H1327" s="10"/>
      <c r="I1327" s="17"/>
      <c r="J1327" s="10"/>
      <c r="K1327" s="46"/>
      <c r="L1327" s="10"/>
      <c r="M1327" s="20"/>
      <c r="N1327" s="20"/>
      <c r="O1327" s="20"/>
      <c r="P1327" s="20"/>
    </row>
    <row r="1328">
      <c r="A1328" s="23"/>
      <c r="B1328" s="21"/>
      <c r="C1328" s="23"/>
      <c r="D1328" s="24"/>
      <c r="E1328" s="14"/>
      <c r="F1328" s="14"/>
      <c r="G1328" s="14"/>
      <c r="H1328" s="23"/>
      <c r="I1328" s="27"/>
      <c r="J1328" s="23"/>
      <c r="K1328" s="30"/>
      <c r="L1328" s="23"/>
      <c r="M1328" s="20"/>
      <c r="N1328" s="20"/>
      <c r="O1328" s="20"/>
      <c r="P1328" s="20"/>
    </row>
    <row r="1329">
      <c r="A1329" s="10"/>
      <c r="B1329" s="11"/>
      <c r="C1329" s="10"/>
      <c r="D1329" s="13"/>
      <c r="E1329" s="14"/>
      <c r="F1329" s="14"/>
      <c r="G1329" s="14"/>
      <c r="H1329" s="10"/>
      <c r="I1329" s="17"/>
      <c r="J1329" s="10"/>
      <c r="K1329" s="46"/>
      <c r="L1329" s="10"/>
      <c r="M1329" s="20"/>
      <c r="N1329" s="20"/>
      <c r="O1329" s="20"/>
      <c r="P1329" s="20"/>
    </row>
    <row r="1330">
      <c r="A1330" s="23"/>
      <c r="B1330" s="21"/>
      <c r="C1330" s="23"/>
      <c r="D1330" s="24"/>
      <c r="E1330" s="14"/>
      <c r="F1330" s="14"/>
      <c r="G1330" s="14"/>
      <c r="H1330" s="23"/>
      <c r="I1330" s="27"/>
      <c r="J1330" s="23"/>
      <c r="K1330" s="30"/>
      <c r="L1330" s="23"/>
      <c r="M1330" s="20"/>
      <c r="N1330" s="20"/>
      <c r="O1330" s="20"/>
      <c r="P1330" s="20"/>
    </row>
    <row r="1331">
      <c r="A1331" s="10"/>
      <c r="B1331" s="11"/>
      <c r="C1331" s="10"/>
      <c r="D1331" s="13"/>
      <c r="E1331" s="14"/>
      <c r="F1331" s="14"/>
      <c r="G1331" s="14"/>
      <c r="H1331" s="10"/>
      <c r="I1331" s="17"/>
      <c r="J1331" s="10"/>
      <c r="K1331" s="46"/>
      <c r="L1331" s="10"/>
      <c r="M1331" s="20"/>
      <c r="N1331" s="20"/>
      <c r="O1331" s="20"/>
      <c r="P1331" s="20"/>
    </row>
    <row r="1332">
      <c r="A1332" s="23"/>
      <c r="B1332" s="21"/>
      <c r="C1332" s="23"/>
      <c r="D1332" s="24"/>
      <c r="E1332" s="14"/>
      <c r="F1332" s="14"/>
      <c r="G1332" s="14"/>
      <c r="H1332" s="23"/>
      <c r="I1332" s="27"/>
      <c r="J1332" s="23"/>
      <c r="K1332" s="30"/>
      <c r="L1332" s="23"/>
      <c r="M1332" s="20"/>
      <c r="N1332" s="20"/>
      <c r="O1332" s="20"/>
      <c r="P1332" s="20"/>
    </row>
    <row r="1333">
      <c r="A1333" s="10"/>
      <c r="B1333" s="11"/>
      <c r="C1333" s="10"/>
      <c r="D1333" s="13"/>
      <c r="E1333" s="14"/>
      <c r="F1333" s="14"/>
      <c r="G1333" s="14"/>
      <c r="H1333" s="10"/>
      <c r="I1333" s="17"/>
      <c r="J1333" s="10"/>
      <c r="K1333" s="46"/>
      <c r="L1333" s="10"/>
      <c r="M1333" s="20"/>
      <c r="N1333" s="20"/>
      <c r="O1333" s="20"/>
      <c r="P1333" s="20"/>
    </row>
    <row r="1334">
      <c r="A1334" s="23"/>
      <c r="B1334" s="21"/>
      <c r="C1334" s="23"/>
      <c r="D1334" s="24"/>
      <c r="E1334" s="14"/>
      <c r="F1334" s="14"/>
      <c r="G1334" s="14"/>
      <c r="H1334" s="23"/>
      <c r="I1334" s="27"/>
      <c r="J1334" s="23"/>
      <c r="K1334" s="30"/>
      <c r="L1334" s="23"/>
      <c r="M1334" s="20"/>
      <c r="N1334" s="20"/>
      <c r="O1334" s="20"/>
      <c r="P1334" s="20"/>
    </row>
    <row r="1335">
      <c r="A1335" s="10"/>
      <c r="B1335" s="11"/>
      <c r="C1335" s="10"/>
      <c r="D1335" s="13"/>
      <c r="E1335" s="14"/>
      <c r="F1335" s="14"/>
      <c r="G1335" s="14"/>
      <c r="H1335" s="10"/>
      <c r="I1335" s="17"/>
      <c r="J1335" s="10"/>
      <c r="K1335" s="46"/>
      <c r="L1335" s="10"/>
      <c r="M1335" s="20"/>
      <c r="N1335" s="20"/>
      <c r="O1335" s="20"/>
      <c r="P1335" s="20"/>
    </row>
    <row r="1336">
      <c r="A1336" s="23"/>
      <c r="B1336" s="21"/>
      <c r="C1336" s="23"/>
      <c r="D1336" s="24"/>
      <c r="E1336" s="14"/>
      <c r="F1336" s="14"/>
      <c r="G1336" s="14"/>
      <c r="H1336" s="23"/>
      <c r="I1336" s="27"/>
      <c r="J1336" s="23"/>
      <c r="K1336" s="30"/>
      <c r="L1336" s="23"/>
      <c r="M1336" s="20"/>
      <c r="N1336" s="20"/>
      <c r="O1336" s="20"/>
      <c r="P1336" s="20"/>
    </row>
    <row r="1337">
      <c r="A1337" s="10"/>
      <c r="B1337" s="11"/>
      <c r="C1337" s="10"/>
      <c r="D1337" s="13"/>
      <c r="E1337" s="14"/>
      <c r="F1337" s="14"/>
      <c r="G1337" s="14"/>
      <c r="H1337" s="10"/>
      <c r="I1337" s="17"/>
      <c r="J1337" s="10"/>
      <c r="K1337" s="46"/>
      <c r="L1337" s="10"/>
      <c r="M1337" s="20"/>
      <c r="N1337" s="20"/>
      <c r="O1337" s="20"/>
      <c r="P1337" s="20"/>
    </row>
    <row r="1338">
      <c r="A1338" s="23"/>
      <c r="B1338" s="21"/>
      <c r="C1338" s="23"/>
      <c r="D1338" s="24"/>
      <c r="E1338" s="14"/>
      <c r="F1338" s="14"/>
      <c r="G1338" s="14"/>
      <c r="H1338" s="23"/>
      <c r="I1338" s="27"/>
      <c r="J1338" s="23"/>
      <c r="K1338" s="30"/>
      <c r="L1338" s="23"/>
      <c r="M1338" s="20"/>
      <c r="N1338" s="20"/>
      <c r="O1338" s="20"/>
      <c r="P1338" s="20"/>
    </row>
    <row r="1339">
      <c r="A1339" s="10"/>
      <c r="B1339" s="11"/>
      <c r="C1339" s="10"/>
      <c r="D1339" s="13"/>
      <c r="E1339" s="14"/>
      <c r="F1339" s="14"/>
      <c r="G1339" s="14"/>
      <c r="H1339" s="10"/>
      <c r="I1339" s="17"/>
      <c r="J1339" s="10"/>
      <c r="K1339" s="46"/>
      <c r="L1339" s="10"/>
      <c r="M1339" s="20"/>
      <c r="N1339" s="20"/>
      <c r="O1339" s="20"/>
      <c r="P1339" s="20"/>
    </row>
    <row r="1340">
      <c r="A1340" s="23"/>
      <c r="B1340" s="21"/>
      <c r="C1340" s="23"/>
      <c r="D1340" s="24"/>
      <c r="E1340" s="14"/>
      <c r="F1340" s="14"/>
      <c r="G1340" s="14"/>
      <c r="H1340" s="23"/>
      <c r="I1340" s="27"/>
      <c r="J1340" s="23"/>
      <c r="K1340" s="30"/>
      <c r="L1340" s="23"/>
      <c r="M1340" s="20"/>
      <c r="N1340" s="20"/>
      <c r="O1340" s="20"/>
      <c r="P1340" s="20"/>
    </row>
    <row r="1341">
      <c r="A1341" s="10"/>
      <c r="B1341" s="11"/>
      <c r="C1341" s="10"/>
      <c r="D1341" s="13"/>
      <c r="E1341" s="14"/>
      <c r="F1341" s="14"/>
      <c r="G1341" s="14"/>
      <c r="H1341" s="10"/>
      <c r="I1341" s="17"/>
      <c r="J1341" s="10"/>
      <c r="K1341" s="46"/>
      <c r="L1341" s="10"/>
      <c r="M1341" s="20"/>
      <c r="N1341" s="20"/>
      <c r="O1341" s="20"/>
      <c r="P1341" s="20"/>
    </row>
    <row r="1342">
      <c r="A1342" s="23"/>
      <c r="B1342" s="21"/>
      <c r="C1342" s="23"/>
      <c r="D1342" s="24"/>
      <c r="E1342" s="14"/>
      <c r="F1342" s="14"/>
      <c r="G1342" s="14"/>
      <c r="H1342" s="23"/>
      <c r="I1342" s="27"/>
      <c r="J1342" s="23"/>
      <c r="K1342" s="30"/>
      <c r="L1342" s="23"/>
      <c r="M1342" s="20"/>
      <c r="N1342" s="20"/>
      <c r="O1342" s="20"/>
      <c r="P1342" s="20"/>
    </row>
    <row r="1343">
      <c r="A1343" s="10"/>
      <c r="B1343" s="11"/>
      <c r="C1343" s="10"/>
      <c r="D1343" s="13"/>
      <c r="E1343" s="14"/>
      <c r="F1343" s="14"/>
      <c r="G1343" s="14"/>
      <c r="H1343" s="10"/>
      <c r="I1343" s="17"/>
      <c r="J1343" s="10"/>
      <c r="K1343" s="46"/>
      <c r="L1343" s="10"/>
      <c r="M1343" s="20"/>
      <c r="N1343" s="20"/>
      <c r="O1343" s="20"/>
      <c r="P1343" s="20"/>
    </row>
    <row r="1344">
      <c r="A1344" s="23"/>
      <c r="B1344" s="21"/>
      <c r="C1344" s="23"/>
      <c r="D1344" s="24"/>
      <c r="E1344" s="14"/>
      <c r="F1344" s="14"/>
      <c r="G1344" s="14"/>
      <c r="H1344" s="23"/>
      <c r="I1344" s="27"/>
      <c r="J1344" s="23"/>
      <c r="K1344" s="30"/>
      <c r="L1344" s="23"/>
      <c r="M1344" s="20"/>
      <c r="N1344" s="20"/>
      <c r="O1344" s="20"/>
      <c r="P1344" s="20"/>
    </row>
    <row r="1345">
      <c r="A1345" s="10"/>
      <c r="B1345" s="11"/>
      <c r="C1345" s="10"/>
      <c r="D1345" s="13"/>
      <c r="E1345" s="14"/>
      <c r="F1345" s="14"/>
      <c r="G1345" s="14"/>
      <c r="H1345" s="10"/>
      <c r="I1345" s="17"/>
      <c r="J1345" s="10"/>
      <c r="K1345" s="46"/>
      <c r="L1345" s="10"/>
      <c r="M1345" s="20"/>
      <c r="N1345" s="20"/>
      <c r="O1345" s="20"/>
      <c r="P1345" s="20"/>
    </row>
    <row r="1346">
      <c r="A1346" s="23"/>
      <c r="B1346" s="21"/>
      <c r="C1346" s="23"/>
      <c r="D1346" s="24"/>
      <c r="E1346" s="14"/>
      <c r="F1346" s="14"/>
      <c r="G1346" s="14"/>
      <c r="H1346" s="23"/>
      <c r="I1346" s="27"/>
      <c r="J1346" s="23"/>
      <c r="K1346" s="30"/>
      <c r="L1346" s="23"/>
      <c r="M1346" s="20"/>
      <c r="N1346" s="20"/>
      <c r="O1346" s="20"/>
      <c r="P1346" s="20"/>
    </row>
    <row r="1347">
      <c r="A1347" s="10"/>
      <c r="B1347" s="11"/>
      <c r="C1347" s="10"/>
      <c r="D1347" s="13"/>
      <c r="E1347" s="14"/>
      <c r="F1347" s="14"/>
      <c r="G1347" s="14"/>
      <c r="H1347" s="10"/>
      <c r="I1347" s="17"/>
      <c r="J1347" s="10"/>
      <c r="K1347" s="46"/>
      <c r="L1347" s="10"/>
      <c r="M1347" s="20"/>
      <c r="N1347" s="20"/>
      <c r="O1347" s="20"/>
      <c r="P1347" s="20"/>
    </row>
    <row r="1348">
      <c r="A1348" s="23"/>
      <c r="B1348" s="21"/>
      <c r="C1348" s="23"/>
      <c r="D1348" s="24"/>
      <c r="E1348" s="14"/>
      <c r="F1348" s="14"/>
      <c r="G1348" s="14"/>
      <c r="H1348" s="23"/>
      <c r="I1348" s="27"/>
      <c r="J1348" s="23"/>
      <c r="K1348" s="30"/>
      <c r="L1348" s="23"/>
      <c r="M1348" s="20"/>
      <c r="N1348" s="20"/>
      <c r="O1348" s="20"/>
      <c r="P1348" s="20"/>
    </row>
    <row r="1349">
      <c r="A1349" s="10"/>
      <c r="B1349" s="11"/>
      <c r="C1349" s="10"/>
      <c r="D1349" s="13"/>
      <c r="E1349" s="14"/>
      <c r="F1349" s="14"/>
      <c r="G1349" s="14"/>
      <c r="H1349" s="10"/>
      <c r="I1349" s="17"/>
      <c r="J1349" s="10"/>
      <c r="K1349" s="46"/>
      <c r="L1349" s="10"/>
      <c r="M1349" s="20"/>
      <c r="N1349" s="20"/>
      <c r="O1349" s="20"/>
      <c r="P1349" s="20"/>
    </row>
    <row r="1350">
      <c r="A1350" s="23"/>
      <c r="B1350" s="21"/>
      <c r="C1350" s="23"/>
      <c r="D1350" s="24"/>
      <c r="E1350" s="14"/>
      <c r="F1350" s="14"/>
      <c r="G1350" s="14"/>
      <c r="H1350" s="23"/>
      <c r="I1350" s="27"/>
      <c r="J1350" s="23"/>
      <c r="K1350" s="30"/>
      <c r="L1350" s="23"/>
      <c r="M1350" s="20"/>
      <c r="N1350" s="20"/>
      <c r="O1350" s="20"/>
      <c r="P1350" s="20"/>
    </row>
    <row r="1351">
      <c r="A1351" s="10"/>
      <c r="B1351" s="11"/>
      <c r="C1351" s="10"/>
      <c r="D1351" s="13"/>
      <c r="E1351" s="14"/>
      <c r="F1351" s="14"/>
      <c r="G1351" s="14"/>
      <c r="H1351" s="10"/>
      <c r="I1351" s="17"/>
      <c r="J1351" s="10"/>
      <c r="K1351" s="46"/>
      <c r="L1351" s="10"/>
      <c r="M1351" s="20"/>
      <c r="N1351" s="20"/>
      <c r="O1351" s="20"/>
      <c r="P1351" s="20"/>
    </row>
    <row r="1352">
      <c r="A1352" s="23"/>
      <c r="B1352" s="21"/>
      <c r="C1352" s="23"/>
      <c r="D1352" s="24"/>
      <c r="E1352" s="14"/>
      <c r="F1352" s="14"/>
      <c r="G1352" s="14"/>
      <c r="H1352" s="23"/>
      <c r="I1352" s="27"/>
      <c r="J1352" s="23"/>
      <c r="K1352" s="30"/>
      <c r="L1352" s="23"/>
      <c r="M1352" s="20"/>
      <c r="N1352" s="20"/>
      <c r="O1352" s="20"/>
      <c r="P1352" s="20"/>
    </row>
    <row r="1353">
      <c r="A1353" s="10"/>
      <c r="B1353" s="11"/>
      <c r="C1353" s="10"/>
      <c r="D1353" s="13"/>
      <c r="E1353" s="14"/>
      <c r="F1353" s="14"/>
      <c r="G1353" s="14"/>
      <c r="H1353" s="10"/>
      <c r="I1353" s="17"/>
      <c r="J1353" s="10"/>
      <c r="K1353" s="46"/>
      <c r="L1353" s="10"/>
      <c r="M1353" s="20"/>
      <c r="N1353" s="20"/>
      <c r="O1353" s="20"/>
      <c r="P1353" s="20"/>
    </row>
    <row r="1354">
      <c r="A1354" s="23"/>
      <c r="B1354" s="21"/>
      <c r="C1354" s="23"/>
      <c r="D1354" s="24"/>
      <c r="E1354" s="14"/>
      <c r="F1354" s="14"/>
      <c r="G1354" s="14"/>
      <c r="H1354" s="23"/>
      <c r="I1354" s="27"/>
      <c r="J1354" s="23"/>
      <c r="K1354" s="30"/>
      <c r="L1354" s="23"/>
      <c r="M1354" s="20"/>
      <c r="N1354" s="20"/>
      <c r="O1354" s="20"/>
      <c r="P1354" s="20"/>
    </row>
    <row r="1355">
      <c r="A1355" s="10"/>
      <c r="B1355" s="11"/>
      <c r="C1355" s="10"/>
      <c r="D1355" s="13"/>
      <c r="E1355" s="14"/>
      <c r="F1355" s="14"/>
      <c r="G1355" s="14"/>
      <c r="H1355" s="10"/>
      <c r="I1355" s="17"/>
      <c r="J1355" s="10"/>
      <c r="K1355" s="46"/>
      <c r="L1355" s="10"/>
      <c r="M1355" s="20"/>
      <c r="N1355" s="20"/>
      <c r="O1355" s="20"/>
      <c r="P1355" s="20"/>
    </row>
    <row r="1356">
      <c r="A1356" s="23"/>
      <c r="B1356" s="21"/>
      <c r="C1356" s="23"/>
      <c r="D1356" s="24"/>
      <c r="E1356" s="14"/>
      <c r="F1356" s="14"/>
      <c r="G1356" s="14"/>
      <c r="H1356" s="23"/>
      <c r="I1356" s="27"/>
      <c r="J1356" s="23"/>
      <c r="K1356" s="30"/>
      <c r="L1356" s="23"/>
      <c r="M1356" s="20"/>
      <c r="N1356" s="20"/>
      <c r="O1356" s="20"/>
      <c r="P1356" s="20"/>
    </row>
    <row r="1357">
      <c r="A1357" s="10"/>
      <c r="B1357" s="11"/>
      <c r="C1357" s="10"/>
      <c r="D1357" s="13"/>
      <c r="E1357" s="14"/>
      <c r="F1357" s="14"/>
      <c r="G1357" s="14"/>
      <c r="H1357" s="10"/>
      <c r="I1357" s="17"/>
      <c r="J1357" s="10"/>
      <c r="K1357" s="46"/>
      <c r="L1357" s="10"/>
      <c r="M1357" s="20"/>
      <c r="N1357" s="20"/>
      <c r="O1357" s="20"/>
      <c r="P1357" s="20"/>
    </row>
    <row r="1358">
      <c r="A1358" s="23"/>
      <c r="B1358" s="21"/>
      <c r="C1358" s="23"/>
      <c r="D1358" s="24"/>
      <c r="E1358" s="14"/>
      <c r="F1358" s="14"/>
      <c r="G1358" s="14"/>
      <c r="H1358" s="23"/>
      <c r="I1358" s="27"/>
      <c r="J1358" s="23"/>
      <c r="K1358" s="30"/>
      <c r="L1358" s="23"/>
      <c r="M1358" s="20"/>
      <c r="N1358" s="20"/>
      <c r="O1358" s="20"/>
      <c r="P1358" s="20"/>
    </row>
    <row r="1359">
      <c r="A1359" s="10"/>
      <c r="B1359" s="11"/>
      <c r="C1359" s="10"/>
      <c r="D1359" s="13"/>
      <c r="E1359" s="14"/>
      <c r="F1359" s="14"/>
      <c r="G1359" s="14"/>
      <c r="H1359" s="10"/>
      <c r="I1359" s="17"/>
      <c r="J1359" s="10"/>
      <c r="K1359" s="46"/>
      <c r="L1359" s="10"/>
      <c r="M1359" s="20"/>
      <c r="N1359" s="20"/>
      <c r="O1359" s="20"/>
      <c r="P1359" s="20"/>
    </row>
    <row r="1360">
      <c r="A1360" s="23"/>
      <c r="B1360" s="21"/>
      <c r="C1360" s="23"/>
      <c r="D1360" s="24"/>
      <c r="E1360" s="14"/>
      <c r="F1360" s="14"/>
      <c r="G1360" s="14"/>
      <c r="H1360" s="23"/>
      <c r="I1360" s="27"/>
      <c r="J1360" s="23"/>
      <c r="K1360" s="30"/>
      <c r="L1360" s="23"/>
      <c r="M1360" s="20"/>
      <c r="N1360" s="20"/>
      <c r="O1360" s="20"/>
      <c r="P1360" s="20"/>
    </row>
    <row r="1361">
      <c r="A1361" s="10"/>
      <c r="B1361" s="11"/>
      <c r="C1361" s="10"/>
      <c r="D1361" s="13"/>
      <c r="E1361" s="14"/>
      <c r="F1361" s="14"/>
      <c r="G1361" s="14"/>
      <c r="H1361" s="10"/>
      <c r="I1361" s="17"/>
      <c r="J1361" s="10"/>
      <c r="K1361" s="46"/>
      <c r="L1361" s="10"/>
      <c r="M1361" s="20"/>
      <c r="N1361" s="20"/>
      <c r="O1361" s="20"/>
      <c r="P1361" s="20"/>
    </row>
    <row r="1362">
      <c r="A1362" s="23"/>
      <c r="B1362" s="21"/>
      <c r="C1362" s="23"/>
      <c r="D1362" s="24"/>
      <c r="E1362" s="14"/>
      <c r="F1362" s="14"/>
      <c r="G1362" s="14"/>
      <c r="H1362" s="23"/>
      <c r="I1362" s="27"/>
      <c r="J1362" s="23"/>
      <c r="K1362" s="30"/>
      <c r="L1362" s="23"/>
      <c r="M1362" s="20"/>
      <c r="N1362" s="20"/>
      <c r="O1362" s="20"/>
      <c r="P1362" s="20"/>
    </row>
    <row r="1363">
      <c r="A1363" s="10"/>
      <c r="B1363" s="11"/>
      <c r="C1363" s="10"/>
      <c r="D1363" s="13"/>
      <c r="E1363" s="14"/>
      <c r="F1363" s="14"/>
      <c r="G1363" s="14"/>
      <c r="H1363" s="10"/>
      <c r="I1363" s="17"/>
      <c r="J1363" s="10"/>
      <c r="K1363" s="46"/>
      <c r="L1363" s="10"/>
      <c r="M1363" s="20"/>
      <c r="N1363" s="20"/>
      <c r="O1363" s="20"/>
      <c r="P1363" s="20"/>
    </row>
    <row r="1364">
      <c r="A1364" s="23"/>
      <c r="B1364" s="21"/>
      <c r="C1364" s="23"/>
      <c r="D1364" s="24"/>
      <c r="E1364" s="14"/>
      <c r="F1364" s="14"/>
      <c r="G1364" s="14"/>
      <c r="H1364" s="23"/>
      <c r="I1364" s="27"/>
      <c r="J1364" s="23"/>
      <c r="K1364" s="30"/>
      <c r="L1364" s="23"/>
      <c r="M1364" s="20"/>
      <c r="N1364" s="20"/>
      <c r="O1364" s="20"/>
      <c r="P1364" s="20"/>
    </row>
    <row r="1365">
      <c r="A1365" s="10"/>
      <c r="B1365" s="11"/>
      <c r="C1365" s="10"/>
      <c r="D1365" s="13"/>
      <c r="E1365" s="14"/>
      <c r="F1365" s="14"/>
      <c r="G1365" s="14"/>
      <c r="H1365" s="10"/>
      <c r="I1365" s="17"/>
      <c r="J1365" s="10"/>
      <c r="K1365" s="46"/>
      <c r="L1365" s="10"/>
      <c r="M1365" s="20"/>
      <c r="N1365" s="20"/>
      <c r="O1365" s="20"/>
      <c r="P1365" s="20"/>
    </row>
    <row r="1366">
      <c r="A1366" s="23"/>
      <c r="B1366" s="21"/>
      <c r="C1366" s="23"/>
      <c r="D1366" s="24"/>
      <c r="E1366" s="14"/>
      <c r="F1366" s="14"/>
      <c r="G1366" s="14"/>
      <c r="H1366" s="23"/>
      <c r="I1366" s="27"/>
      <c r="J1366" s="23"/>
      <c r="K1366" s="30"/>
      <c r="L1366" s="23"/>
      <c r="M1366" s="20"/>
      <c r="N1366" s="20"/>
      <c r="O1366" s="20"/>
      <c r="P1366" s="20"/>
    </row>
    <row r="1367">
      <c r="A1367" s="10"/>
      <c r="B1367" s="11"/>
      <c r="C1367" s="10"/>
      <c r="D1367" s="13"/>
      <c r="E1367" s="14"/>
      <c r="F1367" s="14"/>
      <c r="G1367" s="14"/>
      <c r="H1367" s="10"/>
      <c r="I1367" s="17"/>
      <c r="J1367" s="10"/>
      <c r="K1367" s="46"/>
      <c r="L1367" s="10"/>
      <c r="M1367" s="20"/>
      <c r="N1367" s="20"/>
      <c r="O1367" s="20"/>
      <c r="P1367" s="20"/>
    </row>
    <row r="1368">
      <c r="A1368" s="23"/>
      <c r="B1368" s="21"/>
      <c r="C1368" s="23"/>
      <c r="D1368" s="24"/>
      <c r="E1368" s="14"/>
      <c r="F1368" s="14"/>
      <c r="G1368" s="14"/>
      <c r="H1368" s="23"/>
      <c r="I1368" s="27"/>
      <c r="J1368" s="23"/>
      <c r="K1368" s="30"/>
      <c r="L1368" s="23"/>
      <c r="M1368" s="20"/>
      <c r="N1368" s="20"/>
      <c r="O1368" s="20"/>
      <c r="P1368" s="20"/>
    </row>
    <row r="1369">
      <c r="A1369" s="10"/>
      <c r="B1369" s="11"/>
      <c r="C1369" s="10"/>
      <c r="D1369" s="13"/>
      <c r="E1369" s="14"/>
      <c r="F1369" s="14"/>
      <c r="G1369" s="14"/>
      <c r="H1369" s="10"/>
      <c r="I1369" s="17"/>
      <c r="J1369" s="10"/>
      <c r="K1369" s="46"/>
      <c r="L1369" s="10"/>
      <c r="M1369" s="20"/>
      <c r="N1369" s="20"/>
      <c r="O1369" s="20"/>
      <c r="P1369" s="20"/>
    </row>
    <row r="1370">
      <c r="A1370" s="23"/>
      <c r="B1370" s="21"/>
      <c r="C1370" s="23"/>
      <c r="D1370" s="24"/>
      <c r="E1370" s="14"/>
      <c r="F1370" s="14"/>
      <c r="G1370" s="14"/>
      <c r="H1370" s="23"/>
      <c r="I1370" s="27"/>
      <c r="J1370" s="23"/>
      <c r="K1370" s="30"/>
      <c r="L1370" s="23"/>
      <c r="M1370" s="20"/>
      <c r="N1370" s="20"/>
      <c r="O1370" s="20"/>
      <c r="P1370" s="20"/>
    </row>
    <row r="1371">
      <c r="A1371" s="10"/>
      <c r="B1371" s="11"/>
      <c r="C1371" s="10"/>
      <c r="D1371" s="13"/>
      <c r="E1371" s="14"/>
      <c r="F1371" s="14"/>
      <c r="G1371" s="14"/>
      <c r="H1371" s="10"/>
      <c r="I1371" s="17"/>
      <c r="J1371" s="10"/>
      <c r="K1371" s="46"/>
      <c r="L1371" s="10"/>
      <c r="M1371" s="20"/>
      <c r="N1371" s="20"/>
      <c r="O1371" s="20"/>
      <c r="P1371" s="20"/>
    </row>
    <row r="1372">
      <c r="A1372" s="23"/>
      <c r="B1372" s="21"/>
      <c r="C1372" s="23"/>
      <c r="D1372" s="24"/>
      <c r="E1372" s="14"/>
      <c r="F1372" s="14"/>
      <c r="G1372" s="14"/>
      <c r="H1372" s="23"/>
      <c r="I1372" s="27"/>
      <c r="J1372" s="23"/>
      <c r="K1372" s="30"/>
      <c r="L1372" s="23"/>
      <c r="M1372" s="20"/>
      <c r="N1372" s="20"/>
      <c r="O1372" s="20"/>
      <c r="P1372" s="20"/>
    </row>
    <row r="1373">
      <c r="A1373" s="10"/>
      <c r="B1373" s="11"/>
      <c r="C1373" s="10"/>
      <c r="D1373" s="13"/>
      <c r="E1373" s="14"/>
      <c r="F1373" s="14"/>
      <c r="G1373" s="14"/>
      <c r="H1373" s="10"/>
      <c r="I1373" s="17"/>
      <c r="J1373" s="10"/>
      <c r="K1373" s="46"/>
      <c r="L1373" s="10"/>
      <c r="M1373" s="20"/>
      <c r="N1373" s="20"/>
      <c r="O1373" s="20"/>
      <c r="P1373" s="20"/>
    </row>
    <row r="1374">
      <c r="A1374" s="23"/>
      <c r="B1374" s="21"/>
      <c r="C1374" s="23"/>
      <c r="D1374" s="24"/>
      <c r="E1374" s="14"/>
      <c r="F1374" s="14"/>
      <c r="G1374" s="14"/>
      <c r="H1374" s="23"/>
      <c r="I1374" s="27"/>
      <c r="J1374" s="23"/>
      <c r="K1374" s="30"/>
      <c r="L1374" s="23"/>
      <c r="M1374" s="20"/>
      <c r="N1374" s="20"/>
      <c r="O1374" s="20"/>
      <c r="P1374" s="20"/>
    </row>
    <row r="1375">
      <c r="A1375" s="10"/>
      <c r="B1375" s="11"/>
      <c r="C1375" s="10"/>
      <c r="D1375" s="13"/>
      <c r="E1375" s="14"/>
      <c r="F1375" s="14"/>
      <c r="G1375" s="14"/>
      <c r="H1375" s="10"/>
      <c r="I1375" s="17"/>
      <c r="J1375" s="10"/>
      <c r="K1375" s="46"/>
      <c r="L1375" s="10"/>
      <c r="M1375" s="20"/>
      <c r="N1375" s="20"/>
      <c r="O1375" s="20"/>
      <c r="P1375" s="20"/>
    </row>
    <row r="1376">
      <c r="A1376" s="23"/>
      <c r="B1376" s="21"/>
      <c r="C1376" s="23"/>
      <c r="D1376" s="24"/>
      <c r="E1376" s="14"/>
      <c r="F1376" s="14"/>
      <c r="G1376" s="14"/>
      <c r="H1376" s="23"/>
      <c r="I1376" s="27"/>
      <c r="J1376" s="23"/>
      <c r="K1376" s="30"/>
      <c r="L1376" s="23"/>
      <c r="M1376" s="20"/>
      <c r="N1376" s="20"/>
      <c r="O1376" s="20"/>
      <c r="P1376" s="20"/>
    </row>
    <row r="1377">
      <c r="A1377" s="10"/>
      <c r="B1377" s="11"/>
      <c r="C1377" s="10"/>
      <c r="D1377" s="13"/>
      <c r="E1377" s="14"/>
      <c r="F1377" s="14"/>
      <c r="G1377" s="14"/>
      <c r="H1377" s="10"/>
      <c r="I1377" s="17"/>
      <c r="J1377" s="10"/>
      <c r="K1377" s="46"/>
      <c r="L1377" s="10"/>
      <c r="M1377" s="20"/>
      <c r="N1377" s="20"/>
      <c r="O1377" s="20"/>
      <c r="P1377" s="20"/>
    </row>
    <row r="1378">
      <c r="A1378" s="23"/>
      <c r="B1378" s="21"/>
      <c r="C1378" s="23"/>
      <c r="D1378" s="24"/>
      <c r="E1378" s="14"/>
      <c r="F1378" s="14"/>
      <c r="G1378" s="14"/>
      <c r="H1378" s="23"/>
      <c r="I1378" s="27"/>
      <c r="J1378" s="23"/>
      <c r="K1378" s="30"/>
      <c r="L1378" s="23"/>
      <c r="M1378" s="20"/>
      <c r="N1378" s="20"/>
      <c r="O1378" s="20"/>
      <c r="P1378" s="20"/>
    </row>
    <row r="1379">
      <c r="A1379" s="10"/>
      <c r="B1379" s="11"/>
      <c r="C1379" s="10"/>
      <c r="D1379" s="13"/>
      <c r="E1379" s="14"/>
      <c r="F1379" s="14"/>
      <c r="G1379" s="14"/>
      <c r="H1379" s="10"/>
      <c r="I1379" s="17"/>
      <c r="J1379" s="10"/>
      <c r="K1379" s="46"/>
      <c r="L1379" s="10"/>
      <c r="M1379" s="20"/>
      <c r="N1379" s="20"/>
      <c r="O1379" s="20"/>
      <c r="P1379" s="20"/>
    </row>
    <row r="1380">
      <c r="A1380" s="23"/>
      <c r="B1380" s="21"/>
      <c r="C1380" s="23"/>
      <c r="D1380" s="24"/>
      <c r="E1380" s="14"/>
      <c r="F1380" s="14"/>
      <c r="G1380" s="14"/>
      <c r="H1380" s="23"/>
      <c r="I1380" s="27"/>
      <c r="J1380" s="23"/>
      <c r="K1380" s="30"/>
      <c r="L1380" s="23"/>
      <c r="M1380" s="20"/>
      <c r="N1380" s="20"/>
      <c r="O1380" s="20"/>
      <c r="P1380" s="20"/>
    </row>
    <row r="1381">
      <c r="A1381" s="10"/>
      <c r="B1381" s="11"/>
      <c r="C1381" s="10"/>
      <c r="D1381" s="13"/>
      <c r="E1381" s="14"/>
      <c r="F1381" s="14"/>
      <c r="G1381" s="14"/>
      <c r="H1381" s="10"/>
      <c r="I1381" s="17"/>
      <c r="J1381" s="10"/>
      <c r="K1381" s="46"/>
      <c r="L1381" s="10"/>
      <c r="M1381" s="20"/>
      <c r="N1381" s="20"/>
      <c r="O1381" s="20"/>
      <c r="P1381" s="20"/>
    </row>
    <row r="1382">
      <c r="A1382" s="23"/>
      <c r="B1382" s="21"/>
      <c r="C1382" s="23"/>
      <c r="D1382" s="24"/>
      <c r="E1382" s="14"/>
      <c r="F1382" s="14"/>
      <c r="G1382" s="14"/>
      <c r="H1382" s="23"/>
      <c r="I1382" s="27"/>
      <c r="J1382" s="23"/>
      <c r="K1382" s="30"/>
      <c r="L1382" s="23"/>
      <c r="M1382" s="20"/>
      <c r="N1382" s="20"/>
      <c r="O1382" s="20"/>
      <c r="P1382" s="20"/>
    </row>
    <row r="1383">
      <c r="A1383" s="10"/>
      <c r="B1383" s="11"/>
      <c r="C1383" s="10"/>
      <c r="D1383" s="13"/>
      <c r="E1383" s="14"/>
      <c r="F1383" s="14"/>
      <c r="G1383" s="14"/>
      <c r="H1383" s="10"/>
      <c r="I1383" s="17"/>
      <c r="J1383" s="10"/>
      <c r="K1383" s="46"/>
      <c r="L1383" s="10"/>
      <c r="M1383" s="20"/>
      <c r="N1383" s="20"/>
      <c r="O1383" s="20"/>
      <c r="P1383" s="20"/>
    </row>
    <row r="1384">
      <c r="A1384" s="23"/>
      <c r="B1384" s="21"/>
      <c r="C1384" s="23"/>
      <c r="D1384" s="24"/>
      <c r="E1384" s="14"/>
      <c r="F1384" s="14"/>
      <c r="G1384" s="14"/>
      <c r="H1384" s="23"/>
      <c r="I1384" s="27"/>
      <c r="J1384" s="23"/>
      <c r="K1384" s="30"/>
      <c r="L1384" s="23"/>
      <c r="M1384" s="20"/>
      <c r="N1384" s="20"/>
      <c r="O1384" s="20"/>
      <c r="P1384" s="20"/>
    </row>
    <row r="1385">
      <c r="A1385" s="10"/>
      <c r="B1385" s="11"/>
      <c r="C1385" s="10"/>
      <c r="D1385" s="13"/>
      <c r="E1385" s="14"/>
      <c r="F1385" s="14"/>
      <c r="G1385" s="14"/>
      <c r="H1385" s="10"/>
      <c r="I1385" s="17"/>
      <c r="J1385" s="10"/>
      <c r="K1385" s="46"/>
      <c r="L1385" s="10"/>
      <c r="M1385" s="20"/>
      <c r="N1385" s="20"/>
      <c r="O1385" s="20"/>
      <c r="P1385" s="20"/>
    </row>
    <row r="1386">
      <c r="A1386" s="23"/>
      <c r="B1386" s="21"/>
      <c r="C1386" s="23"/>
      <c r="D1386" s="24"/>
      <c r="E1386" s="14"/>
      <c r="F1386" s="14"/>
      <c r="G1386" s="14"/>
      <c r="H1386" s="23"/>
      <c r="I1386" s="27"/>
      <c r="J1386" s="23"/>
      <c r="K1386" s="30"/>
      <c r="L1386" s="23"/>
      <c r="M1386" s="20"/>
      <c r="N1386" s="20"/>
      <c r="O1386" s="20"/>
      <c r="P1386" s="20"/>
    </row>
    <row r="1387">
      <c r="A1387" s="10"/>
      <c r="B1387" s="11"/>
      <c r="C1387" s="10"/>
      <c r="D1387" s="13"/>
      <c r="E1387" s="14"/>
      <c r="F1387" s="14"/>
      <c r="G1387" s="14"/>
      <c r="H1387" s="10"/>
      <c r="I1387" s="17"/>
      <c r="J1387" s="10"/>
      <c r="K1387" s="46"/>
      <c r="L1387" s="10"/>
      <c r="M1387" s="20"/>
      <c r="N1387" s="20"/>
      <c r="O1387" s="20"/>
      <c r="P1387" s="20"/>
    </row>
    <row r="1388">
      <c r="A1388" s="23"/>
      <c r="B1388" s="21"/>
      <c r="C1388" s="23"/>
      <c r="D1388" s="24"/>
      <c r="E1388" s="14"/>
      <c r="F1388" s="14"/>
      <c r="G1388" s="14"/>
      <c r="H1388" s="23"/>
      <c r="I1388" s="27"/>
      <c r="J1388" s="23"/>
      <c r="K1388" s="30"/>
      <c r="L1388" s="23"/>
      <c r="M1388" s="20"/>
      <c r="N1388" s="20"/>
      <c r="O1388" s="20"/>
      <c r="P1388" s="20"/>
    </row>
    <row r="1389">
      <c r="A1389" s="10"/>
      <c r="B1389" s="11"/>
      <c r="C1389" s="10"/>
      <c r="D1389" s="13"/>
      <c r="E1389" s="14"/>
      <c r="F1389" s="14"/>
      <c r="G1389" s="14"/>
      <c r="H1389" s="10"/>
      <c r="I1389" s="17"/>
      <c r="J1389" s="10"/>
      <c r="K1389" s="46"/>
      <c r="L1389" s="10"/>
      <c r="M1389" s="20"/>
      <c r="N1389" s="20"/>
      <c r="O1389" s="20"/>
      <c r="P1389" s="20"/>
    </row>
    <row r="1390">
      <c r="A1390" s="23"/>
      <c r="B1390" s="21"/>
      <c r="C1390" s="23"/>
      <c r="D1390" s="24"/>
      <c r="E1390" s="14"/>
      <c r="F1390" s="14"/>
      <c r="G1390" s="14"/>
      <c r="H1390" s="23"/>
      <c r="I1390" s="27"/>
      <c r="J1390" s="23"/>
      <c r="K1390" s="30"/>
      <c r="L1390" s="23"/>
      <c r="M1390" s="20"/>
      <c r="N1390" s="20"/>
      <c r="O1390" s="20"/>
      <c r="P1390" s="20"/>
    </row>
    <row r="1391">
      <c r="A1391" s="10"/>
      <c r="B1391" s="11"/>
      <c r="C1391" s="10"/>
      <c r="D1391" s="13"/>
      <c r="E1391" s="14"/>
      <c r="F1391" s="14"/>
      <c r="G1391" s="14"/>
      <c r="H1391" s="10"/>
      <c r="I1391" s="17"/>
      <c r="J1391" s="10"/>
      <c r="K1391" s="46"/>
      <c r="L1391" s="10"/>
      <c r="M1391" s="20"/>
      <c r="N1391" s="20"/>
      <c r="O1391" s="20"/>
      <c r="P1391" s="20"/>
    </row>
    <row r="1392">
      <c r="A1392" s="23"/>
      <c r="B1392" s="21"/>
      <c r="C1392" s="23"/>
      <c r="D1392" s="24"/>
      <c r="E1392" s="14"/>
      <c r="F1392" s="14"/>
      <c r="G1392" s="14"/>
      <c r="H1392" s="23"/>
      <c r="I1392" s="27"/>
      <c r="J1392" s="23"/>
      <c r="K1392" s="30"/>
      <c r="L1392" s="23"/>
      <c r="M1392" s="20"/>
      <c r="N1392" s="20"/>
      <c r="O1392" s="20"/>
      <c r="P1392" s="20"/>
    </row>
    <row r="1393">
      <c r="A1393" s="10"/>
      <c r="B1393" s="11"/>
      <c r="C1393" s="10"/>
      <c r="D1393" s="13"/>
      <c r="E1393" s="14"/>
      <c r="F1393" s="14"/>
      <c r="G1393" s="14"/>
      <c r="H1393" s="10"/>
      <c r="I1393" s="17"/>
      <c r="J1393" s="10"/>
      <c r="K1393" s="46"/>
      <c r="L1393" s="10"/>
      <c r="M1393" s="20"/>
      <c r="N1393" s="20"/>
      <c r="O1393" s="20"/>
      <c r="P1393" s="20"/>
    </row>
    <row r="1394">
      <c r="A1394" s="23"/>
      <c r="B1394" s="21"/>
      <c r="C1394" s="23"/>
      <c r="D1394" s="24"/>
      <c r="E1394" s="14"/>
      <c r="F1394" s="14"/>
      <c r="G1394" s="14"/>
      <c r="H1394" s="23"/>
      <c r="I1394" s="27"/>
      <c r="J1394" s="23"/>
      <c r="K1394" s="30"/>
      <c r="L1394" s="23"/>
      <c r="M1394" s="20"/>
      <c r="N1394" s="20"/>
      <c r="O1394" s="20"/>
      <c r="P1394" s="20"/>
    </row>
    <row r="1395">
      <c r="A1395" s="10"/>
      <c r="B1395" s="11"/>
      <c r="C1395" s="10"/>
      <c r="D1395" s="13"/>
      <c r="E1395" s="14"/>
      <c r="F1395" s="14"/>
      <c r="G1395" s="14"/>
      <c r="H1395" s="10"/>
      <c r="I1395" s="17"/>
      <c r="J1395" s="10"/>
      <c r="K1395" s="46"/>
      <c r="L1395" s="10"/>
      <c r="M1395" s="20"/>
      <c r="N1395" s="20"/>
      <c r="O1395" s="20"/>
      <c r="P1395" s="20"/>
    </row>
    <row r="1396">
      <c r="A1396" s="23"/>
      <c r="B1396" s="21"/>
      <c r="C1396" s="23"/>
      <c r="D1396" s="24"/>
      <c r="E1396" s="14"/>
      <c r="F1396" s="14"/>
      <c r="G1396" s="14"/>
      <c r="H1396" s="23"/>
      <c r="I1396" s="27"/>
      <c r="J1396" s="23"/>
      <c r="K1396" s="30"/>
      <c r="L1396" s="23"/>
      <c r="M1396" s="20"/>
      <c r="N1396" s="20"/>
      <c r="O1396" s="20"/>
      <c r="P1396" s="20"/>
    </row>
    <row r="1397">
      <c r="A1397" s="10"/>
      <c r="B1397" s="11"/>
      <c r="C1397" s="10"/>
      <c r="D1397" s="13"/>
      <c r="E1397" s="14"/>
      <c r="F1397" s="14"/>
      <c r="G1397" s="14"/>
      <c r="H1397" s="10"/>
      <c r="I1397" s="17"/>
      <c r="J1397" s="10"/>
      <c r="K1397" s="46"/>
      <c r="L1397" s="10"/>
      <c r="M1397" s="20"/>
      <c r="N1397" s="20"/>
      <c r="O1397" s="20"/>
      <c r="P1397" s="20"/>
    </row>
    <row r="1398">
      <c r="A1398" s="23"/>
      <c r="B1398" s="21"/>
      <c r="C1398" s="23"/>
      <c r="D1398" s="24"/>
      <c r="E1398" s="14"/>
      <c r="F1398" s="14"/>
      <c r="G1398" s="14"/>
      <c r="H1398" s="23"/>
      <c r="I1398" s="27"/>
      <c r="J1398" s="23"/>
      <c r="K1398" s="30"/>
      <c r="L1398" s="23"/>
      <c r="M1398" s="20"/>
      <c r="N1398" s="20"/>
      <c r="O1398" s="20"/>
      <c r="P1398" s="20"/>
    </row>
    <row r="1399">
      <c r="A1399" s="10"/>
      <c r="B1399" s="11"/>
      <c r="C1399" s="10"/>
      <c r="D1399" s="13"/>
      <c r="E1399" s="14"/>
      <c r="F1399" s="14"/>
      <c r="G1399" s="14"/>
      <c r="H1399" s="10"/>
      <c r="I1399" s="17"/>
      <c r="J1399" s="10"/>
      <c r="K1399" s="46"/>
      <c r="L1399" s="10"/>
      <c r="M1399" s="20"/>
      <c r="N1399" s="20"/>
      <c r="O1399" s="20"/>
      <c r="P1399" s="20"/>
    </row>
    <row r="1400">
      <c r="A1400" s="23"/>
      <c r="B1400" s="21"/>
      <c r="C1400" s="23"/>
      <c r="D1400" s="24"/>
      <c r="E1400" s="14"/>
      <c r="F1400" s="14"/>
      <c r="G1400" s="14"/>
      <c r="H1400" s="23"/>
      <c r="I1400" s="27"/>
      <c r="J1400" s="23"/>
      <c r="K1400" s="30"/>
      <c r="L1400" s="23"/>
      <c r="M1400" s="20"/>
      <c r="N1400" s="20"/>
      <c r="O1400" s="20"/>
      <c r="P1400" s="20"/>
    </row>
    <row r="1401">
      <c r="A1401" s="10"/>
      <c r="B1401" s="11"/>
      <c r="C1401" s="10"/>
      <c r="D1401" s="13"/>
      <c r="E1401" s="14"/>
      <c r="F1401" s="14"/>
      <c r="G1401" s="14"/>
      <c r="H1401" s="10"/>
      <c r="I1401" s="17"/>
      <c r="J1401" s="10"/>
      <c r="K1401" s="46"/>
      <c r="L1401" s="10"/>
      <c r="M1401" s="20"/>
      <c r="N1401" s="20"/>
      <c r="O1401" s="20"/>
      <c r="P1401" s="20"/>
    </row>
    <row r="1402">
      <c r="A1402" s="23"/>
      <c r="B1402" s="21"/>
      <c r="C1402" s="23"/>
      <c r="D1402" s="24"/>
      <c r="E1402" s="14"/>
      <c r="F1402" s="14"/>
      <c r="G1402" s="14"/>
      <c r="H1402" s="23"/>
      <c r="I1402" s="27"/>
      <c r="J1402" s="23"/>
      <c r="K1402" s="30"/>
      <c r="L1402" s="23"/>
      <c r="M1402" s="20"/>
      <c r="N1402" s="20"/>
      <c r="O1402" s="20"/>
      <c r="P1402" s="20"/>
    </row>
    <row r="1403">
      <c r="A1403" s="10"/>
      <c r="B1403" s="11"/>
      <c r="C1403" s="10"/>
      <c r="D1403" s="13"/>
      <c r="E1403" s="14"/>
      <c r="F1403" s="14"/>
      <c r="G1403" s="14"/>
      <c r="H1403" s="10"/>
      <c r="I1403" s="17"/>
      <c r="J1403" s="10"/>
      <c r="K1403" s="46"/>
      <c r="L1403" s="10"/>
      <c r="M1403" s="20"/>
      <c r="N1403" s="20"/>
      <c r="O1403" s="20"/>
      <c r="P1403" s="20"/>
    </row>
    <row r="1404">
      <c r="A1404" s="23"/>
      <c r="B1404" s="21"/>
      <c r="C1404" s="23"/>
      <c r="D1404" s="24"/>
      <c r="E1404" s="14"/>
      <c r="F1404" s="14"/>
      <c r="G1404" s="14"/>
      <c r="H1404" s="23"/>
      <c r="I1404" s="27"/>
      <c r="J1404" s="23"/>
      <c r="K1404" s="30"/>
      <c r="L1404" s="23"/>
      <c r="M1404" s="20"/>
      <c r="N1404" s="20"/>
      <c r="O1404" s="20"/>
      <c r="P1404" s="20"/>
    </row>
    <row r="1405">
      <c r="A1405" s="10"/>
      <c r="B1405" s="11"/>
      <c r="C1405" s="10"/>
      <c r="D1405" s="13"/>
      <c r="E1405" s="14"/>
      <c r="F1405" s="14"/>
      <c r="G1405" s="14"/>
      <c r="H1405" s="10"/>
      <c r="I1405" s="17"/>
      <c r="J1405" s="10"/>
      <c r="K1405" s="46"/>
      <c r="L1405" s="10"/>
      <c r="M1405" s="20"/>
      <c r="N1405" s="20"/>
      <c r="O1405" s="20"/>
      <c r="P1405" s="20"/>
    </row>
    <row r="1406">
      <c r="A1406" s="23"/>
      <c r="B1406" s="21"/>
      <c r="C1406" s="23"/>
      <c r="D1406" s="24"/>
      <c r="E1406" s="14"/>
      <c r="F1406" s="14"/>
      <c r="G1406" s="14"/>
      <c r="H1406" s="23"/>
      <c r="I1406" s="27"/>
      <c r="J1406" s="23"/>
      <c r="K1406" s="30"/>
      <c r="L1406" s="23"/>
      <c r="M1406" s="20"/>
      <c r="N1406" s="20"/>
      <c r="O1406" s="20"/>
      <c r="P1406" s="20"/>
    </row>
    <row r="1407">
      <c r="A1407" s="10"/>
      <c r="B1407" s="11"/>
      <c r="C1407" s="10"/>
      <c r="D1407" s="13"/>
      <c r="E1407" s="14"/>
      <c r="F1407" s="14"/>
      <c r="G1407" s="14"/>
      <c r="H1407" s="10"/>
      <c r="I1407" s="17"/>
      <c r="J1407" s="10"/>
      <c r="K1407" s="46"/>
      <c r="L1407" s="10"/>
      <c r="M1407" s="20"/>
      <c r="N1407" s="20"/>
      <c r="O1407" s="20"/>
      <c r="P1407" s="20"/>
    </row>
    <row r="1408">
      <c r="A1408" s="23"/>
      <c r="B1408" s="21"/>
      <c r="C1408" s="23"/>
      <c r="D1408" s="24"/>
      <c r="E1408" s="14"/>
      <c r="F1408" s="14"/>
      <c r="G1408" s="14"/>
      <c r="H1408" s="23"/>
      <c r="I1408" s="27"/>
      <c r="J1408" s="23"/>
      <c r="K1408" s="30"/>
      <c r="L1408" s="23"/>
      <c r="M1408" s="20"/>
      <c r="N1408" s="20"/>
      <c r="O1408" s="20"/>
      <c r="P1408" s="20"/>
    </row>
    <row r="1409">
      <c r="A1409" s="10"/>
      <c r="B1409" s="11"/>
      <c r="C1409" s="10"/>
      <c r="D1409" s="13"/>
      <c r="E1409" s="14"/>
      <c r="F1409" s="14"/>
      <c r="G1409" s="14"/>
      <c r="H1409" s="10"/>
      <c r="I1409" s="17"/>
      <c r="J1409" s="10"/>
      <c r="K1409" s="46"/>
      <c r="L1409" s="10"/>
      <c r="M1409" s="20"/>
      <c r="N1409" s="20"/>
      <c r="O1409" s="20"/>
      <c r="P1409" s="20"/>
    </row>
    <row r="1410">
      <c r="A1410" s="23"/>
      <c r="B1410" s="21"/>
      <c r="C1410" s="23"/>
      <c r="D1410" s="24"/>
      <c r="E1410" s="14"/>
      <c r="F1410" s="14"/>
      <c r="G1410" s="14"/>
      <c r="H1410" s="23"/>
      <c r="I1410" s="27"/>
      <c r="J1410" s="23"/>
      <c r="K1410" s="30"/>
      <c r="L1410" s="23"/>
      <c r="M1410" s="20"/>
      <c r="N1410" s="20"/>
      <c r="O1410" s="20"/>
      <c r="P1410" s="20"/>
    </row>
    <row r="1411">
      <c r="A1411" s="10"/>
      <c r="B1411" s="11"/>
      <c r="C1411" s="10"/>
      <c r="D1411" s="13"/>
      <c r="E1411" s="14"/>
      <c r="F1411" s="14"/>
      <c r="G1411" s="14"/>
      <c r="H1411" s="10"/>
      <c r="I1411" s="17"/>
      <c r="J1411" s="10"/>
      <c r="K1411" s="46"/>
      <c r="L1411" s="10"/>
      <c r="M1411" s="20"/>
      <c r="N1411" s="20"/>
      <c r="O1411" s="20"/>
      <c r="P1411" s="20"/>
    </row>
    <row r="1412">
      <c r="A1412" s="23"/>
      <c r="B1412" s="21"/>
      <c r="C1412" s="23"/>
      <c r="D1412" s="24"/>
      <c r="E1412" s="14"/>
      <c r="F1412" s="14"/>
      <c r="G1412" s="14"/>
      <c r="H1412" s="23"/>
      <c r="I1412" s="27"/>
      <c r="J1412" s="23"/>
      <c r="K1412" s="30"/>
      <c r="L1412" s="23"/>
      <c r="M1412" s="20"/>
      <c r="N1412" s="20"/>
      <c r="O1412" s="20"/>
      <c r="P1412" s="20"/>
    </row>
    <row r="1413">
      <c r="A1413" s="10"/>
      <c r="B1413" s="11"/>
      <c r="C1413" s="10"/>
      <c r="D1413" s="13"/>
      <c r="E1413" s="14"/>
      <c r="F1413" s="14"/>
      <c r="G1413" s="14"/>
      <c r="H1413" s="10"/>
      <c r="I1413" s="17"/>
      <c r="J1413" s="10"/>
      <c r="K1413" s="46"/>
      <c r="L1413" s="10"/>
      <c r="M1413" s="20"/>
      <c r="N1413" s="20"/>
      <c r="O1413" s="20"/>
      <c r="P1413" s="20"/>
    </row>
    <row r="1414">
      <c r="A1414" s="23"/>
      <c r="B1414" s="21"/>
      <c r="C1414" s="23"/>
      <c r="D1414" s="24"/>
      <c r="E1414" s="14"/>
      <c r="F1414" s="14"/>
      <c r="G1414" s="14"/>
      <c r="H1414" s="23"/>
      <c r="I1414" s="27"/>
      <c r="J1414" s="23"/>
      <c r="K1414" s="30"/>
      <c r="L1414" s="23"/>
      <c r="M1414" s="20"/>
      <c r="N1414" s="20"/>
      <c r="O1414" s="20"/>
      <c r="P1414" s="20"/>
    </row>
    <row r="1415">
      <c r="A1415" s="10"/>
      <c r="B1415" s="11"/>
      <c r="C1415" s="10"/>
      <c r="D1415" s="13"/>
      <c r="E1415" s="14"/>
      <c r="F1415" s="14"/>
      <c r="G1415" s="14"/>
      <c r="H1415" s="10"/>
      <c r="I1415" s="17"/>
      <c r="J1415" s="10"/>
      <c r="K1415" s="46"/>
      <c r="L1415" s="10"/>
      <c r="M1415" s="20"/>
      <c r="N1415" s="20"/>
      <c r="O1415" s="20"/>
      <c r="P1415" s="20"/>
    </row>
    <row r="1416">
      <c r="A1416" s="23"/>
      <c r="B1416" s="21"/>
      <c r="C1416" s="23"/>
      <c r="D1416" s="24"/>
      <c r="E1416" s="14"/>
      <c r="F1416" s="14"/>
      <c r="G1416" s="14"/>
      <c r="H1416" s="23"/>
      <c r="I1416" s="27"/>
      <c r="J1416" s="23"/>
      <c r="K1416" s="30"/>
      <c r="L1416" s="23"/>
      <c r="M1416" s="20"/>
      <c r="N1416" s="20"/>
      <c r="O1416" s="20"/>
      <c r="P1416" s="20"/>
    </row>
    <row r="1417">
      <c r="A1417" s="10"/>
      <c r="B1417" s="11"/>
      <c r="C1417" s="10"/>
      <c r="D1417" s="13"/>
      <c r="E1417" s="14"/>
      <c r="F1417" s="14"/>
      <c r="G1417" s="14"/>
      <c r="H1417" s="10"/>
      <c r="I1417" s="17"/>
      <c r="J1417" s="10"/>
      <c r="K1417" s="46"/>
      <c r="L1417" s="10"/>
      <c r="M1417" s="20"/>
      <c r="N1417" s="20"/>
      <c r="O1417" s="20"/>
      <c r="P1417" s="20"/>
    </row>
    <row r="1418">
      <c r="A1418" s="23"/>
      <c r="B1418" s="21"/>
      <c r="C1418" s="23"/>
      <c r="D1418" s="24"/>
      <c r="E1418" s="14"/>
      <c r="F1418" s="14"/>
      <c r="G1418" s="14"/>
      <c r="H1418" s="23"/>
      <c r="I1418" s="27"/>
      <c r="J1418" s="23"/>
      <c r="K1418" s="30"/>
      <c r="L1418" s="23"/>
      <c r="M1418" s="20"/>
      <c r="N1418" s="20"/>
      <c r="O1418" s="20"/>
      <c r="P1418" s="20"/>
    </row>
    <row r="1419">
      <c r="A1419" s="10"/>
      <c r="B1419" s="11"/>
      <c r="C1419" s="10"/>
      <c r="D1419" s="13"/>
      <c r="E1419" s="14"/>
      <c r="F1419" s="14"/>
      <c r="G1419" s="14"/>
      <c r="H1419" s="10"/>
      <c r="I1419" s="17"/>
      <c r="J1419" s="10"/>
      <c r="K1419" s="46"/>
      <c r="L1419" s="10"/>
      <c r="M1419" s="20"/>
      <c r="N1419" s="20"/>
      <c r="O1419" s="20"/>
      <c r="P1419" s="20"/>
    </row>
    <row r="1420">
      <c r="A1420" s="23"/>
      <c r="B1420" s="21"/>
      <c r="C1420" s="23"/>
      <c r="D1420" s="24"/>
      <c r="E1420" s="14"/>
      <c r="F1420" s="14"/>
      <c r="G1420" s="14"/>
      <c r="H1420" s="23"/>
      <c r="I1420" s="27"/>
      <c r="J1420" s="23"/>
      <c r="K1420" s="30"/>
      <c r="L1420" s="23"/>
      <c r="M1420" s="20"/>
      <c r="N1420" s="20"/>
      <c r="O1420" s="20"/>
      <c r="P1420" s="20"/>
    </row>
    <row r="1421">
      <c r="A1421" s="10"/>
      <c r="B1421" s="11"/>
      <c r="C1421" s="10"/>
      <c r="D1421" s="13"/>
      <c r="E1421" s="14"/>
      <c r="F1421" s="14"/>
      <c r="G1421" s="14"/>
      <c r="H1421" s="10"/>
      <c r="I1421" s="17"/>
      <c r="J1421" s="10"/>
      <c r="K1421" s="46"/>
      <c r="L1421" s="10"/>
      <c r="M1421" s="20"/>
      <c r="N1421" s="20"/>
      <c r="O1421" s="20"/>
      <c r="P1421" s="20"/>
    </row>
    <row r="1422">
      <c r="A1422" s="23"/>
      <c r="B1422" s="21"/>
      <c r="C1422" s="23"/>
      <c r="D1422" s="24"/>
      <c r="E1422" s="14"/>
      <c r="F1422" s="14"/>
      <c r="G1422" s="14"/>
      <c r="H1422" s="23"/>
      <c r="I1422" s="27"/>
      <c r="J1422" s="23"/>
      <c r="K1422" s="30"/>
      <c r="L1422" s="23"/>
      <c r="M1422" s="20"/>
      <c r="N1422" s="20"/>
      <c r="O1422" s="20"/>
      <c r="P1422" s="20"/>
    </row>
    <row r="1423">
      <c r="A1423" s="10"/>
      <c r="B1423" s="11"/>
      <c r="C1423" s="10"/>
      <c r="D1423" s="13"/>
      <c r="E1423" s="14"/>
      <c r="F1423" s="14"/>
      <c r="G1423" s="14"/>
      <c r="H1423" s="10"/>
      <c r="I1423" s="17"/>
      <c r="J1423" s="10"/>
      <c r="K1423" s="46"/>
      <c r="L1423" s="10"/>
      <c r="M1423" s="20"/>
      <c r="N1423" s="20"/>
      <c r="O1423" s="20"/>
      <c r="P1423" s="20"/>
    </row>
    <row r="1424">
      <c r="A1424" s="23"/>
      <c r="B1424" s="21"/>
      <c r="C1424" s="23"/>
      <c r="D1424" s="24"/>
      <c r="E1424" s="14"/>
      <c r="F1424" s="14"/>
      <c r="G1424" s="14"/>
      <c r="H1424" s="23"/>
      <c r="I1424" s="27"/>
      <c r="J1424" s="23"/>
      <c r="K1424" s="30"/>
      <c r="L1424" s="23"/>
      <c r="M1424" s="20"/>
      <c r="N1424" s="20"/>
      <c r="O1424" s="20"/>
      <c r="P1424" s="20"/>
    </row>
    <row r="1425">
      <c r="A1425" s="10"/>
      <c r="B1425" s="11"/>
      <c r="C1425" s="10"/>
      <c r="D1425" s="13"/>
      <c r="E1425" s="14"/>
      <c r="F1425" s="14"/>
      <c r="G1425" s="14"/>
      <c r="H1425" s="10"/>
      <c r="I1425" s="17"/>
      <c r="J1425" s="10"/>
      <c r="K1425" s="46"/>
      <c r="L1425" s="10"/>
      <c r="M1425" s="20"/>
      <c r="N1425" s="20"/>
      <c r="O1425" s="20"/>
      <c r="P1425" s="20"/>
    </row>
    <row r="1426">
      <c r="A1426" s="23"/>
      <c r="B1426" s="21"/>
      <c r="C1426" s="23"/>
      <c r="D1426" s="24"/>
      <c r="E1426" s="14"/>
      <c r="F1426" s="14"/>
      <c r="G1426" s="14"/>
      <c r="H1426" s="23"/>
      <c r="I1426" s="27"/>
      <c r="J1426" s="23"/>
      <c r="K1426" s="30"/>
      <c r="L1426" s="23"/>
      <c r="M1426" s="20"/>
      <c r="N1426" s="20"/>
      <c r="O1426" s="20"/>
      <c r="P1426" s="20"/>
    </row>
    <row r="1427">
      <c r="A1427" s="10"/>
      <c r="B1427" s="11"/>
      <c r="C1427" s="10"/>
      <c r="D1427" s="13"/>
      <c r="E1427" s="14"/>
      <c r="F1427" s="14"/>
      <c r="G1427" s="14"/>
      <c r="H1427" s="10"/>
      <c r="I1427" s="17"/>
      <c r="J1427" s="10"/>
      <c r="K1427" s="46"/>
      <c r="L1427" s="10"/>
      <c r="M1427" s="20"/>
      <c r="N1427" s="20"/>
      <c r="O1427" s="20"/>
      <c r="P1427" s="20"/>
    </row>
    <row r="1428">
      <c r="A1428" s="23"/>
      <c r="B1428" s="21"/>
      <c r="C1428" s="23"/>
      <c r="D1428" s="24"/>
      <c r="E1428" s="14"/>
      <c r="F1428" s="14"/>
      <c r="G1428" s="14"/>
      <c r="H1428" s="23"/>
      <c r="I1428" s="27"/>
      <c r="J1428" s="23"/>
      <c r="K1428" s="30"/>
      <c r="L1428" s="23"/>
      <c r="M1428" s="20"/>
      <c r="N1428" s="20"/>
      <c r="O1428" s="20"/>
      <c r="P1428" s="20"/>
    </row>
    <row r="1429">
      <c r="A1429" s="10"/>
      <c r="B1429" s="11"/>
      <c r="C1429" s="10"/>
      <c r="D1429" s="13"/>
      <c r="E1429" s="14"/>
      <c r="F1429" s="14"/>
      <c r="G1429" s="14"/>
      <c r="H1429" s="10"/>
      <c r="I1429" s="17"/>
      <c r="J1429" s="10"/>
      <c r="K1429" s="46"/>
      <c r="L1429" s="10"/>
      <c r="M1429" s="20"/>
      <c r="N1429" s="20"/>
      <c r="O1429" s="20"/>
      <c r="P1429" s="20"/>
    </row>
    <row r="1430">
      <c r="A1430" s="23"/>
      <c r="B1430" s="21"/>
      <c r="C1430" s="23"/>
      <c r="D1430" s="24"/>
      <c r="E1430" s="14"/>
      <c r="F1430" s="14"/>
      <c r="G1430" s="14"/>
      <c r="H1430" s="23"/>
      <c r="I1430" s="27"/>
      <c r="J1430" s="23"/>
      <c r="K1430" s="30"/>
      <c r="L1430" s="23"/>
      <c r="M1430" s="20"/>
      <c r="N1430" s="20"/>
      <c r="O1430" s="20"/>
      <c r="P1430" s="20"/>
    </row>
    <row r="1431">
      <c r="A1431" s="10"/>
      <c r="B1431" s="11"/>
      <c r="C1431" s="10"/>
      <c r="D1431" s="13"/>
      <c r="E1431" s="14"/>
      <c r="F1431" s="14"/>
      <c r="G1431" s="14"/>
      <c r="H1431" s="10"/>
      <c r="I1431" s="17"/>
      <c r="J1431" s="10"/>
      <c r="K1431" s="46"/>
      <c r="L1431" s="10"/>
      <c r="M1431" s="20"/>
      <c r="N1431" s="20"/>
      <c r="O1431" s="20"/>
      <c r="P1431" s="20"/>
    </row>
    <row r="1432">
      <c r="A1432" s="23"/>
      <c r="B1432" s="21"/>
      <c r="C1432" s="23"/>
      <c r="D1432" s="24"/>
      <c r="E1432" s="14"/>
      <c r="F1432" s="14"/>
      <c r="G1432" s="14"/>
      <c r="H1432" s="23"/>
      <c r="I1432" s="27"/>
      <c r="J1432" s="23"/>
      <c r="K1432" s="30"/>
      <c r="L1432" s="23"/>
      <c r="M1432" s="20"/>
      <c r="N1432" s="20"/>
      <c r="O1432" s="20"/>
      <c r="P1432" s="20"/>
    </row>
    <row r="1433">
      <c r="A1433" s="10"/>
      <c r="B1433" s="11"/>
      <c r="C1433" s="10"/>
      <c r="D1433" s="13"/>
      <c r="E1433" s="14"/>
      <c r="F1433" s="14"/>
      <c r="G1433" s="14"/>
      <c r="H1433" s="10"/>
      <c r="I1433" s="17"/>
      <c r="J1433" s="10"/>
      <c r="K1433" s="46"/>
      <c r="L1433" s="10"/>
      <c r="M1433" s="20"/>
      <c r="N1433" s="20"/>
      <c r="O1433" s="20"/>
      <c r="P1433" s="20"/>
    </row>
    <row r="1434">
      <c r="A1434" s="23"/>
      <c r="B1434" s="21"/>
      <c r="C1434" s="23"/>
      <c r="D1434" s="24"/>
      <c r="E1434" s="14"/>
      <c r="F1434" s="14"/>
      <c r="G1434" s="14"/>
      <c r="H1434" s="23"/>
      <c r="I1434" s="27"/>
      <c r="J1434" s="23"/>
      <c r="K1434" s="30"/>
      <c r="L1434" s="23"/>
      <c r="M1434" s="20"/>
      <c r="N1434" s="20"/>
      <c r="O1434" s="20"/>
      <c r="P1434" s="20"/>
    </row>
    <row r="1435">
      <c r="A1435" s="10"/>
      <c r="B1435" s="11"/>
      <c r="C1435" s="10"/>
      <c r="D1435" s="13"/>
      <c r="E1435" s="14"/>
      <c r="F1435" s="14"/>
      <c r="G1435" s="14"/>
      <c r="H1435" s="10"/>
      <c r="I1435" s="17"/>
      <c r="J1435" s="10"/>
      <c r="K1435" s="46"/>
      <c r="L1435" s="10"/>
      <c r="M1435" s="20"/>
      <c r="N1435" s="20"/>
      <c r="O1435" s="20"/>
      <c r="P1435" s="20"/>
    </row>
    <row r="1436">
      <c r="A1436" s="23"/>
      <c r="B1436" s="21"/>
      <c r="C1436" s="23"/>
      <c r="D1436" s="24"/>
      <c r="E1436" s="14"/>
      <c r="F1436" s="14"/>
      <c r="G1436" s="14"/>
      <c r="H1436" s="23"/>
      <c r="I1436" s="27"/>
      <c r="J1436" s="23"/>
      <c r="K1436" s="30"/>
      <c r="L1436" s="23"/>
      <c r="M1436" s="20"/>
      <c r="N1436" s="20"/>
      <c r="O1436" s="20"/>
      <c r="P1436" s="20"/>
    </row>
    <row r="1437">
      <c r="A1437" s="10"/>
      <c r="B1437" s="11"/>
      <c r="C1437" s="10"/>
      <c r="D1437" s="13"/>
      <c r="E1437" s="14"/>
      <c r="F1437" s="14"/>
      <c r="G1437" s="14"/>
      <c r="H1437" s="10"/>
      <c r="I1437" s="17"/>
      <c r="J1437" s="10"/>
      <c r="K1437" s="46"/>
      <c r="L1437" s="10"/>
      <c r="M1437" s="20"/>
      <c r="N1437" s="20"/>
      <c r="O1437" s="20"/>
      <c r="P1437" s="20"/>
    </row>
    <row r="1438">
      <c r="A1438" s="23"/>
      <c r="B1438" s="21"/>
      <c r="C1438" s="23"/>
      <c r="D1438" s="24"/>
      <c r="E1438" s="14"/>
      <c r="F1438" s="14"/>
      <c r="G1438" s="14"/>
      <c r="H1438" s="23"/>
      <c r="I1438" s="27"/>
      <c r="J1438" s="23"/>
      <c r="K1438" s="30"/>
      <c r="L1438" s="23"/>
      <c r="M1438" s="20"/>
      <c r="N1438" s="20"/>
      <c r="O1438" s="20"/>
      <c r="P1438" s="20"/>
    </row>
    <row r="1439">
      <c r="A1439" s="10"/>
      <c r="B1439" s="11"/>
      <c r="C1439" s="10"/>
      <c r="D1439" s="13"/>
      <c r="E1439" s="14"/>
      <c r="F1439" s="14"/>
      <c r="G1439" s="14"/>
      <c r="H1439" s="10"/>
      <c r="I1439" s="17"/>
      <c r="J1439" s="10"/>
      <c r="K1439" s="46"/>
      <c r="L1439" s="10"/>
      <c r="M1439" s="20"/>
      <c r="N1439" s="20"/>
      <c r="O1439" s="20"/>
      <c r="P1439" s="20"/>
    </row>
    <row r="1440">
      <c r="A1440" s="23"/>
      <c r="B1440" s="21"/>
      <c r="C1440" s="23"/>
      <c r="D1440" s="24"/>
      <c r="E1440" s="14"/>
      <c r="F1440" s="14"/>
      <c r="G1440" s="14"/>
      <c r="H1440" s="23"/>
      <c r="I1440" s="27"/>
      <c r="J1440" s="23"/>
      <c r="K1440" s="30"/>
      <c r="L1440" s="23"/>
      <c r="M1440" s="20"/>
      <c r="N1440" s="20"/>
      <c r="O1440" s="20"/>
      <c r="P1440" s="20"/>
    </row>
    <row r="1441">
      <c r="A1441" s="10"/>
      <c r="B1441" s="11"/>
      <c r="C1441" s="10"/>
      <c r="D1441" s="13"/>
      <c r="E1441" s="14"/>
      <c r="F1441" s="14"/>
      <c r="G1441" s="14"/>
      <c r="H1441" s="10"/>
      <c r="I1441" s="17"/>
      <c r="J1441" s="10"/>
      <c r="K1441" s="46"/>
      <c r="L1441" s="10"/>
      <c r="M1441" s="20"/>
      <c r="N1441" s="20"/>
      <c r="O1441" s="20"/>
      <c r="P1441" s="20"/>
    </row>
    <row r="1442">
      <c r="A1442" s="23"/>
      <c r="B1442" s="21"/>
      <c r="C1442" s="23"/>
      <c r="D1442" s="24"/>
      <c r="E1442" s="14"/>
      <c r="F1442" s="14"/>
      <c r="G1442" s="14"/>
      <c r="H1442" s="23"/>
      <c r="I1442" s="27"/>
      <c r="J1442" s="23"/>
      <c r="K1442" s="30"/>
      <c r="L1442" s="23"/>
      <c r="M1442" s="20"/>
      <c r="N1442" s="20"/>
      <c r="O1442" s="20"/>
      <c r="P1442" s="20"/>
    </row>
    <row r="1443">
      <c r="A1443" s="10"/>
      <c r="B1443" s="11"/>
      <c r="C1443" s="10"/>
      <c r="D1443" s="13"/>
      <c r="E1443" s="14"/>
      <c r="F1443" s="14"/>
      <c r="G1443" s="14"/>
      <c r="H1443" s="10"/>
      <c r="I1443" s="17"/>
      <c r="J1443" s="10"/>
      <c r="K1443" s="46"/>
      <c r="L1443" s="10"/>
      <c r="M1443" s="20"/>
      <c r="N1443" s="20"/>
      <c r="O1443" s="20"/>
      <c r="P1443" s="20"/>
    </row>
    <row r="1444">
      <c r="A1444" s="23"/>
      <c r="B1444" s="21"/>
      <c r="C1444" s="23"/>
      <c r="D1444" s="24"/>
      <c r="E1444" s="14"/>
      <c r="F1444" s="14"/>
      <c r="G1444" s="14"/>
      <c r="H1444" s="23"/>
      <c r="I1444" s="27"/>
      <c r="J1444" s="23"/>
      <c r="K1444" s="30"/>
      <c r="L1444" s="23"/>
      <c r="M1444" s="20"/>
      <c r="N1444" s="20"/>
      <c r="O1444" s="20"/>
      <c r="P1444" s="20"/>
    </row>
    <row r="1445">
      <c r="A1445" s="10"/>
      <c r="B1445" s="11"/>
      <c r="C1445" s="10"/>
      <c r="D1445" s="13"/>
      <c r="E1445" s="14"/>
      <c r="F1445" s="14"/>
      <c r="G1445" s="14"/>
      <c r="H1445" s="10"/>
      <c r="I1445" s="17"/>
      <c r="J1445" s="10"/>
      <c r="K1445" s="46"/>
      <c r="L1445" s="10"/>
      <c r="M1445" s="20"/>
      <c r="N1445" s="20"/>
      <c r="O1445" s="20"/>
      <c r="P1445" s="20"/>
    </row>
    <row r="1446">
      <c r="A1446" s="23"/>
      <c r="B1446" s="21"/>
      <c r="C1446" s="23"/>
      <c r="D1446" s="24"/>
      <c r="E1446" s="14"/>
      <c r="F1446" s="14"/>
      <c r="G1446" s="14"/>
      <c r="H1446" s="23"/>
      <c r="I1446" s="27"/>
      <c r="J1446" s="23"/>
      <c r="K1446" s="30"/>
      <c r="L1446" s="23"/>
      <c r="M1446" s="20"/>
      <c r="N1446" s="20"/>
      <c r="O1446" s="20"/>
      <c r="P1446" s="20"/>
    </row>
    <row r="1447">
      <c r="A1447" s="10"/>
      <c r="B1447" s="11"/>
      <c r="C1447" s="10"/>
      <c r="D1447" s="13"/>
      <c r="E1447" s="14"/>
      <c r="F1447" s="14"/>
      <c r="G1447" s="14"/>
      <c r="H1447" s="10"/>
      <c r="I1447" s="17"/>
      <c r="J1447" s="10"/>
      <c r="K1447" s="46"/>
      <c r="L1447" s="10"/>
      <c r="M1447" s="20"/>
      <c r="N1447" s="20"/>
      <c r="O1447" s="20"/>
      <c r="P1447" s="20"/>
    </row>
    <row r="1448">
      <c r="A1448" s="23"/>
      <c r="B1448" s="21"/>
      <c r="C1448" s="23"/>
      <c r="D1448" s="24"/>
      <c r="E1448" s="14"/>
      <c r="F1448" s="14"/>
      <c r="G1448" s="14"/>
      <c r="H1448" s="23"/>
      <c r="I1448" s="27"/>
      <c r="J1448" s="23"/>
      <c r="K1448" s="30"/>
      <c r="L1448" s="23"/>
      <c r="M1448" s="20"/>
      <c r="N1448" s="20"/>
      <c r="O1448" s="20"/>
      <c r="P1448" s="20"/>
    </row>
    <row r="1449">
      <c r="A1449" s="10"/>
      <c r="B1449" s="11"/>
      <c r="C1449" s="10"/>
      <c r="D1449" s="13"/>
      <c r="E1449" s="14"/>
      <c r="F1449" s="14"/>
      <c r="G1449" s="14"/>
      <c r="H1449" s="10"/>
      <c r="I1449" s="17"/>
      <c r="J1449" s="10"/>
      <c r="K1449" s="46"/>
      <c r="L1449" s="10"/>
      <c r="M1449" s="20"/>
      <c r="N1449" s="20"/>
      <c r="O1449" s="20"/>
      <c r="P1449" s="20"/>
    </row>
    <row r="1450">
      <c r="A1450" s="23"/>
      <c r="B1450" s="21"/>
      <c r="C1450" s="23"/>
      <c r="D1450" s="24"/>
      <c r="E1450" s="14"/>
      <c r="F1450" s="14"/>
      <c r="G1450" s="14"/>
      <c r="H1450" s="23"/>
      <c r="I1450" s="27"/>
      <c r="J1450" s="23"/>
      <c r="K1450" s="30"/>
      <c r="L1450" s="23"/>
      <c r="M1450" s="20"/>
      <c r="N1450" s="20"/>
      <c r="O1450" s="20"/>
      <c r="P1450" s="20"/>
    </row>
    <row r="1451">
      <c r="A1451" s="10"/>
      <c r="B1451" s="11"/>
      <c r="C1451" s="10"/>
      <c r="D1451" s="13"/>
      <c r="E1451" s="14"/>
      <c r="F1451" s="14"/>
      <c r="G1451" s="14"/>
      <c r="H1451" s="10"/>
      <c r="I1451" s="17"/>
      <c r="J1451" s="10"/>
      <c r="K1451" s="46"/>
      <c r="L1451" s="10"/>
      <c r="M1451" s="20"/>
      <c r="N1451" s="20"/>
      <c r="O1451" s="20"/>
      <c r="P1451" s="20"/>
    </row>
    <row r="1452">
      <c r="A1452" s="23"/>
      <c r="B1452" s="21"/>
      <c r="C1452" s="23"/>
      <c r="D1452" s="24"/>
      <c r="E1452" s="14"/>
      <c r="F1452" s="14"/>
      <c r="G1452" s="14"/>
      <c r="H1452" s="23"/>
      <c r="I1452" s="27"/>
      <c r="J1452" s="23"/>
      <c r="K1452" s="30"/>
      <c r="L1452" s="23"/>
      <c r="M1452" s="20"/>
      <c r="N1452" s="20"/>
      <c r="O1452" s="20"/>
      <c r="P1452" s="20"/>
    </row>
    <row r="1453">
      <c r="A1453" s="10"/>
      <c r="B1453" s="11"/>
      <c r="C1453" s="10"/>
      <c r="D1453" s="13"/>
      <c r="E1453" s="14"/>
      <c r="F1453" s="14"/>
      <c r="G1453" s="14"/>
      <c r="H1453" s="10"/>
      <c r="I1453" s="17"/>
      <c r="J1453" s="10"/>
      <c r="K1453" s="46"/>
      <c r="L1453" s="10"/>
      <c r="M1453" s="20"/>
      <c r="N1453" s="20"/>
      <c r="O1453" s="20"/>
      <c r="P1453" s="20"/>
    </row>
    <row r="1454">
      <c r="A1454" s="23"/>
      <c r="B1454" s="21"/>
      <c r="C1454" s="23"/>
      <c r="D1454" s="24"/>
      <c r="E1454" s="14"/>
      <c r="F1454" s="14"/>
      <c r="G1454" s="14"/>
      <c r="H1454" s="23"/>
      <c r="I1454" s="27"/>
      <c r="J1454" s="23"/>
      <c r="K1454" s="30"/>
      <c r="L1454" s="23"/>
      <c r="M1454" s="20"/>
      <c r="N1454" s="20"/>
      <c r="O1454" s="20"/>
      <c r="P1454" s="20"/>
    </row>
    <row r="1455">
      <c r="A1455" s="10"/>
      <c r="B1455" s="11"/>
      <c r="C1455" s="10"/>
      <c r="D1455" s="13"/>
      <c r="E1455" s="14"/>
      <c r="F1455" s="14"/>
      <c r="G1455" s="14"/>
      <c r="H1455" s="10"/>
      <c r="I1455" s="17"/>
      <c r="J1455" s="10"/>
      <c r="K1455" s="46"/>
      <c r="L1455" s="10"/>
      <c r="M1455" s="20"/>
      <c r="N1455" s="20"/>
      <c r="O1455" s="20"/>
      <c r="P1455" s="20"/>
    </row>
    <row r="1456">
      <c r="A1456" s="23"/>
      <c r="B1456" s="21"/>
      <c r="C1456" s="23"/>
      <c r="D1456" s="24"/>
      <c r="E1456" s="14"/>
      <c r="F1456" s="14"/>
      <c r="G1456" s="14"/>
      <c r="H1456" s="23"/>
      <c r="I1456" s="27"/>
      <c r="J1456" s="23"/>
      <c r="K1456" s="30"/>
      <c r="L1456" s="23"/>
      <c r="M1456" s="20"/>
      <c r="N1456" s="20"/>
      <c r="O1456" s="20"/>
      <c r="P1456" s="20"/>
    </row>
    <row r="1457">
      <c r="A1457" s="10"/>
      <c r="B1457" s="11"/>
      <c r="C1457" s="10"/>
      <c r="D1457" s="13"/>
      <c r="E1457" s="14"/>
      <c r="F1457" s="14"/>
      <c r="G1457" s="14"/>
      <c r="H1457" s="10"/>
      <c r="I1457" s="17"/>
      <c r="J1457" s="10"/>
      <c r="K1457" s="46"/>
      <c r="L1457" s="10"/>
      <c r="M1457" s="20"/>
      <c r="N1457" s="20"/>
      <c r="O1457" s="20"/>
      <c r="P1457" s="20"/>
    </row>
    <row r="1458">
      <c r="A1458" s="23"/>
      <c r="B1458" s="21"/>
      <c r="C1458" s="23"/>
      <c r="D1458" s="24"/>
      <c r="E1458" s="14"/>
      <c r="F1458" s="14"/>
      <c r="G1458" s="14"/>
      <c r="H1458" s="23"/>
      <c r="I1458" s="27"/>
      <c r="J1458" s="23"/>
      <c r="K1458" s="30"/>
      <c r="L1458" s="23"/>
      <c r="M1458" s="20"/>
      <c r="N1458" s="20"/>
      <c r="O1458" s="20"/>
      <c r="P1458" s="20"/>
    </row>
    <row r="1459">
      <c r="A1459" s="10"/>
      <c r="B1459" s="11"/>
      <c r="C1459" s="10"/>
      <c r="D1459" s="13"/>
      <c r="E1459" s="14"/>
      <c r="F1459" s="14"/>
      <c r="G1459" s="14"/>
      <c r="H1459" s="10"/>
      <c r="I1459" s="17"/>
      <c r="J1459" s="10"/>
      <c r="K1459" s="46"/>
      <c r="L1459" s="10"/>
      <c r="M1459" s="20"/>
      <c r="N1459" s="20"/>
      <c r="O1459" s="20"/>
      <c r="P1459" s="20"/>
    </row>
    <row r="1460">
      <c r="A1460" s="23"/>
      <c r="B1460" s="21"/>
      <c r="C1460" s="23"/>
      <c r="D1460" s="24"/>
      <c r="E1460" s="14"/>
      <c r="F1460" s="14"/>
      <c r="G1460" s="14"/>
      <c r="H1460" s="23"/>
      <c r="I1460" s="27"/>
      <c r="J1460" s="23"/>
      <c r="K1460" s="30"/>
      <c r="L1460" s="23"/>
      <c r="M1460" s="20"/>
      <c r="N1460" s="20"/>
      <c r="O1460" s="20"/>
      <c r="P1460" s="20"/>
    </row>
    <row r="1461">
      <c r="A1461" s="10"/>
      <c r="B1461" s="11"/>
      <c r="C1461" s="10"/>
      <c r="D1461" s="13"/>
      <c r="E1461" s="14"/>
      <c r="F1461" s="14"/>
      <c r="G1461" s="14"/>
      <c r="H1461" s="10"/>
      <c r="I1461" s="17"/>
      <c r="J1461" s="10"/>
      <c r="K1461" s="46"/>
      <c r="L1461" s="10"/>
      <c r="M1461" s="20"/>
      <c r="N1461" s="20"/>
      <c r="O1461" s="20"/>
      <c r="P1461" s="20"/>
    </row>
    <row r="1462">
      <c r="A1462" s="23"/>
      <c r="B1462" s="21"/>
      <c r="C1462" s="23"/>
      <c r="D1462" s="24"/>
      <c r="E1462" s="14"/>
      <c r="F1462" s="14"/>
      <c r="G1462" s="14"/>
      <c r="H1462" s="23"/>
      <c r="I1462" s="27"/>
      <c r="J1462" s="23"/>
      <c r="K1462" s="30"/>
      <c r="L1462" s="23"/>
      <c r="M1462" s="20"/>
      <c r="N1462" s="20"/>
      <c r="O1462" s="20"/>
      <c r="P1462" s="20"/>
    </row>
    <row r="1463">
      <c r="A1463" s="10"/>
      <c r="B1463" s="11"/>
      <c r="C1463" s="10"/>
      <c r="D1463" s="13"/>
      <c r="E1463" s="14"/>
      <c r="F1463" s="14"/>
      <c r="G1463" s="14"/>
      <c r="H1463" s="10"/>
      <c r="I1463" s="17"/>
      <c r="J1463" s="10"/>
      <c r="K1463" s="46"/>
      <c r="L1463" s="10"/>
      <c r="M1463" s="20"/>
      <c r="N1463" s="20"/>
      <c r="O1463" s="20"/>
      <c r="P1463" s="20"/>
    </row>
    <row r="1464">
      <c r="A1464" s="23"/>
      <c r="B1464" s="21"/>
      <c r="C1464" s="23"/>
      <c r="D1464" s="24"/>
      <c r="E1464" s="14"/>
      <c r="F1464" s="14"/>
      <c r="G1464" s="14"/>
      <c r="H1464" s="23"/>
      <c r="I1464" s="27"/>
      <c r="J1464" s="23"/>
      <c r="K1464" s="30"/>
      <c r="L1464" s="23"/>
      <c r="M1464" s="20"/>
      <c r="N1464" s="20"/>
      <c r="O1464" s="20"/>
      <c r="P1464" s="20"/>
    </row>
    <row r="1465">
      <c r="A1465" s="10"/>
      <c r="B1465" s="11"/>
      <c r="C1465" s="10"/>
      <c r="D1465" s="13"/>
      <c r="E1465" s="14"/>
      <c r="F1465" s="14"/>
      <c r="G1465" s="14"/>
      <c r="H1465" s="10"/>
      <c r="I1465" s="17"/>
      <c r="J1465" s="10"/>
      <c r="K1465" s="46"/>
      <c r="L1465" s="10"/>
      <c r="M1465" s="20"/>
      <c r="N1465" s="20"/>
      <c r="O1465" s="20"/>
      <c r="P1465" s="20"/>
    </row>
    <row r="1466">
      <c r="A1466" s="23"/>
      <c r="B1466" s="21"/>
      <c r="C1466" s="23"/>
      <c r="D1466" s="24"/>
      <c r="E1466" s="14"/>
      <c r="F1466" s="14"/>
      <c r="G1466" s="14"/>
      <c r="H1466" s="23"/>
      <c r="I1466" s="27"/>
      <c r="J1466" s="23"/>
      <c r="K1466" s="30"/>
      <c r="L1466" s="23"/>
      <c r="M1466" s="20"/>
      <c r="N1466" s="20"/>
      <c r="O1466" s="20"/>
      <c r="P1466" s="20"/>
    </row>
    <row r="1467">
      <c r="A1467" s="10"/>
      <c r="B1467" s="11"/>
      <c r="C1467" s="10"/>
      <c r="D1467" s="13"/>
      <c r="E1467" s="14"/>
      <c r="F1467" s="14"/>
      <c r="G1467" s="14"/>
      <c r="H1467" s="10"/>
      <c r="I1467" s="17"/>
      <c r="J1467" s="10"/>
      <c r="K1467" s="46"/>
      <c r="L1467" s="10"/>
      <c r="M1467" s="20"/>
      <c r="N1467" s="20"/>
      <c r="O1467" s="20"/>
      <c r="P1467" s="20"/>
    </row>
    <row r="1468">
      <c r="A1468" s="23"/>
      <c r="B1468" s="21"/>
      <c r="C1468" s="23"/>
      <c r="D1468" s="24"/>
      <c r="E1468" s="14"/>
      <c r="F1468" s="14"/>
      <c r="G1468" s="14"/>
      <c r="H1468" s="23"/>
      <c r="I1468" s="27"/>
      <c r="J1468" s="23"/>
      <c r="K1468" s="30"/>
      <c r="L1468" s="23"/>
      <c r="M1468" s="20"/>
      <c r="N1468" s="20"/>
      <c r="O1468" s="20"/>
      <c r="P1468" s="20"/>
    </row>
    <row r="1469">
      <c r="A1469" s="10"/>
      <c r="B1469" s="11"/>
      <c r="C1469" s="10"/>
      <c r="D1469" s="13"/>
      <c r="E1469" s="14"/>
      <c r="F1469" s="14"/>
      <c r="G1469" s="14"/>
      <c r="H1469" s="10"/>
      <c r="I1469" s="17"/>
      <c r="J1469" s="10"/>
      <c r="K1469" s="46"/>
      <c r="L1469" s="10"/>
      <c r="M1469" s="20"/>
      <c r="N1469" s="20"/>
      <c r="O1469" s="20"/>
      <c r="P1469" s="20"/>
    </row>
    <row r="1470">
      <c r="A1470" s="23"/>
      <c r="B1470" s="21"/>
      <c r="C1470" s="23"/>
      <c r="D1470" s="24"/>
      <c r="E1470" s="14"/>
      <c r="F1470" s="14"/>
      <c r="G1470" s="14"/>
      <c r="H1470" s="23"/>
      <c r="I1470" s="27"/>
      <c r="J1470" s="23"/>
      <c r="K1470" s="30"/>
      <c r="L1470" s="23"/>
      <c r="M1470" s="20"/>
      <c r="N1470" s="20"/>
      <c r="O1470" s="20"/>
      <c r="P1470" s="20"/>
    </row>
    <row r="1471">
      <c r="A1471" s="10"/>
      <c r="B1471" s="11"/>
      <c r="C1471" s="10"/>
      <c r="D1471" s="13"/>
      <c r="E1471" s="14"/>
      <c r="F1471" s="14"/>
      <c r="G1471" s="14"/>
      <c r="H1471" s="10"/>
      <c r="I1471" s="17"/>
      <c r="J1471" s="10"/>
      <c r="K1471" s="46"/>
      <c r="L1471" s="10"/>
      <c r="M1471" s="20"/>
      <c r="N1471" s="20"/>
      <c r="O1471" s="20"/>
      <c r="P1471" s="20"/>
    </row>
    <row r="1472">
      <c r="A1472" s="23"/>
      <c r="B1472" s="21"/>
      <c r="C1472" s="23"/>
      <c r="D1472" s="24"/>
      <c r="E1472" s="14"/>
      <c r="F1472" s="14"/>
      <c r="G1472" s="14"/>
      <c r="H1472" s="23"/>
      <c r="I1472" s="27"/>
      <c r="J1472" s="23"/>
      <c r="K1472" s="30"/>
      <c r="L1472" s="23"/>
      <c r="M1472" s="20"/>
      <c r="N1472" s="20"/>
      <c r="O1472" s="20"/>
      <c r="P1472" s="20"/>
    </row>
    <row r="1473">
      <c r="A1473" s="10"/>
      <c r="B1473" s="11"/>
      <c r="C1473" s="10"/>
      <c r="D1473" s="13"/>
      <c r="E1473" s="14"/>
      <c r="F1473" s="14"/>
      <c r="G1473" s="14"/>
      <c r="H1473" s="10"/>
      <c r="I1473" s="17"/>
      <c r="J1473" s="10"/>
      <c r="K1473" s="46"/>
      <c r="L1473" s="10"/>
      <c r="M1473" s="20"/>
      <c r="N1473" s="20"/>
      <c r="O1473" s="20"/>
      <c r="P1473" s="20"/>
    </row>
    <row r="1474">
      <c r="A1474" s="23"/>
      <c r="B1474" s="21"/>
      <c r="C1474" s="23"/>
      <c r="D1474" s="24"/>
      <c r="E1474" s="14"/>
      <c r="F1474" s="14"/>
      <c r="G1474" s="14"/>
      <c r="H1474" s="23"/>
      <c r="I1474" s="27"/>
      <c r="J1474" s="23"/>
      <c r="K1474" s="30"/>
      <c r="L1474" s="23"/>
      <c r="M1474" s="20"/>
      <c r="N1474" s="20"/>
      <c r="O1474" s="20"/>
      <c r="P1474" s="20"/>
    </row>
    <row r="1475">
      <c r="A1475" s="10"/>
      <c r="B1475" s="11"/>
      <c r="C1475" s="10"/>
      <c r="D1475" s="13"/>
      <c r="E1475" s="14"/>
      <c r="F1475" s="14"/>
      <c r="G1475" s="14"/>
      <c r="H1475" s="10"/>
      <c r="I1475" s="17"/>
      <c r="J1475" s="10"/>
      <c r="K1475" s="46"/>
      <c r="L1475" s="10"/>
      <c r="M1475" s="20"/>
      <c r="N1475" s="20"/>
      <c r="O1475" s="20"/>
      <c r="P1475" s="20"/>
    </row>
    <row r="1476">
      <c r="A1476" s="23"/>
      <c r="B1476" s="21"/>
      <c r="C1476" s="23"/>
      <c r="D1476" s="24"/>
      <c r="E1476" s="14"/>
      <c r="F1476" s="14"/>
      <c r="G1476" s="14"/>
      <c r="H1476" s="23"/>
      <c r="I1476" s="27"/>
      <c r="J1476" s="23"/>
      <c r="K1476" s="30"/>
      <c r="L1476" s="23"/>
      <c r="M1476" s="20"/>
      <c r="N1476" s="20"/>
      <c r="O1476" s="20"/>
      <c r="P1476" s="20"/>
    </row>
    <row r="1477">
      <c r="A1477" s="10"/>
      <c r="B1477" s="11"/>
      <c r="C1477" s="10"/>
      <c r="D1477" s="13"/>
      <c r="E1477" s="14"/>
      <c r="F1477" s="14"/>
      <c r="G1477" s="14"/>
      <c r="H1477" s="10"/>
      <c r="I1477" s="17"/>
      <c r="J1477" s="10"/>
      <c r="K1477" s="46"/>
      <c r="L1477" s="10"/>
      <c r="M1477" s="20"/>
      <c r="N1477" s="20"/>
      <c r="O1477" s="20"/>
      <c r="P1477" s="20"/>
    </row>
    <row r="1478">
      <c r="A1478" s="23"/>
      <c r="B1478" s="21"/>
      <c r="C1478" s="23"/>
      <c r="D1478" s="24"/>
      <c r="E1478" s="14"/>
      <c r="F1478" s="14"/>
      <c r="G1478" s="14"/>
      <c r="H1478" s="23"/>
      <c r="I1478" s="27"/>
      <c r="J1478" s="23"/>
      <c r="K1478" s="30"/>
      <c r="L1478" s="23"/>
      <c r="M1478" s="20"/>
      <c r="N1478" s="20"/>
      <c r="O1478" s="20"/>
      <c r="P1478" s="20"/>
    </row>
    <row r="1479">
      <c r="A1479" s="10"/>
      <c r="B1479" s="11"/>
      <c r="C1479" s="10"/>
      <c r="D1479" s="13"/>
      <c r="E1479" s="14"/>
      <c r="F1479" s="14"/>
      <c r="G1479" s="14"/>
      <c r="H1479" s="10"/>
      <c r="I1479" s="17"/>
      <c r="J1479" s="10"/>
      <c r="K1479" s="46"/>
      <c r="L1479" s="10"/>
      <c r="M1479" s="20"/>
      <c r="N1479" s="20"/>
      <c r="O1479" s="20"/>
      <c r="P1479" s="20"/>
    </row>
    <row r="1480">
      <c r="A1480" s="23"/>
      <c r="B1480" s="21"/>
      <c r="C1480" s="23"/>
      <c r="D1480" s="24"/>
      <c r="E1480" s="14"/>
      <c r="F1480" s="14"/>
      <c r="G1480" s="14"/>
      <c r="H1480" s="23"/>
      <c r="I1480" s="27"/>
      <c r="J1480" s="23"/>
      <c r="K1480" s="30"/>
      <c r="L1480" s="23"/>
      <c r="M1480" s="20"/>
      <c r="N1480" s="20"/>
      <c r="O1480" s="20"/>
      <c r="P1480" s="20"/>
    </row>
    <row r="1481">
      <c r="A1481" s="10"/>
      <c r="B1481" s="11"/>
      <c r="C1481" s="10"/>
      <c r="D1481" s="13"/>
      <c r="E1481" s="14"/>
      <c r="F1481" s="14"/>
      <c r="G1481" s="14"/>
      <c r="H1481" s="10"/>
      <c r="I1481" s="17"/>
      <c r="J1481" s="10"/>
      <c r="K1481" s="46"/>
      <c r="L1481" s="10"/>
      <c r="M1481" s="20"/>
      <c r="N1481" s="20"/>
      <c r="O1481" s="20"/>
      <c r="P1481" s="20"/>
    </row>
    <row r="1482">
      <c r="A1482" s="23"/>
      <c r="B1482" s="21"/>
      <c r="C1482" s="23"/>
      <c r="D1482" s="24"/>
      <c r="E1482" s="14"/>
      <c r="F1482" s="14"/>
      <c r="G1482" s="14"/>
      <c r="H1482" s="23"/>
      <c r="I1482" s="27"/>
      <c r="J1482" s="23"/>
      <c r="K1482" s="30"/>
      <c r="L1482" s="23"/>
      <c r="M1482" s="20"/>
      <c r="N1482" s="20"/>
      <c r="O1482" s="20"/>
      <c r="P1482" s="20"/>
    </row>
    <row r="1483">
      <c r="A1483" s="10"/>
      <c r="B1483" s="11"/>
      <c r="C1483" s="10"/>
      <c r="D1483" s="13"/>
      <c r="E1483" s="14"/>
      <c r="F1483" s="14"/>
      <c r="G1483" s="14"/>
      <c r="H1483" s="10"/>
      <c r="I1483" s="17"/>
      <c r="J1483" s="10"/>
      <c r="K1483" s="46"/>
      <c r="L1483" s="10"/>
      <c r="M1483" s="20"/>
      <c r="N1483" s="20"/>
      <c r="O1483" s="20"/>
      <c r="P1483" s="20"/>
    </row>
    <row r="1484">
      <c r="A1484" s="23"/>
      <c r="B1484" s="21"/>
      <c r="C1484" s="23"/>
      <c r="D1484" s="24"/>
      <c r="E1484" s="14"/>
      <c r="F1484" s="14"/>
      <c r="G1484" s="14"/>
      <c r="H1484" s="23"/>
      <c r="I1484" s="27"/>
      <c r="J1484" s="23"/>
      <c r="K1484" s="30"/>
      <c r="L1484" s="23"/>
      <c r="M1484" s="20"/>
      <c r="N1484" s="20"/>
      <c r="O1484" s="20"/>
      <c r="P1484" s="20"/>
    </row>
    <row r="1485">
      <c r="A1485" s="10"/>
      <c r="B1485" s="11"/>
      <c r="C1485" s="10"/>
      <c r="D1485" s="13"/>
      <c r="E1485" s="14"/>
      <c r="F1485" s="14"/>
      <c r="G1485" s="14"/>
      <c r="H1485" s="10"/>
      <c r="I1485" s="17"/>
      <c r="J1485" s="10"/>
      <c r="K1485" s="46"/>
      <c r="L1485" s="10"/>
      <c r="M1485" s="20"/>
      <c r="N1485" s="20"/>
      <c r="O1485" s="20"/>
      <c r="P1485" s="20"/>
    </row>
    <row r="1486">
      <c r="A1486" s="23"/>
      <c r="B1486" s="21"/>
      <c r="C1486" s="23"/>
      <c r="D1486" s="24"/>
      <c r="E1486" s="14"/>
      <c r="F1486" s="14"/>
      <c r="G1486" s="14"/>
      <c r="H1486" s="23"/>
      <c r="I1486" s="27"/>
      <c r="J1486" s="23"/>
      <c r="K1486" s="30"/>
      <c r="L1486" s="23"/>
      <c r="M1486" s="20"/>
      <c r="N1486" s="20"/>
      <c r="O1486" s="20"/>
      <c r="P1486" s="20"/>
    </row>
    <row r="1487">
      <c r="A1487" s="10"/>
      <c r="B1487" s="11"/>
      <c r="C1487" s="10"/>
      <c r="D1487" s="13"/>
      <c r="E1487" s="14"/>
      <c r="F1487" s="14"/>
      <c r="G1487" s="14"/>
      <c r="H1487" s="10"/>
      <c r="I1487" s="17"/>
      <c r="J1487" s="10"/>
      <c r="K1487" s="46"/>
      <c r="L1487" s="10"/>
      <c r="M1487" s="20"/>
      <c r="N1487" s="20"/>
      <c r="O1487" s="20"/>
      <c r="P1487" s="20"/>
    </row>
    <row r="1488">
      <c r="A1488" s="23"/>
      <c r="B1488" s="21"/>
      <c r="C1488" s="23"/>
      <c r="D1488" s="24"/>
      <c r="E1488" s="14"/>
      <c r="F1488" s="14"/>
      <c r="G1488" s="14"/>
      <c r="H1488" s="23"/>
      <c r="I1488" s="27"/>
      <c r="J1488" s="23"/>
      <c r="K1488" s="30"/>
      <c r="L1488" s="23"/>
      <c r="M1488" s="20"/>
      <c r="N1488" s="20"/>
      <c r="O1488" s="20"/>
      <c r="P1488" s="20"/>
    </row>
    <row r="1489">
      <c r="A1489" s="10"/>
      <c r="B1489" s="11"/>
      <c r="C1489" s="10"/>
      <c r="D1489" s="13"/>
      <c r="E1489" s="14"/>
      <c r="F1489" s="14"/>
      <c r="G1489" s="14"/>
      <c r="H1489" s="10"/>
      <c r="I1489" s="17"/>
      <c r="J1489" s="10"/>
      <c r="K1489" s="46"/>
      <c r="L1489" s="10"/>
      <c r="M1489" s="20"/>
      <c r="N1489" s="20"/>
      <c r="O1489" s="20"/>
      <c r="P1489" s="20"/>
    </row>
    <row r="1490">
      <c r="A1490" s="23"/>
      <c r="B1490" s="21"/>
      <c r="C1490" s="23"/>
      <c r="D1490" s="24"/>
      <c r="E1490" s="14"/>
      <c r="F1490" s="14"/>
      <c r="G1490" s="14"/>
      <c r="H1490" s="23"/>
      <c r="I1490" s="27"/>
      <c r="J1490" s="23"/>
      <c r="K1490" s="30"/>
      <c r="L1490" s="23"/>
      <c r="M1490" s="20"/>
      <c r="N1490" s="20"/>
      <c r="O1490" s="20"/>
      <c r="P1490" s="20"/>
    </row>
    <row r="1491">
      <c r="A1491" s="10"/>
      <c r="B1491" s="11"/>
      <c r="C1491" s="10"/>
      <c r="D1491" s="13"/>
      <c r="E1491" s="14"/>
      <c r="F1491" s="14"/>
      <c r="G1491" s="14"/>
      <c r="H1491" s="10"/>
      <c r="I1491" s="17"/>
      <c r="J1491" s="10"/>
      <c r="K1491" s="46"/>
      <c r="L1491" s="10"/>
      <c r="M1491" s="20"/>
      <c r="N1491" s="20"/>
      <c r="O1491" s="20"/>
      <c r="P1491" s="20"/>
    </row>
    <row r="1492">
      <c r="A1492" s="23"/>
      <c r="B1492" s="21"/>
      <c r="C1492" s="23"/>
      <c r="D1492" s="24"/>
      <c r="E1492" s="14"/>
      <c r="F1492" s="14"/>
      <c r="G1492" s="14"/>
      <c r="H1492" s="23"/>
      <c r="I1492" s="27"/>
      <c r="J1492" s="23"/>
      <c r="K1492" s="30"/>
      <c r="L1492" s="23"/>
      <c r="M1492" s="20"/>
      <c r="N1492" s="20"/>
      <c r="O1492" s="20"/>
      <c r="P1492" s="20"/>
    </row>
    <row r="1493">
      <c r="A1493" s="10"/>
      <c r="B1493" s="11"/>
      <c r="C1493" s="10"/>
      <c r="D1493" s="13"/>
      <c r="E1493" s="14"/>
      <c r="F1493" s="14"/>
      <c r="G1493" s="14"/>
      <c r="H1493" s="10"/>
      <c r="I1493" s="17"/>
      <c r="J1493" s="10"/>
      <c r="K1493" s="46"/>
      <c r="L1493" s="10"/>
      <c r="M1493" s="20"/>
      <c r="N1493" s="20"/>
      <c r="O1493" s="20"/>
      <c r="P1493" s="20"/>
    </row>
    <row r="1494">
      <c r="A1494" s="23"/>
      <c r="B1494" s="21"/>
      <c r="C1494" s="23"/>
      <c r="D1494" s="24"/>
      <c r="E1494" s="14"/>
      <c r="F1494" s="14"/>
      <c r="G1494" s="14"/>
      <c r="H1494" s="23"/>
      <c r="I1494" s="27"/>
      <c r="J1494" s="23"/>
      <c r="K1494" s="30"/>
      <c r="L1494" s="23"/>
      <c r="M1494" s="20"/>
      <c r="N1494" s="20"/>
      <c r="O1494" s="20"/>
      <c r="P1494" s="20"/>
    </row>
    <row r="1495">
      <c r="A1495" s="10"/>
      <c r="B1495" s="11"/>
      <c r="C1495" s="10"/>
      <c r="D1495" s="13"/>
      <c r="E1495" s="14"/>
      <c r="F1495" s="14"/>
      <c r="G1495" s="14"/>
      <c r="H1495" s="10"/>
      <c r="I1495" s="17"/>
      <c r="J1495" s="10"/>
      <c r="K1495" s="46"/>
      <c r="L1495" s="10"/>
      <c r="M1495" s="20"/>
      <c r="N1495" s="20"/>
      <c r="O1495" s="20"/>
      <c r="P1495" s="20"/>
    </row>
    <row r="1496">
      <c r="A1496" s="23"/>
      <c r="B1496" s="21"/>
      <c r="C1496" s="23"/>
      <c r="D1496" s="24"/>
      <c r="E1496" s="14"/>
      <c r="F1496" s="14"/>
      <c r="G1496" s="14"/>
      <c r="H1496" s="23"/>
      <c r="I1496" s="27"/>
      <c r="J1496" s="23"/>
      <c r="K1496" s="30"/>
      <c r="L1496" s="23"/>
      <c r="M1496" s="20"/>
      <c r="N1496" s="20"/>
      <c r="O1496" s="20"/>
      <c r="P1496" s="20"/>
    </row>
    <row r="1497">
      <c r="A1497" s="10"/>
      <c r="B1497" s="11"/>
      <c r="C1497" s="10"/>
      <c r="D1497" s="13"/>
      <c r="E1497" s="14"/>
      <c r="F1497" s="14"/>
      <c r="G1497" s="14"/>
      <c r="H1497" s="10"/>
      <c r="I1497" s="17"/>
      <c r="J1497" s="10"/>
      <c r="K1497" s="46"/>
      <c r="L1497" s="10"/>
      <c r="M1497" s="20"/>
      <c r="N1497" s="20"/>
      <c r="O1497" s="20"/>
      <c r="P1497" s="20"/>
    </row>
    <row r="1498">
      <c r="A1498" s="23"/>
      <c r="B1498" s="21"/>
      <c r="C1498" s="23"/>
      <c r="D1498" s="24"/>
      <c r="E1498" s="14"/>
      <c r="F1498" s="14"/>
      <c r="G1498" s="14"/>
      <c r="H1498" s="23"/>
      <c r="I1498" s="27"/>
      <c r="J1498" s="23"/>
      <c r="K1498" s="30"/>
      <c r="L1498" s="23"/>
      <c r="M1498" s="20"/>
      <c r="N1498" s="20"/>
      <c r="O1498" s="20"/>
      <c r="P1498" s="20"/>
    </row>
    <row r="1499">
      <c r="A1499" s="10"/>
      <c r="B1499" s="11"/>
      <c r="C1499" s="10"/>
      <c r="D1499" s="13"/>
      <c r="E1499" s="14"/>
      <c r="F1499" s="14"/>
      <c r="G1499" s="14"/>
      <c r="H1499" s="10"/>
      <c r="I1499" s="17"/>
      <c r="J1499" s="10"/>
      <c r="K1499" s="46"/>
      <c r="L1499" s="10"/>
      <c r="M1499" s="20"/>
      <c r="N1499" s="20"/>
      <c r="O1499" s="20"/>
      <c r="P1499" s="20"/>
    </row>
    <row r="1500">
      <c r="A1500" s="23"/>
      <c r="B1500" s="21"/>
      <c r="C1500" s="23"/>
      <c r="D1500" s="24"/>
      <c r="E1500" s="14"/>
      <c r="F1500" s="14"/>
      <c r="G1500" s="14"/>
      <c r="H1500" s="23"/>
      <c r="I1500" s="27"/>
      <c r="J1500" s="23"/>
      <c r="K1500" s="30"/>
      <c r="L1500" s="23"/>
      <c r="M1500" s="20"/>
      <c r="N1500" s="20"/>
      <c r="O1500" s="20"/>
      <c r="P1500" s="20"/>
    </row>
    <row r="1501">
      <c r="A1501" s="10"/>
      <c r="B1501" s="11"/>
      <c r="C1501" s="10"/>
      <c r="D1501" s="13"/>
      <c r="E1501" s="14"/>
      <c r="F1501" s="14"/>
      <c r="G1501" s="14"/>
      <c r="H1501" s="10"/>
      <c r="I1501" s="17"/>
      <c r="J1501" s="10"/>
      <c r="K1501" s="46"/>
      <c r="L1501" s="10"/>
      <c r="M1501" s="20"/>
      <c r="N1501" s="20"/>
      <c r="O1501" s="20"/>
      <c r="P1501" s="20"/>
    </row>
    <row r="1502">
      <c r="A1502" s="23"/>
      <c r="B1502" s="21"/>
      <c r="C1502" s="23"/>
      <c r="D1502" s="24"/>
      <c r="E1502" s="14"/>
      <c r="F1502" s="14"/>
      <c r="G1502" s="14"/>
      <c r="H1502" s="23"/>
      <c r="I1502" s="27"/>
      <c r="J1502" s="23"/>
      <c r="K1502" s="30"/>
      <c r="L1502" s="23"/>
      <c r="M1502" s="20"/>
      <c r="N1502" s="20"/>
      <c r="O1502" s="20"/>
      <c r="P1502" s="20"/>
    </row>
    <row r="1503">
      <c r="A1503" s="10"/>
      <c r="B1503" s="11"/>
      <c r="C1503" s="10"/>
      <c r="D1503" s="13"/>
      <c r="E1503" s="14"/>
      <c r="F1503" s="14"/>
      <c r="G1503" s="14"/>
      <c r="H1503" s="10"/>
      <c r="I1503" s="17"/>
      <c r="J1503" s="10"/>
      <c r="K1503" s="46"/>
      <c r="L1503" s="10"/>
      <c r="M1503" s="20"/>
      <c r="N1503" s="20"/>
      <c r="O1503" s="20"/>
      <c r="P1503" s="20"/>
    </row>
    <row r="1504">
      <c r="A1504" s="23"/>
      <c r="B1504" s="21"/>
      <c r="C1504" s="23"/>
      <c r="D1504" s="24"/>
      <c r="E1504" s="14"/>
      <c r="F1504" s="14"/>
      <c r="G1504" s="14"/>
      <c r="H1504" s="23"/>
      <c r="I1504" s="27"/>
      <c r="J1504" s="23"/>
      <c r="K1504" s="30"/>
      <c r="L1504" s="23"/>
      <c r="M1504" s="20"/>
      <c r="N1504" s="20"/>
      <c r="O1504" s="20"/>
      <c r="P1504" s="20"/>
    </row>
    <row r="1505">
      <c r="A1505" s="10"/>
      <c r="B1505" s="11"/>
      <c r="C1505" s="10"/>
      <c r="D1505" s="13"/>
      <c r="E1505" s="14"/>
      <c r="F1505" s="14"/>
      <c r="G1505" s="14"/>
      <c r="H1505" s="10"/>
      <c r="I1505" s="17"/>
      <c r="J1505" s="10"/>
      <c r="K1505" s="46"/>
      <c r="L1505" s="10"/>
      <c r="M1505" s="20"/>
      <c r="N1505" s="20"/>
      <c r="O1505" s="20"/>
      <c r="P1505" s="20"/>
    </row>
    <row r="1506">
      <c r="A1506" s="23"/>
      <c r="B1506" s="21"/>
      <c r="C1506" s="23"/>
      <c r="D1506" s="24"/>
      <c r="E1506" s="14"/>
      <c r="F1506" s="14"/>
      <c r="G1506" s="14"/>
      <c r="H1506" s="23"/>
      <c r="I1506" s="27"/>
      <c r="J1506" s="23"/>
      <c r="K1506" s="30"/>
      <c r="L1506" s="23"/>
      <c r="M1506" s="20"/>
      <c r="N1506" s="20"/>
      <c r="O1506" s="20"/>
      <c r="P1506" s="20"/>
    </row>
    <row r="1507">
      <c r="A1507" s="10"/>
      <c r="B1507" s="11"/>
      <c r="C1507" s="10"/>
      <c r="D1507" s="13"/>
      <c r="E1507" s="14"/>
      <c r="F1507" s="14"/>
      <c r="G1507" s="14"/>
      <c r="H1507" s="10"/>
      <c r="I1507" s="17"/>
      <c r="J1507" s="10"/>
      <c r="K1507" s="46"/>
      <c r="L1507" s="10"/>
      <c r="M1507" s="20"/>
      <c r="N1507" s="20"/>
      <c r="O1507" s="20"/>
      <c r="P1507" s="20"/>
    </row>
    <row r="1508">
      <c r="A1508" s="23"/>
      <c r="B1508" s="21"/>
      <c r="C1508" s="23"/>
      <c r="D1508" s="24"/>
      <c r="E1508" s="14"/>
      <c r="F1508" s="14"/>
      <c r="G1508" s="14"/>
      <c r="H1508" s="23"/>
      <c r="I1508" s="27"/>
      <c r="J1508" s="23"/>
      <c r="K1508" s="30"/>
      <c r="L1508" s="23"/>
      <c r="M1508" s="20"/>
      <c r="N1508" s="20"/>
      <c r="O1508" s="20"/>
      <c r="P1508" s="20"/>
    </row>
    <row r="1509">
      <c r="A1509" s="10"/>
      <c r="B1509" s="11"/>
      <c r="C1509" s="10"/>
      <c r="D1509" s="13"/>
      <c r="E1509" s="14"/>
      <c r="F1509" s="14"/>
      <c r="G1509" s="14"/>
      <c r="H1509" s="10"/>
      <c r="I1509" s="17"/>
      <c r="J1509" s="10"/>
      <c r="K1509" s="46"/>
      <c r="L1509" s="10"/>
      <c r="M1509" s="20"/>
      <c r="N1509" s="20"/>
      <c r="O1509" s="20"/>
      <c r="P1509" s="20"/>
    </row>
    <row r="1510">
      <c r="A1510" s="23"/>
      <c r="B1510" s="21"/>
      <c r="C1510" s="23"/>
      <c r="D1510" s="24"/>
      <c r="E1510" s="14"/>
      <c r="F1510" s="14"/>
      <c r="G1510" s="14"/>
      <c r="H1510" s="23"/>
      <c r="I1510" s="27"/>
      <c r="J1510" s="23"/>
      <c r="K1510" s="30"/>
      <c r="L1510" s="23"/>
      <c r="M1510" s="20"/>
      <c r="N1510" s="20"/>
      <c r="O1510" s="20"/>
      <c r="P1510" s="20"/>
    </row>
    <row r="1511">
      <c r="A1511" s="10"/>
      <c r="B1511" s="11"/>
      <c r="C1511" s="10"/>
      <c r="D1511" s="13"/>
      <c r="E1511" s="14"/>
      <c r="F1511" s="14"/>
      <c r="G1511" s="14"/>
      <c r="H1511" s="10"/>
      <c r="I1511" s="17"/>
      <c r="J1511" s="10"/>
      <c r="K1511" s="46"/>
      <c r="L1511" s="10"/>
      <c r="M1511" s="20"/>
      <c r="N1511" s="20"/>
      <c r="O1511" s="20"/>
      <c r="P1511" s="20"/>
    </row>
    <row r="1512">
      <c r="A1512" s="23"/>
      <c r="B1512" s="21"/>
      <c r="C1512" s="23"/>
      <c r="D1512" s="24"/>
      <c r="E1512" s="14"/>
      <c r="F1512" s="14"/>
      <c r="G1512" s="14"/>
      <c r="H1512" s="23"/>
      <c r="I1512" s="27"/>
      <c r="J1512" s="23"/>
      <c r="K1512" s="30"/>
      <c r="L1512" s="23"/>
      <c r="M1512" s="20"/>
      <c r="N1512" s="20"/>
      <c r="O1512" s="20"/>
      <c r="P1512" s="20"/>
    </row>
    <row r="1513">
      <c r="A1513" s="10"/>
      <c r="B1513" s="11"/>
      <c r="C1513" s="10"/>
      <c r="D1513" s="13"/>
      <c r="E1513" s="14"/>
      <c r="F1513" s="14"/>
      <c r="G1513" s="14"/>
      <c r="H1513" s="10"/>
      <c r="I1513" s="17"/>
      <c r="J1513" s="10"/>
      <c r="K1513" s="46"/>
      <c r="L1513" s="10"/>
      <c r="M1513" s="20"/>
      <c r="N1513" s="20"/>
      <c r="O1513" s="20"/>
      <c r="P1513" s="20"/>
    </row>
    <row r="1514">
      <c r="A1514" s="23"/>
      <c r="B1514" s="21"/>
      <c r="C1514" s="23"/>
      <c r="D1514" s="24"/>
      <c r="E1514" s="14"/>
      <c r="F1514" s="14"/>
      <c r="G1514" s="14"/>
      <c r="H1514" s="23"/>
      <c r="I1514" s="27"/>
      <c r="J1514" s="23"/>
      <c r="K1514" s="30"/>
      <c r="L1514" s="23"/>
      <c r="M1514" s="20"/>
      <c r="N1514" s="20"/>
      <c r="O1514" s="20"/>
      <c r="P1514" s="20"/>
    </row>
    <row r="1515">
      <c r="A1515" s="10"/>
      <c r="B1515" s="11"/>
      <c r="C1515" s="10"/>
      <c r="D1515" s="13"/>
      <c r="E1515" s="14"/>
      <c r="F1515" s="14"/>
      <c r="G1515" s="14"/>
      <c r="H1515" s="10"/>
      <c r="I1515" s="17"/>
      <c r="J1515" s="10"/>
      <c r="K1515" s="46"/>
      <c r="L1515" s="10"/>
      <c r="M1515" s="20"/>
      <c r="N1515" s="20"/>
      <c r="O1515" s="20"/>
      <c r="P1515" s="20"/>
    </row>
    <row r="1516">
      <c r="A1516" s="23"/>
      <c r="B1516" s="21"/>
      <c r="C1516" s="23"/>
      <c r="D1516" s="24"/>
      <c r="E1516" s="14"/>
      <c r="F1516" s="14"/>
      <c r="G1516" s="14"/>
      <c r="H1516" s="23"/>
      <c r="I1516" s="27"/>
      <c r="J1516" s="23"/>
      <c r="K1516" s="30"/>
      <c r="L1516" s="23"/>
      <c r="M1516" s="20"/>
      <c r="N1516" s="20"/>
      <c r="O1516" s="20"/>
      <c r="P1516" s="20"/>
    </row>
    <row r="1517">
      <c r="A1517" s="10"/>
      <c r="B1517" s="11"/>
      <c r="C1517" s="10"/>
      <c r="D1517" s="13"/>
      <c r="E1517" s="14"/>
      <c r="F1517" s="14"/>
      <c r="G1517" s="14"/>
      <c r="H1517" s="10"/>
      <c r="I1517" s="17"/>
      <c r="J1517" s="10"/>
      <c r="K1517" s="46"/>
      <c r="L1517" s="10"/>
      <c r="M1517" s="20"/>
      <c r="N1517" s="20"/>
      <c r="O1517" s="20"/>
      <c r="P1517" s="20"/>
    </row>
    <row r="1518">
      <c r="A1518" s="23"/>
      <c r="B1518" s="21"/>
      <c r="C1518" s="23"/>
      <c r="D1518" s="24"/>
      <c r="E1518" s="14"/>
      <c r="F1518" s="14"/>
      <c r="G1518" s="14"/>
      <c r="H1518" s="23"/>
      <c r="I1518" s="27"/>
      <c r="J1518" s="23"/>
      <c r="K1518" s="30"/>
      <c r="L1518" s="23"/>
      <c r="M1518" s="20"/>
      <c r="N1518" s="20"/>
      <c r="O1518" s="20"/>
      <c r="P1518" s="20"/>
    </row>
    <row r="1519">
      <c r="A1519" s="10"/>
      <c r="B1519" s="11"/>
      <c r="C1519" s="10"/>
      <c r="D1519" s="13"/>
      <c r="E1519" s="14"/>
      <c r="F1519" s="14"/>
      <c r="G1519" s="14"/>
      <c r="H1519" s="10"/>
      <c r="I1519" s="17"/>
      <c r="J1519" s="10"/>
      <c r="K1519" s="46"/>
      <c r="L1519" s="10"/>
      <c r="M1519" s="20"/>
      <c r="N1519" s="20"/>
      <c r="O1519" s="20"/>
      <c r="P1519" s="20"/>
    </row>
    <row r="1520">
      <c r="A1520" s="23"/>
      <c r="B1520" s="21"/>
      <c r="C1520" s="23"/>
      <c r="D1520" s="24"/>
      <c r="E1520" s="14"/>
      <c r="F1520" s="14"/>
      <c r="G1520" s="14"/>
      <c r="H1520" s="23"/>
      <c r="I1520" s="27"/>
      <c r="J1520" s="23"/>
      <c r="K1520" s="30"/>
      <c r="L1520" s="23"/>
      <c r="M1520" s="20"/>
      <c r="N1520" s="20"/>
      <c r="O1520" s="20"/>
      <c r="P1520" s="20"/>
    </row>
    <row r="1521">
      <c r="A1521" s="10"/>
      <c r="B1521" s="11"/>
      <c r="C1521" s="10"/>
      <c r="D1521" s="13"/>
      <c r="E1521" s="14"/>
      <c r="F1521" s="14"/>
      <c r="G1521" s="14"/>
      <c r="H1521" s="10"/>
      <c r="I1521" s="17"/>
      <c r="J1521" s="10"/>
      <c r="K1521" s="46"/>
      <c r="L1521" s="10"/>
      <c r="M1521" s="20"/>
      <c r="N1521" s="20"/>
      <c r="O1521" s="20"/>
      <c r="P1521" s="20"/>
    </row>
    <row r="1522">
      <c r="A1522" s="23"/>
      <c r="B1522" s="21"/>
      <c r="C1522" s="23"/>
      <c r="D1522" s="24"/>
      <c r="E1522" s="14"/>
      <c r="F1522" s="14"/>
      <c r="G1522" s="14"/>
      <c r="H1522" s="23"/>
      <c r="I1522" s="27"/>
      <c r="J1522" s="23"/>
      <c r="K1522" s="30"/>
      <c r="L1522" s="23"/>
      <c r="M1522" s="20"/>
      <c r="N1522" s="20"/>
      <c r="O1522" s="20"/>
      <c r="P1522" s="20"/>
    </row>
    <row r="1523">
      <c r="A1523" s="10"/>
      <c r="B1523" s="11"/>
      <c r="C1523" s="10"/>
      <c r="D1523" s="13"/>
      <c r="E1523" s="14"/>
      <c r="F1523" s="14"/>
      <c r="G1523" s="14"/>
      <c r="H1523" s="10"/>
      <c r="I1523" s="17"/>
      <c r="J1523" s="10"/>
      <c r="K1523" s="46"/>
      <c r="L1523" s="10"/>
      <c r="M1523" s="20"/>
      <c r="N1523" s="20"/>
      <c r="O1523" s="20"/>
      <c r="P1523" s="20"/>
    </row>
    <row r="1524">
      <c r="A1524" s="23"/>
      <c r="B1524" s="21"/>
      <c r="C1524" s="23"/>
      <c r="D1524" s="24"/>
      <c r="E1524" s="14"/>
      <c r="F1524" s="14"/>
      <c r="G1524" s="14"/>
      <c r="H1524" s="23"/>
      <c r="I1524" s="27"/>
      <c r="J1524" s="23"/>
      <c r="K1524" s="30"/>
      <c r="L1524" s="23"/>
      <c r="M1524" s="20"/>
      <c r="N1524" s="20"/>
      <c r="O1524" s="20"/>
      <c r="P1524" s="20"/>
    </row>
    <row r="1525">
      <c r="A1525" s="10"/>
      <c r="B1525" s="11"/>
      <c r="C1525" s="10"/>
      <c r="D1525" s="13"/>
      <c r="E1525" s="14"/>
      <c r="F1525" s="14"/>
      <c r="G1525" s="14"/>
      <c r="H1525" s="10"/>
      <c r="I1525" s="17"/>
      <c r="J1525" s="10"/>
      <c r="K1525" s="46"/>
      <c r="L1525" s="10"/>
      <c r="M1525" s="20"/>
      <c r="N1525" s="20"/>
      <c r="O1525" s="20"/>
      <c r="P1525" s="20"/>
    </row>
    <row r="1526">
      <c r="A1526" s="23"/>
      <c r="B1526" s="21"/>
      <c r="C1526" s="23"/>
      <c r="D1526" s="24"/>
      <c r="E1526" s="14"/>
      <c r="F1526" s="14"/>
      <c r="G1526" s="14"/>
      <c r="H1526" s="23"/>
      <c r="I1526" s="27"/>
      <c r="J1526" s="23"/>
      <c r="K1526" s="30"/>
      <c r="L1526" s="23"/>
      <c r="M1526" s="20"/>
      <c r="N1526" s="20"/>
      <c r="O1526" s="20"/>
      <c r="P1526" s="20"/>
    </row>
    <row r="1527">
      <c r="A1527" s="10"/>
      <c r="B1527" s="11"/>
      <c r="C1527" s="10"/>
      <c r="D1527" s="13"/>
      <c r="E1527" s="14"/>
      <c r="F1527" s="14"/>
      <c r="G1527" s="14"/>
      <c r="H1527" s="10"/>
      <c r="I1527" s="17"/>
      <c r="J1527" s="10"/>
      <c r="K1527" s="46"/>
      <c r="L1527" s="10"/>
      <c r="M1527" s="20"/>
      <c r="N1527" s="20"/>
      <c r="O1527" s="20"/>
      <c r="P1527" s="20"/>
    </row>
    <row r="1528">
      <c r="A1528" s="23"/>
      <c r="B1528" s="21"/>
      <c r="C1528" s="23"/>
      <c r="D1528" s="24"/>
      <c r="E1528" s="14"/>
      <c r="F1528" s="14"/>
      <c r="G1528" s="14"/>
      <c r="H1528" s="23"/>
      <c r="I1528" s="27"/>
      <c r="J1528" s="23"/>
      <c r="K1528" s="30"/>
      <c r="L1528" s="23"/>
      <c r="M1528" s="20"/>
      <c r="N1528" s="20"/>
      <c r="O1528" s="20"/>
      <c r="P1528" s="20"/>
    </row>
    <row r="1529">
      <c r="A1529" s="10"/>
      <c r="B1529" s="11"/>
      <c r="C1529" s="10"/>
      <c r="D1529" s="13"/>
      <c r="E1529" s="14"/>
      <c r="F1529" s="14"/>
      <c r="G1529" s="14"/>
      <c r="H1529" s="10"/>
      <c r="I1529" s="17"/>
      <c r="J1529" s="10"/>
      <c r="K1529" s="46"/>
      <c r="L1529" s="10"/>
      <c r="M1529" s="20"/>
      <c r="N1529" s="20"/>
      <c r="O1529" s="20"/>
      <c r="P1529" s="20"/>
    </row>
    <row r="1530">
      <c r="A1530" s="23"/>
      <c r="B1530" s="21"/>
      <c r="C1530" s="23"/>
      <c r="D1530" s="24"/>
      <c r="E1530" s="14"/>
      <c r="F1530" s="14"/>
      <c r="G1530" s="14"/>
      <c r="H1530" s="23"/>
      <c r="I1530" s="27"/>
      <c r="J1530" s="23"/>
      <c r="K1530" s="30"/>
      <c r="L1530" s="23"/>
      <c r="M1530" s="20"/>
      <c r="N1530" s="20"/>
      <c r="O1530" s="20"/>
      <c r="P1530" s="20"/>
    </row>
    <row r="1531">
      <c r="A1531" s="10"/>
      <c r="B1531" s="11"/>
      <c r="C1531" s="10"/>
      <c r="D1531" s="13"/>
      <c r="E1531" s="14"/>
      <c r="F1531" s="14"/>
      <c r="G1531" s="14"/>
      <c r="H1531" s="10"/>
      <c r="I1531" s="17"/>
      <c r="J1531" s="10"/>
      <c r="K1531" s="46"/>
      <c r="L1531" s="10"/>
      <c r="M1531" s="20"/>
      <c r="N1531" s="20"/>
      <c r="O1531" s="20"/>
      <c r="P1531" s="20"/>
    </row>
    <row r="1532">
      <c r="A1532" s="23"/>
      <c r="B1532" s="21"/>
      <c r="C1532" s="23"/>
      <c r="D1532" s="24"/>
      <c r="E1532" s="14"/>
      <c r="F1532" s="14"/>
      <c r="G1532" s="14"/>
      <c r="H1532" s="23"/>
      <c r="I1532" s="27"/>
      <c r="J1532" s="23"/>
      <c r="K1532" s="30"/>
      <c r="L1532" s="23"/>
      <c r="M1532" s="20"/>
      <c r="N1532" s="20"/>
      <c r="O1532" s="20"/>
      <c r="P1532" s="20"/>
    </row>
    <row r="1533">
      <c r="A1533" s="10"/>
      <c r="B1533" s="11"/>
      <c r="C1533" s="10"/>
      <c r="D1533" s="13"/>
      <c r="E1533" s="14"/>
      <c r="F1533" s="14"/>
      <c r="G1533" s="14"/>
      <c r="H1533" s="10"/>
      <c r="I1533" s="17"/>
      <c r="J1533" s="10"/>
      <c r="K1533" s="46"/>
      <c r="L1533" s="10"/>
      <c r="M1533" s="20"/>
      <c r="N1533" s="20"/>
      <c r="O1533" s="20"/>
      <c r="P1533" s="20"/>
    </row>
    <row r="1534">
      <c r="A1534" s="23"/>
      <c r="B1534" s="21"/>
      <c r="C1534" s="23"/>
      <c r="D1534" s="24"/>
      <c r="E1534" s="14"/>
      <c r="F1534" s="14"/>
      <c r="G1534" s="14"/>
      <c r="H1534" s="23"/>
      <c r="I1534" s="27"/>
      <c r="J1534" s="23"/>
      <c r="K1534" s="30"/>
      <c r="L1534" s="23"/>
      <c r="M1534" s="20"/>
      <c r="N1534" s="20"/>
      <c r="O1534" s="20"/>
      <c r="P1534" s="20"/>
    </row>
    <row r="1535">
      <c r="A1535" s="10"/>
      <c r="B1535" s="11"/>
      <c r="C1535" s="10"/>
      <c r="D1535" s="13"/>
      <c r="E1535" s="14"/>
      <c r="F1535" s="14"/>
      <c r="G1535" s="14"/>
      <c r="H1535" s="10"/>
      <c r="I1535" s="17"/>
      <c r="J1535" s="10"/>
      <c r="K1535" s="46"/>
      <c r="L1535" s="10"/>
      <c r="M1535" s="20"/>
      <c r="N1535" s="20"/>
      <c r="O1535" s="20"/>
      <c r="P1535" s="20"/>
    </row>
    <row r="1536">
      <c r="A1536" s="23"/>
      <c r="B1536" s="21"/>
      <c r="C1536" s="23"/>
      <c r="D1536" s="24"/>
      <c r="E1536" s="14"/>
      <c r="F1536" s="14"/>
      <c r="G1536" s="14"/>
      <c r="H1536" s="23"/>
      <c r="I1536" s="27"/>
      <c r="J1536" s="23"/>
      <c r="K1536" s="30"/>
      <c r="L1536" s="23"/>
      <c r="M1536" s="20"/>
      <c r="N1536" s="20"/>
      <c r="O1536" s="20"/>
      <c r="P1536" s="20"/>
    </row>
    <row r="1537">
      <c r="A1537" s="10"/>
      <c r="B1537" s="11"/>
      <c r="C1537" s="10"/>
      <c r="D1537" s="13"/>
      <c r="E1537" s="14"/>
      <c r="F1537" s="14"/>
      <c r="G1537" s="14"/>
      <c r="H1537" s="10"/>
      <c r="I1537" s="17"/>
      <c r="J1537" s="10"/>
      <c r="K1537" s="46"/>
      <c r="L1537" s="10"/>
      <c r="M1537" s="20"/>
      <c r="N1537" s="20"/>
      <c r="O1537" s="20"/>
      <c r="P1537" s="20"/>
    </row>
    <row r="1538">
      <c r="A1538" s="23"/>
      <c r="B1538" s="21"/>
      <c r="C1538" s="23"/>
      <c r="D1538" s="24"/>
      <c r="E1538" s="14"/>
      <c r="F1538" s="14"/>
      <c r="G1538" s="14"/>
      <c r="H1538" s="23"/>
      <c r="I1538" s="27"/>
      <c r="J1538" s="23"/>
      <c r="K1538" s="30"/>
      <c r="L1538" s="23"/>
      <c r="M1538" s="20"/>
      <c r="N1538" s="20"/>
      <c r="O1538" s="20"/>
      <c r="P1538" s="20"/>
    </row>
    <row r="1539">
      <c r="A1539" s="10"/>
      <c r="B1539" s="11"/>
      <c r="C1539" s="10"/>
      <c r="D1539" s="13"/>
      <c r="E1539" s="14"/>
      <c r="F1539" s="14"/>
      <c r="G1539" s="14"/>
      <c r="H1539" s="10"/>
      <c r="I1539" s="17"/>
      <c r="J1539" s="10"/>
      <c r="K1539" s="46"/>
      <c r="L1539" s="10"/>
      <c r="M1539" s="20"/>
      <c r="N1539" s="20"/>
      <c r="O1539" s="20"/>
      <c r="P1539" s="20"/>
    </row>
    <row r="1540">
      <c r="A1540" s="23"/>
      <c r="B1540" s="21"/>
      <c r="C1540" s="23"/>
      <c r="D1540" s="24"/>
      <c r="E1540" s="14"/>
      <c r="F1540" s="14"/>
      <c r="G1540" s="14"/>
      <c r="H1540" s="23"/>
      <c r="I1540" s="27"/>
      <c r="J1540" s="23"/>
      <c r="K1540" s="30"/>
      <c r="L1540" s="23"/>
      <c r="M1540" s="20"/>
      <c r="N1540" s="20"/>
      <c r="O1540" s="20"/>
      <c r="P1540" s="20"/>
    </row>
    <row r="1541">
      <c r="A1541" s="10"/>
      <c r="B1541" s="11"/>
      <c r="C1541" s="10"/>
      <c r="D1541" s="13"/>
      <c r="E1541" s="14"/>
      <c r="F1541" s="14"/>
      <c r="G1541" s="14"/>
      <c r="H1541" s="10"/>
      <c r="I1541" s="17"/>
      <c r="J1541" s="10"/>
      <c r="K1541" s="46"/>
      <c r="L1541" s="10"/>
      <c r="M1541" s="20"/>
      <c r="N1541" s="20"/>
      <c r="O1541" s="20"/>
      <c r="P1541" s="20"/>
    </row>
    <row r="1542">
      <c r="A1542" s="23"/>
      <c r="B1542" s="21"/>
      <c r="C1542" s="23"/>
      <c r="D1542" s="24"/>
      <c r="E1542" s="14"/>
      <c r="F1542" s="14"/>
      <c r="G1542" s="14"/>
      <c r="H1542" s="23"/>
      <c r="I1542" s="27"/>
      <c r="J1542" s="23"/>
      <c r="K1542" s="30"/>
      <c r="L1542" s="23"/>
      <c r="M1542" s="20"/>
      <c r="N1542" s="20"/>
      <c r="O1542" s="20"/>
      <c r="P1542" s="20"/>
    </row>
    <row r="1543">
      <c r="A1543" s="10"/>
      <c r="B1543" s="11"/>
      <c r="C1543" s="10"/>
      <c r="D1543" s="13"/>
      <c r="E1543" s="14"/>
      <c r="F1543" s="14"/>
      <c r="G1543" s="14"/>
      <c r="H1543" s="10"/>
      <c r="I1543" s="17"/>
      <c r="J1543" s="10"/>
      <c r="K1543" s="46"/>
      <c r="L1543" s="10"/>
      <c r="M1543" s="20"/>
      <c r="N1543" s="20"/>
      <c r="O1543" s="20"/>
      <c r="P1543" s="20"/>
    </row>
    <row r="1544">
      <c r="A1544" s="23"/>
      <c r="B1544" s="21"/>
      <c r="C1544" s="23"/>
      <c r="D1544" s="24"/>
      <c r="E1544" s="14"/>
      <c r="F1544" s="14"/>
      <c r="G1544" s="14"/>
      <c r="H1544" s="23"/>
      <c r="I1544" s="27"/>
      <c r="J1544" s="23"/>
      <c r="K1544" s="30"/>
      <c r="L1544" s="23"/>
      <c r="M1544" s="20"/>
      <c r="N1544" s="20"/>
      <c r="O1544" s="20"/>
      <c r="P1544" s="20"/>
    </row>
    <row r="1545">
      <c r="A1545" s="10"/>
      <c r="B1545" s="11"/>
      <c r="C1545" s="10"/>
      <c r="D1545" s="13"/>
      <c r="E1545" s="14"/>
      <c r="F1545" s="14"/>
      <c r="G1545" s="14"/>
      <c r="H1545" s="10"/>
      <c r="I1545" s="17"/>
      <c r="J1545" s="10"/>
      <c r="K1545" s="46"/>
      <c r="L1545" s="10"/>
      <c r="M1545" s="20"/>
      <c r="N1545" s="20"/>
      <c r="O1545" s="20"/>
      <c r="P1545" s="20"/>
    </row>
    <row r="1546">
      <c r="A1546" s="23"/>
      <c r="B1546" s="21"/>
      <c r="C1546" s="23"/>
      <c r="D1546" s="24"/>
      <c r="E1546" s="14"/>
      <c r="F1546" s="14"/>
      <c r="G1546" s="14"/>
      <c r="H1546" s="23"/>
      <c r="I1546" s="27"/>
      <c r="J1546" s="23"/>
      <c r="K1546" s="30"/>
      <c r="L1546" s="23"/>
      <c r="M1546" s="20"/>
      <c r="N1546" s="20"/>
      <c r="O1546" s="20"/>
      <c r="P1546" s="20"/>
    </row>
    <row r="1547">
      <c r="A1547" s="10"/>
      <c r="B1547" s="11"/>
      <c r="C1547" s="10"/>
      <c r="D1547" s="13"/>
      <c r="E1547" s="14"/>
      <c r="F1547" s="14"/>
      <c r="G1547" s="14"/>
      <c r="H1547" s="10"/>
      <c r="I1547" s="17"/>
      <c r="J1547" s="10"/>
      <c r="K1547" s="46"/>
      <c r="L1547" s="10"/>
      <c r="M1547" s="20"/>
      <c r="N1547" s="20"/>
      <c r="O1547" s="20"/>
      <c r="P1547" s="20"/>
    </row>
    <row r="1548">
      <c r="A1548" s="23"/>
      <c r="B1548" s="21"/>
      <c r="C1548" s="23"/>
      <c r="D1548" s="24"/>
      <c r="E1548" s="14"/>
      <c r="F1548" s="14"/>
      <c r="G1548" s="14"/>
      <c r="H1548" s="23"/>
      <c r="I1548" s="27"/>
      <c r="J1548" s="23"/>
      <c r="K1548" s="30"/>
      <c r="L1548" s="23"/>
      <c r="M1548" s="20"/>
      <c r="N1548" s="20"/>
      <c r="O1548" s="20"/>
      <c r="P1548" s="20"/>
    </row>
    <row r="1549">
      <c r="A1549" s="10"/>
      <c r="B1549" s="11"/>
      <c r="C1549" s="10"/>
      <c r="D1549" s="13"/>
      <c r="E1549" s="14"/>
      <c r="F1549" s="14"/>
      <c r="G1549" s="14"/>
      <c r="H1549" s="10"/>
      <c r="I1549" s="17"/>
      <c r="J1549" s="10"/>
      <c r="K1549" s="46"/>
      <c r="L1549" s="10"/>
      <c r="M1549" s="20"/>
      <c r="N1549" s="20"/>
      <c r="O1549" s="20"/>
      <c r="P1549" s="20"/>
    </row>
    <row r="1550">
      <c r="A1550" s="23"/>
      <c r="B1550" s="21"/>
      <c r="C1550" s="23"/>
      <c r="D1550" s="24"/>
      <c r="E1550" s="14"/>
      <c r="F1550" s="14"/>
      <c r="G1550" s="14"/>
      <c r="H1550" s="23"/>
      <c r="I1550" s="27"/>
      <c r="J1550" s="23"/>
      <c r="K1550" s="30"/>
      <c r="L1550" s="23"/>
      <c r="M1550" s="20"/>
      <c r="N1550" s="20"/>
      <c r="O1550" s="20"/>
      <c r="P1550" s="20"/>
    </row>
    <row r="1551">
      <c r="A1551" s="10"/>
      <c r="B1551" s="11"/>
      <c r="C1551" s="10"/>
      <c r="D1551" s="13"/>
      <c r="E1551" s="14"/>
      <c r="F1551" s="14"/>
      <c r="G1551" s="14"/>
      <c r="H1551" s="10"/>
      <c r="I1551" s="17"/>
      <c r="J1551" s="10"/>
      <c r="K1551" s="46"/>
      <c r="L1551" s="10"/>
      <c r="M1551" s="20"/>
      <c r="N1551" s="20"/>
      <c r="O1551" s="20"/>
      <c r="P1551" s="20"/>
    </row>
    <row r="1552">
      <c r="A1552" s="23"/>
      <c r="B1552" s="21"/>
      <c r="C1552" s="23"/>
      <c r="D1552" s="24"/>
      <c r="E1552" s="14"/>
      <c r="F1552" s="14"/>
      <c r="G1552" s="14"/>
      <c r="H1552" s="23"/>
      <c r="I1552" s="27"/>
      <c r="J1552" s="23"/>
      <c r="K1552" s="30"/>
      <c r="L1552" s="23"/>
      <c r="M1552" s="20"/>
      <c r="N1552" s="20"/>
      <c r="O1552" s="20"/>
      <c r="P1552" s="20"/>
    </row>
    <row r="1553">
      <c r="A1553" s="10"/>
      <c r="B1553" s="11"/>
      <c r="C1553" s="10"/>
      <c r="D1553" s="13"/>
      <c r="E1553" s="14"/>
      <c r="F1553" s="14"/>
      <c r="G1553" s="14"/>
      <c r="H1553" s="10"/>
      <c r="I1553" s="17"/>
      <c r="J1553" s="10"/>
      <c r="K1553" s="46"/>
      <c r="L1553" s="10"/>
      <c r="M1553" s="20"/>
      <c r="N1553" s="20"/>
      <c r="O1553" s="20"/>
      <c r="P1553" s="20"/>
    </row>
    <row r="1554">
      <c r="A1554" s="23"/>
      <c r="B1554" s="21"/>
      <c r="C1554" s="23"/>
      <c r="D1554" s="24"/>
      <c r="E1554" s="14"/>
      <c r="F1554" s="14"/>
      <c r="G1554" s="14"/>
      <c r="H1554" s="23"/>
      <c r="I1554" s="27"/>
      <c r="J1554" s="23"/>
      <c r="K1554" s="30"/>
      <c r="L1554" s="23"/>
      <c r="M1554" s="20"/>
      <c r="N1554" s="20"/>
      <c r="O1554" s="20"/>
      <c r="P1554" s="20"/>
    </row>
    <row r="1555">
      <c r="A1555" s="10"/>
      <c r="B1555" s="11"/>
      <c r="C1555" s="10"/>
      <c r="D1555" s="13"/>
      <c r="E1555" s="14"/>
      <c r="F1555" s="14"/>
      <c r="G1555" s="14"/>
      <c r="H1555" s="10"/>
      <c r="I1555" s="17"/>
      <c r="J1555" s="10"/>
      <c r="K1555" s="46"/>
      <c r="L1555" s="10"/>
      <c r="M1555" s="20"/>
      <c r="N1555" s="20"/>
      <c r="O1555" s="20"/>
      <c r="P1555" s="20"/>
    </row>
    <row r="1556">
      <c r="A1556" s="23"/>
      <c r="B1556" s="21"/>
      <c r="C1556" s="23"/>
      <c r="D1556" s="24"/>
      <c r="E1556" s="14"/>
      <c r="F1556" s="14"/>
      <c r="G1556" s="14"/>
      <c r="H1556" s="23"/>
      <c r="I1556" s="27"/>
      <c r="J1556" s="23"/>
      <c r="K1556" s="30"/>
      <c r="L1556" s="23"/>
      <c r="M1556" s="20"/>
      <c r="N1556" s="20"/>
      <c r="O1556" s="20"/>
      <c r="P1556" s="20"/>
    </row>
    <row r="1557">
      <c r="A1557" s="10"/>
      <c r="B1557" s="11"/>
      <c r="C1557" s="10"/>
      <c r="D1557" s="13"/>
      <c r="E1557" s="14"/>
      <c r="F1557" s="14"/>
      <c r="G1557" s="14"/>
      <c r="H1557" s="10"/>
      <c r="I1557" s="17"/>
      <c r="J1557" s="10"/>
      <c r="K1557" s="46"/>
      <c r="L1557" s="10"/>
      <c r="M1557" s="20"/>
      <c r="N1557" s="20"/>
      <c r="O1557" s="20"/>
      <c r="P1557" s="20"/>
    </row>
    <row r="1558">
      <c r="A1558" s="23"/>
      <c r="B1558" s="21"/>
      <c r="C1558" s="23"/>
      <c r="D1558" s="24"/>
      <c r="E1558" s="14"/>
      <c r="F1558" s="14"/>
      <c r="G1558" s="14"/>
      <c r="H1558" s="23"/>
      <c r="I1558" s="27"/>
      <c r="J1558" s="23"/>
      <c r="K1558" s="30"/>
      <c r="L1558" s="23"/>
      <c r="M1558" s="20"/>
      <c r="N1558" s="20"/>
      <c r="O1558" s="20"/>
      <c r="P1558" s="20"/>
    </row>
    <row r="1559">
      <c r="A1559" s="10"/>
      <c r="B1559" s="11"/>
      <c r="C1559" s="10"/>
      <c r="D1559" s="13"/>
      <c r="E1559" s="14"/>
      <c r="F1559" s="14"/>
      <c r="G1559" s="14"/>
      <c r="H1559" s="10"/>
      <c r="I1559" s="17"/>
      <c r="J1559" s="10"/>
      <c r="K1559" s="46"/>
      <c r="L1559" s="10"/>
      <c r="M1559" s="20"/>
      <c r="N1559" s="20"/>
      <c r="O1559" s="20"/>
      <c r="P1559" s="20"/>
    </row>
    <row r="1560">
      <c r="A1560" s="23"/>
      <c r="B1560" s="21"/>
      <c r="C1560" s="23"/>
      <c r="D1560" s="24"/>
      <c r="E1560" s="14"/>
      <c r="F1560" s="14"/>
      <c r="G1560" s="14"/>
      <c r="H1560" s="23"/>
      <c r="I1560" s="27"/>
      <c r="J1560" s="23"/>
      <c r="K1560" s="30"/>
      <c r="L1560" s="23"/>
      <c r="M1560" s="20"/>
      <c r="N1560" s="20"/>
      <c r="O1560" s="20"/>
      <c r="P1560" s="20"/>
    </row>
    <row r="1561">
      <c r="A1561" s="10"/>
      <c r="B1561" s="11"/>
      <c r="C1561" s="10"/>
      <c r="D1561" s="13"/>
      <c r="E1561" s="14"/>
      <c r="F1561" s="14"/>
      <c r="G1561" s="14"/>
      <c r="H1561" s="10"/>
      <c r="I1561" s="17"/>
      <c r="J1561" s="10"/>
      <c r="K1561" s="46"/>
      <c r="L1561" s="10"/>
      <c r="M1561" s="20"/>
      <c r="N1561" s="20"/>
      <c r="O1561" s="20"/>
      <c r="P1561" s="20"/>
    </row>
    <row r="1562">
      <c r="A1562" s="23"/>
      <c r="B1562" s="21"/>
      <c r="C1562" s="23"/>
      <c r="D1562" s="24"/>
      <c r="E1562" s="14"/>
      <c r="F1562" s="14"/>
      <c r="G1562" s="14"/>
      <c r="H1562" s="23"/>
      <c r="I1562" s="27"/>
      <c r="J1562" s="23"/>
      <c r="K1562" s="30"/>
      <c r="L1562" s="23"/>
      <c r="M1562" s="20"/>
      <c r="N1562" s="20"/>
      <c r="O1562" s="20"/>
      <c r="P1562" s="20"/>
    </row>
    <row r="1563">
      <c r="A1563" s="10"/>
      <c r="B1563" s="11"/>
      <c r="C1563" s="10"/>
      <c r="D1563" s="13"/>
      <c r="E1563" s="14"/>
      <c r="F1563" s="14"/>
      <c r="G1563" s="14"/>
      <c r="H1563" s="10"/>
      <c r="I1563" s="17"/>
      <c r="J1563" s="10"/>
      <c r="K1563" s="46"/>
      <c r="L1563" s="10"/>
      <c r="M1563" s="20"/>
      <c r="N1563" s="20"/>
      <c r="O1563" s="20"/>
      <c r="P1563" s="20"/>
    </row>
    <row r="1564">
      <c r="A1564" s="23"/>
      <c r="B1564" s="21"/>
      <c r="C1564" s="23"/>
      <c r="D1564" s="24"/>
      <c r="E1564" s="14"/>
      <c r="F1564" s="14"/>
      <c r="G1564" s="14"/>
      <c r="H1564" s="23"/>
      <c r="I1564" s="27"/>
      <c r="J1564" s="23"/>
      <c r="K1564" s="30"/>
      <c r="L1564" s="23"/>
      <c r="M1564" s="20"/>
      <c r="N1564" s="20"/>
      <c r="O1564" s="20"/>
      <c r="P1564" s="20"/>
    </row>
    <row r="1565">
      <c r="A1565" s="10"/>
      <c r="B1565" s="11"/>
      <c r="C1565" s="10"/>
      <c r="D1565" s="13"/>
      <c r="E1565" s="14"/>
      <c r="F1565" s="14"/>
      <c r="G1565" s="14"/>
      <c r="H1565" s="10"/>
      <c r="I1565" s="17"/>
      <c r="J1565" s="10"/>
      <c r="K1565" s="46"/>
      <c r="L1565" s="10"/>
      <c r="M1565" s="20"/>
      <c r="N1565" s="20"/>
      <c r="O1565" s="20"/>
      <c r="P1565" s="20"/>
    </row>
    <row r="1566">
      <c r="A1566" s="23"/>
      <c r="B1566" s="21"/>
      <c r="C1566" s="23"/>
      <c r="D1566" s="24"/>
      <c r="E1566" s="14"/>
      <c r="F1566" s="14"/>
      <c r="G1566" s="14"/>
      <c r="H1566" s="23"/>
      <c r="I1566" s="27"/>
      <c r="J1566" s="23"/>
      <c r="K1566" s="30"/>
      <c r="L1566" s="23"/>
      <c r="M1566" s="20"/>
      <c r="N1566" s="20"/>
      <c r="O1566" s="20"/>
      <c r="P1566" s="20"/>
    </row>
    <row r="1567">
      <c r="A1567" s="10"/>
      <c r="B1567" s="11"/>
      <c r="C1567" s="10"/>
      <c r="D1567" s="13"/>
      <c r="E1567" s="14"/>
      <c r="F1567" s="14"/>
      <c r="G1567" s="14"/>
      <c r="H1567" s="10"/>
      <c r="I1567" s="17"/>
      <c r="J1567" s="10"/>
      <c r="K1567" s="46"/>
      <c r="L1567" s="10"/>
      <c r="M1567" s="20"/>
      <c r="N1567" s="20"/>
      <c r="O1567" s="20"/>
      <c r="P1567" s="20"/>
    </row>
    <row r="1568">
      <c r="A1568" s="23"/>
      <c r="B1568" s="21"/>
      <c r="C1568" s="23"/>
      <c r="D1568" s="24"/>
      <c r="E1568" s="14"/>
      <c r="F1568" s="14"/>
      <c r="G1568" s="14"/>
      <c r="H1568" s="23"/>
      <c r="I1568" s="27"/>
      <c r="J1568" s="23"/>
      <c r="K1568" s="30"/>
      <c r="L1568" s="23"/>
      <c r="M1568" s="20"/>
      <c r="N1568" s="20"/>
      <c r="O1568" s="20"/>
      <c r="P1568" s="20"/>
    </row>
    <row r="1569">
      <c r="A1569" s="10"/>
      <c r="B1569" s="11"/>
      <c r="C1569" s="10"/>
      <c r="D1569" s="13"/>
      <c r="E1569" s="14"/>
      <c r="F1569" s="14"/>
      <c r="G1569" s="14"/>
      <c r="H1569" s="10"/>
      <c r="I1569" s="17"/>
      <c r="J1569" s="10"/>
      <c r="K1569" s="46"/>
      <c r="L1569" s="10"/>
      <c r="M1569" s="20"/>
      <c r="N1569" s="20"/>
      <c r="O1569" s="20"/>
      <c r="P1569" s="20"/>
    </row>
    <row r="1570">
      <c r="A1570" s="23"/>
      <c r="B1570" s="21"/>
      <c r="C1570" s="23"/>
      <c r="D1570" s="24"/>
      <c r="E1570" s="14"/>
      <c r="F1570" s="14"/>
      <c r="G1570" s="14"/>
      <c r="H1570" s="23"/>
      <c r="I1570" s="27"/>
      <c r="J1570" s="23"/>
      <c r="K1570" s="30"/>
      <c r="L1570" s="23"/>
      <c r="M1570" s="20"/>
      <c r="N1570" s="20"/>
      <c r="O1570" s="20"/>
      <c r="P1570" s="20"/>
    </row>
    <row r="1571">
      <c r="A1571" s="10"/>
      <c r="B1571" s="11"/>
      <c r="C1571" s="10"/>
      <c r="D1571" s="13"/>
      <c r="E1571" s="14"/>
      <c r="F1571" s="14"/>
      <c r="G1571" s="14"/>
      <c r="H1571" s="10"/>
      <c r="I1571" s="17"/>
      <c r="J1571" s="10"/>
      <c r="K1571" s="46"/>
      <c r="L1571" s="10"/>
      <c r="M1571" s="20"/>
      <c r="N1571" s="20"/>
      <c r="O1571" s="20"/>
      <c r="P1571" s="20"/>
    </row>
    <row r="1572">
      <c r="A1572" s="23"/>
      <c r="B1572" s="21"/>
      <c r="C1572" s="23"/>
      <c r="D1572" s="24"/>
      <c r="E1572" s="14"/>
      <c r="F1572" s="14"/>
      <c r="G1572" s="14"/>
      <c r="H1572" s="23"/>
      <c r="I1572" s="27"/>
      <c r="J1572" s="23"/>
      <c r="K1572" s="30"/>
      <c r="L1572" s="23"/>
      <c r="M1572" s="20"/>
      <c r="N1572" s="20"/>
      <c r="O1572" s="20"/>
      <c r="P1572" s="20"/>
    </row>
    <row r="1573">
      <c r="A1573" s="10"/>
      <c r="B1573" s="11"/>
      <c r="C1573" s="10"/>
      <c r="D1573" s="13"/>
      <c r="E1573" s="14"/>
      <c r="F1573" s="14"/>
      <c r="G1573" s="14"/>
      <c r="H1573" s="10"/>
      <c r="I1573" s="17"/>
      <c r="J1573" s="10"/>
      <c r="K1573" s="46"/>
      <c r="L1573" s="10"/>
      <c r="M1573" s="20"/>
      <c r="N1573" s="20"/>
      <c r="O1573" s="20"/>
      <c r="P1573" s="20"/>
    </row>
    <row r="1574">
      <c r="A1574" s="23"/>
      <c r="B1574" s="21"/>
      <c r="C1574" s="23"/>
      <c r="D1574" s="24"/>
      <c r="E1574" s="14"/>
      <c r="F1574" s="14"/>
      <c r="G1574" s="14"/>
      <c r="H1574" s="23"/>
      <c r="I1574" s="27"/>
      <c r="J1574" s="23"/>
      <c r="K1574" s="30"/>
      <c r="L1574" s="23"/>
      <c r="M1574" s="20"/>
      <c r="N1574" s="20"/>
      <c r="O1574" s="20"/>
      <c r="P1574" s="20"/>
    </row>
    <row r="1575">
      <c r="A1575" s="10"/>
      <c r="B1575" s="11"/>
      <c r="C1575" s="10"/>
      <c r="D1575" s="13"/>
      <c r="E1575" s="14"/>
      <c r="F1575" s="14"/>
      <c r="G1575" s="14"/>
      <c r="H1575" s="10"/>
      <c r="I1575" s="17"/>
      <c r="J1575" s="10"/>
      <c r="K1575" s="46"/>
      <c r="L1575" s="10"/>
      <c r="M1575" s="20"/>
      <c r="N1575" s="20"/>
      <c r="O1575" s="20"/>
      <c r="P1575" s="20"/>
    </row>
    <row r="1576">
      <c r="A1576" s="23"/>
      <c r="B1576" s="21"/>
      <c r="C1576" s="23"/>
      <c r="D1576" s="24"/>
      <c r="E1576" s="14"/>
      <c r="F1576" s="14"/>
      <c r="G1576" s="14"/>
      <c r="H1576" s="23"/>
      <c r="I1576" s="27"/>
      <c r="J1576" s="23"/>
      <c r="K1576" s="30"/>
      <c r="L1576" s="23"/>
      <c r="M1576" s="20"/>
      <c r="N1576" s="20"/>
      <c r="O1576" s="20"/>
      <c r="P1576" s="20"/>
    </row>
    <row r="1577">
      <c r="A1577" s="10"/>
      <c r="B1577" s="11"/>
      <c r="C1577" s="10"/>
      <c r="D1577" s="13"/>
      <c r="E1577" s="14"/>
      <c r="F1577" s="14"/>
      <c r="G1577" s="14"/>
      <c r="H1577" s="10"/>
      <c r="I1577" s="17"/>
      <c r="J1577" s="10"/>
      <c r="K1577" s="46"/>
      <c r="L1577" s="10"/>
      <c r="M1577" s="20"/>
      <c r="N1577" s="20"/>
      <c r="O1577" s="20"/>
      <c r="P1577" s="20"/>
    </row>
    <row r="1578">
      <c r="A1578" s="23"/>
      <c r="B1578" s="21"/>
      <c r="C1578" s="23"/>
      <c r="D1578" s="24"/>
      <c r="E1578" s="14"/>
      <c r="F1578" s="14"/>
      <c r="G1578" s="14"/>
      <c r="H1578" s="23"/>
      <c r="I1578" s="27"/>
      <c r="J1578" s="23"/>
      <c r="K1578" s="30"/>
      <c r="L1578" s="23"/>
      <c r="M1578" s="20"/>
      <c r="N1578" s="20"/>
      <c r="O1578" s="20"/>
      <c r="P1578" s="20"/>
    </row>
    <row r="1579">
      <c r="A1579" s="10"/>
      <c r="B1579" s="11"/>
      <c r="C1579" s="10"/>
      <c r="D1579" s="13"/>
      <c r="E1579" s="14"/>
      <c r="F1579" s="14"/>
      <c r="G1579" s="14"/>
      <c r="H1579" s="10"/>
      <c r="I1579" s="17"/>
      <c r="J1579" s="10"/>
      <c r="K1579" s="46"/>
      <c r="L1579" s="10"/>
      <c r="M1579" s="20"/>
      <c r="N1579" s="20"/>
      <c r="O1579" s="20"/>
      <c r="P1579" s="20"/>
    </row>
    <row r="1580">
      <c r="A1580" s="23"/>
      <c r="B1580" s="21"/>
      <c r="C1580" s="23"/>
      <c r="D1580" s="24"/>
      <c r="E1580" s="14"/>
      <c r="F1580" s="14"/>
      <c r="G1580" s="14"/>
      <c r="H1580" s="23"/>
      <c r="I1580" s="27"/>
      <c r="J1580" s="23"/>
      <c r="K1580" s="30"/>
      <c r="L1580" s="23"/>
      <c r="M1580" s="20"/>
      <c r="N1580" s="20"/>
      <c r="O1580" s="20"/>
      <c r="P1580" s="20"/>
    </row>
    <row r="1581">
      <c r="A1581" s="10"/>
      <c r="B1581" s="11"/>
      <c r="C1581" s="10"/>
      <c r="D1581" s="13"/>
      <c r="E1581" s="14"/>
      <c r="F1581" s="14"/>
      <c r="G1581" s="14"/>
      <c r="H1581" s="10"/>
      <c r="I1581" s="17"/>
      <c r="J1581" s="10"/>
      <c r="K1581" s="46"/>
      <c r="L1581" s="10"/>
      <c r="M1581" s="20"/>
      <c r="N1581" s="20"/>
      <c r="O1581" s="20"/>
      <c r="P1581" s="20"/>
    </row>
    <row r="1582">
      <c r="A1582" s="23"/>
      <c r="B1582" s="21"/>
      <c r="C1582" s="23"/>
      <c r="D1582" s="24"/>
      <c r="E1582" s="14"/>
      <c r="F1582" s="14"/>
      <c r="G1582" s="14"/>
      <c r="H1582" s="23"/>
      <c r="I1582" s="27"/>
      <c r="J1582" s="23"/>
      <c r="K1582" s="30"/>
      <c r="L1582" s="23"/>
      <c r="M1582" s="20"/>
      <c r="N1582" s="20"/>
      <c r="O1582" s="20"/>
      <c r="P1582" s="20"/>
    </row>
    <row r="1583">
      <c r="A1583" s="10"/>
      <c r="B1583" s="11"/>
      <c r="C1583" s="10"/>
      <c r="D1583" s="13"/>
      <c r="E1583" s="14"/>
      <c r="F1583" s="14"/>
      <c r="G1583" s="14"/>
      <c r="H1583" s="10"/>
      <c r="I1583" s="17"/>
      <c r="J1583" s="10"/>
      <c r="K1583" s="46"/>
      <c r="L1583" s="10"/>
      <c r="M1583" s="20"/>
      <c r="N1583" s="20"/>
      <c r="O1583" s="20"/>
      <c r="P1583" s="20"/>
    </row>
    <row r="1584">
      <c r="A1584" s="23"/>
      <c r="B1584" s="21"/>
      <c r="C1584" s="23"/>
      <c r="D1584" s="24"/>
      <c r="E1584" s="14"/>
      <c r="F1584" s="14"/>
      <c r="G1584" s="14"/>
      <c r="H1584" s="23"/>
      <c r="I1584" s="27"/>
      <c r="J1584" s="23"/>
      <c r="K1584" s="30"/>
      <c r="L1584" s="23"/>
      <c r="M1584" s="20"/>
      <c r="N1584" s="20"/>
      <c r="O1584" s="20"/>
      <c r="P1584" s="20"/>
    </row>
    <row r="1585">
      <c r="A1585" s="10"/>
      <c r="B1585" s="11"/>
      <c r="C1585" s="10"/>
      <c r="D1585" s="13"/>
      <c r="E1585" s="14"/>
      <c r="F1585" s="14"/>
      <c r="G1585" s="14"/>
      <c r="H1585" s="10"/>
      <c r="I1585" s="17"/>
      <c r="J1585" s="10"/>
      <c r="K1585" s="46"/>
      <c r="L1585" s="10"/>
      <c r="M1585" s="20"/>
      <c r="N1585" s="20"/>
      <c r="O1585" s="20"/>
      <c r="P1585" s="20"/>
    </row>
    <row r="1586">
      <c r="A1586" s="23"/>
      <c r="B1586" s="21"/>
      <c r="C1586" s="23"/>
      <c r="D1586" s="24"/>
      <c r="E1586" s="14"/>
      <c r="F1586" s="14"/>
      <c r="G1586" s="14"/>
      <c r="H1586" s="23"/>
      <c r="I1586" s="27"/>
      <c r="J1586" s="23"/>
      <c r="K1586" s="30"/>
      <c r="L1586" s="23"/>
      <c r="M1586" s="20"/>
      <c r="N1586" s="20"/>
      <c r="O1586" s="20"/>
      <c r="P1586" s="20"/>
    </row>
    <row r="1587">
      <c r="A1587" s="10"/>
      <c r="B1587" s="11"/>
      <c r="C1587" s="10"/>
      <c r="D1587" s="13"/>
      <c r="E1587" s="14"/>
      <c r="F1587" s="14"/>
      <c r="G1587" s="14"/>
      <c r="H1587" s="10"/>
      <c r="I1587" s="17"/>
      <c r="J1587" s="10"/>
      <c r="K1587" s="46"/>
      <c r="L1587" s="10"/>
      <c r="M1587" s="20"/>
      <c r="N1587" s="20"/>
      <c r="O1587" s="20"/>
      <c r="P1587" s="20"/>
    </row>
    <row r="1588">
      <c r="A1588" s="23"/>
      <c r="B1588" s="21"/>
      <c r="C1588" s="23"/>
      <c r="D1588" s="24"/>
      <c r="E1588" s="14"/>
      <c r="F1588" s="14"/>
      <c r="G1588" s="14"/>
      <c r="H1588" s="23"/>
      <c r="I1588" s="27"/>
      <c r="J1588" s="23"/>
      <c r="K1588" s="30"/>
      <c r="L1588" s="23"/>
      <c r="M1588" s="20"/>
      <c r="N1588" s="20"/>
      <c r="O1588" s="20"/>
      <c r="P1588" s="20"/>
    </row>
    <row r="1589">
      <c r="A1589" s="10"/>
      <c r="B1589" s="11"/>
      <c r="C1589" s="10"/>
      <c r="D1589" s="13"/>
      <c r="E1589" s="14"/>
      <c r="F1589" s="14"/>
      <c r="G1589" s="14"/>
      <c r="H1589" s="10"/>
      <c r="I1589" s="17"/>
      <c r="J1589" s="10"/>
      <c r="K1589" s="46"/>
      <c r="L1589" s="10"/>
      <c r="M1589" s="20"/>
      <c r="N1589" s="20"/>
      <c r="O1589" s="20"/>
      <c r="P1589" s="20"/>
    </row>
    <row r="1590">
      <c r="A1590" s="23"/>
      <c r="B1590" s="21"/>
      <c r="C1590" s="23"/>
      <c r="D1590" s="24"/>
      <c r="E1590" s="14"/>
      <c r="F1590" s="14"/>
      <c r="G1590" s="14"/>
      <c r="H1590" s="23"/>
      <c r="I1590" s="27"/>
      <c r="J1590" s="23"/>
      <c r="K1590" s="30"/>
      <c r="L1590" s="23"/>
      <c r="M1590" s="20"/>
      <c r="N1590" s="20"/>
      <c r="O1590" s="20"/>
      <c r="P1590" s="20"/>
    </row>
    <row r="1591">
      <c r="A1591" s="10"/>
      <c r="B1591" s="11"/>
      <c r="C1591" s="10"/>
      <c r="D1591" s="13"/>
      <c r="E1591" s="14"/>
      <c r="F1591" s="14"/>
      <c r="G1591" s="14"/>
      <c r="H1591" s="10"/>
      <c r="I1591" s="17"/>
      <c r="J1591" s="10"/>
      <c r="K1591" s="46"/>
      <c r="L1591" s="10"/>
      <c r="M1591" s="20"/>
      <c r="N1591" s="20"/>
      <c r="O1591" s="20"/>
      <c r="P1591" s="20"/>
    </row>
    <row r="1592">
      <c r="A1592" s="23"/>
      <c r="B1592" s="21"/>
      <c r="C1592" s="23"/>
      <c r="D1592" s="24"/>
      <c r="E1592" s="14"/>
      <c r="F1592" s="14"/>
      <c r="G1592" s="14"/>
      <c r="H1592" s="23"/>
      <c r="I1592" s="27"/>
      <c r="J1592" s="23"/>
      <c r="K1592" s="30"/>
      <c r="L1592" s="23"/>
      <c r="M1592" s="20"/>
      <c r="N1592" s="20"/>
      <c r="O1592" s="20"/>
      <c r="P1592" s="20"/>
    </row>
    <row r="1593">
      <c r="A1593" s="10"/>
      <c r="B1593" s="11"/>
      <c r="C1593" s="10"/>
      <c r="D1593" s="13"/>
      <c r="E1593" s="14"/>
      <c r="F1593" s="14"/>
      <c r="G1593" s="14"/>
      <c r="H1593" s="10"/>
      <c r="I1593" s="17"/>
      <c r="J1593" s="10"/>
      <c r="K1593" s="46"/>
      <c r="L1593" s="10"/>
      <c r="M1593" s="20"/>
      <c r="N1593" s="20"/>
      <c r="O1593" s="20"/>
      <c r="P1593" s="20"/>
    </row>
    <row r="1594">
      <c r="A1594" s="23"/>
      <c r="B1594" s="21"/>
      <c r="C1594" s="23"/>
      <c r="D1594" s="24"/>
      <c r="E1594" s="14"/>
      <c r="F1594" s="14"/>
      <c r="G1594" s="14"/>
      <c r="H1594" s="23"/>
      <c r="I1594" s="27"/>
      <c r="J1594" s="23"/>
      <c r="K1594" s="30"/>
      <c r="L1594" s="23"/>
      <c r="M1594" s="20"/>
      <c r="N1594" s="20"/>
      <c r="O1594" s="20"/>
      <c r="P1594" s="20"/>
    </row>
    <row r="1595">
      <c r="A1595" s="10"/>
      <c r="B1595" s="11"/>
      <c r="C1595" s="10"/>
      <c r="D1595" s="13"/>
      <c r="E1595" s="14"/>
      <c r="F1595" s="14"/>
      <c r="G1595" s="14"/>
      <c r="H1595" s="10"/>
      <c r="I1595" s="17"/>
      <c r="J1595" s="10"/>
      <c r="K1595" s="46"/>
      <c r="L1595" s="10"/>
      <c r="M1595" s="20"/>
      <c r="N1595" s="20"/>
      <c r="O1595" s="20"/>
      <c r="P1595" s="20"/>
    </row>
    <row r="1596">
      <c r="A1596" s="23"/>
      <c r="B1596" s="21"/>
      <c r="C1596" s="23"/>
      <c r="D1596" s="24"/>
      <c r="E1596" s="14"/>
      <c r="F1596" s="14"/>
      <c r="G1596" s="14"/>
      <c r="H1596" s="23"/>
      <c r="I1596" s="27"/>
      <c r="J1596" s="23"/>
      <c r="K1596" s="30"/>
      <c r="L1596" s="23"/>
      <c r="M1596" s="20"/>
      <c r="N1596" s="20"/>
      <c r="O1596" s="20"/>
      <c r="P1596" s="20"/>
    </row>
    <row r="1597">
      <c r="A1597" s="10"/>
      <c r="B1597" s="11"/>
      <c r="C1597" s="10"/>
      <c r="D1597" s="13"/>
      <c r="E1597" s="14"/>
      <c r="F1597" s="14"/>
      <c r="G1597" s="14"/>
      <c r="H1597" s="10"/>
      <c r="I1597" s="17"/>
      <c r="J1597" s="10"/>
      <c r="K1597" s="46"/>
      <c r="L1597" s="10"/>
      <c r="M1597" s="20"/>
      <c r="N1597" s="20"/>
      <c r="O1597" s="20"/>
      <c r="P1597" s="20"/>
    </row>
    <row r="1598">
      <c r="A1598" s="23"/>
      <c r="B1598" s="21"/>
      <c r="C1598" s="23"/>
      <c r="D1598" s="24"/>
      <c r="E1598" s="14"/>
      <c r="F1598" s="14"/>
      <c r="G1598" s="14"/>
      <c r="H1598" s="23"/>
      <c r="I1598" s="27"/>
      <c r="J1598" s="23"/>
      <c r="K1598" s="30"/>
      <c r="L1598" s="23"/>
      <c r="M1598" s="20"/>
      <c r="N1598" s="20"/>
      <c r="O1598" s="20"/>
      <c r="P1598" s="20"/>
    </row>
    <row r="1599">
      <c r="A1599" s="10"/>
      <c r="B1599" s="11"/>
      <c r="C1599" s="10"/>
      <c r="D1599" s="13"/>
      <c r="E1599" s="14"/>
      <c r="F1599" s="14"/>
      <c r="G1599" s="14"/>
      <c r="H1599" s="10"/>
      <c r="I1599" s="17"/>
      <c r="J1599" s="10"/>
      <c r="K1599" s="46"/>
      <c r="L1599" s="10"/>
      <c r="M1599" s="20"/>
      <c r="N1599" s="20"/>
      <c r="O1599" s="20"/>
      <c r="P1599" s="20"/>
    </row>
    <row r="1600">
      <c r="A1600" s="23"/>
      <c r="B1600" s="21"/>
      <c r="C1600" s="23"/>
      <c r="D1600" s="24"/>
      <c r="E1600" s="14"/>
      <c r="F1600" s="14"/>
      <c r="G1600" s="14"/>
      <c r="H1600" s="23"/>
      <c r="I1600" s="27"/>
      <c r="J1600" s="23"/>
      <c r="K1600" s="30"/>
      <c r="L1600" s="23"/>
      <c r="M1600" s="20"/>
      <c r="N1600" s="20"/>
      <c r="O1600" s="20"/>
      <c r="P1600" s="20"/>
    </row>
    <row r="1601">
      <c r="A1601" s="10"/>
      <c r="B1601" s="11"/>
      <c r="C1601" s="10"/>
      <c r="D1601" s="13"/>
      <c r="E1601" s="14"/>
      <c r="F1601" s="14"/>
      <c r="G1601" s="14"/>
      <c r="H1601" s="10"/>
      <c r="I1601" s="17"/>
      <c r="J1601" s="10"/>
      <c r="K1601" s="46"/>
      <c r="L1601" s="10"/>
      <c r="M1601" s="20"/>
      <c r="N1601" s="20"/>
      <c r="O1601" s="20"/>
      <c r="P1601" s="20"/>
    </row>
    <row r="1602">
      <c r="A1602" s="23"/>
      <c r="B1602" s="21"/>
      <c r="C1602" s="23"/>
      <c r="D1602" s="24"/>
      <c r="E1602" s="14"/>
      <c r="F1602" s="14"/>
      <c r="G1602" s="14"/>
      <c r="H1602" s="23"/>
      <c r="I1602" s="27"/>
      <c r="J1602" s="23"/>
      <c r="K1602" s="30"/>
      <c r="L1602" s="23"/>
      <c r="M1602" s="20"/>
      <c r="N1602" s="20"/>
      <c r="O1602" s="20"/>
      <c r="P1602" s="20"/>
    </row>
    <row r="1603">
      <c r="A1603" s="10"/>
      <c r="B1603" s="11"/>
      <c r="C1603" s="10"/>
      <c r="D1603" s="13"/>
      <c r="E1603" s="14"/>
      <c r="F1603" s="14"/>
      <c r="G1603" s="14"/>
      <c r="H1603" s="10"/>
      <c r="I1603" s="17"/>
      <c r="J1603" s="10"/>
      <c r="K1603" s="46"/>
      <c r="L1603" s="10"/>
      <c r="M1603" s="20"/>
      <c r="N1603" s="20"/>
      <c r="O1603" s="20"/>
      <c r="P1603" s="20"/>
    </row>
    <row r="1604">
      <c r="A1604" s="23"/>
      <c r="B1604" s="21"/>
      <c r="C1604" s="23"/>
      <c r="D1604" s="24"/>
      <c r="E1604" s="14"/>
      <c r="F1604" s="14"/>
      <c r="G1604" s="14"/>
      <c r="H1604" s="23"/>
      <c r="I1604" s="27"/>
      <c r="J1604" s="23"/>
      <c r="K1604" s="30"/>
      <c r="L1604" s="23"/>
      <c r="M1604" s="20"/>
      <c r="N1604" s="20"/>
      <c r="O1604" s="20"/>
      <c r="P1604" s="20"/>
    </row>
    <row r="1605">
      <c r="A1605" s="10"/>
      <c r="B1605" s="11"/>
      <c r="C1605" s="10"/>
      <c r="D1605" s="13"/>
      <c r="E1605" s="14"/>
      <c r="F1605" s="14"/>
      <c r="G1605" s="14"/>
      <c r="H1605" s="10"/>
      <c r="I1605" s="17"/>
      <c r="J1605" s="10"/>
      <c r="K1605" s="46"/>
      <c r="L1605" s="10"/>
      <c r="M1605" s="20"/>
      <c r="N1605" s="20"/>
      <c r="O1605" s="20"/>
      <c r="P1605" s="20"/>
    </row>
    <row r="1606">
      <c r="A1606" s="23"/>
      <c r="B1606" s="21"/>
      <c r="C1606" s="23"/>
      <c r="D1606" s="24"/>
      <c r="E1606" s="14"/>
      <c r="F1606" s="14"/>
      <c r="G1606" s="14"/>
      <c r="H1606" s="23"/>
      <c r="I1606" s="27"/>
      <c r="J1606" s="23"/>
      <c r="K1606" s="30"/>
      <c r="L1606" s="23"/>
      <c r="M1606" s="20"/>
      <c r="N1606" s="20"/>
      <c r="O1606" s="20"/>
      <c r="P1606" s="20"/>
    </row>
    <row r="1607">
      <c r="A1607" s="10"/>
      <c r="B1607" s="11"/>
      <c r="C1607" s="10"/>
      <c r="D1607" s="13"/>
      <c r="E1607" s="14"/>
      <c r="F1607" s="14"/>
      <c r="G1607" s="14"/>
      <c r="H1607" s="10"/>
      <c r="I1607" s="17"/>
      <c r="J1607" s="10"/>
      <c r="K1607" s="46"/>
      <c r="L1607" s="10"/>
      <c r="M1607" s="20"/>
      <c r="N1607" s="20"/>
      <c r="O1607" s="20"/>
      <c r="P1607" s="20"/>
    </row>
    <row r="1608">
      <c r="A1608" s="23"/>
      <c r="B1608" s="21"/>
      <c r="C1608" s="23"/>
      <c r="D1608" s="24"/>
      <c r="E1608" s="14"/>
      <c r="F1608" s="14"/>
      <c r="G1608" s="14"/>
      <c r="H1608" s="23"/>
      <c r="I1608" s="27"/>
      <c r="J1608" s="23"/>
      <c r="K1608" s="30"/>
      <c r="L1608" s="23"/>
      <c r="M1608" s="20"/>
      <c r="N1608" s="20"/>
      <c r="O1608" s="20"/>
      <c r="P1608" s="20"/>
    </row>
    <row r="1609">
      <c r="A1609" s="10"/>
      <c r="B1609" s="11"/>
      <c r="C1609" s="10"/>
      <c r="D1609" s="13"/>
      <c r="E1609" s="14"/>
      <c r="F1609" s="14"/>
      <c r="G1609" s="14"/>
      <c r="H1609" s="10"/>
      <c r="I1609" s="17"/>
      <c r="J1609" s="10"/>
      <c r="K1609" s="46"/>
      <c r="L1609" s="10"/>
      <c r="M1609" s="20"/>
      <c r="N1609" s="20"/>
      <c r="O1609" s="20"/>
      <c r="P1609" s="20"/>
    </row>
    <row r="1610">
      <c r="A1610" s="23"/>
      <c r="B1610" s="21"/>
      <c r="C1610" s="23"/>
      <c r="D1610" s="24"/>
      <c r="E1610" s="14"/>
      <c r="F1610" s="14"/>
      <c r="G1610" s="14"/>
      <c r="H1610" s="23"/>
      <c r="I1610" s="27"/>
      <c r="J1610" s="23"/>
      <c r="K1610" s="30"/>
      <c r="L1610" s="23"/>
      <c r="M1610" s="20"/>
      <c r="N1610" s="20"/>
      <c r="O1610" s="20"/>
      <c r="P1610" s="20"/>
    </row>
    <row r="1611">
      <c r="A1611" s="10"/>
      <c r="B1611" s="11"/>
      <c r="C1611" s="10"/>
      <c r="D1611" s="13"/>
      <c r="E1611" s="14"/>
      <c r="F1611" s="14"/>
      <c r="G1611" s="14"/>
      <c r="H1611" s="10"/>
      <c r="I1611" s="17"/>
      <c r="J1611" s="10"/>
      <c r="K1611" s="46"/>
      <c r="L1611" s="10"/>
      <c r="M1611" s="20"/>
      <c r="N1611" s="20"/>
      <c r="O1611" s="20"/>
      <c r="P1611" s="20"/>
    </row>
    <row r="1612">
      <c r="A1612" s="23"/>
      <c r="B1612" s="21"/>
      <c r="C1612" s="23"/>
      <c r="D1612" s="24"/>
      <c r="E1612" s="14"/>
      <c r="F1612" s="14"/>
      <c r="G1612" s="14"/>
      <c r="H1612" s="23"/>
      <c r="I1612" s="27"/>
      <c r="J1612" s="23"/>
      <c r="K1612" s="30"/>
      <c r="L1612" s="23"/>
      <c r="M1612" s="20"/>
      <c r="N1612" s="20"/>
      <c r="O1612" s="20"/>
      <c r="P1612" s="20"/>
    </row>
    <row r="1613">
      <c r="A1613" s="10"/>
      <c r="B1613" s="11"/>
      <c r="C1613" s="10"/>
      <c r="D1613" s="13"/>
      <c r="E1613" s="14"/>
      <c r="F1613" s="14"/>
      <c r="G1613" s="14"/>
      <c r="H1613" s="10"/>
      <c r="I1613" s="17"/>
      <c r="J1613" s="10"/>
      <c r="K1613" s="46"/>
      <c r="L1613" s="10"/>
      <c r="M1613" s="20"/>
      <c r="N1613" s="20"/>
      <c r="O1613" s="20"/>
      <c r="P1613" s="20"/>
    </row>
    <row r="1614">
      <c r="A1614" s="23"/>
      <c r="B1614" s="21"/>
      <c r="C1614" s="23"/>
      <c r="D1614" s="24"/>
      <c r="E1614" s="14"/>
      <c r="F1614" s="14"/>
      <c r="G1614" s="14"/>
      <c r="H1614" s="23"/>
      <c r="I1614" s="27"/>
      <c r="J1614" s="23"/>
      <c r="K1614" s="30"/>
      <c r="L1614" s="23"/>
      <c r="M1614" s="20"/>
      <c r="N1614" s="20"/>
      <c r="O1614" s="20"/>
      <c r="P1614" s="20"/>
    </row>
    <row r="1615">
      <c r="A1615" s="10"/>
      <c r="B1615" s="11"/>
      <c r="C1615" s="10"/>
      <c r="D1615" s="13"/>
      <c r="E1615" s="14"/>
      <c r="F1615" s="14"/>
      <c r="G1615" s="14"/>
      <c r="H1615" s="10"/>
      <c r="I1615" s="17"/>
      <c r="J1615" s="10"/>
      <c r="K1615" s="46"/>
      <c r="L1615" s="10"/>
      <c r="M1615" s="20"/>
      <c r="N1615" s="20"/>
      <c r="O1615" s="20"/>
      <c r="P1615" s="20"/>
    </row>
    <row r="1616">
      <c r="A1616" s="23"/>
      <c r="B1616" s="21"/>
      <c r="C1616" s="23"/>
      <c r="D1616" s="24"/>
      <c r="E1616" s="14"/>
      <c r="F1616" s="14"/>
      <c r="G1616" s="14"/>
      <c r="H1616" s="23"/>
      <c r="I1616" s="27"/>
      <c r="J1616" s="23"/>
      <c r="K1616" s="30"/>
      <c r="L1616" s="23"/>
      <c r="M1616" s="20"/>
      <c r="N1616" s="20"/>
      <c r="O1616" s="20"/>
      <c r="P1616" s="20"/>
    </row>
    <row r="1617">
      <c r="A1617" s="10"/>
      <c r="B1617" s="11"/>
      <c r="C1617" s="10"/>
      <c r="D1617" s="13"/>
      <c r="E1617" s="14"/>
      <c r="F1617" s="14"/>
      <c r="G1617" s="14"/>
      <c r="H1617" s="10"/>
      <c r="I1617" s="17"/>
      <c r="J1617" s="10"/>
      <c r="K1617" s="46"/>
      <c r="L1617" s="10"/>
      <c r="M1617" s="20"/>
      <c r="N1617" s="20"/>
      <c r="O1617" s="20"/>
      <c r="P1617" s="20"/>
    </row>
    <row r="1618">
      <c r="A1618" s="23"/>
      <c r="B1618" s="21"/>
      <c r="C1618" s="23"/>
      <c r="D1618" s="24"/>
      <c r="E1618" s="14"/>
      <c r="F1618" s="14"/>
      <c r="G1618" s="14"/>
      <c r="H1618" s="23"/>
      <c r="I1618" s="27"/>
      <c r="J1618" s="23"/>
      <c r="K1618" s="30"/>
      <c r="L1618" s="23"/>
      <c r="M1618" s="20"/>
      <c r="N1618" s="20"/>
      <c r="O1618" s="20"/>
      <c r="P1618" s="20"/>
    </row>
    <row r="1619">
      <c r="A1619" s="10"/>
      <c r="B1619" s="11"/>
      <c r="C1619" s="10"/>
      <c r="D1619" s="13"/>
      <c r="E1619" s="14"/>
      <c r="F1619" s="14"/>
      <c r="G1619" s="14"/>
      <c r="H1619" s="10"/>
      <c r="I1619" s="17"/>
      <c r="J1619" s="10"/>
      <c r="K1619" s="46"/>
      <c r="L1619" s="10"/>
      <c r="M1619" s="20"/>
      <c r="N1619" s="20"/>
      <c r="O1619" s="20"/>
      <c r="P1619" s="20"/>
    </row>
    <row r="1620">
      <c r="A1620" s="23"/>
      <c r="B1620" s="21"/>
      <c r="C1620" s="23"/>
      <c r="D1620" s="24"/>
      <c r="E1620" s="14"/>
      <c r="F1620" s="14"/>
      <c r="G1620" s="14"/>
      <c r="H1620" s="23"/>
      <c r="I1620" s="27"/>
      <c r="J1620" s="23"/>
      <c r="K1620" s="30"/>
      <c r="L1620" s="23"/>
      <c r="M1620" s="20"/>
      <c r="N1620" s="20"/>
      <c r="O1620" s="20"/>
      <c r="P1620" s="20"/>
    </row>
    <row r="1621">
      <c r="A1621" s="10"/>
      <c r="B1621" s="11"/>
      <c r="C1621" s="10"/>
      <c r="D1621" s="13"/>
      <c r="E1621" s="14"/>
      <c r="F1621" s="14"/>
      <c r="G1621" s="14"/>
      <c r="H1621" s="10"/>
      <c r="I1621" s="17"/>
      <c r="J1621" s="10"/>
      <c r="K1621" s="46"/>
      <c r="L1621" s="10"/>
      <c r="M1621" s="20"/>
      <c r="N1621" s="20"/>
      <c r="O1621" s="20"/>
      <c r="P1621" s="20"/>
    </row>
    <row r="1622">
      <c r="A1622" s="23"/>
      <c r="B1622" s="21"/>
      <c r="C1622" s="23"/>
      <c r="D1622" s="24"/>
      <c r="E1622" s="14"/>
      <c r="F1622" s="14"/>
      <c r="G1622" s="14"/>
      <c r="H1622" s="23"/>
      <c r="I1622" s="27"/>
      <c r="J1622" s="23"/>
      <c r="K1622" s="30"/>
      <c r="L1622" s="23"/>
      <c r="M1622" s="20"/>
      <c r="N1622" s="20"/>
      <c r="O1622" s="20"/>
      <c r="P1622" s="20"/>
    </row>
    <row r="1623">
      <c r="A1623" s="10"/>
      <c r="B1623" s="11"/>
      <c r="C1623" s="10"/>
      <c r="D1623" s="13"/>
      <c r="E1623" s="14"/>
      <c r="F1623" s="14"/>
      <c r="G1623" s="14"/>
      <c r="H1623" s="10"/>
      <c r="I1623" s="17"/>
      <c r="J1623" s="10"/>
      <c r="K1623" s="46"/>
      <c r="L1623" s="10"/>
      <c r="M1623" s="20"/>
      <c r="N1623" s="20"/>
      <c r="O1623" s="20"/>
      <c r="P1623" s="20"/>
    </row>
    <row r="1624">
      <c r="A1624" s="23"/>
      <c r="B1624" s="21"/>
      <c r="C1624" s="23"/>
      <c r="D1624" s="24"/>
      <c r="E1624" s="14"/>
      <c r="F1624" s="14"/>
      <c r="G1624" s="14"/>
      <c r="H1624" s="23"/>
      <c r="I1624" s="27"/>
      <c r="J1624" s="23"/>
      <c r="K1624" s="30"/>
      <c r="L1624" s="23"/>
      <c r="M1624" s="20"/>
      <c r="N1624" s="20"/>
      <c r="O1624" s="20"/>
      <c r="P1624" s="20"/>
    </row>
    <row r="1625">
      <c r="A1625" s="10"/>
      <c r="B1625" s="11"/>
      <c r="C1625" s="10"/>
      <c r="D1625" s="13"/>
      <c r="E1625" s="14"/>
      <c r="F1625" s="14"/>
      <c r="G1625" s="14"/>
      <c r="H1625" s="10"/>
      <c r="I1625" s="17"/>
      <c r="J1625" s="10"/>
      <c r="K1625" s="46"/>
      <c r="L1625" s="10"/>
      <c r="M1625" s="20"/>
      <c r="N1625" s="20"/>
      <c r="O1625" s="20"/>
      <c r="P1625" s="20"/>
    </row>
    <row r="1626">
      <c r="A1626" s="23"/>
      <c r="B1626" s="21"/>
      <c r="C1626" s="23"/>
      <c r="D1626" s="24"/>
      <c r="E1626" s="14"/>
      <c r="F1626" s="14"/>
      <c r="G1626" s="14"/>
      <c r="H1626" s="23"/>
      <c r="I1626" s="27"/>
      <c r="J1626" s="23"/>
      <c r="K1626" s="30"/>
      <c r="L1626" s="23"/>
      <c r="M1626" s="20"/>
      <c r="N1626" s="20"/>
      <c r="O1626" s="20"/>
      <c r="P1626" s="20"/>
    </row>
    <row r="1627">
      <c r="A1627" s="10"/>
      <c r="B1627" s="11"/>
      <c r="C1627" s="10"/>
      <c r="D1627" s="13"/>
      <c r="E1627" s="14"/>
      <c r="F1627" s="14"/>
      <c r="G1627" s="14"/>
      <c r="H1627" s="10"/>
      <c r="I1627" s="17"/>
      <c r="J1627" s="10"/>
      <c r="K1627" s="46"/>
      <c r="L1627" s="10"/>
      <c r="M1627" s="20"/>
      <c r="N1627" s="20"/>
      <c r="O1627" s="20"/>
      <c r="P1627" s="20"/>
    </row>
    <row r="1628">
      <c r="A1628" s="23"/>
      <c r="B1628" s="21"/>
      <c r="C1628" s="23"/>
      <c r="D1628" s="24"/>
      <c r="E1628" s="14"/>
      <c r="F1628" s="14"/>
      <c r="G1628" s="14"/>
      <c r="H1628" s="23"/>
      <c r="I1628" s="27"/>
      <c r="J1628" s="23"/>
      <c r="K1628" s="30"/>
      <c r="L1628" s="23"/>
      <c r="M1628" s="20"/>
      <c r="N1628" s="20"/>
      <c r="O1628" s="20"/>
      <c r="P1628" s="20"/>
    </row>
    <row r="1629">
      <c r="A1629" s="10"/>
      <c r="B1629" s="11"/>
      <c r="C1629" s="10"/>
      <c r="D1629" s="13"/>
      <c r="E1629" s="14"/>
      <c r="F1629" s="14"/>
      <c r="G1629" s="14"/>
      <c r="H1629" s="10"/>
      <c r="I1629" s="17"/>
      <c r="J1629" s="10"/>
      <c r="K1629" s="46"/>
      <c r="L1629" s="10"/>
      <c r="M1629" s="20"/>
      <c r="N1629" s="20"/>
      <c r="O1629" s="20"/>
      <c r="P1629" s="20"/>
    </row>
    <row r="1630">
      <c r="A1630" s="23"/>
      <c r="B1630" s="21"/>
      <c r="C1630" s="23"/>
      <c r="D1630" s="24"/>
      <c r="E1630" s="14"/>
      <c r="F1630" s="14"/>
      <c r="G1630" s="14"/>
      <c r="H1630" s="23"/>
      <c r="I1630" s="27"/>
      <c r="J1630" s="23"/>
      <c r="K1630" s="30"/>
      <c r="L1630" s="23"/>
      <c r="M1630" s="20"/>
      <c r="N1630" s="20"/>
      <c r="O1630" s="20"/>
      <c r="P1630" s="20"/>
    </row>
    <row r="1631">
      <c r="A1631" s="10"/>
      <c r="B1631" s="11"/>
      <c r="C1631" s="10"/>
      <c r="D1631" s="13"/>
      <c r="E1631" s="14"/>
      <c r="F1631" s="14"/>
      <c r="G1631" s="14"/>
      <c r="H1631" s="10"/>
      <c r="I1631" s="17"/>
      <c r="J1631" s="10"/>
      <c r="K1631" s="46"/>
      <c r="L1631" s="10"/>
      <c r="M1631" s="20"/>
      <c r="N1631" s="20"/>
      <c r="O1631" s="20"/>
      <c r="P1631" s="20"/>
    </row>
    <row r="1632">
      <c r="A1632" s="23"/>
      <c r="B1632" s="21"/>
      <c r="C1632" s="23"/>
      <c r="D1632" s="24"/>
      <c r="E1632" s="14"/>
      <c r="F1632" s="14"/>
      <c r="G1632" s="14"/>
      <c r="H1632" s="23"/>
      <c r="I1632" s="27"/>
      <c r="J1632" s="23"/>
      <c r="K1632" s="30"/>
      <c r="L1632" s="23"/>
      <c r="M1632" s="20"/>
      <c r="N1632" s="20"/>
      <c r="O1632" s="20"/>
      <c r="P1632" s="20"/>
    </row>
    <row r="1633">
      <c r="A1633" s="10"/>
      <c r="B1633" s="11"/>
      <c r="C1633" s="10"/>
      <c r="D1633" s="13"/>
      <c r="E1633" s="14"/>
      <c r="F1633" s="14"/>
      <c r="G1633" s="14"/>
      <c r="H1633" s="10"/>
      <c r="I1633" s="17"/>
      <c r="J1633" s="10"/>
      <c r="K1633" s="46"/>
      <c r="L1633" s="10"/>
      <c r="M1633" s="20"/>
      <c r="N1633" s="20"/>
      <c r="O1633" s="20"/>
      <c r="P1633" s="20"/>
    </row>
    <row r="1634">
      <c r="A1634" s="23"/>
      <c r="B1634" s="21"/>
      <c r="C1634" s="23"/>
      <c r="D1634" s="24"/>
      <c r="E1634" s="14"/>
      <c r="F1634" s="14"/>
      <c r="G1634" s="14"/>
      <c r="H1634" s="23"/>
      <c r="I1634" s="27"/>
      <c r="J1634" s="23"/>
      <c r="K1634" s="30"/>
      <c r="L1634" s="23"/>
      <c r="M1634" s="20"/>
      <c r="N1634" s="20"/>
      <c r="O1634" s="20"/>
      <c r="P1634" s="20"/>
    </row>
    <row r="1635">
      <c r="A1635" s="10"/>
      <c r="B1635" s="11"/>
      <c r="C1635" s="10"/>
      <c r="D1635" s="13"/>
      <c r="E1635" s="14"/>
      <c r="F1635" s="14"/>
      <c r="G1635" s="14"/>
      <c r="H1635" s="10"/>
      <c r="I1635" s="17"/>
      <c r="J1635" s="10"/>
      <c r="K1635" s="46"/>
      <c r="L1635" s="10"/>
      <c r="M1635" s="20"/>
      <c r="N1635" s="20"/>
      <c r="O1635" s="20"/>
      <c r="P1635" s="20"/>
    </row>
    <row r="1636">
      <c r="A1636" s="23"/>
      <c r="B1636" s="21"/>
      <c r="C1636" s="23"/>
      <c r="D1636" s="24"/>
      <c r="E1636" s="14"/>
      <c r="F1636" s="14"/>
      <c r="G1636" s="14"/>
      <c r="H1636" s="23"/>
      <c r="I1636" s="27"/>
      <c r="J1636" s="23"/>
      <c r="K1636" s="30"/>
      <c r="L1636" s="23"/>
      <c r="M1636" s="20"/>
      <c r="N1636" s="20"/>
      <c r="O1636" s="20"/>
      <c r="P1636" s="20"/>
    </row>
    <row r="1637">
      <c r="A1637" s="10"/>
      <c r="B1637" s="11"/>
      <c r="C1637" s="10"/>
      <c r="D1637" s="13"/>
      <c r="E1637" s="14"/>
      <c r="F1637" s="14"/>
      <c r="G1637" s="14"/>
      <c r="H1637" s="10"/>
      <c r="I1637" s="17"/>
      <c r="J1637" s="10"/>
      <c r="K1637" s="46"/>
      <c r="L1637" s="10"/>
      <c r="M1637" s="20"/>
      <c r="N1637" s="20"/>
      <c r="O1637" s="20"/>
      <c r="P1637" s="20"/>
    </row>
    <row r="1638">
      <c r="A1638" s="23"/>
      <c r="B1638" s="21"/>
      <c r="C1638" s="23"/>
      <c r="D1638" s="24"/>
      <c r="E1638" s="14"/>
      <c r="F1638" s="14"/>
      <c r="G1638" s="14"/>
      <c r="H1638" s="23"/>
      <c r="I1638" s="27"/>
      <c r="J1638" s="23"/>
      <c r="K1638" s="30"/>
      <c r="L1638" s="23"/>
      <c r="M1638" s="20"/>
      <c r="N1638" s="20"/>
      <c r="O1638" s="20"/>
      <c r="P1638" s="20"/>
    </row>
    <row r="1639">
      <c r="A1639" s="10"/>
      <c r="B1639" s="11"/>
      <c r="C1639" s="10"/>
      <c r="D1639" s="13"/>
      <c r="E1639" s="14"/>
      <c r="F1639" s="14"/>
      <c r="G1639" s="14"/>
      <c r="H1639" s="10"/>
      <c r="I1639" s="17"/>
      <c r="J1639" s="10"/>
      <c r="K1639" s="46"/>
      <c r="L1639" s="10"/>
      <c r="M1639" s="20"/>
      <c r="N1639" s="20"/>
      <c r="O1639" s="20"/>
      <c r="P1639" s="20"/>
    </row>
    <row r="1640">
      <c r="A1640" s="23"/>
      <c r="B1640" s="21"/>
      <c r="C1640" s="23"/>
      <c r="D1640" s="24"/>
      <c r="E1640" s="14"/>
      <c r="F1640" s="14"/>
      <c r="G1640" s="14"/>
      <c r="H1640" s="23"/>
      <c r="I1640" s="27"/>
      <c r="J1640" s="23"/>
      <c r="K1640" s="30"/>
      <c r="L1640" s="23"/>
      <c r="M1640" s="20"/>
      <c r="N1640" s="20"/>
      <c r="O1640" s="20"/>
      <c r="P1640" s="20"/>
    </row>
    <row r="1641">
      <c r="A1641" s="10"/>
      <c r="B1641" s="11"/>
      <c r="C1641" s="10"/>
      <c r="D1641" s="13"/>
      <c r="E1641" s="14"/>
      <c r="F1641" s="14"/>
      <c r="G1641" s="14"/>
      <c r="H1641" s="10"/>
      <c r="I1641" s="17"/>
      <c r="J1641" s="10"/>
      <c r="K1641" s="46"/>
      <c r="L1641" s="10"/>
      <c r="M1641" s="20"/>
      <c r="N1641" s="20"/>
      <c r="O1641" s="20"/>
      <c r="P1641" s="20"/>
    </row>
    <row r="1642">
      <c r="A1642" s="23"/>
      <c r="B1642" s="21"/>
      <c r="C1642" s="23"/>
      <c r="D1642" s="24"/>
      <c r="E1642" s="14"/>
      <c r="F1642" s="14"/>
      <c r="G1642" s="14"/>
      <c r="H1642" s="23"/>
      <c r="I1642" s="27"/>
      <c r="J1642" s="23"/>
      <c r="K1642" s="30"/>
      <c r="L1642" s="23"/>
      <c r="M1642" s="20"/>
      <c r="N1642" s="20"/>
      <c r="O1642" s="20"/>
      <c r="P1642" s="20"/>
    </row>
    <row r="1643">
      <c r="A1643" s="10"/>
      <c r="B1643" s="11"/>
      <c r="C1643" s="10"/>
      <c r="D1643" s="13"/>
      <c r="E1643" s="14"/>
      <c r="F1643" s="14"/>
      <c r="G1643" s="14"/>
      <c r="H1643" s="10"/>
      <c r="I1643" s="17"/>
      <c r="J1643" s="10"/>
      <c r="K1643" s="46"/>
      <c r="L1643" s="10"/>
      <c r="M1643" s="20"/>
      <c r="N1643" s="20"/>
      <c r="O1643" s="20"/>
      <c r="P1643" s="20"/>
    </row>
    <row r="1644">
      <c r="A1644" s="23"/>
      <c r="B1644" s="21"/>
      <c r="C1644" s="23"/>
      <c r="D1644" s="24"/>
      <c r="E1644" s="14"/>
      <c r="F1644" s="14"/>
      <c r="G1644" s="14"/>
      <c r="H1644" s="23"/>
      <c r="I1644" s="27"/>
      <c r="J1644" s="23"/>
      <c r="K1644" s="30"/>
      <c r="L1644" s="23"/>
      <c r="M1644" s="20"/>
      <c r="N1644" s="20"/>
      <c r="O1644" s="20"/>
      <c r="P1644" s="20"/>
    </row>
    <row r="1645">
      <c r="A1645" s="10"/>
      <c r="B1645" s="11"/>
      <c r="C1645" s="10"/>
      <c r="D1645" s="13"/>
      <c r="E1645" s="14"/>
      <c r="F1645" s="14"/>
      <c r="G1645" s="14"/>
      <c r="H1645" s="10"/>
      <c r="I1645" s="17"/>
      <c r="J1645" s="10"/>
      <c r="K1645" s="46"/>
      <c r="L1645" s="10"/>
      <c r="M1645" s="20"/>
      <c r="N1645" s="20"/>
      <c r="O1645" s="20"/>
      <c r="P1645" s="20"/>
    </row>
    <row r="1646">
      <c r="A1646" s="23"/>
      <c r="B1646" s="21"/>
      <c r="C1646" s="23"/>
      <c r="D1646" s="24"/>
      <c r="E1646" s="14"/>
      <c r="F1646" s="14"/>
      <c r="G1646" s="14"/>
      <c r="H1646" s="23"/>
      <c r="I1646" s="27"/>
      <c r="J1646" s="23"/>
      <c r="K1646" s="30"/>
      <c r="L1646" s="23"/>
      <c r="M1646" s="20"/>
      <c r="N1646" s="20"/>
      <c r="O1646" s="20"/>
      <c r="P1646" s="20"/>
    </row>
    <row r="1647">
      <c r="A1647" s="10"/>
      <c r="B1647" s="11"/>
      <c r="C1647" s="10"/>
      <c r="D1647" s="13"/>
      <c r="E1647" s="14"/>
      <c r="F1647" s="14"/>
      <c r="G1647" s="14"/>
      <c r="H1647" s="10"/>
      <c r="I1647" s="17"/>
      <c r="J1647" s="10"/>
      <c r="K1647" s="46"/>
      <c r="L1647" s="10"/>
      <c r="M1647" s="20"/>
      <c r="N1647" s="20"/>
      <c r="O1647" s="20"/>
      <c r="P1647" s="20"/>
    </row>
    <row r="1648">
      <c r="A1648" s="23"/>
      <c r="B1648" s="21"/>
      <c r="C1648" s="23"/>
      <c r="D1648" s="24"/>
      <c r="E1648" s="14"/>
      <c r="F1648" s="14"/>
      <c r="G1648" s="14"/>
      <c r="H1648" s="23"/>
      <c r="I1648" s="27"/>
      <c r="J1648" s="23"/>
      <c r="K1648" s="30"/>
      <c r="L1648" s="23"/>
      <c r="M1648" s="20"/>
      <c r="N1648" s="20"/>
      <c r="O1648" s="20"/>
      <c r="P1648" s="20"/>
    </row>
    <row r="1649">
      <c r="A1649" s="10"/>
      <c r="B1649" s="11"/>
      <c r="C1649" s="10"/>
      <c r="D1649" s="13"/>
      <c r="E1649" s="14"/>
      <c r="F1649" s="14"/>
      <c r="G1649" s="14"/>
      <c r="H1649" s="10"/>
      <c r="I1649" s="17"/>
      <c r="J1649" s="10"/>
      <c r="K1649" s="46"/>
      <c r="L1649" s="10"/>
      <c r="M1649" s="20"/>
      <c r="N1649" s="20"/>
      <c r="O1649" s="20"/>
      <c r="P1649" s="20"/>
    </row>
    <row r="1650">
      <c r="A1650" s="23"/>
      <c r="B1650" s="21"/>
      <c r="C1650" s="23"/>
      <c r="D1650" s="24"/>
      <c r="E1650" s="14"/>
      <c r="F1650" s="14"/>
      <c r="G1650" s="14"/>
      <c r="H1650" s="23"/>
      <c r="I1650" s="27"/>
      <c r="J1650" s="23"/>
      <c r="K1650" s="30"/>
      <c r="L1650" s="23"/>
      <c r="M1650" s="20"/>
      <c r="N1650" s="20"/>
      <c r="O1650" s="20"/>
      <c r="P1650" s="20"/>
    </row>
    <row r="1651">
      <c r="A1651" s="10"/>
      <c r="B1651" s="11"/>
      <c r="C1651" s="10"/>
      <c r="D1651" s="13"/>
      <c r="E1651" s="14"/>
      <c r="F1651" s="14"/>
      <c r="G1651" s="14"/>
      <c r="H1651" s="10"/>
      <c r="I1651" s="17"/>
      <c r="J1651" s="10"/>
      <c r="K1651" s="46"/>
      <c r="L1651" s="10"/>
      <c r="M1651" s="20"/>
      <c r="N1651" s="20"/>
      <c r="O1651" s="20"/>
      <c r="P1651" s="20"/>
    </row>
    <row r="1652">
      <c r="A1652" s="23"/>
      <c r="B1652" s="21"/>
      <c r="C1652" s="23"/>
      <c r="D1652" s="24"/>
      <c r="E1652" s="14"/>
      <c r="F1652" s="14"/>
      <c r="G1652" s="14"/>
      <c r="H1652" s="23"/>
      <c r="I1652" s="27"/>
      <c r="J1652" s="23"/>
      <c r="K1652" s="30"/>
      <c r="L1652" s="23"/>
      <c r="M1652" s="20"/>
      <c r="N1652" s="20"/>
      <c r="O1652" s="20"/>
      <c r="P1652" s="20"/>
    </row>
    <row r="1653">
      <c r="A1653" s="10"/>
      <c r="B1653" s="11"/>
      <c r="C1653" s="10"/>
      <c r="D1653" s="13"/>
      <c r="E1653" s="14"/>
      <c r="F1653" s="14"/>
      <c r="G1653" s="14"/>
      <c r="H1653" s="10"/>
      <c r="I1653" s="17"/>
      <c r="J1653" s="10"/>
      <c r="K1653" s="46"/>
      <c r="L1653" s="10"/>
      <c r="M1653" s="20"/>
      <c r="N1653" s="20"/>
      <c r="O1653" s="20"/>
      <c r="P1653" s="20"/>
    </row>
    <row r="1654">
      <c r="A1654" s="23"/>
      <c r="B1654" s="21"/>
      <c r="C1654" s="23"/>
      <c r="D1654" s="24"/>
      <c r="E1654" s="14"/>
      <c r="F1654" s="14"/>
      <c r="G1654" s="14"/>
      <c r="H1654" s="23"/>
      <c r="I1654" s="27"/>
      <c r="J1654" s="23"/>
      <c r="K1654" s="30"/>
      <c r="L1654" s="23"/>
      <c r="M1654" s="20"/>
      <c r="N1654" s="20"/>
      <c r="O1654" s="20"/>
      <c r="P1654" s="20"/>
    </row>
    <row r="1655">
      <c r="A1655" s="10"/>
      <c r="B1655" s="11"/>
      <c r="C1655" s="10"/>
      <c r="D1655" s="13"/>
      <c r="E1655" s="14"/>
      <c r="F1655" s="14"/>
      <c r="G1655" s="14"/>
      <c r="H1655" s="10"/>
      <c r="I1655" s="17"/>
      <c r="J1655" s="10"/>
      <c r="K1655" s="46"/>
      <c r="L1655" s="10"/>
      <c r="M1655" s="20"/>
      <c r="N1655" s="20"/>
      <c r="O1655" s="20"/>
      <c r="P1655" s="20"/>
    </row>
    <row r="1656">
      <c r="A1656" s="23"/>
      <c r="B1656" s="21"/>
      <c r="C1656" s="23"/>
      <c r="D1656" s="24"/>
      <c r="E1656" s="14"/>
      <c r="F1656" s="14"/>
      <c r="G1656" s="14"/>
      <c r="H1656" s="23"/>
      <c r="I1656" s="27"/>
      <c r="J1656" s="23"/>
      <c r="K1656" s="30"/>
      <c r="L1656" s="23"/>
      <c r="M1656" s="20"/>
      <c r="N1656" s="20"/>
      <c r="O1656" s="20"/>
      <c r="P1656" s="20"/>
    </row>
    <row r="1657">
      <c r="A1657" s="10"/>
      <c r="B1657" s="11"/>
      <c r="C1657" s="10"/>
      <c r="D1657" s="13"/>
      <c r="E1657" s="14"/>
      <c r="F1657" s="14"/>
      <c r="G1657" s="14"/>
      <c r="H1657" s="10"/>
      <c r="I1657" s="17"/>
      <c r="J1657" s="10"/>
      <c r="K1657" s="46"/>
      <c r="L1657" s="10"/>
      <c r="M1657" s="20"/>
      <c r="N1657" s="20"/>
      <c r="O1657" s="20"/>
      <c r="P1657" s="20"/>
    </row>
    <row r="1658">
      <c r="A1658" s="23"/>
      <c r="B1658" s="21"/>
      <c r="C1658" s="23"/>
      <c r="D1658" s="24"/>
      <c r="E1658" s="14"/>
      <c r="F1658" s="14"/>
      <c r="G1658" s="14"/>
      <c r="H1658" s="23"/>
      <c r="I1658" s="27"/>
      <c r="J1658" s="23"/>
      <c r="K1658" s="30"/>
      <c r="L1658" s="23"/>
      <c r="M1658" s="20"/>
      <c r="N1658" s="20"/>
      <c r="O1658" s="20"/>
      <c r="P1658" s="20"/>
    </row>
    <row r="1659">
      <c r="A1659" s="10"/>
      <c r="B1659" s="11"/>
      <c r="C1659" s="10"/>
      <c r="D1659" s="13"/>
      <c r="E1659" s="14"/>
      <c r="F1659" s="14"/>
      <c r="G1659" s="14"/>
      <c r="H1659" s="10"/>
      <c r="I1659" s="17"/>
      <c r="J1659" s="10"/>
      <c r="K1659" s="46"/>
      <c r="L1659" s="10"/>
      <c r="M1659" s="20"/>
      <c r="N1659" s="20"/>
      <c r="O1659" s="20"/>
      <c r="P1659" s="20"/>
    </row>
    <row r="1660">
      <c r="A1660" s="23"/>
      <c r="B1660" s="21"/>
      <c r="C1660" s="23"/>
      <c r="D1660" s="24"/>
      <c r="E1660" s="14"/>
      <c r="F1660" s="14"/>
      <c r="G1660" s="14"/>
      <c r="H1660" s="23"/>
      <c r="I1660" s="27"/>
      <c r="J1660" s="23"/>
      <c r="K1660" s="30"/>
      <c r="L1660" s="23"/>
      <c r="M1660" s="20"/>
      <c r="N1660" s="20"/>
      <c r="O1660" s="20"/>
      <c r="P1660" s="20"/>
    </row>
    <row r="1661">
      <c r="A1661" s="10"/>
      <c r="B1661" s="11"/>
      <c r="C1661" s="10"/>
      <c r="D1661" s="13"/>
      <c r="E1661" s="14"/>
      <c r="F1661" s="14"/>
      <c r="G1661" s="14"/>
      <c r="H1661" s="10"/>
      <c r="I1661" s="17"/>
      <c r="J1661" s="10"/>
      <c r="K1661" s="46"/>
      <c r="L1661" s="10"/>
      <c r="M1661" s="20"/>
      <c r="N1661" s="20"/>
      <c r="O1661" s="20"/>
      <c r="P1661" s="20"/>
    </row>
    <row r="1662">
      <c r="A1662" s="23"/>
      <c r="B1662" s="21"/>
      <c r="C1662" s="23"/>
      <c r="D1662" s="24"/>
      <c r="E1662" s="14"/>
      <c r="F1662" s="14"/>
      <c r="G1662" s="14"/>
      <c r="H1662" s="23"/>
      <c r="I1662" s="27"/>
      <c r="J1662" s="23"/>
      <c r="K1662" s="30"/>
      <c r="L1662" s="23"/>
      <c r="M1662" s="20"/>
      <c r="N1662" s="20"/>
      <c r="O1662" s="20"/>
      <c r="P1662" s="20"/>
    </row>
    <row r="1663">
      <c r="A1663" s="10"/>
      <c r="B1663" s="11"/>
      <c r="C1663" s="10"/>
      <c r="D1663" s="13"/>
      <c r="E1663" s="14"/>
      <c r="F1663" s="14"/>
      <c r="G1663" s="14"/>
      <c r="H1663" s="10"/>
      <c r="I1663" s="17"/>
      <c r="J1663" s="10"/>
      <c r="K1663" s="46"/>
      <c r="L1663" s="10"/>
      <c r="M1663" s="20"/>
      <c r="N1663" s="20"/>
      <c r="O1663" s="20"/>
      <c r="P1663" s="20"/>
    </row>
    <row r="1664">
      <c r="A1664" s="23"/>
      <c r="B1664" s="21"/>
      <c r="C1664" s="23"/>
      <c r="D1664" s="24"/>
      <c r="E1664" s="14"/>
      <c r="F1664" s="14"/>
      <c r="G1664" s="14"/>
      <c r="H1664" s="23"/>
      <c r="I1664" s="27"/>
      <c r="J1664" s="23"/>
      <c r="K1664" s="30"/>
      <c r="L1664" s="23"/>
      <c r="M1664" s="20"/>
      <c r="N1664" s="20"/>
      <c r="O1664" s="20"/>
      <c r="P1664" s="20"/>
    </row>
    <row r="1665">
      <c r="A1665" s="10"/>
      <c r="B1665" s="11"/>
      <c r="C1665" s="10"/>
      <c r="D1665" s="13"/>
      <c r="E1665" s="14"/>
      <c r="F1665" s="14"/>
      <c r="G1665" s="14"/>
      <c r="H1665" s="10"/>
      <c r="I1665" s="17"/>
      <c r="J1665" s="10"/>
      <c r="K1665" s="46"/>
      <c r="L1665" s="10"/>
      <c r="M1665" s="20"/>
      <c r="N1665" s="20"/>
      <c r="O1665" s="20"/>
      <c r="P1665" s="20"/>
    </row>
    <row r="1666">
      <c r="A1666" s="23"/>
      <c r="B1666" s="21"/>
      <c r="C1666" s="23"/>
      <c r="D1666" s="24"/>
      <c r="E1666" s="14"/>
      <c r="F1666" s="14"/>
      <c r="G1666" s="14"/>
      <c r="H1666" s="23"/>
      <c r="I1666" s="27"/>
      <c r="J1666" s="23"/>
      <c r="K1666" s="30"/>
      <c r="L1666" s="23"/>
      <c r="M1666" s="20"/>
      <c r="N1666" s="20"/>
      <c r="O1666" s="20"/>
      <c r="P1666" s="20"/>
    </row>
    <row r="1667">
      <c r="A1667" s="10"/>
      <c r="B1667" s="11"/>
      <c r="C1667" s="10"/>
      <c r="D1667" s="13"/>
      <c r="E1667" s="14"/>
      <c r="F1667" s="14"/>
      <c r="G1667" s="14"/>
      <c r="H1667" s="10"/>
      <c r="I1667" s="17"/>
      <c r="J1667" s="10"/>
      <c r="K1667" s="46"/>
      <c r="L1667" s="10"/>
      <c r="M1667" s="20"/>
      <c r="N1667" s="20"/>
      <c r="O1667" s="20"/>
      <c r="P1667" s="20"/>
    </row>
    <row r="1668">
      <c r="A1668" s="23"/>
      <c r="B1668" s="21"/>
      <c r="C1668" s="23"/>
      <c r="D1668" s="24"/>
      <c r="E1668" s="14"/>
      <c r="F1668" s="14"/>
      <c r="G1668" s="14"/>
      <c r="H1668" s="23"/>
      <c r="I1668" s="27"/>
      <c r="J1668" s="23"/>
      <c r="K1668" s="30"/>
      <c r="L1668" s="23"/>
      <c r="M1668" s="20"/>
      <c r="N1668" s="20"/>
      <c r="O1668" s="20"/>
      <c r="P1668" s="20"/>
    </row>
    <row r="1669">
      <c r="A1669" s="10"/>
      <c r="B1669" s="11"/>
      <c r="C1669" s="10"/>
      <c r="D1669" s="13"/>
      <c r="E1669" s="14"/>
      <c r="F1669" s="14"/>
      <c r="G1669" s="14"/>
      <c r="H1669" s="10"/>
      <c r="I1669" s="17"/>
      <c r="J1669" s="10"/>
      <c r="K1669" s="46"/>
      <c r="L1669" s="10"/>
      <c r="M1669" s="20"/>
      <c r="N1669" s="20"/>
      <c r="O1669" s="20"/>
      <c r="P1669" s="20"/>
    </row>
    <row r="1670">
      <c r="A1670" s="23"/>
      <c r="B1670" s="21"/>
      <c r="C1670" s="23"/>
      <c r="D1670" s="24"/>
      <c r="E1670" s="14"/>
      <c r="F1670" s="14"/>
      <c r="G1670" s="14"/>
      <c r="H1670" s="23"/>
      <c r="I1670" s="27"/>
      <c r="J1670" s="23"/>
      <c r="K1670" s="30"/>
      <c r="L1670" s="23"/>
      <c r="M1670" s="20"/>
      <c r="N1670" s="20"/>
      <c r="O1670" s="20"/>
      <c r="P1670" s="20"/>
    </row>
    <row r="1671">
      <c r="A1671" s="10"/>
      <c r="B1671" s="11"/>
      <c r="C1671" s="10"/>
      <c r="D1671" s="13"/>
      <c r="E1671" s="14"/>
      <c r="F1671" s="14"/>
      <c r="G1671" s="14"/>
      <c r="H1671" s="10"/>
      <c r="I1671" s="17"/>
      <c r="J1671" s="10"/>
      <c r="K1671" s="46"/>
      <c r="L1671" s="10"/>
      <c r="M1671" s="20"/>
      <c r="N1671" s="20"/>
      <c r="O1671" s="20"/>
      <c r="P1671" s="20"/>
    </row>
    <row r="1672">
      <c r="A1672" s="23"/>
      <c r="B1672" s="21"/>
      <c r="C1672" s="23"/>
      <c r="D1672" s="24"/>
      <c r="E1672" s="14"/>
      <c r="F1672" s="14"/>
      <c r="G1672" s="14"/>
      <c r="H1672" s="23"/>
      <c r="I1672" s="27"/>
      <c r="J1672" s="23"/>
      <c r="K1672" s="30"/>
      <c r="L1672" s="23"/>
      <c r="M1672" s="20"/>
      <c r="N1672" s="20"/>
      <c r="O1672" s="20"/>
      <c r="P1672" s="20"/>
    </row>
    <row r="1673">
      <c r="A1673" s="10"/>
      <c r="B1673" s="11"/>
      <c r="C1673" s="10"/>
      <c r="D1673" s="13"/>
      <c r="E1673" s="14"/>
      <c r="F1673" s="14"/>
      <c r="G1673" s="14"/>
      <c r="H1673" s="10"/>
      <c r="I1673" s="17"/>
      <c r="J1673" s="10"/>
      <c r="K1673" s="46"/>
      <c r="L1673" s="10"/>
      <c r="M1673" s="20"/>
      <c r="N1673" s="20"/>
      <c r="O1673" s="20"/>
      <c r="P1673" s="20"/>
    </row>
    <row r="1674">
      <c r="A1674" s="23"/>
      <c r="B1674" s="21"/>
      <c r="C1674" s="23"/>
      <c r="D1674" s="24"/>
      <c r="E1674" s="14"/>
      <c r="F1674" s="14"/>
      <c r="G1674" s="14"/>
      <c r="H1674" s="23"/>
      <c r="I1674" s="27"/>
      <c r="J1674" s="23"/>
      <c r="K1674" s="30"/>
      <c r="L1674" s="23"/>
      <c r="M1674" s="20"/>
      <c r="N1674" s="20"/>
      <c r="O1674" s="20"/>
      <c r="P1674" s="20"/>
    </row>
    <row r="1675">
      <c r="A1675" s="10"/>
      <c r="B1675" s="11"/>
      <c r="C1675" s="10"/>
      <c r="D1675" s="13"/>
      <c r="E1675" s="14"/>
      <c r="F1675" s="14"/>
      <c r="G1675" s="14"/>
      <c r="H1675" s="10"/>
      <c r="I1675" s="17"/>
      <c r="J1675" s="10"/>
      <c r="K1675" s="46"/>
      <c r="L1675" s="10"/>
      <c r="M1675" s="20"/>
      <c r="N1675" s="20"/>
      <c r="O1675" s="20"/>
      <c r="P1675" s="20"/>
    </row>
    <row r="1676">
      <c r="A1676" s="23"/>
      <c r="B1676" s="21"/>
      <c r="C1676" s="23"/>
      <c r="D1676" s="24"/>
      <c r="E1676" s="14"/>
      <c r="F1676" s="14"/>
      <c r="G1676" s="14"/>
      <c r="H1676" s="23"/>
      <c r="I1676" s="27"/>
      <c r="J1676" s="23"/>
      <c r="K1676" s="30"/>
      <c r="L1676" s="23"/>
      <c r="M1676" s="20"/>
      <c r="N1676" s="20"/>
      <c r="O1676" s="20"/>
      <c r="P1676" s="20"/>
    </row>
    <row r="1677">
      <c r="A1677" s="10"/>
      <c r="B1677" s="11"/>
      <c r="C1677" s="10"/>
      <c r="D1677" s="13"/>
      <c r="E1677" s="14"/>
      <c r="F1677" s="14"/>
      <c r="G1677" s="14"/>
      <c r="H1677" s="10"/>
      <c r="I1677" s="17"/>
      <c r="J1677" s="10"/>
      <c r="K1677" s="46"/>
      <c r="L1677" s="10"/>
      <c r="M1677" s="20"/>
      <c r="N1677" s="20"/>
      <c r="O1677" s="20"/>
      <c r="P1677" s="20"/>
    </row>
    <row r="1678">
      <c r="A1678" s="23"/>
      <c r="B1678" s="21"/>
      <c r="C1678" s="23"/>
      <c r="D1678" s="24"/>
      <c r="E1678" s="14"/>
      <c r="F1678" s="14"/>
      <c r="G1678" s="14"/>
      <c r="H1678" s="23"/>
      <c r="I1678" s="27"/>
      <c r="J1678" s="23"/>
      <c r="K1678" s="30"/>
      <c r="L1678" s="23"/>
      <c r="M1678" s="20"/>
      <c r="N1678" s="20"/>
      <c r="O1678" s="20"/>
      <c r="P1678" s="20"/>
    </row>
    <row r="1679">
      <c r="A1679" s="10"/>
      <c r="B1679" s="11"/>
      <c r="C1679" s="10"/>
      <c r="D1679" s="13"/>
      <c r="E1679" s="14"/>
      <c r="F1679" s="14"/>
      <c r="G1679" s="14"/>
      <c r="H1679" s="10"/>
      <c r="I1679" s="17"/>
      <c r="J1679" s="10"/>
      <c r="K1679" s="46"/>
      <c r="L1679" s="10"/>
      <c r="M1679" s="20"/>
      <c r="N1679" s="20"/>
      <c r="O1679" s="20"/>
      <c r="P1679" s="20"/>
    </row>
    <row r="1680">
      <c r="A1680" s="23"/>
      <c r="B1680" s="21"/>
      <c r="C1680" s="23"/>
      <c r="D1680" s="24"/>
      <c r="E1680" s="14"/>
      <c r="F1680" s="14"/>
      <c r="G1680" s="14"/>
      <c r="H1680" s="23"/>
      <c r="I1680" s="27"/>
      <c r="J1680" s="23"/>
      <c r="K1680" s="30"/>
      <c r="L1680" s="23"/>
      <c r="M1680" s="20"/>
      <c r="N1680" s="20"/>
      <c r="O1680" s="20"/>
      <c r="P1680" s="20"/>
    </row>
    <row r="1681">
      <c r="A1681" s="10"/>
      <c r="B1681" s="11"/>
      <c r="C1681" s="10"/>
      <c r="D1681" s="13"/>
      <c r="E1681" s="14"/>
      <c r="F1681" s="14"/>
      <c r="G1681" s="14"/>
      <c r="H1681" s="10"/>
      <c r="I1681" s="17"/>
      <c r="J1681" s="10"/>
      <c r="K1681" s="46"/>
      <c r="L1681" s="10"/>
      <c r="M1681" s="20"/>
      <c r="N1681" s="20"/>
      <c r="O1681" s="20"/>
      <c r="P1681" s="20"/>
    </row>
    <row r="1682">
      <c r="A1682" s="23"/>
      <c r="B1682" s="21"/>
      <c r="C1682" s="23"/>
      <c r="D1682" s="24"/>
      <c r="E1682" s="14"/>
      <c r="F1682" s="14"/>
      <c r="G1682" s="14"/>
      <c r="H1682" s="23"/>
      <c r="I1682" s="27"/>
      <c r="J1682" s="23"/>
      <c r="K1682" s="30"/>
      <c r="L1682" s="23"/>
      <c r="M1682" s="20"/>
      <c r="N1682" s="20"/>
      <c r="O1682" s="20"/>
      <c r="P1682" s="20"/>
    </row>
    <row r="1683">
      <c r="A1683" s="10"/>
      <c r="B1683" s="11"/>
      <c r="C1683" s="10"/>
      <c r="D1683" s="13"/>
      <c r="E1683" s="14"/>
      <c r="F1683" s="14"/>
      <c r="G1683" s="14"/>
      <c r="H1683" s="10"/>
      <c r="I1683" s="17"/>
      <c r="J1683" s="10"/>
      <c r="K1683" s="46"/>
      <c r="L1683" s="10"/>
      <c r="M1683" s="20"/>
      <c r="N1683" s="20"/>
      <c r="O1683" s="20"/>
      <c r="P1683" s="20"/>
    </row>
    <row r="1684">
      <c r="A1684" s="23"/>
      <c r="B1684" s="21"/>
      <c r="C1684" s="23"/>
      <c r="D1684" s="24"/>
      <c r="E1684" s="14"/>
      <c r="F1684" s="14"/>
      <c r="G1684" s="14"/>
      <c r="H1684" s="23"/>
      <c r="I1684" s="27"/>
      <c r="J1684" s="23"/>
      <c r="K1684" s="30"/>
      <c r="L1684" s="23"/>
      <c r="M1684" s="20"/>
      <c r="N1684" s="20"/>
      <c r="O1684" s="20"/>
      <c r="P1684" s="20"/>
    </row>
    <row r="1685">
      <c r="A1685" s="10"/>
      <c r="B1685" s="11"/>
      <c r="C1685" s="10"/>
      <c r="D1685" s="13"/>
      <c r="E1685" s="14"/>
      <c r="F1685" s="14"/>
      <c r="G1685" s="14"/>
      <c r="H1685" s="10"/>
      <c r="I1685" s="17"/>
      <c r="J1685" s="10"/>
      <c r="K1685" s="46"/>
      <c r="L1685" s="10"/>
      <c r="M1685" s="20"/>
      <c r="N1685" s="20"/>
      <c r="O1685" s="20"/>
      <c r="P1685" s="20"/>
    </row>
    <row r="1686">
      <c r="A1686" s="23"/>
      <c r="B1686" s="21"/>
      <c r="C1686" s="23"/>
      <c r="D1686" s="24"/>
      <c r="E1686" s="14"/>
      <c r="F1686" s="14"/>
      <c r="G1686" s="14"/>
      <c r="H1686" s="23"/>
      <c r="I1686" s="27"/>
      <c r="J1686" s="23"/>
      <c r="K1686" s="30"/>
      <c r="L1686" s="23"/>
      <c r="M1686" s="20"/>
      <c r="N1686" s="20"/>
      <c r="O1686" s="20"/>
      <c r="P1686" s="20"/>
    </row>
    <row r="1687">
      <c r="A1687" s="10"/>
      <c r="B1687" s="11"/>
      <c r="C1687" s="10"/>
      <c r="D1687" s="13"/>
      <c r="E1687" s="14"/>
      <c r="F1687" s="14"/>
      <c r="G1687" s="14"/>
      <c r="H1687" s="10"/>
      <c r="I1687" s="17"/>
      <c r="J1687" s="10"/>
      <c r="K1687" s="46"/>
      <c r="L1687" s="10"/>
      <c r="M1687" s="20"/>
      <c r="N1687" s="20"/>
      <c r="O1687" s="20"/>
      <c r="P1687" s="20"/>
    </row>
    <row r="1688">
      <c r="A1688" s="23"/>
      <c r="B1688" s="21"/>
      <c r="C1688" s="23"/>
      <c r="D1688" s="24"/>
      <c r="E1688" s="14"/>
      <c r="F1688" s="14"/>
      <c r="G1688" s="14"/>
      <c r="H1688" s="23"/>
      <c r="I1688" s="27"/>
      <c r="J1688" s="23"/>
      <c r="K1688" s="30"/>
      <c r="L1688" s="23"/>
      <c r="M1688" s="20"/>
      <c r="N1688" s="20"/>
      <c r="O1688" s="20"/>
      <c r="P1688" s="20"/>
    </row>
    <row r="1689">
      <c r="A1689" s="10"/>
      <c r="B1689" s="11"/>
      <c r="C1689" s="10"/>
      <c r="D1689" s="13"/>
      <c r="E1689" s="14"/>
      <c r="F1689" s="14"/>
      <c r="G1689" s="14"/>
      <c r="H1689" s="10"/>
      <c r="I1689" s="17"/>
      <c r="J1689" s="10"/>
      <c r="K1689" s="46"/>
      <c r="L1689" s="10"/>
      <c r="M1689" s="20"/>
      <c r="N1689" s="20"/>
      <c r="O1689" s="20"/>
      <c r="P1689" s="20"/>
    </row>
    <row r="1690">
      <c r="A1690" s="23"/>
      <c r="B1690" s="21"/>
      <c r="C1690" s="23"/>
      <c r="D1690" s="24"/>
      <c r="E1690" s="14"/>
      <c r="F1690" s="14"/>
      <c r="G1690" s="14"/>
      <c r="H1690" s="23"/>
      <c r="I1690" s="27"/>
      <c r="J1690" s="23"/>
      <c r="K1690" s="30"/>
      <c r="L1690" s="23"/>
      <c r="M1690" s="20"/>
      <c r="N1690" s="20"/>
      <c r="O1690" s="20"/>
      <c r="P1690" s="20"/>
    </row>
    <row r="1691">
      <c r="A1691" s="10"/>
      <c r="B1691" s="11"/>
      <c r="C1691" s="10"/>
      <c r="D1691" s="13"/>
      <c r="E1691" s="14"/>
      <c r="F1691" s="14"/>
      <c r="G1691" s="14"/>
      <c r="H1691" s="10"/>
      <c r="I1691" s="17"/>
      <c r="J1691" s="10"/>
      <c r="K1691" s="46"/>
      <c r="L1691" s="10"/>
      <c r="M1691" s="20"/>
      <c r="N1691" s="20"/>
      <c r="O1691" s="20"/>
      <c r="P1691" s="20"/>
    </row>
    <row r="1692">
      <c r="A1692" s="23"/>
      <c r="B1692" s="21"/>
      <c r="C1692" s="23"/>
      <c r="D1692" s="24"/>
      <c r="E1692" s="14"/>
      <c r="F1692" s="14"/>
      <c r="G1692" s="14"/>
      <c r="H1692" s="23"/>
      <c r="I1692" s="27"/>
      <c r="J1692" s="23"/>
      <c r="K1692" s="30"/>
      <c r="L1692" s="23"/>
      <c r="M1692" s="20"/>
      <c r="N1692" s="20"/>
      <c r="O1692" s="20"/>
      <c r="P1692" s="20"/>
    </row>
    <row r="1693">
      <c r="A1693" s="10"/>
      <c r="B1693" s="11"/>
      <c r="C1693" s="10"/>
      <c r="D1693" s="13"/>
      <c r="E1693" s="14"/>
      <c r="F1693" s="14"/>
      <c r="G1693" s="14"/>
      <c r="H1693" s="10"/>
      <c r="I1693" s="17"/>
      <c r="J1693" s="10"/>
      <c r="K1693" s="46"/>
      <c r="L1693" s="10"/>
      <c r="M1693" s="20"/>
      <c r="N1693" s="20"/>
      <c r="O1693" s="20"/>
      <c r="P1693" s="20"/>
    </row>
    <row r="1694">
      <c r="A1694" s="23"/>
      <c r="B1694" s="21"/>
      <c r="C1694" s="23"/>
      <c r="D1694" s="24"/>
      <c r="E1694" s="14"/>
      <c r="F1694" s="14"/>
      <c r="G1694" s="14"/>
      <c r="H1694" s="23"/>
      <c r="I1694" s="27"/>
      <c r="J1694" s="23"/>
      <c r="K1694" s="30"/>
      <c r="L1694" s="23"/>
      <c r="M1694" s="20"/>
      <c r="N1694" s="20"/>
      <c r="O1694" s="20"/>
      <c r="P1694" s="20"/>
    </row>
    <row r="1695">
      <c r="A1695" s="10"/>
      <c r="B1695" s="11"/>
      <c r="C1695" s="10"/>
      <c r="D1695" s="13"/>
      <c r="E1695" s="14"/>
      <c r="F1695" s="14"/>
      <c r="G1695" s="14"/>
      <c r="H1695" s="10"/>
      <c r="I1695" s="17"/>
      <c r="J1695" s="10"/>
      <c r="K1695" s="46"/>
      <c r="L1695" s="10"/>
      <c r="M1695" s="20"/>
      <c r="N1695" s="20"/>
      <c r="O1695" s="20"/>
      <c r="P1695" s="20"/>
    </row>
    <row r="1696">
      <c r="A1696" s="23"/>
      <c r="B1696" s="21"/>
      <c r="C1696" s="23"/>
      <c r="D1696" s="24"/>
      <c r="E1696" s="14"/>
      <c r="F1696" s="14"/>
      <c r="G1696" s="14"/>
      <c r="H1696" s="23"/>
      <c r="I1696" s="27"/>
      <c r="J1696" s="23"/>
      <c r="K1696" s="30"/>
      <c r="L1696" s="23"/>
      <c r="M1696" s="20"/>
      <c r="N1696" s="20"/>
      <c r="O1696" s="20"/>
      <c r="P1696" s="20"/>
    </row>
    <row r="1697">
      <c r="A1697" s="10"/>
      <c r="B1697" s="11"/>
      <c r="C1697" s="10"/>
      <c r="D1697" s="13"/>
      <c r="E1697" s="14"/>
      <c r="F1697" s="14"/>
      <c r="G1697" s="14"/>
      <c r="H1697" s="10"/>
      <c r="I1697" s="17"/>
      <c r="J1697" s="10"/>
      <c r="K1697" s="46"/>
      <c r="L1697" s="10"/>
      <c r="M1697" s="20"/>
      <c r="N1697" s="20"/>
      <c r="O1697" s="20"/>
      <c r="P1697" s="20"/>
    </row>
    <row r="1698">
      <c r="A1698" s="23"/>
      <c r="B1698" s="21"/>
      <c r="C1698" s="23"/>
      <c r="D1698" s="24"/>
      <c r="E1698" s="14"/>
      <c r="F1698" s="14"/>
      <c r="G1698" s="14"/>
      <c r="H1698" s="23"/>
      <c r="I1698" s="27"/>
      <c r="J1698" s="23"/>
      <c r="K1698" s="30"/>
      <c r="L1698" s="23"/>
      <c r="M1698" s="20"/>
      <c r="N1698" s="20"/>
      <c r="O1698" s="20"/>
      <c r="P1698" s="20"/>
    </row>
    <row r="1699">
      <c r="A1699" s="10"/>
      <c r="B1699" s="11"/>
      <c r="C1699" s="10"/>
      <c r="D1699" s="13"/>
      <c r="E1699" s="14"/>
      <c r="F1699" s="14"/>
      <c r="G1699" s="14"/>
      <c r="H1699" s="10"/>
      <c r="I1699" s="17"/>
      <c r="J1699" s="10"/>
      <c r="K1699" s="46"/>
      <c r="L1699" s="10"/>
      <c r="M1699" s="20"/>
      <c r="N1699" s="20"/>
      <c r="O1699" s="20"/>
      <c r="P1699" s="20"/>
    </row>
    <row r="1700">
      <c r="A1700" s="23"/>
      <c r="B1700" s="21"/>
      <c r="C1700" s="23"/>
      <c r="D1700" s="24"/>
      <c r="E1700" s="14"/>
      <c r="F1700" s="14"/>
      <c r="G1700" s="14"/>
      <c r="H1700" s="23"/>
      <c r="I1700" s="27"/>
      <c r="J1700" s="23"/>
      <c r="K1700" s="30"/>
      <c r="L1700" s="23"/>
      <c r="M1700" s="20"/>
      <c r="N1700" s="20"/>
      <c r="O1700" s="20"/>
      <c r="P1700" s="20"/>
    </row>
    <row r="1701">
      <c r="A1701" s="10"/>
      <c r="B1701" s="11"/>
      <c r="C1701" s="10"/>
      <c r="D1701" s="13"/>
      <c r="E1701" s="14"/>
      <c r="F1701" s="14"/>
      <c r="G1701" s="14"/>
      <c r="H1701" s="10"/>
      <c r="I1701" s="17"/>
      <c r="J1701" s="10"/>
      <c r="K1701" s="46"/>
      <c r="L1701" s="10"/>
      <c r="M1701" s="20"/>
      <c r="N1701" s="20"/>
      <c r="O1701" s="20"/>
      <c r="P1701" s="20"/>
    </row>
    <row r="1702">
      <c r="A1702" s="23"/>
      <c r="B1702" s="21"/>
      <c r="C1702" s="23"/>
      <c r="D1702" s="24"/>
      <c r="E1702" s="14"/>
      <c r="F1702" s="14"/>
      <c r="G1702" s="14"/>
      <c r="H1702" s="23"/>
      <c r="I1702" s="27"/>
      <c r="J1702" s="23"/>
      <c r="K1702" s="30"/>
      <c r="L1702" s="23"/>
      <c r="M1702" s="20"/>
      <c r="N1702" s="20"/>
      <c r="O1702" s="20"/>
      <c r="P1702" s="20"/>
    </row>
    <row r="1703">
      <c r="A1703" s="10"/>
      <c r="B1703" s="11"/>
      <c r="C1703" s="10"/>
      <c r="D1703" s="13"/>
      <c r="E1703" s="14"/>
      <c r="F1703" s="14"/>
      <c r="G1703" s="14"/>
      <c r="H1703" s="10"/>
      <c r="I1703" s="17"/>
      <c r="J1703" s="10"/>
      <c r="K1703" s="46"/>
      <c r="L1703" s="10"/>
      <c r="M1703" s="20"/>
      <c r="N1703" s="20"/>
      <c r="O1703" s="20"/>
      <c r="P1703" s="20"/>
    </row>
    <row r="1704">
      <c r="A1704" s="23"/>
      <c r="B1704" s="21"/>
      <c r="C1704" s="23"/>
      <c r="D1704" s="24"/>
      <c r="E1704" s="14"/>
      <c r="F1704" s="14"/>
      <c r="G1704" s="14"/>
      <c r="H1704" s="23"/>
      <c r="I1704" s="27"/>
      <c r="J1704" s="23"/>
      <c r="K1704" s="30"/>
      <c r="L1704" s="23"/>
      <c r="M1704" s="20"/>
      <c r="N1704" s="20"/>
      <c r="O1704" s="20"/>
      <c r="P1704" s="20"/>
    </row>
    <row r="1705">
      <c r="A1705" s="10"/>
      <c r="B1705" s="11"/>
      <c r="C1705" s="10"/>
      <c r="D1705" s="13"/>
      <c r="E1705" s="14"/>
      <c r="F1705" s="14"/>
      <c r="G1705" s="14"/>
      <c r="H1705" s="10"/>
      <c r="I1705" s="17"/>
      <c r="J1705" s="10"/>
      <c r="K1705" s="46"/>
      <c r="L1705" s="10"/>
      <c r="M1705" s="20"/>
      <c r="N1705" s="20"/>
      <c r="O1705" s="20"/>
      <c r="P1705" s="20"/>
    </row>
    <row r="1706">
      <c r="A1706" s="23"/>
      <c r="B1706" s="21"/>
      <c r="C1706" s="23"/>
      <c r="D1706" s="24"/>
      <c r="E1706" s="14"/>
      <c r="F1706" s="14"/>
      <c r="G1706" s="14"/>
      <c r="H1706" s="23"/>
      <c r="I1706" s="27"/>
      <c r="J1706" s="23"/>
      <c r="K1706" s="30"/>
      <c r="L1706" s="23"/>
      <c r="M1706" s="20"/>
      <c r="N1706" s="20"/>
      <c r="O1706" s="20"/>
      <c r="P1706" s="20"/>
    </row>
    <row r="1707">
      <c r="A1707" s="10"/>
      <c r="B1707" s="11"/>
      <c r="C1707" s="10"/>
      <c r="D1707" s="13"/>
      <c r="E1707" s="14"/>
      <c r="F1707" s="14"/>
      <c r="G1707" s="14"/>
      <c r="H1707" s="10"/>
      <c r="I1707" s="17"/>
      <c r="J1707" s="10"/>
      <c r="K1707" s="46"/>
      <c r="L1707" s="10"/>
      <c r="M1707" s="20"/>
      <c r="N1707" s="20"/>
      <c r="O1707" s="20"/>
      <c r="P1707" s="20"/>
    </row>
    <row r="1708">
      <c r="A1708" s="23"/>
      <c r="B1708" s="21"/>
      <c r="C1708" s="23"/>
      <c r="D1708" s="24"/>
      <c r="E1708" s="14"/>
      <c r="F1708" s="14"/>
      <c r="G1708" s="14"/>
      <c r="H1708" s="23"/>
      <c r="I1708" s="27"/>
      <c r="J1708" s="23"/>
      <c r="K1708" s="30"/>
      <c r="L1708" s="23"/>
      <c r="M1708" s="20"/>
      <c r="N1708" s="20"/>
      <c r="O1708" s="20"/>
      <c r="P1708" s="20"/>
    </row>
    <row r="1709">
      <c r="A1709" s="10"/>
      <c r="B1709" s="11"/>
      <c r="C1709" s="10"/>
      <c r="D1709" s="13"/>
      <c r="E1709" s="14"/>
      <c r="F1709" s="14"/>
      <c r="G1709" s="14"/>
      <c r="H1709" s="10"/>
      <c r="I1709" s="17"/>
      <c r="J1709" s="10"/>
      <c r="K1709" s="46"/>
      <c r="L1709" s="10"/>
      <c r="M1709" s="20"/>
      <c r="N1709" s="20"/>
      <c r="O1709" s="20"/>
      <c r="P1709" s="20"/>
    </row>
    <row r="1710">
      <c r="A1710" s="23"/>
      <c r="B1710" s="21"/>
      <c r="C1710" s="23"/>
      <c r="D1710" s="24"/>
      <c r="E1710" s="14"/>
      <c r="F1710" s="14"/>
      <c r="G1710" s="14"/>
      <c r="H1710" s="23"/>
      <c r="I1710" s="27"/>
      <c r="J1710" s="23"/>
      <c r="K1710" s="30"/>
      <c r="L1710" s="23"/>
      <c r="M1710" s="20"/>
      <c r="N1710" s="20"/>
      <c r="O1710" s="20"/>
      <c r="P1710" s="20"/>
    </row>
    <row r="1711">
      <c r="A1711" s="10"/>
      <c r="B1711" s="11"/>
      <c r="C1711" s="10"/>
      <c r="D1711" s="13"/>
      <c r="E1711" s="14"/>
      <c r="F1711" s="14"/>
      <c r="G1711" s="14"/>
      <c r="H1711" s="10"/>
      <c r="I1711" s="17"/>
      <c r="J1711" s="10"/>
      <c r="K1711" s="46"/>
      <c r="L1711" s="10"/>
      <c r="M1711" s="20"/>
      <c r="N1711" s="20"/>
      <c r="O1711" s="20"/>
      <c r="P1711" s="20"/>
    </row>
    <row r="1712">
      <c r="A1712" s="23"/>
      <c r="B1712" s="21"/>
      <c r="C1712" s="23"/>
      <c r="D1712" s="24"/>
      <c r="E1712" s="14"/>
      <c r="F1712" s="14"/>
      <c r="G1712" s="14"/>
      <c r="H1712" s="23"/>
      <c r="I1712" s="27"/>
      <c r="J1712" s="23"/>
      <c r="K1712" s="30"/>
      <c r="L1712" s="23"/>
      <c r="M1712" s="20"/>
      <c r="N1712" s="20"/>
      <c r="O1712" s="20"/>
      <c r="P1712" s="20"/>
    </row>
    <row r="1713">
      <c r="A1713" s="10"/>
      <c r="B1713" s="11"/>
      <c r="C1713" s="10"/>
      <c r="D1713" s="13"/>
      <c r="E1713" s="14"/>
      <c r="F1713" s="14"/>
      <c r="G1713" s="14"/>
      <c r="H1713" s="10"/>
      <c r="I1713" s="17"/>
      <c r="J1713" s="10"/>
      <c r="K1713" s="46"/>
      <c r="L1713" s="10"/>
      <c r="M1713" s="20"/>
      <c r="N1713" s="20"/>
      <c r="O1713" s="20"/>
      <c r="P1713" s="20"/>
    </row>
    <row r="1714">
      <c r="A1714" s="23"/>
      <c r="B1714" s="21"/>
      <c r="C1714" s="23"/>
      <c r="D1714" s="24"/>
      <c r="E1714" s="14"/>
      <c r="F1714" s="14"/>
      <c r="G1714" s="14"/>
      <c r="H1714" s="23"/>
      <c r="I1714" s="27"/>
      <c r="J1714" s="23"/>
      <c r="K1714" s="30"/>
      <c r="L1714" s="23"/>
      <c r="M1714" s="20"/>
      <c r="N1714" s="20"/>
      <c r="O1714" s="20"/>
      <c r="P1714" s="20"/>
    </row>
    <row r="1715">
      <c r="A1715" s="10"/>
      <c r="B1715" s="11"/>
      <c r="C1715" s="10"/>
      <c r="D1715" s="13"/>
      <c r="E1715" s="14"/>
      <c r="F1715" s="14"/>
      <c r="G1715" s="14"/>
      <c r="H1715" s="10"/>
      <c r="I1715" s="17"/>
      <c r="J1715" s="10"/>
      <c r="K1715" s="46"/>
      <c r="L1715" s="10"/>
      <c r="M1715" s="20"/>
      <c r="N1715" s="20"/>
      <c r="O1715" s="20"/>
      <c r="P1715" s="20"/>
    </row>
    <row r="1716">
      <c r="A1716" s="23"/>
      <c r="B1716" s="21"/>
      <c r="C1716" s="23"/>
      <c r="D1716" s="24"/>
      <c r="E1716" s="14"/>
      <c r="F1716" s="14"/>
      <c r="G1716" s="14"/>
      <c r="H1716" s="23"/>
      <c r="I1716" s="27"/>
      <c r="J1716" s="23"/>
      <c r="K1716" s="30"/>
      <c r="L1716" s="23"/>
      <c r="M1716" s="20"/>
      <c r="N1716" s="20"/>
      <c r="O1716" s="20"/>
      <c r="P1716" s="20"/>
    </row>
    <row r="1717">
      <c r="A1717" s="10"/>
      <c r="B1717" s="11"/>
      <c r="C1717" s="10"/>
      <c r="D1717" s="13"/>
      <c r="E1717" s="14"/>
      <c r="F1717" s="14"/>
      <c r="G1717" s="14"/>
      <c r="H1717" s="10"/>
      <c r="I1717" s="17"/>
      <c r="J1717" s="10"/>
      <c r="K1717" s="46"/>
      <c r="L1717" s="10"/>
      <c r="M1717" s="20"/>
      <c r="N1717" s="20"/>
      <c r="O1717" s="20"/>
      <c r="P1717" s="20"/>
    </row>
    <row r="1718">
      <c r="A1718" s="23"/>
      <c r="B1718" s="21"/>
      <c r="C1718" s="23"/>
      <c r="D1718" s="24"/>
      <c r="E1718" s="14"/>
      <c r="F1718" s="14"/>
      <c r="G1718" s="14"/>
      <c r="H1718" s="23"/>
      <c r="I1718" s="27"/>
      <c r="J1718" s="23"/>
      <c r="K1718" s="30"/>
      <c r="L1718" s="23"/>
      <c r="M1718" s="20"/>
      <c r="N1718" s="20"/>
      <c r="O1718" s="20"/>
      <c r="P1718" s="20"/>
    </row>
    <row r="1719">
      <c r="A1719" s="10"/>
      <c r="B1719" s="11"/>
      <c r="C1719" s="10"/>
      <c r="D1719" s="13"/>
      <c r="E1719" s="14"/>
      <c r="F1719" s="14"/>
      <c r="G1719" s="14"/>
      <c r="H1719" s="10"/>
      <c r="I1719" s="17"/>
      <c r="J1719" s="10"/>
      <c r="K1719" s="46"/>
      <c r="L1719" s="10"/>
      <c r="M1719" s="20"/>
      <c r="N1719" s="20"/>
      <c r="O1719" s="20"/>
      <c r="P1719" s="20"/>
    </row>
    <row r="1720">
      <c r="A1720" s="23"/>
      <c r="B1720" s="21"/>
      <c r="C1720" s="23"/>
      <c r="D1720" s="24"/>
      <c r="E1720" s="14"/>
      <c r="F1720" s="14"/>
      <c r="G1720" s="14"/>
      <c r="H1720" s="23"/>
      <c r="I1720" s="27"/>
      <c r="J1720" s="23"/>
      <c r="K1720" s="30"/>
      <c r="L1720" s="23"/>
      <c r="M1720" s="20"/>
      <c r="N1720" s="20"/>
      <c r="O1720" s="20"/>
      <c r="P1720" s="20"/>
    </row>
    <row r="1721">
      <c r="A1721" s="10"/>
      <c r="B1721" s="11"/>
      <c r="C1721" s="10"/>
      <c r="D1721" s="13"/>
      <c r="E1721" s="14"/>
      <c r="F1721" s="14"/>
      <c r="G1721" s="14"/>
      <c r="H1721" s="10"/>
      <c r="I1721" s="17"/>
      <c r="J1721" s="10"/>
      <c r="K1721" s="46"/>
      <c r="L1721" s="10"/>
      <c r="M1721" s="20"/>
      <c r="N1721" s="20"/>
      <c r="O1721" s="20"/>
      <c r="P1721" s="20"/>
    </row>
    <row r="1722">
      <c r="A1722" s="23"/>
      <c r="B1722" s="21"/>
      <c r="C1722" s="23"/>
      <c r="D1722" s="24"/>
      <c r="E1722" s="14"/>
      <c r="F1722" s="14"/>
      <c r="G1722" s="14"/>
      <c r="H1722" s="23"/>
      <c r="I1722" s="27"/>
      <c r="J1722" s="23"/>
      <c r="K1722" s="30"/>
      <c r="L1722" s="23"/>
      <c r="M1722" s="20"/>
      <c r="N1722" s="20"/>
      <c r="O1722" s="20"/>
      <c r="P1722" s="20"/>
    </row>
    <row r="1723">
      <c r="A1723" s="10"/>
      <c r="B1723" s="11"/>
      <c r="C1723" s="10"/>
      <c r="D1723" s="13"/>
      <c r="E1723" s="14"/>
      <c r="F1723" s="14"/>
      <c r="G1723" s="14"/>
      <c r="H1723" s="10"/>
      <c r="I1723" s="17"/>
      <c r="J1723" s="10"/>
      <c r="K1723" s="46"/>
      <c r="L1723" s="10"/>
      <c r="M1723" s="20"/>
      <c r="N1723" s="20"/>
      <c r="O1723" s="20"/>
      <c r="P1723" s="20"/>
    </row>
    <row r="1724">
      <c r="A1724" s="23"/>
      <c r="B1724" s="21"/>
      <c r="C1724" s="23"/>
      <c r="D1724" s="24"/>
      <c r="E1724" s="14"/>
      <c r="F1724" s="14"/>
      <c r="G1724" s="14"/>
      <c r="H1724" s="23"/>
      <c r="I1724" s="27"/>
      <c r="J1724" s="23"/>
      <c r="K1724" s="30"/>
      <c r="L1724" s="23"/>
      <c r="M1724" s="20"/>
      <c r="N1724" s="20"/>
      <c r="O1724" s="20"/>
      <c r="P1724" s="20"/>
    </row>
    <row r="1725">
      <c r="A1725" s="10"/>
      <c r="B1725" s="11"/>
      <c r="C1725" s="10"/>
      <c r="D1725" s="13"/>
      <c r="E1725" s="14"/>
      <c r="F1725" s="14"/>
      <c r="G1725" s="14"/>
      <c r="H1725" s="10"/>
      <c r="I1725" s="17"/>
      <c r="J1725" s="10"/>
      <c r="K1725" s="46"/>
      <c r="L1725" s="10"/>
      <c r="M1725" s="20"/>
      <c r="N1725" s="20"/>
      <c r="O1725" s="20"/>
      <c r="P1725" s="20"/>
    </row>
    <row r="1726">
      <c r="A1726" s="23"/>
      <c r="B1726" s="21"/>
      <c r="C1726" s="23"/>
      <c r="D1726" s="24"/>
      <c r="E1726" s="14"/>
      <c r="F1726" s="14"/>
      <c r="G1726" s="14"/>
      <c r="H1726" s="23"/>
      <c r="I1726" s="27"/>
      <c r="J1726" s="23"/>
      <c r="K1726" s="30"/>
      <c r="L1726" s="23"/>
      <c r="M1726" s="20"/>
      <c r="N1726" s="20"/>
      <c r="O1726" s="20"/>
      <c r="P1726" s="20"/>
    </row>
    <row r="1727">
      <c r="A1727" s="10"/>
      <c r="B1727" s="11"/>
      <c r="C1727" s="10"/>
      <c r="D1727" s="13"/>
      <c r="E1727" s="14"/>
      <c r="F1727" s="14"/>
      <c r="G1727" s="14"/>
      <c r="H1727" s="10"/>
      <c r="I1727" s="17"/>
      <c r="J1727" s="10"/>
      <c r="K1727" s="46"/>
      <c r="L1727" s="10"/>
      <c r="M1727" s="20"/>
      <c r="N1727" s="20"/>
      <c r="O1727" s="20"/>
      <c r="P1727" s="20"/>
    </row>
    <row r="1728">
      <c r="A1728" s="23"/>
      <c r="B1728" s="21"/>
      <c r="C1728" s="23"/>
      <c r="D1728" s="24"/>
      <c r="E1728" s="14"/>
      <c r="F1728" s="14"/>
      <c r="G1728" s="14"/>
      <c r="H1728" s="23"/>
      <c r="I1728" s="27"/>
      <c r="J1728" s="23"/>
      <c r="K1728" s="30"/>
      <c r="L1728" s="23"/>
      <c r="M1728" s="20"/>
      <c r="N1728" s="20"/>
      <c r="O1728" s="20"/>
      <c r="P1728" s="20"/>
    </row>
    <row r="1729">
      <c r="A1729" s="10"/>
      <c r="B1729" s="11"/>
      <c r="C1729" s="10"/>
      <c r="D1729" s="13"/>
      <c r="E1729" s="14"/>
      <c r="F1729" s="14"/>
      <c r="G1729" s="14"/>
      <c r="H1729" s="10"/>
      <c r="I1729" s="17"/>
      <c r="J1729" s="10"/>
      <c r="K1729" s="46"/>
      <c r="L1729" s="10"/>
      <c r="M1729" s="20"/>
      <c r="N1729" s="20"/>
      <c r="O1729" s="20"/>
      <c r="P1729" s="20"/>
    </row>
    <row r="1730">
      <c r="A1730" s="23"/>
      <c r="B1730" s="21"/>
      <c r="C1730" s="23"/>
      <c r="D1730" s="24"/>
      <c r="E1730" s="14"/>
      <c r="F1730" s="14"/>
      <c r="G1730" s="14"/>
      <c r="H1730" s="23"/>
      <c r="I1730" s="27"/>
      <c r="J1730" s="23"/>
      <c r="K1730" s="30"/>
      <c r="L1730" s="23"/>
      <c r="M1730" s="20"/>
      <c r="N1730" s="20"/>
      <c r="O1730" s="20"/>
      <c r="P1730" s="20"/>
    </row>
    <row r="1731">
      <c r="A1731" s="10"/>
      <c r="B1731" s="11"/>
      <c r="C1731" s="10"/>
      <c r="D1731" s="13"/>
      <c r="E1731" s="14"/>
      <c r="F1731" s="14"/>
      <c r="G1731" s="14"/>
      <c r="H1731" s="10"/>
      <c r="I1731" s="17"/>
      <c r="J1731" s="10"/>
      <c r="K1731" s="46"/>
      <c r="L1731" s="10"/>
      <c r="M1731" s="20"/>
      <c r="N1731" s="20"/>
      <c r="O1731" s="20"/>
      <c r="P1731" s="20"/>
    </row>
    <row r="1732">
      <c r="A1732" s="23"/>
      <c r="B1732" s="21"/>
      <c r="C1732" s="23"/>
      <c r="D1732" s="24"/>
      <c r="E1732" s="14"/>
      <c r="F1732" s="14"/>
      <c r="G1732" s="14"/>
      <c r="H1732" s="23"/>
      <c r="I1732" s="27"/>
      <c r="J1732" s="23"/>
      <c r="K1732" s="30"/>
      <c r="L1732" s="23"/>
      <c r="M1732" s="20"/>
      <c r="N1732" s="20"/>
      <c r="O1732" s="20"/>
      <c r="P1732" s="20"/>
    </row>
    <row r="1733">
      <c r="A1733" s="10"/>
      <c r="B1733" s="11"/>
      <c r="C1733" s="10"/>
      <c r="D1733" s="13"/>
      <c r="E1733" s="14"/>
      <c r="F1733" s="14"/>
      <c r="G1733" s="14"/>
      <c r="H1733" s="10"/>
      <c r="I1733" s="17"/>
      <c r="J1733" s="10"/>
      <c r="K1733" s="46"/>
      <c r="L1733" s="10"/>
      <c r="M1733" s="20"/>
      <c r="N1733" s="20"/>
      <c r="O1733" s="20"/>
      <c r="P1733" s="20"/>
    </row>
    <row r="1734">
      <c r="A1734" s="23"/>
      <c r="B1734" s="21"/>
      <c r="C1734" s="23"/>
      <c r="D1734" s="24"/>
      <c r="E1734" s="14"/>
      <c r="F1734" s="14"/>
      <c r="G1734" s="14"/>
      <c r="H1734" s="23"/>
      <c r="I1734" s="27"/>
      <c r="J1734" s="23"/>
      <c r="K1734" s="30"/>
      <c r="L1734" s="23"/>
      <c r="M1734" s="20"/>
      <c r="N1734" s="20"/>
      <c r="O1734" s="20"/>
      <c r="P1734" s="20"/>
    </row>
    <row r="1735">
      <c r="A1735" s="10"/>
      <c r="B1735" s="11"/>
      <c r="C1735" s="10"/>
      <c r="D1735" s="13"/>
      <c r="E1735" s="14"/>
      <c r="F1735" s="14"/>
      <c r="G1735" s="14"/>
      <c r="H1735" s="10"/>
      <c r="I1735" s="17"/>
      <c r="J1735" s="10"/>
      <c r="K1735" s="46"/>
      <c r="L1735" s="10"/>
      <c r="M1735" s="20"/>
      <c r="N1735" s="20"/>
      <c r="O1735" s="20"/>
      <c r="P1735" s="20"/>
    </row>
    <row r="1736">
      <c r="A1736" s="23"/>
      <c r="B1736" s="21"/>
      <c r="C1736" s="23"/>
      <c r="D1736" s="24"/>
      <c r="E1736" s="14"/>
      <c r="F1736" s="14"/>
      <c r="G1736" s="14"/>
      <c r="H1736" s="23"/>
      <c r="I1736" s="27"/>
      <c r="J1736" s="23"/>
      <c r="K1736" s="30"/>
      <c r="L1736" s="23"/>
      <c r="M1736" s="20"/>
      <c r="N1736" s="20"/>
      <c r="O1736" s="20"/>
      <c r="P1736" s="20"/>
    </row>
    <row r="1737">
      <c r="A1737" s="10"/>
      <c r="B1737" s="11"/>
      <c r="C1737" s="10"/>
      <c r="D1737" s="13"/>
      <c r="E1737" s="14"/>
      <c r="F1737" s="14"/>
      <c r="G1737" s="14"/>
      <c r="H1737" s="10"/>
      <c r="I1737" s="17"/>
      <c r="J1737" s="10"/>
      <c r="K1737" s="46"/>
      <c r="L1737" s="10"/>
      <c r="M1737" s="20"/>
      <c r="N1737" s="20"/>
      <c r="O1737" s="20"/>
      <c r="P1737" s="20"/>
    </row>
    <row r="1738">
      <c r="A1738" s="23"/>
      <c r="B1738" s="21"/>
      <c r="C1738" s="23"/>
      <c r="D1738" s="24"/>
      <c r="E1738" s="14"/>
      <c r="F1738" s="14"/>
      <c r="G1738" s="14"/>
      <c r="H1738" s="23"/>
      <c r="I1738" s="27"/>
      <c r="J1738" s="23"/>
      <c r="K1738" s="30"/>
      <c r="L1738" s="23"/>
      <c r="M1738" s="20"/>
      <c r="N1738" s="20"/>
      <c r="O1738" s="20"/>
      <c r="P1738" s="20"/>
    </row>
    <row r="1739">
      <c r="A1739" s="10"/>
      <c r="B1739" s="11"/>
      <c r="C1739" s="10"/>
      <c r="D1739" s="13"/>
      <c r="E1739" s="14"/>
      <c r="F1739" s="14"/>
      <c r="G1739" s="14"/>
      <c r="H1739" s="10"/>
      <c r="I1739" s="17"/>
      <c r="J1739" s="10"/>
      <c r="K1739" s="46"/>
      <c r="L1739" s="10"/>
      <c r="M1739" s="20"/>
      <c r="N1739" s="20"/>
      <c r="O1739" s="20"/>
      <c r="P1739" s="20"/>
    </row>
    <row r="1740">
      <c r="A1740" s="23"/>
      <c r="B1740" s="21"/>
      <c r="C1740" s="23"/>
      <c r="D1740" s="24"/>
      <c r="E1740" s="14"/>
      <c r="F1740" s="14"/>
      <c r="G1740" s="14"/>
      <c r="H1740" s="23"/>
      <c r="I1740" s="27"/>
      <c r="J1740" s="23"/>
      <c r="K1740" s="30"/>
      <c r="L1740" s="23"/>
      <c r="M1740" s="20"/>
      <c r="N1740" s="20"/>
      <c r="O1740" s="20"/>
      <c r="P1740" s="20"/>
    </row>
    <row r="1741">
      <c r="A1741" s="10"/>
      <c r="B1741" s="11"/>
      <c r="C1741" s="10"/>
      <c r="D1741" s="13"/>
      <c r="E1741" s="14"/>
      <c r="F1741" s="14"/>
      <c r="G1741" s="14"/>
      <c r="H1741" s="10"/>
      <c r="I1741" s="17"/>
      <c r="J1741" s="10"/>
      <c r="K1741" s="46"/>
      <c r="L1741" s="10"/>
      <c r="M1741" s="20"/>
      <c r="N1741" s="20"/>
      <c r="O1741" s="20"/>
      <c r="P1741" s="20"/>
    </row>
    <row r="1742">
      <c r="A1742" s="23"/>
      <c r="B1742" s="21"/>
      <c r="C1742" s="23"/>
      <c r="D1742" s="24"/>
      <c r="E1742" s="14"/>
      <c r="F1742" s="14"/>
      <c r="G1742" s="14"/>
      <c r="H1742" s="23"/>
      <c r="I1742" s="27"/>
      <c r="J1742" s="23"/>
      <c r="K1742" s="30"/>
      <c r="L1742" s="23"/>
      <c r="M1742" s="20"/>
      <c r="N1742" s="20"/>
      <c r="O1742" s="20"/>
      <c r="P1742" s="20"/>
    </row>
    <row r="1743">
      <c r="A1743" s="10"/>
      <c r="B1743" s="11"/>
      <c r="C1743" s="10"/>
      <c r="D1743" s="13"/>
      <c r="E1743" s="14"/>
      <c r="F1743" s="14"/>
      <c r="G1743" s="14"/>
      <c r="H1743" s="10"/>
      <c r="I1743" s="17"/>
      <c r="J1743" s="10"/>
      <c r="K1743" s="46"/>
      <c r="L1743" s="10"/>
      <c r="M1743" s="20"/>
      <c r="N1743" s="20"/>
      <c r="O1743" s="20"/>
      <c r="P1743" s="20"/>
    </row>
    <row r="1744">
      <c r="A1744" s="23"/>
      <c r="B1744" s="21"/>
      <c r="C1744" s="23"/>
      <c r="D1744" s="24"/>
      <c r="E1744" s="14"/>
      <c r="F1744" s="14"/>
      <c r="G1744" s="14"/>
      <c r="H1744" s="23"/>
      <c r="I1744" s="27"/>
      <c r="J1744" s="23"/>
      <c r="K1744" s="30"/>
      <c r="L1744" s="23"/>
      <c r="M1744" s="20"/>
      <c r="N1744" s="20"/>
      <c r="O1744" s="20"/>
      <c r="P1744" s="20"/>
    </row>
    <row r="1745">
      <c r="A1745" s="10"/>
      <c r="B1745" s="11"/>
      <c r="C1745" s="10"/>
      <c r="D1745" s="13"/>
      <c r="E1745" s="14"/>
      <c r="F1745" s="14"/>
      <c r="G1745" s="14"/>
      <c r="H1745" s="10"/>
      <c r="I1745" s="17"/>
      <c r="J1745" s="10"/>
      <c r="K1745" s="46"/>
      <c r="L1745" s="10"/>
      <c r="M1745" s="20"/>
      <c r="N1745" s="20"/>
      <c r="O1745" s="20"/>
      <c r="P1745" s="20"/>
    </row>
    <row r="1746">
      <c r="A1746" s="23"/>
      <c r="B1746" s="21"/>
      <c r="C1746" s="23"/>
      <c r="D1746" s="24"/>
      <c r="E1746" s="14"/>
      <c r="F1746" s="14"/>
      <c r="G1746" s="14"/>
      <c r="H1746" s="23"/>
      <c r="I1746" s="27"/>
      <c r="J1746" s="23"/>
      <c r="K1746" s="30"/>
      <c r="L1746" s="23"/>
      <c r="M1746" s="20"/>
      <c r="N1746" s="20"/>
      <c r="O1746" s="20"/>
      <c r="P1746" s="20"/>
    </row>
    <row r="1747">
      <c r="A1747" s="10"/>
      <c r="B1747" s="11"/>
      <c r="C1747" s="10"/>
      <c r="D1747" s="13"/>
      <c r="E1747" s="14"/>
      <c r="F1747" s="14"/>
      <c r="G1747" s="14"/>
      <c r="H1747" s="10"/>
      <c r="I1747" s="17"/>
      <c r="J1747" s="10"/>
      <c r="K1747" s="46"/>
      <c r="L1747" s="10"/>
      <c r="M1747" s="20"/>
      <c r="N1747" s="20"/>
      <c r="O1747" s="20"/>
      <c r="P1747" s="20"/>
    </row>
    <row r="1748">
      <c r="A1748" s="23"/>
      <c r="B1748" s="21"/>
      <c r="C1748" s="23"/>
      <c r="D1748" s="24"/>
      <c r="E1748" s="14"/>
      <c r="F1748" s="14"/>
      <c r="G1748" s="14"/>
      <c r="H1748" s="23"/>
      <c r="I1748" s="27"/>
      <c r="J1748" s="23"/>
      <c r="K1748" s="30"/>
      <c r="L1748" s="23"/>
      <c r="M1748" s="20"/>
      <c r="N1748" s="20"/>
      <c r="O1748" s="20"/>
      <c r="P1748" s="20"/>
    </row>
    <row r="1749">
      <c r="A1749" s="10"/>
      <c r="B1749" s="11"/>
      <c r="C1749" s="10"/>
      <c r="D1749" s="13"/>
      <c r="E1749" s="14"/>
      <c r="F1749" s="14"/>
      <c r="G1749" s="14"/>
      <c r="H1749" s="10"/>
      <c r="I1749" s="17"/>
      <c r="J1749" s="10"/>
      <c r="K1749" s="46"/>
      <c r="L1749" s="10"/>
      <c r="M1749" s="20"/>
      <c r="N1749" s="20"/>
      <c r="O1749" s="20"/>
      <c r="P1749" s="20"/>
    </row>
    <row r="1750">
      <c r="A1750" s="23"/>
      <c r="B1750" s="21"/>
      <c r="C1750" s="23"/>
      <c r="D1750" s="24"/>
      <c r="E1750" s="14"/>
      <c r="F1750" s="14"/>
      <c r="G1750" s="14"/>
      <c r="H1750" s="23"/>
      <c r="I1750" s="27"/>
      <c r="J1750" s="23"/>
      <c r="K1750" s="30"/>
      <c r="L1750" s="23"/>
      <c r="M1750" s="20"/>
      <c r="N1750" s="20"/>
      <c r="O1750" s="20"/>
      <c r="P1750" s="20"/>
    </row>
    <row r="1751">
      <c r="A1751" s="10"/>
      <c r="B1751" s="11"/>
      <c r="C1751" s="10"/>
      <c r="D1751" s="13"/>
      <c r="E1751" s="14"/>
      <c r="F1751" s="14"/>
      <c r="G1751" s="14"/>
      <c r="H1751" s="10"/>
      <c r="I1751" s="17"/>
      <c r="J1751" s="10"/>
      <c r="K1751" s="46"/>
      <c r="L1751" s="10"/>
      <c r="M1751" s="20"/>
      <c r="N1751" s="20"/>
      <c r="O1751" s="20"/>
      <c r="P1751" s="20"/>
    </row>
    <row r="1752">
      <c r="A1752" s="23"/>
      <c r="B1752" s="21"/>
      <c r="C1752" s="23"/>
      <c r="D1752" s="24"/>
      <c r="E1752" s="14"/>
      <c r="F1752" s="14"/>
      <c r="G1752" s="14"/>
      <c r="H1752" s="23"/>
      <c r="I1752" s="27"/>
      <c r="J1752" s="23"/>
      <c r="K1752" s="30"/>
      <c r="L1752" s="23"/>
      <c r="M1752" s="20"/>
      <c r="N1752" s="20"/>
      <c r="O1752" s="20"/>
      <c r="P1752" s="20"/>
    </row>
    <row r="1753">
      <c r="A1753" s="10"/>
      <c r="B1753" s="11"/>
      <c r="C1753" s="10"/>
      <c r="D1753" s="13"/>
      <c r="E1753" s="14"/>
      <c r="F1753" s="14"/>
      <c r="G1753" s="14"/>
      <c r="H1753" s="10"/>
      <c r="I1753" s="17"/>
      <c r="J1753" s="10"/>
      <c r="K1753" s="46"/>
      <c r="L1753" s="10"/>
      <c r="M1753" s="20"/>
      <c r="N1753" s="20"/>
      <c r="O1753" s="20"/>
      <c r="P1753" s="20"/>
    </row>
    <row r="1754">
      <c r="A1754" s="23"/>
      <c r="B1754" s="21"/>
      <c r="C1754" s="23"/>
      <c r="D1754" s="24"/>
      <c r="E1754" s="14"/>
      <c r="F1754" s="14"/>
      <c r="G1754" s="14"/>
      <c r="H1754" s="23"/>
      <c r="I1754" s="27"/>
      <c r="J1754" s="23"/>
      <c r="K1754" s="30"/>
      <c r="L1754" s="23"/>
      <c r="M1754" s="20"/>
      <c r="N1754" s="20"/>
      <c r="O1754" s="20"/>
      <c r="P1754" s="20"/>
    </row>
    <row r="1755">
      <c r="A1755" s="10"/>
      <c r="B1755" s="11"/>
      <c r="C1755" s="10"/>
      <c r="D1755" s="13"/>
      <c r="E1755" s="14"/>
      <c r="F1755" s="14"/>
      <c r="G1755" s="14"/>
      <c r="H1755" s="10"/>
      <c r="I1755" s="17"/>
      <c r="J1755" s="10"/>
      <c r="K1755" s="46"/>
      <c r="L1755" s="10"/>
      <c r="M1755" s="20"/>
      <c r="N1755" s="20"/>
      <c r="O1755" s="20"/>
      <c r="P1755" s="20"/>
    </row>
    <row r="1756">
      <c r="A1756" s="23"/>
      <c r="B1756" s="21"/>
      <c r="C1756" s="23"/>
      <c r="D1756" s="24"/>
      <c r="E1756" s="14"/>
      <c r="F1756" s="14"/>
      <c r="G1756" s="14"/>
      <c r="H1756" s="23"/>
      <c r="I1756" s="27"/>
      <c r="J1756" s="23"/>
      <c r="K1756" s="30"/>
      <c r="L1756" s="23"/>
      <c r="M1756" s="20"/>
      <c r="N1756" s="20"/>
      <c r="O1756" s="20"/>
      <c r="P1756" s="20"/>
    </row>
    <row r="1757">
      <c r="A1757" s="10"/>
      <c r="B1757" s="11"/>
      <c r="C1757" s="10"/>
      <c r="D1757" s="13"/>
      <c r="E1757" s="14"/>
      <c r="F1757" s="14"/>
      <c r="G1757" s="14"/>
      <c r="H1757" s="10"/>
      <c r="I1757" s="17"/>
      <c r="J1757" s="10"/>
      <c r="K1757" s="46"/>
      <c r="L1757" s="10"/>
      <c r="M1757" s="20"/>
      <c r="N1757" s="20"/>
      <c r="O1757" s="20"/>
      <c r="P1757" s="20"/>
    </row>
    <row r="1758">
      <c r="A1758" s="23"/>
      <c r="B1758" s="21"/>
      <c r="C1758" s="23"/>
      <c r="D1758" s="24"/>
      <c r="E1758" s="14"/>
      <c r="F1758" s="14"/>
      <c r="G1758" s="14"/>
      <c r="H1758" s="23"/>
      <c r="I1758" s="27"/>
      <c r="J1758" s="23"/>
      <c r="K1758" s="30"/>
      <c r="L1758" s="23"/>
      <c r="M1758" s="20"/>
      <c r="N1758" s="20"/>
      <c r="O1758" s="20"/>
      <c r="P1758" s="20"/>
    </row>
    <row r="1759">
      <c r="A1759" s="10"/>
      <c r="B1759" s="11"/>
      <c r="C1759" s="10"/>
      <c r="D1759" s="13"/>
      <c r="E1759" s="14"/>
      <c r="F1759" s="14"/>
      <c r="G1759" s="14"/>
      <c r="H1759" s="10"/>
      <c r="I1759" s="17"/>
      <c r="J1759" s="10"/>
      <c r="K1759" s="46"/>
      <c r="L1759" s="10"/>
      <c r="M1759" s="20"/>
      <c r="N1759" s="20"/>
      <c r="O1759" s="20"/>
      <c r="P1759" s="20"/>
    </row>
    <row r="1760">
      <c r="A1760" s="23"/>
      <c r="B1760" s="21"/>
      <c r="C1760" s="23"/>
      <c r="D1760" s="24"/>
      <c r="E1760" s="14"/>
      <c r="F1760" s="14"/>
      <c r="G1760" s="14"/>
      <c r="H1760" s="23"/>
      <c r="I1760" s="27"/>
      <c r="J1760" s="23"/>
      <c r="K1760" s="30"/>
      <c r="L1760" s="23"/>
      <c r="M1760" s="20"/>
      <c r="N1760" s="20"/>
      <c r="O1760" s="20"/>
      <c r="P1760" s="20"/>
    </row>
    <row r="1761">
      <c r="A1761" s="10"/>
      <c r="B1761" s="11"/>
      <c r="C1761" s="10"/>
      <c r="D1761" s="13"/>
      <c r="E1761" s="14"/>
      <c r="F1761" s="14"/>
      <c r="G1761" s="14"/>
      <c r="H1761" s="10"/>
      <c r="I1761" s="17"/>
      <c r="J1761" s="10"/>
      <c r="K1761" s="46"/>
      <c r="L1761" s="10"/>
      <c r="M1761" s="20"/>
      <c r="N1761" s="20"/>
      <c r="O1761" s="20"/>
      <c r="P1761" s="20"/>
    </row>
    <row r="1762">
      <c r="A1762" s="23"/>
      <c r="B1762" s="21"/>
      <c r="C1762" s="23"/>
      <c r="D1762" s="24"/>
      <c r="E1762" s="14"/>
      <c r="F1762" s="14"/>
      <c r="G1762" s="14"/>
      <c r="H1762" s="23"/>
      <c r="I1762" s="27"/>
      <c r="J1762" s="23"/>
      <c r="K1762" s="30"/>
      <c r="L1762" s="23"/>
      <c r="M1762" s="20"/>
      <c r="N1762" s="20"/>
      <c r="O1762" s="20"/>
      <c r="P1762" s="20"/>
    </row>
    <row r="1763">
      <c r="A1763" s="10"/>
      <c r="B1763" s="11"/>
      <c r="C1763" s="10"/>
      <c r="D1763" s="13"/>
      <c r="E1763" s="14"/>
      <c r="F1763" s="14"/>
      <c r="G1763" s="14"/>
      <c r="H1763" s="10"/>
      <c r="I1763" s="17"/>
      <c r="J1763" s="10"/>
      <c r="K1763" s="46"/>
      <c r="L1763" s="10"/>
      <c r="M1763" s="20"/>
      <c r="N1763" s="20"/>
      <c r="O1763" s="20"/>
      <c r="P1763" s="20"/>
    </row>
    <row r="1764">
      <c r="A1764" s="23"/>
      <c r="B1764" s="21"/>
      <c r="C1764" s="23"/>
      <c r="D1764" s="24"/>
      <c r="E1764" s="14"/>
      <c r="F1764" s="14"/>
      <c r="G1764" s="14"/>
      <c r="H1764" s="23"/>
      <c r="I1764" s="27"/>
      <c r="J1764" s="23"/>
      <c r="K1764" s="30"/>
      <c r="L1764" s="23"/>
      <c r="M1764" s="20"/>
      <c r="N1764" s="20"/>
      <c r="O1764" s="20"/>
      <c r="P1764" s="20"/>
    </row>
    <row r="1765">
      <c r="A1765" s="10"/>
      <c r="B1765" s="11"/>
      <c r="C1765" s="10"/>
      <c r="D1765" s="13"/>
      <c r="E1765" s="14"/>
      <c r="F1765" s="14"/>
      <c r="G1765" s="14"/>
      <c r="H1765" s="10"/>
      <c r="I1765" s="17"/>
      <c r="J1765" s="10"/>
      <c r="K1765" s="46"/>
      <c r="L1765" s="10"/>
      <c r="M1765" s="20"/>
      <c r="N1765" s="20"/>
      <c r="O1765" s="20"/>
      <c r="P1765" s="20"/>
    </row>
    <row r="1766">
      <c r="A1766" s="23"/>
      <c r="B1766" s="21"/>
      <c r="C1766" s="23"/>
      <c r="D1766" s="24"/>
      <c r="E1766" s="14"/>
      <c r="F1766" s="14"/>
      <c r="G1766" s="14"/>
      <c r="H1766" s="23"/>
      <c r="I1766" s="27"/>
      <c r="J1766" s="23"/>
      <c r="K1766" s="30"/>
      <c r="L1766" s="23"/>
      <c r="M1766" s="20"/>
      <c r="N1766" s="20"/>
      <c r="O1766" s="20"/>
      <c r="P1766" s="20"/>
    </row>
    <row r="1767">
      <c r="A1767" s="10"/>
      <c r="B1767" s="11"/>
      <c r="C1767" s="10"/>
      <c r="D1767" s="13"/>
      <c r="E1767" s="14"/>
      <c r="F1767" s="14"/>
      <c r="G1767" s="14"/>
      <c r="H1767" s="10"/>
      <c r="I1767" s="17"/>
      <c r="J1767" s="10"/>
      <c r="K1767" s="46"/>
      <c r="L1767" s="10"/>
      <c r="M1767" s="20"/>
      <c r="N1767" s="20"/>
      <c r="O1767" s="20"/>
      <c r="P1767" s="20"/>
    </row>
    <row r="1768">
      <c r="A1768" s="23"/>
      <c r="B1768" s="21"/>
      <c r="C1768" s="23"/>
      <c r="D1768" s="24"/>
      <c r="E1768" s="14"/>
      <c r="F1768" s="14"/>
      <c r="G1768" s="14"/>
      <c r="H1768" s="23"/>
      <c r="I1768" s="27"/>
      <c r="J1768" s="23"/>
      <c r="K1768" s="30"/>
      <c r="L1768" s="23"/>
      <c r="M1768" s="20"/>
      <c r="N1768" s="20"/>
      <c r="O1768" s="20"/>
      <c r="P1768" s="20"/>
    </row>
    <row r="1769">
      <c r="A1769" s="10"/>
      <c r="B1769" s="11"/>
      <c r="C1769" s="10"/>
      <c r="D1769" s="13"/>
      <c r="E1769" s="14"/>
      <c r="F1769" s="14"/>
      <c r="G1769" s="14"/>
      <c r="H1769" s="10"/>
      <c r="I1769" s="17"/>
      <c r="J1769" s="10"/>
      <c r="K1769" s="46"/>
      <c r="L1769" s="10"/>
      <c r="M1769" s="20"/>
      <c r="N1769" s="20"/>
      <c r="O1769" s="20"/>
      <c r="P1769" s="20"/>
    </row>
    <row r="1770">
      <c r="A1770" s="23"/>
      <c r="B1770" s="21"/>
      <c r="C1770" s="23"/>
      <c r="D1770" s="24"/>
      <c r="E1770" s="14"/>
      <c r="F1770" s="14"/>
      <c r="G1770" s="14"/>
      <c r="H1770" s="23"/>
      <c r="I1770" s="27"/>
      <c r="J1770" s="23"/>
      <c r="K1770" s="30"/>
      <c r="L1770" s="23"/>
      <c r="M1770" s="20"/>
      <c r="N1770" s="20"/>
      <c r="O1770" s="20"/>
      <c r="P1770" s="20"/>
    </row>
    <row r="1771">
      <c r="A1771" s="10"/>
      <c r="B1771" s="11"/>
      <c r="C1771" s="10"/>
      <c r="D1771" s="13"/>
      <c r="E1771" s="14"/>
      <c r="F1771" s="14"/>
      <c r="G1771" s="14"/>
      <c r="H1771" s="10"/>
      <c r="I1771" s="17"/>
      <c r="J1771" s="10"/>
      <c r="K1771" s="46"/>
      <c r="L1771" s="10"/>
      <c r="M1771" s="20"/>
      <c r="N1771" s="20"/>
      <c r="O1771" s="20"/>
      <c r="P1771" s="20"/>
    </row>
    <row r="1772">
      <c r="A1772" s="23"/>
      <c r="B1772" s="21"/>
      <c r="C1772" s="23"/>
      <c r="D1772" s="24"/>
      <c r="E1772" s="14"/>
      <c r="F1772" s="14"/>
      <c r="G1772" s="14"/>
      <c r="H1772" s="23"/>
      <c r="I1772" s="27"/>
      <c r="J1772" s="23"/>
      <c r="K1772" s="30"/>
      <c r="L1772" s="23"/>
      <c r="M1772" s="20"/>
      <c r="N1772" s="20"/>
      <c r="O1772" s="20"/>
      <c r="P1772" s="20"/>
    </row>
    <row r="1773">
      <c r="A1773" s="10"/>
      <c r="B1773" s="11"/>
      <c r="C1773" s="10"/>
      <c r="D1773" s="13"/>
      <c r="E1773" s="14"/>
      <c r="F1773" s="14"/>
      <c r="G1773" s="14"/>
      <c r="H1773" s="10"/>
      <c r="I1773" s="17"/>
      <c r="J1773" s="10"/>
      <c r="K1773" s="46"/>
      <c r="L1773" s="10"/>
      <c r="M1773" s="20"/>
      <c r="N1773" s="20"/>
      <c r="O1773" s="20"/>
      <c r="P1773" s="20"/>
    </row>
    <row r="1774">
      <c r="A1774" s="23"/>
      <c r="B1774" s="21"/>
      <c r="C1774" s="23"/>
      <c r="D1774" s="24"/>
      <c r="E1774" s="14"/>
      <c r="F1774" s="14"/>
      <c r="G1774" s="14"/>
      <c r="H1774" s="23"/>
      <c r="I1774" s="27"/>
      <c r="J1774" s="23"/>
      <c r="K1774" s="30"/>
      <c r="L1774" s="23"/>
      <c r="M1774" s="20"/>
      <c r="N1774" s="20"/>
      <c r="O1774" s="20"/>
      <c r="P1774" s="20"/>
    </row>
    <row r="1775">
      <c r="A1775" s="10"/>
      <c r="B1775" s="11"/>
      <c r="C1775" s="10"/>
      <c r="D1775" s="13"/>
      <c r="E1775" s="14"/>
      <c r="F1775" s="14"/>
      <c r="G1775" s="14"/>
      <c r="H1775" s="10"/>
      <c r="I1775" s="17"/>
      <c r="J1775" s="10"/>
      <c r="K1775" s="46"/>
      <c r="L1775" s="10"/>
      <c r="M1775" s="20"/>
      <c r="N1775" s="20"/>
      <c r="O1775" s="20"/>
      <c r="P1775" s="20"/>
    </row>
    <row r="1776">
      <c r="A1776" s="23"/>
      <c r="B1776" s="21"/>
      <c r="C1776" s="23"/>
      <c r="D1776" s="24"/>
      <c r="E1776" s="14"/>
      <c r="F1776" s="14"/>
      <c r="G1776" s="14"/>
      <c r="H1776" s="23"/>
      <c r="I1776" s="27"/>
      <c r="J1776" s="23"/>
      <c r="K1776" s="30"/>
      <c r="L1776" s="23"/>
      <c r="M1776" s="20"/>
      <c r="N1776" s="20"/>
      <c r="O1776" s="20"/>
      <c r="P1776" s="20"/>
    </row>
    <row r="1777">
      <c r="A1777" s="10"/>
      <c r="B1777" s="11"/>
      <c r="C1777" s="10"/>
      <c r="D1777" s="13"/>
      <c r="E1777" s="14"/>
      <c r="F1777" s="14"/>
      <c r="G1777" s="14"/>
      <c r="H1777" s="10"/>
      <c r="I1777" s="17"/>
      <c r="J1777" s="10"/>
      <c r="K1777" s="46"/>
      <c r="L1777" s="10"/>
      <c r="M1777" s="20"/>
      <c r="N1777" s="20"/>
      <c r="O1777" s="20"/>
      <c r="P1777" s="20"/>
    </row>
    <row r="1778">
      <c r="A1778" s="23"/>
      <c r="B1778" s="21"/>
      <c r="C1778" s="23"/>
      <c r="D1778" s="24"/>
      <c r="E1778" s="14"/>
      <c r="F1778" s="14"/>
      <c r="G1778" s="14"/>
      <c r="H1778" s="23"/>
      <c r="I1778" s="27"/>
      <c r="J1778" s="23"/>
      <c r="K1778" s="30"/>
      <c r="L1778" s="23"/>
      <c r="M1778" s="20"/>
      <c r="N1778" s="20"/>
      <c r="O1778" s="20"/>
      <c r="P1778" s="20"/>
    </row>
    <row r="1779">
      <c r="A1779" s="10"/>
      <c r="B1779" s="11"/>
      <c r="C1779" s="10"/>
      <c r="D1779" s="13"/>
      <c r="E1779" s="14"/>
      <c r="F1779" s="14"/>
      <c r="G1779" s="14"/>
      <c r="H1779" s="10"/>
      <c r="I1779" s="17"/>
      <c r="J1779" s="10"/>
      <c r="K1779" s="46"/>
      <c r="L1779" s="10"/>
      <c r="M1779" s="20"/>
      <c r="N1779" s="20"/>
      <c r="O1779" s="20"/>
      <c r="P1779" s="20"/>
    </row>
    <row r="1780">
      <c r="A1780" s="23"/>
      <c r="B1780" s="21"/>
      <c r="C1780" s="23"/>
      <c r="D1780" s="24"/>
      <c r="E1780" s="14"/>
      <c r="F1780" s="14"/>
      <c r="G1780" s="14"/>
      <c r="H1780" s="23"/>
      <c r="I1780" s="27"/>
      <c r="J1780" s="23"/>
      <c r="K1780" s="30"/>
      <c r="L1780" s="23"/>
      <c r="M1780" s="20"/>
      <c r="N1780" s="20"/>
      <c r="O1780" s="20"/>
      <c r="P1780" s="20"/>
    </row>
    <row r="1781">
      <c r="A1781" s="10"/>
      <c r="B1781" s="11"/>
      <c r="C1781" s="10"/>
      <c r="D1781" s="13"/>
      <c r="E1781" s="14"/>
      <c r="F1781" s="14"/>
      <c r="G1781" s="14"/>
      <c r="H1781" s="10"/>
      <c r="I1781" s="17"/>
      <c r="J1781" s="10"/>
      <c r="K1781" s="46"/>
      <c r="L1781" s="10"/>
      <c r="M1781" s="20"/>
      <c r="N1781" s="20"/>
      <c r="O1781" s="20"/>
      <c r="P1781" s="20"/>
    </row>
    <row r="1782">
      <c r="A1782" s="23"/>
      <c r="B1782" s="21"/>
      <c r="C1782" s="23"/>
      <c r="D1782" s="24"/>
      <c r="E1782" s="14"/>
      <c r="F1782" s="14"/>
      <c r="G1782" s="14"/>
      <c r="H1782" s="23"/>
      <c r="I1782" s="27"/>
      <c r="J1782" s="23"/>
      <c r="K1782" s="30"/>
      <c r="L1782" s="23"/>
      <c r="M1782" s="20"/>
      <c r="N1782" s="20"/>
      <c r="O1782" s="20"/>
      <c r="P1782" s="20"/>
    </row>
    <row r="1783">
      <c r="A1783" s="10"/>
      <c r="B1783" s="11"/>
      <c r="C1783" s="10"/>
      <c r="D1783" s="13"/>
      <c r="E1783" s="14"/>
      <c r="F1783" s="14"/>
      <c r="G1783" s="14"/>
      <c r="H1783" s="10"/>
      <c r="I1783" s="17"/>
      <c r="J1783" s="10"/>
      <c r="K1783" s="46"/>
      <c r="L1783" s="10"/>
      <c r="M1783" s="20"/>
      <c r="N1783" s="20"/>
      <c r="O1783" s="20"/>
      <c r="P1783" s="20"/>
    </row>
    <row r="1784">
      <c r="A1784" s="23"/>
      <c r="B1784" s="21"/>
      <c r="C1784" s="23"/>
      <c r="D1784" s="24"/>
      <c r="E1784" s="14"/>
      <c r="F1784" s="14"/>
      <c r="G1784" s="14"/>
      <c r="H1784" s="23"/>
      <c r="I1784" s="27"/>
      <c r="J1784" s="23"/>
      <c r="K1784" s="30"/>
      <c r="L1784" s="23"/>
      <c r="M1784" s="20"/>
      <c r="N1784" s="20"/>
      <c r="O1784" s="20"/>
      <c r="P1784" s="20"/>
    </row>
    <row r="1785">
      <c r="A1785" s="10"/>
      <c r="B1785" s="11"/>
      <c r="C1785" s="10"/>
      <c r="D1785" s="13"/>
      <c r="E1785" s="14"/>
      <c r="F1785" s="14"/>
      <c r="G1785" s="14"/>
      <c r="H1785" s="10"/>
      <c r="I1785" s="17"/>
      <c r="J1785" s="10"/>
      <c r="K1785" s="46"/>
      <c r="L1785" s="10"/>
      <c r="M1785" s="20"/>
      <c r="N1785" s="20"/>
      <c r="O1785" s="20"/>
      <c r="P1785" s="20"/>
    </row>
    <row r="1786">
      <c r="A1786" s="23"/>
      <c r="B1786" s="21"/>
      <c r="C1786" s="23"/>
      <c r="D1786" s="24"/>
      <c r="E1786" s="14"/>
      <c r="F1786" s="14"/>
      <c r="G1786" s="14"/>
      <c r="H1786" s="23"/>
      <c r="I1786" s="27"/>
      <c r="J1786" s="23"/>
      <c r="K1786" s="30"/>
      <c r="L1786" s="23"/>
      <c r="M1786" s="20"/>
      <c r="N1786" s="20"/>
      <c r="O1786" s="20"/>
      <c r="P1786" s="20"/>
    </row>
    <row r="1787">
      <c r="A1787" s="10"/>
      <c r="B1787" s="11"/>
      <c r="C1787" s="10"/>
      <c r="D1787" s="13"/>
      <c r="E1787" s="14"/>
      <c r="F1787" s="14"/>
      <c r="G1787" s="14"/>
      <c r="H1787" s="10"/>
      <c r="I1787" s="17"/>
      <c r="J1787" s="10"/>
      <c r="K1787" s="46"/>
      <c r="L1787" s="10"/>
      <c r="M1787" s="20"/>
      <c r="N1787" s="20"/>
      <c r="O1787" s="20"/>
      <c r="P1787" s="20"/>
    </row>
    <row r="1788">
      <c r="A1788" s="23"/>
      <c r="B1788" s="21"/>
      <c r="C1788" s="23"/>
      <c r="D1788" s="24"/>
      <c r="E1788" s="14"/>
      <c r="F1788" s="14"/>
      <c r="G1788" s="14"/>
      <c r="H1788" s="23"/>
      <c r="I1788" s="27"/>
      <c r="J1788" s="23"/>
      <c r="K1788" s="30"/>
      <c r="L1788" s="23"/>
      <c r="M1788" s="20"/>
      <c r="N1788" s="20"/>
      <c r="O1788" s="20"/>
      <c r="P1788" s="20"/>
    </row>
    <row r="1789">
      <c r="A1789" s="10"/>
      <c r="B1789" s="11"/>
      <c r="C1789" s="10"/>
      <c r="D1789" s="13"/>
      <c r="E1789" s="14"/>
      <c r="F1789" s="14"/>
      <c r="G1789" s="14"/>
      <c r="H1789" s="10"/>
      <c r="I1789" s="17"/>
      <c r="J1789" s="10"/>
      <c r="K1789" s="46"/>
      <c r="L1789" s="10"/>
      <c r="M1789" s="20"/>
      <c r="N1789" s="20"/>
      <c r="O1789" s="20"/>
      <c r="P1789" s="20"/>
    </row>
    <row r="1790">
      <c r="A1790" s="23"/>
      <c r="B1790" s="21"/>
      <c r="C1790" s="23"/>
      <c r="D1790" s="24"/>
      <c r="E1790" s="14"/>
      <c r="F1790" s="14"/>
      <c r="G1790" s="14"/>
      <c r="H1790" s="23"/>
      <c r="I1790" s="27"/>
      <c r="J1790" s="23"/>
      <c r="K1790" s="30"/>
      <c r="L1790" s="23"/>
      <c r="M1790" s="20"/>
      <c r="N1790" s="20"/>
      <c r="O1790" s="20"/>
      <c r="P1790" s="20"/>
    </row>
    <row r="1791">
      <c r="A1791" s="10"/>
      <c r="B1791" s="11"/>
      <c r="C1791" s="10"/>
      <c r="D1791" s="13"/>
      <c r="E1791" s="14"/>
      <c r="F1791" s="14"/>
      <c r="G1791" s="14"/>
      <c r="H1791" s="10"/>
      <c r="I1791" s="17"/>
      <c r="J1791" s="10"/>
      <c r="K1791" s="46"/>
      <c r="L1791" s="10"/>
      <c r="M1791" s="20"/>
      <c r="N1791" s="20"/>
      <c r="O1791" s="20"/>
      <c r="P1791" s="20"/>
    </row>
    <row r="1792">
      <c r="A1792" s="23"/>
      <c r="B1792" s="21"/>
      <c r="C1792" s="23"/>
      <c r="D1792" s="24"/>
      <c r="E1792" s="14"/>
      <c r="F1792" s="14"/>
      <c r="G1792" s="14"/>
      <c r="H1792" s="23"/>
      <c r="I1792" s="27"/>
      <c r="J1792" s="23"/>
      <c r="K1792" s="30"/>
      <c r="L1792" s="23"/>
      <c r="M1792" s="20"/>
      <c r="N1792" s="20"/>
      <c r="O1792" s="20"/>
      <c r="P1792" s="20"/>
    </row>
    <row r="1793">
      <c r="A1793" s="10"/>
      <c r="B1793" s="11"/>
      <c r="C1793" s="10"/>
      <c r="D1793" s="13"/>
      <c r="E1793" s="14"/>
      <c r="F1793" s="14"/>
      <c r="G1793" s="14"/>
      <c r="H1793" s="10"/>
      <c r="I1793" s="17"/>
      <c r="J1793" s="10"/>
      <c r="K1793" s="46"/>
      <c r="L1793" s="10"/>
      <c r="M1793" s="20"/>
      <c r="N1793" s="20"/>
      <c r="O1793" s="20"/>
      <c r="P1793" s="20"/>
    </row>
    <row r="1794">
      <c r="A1794" s="23"/>
      <c r="B1794" s="21"/>
      <c r="C1794" s="23"/>
      <c r="D1794" s="24"/>
      <c r="E1794" s="14"/>
      <c r="F1794" s="14"/>
      <c r="G1794" s="14"/>
      <c r="H1794" s="23"/>
      <c r="I1794" s="27"/>
      <c r="J1794" s="23"/>
      <c r="K1794" s="30"/>
      <c r="L1794" s="23"/>
      <c r="M1794" s="20"/>
      <c r="N1794" s="20"/>
      <c r="O1794" s="20"/>
      <c r="P1794" s="20"/>
    </row>
    <row r="1795">
      <c r="A1795" s="10"/>
      <c r="B1795" s="11"/>
      <c r="C1795" s="10"/>
      <c r="D1795" s="13"/>
      <c r="E1795" s="14"/>
      <c r="F1795" s="14"/>
      <c r="G1795" s="14"/>
      <c r="H1795" s="10"/>
      <c r="I1795" s="17"/>
      <c r="J1795" s="10"/>
      <c r="K1795" s="46"/>
      <c r="L1795" s="10"/>
      <c r="M1795" s="20"/>
      <c r="N1795" s="20"/>
      <c r="O1795" s="20"/>
      <c r="P1795" s="20"/>
    </row>
    <row r="1796">
      <c r="A1796" s="23"/>
      <c r="B1796" s="21"/>
      <c r="C1796" s="23"/>
      <c r="D1796" s="24"/>
      <c r="E1796" s="14"/>
      <c r="F1796" s="14"/>
      <c r="G1796" s="14"/>
      <c r="H1796" s="23"/>
      <c r="I1796" s="27"/>
      <c r="J1796" s="23"/>
      <c r="K1796" s="30"/>
      <c r="L1796" s="23"/>
      <c r="M1796" s="20"/>
      <c r="N1796" s="20"/>
      <c r="O1796" s="20"/>
      <c r="P1796" s="20"/>
    </row>
    <row r="1797">
      <c r="A1797" s="10"/>
      <c r="B1797" s="11"/>
      <c r="C1797" s="10"/>
      <c r="D1797" s="13"/>
      <c r="E1797" s="14"/>
      <c r="F1797" s="14"/>
      <c r="G1797" s="14"/>
      <c r="H1797" s="10"/>
      <c r="I1797" s="17"/>
      <c r="J1797" s="10"/>
      <c r="K1797" s="46"/>
      <c r="L1797" s="10"/>
      <c r="M1797" s="20"/>
      <c r="N1797" s="20"/>
      <c r="O1797" s="20"/>
      <c r="P1797" s="20"/>
    </row>
    <row r="1798">
      <c r="A1798" s="23"/>
      <c r="B1798" s="21"/>
      <c r="C1798" s="23"/>
      <c r="D1798" s="24"/>
      <c r="E1798" s="14"/>
      <c r="F1798" s="14"/>
      <c r="G1798" s="14"/>
      <c r="H1798" s="23"/>
      <c r="I1798" s="27"/>
      <c r="J1798" s="23"/>
      <c r="K1798" s="30"/>
      <c r="L1798" s="23"/>
      <c r="M1798" s="20"/>
      <c r="N1798" s="20"/>
      <c r="O1798" s="20"/>
      <c r="P1798" s="20"/>
    </row>
    <row r="1799">
      <c r="A1799" s="10"/>
      <c r="B1799" s="11"/>
      <c r="C1799" s="10"/>
      <c r="D1799" s="13"/>
      <c r="E1799" s="14"/>
      <c r="F1799" s="14"/>
      <c r="G1799" s="14"/>
      <c r="H1799" s="10"/>
      <c r="I1799" s="17"/>
      <c r="J1799" s="10"/>
      <c r="K1799" s="46"/>
      <c r="L1799" s="10"/>
      <c r="M1799" s="20"/>
      <c r="N1799" s="20"/>
      <c r="O1799" s="20"/>
      <c r="P1799" s="20"/>
    </row>
    <row r="1800">
      <c r="A1800" s="23"/>
      <c r="B1800" s="21"/>
      <c r="C1800" s="23"/>
      <c r="D1800" s="24"/>
      <c r="E1800" s="14"/>
      <c r="F1800" s="14"/>
      <c r="G1800" s="14"/>
      <c r="H1800" s="23"/>
      <c r="I1800" s="27"/>
      <c r="J1800" s="23"/>
      <c r="K1800" s="30"/>
      <c r="L1800" s="23"/>
      <c r="M1800" s="20"/>
      <c r="N1800" s="20"/>
      <c r="O1800" s="20"/>
      <c r="P1800" s="20"/>
    </row>
    <row r="1801">
      <c r="A1801" s="10"/>
      <c r="B1801" s="11"/>
      <c r="C1801" s="10"/>
      <c r="D1801" s="13"/>
      <c r="E1801" s="14"/>
      <c r="F1801" s="14"/>
      <c r="G1801" s="14"/>
      <c r="H1801" s="10"/>
      <c r="I1801" s="17"/>
      <c r="J1801" s="10"/>
      <c r="K1801" s="46"/>
      <c r="L1801" s="10"/>
      <c r="M1801" s="20"/>
      <c r="N1801" s="20"/>
      <c r="O1801" s="20"/>
      <c r="P1801" s="20"/>
    </row>
    <row r="1802">
      <c r="A1802" s="23"/>
      <c r="B1802" s="21"/>
      <c r="C1802" s="23"/>
      <c r="D1802" s="24"/>
      <c r="E1802" s="14"/>
      <c r="F1802" s="14"/>
      <c r="G1802" s="14"/>
      <c r="H1802" s="23"/>
      <c r="I1802" s="27"/>
      <c r="J1802" s="23"/>
      <c r="K1802" s="30"/>
      <c r="L1802" s="23"/>
      <c r="M1802" s="20"/>
      <c r="N1802" s="20"/>
      <c r="O1802" s="20"/>
      <c r="P1802" s="20"/>
    </row>
    <row r="1803">
      <c r="A1803" s="10"/>
      <c r="B1803" s="11"/>
      <c r="C1803" s="10"/>
      <c r="D1803" s="13"/>
      <c r="E1803" s="14"/>
      <c r="F1803" s="14"/>
      <c r="G1803" s="14"/>
      <c r="H1803" s="10"/>
      <c r="I1803" s="17"/>
      <c r="J1803" s="10"/>
      <c r="K1803" s="46"/>
      <c r="L1803" s="10"/>
      <c r="M1803" s="20"/>
      <c r="N1803" s="20"/>
      <c r="O1803" s="20"/>
      <c r="P1803" s="20"/>
    </row>
    <row r="1804">
      <c r="A1804" s="23"/>
      <c r="B1804" s="21"/>
      <c r="C1804" s="23"/>
      <c r="D1804" s="24"/>
      <c r="E1804" s="14"/>
      <c r="F1804" s="14"/>
      <c r="G1804" s="14"/>
      <c r="H1804" s="23"/>
      <c r="I1804" s="27"/>
      <c r="J1804" s="23"/>
      <c r="K1804" s="30"/>
      <c r="L1804" s="23"/>
      <c r="M1804" s="20"/>
      <c r="N1804" s="20"/>
      <c r="O1804" s="20"/>
      <c r="P1804" s="20"/>
    </row>
    <row r="1805">
      <c r="A1805" s="10"/>
      <c r="B1805" s="11"/>
      <c r="C1805" s="10"/>
      <c r="D1805" s="13"/>
      <c r="E1805" s="14"/>
      <c r="F1805" s="14"/>
      <c r="G1805" s="14"/>
      <c r="H1805" s="10"/>
      <c r="I1805" s="17"/>
      <c r="J1805" s="10"/>
      <c r="K1805" s="46"/>
      <c r="L1805" s="10"/>
      <c r="M1805" s="20"/>
      <c r="N1805" s="20"/>
      <c r="O1805" s="20"/>
      <c r="P1805" s="20"/>
    </row>
    <row r="1806">
      <c r="A1806" s="23"/>
      <c r="B1806" s="21"/>
      <c r="C1806" s="23"/>
      <c r="D1806" s="24"/>
      <c r="E1806" s="14"/>
      <c r="F1806" s="14"/>
      <c r="G1806" s="14"/>
      <c r="H1806" s="23"/>
      <c r="I1806" s="27"/>
      <c r="J1806" s="23"/>
      <c r="K1806" s="30"/>
      <c r="L1806" s="23"/>
      <c r="M1806" s="20"/>
      <c r="N1806" s="20"/>
      <c r="O1806" s="20"/>
      <c r="P1806" s="20"/>
    </row>
    <row r="1807">
      <c r="A1807" s="10"/>
      <c r="B1807" s="11"/>
      <c r="C1807" s="10"/>
      <c r="D1807" s="13"/>
      <c r="E1807" s="14"/>
      <c r="F1807" s="14"/>
      <c r="G1807" s="14"/>
      <c r="H1807" s="10"/>
      <c r="I1807" s="17"/>
      <c r="J1807" s="10"/>
      <c r="K1807" s="46"/>
      <c r="L1807" s="10"/>
      <c r="M1807" s="20"/>
      <c r="N1807" s="20"/>
      <c r="O1807" s="20"/>
      <c r="P1807" s="20"/>
    </row>
    <row r="1808">
      <c r="A1808" s="23"/>
      <c r="B1808" s="21"/>
      <c r="C1808" s="23"/>
      <c r="D1808" s="24"/>
      <c r="E1808" s="14"/>
      <c r="F1808" s="14"/>
      <c r="G1808" s="14"/>
      <c r="H1808" s="23"/>
      <c r="I1808" s="27"/>
      <c r="J1808" s="23"/>
      <c r="K1808" s="30"/>
      <c r="L1808" s="23"/>
      <c r="M1808" s="20"/>
      <c r="N1808" s="20"/>
      <c r="O1808" s="20"/>
      <c r="P1808" s="20"/>
    </row>
    <row r="1809">
      <c r="A1809" s="10"/>
      <c r="B1809" s="11"/>
      <c r="C1809" s="10"/>
      <c r="D1809" s="13"/>
      <c r="E1809" s="14"/>
      <c r="F1809" s="14"/>
      <c r="G1809" s="14"/>
      <c r="H1809" s="10"/>
      <c r="I1809" s="17"/>
      <c r="J1809" s="10"/>
      <c r="K1809" s="46"/>
      <c r="L1809" s="10"/>
      <c r="M1809" s="20"/>
      <c r="N1809" s="20"/>
      <c r="O1809" s="20"/>
      <c r="P1809" s="20"/>
    </row>
    <row r="1810">
      <c r="A1810" s="23"/>
      <c r="B1810" s="21"/>
      <c r="C1810" s="23"/>
      <c r="D1810" s="24"/>
      <c r="E1810" s="14"/>
      <c r="F1810" s="14"/>
      <c r="G1810" s="14"/>
      <c r="H1810" s="23"/>
      <c r="I1810" s="27"/>
      <c r="J1810" s="23"/>
      <c r="K1810" s="30"/>
      <c r="L1810" s="23"/>
      <c r="M1810" s="20"/>
      <c r="N1810" s="20"/>
      <c r="O1810" s="20"/>
      <c r="P1810" s="20"/>
    </row>
    <row r="1811">
      <c r="A1811" s="10"/>
      <c r="B1811" s="11"/>
      <c r="C1811" s="10"/>
      <c r="D1811" s="13"/>
      <c r="E1811" s="14"/>
      <c r="F1811" s="14"/>
      <c r="G1811" s="14"/>
      <c r="H1811" s="10"/>
      <c r="I1811" s="17"/>
      <c r="J1811" s="10"/>
      <c r="K1811" s="46"/>
      <c r="L1811" s="10"/>
      <c r="M1811" s="20"/>
      <c r="N1811" s="20"/>
      <c r="O1811" s="20"/>
      <c r="P1811" s="20"/>
    </row>
    <row r="1812">
      <c r="A1812" s="23"/>
      <c r="B1812" s="21"/>
      <c r="C1812" s="23"/>
      <c r="D1812" s="24"/>
      <c r="E1812" s="14"/>
      <c r="F1812" s="14"/>
      <c r="G1812" s="14"/>
      <c r="H1812" s="23"/>
      <c r="I1812" s="27"/>
      <c r="J1812" s="23"/>
      <c r="K1812" s="30"/>
      <c r="L1812" s="23"/>
      <c r="M1812" s="20"/>
      <c r="N1812" s="20"/>
      <c r="O1812" s="20"/>
      <c r="P1812" s="20"/>
    </row>
    <row r="1813">
      <c r="A1813" s="10"/>
      <c r="B1813" s="11"/>
      <c r="C1813" s="10"/>
      <c r="D1813" s="13"/>
      <c r="E1813" s="14"/>
      <c r="F1813" s="14"/>
      <c r="G1813" s="14"/>
      <c r="H1813" s="10"/>
      <c r="I1813" s="17"/>
      <c r="J1813" s="10"/>
      <c r="K1813" s="46"/>
      <c r="L1813" s="10"/>
      <c r="M1813" s="20"/>
      <c r="N1813" s="20"/>
      <c r="O1813" s="20"/>
      <c r="P1813" s="20"/>
    </row>
    <row r="1814">
      <c r="A1814" s="23"/>
      <c r="B1814" s="21"/>
      <c r="C1814" s="23"/>
      <c r="D1814" s="24"/>
      <c r="E1814" s="14"/>
      <c r="F1814" s="14"/>
      <c r="G1814" s="14"/>
      <c r="H1814" s="23"/>
      <c r="I1814" s="27"/>
      <c r="J1814" s="23"/>
      <c r="K1814" s="30"/>
      <c r="L1814" s="23"/>
      <c r="M1814" s="20"/>
      <c r="N1814" s="20"/>
      <c r="O1814" s="20"/>
      <c r="P1814" s="20"/>
    </row>
    <row r="1815">
      <c r="A1815" s="10"/>
      <c r="B1815" s="11"/>
      <c r="C1815" s="10"/>
      <c r="D1815" s="13"/>
      <c r="E1815" s="14"/>
      <c r="F1815" s="14"/>
      <c r="G1815" s="14"/>
      <c r="H1815" s="10"/>
      <c r="I1815" s="17"/>
      <c r="J1815" s="10"/>
      <c r="K1815" s="46"/>
      <c r="L1815" s="10"/>
      <c r="M1815" s="20"/>
      <c r="N1815" s="20"/>
      <c r="O1815" s="20"/>
      <c r="P1815" s="20"/>
    </row>
    <row r="1816">
      <c r="A1816" s="23"/>
      <c r="B1816" s="21"/>
      <c r="C1816" s="23"/>
      <c r="D1816" s="24"/>
      <c r="E1816" s="14"/>
      <c r="F1816" s="14"/>
      <c r="G1816" s="14"/>
      <c r="H1816" s="23"/>
      <c r="I1816" s="27"/>
      <c r="J1816" s="23"/>
      <c r="K1816" s="30"/>
      <c r="L1816" s="23"/>
      <c r="M1816" s="20"/>
      <c r="N1816" s="20"/>
      <c r="O1816" s="20"/>
      <c r="P1816" s="20"/>
    </row>
    <row r="1817">
      <c r="A1817" s="10"/>
      <c r="B1817" s="11"/>
      <c r="C1817" s="10"/>
      <c r="D1817" s="13"/>
      <c r="E1817" s="14"/>
      <c r="F1817" s="14"/>
      <c r="G1817" s="14"/>
      <c r="H1817" s="10"/>
      <c r="I1817" s="17"/>
      <c r="J1817" s="10"/>
      <c r="K1817" s="46"/>
      <c r="L1817" s="10"/>
      <c r="M1817" s="20"/>
      <c r="N1817" s="20"/>
      <c r="O1817" s="20"/>
      <c r="P1817" s="20"/>
    </row>
    <row r="1818">
      <c r="A1818" s="23"/>
      <c r="B1818" s="21"/>
      <c r="C1818" s="23"/>
      <c r="D1818" s="24"/>
      <c r="E1818" s="14"/>
      <c r="F1818" s="14"/>
      <c r="G1818" s="14"/>
      <c r="H1818" s="23"/>
      <c r="I1818" s="27"/>
      <c r="J1818" s="23"/>
      <c r="K1818" s="30"/>
      <c r="L1818" s="23"/>
      <c r="M1818" s="20"/>
      <c r="N1818" s="20"/>
      <c r="O1818" s="20"/>
      <c r="P1818" s="20"/>
    </row>
    <row r="1819">
      <c r="A1819" s="10"/>
      <c r="B1819" s="11"/>
      <c r="C1819" s="10"/>
      <c r="D1819" s="13"/>
      <c r="E1819" s="14"/>
      <c r="F1819" s="14"/>
      <c r="G1819" s="14"/>
      <c r="H1819" s="10"/>
      <c r="I1819" s="17"/>
      <c r="J1819" s="10"/>
      <c r="K1819" s="46"/>
      <c r="L1819" s="10"/>
      <c r="M1819" s="20"/>
      <c r="N1819" s="20"/>
      <c r="O1819" s="20"/>
      <c r="P1819" s="20"/>
    </row>
    <row r="1820">
      <c r="A1820" s="23"/>
      <c r="B1820" s="21"/>
      <c r="C1820" s="23"/>
      <c r="D1820" s="24"/>
      <c r="E1820" s="14"/>
      <c r="F1820" s="14"/>
      <c r="G1820" s="14"/>
      <c r="H1820" s="23"/>
      <c r="I1820" s="27"/>
      <c r="J1820" s="23"/>
      <c r="K1820" s="30"/>
      <c r="L1820" s="23"/>
      <c r="M1820" s="20"/>
      <c r="N1820" s="20"/>
      <c r="O1820" s="20"/>
      <c r="P1820" s="20"/>
    </row>
    <row r="1821">
      <c r="A1821" s="10"/>
      <c r="B1821" s="11"/>
      <c r="C1821" s="10"/>
      <c r="D1821" s="13"/>
      <c r="E1821" s="14"/>
      <c r="F1821" s="14"/>
      <c r="G1821" s="14"/>
      <c r="H1821" s="10"/>
      <c r="I1821" s="17"/>
      <c r="J1821" s="10"/>
      <c r="K1821" s="46"/>
      <c r="L1821" s="10"/>
      <c r="M1821" s="20"/>
      <c r="N1821" s="20"/>
      <c r="O1821" s="20"/>
      <c r="P1821" s="20"/>
    </row>
    <row r="1822">
      <c r="A1822" s="23"/>
      <c r="B1822" s="21"/>
      <c r="C1822" s="23"/>
      <c r="D1822" s="24"/>
      <c r="E1822" s="14"/>
      <c r="F1822" s="14"/>
      <c r="G1822" s="14"/>
      <c r="H1822" s="23"/>
      <c r="I1822" s="27"/>
      <c r="J1822" s="23"/>
      <c r="K1822" s="30"/>
      <c r="L1822" s="23"/>
      <c r="M1822" s="20"/>
      <c r="N1822" s="20"/>
      <c r="O1822" s="20"/>
      <c r="P1822" s="20"/>
    </row>
    <row r="1823">
      <c r="A1823" s="10"/>
      <c r="B1823" s="11"/>
      <c r="C1823" s="10"/>
      <c r="D1823" s="13"/>
      <c r="E1823" s="14"/>
      <c r="F1823" s="14"/>
      <c r="G1823" s="14"/>
      <c r="H1823" s="10"/>
      <c r="I1823" s="17"/>
      <c r="J1823" s="10"/>
      <c r="K1823" s="46"/>
      <c r="L1823" s="10"/>
      <c r="M1823" s="20"/>
      <c r="N1823" s="20"/>
      <c r="O1823" s="20"/>
      <c r="P1823" s="20"/>
    </row>
    <row r="1824">
      <c r="A1824" s="23"/>
      <c r="B1824" s="21"/>
      <c r="C1824" s="23"/>
      <c r="D1824" s="24"/>
      <c r="E1824" s="14"/>
      <c r="F1824" s="14"/>
      <c r="G1824" s="14"/>
      <c r="H1824" s="23"/>
      <c r="I1824" s="27"/>
      <c r="J1824" s="23"/>
      <c r="K1824" s="30"/>
      <c r="L1824" s="23"/>
      <c r="M1824" s="20"/>
      <c r="N1824" s="20"/>
      <c r="O1824" s="20"/>
      <c r="P1824" s="20"/>
    </row>
    <row r="1825">
      <c r="A1825" s="10"/>
      <c r="B1825" s="11"/>
      <c r="C1825" s="10"/>
      <c r="D1825" s="13"/>
      <c r="E1825" s="14"/>
      <c r="F1825" s="14"/>
      <c r="G1825" s="14"/>
      <c r="H1825" s="10"/>
      <c r="I1825" s="17"/>
      <c r="J1825" s="10"/>
      <c r="K1825" s="46"/>
      <c r="L1825" s="10"/>
      <c r="M1825" s="20"/>
      <c r="N1825" s="20"/>
      <c r="O1825" s="20"/>
      <c r="P1825" s="20"/>
    </row>
    <row r="1826">
      <c r="A1826" s="23"/>
      <c r="B1826" s="21"/>
      <c r="C1826" s="23"/>
      <c r="D1826" s="24"/>
      <c r="E1826" s="14"/>
      <c r="F1826" s="14"/>
      <c r="G1826" s="14"/>
      <c r="H1826" s="23"/>
      <c r="I1826" s="27"/>
      <c r="J1826" s="23"/>
      <c r="K1826" s="30"/>
      <c r="L1826" s="23"/>
      <c r="M1826" s="20"/>
      <c r="N1826" s="20"/>
      <c r="O1826" s="20"/>
      <c r="P1826" s="20"/>
    </row>
    <row r="1827">
      <c r="A1827" s="10"/>
      <c r="B1827" s="11"/>
      <c r="C1827" s="10"/>
      <c r="D1827" s="13"/>
      <c r="E1827" s="14"/>
      <c r="F1827" s="14"/>
      <c r="G1827" s="14"/>
      <c r="H1827" s="10"/>
      <c r="I1827" s="17"/>
      <c r="J1827" s="10"/>
      <c r="K1827" s="46"/>
      <c r="L1827" s="10"/>
      <c r="M1827" s="20"/>
      <c r="N1827" s="20"/>
      <c r="O1827" s="20"/>
      <c r="P1827" s="20"/>
    </row>
    <row r="1828">
      <c r="A1828" s="23"/>
      <c r="B1828" s="21"/>
      <c r="C1828" s="23"/>
      <c r="D1828" s="24"/>
      <c r="E1828" s="14"/>
      <c r="F1828" s="14"/>
      <c r="G1828" s="14"/>
      <c r="H1828" s="23"/>
      <c r="I1828" s="27"/>
      <c r="J1828" s="23"/>
      <c r="K1828" s="30"/>
      <c r="L1828" s="23"/>
      <c r="M1828" s="20"/>
      <c r="N1828" s="20"/>
      <c r="O1828" s="20"/>
      <c r="P1828" s="20"/>
    </row>
    <row r="1829">
      <c r="A1829" s="10"/>
      <c r="B1829" s="11"/>
      <c r="C1829" s="10"/>
      <c r="D1829" s="13"/>
      <c r="E1829" s="14"/>
      <c r="F1829" s="14"/>
      <c r="G1829" s="14"/>
      <c r="H1829" s="10"/>
      <c r="I1829" s="17"/>
      <c r="J1829" s="10"/>
      <c r="K1829" s="46"/>
      <c r="L1829" s="10"/>
      <c r="M1829" s="20"/>
      <c r="N1829" s="20"/>
      <c r="O1829" s="20"/>
      <c r="P1829" s="20"/>
    </row>
    <row r="1830">
      <c r="A1830" s="23"/>
      <c r="B1830" s="21"/>
      <c r="C1830" s="23"/>
      <c r="D1830" s="24"/>
      <c r="E1830" s="14"/>
      <c r="F1830" s="14"/>
      <c r="G1830" s="14"/>
      <c r="H1830" s="23"/>
      <c r="I1830" s="27"/>
      <c r="J1830" s="23"/>
      <c r="K1830" s="30"/>
      <c r="L1830" s="23"/>
      <c r="M1830" s="20"/>
      <c r="N1830" s="20"/>
      <c r="O1830" s="20"/>
      <c r="P1830" s="20"/>
    </row>
    <row r="1831">
      <c r="A1831" s="10"/>
      <c r="B1831" s="11"/>
      <c r="C1831" s="10"/>
      <c r="D1831" s="13"/>
      <c r="E1831" s="14"/>
      <c r="F1831" s="14"/>
      <c r="G1831" s="14"/>
      <c r="H1831" s="10"/>
      <c r="I1831" s="17"/>
      <c r="J1831" s="10"/>
      <c r="K1831" s="46"/>
      <c r="L1831" s="10"/>
      <c r="M1831" s="20"/>
      <c r="N1831" s="20"/>
      <c r="O1831" s="20"/>
      <c r="P1831" s="20"/>
    </row>
    <row r="1832">
      <c r="A1832" s="23"/>
      <c r="B1832" s="21"/>
      <c r="C1832" s="23"/>
      <c r="D1832" s="24"/>
      <c r="E1832" s="14"/>
      <c r="F1832" s="14"/>
      <c r="G1832" s="14"/>
      <c r="H1832" s="23"/>
      <c r="I1832" s="27"/>
      <c r="J1832" s="23"/>
      <c r="K1832" s="30"/>
      <c r="L1832" s="23"/>
      <c r="M1832" s="20"/>
      <c r="N1832" s="20"/>
      <c r="O1832" s="20"/>
      <c r="P1832" s="20"/>
    </row>
    <row r="1833">
      <c r="A1833" s="10"/>
      <c r="B1833" s="11"/>
      <c r="C1833" s="10"/>
      <c r="D1833" s="13"/>
      <c r="E1833" s="14"/>
      <c r="F1833" s="14"/>
      <c r="G1833" s="14"/>
      <c r="H1833" s="10"/>
      <c r="I1833" s="17"/>
      <c r="J1833" s="10"/>
      <c r="K1833" s="46"/>
      <c r="L1833" s="10"/>
      <c r="M1833" s="20"/>
      <c r="N1833" s="20"/>
      <c r="O1833" s="20"/>
      <c r="P1833" s="20"/>
    </row>
    <row r="1834">
      <c r="A1834" s="23"/>
      <c r="B1834" s="21"/>
      <c r="C1834" s="23"/>
      <c r="D1834" s="24"/>
      <c r="E1834" s="14"/>
      <c r="F1834" s="14"/>
      <c r="G1834" s="14"/>
      <c r="H1834" s="23"/>
      <c r="I1834" s="27"/>
      <c r="J1834" s="23"/>
      <c r="K1834" s="30"/>
      <c r="L1834" s="23"/>
      <c r="M1834" s="20"/>
      <c r="N1834" s="20"/>
      <c r="O1834" s="20"/>
      <c r="P1834" s="20"/>
    </row>
    <row r="1835">
      <c r="A1835" s="10"/>
      <c r="B1835" s="11"/>
      <c r="C1835" s="10"/>
      <c r="D1835" s="13"/>
      <c r="E1835" s="14"/>
      <c r="F1835" s="14"/>
      <c r="G1835" s="14"/>
      <c r="H1835" s="10"/>
      <c r="I1835" s="17"/>
      <c r="J1835" s="10"/>
      <c r="K1835" s="46"/>
      <c r="L1835" s="10"/>
      <c r="M1835" s="20"/>
      <c r="N1835" s="20"/>
      <c r="O1835" s="20"/>
      <c r="P1835" s="20"/>
    </row>
    <row r="1836">
      <c r="A1836" s="23"/>
      <c r="B1836" s="21"/>
      <c r="C1836" s="23"/>
      <c r="D1836" s="24"/>
      <c r="E1836" s="14"/>
      <c r="F1836" s="14"/>
      <c r="G1836" s="14"/>
      <c r="H1836" s="23"/>
      <c r="I1836" s="27"/>
      <c r="J1836" s="23"/>
      <c r="K1836" s="30"/>
      <c r="L1836" s="23"/>
      <c r="M1836" s="20"/>
      <c r="N1836" s="20"/>
      <c r="O1836" s="20"/>
      <c r="P1836" s="20"/>
    </row>
    <row r="1837">
      <c r="A1837" s="10"/>
      <c r="B1837" s="11"/>
      <c r="C1837" s="10"/>
      <c r="D1837" s="13"/>
      <c r="E1837" s="14"/>
      <c r="F1837" s="14"/>
      <c r="G1837" s="14"/>
      <c r="H1837" s="10"/>
      <c r="I1837" s="17"/>
      <c r="J1837" s="10"/>
      <c r="K1837" s="46"/>
      <c r="L1837" s="10"/>
      <c r="M1837" s="20"/>
      <c r="N1837" s="20"/>
      <c r="O1837" s="20"/>
      <c r="P1837" s="20"/>
    </row>
    <row r="1838">
      <c r="A1838" s="23"/>
      <c r="B1838" s="21"/>
      <c r="C1838" s="23"/>
      <c r="D1838" s="24"/>
      <c r="E1838" s="14"/>
      <c r="F1838" s="14"/>
      <c r="G1838" s="14"/>
      <c r="H1838" s="23"/>
      <c r="I1838" s="27"/>
      <c r="J1838" s="23"/>
      <c r="K1838" s="30"/>
      <c r="L1838" s="23"/>
      <c r="M1838" s="20"/>
      <c r="N1838" s="20"/>
      <c r="O1838" s="20"/>
      <c r="P1838" s="20"/>
    </row>
    <row r="1839">
      <c r="A1839" s="10"/>
      <c r="B1839" s="11"/>
      <c r="C1839" s="10"/>
      <c r="D1839" s="13"/>
      <c r="E1839" s="14"/>
      <c r="F1839" s="14"/>
      <c r="G1839" s="14"/>
      <c r="H1839" s="10"/>
      <c r="I1839" s="17"/>
      <c r="J1839" s="10"/>
      <c r="K1839" s="46"/>
      <c r="L1839" s="10"/>
      <c r="M1839" s="20"/>
      <c r="N1839" s="20"/>
      <c r="O1839" s="20"/>
      <c r="P1839" s="20"/>
    </row>
    <row r="1840">
      <c r="A1840" s="23"/>
      <c r="B1840" s="21"/>
      <c r="C1840" s="23"/>
      <c r="D1840" s="24"/>
      <c r="E1840" s="14"/>
      <c r="F1840" s="14"/>
      <c r="G1840" s="14"/>
      <c r="H1840" s="23"/>
      <c r="I1840" s="27"/>
      <c r="J1840" s="23"/>
      <c r="K1840" s="30"/>
      <c r="L1840" s="23"/>
      <c r="M1840" s="20"/>
      <c r="N1840" s="20"/>
      <c r="O1840" s="20"/>
      <c r="P1840" s="20"/>
    </row>
    <row r="1841">
      <c r="A1841" s="10"/>
      <c r="B1841" s="11"/>
      <c r="C1841" s="10"/>
      <c r="D1841" s="13"/>
      <c r="E1841" s="14"/>
      <c r="F1841" s="14"/>
      <c r="G1841" s="14"/>
      <c r="H1841" s="10"/>
      <c r="I1841" s="17"/>
      <c r="J1841" s="10"/>
      <c r="K1841" s="46"/>
      <c r="L1841" s="10"/>
      <c r="M1841" s="20"/>
      <c r="N1841" s="20"/>
      <c r="O1841" s="20"/>
      <c r="P1841" s="20"/>
    </row>
    <row r="1842">
      <c r="A1842" s="23"/>
      <c r="B1842" s="21"/>
      <c r="C1842" s="23"/>
      <c r="D1842" s="24"/>
      <c r="E1842" s="14"/>
      <c r="F1842" s="14"/>
      <c r="G1842" s="14"/>
      <c r="H1842" s="23"/>
      <c r="I1842" s="27"/>
      <c r="J1842" s="23"/>
      <c r="K1842" s="30"/>
      <c r="L1842" s="23"/>
      <c r="M1842" s="20"/>
      <c r="N1842" s="20"/>
      <c r="O1842" s="20"/>
      <c r="P1842" s="20"/>
    </row>
    <row r="1843">
      <c r="A1843" s="10"/>
      <c r="B1843" s="11"/>
      <c r="C1843" s="10"/>
      <c r="D1843" s="13"/>
      <c r="E1843" s="14"/>
      <c r="F1843" s="14"/>
      <c r="G1843" s="14"/>
      <c r="H1843" s="10"/>
      <c r="I1843" s="17"/>
      <c r="J1843" s="10"/>
      <c r="K1843" s="46"/>
      <c r="L1843" s="10"/>
      <c r="M1843" s="20"/>
      <c r="N1843" s="20"/>
      <c r="O1843" s="20"/>
      <c r="P1843" s="20"/>
    </row>
    <row r="1844">
      <c r="A1844" s="23"/>
      <c r="B1844" s="21"/>
      <c r="C1844" s="23"/>
      <c r="D1844" s="24"/>
      <c r="E1844" s="14"/>
      <c r="F1844" s="14"/>
      <c r="G1844" s="14"/>
      <c r="H1844" s="23"/>
      <c r="I1844" s="27"/>
      <c r="J1844" s="23"/>
      <c r="K1844" s="30"/>
      <c r="L1844" s="23"/>
      <c r="M1844" s="20"/>
      <c r="N1844" s="20"/>
      <c r="O1844" s="20"/>
      <c r="P1844" s="20"/>
    </row>
    <row r="1845">
      <c r="A1845" s="10"/>
      <c r="B1845" s="11"/>
      <c r="C1845" s="10"/>
      <c r="D1845" s="13"/>
      <c r="E1845" s="14"/>
      <c r="F1845" s="14"/>
      <c r="G1845" s="14"/>
      <c r="H1845" s="10"/>
      <c r="I1845" s="17"/>
      <c r="J1845" s="10"/>
      <c r="K1845" s="46"/>
      <c r="L1845" s="10"/>
      <c r="M1845" s="20"/>
      <c r="N1845" s="20"/>
      <c r="O1845" s="20"/>
      <c r="P1845" s="20"/>
    </row>
    <row r="1846">
      <c r="A1846" s="23"/>
      <c r="B1846" s="21"/>
      <c r="C1846" s="23"/>
      <c r="D1846" s="24"/>
      <c r="E1846" s="14"/>
      <c r="F1846" s="14"/>
      <c r="G1846" s="14"/>
      <c r="H1846" s="23"/>
      <c r="I1846" s="27"/>
      <c r="J1846" s="23"/>
      <c r="K1846" s="30"/>
      <c r="L1846" s="23"/>
      <c r="M1846" s="20"/>
      <c r="N1846" s="20"/>
      <c r="O1846" s="20"/>
      <c r="P1846" s="20"/>
    </row>
    <row r="1847">
      <c r="A1847" s="10"/>
      <c r="B1847" s="11"/>
      <c r="C1847" s="10"/>
      <c r="D1847" s="13"/>
      <c r="E1847" s="14"/>
      <c r="F1847" s="14"/>
      <c r="G1847" s="14"/>
      <c r="H1847" s="10"/>
      <c r="I1847" s="17"/>
      <c r="J1847" s="10"/>
      <c r="K1847" s="46"/>
      <c r="L1847" s="10"/>
      <c r="M1847" s="20"/>
      <c r="N1847" s="20"/>
      <c r="O1847" s="20"/>
      <c r="P1847" s="20"/>
    </row>
    <row r="1848">
      <c r="A1848" s="23"/>
      <c r="B1848" s="21"/>
      <c r="C1848" s="23"/>
      <c r="D1848" s="24"/>
      <c r="E1848" s="14"/>
      <c r="F1848" s="14"/>
      <c r="G1848" s="14"/>
      <c r="H1848" s="23"/>
      <c r="I1848" s="27"/>
      <c r="J1848" s="23"/>
      <c r="K1848" s="30"/>
      <c r="L1848" s="23"/>
      <c r="M1848" s="20"/>
      <c r="N1848" s="20"/>
      <c r="O1848" s="20"/>
      <c r="P1848" s="20"/>
    </row>
    <row r="1849">
      <c r="A1849" s="10"/>
      <c r="B1849" s="11"/>
      <c r="C1849" s="10"/>
      <c r="D1849" s="13"/>
      <c r="E1849" s="14"/>
      <c r="F1849" s="14"/>
      <c r="G1849" s="14"/>
      <c r="H1849" s="10"/>
      <c r="I1849" s="17"/>
      <c r="J1849" s="10"/>
      <c r="K1849" s="46"/>
      <c r="L1849" s="10"/>
      <c r="M1849" s="20"/>
      <c r="N1849" s="20"/>
      <c r="O1849" s="20"/>
      <c r="P1849" s="20"/>
    </row>
    <row r="1850">
      <c r="A1850" s="23"/>
      <c r="B1850" s="21"/>
      <c r="C1850" s="23"/>
      <c r="D1850" s="24"/>
      <c r="E1850" s="14"/>
      <c r="F1850" s="14"/>
      <c r="G1850" s="14"/>
      <c r="H1850" s="23"/>
      <c r="I1850" s="27"/>
      <c r="J1850" s="23"/>
      <c r="K1850" s="30"/>
      <c r="L1850" s="23"/>
      <c r="M1850" s="20"/>
      <c r="N1850" s="20"/>
      <c r="O1850" s="20"/>
      <c r="P1850" s="20"/>
    </row>
    <row r="1851">
      <c r="A1851" s="10"/>
      <c r="B1851" s="11"/>
      <c r="C1851" s="10"/>
      <c r="D1851" s="13"/>
      <c r="E1851" s="14"/>
      <c r="F1851" s="14"/>
      <c r="G1851" s="14"/>
      <c r="H1851" s="10"/>
      <c r="I1851" s="17"/>
      <c r="J1851" s="10"/>
      <c r="K1851" s="46"/>
      <c r="L1851" s="10"/>
      <c r="M1851" s="20"/>
      <c r="N1851" s="20"/>
      <c r="O1851" s="20"/>
      <c r="P1851" s="20"/>
    </row>
    <row r="1852">
      <c r="A1852" s="23"/>
      <c r="B1852" s="21"/>
      <c r="C1852" s="23"/>
      <c r="D1852" s="24"/>
      <c r="E1852" s="14"/>
      <c r="F1852" s="14"/>
      <c r="G1852" s="14"/>
      <c r="H1852" s="23"/>
      <c r="I1852" s="27"/>
      <c r="J1852" s="23"/>
      <c r="K1852" s="30"/>
      <c r="L1852" s="23"/>
      <c r="M1852" s="20"/>
      <c r="N1852" s="20"/>
      <c r="O1852" s="20"/>
      <c r="P1852" s="20"/>
    </row>
    <row r="1853">
      <c r="A1853" s="10"/>
      <c r="B1853" s="11"/>
      <c r="C1853" s="10"/>
      <c r="D1853" s="13"/>
      <c r="E1853" s="14"/>
      <c r="F1853" s="14"/>
      <c r="G1853" s="14"/>
      <c r="H1853" s="10"/>
      <c r="I1853" s="17"/>
      <c r="J1853" s="10"/>
      <c r="K1853" s="46"/>
      <c r="L1853" s="10"/>
      <c r="M1853" s="20"/>
      <c r="N1853" s="20"/>
      <c r="O1853" s="20"/>
      <c r="P1853" s="20"/>
    </row>
    <row r="1854">
      <c r="A1854" s="23"/>
      <c r="B1854" s="21"/>
      <c r="C1854" s="23"/>
      <c r="D1854" s="24"/>
      <c r="E1854" s="14"/>
      <c r="F1854" s="14"/>
      <c r="G1854" s="14"/>
      <c r="H1854" s="23"/>
      <c r="I1854" s="27"/>
      <c r="J1854" s="23"/>
      <c r="K1854" s="30"/>
      <c r="L1854" s="23"/>
      <c r="M1854" s="20"/>
      <c r="N1854" s="20"/>
      <c r="O1854" s="20"/>
      <c r="P1854" s="20"/>
    </row>
    <row r="1855">
      <c r="A1855" s="10"/>
      <c r="B1855" s="11"/>
      <c r="C1855" s="10"/>
      <c r="D1855" s="13"/>
      <c r="E1855" s="14"/>
      <c r="F1855" s="14"/>
      <c r="G1855" s="14"/>
      <c r="H1855" s="10"/>
      <c r="I1855" s="17"/>
      <c r="J1855" s="10"/>
      <c r="K1855" s="46"/>
      <c r="L1855" s="10"/>
      <c r="M1855" s="20"/>
      <c r="N1855" s="20"/>
      <c r="O1855" s="20"/>
      <c r="P1855" s="20"/>
    </row>
    <row r="1856">
      <c r="A1856" s="23"/>
      <c r="B1856" s="21"/>
      <c r="C1856" s="23"/>
      <c r="D1856" s="24"/>
      <c r="E1856" s="14"/>
      <c r="F1856" s="14"/>
      <c r="G1856" s="14"/>
      <c r="H1856" s="23"/>
      <c r="I1856" s="27"/>
      <c r="J1856" s="23"/>
      <c r="K1856" s="30"/>
      <c r="L1856" s="23"/>
      <c r="M1856" s="20"/>
      <c r="N1856" s="20"/>
      <c r="O1856" s="20"/>
      <c r="P1856" s="20"/>
    </row>
    <row r="1857">
      <c r="A1857" s="10"/>
      <c r="B1857" s="11"/>
      <c r="C1857" s="10"/>
      <c r="D1857" s="13"/>
      <c r="E1857" s="14"/>
      <c r="F1857" s="14"/>
      <c r="G1857" s="14"/>
      <c r="H1857" s="10"/>
      <c r="I1857" s="17"/>
      <c r="J1857" s="10"/>
      <c r="K1857" s="46"/>
      <c r="L1857" s="10"/>
      <c r="M1857" s="20"/>
      <c r="N1857" s="20"/>
      <c r="O1857" s="20"/>
      <c r="P1857" s="20"/>
    </row>
    <row r="1858">
      <c r="A1858" s="23"/>
      <c r="B1858" s="21"/>
      <c r="C1858" s="23"/>
      <c r="D1858" s="24"/>
      <c r="E1858" s="14"/>
      <c r="F1858" s="14"/>
      <c r="G1858" s="14"/>
      <c r="H1858" s="23"/>
      <c r="I1858" s="27"/>
      <c r="J1858" s="23"/>
      <c r="K1858" s="30"/>
      <c r="L1858" s="23"/>
      <c r="M1858" s="20"/>
      <c r="N1858" s="20"/>
      <c r="O1858" s="20"/>
      <c r="P1858" s="20"/>
    </row>
    <row r="1859">
      <c r="A1859" s="10"/>
      <c r="B1859" s="11"/>
      <c r="C1859" s="10"/>
      <c r="D1859" s="13"/>
      <c r="E1859" s="14"/>
      <c r="F1859" s="14"/>
      <c r="G1859" s="14"/>
      <c r="H1859" s="10"/>
      <c r="I1859" s="17"/>
      <c r="J1859" s="10"/>
      <c r="K1859" s="46"/>
      <c r="L1859" s="10"/>
      <c r="M1859" s="20"/>
      <c r="N1859" s="20"/>
      <c r="O1859" s="20"/>
      <c r="P1859" s="20"/>
    </row>
    <row r="1860">
      <c r="A1860" s="23"/>
      <c r="B1860" s="21"/>
      <c r="C1860" s="23"/>
      <c r="D1860" s="24"/>
      <c r="E1860" s="14"/>
      <c r="F1860" s="14"/>
      <c r="G1860" s="14"/>
      <c r="H1860" s="23"/>
      <c r="I1860" s="27"/>
      <c r="J1860" s="23"/>
      <c r="K1860" s="30"/>
      <c r="L1860" s="23"/>
      <c r="M1860" s="20"/>
      <c r="N1860" s="20"/>
      <c r="O1860" s="20"/>
      <c r="P1860" s="20"/>
    </row>
    <row r="1861">
      <c r="A1861" s="10"/>
      <c r="B1861" s="11"/>
      <c r="C1861" s="10"/>
      <c r="D1861" s="13"/>
      <c r="E1861" s="14"/>
      <c r="F1861" s="14"/>
      <c r="G1861" s="14"/>
      <c r="H1861" s="10"/>
      <c r="I1861" s="17"/>
      <c r="J1861" s="10"/>
      <c r="K1861" s="46"/>
      <c r="L1861" s="10"/>
      <c r="M1861" s="20"/>
      <c r="N1861" s="20"/>
      <c r="O1861" s="20"/>
      <c r="P1861" s="20"/>
    </row>
    <row r="1862">
      <c r="A1862" s="23"/>
      <c r="B1862" s="21"/>
      <c r="C1862" s="23"/>
      <c r="D1862" s="24"/>
      <c r="E1862" s="14"/>
      <c r="F1862" s="14"/>
      <c r="G1862" s="14"/>
      <c r="H1862" s="23"/>
      <c r="I1862" s="27"/>
      <c r="J1862" s="23"/>
      <c r="K1862" s="30"/>
      <c r="L1862" s="23"/>
      <c r="M1862" s="20"/>
      <c r="N1862" s="20"/>
      <c r="O1862" s="20"/>
      <c r="P1862" s="20"/>
    </row>
    <row r="1863">
      <c r="A1863" s="10"/>
      <c r="B1863" s="11"/>
      <c r="C1863" s="10"/>
      <c r="D1863" s="13"/>
      <c r="E1863" s="14"/>
      <c r="F1863" s="14"/>
      <c r="G1863" s="14"/>
      <c r="H1863" s="10"/>
      <c r="I1863" s="17"/>
      <c r="J1863" s="10"/>
      <c r="K1863" s="46"/>
      <c r="L1863" s="10"/>
      <c r="M1863" s="20"/>
      <c r="N1863" s="20"/>
      <c r="O1863" s="20"/>
      <c r="P1863" s="20"/>
    </row>
    <row r="1864">
      <c r="A1864" s="23"/>
      <c r="B1864" s="21"/>
      <c r="C1864" s="23"/>
      <c r="D1864" s="24"/>
      <c r="E1864" s="14"/>
      <c r="F1864" s="14"/>
      <c r="G1864" s="14"/>
      <c r="H1864" s="23"/>
      <c r="I1864" s="27"/>
      <c r="J1864" s="23"/>
      <c r="K1864" s="30"/>
      <c r="L1864" s="23"/>
      <c r="M1864" s="20"/>
      <c r="N1864" s="20"/>
      <c r="O1864" s="20"/>
      <c r="P1864" s="20"/>
    </row>
    <row r="1865">
      <c r="A1865" s="10"/>
      <c r="B1865" s="11"/>
      <c r="C1865" s="10"/>
      <c r="D1865" s="13"/>
      <c r="E1865" s="14"/>
      <c r="F1865" s="14"/>
      <c r="G1865" s="14"/>
      <c r="H1865" s="10"/>
      <c r="I1865" s="17"/>
      <c r="J1865" s="10"/>
      <c r="K1865" s="46"/>
      <c r="L1865" s="10"/>
      <c r="M1865" s="20"/>
      <c r="N1865" s="20"/>
      <c r="O1865" s="20"/>
      <c r="P1865" s="20"/>
    </row>
    <row r="1866">
      <c r="A1866" s="23"/>
      <c r="B1866" s="21"/>
      <c r="C1866" s="23"/>
      <c r="D1866" s="24"/>
      <c r="E1866" s="14"/>
      <c r="F1866" s="14"/>
      <c r="G1866" s="14"/>
      <c r="H1866" s="23"/>
      <c r="I1866" s="27"/>
      <c r="J1866" s="23"/>
      <c r="K1866" s="30"/>
      <c r="L1866" s="23"/>
      <c r="M1866" s="20"/>
      <c r="N1866" s="20"/>
      <c r="O1866" s="20"/>
      <c r="P1866" s="20"/>
    </row>
    <row r="1867">
      <c r="A1867" s="10"/>
      <c r="B1867" s="11"/>
      <c r="C1867" s="10"/>
      <c r="D1867" s="13"/>
      <c r="E1867" s="14"/>
      <c r="F1867" s="14"/>
      <c r="G1867" s="14"/>
      <c r="H1867" s="10"/>
      <c r="I1867" s="17"/>
      <c r="J1867" s="10"/>
      <c r="K1867" s="46"/>
      <c r="L1867" s="10"/>
      <c r="M1867" s="20"/>
      <c r="N1867" s="20"/>
      <c r="O1867" s="20"/>
      <c r="P1867" s="20"/>
    </row>
    <row r="1868">
      <c r="A1868" s="23"/>
      <c r="B1868" s="21"/>
      <c r="C1868" s="23"/>
      <c r="D1868" s="24"/>
      <c r="E1868" s="14"/>
      <c r="F1868" s="14"/>
      <c r="G1868" s="14"/>
      <c r="H1868" s="23"/>
      <c r="I1868" s="27"/>
      <c r="J1868" s="23"/>
      <c r="K1868" s="30"/>
      <c r="L1868" s="23"/>
      <c r="M1868" s="20"/>
      <c r="N1868" s="20"/>
      <c r="O1868" s="20"/>
      <c r="P1868" s="20"/>
    </row>
    <row r="1869">
      <c r="A1869" s="10"/>
      <c r="B1869" s="11"/>
      <c r="C1869" s="10"/>
      <c r="D1869" s="13"/>
      <c r="E1869" s="14"/>
      <c r="F1869" s="14"/>
      <c r="G1869" s="14"/>
      <c r="H1869" s="10"/>
      <c r="I1869" s="17"/>
      <c r="J1869" s="10"/>
      <c r="K1869" s="46"/>
      <c r="L1869" s="10"/>
      <c r="M1869" s="20"/>
      <c r="N1869" s="20"/>
      <c r="O1869" s="20"/>
      <c r="P1869" s="20"/>
    </row>
    <row r="1870">
      <c r="A1870" s="23"/>
      <c r="B1870" s="21"/>
      <c r="C1870" s="23"/>
      <c r="D1870" s="24"/>
      <c r="E1870" s="14"/>
      <c r="F1870" s="14"/>
      <c r="G1870" s="14"/>
      <c r="H1870" s="23"/>
      <c r="I1870" s="27"/>
      <c r="J1870" s="23"/>
      <c r="K1870" s="30"/>
      <c r="L1870" s="23"/>
      <c r="M1870" s="20"/>
      <c r="N1870" s="20"/>
      <c r="O1870" s="20"/>
      <c r="P1870" s="20"/>
    </row>
    <row r="1871">
      <c r="A1871" s="10"/>
      <c r="B1871" s="11"/>
      <c r="C1871" s="10"/>
      <c r="D1871" s="13"/>
      <c r="E1871" s="14"/>
      <c r="F1871" s="14"/>
      <c r="G1871" s="14"/>
      <c r="H1871" s="10"/>
      <c r="I1871" s="17"/>
      <c r="J1871" s="10"/>
      <c r="K1871" s="46"/>
      <c r="L1871" s="10"/>
      <c r="M1871" s="20"/>
      <c r="N1871" s="20"/>
      <c r="O1871" s="20"/>
      <c r="P1871" s="20"/>
    </row>
    <row r="1872">
      <c r="A1872" s="23"/>
      <c r="B1872" s="21"/>
      <c r="C1872" s="23"/>
      <c r="D1872" s="24"/>
      <c r="E1872" s="14"/>
      <c r="F1872" s="14"/>
      <c r="G1872" s="14"/>
      <c r="H1872" s="23"/>
      <c r="I1872" s="27"/>
      <c r="J1872" s="23"/>
      <c r="K1872" s="30"/>
      <c r="L1872" s="23"/>
      <c r="M1872" s="20"/>
      <c r="N1872" s="20"/>
      <c r="O1872" s="20"/>
      <c r="P1872" s="20"/>
    </row>
    <row r="1873">
      <c r="A1873" s="10"/>
      <c r="B1873" s="11"/>
      <c r="C1873" s="10"/>
      <c r="D1873" s="13"/>
      <c r="E1873" s="14"/>
      <c r="F1873" s="14"/>
      <c r="G1873" s="14"/>
      <c r="H1873" s="10"/>
      <c r="I1873" s="17"/>
      <c r="J1873" s="10"/>
      <c r="K1873" s="46"/>
      <c r="L1873" s="10"/>
      <c r="M1873" s="20"/>
      <c r="N1873" s="20"/>
      <c r="O1873" s="20"/>
      <c r="P1873" s="20"/>
    </row>
    <row r="1874">
      <c r="A1874" s="23"/>
      <c r="B1874" s="21"/>
      <c r="C1874" s="23"/>
      <c r="D1874" s="24"/>
      <c r="E1874" s="14"/>
      <c r="F1874" s="14"/>
      <c r="G1874" s="14"/>
      <c r="H1874" s="23"/>
      <c r="I1874" s="27"/>
      <c r="J1874" s="23"/>
      <c r="K1874" s="30"/>
      <c r="L1874" s="23"/>
      <c r="M1874" s="20"/>
      <c r="N1874" s="20"/>
      <c r="O1874" s="20"/>
      <c r="P1874" s="20"/>
    </row>
    <row r="1875">
      <c r="A1875" s="10"/>
      <c r="B1875" s="11"/>
      <c r="C1875" s="10"/>
      <c r="D1875" s="13"/>
      <c r="E1875" s="14"/>
      <c r="F1875" s="14"/>
      <c r="G1875" s="14"/>
      <c r="H1875" s="10"/>
      <c r="I1875" s="17"/>
      <c r="J1875" s="10"/>
      <c r="K1875" s="46"/>
      <c r="L1875" s="10"/>
      <c r="M1875" s="20"/>
      <c r="N1875" s="20"/>
      <c r="O1875" s="20"/>
      <c r="P1875" s="20"/>
    </row>
    <row r="1876">
      <c r="A1876" s="23"/>
      <c r="B1876" s="21"/>
      <c r="C1876" s="23"/>
      <c r="D1876" s="24"/>
      <c r="E1876" s="14"/>
      <c r="F1876" s="14"/>
      <c r="G1876" s="14"/>
      <c r="H1876" s="23"/>
      <c r="I1876" s="27"/>
      <c r="J1876" s="23"/>
      <c r="K1876" s="30"/>
      <c r="L1876" s="23"/>
      <c r="M1876" s="20"/>
      <c r="N1876" s="20"/>
      <c r="O1876" s="20"/>
      <c r="P1876" s="20"/>
    </row>
    <row r="1877">
      <c r="A1877" s="10"/>
      <c r="B1877" s="11"/>
      <c r="C1877" s="10"/>
      <c r="D1877" s="13"/>
      <c r="E1877" s="14"/>
      <c r="F1877" s="14"/>
      <c r="G1877" s="14"/>
      <c r="H1877" s="10"/>
      <c r="I1877" s="17"/>
      <c r="J1877" s="10"/>
      <c r="K1877" s="46"/>
      <c r="L1877" s="10"/>
      <c r="M1877" s="20"/>
      <c r="N1877" s="20"/>
      <c r="O1877" s="20"/>
      <c r="P1877" s="20"/>
    </row>
    <row r="1878">
      <c r="A1878" s="23"/>
      <c r="B1878" s="21"/>
      <c r="C1878" s="23"/>
      <c r="D1878" s="24"/>
      <c r="E1878" s="14"/>
      <c r="F1878" s="14"/>
      <c r="G1878" s="14"/>
      <c r="H1878" s="23"/>
      <c r="I1878" s="27"/>
      <c r="J1878" s="23"/>
      <c r="K1878" s="30"/>
      <c r="L1878" s="23"/>
      <c r="M1878" s="20"/>
      <c r="N1878" s="20"/>
      <c r="O1878" s="20"/>
      <c r="P1878" s="20"/>
    </row>
    <row r="1879">
      <c r="A1879" s="10"/>
      <c r="B1879" s="11"/>
      <c r="C1879" s="10"/>
      <c r="D1879" s="13"/>
      <c r="E1879" s="14"/>
      <c r="F1879" s="14"/>
      <c r="G1879" s="14"/>
      <c r="H1879" s="10"/>
      <c r="I1879" s="17"/>
      <c r="J1879" s="10"/>
      <c r="K1879" s="46"/>
      <c r="L1879" s="10"/>
      <c r="M1879" s="20"/>
      <c r="N1879" s="20"/>
      <c r="O1879" s="20"/>
      <c r="P1879" s="20"/>
    </row>
    <row r="1880">
      <c r="A1880" s="23"/>
      <c r="B1880" s="21"/>
      <c r="C1880" s="23"/>
      <c r="D1880" s="24"/>
      <c r="E1880" s="14"/>
      <c r="F1880" s="14"/>
      <c r="G1880" s="14"/>
      <c r="H1880" s="23"/>
      <c r="I1880" s="27"/>
      <c r="J1880" s="23"/>
      <c r="K1880" s="30"/>
      <c r="L1880" s="23"/>
      <c r="M1880" s="20"/>
      <c r="N1880" s="20"/>
      <c r="O1880" s="20"/>
      <c r="P1880" s="20"/>
    </row>
    <row r="1881">
      <c r="A1881" s="10"/>
      <c r="B1881" s="11"/>
      <c r="C1881" s="10"/>
      <c r="D1881" s="13"/>
      <c r="E1881" s="14"/>
      <c r="F1881" s="14"/>
      <c r="G1881" s="14"/>
      <c r="H1881" s="10"/>
      <c r="I1881" s="17"/>
      <c r="J1881" s="10"/>
      <c r="K1881" s="46"/>
      <c r="L1881" s="10"/>
      <c r="M1881" s="20"/>
      <c r="N1881" s="20"/>
      <c r="O1881" s="20"/>
      <c r="P1881" s="20"/>
    </row>
    <row r="1882">
      <c r="A1882" s="23"/>
      <c r="B1882" s="21"/>
      <c r="C1882" s="23"/>
      <c r="D1882" s="24"/>
      <c r="E1882" s="14"/>
      <c r="F1882" s="14"/>
      <c r="G1882" s="14"/>
      <c r="H1882" s="23"/>
      <c r="I1882" s="27"/>
      <c r="J1882" s="23"/>
      <c r="K1882" s="30"/>
      <c r="L1882" s="23"/>
      <c r="M1882" s="20"/>
      <c r="N1882" s="20"/>
      <c r="O1882" s="20"/>
      <c r="P1882" s="20"/>
    </row>
    <row r="1883">
      <c r="A1883" s="10"/>
      <c r="B1883" s="11"/>
      <c r="C1883" s="10"/>
      <c r="D1883" s="13"/>
      <c r="E1883" s="14"/>
      <c r="F1883" s="14"/>
      <c r="G1883" s="14"/>
      <c r="H1883" s="10"/>
      <c r="I1883" s="17"/>
      <c r="J1883" s="10"/>
      <c r="K1883" s="46"/>
      <c r="L1883" s="10"/>
      <c r="M1883" s="20"/>
      <c r="N1883" s="20"/>
      <c r="O1883" s="20"/>
      <c r="P1883" s="20"/>
    </row>
    <row r="1884">
      <c r="A1884" s="23"/>
      <c r="B1884" s="21"/>
      <c r="C1884" s="23"/>
      <c r="D1884" s="24"/>
      <c r="E1884" s="14"/>
      <c r="F1884" s="14"/>
      <c r="G1884" s="14"/>
      <c r="H1884" s="23"/>
      <c r="I1884" s="27"/>
      <c r="J1884" s="23"/>
      <c r="K1884" s="30"/>
      <c r="L1884" s="23"/>
      <c r="M1884" s="20"/>
      <c r="N1884" s="20"/>
      <c r="O1884" s="20"/>
      <c r="P1884" s="20"/>
    </row>
    <row r="1885">
      <c r="A1885" s="10"/>
      <c r="B1885" s="11"/>
      <c r="C1885" s="10"/>
      <c r="D1885" s="13"/>
      <c r="E1885" s="14"/>
      <c r="F1885" s="14"/>
      <c r="G1885" s="14"/>
      <c r="H1885" s="10"/>
      <c r="I1885" s="17"/>
      <c r="J1885" s="10"/>
      <c r="K1885" s="46"/>
      <c r="L1885" s="10"/>
      <c r="M1885" s="20"/>
      <c r="N1885" s="20"/>
      <c r="O1885" s="20"/>
      <c r="P1885" s="20"/>
    </row>
    <row r="1886">
      <c r="A1886" s="23"/>
      <c r="B1886" s="21"/>
      <c r="C1886" s="23"/>
      <c r="D1886" s="24"/>
      <c r="E1886" s="14"/>
      <c r="F1886" s="14"/>
      <c r="G1886" s="14"/>
      <c r="H1886" s="23"/>
      <c r="I1886" s="27"/>
      <c r="J1886" s="23"/>
      <c r="K1886" s="30"/>
      <c r="L1886" s="23"/>
      <c r="M1886" s="20"/>
      <c r="N1886" s="20"/>
      <c r="O1886" s="20"/>
      <c r="P1886" s="20"/>
    </row>
    <row r="1887">
      <c r="A1887" s="10"/>
      <c r="B1887" s="11"/>
      <c r="C1887" s="10"/>
      <c r="D1887" s="13"/>
      <c r="E1887" s="14"/>
      <c r="F1887" s="14"/>
      <c r="G1887" s="14"/>
      <c r="H1887" s="10"/>
      <c r="I1887" s="17"/>
      <c r="J1887" s="10"/>
      <c r="K1887" s="46"/>
      <c r="L1887" s="10"/>
      <c r="M1887" s="20"/>
      <c r="N1887" s="20"/>
      <c r="O1887" s="20"/>
      <c r="P1887" s="20"/>
    </row>
    <row r="1888">
      <c r="A1888" s="23"/>
      <c r="B1888" s="21"/>
      <c r="C1888" s="23"/>
      <c r="D1888" s="24"/>
      <c r="E1888" s="14"/>
      <c r="F1888" s="14"/>
      <c r="G1888" s="14"/>
      <c r="H1888" s="23"/>
      <c r="I1888" s="27"/>
      <c r="J1888" s="23"/>
      <c r="K1888" s="30"/>
      <c r="L1888" s="23"/>
      <c r="M1888" s="20"/>
      <c r="N1888" s="20"/>
      <c r="O1888" s="20"/>
      <c r="P1888" s="20"/>
    </row>
    <row r="1889">
      <c r="A1889" s="10"/>
      <c r="B1889" s="11"/>
      <c r="C1889" s="10"/>
      <c r="D1889" s="13"/>
      <c r="E1889" s="14"/>
      <c r="F1889" s="14"/>
      <c r="G1889" s="14"/>
      <c r="H1889" s="10"/>
      <c r="I1889" s="17"/>
      <c r="J1889" s="10"/>
      <c r="K1889" s="46"/>
      <c r="L1889" s="10"/>
      <c r="M1889" s="20"/>
      <c r="N1889" s="20"/>
      <c r="O1889" s="20"/>
      <c r="P1889" s="20"/>
    </row>
    <row r="1890">
      <c r="A1890" s="23"/>
      <c r="B1890" s="21"/>
      <c r="C1890" s="23"/>
      <c r="D1890" s="24"/>
      <c r="E1890" s="14"/>
      <c r="F1890" s="14"/>
      <c r="G1890" s="14"/>
      <c r="H1890" s="23"/>
      <c r="I1890" s="27"/>
      <c r="J1890" s="23"/>
      <c r="K1890" s="30"/>
      <c r="L1890" s="23"/>
      <c r="M1890" s="20"/>
      <c r="N1890" s="20"/>
      <c r="O1890" s="20"/>
      <c r="P1890" s="20"/>
    </row>
    <row r="1891">
      <c r="A1891" s="10"/>
      <c r="B1891" s="11"/>
      <c r="C1891" s="10"/>
      <c r="D1891" s="13"/>
      <c r="E1891" s="14"/>
      <c r="F1891" s="14"/>
      <c r="G1891" s="14"/>
      <c r="H1891" s="10"/>
      <c r="I1891" s="17"/>
      <c r="J1891" s="10"/>
      <c r="K1891" s="46"/>
      <c r="L1891" s="10"/>
      <c r="M1891" s="20"/>
      <c r="N1891" s="20"/>
      <c r="O1891" s="20"/>
      <c r="P1891" s="20"/>
    </row>
    <row r="1892">
      <c r="A1892" s="23"/>
      <c r="B1892" s="21"/>
      <c r="C1892" s="23"/>
      <c r="D1892" s="24"/>
      <c r="E1892" s="14"/>
      <c r="F1892" s="14"/>
      <c r="G1892" s="14"/>
      <c r="H1892" s="23"/>
      <c r="I1892" s="27"/>
      <c r="J1892" s="23"/>
      <c r="K1892" s="30"/>
      <c r="L1892" s="23"/>
      <c r="M1892" s="20"/>
      <c r="N1892" s="20"/>
      <c r="O1892" s="20"/>
      <c r="P1892" s="20"/>
    </row>
    <row r="1893">
      <c r="A1893" s="10"/>
      <c r="B1893" s="11"/>
      <c r="C1893" s="10"/>
      <c r="D1893" s="13"/>
      <c r="E1893" s="14"/>
      <c r="F1893" s="14"/>
      <c r="G1893" s="14"/>
      <c r="H1893" s="10"/>
      <c r="I1893" s="17"/>
      <c r="J1893" s="10"/>
      <c r="K1893" s="46"/>
      <c r="L1893" s="10"/>
      <c r="M1893" s="20"/>
      <c r="N1893" s="20"/>
      <c r="O1893" s="20"/>
      <c r="P1893" s="20"/>
    </row>
    <row r="1894">
      <c r="A1894" s="23"/>
      <c r="B1894" s="21"/>
      <c r="C1894" s="23"/>
      <c r="D1894" s="24"/>
      <c r="E1894" s="14"/>
      <c r="F1894" s="14"/>
      <c r="G1894" s="14"/>
      <c r="H1894" s="23"/>
      <c r="I1894" s="27"/>
      <c r="J1894" s="23"/>
      <c r="K1894" s="30"/>
      <c r="L1894" s="23"/>
      <c r="M1894" s="20"/>
      <c r="N1894" s="20"/>
      <c r="O1894" s="20"/>
      <c r="P1894" s="20"/>
    </row>
    <row r="1895">
      <c r="A1895" s="10"/>
      <c r="B1895" s="11"/>
      <c r="C1895" s="10"/>
      <c r="D1895" s="13"/>
      <c r="E1895" s="14"/>
      <c r="F1895" s="14"/>
      <c r="G1895" s="14"/>
      <c r="H1895" s="10"/>
      <c r="I1895" s="17"/>
      <c r="J1895" s="10"/>
      <c r="K1895" s="46"/>
      <c r="L1895" s="10"/>
      <c r="M1895" s="20"/>
      <c r="N1895" s="20"/>
      <c r="O1895" s="20"/>
      <c r="P1895" s="20"/>
    </row>
    <row r="1896">
      <c r="A1896" s="23"/>
      <c r="B1896" s="21"/>
      <c r="C1896" s="23"/>
      <c r="D1896" s="24"/>
      <c r="E1896" s="14"/>
      <c r="F1896" s="14"/>
      <c r="G1896" s="14"/>
      <c r="H1896" s="23"/>
      <c r="I1896" s="27"/>
      <c r="J1896" s="23"/>
      <c r="K1896" s="30"/>
      <c r="L1896" s="23"/>
      <c r="M1896" s="20"/>
      <c r="N1896" s="20"/>
      <c r="O1896" s="20"/>
      <c r="P1896" s="20"/>
    </row>
    <row r="1897">
      <c r="A1897" s="10"/>
      <c r="B1897" s="11"/>
      <c r="C1897" s="10"/>
      <c r="D1897" s="13"/>
      <c r="E1897" s="14"/>
      <c r="F1897" s="14"/>
      <c r="G1897" s="14"/>
      <c r="H1897" s="10"/>
      <c r="I1897" s="17"/>
      <c r="J1897" s="10"/>
      <c r="K1897" s="46"/>
      <c r="L1897" s="10"/>
      <c r="M1897" s="20"/>
      <c r="N1897" s="20"/>
      <c r="O1897" s="20"/>
      <c r="P1897" s="20"/>
    </row>
    <row r="1898">
      <c r="A1898" s="23"/>
      <c r="B1898" s="21"/>
      <c r="C1898" s="23"/>
      <c r="D1898" s="24"/>
      <c r="E1898" s="14"/>
      <c r="F1898" s="14"/>
      <c r="G1898" s="14"/>
      <c r="H1898" s="23"/>
      <c r="I1898" s="27"/>
      <c r="J1898" s="23"/>
      <c r="K1898" s="30"/>
      <c r="L1898" s="23"/>
      <c r="M1898" s="20"/>
      <c r="N1898" s="20"/>
      <c r="O1898" s="20"/>
      <c r="P1898" s="20"/>
    </row>
    <row r="1899">
      <c r="A1899" s="10"/>
      <c r="B1899" s="11"/>
      <c r="C1899" s="10"/>
      <c r="D1899" s="13"/>
      <c r="E1899" s="14"/>
      <c r="F1899" s="14"/>
      <c r="G1899" s="14"/>
      <c r="H1899" s="10"/>
      <c r="I1899" s="17"/>
      <c r="J1899" s="10"/>
      <c r="K1899" s="46"/>
      <c r="L1899" s="10"/>
      <c r="M1899" s="20"/>
      <c r="N1899" s="20"/>
      <c r="O1899" s="20"/>
      <c r="P1899" s="20"/>
    </row>
    <row r="1900">
      <c r="A1900" s="23"/>
      <c r="B1900" s="21"/>
      <c r="C1900" s="23"/>
      <c r="D1900" s="24"/>
      <c r="E1900" s="14"/>
      <c r="F1900" s="14"/>
      <c r="G1900" s="14"/>
      <c r="H1900" s="23"/>
      <c r="I1900" s="27"/>
      <c r="J1900" s="23"/>
      <c r="K1900" s="30"/>
      <c r="L1900" s="23"/>
      <c r="M1900" s="20"/>
      <c r="N1900" s="20"/>
      <c r="O1900" s="20"/>
      <c r="P1900" s="20"/>
    </row>
    <row r="1901">
      <c r="A1901" s="10"/>
      <c r="B1901" s="11"/>
      <c r="C1901" s="10"/>
      <c r="D1901" s="13"/>
      <c r="E1901" s="14"/>
      <c r="F1901" s="14"/>
      <c r="G1901" s="14"/>
      <c r="H1901" s="10"/>
      <c r="I1901" s="17"/>
      <c r="J1901" s="10"/>
      <c r="K1901" s="46"/>
      <c r="L1901" s="10"/>
      <c r="M1901" s="20"/>
      <c r="N1901" s="20"/>
      <c r="O1901" s="20"/>
      <c r="P1901" s="20"/>
    </row>
    <row r="1902">
      <c r="A1902" s="23"/>
      <c r="B1902" s="21"/>
      <c r="C1902" s="23"/>
      <c r="D1902" s="24"/>
      <c r="E1902" s="14"/>
      <c r="F1902" s="14"/>
      <c r="G1902" s="14"/>
      <c r="H1902" s="23"/>
      <c r="I1902" s="27"/>
      <c r="J1902" s="23"/>
      <c r="K1902" s="30"/>
      <c r="L1902" s="23"/>
      <c r="M1902" s="20"/>
      <c r="N1902" s="20"/>
      <c r="O1902" s="20"/>
      <c r="P1902" s="20"/>
    </row>
    <row r="1903">
      <c r="A1903" s="10"/>
      <c r="B1903" s="11"/>
      <c r="C1903" s="10"/>
      <c r="D1903" s="13"/>
      <c r="E1903" s="14"/>
      <c r="F1903" s="14"/>
      <c r="G1903" s="14"/>
      <c r="H1903" s="10"/>
      <c r="I1903" s="17"/>
      <c r="J1903" s="10"/>
      <c r="K1903" s="46"/>
      <c r="L1903" s="10"/>
      <c r="M1903" s="20"/>
      <c r="N1903" s="20"/>
      <c r="O1903" s="20"/>
      <c r="P1903" s="20"/>
    </row>
    <row r="1904">
      <c r="A1904" s="23"/>
      <c r="B1904" s="21"/>
      <c r="C1904" s="23"/>
      <c r="D1904" s="24"/>
      <c r="E1904" s="14"/>
      <c r="F1904" s="14"/>
      <c r="G1904" s="14"/>
      <c r="H1904" s="23"/>
      <c r="I1904" s="27"/>
      <c r="J1904" s="23"/>
      <c r="K1904" s="30"/>
      <c r="L1904" s="23"/>
      <c r="M1904" s="20"/>
      <c r="N1904" s="20"/>
      <c r="O1904" s="20"/>
      <c r="P1904" s="20"/>
    </row>
    <row r="1905">
      <c r="A1905" s="10"/>
      <c r="B1905" s="11"/>
      <c r="C1905" s="10"/>
      <c r="D1905" s="13"/>
      <c r="E1905" s="14"/>
      <c r="F1905" s="14"/>
      <c r="G1905" s="14"/>
      <c r="H1905" s="10"/>
      <c r="I1905" s="17"/>
      <c r="J1905" s="10"/>
      <c r="K1905" s="46"/>
      <c r="L1905" s="10"/>
      <c r="M1905" s="20"/>
      <c r="N1905" s="20"/>
      <c r="O1905" s="20"/>
      <c r="P1905" s="20"/>
    </row>
    <row r="1906">
      <c r="A1906" s="23"/>
      <c r="B1906" s="21"/>
      <c r="C1906" s="23"/>
      <c r="D1906" s="24"/>
      <c r="E1906" s="14"/>
      <c r="F1906" s="14"/>
      <c r="G1906" s="14"/>
      <c r="H1906" s="23"/>
      <c r="I1906" s="27"/>
      <c r="J1906" s="23"/>
      <c r="K1906" s="30"/>
      <c r="L1906" s="23"/>
      <c r="M1906" s="20"/>
      <c r="N1906" s="20"/>
      <c r="O1906" s="20"/>
      <c r="P1906" s="20"/>
    </row>
    <row r="1907">
      <c r="A1907" s="10"/>
      <c r="B1907" s="11"/>
      <c r="C1907" s="10"/>
      <c r="D1907" s="13"/>
      <c r="E1907" s="14"/>
      <c r="F1907" s="14"/>
      <c r="G1907" s="14"/>
      <c r="H1907" s="10"/>
      <c r="I1907" s="17"/>
      <c r="J1907" s="10"/>
      <c r="K1907" s="46"/>
      <c r="L1907" s="10"/>
      <c r="M1907" s="20"/>
      <c r="N1907" s="20"/>
      <c r="O1907" s="20"/>
      <c r="P1907" s="20"/>
    </row>
    <row r="1908">
      <c r="A1908" s="23"/>
      <c r="B1908" s="21"/>
      <c r="C1908" s="23"/>
      <c r="D1908" s="24"/>
      <c r="E1908" s="14"/>
      <c r="F1908" s="14"/>
      <c r="G1908" s="14"/>
      <c r="H1908" s="23"/>
      <c r="I1908" s="27"/>
      <c r="J1908" s="23"/>
      <c r="K1908" s="30"/>
      <c r="L1908" s="23"/>
      <c r="M1908" s="20"/>
      <c r="N1908" s="20"/>
      <c r="O1908" s="20"/>
      <c r="P1908" s="20"/>
    </row>
    <row r="1909">
      <c r="A1909" s="10"/>
      <c r="B1909" s="11"/>
      <c r="C1909" s="10"/>
      <c r="D1909" s="13"/>
      <c r="E1909" s="14"/>
      <c r="F1909" s="14"/>
      <c r="G1909" s="14"/>
      <c r="H1909" s="10"/>
      <c r="I1909" s="17"/>
      <c r="J1909" s="10"/>
      <c r="K1909" s="46"/>
      <c r="L1909" s="10"/>
      <c r="M1909" s="20"/>
      <c r="N1909" s="20"/>
      <c r="O1909" s="20"/>
      <c r="P1909" s="20"/>
    </row>
    <row r="1910">
      <c r="A1910" s="23"/>
      <c r="B1910" s="21"/>
      <c r="C1910" s="23"/>
      <c r="D1910" s="24"/>
      <c r="E1910" s="14"/>
      <c r="F1910" s="14"/>
      <c r="G1910" s="14"/>
      <c r="H1910" s="23"/>
      <c r="I1910" s="27"/>
      <c r="J1910" s="23"/>
      <c r="K1910" s="30"/>
      <c r="L1910" s="23"/>
      <c r="M1910" s="20"/>
      <c r="N1910" s="20"/>
      <c r="O1910" s="20"/>
      <c r="P1910" s="20"/>
    </row>
    <row r="1911">
      <c r="A1911" s="10"/>
      <c r="B1911" s="11"/>
      <c r="C1911" s="10"/>
      <c r="D1911" s="13"/>
      <c r="E1911" s="14"/>
      <c r="F1911" s="14"/>
      <c r="G1911" s="14"/>
      <c r="H1911" s="10"/>
      <c r="I1911" s="17"/>
      <c r="J1911" s="10"/>
      <c r="K1911" s="46"/>
      <c r="L1911" s="10"/>
      <c r="M1911" s="20"/>
      <c r="N1911" s="20"/>
      <c r="O1911" s="20"/>
      <c r="P1911" s="20"/>
    </row>
    <row r="1912">
      <c r="A1912" s="23"/>
      <c r="B1912" s="21"/>
      <c r="C1912" s="23"/>
      <c r="D1912" s="24"/>
      <c r="E1912" s="14"/>
      <c r="F1912" s="14"/>
      <c r="G1912" s="14"/>
      <c r="H1912" s="23"/>
      <c r="I1912" s="27"/>
      <c r="J1912" s="23"/>
      <c r="K1912" s="30"/>
      <c r="L1912" s="23"/>
      <c r="M1912" s="20"/>
      <c r="N1912" s="20"/>
      <c r="O1912" s="20"/>
      <c r="P1912" s="20"/>
    </row>
    <row r="1913">
      <c r="A1913" s="10"/>
      <c r="B1913" s="11"/>
      <c r="C1913" s="10"/>
      <c r="D1913" s="13"/>
      <c r="E1913" s="14"/>
      <c r="F1913" s="14"/>
      <c r="G1913" s="14"/>
      <c r="H1913" s="10"/>
      <c r="I1913" s="17"/>
      <c r="J1913" s="10"/>
      <c r="K1913" s="46"/>
      <c r="L1913" s="10"/>
      <c r="M1913" s="20"/>
      <c r="N1913" s="20"/>
      <c r="O1913" s="20"/>
      <c r="P1913" s="20"/>
    </row>
    <row r="1914">
      <c r="A1914" s="23"/>
      <c r="B1914" s="21"/>
      <c r="C1914" s="23"/>
      <c r="D1914" s="24"/>
      <c r="E1914" s="14"/>
      <c r="F1914" s="14"/>
      <c r="G1914" s="14"/>
      <c r="H1914" s="23"/>
      <c r="I1914" s="27"/>
      <c r="J1914" s="23"/>
      <c r="K1914" s="30"/>
      <c r="L1914" s="23"/>
      <c r="M1914" s="20"/>
      <c r="N1914" s="20"/>
      <c r="O1914" s="20"/>
      <c r="P1914" s="20"/>
    </row>
    <row r="1915">
      <c r="A1915" s="10"/>
      <c r="B1915" s="11"/>
      <c r="C1915" s="10"/>
      <c r="D1915" s="13"/>
      <c r="E1915" s="14"/>
      <c r="F1915" s="14"/>
      <c r="G1915" s="14"/>
      <c r="H1915" s="10"/>
      <c r="I1915" s="17"/>
      <c r="J1915" s="10"/>
      <c r="K1915" s="46"/>
      <c r="L1915" s="10"/>
      <c r="M1915" s="20"/>
      <c r="N1915" s="20"/>
      <c r="O1915" s="20"/>
      <c r="P1915" s="20"/>
    </row>
    <row r="1916">
      <c r="A1916" s="23"/>
      <c r="B1916" s="21"/>
      <c r="C1916" s="23"/>
      <c r="D1916" s="24"/>
      <c r="E1916" s="14"/>
      <c r="F1916" s="14"/>
      <c r="G1916" s="14"/>
      <c r="H1916" s="23"/>
      <c r="I1916" s="27"/>
      <c r="J1916" s="23"/>
      <c r="K1916" s="30"/>
      <c r="L1916" s="23"/>
      <c r="M1916" s="20"/>
      <c r="N1916" s="20"/>
      <c r="O1916" s="20"/>
      <c r="P1916" s="20"/>
    </row>
    <row r="1917">
      <c r="A1917" s="10"/>
      <c r="B1917" s="11"/>
      <c r="C1917" s="10"/>
      <c r="D1917" s="13"/>
      <c r="E1917" s="14"/>
      <c r="F1917" s="14"/>
      <c r="G1917" s="14"/>
      <c r="H1917" s="10"/>
      <c r="I1917" s="17"/>
      <c r="J1917" s="10"/>
      <c r="K1917" s="46"/>
      <c r="L1917" s="10"/>
      <c r="M1917" s="20"/>
      <c r="N1917" s="20"/>
      <c r="O1917" s="20"/>
      <c r="P1917" s="20"/>
    </row>
    <row r="1918">
      <c r="A1918" s="23"/>
      <c r="B1918" s="21"/>
      <c r="C1918" s="23"/>
      <c r="D1918" s="24"/>
      <c r="E1918" s="14"/>
      <c r="F1918" s="14"/>
      <c r="G1918" s="14"/>
      <c r="H1918" s="23"/>
      <c r="I1918" s="27"/>
      <c r="J1918" s="23"/>
      <c r="K1918" s="30"/>
      <c r="L1918" s="23"/>
      <c r="M1918" s="20"/>
      <c r="N1918" s="20"/>
      <c r="O1918" s="20"/>
      <c r="P1918" s="20"/>
    </row>
    <row r="1919">
      <c r="A1919" s="10"/>
      <c r="B1919" s="11"/>
      <c r="C1919" s="10"/>
      <c r="D1919" s="13"/>
      <c r="E1919" s="14"/>
      <c r="F1919" s="14"/>
      <c r="G1919" s="14"/>
      <c r="H1919" s="10"/>
      <c r="I1919" s="17"/>
      <c r="J1919" s="10"/>
      <c r="K1919" s="46"/>
      <c r="L1919" s="10"/>
      <c r="M1919" s="20"/>
      <c r="N1919" s="20"/>
      <c r="O1919" s="20"/>
      <c r="P1919" s="20"/>
    </row>
    <row r="1920">
      <c r="A1920" s="23"/>
      <c r="B1920" s="21"/>
      <c r="C1920" s="23"/>
      <c r="D1920" s="24"/>
      <c r="E1920" s="14"/>
      <c r="F1920" s="14"/>
      <c r="G1920" s="14"/>
      <c r="H1920" s="23"/>
      <c r="I1920" s="27"/>
      <c r="J1920" s="23"/>
      <c r="K1920" s="30"/>
      <c r="L1920" s="23"/>
      <c r="M1920" s="20"/>
      <c r="N1920" s="20"/>
      <c r="O1920" s="20"/>
      <c r="P1920" s="20"/>
    </row>
    <row r="1921">
      <c r="A1921" s="10"/>
      <c r="B1921" s="11"/>
      <c r="C1921" s="10"/>
      <c r="D1921" s="13"/>
      <c r="E1921" s="14"/>
      <c r="F1921" s="14"/>
      <c r="G1921" s="14"/>
      <c r="H1921" s="10"/>
      <c r="I1921" s="17"/>
      <c r="J1921" s="10"/>
      <c r="K1921" s="46"/>
      <c r="L1921" s="10"/>
      <c r="M1921" s="20"/>
      <c r="N1921" s="20"/>
      <c r="O1921" s="20"/>
      <c r="P1921" s="20"/>
    </row>
    <row r="1922">
      <c r="A1922" s="23"/>
      <c r="B1922" s="21"/>
      <c r="C1922" s="23"/>
      <c r="D1922" s="24"/>
      <c r="E1922" s="14"/>
      <c r="F1922" s="14"/>
      <c r="G1922" s="14"/>
      <c r="H1922" s="23"/>
      <c r="I1922" s="27"/>
      <c r="J1922" s="23"/>
      <c r="K1922" s="30"/>
      <c r="L1922" s="23"/>
      <c r="M1922" s="20"/>
      <c r="N1922" s="20"/>
      <c r="O1922" s="20"/>
      <c r="P1922" s="20"/>
    </row>
    <row r="1923">
      <c r="A1923" s="10"/>
      <c r="B1923" s="11"/>
      <c r="C1923" s="10"/>
      <c r="D1923" s="13"/>
      <c r="E1923" s="14"/>
      <c r="F1923" s="14"/>
      <c r="G1923" s="14"/>
      <c r="H1923" s="10"/>
      <c r="I1923" s="17"/>
      <c r="J1923" s="10"/>
      <c r="K1923" s="46"/>
      <c r="L1923" s="10"/>
      <c r="M1923" s="20"/>
      <c r="N1923" s="20"/>
      <c r="O1923" s="20"/>
      <c r="P1923" s="20"/>
    </row>
    <row r="1924">
      <c r="A1924" s="23"/>
      <c r="B1924" s="21"/>
      <c r="C1924" s="23"/>
      <c r="D1924" s="24"/>
      <c r="E1924" s="14"/>
      <c r="F1924" s="14"/>
      <c r="G1924" s="14"/>
      <c r="H1924" s="23"/>
      <c r="I1924" s="27"/>
      <c r="J1924" s="23"/>
      <c r="K1924" s="30"/>
      <c r="L1924" s="23"/>
      <c r="M1924" s="20"/>
      <c r="N1924" s="20"/>
      <c r="O1924" s="20"/>
      <c r="P1924" s="20"/>
    </row>
    <row r="1925">
      <c r="A1925" s="10"/>
      <c r="B1925" s="11"/>
      <c r="C1925" s="10"/>
      <c r="D1925" s="13"/>
      <c r="E1925" s="14"/>
      <c r="F1925" s="14"/>
      <c r="G1925" s="14"/>
      <c r="H1925" s="10"/>
      <c r="I1925" s="17"/>
      <c r="J1925" s="10"/>
      <c r="K1925" s="46"/>
      <c r="L1925" s="10"/>
      <c r="M1925" s="20"/>
      <c r="N1925" s="20"/>
      <c r="O1925" s="20"/>
      <c r="P1925" s="20"/>
    </row>
    <row r="1926">
      <c r="A1926" s="23"/>
      <c r="B1926" s="21"/>
      <c r="C1926" s="23"/>
      <c r="D1926" s="24"/>
      <c r="E1926" s="14"/>
      <c r="F1926" s="14"/>
      <c r="G1926" s="14"/>
      <c r="H1926" s="23"/>
      <c r="I1926" s="27"/>
      <c r="J1926" s="23"/>
      <c r="K1926" s="30"/>
      <c r="L1926" s="23"/>
      <c r="M1926" s="20"/>
      <c r="N1926" s="20"/>
      <c r="O1926" s="20"/>
      <c r="P1926" s="20"/>
    </row>
    <row r="1927">
      <c r="A1927" s="10"/>
      <c r="B1927" s="11"/>
      <c r="C1927" s="10"/>
      <c r="D1927" s="13"/>
      <c r="E1927" s="14"/>
      <c r="F1927" s="14"/>
      <c r="G1927" s="14"/>
      <c r="H1927" s="10"/>
      <c r="I1927" s="17"/>
      <c r="J1927" s="10"/>
      <c r="K1927" s="46"/>
      <c r="L1927" s="10"/>
      <c r="M1927" s="20"/>
      <c r="N1927" s="20"/>
      <c r="O1927" s="20"/>
      <c r="P1927" s="20"/>
    </row>
    <row r="1928">
      <c r="A1928" s="23"/>
      <c r="B1928" s="21"/>
      <c r="C1928" s="23"/>
      <c r="D1928" s="24"/>
      <c r="E1928" s="14"/>
      <c r="F1928" s="14"/>
      <c r="G1928" s="14"/>
      <c r="H1928" s="23"/>
      <c r="I1928" s="27"/>
      <c r="J1928" s="23"/>
      <c r="K1928" s="30"/>
      <c r="L1928" s="23"/>
      <c r="M1928" s="20"/>
      <c r="N1928" s="20"/>
      <c r="O1928" s="20"/>
      <c r="P1928" s="20"/>
    </row>
    <row r="1929">
      <c r="A1929" s="10"/>
      <c r="B1929" s="11"/>
      <c r="C1929" s="10"/>
      <c r="D1929" s="13"/>
      <c r="E1929" s="14"/>
      <c r="F1929" s="14"/>
      <c r="G1929" s="14"/>
      <c r="H1929" s="10"/>
      <c r="I1929" s="17"/>
      <c r="J1929" s="10"/>
      <c r="K1929" s="46"/>
      <c r="L1929" s="10"/>
      <c r="M1929" s="20"/>
      <c r="N1929" s="20"/>
      <c r="O1929" s="20"/>
      <c r="P1929" s="20"/>
    </row>
    <row r="1930">
      <c r="A1930" s="23"/>
      <c r="B1930" s="21"/>
      <c r="C1930" s="23"/>
      <c r="D1930" s="24"/>
      <c r="E1930" s="14"/>
      <c r="F1930" s="14"/>
      <c r="G1930" s="14"/>
      <c r="H1930" s="23"/>
      <c r="I1930" s="27"/>
      <c r="J1930" s="23"/>
      <c r="K1930" s="30"/>
      <c r="L1930" s="23"/>
      <c r="M1930" s="20"/>
      <c r="N1930" s="20"/>
      <c r="O1930" s="20"/>
      <c r="P1930" s="20"/>
    </row>
    <row r="1931">
      <c r="A1931" s="10"/>
      <c r="B1931" s="11"/>
      <c r="C1931" s="10"/>
      <c r="D1931" s="13"/>
      <c r="E1931" s="14"/>
      <c r="F1931" s="14"/>
      <c r="G1931" s="14"/>
      <c r="H1931" s="10"/>
      <c r="I1931" s="17"/>
      <c r="J1931" s="10"/>
      <c r="K1931" s="46"/>
      <c r="L1931" s="10"/>
      <c r="M1931" s="20"/>
      <c r="N1931" s="20"/>
      <c r="O1931" s="20"/>
      <c r="P1931" s="20"/>
    </row>
    <row r="1932">
      <c r="A1932" s="23"/>
      <c r="B1932" s="21"/>
      <c r="C1932" s="23"/>
      <c r="D1932" s="24"/>
      <c r="E1932" s="14"/>
      <c r="F1932" s="14"/>
      <c r="G1932" s="14"/>
      <c r="H1932" s="23"/>
      <c r="I1932" s="27"/>
      <c r="J1932" s="23"/>
      <c r="K1932" s="30"/>
      <c r="L1932" s="23"/>
      <c r="M1932" s="20"/>
      <c r="N1932" s="20"/>
      <c r="O1932" s="20"/>
      <c r="P1932" s="20"/>
    </row>
    <row r="1933">
      <c r="A1933" s="10"/>
      <c r="B1933" s="11"/>
      <c r="C1933" s="10"/>
      <c r="D1933" s="13"/>
      <c r="E1933" s="14"/>
      <c r="F1933" s="14"/>
      <c r="G1933" s="14"/>
      <c r="H1933" s="10"/>
      <c r="I1933" s="17"/>
      <c r="J1933" s="10"/>
      <c r="K1933" s="46"/>
      <c r="L1933" s="10"/>
      <c r="M1933" s="20"/>
      <c r="N1933" s="20"/>
      <c r="O1933" s="20"/>
      <c r="P1933" s="20"/>
    </row>
    <row r="1934">
      <c r="A1934" s="23"/>
      <c r="B1934" s="21"/>
      <c r="C1934" s="23"/>
      <c r="D1934" s="24"/>
      <c r="E1934" s="14"/>
      <c r="F1934" s="14"/>
      <c r="G1934" s="14"/>
      <c r="H1934" s="23"/>
      <c r="I1934" s="27"/>
      <c r="J1934" s="23"/>
      <c r="K1934" s="30"/>
      <c r="L1934" s="23"/>
      <c r="M1934" s="20"/>
      <c r="N1934" s="20"/>
      <c r="O1934" s="20"/>
      <c r="P1934" s="20"/>
    </row>
    <row r="1935">
      <c r="A1935" s="10"/>
      <c r="B1935" s="11"/>
      <c r="C1935" s="10"/>
      <c r="D1935" s="13"/>
      <c r="E1935" s="14"/>
      <c r="F1935" s="14"/>
      <c r="G1935" s="14"/>
      <c r="H1935" s="10"/>
      <c r="I1935" s="17"/>
      <c r="J1935" s="10"/>
      <c r="K1935" s="46"/>
      <c r="L1935" s="10"/>
      <c r="M1935" s="20"/>
      <c r="N1935" s="20"/>
      <c r="O1935" s="20"/>
      <c r="P1935" s="20"/>
    </row>
    <row r="1936">
      <c r="A1936" s="23"/>
      <c r="B1936" s="21"/>
      <c r="C1936" s="23"/>
      <c r="D1936" s="24"/>
      <c r="E1936" s="14"/>
      <c r="F1936" s="14"/>
      <c r="G1936" s="14"/>
      <c r="H1936" s="23"/>
      <c r="I1936" s="27"/>
      <c r="J1936" s="23"/>
      <c r="K1936" s="30"/>
      <c r="L1936" s="23"/>
      <c r="M1936" s="20"/>
      <c r="N1936" s="20"/>
      <c r="O1936" s="20"/>
      <c r="P1936" s="20"/>
    </row>
    <row r="1937">
      <c r="A1937" s="10"/>
      <c r="B1937" s="11"/>
      <c r="C1937" s="10"/>
      <c r="D1937" s="13"/>
      <c r="E1937" s="14"/>
      <c r="F1937" s="14"/>
      <c r="G1937" s="14"/>
      <c r="H1937" s="10"/>
      <c r="I1937" s="17"/>
      <c r="J1937" s="10"/>
      <c r="K1937" s="46"/>
      <c r="L1937" s="10"/>
      <c r="M1937" s="20"/>
      <c r="N1937" s="20"/>
      <c r="O1937" s="20"/>
      <c r="P1937" s="20"/>
    </row>
    <row r="1938">
      <c r="A1938" s="23"/>
      <c r="B1938" s="21"/>
      <c r="C1938" s="23"/>
      <c r="D1938" s="24"/>
      <c r="E1938" s="14"/>
      <c r="F1938" s="14"/>
      <c r="G1938" s="14"/>
      <c r="H1938" s="23"/>
      <c r="I1938" s="27"/>
      <c r="J1938" s="23"/>
      <c r="K1938" s="30"/>
      <c r="L1938" s="23"/>
      <c r="M1938" s="20"/>
      <c r="N1938" s="20"/>
      <c r="O1938" s="20"/>
      <c r="P1938" s="20"/>
    </row>
    <row r="1939">
      <c r="A1939" s="10"/>
      <c r="B1939" s="11"/>
      <c r="C1939" s="10"/>
      <c r="D1939" s="13"/>
      <c r="E1939" s="14"/>
      <c r="F1939" s="14"/>
      <c r="G1939" s="14"/>
      <c r="H1939" s="10"/>
      <c r="I1939" s="17"/>
      <c r="J1939" s="10"/>
      <c r="K1939" s="46"/>
      <c r="L1939" s="10"/>
      <c r="M1939" s="20"/>
      <c r="N1939" s="20"/>
      <c r="O1939" s="20"/>
      <c r="P1939" s="20"/>
    </row>
    <row r="1940">
      <c r="A1940" s="23"/>
      <c r="B1940" s="21"/>
      <c r="C1940" s="23"/>
      <c r="D1940" s="24"/>
      <c r="E1940" s="14"/>
      <c r="F1940" s="14"/>
      <c r="G1940" s="14"/>
      <c r="H1940" s="23"/>
      <c r="I1940" s="27"/>
      <c r="J1940" s="23"/>
      <c r="K1940" s="30"/>
      <c r="L1940" s="23"/>
      <c r="M1940" s="20"/>
      <c r="N1940" s="20"/>
      <c r="O1940" s="20"/>
      <c r="P1940" s="20"/>
    </row>
    <row r="1941">
      <c r="A1941" s="10"/>
      <c r="B1941" s="11"/>
      <c r="C1941" s="10"/>
      <c r="D1941" s="13"/>
      <c r="E1941" s="14"/>
      <c r="F1941" s="14"/>
      <c r="G1941" s="14"/>
      <c r="H1941" s="10"/>
      <c r="I1941" s="17"/>
      <c r="J1941" s="10"/>
      <c r="K1941" s="46"/>
      <c r="L1941" s="10"/>
      <c r="M1941" s="20"/>
      <c r="N1941" s="20"/>
      <c r="O1941" s="20"/>
      <c r="P1941" s="20"/>
    </row>
    <row r="1942">
      <c r="A1942" s="23"/>
      <c r="B1942" s="21"/>
      <c r="C1942" s="23"/>
      <c r="D1942" s="24"/>
      <c r="E1942" s="14"/>
      <c r="F1942" s="14"/>
      <c r="G1942" s="14"/>
      <c r="H1942" s="23"/>
      <c r="I1942" s="27"/>
      <c r="J1942" s="23"/>
      <c r="K1942" s="30"/>
      <c r="L1942" s="23"/>
      <c r="M1942" s="20"/>
      <c r="N1942" s="20"/>
      <c r="O1942" s="20"/>
      <c r="P1942" s="20"/>
    </row>
    <row r="1943">
      <c r="A1943" s="10"/>
      <c r="B1943" s="11"/>
      <c r="C1943" s="10"/>
      <c r="D1943" s="13"/>
      <c r="E1943" s="14"/>
      <c r="F1943" s="14"/>
      <c r="G1943" s="14"/>
      <c r="H1943" s="10"/>
      <c r="I1943" s="17"/>
      <c r="J1943" s="10"/>
      <c r="K1943" s="46"/>
      <c r="L1943" s="10"/>
      <c r="M1943" s="20"/>
      <c r="N1943" s="20"/>
      <c r="O1943" s="20"/>
      <c r="P1943" s="20"/>
    </row>
    <row r="1944">
      <c r="A1944" s="23"/>
      <c r="B1944" s="21"/>
      <c r="C1944" s="23"/>
      <c r="D1944" s="24"/>
      <c r="E1944" s="14"/>
      <c r="F1944" s="14"/>
      <c r="G1944" s="14"/>
      <c r="H1944" s="23"/>
      <c r="I1944" s="27"/>
      <c r="J1944" s="23"/>
      <c r="K1944" s="30"/>
      <c r="L1944" s="23"/>
      <c r="M1944" s="20"/>
      <c r="N1944" s="20"/>
      <c r="O1944" s="20"/>
      <c r="P1944" s="20"/>
    </row>
    <row r="1945">
      <c r="A1945" s="10"/>
      <c r="B1945" s="11"/>
      <c r="C1945" s="10"/>
      <c r="D1945" s="13"/>
      <c r="E1945" s="14"/>
      <c r="F1945" s="14"/>
      <c r="G1945" s="14"/>
      <c r="H1945" s="10"/>
      <c r="I1945" s="17"/>
      <c r="J1945" s="10"/>
      <c r="K1945" s="46"/>
      <c r="L1945" s="10"/>
      <c r="M1945" s="20"/>
      <c r="N1945" s="20"/>
      <c r="O1945" s="20"/>
      <c r="P1945" s="20"/>
    </row>
    <row r="1946">
      <c r="A1946" s="23"/>
      <c r="B1946" s="21"/>
      <c r="C1946" s="23"/>
      <c r="D1946" s="24"/>
      <c r="E1946" s="14"/>
      <c r="F1946" s="14"/>
      <c r="G1946" s="14"/>
      <c r="H1946" s="23"/>
      <c r="I1946" s="27"/>
      <c r="J1946" s="23"/>
      <c r="K1946" s="30"/>
      <c r="L1946" s="23"/>
      <c r="M1946" s="20"/>
      <c r="N1946" s="20"/>
      <c r="O1946" s="20"/>
      <c r="P1946" s="20"/>
    </row>
    <row r="1947">
      <c r="A1947" s="10"/>
      <c r="B1947" s="11"/>
      <c r="C1947" s="10"/>
      <c r="D1947" s="13"/>
      <c r="E1947" s="14"/>
      <c r="F1947" s="14"/>
      <c r="G1947" s="14"/>
      <c r="H1947" s="10"/>
      <c r="I1947" s="17"/>
      <c r="J1947" s="10"/>
      <c r="K1947" s="46"/>
      <c r="L1947" s="10"/>
      <c r="M1947" s="20"/>
      <c r="N1947" s="20"/>
      <c r="O1947" s="20"/>
      <c r="P1947" s="20"/>
    </row>
    <row r="1948">
      <c r="A1948" s="23"/>
      <c r="B1948" s="21"/>
      <c r="C1948" s="23"/>
      <c r="D1948" s="24"/>
      <c r="E1948" s="14"/>
      <c r="F1948" s="14"/>
      <c r="G1948" s="14"/>
      <c r="H1948" s="23"/>
      <c r="I1948" s="27"/>
      <c r="J1948" s="23"/>
      <c r="K1948" s="30"/>
      <c r="L1948" s="23"/>
      <c r="M1948" s="20"/>
      <c r="N1948" s="20"/>
      <c r="O1948" s="20"/>
      <c r="P1948" s="20"/>
    </row>
    <row r="1949">
      <c r="A1949" s="10"/>
      <c r="B1949" s="11"/>
      <c r="C1949" s="10"/>
      <c r="D1949" s="13"/>
      <c r="E1949" s="14"/>
      <c r="F1949" s="14"/>
      <c r="G1949" s="14"/>
      <c r="H1949" s="10"/>
      <c r="I1949" s="17"/>
      <c r="J1949" s="10"/>
      <c r="K1949" s="46"/>
      <c r="L1949" s="10"/>
      <c r="M1949" s="20"/>
      <c r="N1949" s="20"/>
      <c r="O1949" s="20"/>
      <c r="P1949" s="20"/>
    </row>
    <row r="1950">
      <c r="A1950" s="23"/>
      <c r="B1950" s="21"/>
      <c r="C1950" s="23"/>
      <c r="D1950" s="24"/>
      <c r="E1950" s="14"/>
      <c r="F1950" s="14"/>
      <c r="G1950" s="14"/>
      <c r="H1950" s="23"/>
      <c r="I1950" s="27"/>
      <c r="J1950" s="23"/>
      <c r="K1950" s="30"/>
      <c r="L1950" s="23"/>
      <c r="M1950" s="20"/>
      <c r="N1950" s="20"/>
      <c r="O1950" s="20"/>
      <c r="P1950" s="20"/>
    </row>
    <row r="1951">
      <c r="A1951" s="10"/>
      <c r="B1951" s="11"/>
      <c r="C1951" s="10"/>
      <c r="D1951" s="13"/>
      <c r="E1951" s="14"/>
      <c r="F1951" s="14"/>
      <c r="G1951" s="14"/>
      <c r="H1951" s="10"/>
      <c r="I1951" s="17"/>
      <c r="J1951" s="10"/>
      <c r="K1951" s="46"/>
      <c r="L1951" s="10"/>
      <c r="M1951" s="20"/>
      <c r="N1951" s="20"/>
      <c r="O1951" s="20"/>
      <c r="P1951" s="20"/>
    </row>
    <row r="1952">
      <c r="A1952" s="23"/>
      <c r="B1952" s="21"/>
      <c r="C1952" s="23"/>
      <c r="D1952" s="24"/>
      <c r="E1952" s="14"/>
      <c r="F1952" s="14"/>
      <c r="G1952" s="14"/>
      <c r="H1952" s="23"/>
      <c r="I1952" s="27"/>
      <c r="J1952" s="23"/>
      <c r="K1952" s="30"/>
      <c r="L1952" s="23"/>
      <c r="M1952" s="20"/>
      <c r="N1952" s="20"/>
      <c r="O1952" s="20"/>
      <c r="P1952" s="20"/>
    </row>
    <row r="1953">
      <c r="A1953" s="10"/>
      <c r="B1953" s="11"/>
      <c r="C1953" s="10"/>
      <c r="D1953" s="13"/>
      <c r="E1953" s="14"/>
      <c r="F1953" s="14"/>
      <c r="G1953" s="14"/>
      <c r="H1953" s="10"/>
      <c r="I1953" s="17"/>
      <c r="J1953" s="10"/>
      <c r="K1953" s="46"/>
      <c r="L1953" s="10"/>
      <c r="M1953" s="20"/>
      <c r="N1953" s="20"/>
      <c r="O1953" s="20"/>
      <c r="P1953" s="20"/>
    </row>
    <row r="1954">
      <c r="A1954" s="23"/>
      <c r="B1954" s="21"/>
      <c r="C1954" s="23"/>
      <c r="D1954" s="24"/>
      <c r="E1954" s="14"/>
      <c r="F1954" s="14"/>
      <c r="G1954" s="14"/>
      <c r="H1954" s="23"/>
      <c r="I1954" s="27"/>
      <c r="J1954" s="23"/>
      <c r="K1954" s="30"/>
      <c r="L1954" s="23"/>
      <c r="M1954" s="20"/>
      <c r="N1954" s="20"/>
      <c r="O1954" s="20"/>
      <c r="P1954" s="20"/>
    </row>
    <row r="1955">
      <c r="A1955" s="10"/>
      <c r="B1955" s="11"/>
      <c r="C1955" s="10"/>
      <c r="D1955" s="13"/>
      <c r="E1955" s="14"/>
      <c r="F1955" s="14"/>
      <c r="G1955" s="14"/>
      <c r="H1955" s="10"/>
      <c r="I1955" s="17"/>
      <c r="J1955" s="10"/>
      <c r="K1955" s="46"/>
      <c r="L1955" s="10"/>
      <c r="M1955" s="20"/>
      <c r="N1955" s="20"/>
      <c r="O1955" s="20"/>
      <c r="P1955" s="20"/>
    </row>
    <row r="1956">
      <c r="A1956" s="23"/>
      <c r="B1956" s="21"/>
      <c r="C1956" s="23"/>
      <c r="D1956" s="24"/>
      <c r="E1956" s="14"/>
      <c r="F1956" s="14"/>
      <c r="G1956" s="14"/>
      <c r="H1956" s="23"/>
      <c r="I1956" s="27"/>
      <c r="J1956" s="23"/>
      <c r="K1956" s="30"/>
      <c r="L1956" s="23"/>
      <c r="M1956" s="20"/>
      <c r="N1956" s="20"/>
      <c r="O1956" s="20"/>
      <c r="P1956" s="20"/>
    </row>
    <row r="1957">
      <c r="A1957" s="10"/>
      <c r="B1957" s="11"/>
      <c r="C1957" s="10"/>
      <c r="D1957" s="13"/>
      <c r="E1957" s="14"/>
      <c r="F1957" s="14"/>
      <c r="G1957" s="14"/>
      <c r="H1957" s="10"/>
      <c r="I1957" s="17"/>
      <c r="J1957" s="10"/>
      <c r="K1957" s="46"/>
      <c r="L1957" s="10"/>
      <c r="M1957" s="20"/>
      <c r="N1957" s="20"/>
      <c r="O1957" s="20"/>
      <c r="P1957" s="20"/>
    </row>
    <row r="1958">
      <c r="A1958" s="23"/>
      <c r="B1958" s="21"/>
      <c r="C1958" s="23"/>
      <c r="D1958" s="24"/>
      <c r="E1958" s="14"/>
      <c r="F1958" s="14"/>
      <c r="G1958" s="14"/>
      <c r="H1958" s="23"/>
      <c r="I1958" s="27"/>
      <c r="J1958" s="23"/>
      <c r="K1958" s="30"/>
      <c r="L1958" s="23"/>
      <c r="M1958" s="20"/>
      <c r="N1958" s="20"/>
      <c r="O1958" s="20"/>
      <c r="P1958" s="20"/>
    </row>
    <row r="1959">
      <c r="A1959" s="10"/>
      <c r="B1959" s="11"/>
      <c r="C1959" s="10"/>
      <c r="D1959" s="13"/>
      <c r="E1959" s="14"/>
      <c r="F1959" s="14"/>
      <c r="G1959" s="14"/>
      <c r="H1959" s="10"/>
      <c r="I1959" s="17"/>
      <c r="J1959" s="10"/>
      <c r="K1959" s="46"/>
      <c r="L1959" s="10"/>
      <c r="M1959" s="20"/>
      <c r="N1959" s="20"/>
      <c r="O1959" s="20"/>
      <c r="P1959" s="20"/>
    </row>
    <row r="1960">
      <c r="A1960" s="23"/>
      <c r="B1960" s="21"/>
      <c r="C1960" s="23"/>
      <c r="D1960" s="24"/>
      <c r="E1960" s="14"/>
      <c r="F1960" s="14"/>
      <c r="G1960" s="14"/>
      <c r="H1960" s="23"/>
      <c r="I1960" s="27"/>
      <c r="J1960" s="23"/>
      <c r="K1960" s="30"/>
      <c r="L1960" s="23"/>
      <c r="M1960" s="20"/>
      <c r="N1960" s="20"/>
      <c r="O1960" s="20"/>
      <c r="P1960" s="20"/>
    </row>
    <row r="1961">
      <c r="A1961" s="10"/>
      <c r="B1961" s="11"/>
      <c r="C1961" s="10"/>
      <c r="D1961" s="13"/>
      <c r="E1961" s="14"/>
      <c r="F1961" s="14"/>
      <c r="G1961" s="14"/>
      <c r="H1961" s="10"/>
      <c r="I1961" s="17"/>
      <c r="J1961" s="10"/>
      <c r="K1961" s="46"/>
      <c r="L1961" s="10"/>
      <c r="M1961" s="20"/>
      <c r="N1961" s="20"/>
      <c r="O1961" s="20"/>
      <c r="P1961" s="20"/>
    </row>
    <row r="1962">
      <c r="A1962" s="23"/>
      <c r="B1962" s="21"/>
      <c r="C1962" s="23"/>
      <c r="D1962" s="24"/>
      <c r="E1962" s="14"/>
      <c r="F1962" s="14"/>
      <c r="G1962" s="14"/>
      <c r="H1962" s="23"/>
      <c r="I1962" s="27"/>
      <c r="J1962" s="23"/>
      <c r="K1962" s="30"/>
      <c r="L1962" s="23"/>
      <c r="M1962" s="20"/>
      <c r="N1962" s="20"/>
      <c r="O1962" s="20"/>
      <c r="P1962" s="20"/>
    </row>
    <row r="1963">
      <c r="A1963" s="10"/>
      <c r="B1963" s="11"/>
      <c r="C1963" s="10"/>
      <c r="D1963" s="13"/>
      <c r="E1963" s="14"/>
      <c r="F1963" s="14"/>
      <c r="G1963" s="14"/>
      <c r="H1963" s="10"/>
      <c r="I1963" s="17"/>
      <c r="J1963" s="10"/>
      <c r="K1963" s="46"/>
      <c r="L1963" s="10"/>
      <c r="M1963" s="20"/>
      <c r="N1963" s="20"/>
      <c r="O1963" s="20"/>
      <c r="P1963" s="20"/>
    </row>
    <row r="1964">
      <c r="A1964" s="23"/>
      <c r="B1964" s="21"/>
      <c r="C1964" s="23"/>
      <c r="D1964" s="24"/>
      <c r="E1964" s="14"/>
      <c r="F1964" s="14"/>
      <c r="G1964" s="14"/>
      <c r="H1964" s="23"/>
      <c r="I1964" s="27"/>
      <c r="J1964" s="23"/>
      <c r="K1964" s="30"/>
      <c r="L1964" s="23"/>
      <c r="M1964" s="20"/>
      <c r="N1964" s="20"/>
      <c r="O1964" s="20"/>
      <c r="P1964" s="20"/>
    </row>
    <row r="1965">
      <c r="A1965" s="10"/>
      <c r="B1965" s="11"/>
      <c r="C1965" s="10"/>
      <c r="D1965" s="13"/>
      <c r="E1965" s="14"/>
      <c r="F1965" s="14"/>
      <c r="G1965" s="14"/>
      <c r="H1965" s="10"/>
      <c r="I1965" s="17"/>
      <c r="J1965" s="10"/>
      <c r="K1965" s="46"/>
      <c r="L1965" s="10"/>
      <c r="M1965" s="20"/>
      <c r="N1965" s="20"/>
      <c r="O1965" s="20"/>
      <c r="P1965" s="20"/>
    </row>
    <row r="1966">
      <c r="A1966" s="23"/>
      <c r="B1966" s="21"/>
      <c r="C1966" s="23"/>
      <c r="D1966" s="24"/>
      <c r="E1966" s="14"/>
      <c r="F1966" s="14"/>
      <c r="G1966" s="14"/>
      <c r="H1966" s="23"/>
      <c r="I1966" s="27"/>
      <c r="J1966" s="23"/>
      <c r="K1966" s="30"/>
      <c r="L1966" s="23"/>
      <c r="M1966" s="20"/>
      <c r="N1966" s="20"/>
      <c r="O1966" s="20"/>
      <c r="P1966" s="20"/>
    </row>
    <row r="1967">
      <c r="A1967" s="10"/>
      <c r="B1967" s="11"/>
      <c r="C1967" s="10"/>
      <c r="D1967" s="13"/>
      <c r="E1967" s="14"/>
      <c r="F1967" s="14"/>
      <c r="G1967" s="14"/>
      <c r="H1967" s="10"/>
      <c r="I1967" s="17"/>
      <c r="J1967" s="10"/>
      <c r="K1967" s="46"/>
      <c r="L1967" s="10"/>
      <c r="M1967" s="20"/>
      <c r="N1967" s="20"/>
      <c r="O1967" s="20"/>
      <c r="P1967" s="20"/>
    </row>
    <row r="1968">
      <c r="A1968" s="23"/>
      <c r="B1968" s="21"/>
      <c r="C1968" s="23"/>
      <c r="D1968" s="24"/>
      <c r="E1968" s="14"/>
      <c r="F1968" s="14"/>
      <c r="G1968" s="14"/>
      <c r="H1968" s="23"/>
      <c r="I1968" s="27"/>
      <c r="J1968" s="23"/>
      <c r="K1968" s="30"/>
      <c r="L1968" s="23"/>
      <c r="M1968" s="20"/>
      <c r="N1968" s="20"/>
      <c r="O1968" s="20"/>
      <c r="P1968" s="20"/>
    </row>
    <row r="1969">
      <c r="A1969" s="10"/>
      <c r="B1969" s="11"/>
      <c r="C1969" s="10"/>
      <c r="D1969" s="13"/>
      <c r="E1969" s="14"/>
      <c r="F1969" s="14"/>
      <c r="G1969" s="14"/>
      <c r="H1969" s="10"/>
      <c r="I1969" s="17"/>
      <c r="J1969" s="10"/>
      <c r="K1969" s="46"/>
      <c r="L1969" s="10"/>
      <c r="M1969" s="20"/>
      <c r="N1969" s="20"/>
      <c r="O1969" s="20"/>
      <c r="P1969" s="20"/>
    </row>
    <row r="1970">
      <c r="A1970" s="23"/>
      <c r="B1970" s="21"/>
      <c r="C1970" s="23"/>
      <c r="D1970" s="24"/>
      <c r="E1970" s="14"/>
      <c r="F1970" s="14"/>
      <c r="G1970" s="14"/>
      <c r="H1970" s="23"/>
      <c r="I1970" s="27"/>
      <c r="J1970" s="23"/>
      <c r="K1970" s="30"/>
      <c r="L1970" s="23"/>
      <c r="M1970" s="20"/>
      <c r="N1970" s="20"/>
      <c r="O1970" s="20"/>
      <c r="P1970" s="20"/>
    </row>
    <row r="1971">
      <c r="A1971" s="10"/>
      <c r="B1971" s="11"/>
      <c r="C1971" s="10"/>
      <c r="D1971" s="13"/>
      <c r="E1971" s="14"/>
      <c r="F1971" s="14"/>
      <c r="G1971" s="14"/>
      <c r="H1971" s="10"/>
      <c r="I1971" s="17"/>
      <c r="J1971" s="10"/>
      <c r="K1971" s="46"/>
      <c r="L1971" s="10"/>
      <c r="M1971" s="20"/>
      <c r="N1971" s="20"/>
      <c r="O1971" s="20"/>
      <c r="P1971" s="20"/>
    </row>
    <row r="1972">
      <c r="A1972" s="23"/>
      <c r="B1972" s="21"/>
      <c r="C1972" s="23"/>
      <c r="D1972" s="24"/>
      <c r="E1972" s="14"/>
      <c r="F1972" s="14"/>
      <c r="G1972" s="14"/>
      <c r="H1972" s="23"/>
      <c r="I1972" s="27"/>
      <c r="J1972" s="23"/>
      <c r="K1972" s="30"/>
      <c r="L1972" s="23"/>
      <c r="M1972" s="20"/>
      <c r="N1972" s="20"/>
      <c r="O1972" s="20"/>
      <c r="P1972" s="20"/>
    </row>
    <row r="1973">
      <c r="A1973" s="10"/>
      <c r="B1973" s="11"/>
      <c r="C1973" s="10"/>
      <c r="D1973" s="13"/>
      <c r="E1973" s="14"/>
      <c r="F1973" s="14"/>
      <c r="G1973" s="14"/>
      <c r="H1973" s="10"/>
      <c r="I1973" s="17"/>
      <c r="J1973" s="10"/>
      <c r="K1973" s="46"/>
      <c r="L1973" s="10"/>
      <c r="M1973" s="20"/>
      <c r="N1973" s="20"/>
      <c r="O1973" s="20"/>
      <c r="P1973" s="20"/>
    </row>
    <row r="1974">
      <c r="A1974" s="23"/>
      <c r="B1974" s="21"/>
      <c r="C1974" s="23"/>
      <c r="D1974" s="24"/>
      <c r="E1974" s="14"/>
      <c r="F1974" s="14"/>
      <c r="G1974" s="14"/>
      <c r="H1974" s="23"/>
      <c r="I1974" s="27"/>
      <c r="J1974" s="23"/>
      <c r="K1974" s="30"/>
      <c r="L1974" s="23"/>
      <c r="M1974" s="20"/>
      <c r="N1974" s="20"/>
      <c r="O1974" s="20"/>
      <c r="P1974" s="20"/>
    </row>
    <row r="1975">
      <c r="A1975" s="10"/>
      <c r="B1975" s="11"/>
      <c r="C1975" s="10"/>
      <c r="D1975" s="13"/>
      <c r="E1975" s="14"/>
      <c r="F1975" s="14"/>
      <c r="G1975" s="14"/>
      <c r="H1975" s="10"/>
      <c r="I1975" s="17"/>
      <c r="J1975" s="10"/>
      <c r="K1975" s="46"/>
      <c r="L1975" s="10"/>
      <c r="M1975" s="20"/>
      <c r="N1975" s="20"/>
      <c r="O1975" s="20"/>
      <c r="P1975" s="20"/>
    </row>
    <row r="1976">
      <c r="A1976" s="23"/>
      <c r="B1976" s="21"/>
      <c r="C1976" s="23"/>
      <c r="D1976" s="24"/>
      <c r="E1976" s="14"/>
      <c r="F1976" s="14"/>
      <c r="G1976" s="14"/>
      <c r="H1976" s="23"/>
      <c r="I1976" s="27"/>
      <c r="J1976" s="23"/>
      <c r="K1976" s="30"/>
      <c r="L1976" s="23"/>
      <c r="M1976" s="20"/>
      <c r="N1976" s="20"/>
      <c r="O1976" s="20"/>
      <c r="P1976" s="20"/>
    </row>
    <row r="1977">
      <c r="A1977" s="10"/>
      <c r="B1977" s="11"/>
      <c r="C1977" s="10"/>
      <c r="D1977" s="13"/>
      <c r="E1977" s="14"/>
      <c r="F1977" s="14"/>
      <c r="G1977" s="14"/>
      <c r="H1977" s="10"/>
      <c r="I1977" s="17"/>
      <c r="J1977" s="10"/>
      <c r="K1977" s="46"/>
      <c r="L1977" s="10"/>
      <c r="M1977" s="20"/>
      <c r="N1977" s="20"/>
      <c r="O1977" s="20"/>
      <c r="P1977" s="20"/>
    </row>
    <row r="1978">
      <c r="A1978" s="23"/>
      <c r="B1978" s="21"/>
      <c r="C1978" s="23"/>
      <c r="D1978" s="24"/>
      <c r="E1978" s="14"/>
      <c r="F1978" s="14"/>
      <c r="G1978" s="14"/>
      <c r="H1978" s="23"/>
      <c r="I1978" s="27"/>
      <c r="J1978" s="23"/>
      <c r="K1978" s="30"/>
      <c r="L1978" s="23"/>
      <c r="M1978" s="20"/>
      <c r="N1978" s="20"/>
      <c r="O1978" s="20"/>
      <c r="P1978" s="20"/>
    </row>
    <row r="1979">
      <c r="A1979" s="10"/>
      <c r="B1979" s="11"/>
      <c r="C1979" s="10"/>
      <c r="D1979" s="13"/>
      <c r="E1979" s="14"/>
      <c r="F1979" s="14"/>
      <c r="G1979" s="14"/>
      <c r="H1979" s="10"/>
      <c r="I1979" s="17"/>
      <c r="J1979" s="10"/>
      <c r="K1979" s="46"/>
      <c r="L1979" s="10"/>
      <c r="M1979" s="20"/>
      <c r="N1979" s="20"/>
      <c r="O1979" s="20"/>
      <c r="P1979" s="20"/>
    </row>
    <row r="1980">
      <c r="A1980" s="23"/>
      <c r="B1980" s="21"/>
      <c r="C1980" s="23"/>
      <c r="D1980" s="24"/>
      <c r="E1980" s="14"/>
      <c r="F1980" s="14"/>
      <c r="G1980" s="14"/>
      <c r="H1980" s="23"/>
      <c r="I1980" s="27"/>
      <c r="J1980" s="23"/>
      <c r="K1980" s="30"/>
      <c r="L1980" s="23"/>
      <c r="M1980" s="20"/>
      <c r="N1980" s="20"/>
      <c r="O1980" s="20"/>
      <c r="P1980" s="20"/>
    </row>
    <row r="1981">
      <c r="A1981" s="10"/>
      <c r="B1981" s="11"/>
      <c r="C1981" s="10"/>
      <c r="D1981" s="13"/>
      <c r="E1981" s="14"/>
      <c r="F1981" s="14"/>
      <c r="G1981" s="14"/>
      <c r="H1981" s="10"/>
      <c r="I1981" s="17"/>
      <c r="J1981" s="10"/>
      <c r="K1981" s="46"/>
      <c r="L1981" s="10"/>
      <c r="M1981" s="20"/>
      <c r="N1981" s="20"/>
      <c r="O1981" s="20"/>
      <c r="P1981" s="20"/>
    </row>
    <row r="1982">
      <c r="A1982" s="23"/>
      <c r="B1982" s="21"/>
      <c r="C1982" s="23"/>
      <c r="D1982" s="24"/>
      <c r="E1982" s="14"/>
      <c r="F1982" s="14"/>
      <c r="G1982" s="14"/>
      <c r="H1982" s="23"/>
      <c r="I1982" s="27"/>
      <c r="J1982" s="23"/>
      <c r="K1982" s="30"/>
      <c r="L1982" s="23"/>
      <c r="M1982" s="20"/>
      <c r="N1982" s="20"/>
      <c r="O1982" s="20"/>
      <c r="P1982" s="20"/>
    </row>
    <row r="1983">
      <c r="A1983" s="10"/>
      <c r="B1983" s="11"/>
      <c r="C1983" s="10"/>
      <c r="D1983" s="13"/>
      <c r="E1983" s="14"/>
      <c r="F1983" s="14"/>
      <c r="G1983" s="14"/>
      <c r="H1983" s="10"/>
      <c r="I1983" s="17"/>
      <c r="J1983" s="10"/>
      <c r="K1983" s="46"/>
      <c r="L1983" s="10"/>
      <c r="M1983" s="20"/>
      <c r="N1983" s="20"/>
      <c r="O1983" s="20"/>
      <c r="P1983" s="20"/>
    </row>
    <row r="1984">
      <c r="A1984" s="23"/>
      <c r="B1984" s="21"/>
      <c r="C1984" s="23"/>
      <c r="D1984" s="24"/>
      <c r="E1984" s="14"/>
      <c r="F1984" s="14"/>
      <c r="G1984" s="14"/>
      <c r="H1984" s="23"/>
      <c r="I1984" s="27"/>
      <c r="J1984" s="23"/>
      <c r="K1984" s="30"/>
      <c r="L1984" s="23"/>
      <c r="M1984" s="20"/>
      <c r="N1984" s="20"/>
      <c r="O1984" s="20"/>
      <c r="P1984" s="20"/>
    </row>
    <row r="1985">
      <c r="A1985" s="10"/>
      <c r="B1985" s="11"/>
      <c r="C1985" s="10"/>
      <c r="D1985" s="13"/>
      <c r="E1985" s="14"/>
      <c r="F1985" s="14"/>
      <c r="G1985" s="14"/>
      <c r="H1985" s="10"/>
      <c r="I1985" s="17"/>
      <c r="J1985" s="10"/>
      <c r="K1985" s="46"/>
      <c r="L1985" s="10"/>
      <c r="M1985" s="20"/>
      <c r="N1985" s="20"/>
      <c r="O1985" s="20"/>
      <c r="P1985" s="20"/>
    </row>
    <row r="1986">
      <c r="A1986" s="23"/>
      <c r="B1986" s="21"/>
      <c r="C1986" s="23"/>
      <c r="D1986" s="24"/>
      <c r="E1986" s="14"/>
      <c r="F1986" s="14"/>
      <c r="G1986" s="14"/>
      <c r="H1986" s="23"/>
      <c r="I1986" s="27"/>
      <c r="J1986" s="23"/>
      <c r="K1986" s="30"/>
      <c r="L1986" s="23"/>
      <c r="M1986" s="20"/>
      <c r="N1986" s="20"/>
      <c r="O1986" s="20"/>
      <c r="P1986" s="20"/>
    </row>
    <row r="1987">
      <c r="A1987" s="10"/>
      <c r="B1987" s="11"/>
      <c r="C1987" s="10"/>
      <c r="D1987" s="13"/>
      <c r="E1987" s="14"/>
      <c r="F1987" s="14"/>
      <c r="G1987" s="14"/>
      <c r="H1987" s="10"/>
      <c r="I1987" s="17"/>
      <c r="J1987" s="10"/>
      <c r="K1987" s="46"/>
      <c r="L1987" s="10"/>
      <c r="M1987" s="20"/>
      <c r="N1987" s="20"/>
      <c r="O1987" s="20"/>
      <c r="P1987" s="20"/>
    </row>
    <row r="1988">
      <c r="A1988" s="23"/>
      <c r="B1988" s="21"/>
      <c r="C1988" s="23"/>
      <c r="D1988" s="24"/>
      <c r="E1988" s="14"/>
      <c r="F1988" s="14"/>
      <c r="G1988" s="14"/>
      <c r="H1988" s="23"/>
      <c r="I1988" s="27"/>
      <c r="J1988" s="23"/>
      <c r="K1988" s="30"/>
      <c r="L1988" s="23"/>
      <c r="M1988" s="20"/>
      <c r="N1988" s="20"/>
      <c r="O1988" s="20"/>
      <c r="P1988" s="20"/>
    </row>
    <row r="1989">
      <c r="A1989" s="10"/>
      <c r="B1989" s="11"/>
      <c r="C1989" s="10"/>
      <c r="D1989" s="13"/>
      <c r="E1989" s="14"/>
      <c r="F1989" s="14"/>
      <c r="G1989" s="14"/>
      <c r="H1989" s="10"/>
      <c r="I1989" s="17"/>
      <c r="J1989" s="10"/>
      <c r="K1989" s="46"/>
      <c r="L1989" s="10"/>
      <c r="M1989" s="20"/>
      <c r="N1989" s="20"/>
      <c r="O1989" s="20"/>
      <c r="P1989" s="20"/>
    </row>
    <row r="1990">
      <c r="A1990" s="23"/>
      <c r="B1990" s="21"/>
      <c r="C1990" s="23"/>
      <c r="D1990" s="24"/>
      <c r="E1990" s="14"/>
      <c r="F1990" s="14"/>
      <c r="G1990" s="14"/>
      <c r="H1990" s="23"/>
      <c r="I1990" s="27"/>
      <c r="J1990" s="23"/>
      <c r="K1990" s="30"/>
      <c r="L1990" s="23"/>
      <c r="M1990" s="20"/>
      <c r="N1990" s="20"/>
      <c r="O1990" s="20"/>
      <c r="P1990" s="20"/>
    </row>
    <row r="1991">
      <c r="A1991" s="10"/>
      <c r="B1991" s="11"/>
      <c r="C1991" s="10"/>
      <c r="D1991" s="13"/>
      <c r="E1991" s="14"/>
      <c r="F1991" s="14"/>
      <c r="G1991" s="14"/>
      <c r="H1991" s="10"/>
      <c r="I1991" s="17"/>
      <c r="J1991" s="10"/>
      <c r="K1991" s="46"/>
      <c r="L1991" s="10"/>
      <c r="M1991" s="20"/>
      <c r="N1991" s="20"/>
      <c r="O1991" s="20"/>
      <c r="P1991" s="20"/>
    </row>
    <row r="1992">
      <c r="A1992" s="23"/>
      <c r="B1992" s="21"/>
      <c r="C1992" s="23"/>
      <c r="D1992" s="24"/>
      <c r="E1992" s="14"/>
      <c r="F1992" s="14"/>
      <c r="G1992" s="14"/>
      <c r="H1992" s="23"/>
      <c r="I1992" s="27"/>
      <c r="J1992" s="23"/>
      <c r="K1992" s="30"/>
      <c r="L1992" s="23"/>
      <c r="M1992" s="20"/>
      <c r="N1992" s="20"/>
      <c r="O1992" s="20"/>
      <c r="P1992" s="20"/>
    </row>
    <row r="1993">
      <c r="A1993" s="10"/>
      <c r="B1993" s="11"/>
      <c r="C1993" s="10"/>
      <c r="D1993" s="13"/>
      <c r="E1993" s="14"/>
      <c r="F1993" s="14"/>
      <c r="G1993" s="14"/>
      <c r="H1993" s="10"/>
      <c r="I1993" s="17"/>
      <c r="J1993" s="10"/>
      <c r="K1993" s="46"/>
      <c r="L1993" s="10"/>
      <c r="M1993" s="20"/>
      <c r="N1993" s="20"/>
      <c r="O1993" s="20"/>
      <c r="P1993" s="20"/>
    </row>
    <row r="1994">
      <c r="A1994" s="23"/>
      <c r="B1994" s="21"/>
      <c r="C1994" s="23"/>
      <c r="D1994" s="24"/>
      <c r="E1994" s="14"/>
      <c r="F1994" s="14"/>
      <c r="G1994" s="14"/>
      <c r="H1994" s="23"/>
      <c r="I1994" s="27"/>
      <c r="J1994" s="23"/>
      <c r="K1994" s="30"/>
      <c r="L1994" s="23"/>
      <c r="M1994" s="20"/>
      <c r="N1994" s="20"/>
      <c r="O1994" s="20"/>
      <c r="P1994" s="20"/>
    </row>
    <row r="1995">
      <c r="A1995" s="10"/>
      <c r="B1995" s="11"/>
      <c r="C1995" s="10"/>
      <c r="D1995" s="13"/>
      <c r="E1995" s="14"/>
      <c r="F1995" s="14"/>
      <c r="G1995" s="14"/>
      <c r="H1995" s="10"/>
      <c r="I1995" s="17"/>
      <c r="J1995" s="10"/>
      <c r="K1995" s="46"/>
      <c r="L1995" s="10"/>
      <c r="M1995" s="20"/>
      <c r="N1995" s="20"/>
      <c r="O1995" s="20"/>
      <c r="P1995" s="20"/>
    </row>
    <row r="1996">
      <c r="A1996" s="23"/>
      <c r="B1996" s="21"/>
      <c r="C1996" s="23"/>
      <c r="D1996" s="24"/>
      <c r="E1996" s="14"/>
      <c r="F1996" s="14"/>
      <c r="G1996" s="14"/>
      <c r="H1996" s="23"/>
      <c r="I1996" s="27"/>
      <c r="J1996" s="23"/>
      <c r="K1996" s="30"/>
      <c r="L1996" s="23"/>
      <c r="M1996" s="20"/>
      <c r="N1996" s="20"/>
      <c r="O1996" s="20"/>
      <c r="P1996" s="20"/>
    </row>
    <row r="1997">
      <c r="A1997" s="10"/>
      <c r="B1997" s="11"/>
      <c r="C1997" s="10"/>
      <c r="D1997" s="13"/>
      <c r="E1997" s="14"/>
      <c r="F1997" s="14"/>
      <c r="G1997" s="14"/>
      <c r="H1997" s="10"/>
      <c r="I1997" s="17"/>
      <c r="J1997" s="10"/>
      <c r="K1997" s="46"/>
      <c r="L1997" s="10"/>
      <c r="M1997" s="20"/>
      <c r="N1997" s="20"/>
      <c r="O1997" s="20"/>
      <c r="P1997" s="20"/>
    </row>
    <row r="1998">
      <c r="A1998" s="23"/>
      <c r="B1998" s="21"/>
      <c r="C1998" s="23"/>
      <c r="D1998" s="24"/>
      <c r="E1998" s="14"/>
      <c r="F1998" s="14"/>
      <c r="G1998" s="14"/>
      <c r="H1998" s="23"/>
      <c r="I1998" s="27"/>
      <c r="J1998" s="23"/>
      <c r="K1998" s="30"/>
      <c r="L1998" s="23"/>
      <c r="M1998" s="20"/>
      <c r="N1998" s="20"/>
      <c r="O1998" s="20"/>
      <c r="P1998" s="20"/>
    </row>
    <row r="1999">
      <c r="A1999" s="10"/>
      <c r="B1999" s="11"/>
      <c r="C1999" s="10"/>
      <c r="D1999" s="13"/>
      <c r="E1999" s="14"/>
      <c r="F1999" s="14"/>
      <c r="G1999" s="14"/>
      <c r="H1999" s="10"/>
      <c r="I1999" s="17"/>
      <c r="J1999" s="10"/>
      <c r="K1999" s="46"/>
      <c r="L1999" s="10"/>
      <c r="M1999" s="20"/>
      <c r="N1999" s="20"/>
      <c r="O1999" s="20"/>
      <c r="P1999" s="20"/>
    </row>
    <row r="2000">
      <c r="A2000" s="23"/>
      <c r="B2000" s="21"/>
      <c r="C2000" s="23"/>
      <c r="D2000" s="24"/>
      <c r="E2000" s="14"/>
      <c r="F2000" s="14"/>
      <c r="G2000" s="14"/>
      <c r="H2000" s="23"/>
      <c r="I2000" s="27"/>
      <c r="J2000" s="23"/>
      <c r="K2000" s="30"/>
      <c r="L2000" s="23"/>
      <c r="M2000" s="20"/>
      <c r="N2000" s="20"/>
      <c r="O2000" s="20"/>
      <c r="P2000" s="20"/>
    </row>
    <row r="2001">
      <c r="A2001" s="10"/>
      <c r="B2001" s="11"/>
      <c r="C2001" s="10"/>
      <c r="D2001" s="13"/>
      <c r="E2001" s="14"/>
      <c r="F2001" s="14"/>
      <c r="G2001" s="14"/>
      <c r="H2001" s="10"/>
      <c r="I2001" s="17"/>
      <c r="J2001" s="10"/>
      <c r="K2001" s="46"/>
      <c r="L2001" s="10"/>
      <c r="M2001" s="20"/>
      <c r="N2001" s="20"/>
      <c r="O2001" s="20"/>
      <c r="P2001" s="20"/>
    </row>
    <row r="2002">
      <c r="A2002" s="23"/>
      <c r="B2002" s="21"/>
      <c r="C2002" s="23"/>
      <c r="D2002" s="24"/>
      <c r="E2002" s="14"/>
      <c r="F2002" s="14"/>
      <c r="G2002" s="14"/>
      <c r="H2002" s="23"/>
      <c r="I2002" s="27"/>
      <c r="J2002" s="23"/>
      <c r="K2002" s="30"/>
      <c r="L2002" s="23"/>
      <c r="M2002" s="20"/>
      <c r="N2002" s="20"/>
      <c r="O2002" s="20"/>
      <c r="P2002" s="20"/>
    </row>
    <row r="2003">
      <c r="A2003" s="10"/>
      <c r="B2003" s="11"/>
      <c r="C2003" s="10"/>
      <c r="D2003" s="13"/>
      <c r="E2003" s="14"/>
      <c r="F2003" s="14"/>
      <c r="G2003" s="14"/>
      <c r="H2003" s="10"/>
      <c r="I2003" s="17"/>
      <c r="J2003" s="10"/>
      <c r="K2003" s="46"/>
      <c r="L2003" s="10"/>
      <c r="M2003" s="20"/>
      <c r="N2003" s="20"/>
      <c r="O2003" s="20"/>
      <c r="P2003" s="20"/>
    </row>
    <row r="2004">
      <c r="A2004" s="23"/>
      <c r="B2004" s="21"/>
      <c r="C2004" s="23"/>
      <c r="D2004" s="24"/>
      <c r="E2004" s="14"/>
      <c r="F2004" s="14"/>
      <c r="G2004" s="14"/>
      <c r="H2004" s="23"/>
      <c r="I2004" s="27"/>
      <c r="J2004" s="23"/>
      <c r="K2004" s="30"/>
      <c r="L2004" s="23"/>
      <c r="M2004" s="20"/>
      <c r="N2004" s="20"/>
      <c r="O2004" s="20"/>
      <c r="P2004" s="20"/>
    </row>
    <row r="2005">
      <c r="A2005" s="10"/>
      <c r="B2005" s="11"/>
      <c r="C2005" s="10"/>
      <c r="D2005" s="13"/>
      <c r="E2005" s="14"/>
      <c r="F2005" s="14"/>
      <c r="G2005" s="14"/>
      <c r="H2005" s="10"/>
      <c r="I2005" s="17"/>
      <c r="J2005" s="10"/>
      <c r="K2005" s="46"/>
      <c r="L2005" s="10"/>
      <c r="M2005" s="20"/>
      <c r="N2005" s="20"/>
      <c r="O2005" s="20"/>
      <c r="P2005" s="20"/>
    </row>
    <row r="2006">
      <c r="A2006" s="23"/>
      <c r="B2006" s="21"/>
      <c r="C2006" s="23"/>
      <c r="D2006" s="24"/>
      <c r="E2006" s="14"/>
      <c r="F2006" s="14"/>
      <c r="G2006" s="14"/>
      <c r="H2006" s="23"/>
      <c r="I2006" s="27"/>
      <c r="J2006" s="23"/>
      <c r="K2006" s="30"/>
      <c r="L2006" s="23"/>
      <c r="M2006" s="20"/>
      <c r="N2006" s="20"/>
      <c r="O2006" s="20"/>
      <c r="P2006" s="20"/>
    </row>
    <row r="2007">
      <c r="A2007" s="10"/>
      <c r="B2007" s="11"/>
      <c r="C2007" s="10"/>
      <c r="D2007" s="13"/>
      <c r="E2007" s="14"/>
      <c r="F2007" s="14"/>
      <c r="G2007" s="14"/>
      <c r="H2007" s="10"/>
      <c r="I2007" s="17"/>
      <c r="J2007" s="10"/>
      <c r="K2007" s="46"/>
      <c r="L2007" s="10"/>
      <c r="M2007" s="20"/>
      <c r="N2007" s="20"/>
      <c r="O2007" s="20"/>
      <c r="P2007" s="20"/>
    </row>
    <row r="2008">
      <c r="A2008" s="23"/>
      <c r="B2008" s="21"/>
      <c r="C2008" s="23"/>
      <c r="D2008" s="24"/>
      <c r="E2008" s="14"/>
      <c r="F2008" s="14"/>
      <c r="G2008" s="14"/>
      <c r="H2008" s="23"/>
      <c r="I2008" s="27"/>
      <c r="J2008" s="23"/>
      <c r="K2008" s="30"/>
      <c r="L2008" s="23"/>
      <c r="M2008" s="20"/>
      <c r="N2008" s="20"/>
      <c r="O2008" s="20"/>
      <c r="P2008" s="20"/>
    </row>
    <row r="2009">
      <c r="A2009" s="10"/>
      <c r="B2009" s="11"/>
      <c r="C2009" s="10"/>
      <c r="D2009" s="13"/>
      <c r="E2009" s="14"/>
      <c r="F2009" s="14"/>
      <c r="G2009" s="14"/>
      <c r="H2009" s="10"/>
      <c r="I2009" s="17"/>
      <c r="J2009" s="10"/>
      <c r="K2009" s="46"/>
      <c r="L2009" s="10"/>
      <c r="M2009" s="20"/>
      <c r="N2009" s="20"/>
      <c r="O2009" s="20"/>
      <c r="P2009" s="20"/>
    </row>
    <row r="2010">
      <c r="A2010" s="23"/>
      <c r="B2010" s="21"/>
      <c r="C2010" s="23"/>
      <c r="D2010" s="24"/>
      <c r="E2010" s="14"/>
      <c r="F2010" s="14"/>
      <c r="G2010" s="14"/>
      <c r="H2010" s="23"/>
      <c r="I2010" s="27"/>
      <c r="J2010" s="23"/>
      <c r="K2010" s="30"/>
      <c r="L2010" s="23"/>
      <c r="M2010" s="20"/>
      <c r="N2010" s="20"/>
      <c r="O2010" s="20"/>
      <c r="P2010" s="20"/>
    </row>
    <row r="2011">
      <c r="A2011" s="10"/>
      <c r="B2011" s="11"/>
      <c r="C2011" s="10"/>
      <c r="D2011" s="13"/>
      <c r="E2011" s="14"/>
      <c r="F2011" s="14"/>
      <c r="G2011" s="14"/>
      <c r="H2011" s="10"/>
      <c r="I2011" s="17"/>
      <c r="J2011" s="10"/>
      <c r="K2011" s="46"/>
      <c r="L2011" s="10"/>
      <c r="M2011" s="20"/>
      <c r="N2011" s="20"/>
      <c r="O2011" s="20"/>
      <c r="P2011" s="20"/>
    </row>
    <row r="2012">
      <c r="A2012" s="23"/>
      <c r="B2012" s="21"/>
      <c r="C2012" s="23"/>
      <c r="D2012" s="24"/>
      <c r="E2012" s="14"/>
      <c r="F2012" s="14"/>
      <c r="G2012" s="14"/>
      <c r="H2012" s="23"/>
      <c r="I2012" s="27"/>
      <c r="J2012" s="23"/>
      <c r="K2012" s="30"/>
      <c r="L2012" s="23"/>
      <c r="M2012" s="20"/>
      <c r="N2012" s="20"/>
      <c r="O2012" s="20"/>
      <c r="P2012" s="20"/>
    </row>
    <row r="2013">
      <c r="A2013" s="10"/>
      <c r="B2013" s="11"/>
      <c r="C2013" s="10"/>
      <c r="D2013" s="13"/>
      <c r="E2013" s="14"/>
      <c r="F2013" s="14"/>
      <c r="G2013" s="14"/>
      <c r="H2013" s="10"/>
      <c r="I2013" s="17"/>
      <c r="J2013" s="10"/>
      <c r="K2013" s="46"/>
      <c r="L2013" s="10"/>
      <c r="M2013" s="20"/>
      <c r="N2013" s="20"/>
      <c r="O2013" s="20"/>
      <c r="P2013" s="20"/>
    </row>
    <row r="2014">
      <c r="A2014" s="23"/>
      <c r="B2014" s="21"/>
      <c r="C2014" s="23"/>
      <c r="D2014" s="24"/>
      <c r="E2014" s="14"/>
      <c r="F2014" s="14"/>
      <c r="G2014" s="14"/>
      <c r="H2014" s="23"/>
      <c r="I2014" s="27"/>
      <c r="J2014" s="23"/>
      <c r="K2014" s="30"/>
      <c r="L2014" s="23"/>
      <c r="M2014" s="20"/>
      <c r="N2014" s="20"/>
      <c r="O2014" s="20"/>
      <c r="P2014" s="20"/>
    </row>
    <row r="2015">
      <c r="A2015" s="10"/>
      <c r="B2015" s="11"/>
      <c r="C2015" s="10"/>
      <c r="D2015" s="13"/>
      <c r="E2015" s="14"/>
      <c r="F2015" s="14"/>
      <c r="G2015" s="14"/>
      <c r="H2015" s="10"/>
      <c r="I2015" s="17"/>
      <c r="J2015" s="10"/>
      <c r="K2015" s="46"/>
      <c r="L2015" s="10"/>
      <c r="M2015" s="20"/>
      <c r="N2015" s="20"/>
      <c r="O2015" s="20"/>
      <c r="P2015" s="20"/>
    </row>
    <row r="2016">
      <c r="A2016" s="23"/>
      <c r="B2016" s="21"/>
      <c r="C2016" s="23"/>
      <c r="D2016" s="24"/>
      <c r="E2016" s="14"/>
      <c r="F2016" s="14"/>
      <c r="G2016" s="14"/>
      <c r="H2016" s="23"/>
      <c r="I2016" s="27"/>
      <c r="J2016" s="23"/>
      <c r="K2016" s="30"/>
      <c r="L2016" s="23"/>
      <c r="M2016" s="20"/>
      <c r="N2016" s="20"/>
      <c r="O2016" s="20"/>
      <c r="P2016" s="20"/>
    </row>
    <row r="2017">
      <c r="A2017" s="10"/>
      <c r="B2017" s="11"/>
      <c r="C2017" s="10"/>
      <c r="D2017" s="13"/>
      <c r="E2017" s="14"/>
      <c r="F2017" s="14"/>
      <c r="G2017" s="14"/>
      <c r="H2017" s="10"/>
      <c r="I2017" s="17"/>
      <c r="J2017" s="10"/>
      <c r="K2017" s="46"/>
      <c r="L2017" s="10"/>
      <c r="M2017" s="20"/>
      <c r="N2017" s="20"/>
      <c r="O2017" s="20"/>
      <c r="P2017" s="20"/>
    </row>
    <row r="2018">
      <c r="A2018" s="23"/>
      <c r="B2018" s="21"/>
      <c r="C2018" s="23"/>
      <c r="D2018" s="24"/>
      <c r="E2018" s="14"/>
      <c r="F2018" s="14"/>
      <c r="G2018" s="14"/>
      <c r="H2018" s="23"/>
      <c r="I2018" s="27"/>
      <c r="J2018" s="23"/>
      <c r="K2018" s="30"/>
      <c r="L2018" s="23"/>
      <c r="M2018" s="20"/>
      <c r="N2018" s="20"/>
      <c r="O2018" s="20"/>
      <c r="P2018" s="20"/>
    </row>
    <row r="2019">
      <c r="A2019" s="10"/>
      <c r="B2019" s="11"/>
      <c r="C2019" s="10"/>
      <c r="D2019" s="13"/>
      <c r="E2019" s="14"/>
      <c r="F2019" s="14"/>
      <c r="G2019" s="14"/>
      <c r="H2019" s="10"/>
      <c r="I2019" s="17"/>
      <c r="J2019" s="10"/>
      <c r="K2019" s="46"/>
      <c r="L2019" s="10"/>
      <c r="M2019" s="20"/>
      <c r="N2019" s="20"/>
      <c r="O2019" s="20"/>
      <c r="P2019" s="20"/>
    </row>
    <row r="2020">
      <c r="A2020" s="23"/>
      <c r="B2020" s="21"/>
      <c r="C2020" s="23"/>
      <c r="D2020" s="24"/>
      <c r="E2020" s="14"/>
      <c r="F2020" s="14"/>
      <c r="G2020" s="14"/>
      <c r="H2020" s="23"/>
      <c r="I2020" s="27"/>
      <c r="J2020" s="23"/>
      <c r="K2020" s="30"/>
      <c r="L2020" s="23"/>
      <c r="M2020" s="20"/>
      <c r="N2020" s="20"/>
      <c r="O2020" s="20"/>
      <c r="P2020" s="20"/>
    </row>
    <row r="2021">
      <c r="A2021" s="10"/>
      <c r="B2021" s="11"/>
      <c r="C2021" s="10"/>
      <c r="D2021" s="13"/>
      <c r="E2021" s="14"/>
      <c r="F2021" s="14"/>
      <c r="G2021" s="14"/>
      <c r="H2021" s="10"/>
      <c r="I2021" s="17"/>
      <c r="J2021" s="10"/>
      <c r="K2021" s="46"/>
      <c r="L2021" s="10"/>
      <c r="M2021" s="20"/>
      <c r="N2021" s="20"/>
      <c r="O2021" s="20"/>
      <c r="P2021" s="20"/>
    </row>
    <row r="2022">
      <c r="A2022" s="23"/>
      <c r="B2022" s="21"/>
      <c r="C2022" s="23"/>
      <c r="D2022" s="24"/>
      <c r="E2022" s="14"/>
      <c r="F2022" s="14"/>
      <c r="G2022" s="14"/>
      <c r="H2022" s="23"/>
      <c r="I2022" s="27"/>
      <c r="J2022" s="23"/>
      <c r="K2022" s="30"/>
      <c r="L2022" s="23"/>
      <c r="M2022" s="20"/>
      <c r="N2022" s="20"/>
      <c r="O2022" s="20"/>
      <c r="P2022" s="20"/>
    </row>
    <row r="2023">
      <c r="A2023" s="10"/>
      <c r="B2023" s="11"/>
      <c r="C2023" s="10"/>
      <c r="D2023" s="13"/>
      <c r="E2023" s="14"/>
      <c r="F2023" s="14"/>
      <c r="G2023" s="14"/>
      <c r="H2023" s="10"/>
      <c r="I2023" s="17"/>
      <c r="J2023" s="10"/>
      <c r="K2023" s="46"/>
      <c r="L2023" s="10"/>
      <c r="M2023" s="20"/>
      <c r="N2023" s="20"/>
      <c r="O2023" s="20"/>
      <c r="P2023" s="20"/>
    </row>
    <row r="2024">
      <c r="A2024" s="23"/>
      <c r="B2024" s="21"/>
      <c r="C2024" s="23"/>
      <c r="D2024" s="24"/>
      <c r="E2024" s="14"/>
      <c r="F2024" s="14"/>
      <c r="G2024" s="14"/>
      <c r="H2024" s="23"/>
      <c r="I2024" s="27"/>
      <c r="J2024" s="23"/>
      <c r="K2024" s="30"/>
      <c r="L2024" s="23"/>
      <c r="M2024" s="20"/>
      <c r="N2024" s="20"/>
      <c r="O2024" s="20"/>
      <c r="P2024" s="20"/>
    </row>
    <row r="2025">
      <c r="A2025" s="10"/>
      <c r="B2025" s="11"/>
      <c r="C2025" s="10"/>
      <c r="D2025" s="13"/>
      <c r="E2025" s="14"/>
      <c r="F2025" s="14"/>
      <c r="G2025" s="14"/>
      <c r="H2025" s="10"/>
      <c r="I2025" s="17"/>
      <c r="J2025" s="10"/>
      <c r="K2025" s="46"/>
      <c r="L2025" s="10"/>
      <c r="M2025" s="20"/>
      <c r="N2025" s="20"/>
      <c r="O2025" s="20"/>
      <c r="P2025" s="20"/>
    </row>
    <row r="2026">
      <c r="A2026" s="23"/>
      <c r="B2026" s="21"/>
      <c r="C2026" s="23"/>
      <c r="D2026" s="24"/>
      <c r="E2026" s="14"/>
      <c r="F2026" s="14"/>
      <c r="G2026" s="14"/>
      <c r="H2026" s="23"/>
      <c r="I2026" s="27"/>
      <c r="J2026" s="23"/>
      <c r="K2026" s="30"/>
      <c r="L2026" s="23"/>
      <c r="M2026" s="20"/>
      <c r="N2026" s="20"/>
      <c r="O2026" s="20"/>
      <c r="P2026" s="20"/>
    </row>
    <row r="2027">
      <c r="A2027" s="10"/>
      <c r="B2027" s="11"/>
      <c r="C2027" s="10"/>
      <c r="D2027" s="13"/>
      <c r="E2027" s="14"/>
      <c r="F2027" s="14"/>
      <c r="G2027" s="14"/>
      <c r="H2027" s="10"/>
      <c r="I2027" s="17"/>
      <c r="J2027" s="10"/>
      <c r="K2027" s="46"/>
      <c r="L2027" s="10"/>
      <c r="M2027" s="20"/>
      <c r="N2027" s="20"/>
      <c r="O2027" s="20"/>
      <c r="P2027" s="20"/>
    </row>
    <row r="2028">
      <c r="A2028" s="23"/>
      <c r="B2028" s="21"/>
      <c r="C2028" s="23"/>
      <c r="D2028" s="24"/>
      <c r="E2028" s="14"/>
      <c r="F2028" s="14"/>
      <c r="G2028" s="14"/>
      <c r="H2028" s="23"/>
      <c r="I2028" s="27"/>
      <c r="J2028" s="23"/>
      <c r="K2028" s="30"/>
      <c r="L2028" s="23"/>
      <c r="M2028" s="20"/>
      <c r="N2028" s="20"/>
      <c r="O2028" s="20"/>
      <c r="P2028" s="20"/>
    </row>
    <row r="2029">
      <c r="A2029" s="10"/>
      <c r="B2029" s="11"/>
      <c r="C2029" s="10"/>
      <c r="D2029" s="13"/>
      <c r="E2029" s="14"/>
      <c r="F2029" s="14"/>
      <c r="G2029" s="14"/>
      <c r="H2029" s="10"/>
      <c r="I2029" s="17"/>
      <c r="J2029" s="10"/>
      <c r="K2029" s="46"/>
      <c r="L2029" s="10"/>
      <c r="M2029" s="20"/>
      <c r="N2029" s="20"/>
      <c r="O2029" s="20"/>
      <c r="P2029" s="20"/>
    </row>
    <row r="2030">
      <c r="A2030" s="23"/>
      <c r="B2030" s="21"/>
      <c r="C2030" s="23"/>
      <c r="D2030" s="24"/>
      <c r="E2030" s="14"/>
      <c r="F2030" s="14"/>
      <c r="G2030" s="14"/>
      <c r="H2030" s="23"/>
      <c r="I2030" s="27"/>
      <c r="J2030" s="23"/>
      <c r="K2030" s="30"/>
      <c r="L2030" s="23"/>
      <c r="M2030" s="20"/>
      <c r="N2030" s="20"/>
      <c r="O2030" s="20"/>
      <c r="P2030" s="20"/>
    </row>
    <row r="2031">
      <c r="A2031" s="10"/>
      <c r="B2031" s="11"/>
      <c r="C2031" s="10"/>
      <c r="D2031" s="13"/>
      <c r="E2031" s="14"/>
      <c r="F2031" s="14"/>
      <c r="G2031" s="14"/>
      <c r="H2031" s="10"/>
      <c r="I2031" s="17"/>
      <c r="J2031" s="10"/>
      <c r="K2031" s="46"/>
      <c r="L2031" s="10"/>
      <c r="M2031" s="20"/>
      <c r="N2031" s="20"/>
      <c r="O2031" s="20"/>
      <c r="P2031" s="20"/>
    </row>
    <row r="2032">
      <c r="A2032" s="23"/>
      <c r="B2032" s="21"/>
      <c r="C2032" s="23"/>
      <c r="D2032" s="24"/>
      <c r="E2032" s="14"/>
      <c r="F2032" s="14"/>
      <c r="G2032" s="14"/>
      <c r="H2032" s="23"/>
      <c r="I2032" s="27"/>
      <c r="J2032" s="23"/>
      <c r="K2032" s="30"/>
      <c r="L2032" s="23"/>
      <c r="M2032" s="20"/>
      <c r="N2032" s="20"/>
      <c r="O2032" s="20"/>
      <c r="P2032" s="20"/>
    </row>
    <row r="2033">
      <c r="A2033" s="10"/>
      <c r="B2033" s="11"/>
      <c r="C2033" s="10"/>
      <c r="D2033" s="13"/>
      <c r="E2033" s="14"/>
      <c r="F2033" s="14"/>
      <c r="G2033" s="14"/>
      <c r="H2033" s="10"/>
      <c r="I2033" s="17"/>
      <c r="J2033" s="10"/>
      <c r="K2033" s="46"/>
      <c r="L2033" s="10"/>
      <c r="M2033" s="20"/>
      <c r="N2033" s="20"/>
      <c r="O2033" s="20"/>
      <c r="P2033" s="20"/>
    </row>
    <row r="2034">
      <c r="A2034" s="23"/>
      <c r="B2034" s="21"/>
      <c r="C2034" s="23"/>
      <c r="D2034" s="24"/>
      <c r="E2034" s="14"/>
      <c r="F2034" s="14"/>
      <c r="G2034" s="14"/>
      <c r="H2034" s="23"/>
      <c r="I2034" s="27"/>
      <c r="J2034" s="23"/>
      <c r="K2034" s="30"/>
      <c r="L2034" s="23"/>
      <c r="M2034" s="20"/>
      <c r="N2034" s="20"/>
      <c r="O2034" s="20"/>
      <c r="P2034" s="20"/>
    </row>
    <row r="2035">
      <c r="A2035" s="10"/>
      <c r="B2035" s="11"/>
      <c r="C2035" s="10"/>
      <c r="D2035" s="13"/>
      <c r="E2035" s="14"/>
      <c r="F2035" s="14"/>
      <c r="G2035" s="14"/>
      <c r="H2035" s="10"/>
      <c r="I2035" s="17"/>
      <c r="J2035" s="10"/>
      <c r="K2035" s="46"/>
      <c r="L2035" s="10"/>
      <c r="M2035" s="20"/>
      <c r="N2035" s="20"/>
      <c r="O2035" s="20"/>
      <c r="P2035" s="20"/>
    </row>
    <row r="2036">
      <c r="A2036" s="23"/>
      <c r="B2036" s="21"/>
      <c r="C2036" s="23"/>
      <c r="D2036" s="24"/>
      <c r="E2036" s="14"/>
      <c r="F2036" s="14"/>
      <c r="G2036" s="14"/>
      <c r="H2036" s="23"/>
      <c r="I2036" s="27"/>
      <c r="J2036" s="23"/>
      <c r="K2036" s="30"/>
      <c r="L2036" s="23"/>
      <c r="M2036" s="20"/>
      <c r="N2036" s="20"/>
      <c r="O2036" s="20"/>
      <c r="P2036" s="20"/>
    </row>
    <row r="2037">
      <c r="A2037" s="10"/>
      <c r="B2037" s="11"/>
      <c r="C2037" s="10"/>
      <c r="D2037" s="13"/>
      <c r="E2037" s="14"/>
      <c r="F2037" s="14"/>
      <c r="G2037" s="14"/>
      <c r="H2037" s="10"/>
      <c r="I2037" s="17"/>
      <c r="J2037" s="10"/>
      <c r="K2037" s="46"/>
      <c r="L2037" s="10"/>
      <c r="M2037" s="20"/>
      <c r="N2037" s="20"/>
      <c r="O2037" s="20"/>
      <c r="P2037" s="20"/>
    </row>
    <row r="2038">
      <c r="A2038" s="23"/>
      <c r="B2038" s="21"/>
      <c r="C2038" s="23"/>
      <c r="D2038" s="24"/>
      <c r="E2038" s="14"/>
      <c r="F2038" s="14"/>
      <c r="G2038" s="14"/>
      <c r="H2038" s="23"/>
      <c r="I2038" s="27"/>
      <c r="J2038" s="23"/>
      <c r="K2038" s="30"/>
      <c r="L2038" s="23"/>
      <c r="M2038" s="20"/>
      <c r="N2038" s="20"/>
      <c r="O2038" s="20"/>
      <c r="P2038" s="20"/>
    </row>
    <row r="2039">
      <c r="A2039" s="10"/>
      <c r="B2039" s="11"/>
      <c r="C2039" s="10"/>
      <c r="D2039" s="13"/>
      <c r="E2039" s="14"/>
      <c r="F2039" s="14"/>
      <c r="G2039" s="14"/>
      <c r="H2039" s="10"/>
      <c r="I2039" s="17"/>
      <c r="J2039" s="10"/>
      <c r="K2039" s="46"/>
      <c r="L2039" s="10"/>
      <c r="M2039" s="20"/>
      <c r="N2039" s="20"/>
      <c r="O2039" s="20"/>
      <c r="P2039" s="20"/>
    </row>
    <row r="2040">
      <c r="A2040" s="23"/>
      <c r="B2040" s="21"/>
      <c r="C2040" s="23"/>
      <c r="D2040" s="24"/>
      <c r="E2040" s="14"/>
      <c r="F2040" s="14"/>
      <c r="G2040" s="14"/>
      <c r="H2040" s="23"/>
      <c r="I2040" s="27"/>
      <c r="J2040" s="23"/>
      <c r="K2040" s="30"/>
      <c r="L2040" s="23"/>
      <c r="M2040" s="20"/>
      <c r="N2040" s="20"/>
      <c r="O2040" s="20"/>
      <c r="P2040" s="20"/>
    </row>
    <row r="2041">
      <c r="A2041" s="10"/>
      <c r="B2041" s="11"/>
      <c r="C2041" s="10"/>
      <c r="D2041" s="13"/>
      <c r="E2041" s="14"/>
      <c r="F2041" s="14"/>
      <c r="G2041" s="14"/>
      <c r="H2041" s="10"/>
      <c r="I2041" s="17"/>
      <c r="J2041" s="10"/>
      <c r="K2041" s="46"/>
      <c r="L2041" s="10"/>
      <c r="M2041" s="20"/>
      <c r="N2041" s="20"/>
      <c r="O2041" s="20"/>
      <c r="P2041" s="20"/>
    </row>
    <row r="2042">
      <c r="A2042" s="23"/>
      <c r="B2042" s="21"/>
      <c r="C2042" s="23"/>
      <c r="D2042" s="24"/>
      <c r="E2042" s="14"/>
      <c r="F2042" s="14"/>
      <c r="G2042" s="14"/>
      <c r="H2042" s="23"/>
      <c r="I2042" s="27"/>
      <c r="J2042" s="23"/>
      <c r="K2042" s="30"/>
      <c r="L2042" s="23"/>
      <c r="M2042" s="20"/>
      <c r="N2042" s="20"/>
      <c r="O2042" s="20"/>
      <c r="P2042" s="20"/>
    </row>
    <row r="2043">
      <c r="A2043" s="10"/>
      <c r="B2043" s="11"/>
      <c r="C2043" s="10"/>
      <c r="D2043" s="13"/>
      <c r="E2043" s="14"/>
      <c r="F2043" s="14"/>
      <c r="G2043" s="14"/>
      <c r="H2043" s="10"/>
      <c r="I2043" s="17"/>
      <c r="J2043" s="10"/>
      <c r="K2043" s="46"/>
      <c r="L2043" s="10"/>
      <c r="M2043" s="20"/>
      <c r="N2043" s="20"/>
      <c r="O2043" s="20"/>
      <c r="P2043" s="20"/>
    </row>
    <row r="2044">
      <c r="A2044" s="23"/>
      <c r="B2044" s="21"/>
      <c r="C2044" s="23"/>
      <c r="D2044" s="24"/>
      <c r="E2044" s="14"/>
      <c r="F2044" s="14"/>
      <c r="G2044" s="14"/>
      <c r="H2044" s="23"/>
      <c r="I2044" s="27"/>
      <c r="J2044" s="23"/>
      <c r="K2044" s="30"/>
      <c r="L2044" s="23"/>
      <c r="M2044" s="20"/>
      <c r="N2044" s="20"/>
      <c r="O2044" s="20"/>
      <c r="P2044" s="20"/>
    </row>
    <row r="2045">
      <c r="A2045" s="10"/>
      <c r="B2045" s="11"/>
      <c r="C2045" s="10"/>
      <c r="D2045" s="13"/>
      <c r="E2045" s="14"/>
      <c r="F2045" s="14"/>
      <c r="G2045" s="14"/>
      <c r="H2045" s="10"/>
      <c r="I2045" s="17"/>
      <c r="J2045" s="10"/>
      <c r="K2045" s="46"/>
      <c r="L2045" s="10"/>
      <c r="M2045" s="20"/>
      <c r="N2045" s="20"/>
      <c r="O2045" s="20"/>
      <c r="P2045" s="20"/>
    </row>
    <row r="2046">
      <c r="A2046" s="23"/>
      <c r="B2046" s="21"/>
      <c r="C2046" s="23"/>
      <c r="D2046" s="24"/>
      <c r="E2046" s="14"/>
      <c r="F2046" s="14"/>
      <c r="G2046" s="14"/>
      <c r="H2046" s="23"/>
      <c r="I2046" s="27"/>
      <c r="J2046" s="23"/>
      <c r="K2046" s="30"/>
      <c r="L2046" s="23"/>
      <c r="M2046" s="20"/>
      <c r="N2046" s="20"/>
      <c r="O2046" s="20"/>
      <c r="P2046" s="20"/>
    </row>
    <row r="2047">
      <c r="A2047" s="10"/>
      <c r="B2047" s="11"/>
      <c r="C2047" s="10"/>
      <c r="D2047" s="13"/>
      <c r="E2047" s="14"/>
      <c r="F2047" s="14"/>
      <c r="G2047" s="14"/>
      <c r="H2047" s="10"/>
      <c r="I2047" s="17"/>
      <c r="J2047" s="10"/>
      <c r="K2047" s="46"/>
      <c r="L2047" s="10"/>
      <c r="M2047" s="20"/>
      <c r="N2047" s="20"/>
      <c r="O2047" s="20"/>
      <c r="P2047" s="20"/>
    </row>
    <row r="2048">
      <c r="A2048" s="23"/>
      <c r="B2048" s="21"/>
      <c r="C2048" s="23"/>
      <c r="D2048" s="24"/>
      <c r="E2048" s="14"/>
      <c r="F2048" s="14"/>
      <c r="G2048" s="14"/>
      <c r="H2048" s="23"/>
      <c r="I2048" s="27"/>
      <c r="J2048" s="23"/>
      <c r="K2048" s="30"/>
      <c r="L2048" s="23"/>
      <c r="M2048" s="20"/>
      <c r="N2048" s="20"/>
      <c r="O2048" s="20"/>
      <c r="P2048" s="20"/>
    </row>
    <row r="2049">
      <c r="A2049" s="10"/>
      <c r="B2049" s="11"/>
      <c r="C2049" s="10"/>
      <c r="D2049" s="13"/>
      <c r="E2049" s="14"/>
      <c r="F2049" s="14"/>
      <c r="G2049" s="14"/>
      <c r="H2049" s="10"/>
      <c r="I2049" s="17"/>
      <c r="J2049" s="10"/>
      <c r="K2049" s="46"/>
      <c r="L2049" s="10"/>
      <c r="M2049" s="20"/>
      <c r="N2049" s="20"/>
      <c r="O2049" s="20"/>
      <c r="P2049" s="20"/>
    </row>
    <row r="2050">
      <c r="A2050" s="23"/>
      <c r="B2050" s="21"/>
      <c r="C2050" s="23"/>
      <c r="D2050" s="24"/>
      <c r="E2050" s="14"/>
      <c r="F2050" s="14"/>
      <c r="G2050" s="14"/>
      <c r="H2050" s="23"/>
      <c r="I2050" s="27"/>
      <c r="J2050" s="23"/>
      <c r="K2050" s="30"/>
      <c r="L2050" s="23"/>
      <c r="M2050" s="20"/>
      <c r="N2050" s="20"/>
      <c r="O2050" s="20"/>
      <c r="P2050" s="20"/>
    </row>
    <row r="2051">
      <c r="A2051" s="10"/>
      <c r="B2051" s="11"/>
      <c r="C2051" s="10"/>
      <c r="D2051" s="13"/>
      <c r="E2051" s="14"/>
      <c r="F2051" s="14"/>
      <c r="G2051" s="14"/>
      <c r="H2051" s="10"/>
      <c r="I2051" s="17"/>
      <c r="J2051" s="10"/>
      <c r="K2051" s="46"/>
      <c r="L2051" s="10"/>
      <c r="M2051" s="20"/>
      <c r="N2051" s="20"/>
      <c r="O2051" s="20"/>
      <c r="P2051" s="20"/>
    </row>
    <row r="2052">
      <c r="A2052" s="23"/>
      <c r="B2052" s="21"/>
      <c r="C2052" s="23"/>
      <c r="D2052" s="24"/>
      <c r="E2052" s="14"/>
      <c r="F2052" s="14"/>
      <c r="G2052" s="14"/>
      <c r="H2052" s="23"/>
      <c r="I2052" s="27"/>
      <c r="J2052" s="23"/>
      <c r="K2052" s="30"/>
      <c r="L2052" s="23"/>
      <c r="M2052" s="20"/>
      <c r="N2052" s="20"/>
      <c r="O2052" s="20"/>
      <c r="P2052" s="20"/>
    </row>
    <row r="2053">
      <c r="A2053" s="10"/>
      <c r="B2053" s="11"/>
      <c r="C2053" s="10"/>
      <c r="D2053" s="13"/>
      <c r="E2053" s="14"/>
      <c r="F2053" s="14"/>
      <c r="G2053" s="14"/>
      <c r="H2053" s="10"/>
      <c r="I2053" s="17"/>
      <c r="J2053" s="10"/>
      <c r="K2053" s="46"/>
      <c r="L2053" s="10"/>
      <c r="M2053" s="20"/>
      <c r="N2053" s="20"/>
      <c r="O2053" s="20"/>
      <c r="P2053" s="20"/>
    </row>
    <row r="2054">
      <c r="A2054" s="23"/>
      <c r="B2054" s="21"/>
      <c r="C2054" s="23"/>
      <c r="D2054" s="24"/>
      <c r="E2054" s="14"/>
      <c r="F2054" s="14"/>
      <c r="G2054" s="14"/>
      <c r="H2054" s="23"/>
      <c r="I2054" s="27"/>
      <c r="J2054" s="23"/>
      <c r="K2054" s="30"/>
      <c r="L2054" s="23"/>
      <c r="M2054" s="20"/>
      <c r="N2054" s="20"/>
      <c r="O2054" s="20"/>
      <c r="P2054" s="20"/>
    </row>
    <row r="2055">
      <c r="A2055" s="10"/>
      <c r="B2055" s="11"/>
      <c r="C2055" s="10"/>
      <c r="D2055" s="13"/>
      <c r="E2055" s="14"/>
      <c r="F2055" s="14"/>
      <c r="G2055" s="14"/>
      <c r="H2055" s="10"/>
      <c r="I2055" s="17"/>
      <c r="J2055" s="10"/>
      <c r="K2055" s="46"/>
      <c r="L2055" s="10"/>
      <c r="M2055" s="20"/>
      <c r="N2055" s="20"/>
      <c r="O2055" s="20"/>
      <c r="P2055" s="20"/>
    </row>
    <row r="2056">
      <c r="A2056" s="23"/>
      <c r="B2056" s="21"/>
      <c r="C2056" s="23"/>
      <c r="D2056" s="24"/>
      <c r="E2056" s="14"/>
      <c r="F2056" s="14"/>
      <c r="G2056" s="14"/>
      <c r="H2056" s="23"/>
      <c r="I2056" s="27"/>
      <c r="J2056" s="23"/>
      <c r="K2056" s="30"/>
      <c r="L2056" s="23"/>
      <c r="M2056" s="20"/>
      <c r="N2056" s="20"/>
      <c r="O2056" s="20"/>
      <c r="P2056" s="20"/>
    </row>
    <row r="2057">
      <c r="A2057" s="10"/>
      <c r="B2057" s="11"/>
      <c r="C2057" s="10"/>
      <c r="D2057" s="13"/>
      <c r="E2057" s="14"/>
      <c r="F2057" s="14"/>
      <c r="G2057" s="14"/>
      <c r="H2057" s="10"/>
      <c r="I2057" s="17"/>
      <c r="J2057" s="10"/>
      <c r="K2057" s="46"/>
      <c r="L2057" s="10"/>
      <c r="M2057" s="20"/>
      <c r="N2057" s="20"/>
      <c r="O2057" s="20"/>
      <c r="P2057" s="20"/>
    </row>
    <row r="2058">
      <c r="A2058" s="23"/>
      <c r="B2058" s="21"/>
      <c r="C2058" s="23"/>
      <c r="D2058" s="24"/>
      <c r="E2058" s="14"/>
      <c r="F2058" s="14"/>
      <c r="G2058" s="14"/>
      <c r="H2058" s="23"/>
      <c r="I2058" s="27"/>
      <c r="J2058" s="23"/>
      <c r="K2058" s="30"/>
      <c r="L2058" s="23"/>
      <c r="M2058" s="20"/>
      <c r="N2058" s="20"/>
      <c r="O2058" s="20"/>
      <c r="P2058" s="20"/>
    </row>
    <row r="2059">
      <c r="A2059" s="10"/>
      <c r="B2059" s="11"/>
      <c r="C2059" s="10"/>
      <c r="D2059" s="13"/>
      <c r="E2059" s="14"/>
      <c r="F2059" s="14"/>
      <c r="G2059" s="14"/>
      <c r="H2059" s="10"/>
      <c r="I2059" s="17"/>
      <c r="J2059" s="10"/>
      <c r="K2059" s="46"/>
      <c r="L2059" s="10"/>
      <c r="M2059" s="20"/>
      <c r="N2059" s="20"/>
      <c r="O2059" s="20"/>
      <c r="P2059" s="20"/>
    </row>
    <row r="2060">
      <c r="A2060" s="23"/>
      <c r="B2060" s="21"/>
      <c r="C2060" s="23"/>
      <c r="D2060" s="24"/>
      <c r="E2060" s="14"/>
      <c r="F2060" s="14"/>
      <c r="G2060" s="14"/>
      <c r="H2060" s="23"/>
      <c r="I2060" s="27"/>
      <c r="J2060" s="23"/>
      <c r="K2060" s="30"/>
      <c r="L2060" s="23"/>
      <c r="M2060" s="20"/>
      <c r="N2060" s="20"/>
      <c r="O2060" s="20"/>
      <c r="P2060" s="20"/>
    </row>
    <row r="2061">
      <c r="A2061" s="10"/>
      <c r="B2061" s="11"/>
      <c r="C2061" s="10"/>
      <c r="D2061" s="13"/>
      <c r="E2061" s="14"/>
      <c r="F2061" s="14"/>
      <c r="G2061" s="14"/>
      <c r="H2061" s="10"/>
      <c r="I2061" s="17"/>
      <c r="J2061" s="10"/>
      <c r="K2061" s="46"/>
      <c r="L2061" s="10"/>
      <c r="M2061" s="20"/>
      <c r="N2061" s="20"/>
      <c r="O2061" s="20"/>
      <c r="P2061" s="20"/>
    </row>
    <row r="2062">
      <c r="A2062" s="23"/>
      <c r="B2062" s="21"/>
      <c r="C2062" s="23"/>
      <c r="D2062" s="24"/>
      <c r="E2062" s="14"/>
      <c r="F2062" s="14"/>
      <c r="G2062" s="14"/>
      <c r="H2062" s="23"/>
      <c r="I2062" s="27"/>
      <c r="J2062" s="23"/>
      <c r="K2062" s="30"/>
      <c r="L2062" s="23"/>
      <c r="M2062" s="20"/>
      <c r="N2062" s="20"/>
      <c r="O2062" s="20"/>
      <c r="P2062" s="20"/>
    </row>
    <row r="2063">
      <c r="A2063" s="10"/>
      <c r="B2063" s="11"/>
      <c r="C2063" s="10"/>
      <c r="D2063" s="13"/>
      <c r="E2063" s="14"/>
      <c r="F2063" s="14"/>
      <c r="G2063" s="14"/>
      <c r="H2063" s="10"/>
      <c r="I2063" s="17"/>
      <c r="J2063" s="10"/>
      <c r="K2063" s="46"/>
      <c r="L2063" s="10"/>
      <c r="M2063" s="20"/>
      <c r="N2063" s="20"/>
      <c r="O2063" s="20"/>
      <c r="P2063" s="20"/>
    </row>
    <row r="2064">
      <c r="A2064" s="23"/>
      <c r="B2064" s="21"/>
      <c r="C2064" s="23"/>
      <c r="D2064" s="24"/>
      <c r="E2064" s="14"/>
      <c r="F2064" s="14"/>
      <c r="G2064" s="14"/>
      <c r="H2064" s="23"/>
      <c r="I2064" s="27"/>
      <c r="J2064" s="23"/>
      <c r="K2064" s="30"/>
      <c r="L2064" s="23"/>
      <c r="M2064" s="20"/>
      <c r="N2064" s="20"/>
      <c r="O2064" s="20"/>
      <c r="P2064" s="20"/>
    </row>
    <row r="2065">
      <c r="A2065" s="10"/>
      <c r="B2065" s="11"/>
      <c r="C2065" s="10"/>
      <c r="D2065" s="13"/>
      <c r="E2065" s="14"/>
      <c r="F2065" s="14"/>
      <c r="G2065" s="14"/>
      <c r="H2065" s="10"/>
      <c r="I2065" s="17"/>
      <c r="J2065" s="10"/>
      <c r="K2065" s="46"/>
      <c r="L2065" s="10"/>
      <c r="M2065" s="20"/>
      <c r="N2065" s="20"/>
      <c r="O2065" s="20"/>
      <c r="P2065" s="20"/>
    </row>
    <row r="2066">
      <c r="A2066" s="23"/>
      <c r="B2066" s="21"/>
      <c r="C2066" s="23"/>
      <c r="D2066" s="24"/>
      <c r="E2066" s="14"/>
      <c r="F2066" s="14"/>
      <c r="G2066" s="14"/>
      <c r="H2066" s="23"/>
      <c r="I2066" s="27"/>
      <c r="J2066" s="23"/>
      <c r="K2066" s="30"/>
      <c r="L2066" s="23"/>
      <c r="M2066" s="20"/>
      <c r="N2066" s="20"/>
      <c r="O2066" s="20"/>
      <c r="P2066" s="20"/>
    </row>
    <row r="2067">
      <c r="A2067" s="10"/>
      <c r="B2067" s="11"/>
      <c r="C2067" s="10"/>
      <c r="D2067" s="13"/>
      <c r="E2067" s="14"/>
      <c r="F2067" s="14"/>
      <c r="G2067" s="14"/>
      <c r="H2067" s="10"/>
      <c r="I2067" s="17"/>
      <c r="J2067" s="10"/>
      <c r="K2067" s="46"/>
      <c r="L2067" s="10"/>
      <c r="M2067" s="20"/>
      <c r="N2067" s="20"/>
      <c r="O2067" s="20"/>
      <c r="P2067" s="20"/>
    </row>
    <row r="2068">
      <c r="A2068" s="23"/>
      <c r="B2068" s="21"/>
      <c r="C2068" s="23"/>
      <c r="D2068" s="24"/>
      <c r="E2068" s="14"/>
      <c r="F2068" s="14"/>
      <c r="G2068" s="14"/>
      <c r="H2068" s="23"/>
      <c r="I2068" s="27"/>
      <c r="J2068" s="23"/>
      <c r="K2068" s="30"/>
      <c r="L2068" s="23"/>
      <c r="M2068" s="20"/>
      <c r="N2068" s="20"/>
      <c r="O2068" s="20"/>
      <c r="P2068" s="20"/>
    </row>
    <row r="2069">
      <c r="A2069" s="10"/>
      <c r="B2069" s="11"/>
      <c r="C2069" s="10"/>
      <c r="D2069" s="13"/>
      <c r="E2069" s="14"/>
      <c r="F2069" s="14"/>
      <c r="G2069" s="14"/>
      <c r="H2069" s="10"/>
      <c r="I2069" s="17"/>
      <c r="J2069" s="10"/>
      <c r="K2069" s="46"/>
      <c r="L2069" s="10"/>
      <c r="M2069" s="20"/>
      <c r="N2069" s="20"/>
      <c r="O2069" s="20"/>
      <c r="P2069" s="20"/>
    </row>
    <row r="2070">
      <c r="A2070" s="23"/>
      <c r="B2070" s="21"/>
      <c r="C2070" s="23"/>
      <c r="D2070" s="24"/>
      <c r="E2070" s="14"/>
      <c r="F2070" s="14"/>
      <c r="G2070" s="14"/>
      <c r="H2070" s="23"/>
      <c r="I2070" s="27"/>
      <c r="J2070" s="23"/>
      <c r="K2070" s="30"/>
      <c r="L2070" s="23"/>
      <c r="M2070" s="20"/>
      <c r="N2070" s="20"/>
      <c r="O2070" s="20"/>
      <c r="P2070" s="20"/>
    </row>
    <row r="2071">
      <c r="A2071" s="10"/>
      <c r="B2071" s="11"/>
      <c r="C2071" s="10"/>
      <c r="D2071" s="13"/>
      <c r="E2071" s="14"/>
      <c r="F2071" s="14"/>
      <c r="G2071" s="14"/>
      <c r="H2071" s="10"/>
      <c r="I2071" s="17"/>
      <c r="J2071" s="10"/>
      <c r="K2071" s="46"/>
      <c r="L2071" s="10"/>
      <c r="M2071" s="20"/>
      <c r="N2071" s="20"/>
      <c r="O2071" s="20"/>
      <c r="P2071" s="20"/>
    </row>
    <row r="2072">
      <c r="A2072" s="23"/>
      <c r="B2072" s="21"/>
      <c r="C2072" s="23"/>
      <c r="D2072" s="24"/>
      <c r="E2072" s="14"/>
      <c r="F2072" s="14"/>
      <c r="G2072" s="14"/>
      <c r="H2072" s="23"/>
      <c r="I2072" s="27"/>
      <c r="J2072" s="23"/>
      <c r="K2072" s="30"/>
      <c r="L2072" s="23"/>
      <c r="M2072" s="20"/>
      <c r="N2072" s="20"/>
      <c r="O2072" s="20"/>
      <c r="P2072" s="20"/>
    </row>
    <row r="2073">
      <c r="A2073" s="10"/>
      <c r="B2073" s="11"/>
      <c r="C2073" s="10"/>
      <c r="D2073" s="13"/>
      <c r="E2073" s="14"/>
      <c r="F2073" s="14"/>
      <c r="G2073" s="14"/>
      <c r="H2073" s="10"/>
      <c r="I2073" s="17"/>
      <c r="J2073" s="10"/>
      <c r="K2073" s="46"/>
      <c r="L2073" s="10"/>
      <c r="M2073" s="20"/>
      <c r="N2073" s="20"/>
      <c r="O2073" s="20"/>
      <c r="P2073" s="20"/>
    </row>
    <row r="2074">
      <c r="A2074" s="23"/>
      <c r="B2074" s="21"/>
      <c r="C2074" s="23"/>
      <c r="D2074" s="24"/>
      <c r="E2074" s="14"/>
      <c r="F2074" s="14"/>
      <c r="G2074" s="14"/>
      <c r="H2074" s="23"/>
      <c r="I2074" s="27"/>
      <c r="J2074" s="23"/>
      <c r="K2074" s="30"/>
      <c r="L2074" s="23"/>
      <c r="M2074" s="20"/>
      <c r="N2074" s="20"/>
      <c r="O2074" s="20"/>
      <c r="P2074" s="20"/>
    </row>
    <row r="2075">
      <c r="A2075" s="10"/>
      <c r="B2075" s="11"/>
      <c r="C2075" s="10"/>
      <c r="D2075" s="13"/>
      <c r="E2075" s="14"/>
      <c r="F2075" s="14"/>
      <c r="G2075" s="14"/>
      <c r="H2075" s="10"/>
      <c r="I2075" s="17"/>
      <c r="J2075" s="10"/>
      <c r="K2075" s="46"/>
      <c r="L2075" s="10"/>
      <c r="M2075" s="20"/>
      <c r="N2075" s="20"/>
      <c r="O2075" s="20"/>
      <c r="P2075" s="20"/>
    </row>
    <row r="2076">
      <c r="A2076" s="23"/>
      <c r="B2076" s="21"/>
      <c r="C2076" s="23"/>
      <c r="D2076" s="24"/>
      <c r="E2076" s="14"/>
      <c r="F2076" s="14"/>
      <c r="G2076" s="14"/>
      <c r="H2076" s="23"/>
      <c r="I2076" s="27"/>
      <c r="J2076" s="23"/>
      <c r="K2076" s="30"/>
      <c r="L2076" s="23"/>
      <c r="M2076" s="20"/>
      <c r="N2076" s="20"/>
      <c r="O2076" s="20"/>
      <c r="P2076" s="20"/>
    </row>
    <row r="2077">
      <c r="A2077" s="10"/>
      <c r="B2077" s="11"/>
      <c r="C2077" s="10"/>
      <c r="D2077" s="13"/>
      <c r="E2077" s="14"/>
      <c r="F2077" s="14"/>
      <c r="G2077" s="14"/>
      <c r="H2077" s="10"/>
      <c r="I2077" s="17"/>
      <c r="J2077" s="10"/>
      <c r="K2077" s="46"/>
      <c r="L2077" s="10"/>
      <c r="M2077" s="20"/>
      <c r="N2077" s="20"/>
      <c r="O2077" s="20"/>
      <c r="P2077" s="20"/>
    </row>
    <row r="2078">
      <c r="A2078" s="23"/>
      <c r="B2078" s="21"/>
      <c r="C2078" s="23"/>
      <c r="D2078" s="24"/>
      <c r="E2078" s="14"/>
      <c r="F2078" s="14"/>
      <c r="G2078" s="14"/>
      <c r="H2078" s="23"/>
      <c r="I2078" s="27"/>
      <c r="J2078" s="23"/>
      <c r="K2078" s="30"/>
      <c r="L2078" s="23"/>
      <c r="M2078" s="20"/>
      <c r="N2078" s="20"/>
      <c r="O2078" s="20"/>
      <c r="P2078" s="20"/>
    </row>
    <row r="2079">
      <c r="A2079" s="10"/>
      <c r="B2079" s="11"/>
      <c r="C2079" s="10"/>
      <c r="D2079" s="13"/>
      <c r="E2079" s="14"/>
      <c r="F2079" s="14"/>
      <c r="G2079" s="14"/>
      <c r="H2079" s="10"/>
      <c r="I2079" s="17"/>
      <c r="J2079" s="10"/>
      <c r="K2079" s="46"/>
      <c r="L2079" s="10"/>
      <c r="M2079" s="20"/>
      <c r="N2079" s="20"/>
      <c r="O2079" s="20"/>
      <c r="P2079" s="20"/>
    </row>
    <row r="2080">
      <c r="A2080" s="23"/>
      <c r="B2080" s="21"/>
      <c r="C2080" s="23"/>
      <c r="D2080" s="24"/>
      <c r="E2080" s="14"/>
      <c r="F2080" s="14"/>
      <c r="G2080" s="14"/>
      <c r="H2080" s="23"/>
      <c r="I2080" s="27"/>
      <c r="J2080" s="23"/>
      <c r="K2080" s="30"/>
      <c r="L2080" s="23"/>
      <c r="M2080" s="20"/>
      <c r="N2080" s="20"/>
      <c r="O2080" s="20"/>
      <c r="P2080" s="20"/>
    </row>
    <row r="2081">
      <c r="A2081" s="10"/>
      <c r="B2081" s="11"/>
      <c r="C2081" s="10"/>
      <c r="D2081" s="13"/>
      <c r="E2081" s="14"/>
      <c r="F2081" s="14"/>
      <c r="G2081" s="14"/>
      <c r="H2081" s="10"/>
      <c r="I2081" s="17"/>
      <c r="J2081" s="10"/>
      <c r="K2081" s="46"/>
      <c r="L2081" s="10"/>
      <c r="M2081" s="20"/>
      <c r="N2081" s="20"/>
      <c r="O2081" s="20"/>
      <c r="P2081" s="20"/>
    </row>
    <row r="2082">
      <c r="A2082" s="23"/>
      <c r="B2082" s="21"/>
      <c r="C2082" s="23"/>
      <c r="D2082" s="24"/>
      <c r="E2082" s="14"/>
      <c r="F2082" s="14"/>
      <c r="G2082" s="14"/>
      <c r="H2082" s="23"/>
      <c r="I2082" s="27"/>
      <c r="J2082" s="23"/>
      <c r="K2082" s="30"/>
      <c r="L2082" s="23"/>
      <c r="M2082" s="20"/>
      <c r="N2082" s="20"/>
      <c r="O2082" s="20"/>
      <c r="P2082" s="20"/>
    </row>
    <row r="2083">
      <c r="A2083" s="10"/>
      <c r="B2083" s="11"/>
      <c r="C2083" s="10"/>
      <c r="D2083" s="13"/>
      <c r="E2083" s="14"/>
      <c r="F2083" s="14"/>
      <c r="G2083" s="14"/>
      <c r="H2083" s="10"/>
      <c r="I2083" s="17"/>
      <c r="J2083" s="10"/>
      <c r="K2083" s="46"/>
      <c r="L2083" s="10"/>
      <c r="M2083" s="20"/>
      <c r="N2083" s="20"/>
      <c r="O2083" s="20"/>
      <c r="P2083" s="20"/>
    </row>
    <row r="2084">
      <c r="A2084" s="23"/>
      <c r="B2084" s="21"/>
      <c r="C2084" s="23"/>
      <c r="D2084" s="24"/>
      <c r="E2084" s="14"/>
      <c r="F2084" s="14"/>
      <c r="G2084" s="14"/>
      <c r="H2084" s="23"/>
      <c r="I2084" s="27"/>
      <c r="J2084" s="23"/>
      <c r="K2084" s="30"/>
      <c r="L2084" s="23"/>
      <c r="M2084" s="20"/>
      <c r="N2084" s="20"/>
      <c r="O2084" s="20"/>
      <c r="P2084" s="20"/>
    </row>
    <row r="2085">
      <c r="A2085" s="10"/>
      <c r="B2085" s="11"/>
      <c r="C2085" s="10"/>
      <c r="D2085" s="13"/>
      <c r="E2085" s="14"/>
      <c r="F2085" s="14"/>
      <c r="G2085" s="14"/>
      <c r="H2085" s="10"/>
      <c r="I2085" s="17"/>
      <c r="J2085" s="10"/>
      <c r="K2085" s="46"/>
      <c r="L2085" s="10"/>
      <c r="M2085" s="20"/>
      <c r="N2085" s="20"/>
      <c r="O2085" s="20"/>
      <c r="P2085" s="20"/>
    </row>
    <row r="2086">
      <c r="A2086" s="23"/>
      <c r="B2086" s="21"/>
      <c r="C2086" s="23"/>
      <c r="D2086" s="24"/>
      <c r="E2086" s="14"/>
      <c r="F2086" s="14"/>
      <c r="G2086" s="14"/>
      <c r="H2086" s="23"/>
      <c r="I2086" s="27"/>
      <c r="J2086" s="23"/>
      <c r="K2086" s="30"/>
      <c r="L2086" s="23"/>
      <c r="M2086" s="20"/>
      <c r="N2086" s="20"/>
      <c r="O2086" s="20"/>
      <c r="P2086" s="20"/>
    </row>
    <row r="2087">
      <c r="A2087" s="10"/>
      <c r="B2087" s="11"/>
      <c r="C2087" s="10"/>
      <c r="D2087" s="13"/>
      <c r="E2087" s="14"/>
      <c r="F2087" s="14"/>
      <c r="G2087" s="14"/>
      <c r="H2087" s="10"/>
      <c r="I2087" s="17"/>
      <c r="J2087" s="10"/>
      <c r="K2087" s="46"/>
      <c r="L2087" s="10"/>
      <c r="M2087" s="20"/>
      <c r="N2087" s="20"/>
      <c r="O2087" s="20"/>
      <c r="P2087" s="20"/>
    </row>
    <row r="2088">
      <c r="A2088" s="23"/>
      <c r="B2088" s="21"/>
      <c r="C2088" s="23"/>
      <c r="D2088" s="24"/>
      <c r="E2088" s="14"/>
      <c r="F2088" s="14"/>
      <c r="G2088" s="14"/>
      <c r="H2088" s="23"/>
      <c r="I2088" s="27"/>
      <c r="J2088" s="23"/>
      <c r="K2088" s="30"/>
      <c r="L2088" s="23"/>
      <c r="M2088" s="20"/>
      <c r="N2088" s="20"/>
      <c r="O2088" s="20"/>
      <c r="P2088" s="20"/>
    </row>
    <row r="2089">
      <c r="A2089" s="10"/>
      <c r="B2089" s="11"/>
      <c r="C2089" s="10"/>
      <c r="D2089" s="13"/>
      <c r="E2089" s="14"/>
      <c r="F2089" s="14"/>
      <c r="G2089" s="14"/>
      <c r="H2089" s="10"/>
      <c r="I2089" s="17"/>
      <c r="J2089" s="10"/>
      <c r="K2089" s="46"/>
      <c r="L2089" s="10"/>
      <c r="M2089" s="20"/>
      <c r="N2089" s="20"/>
      <c r="O2089" s="20"/>
      <c r="P2089" s="20"/>
    </row>
    <row r="2090">
      <c r="A2090" s="23"/>
      <c r="B2090" s="21"/>
      <c r="C2090" s="23"/>
      <c r="D2090" s="24"/>
      <c r="E2090" s="14"/>
      <c r="F2090" s="14"/>
      <c r="G2090" s="14"/>
      <c r="H2090" s="23"/>
      <c r="I2090" s="27"/>
      <c r="J2090" s="23"/>
      <c r="K2090" s="30"/>
      <c r="L2090" s="23"/>
      <c r="M2090" s="20"/>
      <c r="N2090" s="20"/>
      <c r="O2090" s="20"/>
      <c r="P2090" s="20"/>
    </row>
    <row r="2091">
      <c r="A2091" s="10"/>
      <c r="B2091" s="11"/>
      <c r="C2091" s="10"/>
      <c r="D2091" s="13"/>
      <c r="E2091" s="14"/>
      <c r="F2091" s="14"/>
      <c r="G2091" s="14"/>
      <c r="H2091" s="10"/>
      <c r="I2091" s="17"/>
      <c r="J2091" s="10"/>
      <c r="K2091" s="46"/>
      <c r="L2091" s="10"/>
      <c r="M2091" s="20"/>
      <c r="N2091" s="20"/>
      <c r="O2091" s="20"/>
      <c r="P2091" s="20"/>
    </row>
    <row r="2092">
      <c r="A2092" s="23"/>
      <c r="B2092" s="21"/>
      <c r="C2092" s="23"/>
      <c r="D2092" s="24"/>
      <c r="E2092" s="14"/>
      <c r="F2092" s="14"/>
      <c r="G2092" s="14"/>
      <c r="H2092" s="23"/>
      <c r="I2092" s="27"/>
      <c r="J2092" s="23"/>
      <c r="K2092" s="30"/>
      <c r="L2092" s="23"/>
      <c r="M2092" s="20"/>
      <c r="N2092" s="20"/>
      <c r="O2092" s="20"/>
      <c r="P2092" s="20"/>
    </row>
    <row r="2093">
      <c r="A2093" s="10"/>
      <c r="B2093" s="11"/>
      <c r="C2093" s="10"/>
      <c r="D2093" s="13"/>
      <c r="E2093" s="14"/>
      <c r="F2093" s="14"/>
      <c r="G2093" s="14"/>
      <c r="H2093" s="10"/>
      <c r="I2093" s="17"/>
      <c r="J2093" s="10"/>
      <c r="K2093" s="46"/>
      <c r="L2093" s="10"/>
      <c r="M2093" s="20"/>
      <c r="N2093" s="20"/>
      <c r="O2093" s="20"/>
      <c r="P2093" s="20"/>
    </row>
    <row r="2094">
      <c r="A2094" s="23"/>
      <c r="B2094" s="21"/>
      <c r="C2094" s="23"/>
      <c r="D2094" s="24"/>
      <c r="E2094" s="14"/>
      <c r="F2094" s="14"/>
      <c r="G2094" s="14"/>
      <c r="H2094" s="23"/>
      <c r="I2094" s="27"/>
      <c r="J2094" s="23"/>
      <c r="K2094" s="30"/>
      <c r="L2094" s="23"/>
      <c r="M2094" s="20"/>
      <c r="N2094" s="20"/>
      <c r="O2094" s="20"/>
      <c r="P2094" s="20"/>
    </row>
    <row r="2095">
      <c r="A2095" s="10"/>
      <c r="B2095" s="11"/>
      <c r="C2095" s="10"/>
      <c r="D2095" s="13"/>
      <c r="E2095" s="14"/>
      <c r="F2095" s="14"/>
      <c r="G2095" s="14"/>
      <c r="H2095" s="10"/>
      <c r="I2095" s="17"/>
      <c r="J2095" s="10"/>
      <c r="K2095" s="46"/>
      <c r="L2095" s="10"/>
      <c r="M2095" s="20"/>
      <c r="N2095" s="20"/>
      <c r="O2095" s="20"/>
      <c r="P2095" s="20"/>
    </row>
    <row r="2096">
      <c r="A2096" s="23"/>
      <c r="B2096" s="21"/>
      <c r="C2096" s="23"/>
      <c r="D2096" s="24"/>
      <c r="E2096" s="14"/>
      <c r="F2096" s="14"/>
      <c r="G2096" s="14"/>
      <c r="H2096" s="23"/>
      <c r="I2096" s="27"/>
      <c r="J2096" s="23"/>
      <c r="K2096" s="30"/>
      <c r="L2096" s="23"/>
      <c r="M2096" s="20"/>
      <c r="N2096" s="20"/>
      <c r="O2096" s="20"/>
      <c r="P2096" s="20"/>
    </row>
    <row r="2097">
      <c r="A2097" s="10"/>
      <c r="B2097" s="11"/>
      <c r="C2097" s="10"/>
      <c r="D2097" s="13"/>
      <c r="E2097" s="14"/>
      <c r="F2097" s="14"/>
      <c r="G2097" s="14"/>
      <c r="H2097" s="10"/>
      <c r="I2097" s="17"/>
      <c r="J2097" s="10"/>
      <c r="K2097" s="46"/>
      <c r="L2097" s="10"/>
      <c r="M2097" s="20"/>
      <c r="N2097" s="20"/>
      <c r="O2097" s="20"/>
      <c r="P2097" s="20"/>
    </row>
    <row r="2098">
      <c r="A2098" s="23"/>
      <c r="B2098" s="21"/>
      <c r="C2098" s="23"/>
      <c r="D2098" s="24"/>
      <c r="E2098" s="14"/>
      <c r="F2098" s="14"/>
      <c r="G2098" s="14"/>
      <c r="H2098" s="23"/>
      <c r="I2098" s="27"/>
      <c r="J2098" s="23"/>
      <c r="K2098" s="30"/>
      <c r="L2098" s="23"/>
      <c r="M2098" s="20"/>
      <c r="N2098" s="20"/>
      <c r="O2098" s="20"/>
      <c r="P2098" s="20"/>
    </row>
    <row r="2099">
      <c r="A2099" s="10"/>
      <c r="B2099" s="11"/>
      <c r="C2099" s="10"/>
      <c r="D2099" s="13"/>
      <c r="E2099" s="14"/>
      <c r="F2099" s="14"/>
      <c r="G2099" s="14"/>
      <c r="H2099" s="10"/>
      <c r="I2099" s="17"/>
      <c r="J2099" s="10"/>
      <c r="K2099" s="46"/>
      <c r="L2099" s="10"/>
      <c r="M2099" s="20"/>
      <c r="N2099" s="20"/>
      <c r="O2099" s="20"/>
      <c r="P2099" s="20"/>
    </row>
    <row r="2100">
      <c r="A2100" s="23"/>
      <c r="B2100" s="21"/>
      <c r="C2100" s="23"/>
      <c r="D2100" s="24"/>
      <c r="E2100" s="14"/>
      <c r="F2100" s="14"/>
      <c r="G2100" s="14"/>
      <c r="H2100" s="23"/>
      <c r="I2100" s="27"/>
      <c r="J2100" s="23"/>
      <c r="K2100" s="30"/>
      <c r="L2100" s="23"/>
      <c r="M2100" s="20"/>
      <c r="N2100" s="20"/>
      <c r="O2100" s="20"/>
      <c r="P2100" s="20"/>
    </row>
    <row r="2101">
      <c r="A2101" s="10"/>
      <c r="B2101" s="11"/>
      <c r="C2101" s="10"/>
      <c r="D2101" s="13"/>
      <c r="E2101" s="14"/>
      <c r="F2101" s="14"/>
      <c r="G2101" s="14"/>
      <c r="H2101" s="10"/>
      <c r="I2101" s="17"/>
      <c r="J2101" s="10"/>
      <c r="K2101" s="46"/>
      <c r="L2101" s="10"/>
      <c r="M2101" s="20"/>
      <c r="N2101" s="20"/>
      <c r="O2101" s="20"/>
      <c r="P2101" s="20"/>
    </row>
    <row r="2102">
      <c r="A2102" s="23"/>
      <c r="B2102" s="21"/>
      <c r="C2102" s="23"/>
      <c r="D2102" s="24"/>
      <c r="E2102" s="14"/>
      <c r="F2102" s="14"/>
      <c r="G2102" s="14"/>
      <c r="H2102" s="23"/>
      <c r="I2102" s="27"/>
      <c r="J2102" s="23"/>
      <c r="K2102" s="30"/>
      <c r="L2102" s="23"/>
      <c r="M2102" s="20"/>
      <c r="N2102" s="20"/>
      <c r="O2102" s="20"/>
      <c r="P2102" s="20"/>
    </row>
    <row r="2103">
      <c r="A2103" s="10"/>
      <c r="B2103" s="11"/>
      <c r="C2103" s="10"/>
      <c r="D2103" s="13"/>
      <c r="E2103" s="14"/>
      <c r="F2103" s="14"/>
      <c r="G2103" s="14"/>
      <c r="H2103" s="10"/>
      <c r="I2103" s="17"/>
      <c r="J2103" s="10"/>
      <c r="K2103" s="46"/>
      <c r="L2103" s="10"/>
      <c r="M2103" s="20"/>
      <c r="N2103" s="20"/>
      <c r="O2103" s="20"/>
      <c r="P2103" s="20"/>
    </row>
    <row r="2104">
      <c r="A2104" s="23"/>
      <c r="B2104" s="21"/>
      <c r="C2104" s="23"/>
      <c r="D2104" s="24"/>
      <c r="E2104" s="14"/>
      <c r="F2104" s="14"/>
      <c r="G2104" s="14"/>
      <c r="H2104" s="23"/>
      <c r="I2104" s="27"/>
      <c r="J2104" s="23"/>
      <c r="K2104" s="30"/>
      <c r="L2104" s="23"/>
      <c r="M2104" s="20"/>
      <c r="N2104" s="20"/>
      <c r="O2104" s="20"/>
      <c r="P2104" s="20"/>
    </row>
    <row r="2105">
      <c r="A2105" s="10"/>
      <c r="B2105" s="11"/>
      <c r="C2105" s="10"/>
      <c r="D2105" s="13"/>
      <c r="E2105" s="14"/>
      <c r="F2105" s="14"/>
      <c r="G2105" s="14"/>
      <c r="H2105" s="10"/>
      <c r="I2105" s="17"/>
      <c r="J2105" s="10"/>
      <c r="K2105" s="46"/>
      <c r="L2105" s="10"/>
      <c r="M2105" s="20"/>
      <c r="N2105" s="20"/>
      <c r="O2105" s="20"/>
      <c r="P2105" s="20"/>
    </row>
    <row r="2106">
      <c r="A2106" s="23"/>
      <c r="B2106" s="21"/>
      <c r="C2106" s="23"/>
      <c r="D2106" s="24"/>
      <c r="E2106" s="14"/>
      <c r="F2106" s="14"/>
      <c r="G2106" s="14"/>
      <c r="H2106" s="23"/>
      <c r="I2106" s="27"/>
      <c r="J2106" s="23"/>
      <c r="K2106" s="30"/>
      <c r="L2106" s="23"/>
      <c r="M2106" s="20"/>
      <c r="N2106" s="20"/>
      <c r="O2106" s="20"/>
      <c r="P2106" s="20"/>
    </row>
    <row r="2107">
      <c r="A2107" s="10"/>
      <c r="B2107" s="11"/>
      <c r="C2107" s="10"/>
      <c r="D2107" s="13"/>
      <c r="E2107" s="14"/>
      <c r="F2107" s="14"/>
      <c r="G2107" s="14"/>
      <c r="H2107" s="10"/>
      <c r="I2107" s="17"/>
      <c r="J2107" s="10"/>
      <c r="K2107" s="46"/>
      <c r="L2107" s="10"/>
      <c r="M2107" s="20"/>
      <c r="N2107" s="20"/>
      <c r="O2107" s="20"/>
      <c r="P2107" s="20"/>
    </row>
    <row r="2108">
      <c r="A2108" s="23"/>
      <c r="B2108" s="21"/>
      <c r="C2108" s="23"/>
      <c r="D2108" s="24"/>
      <c r="E2108" s="14"/>
      <c r="F2108" s="14"/>
      <c r="G2108" s="14"/>
      <c r="H2108" s="23"/>
      <c r="I2108" s="27"/>
      <c r="J2108" s="23"/>
      <c r="K2108" s="30"/>
      <c r="L2108" s="23"/>
      <c r="M2108" s="20"/>
      <c r="N2108" s="20"/>
      <c r="O2108" s="20"/>
      <c r="P2108" s="20"/>
    </row>
    <row r="2109">
      <c r="A2109" s="10"/>
      <c r="B2109" s="11"/>
      <c r="C2109" s="10"/>
      <c r="D2109" s="13"/>
      <c r="E2109" s="14"/>
      <c r="F2109" s="14"/>
      <c r="G2109" s="14"/>
      <c r="H2109" s="10"/>
      <c r="I2109" s="17"/>
      <c r="J2109" s="10"/>
      <c r="K2109" s="46"/>
      <c r="L2109" s="10"/>
      <c r="M2109" s="20"/>
      <c r="N2109" s="20"/>
      <c r="O2109" s="20"/>
      <c r="P2109" s="20"/>
    </row>
    <row r="2110">
      <c r="A2110" s="23"/>
      <c r="B2110" s="21"/>
      <c r="C2110" s="23"/>
      <c r="D2110" s="24"/>
      <c r="E2110" s="14"/>
      <c r="F2110" s="14"/>
      <c r="G2110" s="14"/>
      <c r="H2110" s="23"/>
      <c r="I2110" s="27"/>
      <c r="J2110" s="23"/>
      <c r="K2110" s="30"/>
      <c r="L2110" s="23"/>
      <c r="M2110" s="20"/>
      <c r="N2110" s="20"/>
      <c r="O2110" s="20"/>
      <c r="P2110" s="20"/>
    </row>
    <row r="2111">
      <c r="A2111" s="10"/>
      <c r="B2111" s="11"/>
      <c r="C2111" s="10"/>
      <c r="D2111" s="13"/>
      <c r="E2111" s="14"/>
      <c r="F2111" s="14"/>
      <c r="G2111" s="14"/>
      <c r="H2111" s="10"/>
      <c r="I2111" s="17"/>
      <c r="J2111" s="10"/>
      <c r="K2111" s="46"/>
      <c r="L2111" s="10"/>
      <c r="M2111" s="20"/>
      <c r="N2111" s="20"/>
      <c r="O2111" s="20"/>
      <c r="P2111" s="20"/>
    </row>
    <row r="2112">
      <c r="A2112" s="23"/>
      <c r="B2112" s="21"/>
      <c r="C2112" s="23"/>
      <c r="D2112" s="24"/>
      <c r="E2112" s="14"/>
      <c r="F2112" s="14"/>
      <c r="G2112" s="14"/>
      <c r="H2112" s="23"/>
      <c r="I2112" s="27"/>
      <c r="J2112" s="23"/>
      <c r="K2112" s="30"/>
      <c r="L2112" s="23"/>
      <c r="M2112" s="20"/>
      <c r="N2112" s="20"/>
      <c r="O2112" s="20"/>
      <c r="P2112" s="20"/>
    </row>
    <row r="2113">
      <c r="A2113" s="10"/>
      <c r="B2113" s="11"/>
      <c r="C2113" s="10"/>
      <c r="D2113" s="13"/>
      <c r="E2113" s="14"/>
      <c r="F2113" s="14"/>
      <c r="G2113" s="14"/>
      <c r="H2113" s="10"/>
      <c r="I2113" s="17"/>
      <c r="J2113" s="10"/>
      <c r="K2113" s="46"/>
      <c r="L2113" s="10"/>
      <c r="M2113" s="20"/>
      <c r="N2113" s="20"/>
      <c r="O2113" s="20"/>
      <c r="P2113" s="20"/>
    </row>
    <row r="2114">
      <c r="A2114" s="23"/>
      <c r="B2114" s="21"/>
      <c r="C2114" s="23"/>
      <c r="D2114" s="24"/>
      <c r="E2114" s="14"/>
      <c r="F2114" s="14"/>
      <c r="G2114" s="14"/>
      <c r="H2114" s="23"/>
      <c r="I2114" s="27"/>
      <c r="J2114" s="23"/>
      <c r="K2114" s="30"/>
      <c r="L2114" s="23"/>
      <c r="M2114" s="20"/>
      <c r="N2114" s="20"/>
      <c r="O2114" s="20"/>
      <c r="P2114" s="20"/>
    </row>
    <row r="2115">
      <c r="A2115" s="10"/>
      <c r="B2115" s="11"/>
      <c r="C2115" s="10"/>
      <c r="D2115" s="13"/>
      <c r="E2115" s="14"/>
      <c r="F2115" s="14"/>
      <c r="G2115" s="14"/>
      <c r="H2115" s="10"/>
      <c r="I2115" s="17"/>
      <c r="J2115" s="10"/>
      <c r="K2115" s="46"/>
      <c r="L2115" s="10"/>
      <c r="M2115" s="20"/>
      <c r="N2115" s="20"/>
      <c r="O2115" s="20"/>
      <c r="P2115" s="20"/>
    </row>
    <row r="2116">
      <c r="A2116" s="23"/>
      <c r="B2116" s="21"/>
      <c r="C2116" s="23"/>
      <c r="D2116" s="24"/>
      <c r="E2116" s="14"/>
      <c r="F2116" s="14"/>
      <c r="G2116" s="14"/>
      <c r="H2116" s="23"/>
      <c r="I2116" s="27"/>
      <c r="J2116" s="23"/>
      <c r="K2116" s="30"/>
      <c r="L2116" s="23"/>
      <c r="M2116" s="20"/>
      <c r="N2116" s="20"/>
      <c r="O2116" s="20"/>
      <c r="P2116" s="20"/>
    </row>
    <row r="2117">
      <c r="A2117" s="10"/>
      <c r="B2117" s="11"/>
      <c r="C2117" s="10"/>
      <c r="D2117" s="13"/>
      <c r="E2117" s="14"/>
      <c r="F2117" s="14"/>
      <c r="G2117" s="14"/>
      <c r="H2117" s="10"/>
      <c r="I2117" s="17"/>
      <c r="J2117" s="10"/>
      <c r="K2117" s="46"/>
      <c r="L2117" s="10"/>
      <c r="M2117" s="20"/>
      <c r="N2117" s="20"/>
      <c r="O2117" s="20"/>
      <c r="P2117" s="20"/>
    </row>
    <row r="2118">
      <c r="A2118" s="23"/>
      <c r="B2118" s="21"/>
      <c r="C2118" s="23"/>
      <c r="D2118" s="24"/>
      <c r="E2118" s="14"/>
      <c r="F2118" s="14"/>
      <c r="G2118" s="14"/>
      <c r="H2118" s="23"/>
      <c r="I2118" s="27"/>
      <c r="J2118" s="23"/>
      <c r="K2118" s="30"/>
      <c r="L2118" s="23"/>
      <c r="M2118" s="20"/>
      <c r="N2118" s="20"/>
      <c r="O2118" s="20"/>
      <c r="P2118" s="20"/>
    </row>
    <row r="2119">
      <c r="A2119" s="10"/>
      <c r="B2119" s="11"/>
      <c r="C2119" s="10"/>
      <c r="D2119" s="13"/>
      <c r="E2119" s="14"/>
      <c r="F2119" s="14"/>
      <c r="G2119" s="14"/>
      <c r="H2119" s="10"/>
      <c r="I2119" s="17"/>
      <c r="J2119" s="10"/>
      <c r="K2119" s="46"/>
      <c r="L2119" s="10"/>
      <c r="M2119" s="20"/>
      <c r="N2119" s="20"/>
      <c r="O2119" s="20"/>
      <c r="P2119" s="20"/>
    </row>
    <row r="2120">
      <c r="A2120" s="23"/>
      <c r="B2120" s="21"/>
      <c r="C2120" s="23"/>
      <c r="D2120" s="24"/>
      <c r="E2120" s="14"/>
      <c r="F2120" s="14"/>
      <c r="G2120" s="14"/>
      <c r="H2120" s="23"/>
      <c r="I2120" s="27"/>
      <c r="J2120" s="23"/>
      <c r="K2120" s="30"/>
      <c r="L2120" s="23"/>
      <c r="M2120" s="20"/>
      <c r="N2120" s="20"/>
      <c r="O2120" s="20"/>
      <c r="P2120" s="20"/>
    </row>
    <row r="2121">
      <c r="A2121" s="10"/>
      <c r="B2121" s="11"/>
      <c r="C2121" s="10"/>
      <c r="D2121" s="13"/>
      <c r="E2121" s="14"/>
      <c r="F2121" s="14"/>
      <c r="G2121" s="14"/>
      <c r="H2121" s="10"/>
      <c r="I2121" s="17"/>
      <c r="J2121" s="10"/>
      <c r="K2121" s="46"/>
      <c r="L2121" s="10"/>
      <c r="M2121" s="20"/>
      <c r="N2121" s="20"/>
      <c r="O2121" s="20"/>
      <c r="P2121" s="20"/>
    </row>
    <row r="2122">
      <c r="A2122" s="23"/>
      <c r="B2122" s="21"/>
      <c r="C2122" s="23"/>
      <c r="D2122" s="24"/>
      <c r="E2122" s="14"/>
      <c r="F2122" s="14"/>
      <c r="G2122" s="14"/>
      <c r="H2122" s="23"/>
      <c r="I2122" s="27"/>
      <c r="J2122" s="23"/>
      <c r="K2122" s="30"/>
      <c r="L2122" s="23"/>
      <c r="M2122" s="20"/>
      <c r="N2122" s="20"/>
      <c r="O2122" s="20"/>
      <c r="P2122" s="20"/>
    </row>
    <row r="2123">
      <c r="A2123" s="10"/>
      <c r="B2123" s="11"/>
      <c r="C2123" s="10"/>
      <c r="D2123" s="13"/>
      <c r="E2123" s="14"/>
      <c r="F2123" s="14"/>
      <c r="G2123" s="14"/>
      <c r="H2123" s="10"/>
      <c r="I2123" s="17"/>
      <c r="J2123" s="10"/>
      <c r="K2123" s="46"/>
      <c r="L2123" s="10"/>
      <c r="M2123" s="20"/>
      <c r="N2123" s="20"/>
      <c r="O2123" s="20"/>
      <c r="P2123" s="20"/>
    </row>
    <row r="2124">
      <c r="A2124" s="23"/>
      <c r="B2124" s="21"/>
      <c r="C2124" s="23"/>
      <c r="D2124" s="24"/>
      <c r="E2124" s="14"/>
      <c r="F2124" s="14"/>
      <c r="G2124" s="14"/>
      <c r="H2124" s="23"/>
      <c r="I2124" s="27"/>
      <c r="J2124" s="23"/>
      <c r="K2124" s="30"/>
      <c r="L2124" s="23"/>
      <c r="M2124" s="20"/>
      <c r="N2124" s="20"/>
      <c r="O2124" s="20"/>
      <c r="P2124" s="20"/>
    </row>
    <row r="2125">
      <c r="A2125" s="10"/>
      <c r="B2125" s="11"/>
      <c r="C2125" s="10"/>
      <c r="D2125" s="13"/>
      <c r="E2125" s="14"/>
      <c r="F2125" s="14"/>
      <c r="G2125" s="14"/>
      <c r="H2125" s="10"/>
      <c r="I2125" s="17"/>
      <c r="J2125" s="10"/>
      <c r="K2125" s="46"/>
      <c r="L2125" s="10"/>
      <c r="M2125" s="20"/>
      <c r="N2125" s="20"/>
      <c r="O2125" s="20"/>
      <c r="P2125" s="20"/>
    </row>
    <row r="2126">
      <c r="A2126" s="23"/>
      <c r="B2126" s="21"/>
      <c r="C2126" s="23"/>
      <c r="D2126" s="24"/>
      <c r="E2126" s="14"/>
      <c r="F2126" s="14"/>
      <c r="G2126" s="14"/>
      <c r="H2126" s="23"/>
      <c r="I2126" s="27"/>
      <c r="J2126" s="23"/>
      <c r="K2126" s="30"/>
      <c r="L2126" s="23"/>
      <c r="M2126" s="20"/>
      <c r="N2126" s="20"/>
      <c r="O2126" s="20"/>
      <c r="P2126" s="20"/>
    </row>
    <row r="2127">
      <c r="A2127" s="10"/>
      <c r="B2127" s="11"/>
      <c r="C2127" s="10"/>
      <c r="D2127" s="13"/>
      <c r="E2127" s="14"/>
      <c r="F2127" s="14"/>
      <c r="G2127" s="14"/>
      <c r="H2127" s="10"/>
      <c r="I2127" s="17"/>
      <c r="J2127" s="10"/>
      <c r="K2127" s="46"/>
      <c r="L2127" s="10"/>
      <c r="M2127" s="20"/>
      <c r="N2127" s="20"/>
      <c r="O2127" s="20"/>
      <c r="P2127" s="20"/>
    </row>
    <row r="2128">
      <c r="A2128" s="23"/>
      <c r="B2128" s="21"/>
      <c r="C2128" s="23"/>
      <c r="D2128" s="24"/>
      <c r="E2128" s="14"/>
      <c r="F2128" s="14"/>
      <c r="G2128" s="14"/>
      <c r="H2128" s="23"/>
      <c r="I2128" s="27"/>
      <c r="J2128" s="23"/>
      <c r="K2128" s="30"/>
      <c r="L2128" s="23"/>
      <c r="M2128" s="20"/>
      <c r="N2128" s="20"/>
      <c r="O2128" s="20"/>
      <c r="P2128" s="20"/>
    </row>
    <row r="2129">
      <c r="A2129" s="10"/>
      <c r="B2129" s="11"/>
      <c r="C2129" s="10"/>
      <c r="D2129" s="13"/>
      <c r="E2129" s="14"/>
      <c r="F2129" s="14"/>
      <c r="G2129" s="14"/>
      <c r="H2129" s="10"/>
      <c r="I2129" s="17"/>
      <c r="J2129" s="10"/>
      <c r="K2129" s="46"/>
      <c r="L2129" s="10"/>
      <c r="M2129" s="20"/>
      <c r="N2129" s="20"/>
      <c r="O2129" s="20"/>
      <c r="P2129" s="20"/>
    </row>
    <row r="2130">
      <c r="A2130" s="23"/>
      <c r="B2130" s="21"/>
      <c r="C2130" s="23"/>
      <c r="D2130" s="24"/>
      <c r="E2130" s="14"/>
      <c r="F2130" s="14"/>
      <c r="G2130" s="14"/>
      <c r="H2130" s="23"/>
      <c r="I2130" s="27"/>
      <c r="J2130" s="23"/>
      <c r="K2130" s="30"/>
      <c r="L2130" s="23"/>
      <c r="M2130" s="20"/>
      <c r="N2130" s="20"/>
      <c r="O2130" s="20"/>
      <c r="P2130" s="20"/>
    </row>
    <row r="2131">
      <c r="A2131" s="10"/>
      <c r="B2131" s="11"/>
      <c r="C2131" s="10"/>
      <c r="D2131" s="13"/>
      <c r="E2131" s="14"/>
      <c r="F2131" s="14"/>
      <c r="G2131" s="14"/>
      <c r="H2131" s="10"/>
      <c r="I2131" s="17"/>
      <c r="J2131" s="10"/>
      <c r="K2131" s="46"/>
      <c r="L2131" s="10"/>
      <c r="M2131" s="20"/>
      <c r="N2131" s="20"/>
      <c r="O2131" s="20"/>
      <c r="P2131" s="20"/>
    </row>
    <row r="2132">
      <c r="A2132" s="23"/>
      <c r="B2132" s="21"/>
      <c r="C2132" s="23"/>
      <c r="D2132" s="24"/>
      <c r="E2132" s="14"/>
      <c r="F2132" s="14"/>
      <c r="G2132" s="14"/>
      <c r="H2132" s="23"/>
      <c r="I2132" s="27"/>
      <c r="J2132" s="23"/>
      <c r="K2132" s="30"/>
      <c r="L2132" s="23"/>
      <c r="M2132" s="20"/>
      <c r="N2132" s="20"/>
      <c r="O2132" s="20"/>
      <c r="P2132" s="20"/>
    </row>
    <row r="2133">
      <c r="A2133" s="10"/>
      <c r="B2133" s="11"/>
      <c r="C2133" s="10"/>
      <c r="D2133" s="13"/>
      <c r="E2133" s="14"/>
      <c r="F2133" s="14"/>
      <c r="G2133" s="14"/>
      <c r="H2133" s="10"/>
      <c r="I2133" s="17"/>
      <c r="J2133" s="10"/>
      <c r="K2133" s="46"/>
      <c r="L2133" s="10"/>
      <c r="M2133" s="20"/>
      <c r="N2133" s="20"/>
      <c r="O2133" s="20"/>
      <c r="P2133" s="20"/>
    </row>
    <row r="2134">
      <c r="A2134" s="23"/>
      <c r="B2134" s="21"/>
      <c r="C2134" s="23"/>
      <c r="D2134" s="24"/>
      <c r="E2134" s="14"/>
      <c r="F2134" s="14"/>
      <c r="G2134" s="14"/>
      <c r="H2134" s="23"/>
      <c r="I2134" s="27"/>
      <c r="J2134" s="23"/>
      <c r="K2134" s="30"/>
      <c r="L2134" s="23"/>
      <c r="M2134" s="20"/>
      <c r="N2134" s="20"/>
      <c r="O2134" s="20"/>
      <c r="P2134" s="20"/>
    </row>
    <row r="2135">
      <c r="A2135" s="10"/>
      <c r="B2135" s="11"/>
      <c r="C2135" s="10"/>
      <c r="D2135" s="13"/>
      <c r="E2135" s="14"/>
      <c r="F2135" s="14"/>
      <c r="G2135" s="14"/>
      <c r="H2135" s="10"/>
      <c r="I2135" s="17"/>
      <c r="J2135" s="10"/>
      <c r="K2135" s="46"/>
      <c r="L2135" s="10"/>
      <c r="M2135" s="20"/>
      <c r="N2135" s="20"/>
      <c r="O2135" s="20"/>
      <c r="P2135" s="20"/>
    </row>
    <row r="2136">
      <c r="A2136" s="23"/>
      <c r="B2136" s="21"/>
      <c r="C2136" s="23"/>
      <c r="D2136" s="24"/>
      <c r="E2136" s="14"/>
      <c r="F2136" s="14"/>
      <c r="G2136" s="14"/>
      <c r="H2136" s="23"/>
      <c r="I2136" s="27"/>
      <c r="J2136" s="23"/>
      <c r="K2136" s="30"/>
      <c r="L2136" s="23"/>
      <c r="M2136" s="20"/>
      <c r="N2136" s="20"/>
      <c r="O2136" s="20"/>
      <c r="P2136" s="20"/>
    </row>
    <row r="2137">
      <c r="A2137" s="10"/>
      <c r="B2137" s="11"/>
      <c r="C2137" s="10"/>
      <c r="D2137" s="13"/>
      <c r="E2137" s="14"/>
      <c r="F2137" s="14"/>
      <c r="G2137" s="14"/>
      <c r="H2137" s="10"/>
      <c r="I2137" s="17"/>
      <c r="J2137" s="10"/>
      <c r="K2137" s="46"/>
      <c r="L2137" s="10"/>
      <c r="M2137" s="20"/>
      <c r="N2137" s="20"/>
      <c r="O2137" s="20"/>
      <c r="P2137" s="20"/>
    </row>
    <row r="2138">
      <c r="A2138" s="23"/>
      <c r="B2138" s="21"/>
      <c r="C2138" s="23"/>
      <c r="D2138" s="24"/>
      <c r="E2138" s="14"/>
      <c r="F2138" s="14"/>
      <c r="G2138" s="14"/>
      <c r="H2138" s="23"/>
      <c r="I2138" s="27"/>
      <c r="J2138" s="23"/>
      <c r="K2138" s="30"/>
      <c r="L2138" s="23"/>
      <c r="M2138" s="20"/>
      <c r="N2138" s="20"/>
      <c r="O2138" s="20"/>
      <c r="P2138" s="20"/>
    </row>
    <row r="2139">
      <c r="A2139" s="10"/>
      <c r="B2139" s="11"/>
      <c r="C2139" s="10"/>
      <c r="D2139" s="13"/>
      <c r="E2139" s="14"/>
      <c r="F2139" s="14"/>
      <c r="G2139" s="14"/>
      <c r="H2139" s="10"/>
      <c r="I2139" s="17"/>
      <c r="J2139" s="10"/>
      <c r="K2139" s="46"/>
      <c r="L2139" s="10"/>
      <c r="M2139" s="20"/>
      <c r="N2139" s="20"/>
      <c r="O2139" s="20"/>
      <c r="P2139" s="20"/>
    </row>
    <row r="2140">
      <c r="A2140" s="23"/>
      <c r="B2140" s="21"/>
      <c r="C2140" s="23"/>
      <c r="D2140" s="24"/>
      <c r="E2140" s="14"/>
      <c r="F2140" s="14"/>
      <c r="G2140" s="14"/>
      <c r="H2140" s="23"/>
      <c r="I2140" s="27"/>
      <c r="J2140" s="23"/>
      <c r="K2140" s="30"/>
      <c r="L2140" s="23"/>
      <c r="M2140" s="20"/>
      <c r="N2140" s="20"/>
      <c r="O2140" s="20"/>
      <c r="P2140" s="20"/>
    </row>
    <row r="2141">
      <c r="A2141" s="10"/>
      <c r="B2141" s="11"/>
      <c r="C2141" s="10"/>
      <c r="D2141" s="13"/>
      <c r="E2141" s="14"/>
      <c r="F2141" s="14"/>
      <c r="G2141" s="14"/>
      <c r="H2141" s="10"/>
      <c r="I2141" s="17"/>
      <c r="J2141" s="10"/>
      <c r="K2141" s="46"/>
      <c r="L2141" s="10"/>
      <c r="M2141" s="20"/>
      <c r="N2141" s="20"/>
      <c r="O2141" s="20"/>
      <c r="P2141" s="20"/>
    </row>
    <row r="2142">
      <c r="A2142" s="23"/>
      <c r="B2142" s="21"/>
      <c r="C2142" s="23"/>
      <c r="D2142" s="24"/>
      <c r="E2142" s="14"/>
      <c r="F2142" s="14"/>
      <c r="G2142" s="14"/>
      <c r="H2142" s="23"/>
      <c r="I2142" s="27"/>
      <c r="J2142" s="23"/>
      <c r="K2142" s="30"/>
      <c r="L2142" s="23"/>
      <c r="M2142" s="20"/>
      <c r="N2142" s="20"/>
      <c r="O2142" s="20"/>
      <c r="P2142" s="20"/>
    </row>
    <row r="2143">
      <c r="A2143" s="10"/>
      <c r="B2143" s="11"/>
      <c r="C2143" s="10"/>
      <c r="D2143" s="13"/>
      <c r="E2143" s="14"/>
      <c r="F2143" s="14"/>
      <c r="G2143" s="14"/>
      <c r="H2143" s="10"/>
      <c r="I2143" s="17"/>
      <c r="J2143" s="10"/>
      <c r="K2143" s="46"/>
      <c r="L2143" s="10"/>
      <c r="M2143" s="20"/>
      <c r="N2143" s="20"/>
      <c r="O2143" s="20"/>
      <c r="P2143" s="20"/>
    </row>
    <row r="2144">
      <c r="A2144" s="23"/>
      <c r="B2144" s="21"/>
      <c r="C2144" s="23"/>
      <c r="D2144" s="24"/>
      <c r="E2144" s="14"/>
      <c r="F2144" s="14"/>
      <c r="G2144" s="14"/>
      <c r="H2144" s="23"/>
      <c r="I2144" s="27"/>
      <c r="J2144" s="23"/>
      <c r="K2144" s="30"/>
      <c r="L2144" s="23"/>
      <c r="M2144" s="20"/>
      <c r="N2144" s="20"/>
      <c r="O2144" s="20"/>
      <c r="P2144" s="20"/>
    </row>
    <row r="2145">
      <c r="A2145" s="10"/>
      <c r="B2145" s="11"/>
      <c r="C2145" s="10"/>
      <c r="D2145" s="13"/>
      <c r="E2145" s="14"/>
      <c r="F2145" s="14"/>
      <c r="G2145" s="14"/>
      <c r="H2145" s="10"/>
      <c r="I2145" s="17"/>
      <c r="J2145" s="10"/>
      <c r="K2145" s="46"/>
      <c r="L2145" s="10"/>
      <c r="M2145" s="20"/>
      <c r="N2145" s="20"/>
      <c r="O2145" s="20"/>
      <c r="P2145" s="20"/>
    </row>
    <row r="2146">
      <c r="A2146" s="23"/>
      <c r="B2146" s="21"/>
      <c r="C2146" s="23"/>
      <c r="D2146" s="24"/>
      <c r="E2146" s="14"/>
      <c r="F2146" s="14"/>
      <c r="G2146" s="14"/>
      <c r="H2146" s="23"/>
      <c r="I2146" s="27"/>
      <c r="J2146" s="23"/>
      <c r="K2146" s="30"/>
      <c r="L2146" s="23"/>
      <c r="M2146" s="20"/>
      <c r="N2146" s="20"/>
      <c r="O2146" s="20"/>
      <c r="P2146" s="20"/>
    </row>
    <row r="2147">
      <c r="A2147" s="10"/>
      <c r="B2147" s="11"/>
      <c r="C2147" s="10"/>
      <c r="D2147" s="13"/>
      <c r="E2147" s="14"/>
      <c r="F2147" s="14"/>
      <c r="G2147" s="14"/>
      <c r="H2147" s="10"/>
      <c r="I2147" s="17"/>
      <c r="J2147" s="10"/>
      <c r="K2147" s="46"/>
      <c r="L2147" s="10"/>
      <c r="M2147" s="20"/>
      <c r="N2147" s="20"/>
      <c r="O2147" s="20"/>
      <c r="P2147" s="20"/>
    </row>
    <row r="2148">
      <c r="A2148" s="23"/>
      <c r="B2148" s="21"/>
      <c r="C2148" s="23"/>
      <c r="D2148" s="24"/>
      <c r="E2148" s="14"/>
      <c r="F2148" s="14"/>
      <c r="G2148" s="14"/>
      <c r="H2148" s="23"/>
      <c r="I2148" s="27"/>
      <c r="J2148" s="23"/>
      <c r="K2148" s="30"/>
      <c r="L2148" s="23"/>
      <c r="M2148" s="20"/>
      <c r="N2148" s="20"/>
      <c r="O2148" s="20"/>
      <c r="P2148" s="20"/>
    </row>
    <row r="2149">
      <c r="A2149" s="10"/>
      <c r="B2149" s="11"/>
      <c r="C2149" s="10"/>
      <c r="D2149" s="13"/>
      <c r="E2149" s="14"/>
      <c r="F2149" s="14"/>
      <c r="G2149" s="14"/>
      <c r="H2149" s="10"/>
      <c r="I2149" s="17"/>
      <c r="J2149" s="10"/>
      <c r="K2149" s="46"/>
      <c r="L2149" s="10"/>
      <c r="M2149" s="20"/>
      <c r="N2149" s="20"/>
      <c r="O2149" s="20"/>
      <c r="P2149" s="20"/>
    </row>
    <row r="2150">
      <c r="A2150" s="23"/>
      <c r="B2150" s="21"/>
      <c r="C2150" s="23"/>
      <c r="D2150" s="24"/>
      <c r="E2150" s="14"/>
      <c r="F2150" s="14"/>
      <c r="G2150" s="14"/>
      <c r="H2150" s="23"/>
      <c r="I2150" s="27"/>
      <c r="J2150" s="23"/>
      <c r="K2150" s="30"/>
      <c r="L2150" s="23"/>
      <c r="M2150" s="20"/>
      <c r="N2150" s="20"/>
      <c r="O2150" s="20"/>
      <c r="P2150" s="20"/>
    </row>
    <row r="2151">
      <c r="A2151" s="10"/>
      <c r="B2151" s="11"/>
      <c r="C2151" s="10"/>
      <c r="D2151" s="13"/>
      <c r="E2151" s="14"/>
      <c r="F2151" s="14"/>
      <c r="G2151" s="14"/>
      <c r="H2151" s="10"/>
      <c r="I2151" s="17"/>
      <c r="J2151" s="10"/>
      <c r="K2151" s="46"/>
      <c r="L2151" s="10"/>
      <c r="M2151" s="20"/>
      <c r="N2151" s="20"/>
      <c r="O2151" s="20"/>
      <c r="P2151" s="20"/>
    </row>
    <row r="2152">
      <c r="A2152" s="23"/>
      <c r="B2152" s="21"/>
      <c r="C2152" s="23"/>
      <c r="D2152" s="24"/>
      <c r="E2152" s="14"/>
      <c r="F2152" s="14"/>
      <c r="G2152" s="14"/>
      <c r="H2152" s="23"/>
      <c r="I2152" s="27"/>
      <c r="J2152" s="23"/>
      <c r="K2152" s="30"/>
      <c r="L2152" s="23"/>
      <c r="M2152" s="20"/>
      <c r="N2152" s="20"/>
      <c r="O2152" s="20"/>
      <c r="P2152" s="20"/>
    </row>
    <row r="2153">
      <c r="A2153" s="10"/>
      <c r="B2153" s="11"/>
      <c r="C2153" s="10"/>
      <c r="D2153" s="13"/>
      <c r="E2153" s="14"/>
      <c r="F2153" s="14"/>
      <c r="G2153" s="14"/>
      <c r="H2153" s="10"/>
      <c r="I2153" s="17"/>
      <c r="J2153" s="10"/>
      <c r="K2153" s="46"/>
      <c r="L2153" s="10"/>
      <c r="M2153" s="20"/>
      <c r="N2153" s="20"/>
      <c r="O2153" s="20"/>
      <c r="P2153" s="20"/>
    </row>
    <row r="2154">
      <c r="A2154" s="23"/>
      <c r="B2154" s="21"/>
      <c r="C2154" s="23"/>
      <c r="D2154" s="24"/>
      <c r="E2154" s="14"/>
      <c r="F2154" s="14"/>
      <c r="G2154" s="14"/>
      <c r="H2154" s="23"/>
      <c r="I2154" s="27"/>
      <c r="J2154" s="23"/>
      <c r="K2154" s="30"/>
      <c r="L2154" s="23"/>
      <c r="M2154" s="20"/>
      <c r="N2154" s="20"/>
      <c r="O2154" s="20"/>
      <c r="P2154" s="20"/>
    </row>
    <row r="2155">
      <c r="A2155" s="10"/>
      <c r="B2155" s="11"/>
      <c r="C2155" s="10"/>
      <c r="D2155" s="13"/>
      <c r="E2155" s="14"/>
      <c r="F2155" s="14"/>
      <c r="G2155" s="14"/>
      <c r="H2155" s="10"/>
      <c r="I2155" s="17"/>
      <c r="J2155" s="10"/>
      <c r="K2155" s="46"/>
      <c r="L2155" s="10"/>
      <c r="M2155" s="20"/>
      <c r="N2155" s="20"/>
      <c r="O2155" s="20"/>
      <c r="P2155" s="20"/>
    </row>
    <row r="2156">
      <c r="A2156" s="23"/>
      <c r="B2156" s="21"/>
      <c r="C2156" s="23"/>
      <c r="D2156" s="24"/>
      <c r="E2156" s="14"/>
      <c r="F2156" s="14"/>
      <c r="G2156" s="14"/>
      <c r="H2156" s="23"/>
      <c r="I2156" s="27"/>
      <c r="J2156" s="23"/>
      <c r="K2156" s="30"/>
      <c r="L2156" s="23"/>
      <c r="M2156" s="20"/>
      <c r="N2156" s="20"/>
      <c r="O2156" s="20"/>
      <c r="P2156" s="20"/>
    </row>
    <row r="2157">
      <c r="A2157" s="10"/>
      <c r="B2157" s="11"/>
      <c r="C2157" s="10"/>
      <c r="D2157" s="13"/>
      <c r="E2157" s="14"/>
      <c r="F2157" s="14"/>
      <c r="G2157" s="14"/>
      <c r="H2157" s="10"/>
      <c r="I2157" s="17"/>
      <c r="J2157" s="10"/>
      <c r="K2157" s="46"/>
      <c r="L2157" s="10"/>
      <c r="M2157" s="20"/>
      <c r="N2157" s="20"/>
      <c r="O2157" s="20"/>
      <c r="P2157" s="20"/>
    </row>
    <row r="2158">
      <c r="A2158" s="23"/>
      <c r="B2158" s="21"/>
      <c r="C2158" s="23"/>
      <c r="D2158" s="24"/>
      <c r="E2158" s="14"/>
      <c r="F2158" s="14"/>
      <c r="G2158" s="14"/>
      <c r="H2158" s="23"/>
      <c r="I2158" s="27"/>
      <c r="J2158" s="23"/>
      <c r="K2158" s="30"/>
      <c r="L2158" s="23"/>
      <c r="M2158" s="20"/>
      <c r="N2158" s="20"/>
      <c r="O2158" s="20"/>
      <c r="P2158" s="20"/>
    </row>
    <row r="2159">
      <c r="A2159" s="10"/>
      <c r="B2159" s="11"/>
      <c r="C2159" s="10"/>
      <c r="D2159" s="13"/>
      <c r="E2159" s="14"/>
      <c r="F2159" s="14"/>
      <c r="G2159" s="14"/>
      <c r="H2159" s="10"/>
      <c r="I2159" s="17"/>
      <c r="J2159" s="10"/>
      <c r="K2159" s="46"/>
      <c r="L2159" s="10"/>
      <c r="M2159" s="20"/>
      <c r="N2159" s="20"/>
      <c r="O2159" s="20"/>
      <c r="P2159" s="20"/>
    </row>
    <row r="2160">
      <c r="A2160" s="23"/>
      <c r="B2160" s="21"/>
      <c r="C2160" s="23"/>
      <c r="D2160" s="24"/>
      <c r="E2160" s="14"/>
      <c r="F2160" s="14"/>
      <c r="G2160" s="14"/>
      <c r="H2160" s="23"/>
      <c r="I2160" s="27"/>
      <c r="J2160" s="23"/>
      <c r="K2160" s="30"/>
      <c r="L2160" s="23"/>
      <c r="M2160" s="20"/>
      <c r="N2160" s="20"/>
      <c r="O2160" s="20"/>
      <c r="P2160" s="20"/>
    </row>
    <row r="2161">
      <c r="A2161" s="10"/>
      <c r="B2161" s="11"/>
      <c r="C2161" s="10"/>
      <c r="D2161" s="13"/>
      <c r="E2161" s="14"/>
      <c r="F2161" s="14"/>
      <c r="G2161" s="14"/>
      <c r="H2161" s="10"/>
      <c r="I2161" s="17"/>
      <c r="J2161" s="10"/>
      <c r="K2161" s="46"/>
      <c r="L2161" s="10"/>
      <c r="M2161" s="20"/>
      <c r="N2161" s="20"/>
      <c r="O2161" s="20"/>
      <c r="P2161" s="20"/>
    </row>
    <row r="2162">
      <c r="A2162" s="23"/>
      <c r="B2162" s="21"/>
      <c r="C2162" s="23"/>
      <c r="D2162" s="24"/>
      <c r="E2162" s="14"/>
      <c r="F2162" s="14"/>
      <c r="G2162" s="14"/>
      <c r="H2162" s="23"/>
      <c r="I2162" s="27"/>
      <c r="J2162" s="23"/>
      <c r="K2162" s="30"/>
      <c r="L2162" s="23"/>
      <c r="M2162" s="20"/>
      <c r="N2162" s="20"/>
      <c r="O2162" s="20"/>
      <c r="P2162" s="20"/>
    </row>
    <row r="2163">
      <c r="A2163" s="10"/>
      <c r="B2163" s="11"/>
      <c r="C2163" s="10"/>
      <c r="D2163" s="13"/>
      <c r="E2163" s="14"/>
      <c r="F2163" s="14"/>
      <c r="G2163" s="14"/>
      <c r="H2163" s="10"/>
      <c r="I2163" s="17"/>
      <c r="J2163" s="10"/>
      <c r="K2163" s="46"/>
      <c r="L2163" s="10"/>
      <c r="M2163" s="20"/>
      <c r="N2163" s="20"/>
      <c r="O2163" s="20"/>
      <c r="P2163" s="20"/>
    </row>
    <row r="2164">
      <c r="A2164" s="23"/>
      <c r="B2164" s="21"/>
      <c r="C2164" s="23"/>
      <c r="D2164" s="24"/>
      <c r="E2164" s="14"/>
      <c r="F2164" s="14"/>
      <c r="G2164" s="14"/>
      <c r="H2164" s="23"/>
      <c r="I2164" s="27"/>
      <c r="J2164" s="23"/>
      <c r="K2164" s="30"/>
      <c r="L2164" s="23"/>
      <c r="M2164" s="20"/>
      <c r="N2164" s="20"/>
      <c r="O2164" s="20"/>
      <c r="P2164" s="20"/>
    </row>
    <row r="2165">
      <c r="A2165" s="10"/>
      <c r="B2165" s="11"/>
      <c r="C2165" s="10"/>
      <c r="D2165" s="13"/>
      <c r="E2165" s="14"/>
      <c r="F2165" s="14"/>
      <c r="G2165" s="14"/>
      <c r="H2165" s="10"/>
      <c r="I2165" s="17"/>
      <c r="J2165" s="10"/>
      <c r="K2165" s="46"/>
      <c r="L2165" s="10"/>
      <c r="M2165" s="20"/>
      <c r="N2165" s="20"/>
      <c r="O2165" s="20"/>
      <c r="P2165" s="20"/>
    </row>
    <row r="2166">
      <c r="A2166" s="23"/>
      <c r="B2166" s="21"/>
      <c r="C2166" s="23"/>
      <c r="D2166" s="24"/>
      <c r="E2166" s="14"/>
      <c r="F2166" s="14"/>
      <c r="G2166" s="14"/>
      <c r="H2166" s="23"/>
      <c r="I2166" s="27"/>
      <c r="J2166" s="23"/>
      <c r="K2166" s="30"/>
      <c r="L2166" s="23"/>
      <c r="M2166" s="20"/>
      <c r="N2166" s="20"/>
      <c r="O2166" s="20"/>
      <c r="P2166" s="20"/>
    </row>
    <row r="2167">
      <c r="A2167" s="10"/>
      <c r="B2167" s="11"/>
      <c r="C2167" s="10"/>
      <c r="D2167" s="13"/>
      <c r="E2167" s="14"/>
      <c r="F2167" s="14"/>
      <c r="G2167" s="14"/>
      <c r="H2167" s="10"/>
      <c r="I2167" s="17"/>
      <c r="J2167" s="10"/>
      <c r="K2167" s="46"/>
      <c r="L2167" s="10"/>
      <c r="M2167" s="20"/>
      <c r="N2167" s="20"/>
      <c r="O2167" s="20"/>
      <c r="P2167" s="20"/>
    </row>
    <row r="2168">
      <c r="A2168" s="23"/>
      <c r="B2168" s="21"/>
      <c r="C2168" s="23"/>
      <c r="D2168" s="24"/>
      <c r="E2168" s="14"/>
      <c r="F2168" s="14"/>
      <c r="G2168" s="14"/>
      <c r="H2168" s="23"/>
      <c r="I2168" s="27"/>
      <c r="J2168" s="23"/>
      <c r="K2168" s="30"/>
      <c r="L2168" s="23"/>
      <c r="M2168" s="20"/>
      <c r="N2168" s="20"/>
      <c r="O2168" s="20"/>
      <c r="P2168" s="20"/>
    </row>
    <row r="2169">
      <c r="A2169" s="10"/>
      <c r="B2169" s="11"/>
      <c r="C2169" s="10"/>
      <c r="D2169" s="13"/>
      <c r="E2169" s="14"/>
      <c r="F2169" s="14"/>
      <c r="G2169" s="14"/>
      <c r="H2169" s="10"/>
      <c r="I2169" s="17"/>
      <c r="J2169" s="10"/>
      <c r="K2169" s="46"/>
      <c r="L2169" s="10"/>
      <c r="M2169" s="20"/>
      <c r="N2169" s="20"/>
      <c r="O2169" s="20"/>
      <c r="P2169" s="20"/>
    </row>
    <row r="2170">
      <c r="A2170" s="23"/>
      <c r="B2170" s="21"/>
      <c r="C2170" s="23"/>
      <c r="D2170" s="24"/>
      <c r="E2170" s="14"/>
      <c r="F2170" s="14"/>
      <c r="G2170" s="14"/>
      <c r="H2170" s="23"/>
      <c r="I2170" s="27"/>
      <c r="J2170" s="23"/>
      <c r="K2170" s="30"/>
      <c r="L2170" s="23"/>
      <c r="M2170" s="20"/>
      <c r="N2170" s="20"/>
      <c r="O2170" s="20"/>
      <c r="P2170" s="20"/>
    </row>
    <row r="2171">
      <c r="A2171" s="10"/>
      <c r="B2171" s="11"/>
      <c r="C2171" s="10"/>
      <c r="D2171" s="13"/>
      <c r="E2171" s="14"/>
      <c r="F2171" s="14"/>
      <c r="G2171" s="14"/>
      <c r="H2171" s="10"/>
      <c r="I2171" s="17"/>
      <c r="J2171" s="10"/>
      <c r="K2171" s="46"/>
      <c r="L2171" s="10"/>
      <c r="M2171" s="20"/>
      <c r="N2171" s="20"/>
      <c r="O2171" s="20"/>
      <c r="P2171" s="20"/>
    </row>
    <row r="2172">
      <c r="A2172" s="23"/>
      <c r="B2172" s="21"/>
      <c r="C2172" s="23"/>
      <c r="D2172" s="24"/>
      <c r="E2172" s="14"/>
      <c r="F2172" s="14"/>
      <c r="G2172" s="14"/>
      <c r="H2172" s="23"/>
      <c r="I2172" s="27"/>
      <c r="J2172" s="23"/>
      <c r="K2172" s="30"/>
      <c r="L2172" s="23"/>
      <c r="M2172" s="20"/>
      <c r="N2172" s="20"/>
      <c r="O2172" s="20"/>
      <c r="P2172" s="20"/>
    </row>
    <row r="2173">
      <c r="A2173" s="10"/>
      <c r="B2173" s="11"/>
      <c r="C2173" s="10"/>
      <c r="D2173" s="13"/>
      <c r="E2173" s="14"/>
      <c r="F2173" s="14"/>
      <c r="G2173" s="14"/>
      <c r="H2173" s="10"/>
      <c r="I2173" s="17"/>
      <c r="J2173" s="10"/>
      <c r="K2173" s="46"/>
      <c r="L2173" s="10"/>
      <c r="M2173" s="20"/>
      <c r="N2173" s="20"/>
      <c r="O2173" s="20"/>
      <c r="P2173" s="20"/>
    </row>
    <row r="2174">
      <c r="A2174" s="23"/>
      <c r="B2174" s="21"/>
      <c r="C2174" s="23"/>
      <c r="D2174" s="24"/>
      <c r="E2174" s="14"/>
      <c r="F2174" s="14"/>
      <c r="G2174" s="14"/>
      <c r="H2174" s="23"/>
      <c r="I2174" s="27"/>
      <c r="J2174" s="23"/>
      <c r="K2174" s="30"/>
      <c r="L2174" s="23"/>
      <c r="M2174" s="20"/>
      <c r="N2174" s="20"/>
      <c r="O2174" s="20"/>
      <c r="P2174" s="20"/>
    </row>
    <row r="2175">
      <c r="A2175" s="10"/>
      <c r="B2175" s="11"/>
      <c r="C2175" s="10"/>
      <c r="D2175" s="13"/>
      <c r="E2175" s="14"/>
      <c r="F2175" s="14"/>
      <c r="G2175" s="14"/>
      <c r="H2175" s="10"/>
      <c r="I2175" s="17"/>
      <c r="J2175" s="10"/>
      <c r="K2175" s="46"/>
      <c r="L2175" s="10"/>
      <c r="M2175" s="20"/>
      <c r="N2175" s="20"/>
      <c r="O2175" s="20"/>
      <c r="P2175" s="20"/>
    </row>
    <row r="2176">
      <c r="A2176" s="23"/>
      <c r="B2176" s="21"/>
      <c r="C2176" s="23"/>
      <c r="D2176" s="24"/>
      <c r="E2176" s="14"/>
      <c r="F2176" s="14"/>
      <c r="G2176" s="14"/>
      <c r="H2176" s="23"/>
      <c r="I2176" s="27"/>
      <c r="J2176" s="23"/>
      <c r="K2176" s="30"/>
      <c r="L2176" s="23"/>
      <c r="M2176" s="20"/>
      <c r="N2176" s="20"/>
      <c r="O2176" s="20"/>
      <c r="P2176" s="20"/>
    </row>
    <row r="2177">
      <c r="A2177" s="10"/>
      <c r="B2177" s="11"/>
      <c r="C2177" s="10"/>
      <c r="D2177" s="13"/>
      <c r="E2177" s="14"/>
      <c r="F2177" s="14"/>
      <c r="G2177" s="14"/>
      <c r="H2177" s="10"/>
      <c r="I2177" s="17"/>
      <c r="J2177" s="10"/>
      <c r="K2177" s="46"/>
      <c r="L2177" s="10"/>
      <c r="M2177" s="20"/>
      <c r="N2177" s="20"/>
      <c r="O2177" s="20"/>
      <c r="P2177" s="20"/>
    </row>
    <row r="2178">
      <c r="A2178" s="23"/>
      <c r="B2178" s="21"/>
      <c r="C2178" s="23"/>
      <c r="D2178" s="24"/>
      <c r="E2178" s="14"/>
      <c r="F2178" s="14"/>
      <c r="G2178" s="14"/>
      <c r="H2178" s="23"/>
      <c r="I2178" s="27"/>
      <c r="J2178" s="23"/>
      <c r="K2178" s="30"/>
      <c r="L2178" s="23"/>
      <c r="M2178" s="20"/>
      <c r="N2178" s="20"/>
      <c r="O2178" s="20"/>
      <c r="P2178" s="20"/>
    </row>
    <row r="2179">
      <c r="A2179" s="10"/>
      <c r="B2179" s="11"/>
      <c r="C2179" s="10"/>
      <c r="D2179" s="13"/>
      <c r="E2179" s="14"/>
      <c r="F2179" s="14"/>
      <c r="G2179" s="14"/>
      <c r="H2179" s="10"/>
      <c r="I2179" s="17"/>
      <c r="J2179" s="10"/>
      <c r="K2179" s="46"/>
      <c r="L2179" s="10"/>
      <c r="M2179" s="20"/>
      <c r="N2179" s="20"/>
      <c r="O2179" s="20"/>
      <c r="P2179" s="20"/>
    </row>
    <row r="2180">
      <c r="A2180" s="23"/>
      <c r="B2180" s="21"/>
      <c r="C2180" s="23"/>
      <c r="D2180" s="24"/>
      <c r="E2180" s="14"/>
      <c r="F2180" s="14"/>
      <c r="G2180" s="14"/>
      <c r="H2180" s="23"/>
      <c r="I2180" s="27"/>
      <c r="J2180" s="23"/>
      <c r="K2180" s="30"/>
      <c r="L2180" s="23"/>
      <c r="M2180" s="20"/>
      <c r="N2180" s="20"/>
      <c r="O2180" s="20"/>
      <c r="P2180" s="20"/>
    </row>
    <row r="2181">
      <c r="A2181" s="10"/>
      <c r="B2181" s="11"/>
      <c r="C2181" s="10"/>
      <c r="D2181" s="13"/>
      <c r="E2181" s="14"/>
      <c r="F2181" s="14"/>
      <c r="G2181" s="14"/>
      <c r="H2181" s="10"/>
      <c r="I2181" s="17"/>
      <c r="J2181" s="10"/>
      <c r="K2181" s="46"/>
      <c r="L2181" s="10"/>
      <c r="M2181" s="20"/>
      <c r="N2181" s="20"/>
      <c r="O2181" s="20"/>
      <c r="P2181" s="20"/>
    </row>
    <row r="2182">
      <c r="A2182" s="23"/>
      <c r="B2182" s="21"/>
      <c r="C2182" s="23"/>
      <c r="D2182" s="24"/>
      <c r="E2182" s="14"/>
      <c r="F2182" s="14"/>
      <c r="G2182" s="14"/>
      <c r="H2182" s="23"/>
      <c r="I2182" s="27"/>
      <c r="J2182" s="23"/>
      <c r="K2182" s="30"/>
      <c r="L2182" s="23"/>
      <c r="M2182" s="20"/>
      <c r="N2182" s="20"/>
      <c r="O2182" s="20"/>
      <c r="P2182" s="20"/>
    </row>
    <row r="2183">
      <c r="A2183" s="10"/>
      <c r="B2183" s="11"/>
      <c r="C2183" s="10"/>
      <c r="D2183" s="13"/>
      <c r="E2183" s="14"/>
      <c r="F2183" s="14"/>
      <c r="G2183" s="14"/>
      <c r="H2183" s="10"/>
      <c r="I2183" s="17"/>
      <c r="J2183" s="10"/>
      <c r="K2183" s="46"/>
      <c r="L2183" s="10"/>
      <c r="M2183" s="20"/>
      <c r="N2183" s="20"/>
      <c r="O2183" s="20"/>
      <c r="P2183" s="20"/>
    </row>
    <row r="2184">
      <c r="A2184" s="23"/>
      <c r="B2184" s="21"/>
      <c r="C2184" s="23"/>
      <c r="D2184" s="24"/>
      <c r="E2184" s="14"/>
      <c r="F2184" s="14"/>
      <c r="G2184" s="14"/>
      <c r="H2184" s="23"/>
      <c r="I2184" s="27"/>
      <c r="J2184" s="23"/>
      <c r="K2184" s="30"/>
      <c r="L2184" s="23"/>
      <c r="M2184" s="20"/>
      <c r="N2184" s="20"/>
      <c r="O2184" s="20"/>
      <c r="P2184" s="20"/>
    </row>
    <row r="2185">
      <c r="A2185" s="10"/>
      <c r="B2185" s="11"/>
      <c r="C2185" s="10"/>
      <c r="D2185" s="13"/>
      <c r="E2185" s="14"/>
      <c r="F2185" s="14"/>
      <c r="G2185" s="14"/>
      <c r="H2185" s="10"/>
      <c r="I2185" s="17"/>
      <c r="J2185" s="10"/>
      <c r="K2185" s="46"/>
      <c r="L2185" s="10"/>
      <c r="M2185" s="20"/>
      <c r="N2185" s="20"/>
      <c r="O2185" s="20"/>
      <c r="P2185" s="20"/>
    </row>
    <row r="2186">
      <c r="A2186" s="23"/>
      <c r="B2186" s="21"/>
      <c r="C2186" s="23"/>
      <c r="D2186" s="24"/>
      <c r="E2186" s="14"/>
      <c r="F2186" s="14"/>
      <c r="G2186" s="14"/>
      <c r="H2186" s="23"/>
      <c r="I2186" s="27"/>
      <c r="J2186" s="23"/>
      <c r="K2186" s="30"/>
      <c r="L2186" s="23"/>
      <c r="M2186" s="20"/>
      <c r="N2186" s="20"/>
      <c r="O2186" s="20"/>
      <c r="P2186" s="20"/>
    </row>
    <row r="2187">
      <c r="A2187" s="10"/>
      <c r="B2187" s="11"/>
      <c r="C2187" s="10"/>
      <c r="D2187" s="13"/>
      <c r="E2187" s="14"/>
      <c r="F2187" s="14"/>
      <c r="G2187" s="14"/>
      <c r="H2187" s="10"/>
      <c r="I2187" s="17"/>
      <c r="J2187" s="10"/>
      <c r="K2187" s="46"/>
      <c r="L2187" s="10"/>
      <c r="M2187" s="20"/>
      <c r="N2187" s="20"/>
      <c r="O2187" s="20"/>
      <c r="P2187" s="20"/>
    </row>
    <row r="2188">
      <c r="A2188" s="23"/>
      <c r="B2188" s="21"/>
      <c r="C2188" s="23"/>
      <c r="D2188" s="24"/>
      <c r="E2188" s="14"/>
      <c r="F2188" s="14"/>
      <c r="G2188" s="14"/>
      <c r="H2188" s="23"/>
      <c r="I2188" s="27"/>
      <c r="J2188" s="23"/>
      <c r="K2188" s="30"/>
      <c r="L2188" s="23"/>
      <c r="M2188" s="20"/>
      <c r="N2188" s="20"/>
      <c r="O2188" s="20"/>
      <c r="P2188" s="20"/>
    </row>
    <row r="2189">
      <c r="A2189" s="10"/>
      <c r="B2189" s="11"/>
      <c r="C2189" s="10"/>
      <c r="D2189" s="13"/>
      <c r="E2189" s="14"/>
      <c r="F2189" s="14"/>
      <c r="G2189" s="14"/>
      <c r="H2189" s="10"/>
      <c r="I2189" s="17"/>
      <c r="J2189" s="10"/>
      <c r="K2189" s="46"/>
      <c r="L2189" s="10"/>
      <c r="M2189" s="20"/>
      <c r="N2189" s="20"/>
      <c r="O2189" s="20"/>
      <c r="P2189" s="20"/>
    </row>
    <row r="2190">
      <c r="A2190" s="23"/>
      <c r="B2190" s="21"/>
      <c r="C2190" s="23"/>
      <c r="D2190" s="24"/>
      <c r="E2190" s="14"/>
      <c r="F2190" s="14"/>
      <c r="G2190" s="14"/>
      <c r="H2190" s="23"/>
      <c r="I2190" s="27"/>
      <c r="J2190" s="23"/>
      <c r="K2190" s="30"/>
      <c r="L2190" s="23"/>
      <c r="M2190" s="20"/>
      <c r="N2190" s="20"/>
      <c r="O2190" s="20"/>
      <c r="P2190" s="20"/>
    </row>
    <row r="2191">
      <c r="A2191" s="10"/>
      <c r="B2191" s="11"/>
      <c r="C2191" s="10"/>
      <c r="D2191" s="13"/>
      <c r="E2191" s="14"/>
      <c r="F2191" s="14"/>
      <c r="G2191" s="14"/>
      <c r="H2191" s="10"/>
      <c r="I2191" s="17"/>
      <c r="J2191" s="10"/>
      <c r="K2191" s="46"/>
      <c r="L2191" s="10"/>
      <c r="M2191" s="20"/>
      <c r="N2191" s="20"/>
      <c r="O2191" s="20"/>
      <c r="P2191" s="20"/>
    </row>
    <row r="2192">
      <c r="A2192" s="23"/>
      <c r="B2192" s="21"/>
      <c r="C2192" s="23"/>
      <c r="D2192" s="24"/>
      <c r="E2192" s="14"/>
      <c r="F2192" s="14"/>
      <c r="G2192" s="14"/>
      <c r="H2192" s="23"/>
      <c r="I2192" s="27"/>
      <c r="J2192" s="23"/>
      <c r="K2192" s="30"/>
      <c r="L2192" s="23"/>
      <c r="M2192" s="20"/>
      <c r="N2192" s="20"/>
      <c r="O2192" s="20"/>
      <c r="P2192" s="20"/>
    </row>
    <row r="2193">
      <c r="A2193" s="10"/>
      <c r="B2193" s="11"/>
      <c r="C2193" s="10"/>
      <c r="D2193" s="13"/>
      <c r="E2193" s="14"/>
      <c r="F2193" s="14"/>
      <c r="G2193" s="14"/>
      <c r="H2193" s="10"/>
      <c r="I2193" s="17"/>
      <c r="J2193" s="10"/>
      <c r="K2193" s="46"/>
      <c r="L2193" s="10"/>
      <c r="M2193" s="20"/>
      <c r="N2193" s="20"/>
      <c r="O2193" s="20"/>
      <c r="P2193" s="20"/>
    </row>
    <row r="2194">
      <c r="A2194" s="23"/>
      <c r="B2194" s="21"/>
      <c r="C2194" s="23"/>
      <c r="D2194" s="24"/>
      <c r="E2194" s="14"/>
      <c r="F2194" s="14"/>
      <c r="G2194" s="14"/>
      <c r="H2194" s="23"/>
      <c r="I2194" s="27"/>
      <c r="J2194" s="23"/>
      <c r="K2194" s="30"/>
      <c r="L2194" s="23"/>
      <c r="M2194" s="20"/>
      <c r="N2194" s="20"/>
      <c r="O2194" s="20"/>
      <c r="P2194" s="20"/>
    </row>
    <row r="2195">
      <c r="A2195" s="10"/>
      <c r="B2195" s="11"/>
      <c r="C2195" s="10"/>
      <c r="D2195" s="13"/>
      <c r="E2195" s="14"/>
      <c r="F2195" s="14"/>
      <c r="G2195" s="14"/>
      <c r="H2195" s="10"/>
      <c r="I2195" s="17"/>
      <c r="J2195" s="10"/>
      <c r="K2195" s="46"/>
      <c r="L2195" s="10"/>
      <c r="M2195" s="20"/>
      <c r="N2195" s="20"/>
      <c r="O2195" s="20"/>
      <c r="P2195" s="20"/>
    </row>
    <row r="2196">
      <c r="A2196" s="23"/>
      <c r="B2196" s="21"/>
      <c r="C2196" s="23"/>
      <c r="D2196" s="24"/>
      <c r="E2196" s="14"/>
      <c r="F2196" s="14"/>
      <c r="G2196" s="14"/>
      <c r="H2196" s="23"/>
      <c r="I2196" s="27"/>
      <c r="J2196" s="23"/>
      <c r="K2196" s="30"/>
      <c r="L2196" s="23"/>
      <c r="M2196" s="20"/>
      <c r="N2196" s="20"/>
      <c r="O2196" s="20"/>
      <c r="P2196" s="20"/>
    </row>
    <row r="2197">
      <c r="A2197" s="10"/>
      <c r="B2197" s="11"/>
      <c r="C2197" s="10"/>
      <c r="D2197" s="13"/>
      <c r="E2197" s="14"/>
      <c r="F2197" s="14"/>
      <c r="G2197" s="14"/>
      <c r="H2197" s="10"/>
      <c r="I2197" s="17"/>
      <c r="J2197" s="10"/>
      <c r="K2197" s="46"/>
      <c r="L2197" s="10"/>
      <c r="M2197" s="20"/>
      <c r="N2197" s="20"/>
      <c r="O2197" s="20"/>
      <c r="P2197" s="20"/>
    </row>
    <row r="2198">
      <c r="A2198" s="23"/>
      <c r="B2198" s="21"/>
      <c r="C2198" s="23"/>
      <c r="D2198" s="24"/>
      <c r="E2198" s="14"/>
      <c r="F2198" s="14"/>
      <c r="G2198" s="14"/>
      <c r="H2198" s="23"/>
      <c r="I2198" s="27"/>
      <c r="J2198" s="23"/>
      <c r="K2198" s="30"/>
      <c r="L2198" s="23"/>
      <c r="M2198" s="20"/>
      <c r="N2198" s="20"/>
      <c r="O2198" s="20"/>
      <c r="P2198" s="20"/>
    </row>
    <row r="2199">
      <c r="A2199" s="10"/>
      <c r="B2199" s="11"/>
      <c r="C2199" s="10"/>
      <c r="D2199" s="13"/>
      <c r="E2199" s="14"/>
      <c r="F2199" s="14"/>
      <c r="G2199" s="14"/>
      <c r="H2199" s="10"/>
      <c r="I2199" s="17"/>
      <c r="J2199" s="10"/>
      <c r="K2199" s="46"/>
      <c r="L2199" s="10"/>
      <c r="M2199" s="20"/>
      <c r="N2199" s="20"/>
      <c r="O2199" s="20"/>
      <c r="P2199" s="20"/>
    </row>
    <row r="2200">
      <c r="A2200" s="23"/>
      <c r="B2200" s="21"/>
      <c r="C2200" s="23"/>
      <c r="D2200" s="24"/>
      <c r="E2200" s="14"/>
      <c r="F2200" s="14"/>
      <c r="G2200" s="14"/>
      <c r="H2200" s="23"/>
      <c r="I2200" s="27"/>
      <c r="J2200" s="23"/>
      <c r="K2200" s="30"/>
      <c r="L2200" s="23"/>
      <c r="M2200" s="20"/>
      <c r="N2200" s="20"/>
      <c r="O2200" s="20"/>
      <c r="P2200" s="20"/>
    </row>
    <row r="2201">
      <c r="A2201" s="10"/>
      <c r="B2201" s="11"/>
      <c r="C2201" s="10"/>
      <c r="D2201" s="13"/>
      <c r="E2201" s="14"/>
      <c r="F2201" s="14"/>
      <c r="G2201" s="14"/>
      <c r="H2201" s="10"/>
      <c r="I2201" s="17"/>
      <c r="J2201" s="10"/>
      <c r="K2201" s="46"/>
      <c r="L2201" s="10"/>
      <c r="M2201" s="20"/>
      <c r="N2201" s="20"/>
      <c r="O2201" s="20"/>
      <c r="P2201" s="20"/>
    </row>
    <row r="2202">
      <c r="A2202" s="23"/>
      <c r="B2202" s="21"/>
      <c r="C2202" s="23"/>
      <c r="D2202" s="24"/>
      <c r="E2202" s="14"/>
      <c r="F2202" s="14"/>
      <c r="G2202" s="14"/>
      <c r="H2202" s="23"/>
      <c r="I2202" s="27"/>
      <c r="J2202" s="23"/>
      <c r="K2202" s="30"/>
      <c r="L2202" s="23"/>
      <c r="M2202" s="20"/>
      <c r="N2202" s="20"/>
      <c r="O2202" s="20"/>
      <c r="P2202" s="20"/>
    </row>
    <row r="2203">
      <c r="A2203" s="10"/>
      <c r="B2203" s="11"/>
      <c r="C2203" s="10"/>
      <c r="D2203" s="13"/>
      <c r="E2203" s="14"/>
      <c r="F2203" s="14"/>
      <c r="G2203" s="14"/>
      <c r="H2203" s="10"/>
      <c r="I2203" s="17"/>
      <c r="J2203" s="10"/>
      <c r="K2203" s="46"/>
      <c r="L2203" s="10"/>
      <c r="M2203" s="20"/>
      <c r="N2203" s="20"/>
      <c r="O2203" s="20"/>
      <c r="P2203" s="20"/>
    </row>
    <row r="2204">
      <c r="A2204" s="23"/>
      <c r="B2204" s="21"/>
      <c r="C2204" s="23"/>
      <c r="D2204" s="24"/>
      <c r="E2204" s="14"/>
      <c r="F2204" s="14"/>
      <c r="G2204" s="14"/>
      <c r="H2204" s="23"/>
      <c r="I2204" s="27"/>
      <c r="J2204" s="23"/>
      <c r="K2204" s="30"/>
      <c r="L2204" s="23"/>
      <c r="M2204" s="20"/>
      <c r="N2204" s="20"/>
      <c r="O2204" s="20"/>
      <c r="P2204" s="20"/>
    </row>
    <row r="2205">
      <c r="A2205" s="10"/>
      <c r="B2205" s="11"/>
      <c r="C2205" s="10"/>
      <c r="D2205" s="13"/>
      <c r="E2205" s="14"/>
      <c r="F2205" s="14"/>
      <c r="G2205" s="14"/>
      <c r="H2205" s="10"/>
      <c r="I2205" s="17"/>
      <c r="J2205" s="10"/>
      <c r="K2205" s="46"/>
      <c r="L2205" s="10"/>
      <c r="M2205" s="20"/>
      <c r="N2205" s="20"/>
      <c r="O2205" s="20"/>
      <c r="P2205" s="20"/>
    </row>
    <row r="2206">
      <c r="A2206" s="23"/>
      <c r="B2206" s="21"/>
      <c r="C2206" s="23"/>
      <c r="D2206" s="24"/>
      <c r="E2206" s="14"/>
      <c r="F2206" s="14"/>
      <c r="G2206" s="14"/>
      <c r="H2206" s="23"/>
      <c r="I2206" s="27"/>
      <c r="J2206" s="23"/>
      <c r="K2206" s="30"/>
      <c r="L2206" s="23"/>
      <c r="M2206" s="20"/>
      <c r="N2206" s="20"/>
      <c r="O2206" s="20"/>
      <c r="P2206" s="20"/>
    </row>
    <row r="2207">
      <c r="A2207" s="10"/>
      <c r="B2207" s="11"/>
      <c r="C2207" s="10"/>
      <c r="D2207" s="13"/>
      <c r="E2207" s="14"/>
      <c r="F2207" s="14"/>
      <c r="G2207" s="14"/>
      <c r="H2207" s="10"/>
      <c r="I2207" s="17"/>
      <c r="J2207" s="10"/>
      <c r="K2207" s="46"/>
      <c r="L2207" s="10"/>
      <c r="M2207" s="20"/>
      <c r="N2207" s="20"/>
      <c r="O2207" s="20"/>
      <c r="P2207" s="20"/>
    </row>
    <row r="2208">
      <c r="A2208" s="23"/>
      <c r="B2208" s="21"/>
      <c r="C2208" s="23"/>
      <c r="D2208" s="24"/>
      <c r="E2208" s="14"/>
      <c r="F2208" s="14"/>
      <c r="G2208" s="14"/>
      <c r="H2208" s="23"/>
      <c r="I2208" s="27"/>
      <c r="J2208" s="23"/>
      <c r="K2208" s="30"/>
      <c r="L2208" s="23"/>
      <c r="M2208" s="20"/>
      <c r="N2208" s="20"/>
      <c r="O2208" s="20"/>
      <c r="P2208" s="20"/>
    </row>
    <row r="2209">
      <c r="A2209" s="10"/>
      <c r="B2209" s="11"/>
      <c r="C2209" s="10"/>
      <c r="D2209" s="13"/>
      <c r="E2209" s="14"/>
      <c r="F2209" s="14"/>
      <c r="G2209" s="14"/>
      <c r="H2209" s="10"/>
      <c r="I2209" s="17"/>
      <c r="J2209" s="10"/>
      <c r="K2209" s="46"/>
      <c r="L2209" s="10"/>
      <c r="M2209" s="20"/>
      <c r="N2209" s="20"/>
      <c r="O2209" s="20"/>
      <c r="P2209" s="20"/>
    </row>
    <row r="2210">
      <c r="A2210" s="23"/>
      <c r="B2210" s="21"/>
      <c r="C2210" s="23"/>
      <c r="D2210" s="24"/>
      <c r="E2210" s="14"/>
      <c r="F2210" s="14"/>
      <c r="G2210" s="14"/>
      <c r="H2210" s="23"/>
      <c r="I2210" s="27"/>
      <c r="J2210" s="23"/>
      <c r="K2210" s="30"/>
      <c r="L2210" s="23"/>
      <c r="M2210" s="20"/>
      <c r="N2210" s="20"/>
      <c r="O2210" s="20"/>
      <c r="P2210" s="20"/>
    </row>
    <row r="2211">
      <c r="A2211" s="10"/>
      <c r="B2211" s="11"/>
      <c r="C2211" s="10"/>
      <c r="D2211" s="13"/>
      <c r="E2211" s="14"/>
      <c r="F2211" s="14"/>
      <c r="G2211" s="14"/>
      <c r="H2211" s="10"/>
      <c r="I2211" s="17"/>
      <c r="J2211" s="10"/>
      <c r="K2211" s="46"/>
      <c r="L2211" s="10"/>
      <c r="M2211" s="20"/>
      <c r="N2211" s="20"/>
      <c r="O2211" s="20"/>
      <c r="P2211" s="20"/>
    </row>
    <row r="2212">
      <c r="A2212" s="23"/>
      <c r="B2212" s="21"/>
      <c r="C2212" s="23"/>
      <c r="D2212" s="24"/>
      <c r="E2212" s="14"/>
      <c r="F2212" s="14"/>
      <c r="G2212" s="14"/>
      <c r="H2212" s="23"/>
      <c r="I2212" s="27"/>
      <c r="J2212" s="23"/>
      <c r="K2212" s="30"/>
      <c r="L2212" s="23"/>
      <c r="M2212" s="20"/>
      <c r="N2212" s="20"/>
      <c r="O2212" s="20"/>
      <c r="P2212" s="20"/>
    </row>
    <row r="2213">
      <c r="A2213" s="10"/>
      <c r="B2213" s="11"/>
      <c r="C2213" s="10"/>
      <c r="D2213" s="13"/>
      <c r="E2213" s="14"/>
      <c r="F2213" s="14"/>
      <c r="G2213" s="14"/>
      <c r="H2213" s="10"/>
      <c r="I2213" s="17"/>
      <c r="J2213" s="10"/>
      <c r="K2213" s="46"/>
      <c r="L2213" s="10"/>
      <c r="M2213" s="20"/>
      <c r="N2213" s="20"/>
      <c r="O2213" s="20"/>
      <c r="P2213" s="20"/>
    </row>
    <row r="2214">
      <c r="A2214" s="23"/>
      <c r="B2214" s="21"/>
      <c r="C2214" s="23"/>
      <c r="D2214" s="24"/>
      <c r="E2214" s="14"/>
      <c r="F2214" s="14"/>
      <c r="G2214" s="14"/>
      <c r="H2214" s="23"/>
      <c r="I2214" s="27"/>
      <c r="J2214" s="23"/>
      <c r="K2214" s="30"/>
      <c r="L2214" s="23"/>
      <c r="M2214" s="20"/>
      <c r="N2214" s="20"/>
      <c r="O2214" s="20"/>
      <c r="P2214" s="20"/>
    </row>
    <row r="2215">
      <c r="A2215" s="10"/>
      <c r="B2215" s="11"/>
      <c r="C2215" s="10"/>
      <c r="D2215" s="13"/>
      <c r="E2215" s="14"/>
      <c r="F2215" s="14"/>
      <c r="G2215" s="14"/>
      <c r="H2215" s="10"/>
      <c r="I2215" s="17"/>
      <c r="J2215" s="10"/>
      <c r="K2215" s="46"/>
      <c r="L2215" s="10"/>
      <c r="M2215" s="20"/>
      <c r="N2215" s="20"/>
      <c r="O2215" s="20"/>
      <c r="P2215" s="20"/>
    </row>
    <row r="2216">
      <c r="A2216" s="23"/>
      <c r="B2216" s="21"/>
      <c r="C2216" s="23"/>
      <c r="D2216" s="24"/>
      <c r="E2216" s="14"/>
      <c r="F2216" s="14"/>
      <c r="G2216" s="14"/>
      <c r="H2216" s="23"/>
      <c r="I2216" s="27"/>
      <c r="J2216" s="23"/>
      <c r="K2216" s="30"/>
      <c r="L2216" s="23"/>
      <c r="M2216" s="20"/>
      <c r="N2216" s="20"/>
      <c r="O2216" s="20"/>
      <c r="P2216" s="20"/>
    </row>
    <row r="2217">
      <c r="A2217" s="10"/>
      <c r="B2217" s="11"/>
      <c r="C2217" s="10"/>
      <c r="D2217" s="13"/>
      <c r="E2217" s="14"/>
      <c r="F2217" s="14"/>
      <c r="G2217" s="14"/>
      <c r="H2217" s="10"/>
      <c r="I2217" s="17"/>
      <c r="J2217" s="10"/>
      <c r="K2217" s="46"/>
      <c r="L2217" s="10"/>
      <c r="M2217" s="20"/>
      <c r="N2217" s="20"/>
      <c r="O2217" s="20"/>
      <c r="P2217" s="20"/>
    </row>
    <row r="2218">
      <c r="A2218" s="23"/>
      <c r="B2218" s="21"/>
      <c r="C2218" s="23"/>
      <c r="D2218" s="24"/>
      <c r="E2218" s="14"/>
      <c r="F2218" s="14"/>
      <c r="G2218" s="14"/>
      <c r="H2218" s="23"/>
      <c r="I2218" s="27"/>
      <c r="J2218" s="23"/>
      <c r="K2218" s="30"/>
      <c r="L2218" s="23"/>
      <c r="M2218" s="20"/>
      <c r="N2218" s="20"/>
      <c r="O2218" s="20"/>
      <c r="P2218" s="20"/>
    </row>
    <row r="2219">
      <c r="A2219" s="10"/>
      <c r="B2219" s="11"/>
      <c r="C2219" s="10"/>
      <c r="D2219" s="13"/>
      <c r="E2219" s="14"/>
      <c r="F2219" s="14"/>
      <c r="G2219" s="14"/>
      <c r="H2219" s="10"/>
      <c r="I2219" s="17"/>
      <c r="J2219" s="10"/>
      <c r="K2219" s="46"/>
      <c r="L2219" s="10"/>
      <c r="M2219" s="20"/>
      <c r="N2219" s="20"/>
      <c r="O2219" s="20"/>
      <c r="P2219" s="20"/>
    </row>
    <row r="2220">
      <c r="A2220" s="23"/>
      <c r="B2220" s="21"/>
      <c r="C2220" s="23"/>
      <c r="D2220" s="24"/>
      <c r="E2220" s="14"/>
      <c r="F2220" s="14"/>
      <c r="G2220" s="14"/>
      <c r="H2220" s="23"/>
      <c r="I2220" s="27"/>
      <c r="J2220" s="23"/>
      <c r="K2220" s="30"/>
      <c r="L2220" s="23"/>
      <c r="M2220" s="20"/>
      <c r="N2220" s="20"/>
      <c r="O2220" s="20"/>
      <c r="P2220" s="20"/>
    </row>
    <row r="2221">
      <c r="A2221" s="10"/>
      <c r="B2221" s="11"/>
      <c r="C2221" s="10"/>
      <c r="D2221" s="13"/>
      <c r="E2221" s="14"/>
      <c r="F2221" s="14"/>
      <c r="G2221" s="14"/>
      <c r="H2221" s="10"/>
      <c r="I2221" s="17"/>
      <c r="J2221" s="10"/>
      <c r="K2221" s="46"/>
      <c r="L2221" s="10"/>
      <c r="M2221" s="20"/>
      <c r="N2221" s="20"/>
      <c r="O2221" s="20"/>
      <c r="P2221" s="20"/>
    </row>
    <row r="2222">
      <c r="A2222" s="23"/>
      <c r="B2222" s="21"/>
      <c r="C2222" s="23"/>
      <c r="D2222" s="24"/>
      <c r="E2222" s="14"/>
      <c r="F2222" s="14"/>
      <c r="G2222" s="14"/>
      <c r="H2222" s="23"/>
      <c r="I2222" s="27"/>
      <c r="J2222" s="23"/>
      <c r="K2222" s="30"/>
      <c r="L2222" s="23"/>
      <c r="M2222" s="20"/>
      <c r="N2222" s="20"/>
      <c r="O2222" s="20"/>
      <c r="P2222" s="20"/>
    </row>
    <row r="2223">
      <c r="A2223" s="10"/>
      <c r="B2223" s="11"/>
      <c r="C2223" s="10"/>
      <c r="D2223" s="13"/>
      <c r="E2223" s="14"/>
      <c r="F2223" s="14"/>
      <c r="G2223" s="14"/>
      <c r="H2223" s="10"/>
      <c r="I2223" s="17"/>
      <c r="J2223" s="10"/>
      <c r="K2223" s="46"/>
      <c r="L2223" s="10"/>
      <c r="M2223" s="20"/>
      <c r="N2223" s="20"/>
      <c r="O2223" s="20"/>
      <c r="P2223" s="20"/>
    </row>
    <row r="2224">
      <c r="A2224" s="23"/>
      <c r="B2224" s="21"/>
      <c r="C2224" s="23"/>
      <c r="D2224" s="24"/>
      <c r="E2224" s="14"/>
      <c r="F2224" s="14"/>
      <c r="G2224" s="14"/>
      <c r="H2224" s="23"/>
      <c r="I2224" s="27"/>
      <c r="J2224" s="23"/>
      <c r="K2224" s="30"/>
      <c r="L2224" s="23"/>
      <c r="M2224" s="20"/>
      <c r="N2224" s="20"/>
      <c r="O2224" s="20"/>
      <c r="P2224" s="20"/>
    </row>
    <row r="2225">
      <c r="A2225" s="10"/>
      <c r="B2225" s="11"/>
      <c r="C2225" s="10"/>
      <c r="D2225" s="13"/>
      <c r="E2225" s="14"/>
      <c r="F2225" s="14"/>
      <c r="G2225" s="14"/>
      <c r="H2225" s="10"/>
      <c r="I2225" s="17"/>
      <c r="J2225" s="10"/>
      <c r="K2225" s="46"/>
      <c r="L2225" s="10"/>
      <c r="M2225" s="20"/>
      <c r="N2225" s="20"/>
      <c r="O2225" s="20"/>
      <c r="P2225" s="20"/>
    </row>
    <row r="2226">
      <c r="A2226" s="23"/>
      <c r="B2226" s="21"/>
      <c r="C2226" s="23"/>
      <c r="D2226" s="24"/>
      <c r="E2226" s="14"/>
      <c r="F2226" s="14"/>
      <c r="G2226" s="14"/>
      <c r="H2226" s="23"/>
      <c r="I2226" s="27"/>
      <c r="J2226" s="23"/>
      <c r="K2226" s="30"/>
      <c r="L2226" s="23"/>
      <c r="M2226" s="20"/>
      <c r="N2226" s="20"/>
      <c r="O2226" s="20"/>
      <c r="P2226" s="20"/>
    </row>
    <row r="2227">
      <c r="A2227" s="10"/>
      <c r="B2227" s="11"/>
      <c r="C2227" s="10"/>
      <c r="D2227" s="13"/>
      <c r="E2227" s="14"/>
      <c r="F2227" s="14"/>
      <c r="G2227" s="14"/>
      <c r="H2227" s="10"/>
      <c r="I2227" s="17"/>
      <c r="J2227" s="10"/>
      <c r="K2227" s="46"/>
      <c r="L2227" s="10"/>
      <c r="M2227" s="20"/>
      <c r="N2227" s="20"/>
      <c r="O2227" s="20"/>
      <c r="P2227" s="20"/>
    </row>
    <row r="2228">
      <c r="A2228" s="23"/>
      <c r="B2228" s="21"/>
      <c r="C2228" s="23"/>
      <c r="D2228" s="24"/>
      <c r="E2228" s="14"/>
      <c r="F2228" s="14"/>
      <c r="G2228" s="14"/>
      <c r="H2228" s="23"/>
      <c r="I2228" s="27"/>
      <c r="J2228" s="23"/>
      <c r="K2228" s="30"/>
      <c r="L2228" s="23"/>
      <c r="M2228" s="20"/>
      <c r="N2228" s="20"/>
      <c r="O2228" s="20"/>
      <c r="P2228" s="20"/>
    </row>
    <row r="2229">
      <c r="A2229" s="10"/>
      <c r="B2229" s="11"/>
      <c r="C2229" s="10"/>
      <c r="D2229" s="13"/>
      <c r="E2229" s="14"/>
      <c r="F2229" s="14"/>
      <c r="G2229" s="14"/>
      <c r="H2229" s="10"/>
      <c r="I2229" s="17"/>
      <c r="J2229" s="10"/>
      <c r="K2229" s="46"/>
      <c r="L2229" s="10"/>
      <c r="M2229" s="20"/>
      <c r="N2229" s="20"/>
      <c r="O2229" s="20"/>
      <c r="P2229" s="20"/>
    </row>
    <row r="2230">
      <c r="A2230" s="23"/>
      <c r="B2230" s="21"/>
      <c r="C2230" s="23"/>
      <c r="D2230" s="24"/>
      <c r="E2230" s="14"/>
      <c r="F2230" s="14"/>
      <c r="G2230" s="14"/>
      <c r="H2230" s="23"/>
      <c r="I2230" s="27"/>
      <c r="J2230" s="23"/>
      <c r="K2230" s="30"/>
      <c r="L2230" s="23"/>
      <c r="M2230" s="20"/>
      <c r="N2230" s="20"/>
      <c r="O2230" s="20"/>
      <c r="P2230" s="20"/>
    </row>
    <row r="2231">
      <c r="A2231" s="10"/>
      <c r="B2231" s="11"/>
      <c r="C2231" s="10"/>
      <c r="D2231" s="13"/>
      <c r="E2231" s="14"/>
      <c r="F2231" s="14"/>
      <c r="G2231" s="14"/>
      <c r="H2231" s="10"/>
      <c r="I2231" s="17"/>
      <c r="J2231" s="10"/>
      <c r="K2231" s="46"/>
      <c r="L2231" s="10"/>
      <c r="M2231" s="20"/>
      <c r="N2231" s="20"/>
      <c r="O2231" s="20"/>
      <c r="P2231" s="20"/>
    </row>
    <row r="2232">
      <c r="A2232" s="23"/>
      <c r="B2232" s="21"/>
      <c r="C2232" s="23"/>
      <c r="D2232" s="24"/>
      <c r="E2232" s="14"/>
      <c r="F2232" s="14"/>
      <c r="G2232" s="14"/>
      <c r="H2232" s="23"/>
      <c r="I2232" s="27"/>
      <c r="J2232" s="23"/>
      <c r="K2232" s="30"/>
      <c r="L2232" s="23"/>
      <c r="M2232" s="20"/>
      <c r="N2232" s="20"/>
      <c r="O2232" s="20"/>
      <c r="P2232" s="20"/>
    </row>
    <row r="2233">
      <c r="A2233" s="10"/>
      <c r="B2233" s="11"/>
      <c r="C2233" s="10"/>
      <c r="D2233" s="13"/>
      <c r="E2233" s="14"/>
      <c r="F2233" s="14"/>
      <c r="G2233" s="14"/>
      <c r="H2233" s="10"/>
      <c r="I2233" s="17"/>
      <c r="J2233" s="10"/>
      <c r="K2233" s="46"/>
      <c r="L2233" s="10"/>
      <c r="M2233" s="20"/>
      <c r="N2233" s="20"/>
      <c r="O2233" s="20"/>
      <c r="P2233" s="20"/>
    </row>
    <row r="2234">
      <c r="A2234" s="23"/>
      <c r="B2234" s="21"/>
      <c r="C2234" s="23"/>
      <c r="D2234" s="24"/>
      <c r="E2234" s="14"/>
      <c r="F2234" s="14"/>
      <c r="G2234" s="14"/>
      <c r="H2234" s="23"/>
      <c r="I2234" s="27"/>
      <c r="J2234" s="23"/>
      <c r="K2234" s="30"/>
      <c r="L2234" s="23"/>
      <c r="M2234" s="20"/>
      <c r="N2234" s="20"/>
      <c r="O2234" s="20"/>
      <c r="P2234" s="20"/>
    </row>
    <row r="2235">
      <c r="A2235" s="10"/>
      <c r="B2235" s="11"/>
      <c r="C2235" s="10"/>
      <c r="D2235" s="13"/>
      <c r="E2235" s="14"/>
      <c r="F2235" s="14"/>
      <c r="G2235" s="14"/>
      <c r="H2235" s="10"/>
      <c r="I2235" s="17"/>
      <c r="J2235" s="10"/>
      <c r="K2235" s="46"/>
      <c r="L2235" s="10"/>
      <c r="M2235" s="20"/>
      <c r="N2235" s="20"/>
      <c r="O2235" s="20"/>
      <c r="P2235" s="20"/>
    </row>
    <row r="2236">
      <c r="A2236" s="23"/>
      <c r="B2236" s="21"/>
      <c r="C2236" s="23"/>
      <c r="D2236" s="24"/>
      <c r="E2236" s="14"/>
      <c r="F2236" s="14"/>
      <c r="G2236" s="14"/>
      <c r="H2236" s="23"/>
      <c r="I2236" s="27"/>
      <c r="J2236" s="23"/>
      <c r="K2236" s="30"/>
      <c r="L2236" s="23"/>
      <c r="M2236" s="20"/>
      <c r="N2236" s="20"/>
      <c r="O2236" s="20"/>
      <c r="P2236" s="20"/>
    </row>
    <row r="2237">
      <c r="A2237" s="10"/>
      <c r="B2237" s="11"/>
      <c r="C2237" s="10"/>
      <c r="D2237" s="13"/>
      <c r="E2237" s="14"/>
      <c r="F2237" s="14"/>
      <c r="G2237" s="14"/>
      <c r="H2237" s="10"/>
      <c r="I2237" s="17"/>
      <c r="J2237" s="10"/>
      <c r="K2237" s="46"/>
      <c r="L2237" s="10"/>
      <c r="M2237" s="20"/>
      <c r="N2237" s="20"/>
      <c r="O2237" s="20"/>
      <c r="P2237" s="20"/>
    </row>
    <row r="2238">
      <c r="A2238" s="23"/>
      <c r="B2238" s="21"/>
      <c r="C2238" s="23"/>
      <c r="D2238" s="24"/>
      <c r="E2238" s="14"/>
      <c r="F2238" s="14"/>
      <c r="G2238" s="14"/>
      <c r="H2238" s="23"/>
      <c r="I2238" s="27"/>
      <c r="J2238" s="23"/>
      <c r="K2238" s="30"/>
      <c r="L2238" s="23"/>
      <c r="M2238" s="20"/>
      <c r="N2238" s="20"/>
      <c r="O2238" s="20"/>
      <c r="P2238" s="20"/>
    </row>
    <row r="2239">
      <c r="A2239" s="10"/>
      <c r="B2239" s="11"/>
      <c r="C2239" s="10"/>
      <c r="D2239" s="13"/>
      <c r="E2239" s="14"/>
      <c r="F2239" s="14"/>
      <c r="G2239" s="14"/>
      <c r="H2239" s="10"/>
      <c r="I2239" s="17"/>
      <c r="J2239" s="10"/>
      <c r="K2239" s="46"/>
      <c r="L2239" s="10"/>
      <c r="M2239" s="20"/>
      <c r="N2239" s="20"/>
      <c r="O2239" s="20"/>
      <c r="P2239" s="20"/>
    </row>
    <row r="2240">
      <c r="A2240" s="23"/>
      <c r="B2240" s="21"/>
      <c r="C2240" s="23"/>
      <c r="D2240" s="24"/>
      <c r="E2240" s="14"/>
      <c r="F2240" s="14"/>
      <c r="G2240" s="14"/>
      <c r="H2240" s="23"/>
      <c r="I2240" s="27"/>
      <c r="J2240" s="23"/>
      <c r="K2240" s="30"/>
      <c r="L2240" s="23"/>
      <c r="M2240" s="20"/>
      <c r="N2240" s="20"/>
      <c r="O2240" s="20"/>
      <c r="P2240" s="20"/>
    </row>
    <row r="2241">
      <c r="A2241" s="10"/>
      <c r="B2241" s="11"/>
      <c r="C2241" s="10"/>
      <c r="D2241" s="13"/>
      <c r="E2241" s="14"/>
      <c r="F2241" s="14"/>
      <c r="G2241" s="14"/>
      <c r="H2241" s="10"/>
      <c r="I2241" s="17"/>
      <c r="J2241" s="10"/>
      <c r="K2241" s="46"/>
      <c r="L2241" s="10"/>
      <c r="M2241" s="20"/>
      <c r="N2241" s="20"/>
      <c r="O2241" s="20"/>
      <c r="P2241" s="20"/>
    </row>
    <row r="2242">
      <c r="A2242" s="23"/>
      <c r="B2242" s="21"/>
      <c r="C2242" s="23"/>
      <c r="D2242" s="24"/>
      <c r="E2242" s="14"/>
      <c r="F2242" s="14"/>
      <c r="G2242" s="14"/>
      <c r="H2242" s="23"/>
      <c r="I2242" s="27"/>
      <c r="J2242" s="23"/>
      <c r="K2242" s="30"/>
      <c r="L2242" s="23"/>
      <c r="M2242" s="20"/>
      <c r="N2242" s="20"/>
      <c r="O2242" s="20"/>
      <c r="P2242" s="20"/>
    </row>
    <row r="2243">
      <c r="A2243" s="10"/>
      <c r="B2243" s="11"/>
      <c r="C2243" s="10"/>
      <c r="D2243" s="13"/>
      <c r="E2243" s="14"/>
      <c r="F2243" s="14"/>
      <c r="G2243" s="14"/>
      <c r="H2243" s="10"/>
      <c r="I2243" s="17"/>
      <c r="J2243" s="10"/>
      <c r="K2243" s="46"/>
      <c r="L2243" s="10"/>
      <c r="M2243" s="20"/>
      <c r="N2243" s="20"/>
      <c r="O2243" s="20"/>
      <c r="P2243" s="20"/>
    </row>
    <row r="2244">
      <c r="A2244" s="23"/>
      <c r="B2244" s="21"/>
      <c r="C2244" s="23"/>
      <c r="D2244" s="24"/>
      <c r="E2244" s="14"/>
      <c r="F2244" s="14"/>
      <c r="G2244" s="14"/>
      <c r="H2244" s="23"/>
      <c r="I2244" s="27"/>
      <c r="J2244" s="23"/>
      <c r="K2244" s="30"/>
      <c r="L2244" s="23"/>
      <c r="M2244" s="20"/>
      <c r="N2244" s="20"/>
      <c r="O2244" s="20"/>
      <c r="P2244" s="20"/>
    </row>
    <row r="2245">
      <c r="A2245" s="10"/>
      <c r="B2245" s="11"/>
      <c r="C2245" s="10"/>
      <c r="D2245" s="13"/>
      <c r="E2245" s="14"/>
      <c r="F2245" s="14"/>
      <c r="G2245" s="14"/>
      <c r="H2245" s="10"/>
      <c r="I2245" s="17"/>
      <c r="J2245" s="10"/>
      <c r="K2245" s="46"/>
      <c r="L2245" s="10"/>
      <c r="M2245" s="20"/>
      <c r="N2245" s="20"/>
      <c r="O2245" s="20"/>
      <c r="P2245" s="20"/>
    </row>
    <row r="2246">
      <c r="A2246" s="23"/>
      <c r="B2246" s="21"/>
      <c r="C2246" s="23"/>
      <c r="D2246" s="24"/>
      <c r="E2246" s="14"/>
      <c r="F2246" s="14"/>
      <c r="G2246" s="14"/>
      <c r="H2246" s="23"/>
      <c r="I2246" s="27"/>
      <c r="J2246" s="23"/>
      <c r="K2246" s="30"/>
      <c r="L2246" s="23"/>
      <c r="M2246" s="20"/>
      <c r="N2246" s="20"/>
      <c r="O2246" s="20"/>
      <c r="P2246" s="20"/>
    </row>
    <row r="2247">
      <c r="A2247" s="10"/>
      <c r="B2247" s="11"/>
      <c r="C2247" s="10"/>
      <c r="D2247" s="13"/>
      <c r="E2247" s="14"/>
      <c r="F2247" s="14"/>
      <c r="G2247" s="14"/>
      <c r="H2247" s="10"/>
      <c r="I2247" s="17"/>
      <c r="J2247" s="10"/>
      <c r="K2247" s="46"/>
      <c r="L2247" s="10"/>
      <c r="M2247" s="20"/>
      <c r="N2247" s="20"/>
      <c r="O2247" s="20"/>
      <c r="P2247" s="20"/>
    </row>
    <row r="2248">
      <c r="A2248" s="23"/>
      <c r="B2248" s="21"/>
      <c r="C2248" s="23"/>
      <c r="D2248" s="24"/>
      <c r="E2248" s="14"/>
      <c r="F2248" s="14"/>
      <c r="G2248" s="14"/>
      <c r="H2248" s="23"/>
      <c r="I2248" s="27"/>
      <c r="J2248" s="23"/>
      <c r="K2248" s="30"/>
      <c r="L2248" s="23"/>
      <c r="M2248" s="20"/>
      <c r="N2248" s="20"/>
      <c r="O2248" s="20"/>
      <c r="P2248" s="20"/>
    </row>
    <row r="2249">
      <c r="A2249" s="10"/>
      <c r="B2249" s="11"/>
      <c r="C2249" s="10"/>
      <c r="D2249" s="13"/>
      <c r="E2249" s="14"/>
      <c r="F2249" s="14"/>
      <c r="G2249" s="14"/>
      <c r="H2249" s="10"/>
      <c r="I2249" s="17"/>
      <c r="J2249" s="10"/>
      <c r="K2249" s="46"/>
      <c r="L2249" s="10"/>
      <c r="M2249" s="20"/>
      <c r="N2249" s="20"/>
      <c r="O2249" s="20"/>
      <c r="P2249" s="20"/>
    </row>
    <row r="2250">
      <c r="A2250" s="23"/>
      <c r="B2250" s="21"/>
      <c r="C2250" s="23"/>
      <c r="D2250" s="24"/>
      <c r="E2250" s="14"/>
      <c r="F2250" s="14"/>
      <c r="G2250" s="14"/>
      <c r="H2250" s="23"/>
      <c r="I2250" s="27"/>
      <c r="J2250" s="23"/>
      <c r="K2250" s="30"/>
      <c r="L2250" s="23"/>
      <c r="M2250" s="20"/>
      <c r="N2250" s="20"/>
      <c r="O2250" s="20"/>
      <c r="P2250" s="20"/>
    </row>
    <row r="2251">
      <c r="A2251" s="10"/>
      <c r="B2251" s="11"/>
      <c r="C2251" s="10"/>
      <c r="D2251" s="13"/>
      <c r="E2251" s="14"/>
      <c r="F2251" s="14"/>
      <c r="G2251" s="14"/>
      <c r="H2251" s="10"/>
      <c r="I2251" s="17"/>
      <c r="J2251" s="10"/>
      <c r="K2251" s="46"/>
      <c r="L2251" s="10"/>
      <c r="M2251" s="20"/>
      <c r="N2251" s="20"/>
      <c r="O2251" s="20"/>
      <c r="P2251" s="20"/>
    </row>
    <row r="2252">
      <c r="A2252" s="23"/>
      <c r="B2252" s="21"/>
      <c r="C2252" s="23"/>
      <c r="D2252" s="24"/>
      <c r="E2252" s="14"/>
      <c r="F2252" s="14"/>
      <c r="G2252" s="14"/>
      <c r="H2252" s="23"/>
      <c r="I2252" s="27"/>
      <c r="J2252" s="23"/>
      <c r="K2252" s="30"/>
      <c r="L2252" s="23"/>
      <c r="M2252" s="20"/>
      <c r="N2252" s="20"/>
      <c r="O2252" s="20"/>
      <c r="P2252" s="20"/>
    </row>
    <row r="2253">
      <c r="A2253" s="10"/>
      <c r="B2253" s="11"/>
      <c r="C2253" s="10"/>
      <c r="D2253" s="13"/>
      <c r="E2253" s="14"/>
      <c r="F2253" s="14"/>
      <c r="G2253" s="14"/>
      <c r="H2253" s="10"/>
      <c r="I2253" s="17"/>
      <c r="J2253" s="10"/>
      <c r="K2253" s="46"/>
      <c r="L2253" s="10"/>
      <c r="M2253" s="20"/>
      <c r="N2253" s="20"/>
      <c r="O2253" s="20"/>
      <c r="P2253" s="20"/>
    </row>
    <row r="2254">
      <c r="A2254" s="23"/>
      <c r="B2254" s="21"/>
      <c r="C2254" s="23"/>
      <c r="D2254" s="24"/>
      <c r="E2254" s="14"/>
      <c r="F2254" s="14"/>
      <c r="G2254" s="14"/>
      <c r="H2254" s="23"/>
      <c r="I2254" s="27"/>
      <c r="J2254" s="23"/>
      <c r="K2254" s="30"/>
      <c r="L2254" s="23"/>
      <c r="M2254" s="20"/>
      <c r="N2254" s="20"/>
      <c r="O2254" s="20"/>
      <c r="P2254" s="20"/>
    </row>
    <row r="2255">
      <c r="A2255" s="10"/>
      <c r="B2255" s="11"/>
      <c r="C2255" s="10"/>
      <c r="D2255" s="13"/>
      <c r="E2255" s="14"/>
      <c r="F2255" s="14"/>
      <c r="G2255" s="14"/>
      <c r="H2255" s="10"/>
      <c r="I2255" s="17"/>
      <c r="J2255" s="10"/>
      <c r="K2255" s="46"/>
      <c r="L2255" s="10"/>
      <c r="M2255" s="20"/>
      <c r="N2255" s="20"/>
      <c r="O2255" s="20"/>
      <c r="P2255" s="20"/>
    </row>
    <row r="2256">
      <c r="A2256" s="23"/>
      <c r="B2256" s="21"/>
      <c r="C2256" s="23"/>
      <c r="D2256" s="24"/>
      <c r="E2256" s="14"/>
      <c r="F2256" s="14"/>
      <c r="G2256" s="14"/>
      <c r="H2256" s="23"/>
      <c r="I2256" s="27"/>
      <c r="J2256" s="23"/>
      <c r="K2256" s="30"/>
      <c r="L2256" s="23"/>
      <c r="M2256" s="20"/>
      <c r="N2256" s="20"/>
      <c r="O2256" s="20"/>
      <c r="P2256" s="20"/>
    </row>
    <row r="2257">
      <c r="A2257" s="10"/>
      <c r="B2257" s="11"/>
      <c r="C2257" s="10"/>
      <c r="D2257" s="13"/>
      <c r="E2257" s="14"/>
      <c r="F2257" s="14"/>
      <c r="G2257" s="14"/>
      <c r="H2257" s="10"/>
      <c r="I2257" s="17"/>
      <c r="J2257" s="10"/>
      <c r="K2257" s="46"/>
      <c r="L2257" s="10"/>
      <c r="M2257" s="20"/>
      <c r="N2257" s="20"/>
      <c r="O2257" s="20"/>
      <c r="P2257" s="20"/>
    </row>
    <row r="2258">
      <c r="A2258" s="23"/>
      <c r="B2258" s="21"/>
      <c r="C2258" s="23"/>
      <c r="D2258" s="24"/>
      <c r="E2258" s="14"/>
      <c r="F2258" s="14"/>
      <c r="G2258" s="14"/>
      <c r="H2258" s="23"/>
      <c r="I2258" s="27"/>
      <c r="J2258" s="23"/>
      <c r="K2258" s="30"/>
      <c r="L2258" s="23"/>
      <c r="M2258" s="20"/>
      <c r="N2258" s="20"/>
      <c r="O2258" s="20"/>
      <c r="P2258" s="20"/>
    </row>
    <row r="2259">
      <c r="A2259" s="10"/>
      <c r="B2259" s="11"/>
      <c r="C2259" s="10"/>
      <c r="D2259" s="13"/>
      <c r="E2259" s="14"/>
      <c r="F2259" s="14"/>
      <c r="G2259" s="14"/>
      <c r="H2259" s="10"/>
      <c r="I2259" s="17"/>
      <c r="J2259" s="10"/>
      <c r="K2259" s="46"/>
      <c r="L2259" s="10"/>
      <c r="M2259" s="20"/>
      <c r="N2259" s="20"/>
      <c r="O2259" s="20"/>
      <c r="P2259" s="20"/>
    </row>
    <row r="2260">
      <c r="A2260" s="23"/>
      <c r="B2260" s="21"/>
      <c r="C2260" s="23"/>
      <c r="D2260" s="24"/>
      <c r="E2260" s="14"/>
      <c r="F2260" s="14"/>
      <c r="G2260" s="14"/>
      <c r="H2260" s="23"/>
      <c r="I2260" s="27"/>
      <c r="J2260" s="23"/>
      <c r="K2260" s="30"/>
      <c r="L2260" s="23"/>
      <c r="M2260" s="20"/>
      <c r="N2260" s="20"/>
      <c r="O2260" s="20"/>
      <c r="P2260" s="20"/>
    </row>
    <row r="2261">
      <c r="A2261" s="10"/>
      <c r="B2261" s="11"/>
      <c r="C2261" s="10"/>
      <c r="D2261" s="13"/>
      <c r="E2261" s="14"/>
      <c r="F2261" s="14"/>
      <c r="G2261" s="14"/>
      <c r="H2261" s="10"/>
      <c r="I2261" s="17"/>
      <c r="J2261" s="10"/>
      <c r="K2261" s="46"/>
      <c r="L2261" s="10"/>
      <c r="M2261" s="20"/>
      <c r="N2261" s="20"/>
      <c r="O2261" s="20"/>
      <c r="P2261" s="20"/>
    </row>
    <row r="2262">
      <c r="A2262" s="23"/>
      <c r="B2262" s="21"/>
      <c r="C2262" s="23"/>
      <c r="D2262" s="24"/>
      <c r="E2262" s="14"/>
      <c r="F2262" s="14"/>
      <c r="G2262" s="14"/>
      <c r="H2262" s="23"/>
      <c r="I2262" s="27"/>
      <c r="J2262" s="23"/>
      <c r="K2262" s="30"/>
      <c r="L2262" s="23"/>
      <c r="M2262" s="20"/>
      <c r="N2262" s="20"/>
      <c r="O2262" s="20"/>
      <c r="P2262" s="20"/>
    </row>
    <row r="2263">
      <c r="A2263" s="10"/>
      <c r="B2263" s="11"/>
      <c r="C2263" s="10"/>
      <c r="D2263" s="13"/>
      <c r="E2263" s="14"/>
      <c r="F2263" s="14"/>
      <c r="G2263" s="14"/>
      <c r="H2263" s="10"/>
      <c r="I2263" s="17"/>
      <c r="J2263" s="10"/>
      <c r="K2263" s="46"/>
      <c r="L2263" s="10"/>
      <c r="M2263" s="20"/>
      <c r="N2263" s="20"/>
      <c r="O2263" s="20"/>
      <c r="P2263" s="20"/>
    </row>
    <row r="2264">
      <c r="A2264" s="23"/>
      <c r="B2264" s="21"/>
      <c r="C2264" s="23"/>
      <c r="D2264" s="24"/>
      <c r="E2264" s="14"/>
      <c r="F2264" s="14"/>
      <c r="G2264" s="14"/>
      <c r="H2264" s="23"/>
      <c r="I2264" s="27"/>
      <c r="J2264" s="23"/>
      <c r="K2264" s="30"/>
      <c r="L2264" s="23"/>
      <c r="M2264" s="20"/>
      <c r="N2264" s="20"/>
      <c r="O2264" s="20"/>
      <c r="P2264" s="20"/>
    </row>
    <row r="2265">
      <c r="A2265" s="10"/>
      <c r="B2265" s="11"/>
      <c r="C2265" s="10"/>
      <c r="D2265" s="13"/>
      <c r="E2265" s="14"/>
      <c r="F2265" s="14"/>
      <c r="G2265" s="14"/>
      <c r="H2265" s="10"/>
      <c r="I2265" s="17"/>
      <c r="J2265" s="10"/>
      <c r="K2265" s="46"/>
      <c r="L2265" s="10"/>
      <c r="M2265" s="20"/>
      <c r="N2265" s="20"/>
      <c r="O2265" s="20"/>
      <c r="P2265" s="20"/>
    </row>
    <row r="2266">
      <c r="A2266" s="23"/>
      <c r="B2266" s="21"/>
      <c r="C2266" s="23"/>
      <c r="D2266" s="24"/>
      <c r="E2266" s="14"/>
      <c r="F2266" s="14"/>
      <c r="G2266" s="14"/>
      <c r="H2266" s="23"/>
      <c r="I2266" s="27"/>
      <c r="J2266" s="23"/>
      <c r="K2266" s="30"/>
      <c r="L2266" s="23"/>
      <c r="M2266" s="20"/>
      <c r="N2266" s="20"/>
      <c r="O2266" s="20"/>
      <c r="P2266" s="20"/>
    </row>
    <row r="2267">
      <c r="A2267" s="10"/>
      <c r="B2267" s="11"/>
      <c r="C2267" s="10"/>
      <c r="D2267" s="13"/>
      <c r="E2267" s="14"/>
      <c r="F2267" s="14"/>
      <c r="G2267" s="14"/>
      <c r="H2267" s="10"/>
      <c r="I2267" s="17"/>
      <c r="J2267" s="10"/>
      <c r="K2267" s="46"/>
      <c r="L2267" s="10"/>
      <c r="M2267" s="20"/>
      <c r="N2267" s="20"/>
      <c r="O2267" s="20"/>
      <c r="P2267" s="20"/>
    </row>
    <row r="2268">
      <c r="A2268" s="23"/>
      <c r="B2268" s="21"/>
      <c r="C2268" s="23"/>
      <c r="D2268" s="24"/>
      <c r="E2268" s="14"/>
      <c r="F2268" s="14"/>
      <c r="G2268" s="14"/>
      <c r="H2268" s="23"/>
      <c r="I2268" s="27"/>
      <c r="J2268" s="23"/>
      <c r="K2268" s="30"/>
      <c r="L2268" s="23"/>
      <c r="M2268" s="20"/>
      <c r="N2268" s="20"/>
      <c r="O2268" s="20"/>
      <c r="P2268" s="20"/>
    </row>
    <row r="2269">
      <c r="A2269" s="10"/>
      <c r="B2269" s="11"/>
      <c r="C2269" s="10"/>
      <c r="D2269" s="13"/>
      <c r="E2269" s="14"/>
      <c r="F2269" s="14"/>
      <c r="G2269" s="14"/>
      <c r="H2269" s="10"/>
      <c r="I2269" s="17"/>
      <c r="J2269" s="10"/>
      <c r="K2269" s="46"/>
      <c r="L2269" s="10"/>
      <c r="M2269" s="20"/>
      <c r="N2269" s="20"/>
      <c r="O2269" s="20"/>
      <c r="P2269" s="20"/>
    </row>
    <row r="2270">
      <c r="A2270" s="23"/>
      <c r="B2270" s="21"/>
      <c r="C2270" s="23"/>
      <c r="D2270" s="24"/>
      <c r="E2270" s="14"/>
      <c r="F2270" s="14"/>
      <c r="G2270" s="14"/>
      <c r="H2270" s="23"/>
      <c r="I2270" s="27"/>
      <c r="J2270" s="23"/>
      <c r="K2270" s="30"/>
      <c r="L2270" s="23"/>
      <c r="M2270" s="20"/>
      <c r="N2270" s="20"/>
      <c r="O2270" s="20"/>
      <c r="P2270" s="20"/>
    </row>
    <row r="2271">
      <c r="A2271" s="10"/>
      <c r="B2271" s="11"/>
      <c r="C2271" s="10"/>
      <c r="D2271" s="13"/>
      <c r="E2271" s="14"/>
      <c r="F2271" s="14"/>
      <c r="G2271" s="14"/>
      <c r="H2271" s="10"/>
      <c r="I2271" s="17"/>
      <c r="J2271" s="10"/>
      <c r="K2271" s="46"/>
      <c r="L2271" s="10"/>
      <c r="M2271" s="20"/>
      <c r="N2271" s="20"/>
      <c r="O2271" s="20"/>
      <c r="P2271" s="20"/>
    </row>
    <row r="2272">
      <c r="A2272" s="23"/>
      <c r="B2272" s="21"/>
      <c r="C2272" s="23"/>
      <c r="D2272" s="24"/>
      <c r="E2272" s="14"/>
      <c r="F2272" s="14"/>
      <c r="G2272" s="14"/>
      <c r="H2272" s="23"/>
      <c r="I2272" s="27"/>
      <c r="J2272" s="23"/>
      <c r="K2272" s="30"/>
      <c r="L2272" s="23"/>
      <c r="M2272" s="20"/>
      <c r="N2272" s="20"/>
      <c r="O2272" s="20"/>
      <c r="P2272" s="20"/>
    </row>
    <row r="2273">
      <c r="A2273" s="10"/>
      <c r="B2273" s="11"/>
      <c r="C2273" s="10"/>
      <c r="D2273" s="13"/>
      <c r="E2273" s="14"/>
      <c r="F2273" s="14"/>
      <c r="G2273" s="14"/>
      <c r="H2273" s="10"/>
      <c r="I2273" s="17"/>
      <c r="J2273" s="10"/>
      <c r="K2273" s="46"/>
      <c r="L2273" s="10"/>
      <c r="M2273" s="20"/>
      <c r="N2273" s="20"/>
      <c r="O2273" s="20"/>
      <c r="P2273" s="20"/>
    </row>
    <row r="2274">
      <c r="A2274" s="23"/>
      <c r="B2274" s="21"/>
      <c r="C2274" s="23"/>
      <c r="D2274" s="24"/>
      <c r="E2274" s="14"/>
      <c r="F2274" s="14"/>
      <c r="G2274" s="14"/>
      <c r="H2274" s="23"/>
      <c r="I2274" s="27"/>
      <c r="J2274" s="23"/>
      <c r="K2274" s="30"/>
      <c r="L2274" s="23"/>
      <c r="M2274" s="20"/>
      <c r="N2274" s="20"/>
      <c r="O2274" s="20"/>
      <c r="P2274" s="20"/>
    </row>
    <row r="2275">
      <c r="A2275" s="10"/>
      <c r="B2275" s="11"/>
      <c r="C2275" s="10"/>
      <c r="D2275" s="13"/>
      <c r="E2275" s="14"/>
      <c r="F2275" s="14"/>
      <c r="G2275" s="14"/>
      <c r="H2275" s="10"/>
      <c r="I2275" s="17"/>
      <c r="J2275" s="10"/>
      <c r="K2275" s="46"/>
      <c r="L2275" s="10"/>
      <c r="M2275" s="20"/>
      <c r="N2275" s="20"/>
      <c r="O2275" s="20"/>
      <c r="P2275" s="20"/>
    </row>
    <row r="2276">
      <c r="A2276" s="23"/>
      <c r="B2276" s="21"/>
      <c r="C2276" s="23"/>
      <c r="D2276" s="24"/>
      <c r="E2276" s="14"/>
      <c r="F2276" s="14"/>
      <c r="G2276" s="14"/>
      <c r="H2276" s="23"/>
      <c r="I2276" s="27"/>
      <c r="J2276" s="23"/>
      <c r="K2276" s="30"/>
      <c r="L2276" s="23"/>
      <c r="M2276" s="20"/>
      <c r="N2276" s="20"/>
      <c r="O2276" s="20"/>
      <c r="P2276" s="20"/>
    </row>
    <row r="2277">
      <c r="A2277" s="10"/>
      <c r="B2277" s="11"/>
      <c r="C2277" s="10"/>
      <c r="D2277" s="13"/>
      <c r="E2277" s="14"/>
      <c r="F2277" s="14"/>
      <c r="G2277" s="14"/>
      <c r="H2277" s="10"/>
      <c r="I2277" s="17"/>
      <c r="J2277" s="10"/>
      <c r="K2277" s="46"/>
      <c r="L2277" s="10"/>
      <c r="M2277" s="20"/>
      <c r="N2277" s="20"/>
      <c r="O2277" s="20"/>
      <c r="P2277" s="20"/>
    </row>
    <row r="2278">
      <c r="A2278" s="23"/>
      <c r="B2278" s="21"/>
      <c r="C2278" s="23"/>
      <c r="D2278" s="24"/>
      <c r="E2278" s="14"/>
      <c r="F2278" s="14"/>
      <c r="G2278" s="14"/>
      <c r="H2278" s="23"/>
      <c r="I2278" s="27"/>
      <c r="J2278" s="23"/>
      <c r="K2278" s="30"/>
      <c r="L2278" s="23"/>
      <c r="M2278" s="20"/>
      <c r="N2278" s="20"/>
      <c r="O2278" s="20"/>
      <c r="P2278" s="20"/>
    </row>
    <row r="2279">
      <c r="A2279" s="10"/>
      <c r="B2279" s="11"/>
      <c r="C2279" s="10"/>
      <c r="D2279" s="13"/>
      <c r="E2279" s="14"/>
      <c r="F2279" s="14"/>
      <c r="G2279" s="14"/>
      <c r="H2279" s="10"/>
      <c r="I2279" s="17"/>
      <c r="J2279" s="10"/>
      <c r="K2279" s="46"/>
      <c r="L2279" s="10"/>
      <c r="M2279" s="20"/>
      <c r="N2279" s="20"/>
      <c r="O2279" s="20"/>
      <c r="P2279" s="20"/>
    </row>
    <row r="2280">
      <c r="A2280" s="23"/>
      <c r="B2280" s="21"/>
      <c r="C2280" s="23"/>
      <c r="D2280" s="24"/>
      <c r="E2280" s="14"/>
      <c r="F2280" s="14"/>
      <c r="G2280" s="14"/>
      <c r="H2280" s="23"/>
      <c r="I2280" s="27"/>
      <c r="J2280" s="23"/>
      <c r="K2280" s="30"/>
      <c r="L2280" s="23"/>
      <c r="M2280" s="20"/>
      <c r="N2280" s="20"/>
      <c r="O2280" s="20"/>
      <c r="P2280" s="20"/>
    </row>
    <row r="2281">
      <c r="A2281" s="10"/>
      <c r="B2281" s="11"/>
      <c r="C2281" s="10"/>
      <c r="D2281" s="13"/>
      <c r="E2281" s="14"/>
      <c r="F2281" s="14"/>
      <c r="G2281" s="14"/>
      <c r="H2281" s="10"/>
      <c r="I2281" s="17"/>
      <c r="J2281" s="10"/>
      <c r="K2281" s="46"/>
      <c r="L2281" s="10"/>
      <c r="M2281" s="20"/>
      <c r="N2281" s="20"/>
      <c r="O2281" s="20"/>
      <c r="P2281" s="20"/>
    </row>
    <row r="2282">
      <c r="A2282" s="23"/>
      <c r="B2282" s="21"/>
      <c r="C2282" s="23"/>
      <c r="D2282" s="24"/>
      <c r="E2282" s="14"/>
      <c r="F2282" s="14"/>
      <c r="G2282" s="14"/>
      <c r="H2282" s="23"/>
      <c r="I2282" s="27"/>
      <c r="J2282" s="23"/>
      <c r="K2282" s="30"/>
      <c r="L2282" s="23"/>
      <c r="M2282" s="20"/>
      <c r="N2282" s="20"/>
      <c r="O2282" s="20"/>
      <c r="P2282" s="20"/>
    </row>
    <row r="2283">
      <c r="A2283" s="10"/>
      <c r="B2283" s="11"/>
      <c r="C2283" s="10"/>
      <c r="D2283" s="13"/>
      <c r="E2283" s="14"/>
      <c r="F2283" s="14"/>
      <c r="G2283" s="14"/>
      <c r="H2283" s="10"/>
      <c r="I2283" s="17"/>
      <c r="J2283" s="10"/>
      <c r="K2283" s="46"/>
      <c r="L2283" s="10"/>
      <c r="M2283" s="20"/>
      <c r="N2283" s="20"/>
      <c r="O2283" s="20"/>
      <c r="P2283" s="20"/>
    </row>
    <row r="2284">
      <c r="A2284" s="23"/>
      <c r="B2284" s="21"/>
      <c r="C2284" s="23"/>
      <c r="D2284" s="24"/>
      <c r="E2284" s="14"/>
      <c r="F2284" s="14"/>
      <c r="G2284" s="14"/>
      <c r="H2284" s="23"/>
      <c r="I2284" s="27"/>
      <c r="J2284" s="23"/>
      <c r="K2284" s="30"/>
      <c r="L2284" s="23"/>
      <c r="M2284" s="20"/>
      <c r="N2284" s="20"/>
      <c r="O2284" s="20"/>
      <c r="P2284" s="20"/>
    </row>
    <row r="2285">
      <c r="A2285" s="10"/>
      <c r="B2285" s="11"/>
      <c r="C2285" s="10"/>
      <c r="D2285" s="13"/>
      <c r="E2285" s="14"/>
      <c r="F2285" s="14"/>
      <c r="G2285" s="14"/>
      <c r="H2285" s="10"/>
      <c r="I2285" s="17"/>
      <c r="J2285" s="10"/>
      <c r="K2285" s="46"/>
      <c r="L2285" s="10"/>
      <c r="M2285" s="20"/>
      <c r="N2285" s="20"/>
      <c r="O2285" s="20"/>
      <c r="P2285" s="20"/>
    </row>
    <row r="2286">
      <c r="A2286" s="23"/>
      <c r="B2286" s="21"/>
      <c r="C2286" s="23"/>
      <c r="D2286" s="24"/>
      <c r="E2286" s="14"/>
      <c r="F2286" s="14"/>
      <c r="G2286" s="14"/>
      <c r="H2286" s="23"/>
      <c r="I2286" s="27"/>
      <c r="J2286" s="23"/>
      <c r="K2286" s="30"/>
      <c r="L2286" s="23"/>
      <c r="M2286" s="20"/>
      <c r="N2286" s="20"/>
      <c r="O2286" s="20"/>
      <c r="P2286" s="20"/>
    </row>
    <row r="2287">
      <c r="A2287" s="10"/>
      <c r="B2287" s="11"/>
      <c r="C2287" s="10"/>
      <c r="D2287" s="13"/>
      <c r="E2287" s="14"/>
      <c r="F2287" s="14"/>
      <c r="G2287" s="14"/>
      <c r="H2287" s="10"/>
      <c r="I2287" s="17"/>
      <c r="J2287" s="10"/>
      <c r="K2287" s="46"/>
      <c r="L2287" s="10"/>
      <c r="M2287" s="20"/>
      <c r="N2287" s="20"/>
      <c r="O2287" s="20"/>
      <c r="P2287" s="20"/>
    </row>
    <row r="2288">
      <c r="A2288" s="23"/>
      <c r="B2288" s="21"/>
      <c r="C2288" s="23"/>
      <c r="D2288" s="24"/>
      <c r="E2288" s="14"/>
      <c r="F2288" s="14"/>
      <c r="G2288" s="14"/>
      <c r="H2288" s="23"/>
      <c r="I2288" s="27"/>
      <c r="J2288" s="23"/>
      <c r="K2288" s="30"/>
      <c r="L2288" s="23"/>
      <c r="M2288" s="20"/>
      <c r="N2288" s="20"/>
      <c r="O2288" s="20"/>
      <c r="P2288" s="20"/>
    </row>
    <row r="2289">
      <c r="A2289" s="10"/>
      <c r="B2289" s="11"/>
      <c r="C2289" s="10"/>
      <c r="D2289" s="13"/>
      <c r="E2289" s="14"/>
      <c r="F2289" s="14"/>
      <c r="G2289" s="14"/>
      <c r="H2289" s="10"/>
      <c r="I2289" s="17"/>
      <c r="J2289" s="10"/>
      <c r="K2289" s="46"/>
      <c r="L2289" s="10"/>
      <c r="M2289" s="20"/>
      <c r="N2289" s="20"/>
      <c r="O2289" s="20"/>
      <c r="P2289" s="20"/>
    </row>
    <row r="2290">
      <c r="A2290" s="23"/>
      <c r="B2290" s="21"/>
      <c r="C2290" s="23"/>
      <c r="D2290" s="24"/>
      <c r="E2290" s="14"/>
      <c r="F2290" s="14"/>
      <c r="G2290" s="14"/>
      <c r="H2290" s="23"/>
      <c r="I2290" s="27"/>
      <c r="J2290" s="23"/>
      <c r="K2290" s="30"/>
      <c r="L2290" s="23"/>
      <c r="M2290" s="20"/>
      <c r="N2290" s="20"/>
      <c r="O2290" s="20"/>
      <c r="P2290" s="20"/>
    </row>
    <row r="2291">
      <c r="A2291" s="10"/>
      <c r="B2291" s="11"/>
      <c r="C2291" s="10"/>
      <c r="D2291" s="13"/>
      <c r="E2291" s="14"/>
      <c r="F2291" s="14"/>
      <c r="G2291" s="14"/>
      <c r="H2291" s="10"/>
      <c r="I2291" s="17"/>
      <c r="J2291" s="10"/>
      <c r="K2291" s="46"/>
      <c r="L2291" s="10"/>
      <c r="M2291" s="20"/>
      <c r="N2291" s="20"/>
      <c r="O2291" s="20"/>
      <c r="P2291" s="20"/>
    </row>
    <row r="2292">
      <c r="A2292" s="23"/>
      <c r="B2292" s="21"/>
      <c r="C2292" s="23"/>
      <c r="D2292" s="24"/>
      <c r="E2292" s="14"/>
      <c r="F2292" s="14"/>
      <c r="G2292" s="14"/>
      <c r="H2292" s="23"/>
      <c r="I2292" s="27"/>
      <c r="J2292" s="23"/>
      <c r="K2292" s="30"/>
      <c r="L2292" s="23"/>
      <c r="M2292" s="20"/>
      <c r="N2292" s="20"/>
      <c r="O2292" s="20"/>
      <c r="P2292" s="20"/>
    </row>
    <row r="2293">
      <c r="A2293" s="10"/>
      <c r="B2293" s="11"/>
      <c r="C2293" s="10"/>
      <c r="D2293" s="13"/>
      <c r="E2293" s="14"/>
      <c r="F2293" s="14"/>
      <c r="G2293" s="14"/>
      <c r="H2293" s="10"/>
      <c r="I2293" s="17"/>
      <c r="J2293" s="10"/>
      <c r="K2293" s="46"/>
      <c r="L2293" s="10"/>
      <c r="M2293" s="20"/>
      <c r="N2293" s="20"/>
      <c r="O2293" s="20"/>
      <c r="P2293" s="20"/>
    </row>
    <row r="2294">
      <c r="A2294" s="23"/>
      <c r="B2294" s="21"/>
      <c r="C2294" s="23"/>
      <c r="D2294" s="24"/>
      <c r="E2294" s="14"/>
      <c r="F2294" s="14"/>
      <c r="G2294" s="14"/>
      <c r="H2294" s="23"/>
      <c r="I2294" s="27"/>
      <c r="J2294" s="23"/>
      <c r="K2294" s="30"/>
      <c r="L2294" s="23"/>
      <c r="M2294" s="20"/>
      <c r="N2294" s="20"/>
      <c r="O2294" s="20"/>
      <c r="P2294" s="20"/>
    </row>
    <row r="2295">
      <c r="A2295" s="10"/>
      <c r="B2295" s="11"/>
      <c r="C2295" s="10"/>
      <c r="D2295" s="13"/>
      <c r="E2295" s="14"/>
      <c r="F2295" s="14"/>
      <c r="G2295" s="14"/>
      <c r="H2295" s="10"/>
      <c r="I2295" s="17"/>
      <c r="J2295" s="10"/>
      <c r="K2295" s="46"/>
      <c r="L2295" s="10"/>
      <c r="M2295" s="20"/>
      <c r="N2295" s="20"/>
      <c r="O2295" s="20"/>
      <c r="P2295" s="20"/>
    </row>
    <row r="2296">
      <c r="A2296" s="23"/>
      <c r="B2296" s="21"/>
      <c r="C2296" s="23"/>
      <c r="D2296" s="24"/>
      <c r="E2296" s="14"/>
      <c r="F2296" s="14"/>
      <c r="G2296" s="14"/>
      <c r="H2296" s="23"/>
      <c r="I2296" s="27"/>
      <c r="J2296" s="23"/>
      <c r="K2296" s="30"/>
      <c r="L2296" s="23"/>
      <c r="M2296" s="20"/>
      <c r="N2296" s="20"/>
      <c r="O2296" s="20"/>
      <c r="P2296" s="20"/>
    </row>
    <row r="2297">
      <c r="A2297" s="10"/>
      <c r="B2297" s="11"/>
      <c r="C2297" s="10"/>
      <c r="D2297" s="13"/>
      <c r="E2297" s="14"/>
      <c r="F2297" s="14"/>
      <c r="G2297" s="14"/>
      <c r="H2297" s="10"/>
      <c r="I2297" s="17"/>
      <c r="J2297" s="10"/>
      <c r="K2297" s="46"/>
      <c r="L2297" s="10"/>
      <c r="M2297" s="20"/>
      <c r="N2297" s="20"/>
      <c r="O2297" s="20"/>
      <c r="P2297" s="20"/>
    </row>
    <row r="2298">
      <c r="A2298" s="23"/>
      <c r="B2298" s="21"/>
      <c r="C2298" s="23"/>
      <c r="D2298" s="24"/>
      <c r="E2298" s="14"/>
      <c r="F2298" s="14"/>
      <c r="G2298" s="14"/>
      <c r="H2298" s="23"/>
      <c r="I2298" s="27"/>
      <c r="J2298" s="23"/>
      <c r="K2298" s="30"/>
      <c r="L2298" s="23"/>
      <c r="M2298" s="20"/>
      <c r="N2298" s="20"/>
      <c r="O2298" s="20"/>
      <c r="P2298" s="20"/>
    </row>
    <row r="2299">
      <c r="A2299" s="10"/>
      <c r="B2299" s="11"/>
      <c r="C2299" s="10"/>
      <c r="D2299" s="13"/>
      <c r="E2299" s="14"/>
      <c r="F2299" s="14"/>
      <c r="G2299" s="14"/>
      <c r="H2299" s="10"/>
      <c r="I2299" s="17"/>
      <c r="J2299" s="10"/>
      <c r="K2299" s="46"/>
      <c r="L2299" s="10"/>
      <c r="M2299" s="20"/>
      <c r="N2299" s="20"/>
      <c r="O2299" s="20"/>
      <c r="P2299" s="20"/>
    </row>
    <row r="2300">
      <c r="A2300" s="23"/>
      <c r="B2300" s="21"/>
      <c r="C2300" s="23"/>
      <c r="D2300" s="24"/>
      <c r="E2300" s="14"/>
      <c r="F2300" s="14"/>
      <c r="G2300" s="14"/>
      <c r="H2300" s="23"/>
      <c r="I2300" s="27"/>
      <c r="J2300" s="23"/>
      <c r="K2300" s="30"/>
      <c r="L2300" s="23"/>
      <c r="M2300" s="20"/>
      <c r="N2300" s="20"/>
      <c r="O2300" s="20"/>
      <c r="P2300" s="20"/>
    </row>
    <row r="2301">
      <c r="A2301" s="10"/>
      <c r="B2301" s="11"/>
      <c r="C2301" s="10"/>
      <c r="D2301" s="13"/>
      <c r="E2301" s="14"/>
      <c r="F2301" s="14"/>
      <c r="G2301" s="14"/>
      <c r="H2301" s="10"/>
      <c r="I2301" s="17"/>
      <c r="J2301" s="10"/>
      <c r="K2301" s="46"/>
      <c r="L2301" s="10"/>
      <c r="M2301" s="20"/>
      <c r="N2301" s="20"/>
      <c r="O2301" s="20"/>
      <c r="P2301" s="20"/>
    </row>
    <row r="2302">
      <c r="A2302" s="23"/>
      <c r="B2302" s="21"/>
      <c r="C2302" s="23"/>
      <c r="D2302" s="24"/>
      <c r="E2302" s="14"/>
      <c r="F2302" s="14"/>
      <c r="G2302" s="14"/>
      <c r="H2302" s="23"/>
      <c r="I2302" s="27"/>
      <c r="J2302" s="23"/>
      <c r="K2302" s="30"/>
      <c r="L2302" s="23"/>
      <c r="M2302" s="20"/>
      <c r="N2302" s="20"/>
      <c r="O2302" s="20"/>
      <c r="P2302" s="20"/>
    </row>
    <row r="2303">
      <c r="A2303" s="10"/>
      <c r="B2303" s="11"/>
      <c r="C2303" s="10"/>
      <c r="D2303" s="13"/>
      <c r="E2303" s="14"/>
      <c r="F2303" s="14"/>
      <c r="G2303" s="14"/>
      <c r="H2303" s="10"/>
      <c r="I2303" s="17"/>
      <c r="J2303" s="10"/>
      <c r="K2303" s="46"/>
      <c r="L2303" s="10"/>
      <c r="M2303" s="20"/>
      <c r="N2303" s="20"/>
      <c r="O2303" s="20"/>
      <c r="P2303" s="20"/>
    </row>
    <row r="2304">
      <c r="A2304" s="23"/>
      <c r="B2304" s="21"/>
      <c r="C2304" s="23"/>
      <c r="D2304" s="24"/>
      <c r="E2304" s="14"/>
      <c r="F2304" s="14"/>
      <c r="G2304" s="14"/>
      <c r="H2304" s="23"/>
      <c r="I2304" s="27"/>
      <c r="J2304" s="23"/>
      <c r="K2304" s="30"/>
      <c r="L2304" s="23"/>
      <c r="M2304" s="20"/>
      <c r="N2304" s="20"/>
      <c r="O2304" s="20"/>
      <c r="P2304" s="20"/>
    </row>
    <row r="2305">
      <c r="A2305" s="10"/>
      <c r="B2305" s="11"/>
      <c r="C2305" s="10"/>
      <c r="D2305" s="13"/>
      <c r="E2305" s="14"/>
      <c r="F2305" s="14"/>
      <c r="G2305" s="14"/>
      <c r="H2305" s="10"/>
      <c r="I2305" s="17"/>
      <c r="J2305" s="10"/>
      <c r="K2305" s="46"/>
      <c r="L2305" s="10"/>
      <c r="M2305" s="20"/>
      <c r="N2305" s="20"/>
      <c r="O2305" s="20"/>
      <c r="P2305" s="20"/>
    </row>
    <row r="2306">
      <c r="A2306" s="23"/>
      <c r="B2306" s="21"/>
      <c r="C2306" s="23"/>
      <c r="D2306" s="24"/>
      <c r="E2306" s="14"/>
      <c r="F2306" s="14"/>
      <c r="G2306" s="14"/>
      <c r="H2306" s="23"/>
      <c r="I2306" s="27"/>
      <c r="J2306" s="23"/>
      <c r="K2306" s="30"/>
      <c r="L2306" s="23"/>
      <c r="M2306" s="20"/>
      <c r="N2306" s="20"/>
      <c r="O2306" s="20"/>
      <c r="P2306" s="20"/>
    </row>
    <row r="2307">
      <c r="A2307" s="10"/>
      <c r="B2307" s="11"/>
      <c r="C2307" s="10"/>
      <c r="D2307" s="13"/>
      <c r="E2307" s="14"/>
      <c r="F2307" s="14"/>
      <c r="G2307" s="14"/>
      <c r="H2307" s="10"/>
      <c r="I2307" s="17"/>
      <c r="J2307" s="10"/>
      <c r="K2307" s="46"/>
      <c r="L2307" s="10"/>
      <c r="M2307" s="20"/>
      <c r="N2307" s="20"/>
      <c r="O2307" s="20"/>
      <c r="P2307" s="20"/>
    </row>
    <row r="2308">
      <c r="A2308" s="23"/>
      <c r="B2308" s="21"/>
      <c r="C2308" s="23"/>
      <c r="D2308" s="24"/>
      <c r="E2308" s="14"/>
      <c r="F2308" s="14"/>
      <c r="G2308" s="14"/>
      <c r="H2308" s="23"/>
      <c r="I2308" s="27"/>
      <c r="J2308" s="23"/>
      <c r="K2308" s="30"/>
      <c r="L2308" s="23"/>
      <c r="M2308" s="20"/>
      <c r="N2308" s="20"/>
      <c r="O2308" s="20"/>
      <c r="P2308" s="20"/>
    </row>
    <row r="2309">
      <c r="A2309" s="10"/>
      <c r="B2309" s="11"/>
      <c r="C2309" s="10"/>
      <c r="D2309" s="13"/>
      <c r="E2309" s="14"/>
      <c r="F2309" s="14"/>
      <c r="G2309" s="14"/>
      <c r="H2309" s="10"/>
      <c r="I2309" s="17"/>
      <c r="J2309" s="10"/>
      <c r="K2309" s="46"/>
      <c r="L2309" s="10"/>
      <c r="M2309" s="20"/>
      <c r="N2309" s="20"/>
      <c r="O2309" s="20"/>
      <c r="P2309" s="20"/>
    </row>
    <row r="2310">
      <c r="A2310" s="23"/>
      <c r="B2310" s="21"/>
      <c r="C2310" s="23"/>
      <c r="D2310" s="24"/>
      <c r="E2310" s="14"/>
      <c r="F2310" s="14"/>
      <c r="G2310" s="14"/>
      <c r="H2310" s="23"/>
      <c r="I2310" s="27"/>
      <c r="J2310" s="23"/>
      <c r="K2310" s="30"/>
      <c r="L2310" s="23"/>
      <c r="M2310" s="20"/>
      <c r="N2310" s="20"/>
      <c r="O2310" s="20"/>
      <c r="P2310" s="20"/>
    </row>
    <row r="2311">
      <c r="A2311" s="10"/>
      <c r="B2311" s="11"/>
      <c r="C2311" s="10"/>
      <c r="D2311" s="13"/>
      <c r="E2311" s="14"/>
      <c r="F2311" s="14"/>
      <c r="G2311" s="14"/>
      <c r="H2311" s="10"/>
      <c r="I2311" s="17"/>
      <c r="J2311" s="10"/>
      <c r="K2311" s="46"/>
      <c r="L2311" s="10"/>
      <c r="M2311" s="20"/>
      <c r="N2311" s="20"/>
      <c r="O2311" s="20"/>
      <c r="P2311" s="20"/>
    </row>
    <row r="2312">
      <c r="A2312" s="23"/>
      <c r="B2312" s="21"/>
      <c r="C2312" s="23"/>
      <c r="D2312" s="24"/>
      <c r="E2312" s="14"/>
      <c r="F2312" s="14"/>
      <c r="G2312" s="14"/>
      <c r="H2312" s="23"/>
      <c r="I2312" s="27"/>
      <c r="J2312" s="23"/>
      <c r="K2312" s="30"/>
      <c r="L2312" s="23"/>
      <c r="M2312" s="20"/>
      <c r="N2312" s="20"/>
      <c r="O2312" s="20"/>
      <c r="P2312" s="20"/>
    </row>
    <row r="2313">
      <c r="A2313" s="10"/>
      <c r="B2313" s="11"/>
      <c r="C2313" s="10"/>
      <c r="D2313" s="13"/>
      <c r="E2313" s="14"/>
      <c r="F2313" s="14"/>
      <c r="G2313" s="14"/>
      <c r="H2313" s="10"/>
      <c r="I2313" s="17"/>
      <c r="J2313" s="10"/>
      <c r="K2313" s="46"/>
      <c r="L2313" s="10"/>
      <c r="M2313" s="20"/>
      <c r="N2313" s="20"/>
      <c r="O2313" s="20"/>
      <c r="P2313" s="20"/>
    </row>
    <row r="2314">
      <c r="A2314" s="23"/>
      <c r="B2314" s="21"/>
      <c r="C2314" s="23"/>
      <c r="D2314" s="24"/>
      <c r="E2314" s="14"/>
      <c r="F2314" s="14"/>
      <c r="G2314" s="14"/>
      <c r="H2314" s="23"/>
      <c r="I2314" s="27"/>
      <c r="J2314" s="23"/>
      <c r="K2314" s="30"/>
      <c r="L2314" s="23"/>
      <c r="M2314" s="20"/>
      <c r="N2314" s="20"/>
      <c r="O2314" s="20"/>
      <c r="P2314" s="20"/>
    </row>
    <row r="2315">
      <c r="A2315" s="10"/>
      <c r="B2315" s="11"/>
      <c r="C2315" s="10"/>
      <c r="D2315" s="13"/>
      <c r="E2315" s="14"/>
      <c r="F2315" s="14"/>
      <c r="G2315" s="14"/>
      <c r="H2315" s="10"/>
      <c r="I2315" s="17"/>
      <c r="J2315" s="10"/>
      <c r="K2315" s="46"/>
      <c r="L2315" s="10"/>
      <c r="M2315" s="20"/>
      <c r="N2315" s="20"/>
      <c r="O2315" s="20"/>
      <c r="P2315" s="20"/>
    </row>
    <row r="2316">
      <c r="A2316" s="23"/>
      <c r="B2316" s="21"/>
      <c r="C2316" s="23"/>
      <c r="D2316" s="24"/>
      <c r="E2316" s="14"/>
      <c r="F2316" s="14"/>
      <c r="G2316" s="14"/>
      <c r="H2316" s="23"/>
      <c r="I2316" s="27"/>
      <c r="J2316" s="23"/>
      <c r="K2316" s="30"/>
      <c r="L2316" s="23"/>
      <c r="M2316" s="20"/>
      <c r="N2316" s="20"/>
      <c r="O2316" s="20"/>
      <c r="P2316" s="20"/>
    </row>
    <row r="2317">
      <c r="A2317" s="10"/>
      <c r="B2317" s="11"/>
      <c r="C2317" s="10"/>
      <c r="D2317" s="13"/>
      <c r="E2317" s="14"/>
      <c r="F2317" s="14"/>
      <c r="G2317" s="14"/>
      <c r="H2317" s="10"/>
      <c r="I2317" s="17"/>
      <c r="J2317" s="10"/>
      <c r="K2317" s="46"/>
      <c r="L2317" s="10"/>
      <c r="M2317" s="20"/>
      <c r="N2317" s="20"/>
      <c r="O2317" s="20"/>
      <c r="P2317" s="20"/>
    </row>
    <row r="2318">
      <c r="A2318" s="23"/>
      <c r="B2318" s="21"/>
      <c r="C2318" s="23"/>
      <c r="D2318" s="24"/>
      <c r="E2318" s="14"/>
      <c r="F2318" s="14"/>
      <c r="G2318" s="14"/>
      <c r="H2318" s="23"/>
      <c r="I2318" s="27"/>
      <c r="J2318" s="23"/>
      <c r="K2318" s="30"/>
      <c r="L2318" s="23"/>
      <c r="M2318" s="20"/>
      <c r="N2318" s="20"/>
      <c r="O2318" s="20"/>
      <c r="P2318" s="20"/>
    </row>
    <row r="2319">
      <c r="A2319" s="10"/>
      <c r="B2319" s="11"/>
      <c r="C2319" s="10"/>
      <c r="D2319" s="13"/>
      <c r="E2319" s="14"/>
      <c r="F2319" s="14"/>
      <c r="G2319" s="14"/>
      <c r="H2319" s="10"/>
      <c r="I2319" s="17"/>
      <c r="J2319" s="10"/>
      <c r="K2319" s="46"/>
      <c r="L2319" s="10"/>
      <c r="M2319" s="20"/>
      <c r="N2319" s="20"/>
      <c r="O2319" s="20"/>
      <c r="P2319" s="20"/>
    </row>
    <row r="2320">
      <c r="A2320" s="23"/>
      <c r="B2320" s="21"/>
      <c r="C2320" s="23"/>
      <c r="D2320" s="24"/>
      <c r="E2320" s="14"/>
      <c r="F2320" s="14"/>
      <c r="G2320" s="14"/>
      <c r="H2320" s="23"/>
      <c r="I2320" s="27"/>
      <c r="J2320" s="23"/>
      <c r="K2320" s="30"/>
      <c r="L2320" s="23"/>
      <c r="M2320" s="20"/>
      <c r="N2320" s="20"/>
      <c r="O2320" s="20"/>
      <c r="P2320" s="20"/>
    </row>
    <row r="2321">
      <c r="A2321" s="10"/>
      <c r="B2321" s="11"/>
      <c r="C2321" s="10"/>
      <c r="D2321" s="13"/>
      <c r="E2321" s="14"/>
      <c r="F2321" s="14"/>
      <c r="G2321" s="14"/>
      <c r="H2321" s="10"/>
      <c r="I2321" s="17"/>
      <c r="J2321" s="10"/>
      <c r="K2321" s="46"/>
      <c r="L2321" s="10"/>
      <c r="M2321" s="20"/>
      <c r="N2321" s="20"/>
      <c r="O2321" s="20"/>
      <c r="P2321" s="20"/>
    </row>
    <row r="2322">
      <c r="A2322" s="23"/>
      <c r="B2322" s="21"/>
      <c r="C2322" s="23"/>
      <c r="D2322" s="24"/>
      <c r="E2322" s="14"/>
      <c r="F2322" s="14"/>
      <c r="G2322" s="14"/>
      <c r="H2322" s="23"/>
      <c r="I2322" s="27"/>
      <c r="J2322" s="23"/>
      <c r="K2322" s="30"/>
      <c r="L2322" s="23"/>
      <c r="M2322" s="20"/>
      <c r="N2322" s="20"/>
      <c r="O2322" s="20"/>
      <c r="P2322" s="20"/>
    </row>
    <row r="2323">
      <c r="A2323" s="10"/>
      <c r="B2323" s="11"/>
      <c r="C2323" s="10"/>
      <c r="D2323" s="13"/>
      <c r="E2323" s="14"/>
      <c r="F2323" s="14"/>
      <c r="G2323" s="14"/>
      <c r="H2323" s="10"/>
      <c r="I2323" s="17"/>
      <c r="J2323" s="10"/>
      <c r="K2323" s="46"/>
      <c r="L2323" s="10"/>
      <c r="M2323" s="20"/>
      <c r="N2323" s="20"/>
      <c r="O2323" s="20"/>
      <c r="P2323" s="20"/>
    </row>
    <row r="2324">
      <c r="A2324" s="23"/>
      <c r="B2324" s="21"/>
      <c r="C2324" s="23"/>
      <c r="D2324" s="24"/>
      <c r="E2324" s="14"/>
      <c r="F2324" s="14"/>
      <c r="G2324" s="14"/>
      <c r="H2324" s="23"/>
      <c r="I2324" s="27"/>
      <c r="J2324" s="23"/>
      <c r="K2324" s="30"/>
      <c r="L2324" s="23"/>
      <c r="M2324" s="20"/>
      <c r="N2324" s="20"/>
      <c r="O2324" s="20"/>
      <c r="P2324" s="20"/>
    </row>
    <row r="2325">
      <c r="A2325" s="10"/>
      <c r="B2325" s="11"/>
      <c r="C2325" s="10"/>
      <c r="D2325" s="13"/>
      <c r="E2325" s="14"/>
      <c r="F2325" s="14"/>
      <c r="G2325" s="14"/>
      <c r="H2325" s="10"/>
      <c r="I2325" s="17"/>
      <c r="J2325" s="10"/>
      <c r="K2325" s="46"/>
      <c r="L2325" s="10"/>
      <c r="M2325" s="20"/>
      <c r="N2325" s="20"/>
      <c r="O2325" s="20"/>
      <c r="P2325" s="20"/>
    </row>
    <row r="2326">
      <c r="A2326" s="23"/>
      <c r="B2326" s="21"/>
      <c r="C2326" s="23"/>
      <c r="D2326" s="24"/>
      <c r="E2326" s="14"/>
      <c r="F2326" s="14"/>
      <c r="G2326" s="14"/>
      <c r="H2326" s="23"/>
      <c r="I2326" s="27"/>
      <c r="J2326" s="23"/>
      <c r="K2326" s="30"/>
      <c r="L2326" s="23"/>
      <c r="M2326" s="20"/>
      <c r="N2326" s="20"/>
      <c r="O2326" s="20"/>
      <c r="P2326" s="20"/>
    </row>
    <row r="2327">
      <c r="A2327" s="10"/>
      <c r="B2327" s="11"/>
      <c r="C2327" s="10"/>
      <c r="D2327" s="13"/>
      <c r="E2327" s="14"/>
      <c r="F2327" s="14"/>
      <c r="G2327" s="14"/>
      <c r="H2327" s="10"/>
      <c r="I2327" s="17"/>
      <c r="J2327" s="10"/>
      <c r="K2327" s="46"/>
      <c r="L2327" s="10"/>
      <c r="M2327" s="20"/>
      <c r="N2327" s="20"/>
      <c r="O2327" s="20"/>
      <c r="P2327" s="20"/>
    </row>
    <row r="2328">
      <c r="A2328" s="23"/>
      <c r="B2328" s="21"/>
      <c r="C2328" s="23"/>
      <c r="D2328" s="24"/>
      <c r="E2328" s="14"/>
      <c r="F2328" s="14"/>
      <c r="G2328" s="14"/>
      <c r="H2328" s="23"/>
      <c r="I2328" s="27"/>
      <c r="J2328" s="23"/>
      <c r="K2328" s="30"/>
      <c r="L2328" s="23"/>
      <c r="M2328" s="20"/>
      <c r="N2328" s="20"/>
      <c r="O2328" s="20"/>
      <c r="P2328" s="20"/>
    </row>
    <row r="2329">
      <c r="A2329" s="10"/>
      <c r="B2329" s="11"/>
      <c r="C2329" s="10"/>
      <c r="D2329" s="13"/>
      <c r="E2329" s="14"/>
      <c r="F2329" s="14"/>
      <c r="G2329" s="14"/>
      <c r="H2329" s="10"/>
      <c r="I2329" s="17"/>
      <c r="J2329" s="10"/>
      <c r="K2329" s="46"/>
      <c r="L2329" s="10"/>
      <c r="M2329" s="20"/>
      <c r="N2329" s="20"/>
      <c r="O2329" s="20"/>
      <c r="P2329" s="20"/>
    </row>
    <row r="2330">
      <c r="A2330" s="23"/>
      <c r="B2330" s="21"/>
      <c r="C2330" s="23"/>
      <c r="D2330" s="24"/>
      <c r="E2330" s="14"/>
      <c r="F2330" s="14"/>
      <c r="G2330" s="14"/>
      <c r="H2330" s="23"/>
      <c r="I2330" s="27"/>
      <c r="J2330" s="23"/>
      <c r="K2330" s="30"/>
      <c r="L2330" s="23"/>
      <c r="M2330" s="20"/>
      <c r="N2330" s="20"/>
      <c r="O2330" s="20"/>
      <c r="P2330" s="20"/>
    </row>
    <row r="2331">
      <c r="A2331" s="10"/>
      <c r="B2331" s="11"/>
      <c r="C2331" s="10"/>
      <c r="D2331" s="13"/>
      <c r="E2331" s="14"/>
      <c r="F2331" s="14"/>
      <c r="G2331" s="14"/>
      <c r="H2331" s="10"/>
      <c r="I2331" s="17"/>
      <c r="J2331" s="10"/>
      <c r="K2331" s="46"/>
      <c r="L2331" s="10"/>
      <c r="M2331" s="20"/>
      <c r="N2331" s="20"/>
      <c r="O2331" s="20"/>
      <c r="P2331" s="20"/>
    </row>
    <row r="2332">
      <c r="A2332" s="23"/>
      <c r="B2332" s="21"/>
      <c r="C2332" s="23"/>
      <c r="D2332" s="24"/>
      <c r="E2332" s="14"/>
      <c r="F2332" s="14"/>
      <c r="G2332" s="14"/>
      <c r="H2332" s="23"/>
      <c r="I2332" s="27"/>
      <c r="J2332" s="23"/>
      <c r="K2332" s="30"/>
      <c r="L2332" s="23"/>
      <c r="M2332" s="20"/>
      <c r="N2332" s="20"/>
      <c r="O2332" s="20"/>
      <c r="P2332" s="20"/>
    </row>
    <row r="2333">
      <c r="A2333" s="10"/>
      <c r="B2333" s="11"/>
      <c r="C2333" s="10"/>
      <c r="D2333" s="13"/>
      <c r="E2333" s="14"/>
      <c r="F2333" s="14"/>
      <c r="G2333" s="14"/>
      <c r="H2333" s="10"/>
      <c r="I2333" s="17"/>
      <c r="J2333" s="10"/>
      <c r="K2333" s="46"/>
      <c r="L2333" s="10"/>
      <c r="M2333" s="20"/>
      <c r="N2333" s="20"/>
      <c r="O2333" s="20"/>
      <c r="P2333" s="20"/>
    </row>
    <row r="2334">
      <c r="A2334" s="23"/>
      <c r="B2334" s="21"/>
      <c r="C2334" s="23"/>
      <c r="D2334" s="24"/>
      <c r="E2334" s="14"/>
      <c r="F2334" s="14"/>
      <c r="G2334" s="14"/>
      <c r="H2334" s="23"/>
      <c r="I2334" s="27"/>
      <c r="J2334" s="23"/>
      <c r="K2334" s="30"/>
      <c r="L2334" s="23"/>
      <c r="M2334" s="20"/>
      <c r="N2334" s="20"/>
      <c r="O2334" s="20"/>
      <c r="P2334" s="20"/>
    </row>
    <row r="2335">
      <c r="A2335" s="10"/>
      <c r="B2335" s="11"/>
      <c r="C2335" s="10"/>
      <c r="D2335" s="13"/>
      <c r="E2335" s="14"/>
      <c r="F2335" s="14"/>
      <c r="G2335" s="14"/>
      <c r="H2335" s="10"/>
      <c r="I2335" s="17"/>
      <c r="J2335" s="10"/>
      <c r="K2335" s="46"/>
      <c r="L2335" s="10"/>
      <c r="M2335" s="20"/>
      <c r="N2335" s="20"/>
      <c r="O2335" s="20"/>
      <c r="P2335" s="20"/>
    </row>
    <row r="2336">
      <c r="A2336" s="23"/>
      <c r="B2336" s="21"/>
      <c r="C2336" s="23"/>
      <c r="D2336" s="24"/>
      <c r="E2336" s="14"/>
      <c r="F2336" s="14"/>
      <c r="G2336" s="14"/>
      <c r="H2336" s="23"/>
      <c r="I2336" s="27"/>
      <c r="J2336" s="23"/>
      <c r="K2336" s="30"/>
      <c r="L2336" s="23"/>
      <c r="M2336" s="20"/>
      <c r="N2336" s="20"/>
      <c r="O2336" s="20"/>
      <c r="P2336" s="20"/>
    </row>
    <row r="2337">
      <c r="A2337" s="10"/>
      <c r="B2337" s="11"/>
      <c r="C2337" s="10"/>
      <c r="D2337" s="13"/>
      <c r="E2337" s="14"/>
      <c r="F2337" s="14"/>
      <c r="G2337" s="14"/>
      <c r="H2337" s="10"/>
      <c r="I2337" s="17"/>
      <c r="J2337" s="10"/>
      <c r="K2337" s="46"/>
      <c r="L2337" s="10"/>
      <c r="M2337" s="20"/>
      <c r="N2337" s="20"/>
      <c r="O2337" s="20"/>
      <c r="P2337" s="20"/>
    </row>
    <row r="2338">
      <c r="A2338" s="23"/>
      <c r="B2338" s="21"/>
      <c r="C2338" s="23"/>
      <c r="D2338" s="24"/>
      <c r="E2338" s="14"/>
      <c r="F2338" s="14"/>
      <c r="G2338" s="14"/>
      <c r="H2338" s="23"/>
      <c r="I2338" s="27"/>
      <c r="J2338" s="23"/>
      <c r="K2338" s="30"/>
      <c r="L2338" s="23"/>
      <c r="M2338" s="20"/>
      <c r="N2338" s="20"/>
      <c r="O2338" s="20"/>
      <c r="P2338" s="20"/>
    </row>
    <row r="2339">
      <c r="A2339" s="10"/>
      <c r="B2339" s="11"/>
      <c r="C2339" s="10"/>
      <c r="D2339" s="13"/>
      <c r="E2339" s="14"/>
      <c r="F2339" s="14"/>
      <c r="G2339" s="14"/>
      <c r="H2339" s="10"/>
      <c r="I2339" s="17"/>
      <c r="J2339" s="10"/>
      <c r="K2339" s="46"/>
      <c r="L2339" s="10"/>
      <c r="M2339" s="20"/>
      <c r="N2339" s="20"/>
      <c r="O2339" s="20"/>
      <c r="P2339" s="20"/>
    </row>
    <row r="2340">
      <c r="A2340" s="23"/>
      <c r="B2340" s="21"/>
      <c r="C2340" s="23"/>
      <c r="D2340" s="24"/>
      <c r="E2340" s="14"/>
      <c r="F2340" s="14"/>
      <c r="G2340" s="14"/>
      <c r="H2340" s="23"/>
      <c r="I2340" s="27"/>
      <c r="J2340" s="23"/>
      <c r="K2340" s="30"/>
      <c r="L2340" s="23"/>
      <c r="M2340" s="20"/>
      <c r="N2340" s="20"/>
      <c r="O2340" s="20"/>
      <c r="P2340" s="20"/>
    </row>
    <row r="2341">
      <c r="A2341" s="10"/>
      <c r="B2341" s="11"/>
      <c r="C2341" s="10"/>
      <c r="D2341" s="13"/>
      <c r="E2341" s="14"/>
      <c r="F2341" s="14"/>
      <c r="G2341" s="14"/>
      <c r="H2341" s="10"/>
      <c r="I2341" s="17"/>
      <c r="J2341" s="10"/>
      <c r="K2341" s="46"/>
      <c r="L2341" s="10"/>
      <c r="M2341" s="20"/>
      <c r="N2341" s="20"/>
      <c r="O2341" s="20"/>
      <c r="P2341" s="20"/>
    </row>
    <row r="2342">
      <c r="A2342" s="23"/>
      <c r="B2342" s="21"/>
      <c r="C2342" s="23"/>
      <c r="D2342" s="24"/>
      <c r="E2342" s="14"/>
      <c r="F2342" s="14"/>
      <c r="G2342" s="14"/>
      <c r="H2342" s="23"/>
      <c r="I2342" s="27"/>
      <c r="J2342" s="23"/>
      <c r="K2342" s="30"/>
      <c r="L2342" s="23"/>
      <c r="M2342" s="20"/>
      <c r="N2342" s="20"/>
      <c r="O2342" s="20"/>
      <c r="P2342" s="20"/>
    </row>
    <row r="2343">
      <c r="A2343" s="10"/>
      <c r="B2343" s="11"/>
      <c r="C2343" s="10"/>
      <c r="D2343" s="13"/>
      <c r="E2343" s="14"/>
      <c r="F2343" s="14"/>
      <c r="G2343" s="14"/>
      <c r="H2343" s="10"/>
      <c r="I2343" s="17"/>
      <c r="J2343" s="10"/>
      <c r="K2343" s="46"/>
      <c r="L2343" s="10"/>
      <c r="M2343" s="20"/>
      <c r="N2343" s="20"/>
      <c r="O2343" s="20"/>
      <c r="P2343" s="20"/>
    </row>
    <row r="2344">
      <c r="A2344" s="23"/>
      <c r="B2344" s="21"/>
      <c r="C2344" s="23"/>
      <c r="D2344" s="24"/>
      <c r="E2344" s="14"/>
      <c r="F2344" s="14"/>
      <c r="G2344" s="14"/>
      <c r="H2344" s="23"/>
      <c r="I2344" s="27"/>
      <c r="J2344" s="23"/>
      <c r="K2344" s="30"/>
      <c r="L2344" s="23"/>
      <c r="M2344" s="20"/>
      <c r="N2344" s="20"/>
      <c r="O2344" s="20"/>
      <c r="P2344" s="20"/>
    </row>
    <row r="2345">
      <c r="A2345" s="10"/>
      <c r="B2345" s="11"/>
      <c r="C2345" s="10"/>
      <c r="D2345" s="13"/>
      <c r="E2345" s="14"/>
      <c r="F2345" s="14"/>
      <c r="G2345" s="14"/>
      <c r="H2345" s="10"/>
      <c r="I2345" s="17"/>
      <c r="J2345" s="10"/>
      <c r="K2345" s="46"/>
      <c r="L2345" s="10"/>
      <c r="M2345" s="20"/>
      <c r="N2345" s="20"/>
      <c r="O2345" s="20"/>
      <c r="P2345" s="20"/>
    </row>
    <row r="2346">
      <c r="A2346" s="23"/>
      <c r="B2346" s="21"/>
      <c r="C2346" s="23"/>
      <c r="D2346" s="24"/>
      <c r="E2346" s="14"/>
      <c r="F2346" s="14"/>
      <c r="G2346" s="14"/>
      <c r="H2346" s="23"/>
      <c r="I2346" s="27"/>
      <c r="J2346" s="23"/>
      <c r="K2346" s="30"/>
      <c r="L2346" s="23"/>
      <c r="M2346" s="20"/>
      <c r="N2346" s="20"/>
      <c r="O2346" s="20"/>
      <c r="P2346" s="20"/>
    </row>
    <row r="2347">
      <c r="A2347" s="10"/>
      <c r="B2347" s="11"/>
      <c r="C2347" s="10"/>
      <c r="D2347" s="13"/>
      <c r="E2347" s="14"/>
      <c r="F2347" s="14"/>
      <c r="G2347" s="14"/>
      <c r="H2347" s="10"/>
      <c r="I2347" s="17"/>
      <c r="J2347" s="10"/>
      <c r="K2347" s="46"/>
      <c r="L2347" s="10"/>
      <c r="M2347" s="20"/>
      <c r="N2347" s="20"/>
      <c r="O2347" s="20"/>
      <c r="P2347" s="20"/>
    </row>
    <row r="2348">
      <c r="A2348" s="23"/>
      <c r="B2348" s="21"/>
      <c r="C2348" s="23"/>
      <c r="D2348" s="24"/>
      <c r="E2348" s="14"/>
      <c r="F2348" s="14"/>
      <c r="G2348" s="14"/>
      <c r="H2348" s="23"/>
      <c r="I2348" s="27"/>
      <c r="J2348" s="23"/>
      <c r="K2348" s="30"/>
      <c r="L2348" s="23"/>
      <c r="M2348" s="20"/>
      <c r="N2348" s="20"/>
      <c r="O2348" s="20"/>
      <c r="P2348" s="20"/>
    </row>
    <row r="2349">
      <c r="A2349" s="10"/>
      <c r="B2349" s="11"/>
      <c r="C2349" s="10"/>
      <c r="D2349" s="13"/>
      <c r="E2349" s="14"/>
      <c r="F2349" s="14"/>
      <c r="G2349" s="14"/>
      <c r="H2349" s="10"/>
      <c r="I2349" s="17"/>
      <c r="J2349" s="10"/>
      <c r="K2349" s="46"/>
      <c r="L2349" s="10"/>
      <c r="M2349" s="20"/>
      <c r="N2349" s="20"/>
      <c r="O2349" s="20"/>
      <c r="P2349" s="20"/>
    </row>
    <row r="2350">
      <c r="A2350" s="23"/>
      <c r="B2350" s="21"/>
      <c r="C2350" s="23"/>
      <c r="D2350" s="24"/>
      <c r="E2350" s="14"/>
      <c r="F2350" s="14"/>
      <c r="G2350" s="14"/>
      <c r="H2350" s="23"/>
      <c r="I2350" s="27"/>
      <c r="J2350" s="23"/>
      <c r="K2350" s="30"/>
      <c r="L2350" s="23"/>
      <c r="M2350" s="20"/>
      <c r="N2350" s="20"/>
      <c r="O2350" s="20"/>
      <c r="P2350" s="20"/>
    </row>
    <row r="2351">
      <c r="A2351" s="10"/>
      <c r="B2351" s="11"/>
      <c r="C2351" s="10"/>
      <c r="D2351" s="13"/>
      <c r="E2351" s="14"/>
      <c r="F2351" s="14"/>
      <c r="G2351" s="14"/>
      <c r="H2351" s="10"/>
      <c r="I2351" s="17"/>
      <c r="J2351" s="10"/>
      <c r="K2351" s="46"/>
      <c r="L2351" s="10"/>
      <c r="M2351" s="20"/>
      <c r="N2351" s="20"/>
      <c r="O2351" s="20"/>
      <c r="P2351" s="20"/>
    </row>
    <row r="2352">
      <c r="A2352" s="23"/>
      <c r="B2352" s="21"/>
      <c r="C2352" s="23"/>
      <c r="D2352" s="24"/>
      <c r="E2352" s="14"/>
      <c r="F2352" s="14"/>
      <c r="G2352" s="14"/>
      <c r="H2352" s="23"/>
      <c r="I2352" s="27"/>
      <c r="J2352" s="23"/>
      <c r="K2352" s="30"/>
      <c r="L2352" s="23"/>
      <c r="M2352" s="20"/>
      <c r="N2352" s="20"/>
      <c r="O2352" s="20"/>
      <c r="P2352" s="20"/>
    </row>
    <row r="2353">
      <c r="A2353" s="10"/>
      <c r="B2353" s="11"/>
      <c r="C2353" s="10"/>
      <c r="D2353" s="13"/>
      <c r="E2353" s="14"/>
      <c r="F2353" s="14"/>
      <c r="G2353" s="14"/>
      <c r="H2353" s="10"/>
      <c r="I2353" s="17"/>
      <c r="J2353" s="10"/>
      <c r="K2353" s="46"/>
      <c r="L2353" s="10"/>
      <c r="M2353" s="20"/>
      <c r="N2353" s="20"/>
      <c r="O2353" s="20"/>
      <c r="P2353" s="20"/>
    </row>
    <row r="2354">
      <c r="A2354" s="23"/>
      <c r="B2354" s="21"/>
      <c r="C2354" s="23"/>
      <c r="D2354" s="24"/>
      <c r="E2354" s="14"/>
      <c r="F2354" s="14"/>
      <c r="G2354" s="14"/>
      <c r="H2354" s="23"/>
      <c r="I2354" s="27"/>
      <c r="J2354" s="23"/>
      <c r="K2354" s="30"/>
      <c r="L2354" s="23"/>
      <c r="M2354" s="20"/>
      <c r="N2354" s="20"/>
      <c r="O2354" s="20"/>
      <c r="P2354" s="20"/>
    </row>
    <row r="2355">
      <c r="A2355" s="10"/>
      <c r="B2355" s="11"/>
      <c r="C2355" s="10"/>
      <c r="D2355" s="13"/>
      <c r="E2355" s="14"/>
      <c r="F2355" s="14"/>
      <c r="G2355" s="14"/>
      <c r="H2355" s="10"/>
      <c r="I2355" s="17"/>
      <c r="J2355" s="10"/>
      <c r="K2355" s="46"/>
      <c r="L2355" s="10"/>
      <c r="M2355" s="20"/>
      <c r="N2355" s="20"/>
      <c r="O2355" s="20"/>
      <c r="P2355" s="20"/>
    </row>
    <row r="2356">
      <c r="A2356" s="23"/>
      <c r="B2356" s="21"/>
      <c r="C2356" s="23"/>
      <c r="D2356" s="24"/>
      <c r="E2356" s="14"/>
      <c r="F2356" s="14"/>
      <c r="G2356" s="14"/>
      <c r="H2356" s="23"/>
      <c r="I2356" s="27"/>
      <c r="J2356" s="23"/>
      <c r="K2356" s="30"/>
      <c r="L2356" s="23"/>
      <c r="M2356" s="20"/>
      <c r="N2356" s="20"/>
      <c r="O2356" s="20"/>
      <c r="P2356" s="20"/>
    </row>
    <row r="2357">
      <c r="A2357" s="10"/>
      <c r="B2357" s="11"/>
      <c r="C2357" s="10"/>
      <c r="D2357" s="13"/>
      <c r="E2357" s="14"/>
      <c r="F2357" s="14"/>
      <c r="G2357" s="14"/>
      <c r="H2357" s="10"/>
      <c r="I2357" s="17"/>
      <c r="J2357" s="10"/>
      <c r="K2357" s="46"/>
      <c r="L2357" s="10"/>
      <c r="M2357" s="20"/>
      <c r="N2357" s="20"/>
      <c r="O2357" s="20"/>
      <c r="P2357" s="20"/>
    </row>
    <row r="2358">
      <c r="A2358" s="23"/>
      <c r="B2358" s="21"/>
      <c r="C2358" s="23"/>
      <c r="D2358" s="24"/>
      <c r="E2358" s="14"/>
      <c r="F2358" s="14"/>
      <c r="G2358" s="14"/>
      <c r="H2358" s="23"/>
      <c r="I2358" s="27"/>
      <c r="J2358" s="23"/>
      <c r="K2358" s="30"/>
      <c r="L2358" s="23"/>
      <c r="M2358" s="20"/>
      <c r="N2358" s="20"/>
      <c r="O2358" s="20"/>
      <c r="P2358" s="20"/>
    </row>
    <row r="2359">
      <c r="A2359" s="10"/>
      <c r="B2359" s="11"/>
      <c r="C2359" s="10"/>
      <c r="D2359" s="13"/>
      <c r="E2359" s="14"/>
      <c r="F2359" s="14"/>
      <c r="G2359" s="14"/>
      <c r="H2359" s="10"/>
      <c r="I2359" s="17"/>
      <c r="J2359" s="10"/>
      <c r="K2359" s="46"/>
      <c r="L2359" s="10"/>
      <c r="M2359" s="20"/>
      <c r="N2359" s="20"/>
      <c r="O2359" s="20"/>
      <c r="P2359" s="20"/>
    </row>
    <row r="2360">
      <c r="A2360" s="23"/>
      <c r="B2360" s="21"/>
      <c r="C2360" s="23"/>
      <c r="D2360" s="24"/>
      <c r="E2360" s="14"/>
      <c r="F2360" s="14"/>
      <c r="G2360" s="14"/>
      <c r="H2360" s="23"/>
      <c r="I2360" s="27"/>
      <c r="J2360" s="23"/>
      <c r="K2360" s="30"/>
      <c r="L2360" s="23"/>
      <c r="M2360" s="20"/>
      <c r="N2360" s="20"/>
      <c r="O2360" s="20"/>
      <c r="P2360" s="20"/>
    </row>
    <row r="2361">
      <c r="A2361" s="10"/>
      <c r="B2361" s="11"/>
      <c r="C2361" s="10"/>
      <c r="D2361" s="13"/>
      <c r="E2361" s="14"/>
      <c r="F2361" s="14"/>
      <c r="G2361" s="14"/>
      <c r="H2361" s="10"/>
      <c r="I2361" s="17"/>
      <c r="J2361" s="10"/>
      <c r="K2361" s="46"/>
      <c r="L2361" s="10"/>
      <c r="M2361" s="20"/>
      <c r="N2361" s="20"/>
      <c r="O2361" s="20"/>
      <c r="P2361" s="20"/>
    </row>
    <row r="2362">
      <c r="A2362" s="23"/>
      <c r="B2362" s="21"/>
      <c r="C2362" s="23"/>
      <c r="D2362" s="24"/>
      <c r="E2362" s="14"/>
      <c r="F2362" s="14"/>
      <c r="G2362" s="14"/>
      <c r="H2362" s="23"/>
      <c r="I2362" s="27"/>
      <c r="J2362" s="23"/>
      <c r="K2362" s="30"/>
      <c r="L2362" s="23"/>
      <c r="M2362" s="20"/>
      <c r="N2362" s="20"/>
      <c r="O2362" s="20"/>
      <c r="P2362" s="20"/>
    </row>
    <row r="2363">
      <c r="A2363" s="10"/>
      <c r="B2363" s="11"/>
      <c r="C2363" s="10"/>
      <c r="D2363" s="13"/>
      <c r="E2363" s="14"/>
      <c r="F2363" s="14"/>
      <c r="G2363" s="14"/>
      <c r="H2363" s="10"/>
      <c r="I2363" s="17"/>
      <c r="J2363" s="10"/>
      <c r="K2363" s="46"/>
      <c r="L2363" s="10"/>
      <c r="M2363" s="20"/>
      <c r="N2363" s="20"/>
      <c r="O2363" s="20"/>
      <c r="P2363" s="20"/>
    </row>
    <row r="2364">
      <c r="A2364" s="23"/>
      <c r="B2364" s="21"/>
      <c r="C2364" s="23"/>
      <c r="D2364" s="24"/>
      <c r="E2364" s="14"/>
      <c r="F2364" s="14"/>
      <c r="G2364" s="14"/>
      <c r="H2364" s="23"/>
      <c r="I2364" s="27"/>
      <c r="J2364" s="23"/>
      <c r="K2364" s="30"/>
      <c r="L2364" s="23"/>
      <c r="M2364" s="20"/>
      <c r="N2364" s="20"/>
      <c r="O2364" s="20"/>
      <c r="P2364" s="20"/>
    </row>
    <row r="2365">
      <c r="A2365" s="10"/>
      <c r="B2365" s="11"/>
      <c r="C2365" s="10"/>
      <c r="D2365" s="13"/>
      <c r="E2365" s="14"/>
      <c r="F2365" s="14"/>
      <c r="G2365" s="14"/>
      <c r="H2365" s="10"/>
      <c r="I2365" s="17"/>
      <c r="J2365" s="10"/>
      <c r="K2365" s="46"/>
      <c r="L2365" s="10"/>
      <c r="M2365" s="20"/>
      <c r="N2365" s="20"/>
      <c r="O2365" s="20"/>
      <c r="P2365" s="20"/>
    </row>
    <row r="2366">
      <c r="A2366" s="23"/>
      <c r="B2366" s="21"/>
      <c r="C2366" s="23"/>
      <c r="D2366" s="24"/>
      <c r="E2366" s="14"/>
      <c r="F2366" s="14"/>
      <c r="G2366" s="14"/>
      <c r="H2366" s="23"/>
      <c r="I2366" s="27"/>
      <c r="J2366" s="23"/>
      <c r="K2366" s="30"/>
      <c r="L2366" s="23"/>
      <c r="M2366" s="20"/>
      <c r="N2366" s="20"/>
      <c r="O2366" s="20"/>
      <c r="P2366" s="20"/>
    </row>
    <row r="2367">
      <c r="A2367" s="10"/>
      <c r="B2367" s="11"/>
      <c r="C2367" s="10"/>
      <c r="D2367" s="13"/>
      <c r="E2367" s="14"/>
      <c r="F2367" s="14"/>
      <c r="G2367" s="14"/>
      <c r="H2367" s="10"/>
      <c r="I2367" s="17"/>
      <c r="J2367" s="10"/>
      <c r="K2367" s="46"/>
      <c r="L2367" s="10"/>
      <c r="M2367" s="20"/>
      <c r="N2367" s="20"/>
      <c r="O2367" s="20"/>
      <c r="P2367" s="20"/>
    </row>
    <row r="2368">
      <c r="A2368" s="23"/>
      <c r="B2368" s="21"/>
      <c r="C2368" s="23"/>
      <c r="D2368" s="24"/>
      <c r="E2368" s="14"/>
      <c r="F2368" s="14"/>
      <c r="G2368" s="14"/>
      <c r="H2368" s="23"/>
      <c r="I2368" s="27"/>
      <c r="J2368" s="23"/>
      <c r="K2368" s="30"/>
      <c r="L2368" s="23"/>
      <c r="M2368" s="20"/>
      <c r="N2368" s="20"/>
      <c r="O2368" s="20"/>
      <c r="P2368" s="20"/>
    </row>
    <row r="2369">
      <c r="A2369" s="10"/>
      <c r="B2369" s="11"/>
      <c r="C2369" s="10"/>
      <c r="D2369" s="13"/>
      <c r="E2369" s="14"/>
      <c r="F2369" s="14"/>
      <c r="G2369" s="14"/>
      <c r="H2369" s="10"/>
      <c r="I2369" s="17"/>
      <c r="J2369" s="10"/>
      <c r="K2369" s="46"/>
      <c r="L2369" s="10"/>
      <c r="M2369" s="20"/>
      <c r="N2369" s="20"/>
      <c r="O2369" s="20"/>
      <c r="P2369" s="20"/>
    </row>
    <row r="2370">
      <c r="A2370" s="23"/>
      <c r="B2370" s="21"/>
      <c r="C2370" s="23"/>
      <c r="D2370" s="24"/>
      <c r="E2370" s="14"/>
      <c r="F2370" s="14"/>
      <c r="G2370" s="14"/>
      <c r="H2370" s="23"/>
      <c r="I2370" s="27"/>
      <c r="J2370" s="23"/>
      <c r="K2370" s="30"/>
      <c r="L2370" s="23"/>
      <c r="M2370" s="20"/>
      <c r="N2370" s="20"/>
      <c r="O2370" s="20"/>
      <c r="P2370" s="20"/>
    </row>
    <row r="2371">
      <c r="A2371" s="10"/>
      <c r="B2371" s="11"/>
      <c r="C2371" s="10"/>
      <c r="D2371" s="13"/>
      <c r="E2371" s="14"/>
      <c r="F2371" s="14"/>
      <c r="G2371" s="14"/>
      <c r="H2371" s="10"/>
      <c r="I2371" s="17"/>
      <c r="J2371" s="10"/>
      <c r="K2371" s="46"/>
      <c r="L2371" s="10"/>
      <c r="M2371" s="20"/>
      <c r="N2371" s="20"/>
      <c r="O2371" s="20"/>
      <c r="P2371" s="20"/>
    </row>
    <row r="2372">
      <c r="A2372" s="23"/>
      <c r="B2372" s="21"/>
      <c r="C2372" s="23"/>
      <c r="D2372" s="24"/>
      <c r="E2372" s="14"/>
      <c r="F2372" s="14"/>
      <c r="G2372" s="14"/>
      <c r="H2372" s="23"/>
      <c r="I2372" s="27"/>
      <c r="J2372" s="23"/>
      <c r="K2372" s="30"/>
      <c r="L2372" s="23"/>
      <c r="M2372" s="20"/>
      <c r="N2372" s="20"/>
      <c r="O2372" s="20"/>
      <c r="P2372" s="20"/>
    </row>
    <row r="2373">
      <c r="A2373" s="10"/>
      <c r="B2373" s="11"/>
      <c r="C2373" s="10"/>
      <c r="D2373" s="13"/>
      <c r="E2373" s="14"/>
      <c r="F2373" s="14"/>
      <c r="G2373" s="14"/>
      <c r="H2373" s="10"/>
      <c r="I2373" s="17"/>
      <c r="J2373" s="10"/>
      <c r="K2373" s="46"/>
      <c r="L2373" s="10"/>
      <c r="M2373" s="20"/>
      <c r="N2373" s="20"/>
      <c r="O2373" s="20"/>
      <c r="P2373" s="20"/>
    </row>
    <row r="2374">
      <c r="A2374" s="23"/>
      <c r="B2374" s="21"/>
      <c r="C2374" s="23"/>
      <c r="D2374" s="24"/>
      <c r="E2374" s="14"/>
      <c r="F2374" s="14"/>
      <c r="G2374" s="14"/>
      <c r="H2374" s="23"/>
      <c r="I2374" s="27"/>
      <c r="J2374" s="23"/>
      <c r="K2374" s="30"/>
      <c r="L2374" s="23"/>
      <c r="M2374" s="20"/>
      <c r="N2374" s="20"/>
      <c r="O2374" s="20"/>
      <c r="P2374" s="20"/>
    </row>
    <row r="2375">
      <c r="A2375" s="10"/>
      <c r="B2375" s="11"/>
      <c r="C2375" s="10"/>
      <c r="D2375" s="13"/>
      <c r="E2375" s="14"/>
      <c r="F2375" s="14"/>
      <c r="G2375" s="14"/>
      <c r="H2375" s="10"/>
      <c r="I2375" s="17"/>
      <c r="J2375" s="10"/>
      <c r="K2375" s="46"/>
      <c r="L2375" s="10"/>
      <c r="M2375" s="20"/>
      <c r="N2375" s="20"/>
      <c r="O2375" s="20"/>
      <c r="P2375" s="20"/>
    </row>
    <row r="2376">
      <c r="A2376" s="23"/>
      <c r="B2376" s="21"/>
      <c r="C2376" s="23"/>
      <c r="D2376" s="24"/>
      <c r="E2376" s="14"/>
      <c r="F2376" s="14"/>
      <c r="G2376" s="14"/>
      <c r="H2376" s="23"/>
      <c r="I2376" s="27"/>
      <c r="J2376" s="23"/>
      <c r="K2376" s="30"/>
      <c r="L2376" s="23"/>
      <c r="M2376" s="20"/>
      <c r="N2376" s="20"/>
      <c r="O2376" s="20"/>
      <c r="P2376" s="20"/>
    </row>
    <row r="2377">
      <c r="A2377" s="10"/>
      <c r="B2377" s="11"/>
      <c r="C2377" s="10"/>
      <c r="D2377" s="13"/>
      <c r="E2377" s="14"/>
      <c r="F2377" s="14"/>
      <c r="G2377" s="14"/>
      <c r="H2377" s="10"/>
      <c r="I2377" s="17"/>
      <c r="J2377" s="10"/>
      <c r="K2377" s="46"/>
      <c r="L2377" s="10"/>
      <c r="M2377" s="20"/>
      <c r="N2377" s="20"/>
      <c r="O2377" s="20"/>
      <c r="P2377" s="20"/>
    </row>
    <row r="2378">
      <c r="A2378" s="23"/>
      <c r="B2378" s="21"/>
      <c r="C2378" s="23"/>
      <c r="D2378" s="24"/>
      <c r="E2378" s="14"/>
      <c r="F2378" s="14"/>
      <c r="G2378" s="14"/>
      <c r="H2378" s="23"/>
      <c r="I2378" s="27"/>
      <c r="J2378" s="23"/>
      <c r="K2378" s="30"/>
      <c r="L2378" s="23"/>
      <c r="M2378" s="20"/>
      <c r="N2378" s="20"/>
      <c r="O2378" s="20"/>
      <c r="P2378" s="20"/>
    </row>
    <row r="2379">
      <c r="A2379" s="10"/>
      <c r="B2379" s="11"/>
      <c r="C2379" s="10"/>
      <c r="D2379" s="13"/>
      <c r="E2379" s="14"/>
      <c r="F2379" s="14"/>
      <c r="G2379" s="14"/>
      <c r="H2379" s="10"/>
      <c r="I2379" s="17"/>
      <c r="J2379" s="10"/>
      <c r="K2379" s="46"/>
      <c r="L2379" s="10"/>
      <c r="M2379" s="20"/>
      <c r="N2379" s="20"/>
      <c r="O2379" s="20"/>
      <c r="P2379" s="20"/>
    </row>
    <row r="2380">
      <c r="A2380" s="23"/>
      <c r="B2380" s="21"/>
      <c r="C2380" s="23"/>
      <c r="D2380" s="24"/>
      <c r="E2380" s="14"/>
      <c r="F2380" s="14"/>
      <c r="G2380" s="14"/>
      <c r="H2380" s="23"/>
      <c r="I2380" s="27"/>
      <c r="J2380" s="23"/>
      <c r="K2380" s="30"/>
      <c r="L2380" s="23"/>
      <c r="M2380" s="20"/>
      <c r="N2380" s="20"/>
      <c r="O2380" s="20"/>
      <c r="P2380" s="20"/>
    </row>
    <row r="2381">
      <c r="A2381" s="10"/>
      <c r="B2381" s="11"/>
      <c r="C2381" s="10"/>
      <c r="D2381" s="13"/>
      <c r="E2381" s="14"/>
      <c r="F2381" s="14"/>
      <c r="G2381" s="14"/>
      <c r="H2381" s="10"/>
      <c r="I2381" s="17"/>
      <c r="J2381" s="10"/>
      <c r="K2381" s="46"/>
      <c r="L2381" s="10"/>
      <c r="M2381" s="20"/>
      <c r="N2381" s="20"/>
      <c r="O2381" s="20"/>
      <c r="P2381" s="20"/>
    </row>
    <row r="2382">
      <c r="A2382" s="23"/>
      <c r="B2382" s="21"/>
      <c r="C2382" s="23"/>
      <c r="D2382" s="24"/>
      <c r="E2382" s="14"/>
      <c r="F2382" s="14"/>
      <c r="G2382" s="14"/>
      <c r="H2382" s="23"/>
      <c r="I2382" s="27"/>
      <c r="J2382" s="23"/>
      <c r="K2382" s="30"/>
      <c r="L2382" s="23"/>
      <c r="M2382" s="20"/>
      <c r="N2382" s="20"/>
      <c r="O2382" s="20"/>
      <c r="P2382" s="20"/>
    </row>
    <row r="2383">
      <c r="A2383" s="10"/>
      <c r="B2383" s="11"/>
      <c r="C2383" s="10"/>
      <c r="D2383" s="13"/>
      <c r="E2383" s="14"/>
      <c r="F2383" s="14"/>
      <c r="G2383" s="14"/>
      <c r="H2383" s="10"/>
      <c r="I2383" s="17"/>
      <c r="J2383" s="10"/>
      <c r="K2383" s="46"/>
      <c r="L2383" s="10"/>
      <c r="M2383" s="20"/>
      <c r="N2383" s="20"/>
      <c r="O2383" s="20"/>
      <c r="P2383" s="20"/>
    </row>
    <row r="2384">
      <c r="A2384" s="23"/>
      <c r="B2384" s="21"/>
      <c r="C2384" s="23"/>
      <c r="D2384" s="24"/>
      <c r="E2384" s="14"/>
      <c r="F2384" s="14"/>
      <c r="G2384" s="14"/>
      <c r="H2384" s="23"/>
      <c r="I2384" s="27"/>
      <c r="J2384" s="23"/>
      <c r="K2384" s="30"/>
      <c r="L2384" s="23"/>
      <c r="M2384" s="20"/>
      <c r="N2384" s="20"/>
      <c r="O2384" s="20"/>
      <c r="P2384" s="20"/>
    </row>
    <row r="2385">
      <c r="A2385" s="10"/>
      <c r="B2385" s="11"/>
      <c r="C2385" s="10"/>
      <c r="D2385" s="13"/>
      <c r="E2385" s="14"/>
      <c r="F2385" s="14"/>
      <c r="G2385" s="14"/>
      <c r="H2385" s="10"/>
      <c r="I2385" s="17"/>
      <c r="J2385" s="10"/>
      <c r="K2385" s="46"/>
      <c r="L2385" s="10"/>
      <c r="M2385" s="20"/>
      <c r="N2385" s="20"/>
      <c r="O2385" s="20"/>
      <c r="P2385" s="20"/>
    </row>
    <row r="2386">
      <c r="A2386" s="23"/>
      <c r="B2386" s="21"/>
      <c r="C2386" s="23"/>
      <c r="D2386" s="24"/>
      <c r="E2386" s="14"/>
      <c r="F2386" s="14"/>
      <c r="G2386" s="14"/>
      <c r="H2386" s="23"/>
      <c r="I2386" s="27"/>
      <c r="J2386" s="23"/>
      <c r="K2386" s="30"/>
      <c r="L2386" s="23"/>
      <c r="M2386" s="20"/>
      <c r="N2386" s="20"/>
      <c r="O2386" s="20"/>
      <c r="P2386" s="20"/>
    </row>
    <row r="2387">
      <c r="A2387" s="10"/>
      <c r="B2387" s="11"/>
      <c r="C2387" s="10"/>
      <c r="D2387" s="13"/>
      <c r="E2387" s="14"/>
      <c r="F2387" s="14"/>
      <c r="G2387" s="14"/>
      <c r="H2387" s="10"/>
      <c r="I2387" s="17"/>
      <c r="J2387" s="10"/>
      <c r="K2387" s="46"/>
      <c r="L2387" s="10"/>
      <c r="M2387" s="20"/>
      <c r="N2387" s="20"/>
      <c r="O2387" s="20"/>
      <c r="P2387" s="20"/>
    </row>
    <row r="2388">
      <c r="A2388" s="23"/>
      <c r="B2388" s="21"/>
      <c r="C2388" s="23"/>
      <c r="D2388" s="24"/>
      <c r="E2388" s="14"/>
      <c r="F2388" s="14"/>
      <c r="G2388" s="14"/>
      <c r="H2388" s="23"/>
      <c r="I2388" s="27"/>
      <c r="J2388" s="23"/>
      <c r="K2388" s="30"/>
      <c r="L2388" s="23"/>
      <c r="M2388" s="20"/>
      <c r="N2388" s="20"/>
      <c r="O2388" s="20"/>
      <c r="P2388" s="20"/>
    </row>
    <row r="2389">
      <c r="A2389" s="10"/>
      <c r="B2389" s="11"/>
      <c r="C2389" s="10"/>
      <c r="D2389" s="13"/>
      <c r="E2389" s="14"/>
      <c r="F2389" s="14"/>
      <c r="G2389" s="14"/>
      <c r="H2389" s="10"/>
      <c r="I2389" s="17"/>
      <c r="J2389" s="10"/>
      <c r="K2389" s="46"/>
      <c r="L2389" s="10"/>
      <c r="M2389" s="20"/>
      <c r="N2389" s="20"/>
      <c r="O2389" s="20"/>
      <c r="P2389" s="20"/>
    </row>
    <row r="2390">
      <c r="A2390" s="23"/>
      <c r="B2390" s="21"/>
      <c r="C2390" s="23"/>
      <c r="D2390" s="24"/>
      <c r="E2390" s="14"/>
      <c r="F2390" s="14"/>
      <c r="G2390" s="14"/>
      <c r="H2390" s="23"/>
      <c r="I2390" s="27"/>
      <c r="J2390" s="23"/>
      <c r="K2390" s="30"/>
      <c r="L2390" s="23"/>
      <c r="M2390" s="20"/>
      <c r="N2390" s="20"/>
      <c r="O2390" s="20"/>
      <c r="P2390" s="20"/>
    </row>
    <row r="2391">
      <c r="A2391" s="10"/>
      <c r="B2391" s="11"/>
      <c r="C2391" s="10"/>
      <c r="D2391" s="13"/>
      <c r="E2391" s="14"/>
      <c r="F2391" s="14"/>
      <c r="G2391" s="14"/>
      <c r="H2391" s="10"/>
      <c r="I2391" s="17"/>
      <c r="J2391" s="10"/>
      <c r="K2391" s="46"/>
      <c r="L2391" s="10"/>
      <c r="M2391" s="20"/>
      <c r="N2391" s="20"/>
      <c r="O2391" s="20"/>
      <c r="P2391" s="20"/>
    </row>
    <row r="2392">
      <c r="A2392" s="23"/>
      <c r="B2392" s="21"/>
      <c r="C2392" s="23"/>
      <c r="D2392" s="24"/>
      <c r="E2392" s="14"/>
      <c r="F2392" s="14"/>
      <c r="G2392" s="14"/>
      <c r="H2392" s="23"/>
      <c r="I2392" s="27"/>
      <c r="J2392" s="23"/>
      <c r="K2392" s="30"/>
      <c r="L2392" s="23"/>
      <c r="M2392" s="20"/>
      <c r="N2392" s="20"/>
      <c r="O2392" s="20"/>
      <c r="P2392" s="20"/>
    </row>
    <row r="2393">
      <c r="A2393" s="10"/>
      <c r="B2393" s="11"/>
      <c r="C2393" s="10"/>
      <c r="D2393" s="13"/>
      <c r="E2393" s="14"/>
      <c r="F2393" s="14"/>
      <c r="G2393" s="14"/>
      <c r="H2393" s="10"/>
      <c r="I2393" s="17"/>
      <c r="J2393" s="10"/>
      <c r="K2393" s="46"/>
      <c r="L2393" s="10"/>
      <c r="M2393" s="20"/>
      <c r="N2393" s="20"/>
      <c r="O2393" s="20"/>
      <c r="P2393" s="20"/>
    </row>
    <row r="2394">
      <c r="A2394" s="23"/>
      <c r="B2394" s="21"/>
      <c r="C2394" s="23"/>
      <c r="D2394" s="24"/>
      <c r="E2394" s="14"/>
      <c r="F2394" s="14"/>
      <c r="G2394" s="14"/>
      <c r="H2394" s="23"/>
      <c r="I2394" s="27"/>
      <c r="J2394" s="23"/>
      <c r="K2394" s="30"/>
      <c r="L2394" s="23"/>
      <c r="M2394" s="20"/>
      <c r="N2394" s="20"/>
      <c r="O2394" s="20"/>
      <c r="P2394" s="20"/>
    </row>
    <row r="2395">
      <c r="A2395" s="10"/>
      <c r="B2395" s="11"/>
      <c r="C2395" s="10"/>
      <c r="D2395" s="13"/>
      <c r="E2395" s="14"/>
      <c r="F2395" s="14"/>
      <c r="G2395" s="14"/>
      <c r="H2395" s="10"/>
      <c r="I2395" s="17"/>
      <c r="J2395" s="10"/>
      <c r="K2395" s="46"/>
      <c r="L2395" s="10"/>
      <c r="M2395" s="20"/>
      <c r="N2395" s="20"/>
      <c r="O2395" s="20"/>
      <c r="P2395" s="20"/>
    </row>
    <row r="2396">
      <c r="A2396" s="23"/>
      <c r="B2396" s="21"/>
      <c r="C2396" s="23"/>
      <c r="D2396" s="24"/>
      <c r="E2396" s="14"/>
      <c r="F2396" s="14"/>
      <c r="G2396" s="14"/>
      <c r="H2396" s="23"/>
      <c r="I2396" s="27"/>
      <c r="J2396" s="23"/>
      <c r="K2396" s="30"/>
      <c r="L2396" s="23"/>
      <c r="M2396" s="20"/>
      <c r="N2396" s="20"/>
      <c r="O2396" s="20"/>
      <c r="P2396" s="20"/>
    </row>
    <row r="2397">
      <c r="A2397" s="10"/>
      <c r="B2397" s="11"/>
      <c r="C2397" s="10"/>
      <c r="D2397" s="13"/>
      <c r="E2397" s="14"/>
      <c r="F2397" s="14"/>
      <c r="G2397" s="14"/>
      <c r="H2397" s="10"/>
      <c r="I2397" s="17"/>
      <c r="J2397" s="10"/>
      <c r="K2397" s="46"/>
      <c r="L2397" s="10"/>
      <c r="M2397" s="20"/>
      <c r="N2397" s="20"/>
      <c r="O2397" s="20"/>
      <c r="P2397" s="20"/>
    </row>
    <row r="2398">
      <c r="A2398" s="23"/>
      <c r="B2398" s="21"/>
      <c r="C2398" s="23"/>
      <c r="D2398" s="24"/>
      <c r="E2398" s="14"/>
      <c r="F2398" s="14"/>
      <c r="G2398" s="14"/>
      <c r="H2398" s="23"/>
      <c r="I2398" s="27"/>
      <c r="J2398" s="23"/>
      <c r="K2398" s="30"/>
      <c r="L2398" s="23"/>
      <c r="M2398" s="20"/>
      <c r="N2398" s="20"/>
      <c r="O2398" s="20"/>
      <c r="P2398" s="20"/>
    </row>
    <row r="2399">
      <c r="A2399" s="10"/>
      <c r="B2399" s="11"/>
      <c r="C2399" s="10"/>
      <c r="D2399" s="13"/>
      <c r="E2399" s="14"/>
      <c r="F2399" s="14"/>
      <c r="G2399" s="14"/>
      <c r="H2399" s="10"/>
      <c r="I2399" s="17"/>
      <c r="J2399" s="10"/>
      <c r="K2399" s="46"/>
      <c r="L2399" s="10"/>
      <c r="M2399" s="20"/>
      <c r="N2399" s="20"/>
      <c r="O2399" s="20"/>
      <c r="P2399" s="20"/>
    </row>
    <row r="2400">
      <c r="A2400" s="23"/>
      <c r="B2400" s="21"/>
      <c r="C2400" s="23"/>
      <c r="D2400" s="24"/>
      <c r="E2400" s="14"/>
      <c r="F2400" s="14"/>
      <c r="G2400" s="14"/>
      <c r="H2400" s="23"/>
      <c r="I2400" s="27"/>
      <c r="J2400" s="23"/>
      <c r="K2400" s="30"/>
      <c r="L2400" s="23"/>
      <c r="M2400" s="20"/>
      <c r="N2400" s="20"/>
      <c r="O2400" s="20"/>
      <c r="P2400" s="20"/>
    </row>
    <row r="2401">
      <c r="A2401" s="10"/>
      <c r="B2401" s="11"/>
      <c r="C2401" s="10"/>
      <c r="D2401" s="13"/>
      <c r="E2401" s="14"/>
      <c r="F2401" s="14"/>
      <c r="G2401" s="14"/>
      <c r="H2401" s="10"/>
      <c r="I2401" s="17"/>
      <c r="J2401" s="10"/>
      <c r="K2401" s="46"/>
      <c r="L2401" s="10"/>
      <c r="M2401" s="20"/>
      <c r="N2401" s="20"/>
      <c r="O2401" s="20"/>
      <c r="P2401" s="20"/>
    </row>
    <row r="2402">
      <c r="A2402" s="23"/>
      <c r="B2402" s="21"/>
      <c r="C2402" s="23"/>
      <c r="D2402" s="24"/>
      <c r="E2402" s="14"/>
      <c r="F2402" s="14"/>
      <c r="G2402" s="14"/>
      <c r="H2402" s="23"/>
      <c r="I2402" s="27"/>
      <c r="J2402" s="23"/>
      <c r="K2402" s="30"/>
      <c r="L2402" s="23"/>
      <c r="M2402" s="20"/>
      <c r="N2402" s="20"/>
      <c r="O2402" s="20"/>
      <c r="P2402" s="20"/>
    </row>
    <row r="2403">
      <c r="A2403" s="10"/>
      <c r="B2403" s="11"/>
      <c r="C2403" s="10"/>
      <c r="D2403" s="13"/>
      <c r="E2403" s="14"/>
      <c r="F2403" s="14"/>
      <c r="G2403" s="14"/>
      <c r="H2403" s="10"/>
      <c r="I2403" s="17"/>
      <c r="J2403" s="10"/>
      <c r="K2403" s="46"/>
      <c r="L2403" s="10"/>
      <c r="M2403" s="20"/>
      <c r="N2403" s="20"/>
      <c r="O2403" s="20"/>
      <c r="P2403" s="20"/>
    </row>
    <row r="2404">
      <c r="A2404" s="23"/>
      <c r="B2404" s="21"/>
      <c r="C2404" s="23"/>
      <c r="D2404" s="24"/>
      <c r="E2404" s="14"/>
      <c r="F2404" s="14"/>
      <c r="G2404" s="14"/>
      <c r="H2404" s="23"/>
      <c r="I2404" s="27"/>
      <c r="J2404" s="23"/>
      <c r="K2404" s="30"/>
      <c r="L2404" s="23"/>
      <c r="M2404" s="20"/>
      <c r="N2404" s="20"/>
      <c r="O2404" s="20"/>
      <c r="P2404" s="20"/>
    </row>
    <row r="2405">
      <c r="A2405" s="10"/>
      <c r="B2405" s="11"/>
      <c r="C2405" s="10"/>
      <c r="D2405" s="13"/>
      <c r="E2405" s="14"/>
      <c r="F2405" s="14"/>
      <c r="G2405" s="14"/>
      <c r="H2405" s="10"/>
      <c r="I2405" s="17"/>
      <c r="J2405" s="10"/>
      <c r="K2405" s="46"/>
      <c r="L2405" s="10"/>
      <c r="M2405" s="20"/>
      <c r="N2405" s="20"/>
      <c r="O2405" s="20"/>
      <c r="P2405" s="20"/>
    </row>
    <row r="2406">
      <c r="A2406" s="23"/>
      <c r="B2406" s="21"/>
      <c r="C2406" s="23"/>
      <c r="D2406" s="24"/>
      <c r="E2406" s="14"/>
      <c r="F2406" s="14"/>
      <c r="G2406" s="14"/>
      <c r="H2406" s="23"/>
      <c r="I2406" s="27"/>
      <c r="J2406" s="23"/>
      <c r="K2406" s="30"/>
      <c r="L2406" s="23"/>
      <c r="M2406" s="20"/>
      <c r="N2406" s="20"/>
      <c r="O2406" s="20"/>
      <c r="P2406" s="20"/>
    </row>
    <row r="2407">
      <c r="A2407" s="10"/>
      <c r="B2407" s="11"/>
      <c r="C2407" s="10"/>
      <c r="D2407" s="13"/>
      <c r="E2407" s="14"/>
      <c r="F2407" s="14"/>
      <c r="G2407" s="14"/>
      <c r="H2407" s="10"/>
      <c r="I2407" s="17"/>
      <c r="J2407" s="10"/>
      <c r="K2407" s="46"/>
      <c r="L2407" s="10"/>
      <c r="M2407" s="20"/>
      <c r="N2407" s="20"/>
      <c r="O2407" s="20"/>
      <c r="P2407" s="20"/>
    </row>
    <row r="2408">
      <c r="A2408" s="23"/>
      <c r="B2408" s="21"/>
      <c r="C2408" s="23"/>
      <c r="D2408" s="24"/>
      <c r="E2408" s="14"/>
      <c r="F2408" s="14"/>
      <c r="G2408" s="14"/>
      <c r="H2408" s="23"/>
      <c r="I2408" s="27"/>
      <c r="J2408" s="23"/>
      <c r="K2408" s="30"/>
      <c r="L2408" s="23"/>
      <c r="M2408" s="20"/>
      <c r="N2408" s="20"/>
      <c r="O2408" s="20"/>
      <c r="P2408" s="20"/>
    </row>
    <row r="2409">
      <c r="A2409" s="10"/>
      <c r="B2409" s="11"/>
      <c r="C2409" s="10"/>
      <c r="D2409" s="13"/>
      <c r="E2409" s="14"/>
      <c r="F2409" s="14"/>
      <c r="G2409" s="14"/>
      <c r="H2409" s="10"/>
      <c r="I2409" s="17"/>
      <c r="J2409" s="10"/>
      <c r="K2409" s="46"/>
      <c r="L2409" s="10"/>
      <c r="M2409" s="20"/>
      <c r="N2409" s="20"/>
      <c r="O2409" s="20"/>
      <c r="P2409" s="20"/>
    </row>
    <row r="2410">
      <c r="A2410" s="23"/>
      <c r="B2410" s="21"/>
      <c r="C2410" s="23"/>
      <c r="D2410" s="24"/>
      <c r="E2410" s="14"/>
      <c r="F2410" s="14"/>
      <c r="G2410" s="14"/>
      <c r="H2410" s="23"/>
      <c r="I2410" s="27"/>
      <c r="J2410" s="23"/>
      <c r="K2410" s="30"/>
      <c r="L2410" s="23"/>
      <c r="M2410" s="20"/>
      <c r="N2410" s="20"/>
      <c r="O2410" s="20"/>
      <c r="P2410" s="20"/>
    </row>
    <row r="2411">
      <c r="A2411" s="10"/>
      <c r="B2411" s="11"/>
      <c r="C2411" s="10"/>
      <c r="D2411" s="13"/>
      <c r="E2411" s="14"/>
      <c r="F2411" s="14"/>
      <c r="G2411" s="14"/>
      <c r="H2411" s="10"/>
      <c r="I2411" s="17"/>
      <c r="J2411" s="10"/>
      <c r="K2411" s="46"/>
      <c r="L2411" s="10"/>
      <c r="M2411" s="20"/>
      <c r="N2411" s="20"/>
      <c r="O2411" s="20"/>
      <c r="P2411" s="20"/>
    </row>
    <row r="2412">
      <c r="A2412" s="23"/>
      <c r="B2412" s="21"/>
      <c r="C2412" s="23"/>
      <c r="D2412" s="24"/>
      <c r="E2412" s="14"/>
      <c r="F2412" s="14"/>
      <c r="G2412" s="14"/>
      <c r="H2412" s="23"/>
      <c r="I2412" s="27"/>
      <c r="J2412" s="23"/>
      <c r="K2412" s="30"/>
      <c r="L2412" s="23"/>
      <c r="M2412" s="20"/>
      <c r="N2412" s="20"/>
      <c r="O2412" s="20"/>
      <c r="P2412" s="20"/>
    </row>
    <row r="2413">
      <c r="A2413" s="10"/>
      <c r="B2413" s="11"/>
      <c r="C2413" s="10"/>
      <c r="D2413" s="13"/>
      <c r="E2413" s="14"/>
      <c r="F2413" s="14"/>
      <c r="G2413" s="14"/>
      <c r="H2413" s="10"/>
      <c r="I2413" s="17"/>
      <c r="J2413" s="10"/>
      <c r="K2413" s="46"/>
      <c r="L2413" s="10"/>
      <c r="M2413" s="20"/>
      <c r="N2413" s="20"/>
      <c r="O2413" s="20"/>
      <c r="P2413" s="20"/>
    </row>
    <row r="2414">
      <c r="A2414" s="23"/>
      <c r="B2414" s="21"/>
      <c r="C2414" s="23"/>
      <c r="D2414" s="24"/>
      <c r="E2414" s="14"/>
      <c r="F2414" s="14"/>
      <c r="G2414" s="14"/>
      <c r="H2414" s="23"/>
      <c r="I2414" s="27"/>
      <c r="J2414" s="23"/>
      <c r="K2414" s="30"/>
      <c r="L2414" s="23"/>
      <c r="M2414" s="20"/>
      <c r="N2414" s="20"/>
      <c r="O2414" s="20"/>
      <c r="P2414" s="20"/>
    </row>
    <row r="2415">
      <c r="A2415" s="10"/>
      <c r="B2415" s="11"/>
      <c r="C2415" s="10"/>
      <c r="D2415" s="13"/>
      <c r="E2415" s="14"/>
      <c r="F2415" s="14"/>
      <c r="G2415" s="14"/>
      <c r="H2415" s="10"/>
      <c r="I2415" s="17"/>
      <c r="J2415" s="10"/>
      <c r="K2415" s="46"/>
      <c r="L2415" s="10"/>
      <c r="M2415" s="20"/>
      <c r="N2415" s="20"/>
      <c r="O2415" s="20"/>
      <c r="P2415" s="20"/>
    </row>
    <row r="2416">
      <c r="A2416" s="23"/>
      <c r="B2416" s="21"/>
      <c r="C2416" s="23"/>
      <c r="D2416" s="24"/>
      <c r="E2416" s="14"/>
      <c r="F2416" s="14"/>
      <c r="G2416" s="14"/>
      <c r="H2416" s="23"/>
      <c r="I2416" s="27"/>
      <c r="J2416" s="23"/>
      <c r="K2416" s="30"/>
      <c r="L2416" s="23"/>
      <c r="M2416" s="20"/>
      <c r="N2416" s="20"/>
      <c r="O2416" s="20"/>
      <c r="P2416" s="20"/>
    </row>
    <row r="2417">
      <c r="A2417" s="10"/>
      <c r="B2417" s="11"/>
      <c r="C2417" s="10"/>
      <c r="D2417" s="13"/>
      <c r="E2417" s="14"/>
      <c r="F2417" s="14"/>
      <c r="G2417" s="14"/>
      <c r="H2417" s="10"/>
      <c r="I2417" s="17"/>
      <c r="J2417" s="10"/>
      <c r="K2417" s="46"/>
      <c r="L2417" s="10"/>
      <c r="M2417" s="20"/>
      <c r="N2417" s="20"/>
      <c r="O2417" s="20"/>
      <c r="P2417" s="20"/>
    </row>
    <row r="2418">
      <c r="A2418" s="23"/>
      <c r="B2418" s="21"/>
      <c r="C2418" s="23"/>
      <c r="D2418" s="24"/>
      <c r="E2418" s="14"/>
      <c r="F2418" s="14"/>
      <c r="G2418" s="14"/>
      <c r="H2418" s="23"/>
      <c r="I2418" s="27"/>
      <c r="J2418" s="23"/>
      <c r="K2418" s="30"/>
      <c r="L2418" s="23"/>
      <c r="M2418" s="20"/>
      <c r="N2418" s="20"/>
      <c r="O2418" s="20"/>
      <c r="P2418" s="20"/>
    </row>
    <row r="2419">
      <c r="A2419" s="10"/>
      <c r="B2419" s="11"/>
      <c r="C2419" s="10"/>
      <c r="D2419" s="13"/>
      <c r="E2419" s="14"/>
      <c r="F2419" s="14"/>
      <c r="G2419" s="14"/>
      <c r="H2419" s="10"/>
      <c r="I2419" s="17"/>
      <c r="J2419" s="10"/>
      <c r="K2419" s="46"/>
      <c r="L2419" s="10"/>
      <c r="M2419" s="20"/>
      <c r="N2419" s="20"/>
      <c r="O2419" s="20"/>
      <c r="P2419" s="20"/>
    </row>
    <row r="2420">
      <c r="A2420" s="23"/>
      <c r="B2420" s="21"/>
      <c r="C2420" s="23"/>
      <c r="D2420" s="24"/>
      <c r="E2420" s="14"/>
      <c r="F2420" s="14"/>
      <c r="G2420" s="14"/>
      <c r="H2420" s="23"/>
      <c r="I2420" s="27"/>
      <c r="J2420" s="23"/>
      <c r="K2420" s="30"/>
      <c r="L2420" s="23"/>
      <c r="M2420" s="20"/>
      <c r="N2420" s="20"/>
      <c r="O2420" s="20"/>
      <c r="P2420" s="20"/>
    </row>
    <row r="2421">
      <c r="A2421" s="10"/>
      <c r="B2421" s="11"/>
      <c r="C2421" s="10"/>
      <c r="D2421" s="13"/>
      <c r="E2421" s="14"/>
      <c r="F2421" s="14"/>
      <c r="G2421" s="14"/>
      <c r="H2421" s="10"/>
      <c r="I2421" s="17"/>
      <c r="J2421" s="10"/>
      <c r="K2421" s="46"/>
      <c r="L2421" s="10"/>
      <c r="M2421" s="20"/>
      <c r="N2421" s="20"/>
      <c r="O2421" s="20"/>
      <c r="P2421" s="20"/>
    </row>
    <row r="2422">
      <c r="A2422" s="23"/>
      <c r="B2422" s="21"/>
      <c r="C2422" s="23"/>
      <c r="D2422" s="24"/>
      <c r="E2422" s="14"/>
      <c r="F2422" s="14"/>
      <c r="G2422" s="14"/>
      <c r="H2422" s="23"/>
      <c r="I2422" s="27"/>
      <c r="J2422" s="23"/>
      <c r="K2422" s="30"/>
      <c r="L2422" s="23"/>
      <c r="M2422" s="20"/>
      <c r="N2422" s="20"/>
      <c r="O2422" s="20"/>
      <c r="P2422" s="20"/>
    </row>
    <row r="2423">
      <c r="A2423" s="10"/>
      <c r="B2423" s="11"/>
      <c r="C2423" s="10"/>
      <c r="D2423" s="13"/>
      <c r="E2423" s="14"/>
      <c r="F2423" s="14"/>
      <c r="G2423" s="14"/>
      <c r="H2423" s="10"/>
      <c r="I2423" s="17"/>
      <c r="J2423" s="10"/>
      <c r="K2423" s="46"/>
      <c r="L2423" s="10"/>
      <c r="M2423" s="20"/>
      <c r="N2423" s="20"/>
      <c r="O2423" s="20"/>
      <c r="P2423" s="20"/>
    </row>
    <row r="2424">
      <c r="A2424" s="23"/>
      <c r="B2424" s="21"/>
      <c r="C2424" s="23"/>
      <c r="D2424" s="24"/>
      <c r="E2424" s="14"/>
      <c r="F2424" s="14"/>
      <c r="G2424" s="14"/>
      <c r="H2424" s="23"/>
      <c r="I2424" s="27"/>
      <c r="J2424" s="23"/>
      <c r="K2424" s="30"/>
      <c r="L2424" s="23"/>
      <c r="M2424" s="20"/>
      <c r="N2424" s="20"/>
      <c r="O2424" s="20"/>
      <c r="P2424" s="20"/>
    </row>
    <row r="2425">
      <c r="A2425" s="10"/>
      <c r="B2425" s="11"/>
      <c r="C2425" s="10"/>
      <c r="D2425" s="13"/>
      <c r="E2425" s="14"/>
      <c r="F2425" s="14"/>
      <c r="G2425" s="14"/>
      <c r="H2425" s="10"/>
      <c r="I2425" s="17"/>
      <c r="J2425" s="10"/>
      <c r="K2425" s="46"/>
      <c r="L2425" s="10"/>
      <c r="M2425" s="20"/>
      <c r="N2425" s="20"/>
      <c r="O2425" s="20"/>
      <c r="P2425" s="20"/>
    </row>
    <row r="2426">
      <c r="A2426" s="23"/>
      <c r="B2426" s="21"/>
      <c r="C2426" s="23"/>
      <c r="D2426" s="24"/>
      <c r="E2426" s="14"/>
      <c r="F2426" s="14"/>
      <c r="G2426" s="14"/>
      <c r="H2426" s="23"/>
      <c r="I2426" s="27"/>
      <c r="J2426" s="23"/>
      <c r="K2426" s="30"/>
      <c r="L2426" s="23"/>
      <c r="M2426" s="20"/>
      <c r="N2426" s="20"/>
      <c r="O2426" s="20"/>
      <c r="P2426" s="20"/>
    </row>
    <row r="2427">
      <c r="A2427" s="10"/>
      <c r="B2427" s="11"/>
      <c r="C2427" s="10"/>
      <c r="D2427" s="13"/>
      <c r="E2427" s="14"/>
      <c r="F2427" s="14"/>
      <c r="G2427" s="14"/>
      <c r="H2427" s="10"/>
      <c r="I2427" s="17"/>
      <c r="J2427" s="10"/>
      <c r="K2427" s="46"/>
      <c r="L2427" s="10"/>
      <c r="M2427" s="20"/>
      <c r="N2427" s="20"/>
      <c r="O2427" s="20"/>
      <c r="P2427" s="20"/>
    </row>
    <row r="2428">
      <c r="A2428" s="23"/>
      <c r="B2428" s="21"/>
      <c r="C2428" s="23"/>
      <c r="D2428" s="24"/>
      <c r="E2428" s="14"/>
      <c r="F2428" s="14"/>
      <c r="G2428" s="14"/>
      <c r="H2428" s="23"/>
      <c r="I2428" s="27"/>
      <c r="J2428" s="23"/>
      <c r="K2428" s="30"/>
      <c r="L2428" s="23"/>
      <c r="M2428" s="20"/>
      <c r="N2428" s="20"/>
      <c r="O2428" s="20"/>
      <c r="P2428" s="20"/>
    </row>
    <row r="2429">
      <c r="A2429" s="10"/>
      <c r="B2429" s="11"/>
      <c r="C2429" s="10"/>
      <c r="D2429" s="13"/>
      <c r="E2429" s="14"/>
      <c r="F2429" s="14"/>
      <c r="G2429" s="14"/>
      <c r="H2429" s="10"/>
      <c r="I2429" s="17"/>
      <c r="J2429" s="10"/>
      <c r="K2429" s="46"/>
      <c r="L2429" s="10"/>
      <c r="M2429" s="20"/>
      <c r="N2429" s="20"/>
      <c r="O2429" s="20"/>
      <c r="P2429" s="20"/>
    </row>
    <row r="2430">
      <c r="A2430" s="23"/>
      <c r="B2430" s="21"/>
      <c r="C2430" s="23"/>
      <c r="D2430" s="24"/>
      <c r="E2430" s="14"/>
      <c r="F2430" s="14"/>
      <c r="G2430" s="14"/>
      <c r="H2430" s="23"/>
      <c r="I2430" s="27"/>
      <c r="J2430" s="23"/>
      <c r="K2430" s="30"/>
      <c r="L2430" s="23"/>
      <c r="M2430" s="20"/>
      <c r="N2430" s="20"/>
      <c r="O2430" s="20"/>
      <c r="P2430" s="20"/>
    </row>
    <row r="2431">
      <c r="A2431" s="10"/>
      <c r="B2431" s="11"/>
      <c r="C2431" s="10"/>
      <c r="D2431" s="13"/>
      <c r="E2431" s="14"/>
      <c r="F2431" s="14"/>
      <c r="G2431" s="14"/>
      <c r="H2431" s="10"/>
      <c r="I2431" s="17"/>
      <c r="J2431" s="10"/>
      <c r="K2431" s="46"/>
      <c r="L2431" s="10"/>
      <c r="M2431" s="20"/>
      <c r="N2431" s="20"/>
      <c r="O2431" s="20"/>
      <c r="P2431" s="20"/>
    </row>
    <row r="2432">
      <c r="A2432" s="23"/>
      <c r="B2432" s="21"/>
      <c r="C2432" s="23"/>
      <c r="D2432" s="24"/>
      <c r="E2432" s="14"/>
      <c r="F2432" s="14"/>
      <c r="G2432" s="14"/>
      <c r="H2432" s="23"/>
      <c r="I2432" s="27"/>
      <c r="J2432" s="23"/>
      <c r="K2432" s="30"/>
      <c r="L2432" s="23"/>
      <c r="M2432" s="20"/>
      <c r="N2432" s="20"/>
      <c r="O2432" s="20"/>
      <c r="P2432" s="20"/>
    </row>
    <row r="2433">
      <c r="A2433" s="10"/>
      <c r="B2433" s="11"/>
      <c r="C2433" s="10"/>
      <c r="D2433" s="13"/>
      <c r="E2433" s="14"/>
      <c r="F2433" s="14"/>
      <c r="G2433" s="14"/>
      <c r="H2433" s="10"/>
      <c r="I2433" s="17"/>
      <c r="J2433" s="10"/>
      <c r="K2433" s="46"/>
      <c r="L2433" s="10"/>
      <c r="M2433" s="20"/>
      <c r="N2433" s="20"/>
      <c r="O2433" s="20"/>
      <c r="P2433" s="20"/>
    </row>
    <row r="2434">
      <c r="A2434" s="23"/>
      <c r="B2434" s="21"/>
      <c r="C2434" s="23"/>
      <c r="D2434" s="24"/>
      <c r="E2434" s="14"/>
      <c r="F2434" s="14"/>
      <c r="G2434" s="14"/>
      <c r="H2434" s="23"/>
      <c r="I2434" s="27"/>
      <c r="J2434" s="23"/>
      <c r="K2434" s="30"/>
      <c r="L2434" s="23"/>
      <c r="M2434" s="20"/>
      <c r="N2434" s="20"/>
      <c r="O2434" s="20"/>
      <c r="P2434" s="20"/>
    </row>
    <row r="2435">
      <c r="A2435" s="10"/>
      <c r="B2435" s="11"/>
      <c r="C2435" s="10"/>
      <c r="D2435" s="13"/>
      <c r="E2435" s="14"/>
      <c r="F2435" s="14"/>
      <c r="G2435" s="14"/>
      <c r="H2435" s="10"/>
      <c r="I2435" s="17"/>
      <c r="J2435" s="10"/>
      <c r="K2435" s="46"/>
      <c r="L2435" s="10"/>
      <c r="M2435" s="20"/>
      <c r="N2435" s="20"/>
      <c r="O2435" s="20"/>
      <c r="P2435" s="20"/>
    </row>
    <row r="2436">
      <c r="A2436" s="23"/>
      <c r="B2436" s="21"/>
      <c r="C2436" s="23"/>
      <c r="D2436" s="24"/>
      <c r="E2436" s="14"/>
      <c r="F2436" s="14"/>
      <c r="G2436" s="14"/>
      <c r="H2436" s="23"/>
      <c r="I2436" s="27"/>
      <c r="J2436" s="23"/>
      <c r="K2436" s="30"/>
      <c r="L2436" s="23"/>
      <c r="M2436" s="20"/>
      <c r="N2436" s="20"/>
      <c r="O2436" s="20"/>
      <c r="P2436" s="20"/>
    </row>
    <row r="2437">
      <c r="A2437" s="10"/>
      <c r="B2437" s="11"/>
      <c r="C2437" s="10"/>
      <c r="D2437" s="13"/>
      <c r="E2437" s="14"/>
      <c r="F2437" s="14"/>
      <c r="G2437" s="14"/>
      <c r="H2437" s="10"/>
      <c r="I2437" s="17"/>
      <c r="J2437" s="10"/>
      <c r="K2437" s="46"/>
      <c r="L2437" s="10"/>
      <c r="M2437" s="20"/>
      <c r="N2437" s="20"/>
      <c r="O2437" s="20"/>
      <c r="P2437" s="20"/>
    </row>
    <row r="2438">
      <c r="A2438" s="23"/>
      <c r="B2438" s="21"/>
      <c r="C2438" s="23"/>
      <c r="D2438" s="24"/>
      <c r="E2438" s="14"/>
      <c r="F2438" s="14"/>
      <c r="G2438" s="14"/>
      <c r="H2438" s="23"/>
      <c r="I2438" s="27"/>
      <c r="J2438" s="23"/>
      <c r="K2438" s="30"/>
      <c r="L2438" s="23"/>
      <c r="M2438" s="20"/>
      <c r="N2438" s="20"/>
      <c r="O2438" s="20"/>
      <c r="P2438" s="20"/>
    </row>
    <row r="2439">
      <c r="A2439" s="10"/>
      <c r="B2439" s="11"/>
      <c r="C2439" s="10"/>
      <c r="D2439" s="13"/>
      <c r="E2439" s="14"/>
      <c r="F2439" s="14"/>
      <c r="G2439" s="14"/>
      <c r="H2439" s="10"/>
      <c r="I2439" s="17"/>
      <c r="J2439" s="10"/>
      <c r="K2439" s="46"/>
      <c r="L2439" s="10"/>
      <c r="M2439" s="20"/>
      <c r="N2439" s="20"/>
      <c r="O2439" s="20"/>
      <c r="P2439" s="20"/>
    </row>
    <row r="2440">
      <c r="A2440" s="23"/>
      <c r="B2440" s="21"/>
      <c r="C2440" s="23"/>
      <c r="D2440" s="24"/>
      <c r="E2440" s="14"/>
      <c r="F2440" s="14"/>
      <c r="G2440" s="14"/>
      <c r="H2440" s="23"/>
      <c r="I2440" s="27"/>
      <c r="J2440" s="23"/>
      <c r="K2440" s="30"/>
      <c r="L2440" s="23"/>
      <c r="M2440" s="20"/>
      <c r="N2440" s="20"/>
      <c r="O2440" s="20"/>
      <c r="P2440" s="20"/>
    </row>
    <row r="2441">
      <c r="A2441" s="10"/>
      <c r="B2441" s="11"/>
      <c r="C2441" s="10"/>
      <c r="D2441" s="13"/>
      <c r="E2441" s="14"/>
      <c r="F2441" s="14"/>
      <c r="G2441" s="14"/>
      <c r="H2441" s="10"/>
      <c r="I2441" s="17"/>
      <c r="J2441" s="10"/>
      <c r="K2441" s="46"/>
      <c r="L2441" s="10"/>
      <c r="M2441" s="20"/>
      <c r="N2441" s="20"/>
      <c r="O2441" s="20"/>
      <c r="P2441" s="20"/>
    </row>
    <row r="2442">
      <c r="A2442" s="23"/>
      <c r="B2442" s="21"/>
      <c r="C2442" s="23"/>
      <c r="D2442" s="24"/>
      <c r="E2442" s="14"/>
      <c r="F2442" s="14"/>
      <c r="G2442" s="14"/>
      <c r="H2442" s="23"/>
      <c r="I2442" s="27"/>
      <c r="J2442" s="23"/>
      <c r="K2442" s="30"/>
      <c r="L2442" s="23"/>
      <c r="M2442" s="20"/>
      <c r="N2442" s="20"/>
      <c r="O2442" s="20"/>
      <c r="P2442" s="20"/>
    </row>
    <row r="2443">
      <c r="A2443" s="10"/>
      <c r="B2443" s="11"/>
      <c r="C2443" s="10"/>
      <c r="D2443" s="13"/>
      <c r="E2443" s="14"/>
      <c r="F2443" s="14"/>
      <c r="G2443" s="14"/>
      <c r="H2443" s="10"/>
      <c r="I2443" s="17"/>
      <c r="J2443" s="10"/>
      <c r="K2443" s="46"/>
      <c r="L2443" s="10"/>
      <c r="M2443" s="20"/>
      <c r="N2443" s="20"/>
      <c r="O2443" s="20"/>
      <c r="P2443" s="20"/>
    </row>
    <row r="2444">
      <c r="A2444" s="23"/>
      <c r="B2444" s="21"/>
      <c r="C2444" s="23"/>
      <c r="D2444" s="24"/>
      <c r="E2444" s="14"/>
      <c r="F2444" s="14"/>
      <c r="G2444" s="14"/>
      <c r="H2444" s="23"/>
      <c r="I2444" s="27"/>
      <c r="J2444" s="23"/>
      <c r="K2444" s="30"/>
      <c r="L2444" s="23"/>
      <c r="M2444" s="20"/>
      <c r="N2444" s="20"/>
      <c r="O2444" s="20"/>
      <c r="P2444" s="20"/>
    </row>
    <row r="2445">
      <c r="A2445" s="10"/>
      <c r="B2445" s="11"/>
      <c r="C2445" s="10"/>
      <c r="D2445" s="13"/>
      <c r="E2445" s="14"/>
      <c r="F2445" s="14"/>
      <c r="G2445" s="14"/>
      <c r="H2445" s="10"/>
      <c r="I2445" s="17"/>
      <c r="J2445" s="10"/>
      <c r="K2445" s="46"/>
      <c r="L2445" s="10"/>
      <c r="M2445" s="20"/>
      <c r="N2445" s="20"/>
      <c r="O2445" s="20"/>
      <c r="P2445" s="20"/>
    </row>
    <row r="2446">
      <c r="A2446" s="23"/>
      <c r="B2446" s="21"/>
      <c r="C2446" s="23"/>
      <c r="D2446" s="24"/>
      <c r="E2446" s="14"/>
      <c r="F2446" s="14"/>
      <c r="G2446" s="14"/>
      <c r="H2446" s="23"/>
      <c r="I2446" s="27"/>
      <c r="J2446" s="23"/>
      <c r="K2446" s="30"/>
      <c r="L2446" s="23"/>
      <c r="M2446" s="20"/>
      <c r="N2446" s="20"/>
      <c r="O2446" s="20"/>
      <c r="P2446" s="20"/>
    </row>
    <row r="2447">
      <c r="A2447" s="10"/>
      <c r="B2447" s="11"/>
      <c r="C2447" s="10"/>
      <c r="D2447" s="13"/>
      <c r="E2447" s="14"/>
      <c r="F2447" s="14"/>
      <c r="G2447" s="14"/>
      <c r="H2447" s="10"/>
      <c r="I2447" s="17"/>
      <c r="J2447" s="10"/>
      <c r="K2447" s="46"/>
      <c r="L2447" s="10"/>
      <c r="M2447" s="20"/>
      <c r="N2447" s="20"/>
      <c r="O2447" s="20"/>
      <c r="P2447" s="20"/>
    </row>
    <row r="2448">
      <c r="A2448" s="23"/>
      <c r="B2448" s="21"/>
      <c r="C2448" s="23"/>
      <c r="D2448" s="24"/>
      <c r="E2448" s="14"/>
      <c r="F2448" s="14"/>
      <c r="G2448" s="14"/>
      <c r="H2448" s="23"/>
      <c r="I2448" s="27"/>
      <c r="J2448" s="23"/>
      <c r="K2448" s="30"/>
      <c r="L2448" s="23"/>
      <c r="M2448" s="20"/>
      <c r="N2448" s="20"/>
      <c r="O2448" s="20"/>
      <c r="P2448" s="20"/>
    </row>
    <row r="2449">
      <c r="A2449" s="10"/>
      <c r="B2449" s="11"/>
      <c r="C2449" s="10"/>
      <c r="D2449" s="13"/>
      <c r="E2449" s="14"/>
      <c r="F2449" s="14"/>
      <c r="G2449" s="14"/>
      <c r="H2449" s="10"/>
      <c r="I2449" s="17"/>
      <c r="J2449" s="10"/>
      <c r="K2449" s="46"/>
      <c r="L2449" s="10"/>
      <c r="M2449" s="20"/>
      <c r="N2449" s="20"/>
      <c r="O2449" s="20"/>
      <c r="P2449" s="20"/>
    </row>
    <row r="2450">
      <c r="A2450" s="23"/>
      <c r="B2450" s="21"/>
      <c r="C2450" s="23"/>
      <c r="D2450" s="24"/>
      <c r="E2450" s="14"/>
      <c r="F2450" s="14"/>
      <c r="G2450" s="14"/>
      <c r="H2450" s="23"/>
      <c r="I2450" s="27"/>
      <c r="J2450" s="23"/>
      <c r="K2450" s="30"/>
      <c r="L2450" s="23"/>
      <c r="M2450" s="20"/>
      <c r="N2450" s="20"/>
      <c r="O2450" s="20"/>
      <c r="P2450" s="20"/>
    </row>
    <row r="2451">
      <c r="A2451" s="10"/>
      <c r="B2451" s="11"/>
      <c r="C2451" s="10"/>
      <c r="D2451" s="13"/>
      <c r="E2451" s="14"/>
      <c r="F2451" s="14"/>
      <c r="G2451" s="14"/>
      <c r="H2451" s="10"/>
      <c r="I2451" s="17"/>
      <c r="J2451" s="10"/>
      <c r="K2451" s="46"/>
      <c r="L2451" s="10"/>
      <c r="M2451" s="20"/>
      <c r="N2451" s="20"/>
      <c r="O2451" s="20"/>
      <c r="P2451" s="20"/>
    </row>
    <row r="2452">
      <c r="A2452" s="23"/>
      <c r="B2452" s="21"/>
      <c r="C2452" s="23"/>
      <c r="D2452" s="24"/>
      <c r="E2452" s="14"/>
      <c r="F2452" s="14"/>
      <c r="G2452" s="14"/>
      <c r="H2452" s="23"/>
      <c r="I2452" s="27"/>
      <c r="J2452" s="23"/>
      <c r="K2452" s="30"/>
      <c r="L2452" s="23"/>
      <c r="M2452" s="20"/>
      <c r="N2452" s="20"/>
      <c r="O2452" s="20"/>
      <c r="P2452" s="20"/>
    </row>
    <row r="2453">
      <c r="A2453" s="10"/>
      <c r="B2453" s="11"/>
      <c r="C2453" s="10"/>
      <c r="D2453" s="13"/>
      <c r="E2453" s="14"/>
      <c r="F2453" s="14"/>
      <c r="G2453" s="14"/>
      <c r="H2453" s="10"/>
      <c r="I2453" s="17"/>
      <c r="J2453" s="10"/>
      <c r="K2453" s="46"/>
      <c r="L2453" s="10"/>
      <c r="M2453" s="20"/>
      <c r="N2453" s="20"/>
      <c r="O2453" s="20"/>
      <c r="P2453" s="20"/>
    </row>
    <row r="2454">
      <c r="A2454" s="23"/>
      <c r="B2454" s="21"/>
      <c r="C2454" s="23"/>
      <c r="D2454" s="24"/>
      <c r="E2454" s="14"/>
      <c r="F2454" s="14"/>
      <c r="G2454" s="14"/>
      <c r="H2454" s="23"/>
      <c r="I2454" s="27"/>
      <c r="J2454" s="23"/>
      <c r="K2454" s="30"/>
      <c r="L2454" s="23"/>
      <c r="M2454" s="20"/>
      <c r="N2454" s="20"/>
      <c r="O2454" s="20"/>
      <c r="P2454" s="20"/>
    </row>
    <row r="2455">
      <c r="A2455" s="10"/>
      <c r="B2455" s="11"/>
      <c r="C2455" s="10"/>
      <c r="D2455" s="13"/>
      <c r="E2455" s="14"/>
      <c r="F2455" s="14"/>
      <c r="G2455" s="14"/>
      <c r="H2455" s="10"/>
      <c r="I2455" s="17"/>
      <c r="J2455" s="10"/>
      <c r="K2455" s="46"/>
      <c r="L2455" s="10"/>
      <c r="M2455" s="20"/>
      <c r="N2455" s="20"/>
      <c r="O2455" s="20"/>
      <c r="P2455" s="20"/>
    </row>
    <row r="2456">
      <c r="A2456" s="23"/>
      <c r="B2456" s="21"/>
      <c r="C2456" s="23"/>
      <c r="D2456" s="24"/>
      <c r="E2456" s="14"/>
      <c r="F2456" s="14"/>
      <c r="G2456" s="14"/>
      <c r="H2456" s="23"/>
      <c r="I2456" s="27"/>
      <c r="J2456" s="23"/>
      <c r="K2456" s="30"/>
      <c r="L2456" s="23"/>
      <c r="M2456" s="20"/>
      <c r="N2456" s="20"/>
      <c r="O2456" s="20"/>
      <c r="P2456" s="20"/>
    </row>
    <row r="2457">
      <c r="A2457" s="10"/>
      <c r="B2457" s="11"/>
      <c r="C2457" s="10"/>
      <c r="D2457" s="13"/>
      <c r="E2457" s="14"/>
      <c r="F2457" s="14"/>
      <c r="G2457" s="14"/>
      <c r="H2457" s="10"/>
      <c r="I2457" s="17"/>
      <c r="J2457" s="10"/>
      <c r="K2457" s="46"/>
      <c r="L2457" s="10"/>
      <c r="M2457" s="20"/>
      <c r="N2457" s="20"/>
      <c r="O2457" s="20"/>
      <c r="P2457" s="20"/>
    </row>
    <row r="2458">
      <c r="A2458" s="23"/>
      <c r="B2458" s="21"/>
      <c r="C2458" s="23"/>
      <c r="D2458" s="24"/>
      <c r="E2458" s="14"/>
      <c r="F2458" s="14"/>
      <c r="G2458" s="14"/>
      <c r="H2458" s="23"/>
      <c r="I2458" s="27"/>
      <c r="J2458" s="23"/>
      <c r="K2458" s="30"/>
      <c r="L2458" s="23"/>
      <c r="M2458" s="20"/>
      <c r="N2458" s="20"/>
      <c r="O2458" s="20"/>
      <c r="P2458" s="20"/>
    </row>
    <row r="2459">
      <c r="A2459" s="10"/>
      <c r="B2459" s="11"/>
      <c r="C2459" s="10"/>
      <c r="D2459" s="13"/>
      <c r="E2459" s="14"/>
      <c r="F2459" s="14"/>
      <c r="G2459" s="14"/>
      <c r="H2459" s="10"/>
      <c r="I2459" s="17"/>
      <c r="J2459" s="10"/>
      <c r="K2459" s="46"/>
      <c r="L2459" s="10"/>
      <c r="M2459" s="20"/>
      <c r="N2459" s="20"/>
      <c r="O2459" s="20"/>
      <c r="P2459" s="20"/>
    </row>
    <row r="2460">
      <c r="A2460" s="23"/>
      <c r="B2460" s="21"/>
      <c r="C2460" s="23"/>
      <c r="D2460" s="24"/>
      <c r="E2460" s="14"/>
      <c r="F2460" s="14"/>
      <c r="G2460" s="14"/>
      <c r="H2460" s="23"/>
      <c r="I2460" s="27"/>
      <c r="J2460" s="23"/>
      <c r="K2460" s="30"/>
      <c r="L2460" s="23"/>
      <c r="M2460" s="20"/>
      <c r="N2460" s="20"/>
      <c r="O2460" s="20"/>
      <c r="P2460" s="20"/>
    </row>
    <row r="2461">
      <c r="A2461" s="10"/>
      <c r="B2461" s="11"/>
      <c r="C2461" s="10"/>
      <c r="D2461" s="13"/>
      <c r="E2461" s="14"/>
      <c r="F2461" s="14"/>
      <c r="G2461" s="14"/>
      <c r="H2461" s="10"/>
      <c r="I2461" s="17"/>
      <c r="J2461" s="10"/>
      <c r="K2461" s="46"/>
      <c r="L2461" s="10"/>
      <c r="M2461" s="20"/>
      <c r="N2461" s="20"/>
      <c r="O2461" s="20"/>
      <c r="P2461" s="20"/>
    </row>
    <row r="2462">
      <c r="A2462" s="23"/>
      <c r="B2462" s="21"/>
      <c r="C2462" s="23"/>
      <c r="D2462" s="24"/>
      <c r="E2462" s="14"/>
      <c r="F2462" s="14"/>
      <c r="G2462" s="14"/>
      <c r="H2462" s="23"/>
      <c r="I2462" s="27"/>
      <c r="J2462" s="23"/>
      <c r="K2462" s="30"/>
      <c r="L2462" s="23"/>
      <c r="M2462" s="20"/>
      <c r="N2462" s="20"/>
      <c r="O2462" s="20"/>
      <c r="P2462" s="20"/>
    </row>
    <row r="2463">
      <c r="A2463" s="10"/>
      <c r="B2463" s="11"/>
      <c r="C2463" s="10"/>
      <c r="D2463" s="13"/>
      <c r="E2463" s="14"/>
      <c r="F2463" s="14"/>
      <c r="G2463" s="14"/>
      <c r="H2463" s="10"/>
      <c r="I2463" s="17"/>
      <c r="J2463" s="10"/>
      <c r="K2463" s="46"/>
      <c r="L2463" s="10"/>
      <c r="M2463" s="20"/>
      <c r="N2463" s="20"/>
      <c r="O2463" s="20"/>
      <c r="P2463" s="20"/>
    </row>
    <row r="2464">
      <c r="A2464" s="23"/>
      <c r="B2464" s="21"/>
      <c r="C2464" s="23"/>
      <c r="D2464" s="24"/>
      <c r="E2464" s="14"/>
      <c r="F2464" s="14"/>
      <c r="G2464" s="14"/>
      <c r="H2464" s="23"/>
      <c r="I2464" s="27"/>
      <c r="J2464" s="23"/>
      <c r="K2464" s="30"/>
      <c r="L2464" s="23"/>
      <c r="M2464" s="20"/>
      <c r="N2464" s="20"/>
      <c r="O2464" s="20"/>
      <c r="P2464" s="20"/>
    </row>
    <row r="2465">
      <c r="A2465" s="10"/>
      <c r="B2465" s="11"/>
      <c r="C2465" s="10"/>
      <c r="D2465" s="13"/>
      <c r="E2465" s="14"/>
      <c r="F2465" s="14"/>
      <c r="G2465" s="14"/>
      <c r="H2465" s="10"/>
      <c r="I2465" s="17"/>
      <c r="J2465" s="10"/>
      <c r="K2465" s="46"/>
      <c r="L2465" s="10"/>
      <c r="M2465" s="20"/>
      <c r="N2465" s="20"/>
      <c r="O2465" s="20"/>
      <c r="P2465" s="20"/>
    </row>
    <row r="2466">
      <c r="A2466" s="23"/>
      <c r="B2466" s="21"/>
      <c r="C2466" s="23"/>
      <c r="D2466" s="24"/>
      <c r="E2466" s="14"/>
      <c r="F2466" s="14"/>
      <c r="G2466" s="14"/>
      <c r="H2466" s="23"/>
      <c r="I2466" s="27"/>
      <c r="J2466" s="23"/>
      <c r="K2466" s="30"/>
      <c r="L2466" s="23"/>
      <c r="M2466" s="20"/>
      <c r="N2466" s="20"/>
      <c r="O2466" s="20"/>
      <c r="P2466" s="20"/>
    </row>
    <row r="2467">
      <c r="A2467" s="10"/>
      <c r="B2467" s="11"/>
      <c r="C2467" s="10"/>
      <c r="D2467" s="13"/>
      <c r="E2467" s="14"/>
      <c r="F2467" s="14"/>
      <c r="G2467" s="14"/>
      <c r="H2467" s="10"/>
      <c r="I2467" s="17"/>
      <c r="J2467" s="10"/>
      <c r="K2467" s="46"/>
      <c r="L2467" s="10"/>
      <c r="M2467" s="20"/>
      <c r="N2467" s="20"/>
      <c r="O2467" s="20"/>
      <c r="P2467" s="20"/>
    </row>
    <row r="2468">
      <c r="A2468" s="23"/>
      <c r="B2468" s="21"/>
      <c r="C2468" s="23"/>
      <c r="D2468" s="24"/>
      <c r="E2468" s="14"/>
      <c r="F2468" s="14"/>
      <c r="G2468" s="14"/>
      <c r="H2468" s="23"/>
      <c r="I2468" s="27"/>
      <c r="J2468" s="23"/>
      <c r="K2468" s="30"/>
      <c r="L2468" s="23"/>
      <c r="M2468" s="20"/>
      <c r="N2468" s="20"/>
      <c r="O2468" s="20"/>
      <c r="P2468" s="20"/>
    </row>
    <row r="2469">
      <c r="A2469" s="10"/>
      <c r="B2469" s="11"/>
      <c r="C2469" s="10"/>
      <c r="D2469" s="13"/>
      <c r="E2469" s="14"/>
      <c r="F2469" s="14"/>
      <c r="G2469" s="14"/>
      <c r="H2469" s="10"/>
      <c r="I2469" s="17"/>
      <c r="J2469" s="10"/>
      <c r="K2469" s="46"/>
      <c r="L2469" s="10"/>
      <c r="M2469" s="20"/>
      <c r="N2469" s="20"/>
      <c r="O2469" s="20"/>
      <c r="P2469" s="20"/>
    </row>
    <row r="2470">
      <c r="A2470" s="23"/>
      <c r="B2470" s="21"/>
      <c r="C2470" s="23"/>
      <c r="D2470" s="24"/>
      <c r="E2470" s="14"/>
      <c r="F2470" s="14"/>
      <c r="G2470" s="14"/>
      <c r="H2470" s="23"/>
      <c r="I2470" s="27"/>
      <c r="J2470" s="23"/>
      <c r="K2470" s="30"/>
      <c r="L2470" s="23"/>
      <c r="M2470" s="20"/>
      <c r="N2470" s="20"/>
      <c r="O2470" s="20"/>
      <c r="P2470" s="20"/>
    </row>
    <row r="2471">
      <c r="A2471" s="10"/>
      <c r="B2471" s="11"/>
      <c r="C2471" s="10"/>
      <c r="D2471" s="13"/>
      <c r="E2471" s="14"/>
      <c r="F2471" s="14"/>
      <c r="G2471" s="14"/>
      <c r="H2471" s="10"/>
      <c r="I2471" s="17"/>
      <c r="J2471" s="10"/>
      <c r="K2471" s="46"/>
      <c r="L2471" s="10"/>
      <c r="M2471" s="20"/>
      <c r="N2471" s="20"/>
      <c r="O2471" s="20"/>
      <c r="P2471" s="20"/>
    </row>
    <row r="2472">
      <c r="A2472" s="23"/>
      <c r="B2472" s="21"/>
      <c r="C2472" s="23"/>
      <c r="D2472" s="24"/>
      <c r="E2472" s="14"/>
      <c r="F2472" s="14"/>
      <c r="G2472" s="14"/>
      <c r="H2472" s="23"/>
      <c r="I2472" s="27"/>
      <c r="J2472" s="23"/>
      <c r="K2472" s="30"/>
      <c r="L2472" s="23"/>
      <c r="M2472" s="20"/>
      <c r="N2472" s="20"/>
      <c r="O2472" s="20"/>
      <c r="P2472" s="20"/>
    </row>
    <row r="2473">
      <c r="A2473" s="10"/>
      <c r="B2473" s="11"/>
      <c r="C2473" s="10"/>
      <c r="D2473" s="13"/>
      <c r="E2473" s="14"/>
      <c r="F2473" s="14"/>
      <c r="G2473" s="14"/>
      <c r="H2473" s="10"/>
      <c r="I2473" s="17"/>
      <c r="J2473" s="10"/>
      <c r="K2473" s="46"/>
      <c r="L2473" s="10"/>
      <c r="M2473" s="20"/>
      <c r="N2473" s="20"/>
      <c r="O2473" s="20"/>
      <c r="P2473" s="20"/>
    </row>
    <row r="2474">
      <c r="A2474" s="23"/>
      <c r="B2474" s="21"/>
      <c r="C2474" s="23"/>
      <c r="D2474" s="24"/>
      <c r="E2474" s="14"/>
      <c r="F2474" s="14"/>
      <c r="G2474" s="14"/>
      <c r="H2474" s="23"/>
      <c r="I2474" s="27"/>
      <c r="J2474" s="23"/>
      <c r="K2474" s="30"/>
      <c r="L2474" s="23"/>
      <c r="M2474" s="20"/>
      <c r="N2474" s="20"/>
      <c r="O2474" s="20"/>
      <c r="P2474" s="20"/>
    </row>
    <row r="2475">
      <c r="A2475" s="10"/>
      <c r="B2475" s="11"/>
      <c r="C2475" s="10"/>
      <c r="D2475" s="13"/>
      <c r="E2475" s="14"/>
      <c r="F2475" s="14"/>
      <c r="G2475" s="14"/>
      <c r="H2475" s="10"/>
      <c r="I2475" s="17"/>
      <c r="J2475" s="10"/>
      <c r="K2475" s="46"/>
      <c r="L2475" s="10"/>
      <c r="M2475" s="20"/>
      <c r="N2475" s="20"/>
      <c r="O2475" s="20"/>
      <c r="P2475" s="20"/>
    </row>
    <row r="2476">
      <c r="A2476" s="23"/>
      <c r="B2476" s="21"/>
      <c r="C2476" s="23"/>
      <c r="D2476" s="24"/>
      <c r="E2476" s="14"/>
      <c r="F2476" s="14"/>
      <c r="G2476" s="14"/>
      <c r="H2476" s="23"/>
      <c r="I2476" s="27"/>
      <c r="J2476" s="23"/>
      <c r="K2476" s="30"/>
      <c r="L2476" s="23"/>
      <c r="M2476" s="20"/>
      <c r="N2476" s="20"/>
      <c r="O2476" s="20"/>
      <c r="P2476" s="20"/>
    </row>
    <row r="2477">
      <c r="A2477" s="10"/>
      <c r="B2477" s="11"/>
      <c r="C2477" s="10"/>
      <c r="D2477" s="13"/>
      <c r="E2477" s="14"/>
      <c r="F2477" s="14"/>
      <c r="G2477" s="14"/>
      <c r="H2477" s="10"/>
      <c r="I2477" s="17"/>
      <c r="J2477" s="10"/>
      <c r="K2477" s="46"/>
      <c r="L2477" s="10"/>
      <c r="M2477" s="20"/>
      <c r="N2477" s="20"/>
      <c r="O2477" s="20"/>
      <c r="P2477" s="20"/>
    </row>
    <row r="2478">
      <c r="A2478" s="23"/>
      <c r="B2478" s="21"/>
      <c r="C2478" s="23"/>
      <c r="D2478" s="24"/>
      <c r="E2478" s="14"/>
      <c r="F2478" s="14"/>
      <c r="G2478" s="14"/>
      <c r="H2478" s="23"/>
      <c r="I2478" s="27"/>
      <c r="J2478" s="23"/>
      <c r="K2478" s="30"/>
      <c r="L2478" s="23"/>
      <c r="M2478" s="20"/>
      <c r="N2478" s="20"/>
      <c r="O2478" s="20"/>
      <c r="P2478" s="20"/>
    </row>
    <row r="2479">
      <c r="A2479" s="10"/>
      <c r="B2479" s="11"/>
      <c r="C2479" s="10"/>
      <c r="D2479" s="13"/>
      <c r="E2479" s="14"/>
      <c r="F2479" s="14"/>
      <c r="G2479" s="14"/>
      <c r="H2479" s="10"/>
      <c r="I2479" s="17"/>
      <c r="J2479" s="10"/>
      <c r="K2479" s="46"/>
      <c r="L2479" s="10"/>
      <c r="M2479" s="20"/>
      <c r="N2479" s="20"/>
      <c r="O2479" s="20"/>
      <c r="P2479" s="20"/>
    </row>
    <row r="2480">
      <c r="A2480" s="23"/>
      <c r="B2480" s="21"/>
      <c r="C2480" s="23"/>
      <c r="D2480" s="24"/>
      <c r="E2480" s="14"/>
      <c r="F2480" s="14"/>
      <c r="G2480" s="14"/>
      <c r="H2480" s="23"/>
      <c r="I2480" s="27"/>
      <c r="J2480" s="23"/>
      <c r="K2480" s="30"/>
      <c r="L2480" s="23"/>
      <c r="M2480" s="20"/>
      <c r="N2480" s="20"/>
      <c r="O2480" s="20"/>
      <c r="P2480" s="20"/>
    </row>
    <row r="2481">
      <c r="A2481" s="10"/>
      <c r="B2481" s="11"/>
      <c r="C2481" s="10"/>
      <c r="D2481" s="13"/>
      <c r="E2481" s="14"/>
      <c r="F2481" s="14"/>
      <c r="G2481" s="14"/>
      <c r="H2481" s="10"/>
      <c r="I2481" s="17"/>
      <c r="J2481" s="10"/>
      <c r="K2481" s="46"/>
      <c r="L2481" s="10"/>
      <c r="M2481" s="20"/>
      <c r="N2481" s="20"/>
      <c r="O2481" s="20"/>
      <c r="P2481" s="20"/>
    </row>
    <row r="2482">
      <c r="A2482" s="23"/>
      <c r="B2482" s="21"/>
      <c r="C2482" s="23"/>
      <c r="D2482" s="24"/>
      <c r="E2482" s="14"/>
      <c r="F2482" s="14"/>
      <c r="G2482" s="14"/>
      <c r="H2482" s="23"/>
      <c r="I2482" s="27"/>
      <c r="J2482" s="23"/>
      <c r="K2482" s="30"/>
      <c r="L2482" s="23"/>
      <c r="M2482" s="20"/>
      <c r="N2482" s="20"/>
      <c r="O2482" s="20"/>
      <c r="P2482" s="20"/>
    </row>
    <row r="2483">
      <c r="A2483" s="10"/>
      <c r="B2483" s="11"/>
      <c r="C2483" s="10"/>
      <c r="D2483" s="13"/>
      <c r="E2483" s="14"/>
      <c r="F2483" s="14"/>
      <c r="G2483" s="14"/>
      <c r="H2483" s="10"/>
      <c r="I2483" s="17"/>
      <c r="J2483" s="10"/>
      <c r="K2483" s="46"/>
      <c r="L2483" s="10"/>
      <c r="M2483" s="20"/>
      <c r="N2483" s="20"/>
      <c r="O2483" s="20"/>
      <c r="P2483" s="20"/>
    </row>
    <row r="2484">
      <c r="A2484" s="23"/>
      <c r="B2484" s="21"/>
      <c r="C2484" s="23"/>
      <c r="D2484" s="24"/>
      <c r="E2484" s="14"/>
      <c r="F2484" s="14"/>
      <c r="G2484" s="14"/>
      <c r="H2484" s="23"/>
      <c r="I2484" s="27"/>
      <c r="J2484" s="23"/>
      <c r="K2484" s="30"/>
      <c r="L2484" s="23"/>
      <c r="M2484" s="20"/>
      <c r="N2484" s="20"/>
      <c r="O2484" s="20"/>
      <c r="P2484" s="20"/>
    </row>
    <row r="2485">
      <c r="A2485" s="10"/>
      <c r="B2485" s="11"/>
      <c r="C2485" s="10"/>
      <c r="D2485" s="13"/>
      <c r="E2485" s="14"/>
      <c r="F2485" s="14"/>
      <c r="G2485" s="14"/>
      <c r="H2485" s="10"/>
      <c r="I2485" s="17"/>
      <c r="J2485" s="10"/>
      <c r="K2485" s="46"/>
      <c r="L2485" s="10"/>
      <c r="M2485" s="20"/>
      <c r="N2485" s="20"/>
      <c r="O2485" s="20"/>
      <c r="P2485" s="20"/>
    </row>
    <row r="2486">
      <c r="A2486" s="23"/>
      <c r="B2486" s="21"/>
      <c r="C2486" s="23"/>
      <c r="D2486" s="24"/>
      <c r="E2486" s="14"/>
      <c r="F2486" s="14"/>
      <c r="G2486" s="14"/>
      <c r="H2486" s="23"/>
      <c r="I2486" s="27"/>
      <c r="J2486" s="23"/>
      <c r="K2486" s="30"/>
      <c r="L2486" s="23"/>
      <c r="M2486" s="20"/>
      <c r="N2486" s="20"/>
      <c r="O2486" s="20"/>
      <c r="P2486" s="20"/>
    </row>
    <row r="2487">
      <c r="A2487" s="10"/>
      <c r="B2487" s="11"/>
      <c r="C2487" s="10"/>
      <c r="D2487" s="13"/>
      <c r="E2487" s="14"/>
      <c r="F2487" s="14"/>
      <c r="G2487" s="14"/>
      <c r="H2487" s="10"/>
      <c r="I2487" s="17"/>
      <c r="J2487" s="10"/>
      <c r="K2487" s="46"/>
      <c r="L2487" s="10"/>
      <c r="M2487" s="20"/>
      <c r="N2487" s="20"/>
      <c r="O2487" s="20"/>
      <c r="P2487" s="20"/>
    </row>
    <row r="2488">
      <c r="A2488" s="23"/>
      <c r="B2488" s="21"/>
      <c r="C2488" s="23"/>
      <c r="D2488" s="24"/>
      <c r="E2488" s="14"/>
      <c r="F2488" s="14"/>
      <c r="G2488" s="14"/>
      <c r="H2488" s="23"/>
      <c r="I2488" s="27"/>
      <c r="J2488" s="23"/>
      <c r="K2488" s="30"/>
      <c r="L2488" s="23"/>
      <c r="M2488" s="20"/>
      <c r="N2488" s="20"/>
      <c r="O2488" s="20"/>
      <c r="P2488" s="20"/>
    </row>
    <row r="2489">
      <c r="A2489" s="10"/>
      <c r="B2489" s="11"/>
      <c r="C2489" s="10"/>
      <c r="D2489" s="13"/>
      <c r="E2489" s="14"/>
      <c r="F2489" s="14"/>
      <c r="G2489" s="14"/>
      <c r="H2489" s="10"/>
      <c r="I2489" s="17"/>
      <c r="J2489" s="10"/>
      <c r="K2489" s="46"/>
      <c r="L2489" s="10"/>
      <c r="M2489" s="20"/>
      <c r="N2489" s="20"/>
      <c r="O2489" s="20"/>
      <c r="P2489" s="20"/>
    </row>
    <row r="2490">
      <c r="A2490" s="23"/>
      <c r="B2490" s="21"/>
      <c r="C2490" s="23"/>
      <c r="D2490" s="24"/>
      <c r="E2490" s="14"/>
      <c r="F2490" s="14"/>
      <c r="G2490" s="14"/>
      <c r="H2490" s="23"/>
      <c r="I2490" s="27"/>
      <c r="J2490" s="23"/>
      <c r="K2490" s="30"/>
      <c r="L2490" s="23"/>
      <c r="M2490" s="20"/>
      <c r="N2490" s="20"/>
      <c r="O2490" s="20"/>
      <c r="P2490" s="20"/>
    </row>
    <row r="2491">
      <c r="A2491" s="10"/>
      <c r="B2491" s="11"/>
      <c r="C2491" s="10"/>
      <c r="D2491" s="13"/>
      <c r="E2491" s="14"/>
      <c r="F2491" s="14"/>
      <c r="G2491" s="14"/>
      <c r="H2491" s="10"/>
      <c r="I2491" s="17"/>
      <c r="J2491" s="10"/>
      <c r="K2491" s="46"/>
      <c r="L2491" s="10"/>
      <c r="M2491" s="20"/>
      <c r="N2491" s="20"/>
      <c r="O2491" s="20"/>
      <c r="P2491" s="20"/>
    </row>
    <row r="2492">
      <c r="A2492" s="23"/>
      <c r="B2492" s="21"/>
      <c r="C2492" s="23"/>
      <c r="D2492" s="24"/>
      <c r="E2492" s="14"/>
      <c r="F2492" s="14"/>
      <c r="G2492" s="14"/>
      <c r="H2492" s="23"/>
      <c r="I2492" s="27"/>
      <c r="J2492" s="23"/>
      <c r="K2492" s="30"/>
      <c r="L2492" s="23"/>
      <c r="M2492" s="20"/>
      <c r="N2492" s="20"/>
      <c r="O2492" s="20"/>
      <c r="P2492" s="20"/>
    </row>
    <row r="2493">
      <c r="A2493" s="10"/>
      <c r="B2493" s="11"/>
      <c r="C2493" s="10"/>
      <c r="D2493" s="13"/>
      <c r="E2493" s="14"/>
      <c r="F2493" s="14"/>
      <c r="G2493" s="14"/>
      <c r="H2493" s="10"/>
      <c r="I2493" s="17"/>
      <c r="J2493" s="10"/>
      <c r="K2493" s="46"/>
      <c r="L2493" s="10"/>
      <c r="M2493" s="20"/>
      <c r="N2493" s="20"/>
      <c r="O2493" s="20"/>
      <c r="P2493" s="20"/>
    </row>
    <row r="2494">
      <c r="A2494" s="23"/>
      <c r="B2494" s="21"/>
      <c r="C2494" s="23"/>
      <c r="D2494" s="24"/>
      <c r="E2494" s="14"/>
      <c r="F2494" s="14"/>
      <c r="G2494" s="14"/>
      <c r="H2494" s="23"/>
      <c r="I2494" s="27"/>
      <c r="J2494" s="23"/>
      <c r="K2494" s="30"/>
      <c r="L2494" s="23"/>
      <c r="M2494" s="20"/>
      <c r="N2494" s="20"/>
      <c r="O2494" s="20"/>
      <c r="P2494" s="20"/>
    </row>
    <row r="2495">
      <c r="A2495" s="10"/>
      <c r="B2495" s="11"/>
      <c r="C2495" s="10"/>
      <c r="D2495" s="13"/>
      <c r="E2495" s="14"/>
      <c r="F2495" s="14"/>
      <c r="G2495" s="14"/>
      <c r="H2495" s="10"/>
      <c r="I2495" s="17"/>
      <c r="J2495" s="10"/>
      <c r="K2495" s="46"/>
      <c r="L2495" s="10"/>
      <c r="M2495" s="20"/>
      <c r="N2495" s="20"/>
      <c r="O2495" s="20"/>
      <c r="P2495" s="20"/>
    </row>
    <row r="2496">
      <c r="A2496" s="23"/>
      <c r="B2496" s="21"/>
      <c r="C2496" s="23"/>
      <c r="D2496" s="24"/>
      <c r="E2496" s="14"/>
      <c r="F2496" s="14"/>
      <c r="G2496" s="14"/>
      <c r="H2496" s="23"/>
      <c r="I2496" s="27"/>
      <c r="J2496" s="23"/>
      <c r="K2496" s="30"/>
      <c r="L2496" s="23"/>
      <c r="M2496" s="20"/>
      <c r="N2496" s="20"/>
      <c r="O2496" s="20"/>
      <c r="P2496" s="20"/>
    </row>
    <row r="2497">
      <c r="A2497" s="10"/>
      <c r="B2497" s="11"/>
      <c r="C2497" s="10"/>
      <c r="D2497" s="13"/>
      <c r="E2497" s="14"/>
      <c r="F2497" s="14"/>
      <c r="G2497" s="14"/>
      <c r="H2497" s="10"/>
      <c r="I2497" s="17"/>
      <c r="J2497" s="10"/>
      <c r="K2497" s="46"/>
      <c r="L2497" s="10"/>
      <c r="M2497" s="20"/>
      <c r="N2497" s="20"/>
      <c r="O2497" s="20"/>
      <c r="P2497" s="20"/>
    </row>
    <row r="2498">
      <c r="A2498" s="23"/>
      <c r="B2498" s="21"/>
      <c r="C2498" s="23"/>
      <c r="D2498" s="24"/>
      <c r="E2498" s="14"/>
      <c r="F2498" s="14"/>
      <c r="G2498" s="14"/>
      <c r="H2498" s="23"/>
      <c r="I2498" s="27"/>
      <c r="J2498" s="23"/>
      <c r="K2498" s="30"/>
      <c r="L2498" s="23"/>
      <c r="M2498" s="20"/>
      <c r="N2498" s="20"/>
      <c r="O2498" s="20"/>
      <c r="P2498" s="20"/>
    </row>
    <row r="2499">
      <c r="A2499" s="10"/>
      <c r="B2499" s="11"/>
      <c r="C2499" s="10"/>
      <c r="D2499" s="13"/>
      <c r="E2499" s="14"/>
      <c r="F2499" s="14"/>
      <c r="G2499" s="14"/>
      <c r="H2499" s="10"/>
      <c r="I2499" s="17"/>
      <c r="J2499" s="10"/>
      <c r="K2499" s="46"/>
      <c r="L2499" s="10"/>
      <c r="M2499" s="20"/>
      <c r="N2499" s="20"/>
      <c r="O2499" s="20"/>
      <c r="P2499" s="20"/>
    </row>
    <row r="2500">
      <c r="A2500" s="23"/>
      <c r="B2500" s="21"/>
      <c r="C2500" s="23"/>
      <c r="D2500" s="24"/>
      <c r="E2500" s="14"/>
      <c r="F2500" s="14"/>
      <c r="G2500" s="14"/>
      <c r="H2500" s="23"/>
      <c r="I2500" s="27"/>
      <c r="J2500" s="23"/>
      <c r="K2500" s="30"/>
      <c r="L2500" s="23"/>
      <c r="M2500" s="20"/>
      <c r="N2500" s="20"/>
      <c r="O2500" s="20"/>
      <c r="P2500" s="20"/>
    </row>
    <row r="2501">
      <c r="A2501" s="10"/>
      <c r="B2501" s="11"/>
      <c r="C2501" s="10"/>
      <c r="D2501" s="13"/>
      <c r="E2501" s="14"/>
      <c r="F2501" s="14"/>
      <c r="G2501" s="14"/>
      <c r="H2501" s="10"/>
      <c r="I2501" s="17"/>
      <c r="J2501" s="10"/>
      <c r="K2501" s="46"/>
      <c r="L2501" s="10"/>
      <c r="M2501" s="20"/>
      <c r="N2501" s="20"/>
      <c r="O2501" s="20"/>
      <c r="P2501" s="20"/>
    </row>
    <row r="2502">
      <c r="A2502" s="23"/>
      <c r="B2502" s="21"/>
      <c r="C2502" s="23"/>
      <c r="D2502" s="24"/>
      <c r="E2502" s="14"/>
      <c r="F2502" s="14"/>
      <c r="G2502" s="14"/>
      <c r="H2502" s="23"/>
      <c r="I2502" s="27"/>
      <c r="J2502" s="23"/>
      <c r="K2502" s="30"/>
      <c r="L2502" s="23"/>
      <c r="M2502" s="20"/>
      <c r="N2502" s="20"/>
      <c r="O2502" s="20"/>
      <c r="P2502" s="20"/>
    </row>
    <row r="2503">
      <c r="A2503" s="10"/>
      <c r="B2503" s="11"/>
      <c r="C2503" s="10"/>
      <c r="D2503" s="13"/>
      <c r="E2503" s="14"/>
      <c r="F2503" s="14"/>
      <c r="G2503" s="14"/>
      <c r="H2503" s="10"/>
      <c r="I2503" s="17"/>
      <c r="J2503" s="10"/>
      <c r="K2503" s="46"/>
      <c r="L2503" s="10"/>
      <c r="M2503" s="20"/>
      <c r="N2503" s="20"/>
      <c r="O2503" s="20"/>
      <c r="P2503" s="20"/>
    </row>
    <row r="2504">
      <c r="A2504" s="23"/>
      <c r="B2504" s="21"/>
      <c r="C2504" s="23"/>
      <c r="D2504" s="24"/>
      <c r="E2504" s="14"/>
      <c r="F2504" s="14"/>
      <c r="G2504" s="14"/>
      <c r="H2504" s="23"/>
      <c r="I2504" s="27"/>
      <c r="J2504" s="23"/>
      <c r="K2504" s="30"/>
      <c r="L2504" s="23"/>
      <c r="M2504" s="20"/>
      <c r="N2504" s="20"/>
      <c r="O2504" s="20"/>
      <c r="P2504" s="20"/>
    </row>
    <row r="2505">
      <c r="A2505" s="10"/>
      <c r="B2505" s="11"/>
      <c r="C2505" s="10"/>
      <c r="D2505" s="13"/>
      <c r="E2505" s="14"/>
      <c r="F2505" s="14"/>
      <c r="G2505" s="14"/>
      <c r="H2505" s="10"/>
      <c r="I2505" s="17"/>
      <c r="J2505" s="10"/>
      <c r="K2505" s="46"/>
      <c r="L2505" s="10"/>
      <c r="M2505" s="20"/>
      <c r="N2505" s="20"/>
      <c r="O2505" s="20"/>
      <c r="P2505" s="20"/>
    </row>
    <row r="2506">
      <c r="A2506" s="23"/>
      <c r="B2506" s="21"/>
      <c r="C2506" s="23"/>
      <c r="D2506" s="24"/>
      <c r="E2506" s="14"/>
      <c r="F2506" s="14"/>
      <c r="G2506" s="14"/>
      <c r="H2506" s="23"/>
      <c r="I2506" s="27"/>
      <c r="J2506" s="23"/>
      <c r="K2506" s="30"/>
      <c r="L2506" s="23"/>
      <c r="M2506" s="20"/>
      <c r="N2506" s="20"/>
      <c r="O2506" s="20"/>
      <c r="P2506" s="20"/>
    </row>
    <row r="2507">
      <c r="A2507" s="10"/>
      <c r="B2507" s="11"/>
      <c r="C2507" s="10"/>
      <c r="D2507" s="13"/>
      <c r="E2507" s="14"/>
      <c r="F2507" s="14"/>
      <c r="G2507" s="14"/>
      <c r="H2507" s="10"/>
      <c r="I2507" s="17"/>
      <c r="J2507" s="10"/>
      <c r="K2507" s="46"/>
      <c r="L2507" s="10"/>
      <c r="M2507" s="20"/>
      <c r="N2507" s="20"/>
      <c r="O2507" s="20"/>
      <c r="P2507" s="20"/>
    </row>
    <row r="2508">
      <c r="A2508" s="23"/>
      <c r="B2508" s="21"/>
      <c r="C2508" s="23"/>
      <c r="D2508" s="24"/>
      <c r="E2508" s="14"/>
      <c r="F2508" s="14"/>
      <c r="G2508" s="14"/>
      <c r="H2508" s="23"/>
      <c r="I2508" s="27"/>
      <c r="J2508" s="23"/>
      <c r="K2508" s="30"/>
      <c r="L2508" s="23"/>
      <c r="M2508" s="20"/>
      <c r="N2508" s="20"/>
      <c r="O2508" s="20"/>
      <c r="P2508" s="20"/>
    </row>
    <row r="2509">
      <c r="A2509" s="10"/>
      <c r="B2509" s="11"/>
      <c r="C2509" s="10"/>
      <c r="D2509" s="13"/>
      <c r="E2509" s="14"/>
      <c r="F2509" s="14"/>
      <c r="G2509" s="14"/>
      <c r="H2509" s="10"/>
      <c r="I2509" s="17"/>
      <c r="J2509" s="10"/>
      <c r="K2509" s="46"/>
      <c r="L2509" s="10"/>
      <c r="M2509" s="20"/>
      <c r="N2509" s="20"/>
      <c r="O2509" s="20"/>
      <c r="P2509" s="20"/>
    </row>
    <row r="2510">
      <c r="A2510" s="23"/>
      <c r="B2510" s="21"/>
      <c r="C2510" s="23"/>
      <c r="D2510" s="24"/>
      <c r="E2510" s="14"/>
      <c r="F2510" s="14"/>
      <c r="G2510" s="14"/>
      <c r="H2510" s="23"/>
      <c r="I2510" s="27"/>
      <c r="J2510" s="23"/>
      <c r="K2510" s="30"/>
      <c r="L2510" s="23"/>
      <c r="M2510" s="20"/>
      <c r="N2510" s="20"/>
      <c r="O2510" s="20"/>
      <c r="P2510" s="20"/>
    </row>
    <row r="2511">
      <c r="A2511" s="10"/>
      <c r="B2511" s="11"/>
      <c r="C2511" s="10"/>
      <c r="D2511" s="13"/>
      <c r="E2511" s="14"/>
      <c r="F2511" s="14"/>
      <c r="G2511" s="14"/>
      <c r="H2511" s="10"/>
      <c r="I2511" s="17"/>
      <c r="J2511" s="10"/>
      <c r="K2511" s="46"/>
      <c r="L2511" s="10"/>
      <c r="M2511" s="20"/>
      <c r="N2511" s="20"/>
      <c r="O2511" s="20"/>
      <c r="P2511" s="20"/>
    </row>
    <row r="2512">
      <c r="A2512" s="23"/>
      <c r="B2512" s="21"/>
      <c r="C2512" s="23"/>
      <c r="D2512" s="24"/>
      <c r="E2512" s="14"/>
      <c r="F2512" s="14"/>
      <c r="G2512" s="14"/>
      <c r="H2512" s="23"/>
      <c r="I2512" s="27"/>
      <c r="J2512" s="23"/>
      <c r="K2512" s="30"/>
      <c r="L2512" s="23"/>
      <c r="M2512" s="20"/>
      <c r="N2512" s="20"/>
      <c r="O2512" s="20"/>
      <c r="P2512" s="20"/>
    </row>
    <row r="2513">
      <c r="A2513" s="10"/>
      <c r="B2513" s="11"/>
      <c r="C2513" s="10"/>
      <c r="D2513" s="13"/>
      <c r="E2513" s="14"/>
      <c r="F2513" s="14"/>
      <c r="G2513" s="14"/>
      <c r="H2513" s="10"/>
      <c r="I2513" s="17"/>
      <c r="J2513" s="10"/>
      <c r="K2513" s="46"/>
      <c r="L2513" s="10"/>
      <c r="M2513" s="20"/>
      <c r="N2513" s="20"/>
      <c r="O2513" s="20"/>
      <c r="P2513" s="20"/>
    </row>
    <row r="2514">
      <c r="A2514" s="23"/>
      <c r="B2514" s="21"/>
      <c r="C2514" s="23"/>
      <c r="D2514" s="24"/>
      <c r="E2514" s="14"/>
      <c r="F2514" s="14"/>
      <c r="G2514" s="14"/>
      <c r="H2514" s="23"/>
      <c r="I2514" s="27"/>
      <c r="J2514" s="23"/>
      <c r="K2514" s="30"/>
      <c r="L2514" s="23"/>
      <c r="M2514" s="20"/>
      <c r="N2514" s="20"/>
      <c r="O2514" s="20"/>
      <c r="P2514" s="20"/>
    </row>
    <row r="2515">
      <c r="A2515" s="10"/>
      <c r="B2515" s="11"/>
      <c r="C2515" s="10"/>
      <c r="D2515" s="13"/>
      <c r="E2515" s="14"/>
      <c r="F2515" s="14"/>
      <c r="G2515" s="14"/>
      <c r="H2515" s="10"/>
      <c r="I2515" s="17"/>
      <c r="J2515" s="10"/>
      <c r="K2515" s="46"/>
      <c r="L2515" s="10"/>
      <c r="M2515" s="20"/>
      <c r="N2515" s="20"/>
      <c r="O2515" s="20"/>
      <c r="P2515" s="20"/>
    </row>
    <row r="2516">
      <c r="A2516" s="23"/>
      <c r="B2516" s="21"/>
      <c r="C2516" s="23"/>
      <c r="D2516" s="24"/>
      <c r="E2516" s="14"/>
      <c r="F2516" s="14"/>
      <c r="G2516" s="14"/>
      <c r="H2516" s="23"/>
      <c r="I2516" s="27"/>
      <c r="J2516" s="23"/>
      <c r="K2516" s="30"/>
      <c r="L2516" s="23"/>
      <c r="M2516" s="20"/>
      <c r="N2516" s="20"/>
      <c r="O2516" s="20"/>
      <c r="P2516" s="20"/>
    </row>
    <row r="2517">
      <c r="A2517" s="10"/>
      <c r="B2517" s="11"/>
      <c r="C2517" s="10"/>
      <c r="D2517" s="13"/>
      <c r="E2517" s="14"/>
      <c r="F2517" s="14"/>
      <c r="G2517" s="14"/>
      <c r="H2517" s="10"/>
      <c r="I2517" s="17"/>
      <c r="J2517" s="10"/>
      <c r="K2517" s="46"/>
      <c r="L2517" s="10"/>
      <c r="M2517" s="20"/>
      <c r="N2517" s="20"/>
      <c r="O2517" s="20"/>
      <c r="P2517" s="20"/>
    </row>
    <row r="2518">
      <c r="A2518" s="23"/>
      <c r="B2518" s="21"/>
      <c r="C2518" s="23"/>
      <c r="D2518" s="24"/>
      <c r="E2518" s="14"/>
      <c r="F2518" s="14"/>
      <c r="G2518" s="14"/>
      <c r="H2518" s="23"/>
      <c r="I2518" s="27"/>
      <c r="J2518" s="23"/>
      <c r="K2518" s="30"/>
      <c r="L2518" s="23"/>
      <c r="M2518" s="20"/>
      <c r="N2518" s="20"/>
      <c r="O2518" s="20"/>
      <c r="P2518" s="20"/>
    </row>
    <row r="2519">
      <c r="A2519" s="10"/>
      <c r="B2519" s="11"/>
      <c r="C2519" s="10"/>
      <c r="D2519" s="13"/>
      <c r="E2519" s="14"/>
      <c r="F2519" s="14"/>
      <c r="G2519" s="14"/>
      <c r="H2519" s="10"/>
      <c r="I2519" s="17"/>
      <c r="J2519" s="10"/>
      <c r="K2519" s="46"/>
      <c r="L2519" s="10"/>
      <c r="M2519" s="20"/>
      <c r="N2519" s="20"/>
      <c r="O2519" s="20"/>
      <c r="P2519" s="20"/>
    </row>
    <row r="2520">
      <c r="A2520" s="23"/>
      <c r="B2520" s="21"/>
      <c r="C2520" s="23"/>
      <c r="D2520" s="24"/>
      <c r="E2520" s="14"/>
      <c r="F2520" s="14"/>
      <c r="G2520" s="14"/>
      <c r="H2520" s="23"/>
      <c r="I2520" s="27"/>
      <c r="J2520" s="23"/>
      <c r="K2520" s="30"/>
      <c r="L2520" s="23"/>
      <c r="M2520" s="20"/>
      <c r="N2520" s="20"/>
      <c r="O2520" s="20"/>
      <c r="P2520" s="20"/>
    </row>
    <row r="2521">
      <c r="A2521" s="10"/>
      <c r="B2521" s="11"/>
      <c r="C2521" s="10"/>
      <c r="D2521" s="13"/>
      <c r="E2521" s="14"/>
      <c r="F2521" s="14"/>
      <c r="G2521" s="14"/>
      <c r="H2521" s="10"/>
      <c r="I2521" s="17"/>
      <c r="J2521" s="10"/>
      <c r="K2521" s="46"/>
      <c r="L2521" s="10"/>
      <c r="M2521" s="20"/>
      <c r="N2521" s="20"/>
      <c r="O2521" s="20"/>
      <c r="P2521" s="20"/>
    </row>
    <row r="2522">
      <c r="A2522" s="23"/>
      <c r="B2522" s="21"/>
      <c r="C2522" s="23"/>
      <c r="D2522" s="24"/>
      <c r="E2522" s="14"/>
      <c r="F2522" s="14"/>
      <c r="G2522" s="14"/>
      <c r="H2522" s="23"/>
      <c r="I2522" s="27"/>
      <c r="J2522" s="23"/>
      <c r="K2522" s="30"/>
      <c r="L2522" s="23"/>
      <c r="M2522" s="20"/>
      <c r="N2522" s="20"/>
      <c r="O2522" s="20"/>
      <c r="P2522" s="20"/>
    </row>
    <row r="2523">
      <c r="A2523" s="10"/>
      <c r="B2523" s="11"/>
      <c r="C2523" s="10"/>
      <c r="D2523" s="13"/>
      <c r="E2523" s="14"/>
      <c r="F2523" s="14"/>
      <c r="G2523" s="14"/>
      <c r="H2523" s="10"/>
      <c r="I2523" s="17"/>
      <c r="J2523" s="10"/>
      <c r="K2523" s="46"/>
      <c r="L2523" s="10"/>
      <c r="M2523" s="20"/>
      <c r="N2523" s="20"/>
      <c r="O2523" s="20"/>
      <c r="P2523" s="20"/>
    </row>
    <row r="2524">
      <c r="A2524" s="23"/>
      <c r="B2524" s="21"/>
      <c r="C2524" s="23"/>
      <c r="D2524" s="24"/>
      <c r="E2524" s="14"/>
      <c r="F2524" s="14"/>
      <c r="G2524" s="14"/>
      <c r="H2524" s="23"/>
      <c r="I2524" s="27"/>
      <c r="J2524" s="23"/>
      <c r="K2524" s="30"/>
      <c r="L2524" s="23"/>
      <c r="M2524" s="20"/>
      <c r="N2524" s="20"/>
      <c r="O2524" s="20"/>
      <c r="P2524" s="20"/>
    </row>
    <row r="2525">
      <c r="A2525" s="10"/>
      <c r="B2525" s="11"/>
      <c r="C2525" s="10"/>
      <c r="D2525" s="13"/>
      <c r="E2525" s="14"/>
      <c r="F2525" s="14"/>
      <c r="G2525" s="14"/>
      <c r="H2525" s="10"/>
      <c r="I2525" s="17"/>
      <c r="J2525" s="10"/>
      <c r="K2525" s="46"/>
      <c r="L2525" s="10"/>
      <c r="M2525" s="20"/>
      <c r="N2525" s="20"/>
      <c r="O2525" s="20"/>
      <c r="P2525" s="20"/>
    </row>
    <row r="2526">
      <c r="A2526" s="23"/>
      <c r="B2526" s="21"/>
      <c r="C2526" s="23"/>
      <c r="D2526" s="24"/>
      <c r="E2526" s="14"/>
      <c r="F2526" s="14"/>
      <c r="G2526" s="14"/>
      <c r="H2526" s="23"/>
      <c r="I2526" s="27"/>
      <c r="J2526" s="23"/>
      <c r="K2526" s="30"/>
      <c r="L2526" s="23"/>
      <c r="M2526" s="20"/>
      <c r="N2526" s="20"/>
      <c r="O2526" s="20"/>
      <c r="P2526" s="20"/>
    </row>
    <row r="2527">
      <c r="A2527" s="10"/>
      <c r="B2527" s="11"/>
      <c r="C2527" s="10"/>
      <c r="D2527" s="13"/>
      <c r="E2527" s="14"/>
      <c r="F2527" s="14"/>
      <c r="G2527" s="14"/>
      <c r="H2527" s="10"/>
      <c r="I2527" s="17"/>
      <c r="J2527" s="10"/>
      <c r="K2527" s="46"/>
      <c r="L2527" s="10"/>
      <c r="M2527" s="20"/>
      <c r="N2527" s="20"/>
      <c r="O2527" s="20"/>
      <c r="P2527" s="20"/>
    </row>
    <row r="2528">
      <c r="A2528" s="23"/>
      <c r="B2528" s="21"/>
      <c r="C2528" s="23"/>
      <c r="D2528" s="24"/>
      <c r="E2528" s="14"/>
      <c r="F2528" s="14"/>
      <c r="G2528" s="14"/>
      <c r="H2528" s="23"/>
      <c r="I2528" s="27"/>
      <c r="J2528" s="23"/>
      <c r="K2528" s="30"/>
      <c r="L2528" s="23"/>
      <c r="M2528" s="20"/>
      <c r="N2528" s="20"/>
      <c r="O2528" s="20"/>
      <c r="P2528" s="20"/>
    </row>
    <row r="2529">
      <c r="A2529" s="10"/>
      <c r="B2529" s="11"/>
      <c r="C2529" s="10"/>
      <c r="D2529" s="13"/>
      <c r="E2529" s="14"/>
      <c r="F2529" s="14"/>
      <c r="G2529" s="14"/>
      <c r="H2529" s="10"/>
      <c r="I2529" s="17"/>
      <c r="J2529" s="10"/>
      <c r="K2529" s="46"/>
      <c r="L2529" s="10"/>
      <c r="M2529" s="20"/>
      <c r="N2529" s="20"/>
      <c r="O2529" s="20"/>
      <c r="P2529" s="20"/>
    </row>
    <row r="2530">
      <c r="A2530" s="23"/>
      <c r="B2530" s="21"/>
      <c r="C2530" s="23"/>
      <c r="D2530" s="24"/>
      <c r="E2530" s="14"/>
      <c r="F2530" s="14"/>
      <c r="G2530" s="14"/>
      <c r="H2530" s="23"/>
      <c r="I2530" s="27"/>
      <c r="J2530" s="23"/>
      <c r="K2530" s="30"/>
      <c r="L2530" s="23"/>
      <c r="M2530" s="20"/>
      <c r="N2530" s="20"/>
      <c r="O2530" s="20"/>
      <c r="P2530" s="20"/>
    </row>
    <row r="2531">
      <c r="A2531" s="10"/>
      <c r="B2531" s="11"/>
      <c r="C2531" s="10"/>
      <c r="D2531" s="13"/>
      <c r="E2531" s="14"/>
      <c r="F2531" s="14"/>
      <c r="G2531" s="14"/>
      <c r="H2531" s="10"/>
      <c r="I2531" s="17"/>
      <c r="J2531" s="10"/>
      <c r="K2531" s="46"/>
      <c r="L2531" s="10"/>
      <c r="M2531" s="20"/>
      <c r="N2531" s="20"/>
      <c r="O2531" s="20"/>
      <c r="P2531" s="20"/>
    </row>
    <row r="2532">
      <c r="A2532" s="23"/>
      <c r="B2532" s="21"/>
      <c r="C2532" s="23"/>
      <c r="D2532" s="24"/>
      <c r="E2532" s="14"/>
      <c r="F2532" s="14"/>
      <c r="G2532" s="14"/>
      <c r="H2532" s="23"/>
      <c r="I2532" s="27"/>
      <c r="J2532" s="23"/>
      <c r="K2532" s="30"/>
      <c r="L2532" s="23"/>
      <c r="M2532" s="20"/>
      <c r="N2532" s="20"/>
      <c r="O2532" s="20"/>
      <c r="P2532" s="20"/>
    </row>
    <row r="2533">
      <c r="A2533" s="10"/>
      <c r="B2533" s="11"/>
      <c r="C2533" s="10"/>
      <c r="D2533" s="13"/>
      <c r="E2533" s="14"/>
      <c r="F2533" s="14"/>
      <c r="G2533" s="14"/>
      <c r="H2533" s="10"/>
      <c r="I2533" s="17"/>
      <c r="J2533" s="10"/>
      <c r="K2533" s="46"/>
      <c r="L2533" s="10"/>
      <c r="M2533" s="20"/>
      <c r="N2533" s="20"/>
      <c r="O2533" s="20"/>
      <c r="P2533" s="20"/>
    </row>
    <row r="2534">
      <c r="A2534" s="23"/>
      <c r="B2534" s="21"/>
      <c r="C2534" s="23"/>
      <c r="D2534" s="24"/>
      <c r="E2534" s="14"/>
      <c r="F2534" s="14"/>
      <c r="G2534" s="14"/>
      <c r="H2534" s="23"/>
      <c r="I2534" s="27"/>
      <c r="J2534" s="23"/>
      <c r="K2534" s="30"/>
      <c r="L2534" s="23"/>
      <c r="M2534" s="20"/>
      <c r="N2534" s="20"/>
      <c r="O2534" s="20"/>
      <c r="P2534" s="20"/>
    </row>
    <row r="2535">
      <c r="A2535" s="10"/>
      <c r="B2535" s="11"/>
      <c r="C2535" s="10"/>
      <c r="D2535" s="13"/>
      <c r="E2535" s="14"/>
      <c r="F2535" s="14"/>
      <c r="G2535" s="14"/>
      <c r="H2535" s="10"/>
      <c r="I2535" s="17"/>
      <c r="J2535" s="10"/>
      <c r="K2535" s="46"/>
      <c r="L2535" s="10"/>
      <c r="M2535" s="20"/>
      <c r="N2535" s="20"/>
      <c r="O2535" s="20"/>
      <c r="P2535" s="20"/>
    </row>
    <row r="2536">
      <c r="A2536" s="23"/>
      <c r="B2536" s="21"/>
      <c r="C2536" s="23"/>
      <c r="D2536" s="24"/>
      <c r="E2536" s="14"/>
      <c r="F2536" s="14"/>
      <c r="G2536" s="14"/>
      <c r="H2536" s="23"/>
      <c r="I2536" s="27"/>
      <c r="J2536" s="23"/>
      <c r="K2536" s="30"/>
      <c r="L2536" s="23"/>
      <c r="M2536" s="20"/>
      <c r="N2536" s="20"/>
      <c r="O2536" s="20"/>
      <c r="P2536" s="20"/>
    </row>
    <row r="2537">
      <c r="A2537" s="10"/>
      <c r="B2537" s="11"/>
      <c r="C2537" s="10"/>
      <c r="D2537" s="13"/>
      <c r="E2537" s="14"/>
      <c r="F2537" s="14"/>
      <c r="G2537" s="14"/>
      <c r="H2537" s="10"/>
      <c r="I2537" s="17"/>
      <c r="J2537" s="10"/>
      <c r="K2537" s="46"/>
      <c r="L2537" s="10"/>
      <c r="M2537" s="20"/>
      <c r="N2537" s="20"/>
      <c r="O2537" s="20"/>
      <c r="P2537" s="20"/>
    </row>
    <row r="2538">
      <c r="A2538" s="23"/>
      <c r="B2538" s="21"/>
      <c r="C2538" s="23"/>
      <c r="D2538" s="24"/>
      <c r="E2538" s="14"/>
      <c r="F2538" s="14"/>
      <c r="G2538" s="14"/>
      <c r="H2538" s="23"/>
      <c r="I2538" s="27"/>
      <c r="J2538" s="23"/>
      <c r="K2538" s="30"/>
      <c r="L2538" s="23"/>
      <c r="M2538" s="20"/>
      <c r="N2538" s="20"/>
      <c r="O2538" s="20"/>
      <c r="P2538" s="20"/>
    </row>
    <row r="2539">
      <c r="A2539" s="10"/>
      <c r="B2539" s="11"/>
      <c r="C2539" s="10"/>
      <c r="D2539" s="13"/>
      <c r="E2539" s="14"/>
      <c r="F2539" s="14"/>
      <c r="G2539" s="14"/>
      <c r="H2539" s="10"/>
      <c r="I2539" s="17"/>
      <c r="J2539" s="10"/>
      <c r="K2539" s="46"/>
      <c r="L2539" s="10"/>
      <c r="M2539" s="20"/>
      <c r="N2539" s="20"/>
      <c r="O2539" s="20"/>
      <c r="P2539" s="20"/>
    </row>
    <row r="2540">
      <c r="A2540" s="23"/>
      <c r="B2540" s="21"/>
      <c r="C2540" s="23"/>
      <c r="D2540" s="24"/>
      <c r="E2540" s="14"/>
      <c r="F2540" s="14"/>
      <c r="G2540" s="14"/>
      <c r="H2540" s="23"/>
      <c r="I2540" s="27"/>
      <c r="J2540" s="23"/>
      <c r="K2540" s="30"/>
      <c r="L2540" s="23"/>
      <c r="M2540" s="20"/>
      <c r="N2540" s="20"/>
      <c r="O2540" s="20"/>
      <c r="P2540" s="20"/>
    </row>
    <row r="2541">
      <c r="A2541" s="10"/>
      <c r="B2541" s="11"/>
      <c r="C2541" s="10"/>
      <c r="D2541" s="13"/>
      <c r="E2541" s="14"/>
      <c r="F2541" s="14"/>
      <c r="G2541" s="14"/>
      <c r="H2541" s="10"/>
      <c r="I2541" s="17"/>
      <c r="J2541" s="10"/>
      <c r="K2541" s="46"/>
      <c r="L2541" s="10"/>
      <c r="M2541" s="20"/>
      <c r="N2541" s="20"/>
      <c r="O2541" s="20"/>
      <c r="P2541" s="20"/>
    </row>
    <row r="2542">
      <c r="A2542" s="23"/>
      <c r="B2542" s="21"/>
      <c r="C2542" s="23"/>
      <c r="D2542" s="24"/>
      <c r="E2542" s="14"/>
      <c r="F2542" s="14"/>
      <c r="G2542" s="14"/>
      <c r="H2542" s="23"/>
      <c r="I2542" s="27"/>
      <c r="J2542" s="23"/>
      <c r="K2542" s="30"/>
      <c r="L2542" s="23"/>
      <c r="M2542" s="20"/>
      <c r="N2542" s="20"/>
      <c r="O2542" s="20"/>
      <c r="P2542" s="20"/>
    </row>
    <row r="2543">
      <c r="A2543" s="10"/>
      <c r="B2543" s="11"/>
      <c r="C2543" s="10"/>
      <c r="D2543" s="13"/>
      <c r="E2543" s="14"/>
      <c r="F2543" s="14"/>
      <c r="G2543" s="14"/>
      <c r="H2543" s="10"/>
      <c r="I2543" s="17"/>
      <c r="J2543" s="10"/>
      <c r="K2543" s="46"/>
      <c r="L2543" s="10"/>
      <c r="M2543" s="20"/>
      <c r="N2543" s="20"/>
      <c r="O2543" s="20"/>
      <c r="P2543" s="20"/>
    </row>
    <row r="2544">
      <c r="A2544" s="23"/>
      <c r="B2544" s="21"/>
      <c r="C2544" s="23"/>
      <c r="D2544" s="24"/>
      <c r="E2544" s="14"/>
      <c r="F2544" s="14"/>
      <c r="G2544" s="14"/>
      <c r="H2544" s="23"/>
      <c r="I2544" s="27"/>
      <c r="J2544" s="23"/>
      <c r="K2544" s="30"/>
      <c r="L2544" s="23"/>
      <c r="M2544" s="20"/>
      <c r="N2544" s="20"/>
      <c r="O2544" s="20"/>
      <c r="P2544" s="20"/>
    </row>
    <row r="2545">
      <c r="A2545" s="10"/>
      <c r="B2545" s="11"/>
      <c r="C2545" s="10"/>
      <c r="D2545" s="13"/>
      <c r="E2545" s="14"/>
      <c r="F2545" s="14"/>
      <c r="G2545" s="14"/>
      <c r="H2545" s="10"/>
      <c r="I2545" s="17"/>
      <c r="J2545" s="10"/>
      <c r="K2545" s="46"/>
      <c r="L2545" s="10"/>
      <c r="M2545" s="20"/>
      <c r="N2545" s="20"/>
      <c r="O2545" s="20"/>
      <c r="P2545" s="20"/>
    </row>
    <row r="2546">
      <c r="A2546" s="23"/>
      <c r="B2546" s="21"/>
      <c r="C2546" s="23"/>
      <c r="D2546" s="24"/>
      <c r="E2546" s="14"/>
      <c r="F2546" s="14"/>
      <c r="G2546" s="14"/>
      <c r="H2546" s="23"/>
      <c r="I2546" s="27"/>
      <c r="J2546" s="23"/>
      <c r="K2546" s="30"/>
      <c r="L2546" s="23"/>
      <c r="M2546" s="20"/>
      <c r="N2546" s="20"/>
      <c r="O2546" s="20"/>
      <c r="P2546" s="20"/>
    </row>
    <row r="2547">
      <c r="A2547" s="10"/>
      <c r="B2547" s="11"/>
      <c r="C2547" s="10"/>
      <c r="D2547" s="13"/>
      <c r="E2547" s="14"/>
      <c r="F2547" s="14"/>
      <c r="G2547" s="14"/>
      <c r="H2547" s="10"/>
      <c r="I2547" s="17"/>
      <c r="J2547" s="10"/>
      <c r="K2547" s="46"/>
      <c r="L2547" s="10"/>
      <c r="M2547" s="20"/>
      <c r="N2547" s="20"/>
      <c r="O2547" s="20"/>
      <c r="P2547" s="20"/>
    </row>
    <row r="2548">
      <c r="A2548" s="23"/>
      <c r="B2548" s="21"/>
      <c r="C2548" s="23"/>
      <c r="D2548" s="24"/>
      <c r="E2548" s="14"/>
      <c r="F2548" s="14"/>
      <c r="G2548" s="14"/>
      <c r="H2548" s="23"/>
      <c r="I2548" s="27"/>
      <c r="J2548" s="23"/>
      <c r="K2548" s="30"/>
      <c r="L2548" s="23"/>
      <c r="M2548" s="20"/>
      <c r="N2548" s="20"/>
      <c r="O2548" s="20"/>
      <c r="P2548" s="20"/>
    </row>
    <row r="2549">
      <c r="A2549" s="10"/>
      <c r="B2549" s="11"/>
      <c r="C2549" s="10"/>
      <c r="D2549" s="13"/>
      <c r="E2549" s="14"/>
      <c r="F2549" s="14"/>
      <c r="G2549" s="14"/>
      <c r="H2549" s="10"/>
      <c r="I2549" s="17"/>
      <c r="J2549" s="10"/>
      <c r="K2549" s="46"/>
      <c r="L2549" s="10"/>
      <c r="M2549" s="20"/>
      <c r="N2549" s="20"/>
      <c r="O2549" s="20"/>
      <c r="P2549" s="20"/>
    </row>
    <row r="2550">
      <c r="A2550" s="23"/>
      <c r="B2550" s="21"/>
      <c r="C2550" s="23"/>
      <c r="D2550" s="24"/>
      <c r="E2550" s="14"/>
      <c r="F2550" s="14"/>
      <c r="G2550" s="14"/>
      <c r="H2550" s="23"/>
      <c r="I2550" s="27"/>
      <c r="J2550" s="23"/>
      <c r="K2550" s="30"/>
      <c r="L2550" s="23"/>
      <c r="M2550" s="20"/>
      <c r="N2550" s="20"/>
      <c r="O2550" s="20"/>
      <c r="P2550" s="20"/>
    </row>
    <row r="2551">
      <c r="A2551" s="10"/>
      <c r="B2551" s="11"/>
      <c r="C2551" s="10"/>
      <c r="D2551" s="13"/>
      <c r="E2551" s="14"/>
      <c r="F2551" s="14"/>
      <c r="G2551" s="14"/>
      <c r="H2551" s="10"/>
      <c r="I2551" s="17"/>
      <c r="J2551" s="10"/>
      <c r="K2551" s="46"/>
      <c r="L2551" s="10"/>
      <c r="M2551" s="20"/>
      <c r="N2551" s="20"/>
      <c r="O2551" s="20"/>
      <c r="P2551" s="20"/>
    </row>
    <row r="2552">
      <c r="A2552" s="23"/>
      <c r="B2552" s="21"/>
      <c r="C2552" s="23"/>
      <c r="D2552" s="24"/>
      <c r="E2552" s="14"/>
      <c r="F2552" s="14"/>
      <c r="G2552" s="14"/>
      <c r="H2552" s="23"/>
      <c r="I2552" s="27"/>
      <c r="J2552" s="23"/>
      <c r="K2552" s="30"/>
      <c r="L2552" s="23"/>
      <c r="M2552" s="20"/>
      <c r="N2552" s="20"/>
      <c r="O2552" s="20"/>
      <c r="P2552" s="20"/>
    </row>
    <row r="2553">
      <c r="A2553" s="10"/>
      <c r="B2553" s="11"/>
      <c r="C2553" s="10"/>
      <c r="D2553" s="13"/>
      <c r="E2553" s="14"/>
      <c r="F2553" s="14"/>
      <c r="G2553" s="14"/>
      <c r="H2553" s="10"/>
      <c r="I2553" s="17"/>
      <c r="J2553" s="10"/>
      <c r="K2553" s="46"/>
      <c r="L2553" s="10"/>
      <c r="M2553" s="20"/>
      <c r="N2553" s="20"/>
      <c r="O2553" s="20"/>
      <c r="P2553" s="20"/>
    </row>
    <row r="2554">
      <c r="A2554" s="23"/>
      <c r="B2554" s="21"/>
      <c r="C2554" s="23"/>
      <c r="D2554" s="24"/>
      <c r="E2554" s="14"/>
      <c r="F2554" s="14"/>
      <c r="G2554" s="14"/>
      <c r="H2554" s="23"/>
      <c r="I2554" s="27"/>
      <c r="J2554" s="23"/>
      <c r="K2554" s="30"/>
      <c r="L2554" s="23"/>
      <c r="M2554" s="20"/>
      <c r="N2554" s="20"/>
      <c r="O2554" s="20"/>
      <c r="P2554" s="20"/>
    </row>
    <row r="2555">
      <c r="A2555" s="10"/>
      <c r="B2555" s="11"/>
      <c r="C2555" s="10"/>
      <c r="D2555" s="13"/>
      <c r="E2555" s="14"/>
      <c r="F2555" s="14"/>
      <c r="G2555" s="14"/>
      <c r="H2555" s="10"/>
      <c r="I2555" s="17"/>
      <c r="J2555" s="10"/>
      <c r="K2555" s="46"/>
      <c r="L2555" s="10"/>
      <c r="M2555" s="20"/>
      <c r="N2555" s="20"/>
      <c r="O2555" s="20"/>
      <c r="P2555" s="20"/>
    </row>
    <row r="2556">
      <c r="A2556" s="23"/>
      <c r="B2556" s="21"/>
      <c r="C2556" s="23"/>
      <c r="D2556" s="24"/>
      <c r="E2556" s="14"/>
      <c r="F2556" s="14"/>
      <c r="G2556" s="14"/>
      <c r="H2556" s="23"/>
      <c r="I2556" s="27"/>
      <c r="J2556" s="23"/>
      <c r="K2556" s="30"/>
      <c r="L2556" s="23"/>
      <c r="M2556" s="20"/>
      <c r="N2556" s="20"/>
      <c r="O2556" s="20"/>
      <c r="P2556" s="20"/>
    </row>
    <row r="2557">
      <c r="A2557" s="10"/>
      <c r="B2557" s="11"/>
      <c r="C2557" s="10"/>
      <c r="D2557" s="13"/>
      <c r="E2557" s="14"/>
      <c r="F2557" s="14"/>
      <c r="G2557" s="14"/>
      <c r="H2557" s="10"/>
      <c r="I2557" s="17"/>
      <c r="J2557" s="10"/>
      <c r="K2557" s="46"/>
      <c r="L2557" s="10"/>
      <c r="M2557" s="20"/>
      <c r="N2557" s="20"/>
      <c r="O2557" s="20"/>
      <c r="P2557" s="20"/>
    </row>
    <row r="2558">
      <c r="A2558" s="23"/>
      <c r="B2558" s="21"/>
      <c r="C2558" s="23"/>
      <c r="D2558" s="24"/>
      <c r="E2558" s="14"/>
      <c r="F2558" s="14"/>
      <c r="G2558" s="14"/>
      <c r="H2558" s="23"/>
      <c r="I2558" s="27"/>
      <c r="J2558" s="23"/>
      <c r="K2558" s="30"/>
      <c r="L2558" s="23"/>
      <c r="M2558" s="20"/>
      <c r="N2558" s="20"/>
      <c r="O2558" s="20"/>
      <c r="P2558" s="20"/>
    </row>
    <row r="2559">
      <c r="A2559" s="10"/>
      <c r="B2559" s="11"/>
      <c r="C2559" s="10"/>
      <c r="D2559" s="13"/>
      <c r="E2559" s="14"/>
      <c r="F2559" s="14"/>
      <c r="G2559" s="14"/>
      <c r="H2559" s="10"/>
      <c r="I2559" s="17"/>
      <c r="J2559" s="10"/>
      <c r="K2559" s="46"/>
      <c r="L2559" s="10"/>
      <c r="M2559" s="20"/>
      <c r="N2559" s="20"/>
      <c r="O2559" s="20"/>
      <c r="P2559" s="20"/>
    </row>
    <row r="2560">
      <c r="A2560" s="23"/>
      <c r="B2560" s="21"/>
      <c r="C2560" s="23"/>
      <c r="D2560" s="24"/>
      <c r="E2560" s="14"/>
      <c r="F2560" s="14"/>
      <c r="G2560" s="14"/>
      <c r="H2560" s="23"/>
      <c r="I2560" s="27"/>
      <c r="J2560" s="23"/>
      <c r="K2560" s="30"/>
      <c r="L2560" s="23"/>
      <c r="M2560" s="20"/>
      <c r="N2560" s="20"/>
      <c r="O2560" s="20"/>
      <c r="P2560" s="20"/>
    </row>
    <row r="2561">
      <c r="A2561" s="10"/>
      <c r="B2561" s="11"/>
      <c r="C2561" s="10"/>
      <c r="D2561" s="13"/>
      <c r="E2561" s="14"/>
      <c r="F2561" s="14"/>
      <c r="G2561" s="14"/>
      <c r="H2561" s="10"/>
      <c r="I2561" s="17"/>
      <c r="J2561" s="10"/>
      <c r="K2561" s="46"/>
      <c r="L2561" s="10"/>
      <c r="M2561" s="20"/>
      <c r="N2561" s="20"/>
      <c r="O2561" s="20"/>
      <c r="P2561" s="20"/>
    </row>
    <row r="2562">
      <c r="A2562" s="23"/>
      <c r="B2562" s="21"/>
      <c r="C2562" s="23"/>
      <c r="D2562" s="24"/>
      <c r="E2562" s="14"/>
      <c r="F2562" s="14"/>
      <c r="G2562" s="14"/>
      <c r="H2562" s="23"/>
      <c r="I2562" s="27"/>
      <c r="J2562" s="23"/>
      <c r="K2562" s="30"/>
      <c r="L2562" s="23"/>
      <c r="M2562" s="20"/>
      <c r="N2562" s="20"/>
      <c r="O2562" s="20"/>
      <c r="P2562" s="20"/>
    </row>
    <row r="2563">
      <c r="A2563" s="10"/>
      <c r="B2563" s="11"/>
      <c r="C2563" s="10"/>
      <c r="D2563" s="13"/>
      <c r="E2563" s="14"/>
      <c r="F2563" s="14"/>
      <c r="G2563" s="14"/>
      <c r="H2563" s="10"/>
      <c r="I2563" s="17"/>
      <c r="J2563" s="10"/>
      <c r="K2563" s="46"/>
      <c r="L2563" s="10"/>
      <c r="M2563" s="20"/>
      <c r="N2563" s="20"/>
      <c r="O2563" s="20"/>
      <c r="P2563" s="20"/>
    </row>
    <row r="2564">
      <c r="A2564" s="23"/>
      <c r="B2564" s="21"/>
      <c r="C2564" s="23"/>
      <c r="D2564" s="24"/>
      <c r="E2564" s="14"/>
      <c r="F2564" s="14"/>
      <c r="G2564" s="14"/>
      <c r="H2564" s="23"/>
      <c r="I2564" s="27"/>
      <c r="J2564" s="23"/>
      <c r="K2564" s="30"/>
      <c r="L2564" s="23"/>
      <c r="M2564" s="20"/>
      <c r="N2564" s="20"/>
      <c r="O2564" s="20"/>
      <c r="P2564" s="20"/>
    </row>
    <row r="2565">
      <c r="A2565" s="10"/>
      <c r="B2565" s="11"/>
      <c r="C2565" s="10"/>
      <c r="D2565" s="13"/>
      <c r="E2565" s="14"/>
      <c r="F2565" s="14"/>
      <c r="G2565" s="14"/>
      <c r="H2565" s="10"/>
      <c r="I2565" s="17"/>
      <c r="J2565" s="10"/>
      <c r="K2565" s="46"/>
      <c r="L2565" s="10"/>
      <c r="M2565" s="20"/>
      <c r="N2565" s="20"/>
      <c r="O2565" s="20"/>
      <c r="P2565" s="20"/>
    </row>
    <row r="2566">
      <c r="A2566" s="23"/>
      <c r="B2566" s="21"/>
      <c r="C2566" s="23"/>
      <c r="D2566" s="24"/>
      <c r="E2566" s="14"/>
      <c r="F2566" s="14"/>
      <c r="G2566" s="14"/>
      <c r="H2566" s="23"/>
      <c r="I2566" s="27"/>
      <c r="J2566" s="23"/>
      <c r="K2566" s="30"/>
      <c r="L2566" s="23"/>
      <c r="M2566" s="20"/>
      <c r="N2566" s="20"/>
      <c r="O2566" s="20"/>
      <c r="P2566" s="20"/>
    </row>
    <row r="2567">
      <c r="A2567" s="10"/>
      <c r="B2567" s="11"/>
      <c r="C2567" s="10"/>
      <c r="D2567" s="13"/>
      <c r="E2567" s="14"/>
      <c r="F2567" s="14"/>
      <c r="G2567" s="14"/>
      <c r="H2567" s="10"/>
      <c r="I2567" s="17"/>
      <c r="J2567" s="10"/>
      <c r="K2567" s="46"/>
      <c r="L2567" s="10"/>
      <c r="M2567" s="20"/>
      <c r="N2567" s="20"/>
      <c r="O2567" s="20"/>
      <c r="P2567" s="20"/>
    </row>
    <row r="2568">
      <c r="A2568" s="23"/>
      <c r="B2568" s="21"/>
      <c r="C2568" s="23"/>
      <c r="D2568" s="24"/>
      <c r="E2568" s="14"/>
      <c r="F2568" s="14"/>
      <c r="G2568" s="14"/>
      <c r="H2568" s="23"/>
      <c r="I2568" s="27"/>
      <c r="J2568" s="23"/>
      <c r="K2568" s="30"/>
      <c r="L2568" s="23"/>
      <c r="M2568" s="20"/>
      <c r="N2568" s="20"/>
      <c r="O2568" s="20"/>
      <c r="P2568" s="20"/>
    </row>
    <row r="2569">
      <c r="A2569" s="10"/>
      <c r="B2569" s="11"/>
      <c r="C2569" s="10"/>
      <c r="D2569" s="13"/>
      <c r="E2569" s="14"/>
      <c r="F2569" s="14"/>
      <c r="G2569" s="14"/>
      <c r="H2569" s="10"/>
      <c r="I2569" s="17"/>
      <c r="J2569" s="10"/>
      <c r="K2569" s="46"/>
      <c r="L2569" s="10"/>
      <c r="M2569" s="20"/>
      <c r="N2569" s="20"/>
      <c r="O2569" s="20"/>
      <c r="P2569" s="20"/>
    </row>
    <row r="2570">
      <c r="A2570" s="23"/>
      <c r="B2570" s="21"/>
      <c r="C2570" s="23"/>
      <c r="D2570" s="24"/>
      <c r="E2570" s="14"/>
      <c r="F2570" s="14"/>
      <c r="G2570" s="14"/>
      <c r="H2570" s="23"/>
      <c r="I2570" s="27"/>
      <c r="J2570" s="23"/>
      <c r="K2570" s="30"/>
      <c r="L2570" s="23"/>
      <c r="M2570" s="20"/>
      <c r="N2570" s="20"/>
      <c r="O2570" s="20"/>
      <c r="P2570" s="20"/>
    </row>
    <row r="2571">
      <c r="A2571" s="10"/>
      <c r="B2571" s="11"/>
      <c r="C2571" s="10"/>
      <c r="D2571" s="13"/>
      <c r="E2571" s="14"/>
      <c r="F2571" s="14"/>
      <c r="G2571" s="14"/>
      <c r="H2571" s="10"/>
      <c r="I2571" s="17"/>
      <c r="J2571" s="10"/>
      <c r="K2571" s="46"/>
      <c r="L2571" s="10"/>
      <c r="M2571" s="20"/>
      <c r="N2571" s="20"/>
      <c r="O2571" s="20"/>
      <c r="P2571" s="20"/>
    </row>
    <row r="2572">
      <c r="A2572" s="23"/>
      <c r="B2572" s="21"/>
      <c r="C2572" s="23"/>
      <c r="D2572" s="24"/>
      <c r="E2572" s="14"/>
      <c r="F2572" s="14"/>
      <c r="G2572" s="14"/>
      <c r="H2572" s="23"/>
      <c r="I2572" s="27"/>
      <c r="J2572" s="23"/>
      <c r="K2572" s="30"/>
      <c r="L2572" s="23"/>
      <c r="M2572" s="20"/>
      <c r="N2572" s="20"/>
      <c r="O2572" s="20"/>
      <c r="P2572" s="20"/>
    </row>
    <row r="2573">
      <c r="A2573" s="10"/>
      <c r="B2573" s="11"/>
      <c r="C2573" s="10"/>
      <c r="D2573" s="13"/>
      <c r="E2573" s="14"/>
      <c r="F2573" s="14"/>
      <c r="G2573" s="14"/>
      <c r="H2573" s="10"/>
      <c r="I2573" s="17"/>
      <c r="J2573" s="10"/>
      <c r="K2573" s="46"/>
      <c r="L2573" s="10"/>
      <c r="M2573" s="20"/>
      <c r="N2573" s="20"/>
      <c r="O2573" s="20"/>
      <c r="P2573" s="20"/>
    </row>
    <row r="2574">
      <c r="A2574" s="23"/>
      <c r="B2574" s="21"/>
      <c r="C2574" s="23"/>
      <c r="D2574" s="24"/>
      <c r="E2574" s="14"/>
      <c r="F2574" s="14"/>
      <c r="G2574" s="14"/>
      <c r="H2574" s="23"/>
      <c r="I2574" s="27"/>
      <c r="J2574" s="23"/>
      <c r="K2574" s="30"/>
      <c r="L2574" s="23"/>
      <c r="M2574" s="20"/>
      <c r="N2574" s="20"/>
      <c r="O2574" s="20"/>
      <c r="P2574" s="20"/>
    </row>
    <row r="2575">
      <c r="A2575" s="10"/>
      <c r="B2575" s="11"/>
      <c r="C2575" s="10"/>
      <c r="D2575" s="13"/>
      <c r="E2575" s="14"/>
      <c r="F2575" s="14"/>
      <c r="G2575" s="14"/>
      <c r="H2575" s="10"/>
      <c r="I2575" s="17"/>
      <c r="J2575" s="10"/>
      <c r="K2575" s="46"/>
      <c r="L2575" s="10"/>
      <c r="M2575" s="20"/>
      <c r="N2575" s="20"/>
      <c r="O2575" s="20"/>
      <c r="P2575" s="20"/>
    </row>
    <row r="2576">
      <c r="A2576" s="23"/>
      <c r="B2576" s="21"/>
      <c r="C2576" s="23"/>
      <c r="D2576" s="24"/>
      <c r="E2576" s="14"/>
      <c r="F2576" s="14"/>
      <c r="G2576" s="14"/>
      <c r="H2576" s="23"/>
      <c r="I2576" s="27"/>
      <c r="J2576" s="23"/>
      <c r="K2576" s="30"/>
      <c r="L2576" s="23"/>
      <c r="M2576" s="20"/>
      <c r="N2576" s="20"/>
      <c r="O2576" s="20"/>
      <c r="P2576" s="20"/>
    </row>
    <row r="2577">
      <c r="A2577" s="10"/>
      <c r="B2577" s="11"/>
      <c r="C2577" s="10"/>
      <c r="D2577" s="13"/>
      <c r="E2577" s="14"/>
      <c r="F2577" s="14"/>
      <c r="G2577" s="14"/>
      <c r="H2577" s="10"/>
      <c r="I2577" s="17"/>
      <c r="J2577" s="10"/>
      <c r="K2577" s="46"/>
      <c r="L2577" s="10"/>
      <c r="M2577" s="20"/>
      <c r="N2577" s="20"/>
      <c r="O2577" s="20"/>
      <c r="P2577" s="20"/>
    </row>
    <row r="2578">
      <c r="A2578" s="23"/>
      <c r="B2578" s="21"/>
      <c r="C2578" s="23"/>
      <c r="D2578" s="24"/>
      <c r="E2578" s="14"/>
      <c r="F2578" s="14"/>
      <c r="G2578" s="14"/>
      <c r="H2578" s="23"/>
      <c r="I2578" s="27"/>
      <c r="J2578" s="23"/>
      <c r="K2578" s="30"/>
      <c r="L2578" s="23"/>
      <c r="M2578" s="20"/>
      <c r="N2578" s="20"/>
      <c r="O2578" s="20"/>
      <c r="P2578" s="20"/>
    </row>
    <row r="2579">
      <c r="A2579" s="10"/>
      <c r="B2579" s="11"/>
      <c r="C2579" s="10"/>
      <c r="D2579" s="13"/>
      <c r="E2579" s="14"/>
      <c r="F2579" s="14"/>
      <c r="G2579" s="14"/>
      <c r="H2579" s="10"/>
      <c r="I2579" s="17"/>
      <c r="J2579" s="10"/>
      <c r="K2579" s="46"/>
      <c r="L2579" s="10"/>
      <c r="M2579" s="20"/>
      <c r="N2579" s="20"/>
      <c r="O2579" s="20"/>
      <c r="P2579" s="20"/>
    </row>
    <row r="2580">
      <c r="A2580" s="23"/>
      <c r="B2580" s="21"/>
      <c r="C2580" s="23"/>
      <c r="D2580" s="24"/>
      <c r="E2580" s="14"/>
      <c r="F2580" s="14"/>
      <c r="G2580" s="14"/>
      <c r="H2580" s="23"/>
      <c r="I2580" s="27"/>
      <c r="J2580" s="23"/>
      <c r="K2580" s="30"/>
      <c r="L2580" s="23"/>
      <c r="M2580" s="20"/>
      <c r="N2580" s="20"/>
      <c r="O2580" s="20"/>
      <c r="P2580" s="20"/>
    </row>
    <row r="2581">
      <c r="A2581" s="10"/>
      <c r="B2581" s="11"/>
      <c r="C2581" s="10"/>
      <c r="D2581" s="13"/>
      <c r="E2581" s="14"/>
      <c r="F2581" s="14"/>
      <c r="G2581" s="14"/>
      <c r="H2581" s="10"/>
      <c r="I2581" s="17"/>
      <c r="J2581" s="10"/>
      <c r="K2581" s="46"/>
      <c r="L2581" s="10"/>
      <c r="M2581" s="20"/>
      <c r="N2581" s="20"/>
      <c r="O2581" s="20"/>
      <c r="P2581" s="20"/>
    </row>
    <row r="2582">
      <c r="A2582" s="23"/>
      <c r="B2582" s="21"/>
      <c r="C2582" s="23"/>
      <c r="D2582" s="24"/>
      <c r="E2582" s="14"/>
      <c r="F2582" s="14"/>
      <c r="G2582" s="14"/>
      <c r="H2582" s="23"/>
      <c r="I2582" s="27"/>
      <c r="J2582" s="23"/>
      <c r="K2582" s="30"/>
      <c r="L2582" s="23"/>
      <c r="M2582" s="20"/>
      <c r="N2582" s="20"/>
      <c r="O2582" s="20"/>
      <c r="P2582" s="20"/>
    </row>
    <row r="2583">
      <c r="A2583" s="10"/>
      <c r="B2583" s="11"/>
      <c r="C2583" s="10"/>
      <c r="D2583" s="13"/>
      <c r="E2583" s="14"/>
      <c r="F2583" s="14"/>
      <c r="G2583" s="14"/>
      <c r="H2583" s="10"/>
      <c r="I2583" s="17"/>
      <c r="J2583" s="10"/>
      <c r="K2583" s="46"/>
      <c r="L2583" s="10"/>
      <c r="M2583" s="20"/>
      <c r="N2583" s="20"/>
      <c r="O2583" s="20"/>
      <c r="P2583" s="20"/>
    </row>
    <row r="2584">
      <c r="A2584" s="23"/>
      <c r="B2584" s="21"/>
      <c r="C2584" s="23"/>
      <c r="D2584" s="24"/>
      <c r="E2584" s="14"/>
      <c r="F2584" s="14"/>
      <c r="G2584" s="14"/>
      <c r="H2584" s="23"/>
      <c r="I2584" s="27"/>
      <c r="J2584" s="23"/>
      <c r="K2584" s="30"/>
      <c r="L2584" s="23"/>
      <c r="M2584" s="20"/>
      <c r="N2584" s="20"/>
      <c r="O2584" s="20"/>
      <c r="P2584" s="20"/>
    </row>
    <row r="2585">
      <c r="A2585" s="10"/>
      <c r="B2585" s="11"/>
      <c r="C2585" s="10"/>
      <c r="D2585" s="13"/>
      <c r="E2585" s="14"/>
      <c r="F2585" s="14"/>
      <c r="G2585" s="14"/>
      <c r="H2585" s="10"/>
      <c r="I2585" s="17"/>
      <c r="J2585" s="10"/>
      <c r="K2585" s="46"/>
      <c r="L2585" s="10"/>
      <c r="M2585" s="20"/>
      <c r="N2585" s="20"/>
      <c r="O2585" s="20"/>
      <c r="P2585" s="20"/>
    </row>
    <row r="2586">
      <c r="A2586" s="23"/>
      <c r="B2586" s="21"/>
      <c r="C2586" s="23"/>
      <c r="D2586" s="24"/>
      <c r="E2586" s="14"/>
      <c r="F2586" s="14"/>
      <c r="G2586" s="14"/>
      <c r="H2586" s="23"/>
      <c r="I2586" s="27"/>
      <c r="J2586" s="23"/>
      <c r="K2586" s="30"/>
      <c r="L2586" s="23"/>
      <c r="M2586" s="20"/>
      <c r="N2586" s="20"/>
      <c r="O2586" s="20"/>
      <c r="P2586" s="20"/>
    </row>
    <row r="2587">
      <c r="A2587" s="10"/>
      <c r="B2587" s="11"/>
      <c r="C2587" s="10"/>
      <c r="D2587" s="13"/>
      <c r="E2587" s="14"/>
      <c r="F2587" s="14"/>
      <c r="G2587" s="14"/>
      <c r="H2587" s="10"/>
      <c r="I2587" s="17"/>
      <c r="J2587" s="10"/>
      <c r="K2587" s="46"/>
      <c r="L2587" s="10"/>
      <c r="M2587" s="20"/>
      <c r="N2587" s="20"/>
      <c r="O2587" s="20"/>
      <c r="P2587" s="20"/>
    </row>
    <row r="2588">
      <c r="A2588" s="23"/>
      <c r="B2588" s="21"/>
      <c r="C2588" s="23"/>
      <c r="D2588" s="24"/>
      <c r="E2588" s="14"/>
      <c r="F2588" s="14"/>
      <c r="G2588" s="14"/>
      <c r="H2588" s="23"/>
      <c r="I2588" s="27"/>
      <c r="J2588" s="23"/>
      <c r="K2588" s="30"/>
      <c r="L2588" s="23"/>
      <c r="M2588" s="20"/>
      <c r="N2588" s="20"/>
      <c r="O2588" s="20"/>
      <c r="P2588" s="20"/>
    </row>
    <row r="2589">
      <c r="A2589" s="10"/>
      <c r="B2589" s="11"/>
      <c r="C2589" s="10"/>
      <c r="D2589" s="13"/>
      <c r="E2589" s="14"/>
      <c r="F2589" s="14"/>
      <c r="G2589" s="14"/>
      <c r="H2589" s="10"/>
      <c r="I2589" s="17"/>
      <c r="J2589" s="10"/>
      <c r="K2589" s="46"/>
      <c r="L2589" s="10"/>
      <c r="M2589" s="20"/>
      <c r="N2589" s="20"/>
      <c r="O2589" s="20"/>
      <c r="P2589" s="20"/>
    </row>
    <row r="2590">
      <c r="A2590" s="23"/>
      <c r="B2590" s="21"/>
      <c r="C2590" s="23"/>
      <c r="D2590" s="24"/>
      <c r="E2590" s="14"/>
      <c r="F2590" s="14"/>
      <c r="G2590" s="14"/>
      <c r="H2590" s="23"/>
      <c r="I2590" s="27"/>
      <c r="J2590" s="23"/>
      <c r="K2590" s="30"/>
      <c r="L2590" s="23"/>
      <c r="M2590" s="20"/>
      <c r="N2590" s="20"/>
      <c r="O2590" s="20"/>
      <c r="P2590" s="20"/>
    </row>
    <row r="2591">
      <c r="A2591" s="10"/>
      <c r="B2591" s="11"/>
      <c r="C2591" s="10"/>
      <c r="D2591" s="13"/>
      <c r="E2591" s="14"/>
      <c r="F2591" s="14"/>
      <c r="G2591" s="14"/>
      <c r="H2591" s="10"/>
      <c r="I2591" s="17"/>
      <c r="J2591" s="10"/>
      <c r="K2591" s="46"/>
      <c r="L2591" s="10"/>
      <c r="M2591" s="20"/>
      <c r="N2591" s="20"/>
      <c r="O2591" s="20"/>
      <c r="P2591" s="20"/>
    </row>
    <row r="2592">
      <c r="A2592" s="23"/>
      <c r="B2592" s="21"/>
      <c r="C2592" s="23"/>
      <c r="D2592" s="24"/>
      <c r="E2592" s="14"/>
      <c r="F2592" s="14"/>
      <c r="G2592" s="14"/>
      <c r="H2592" s="23"/>
      <c r="I2592" s="27"/>
      <c r="J2592" s="23"/>
      <c r="K2592" s="30"/>
      <c r="L2592" s="23"/>
      <c r="M2592" s="20"/>
      <c r="N2592" s="20"/>
      <c r="O2592" s="20"/>
      <c r="P2592" s="20"/>
    </row>
    <row r="2593">
      <c r="A2593" s="10"/>
      <c r="B2593" s="11"/>
      <c r="C2593" s="10"/>
      <c r="D2593" s="13"/>
      <c r="E2593" s="14"/>
      <c r="F2593" s="14"/>
      <c r="G2593" s="14"/>
      <c r="H2593" s="10"/>
      <c r="I2593" s="17"/>
      <c r="J2593" s="10"/>
      <c r="K2593" s="46"/>
      <c r="L2593" s="10"/>
      <c r="M2593" s="20"/>
      <c r="N2593" s="20"/>
      <c r="O2593" s="20"/>
      <c r="P2593" s="20"/>
    </row>
    <row r="2594">
      <c r="A2594" s="23"/>
      <c r="B2594" s="21"/>
      <c r="C2594" s="23"/>
      <c r="D2594" s="24"/>
      <c r="E2594" s="14"/>
      <c r="F2594" s="14"/>
      <c r="G2594" s="14"/>
      <c r="H2594" s="23"/>
      <c r="I2594" s="27"/>
      <c r="J2594" s="23"/>
      <c r="K2594" s="30"/>
      <c r="L2594" s="23"/>
      <c r="M2594" s="20"/>
      <c r="N2594" s="20"/>
      <c r="O2594" s="20"/>
      <c r="P2594" s="20"/>
    </row>
    <row r="2595">
      <c r="A2595" s="10"/>
      <c r="B2595" s="11"/>
      <c r="C2595" s="10"/>
      <c r="D2595" s="13"/>
      <c r="E2595" s="14"/>
      <c r="F2595" s="14"/>
      <c r="G2595" s="14"/>
      <c r="H2595" s="10"/>
      <c r="I2595" s="17"/>
      <c r="J2595" s="10"/>
      <c r="K2595" s="46"/>
      <c r="L2595" s="10"/>
      <c r="M2595" s="20"/>
      <c r="N2595" s="20"/>
      <c r="O2595" s="20"/>
      <c r="P2595" s="20"/>
    </row>
    <row r="2596">
      <c r="A2596" s="23"/>
      <c r="B2596" s="21"/>
      <c r="C2596" s="23"/>
      <c r="D2596" s="24"/>
      <c r="E2596" s="14"/>
      <c r="F2596" s="14"/>
      <c r="G2596" s="14"/>
      <c r="H2596" s="23"/>
      <c r="I2596" s="27"/>
      <c r="J2596" s="23"/>
      <c r="K2596" s="30"/>
      <c r="L2596" s="23"/>
      <c r="M2596" s="20"/>
      <c r="N2596" s="20"/>
      <c r="O2596" s="20"/>
      <c r="P2596" s="20"/>
    </row>
    <row r="2597">
      <c r="A2597" s="10"/>
      <c r="B2597" s="11"/>
      <c r="C2597" s="10"/>
      <c r="D2597" s="13"/>
      <c r="E2597" s="14"/>
      <c r="F2597" s="14"/>
      <c r="G2597" s="14"/>
      <c r="H2597" s="10"/>
      <c r="I2597" s="17"/>
      <c r="J2597" s="10"/>
      <c r="K2597" s="46"/>
      <c r="L2597" s="10"/>
      <c r="M2597" s="20"/>
      <c r="N2597" s="20"/>
      <c r="O2597" s="20"/>
      <c r="P2597" s="20"/>
    </row>
    <row r="2598">
      <c r="A2598" s="23"/>
      <c r="B2598" s="21"/>
      <c r="C2598" s="23"/>
      <c r="D2598" s="24"/>
      <c r="E2598" s="14"/>
      <c r="F2598" s="14"/>
      <c r="G2598" s="14"/>
      <c r="H2598" s="23"/>
      <c r="I2598" s="27"/>
      <c r="J2598" s="23"/>
      <c r="K2598" s="30"/>
      <c r="L2598" s="23"/>
      <c r="M2598" s="20"/>
      <c r="N2598" s="20"/>
      <c r="O2598" s="20"/>
      <c r="P2598" s="20"/>
    </row>
    <row r="2599">
      <c r="A2599" s="10"/>
      <c r="B2599" s="11"/>
      <c r="C2599" s="10"/>
      <c r="D2599" s="13"/>
      <c r="E2599" s="14"/>
      <c r="F2599" s="14"/>
      <c r="G2599" s="14"/>
      <c r="H2599" s="10"/>
      <c r="I2599" s="17"/>
      <c r="J2599" s="10"/>
      <c r="K2599" s="46"/>
      <c r="L2599" s="10"/>
      <c r="M2599" s="20"/>
      <c r="N2599" s="20"/>
      <c r="O2599" s="20"/>
      <c r="P2599" s="20"/>
    </row>
    <row r="2600">
      <c r="A2600" s="23"/>
      <c r="B2600" s="21"/>
      <c r="C2600" s="23"/>
      <c r="D2600" s="24"/>
      <c r="E2600" s="14"/>
      <c r="F2600" s="14"/>
      <c r="G2600" s="14"/>
      <c r="H2600" s="23"/>
      <c r="I2600" s="27"/>
      <c r="J2600" s="23"/>
      <c r="K2600" s="30"/>
      <c r="L2600" s="23"/>
      <c r="M2600" s="20"/>
      <c r="N2600" s="20"/>
      <c r="O2600" s="20"/>
      <c r="P2600" s="20"/>
    </row>
    <row r="2601">
      <c r="A2601" s="10"/>
      <c r="B2601" s="11"/>
      <c r="C2601" s="10"/>
      <c r="D2601" s="13"/>
      <c r="E2601" s="14"/>
      <c r="F2601" s="14"/>
      <c r="G2601" s="14"/>
      <c r="H2601" s="10"/>
      <c r="I2601" s="17"/>
      <c r="J2601" s="10"/>
      <c r="K2601" s="46"/>
      <c r="L2601" s="10"/>
      <c r="M2601" s="20"/>
      <c r="N2601" s="20"/>
      <c r="O2601" s="20"/>
      <c r="P2601" s="20"/>
    </row>
    <row r="2602">
      <c r="A2602" s="23"/>
      <c r="B2602" s="21"/>
      <c r="C2602" s="23"/>
      <c r="D2602" s="24"/>
      <c r="E2602" s="14"/>
      <c r="F2602" s="14"/>
      <c r="G2602" s="14"/>
      <c r="H2602" s="23"/>
      <c r="I2602" s="27"/>
      <c r="J2602" s="23"/>
      <c r="K2602" s="30"/>
      <c r="L2602" s="23"/>
      <c r="M2602" s="20"/>
      <c r="N2602" s="20"/>
      <c r="O2602" s="20"/>
      <c r="P2602" s="20"/>
    </row>
    <row r="2603">
      <c r="A2603" s="10"/>
      <c r="B2603" s="11"/>
      <c r="C2603" s="10"/>
      <c r="D2603" s="13"/>
      <c r="E2603" s="14"/>
      <c r="F2603" s="14"/>
      <c r="G2603" s="14"/>
      <c r="H2603" s="10"/>
      <c r="I2603" s="17"/>
      <c r="J2603" s="10"/>
      <c r="K2603" s="46"/>
      <c r="L2603" s="10"/>
      <c r="M2603" s="20"/>
      <c r="N2603" s="20"/>
      <c r="O2603" s="20"/>
      <c r="P2603" s="20"/>
    </row>
    <row r="2604">
      <c r="A2604" s="23"/>
      <c r="B2604" s="21"/>
      <c r="C2604" s="23"/>
      <c r="D2604" s="24"/>
      <c r="E2604" s="14"/>
      <c r="F2604" s="14"/>
      <c r="G2604" s="14"/>
      <c r="H2604" s="23"/>
      <c r="I2604" s="27"/>
      <c r="J2604" s="23"/>
      <c r="K2604" s="30"/>
      <c r="L2604" s="23"/>
      <c r="M2604" s="20"/>
      <c r="N2604" s="20"/>
      <c r="O2604" s="20"/>
      <c r="P2604" s="20"/>
    </row>
    <row r="2605">
      <c r="A2605" s="10"/>
      <c r="B2605" s="11"/>
      <c r="C2605" s="10"/>
      <c r="D2605" s="13"/>
      <c r="E2605" s="14"/>
      <c r="F2605" s="14"/>
      <c r="G2605" s="14"/>
      <c r="H2605" s="10"/>
      <c r="I2605" s="17"/>
      <c r="J2605" s="10"/>
      <c r="K2605" s="46"/>
      <c r="L2605" s="10"/>
      <c r="M2605" s="20"/>
      <c r="N2605" s="20"/>
      <c r="O2605" s="20"/>
      <c r="P2605" s="20"/>
    </row>
    <row r="2606">
      <c r="A2606" s="23"/>
      <c r="B2606" s="21"/>
      <c r="C2606" s="23"/>
      <c r="D2606" s="24"/>
      <c r="E2606" s="14"/>
      <c r="F2606" s="14"/>
      <c r="G2606" s="14"/>
      <c r="H2606" s="23"/>
      <c r="I2606" s="27"/>
      <c r="J2606" s="23"/>
      <c r="K2606" s="30"/>
      <c r="L2606" s="23"/>
      <c r="M2606" s="20"/>
      <c r="N2606" s="20"/>
      <c r="O2606" s="20"/>
      <c r="P2606" s="20"/>
    </row>
    <row r="2607">
      <c r="A2607" s="10"/>
      <c r="B2607" s="11"/>
      <c r="C2607" s="10"/>
      <c r="D2607" s="13"/>
      <c r="E2607" s="14"/>
      <c r="F2607" s="14"/>
      <c r="G2607" s="14"/>
      <c r="H2607" s="10"/>
      <c r="I2607" s="17"/>
      <c r="J2607" s="10"/>
      <c r="K2607" s="46"/>
      <c r="L2607" s="10"/>
      <c r="M2607" s="20"/>
      <c r="N2607" s="20"/>
      <c r="O2607" s="20"/>
      <c r="P2607" s="20"/>
    </row>
    <row r="2608">
      <c r="A2608" s="23"/>
      <c r="B2608" s="21"/>
      <c r="C2608" s="23"/>
      <c r="D2608" s="24"/>
      <c r="E2608" s="14"/>
      <c r="F2608" s="14"/>
      <c r="G2608" s="14"/>
      <c r="H2608" s="23"/>
      <c r="I2608" s="27"/>
      <c r="J2608" s="23"/>
      <c r="K2608" s="30"/>
      <c r="L2608" s="23"/>
      <c r="M2608" s="20"/>
      <c r="N2608" s="20"/>
      <c r="O2608" s="20"/>
      <c r="P2608" s="20"/>
    </row>
    <row r="2609">
      <c r="A2609" s="10"/>
      <c r="B2609" s="11"/>
      <c r="C2609" s="10"/>
      <c r="D2609" s="13"/>
      <c r="E2609" s="14"/>
      <c r="F2609" s="14"/>
      <c r="G2609" s="14"/>
      <c r="H2609" s="10"/>
      <c r="I2609" s="17"/>
      <c r="J2609" s="10"/>
      <c r="K2609" s="46"/>
      <c r="L2609" s="10"/>
      <c r="M2609" s="20"/>
      <c r="N2609" s="20"/>
      <c r="O2609" s="20"/>
      <c r="P2609" s="20"/>
    </row>
    <row r="2610">
      <c r="A2610" s="23"/>
      <c r="B2610" s="21"/>
      <c r="C2610" s="23"/>
      <c r="D2610" s="24"/>
      <c r="E2610" s="14"/>
      <c r="F2610" s="14"/>
      <c r="G2610" s="14"/>
      <c r="H2610" s="23"/>
      <c r="I2610" s="27"/>
      <c r="J2610" s="23"/>
      <c r="K2610" s="30"/>
      <c r="L2610" s="23"/>
      <c r="M2610" s="20"/>
      <c r="N2610" s="20"/>
      <c r="O2610" s="20"/>
      <c r="P2610" s="20"/>
    </row>
    <row r="2611">
      <c r="A2611" s="10"/>
      <c r="B2611" s="11"/>
      <c r="C2611" s="10"/>
      <c r="D2611" s="13"/>
      <c r="E2611" s="14"/>
      <c r="F2611" s="14"/>
      <c r="G2611" s="14"/>
      <c r="H2611" s="10"/>
      <c r="I2611" s="17"/>
      <c r="J2611" s="10"/>
      <c r="K2611" s="46"/>
      <c r="L2611" s="10"/>
      <c r="M2611" s="20"/>
      <c r="N2611" s="20"/>
      <c r="O2611" s="20"/>
      <c r="P2611" s="20"/>
    </row>
    <row r="2612">
      <c r="A2612" s="23"/>
      <c r="B2612" s="21"/>
      <c r="C2612" s="23"/>
      <c r="D2612" s="24"/>
      <c r="E2612" s="14"/>
      <c r="F2612" s="14"/>
      <c r="G2612" s="14"/>
      <c r="H2612" s="23"/>
      <c r="I2612" s="27"/>
      <c r="J2612" s="23"/>
      <c r="K2612" s="30"/>
      <c r="L2612" s="23"/>
      <c r="M2612" s="20"/>
      <c r="N2612" s="20"/>
      <c r="O2612" s="20"/>
      <c r="P2612" s="20"/>
    </row>
    <row r="2613">
      <c r="A2613" s="10"/>
      <c r="B2613" s="11"/>
      <c r="C2613" s="10"/>
      <c r="D2613" s="13"/>
      <c r="E2613" s="14"/>
      <c r="F2613" s="14"/>
      <c r="G2613" s="14"/>
      <c r="H2613" s="10"/>
      <c r="I2613" s="17"/>
      <c r="J2613" s="10"/>
      <c r="K2613" s="46"/>
      <c r="L2613" s="10"/>
      <c r="M2613" s="20"/>
      <c r="N2613" s="20"/>
      <c r="O2613" s="20"/>
      <c r="P2613" s="20"/>
    </row>
    <row r="2614">
      <c r="A2614" s="23"/>
      <c r="B2614" s="21"/>
      <c r="C2614" s="23"/>
      <c r="D2614" s="24"/>
      <c r="E2614" s="14"/>
      <c r="F2614" s="14"/>
      <c r="G2614" s="14"/>
      <c r="H2614" s="23"/>
      <c r="I2614" s="27"/>
      <c r="J2614" s="23"/>
      <c r="K2614" s="30"/>
      <c r="L2614" s="23"/>
      <c r="M2614" s="20"/>
      <c r="N2614" s="20"/>
      <c r="O2614" s="20"/>
      <c r="P2614" s="20"/>
    </row>
    <row r="2615">
      <c r="A2615" s="10"/>
      <c r="B2615" s="11"/>
      <c r="C2615" s="10"/>
      <c r="D2615" s="13"/>
      <c r="E2615" s="14"/>
      <c r="F2615" s="14"/>
      <c r="G2615" s="14"/>
      <c r="H2615" s="10"/>
      <c r="I2615" s="17"/>
      <c r="J2615" s="10"/>
      <c r="K2615" s="46"/>
      <c r="L2615" s="10"/>
      <c r="M2615" s="20"/>
      <c r="N2615" s="20"/>
      <c r="O2615" s="20"/>
      <c r="P2615" s="20"/>
    </row>
    <row r="2616">
      <c r="A2616" s="23"/>
      <c r="B2616" s="21"/>
      <c r="C2616" s="23"/>
      <c r="D2616" s="24"/>
      <c r="E2616" s="14"/>
      <c r="F2616" s="14"/>
      <c r="G2616" s="14"/>
      <c r="H2616" s="23"/>
      <c r="I2616" s="27"/>
      <c r="J2616" s="23"/>
      <c r="K2616" s="30"/>
      <c r="L2616" s="23"/>
      <c r="M2616" s="20"/>
      <c r="N2616" s="20"/>
      <c r="O2616" s="20"/>
      <c r="P2616" s="20"/>
    </row>
    <row r="2617">
      <c r="A2617" s="10"/>
      <c r="B2617" s="11"/>
      <c r="C2617" s="10"/>
      <c r="D2617" s="13"/>
      <c r="E2617" s="14"/>
      <c r="F2617" s="14"/>
      <c r="G2617" s="14"/>
      <c r="H2617" s="10"/>
      <c r="I2617" s="17"/>
      <c r="J2617" s="10"/>
      <c r="K2617" s="46"/>
      <c r="L2617" s="10"/>
      <c r="M2617" s="20"/>
      <c r="N2617" s="20"/>
      <c r="O2617" s="20"/>
      <c r="P2617" s="20"/>
    </row>
    <row r="2618">
      <c r="A2618" s="23"/>
      <c r="B2618" s="21"/>
      <c r="C2618" s="23"/>
      <c r="D2618" s="24"/>
      <c r="E2618" s="14"/>
      <c r="F2618" s="14"/>
      <c r="G2618" s="14"/>
      <c r="H2618" s="23"/>
      <c r="I2618" s="27"/>
      <c r="J2618" s="23"/>
      <c r="K2618" s="30"/>
      <c r="L2618" s="23"/>
      <c r="M2618" s="20"/>
      <c r="N2618" s="20"/>
      <c r="O2618" s="20"/>
      <c r="P2618" s="20"/>
    </row>
    <row r="2619">
      <c r="A2619" s="10"/>
      <c r="B2619" s="11"/>
      <c r="C2619" s="10"/>
      <c r="D2619" s="13"/>
      <c r="E2619" s="14"/>
      <c r="F2619" s="14"/>
      <c r="G2619" s="14"/>
      <c r="H2619" s="10"/>
      <c r="I2619" s="17"/>
      <c r="J2619" s="10"/>
      <c r="K2619" s="46"/>
      <c r="L2619" s="10"/>
      <c r="M2619" s="20"/>
      <c r="N2619" s="20"/>
      <c r="O2619" s="20"/>
      <c r="P2619" s="20"/>
    </row>
    <row r="2620">
      <c r="A2620" s="23"/>
      <c r="B2620" s="21"/>
      <c r="C2620" s="23"/>
      <c r="D2620" s="24"/>
      <c r="E2620" s="14"/>
      <c r="F2620" s="14"/>
      <c r="G2620" s="14"/>
      <c r="H2620" s="23"/>
      <c r="I2620" s="27"/>
      <c r="J2620" s="23"/>
      <c r="K2620" s="30"/>
      <c r="L2620" s="23"/>
      <c r="M2620" s="20"/>
      <c r="N2620" s="20"/>
      <c r="O2620" s="20"/>
      <c r="P2620" s="20"/>
    </row>
    <row r="2621">
      <c r="A2621" s="10"/>
      <c r="B2621" s="11"/>
      <c r="C2621" s="10"/>
      <c r="D2621" s="13"/>
      <c r="E2621" s="14"/>
      <c r="F2621" s="14"/>
      <c r="G2621" s="14"/>
      <c r="H2621" s="10"/>
      <c r="I2621" s="17"/>
      <c r="J2621" s="10"/>
      <c r="K2621" s="46"/>
      <c r="L2621" s="10"/>
      <c r="M2621" s="20"/>
      <c r="N2621" s="20"/>
      <c r="O2621" s="20"/>
      <c r="P2621" s="20"/>
    </row>
    <row r="2622">
      <c r="A2622" s="23"/>
      <c r="B2622" s="21"/>
      <c r="C2622" s="23"/>
      <c r="D2622" s="24"/>
      <c r="E2622" s="14"/>
      <c r="F2622" s="14"/>
      <c r="G2622" s="14"/>
      <c r="H2622" s="23"/>
      <c r="I2622" s="27"/>
      <c r="J2622" s="23"/>
      <c r="K2622" s="30"/>
      <c r="L2622" s="23"/>
      <c r="M2622" s="20"/>
      <c r="N2622" s="20"/>
      <c r="O2622" s="20"/>
      <c r="P2622" s="20"/>
    </row>
    <row r="2623">
      <c r="A2623" s="10"/>
      <c r="B2623" s="11"/>
      <c r="C2623" s="10"/>
      <c r="D2623" s="13"/>
      <c r="E2623" s="14"/>
      <c r="F2623" s="14"/>
      <c r="G2623" s="14"/>
      <c r="H2623" s="10"/>
      <c r="I2623" s="17"/>
      <c r="J2623" s="10"/>
      <c r="K2623" s="46"/>
      <c r="L2623" s="10"/>
      <c r="M2623" s="20"/>
      <c r="N2623" s="20"/>
      <c r="O2623" s="20"/>
      <c r="P2623" s="20"/>
    </row>
    <row r="2624">
      <c r="A2624" s="23"/>
      <c r="B2624" s="21"/>
      <c r="C2624" s="23"/>
      <c r="D2624" s="24"/>
      <c r="E2624" s="14"/>
      <c r="F2624" s="14"/>
      <c r="G2624" s="14"/>
      <c r="H2624" s="23"/>
      <c r="I2624" s="27"/>
      <c r="J2624" s="23"/>
      <c r="K2624" s="30"/>
      <c r="L2624" s="23"/>
      <c r="M2624" s="20"/>
      <c r="N2624" s="20"/>
      <c r="O2624" s="20"/>
      <c r="P2624" s="20"/>
    </row>
    <row r="2625">
      <c r="A2625" s="10"/>
      <c r="B2625" s="11"/>
      <c r="C2625" s="10"/>
      <c r="D2625" s="13"/>
      <c r="E2625" s="14"/>
      <c r="F2625" s="14"/>
      <c r="G2625" s="14"/>
      <c r="H2625" s="10"/>
      <c r="I2625" s="17"/>
      <c r="J2625" s="10"/>
      <c r="K2625" s="46"/>
      <c r="L2625" s="10"/>
      <c r="M2625" s="20"/>
      <c r="N2625" s="20"/>
      <c r="O2625" s="20"/>
      <c r="P2625" s="20"/>
    </row>
    <row r="2626">
      <c r="A2626" s="23"/>
      <c r="B2626" s="21"/>
      <c r="C2626" s="23"/>
      <c r="D2626" s="24"/>
      <c r="E2626" s="14"/>
      <c r="F2626" s="14"/>
      <c r="G2626" s="14"/>
      <c r="H2626" s="23"/>
      <c r="I2626" s="27"/>
      <c r="J2626" s="23"/>
      <c r="K2626" s="30"/>
      <c r="L2626" s="23"/>
      <c r="M2626" s="20"/>
      <c r="N2626" s="20"/>
      <c r="O2626" s="20"/>
      <c r="P2626" s="20"/>
    </row>
    <row r="2627">
      <c r="A2627" s="10"/>
      <c r="B2627" s="11"/>
      <c r="C2627" s="10"/>
      <c r="D2627" s="13"/>
      <c r="E2627" s="14"/>
      <c r="F2627" s="14"/>
      <c r="G2627" s="14"/>
      <c r="H2627" s="10"/>
      <c r="I2627" s="17"/>
      <c r="J2627" s="10"/>
      <c r="K2627" s="46"/>
      <c r="L2627" s="10"/>
      <c r="M2627" s="20"/>
      <c r="N2627" s="20"/>
      <c r="O2627" s="20"/>
      <c r="P2627" s="20"/>
    </row>
    <row r="2628">
      <c r="A2628" s="23"/>
      <c r="B2628" s="21"/>
      <c r="C2628" s="23"/>
      <c r="D2628" s="24"/>
      <c r="E2628" s="14"/>
      <c r="F2628" s="14"/>
      <c r="G2628" s="14"/>
      <c r="H2628" s="23"/>
      <c r="I2628" s="27"/>
      <c r="J2628" s="23"/>
      <c r="K2628" s="30"/>
      <c r="L2628" s="23"/>
      <c r="M2628" s="20"/>
      <c r="N2628" s="20"/>
      <c r="O2628" s="20"/>
      <c r="P2628" s="20"/>
    </row>
    <row r="2629">
      <c r="A2629" s="10"/>
      <c r="B2629" s="11"/>
      <c r="C2629" s="10"/>
      <c r="D2629" s="13"/>
      <c r="E2629" s="14"/>
      <c r="F2629" s="14"/>
      <c r="G2629" s="14"/>
      <c r="H2629" s="10"/>
      <c r="I2629" s="17"/>
      <c r="J2629" s="10"/>
      <c r="K2629" s="46"/>
      <c r="L2629" s="10"/>
      <c r="M2629" s="20"/>
      <c r="N2629" s="20"/>
      <c r="O2629" s="20"/>
      <c r="P2629" s="20"/>
    </row>
    <row r="2630">
      <c r="A2630" s="23"/>
      <c r="B2630" s="21"/>
      <c r="C2630" s="23"/>
      <c r="D2630" s="24"/>
      <c r="E2630" s="14"/>
      <c r="F2630" s="14"/>
      <c r="G2630" s="14"/>
      <c r="H2630" s="23"/>
      <c r="I2630" s="27"/>
      <c r="J2630" s="23"/>
      <c r="K2630" s="30"/>
      <c r="L2630" s="23"/>
      <c r="M2630" s="20"/>
      <c r="N2630" s="20"/>
      <c r="O2630" s="20"/>
      <c r="P2630" s="20"/>
    </row>
    <row r="2631">
      <c r="A2631" s="10"/>
      <c r="B2631" s="11"/>
      <c r="C2631" s="10"/>
      <c r="D2631" s="13"/>
      <c r="E2631" s="14"/>
      <c r="F2631" s="14"/>
      <c r="G2631" s="14"/>
      <c r="H2631" s="10"/>
      <c r="I2631" s="17"/>
      <c r="J2631" s="10"/>
      <c r="K2631" s="46"/>
      <c r="L2631" s="10"/>
      <c r="M2631" s="20"/>
      <c r="N2631" s="20"/>
      <c r="O2631" s="20"/>
      <c r="P2631" s="20"/>
    </row>
    <row r="2632">
      <c r="A2632" s="23"/>
      <c r="B2632" s="21"/>
      <c r="C2632" s="23"/>
      <c r="D2632" s="24"/>
      <c r="E2632" s="14"/>
      <c r="F2632" s="14"/>
      <c r="G2632" s="14"/>
      <c r="H2632" s="23"/>
      <c r="I2632" s="27"/>
      <c r="J2632" s="23"/>
      <c r="K2632" s="30"/>
      <c r="L2632" s="23"/>
      <c r="M2632" s="20"/>
      <c r="N2632" s="20"/>
      <c r="O2632" s="20"/>
      <c r="P2632" s="20"/>
    </row>
    <row r="2633">
      <c r="A2633" s="10"/>
      <c r="B2633" s="11"/>
      <c r="C2633" s="10"/>
      <c r="D2633" s="13"/>
      <c r="E2633" s="14"/>
      <c r="F2633" s="14"/>
      <c r="G2633" s="14"/>
      <c r="H2633" s="10"/>
      <c r="I2633" s="17"/>
      <c r="J2633" s="10"/>
      <c r="K2633" s="46"/>
      <c r="L2633" s="10"/>
      <c r="M2633" s="20"/>
      <c r="N2633" s="20"/>
      <c r="O2633" s="20"/>
      <c r="P2633" s="20"/>
    </row>
    <row r="2634">
      <c r="A2634" s="23"/>
      <c r="B2634" s="21"/>
      <c r="C2634" s="23"/>
      <c r="D2634" s="24"/>
      <c r="E2634" s="14"/>
      <c r="F2634" s="14"/>
      <c r="G2634" s="14"/>
      <c r="H2634" s="23"/>
      <c r="I2634" s="27"/>
      <c r="J2634" s="23"/>
      <c r="K2634" s="30"/>
      <c r="L2634" s="23"/>
      <c r="M2634" s="20"/>
      <c r="N2634" s="20"/>
      <c r="O2634" s="20"/>
      <c r="P2634" s="20"/>
    </row>
    <row r="2635">
      <c r="A2635" s="10"/>
      <c r="B2635" s="11"/>
      <c r="C2635" s="10"/>
      <c r="D2635" s="13"/>
      <c r="E2635" s="14"/>
      <c r="F2635" s="14"/>
      <c r="G2635" s="14"/>
      <c r="H2635" s="10"/>
      <c r="I2635" s="17"/>
      <c r="J2635" s="10"/>
      <c r="K2635" s="46"/>
      <c r="L2635" s="10"/>
      <c r="M2635" s="20"/>
      <c r="N2635" s="20"/>
      <c r="O2635" s="20"/>
      <c r="P2635" s="20"/>
    </row>
    <row r="2636">
      <c r="A2636" s="23"/>
      <c r="B2636" s="21"/>
      <c r="C2636" s="23"/>
      <c r="D2636" s="24"/>
      <c r="E2636" s="14"/>
      <c r="F2636" s="14"/>
      <c r="G2636" s="14"/>
      <c r="H2636" s="23"/>
      <c r="I2636" s="27"/>
      <c r="J2636" s="23"/>
      <c r="K2636" s="30"/>
      <c r="L2636" s="23"/>
      <c r="M2636" s="20"/>
      <c r="N2636" s="20"/>
      <c r="O2636" s="20"/>
      <c r="P2636" s="20"/>
    </row>
    <row r="2637">
      <c r="A2637" s="10"/>
      <c r="B2637" s="11"/>
      <c r="C2637" s="10"/>
      <c r="D2637" s="13"/>
      <c r="E2637" s="14"/>
      <c r="F2637" s="14"/>
      <c r="G2637" s="14"/>
      <c r="H2637" s="10"/>
      <c r="I2637" s="17"/>
      <c r="J2637" s="10"/>
      <c r="K2637" s="46"/>
      <c r="L2637" s="10"/>
      <c r="M2637" s="20"/>
      <c r="N2637" s="20"/>
      <c r="O2637" s="20"/>
      <c r="P2637" s="20"/>
    </row>
    <row r="2638">
      <c r="A2638" s="23"/>
      <c r="B2638" s="21"/>
      <c r="C2638" s="23"/>
      <c r="D2638" s="24"/>
      <c r="E2638" s="14"/>
      <c r="F2638" s="14"/>
      <c r="G2638" s="14"/>
      <c r="H2638" s="23"/>
      <c r="I2638" s="27"/>
      <c r="J2638" s="23"/>
      <c r="K2638" s="30"/>
      <c r="L2638" s="23"/>
      <c r="M2638" s="20"/>
      <c r="N2638" s="20"/>
      <c r="O2638" s="20"/>
      <c r="P2638" s="20"/>
    </row>
    <row r="2639">
      <c r="A2639" s="10"/>
      <c r="B2639" s="11"/>
      <c r="C2639" s="10"/>
      <c r="D2639" s="13"/>
      <c r="E2639" s="14"/>
      <c r="F2639" s="14"/>
      <c r="G2639" s="14"/>
      <c r="H2639" s="10"/>
      <c r="I2639" s="17"/>
      <c r="J2639" s="10"/>
      <c r="K2639" s="46"/>
      <c r="L2639" s="10"/>
      <c r="M2639" s="20"/>
      <c r="N2639" s="20"/>
      <c r="O2639" s="20"/>
      <c r="P2639" s="20"/>
    </row>
    <row r="2640">
      <c r="A2640" s="23"/>
      <c r="B2640" s="21"/>
      <c r="C2640" s="23"/>
      <c r="D2640" s="24"/>
      <c r="E2640" s="14"/>
      <c r="F2640" s="14"/>
      <c r="G2640" s="14"/>
      <c r="H2640" s="23"/>
      <c r="I2640" s="27"/>
      <c r="J2640" s="23"/>
      <c r="K2640" s="30"/>
      <c r="L2640" s="23"/>
      <c r="M2640" s="20"/>
      <c r="N2640" s="20"/>
      <c r="O2640" s="20"/>
      <c r="P2640" s="20"/>
    </row>
    <row r="2641">
      <c r="A2641" s="10"/>
      <c r="B2641" s="11"/>
      <c r="C2641" s="10"/>
      <c r="D2641" s="13"/>
      <c r="E2641" s="14"/>
      <c r="F2641" s="14"/>
      <c r="G2641" s="14"/>
      <c r="H2641" s="10"/>
      <c r="I2641" s="17"/>
      <c r="J2641" s="10"/>
      <c r="K2641" s="46"/>
      <c r="L2641" s="10"/>
      <c r="M2641" s="20"/>
      <c r="N2641" s="20"/>
      <c r="O2641" s="20"/>
      <c r="P2641" s="20"/>
    </row>
    <row r="2642">
      <c r="A2642" s="23"/>
      <c r="B2642" s="21"/>
      <c r="C2642" s="23"/>
      <c r="D2642" s="24"/>
      <c r="E2642" s="14"/>
      <c r="F2642" s="14"/>
      <c r="G2642" s="14"/>
      <c r="H2642" s="23"/>
      <c r="I2642" s="27"/>
      <c r="J2642" s="23"/>
      <c r="K2642" s="30"/>
      <c r="L2642" s="23"/>
      <c r="M2642" s="20"/>
      <c r="N2642" s="20"/>
      <c r="O2642" s="20"/>
      <c r="P2642" s="20"/>
    </row>
    <row r="2643">
      <c r="A2643" s="10"/>
      <c r="B2643" s="11"/>
      <c r="C2643" s="10"/>
      <c r="D2643" s="13"/>
      <c r="E2643" s="14"/>
      <c r="F2643" s="14"/>
      <c r="G2643" s="14"/>
      <c r="H2643" s="10"/>
      <c r="I2643" s="17"/>
      <c r="J2643" s="10"/>
      <c r="K2643" s="46"/>
      <c r="L2643" s="10"/>
      <c r="M2643" s="20"/>
      <c r="N2643" s="20"/>
      <c r="O2643" s="20"/>
      <c r="P2643" s="20"/>
    </row>
    <row r="2644">
      <c r="A2644" s="23"/>
      <c r="B2644" s="21"/>
      <c r="C2644" s="23"/>
      <c r="D2644" s="24"/>
      <c r="E2644" s="14"/>
      <c r="F2644" s="14"/>
      <c r="G2644" s="14"/>
      <c r="H2644" s="23"/>
      <c r="I2644" s="27"/>
      <c r="J2644" s="23"/>
      <c r="K2644" s="30"/>
      <c r="L2644" s="23"/>
      <c r="M2644" s="20"/>
      <c r="N2644" s="20"/>
      <c r="O2644" s="20"/>
      <c r="P2644" s="20"/>
    </row>
    <row r="2645">
      <c r="A2645" s="10"/>
      <c r="B2645" s="11"/>
      <c r="C2645" s="10"/>
      <c r="D2645" s="13"/>
      <c r="E2645" s="14"/>
      <c r="F2645" s="14"/>
      <c r="G2645" s="14"/>
      <c r="H2645" s="10"/>
      <c r="I2645" s="17"/>
      <c r="J2645" s="10"/>
      <c r="K2645" s="46"/>
      <c r="L2645" s="10"/>
      <c r="M2645" s="20"/>
      <c r="N2645" s="20"/>
      <c r="O2645" s="20"/>
      <c r="P2645" s="20"/>
    </row>
    <row r="2646">
      <c r="A2646" s="23"/>
      <c r="B2646" s="21"/>
      <c r="C2646" s="23"/>
      <c r="D2646" s="24"/>
      <c r="E2646" s="14"/>
      <c r="F2646" s="14"/>
      <c r="G2646" s="14"/>
      <c r="H2646" s="23"/>
      <c r="I2646" s="27"/>
      <c r="J2646" s="23"/>
      <c r="K2646" s="30"/>
      <c r="L2646" s="23"/>
      <c r="M2646" s="20"/>
      <c r="N2646" s="20"/>
      <c r="O2646" s="20"/>
      <c r="P2646" s="20"/>
    </row>
    <row r="2647">
      <c r="A2647" s="10"/>
      <c r="B2647" s="11"/>
      <c r="C2647" s="10"/>
      <c r="D2647" s="13"/>
      <c r="E2647" s="14"/>
      <c r="F2647" s="14"/>
      <c r="G2647" s="14"/>
      <c r="H2647" s="10"/>
      <c r="I2647" s="17"/>
      <c r="J2647" s="10"/>
      <c r="K2647" s="46"/>
      <c r="L2647" s="10"/>
      <c r="M2647" s="20"/>
      <c r="N2647" s="20"/>
      <c r="O2647" s="20"/>
      <c r="P2647" s="20"/>
    </row>
    <row r="2648">
      <c r="A2648" s="23"/>
      <c r="B2648" s="21"/>
      <c r="C2648" s="23"/>
      <c r="D2648" s="24"/>
      <c r="E2648" s="14"/>
      <c r="F2648" s="14"/>
      <c r="G2648" s="14"/>
      <c r="H2648" s="23"/>
      <c r="I2648" s="27"/>
      <c r="J2648" s="23"/>
      <c r="K2648" s="30"/>
      <c r="L2648" s="23"/>
      <c r="M2648" s="20"/>
      <c r="N2648" s="20"/>
      <c r="O2648" s="20"/>
      <c r="P2648" s="20"/>
    </row>
    <row r="2649">
      <c r="A2649" s="10"/>
      <c r="B2649" s="11"/>
      <c r="C2649" s="10"/>
      <c r="D2649" s="13"/>
      <c r="E2649" s="14"/>
      <c r="F2649" s="14"/>
      <c r="G2649" s="14"/>
      <c r="H2649" s="10"/>
      <c r="I2649" s="17"/>
      <c r="J2649" s="10"/>
      <c r="K2649" s="46"/>
      <c r="L2649" s="10"/>
      <c r="M2649" s="20"/>
      <c r="N2649" s="20"/>
      <c r="O2649" s="20"/>
      <c r="P2649" s="20"/>
    </row>
    <row r="2650">
      <c r="A2650" s="23"/>
      <c r="B2650" s="21"/>
      <c r="C2650" s="23"/>
      <c r="D2650" s="24"/>
      <c r="E2650" s="14"/>
      <c r="F2650" s="14"/>
      <c r="G2650" s="14"/>
      <c r="H2650" s="23"/>
      <c r="I2650" s="27"/>
      <c r="J2650" s="23"/>
      <c r="K2650" s="30"/>
      <c r="L2650" s="23"/>
      <c r="M2650" s="20"/>
      <c r="N2650" s="20"/>
      <c r="O2650" s="20"/>
      <c r="P2650" s="20"/>
    </row>
    <row r="2651">
      <c r="A2651" s="10"/>
      <c r="B2651" s="11"/>
      <c r="C2651" s="10"/>
      <c r="D2651" s="13"/>
      <c r="E2651" s="14"/>
      <c r="F2651" s="14"/>
      <c r="G2651" s="14"/>
      <c r="H2651" s="10"/>
      <c r="I2651" s="17"/>
      <c r="J2651" s="10"/>
      <c r="K2651" s="46"/>
      <c r="L2651" s="10"/>
      <c r="M2651" s="20"/>
      <c r="N2651" s="20"/>
      <c r="O2651" s="20"/>
      <c r="P2651" s="20"/>
    </row>
    <row r="2652">
      <c r="A2652" s="23"/>
      <c r="B2652" s="21"/>
      <c r="C2652" s="23"/>
      <c r="D2652" s="24"/>
      <c r="E2652" s="14"/>
      <c r="F2652" s="14"/>
      <c r="G2652" s="14"/>
      <c r="H2652" s="23"/>
      <c r="I2652" s="27"/>
      <c r="J2652" s="23"/>
      <c r="K2652" s="30"/>
      <c r="L2652" s="23"/>
      <c r="M2652" s="20"/>
      <c r="N2652" s="20"/>
      <c r="O2652" s="20"/>
      <c r="P2652" s="20"/>
    </row>
    <row r="2653">
      <c r="A2653" s="10"/>
      <c r="B2653" s="11"/>
      <c r="C2653" s="10"/>
      <c r="D2653" s="13"/>
      <c r="E2653" s="14"/>
      <c r="F2653" s="14"/>
      <c r="G2653" s="14"/>
      <c r="H2653" s="10"/>
      <c r="I2653" s="17"/>
      <c r="J2653" s="10"/>
      <c r="K2653" s="46"/>
      <c r="L2653" s="10"/>
      <c r="M2653" s="20"/>
      <c r="N2653" s="20"/>
      <c r="O2653" s="20"/>
      <c r="P2653" s="20"/>
    </row>
    <row r="2654">
      <c r="A2654" s="23"/>
      <c r="B2654" s="21"/>
      <c r="C2654" s="23"/>
      <c r="D2654" s="24"/>
      <c r="E2654" s="14"/>
      <c r="F2654" s="14"/>
      <c r="G2654" s="14"/>
      <c r="H2654" s="23"/>
      <c r="I2654" s="27"/>
      <c r="J2654" s="23"/>
      <c r="K2654" s="30"/>
      <c r="L2654" s="23"/>
      <c r="M2654" s="20"/>
      <c r="N2654" s="20"/>
      <c r="O2654" s="20"/>
      <c r="P2654" s="20"/>
    </row>
    <row r="2655">
      <c r="A2655" s="10"/>
      <c r="B2655" s="11"/>
      <c r="C2655" s="10"/>
      <c r="D2655" s="13"/>
      <c r="E2655" s="14"/>
      <c r="F2655" s="14"/>
      <c r="G2655" s="14"/>
      <c r="H2655" s="10"/>
      <c r="I2655" s="17"/>
      <c r="J2655" s="10"/>
      <c r="K2655" s="46"/>
      <c r="L2655" s="10"/>
      <c r="M2655" s="20"/>
      <c r="N2655" s="20"/>
      <c r="O2655" s="20"/>
      <c r="P2655" s="20"/>
    </row>
    <row r="2656">
      <c r="A2656" s="23"/>
      <c r="B2656" s="21"/>
      <c r="C2656" s="23"/>
      <c r="D2656" s="24"/>
      <c r="E2656" s="14"/>
      <c r="F2656" s="14"/>
      <c r="G2656" s="14"/>
      <c r="H2656" s="23"/>
      <c r="I2656" s="27"/>
      <c r="J2656" s="23"/>
      <c r="K2656" s="30"/>
      <c r="L2656" s="23"/>
      <c r="M2656" s="20"/>
      <c r="N2656" s="20"/>
      <c r="O2656" s="20"/>
      <c r="P2656" s="20"/>
    </row>
    <row r="2657">
      <c r="A2657" s="10"/>
      <c r="B2657" s="11"/>
      <c r="C2657" s="10"/>
      <c r="D2657" s="13"/>
      <c r="E2657" s="14"/>
      <c r="F2657" s="14"/>
      <c r="G2657" s="14"/>
      <c r="H2657" s="10"/>
      <c r="I2657" s="17"/>
      <c r="J2657" s="10"/>
      <c r="K2657" s="46"/>
      <c r="L2657" s="10"/>
      <c r="M2657" s="20"/>
      <c r="N2657" s="20"/>
      <c r="O2657" s="20"/>
      <c r="P2657" s="20"/>
    </row>
    <row r="2658">
      <c r="A2658" s="23"/>
      <c r="B2658" s="21"/>
      <c r="C2658" s="23"/>
      <c r="D2658" s="24"/>
      <c r="E2658" s="14"/>
      <c r="F2658" s="14"/>
      <c r="G2658" s="14"/>
      <c r="H2658" s="23"/>
      <c r="I2658" s="27"/>
      <c r="J2658" s="23"/>
      <c r="K2658" s="30"/>
      <c r="L2658" s="23"/>
      <c r="M2658" s="20"/>
      <c r="N2658" s="20"/>
      <c r="O2658" s="20"/>
      <c r="P2658" s="20"/>
    </row>
    <row r="2659">
      <c r="A2659" s="10"/>
      <c r="B2659" s="11"/>
      <c r="C2659" s="10"/>
      <c r="D2659" s="13"/>
      <c r="E2659" s="14"/>
      <c r="F2659" s="14"/>
      <c r="G2659" s="14"/>
      <c r="H2659" s="10"/>
      <c r="I2659" s="17"/>
      <c r="J2659" s="10"/>
      <c r="K2659" s="46"/>
      <c r="L2659" s="10"/>
      <c r="M2659" s="20"/>
      <c r="N2659" s="20"/>
      <c r="O2659" s="20"/>
      <c r="P2659" s="20"/>
    </row>
    <row r="2660">
      <c r="A2660" s="23"/>
      <c r="B2660" s="21"/>
      <c r="C2660" s="23"/>
      <c r="D2660" s="24"/>
      <c r="E2660" s="14"/>
      <c r="F2660" s="14"/>
      <c r="G2660" s="14"/>
      <c r="H2660" s="23"/>
      <c r="I2660" s="27"/>
      <c r="J2660" s="23"/>
      <c r="K2660" s="30"/>
      <c r="L2660" s="23"/>
      <c r="M2660" s="20"/>
      <c r="N2660" s="20"/>
      <c r="O2660" s="20"/>
      <c r="P2660" s="20"/>
    </row>
    <row r="2661">
      <c r="A2661" s="10"/>
      <c r="B2661" s="11"/>
      <c r="C2661" s="10"/>
      <c r="D2661" s="13"/>
      <c r="E2661" s="14"/>
      <c r="F2661" s="14"/>
      <c r="G2661" s="14"/>
      <c r="H2661" s="10"/>
      <c r="I2661" s="17"/>
      <c r="J2661" s="10"/>
      <c r="K2661" s="46"/>
      <c r="L2661" s="10"/>
      <c r="M2661" s="20"/>
      <c r="N2661" s="20"/>
      <c r="O2661" s="20"/>
      <c r="P2661" s="20"/>
    </row>
    <row r="2662">
      <c r="A2662" s="23"/>
      <c r="B2662" s="21"/>
      <c r="C2662" s="23"/>
      <c r="D2662" s="24"/>
      <c r="E2662" s="14"/>
      <c r="F2662" s="14"/>
      <c r="G2662" s="14"/>
      <c r="H2662" s="23"/>
      <c r="I2662" s="27"/>
      <c r="J2662" s="23"/>
      <c r="K2662" s="30"/>
      <c r="L2662" s="23"/>
      <c r="M2662" s="20"/>
      <c r="N2662" s="20"/>
      <c r="O2662" s="20"/>
      <c r="P2662" s="20"/>
    </row>
    <row r="2663">
      <c r="A2663" s="10"/>
      <c r="B2663" s="11"/>
      <c r="C2663" s="10"/>
      <c r="D2663" s="13"/>
      <c r="E2663" s="14"/>
      <c r="F2663" s="14"/>
      <c r="G2663" s="14"/>
      <c r="H2663" s="10"/>
      <c r="I2663" s="17"/>
      <c r="J2663" s="10"/>
      <c r="K2663" s="46"/>
      <c r="L2663" s="10"/>
      <c r="M2663" s="20"/>
      <c r="N2663" s="20"/>
      <c r="O2663" s="20"/>
      <c r="P2663" s="20"/>
    </row>
    <row r="2664">
      <c r="A2664" s="23"/>
      <c r="B2664" s="21"/>
      <c r="C2664" s="23"/>
      <c r="D2664" s="24"/>
      <c r="E2664" s="14"/>
      <c r="F2664" s="14"/>
      <c r="G2664" s="14"/>
      <c r="H2664" s="23"/>
      <c r="I2664" s="27"/>
      <c r="J2664" s="23"/>
      <c r="K2664" s="30"/>
      <c r="L2664" s="23"/>
      <c r="M2664" s="20"/>
      <c r="N2664" s="20"/>
      <c r="O2664" s="20"/>
      <c r="P2664" s="20"/>
    </row>
    <row r="2665">
      <c r="A2665" s="10"/>
      <c r="B2665" s="11"/>
      <c r="C2665" s="10"/>
      <c r="D2665" s="13"/>
      <c r="E2665" s="14"/>
      <c r="F2665" s="14"/>
      <c r="G2665" s="14"/>
      <c r="H2665" s="10"/>
      <c r="I2665" s="17"/>
      <c r="J2665" s="10"/>
      <c r="K2665" s="46"/>
      <c r="L2665" s="10"/>
      <c r="M2665" s="20"/>
      <c r="N2665" s="20"/>
      <c r="O2665" s="20"/>
      <c r="P2665" s="20"/>
    </row>
    <row r="2666">
      <c r="A2666" s="23"/>
      <c r="B2666" s="21"/>
      <c r="C2666" s="23"/>
      <c r="D2666" s="24"/>
      <c r="E2666" s="14"/>
      <c r="F2666" s="14"/>
      <c r="G2666" s="14"/>
      <c r="H2666" s="23"/>
      <c r="I2666" s="27"/>
      <c r="J2666" s="23"/>
      <c r="K2666" s="30"/>
      <c r="L2666" s="23"/>
      <c r="M2666" s="20"/>
      <c r="N2666" s="20"/>
      <c r="O2666" s="20"/>
      <c r="P2666" s="20"/>
    </row>
    <row r="2667">
      <c r="A2667" s="10"/>
      <c r="B2667" s="11"/>
      <c r="C2667" s="10"/>
      <c r="D2667" s="13"/>
      <c r="E2667" s="14"/>
      <c r="F2667" s="14"/>
      <c r="G2667" s="14"/>
      <c r="H2667" s="10"/>
      <c r="I2667" s="17"/>
      <c r="J2667" s="10"/>
      <c r="K2667" s="46"/>
      <c r="L2667" s="10"/>
      <c r="M2667" s="20"/>
      <c r="N2667" s="20"/>
      <c r="O2667" s="20"/>
      <c r="P2667" s="20"/>
    </row>
    <row r="2668">
      <c r="A2668" s="23"/>
      <c r="B2668" s="21"/>
      <c r="C2668" s="23"/>
      <c r="D2668" s="24"/>
      <c r="E2668" s="14"/>
      <c r="F2668" s="14"/>
      <c r="G2668" s="14"/>
      <c r="H2668" s="23"/>
      <c r="I2668" s="27"/>
      <c r="J2668" s="23"/>
      <c r="K2668" s="30"/>
      <c r="L2668" s="23"/>
      <c r="M2668" s="20"/>
      <c r="N2668" s="20"/>
      <c r="O2668" s="20"/>
      <c r="P2668" s="20"/>
    </row>
    <row r="2669">
      <c r="A2669" s="10"/>
      <c r="B2669" s="11"/>
      <c r="C2669" s="10"/>
      <c r="D2669" s="13"/>
      <c r="E2669" s="14"/>
      <c r="F2669" s="14"/>
      <c r="G2669" s="14"/>
      <c r="H2669" s="10"/>
      <c r="I2669" s="17"/>
      <c r="J2669" s="10"/>
      <c r="K2669" s="46"/>
      <c r="L2669" s="10"/>
      <c r="M2669" s="20"/>
      <c r="N2669" s="20"/>
      <c r="O2669" s="20"/>
      <c r="P2669" s="20"/>
    </row>
    <row r="2670">
      <c r="A2670" s="23"/>
      <c r="B2670" s="21"/>
      <c r="C2670" s="23"/>
      <c r="D2670" s="24"/>
      <c r="E2670" s="14"/>
      <c r="F2670" s="14"/>
      <c r="G2670" s="14"/>
      <c r="H2670" s="23"/>
      <c r="I2670" s="27"/>
      <c r="J2670" s="23"/>
      <c r="K2670" s="30"/>
      <c r="L2670" s="23"/>
      <c r="M2670" s="20"/>
      <c r="N2670" s="20"/>
      <c r="O2670" s="20"/>
      <c r="P2670" s="20"/>
    </row>
    <row r="2671">
      <c r="A2671" s="10"/>
      <c r="B2671" s="11"/>
      <c r="C2671" s="10"/>
      <c r="D2671" s="13"/>
      <c r="E2671" s="14"/>
      <c r="F2671" s="14"/>
      <c r="G2671" s="14"/>
      <c r="H2671" s="10"/>
      <c r="I2671" s="17"/>
      <c r="J2671" s="10"/>
      <c r="K2671" s="46"/>
      <c r="L2671" s="10"/>
      <c r="M2671" s="20"/>
      <c r="N2671" s="20"/>
      <c r="O2671" s="20"/>
      <c r="P2671" s="20"/>
    </row>
    <row r="2672">
      <c r="A2672" s="23"/>
      <c r="B2672" s="21"/>
      <c r="C2672" s="23"/>
      <c r="D2672" s="24"/>
      <c r="E2672" s="14"/>
      <c r="F2672" s="14"/>
      <c r="G2672" s="14"/>
      <c r="H2672" s="23"/>
      <c r="I2672" s="27"/>
      <c r="J2672" s="23"/>
      <c r="K2672" s="30"/>
      <c r="L2672" s="23"/>
      <c r="M2672" s="20"/>
      <c r="N2672" s="20"/>
      <c r="O2672" s="20"/>
      <c r="P2672" s="20"/>
    </row>
    <row r="2673">
      <c r="A2673" s="10"/>
      <c r="B2673" s="11"/>
      <c r="C2673" s="10"/>
      <c r="D2673" s="13"/>
      <c r="E2673" s="14"/>
      <c r="F2673" s="14"/>
      <c r="G2673" s="14"/>
      <c r="H2673" s="10"/>
      <c r="I2673" s="17"/>
      <c r="J2673" s="10"/>
      <c r="K2673" s="46"/>
      <c r="L2673" s="10"/>
      <c r="M2673" s="20"/>
      <c r="N2673" s="20"/>
      <c r="O2673" s="20"/>
      <c r="P2673" s="20"/>
    </row>
    <row r="2674">
      <c r="A2674" s="23"/>
      <c r="B2674" s="21"/>
      <c r="C2674" s="23"/>
      <c r="D2674" s="24"/>
      <c r="E2674" s="14"/>
      <c r="F2674" s="14"/>
      <c r="G2674" s="14"/>
      <c r="H2674" s="23"/>
      <c r="I2674" s="27"/>
      <c r="J2674" s="23"/>
      <c r="K2674" s="30"/>
      <c r="L2674" s="23"/>
      <c r="M2674" s="20"/>
      <c r="N2674" s="20"/>
      <c r="O2674" s="20"/>
      <c r="P2674" s="20"/>
    </row>
    <row r="2675">
      <c r="A2675" s="10"/>
      <c r="B2675" s="11"/>
      <c r="C2675" s="10"/>
      <c r="D2675" s="13"/>
      <c r="E2675" s="14"/>
      <c r="F2675" s="14"/>
      <c r="G2675" s="14"/>
      <c r="H2675" s="10"/>
      <c r="I2675" s="17"/>
      <c r="J2675" s="10"/>
      <c r="K2675" s="46"/>
      <c r="L2675" s="10"/>
      <c r="M2675" s="20"/>
      <c r="N2675" s="20"/>
      <c r="O2675" s="20"/>
      <c r="P2675" s="20"/>
    </row>
    <row r="2676">
      <c r="A2676" s="23"/>
      <c r="B2676" s="21"/>
      <c r="C2676" s="23"/>
      <c r="D2676" s="24"/>
      <c r="E2676" s="14"/>
      <c r="F2676" s="14"/>
      <c r="G2676" s="14"/>
      <c r="H2676" s="23"/>
      <c r="I2676" s="27"/>
      <c r="J2676" s="23"/>
      <c r="K2676" s="30"/>
      <c r="L2676" s="23"/>
      <c r="M2676" s="20"/>
      <c r="N2676" s="20"/>
      <c r="O2676" s="20"/>
      <c r="P2676" s="20"/>
    </row>
    <row r="2677">
      <c r="A2677" s="10"/>
      <c r="B2677" s="11"/>
      <c r="C2677" s="10"/>
      <c r="D2677" s="13"/>
      <c r="E2677" s="14"/>
      <c r="F2677" s="14"/>
      <c r="G2677" s="14"/>
      <c r="H2677" s="10"/>
      <c r="I2677" s="17"/>
      <c r="J2677" s="10"/>
      <c r="K2677" s="46"/>
      <c r="L2677" s="10"/>
      <c r="M2677" s="20"/>
      <c r="N2677" s="20"/>
      <c r="O2677" s="20"/>
      <c r="P2677" s="20"/>
    </row>
    <row r="2678">
      <c r="A2678" s="23"/>
      <c r="B2678" s="21"/>
      <c r="C2678" s="23"/>
      <c r="D2678" s="24"/>
      <c r="E2678" s="14"/>
      <c r="F2678" s="14"/>
      <c r="G2678" s="14"/>
      <c r="H2678" s="23"/>
      <c r="I2678" s="27"/>
      <c r="J2678" s="23"/>
      <c r="K2678" s="30"/>
      <c r="L2678" s="23"/>
      <c r="M2678" s="20"/>
      <c r="N2678" s="20"/>
      <c r="O2678" s="20"/>
      <c r="P2678" s="20"/>
    </row>
    <row r="2679">
      <c r="A2679" s="10"/>
      <c r="B2679" s="11"/>
      <c r="C2679" s="10"/>
      <c r="D2679" s="13"/>
      <c r="E2679" s="14"/>
      <c r="F2679" s="14"/>
      <c r="G2679" s="14"/>
      <c r="H2679" s="10"/>
      <c r="I2679" s="17"/>
      <c r="J2679" s="10"/>
      <c r="K2679" s="46"/>
      <c r="L2679" s="10"/>
      <c r="M2679" s="20"/>
      <c r="N2679" s="20"/>
      <c r="O2679" s="20"/>
      <c r="P2679" s="20"/>
    </row>
    <row r="2680">
      <c r="A2680" s="23"/>
      <c r="B2680" s="21"/>
      <c r="C2680" s="23"/>
      <c r="D2680" s="24"/>
      <c r="E2680" s="14"/>
      <c r="F2680" s="14"/>
      <c r="G2680" s="14"/>
      <c r="H2680" s="23"/>
      <c r="I2680" s="27"/>
      <c r="J2680" s="23"/>
      <c r="K2680" s="30"/>
      <c r="L2680" s="23"/>
      <c r="M2680" s="20"/>
      <c r="N2680" s="20"/>
      <c r="O2680" s="20"/>
      <c r="P2680" s="20"/>
    </row>
    <row r="2681">
      <c r="A2681" s="10"/>
      <c r="B2681" s="11"/>
      <c r="C2681" s="10"/>
      <c r="D2681" s="13"/>
      <c r="E2681" s="14"/>
      <c r="F2681" s="14"/>
      <c r="G2681" s="14"/>
      <c r="H2681" s="10"/>
      <c r="I2681" s="17"/>
      <c r="J2681" s="10"/>
      <c r="K2681" s="46"/>
      <c r="L2681" s="10"/>
      <c r="M2681" s="20"/>
      <c r="N2681" s="20"/>
      <c r="O2681" s="20"/>
      <c r="P2681" s="20"/>
    </row>
    <row r="2682">
      <c r="A2682" s="23"/>
      <c r="B2682" s="21"/>
      <c r="C2682" s="23"/>
      <c r="D2682" s="24"/>
      <c r="E2682" s="14"/>
      <c r="F2682" s="14"/>
      <c r="G2682" s="14"/>
      <c r="H2682" s="23"/>
      <c r="I2682" s="27"/>
      <c r="J2682" s="23"/>
      <c r="K2682" s="30"/>
      <c r="L2682" s="23"/>
      <c r="M2682" s="20"/>
      <c r="N2682" s="20"/>
      <c r="O2682" s="20"/>
      <c r="P2682" s="20"/>
    </row>
    <row r="2683">
      <c r="A2683" s="10"/>
      <c r="B2683" s="11"/>
      <c r="C2683" s="10"/>
      <c r="D2683" s="13"/>
      <c r="E2683" s="14"/>
      <c r="F2683" s="14"/>
      <c r="G2683" s="14"/>
      <c r="H2683" s="10"/>
      <c r="I2683" s="17"/>
      <c r="J2683" s="10"/>
      <c r="K2683" s="46"/>
      <c r="L2683" s="10"/>
      <c r="M2683" s="20"/>
      <c r="N2683" s="20"/>
      <c r="O2683" s="20"/>
      <c r="P2683" s="20"/>
    </row>
    <row r="2684">
      <c r="A2684" s="23"/>
      <c r="B2684" s="21"/>
      <c r="C2684" s="23"/>
      <c r="D2684" s="24"/>
      <c r="E2684" s="14"/>
      <c r="F2684" s="14"/>
      <c r="G2684" s="14"/>
      <c r="H2684" s="23"/>
      <c r="I2684" s="27"/>
      <c r="J2684" s="23"/>
      <c r="K2684" s="30"/>
      <c r="L2684" s="23"/>
      <c r="M2684" s="20"/>
      <c r="N2684" s="20"/>
      <c r="O2684" s="20"/>
      <c r="P2684" s="20"/>
    </row>
    <row r="2685">
      <c r="A2685" s="10"/>
      <c r="B2685" s="11"/>
      <c r="C2685" s="10"/>
      <c r="D2685" s="13"/>
      <c r="E2685" s="14"/>
      <c r="F2685" s="14"/>
      <c r="G2685" s="14"/>
      <c r="H2685" s="10"/>
      <c r="I2685" s="17"/>
      <c r="J2685" s="10"/>
      <c r="K2685" s="46"/>
      <c r="L2685" s="10"/>
      <c r="M2685" s="20"/>
      <c r="N2685" s="20"/>
      <c r="O2685" s="20"/>
      <c r="P2685" s="20"/>
    </row>
    <row r="2686">
      <c r="A2686" s="23"/>
      <c r="B2686" s="21"/>
      <c r="C2686" s="23"/>
      <c r="D2686" s="24"/>
      <c r="E2686" s="14"/>
      <c r="F2686" s="14"/>
      <c r="G2686" s="14"/>
      <c r="H2686" s="23"/>
      <c r="I2686" s="27"/>
      <c r="J2686" s="23"/>
      <c r="K2686" s="30"/>
      <c r="L2686" s="23"/>
      <c r="M2686" s="20"/>
      <c r="N2686" s="20"/>
      <c r="O2686" s="20"/>
      <c r="P2686" s="20"/>
    </row>
    <row r="2687">
      <c r="A2687" s="10"/>
      <c r="B2687" s="11"/>
      <c r="C2687" s="10"/>
      <c r="D2687" s="13"/>
      <c r="E2687" s="14"/>
      <c r="F2687" s="14"/>
      <c r="G2687" s="14"/>
      <c r="H2687" s="10"/>
      <c r="I2687" s="17"/>
      <c r="J2687" s="10"/>
      <c r="K2687" s="46"/>
      <c r="L2687" s="10"/>
      <c r="M2687" s="20"/>
      <c r="N2687" s="20"/>
      <c r="O2687" s="20"/>
      <c r="P2687" s="20"/>
    </row>
    <row r="2688">
      <c r="A2688" s="23"/>
      <c r="B2688" s="21"/>
      <c r="C2688" s="23"/>
      <c r="D2688" s="24"/>
      <c r="E2688" s="14"/>
      <c r="F2688" s="14"/>
      <c r="G2688" s="14"/>
      <c r="H2688" s="23"/>
      <c r="I2688" s="27"/>
      <c r="J2688" s="23"/>
      <c r="K2688" s="30"/>
      <c r="L2688" s="23"/>
      <c r="M2688" s="20"/>
      <c r="N2688" s="20"/>
      <c r="O2688" s="20"/>
      <c r="P2688" s="20"/>
    </row>
    <row r="2689">
      <c r="A2689" s="10"/>
      <c r="B2689" s="11"/>
      <c r="C2689" s="10"/>
      <c r="D2689" s="13"/>
      <c r="E2689" s="14"/>
      <c r="F2689" s="14"/>
      <c r="G2689" s="14"/>
      <c r="H2689" s="10"/>
      <c r="I2689" s="17"/>
      <c r="J2689" s="10"/>
      <c r="K2689" s="46"/>
      <c r="L2689" s="10"/>
      <c r="M2689" s="20"/>
      <c r="N2689" s="20"/>
      <c r="O2689" s="20"/>
      <c r="P2689" s="20"/>
    </row>
    <row r="2690">
      <c r="A2690" s="23"/>
      <c r="B2690" s="21"/>
      <c r="C2690" s="23"/>
      <c r="D2690" s="24"/>
      <c r="E2690" s="14"/>
      <c r="F2690" s="14"/>
      <c r="G2690" s="14"/>
      <c r="H2690" s="23"/>
      <c r="I2690" s="27"/>
      <c r="J2690" s="23"/>
      <c r="K2690" s="30"/>
      <c r="L2690" s="23"/>
      <c r="M2690" s="20"/>
      <c r="N2690" s="20"/>
      <c r="O2690" s="20"/>
      <c r="P2690" s="20"/>
    </row>
    <row r="2691">
      <c r="A2691" s="10"/>
      <c r="B2691" s="11"/>
      <c r="C2691" s="10"/>
      <c r="D2691" s="13"/>
      <c r="E2691" s="14"/>
      <c r="F2691" s="14"/>
      <c r="G2691" s="14"/>
      <c r="H2691" s="10"/>
      <c r="I2691" s="17"/>
      <c r="J2691" s="10"/>
      <c r="K2691" s="46"/>
      <c r="L2691" s="10"/>
      <c r="M2691" s="20"/>
      <c r="N2691" s="20"/>
      <c r="O2691" s="20"/>
      <c r="P2691" s="20"/>
    </row>
    <row r="2692">
      <c r="A2692" s="23"/>
      <c r="B2692" s="21"/>
      <c r="C2692" s="23"/>
      <c r="D2692" s="24"/>
      <c r="E2692" s="14"/>
      <c r="F2692" s="14"/>
      <c r="G2692" s="14"/>
      <c r="H2692" s="23"/>
      <c r="I2692" s="27"/>
      <c r="J2692" s="23"/>
      <c r="K2692" s="30"/>
      <c r="L2692" s="23"/>
      <c r="M2692" s="20"/>
      <c r="N2692" s="20"/>
      <c r="O2692" s="20"/>
      <c r="P2692" s="20"/>
    </row>
    <row r="2693">
      <c r="A2693" s="10"/>
      <c r="B2693" s="11"/>
      <c r="C2693" s="10"/>
      <c r="D2693" s="13"/>
      <c r="E2693" s="14"/>
      <c r="F2693" s="14"/>
      <c r="G2693" s="14"/>
      <c r="H2693" s="10"/>
      <c r="I2693" s="17"/>
      <c r="J2693" s="10"/>
      <c r="K2693" s="46"/>
      <c r="L2693" s="10"/>
      <c r="M2693" s="20"/>
      <c r="N2693" s="20"/>
      <c r="O2693" s="20"/>
      <c r="P2693" s="20"/>
    </row>
    <row r="2694">
      <c r="A2694" s="23"/>
      <c r="B2694" s="21"/>
      <c r="C2694" s="23"/>
      <c r="D2694" s="24"/>
      <c r="E2694" s="14"/>
      <c r="F2694" s="14"/>
      <c r="G2694" s="14"/>
      <c r="H2694" s="23"/>
      <c r="I2694" s="27"/>
      <c r="J2694" s="23"/>
      <c r="K2694" s="30"/>
      <c r="L2694" s="23"/>
      <c r="M2694" s="20"/>
      <c r="N2694" s="20"/>
      <c r="O2694" s="20"/>
      <c r="P2694" s="20"/>
    </row>
    <row r="2695">
      <c r="A2695" s="10"/>
      <c r="B2695" s="11"/>
      <c r="C2695" s="10"/>
      <c r="D2695" s="13"/>
      <c r="E2695" s="14"/>
      <c r="F2695" s="14"/>
      <c r="G2695" s="14"/>
      <c r="H2695" s="10"/>
      <c r="I2695" s="17"/>
      <c r="J2695" s="10"/>
      <c r="K2695" s="46"/>
      <c r="L2695" s="10"/>
      <c r="M2695" s="20"/>
      <c r="N2695" s="20"/>
      <c r="O2695" s="20"/>
      <c r="P2695" s="20"/>
    </row>
    <row r="2696">
      <c r="A2696" s="23"/>
      <c r="B2696" s="21"/>
      <c r="C2696" s="23"/>
      <c r="D2696" s="24"/>
      <c r="E2696" s="14"/>
      <c r="F2696" s="14"/>
      <c r="G2696" s="14"/>
      <c r="H2696" s="23"/>
      <c r="I2696" s="27"/>
      <c r="J2696" s="23"/>
      <c r="K2696" s="30"/>
      <c r="L2696" s="23"/>
      <c r="M2696" s="20"/>
      <c r="N2696" s="20"/>
      <c r="O2696" s="20"/>
      <c r="P2696" s="20"/>
    </row>
    <row r="2697">
      <c r="A2697" s="10"/>
      <c r="B2697" s="11"/>
      <c r="C2697" s="10"/>
      <c r="D2697" s="13"/>
      <c r="E2697" s="14"/>
      <c r="F2697" s="14"/>
      <c r="G2697" s="14"/>
      <c r="H2697" s="10"/>
      <c r="I2697" s="17"/>
      <c r="J2697" s="10"/>
      <c r="K2697" s="46"/>
      <c r="L2697" s="10"/>
      <c r="M2697" s="20"/>
      <c r="N2697" s="20"/>
      <c r="O2697" s="20"/>
      <c r="P2697" s="20"/>
    </row>
    <row r="2698">
      <c r="A2698" s="23"/>
      <c r="B2698" s="21"/>
      <c r="C2698" s="23"/>
      <c r="D2698" s="24"/>
      <c r="E2698" s="14"/>
      <c r="F2698" s="14"/>
      <c r="G2698" s="14"/>
      <c r="H2698" s="23"/>
      <c r="I2698" s="27"/>
      <c r="J2698" s="23"/>
      <c r="K2698" s="30"/>
      <c r="L2698" s="23"/>
      <c r="M2698" s="20"/>
      <c r="N2698" s="20"/>
      <c r="O2698" s="20"/>
      <c r="P2698" s="20"/>
    </row>
    <row r="2699">
      <c r="A2699" s="10"/>
      <c r="B2699" s="11"/>
      <c r="C2699" s="10"/>
      <c r="D2699" s="13"/>
      <c r="E2699" s="14"/>
      <c r="F2699" s="14"/>
      <c r="G2699" s="14"/>
      <c r="H2699" s="10"/>
      <c r="I2699" s="17"/>
      <c r="J2699" s="10"/>
      <c r="K2699" s="46"/>
      <c r="L2699" s="10"/>
      <c r="M2699" s="20"/>
      <c r="N2699" s="20"/>
      <c r="O2699" s="20"/>
      <c r="P2699" s="20"/>
    </row>
    <row r="2700">
      <c r="A2700" s="23"/>
      <c r="B2700" s="21"/>
      <c r="C2700" s="23"/>
      <c r="D2700" s="24"/>
      <c r="E2700" s="14"/>
      <c r="F2700" s="14"/>
      <c r="G2700" s="14"/>
      <c r="H2700" s="23"/>
      <c r="I2700" s="27"/>
      <c r="J2700" s="23"/>
      <c r="K2700" s="30"/>
      <c r="L2700" s="23"/>
      <c r="M2700" s="20"/>
      <c r="N2700" s="20"/>
      <c r="O2700" s="20"/>
      <c r="P2700" s="20"/>
    </row>
    <row r="2701">
      <c r="A2701" s="10"/>
      <c r="B2701" s="11"/>
      <c r="C2701" s="10"/>
      <c r="D2701" s="13"/>
      <c r="E2701" s="14"/>
      <c r="F2701" s="14"/>
      <c r="G2701" s="14"/>
      <c r="H2701" s="10"/>
      <c r="I2701" s="17"/>
      <c r="J2701" s="10"/>
      <c r="K2701" s="46"/>
      <c r="L2701" s="10"/>
      <c r="M2701" s="20"/>
      <c r="N2701" s="20"/>
      <c r="O2701" s="20"/>
      <c r="P2701" s="20"/>
    </row>
    <row r="2702">
      <c r="A2702" s="23"/>
      <c r="B2702" s="21"/>
      <c r="C2702" s="23"/>
      <c r="D2702" s="24"/>
      <c r="E2702" s="14"/>
      <c r="F2702" s="14"/>
      <c r="G2702" s="14"/>
      <c r="H2702" s="23"/>
      <c r="I2702" s="27"/>
      <c r="J2702" s="23"/>
      <c r="K2702" s="30"/>
      <c r="L2702" s="23"/>
      <c r="M2702" s="20"/>
      <c r="N2702" s="20"/>
      <c r="O2702" s="20"/>
      <c r="P2702" s="20"/>
    </row>
    <row r="2703">
      <c r="A2703" s="10"/>
      <c r="B2703" s="11"/>
      <c r="C2703" s="10"/>
      <c r="D2703" s="13"/>
      <c r="E2703" s="14"/>
      <c r="F2703" s="14"/>
      <c r="G2703" s="14"/>
      <c r="H2703" s="10"/>
      <c r="I2703" s="17"/>
      <c r="J2703" s="10"/>
      <c r="K2703" s="46"/>
      <c r="L2703" s="10"/>
      <c r="M2703" s="20"/>
      <c r="N2703" s="20"/>
      <c r="O2703" s="20"/>
      <c r="P2703" s="20"/>
    </row>
    <row r="2704">
      <c r="A2704" s="23"/>
      <c r="B2704" s="21"/>
      <c r="C2704" s="23"/>
      <c r="D2704" s="24"/>
      <c r="E2704" s="14"/>
      <c r="F2704" s="14"/>
      <c r="G2704" s="14"/>
      <c r="H2704" s="23"/>
      <c r="I2704" s="27"/>
      <c r="J2704" s="23"/>
      <c r="K2704" s="30"/>
      <c r="L2704" s="23"/>
      <c r="M2704" s="20"/>
      <c r="N2704" s="20"/>
      <c r="O2704" s="20"/>
      <c r="P2704" s="20"/>
    </row>
    <row r="2705">
      <c r="A2705" s="10"/>
      <c r="B2705" s="11"/>
      <c r="C2705" s="10"/>
      <c r="D2705" s="13"/>
      <c r="E2705" s="14"/>
      <c r="F2705" s="14"/>
      <c r="G2705" s="14"/>
      <c r="H2705" s="10"/>
      <c r="I2705" s="17"/>
      <c r="J2705" s="10"/>
      <c r="K2705" s="46"/>
      <c r="L2705" s="10"/>
      <c r="M2705" s="20"/>
      <c r="N2705" s="20"/>
      <c r="O2705" s="20"/>
      <c r="P2705" s="20"/>
    </row>
    <row r="2706">
      <c r="A2706" s="23"/>
      <c r="B2706" s="21"/>
      <c r="C2706" s="23"/>
      <c r="D2706" s="24"/>
      <c r="E2706" s="14"/>
      <c r="F2706" s="14"/>
      <c r="G2706" s="14"/>
      <c r="H2706" s="23"/>
      <c r="I2706" s="27"/>
      <c r="J2706" s="23"/>
      <c r="K2706" s="30"/>
      <c r="L2706" s="23"/>
      <c r="M2706" s="20"/>
      <c r="N2706" s="20"/>
      <c r="O2706" s="20"/>
      <c r="P2706" s="20"/>
    </row>
    <row r="2707">
      <c r="A2707" s="10"/>
      <c r="B2707" s="11"/>
      <c r="C2707" s="10"/>
      <c r="D2707" s="13"/>
      <c r="E2707" s="14"/>
      <c r="F2707" s="14"/>
      <c r="G2707" s="14"/>
      <c r="H2707" s="10"/>
      <c r="I2707" s="17"/>
      <c r="J2707" s="10"/>
      <c r="K2707" s="46"/>
      <c r="L2707" s="10"/>
      <c r="M2707" s="20"/>
      <c r="N2707" s="20"/>
      <c r="O2707" s="20"/>
      <c r="P2707" s="20"/>
    </row>
    <row r="2708">
      <c r="A2708" s="23"/>
      <c r="B2708" s="21"/>
      <c r="C2708" s="23"/>
      <c r="D2708" s="24"/>
      <c r="E2708" s="14"/>
      <c r="F2708" s="14"/>
      <c r="G2708" s="14"/>
      <c r="H2708" s="23"/>
      <c r="I2708" s="27"/>
      <c r="J2708" s="23"/>
      <c r="K2708" s="30"/>
      <c r="L2708" s="23"/>
      <c r="M2708" s="20"/>
      <c r="N2708" s="20"/>
      <c r="O2708" s="20"/>
      <c r="P2708" s="20"/>
    </row>
    <row r="2709">
      <c r="A2709" s="10"/>
      <c r="B2709" s="11"/>
      <c r="C2709" s="10"/>
      <c r="D2709" s="13"/>
      <c r="E2709" s="14"/>
      <c r="F2709" s="14"/>
      <c r="G2709" s="14"/>
      <c r="H2709" s="10"/>
      <c r="I2709" s="17"/>
      <c r="J2709" s="10"/>
      <c r="K2709" s="46"/>
      <c r="L2709" s="10"/>
      <c r="M2709" s="20"/>
      <c r="N2709" s="20"/>
      <c r="O2709" s="20"/>
      <c r="P2709" s="20"/>
    </row>
    <row r="2710">
      <c r="A2710" s="23"/>
      <c r="B2710" s="21"/>
      <c r="C2710" s="23"/>
      <c r="D2710" s="24"/>
      <c r="E2710" s="14"/>
      <c r="F2710" s="14"/>
      <c r="G2710" s="14"/>
      <c r="H2710" s="23"/>
      <c r="I2710" s="27"/>
      <c r="J2710" s="23"/>
      <c r="K2710" s="30"/>
      <c r="L2710" s="23"/>
      <c r="M2710" s="20"/>
      <c r="N2710" s="20"/>
      <c r="O2710" s="20"/>
      <c r="P2710" s="20"/>
    </row>
    <row r="2711">
      <c r="A2711" s="10"/>
      <c r="B2711" s="11"/>
      <c r="C2711" s="10"/>
      <c r="D2711" s="13"/>
      <c r="E2711" s="14"/>
      <c r="F2711" s="14"/>
      <c r="G2711" s="14"/>
      <c r="H2711" s="10"/>
      <c r="I2711" s="17"/>
      <c r="J2711" s="10"/>
      <c r="K2711" s="46"/>
      <c r="L2711" s="10"/>
      <c r="M2711" s="20"/>
      <c r="N2711" s="20"/>
      <c r="O2711" s="20"/>
      <c r="P2711" s="20"/>
    </row>
    <row r="2712">
      <c r="A2712" s="23"/>
      <c r="B2712" s="21"/>
      <c r="C2712" s="23"/>
      <c r="D2712" s="24"/>
      <c r="E2712" s="14"/>
      <c r="F2712" s="14"/>
      <c r="G2712" s="14"/>
      <c r="H2712" s="23"/>
      <c r="I2712" s="27"/>
      <c r="J2712" s="23"/>
      <c r="K2712" s="30"/>
      <c r="L2712" s="23"/>
      <c r="M2712" s="20"/>
      <c r="N2712" s="20"/>
      <c r="O2712" s="20"/>
      <c r="P2712" s="20"/>
    </row>
    <row r="2713">
      <c r="A2713" s="10"/>
      <c r="B2713" s="11"/>
      <c r="C2713" s="10"/>
      <c r="D2713" s="13"/>
      <c r="E2713" s="14"/>
      <c r="F2713" s="14"/>
      <c r="G2713" s="14"/>
      <c r="H2713" s="10"/>
      <c r="I2713" s="17"/>
      <c r="J2713" s="10"/>
      <c r="K2713" s="46"/>
      <c r="L2713" s="10"/>
      <c r="M2713" s="20"/>
      <c r="N2713" s="20"/>
      <c r="O2713" s="20"/>
      <c r="P2713" s="20"/>
    </row>
    <row r="2714">
      <c r="A2714" s="23"/>
      <c r="B2714" s="21"/>
      <c r="C2714" s="23"/>
      <c r="D2714" s="24"/>
      <c r="E2714" s="14"/>
      <c r="F2714" s="14"/>
      <c r="G2714" s="14"/>
      <c r="H2714" s="23"/>
      <c r="I2714" s="27"/>
      <c r="J2714" s="23"/>
      <c r="K2714" s="30"/>
      <c r="L2714" s="23"/>
      <c r="M2714" s="20"/>
      <c r="N2714" s="20"/>
      <c r="O2714" s="20"/>
      <c r="P2714" s="20"/>
    </row>
    <row r="2715">
      <c r="A2715" s="10"/>
      <c r="B2715" s="11"/>
      <c r="C2715" s="10"/>
      <c r="D2715" s="13"/>
      <c r="E2715" s="14"/>
      <c r="F2715" s="14"/>
      <c r="G2715" s="14"/>
      <c r="H2715" s="10"/>
      <c r="I2715" s="17"/>
      <c r="J2715" s="10"/>
      <c r="K2715" s="46"/>
      <c r="L2715" s="10"/>
      <c r="M2715" s="20"/>
      <c r="N2715" s="20"/>
      <c r="O2715" s="20"/>
      <c r="P2715" s="20"/>
    </row>
    <row r="2716">
      <c r="A2716" s="23"/>
      <c r="B2716" s="21"/>
      <c r="C2716" s="23"/>
      <c r="D2716" s="24"/>
      <c r="E2716" s="14"/>
      <c r="F2716" s="14"/>
      <c r="G2716" s="14"/>
      <c r="H2716" s="23"/>
      <c r="I2716" s="27"/>
      <c r="J2716" s="23"/>
      <c r="K2716" s="30"/>
      <c r="L2716" s="23"/>
      <c r="M2716" s="20"/>
      <c r="N2716" s="20"/>
      <c r="O2716" s="20"/>
      <c r="P2716" s="20"/>
    </row>
    <row r="2717">
      <c r="A2717" s="10"/>
      <c r="B2717" s="11"/>
      <c r="C2717" s="10"/>
      <c r="D2717" s="13"/>
      <c r="E2717" s="14"/>
      <c r="F2717" s="14"/>
      <c r="G2717" s="14"/>
      <c r="H2717" s="10"/>
      <c r="I2717" s="17"/>
      <c r="J2717" s="10"/>
      <c r="K2717" s="46"/>
      <c r="L2717" s="10"/>
      <c r="M2717" s="20"/>
      <c r="N2717" s="20"/>
      <c r="O2717" s="20"/>
      <c r="P2717" s="20"/>
    </row>
    <row r="2718">
      <c r="A2718" s="23"/>
      <c r="B2718" s="21"/>
      <c r="C2718" s="23"/>
      <c r="D2718" s="24"/>
      <c r="E2718" s="14"/>
      <c r="F2718" s="14"/>
      <c r="G2718" s="14"/>
      <c r="H2718" s="23"/>
      <c r="I2718" s="27"/>
      <c r="J2718" s="23"/>
      <c r="K2718" s="30"/>
      <c r="L2718" s="23"/>
      <c r="M2718" s="20"/>
      <c r="N2718" s="20"/>
      <c r="O2718" s="20"/>
      <c r="P2718" s="20"/>
    </row>
    <row r="2719">
      <c r="A2719" s="10"/>
      <c r="B2719" s="11"/>
      <c r="C2719" s="10"/>
      <c r="D2719" s="13"/>
      <c r="E2719" s="14"/>
      <c r="F2719" s="14"/>
      <c r="G2719" s="14"/>
      <c r="H2719" s="10"/>
      <c r="I2719" s="17"/>
      <c r="J2719" s="10"/>
      <c r="K2719" s="46"/>
      <c r="L2719" s="10"/>
      <c r="M2719" s="20"/>
      <c r="N2719" s="20"/>
      <c r="O2719" s="20"/>
      <c r="P2719" s="20"/>
    </row>
    <row r="2720">
      <c r="A2720" s="23"/>
      <c r="B2720" s="21"/>
      <c r="C2720" s="23"/>
      <c r="D2720" s="24"/>
      <c r="E2720" s="14"/>
      <c r="F2720" s="14"/>
      <c r="G2720" s="14"/>
      <c r="H2720" s="23"/>
      <c r="I2720" s="27"/>
      <c r="J2720" s="23"/>
      <c r="K2720" s="30"/>
      <c r="L2720" s="23"/>
      <c r="M2720" s="20"/>
      <c r="N2720" s="20"/>
      <c r="O2720" s="20"/>
      <c r="P2720" s="20"/>
    </row>
    <row r="2721">
      <c r="A2721" s="10"/>
      <c r="B2721" s="11"/>
      <c r="C2721" s="10"/>
      <c r="D2721" s="13"/>
      <c r="E2721" s="14"/>
      <c r="F2721" s="14"/>
      <c r="G2721" s="14"/>
      <c r="H2721" s="10"/>
      <c r="I2721" s="17"/>
      <c r="J2721" s="10"/>
      <c r="K2721" s="46"/>
      <c r="L2721" s="10"/>
      <c r="M2721" s="20"/>
      <c r="N2721" s="20"/>
      <c r="O2721" s="20"/>
      <c r="P2721" s="20"/>
    </row>
    <row r="2722">
      <c r="A2722" s="23"/>
      <c r="B2722" s="21"/>
      <c r="C2722" s="23"/>
      <c r="D2722" s="24"/>
      <c r="E2722" s="14"/>
      <c r="F2722" s="14"/>
      <c r="G2722" s="14"/>
      <c r="H2722" s="23"/>
      <c r="I2722" s="27"/>
      <c r="J2722" s="23"/>
      <c r="K2722" s="30"/>
      <c r="L2722" s="23"/>
      <c r="M2722" s="20"/>
      <c r="N2722" s="20"/>
      <c r="O2722" s="20"/>
      <c r="P2722" s="20"/>
    </row>
    <row r="2723">
      <c r="A2723" s="10"/>
      <c r="B2723" s="11"/>
      <c r="C2723" s="10"/>
      <c r="D2723" s="13"/>
      <c r="E2723" s="14"/>
      <c r="F2723" s="14"/>
      <c r="G2723" s="14"/>
      <c r="H2723" s="10"/>
      <c r="I2723" s="17"/>
      <c r="J2723" s="10"/>
      <c r="K2723" s="46"/>
      <c r="L2723" s="10"/>
      <c r="M2723" s="20"/>
      <c r="N2723" s="20"/>
      <c r="O2723" s="20"/>
      <c r="P2723" s="20"/>
    </row>
    <row r="2724">
      <c r="A2724" s="23"/>
      <c r="B2724" s="21"/>
      <c r="C2724" s="23"/>
      <c r="D2724" s="24"/>
      <c r="E2724" s="14"/>
      <c r="F2724" s="14"/>
      <c r="G2724" s="14"/>
      <c r="H2724" s="23"/>
      <c r="I2724" s="27"/>
      <c r="J2724" s="23"/>
      <c r="K2724" s="30"/>
      <c r="L2724" s="23"/>
      <c r="M2724" s="20"/>
      <c r="N2724" s="20"/>
      <c r="O2724" s="20"/>
      <c r="P2724" s="20"/>
    </row>
    <row r="2725">
      <c r="A2725" s="10"/>
      <c r="B2725" s="11"/>
      <c r="C2725" s="10"/>
      <c r="D2725" s="13"/>
      <c r="E2725" s="14"/>
      <c r="F2725" s="14"/>
      <c r="G2725" s="14"/>
      <c r="H2725" s="10"/>
      <c r="I2725" s="17"/>
      <c r="J2725" s="10"/>
      <c r="K2725" s="46"/>
      <c r="L2725" s="10"/>
      <c r="M2725" s="20"/>
      <c r="N2725" s="20"/>
      <c r="O2725" s="20"/>
      <c r="P2725" s="20"/>
    </row>
    <row r="2726">
      <c r="A2726" s="23"/>
      <c r="B2726" s="21"/>
      <c r="C2726" s="23"/>
      <c r="D2726" s="24"/>
      <c r="E2726" s="14"/>
      <c r="F2726" s="14"/>
      <c r="G2726" s="14"/>
      <c r="H2726" s="23"/>
      <c r="I2726" s="27"/>
      <c r="J2726" s="23"/>
      <c r="K2726" s="30"/>
      <c r="L2726" s="23"/>
      <c r="M2726" s="20"/>
      <c r="N2726" s="20"/>
      <c r="O2726" s="20"/>
      <c r="P2726" s="20"/>
    </row>
    <row r="2727">
      <c r="A2727" s="10"/>
      <c r="B2727" s="11"/>
      <c r="C2727" s="10"/>
      <c r="D2727" s="13"/>
      <c r="E2727" s="14"/>
      <c r="F2727" s="14"/>
      <c r="G2727" s="14"/>
      <c r="H2727" s="10"/>
      <c r="I2727" s="17"/>
      <c r="J2727" s="10"/>
      <c r="K2727" s="46"/>
      <c r="L2727" s="10"/>
      <c r="M2727" s="20"/>
      <c r="N2727" s="20"/>
      <c r="O2727" s="20"/>
      <c r="P2727" s="20"/>
    </row>
    <row r="2728">
      <c r="A2728" s="23"/>
      <c r="B2728" s="21"/>
      <c r="C2728" s="23"/>
      <c r="D2728" s="24"/>
      <c r="E2728" s="14"/>
      <c r="F2728" s="14"/>
      <c r="G2728" s="14"/>
      <c r="H2728" s="23"/>
      <c r="I2728" s="27"/>
      <c r="J2728" s="23"/>
      <c r="K2728" s="30"/>
      <c r="L2728" s="23"/>
      <c r="M2728" s="20"/>
      <c r="N2728" s="20"/>
      <c r="O2728" s="20"/>
      <c r="P2728" s="20"/>
    </row>
    <row r="2729">
      <c r="A2729" s="10"/>
      <c r="B2729" s="11"/>
      <c r="C2729" s="10"/>
      <c r="D2729" s="13"/>
      <c r="E2729" s="14"/>
      <c r="F2729" s="14"/>
      <c r="G2729" s="14"/>
      <c r="H2729" s="10"/>
      <c r="I2729" s="17"/>
      <c r="J2729" s="10"/>
      <c r="K2729" s="46"/>
      <c r="L2729" s="10"/>
      <c r="M2729" s="20"/>
      <c r="N2729" s="20"/>
      <c r="O2729" s="20"/>
      <c r="P2729" s="20"/>
    </row>
    <row r="2730">
      <c r="A2730" s="23"/>
      <c r="B2730" s="21"/>
      <c r="C2730" s="23"/>
      <c r="D2730" s="24"/>
      <c r="E2730" s="14"/>
      <c r="F2730" s="14"/>
      <c r="G2730" s="14"/>
      <c r="H2730" s="23"/>
      <c r="I2730" s="27"/>
      <c r="J2730" s="23"/>
      <c r="K2730" s="30"/>
      <c r="L2730" s="23"/>
      <c r="M2730" s="20"/>
      <c r="N2730" s="20"/>
      <c r="O2730" s="20"/>
      <c r="P2730" s="20"/>
    </row>
    <row r="2731">
      <c r="A2731" s="10"/>
      <c r="B2731" s="11"/>
      <c r="C2731" s="10"/>
      <c r="D2731" s="13"/>
      <c r="E2731" s="14"/>
      <c r="F2731" s="14"/>
      <c r="G2731" s="14"/>
      <c r="H2731" s="10"/>
      <c r="I2731" s="17"/>
      <c r="J2731" s="10"/>
      <c r="K2731" s="46"/>
      <c r="L2731" s="10"/>
      <c r="M2731" s="20"/>
      <c r="N2731" s="20"/>
      <c r="O2731" s="20"/>
      <c r="P2731" s="20"/>
    </row>
    <row r="2732">
      <c r="A2732" s="23"/>
      <c r="B2732" s="21"/>
      <c r="C2732" s="23"/>
      <c r="D2732" s="24"/>
      <c r="E2732" s="14"/>
      <c r="F2732" s="14"/>
      <c r="G2732" s="14"/>
      <c r="H2732" s="23"/>
      <c r="I2732" s="27"/>
      <c r="J2732" s="23"/>
      <c r="K2732" s="30"/>
      <c r="L2732" s="23"/>
      <c r="M2732" s="20"/>
      <c r="N2732" s="20"/>
      <c r="O2732" s="20"/>
      <c r="P2732" s="20"/>
    </row>
    <row r="2733">
      <c r="A2733" s="10"/>
      <c r="B2733" s="11"/>
      <c r="C2733" s="10"/>
      <c r="D2733" s="13"/>
      <c r="E2733" s="14"/>
      <c r="F2733" s="14"/>
      <c r="G2733" s="14"/>
      <c r="H2733" s="10"/>
      <c r="I2733" s="17"/>
      <c r="J2733" s="10"/>
      <c r="K2733" s="46"/>
      <c r="L2733" s="10"/>
      <c r="M2733" s="20"/>
      <c r="N2733" s="20"/>
      <c r="O2733" s="20"/>
      <c r="P2733" s="20"/>
    </row>
    <row r="2734">
      <c r="A2734" s="23"/>
      <c r="B2734" s="21"/>
      <c r="C2734" s="23"/>
      <c r="D2734" s="24"/>
      <c r="E2734" s="14"/>
      <c r="F2734" s="14"/>
      <c r="G2734" s="14"/>
      <c r="H2734" s="23"/>
      <c r="I2734" s="27"/>
      <c r="J2734" s="23"/>
      <c r="K2734" s="30"/>
      <c r="L2734" s="23"/>
      <c r="M2734" s="20"/>
      <c r="N2734" s="20"/>
      <c r="O2734" s="20"/>
      <c r="P2734" s="20"/>
    </row>
    <row r="2735">
      <c r="A2735" s="10"/>
      <c r="B2735" s="11"/>
      <c r="C2735" s="10"/>
      <c r="D2735" s="13"/>
      <c r="E2735" s="14"/>
      <c r="F2735" s="14"/>
      <c r="G2735" s="14"/>
      <c r="H2735" s="10"/>
      <c r="I2735" s="17"/>
      <c r="J2735" s="10"/>
      <c r="K2735" s="46"/>
      <c r="L2735" s="10"/>
      <c r="M2735" s="20"/>
      <c r="N2735" s="20"/>
      <c r="O2735" s="20"/>
      <c r="P2735" s="20"/>
    </row>
    <row r="2736">
      <c r="A2736" s="23"/>
      <c r="B2736" s="21"/>
      <c r="C2736" s="23"/>
      <c r="D2736" s="24"/>
      <c r="E2736" s="14"/>
      <c r="F2736" s="14"/>
      <c r="G2736" s="14"/>
      <c r="H2736" s="23"/>
      <c r="I2736" s="27"/>
      <c r="J2736" s="23"/>
      <c r="K2736" s="30"/>
      <c r="L2736" s="23"/>
      <c r="M2736" s="20"/>
      <c r="N2736" s="20"/>
      <c r="O2736" s="20"/>
      <c r="P2736" s="20"/>
    </row>
    <row r="2737">
      <c r="A2737" s="10"/>
      <c r="B2737" s="11"/>
      <c r="C2737" s="10"/>
      <c r="D2737" s="13"/>
      <c r="E2737" s="14"/>
      <c r="F2737" s="14"/>
      <c r="G2737" s="14"/>
      <c r="H2737" s="10"/>
      <c r="I2737" s="17"/>
      <c r="J2737" s="10"/>
      <c r="K2737" s="46"/>
      <c r="L2737" s="10"/>
      <c r="M2737" s="20"/>
      <c r="N2737" s="20"/>
      <c r="O2737" s="20"/>
      <c r="P2737" s="20"/>
    </row>
    <row r="2738">
      <c r="A2738" s="23"/>
      <c r="B2738" s="21"/>
      <c r="C2738" s="23"/>
      <c r="D2738" s="24"/>
      <c r="E2738" s="14"/>
      <c r="F2738" s="14"/>
      <c r="G2738" s="14"/>
      <c r="H2738" s="23"/>
      <c r="I2738" s="27"/>
      <c r="J2738" s="23"/>
      <c r="K2738" s="30"/>
      <c r="L2738" s="23"/>
      <c r="M2738" s="20"/>
      <c r="N2738" s="20"/>
      <c r="O2738" s="20"/>
      <c r="P2738" s="20"/>
    </row>
    <row r="2739">
      <c r="A2739" s="10"/>
      <c r="B2739" s="11"/>
      <c r="C2739" s="10"/>
      <c r="D2739" s="13"/>
      <c r="E2739" s="14"/>
      <c r="F2739" s="14"/>
      <c r="G2739" s="14"/>
      <c r="H2739" s="10"/>
      <c r="I2739" s="17"/>
      <c r="J2739" s="10"/>
      <c r="K2739" s="46"/>
      <c r="L2739" s="10"/>
      <c r="M2739" s="20"/>
      <c r="N2739" s="20"/>
      <c r="O2739" s="20"/>
      <c r="P2739" s="20"/>
    </row>
    <row r="2740">
      <c r="A2740" s="23"/>
      <c r="B2740" s="21"/>
      <c r="C2740" s="23"/>
      <c r="D2740" s="24"/>
      <c r="E2740" s="14"/>
      <c r="F2740" s="14"/>
      <c r="G2740" s="14"/>
      <c r="H2740" s="23"/>
      <c r="I2740" s="27"/>
      <c r="J2740" s="23"/>
      <c r="K2740" s="30"/>
      <c r="L2740" s="23"/>
      <c r="M2740" s="20"/>
      <c r="N2740" s="20"/>
      <c r="O2740" s="20"/>
      <c r="P2740" s="20"/>
    </row>
    <row r="2741">
      <c r="A2741" s="10"/>
      <c r="B2741" s="11"/>
      <c r="C2741" s="10"/>
      <c r="D2741" s="13"/>
      <c r="E2741" s="14"/>
      <c r="F2741" s="14"/>
      <c r="G2741" s="14"/>
      <c r="H2741" s="10"/>
      <c r="I2741" s="17"/>
      <c r="J2741" s="10"/>
      <c r="K2741" s="46"/>
      <c r="L2741" s="10"/>
      <c r="M2741" s="20"/>
      <c r="N2741" s="20"/>
      <c r="O2741" s="20"/>
      <c r="P2741" s="20"/>
    </row>
    <row r="2742">
      <c r="A2742" s="23"/>
      <c r="B2742" s="21"/>
      <c r="C2742" s="23"/>
      <c r="D2742" s="24"/>
      <c r="E2742" s="14"/>
      <c r="F2742" s="14"/>
      <c r="G2742" s="14"/>
      <c r="H2742" s="23"/>
      <c r="I2742" s="27"/>
      <c r="J2742" s="23"/>
      <c r="K2742" s="30"/>
      <c r="L2742" s="23"/>
      <c r="M2742" s="20"/>
      <c r="N2742" s="20"/>
      <c r="O2742" s="20"/>
      <c r="P2742" s="20"/>
    </row>
    <row r="2743">
      <c r="A2743" s="10"/>
      <c r="B2743" s="11"/>
      <c r="C2743" s="10"/>
      <c r="D2743" s="13"/>
      <c r="E2743" s="14"/>
      <c r="F2743" s="14"/>
      <c r="G2743" s="14"/>
      <c r="H2743" s="10"/>
      <c r="I2743" s="17"/>
      <c r="J2743" s="10"/>
      <c r="K2743" s="46"/>
      <c r="L2743" s="10"/>
      <c r="M2743" s="20"/>
      <c r="N2743" s="20"/>
      <c r="O2743" s="20"/>
      <c r="P2743" s="20"/>
    </row>
    <row r="2744">
      <c r="A2744" s="23"/>
      <c r="B2744" s="21"/>
      <c r="C2744" s="23"/>
      <c r="D2744" s="24"/>
      <c r="E2744" s="14"/>
      <c r="F2744" s="14"/>
      <c r="G2744" s="14"/>
      <c r="H2744" s="23"/>
      <c r="I2744" s="27"/>
      <c r="J2744" s="23"/>
      <c r="K2744" s="30"/>
      <c r="L2744" s="23"/>
      <c r="M2744" s="20"/>
      <c r="N2744" s="20"/>
      <c r="O2744" s="20"/>
      <c r="P2744" s="20"/>
    </row>
    <row r="2745">
      <c r="A2745" s="10"/>
      <c r="B2745" s="11"/>
      <c r="C2745" s="10"/>
      <c r="D2745" s="13"/>
      <c r="E2745" s="14"/>
      <c r="F2745" s="14"/>
      <c r="G2745" s="14"/>
      <c r="H2745" s="10"/>
      <c r="I2745" s="17"/>
      <c r="J2745" s="10"/>
      <c r="K2745" s="46"/>
      <c r="L2745" s="10"/>
      <c r="M2745" s="20"/>
      <c r="N2745" s="20"/>
      <c r="O2745" s="20"/>
      <c r="P2745" s="20"/>
    </row>
    <row r="2746">
      <c r="A2746" s="23"/>
      <c r="B2746" s="21"/>
      <c r="C2746" s="23"/>
      <c r="D2746" s="24"/>
      <c r="E2746" s="14"/>
      <c r="F2746" s="14"/>
      <c r="G2746" s="14"/>
      <c r="H2746" s="23"/>
      <c r="I2746" s="27"/>
      <c r="J2746" s="23"/>
      <c r="K2746" s="30"/>
      <c r="L2746" s="23"/>
      <c r="M2746" s="20"/>
      <c r="N2746" s="20"/>
      <c r="O2746" s="20"/>
      <c r="P2746" s="20"/>
    </row>
    <row r="2747">
      <c r="A2747" s="10"/>
      <c r="B2747" s="11"/>
      <c r="C2747" s="10"/>
      <c r="D2747" s="13"/>
      <c r="E2747" s="14"/>
      <c r="F2747" s="14"/>
      <c r="G2747" s="14"/>
      <c r="H2747" s="10"/>
      <c r="I2747" s="17"/>
      <c r="J2747" s="10"/>
      <c r="K2747" s="46"/>
      <c r="L2747" s="10"/>
      <c r="M2747" s="20"/>
      <c r="N2747" s="20"/>
      <c r="O2747" s="20"/>
      <c r="P2747" s="20"/>
    </row>
    <row r="2748">
      <c r="A2748" s="23"/>
      <c r="B2748" s="21"/>
      <c r="C2748" s="23"/>
      <c r="D2748" s="24"/>
      <c r="E2748" s="14"/>
      <c r="F2748" s="14"/>
      <c r="G2748" s="14"/>
      <c r="H2748" s="23"/>
      <c r="I2748" s="27"/>
      <c r="J2748" s="23"/>
      <c r="K2748" s="30"/>
      <c r="L2748" s="23"/>
      <c r="M2748" s="20"/>
      <c r="N2748" s="20"/>
      <c r="O2748" s="20"/>
      <c r="P2748" s="20"/>
    </row>
    <row r="2749">
      <c r="A2749" s="10"/>
      <c r="B2749" s="11"/>
      <c r="C2749" s="10"/>
      <c r="D2749" s="13"/>
      <c r="E2749" s="14"/>
      <c r="F2749" s="14"/>
      <c r="G2749" s="14"/>
      <c r="H2749" s="10"/>
      <c r="I2749" s="17"/>
      <c r="J2749" s="10"/>
      <c r="K2749" s="46"/>
      <c r="L2749" s="10"/>
      <c r="M2749" s="20"/>
      <c r="N2749" s="20"/>
      <c r="O2749" s="20"/>
      <c r="P2749" s="20"/>
    </row>
    <row r="2750">
      <c r="A2750" s="23"/>
      <c r="B2750" s="21"/>
      <c r="C2750" s="23"/>
      <c r="D2750" s="24"/>
      <c r="E2750" s="14"/>
      <c r="F2750" s="14"/>
      <c r="G2750" s="14"/>
      <c r="H2750" s="23"/>
      <c r="I2750" s="27"/>
      <c r="J2750" s="23"/>
      <c r="K2750" s="30"/>
      <c r="L2750" s="23"/>
      <c r="M2750" s="20"/>
      <c r="N2750" s="20"/>
      <c r="O2750" s="20"/>
      <c r="P2750" s="20"/>
    </row>
    <row r="2751">
      <c r="A2751" s="10"/>
      <c r="B2751" s="11"/>
      <c r="C2751" s="10"/>
      <c r="D2751" s="13"/>
      <c r="E2751" s="14"/>
      <c r="F2751" s="14"/>
      <c r="G2751" s="14"/>
      <c r="H2751" s="10"/>
      <c r="I2751" s="17"/>
      <c r="J2751" s="10"/>
      <c r="K2751" s="46"/>
      <c r="L2751" s="10"/>
      <c r="M2751" s="20"/>
      <c r="N2751" s="20"/>
      <c r="O2751" s="20"/>
      <c r="P2751" s="20"/>
    </row>
    <row r="2752">
      <c r="A2752" s="23"/>
      <c r="B2752" s="21"/>
      <c r="C2752" s="23"/>
      <c r="D2752" s="24"/>
      <c r="E2752" s="14"/>
      <c r="F2752" s="14"/>
      <c r="G2752" s="14"/>
      <c r="H2752" s="23"/>
      <c r="I2752" s="27"/>
      <c r="J2752" s="23"/>
      <c r="K2752" s="30"/>
      <c r="L2752" s="23"/>
      <c r="M2752" s="20"/>
      <c r="N2752" s="20"/>
      <c r="O2752" s="20"/>
      <c r="P2752" s="20"/>
    </row>
    <row r="2753">
      <c r="A2753" s="10"/>
      <c r="B2753" s="11"/>
      <c r="C2753" s="10"/>
      <c r="D2753" s="13"/>
      <c r="E2753" s="14"/>
      <c r="F2753" s="14"/>
      <c r="G2753" s="14"/>
      <c r="H2753" s="10"/>
      <c r="I2753" s="17"/>
      <c r="J2753" s="10"/>
      <c r="K2753" s="46"/>
      <c r="L2753" s="10"/>
      <c r="M2753" s="20"/>
      <c r="N2753" s="20"/>
      <c r="O2753" s="20"/>
      <c r="P2753" s="20"/>
    </row>
    <row r="2754">
      <c r="A2754" s="23"/>
      <c r="B2754" s="21"/>
      <c r="C2754" s="23"/>
      <c r="D2754" s="24"/>
      <c r="E2754" s="14"/>
      <c r="F2754" s="14"/>
      <c r="G2754" s="14"/>
      <c r="H2754" s="23"/>
      <c r="I2754" s="27"/>
      <c r="J2754" s="23"/>
      <c r="K2754" s="30"/>
      <c r="L2754" s="23"/>
      <c r="M2754" s="20"/>
      <c r="N2754" s="20"/>
      <c r="O2754" s="20"/>
      <c r="P2754" s="20"/>
    </row>
    <row r="2755">
      <c r="A2755" s="10"/>
      <c r="B2755" s="11"/>
      <c r="C2755" s="10"/>
      <c r="D2755" s="13"/>
      <c r="E2755" s="14"/>
      <c r="F2755" s="14"/>
      <c r="G2755" s="14"/>
      <c r="H2755" s="10"/>
      <c r="I2755" s="17"/>
      <c r="J2755" s="10"/>
      <c r="K2755" s="46"/>
      <c r="L2755" s="10"/>
      <c r="M2755" s="20"/>
      <c r="N2755" s="20"/>
      <c r="O2755" s="20"/>
      <c r="P2755" s="20"/>
    </row>
    <row r="2756">
      <c r="A2756" s="23"/>
      <c r="B2756" s="21"/>
      <c r="C2756" s="23"/>
      <c r="D2756" s="24"/>
      <c r="E2756" s="14"/>
      <c r="F2756" s="14"/>
      <c r="G2756" s="14"/>
      <c r="H2756" s="23"/>
      <c r="I2756" s="27"/>
      <c r="J2756" s="23"/>
      <c r="K2756" s="30"/>
      <c r="L2756" s="23"/>
      <c r="M2756" s="20"/>
      <c r="N2756" s="20"/>
      <c r="O2756" s="20"/>
      <c r="P2756" s="20"/>
    </row>
    <row r="2757">
      <c r="A2757" s="10"/>
      <c r="B2757" s="11"/>
      <c r="C2757" s="10"/>
      <c r="D2757" s="13"/>
      <c r="E2757" s="14"/>
      <c r="F2757" s="14"/>
      <c r="G2757" s="14"/>
      <c r="H2757" s="10"/>
      <c r="I2757" s="17"/>
      <c r="J2757" s="10"/>
      <c r="K2757" s="46"/>
      <c r="L2757" s="10"/>
      <c r="M2757" s="20"/>
      <c r="N2757" s="20"/>
      <c r="O2757" s="20"/>
      <c r="P2757" s="20"/>
    </row>
    <row r="2758">
      <c r="A2758" s="23"/>
      <c r="B2758" s="21"/>
      <c r="C2758" s="23"/>
      <c r="D2758" s="24"/>
      <c r="E2758" s="14"/>
      <c r="F2758" s="14"/>
      <c r="G2758" s="14"/>
      <c r="H2758" s="23"/>
      <c r="I2758" s="27"/>
      <c r="J2758" s="23"/>
      <c r="K2758" s="30"/>
      <c r="L2758" s="23"/>
      <c r="M2758" s="20"/>
      <c r="N2758" s="20"/>
      <c r="O2758" s="20"/>
      <c r="P2758" s="20"/>
    </row>
    <row r="2759">
      <c r="A2759" s="10"/>
      <c r="B2759" s="11"/>
      <c r="C2759" s="10"/>
      <c r="D2759" s="13"/>
      <c r="E2759" s="14"/>
      <c r="F2759" s="14"/>
      <c r="G2759" s="14"/>
      <c r="H2759" s="10"/>
      <c r="I2759" s="17"/>
      <c r="J2759" s="10"/>
      <c r="K2759" s="46"/>
      <c r="L2759" s="10"/>
      <c r="M2759" s="20"/>
      <c r="N2759" s="20"/>
      <c r="O2759" s="20"/>
      <c r="P2759" s="20"/>
    </row>
    <row r="2760">
      <c r="A2760" s="23"/>
      <c r="B2760" s="21"/>
      <c r="C2760" s="23"/>
      <c r="D2760" s="24"/>
      <c r="E2760" s="14"/>
      <c r="F2760" s="14"/>
      <c r="G2760" s="14"/>
      <c r="H2760" s="23"/>
      <c r="I2760" s="27"/>
      <c r="J2760" s="23"/>
      <c r="K2760" s="30"/>
      <c r="L2760" s="23"/>
      <c r="M2760" s="20"/>
      <c r="N2760" s="20"/>
      <c r="O2760" s="20"/>
      <c r="P2760" s="20"/>
    </row>
    <row r="2761">
      <c r="A2761" s="10"/>
      <c r="B2761" s="11"/>
      <c r="C2761" s="10"/>
      <c r="D2761" s="13"/>
      <c r="E2761" s="14"/>
      <c r="F2761" s="14"/>
      <c r="G2761" s="14"/>
      <c r="H2761" s="10"/>
      <c r="I2761" s="17"/>
      <c r="J2761" s="10"/>
      <c r="K2761" s="46"/>
      <c r="L2761" s="10"/>
      <c r="M2761" s="20"/>
      <c r="N2761" s="20"/>
      <c r="O2761" s="20"/>
      <c r="P2761" s="20"/>
    </row>
    <row r="2762">
      <c r="A2762" s="23"/>
      <c r="B2762" s="21"/>
      <c r="C2762" s="23"/>
      <c r="D2762" s="24"/>
      <c r="E2762" s="14"/>
      <c r="F2762" s="14"/>
      <c r="G2762" s="14"/>
      <c r="H2762" s="23"/>
      <c r="I2762" s="27"/>
      <c r="J2762" s="23"/>
      <c r="K2762" s="30"/>
      <c r="L2762" s="23"/>
      <c r="M2762" s="20"/>
      <c r="N2762" s="20"/>
      <c r="O2762" s="20"/>
      <c r="P2762" s="20"/>
    </row>
    <row r="2763">
      <c r="A2763" s="10"/>
      <c r="B2763" s="11"/>
      <c r="C2763" s="10"/>
      <c r="D2763" s="13"/>
      <c r="E2763" s="14"/>
      <c r="F2763" s="14"/>
      <c r="G2763" s="14"/>
      <c r="H2763" s="10"/>
      <c r="I2763" s="17"/>
      <c r="J2763" s="10"/>
      <c r="K2763" s="46"/>
      <c r="L2763" s="10"/>
      <c r="M2763" s="20"/>
      <c r="N2763" s="20"/>
      <c r="O2763" s="20"/>
      <c r="P2763" s="20"/>
    </row>
    <row r="2764">
      <c r="A2764" s="23"/>
      <c r="B2764" s="21"/>
      <c r="C2764" s="23"/>
      <c r="D2764" s="24"/>
      <c r="E2764" s="14"/>
      <c r="F2764" s="14"/>
      <c r="G2764" s="14"/>
      <c r="H2764" s="23"/>
      <c r="I2764" s="27"/>
      <c r="J2764" s="23"/>
      <c r="K2764" s="30"/>
      <c r="L2764" s="23"/>
      <c r="M2764" s="20"/>
      <c r="N2764" s="20"/>
      <c r="O2764" s="20"/>
      <c r="P2764" s="20"/>
    </row>
    <row r="2765">
      <c r="A2765" s="10"/>
      <c r="B2765" s="11"/>
      <c r="C2765" s="10"/>
      <c r="D2765" s="13"/>
      <c r="E2765" s="14"/>
      <c r="F2765" s="14"/>
      <c r="G2765" s="14"/>
      <c r="H2765" s="10"/>
      <c r="I2765" s="17"/>
      <c r="J2765" s="10"/>
      <c r="K2765" s="46"/>
      <c r="L2765" s="10"/>
      <c r="M2765" s="20"/>
      <c r="N2765" s="20"/>
      <c r="O2765" s="20"/>
      <c r="P2765" s="20"/>
    </row>
    <row r="2766">
      <c r="A2766" s="23"/>
      <c r="B2766" s="21"/>
      <c r="C2766" s="23"/>
      <c r="D2766" s="24"/>
      <c r="E2766" s="14"/>
      <c r="F2766" s="14"/>
      <c r="G2766" s="14"/>
      <c r="H2766" s="23"/>
      <c r="I2766" s="27"/>
      <c r="J2766" s="23"/>
      <c r="K2766" s="30"/>
      <c r="L2766" s="23"/>
      <c r="M2766" s="20"/>
      <c r="N2766" s="20"/>
      <c r="O2766" s="20"/>
      <c r="P2766" s="20"/>
    </row>
    <row r="2767">
      <c r="A2767" s="10"/>
      <c r="B2767" s="11"/>
      <c r="C2767" s="10"/>
      <c r="D2767" s="13"/>
      <c r="E2767" s="14"/>
      <c r="F2767" s="14"/>
      <c r="G2767" s="14"/>
      <c r="H2767" s="10"/>
      <c r="I2767" s="17"/>
      <c r="J2767" s="10"/>
      <c r="K2767" s="46"/>
      <c r="L2767" s="10"/>
      <c r="M2767" s="20"/>
      <c r="N2767" s="20"/>
      <c r="O2767" s="20"/>
      <c r="P2767" s="20"/>
    </row>
    <row r="2768">
      <c r="A2768" s="23"/>
      <c r="B2768" s="21"/>
      <c r="C2768" s="23"/>
      <c r="D2768" s="24"/>
      <c r="E2768" s="14"/>
      <c r="F2768" s="14"/>
      <c r="G2768" s="14"/>
      <c r="H2768" s="23"/>
      <c r="I2768" s="27"/>
      <c r="J2768" s="23"/>
      <c r="K2768" s="30"/>
      <c r="L2768" s="23"/>
      <c r="M2768" s="20"/>
      <c r="N2768" s="20"/>
      <c r="O2768" s="20"/>
      <c r="P2768" s="20"/>
    </row>
    <row r="2769">
      <c r="A2769" s="10"/>
      <c r="B2769" s="11"/>
      <c r="C2769" s="10"/>
      <c r="D2769" s="13"/>
      <c r="E2769" s="14"/>
      <c r="F2769" s="14"/>
      <c r="G2769" s="14"/>
      <c r="H2769" s="10"/>
      <c r="I2769" s="17"/>
      <c r="J2769" s="10"/>
      <c r="K2769" s="46"/>
      <c r="L2769" s="10"/>
      <c r="M2769" s="20"/>
      <c r="N2769" s="20"/>
      <c r="O2769" s="20"/>
      <c r="P2769" s="20"/>
    </row>
    <row r="2770">
      <c r="A2770" s="23"/>
      <c r="B2770" s="21"/>
      <c r="C2770" s="23"/>
      <c r="D2770" s="24"/>
      <c r="E2770" s="14"/>
      <c r="F2770" s="14"/>
      <c r="G2770" s="14"/>
      <c r="H2770" s="23"/>
      <c r="I2770" s="27"/>
      <c r="J2770" s="23"/>
      <c r="K2770" s="30"/>
      <c r="L2770" s="23"/>
      <c r="M2770" s="20"/>
      <c r="N2770" s="20"/>
      <c r="O2770" s="20"/>
      <c r="P2770" s="20"/>
    </row>
    <row r="2771">
      <c r="A2771" s="10"/>
      <c r="B2771" s="11"/>
      <c r="C2771" s="10"/>
      <c r="D2771" s="13"/>
      <c r="E2771" s="14"/>
      <c r="F2771" s="14"/>
      <c r="G2771" s="14"/>
      <c r="H2771" s="10"/>
      <c r="I2771" s="17"/>
      <c r="J2771" s="10"/>
      <c r="K2771" s="46"/>
      <c r="L2771" s="10"/>
      <c r="M2771" s="20"/>
      <c r="N2771" s="20"/>
      <c r="O2771" s="20"/>
      <c r="P2771" s="20"/>
    </row>
    <row r="2772">
      <c r="A2772" s="23"/>
      <c r="B2772" s="21"/>
      <c r="C2772" s="23"/>
      <c r="D2772" s="24"/>
      <c r="E2772" s="14"/>
      <c r="F2772" s="14"/>
      <c r="G2772" s="14"/>
      <c r="H2772" s="23"/>
      <c r="I2772" s="27"/>
      <c r="J2772" s="23"/>
      <c r="K2772" s="30"/>
      <c r="L2772" s="23"/>
      <c r="M2772" s="20"/>
      <c r="N2772" s="20"/>
      <c r="O2772" s="20"/>
      <c r="P2772" s="20"/>
    </row>
    <row r="2773">
      <c r="A2773" s="10"/>
      <c r="B2773" s="11"/>
      <c r="C2773" s="10"/>
      <c r="D2773" s="13"/>
      <c r="E2773" s="14"/>
      <c r="F2773" s="14"/>
      <c r="G2773" s="14"/>
      <c r="H2773" s="10"/>
      <c r="I2773" s="17"/>
      <c r="J2773" s="10"/>
      <c r="K2773" s="46"/>
      <c r="L2773" s="10"/>
      <c r="M2773" s="20"/>
      <c r="N2773" s="20"/>
      <c r="O2773" s="20"/>
      <c r="P2773" s="20"/>
    </row>
    <row r="2774">
      <c r="A2774" s="23"/>
      <c r="B2774" s="21"/>
      <c r="C2774" s="23"/>
      <c r="D2774" s="24"/>
      <c r="E2774" s="14"/>
      <c r="F2774" s="14"/>
      <c r="G2774" s="14"/>
      <c r="H2774" s="23"/>
      <c r="I2774" s="27"/>
      <c r="J2774" s="23"/>
      <c r="K2774" s="30"/>
      <c r="L2774" s="23"/>
      <c r="M2774" s="20"/>
      <c r="N2774" s="20"/>
      <c r="O2774" s="20"/>
      <c r="P2774" s="20"/>
    </row>
    <row r="2775">
      <c r="A2775" s="10"/>
      <c r="B2775" s="11"/>
      <c r="C2775" s="10"/>
      <c r="D2775" s="13"/>
      <c r="E2775" s="14"/>
      <c r="F2775" s="14"/>
      <c r="G2775" s="14"/>
      <c r="H2775" s="10"/>
      <c r="I2775" s="17"/>
      <c r="J2775" s="10"/>
      <c r="K2775" s="46"/>
      <c r="L2775" s="10"/>
      <c r="M2775" s="20"/>
      <c r="N2775" s="20"/>
      <c r="O2775" s="20"/>
      <c r="P2775" s="20"/>
    </row>
    <row r="2776">
      <c r="A2776" s="23"/>
      <c r="B2776" s="21"/>
      <c r="C2776" s="23"/>
      <c r="D2776" s="24"/>
      <c r="E2776" s="14"/>
      <c r="F2776" s="14"/>
      <c r="G2776" s="14"/>
      <c r="H2776" s="23"/>
      <c r="I2776" s="27"/>
      <c r="J2776" s="23"/>
      <c r="K2776" s="30"/>
      <c r="L2776" s="23"/>
      <c r="M2776" s="20"/>
      <c r="N2776" s="20"/>
      <c r="O2776" s="20"/>
      <c r="P2776" s="20"/>
    </row>
    <row r="2777">
      <c r="A2777" s="10"/>
      <c r="B2777" s="11"/>
      <c r="C2777" s="10"/>
      <c r="D2777" s="13"/>
      <c r="E2777" s="14"/>
      <c r="F2777" s="14"/>
      <c r="G2777" s="14"/>
      <c r="H2777" s="10"/>
      <c r="I2777" s="17"/>
      <c r="J2777" s="10"/>
      <c r="K2777" s="46"/>
      <c r="L2777" s="10"/>
      <c r="M2777" s="20"/>
      <c r="N2777" s="20"/>
      <c r="O2777" s="20"/>
      <c r="P2777" s="20"/>
    </row>
    <row r="2778">
      <c r="A2778" s="23"/>
      <c r="B2778" s="21"/>
      <c r="C2778" s="23"/>
      <c r="D2778" s="24"/>
      <c r="E2778" s="14"/>
      <c r="F2778" s="14"/>
      <c r="G2778" s="14"/>
      <c r="H2778" s="23"/>
      <c r="I2778" s="27"/>
      <c r="J2778" s="23"/>
      <c r="K2778" s="30"/>
      <c r="L2778" s="23"/>
      <c r="M2778" s="20"/>
      <c r="N2778" s="20"/>
      <c r="O2778" s="20"/>
      <c r="P2778" s="20"/>
    </row>
    <row r="2779">
      <c r="A2779" s="10"/>
      <c r="B2779" s="11"/>
      <c r="C2779" s="10"/>
      <c r="D2779" s="13"/>
      <c r="E2779" s="14"/>
      <c r="F2779" s="14"/>
      <c r="G2779" s="14"/>
      <c r="H2779" s="10"/>
      <c r="I2779" s="17"/>
      <c r="J2779" s="10"/>
      <c r="K2779" s="46"/>
      <c r="L2779" s="10"/>
      <c r="M2779" s="20"/>
      <c r="N2779" s="20"/>
      <c r="O2779" s="20"/>
      <c r="P2779" s="20"/>
    </row>
    <row r="2780">
      <c r="A2780" s="23"/>
      <c r="B2780" s="21"/>
      <c r="C2780" s="23"/>
      <c r="D2780" s="24"/>
      <c r="E2780" s="14"/>
      <c r="F2780" s="14"/>
      <c r="G2780" s="14"/>
      <c r="H2780" s="23"/>
      <c r="I2780" s="27"/>
      <c r="J2780" s="23"/>
      <c r="K2780" s="30"/>
      <c r="L2780" s="23"/>
      <c r="M2780" s="20"/>
      <c r="N2780" s="20"/>
      <c r="O2780" s="20"/>
      <c r="P2780" s="20"/>
    </row>
    <row r="2781">
      <c r="A2781" s="10"/>
      <c r="B2781" s="11"/>
      <c r="C2781" s="10"/>
      <c r="D2781" s="13"/>
      <c r="E2781" s="14"/>
      <c r="F2781" s="14"/>
      <c r="G2781" s="14"/>
      <c r="H2781" s="10"/>
      <c r="I2781" s="17"/>
      <c r="J2781" s="10"/>
      <c r="K2781" s="46"/>
      <c r="L2781" s="10"/>
      <c r="M2781" s="20"/>
      <c r="N2781" s="20"/>
      <c r="O2781" s="20"/>
      <c r="P2781" s="20"/>
    </row>
    <row r="2782">
      <c r="A2782" s="23"/>
      <c r="B2782" s="21"/>
      <c r="C2782" s="23"/>
      <c r="D2782" s="24"/>
      <c r="E2782" s="14"/>
      <c r="F2782" s="14"/>
      <c r="G2782" s="14"/>
      <c r="H2782" s="23"/>
      <c r="I2782" s="27"/>
      <c r="J2782" s="23"/>
      <c r="K2782" s="30"/>
      <c r="L2782" s="23"/>
      <c r="M2782" s="20"/>
      <c r="N2782" s="20"/>
      <c r="O2782" s="20"/>
      <c r="P2782" s="20"/>
    </row>
    <row r="2783">
      <c r="A2783" s="10"/>
      <c r="B2783" s="11"/>
      <c r="C2783" s="10"/>
      <c r="D2783" s="13"/>
      <c r="E2783" s="14"/>
      <c r="F2783" s="14"/>
      <c r="G2783" s="14"/>
      <c r="H2783" s="10"/>
      <c r="I2783" s="17"/>
      <c r="J2783" s="10"/>
      <c r="K2783" s="46"/>
      <c r="L2783" s="10"/>
      <c r="M2783" s="20"/>
      <c r="N2783" s="20"/>
      <c r="O2783" s="20"/>
      <c r="P2783" s="20"/>
    </row>
    <row r="2784">
      <c r="A2784" s="23"/>
      <c r="B2784" s="21"/>
      <c r="C2784" s="23"/>
      <c r="D2784" s="24"/>
      <c r="E2784" s="14"/>
      <c r="F2784" s="14"/>
      <c r="G2784" s="14"/>
      <c r="H2784" s="23"/>
      <c r="I2784" s="27"/>
      <c r="J2784" s="23"/>
      <c r="K2784" s="30"/>
      <c r="L2784" s="23"/>
      <c r="M2784" s="20"/>
      <c r="N2784" s="20"/>
      <c r="O2784" s="20"/>
      <c r="P2784" s="20"/>
    </row>
    <row r="2785">
      <c r="A2785" s="10"/>
      <c r="B2785" s="11"/>
      <c r="C2785" s="10"/>
      <c r="D2785" s="13"/>
      <c r="E2785" s="14"/>
      <c r="F2785" s="14"/>
      <c r="G2785" s="14"/>
      <c r="H2785" s="10"/>
      <c r="I2785" s="17"/>
      <c r="J2785" s="10"/>
      <c r="K2785" s="46"/>
      <c r="L2785" s="10"/>
      <c r="M2785" s="20"/>
      <c r="N2785" s="20"/>
      <c r="O2785" s="20"/>
      <c r="P2785" s="20"/>
    </row>
    <row r="2786">
      <c r="A2786" s="23"/>
      <c r="B2786" s="21"/>
      <c r="C2786" s="23"/>
      <c r="D2786" s="24"/>
      <c r="E2786" s="14"/>
      <c r="F2786" s="14"/>
      <c r="G2786" s="14"/>
      <c r="H2786" s="23"/>
      <c r="I2786" s="27"/>
      <c r="J2786" s="23"/>
      <c r="K2786" s="30"/>
      <c r="L2786" s="23"/>
      <c r="M2786" s="20"/>
      <c r="N2786" s="20"/>
      <c r="O2786" s="20"/>
      <c r="P2786" s="20"/>
    </row>
    <row r="2787">
      <c r="A2787" s="10"/>
      <c r="B2787" s="11"/>
      <c r="C2787" s="10"/>
      <c r="D2787" s="13"/>
      <c r="E2787" s="14"/>
      <c r="F2787" s="14"/>
      <c r="G2787" s="14"/>
      <c r="H2787" s="10"/>
      <c r="I2787" s="17"/>
      <c r="J2787" s="10"/>
      <c r="K2787" s="46"/>
      <c r="L2787" s="10"/>
      <c r="M2787" s="20"/>
      <c r="N2787" s="20"/>
      <c r="O2787" s="20"/>
      <c r="P2787" s="20"/>
    </row>
    <row r="2788">
      <c r="A2788" s="23"/>
      <c r="B2788" s="21"/>
      <c r="C2788" s="23"/>
      <c r="D2788" s="24"/>
      <c r="E2788" s="14"/>
      <c r="F2788" s="14"/>
      <c r="G2788" s="14"/>
      <c r="H2788" s="23"/>
      <c r="I2788" s="27"/>
      <c r="J2788" s="23"/>
      <c r="K2788" s="30"/>
      <c r="L2788" s="23"/>
      <c r="M2788" s="20"/>
      <c r="N2788" s="20"/>
      <c r="O2788" s="20"/>
      <c r="P2788" s="20"/>
    </row>
    <row r="2789">
      <c r="A2789" s="10"/>
      <c r="B2789" s="11"/>
      <c r="C2789" s="10"/>
      <c r="D2789" s="13"/>
      <c r="E2789" s="14"/>
      <c r="F2789" s="14"/>
      <c r="G2789" s="14"/>
      <c r="H2789" s="10"/>
      <c r="I2789" s="17"/>
      <c r="J2789" s="10"/>
      <c r="K2789" s="46"/>
      <c r="L2789" s="10"/>
      <c r="M2789" s="20"/>
      <c r="N2789" s="20"/>
      <c r="O2789" s="20"/>
      <c r="P2789" s="20"/>
    </row>
    <row r="2790">
      <c r="A2790" s="23"/>
      <c r="B2790" s="21"/>
      <c r="C2790" s="23"/>
      <c r="D2790" s="24"/>
      <c r="E2790" s="14"/>
      <c r="F2790" s="14"/>
      <c r="G2790" s="14"/>
      <c r="H2790" s="23"/>
      <c r="I2790" s="27"/>
      <c r="J2790" s="23"/>
      <c r="K2790" s="30"/>
      <c r="L2790" s="23"/>
      <c r="M2790" s="20"/>
      <c r="N2790" s="20"/>
      <c r="O2790" s="20"/>
      <c r="P2790" s="20"/>
    </row>
    <row r="2791">
      <c r="A2791" s="10"/>
      <c r="B2791" s="11"/>
      <c r="C2791" s="10"/>
      <c r="D2791" s="13"/>
      <c r="E2791" s="14"/>
      <c r="F2791" s="14"/>
      <c r="G2791" s="14"/>
      <c r="H2791" s="10"/>
      <c r="I2791" s="17"/>
      <c r="J2791" s="10"/>
      <c r="K2791" s="46"/>
      <c r="L2791" s="10"/>
      <c r="M2791" s="20"/>
      <c r="N2791" s="20"/>
      <c r="O2791" s="20"/>
      <c r="P2791" s="20"/>
    </row>
    <row r="2792">
      <c r="A2792" s="23"/>
      <c r="B2792" s="21"/>
      <c r="C2792" s="23"/>
      <c r="D2792" s="24"/>
      <c r="E2792" s="14"/>
      <c r="F2792" s="14"/>
      <c r="G2792" s="14"/>
      <c r="H2792" s="23"/>
      <c r="I2792" s="27"/>
      <c r="J2792" s="23"/>
      <c r="K2792" s="30"/>
      <c r="L2792" s="23"/>
      <c r="M2792" s="20"/>
      <c r="N2792" s="20"/>
      <c r="O2792" s="20"/>
      <c r="P2792" s="20"/>
    </row>
    <row r="2793">
      <c r="A2793" s="10"/>
      <c r="B2793" s="11"/>
      <c r="C2793" s="10"/>
      <c r="D2793" s="13"/>
      <c r="E2793" s="14"/>
      <c r="F2793" s="14"/>
      <c r="G2793" s="14"/>
      <c r="H2793" s="10"/>
      <c r="I2793" s="17"/>
      <c r="J2793" s="10"/>
      <c r="K2793" s="46"/>
      <c r="L2793" s="10"/>
      <c r="M2793" s="20"/>
      <c r="N2793" s="20"/>
      <c r="O2793" s="20"/>
      <c r="P2793" s="20"/>
    </row>
    <row r="2794">
      <c r="A2794" s="23"/>
      <c r="B2794" s="21"/>
      <c r="C2794" s="23"/>
      <c r="D2794" s="24"/>
      <c r="E2794" s="14"/>
      <c r="F2794" s="14"/>
      <c r="G2794" s="14"/>
      <c r="H2794" s="23"/>
      <c r="I2794" s="27"/>
      <c r="J2794" s="23"/>
      <c r="K2794" s="30"/>
      <c r="L2794" s="23"/>
      <c r="M2794" s="20"/>
      <c r="N2794" s="20"/>
      <c r="O2794" s="20"/>
      <c r="P2794" s="20"/>
    </row>
    <row r="2795">
      <c r="A2795" s="10"/>
      <c r="B2795" s="11"/>
      <c r="C2795" s="10"/>
      <c r="D2795" s="13"/>
      <c r="E2795" s="14"/>
      <c r="F2795" s="14"/>
      <c r="G2795" s="14"/>
      <c r="H2795" s="10"/>
      <c r="I2795" s="17"/>
      <c r="J2795" s="10"/>
      <c r="K2795" s="46"/>
      <c r="L2795" s="10"/>
      <c r="M2795" s="20"/>
      <c r="N2795" s="20"/>
      <c r="O2795" s="20"/>
      <c r="P2795" s="20"/>
    </row>
    <row r="2796">
      <c r="A2796" s="23"/>
      <c r="B2796" s="21"/>
      <c r="C2796" s="23"/>
      <c r="D2796" s="24"/>
      <c r="E2796" s="14"/>
      <c r="F2796" s="14"/>
      <c r="G2796" s="14"/>
      <c r="H2796" s="23"/>
      <c r="I2796" s="27"/>
      <c r="J2796" s="23"/>
      <c r="K2796" s="30"/>
      <c r="L2796" s="23"/>
      <c r="M2796" s="20"/>
      <c r="N2796" s="20"/>
      <c r="O2796" s="20"/>
      <c r="P2796" s="20"/>
    </row>
    <row r="2797">
      <c r="A2797" s="10"/>
      <c r="B2797" s="11"/>
      <c r="C2797" s="10"/>
      <c r="D2797" s="13"/>
      <c r="E2797" s="14"/>
      <c r="F2797" s="14"/>
      <c r="G2797" s="14"/>
      <c r="H2797" s="10"/>
      <c r="I2797" s="17"/>
      <c r="J2797" s="10"/>
      <c r="K2797" s="46"/>
      <c r="L2797" s="10"/>
      <c r="M2797" s="20"/>
      <c r="N2797" s="20"/>
      <c r="O2797" s="20"/>
      <c r="P2797" s="20"/>
    </row>
    <row r="2798">
      <c r="A2798" s="23"/>
      <c r="B2798" s="21"/>
      <c r="C2798" s="23"/>
      <c r="D2798" s="24"/>
      <c r="E2798" s="14"/>
      <c r="F2798" s="14"/>
      <c r="G2798" s="14"/>
      <c r="H2798" s="23"/>
      <c r="I2798" s="27"/>
      <c r="J2798" s="23"/>
      <c r="K2798" s="30"/>
      <c r="L2798" s="23"/>
      <c r="M2798" s="20"/>
      <c r="N2798" s="20"/>
      <c r="O2798" s="20"/>
      <c r="P2798" s="20"/>
    </row>
    <row r="2799">
      <c r="A2799" s="10"/>
      <c r="B2799" s="11"/>
      <c r="C2799" s="10"/>
      <c r="D2799" s="13"/>
      <c r="E2799" s="14"/>
      <c r="F2799" s="14"/>
      <c r="G2799" s="14"/>
      <c r="H2799" s="10"/>
      <c r="I2799" s="17"/>
      <c r="J2799" s="10"/>
      <c r="K2799" s="46"/>
      <c r="L2799" s="10"/>
      <c r="M2799" s="20"/>
      <c r="N2799" s="20"/>
      <c r="O2799" s="20"/>
      <c r="P2799" s="20"/>
    </row>
    <row r="2800">
      <c r="A2800" s="23"/>
      <c r="B2800" s="21"/>
      <c r="C2800" s="23"/>
      <c r="D2800" s="24"/>
      <c r="E2800" s="14"/>
      <c r="F2800" s="14"/>
      <c r="G2800" s="14"/>
      <c r="H2800" s="23"/>
      <c r="I2800" s="27"/>
      <c r="J2800" s="23"/>
      <c r="K2800" s="30"/>
      <c r="L2800" s="23"/>
      <c r="M2800" s="20"/>
      <c r="N2800" s="20"/>
      <c r="O2800" s="20"/>
      <c r="P2800" s="20"/>
    </row>
    <row r="2801">
      <c r="A2801" s="10"/>
      <c r="B2801" s="11"/>
      <c r="C2801" s="10"/>
      <c r="D2801" s="13"/>
      <c r="E2801" s="14"/>
      <c r="F2801" s="14"/>
      <c r="G2801" s="14"/>
      <c r="H2801" s="10"/>
      <c r="I2801" s="17"/>
      <c r="J2801" s="10"/>
      <c r="K2801" s="46"/>
      <c r="L2801" s="10"/>
      <c r="M2801" s="20"/>
      <c r="N2801" s="20"/>
      <c r="O2801" s="20"/>
      <c r="P2801" s="20"/>
    </row>
    <row r="2802">
      <c r="A2802" s="23"/>
      <c r="B2802" s="21"/>
      <c r="C2802" s="23"/>
      <c r="D2802" s="24"/>
      <c r="E2802" s="14"/>
      <c r="F2802" s="14"/>
      <c r="G2802" s="14"/>
      <c r="H2802" s="23"/>
      <c r="I2802" s="27"/>
      <c r="J2802" s="23"/>
      <c r="K2802" s="30"/>
      <c r="L2802" s="23"/>
      <c r="M2802" s="20"/>
      <c r="N2802" s="20"/>
      <c r="O2802" s="20"/>
      <c r="P2802" s="20"/>
    </row>
    <row r="2803">
      <c r="A2803" s="10"/>
      <c r="B2803" s="11"/>
      <c r="C2803" s="10"/>
      <c r="D2803" s="13"/>
      <c r="E2803" s="14"/>
      <c r="F2803" s="14"/>
      <c r="G2803" s="14"/>
      <c r="H2803" s="10"/>
      <c r="I2803" s="17"/>
      <c r="J2803" s="10"/>
      <c r="K2803" s="46"/>
      <c r="L2803" s="10"/>
      <c r="M2803" s="20"/>
      <c r="N2803" s="20"/>
      <c r="O2803" s="20"/>
      <c r="P2803" s="20"/>
    </row>
    <row r="2804">
      <c r="A2804" s="23"/>
      <c r="B2804" s="21"/>
      <c r="C2804" s="23"/>
      <c r="D2804" s="24"/>
      <c r="E2804" s="14"/>
      <c r="F2804" s="14"/>
      <c r="G2804" s="14"/>
      <c r="H2804" s="23"/>
      <c r="I2804" s="27"/>
      <c r="J2804" s="23"/>
      <c r="K2804" s="30"/>
      <c r="L2804" s="23"/>
      <c r="M2804" s="20"/>
      <c r="N2804" s="20"/>
      <c r="O2804" s="20"/>
      <c r="P2804" s="20"/>
    </row>
    <row r="2805">
      <c r="A2805" s="10"/>
      <c r="B2805" s="11"/>
      <c r="C2805" s="10"/>
      <c r="D2805" s="13"/>
      <c r="E2805" s="14"/>
      <c r="F2805" s="14"/>
      <c r="G2805" s="14"/>
      <c r="H2805" s="10"/>
      <c r="I2805" s="17"/>
      <c r="J2805" s="10"/>
      <c r="K2805" s="46"/>
      <c r="L2805" s="10"/>
      <c r="M2805" s="20"/>
      <c r="N2805" s="20"/>
      <c r="O2805" s="20"/>
      <c r="P2805" s="20"/>
    </row>
    <row r="2806">
      <c r="A2806" s="23"/>
      <c r="B2806" s="21"/>
      <c r="C2806" s="23"/>
      <c r="D2806" s="24"/>
      <c r="E2806" s="14"/>
      <c r="F2806" s="14"/>
      <c r="G2806" s="14"/>
      <c r="H2806" s="23"/>
      <c r="I2806" s="27"/>
      <c r="J2806" s="23"/>
      <c r="K2806" s="30"/>
      <c r="L2806" s="23"/>
      <c r="M2806" s="20"/>
      <c r="N2806" s="20"/>
      <c r="O2806" s="20"/>
      <c r="P2806" s="20"/>
    </row>
    <row r="2807">
      <c r="A2807" s="10"/>
      <c r="B2807" s="11"/>
      <c r="C2807" s="10"/>
      <c r="D2807" s="13"/>
      <c r="E2807" s="14"/>
      <c r="F2807" s="14"/>
      <c r="G2807" s="14"/>
      <c r="H2807" s="10"/>
      <c r="I2807" s="17"/>
      <c r="J2807" s="10"/>
      <c r="K2807" s="46"/>
      <c r="L2807" s="10"/>
      <c r="M2807" s="20"/>
      <c r="N2807" s="20"/>
      <c r="O2807" s="20"/>
      <c r="P2807" s="20"/>
    </row>
    <row r="2808">
      <c r="A2808" s="23"/>
      <c r="B2808" s="21"/>
      <c r="C2808" s="23"/>
      <c r="D2808" s="24"/>
      <c r="E2808" s="14"/>
      <c r="F2808" s="14"/>
      <c r="G2808" s="14"/>
      <c r="H2808" s="23"/>
      <c r="I2808" s="27"/>
      <c r="J2808" s="23"/>
      <c r="K2808" s="30"/>
      <c r="L2808" s="23"/>
      <c r="M2808" s="20"/>
      <c r="N2808" s="20"/>
      <c r="O2808" s="20"/>
      <c r="P2808" s="20"/>
    </row>
    <row r="2809">
      <c r="A2809" s="10"/>
      <c r="B2809" s="11"/>
      <c r="C2809" s="10"/>
      <c r="D2809" s="13"/>
      <c r="E2809" s="14"/>
      <c r="F2809" s="14"/>
      <c r="G2809" s="14"/>
      <c r="H2809" s="10"/>
      <c r="I2809" s="17"/>
      <c r="J2809" s="10"/>
      <c r="K2809" s="46"/>
      <c r="L2809" s="10"/>
      <c r="M2809" s="20"/>
      <c r="N2809" s="20"/>
      <c r="O2809" s="20"/>
      <c r="P2809" s="20"/>
    </row>
    <row r="2810">
      <c r="A2810" s="23"/>
      <c r="B2810" s="21"/>
      <c r="C2810" s="23"/>
      <c r="D2810" s="24"/>
      <c r="E2810" s="14"/>
      <c r="F2810" s="14"/>
      <c r="G2810" s="14"/>
      <c r="H2810" s="23"/>
      <c r="I2810" s="27"/>
      <c r="J2810" s="23"/>
      <c r="K2810" s="30"/>
      <c r="L2810" s="23"/>
      <c r="M2810" s="20"/>
      <c r="N2810" s="20"/>
      <c r="O2810" s="20"/>
      <c r="P2810" s="20"/>
    </row>
    <row r="2811">
      <c r="A2811" s="10"/>
      <c r="B2811" s="11"/>
      <c r="C2811" s="10"/>
      <c r="D2811" s="13"/>
      <c r="E2811" s="14"/>
      <c r="F2811" s="14"/>
      <c r="G2811" s="14"/>
      <c r="H2811" s="10"/>
      <c r="I2811" s="17"/>
      <c r="J2811" s="10"/>
      <c r="K2811" s="46"/>
      <c r="L2811" s="10"/>
      <c r="M2811" s="20"/>
      <c r="N2811" s="20"/>
      <c r="O2811" s="20"/>
      <c r="P2811" s="20"/>
    </row>
    <row r="2812">
      <c r="A2812" s="23"/>
      <c r="B2812" s="21"/>
      <c r="C2812" s="23"/>
      <c r="D2812" s="24"/>
      <c r="E2812" s="14"/>
      <c r="F2812" s="14"/>
      <c r="G2812" s="14"/>
      <c r="H2812" s="23"/>
      <c r="I2812" s="27"/>
      <c r="J2812" s="23"/>
      <c r="K2812" s="30"/>
      <c r="L2812" s="23"/>
      <c r="M2812" s="20"/>
      <c r="N2812" s="20"/>
      <c r="O2812" s="20"/>
      <c r="P2812" s="20"/>
    </row>
    <row r="2813">
      <c r="A2813" s="10"/>
      <c r="B2813" s="11"/>
      <c r="C2813" s="10"/>
      <c r="D2813" s="13"/>
      <c r="E2813" s="14"/>
      <c r="F2813" s="14"/>
      <c r="G2813" s="14"/>
      <c r="H2813" s="10"/>
      <c r="I2813" s="17"/>
      <c r="J2813" s="10"/>
      <c r="K2813" s="46"/>
      <c r="L2813" s="10"/>
      <c r="M2813" s="20"/>
      <c r="N2813" s="20"/>
      <c r="O2813" s="20"/>
      <c r="P2813" s="20"/>
    </row>
    <row r="2814">
      <c r="A2814" s="23"/>
      <c r="B2814" s="21"/>
      <c r="C2814" s="23"/>
      <c r="D2814" s="24"/>
      <c r="E2814" s="14"/>
      <c r="F2814" s="14"/>
      <c r="G2814" s="14"/>
      <c r="H2814" s="23"/>
      <c r="I2814" s="27"/>
      <c r="J2814" s="23"/>
      <c r="K2814" s="30"/>
      <c r="L2814" s="23"/>
      <c r="M2814" s="20"/>
      <c r="N2814" s="20"/>
      <c r="O2814" s="20"/>
      <c r="P2814" s="20"/>
    </row>
    <row r="2815">
      <c r="A2815" s="10"/>
      <c r="B2815" s="11"/>
      <c r="C2815" s="10"/>
      <c r="D2815" s="13"/>
      <c r="E2815" s="14"/>
      <c r="F2815" s="14"/>
      <c r="G2815" s="14"/>
      <c r="H2815" s="10"/>
      <c r="I2815" s="17"/>
      <c r="J2815" s="10"/>
      <c r="K2815" s="46"/>
      <c r="L2815" s="10"/>
      <c r="M2815" s="20"/>
      <c r="N2815" s="20"/>
      <c r="O2815" s="20"/>
      <c r="P2815" s="20"/>
    </row>
    <row r="2816">
      <c r="A2816" s="23"/>
      <c r="B2816" s="21"/>
      <c r="C2816" s="23"/>
      <c r="D2816" s="24"/>
      <c r="E2816" s="14"/>
      <c r="F2816" s="14"/>
      <c r="G2816" s="14"/>
      <c r="H2816" s="23"/>
      <c r="I2816" s="27"/>
      <c r="J2816" s="23"/>
      <c r="K2816" s="30"/>
      <c r="L2816" s="23"/>
      <c r="M2816" s="20"/>
      <c r="N2816" s="20"/>
      <c r="O2816" s="20"/>
      <c r="P2816" s="20"/>
    </row>
    <row r="2817">
      <c r="A2817" s="10"/>
      <c r="B2817" s="11"/>
      <c r="C2817" s="10"/>
      <c r="D2817" s="13"/>
      <c r="E2817" s="14"/>
      <c r="F2817" s="14"/>
      <c r="G2817" s="14"/>
      <c r="H2817" s="10"/>
      <c r="I2817" s="17"/>
      <c r="J2817" s="10"/>
      <c r="K2817" s="46"/>
      <c r="L2817" s="10"/>
      <c r="M2817" s="20"/>
      <c r="N2817" s="20"/>
      <c r="O2817" s="20"/>
      <c r="P2817" s="20"/>
    </row>
    <row r="2818">
      <c r="A2818" s="23"/>
      <c r="B2818" s="21"/>
      <c r="C2818" s="23"/>
      <c r="D2818" s="24"/>
      <c r="E2818" s="14"/>
      <c r="F2818" s="14"/>
      <c r="G2818" s="14"/>
      <c r="H2818" s="23"/>
      <c r="I2818" s="27"/>
      <c r="J2818" s="23"/>
      <c r="K2818" s="30"/>
      <c r="L2818" s="23"/>
      <c r="M2818" s="20"/>
      <c r="N2818" s="20"/>
      <c r="O2818" s="20"/>
      <c r="P2818" s="20"/>
    </row>
    <row r="2819">
      <c r="A2819" s="10"/>
      <c r="B2819" s="11"/>
      <c r="C2819" s="10"/>
      <c r="D2819" s="13"/>
      <c r="E2819" s="14"/>
      <c r="F2819" s="14"/>
      <c r="G2819" s="14"/>
      <c r="H2819" s="10"/>
      <c r="I2819" s="17"/>
      <c r="J2819" s="10"/>
      <c r="K2819" s="46"/>
      <c r="L2819" s="10"/>
      <c r="M2819" s="20"/>
      <c r="N2819" s="20"/>
      <c r="O2819" s="20"/>
      <c r="P2819" s="20"/>
    </row>
    <row r="2820">
      <c r="A2820" s="23"/>
      <c r="B2820" s="21"/>
      <c r="C2820" s="23"/>
      <c r="D2820" s="24"/>
      <c r="E2820" s="14"/>
      <c r="F2820" s="14"/>
      <c r="G2820" s="14"/>
      <c r="H2820" s="23"/>
      <c r="I2820" s="27"/>
      <c r="J2820" s="23"/>
      <c r="K2820" s="30"/>
      <c r="L2820" s="23"/>
      <c r="M2820" s="20"/>
      <c r="N2820" s="20"/>
      <c r="O2820" s="20"/>
      <c r="P2820" s="20"/>
    </row>
    <row r="2821">
      <c r="A2821" s="10"/>
      <c r="B2821" s="11"/>
      <c r="C2821" s="10"/>
      <c r="D2821" s="13"/>
      <c r="E2821" s="14"/>
      <c r="F2821" s="14"/>
      <c r="G2821" s="14"/>
      <c r="H2821" s="10"/>
      <c r="I2821" s="17"/>
      <c r="J2821" s="10"/>
      <c r="K2821" s="46"/>
      <c r="L2821" s="10"/>
      <c r="M2821" s="20"/>
      <c r="N2821" s="20"/>
      <c r="O2821" s="20"/>
      <c r="P2821" s="20"/>
    </row>
    <row r="2822">
      <c r="A2822" s="23"/>
      <c r="B2822" s="21"/>
      <c r="C2822" s="23"/>
      <c r="D2822" s="24"/>
      <c r="E2822" s="14"/>
      <c r="F2822" s="14"/>
      <c r="G2822" s="14"/>
      <c r="H2822" s="23"/>
      <c r="I2822" s="27"/>
      <c r="J2822" s="23"/>
      <c r="K2822" s="30"/>
      <c r="L2822" s="23"/>
      <c r="M2822" s="20"/>
      <c r="N2822" s="20"/>
      <c r="O2822" s="20"/>
      <c r="P2822" s="20"/>
    </row>
    <row r="2823">
      <c r="A2823" s="10"/>
      <c r="B2823" s="11"/>
      <c r="C2823" s="10"/>
      <c r="D2823" s="13"/>
      <c r="E2823" s="14"/>
      <c r="F2823" s="14"/>
      <c r="G2823" s="14"/>
      <c r="H2823" s="10"/>
      <c r="I2823" s="17"/>
      <c r="J2823" s="10"/>
      <c r="K2823" s="46"/>
      <c r="L2823" s="10"/>
      <c r="M2823" s="20"/>
      <c r="N2823" s="20"/>
      <c r="O2823" s="20"/>
      <c r="P2823" s="20"/>
    </row>
    <row r="2824">
      <c r="A2824" s="23"/>
      <c r="B2824" s="21"/>
      <c r="C2824" s="23"/>
      <c r="D2824" s="24"/>
      <c r="E2824" s="14"/>
      <c r="F2824" s="14"/>
      <c r="G2824" s="14"/>
      <c r="H2824" s="23"/>
      <c r="I2824" s="27"/>
      <c r="J2824" s="23"/>
      <c r="K2824" s="30"/>
      <c r="L2824" s="23"/>
      <c r="M2824" s="20"/>
      <c r="N2824" s="20"/>
      <c r="O2824" s="20"/>
      <c r="P2824" s="20"/>
    </row>
    <row r="2825">
      <c r="A2825" s="10"/>
      <c r="B2825" s="11"/>
      <c r="C2825" s="10"/>
      <c r="D2825" s="13"/>
      <c r="E2825" s="14"/>
      <c r="F2825" s="14"/>
      <c r="G2825" s="14"/>
      <c r="H2825" s="10"/>
      <c r="I2825" s="17"/>
      <c r="J2825" s="10"/>
      <c r="K2825" s="46"/>
      <c r="L2825" s="10"/>
      <c r="M2825" s="20"/>
      <c r="N2825" s="20"/>
      <c r="O2825" s="20"/>
      <c r="P2825" s="20"/>
    </row>
    <row r="2826">
      <c r="A2826" s="23"/>
      <c r="B2826" s="21"/>
      <c r="C2826" s="23"/>
      <c r="D2826" s="24"/>
      <c r="E2826" s="14"/>
      <c r="F2826" s="14"/>
      <c r="G2826" s="14"/>
      <c r="H2826" s="23"/>
      <c r="I2826" s="27"/>
      <c r="J2826" s="23"/>
      <c r="K2826" s="30"/>
      <c r="L2826" s="23"/>
      <c r="M2826" s="20"/>
      <c r="N2826" s="20"/>
      <c r="O2826" s="20"/>
      <c r="P2826" s="20"/>
    </row>
    <row r="2827">
      <c r="A2827" s="10"/>
      <c r="B2827" s="11"/>
      <c r="C2827" s="10"/>
      <c r="D2827" s="13"/>
      <c r="E2827" s="14"/>
      <c r="F2827" s="14"/>
      <c r="G2827" s="14"/>
      <c r="H2827" s="10"/>
      <c r="I2827" s="17"/>
      <c r="J2827" s="10"/>
      <c r="K2827" s="46"/>
      <c r="L2827" s="10"/>
      <c r="M2827" s="20"/>
      <c r="N2827" s="20"/>
      <c r="O2827" s="20"/>
      <c r="P2827" s="20"/>
    </row>
    <row r="2828">
      <c r="A2828" s="23"/>
      <c r="B2828" s="21"/>
      <c r="C2828" s="23"/>
      <c r="D2828" s="24"/>
      <c r="E2828" s="14"/>
      <c r="F2828" s="14"/>
      <c r="G2828" s="14"/>
      <c r="H2828" s="23"/>
      <c r="I2828" s="27"/>
      <c r="J2828" s="23"/>
      <c r="K2828" s="30"/>
      <c r="L2828" s="23"/>
      <c r="M2828" s="20"/>
      <c r="N2828" s="20"/>
      <c r="O2828" s="20"/>
      <c r="P2828" s="20"/>
    </row>
    <row r="2829">
      <c r="A2829" s="10"/>
      <c r="B2829" s="11"/>
      <c r="C2829" s="10"/>
      <c r="D2829" s="13"/>
      <c r="E2829" s="14"/>
      <c r="F2829" s="14"/>
      <c r="G2829" s="14"/>
      <c r="H2829" s="10"/>
      <c r="I2829" s="17"/>
      <c r="J2829" s="10"/>
      <c r="K2829" s="46"/>
      <c r="L2829" s="10"/>
      <c r="M2829" s="20"/>
      <c r="N2829" s="20"/>
      <c r="O2829" s="20"/>
      <c r="P2829" s="20"/>
    </row>
    <row r="2830">
      <c r="A2830" s="23"/>
      <c r="B2830" s="21"/>
      <c r="C2830" s="23"/>
      <c r="D2830" s="24"/>
      <c r="E2830" s="14"/>
      <c r="F2830" s="14"/>
      <c r="G2830" s="14"/>
      <c r="H2830" s="23"/>
      <c r="I2830" s="27"/>
      <c r="J2830" s="23"/>
      <c r="K2830" s="30"/>
      <c r="L2830" s="23"/>
      <c r="M2830" s="20"/>
      <c r="N2830" s="20"/>
      <c r="O2830" s="20"/>
      <c r="P2830" s="20"/>
    </row>
    <row r="2831">
      <c r="A2831" s="10"/>
      <c r="B2831" s="11"/>
      <c r="C2831" s="10"/>
      <c r="D2831" s="13"/>
      <c r="E2831" s="14"/>
      <c r="F2831" s="14"/>
      <c r="G2831" s="14"/>
      <c r="H2831" s="10"/>
      <c r="I2831" s="17"/>
      <c r="J2831" s="10"/>
      <c r="K2831" s="46"/>
      <c r="L2831" s="10"/>
      <c r="M2831" s="20"/>
      <c r="N2831" s="20"/>
      <c r="O2831" s="20"/>
      <c r="P2831" s="20"/>
    </row>
    <row r="2832">
      <c r="A2832" s="23"/>
      <c r="B2832" s="21"/>
      <c r="C2832" s="23"/>
      <c r="D2832" s="24"/>
      <c r="E2832" s="14"/>
      <c r="F2832" s="14"/>
      <c r="G2832" s="14"/>
      <c r="H2832" s="23"/>
      <c r="I2832" s="27"/>
      <c r="J2832" s="23"/>
      <c r="K2832" s="30"/>
      <c r="L2832" s="23"/>
      <c r="M2832" s="20"/>
      <c r="N2832" s="20"/>
      <c r="O2832" s="20"/>
      <c r="P2832" s="20"/>
    </row>
    <row r="2833">
      <c r="A2833" s="10"/>
      <c r="B2833" s="11"/>
      <c r="C2833" s="10"/>
      <c r="D2833" s="13"/>
      <c r="E2833" s="14"/>
      <c r="F2833" s="14"/>
      <c r="G2833" s="14"/>
      <c r="H2833" s="10"/>
      <c r="I2833" s="17"/>
      <c r="J2833" s="10"/>
      <c r="K2833" s="46"/>
      <c r="L2833" s="10"/>
      <c r="M2833" s="20"/>
      <c r="N2833" s="20"/>
      <c r="O2833" s="20"/>
      <c r="P2833" s="20"/>
    </row>
    <row r="2834">
      <c r="A2834" s="23"/>
      <c r="B2834" s="21"/>
      <c r="C2834" s="23"/>
      <c r="D2834" s="24"/>
      <c r="E2834" s="14"/>
      <c r="F2834" s="14"/>
      <c r="G2834" s="14"/>
      <c r="H2834" s="23"/>
      <c r="I2834" s="27"/>
      <c r="J2834" s="23"/>
      <c r="K2834" s="30"/>
      <c r="L2834" s="23"/>
      <c r="M2834" s="20"/>
      <c r="N2834" s="20"/>
      <c r="O2834" s="20"/>
      <c r="P2834" s="20"/>
    </row>
    <row r="2835">
      <c r="A2835" s="10"/>
      <c r="B2835" s="11"/>
      <c r="C2835" s="10"/>
      <c r="D2835" s="13"/>
      <c r="E2835" s="14"/>
      <c r="F2835" s="14"/>
      <c r="G2835" s="14"/>
      <c r="H2835" s="10"/>
      <c r="I2835" s="17"/>
      <c r="J2835" s="10"/>
      <c r="K2835" s="46"/>
      <c r="L2835" s="10"/>
      <c r="M2835" s="20"/>
      <c r="N2835" s="20"/>
      <c r="O2835" s="20"/>
      <c r="P2835" s="20"/>
    </row>
    <row r="2836">
      <c r="A2836" s="23"/>
      <c r="B2836" s="21"/>
      <c r="C2836" s="23"/>
      <c r="D2836" s="24"/>
      <c r="E2836" s="14"/>
      <c r="F2836" s="14"/>
      <c r="G2836" s="14"/>
      <c r="H2836" s="23"/>
      <c r="I2836" s="27"/>
      <c r="J2836" s="23"/>
      <c r="K2836" s="30"/>
      <c r="L2836" s="23"/>
      <c r="M2836" s="20"/>
      <c r="N2836" s="20"/>
      <c r="O2836" s="20"/>
      <c r="P2836" s="20"/>
    </row>
    <row r="2837">
      <c r="A2837" s="10"/>
      <c r="B2837" s="11"/>
      <c r="C2837" s="10"/>
      <c r="D2837" s="13"/>
      <c r="E2837" s="14"/>
      <c r="F2837" s="14"/>
      <c r="G2837" s="14"/>
      <c r="H2837" s="10"/>
      <c r="I2837" s="17"/>
      <c r="J2837" s="10"/>
      <c r="K2837" s="46"/>
      <c r="L2837" s="10"/>
      <c r="M2837" s="20"/>
      <c r="N2837" s="20"/>
      <c r="O2837" s="20"/>
      <c r="P2837" s="20"/>
    </row>
    <row r="2838">
      <c r="A2838" s="23"/>
      <c r="B2838" s="21"/>
      <c r="C2838" s="23"/>
      <c r="D2838" s="24"/>
      <c r="E2838" s="14"/>
      <c r="F2838" s="14"/>
      <c r="G2838" s="14"/>
      <c r="H2838" s="23"/>
      <c r="I2838" s="27"/>
      <c r="J2838" s="23"/>
      <c r="K2838" s="30"/>
      <c r="L2838" s="23"/>
      <c r="M2838" s="20"/>
      <c r="N2838" s="20"/>
      <c r="O2838" s="20"/>
      <c r="P2838" s="20"/>
    </row>
    <row r="2839">
      <c r="A2839" s="10"/>
      <c r="B2839" s="11"/>
      <c r="C2839" s="10"/>
      <c r="D2839" s="13"/>
      <c r="E2839" s="14"/>
      <c r="F2839" s="14"/>
      <c r="G2839" s="14"/>
      <c r="H2839" s="10"/>
      <c r="I2839" s="17"/>
      <c r="J2839" s="10"/>
      <c r="K2839" s="46"/>
      <c r="L2839" s="10"/>
      <c r="M2839" s="20"/>
      <c r="N2839" s="20"/>
      <c r="O2839" s="20"/>
      <c r="P2839" s="20"/>
    </row>
    <row r="2840">
      <c r="A2840" s="23"/>
      <c r="B2840" s="21"/>
      <c r="C2840" s="23"/>
      <c r="D2840" s="24"/>
      <c r="E2840" s="14"/>
      <c r="F2840" s="14"/>
      <c r="G2840" s="14"/>
      <c r="H2840" s="23"/>
      <c r="I2840" s="27"/>
      <c r="J2840" s="23"/>
      <c r="K2840" s="30"/>
      <c r="L2840" s="23"/>
      <c r="M2840" s="20"/>
      <c r="N2840" s="20"/>
      <c r="O2840" s="20"/>
      <c r="P2840" s="20"/>
    </row>
    <row r="2841">
      <c r="A2841" s="10"/>
      <c r="B2841" s="11"/>
      <c r="C2841" s="10"/>
      <c r="D2841" s="13"/>
      <c r="E2841" s="14"/>
      <c r="F2841" s="14"/>
      <c r="G2841" s="14"/>
      <c r="H2841" s="10"/>
      <c r="I2841" s="17"/>
      <c r="J2841" s="10"/>
      <c r="K2841" s="46"/>
      <c r="L2841" s="10"/>
      <c r="M2841" s="20"/>
      <c r="N2841" s="20"/>
      <c r="O2841" s="20"/>
      <c r="P2841" s="20"/>
    </row>
    <row r="2842">
      <c r="A2842" s="23"/>
      <c r="B2842" s="21"/>
      <c r="C2842" s="23"/>
      <c r="D2842" s="24"/>
      <c r="E2842" s="14"/>
      <c r="F2842" s="14"/>
      <c r="G2842" s="14"/>
      <c r="H2842" s="23"/>
      <c r="I2842" s="27"/>
      <c r="J2842" s="23"/>
      <c r="K2842" s="30"/>
      <c r="L2842" s="23"/>
      <c r="M2842" s="20"/>
      <c r="N2842" s="20"/>
      <c r="O2842" s="20"/>
      <c r="P2842" s="20"/>
    </row>
    <row r="2843">
      <c r="A2843" s="10"/>
      <c r="B2843" s="11"/>
      <c r="C2843" s="10"/>
      <c r="D2843" s="13"/>
      <c r="E2843" s="14"/>
      <c r="F2843" s="14"/>
      <c r="G2843" s="14"/>
      <c r="H2843" s="10"/>
      <c r="I2843" s="17"/>
      <c r="J2843" s="10"/>
      <c r="K2843" s="46"/>
      <c r="L2843" s="10"/>
      <c r="M2843" s="20"/>
      <c r="N2843" s="20"/>
      <c r="O2843" s="20"/>
      <c r="P2843" s="20"/>
    </row>
    <row r="2844">
      <c r="A2844" s="23"/>
      <c r="B2844" s="21"/>
      <c r="C2844" s="23"/>
      <c r="D2844" s="24"/>
      <c r="E2844" s="14"/>
      <c r="F2844" s="14"/>
      <c r="G2844" s="14"/>
      <c r="H2844" s="23"/>
      <c r="I2844" s="27"/>
      <c r="J2844" s="23"/>
      <c r="K2844" s="30"/>
      <c r="L2844" s="23"/>
      <c r="M2844" s="20"/>
      <c r="N2844" s="20"/>
      <c r="O2844" s="20"/>
      <c r="P2844" s="20"/>
    </row>
    <row r="2845">
      <c r="A2845" s="10"/>
      <c r="B2845" s="11"/>
      <c r="C2845" s="10"/>
      <c r="D2845" s="13"/>
      <c r="E2845" s="14"/>
      <c r="F2845" s="14"/>
      <c r="G2845" s="14"/>
      <c r="H2845" s="10"/>
      <c r="I2845" s="17"/>
      <c r="J2845" s="10"/>
      <c r="K2845" s="46"/>
      <c r="L2845" s="10"/>
      <c r="M2845" s="20"/>
      <c r="N2845" s="20"/>
      <c r="O2845" s="20"/>
      <c r="P2845" s="20"/>
    </row>
    <row r="2846">
      <c r="A2846" s="23"/>
      <c r="B2846" s="21"/>
      <c r="C2846" s="23"/>
      <c r="D2846" s="24"/>
      <c r="E2846" s="14"/>
      <c r="F2846" s="14"/>
      <c r="G2846" s="14"/>
      <c r="H2846" s="23"/>
      <c r="I2846" s="27"/>
      <c r="J2846" s="23"/>
      <c r="K2846" s="30"/>
      <c r="L2846" s="23"/>
      <c r="M2846" s="20"/>
      <c r="N2846" s="20"/>
      <c r="O2846" s="20"/>
      <c r="P2846" s="20"/>
    </row>
    <row r="2847">
      <c r="A2847" s="10"/>
      <c r="B2847" s="11"/>
      <c r="C2847" s="10"/>
      <c r="D2847" s="13"/>
      <c r="E2847" s="14"/>
      <c r="F2847" s="14"/>
      <c r="G2847" s="14"/>
      <c r="H2847" s="10"/>
      <c r="I2847" s="17"/>
      <c r="J2847" s="10"/>
      <c r="K2847" s="46"/>
      <c r="L2847" s="10"/>
      <c r="M2847" s="20"/>
      <c r="N2847" s="20"/>
      <c r="O2847" s="20"/>
      <c r="P2847" s="20"/>
    </row>
    <row r="2848">
      <c r="A2848" s="23"/>
      <c r="B2848" s="21"/>
      <c r="C2848" s="23"/>
      <c r="D2848" s="24"/>
      <c r="E2848" s="14"/>
      <c r="F2848" s="14"/>
      <c r="G2848" s="14"/>
      <c r="H2848" s="23"/>
      <c r="I2848" s="27"/>
      <c r="J2848" s="23"/>
      <c r="K2848" s="30"/>
      <c r="L2848" s="23"/>
      <c r="M2848" s="20"/>
      <c r="N2848" s="20"/>
      <c r="O2848" s="20"/>
      <c r="P2848" s="20"/>
    </row>
    <row r="2849">
      <c r="A2849" s="10"/>
      <c r="B2849" s="11"/>
      <c r="C2849" s="10"/>
      <c r="D2849" s="13"/>
      <c r="E2849" s="14"/>
      <c r="F2849" s="14"/>
      <c r="G2849" s="14"/>
      <c r="H2849" s="10"/>
      <c r="I2849" s="17"/>
      <c r="J2849" s="10"/>
      <c r="K2849" s="46"/>
      <c r="L2849" s="10"/>
      <c r="M2849" s="20"/>
      <c r="N2849" s="20"/>
      <c r="O2849" s="20"/>
      <c r="P2849" s="20"/>
    </row>
    <row r="2850">
      <c r="A2850" s="23"/>
      <c r="B2850" s="21"/>
      <c r="C2850" s="23"/>
      <c r="D2850" s="24"/>
      <c r="E2850" s="14"/>
      <c r="F2850" s="14"/>
      <c r="G2850" s="14"/>
      <c r="H2850" s="23"/>
      <c r="I2850" s="27"/>
      <c r="J2850" s="23"/>
      <c r="K2850" s="30"/>
      <c r="L2850" s="23"/>
      <c r="M2850" s="20"/>
      <c r="N2850" s="20"/>
      <c r="O2850" s="20"/>
      <c r="P2850" s="20"/>
    </row>
    <row r="2851">
      <c r="A2851" s="10"/>
      <c r="B2851" s="11"/>
      <c r="C2851" s="10"/>
      <c r="D2851" s="13"/>
      <c r="E2851" s="14"/>
      <c r="F2851" s="14"/>
      <c r="G2851" s="14"/>
      <c r="H2851" s="10"/>
      <c r="I2851" s="17"/>
      <c r="J2851" s="10"/>
      <c r="K2851" s="46"/>
      <c r="L2851" s="10"/>
      <c r="M2851" s="20"/>
      <c r="N2851" s="20"/>
      <c r="O2851" s="20"/>
      <c r="P2851" s="20"/>
    </row>
    <row r="2852">
      <c r="A2852" s="23"/>
      <c r="B2852" s="21"/>
      <c r="C2852" s="23"/>
      <c r="D2852" s="24"/>
      <c r="E2852" s="14"/>
      <c r="F2852" s="14"/>
      <c r="G2852" s="14"/>
      <c r="H2852" s="23"/>
      <c r="I2852" s="27"/>
      <c r="J2852" s="23"/>
      <c r="K2852" s="30"/>
      <c r="L2852" s="23"/>
      <c r="M2852" s="20"/>
      <c r="N2852" s="20"/>
      <c r="O2852" s="20"/>
      <c r="P2852" s="20"/>
    </row>
    <row r="2853">
      <c r="A2853" s="10"/>
      <c r="B2853" s="11"/>
      <c r="C2853" s="10"/>
      <c r="D2853" s="13"/>
      <c r="E2853" s="14"/>
      <c r="F2853" s="14"/>
      <c r="G2853" s="14"/>
      <c r="H2853" s="10"/>
      <c r="I2853" s="17"/>
      <c r="J2853" s="10"/>
      <c r="K2853" s="46"/>
      <c r="L2853" s="10"/>
      <c r="M2853" s="20"/>
      <c r="N2853" s="20"/>
      <c r="O2853" s="20"/>
      <c r="P2853" s="20"/>
    </row>
    <row r="2854">
      <c r="A2854" s="23"/>
      <c r="B2854" s="21"/>
      <c r="C2854" s="23"/>
      <c r="D2854" s="24"/>
      <c r="E2854" s="14"/>
      <c r="F2854" s="14"/>
      <c r="G2854" s="14"/>
      <c r="H2854" s="23"/>
      <c r="I2854" s="27"/>
      <c r="J2854" s="23"/>
      <c r="K2854" s="30"/>
      <c r="L2854" s="23"/>
      <c r="M2854" s="20"/>
      <c r="N2854" s="20"/>
      <c r="O2854" s="20"/>
      <c r="P2854" s="20"/>
    </row>
    <row r="2855">
      <c r="A2855" s="10"/>
      <c r="B2855" s="11"/>
      <c r="C2855" s="10"/>
      <c r="D2855" s="13"/>
      <c r="E2855" s="14"/>
      <c r="F2855" s="14"/>
      <c r="G2855" s="14"/>
      <c r="H2855" s="10"/>
      <c r="I2855" s="17"/>
      <c r="J2855" s="10"/>
      <c r="K2855" s="46"/>
      <c r="L2855" s="10"/>
      <c r="M2855" s="20"/>
      <c r="N2855" s="20"/>
      <c r="O2855" s="20"/>
      <c r="P2855" s="20"/>
    </row>
    <row r="2856">
      <c r="A2856" s="23"/>
      <c r="B2856" s="21"/>
      <c r="C2856" s="23"/>
      <c r="D2856" s="24"/>
      <c r="E2856" s="14"/>
      <c r="F2856" s="14"/>
      <c r="G2856" s="14"/>
      <c r="H2856" s="23"/>
      <c r="I2856" s="27"/>
      <c r="J2856" s="23"/>
      <c r="K2856" s="30"/>
      <c r="L2856" s="23"/>
      <c r="M2856" s="20"/>
      <c r="N2856" s="20"/>
      <c r="O2856" s="20"/>
      <c r="P2856" s="20"/>
    </row>
    <row r="2857">
      <c r="A2857" s="10"/>
      <c r="B2857" s="11"/>
      <c r="C2857" s="10"/>
      <c r="D2857" s="13"/>
      <c r="E2857" s="14"/>
      <c r="F2857" s="14"/>
      <c r="G2857" s="14"/>
      <c r="H2857" s="10"/>
      <c r="I2857" s="17"/>
      <c r="J2857" s="10"/>
      <c r="K2857" s="46"/>
      <c r="L2857" s="10"/>
      <c r="M2857" s="20"/>
      <c r="N2857" s="20"/>
      <c r="O2857" s="20"/>
      <c r="P2857" s="20"/>
    </row>
    <row r="2858">
      <c r="A2858" s="23"/>
      <c r="B2858" s="21"/>
      <c r="C2858" s="23"/>
      <c r="D2858" s="24"/>
      <c r="E2858" s="14"/>
      <c r="F2858" s="14"/>
      <c r="G2858" s="14"/>
      <c r="H2858" s="23"/>
      <c r="I2858" s="27"/>
      <c r="J2858" s="23"/>
      <c r="K2858" s="30"/>
      <c r="L2858" s="23"/>
      <c r="M2858" s="20"/>
      <c r="N2858" s="20"/>
      <c r="O2858" s="20"/>
      <c r="P2858" s="20"/>
    </row>
    <row r="2859">
      <c r="A2859" s="10"/>
      <c r="B2859" s="11"/>
      <c r="C2859" s="10"/>
      <c r="D2859" s="13"/>
      <c r="E2859" s="14"/>
      <c r="F2859" s="14"/>
      <c r="G2859" s="14"/>
      <c r="H2859" s="10"/>
      <c r="I2859" s="17"/>
      <c r="J2859" s="10"/>
      <c r="K2859" s="46"/>
      <c r="L2859" s="10"/>
      <c r="M2859" s="20"/>
      <c r="N2859" s="20"/>
      <c r="O2859" s="20"/>
      <c r="P2859" s="20"/>
    </row>
    <row r="2860">
      <c r="A2860" s="23"/>
      <c r="B2860" s="21"/>
      <c r="C2860" s="23"/>
      <c r="D2860" s="24"/>
      <c r="E2860" s="14"/>
      <c r="F2860" s="14"/>
      <c r="G2860" s="14"/>
      <c r="H2860" s="23"/>
      <c r="I2860" s="27"/>
      <c r="J2860" s="23"/>
      <c r="K2860" s="30"/>
      <c r="L2860" s="23"/>
      <c r="M2860" s="20"/>
      <c r="N2860" s="20"/>
      <c r="O2860" s="20"/>
      <c r="P2860" s="20"/>
    </row>
    <row r="2861">
      <c r="A2861" s="10"/>
      <c r="B2861" s="11"/>
      <c r="C2861" s="10"/>
      <c r="D2861" s="13"/>
      <c r="E2861" s="14"/>
      <c r="F2861" s="14"/>
      <c r="G2861" s="14"/>
      <c r="H2861" s="10"/>
      <c r="I2861" s="17"/>
      <c r="J2861" s="10"/>
      <c r="K2861" s="46"/>
      <c r="L2861" s="10"/>
      <c r="M2861" s="20"/>
      <c r="N2861" s="20"/>
      <c r="O2861" s="20"/>
      <c r="P2861" s="20"/>
    </row>
    <row r="2862">
      <c r="A2862" s="23"/>
      <c r="B2862" s="21"/>
      <c r="C2862" s="23"/>
      <c r="D2862" s="24"/>
      <c r="E2862" s="14"/>
      <c r="F2862" s="14"/>
      <c r="G2862" s="14"/>
      <c r="H2862" s="23"/>
      <c r="I2862" s="27"/>
      <c r="J2862" s="23"/>
      <c r="K2862" s="30"/>
      <c r="L2862" s="23"/>
      <c r="M2862" s="20"/>
      <c r="N2862" s="20"/>
      <c r="O2862" s="20"/>
      <c r="P2862" s="20"/>
    </row>
    <row r="2863">
      <c r="A2863" s="10"/>
      <c r="B2863" s="11"/>
      <c r="C2863" s="10"/>
      <c r="D2863" s="13"/>
      <c r="E2863" s="14"/>
      <c r="F2863" s="14"/>
      <c r="G2863" s="14"/>
      <c r="H2863" s="10"/>
      <c r="I2863" s="17"/>
      <c r="J2863" s="10"/>
      <c r="K2863" s="46"/>
      <c r="L2863" s="10"/>
      <c r="M2863" s="20"/>
      <c r="N2863" s="20"/>
      <c r="O2863" s="20"/>
      <c r="P2863" s="20"/>
    </row>
    <row r="2864">
      <c r="A2864" s="23"/>
      <c r="B2864" s="21"/>
      <c r="C2864" s="23"/>
      <c r="D2864" s="24"/>
      <c r="E2864" s="14"/>
      <c r="F2864" s="14"/>
      <c r="G2864" s="14"/>
      <c r="H2864" s="23"/>
      <c r="I2864" s="27"/>
      <c r="J2864" s="23"/>
      <c r="K2864" s="30"/>
      <c r="L2864" s="23"/>
      <c r="M2864" s="20"/>
      <c r="N2864" s="20"/>
      <c r="O2864" s="20"/>
      <c r="P2864" s="20"/>
    </row>
    <row r="2865">
      <c r="A2865" s="10"/>
      <c r="B2865" s="11"/>
      <c r="C2865" s="10"/>
      <c r="D2865" s="13"/>
      <c r="E2865" s="14"/>
      <c r="F2865" s="14"/>
      <c r="G2865" s="14"/>
      <c r="H2865" s="10"/>
      <c r="I2865" s="17"/>
      <c r="J2865" s="10"/>
      <c r="K2865" s="46"/>
      <c r="L2865" s="10"/>
      <c r="M2865" s="20"/>
      <c r="N2865" s="20"/>
      <c r="O2865" s="20"/>
      <c r="P2865" s="20"/>
    </row>
    <row r="2866">
      <c r="A2866" s="23"/>
      <c r="B2866" s="21"/>
      <c r="C2866" s="23"/>
      <c r="D2866" s="24"/>
      <c r="E2866" s="14"/>
      <c r="F2866" s="14"/>
      <c r="G2866" s="14"/>
      <c r="H2866" s="23"/>
      <c r="I2866" s="27"/>
      <c r="J2866" s="23"/>
      <c r="K2866" s="30"/>
      <c r="L2866" s="23"/>
      <c r="M2866" s="20"/>
      <c r="N2866" s="20"/>
      <c r="O2866" s="20"/>
      <c r="P2866" s="20"/>
    </row>
    <row r="2867">
      <c r="A2867" s="10"/>
      <c r="B2867" s="11"/>
      <c r="C2867" s="10"/>
      <c r="D2867" s="13"/>
      <c r="E2867" s="14"/>
      <c r="F2867" s="14"/>
      <c r="G2867" s="14"/>
      <c r="H2867" s="10"/>
      <c r="I2867" s="17"/>
      <c r="J2867" s="10"/>
      <c r="K2867" s="46"/>
      <c r="L2867" s="10"/>
      <c r="M2867" s="20"/>
      <c r="N2867" s="20"/>
      <c r="O2867" s="20"/>
      <c r="P2867" s="20"/>
    </row>
    <row r="2868">
      <c r="A2868" s="23"/>
      <c r="B2868" s="21"/>
      <c r="C2868" s="23"/>
      <c r="D2868" s="24"/>
      <c r="E2868" s="14"/>
      <c r="F2868" s="14"/>
      <c r="G2868" s="14"/>
      <c r="H2868" s="23"/>
      <c r="I2868" s="27"/>
      <c r="J2868" s="23"/>
      <c r="K2868" s="30"/>
      <c r="L2868" s="23"/>
      <c r="M2868" s="20"/>
      <c r="N2868" s="20"/>
      <c r="O2868" s="20"/>
      <c r="P2868" s="20"/>
    </row>
    <row r="2869">
      <c r="A2869" s="10"/>
      <c r="B2869" s="11"/>
      <c r="C2869" s="10"/>
      <c r="D2869" s="13"/>
      <c r="E2869" s="14"/>
      <c r="F2869" s="14"/>
      <c r="G2869" s="14"/>
      <c r="H2869" s="10"/>
      <c r="I2869" s="17"/>
      <c r="J2869" s="10"/>
      <c r="K2869" s="46"/>
      <c r="L2869" s="10"/>
      <c r="M2869" s="20"/>
      <c r="N2869" s="20"/>
      <c r="O2869" s="20"/>
      <c r="P2869" s="20"/>
    </row>
    <row r="2870">
      <c r="A2870" s="23"/>
      <c r="B2870" s="21"/>
      <c r="C2870" s="23"/>
      <c r="D2870" s="24"/>
      <c r="E2870" s="14"/>
      <c r="F2870" s="14"/>
      <c r="G2870" s="14"/>
      <c r="H2870" s="23"/>
      <c r="I2870" s="27"/>
      <c r="J2870" s="23"/>
      <c r="K2870" s="30"/>
      <c r="L2870" s="23"/>
      <c r="M2870" s="20"/>
      <c r="N2870" s="20"/>
      <c r="O2870" s="20"/>
      <c r="P2870" s="20"/>
    </row>
    <row r="2871">
      <c r="A2871" s="10"/>
      <c r="B2871" s="11"/>
      <c r="C2871" s="10"/>
      <c r="D2871" s="13"/>
      <c r="E2871" s="14"/>
      <c r="F2871" s="14"/>
      <c r="G2871" s="14"/>
      <c r="H2871" s="10"/>
      <c r="I2871" s="17"/>
      <c r="J2871" s="10"/>
      <c r="K2871" s="46"/>
      <c r="L2871" s="10"/>
      <c r="M2871" s="20"/>
      <c r="N2871" s="20"/>
      <c r="O2871" s="20"/>
      <c r="P2871" s="20"/>
    </row>
    <row r="2872">
      <c r="A2872" s="23"/>
      <c r="B2872" s="21"/>
      <c r="C2872" s="23"/>
      <c r="D2872" s="24"/>
      <c r="E2872" s="14"/>
      <c r="F2872" s="14"/>
      <c r="G2872" s="14"/>
      <c r="H2872" s="23"/>
      <c r="I2872" s="27"/>
      <c r="J2872" s="23"/>
      <c r="K2872" s="30"/>
      <c r="L2872" s="23"/>
      <c r="M2872" s="20"/>
      <c r="N2872" s="20"/>
      <c r="O2872" s="20"/>
      <c r="P2872" s="20"/>
    </row>
    <row r="2873">
      <c r="A2873" s="10"/>
      <c r="B2873" s="11"/>
      <c r="C2873" s="10"/>
      <c r="D2873" s="13"/>
      <c r="E2873" s="14"/>
      <c r="F2873" s="14"/>
      <c r="G2873" s="14"/>
      <c r="H2873" s="10"/>
      <c r="I2873" s="17"/>
      <c r="J2873" s="10"/>
      <c r="K2873" s="46"/>
      <c r="L2873" s="10"/>
      <c r="M2873" s="20"/>
      <c r="N2873" s="20"/>
      <c r="O2873" s="20"/>
      <c r="P2873" s="20"/>
    </row>
    <row r="2874">
      <c r="A2874" s="23"/>
      <c r="B2874" s="21"/>
      <c r="C2874" s="23"/>
      <c r="D2874" s="24"/>
      <c r="E2874" s="14"/>
      <c r="F2874" s="14"/>
      <c r="G2874" s="14"/>
      <c r="H2874" s="23"/>
      <c r="I2874" s="27"/>
      <c r="J2874" s="23"/>
      <c r="K2874" s="30"/>
      <c r="L2874" s="23"/>
      <c r="M2874" s="20"/>
      <c r="N2874" s="20"/>
      <c r="O2874" s="20"/>
      <c r="P2874" s="20"/>
    </row>
    <row r="2875">
      <c r="A2875" s="10"/>
      <c r="B2875" s="11"/>
      <c r="C2875" s="10"/>
      <c r="D2875" s="13"/>
      <c r="E2875" s="14"/>
      <c r="F2875" s="14"/>
      <c r="G2875" s="14"/>
      <c r="H2875" s="10"/>
      <c r="I2875" s="17"/>
      <c r="J2875" s="10"/>
      <c r="K2875" s="46"/>
      <c r="L2875" s="10"/>
      <c r="M2875" s="20"/>
      <c r="N2875" s="20"/>
      <c r="O2875" s="20"/>
      <c r="P2875" s="20"/>
    </row>
    <row r="2876">
      <c r="A2876" s="23"/>
      <c r="B2876" s="21"/>
      <c r="C2876" s="23"/>
      <c r="D2876" s="24"/>
      <c r="E2876" s="14"/>
      <c r="F2876" s="14"/>
      <c r="G2876" s="14"/>
      <c r="H2876" s="23"/>
      <c r="I2876" s="27"/>
      <c r="J2876" s="23"/>
      <c r="K2876" s="30"/>
      <c r="L2876" s="23"/>
      <c r="M2876" s="20"/>
      <c r="N2876" s="20"/>
      <c r="O2876" s="20"/>
      <c r="P2876" s="20"/>
    </row>
    <row r="2877">
      <c r="A2877" s="10"/>
      <c r="B2877" s="11"/>
      <c r="C2877" s="10"/>
      <c r="D2877" s="13"/>
      <c r="E2877" s="14"/>
      <c r="F2877" s="14"/>
      <c r="G2877" s="14"/>
      <c r="H2877" s="10"/>
      <c r="I2877" s="17"/>
      <c r="J2877" s="10"/>
      <c r="K2877" s="46"/>
      <c r="L2877" s="10"/>
      <c r="M2877" s="20"/>
      <c r="N2877" s="20"/>
      <c r="O2877" s="20"/>
      <c r="P2877" s="20"/>
    </row>
    <row r="2878">
      <c r="A2878" s="23"/>
      <c r="B2878" s="21"/>
      <c r="C2878" s="23"/>
      <c r="D2878" s="24"/>
      <c r="E2878" s="14"/>
      <c r="F2878" s="14"/>
      <c r="G2878" s="14"/>
      <c r="H2878" s="23"/>
      <c r="I2878" s="27"/>
      <c r="J2878" s="23"/>
      <c r="K2878" s="30"/>
      <c r="L2878" s="23"/>
      <c r="M2878" s="20"/>
      <c r="N2878" s="20"/>
      <c r="O2878" s="20"/>
      <c r="P2878" s="20"/>
    </row>
    <row r="2879">
      <c r="A2879" s="10"/>
      <c r="B2879" s="11"/>
      <c r="C2879" s="10"/>
      <c r="D2879" s="13"/>
      <c r="E2879" s="14"/>
      <c r="F2879" s="14"/>
      <c r="G2879" s="14"/>
      <c r="H2879" s="10"/>
      <c r="I2879" s="17"/>
      <c r="J2879" s="10"/>
      <c r="K2879" s="46"/>
      <c r="L2879" s="10"/>
      <c r="M2879" s="20"/>
      <c r="N2879" s="20"/>
      <c r="O2879" s="20"/>
      <c r="P2879" s="20"/>
    </row>
    <row r="2880">
      <c r="A2880" s="23"/>
      <c r="B2880" s="21"/>
      <c r="C2880" s="23"/>
      <c r="D2880" s="24"/>
      <c r="E2880" s="14"/>
      <c r="F2880" s="14"/>
      <c r="G2880" s="14"/>
      <c r="H2880" s="23"/>
      <c r="I2880" s="27"/>
      <c r="J2880" s="23"/>
      <c r="K2880" s="30"/>
      <c r="L2880" s="23"/>
      <c r="M2880" s="20"/>
      <c r="N2880" s="20"/>
      <c r="O2880" s="20"/>
      <c r="P2880" s="20"/>
    </row>
    <row r="2881">
      <c r="A2881" s="10"/>
      <c r="B2881" s="11"/>
      <c r="C2881" s="10"/>
      <c r="D2881" s="13"/>
      <c r="E2881" s="14"/>
      <c r="F2881" s="14"/>
      <c r="G2881" s="14"/>
      <c r="H2881" s="10"/>
      <c r="I2881" s="17"/>
      <c r="J2881" s="10"/>
      <c r="K2881" s="46"/>
      <c r="L2881" s="10"/>
      <c r="M2881" s="20"/>
      <c r="N2881" s="20"/>
      <c r="O2881" s="20"/>
      <c r="P2881" s="20"/>
    </row>
    <row r="2882">
      <c r="A2882" s="23"/>
      <c r="B2882" s="21"/>
      <c r="C2882" s="23"/>
      <c r="D2882" s="24"/>
      <c r="E2882" s="14"/>
      <c r="F2882" s="14"/>
      <c r="G2882" s="14"/>
      <c r="H2882" s="23"/>
      <c r="I2882" s="27"/>
      <c r="J2882" s="23"/>
      <c r="K2882" s="30"/>
      <c r="L2882" s="23"/>
      <c r="M2882" s="20"/>
      <c r="N2882" s="20"/>
      <c r="O2882" s="20"/>
      <c r="P2882" s="20"/>
    </row>
    <row r="2883">
      <c r="A2883" s="10"/>
      <c r="B2883" s="11"/>
      <c r="C2883" s="10"/>
      <c r="D2883" s="13"/>
      <c r="E2883" s="14"/>
      <c r="F2883" s="14"/>
      <c r="G2883" s="14"/>
      <c r="H2883" s="10"/>
      <c r="I2883" s="17"/>
      <c r="J2883" s="10"/>
      <c r="K2883" s="46"/>
      <c r="L2883" s="10"/>
      <c r="M2883" s="20"/>
      <c r="N2883" s="20"/>
      <c r="O2883" s="20"/>
      <c r="P2883" s="20"/>
    </row>
    <row r="2884">
      <c r="A2884" s="23"/>
      <c r="B2884" s="21"/>
      <c r="C2884" s="23"/>
      <c r="D2884" s="24"/>
      <c r="E2884" s="14"/>
      <c r="F2884" s="14"/>
      <c r="G2884" s="14"/>
      <c r="H2884" s="23"/>
      <c r="I2884" s="27"/>
      <c r="J2884" s="23"/>
      <c r="K2884" s="30"/>
      <c r="L2884" s="23"/>
      <c r="M2884" s="20"/>
      <c r="N2884" s="20"/>
      <c r="O2884" s="20"/>
      <c r="P2884" s="20"/>
    </row>
    <row r="2885">
      <c r="A2885" s="10"/>
      <c r="B2885" s="11"/>
      <c r="C2885" s="10"/>
      <c r="D2885" s="13"/>
      <c r="E2885" s="14"/>
      <c r="F2885" s="14"/>
      <c r="G2885" s="14"/>
      <c r="H2885" s="10"/>
      <c r="I2885" s="17"/>
      <c r="J2885" s="10"/>
      <c r="K2885" s="46"/>
      <c r="L2885" s="10"/>
      <c r="M2885" s="20"/>
      <c r="N2885" s="20"/>
      <c r="O2885" s="20"/>
      <c r="P2885" s="20"/>
    </row>
    <row r="2886">
      <c r="A2886" s="23"/>
      <c r="B2886" s="21"/>
      <c r="C2886" s="23"/>
      <c r="D2886" s="24"/>
      <c r="E2886" s="14"/>
      <c r="F2886" s="14"/>
      <c r="G2886" s="14"/>
      <c r="H2886" s="23"/>
      <c r="I2886" s="27"/>
      <c r="J2886" s="23"/>
      <c r="K2886" s="30"/>
      <c r="L2886" s="23"/>
      <c r="M2886" s="20"/>
      <c r="N2886" s="20"/>
      <c r="O2886" s="20"/>
      <c r="P2886" s="20"/>
    </row>
    <row r="2887">
      <c r="A2887" s="10"/>
      <c r="B2887" s="11"/>
      <c r="C2887" s="10"/>
      <c r="D2887" s="13"/>
      <c r="E2887" s="14"/>
      <c r="F2887" s="14"/>
      <c r="G2887" s="14"/>
      <c r="H2887" s="10"/>
      <c r="I2887" s="17"/>
      <c r="J2887" s="10"/>
      <c r="K2887" s="46"/>
      <c r="L2887" s="10"/>
      <c r="M2887" s="20"/>
      <c r="N2887" s="20"/>
      <c r="O2887" s="20"/>
      <c r="P2887" s="20"/>
    </row>
    <row r="2888">
      <c r="A2888" s="23"/>
      <c r="B2888" s="21"/>
      <c r="C2888" s="23"/>
      <c r="D2888" s="24"/>
      <c r="E2888" s="14"/>
      <c r="F2888" s="14"/>
      <c r="G2888" s="14"/>
      <c r="H2888" s="23"/>
      <c r="I2888" s="27"/>
      <c r="J2888" s="23"/>
      <c r="K2888" s="30"/>
      <c r="L2888" s="23"/>
      <c r="M2888" s="20"/>
      <c r="N2888" s="20"/>
      <c r="O2888" s="20"/>
      <c r="P2888" s="20"/>
    </row>
    <row r="2889">
      <c r="A2889" s="10"/>
      <c r="B2889" s="11"/>
      <c r="C2889" s="10"/>
      <c r="D2889" s="13"/>
      <c r="E2889" s="14"/>
      <c r="F2889" s="14"/>
      <c r="G2889" s="14"/>
      <c r="H2889" s="10"/>
      <c r="I2889" s="17"/>
      <c r="J2889" s="10"/>
      <c r="K2889" s="46"/>
      <c r="L2889" s="10"/>
      <c r="M2889" s="20"/>
      <c r="N2889" s="20"/>
      <c r="O2889" s="20"/>
      <c r="P2889" s="20"/>
    </row>
    <row r="2890">
      <c r="A2890" s="23"/>
      <c r="B2890" s="21"/>
      <c r="C2890" s="23"/>
      <c r="D2890" s="24"/>
      <c r="E2890" s="14"/>
      <c r="F2890" s="14"/>
      <c r="G2890" s="14"/>
      <c r="H2890" s="23"/>
      <c r="I2890" s="27"/>
      <c r="J2890" s="23"/>
      <c r="K2890" s="30"/>
      <c r="L2890" s="23"/>
      <c r="M2890" s="20"/>
      <c r="N2890" s="20"/>
      <c r="O2890" s="20"/>
      <c r="P2890" s="20"/>
    </row>
    <row r="2891">
      <c r="A2891" s="10"/>
      <c r="B2891" s="11"/>
      <c r="C2891" s="10"/>
      <c r="D2891" s="13"/>
      <c r="E2891" s="14"/>
      <c r="F2891" s="14"/>
      <c r="G2891" s="14"/>
      <c r="H2891" s="10"/>
      <c r="I2891" s="17"/>
      <c r="J2891" s="10"/>
      <c r="K2891" s="46"/>
      <c r="L2891" s="10"/>
      <c r="M2891" s="20"/>
      <c r="N2891" s="20"/>
      <c r="O2891" s="20"/>
      <c r="P2891" s="20"/>
    </row>
    <row r="2892">
      <c r="A2892" s="23"/>
      <c r="B2892" s="21"/>
      <c r="C2892" s="23"/>
      <c r="D2892" s="24"/>
      <c r="E2892" s="14"/>
      <c r="F2892" s="14"/>
      <c r="G2892" s="14"/>
      <c r="H2892" s="23"/>
      <c r="I2892" s="27"/>
      <c r="J2892" s="23"/>
      <c r="K2892" s="30"/>
      <c r="L2892" s="23"/>
      <c r="M2892" s="20"/>
      <c r="N2892" s="20"/>
      <c r="O2892" s="20"/>
      <c r="P2892" s="20"/>
    </row>
    <row r="2893">
      <c r="A2893" s="10"/>
      <c r="B2893" s="11"/>
      <c r="C2893" s="10"/>
      <c r="D2893" s="13"/>
      <c r="E2893" s="14"/>
      <c r="F2893" s="14"/>
      <c r="G2893" s="14"/>
      <c r="H2893" s="10"/>
      <c r="I2893" s="17"/>
      <c r="J2893" s="10"/>
      <c r="K2893" s="46"/>
      <c r="L2893" s="10"/>
      <c r="M2893" s="20"/>
      <c r="N2893" s="20"/>
      <c r="O2893" s="20"/>
      <c r="P2893" s="20"/>
    </row>
    <row r="2894">
      <c r="A2894" s="23"/>
      <c r="B2894" s="21"/>
      <c r="C2894" s="23"/>
      <c r="D2894" s="24"/>
      <c r="E2894" s="14"/>
      <c r="F2894" s="14"/>
      <c r="G2894" s="14"/>
      <c r="H2894" s="23"/>
      <c r="I2894" s="27"/>
      <c r="J2894" s="23"/>
      <c r="K2894" s="30"/>
      <c r="L2894" s="23"/>
      <c r="M2894" s="20"/>
      <c r="N2894" s="20"/>
      <c r="O2894" s="20"/>
      <c r="P2894" s="20"/>
    </row>
    <row r="2895">
      <c r="A2895" s="10"/>
      <c r="B2895" s="11"/>
      <c r="C2895" s="10"/>
      <c r="D2895" s="13"/>
      <c r="E2895" s="14"/>
      <c r="F2895" s="14"/>
      <c r="G2895" s="14"/>
      <c r="H2895" s="10"/>
      <c r="I2895" s="17"/>
      <c r="J2895" s="10"/>
      <c r="K2895" s="46"/>
      <c r="L2895" s="10"/>
      <c r="M2895" s="20"/>
      <c r="N2895" s="20"/>
      <c r="O2895" s="20"/>
      <c r="P2895" s="20"/>
    </row>
    <row r="2896">
      <c r="A2896" s="23"/>
      <c r="B2896" s="21"/>
      <c r="C2896" s="23"/>
      <c r="D2896" s="24"/>
      <c r="E2896" s="14"/>
      <c r="F2896" s="14"/>
      <c r="G2896" s="14"/>
      <c r="H2896" s="23"/>
      <c r="I2896" s="27"/>
      <c r="J2896" s="23"/>
      <c r="K2896" s="30"/>
      <c r="L2896" s="23"/>
      <c r="M2896" s="20"/>
      <c r="N2896" s="20"/>
      <c r="O2896" s="20"/>
      <c r="P2896" s="20"/>
    </row>
    <row r="2897">
      <c r="A2897" s="10"/>
      <c r="B2897" s="11"/>
      <c r="C2897" s="10"/>
      <c r="D2897" s="13"/>
      <c r="E2897" s="14"/>
      <c r="F2897" s="14"/>
      <c r="G2897" s="14"/>
      <c r="H2897" s="10"/>
      <c r="I2897" s="17"/>
      <c r="J2897" s="10"/>
      <c r="K2897" s="46"/>
      <c r="L2897" s="10"/>
      <c r="M2897" s="20"/>
      <c r="N2897" s="20"/>
      <c r="O2897" s="20"/>
      <c r="P2897" s="20"/>
    </row>
    <row r="2898">
      <c r="A2898" s="23"/>
      <c r="B2898" s="21"/>
      <c r="C2898" s="23"/>
      <c r="D2898" s="24"/>
      <c r="E2898" s="14"/>
      <c r="F2898" s="14"/>
      <c r="G2898" s="14"/>
      <c r="H2898" s="23"/>
      <c r="I2898" s="27"/>
      <c r="J2898" s="23"/>
      <c r="K2898" s="30"/>
      <c r="L2898" s="23"/>
      <c r="M2898" s="20"/>
      <c r="N2898" s="20"/>
      <c r="O2898" s="20"/>
      <c r="P2898" s="20"/>
    </row>
    <row r="2899">
      <c r="A2899" s="10"/>
      <c r="B2899" s="11"/>
      <c r="C2899" s="10"/>
      <c r="D2899" s="13"/>
      <c r="E2899" s="14"/>
      <c r="F2899" s="14"/>
      <c r="G2899" s="14"/>
      <c r="H2899" s="10"/>
      <c r="I2899" s="17"/>
      <c r="J2899" s="10"/>
      <c r="K2899" s="46"/>
      <c r="L2899" s="10"/>
      <c r="M2899" s="20"/>
      <c r="N2899" s="20"/>
      <c r="O2899" s="20"/>
      <c r="P2899" s="20"/>
    </row>
    <row r="2900">
      <c r="A2900" s="23"/>
      <c r="B2900" s="21"/>
      <c r="C2900" s="23"/>
      <c r="D2900" s="24"/>
      <c r="E2900" s="14"/>
      <c r="F2900" s="14"/>
      <c r="G2900" s="14"/>
      <c r="H2900" s="23"/>
      <c r="I2900" s="27"/>
      <c r="J2900" s="23"/>
      <c r="K2900" s="30"/>
      <c r="L2900" s="23"/>
      <c r="M2900" s="20"/>
      <c r="N2900" s="20"/>
      <c r="O2900" s="20"/>
      <c r="P2900" s="20"/>
    </row>
    <row r="2901">
      <c r="A2901" s="10"/>
      <c r="B2901" s="11"/>
      <c r="C2901" s="10"/>
      <c r="D2901" s="13"/>
      <c r="E2901" s="14"/>
      <c r="F2901" s="14"/>
      <c r="G2901" s="14"/>
      <c r="H2901" s="10"/>
      <c r="I2901" s="17"/>
      <c r="J2901" s="10"/>
      <c r="K2901" s="46"/>
      <c r="L2901" s="10"/>
      <c r="M2901" s="20"/>
      <c r="N2901" s="20"/>
      <c r="O2901" s="20"/>
      <c r="P2901" s="20"/>
    </row>
    <row r="2902">
      <c r="A2902" s="23"/>
      <c r="B2902" s="21"/>
      <c r="C2902" s="23"/>
      <c r="D2902" s="24"/>
      <c r="E2902" s="14"/>
      <c r="F2902" s="14"/>
      <c r="G2902" s="14"/>
      <c r="H2902" s="23"/>
      <c r="I2902" s="27"/>
      <c r="J2902" s="23"/>
      <c r="K2902" s="30"/>
      <c r="L2902" s="23"/>
      <c r="M2902" s="20"/>
      <c r="N2902" s="20"/>
      <c r="O2902" s="20"/>
      <c r="P2902" s="20"/>
    </row>
    <row r="2903">
      <c r="A2903" s="10"/>
      <c r="B2903" s="11"/>
      <c r="C2903" s="10"/>
      <c r="D2903" s="13"/>
      <c r="E2903" s="14"/>
      <c r="F2903" s="14"/>
      <c r="G2903" s="14"/>
      <c r="H2903" s="10"/>
      <c r="I2903" s="17"/>
      <c r="J2903" s="10"/>
      <c r="K2903" s="46"/>
      <c r="L2903" s="10"/>
      <c r="M2903" s="20"/>
      <c r="N2903" s="20"/>
      <c r="O2903" s="20"/>
      <c r="P2903" s="20"/>
    </row>
    <row r="2904">
      <c r="A2904" s="23"/>
      <c r="B2904" s="21"/>
      <c r="C2904" s="23"/>
      <c r="D2904" s="24"/>
      <c r="E2904" s="14"/>
      <c r="F2904" s="14"/>
      <c r="G2904" s="14"/>
      <c r="H2904" s="23"/>
      <c r="I2904" s="27"/>
      <c r="J2904" s="23"/>
      <c r="K2904" s="30"/>
      <c r="L2904" s="23"/>
      <c r="M2904" s="20"/>
      <c r="N2904" s="20"/>
      <c r="O2904" s="20"/>
      <c r="P2904" s="20"/>
    </row>
    <row r="2905">
      <c r="A2905" s="10"/>
      <c r="B2905" s="11"/>
      <c r="C2905" s="10"/>
      <c r="D2905" s="13"/>
      <c r="E2905" s="14"/>
      <c r="F2905" s="14"/>
      <c r="G2905" s="14"/>
      <c r="H2905" s="10"/>
      <c r="I2905" s="17"/>
      <c r="J2905" s="10"/>
      <c r="K2905" s="46"/>
      <c r="L2905" s="10"/>
      <c r="M2905" s="20"/>
      <c r="N2905" s="20"/>
      <c r="O2905" s="20"/>
      <c r="P2905" s="20"/>
    </row>
    <row r="2906">
      <c r="A2906" s="23"/>
      <c r="B2906" s="21"/>
      <c r="C2906" s="23"/>
      <c r="D2906" s="24"/>
      <c r="E2906" s="14"/>
      <c r="F2906" s="14"/>
      <c r="G2906" s="14"/>
      <c r="H2906" s="23"/>
      <c r="I2906" s="27"/>
      <c r="J2906" s="23"/>
      <c r="K2906" s="30"/>
      <c r="L2906" s="23"/>
      <c r="M2906" s="20"/>
      <c r="N2906" s="20"/>
      <c r="O2906" s="20"/>
      <c r="P2906" s="20"/>
    </row>
    <row r="2907">
      <c r="A2907" s="10"/>
      <c r="B2907" s="11"/>
      <c r="C2907" s="10"/>
      <c r="D2907" s="13"/>
      <c r="E2907" s="14"/>
      <c r="F2907" s="14"/>
      <c r="G2907" s="14"/>
      <c r="H2907" s="10"/>
      <c r="I2907" s="17"/>
      <c r="J2907" s="10"/>
      <c r="K2907" s="46"/>
      <c r="L2907" s="10"/>
      <c r="M2907" s="20"/>
      <c r="N2907" s="20"/>
      <c r="O2907" s="20"/>
      <c r="P2907" s="20"/>
    </row>
    <row r="2908">
      <c r="A2908" s="23"/>
      <c r="B2908" s="21"/>
      <c r="C2908" s="23"/>
      <c r="D2908" s="24"/>
      <c r="E2908" s="14"/>
      <c r="F2908" s="14"/>
      <c r="G2908" s="14"/>
      <c r="H2908" s="23"/>
      <c r="I2908" s="27"/>
      <c r="J2908" s="23"/>
      <c r="K2908" s="30"/>
      <c r="L2908" s="23"/>
      <c r="M2908" s="20"/>
      <c r="N2908" s="20"/>
      <c r="O2908" s="20"/>
      <c r="P2908" s="20"/>
    </row>
    <row r="2909">
      <c r="A2909" s="10"/>
      <c r="B2909" s="11"/>
      <c r="C2909" s="10"/>
      <c r="D2909" s="13"/>
      <c r="E2909" s="14"/>
      <c r="F2909" s="14"/>
      <c r="G2909" s="14"/>
      <c r="H2909" s="10"/>
      <c r="I2909" s="17"/>
      <c r="J2909" s="10"/>
      <c r="K2909" s="46"/>
      <c r="L2909" s="10"/>
      <c r="M2909" s="20"/>
      <c r="N2909" s="20"/>
      <c r="O2909" s="20"/>
      <c r="P2909" s="20"/>
    </row>
    <row r="2910">
      <c r="A2910" s="23"/>
      <c r="B2910" s="21"/>
      <c r="C2910" s="23"/>
      <c r="D2910" s="24"/>
      <c r="E2910" s="14"/>
      <c r="F2910" s="14"/>
      <c r="G2910" s="14"/>
      <c r="H2910" s="23"/>
      <c r="I2910" s="27"/>
      <c r="J2910" s="23"/>
      <c r="K2910" s="30"/>
      <c r="L2910" s="23"/>
      <c r="M2910" s="20"/>
      <c r="N2910" s="20"/>
      <c r="O2910" s="20"/>
      <c r="P2910" s="20"/>
    </row>
    <row r="2911">
      <c r="A2911" s="10"/>
      <c r="B2911" s="11"/>
      <c r="C2911" s="10"/>
      <c r="D2911" s="13"/>
      <c r="E2911" s="14"/>
      <c r="F2911" s="14"/>
      <c r="G2911" s="14"/>
      <c r="H2911" s="10"/>
      <c r="I2911" s="17"/>
      <c r="J2911" s="10"/>
      <c r="K2911" s="46"/>
      <c r="L2911" s="10"/>
      <c r="M2911" s="20"/>
      <c r="N2911" s="20"/>
      <c r="O2911" s="20"/>
      <c r="P2911" s="20"/>
    </row>
    <row r="2912">
      <c r="A2912" s="23"/>
      <c r="B2912" s="21"/>
      <c r="C2912" s="23"/>
      <c r="D2912" s="24"/>
      <c r="E2912" s="14"/>
      <c r="F2912" s="14"/>
      <c r="G2912" s="14"/>
      <c r="H2912" s="23"/>
      <c r="I2912" s="27"/>
      <c r="J2912" s="23"/>
      <c r="K2912" s="30"/>
      <c r="L2912" s="23"/>
      <c r="M2912" s="20"/>
      <c r="N2912" s="20"/>
      <c r="O2912" s="20"/>
      <c r="P2912" s="20"/>
    </row>
    <row r="2913">
      <c r="A2913" s="10"/>
      <c r="B2913" s="11"/>
      <c r="C2913" s="10"/>
      <c r="D2913" s="13"/>
      <c r="E2913" s="14"/>
      <c r="F2913" s="14"/>
      <c r="G2913" s="14"/>
      <c r="H2913" s="10"/>
      <c r="I2913" s="17"/>
      <c r="J2913" s="10"/>
      <c r="K2913" s="46"/>
      <c r="L2913" s="10"/>
      <c r="M2913" s="20"/>
      <c r="N2913" s="20"/>
      <c r="O2913" s="20"/>
      <c r="P2913" s="20"/>
    </row>
    <row r="2914">
      <c r="A2914" s="23"/>
      <c r="B2914" s="21"/>
      <c r="C2914" s="23"/>
      <c r="D2914" s="24"/>
      <c r="E2914" s="14"/>
      <c r="F2914" s="14"/>
      <c r="G2914" s="14"/>
      <c r="H2914" s="23"/>
      <c r="I2914" s="27"/>
      <c r="J2914" s="23"/>
      <c r="K2914" s="30"/>
      <c r="L2914" s="23"/>
      <c r="M2914" s="20"/>
      <c r="N2914" s="20"/>
      <c r="O2914" s="20"/>
      <c r="P2914" s="20"/>
    </row>
    <row r="2915">
      <c r="A2915" s="10"/>
      <c r="B2915" s="11"/>
      <c r="C2915" s="10"/>
      <c r="D2915" s="13"/>
      <c r="E2915" s="14"/>
      <c r="F2915" s="14"/>
      <c r="G2915" s="14"/>
      <c r="H2915" s="10"/>
      <c r="I2915" s="17"/>
      <c r="J2915" s="10"/>
      <c r="K2915" s="46"/>
      <c r="L2915" s="10"/>
      <c r="M2915" s="20"/>
      <c r="N2915" s="20"/>
      <c r="O2915" s="20"/>
      <c r="P2915" s="20"/>
    </row>
    <row r="2916">
      <c r="A2916" s="23"/>
      <c r="B2916" s="21"/>
      <c r="C2916" s="23"/>
      <c r="D2916" s="24"/>
      <c r="E2916" s="14"/>
      <c r="F2916" s="14"/>
      <c r="G2916" s="14"/>
      <c r="H2916" s="23"/>
      <c r="I2916" s="27"/>
      <c r="J2916" s="23"/>
      <c r="K2916" s="30"/>
      <c r="L2916" s="23"/>
      <c r="M2916" s="20"/>
      <c r="N2916" s="20"/>
      <c r="O2916" s="20"/>
      <c r="P2916" s="20"/>
    </row>
    <row r="2917">
      <c r="A2917" s="10"/>
      <c r="B2917" s="11"/>
      <c r="C2917" s="10"/>
      <c r="D2917" s="13"/>
      <c r="E2917" s="14"/>
      <c r="F2917" s="14"/>
      <c r="G2917" s="14"/>
      <c r="H2917" s="10"/>
      <c r="I2917" s="17"/>
      <c r="J2917" s="10"/>
      <c r="K2917" s="46"/>
      <c r="L2917" s="10"/>
      <c r="M2917" s="20"/>
      <c r="N2917" s="20"/>
      <c r="O2917" s="20"/>
      <c r="P2917" s="20"/>
    </row>
    <row r="2918">
      <c r="A2918" s="23"/>
      <c r="B2918" s="21"/>
      <c r="C2918" s="23"/>
      <c r="D2918" s="24"/>
      <c r="E2918" s="14"/>
      <c r="F2918" s="14"/>
      <c r="G2918" s="14"/>
      <c r="H2918" s="23"/>
      <c r="I2918" s="27"/>
      <c r="J2918" s="23"/>
      <c r="K2918" s="30"/>
      <c r="L2918" s="23"/>
      <c r="M2918" s="20"/>
      <c r="N2918" s="20"/>
      <c r="O2918" s="20"/>
      <c r="P2918" s="20"/>
    </row>
    <row r="2919">
      <c r="A2919" s="10"/>
      <c r="B2919" s="11"/>
      <c r="C2919" s="10"/>
      <c r="D2919" s="13"/>
      <c r="E2919" s="14"/>
      <c r="F2919" s="14"/>
      <c r="G2919" s="14"/>
      <c r="H2919" s="10"/>
      <c r="I2919" s="17"/>
      <c r="J2919" s="10"/>
      <c r="K2919" s="46"/>
      <c r="L2919" s="10"/>
      <c r="M2919" s="20"/>
      <c r="N2919" s="20"/>
      <c r="O2919" s="20"/>
      <c r="P2919" s="20"/>
    </row>
    <row r="2920">
      <c r="A2920" s="23"/>
      <c r="B2920" s="21"/>
      <c r="C2920" s="23"/>
      <c r="D2920" s="24"/>
      <c r="E2920" s="14"/>
      <c r="F2920" s="14"/>
      <c r="G2920" s="14"/>
      <c r="H2920" s="23"/>
      <c r="I2920" s="27"/>
      <c r="J2920" s="23"/>
      <c r="K2920" s="30"/>
      <c r="L2920" s="23"/>
      <c r="M2920" s="20"/>
      <c r="N2920" s="20"/>
      <c r="O2920" s="20"/>
      <c r="P2920" s="20"/>
    </row>
    <row r="2921">
      <c r="A2921" s="10"/>
      <c r="B2921" s="11"/>
      <c r="C2921" s="10"/>
      <c r="D2921" s="13"/>
      <c r="E2921" s="14"/>
      <c r="F2921" s="14"/>
      <c r="G2921" s="14"/>
      <c r="H2921" s="10"/>
      <c r="I2921" s="17"/>
      <c r="J2921" s="10"/>
      <c r="K2921" s="46"/>
      <c r="L2921" s="10"/>
      <c r="M2921" s="20"/>
      <c r="N2921" s="20"/>
      <c r="O2921" s="20"/>
      <c r="P2921" s="20"/>
    </row>
    <row r="2922">
      <c r="A2922" s="23"/>
      <c r="B2922" s="21"/>
      <c r="C2922" s="23"/>
      <c r="D2922" s="24"/>
      <c r="E2922" s="14"/>
      <c r="F2922" s="14"/>
      <c r="G2922" s="14"/>
      <c r="H2922" s="23"/>
      <c r="I2922" s="27"/>
      <c r="J2922" s="23"/>
      <c r="K2922" s="30"/>
      <c r="L2922" s="23"/>
      <c r="M2922" s="20"/>
      <c r="N2922" s="20"/>
      <c r="O2922" s="20"/>
      <c r="P2922" s="20"/>
    </row>
    <row r="2923">
      <c r="A2923" s="10"/>
      <c r="B2923" s="11"/>
      <c r="C2923" s="10"/>
      <c r="D2923" s="13"/>
      <c r="E2923" s="14"/>
      <c r="F2923" s="14"/>
      <c r="G2923" s="14"/>
      <c r="H2923" s="10"/>
      <c r="I2923" s="17"/>
      <c r="J2923" s="10"/>
      <c r="K2923" s="46"/>
      <c r="L2923" s="10"/>
      <c r="M2923" s="20"/>
      <c r="N2923" s="20"/>
      <c r="O2923" s="20"/>
      <c r="P2923" s="20"/>
    </row>
    <row r="2924">
      <c r="A2924" s="23"/>
      <c r="B2924" s="21"/>
      <c r="C2924" s="23"/>
      <c r="D2924" s="24"/>
      <c r="E2924" s="14"/>
      <c r="F2924" s="14"/>
      <c r="G2924" s="14"/>
      <c r="H2924" s="23"/>
      <c r="I2924" s="27"/>
      <c r="J2924" s="23"/>
      <c r="K2924" s="30"/>
      <c r="L2924" s="23"/>
      <c r="M2924" s="20"/>
      <c r="N2924" s="20"/>
      <c r="O2924" s="20"/>
      <c r="P2924" s="20"/>
    </row>
    <row r="2925">
      <c r="A2925" s="10"/>
      <c r="B2925" s="11"/>
      <c r="C2925" s="10"/>
      <c r="D2925" s="13"/>
      <c r="E2925" s="14"/>
      <c r="F2925" s="14"/>
      <c r="G2925" s="14"/>
      <c r="H2925" s="10"/>
      <c r="I2925" s="17"/>
      <c r="J2925" s="10"/>
      <c r="K2925" s="46"/>
      <c r="L2925" s="10"/>
      <c r="M2925" s="20"/>
      <c r="N2925" s="20"/>
      <c r="O2925" s="20"/>
      <c r="P2925" s="20"/>
    </row>
    <row r="2926">
      <c r="A2926" s="23"/>
      <c r="B2926" s="21"/>
      <c r="C2926" s="23"/>
      <c r="D2926" s="24"/>
      <c r="E2926" s="14"/>
      <c r="F2926" s="14"/>
      <c r="G2926" s="14"/>
      <c r="H2926" s="23"/>
      <c r="I2926" s="27"/>
      <c r="J2926" s="23"/>
      <c r="K2926" s="30"/>
      <c r="L2926" s="23"/>
      <c r="M2926" s="20"/>
      <c r="N2926" s="20"/>
      <c r="O2926" s="20"/>
      <c r="P2926" s="20"/>
    </row>
    <row r="2927">
      <c r="A2927" s="10"/>
      <c r="B2927" s="11"/>
      <c r="C2927" s="10"/>
      <c r="D2927" s="13"/>
      <c r="E2927" s="14"/>
      <c r="F2927" s="14"/>
      <c r="G2927" s="14"/>
      <c r="H2927" s="10"/>
      <c r="I2927" s="17"/>
      <c r="J2927" s="10"/>
      <c r="K2927" s="46"/>
      <c r="L2927" s="10"/>
      <c r="M2927" s="20"/>
      <c r="N2927" s="20"/>
      <c r="O2927" s="20"/>
      <c r="P2927" s="20"/>
    </row>
    <row r="2928">
      <c r="A2928" s="23"/>
      <c r="B2928" s="21"/>
      <c r="C2928" s="23"/>
      <c r="D2928" s="24"/>
      <c r="E2928" s="14"/>
      <c r="F2928" s="14"/>
      <c r="G2928" s="14"/>
      <c r="H2928" s="23"/>
      <c r="I2928" s="27"/>
      <c r="J2928" s="23"/>
      <c r="K2928" s="30"/>
      <c r="L2928" s="23"/>
      <c r="M2928" s="20"/>
      <c r="N2928" s="20"/>
      <c r="O2928" s="20"/>
      <c r="P2928" s="20"/>
    </row>
    <row r="2929">
      <c r="A2929" s="10"/>
      <c r="B2929" s="11"/>
      <c r="C2929" s="10"/>
      <c r="D2929" s="13"/>
      <c r="E2929" s="14"/>
      <c r="F2929" s="14"/>
      <c r="G2929" s="14"/>
      <c r="H2929" s="10"/>
      <c r="I2929" s="17"/>
      <c r="J2929" s="10"/>
      <c r="K2929" s="46"/>
      <c r="L2929" s="10"/>
      <c r="M2929" s="20"/>
      <c r="N2929" s="20"/>
      <c r="O2929" s="20"/>
      <c r="P2929" s="20"/>
    </row>
    <row r="2930">
      <c r="A2930" s="23"/>
      <c r="B2930" s="21"/>
      <c r="C2930" s="23"/>
      <c r="D2930" s="24"/>
      <c r="E2930" s="14"/>
      <c r="F2930" s="14"/>
      <c r="G2930" s="14"/>
      <c r="H2930" s="23"/>
      <c r="I2930" s="27"/>
      <c r="J2930" s="23"/>
      <c r="K2930" s="30"/>
      <c r="L2930" s="23"/>
      <c r="M2930" s="20"/>
      <c r="N2930" s="20"/>
      <c r="O2930" s="20"/>
      <c r="P2930" s="20"/>
    </row>
    <row r="2931">
      <c r="A2931" s="10"/>
      <c r="B2931" s="11"/>
      <c r="C2931" s="10"/>
      <c r="D2931" s="13"/>
      <c r="E2931" s="14"/>
      <c r="F2931" s="14"/>
      <c r="G2931" s="14"/>
      <c r="H2931" s="10"/>
      <c r="I2931" s="17"/>
      <c r="J2931" s="10"/>
      <c r="K2931" s="46"/>
      <c r="L2931" s="10"/>
      <c r="M2931" s="20"/>
      <c r="N2931" s="20"/>
      <c r="O2931" s="20"/>
      <c r="P2931" s="20"/>
    </row>
    <row r="2932">
      <c r="A2932" s="23"/>
      <c r="B2932" s="21"/>
      <c r="C2932" s="23"/>
      <c r="D2932" s="24"/>
      <c r="E2932" s="14"/>
      <c r="F2932" s="14"/>
      <c r="G2932" s="14"/>
      <c r="H2932" s="23"/>
      <c r="I2932" s="27"/>
      <c r="J2932" s="23"/>
      <c r="K2932" s="30"/>
      <c r="L2932" s="23"/>
      <c r="M2932" s="20"/>
      <c r="N2932" s="20"/>
      <c r="O2932" s="20"/>
      <c r="P2932" s="20"/>
    </row>
    <row r="2933">
      <c r="A2933" s="10"/>
      <c r="B2933" s="11"/>
      <c r="C2933" s="10"/>
      <c r="D2933" s="13"/>
      <c r="E2933" s="14"/>
      <c r="F2933" s="14"/>
      <c r="G2933" s="14"/>
      <c r="H2933" s="10"/>
      <c r="I2933" s="17"/>
      <c r="J2933" s="10"/>
      <c r="K2933" s="46"/>
      <c r="L2933" s="10"/>
      <c r="M2933" s="20"/>
      <c r="N2933" s="20"/>
      <c r="O2933" s="20"/>
      <c r="P2933" s="20"/>
    </row>
    <row r="2934">
      <c r="A2934" s="23"/>
      <c r="B2934" s="21"/>
      <c r="C2934" s="23"/>
      <c r="D2934" s="24"/>
      <c r="E2934" s="14"/>
      <c r="F2934" s="14"/>
      <c r="G2934" s="14"/>
      <c r="H2934" s="23"/>
      <c r="I2934" s="27"/>
      <c r="J2934" s="23"/>
      <c r="K2934" s="30"/>
      <c r="L2934" s="23"/>
      <c r="M2934" s="20"/>
      <c r="N2934" s="20"/>
      <c r="O2934" s="20"/>
      <c r="P2934" s="20"/>
    </row>
    <row r="2935">
      <c r="A2935" s="10"/>
      <c r="B2935" s="11"/>
      <c r="C2935" s="10"/>
      <c r="D2935" s="13"/>
      <c r="E2935" s="14"/>
      <c r="F2935" s="14"/>
      <c r="G2935" s="14"/>
      <c r="H2935" s="10"/>
      <c r="I2935" s="17"/>
      <c r="J2935" s="10"/>
      <c r="K2935" s="46"/>
      <c r="L2935" s="10"/>
      <c r="M2935" s="20"/>
      <c r="N2935" s="20"/>
      <c r="O2935" s="20"/>
      <c r="P2935" s="20"/>
    </row>
    <row r="2936">
      <c r="A2936" s="23"/>
      <c r="B2936" s="21"/>
      <c r="C2936" s="23"/>
      <c r="D2936" s="24"/>
      <c r="E2936" s="14"/>
      <c r="F2936" s="14"/>
      <c r="G2936" s="14"/>
      <c r="H2936" s="23"/>
      <c r="I2936" s="27"/>
      <c r="J2936" s="23"/>
      <c r="K2936" s="30"/>
      <c r="L2936" s="23"/>
      <c r="M2936" s="20"/>
      <c r="N2936" s="20"/>
      <c r="O2936" s="20"/>
      <c r="P2936" s="20"/>
    </row>
    <row r="2937">
      <c r="A2937" s="10"/>
      <c r="B2937" s="11"/>
      <c r="C2937" s="10"/>
      <c r="D2937" s="13"/>
      <c r="E2937" s="14"/>
      <c r="F2937" s="14"/>
      <c r="G2937" s="14"/>
      <c r="H2937" s="10"/>
      <c r="I2937" s="17"/>
      <c r="J2937" s="10"/>
      <c r="K2937" s="46"/>
      <c r="L2937" s="10"/>
      <c r="M2937" s="20"/>
      <c r="N2937" s="20"/>
      <c r="O2937" s="20"/>
      <c r="P2937" s="20"/>
    </row>
    <row r="2938">
      <c r="A2938" s="23"/>
      <c r="B2938" s="21"/>
      <c r="C2938" s="23"/>
      <c r="D2938" s="24"/>
      <c r="E2938" s="14"/>
      <c r="F2938" s="14"/>
      <c r="G2938" s="14"/>
      <c r="H2938" s="23"/>
      <c r="I2938" s="27"/>
      <c r="J2938" s="23"/>
      <c r="K2938" s="30"/>
      <c r="L2938" s="23"/>
      <c r="M2938" s="20"/>
      <c r="N2938" s="20"/>
      <c r="O2938" s="20"/>
      <c r="P2938" s="20"/>
    </row>
    <row r="2939">
      <c r="A2939" s="10"/>
      <c r="B2939" s="11"/>
      <c r="C2939" s="10"/>
      <c r="D2939" s="13"/>
      <c r="E2939" s="14"/>
      <c r="F2939" s="14"/>
      <c r="G2939" s="14"/>
      <c r="H2939" s="10"/>
      <c r="I2939" s="17"/>
      <c r="J2939" s="10"/>
      <c r="K2939" s="46"/>
      <c r="L2939" s="10"/>
      <c r="M2939" s="20"/>
      <c r="N2939" s="20"/>
      <c r="O2939" s="20"/>
      <c r="P2939" s="20"/>
    </row>
    <row r="2940">
      <c r="A2940" s="23"/>
      <c r="B2940" s="21"/>
      <c r="C2940" s="23"/>
      <c r="D2940" s="24"/>
      <c r="E2940" s="14"/>
      <c r="F2940" s="14"/>
      <c r="G2940" s="14"/>
      <c r="H2940" s="23"/>
      <c r="I2940" s="27"/>
      <c r="J2940" s="23"/>
      <c r="K2940" s="30"/>
      <c r="L2940" s="23"/>
      <c r="M2940" s="20"/>
      <c r="N2940" s="20"/>
      <c r="O2940" s="20"/>
      <c r="P2940" s="20"/>
    </row>
    <row r="2941">
      <c r="A2941" s="10"/>
      <c r="B2941" s="11"/>
      <c r="C2941" s="10"/>
      <c r="D2941" s="13"/>
      <c r="E2941" s="14"/>
      <c r="F2941" s="14"/>
      <c r="G2941" s="14"/>
      <c r="H2941" s="10"/>
      <c r="I2941" s="17"/>
      <c r="J2941" s="10"/>
      <c r="K2941" s="46"/>
      <c r="L2941" s="10"/>
      <c r="M2941" s="20"/>
      <c r="N2941" s="20"/>
      <c r="O2941" s="20"/>
      <c r="P2941" s="20"/>
    </row>
    <row r="2942">
      <c r="A2942" s="23"/>
      <c r="B2942" s="21"/>
      <c r="C2942" s="23"/>
      <c r="D2942" s="24"/>
      <c r="E2942" s="14"/>
      <c r="F2942" s="14"/>
      <c r="G2942" s="14"/>
      <c r="H2942" s="23"/>
      <c r="I2942" s="27"/>
      <c r="J2942" s="23"/>
      <c r="K2942" s="30"/>
      <c r="L2942" s="23"/>
      <c r="M2942" s="20"/>
      <c r="N2942" s="20"/>
      <c r="O2942" s="20"/>
      <c r="P2942" s="20"/>
    </row>
    <row r="2943">
      <c r="A2943" s="10"/>
      <c r="B2943" s="11"/>
      <c r="C2943" s="10"/>
      <c r="D2943" s="13"/>
      <c r="E2943" s="14"/>
      <c r="F2943" s="14"/>
      <c r="G2943" s="14"/>
      <c r="H2943" s="10"/>
      <c r="I2943" s="17"/>
      <c r="J2943" s="10"/>
      <c r="K2943" s="46"/>
      <c r="L2943" s="10"/>
      <c r="M2943" s="20"/>
      <c r="N2943" s="20"/>
      <c r="O2943" s="20"/>
      <c r="P2943" s="20"/>
    </row>
    <row r="2944">
      <c r="A2944" s="23"/>
      <c r="B2944" s="21"/>
      <c r="C2944" s="23"/>
      <c r="D2944" s="24"/>
      <c r="E2944" s="14"/>
      <c r="F2944" s="14"/>
      <c r="G2944" s="14"/>
      <c r="H2944" s="23"/>
      <c r="I2944" s="27"/>
      <c r="J2944" s="23"/>
      <c r="K2944" s="30"/>
      <c r="L2944" s="23"/>
      <c r="M2944" s="20"/>
      <c r="N2944" s="20"/>
      <c r="O2944" s="20"/>
      <c r="P2944" s="20"/>
    </row>
    <row r="2945">
      <c r="A2945" s="10"/>
      <c r="B2945" s="11"/>
      <c r="C2945" s="10"/>
      <c r="D2945" s="13"/>
      <c r="E2945" s="14"/>
      <c r="F2945" s="14"/>
      <c r="G2945" s="14"/>
      <c r="H2945" s="10"/>
      <c r="I2945" s="17"/>
      <c r="J2945" s="10"/>
      <c r="K2945" s="46"/>
      <c r="L2945" s="10"/>
      <c r="M2945" s="20"/>
      <c r="N2945" s="20"/>
      <c r="O2945" s="20"/>
      <c r="P2945" s="20"/>
    </row>
    <row r="2946">
      <c r="A2946" s="23"/>
      <c r="B2946" s="21"/>
      <c r="C2946" s="23"/>
      <c r="D2946" s="24"/>
      <c r="E2946" s="14"/>
      <c r="F2946" s="14"/>
      <c r="G2946" s="14"/>
      <c r="H2946" s="23"/>
      <c r="I2946" s="27"/>
      <c r="J2946" s="23"/>
      <c r="K2946" s="30"/>
      <c r="L2946" s="23"/>
      <c r="M2946" s="20"/>
      <c r="N2946" s="20"/>
      <c r="O2946" s="20"/>
      <c r="P2946" s="20"/>
    </row>
    <row r="2947">
      <c r="A2947" s="10"/>
      <c r="B2947" s="11"/>
      <c r="C2947" s="10"/>
      <c r="D2947" s="13"/>
      <c r="E2947" s="14"/>
      <c r="F2947" s="14"/>
      <c r="G2947" s="14"/>
      <c r="H2947" s="10"/>
      <c r="I2947" s="17"/>
      <c r="J2947" s="10"/>
      <c r="K2947" s="46"/>
      <c r="L2947" s="10"/>
      <c r="M2947" s="20"/>
      <c r="N2947" s="20"/>
      <c r="O2947" s="20"/>
      <c r="P2947" s="20"/>
    </row>
    <row r="2948">
      <c r="A2948" s="23"/>
      <c r="B2948" s="21"/>
      <c r="C2948" s="23"/>
      <c r="D2948" s="24"/>
      <c r="E2948" s="14"/>
      <c r="F2948" s="14"/>
      <c r="G2948" s="14"/>
      <c r="H2948" s="23"/>
      <c r="I2948" s="27"/>
      <c r="J2948" s="23"/>
      <c r="K2948" s="30"/>
      <c r="L2948" s="23"/>
      <c r="M2948" s="20"/>
      <c r="N2948" s="20"/>
      <c r="O2948" s="20"/>
      <c r="P2948" s="20"/>
    </row>
    <row r="2949">
      <c r="A2949" s="10"/>
      <c r="B2949" s="11"/>
      <c r="C2949" s="10"/>
      <c r="D2949" s="13"/>
      <c r="E2949" s="14"/>
      <c r="F2949" s="14"/>
      <c r="G2949" s="14"/>
      <c r="H2949" s="10"/>
      <c r="I2949" s="17"/>
      <c r="J2949" s="10"/>
      <c r="K2949" s="46"/>
      <c r="L2949" s="10"/>
      <c r="M2949" s="20"/>
      <c r="N2949" s="20"/>
      <c r="O2949" s="20"/>
      <c r="P2949" s="20"/>
    </row>
    <row r="2950">
      <c r="A2950" s="23"/>
      <c r="B2950" s="21"/>
      <c r="C2950" s="23"/>
      <c r="D2950" s="24"/>
      <c r="E2950" s="14"/>
      <c r="F2950" s="14"/>
      <c r="G2950" s="14"/>
      <c r="H2950" s="23"/>
      <c r="I2950" s="27"/>
      <c r="J2950" s="23"/>
      <c r="K2950" s="30"/>
      <c r="L2950" s="23"/>
      <c r="M2950" s="20"/>
      <c r="N2950" s="20"/>
      <c r="O2950" s="20"/>
      <c r="P2950" s="20"/>
    </row>
    <row r="2951">
      <c r="A2951" s="10"/>
      <c r="B2951" s="11"/>
      <c r="C2951" s="10"/>
      <c r="D2951" s="13"/>
      <c r="E2951" s="14"/>
      <c r="F2951" s="14"/>
      <c r="G2951" s="14"/>
      <c r="H2951" s="10"/>
      <c r="I2951" s="17"/>
      <c r="J2951" s="10"/>
      <c r="K2951" s="46"/>
      <c r="L2951" s="10"/>
      <c r="M2951" s="20"/>
      <c r="N2951" s="20"/>
      <c r="O2951" s="20"/>
      <c r="P2951" s="20"/>
    </row>
    <row r="2952">
      <c r="A2952" s="23"/>
      <c r="B2952" s="21"/>
      <c r="C2952" s="23"/>
      <c r="D2952" s="24"/>
      <c r="E2952" s="14"/>
      <c r="F2952" s="14"/>
      <c r="G2952" s="14"/>
      <c r="H2952" s="23"/>
      <c r="I2952" s="27"/>
      <c r="J2952" s="23"/>
      <c r="K2952" s="30"/>
      <c r="L2952" s="23"/>
      <c r="M2952" s="20"/>
      <c r="N2952" s="20"/>
      <c r="O2952" s="20"/>
      <c r="P2952" s="20"/>
    </row>
    <row r="2953">
      <c r="A2953" s="10"/>
      <c r="B2953" s="11"/>
      <c r="C2953" s="10"/>
      <c r="D2953" s="13"/>
      <c r="E2953" s="14"/>
      <c r="F2953" s="14"/>
      <c r="G2953" s="14"/>
      <c r="H2953" s="10"/>
      <c r="I2953" s="17"/>
      <c r="J2953" s="10"/>
      <c r="K2953" s="46"/>
      <c r="L2953" s="10"/>
      <c r="M2953" s="20"/>
      <c r="N2953" s="20"/>
      <c r="O2953" s="20"/>
      <c r="P2953" s="20"/>
    </row>
    <row r="2954">
      <c r="A2954" s="23"/>
      <c r="B2954" s="21"/>
      <c r="C2954" s="23"/>
      <c r="D2954" s="24"/>
      <c r="E2954" s="14"/>
      <c r="F2954" s="14"/>
      <c r="G2954" s="14"/>
      <c r="H2954" s="23"/>
      <c r="I2954" s="27"/>
      <c r="J2954" s="23"/>
      <c r="K2954" s="30"/>
      <c r="L2954" s="23"/>
      <c r="M2954" s="20"/>
      <c r="N2954" s="20"/>
      <c r="O2954" s="20"/>
      <c r="P2954" s="20"/>
    </row>
    <row r="2955">
      <c r="A2955" s="10"/>
      <c r="B2955" s="11"/>
      <c r="C2955" s="10"/>
      <c r="D2955" s="13"/>
      <c r="E2955" s="14"/>
      <c r="F2955" s="14"/>
      <c r="G2955" s="14"/>
      <c r="H2955" s="10"/>
      <c r="I2955" s="17"/>
      <c r="J2955" s="10"/>
      <c r="K2955" s="46"/>
      <c r="L2955" s="10"/>
      <c r="M2955" s="20"/>
      <c r="N2955" s="20"/>
      <c r="O2955" s="20"/>
      <c r="P2955" s="20"/>
    </row>
    <row r="2956">
      <c r="A2956" s="23"/>
      <c r="B2956" s="21"/>
      <c r="C2956" s="23"/>
      <c r="D2956" s="24"/>
      <c r="E2956" s="14"/>
      <c r="F2956" s="14"/>
      <c r="G2956" s="14"/>
      <c r="H2956" s="23"/>
      <c r="I2956" s="27"/>
      <c r="J2956" s="23"/>
      <c r="K2956" s="30"/>
      <c r="L2956" s="23"/>
      <c r="M2956" s="20"/>
      <c r="N2956" s="20"/>
      <c r="O2956" s="20"/>
      <c r="P2956" s="20"/>
    </row>
    <row r="2957">
      <c r="A2957" s="10"/>
      <c r="B2957" s="11"/>
      <c r="C2957" s="10"/>
      <c r="D2957" s="13"/>
      <c r="E2957" s="14"/>
      <c r="F2957" s="14"/>
      <c r="G2957" s="14"/>
      <c r="H2957" s="10"/>
      <c r="I2957" s="17"/>
      <c r="J2957" s="10"/>
      <c r="K2957" s="46"/>
      <c r="L2957" s="10"/>
      <c r="M2957" s="20"/>
      <c r="N2957" s="20"/>
      <c r="O2957" s="20"/>
      <c r="P2957" s="20"/>
    </row>
    <row r="2958">
      <c r="A2958" s="23"/>
      <c r="B2958" s="21"/>
      <c r="C2958" s="23"/>
      <c r="D2958" s="24"/>
      <c r="E2958" s="14"/>
      <c r="F2958" s="14"/>
      <c r="G2958" s="14"/>
      <c r="H2958" s="23"/>
      <c r="I2958" s="27"/>
      <c r="J2958" s="23"/>
      <c r="K2958" s="30"/>
      <c r="L2958" s="23"/>
      <c r="M2958" s="20"/>
      <c r="N2958" s="20"/>
      <c r="O2958" s="20"/>
      <c r="P2958" s="20"/>
    </row>
    <row r="2959">
      <c r="A2959" s="10"/>
      <c r="B2959" s="11"/>
      <c r="C2959" s="10"/>
      <c r="D2959" s="13"/>
      <c r="E2959" s="14"/>
      <c r="F2959" s="14"/>
      <c r="G2959" s="14"/>
      <c r="H2959" s="10"/>
      <c r="I2959" s="17"/>
      <c r="J2959" s="10"/>
      <c r="K2959" s="46"/>
      <c r="L2959" s="10"/>
      <c r="M2959" s="20"/>
      <c r="N2959" s="20"/>
      <c r="O2959" s="20"/>
      <c r="P2959" s="20"/>
    </row>
    <row r="2960">
      <c r="A2960" s="23"/>
      <c r="B2960" s="21"/>
      <c r="C2960" s="23"/>
      <c r="D2960" s="24"/>
      <c r="E2960" s="14"/>
      <c r="F2960" s="14"/>
      <c r="G2960" s="14"/>
      <c r="H2960" s="23"/>
      <c r="I2960" s="27"/>
      <c r="J2960" s="23"/>
      <c r="K2960" s="30"/>
      <c r="L2960" s="23"/>
      <c r="M2960" s="20"/>
      <c r="N2960" s="20"/>
      <c r="O2960" s="20"/>
      <c r="P2960" s="20"/>
    </row>
    <row r="2961">
      <c r="A2961" s="10"/>
      <c r="B2961" s="11"/>
      <c r="C2961" s="10"/>
      <c r="D2961" s="13"/>
      <c r="E2961" s="14"/>
      <c r="F2961" s="14"/>
      <c r="G2961" s="14"/>
      <c r="H2961" s="10"/>
      <c r="I2961" s="17"/>
      <c r="J2961" s="10"/>
      <c r="K2961" s="46"/>
      <c r="L2961" s="10"/>
      <c r="M2961" s="20"/>
      <c r="N2961" s="20"/>
      <c r="O2961" s="20"/>
      <c r="P2961" s="20"/>
    </row>
    <row r="2962">
      <c r="A2962" s="23"/>
      <c r="B2962" s="21"/>
      <c r="C2962" s="23"/>
      <c r="D2962" s="24"/>
      <c r="E2962" s="14"/>
      <c r="F2962" s="14"/>
      <c r="G2962" s="14"/>
      <c r="H2962" s="23"/>
      <c r="I2962" s="27"/>
      <c r="J2962" s="23"/>
      <c r="K2962" s="30"/>
      <c r="L2962" s="23"/>
      <c r="M2962" s="20"/>
      <c r="N2962" s="20"/>
      <c r="O2962" s="20"/>
      <c r="P2962" s="20"/>
    </row>
    <row r="2963">
      <c r="A2963" s="10"/>
      <c r="B2963" s="11"/>
      <c r="C2963" s="10"/>
      <c r="D2963" s="13"/>
      <c r="E2963" s="14"/>
      <c r="F2963" s="14"/>
      <c r="G2963" s="14"/>
      <c r="H2963" s="10"/>
      <c r="I2963" s="17"/>
      <c r="J2963" s="10"/>
      <c r="K2963" s="46"/>
      <c r="L2963" s="10"/>
      <c r="M2963" s="20"/>
      <c r="N2963" s="20"/>
      <c r="O2963" s="20"/>
      <c r="P2963" s="20"/>
    </row>
    <row r="2964">
      <c r="A2964" s="23"/>
      <c r="B2964" s="21"/>
      <c r="C2964" s="23"/>
      <c r="D2964" s="24"/>
      <c r="E2964" s="14"/>
      <c r="F2964" s="14"/>
      <c r="G2964" s="14"/>
      <c r="H2964" s="23"/>
      <c r="I2964" s="27"/>
      <c r="J2964" s="23"/>
      <c r="K2964" s="30"/>
      <c r="L2964" s="23"/>
      <c r="M2964" s="20"/>
      <c r="N2964" s="20"/>
      <c r="O2964" s="20"/>
      <c r="P2964" s="20"/>
    </row>
    <row r="2965">
      <c r="A2965" s="10"/>
      <c r="B2965" s="11"/>
      <c r="C2965" s="10"/>
      <c r="D2965" s="13"/>
      <c r="E2965" s="14"/>
      <c r="F2965" s="14"/>
      <c r="G2965" s="14"/>
      <c r="H2965" s="10"/>
      <c r="I2965" s="17"/>
      <c r="J2965" s="10"/>
      <c r="K2965" s="46"/>
      <c r="L2965" s="10"/>
      <c r="M2965" s="20"/>
      <c r="N2965" s="20"/>
      <c r="O2965" s="20"/>
      <c r="P2965" s="20"/>
    </row>
    <row r="2966">
      <c r="A2966" s="23"/>
      <c r="B2966" s="21"/>
      <c r="C2966" s="23"/>
      <c r="D2966" s="24"/>
      <c r="E2966" s="14"/>
      <c r="F2966" s="14"/>
      <c r="G2966" s="14"/>
      <c r="H2966" s="23"/>
      <c r="I2966" s="27"/>
      <c r="J2966" s="23"/>
      <c r="K2966" s="30"/>
      <c r="L2966" s="23"/>
      <c r="M2966" s="20"/>
      <c r="N2966" s="20"/>
      <c r="O2966" s="20"/>
      <c r="P2966" s="20"/>
    </row>
    <row r="2967">
      <c r="A2967" s="10"/>
      <c r="B2967" s="11"/>
      <c r="C2967" s="10"/>
      <c r="D2967" s="13"/>
      <c r="E2967" s="14"/>
      <c r="F2967" s="14"/>
      <c r="G2967" s="14"/>
      <c r="H2967" s="10"/>
      <c r="I2967" s="17"/>
      <c r="J2967" s="10"/>
      <c r="K2967" s="46"/>
      <c r="L2967" s="10"/>
      <c r="M2967" s="20"/>
      <c r="N2967" s="20"/>
      <c r="O2967" s="20"/>
      <c r="P2967" s="20"/>
    </row>
    <row r="2968">
      <c r="A2968" s="23"/>
      <c r="B2968" s="21"/>
      <c r="C2968" s="23"/>
      <c r="D2968" s="24"/>
      <c r="E2968" s="14"/>
      <c r="F2968" s="14"/>
      <c r="G2968" s="14"/>
      <c r="H2968" s="23"/>
      <c r="I2968" s="27"/>
      <c r="J2968" s="23"/>
      <c r="K2968" s="30"/>
      <c r="L2968" s="23"/>
      <c r="M2968" s="20"/>
      <c r="N2968" s="20"/>
      <c r="O2968" s="20"/>
      <c r="P2968" s="20"/>
    </row>
    <row r="2969">
      <c r="A2969" s="10"/>
      <c r="B2969" s="11"/>
      <c r="C2969" s="10"/>
      <c r="D2969" s="13"/>
      <c r="E2969" s="14"/>
      <c r="F2969" s="14"/>
      <c r="G2969" s="14"/>
      <c r="H2969" s="10"/>
      <c r="I2969" s="17"/>
      <c r="J2969" s="10"/>
      <c r="K2969" s="46"/>
      <c r="L2969" s="10"/>
      <c r="M2969" s="20"/>
      <c r="N2969" s="20"/>
      <c r="O2969" s="20"/>
      <c r="P2969" s="20"/>
    </row>
    <row r="2970">
      <c r="A2970" s="23"/>
      <c r="B2970" s="21"/>
      <c r="C2970" s="23"/>
      <c r="D2970" s="24"/>
      <c r="E2970" s="14"/>
      <c r="F2970" s="14"/>
      <c r="G2970" s="14"/>
      <c r="H2970" s="23"/>
      <c r="I2970" s="27"/>
      <c r="J2970" s="23"/>
      <c r="K2970" s="30"/>
      <c r="L2970" s="23"/>
      <c r="M2970" s="20"/>
      <c r="N2970" s="20"/>
      <c r="O2970" s="20"/>
      <c r="P2970" s="20"/>
    </row>
    <row r="2971">
      <c r="A2971" s="10"/>
      <c r="B2971" s="11"/>
      <c r="C2971" s="10"/>
      <c r="D2971" s="13"/>
      <c r="E2971" s="14"/>
      <c r="F2971" s="14"/>
      <c r="G2971" s="14"/>
      <c r="H2971" s="10"/>
      <c r="I2971" s="17"/>
      <c r="J2971" s="10"/>
      <c r="K2971" s="46"/>
      <c r="L2971" s="10"/>
      <c r="M2971" s="20"/>
      <c r="N2971" s="20"/>
      <c r="O2971" s="20"/>
      <c r="P2971" s="20"/>
    </row>
    <row r="2972">
      <c r="A2972" s="23"/>
      <c r="B2972" s="21"/>
      <c r="C2972" s="23"/>
      <c r="D2972" s="24"/>
      <c r="E2972" s="14"/>
      <c r="F2972" s="14"/>
      <c r="G2972" s="14"/>
      <c r="H2972" s="23"/>
      <c r="I2972" s="27"/>
      <c r="J2972" s="23"/>
      <c r="K2972" s="30"/>
      <c r="L2972" s="23"/>
      <c r="M2972" s="20"/>
      <c r="N2972" s="20"/>
      <c r="O2972" s="20"/>
      <c r="P2972" s="20"/>
    </row>
    <row r="2973">
      <c r="A2973" s="10"/>
      <c r="B2973" s="11"/>
      <c r="C2973" s="10"/>
      <c r="D2973" s="13"/>
      <c r="E2973" s="14"/>
      <c r="F2973" s="14"/>
      <c r="G2973" s="14"/>
      <c r="H2973" s="10"/>
      <c r="I2973" s="17"/>
      <c r="J2973" s="10"/>
      <c r="K2973" s="46"/>
      <c r="L2973" s="10"/>
      <c r="M2973" s="20"/>
      <c r="N2973" s="20"/>
      <c r="O2973" s="20"/>
      <c r="P2973" s="20"/>
    </row>
    <row r="2974">
      <c r="A2974" s="23"/>
      <c r="B2974" s="21"/>
      <c r="C2974" s="23"/>
      <c r="D2974" s="24"/>
      <c r="E2974" s="14"/>
      <c r="F2974" s="14"/>
      <c r="G2974" s="14"/>
      <c r="H2974" s="23"/>
      <c r="I2974" s="27"/>
      <c r="J2974" s="23"/>
      <c r="K2974" s="30"/>
      <c r="L2974" s="23"/>
      <c r="M2974" s="20"/>
      <c r="N2974" s="20"/>
      <c r="O2974" s="20"/>
      <c r="P2974" s="20"/>
    </row>
    <row r="2975">
      <c r="A2975" s="10"/>
      <c r="B2975" s="11"/>
      <c r="C2975" s="10"/>
      <c r="D2975" s="13"/>
      <c r="E2975" s="14"/>
      <c r="F2975" s="14"/>
      <c r="G2975" s="14"/>
      <c r="H2975" s="10"/>
      <c r="I2975" s="17"/>
      <c r="J2975" s="10"/>
      <c r="K2975" s="46"/>
      <c r="L2975" s="10"/>
      <c r="M2975" s="20"/>
      <c r="N2975" s="20"/>
      <c r="O2975" s="20"/>
      <c r="P2975" s="20"/>
    </row>
    <row r="2976">
      <c r="A2976" s="23"/>
      <c r="B2976" s="21"/>
      <c r="C2976" s="23"/>
      <c r="D2976" s="24"/>
      <c r="E2976" s="14"/>
      <c r="F2976" s="14"/>
      <c r="G2976" s="14"/>
      <c r="H2976" s="23"/>
      <c r="I2976" s="27"/>
      <c r="J2976" s="23"/>
      <c r="K2976" s="30"/>
      <c r="L2976" s="23"/>
      <c r="M2976" s="20"/>
      <c r="N2976" s="20"/>
      <c r="O2976" s="20"/>
      <c r="P2976" s="20"/>
    </row>
    <row r="2977">
      <c r="A2977" s="10"/>
      <c r="B2977" s="11"/>
      <c r="C2977" s="10"/>
      <c r="D2977" s="13"/>
      <c r="E2977" s="14"/>
      <c r="F2977" s="14"/>
      <c r="G2977" s="14"/>
      <c r="H2977" s="10"/>
      <c r="I2977" s="17"/>
      <c r="J2977" s="10"/>
      <c r="K2977" s="46"/>
      <c r="L2977" s="10"/>
      <c r="M2977" s="20"/>
      <c r="N2977" s="20"/>
      <c r="O2977" s="20"/>
      <c r="P2977" s="20"/>
    </row>
    <row r="2978">
      <c r="A2978" s="23"/>
      <c r="B2978" s="21"/>
      <c r="C2978" s="23"/>
      <c r="D2978" s="24"/>
      <c r="E2978" s="14"/>
      <c r="F2978" s="14"/>
      <c r="G2978" s="14"/>
      <c r="H2978" s="23"/>
      <c r="I2978" s="27"/>
      <c r="J2978" s="23"/>
      <c r="K2978" s="30"/>
      <c r="L2978" s="23"/>
      <c r="M2978" s="20"/>
      <c r="N2978" s="20"/>
      <c r="O2978" s="20"/>
      <c r="P2978" s="20"/>
    </row>
    <row r="2979">
      <c r="A2979" s="10"/>
      <c r="B2979" s="11"/>
      <c r="C2979" s="10"/>
      <c r="D2979" s="13"/>
      <c r="E2979" s="14"/>
      <c r="F2979" s="14"/>
      <c r="G2979" s="14"/>
      <c r="H2979" s="10"/>
      <c r="I2979" s="17"/>
      <c r="J2979" s="10"/>
      <c r="K2979" s="46"/>
      <c r="L2979" s="10"/>
      <c r="M2979" s="20"/>
      <c r="N2979" s="20"/>
      <c r="O2979" s="20"/>
      <c r="P2979" s="20"/>
    </row>
    <row r="2980">
      <c r="A2980" s="23"/>
      <c r="B2980" s="21"/>
      <c r="C2980" s="23"/>
      <c r="D2980" s="24"/>
      <c r="E2980" s="14"/>
      <c r="F2980" s="14"/>
      <c r="G2980" s="14"/>
      <c r="H2980" s="23"/>
      <c r="I2980" s="27"/>
      <c r="J2980" s="23"/>
      <c r="K2980" s="30"/>
      <c r="L2980" s="23"/>
      <c r="M2980" s="20"/>
      <c r="N2980" s="20"/>
      <c r="O2980" s="20"/>
      <c r="P2980" s="20"/>
    </row>
    <row r="2981">
      <c r="A2981" s="10"/>
      <c r="B2981" s="11"/>
      <c r="C2981" s="10"/>
      <c r="D2981" s="13"/>
      <c r="E2981" s="14"/>
      <c r="F2981" s="14"/>
      <c r="G2981" s="14"/>
      <c r="H2981" s="10"/>
      <c r="I2981" s="17"/>
      <c r="J2981" s="10"/>
      <c r="K2981" s="46"/>
      <c r="L2981" s="10"/>
      <c r="M2981" s="20"/>
      <c r="N2981" s="20"/>
      <c r="O2981" s="20"/>
      <c r="P2981" s="20"/>
    </row>
    <row r="2982">
      <c r="A2982" s="23"/>
      <c r="B2982" s="21"/>
      <c r="C2982" s="23"/>
      <c r="D2982" s="24"/>
      <c r="E2982" s="14"/>
      <c r="F2982" s="14"/>
      <c r="G2982" s="14"/>
      <c r="H2982" s="23"/>
      <c r="I2982" s="27"/>
      <c r="J2982" s="23"/>
      <c r="K2982" s="30"/>
      <c r="L2982" s="23"/>
      <c r="M2982" s="20"/>
      <c r="N2982" s="20"/>
      <c r="O2982" s="20"/>
      <c r="P2982" s="20"/>
    </row>
    <row r="2983">
      <c r="A2983" s="10"/>
      <c r="B2983" s="11"/>
      <c r="C2983" s="10"/>
      <c r="D2983" s="13"/>
      <c r="E2983" s="14"/>
      <c r="F2983" s="14"/>
      <c r="G2983" s="14"/>
      <c r="H2983" s="10"/>
      <c r="I2983" s="17"/>
      <c r="J2983" s="10"/>
      <c r="K2983" s="46"/>
      <c r="L2983" s="10"/>
      <c r="M2983" s="20"/>
      <c r="N2983" s="20"/>
      <c r="O2983" s="20"/>
      <c r="P2983" s="20"/>
    </row>
    <row r="2984">
      <c r="A2984" s="23"/>
      <c r="B2984" s="21"/>
      <c r="C2984" s="23"/>
      <c r="D2984" s="24"/>
      <c r="E2984" s="14"/>
      <c r="F2984" s="14"/>
      <c r="G2984" s="14"/>
      <c r="H2984" s="23"/>
      <c r="I2984" s="27"/>
      <c r="J2984" s="23"/>
      <c r="K2984" s="30"/>
      <c r="L2984" s="23"/>
      <c r="M2984" s="20"/>
      <c r="N2984" s="20"/>
      <c r="O2984" s="20"/>
      <c r="P2984" s="20"/>
    </row>
    <row r="2985">
      <c r="A2985" s="10"/>
      <c r="B2985" s="11"/>
      <c r="C2985" s="10"/>
      <c r="D2985" s="13"/>
      <c r="E2985" s="14"/>
      <c r="F2985" s="14"/>
      <c r="G2985" s="14"/>
      <c r="H2985" s="10"/>
      <c r="I2985" s="17"/>
      <c r="J2985" s="10"/>
      <c r="K2985" s="46"/>
      <c r="L2985" s="10"/>
      <c r="M2985" s="20"/>
      <c r="N2985" s="20"/>
      <c r="O2985" s="20"/>
      <c r="P2985" s="20"/>
    </row>
    <row r="2986">
      <c r="A2986" s="23"/>
      <c r="B2986" s="21"/>
      <c r="C2986" s="23"/>
      <c r="D2986" s="24"/>
      <c r="E2986" s="14"/>
      <c r="F2986" s="14"/>
      <c r="G2986" s="14"/>
      <c r="H2986" s="23"/>
      <c r="I2986" s="27"/>
      <c r="J2986" s="23"/>
      <c r="K2986" s="30"/>
      <c r="L2986" s="23"/>
      <c r="M2986" s="20"/>
      <c r="N2986" s="20"/>
      <c r="O2986" s="20"/>
      <c r="P2986" s="20"/>
    </row>
    <row r="2987">
      <c r="A2987" s="10"/>
      <c r="B2987" s="11"/>
      <c r="C2987" s="10"/>
      <c r="D2987" s="13"/>
      <c r="E2987" s="14"/>
      <c r="F2987" s="14"/>
      <c r="G2987" s="14"/>
      <c r="H2987" s="10"/>
      <c r="I2987" s="17"/>
      <c r="J2987" s="10"/>
      <c r="K2987" s="46"/>
      <c r="L2987" s="10"/>
      <c r="M2987" s="20"/>
      <c r="N2987" s="20"/>
      <c r="O2987" s="20"/>
      <c r="P2987" s="20"/>
    </row>
    <row r="2988">
      <c r="A2988" s="23"/>
      <c r="B2988" s="21"/>
      <c r="C2988" s="23"/>
      <c r="D2988" s="24"/>
      <c r="E2988" s="14"/>
      <c r="F2988" s="14"/>
      <c r="G2988" s="14"/>
      <c r="H2988" s="23"/>
      <c r="I2988" s="27"/>
      <c r="J2988" s="23"/>
      <c r="K2988" s="30"/>
      <c r="L2988" s="23"/>
      <c r="M2988" s="20"/>
      <c r="N2988" s="20"/>
      <c r="O2988" s="20"/>
      <c r="P2988" s="20"/>
    </row>
    <row r="2989">
      <c r="A2989" s="10"/>
      <c r="B2989" s="11"/>
      <c r="C2989" s="10"/>
      <c r="D2989" s="13"/>
      <c r="E2989" s="14"/>
      <c r="F2989" s="14"/>
      <c r="G2989" s="14"/>
      <c r="H2989" s="10"/>
      <c r="I2989" s="17"/>
      <c r="J2989" s="10"/>
      <c r="K2989" s="46"/>
      <c r="L2989" s="10"/>
      <c r="M2989" s="20"/>
      <c r="N2989" s="20"/>
      <c r="O2989" s="20"/>
      <c r="P2989" s="20"/>
    </row>
    <row r="2990">
      <c r="A2990" s="23"/>
      <c r="B2990" s="21"/>
      <c r="C2990" s="23"/>
      <c r="D2990" s="24"/>
      <c r="E2990" s="14"/>
      <c r="F2990" s="14"/>
      <c r="G2990" s="14"/>
      <c r="H2990" s="23"/>
      <c r="I2990" s="27"/>
      <c r="J2990" s="23"/>
      <c r="K2990" s="30"/>
      <c r="L2990" s="23"/>
      <c r="M2990" s="20"/>
      <c r="N2990" s="20"/>
      <c r="O2990" s="20"/>
      <c r="P2990" s="20"/>
    </row>
    <row r="2991">
      <c r="A2991" s="10"/>
      <c r="B2991" s="11"/>
      <c r="C2991" s="10"/>
      <c r="D2991" s="13"/>
      <c r="E2991" s="14"/>
      <c r="F2991" s="14"/>
      <c r="G2991" s="14"/>
      <c r="H2991" s="10"/>
      <c r="I2991" s="17"/>
      <c r="J2991" s="10"/>
      <c r="K2991" s="46"/>
      <c r="L2991" s="10"/>
      <c r="M2991" s="20"/>
      <c r="N2991" s="20"/>
      <c r="O2991" s="20"/>
      <c r="P2991" s="20"/>
    </row>
    <row r="2992">
      <c r="A2992" s="23"/>
      <c r="B2992" s="21"/>
      <c r="C2992" s="23"/>
      <c r="D2992" s="24"/>
      <c r="E2992" s="14"/>
      <c r="F2992" s="14"/>
      <c r="G2992" s="14"/>
      <c r="H2992" s="23"/>
      <c r="I2992" s="27"/>
      <c r="J2992" s="23"/>
      <c r="K2992" s="30"/>
      <c r="L2992" s="23"/>
      <c r="M2992" s="20"/>
      <c r="N2992" s="20"/>
      <c r="O2992" s="20"/>
      <c r="P2992" s="20"/>
    </row>
    <row r="2993">
      <c r="A2993" s="10"/>
      <c r="B2993" s="11"/>
      <c r="C2993" s="10"/>
      <c r="D2993" s="13"/>
      <c r="E2993" s="14"/>
      <c r="F2993" s="14"/>
      <c r="G2993" s="14"/>
      <c r="H2993" s="10"/>
      <c r="I2993" s="17"/>
      <c r="J2993" s="10"/>
      <c r="K2993" s="46"/>
      <c r="L2993" s="10"/>
      <c r="M2993" s="20"/>
      <c r="N2993" s="20"/>
      <c r="O2993" s="20"/>
      <c r="P2993" s="20"/>
    </row>
    <row r="2994">
      <c r="A2994" s="23"/>
      <c r="B2994" s="21"/>
      <c r="C2994" s="23"/>
      <c r="D2994" s="24"/>
      <c r="E2994" s="14"/>
      <c r="F2994" s="14"/>
      <c r="G2994" s="14"/>
      <c r="H2994" s="23"/>
      <c r="I2994" s="27"/>
      <c r="J2994" s="23"/>
      <c r="K2994" s="30"/>
      <c r="L2994" s="23"/>
      <c r="M2994" s="20"/>
      <c r="N2994" s="20"/>
      <c r="O2994" s="20"/>
      <c r="P2994" s="20"/>
    </row>
    <row r="2995">
      <c r="A2995" s="10"/>
      <c r="B2995" s="11"/>
      <c r="C2995" s="10"/>
      <c r="D2995" s="13"/>
      <c r="E2995" s="14"/>
      <c r="F2995" s="14"/>
      <c r="G2995" s="14"/>
      <c r="H2995" s="10"/>
      <c r="I2995" s="17"/>
      <c r="J2995" s="10"/>
      <c r="K2995" s="46"/>
      <c r="L2995" s="10"/>
      <c r="M2995" s="20"/>
      <c r="N2995" s="20"/>
      <c r="O2995" s="20"/>
      <c r="P2995" s="20"/>
    </row>
    <row r="2996">
      <c r="A2996" s="23"/>
      <c r="B2996" s="21"/>
      <c r="C2996" s="23"/>
      <c r="D2996" s="24"/>
      <c r="E2996" s="14"/>
      <c r="F2996" s="14"/>
      <c r="G2996" s="14"/>
      <c r="H2996" s="23"/>
      <c r="I2996" s="27"/>
      <c r="J2996" s="23"/>
      <c r="K2996" s="30"/>
      <c r="L2996" s="23"/>
      <c r="M2996" s="20"/>
      <c r="N2996" s="20"/>
      <c r="O2996" s="20"/>
      <c r="P2996" s="20"/>
    </row>
    <row r="2997">
      <c r="A2997" s="10"/>
      <c r="B2997" s="11"/>
      <c r="C2997" s="10"/>
      <c r="D2997" s="13"/>
      <c r="E2997" s="14"/>
      <c r="F2997" s="14"/>
      <c r="G2997" s="14"/>
      <c r="H2997" s="10"/>
      <c r="I2997" s="17"/>
      <c r="J2997" s="10"/>
      <c r="K2997" s="46"/>
      <c r="L2997" s="10"/>
      <c r="M2997" s="20"/>
      <c r="N2997" s="20"/>
      <c r="O2997" s="20"/>
      <c r="P2997" s="20"/>
    </row>
    <row r="2998">
      <c r="A2998" s="23"/>
      <c r="B2998" s="21"/>
      <c r="C2998" s="23"/>
      <c r="D2998" s="24"/>
      <c r="E2998" s="14"/>
      <c r="F2998" s="14"/>
      <c r="G2998" s="14"/>
      <c r="H2998" s="23"/>
      <c r="I2998" s="27"/>
      <c r="J2998" s="23"/>
      <c r="K2998" s="30"/>
      <c r="L2998" s="23"/>
      <c r="M2998" s="20"/>
      <c r="N2998" s="20"/>
      <c r="O2998" s="20"/>
      <c r="P2998" s="20"/>
    </row>
    <row r="2999">
      <c r="A2999" s="10"/>
      <c r="B2999" s="11"/>
      <c r="C2999" s="10"/>
      <c r="D2999" s="13"/>
      <c r="E2999" s="14"/>
      <c r="F2999" s="14"/>
      <c r="G2999" s="14"/>
      <c r="H2999" s="10"/>
      <c r="I2999" s="17"/>
      <c r="J2999" s="10"/>
      <c r="K2999" s="46"/>
      <c r="L2999" s="10"/>
      <c r="M2999" s="20"/>
      <c r="N2999" s="20"/>
      <c r="O2999" s="20"/>
      <c r="P2999" s="20"/>
    </row>
    <row r="3000">
      <c r="A3000" s="23"/>
      <c r="B3000" s="21"/>
      <c r="C3000" s="23"/>
      <c r="D3000" s="24"/>
      <c r="E3000" s="14"/>
      <c r="F3000" s="14"/>
      <c r="G3000" s="14"/>
      <c r="H3000" s="23"/>
      <c r="I3000" s="27"/>
      <c r="J3000" s="23"/>
      <c r="K3000" s="30"/>
      <c r="L3000" s="23"/>
      <c r="M3000" s="20"/>
      <c r="N3000" s="20"/>
      <c r="O3000" s="20"/>
      <c r="P3000" s="20"/>
    </row>
    <row r="3001">
      <c r="A3001" s="10"/>
      <c r="B3001" s="11"/>
      <c r="C3001" s="10"/>
      <c r="D3001" s="13"/>
      <c r="E3001" s="14"/>
      <c r="F3001" s="14"/>
      <c r="G3001" s="14"/>
      <c r="H3001" s="10"/>
      <c r="I3001" s="17"/>
      <c r="J3001" s="10"/>
      <c r="K3001" s="46"/>
      <c r="L3001" s="10"/>
      <c r="M3001" s="20"/>
      <c r="N3001" s="20"/>
      <c r="O3001" s="20"/>
      <c r="P3001" s="20"/>
    </row>
    <row r="3002">
      <c r="A3002" s="23"/>
      <c r="B3002" s="21"/>
      <c r="C3002" s="23"/>
      <c r="D3002" s="24"/>
      <c r="E3002" s="14"/>
      <c r="F3002" s="14"/>
      <c r="G3002" s="14"/>
      <c r="H3002" s="23"/>
      <c r="I3002" s="27"/>
      <c r="J3002" s="23"/>
      <c r="K3002" s="30"/>
      <c r="L3002" s="23"/>
      <c r="M3002" s="20"/>
      <c r="N3002" s="20"/>
      <c r="O3002" s="20"/>
      <c r="P3002" s="20"/>
    </row>
    <row r="3003">
      <c r="A3003" s="10"/>
      <c r="B3003" s="11"/>
      <c r="C3003" s="10"/>
      <c r="D3003" s="13"/>
      <c r="E3003" s="14"/>
      <c r="F3003" s="14"/>
      <c r="G3003" s="14"/>
      <c r="H3003" s="10"/>
      <c r="I3003" s="17"/>
      <c r="J3003" s="10"/>
      <c r="K3003" s="46"/>
      <c r="L3003" s="10"/>
      <c r="M3003" s="20"/>
      <c r="N3003" s="20"/>
      <c r="O3003" s="20"/>
      <c r="P3003" s="20"/>
    </row>
    <row r="3004">
      <c r="A3004" s="23"/>
      <c r="B3004" s="21"/>
      <c r="C3004" s="23"/>
      <c r="D3004" s="24"/>
      <c r="E3004" s="14"/>
      <c r="F3004" s="14"/>
      <c r="G3004" s="14"/>
      <c r="H3004" s="23"/>
      <c r="I3004" s="27"/>
      <c r="J3004" s="23"/>
      <c r="K3004" s="30"/>
      <c r="L3004" s="23"/>
      <c r="M3004" s="20"/>
      <c r="N3004" s="20"/>
      <c r="O3004" s="20"/>
      <c r="P3004" s="20"/>
    </row>
    <row r="3005">
      <c r="A3005" s="10"/>
      <c r="B3005" s="11"/>
      <c r="C3005" s="10"/>
      <c r="D3005" s="13"/>
      <c r="E3005" s="14"/>
      <c r="F3005" s="14"/>
      <c r="G3005" s="14"/>
      <c r="H3005" s="10"/>
      <c r="I3005" s="17"/>
      <c r="J3005" s="10"/>
      <c r="K3005" s="46"/>
      <c r="L3005" s="10"/>
      <c r="M3005" s="20"/>
      <c r="N3005" s="20"/>
      <c r="O3005" s="20"/>
      <c r="P3005" s="20"/>
    </row>
    <row r="3006">
      <c r="A3006" s="23"/>
      <c r="B3006" s="21"/>
      <c r="C3006" s="23"/>
      <c r="D3006" s="24"/>
      <c r="E3006" s="14"/>
      <c r="F3006" s="14"/>
      <c r="G3006" s="14"/>
      <c r="H3006" s="23"/>
      <c r="I3006" s="27"/>
      <c r="J3006" s="23"/>
      <c r="K3006" s="30"/>
      <c r="L3006" s="23"/>
      <c r="M3006" s="20"/>
      <c r="N3006" s="20"/>
      <c r="O3006" s="20"/>
      <c r="P3006" s="20"/>
    </row>
    <row r="3007">
      <c r="A3007" s="10"/>
      <c r="B3007" s="11"/>
      <c r="C3007" s="10"/>
      <c r="D3007" s="13"/>
      <c r="E3007" s="14"/>
      <c r="F3007" s="14"/>
      <c r="G3007" s="14"/>
      <c r="H3007" s="10"/>
      <c r="I3007" s="17"/>
      <c r="J3007" s="10"/>
      <c r="K3007" s="46"/>
      <c r="L3007" s="10"/>
      <c r="M3007" s="20"/>
      <c r="N3007" s="20"/>
      <c r="O3007" s="20"/>
      <c r="P3007" s="20"/>
    </row>
    <row r="3008">
      <c r="A3008" s="23"/>
      <c r="B3008" s="21"/>
      <c r="C3008" s="23"/>
      <c r="D3008" s="24"/>
      <c r="E3008" s="14"/>
      <c r="F3008" s="14"/>
      <c r="G3008" s="14"/>
      <c r="H3008" s="23"/>
      <c r="I3008" s="27"/>
      <c r="J3008" s="23"/>
      <c r="K3008" s="30"/>
      <c r="L3008" s="23"/>
      <c r="M3008" s="20"/>
      <c r="N3008" s="20"/>
      <c r="O3008" s="20"/>
      <c r="P3008" s="20"/>
    </row>
    <row r="3009">
      <c r="A3009" s="10"/>
      <c r="B3009" s="11"/>
      <c r="C3009" s="10"/>
      <c r="D3009" s="13"/>
      <c r="E3009" s="14"/>
      <c r="F3009" s="14"/>
      <c r="G3009" s="14"/>
      <c r="H3009" s="10"/>
      <c r="I3009" s="17"/>
      <c r="J3009" s="10"/>
      <c r="K3009" s="46"/>
      <c r="L3009" s="10"/>
      <c r="M3009" s="20"/>
      <c r="N3009" s="20"/>
      <c r="O3009" s="20"/>
      <c r="P3009" s="20"/>
    </row>
    <row r="3010">
      <c r="A3010" s="23"/>
      <c r="B3010" s="21"/>
      <c r="C3010" s="23"/>
      <c r="D3010" s="24"/>
      <c r="E3010" s="14"/>
      <c r="F3010" s="14"/>
      <c r="G3010" s="14"/>
      <c r="H3010" s="23"/>
      <c r="I3010" s="27"/>
      <c r="J3010" s="23"/>
      <c r="K3010" s="30"/>
      <c r="L3010" s="23"/>
      <c r="M3010" s="20"/>
      <c r="N3010" s="20"/>
      <c r="O3010" s="20"/>
      <c r="P3010" s="20"/>
    </row>
    <row r="3011">
      <c r="A3011" s="10"/>
      <c r="B3011" s="11"/>
      <c r="C3011" s="10"/>
      <c r="D3011" s="13"/>
      <c r="E3011" s="14"/>
      <c r="F3011" s="14"/>
      <c r="G3011" s="14"/>
      <c r="H3011" s="10"/>
      <c r="I3011" s="17"/>
      <c r="J3011" s="10"/>
      <c r="K3011" s="46"/>
      <c r="L3011" s="10"/>
      <c r="M3011" s="20"/>
      <c r="N3011" s="20"/>
      <c r="O3011" s="20"/>
      <c r="P3011" s="20"/>
    </row>
    <row r="3012">
      <c r="A3012" s="23"/>
      <c r="B3012" s="21"/>
      <c r="C3012" s="23"/>
      <c r="D3012" s="24"/>
      <c r="E3012" s="14"/>
      <c r="F3012" s="14"/>
      <c r="G3012" s="14"/>
      <c r="H3012" s="23"/>
      <c r="I3012" s="27"/>
      <c r="J3012" s="23"/>
      <c r="K3012" s="30"/>
      <c r="L3012" s="23"/>
      <c r="M3012" s="20"/>
      <c r="N3012" s="20"/>
      <c r="O3012" s="20"/>
      <c r="P3012" s="20"/>
    </row>
    <row r="3013">
      <c r="A3013" s="10"/>
      <c r="B3013" s="11"/>
      <c r="C3013" s="10"/>
      <c r="D3013" s="13"/>
      <c r="E3013" s="14"/>
      <c r="F3013" s="14"/>
      <c r="G3013" s="14"/>
      <c r="H3013" s="10"/>
      <c r="I3013" s="17"/>
      <c r="J3013" s="10"/>
      <c r="K3013" s="46"/>
      <c r="L3013" s="10"/>
      <c r="M3013" s="20"/>
      <c r="N3013" s="20"/>
      <c r="O3013" s="20"/>
      <c r="P3013" s="20"/>
    </row>
    <row r="3014">
      <c r="A3014" s="23"/>
      <c r="B3014" s="21"/>
      <c r="C3014" s="23"/>
      <c r="D3014" s="24"/>
      <c r="E3014" s="14"/>
      <c r="F3014" s="14"/>
      <c r="G3014" s="14"/>
      <c r="H3014" s="23"/>
      <c r="I3014" s="27"/>
      <c r="J3014" s="23"/>
      <c r="K3014" s="30"/>
      <c r="L3014" s="23"/>
      <c r="M3014" s="20"/>
      <c r="N3014" s="20"/>
      <c r="O3014" s="20"/>
      <c r="P3014" s="20"/>
    </row>
    <row r="3015">
      <c r="A3015" s="10"/>
      <c r="B3015" s="11"/>
      <c r="C3015" s="10"/>
      <c r="D3015" s="13"/>
      <c r="E3015" s="14"/>
      <c r="F3015" s="14"/>
      <c r="G3015" s="14"/>
      <c r="H3015" s="10"/>
      <c r="I3015" s="17"/>
      <c r="J3015" s="10"/>
      <c r="K3015" s="46"/>
      <c r="L3015" s="10"/>
      <c r="M3015" s="20"/>
      <c r="N3015" s="20"/>
      <c r="O3015" s="20"/>
      <c r="P3015" s="20"/>
    </row>
    <row r="3016">
      <c r="A3016" s="23"/>
      <c r="B3016" s="21"/>
      <c r="C3016" s="23"/>
      <c r="D3016" s="24"/>
      <c r="E3016" s="14"/>
      <c r="F3016" s="14"/>
      <c r="G3016" s="14"/>
      <c r="H3016" s="23"/>
      <c r="I3016" s="27"/>
      <c r="J3016" s="23"/>
      <c r="K3016" s="30"/>
      <c r="L3016" s="23"/>
      <c r="M3016" s="20"/>
      <c r="N3016" s="20"/>
      <c r="O3016" s="20"/>
      <c r="P3016" s="20"/>
    </row>
    <row r="3017">
      <c r="A3017" s="10"/>
      <c r="B3017" s="11"/>
      <c r="C3017" s="10"/>
      <c r="D3017" s="13"/>
      <c r="E3017" s="14"/>
      <c r="F3017" s="14"/>
      <c r="G3017" s="14"/>
      <c r="H3017" s="10"/>
      <c r="I3017" s="17"/>
      <c r="J3017" s="10"/>
      <c r="K3017" s="46"/>
      <c r="L3017" s="10"/>
      <c r="M3017" s="20"/>
      <c r="N3017" s="20"/>
      <c r="O3017" s="20"/>
      <c r="P3017" s="20"/>
    </row>
    <row r="3018">
      <c r="A3018" s="23"/>
      <c r="B3018" s="21"/>
      <c r="C3018" s="23"/>
      <c r="D3018" s="24"/>
      <c r="E3018" s="14"/>
      <c r="F3018" s="14"/>
      <c r="G3018" s="14"/>
      <c r="H3018" s="23"/>
      <c r="I3018" s="27"/>
      <c r="J3018" s="23"/>
      <c r="K3018" s="30"/>
      <c r="L3018" s="23"/>
      <c r="M3018" s="20"/>
      <c r="N3018" s="20"/>
      <c r="O3018" s="20"/>
      <c r="P3018" s="20"/>
    </row>
    <row r="3019">
      <c r="A3019" s="10"/>
      <c r="B3019" s="11"/>
      <c r="C3019" s="10"/>
      <c r="D3019" s="13"/>
      <c r="E3019" s="14"/>
      <c r="F3019" s="14"/>
      <c r="G3019" s="14"/>
      <c r="H3019" s="10"/>
      <c r="I3019" s="17"/>
      <c r="J3019" s="10"/>
      <c r="K3019" s="46"/>
      <c r="L3019" s="10"/>
      <c r="M3019" s="20"/>
      <c r="N3019" s="20"/>
      <c r="O3019" s="20"/>
      <c r="P3019" s="20"/>
    </row>
    <row r="3020">
      <c r="A3020" s="23"/>
      <c r="B3020" s="21"/>
      <c r="C3020" s="23"/>
      <c r="D3020" s="24"/>
      <c r="E3020" s="14"/>
      <c r="F3020" s="14"/>
      <c r="G3020" s="14"/>
      <c r="H3020" s="23"/>
      <c r="I3020" s="27"/>
      <c r="J3020" s="23"/>
      <c r="K3020" s="30"/>
      <c r="L3020" s="23"/>
      <c r="M3020" s="20"/>
      <c r="N3020" s="20"/>
      <c r="O3020" s="20"/>
      <c r="P3020" s="20"/>
    </row>
    <row r="3021">
      <c r="A3021" s="10"/>
      <c r="B3021" s="11"/>
      <c r="C3021" s="10"/>
      <c r="D3021" s="13"/>
      <c r="E3021" s="14"/>
      <c r="F3021" s="14"/>
      <c r="G3021" s="14"/>
      <c r="H3021" s="10"/>
      <c r="I3021" s="17"/>
      <c r="J3021" s="10"/>
      <c r="K3021" s="46"/>
      <c r="L3021" s="10"/>
      <c r="M3021" s="20"/>
      <c r="N3021" s="20"/>
      <c r="O3021" s="20"/>
      <c r="P3021" s="20"/>
    </row>
    <row r="3022">
      <c r="A3022" s="23"/>
      <c r="B3022" s="21"/>
      <c r="C3022" s="23"/>
      <c r="D3022" s="24"/>
      <c r="E3022" s="14"/>
      <c r="F3022" s="14"/>
      <c r="G3022" s="14"/>
      <c r="H3022" s="23"/>
      <c r="I3022" s="27"/>
      <c r="J3022" s="23"/>
      <c r="K3022" s="30"/>
      <c r="L3022" s="23"/>
      <c r="M3022" s="20"/>
      <c r="N3022" s="20"/>
      <c r="O3022" s="20"/>
      <c r="P3022" s="20"/>
    </row>
    <row r="3023">
      <c r="A3023" s="10"/>
      <c r="B3023" s="11"/>
      <c r="C3023" s="10"/>
      <c r="D3023" s="13"/>
      <c r="E3023" s="14"/>
      <c r="F3023" s="14"/>
      <c r="G3023" s="14"/>
      <c r="H3023" s="10"/>
      <c r="I3023" s="17"/>
      <c r="J3023" s="10"/>
      <c r="K3023" s="46"/>
      <c r="L3023" s="10"/>
      <c r="M3023" s="20"/>
      <c r="N3023" s="20"/>
      <c r="O3023" s="20"/>
      <c r="P3023" s="20"/>
    </row>
    <row r="3024">
      <c r="A3024" s="23"/>
      <c r="B3024" s="21"/>
      <c r="C3024" s="23"/>
      <c r="D3024" s="24"/>
      <c r="E3024" s="14"/>
      <c r="F3024" s="14"/>
      <c r="G3024" s="14"/>
      <c r="H3024" s="23"/>
      <c r="I3024" s="27"/>
      <c r="J3024" s="23"/>
      <c r="K3024" s="30"/>
      <c r="L3024" s="23"/>
      <c r="M3024" s="20"/>
      <c r="N3024" s="20"/>
      <c r="O3024" s="20"/>
      <c r="P3024" s="20"/>
    </row>
    <row r="3025">
      <c r="A3025" s="10"/>
      <c r="B3025" s="11"/>
      <c r="C3025" s="10"/>
      <c r="D3025" s="13"/>
      <c r="E3025" s="14"/>
      <c r="F3025" s="14"/>
      <c r="G3025" s="14"/>
      <c r="H3025" s="10"/>
      <c r="I3025" s="17"/>
      <c r="J3025" s="10"/>
      <c r="K3025" s="46"/>
      <c r="L3025" s="10"/>
      <c r="M3025" s="20"/>
      <c r="N3025" s="20"/>
      <c r="O3025" s="20"/>
      <c r="P3025" s="20"/>
    </row>
    <row r="3026">
      <c r="A3026" s="23"/>
      <c r="B3026" s="21"/>
      <c r="C3026" s="23"/>
      <c r="D3026" s="24"/>
      <c r="E3026" s="14"/>
      <c r="F3026" s="14"/>
      <c r="G3026" s="14"/>
      <c r="H3026" s="23"/>
      <c r="I3026" s="27"/>
      <c r="J3026" s="23"/>
      <c r="K3026" s="30"/>
      <c r="L3026" s="23"/>
      <c r="M3026" s="20"/>
      <c r="N3026" s="20"/>
      <c r="O3026" s="20"/>
      <c r="P3026" s="20"/>
    </row>
    <row r="3027">
      <c r="A3027" s="10"/>
      <c r="B3027" s="11"/>
      <c r="C3027" s="10"/>
      <c r="D3027" s="13"/>
      <c r="E3027" s="14"/>
      <c r="F3027" s="14"/>
      <c r="G3027" s="14"/>
      <c r="H3027" s="10"/>
      <c r="I3027" s="17"/>
      <c r="J3027" s="10"/>
      <c r="K3027" s="46"/>
      <c r="L3027" s="10"/>
      <c r="M3027" s="20"/>
      <c r="N3027" s="20"/>
      <c r="O3027" s="20"/>
      <c r="P3027" s="20"/>
    </row>
    <row r="3028">
      <c r="A3028" s="23"/>
      <c r="B3028" s="21"/>
      <c r="C3028" s="23"/>
      <c r="D3028" s="24"/>
      <c r="E3028" s="14"/>
      <c r="F3028" s="14"/>
      <c r="G3028" s="14"/>
      <c r="H3028" s="23"/>
      <c r="I3028" s="27"/>
      <c r="J3028" s="23"/>
      <c r="K3028" s="30"/>
      <c r="L3028" s="23"/>
      <c r="M3028" s="20"/>
      <c r="N3028" s="20"/>
      <c r="O3028" s="20"/>
      <c r="P3028" s="20"/>
    </row>
    <row r="3029">
      <c r="A3029" s="10"/>
      <c r="B3029" s="11"/>
      <c r="C3029" s="10"/>
      <c r="D3029" s="13"/>
      <c r="E3029" s="14"/>
      <c r="F3029" s="14"/>
      <c r="G3029" s="14"/>
      <c r="H3029" s="10"/>
      <c r="I3029" s="17"/>
      <c r="J3029" s="10"/>
      <c r="K3029" s="46"/>
      <c r="L3029" s="10"/>
      <c r="M3029" s="20"/>
      <c r="N3029" s="20"/>
      <c r="O3029" s="20"/>
      <c r="P3029" s="20"/>
    </row>
    <row r="3030">
      <c r="A3030" s="23"/>
      <c r="B3030" s="21"/>
      <c r="C3030" s="23"/>
      <c r="D3030" s="24"/>
      <c r="E3030" s="14"/>
      <c r="F3030" s="14"/>
      <c r="G3030" s="14"/>
      <c r="H3030" s="23"/>
      <c r="I3030" s="27"/>
      <c r="J3030" s="23"/>
      <c r="K3030" s="30"/>
      <c r="L3030" s="23"/>
      <c r="M3030" s="20"/>
      <c r="N3030" s="20"/>
      <c r="O3030" s="20"/>
      <c r="P3030" s="20"/>
    </row>
    <row r="3031">
      <c r="A3031" s="10"/>
      <c r="B3031" s="11"/>
      <c r="C3031" s="10"/>
      <c r="D3031" s="13"/>
      <c r="E3031" s="14"/>
      <c r="F3031" s="14"/>
      <c r="G3031" s="14"/>
      <c r="H3031" s="10"/>
      <c r="I3031" s="17"/>
      <c r="J3031" s="10"/>
      <c r="K3031" s="46"/>
      <c r="L3031" s="10"/>
      <c r="M3031" s="20"/>
      <c r="N3031" s="20"/>
      <c r="O3031" s="20"/>
      <c r="P3031" s="20"/>
    </row>
    <row r="3032">
      <c r="A3032" s="23"/>
      <c r="B3032" s="21"/>
      <c r="C3032" s="23"/>
      <c r="D3032" s="24"/>
      <c r="E3032" s="14"/>
      <c r="F3032" s="14"/>
      <c r="G3032" s="14"/>
      <c r="H3032" s="23"/>
      <c r="I3032" s="27"/>
      <c r="J3032" s="23"/>
      <c r="K3032" s="30"/>
      <c r="L3032" s="23"/>
      <c r="M3032" s="20"/>
      <c r="N3032" s="20"/>
      <c r="O3032" s="20"/>
      <c r="P3032" s="20"/>
    </row>
    <row r="3033">
      <c r="A3033" s="10"/>
      <c r="B3033" s="11"/>
      <c r="C3033" s="10"/>
      <c r="D3033" s="13"/>
      <c r="E3033" s="14"/>
      <c r="F3033" s="14"/>
      <c r="G3033" s="14"/>
      <c r="H3033" s="10"/>
      <c r="I3033" s="17"/>
      <c r="J3033" s="10"/>
      <c r="K3033" s="46"/>
      <c r="L3033" s="10"/>
      <c r="M3033" s="20"/>
      <c r="N3033" s="20"/>
      <c r="O3033" s="20"/>
      <c r="P3033" s="20"/>
    </row>
    <row r="3034">
      <c r="A3034" s="23"/>
      <c r="B3034" s="21"/>
      <c r="C3034" s="23"/>
      <c r="D3034" s="24"/>
      <c r="E3034" s="14"/>
      <c r="F3034" s="14"/>
      <c r="G3034" s="14"/>
      <c r="H3034" s="23"/>
      <c r="I3034" s="27"/>
      <c r="J3034" s="23"/>
      <c r="K3034" s="30"/>
      <c r="L3034" s="23"/>
      <c r="M3034" s="20"/>
      <c r="N3034" s="20"/>
      <c r="O3034" s="20"/>
      <c r="P3034" s="20"/>
    </row>
    <row r="3035">
      <c r="A3035" s="10"/>
      <c r="B3035" s="11"/>
      <c r="C3035" s="10"/>
      <c r="D3035" s="13"/>
      <c r="E3035" s="14"/>
      <c r="F3035" s="14"/>
      <c r="G3035" s="14"/>
      <c r="H3035" s="10"/>
      <c r="I3035" s="17"/>
      <c r="J3035" s="10"/>
      <c r="K3035" s="46"/>
      <c r="L3035" s="10"/>
      <c r="M3035" s="20"/>
      <c r="N3035" s="20"/>
      <c r="O3035" s="20"/>
      <c r="P3035" s="20"/>
    </row>
    <row r="3036">
      <c r="A3036" s="23"/>
      <c r="B3036" s="21"/>
      <c r="C3036" s="23"/>
      <c r="D3036" s="24"/>
      <c r="E3036" s="14"/>
      <c r="F3036" s="14"/>
      <c r="G3036" s="14"/>
      <c r="H3036" s="23"/>
      <c r="I3036" s="27"/>
      <c r="J3036" s="23"/>
      <c r="K3036" s="30"/>
      <c r="L3036" s="23"/>
      <c r="M3036" s="20"/>
      <c r="N3036" s="20"/>
      <c r="O3036" s="20"/>
      <c r="P3036" s="20"/>
    </row>
    <row r="3037">
      <c r="A3037" s="10"/>
      <c r="B3037" s="11"/>
      <c r="C3037" s="10"/>
      <c r="D3037" s="13"/>
      <c r="E3037" s="14"/>
      <c r="F3037" s="14"/>
      <c r="G3037" s="14"/>
      <c r="H3037" s="10"/>
      <c r="I3037" s="17"/>
      <c r="J3037" s="10"/>
      <c r="K3037" s="46"/>
      <c r="L3037" s="10"/>
      <c r="M3037" s="20"/>
      <c r="N3037" s="20"/>
      <c r="O3037" s="20"/>
      <c r="P3037" s="20"/>
    </row>
    <row r="3038">
      <c r="A3038" s="23"/>
      <c r="B3038" s="21"/>
      <c r="C3038" s="23"/>
      <c r="D3038" s="24"/>
      <c r="E3038" s="14"/>
      <c r="F3038" s="14"/>
      <c r="G3038" s="14"/>
      <c r="H3038" s="23"/>
      <c r="I3038" s="27"/>
      <c r="J3038" s="23"/>
      <c r="K3038" s="30"/>
      <c r="L3038" s="23"/>
      <c r="M3038" s="20"/>
      <c r="N3038" s="20"/>
      <c r="O3038" s="20"/>
      <c r="P3038" s="20"/>
    </row>
    <row r="3039">
      <c r="A3039" s="10"/>
      <c r="B3039" s="11"/>
      <c r="C3039" s="10"/>
      <c r="D3039" s="13"/>
      <c r="E3039" s="14"/>
      <c r="F3039" s="14"/>
      <c r="G3039" s="14"/>
      <c r="H3039" s="10"/>
      <c r="I3039" s="17"/>
      <c r="J3039" s="10"/>
      <c r="K3039" s="46"/>
      <c r="L3039" s="10"/>
      <c r="M3039" s="20"/>
      <c r="N3039" s="20"/>
      <c r="O3039" s="20"/>
      <c r="P3039" s="20"/>
    </row>
    <row r="3040">
      <c r="A3040" s="23"/>
      <c r="B3040" s="21"/>
      <c r="C3040" s="23"/>
      <c r="D3040" s="24"/>
      <c r="E3040" s="14"/>
      <c r="F3040" s="14"/>
      <c r="G3040" s="14"/>
      <c r="H3040" s="23"/>
      <c r="I3040" s="27"/>
      <c r="J3040" s="23"/>
      <c r="K3040" s="30"/>
      <c r="L3040" s="23"/>
      <c r="M3040" s="20"/>
      <c r="N3040" s="20"/>
      <c r="O3040" s="20"/>
      <c r="P3040" s="20"/>
    </row>
    <row r="3041">
      <c r="A3041" s="10"/>
      <c r="B3041" s="11"/>
      <c r="C3041" s="10"/>
      <c r="D3041" s="13"/>
      <c r="E3041" s="14"/>
      <c r="F3041" s="14"/>
      <c r="G3041" s="14"/>
      <c r="H3041" s="10"/>
      <c r="I3041" s="17"/>
      <c r="J3041" s="10"/>
      <c r="K3041" s="46"/>
      <c r="L3041" s="10"/>
      <c r="M3041" s="20"/>
      <c r="N3041" s="20"/>
      <c r="O3041" s="20"/>
      <c r="P3041" s="20"/>
    </row>
    <row r="3042">
      <c r="A3042" s="23"/>
      <c r="B3042" s="21"/>
      <c r="C3042" s="23"/>
      <c r="D3042" s="24"/>
      <c r="E3042" s="14"/>
      <c r="F3042" s="14"/>
      <c r="G3042" s="14"/>
      <c r="H3042" s="23"/>
      <c r="I3042" s="27"/>
      <c r="J3042" s="23"/>
      <c r="K3042" s="30"/>
      <c r="L3042" s="23"/>
      <c r="M3042" s="20"/>
      <c r="N3042" s="20"/>
      <c r="O3042" s="20"/>
      <c r="P3042" s="20"/>
    </row>
    <row r="3043">
      <c r="A3043" s="10"/>
      <c r="B3043" s="11"/>
      <c r="C3043" s="10"/>
      <c r="D3043" s="13"/>
      <c r="E3043" s="14"/>
      <c r="F3043" s="14"/>
      <c r="G3043" s="14"/>
      <c r="H3043" s="10"/>
      <c r="I3043" s="17"/>
      <c r="J3043" s="10"/>
      <c r="K3043" s="46"/>
      <c r="L3043" s="10"/>
      <c r="M3043" s="20"/>
      <c r="N3043" s="20"/>
      <c r="O3043" s="20"/>
      <c r="P3043" s="20"/>
    </row>
    <row r="3044">
      <c r="A3044" s="23"/>
      <c r="B3044" s="21"/>
      <c r="C3044" s="23"/>
      <c r="D3044" s="24"/>
      <c r="E3044" s="14"/>
      <c r="F3044" s="14"/>
      <c r="G3044" s="14"/>
      <c r="H3044" s="23"/>
      <c r="I3044" s="27"/>
      <c r="J3044" s="23"/>
      <c r="K3044" s="30"/>
      <c r="L3044" s="23"/>
      <c r="M3044" s="20"/>
      <c r="N3044" s="20"/>
      <c r="O3044" s="20"/>
      <c r="P3044" s="20"/>
    </row>
    <row r="3045">
      <c r="A3045" s="10"/>
      <c r="B3045" s="11"/>
      <c r="C3045" s="10"/>
      <c r="D3045" s="13"/>
      <c r="E3045" s="14"/>
      <c r="F3045" s="14"/>
      <c r="G3045" s="14"/>
      <c r="H3045" s="10"/>
      <c r="I3045" s="17"/>
      <c r="J3045" s="10"/>
      <c r="K3045" s="46"/>
      <c r="L3045" s="10"/>
      <c r="M3045" s="20"/>
      <c r="N3045" s="20"/>
      <c r="O3045" s="20"/>
      <c r="P3045" s="20"/>
    </row>
    <row r="3046">
      <c r="A3046" s="23"/>
      <c r="B3046" s="21"/>
      <c r="C3046" s="23"/>
      <c r="D3046" s="24"/>
      <c r="E3046" s="14"/>
      <c r="F3046" s="14"/>
      <c r="G3046" s="14"/>
      <c r="H3046" s="23"/>
      <c r="I3046" s="27"/>
      <c r="J3046" s="23"/>
      <c r="K3046" s="30"/>
      <c r="L3046" s="23"/>
      <c r="M3046" s="20"/>
      <c r="N3046" s="20"/>
      <c r="O3046" s="20"/>
      <c r="P3046" s="20"/>
    </row>
    <row r="3047">
      <c r="A3047" s="10"/>
      <c r="B3047" s="11"/>
      <c r="C3047" s="10"/>
      <c r="D3047" s="13"/>
      <c r="E3047" s="14"/>
      <c r="F3047" s="14"/>
      <c r="G3047" s="14"/>
      <c r="H3047" s="10"/>
      <c r="I3047" s="17"/>
      <c r="J3047" s="10"/>
      <c r="K3047" s="46"/>
      <c r="L3047" s="10"/>
      <c r="M3047" s="20"/>
      <c r="N3047" s="20"/>
      <c r="O3047" s="20"/>
      <c r="P3047" s="20"/>
    </row>
    <row r="3048">
      <c r="A3048" s="23"/>
      <c r="B3048" s="21"/>
      <c r="C3048" s="23"/>
      <c r="D3048" s="24"/>
      <c r="E3048" s="14"/>
      <c r="F3048" s="14"/>
      <c r="G3048" s="14"/>
      <c r="H3048" s="23"/>
      <c r="I3048" s="27"/>
      <c r="J3048" s="23"/>
      <c r="K3048" s="30"/>
      <c r="L3048" s="23"/>
      <c r="M3048" s="20"/>
      <c r="N3048" s="20"/>
      <c r="O3048" s="20"/>
      <c r="P3048" s="20"/>
    </row>
    <row r="3049">
      <c r="A3049" s="10"/>
      <c r="B3049" s="11"/>
      <c r="C3049" s="10"/>
      <c r="D3049" s="13"/>
      <c r="E3049" s="14"/>
      <c r="F3049" s="14"/>
      <c r="G3049" s="14"/>
      <c r="H3049" s="10"/>
      <c r="I3049" s="17"/>
      <c r="J3049" s="10"/>
      <c r="K3049" s="46"/>
      <c r="L3049" s="10"/>
      <c r="M3049" s="20"/>
      <c r="N3049" s="20"/>
      <c r="O3049" s="20"/>
      <c r="P3049" s="20"/>
    </row>
    <row r="3050">
      <c r="A3050" s="23"/>
      <c r="B3050" s="21"/>
      <c r="C3050" s="23"/>
      <c r="D3050" s="24"/>
      <c r="E3050" s="14"/>
      <c r="F3050" s="14"/>
      <c r="G3050" s="14"/>
      <c r="H3050" s="23"/>
      <c r="I3050" s="27"/>
      <c r="J3050" s="23"/>
      <c r="K3050" s="30"/>
      <c r="L3050" s="23"/>
      <c r="M3050" s="20"/>
      <c r="N3050" s="20"/>
      <c r="O3050" s="20"/>
      <c r="P3050" s="20"/>
    </row>
    <row r="3051">
      <c r="A3051" s="10"/>
      <c r="B3051" s="11"/>
      <c r="C3051" s="10"/>
      <c r="D3051" s="13"/>
      <c r="E3051" s="14"/>
      <c r="F3051" s="14"/>
      <c r="G3051" s="14"/>
      <c r="H3051" s="10"/>
      <c r="I3051" s="17"/>
      <c r="J3051" s="10"/>
      <c r="K3051" s="46"/>
      <c r="L3051" s="10"/>
      <c r="M3051" s="20"/>
      <c r="N3051" s="20"/>
      <c r="O3051" s="20"/>
      <c r="P3051" s="20"/>
    </row>
    <row r="3052">
      <c r="A3052" s="23"/>
      <c r="B3052" s="21"/>
      <c r="C3052" s="23"/>
      <c r="D3052" s="24"/>
      <c r="E3052" s="14"/>
      <c r="F3052" s="14"/>
      <c r="G3052" s="14"/>
      <c r="H3052" s="23"/>
      <c r="I3052" s="27"/>
      <c r="J3052" s="23"/>
      <c r="K3052" s="30"/>
      <c r="L3052" s="23"/>
      <c r="M3052" s="20"/>
      <c r="N3052" s="20"/>
      <c r="O3052" s="20"/>
      <c r="P3052" s="20"/>
    </row>
    <row r="3053">
      <c r="A3053" s="10"/>
      <c r="B3053" s="11"/>
      <c r="C3053" s="10"/>
      <c r="D3053" s="13"/>
      <c r="E3053" s="14"/>
      <c r="F3053" s="14"/>
      <c r="G3053" s="14"/>
      <c r="H3053" s="10"/>
      <c r="I3053" s="17"/>
      <c r="J3053" s="10"/>
      <c r="K3053" s="46"/>
      <c r="L3053" s="10"/>
      <c r="M3053" s="20"/>
      <c r="N3053" s="20"/>
      <c r="O3053" s="20"/>
      <c r="P3053" s="20"/>
    </row>
    <row r="3054">
      <c r="A3054" s="23"/>
      <c r="B3054" s="21"/>
      <c r="C3054" s="23"/>
      <c r="D3054" s="24"/>
      <c r="E3054" s="14"/>
      <c r="F3054" s="14"/>
      <c r="G3054" s="14"/>
      <c r="H3054" s="23"/>
      <c r="I3054" s="27"/>
      <c r="J3054" s="23"/>
      <c r="K3054" s="30"/>
      <c r="L3054" s="23"/>
      <c r="M3054" s="20"/>
      <c r="N3054" s="20"/>
      <c r="O3054" s="20"/>
      <c r="P3054" s="20"/>
    </row>
    <row r="3055">
      <c r="A3055" s="10"/>
      <c r="B3055" s="11"/>
      <c r="C3055" s="10"/>
      <c r="D3055" s="13"/>
      <c r="E3055" s="14"/>
      <c r="F3055" s="14"/>
      <c r="G3055" s="14"/>
      <c r="H3055" s="10"/>
      <c r="I3055" s="17"/>
      <c r="J3055" s="10"/>
      <c r="K3055" s="46"/>
      <c r="L3055" s="10"/>
      <c r="M3055" s="20"/>
      <c r="N3055" s="20"/>
      <c r="O3055" s="20"/>
      <c r="P3055" s="20"/>
    </row>
    <row r="3056">
      <c r="A3056" s="23"/>
      <c r="B3056" s="21"/>
      <c r="C3056" s="23"/>
      <c r="D3056" s="24"/>
      <c r="E3056" s="14"/>
      <c r="F3056" s="14"/>
      <c r="G3056" s="14"/>
      <c r="H3056" s="23"/>
      <c r="I3056" s="27"/>
      <c r="J3056" s="23"/>
      <c r="K3056" s="30"/>
      <c r="L3056" s="23"/>
      <c r="M3056" s="20"/>
      <c r="N3056" s="20"/>
      <c r="O3056" s="20"/>
      <c r="P3056" s="20"/>
    </row>
    <row r="3057">
      <c r="A3057" s="10"/>
      <c r="B3057" s="11"/>
      <c r="C3057" s="10"/>
      <c r="D3057" s="13"/>
      <c r="E3057" s="14"/>
      <c r="F3057" s="14"/>
      <c r="G3057" s="14"/>
      <c r="H3057" s="10"/>
      <c r="I3057" s="17"/>
      <c r="J3057" s="10"/>
      <c r="K3057" s="46"/>
      <c r="L3057" s="10"/>
      <c r="M3057" s="20"/>
      <c r="N3057" s="20"/>
      <c r="O3057" s="20"/>
      <c r="P3057" s="20"/>
    </row>
    <row r="3058">
      <c r="A3058" s="23"/>
      <c r="B3058" s="21"/>
      <c r="C3058" s="23"/>
      <c r="D3058" s="24"/>
      <c r="E3058" s="14"/>
      <c r="F3058" s="14"/>
      <c r="G3058" s="14"/>
      <c r="H3058" s="23"/>
      <c r="I3058" s="27"/>
      <c r="J3058" s="23"/>
      <c r="K3058" s="30"/>
      <c r="L3058" s="23"/>
      <c r="M3058" s="20"/>
      <c r="N3058" s="20"/>
      <c r="O3058" s="20"/>
      <c r="P3058" s="20"/>
    </row>
    <row r="3059">
      <c r="A3059" s="10"/>
      <c r="B3059" s="11"/>
      <c r="C3059" s="10"/>
      <c r="D3059" s="13"/>
      <c r="E3059" s="14"/>
      <c r="F3059" s="14"/>
      <c r="G3059" s="14"/>
      <c r="H3059" s="10"/>
      <c r="I3059" s="17"/>
      <c r="J3059" s="10"/>
      <c r="K3059" s="46"/>
      <c r="L3059" s="10"/>
      <c r="M3059" s="20"/>
      <c r="N3059" s="20"/>
      <c r="O3059" s="20"/>
      <c r="P3059" s="20"/>
    </row>
    <row r="3060">
      <c r="A3060" s="23"/>
      <c r="B3060" s="21"/>
      <c r="C3060" s="23"/>
      <c r="D3060" s="24"/>
      <c r="E3060" s="14"/>
      <c r="F3060" s="14"/>
      <c r="G3060" s="14"/>
      <c r="H3060" s="23"/>
      <c r="I3060" s="27"/>
      <c r="J3060" s="23"/>
      <c r="K3060" s="30"/>
      <c r="L3060" s="23"/>
      <c r="M3060" s="20"/>
      <c r="N3060" s="20"/>
      <c r="O3060" s="20"/>
      <c r="P3060" s="20"/>
    </row>
    <row r="3061">
      <c r="A3061" s="10"/>
      <c r="B3061" s="11"/>
      <c r="C3061" s="10"/>
      <c r="D3061" s="13"/>
      <c r="E3061" s="14"/>
      <c r="F3061" s="14"/>
      <c r="G3061" s="14"/>
      <c r="H3061" s="10"/>
      <c r="I3061" s="17"/>
      <c r="J3061" s="10"/>
      <c r="K3061" s="46"/>
      <c r="L3061" s="10"/>
      <c r="M3061" s="20"/>
      <c r="N3061" s="20"/>
      <c r="O3061" s="20"/>
      <c r="P3061" s="20"/>
    </row>
    <row r="3062">
      <c r="A3062" s="23"/>
      <c r="B3062" s="21"/>
      <c r="C3062" s="23"/>
      <c r="D3062" s="24"/>
      <c r="E3062" s="14"/>
      <c r="F3062" s="14"/>
      <c r="G3062" s="14"/>
      <c r="H3062" s="23"/>
      <c r="I3062" s="27"/>
      <c r="J3062" s="23"/>
      <c r="K3062" s="30"/>
      <c r="L3062" s="23"/>
      <c r="M3062" s="20"/>
      <c r="N3062" s="20"/>
      <c r="O3062" s="20"/>
      <c r="P3062" s="20"/>
    </row>
    <row r="3063">
      <c r="A3063" s="10"/>
      <c r="B3063" s="11"/>
      <c r="C3063" s="10"/>
      <c r="D3063" s="13"/>
      <c r="E3063" s="14"/>
      <c r="F3063" s="14"/>
      <c r="G3063" s="14"/>
      <c r="H3063" s="10"/>
      <c r="I3063" s="17"/>
      <c r="J3063" s="10"/>
      <c r="K3063" s="46"/>
      <c r="L3063" s="10"/>
      <c r="M3063" s="20"/>
      <c r="N3063" s="20"/>
      <c r="O3063" s="20"/>
      <c r="P3063" s="20"/>
    </row>
    <row r="3064">
      <c r="A3064" s="23"/>
      <c r="B3064" s="21"/>
      <c r="C3064" s="23"/>
      <c r="D3064" s="24"/>
      <c r="E3064" s="14"/>
      <c r="F3064" s="14"/>
      <c r="G3064" s="14"/>
      <c r="H3064" s="23"/>
      <c r="I3064" s="27"/>
      <c r="J3064" s="23"/>
      <c r="K3064" s="30"/>
      <c r="L3064" s="23"/>
      <c r="M3064" s="20"/>
      <c r="N3064" s="20"/>
      <c r="O3064" s="20"/>
      <c r="P3064" s="20"/>
    </row>
    <row r="3065">
      <c r="A3065" s="10"/>
      <c r="B3065" s="11"/>
      <c r="C3065" s="10"/>
      <c r="D3065" s="13"/>
      <c r="E3065" s="14"/>
      <c r="F3065" s="14"/>
      <c r="G3065" s="14"/>
      <c r="H3065" s="10"/>
      <c r="I3065" s="17"/>
      <c r="J3065" s="10"/>
      <c r="K3065" s="46"/>
      <c r="L3065" s="10"/>
      <c r="M3065" s="20"/>
      <c r="N3065" s="20"/>
      <c r="O3065" s="20"/>
      <c r="P3065" s="20"/>
    </row>
    <row r="3066">
      <c r="A3066" s="23"/>
      <c r="B3066" s="21"/>
      <c r="C3066" s="23"/>
      <c r="D3066" s="24"/>
      <c r="E3066" s="14"/>
      <c r="F3066" s="14"/>
      <c r="G3066" s="14"/>
      <c r="H3066" s="23"/>
      <c r="I3066" s="27"/>
      <c r="J3066" s="23"/>
      <c r="K3066" s="30"/>
      <c r="L3066" s="23"/>
      <c r="M3066" s="20"/>
      <c r="N3066" s="20"/>
      <c r="O3066" s="20"/>
      <c r="P3066" s="20"/>
    </row>
    <row r="3067">
      <c r="A3067" s="10"/>
      <c r="B3067" s="11"/>
      <c r="C3067" s="10"/>
      <c r="D3067" s="13"/>
      <c r="E3067" s="14"/>
      <c r="F3067" s="14"/>
      <c r="G3067" s="14"/>
      <c r="H3067" s="10"/>
      <c r="I3067" s="17"/>
      <c r="J3067" s="10"/>
      <c r="K3067" s="46"/>
      <c r="L3067" s="10"/>
      <c r="M3067" s="20"/>
      <c r="N3067" s="20"/>
      <c r="O3067" s="20"/>
      <c r="P3067" s="20"/>
    </row>
    <row r="3068">
      <c r="A3068" s="23"/>
      <c r="B3068" s="21"/>
      <c r="C3068" s="23"/>
      <c r="D3068" s="24"/>
      <c r="E3068" s="14"/>
      <c r="F3068" s="14"/>
      <c r="G3068" s="14"/>
      <c r="H3068" s="23"/>
      <c r="I3068" s="27"/>
      <c r="J3068" s="23"/>
      <c r="K3068" s="30"/>
      <c r="L3068" s="23"/>
      <c r="M3068" s="20"/>
      <c r="N3068" s="20"/>
      <c r="O3068" s="20"/>
      <c r="P3068" s="20"/>
    </row>
    <row r="3069">
      <c r="A3069" s="10"/>
      <c r="B3069" s="11"/>
      <c r="C3069" s="10"/>
      <c r="D3069" s="13"/>
      <c r="E3069" s="14"/>
      <c r="F3069" s="14"/>
      <c r="G3069" s="14"/>
      <c r="H3069" s="10"/>
      <c r="I3069" s="17"/>
      <c r="J3069" s="10"/>
      <c r="K3069" s="46"/>
      <c r="L3069" s="10"/>
      <c r="M3069" s="20"/>
      <c r="N3069" s="20"/>
      <c r="O3069" s="20"/>
      <c r="P3069" s="20"/>
    </row>
    <row r="3070">
      <c r="A3070" s="23"/>
      <c r="B3070" s="21"/>
      <c r="C3070" s="23"/>
      <c r="D3070" s="24"/>
      <c r="E3070" s="14"/>
      <c r="F3070" s="14"/>
      <c r="G3070" s="14"/>
      <c r="H3070" s="23"/>
      <c r="I3070" s="27"/>
      <c r="J3070" s="23"/>
      <c r="K3070" s="30"/>
      <c r="L3070" s="23"/>
      <c r="M3070" s="20"/>
      <c r="N3070" s="20"/>
      <c r="O3070" s="20"/>
      <c r="P3070" s="20"/>
    </row>
    <row r="3071">
      <c r="A3071" s="10"/>
      <c r="B3071" s="11"/>
      <c r="C3071" s="10"/>
      <c r="D3071" s="13"/>
      <c r="E3071" s="14"/>
      <c r="F3071" s="14"/>
      <c r="G3071" s="14"/>
      <c r="H3071" s="10"/>
      <c r="I3071" s="17"/>
      <c r="J3071" s="10"/>
      <c r="K3071" s="46"/>
      <c r="L3071" s="10"/>
      <c r="M3071" s="20"/>
      <c r="N3071" s="20"/>
      <c r="O3071" s="20"/>
      <c r="P3071" s="20"/>
    </row>
    <row r="3072">
      <c r="A3072" s="23"/>
      <c r="B3072" s="21"/>
      <c r="C3072" s="23"/>
      <c r="D3072" s="24"/>
      <c r="E3072" s="14"/>
      <c r="F3072" s="14"/>
      <c r="G3072" s="14"/>
      <c r="H3072" s="23"/>
      <c r="I3072" s="27"/>
      <c r="J3072" s="23"/>
      <c r="K3072" s="30"/>
      <c r="L3072" s="23"/>
      <c r="M3072" s="20"/>
      <c r="N3072" s="20"/>
      <c r="O3072" s="20"/>
      <c r="P3072" s="20"/>
    </row>
    <row r="3073">
      <c r="A3073" s="10"/>
      <c r="B3073" s="11"/>
      <c r="C3073" s="10"/>
      <c r="D3073" s="13"/>
      <c r="E3073" s="14"/>
      <c r="F3073" s="14"/>
      <c r="G3073" s="14"/>
      <c r="H3073" s="10"/>
      <c r="I3073" s="17"/>
      <c r="J3073" s="10"/>
      <c r="K3073" s="46"/>
      <c r="L3073" s="10"/>
      <c r="M3073" s="20"/>
      <c r="N3073" s="20"/>
      <c r="O3073" s="20"/>
      <c r="P3073" s="20"/>
    </row>
    <row r="3074">
      <c r="A3074" s="23"/>
      <c r="B3074" s="21"/>
      <c r="C3074" s="23"/>
      <c r="D3074" s="24"/>
      <c r="E3074" s="14"/>
      <c r="F3074" s="14"/>
      <c r="G3074" s="14"/>
      <c r="H3074" s="23"/>
      <c r="I3074" s="27"/>
      <c r="J3074" s="23"/>
      <c r="K3074" s="30"/>
      <c r="L3074" s="23"/>
      <c r="M3074" s="20"/>
      <c r="N3074" s="20"/>
      <c r="O3074" s="20"/>
      <c r="P3074" s="20"/>
    </row>
    <row r="3075">
      <c r="A3075" s="10"/>
      <c r="B3075" s="11"/>
      <c r="C3075" s="10"/>
      <c r="D3075" s="13"/>
      <c r="E3075" s="14"/>
      <c r="F3075" s="14"/>
      <c r="G3075" s="14"/>
      <c r="H3075" s="10"/>
      <c r="I3075" s="17"/>
      <c r="J3075" s="10"/>
      <c r="K3075" s="46"/>
      <c r="L3075" s="10"/>
      <c r="M3075" s="20"/>
      <c r="N3075" s="20"/>
      <c r="O3075" s="20"/>
      <c r="P3075" s="20"/>
    </row>
    <row r="3076">
      <c r="A3076" s="23"/>
      <c r="B3076" s="21"/>
      <c r="C3076" s="23"/>
      <c r="D3076" s="24"/>
      <c r="E3076" s="14"/>
      <c r="F3076" s="14"/>
      <c r="G3076" s="14"/>
      <c r="H3076" s="23"/>
      <c r="I3076" s="27"/>
      <c r="J3076" s="23"/>
      <c r="K3076" s="30"/>
      <c r="L3076" s="23"/>
      <c r="M3076" s="20"/>
      <c r="N3076" s="20"/>
      <c r="O3076" s="20"/>
      <c r="P3076" s="20"/>
    </row>
    <row r="3077">
      <c r="A3077" s="10"/>
      <c r="B3077" s="11"/>
      <c r="C3077" s="10"/>
      <c r="D3077" s="13"/>
      <c r="E3077" s="14"/>
      <c r="F3077" s="14"/>
      <c r="G3077" s="14"/>
      <c r="H3077" s="10"/>
      <c r="I3077" s="17"/>
      <c r="J3077" s="10"/>
      <c r="K3077" s="46"/>
      <c r="L3077" s="10"/>
      <c r="M3077" s="20"/>
      <c r="N3077" s="20"/>
      <c r="O3077" s="20"/>
      <c r="P3077" s="20"/>
    </row>
    <row r="3078">
      <c r="A3078" s="23"/>
      <c r="B3078" s="21"/>
      <c r="C3078" s="23"/>
      <c r="D3078" s="24"/>
      <c r="E3078" s="14"/>
      <c r="F3078" s="14"/>
      <c r="G3078" s="14"/>
      <c r="H3078" s="23"/>
      <c r="I3078" s="27"/>
      <c r="J3078" s="23"/>
      <c r="K3078" s="30"/>
      <c r="L3078" s="23"/>
      <c r="M3078" s="20"/>
      <c r="N3078" s="20"/>
      <c r="O3078" s="20"/>
      <c r="P3078" s="20"/>
    </row>
    <row r="3079">
      <c r="A3079" s="10"/>
      <c r="B3079" s="11"/>
      <c r="C3079" s="10"/>
      <c r="D3079" s="13"/>
      <c r="E3079" s="14"/>
      <c r="F3079" s="14"/>
      <c r="G3079" s="14"/>
      <c r="H3079" s="10"/>
      <c r="I3079" s="17"/>
      <c r="J3079" s="10"/>
      <c r="K3079" s="46"/>
      <c r="L3079" s="10"/>
      <c r="M3079" s="20"/>
      <c r="N3079" s="20"/>
      <c r="O3079" s="20"/>
      <c r="P3079" s="20"/>
    </row>
    <row r="3080">
      <c r="A3080" s="23"/>
      <c r="B3080" s="21"/>
      <c r="C3080" s="23"/>
      <c r="D3080" s="24"/>
      <c r="E3080" s="14"/>
      <c r="F3080" s="14"/>
      <c r="G3080" s="14"/>
      <c r="H3080" s="23"/>
      <c r="I3080" s="27"/>
      <c r="J3080" s="23"/>
      <c r="K3080" s="30"/>
      <c r="L3080" s="23"/>
      <c r="M3080" s="20"/>
      <c r="N3080" s="20"/>
      <c r="O3080" s="20"/>
      <c r="P3080" s="20"/>
    </row>
    <row r="3081">
      <c r="A3081" s="10"/>
      <c r="B3081" s="11"/>
      <c r="C3081" s="10"/>
      <c r="D3081" s="13"/>
      <c r="E3081" s="14"/>
      <c r="F3081" s="14"/>
      <c r="G3081" s="14"/>
      <c r="H3081" s="10"/>
      <c r="I3081" s="17"/>
      <c r="J3081" s="10"/>
      <c r="K3081" s="46"/>
      <c r="L3081" s="10"/>
      <c r="M3081" s="20"/>
      <c r="N3081" s="20"/>
      <c r="O3081" s="20"/>
      <c r="P3081" s="20"/>
    </row>
    <row r="3082">
      <c r="A3082" s="23"/>
      <c r="B3082" s="21"/>
      <c r="C3082" s="23"/>
      <c r="D3082" s="24"/>
      <c r="E3082" s="14"/>
      <c r="F3082" s="14"/>
      <c r="G3082" s="14"/>
      <c r="H3082" s="23"/>
      <c r="I3082" s="27"/>
      <c r="J3082" s="23"/>
      <c r="K3082" s="30"/>
      <c r="L3082" s="23"/>
      <c r="M3082" s="20"/>
      <c r="N3082" s="20"/>
      <c r="O3082" s="20"/>
      <c r="P3082" s="20"/>
    </row>
    <row r="3083">
      <c r="A3083" s="10"/>
      <c r="B3083" s="11"/>
      <c r="C3083" s="10"/>
      <c r="D3083" s="13"/>
      <c r="E3083" s="14"/>
      <c r="F3083" s="14"/>
      <c r="G3083" s="14"/>
      <c r="H3083" s="10"/>
      <c r="I3083" s="17"/>
      <c r="J3083" s="10"/>
      <c r="K3083" s="46"/>
      <c r="L3083" s="10"/>
      <c r="M3083" s="20"/>
      <c r="N3083" s="20"/>
      <c r="O3083" s="20"/>
      <c r="P3083" s="20"/>
    </row>
    <row r="3084">
      <c r="A3084" s="23"/>
      <c r="B3084" s="21"/>
      <c r="C3084" s="23"/>
      <c r="D3084" s="24"/>
      <c r="E3084" s="14"/>
      <c r="F3084" s="14"/>
      <c r="G3084" s="14"/>
      <c r="H3084" s="23"/>
      <c r="I3084" s="27"/>
      <c r="J3084" s="23"/>
      <c r="K3084" s="30"/>
      <c r="L3084" s="23"/>
      <c r="M3084" s="20"/>
      <c r="N3084" s="20"/>
      <c r="O3084" s="20"/>
      <c r="P3084" s="20"/>
    </row>
    <row r="3085">
      <c r="A3085" s="10"/>
      <c r="B3085" s="11"/>
      <c r="C3085" s="10"/>
      <c r="D3085" s="13"/>
      <c r="E3085" s="14"/>
      <c r="F3085" s="14"/>
      <c r="G3085" s="14"/>
      <c r="H3085" s="10"/>
      <c r="I3085" s="17"/>
      <c r="J3085" s="10"/>
      <c r="K3085" s="46"/>
      <c r="L3085" s="10"/>
      <c r="M3085" s="20"/>
      <c r="N3085" s="20"/>
      <c r="O3085" s="20"/>
      <c r="P3085" s="20"/>
    </row>
    <row r="3086">
      <c r="A3086" s="23"/>
      <c r="B3086" s="21"/>
      <c r="C3086" s="23"/>
      <c r="D3086" s="24"/>
      <c r="E3086" s="14"/>
      <c r="F3086" s="14"/>
      <c r="G3086" s="14"/>
      <c r="H3086" s="23"/>
      <c r="I3086" s="27"/>
      <c r="J3086" s="23"/>
      <c r="K3086" s="30"/>
      <c r="L3086" s="23"/>
      <c r="M3086" s="20"/>
      <c r="N3086" s="20"/>
      <c r="O3086" s="20"/>
      <c r="P3086" s="20"/>
    </row>
    <row r="3087">
      <c r="A3087" s="10"/>
      <c r="B3087" s="11"/>
      <c r="C3087" s="10"/>
      <c r="D3087" s="13"/>
      <c r="E3087" s="14"/>
      <c r="F3087" s="14"/>
      <c r="G3087" s="14"/>
      <c r="H3087" s="10"/>
      <c r="I3087" s="17"/>
      <c r="J3087" s="10"/>
      <c r="K3087" s="46"/>
      <c r="L3087" s="10"/>
      <c r="M3087" s="20"/>
      <c r="N3087" s="20"/>
      <c r="O3087" s="20"/>
      <c r="P3087" s="20"/>
    </row>
    <row r="3088">
      <c r="A3088" s="23"/>
      <c r="B3088" s="21"/>
      <c r="C3088" s="23"/>
      <c r="D3088" s="24"/>
      <c r="E3088" s="14"/>
      <c r="F3088" s="14"/>
      <c r="G3088" s="14"/>
      <c r="H3088" s="23"/>
      <c r="I3088" s="27"/>
      <c r="J3088" s="23"/>
      <c r="K3088" s="30"/>
      <c r="L3088" s="23"/>
      <c r="M3088" s="20"/>
      <c r="N3088" s="20"/>
      <c r="O3088" s="20"/>
      <c r="P3088" s="20"/>
    </row>
    <row r="3089">
      <c r="A3089" s="10"/>
      <c r="B3089" s="11"/>
      <c r="C3089" s="10"/>
      <c r="D3089" s="13"/>
      <c r="E3089" s="14"/>
      <c r="F3089" s="14"/>
      <c r="G3089" s="14"/>
      <c r="H3089" s="10"/>
      <c r="I3089" s="17"/>
      <c r="J3089" s="10"/>
      <c r="K3089" s="46"/>
      <c r="L3089" s="10"/>
      <c r="M3089" s="20"/>
      <c r="N3089" s="20"/>
      <c r="O3089" s="20"/>
      <c r="P3089" s="20"/>
    </row>
    <row r="3090">
      <c r="A3090" s="23"/>
      <c r="B3090" s="21"/>
      <c r="C3090" s="23"/>
      <c r="D3090" s="24"/>
      <c r="E3090" s="14"/>
      <c r="F3090" s="14"/>
      <c r="G3090" s="14"/>
      <c r="H3090" s="23"/>
      <c r="I3090" s="27"/>
      <c r="J3090" s="23"/>
      <c r="K3090" s="30"/>
      <c r="L3090" s="23"/>
      <c r="M3090" s="20"/>
      <c r="N3090" s="20"/>
      <c r="O3090" s="20"/>
      <c r="P3090" s="20"/>
    </row>
    <row r="3091">
      <c r="A3091" s="10"/>
      <c r="B3091" s="11"/>
      <c r="C3091" s="10"/>
      <c r="D3091" s="13"/>
      <c r="E3091" s="14"/>
      <c r="F3091" s="14"/>
      <c r="G3091" s="14"/>
      <c r="H3091" s="10"/>
      <c r="I3091" s="17"/>
      <c r="J3091" s="10"/>
      <c r="K3091" s="46"/>
      <c r="L3091" s="10"/>
      <c r="M3091" s="20"/>
      <c r="N3091" s="20"/>
      <c r="O3091" s="20"/>
      <c r="P3091" s="20"/>
    </row>
    <row r="3092">
      <c r="A3092" s="23"/>
      <c r="B3092" s="21"/>
      <c r="C3092" s="23"/>
      <c r="D3092" s="24"/>
      <c r="E3092" s="14"/>
      <c r="F3092" s="14"/>
      <c r="G3092" s="14"/>
      <c r="H3092" s="23"/>
      <c r="I3092" s="27"/>
      <c r="J3092" s="23"/>
      <c r="K3092" s="30"/>
      <c r="L3092" s="23"/>
      <c r="M3092" s="20"/>
      <c r="N3092" s="20"/>
      <c r="O3092" s="20"/>
      <c r="P3092" s="20"/>
    </row>
    <row r="3093">
      <c r="A3093" s="10"/>
      <c r="B3093" s="11"/>
      <c r="C3093" s="10"/>
      <c r="D3093" s="13"/>
      <c r="E3093" s="14"/>
      <c r="F3093" s="14"/>
      <c r="G3093" s="14"/>
      <c r="H3093" s="10"/>
      <c r="I3093" s="17"/>
      <c r="J3093" s="10"/>
      <c r="K3093" s="46"/>
      <c r="L3093" s="10"/>
      <c r="M3093" s="20"/>
      <c r="N3093" s="20"/>
      <c r="O3093" s="20"/>
      <c r="P3093" s="20"/>
    </row>
    <row r="3094">
      <c r="A3094" s="23"/>
      <c r="B3094" s="21"/>
      <c r="C3094" s="23"/>
      <c r="D3094" s="24"/>
      <c r="E3094" s="14"/>
      <c r="F3094" s="14"/>
      <c r="G3094" s="14"/>
      <c r="H3094" s="23"/>
      <c r="I3094" s="27"/>
      <c r="J3094" s="23"/>
      <c r="K3094" s="30"/>
      <c r="L3094" s="23"/>
      <c r="M3094" s="20"/>
      <c r="N3094" s="20"/>
      <c r="O3094" s="20"/>
      <c r="P3094" s="20"/>
    </row>
    <row r="3095">
      <c r="A3095" s="10"/>
      <c r="B3095" s="11"/>
      <c r="C3095" s="10"/>
      <c r="D3095" s="13"/>
      <c r="E3095" s="14"/>
      <c r="F3095" s="14"/>
      <c r="G3095" s="14"/>
      <c r="H3095" s="10"/>
      <c r="I3095" s="17"/>
      <c r="J3095" s="10"/>
      <c r="K3095" s="46"/>
      <c r="L3095" s="10"/>
      <c r="M3095" s="20"/>
      <c r="N3095" s="20"/>
      <c r="O3095" s="20"/>
      <c r="P3095" s="20"/>
    </row>
    <row r="3096">
      <c r="A3096" s="23"/>
      <c r="B3096" s="21"/>
      <c r="C3096" s="23"/>
      <c r="D3096" s="24"/>
      <c r="E3096" s="14"/>
      <c r="F3096" s="14"/>
      <c r="G3096" s="14"/>
      <c r="H3096" s="23"/>
      <c r="I3096" s="27"/>
      <c r="J3096" s="23"/>
      <c r="K3096" s="30"/>
      <c r="L3096" s="23"/>
      <c r="M3096" s="20"/>
      <c r="N3096" s="20"/>
      <c r="O3096" s="20"/>
      <c r="P3096" s="20"/>
    </row>
    <row r="3097">
      <c r="A3097" s="10"/>
      <c r="B3097" s="11"/>
      <c r="C3097" s="10"/>
      <c r="D3097" s="13"/>
      <c r="E3097" s="14"/>
      <c r="F3097" s="14"/>
      <c r="G3097" s="14"/>
      <c r="H3097" s="10"/>
      <c r="I3097" s="17"/>
      <c r="J3097" s="10"/>
      <c r="K3097" s="46"/>
      <c r="L3097" s="10"/>
      <c r="M3097" s="20"/>
      <c r="N3097" s="20"/>
      <c r="O3097" s="20"/>
      <c r="P3097" s="20"/>
    </row>
    <row r="3098">
      <c r="A3098" s="23"/>
      <c r="B3098" s="21"/>
      <c r="C3098" s="23"/>
      <c r="D3098" s="24"/>
      <c r="E3098" s="14"/>
      <c r="F3098" s="14"/>
      <c r="G3098" s="14"/>
      <c r="H3098" s="23"/>
      <c r="I3098" s="27"/>
      <c r="J3098" s="23"/>
      <c r="K3098" s="30"/>
      <c r="L3098" s="23"/>
      <c r="M3098" s="20"/>
      <c r="N3098" s="20"/>
      <c r="O3098" s="20"/>
      <c r="P3098" s="20"/>
    </row>
    <row r="3099">
      <c r="A3099" s="10"/>
      <c r="B3099" s="11"/>
      <c r="C3099" s="10"/>
      <c r="D3099" s="13"/>
      <c r="E3099" s="14"/>
      <c r="F3099" s="14"/>
      <c r="G3099" s="14"/>
      <c r="H3099" s="10"/>
      <c r="I3099" s="17"/>
      <c r="J3099" s="10"/>
      <c r="K3099" s="46"/>
      <c r="L3099" s="10"/>
      <c r="M3099" s="20"/>
      <c r="N3099" s="20"/>
      <c r="O3099" s="20"/>
      <c r="P3099" s="20"/>
    </row>
    <row r="3100">
      <c r="A3100" s="23"/>
      <c r="B3100" s="21"/>
      <c r="C3100" s="23"/>
      <c r="D3100" s="24"/>
      <c r="E3100" s="14"/>
      <c r="F3100" s="14"/>
      <c r="G3100" s="14"/>
      <c r="H3100" s="23"/>
      <c r="I3100" s="27"/>
      <c r="J3100" s="23"/>
      <c r="K3100" s="30"/>
      <c r="L3100" s="23"/>
      <c r="M3100" s="20"/>
      <c r="N3100" s="20"/>
      <c r="O3100" s="20"/>
      <c r="P3100" s="20"/>
    </row>
    <row r="3101">
      <c r="A3101" s="10"/>
      <c r="B3101" s="11"/>
      <c r="C3101" s="10"/>
      <c r="D3101" s="13"/>
      <c r="E3101" s="14"/>
      <c r="F3101" s="14"/>
      <c r="G3101" s="14"/>
      <c r="H3101" s="10"/>
      <c r="I3101" s="17"/>
      <c r="J3101" s="10"/>
      <c r="K3101" s="46"/>
      <c r="L3101" s="10"/>
      <c r="M3101" s="20"/>
      <c r="N3101" s="20"/>
      <c r="O3101" s="20"/>
      <c r="P3101" s="20"/>
    </row>
    <row r="3102">
      <c r="A3102" s="23"/>
      <c r="B3102" s="21"/>
      <c r="C3102" s="23"/>
      <c r="D3102" s="24"/>
      <c r="E3102" s="14"/>
      <c r="F3102" s="14"/>
      <c r="G3102" s="14"/>
      <c r="H3102" s="23"/>
      <c r="I3102" s="27"/>
      <c r="J3102" s="23"/>
      <c r="K3102" s="30"/>
      <c r="L3102" s="23"/>
      <c r="M3102" s="20"/>
      <c r="N3102" s="20"/>
      <c r="O3102" s="20"/>
      <c r="P3102" s="20"/>
    </row>
    <row r="3103">
      <c r="A3103" s="10"/>
      <c r="B3103" s="11"/>
      <c r="C3103" s="10"/>
      <c r="D3103" s="13"/>
      <c r="E3103" s="14"/>
      <c r="F3103" s="14"/>
      <c r="G3103" s="14"/>
      <c r="H3103" s="10"/>
      <c r="I3103" s="17"/>
      <c r="J3103" s="10"/>
      <c r="K3103" s="46"/>
      <c r="L3103" s="10"/>
      <c r="M3103" s="20"/>
      <c r="N3103" s="20"/>
      <c r="O3103" s="20"/>
      <c r="P3103" s="20"/>
    </row>
    <row r="3104">
      <c r="A3104" s="23"/>
      <c r="B3104" s="21"/>
      <c r="C3104" s="23"/>
      <c r="D3104" s="24"/>
      <c r="E3104" s="14"/>
      <c r="F3104" s="14"/>
      <c r="G3104" s="14"/>
      <c r="H3104" s="23"/>
      <c r="I3104" s="27"/>
      <c r="J3104" s="23"/>
      <c r="K3104" s="30"/>
      <c r="L3104" s="23"/>
      <c r="M3104" s="20"/>
      <c r="N3104" s="20"/>
      <c r="O3104" s="20"/>
      <c r="P3104" s="20"/>
    </row>
    <row r="3105">
      <c r="A3105" s="10"/>
      <c r="B3105" s="11"/>
      <c r="C3105" s="10"/>
      <c r="D3105" s="13"/>
      <c r="E3105" s="14"/>
      <c r="F3105" s="14"/>
      <c r="G3105" s="14"/>
      <c r="H3105" s="10"/>
      <c r="I3105" s="17"/>
      <c r="J3105" s="10"/>
      <c r="K3105" s="46"/>
      <c r="L3105" s="10"/>
      <c r="M3105" s="20"/>
      <c r="N3105" s="20"/>
      <c r="O3105" s="20"/>
      <c r="P3105" s="20"/>
    </row>
    <row r="3106">
      <c r="A3106" s="23"/>
      <c r="B3106" s="21"/>
      <c r="C3106" s="23"/>
      <c r="D3106" s="24"/>
      <c r="E3106" s="14"/>
      <c r="F3106" s="14"/>
      <c r="G3106" s="14"/>
      <c r="H3106" s="23"/>
      <c r="I3106" s="27"/>
      <c r="J3106" s="23"/>
      <c r="K3106" s="30"/>
      <c r="L3106" s="23"/>
      <c r="M3106" s="20"/>
      <c r="N3106" s="20"/>
      <c r="O3106" s="20"/>
      <c r="P3106" s="20"/>
    </row>
    <row r="3107">
      <c r="A3107" s="10"/>
      <c r="B3107" s="11"/>
      <c r="C3107" s="10"/>
      <c r="D3107" s="13"/>
      <c r="E3107" s="14"/>
      <c r="F3107" s="14"/>
      <c r="G3107" s="14"/>
      <c r="H3107" s="10"/>
      <c r="I3107" s="17"/>
      <c r="J3107" s="10"/>
      <c r="K3107" s="46"/>
      <c r="L3107" s="10"/>
      <c r="M3107" s="20"/>
      <c r="N3107" s="20"/>
      <c r="O3107" s="20"/>
      <c r="P3107" s="20"/>
    </row>
    <row r="3108">
      <c r="A3108" s="23"/>
      <c r="B3108" s="21"/>
      <c r="C3108" s="23"/>
      <c r="D3108" s="24"/>
      <c r="E3108" s="14"/>
      <c r="F3108" s="14"/>
      <c r="G3108" s="14"/>
      <c r="H3108" s="23"/>
      <c r="I3108" s="27"/>
      <c r="J3108" s="23"/>
      <c r="K3108" s="30"/>
      <c r="L3108" s="23"/>
      <c r="M3108" s="20"/>
      <c r="N3108" s="20"/>
      <c r="O3108" s="20"/>
      <c r="P3108" s="20"/>
    </row>
    <row r="3109">
      <c r="A3109" s="10"/>
      <c r="B3109" s="11"/>
      <c r="C3109" s="10"/>
      <c r="D3109" s="13"/>
      <c r="E3109" s="14"/>
      <c r="F3109" s="14"/>
      <c r="G3109" s="14"/>
      <c r="H3109" s="10"/>
      <c r="I3109" s="17"/>
      <c r="J3109" s="10"/>
      <c r="K3109" s="46"/>
      <c r="L3109" s="10"/>
      <c r="M3109" s="20"/>
      <c r="N3109" s="20"/>
      <c r="O3109" s="20"/>
      <c r="P3109" s="20"/>
    </row>
    <row r="3110">
      <c r="A3110" s="23"/>
      <c r="B3110" s="21"/>
      <c r="C3110" s="23"/>
      <c r="D3110" s="24"/>
      <c r="E3110" s="14"/>
      <c r="F3110" s="14"/>
      <c r="G3110" s="14"/>
      <c r="H3110" s="23"/>
      <c r="I3110" s="27"/>
      <c r="J3110" s="23"/>
      <c r="K3110" s="30"/>
      <c r="L3110" s="23"/>
      <c r="M3110" s="20"/>
      <c r="N3110" s="20"/>
      <c r="O3110" s="20"/>
      <c r="P3110" s="20"/>
    </row>
    <row r="3111">
      <c r="A3111" s="10"/>
      <c r="B3111" s="11"/>
      <c r="C3111" s="10"/>
      <c r="D3111" s="13"/>
      <c r="E3111" s="14"/>
      <c r="F3111" s="14"/>
      <c r="G3111" s="14"/>
      <c r="H3111" s="10"/>
      <c r="I3111" s="17"/>
      <c r="J3111" s="10"/>
      <c r="K3111" s="46"/>
      <c r="L3111" s="10"/>
      <c r="M3111" s="20"/>
      <c r="N3111" s="20"/>
      <c r="O3111" s="20"/>
      <c r="P3111" s="20"/>
    </row>
    <row r="3112">
      <c r="A3112" s="23"/>
      <c r="B3112" s="21"/>
      <c r="C3112" s="23"/>
      <c r="D3112" s="24"/>
      <c r="E3112" s="14"/>
      <c r="F3112" s="14"/>
      <c r="G3112" s="14"/>
      <c r="H3112" s="23"/>
      <c r="I3112" s="27"/>
      <c r="J3112" s="23"/>
      <c r="K3112" s="30"/>
      <c r="L3112" s="23"/>
      <c r="M3112" s="20"/>
      <c r="N3112" s="20"/>
      <c r="O3112" s="20"/>
      <c r="P3112" s="20"/>
    </row>
    <row r="3113">
      <c r="A3113" s="10"/>
      <c r="B3113" s="11"/>
      <c r="C3113" s="10"/>
      <c r="D3113" s="13"/>
      <c r="E3113" s="14"/>
      <c r="F3113" s="14"/>
      <c r="G3113" s="14"/>
      <c r="H3113" s="10"/>
      <c r="I3113" s="17"/>
      <c r="J3113" s="10"/>
      <c r="K3113" s="46"/>
      <c r="L3113" s="10"/>
      <c r="M3113" s="20"/>
      <c r="N3113" s="20"/>
      <c r="O3113" s="20"/>
      <c r="P3113" s="20"/>
    </row>
    <row r="3114">
      <c r="A3114" s="23"/>
      <c r="B3114" s="21"/>
      <c r="C3114" s="23"/>
      <c r="D3114" s="24"/>
      <c r="E3114" s="14"/>
      <c r="F3114" s="14"/>
      <c r="G3114" s="14"/>
      <c r="H3114" s="23"/>
      <c r="I3114" s="27"/>
      <c r="J3114" s="23"/>
      <c r="K3114" s="30"/>
      <c r="L3114" s="23"/>
      <c r="M3114" s="20"/>
      <c r="N3114" s="20"/>
      <c r="O3114" s="20"/>
      <c r="P3114" s="20"/>
    </row>
    <row r="3115">
      <c r="A3115" s="10"/>
      <c r="B3115" s="11"/>
      <c r="C3115" s="10"/>
      <c r="D3115" s="13"/>
      <c r="E3115" s="14"/>
      <c r="F3115" s="14"/>
      <c r="G3115" s="14"/>
      <c r="H3115" s="10"/>
      <c r="I3115" s="17"/>
      <c r="J3115" s="10"/>
      <c r="K3115" s="46"/>
      <c r="L3115" s="10"/>
      <c r="M3115" s="20"/>
      <c r="N3115" s="20"/>
      <c r="O3115" s="20"/>
      <c r="P3115" s="20"/>
    </row>
    <row r="3116">
      <c r="A3116" s="23"/>
      <c r="B3116" s="21"/>
      <c r="C3116" s="23"/>
      <c r="D3116" s="24"/>
      <c r="E3116" s="14"/>
      <c r="F3116" s="14"/>
      <c r="G3116" s="14"/>
      <c r="H3116" s="23"/>
      <c r="I3116" s="27"/>
      <c r="J3116" s="23"/>
      <c r="K3116" s="30"/>
      <c r="L3116" s="23"/>
      <c r="M3116" s="20"/>
      <c r="N3116" s="20"/>
      <c r="O3116" s="20"/>
      <c r="P3116" s="20"/>
    </row>
    <row r="3117">
      <c r="A3117" s="10"/>
      <c r="B3117" s="11"/>
      <c r="C3117" s="10"/>
      <c r="D3117" s="13"/>
      <c r="E3117" s="14"/>
      <c r="F3117" s="14"/>
      <c r="G3117" s="14"/>
      <c r="H3117" s="10"/>
      <c r="I3117" s="17"/>
      <c r="J3117" s="10"/>
      <c r="K3117" s="46"/>
      <c r="L3117" s="10"/>
      <c r="M3117" s="20"/>
      <c r="N3117" s="20"/>
      <c r="O3117" s="20"/>
      <c r="P3117" s="20"/>
    </row>
    <row r="3118">
      <c r="A3118" s="23"/>
      <c r="B3118" s="21"/>
      <c r="C3118" s="23"/>
      <c r="D3118" s="24"/>
      <c r="E3118" s="14"/>
      <c r="F3118" s="14"/>
      <c r="G3118" s="14"/>
      <c r="H3118" s="23"/>
      <c r="I3118" s="27"/>
      <c r="J3118" s="23"/>
      <c r="K3118" s="30"/>
      <c r="L3118" s="23"/>
      <c r="M3118" s="20"/>
      <c r="N3118" s="20"/>
      <c r="O3118" s="20"/>
      <c r="P3118" s="20"/>
    </row>
    <row r="3119">
      <c r="A3119" s="10"/>
      <c r="B3119" s="11"/>
      <c r="C3119" s="10"/>
      <c r="D3119" s="13"/>
      <c r="E3119" s="14"/>
      <c r="F3119" s="14"/>
      <c r="G3119" s="14"/>
      <c r="H3119" s="10"/>
      <c r="I3119" s="17"/>
      <c r="J3119" s="10"/>
      <c r="K3119" s="46"/>
      <c r="L3119" s="10"/>
      <c r="M3119" s="20"/>
      <c r="N3119" s="20"/>
      <c r="O3119" s="20"/>
      <c r="P3119" s="20"/>
    </row>
    <row r="3120">
      <c r="A3120" s="23"/>
      <c r="B3120" s="21"/>
      <c r="C3120" s="23"/>
      <c r="D3120" s="24"/>
      <c r="E3120" s="14"/>
      <c r="F3120" s="14"/>
      <c r="G3120" s="14"/>
      <c r="H3120" s="23"/>
      <c r="I3120" s="27"/>
      <c r="J3120" s="23"/>
      <c r="K3120" s="30"/>
      <c r="L3120" s="23"/>
      <c r="M3120" s="20"/>
      <c r="N3120" s="20"/>
      <c r="O3120" s="20"/>
      <c r="P3120" s="20"/>
    </row>
    <row r="3121">
      <c r="A3121" s="10"/>
      <c r="B3121" s="11"/>
      <c r="C3121" s="10"/>
      <c r="D3121" s="13"/>
      <c r="E3121" s="14"/>
      <c r="F3121" s="14"/>
      <c r="G3121" s="14"/>
      <c r="H3121" s="10"/>
      <c r="I3121" s="17"/>
      <c r="J3121" s="10"/>
      <c r="K3121" s="46"/>
      <c r="L3121" s="10"/>
      <c r="M3121" s="20"/>
      <c r="N3121" s="20"/>
      <c r="O3121" s="20"/>
      <c r="P3121" s="20"/>
    </row>
    <row r="3122">
      <c r="A3122" s="23"/>
      <c r="B3122" s="21"/>
      <c r="C3122" s="23"/>
      <c r="D3122" s="24"/>
      <c r="E3122" s="14"/>
      <c r="F3122" s="14"/>
      <c r="G3122" s="14"/>
      <c r="H3122" s="23"/>
      <c r="I3122" s="27"/>
      <c r="J3122" s="23"/>
      <c r="K3122" s="30"/>
      <c r="L3122" s="23"/>
      <c r="M3122" s="20"/>
      <c r="N3122" s="20"/>
      <c r="O3122" s="20"/>
      <c r="P3122" s="20"/>
    </row>
    <row r="3123">
      <c r="A3123" s="10"/>
      <c r="B3123" s="11"/>
      <c r="C3123" s="10"/>
      <c r="D3123" s="13"/>
      <c r="E3123" s="14"/>
      <c r="F3123" s="14"/>
      <c r="G3123" s="14"/>
      <c r="H3123" s="10"/>
      <c r="I3123" s="17"/>
      <c r="J3123" s="10"/>
      <c r="K3123" s="46"/>
      <c r="L3123" s="10"/>
      <c r="M3123" s="20"/>
      <c r="N3123" s="20"/>
      <c r="O3123" s="20"/>
      <c r="P3123" s="20"/>
    </row>
    <row r="3124">
      <c r="A3124" s="23"/>
      <c r="B3124" s="21"/>
      <c r="C3124" s="23"/>
      <c r="D3124" s="24"/>
      <c r="E3124" s="14"/>
      <c r="F3124" s="14"/>
      <c r="G3124" s="14"/>
      <c r="H3124" s="23"/>
      <c r="I3124" s="27"/>
      <c r="J3124" s="23"/>
      <c r="K3124" s="30"/>
      <c r="L3124" s="23"/>
      <c r="M3124" s="20"/>
      <c r="N3124" s="20"/>
      <c r="O3124" s="20"/>
      <c r="P3124" s="20"/>
    </row>
    <row r="3125">
      <c r="A3125" s="10"/>
      <c r="B3125" s="11"/>
      <c r="C3125" s="10"/>
      <c r="D3125" s="13"/>
      <c r="E3125" s="14"/>
      <c r="F3125" s="14"/>
      <c r="G3125" s="14"/>
      <c r="H3125" s="10"/>
      <c r="I3125" s="17"/>
      <c r="J3125" s="10"/>
      <c r="K3125" s="46"/>
      <c r="L3125" s="10"/>
      <c r="M3125" s="20"/>
      <c r="N3125" s="20"/>
      <c r="O3125" s="20"/>
      <c r="P3125" s="20"/>
    </row>
    <row r="3126">
      <c r="A3126" s="23"/>
      <c r="B3126" s="21"/>
      <c r="C3126" s="23"/>
      <c r="D3126" s="24"/>
      <c r="E3126" s="14"/>
      <c r="F3126" s="14"/>
      <c r="G3126" s="14"/>
      <c r="H3126" s="23"/>
      <c r="I3126" s="27"/>
      <c r="J3126" s="23"/>
      <c r="K3126" s="30"/>
      <c r="L3126" s="23"/>
      <c r="M3126" s="20"/>
      <c r="N3126" s="20"/>
      <c r="O3126" s="20"/>
      <c r="P3126" s="20"/>
    </row>
    <row r="3127">
      <c r="A3127" s="10"/>
      <c r="B3127" s="11"/>
      <c r="C3127" s="10"/>
      <c r="D3127" s="13"/>
      <c r="E3127" s="14"/>
      <c r="F3127" s="14"/>
      <c r="G3127" s="14"/>
      <c r="H3127" s="10"/>
      <c r="I3127" s="17"/>
      <c r="J3127" s="10"/>
      <c r="K3127" s="46"/>
      <c r="L3127" s="10"/>
      <c r="M3127" s="20"/>
      <c r="N3127" s="20"/>
      <c r="O3127" s="20"/>
      <c r="P3127" s="20"/>
    </row>
    <row r="3128">
      <c r="A3128" s="23"/>
      <c r="B3128" s="21"/>
      <c r="C3128" s="23"/>
      <c r="D3128" s="24"/>
      <c r="E3128" s="14"/>
      <c r="F3128" s="14"/>
      <c r="G3128" s="14"/>
      <c r="H3128" s="23"/>
      <c r="I3128" s="27"/>
      <c r="J3128" s="23"/>
      <c r="K3128" s="30"/>
      <c r="L3128" s="23"/>
      <c r="M3128" s="20"/>
      <c r="N3128" s="20"/>
      <c r="O3128" s="20"/>
      <c r="P3128" s="20"/>
    </row>
    <row r="3129">
      <c r="A3129" s="10"/>
      <c r="B3129" s="11"/>
      <c r="C3129" s="10"/>
      <c r="D3129" s="13"/>
      <c r="E3129" s="14"/>
      <c r="F3129" s="14"/>
      <c r="G3129" s="14"/>
      <c r="H3129" s="10"/>
      <c r="I3129" s="17"/>
      <c r="J3129" s="10"/>
      <c r="K3129" s="46"/>
      <c r="L3129" s="10"/>
      <c r="M3129" s="20"/>
      <c r="N3129" s="20"/>
      <c r="O3129" s="20"/>
      <c r="P3129" s="20"/>
    </row>
    <row r="3130">
      <c r="A3130" s="23"/>
      <c r="B3130" s="21"/>
      <c r="C3130" s="23"/>
      <c r="D3130" s="24"/>
      <c r="E3130" s="14"/>
      <c r="F3130" s="14"/>
      <c r="G3130" s="14"/>
      <c r="H3130" s="23"/>
      <c r="I3130" s="27"/>
      <c r="J3130" s="23"/>
      <c r="K3130" s="30"/>
      <c r="L3130" s="23"/>
      <c r="M3130" s="20"/>
      <c r="N3130" s="20"/>
      <c r="O3130" s="20"/>
      <c r="P3130" s="20"/>
    </row>
    <row r="3131">
      <c r="A3131" s="10"/>
      <c r="B3131" s="11"/>
      <c r="C3131" s="10"/>
      <c r="D3131" s="13"/>
      <c r="E3131" s="14"/>
      <c r="F3131" s="14"/>
      <c r="G3131" s="14"/>
      <c r="H3131" s="10"/>
      <c r="I3131" s="17"/>
      <c r="J3131" s="10"/>
      <c r="K3131" s="46"/>
      <c r="L3131" s="10"/>
      <c r="M3131" s="20"/>
      <c r="N3131" s="20"/>
      <c r="O3131" s="20"/>
      <c r="P3131" s="20"/>
    </row>
    <row r="3132">
      <c r="A3132" s="23"/>
      <c r="B3132" s="21"/>
      <c r="C3132" s="23"/>
      <c r="D3132" s="24"/>
      <c r="E3132" s="14"/>
      <c r="F3132" s="14"/>
      <c r="G3132" s="14"/>
      <c r="H3132" s="23"/>
      <c r="I3132" s="27"/>
      <c r="J3132" s="23"/>
      <c r="K3132" s="30"/>
      <c r="L3132" s="23"/>
      <c r="M3132" s="20"/>
      <c r="N3132" s="20"/>
      <c r="O3132" s="20"/>
      <c r="P3132" s="20"/>
    </row>
    <row r="3133">
      <c r="A3133" s="10"/>
      <c r="B3133" s="11"/>
      <c r="C3133" s="10"/>
      <c r="D3133" s="13"/>
      <c r="E3133" s="14"/>
      <c r="F3133" s="14"/>
      <c r="G3133" s="14"/>
      <c r="H3133" s="10"/>
      <c r="I3133" s="17"/>
      <c r="J3133" s="10"/>
      <c r="K3133" s="46"/>
      <c r="L3133" s="10"/>
      <c r="M3133" s="20"/>
      <c r="N3133" s="20"/>
      <c r="O3133" s="20"/>
      <c r="P3133" s="20"/>
    </row>
    <row r="3134">
      <c r="A3134" s="23"/>
      <c r="B3134" s="21"/>
      <c r="C3134" s="23"/>
      <c r="D3134" s="24"/>
      <c r="E3134" s="14"/>
      <c r="F3134" s="14"/>
      <c r="G3134" s="14"/>
      <c r="H3134" s="23"/>
      <c r="I3134" s="27"/>
      <c r="J3134" s="23"/>
      <c r="K3134" s="30"/>
      <c r="L3134" s="23"/>
      <c r="M3134" s="20"/>
      <c r="N3134" s="20"/>
      <c r="O3134" s="20"/>
      <c r="P3134" s="20"/>
    </row>
    <row r="3135">
      <c r="A3135" s="10"/>
      <c r="B3135" s="11"/>
      <c r="C3135" s="10"/>
      <c r="D3135" s="13"/>
      <c r="E3135" s="14"/>
      <c r="F3135" s="14"/>
      <c r="G3135" s="14"/>
      <c r="H3135" s="10"/>
      <c r="I3135" s="17"/>
      <c r="J3135" s="10"/>
      <c r="K3135" s="46"/>
      <c r="L3135" s="10"/>
      <c r="M3135" s="20"/>
      <c r="N3135" s="20"/>
      <c r="O3135" s="20"/>
      <c r="P3135" s="20"/>
    </row>
    <row r="3136">
      <c r="A3136" s="23"/>
      <c r="B3136" s="21"/>
      <c r="C3136" s="23"/>
      <c r="D3136" s="24"/>
      <c r="E3136" s="14"/>
      <c r="F3136" s="14"/>
      <c r="G3136" s="14"/>
      <c r="H3136" s="23"/>
      <c r="I3136" s="27"/>
      <c r="J3136" s="23"/>
      <c r="K3136" s="30"/>
      <c r="L3136" s="23"/>
      <c r="M3136" s="20"/>
      <c r="N3136" s="20"/>
      <c r="O3136" s="20"/>
      <c r="P3136" s="20"/>
    </row>
    <row r="3137">
      <c r="A3137" s="10"/>
      <c r="B3137" s="11"/>
      <c r="C3137" s="10"/>
      <c r="D3137" s="13"/>
      <c r="E3137" s="14"/>
      <c r="F3137" s="14"/>
      <c r="G3137" s="14"/>
      <c r="H3137" s="10"/>
      <c r="I3137" s="17"/>
      <c r="J3137" s="10"/>
      <c r="K3137" s="46"/>
      <c r="L3137" s="10"/>
      <c r="M3137" s="20"/>
      <c r="N3137" s="20"/>
      <c r="O3137" s="20"/>
      <c r="P3137" s="20"/>
    </row>
    <row r="3138">
      <c r="A3138" s="23"/>
      <c r="B3138" s="21"/>
      <c r="C3138" s="23"/>
      <c r="D3138" s="24"/>
      <c r="E3138" s="14"/>
      <c r="F3138" s="14"/>
      <c r="G3138" s="14"/>
      <c r="H3138" s="23"/>
      <c r="I3138" s="27"/>
      <c r="J3138" s="23"/>
      <c r="K3138" s="30"/>
      <c r="L3138" s="23"/>
      <c r="M3138" s="20"/>
      <c r="N3138" s="20"/>
      <c r="O3138" s="20"/>
      <c r="P3138" s="20"/>
    </row>
    <row r="3139">
      <c r="A3139" s="10"/>
      <c r="B3139" s="11"/>
      <c r="C3139" s="10"/>
      <c r="D3139" s="13"/>
      <c r="E3139" s="14"/>
      <c r="F3139" s="14"/>
      <c r="G3139" s="14"/>
      <c r="H3139" s="10"/>
      <c r="I3139" s="17"/>
      <c r="J3139" s="10"/>
      <c r="K3139" s="46"/>
      <c r="L3139" s="10"/>
      <c r="M3139" s="20"/>
      <c r="N3139" s="20"/>
      <c r="O3139" s="20"/>
      <c r="P3139" s="20"/>
    </row>
    <row r="3140">
      <c r="A3140" s="23"/>
      <c r="B3140" s="21"/>
      <c r="C3140" s="23"/>
      <c r="D3140" s="24"/>
      <c r="E3140" s="14"/>
      <c r="F3140" s="14"/>
      <c r="G3140" s="14"/>
      <c r="H3140" s="23"/>
      <c r="I3140" s="27"/>
      <c r="J3140" s="23"/>
      <c r="K3140" s="30"/>
      <c r="L3140" s="23"/>
      <c r="M3140" s="20"/>
      <c r="N3140" s="20"/>
      <c r="O3140" s="20"/>
      <c r="P3140" s="20"/>
    </row>
    <row r="3141">
      <c r="A3141" s="10"/>
      <c r="B3141" s="11"/>
      <c r="C3141" s="10"/>
      <c r="D3141" s="13"/>
      <c r="E3141" s="14"/>
      <c r="F3141" s="14"/>
      <c r="G3141" s="14"/>
      <c r="H3141" s="10"/>
      <c r="I3141" s="17"/>
      <c r="J3141" s="10"/>
      <c r="K3141" s="46"/>
      <c r="L3141" s="10"/>
      <c r="M3141" s="20"/>
      <c r="N3141" s="20"/>
      <c r="O3141" s="20"/>
      <c r="P3141" s="20"/>
    </row>
    <row r="3142">
      <c r="A3142" s="23"/>
      <c r="B3142" s="21"/>
      <c r="C3142" s="23"/>
      <c r="D3142" s="24"/>
      <c r="E3142" s="14"/>
      <c r="F3142" s="14"/>
      <c r="G3142" s="14"/>
      <c r="H3142" s="23"/>
      <c r="I3142" s="27"/>
      <c r="J3142" s="23"/>
      <c r="K3142" s="30"/>
      <c r="L3142" s="23"/>
      <c r="M3142" s="20"/>
      <c r="N3142" s="20"/>
      <c r="O3142" s="20"/>
      <c r="P3142" s="20"/>
    </row>
    <row r="3143">
      <c r="A3143" s="10"/>
      <c r="B3143" s="11"/>
      <c r="C3143" s="10"/>
      <c r="D3143" s="13"/>
      <c r="E3143" s="14"/>
      <c r="F3143" s="14"/>
      <c r="G3143" s="14"/>
      <c r="H3143" s="10"/>
      <c r="I3143" s="17"/>
      <c r="J3143" s="10"/>
      <c r="K3143" s="46"/>
      <c r="L3143" s="10"/>
      <c r="M3143" s="20"/>
      <c r="N3143" s="20"/>
      <c r="O3143" s="20"/>
      <c r="P3143" s="20"/>
    </row>
    <row r="3144">
      <c r="A3144" s="23"/>
      <c r="B3144" s="21"/>
      <c r="C3144" s="23"/>
      <c r="D3144" s="24"/>
      <c r="E3144" s="14"/>
      <c r="F3144" s="14"/>
      <c r="G3144" s="14"/>
      <c r="H3144" s="23"/>
      <c r="I3144" s="27"/>
      <c r="J3144" s="23"/>
      <c r="K3144" s="30"/>
      <c r="L3144" s="23"/>
      <c r="M3144" s="20"/>
      <c r="N3144" s="20"/>
      <c r="O3144" s="20"/>
      <c r="P3144" s="20"/>
    </row>
    <row r="3145">
      <c r="A3145" s="10"/>
      <c r="B3145" s="11"/>
      <c r="C3145" s="10"/>
      <c r="D3145" s="13"/>
      <c r="E3145" s="14"/>
      <c r="F3145" s="14"/>
      <c r="G3145" s="14"/>
      <c r="H3145" s="10"/>
      <c r="I3145" s="17"/>
      <c r="J3145" s="10"/>
      <c r="K3145" s="46"/>
      <c r="L3145" s="10"/>
      <c r="M3145" s="20"/>
      <c r="N3145" s="20"/>
      <c r="O3145" s="20"/>
      <c r="P3145" s="20"/>
    </row>
    <row r="3146">
      <c r="A3146" s="23"/>
      <c r="B3146" s="21"/>
      <c r="C3146" s="23"/>
      <c r="D3146" s="24"/>
      <c r="E3146" s="14"/>
      <c r="F3146" s="14"/>
      <c r="G3146" s="14"/>
      <c r="H3146" s="23"/>
      <c r="I3146" s="27"/>
      <c r="J3146" s="23"/>
      <c r="K3146" s="30"/>
      <c r="L3146" s="23"/>
      <c r="M3146" s="20"/>
      <c r="N3146" s="20"/>
      <c r="O3146" s="20"/>
      <c r="P3146" s="20"/>
    </row>
    <row r="3147">
      <c r="A3147" s="10"/>
      <c r="B3147" s="11"/>
      <c r="C3147" s="10"/>
      <c r="D3147" s="13"/>
      <c r="E3147" s="14"/>
      <c r="F3147" s="14"/>
      <c r="G3147" s="14"/>
      <c r="H3147" s="10"/>
      <c r="I3147" s="17"/>
      <c r="J3147" s="10"/>
      <c r="K3147" s="46"/>
      <c r="L3147" s="10"/>
      <c r="M3147" s="20"/>
      <c r="N3147" s="20"/>
      <c r="O3147" s="20"/>
      <c r="P3147" s="20"/>
    </row>
    <row r="3148">
      <c r="A3148" s="23"/>
      <c r="B3148" s="21"/>
      <c r="C3148" s="23"/>
      <c r="D3148" s="24"/>
      <c r="E3148" s="14"/>
      <c r="F3148" s="14"/>
      <c r="G3148" s="14"/>
      <c r="H3148" s="23"/>
      <c r="I3148" s="27"/>
      <c r="J3148" s="23"/>
      <c r="K3148" s="30"/>
      <c r="L3148" s="23"/>
      <c r="M3148" s="20"/>
      <c r="N3148" s="20"/>
      <c r="O3148" s="20"/>
      <c r="P3148" s="20"/>
    </row>
    <row r="3149">
      <c r="A3149" s="10"/>
      <c r="B3149" s="11"/>
      <c r="C3149" s="10"/>
      <c r="D3149" s="13"/>
      <c r="E3149" s="14"/>
      <c r="F3149" s="14"/>
      <c r="G3149" s="14"/>
      <c r="H3149" s="10"/>
      <c r="I3149" s="17"/>
      <c r="J3149" s="10"/>
      <c r="K3149" s="46"/>
      <c r="L3149" s="10"/>
      <c r="M3149" s="20"/>
      <c r="N3149" s="20"/>
      <c r="O3149" s="20"/>
      <c r="P3149" s="20"/>
    </row>
    <row r="3150">
      <c r="A3150" s="23"/>
      <c r="B3150" s="21"/>
      <c r="C3150" s="23"/>
      <c r="D3150" s="24"/>
      <c r="E3150" s="14"/>
      <c r="F3150" s="14"/>
      <c r="G3150" s="14"/>
      <c r="H3150" s="23"/>
      <c r="I3150" s="27"/>
      <c r="J3150" s="23"/>
      <c r="K3150" s="30"/>
      <c r="L3150" s="23"/>
      <c r="M3150" s="20"/>
      <c r="N3150" s="20"/>
      <c r="O3150" s="20"/>
      <c r="P3150" s="20"/>
    </row>
    <row r="3151">
      <c r="A3151" s="10"/>
      <c r="B3151" s="11"/>
      <c r="C3151" s="10"/>
      <c r="D3151" s="13"/>
      <c r="E3151" s="14"/>
      <c r="F3151" s="14"/>
      <c r="G3151" s="14"/>
      <c r="H3151" s="10"/>
      <c r="I3151" s="17"/>
      <c r="J3151" s="10"/>
      <c r="K3151" s="46"/>
      <c r="L3151" s="10"/>
      <c r="M3151" s="20"/>
      <c r="N3151" s="20"/>
      <c r="O3151" s="20"/>
      <c r="P3151" s="20"/>
    </row>
    <row r="3152">
      <c r="A3152" s="23"/>
      <c r="B3152" s="21"/>
      <c r="C3152" s="23"/>
      <c r="D3152" s="24"/>
      <c r="E3152" s="14"/>
      <c r="F3152" s="14"/>
      <c r="G3152" s="14"/>
      <c r="H3152" s="23"/>
      <c r="I3152" s="27"/>
      <c r="J3152" s="23"/>
      <c r="K3152" s="30"/>
      <c r="L3152" s="23"/>
      <c r="M3152" s="20"/>
      <c r="N3152" s="20"/>
      <c r="O3152" s="20"/>
      <c r="P3152" s="20"/>
    </row>
    <row r="3153">
      <c r="A3153" s="10"/>
      <c r="B3153" s="11"/>
      <c r="C3153" s="10"/>
      <c r="D3153" s="13"/>
      <c r="E3153" s="14"/>
      <c r="F3153" s="14"/>
      <c r="G3153" s="14"/>
      <c r="H3153" s="10"/>
      <c r="I3153" s="17"/>
      <c r="J3153" s="10"/>
      <c r="K3153" s="46"/>
      <c r="L3153" s="10"/>
      <c r="M3153" s="20"/>
      <c r="N3153" s="20"/>
      <c r="O3153" s="20"/>
      <c r="P3153" s="20"/>
    </row>
    <row r="3154">
      <c r="A3154" s="23"/>
      <c r="B3154" s="21"/>
      <c r="C3154" s="23"/>
      <c r="D3154" s="24"/>
      <c r="E3154" s="14"/>
      <c r="F3154" s="14"/>
      <c r="G3154" s="14"/>
      <c r="H3154" s="23"/>
      <c r="I3154" s="27"/>
      <c r="J3154" s="23"/>
      <c r="K3154" s="30"/>
      <c r="L3154" s="23"/>
      <c r="M3154" s="20"/>
      <c r="N3154" s="20"/>
      <c r="O3154" s="20"/>
      <c r="P3154" s="20"/>
    </row>
    <row r="3155">
      <c r="A3155" s="10"/>
      <c r="B3155" s="11"/>
      <c r="C3155" s="10"/>
      <c r="D3155" s="13"/>
      <c r="E3155" s="14"/>
      <c r="F3155" s="14"/>
      <c r="G3155" s="14"/>
      <c r="H3155" s="10"/>
      <c r="I3155" s="17"/>
      <c r="J3155" s="10"/>
      <c r="K3155" s="46"/>
      <c r="L3155" s="10"/>
      <c r="M3155" s="20"/>
      <c r="N3155" s="20"/>
      <c r="O3155" s="20"/>
      <c r="P3155" s="20"/>
    </row>
    <row r="3156">
      <c r="A3156" s="23"/>
      <c r="B3156" s="21"/>
      <c r="C3156" s="23"/>
      <c r="D3156" s="24"/>
      <c r="E3156" s="14"/>
      <c r="F3156" s="14"/>
      <c r="G3156" s="14"/>
      <c r="H3156" s="23"/>
      <c r="I3156" s="27"/>
      <c r="J3156" s="23"/>
      <c r="K3156" s="30"/>
      <c r="L3156" s="23"/>
      <c r="M3156" s="20"/>
      <c r="N3156" s="20"/>
      <c r="O3156" s="20"/>
      <c r="P3156" s="20"/>
    </row>
    <row r="3157">
      <c r="A3157" s="10"/>
      <c r="B3157" s="11"/>
      <c r="C3157" s="10"/>
      <c r="D3157" s="13"/>
      <c r="E3157" s="14"/>
      <c r="F3157" s="14"/>
      <c r="G3157" s="14"/>
      <c r="H3157" s="10"/>
      <c r="I3157" s="17"/>
      <c r="J3157" s="10"/>
      <c r="K3157" s="46"/>
      <c r="L3157" s="10"/>
      <c r="M3157" s="20"/>
      <c r="N3157" s="20"/>
      <c r="O3157" s="20"/>
      <c r="P3157" s="20"/>
    </row>
    <row r="3158">
      <c r="A3158" s="23"/>
      <c r="B3158" s="21"/>
      <c r="C3158" s="23"/>
      <c r="D3158" s="24"/>
      <c r="E3158" s="14"/>
      <c r="F3158" s="14"/>
      <c r="G3158" s="14"/>
      <c r="H3158" s="23"/>
      <c r="I3158" s="27"/>
      <c r="J3158" s="23"/>
      <c r="K3158" s="30"/>
      <c r="L3158" s="23"/>
      <c r="M3158" s="20"/>
      <c r="N3158" s="20"/>
      <c r="O3158" s="20"/>
      <c r="P3158" s="20"/>
    </row>
    <row r="3159">
      <c r="A3159" s="10"/>
      <c r="B3159" s="11"/>
      <c r="C3159" s="10"/>
      <c r="D3159" s="13"/>
      <c r="E3159" s="14"/>
      <c r="F3159" s="14"/>
      <c r="G3159" s="14"/>
      <c r="H3159" s="10"/>
      <c r="I3159" s="17"/>
      <c r="J3159" s="10"/>
      <c r="K3159" s="46"/>
      <c r="L3159" s="10"/>
      <c r="M3159" s="20"/>
      <c r="N3159" s="20"/>
      <c r="O3159" s="20"/>
      <c r="P3159" s="20"/>
    </row>
    <row r="3160">
      <c r="A3160" s="23"/>
      <c r="B3160" s="21"/>
      <c r="C3160" s="23"/>
      <c r="D3160" s="24"/>
      <c r="E3160" s="14"/>
      <c r="F3160" s="14"/>
      <c r="G3160" s="14"/>
      <c r="H3160" s="23"/>
      <c r="I3160" s="27"/>
      <c r="J3160" s="23"/>
      <c r="K3160" s="30"/>
      <c r="L3160" s="23"/>
      <c r="M3160" s="20"/>
      <c r="N3160" s="20"/>
      <c r="O3160" s="20"/>
      <c r="P3160" s="20"/>
    </row>
    <row r="3161">
      <c r="A3161" s="10"/>
      <c r="B3161" s="11"/>
      <c r="C3161" s="10"/>
      <c r="D3161" s="13"/>
      <c r="E3161" s="14"/>
      <c r="F3161" s="14"/>
      <c r="G3161" s="14"/>
      <c r="H3161" s="10"/>
      <c r="I3161" s="17"/>
      <c r="J3161" s="10"/>
      <c r="K3161" s="46"/>
      <c r="L3161" s="10"/>
      <c r="M3161" s="20"/>
      <c r="N3161" s="20"/>
      <c r="O3161" s="20"/>
      <c r="P3161" s="20"/>
    </row>
    <row r="3162">
      <c r="A3162" s="23"/>
      <c r="B3162" s="21"/>
      <c r="C3162" s="23"/>
      <c r="D3162" s="24"/>
      <c r="E3162" s="14"/>
      <c r="F3162" s="14"/>
      <c r="G3162" s="14"/>
      <c r="H3162" s="23"/>
      <c r="I3162" s="27"/>
      <c r="J3162" s="23"/>
      <c r="K3162" s="30"/>
      <c r="L3162" s="23"/>
      <c r="M3162" s="20"/>
      <c r="N3162" s="20"/>
      <c r="O3162" s="20"/>
      <c r="P3162" s="20"/>
    </row>
    <row r="3163">
      <c r="A3163" s="10"/>
      <c r="B3163" s="11"/>
      <c r="C3163" s="10"/>
      <c r="D3163" s="13"/>
      <c r="E3163" s="14"/>
      <c r="F3163" s="14"/>
      <c r="G3163" s="14"/>
      <c r="H3163" s="10"/>
      <c r="I3163" s="17"/>
      <c r="J3163" s="10"/>
      <c r="K3163" s="46"/>
      <c r="L3163" s="10"/>
      <c r="M3163" s="20"/>
      <c r="N3163" s="20"/>
      <c r="O3163" s="20"/>
      <c r="P3163" s="20"/>
    </row>
    <row r="3164">
      <c r="A3164" s="23"/>
      <c r="B3164" s="21"/>
      <c r="C3164" s="23"/>
      <c r="D3164" s="24"/>
      <c r="E3164" s="14"/>
      <c r="F3164" s="14"/>
      <c r="G3164" s="14"/>
      <c r="H3164" s="23"/>
      <c r="I3164" s="27"/>
      <c r="J3164" s="23"/>
      <c r="K3164" s="30"/>
      <c r="L3164" s="23"/>
      <c r="M3164" s="20"/>
      <c r="N3164" s="20"/>
      <c r="O3164" s="20"/>
      <c r="P3164" s="20"/>
    </row>
    <row r="3165">
      <c r="A3165" s="10"/>
      <c r="B3165" s="11"/>
      <c r="C3165" s="10"/>
      <c r="D3165" s="13"/>
      <c r="E3165" s="14"/>
      <c r="F3165" s="14"/>
      <c r="G3165" s="14"/>
      <c r="H3165" s="10"/>
      <c r="I3165" s="17"/>
      <c r="J3165" s="10"/>
      <c r="K3165" s="46"/>
      <c r="L3165" s="10"/>
      <c r="M3165" s="20"/>
      <c r="N3165" s="20"/>
      <c r="O3165" s="20"/>
      <c r="P3165" s="20"/>
    </row>
    <row r="3166">
      <c r="A3166" s="23"/>
      <c r="B3166" s="21"/>
      <c r="C3166" s="23"/>
      <c r="D3166" s="24"/>
      <c r="E3166" s="14"/>
      <c r="F3166" s="14"/>
      <c r="G3166" s="14"/>
      <c r="H3166" s="23"/>
      <c r="I3166" s="27"/>
      <c r="J3166" s="23"/>
      <c r="K3166" s="30"/>
      <c r="L3166" s="23"/>
      <c r="M3166" s="20"/>
      <c r="N3166" s="20"/>
      <c r="O3166" s="20"/>
      <c r="P3166" s="20"/>
    </row>
    <row r="3167">
      <c r="A3167" s="10"/>
      <c r="B3167" s="11"/>
      <c r="C3167" s="10"/>
      <c r="D3167" s="13"/>
      <c r="E3167" s="14"/>
      <c r="F3167" s="14"/>
      <c r="G3167" s="14"/>
      <c r="H3167" s="10"/>
      <c r="I3167" s="17"/>
      <c r="J3167" s="10"/>
      <c r="K3167" s="46"/>
      <c r="L3167" s="10"/>
      <c r="M3167" s="20"/>
      <c r="N3167" s="20"/>
      <c r="O3167" s="20"/>
      <c r="P3167" s="20"/>
    </row>
    <row r="3168">
      <c r="A3168" s="23"/>
      <c r="B3168" s="21"/>
      <c r="C3168" s="23"/>
      <c r="D3168" s="24"/>
      <c r="E3168" s="14"/>
      <c r="F3168" s="14"/>
      <c r="G3168" s="14"/>
      <c r="H3168" s="23"/>
      <c r="I3168" s="27"/>
      <c r="J3168" s="23"/>
      <c r="K3168" s="30"/>
      <c r="L3168" s="23"/>
      <c r="M3168" s="20"/>
      <c r="N3168" s="20"/>
      <c r="O3168" s="20"/>
      <c r="P3168" s="20"/>
    </row>
    <row r="3169">
      <c r="A3169" s="10"/>
      <c r="B3169" s="11"/>
      <c r="C3169" s="10"/>
      <c r="D3169" s="13"/>
      <c r="E3169" s="14"/>
      <c r="F3169" s="14"/>
      <c r="G3169" s="14"/>
      <c r="H3169" s="10"/>
      <c r="I3169" s="17"/>
      <c r="J3169" s="10"/>
      <c r="K3169" s="46"/>
      <c r="L3169" s="10"/>
      <c r="M3169" s="20"/>
      <c r="N3169" s="20"/>
      <c r="O3169" s="20"/>
      <c r="P3169" s="20"/>
    </row>
    <row r="3170">
      <c r="A3170" s="23"/>
      <c r="B3170" s="21"/>
      <c r="C3170" s="23"/>
      <c r="D3170" s="24"/>
      <c r="E3170" s="14"/>
      <c r="F3170" s="14"/>
      <c r="G3170" s="14"/>
      <c r="H3170" s="23"/>
      <c r="I3170" s="27"/>
      <c r="J3170" s="23"/>
      <c r="K3170" s="30"/>
      <c r="L3170" s="23"/>
      <c r="M3170" s="20"/>
      <c r="N3170" s="20"/>
      <c r="O3170" s="20"/>
      <c r="P3170" s="20"/>
    </row>
    <row r="3171">
      <c r="A3171" s="10"/>
      <c r="B3171" s="11"/>
      <c r="C3171" s="10"/>
      <c r="D3171" s="13"/>
      <c r="E3171" s="14"/>
      <c r="F3171" s="14"/>
      <c r="G3171" s="14"/>
      <c r="H3171" s="10"/>
      <c r="I3171" s="17"/>
      <c r="J3171" s="10"/>
      <c r="K3171" s="46"/>
      <c r="L3171" s="10"/>
      <c r="M3171" s="20"/>
      <c r="N3171" s="20"/>
      <c r="O3171" s="20"/>
      <c r="P3171" s="20"/>
    </row>
    <row r="3172">
      <c r="A3172" s="23"/>
      <c r="B3172" s="21"/>
      <c r="C3172" s="23"/>
      <c r="D3172" s="24"/>
      <c r="E3172" s="14"/>
      <c r="F3172" s="14"/>
      <c r="G3172" s="14"/>
      <c r="H3172" s="23"/>
      <c r="I3172" s="27"/>
      <c r="J3172" s="23"/>
      <c r="K3172" s="30"/>
      <c r="L3172" s="23"/>
      <c r="M3172" s="20"/>
      <c r="N3172" s="20"/>
      <c r="O3172" s="20"/>
      <c r="P3172" s="20"/>
    </row>
    <row r="3173">
      <c r="A3173" s="10"/>
      <c r="B3173" s="11"/>
      <c r="C3173" s="10"/>
      <c r="D3173" s="13"/>
      <c r="E3173" s="14"/>
      <c r="F3173" s="14"/>
      <c r="G3173" s="14"/>
      <c r="H3173" s="10"/>
      <c r="I3173" s="17"/>
      <c r="J3173" s="10"/>
      <c r="K3173" s="46"/>
      <c r="L3173" s="10"/>
      <c r="M3173" s="20"/>
      <c r="N3173" s="20"/>
      <c r="O3173" s="20"/>
      <c r="P3173" s="20"/>
    </row>
    <row r="3174">
      <c r="A3174" s="23"/>
      <c r="B3174" s="21"/>
      <c r="C3174" s="23"/>
      <c r="D3174" s="24"/>
      <c r="E3174" s="14"/>
      <c r="F3174" s="14"/>
      <c r="G3174" s="14"/>
      <c r="H3174" s="23"/>
      <c r="I3174" s="27"/>
      <c r="J3174" s="23"/>
      <c r="K3174" s="30"/>
      <c r="L3174" s="23"/>
      <c r="M3174" s="20"/>
      <c r="N3174" s="20"/>
      <c r="O3174" s="20"/>
      <c r="P3174" s="20"/>
    </row>
    <row r="3175">
      <c r="A3175" s="10"/>
      <c r="B3175" s="11"/>
      <c r="C3175" s="10"/>
      <c r="D3175" s="13"/>
      <c r="E3175" s="14"/>
      <c r="F3175" s="14"/>
      <c r="G3175" s="14"/>
      <c r="H3175" s="10"/>
      <c r="I3175" s="17"/>
      <c r="J3175" s="10"/>
      <c r="K3175" s="46"/>
      <c r="L3175" s="10"/>
      <c r="M3175" s="20"/>
      <c r="N3175" s="20"/>
      <c r="O3175" s="20"/>
      <c r="P3175" s="20"/>
    </row>
    <row r="3176">
      <c r="A3176" s="23"/>
      <c r="B3176" s="21"/>
      <c r="C3176" s="23"/>
      <c r="D3176" s="24"/>
      <c r="E3176" s="14"/>
      <c r="F3176" s="14"/>
      <c r="G3176" s="14"/>
      <c r="H3176" s="23"/>
      <c r="I3176" s="27"/>
      <c r="J3176" s="23"/>
      <c r="K3176" s="30"/>
      <c r="L3176" s="23"/>
      <c r="M3176" s="20"/>
      <c r="N3176" s="20"/>
      <c r="O3176" s="20"/>
      <c r="P3176" s="20"/>
    </row>
    <row r="3177">
      <c r="A3177" s="10"/>
      <c r="B3177" s="11"/>
      <c r="C3177" s="10"/>
      <c r="D3177" s="13"/>
      <c r="E3177" s="14"/>
      <c r="F3177" s="14"/>
      <c r="G3177" s="14"/>
      <c r="H3177" s="10"/>
      <c r="I3177" s="17"/>
      <c r="J3177" s="10"/>
      <c r="K3177" s="46"/>
      <c r="L3177" s="10"/>
      <c r="M3177" s="20"/>
      <c r="N3177" s="20"/>
      <c r="O3177" s="20"/>
      <c r="P3177" s="20"/>
    </row>
    <row r="3178">
      <c r="A3178" s="23"/>
      <c r="B3178" s="21"/>
      <c r="C3178" s="23"/>
      <c r="D3178" s="24"/>
      <c r="E3178" s="14"/>
      <c r="F3178" s="14"/>
      <c r="G3178" s="14"/>
      <c r="H3178" s="23"/>
      <c r="I3178" s="27"/>
      <c r="J3178" s="23"/>
      <c r="K3178" s="30"/>
      <c r="L3178" s="23"/>
      <c r="M3178" s="20"/>
      <c r="N3178" s="20"/>
      <c r="O3178" s="20"/>
      <c r="P3178" s="20"/>
    </row>
    <row r="3179">
      <c r="A3179" s="10"/>
      <c r="B3179" s="11"/>
      <c r="C3179" s="10"/>
      <c r="D3179" s="13"/>
      <c r="E3179" s="14"/>
      <c r="F3179" s="14"/>
      <c r="G3179" s="14"/>
      <c r="H3179" s="10"/>
      <c r="I3179" s="17"/>
      <c r="J3179" s="10"/>
      <c r="K3179" s="46"/>
      <c r="L3179" s="10"/>
      <c r="M3179" s="20"/>
      <c r="N3179" s="20"/>
      <c r="O3179" s="20"/>
      <c r="P3179" s="20"/>
    </row>
    <row r="3180">
      <c r="A3180" s="23"/>
      <c r="B3180" s="21"/>
      <c r="C3180" s="23"/>
      <c r="D3180" s="24"/>
      <c r="E3180" s="14"/>
      <c r="F3180" s="14"/>
      <c r="G3180" s="14"/>
      <c r="H3180" s="23"/>
      <c r="I3180" s="27"/>
      <c r="J3180" s="23"/>
      <c r="K3180" s="30"/>
      <c r="L3180" s="23"/>
      <c r="M3180" s="20"/>
      <c r="N3180" s="20"/>
      <c r="O3180" s="20"/>
      <c r="P3180" s="20"/>
    </row>
    <row r="3181">
      <c r="A3181" s="10"/>
      <c r="B3181" s="11"/>
      <c r="C3181" s="10"/>
      <c r="D3181" s="13"/>
      <c r="E3181" s="14"/>
      <c r="F3181" s="14"/>
      <c r="G3181" s="14"/>
      <c r="H3181" s="10"/>
      <c r="I3181" s="17"/>
      <c r="J3181" s="10"/>
      <c r="K3181" s="46"/>
      <c r="L3181" s="10"/>
      <c r="M3181" s="20"/>
      <c r="N3181" s="20"/>
      <c r="O3181" s="20"/>
      <c r="P3181" s="20"/>
    </row>
    <row r="3182">
      <c r="A3182" s="23"/>
      <c r="B3182" s="21"/>
      <c r="C3182" s="23"/>
      <c r="D3182" s="24"/>
      <c r="E3182" s="14"/>
      <c r="F3182" s="14"/>
      <c r="G3182" s="14"/>
      <c r="H3182" s="23"/>
      <c r="I3182" s="27"/>
      <c r="J3182" s="23"/>
      <c r="K3182" s="30"/>
      <c r="L3182" s="23"/>
      <c r="M3182" s="20"/>
      <c r="N3182" s="20"/>
      <c r="O3182" s="20"/>
      <c r="P3182" s="20"/>
    </row>
    <row r="3183">
      <c r="A3183" s="10"/>
      <c r="B3183" s="11"/>
      <c r="C3183" s="10"/>
      <c r="D3183" s="13"/>
      <c r="E3183" s="14"/>
      <c r="F3183" s="14"/>
      <c r="G3183" s="14"/>
      <c r="H3183" s="10"/>
      <c r="I3183" s="17"/>
      <c r="J3183" s="10"/>
      <c r="K3183" s="46"/>
      <c r="L3183" s="10"/>
      <c r="M3183" s="20"/>
      <c r="N3183" s="20"/>
      <c r="O3183" s="20"/>
      <c r="P3183" s="20"/>
    </row>
    <row r="3184">
      <c r="A3184" s="23"/>
      <c r="B3184" s="21"/>
      <c r="C3184" s="23"/>
      <c r="D3184" s="24"/>
      <c r="E3184" s="14"/>
      <c r="F3184" s="14"/>
      <c r="G3184" s="14"/>
      <c r="H3184" s="23"/>
      <c r="I3184" s="27"/>
      <c r="J3184" s="23"/>
      <c r="K3184" s="30"/>
      <c r="L3184" s="23"/>
      <c r="M3184" s="20"/>
      <c r="N3184" s="20"/>
      <c r="O3184" s="20"/>
      <c r="P3184" s="20"/>
    </row>
    <row r="3185">
      <c r="A3185" s="10"/>
      <c r="B3185" s="11"/>
      <c r="C3185" s="10"/>
      <c r="D3185" s="13"/>
      <c r="E3185" s="14"/>
      <c r="F3185" s="14"/>
      <c r="G3185" s="14"/>
      <c r="H3185" s="10"/>
      <c r="I3185" s="17"/>
      <c r="J3185" s="10"/>
      <c r="K3185" s="46"/>
      <c r="L3185" s="10"/>
      <c r="M3185" s="20"/>
      <c r="N3185" s="20"/>
      <c r="O3185" s="20"/>
      <c r="P3185" s="20"/>
    </row>
    <row r="3186">
      <c r="A3186" s="23"/>
      <c r="B3186" s="21"/>
      <c r="C3186" s="23"/>
      <c r="D3186" s="24"/>
      <c r="E3186" s="14"/>
      <c r="F3186" s="14"/>
      <c r="G3186" s="14"/>
      <c r="H3186" s="23"/>
      <c r="I3186" s="27"/>
      <c r="J3186" s="23"/>
      <c r="K3186" s="30"/>
      <c r="L3186" s="23"/>
      <c r="M3186" s="20"/>
      <c r="N3186" s="20"/>
      <c r="O3186" s="20"/>
      <c r="P3186" s="20"/>
    </row>
    <row r="3187">
      <c r="A3187" s="10"/>
      <c r="B3187" s="11"/>
      <c r="C3187" s="10"/>
      <c r="D3187" s="13"/>
      <c r="E3187" s="14"/>
      <c r="F3187" s="14"/>
      <c r="G3187" s="14"/>
      <c r="H3187" s="10"/>
      <c r="I3187" s="17"/>
      <c r="J3187" s="10"/>
      <c r="K3187" s="46"/>
      <c r="L3187" s="10"/>
      <c r="M3187" s="20"/>
      <c r="N3187" s="20"/>
      <c r="O3187" s="20"/>
      <c r="P3187" s="20"/>
    </row>
    <row r="3188">
      <c r="A3188" s="23"/>
      <c r="B3188" s="21"/>
      <c r="C3188" s="23"/>
      <c r="D3188" s="24"/>
      <c r="E3188" s="14"/>
      <c r="F3188" s="14"/>
      <c r="G3188" s="14"/>
      <c r="H3188" s="23"/>
      <c r="I3188" s="27"/>
      <c r="J3188" s="23"/>
      <c r="K3188" s="30"/>
      <c r="L3188" s="23"/>
      <c r="M3188" s="20"/>
      <c r="N3188" s="20"/>
      <c r="O3188" s="20"/>
      <c r="P3188" s="20"/>
    </row>
    <row r="3189">
      <c r="A3189" s="10"/>
      <c r="B3189" s="11"/>
      <c r="C3189" s="10"/>
      <c r="D3189" s="13"/>
      <c r="E3189" s="14"/>
      <c r="F3189" s="14"/>
      <c r="G3189" s="14"/>
      <c r="H3189" s="10"/>
      <c r="I3189" s="17"/>
      <c r="J3189" s="10"/>
      <c r="K3189" s="46"/>
      <c r="L3189" s="10"/>
      <c r="M3189" s="20"/>
      <c r="N3189" s="20"/>
      <c r="O3189" s="20"/>
      <c r="P3189" s="20"/>
    </row>
    <row r="3190">
      <c r="A3190" s="23"/>
      <c r="B3190" s="21"/>
      <c r="C3190" s="23"/>
      <c r="D3190" s="24"/>
      <c r="E3190" s="14"/>
      <c r="F3190" s="14"/>
      <c r="G3190" s="14"/>
      <c r="H3190" s="23"/>
      <c r="I3190" s="27"/>
      <c r="J3190" s="23"/>
      <c r="K3190" s="30"/>
      <c r="L3190" s="23"/>
      <c r="M3190" s="20"/>
      <c r="N3190" s="20"/>
      <c r="O3190" s="20"/>
      <c r="P3190" s="20"/>
    </row>
    <row r="3191">
      <c r="A3191" s="10"/>
      <c r="B3191" s="11"/>
      <c r="C3191" s="10"/>
      <c r="D3191" s="13"/>
      <c r="E3191" s="14"/>
      <c r="F3191" s="14"/>
      <c r="G3191" s="14"/>
      <c r="H3191" s="10"/>
      <c r="I3191" s="17"/>
      <c r="J3191" s="10"/>
      <c r="K3191" s="46"/>
      <c r="L3191" s="10"/>
      <c r="M3191" s="20"/>
      <c r="N3191" s="20"/>
      <c r="O3191" s="20"/>
      <c r="P3191" s="20"/>
    </row>
    <row r="3192">
      <c r="A3192" s="23"/>
      <c r="B3192" s="21"/>
      <c r="C3192" s="23"/>
      <c r="D3192" s="24"/>
      <c r="E3192" s="14"/>
      <c r="F3192" s="14"/>
      <c r="G3192" s="14"/>
      <c r="H3192" s="23"/>
      <c r="I3192" s="27"/>
      <c r="J3192" s="23"/>
      <c r="K3192" s="30"/>
      <c r="L3192" s="23"/>
      <c r="M3192" s="20"/>
      <c r="N3192" s="20"/>
      <c r="O3192" s="20"/>
      <c r="P3192" s="20"/>
    </row>
    <row r="3193">
      <c r="A3193" s="10"/>
      <c r="B3193" s="11"/>
      <c r="C3193" s="10"/>
      <c r="D3193" s="13"/>
      <c r="E3193" s="14"/>
      <c r="F3193" s="14"/>
      <c r="G3193" s="14"/>
      <c r="H3193" s="10"/>
      <c r="I3193" s="17"/>
      <c r="J3193" s="10"/>
      <c r="K3193" s="46"/>
      <c r="L3193" s="10"/>
      <c r="M3193" s="20"/>
      <c r="N3193" s="20"/>
      <c r="O3193" s="20"/>
      <c r="P3193" s="20"/>
    </row>
    <row r="3194">
      <c r="A3194" s="23"/>
      <c r="B3194" s="21"/>
      <c r="C3194" s="23"/>
      <c r="D3194" s="24"/>
      <c r="E3194" s="14"/>
      <c r="F3194" s="14"/>
      <c r="G3194" s="14"/>
      <c r="H3194" s="23"/>
      <c r="I3194" s="27"/>
      <c r="J3194" s="23"/>
      <c r="K3194" s="30"/>
      <c r="L3194" s="23"/>
      <c r="M3194" s="20"/>
      <c r="N3194" s="20"/>
      <c r="O3194" s="20"/>
      <c r="P3194" s="20"/>
    </row>
    <row r="3195">
      <c r="A3195" s="10"/>
      <c r="B3195" s="11"/>
      <c r="C3195" s="10"/>
      <c r="D3195" s="13"/>
      <c r="E3195" s="14"/>
      <c r="F3195" s="14"/>
      <c r="G3195" s="14"/>
      <c r="H3195" s="10"/>
      <c r="I3195" s="17"/>
      <c r="J3195" s="10"/>
      <c r="K3195" s="46"/>
      <c r="L3195" s="10"/>
      <c r="M3195" s="20"/>
      <c r="N3195" s="20"/>
      <c r="O3195" s="20"/>
      <c r="P3195" s="20"/>
    </row>
    <row r="3196">
      <c r="A3196" s="23"/>
      <c r="B3196" s="21"/>
      <c r="C3196" s="23"/>
      <c r="D3196" s="24"/>
      <c r="E3196" s="14"/>
      <c r="F3196" s="14"/>
      <c r="G3196" s="14"/>
      <c r="H3196" s="23"/>
      <c r="I3196" s="27"/>
      <c r="J3196" s="23"/>
      <c r="K3196" s="30"/>
      <c r="L3196" s="23"/>
      <c r="M3196" s="20"/>
      <c r="N3196" s="20"/>
      <c r="O3196" s="20"/>
      <c r="P3196" s="20"/>
    </row>
    <row r="3197">
      <c r="A3197" s="10"/>
      <c r="B3197" s="11"/>
      <c r="C3197" s="10"/>
      <c r="D3197" s="13"/>
      <c r="E3197" s="14"/>
      <c r="F3197" s="14"/>
      <c r="G3197" s="14"/>
      <c r="H3197" s="10"/>
      <c r="I3197" s="17"/>
      <c r="J3197" s="10"/>
      <c r="K3197" s="46"/>
      <c r="L3197" s="10"/>
      <c r="M3197" s="20"/>
      <c r="N3197" s="20"/>
      <c r="O3197" s="20"/>
      <c r="P3197" s="20"/>
    </row>
    <row r="3198">
      <c r="A3198" s="23"/>
      <c r="B3198" s="21"/>
      <c r="C3198" s="23"/>
      <c r="D3198" s="24"/>
      <c r="E3198" s="14"/>
      <c r="F3198" s="14"/>
      <c r="G3198" s="14"/>
      <c r="H3198" s="23"/>
      <c r="I3198" s="27"/>
      <c r="J3198" s="23"/>
      <c r="K3198" s="30"/>
      <c r="L3198" s="23"/>
      <c r="M3198" s="20"/>
      <c r="N3198" s="20"/>
      <c r="O3198" s="20"/>
      <c r="P3198" s="20"/>
    </row>
    <row r="3199">
      <c r="A3199" s="10"/>
      <c r="B3199" s="11"/>
      <c r="C3199" s="10"/>
      <c r="D3199" s="13"/>
      <c r="E3199" s="14"/>
      <c r="F3199" s="14"/>
      <c r="G3199" s="14"/>
      <c r="H3199" s="10"/>
      <c r="I3199" s="17"/>
      <c r="J3199" s="10"/>
      <c r="K3199" s="46"/>
      <c r="L3199" s="10"/>
      <c r="M3199" s="20"/>
      <c r="N3199" s="20"/>
      <c r="O3199" s="20"/>
      <c r="P3199" s="20"/>
    </row>
    <row r="3200">
      <c r="A3200" s="23"/>
      <c r="B3200" s="21"/>
      <c r="C3200" s="23"/>
      <c r="D3200" s="24"/>
      <c r="E3200" s="14"/>
      <c r="F3200" s="14"/>
      <c r="G3200" s="14"/>
      <c r="H3200" s="23"/>
      <c r="I3200" s="27"/>
      <c r="J3200" s="23"/>
      <c r="K3200" s="30"/>
      <c r="L3200" s="23"/>
      <c r="M3200" s="20"/>
      <c r="N3200" s="20"/>
      <c r="O3200" s="20"/>
      <c r="P3200" s="20"/>
    </row>
    <row r="3201">
      <c r="A3201" s="10"/>
      <c r="B3201" s="11"/>
      <c r="C3201" s="10"/>
      <c r="D3201" s="13"/>
      <c r="E3201" s="14"/>
      <c r="F3201" s="14"/>
      <c r="G3201" s="14"/>
      <c r="H3201" s="10"/>
      <c r="I3201" s="17"/>
      <c r="J3201" s="10"/>
      <c r="K3201" s="46"/>
      <c r="L3201" s="10"/>
      <c r="M3201" s="20"/>
      <c r="N3201" s="20"/>
      <c r="O3201" s="20"/>
      <c r="P3201" s="20"/>
    </row>
    <row r="3202">
      <c r="A3202" s="23"/>
      <c r="B3202" s="21"/>
      <c r="C3202" s="23"/>
      <c r="D3202" s="24"/>
      <c r="E3202" s="14"/>
      <c r="F3202" s="14"/>
      <c r="G3202" s="14"/>
      <c r="H3202" s="23"/>
      <c r="I3202" s="27"/>
      <c r="J3202" s="23"/>
      <c r="K3202" s="30"/>
      <c r="L3202" s="23"/>
      <c r="M3202" s="20"/>
      <c r="N3202" s="20"/>
      <c r="O3202" s="20"/>
      <c r="P3202" s="20"/>
    </row>
    <row r="3203">
      <c r="A3203" s="10"/>
      <c r="B3203" s="11"/>
      <c r="C3203" s="10"/>
      <c r="D3203" s="13"/>
      <c r="E3203" s="14"/>
      <c r="F3203" s="14"/>
      <c r="G3203" s="14"/>
      <c r="H3203" s="10"/>
      <c r="I3203" s="17"/>
      <c r="J3203" s="10"/>
      <c r="K3203" s="46"/>
      <c r="L3203" s="10"/>
      <c r="M3203" s="20"/>
      <c r="N3203" s="20"/>
      <c r="O3203" s="20"/>
      <c r="P3203" s="20"/>
    </row>
    <row r="3204">
      <c r="A3204" s="23"/>
      <c r="B3204" s="21"/>
      <c r="C3204" s="23"/>
      <c r="D3204" s="24"/>
      <c r="E3204" s="14"/>
      <c r="F3204" s="14"/>
      <c r="G3204" s="14"/>
      <c r="H3204" s="23"/>
      <c r="I3204" s="27"/>
      <c r="J3204" s="23"/>
      <c r="K3204" s="30"/>
      <c r="L3204" s="23"/>
      <c r="M3204" s="20"/>
      <c r="N3204" s="20"/>
      <c r="O3204" s="20"/>
      <c r="P3204" s="20"/>
    </row>
    <row r="3205">
      <c r="A3205" s="10"/>
      <c r="B3205" s="11"/>
      <c r="C3205" s="10"/>
      <c r="D3205" s="13"/>
      <c r="E3205" s="14"/>
      <c r="F3205" s="14"/>
      <c r="G3205" s="14"/>
      <c r="H3205" s="10"/>
      <c r="I3205" s="17"/>
      <c r="J3205" s="10"/>
      <c r="K3205" s="46"/>
      <c r="L3205" s="10"/>
      <c r="M3205" s="20"/>
      <c r="N3205" s="20"/>
      <c r="O3205" s="20"/>
      <c r="P3205" s="20"/>
    </row>
    <row r="3206">
      <c r="A3206" s="23"/>
      <c r="B3206" s="21"/>
      <c r="C3206" s="23"/>
      <c r="D3206" s="24"/>
      <c r="E3206" s="14"/>
      <c r="F3206" s="14"/>
      <c r="G3206" s="14"/>
      <c r="H3206" s="23"/>
      <c r="I3206" s="27"/>
      <c r="J3206" s="23"/>
      <c r="K3206" s="30"/>
      <c r="L3206" s="23"/>
      <c r="M3206" s="20"/>
      <c r="N3206" s="20"/>
      <c r="O3206" s="20"/>
      <c r="P3206" s="20"/>
    </row>
    <row r="3207">
      <c r="A3207" s="10"/>
      <c r="B3207" s="11"/>
      <c r="C3207" s="10"/>
      <c r="D3207" s="13"/>
      <c r="E3207" s="14"/>
      <c r="F3207" s="14"/>
      <c r="G3207" s="14"/>
      <c r="H3207" s="10"/>
      <c r="I3207" s="17"/>
      <c r="J3207" s="10"/>
      <c r="K3207" s="46"/>
      <c r="L3207" s="10"/>
      <c r="M3207" s="20"/>
      <c r="N3207" s="20"/>
      <c r="O3207" s="20"/>
      <c r="P3207" s="20"/>
    </row>
    <row r="3208">
      <c r="A3208" s="23"/>
      <c r="B3208" s="21"/>
      <c r="C3208" s="23"/>
      <c r="D3208" s="24"/>
      <c r="E3208" s="14"/>
      <c r="F3208" s="14"/>
      <c r="G3208" s="14"/>
      <c r="H3208" s="23"/>
      <c r="I3208" s="27"/>
      <c r="J3208" s="23"/>
      <c r="K3208" s="30"/>
      <c r="L3208" s="23"/>
      <c r="M3208" s="20"/>
      <c r="N3208" s="20"/>
      <c r="O3208" s="20"/>
      <c r="P3208" s="20"/>
    </row>
    <row r="3209">
      <c r="A3209" s="10"/>
      <c r="B3209" s="11"/>
      <c r="C3209" s="10"/>
      <c r="D3209" s="13"/>
      <c r="E3209" s="14"/>
      <c r="F3209" s="14"/>
      <c r="G3209" s="14"/>
      <c r="H3209" s="10"/>
      <c r="I3209" s="17"/>
      <c r="J3209" s="10"/>
      <c r="K3209" s="46"/>
      <c r="L3209" s="10"/>
      <c r="M3209" s="20"/>
      <c r="N3209" s="20"/>
      <c r="O3209" s="20"/>
      <c r="P3209" s="20"/>
    </row>
    <row r="3210">
      <c r="A3210" s="23"/>
      <c r="B3210" s="21"/>
      <c r="C3210" s="23"/>
      <c r="D3210" s="24"/>
      <c r="E3210" s="14"/>
      <c r="F3210" s="14"/>
      <c r="G3210" s="14"/>
      <c r="H3210" s="23"/>
      <c r="I3210" s="27"/>
      <c r="J3210" s="23"/>
      <c r="K3210" s="30"/>
      <c r="L3210" s="23"/>
      <c r="M3210" s="20"/>
      <c r="N3210" s="20"/>
      <c r="O3210" s="20"/>
      <c r="P3210" s="20"/>
    </row>
    <row r="3211">
      <c r="A3211" s="10"/>
      <c r="B3211" s="11"/>
      <c r="C3211" s="10"/>
      <c r="D3211" s="13"/>
      <c r="E3211" s="14"/>
      <c r="F3211" s="14"/>
      <c r="G3211" s="14"/>
      <c r="H3211" s="10"/>
      <c r="I3211" s="17"/>
      <c r="J3211" s="10"/>
      <c r="K3211" s="46"/>
      <c r="L3211" s="10"/>
      <c r="M3211" s="20"/>
      <c r="N3211" s="20"/>
      <c r="O3211" s="20"/>
      <c r="P3211" s="20"/>
    </row>
    <row r="3212">
      <c r="A3212" s="23"/>
      <c r="B3212" s="21"/>
      <c r="C3212" s="23"/>
      <c r="D3212" s="24"/>
      <c r="E3212" s="14"/>
      <c r="F3212" s="14"/>
      <c r="G3212" s="14"/>
      <c r="H3212" s="23"/>
      <c r="I3212" s="27"/>
      <c r="J3212" s="23"/>
      <c r="K3212" s="30"/>
      <c r="L3212" s="23"/>
      <c r="M3212" s="20"/>
      <c r="N3212" s="20"/>
      <c r="O3212" s="20"/>
      <c r="P3212" s="20"/>
    </row>
    <row r="3213">
      <c r="A3213" s="10"/>
      <c r="B3213" s="11"/>
      <c r="C3213" s="10"/>
      <c r="D3213" s="13"/>
      <c r="E3213" s="14"/>
      <c r="F3213" s="14"/>
      <c r="G3213" s="14"/>
      <c r="H3213" s="10"/>
      <c r="I3213" s="17"/>
      <c r="J3213" s="10"/>
      <c r="K3213" s="46"/>
      <c r="L3213" s="10"/>
      <c r="M3213" s="20"/>
      <c r="N3213" s="20"/>
      <c r="O3213" s="20"/>
      <c r="P3213" s="20"/>
    </row>
    <row r="3214">
      <c r="A3214" s="23"/>
      <c r="B3214" s="21"/>
      <c r="C3214" s="23"/>
      <c r="D3214" s="24"/>
      <c r="E3214" s="14"/>
      <c r="F3214" s="14"/>
      <c r="G3214" s="14"/>
      <c r="H3214" s="23"/>
      <c r="I3214" s="27"/>
      <c r="J3214" s="23"/>
      <c r="K3214" s="30"/>
      <c r="L3214" s="23"/>
      <c r="M3214" s="20"/>
      <c r="N3214" s="20"/>
      <c r="O3214" s="20"/>
      <c r="P3214" s="20"/>
    </row>
    <row r="3215">
      <c r="A3215" s="10"/>
      <c r="B3215" s="11"/>
      <c r="C3215" s="10"/>
      <c r="D3215" s="13"/>
      <c r="E3215" s="14"/>
      <c r="F3215" s="14"/>
      <c r="G3215" s="14"/>
      <c r="H3215" s="10"/>
      <c r="I3215" s="17"/>
      <c r="J3215" s="10"/>
      <c r="K3215" s="46"/>
      <c r="L3215" s="10"/>
      <c r="M3215" s="20"/>
      <c r="N3215" s="20"/>
      <c r="O3215" s="20"/>
      <c r="P3215" s="20"/>
    </row>
    <row r="3216">
      <c r="A3216" s="23"/>
      <c r="B3216" s="21"/>
      <c r="C3216" s="23"/>
      <c r="D3216" s="24"/>
      <c r="E3216" s="14"/>
      <c r="F3216" s="14"/>
      <c r="G3216" s="14"/>
      <c r="H3216" s="23"/>
      <c r="I3216" s="27"/>
      <c r="J3216" s="23"/>
      <c r="K3216" s="30"/>
      <c r="L3216" s="23"/>
      <c r="M3216" s="20"/>
      <c r="N3216" s="20"/>
      <c r="O3216" s="20"/>
      <c r="P3216" s="20"/>
    </row>
    <row r="3217">
      <c r="A3217" s="10"/>
      <c r="B3217" s="11"/>
      <c r="C3217" s="10"/>
      <c r="D3217" s="13"/>
      <c r="E3217" s="14"/>
      <c r="F3217" s="14"/>
      <c r="G3217" s="14"/>
      <c r="H3217" s="10"/>
      <c r="I3217" s="17"/>
      <c r="J3217" s="10"/>
      <c r="K3217" s="46"/>
      <c r="L3217" s="10"/>
      <c r="M3217" s="20"/>
      <c r="N3217" s="20"/>
      <c r="O3217" s="20"/>
      <c r="P3217" s="20"/>
    </row>
    <row r="3218">
      <c r="A3218" s="23"/>
      <c r="B3218" s="21"/>
      <c r="C3218" s="23"/>
      <c r="D3218" s="24"/>
      <c r="E3218" s="14"/>
      <c r="F3218" s="14"/>
      <c r="G3218" s="14"/>
      <c r="H3218" s="23"/>
      <c r="I3218" s="27"/>
      <c r="J3218" s="23"/>
      <c r="K3218" s="30"/>
      <c r="L3218" s="23"/>
      <c r="M3218" s="20"/>
      <c r="N3218" s="20"/>
      <c r="O3218" s="20"/>
      <c r="P3218" s="20"/>
    </row>
    <row r="3219">
      <c r="A3219" s="10"/>
      <c r="B3219" s="11"/>
      <c r="C3219" s="10"/>
      <c r="D3219" s="13"/>
      <c r="E3219" s="14"/>
      <c r="F3219" s="14"/>
      <c r="G3219" s="14"/>
      <c r="H3219" s="10"/>
      <c r="I3219" s="17"/>
      <c r="J3219" s="10"/>
      <c r="K3219" s="46"/>
      <c r="L3219" s="10"/>
      <c r="M3219" s="20"/>
      <c r="N3219" s="20"/>
      <c r="O3219" s="20"/>
      <c r="P3219" s="20"/>
    </row>
    <row r="3220">
      <c r="A3220" s="23"/>
      <c r="B3220" s="21"/>
      <c r="C3220" s="23"/>
      <c r="D3220" s="24"/>
      <c r="E3220" s="14"/>
      <c r="F3220" s="14"/>
      <c r="G3220" s="14"/>
      <c r="H3220" s="23"/>
      <c r="I3220" s="27"/>
      <c r="J3220" s="23"/>
      <c r="K3220" s="30"/>
      <c r="L3220" s="23"/>
      <c r="M3220" s="20"/>
      <c r="N3220" s="20"/>
      <c r="O3220" s="20"/>
      <c r="P3220" s="20"/>
    </row>
    <row r="3221">
      <c r="A3221" s="10"/>
      <c r="B3221" s="11"/>
      <c r="C3221" s="10"/>
      <c r="D3221" s="13"/>
      <c r="E3221" s="14"/>
      <c r="F3221" s="14"/>
      <c r="G3221" s="14"/>
      <c r="H3221" s="10"/>
      <c r="I3221" s="17"/>
      <c r="J3221" s="10"/>
      <c r="K3221" s="46"/>
      <c r="L3221" s="10"/>
      <c r="M3221" s="20"/>
      <c r="N3221" s="20"/>
      <c r="O3221" s="20"/>
      <c r="P3221" s="20"/>
    </row>
    <row r="3222">
      <c r="A3222" s="23"/>
      <c r="B3222" s="21"/>
      <c r="C3222" s="23"/>
      <c r="D3222" s="24"/>
      <c r="E3222" s="14"/>
      <c r="F3222" s="14"/>
      <c r="G3222" s="14"/>
      <c r="H3222" s="23"/>
      <c r="I3222" s="27"/>
      <c r="J3222" s="23"/>
      <c r="K3222" s="30"/>
      <c r="L3222" s="23"/>
      <c r="M3222" s="20"/>
      <c r="N3222" s="20"/>
      <c r="O3222" s="20"/>
      <c r="P3222" s="20"/>
    </row>
    <row r="3223">
      <c r="A3223" s="10"/>
      <c r="B3223" s="11"/>
      <c r="C3223" s="10"/>
      <c r="D3223" s="13"/>
      <c r="E3223" s="14"/>
      <c r="F3223" s="14"/>
      <c r="G3223" s="14"/>
      <c r="H3223" s="10"/>
      <c r="I3223" s="17"/>
      <c r="J3223" s="10"/>
      <c r="K3223" s="46"/>
      <c r="L3223" s="10"/>
      <c r="M3223" s="20"/>
      <c r="N3223" s="20"/>
      <c r="O3223" s="20"/>
      <c r="P3223" s="20"/>
    </row>
    <row r="3224">
      <c r="A3224" s="23"/>
      <c r="B3224" s="21"/>
      <c r="C3224" s="23"/>
      <c r="D3224" s="24"/>
      <c r="E3224" s="14"/>
      <c r="F3224" s="14"/>
      <c r="G3224" s="14"/>
      <c r="H3224" s="23"/>
      <c r="I3224" s="27"/>
      <c r="J3224" s="23"/>
      <c r="K3224" s="30"/>
      <c r="L3224" s="23"/>
      <c r="M3224" s="20"/>
      <c r="N3224" s="20"/>
      <c r="O3224" s="20"/>
      <c r="P3224" s="20"/>
    </row>
    <row r="3225">
      <c r="A3225" s="10"/>
      <c r="B3225" s="11"/>
      <c r="C3225" s="10"/>
      <c r="D3225" s="13"/>
      <c r="E3225" s="14"/>
      <c r="F3225" s="14"/>
      <c r="G3225" s="14"/>
      <c r="H3225" s="10"/>
      <c r="I3225" s="17"/>
      <c r="J3225" s="10"/>
      <c r="K3225" s="46"/>
      <c r="L3225" s="10"/>
      <c r="M3225" s="20"/>
      <c r="N3225" s="20"/>
      <c r="O3225" s="20"/>
      <c r="P3225" s="20"/>
    </row>
    <row r="3226">
      <c r="A3226" s="23"/>
      <c r="B3226" s="21"/>
      <c r="C3226" s="23"/>
      <c r="D3226" s="24"/>
      <c r="E3226" s="14"/>
      <c r="F3226" s="14"/>
      <c r="G3226" s="14"/>
      <c r="H3226" s="23"/>
      <c r="I3226" s="27"/>
      <c r="J3226" s="23"/>
      <c r="K3226" s="30"/>
      <c r="L3226" s="23"/>
      <c r="M3226" s="20"/>
      <c r="N3226" s="20"/>
      <c r="O3226" s="20"/>
      <c r="P3226" s="20"/>
    </row>
    <row r="3227">
      <c r="A3227" s="10"/>
      <c r="B3227" s="11"/>
      <c r="C3227" s="10"/>
      <c r="D3227" s="13"/>
      <c r="E3227" s="14"/>
      <c r="F3227" s="14"/>
      <c r="G3227" s="14"/>
      <c r="H3227" s="10"/>
      <c r="I3227" s="17"/>
      <c r="J3227" s="10"/>
      <c r="K3227" s="46"/>
      <c r="L3227" s="10"/>
      <c r="M3227" s="20"/>
      <c r="N3227" s="20"/>
      <c r="O3227" s="20"/>
      <c r="P3227" s="20"/>
    </row>
    <row r="3228">
      <c r="A3228" s="23"/>
      <c r="B3228" s="21"/>
      <c r="C3228" s="23"/>
      <c r="D3228" s="24"/>
      <c r="E3228" s="14"/>
      <c r="F3228" s="14"/>
      <c r="G3228" s="14"/>
      <c r="H3228" s="23"/>
      <c r="I3228" s="27"/>
      <c r="J3228" s="23"/>
      <c r="K3228" s="30"/>
      <c r="L3228" s="23"/>
      <c r="M3228" s="20"/>
      <c r="N3228" s="20"/>
      <c r="O3228" s="20"/>
      <c r="P3228" s="20"/>
    </row>
    <row r="3229">
      <c r="A3229" s="10"/>
      <c r="B3229" s="11"/>
      <c r="C3229" s="10"/>
      <c r="D3229" s="13"/>
      <c r="E3229" s="14"/>
      <c r="F3229" s="14"/>
      <c r="G3229" s="14"/>
      <c r="H3229" s="10"/>
      <c r="I3229" s="17"/>
      <c r="J3229" s="10"/>
      <c r="K3229" s="46"/>
      <c r="L3229" s="10"/>
      <c r="M3229" s="20"/>
      <c r="N3229" s="20"/>
      <c r="O3229" s="20"/>
      <c r="P3229" s="20"/>
    </row>
    <row r="3230">
      <c r="A3230" s="23"/>
      <c r="B3230" s="21"/>
      <c r="C3230" s="23"/>
      <c r="D3230" s="24"/>
      <c r="E3230" s="14"/>
      <c r="F3230" s="14"/>
      <c r="G3230" s="14"/>
      <c r="H3230" s="23"/>
      <c r="I3230" s="27"/>
      <c r="J3230" s="23"/>
      <c r="K3230" s="30"/>
      <c r="L3230" s="23"/>
      <c r="M3230" s="20"/>
      <c r="N3230" s="20"/>
      <c r="O3230" s="20"/>
      <c r="P3230" s="20"/>
    </row>
    <row r="3231">
      <c r="A3231" s="10"/>
      <c r="B3231" s="11"/>
      <c r="C3231" s="10"/>
      <c r="D3231" s="13"/>
      <c r="E3231" s="14"/>
      <c r="F3231" s="14"/>
      <c r="G3231" s="14"/>
      <c r="H3231" s="10"/>
      <c r="I3231" s="17"/>
      <c r="J3231" s="10"/>
      <c r="K3231" s="46"/>
      <c r="L3231" s="10"/>
      <c r="M3231" s="20"/>
      <c r="N3231" s="20"/>
      <c r="O3231" s="20"/>
      <c r="P3231" s="20"/>
    </row>
    <row r="3232">
      <c r="A3232" s="23"/>
      <c r="B3232" s="21"/>
      <c r="C3232" s="23"/>
      <c r="D3232" s="24"/>
      <c r="E3232" s="14"/>
      <c r="F3232" s="14"/>
      <c r="G3232" s="14"/>
      <c r="H3232" s="23"/>
      <c r="I3232" s="27"/>
      <c r="J3232" s="23"/>
      <c r="K3232" s="30"/>
      <c r="L3232" s="23"/>
      <c r="M3232" s="20"/>
      <c r="N3232" s="20"/>
      <c r="O3232" s="20"/>
      <c r="P3232" s="20"/>
    </row>
    <row r="3233">
      <c r="A3233" s="10"/>
      <c r="B3233" s="11"/>
      <c r="C3233" s="10"/>
      <c r="D3233" s="13"/>
      <c r="E3233" s="14"/>
      <c r="F3233" s="14"/>
      <c r="G3233" s="14"/>
      <c r="H3233" s="10"/>
      <c r="I3233" s="17"/>
      <c r="J3233" s="10"/>
      <c r="K3233" s="46"/>
      <c r="L3233" s="10"/>
      <c r="M3233" s="20"/>
      <c r="N3233" s="20"/>
      <c r="O3233" s="20"/>
      <c r="P3233" s="20"/>
    </row>
    <row r="3234">
      <c r="A3234" s="23"/>
      <c r="B3234" s="21"/>
      <c r="C3234" s="23"/>
      <c r="D3234" s="24"/>
      <c r="E3234" s="14"/>
      <c r="F3234" s="14"/>
      <c r="G3234" s="14"/>
      <c r="H3234" s="23"/>
      <c r="I3234" s="27"/>
      <c r="J3234" s="23"/>
      <c r="K3234" s="30"/>
      <c r="L3234" s="23"/>
      <c r="M3234" s="20"/>
      <c r="N3234" s="20"/>
      <c r="O3234" s="20"/>
      <c r="P3234" s="20"/>
    </row>
    <row r="3235">
      <c r="A3235" s="10"/>
      <c r="B3235" s="11"/>
      <c r="C3235" s="10"/>
      <c r="D3235" s="13"/>
      <c r="E3235" s="14"/>
      <c r="F3235" s="14"/>
      <c r="G3235" s="14"/>
      <c r="H3235" s="10"/>
      <c r="I3235" s="17"/>
      <c r="J3235" s="10"/>
      <c r="K3235" s="46"/>
      <c r="L3235" s="10"/>
      <c r="M3235" s="20"/>
      <c r="N3235" s="20"/>
      <c r="O3235" s="20"/>
      <c r="P3235" s="20"/>
    </row>
    <row r="3236">
      <c r="A3236" s="23"/>
      <c r="B3236" s="21"/>
      <c r="C3236" s="23"/>
      <c r="D3236" s="24"/>
      <c r="E3236" s="14"/>
      <c r="F3236" s="14"/>
      <c r="G3236" s="14"/>
      <c r="H3236" s="23"/>
      <c r="I3236" s="27"/>
      <c r="J3236" s="23"/>
      <c r="K3236" s="30"/>
      <c r="L3236" s="23"/>
      <c r="M3236" s="20"/>
      <c r="N3236" s="20"/>
      <c r="O3236" s="20"/>
      <c r="P3236" s="20"/>
    </row>
    <row r="3237">
      <c r="A3237" s="10"/>
      <c r="B3237" s="11"/>
      <c r="C3237" s="10"/>
      <c r="D3237" s="13"/>
      <c r="E3237" s="14"/>
      <c r="F3237" s="14"/>
      <c r="G3237" s="14"/>
      <c r="H3237" s="10"/>
      <c r="I3237" s="17"/>
      <c r="J3237" s="10"/>
      <c r="K3237" s="46"/>
      <c r="L3237" s="10"/>
      <c r="M3237" s="20"/>
      <c r="N3237" s="20"/>
      <c r="O3237" s="20"/>
      <c r="P3237" s="20"/>
    </row>
    <row r="3238">
      <c r="A3238" s="23"/>
      <c r="B3238" s="21"/>
      <c r="C3238" s="23"/>
      <c r="D3238" s="24"/>
      <c r="E3238" s="14"/>
      <c r="F3238" s="14"/>
      <c r="G3238" s="14"/>
      <c r="H3238" s="23"/>
      <c r="I3238" s="27"/>
      <c r="J3238" s="23"/>
      <c r="K3238" s="30"/>
      <c r="L3238" s="23"/>
      <c r="M3238" s="20"/>
      <c r="N3238" s="20"/>
      <c r="O3238" s="20"/>
      <c r="P3238" s="20"/>
    </row>
    <row r="3239">
      <c r="A3239" s="10"/>
      <c r="B3239" s="11"/>
      <c r="C3239" s="10"/>
      <c r="D3239" s="13"/>
      <c r="E3239" s="14"/>
      <c r="F3239" s="14"/>
      <c r="G3239" s="14"/>
      <c r="H3239" s="10"/>
      <c r="I3239" s="17"/>
      <c r="J3239" s="10"/>
      <c r="K3239" s="46"/>
      <c r="L3239" s="10"/>
      <c r="M3239" s="20"/>
      <c r="N3239" s="20"/>
      <c r="O3239" s="20"/>
      <c r="P3239" s="20"/>
    </row>
    <row r="3240">
      <c r="A3240" s="23"/>
      <c r="B3240" s="21"/>
      <c r="C3240" s="23"/>
      <c r="D3240" s="24"/>
      <c r="E3240" s="14"/>
      <c r="F3240" s="14"/>
      <c r="G3240" s="14"/>
      <c r="H3240" s="23"/>
      <c r="I3240" s="27"/>
      <c r="J3240" s="23"/>
      <c r="K3240" s="30"/>
      <c r="L3240" s="23"/>
      <c r="M3240" s="20"/>
      <c r="N3240" s="20"/>
      <c r="O3240" s="20"/>
      <c r="P3240" s="20"/>
    </row>
    <row r="3241">
      <c r="A3241" s="10"/>
      <c r="B3241" s="11"/>
      <c r="C3241" s="10"/>
      <c r="D3241" s="13"/>
      <c r="E3241" s="14"/>
      <c r="F3241" s="14"/>
      <c r="G3241" s="14"/>
      <c r="H3241" s="10"/>
      <c r="I3241" s="17"/>
      <c r="J3241" s="10"/>
      <c r="K3241" s="46"/>
      <c r="L3241" s="10"/>
      <c r="M3241" s="20"/>
      <c r="N3241" s="20"/>
      <c r="O3241" s="20"/>
      <c r="P3241" s="20"/>
    </row>
    <row r="3242">
      <c r="A3242" s="23"/>
      <c r="B3242" s="21"/>
      <c r="C3242" s="23"/>
      <c r="D3242" s="24"/>
      <c r="E3242" s="14"/>
      <c r="F3242" s="14"/>
      <c r="G3242" s="14"/>
      <c r="H3242" s="23"/>
      <c r="I3242" s="27"/>
      <c r="J3242" s="23"/>
      <c r="K3242" s="30"/>
      <c r="L3242" s="23"/>
      <c r="M3242" s="20"/>
      <c r="N3242" s="20"/>
      <c r="O3242" s="20"/>
      <c r="P3242" s="20"/>
    </row>
    <row r="3243">
      <c r="A3243" s="10"/>
      <c r="B3243" s="11"/>
      <c r="C3243" s="10"/>
      <c r="D3243" s="13"/>
      <c r="E3243" s="14"/>
      <c r="F3243" s="14"/>
      <c r="G3243" s="14"/>
      <c r="H3243" s="10"/>
      <c r="I3243" s="17"/>
      <c r="J3243" s="10"/>
      <c r="K3243" s="46"/>
      <c r="L3243" s="10"/>
      <c r="M3243" s="20"/>
      <c r="N3243" s="20"/>
      <c r="O3243" s="20"/>
      <c r="P3243" s="20"/>
    </row>
    <row r="3244">
      <c r="A3244" s="23"/>
      <c r="B3244" s="21"/>
      <c r="C3244" s="23"/>
      <c r="D3244" s="24"/>
      <c r="E3244" s="14"/>
      <c r="F3244" s="14"/>
      <c r="G3244" s="14"/>
      <c r="H3244" s="23"/>
      <c r="I3244" s="27"/>
      <c r="J3244" s="23"/>
      <c r="K3244" s="30"/>
      <c r="L3244" s="23"/>
      <c r="M3244" s="20"/>
      <c r="N3244" s="20"/>
      <c r="O3244" s="20"/>
      <c r="P3244" s="20"/>
    </row>
    <row r="3245">
      <c r="A3245" s="10"/>
      <c r="B3245" s="11"/>
      <c r="C3245" s="10"/>
      <c r="D3245" s="13"/>
      <c r="E3245" s="14"/>
      <c r="F3245" s="14"/>
      <c r="G3245" s="14"/>
      <c r="H3245" s="10"/>
      <c r="I3245" s="17"/>
      <c r="J3245" s="10"/>
      <c r="K3245" s="46"/>
      <c r="L3245" s="10"/>
      <c r="M3245" s="20"/>
      <c r="N3245" s="20"/>
      <c r="O3245" s="20"/>
      <c r="P3245" s="20"/>
    </row>
    <row r="3246">
      <c r="A3246" s="23"/>
      <c r="B3246" s="21"/>
      <c r="C3246" s="23"/>
      <c r="D3246" s="24"/>
      <c r="E3246" s="14"/>
      <c r="F3246" s="14"/>
      <c r="G3246" s="14"/>
      <c r="H3246" s="23"/>
      <c r="I3246" s="27"/>
      <c r="J3246" s="23"/>
      <c r="K3246" s="30"/>
      <c r="L3246" s="23"/>
      <c r="M3246" s="20"/>
      <c r="N3246" s="20"/>
      <c r="O3246" s="20"/>
      <c r="P3246" s="20"/>
    </row>
    <row r="3247">
      <c r="A3247" s="10"/>
      <c r="B3247" s="11"/>
      <c r="C3247" s="10"/>
      <c r="D3247" s="13"/>
      <c r="E3247" s="14"/>
      <c r="F3247" s="14"/>
      <c r="G3247" s="14"/>
      <c r="H3247" s="10"/>
      <c r="I3247" s="17"/>
      <c r="J3247" s="10"/>
      <c r="K3247" s="46"/>
      <c r="L3247" s="10"/>
      <c r="M3247" s="20"/>
      <c r="N3247" s="20"/>
      <c r="O3247" s="20"/>
      <c r="P3247" s="20"/>
    </row>
    <row r="3248">
      <c r="A3248" s="23"/>
      <c r="B3248" s="21"/>
      <c r="C3248" s="23"/>
      <c r="D3248" s="24"/>
      <c r="E3248" s="14"/>
      <c r="F3248" s="14"/>
      <c r="G3248" s="14"/>
      <c r="H3248" s="23"/>
      <c r="I3248" s="27"/>
      <c r="J3248" s="23"/>
      <c r="K3248" s="30"/>
      <c r="L3248" s="23"/>
      <c r="M3248" s="20"/>
      <c r="N3248" s="20"/>
      <c r="O3248" s="20"/>
      <c r="P3248" s="20"/>
    </row>
    <row r="3249">
      <c r="A3249" s="10"/>
      <c r="B3249" s="11"/>
      <c r="C3249" s="10"/>
      <c r="D3249" s="13"/>
      <c r="E3249" s="14"/>
      <c r="F3249" s="14"/>
      <c r="G3249" s="14"/>
      <c r="H3249" s="10"/>
      <c r="I3249" s="17"/>
      <c r="J3249" s="10"/>
      <c r="K3249" s="46"/>
      <c r="L3249" s="10"/>
      <c r="M3249" s="20"/>
      <c r="N3249" s="20"/>
      <c r="O3249" s="20"/>
      <c r="P3249" s="20"/>
    </row>
    <row r="3250">
      <c r="A3250" s="23"/>
      <c r="B3250" s="21"/>
      <c r="C3250" s="23"/>
      <c r="D3250" s="24"/>
      <c r="E3250" s="14"/>
      <c r="F3250" s="14"/>
      <c r="G3250" s="14"/>
      <c r="H3250" s="23"/>
      <c r="I3250" s="27"/>
      <c r="J3250" s="23"/>
      <c r="K3250" s="30"/>
      <c r="L3250" s="23"/>
      <c r="M3250" s="20"/>
      <c r="N3250" s="20"/>
      <c r="O3250" s="20"/>
      <c r="P3250" s="20"/>
    </row>
    <row r="3251">
      <c r="A3251" s="10"/>
      <c r="B3251" s="11"/>
      <c r="C3251" s="10"/>
      <c r="D3251" s="13"/>
      <c r="E3251" s="14"/>
      <c r="F3251" s="14"/>
      <c r="G3251" s="14"/>
      <c r="H3251" s="10"/>
      <c r="I3251" s="17"/>
      <c r="J3251" s="10"/>
      <c r="K3251" s="46"/>
      <c r="L3251" s="10"/>
      <c r="M3251" s="20"/>
      <c r="N3251" s="20"/>
      <c r="O3251" s="20"/>
      <c r="P3251" s="20"/>
    </row>
    <row r="3252">
      <c r="A3252" s="23"/>
      <c r="B3252" s="21"/>
      <c r="C3252" s="23"/>
      <c r="D3252" s="24"/>
      <c r="E3252" s="14"/>
      <c r="F3252" s="14"/>
      <c r="G3252" s="14"/>
      <c r="H3252" s="23"/>
      <c r="I3252" s="27"/>
      <c r="J3252" s="23"/>
      <c r="K3252" s="30"/>
      <c r="L3252" s="23"/>
      <c r="M3252" s="20"/>
      <c r="N3252" s="20"/>
      <c r="O3252" s="20"/>
      <c r="P3252" s="20"/>
    </row>
    <row r="3253">
      <c r="A3253" s="10"/>
      <c r="B3253" s="11"/>
      <c r="C3253" s="10"/>
      <c r="D3253" s="13"/>
      <c r="E3253" s="14"/>
      <c r="F3253" s="14"/>
      <c r="G3253" s="14"/>
      <c r="H3253" s="10"/>
      <c r="I3253" s="17"/>
      <c r="J3253" s="10"/>
      <c r="K3253" s="46"/>
      <c r="L3253" s="10"/>
      <c r="M3253" s="20"/>
      <c r="N3253" s="20"/>
      <c r="O3253" s="20"/>
      <c r="P3253" s="20"/>
    </row>
    <row r="3254">
      <c r="A3254" s="23"/>
      <c r="B3254" s="21"/>
      <c r="C3254" s="23"/>
      <c r="D3254" s="24"/>
      <c r="E3254" s="14"/>
      <c r="F3254" s="14"/>
      <c r="G3254" s="14"/>
      <c r="H3254" s="23"/>
      <c r="I3254" s="27"/>
      <c r="J3254" s="23"/>
      <c r="K3254" s="30"/>
      <c r="L3254" s="23"/>
      <c r="M3254" s="20"/>
      <c r="N3254" s="20"/>
      <c r="O3254" s="20"/>
      <c r="P3254" s="20"/>
    </row>
    <row r="3255">
      <c r="A3255" s="10"/>
      <c r="B3255" s="11"/>
      <c r="C3255" s="10"/>
      <c r="D3255" s="13"/>
      <c r="E3255" s="14"/>
      <c r="F3255" s="14"/>
      <c r="G3255" s="14"/>
      <c r="H3255" s="10"/>
      <c r="I3255" s="17"/>
      <c r="J3255" s="10"/>
      <c r="K3255" s="46"/>
      <c r="L3255" s="10"/>
      <c r="M3255" s="20"/>
      <c r="N3255" s="20"/>
      <c r="O3255" s="20"/>
      <c r="P3255" s="20"/>
    </row>
    <row r="3256">
      <c r="A3256" s="23"/>
      <c r="B3256" s="21"/>
      <c r="C3256" s="23"/>
      <c r="D3256" s="24"/>
      <c r="E3256" s="14"/>
      <c r="F3256" s="14"/>
      <c r="G3256" s="14"/>
      <c r="H3256" s="23"/>
      <c r="I3256" s="27"/>
      <c r="J3256" s="23"/>
      <c r="K3256" s="30"/>
      <c r="L3256" s="23"/>
      <c r="M3256" s="20"/>
      <c r="N3256" s="20"/>
      <c r="O3256" s="20"/>
      <c r="P3256" s="20"/>
    </row>
    <row r="3257">
      <c r="A3257" s="10"/>
      <c r="B3257" s="11"/>
      <c r="C3257" s="10"/>
      <c r="D3257" s="13"/>
      <c r="E3257" s="14"/>
      <c r="F3257" s="14"/>
      <c r="G3257" s="14"/>
      <c r="H3257" s="10"/>
      <c r="I3257" s="17"/>
      <c r="J3257" s="10"/>
      <c r="K3257" s="46"/>
      <c r="L3257" s="10"/>
      <c r="M3257" s="20"/>
      <c r="N3257" s="20"/>
      <c r="O3257" s="20"/>
      <c r="P3257" s="20"/>
    </row>
    <row r="3258">
      <c r="A3258" s="23"/>
      <c r="B3258" s="21"/>
      <c r="C3258" s="23"/>
      <c r="D3258" s="24"/>
      <c r="E3258" s="14"/>
      <c r="F3258" s="14"/>
      <c r="G3258" s="14"/>
      <c r="H3258" s="23"/>
      <c r="I3258" s="27"/>
      <c r="J3258" s="23"/>
      <c r="K3258" s="30"/>
      <c r="L3258" s="23"/>
      <c r="M3258" s="20"/>
      <c r="N3258" s="20"/>
      <c r="O3258" s="20"/>
      <c r="P3258" s="20"/>
    </row>
    <row r="3259">
      <c r="A3259" s="10"/>
      <c r="B3259" s="11"/>
      <c r="C3259" s="10"/>
      <c r="D3259" s="13"/>
      <c r="E3259" s="14"/>
      <c r="F3259" s="14"/>
      <c r="G3259" s="14"/>
      <c r="H3259" s="10"/>
      <c r="I3259" s="17"/>
      <c r="J3259" s="10"/>
      <c r="K3259" s="46"/>
      <c r="L3259" s="10"/>
      <c r="M3259" s="20"/>
      <c r="N3259" s="20"/>
      <c r="O3259" s="20"/>
      <c r="P3259" s="20"/>
    </row>
    <row r="3260">
      <c r="A3260" s="23"/>
      <c r="B3260" s="21"/>
      <c r="C3260" s="23"/>
      <c r="D3260" s="24"/>
      <c r="E3260" s="14"/>
      <c r="F3260" s="14"/>
      <c r="G3260" s="14"/>
      <c r="H3260" s="23"/>
      <c r="I3260" s="27"/>
      <c r="J3260" s="23"/>
      <c r="K3260" s="30"/>
      <c r="L3260" s="23"/>
      <c r="M3260" s="20"/>
      <c r="N3260" s="20"/>
      <c r="O3260" s="20"/>
      <c r="P3260" s="20"/>
    </row>
    <row r="3261">
      <c r="A3261" s="10"/>
      <c r="B3261" s="11"/>
      <c r="C3261" s="10"/>
      <c r="D3261" s="13"/>
      <c r="E3261" s="14"/>
      <c r="F3261" s="14"/>
      <c r="G3261" s="14"/>
      <c r="H3261" s="10"/>
      <c r="I3261" s="17"/>
      <c r="J3261" s="10"/>
      <c r="K3261" s="46"/>
      <c r="L3261" s="10"/>
      <c r="M3261" s="20"/>
      <c r="N3261" s="20"/>
      <c r="O3261" s="20"/>
      <c r="P3261" s="20"/>
    </row>
    <row r="3262">
      <c r="A3262" s="23"/>
      <c r="B3262" s="21"/>
      <c r="C3262" s="23"/>
      <c r="D3262" s="24"/>
      <c r="E3262" s="14"/>
      <c r="F3262" s="14"/>
      <c r="G3262" s="14"/>
      <c r="H3262" s="23"/>
      <c r="I3262" s="27"/>
      <c r="J3262" s="23"/>
      <c r="K3262" s="30"/>
      <c r="L3262" s="23"/>
      <c r="M3262" s="20"/>
      <c r="N3262" s="20"/>
      <c r="O3262" s="20"/>
      <c r="P3262" s="20"/>
    </row>
    <row r="3263">
      <c r="A3263" s="10"/>
      <c r="B3263" s="11"/>
      <c r="C3263" s="10"/>
      <c r="D3263" s="13"/>
      <c r="E3263" s="14"/>
      <c r="F3263" s="14"/>
      <c r="G3263" s="14"/>
      <c r="H3263" s="10"/>
      <c r="I3263" s="17"/>
      <c r="J3263" s="10"/>
      <c r="K3263" s="46"/>
      <c r="L3263" s="10"/>
      <c r="M3263" s="20"/>
      <c r="N3263" s="20"/>
      <c r="O3263" s="20"/>
      <c r="P3263" s="20"/>
    </row>
    <row r="3264">
      <c r="A3264" s="23"/>
      <c r="B3264" s="21"/>
      <c r="C3264" s="23"/>
      <c r="D3264" s="24"/>
      <c r="E3264" s="14"/>
      <c r="F3264" s="14"/>
      <c r="G3264" s="14"/>
      <c r="H3264" s="23"/>
      <c r="I3264" s="27"/>
      <c r="J3264" s="23"/>
      <c r="K3264" s="30"/>
      <c r="L3264" s="23"/>
      <c r="M3264" s="20"/>
      <c r="N3264" s="20"/>
      <c r="O3264" s="20"/>
      <c r="P3264" s="20"/>
    </row>
    <row r="3265">
      <c r="A3265" s="10"/>
      <c r="B3265" s="11"/>
      <c r="C3265" s="10"/>
      <c r="D3265" s="13"/>
      <c r="E3265" s="14"/>
      <c r="F3265" s="14"/>
      <c r="G3265" s="14"/>
      <c r="H3265" s="10"/>
      <c r="I3265" s="17"/>
      <c r="J3265" s="10"/>
      <c r="K3265" s="46"/>
      <c r="L3265" s="10"/>
      <c r="M3265" s="20"/>
      <c r="N3265" s="20"/>
      <c r="O3265" s="20"/>
      <c r="P3265" s="20"/>
    </row>
    <row r="3266">
      <c r="A3266" s="23"/>
      <c r="B3266" s="21"/>
      <c r="C3266" s="23"/>
      <c r="D3266" s="24"/>
      <c r="E3266" s="14"/>
      <c r="F3266" s="14"/>
      <c r="G3266" s="14"/>
      <c r="H3266" s="23"/>
      <c r="I3266" s="27"/>
      <c r="J3266" s="23"/>
      <c r="K3266" s="30"/>
      <c r="L3266" s="23"/>
      <c r="M3266" s="20"/>
      <c r="N3266" s="20"/>
      <c r="O3266" s="20"/>
      <c r="P3266" s="20"/>
    </row>
    <row r="3267">
      <c r="A3267" s="10"/>
      <c r="B3267" s="11"/>
      <c r="C3267" s="10"/>
      <c r="D3267" s="13"/>
      <c r="E3267" s="14"/>
      <c r="F3267" s="14"/>
      <c r="G3267" s="14"/>
      <c r="H3267" s="10"/>
      <c r="I3267" s="17"/>
      <c r="J3267" s="10"/>
      <c r="K3267" s="46"/>
      <c r="L3267" s="10"/>
      <c r="M3267" s="20"/>
      <c r="N3267" s="20"/>
      <c r="O3267" s="20"/>
      <c r="P3267" s="20"/>
    </row>
    <row r="3268">
      <c r="A3268" s="23"/>
      <c r="B3268" s="21"/>
      <c r="C3268" s="23"/>
      <c r="D3268" s="24"/>
      <c r="E3268" s="14"/>
      <c r="F3268" s="14"/>
      <c r="G3268" s="14"/>
      <c r="H3268" s="23"/>
      <c r="I3268" s="27"/>
      <c r="J3268" s="23"/>
      <c r="K3268" s="30"/>
      <c r="L3268" s="23"/>
      <c r="M3268" s="20"/>
      <c r="N3268" s="20"/>
      <c r="O3268" s="20"/>
      <c r="P3268" s="20"/>
    </row>
    <row r="3269">
      <c r="A3269" s="10"/>
      <c r="B3269" s="11"/>
      <c r="C3269" s="10"/>
      <c r="D3269" s="13"/>
      <c r="E3269" s="14"/>
      <c r="F3269" s="14"/>
      <c r="G3269" s="14"/>
      <c r="H3269" s="10"/>
      <c r="I3269" s="17"/>
      <c r="J3269" s="10"/>
      <c r="K3269" s="46"/>
      <c r="L3269" s="10"/>
      <c r="M3269" s="20"/>
      <c r="N3269" s="20"/>
      <c r="O3269" s="20"/>
      <c r="P3269" s="20"/>
    </row>
    <row r="3270">
      <c r="A3270" s="23"/>
      <c r="B3270" s="21"/>
      <c r="C3270" s="23"/>
      <c r="D3270" s="24"/>
      <c r="E3270" s="14"/>
      <c r="F3270" s="14"/>
      <c r="G3270" s="14"/>
      <c r="H3270" s="23"/>
      <c r="I3270" s="27"/>
      <c r="J3270" s="23"/>
      <c r="K3270" s="30"/>
      <c r="L3270" s="23"/>
      <c r="M3270" s="20"/>
      <c r="N3270" s="20"/>
      <c r="O3270" s="20"/>
      <c r="P3270" s="20"/>
    </row>
    <row r="3271">
      <c r="A3271" s="10"/>
      <c r="B3271" s="11"/>
      <c r="C3271" s="10"/>
      <c r="D3271" s="13"/>
      <c r="E3271" s="14"/>
      <c r="F3271" s="14"/>
      <c r="G3271" s="14"/>
      <c r="H3271" s="10"/>
      <c r="I3271" s="17"/>
      <c r="J3271" s="10"/>
      <c r="K3271" s="46"/>
      <c r="L3271" s="10"/>
      <c r="M3271" s="20"/>
      <c r="N3271" s="20"/>
      <c r="O3271" s="20"/>
      <c r="P3271" s="20"/>
    </row>
    <row r="3272">
      <c r="A3272" s="23"/>
      <c r="B3272" s="21"/>
      <c r="C3272" s="23"/>
      <c r="D3272" s="24"/>
      <c r="E3272" s="14"/>
      <c r="F3272" s="14"/>
      <c r="G3272" s="14"/>
      <c r="H3272" s="23"/>
      <c r="I3272" s="27"/>
      <c r="J3272" s="23"/>
      <c r="K3272" s="30"/>
      <c r="L3272" s="23"/>
      <c r="M3272" s="20"/>
      <c r="N3272" s="20"/>
      <c r="O3272" s="20"/>
      <c r="P3272" s="20"/>
    </row>
    <row r="3273">
      <c r="A3273" s="10"/>
      <c r="B3273" s="11"/>
      <c r="C3273" s="10"/>
      <c r="D3273" s="13"/>
      <c r="E3273" s="14"/>
      <c r="F3273" s="14"/>
      <c r="G3273" s="14"/>
      <c r="H3273" s="10"/>
      <c r="I3273" s="17"/>
      <c r="J3273" s="10"/>
      <c r="K3273" s="46"/>
      <c r="L3273" s="10"/>
      <c r="M3273" s="20"/>
      <c r="N3273" s="20"/>
      <c r="O3273" s="20"/>
      <c r="P3273" s="20"/>
    </row>
    <row r="3274">
      <c r="A3274" s="23"/>
      <c r="B3274" s="21"/>
      <c r="C3274" s="23"/>
      <c r="D3274" s="24"/>
      <c r="E3274" s="14"/>
      <c r="F3274" s="14"/>
      <c r="G3274" s="14"/>
      <c r="H3274" s="23"/>
      <c r="I3274" s="27"/>
      <c r="J3274" s="23"/>
      <c r="K3274" s="30"/>
      <c r="L3274" s="23"/>
      <c r="M3274" s="20"/>
      <c r="N3274" s="20"/>
      <c r="O3274" s="20"/>
      <c r="P3274" s="20"/>
    </row>
    <row r="3275">
      <c r="A3275" s="10"/>
      <c r="B3275" s="11"/>
      <c r="C3275" s="10"/>
      <c r="D3275" s="13"/>
      <c r="E3275" s="14"/>
      <c r="F3275" s="14"/>
      <c r="G3275" s="14"/>
      <c r="H3275" s="10"/>
      <c r="I3275" s="17"/>
      <c r="J3275" s="10"/>
      <c r="K3275" s="46"/>
      <c r="L3275" s="10"/>
      <c r="M3275" s="20"/>
      <c r="N3275" s="20"/>
      <c r="O3275" s="20"/>
      <c r="P3275" s="20"/>
    </row>
    <row r="3276">
      <c r="A3276" s="23"/>
      <c r="B3276" s="21"/>
      <c r="C3276" s="23"/>
      <c r="D3276" s="24"/>
      <c r="E3276" s="14"/>
      <c r="F3276" s="14"/>
      <c r="G3276" s="14"/>
      <c r="H3276" s="23"/>
      <c r="I3276" s="27"/>
      <c r="J3276" s="23"/>
      <c r="K3276" s="30"/>
      <c r="L3276" s="23"/>
      <c r="M3276" s="20"/>
      <c r="N3276" s="20"/>
      <c r="O3276" s="20"/>
      <c r="P3276" s="20"/>
    </row>
    <row r="3277">
      <c r="A3277" s="10"/>
      <c r="B3277" s="11"/>
      <c r="C3277" s="10"/>
      <c r="D3277" s="13"/>
      <c r="E3277" s="14"/>
      <c r="F3277" s="14"/>
      <c r="G3277" s="14"/>
      <c r="H3277" s="10"/>
      <c r="I3277" s="17"/>
      <c r="J3277" s="10"/>
      <c r="K3277" s="46"/>
      <c r="L3277" s="10"/>
      <c r="M3277" s="20"/>
      <c r="N3277" s="20"/>
      <c r="O3277" s="20"/>
      <c r="P3277" s="20"/>
    </row>
    <row r="3278">
      <c r="A3278" s="23"/>
      <c r="B3278" s="21"/>
      <c r="C3278" s="23"/>
      <c r="D3278" s="24"/>
      <c r="E3278" s="14"/>
      <c r="F3278" s="14"/>
      <c r="G3278" s="14"/>
      <c r="H3278" s="23"/>
      <c r="I3278" s="27"/>
      <c r="J3278" s="23"/>
      <c r="K3278" s="30"/>
      <c r="L3278" s="23"/>
      <c r="M3278" s="20"/>
      <c r="N3278" s="20"/>
      <c r="O3278" s="20"/>
      <c r="P3278" s="20"/>
    </row>
    <row r="3279">
      <c r="A3279" s="10"/>
      <c r="B3279" s="11"/>
      <c r="C3279" s="10"/>
      <c r="D3279" s="13"/>
      <c r="E3279" s="14"/>
      <c r="F3279" s="14"/>
      <c r="G3279" s="14"/>
      <c r="H3279" s="10"/>
      <c r="I3279" s="17"/>
      <c r="J3279" s="10"/>
      <c r="K3279" s="46"/>
      <c r="L3279" s="10"/>
      <c r="M3279" s="20"/>
      <c r="N3279" s="20"/>
      <c r="O3279" s="20"/>
      <c r="P3279" s="20"/>
    </row>
    <row r="3280">
      <c r="A3280" s="23"/>
      <c r="B3280" s="21"/>
      <c r="C3280" s="23"/>
      <c r="D3280" s="24"/>
      <c r="E3280" s="14"/>
      <c r="F3280" s="14"/>
      <c r="G3280" s="14"/>
      <c r="H3280" s="23"/>
      <c r="I3280" s="27"/>
      <c r="J3280" s="23"/>
      <c r="K3280" s="30"/>
      <c r="L3280" s="23"/>
      <c r="M3280" s="20"/>
      <c r="N3280" s="20"/>
      <c r="O3280" s="20"/>
      <c r="P3280" s="20"/>
    </row>
    <row r="3281">
      <c r="A3281" s="10"/>
      <c r="B3281" s="11"/>
      <c r="C3281" s="10"/>
      <c r="D3281" s="13"/>
      <c r="E3281" s="14"/>
      <c r="F3281" s="14"/>
      <c r="G3281" s="14"/>
      <c r="H3281" s="10"/>
      <c r="I3281" s="17"/>
      <c r="J3281" s="10"/>
      <c r="K3281" s="46"/>
      <c r="L3281" s="10"/>
      <c r="M3281" s="20"/>
      <c r="N3281" s="20"/>
      <c r="O3281" s="20"/>
      <c r="P3281" s="20"/>
    </row>
    <row r="3282">
      <c r="A3282" s="23"/>
      <c r="B3282" s="21"/>
      <c r="C3282" s="23"/>
      <c r="D3282" s="24"/>
      <c r="E3282" s="14"/>
      <c r="F3282" s="14"/>
      <c r="G3282" s="14"/>
      <c r="H3282" s="23"/>
      <c r="I3282" s="27"/>
      <c r="J3282" s="23"/>
      <c r="K3282" s="30"/>
      <c r="L3282" s="23"/>
      <c r="M3282" s="20"/>
      <c r="N3282" s="20"/>
      <c r="O3282" s="20"/>
      <c r="P3282" s="20"/>
    </row>
    <row r="3283">
      <c r="A3283" s="10"/>
      <c r="B3283" s="11"/>
      <c r="C3283" s="10"/>
      <c r="D3283" s="13"/>
      <c r="E3283" s="14"/>
      <c r="F3283" s="14"/>
      <c r="G3283" s="14"/>
      <c r="H3283" s="10"/>
      <c r="I3283" s="17"/>
      <c r="J3283" s="10"/>
      <c r="K3283" s="46"/>
      <c r="L3283" s="10"/>
      <c r="M3283" s="20"/>
      <c r="N3283" s="20"/>
      <c r="O3283" s="20"/>
      <c r="P3283" s="20"/>
    </row>
    <row r="3284">
      <c r="A3284" s="23"/>
      <c r="B3284" s="21"/>
      <c r="C3284" s="23"/>
      <c r="D3284" s="24"/>
      <c r="E3284" s="14"/>
      <c r="F3284" s="14"/>
      <c r="G3284" s="14"/>
      <c r="H3284" s="23"/>
      <c r="I3284" s="27"/>
      <c r="J3284" s="23"/>
      <c r="K3284" s="30"/>
      <c r="L3284" s="23"/>
      <c r="M3284" s="20"/>
      <c r="N3284" s="20"/>
      <c r="O3284" s="20"/>
      <c r="P3284" s="20"/>
    </row>
    <row r="3285">
      <c r="A3285" s="10"/>
      <c r="B3285" s="11"/>
      <c r="C3285" s="10"/>
      <c r="D3285" s="13"/>
      <c r="E3285" s="14"/>
      <c r="F3285" s="14"/>
      <c r="G3285" s="14"/>
      <c r="H3285" s="10"/>
      <c r="I3285" s="17"/>
      <c r="J3285" s="10"/>
      <c r="K3285" s="46"/>
      <c r="L3285" s="10"/>
      <c r="M3285" s="20"/>
      <c r="N3285" s="20"/>
      <c r="O3285" s="20"/>
      <c r="P3285" s="20"/>
    </row>
    <row r="3286">
      <c r="A3286" s="23"/>
      <c r="B3286" s="21"/>
      <c r="C3286" s="23"/>
      <c r="D3286" s="24"/>
      <c r="E3286" s="14"/>
      <c r="F3286" s="14"/>
      <c r="G3286" s="14"/>
      <c r="H3286" s="23"/>
      <c r="I3286" s="27"/>
      <c r="J3286" s="23"/>
      <c r="K3286" s="30"/>
      <c r="L3286" s="23"/>
      <c r="M3286" s="20"/>
      <c r="N3286" s="20"/>
      <c r="O3286" s="20"/>
      <c r="P3286" s="20"/>
    </row>
    <row r="3287">
      <c r="A3287" s="10"/>
      <c r="B3287" s="11"/>
      <c r="C3287" s="10"/>
      <c r="D3287" s="13"/>
      <c r="E3287" s="14"/>
      <c r="F3287" s="14"/>
      <c r="G3287" s="14"/>
      <c r="H3287" s="10"/>
      <c r="I3287" s="17"/>
      <c r="J3287" s="10"/>
      <c r="K3287" s="46"/>
      <c r="L3287" s="10"/>
      <c r="M3287" s="20"/>
      <c r="N3287" s="20"/>
      <c r="O3287" s="20"/>
      <c r="P3287" s="20"/>
    </row>
    <row r="3288">
      <c r="A3288" s="23"/>
      <c r="B3288" s="21"/>
      <c r="C3288" s="23"/>
      <c r="D3288" s="24"/>
      <c r="E3288" s="14"/>
      <c r="F3288" s="14"/>
      <c r="G3288" s="14"/>
      <c r="H3288" s="23"/>
      <c r="I3288" s="27"/>
      <c r="J3288" s="23"/>
      <c r="K3288" s="30"/>
      <c r="L3288" s="23"/>
      <c r="M3288" s="20"/>
      <c r="N3288" s="20"/>
      <c r="O3288" s="20"/>
      <c r="P3288" s="20"/>
    </row>
    <row r="3289">
      <c r="A3289" s="10"/>
      <c r="B3289" s="11"/>
      <c r="C3289" s="10"/>
      <c r="D3289" s="13"/>
      <c r="E3289" s="14"/>
      <c r="F3289" s="14"/>
      <c r="G3289" s="14"/>
      <c r="H3289" s="10"/>
      <c r="I3289" s="17"/>
      <c r="J3289" s="10"/>
      <c r="K3289" s="46"/>
      <c r="L3289" s="10"/>
      <c r="M3289" s="20"/>
      <c r="N3289" s="20"/>
      <c r="O3289" s="20"/>
      <c r="P3289" s="20"/>
    </row>
    <row r="3290">
      <c r="A3290" s="23"/>
      <c r="B3290" s="21"/>
      <c r="C3290" s="23"/>
      <c r="D3290" s="24"/>
      <c r="E3290" s="14"/>
      <c r="F3290" s="14"/>
      <c r="G3290" s="14"/>
      <c r="H3290" s="23"/>
      <c r="I3290" s="27"/>
      <c r="J3290" s="23"/>
      <c r="K3290" s="30"/>
      <c r="L3290" s="23"/>
      <c r="M3290" s="20"/>
      <c r="N3290" s="20"/>
      <c r="O3290" s="20"/>
      <c r="P3290" s="20"/>
    </row>
    <row r="3291">
      <c r="A3291" s="10"/>
      <c r="B3291" s="11"/>
      <c r="C3291" s="10"/>
      <c r="D3291" s="13"/>
      <c r="E3291" s="14"/>
      <c r="F3291" s="14"/>
      <c r="G3291" s="14"/>
      <c r="H3291" s="10"/>
      <c r="I3291" s="17"/>
      <c r="J3291" s="10"/>
      <c r="K3291" s="46"/>
      <c r="L3291" s="10"/>
      <c r="M3291" s="20"/>
      <c r="N3291" s="20"/>
      <c r="O3291" s="20"/>
      <c r="P3291" s="20"/>
    </row>
    <row r="3292">
      <c r="A3292" s="23"/>
      <c r="B3292" s="21"/>
      <c r="C3292" s="23"/>
      <c r="D3292" s="24"/>
      <c r="E3292" s="14"/>
      <c r="F3292" s="14"/>
      <c r="G3292" s="14"/>
      <c r="H3292" s="23"/>
      <c r="I3292" s="27"/>
      <c r="J3292" s="23"/>
      <c r="K3292" s="30"/>
      <c r="L3292" s="23"/>
      <c r="M3292" s="20"/>
      <c r="N3292" s="20"/>
      <c r="O3292" s="20"/>
      <c r="P3292" s="20"/>
    </row>
    <row r="3293">
      <c r="A3293" s="10"/>
      <c r="B3293" s="11"/>
      <c r="C3293" s="10"/>
      <c r="D3293" s="13"/>
      <c r="E3293" s="14"/>
      <c r="F3293" s="14"/>
      <c r="G3293" s="14"/>
      <c r="H3293" s="10"/>
      <c r="I3293" s="17"/>
      <c r="J3293" s="10"/>
      <c r="K3293" s="46"/>
      <c r="L3293" s="10"/>
      <c r="M3293" s="20"/>
      <c r="N3293" s="20"/>
      <c r="O3293" s="20"/>
      <c r="P3293" s="20"/>
    </row>
    <row r="3294">
      <c r="A3294" s="23"/>
      <c r="B3294" s="21"/>
      <c r="C3294" s="23"/>
      <c r="D3294" s="24"/>
      <c r="E3294" s="14"/>
      <c r="F3294" s="14"/>
      <c r="G3294" s="14"/>
      <c r="H3294" s="23"/>
      <c r="I3294" s="27"/>
      <c r="J3294" s="23"/>
      <c r="K3294" s="30"/>
      <c r="L3294" s="23"/>
      <c r="M3294" s="20"/>
      <c r="N3294" s="20"/>
      <c r="O3294" s="20"/>
      <c r="P3294" s="20"/>
    </row>
    <row r="3295">
      <c r="A3295" s="10"/>
      <c r="B3295" s="11"/>
      <c r="C3295" s="10"/>
      <c r="D3295" s="13"/>
      <c r="E3295" s="14"/>
      <c r="F3295" s="14"/>
      <c r="G3295" s="14"/>
      <c r="H3295" s="10"/>
      <c r="I3295" s="17"/>
      <c r="J3295" s="10"/>
      <c r="K3295" s="46"/>
      <c r="L3295" s="10"/>
      <c r="M3295" s="20"/>
      <c r="N3295" s="20"/>
      <c r="O3295" s="20"/>
      <c r="P3295" s="20"/>
    </row>
    <row r="3296">
      <c r="A3296" s="23"/>
      <c r="B3296" s="21"/>
      <c r="C3296" s="23"/>
      <c r="D3296" s="24"/>
      <c r="E3296" s="14"/>
      <c r="F3296" s="14"/>
      <c r="G3296" s="14"/>
      <c r="H3296" s="23"/>
      <c r="I3296" s="27"/>
      <c r="J3296" s="23"/>
      <c r="K3296" s="30"/>
      <c r="L3296" s="23"/>
      <c r="M3296" s="20"/>
      <c r="N3296" s="20"/>
      <c r="O3296" s="20"/>
      <c r="P3296" s="20"/>
    </row>
    <row r="3297">
      <c r="A3297" s="10"/>
      <c r="B3297" s="11"/>
      <c r="C3297" s="10"/>
      <c r="D3297" s="13"/>
      <c r="E3297" s="14"/>
      <c r="F3297" s="14"/>
      <c r="G3297" s="14"/>
      <c r="H3297" s="10"/>
      <c r="I3297" s="17"/>
      <c r="J3297" s="10"/>
      <c r="K3297" s="46"/>
      <c r="L3297" s="10"/>
      <c r="M3297" s="20"/>
      <c r="N3297" s="20"/>
      <c r="O3297" s="20"/>
      <c r="P3297" s="20"/>
    </row>
    <row r="3298">
      <c r="A3298" s="23"/>
      <c r="B3298" s="21"/>
      <c r="C3298" s="23"/>
      <c r="D3298" s="24"/>
      <c r="E3298" s="14"/>
      <c r="F3298" s="14"/>
      <c r="G3298" s="14"/>
      <c r="H3298" s="23"/>
      <c r="I3298" s="27"/>
      <c r="J3298" s="23"/>
      <c r="K3298" s="30"/>
      <c r="L3298" s="23"/>
      <c r="M3298" s="20"/>
      <c r="N3298" s="20"/>
      <c r="O3298" s="20"/>
      <c r="P3298" s="20"/>
    </row>
    <row r="3299">
      <c r="A3299" s="10"/>
      <c r="B3299" s="11"/>
      <c r="C3299" s="10"/>
      <c r="D3299" s="13"/>
      <c r="E3299" s="14"/>
      <c r="F3299" s="14"/>
      <c r="G3299" s="14"/>
      <c r="H3299" s="10"/>
      <c r="I3299" s="17"/>
      <c r="J3299" s="10"/>
      <c r="K3299" s="46"/>
      <c r="L3299" s="10"/>
      <c r="M3299" s="20"/>
      <c r="N3299" s="20"/>
      <c r="O3299" s="20"/>
      <c r="P3299" s="20"/>
    </row>
    <row r="3300">
      <c r="A3300" s="23"/>
      <c r="B3300" s="21"/>
      <c r="C3300" s="23"/>
      <c r="D3300" s="24"/>
      <c r="E3300" s="14"/>
      <c r="F3300" s="14"/>
      <c r="G3300" s="14"/>
      <c r="H3300" s="23"/>
      <c r="I3300" s="27"/>
      <c r="J3300" s="23"/>
      <c r="K3300" s="30"/>
      <c r="L3300" s="23"/>
      <c r="M3300" s="20"/>
      <c r="N3300" s="20"/>
      <c r="O3300" s="20"/>
      <c r="P3300" s="20"/>
    </row>
    <row r="3301">
      <c r="A3301" s="10"/>
      <c r="B3301" s="11"/>
      <c r="C3301" s="10"/>
      <c r="D3301" s="13"/>
      <c r="E3301" s="14"/>
      <c r="F3301" s="14"/>
      <c r="G3301" s="14"/>
      <c r="H3301" s="10"/>
      <c r="I3301" s="17"/>
      <c r="J3301" s="10"/>
      <c r="K3301" s="46"/>
      <c r="L3301" s="10"/>
      <c r="M3301" s="20"/>
      <c r="N3301" s="20"/>
      <c r="O3301" s="20"/>
      <c r="P3301" s="20"/>
    </row>
    <row r="3302">
      <c r="A3302" s="23"/>
      <c r="B3302" s="21"/>
      <c r="C3302" s="23"/>
      <c r="D3302" s="24"/>
      <c r="E3302" s="14"/>
      <c r="F3302" s="14"/>
      <c r="G3302" s="14"/>
      <c r="H3302" s="23"/>
      <c r="I3302" s="27"/>
      <c r="J3302" s="23"/>
      <c r="K3302" s="30"/>
      <c r="L3302" s="23"/>
      <c r="M3302" s="20"/>
      <c r="N3302" s="20"/>
      <c r="O3302" s="20"/>
      <c r="P3302" s="20"/>
    </row>
    <row r="3303">
      <c r="A3303" s="10"/>
      <c r="B3303" s="11"/>
      <c r="C3303" s="10"/>
      <c r="D3303" s="13"/>
      <c r="E3303" s="14"/>
      <c r="F3303" s="14"/>
      <c r="G3303" s="14"/>
      <c r="H3303" s="10"/>
      <c r="I3303" s="17"/>
      <c r="J3303" s="10"/>
      <c r="K3303" s="46"/>
      <c r="L3303" s="10"/>
      <c r="M3303" s="20"/>
      <c r="N3303" s="20"/>
      <c r="O3303" s="20"/>
      <c r="P3303" s="20"/>
    </row>
    <row r="3304">
      <c r="A3304" s="23"/>
      <c r="B3304" s="21"/>
      <c r="C3304" s="23"/>
      <c r="D3304" s="24"/>
      <c r="E3304" s="14"/>
      <c r="F3304" s="14"/>
      <c r="G3304" s="14"/>
      <c r="H3304" s="23"/>
      <c r="I3304" s="27"/>
      <c r="J3304" s="23"/>
      <c r="K3304" s="30"/>
      <c r="L3304" s="23"/>
      <c r="M3304" s="20"/>
      <c r="N3304" s="20"/>
      <c r="O3304" s="20"/>
      <c r="P3304" s="20"/>
    </row>
    <row r="3305">
      <c r="A3305" s="10"/>
      <c r="B3305" s="11"/>
      <c r="C3305" s="10"/>
      <c r="D3305" s="13"/>
      <c r="E3305" s="14"/>
      <c r="F3305" s="14"/>
      <c r="G3305" s="14"/>
      <c r="H3305" s="10"/>
      <c r="I3305" s="17"/>
      <c r="J3305" s="10"/>
      <c r="K3305" s="46"/>
      <c r="L3305" s="10"/>
      <c r="M3305" s="20"/>
      <c r="N3305" s="20"/>
      <c r="O3305" s="20"/>
      <c r="P3305" s="20"/>
    </row>
    <row r="3306">
      <c r="A3306" s="23"/>
      <c r="B3306" s="21"/>
      <c r="C3306" s="23"/>
      <c r="D3306" s="24"/>
      <c r="E3306" s="14"/>
      <c r="F3306" s="14"/>
      <c r="G3306" s="14"/>
      <c r="H3306" s="23"/>
      <c r="I3306" s="27"/>
      <c r="J3306" s="23"/>
      <c r="K3306" s="30"/>
      <c r="L3306" s="23"/>
      <c r="M3306" s="20"/>
      <c r="N3306" s="20"/>
      <c r="O3306" s="20"/>
      <c r="P3306" s="20"/>
    </row>
    <row r="3307">
      <c r="A3307" s="10"/>
      <c r="B3307" s="11"/>
      <c r="C3307" s="10"/>
      <c r="D3307" s="13"/>
      <c r="E3307" s="14"/>
      <c r="F3307" s="14"/>
      <c r="G3307" s="14"/>
      <c r="H3307" s="10"/>
      <c r="I3307" s="17"/>
      <c r="J3307" s="10"/>
      <c r="K3307" s="46"/>
      <c r="L3307" s="10"/>
      <c r="M3307" s="20"/>
      <c r="N3307" s="20"/>
      <c r="O3307" s="20"/>
      <c r="P3307" s="20"/>
    </row>
    <row r="3308">
      <c r="A3308" s="23"/>
      <c r="B3308" s="21"/>
      <c r="C3308" s="23"/>
      <c r="D3308" s="24"/>
      <c r="E3308" s="14"/>
      <c r="F3308" s="14"/>
      <c r="G3308" s="14"/>
      <c r="H3308" s="23"/>
      <c r="I3308" s="27"/>
      <c r="J3308" s="23"/>
      <c r="K3308" s="30"/>
      <c r="L3308" s="23"/>
      <c r="M3308" s="20"/>
      <c r="N3308" s="20"/>
      <c r="O3308" s="20"/>
      <c r="P3308" s="20"/>
    </row>
    <row r="3309">
      <c r="A3309" s="10"/>
      <c r="B3309" s="11"/>
      <c r="C3309" s="10"/>
      <c r="D3309" s="13"/>
      <c r="E3309" s="14"/>
      <c r="F3309" s="14"/>
      <c r="G3309" s="14"/>
      <c r="H3309" s="10"/>
      <c r="I3309" s="17"/>
      <c r="J3309" s="10"/>
      <c r="K3309" s="46"/>
      <c r="L3309" s="10"/>
      <c r="M3309" s="20"/>
      <c r="N3309" s="20"/>
      <c r="O3309" s="20"/>
      <c r="P3309" s="20"/>
    </row>
    <row r="3310">
      <c r="A3310" s="23"/>
      <c r="B3310" s="21"/>
      <c r="C3310" s="23"/>
      <c r="D3310" s="24"/>
      <c r="E3310" s="14"/>
      <c r="F3310" s="14"/>
      <c r="G3310" s="14"/>
      <c r="H3310" s="23"/>
      <c r="I3310" s="27"/>
      <c r="J3310" s="23"/>
      <c r="K3310" s="30"/>
      <c r="L3310" s="23"/>
      <c r="M3310" s="20"/>
      <c r="N3310" s="20"/>
      <c r="O3310" s="20"/>
      <c r="P3310" s="20"/>
    </row>
    <row r="3311">
      <c r="A3311" s="10"/>
      <c r="B3311" s="11"/>
      <c r="C3311" s="10"/>
      <c r="D3311" s="13"/>
      <c r="E3311" s="14"/>
      <c r="F3311" s="14"/>
      <c r="G3311" s="14"/>
      <c r="H3311" s="10"/>
      <c r="I3311" s="17"/>
      <c r="J3311" s="10"/>
      <c r="K3311" s="46"/>
      <c r="L3311" s="10"/>
      <c r="M3311" s="20"/>
      <c r="N3311" s="20"/>
      <c r="O3311" s="20"/>
      <c r="P3311" s="20"/>
    </row>
    <row r="3312">
      <c r="A3312" s="23"/>
      <c r="B3312" s="21"/>
      <c r="C3312" s="23"/>
      <c r="D3312" s="24"/>
      <c r="E3312" s="14"/>
      <c r="F3312" s="14"/>
      <c r="G3312" s="14"/>
      <c r="H3312" s="23"/>
      <c r="I3312" s="27"/>
      <c r="J3312" s="23"/>
      <c r="K3312" s="30"/>
      <c r="L3312" s="23"/>
      <c r="M3312" s="20"/>
      <c r="N3312" s="20"/>
      <c r="O3312" s="20"/>
      <c r="P3312" s="20"/>
    </row>
    <row r="3313">
      <c r="A3313" s="10"/>
      <c r="B3313" s="11"/>
      <c r="C3313" s="10"/>
      <c r="D3313" s="13"/>
      <c r="E3313" s="14"/>
      <c r="F3313" s="14"/>
      <c r="G3313" s="14"/>
      <c r="H3313" s="10"/>
      <c r="I3313" s="17"/>
      <c r="J3313" s="10"/>
      <c r="K3313" s="46"/>
      <c r="L3313" s="10"/>
      <c r="M3313" s="20"/>
      <c r="N3313" s="20"/>
      <c r="O3313" s="20"/>
      <c r="P3313" s="20"/>
    </row>
    <row r="3314">
      <c r="A3314" s="23"/>
      <c r="B3314" s="21"/>
      <c r="C3314" s="23"/>
      <c r="D3314" s="24"/>
      <c r="E3314" s="14"/>
      <c r="F3314" s="14"/>
      <c r="G3314" s="14"/>
      <c r="H3314" s="23"/>
      <c r="I3314" s="27"/>
      <c r="J3314" s="23"/>
      <c r="K3314" s="30"/>
      <c r="L3314" s="23"/>
      <c r="M3314" s="20"/>
      <c r="N3314" s="20"/>
      <c r="O3314" s="20"/>
      <c r="P3314" s="20"/>
    </row>
    <row r="3315">
      <c r="A3315" s="10"/>
      <c r="B3315" s="11"/>
      <c r="C3315" s="10"/>
      <c r="D3315" s="13"/>
      <c r="E3315" s="14"/>
      <c r="F3315" s="14"/>
      <c r="G3315" s="14"/>
      <c r="H3315" s="10"/>
      <c r="I3315" s="17"/>
      <c r="J3315" s="10"/>
      <c r="K3315" s="46"/>
      <c r="L3315" s="10"/>
      <c r="M3315" s="20"/>
      <c r="N3315" s="20"/>
      <c r="O3315" s="20"/>
      <c r="P3315" s="20"/>
    </row>
    <row r="3316">
      <c r="A3316" s="23"/>
      <c r="B3316" s="21"/>
      <c r="C3316" s="23"/>
      <c r="D3316" s="24"/>
      <c r="E3316" s="14"/>
      <c r="F3316" s="14"/>
      <c r="G3316" s="14"/>
      <c r="H3316" s="23"/>
      <c r="I3316" s="27"/>
      <c r="J3316" s="23"/>
      <c r="K3316" s="30"/>
      <c r="L3316" s="23"/>
      <c r="M3316" s="20"/>
      <c r="N3316" s="20"/>
      <c r="O3316" s="20"/>
      <c r="P3316" s="20"/>
    </row>
    <row r="3317">
      <c r="A3317" s="10"/>
      <c r="B3317" s="11"/>
      <c r="C3317" s="10"/>
      <c r="D3317" s="13"/>
      <c r="E3317" s="14"/>
      <c r="F3317" s="14"/>
      <c r="G3317" s="14"/>
      <c r="H3317" s="10"/>
      <c r="I3317" s="17"/>
      <c r="J3317" s="10"/>
      <c r="K3317" s="46"/>
      <c r="L3317" s="10"/>
      <c r="M3317" s="20"/>
      <c r="N3317" s="20"/>
      <c r="O3317" s="20"/>
      <c r="P3317" s="20"/>
    </row>
    <row r="3318">
      <c r="A3318" s="23"/>
      <c r="B3318" s="21"/>
      <c r="C3318" s="23"/>
      <c r="D3318" s="24"/>
      <c r="E3318" s="14"/>
      <c r="F3318" s="14"/>
      <c r="G3318" s="14"/>
      <c r="H3318" s="23"/>
      <c r="I3318" s="27"/>
      <c r="J3318" s="23"/>
      <c r="K3318" s="30"/>
      <c r="L3318" s="23"/>
      <c r="M3318" s="20"/>
      <c r="N3318" s="20"/>
      <c r="O3318" s="20"/>
      <c r="P3318" s="20"/>
    </row>
    <row r="3319">
      <c r="A3319" s="10"/>
      <c r="B3319" s="11"/>
      <c r="C3319" s="10"/>
      <c r="D3319" s="13"/>
      <c r="E3319" s="14"/>
      <c r="F3319" s="14"/>
      <c r="G3319" s="14"/>
      <c r="H3319" s="10"/>
      <c r="I3319" s="17"/>
      <c r="J3319" s="10"/>
      <c r="K3319" s="46"/>
      <c r="L3319" s="10"/>
      <c r="M3319" s="20"/>
      <c r="N3319" s="20"/>
      <c r="O3319" s="20"/>
      <c r="P3319" s="20"/>
    </row>
    <row r="3320">
      <c r="A3320" s="23"/>
      <c r="B3320" s="21"/>
      <c r="C3320" s="23"/>
      <c r="D3320" s="24"/>
      <c r="E3320" s="14"/>
      <c r="F3320" s="14"/>
      <c r="G3320" s="14"/>
      <c r="H3320" s="23"/>
      <c r="I3320" s="27"/>
      <c r="J3320" s="23"/>
      <c r="K3320" s="30"/>
      <c r="L3320" s="23"/>
      <c r="M3320" s="20"/>
      <c r="N3320" s="20"/>
      <c r="O3320" s="20"/>
      <c r="P3320" s="20"/>
    </row>
    <row r="3321">
      <c r="A3321" s="10"/>
      <c r="B3321" s="11"/>
      <c r="C3321" s="10"/>
      <c r="D3321" s="13"/>
      <c r="E3321" s="14"/>
      <c r="F3321" s="14"/>
      <c r="G3321" s="14"/>
      <c r="H3321" s="10"/>
      <c r="I3321" s="17"/>
      <c r="J3321" s="10"/>
      <c r="K3321" s="46"/>
      <c r="L3321" s="10"/>
      <c r="M3321" s="20"/>
      <c r="N3321" s="20"/>
      <c r="O3321" s="20"/>
      <c r="P3321" s="20"/>
    </row>
    <row r="3322">
      <c r="A3322" s="23"/>
      <c r="B3322" s="21"/>
      <c r="C3322" s="23"/>
      <c r="D3322" s="24"/>
      <c r="E3322" s="14"/>
      <c r="F3322" s="14"/>
      <c r="G3322" s="14"/>
      <c r="H3322" s="23"/>
      <c r="I3322" s="27"/>
      <c r="J3322" s="23"/>
      <c r="K3322" s="30"/>
      <c r="L3322" s="23"/>
      <c r="M3322" s="20"/>
      <c r="N3322" s="20"/>
      <c r="O3322" s="20"/>
      <c r="P3322" s="20"/>
    </row>
    <row r="3323">
      <c r="A3323" s="10"/>
      <c r="B3323" s="11"/>
      <c r="C3323" s="10"/>
      <c r="D3323" s="13"/>
      <c r="E3323" s="14"/>
      <c r="F3323" s="14"/>
      <c r="G3323" s="14"/>
      <c r="H3323" s="10"/>
      <c r="I3323" s="17"/>
      <c r="J3323" s="10"/>
      <c r="K3323" s="46"/>
      <c r="L3323" s="10"/>
      <c r="M3323" s="20"/>
      <c r="N3323" s="20"/>
      <c r="O3323" s="20"/>
      <c r="P3323" s="20"/>
    </row>
    <row r="3324">
      <c r="A3324" s="23"/>
      <c r="B3324" s="21"/>
      <c r="C3324" s="23"/>
      <c r="D3324" s="24"/>
      <c r="E3324" s="14"/>
      <c r="F3324" s="14"/>
      <c r="G3324" s="14"/>
      <c r="H3324" s="23"/>
      <c r="I3324" s="27"/>
      <c r="J3324" s="23"/>
      <c r="K3324" s="30"/>
      <c r="L3324" s="23"/>
      <c r="M3324" s="20"/>
      <c r="N3324" s="20"/>
      <c r="O3324" s="20"/>
      <c r="P3324" s="20"/>
    </row>
    <row r="3325">
      <c r="A3325" s="10"/>
      <c r="B3325" s="11"/>
      <c r="C3325" s="10"/>
      <c r="D3325" s="13"/>
      <c r="E3325" s="14"/>
      <c r="F3325" s="14"/>
      <c r="G3325" s="14"/>
      <c r="H3325" s="10"/>
      <c r="I3325" s="17"/>
      <c r="J3325" s="10"/>
      <c r="K3325" s="46"/>
      <c r="L3325" s="10"/>
      <c r="M3325" s="20"/>
      <c r="N3325" s="20"/>
      <c r="O3325" s="20"/>
      <c r="P3325" s="20"/>
    </row>
    <row r="3326">
      <c r="A3326" s="23"/>
      <c r="B3326" s="21"/>
      <c r="C3326" s="23"/>
      <c r="D3326" s="24"/>
      <c r="E3326" s="14"/>
      <c r="F3326" s="14"/>
      <c r="G3326" s="14"/>
      <c r="H3326" s="23"/>
      <c r="I3326" s="27"/>
      <c r="J3326" s="23"/>
      <c r="K3326" s="30"/>
      <c r="L3326" s="23"/>
      <c r="M3326" s="20"/>
      <c r="N3326" s="20"/>
      <c r="O3326" s="20"/>
      <c r="P3326" s="20"/>
    </row>
    <row r="3327">
      <c r="A3327" s="10"/>
      <c r="B3327" s="11"/>
      <c r="C3327" s="10"/>
      <c r="D3327" s="13"/>
      <c r="E3327" s="14"/>
      <c r="F3327" s="14"/>
      <c r="G3327" s="14"/>
      <c r="H3327" s="10"/>
      <c r="I3327" s="17"/>
      <c r="J3327" s="10"/>
      <c r="K3327" s="46"/>
      <c r="L3327" s="10"/>
      <c r="M3327" s="20"/>
      <c r="N3327" s="20"/>
      <c r="O3327" s="20"/>
      <c r="P3327" s="20"/>
    </row>
    <row r="3328">
      <c r="A3328" s="23"/>
      <c r="B3328" s="21"/>
      <c r="C3328" s="23"/>
      <c r="D3328" s="24"/>
      <c r="E3328" s="14"/>
      <c r="F3328" s="14"/>
      <c r="G3328" s="14"/>
      <c r="H3328" s="23"/>
      <c r="I3328" s="27"/>
      <c r="J3328" s="23"/>
      <c r="K3328" s="30"/>
      <c r="L3328" s="23"/>
      <c r="M3328" s="20"/>
      <c r="N3328" s="20"/>
      <c r="O3328" s="20"/>
      <c r="P3328" s="20"/>
    </row>
    <row r="3329">
      <c r="A3329" s="10"/>
      <c r="B3329" s="11"/>
      <c r="C3329" s="10"/>
      <c r="D3329" s="13"/>
      <c r="E3329" s="14"/>
      <c r="F3329" s="14"/>
      <c r="G3329" s="14"/>
      <c r="H3329" s="10"/>
      <c r="I3329" s="17"/>
      <c r="J3329" s="10"/>
      <c r="K3329" s="46"/>
      <c r="L3329" s="10"/>
      <c r="M3329" s="20"/>
      <c r="N3329" s="20"/>
      <c r="O3329" s="20"/>
      <c r="P3329" s="20"/>
    </row>
    <row r="3330">
      <c r="A3330" s="23"/>
      <c r="B3330" s="21"/>
      <c r="C3330" s="23"/>
      <c r="D3330" s="24"/>
      <c r="E3330" s="14"/>
      <c r="F3330" s="14"/>
      <c r="G3330" s="14"/>
      <c r="H3330" s="23"/>
      <c r="I3330" s="27"/>
      <c r="J3330" s="23"/>
      <c r="K3330" s="30"/>
      <c r="L3330" s="23"/>
      <c r="M3330" s="20"/>
      <c r="N3330" s="20"/>
      <c r="O3330" s="20"/>
      <c r="P3330" s="20"/>
    </row>
    <row r="3331">
      <c r="A3331" s="10"/>
      <c r="B3331" s="11"/>
      <c r="C3331" s="10"/>
      <c r="D3331" s="13"/>
      <c r="E3331" s="14"/>
      <c r="F3331" s="14"/>
      <c r="G3331" s="14"/>
      <c r="H3331" s="10"/>
      <c r="I3331" s="17"/>
      <c r="J3331" s="10"/>
      <c r="K3331" s="46"/>
      <c r="L3331" s="10"/>
      <c r="M3331" s="20"/>
      <c r="N3331" s="20"/>
      <c r="O3331" s="20"/>
      <c r="P3331" s="20"/>
    </row>
    <row r="3332">
      <c r="A3332" s="23"/>
      <c r="B3332" s="21"/>
      <c r="C3332" s="23"/>
      <c r="D3332" s="24"/>
      <c r="E3332" s="14"/>
      <c r="F3332" s="14"/>
      <c r="G3332" s="14"/>
      <c r="H3332" s="23"/>
      <c r="I3332" s="27"/>
      <c r="J3332" s="23"/>
      <c r="K3332" s="30"/>
      <c r="L3332" s="23"/>
      <c r="M3332" s="20"/>
      <c r="N3332" s="20"/>
      <c r="O3332" s="20"/>
      <c r="P3332" s="20"/>
    </row>
    <row r="3333">
      <c r="A3333" s="10"/>
      <c r="B3333" s="11"/>
      <c r="C3333" s="10"/>
      <c r="D3333" s="13"/>
      <c r="E3333" s="14"/>
      <c r="F3333" s="14"/>
      <c r="G3333" s="14"/>
      <c r="H3333" s="10"/>
      <c r="I3333" s="17"/>
      <c r="J3333" s="10"/>
      <c r="K3333" s="46"/>
      <c r="L3333" s="10"/>
      <c r="M3333" s="20"/>
      <c r="N3333" s="20"/>
      <c r="O3333" s="20"/>
      <c r="P3333" s="20"/>
    </row>
    <row r="3334">
      <c r="A3334" s="23"/>
      <c r="B3334" s="21"/>
      <c r="C3334" s="23"/>
      <c r="D3334" s="24"/>
      <c r="E3334" s="14"/>
      <c r="F3334" s="14"/>
      <c r="G3334" s="14"/>
      <c r="H3334" s="23"/>
      <c r="I3334" s="27"/>
      <c r="J3334" s="23"/>
      <c r="K3334" s="30"/>
      <c r="L3334" s="23"/>
      <c r="M3334" s="20"/>
      <c r="N3334" s="20"/>
      <c r="O3334" s="20"/>
      <c r="P3334" s="20"/>
    </row>
    <row r="3335">
      <c r="A3335" s="10"/>
      <c r="B3335" s="11"/>
      <c r="C3335" s="10"/>
      <c r="D3335" s="13"/>
      <c r="E3335" s="14"/>
      <c r="F3335" s="14"/>
      <c r="G3335" s="14"/>
      <c r="H3335" s="10"/>
      <c r="I3335" s="17"/>
      <c r="J3335" s="10"/>
      <c r="K3335" s="46"/>
      <c r="L3335" s="10"/>
      <c r="M3335" s="20"/>
      <c r="N3335" s="20"/>
      <c r="O3335" s="20"/>
      <c r="P3335" s="20"/>
    </row>
    <row r="3336">
      <c r="A3336" s="23"/>
      <c r="B3336" s="21"/>
      <c r="C3336" s="23"/>
      <c r="D3336" s="24"/>
      <c r="E3336" s="14"/>
      <c r="F3336" s="14"/>
      <c r="G3336" s="14"/>
      <c r="H3336" s="23"/>
      <c r="I3336" s="27"/>
      <c r="J3336" s="23"/>
      <c r="K3336" s="30"/>
      <c r="L3336" s="23"/>
      <c r="M3336" s="20"/>
      <c r="N3336" s="20"/>
      <c r="O3336" s="20"/>
      <c r="P3336" s="20"/>
    </row>
    <row r="3337">
      <c r="A3337" s="10"/>
      <c r="B3337" s="11"/>
      <c r="C3337" s="10"/>
      <c r="D3337" s="13"/>
      <c r="E3337" s="14"/>
      <c r="F3337" s="14"/>
      <c r="G3337" s="14"/>
      <c r="H3337" s="10"/>
      <c r="I3337" s="17"/>
      <c r="J3337" s="10"/>
      <c r="K3337" s="46"/>
      <c r="L3337" s="10"/>
      <c r="M3337" s="20"/>
      <c r="N3337" s="20"/>
      <c r="O3337" s="20"/>
      <c r="P3337" s="20"/>
    </row>
    <row r="3338">
      <c r="A3338" s="23"/>
      <c r="B3338" s="21"/>
      <c r="C3338" s="23"/>
      <c r="D3338" s="24"/>
      <c r="E3338" s="14"/>
      <c r="F3338" s="14"/>
      <c r="G3338" s="14"/>
      <c r="H3338" s="23"/>
      <c r="I3338" s="27"/>
      <c r="J3338" s="23"/>
      <c r="K3338" s="30"/>
      <c r="L3338" s="23"/>
      <c r="M3338" s="20"/>
      <c r="N3338" s="20"/>
      <c r="O3338" s="20"/>
      <c r="P3338" s="20"/>
    </row>
    <row r="3339">
      <c r="A3339" s="10"/>
      <c r="B3339" s="11"/>
      <c r="C3339" s="10"/>
      <c r="D3339" s="13"/>
      <c r="E3339" s="14"/>
      <c r="F3339" s="14"/>
      <c r="G3339" s="14"/>
      <c r="H3339" s="10"/>
      <c r="I3339" s="17"/>
      <c r="J3339" s="10"/>
      <c r="K3339" s="46"/>
      <c r="L3339" s="10"/>
      <c r="M3339" s="20"/>
      <c r="N3339" s="20"/>
      <c r="O3339" s="20"/>
      <c r="P3339" s="20"/>
    </row>
    <row r="3340">
      <c r="A3340" s="23"/>
      <c r="B3340" s="21"/>
      <c r="C3340" s="23"/>
      <c r="D3340" s="24"/>
      <c r="E3340" s="14"/>
      <c r="F3340" s="14"/>
      <c r="G3340" s="14"/>
      <c r="H3340" s="23"/>
      <c r="I3340" s="27"/>
      <c r="J3340" s="23"/>
      <c r="K3340" s="30"/>
      <c r="L3340" s="23"/>
      <c r="M3340" s="20"/>
      <c r="N3340" s="20"/>
      <c r="O3340" s="20"/>
      <c r="P3340" s="20"/>
    </row>
    <row r="3341">
      <c r="A3341" s="10"/>
      <c r="B3341" s="11"/>
      <c r="C3341" s="10"/>
      <c r="D3341" s="13"/>
      <c r="E3341" s="14"/>
      <c r="F3341" s="14"/>
      <c r="G3341" s="14"/>
      <c r="H3341" s="10"/>
      <c r="I3341" s="17"/>
      <c r="J3341" s="10"/>
      <c r="K3341" s="46"/>
      <c r="L3341" s="10"/>
      <c r="M3341" s="20"/>
      <c r="N3341" s="20"/>
      <c r="O3341" s="20"/>
      <c r="P3341" s="20"/>
    </row>
    <row r="3342">
      <c r="A3342" s="23"/>
      <c r="B3342" s="21"/>
      <c r="C3342" s="23"/>
      <c r="D3342" s="24"/>
      <c r="E3342" s="14"/>
      <c r="F3342" s="14"/>
      <c r="G3342" s="14"/>
      <c r="H3342" s="23"/>
      <c r="I3342" s="27"/>
      <c r="J3342" s="23"/>
      <c r="K3342" s="30"/>
      <c r="L3342" s="23"/>
      <c r="M3342" s="20"/>
      <c r="N3342" s="20"/>
      <c r="O3342" s="20"/>
      <c r="P3342" s="20"/>
    </row>
    <row r="3343">
      <c r="A3343" s="10"/>
      <c r="B3343" s="11"/>
      <c r="C3343" s="10"/>
      <c r="D3343" s="13"/>
      <c r="E3343" s="14"/>
      <c r="F3343" s="14"/>
      <c r="G3343" s="14"/>
      <c r="H3343" s="10"/>
      <c r="I3343" s="17"/>
      <c r="J3343" s="10"/>
      <c r="K3343" s="46"/>
      <c r="L3343" s="10"/>
      <c r="M3343" s="20"/>
      <c r="N3343" s="20"/>
      <c r="O3343" s="20"/>
      <c r="P3343" s="20"/>
    </row>
    <row r="3344">
      <c r="A3344" s="23"/>
      <c r="B3344" s="21"/>
      <c r="C3344" s="23"/>
      <c r="D3344" s="24"/>
      <c r="E3344" s="14"/>
      <c r="F3344" s="14"/>
      <c r="G3344" s="14"/>
      <c r="H3344" s="23"/>
      <c r="I3344" s="27"/>
      <c r="J3344" s="23"/>
      <c r="K3344" s="30"/>
      <c r="L3344" s="23"/>
      <c r="M3344" s="20"/>
      <c r="N3344" s="20"/>
      <c r="O3344" s="20"/>
      <c r="P3344" s="20"/>
    </row>
    <row r="3345">
      <c r="A3345" s="10"/>
      <c r="B3345" s="11"/>
      <c r="C3345" s="10"/>
      <c r="D3345" s="13"/>
      <c r="E3345" s="14"/>
      <c r="F3345" s="14"/>
      <c r="G3345" s="14"/>
      <c r="H3345" s="10"/>
      <c r="I3345" s="17"/>
      <c r="J3345" s="10"/>
      <c r="K3345" s="46"/>
      <c r="L3345" s="10"/>
      <c r="M3345" s="20"/>
      <c r="N3345" s="20"/>
      <c r="O3345" s="20"/>
      <c r="P3345" s="20"/>
    </row>
    <row r="3346">
      <c r="A3346" s="23"/>
      <c r="B3346" s="21"/>
      <c r="C3346" s="23"/>
      <c r="D3346" s="24"/>
      <c r="E3346" s="14"/>
      <c r="F3346" s="14"/>
      <c r="G3346" s="14"/>
      <c r="H3346" s="23"/>
      <c r="I3346" s="27"/>
      <c r="J3346" s="23"/>
      <c r="K3346" s="30"/>
      <c r="L3346" s="23"/>
      <c r="M3346" s="20"/>
      <c r="N3346" s="20"/>
      <c r="O3346" s="20"/>
      <c r="P3346" s="20"/>
    </row>
    <row r="3347">
      <c r="A3347" s="10"/>
      <c r="B3347" s="11"/>
      <c r="C3347" s="10"/>
      <c r="D3347" s="13"/>
      <c r="E3347" s="14"/>
      <c r="F3347" s="14"/>
      <c r="G3347" s="14"/>
      <c r="H3347" s="10"/>
      <c r="I3347" s="17"/>
      <c r="J3347" s="10"/>
      <c r="K3347" s="46"/>
      <c r="L3347" s="10"/>
      <c r="M3347" s="20"/>
      <c r="N3347" s="20"/>
      <c r="O3347" s="20"/>
      <c r="P3347" s="20"/>
    </row>
    <row r="3348">
      <c r="A3348" s="23"/>
      <c r="B3348" s="21"/>
      <c r="C3348" s="23"/>
      <c r="D3348" s="24"/>
      <c r="E3348" s="14"/>
      <c r="F3348" s="14"/>
      <c r="G3348" s="14"/>
      <c r="H3348" s="23"/>
      <c r="I3348" s="27"/>
      <c r="J3348" s="23"/>
      <c r="K3348" s="30"/>
      <c r="L3348" s="23"/>
      <c r="M3348" s="20"/>
      <c r="N3348" s="20"/>
      <c r="O3348" s="20"/>
      <c r="P3348" s="20"/>
    </row>
    <row r="3349">
      <c r="A3349" s="10"/>
      <c r="B3349" s="11"/>
      <c r="C3349" s="10"/>
      <c r="D3349" s="13"/>
      <c r="E3349" s="14"/>
      <c r="F3349" s="14"/>
      <c r="G3349" s="14"/>
      <c r="H3349" s="10"/>
      <c r="I3349" s="17"/>
      <c r="J3349" s="10"/>
      <c r="K3349" s="46"/>
      <c r="L3349" s="10"/>
      <c r="M3349" s="20"/>
      <c r="N3349" s="20"/>
      <c r="O3349" s="20"/>
      <c r="P3349" s="20"/>
    </row>
    <row r="3350">
      <c r="A3350" s="23"/>
      <c r="B3350" s="21"/>
      <c r="C3350" s="23"/>
      <c r="D3350" s="24"/>
      <c r="E3350" s="14"/>
      <c r="F3350" s="14"/>
      <c r="G3350" s="14"/>
      <c r="H3350" s="23"/>
      <c r="I3350" s="27"/>
      <c r="J3350" s="23"/>
      <c r="K3350" s="30"/>
      <c r="L3350" s="23"/>
      <c r="M3350" s="20"/>
      <c r="N3350" s="20"/>
      <c r="O3350" s="20"/>
      <c r="P3350" s="20"/>
    </row>
    <row r="3351">
      <c r="A3351" s="10"/>
      <c r="B3351" s="11"/>
      <c r="C3351" s="10"/>
      <c r="D3351" s="13"/>
      <c r="E3351" s="14"/>
      <c r="F3351" s="14"/>
      <c r="G3351" s="14"/>
      <c r="H3351" s="10"/>
      <c r="I3351" s="17"/>
      <c r="J3351" s="10"/>
      <c r="K3351" s="46"/>
      <c r="L3351" s="10"/>
      <c r="M3351" s="20"/>
      <c r="N3351" s="20"/>
      <c r="O3351" s="20"/>
      <c r="P3351" s="20"/>
    </row>
    <row r="3352">
      <c r="A3352" s="23"/>
      <c r="B3352" s="21"/>
      <c r="C3352" s="23"/>
      <c r="D3352" s="24"/>
      <c r="E3352" s="14"/>
      <c r="F3352" s="14"/>
      <c r="G3352" s="14"/>
      <c r="H3352" s="23"/>
      <c r="I3352" s="27"/>
      <c r="J3352" s="23"/>
      <c r="K3352" s="30"/>
      <c r="L3352" s="23"/>
      <c r="M3352" s="20"/>
      <c r="N3352" s="20"/>
      <c r="O3352" s="20"/>
      <c r="P3352" s="20"/>
    </row>
    <row r="3353">
      <c r="A3353" s="10"/>
      <c r="B3353" s="11"/>
      <c r="C3353" s="10"/>
      <c r="D3353" s="13"/>
      <c r="E3353" s="14"/>
      <c r="F3353" s="14"/>
      <c r="G3353" s="14"/>
      <c r="H3353" s="10"/>
      <c r="I3353" s="17"/>
      <c r="J3353" s="10"/>
      <c r="K3353" s="46"/>
      <c r="L3353" s="10"/>
      <c r="M3353" s="20"/>
      <c r="N3353" s="20"/>
      <c r="O3353" s="20"/>
      <c r="P3353" s="20"/>
    </row>
    <row r="3354">
      <c r="A3354" s="23"/>
      <c r="B3354" s="21"/>
      <c r="C3354" s="23"/>
      <c r="D3354" s="24"/>
      <c r="E3354" s="14"/>
      <c r="F3354" s="14"/>
      <c r="G3354" s="14"/>
      <c r="H3354" s="23"/>
      <c r="I3354" s="27"/>
      <c r="J3354" s="23"/>
      <c r="K3354" s="30"/>
      <c r="L3354" s="23"/>
      <c r="M3354" s="20"/>
      <c r="N3354" s="20"/>
      <c r="O3354" s="20"/>
      <c r="P3354" s="20"/>
    </row>
    <row r="3355">
      <c r="A3355" s="10"/>
      <c r="B3355" s="11"/>
      <c r="C3355" s="10"/>
      <c r="D3355" s="13"/>
      <c r="E3355" s="14"/>
      <c r="F3355" s="14"/>
      <c r="G3355" s="14"/>
      <c r="H3355" s="10"/>
      <c r="I3355" s="17"/>
      <c r="J3355" s="10"/>
      <c r="K3355" s="46"/>
      <c r="L3355" s="10"/>
      <c r="M3355" s="20"/>
      <c r="N3355" s="20"/>
      <c r="O3355" s="20"/>
      <c r="P3355" s="20"/>
    </row>
    <row r="3356">
      <c r="A3356" s="23"/>
      <c r="B3356" s="21"/>
      <c r="C3356" s="23"/>
      <c r="D3356" s="24"/>
      <c r="E3356" s="14"/>
      <c r="F3356" s="14"/>
      <c r="G3356" s="14"/>
      <c r="H3356" s="23"/>
      <c r="I3356" s="27"/>
      <c r="J3356" s="23"/>
      <c r="K3356" s="30"/>
      <c r="L3356" s="23"/>
      <c r="M3356" s="20"/>
      <c r="N3356" s="20"/>
      <c r="O3356" s="20"/>
      <c r="P3356" s="20"/>
    </row>
    <row r="3357">
      <c r="A3357" s="10"/>
      <c r="B3357" s="11"/>
      <c r="C3357" s="10"/>
      <c r="D3357" s="13"/>
      <c r="E3357" s="14"/>
      <c r="F3357" s="14"/>
      <c r="G3357" s="14"/>
      <c r="H3357" s="10"/>
      <c r="I3357" s="17"/>
      <c r="J3357" s="10"/>
      <c r="K3357" s="46"/>
      <c r="L3357" s="10"/>
      <c r="M3357" s="20"/>
      <c r="N3357" s="20"/>
      <c r="O3357" s="20"/>
      <c r="P3357" s="20"/>
    </row>
    <row r="3358">
      <c r="A3358" s="23"/>
      <c r="B3358" s="21"/>
      <c r="C3358" s="23"/>
      <c r="D3358" s="24"/>
      <c r="E3358" s="14"/>
      <c r="F3358" s="14"/>
      <c r="G3358" s="14"/>
      <c r="H3358" s="23"/>
      <c r="I3358" s="27"/>
      <c r="J3358" s="23"/>
      <c r="K3358" s="30"/>
      <c r="L3358" s="23"/>
      <c r="M3358" s="20"/>
      <c r="N3358" s="20"/>
      <c r="O3358" s="20"/>
      <c r="P3358" s="20"/>
    </row>
    <row r="3359">
      <c r="A3359" s="10"/>
      <c r="B3359" s="11"/>
      <c r="C3359" s="10"/>
      <c r="D3359" s="13"/>
      <c r="E3359" s="14"/>
      <c r="F3359" s="14"/>
      <c r="G3359" s="14"/>
      <c r="H3359" s="10"/>
      <c r="I3359" s="17"/>
      <c r="J3359" s="10"/>
      <c r="K3359" s="46"/>
      <c r="L3359" s="10"/>
      <c r="M3359" s="20"/>
      <c r="N3359" s="20"/>
      <c r="O3359" s="20"/>
      <c r="P3359" s="20"/>
    </row>
    <row r="3360">
      <c r="A3360" s="23"/>
      <c r="B3360" s="21"/>
      <c r="C3360" s="23"/>
      <c r="D3360" s="24"/>
      <c r="E3360" s="14"/>
      <c r="F3360" s="14"/>
      <c r="G3360" s="14"/>
      <c r="H3360" s="23"/>
      <c r="I3360" s="27"/>
      <c r="J3360" s="23"/>
      <c r="K3360" s="30"/>
      <c r="L3360" s="23"/>
      <c r="M3360" s="20"/>
      <c r="N3360" s="20"/>
      <c r="O3360" s="20"/>
      <c r="P3360" s="20"/>
    </row>
    <row r="3361">
      <c r="A3361" s="10"/>
      <c r="B3361" s="11"/>
      <c r="C3361" s="10"/>
      <c r="D3361" s="13"/>
      <c r="E3361" s="14"/>
      <c r="F3361" s="14"/>
      <c r="G3361" s="14"/>
      <c r="H3361" s="10"/>
      <c r="I3361" s="17"/>
      <c r="J3361" s="10"/>
      <c r="K3361" s="46"/>
      <c r="L3361" s="10"/>
      <c r="M3361" s="20"/>
      <c r="N3361" s="20"/>
      <c r="O3361" s="20"/>
      <c r="P3361" s="20"/>
    </row>
    <row r="3362">
      <c r="A3362" s="23"/>
      <c r="B3362" s="21"/>
      <c r="C3362" s="23"/>
      <c r="D3362" s="24"/>
      <c r="E3362" s="14"/>
      <c r="F3362" s="14"/>
      <c r="G3362" s="14"/>
      <c r="H3362" s="23"/>
      <c r="I3362" s="27"/>
      <c r="J3362" s="23"/>
      <c r="K3362" s="30"/>
      <c r="L3362" s="23"/>
      <c r="M3362" s="20"/>
      <c r="N3362" s="20"/>
      <c r="O3362" s="20"/>
      <c r="P3362" s="20"/>
    </row>
    <row r="3363">
      <c r="A3363" s="10"/>
      <c r="B3363" s="11"/>
      <c r="C3363" s="10"/>
      <c r="D3363" s="13"/>
      <c r="E3363" s="14"/>
      <c r="F3363" s="14"/>
      <c r="G3363" s="14"/>
      <c r="H3363" s="10"/>
      <c r="I3363" s="17"/>
      <c r="J3363" s="10"/>
      <c r="K3363" s="46"/>
      <c r="L3363" s="10"/>
      <c r="M3363" s="20"/>
      <c r="N3363" s="20"/>
      <c r="O3363" s="20"/>
      <c r="P3363" s="20"/>
    </row>
    <row r="3364">
      <c r="A3364" s="23"/>
      <c r="B3364" s="21"/>
      <c r="C3364" s="23"/>
      <c r="D3364" s="24"/>
      <c r="E3364" s="14"/>
      <c r="F3364" s="14"/>
      <c r="G3364" s="14"/>
      <c r="H3364" s="23"/>
      <c r="I3364" s="27"/>
      <c r="J3364" s="23"/>
      <c r="K3364" s="30"/>
      <c r="L3364" s="23"/>
      <c r="M3364" s="20"/>
      <c r="N3364" s="20"/>
      <c r="O3364" s="20"/>
      <c r="P3364" s="20"/>
    </row>
    <row r="3365">
      <c r="A3365" s="10"/>
      <c r="B3365" s="11"/>
      <c r="C3365" s="10"/>
      <c r="D3365" s="13"/>
      <c r="E3365" s="14"/>
      <c r="F3365" s="14"/>
      <c r="G3365" s="14"/>
      <c r="H3365" s="10"/>
      <c r="I3365" s="17"/>
      <c r="J3365" s="10"/>
      <c r="K3365" s="46"/>
      <c r="L3365" s="10"/>
      <c r="M3365" s="20"/>
      <c r="N3365" s="20"/>
      <c r="O3365" s="20"/>
      <c r="P3365" s="20"/>
    </row>
    <row r="3366">
      <c r="A3366" s="23"/>
      <c r="B3366" s="21"/>
      <c r="C3366" s="23"/>
      <c r="D3366" s="24"/>
      <c r="E3366" s="14"/>
      <c r="F3366" s="14"/>
      <c r="G3366" s="14"/>
      <c r="H3366" s="23"/>
      <c r="I3366" s="27"/>
      <c r="J3366" s="23"/>
      <c r="K3366" s="30"/>
      <c r="L3366" s="23"/>
      <c r="M3366" s="20"/>
      <c r="N3366" s="20"/>
      <c r="O3366" s="20"/>
      <c r="P3366" s="20"/>
    </row>
    <row r="3367">
      <c r="A3367" s="10"/>
      <c r="B3367" s="11"/>
      <c r="C3367" s="10"/>
      <c r="D3367" s="13"/>
      <c r="E3367" s="14"/>
      <c r="F3367" s="14"/>
      <c r="G3367" s="14"/>
      <c r="H3367" s="10"/>
      <c r="I3367" s="17"/>
      <c r="J3367" s="10"/>
      <c r="K3367" s="46"/>
      <c r="L3367" s="10"/>
      <c r="M3367" s="20"/>
      <c r="N3367" s="20"/>
      <c r="O3367" s="20"/>
      <c r="P3367" s="20"/>
    </row>
    <row r="3368">
      <c r="A3368" s="23"/>
      <c r="B3368" s="21"/>
      <c r="C3368" s="23"/>
      <c r="D3368" s="24"/>
      <c r="E3368" s="14"/>
      <c r="F3368" s="14"/>
      <c r="G3368" s="14"/>
      <c r="H3368" s="23"/>
      <c r="I3368" s="27"/>
      <c r="J3368" s="23"/>
      <c r="K3368" s="30"/>
      <c r="L3368" s="23"/>
      <c r="M3368" s="20"/>
      <c r="N3368" s="20"/>
      <c r="O3368" s="20"/>
      <c r="P3368" s="20"/>
    </row>
    <row r="3369">
      <c r="A3369" s="10"/>
      <c r="B3369" s="11"/>
      <c r="C3369" s="10"/>
      <c r="D3369" s="13"/>
      <c r="E3369" s="14"/>
      <c r="F3369" s="14"/>
      <c r="G3369" s="14"/>
      <c r="H3369" s="10"/>
      <c r="I3369" s="17"/>
      <c r="J3369" s="10"/>
      <c r="K3369" s="46"/>
      <c r="L3369" s="10"/>
      <c r="M3369" s="20"/>
      <c r="N3369" s="20"/>
      <c r="O3369" s="20"/>
      <c r="P3369" s="20"/>
    </row>
    <row r="3370">
      <c r="A3370" s="23"/>
      <c r="B3370" s="21"/>
      <c r="C3370" s="23"/>
      <c r="D3370" s="24"/>
      <c r="E3370" s="14"/>
      <c r="F3370" s="14"/>
      <c r="G3370" s="14"/>
      <c r="H3370" s="23"/>
      <c r="I3370" s="27"/>
      <c r="J3370" s="23"/>
      <c r="K3370" s="30"/>
      <c r="L3370" s="23"/>
      <c r="M3370" s="20"/>
      <c r="N3370" s="20"/>
      <c r="O3370" s="20"/>
      <c r="P3370" s="20"/>
    </row>
    <row r="3371">
      <c r="A3371" s="10"/>
      <c r="B3371" s="11"/>
      <c r="C3371" s="10"/>
      <c r="D3371" s="13"/>
      <c r="E3371" s="14"/>
      <c r="F3371" s="14"/>
      <c r="G3371" s="14"/>
      <c r="H3371" s="10"/>
      <c r="I3371" s="17"/>
      <c r="J3371" s="10"/>
      <c r="K3371" s="46"/>
      <c r="L3371" s="10"/>
      <c r="M3371" s="20"/>
      <c r="N3371" s="20"/>
      <c r="O3371" s="20"/>
      <c r="P3371" s="20"/>
    </row>
    <row r="3372">
      <c r="A3372" s="23"/>
      <c r="B3372" s="21"/>
      <c r="C3372" s="23"/>
      <c r="D3372" s="24"/>
      <c r="E3372" s="14"/>
      <c r="F3372" s="14"/>
      <c r="G3372" s="14"/>
      <c r="H3372" s="23"/>
      <c r="I3372" s="27"/>
      <c r="J3372" s="23"/>
      <c r="K3372" s="30"/>
      <c r="L3372" s="23"/>
      <c r="M3372" s="20"/>
      <c r="N3372" s="20"/>
      <c r="O3372" s="20"/>
      <c r="P3372" s="20"/>
    </row>
    <row r="3373">
      <c r="A3373" s="10"/>
      <c r="B3373" s="11"/>
      <c r="C3373" s="10"/>
      <c r="D3373" s="13"/>
      <c r="E3373" s="14"/>
      <c r="F3373" s="14"/>
      <c r="G3373" s="14"/>
      <c r="H3373" s="10"/>
      <c r="I3373" s="17"/>
      <c r="J3373" s="10"/>
      <c r="K3373" s="46"/>
      <c r="L3373" s="10"/>
      <c r="M3373" s="20"/>
      <c r="N3373" s="20"/>
      <c r="O3373" s="20"/>
      <c r="P3373" s="20"/>
    </row>
    <row r="3374">
      <c r="A3374" s="23"/>
      <c r="B3374" s="21"/>
      <c r="C3374" s="23"/>
      <c r="D3374" s="24"/>
      <c r="E3374" s="14"/>
      <c r="F3374" s="14"/>
      <c r="G3374" s="14"/>
      <c r="H3374" s="23"/>
      <c r="I3374" s="27"/>
      <c r="J3374" s="23"/>
      <c r="K3374" s="30"/>
      <c r="L3374" s="23"/>
      <c r="M3374" s="20"/>
      <c r="N3374" s="20"/>
      <c r="O3374" s="20"/>
      <c r="P3374" s="20"/>
    </row>
    <row r="3375">
      <c r="A3375" s="10"/>
      <c r="B3375" s="11"/>
      <c r="C3375" s="10"/>
      <c r="D3375" s="13"/>
      <c r="E3375" s="14"/>
      <c r="F3375" s="14"/>
      <c r="G3375" s="14"/>
      <c r="H3375" s="10"/>
      <c r="I3375" s="17"/>
      <c r="J3375" s="10"/>
      <c r="K3375" s="46"/>
      <c r="L3375" s="10"/>
      <c r="M3375" s="20"/>
      <c r="N3375" s="20"/>
      <c r="O3375" s="20"/>
      <c r="P3375" s="20"/>
    </row>
    <row r="3376">
      <c r="A3376" s="23"/>
      <c r="B3376" s="21"/>
      <c r="C3376" s="23"/>
      <c r="D3376" s="24"/>
      <c r="E3376" s="14"/>
      <c r="F3376" s="14"/>
      <c r="G3376" s="14"/>
      <c r="H3376" s="23"/>
      <c r="I3376" s="27"/>
      <c r="J3376" s="23"/>
      <c r="K3376" s="30"/>
      <c r="L3376" s="23"/>
      <c r="M3376" s="20"/>
      <c r="N3376" s="20"/>
      <c r="O3376" s="20"/>
      <c r="P3376" s="20"/>
    </row>
    <row r="3377">
      <c r="A3377" s="10"/>
      <c r="B3377" s="11"/>
      <c r="C3377" s="10"/>
      <c r="D3377" s="13"/>
      <c r="E3377" s="14"/>
      <c r="F3377" s="14"/>
      <c r="G3377" s="14"/>
      <c r="H3377" s="10"/>
      <c r="I3377" s="17"/>
      <c r="J3377" s="10"/>
      <c r="K3377" s="46"/>
      <c r="L3377" s="10"/>
      <c r="M3377" s="20"/>
      <c r="N3377" s="20"/>
      <c r="O3377" s="20"/>
      <c r="P3377" s="20"/>
    </row>
    <row r="3378">
      <c r="A3378" s="23"/>
      <c r="B3378" s="21"/>
      <c r="C3378" s="23"/>
      <c r="D3378" s="24"/>
      <c r="E3378" s="14"/>
      <c r="F3378" s="14"/>
      <c r="G3378" s="14"/>
      <c r="H3378" s="23"/>
      <c r="I3378" s="27"/>
      <c r="J3378" s="23"/>
      <c r="K3378" s="30"/>
      <c r="L3378" s="23"/>
      <c r="M3378" s="20"/>
      <c r="N3378" s="20"/>
      <c r="O3378" s="20"/>
      <c r="P3378" s="20"/>
    </row>
    <row r="3379">
      <c r="A3379" s="10"/>
      <c r="B3379" s="11"/>
      <c r="C3379" s="10"/>
      <c r="D3379" s="13"/>
      <c r="E3379" s="14"/>
      <c r="F3379" s="14"/>
      <c r="G3379" s="14"/>
      <c r="H3379" s="10"/>
      <c r="I3379" s="17"/>
      <c r="J3379" s="10"/>
      <c r="K3379" s="46"/>
      <c r="L3379" s="10"/>
      <c r="M3379" s="20"/>
      <c r="N3379" s="20"/>
      <c r="O3379" s="20"/>
      <c r="P3379" s="20"/>
    </row>
    <row r="3380">
      <c r="A3380" s="23"/>
      <c r="B3380" s="21"/>
      <c r="C3380" s="23"/>
      <c r="D3380" s="24"/>
      <c r="E3380" s="14"/>
      <c r="F3380" s="14"/>
      <c r="G3380" s="14"/>
      <c r="H3380" s="23"/>
      <c r="I3380" s="27"/>
      <c r="J3380" s="23"/>
      <c r="K3380" s="30"/>
      <c r="L3380" s="23"/>
      <c r="M3380" s="20"/>
      <c r="N3380" s="20"/>
      <c r="O3380" s="20"/>
      <c r="P3380" s="20"/>
    </row>
    <row r="3381">
      <c r="A3381" s="10"/>
      <c r="B3381" s="11"/>
      <c r="C3381" s="10"/>
      <c r="D3381" s="13"/>
      <c r="E3381" s="14"/>
      <c r="F3381" s="14"/>
      <c r="G3381" s="14"/>
      <c r="H3381" s="10"/>
      <c r="I3381" s="17"/>
      <c r="J3381" s="10"/>
      <c r="K3381" s="46"/>
      <c r="L3381" s="10"/>
      <c r="M3381" s="20"/>
      <c r="N3381" s="20"/>
      <c r="O3381" s="20"/>
      <c r="P3381" s="20"/>
    </row>
    <row r="3382">
      <c r="A3382" s="23"/>
      <c r="B3382" s="21"/>
      <c r="C3382" s="23"/>
      <c r="D3382" s="24"/>
      <c r="E3382" s="14"/>
      <c r="F3382" s="14"/>
      <c r="G3382" s="14"/>
      <c r="H3382" s="23"/>
      <c r="I3382" s="27"/>
      <c r="J3382" s="23"/>
      <c r="K3382" s="30"/>
      <c r="L3382" s="23"/>
      <c r="M3382" s="20"/>
      <c r="N3382" s="20"/>
      <c r="O3382" s="20"/>
      <c r="P3382" s="20"/>
    </row>
    <row r="3383">
      <c r="A3383" s="10"/>
      <c r="B3383" s="11"/>
      <c r="C3383" s="10"/>
      <c r="D3383" s="13"/>
      <c r="E3383" s="14"/>
      <c r="F3383" s="14"/>
      <c r="G3383" s="14"/>
      <c r="H3383" s="10"/>
      <c r="I3383" s="17"/>
      <c r="J3383" s="10"/>
      <c r="K3383" s="46"/>
      <c r="L3383" s="10"/>
      <c r="M3383" s="20"/>
      <c r="N3383" s="20"/>
      <c r="O3383" s="20"/>
      <c r="P3383" s="20"/>
    </row>
    <row r="3384">
      <c r="A3384" s="23"/>
      <c r="B3384" s="21"/>
      <c r="C3384" s="23"/>
      <c r="D3384" s="24"/>
      <c r="E3384" s="14"/>
      <c r="F3384" s="14"/>
      <c r="G3384" s="14"/>
      <c r="H3384" s="23"/>
      <c r="I3384" s="27"/>
      <c r="J3384" s="23"/>
      <c r="K3384" s="30"/>
      <c r="L3384" s="23"/>
      <c r="M3384" s="20"/>
      <c r="N3384" s="20"/>
      <c r="O3384" s="20"/>
      <c r="P3384" s="20"/>
    </row>
    <row r="3385">
      <c r="A3385" s="10"/>
      <c r="B3385" s="11"/>
      <c r="C3385" s="10"/>
      <c r="D3385" s="13"/>
      <c r="E3385" s="14"/>
      <c r="F3385" s="14"/>
      <c r="G3385" s="14"/>
      <c r="H3385" s="10"/>
      <c r="I3385" s="17"/>
      <c r="J3385" s="10"/>
      <c r="K3385" s="46"/>
      <c r="L3385" s="10"/>
      <c r="M3385" s="20"/>
      <c r="N3385" s="20"/>
      <c r="O3385" s="20"/>
      <c r="P3385" s="20"/>
    </row>
    <row r="3386">
      <c r="A3386" s="23"/>
      <c r="B3386" s="21"/>
      <c r="C3386" s="23"/>
      <c r="D3386" s="24"/>
      <c r="E3386" s="14"/>
      <c r="F3386" s="14"/>
      <c r="G3386" s="14"/>
      <c r="H3386" s="23"/>
      <c r="I3386" s="27"/>
      <c r="J3386" s="23"/>
      <c r="K3386" s="30"/>
      <c r="L3386" s="23"/>
      <c r="M3386" s="20"/>
      <c r="N3386" s="20"/>
      <c r="O3386" s="20"/>
      <c r="P3386" s="20"/>
    </row>
    <row r="3387">
      <c r="A3387" s="10"/>
      <c r="B3387" s="11"/>
      <c r="C3387" s="10"/>
      <c r="D3387" s="13"/>
      <c r="E3387" s="14"/>
      <c r="F3387" s="14"/>
      <c r="G3387" s="14"/>
      <c r="H3387" s="10"/>
      <c r="I3387" s="17"/>
      <c r="J3387" s="10"/>
      <c r="K3387" s="46"/>
      <c r="L3387" s="10"/>
      <c r="M3387" s="20"/>
      <c r="N3387" s="20"/>
      <c r="O3387" s="20"/>
      <c r="P3387" s="20"/>
    </row>
    <row r="3388">
      <c r="A3388" s="23"/>
      <c r="B3388" s="21"/>
      <c r="C3388" s="23"/>
      <c r="D3388" s="24"/>
      <c r="E3388" s="14"/>
      <c r="F3388" s="14"/>
      <c r="G3388" s="14"/>
      <c r="H3388" s="23"/>
      <c r="I3388" s="27"/>
      <c r="J3388" s="23"/>
      <c r="K3388" s="30"/>
      <c r="L3388" s="23"/>
      <c r="M3388" s="20"/>
      <c r="N3388" s="20"/>
      <c r="O3388" s="20"/>
      <c r="P3388" s="20"/>
    </row>
    <row r="3389">
      <c r="A3389" s="10"/>
      <c r="B3389" s="11"/>
      <c r="C3389" s="10"/>
      <c r="D3389" s="13"/>
      <c r="E3389" s="14"/>
      <c r="F3389" s="14"/>
      <c r="G3389" s="14"/>
      <c r="H3389" s="10"/>
      <c r="I3389" s="17"/>
      <c r="J3389" s="10"/>
      <c r="K3389" s="46"/>
      <c r="L3389" s="10"/>
      <c r="M3389" s="20"/>
      <c r="N3389" s="20"/>
      <c r="O3389" s="20"/>
      <c r="P3389" s="20"/>
    </row>
    <row r="3390">
      <c r="A3390" s="23"/>
      <c r="B3390" s="21"/>
      <c r="C3390" s="23"/>
      <c r="D3390" s="24"/>
      <c r="E3390" s="14"/>
      <c r="F3390" s="14"/>
      <c r="G3390" s="14"/>
      <c r="H3390" s="23"/>
      <c r="I3390" s="27"/>
      <c r="J3390" s="23"/>
      <c r="K3390" s="30"/>
      <c r="L3390" s="23"/>
      <c r="M3390" s="20"/>
      <c r="N3390" s="20"/>
      <c r="O3390" s="20"/>
      <c r="P3390" s="20"/>
    </row>
    <row r="3391">
      <c r="A3391" s="10"/>
      <c r="B3391" s="11"/>
      <c r="C3391" s="10"/>
      <c r="D3391" s="13"/>
      <c r="E3391" s="14"/>
      <c r="F3391" s="14"/>
      <c r="G3391" s="14"/>
      <c r="H3391" s="10"/>
      <c r="I3391" s="17"/>
      <c r="J3391" s="10"/>
      <c r="K3391" s="46"/>
      <c r="L3391" s="10"/>
      <c r="M3391" s="20"/>
      <c r="N3391" s="20"/>
      <c r="O3391" s="20"/>
      <c r="P3391" s="20"/>
    </row>
    <row r="3392">
      <c r="A3392" s="23"/>
      <c r="B3392" s="21"/>
      <c r="C3392" s="23"/>
      <c r="D3392" s="24"/>
      <c r="E3392" s="14"/>
      <c r="F3392" s="14"/>
      <c r="G3392" s="14"/>
      <c r="H3392" s="23"/>
      <c r="I3392" s="27"/>
      <c r="J3392" s="23"/>
      <c r="K3392" s="30"/>
      <c r="L3392" s="23"/>
      <c r="M3392" s="20"/>
      <c r="N3392" s="20"/>
      <c r="O3392" s="20"/>
      <c r="P3392" s="20"/>
    </row>
    <row r="3393">
      <c r="A3393" s="10"/>
      <c r="B3393" s="11"/>
      <c r="C3393" s="10"/>
      <c r="D3393" s="13"/>
      <c r="E3393" s="14"/>
      <c r="F3393" s="14"/>
      <c r="G3393" s="14"/>
      <c r="H3393" s="10"/>
      <c r="I3393" s="17"/>
      <c r="J3393" s="10"/>
      <c r="K3393" s="46"/>
      <c r="L3393" s="10"/>
      <c r="M3393" s="20"/>
      <c r="N3393" s="20"/>
      <c r="O3393" s="20"/>
      <c r="P3393" s="20"/>
    </row>
    <row r="3394">
      <c r="A3394" s="23"/>
      <c r="B3394" s="21"/>
      <c r="C3394" s="23"/>
      <c r="D3394" s="24"/>
      <c r="E3394" s="14"/>
      <c r="F3394" s="14"/>
      <c r="G3394" s="14"/>
      <c r="H3394" s="23"/>
      <c r="I3394" s="27"/>
      <c r="J3394" s="23"/>
      <c r="K3394" s="30"/>
      <c r="L3394" s="23"/>
      <c r="M3394" s="20"/>
      <c r="N3394" s="20"/>
      <c r="O3394" s="20"/>
      <c r="P3394" s="20"/>
    </row>
    <row r="3395">
      <c r="A3395" s="10"/>
      <c r="B3395" s="11"/>
      <c r="C3395" s="10"/>
      <c r="D3395" s="13"/>
      <c r="E3395" s="14"/>
      <c r="F3395" s="14"/>
      <c r="G3395" s="14"/>
      <c r="H3395" s="10"/>
      <c r="I3395" s="17"/>
      <c r="J3395" s="10"/>
      <c r="K3395" s="46"/>
      <c r="L3395" s="10"/>
      <c r="M3395" s="20"/>
      <c r="N3395" s="20"/>
      <c r="O3395" s="20"/>
      <c r="P3395" s="20"/>
    </row>
    <row r="3396">
      <c r="A3396" s="23"/>
      <c r="B3396" s="21"/>
      <c r="C3396" s="23"/>
      <c r="D3396" s="24"/>
      <c r="E3396" s="14"/>
      <c r="F3396" s="14"/>
      <c r="G3396" s="14"/>
      <c r="H3396" s="23"/>
      <c r="I3396" s="27"/>
      <c r="J3396" s="23"/>
      <c r="K3396" s="30"/>
      <c r="L3396" s="23"/>
      <c r="M3396" s="20"/>
      <c r="N3396" s="20"/>
      <c r="O3396" s="20"/>
      <c r="P3396" s="20"/>
    </row>
    <row r="3397">
      <c r="A3397" s="10"/>
      <c r="B3397" s="11"/>
      <c r="C3397" s="10"/>
      <c r="D3397" s="13"/>
      <c r="E3397" s="14"/>
      <c r="F3397" s="14"/>
      <c r="G3397" s="14"/>
      <c r="H3397" s="10"/>
      <c r="I3397" s="17"/>
      <c r="J3397" s="10"/>
      <c r="K3397" s="46"/>
      <c r="L3397" s="10"/>
      <c r="M3397" s="20"/>
      <c r="N3397" s="20"/>
      <c r="O3397" s="20"/>
      <c r="P3397" s="20"/>
    </row>
    <row r="3398">
      <c r="A3398" s="23"/>
      <c r="B3398" s="21"/>
      <c r="C3398" s="23"/>
      <c r="D3398" s="24"/>
      <c r="E3398" s="14"/>
      <c r="F3398" s="14"/>
      <c r="G3398" s="14"/>
      <c r="H3398" s="23"/>
      <c r="I3398" s="27"/>
      <c r="J3398" s="23"/>
      <c r="K3398" s="30"/>
      <c r="L3398" s="23"/>
      <c r="M3398" s="20"/>
      <c r="N3398" s="20"/>
      <c r="O3398" s="20"/>
      <c r="P3398" s="20"/>
    </row>
    <row r="3399">
      <c r="A3399" s="10"/>
      <c r="B3399" s="11"/>
      <c r="C3399" s="10"/>
      <c r="D3399" s="13"/>
      <c r="E3399" s="14"/>
      <c r="F3399" s="14"/>
      <c r="G3399" s="14"/>
      <c r="H3399" s="10"/>
      <c r="I3399" s="17"/>
      <c r="J3399" s="10"/>
      <c r="K3399" s="46"/>
      <c r="L3399" s="10"/>
      <c r="M3399" s="20"/>
      <c r="N3399" s="20"/>
      <c r="O3399" s="20"/>
      <c r="P3399" s="20"/>
    </row>
    <row r="3400">
      <c r="A3400" s="23"/>
      <c r="B3400" s="21"/>
      <c r="C3400" s="23"/>
      <c r="D3400" s="24"/>
      <c r="E3400" s="14"/>
      <c r="F3400" s="14"/>
      <c r="G3400" s="14"/>
      <c r="H3400" s="23"/>
      <c r="I3400" s="27"/>
      <c r="J3400" s="23"/>
      <c r="K3400" s="30"/>
      <c r="L3400" s="23"/>
      <c r="M3400" s="20"/>
      <c r="N3400" s="20"/>
      <c r="O3400" s="20"/>
      <c r="P3400" s="20"/>
    </row>
    <row r="3401">
      <c r="A3401" s="10"/>
      <c r="B3401" s="11"/>
      <c r="C3401" s="10"/>
      <c r="D3401" s="13"/>
      <c r="E3401" s="14"/>
      <c r="F3401" s="14"/>
      <c r="G3401" s="14"/>
      <c r="H3401" s="10"/>
      <c r="I3401" s="17"/>
      <c r="J3401" s="10"/>
      <c r="K3401" s="46"/>
      <c r="L3401" s="10"/>
      <c r="M3401" s="20"/>
      <c r="N3401" s="20"/>
      <c r="O3401" s="20"/>
      <c r="P3401" s="20"/>
    </row>
    <row r="3402">
      <c r="A3402" s="23"/>
      <c r="B3402" s="21"/>
      <c r="C3402" s="23"/>
      <c r="D3402" s="24"/>
      <c r="E3402" s="14"/>
      <c r="F3402" s="14"/>
      <c r="G3402" s="14"/>
      <c r="H3402" s="23"/>
      <c r="I3402" s="27"/>
      <c r="J3402" s="23"/>
      <c r="K3402" s="30"/>
      <c r="L3402" s="23"/>
      <c r="M3402" s="20"/>
      <c r="N3402" s="20"/>
      <c r="O3402" s="20"/>
      <c r="P3402" s="20"/>
    </row>
    <row r="3403">
      <c r="A3403" s="10"/>
      <c r="B3403" s="11"/>
      <c r="C3403" s="10"/>
      <c r="D3403" s="13"/>
      <c r="E3403" s="14"/>
      <c r="F3403" s="14"/>
      <c r="G3403" s="14"/>
      <c r="H3403" s="10"/>
      <c r="I3403" s="17"/>
      <c r="J3403" s="10"/>
      <c r="K3403" s="46"/>
      <c r="L3403" s="10"/>
      <c r="M3403" s="20"/>
      <c r="N3403" s="20"/>
      <c r="O3403" s="20"/>
      <c r="P3403" s="20"/>
    </row>
    <row r="3404">
      <c r="A3404" s="23"/>
      <c r="B3404" s="21"/>
      <c r="C3404" s="23"/>
      <c r="D3404" s="24"/>
      <c r="E3404" s="14"/>
      <c r="F3404" s="14"/>
      <c r="G3404" s="14"/>
      <c r="H3404" s="23"/>
      <c r="I3404" s="27"/>
      <c r="J3404" s="23"/>
      <c r="K3404" s="30"/>
      <c r="L3404" s="23"/>
      <c r="M3404" s="20"/>
      <c r="N3404" s="20"/>
      <c r="O3404" s="20"/>
      <c r="P3404" s="20"/>
    </row>
    <row r="3405">
      <c r="A3405" s="10"/>
      <c r="B3405" s="11"/>
      <c r="C3405" s="10"/>
      <c r="D3405" s="13"/>
      <c r="E3405" s="14"/>
      <c r="F3405" s="14"/>
      <c r="G3405" s="14"/>
      <c r="H3405" s="10"/>
      <c r="I3405" s="17"/>
      <c r="J3405" s="10"/>
      <c r="K3405" s="46"/>
      <c r="L3405" s="10"/>
      <c r="M3405" s="20"/>
      <c r="N3405" s="20"/>
      <c r="O3405" s="20"/>
      <c r="P3405" s="20"/>
    </row>
    <row r="3406">
      <c r="A3406" s="23"/>
      <c r="B3406" s="21"/>
      <c r="C3406" s="23"/>
      <c r="D3406" s="24"/>
      <c r="E3406" s="14"/>
      <c r="F3406" s="14"/>
      <c r="G3406" s="14"/>
      <c r="H3406" s="23"/>
      <c r="I3406" s="27"/>
      <c r="J3406" s="23"/>
      <c r="K3406" s="30"/>
      <c r="L3406" s="23"/>
      <c r="M3406" s="20"/>
      <c r="N3406" s="20"/>
      <c r="O3406" s="20"/>
      <c r="P3406" s="20"/>
    </row>
    <row r="3407">
      <c r="A3407" s="10"/>
      <c r="B3407" s="11"/>
      <c r="C3407" s="10"/>
      <c r="D3407" s="13"/>
      <c r="E3407" s="14"/>
      <c r="F3407" s="14"/>
      <c r="G3407" s="14"/>
      <c r="H3407" s="10"/>
      <c r="I3407" s="17"/>
      <c r="J3407" s="10"/>
      <c r="K3407" s="46"/>
      <c r="L3407" s="10"/>
      <c r="M3407" s="20"/>
      <c r="N3407" s="20"/>
      <c r="O3407" s="20"/>
      <c r="P3407" s="20"/>
    </row>
    <row r="3408">
      <c r="A3408" s="23"/>
      <c r="B3408" s="21"/>
      <c r="C3408" s="23"/>
      <c r="D3408" s="24"/>
      <c r="E3408" s="14"/>
      <c r="F3408" s="14"/>
      <c r="G3408" s="14"/>
      <c r="H3408" s="23"/>
      <c r="I3408" s="27"/>
      <c r="J3408" s="23"/>
      <c r="K3408" s="30"/>
      <c r="L3408" s="23"/>
      <c r="M3408" s="20"/>
      <c r="N3408" s="20"/>
      <c r="O3408" s="20"/>
      <c r="P3408" s="20"/>
    </row>
    <row r="3409">
      <c r="A3409" s="10"/>
      <c r="B3409" s="11"/>
      <c r="C3409" s="10"/>
      <c r="D3409" s="13"/>
      <c r="E3409" s="14"/>
      <c r="F3409" s="14"/>
      <c r="G3409" s="14"/>
      <c r="H3409" s="10"/>
      <c r="I3409" s="17"/>
      <c r="J3409" s="10"/>
      <c r="K3409" s="46"/>
      <c r="L3409" s="10"/>
      <c r="M3409" s="20"/>
      <c r="N3409" s="20"/>
      <c r="O3409" s="20"/>
      <c r="P3409" s="20"/>
    </row>
    <row r="3410">
      <c r="A3410" s="23"/>
      <c r="B3410" s="21"/>
      <c r="C3410" s="23"/>
      <c r="D3410" s="24"/>
      <c r="E3410" s="14"/>
      <c r="F3410" s="14"/>
      <c r="G3410" s="14"/>
      <c r="H3410" s="23"/>
      <c r="I3410" s="27"/>
      <c r="J3410" s="23"/>
      <c r="K3410" s="30"/>
      <c r="L3410" s="23"/>
      <c r="M3410" s="20"/>
      <c r="N3410" s="20"/>
      <c r="O3410" s="20"/>
      <c r="P3410" s="20"/>
    </row>
    <row r="3411">
      <c r="A3411" s="10"/>
      <c r="B3411" s="11"/>
      <c r="C3411" s="10"/>
      <c r="D3411" s="13"/>
      <c r="E3411" s="14"/>
      <c r="F3411" s="14"/>
      <c r="G3411" s="14"/>
      <c r="H3411" s="10"/>
      <c r="I3411" s="17"/>
      <c r="J3411" s="10"/>
      <c r="K3411" s="46"/>
      <c r="L3411" s="10"/>
      <c r="M3411" s="20"/>
      <c r="N3411" s="20"/>
      <c r="O3411" s="20"/>
      <c r="P3411" s="20"/>
    </row>
    <row r="3412">
      <c r="A3412" s="23"/>
      <c r="B3412" s="21"/>
      <c r="C3412" s="23"/>
      <c r="D3412" s="24"/>
      <c r="E3412" s="14"/>
      <c r="F3412" s="14"/>
      <c r="G3412" s="14"/>
      <c r="H3412" s="23"/>
      <c r="I3412" s="27"/>
      <c r="J3412" s="23"/>
      <c r="K3412" s="30"/>
      <c r="L3412" s="23"/>
      <c r="M3412" s="20"/>
      <c r="N3412" s="20"/>
      <c r="O3412" s="20"/>
      <c r="P3412" s="20"/>
    </row>
    <row r="3413">
      <c r="A3413" s="10"/>
      <c r="B3413" s="11"/>
      <c r="C3413" s="10"/>
      <c r="D3413" s="13"/>
      <c r="E3413" s="14"/>
      <c r="F3413" s="14"/>
      <c r="G3413" s="14"/>
      <c r="H3413" s="10"/>
      <c r="I3413" s="17"/>
      <c r="J3413" s="10"/>
      <c r="K3413" s="46"/>
      <c r="L3413" s="10"/>
      <c r="M3413" s="20"/>
      <c r="N3413" s="20"/>
      <c r="O3413" s="20"/>
      <c r="P3413" s="20"/>
    </row>
    <row r="3414">
      <c r="A3414" s="23"/>
      <c r="B3414" s="21"/>
      <c r="C3414" s="23"/>
      <c r="D3414" s="24"/>
      <c r="E3414" s="14"/>
      <c r="F3414" s="14"/>
      <c r="G3414" s="14"/>
      <c r="H3414" s="23"/>
      <c r="I3414" s="27"/>
      <c r="J3414" s="23"/>
      <c r="K3414" s="30"/>
      <c r="L3414" s="23"/>
      <c r="M3414" s="20"/>
      <c r="N3414" s="20"/>
      <c r="O3414" s="20"/>
      <c r="P3414" s="20"/>
    </row>
    <row r="3415">
      <c r="A3415" s="10"/>
      <c r="B3415" s="11"/>
      <c r="C3415" s="10"/>
      <c r="D3415" s="13"/>
      <c r="E3415" s="14"/>
      <c r="F3415" s="14"/>
      <c r="G3415" s="14"/>
      <c r="H3415" s="10"/>
      <c r="I3415" s="17"/>
      <c r="J3415" s="10"/>
      <c r="K3415" s="46"/>
      <c r="L3415" s="10"/>
      <c r="M3415" s="20"/>
      <c r="N3415" s="20"/>
      <c r="O3415" s="20"/>
      <c r="P3415" s="20"/>
    </row>
    <row r="3416">
      <c r="A3416" s="23"/>
      <c r="B3416" s="21"/>
      <c r="C3416" s="23"/>
      <c r="D3416" s="24"/>
      <c r="E3416" s="14"/>
      <c r="F3416" s="14"/>
      <c r="G3416" s="14"/>
      <c r="H3416" s="23"/>
      <c r="I3416" s="27"/>
      <c r="J3416" s="23"/>
      <c r="K3416" s="30"/>
      <c r="L3416" s="23"/>
      <c r="M3416" s="20"/>
      <c r="N3416" s="20"/>
      <c r="O3416" s="20"/>
      <c r="P3416" s="20"/>
    </row>
    <row r="3417">
      <c r="A3417" s="10"/>
      <c r="B3417" s="11"/>
      <c r="C3417" s="10"/>
      <c r="D3417" s="13"/>
      <c r="E3417" s="14"/>
      <c r="F3417" s="14"/>
      <c r="G3417" s="14"/>
      <c r="H3417" s="10"/>
      <c r="I3417" s="17"/>
      <c r="J3417" s="10"/>
      <c r="K3417" s="46"/>
      <c r="L3417" s="10"/>
      <c r="M3417" s="20"/>
      <c r="N3417" s="20"/>
      <c r="O3417" s="20"/>
      <c r="P3417" s="20"/>
    </row>
    <row r="3418">
      <c r="A3418" s="23"/>
      <c r="B3418" s="21"/>
      <c r="C3418" s="23"/>
      <c r="D3418" s="24"/>
      <c r="E3418" s="14"/>
      <c r="F3418" s="14"/>
      <c r="G3418" s="14"/>
      <c r="H3418" s="23"/>
      <c r="I3418" s="27"/>
      <c r="J3418" s="23"/>
      <c r="K3418" s="30"/>
      <c r="L3418" s="23"/>
      <c r="M3418" s="20"/>
      <c r="N3418" s="20"/>
      <c r="O3418" s="20"/>
      <c r="P3418" s="20"/>
    </row>
    <row r="3419">
      <c r="A3419" s="10"/>
      <c r="B3419" s="11"/>
      <c r="C3419" s="10"/>
      <c r="D3419" s="13"/>
      <c r="E3419" s="14"/>
      <c r="F3419" s="14"/>
      <c r="G3419" s="14"/>
      <c r="H3419" s="10"/>
      <c r="I3419" s="17"/>
      <c r="J3419" s="10"/>
      <c r="K3419" s="46"/>
      <c r="L3419" s="10"/>
      <c r="M3419" s="20"/>
      <c r="N3419" s="20"/>
      <c r="O3419" s="20"/>
      <c r="P3419" s="20"/>
    </row>
    <row r="3420">
      <c r="A3420" s="23"/>
      <c r="B3420" s="21"/>
      <c r="C3420" s="23"/>
      <c r="D3420" s="24"/>
      <c r="E3420" s="14"/>
      <c r="F3420" s="14"/>
      <c r="G3420" s="14"/>
      <c r="H3420" s="23"/>
      <c r="I3420" s="27"/>
      <c r="J3420" s="23"/>
      <c r="K3420" s="30"/>
      <c r="L3420" s="23"/>
      <c r="M3420" s="20"/>
      <c r="N3420" s="20"/>
      <c r="O3420" s="20"/>
      <c r="P3420" s="20"/>
    </row>
    <row r="3421">
      <c r="A3421" s="10"/>
      <c r="B3421" s="11"/>
      <c r="C3421" s="10"/>
      <c r="D3421" s="13"/>
      <c r="E3421" s="14"/>
      <c r="F3421" s="14"/>
      <c r="G3421" s="14"/>
      <c r="H3421" s="10"/>
      <c r="I3421" s="17"/>
      <c r="J3421" s="10"/>
      <c r="K3421" s="46"/>
      <c r="L3421" s="10"/>
      <c r="M3421" s="20"/>
      <c r="N3421" s="20"/>
      <c r="O3421" s="20"/>
      <c r="P3421" s="20"/>
    </row>
    <row r="3422">
      <c r="A3422" s="23"/>
      <c r="B3422" s="21"/>
      <c r="C3422" s="23"/>
      <c r="D3422" s="24"/>
      <c r="E3422" s="14"/>
      <c r="F3422" s="14"/>
      <c r="G3422" s="14"/>
      <c r="H3422" s="23"/>
      <c r="I3422" s="27"/>
      <c r="J3422" s="23"/>
      <c r="K3422" s="30"/>
      <c r="L3422" s="23"/>
      <c r="M3422" s="20"/>
      <c r="N3422" s="20"/>
      <c r="O3422" s="20"/>
      <c r="P3422" s="20"/>
    </row>
    <row r="3423">
      <c r="A3423" s="10"/>
      <c r="B3423" s="11"/>
      <c r="C3423" s="10"/>
      <c r="D3423" s="13"/>
      <c r="E3423" s="14"/>
      <c r="F3423" s="14"/>
      <c r="G3423" s="14"/>
      <c r="H3423" s="10"/>
      <c r="I3423" s="17"/>
      <c r="J3423" s="10"/>
      <c r="K3423" s="46"/>
      <c r="L3423" s="10"/>
      <c r="M3423" s="20"/>
      <c r="N3423" s="20"/>
      <c r="O3423" s="20"/>
      <c r="P3423" s="20"/>
    </row>
    <row r="3424">
      <c r="A3424" s="23"/>
      <c r="B3424" s="21"/>
      <c r="C3424" s="23"/>
      <c r="D3424" s="24"/>
      <c r="E3424" s="14"/>
      <c r="F3424" s="14"/>
      <c r="G3424" s="14"/>
      <c r="H3424" s="23"/>
      <c r="I3424" s="27"/>
      <c r="J3424" s="23"/>
      <c r="K3424" s="30"/>
      <c r="L3424" s="23"/>
      <c r="M3424" s="20"/>
      <c r="N3424" s="20"/>
      <c r="O3424" s="20"/>
      <c r="P3424" s="20"/>
    </row>
    <row r="3425">
      <c r="A3425" s="10"/>
      <c r="B3425" s="11"/>
      <c r="C3425" s="10"/>
      <c r="D3425" s="13"/>
      <c r="E3425" s="14"/>
      <c r="F3425" s="14"/>
      <c r="G3425" s="14"/>
      <c r="H3425" s="10"/>
      <c r="I3425" s="17"/>
      <c r="J3425" s="10"/>
      <c r="K3425" s="46"/>
      <c r="L3425" s="10"/>
      <c r="M3425" s="20"/>
      <c r="N3425" s="20"/>
      <c r="O3425" s="20"/>
      <c r="P3425" s="20"/>
    </row>
    <row r="3426">
      <c r="A3426" s="23"/>
      <c r="B3426" s="21"/>
      <c r="C3426" s="23"/>
      <c r="D3426" s="24"/>
      <c r="E3426" s="14"/>
      <c r="F3426" s="14"/>
      <c r="G3426" s="14"/>
      <c r="H3426" s="23"/>
      <c r="I3426" s="27"/>
      <c r="J3426" s="23"/>
      <c r="K3426" s="30"/>
      <c r="L3426" s="23"/>
      <c r="M3426" s="20"/>
      <c r="N3426" s="20"/>
      <c r="O3426" s="20"/>
      <c r="P3426" s="20"/>
    </row>
    <row r="3427">
      <c r="A3427" s="10"/>
      <c r="B3427" s="11"/>
      <c r="C3427" s="10"/>
      <c r="D3427" s="13"/>
      <c r="E3427" s="14"/>
      <c r="F3427" s="14"/>
      <c r="G3427" s="14"/>
      <c r="H3427" s="10"/>
      <c r="I3427" s="17"/>
      <c r="J3427" s="10"/>
      <c r="K3427" s="46"/>
      <c r="L3427" s="10"/>
      <c r="M3427" s="20"/>
      <c r="N3427" s="20"/>
      <c r="O3427" s="20"/>
      <c r="P3427" s="20"/>
    </row>
    <row r="3428">
      <c r="A3428" s="23"/>
      <c r="B3428" s="21"/>
      <c r="C3428" s="23"/>
      <c r="D3428" s="24"/>
      <c r="E3428" s="14"/>
      <c r="F3428" s="14"/>
      <c r="G3428" s="14"/>
      <c r="H3428" s="23"/>
      <c r="I3428" s="27"/>
      <c r="J3428" s="23"/>
      <c r="K3428" s="30"/>
      <c r="L3428" s="23"/>
      <c r="M3428" s="20"/>
      <c r="N3428" s="20"/>
      <c r="O3428" s="20"/>
      <c r="P3428" s="20"/>
    </row>
    <row r="3429">
      <c r="A3429" s="10"/>
      <c r="B3429" s="11"/>
      <c r="C3429" s="10"/>
      <c r="D3429" s="13"/>
      <c r="E3429" s="14"/>
      <c r="F3429" s="14"/>
      <c r="G3429" s="14"/>
      <c r="H3429" s="10"/>
      <c r="I3429" s="17"/>
      <c r="J3429" s="10"/>
      <c r="K3429" s="46"/>
      <c r="L3429" s="10"/>
      <c r="M3429" s="20"/>
      <c r="N3429" s="20"/>
      <c r="O3429" s="20"/>
      <c r="P3429" s="20"/>
    </row>
    <row r="3430">
      <c r="A3430" s="23"/>
      <c r="B3430" s="21"/>
      <c r="C3430" s="23"/>
      <c r="D3430" s="24"/>
      <c r="E3430" s="14"/>
      <c r="F3430" s="14"/>
      <c r="G3430" s="14"/>
      <c r="H3430" s="23"/>
      <c r="I3430" s="27"/>
      <c r="J3430" s="23"/>
      <c r="K3430" s="30"/>
      <c r="L3430" s="23"/>
      <c r="M3430" s="20"/>
      <c r="N3430" s="20"/>
      <c r="O3430" s="20"/>
      <c r="P3430" s="20"/>
    </row>
    <row r="3431">
      <c r="A3431" s="10"/>
      <c r="B3431" s="11"/>
      <c r="C3431" s="10"/>
      <c r="D3431" s="13"/>
      <c r="E3431" s="14"/>
      <c r="F3431" s="14"/>
      <c r="G3431" s="14"/>
      <c r="H3431" s="10"/>
      <c r="I3431" s="17"/>
      <c r="J3431" s="10"/>
      <c r="K3431" s="46"/>
      <c r="L3431" s="10"/>
      <c r="M3431" s="20"/>
      <c r="N3431" s="20"/>
      <c r="O3431" s="20"/>
      <c r="P3431" s="20"/>
    </row>
    <row r="3432">
      <c r="A3432" s="23"/>
      <c r="B3432" s="21"/>
      <c r="C3432" s="23"/>
      <c r="D3432" s="24"/>
      <c r="E3432" s="14"/>
      <c r="F3432" s="14"/>
      <c r="G3432" s="14"/>
      <c r="H3432" s="23"/>
      <c r="I3432" s="27"/>
      <c r="J3432" s="23"/>
      <c r="K3432" s="30"/>
      <c r="L3432" s="23"/>
      <c r="M3432" s="20"/>
      <c r="N3432" s="20"/>
      <c r="O3432" s="20"/>
      <c r="P3432" s="20"/>
    </row>
    <row r="3433">
      <c r="A3433" s="10"/>
      <c r="B3433" s="11"/>
      <c r="C3433" s="10"/>
      <c r="D3433" s="13"/>
      <c r="E3433" s="14"/>
      <c r="F3433" s="14"/>
      <c r="G3433" s="14"/>
      <c r="H3433" s="10"/>
      <c r="I3433" s="17"/>
      <c r="J3433" s="10"/>
      <c r="K3433" s="46"/>
      <c r="L3433" s="10"/>
      <c r="M3433" s="20"/>
      <c r="N3433" s="20"/>
      <c r="O3433" s="20"/>
      <c r="P3433" s="20"/>
    </row>
    <row r="3434">
      <c r="A3434" s="23"/>
      <c r="B3434" s="21"/>
      <c r="C3434" s="23"/>
      <c r="D3434" s="24"/>
      <c r="E3434" s="14"/>
      <c r="F3434" s="14"/>
      <c r="G3434" s="14"/>
      <c r="H3434" s="23"/>
      <c r="I3434" s="27"/>
      <c r="J3434" s="23"/>
      <c r="K3434" s="30"/>
      <c r="L3434" s="23"/>
      <c r="M3434" s="20"/>
      <c r="N3434" s="20"/>
      <c r="O3434" s="20"/>
      <c r="P3434" s="20"/>
    </row>
    <row r="3435">
      <c r="A3435" s="10"/>
      <c r="B3435" s="11"/>
      <c r="C3435" s="10"/>
      <c r="D3435" s="13"/>
      <c r="E3435" s="14"/>
      <c r="F3435" s="14"/>
      <c r="G3435" s="14"/>
      <c r="H3435" s="10"/>
      <c r="I3435" s="17"/>
      <c r="J3435" s="10"/>
      <c r="K3435" s="46"/>
      <c r="L3435" s="10"/>
      <c r="M3435" s="20"/>
      <c r="N3435" s="20"/>
      <c r="O3435" s="20"/>
      <c r="P3435" s="20"/>
    </row>
    <row r="3436">
      <c r="A3436" s="23"/>
      <c r="B3436" s="21"/>
      <c r="C3436" s="23"/>
      <c r="D3436" s="24"/>
      <c r="E3436" s="14"/>
      <c r="F3436" s="14"/>
      <c r="G3436" s="14"/>
      <c r="H3436" s="23"/>
      <c r="I3436" s="27"/>
      <c r="J3436" s="23"/>
      <c r="K3436" s="30"/>
      <c r="L3436" s="23"/>
      <c r="M3436" s="20"/>
      <c r="N3436" s="20"/>
      <c r="O3436" s="20"/>
      <c r="P3436" s="20"/>
    </row>
    <row r="3437">
      <c r="A3437" s="10"/>
      <c r="B3437" s="11"/>
      <c r="C3437" s="10"/>
      <c r="D3437" s="13"/>
      <c r="E3437" s="14"/>
      <c r="F3437" s="14"/>
      <c r="G3437" s="14"/>
      <c r="H3437" s="10"/>
      <c r="I3437" s="17"/>
      <c r="J3437" s="10"/>
      <c r="K3437" s="46"/>
      <c r="L3437" s="10"/>
      <c r="M3437" s="20"/>
      <c r="N3437" s="20"/>
      <c r="O3437" s="20"/>
      <c r="P3437" s="20"/>
    </row>
    <row r="3438">
      <c r="A3438" s="23"/>
      <c r="B3438" s="21"/>
      <c r="C3438" s="23"/>
      <c r="D3438" s="24"/>
      <c r="E3438" s="14"/>
      <c r="F3438" s="14"/>
      <c r="G3438" s="14"/>
      <c r="H3438" s="23"/>
      <c r="I3438" s="27"/>
      <c r="J3438" s="23"/>
      <c r="K3438" s="30"/>
      <c r="L3438" s="23"/>
      <c r="M3438" s="20"/>
      <c r="N3438" s="20"/>
      <c r="O3438" s="20"/>
      <c r="P3438" s="20"/>
    </row>
    <row r="3439">
      <c r="A3439" s="10"/>
      <c r="B3439" s="11"/>
      <c r="C3439" s="10"/>
      <c r="D3439" s="13"/>
      <c r="E3439" s="14"/>
      <c r="F3439" s="14"/>
      <c r="G3439" s="14"/>
      <c r="H3439" s="10"/>
      <c r="I3439" s="17"/>
      <c r="J3439" s="10"/>
      <c r="K3439" s="46"/>
      <c r="L3439" s="10"/>
      <c r="M3439" s="20"/>
      <c r="N3439" s="20"/>
      <c r="O3439" s="20"/>
      <c r="P3439" s="20"/>
    </row>
    <row r="3440">
      <c r="A3440" s="23"/>
      <c r="B3440" s="21"/>
      <c r="C3440" s="23"/>
      <c r="D3440" s="24"/>
      <c r="E3440" s="14"/>
      <c r="F3440" s="14"/>
      <c r="G3440" s="14"/>
      <c r="H3440" s="23"/>
      <c r="I3440" s="27"/>
      <c r="J3440" s="23"/>
      <c r="K3440" s="30"/>
      <c r="L3440" s="23"/>
      <c r="M3440" s="20"/>
      <c r="N3440" s="20"/>
      <c r="O3440" s="20"/>
      <c r="P3440" s="20"/>
    </row>
    <row r="3441">
      <c r="A3441" s="10"/>
      <c r="B3441" s="11"/>
      <c r="C3441" s="10"/>
      <c r="D3441" s="13"/>
      <c r="E3441" s="14"/>
      <c r="F3441" s="14"/>
      <c r="G3441" s="14"/>
      <c r="H3441" s="10"/>
      <c r="I3441" s="17"/>
      <c r="J3441" s="10"/>
      <c r="K3441" s="46"/>
      <c r="L3441" s="10"/>
      <c r="M3441" s="20"/>
      <c r="N3441" s="20"/>
      <c r="O3441" s="20"/>
      <c r="P3441" s="20"/>
    </row>
    <row r="3442">
      <c r="A3442" s="23"/>
      <c r="B3442" s="21"/>
      <c r="C3442" s="23"/>
      <c r="D3442" s="24"/>
      <c r="E3442" s="14"/>
      <c r="F3442" s="14"/>
      <c r="G3442" s="14"/>
      <c r="H3442" s="23"/>
      <c r="I3442" s="27"/>
      <c r="J3442" s="23"/>
      <c r="K3442" s="30"/>
      <c r="L3442" s="23"/>
      <c r="M3442" s="20"/>
      <c r="N3442" s="20"/>
      <c r="O3442" s="20"/>
      <c r="P3442" s="20"/>
    </row>
    <row r="3443">
      <c r="A3443" s="10"/>
      <c r="B3443" s="11"/>
      <c r="C3443" s="10"/>
      <c r="D3443" s="13"/>
      <c r="E3443" s="14"/>
      <c r="F3443" s="14"/>
      <c r="G3443" s="14"/>
      <c r="H3443" s="10"/>
      <c r="I3443" s="17"/>
      <c r="J3443" s="10"/>
      <c r="K3443" s="46"/>
      <c r="L3443" s="10"/>
      <c r="M3443" s="20"/>
      <c r="N3443" s="20"/>
      <c r="O3443" s="20"/>
      <c r="P3443" s="20"/>
    </row>
    <row r="3444">
      <c r="A3444" s="23"/>
      <c r="B3444" s="21"/>
      <c r="C3444" s="23"/>
      <c r="D3444" s="24"/>
      <c r="E3444" s="14"/>
      <c r="F3444" s="14"/>
      <c r="G3444" s="14"/>
      <c r="H3444" s="23"/>
      <c r="I3444" s="27"/>
      <c r="J3444" s="23"/>
      <c r="K3444" s="30"/>
      <c r="L3444" s="23"/>
      <c r="M3444" s="20"/>
      <c r="N3444" s="20"/>
      <c r="O3444" s="20"/>
      <c r="P3444" s="20"/>
    </row>
    <row r="3445">
      <c r="A3445" s="10"/>
      <c r="B3445" s="11"/>
      <c r="C3445" s="10"/>
      <c r="D3445" s="13"/>
      <c r="E3445" s="14"/>
      <c r="F3445" s="14"/>
      <c r="G3445" s="14"/>
      <c r="H3445" s="10"/>
      <c r="I3445" s="17"/>
      <c r="J3445" s="10"/>
      <c r="K3445" s="46"/>
      <c r="L3445" s="10"/>
      <c r="M3445" s="20"/>
      <c r="N3445" s="20"/>
      <c r="O3445" s="20"/>
      <c r="P3445" s="20"/>
    </row>
    <row r="3446">
      <c r="A3446" s="23"/>
      <c r="B3446" s="21"/>
      <c r="C3446" s="23"/>
      <c r="D3446" s="24"/>
      <c r="E3446" s="14"/>
      <c r="F3446" s="14"/>
      <c r="G3446" s="14"/>
      <c r="H3446" s="23"/>
      <c r="I3446" s="27"/>
      <c r="J3446" s="23"/>
      <c r="K3446" s="30"/>
      <c r="L3446" s="23"/>
      <c r="M3446" s="20"/>
      <c r="N3446" s="20"/>
      <c r="O3446" s="20"/>
      <c r="P3446" s="20"/>
    </row>
    <row r="3447">
      <c r="A3447" s="10"/>
      <c r="B3447" s="11"/>
      <c r="C3447" s="10"/>
      <c r="D3447" s="13"/>
      <c r="E3447" s="14"/>
      <c r="F3447" s="14"/>
      <c r="G3447" s="14"/>
      <c r="H3447" s="10"/>
      <c r="I3447" s="17"/>
      <c r="J3447" s="10"/>
      <c r="K3447" s="46"/>
      <c r="L3447" s="10"/>
      <c r="M3447" s="20"/>
      <c r="N3447" s="20"/>
      <c r="O3447" s="20"/>
      <c r="P3447" s="20"/>
    </row>
    <row r="3448">
      <c r="A3448" s="23"/>
      <c r="B3448" s="21"/>
      <c r="C3448" s="23"/>
      <c r="D3448" s="24"/>
      <c r="E3448" s="14"/>
      <c r="F3448" s="14"/>
      <c r="G3448" s="14"/>
      <c r="H3448" s="23"/>
      <c r="I3448" s="27"/>
      <c r="J3448" s="23"/>
      <c r="K3448" s="30"/>
      <c r="L3448" s="23"/>
      <c r="M3448" s="20"/>
      <c r="N3448" s="20"/>
      <c r="O3448" s="20"/>
      <c r="P3448" s="20"/>
    </row>
    <row r="3449">
      <c r="A3449" s="10"/>
      <c r="B3449" s="11"/>
      <c r="C3449" s="10"/>
      <c r="D3449" s="13"/>
      <c r="E3449" s="14"/>
      <c r="F3449" s="14"/>
      <c r="G3449" s="14"/>
      <c r="H3449" s="10"/>
      <c r="I3449" s="17"/>
      <c r="J3449" s="10"/>
      <c r="K3449" s="46"/>
      <c r="L3449" s="10"/>
      <c r="M3449" s="20"/>
      <c r="N3449" s="20"/>
      <c r="O3449" s="20"/>
      <c r="P3449" s="20"/>
    </row>
    <row r="3450">
      <c r="A3450" s="23"/>
      <c r="B3450" s="21"/>
      <c r="C3450" s="23"/>
      <c r="D3450" s="24"/>
      <c r="E3450" s="14"/>
      <c r="F3450" s="14"/>
      <c r="G3450" s="14"/>
      <c r="H3450" s="23"/>
      <c r="I3450" s="27"/>
      <c r="J3450" s="23"/>
      <c r="K3450" s="30"/>
      <c r="L3450" s="23"/>
      <c r="M3450" s="20"/>
      <c r="N3450" s="20"/>
      <c r="O3450" s="20"/>
      <c r="P3450" s="20"/>
    </row>
    <row r="3451">
      <c r="A3451" s="10"/>
      <c r="B3451" s="11"/>
      <c r="C3451" s="10"/>
      <c r="D3451" s="13"/>
      <c r="E3451" s="14"/>
      <c r="F3451" s="14"/>
      <c r="G3451" s="14"/>
      <c r="H3451" s="10"/>
      <c r="I3451" s="17"/>
      <c r="J3451" s="10"/>
      <c r="K3451" s="46"/>
      <c r="L3451" s="10"/>
      <c r="M3451" s="20"/>
      <c r="N3451" s="20"/>
      <c r="O3451" s="20"/>
      <c r="P3451" s="20"/>
    </row>
    <row r="3452">
      <c r="A3452" s="23"/>
      <c r="B3452" s="21"/>
      <c r="C3452" s="23"/>
      <c r="D3452" s="24"/>
      <c r="E3452" s="14"/>
      <c r="F3452" s="14"/>
      <c r="G3452" s="14"/>
      <c r="H3452" s="23"/>
      <c r="I3452" s="27"/>
      <c r="J3452" s="23"/>
      <c r="K3452" s="30"/>
      <c r="L3452" s="23"/>
      <c r="M3452" s="20"/>
      <c r="N3452" s="20"/>
      <c r="O3452" s="20"/>
      <c r="P3452" s="20"/>
    </row>
    <row r="3453">
      <c r="A3453" s="10"/>
      <c r="B3453" s="11"/>
      <c r="C3453" s="10"/>
      <c r="D3453" s="13"/>
      <c r="E3453" s="14"/>
      <c r="F3453" s="14"/>
      <c r="G3453" s="14"/>
      <c r="H3453" s="10"/>
      <c r="I3453" s="17"/>
      <c r="J3453" s="10"/>
      <c r="K3453" s="46"/>
      <c r="L3453" s="10"/>
      <c r="M3453" s="20"/>
      <c r="N3453" s="20"/>
      <c r="O3453" s="20"/>
      <c r="P3453" s="20"/>
    </row>
    <row r="3454">
      <c r="A3454" s="23"/>
      <c r="B3454" s="21"/>
      <c r="C3454" s="23"/>
      <c r="D3454" s="24"/>
      <c r="E3454" s="14"/>
      <c r="F3454" s="14"/>
      <c r="G3454" s="14"/>
      <c r="H3454" s="23"/>
      <c r="I3454" s="27"/>
      <c r="J3454" s="23"/>
      <c r="K3454" s="30"/>
      <c r="L3454" s="23"/>
      <c r="M3454" s="20"/>
      <c r="N3454" s="20"/>
      <c r="O3454" s="20"/>
      <c r="P3454" s="20"/>
    </row>
    <row r="3455">
      <c r="A3455" s="10"/>
      <c r="B3455" s="11"/>
      <c r="C3455" s="10"/>
      <c r="D3455" s="13"/>
      <c r="E3455" s="14"/>
      <c r="F3455" s="14"/>
      <c r="G3455" s="14"/>
      <c r="H3455" s="10"/>
      <c r="I3455" s="17"/>
      <c r="J3455" s="10"/>
      <c r="K3455" s="46"/>
      <c r="L3455" s="10"/>
      <c r="M3455" s="20"/>
      <c r="N3455" s="20"/>
      <c r="O3455" s="20"/>
      <c r="P3455" s="20"/>
    </row>
    <row r="3456">
      <c r="A3456" s="23"/>
      <c r="B3456" s="21"/>
      <c r="C3456" s="23"/>
      <c r="D3456" s="24"/>
      <c r="E3456" s="14"/>
      <c r="F3456" s="14"/>
      <c r="G3456" s="14"/>
      <c r="H3456" s="23"/>
      <c r="I3456" s="27"/>
      <c r="J3456" s="23"/>
      <c r="K3456" s="30"/>
      <c r="L3456" s="23"/>
      <c r="M3456" s="20"/>
      <c r="N3456" s="20"/>
      <c r="O3456" s="20"/>
      <c r="P3456" s="20"/>
    </row>
    <row r="3457">
      <c r="A3457" s="10"/>
      <c r="B3457" s="11"/>
      <c r="C3457" s="10"/>
      <c r="D3457" s="13"/>
      <c r="E3457" s="14"/>
      <c r="F3457" s="14"/>
      <c r="G3457" s="14"/>
      <c r="H3457" s="10"/>
      <c r="I3457" s="17"/>
      <c r="J3457" s="10"/>
      <c r="K3457" s="46"/>
      <c r="L3457" s="10"/>
      <c r="M3457" s="20"/>
      <c r="N3457" s="20"/>
      <c r="O3457" s="20"/>
      <c r="P3457" s="20"/>
    </row>
    <row r="3458">
      <c r="A3458" s="23"/>
      <c r="B3458" s="21"/>
      <c r="C3458" s="23"/>
      <c r="D3458" s="24"/>
      <c r="E3458" s="14"/>
      <c r="F3458" s="14"/>
      <c r="G3458" s="14"/>
      <c r="H3458" s="23"/>
      <c r="I3458" s="27"/>
      <c r="J3458" s="23"/>
      <c r="K3458" s="30"/>
      <c r="L3458" s="23"/>
      <c r="M3458" s="20"/>
      <c r="N3458" s="20"/>
      <c r="O3458" s="20"/>
      <c r="P3458" s="20"/>
    </row>
    <row r="3459">
      <c r="A3459" s="10"/>
      <c r="B3459" s="11"/>
      <c r="C3459" s="10"/>
      <c r="D3459" s="13"/>
      <c r="E3459" s="14"/>
      <c r="F3459" s="14"/>
      <c r="G3459" s="14"/>
      <c r="H3459" s="10"/>
      <c r="I3459" s="17"/>
      <c r="J3459" s="10"/>
      <c r="K3459" s="46"/>
      <c r="L3459" s="10"/>
      <c r="M3459" s="20"/>
      <c r="N3459" s="20"/>
      <c r="O3459" s="20"/>
      <c r="P3459" s="20"/>
    </row>
    <row r="3460">
      <c r="A3460" s="23"/>
      <c r="B3460" s="21"/>
      <c r="C3460" s="23"/>
      <c r="D3460" s="24"/>
      <c r="E3460" s="14"/>
      <c r="F3460" s="14"/>
      <c r="G3460" s="14"/>
      <c r="H3460" s="23"/>
      <c r="I3460" s="27"/>
      <c r="J3460" s="23"/>
      <c r="K3460" s="30"/>
      <c r="L3460" s="23"/>
      <c r="M3460" s="20"/>
      <c r="N3460" s="20"/>
      <c r="O3460" s="20"/>
      <c r="P3460" s="20"/>
    </row>
    <row r="3461">
      <c r="A3461" s="10"/>
      <c r="B3461" s="11"/>
      <c r="C3461" s="10"/>
      <c r="D3461" s="13"/>
      <c r="E3461" s="14"/>
      <c r="F3461" s="14"/>
      <c r="G3461" s="14"/>
      <c r="H3461" s="10"/>
      <c r="I3461" s="17"/>
      <c r="J3461" s="10"/>
      <c r="K3461" s="46"/>
      <c r="L3461" s="10"/>
      <c r="M3461" s="20"/>
      <c r="N3461" s="20"/>
      <c r="O3461" s="20"/>
      <c r="P3461" s="20"/>
    </row>
    <row r="3462">
      <c r="A3462" s="23"/>
      <c r="B3462" s="21"/>
      <c r="C3462" s="23"/>
      <c r="D3462" s="24"/>
      <c r="E3462" s="14"/>
      <c r="F3462" s="14"/>
      <c r="G3462" s="14"/>
      <c r="H3462" s="23"/>
      <c r="I3462" s="27"/>
      <c r="J3462" s="23"/>
      <c r="K3462" s="30"/>
      <c r="L3462" s="23"/>
      <c r="M3462" s="20"/>
      <c r="N3462" s="20"/>
      <c r="O3462" s="20"/>
      <c r="P3462" s="20"/>
    </row>
    <row r="3463">
      <c r="A3463" s="10"/>
      <c r="B3463" s="11"/>
      <c r="C3463" s="10"/>
      <c r="D3463" s="13"/>
      <c r="E3463" s="14"/>
      <c r="F3463" s="14"/>
      <c r="G3463" s="14"/>
      <c r="H3463" s="10"/>
      <c r="I3463" s="17"/>
      <c r="J3463" s="10"/>
      <c r="K3463" s="46"/>
      <c r="L3463" s="10"/>
      <c r="M3463" s="20"/>
      <c r="N3463" s="20"/>
      <c r="O3463" s="20"/>
      <c r="P3463" s="20"/>
    </row>
    <row r="3464">
      <c r="A3464" s="23"/>
      <c r="B3464" s="21"/>
      <c r="C3464" s="23"/>
      <c r="D3464" s="24"/>
      <c r="E3464" s="14"/>
      <c r="F3464" s="14"/>
      <c r="G3464" s="14"/>
      <c r="H3464" s="23"/>
      <c r="I3464" s="27"/>
      <c r="J3464" s="23"/>
      <c r="K3464" s="30"/>
      <c r="L3464" s="23"/>
      <c r="M3464" s="20"/>
      <c r="N3464" s="20"/>
      <c r="O3464" s="20"/>
      <c r="P3464" s="20"/>
    </row>
    <row r="3465">
      <c r="A3465" s="10"/>
      <c r="B3465" s="11"/>
      <c r="C3465" s="10"/>
      <c r="D3465" s="13"/>
      <c r="E3465" s="14"/>
      <c r="F3465" s="14"/>
      <c r="G3465" s="14"/>
      <c r="H3465" s="10"/>
      <c r="I3465" s="17"/>
      <c r="J3465" s="10"/>
      <c r="K3465" s="46"/>
      <c r="L3465" s="10"/>
      <c r="M3465" s="20"/>
      <c r="N3465" s="20"/>
      <c r="O3465" s="20"/>
      <c r="P3465" s="20"/>
    </row>
    <row r="3466">
      <c r="A3466" s="23"/>
      <c r="B3466" s="21"/>
      <c r="C3466" s="23"/>
      <c r="D3466" s="24"/>
      <c r="E3466" s="14"/>
      <c r="F3466" s="14"/>
      <c r="G3466" s="14"/>
      <c r="H3466" s="23"/>
      <c r="I3466" s="27"/>
      <c r="J3466" s="23"/>
      <c r="K3466" s="30"/>
      <c r="L3466" s="23"/>
      <c r="M3466" s="20"/>
      <c r="N3466" s="20"/>
      <c r="O3466" s="20"/>
      <c r="P3466" s="20"/>
    </row>
    <row r="3467">
      <c r="A3467" s="10"/>
      <c r="B3467" s="11"/>
      <c r="C3467" s="10"/>
      <c r="D3467" s="13"/>
      <c r="E3467" s="14"/>
      <c r="F3467" s="14"/>
      <c r="G3467" s="14"/>
      <c r="H3467" s="10"/>
      <c r="I3467" s="17"/>
      <c r="J3467" s="10"/>
      <c r="K3467" s="46"/>
      <c r="L3467" s="10"/>
      <c r="M3467" s="20"/>
      <c r="N3467" s="20"/>
      <c r="O3467" s="20"/>
      <c r="P3467" s="20"/>
    </row>
    <row r="3468">
      <c r="A3468" s="23"/>
      <c r="B3468" s="21"/>
      <c r="C3468" s="23"/>
      <c r="D3468" s="24"/>
      <c r="E3468" s="14"/>
      <c r="F3468" s="14"/>
      <c r="G3468" s="14"/>
      <c r="H3468" s="23"/>
      <c r="I3468" s="27"/>
      <c r="J3468" s="23"/>
      <c r="K3468" s="30"/>
      <c r="L3468" s="23"/>
      <c r="M3468" s="20"/>
      <c r="N3468" s="20"/>
      <c r="O3468" s="20"/>
      <c r="P3468" s="20"/>
    </row>
    <row r="3469">
      <c r="A3469" s="10"/>
      <c r="B3469" s="11"/>
      <c r="C3469" s="10"/>
      <c r="D3469" s="13"/>
      <c r="E3469" s="14"/>
      <c r="F3469" s="14"/>
      <c r="G3469" s="14"/>
      <c r="H3469" s="10"/>
      <c r="I3469" s="17"/>
      <c r="J3469" s="10"/>
      <c r="K3469" s="46"/>
      <c r="L3469" s="10"/>
      <c r="M3469" s="20"/>
      <c r="N3469" s="20"/>
      <c r="O3469" s="20"/>
      <c r="P3469" s="20"/>
    </row>
    <row r="3470">
      <c r="A3470" s="23"/>
      <c r="B3470" s="21"/>
      <c r="C3470" s="23"/>
      <c r="D3470" s="24"/>
      <c r="E3470" s="14"/>
      <c r="F3470" s="14"/>
      <c r="G3470" s="14"/>
      <c r="H3470" s="23"/>
      <c r="I3470" s="27"/>
      <c r="J3470" s="23"/>
      <c r="K3470" s="30"/>
      <c r="L3470" s="23"/>
      <c r="M3470" s="20"/>
      <c r="N3470" s="20"/>
      <c r="O3470" s="20"/>
      <c r="P3470" s="20"/>
    </row>
    <row r="3471">
      <c r="A3471" s="10"/>
      <c r="B3471" s="11"/>
      <c r="C3471" s="10"/>
      <c r="D3471" s="13"/>
      <c r="E3471" s="14"/>
      <c r="F3471" s="14"/>
      <c r="G3471" s="14"/>
      <c r="H3471" s="10"/>
      <c r="I3471" s="17"/>
      <c r="J3471" s="10"/>
      <c r="K3471" s="46"/>
      <c r="L3471" s="10"/>
      <c r="M3471" s="20"/>
      <c r="N3471" s="20"/>
      <c r="O3471" s="20"/>
      <c r="P3471" s="20"/>
    </row>
    <row r="3472">
      <c r="A3472" s="23"/>
      <c r="B3472" s="21"/>
      <c r="C3472" s="23"/>
      <c r="D3472" s="24"/>
      <c r="E3472" s="14"/>
      <c r="F3472" s="14"/>
      <c r="G3472" s="14"/>
      <c r="H3472" s="23"/>
      <c r="I3472" s="27"/>
      <c r="J3472" s="23"/>
      <c r="K3472" s="30"/>
      <c r="L3472" s="23"/>
      <c r="M3472" s="20"/>
      <c r="N3472" s="20"/>
      <c r="O3472" s="20"/>
      <c r="P3472" s="20"/>
    </row>
    <row r="3473">
      <c r="A3473" s="10"/>
      <c r="B3473" s="11"/>
      <c r="C3473" s="10"/>
      <c r="D3473" s="13"/>
      <c r="E3473" s="14"/>
      <c r="F3473" s="14"/>
      <c r="G3473" s="14"/>
      <c r="H3473" s="10"/>
      <c r="I3473" s="17"/>
      <c r="J3473" s="10"/>
      <c r="K3473" s="46"/>
      <c r="L3473" s="10"/>
      <c r="M3473" s="20"/>
      <c r="N3473" s="20"/>
      <c r="O3473" s="20"/>
      <c r="P3473" s="20"/>
    </row>
    <row r="3474">
      <c r="A3474" s="23"/>
      <c r="B3474" s="21"/>
      <c r="C3474" s="23"/>
      <c r="D3474" s="24"/>
      <c r="E3474" s="14"/>
      <c r="F3474" s="14"/>
      <c r="G3474" s="14"/>
      <c r="H3474" s="23"/>
      <c r="I3474" s="27"/>
      <c r="J3474" s="23"/>
      <c r="K3474" s="30"/>
      <c r="L3474" s="23"/>
      <c r="M3474" s="20"/>
      <c r="N3474" s="20"/>
      <c r="O3474" s="20"/>
      <c r="P3474" s="20"/>
    </row>
    <row r="3475">
      <c r="A3475" s="10"/>
      <c r="B3475" s="11"/>
      <c r="C3475" s="10"/>
      <c r="D3475" s="13"/>
      <c r="E3475" s="14"/>
      <c r="F3475" s="14"/>
      <c r="G3475" s="14"/>
      <c r="H3475" s="10"/>
      <c r="I3475" s="17"/>
      <c r="J3475" s="10"/>
      <c r="K3475" s="46"/>
      <c r="L3475" s="10"/>
      <c r="M3475" s="20"/>
      <c r="N3475" s="20"/>
      <c r="O3475" s="20"/>
      <c r="P3475" s="20"/>
    </row>
    <row r="3476">
      <c r="A3476" s="23"/>
      <c r="B3476" s="21"/>
      <c r="C3476" s="23"/>
      <c r="D3476" s="24"/>
      <c r="E3476" s="14"/>
      <c r="F3476" s="14"/>
      <c r="G3476" s="14"/>
      <c r="H3476" s="23"/>
      <c r="I3476" s="27"/>
      <c r="J3476" s="23"/>
      <c r="K3476" s="30"/>
      <c r="L3476" s="23"/>
      <c r="M3476" s="20"/>
      <c r="N3476" s="20"/>
      <c r="O3476" s="20"/>
      <c r="P3476" s="20"/>
    </row>
    <row r="3477">
      <c r="A3477" s="10"/>
      <c r="B3477" s="11"/>
      <c r="C3477" s="10"/>
      <c r="D3477" s="13"/>
      <c r="E3477" s="14"/>
      <c r="F3477" s="14"/>
      <c r="G3477" s="14"/>
      <c r="H3477" s="10"/>
      <c r="I3477" s="17"/>
      <c r="J3477" s="10"/>
      <c r="K3477" s="46"/>
      <c r="L3477" s="10"/>
      <c r="M3477" s="20"/>
      <c r="N3477" s="20"/>
      <c r="O3477" s="20"/>
      <c r="P3477" s="20"/>
    </row>
    <row r="3478">
      <c r="A3478" s="23"/>
      <c r="B3478" s="21"/>
      <c r="C3478" s="23"/>
      <c r="D3478" s="24"/>
      <c r="E3478" s="14"/>
      <c r="F3478" s="14"/>
      <c r="G3478" s="14"/>
      <c r="H3478" s="23"/>
      <c r="I3478" s="27"/>
      <c r="J3478" s="23"/>
      <c r="K3478" s="30"/>
      <c r="L3478" s="23"/>
      <c r="M3478" s="20"/>
      <c r="N3478" s="20"/>
      <c r="O3478" s="20"/>
      <c r="P3478" s="20"/>
    </row>
    <row r="3479">
      <c r="A3479" s="10"/>
      <c r="B3479" s="11"/>
      <c r="C3479" s="10"/>
      <c r="D3479" s="13"/>
      <c r="E3479" s="14"/>
      <c r="F3479" s="14"/>
      <c r="G3479" s="14"/>
      <c r="H3479" s="10"/>
      <c r="I3479" s="17"/>
      <c r="J3479" s="10"/>
      <c r="K3479" s="46"/>
      <c r="L3479" s="10"/>
      <c r="M3479" s="20"/>
      <c r="N3479" s="20"/>
      <c r="O3479" s="20"/>
      <c r="P3479" s="20"/>
    </row>
    <row r="3480">
      <c r="A3480" s="23"/>
      <c r="B3480" s="21"/>
      <c r="C3480" s="23"/>
      <c r="D3480" s="24"/>
      <c r="E3480" s="14"/>
      <c r="F3480" s="14"/>
      <c r="G3480" s="14"/>
      <c r="H3480" s="23"/>
      <c r="I3480" s="27"/>
      <c r="J3480" s="23"/>
      <c r="K3480" s="30"/>
      <c r="L3480" s="23"/>
      <c r="M3480" s="20"/>
      <c r="N3480" s="20"/>
      <c r="O3480" s="20"/>
      <c r="P3480" s="20"/>
    </row>
    <row r="3481">
      <c r="A3481" s="10"/>
      <c r="B3481" s="11"/>
      <c r="C3481" s="10"/>
      <c r="D3481" s="13"/>
      <c r="E3481" s="14"/>
      <c r="F3481" s="14"/>
      <c r="G3481" s="14"/>
      <c r="H3481" s="10"/>
      <c r="I3481" s="17"/>
      <c r="J3481" s="10"/>
      <c r="K3481" s="46"/>
      <c r="L3481" s="10"/>
      <c r="M3481" s="20"/>
      <c r="N3481" s="20"/>
      <c r="O3481" s="20"/>
      <c r="P3481" s="20"/>
    </row>
    <row r="3482">
      <c r="A3482" s="23"/>
      <c r="B3482" s="21"/>
      <c r="C3482" s="23"/>
      <c r="D3482" s="24"/>
      <c r="E3482" s="14"/>
      <c r="F3482" s="14"/>
      <c r="G3482" s="14"/>
      <c r="H3482" s="23"/>
      <c r="I3482" s="27"/>
      <c r="J3482" s="23"/>
      <c r="K3482" s="30"/>
      <c r="L3482" s="23"/>
      <c r="M3482" s="20"/>
      <c r="N3482" s="20"/>
      <c r="O3482" s="20"/>
      <c r="P3482" s="20"/>
    </row>
    <row r="3483">
      <c r="A3483" s="10"/>
      <c r="B3483" s="11"/>
      <c r="C3483" s="10"/>
      <c r="D3483" s="13"/>
      <c r="E3483" s="14"/>
      <c r="F3483" s="14"/>
      <c r="G3483" s="14"/>
      <c r="H3483" s="10"/>
      <c r="I3483" s="17"/>
      <c r="J3483" s="10"/>
      <c r="K3483" s="46"/>
      <c r="L3483" s="10"/>
      <c r="M3483" s="20"/>
      <c r="N3483" s="20"/>
      <c r="O3483" s="20"/>
      <c r="P3483" s="20"/>
    </row>
    <row r="3484">
      <c r="A3484" s="23"/>
      <c r="B3484" s="21"/>
      <c r="C3484" s="23"/>
      <c r="D3484" s="24"/>
      <c r="E3484" s="14"/>
      <c r="F3484" s="14"/>
      <c r="G3484" s="14"/>
      <c r="H3484" s="23"/>
      <c r="I3484" s="27"/>
      <c r="J3484" s="23"/>
      <c r="K3484" s="30"/>
      <c r="L3484" s="23"/>
      <c r="M3484" s="20"/>
      <c r="N3484" s="20"/>
      <c r="O3484" s="20"/>
      <c r="P3484" s="20"/>
    </row>
    <row r="3485">
      <c r="A3485" s="10"/>
      <c r="B3485" s="11"/>
      <c r="C3485" s="10"/>
      <c r="D3485" s="13"/>
      <c r="E3485" s="14"/>
      <c r="F3485" s="14"/>
      <c r="G3485" s="14"/>
      <c r="H3485" s="10"/>
      <c r="I3485" s="17"/>
      <c r="J3485" s="10"/>
      <c r="K3485" s="46"/>
      <c r="L3485" s="10"/>
      <c r="M3485" s="20"/>
      <c r="N3485" s="20"/>
      <c r="O3485" s="20"/>
      <c r="P3485" s="20"/>
    </row>
    <row r="3486">
      <c r="A3486" s="23"/>
      <c r="B3486" s="21"/>
      <c r="C3486" s="23"/>
      <c r="D3486" s="24"/>
      <c r="E3486" s="14"/>
      <c r="F3486" s="14"/>
      <c r="G3486" s="14"/>
      <c r="H3486" s="23"/>
      <c r="I3486" s="27"/>
      <c r="J3486" s="23"/>
      <c r="K3486" s="30"/>
      <c r="L3486" s="23"/>
      <c r="M3486" s="20"/>
      <c r="N3486" s="20"/>
      <c r="O3486" s="20"/>
      <c r="P3486" s="20"/>
    </row>
    <row r="3487">
      <c r="A3487" s="10"/>
      <c r="B3487" s="11"/>
      <c r="C3487" s="10"/>
      <c r="D3487" s="13"/>
      <c r="E3487" s="14"/>
      <c r="F3487" s="14"/>
      <c r="G3487" s="14"/>
      <c r="H3487" s="10"/>
      <c r="I3487" s="17"/>
      <c r="J3487" s="10"/>
      <c r="K3487" s="46"/>
      <c r="L3487" s="10"/>
      <c r="M3487" s="20"/>
      <c r="N3487" s="20"/>
      <c r="O3487" s="20"/>
      <c r="P3487" s="20"/>
    </row>
    <row r="3488">
      <c r="A3488" s="23"/>
      <c r="B3488" s="21"/>
      <c r="C3488" s="23"/>
      <c r="D3488" s="24"/>
      <c r="E3488" s="14"/>
      <c r="F3488" s="14"/>
      <c r="G3488" s="14"/>
      <c r="H3488" s="23"/>
      <c r="I3488" s="27"/>
      <c r="J3488" s="23"/>
      <c r="K3488" s="30"/>
      <c r="L3488" s="23"/>
      <c r="M3488" s="20"/>
      <c r="N3488" s="20"/>
      <c r="O3488" s="20"/>
      <c r="P3488" s="20"/>
    </row>
    <row r="3489">
      <c r="A3489" s="10"/>
      <c r="B3489" s="11"/>
      <c r="C3489" s="10"/>
      <c r="D3489" s="13"/>
      <c r="E3489" s="14"/>
      <c r="F3489" s="14"/>
      <c r="G3489" s="14"/>
      <c r="H3489" s="10"/>
      <c r="I3489" s="17"/>
      <c r="J3489" s="10"/>
      <c r="K3489" s="46"/>
      <c r="L3489" s="10"/>
      <c r="M3489" s="20"/>
      <c r="N3489" s="20"/>
      <c r="O3489" s="20"/>
      <c r="P3489" s="20"/>
    </row>
    <row r="3490">
      <c r="A3490" s="23"/>
      <c r="B3490" s="21"/>
      <c r="C3490" s="23"/>
      <c r="D3490" s="24"/>
      <c r="E3490" s="14"/>
      <c r="F3490" s="14"/>
      <c r="G3490" s="14"/>
      <c r="H3490" s="23"/>
      <c r="I3490" s="27"/>
      <c r="J3490" s="23"/>
      <c r="K3490" s="30"/>
      <c r="L3490" s="23"/>
      <c r="M3490" s="20"/>
      <c r="N3490" s="20"/>
      <c r="O3490" s="20"/>
      <c r="P3490" s="20"/>
    </row>
    <row r="3491">
      <c r="A3491" s="10"/>
      <c r="B3491" s="11"/>
      <c r="C3491" s="10"/>
      <c r="D3491" s="13"/>
      <c r="E3491" s="14"/>
      <c r="F3491" s="14"/>
      <c r="G3491" s="14"/>
      <c r="H3491" s="10"/>
      <c r="I3491" s="17"/>
      <c r="J3491" s="10"/>
      <c r="K3491" s="46"/>
      <c r="L3491" s="10"/>
      <c r="M3491" s="20"/>
      <c r="N3491" s="20"/>
      <c r="O3491" s="20"/>
      <c r="P3491" s="20"/>
    </row>
    <row r="3492">
      <c r="A3492" s="23"/>
      <c r="B3492" s="21"/>
      <c r="C3492" s="23"/>
      <c r="D3492" s="24"/>
      <c r="E3492" s="14"/>
      <c r="F3492" s="14"/>
      <c r="G3492" s="14"/>
      <c r="H3492" s="23"/>
      <c r="I3492" s="27"/>
      <c r="J3492" s="23"/>
      <c r="K3492" s="30"/>
      <c r="L3492" s="23"/>
      <c r="M3492" s="20"/>
      <c r="N3492" s="20"/>
      <c r="O3492" s="20"/>
      <c r="P3492" s="20"/>
    </row>
    <row r="3493">
      <c r="A3493" s="10"/>
      <c r="B3493" s="11"/>
      <c r="C3493" s="10"/>
      <c r="D3493" s="13"/>
      <c r="E3493" s="14"/>
      <c r="F3493" s="14"/>
      <c r="G3493" s="14"/>
      <c r="H3493" s="10"/>
      <c r="I3493" s="17"/>
      <c r="J3493" s="10"/>
      <c r="K3493" s="46"/>
      <c r="L3493" s="10"/>
      <c r="M3493" s="20"/>
      <c r="N3493" s="20"/>
      <c r="O3493" s="20"/>
      <c r="P3493" s="20"/>
    </row>
    <row r="3494">
      <c r="A3494" s="23"/>
      <c r="B3494" s="21"/>
      <c r="C3494" s="23"/>
      <c r="D3494" s="24"/>
      <c r="E3494" s="14"/>
      <c r="F3494" s="14"/>
      <c r="G3494" s="14"/>
      <c r="H3494" s="23"/>
      <c r="I3494" s="27"/>
      <c r="J3494" s="23"/>
      <c r="K3494" s="30"/>
      <c r="L3494" s="23"/>
      <c r="M3494" s="20"/>
      <c r="N3494" s="20"/>
      <c r="O3494" s="20"/>
      <c r="P3494" s="20"/>
    </row>
    <row r="3495">
      <c r="A3495" s="10"/>
      <c r="B3495" s="11"/>
      <c r="C3495" s="10"/>
      <c r="D3495" s="13"/>
      <c r="E3495" s="14"/>
      <c r="F3495" s="14"/>
      <c r="G3495" s="14"/>
      <c r="H3495" s="10"/>
      <c r="I3495" s="17"/>
      <c r="J3495" s="10"/>
      <c r="K3495" s="46"/>
      <c r="L3495" s="10"/>
      <c r="M3495" s="20"/>
      <c r="N3495" s="20"/>
      <c r="O3495" s="20"/>
      <c r="P3495" s="20"/>
    </row>
    <row r="3496">
      <c r="A3496" s="23"/>
      <c r="B3496" s="21"/>
      <c r="C3496" s="23"/>
      <c r="D3496" s="24"/>
      <c r="E3496" s="14"/>
      <c r="F3496" s="14"/>
      <c r="G3496" s="14"/>
      <c r="H3496" s="23"/>
      <c r="I3496" s="27"/>
      <c r="J3496" s="23"/>
      <c r="K3496" s="30"/>
      <c r="L3496" s="23"/>
      <c r="M3496" s="20"/>
      <c r="N3496" s="20"/>
      <c r="O3496" s="20"/>
      <c r="P3496" s="20"/>
    </row>
    <row r="3497">
      <c r="A3497" s="10"/>
      <c r="B3497" s="11"/>
      <c r="C3497" s="10"/>
      <c r="D3497" s="13"/>
      <c r="E3497" s="14"/>
      <c r="F3497" s="14"/>
      <c r="G3497" s="14"/>
      <c r="H3497" s="10"/>
      <c r="I3497" s="17"/>
      <c r="J3497" s="10"/>
      <c r="K3497" s="46"/>
      <c r="L3497" s="10"/>
      <c r="M3497" s="20"/>
      <c r="N3497" s="20"/>
      <c r="O3497" s="20"/>
      <c r="P3497" s="20"/>
    </row>
    <row r="3498">
      <c r="A3498" s="23"/>
      <c r="B3498" s="21"/>
      <c r="C3498" s="23"/>
      <c r="D3498" s="24"/>
      <c r="E3498" s="14"/>
      <c r="F3498" s="14"/>
      <c r="G3498" s="14"/>
      <c r="H3498" s="23"/>
      <c r="I3498" s="27"/>
      <c r="J3498" s="23"/>
      <c r="K3498" s="30"/>
      <c r="L3498" s="23"/>
      <c r="M3498" s="20"/>
      <c r="N3498" s="20"/>
      <c r="O3498" s="20"/>
      <c r="P3498" s="20"/>
    </row>
    <row r="3499">
      <c r="A3499" s="10"/>
      <c r="B3499" s="11"/>
      <c r="C3499" s="10"/>
      <c r="D3499" s="13"/>
      <c r="E3499" s="14"/>
      <c r="F3499" s="14"/>
      <c r="G3499" s="14"/>
      <c r="H3499" s="10"/>
      <c r="I3499" s="17"/>
      <c r="J3499" s="10"/>
      <c r="K3499" s="46"/>
      <c r="L3499" s="10"/>
      <c r="M3499" s="20"/>
      <c r="N3499" s="20"/>
      <c r="O3499" s="20"/>
      <c r="P3499" s="20"/>
    </row>
    <row r="3500">
      <c r="A3500" s="23"/>
      <c r="B3500" s="21"/>
      <c r="C3500" s="23"/>
      <c r="D3500" s="24"/>
      <c r="E3500" s="14"/>
      <c r="F3500" s="14"/>
      <c r="G3500" s="14"/>
      <c r="H3500" s="23"/>
      <c r="I3500" s="27"/>
      <c r="J3500" s="23"/>
      <c r="K3500" s="30"/>
      <c r="L3500" s="23"/>
      <c r="M3500" s="20"/>
      <c r="N3500" s="20"/>
      <c r="O3500" s="20"/>
      <c r="P3500" s="20"/>
    </row>
    <row r="3501">
      <c r="A3501" s="10"/>
      <c r="B3501" s="11"/>
      <c r="C3501" s="10"/>
      <c r="D3501" s="13"/>
      <c r="E3501" s="14"/>
      <c r="F3501" s="14"/>
      <c r="G3501" s="14"/>
      <c r="H3501" s="10"/>
      <c r="I3501" s="17"/>
      <c r="J3501" s="10"/>
      <c r="K3501" s="46"/>
      <c r="L3501" s="10"/>
      <c r="M3501" s="20"/>
      <c r="N3501" s="20"/>
      <c r="O3501" s="20"/>
      <c r="P3501" s="20"/>
    </row>
    <row r="3502">
      <c r="A3502" s="23"/>
      <c r="B3502" s="21"/>
      <c r="C3502" s="23"/>
      <c r="D3502" s="24"/>
      <c r="E3502" s="14"/>
      <c r="F3502" s="14"/>
      <c r="G3502" s="14"/>
      <c r="H3502" s="23"/>
      <c r="I3502" s="27"/>
      <c r="J3502" s="23"/>
      <c r="K3502" s="30"/>
      <c r="L3502" s="23"/>
      <c r="M3502" s="20"/>
      <c r="N3502" s="20"/>
      <c r="O3502" s="20"/>
      <c r="P3502" s="20"/>
    </row>
    <row r="3503">
      <c r="A3503" s="10"/>
      <c r="B3503" s="11"/>
      <c r="C3503" s="10"/>
      <c r="D3503" s="13"/>
      <c r="E3503" s="14"/>
      <c r="F3503" s="14"/>
      <c r="G3503" s="14"/>
      <c r="H3503" s="10"/>
      <c r="I3503" s="17"/>
      <c r="J3503" s="10"/>
      <c r="K3503" s="46"/>
      <c r="L3503" s="10"/>
      <c r="M3503" s="20"/>
      <c r="N3503" s="20"/>
      <c r="O3503" s="20"/>
      <c r="P3503" s="20"/>
    </row>
    <row r="3504">
      <c r="A3504" s="23"/>
      <c r="B3504" s="21"/>
      <c r="C3504" s="23"/>
      <c r="D3504" s="24"/>
      <c r="E3504" s="14"/>
      <c r="F3504" s="14"/>
      <c r="G3504" s="14"/>
      <c r="H3504" s="23"/>
      <c r="I3504" s="27"/>
      <c r="J3504" s="23"/>
      <c r="K3504" s="30"/>
      <c r="L3504" s="23"/>
      <c r="M3504" s="20"/>
      <c r="N3504" s="20"/>
      <c r="O3504" s="20"/>
      <c r="P3504" s="20"/>
    </row>
    <row r="3505">
      <c r="A3505" s="10"/>
      <c r="B3505" s="11"/>
      <c r="C3505" s="10"/>
      <c r="D3505" s="13"/>
      <c r="E3505" s="14"/>
      <c r="F3505" s="14"/>
      <c r="G3505" s="14"/>
      <c r="H3505" s="10"/>
      <c r="I3505" s="17"/>
      <c r="J3505" s="10"/>
      <c r="K3505" s="46"/>
      <c r="L3505" s="10"/>
      <c r="M3505" s="20"/>
      <c r="N3505" s="20"/>
      <c r="O3505" s="20"/>
      <c r="P3505" s="20"/>
    </row>
    <row r="3506">
      <c r="A3506" s="23"/>
      <c r="B3506" s="21"/>
      <c r="C3506" s="23"/>
      <c r="D3506" s="24"/>
      <c r="E3506" s="14"/>
      <c r="F3506" s="14"/>
      <c r="G3506" s="14"/>
      <c r="H3506" s="23"/>
      <c r="I3506" s="27"/>
      <c r="J3506" s="23"/>
      <c r="K3506" s="30"/>
      <c r="L3506" s="23"/>
      <c r="M3506" s="20"/>
      <c r="N3506" s="20"/>
      <c r="O3506" s="20"/>
      <c r="P3506" s="20"/>
    </row>
    <row r="3507">
      <c r="A3507" s="10"/>
      <c r="B3507" s="11"/>
      <c r="C3507" s="10"/>
      <c r="D3507" s="13"/>
      <c r="E3507" s="14"/>
      <c r="F3507" s="14"/>
      <c r="G3507" s="14"/>
      <c r="H3507" s="10"/>
      <c r="I3507" s="17"/>
      <c r="J3507" s="10"/>
      <c r="K3507" s="46"/>
      <c r="L3507" s="10"/>
      <c r="M3507" s="20"/>
      <c r="N3507" s="20"/>
      <c r="O3507" s="20"/>
      <c r="P3507" s="20"/>
    </row>
    <row r="3508">
      <c r="A3508" s="23"/>
      <c r="B3508" s="21"/>
      <c r="C3508" s="23"/>
      <c r="D3508" s="24"/>
      <c r="E3508" s="14"/>
      <c r="F3508" s="14"/>
      <c r="G3508" s="14"/>
      <c r="H3508" s="23"/>
      <c r="I3508" s="27"/>
      <c r="J3508" s="23"/>
      <c r="K3508" s="30"/>
      <c r="L3508" s="23"/>
      <c r="M3508" s="20"/>
      <c r="N3508" s="20"/>
      <c r="O3508" s="20"/>
      <c r="P3508" s="20"/>
    </row>
    <row r="3509">
      <c r="A3509" s="10"/>
      <c r="B3509" s="11"/>
      <c r="C3509" s="10"/>
      <c r="D3509" s="13"/>
      <c r="E3509" s="14"/>
      <c r="F3509" s="14"/>
      <c r="G3509" s="14"/>
      <c r="H3509" s="10"/>
      <c r="I3509" s="17"/>
      <c r="J3509" s="10"/>
      <c r="K3509" s="46"/>
      <c r="L3509" s="10"/>
      <c r="M3509" s="20"/>
      <c r="N3509" s="20"/>
      <c r="O3509" s="20"/>
      <c r="P3509" s="20"/>
    </row>
    <row r="3510">
      <c r="A3510" s="23"/>
      <c r="B3510" s="21"/>
      <c r="C3510" s="23"/>
      <c r="D3510" s="24"/>
      <c r="E3510" s="14"/>
      <c r="F3510" s="14"/>
      <c r="G3510" s="14"/>
      <c r="H3510" s="23"/>
      <c r="I3510" s="27"/>
      <c r="J3510" s="23"/>
      <c r="K3510" s="30"/>
      <c r="L3510" s="23"/>
      <c r="M3510" s="20"/>
      <c r="N3510" s="20"/>
      <c r="O3510" s="20"/>
      <c r="P3510" s="20"/>
    </row>
    <row r="3511">
      <c r="A3511" s="10"/>
      <c r="B3511" s="11"/>
      <c r="C3511" s="10"/>
      <c r="D3511" s="13"/>
      <c r="E3511" s="14"/>
      <c r="F3511" s="14"/>
      <c r="G3511" s="14"/>
      <c r="H3511" s="10"/>
      <c r="I3511" s="17"/>
      <c r="J3511" s="10"/>
      <c r="K3511" s="46"/>
      <c r="L3511" s="10"/>
      <c r="M3511" s="20"/>
      <c r="N3511" s="20"/>
      <c r="O3511" s="20"/>
      <c r="P3511" s="20"/>
    </row>
    <row r="3512">
      <c r="A3512" s="23"/>
      <c r="B3512" s="21"/>
      <c r="C3512" s="23"/>
      <c r="D3512" s="24"/>
      <c r="E3512" s="14"/>
      <c r="F3512" s="14"/>
      <c r="G3512" s="14"/>
      <c r="H3512" s="23"/>
      <c r="I3512" s="27"/>
      <c r="J3512" s="23"/>
      <c r="K3512" s="30"/>
      <c r="L3512" s="23"/>
      <c r="M3512" s="20"/>
      <c r="N3512" s="20"/>
      <c r="O3512" s="20"/>
      <c r="P3512" s="20"/>
    </row>
    <row r="3513">
      <c r="A3513" s="10"/>
      <c r="B3513" s="11"/>
      <c r="C3513" s="10"/>
      <c r="D3513" s="13"/>
      <c r="E3513" s="14"/>
      <c r="F3513" s="14"/>
      <c r="G3513" s="14"/>
      <c r="H3513" s="10"/>
      <c r="I3513" s="17"/>
      <c r="J3513" s="10"/>
      <c r="K3513" s="46"/>
      <c r="L3513" s="10"/>
      <c r="M3513" s="20"/>
      <c r="N3513" s="20"/>
      <c r="O3513" s="20"/>
      <c r="P3513" s="20"/>
    </row>
    <row r="3514">
      <c r="A3514" s="23"/>
      <c r="B3514" s="21"/>
      <c r="C3514" s="23"/>
      <c r="D3514" s="24"/>
      <c r="E3514" s="14"/>
      <c r="F3514" s="14"/>
      <c r="G3514" s="14"/>
      <c r="H3514" s="23"/>
      <c r="I3514" s="27"/>
      <c r="J3514" s="23"/>
      <c r="K3514" s="30"/>
      <c r="L3514" s="23"/>
      <c r="M3514" s="20"/>
      <c r="N3514" s="20"/>
      <c r="O3514" s="20"/>
      <c r="P3514" s="20"/>
    </row>
    <row r="3515">
      <c r="A3515" s="10"/>
      <c r="B3515" s="11"/>
      <c r="C3515" s="10"/>
      <c r="D3515" s="13"/>
      <c r="E3515" s="14"/>
      <c r="F3515" s="14"/>
      <c r="G3515" s="14"/>
      <c r="H3515" s="10"/>
      <c r="I3515" s="17"/>
      <c r="J3515" s="10"/>
      <c r="K3515" s="46"/>
      <c r="L3515" s="10"/>
      <c r="M3515" s="20"/>
      <c r="N3515" s="20"/>
      <c r="O3515" s="20"/>
      <c r="P3515" s="20"/>
    </row>
    <row r="3516">
      <c r="A3516" s="23"/>
      <c r="B3516" s="21"/>
      <c r="C3516" s="23"/>
      <c r="D3516" s="24"/>
      <c r="E3516" s="14"/>
      <c r="F3516" s="14"/>
      <c r="G3516" s="14"/>
      <c r="H3516" s="23"/>
      <c r="I3516" s="27"/>
      <c r="J3516" s="23"/>
      <c r="K3516" s="30"/>
      <c r="L3516" s="23"/>
      <c r="M3516" s="20"/>
      <c r="N3516" s="20"/>
      <c r="O3516" s="20"/>
      <c r="P3516" s="20"/>
    </row>
    <row r="3517">
      <c r="A3517" s="10"/>
      <c r="B3517" s="11"/>
      <c r="C3517" s="10"/>
      <c r="D3517" s="13"/>
      <c r="E3517" s="14"/>
      <c r="F3517" s="14"/>
      <c r="G3517" s="14"/>
      <c r="H3517" s="10"/>
      <c r="I3517" s="17"/>
      <c r="J3517" s="10"/>
      <c r="K3517" s="46"/>
      <c r="L3517" s="10"/>
      <c r="M3517" s="20"/>
      <c r="N3517" s="20"/>
      <c r="O3517" s="20"/>
      <c r="P3517" s="20"/>
    </row>
    <row r="3518">
      <c r="A3518" s="23"/>
      <c r="B3518" s="21"/>
      <c r="C3518" s="23"/>
      <c r="D3518" s="24"/>
      <c r="E3518" s="14"/>
      <c r="F3518" s="14"/>
      <c r="G3518" s="14"/>
      <c r="H3518" s="23"/>
      <c r="I3518" s="27"/>
      <c r="J3518" s="23"/>
      <c r="K3518" s="30"/>
      <c r="L3518" s="23"/>
      <c r="M3518" s="20"/>
      <c r="N3518" s="20"/>
      <c r="O3518" s="20"/>
      <c r="P3518" s="20"/>
    </row>
    <row r="3519">
      <c r="A3519" s="10"/>
      <c r="B3519" s="11"/>
      <c r="C3519" s="10"/>
      <c r="D3519" s="13"/>
      <c r="E3519" s="14"/>
      <c r="F3519" s="14"/>
      <c r="G3519" s="14"/>
      <c r="H3519" s="10"/>
      <c r="I3519" s="17"/>
      <c r="J3519" s="10"/>
      <c r="K3519" s="46"/>
      <c r="L3519" s="10"/>
      <c r="M3519" s="20"/>
      <c r="N3519" s="20"/>
      <c r="O3519" s="20"/>
      <c r="P3519" s="20"/>
    </row>
    <row r="3520">
      <c r="A3520" s="23"/>
      <c r="B3520" s="21"/>
      <c r="C3520" s="23"/>
      <c r="D3520" s="24"/>
      <c r="E3520" s="14"/>
      <c r="F3520" s="14"/>
      <c r="G3520" s="14"/>
      <c r="H3520" s="23"/>
      <c r="I3520" s="27"/>
      <c r="J3520" s="23"/>
      <c r="K3520" s="30"/>
      <c r="L3520" s="23"/>
      <c r="M3520" s="20"/>
      <c r="N3520" s="20"/>
      <c r="O3520" s="20"/>
      <c r="P3520" s="20"/>
    </row>
    <row r="3521">
      <c r="A3521" s="10"/>
      <c r="B3521" s="11"/>
      <c r="C3521" s="10"/>
      <c r="D3521" s="13"/>
      <c r="E3521" s="14"/>
      <c r="F3521" s="14"/>
      <c r="G3521" s="14"/>
      <c r="H3521" s="10"/>
      <c r="I3521" s="17"/>
      <c r="J3521" s="10"/>
      <c r="K3521" s="46"/>
      <c r="L3521" s="10"/>
      <c r="M3521" s="20"/>
      <c r="N3521" s="20"/>
      <c r="O3521" s="20"/>
      <c r="P3521" s="20"/>
    </row>
    <row r="3522">
      <c r="A3522" s="23"/>
      <c r="B3522" s="21"/>
      <c r="C3522" s="23"/>
      <c r="D3522" s="24"/>
      <c r="E3522" s="14"/>
      <c r="F3522" s="14"/>
      <c r="G3522" s="14"/>
      <c r="H3522" s="23"/>
      <c r="I3522" s="27"/>
      <c r="J3522" s="23"/>
      <c r="K3522" s="30"/>
      <c r="L3522" s="23"/>
      <c r="M3522" s="20"/>
      <c r="N3522" s="20"/>
      <c r="O3522" s="20"/>
      <c r="P3522" s="20"/>
    </row>
    <row r="3523">
      <c r="A3523" s="10"/>
      <c r="B3523" s="11"/>
      <c r="C3523" s="10"/>
      <c r="D3523" s="13"/>
      <c r="E3523" s="14"/>
      <c r="F3523" s="14"/>
      <c r="G3523" s="14"/>
      <c r="H3523" s="10"/>
      <c r="I3523" s="17"/>
      <c r="J3523" s="10"/>
      <c r="K3523" s="46"/>
      <c r="L3523" s="10"/>
      <c r="M3523" s="20"/>
      <c r="N3523" s="20"/>
      <c r="O3523" s="20"/>
      <c r="P3523" s="20"/>
    </row>
    <row r="3524">
      <c r="A3524" s="23"/>
      <c r="B3524" s="21"/>
      <c r="C3524" s="23"/>
      <c r="D3524" s="24"/>
      <c r="E3524" s="14"/>
      <c r="F3524" s="14"/>
      <c r="G3524" s="14"/>
      <c r="H3524" s="23"/>
      <c r="I3524" s="27"/>
      <c r="J3524" s="23"/>
      <c r="K3524" s="30"/>
      <c r="L3524" s="23"/>
      <c r="M3524" s="20"/>
      <c r="N3524" s="20"/>
      <c r="O3524" s="20"/>
      <c r="P3524" s="20"/>
    </row>
    <row r="3525">
      <c r="A3525" s="10"/>
      <c r="B3525" s="11"/>
      <c r="C3525" s="10"/>
      <c r="D3525" s="13"/>
      <c r="E3525" s="14"/>
      <c r="F3525" s="14"/>
      <c r="G3525" s="14"/>
      <c r="H3525" s="10"/>
      <c r="I3525" s="17"/>
      <c r="J3525" s="10"/>
      <c r="K3525" s="46"/>
      <c r="L3525" s="10"/>
      <c r="M3525" s="20"/>
      <c r="N3525" s="20"/>
      <c r="O3525" s="20"/>
      <c r="P3525" s="20"/>
    </row>
    <row r="3526">
      <c r="A3526" s="23"/>
      <c r="B3526" s="21"/>
      <c r="C3526" s="23"/>
      <c r="D3526" s="24"/>
      <c r="E3526" s="14"/>
      <c r="F3526" s="14"/>
      <c r="G3526" s="14"/>
      <c r="H3526" s="23"/>
      <c r="I3526" s="27"/>
      <c r="J3526" s="23"/>
      <c r="K3526" s="30"/>
      <c r="L3526" s="23"/>
      <c r="M3526" s="20"/>
      <c r="N3526" s="20"/>
      <c r="O3526" s="20"/>
      <c r="P3526" s="20"/>
    </row>
    <row r="3527">
      <c r="A3527" s="10"/>
      <c r="B3527" s="11"/>
      <c r="C3527" s="10"/>
      <c r="D3527" s="13"/>
      <c r="E3527" s="14"/>
      <c r="F3527" s="14"/>
      <c r="G3527" s="14"/>
      <c r="H3527" s="10"/>
      <c r="I3527" s="17"/>
      <c r="J3527" s="10"/>
      <c r="K3527" s="46"/>
      <c r="L3527" s="10"/>
      <c r="M3527" s="20"/>
      <c r="N3527" s="20"/>
      <c r="O3527" s="20"/>
      <c r="P3527" s="20"/>
    </row>
    <row r="3528">
      <c r="A3528" s="23"/>
      <c r="B3528" s="21"/>
      <c r="C3528" s="23"/>
      <c r="D3528" s="24"/>
      <c r="E3528" s="14"/>
      <c r="F3528" s="14"/>
      <c r="G3528" s="14"/>
      <c r="H3528" s="23"/>
      <c r="I3528" s="27"/>
      <c r="J3528" s="23"/>
      <c r="K3528" s="30"/>
      <c r="L3528" s="23"/>
      <c r="M3528" s="20"/>
      <c r="N3528" s="20"/>
      <c r="O3528" s="20"/>
      <c r="P3528" s="20"/>
    </row>
    <row r="3529">
      <c r="A3529" s="10"/>
      <c r="B3529" s="11"/>
      <c r="C3529" s="10"/>
      <c r="D3529" s="13"/>
      <c r="E3529" s="14"/>
      <c r="F3529" s="14"/>
      <c r="G3529" s="14"/>
      <c r="H3529" s="10"/>
      <c r="I3529" s="17"/>
      <c r="J3529" s="10"/>
      <c r="K3529" s="46"/>
      <c r="L3529" s="10"/>
      <c r="M3529" s="20"/>
      <c r="N3529" s="20"/>
      <c r="O3529" s="20"/>
      <c r="P3529" s="20"/>
    </row>
    <row r="3530">
      <c r="A3530" s="23"/>
      <c r="B3530" s="21"/>
      <c r="C3530" s="23"/>
      <c r="D3530" s="24"/>
      <c r="E3530" s="14"/>
      <c r="F3530" s="14"/>
      <c r="G3530" s="14"/>
      <c r="H3530" s="23"/>
      <c r="I3530" s="27"/>
      <c r="J3530" s="23"/>
      <c r="K3530" s="30"/>
      <c r="L3530" s="23"/>
      <c r="M3530" s="20"/>
      <c r="N3530" s="20"/>
      <c r="O3530" s="20"/>
      <c r="P3530" s="20"/>
    </row>
    <row r="3531">
      <c r="A3531" s="10"/>
      <c r="B3531" s="11"/>
      <c r="C3531" s="10"/>
      <c r="D3531" s="13"/>
      <c r="E3531" s="14"/>
      <c r="F3531" s="14"/>
      <c r="G3531" s="14"/>
      <c r="H3531" s="10"/>
      <c r="I3531" s="17"/>
      <c r="J3531" s="10"/>
      <c r="K3531" s="46"/>
      <c r="L3531" s="10"/>
      <c r="M3531" s="20"/>
      <c r="N3531" s="20"/>
      <c r="O3531" s="20"/>
      <c r="P3531" s="20"/>
    </row>
    <row r="3532">
      <c r="A3532" s="23"/>
      <c r="B3532" s="21"/>
      <c r="C3532" s="23"/>
      <c r="D3532" s="24"/>
      <c r="E3532" s="14"/>
      <c r="F3532" s="14"/>
      <c r="G3532" s="14"/>
      <c r="H3532" s="23"/>
      <c r="I3532" s="27"/>
      <c r="J3532" s="23"/>
      <c r="K3532" s="30"/>
      <c r="L3532" s="23"/>
      <c r="M3532" s="20"/>
      <c r="N3532" s="20"/>
      <c r="O3532" s="20"/>
      <c r="P3532" s="20"/>
    </row>
    <row r="3533">
      <c r="A3533" s="10"/>
      <c r="B3533" s="11"/>
      <c r="C3533" s="10"/>
      <c r="D3533" s="13"/>
      <c r="E3533" s="14"/>
      <c r="F3533" s="14"/>
      <c r="G3533" s="14"/>
      <c r="H3533" s="10"/>
      <c r="I3533" s="17"/>
      <c r="J3533" s="10"/>
      <c r="K3533" s="46"/>
      <c r="L3533" s="10"/>
      <c r="M3533" s="20"/>
      <c r="N3533" s="20"/>
      <c r="O3533" s="20"/>
      <c r="P3533" s="20"/>
    </row>
    <row r="3534">
      <c r="A3534" s="23"/>
      <c r="B3534" s="21"/>
      <c r="C3534" s="23"/>
      <c r="D3534" s="24"/>
      <c r="E3534" s="14"/>
      <c r="F3534" s="14"/>
      <c r="G3534" s="14"/>
      <c r="H3534" s="23"/>
      <c r="I3534" s="27"/>
      <c r="J3534" s="23"/>
      <c r="K3534" s="30"/>
      <c r="L3534" s="23"/>
      <c r="M3534" s="20"/>
      <c r="N3534" s="20"/>
      <c r="O3534" s="20"/>
      <c r="P3534" s="20"/>
    </row>
    <row r="3535">
      <c r="A3535" s="10"/>
      <c r="B3535" s="11"/>
      <c r="C3535" s="10"/>
      <c r="D3535" s="13"/>
      <c r="E3535" s="14"/>
      <c r="F3535" s="14"/>
      <c r="G3535" s="14"/>
      <c r="H3535" s="10"/>
      <c r="I3535" s="17"/>
      <c r="J3535" s="10"/>
      <c r="K3535" s="46"/>
      <c r="L3535" s="10"/>
      <c r="M3535" s="20"/>
      <c r="N3535" s="20"/>
      <c r="O3535" s="20"/>
      <c r="P3535" s="20"/>
    </row>
    <row r="3536">
      <c r="A3536" s="23"/>
      <c r="B3536" s="21"/>
      <c r="C3536" s="23"/>
      <c r="D3536" s="24"/>
      <c r="E3536" s="14"/>
      <c r="F3536" s="14"/>
      <c r="G3536" s="14"/>
      <c r="H3536" s="23"/>
      <c r="I3536" s="27"/>
      <c r="J3536" s="23"/>
      <c r="K3536" s="30"/>
      <c r="L3536" s="23"/>
      <c r="M3536" s="20"/>
      <c r="N3536" s="20"/>
      <c r="O3536" s="20"/>
      <c r="P3536" s="20"/>
    </row>
    <row r="3537">
      <c r="A3537" s="10"/>
      <c r="B3537" s="11"/>
      <c r="C3537" s="10"/>
      <c r="D3537" s="13"/>
      <c r="E3537" s="14"/>
      <c r="F3537" s="14"/>
      <c r="G3537" s="14"/>
      <c r="H3537" s="10"/>
      <c r="I3537" s="17"/>
      <c r="J3537" s="10"/>
      <c r="K3537" s="46"/>
      <c r="L3537" s="10"/>
      <c r="M3537" s="20"/>
      <c r="N3537" s="20"/>
      <c r="O3537" s="20"/>
      <c r="P3537" s="20"/>
    </row>
    <row r="3538">
      <c r="A3538" s="23"/>
      <c r="B3538" s="21"/>
      <c r="C3538" s="23"/>
      <c r="D3538" s="24"/>
      <c r="E3538" s="14"/>
      <c r="F3538" s="14"/>
      <c r="G3538" s="14"/>
      <c r="H3538" s="23"/>
      <c r="I3538" s="27"/>
      <c r="J3538" s="23"/>
      <c r="K3538" s="30"/>
      <c r="L3538" s="23"/>
      <c r="M3538" s="20"/>
      <c r="N3538" s="20"/>
      <c r="O3538" s="20"/>
      <c r="P3538" s="20"/>
    </row>
    <row r="3539">
      <c r="A3539" s="10"/>
      <c r="B3539" s="11"/>
      <c r="C3539" s="10"/>
      <c r="D3539" s="13"/>
      <c r="E3539" s="14"/>
      <c r="F3539" s="14"/>
      <c r="G3539" s="14"/>
      <c r="H3539" s="10"/>
      <c r="I3539" s="17"/>
      <c r="J3539" s="10"/>
      <c r="K3539" s="46"/>
      <c r="L3539" s="10"/>
      <c r="M3539" s="20"/>
      <c r="N3539" s="20"/>
      <c r="O3539" s="20"/>
      <c r="P3539" s="20"/>
    </row>
    <row r="3540">
      <c r="A3540" s="23"/>
      <c r="B3540" s="21"/>
      <c r="C3540" s="23"/>
      <c r="D3540" s="24"/>
      <c r="E3540" s="14"/>
      <c r="F3540" s="14"/>
      <c r="G3540" s="14"/>
      <c r="H3540" s="23"/>
      <c r="I3540" s="27"/>
      <c r="J3540" s="23"/>
      <c r="K3540" s="30"/>
      <c r="L3540" s="23"/>
      <c r="M3540" s="20"/>
      <c r="N3540" s="20"/>
      <c r="O3540" s="20"/>
      <c r="P3540" s="20"/>
    </row>
    <row r="3541">
      <c r="A3541" s="10"/>
      <c r="B3541" s="11"/>
      <c r="C3541" s="10"/>
      <c r="D3541" s="13"/>
      <c r="E3541" s="14"/>
      <c r="F3541" s="14"/>
      <c r="G3541" s="14"/>
      <c r="H3541" s="10"/>
      <c r="I3541" s="17"/>
      <c r="J3541" s="10"/>
      <c r="K3541" s="46"/>
      <c r="L3541" s="10"/>
      <c r="M3541" s="20"/>
      <c r="N3541" s="20"/>
      <c r="O3541" s="20"/>
      <c r="P3541" s="20"/>
    </row>
    <row r="3542">
      <c r="A3542" s="23"/>
      <c r="B3542" s="21"/>
      <c r="C3542" s="23"/>
      <c r="D3542" s="24"/>
      <c r="E3542" s="14"/>
      <c r="F3542" s="14"/>
      <c r="G3542" s="14"/>
      <c r="H3542" s="23"/>
      <c r="I3542" s="27"/>
      <c r="J3542" s="23"/>
      <c r="K3542" s="30"/>
      <c r="L3542" s="23"/>
      <c r="M3542" s="20"/>
      <c r="N3542" s="20"/>
      <c r="O3542" s="20"/>
      <c r="P3542" s="20"/>
    </row>
    <row r="3543">
      <c r="A3543" s="10"/>
      <c r="B3543" s="11"/>
      <c r="C3543" s="10"/>
      <c r="D3543" s="13"/>
      <c r="E3543" s="14"/>
      <c r="F3543" s="14"/>
      <c r="G3543" s="14"/>
      <c r="H3543" s="10"/>
      <c r="I3543" s="17"/>
      <c r="J3543" s="10"/>
      <c r="K3543" s="46"/>
      <c r="L3543" s="10"/>
      <c r="M3543" s="20"/>
      <c r="N3543" s="20"/>
      <c r="O3543" s="20"/>
      <c r="P3543" s="20"/>
    </row>
    <row r="3544">
      <c r="A3544" s="23"/>
      <c r="B3544" s="21"/>
      <c r="C3544" s="23"/>
      <c r="D3544" s="24"/>
      <c r="E3544" s="14"/>
      <c r="F3544" s="14"/>
      <c r="G3544" s="14"/>
      <c r="H3544" s="23"/>
      <c r="I3544" s="27"/>
      <c r="J3544" s="23"/>
      <c r="K3544" s="30"/>
      <c r="L3544" s="23"/>
      <c r="M3544" s="20"/>
      <c r="N3544" s="20"/>
      <c r="O3544" s="20"/>
      <c r="P3544" s="20"/>
    </row>
    <row r="3545">
      <c r="A3545" s="10"/>
      <c r="B3545" s="11"/>
      <c r="C3545" s="10"/>
      <c r="D3545" s="13"/>
      <c r="E3545" s="14"/>
      <c r="F3545" s="14"/>
      <c r="G3545" s="14"/>
      <c r="H3545" s="10"/>
      <c r="I3545" s="17"/>
      <c r="J3545" s="10"/>
      <c r="K3545" s="46"/>
      <c r="L3545" s="10"/>
      <c r="M3545" s="20"/>
      <c r="N3545" s="20"/>
      <c r="O3545" s="20"/>
      <c r="P3545" s="20"/>
    </row>
    <row r="3546">
      <c r="A3546" s="23"/>
      <c r="B3546" s="21"/>
      <c r="C3546" s="23"/>
      <c r="D3546" s="24"/>
      <c r="E3546" s="14"/>
      <c r="F3546" s="14"/>
      <c r="G3546" s="14"/>
      <c r="H3546" s="23"/>
      <c r="I3546" s="27"/>
      <c r="J3546" s="23"/>
      <c r="K3546" s="30"/>
      <c r="L3546" s="23"/>
      <c r="M3546" s="20"/>
      <c r="N3546" s="20"/>
      <c r="O3546" s="20"/>
      <c r="P3546" s="20"/>
    </row>
    <row r="3547">
      <c r="A3547" s="10"/>
      <c r="B3547" s="11"/>
      <c r="C3547" s="10"/>
      <c r="D3547" s="13"/>
      <c r="E3547" s="14"/>
      <c r="F3547" s="14"/>
      <c r="G3547" s="14"/>
      <c r="H3547" s="10"/>
      <c r="I3547" s="17"/>
      <c r="J3547" s="10"/>
      <c r="K3547" s="46"/>
      <c r="L3547" s="10"/>
      <c r="M3547" s="20"/>
      <c r="N3547" s="20"/>
      <c r="O3547" s="20"/>
      <c r="P3547" s="20"/>
    </row>
    <row r="3548">
      <c r="A3548" s="23"/>
      <c r="B3548" s="21"/>
      <c r="C3548" s="23"/>
      <c r="D3548" s="24"/>
      <c r="E3548" s="14"/>
      <c r="F3548" s="14"/>
      <c r="G3548" s="14"/>
      <c r="H3548" s="23"/>
      <c r="I3548" s="27"/>
      <c r="J3548" s="23"/>
      <c r="K3548" s="30"/>
      <c r="L3548" s="23"/>
      <c r="M3548" s="20"/>
      <c r="N3548" s="20"/>
      <c r="O3548" s="20"/>
      <c r="P3548" s="20"/>
    </row>
    <row r="3549">
      <c r="A3549" s="10"/>
      <c r="B3549" s="11"/>
      <c r="C3549" s="10"/>
      <c r="D3549" s="13"/>
      <c r="E3549" s="14"/>
      <c r="F3549" s="14"/>
      <c r="G3549" s="14"/>
      <c r="H3549" s="10"/>
      <c r="I3549" s="17"/>
      <c r="J3549" s="10"/>
      <c r="K3549" s="46"/>
      <c r="L3549" s="10"/>
      <c r="M3549" s="20"/>
      <c r="N3549" s="20"/>
      <c r="O3549" s="20"/>
      <c r="P3549" s="20"/>
    </row>
    <row r="3550">
      <c r="A3550" s="23"/>
      <c r="B3550" s="21"/>
      <c r="C3550" s="23"/>
      <c r="D3550" s="24"/>
      <c r="E3550" s="14"/>
      <c r="F3550" s="14"/>
      <c r="G3550" s="14"/>
      <c r="H3550" s="23"/>
      <c r="I3550" s="27"/>
      <c r="J3550" s="23"/>
      <c r="K3550" s="30"/>
      <c r="L3550" s="23"/>
      <c r="M3550" s="20"/>
      <c r="N3550" s="20"/>
      <c r="O3550" s="20"/>
      <c r="P3550" s="20"/>
    </row>
    <row r="3551">
      <c r="A3551" s="10"/>
      <c r="B3551" s="11"/>
      <c r="C3551" s="10"/>
      <c r="D3551" s="13"/>
      <c r="E3551" s="14"/>
      <c r="F3551" s="14"/>
      <c r="G3551" s="14"/>
      <c r="H3551" s="10"/>
      <c r="I3551" s="17"/>
      <c r="J3551" s="10"/>
      <c r="K3551" s="46"/>
      <c r="L3551" s="10"/>
      <c r="M3551" s="20"/>
      <c r="N3551" s="20"/>
      <c r="O3551" s="20"/>
      <c r="P3551" s="20"/>
    </row>
    <row r="3552">
      <c r="A3552" s="23"/>
      <c r="B3552" s="21"/>
      <c r="C3552" s="23"/>
      <c r="D3552" s="24"/>
      <c r="E3552" s="14"/>
      <c r="F3552" s="14"/>
      <c r="G3552" s="14"/>
      <c r="H3552" s="23"/>
      <c r="I3552" s="27"/>
      <c r="J3552" s="23"/>
      <c r="K3552" s="30"/>
      <c r="L3552" s="23"/>
      <c r="M3552" s="20"/>
      <c r="N3552" s="20"/>
      <c r="O3552" s="20"/>
      <c r="P3552" s="20"/>
    </row>
    <row r="3553">
      <c r="A3553" s="10"/>
      <c r="B3553" s="11"/>
      <c r="C3553" s="10"/>
      <c r="D3553" s="13"/>
      <c r="E3553" s="14"/>
      <c r="F3553" s="14"/>
      <c r="G3553" s="14"/>
      <c r="H3553" s="10"/>
      <c r="I3553" s="17"/>
      <c r="J3553" s="10"/>
      <c r="K3553" s="46"/>
      <c r="L3553" s="10"/>
      <c r="M3553" s="20"/>
      <c r="N3553" s="20"/>
      <c r="O3553" s="20"/>
      <c r="P3553" s="20"/>
    </row>
    <row r="3554">
      <c r="A3554" s="23"/>
      <c r="B3554" s="21"/>
      <c r="C3554" s="23"/>
      <c r="D3554" s="24"/>
      <c r="E3554" s="14"/>
      <c r="F3554" s="14"/>
      <c r="G3554" s="14"/>
      <c r="H3554" s="23"/>
      <c r="I3554" s="27"/>
      <c r="J3554" s="23"/>
      <c r="K3554" s="30"/>
      <c r="L3554" s="23"/>
      <c r="M3554" s="20"/>
      <c r="N3554" s="20"/>
      <c r="O3554" s="20"/>
      <c r="P3554" s="20"/>
    </row>
    <row r="3555">
      <c r="A3555" s="10"/>
      <c r="B3555" s="11"/>
      <c r="C3555" s="10"/>
      <c r="D3555" s="13"/>
      <c r="E3555" s="14"/>
      <c r="F3555" s="14"/>
      <c r="G3555" s="14"/>
      <c r="H3555" s="10"/>
      <c r="I3555" s="17"/>
      <c r="J3555" s="10"/>
      <c r="K3555" s="46"/>
      <c r="L3555" s="10"/>
      <c r="M3555" s="20"/>
      <c r="N3555" s="20"/>
      <c r="O3555" s="20"/>
      <c r="P3555" s="20"/>
    </row>
    <row r="3556">
      <c r="A3556" s="23"/>
      <c r="B3556" s="21"/>
      <c r="C3556" s="23"/>
      <c r="D3556" s="24"/>
      <c r="E3556" s="14"/>
      <c r="F3556" s="14"/>
      <c r="G3556" s="14"/>
      <c r="H3556" s="23"/>
      <c r="I3556" s="27"/>
      <c r="J3556" s="23"/>
      <c r="K3556" s="30"/>
      <c r="L3556" s="23"/>
      <c r="M3556" s="20"/>
      <c r="N3556" s="20"/>
      <c r="O3556" s="20"/>
      <c r="P3556" s="20"/>
    </row>
    <row r="3557">
      <c r="A3557" s="10"/>
      <c r="B3557" s="11"/>
      <c r="C3557" s="10"/>
      <c r="D3557" s="13"/>
      <c r="E3557" s="14"/>
      <c r="F3557" s="14"/>
      <c r="G3557" s="14"/>
      <c r="H3557" s="10"/>
      <c r="I3557" s="17"/>
      <c r="J3557" s="10"/>
      <c r="K3557" s="46"/>
      <c r="L3557" s="10"/>
      <c r="M3557" s="20"/>
      <c r="N3557" s="20"/>
      <c r="O3557" s="20"/>
      <c r="P3557" s="20"/>
    </row>
    <row r="3558">
      <c r="A3558" s="23"/>
      <c r="B3558" s="21"/>
      <c r="C3558" s="23"/>
      <c r="D3558" s="24"/>
      <c r="E3558" s="14"/>
      <c r="F3558" s="14"/>
      <c r="G3558" s="14"/>
      <c r="H3558" s="23"/>
      <c r="I3558" s="27"/>
      <c r="J3558" s="23"/>
      <c r="K3558" s="30"/>
      <c r="L3558" s="23"/>
      <c r="M3558" s="20"/>
      <c r="N3558" s="20"/>
      <c r="O3558" s="20"/>
      <c r="P3558" s="20"/>
    </row>
    <row r="3559">
      <c r="A3559" s="10"/>
      <c r="B3559" s="11"/>
      <c r="C3559" s="10"/>
      <c r="D3559" s="13"/>
      <c r="E3559" s="14"/>
      <c r="F3559" s="14"/>
      <c r="G3559" s="14"/>
      <c r="H3559" s="10"/>
      <c r="I3559" s="17"/>
      <c r="J3559" s="10"/>
      <c r="K3559" s="46"/>
      <c r="L3559" s="10"/>
      <c r="M3559" s="20"/>
      <c r="N3559" s="20"/>
      <c r="O3559" s="20"/>
      <c r="P3559" s="20"/>
    </row>
    <row r="3560">
      <c r="A3560" s="23"/>
      <c r="B3560" s="21"/>
      <c r="C3560" s="23"/>
      <c r="D3560" s="24"/>
      <c r="E3560" s="14"/>
      <c r="F3560" s="14"/>
      <c r="G3560" s="14"/>
      <c r="H3560" s="23"/>
      <c r="I3560" s="27"/>
      <c r="J3560" s="23"/>
      <c r="K3560" s="30"/>
      <c r="L3560" s="23"/>
      <c r="M3560" s="20"/>
      <c r="N3560" s="20"/>
      <c r="O3560" s="20"/>
      <c r="P3560" s="20"/>
    </row>
    <row r="3561">
      <c r="A3561" s="10"/>
      <c r="B3561" s="11"/>
      <c r="C3561" s="10"/>
      <c r="D3561" s="13"/>
      <c r="E3561" s="14"/>
      <c r="F3561" s="14"/>
      <c r="G3561" s="14"/>
      <c r="H3561" s="10"/>
      <c r="I3561" s="17"/>
      <c r="J3561" s="10"/>
      <c r="K3561" s="46"/>
      <c r="L3561" s="10"/>
      <c r="M3561" s="20"/>
      <c r="N3561" s="20"/>
      <c r="O3561" s="20"/>
      <c r="P3561" s="20"/>
    </row>
    <row r="3562">
      <c r="A3562" s="23"/>
      <c r="B3562" s="21"/>
      <c r="C3562" s="23"/>
      <c r="D3562" s="24"/>
      <c r="E3562" s="14"/>
      <c r="F3562" s="14"/>
      <c r="G3562" s="14"/>
      <c r="H3562" s="23"/>
      <c r="I3562" s="27"/>
      <c r="J3562" s="23"/>
      <c r="K3562" s="30"/>
      <c r="L3562" s="23"/>
      <c r="M3562" s="20"/>
      <c r="N3562" s="20"/>
      <c r="O3562" s="20"/>
      <c r="P3562" s="20"/>
    </row>
    <row r="3563">
      <c r="A3563" s="10"/>
      <c r="B3563" s="11"/>
      <c r="C3563" s="10"/>
      <c r="D3563" s="13"/>
      <c r="E3563" s="14"/>
      <c r="F3563" s="14"/>
      <c r="G3563" s="14"/>
      <c r="H3563" s="10"/>
      <c r="I3563" s="17"/>
      <c r="J3563" s="10"/>
      <c r="K3563" s="46"/>
      <c r="L3563" s="10"/>
      <c r="M3563" s="20"/>
      <c r="N3563" s="20"/>
      <c r="O3563" s="20"/>
      <c r="P3563" s="20"/>
    </row>
    <row r="3564">
      <c r="A3564" s="23"/>
      <c r="B3564" s="21"/>
      <c r="C3564" s="23"/>
      <c r="D3564" s="24"/>
      <c r="E3564" s="14"/>
      <c r="F3564" s="14"/>
      <c r="G3564" s="14"/>
      <c r="H3564" s="23"/>
      <c r="I3564" s="27"/>
      <c r="J3564" s="23"/>
      <c r="K3564" s="30"/>
      <c r="L3564" s="23"/>
      <c r="M3564" s="20"/>
      <c r="N3564" s="20"/>
      <c r="O3564" s="20"/>
      <c r="P3564" s="20"/>
    </row>
    <row r="3565">
      <c r="A3565" s="10"/>
      <c r="B3565" s="11"/>
      <c r="C3565" s="10"/>
      <c r="D3565" s="13"/>
      <c r="E3565" s="14"/>
      <c r="F3565" s="14"/>
      <c r="G3565" s="14"/>
      <c r="H3565" s="10"/>
      <c r="I3565" s="17"/>
      <c r="J3565" s="10"/>
      <c r="K3565" s="46"/>
      <c r="L3565" s="10"/>
      <c r="M3565" s="20"/>
      <c r="N3565" s="20"/>
      <c r="O3565" s="20"/>
      <c r="P3565" s="20"/>
    </row>
    <row r="3566">
      <c r="A3566" s="23"/>
      <c r="B3566" s="21"/>
      <c r="C3566" s="23"/>
      <c r="D3566" s="24"/>
      <c r="E3566" s="14"/>
      <c r="F3566" s="14"/>
      <c r="G3566" s="14"/>
      <c r="H3566" s="23"/>
      <c r="I3566" s="27"/>
      <c r="J3566" s="23"/>
      <c r="K3566" s="30"/>
      <c r="L3566" s="23"/>
      <c r="M3566" s="20"/>
      <c r="N3566" s="20"/>
      <c r="O3566" s="20"/>
      <c r="P3566" s="20"/>
    </row>
    <row r="3567">
      <c r="A3567" s="10"/>
      <c r="B3567" s="11"/>
      <c r="C3567" s="10"/>
      <c r="D3567" s="13"/>
      <c r="E3567" s="14"/>
      <c r="F3567" s="14"/>
      <c r="G3567" s="14"/>
      <c r="H3567" s="10"/>
      <c r="I3567" s="17"/>
      <c r="J3567" s="10"/>
      <c r="K3567" s="46"/>
      <c r="L3567" s="10"/>
      <c r="M3567" s="20"/>
      <c r="N3567" s="20"/>
      <c r="O3567" s="20"/>
      <c r="P3567" s="20"/>
    </row>
    <row r="3568">
      <c r="A3568" s="23"/>
      <c r="B3568" s="21"/>
      <c r="C3568" s="23"/>
      <c r="D3568" s="24"/>
      <c r="E3568" s="14"/>
      <c r="F3568" s="14"/>
      <c r="G3568" s="14"/>
      <c r="H3568" s="23"/>
      <c r="I3568" s="27"/>
      <c r="J3568" s="23"/>
      <c r="K3568" s="30"/>
      <c r="L3568" s="23"/>
      <c r="M3568" s="20"/>
      <c r="N3568" s="20"/>
      <c r="O3568" s="20"/>
      <c r="P3568" s="20"/>
    </row>
    <row r="3569">
      <c r="A3569" s="10"/>
      <c r="B3569" s="11"/>
      <c r="C3569" s="10"/>
      <c r="D3569" s="13"/>
      <c r="E3569" s="14"/>
      <c r="F3569" s="14"/>
      <c r="G3569" s="14"/>
      <c r="H3569" s="10"/>
      <c r="I3569" s="17"/>
      <c r="J3569" s="10"/>
      <c r="K3569" s="46"/>
      <c r="L3569" s="10"/>
      <c r="M3569" s="20"/>
      <c r="N3569" s="20"/>
      <c r="O3569" s="20"/>
      <c r="P3569" s="20"/>
    </row>
    <row r="3570">
      <c r="A3570" s="23"/>
      <c r="B3570" s="21"/>
      <c r="C3570" s="23"/>
      <c r="D3570" s="24"/>
      <c r="E3570" s="14"/>
      <c r="F3570" s="14"/>
      <c r="G3570" s="14"/>
      <c r="H3570" s="23"/>
      <c r="I3570" s="27"/>
      <c r="J3570" s="23"/>
      <c r="K3570" s="30"/>
      <c r="L3570" s="23"/>
      <c r="M3570" s="20"/>
      <c r="N3570" s="20"/>
      <c r="O3570" s="20"/>
      <c r="P3570" s="20"/>
    </row>
    <row r="3571">
      <c r="A3571" s="10"/>
      <c r="B3571" s="11"/>
      <c r="C3571" s="10"/>
      <c r="D3571" s="13"/>
      <c r="E3571" s="14"/>
      <c r="F3571" s="14"/>
      <c r="G3571" s="14"/>
      <c r="H3571" s="10"/>
      <c r="I3571" s="17"/>
      <c r="J3571" s="10"/>
      <c r="K3571" s="46"/>
      <c r="L3571" s="10"/>
      <c r="M3571" s="20"/>
      <c r="N3571" s="20"/>
      <c r="O3571" s="20"/>
      <c r="P3571" s="20"/>
    </row>
    <row r="3572">
      <c r="A3572" s="23"/>
      <c r="B3572" s="21"/>
      <c r="C3572" s="23"/>
      <c r="D3572" s="24"/>
      <c r="E3572" s="14"/>
      <c r="F3572" s="14"/>
      <c r="G3572" s="14"/>
      <c r="H3572" s="23"/>
      <c r="I3572" s="27"/>
      <c r="J3572" s="23"/>
      <c r="K3572" s="30"/>
      <c r="L3572" s="23"/>
      <c r="M3572" s="20"/>
      <c r="N3572" s="20"/>
      <c r="O3572" s="20"/>
      <c r="P3572" s="20"/>
    </row>
    <row r="3573">
      <c r="A3573" s="10"/>
      <c r="B3573" s="11"/>
      <c r="C3573" s="10"/>
      <c r="D3573" s="13"/>
      <c r="E3573" s="14"/>
      <c r="F3573" s="14"/>
      <c r="G3573" s="14"/>
      <c r="H3573" s="10"/>
      <c r="I3573" s="17"/>
      <c r="J3573" s="10"/>
      <c r="K3573" s="46"/>
      <c r="L3573" s="10"/>
      <c r="M3573" s="20"/>
      <c r="N3573" s="20"/>
      <c r="O3573" s="20"/>
      <c r="P3573" s="20"/>
    </row>
    <row r="3574">
      <c r="A3574" s="23"/>
      <c r="B3574" s="21"/>
      <c r="C3574" s="23"/>
      <c r="D3574" s="24"/>
      <c r="E3574" s="14"/>
      <c r="F3574" s="14"/>
      <c r="G3574" s="14"/>
      <c r="H3574" s="23"/>
      <c r="I3574" s="27"/>
      <c r="J3574" s="23"/>
      <c r="K3574" s="30"/>
      <c r="L3574" s="23"/>
      <c r="M3574" s="20"/>
      <c r="N3574" s="20"/>
      <c r="O3574" s="20"/>
      <c r="P3574" s="20"/>
    </row>
    <row r="3575">
      <c r="A3575" s="10"/>
      <c r="B3575" s="11"/>
      <c r="C3575" s="10"/>
      <c r="D3575" s="13"/>
      <c r="E3575" s="14"/>
      <c r="F3575" s="14"/>
      <c r="G3575" s="14"/>
      <c r="H3575" s="10"/>
      <c r="I3575" s="17"/>
      <c r="J3575" s="10"/>
      <c r="K3575" s="46"/>
      <c r="L3575" s="10"/>
      <c r="M3575" s="20"/>
      <c r="N3575" s="20"/>
      <c r="O3575" s="20"/>
      <c r="P3575" s="20"/>
    </row>
    <row r="3576">
      <c r="A3576" s="23"/>
      <c r="B3576" s="21"/>
      <c r="C3576" s="23"/>
      <c r="D3576" s="24"/>
      <c r="E3576" s="14"/>
      <c r="F3576" s="14"/>
      <c r="G3576" s="14"/>
      <c r="H3576" s="23"/>
      <c r="I3576" s="27"/>
      <c r="J3576" s="23"/>
      <c r="K3576" s="30"/>
      <c r="L3576" s="23"/>
      <c r="M3576" s="20"/>
      <c r="N3576" s="20"/>
      <c r="O3576" s="20"/>
      <c r="P3576" s="20"/>
    </row>
    <row r="3577">
      <c r="A3577" s="10"/>
      <c r="B3577" s="11"/>
      <c r="C3577" s="10"/>
      <c r="D3577" s="13"/>
      <c r="E3577" s="14"/>
      <c r="F3577" s="14"/>
      <c r="G3577" s="14"/>
      <c r="H3577" s="10"/>
      <c r="I3577" s="17"/>
      <c r="J3577" s="10"/>
      <c r="K3577" s="46"/>
      <c r="L3577" s="10"/>
      <c r="M3577" s="20"/>
      <c r="N3577" s="20"/>
      <c r="O3577" s="20"/>
      <c r="P3577" s="20"/>
    </row>
    <row r="3578">
      <c r="A3578" s="23"/>
      <c r="B3578" s="21"/>
      <c r="C3578" s="23"/>
      <c r="D3578" s="24"/>
      <c r="E3578" s="14"/>
      <c r="F3578" s="14"/>
      <c r="G3578" s="14"/>
      <c r="H3578" s="23"/>
      <c r="I3578" s="27"/>
      <c r="J3578" s="23"/>
      <c r="K3578" s="30"/>
      <c r="L3578" s="23"/>
      <c r="M3578" s="20"/>
      <c r="N3578" s="20"/>
      <c r="O3578" s="20"/>
      <c r="P3578" s="20"/>
    </row>
    <row r="3579">
      <c r="A3579" s="10"/>
      <c r="B3579" s="11"/>
      <c r="C3579" s="10"/>
      <c r="D3579" s="13"/>
      <c r="E3579" s="14"/>
      <c r="F3579" s="14"/>
      <c r="G3579" s="14"/>
      <c r="H3579" s="10"/>
      <c r="I3579" s="17"/>
      <c r="J3579" s="10"/>
      <c r="K3579" s="46"/>
      <c r="L3579" s="10"/>
      <c r="M3579" s="20"/>
      <c r="N3579" s="20"/>
      <c r="O3579" s="20"/>
      <c r="P3579" s="20"/>
    </row>
    <row r="3580">
      <c r="A3580" s="23"/>
      <c r="B3580" s="21"/>
      <c r="C3580" s="23"/>
      <c r="D3580" s="24"/>
      <c r="E3580" s="14"/>
      <c r="F3580" s="14"/>
      <c r="G3580" s="14"/>
      <c r="H3580" s="23"/>
      <c r="I3580" s="27"/>
      <c r="J3580" s="23"/>
      <c r="K3580" s="30"/>
      <c r="L3580" s="23"/>
      <c r="M3580" s="20"/>
      <c r="N3580" s="20"/>
      <c r="O3580" s="20"/>
      <c r="P3580" s="20"/>
    </row>
    <row r="3581">
      <c r="A3581" s="10"/>
      <c r="B3581" s="11"/>
      <c r="C3581" s="10"/>
      <c r="D3581" s="13"/>
      <c r="E3581" s="14"/>
      <c r="F3581" s="14"/>
      <c r="G3581" s="14"/>
      <c r="H3581" s="10"/>
      <c r="I3581" s="17"/>
      <c r="J3581" s="10"/>
      <c r="K3581" s="46"/>
      <c r="L3581" s="10"/>
      <c r="M3581" s="20"/>
      <c r="N3581" s="20"/>
      <c r="O3581" s="20"/>
      <c r="P3581" s="20"/>
    </row>
    <row r="3582">
      <c r="A3582" s="23"/>
      <c r="B3582" s="21"/>
      <c r="C3582" s="23"/>
      <c r="D3582" s="24"/>
      <c r="E3582" s="14"/>
      <c r="F3582" s="14"/>
      <c r="G3582" s="14"/>
      <c r="H3582" s="23"/>
      <c r="I3582" s="27"/>
      <c r="J3582" s="23"/>
      <c r="K3582" s="30"/>
      <c r="L3582" s="23"/>
      <c r="M3582" s="20"/>
      <c r="N3582" s="20"/>
      <c r="O3582" s="20"/>
      <c r="P3582" s="20"/>
    </row>
    <row r="3583">
      <c r="A3583" s="10"/>
      <c r="B3583" s="11"/>
      <c r="C3583" s="10"/>
      <c r="D3583" s="13"/>
      <c r="E3583" s="14"/>
      <c r="F3583" s="14"/>
      <c r="G3583" s="14"/>
      <c r="H3583" s="10"/>
      <c r="I3583" s="17"/>
      <c r="J3583" s="10"/>
      <c r="K3583" s="46"/>
      <c r="L3583" s="10"/>
      <c r="M3583" s="20"/>
      <c r="N3583" s="20"/>
      <c r="O3583" s="20"/>
      <c r="P3583" s="20"/>
    </row>
    <row r="3584">
      <c r="A3584" s="23"/>
      <c r="B3584" s="21"/>
      <c r="C3584" s="23"/>
      <c r="D3584" s="24"/>
      <c r="E3584" s="14"/>
      <c r="F3584" s="14"/>
      <c r="G3584" s="14"/>
      <c r="H3584" s="23"/>
      <c r="I3584" s="27"/>
      <c r="J3584" s="23"/>
      <c r="K3584" s="30"/>
      <c r="L3584" s="23"/>
      <c r="M3584" s="20"/>
      <c r="N3584" s="20"/>
      <c r="O3584" s="20"/>
      <c r="P3584" s="20"/>
    </row>
    <row r="3585">
      <c r="A3585" s="10"/>
      <c r="B3585" s="11"/>
      <c r="C3585" s="10"/>
      <c r="D3585" s="13"/>
      <c r="E3585" s="14"/>
      <c r="F3585" s="14"/>
      <c r="G3585" s="14"/>
      <c r="H3585" s="10"/>
      <c r="I3585" s="17"/>
      <c r="J3585" s="10"/>
      <c r="K3585" s="46"/>
      <c r="L3585" s="10"/>
      <c r="M3585" s="20"/>
      <c r="N3585" s="20"/>
      <c r="O3585" s="20"/>
      <c r="P3585" s="20"/>
    </row>
    <row r="3586">
      <c r="A3586" s="23"/>
      <c r="B3586" s="21"/>
      <c r="C3586" s="23"/>
      <c r="D3586" s="24"/>
      <c r="E3586" s="14"/>
      <c r="F3586" s="14"/>
      <c r="G3586" s="14"/>
      <c r="H3586" s="23"/>
      <c r="I3586" s="27"/>
      <c r="J3586" s="23"/>
      <c r="K3586" s="30"/>
      <c r="L3586" s="23"/>
      <c r="M3586" s="20"/>
      <c r="N3586" s="20"/>
      <c r="O3586" s="20"/>
      <c r="P3586" s="20"/>
    </row>
    <row r="3587">
      <c r="A3587" s="10"/>
      <c r="B3587" s="11"/>
      <c r="C3587" s="10"/>
      <c r="D3587" s="13"/>
      <c r="E3587" s="14"/>
      <c r="F3587" s="14"/>
      <c r="G3587" s="14"/>
      <c r="H3587" s="10"/>
      <c r="I3587" s="17"/>
      <c r="J3587" s="10"/>
      <c r="K3587" s="46"/>
      <c r="L3587" s="10"/>
      <c r="M3587" s="20"/>
      <c r="N3587" s="20"/>
      <c r="O3587" s="20"/>
      <c r="P3587" s="20"/>
    </row>
    <row r="3588">
      <c r="A3588" s="23"/>
      <c r="B3588" s="21"/>
      <c r="C3588" s="23"/>
      <c r="D3588" s="24"/>
      <c r="E3588" s="14"/>
      <c r="F3588" s="14"/>
      <c r="G3588" s="14"/>
      <c r="H3588" s="23"/>
      <c r="I3588" s="27"/>
      <c r="J3588" s="23"/>
      <c r="K3588" s="30"/>
      <c r="L3588" s="23"/>
      <c r="M3588" s="20"/>
      <c r="N3588" s="20"/>
      <c r="O3588" s="20"/>
      <c r="P3588" s="20"/>
    </row>
    <row r="3589">
      <c r="A3589" s="10"/>
      <c r="B3589" s="11"/>
      <c r="C3589" s="10"/>
      <c r="D3589" s="13"/>
      <c r="E3589" s="14"/>
      <c r="F3589" s="14"/>
      <c r="G3589" s="14"/>
      <c r="H3589" s="10"/>
      <c r="I3589" s="17"/>
      <c r="J3589" s="10"/>
      <c r="K3589" s="46"/>
      <c r="L3589" s="10"/>
      <c r="M3589" s="20"/>
      <c r="N3589" s="20"/>
      <c r="O3589" s="20"/>
      <c r="P3589" s="20"/>
    </row>
    <row r="3590">
      <c r="A3590" s="23"/>
      <c r="B3590" s="21"/>
      <c r="C3590" s="23"/>
      <c r="D3590" s="24"/>
      <c r="E3590" s="14"/>
      <c r="F3590" s="14"/>
      <c r="G3590" s="14"/>
      <c r="H3590" s="23"/>
      <c r="I3590" s="27"/>
      <c r="J3590" s="23"/>
      <c r="K3590" s="30"/>
      <c r="L3590" s="23"/>
      <c r="M3590" s="20"/>
      <c r="N3590" s="20"/>
      <c r="O3590" s="20"/>
      <c r="P3590" s="20"/>
    </row>
    <row r="3591">
      <c r="A3591" s="10"/>
      <c r="B3591" s="11"/>
      <c r="C3591" s="10"/>
      <c r="D3591" s="13"/>
      <c r="E3591" s="14"/>
      <c r="F3591" s="14"/>
      <c r="G3591" s="14"/>
      <c r="H3591" s="10"/>
      <c r="I3591" s="17"/>
      <c r="J3591" s="10"/>
      <c r="K3591" s="46"/>
      <c r="L3591" s="10"/>
      <c r="M3591" s="20"/>
      <c r="N3591" s="20"/>
      <c r="O3591" s="20"/>
      <c r="P3591" s="20"/>
    </row>
    <row r="3592">
      <c r="A3592" s="23"/>
      <c r="B3592" s="21"/>
      <c r="C3592" s="23"/>
      <c r="D3592" s="24"/>
      <c r="E3592" s="14"/>
      <c r="F3592" s="14"/>
      <c r="G3592" s="14"/>
      <c r="H3592" s="23"/>
      <c r="I3592" s="27"/>
      <c r="J3592" s="23"/>
      <c r="K3592" s="30"/>
      <c r="L3592" s="23"/>
      <c r="M3592" s="20"/>
      <c r="N3592" s="20"/>
      <c r="O3592" s="20"/>
      <c r="P3592" s="20"/>
    </row>
    <row r="3593">
      <c r="A3593" s="10"/>
      <c r="B3593" s="11"/>
      <c r="C3593" s="10"/>
      <c r="D3593" s="13"/>
      <c r="E3593" s="14"/>
      <c r="F3593" s="14"/>
      <c r="G3593" s="14"/>
      <c r="H3593" s="10"/>
      <c r="I3593" s="17"/>
      <c r="J3593" s="10"/>
      <c r="K3593" s="46"/>
      <c r="L3593" s="10"/>
      <c r="M3593" s="20"/>
      <c r="N3593" s="20"/>
      <c r="O3593" s="20"/>
      <c r="P3593" s="20"/>
    </row>
    <row r="3594">
      <c r="A3594" s="23"/>
      <c r="B3594" s="21"/>
      <c r="C3594" s="23"/>
      <c r="D3594" s="24"/>
      <c r="E3594" s="14"/>
      <c r="F3594" s="14"/>
      <c r="G3594" s="14"/>
      <c r="H3594" s="23"/>
      <c r="I3594" s="27"/>
      <c r="J3594" s="23"/>
      <c r="K3594" s="30"/>
      <c r="L3594" s="23"/>
      <c r="M3594" s="20"/>
      <c r="N3594" s="20"/>
      <c r="O3594" s="20"/>
      <c r="P3594" s="20"/>
    </row>
    <row r="3595">
      <c r="A3595" s="10"/>
      <c r="B3595" s="11"/>
      <c r="C3595" s="10"/>
      <c r="D3595" s="13"/>
      <c r="E3595" s="14"/>
      <c r="F3595" s="14"/>
      <c r="G3595" s="14"/>
      <c r="H3595" s="10"/>
      <c r="I3595" s="17"/>
      <c r="J3595" s="10"/>
      <c r="K3595" s="46"/>
      <c r="L3595" s="10"/>
      <c r="M3595" s="20"/>
      <c r="N3595" s="20"/>
      <c r="O3595" s="20"/>
      <c r="P3595" s="20"/>
    </row>
    <row r="3596">
      <c r="A3596" s="23"/>
      <c r="B3596" s="21"/>
      <c r="C3596" s="23"/>
      <c r="D3596" s="24"/>
      <c r="E3596" s="14"/>
      <c r="F3596" s="14"/>
      <c r="G3596" s="14"/>
      <c r="H3596" s="23"/>
      <c r="I3596" s="27"/>
      <c r="J3596" s="23"/>
      <c r="K3596" s="30"/>
      <c r="L3596" s="23"/>
      <c r="M3596" s="20"/>
      <c r="N3596" s="20"/>
      <c r="O3596" s="20"/>
      <c r="P3596" s="20"/>
    </row>
    <row r="3597">
      <c r="A3597" s="10"/>
      <c r="B3597" s="11"/>
      <c r="C3597" s="10"/>
      <c r="D3597" s="13"/>
      <c r="E3597" s="14"/>
      <c r="F3597" s="14"/>
      <c r="G3597" s="14"/>
      <c r="H3597" s="10"/>
      <c r="I3597" s="17"/>
      <c r="J3597" s="10"/>
      <c r="K3597" s="46"/>
      <c r="L3597" s="10"/>
      <c r="M3597" s="20"/>
      <c r="N3597" s="20"/>
      <c r="O3597" s="20"/>
      <c r="P3597" s="20"/>
    </row>
    <row r="3598">
      <c r="A3598" s="23"/>
      <c r="B3598" s="21"/>
      <c r="C3598" s="23"/>
      <c r="D3598" s="24"/>
      <c r="E3598" s="14"/>
      <c r="F3598" s="14"/>
      <c r="G3598" s="14"/>
      <c r="H3598" s="23"/>
      <c r="I3598" s="27"/>
      <c r="J3598" s="23"/>
      <c r="K3598" s="30"/>
      <c r="L3598" s="23"/>
      <c r="M3598" s="20"/>
      <c r="N3598" s="20"/>
      <c r="O3598" s="20"/>
      <c r="P3598" s="20"/>
    </row>
    <row r="3599">
      <c r="A3599" s="10"/>
      <c r="B3599" s="11"/>
      <c r="C3599" s="10"/>
      <c r="D3599" s="13"/>
      <c r="E3599" s="14"/>
      <c r="F3599" s="14"/>
      <c r="G3599" s="14"/>
      <c r="H3599" s="10"/>
      <c r="I3599" s="17"/>
      <c r="J3599" s="10"/>
      <c r="K3599" s="46"/>
      <c r="L3599" s="10"/>
      <c r="M3599" s="20"/>
      <c r="N3599" s="20"/>
      <c r="O3599" s="20"/>
      <c r="P3599" s="20"/>
    </row>
    <row r="3600">
      <c r="A3600" s="23"/>
      <c r="B3600" s="21"/>
      <c r="C3600" s="23"/>
      <c r="D3600" s="24"/>
      <c r="E3600" s="14"/>
      <c r="F3600" s="14"/>
      <c r="G3600" s="14"/>
      <c r="H3600" s="23"/>
      <c r="I3600" s="27"/>
      <c r="J3600" s="23"/>
      <c r="K3600" s="30"/>
      <c r="L3600" s="23"/>
      <c r="M3600" s="20"/>
      <c r="N3600" s="20"/>
      <c r="O3600" s="20"/>
      <c r="P3600" s="20"/>
    </row>
    <row r="3601">
      <c r="A3601" s="10"/>
      <c r="B3601" s="11"/>
      <c r="C3601" s="10"/>
      <c r="D3601" s="13"/>
      <c r="E3601" s="14"/>
      <c r="F3601" s="14"/>
      <c r="G3601" s="14"/>
      <c r="H3601" s="10"/>
      <c r="I3601" s="17"/>
      <c r="J3601" s="10"/>
      <c r="K3601" s="46"/>
      <c r="L3601" s="10"/>
      <c r="M3601" s="20"/>
      <c r="N3601" s="20"/>
      <c r="O3601" s="20"/>
      <c r="P3601" s="20"/>
    </row>
    <row r="3602">
      <c r="A3602" s="23"/>
      <c r="B3602" s="21"/>
      <c r="C3602" s="23"/>
      <c r="D3602" s="24"/>
      <c r="E3602" s="14"/>
      <c r="F3602" s="14"/>
      <c r="G3602" s="14"/>
      <c r="H3602" s="23"/>
      <c r="I3602" s="27"/>
      <c r="J3602" s="23"/>
      <c r="K3602" s="30"/>
      <c r="L3602" s="23"/>
      <c r="M3602" s="20"/>
      <c r="N3602" s="20"/>
      <c r="O3602" s="20"/>
      <c r="P3602" s="20"/>
    </row>
    <row r="3603">
      <c r="A3603" s="10"/>
      <c r="B3603" s="11"/>
      <c r="C3603" s="10"/>
      <c r="D3603" s="13"/>
      <c r="E3603" s="14"/>
      <c r="F3603" s="14"/>
      <c r="G3603" s="14"/>
      <c r="H3603" s="10"/>
      <c r="I3603" s="17"/>
      <c r="J3603" s="10"/>
      <c r="K3603" s="46"/>
      <c r="L3603" s="10"/>
      <c r="M3603" s="20"/>
      <c r="N3603" s="20"/>
      <c r="O3603" s="20"/>
      <c r="P3603" s="20"/>
    </row>
    <row r="3604">
      <c r="A3604" s="23"/>
      <c r="B3604" s="21"/>
      <c r="C3604" s="23"/>
      <c r="D3604" s="24"/>
      <c r="E3604" s="14"/>
      <c r="F3604" s="14"/>
      <c r="G3604" s="14"/>
      <c r="H3604" s="23"/>
      <c r="I3604" s="27"/>
      <c r="J3604" s="23"/>
      <c r="K3604" s="30"/>
      <c r="L3604" s="23"/>
      <c r="M3604" s="20"/>
      <c r="N3604" s="20"/>
      <c r="O3604" s="20"/>
      <c r="P3604" s="20"/>
    </row>
    <row r="3605">
      <c r="A3605" s="10"/>
      <c r="B3605" s="11"/>
      <c r="C3605" s="10"/>
      <c r="D3605" s="13"/>
      <c r="E3605" s="14"/>
      <c r="F3605" s="14"/>
      <c r="G3605" s="14"/>
      <c r="H3605" s="10"/>
      <c r="I3605" s="17"/>
      <c r="J3605" s="10"/>
      <c r="K3605" s="46"/>
      <c r="L3605" s="10"/>
      <c r="M3605" s="20"/>
      <c r="N3605" s="20"/>
      <c r="O3605" s="20"/>
      <c r="P3605" s="20"/>
    </row>
    <row r="3606">
      <c r="A3606" s="23"/>
      <c r="B3606" s="21"/>
      <c r="C3606" s="23"/>
      <c r="D3606" s="24"/>
      <c r="E3606" s="14"/>
      <c r="F3606" s="14"/>
      <c r="G3606" s="14"/>
      <c r="H3606" s="23"/>
      <c r="I3606" s="27"/>
      <c r="J3606" s="23"/>
      <c r="K3606" s="30"/>
      <c r="L3606" s="23"/>
      <c r="M3606" s="20"/>
      <c r="N3606" s="20"/>
      <c r="O3606" s="20"/>
      <c r="P3606" s="20"/>
    </row>
    <row r="3607">
      <c r="A3607" s="10"/>
      <c r="B3607" s="11"/>
      <c r="C3607" s="10"/>
      <c r="D3607" s="13"/>
      <c r="E3607" s="14"/>
      <c r="F3607" s="14"/>
      <c r="G3607" s="14"/>
      <c r="H3607" s="10"/>
      <c r="I3607" s="17"/>
      <c r="J3607" s="10"/>
      <c r="K3607" s="46"/>
      <c r="L3607" s="10"/>
      <c r="M3607" s="20"/>
      <c r="N3607" s="20"/>
      <c r="O3607" s="20"/>
      <c r="P3607" s="20"/>
    </row>
    <row r="3608">
      <c r="A3608" s="23"/>
      <c r="B3608" s="21"/>
      <c r="C3608" s="23"/>
      <c r="D3608" s="24"/>
      <c r="E3608" s="14"/>
      <c r="F3608" s="14"/>
      <c r="G3608" s="14"/>
      <c r="H3608" s="23"/>
      <c r="I3608" s="27"/>
      <c r="J3608" s="23"/>
      <c r="K3608" s="30"/>
      <c r="L3608" s="23"/>
      <c r="M3608" s="20"/>
      <c r="N3608" s="20"/>
      <c r="O3608" s="20"/>
      <c r="P3608" s="20"/>
    </row>
    <row r="3609">
      <c r="A3609" s="10"/>
      <c r="B3609" s="11"/>
      <c r="C3609" s="10"/>
      <c r="D3609" s="13"/>
      <c r="E3609" s="14"/>
      <c r="F3609" s="14"/>
      <c r="G3609" s="14"/>
      <c r="H3609" s="10"/>
      <c r="I3609" s="17"/>
      <c r="J3609" s="10"/>
      <c r="K3609" s="46"/>
      <c r="L3609" s="10"/>
      <c r="M3609" s="20"/>
      <c r="N3609" s="20"/>
      <c r="O3609" s="20"/>
      <c r="P3609" s="20"/>
    </row>
    <row r="3610">
      <c r="A3610" s="23"/>
      <c r="B3610" s="21"/>
      <c r="C3610" s="23"/>
      <c r="D3610" s="24"/>
      <c r="E3610" s="14"/>
      <c r="F3610" s="14"/>
      <c r="G3610" s="14"/>
      <c r="H3610" s="23"/>
      <c r="I3610" s="27"/>
      <c r="J3610" s="23"/>
      <c r="K3610" s="30"/>
      <c r="L3610" s="23"/>
      <c r="M3610" s="20"/>
      <c r="N3610" s="20"/>
      <c r="O3610" s="20"/>
      <c r="P3610" s="20"/>
    </row>
    <row r="3611">
      <c r="A3611" s="10"/>
      <c r="B3611" s="11"/>
      <c r="C3611" s="10"/>
      <c r="D3611" s="13"/>
      <c r="E3611" s="14"/>
      <c r="F3611" s="14"/>
      <c r="G3611" s="14"/>
      <c r="H3611" s="10"/>
      <c r="I3611" s="17"/>
      <c r="J3611" s="10"/>
      <c r="K3611" s="46"/>
      <c r="L3611" s="10"/>
      <c r="M3611" s="20"/>
      <c r="N3611" s="20"/>
      <c r="O3611" s="20"/>
      <c r="P3611" s="20"/>
    </row>
    <row r="3612">
      <c r="A3612" s="23"/>
      <c r="B3612" s="21"/>
      <c r="C3612" s="23"/>
      <c r="D3612" s="24"/>
      <c r="E3612" s="14"/>
      <c r="F3612" s="14"/>
      <c r="G3612" s="14"/>
      <c r="H3612" s="23"/>
      <c r="I3612" s="27"/>
      <c r="J3612" s="23"/>
      <c r="K3612" s="30"/>
      <c r="L3612" s="23"/>
      <c r="M3612" s="20"/>
      <c r="N3612" s="20"/>
      <c r="O3612" s="20"/>
      <c r="P3612" s="20"/>
    </row>
    <row r="3613">
      <c r="A3613" s="10"/>
      <c r="B3613" s="11"/>
      <c r="C3613" s="10"/>
      <c r="D3613" s="13"/>
      <c r="E3613" s="14"/>
      <c r="F3613" s="14"/>
      <c r="G3613" s="14"/>
      <c r="H3613" s="10"/>
      <c r="I3613" s="17"/>
      <c r="J3613" s="10"/>
      <c r="K3613" s="46"/>
      <c r="L3613" s="10"/>
      <c r="M3613" s="20"/>
      <c r="N3613" s="20"/>
      <c r="O3613" s="20"/>
      <c r="P3613" s="20"/>
    </row>
    <row r="3614">
      <c r="A3614" s="23"/>
      <c r="B3614" s="21"/>
      <c r="C3614" s="23"/>
      <c r="D3614" s="24"/>
      <c r="E3614" s="14"/>
      <c r="F3614" s="14"/>
      <c r="G3614" s="14"/>
      <c r="H3614" s="23"/>
      <c r="I3614" s="27"/>
      <c r="J3614" s="23"/>
      <c r="K3614" s="30"/>
      <c r="L3614" s="23"/>
      <c r="M3614" s="20"/>
      <c r="N3614" s="20"/>
      <c r="O3614" s="20"/>
      <c r="P3614" s="20"/>
    </row>
    <row r="3615">
      <c r="A3615" s="10"/>
      <c r="B3615" s="11"/>
      <c r="C3615" s="10"/>
      <c r="D3615" s="13"/>
      <c r="E3615" s="14"/>
      <c r="F3615" s="14"/>
      <c r="G3615" s="14"/>
      <c r="H3615" s="10"/>
      <c r="I3615" s="17"/>
      <c r="J3615" s="10"/>
      <c r="K3615" s="46"/>
      <c r="L3615" s="10"/>
      <c r="M3615" s="20"/>
      <c r="N3615" s="20"/>
      <c r="O3615" s="20"/>
      <c r="P3615" s="20"/>
    </row>
    <row r="3616">
      <c r="A3616" s="23"/>
      <c r="B3616" s="21"/>
      <c r="C3616" s="23"/>
      <c r="D3616" s="24"/>
      <c r="E3616" s="14"/>
      <c r="F3616" s="14"/>
      <c r="G3616" s="14"/>
      <c r="H3616" s="23"/>
      <c r="I3616" s="27"/>
      <c r="J3616" s="23"/>
      <c r="K3616" s="30"/>
      <c r="L3616" s="23"/>
      <c r="M3616" s="20"/>
      <c r="N3616" s="20"/>
      <c r="O3616" s="20"/>
      <c r="P3616" s="20"/>
    </row>
    <row r="3617">
      <c r="A3617" s="10"/>
      <c r="B3617" s="11"/>
      <c r="C3617" s="10"/>
      <c r="D3617" s="13"/>
      <c r="E3617" s="14"/>
      <c r="F3617" s="14"/>
      <c r="G3617" s="14"/>
      <c r="H3617" s="10"/>
      <c r="I3617" s="17"/>
      <c r="J3617" s="10"/>
      <c r="K3617" s="46"/>
      <c r="L3617" s="10"/>
      <c r="M3617" s="20"/>
      <c r="N3617" s="20"/>
      <c r="O3617" s="20"/>
      <c r="P3617" s="20"/>
    </row>
    <row r="3618">
      <c r="A3618" s="23"/>
      <c r="B3618" s="21"/>
      <c r="C3618" s="23"/>
      <c r="D3618" s="24"/>
      <c r="E3618" s="14"/>
      <c r="F3618" s="14"/>
      <c r="G3618" s="14"/>
      <c r="H3618" s="23"/>
      <c r="I3618" s="27"/>
      <c r="J3618" s="23"/>
      <c r="K3618" s="30"/>
      <c r="L3618" s="23"/>
      <c r="M3618" s="20"/>
      <c r="N3618" s="20"/>
      <c r="O3618" s="20"/>
      <c r="P3618" s="20"/>
    </row>
    <row r="3619">
      <c r="A3619" s="10"/>
      <c r="B3619" s="11"/>
      <c r="C3619" s="10"/>
      <c r="D3619" s="13"/>
      <c r="E3619" s="14"/>
      <c r="F3619" s="14"/>
      <c r="G3619" s="14"/>
      <c r="H3619" s="10"/>
      <c r="I3619" s="17"/>
      <c r="J3619" s="10"/>
      <c r="K3619" s="46"/>
      <c r="L3619" s="10"/>
      <c r="M3619" s="20"/>
      <c r="N3619" s="20"/>
      <c r="O3619" s="20"/>
      <c r="P3619" s="20"/>
    </row>
    <row r="3620">
      <c r="A3620" s="23"/>
      <c r="B3620" s="21"/>
      <c r="C3620" s="23"/>
      <c r="D3620" s="24"/>
      <c r="E3620" s="14"/>
      <c r="F3620" s="14"/>
      <c r="G3620" s="14"/>
      <c r="H3620" s="23"/>
      <c r="I3620" s="27"/>
      <c r="J3620" s="23"/>
      <c r="K3620" s="30"/>
      <c r="L3620" s="23"/>
      <c r="M3620" s="20"/>
      <c r="N3620" s="20"/>
      <c r="O3620" s="20"/>
      <c r="P3620" s="20"/>
    </row>
    <row r="3621">
      <c r="A3621" s="10"/>
      <c r="B3621" s="11"/>
      <c r="C3621" s="10"/>
      <c r="D3621" s="13"/>
      <c r="E3621" s="14"/>
      <c r="F3621" s="14"/>
      <c r="G3621" s="14"/>
      <c r="H3621" s="10"/>
      <c r="I3621" s="17"/>
      <c r="J3621" s="10"/>
      <c r="K3621" s="46"/>
      <c r="L3621" s="10"/>
      <c r="M3621" s="20"/>
      <c r="N3621" s="20"/>
      <c r="O3621" s="20"/>
      <c r="P3621" s="20"/>
    </row>
    <row r="3622">
      <c r="A3622" s="23"/>
      <c r="B3622" s="21"/>
      <c r="C3622" s="23"/>
      <c r="D3622" s="24"/>
      <c r="E3622" s="14"/>
      <c r="F3622" s="14"/>
      <c r="G3622" s="14"/>
      <c r="H3622" s="23"/>
      <c r="I3622" s="27"/>
      <c r="J3622" s="23"/>
      <c r="K3622" s="30"/>
      <c r="L3622" s="23"/>
      <c r="M3622" s="20"/>
      <c r="N3622" s="20"/>
      <c r="O3622" s="20"/>
      <c r="P3622" s="20"/>
    </row>
    <row r="3623">
      <c r="A3623" s="10"/>
      <c r="B3623" s="11"/>
      <c r="C3623" s="10"/>
      <c r="D3623" s="13"/>
      <c r="E3623" s="14"/>
      <c r="F3623" s="14"/>
      <c r="G3623" s="14"/>
      <c r="H3623" s="10"/>
      <c r="I3623" s="17"/>
      <c r="J3623" s="10"/>
      <c r="K3623" s="46"/>
      <c r="L3623" s="10"/>
      <c r="M3623" s="20"/>
      <c r="N3623" s="20"/>
      <c r="O3623" s="20"/>
      <c r="P3623" s="20"/>
    </row>
    <row r="3624">
      <c r="A3624" s="23"/>
      <c r="B3624" s="21"/>
      <c r="C3624" s="23"/>
      <c r="D3624" s="24"/>
      <c r="E3624" s="14"/>
      <c r="F3624" s="14"/>
      <c r="G3624" s="14"/>
      <c r="H3624" s="23"/>
      <c r="I3624" s="27"/>
      <c r="J3624" s="23"/>
      <c r="K3624" s="30"/>
      <c r="L3624" s="23"/>
      <c r="M3624" s="20"/>
      <c r="N3624" s="20"/>
      <c r="O3624" s="20"/>
      <c r="P3624" s="20"/>
    </row>
    <row r="3625">
      <c r="A3625" s="10"/>
      <c r="B3625" s="11"/>
      <c r="C3625" s="10"/>
      <c r="D3625" s="13"/>
      <c r="E3625" s="14"/>
      <c r="F3625" s="14"/>
      <c r="G3625" s="14"/>
      <c r="H3625" s="10"/>
      <c r="I3625" s="17"/>
      <c r="J3625" s="10"/>
      <c r="K3625" s="46"/>
      <c r="L3625" s="10"/>
      <c r="M3625" s="20"/>
      <c r="N3625" s="20"/>
      <c r="O3625" s="20"/>
      <c r="P3625" s="20"/>
    </row>
    <row r="3626">
      <c r="A3626" s="23"/>
      <c r="B3626" s="21"/>
      <c r="C3626" s="23"/>
      <c r="D3626" s="24"/>
      <c r="E3626" s="14"/>
      <c r="F3626" s="14"/>
      <c r="G3626" s="14"/>
      <c r="H3626" s="23"/>
      <c r="I3626" s="27"/>
      <c r="J3626" s="23"/>
      <c r="K3626" s="30"/>
      <c r="L3626" s="23"/>
      <c r="M3626" s="20"/>
      <c r="N3626" s="20"/>
      <c r="O3626" s="20"/>
      <c r="P3626" s="20"/>
    </row>
    <row r="3627">
      <c r="A3627" s="10"/>
      <c r="B3627" s="11"/>
      <c r="C3627" s="10"/>
      <c r="D3627" s="13"/>
      <c r="E3627" s="14"/>
      <c r="F3627" s="14"/>
      <c r="G3627" s="14"/>
      <c r="H3627" s="10"/>
      <c r="I3627" s="17"/>
      <c r="J3627" s="10"/>
      <c r="K3627" s="46"/>
      <c r="L3627" s="10"/>
      <c r="M3627" s="20"/>
      <c r="N3627" s="20"/>
      <c r="O3627" s="20"/>
      <c r="P3627" s="20"/>
    </row>
    <row r="3628">
      <c r="A3628" s="23"/>
      <c r="B3628" s="21"/>
      <c r="C3628" s="23"/>
      <c r="D3628" s="24"/>
      <c r="E3628" s="14"/>
      <c r="F3628" s="14"/>
      <c r="G3628" s="14"/>
      <c r="H3628" s="23"/>
      <c r="I3628" s="27"/>
      <c r="J3628" s="23"/>
      <c r="K3628" s="30"/>
      <c r="L3628" s="23"/>
      <c r="M3628" s="20"/>
      <c r="N3628" s="20"/>
      <c r="O3628" s="20"/>
      <c r="P3628" s="20"/>
    </row>
    <row r="3629">
      <c r="A3629" s="10"/>
      <c r="B3629" s="11"/>
      <c r="C3629" s="10"/>
      <c r="D3629" s="13"/>
      <c r="E3629" s="14"/>
      <c r="F3629" s="14"/>
      <c r="G3629" s="14"/>
      <c r="H3629" s="10"/>
      <c r="I3629" s="17"/>
      <c r="J3629" s="10"/>
      <c r="K3629" s="46"/>
      <c r="L3629" s="10"/>
      <c r="M3629" s="20"/>
      <c r="N3629" s="20"/>
      <c r="O3629" s="20"/>
      <c r="P3629" s="20"/>
    </row>
    <row r="3630">
      <c r="A3630" s="23"/>
      <c r="B3630" s="21"/>
      <c r="C3630" s="23"/>
      <c r="D3630" s="24"/>
      <c r="E3630" s="14"/>
      <c r="F3630" s="14"/>
      <c r="G3630" s="14"/>
      <c r="H3630" s="23"/>
      <c r="I3630" s="27"/>
      <c r="J3630" s="23"/>
      <c r="K3630" s="30"/>
      <c r="L3630" s="23"/>
      <c r="M3630" s="20"/>
      <c r="N3630" s="20"/>
      <c r="O3630" s="20"/>
      <c r="P3630" s="20"/>
    </row>
    <row r="3631">
      <c r="A3631" s="10"/>
      <c r="B3631" s="11"/>
      <c r="C3631" s="10"/>
      <c r="D3631" s="13"/>
      <c r="E3631" s="14"/>
      <c r="F3631" s="14"/>
      <c r="G3631" s="14"/>
      <c r="H3631" s="10"/>
      <c r="I3631" s="17"/>
      <c r="J3631" s="10"/>
      <c r="K3631" s="46"/>
      <c r="L3631" s="10"/>
      <c r="M3631" s="20"/>
      <c r="N3631" s="20"/>
      <c r="O3631" s="20"/>
      <c r="P3631" s="20"/>
    </row>
    <row r="3632">
      <c r="A3632" s="23"/>
      <c r="B3632" s="21"/>
      <c r="C3632" s="23"/>
      <c r="D3632" s="24"/>
      <c r="E3632" s="14"/>
      <c r="F3632" s="14"/>
      <c r="G3632" s="14"/>
      <c r="H3632" s="23"/>
      <c r="I3632" s="27"/>
      <c r="J3632" s="23"/>
      <c r="K3632" s="30"/>
      <c r="L3632" s="23"/>
      <c r="M3632" s="20"/>
      <c r="N3632" s="20"/>
      <c r="O3632" s="20"/>
      <c r="P3632" s="20"/>
    </row>
    <row r="3633">
      <c r="A3633" s="10"/>
      <c r="B3633" s="11"/>
      <c r="C3633" s="10"/>
      <c r="D3633" s="13"/>
      <c r="E3633" s="14"/>
      <c r="F3633" s="14"/>
      <c r="G3633" s="14"/>
      <c r="H3633" s="10"/>
      <c r="I3633" s="17"/>
      <c r="J3633" s="10"/>
      <c r="K3633" s="46"/>
      <c r="L3633" s="10"/>
      <c r="M3633" s="20"/>
      <c r="N3633" s="20"/>
      <c r="O3633" s="20"/>
      <c r="P3633" s="20"/>
    </row>
    <row r="3634">
      <c r="A3634" s="23"/>
      <c r="B3634" s="21"/>
      <c r="C3634" s="23"/>
      <c r="D3634" s="24"/>
      <c r="E3634" s="14"/>
      <c r="F3634" s="14"/>
      <c r="G3634" s="14"/>
      <c r="H3634" s="23"/>
      <c r="I3634" s="27"/>
      <c r="J3634" s="23"/>
      <c r="K3634" s="30"/>
      <c r="L3634" s="23"/>
      <c r="M3634" s="20"/>
      <c r="N3634" s="20"/>
      <c r="O3634" s="20"/>
      <c r="P3634" s="20"/>
    </row>
    <row r="3635">
      <c r="A3635" s="10"/>
      <c r="B3635" s="11"/>
      <c r="C3635" s="10"/>
      <c r="D3635" s="13"/>
      <c r="E3635" s="14"/>
      <c r="F3635" s="14"/>
      <c r="G3635" s="14"/>
      <c r="H3635" s="10"/>
      <c r="I3635" s="17"/>
      <c r="J3635" s="10"/>
      <c r="K3635" s="46"/>
      <c r="L3635" s="10"/>
      <c r="M3635" s="20"/>
      <c r="N3635" s="20"/>
      <c r="O3635" s="20"/>
      <c r="P3635" s="20"/>
    </row>
    <row r="3636">
      <c r="A3636" s="23"/>
      <c r="B3636" s="21"/>
      <c r="C3636" s="23"/>
      <c r="D3636" s="24"/>
      <c r="E3636" s="14"/>
      <c r="F3636" s="14"/>
      <c r="G3636" s="14"/>
      <c r="H3636" s="23"/>
      <c r="I3636" s="27"/>
      <c r="J3636" s="23"/>
      <c r="K3636" s="30"/>
      <c r="L3636" s="23"/>
      <c r="M3636" s="20"/>
      <c r="N3636" s="20"/>
      <c r="O3636" s="20"/>
      <c r="P3636" s="20"/>
    </row>
    <row r="3637">
      <c r="A3637" s="10"/>
      <c r="B3637" s="11"/>
      <c r="C3637" s="10"/>
      <c r="D3637" s="13"/>
      <c r="E3637" s="14"/>
      <c r="F3637" s="14"/>
      <c r="G3637" s="14"/>
      <c r="H3637" s="10"/>
      <c r="I3637" s="17"/>
      <c r="J3637" s="10"/>
      <c r="K3637" s="46"/>
      <c r="L3637" s="10"/>
      <c r="M3637" s="20"/>
      <c r="N3637" s="20"/>
      <c r="O3637" s="20"/>
      <c r="P3637" s="20"/>
    </row>
    <row r="3638">
      <c r="A3638" s="23"/>
      <c r="B3638" s="21"/>
      <c r="C3638" s="23"/>
      <c r="D3638" s="24"/>
      <c r="E3638" s="14"/>
      <c r="F3638" s="14"/>
      <c r="G3638" s="14"/>
      <c r="H3638" s="23"/>
      <c r="I3638" s="27"/>
      <c r="J3638" s="23"/>
      <c r="K3638" s="30"/>
      <c r="L3638" s="23"/>
      <c r="M3638" s="20"/>
      <c r="N3638" s="20"/>
      <c r="O3638" s="20"/>
      <c r="P3638" s="20"/>
    </row>
    <row r="3639">
      <c r="A3639" s="10"/>
      <c r="B3639" s="11"/>
      <c r="C3639" s="10"/>
      <c r="D3639" s="13"/>
      <c r="E3639" s="14"/>
      <c r="F3639" s="14"/>
      <c r="G3639" s="14"/>
      <c r="H3639" s="10"/>
      <c r="I3639" s="17"/>
      <c r="J3639" s="10"/>
      <c r="K3639" s="46"/>
      <c r="L3639" s="10"/>
      <c r="M3639" s="20"/>
      <c r="N3639" s="20"/>
      <c r="O3639" s="20"/>
      <c r="P3639" s="20"/>
    </row>
    <row r="3640">
      <c r="A3640" s="23"/>
      <c r="B3640" s="21"/>
      <c r="C3640" s="23"/>
      <c r="D3640" s="24"/>
      <c r="E3640" s="14"/>
      <c r="F3640" s="14"/>
      <c r="G3640" s="14"/>
      <c r="H3640" s="23"/>
      <c r="I3640" s="27"/>
      <c r="J3640" s="23"/>
      <c r="K3640" s="30"/>
      <c r="L3640" s="23"/>
      <c r="M3640" s="20"/>
      <c r="N3640" s="20"/>
      <c r="O3640" s="20"/>
      <c r="P3640" s="20"/>
    </row>
    <row r="3641">
      <c r="A3641" s="10"/>
      <c r="B3641" s="11"/>
      <c r="C3641" s="10"/>
      <c r="D3641" s="13"/>
      <c r="E3641" s="14"/>
      <c r="F3641" s="14"/>
      <c r="G3641" s="14"/>
      <c r="H3641" s="10"/>
      <c r="I3641" s="17"/>
      <c r="J3641" s="10"/>
      <c r="K3641" s="46"/>
      <c r="L3641" s="10"/>
      <c r="M3641" s="20"/>
      <c r="N3641" s="20"/>
      <c r="O3641" s="20"/>
      <c r="P3641" s="20"/>
    </row>
    <row r="3642">
      <c r="A3642" s="23"/>
      <c r="B3642" s="21"/>
      <c r="C3642" s="23"/>
      <c r="D3642" s="24"/>
      <c r="E3642" s="14"/>
      <c r="F3642" s="14"/>
      <c r="G3642" s="14"/>
      <c r="H3642" s="23"/>
      <c r="I3642" s="27"/>
      <c r="J3642" s="23"/>
      <c r="K3642" s="30"/>
      <c r="L3642" s="23"/>
      <c r="M3642" s="20"/>
      <c r="N3642" s="20"/>
      <c r="O3642" s="20"/>
      <c r="P3642" s="20"/>
    </row>
    <row r="3643">
      <c r="A3643" s="10"/>
      <c r="B3643" s="11"/>
      <c r="C3643" s="10"/>
      <c r="D3643" s="13"/>
      <c r="E3643" s="14"/>
      <c r="F3643" s="14"/>
      <c r="G3643" s="14"/>
      <c r="H3643" s="10"/>
      <c r="I3643" s="17"/>
      <c r="J3643" s="10"/>
      <c r="K3643" s="46"/>
      <c r="L3643" s="10"/>
      <c r="M3643" s="20"/>
      <c r="N3643" s="20"/>
      <c r="O3643" s="20"/>
      <c r="P3643" s="20"/>
    </row>
    <row r="3644">
      <c r="A3644" s="23"/>
      <c r="B3644" s="21"/>
      <c r="C3644" s="23"/>
      <c r="D3644" s="24"/>
      <c r="E3644" s="14"/>
      <c r="F3644" s="14"/>
      <c r="G3644" s="14"/>
      <c r="H3644" s="23"/>
      <c r="I3644" s="27"/>
      <c r="J3644" s="23"/>
      <c r="K3644" s="30"/>
      <c r="L3644" s="23"/>
      <c r="M3644" s="20"/>
      <c r="N3644" s="20"/>
      <c r="O3644" s="20"/>
      <c r="P3644" s="20"/>
    </row>
    <row r="3645">
      <c r="A3645" s="10"/>
      <c r="B3645" s="11"/>
      <c r="C3645" s="10"/>
      <c r="D3645" s="13"/>
      <c r="E3645" s="14"/>
      <c r="F3645" s="14"/>
      <c r="G3645" s="14"/>
      <c r="H3645" s="10"/>
      <c r="I3645" s="17"/>
      <c r="J3645" s="10"/>
      <c r="K3645" s="46"/>
      <c r="L3645" s="10"/>
      <c r="M3645" s="20"/>
      <c r="N3645" s="20"/>
      <c r="O3645" s="20"/>
      <c r="P3645" s="20"/>
    </row>
    <row r="3646">
      <c r="A3646" s="23"/>
      <c r="B3646" s="21"/>
      <c r="C3646" s="23"/>
      <c r="D3646" s="24"/>
      <c r="E3646" s="14"/>
      <c r="F3646" s="14"/>
      <c r="G3646" s="14"/>
      <c r="H3646" s="23"/>
      <c r="I3646" s="27"/>
      <c r="J3646" s="23"/>
      <c r="K3646" s="30"/>
      <c r="L3646" s="23"/>
      <c r="M3646" s="20"/>
      <c r="N3646" s="20"/>
      <c r="O3646" s="20"/>
      <c r="P3646" s="20"/>
    </row>
    <row r="3647">
      <c r="A3647" s="10"/>
      <c r="B3647" s="11"/>
      <c r="C3647" s="10"/>
      <c r="D3647" s="13"/>
      <c r="E3647" s="14"/>
      <c r="F3647" s="14"/>
      <c r="G3647" s="14"/>
      <c r="H3647" s="10"/>
      <c r="I3647" s="17"/>
      <c r="J3647" s="10"/>
      <c r="K3647" s="46"/>
      <c r="L3647" s="10"/>
      <c r="M3647" s="20"/>
      <c r="N3647" s="20"/>
      <c r="O3647" s="20"/>
      <c r="P3647" s="20"/>
    </row>
    <row r="3648">
      <c r="A3648" s="23"/>
      <c r="B3648" s="21"/>
      <c r="C3648" s="23"/>
      <c r="D3648" s="24"/>
      <c r="E3648" s="14"/>
      <c r="F3648" s="14"/>
      <c r="G3648" s="14"/>
      <c r="H3648" s="23"/>
      <c r="I3648" s="27"/>
      <c r="J3648" s="23"/>
      <c r="K3648" s="30"/>
      <c r="L3648" s="23"/>
      <c r="M3648" s="20"/>
      <c r="N3648" s="20"/>
      <c r="O3648" s="20"/>
      <c r="P3648" s="20"/>
    </row>
    <row r="3649">
      <c r="A3649" s="10"/>
      <c r="B3649" s="11"/>
      <c r="C3649" s="10"/>
      <c r="D3649" s="13"/>
      <c r="E3649" s="14"/>
      <c r="F3649" s="14"/>
      <c r="G3649" s="14"/>
      <c r="H3649" s="10"/>
      <c r="I3649" s="17"/>
      <c r="J3649" s="10"/>
      <c r="K3649" s="46"/>
      <c r="L3649" s="10"/>
      <c r="M3649" s="20"/>
      <c r="N3649" s="20"/>
      <c r="O3649" s="20"/>
      <c r="P3649" s="20"/>
    </row>
    <row r="3650">
      <c r="A3650" s="23"/>
      <c r="B3650" s="21"/>
      <c r="C3650" s="23"/>
      <c r="D3650" s="24"/>
      <c r="E3650" s="14"/>
      <c r="F3650" s="14"/>
      <c r="G3650" s="14"/>
      <c r="H3650" s="23"/>
      <c r="I3650" s="27"/>
      <c r="J3650" s="23"/>
      <c r="K3650" s="30"/>
      <c r="L3650" s="23"/>
      <c r="M3650" s="20"/>
      <c r="N3650" s="20"/>
      <c r="O3650" s="20"/>
      <c r="P3650" s="20"/>
    </row>
    <row r="3651">
      <c r="A3651" s="10"/>
      <c r="B3651" s="11"/>
      <c r="C3651" s="10"/>
      <c r="D3651" s="13"/>
      <c r="E3651" s="14"/>
      <c r="F3651" s="14"/>
      <c r="G3651" s="14"/>
      <c r="H3651" s="10"/>
      <c r="I3651" s="17"/>
      <c r="J3651" s="10"/>
      <c r="K3651" s="46"/>
      <c r="L3651" s="10"/>
      <c r="M3651" s="20"/>
      <c r="N3651" s="20"/>
      <c r="O3651" s="20"/>
      <c r="P3651" s="20"/>
    </row>
    <row r="3652">
      <c r="A3652" s="23"/>
      <c r="B3652" s="21"/>
      <c r="C3652" s="23"/>
      <c r="D3652" s="24"/>
      <c r="E3652" s="14"/>
      <c r="F3652" s="14"/>
      <c r="G3652" s="14"/>
      <c r="H3652" s="23"/>
      <c r="I3652" s="27"/>
      <c r="J3652" s="23"/>
      <c r="K3652" s="30"/>
      <c r="L3652" s="23"/>
      <c r="M3652" s="20"/>
      <c r="N3652" s="20"/>
      <c r="O3652" s="20"/>
      <c r="P3652" s="20"/>
    </row>
    <row r="3653">
      <c r="A3653" s="10"/>
      <c r="B3653" s="11"/>
      <c r="C3653" s="10"/>
      <c r="D3653" s="13"/>
      <c r="E3653" s="14"/>
      <c r="F3653" s="14"/>
      <c r="G3653" s="14"/>
      <c r="H3653" s="10"/>
      <c r="I3653" s="17"/>
      <c r="J3653" s="10"/>
      <c r="K3653" s="46"/>
      <c r="L3653" s="10"/>
      <c r="M3653" s="20"/>
      <c r="N3653" s="20"/>
      <c r="O3653" s="20"/>
      <c r="P3653" s="20"/>
    </row>
    <row r="3654">
      <c r="A3654" s="23"/>
      <c r="B3654" s="21"/>
      <c r="C3654" s="23"/>
      <c r="D3654" s="24"/>
      <c r="E3654" s="14"/>
      <c r="F3654" s="14"/>
      <c r="G3654" s="14"/>
      <c r="H3654" s="23"/>
      <c r="I3654" s="27"/>
      <c r="J3654" s="23"/>
      <c r="K3654" s="30"/>
      <c r="L3654" s="23"/>
      <c r="M3654" s="20"/>
      <c r="N3654" s="20"/>
      <c r="O3654" s="20"/>
      <c r="P3654" s="20"/>
    </row>
    <row r="3655">
      <c r="A3655" s="10"/>
      <c r="B3655" s="11"/>
      <c r="C3655" s="10"/>
      <c r="D3655" s="13"/>
      <c r="E3655" s="14"/>
      <c r="F3655" s="14"/>
      <c r="G3655" s="14"/>
      <c r="H3655" s="10"/>
      <c r="I3655" s="17"/>
      <c r="J3655" s="10"/>
      <c r="K3655" s="46"/>
      <c r="L3655" s="10"/>
      <c r="M3655" s="20"/>
      <c r="N3655" s="20"/>
      <c r="O3655" s="20"/>
      <c r="P3655" s="20"/>
    </row>
    <row r="3656">
      <c r="A3656" s="23"/>
      <c r="B3656" s="21"/>
      <c r="C3656" s="23"/>
      <c r="D3656" s="24"/>
      <c r="E3656" s="14"/>
      <c r="F3656" s="14"/>
      <c r="G3656" s="14"/>
      <c r="H3656" s="23"/>
      <c r="I3656" s="27"/>
      <c r="J3656" s="23"/>
      <c r="K3656" s="30"/>
      <c r="L3656" s="23"/>
      <c r="M3656" s="20"/>
      <c r="N3656" s="20"/>
      <c r="O3656" s="20"/>
      <c r="P3656" s="20"/>
    </row>
    <row r="3657">
      <c r="A3657" s="10"/>
      <c r="B3657" s="11"/>
      <c r="C3657" s="10"/>
      <c r="D3657" s="13"/>
      <c r="E3657" s="14"/>
      <c r="F3657" s="14"/>
      <c r="G3657" s="14"/>
      <c r="H3657" s="10"/>
      <c r="I3657" s="17"/>
      <c r="J3657" s="10"/>
      <c r="K3657" s="46"/>
      <c r="L3657" s="10"/>
      <c r="M3657" s="20"/>
      <c r="N3657" s="20"/>
      <c r="O3657" s="20"/>
      <c r="P3657" s="20"/>
    </row>
    <row r="3658">
      <c r="A3658" s="23"/>
      <c r="B3658" s="21"/>
      <c r="C3658" s="23"/>
      <c r="D3658" s="24"/>
      <c r="E3658" s="14"/>
      <c r="F3658" s="14"/>
      <c r="G3658" s="14"/>
      <c r="H3658" s="23"/>
      <c r="I3658" s="27"/>
      <c r="J3658" s="23"/>
      <c r="K3658" s="30"/>
      <c r="L3658" s="23"/>
      <c r="M3658" s="20"/>
      <c r="N3658" s="20"/>
      <c r="O3658" s="20"/>
      <c r="P3658" s="20"/>
    </row>
    <row r="3659">
      <c r="A3659" s="10"/>
      <c r="B3659" s="11"/>
      <c r="C3659" s="10"/>
      <c r="D3659" s="13"/>
      <c r="E3659" s="14"/>
      <c r="F3659" s="14"/>
      <c r="G3659" s="14"/>
      <c r="H3659" s="10"/>
      <c r="I3659" s="17"/>
      <c r="J3659" s="10"/>
      <c r="K3659" s="46"/>
      <c r="L3659" s="10"/>
      <c r="M3659" s="20"/>
      <c r="N3659" s="20"/>
      <c r="O3659" s="20"/>
      <c r="P3659" s="20"/>
    </row>
    <row r="3660">
      <c r="A3660" s="23"/>
      <c r="B3660" s="21"/>
      <c r="C3660" s="23"/>
      <c r="D3660" s="24"/>
      <c r="E3660" s="14"/>
      <c r="F3660" s="14"/>
      <c r="G3660" s="14"/>
      <c r="H3660" s="23"/>
      <c r="I3660" s="27"/>
      <c r="J3660" s="23"/>
      <c r="K3660" s="30"/>
      <c r="L3660" s="23"/>
      <c r="M3660" s="20"/>
      <c r="N3660" s="20"/>
      <c r="O3660" s="20"/>
      <c r="P3660" s="20"/>
    </row>
    <row r="3661">
      <c r="A3661" s="10"/>
      <c r="B3661" s="11"/>
      <c r="C3661" s="10"/>
      <c r="D3661" s="13"/>
      <c r="E3661" s="14"/>
      <c r="F3661" s="14"/>
      <c r="G3661" s="14"/>
      <c r="H3661" s="10"/>
      <c r="I3661" s="17"/>
      <c r="J3661" s="10"/>
      <c r="K3661" s="46"/>
      <c r="L3661" s="10"/>
      <c r="M3661" s="20"/>
      <c r="N3661" s="20"/>
      <c r="O3661" s="20"/>
      <c r="P3661" s="20"/>
    </row>
    <row r="3662">
      <c r="A3662" s="23"/>
      <c r="B3662" s="21"/>
      <c r="C3662" s="23"/>
      <c r="D3662" s="24"/>
      <c r="E3662" s="14"/>
      <c r="F3662" s="14"/>
      <c r="G3662" s="14"/>
      <c r="H3662" s="23"/>
      <c r="I3662" s="27"/>
      <c r="J3662" s="23"/>
      <c r="K3662" s="30"/>
      <c r="L3662" s="23"/>
      <c r="M3662" s="20"/>
      <c r="N3662" s="20"/>
      <c r="O3662" s="20"/>
      <c r="P3662" s="20"/>
    </row>
    <row r="3663">
      <c r="A3663" s="10"/>
      <c r="B3663" s="11"/>
      <c r="C3663" s="10"/>
      <c r="D3663" s="13"/>
      <c r="E3663" s="14"/>
      <c r="F3663" s="14"/>
      <c r="G3663" s="14"/>
      <c r="H3663" s="10"/>
      <c r="I3663" s="17"/>
      <c r="J3663" s="10"/>
      <c r="K3663" s="46"/>
      <c r="L3663" s="10"/>
      <c r="M3663" s="20"/>
      <c r="N3663" s="20"/>
      <c r="O3663" s="20"/>
      <c r="P3663" s="20"/>
    </row>
    <row r="3664">
      <c r="A3664" s="23"/>
      <c r="B3664" s="21"/>
      <c r="C3664" s="23"/>
      <c r="D3664" s="24"/>
      <c r="E3664" s="14"/>
      <c r="F3664" s="14"/>
      <c r="G3664" s="14"/>
      <c r="H3664" s="23"/>
      <c r="I3664" s="27"/>
      <c r="J3664" s="23"/>
      <c r="K3664" s="30"/>
      <c r="L3664" s="23"/>
      <c r="M3664" s="20"/>
      <c r="N3664" s="20"/>
      <c r="O3664" s="20"/>
      <c r="P3664" s="20"/>
    </row>
    <row r="3665">
      <c r="A3665" s="10"/>
      <c r="B3665" s="11"/>
      <c r="C3665" s="10"/>
      <c r="D3665" s="13"/>
      <c r="E3665" s="14"/>
      <c r="F3665" s="14"/>
      <c r="G3665" s="14"/>
      <c r="H3665" s="10"/>
      <c r="I3665" s="17"/>
      <c r="J3665" s="10"/>
      <c r="K3665" s="46"/>
      <c r="L3665" s="10"/>
      <c r="M3665" s="20"/>
      <c r="N3665" s="20"/>
      <c r="O3665" s="20"/>
      <c r="P3665" s="20"/>
    </row>
    <row r="3666">
      <c r="A3666" s="23"/>
      <c r="B3666" s="21"/>
      <c r="C3666" s="23"/>
      <c r="D3666" s="24"/>
      <c r="E3666" s="14"/>
      <c r="F3666" s="14"/>
      <c r="G3666" s="14"/>
      <c r="H3666" s="23"/>
      <c r="I3666" s="27"/>
      <c r="J3666" s="23"/>
      <c r="K3666" s="30"/>
      <c r="L3666" s="23"/>
      <c r="M3666" s="20"/>
      <c r="N3666" s="20"/>
      <c r="O3666" s="20"/>
      <c r="P3666" s="20"/>
    </row>
    <row r="3667">
      <c r="A3667" s="10"/>
      <c r="B3667" s="11"/>
      <c r="C3667" s="10"/>
      <c r="D3667" s="13"/>
      <c r="E3667" s="14"/>
      <c r="F3667" s="14"/>
      <c r="G3667" s="14"/>
      <c r="H3667" s="10"/>
      <c r="I3667" s="17"/>
      <c r="J3667" s="10"/>
      <c r="K3667" s="46"/>
      <c r="L3667" s="10"/>
      <c r="M3667" s="20"/>
      <c r="N3667" s="20"/>
      <c r="O3667" s="20"/>
      <c r="P3667" s="20"/>
    </row>
    <row r="3668">
      <c r="A3668" s="23"/>
      <c r="B3668" s="21"/>
      <c r="C3668" s="23"/>
      <c r="D3668" s="24"/>
      <c r="E3668" s="14"/>
      <c r="F3668" s="14"/>
      <c r="G3668" s="14"/>
      <c r="H3668" s="23"/>
      <c r="I3668" s="27"/>
      <c r="J3668" s="23"/>
      <c r="K3668" s="30"/>
      <c r="L3668" s="23"/>
      <c r="M3668" s="20"/>
      <c r="N3668" s="20"/>
      <c r="O3668" s="20"/>
      <c r="P3668" s="20"/>
    </row>
    <row r="3669">
      <c r="A3669" s="10"/>
      <c r="B3669" s="11"/>
      <c r="C3669" s="10"/>
      <c r="D3669" s="13"/>
      <c r="E3669" s="14"/>
      <c r="F3669" s="14"/>
      <c r="G3669" s="14"/>
      <c r="H3669" s="10"/>
      <c r="I3669" s="17"/>
      <c r="J3669" s="10"/>
      <c r="K3669" s="46"/>
      <c r="L3669" s="10"/>
      <c r="M3669" s="20"/>
      <c r="N3669" s="20"/>
      <c r="O3669" s="20"/>
      <c r="P3669" s="20"/>
    </row>
    <row r="3670">
      <c r="A3670" s="23"/>
      <c r="B3670" s="21"/>
      <c r="C3670" s="23"/>
      <c r="D3670" s="24"/>
      <c r="E3670" s="14"/>
      <c r="F3670" s="14"/>
      <c r="G3670" s="14"/>
      <c r="H3670" s="23"/>
      <c r="I3670" s="27"/>
      <c r="J3670" s="23"/>
      <c r="K3670" s="30"/>
      <c r="L3670" s="23"/>
      <c r="M3670" s="20"/>
      <c r="N3670" s="20"/>
      <c r="O3670" s="20"/>
      <c r="P3670" s="20"/>
    </row>
    <row r="3671">
      <c r="A3671" s="10"/>
      <c r="B3671" s="11"/>
      <c r="C3671" s="10"/>
      <c r="D3671" s="13"/>
      <c r="E3671" s="14"/>
      <c r="F3671" s="14"/>
      <c r="G3671" s="14"/>
      <c r="H3671" s="10"/>
      <c r="I3671" s="17"/>
      <c r="J3671" s="10"/>
      <c r="K3671" s="46"/>
      <c r="L3671" s="10"/>
      <c r="M3671" s="20"/>
      <c r="N3671" s="20"/>
      <c r="O3671" s="20"/>
      <c r="P3671" s="20"/>
    </row>
    <row r="3672">
      <c r="A3672" s="23"/>
      <c r="B3672" s="21"/>
      <c r="C3672" s="23"/>
      <c r="D3672" s="24"/>
      <c r="E3672" s="14"/>
      <c r="F3672" s="14"/>
      <c r="G3672" s="14"/>
      <c r="H3672" s="23"/>
      <c r="I3672" s="27"/>
      <c r="J3672" s="23"/>
      <c r="K3672" s="30"/>
      <c r="L3672" s="23"/>
      <c r="M3672" s="20"/>
      <c r="N3672" s="20"/>
      <c r="O3672" s="20"/>
      <c r="P3672" s="20"/>
    </row>
    <row r="3673">
      <c r="A3673" s="10"/>
      <c r="B3673" s="11"/>
      <c r="C3673" s="10"/>
      <c r="D3673" s="13"/>
      <c r="E3673" s="14"/>
      <c r="F3673" s="14"/>
      <c r="G3673" s="14"/>
      <c r="H3673" s="10"/>
      <c r="I3673" s="17"/>
      <c r="J3673" s="10"/>
      <c r="K3673" s="46"/>
      <c r="L3673" s="10"/>
      <c r="M3673" s="20"/>
      <c r="N3673" s="20"/>
      <c r="O3673" s="20"/>
      <c r="P3673" s="20"/>
    </row>
    <row r="3674">
      <c r="A3674" s="23"/>
      <c r="B3674" s="21"/>
      <c r="C3674" s="23"/>
      <c r="D3674" s="24"/>
      <c r="E3674" s="14"/>
      <c r="F3674" s="14"/>
      <c r="G3674" s="14"/>
      <c r="H3674" s="23"/>
      <c r="I3674" s="27"/>
      <c r="J3674" s="23"/>
      <c r="K3674" s="30"/>
      <c r="L3674" s="23"/>
      <c r="M3674" s="20"/>
      <c r="N3674" s="20"/>
      <c r="O3674" s="20"/>
      <c r="P3674" s="20"/>
    </row>
    <row r="3675">
      <c r="A3675" s="10"/>
      <c r="B3675" s="11"/>
      <c r="C3675" s="10"/>
      <c r="D3675" s="13"/>
      <c r="E3675" s="14"/>
      <c r="F3675" s="14"/>
      <c r="G3675" s="14"/>
      <c r="H3675" s="10"/>
      <c r="I3675" s="17"/>
      <c r="J3675" s="10"/>
      <c r="K3675" s="46"/>
      <c r="L3675" s="10"/>
      <c r="M3675" s="20"/>
      <c r="N3675" s="20"/>
      <c r="O3675" s="20"/>
      <c r="P3675" s="20"/>
    </row>
    <row r="3676">
      <c r="A3676" s="23"/>
      <c r="B3676" s="21"/>
      <c r="C3676" s="23"/>
      <c r="D3676" s="24"/>
      <c r="E3676" s="14"/>
      <c r="F3676" s="14"/>
      <c r="G3676" s="14"/>
      <c r="H3676" s="23"/>
      <c r="I3676" s="27"/>
      <c r="J3676" s="23"/>
      <c r="K3676" s="30"/>
      <c r="L3676" s="23"/>
      <c r="M3676" s="20"/>
      <c r="N3676" s="20"/>
      <c r="O3676" s="20"/>
      <c r="P3676" s="20"/>
    </row>
    <row r="3677">
      <c r="A3677" s="10"/>
      <c r="B3677" s="11"/>
      <c r="C3677" s="10"/>
      <c r="D3677" s="13"/>
      <c r="E3677" s="14"/>
      <c r="F3677" s="14"/>
      <c r="G3677" s="14"/>
      <c r="H3677" s="10"/>
      <c r="I3677" s="17"/>
      <c r="J3677" s="10"/>
      <c r="K3677" s="46"/>
      <c r="L3677" s="10"/>
      <c r="M3677" s="20"/>
      <c r="N3677" s="20"/>
      <c r="O3677" s="20"/>
      <c r="P3677" s="20"/>
    </row>
    <row r="3678">
      <c r="A3678" s="23"/>
      <c r="B3678" s="21"/>
      <c r="C3678" s="23"/>
      <c r="D3678" s="24"/>
      <c r="E3678" s="14"/>
      <c r="F3678" s="14"/>
      <c r="G3678" s="14"/>
      <c r="H3678" s="23"/>
      <c r="I3678" s="27"/>
      <c r="J3678" s="23"/>
      <c r="K3678" s="30"/>
      <c r="L3678" s="23"/>
      <c r="M3678" s="20"/>
      <c r="N3678" s="20"/>
      <c r="O3678" s="20"/>
      <c r="P3678" s="20"/>
    </row>
    <row r="3679">
      <c r="A3679" s="10"/>
      <c r="B3679" s="11"/>
      <c r="C3679" s="10"/>
      <c r="D3679" s="13"/>
      <c r="E3679" s="14"/>
      <c r="F3679" s="14"/>
      <c r="G3679" s="14"/>
      <c r="H3679" s="10"/>
      <c r="I3679" s="17"/>
      <c r="J3679" s="10"/>
      <c r="K3679" s="46"/>
      <c r="L3679" s="10"/>
      <c r="M3679" s="20"/>
      <c r="N3679" s="20"/>
      <c r="O3679" s="20"/>
      <c r="P3679" s="20"/>
    </row>
    <row r="3680">
      <c r="A3680" s="23"/>
      <c r="B3680" s="21"/>
      <c r="C3680" s="23"/>
      <c r="D3680" s="24"/>
      <c r="E3680" s="14"/>
      <c r="F3680" s="14"/>
      <c r="G3680" s="14"/>
      <c r="H3680" s="23"/>
      <c r="I3680" s="27"/>
      <c r="J3680" s="23"/>
      <c r="K3680" s="30"/>
      <c r="L3680" s="23"/>
      <c r="M3680" s="20"/>
      <c r="N3680" s="20"/>
      <c r="O3680" s="20"/>
      <c r="P3680" s="20"/>
    </row>
    <row r="3681">
      <c r="A3681" s="10"/>
      <c r="B3681" s="11"/>
      <c r="C3681" s="10"/>
      <c r="D3681" s="13"/>
      <c r="E3681" s="14"/>
      <c r="F3681" s="14"/>
      <c r="G3681" s="14"/>
      <c r="H3681" s="10"/>
      <c r="I3681" s="17"/>
      <c r="J3681" s="10"/>
      <c r="K3681" s="46"/>
      <c r="L3681" s="10"/>
      <c r="M3681" s="20"/>
      <c r="N3681" s="20"/>
      <c r="O3681" s="20"/>
      <c r="P3681" s="20"/>
    </row>
    <row r="3682">
      <c r="A3682" s="23"/>
      <c r="B3682" s="21"/>
      <c r="C3682" s="23"/>
      <c r="D3682" s="24"/>
      <c r="E3682" s="14"/>
      <c r="F3682" s="14"/>
      <c r="G3682" s="14"/>
      <c r="H3682" s="23"/>
      <c r="I3682" s="27"/>
      <c r="J3682" s="23"/>
      <c r="K3682" s="30"/>
      <c r="L3682" s="23"/>
      <c r="M3682" s="20"/>
      <c r="N3682" s="20"/>
      <c r="O3682" s="20"/>
      <c r="P3682" s="20"/>
    </row>
    <row r="3683">
      <c r="A3683" s="10"/>
      <c r="B3683" s="11"/>
      <c r="C3683" s="10"/>
      <c r="D3683" s="13"/>
      <c r="E3683" s="14"/>
      <c r="F3683" s="14"/>
      <c r="G3683" s="14"/>
      <c r="H3683" s="10"/>
      <c r="I3683" s="17"/>
      <c r="J3683" s="10"/>
      <c r="K3683" s="46"/>
      <c r="L3683" s="10"/>
      <c r="M3683" s="20"/>
      <c r="N3683" s="20"/>
      <c r="O3683" s="20"/>
      <c r="P3683" s="20"/>
    </row>
    <row r="3684">
      <c r="A3684" s="23"/>
      <c r="B3684" s="21"/>
      <c r="C3684" s="23"/>
      <c r="D3684" s="24"/>
      <c r="E3684" s="14"/>
      <c r="F3684" s="14"/>
      <c r="G3684" s="14"/>
      <c r="H3684" s="23"/>
      <c r="I3684" s="27"/>
      <c r="J3684" s="23"/>
      <c r="K3684" s="30"/>
      <c r="L3684" s="23"/>
      <c r="M3684" s="20"/>
      <c r="N3684" s="20"/>
      <c r="O3684" s="20"/>
      <c r="P3684" s="20"/>
    </row>
    <row r="3685">
      <c r="A3685" s="10"/>
      <c r="B3685" s="11"/>
      <c r="C3685" s="10"/>
      <c r="D3685" s="13"/>
      <c r="E3685" s="14"/>
      <c r="F3685" s="14"/>
      <c r="G3685" s="14"/>
      <c r="H3685" s="10"/>
      <c r="I3685" s="17"/>
      <c r="J3685" s="10"/>
      <c r="K3685" s="46"/>
      <c r="L3685" s="10"/>
      <c r="M3685" s="20"/>
      <c r="N3685" s="20"/>
      <c r="O3685" s="20"/>
      <c r="P3685" s="20"/>
    </row>
    <row r="3686">
      <c r="A3686" s="23"/>
      <c r="B3686" s="21"/>
      <c r="C3686" s="23"/>
      <c r="D3686" s="24"/>
      <c r="E3686" s="14"/>
      <c r="F3686" s="14"/>
      <c r="G3686" s="14"/>
      <c r="H3686" s="23"/>
      <c r="I3686" s="27"/>
      <c r="J3686" s="23"/>
      <c r="K3686" s="30"/>
      <c r="L3686" s="23"/>
      <c r="M3686" s="20"/>
      <c r="N3686" s="20"/>
      <c r="O3686" s="20"/>
      <c r="P3686" s="20"/>
    </row>
    <row r="3687">
      <c r="A3687" s="10"/>
      <c r="B3687" s="11"/>
      <c r="C3687" s="10"/>
      <c r="D3687" s="13"/>
      <c r="E3687" s="14"/>
      <c r="F3687" s="14"/>
      <c r="G3687" s="14"/>
      <c r="H3687" s="10"/>
      <c r="I3687" s="17"/>
      <c r="J3687" s="10"/>
      <c r="K3687" s="46"/>
      <c r="L3687" s="10"/>
      <c r="M3687" s="20"/>
      <c r="N3687" s="20"/>
      <c r="O3687" s="20"/>
      <c r="P3687" s="20"/>
    </row>
    <row r="3688">
      <c r="A3688" s="23"/>
      <c r="B3688" s="21"/>
      <c r="C3688" s="23"/>
      <c r="D3688" s="24"/>
      <c r="E3688" s="14"/>
      <c r="F3688" s="14"/>
      <c r="G3688" s="14"/>
      <c r="H3688" s="23"/>
      <c r="I3688" s="27"/>
      <c r="J3688" s="23"/>
      <c r="K3688" s="30"/>
      <c r="L3688" s="23"/>
      <c r="M3688" s="20"/>
      <c r="N3688" s="20"/>
      <c r="O3688" s="20"/>
      <c r="P3688" s="20"/>
    </row>
    <row r="3689">
      <c r="A3689" s="10"/>
      <c r="B3689" s="11"/>
      <c r="C3689" s="10"/>
      <c r="D3689" s="13"/>
      <c r="E3689" s="14"/>
      <c r="F3689" s="14"/>
      <c r="G3689" s="14"/>
      <c r="H3689" s="10"/>
      <c r="I3689" s="17"/>
      <c r="J3689" s="10"/>
      <c r="K3689" s="46"/>
      <c r="L3689" s="10"/>
      <c r="M3689" s="20"/>
      <c r="N3689" s="20"/>
      <c r="O3689" s="20"/>
      <c r="P3689" s="20"/>
    </row>
    <row r="3690">
      <c r="A3690" s="23"/>
      <c r="B3690" s="21"/>
      <c r="C3690" s="23"/>
      <c r="D3690" s="24"/>
      <c r="E3690" s="14"/>
      <c r="F3690" s="14"/>
      <c r="G3690" s="14"/>
      <c r="H3690" s="23"/>
      <c r="I3690" s="27"/>
      <c r="J3690" s="23"/>
      <c r="K3690" s="30"/>
      <c r="L3690" s="23"/>
      <c r="M3690" s="20"/>
      <c r="N3690" s="20"/>
      <c r="O3690" s="20"/>
      <c r="P3690" s="20"/>
    </row>
    <row r="3691">
      <c r="A3691" s="10"/>
      <c r="B3691" s="11"/>
      <c r="C3691" s="10"/>
      <c r="D3691" s="13"/>
      <c r="E3691" s="14"/>
      <c r="F3691" s="14"/>
      <c r="G3691" s="14"/>
      <c r="H3691" s="10"/>
      <c r="I3691" s="17"/>
      <c r="J3691" s="10"/>
      <c r="K3691" s="46"/>
      <c r="L3691" s="10"/>
      <c r="M3691" s="20"/>
      <c r="N3691" s="20"/>
      <c r="O3691" s="20"/>
      <c r="P3691" s="20"/>
    </row>
    <row r="3692">
      <c r="A3692" s="23"/>
      <c r="B3692" s="21"/>
      <c r="C3692" s="23"/>
      <c r="D3692" s="24"/>
      <c r="E3692" s="14"/>
      <c r="F3692" s="14"/>
      <c r="G3692" s="14"/>
      <c r="H3692" s="23"/>
      <c r="I3692" s="27"/>
      <c r="J3692" s="23"/>
      <c r="K3692" s="30"/>
      <c r="L3692" s="23"/>
      <c r="M3692" s="20"/>
      <c r="N3692" s="20"/>
      <c r="O3692" s="20"/>
      <c r="P3692" s="20"/>
    </row>
    <row r="3693">
      <c r="A3693" s="10"/>
      <c r="B3693" s="11"/>
      <c r="C3693" s="10"/>
      <c r="D3693" s="13"/>
      <c r="E3693" s="14"/>
      <c r="F3693" s="14"/>
      <c r="G3693" s="14"/>
      <c r="H3693" s="10"/>
      <c r="I3693" s="17"/>
      <c r="J3693" s="10"/>
      <c r="K3693" s="46"/>
      <c r="L3693" s="10"/>
      <c r="M3693" s="20"/>
      <c r="N3693" s="20"/>
      <c r="O3693" s="20"/>
      <c r="P3693" s="20"/>
    </row>
    <row r="3694">
      <c r="A3694" s="23"/>
      <c r="B3694" s="21"/>
      <c r="C3694" s="23"/>
      <c r="D3694" s="24"/>
      <c r="E3694" s="14"/>
      <c r="F3694" s="14"/>
      <c r="G3694" s="14"/>
      <c r="H3694" s="23"/>
      <c r="I3694" s="27"/>
      <c r="J3694" s="23"/>
      <c r="K3694" s="30"/>
      <c r="L3694" s="23"/>
      <c r="M3694" s="20"/>
      <c r="N3694" s="20"/>
      <c r="O3694" s="20"/>
      <c r="P3694" s="20"/>
    </row>
    <row r="3695">
      <c r="A3695" s="10"/>
      <c r="B3695" s="11"/>
      <c r="C3695" s="10"/>
      <c r="D3695" s="13"/>
      <c r="E3695" s="14"/>
      <c r="F3695" s="14"/>
      <c r="G3695" s="14"/>
      <c r="H3695" s="10"/>
      <c r="I3695" s="17"/>
      <c r="J3695" s="10"/>
      <c r="K3695" s="46"/>
      <c r="L3695" s="10"/>
      <c r="M3695" s="20"/>
      <c r="N3695" s="20"/>
      <c r="O3695" s="20"/>
      <c r="P3695" s="20"/>
    </row>
    <row r="3696">
      <c r="A3696" s="23"/>
      <c r="B3696" s="21"/>
      <c r="C3696" s="23"/>
      <c r="D3696" s="24"/>
      <c r="E3696" s="14"/>
      <c r="F3696" s="14"/>
      <c r="G3696" s="14"/>
      <c r="H3696" s="23"/>
      <c r="I3696" s="27"/>
      <c r="J3696" s="23"/>
      <c r="K3696" s="30"/>
      <c r="L3696" s="23"/>
      <c r="M3696" s="20"/>
      <c r="N3696" s="20"/>
      <c r="O3696" s="20"/>
      <c r="P3696" s="20"/>
    </row>
    <row r="3697">
      <c r="A3697" s="10"/>
      <c r="B3697" s="11"/>
      <c r="C3697" s="10"/>
      <c r="D3697" s="13"/>
      <c r="E3697" s="14"/>
      <c r="F3697" s="14"/>
      <c r="G3697" s="14"/>
      <c r="H3697" s="10"/>
      <c r="I3697" s="17"/>
      <c r="J3697" s="10"/>
      <c r="K3697" s="46"/>
      <c r="L3697" s="10"/>
      <c r="M3697" s="20"/>
      <c r="N3697" s="20"/>
      <c r="O3697" s="20"/>
      <c r="P3697" s="20"/>
    </row>
    <row r="3698">
      <c r="A3698" s="23"/>
      <c r="B3698" s="21"/>
      <c r="C3698" s="23"/>
      <c r="D3698" s="24"/>
      <c r="E3698" s="14"/>
      <c r="F3698" s="14"/>
      <c r="G3698" s="14"/>
      <c r="H3698" s="23"/>
      <c r="I3698" s="27"/>
      <c r="J3698" s="23"/>
      <c r="K3698" s="30"/>
      <c r="L3698" s="23"/>
      <c r="M3698" s="20"/>
      <c r="N3698" s="20"/>
      <c r="O3698" s="20"/>
      <c r="P3698" s="20"/>
    </row>
    <row r="3699">
      <c r="A3699" s="10"/>
      <c r="B3699" s="11"/>
      <c r="C3699" s="10"/>
      <c r="D3699" s="13"/>
      <c r="E3699" s="14"/>
      <c r="F3699" s="14"/>
      <c r="G3699" s="14"/>
      <c r="H3699" s="10"/>
      <c r="I3699" s="17"/>
      <c r="J3699" s="10"/>
      <c r="K3699" s="46"/>
      <c r="L3699" s="10"/>
      <c r="M3699" s="20"/>
      <c r="N3699" s="20"/>
      <c r="O3699" s="20"/>
      <c r="P3699" s="20"/>
    </row>
    <row r="3700">
      <c r="A3700" s="23"/>
      <c r="B3700" s="21"/>
      <c r="C3700" s="23"/>
      <c r="D3700" s="24"/>
      <c r="E3700" s="14"/>
      <c r="F3700" s="14"/>
      <c r="G3700" s="14"/>
      <c r="H3700" s="23"/>
      <c r="I3700" s="27"/>
      <c r="J3700" s="23"/>
      <c r="K3700" s="30"/>
      <c r="L3700" s="23"/>
      <c r="M3700" s="20"/>
      <c r="N3700" s="20"/>
      <c r="O3700" s="20"/>
      <c r="P3700" s="20"/>
    </row>
    <row r="3701">
      <c r="A3701" s="10"/>
      <c r="B3701" s="11"/>
      <c r="C3701" s="10"/>
      <c r="D3701" s="13"/>
      <c r="E3701" s="14"/>
      <c r="F3701" s="14"/>
      <c r="G3701" s="14"/>
      <c r="H3701" s="10"/>
      <c r="I3701" s="17"/>
      <c r="J3701" s="10"/>
      <c r="K3701" s="46"/>
      <c r="L3701" s="10"/>
      <c r="M3701" s="20"/>
      <c r="N3701" s="20"/>
      <c r="O3701" s="20"/>
      <c r="P3701" s="20"/>
    </row>
    <row r="3702">
      <c r="A3702" s="23"/>
      <c r="B3702" s="21"/>
      <c r="C3702" s="23"/>
      <c r="D3702" s="24"/>
      <c r="E3702" s="14"/>
      <c r="F3702" s="14"/>
      <c r="G3702" s="14"/>
      <c r="H3702" s="23"/>
      <c r="I3702" s="27"/>
      <c r="J3702" s="23"/>
      <c r="K3702" s="30"/>
      <c r="L3702" s="23"/>
      <c r="M3702" s="20"/>
      <c r="N3702" s="20"/>
      <c r="O3702" s="20"/>
      <c r="P3702" s="20"/>
    </row>
    <row r="3703">
      <c r="A3703" s="10"/>
      <c r="B3703" s="11"/>
      <c r="C3703" s="10"/>
      <c r="D3703" s="13"/>
      <c r="E3703" s="14"/>
      <c r="F3703" s="14"/>
      <c r="G3703" s="14"/>
      <c r="H3703" s="10"/>
      <c r="I3703" s="17"/>
      <c r="J3703" s="10"/>
      <c r="K3703" s="46"/>
      <c r="L3703" s="10"/>
      <c r="M3703" s="20"/>
      <c r="N3703" s="20"/>
      <c r="O3703" s="20"/>
      <c r="P3703" s="20"/>
    </row>
    <row r="3704">
      <c r="A3704" s="23"/>
      <c r="B3704" s="21"/>
      <c r="C3704" s="23"/>
      <c r="D3704" s="24"/>
      <c r="E3704" s="14"/>
      <c r="F3704" s="14"/>
      <c r="G3704" s="14"/>
      <c r="H3704" s="23"/>
      <c r="I3704" s="27"/>
      <c r="J3704" s="23"/>
      <c r="K3704" s="30"/>
      <c r="L3704" s="23"/>
      <c r="M3704" s="20"/>
      <c r="N3704" s="20"/>
      <c r="O3704" s="20"/>
      <c r="P3704" s="20"/>
    </row>
    <row r="3705">
      <c r="A3705" s="10"/>
      <c r="B3705" s="11"/>
      <c r="C3705" s="10"/>
      <c r="D3705" s="13"/>
      <c r="E3705" s="14"/>
      <c r="F3705" s="14"/>
      <c r="G3705" s="14"/>
      <c r="H3705" s="10"/>
      <c r="I3705" s="17"/>
      <c r="J3705" s="10"/>
      <c r="K3705" s="46"/>
      <c r="L3705" s="10"/>
      <c r="M3705" s="20"/>
      <c r="N3705" s="20"/>
      <c r="O3705" s="20"/>
      <c r="P3705" s="20"/>
    </row>
    <row r="3706">
      <c r="A3706" s="23"/>
      <c r="B3706" s="21"/>
      <c r="C3706" s="23"/>
      <c r="D3706" s="24"/>
      <c r="E3706" s="14"/>
      <c r="F3706" s="14"/>
      <c r="G3706" s="14"/>
      <c r="H3706" s="23"/>
      <c r="I3706" s="27"/>
      <c r="J3706" s="23"/>
      <c r="K3706" s="30"/>
      <c r="L3706" s="23"/>
      <c r="M3706" s="20"/>
      <c r="N3706" s="20"/>
      <c r="O3706" s="20"/>
      <c r="P3706" s="20"/>
    </row>
    <row r="3707">
      <c r="A3707" s="10"/>
      <c r="B3707" s="11"/>
      <c r="C3707" s="10"/>
      <c r="D3707" s="13"/>
      <c r="E3707" s="14"/>
      <c r="F3707" s="14"/>
      <c r="G3707" s="14"/>
      <c r="H3707" s="10"/>
      <c r="I3707" s="17"/>
      <c r="J3707" s="10"/>
      <c r="K3707" s="46"/>
      <c r="L3707" s="10"/>
      <c r="M3707" s="20"/>
      <c r="N3707" s="20"/>
      <c r="O3707" s="20"/>
      <c r="P3707" s="20"/>
    </row>
    <row r="3708">
      <c r="A3708" s="23"/>
      <c r="B3708" s="21"/>
      <c r="C3708" s="23"/>
      <c r="D3708" s="24"/>
      <c r="E3708" s="14"/>
      <c r="F3708" s="14"/>
      <c r="G3708" s="14"/>
      <c r="H3708" s="23"/>
      <c r="I3708" s="27"/>
      <c r="J3708" s="23"/>
      <c r="K3708" s="30"/>
      <c r="L3708" s="23"/>
      <c r="M3708" s="20"/>
      <c r="N3708" s="20"/>
      <c r="O3708" s="20"/>
      <c r="P3708" s="20"/>
    </row>
    <row r="3709">
      <c r="A3709" s="10"/>
      <c r="B3709" s="11"/>
      <c r="C3709" s="10"/>
      <c r="D3709" s="13"/>
      <c r="E3709" s="14"/>
      <c r="F3709" s="14"/>
      <c r="G3709" s="14"/>
      <c r="H3709" s="10"/>
      <c r="I3709" s="17"/>
      <c r="J3709" s="10"/>
      <c r="K3709" s="46"/>
      <c r="L3709" s="10"/>
      <c r="M3709" s="20"/>
      <c r="N3709" s="20"/>
      <c r="O3709" s="20"/>
      <c r="P3709" s="20"/>
    </row>
    <row r="3710">
      <c r="A3710" s="23"/>
      <c r="B3710" s="21"/>
      <c r="C3710" s="23"/>
      <c r="D3710" s="24"/>
      <c r="E3710" s="14"/>
      <c r="F3710" s="14"/>
      <c r="G3710" s="14"/>
      <c r="H3710" s="23"/>
      <c r="I3710" s="27"/>
      <c r="J3710" s="23"/>
      <c r="K3710" s="30"/>
      <c r="L3710" s="23"/>
      <c r="M3710" s="20"/>
      <c r="N3710" s="20"/>
      <c r="O3710" s="20"/>
      <c r="P3710" s="20"/>
    </row>
    <row r="3711">
      <c r="A3711" s="10"/>
      <c r="B3711" s="11"/>
      <c r="C3711" s="10"/>
      <c r="D3711" s="13"/>
      <c r="E3711" s="14"/>
      <c r="F3711" s="14"/>
      <c r="G3711" s="14"/>
      <c r="H3711" s="10"/>
      <c r="I3711" s="17"/>
      <c r="J3711" s="10"/>
      <c r="K3711" s="46"/>
      <c r="L3711" s="10"/>
      <c r="M3711" s="20"/>
      <c r="N3711" s="20"/>
      <c r="O3711" s="20"/>
      <c r="P3711" s="20"/>
    </row>
    <row r="3712">
      <c r="A3712" s="23"/>
      <c r="B3712" s="21"/>
      <c r="C3712" s="23"/>
      <c r="D3712" s="24"/>
      <c r="E3712" s="14"/>
      <c r="F3712" s="14"/>
      <c r="G3712" s="14"/>
      <c r="H3712" s="23"/>
      <c r="I3712" s="27"/>
      <c r="J3712" s="23"/>
      <c r="K3712" s="30"/>
      <c r="L3712" s="23"/>
      <c r="M3712" s="20"/>
      <c r="N3712" s="20"/>
      <c r="O3712" s="20"/>
      <c r="P3712" s="20"/>
    </row>
    <row r="3713">
      <c r="A3713" s="10"/>
      <c r="B3713" s="11"/>
      <c r="C3713" s="10"/>
      <c r="D3713" s="13"/>
      <c r="E3713" s="14"/>
      <c r="F3713" s="14"/>
      <c r="G3713" s="14"/>
      <c r="H3713" s="10"/>
      <c r="I3713" s="17"/>
      <c r="J3713" s="10"/>
      <c r="K3713" s="46"/>
      <c r="L3713" s="10"/>
      <c r="M3713" s="20"/>
      <c r="N3713" s="20"/>
      <c r="O3713" s="20"/>
      <c r="P3713" s="20"/>
    </row>
    <row r="3714">
      <c r="A3714" s="23"/>
      <c r="B3714" s="21"/>
      <c r="C3714" s="23"/>
      <c r="D3714" s="24"/>
      <c r="E3714" s="14"/>
      <c r="F3714" s="14"/>
      <c r="G3714" s="14"/>
      <c r="H3714" s="23"/>
      <c r="I3714" s="27"/>
      <c r="J3714" s="23"/>
      <c r="K3714" s="30"/>
      <c r="L3714" s="23"/>
      <c r="M3714" s="20"/>
      <c r="N3714" s="20"/>
      <c r="O3714" s="20"/>
      <c r="P3714" s="20"/>
    </row>
    <row r="3715">
      <c r="A3715" s="10"/>
      <c r="B3715" s="11"/>
      <c r="C3715" s="10"/>
      <c r="D3715" s="13"/>
      <c r="E3715" s="14"/>
      <c r="F3715" s="14"/>
      <c r="G3715" s="14"/>
      <c r="H3715" s="10"/>
      <c r="I3715" s="17"/>
      <c r="J3715" s="10"/>
      <c r="K3715" s="46"/>
      <c r="L3715" s="10"/>
      <c r="M3715" s="20"/>
      <c r="N3715" s="20"/>
      <c r="O3715" s="20"/>
      <c r="P3715" s="20"/>
    </row>
    <row r="3716">
      <c r="A3716" s="23"/>
      <c r="B3716" s="21"/>
      <c r="C3716" s="23"/>
      <c r="D3716" s="24"/>
      <c r="E3716" s="14"/>
      <c r="F3716" s="14"/>
      <c r="G3716" s="14"/>
      <c r="H3716" s="23"/>
      <c r="I3716" s="27"/>
      <c r="J3716" s="23"/>
      <c r="K3716" s="30"/>
      <c r="L3716" s="23"/>
      <c r="M3716" s="20"/>
      <c r="N3716" s="20"/>
      <c r="O3716" s="20"/>
      <c r="P3716" s="20"/>
    </row>
    <row r="3717">
      <c r="A3717" s="10"/>
      <c r="B3717" s="11"/>
      <c r="C3717" s="10"/>
      <c r="D3717" s="13"/>
      <c r="E3717" s="14"/>
      <c r="F3717" s="14"/>
      <c r="G3717" s="14"/>
      <c r="H3717" s="10"/>
      <c r="I3717" s="17"/>
      <c r="J3717" s="10"/>
      <c r="K3717" s="46"/>
      <c r="L3717" s="10"/>
      <c r="M3717" s="20"/>
      <c r="N3717" s="20"/>
      <c r="O3717" s="20"/>
      <c r="P3717" s="20"/>
    </row>
    <row r="3718">
      <c r="A3718" s="23"/>
      <c r="B3718" s="21"/>
      <c r="C3718" s="23"/>
      <c r="D3718" s="24"/>
      <c r="E3718" s="14"/>
      <c r="F3718" s="14"/>
      <c r="G3718" s="14"/>
      <c r="H3718" s="23"/>
      <c r="I3718" s="27"/>
      <c r="J3718" s="23"/>
      <c r="K3718" s="30"/>
      <c r="L3718" s="23"/>
      <c r="M3718" s="20"/>
      <c r="N3718" s="20"/>
      <c r="O3718" s="20"/>
      <c r="P3718" s="20"/>
    </row>
    <row r="3719">
      <c r="A3719" s="10"/>
      <c r="B3719" s="11"/>
      <c r="C3719" s="10"/>
      <c r="D3719" s="13"/>
      <c r="E3719" s="14"/>
      <c r="F3719" s="14"/>
      <c r="G3719" s="14"/>
      <c r="H3719" s="10"/>
      <c r="I3719" s="17"/>
      <c r="J3719" s="10"/>
      <c r="K3719" s="46"/>
      <c r="L3719" s="10"/>
      <c r="M3719" s="20"/>
      <c r="N3719" s="20"/>
      <c r="O3719" s="20"/>
      <c r="P3719" s="20"/>
    </row>
    <row r="3720">
      <c r="A3720" s="23"/>
      <c r="B3720" s="21"/>
      <c r="C3720" s="23"/>
      <c r="D3720" s="24"/>
      <c r="E3720" s="14"/>
      <c r="F3720" s="14"/>
      <c r="G3720" s="14"/>
      <c r="H3720" s="23"/>
      <c r="I3720" s="27"/>
      <c r="J3720" s="23"/>
      <c r="K3720" s="30"/>
      <c r="L3720" s="23"/>
      <c r="M3720" s="20"/>
      <c r="N3720" s="20"/>
      <c r="O3720" s="20"/>
      <c r="P3720" s="20"/>
    </row>
    <row r="3721">
      <c r="A3721" s="10"/>
      <c r="B3721" s="11"/>
      <c r="C3721" s="10"/>
      <c r="D3721" s="13"/>
      <c r="E3721" s="14"/>
      <c r="F3721" s="14"/>
      <c r="G3721" s="14"/>
      <c r="H3721" s="10"/>
      <c r="I3721" s="17"/>
      <c r="J3721" s="10"/>
      <c r="K3721" s="46"/>
      <c r="L3721" s="10"/>
      <c r="M3721" s="20"/>
      <c r="N3721" s="20"/>
      <c r="O3721" s="20"/>
      <c r="P3721" s="20"/>
    </row>
    <row r="3722">
      <c r="A3722" s="23"/>
      <c r="B3722" s="21"/>
      <c r="C3722" s="23"/>
      <c r="D3722" s="24"/>
      <c r="E3722" s="14"/>
      <c r="F3722" s="14"/>
      <c r="G3722" s="14"/>
      <c r="H3722" s="23"/>
      <c r="I3722" s="27"/>
      <c r="J3722" s="23"/>
      <c r="K3722" s="30"/>
      <c r="L3722" s="23"/>
      <c r="M3722" s="20"/>
      <c r="N3722" s="20"/>
      <c r="O3722" s="20"/>
      <c r="P3722" s="20"/>
    </row>
    <row r="3723">
      <c r="A3723" s="10"/>
      <c r="B3723" s="11"/>
      <c r="C3723" s="10"/>
      <c r="D3723" s="13"/>
      <c r="E3723" s="14"/>
      <c r="F3723" s="14"/>
      <c r="G3723" s="14"/>
      <c r="H3723" s="10"/>
      <c r="I3723" s="17"/>
      <c r="J3723" s="10"/>
      <c r="K3723" s="46"/>
      <c r="L3723" s="10"/>
      <c r="M3723" s="20"/>
      <c r="N3723" s="20"/>
      <c r="O3723" s="20"/>
      <c r="P3723" s="20"/>
    </row>
    <row r="3724">
      <c r="A3724" s="23"/>
      <c r="B3724" s="21"/>
      <c r="C3724" s="23"/>
      <c r="D3724" s="24"/>
      <c r="E3724" s="14"/>
      <c r="F3724" s="14"/>
      <c r="G3724" s="14"/>
      <c r="H3724" s="23"/>
      <c r="I3724" s="27"/>
      <c r="J3724" s="23"/>
      <c r="K3724" s="30"/>
      <c r="L3724" s="23"/>
      <c r="M3724" s="20"/>
      <c r="N3724" s="20"/>
      <c r="O3724" s="20"/>
      <c r="P3724" s="20"/>
    </row>
    <row r="3725">
      <c r="A3725" s="10"/>
      <c r="B3725" s="11"/>
      <c r="C3725" s="10"/>
      <c r="D3725" s="13"/>
      <c r="E3725" s="14"/>
      <c r="F3725" s="14"/>
      <c r="G3725" s="14"/>
      <c r="H3725" s="10"/>
      <c r="I3725" s="17"/>
      <c r="J3725" s="10"/>
      <c r="K3725" s="46"/>
      <c r="L3725" s="10"/>
      <c r="M3725" s="20"/>
      <c r="N3725" s="20"/>
      <c r="O3725" s="20"/>
      <c r="P3725" s="20"/>
    </row>
    <row r="3726">
      <c r="A3726" s="23"/>
      <c r="B3726" s="21"/>
      <c r="C3726" s="23"/>
      <c r="D3726" s="24"/>
      <c r="E3726" s="14"/>
      <c r="F3726" s="14"/>
      <c r="G3726" s="14"/>
      <c r="H3726" s="23"/>
      <c r="I3726" s="27"/>
      <c r="J3726" s="23"/>
      <c r="K3726" s="30"/>
      <c r="L3726" s="23"/>
      <c r="M3726" s="20"/>
      <c r="N3726" s="20"/>
      <c r="O3726" s="20"/>
      <c r="P3726" s="20"/>
    </row>
    <row r="3727">
      <c r="A3727" s="10"/>
      <c r="B3727" s="11"/>
      <c r="C3727" s="10"/>
      <c r="D3727" s="13"/>
      <c r="E3727" s="14"/>
      <c r="F3727" s="14"/>
      <c r="G3727" s="14"/>
      <c r="H3727" s="10"/>
      <c r="I3727" s="17"/>
      <c r="J3727" s="10"/>
      <c r="K3727" s="46"/>
      <c r="L3727" s="10"/>
      <c r="M3727" s="20"/>
      <c r="N3727" s="20"/>
      <c r="O3727" s="20"/>
      <c r="P3727" s="20"/>
    </row>
    <row r="3728">
      <c r="A3728" s="23"/>
      <c r="B3728" s="21"/>
      <c r="C3728" s="23"/>
      <c r="D3728" s="24"/>
      <c r="E3728" s="14"/>
      <c r="F3728" s="14"/>
      <c r="G3728" s="14"/>
      <c r="H3728" s="23"/>
      <c r="I3728" s="27"/>
      <c r="J3728" s="23"/>
      <c r="K3728" s="30"/>
      <c r="L3728" s="23"/>
      <c r="M3728" s="20"/>
      <c r="N3728" s="20"/>
      <c r="O3728" s="20"/>
      <c r="P3728" s="20"/>
    </row>
    <row r="3729">
      <c r="A3729" s="10"/>
      <c r="B3729" s="11"/>
      <c r="C3729" s="10"/>
      <c r="D3729" s="13"/>
      <c r="E3729" s="14"/>
      <c r="F3729" s="14"/>
      <c r="G3729" s="14"/>
      <c r="H3729" s="10"/>
      <c r="I3729" s="17"/>
      <c r="J3729" s="10"/>
      <c r="K3729" s="46"/>
      <c r="L3729" s="10"/>
      <c r="M3729" s="20"/>
      <c r="N3729" s="20"/>
      <c r="O3729" s="20"/>
      <c r="P3729" s="20"/>
    </row>
    <row r="3730">
      <c r="A3730" s="23"/>
      <c r="B3730" s="21"/>
      <c r="C3730" s="23"/>
      <c r="D3730" s="24"/>
      <c r="E3730" s="14"/>
      <c r="F3730" s="14"/>
      <c r="G3730" s="14"/>
      <c r="H3730" s="23"/>
      <c r="I3730" s="27"/>
      <c r="J3730" s="23"/>
      <c r="K3730" s="30"/>
      <c r="L3730" s="23"/>
      <c r="M3730" s="20"/>
      <c r="N3730" s="20"/>
      <c r="O3730" s="20"/>
      <c r="P3730" s="20"/>
    </row>
    <row r="3731">
      <c r="A3731" s="10"/>
      <c r="B3731" s="11"/>
      <c r="C3731" s="10"/>
      <c r="D3731" s="13"/>
      <c r="E3731" s="14"/>
      <c r="F3731" s="14"/>
      <c r="G3731" s="14"/>
      <c r="H3731" s="10"/>
      <c r="I3731" s="17"/>
      <c r="J3731" s="10"/>
      <c r="K3731" s="46"/>
      <c r="L3731" s="10"/>
      <c r="M3731" s="20"/>
      <c r="N3731" s="20"/>
      <c r="O3731" s="20"/>
      <c r="P3731" s="20"/>
    </row>
    <row r="3732">
      <c r="A3732" s="23"/>
      <c r="B3732" s="21"/>
      <c r="C3732" s="23"/>
      <c r="D3732" s="24"/>
      <c r="E3732" s="14"/>
      <c r="F3732" s="14"/>
      <c r="G3732" s="14"/>
      <c r="H3732" s="23"/>
      <c r="I3732" s="27"/>
      <c r="J3732" s="23"/>
      <c r="K3732" s="30"/>
      <c r="L3732" s="23"/>
      <c r="M3732" s="20"/>
      <c r="N3732" s="20"/>
      <c r="O3732" s="20"/>
      <c r="P3732" s="20"/>
    </row>
    <row r="3733">
      <c r="A3733" s="10"/>
      <c r="B3733" s="11"/>
      <c r="C3733" s="10"/>
      <c r="D3733" s="13"/>
      <c r="E3733" s="14"/>
      <c r="F3733" s="14"/>
      <c r="G3733" s="14"/>
      <c r="H3733" s="10"/>
      <c r="I3733" s="17"/>
      <c r="J3733" s="10"/>
      <c r="K3733" s="46"/>
      <c r="L3733" s="10"/>
      <c r="M3733" s="20"/>
      <c r="N3733" s="20"/>
      <c r="O3733" s="20"/>
      <c r="P3733" s="20"/>
    </row>
    <row r="3734">
      <c r="A3734" s="23"/>
      <c r="B3734" s="21"/>
      <c r="C3734" s="23"/>
      <c r="D3734" s="24"/>
      <c r="E3734" s="14"/>
      <c r="F3734" s="14"/>
      <c r="G3734" s="14"/>
      <c r="H3734" s="23"/>
      <c r="I3734" s="27"/>
      <c r="J3734" s="23"/>
      <c r="K3734" s="30"/>
      <c r="L3734" s="23"/>
      <c r="M3734" s="20"/>
      <c r="N3734" s="20"/>
      <c r="O3734" s="20"/>
      <c r="P3734" s="20"/>
    </row>
    <row r="3735">
      <c r="A3735" s="10"/>
      <c r="B3735" s="11"/>
      <c r="C3735" s="10"/>
      <c r="D3735" s="13"/>
      <c r="E3735" s="14"/>
      <c r="F3735" s="14"/>
      <c r="G3735" s="14"/>
      <c r="H3735" s="10"/>
      <c r="I3735" s="17"/>
      <c r="J3735" s="10"/>
      <c r="K3735" s="46"/>
      <c r="L3735" s="10"/>
      <c r="M3735" s="20"/>
      <c r="N3735" s="20"/>
      <c r="O3735" s="20"/>
      <c r="P3735" s="20"/>
    </row>
    <row r="3736">
      <c r="A3736" s="23"/>
      <c r="B3736" s="21"/>
      <c r="C3736" s="23"/>
      <c r="D3736" s="24"/>
      <c r="E3736" s="14"/>
      <c r="F3736" s="14"/>
      <c r="G3736" s="14"/>
      <c r="H3736" s="23"/>
      <c r="I3736" s="27"/>
      <c r="J3736" s="23"/>
      <c r="K3736" s="30"/>
      <c r="L3736" s="23"/>
      <c r="M3736" s="20"/>
      <c r="N3736" s="20"/>
      <c r="O3736" s="20"/>
      <c r="P3736" s="20"/>
    </row>
    <row r="3737">
      <c r="A3737" s="10"/>
      <c r="B3737" s="11"/>
      <c r="C3737" s="10"/>
      <c r="D3737" s="13"/>
      <c r="E3737" s="14"/>
      <c r="F3737" s="14"/>
      <c r="G3737" s="14"/>
      <c r="H3737" s="10"/>
      <c r="I3737" s="17"/>
      <c r="J3737" s="10"/>
      <c r="K3737" s="46"/>
      <c r="L3737" s="10"/>
      <c r="M3737" s="20"/>
      <c r="N3737" s="20"/>
      <c r="O3737" s="20"/>
      <c r="P3737" s="20"/>
    </row>
    <row r="3738">
      <c r="A3738" s="23"/>
      <c r="B3738" s="21"/>
      <c r="C3738" s="23"/>
      <c r="D3738" s="24"/>
      <c r="E3738" s="14"/>
      <c r="F3738" s="14"/>
      <c r="G3738" s="14"/>
      <c r="H3738" s="23"/>
      <c r="I3738" s="27"/>
      <c r="J3738" s="23"/>
      <c r="K3738" s="30"/>
      <c r="L3738" s="23"/>
      <c r="M3738" s="20"/>
      <c r="N3738" s="20"/>
      <c r="O3738" s="20"/>
      <c r="P3738" s="20"/>
    </row>
    <row r="3739">
      <c r="A3739" s="10"/>
      <c r="B3739" s="11"/>
      <c r="C3739" s="10"/>
      <c r="D3739" s="13"/>
      <c r="E3739" s="14"/>
      <c r="F3739" s="14"/>
      <c r="G3739" s="14"/>
      <c r="H3739" s="10"/>
      <c r="I3739" s="17"/>
      <c r="J3739" s="10"/>
      <c r="K3739" s="46"/>
      <c r="L3739" s="10"/>
      <c r="M3739" s="20"/>
      <c r="N3739" s="20"/>
      <c r="O3739" s="20"/>
      <c r="P3739" s="20"/>
    </row>
    <row r="3740">
      <c r="A3740" s="23"/>
      <c r="B3740" s="21"/>
      <c r="C3740" s="23"/>
      <c r="D3740" s="24"/>
      <c r="E3740" s="14"/>
      <c r="F3740" s="14"/>
      <c r="G3740" s="14"/>
      <c r="H3740" s="23"/>
      <c r="I3740" s="27"/>
      <c r="J3740" s="23"/>
      <c r="K3740" s="30"/>
      <c r="L3740" s="23"/>
      <c r="M3740" s="20"/>
      <c r="N3740" s="20"/>
      <c r="O3740" s="20"/>
      <c r="P3740" s="20"/>
    </row>
    <row r="3741">
      <c r="A3741" s="10"/>
      <c r="B3741" s="11"/>
      <c r="C3741" s="10"/>
      <c r="D3741" s="13"/>
      <c r="E3741" s="14"/>
      <c r="F3741" s="14"/>
      <c r="G3741" s="14"/>
      <c r="H3741" s="10"/>
      <c r="I3741" s="17"/>
      <c r="J3741" s="10"/>
      <c r="K3741" s="46"/>
      <c r="L3741" s="10"/>
      <c r="M3741" s="20"/>
      <c r="N3741" s="20"/>
      <c r="O3741" s="20"/>
      <c r="P3741" s="20"/>
    </row>
    <row r="3742">
      <c r="A3742" s="23"/>
      <c r="B3742" s="21"/>
      <c r="C3742" s="23"/>
      <c r="D3742" s="24"/>
      <c r="E3742" s="14"/>
      <c r="F3742" s="14"/>
      <c r="G3742" s="14"/>
      <c r="H3742" s="23"/>
      <c r="I3742" s="27"/>
      <c r="J3742" s="23"/>
      <c r="K3742" s="30"/>
      <c r="L3742" s="23"/>
      <c r="M3742" s="20"/>
      <c r="N3742" s="20"/>
      <c r="O3742" s="20"/>
      <c r="P3742" s="20"/>
    </row>
    <row r="3743">
      <c r="A3743" s="10"/>
      <c r="B3743" s="11"/>
      <c r="C3743" s="10"/>
      <c r="D3743" s="13"/>
      <c r="E3743" s="14"/>
      <c r="F3743" s="14"/>
      <c r="G3743" s="14"/>
      <c r="H3743" s="10"/>
      <c r="I3743" s="17"/>
      <c r="J3743" s="10"/>
      <c r="K3743" s="46"/>
      <c r="L3743" s="10"/>
      <c r="M3743" s="20"/>
      <c r="N3743" s="20"/>
      <c r="O3743" s="20"/>
      <c r="P3743" s="20"/>
    </row>
    <row r="3744">
      <c r="A3744" s="23"/>
      <c r="B3744" s="21"/>
      <c r="C3744" s="23"/>
      <c r="D3744" s="24"/>
      <c r="E3744" s="14"/>
      <c r="F3744" s="14"/>
      <c r="G3744" s="14"/>
      <c r="H3744" s="23"/>
      <c r="I3744" s="27"/>
      <c r="J3744" s="23"/>
      <c r="K3744" s="30"/>
      <c r="L3744" s="23"/>
      <c r="M3744" s="20"/>
      <c r="N3744" s="20"/>
      <c r="O3744" s="20"/>
      <c r="P3744" s="20"/>
    </row>
    <row r="3745">
      <c r="A3745" s="10"/>
      <c r="B3745" s="11"/>
      <c r="C3745" s="10"/>
      <c r="D3745" s="13"/>
      <c r="E3745" s="14"/>
      <c r="F3745" s="14"/>
      <c r="G3745" s="14"/>
      <c r="H3745" s="10"/>
      <c r="I3745" s="17"/>
      <c r="J3745" s="10"/>
      <c r="K3745" s="46"/>
      <c r="L3745" s="10"/>
      <c r="M3745" s="20"/>
      <c r="N3745" s="20"/>
      <c r="O3745" s="20"/>
      <c r="P3745" s="20"/>
    </row>
    <row r="3746">
      <c r="A3746" s="23"/>
      <c r="B3746" s="21"/>
      <c r="C3746" s="23"/>
      <c r="D3746" s="24"/>
      <c r="E3746" s="14"/>
      <c r="F3746" s="14"/>
      <c r="G3746" s="14"/>
      <c r="H3746" s="23"/>
      <c r="I3746" s="27"/>
      <c r="J3746" s="23"/>
      <c r="K3746" s="30"/>
      <c r="L3746" s="23"/>
      <c r="M3746" s="20"/>
      <c r="N3746" s="20"/>
      <c r="O3746" s="20"/>
      <c r="P3746" s="20"/>
    </row>
    <row r="3747">
      <c r="A3747" s="10"/>
      <c r="B3747" s="11"/>
      <c r="C3747" s="10"/>
      <c r="D3747" s="13"/>
      <c r="E3747" s="14"/>
      <c r="F3747" s="14"/>
      <c r="G3747" s="14"/>
      <c r="H3747" s="10"/>
      <c r="I3747" s="17"/>
      <c r="J3747" s="10"/>
      <c r="K3747" s="46"/>
      <c r="L3747" s="10"/>
      <c r="M3747" s="20"/>
      <c r="N3747" s="20"/>
      <c r="O3747" s="20"/>
      <c r="P3747" s="20"/>
    </row>
    <row r="3748">
      <c r="A3748" s="23"/>
      <c r="B3748" s="21"/>
      <c r="C3748" s="23"/>
      <c r="D3748" s="24"/>
      <c r="E3748" s="14"/>
      <c r="F3748" s="14"/>
      <c r="G3748" s="14"/>
      <c r="H3748" s="23"/>
      <c r="I3748" s="27"/>
      <c r="J3748" s="23"/>
      <c r="K3748" s="30"/>
      <c r="L3748" s="23"/>
      <c r="M3748" s="20"/>
      <c r="N3748" s="20"/>
      <c r="O3748" s="20"/>
      <c r="P3748" s="20"/>
    </row>
    <row r="3749">
      <c r="A3749" s="10"/>
      <c r="B3749" s="11"/>
      <c r="C3749" s="10"/>
      <c r="D3749" s="13"/>
      <c r="E3749" s="14"/>
      <c r="F3749" s="14"/>
      <c r="G3749" s="14"/>
      <c r="H3749" s="10"/>
      <c r="I3749" s="17"/>
      <c r="J3749" s="10"/>
      <c r="K3749" s="46"/>
      <c r="L3749" s="10"/>
      <c r="M3749" s="20"/>
      <c r="N3749" s="20"/>
      <c r="O3749" s="20"/>
      <c r="P3749" s="20"/>
    </row>
    <row r="3750">
      <c r="A3750" s="23"/>
      <c r="B3750" s="21"/>
      <c r="C3750" s="23"/>
      <c r="D3750" s="24"/>
      <c r="E3750" s="14"/>
      <c r="F3750" s="14"/>
      <c r="G3750" s="14"/>
      <c r="H3750" s="23"/>
      <c r="I3750" s="27"/>
      <c r="J3750" s="23"/>
      <c r="K3750" s="30"/>
      <c r="L3750" s="23"/>
      <c r="M3750" s="20"/>
      <c r="N3750" s="20"/>
      <c r="O3750" s="20"/>
      <c r="P3750" s="20"/>
    </row>
    <row r="3751">
      <c r="A3751" s="10"/>
      <c r="B3751" s="11"/>
      <c r="C3751" s="10"/>
      <c r="D3751" s="13"/>
      <c r="E3751" s="14"/>
      <c r="F3751" s="14"/>
      <c r="G3751" s="14"/>
      <c r="H3751" s="10"/>
      <c r="I3751" s="17"/>
      <c r="J3751" s="10"/>
      <c r="K3751" s="46"/>
      <c r="L3751" s="10"/>
      <c r="M3751" s="20"/>
      <c r="N3751" s="20"/>
      <c r="O3751" s="20"/>
      <c r="P3751" s="20"/>
    </row>
    <row r="3752">
      <c r="A3752" s="23"/>
      <c r="B3752" s="21"/>
      <c r="C3752" s="23"/>
      <c r="D3752" s="24"/>
      <c r="E3752" s="14"/>
      <c r="F3752" s="14"/>
      <c r="G3752" s="14"/>
      <c r="H3752" s="23"/>
      <c r="I3752" s="27"/>
      <c r="J3752" s="23"/>
      <c r="K3752" s="30"/>
      <c r="L3752" s="23"/>
      <c r="M3752" s="20"/>
      <c r="N3752" s="20"/>
      <c r="O3752" s="20"/>
      <c r="P3752" s="20"/>
    </row>
    <row r="3753">
      <c r="A3753" s="10"/>
      <c r="B3753" s="11"/>
      <c r="C3753" s="10"/>
      <c r="D3753" s="13"/>
      <c r="E3753" s="14"/>
      <c r="F3753" s="14"/>
      <c r="G3753" s="14"/>
      <c r="H3753" s="10"/>
      <c r="I3753" s="17"/>
      <c r="J3753" s="10"/>
      <c r="K3753" s="46"/>
      <c r="L3753" s="10"/>
      <c r="M3753" s="20"/>
      <c r="N3753" s="20"/>
      <c r="O3753" s="20"/>
      <c r="P3753" s="20"/>
    </row>
    <row r="3754">
      <c r="A3754" s="23"/>
      <c r="B3754" s="21"/>
      <c r="C3754" s="23"/>
      <c r="D3754" s="24"/>
      <c r="E3754" s="14"/>
      <c r="F3754" s="14"/>
      <c r="G3754" s="14"/>
      <c r="H3754" s="23"/>
      <c r="I3754" s="27"/>
      <c r="J3754" s="23"/>
      <c r="K3754" s="30"/>
      <c r="L3754" s="23"/>
      <c r="M3754" s="20"/>
      <c r="N3754" s="20"/>
      <c r="O3754" s="20"/>
      <c r="P3754" s="20"/>
    </row>
    <row r="3755">
      <c r="A3755" s="10"/>
      <c r="B3755" s="11"/>
      <c r="C3755" s="10"/>
      <c r="D3755" s="13"/>
      <c r="E3755" s="14"/>
      <c r="F3755" s="14"/>
      <c r="G3755" s="14"/>
      <c r="H3755" s="10"/>
      <c r="I3755" s="17"/>
      <c r="J3755" s="10"/>
      <c r="K3755" s="46"/>
      <c r="L3755" s="10"/>
      <c r="M3755" s="20"/>
      <c r="N3755" s="20"/>
      <c r="O3755" s="20"/>
      <c r="P3755" s="20"/>
    </row>
    <row r="3756">
      <c r="A3756" s="23"/>
      <c r="B3756" s="21"/>
      <c r="C3756" s="23"/>
      <c r="D3756" s="24"/>
      <c r="E3756" s="14"/>
      <c r="F3756" s="14"/>
      <c r="G3756" s="14"/>
      <c r="H3756" s="23"/>
      <c r="I3756" s="27"/>
      <c r="J3756" s="23"/>
      <c r="K3756" s="30"/>
      <c r="L3756" s="23"/>
      <c r="M3756" s="20"/>
      <c r="N3756" s="20"/>
      <c r="O3756" s="20"/>
      <c r="P3756" s="20"/>
    </row>
    <row r="3757">
      <c r="A3757" s="10"/>
      <c r="B3757" s="11"/>
      <c r="C3757" s="10"/>
      <c r="D3757" s="13"/>
      <c r="E3757" s="14"/>
      <c r="F3757" s="14"/>
      <c r="G3757" s="14"/>
      <c r="H3757" s="10"/>
      <c r="I3757" s="17"/>
      <c r="J3757" s="10"/>
      <c r="K3757" s="46"/>
      <c r="L3757" s="10"/>
      <c r="M3757" s="20"/>
      <c r="N3757" s="20"/>
      <c r="O3757" s="20"/>
      <c r="P3757" s="20"/>
    </row>
    <row r="3758">
      <c r="A3758" s="23"/>
      <c r="B3758" s="21"/>
      <c r="C3758" s="23"/>
      <c r="D3758" s="24"/>
      <c r="E3758" s="14"/>
      <c r="F3758" s="14"/>
      <c r="G3758" s="14"/>
      <c r="H3758" s="23"/>
      <c r="I3758" s="27"/>
      <c r="J3758" s="23"/>
      <c r="K3758" s="30"/>
      <c r="L3758" s="23"/>
      <c r="M3758" s="20"/>
      <c r="N3758" s="20"/>
      <c r="O3758" s="20"/>
      <c r="P3758" s="20"/>
    </row>
    <row r="3759">
      <c r="A3759" s="10"/>
      <c r="B3759" s="11"/>
      <c r="C3759" s="10"/>
      <c r="D3759" s="13"/>
      <c r="E3759" s="14"/>
      <c r="F3759" s="14"/>
      <c r="G3759" s="14"/>
      <c r="H3759" s="10"/>
      <c r="I3759" s="17"/>
      <c r="J3759" s="10"/>
      <c r="K3759" s="46"/>
      <c r="L3759" s="10"/>
      <c r="M3759" s="20"/>
      <c r="N3759" s="20"/>
      <c r="O3759" s="20"/>
      <c r="P3759" s="20"/>
    </row>
    <row r="3760">
      <c r="A3760" s="23"/>
      <c r="B3760" s="21"/>
      <c r="C3760" s="23"/>
      <c r="D3760" s="24"/>
      <c r="E3760" s="14"/>
      <c r="F3760" s="14"/>
      <c r="G3760" s="14"/>
      <c r="H3760" s="23"/>
      <c r="I3760" s="27"/>
      <c r="J3760" s="23"/>
      <c r="K3760" s="30"/>
      <c r="L3760" s="23"/>
      <c r="M3760" s="20"/>
      <c r="N3760" s="20"/>
      <c r="O3760" s="20"/>
      <c r="P3760" s="20"/>
    </row>
    <row r="3761">
      <c r="A3761" s="10"/>
      <c r="B3761" s="11"/>
      <c r="C3761" s="10"/>
      <c r="D3761" s="13"/>
      <c r="E3761" s="14"/>
      <c r="F3761" s="14"/>
      <c r="G3761" s="14"/>
      <c r="H3761" s="10"/>
      <c r="I3761" s="17"/>
      <c r="J3761" s="10"/>
      <c r="K3761" s="46"/>
      <c r="L3761" s="10"/>
      <c r="M3761" s="20"/>
      <c r="N3761" s="20"/>
      <c r="O3761" s="20"/>
      <c r="P3761" s="20"/>
    </row>
    <row r="3762">
      <c r="A3762" s="23"/>
      <c r="B3762" s="21"/>
      <c r="C3762" s="23"/>
      <c r="D3762" s="24"/>
      <c r="E3762" s="14"/>
      <c r="F3762" s="14"/>
      <c r="G3762" s="14"/>
      <c r="H3762" s="23"/>
      <c r="I3762" s="27"/>
      <c r="J3762" s="23"/>
      <c r="K3762" s="30"/>
      <c r="L3762" s="23"/>
      <c r="M3762" s="20"/>
      <c r="N3762" s="20"/>
      <c r="O3762" s="20"/>
      <c r="P3762" s="20"/>
    </row>
    <row r="3763">
      <c r="A3763" s="10"/>
      <c r="B3763" s="11"/>
      <c r="C3763" s="10"/>
      <c r="D3763" s="13"/>
      <c r="E3763" s="14"/>
      <c r="F3763" s="14"/>
      <c r="G3763" s="14"/>
      <c r="H3763" s="10"/>
      <c r="I3763" s="17"/>
      <c r="J3763" s="10"/>
      <c r="K3763" s="46"/>
      <c r="L3763" s="10"/>
      <c r="M3763" s="20"/>
      <c r="N3763" s="20"/>
      <c r="O3763" s="20"/>
      <c r="P3763" s="20"/>
    </row>
    <row r="3764">
      <c r="A3764" s="23"/>
      <c r="B3764" s="21"/>
      <c r="C3764" s="23"/>
      <c r="D3764" s="24"/>
      <c r="E3764" s="14"/>
      <c r="F3764" s="14"/>
      <c r="G3764" s="14"/>
      <c r="H3764" s="23"/>
      <c r="I3764" s="27"/>
      <c r="J3764" s="23"/>
      <c r="K3764" s="30"/>
      <c r="L3764" s="23"/>
      <c r="M3764" s="20"/>
      <c r="N3764" s="20"/>
      <c r="O3764" s="20"/>
      <c r="P3764" s="20"/>
    </row>
    <row r="3765">
      <c r="A3765" s="10"/>
      <c r="B3765" s="11"/>
      <c r="C3765" s="10"/>
      <c r="D3765" s="13"/>
      <c r="E3765" s="14"/>
      <c r="F3765" s="14"/>
      <c r="G3765" s="14"/>
      <c r="H3765" s="10"/>
      <c r="I3765" s="17"/>
      <c r="J3765" s="10"/>
      <c r="K3765" s="46"/>
      <c r="L3765" s="10"/>
      <c r="M3765" s="20"/>
      <c r="N3765" s="20"/>
      <c r="O3765" s="20"/>
      <c r="P3765" s="20"/>
    </row>
    <row r="3766">
      <c r="A3766" s="23"/>
      <c r="B3766" s="21"/>
      <c r="C3766" s="23"/>
      <c r="D3766" s="24"/>
      <c r="E3766" s="14"/>
      <c r="F3766" s="14"/>
      <c r="G3766" s="14"/>
      <c r="H3766" s="23"/>
      <c r="I3766" s="27"/>
      <c r="J3766" s="23"/>
      <c r="K3766" s="30"/>
      <c r="L3766" s="23"/>
      <c r="M3766" s="20"/>
      <c r="N3766" s="20"/>
      <c r="O3766" s="20"/>
      <c r="P3766" s="20"/>
    </row>
    <row r="3767">
      <c r="A3767" s="10"/>
      <c r="B3767" s="11"/>
      <c r="C3767" s="10"/>
      <c r="D3767" s="13"/>
      <c r="E3767" s="14"/>
      <c r="F3767" s="14"/>
      <c r="G3767" s="14"/>
      <c r="H3767" s="10"/>
      <c r="I3767" s="17"/>
      <c r="J3767" s="10"/>
      <c r="K3767" s="46"/>
      <c r="L3767" s="10"/>
      <c r="M3767" s="20"/>
      <c r="N3767" s="20"/>
      <c r="O3767" s="20"/>
      <c r="P3767" s="20"/>
    </row>
    <row r="3768">
      <c r="A3768" s="23"/>
      <c r="B3768" s="21"/>
      <c r="C3768" s="23"/>
      <c r="D3768" s="24"/>
      <c r="E3768" s="14"/>
      <c r="F3768" s="14"/>
      <c r="G3768" s="14"/>
      <c r="H3768" s="23"/>
      <c r="I3768" s="27"/>
      <c r="J3768" s="23"/>
      <c r="K3768" s="30"/>
      <c r="L3768" s="23"/>
      <c r="M3768" s="20"/>
      <c r="N3768" s="20"/>
      <c r="O3768" s="20"/>
      <c r="P3768" s="20"/>
    </row>
    <row r="3769">
      <c r="A3769" s="10"/>
      <c r="B3769" s="11"/>
      <c r="C3769" s="10"/>
      <c r="D3769" s="13"/>
      <c r="E3769" s="14"/>
      <c r="F3769" s="14"/>
      <c r="G3769" s="14"/>
      <c r="H3769" s="10"/>
      <c r="I3769" s="17"/>
      <c r="J3769" s="10"/>
      <c r="K3769" s="46"/>
      <c r="L3769" s="10"/>
      <c r="M3769" s="20"/>
      <c r="N3769" s="20"/>
      <c r="O3769" s="20"/>
      <c r="P3769" s="20"/>
    </row>
    <row r="3770">
      <c r="A3770" s="23"/>
      <c r="B3770" s="21"/>
      <c r="C3770" s="23"/>
      <c r="D3770" s="24"/>
      <c r="E3770" s="14"/>
      <c r="F3770" s="14"/>
      <c r="G3770" s="14"/>
      <c r="H3770" s="23"/>
      <c r="I3770" s="27"/>
      <c r="J3770" s="23"/>
      <c r="K3770" s="30"/>
      <c r="L3770" s="23"/>
      <c r="M3770" s="20"/>
      <c r="N3770" s="20"/>
      <c r="O3770" s="20"/>
      <c r="P3770" s="20"/>
    </row>
    <row r="3771">
      <c r="A3771" s="10"/>
      <c r="B3771" s="11"/>
      <c r="C3771" s="10"/>
      <c r="D3771" s="13"/>
      <c r="E3771" s="14"/>
      <c r="F3771" s="14"/>
      <c r="G3771" s="14"/>
      <c r="H3771" s="10"/>
      <c r="I3771" s="17"/>
      <c r="J3771" s="10"/>
      <c r="K3771" s="46"/>
      <c r="L3771" s="10"/>
      <c r="M3771" s="20"/>
      <c r="N3771" s="20"/>
      <c r="O3771" s="20"/>
      <c r="P3771" s="20"/>
    </row>
    <row r="3772">
      <c r="A3772" s="23"/>
      <c r="B3772" s="21"/>
      <c r="C3772" s="23"/>
      <c r="D3772" s="24"/>
      <c r="E3772" s="14"/>
      <c r="F3772" s="14"/>
      <c r="G3772" s="14"/>
      <c r="H3772" s="23"/>
      <c r="I3772" s="27"/>
      <c r="J3772" s="23"/>
      <c r="K3772" s="30"/>
      <c r="L3772" s="23"/>
      <c r="M3772" s="20"/>
      <c r="N3772" s="20"/>
      <c r="O3772" s="20"/>
      <c r="P3772" s="20"/>
    </row>
    <row r="3773">
      <c r="A3773" s="10"/>
      <c r="B3773" s="11"/>
      <c r="C3773" s="10"/>
      <c r="D3773" s="13"/>
      <c r="E3773" s="14"/>
      <c r="F3773" s="14"/>
      <c r="G3773" s="14"/>
      <c r="H3773" s="10"/>
      <c r="I3773" s="17"/>
      <c r="J3773" s="10"/>
      <c r="K3773" s="46"/>
      <c r="L3773" s="10"/>
      <c r="M3773" s="20"/>
      <c r="N3773" s="20"/>
      <c r="O3773" s="20"/>
      <c r="P3773" s="20"/>
    </row>
    <row r="3774">
      <c r="A3774" s="23"/>
      <c r="B3774" s="21"/>
      <c r="C3774" s="23"/>
      <c r="D3774" s="24"/>
      <c r="E3774" s="14"/>
      <c r="F3774" s="14"/>
      <c r="G3774" s="14"/>
      <c r="H3774" s="23"/>
      <c r="I3774" s="27"/>
      <c r="J3774" s="23"/>
      <c r="K3774" s="30"/>
      <c r="L3774" s="23"/>
      <c r="M3774" s="20"/>
      <c r="N3774" s="20"/>
      <c r="O3774" s="20"/>
      <c r="P3774" s="20"/>
    </row>
    <row r="3775">
      <c r="A3775" s="10"/>
      <c r="B3775" s="11"/>
      <c r="C3775" s="10"/>
      <c r="D3775" s="13"/>
      <c r="E3775" s="14"/>
      <c r="F3775" s="14"/>
      <c r="G3775" s="14"/>
      <c r="H3775" s="10"/>
      <c r="I3775" s="17"/>
      <c r="J3775" s="10"/>
      <c r="K3775" s="46"/>
      <c r="L3775" s="10"/>
      <c r="M3775" s="20"/>
      <c r="N3775" s="20"/>
      <c r="O3775" s="20"/>
      <c r="P3775" s="20"/>
    </row>
    <row r="3776">
      <c r="A3776" s="23"/>
      <c r="B3776" s="21"/>
      <c r="C3776" s="23"/>
      <c r="D3776" s="24"/>
      <c r="E3776" s="14"/>
      <c r="F3776" s="14"/>
      <c r="G3776" s="14"/>
      <c r="H3776" s="23"/>
      <c r="I3776" s="27"/>
      <c r="J3776" s="23"/>
      <c r="K3776" s="30"/>
      <c r="L3776" s="23"/>
      <c r="M3776" s="20"/>
      <c r="N3776" s="20"/>
      <c r="O3776" s="20"/>
      <c r="P3776" s="20"/>
    </row>
    <row r="3777">
      <c r="A3777" s="10"/>
      <c r="B3777" s="11"/>
      <c r="C3777" s="10"/>
      <c r="D3777" s="13"/>
      <c r="E3777" s="14"/>
      <c r="F3777" s="14"/>
      <c r="G3777" s="14"/>
      <c r="H3777" s="10"/>
      <c r="I3777" s="17"/>
      <c r="J3777" s="10"/>
      <c r="K3777" s="46"/>
      <c r="L3777" s="10"/>
      <c r="M3777" s="20"/>
      <c r="N3777" s="20"/>
      <c r="O3777" s="20"/>
      <c r="P3777" s="20"/>
    </row>
    <row r="3778">
      <c r="A3778" s="23"/>
      <c r="B3778" s="21"/>
      <c r="C3778" s="23"/>
      <c r="D3778" s="24"/>
      <c r="E3778" s="14"/>
      <c r="F3778" s="14"/>
      <c r="G3778" s="14"/>
      <c r="H3778" s="23"/>
      <c r="I3778" s="27"/>
      <c r="J3778" s="23"/>
      <c r="K3778" s="30"/>
      <c r="L3778" s="23"/>
      <c r="M3778" s="20"/>
      <c r="N3778" s="20"/>
      <c r="O3778" s="20"/>
      <c r="P3778" s="20"/>
    </row>
    <row r="3779">
      <c r="A3779" s="10"/>
      <c r="B3779" s="11"/>
      <c r="C3779" s="10"/>
      <c r="D3779" s="13"/>
      <c r="E3779" s="14"/>
      <c r="F3779" s="14"/>
      <c r="G3779" s="14"/>
      <c r="H3779" s="10"/>
      <c r="I3779" s="17"/>
      <c r="J3779" s="10"/>
      <c r="K3779" s="46"/>
      <c r="L3779" s="10"/>
      <c r="M3779" s="20"/>
      <c r="N3779" s="20"/>
      <c r="O3779" s="20"/>
      <c r="P3779" s="20"/>
    </row>
    <row r="3780">
      <c r="A3780" s="23"/>
      <c r="B3780" s="21"/>
      <c r="C3780" s="23"/>
      <c r="D3780" s="24"/>
      <c r="E3780" s="14"/>
      <c r="F3780" s="14"/>
      <c r="G3780" s="14"/>
      <c r="H3780" s="23"/>
      <c r="I3780" s="27"/>
      <c r="J3780" s="23"/>
      <c r="K3780" s="30"/>
      <c r="L3780" s="23"/>
      <c r="M3780" s="20"/>
      <c r="N3780" s="20"/>
      <c r="O3780" s="20"/>
      <c r="P3780" s="20"/>
    </row>
    <row r="3781">
      <c r="A3781" s="10"/>
      <c r="B3781" s="11"/>
      <c r="C3781" s="10"/>
      <c r="D3781" s="13"/>
      <c r="E3781" s="14"/>
      <c r="F3781" s="14"/>
      <c r="G3781" s="14"/>
      <c r="H3781" s="10"/>
      <c r="I3781" s="17"/>
      <c r="J3781" s="10"/>
      <c r="K3781" s="46"/>
      <c r="L3781" s="10"/>
      <c r="M3781" s="20"/>
      <c r="N3781" s="20"/>
      <c r="O3781" s="20"/>
      <c r="P3781" s="20"/>
    </row>
    <row r="3782">
      <c r="A3782" s="23"/>
      <c r="B3782" s="21"/>
      <c r="C3782" s="23"/>
      <c r="D3782" s="24"/>
      <c r="E3782" s="14"/>
      <c r="F3782" s="14"/>
      <c r="G3782" s="14"/>
      <c r="H3782" s="23"/>
      <c r="I3782" s="27"/>
      <c r="J3782" s="23"/>
      <c r="K3782" s="30"/>
      <c r="L3782" s="23"/>
      <c r="M3782" s="20"/>
      <c r="N3782" s="20"/>
      <c r="O3782" s="20"/>
      <c r="P3782" s="20"/>
    </row>
    <row r="3783">
      <c r="A3783" s="10"/>
      <c r="B3783" s="11"/>
      <c r="C3783" s="10"/>
      <c r="D3783" s="13"/>
      <c r="E3783" s="14"/>
      <c r="F3783" s="14"/>
      <c r="G3783" s="14"/>
      <c r="H3783" s="10"/>
      <c r="I3783" s="17"/>
      <c r="J3783" s="10"/>
      <c r="K3783" s="46"/>
      <c r="L3783" s="10"/>
      <c r="M3783" s="20"/>
      <c r="N3783" s="20"/>
      <c r="O3783" s="20"/>
      <c r="P3783" s="20"/>
    </row>
    <row r="3784">
      <c r="A3784" s="23"/>
      <c r="B3784" s="21"/>
      <c r="C3784" s="23"/>
      <c r="D3784" s="24"/>
      <c r="E3784" s="14"/>
      <c r="F3784" s="14"/>
      <c r="G3784" s="14"/>
      <c r="H3784" s="23"/>
      <c r="I3784" s="27"/>
      <c r="J3784" s="23"/>
      <c r="K3784" s="30"/>
      <c r="L3784" s="23"/>
      <c r="M3784" s="20"/>
      <c r="N3784" s="20"/>
      <c r="O3784" s="20"/>
      <c r="P3784" s="20"/>
    </row>
    <row r="3785">
      <c r="A3785" s="10"/>
      <c r="B3785" s="11"/>
      <c r="C3785" s="10"/>
      <c r="D3785" s="13"/>
      <c r="E3785" s="14"/>
      <c r="F3785" s="14"/>
      <c r="G3785" s="14"/>
      <c r="H3785" s="10"/>
      <c r="I3785" s="17"/>
      <c r="J3785" s="10"/>
      <c r="K3785" s="46"/>
      <c r="L3785" s="10"/>
      <c r="M3785" s="20"/>
      <c r="N3785" s="20"/>
      <c r="O3785" s="20"/>
      <c r="P3785" s="20"/>
    </row>
    <row r="3786">
      <c r="A3786" s="23"/>
      <c r="B3786" s="21"/>
      <c r="C3786" s="23"/>
      <c r="D3786" s="24"/>
      <c r="E3786" s="14"/>
      <c r="F3786" s="14"/>
      <c r="G3786" s="14"/>
      <c r="H3786" s="23"/>
      <c r="I3786" s="27"/>
      <c r="J3786" s="23"/>
      <c r="K3786" s="30"/>
      <c r="L3786" s="23"/>
      <c r="M3786" s="20"/>
      <c r="N3786" s="20"/>
      <c r="O3786" s="20"/>
      <c r="P3786" s="20"/>
    </row>
    <row r="3787">
      <c r="A3787" s="10"/>
      <c r="B3787" s="11"/>
      <c r="C3787" s="10"/>
      <c r="D3787" s="13"/>
      <c r="E3787" s="14"/>
      <c r="F3787" s="14"/>
      <c r="G3787" s="14"/>
      <c r="H3787" s="10"/>
      <c r="I3787" s="17"/>
      <c r="J3787" s="10"/>
      <c r="K3787" s="46"/>
      <c r="L3787" s="10"/>
      <c r="M3787" s="20"/>
      <c r="N3787" s="20"/>
      <c r="O3787" s="20"/>
      <c r="P3787" s="20"/>
    </row>
    <row r="3788">
      <c r="A3788" s="23"/>
      <c r="B3788" s="21"/>
      <c r="C3788" s="23"/>
      <c r="D3788" s="24"/>
      <c r="E3788" s="14"/>
      <c r="F3788" s="14"/>
      <c r="G3788" s="14"/>
      <c r="H3788" s="23"/>
      <c r="I3788" s="27"/>
      <c r="J3788" s="23"/>
      <c r="K3788" s="30"/>
      <c r="L3788" s="23"/>
      <c r="M3788" s="20"/>
      <c r="N3788" s="20"/>
      <c r="O3788" s="20"/>
      <c r="P3788" s="20"/>
    </row>
    <row r="3789">
      <c r="A3789" s="10"/>
      <c r="B3789" s="11"/>
      <c r="C3789" s="10"/>
      <c r="D3789" s="13"/>
      <c r="E3789" s="14"/>
      <c r="F3789" s="14"/>
      <c r="G3789" s="14"/>
      <c r="H3789" s="10"/>
      <c r="I3789" s="17"/>
      <c r="J3789" s="10"/>
      <c r="K3789" s="46"/>
      <c r="L3789" s="10"/>
      <c r="M3789" s="20"/>
      <c r="N3789" s="20"/>
      <c r="O3789" s="20"/>
      <c r="P3789" s="20"/>
    </row>
    <row r="3790">
      <c r="A3790" s="23"/>
      <c r="B3790" s="21"/>
      <c r="C3790" s="23"/>
      <c r="D3790" s="24"/>
      <c r="E3790" s="14"/>
      <c r="F3790" s="14"/>
      <c r="G3790" s="14"/>
      <c r="H3790" s="23"/>
      <c r="I3790" s="27"/>
      <c r="J3790" s="23"/>
      <c r="K3790" s="30"/>
      <c r="L3790" s="23"/>
      <c r="M3790" s="20"/>
      <c r="N3790" s="20"/>
      <c r="O3790" s="20"/>
      <c r="P3790" s="20"/>
    </row>
    <row r="3791">
      <c r="A3791" s="10"/>
      <c r="B3791" s="11"/>
      <c r="C3791" s="10"/>
      <c r="D3791" s="13"/>
      <c r="E3791" s="14"/>
      <c r="F3791" s="14"/>
      <c r="G3791" s="14"/>
      <c r="H3791" s="10"/>
      <c r="I3791" s="17"/>
      <c r="J3791" s="10"/>
      <c r="K3791" s="46"/>
      <c r="L3791" s="10"/>
      <c r="M3791" s="20"/>
      <c r="N3791" s="20"/>
      <c r="O3791" s="20"/>
      <c r="P3791" s="20"/>
    </row>
    <row r="3792">
      <c r="A3792" s="23"/>
      <c r="B3792" s="21"/>
      <c r="C3792" s="23"/>
      <c r="D3792" s="24"/>
      <c r="E3792" s="14"/>
      <c r="F3792" s="14"/>
      <c r="G3792" s="14"/>
      <c r="H3792" s="23"/>
      <c r="I3792" s="27"/>
      <c r="J3792" s="23"/>
      <c r="K3792" s="30"/>
      <c r="L3792" s="23"/>
      <c r="M3792" s="20"/>
      <c r="N3792" s="20"/>
      <c r="O3792" s="20"/>
      <c r="P3792" s="20"/>
    </row>
    <row r="3793">
      <c r="A3793" s="10"/>
      <c r="B3793" s="11"/>
      <c r="C3793" s="10"/>
      <c r="D3793" s="13"/>
      <c r="E3793" s="14"/>
      <c r="F3793" s="14"/>
      <c r="G3793" s="14"/>
      <c r="H3793" s="10"/>
      <c r="I3793" s="17"/>
      <c r="J3793" s="10"/>
      <c r="K3793" s="46"/>
      <c r="L3793" s="10"/>
      <c r="M3793" s="20"/>
      <c r="N3793" s="20"/>
      <c r="O3793" s="20"/>
      <c r="P3793" s="20"/>
    </row>
    <row r="3794">
      <c r="A3794" s="23"/>
      <c r="B3794" s="21"/>
      <c r="C3794" s="23"/>
      <c r="D3794" s="24"/>
      <c r="E3794" s="14"/>
      <c r="F3794" s="14"/>
      <c r="G3794" s="14"/>
      <c r="H3794" s="23"/>
      <c r="I3794" s="27"/>
      <c r="J3794" s="23"/>
      <c r="K3794" s="30"/>
      <c r="L3794" s="23"/>
      <c r="M3794" s="20"/>
      <c r="N3794" s="20"/>
      <c r="O3794" s="20"/>
      <c r="P3794" s="20"/>
    </row>
    <row r="3795">
      <c r="A3795" s="10"/>
      <c r="B3795" s="11"/>
      <c r="C3795" s="10"/>
      <c r="D3795" s="13"/>
      <c r="E3795" s="14"/>
      <c r="F3795" s="14"/>
      <c r="G3795" s="14"/>
      <c r="H3795" s="10"/>
      <c r="I3795" s="17"/>
      <c r="J3795" s="10"/>
      <c r="K3795" s="46"/>
      <c r="L3795" s="10"/>
      <c r="M3795" s="20"/>
      <c r="N3795" s="20"/>
      <c r="O3795" s="20"/>
      <c r="P3795" s="20"/>
    </row>
    <row r="3796">
      <c r="A3796" s="23"/>
      <c r="B3796" s="21"/>
      <c r="C3796" s="23"/>
      <c r="D3796" s="24"/>
      <c r="E3796" s="14"/>
      <c r="F3796" s="14"/>
      <c r="G3796" s="14"/>
      <c r="H3796" s="23"/>
      <c r="I3796" s="27"/>
      <c r="J3796" s="23"/>
      <c r="K3796" s="30"/>
      <c r="L3796" s="23"/>
      <c r="M3796" s="20"/>
      <c r="N3796" s="20"/>
      <c r="O3796" s="20"/>
      <c r="P3796" s="20"/>
    </row>
    <row r="3797">
      <c r="A3797" s="10"/>
      <c r="B3797" s="11"/>
      <c r="C3797" s="10"/>
      <c r="D3797" s="13"/>
      <c r="E3797" s="14"/>
      <c r="F3797" s="14"/>
      <c r="G3797" s="14"/>
      <c r="H3797" s="10"/>
      <c r="I3797" s="17"/>
      <c r="J3797" s="10"/>
      <c r="K3797" s="46"/>
      <c r="L3797" s="10"/>
      <c r="M3797" s="20"/>
      <c r="N3797" s="20"/>
      <c r="O3797" s="20"/>
      <c r="P3797" s="20"/>
    </row>
    <row r="3798">
      <c r="A3798" s="23"/>
      <c r="B3798" s="21"/>
      <c r="C3798" s="23"/>
      <c r="D3798" s="24"/>
      <c r="E3798" s="14"/>
      <c r="F3798" s="14"/>
      <c r="G3798" s="14"/>
      <c r="H3798" s="23"/>
      <c r="I3798" s="27"/>
      <c r="J3798" s="23"/>
      <c r="K3798" s="30"/>
      <c r="L3798" s="23"/>
      <c r="M3798" s="20"/>
      <c r="N3798" s="20"/>
      <c r="O3798" s="20"/>
      <c r="P3798" s="20"/>
    </row>
    <row r="3799">
      <c r="A3799" s="10"/>
      <c r="B3799" s="11"/>
      <c r="C3799" s="10"/>
      <c r="D3799" s="13"/>
      <c r="E3799" s="14"/>
      <c r="F3799" s="14"/>
      <c r="G3799" s="14"/>
      <c r="H3799" s="10"/>
      <c r="I3799" s="17"/>
      <c r="J3799" s="10"/>
      <c r="K3799" s="46"/>
      <c r="L3799" s="10"/>
      <c r="M3799" s="20"/>
      <c r="N3799" s="20"/>
      <c r="O3799" s="20"/>
      <c r="P3799" s="20"/>
    </row>
    <row r="3800">
      <c r="A3800" s="23"/>
      <c r="B3800" s="21"/>
      <c r="C3800" s="23"/>
      <c r="D3800" s="24"/>
      <c r="E3800" s="14"/>
      <c r="F3800" s="14"/>
      <c r="G3800" s="14"/>
      <c r="H3800" s="23"/>
      <c r="I3800" s="27"/>
      <c r="J3800" s="23"/>
      <c r="K3800" s="30"/>
      <c r="L3800" s="23"/>
      <c r="M3800" s="20"/>
      <c r="N3800" s="20"/>
      <c r="O3800" s="20"/>
      <c r="P3800" s="20"/>
    </row>
    <row r="3801">
      <c r="A3801" s="10"/>
      <c r="B3801" s="11"/>
      <c r="C3801" s="10"/>
      <c r="D3801" s="13"/>
      <c r="E3801" s="14"/>
      <c r="F3801" s="14"/>
      <c r="G3801" s="14"/>
      <c r="H3801" s="10"/>
      <c r="I3801" s="17"/>
      <c r="J3801" s="10"/>
      <c r="K3801" s="46"/>
      <c r="L3801" s="10"/>
      <c r="M3801" s="20"/>
      <c r="N3801" s="20"/>
      <c r="O3801" s="20"/>
      <c r="P3801" s="20"/>
    </row>
    <row r="3802">
      <c r="A3802" s="23"/>
      <c r="B3802" s="21"/>
      <c r="C3802" s="23"/>
      <c r="D3802" s="24"/>
      <c r="E3802" s="14"/>
      <c r="F3802" s="14"/>
      <c r="G3802" s="14"/>
      <c r="H3802" s="23"/>
      <c r="I3802" s="27"/>
      <c r="J3802" s="23"/>
      <c r="K3802" s="30"/>
      <c r="L3802" s="23"/>
      <c r="M3802" s="20"/>
      <c r="N3802" s="20"/>
      <c r="O3802" s="20"/>
      <c r="P3802" s="20"/>
    </row>
    <row r="3803">
      <c r="A3803" s="10"/>
      <c r="B3803" s="11"/>
      <c r="C3803" s="10"/>
      <c r="D3803" s="13"/>
      <c r="E3803" s="14"/>
      <c r="F3803" s="14"/>
      <c r="G3803" s="14"/>
      <c r="H3803" s="10"/>
      <c r="I3803" s="17"/>
      <c r="J3803" s="10"/>
      <c r="K3803" s="46"/>
      <c r="L3803" s="10"/>
      <c r="M3803" s="20"/>
      <c r="N3803" s="20"/>
      <c r="O3803" s="20"/>
      <c r="P3803" s="20"/>
    </row>
    <row r="3804">
      <c r="A3804" s="23"/>
      <c r="B3804" s="21"/>
      <c r="C3804" s="23"/>
      <c r="D3804" s="24"/>
      <c r="E3804" s="14"/>
      <c r="F3804" s="14"/>
      <c r="G3804" s="14"/>
      <c r="H3804" s="23"/>
      <c r="I3804" s="27"/>
      <c r="J3804" s="23"/>
      <c r="K3804" s="30"/>
      <c r="L3804" s="23"/>
      <c r="M3804" s="20"/>
      <c r="N3804" s="20"/>
      <c r="O3804" s="20"/>
      <c r="P3804" s="20"/>
    </row>
    <row r="3805">
      <c r="A3805" s="10"/>
      <c r="B3805" s="11"/>
      <c r="C3805" s="10"/>
      <c r="D3805" s="13"/>
      <c r="E3805" s="14"/>
      <c r="F3805" s="14"/>
      <c r="G3805" s="14"/>
      <c r="H3805" s="10"/>
      <c r="I3805" s="17"/>
      <c r="J3805" s="10"/>
      <c r="K3805" s="46"/>
      <c r="L3805" s="10"/>
      <c r="M3805" s="20"/>
      <c r="N3805" s="20"/>
      <c r="O3805" s="20"/>
      <c r="P3805" s="20"/>
    </row>
    <row r="3806">
      <c r="A3806" s="23"/>
      <c r="B3806" s="21"/>
      <c r="C3806" s="23"/>
      <c r="D3806" s="24"/>
      <c r="E3806" s="14"/>
      <c r="F3806" s="14"/>
      <c r="G3806" s="14"/>
      <c r="H3806" s="23"/>
      <c r="I3806" s="27"/>
      <c r="J3806" s="23"/>
      <c r="K3806" s="30"/>
      <c r="L3806" s="23"/>
      <c r="M3806" s="20"/>
      <c r="N3806" s="20"/>
      <c r="O3806" s="20"/>
      <c r="P3806" s="20"/>
    </row>
    <row r="3807">
      <c r="A3807" s="10"/>
      <c r="B3807" s="11"/>
      <c r="C3807" s="10"/>
      <c r="D3807" s="13"/>
      <c r="E3807" s="14"/>
      <c r="F3807" s="14"/>
      <c r="G3807" s="14"/>
      <c r="H3807" s="10"/>
      <c r="I3807" s="17"/>
      <c r="J3807" s="10"/>
      <c r="K3807" s="46"/>
      <c r="L3807" s="10"/>
      <c r="M3807" s="20"/>
      <c r="N3807" s="20"/>
      <c r="O3807" s="20"/>
      <c r="P3807" s="20"/>
    </row>
    <row r="3808">
      <c r="A3808" s="23"/>
      <c r="B3808" s="21"/>
      <c r="C3808" s="23"/>
      <c r="D3808" s="24"/>
      <c r="E3808" s="14"/>
      <c r="F3808" s="14"/>
      <c r="G3808" s="14"/>
      <c r="H3808" s="23"/>
      <c r="I3808" s="27"/>
      <c r="J3808" s="23"/>
      <c r="K3808" s="30"/>
      <c r="L3808" s="23"/>
      <c r="M3808" s="20"/>
      <c r="N3808" s="20"/>
      <c r="O3808" s="20"/>
      <c r="P3808" s="20"/>
    </row>
    <row r="3809">
      <c r="A3809" s="10"/>
      <c r="B3809" s="11"/>
      <c r="C3809" s="10"/>
      <c r="D3809" s="13"/>
      <c r="E3809" s="14"/>
      <c r="F3809" s="14"/>
      <c r="G3809" s="14"/>
      <c r="H3809" s="10"/>
      <c r="I3809" s="17"/>
      <c r="J3809" s="10"/>
      <c r="K3809" s="46"/>
      <c r="L3809" s="10"/>
      <c r="M3809" s="20"/>
      <c r="N3809" s="20"/>
      <c r="O3809" s="20"/>
      <c r="P3809" s="20"/>
    </row>
    <row r="3810">
      <c r="A3810" s="23"/>
      <c r="B3810" s="21"/>
      <c r="C3810" s="23"/>
      <c r="D3810" s="24"/>
      <c r="E3810" s="14"/>
      <c r="F3810" s="14"/>
      <c r="G3810" s="14"/>
      <c r="H3810" s="23"/>
      <c r="I3810" s="27"/>
      <c r="J3810" s="23"/>
      <c r="K3810" s="30"/>
      <c r="L3810" s="23"/>
      <c r="M3810" s="20"/>
      <c r="N3810" s="20"/>
      <c r="O3810" s="20"/>
      <c r="P3810" s="20"/>
    </row>
    <row r="3811">
      <c r="A3811" s="10"/>
      <c r="B3811" s="11"/>
      <c r="C3811" s="10"/>
      <c r="D3811" s="13"/>
      <c r="E3811" s="14"/>
      <c r="F3811" s="14"/>
      <c r="G3811" s="14"/>
      <c r="H3811" s="10"/>
      <c r="I3811" s="17"/>
      <c r="J3811" s="10"/>
      <c r="K3811" s="46"/>
      <c r="L3811" s="10"/>
      <c r="M3811" s="20"/>
      <c r="N3811" s="20"/>
      <c r="O3811" s="20"/>
      <c r="P3811" s="20"/>
    </row>
    <row r="3812">
      <c r="A3812" s="23"/>
      <c r="B3812" s="21"/>
      <c r="C3812" s="23"/>
      <c r="D3812" s="24"/>
      <c r="E3812" s="14"/>
      <c r="F3812" s="14"/>
      <c r="G3812" s="14"/>
      <c r="H3812" s="23"/>
      <c r="I3812" s="27"/>
      <c r="J3812" s="23"/>
      <c r="K3812" s="30"/>
      <c r="L3812" s="23"/>
      <c r="M3812" s="20"/>
      <c r="N3812" s="20"/>
      <c r="O3812" s="20"/>
      <c r="P3812" s="20"/>
    </row>
    <row r="3813">
      <c r="A3813" s="10"/>
      <c r="B3813" s="11"/>
      <c r="C3813" s="10"/>
      <c r="D3813" s="13"/>
      <c r="E3813" s="14"/>
      <c r="F3813" s="14"/>
      <c r="G3813" s="14"/>
      <c r="H3813" s="10"/>
      <c r="I3813" s="17"/>
      <c r="J3813" s="10"/>
      <c r="K3813" s="46"/>
      <c r="L3813" s="10"/>
      <c r="M3813" s="20"/>
      <c r="N3813" s="20"/>
      <c r="O3813" s="20"/>
      <c r="P3813" s="20"/>
    </row>
    <row r="3814">
      <c r="A3814" s="23"/>
      <c r="B3814" s="21"/>
      <c r="C3814" s="23"/>
      <c r="D3814" s="24"/>
      <c r="E3814" s="14"/>
      <c r="F3814" s="14"/>
      <c r="G3814" s="14"/>
      <c r="H3814" s="23"/>
      <c r="I3814" s="27"/>
      <c r="J3814" s="23"/>
      <c r="K3814" s="30"/>
      <c r="L3814" s="23"/>
      <c r="M3814" s="20"/>
      <c r="N3814" s="20"/>
      <c r="O3814" s="20"/>
      <c r="P3814" s="20"/>
    </row>
    <row r="3815">
      <c r="A3815" s="10"/>
      <c r="B3815" s="11"/>
      <c r="C3815" s="10"/>
      <c r="D3815" s="13"/>
      <c r="E3815" s="14"/>
      <c r="F3815" s="14"/>
      <c r="G3815" s="14"/>
      <c r="H3815" s="10"/>
      <c r="I3815" s="17"/>
      <c r="J3815" s="10"/>
      <c r="K3815" s="46"/>
      <c r="L3815" s="10"/>
      <c r="M3815" s="20"/>
      <c r="N3815" s="20"/>
      <c r="O3815" s="20"/>
      <c r="P3815" s="20"/>
    </row>
    <row r="3816">
      <c r="A3816" s="23"/>
      <c r="B3816" s="21"/>
      <c r="C3816" s="23"/>
      <c r="D3816" s="24"/>
      <c r="E3816" s="14"/>
      <c r="F3816" s="14"/>
      <c r="G3816" s="14"/>
      <c r="H3816" s="23"/>
      <c r="I3816" s="27"/>
      <c r="J3816" s="23"/>
      <c r="K3816" s="30"/>
      <c r="L3816" s="23"/>
      <c r="M3816" s="20"/>
      <c r="N3816" s="20"/>
      <c r="O3816" s="20"/>
      <c r="P3816" s="20"/>
    </row>
    <row r="3817">
      <c r="A3817" s="10"/>
      <c r="B3817" s="11"/>
      <c r="C3817" s="10"/>
      <c r="D3817" s="13"/>
      <c r="E3817" s="14"/>
      <c r="F3817" s="14"/>
      <c r="G3817" s="14"/>
      <c r="H3817" s="10"/>
      <c r="I3817" s="17"/>
      <c r="J3817" s="10"/>
      <c r="K3817" s="46"/>
      <c r="L3817" s="10"/>
      <c r="M3817" s="20"/>
      <c r="N3817" s="20"/>
      <c r="O3817" s="20"/>
      <c r="P3817" s="20"/>
    </row>
    <row r="3818">
      <c r="A3818" s="23"/>
      <c r="B3818" s="21"/>
      <c r="C3818" s="23"/>
      <c r="D3818" s="24"/>
      <c r="E3818" s="14"/>
      <c r="F3818" s="14"/>
      <c r="G3818" s="14"/>
      <c r="H3818" s="23"/>
      <c r="I3818" s="27"/>
      <c r="J3818" s="23"/>
      <c r="K3818" s="30"/>
      <c r="L3818" s="23"/>
      <c r="M3818" s="20"/>
      <c r="N3818" s="20"/>
      <c r="O3818" s="20"/>
      <c r="P3818" s="20"/>
    </row>
    <row r="3819">
      <c r="A3819" s="10"/>
      <c r="B3819" s="11"/>
      <c r="C3819" s="10"/>
      <c r="D3819" s="13"/>
      <c r="E3819" s="14"/>
      <c r="F3819" s="14"/>
      <c r="G3819" s="14"/>
      <c r="H3819" s="10"/>
      <c r="I3819" s="17"/>
      <c r="J3819" s="10"/>
      <c r="K3819" s="46"/>
      <c r="L3819" s="10"/>
      <c r="M3819" s="20"/>
      <c r="N3819" s="20"/>
      <c r="O3819" s="20"/>
      <c r="P3819" s="20"/>
    </row>
    <row r="3820">
      <c r="A3820" s="23"/>
      <c r="B3820" s="21"/>
      <c r="C3820" s="23"/>
      <c r="D3820" s="24"/>
      <c r="E3820" s="14"/>
      <c r="F3820" s="14"/>
      <c r="G3820" s="14"/>
      <c r="H3820" s="23"/>
      <c r="I3820" s="27"/>
      <c r="J3820" s="23"/>
      <c r="K3820" s="30"/>
      <c r="L3820" s="23"/>
      <c r="M3820" s="20"/>
      <c r="N3820" s="20"/>
      <c r="O3820" s="20"/>
      <c r="P3820" s="20"/>
    </row>
    <row r="3821">
      <c r="A3821" s="10"/>
      <c r="B3821" s="11"/>
      <c r="C3821" s="10"/>
      <c r="D3821" s="13"/>
      <c r="E3821" s="14"/>
      <c r="F3821" s="14"/>
      <c r="G3821" s="14"/>
      <c r="H3821" s="10"/>
      <c r="I3821" s="17"/>
      <c r="J3821" s="10"/>
      <c r="K3821" s="46"/>
      <c r="L3821" s="10"/>
      <c r="M3821" s="20"/>
      <c r="N3821" s="20"/>
      <c r="O3821" s="20"/>
      <c r="P3821" s="20"/>
    </row>
    <row r="3822">
      <c r="A3822" s="23"/>
      <c r="B3822" s="21"/>
      <c r="C3822" s="23"/>
      <c r="D3822" s="24"/>
      <c r="E3822" s="14"/>
      <c r="F3822" s="14"/>
      <c r="G3822" s="14"/>
      <c r="H3822" s="23"/>
      <c r="I3822" s="27"/>
      <c r="J3822" s="23"/>
      <c r="K3822" s="30"/>
      <c r="L3822" s="23"/>
      <c r="M3822" s="20"/>
      <c r="N3822" s="20"/>
      <c r="O3822" s="20"/>
      <c r="P3822" s="20"/>
    </row>
    <row r="3823">
      <c r="A3823" s="10"/>
      <c r="B3823" s="11"/>
      <c r="C3823" s="10"/>
      <c r="D3823" s="13"/>
      <c r="E3823" s="14"/>
      <c r="F3823" s="14"/>
      <c r="G3823" s="14"/>
      <c r="H3823" s="10"/>
      <c r="I3823" s="17"/>
      <c r="J3823" s="10"/>
      <c r="K3823" s="46"/>
      <c r="L3823" s="10"/>
      <c r="M3823" s="20"/>
      <c r="N3823" s="20"/>
      <c r="O3823" s="20"/>
      <c r="P3823" s="20"/>
    </row>
    <row r="3824">
      <c r="A3824" s="23"/>
      <c r="B3824" s="21"/>
      <c r="C3824" s="23"/>
      <c r="D3824" s="24"/>
      <c r="E3824" s="14"/>
      <c r="F3824" s="14"/>
      <c r="G3824" s="14"/>
      <c r="H3824" s="23"/>
      <c r="I3824" s="27"/>
      <c r="J3824" s="23"/>
      <c r="K3824" s="30"/>
      <c r="L3824" s="23"/>
      <c r="M3824" s="20"/>
      <c r="N3824" s="20"/>
      <c r="O3824" s="20"/>
      <c r="P3824" s="20"/>
    </row>
    <row r="3825">
      <c r="A3825" s="10"/>
      <c r="B3825" s="11"/>
      <c r="C3825" s="10"/>
      <c r="D3825" s="13"/>
      <c r="E3825" s="14"/>
      <c r="F3825" s="14"/>
      <c r="G3825" s="14"/>
      <c r="H3825" s="10"/>
      <c r="I3825" s="17"/>
      <c r="J3825" s="10"/>
      <c r="K3825" s="46"/>
      <c r="L3825" s="10"/>
      <c r="M3825" s="20"/>
      <c r="N3825" s="20"/>
      <c r="O3825" s="20"/>
      <c r="P3825" s="20"/>
    </row>
    <row r="3826">
      <c r="A3826" s="23"/>
      <c r="B3826" s="21"/>
      <c r="C3826" s="23"/>
      <c r="D3826" s="24"/>
      <c r="E3826" s="14"/>
      <c r="F3826" s="14"/>
      <c r="G3826" s="14"/>
      <c r="H3826" s="23"/>
      <c r="I3826" s="27"/>
      <c r="J3826" s="23"/>
      <c r="K3826" s="30"/>
      <c r="L3826" s="23"/>
      <c r="M3826" s="20"/>
      <c r="N3826" s="20"/>
      <c r="O3826" s="20"/>
      <c r="P3826" s="20"/>
    </row>
    <row r="3827">
      <c r="A3827" s="10"/>
      <c r="B3827" s="11"/>
      <c r="C3827" s="10"/>
      <c r="D3827" s="13"/>
      <c r="E3827" s="14"/>
      <c r="F3827" s="14"/>
      <c r="G3827" s="14"/>
      <c r="H3827" s="10"/>
      <c r="I3827" s="17"/>
      <c r="J3827" s="10"/>
      <c r="K3827" s="46"/>
      <c r="L3827" s="10"/>
      <c r="M3827" s="20"/>
      <c r="N3827" s="20"/>
      <c r="O3827" s="20"/>
      <c r="P3827" s="20"/>
    </row>
    <row r="3828">
      <c r="A3828" s="23"/>
      <c r="B3828" s="21"/>
      <c r="C3828" s="23"/>
      <c r="D3828" s="24"/>
      <c r="E3828" s="14"/>
      <c r="F3828" s="14"/>
      <c r="G3828" s="14"/>
      <c r="H3828" s="23"/>
      <c r="I3828" s="27"/>
      <c r="J3828" s="23"/>
      <c r="K3828" s="30"/>
      <c r="L3828" s="23"/>
      <c r="M3828" s="20"/>
      <c r="N3828" s="20"/>
      <c r="O3828" s="20"/>
      <c r="P3828" s="20"/>
    </row>
    <row r="3829">
      <c r="A3829" s="10"/>
      <c r="B3829" s="11"/>
      <c r="C3829" s="10"/>
      <c r="D3829" s="13"/>
      <c r="E3829" s="14"/>
      <c r="F3829" s="14"/>
      <c r="G3829" s="14"/>
      <c r="H3829" s="10"/>
      <c r="I3829" s="17"/>
      <c r="J3829" s="10"/>
      <c r="K3829" s="46"/>
      <c r="L3829" s="10"/>
      <c r="M3829" s="20"/>
      <c r="N3829" s="20"/>
      <c r="O3829" s="20"/>
      <c r="P3829" s="20"/>
    </row>
    <row r="3830">
      <c r="A3830" s="23"/>
      <c r="B3830" s="21"/>
      <c r="C3830" s="23"/>
      <c r="D3830" s="24"/>
      <c r="E3830" s="14"/>
      <c r="F3830" s="14"/>
      <c r="G3830" s="14"/>
      <c r="H3830" s="23"/>
      <c r="I3830" s="27"/>
      <c r="J3830" s="23"/>
      <c r="K3830" s="30"/>
      <c r="L3830" s="23"/>
      <c r="M3830" s="20"/>
      <c r="N3830" s="20"/>
      <c r="O3830" s="20"/>
      <c r="P3830" s="20"/>
    </row>
    <row r="3831">
      <c r="A3831" s="10"/>
      <c r="B3831" s="11"/>
      <c r="C3831" s="10"/>
      <c r="D3831" s="13"/>
      <c r="E3831" s="14"/>
      <c r="F3831" s="14"/>
      <c r="G3831" s="14"/>
      <c r="H3831" s="10"/>
      <c r="I3831" s="17"/>
      <c r="J3831" s="10"/>
      <c r="K3831" s="46"/>
      <c r="L3831" s="10"/>
      <c r="M3831" s="20"/>
      <c r="N3831" s="20"/>
      <c r="O3831" s="20"/>
      <c r="P3831" s="20"/>
    </row>
    <row r="3832">
      <c r="A3832" s="23"/>
      <c r="B3832" s="21"/>
      <c r="C3832" s="23"/>
      <c r="D3832" s="24"/>
      <c r="E3832" s="14"/>
      <c r="F3832" s="14"/>
      <c r="G3832" s="14"/>
      <c r="H3832" s="23"/>
      <c r="I3832" s="27"/>
      <c r="J3832" s="23"/>
      <c r="K3832" s="30"/>
      <c r="L3832" s="23"/>
      <c r="M3832" s="20"/>
      <c r="N3832" s="20"/>
      <c r="O3832" s="20"/>
      <c r="P3832" s="20"/>
    </row>
    <row r="3833">
      <c r="A3833" s="10"/>
      <c r="B3833" s="11"/>
      <c r="C3833" s="10"/>
      <c r="D3833" s="13"/>
      <c r="E3833" s="14"/>
      <c r="F3833" s="14"/>
      <c r="G3833" s="14"/>
      <c r="H3833" s="10"/>
      <c r="I3833" s="17"/>
      <c r="J3833" s="10"/>
      <c r="K3833" s="46"/>
      <c r="L3833" s="10"/>
      <c r="M3833" s="20"/>
      <c r="N3833" s="20"/>
      <c r="O3833" s="20"/>
      <c r="P3833" s="20"/>
    </row>
    <row r="3834">
      <c r="A3834" s="23"/>
      <c r="B3834" s="21"/>
      <c r="C3834" s="23"/>
      <c r="D3834" s="24"/>
      <c r="E3834" s="14"/>
      <c r="F3834" s="14"/>
      <c r="G3834" s="14"/>
      <c r="H3834" s="23"/>
      <c r="I3834" s="27"/>
      <c r="J3834" s="23"/>
      <c r="K3834" s="30"/>
      <c r="L3834" s="23"/>
      <c r="M3834" s="20"/>
      <c r="N3834" s="20"/>
      <c r="O3834" s="20"/>
      <c r="P3834" s="20"/>
    </row>
    <row r="3835">
      <c r="A3835" s="10"/>
      <c r="B3835" s="11"/>
      <c r="C3835" s="10"/>
      <c r="D3835" s="13"/>
      <c r="E3835" s="14"/>
      <c r="F3835" s="14"/>
      <c r="G3835" s="14"/>
      <c r="H3835" s="10"/>
      <c r="I3835" s="17"/>
      <c r="J3835" s="10"/>
      <c r="K3835" s="46"/>
      <c r="L3835" s="10"/>
      <c r="M3835" s="20"/>
      <c r="N3835" s="20"/>
      <c r="O3835" s="20"/>
      <c r="P3835" s="20"/>
    </row>
    <row r="3836">
      <c r="A3836" s="23"/>
      <c r="B3836" s="21"/>
      <c r="C3836" s="23"/>
      <c r="D3836" s="24"/>
      <c r="E3836" s="14"/>
      <c r="F3836" s="14"/>
      <c r="G3836" s="14"/>
      <c r="H3836" s="23"/>
      <c r="I3836" s="27"/>
      <c r="J3836" s="23"/>
      <c r="K3836" s="30"/>
      <c r="L3836" s="23"/>
      <c r="M3836" s="20"/>
      <c r="N3836" s="20"/>
      <c r="O3836" s="20"/>
      <c r="P3836" s="20"/>
    </row>
    <row r="3837">
      <c r="A3837" s="10"/>
      <c r="B3837" s="11"/>
      <c r="C3837" s="10"/>
      <c r="D3837" s="13"/>
      <c r="E3837" s="14"/>
      <c r="F3837" s="14"/>
      <c r="G3837" s="14"/>
      <c r="H3837" s="10"/>
      <c r="I3837" s="17"/>
      <c r="J3837" s="10"/>
      <c r="K3837" s="46"/>
      <c r="L3837" s="10"/>
      <c r="M3837" s="20"/>
      <c r="N3837" s="20"/>
      <c r="O3837" s="20"/>
      <c r="P3837" s="20"/>
    </row>
    <row r="3838">
      <c r="A3838" s="23"/>
      <c r="B3838" s="21"/>
      <c r="C3838" s="23"/>
      <c r="D3838" s="24"/>
      <c r="E3838" s="14"/>
      <c r="F3838" s="14"/>
      <c r="G3838" s="14"/>
      <c r="H3838" s="23"/>
      <c r="I3838" s="27"/>
      <c r="J3838" s="23"/>
      <c r="K3838" s="30"/>
      <c r="L3838" s="23"/>
      <c r="M3838" s="20"/>
      <c r="N3838" s="20"/>
      <c r="O3838" s="20"/>
      <c r="P3838" s="20"/>
    </row>
    <row r="3839">
      <c r="A3839" s="10"/>
      <c r="B3839" s="11"/>
      <c r="C3839" s="10"/>
      <c r="D3839" s="13"/>
      <c r="E3839" s="14"/>
      <c r="F3839" s="14"/>
      <c r="G3839" s="14"/>
      <c r="H3839" s="10"/>
      <c r="I3839" s="17"/>
      <c r="J3839" s="10"/>
      <c r="K3839" s="46"/>
      <c r="L3839" s="10"/>
      <c r="M3839" s="20"/>
      <c r="N3839" s="20"/>
      <c r="O3839" s="20"/>
      <c r="P3839" s="20"/>
    </row>
    <row r="3840">
      <c r="A3840" s="23"/>
      <c r="B3840" s="21"/>
      <c r="C3840" s="23"/>
      <c r="D3840" s="24"/>
      <c r="E3840" s="14"/>
      <c r="F3840" s="14"/>
      <c r="G3840" s="14"/>
      <c r="H3840" s="23"/>
      <c r="I3840" s="27"/>
      <c r="J3840" s="23"/>
      <c r="K3840" s="30"/>
      <c r="L3840" s="23"/>
      <c r="M3840" s="20"/>
      <c r="N3840" s="20"/>
      <c r="O3840" s="20"/>
      <c r="P3840" s="20"/>
    </row>
    <row r="3841">
      <c r="A3841" s="10"/>
      <c r="B3841" s="11"/>
      <c r="C3841" s="10"/>
      <c r="D3841" s="13"/>
      <c r="E3841" s="14"/>
      <c r="F3841" s="14"/>
      <c r="G3841" s="14"/>
      <c r="H3841" s="10"/>
      <c r="I3841" s="17"/>
      <c r="J3841" s="10"/>
      <c r="K3841" s="46"/>
      <c r="L3841" s="10"/>
      <c r="M3841" s="20"/>
      <c r="N3841" s="20"/>
      <c r="O3841" s="20"/>
      <c r="P3841" s="20"/>
    </row>
    <row r="3842">
      <c r="A3842" s="23"/>
      <c r="B3842" s="21"/>
      <c r="C3842" s="23"/>
      <c r="D3842" s="24"/>
      <c r="E3842" s="14"/>
      <c r="F3842" s="14"/>
      <c r="G3842" s="14"/>
      <c r="H3842" s="23"/>
      <c r="I3842" s="27"/>
      <c r="J3842" s="23"/>
      <c r="K3842" s="30"/>
      <c r="L3842" s="23"/>
      <c r="M3842" s="20"/>
      <c r="N3842" s="20"/>
      <c r="O3842" s="20"/>
      <c r="P3842" s="20"/>
    </row>
    <row r="3843">
      <c r="A3843" s="10"/>
      <c r="B3843" s="11"/>
      <c r="C3843" s="10"/>
      <c r="D3843" s="13"/>
      <c r="E3843" s="14"/>
      <c r="F3843" s="14"/>
      <c r="G3843" s="14"/>
      <c r="H3843" s="10"/>
      <c r="I3843" s="17"/>
      <c r="J3843" s="10"/>
      <c r="K3843" s="46"/>
      <c r="L3843" s="10"/>
      <c r="M3843" s="20"/>
      <c r="N3843" s="20"/>
      <c r="O3843" s="20"/>
      <c r="P3843" s="20"/>
    </row>
    <row r="3844">
      <c r="A3844" s="23"/>
      <c r="B3844" s="21"/>
      <c r="C3844" s="23"/>
      <c r="D3844" s="24"/>
      <c r="E3844" s="14"/>
      <c r="F3844" s="14"/>
      <c r="G3844" s="14"/>
      <c r="H3844" s="23"/>
      <c r="I3844" s="27"/>
      <c r="J3844" s="23"/>
      <c r="K3844" s="30"/>
      <c r="L3844" s="23"/>
      <c r="M3844" s="20"/>
      <c r="N3844" s="20"/>
      <c r="O3844" s="20"/>
      <c r="P3844" s="20"/>
    </row>
    <row r="3845">
      <c r="A3845" s="10"/>
      <c r="B3845" s="11"/>
      <c r="C3845" s="10"/>
      <c r="D3845" s="13"/>
      <c r="E3845" s="14"/>
      <c r="F3845" s="14"/>
      <c r="G3845" s="14"/>
      <c r="H3845" s="10"/>
      <c r="I3845" s="17"/>
      <c r="J3845" s="10"/>
      <c r="K3845" s="46"/>
      <c r="L3845" s="10"/>
      <c r="M3845" s="20"/>
      <c r="N3845" s="20"/>
      <c r="O3845" s="20"/>
      <c r="P3845" s="20"/>
    </row>
    <row r="3846">
      <c r="A3846" s="23"/>
      <c r="B3846" s="21"/>
      <c r="C3846" s="23"/>
      <c r="D3846" s="24"/>
      <c r="E3846" s="14"/>
      <c r="F3846" s="14"/>
      <c r="G3846" s="14"/>
      <c r="H3846" s="23"/>
      <c r="I3846" s="27"/>
      <c r="J3846" s="23"/>
      <c r="K3846" s="30"/>
      <c r="L3846" s="23"/>
      <c r="M3846" s="20"/>
      <c r="N3846" s="20"/>
      <c r="O3846" s="20"/>
      <c r="P3846" s="20"/>
    </row>
    <row r="3847">
      <c r="A3847" s="10"/>
      <c r="B3847" s="11"/>
      <c r="C3847" s="10"/>
      <c r="D3847" s="13"/>
      <c r="E3847" s="14"/>
      <c r="F3847" s="14"/>
      <c r="G3847" s="14"/>
      <c r="H3847" s="10"/>
      <c r="I3847" s="17"/>
      <c r="J3847" s="10"/>
      <c r="K3847" s="46"/>
      <c r="L3847" s="10"/>
      <c r="M3847" s="20"/>
      <c r="N3847" s="20"/>
      <c r="O3847" s="20"/>
      <c r="P3847" s="20"/>
    </row>
    <row r="3848">
      <c r="A3848" s="23"/>
      <c r="B3848" s="21"/>
      <c r="C3848" s="23"/>
      <c r="D3848" s="24"/>
      <c r="E3848" s="14"/>
      <c r="F3848" s="14"/>
      <c r="G3848" s="14"/>
      <c r="H3848" s="23"/>
      <c r="I3848" s="27"/>
      <c r="J3848" s="23"/>
      <c r="K3848" s="30"/>
      <c r="L3848" s="23"/>
      <c r="M3848" s="20"/>
      <c r="N3848" s="20"/>
      <c r="O3848" s="20"/>
      <c r="P3848" s="20"/>
    </row>
    <row r="3849">
      <c r="A3849" s="10"/>
      <c r="B3849" s="11"/>
      <c r="C3849" s="10"/>
      <c r="D3849" s="13"/>
      <c r="E3849" s="14"/>
      <c r="F3849" s="14"/>
      <c r="G3849" s="14"/>
      <c r="H3849" s="10"/>
      <c r="I3849" s="17"/>
      <c r="J3849" s="10"/>
      <c r="K3849" s="46"/>
      <c r="L3849" s="10"/>
      <c r="M3849" s="20"/>
      <c r="N3849" s="20"/>
      <c r="O3849" s="20"/>
      <c r="P3849" s="20"/>
    </row>
    <row r="3850">
      <c r="A3850" s="23"/>
      <c r="B3850" s="21"/>
      <c r="C3850" s="23"/>
      <c r="D3850" s="24"/>
      <c r="E3850" s="14"/>
      <c r="F3850" s="14"/>
      <c r="G3850" s="14"/>
      <c r="H3850" s="23"/>
      <c r="I3850" s="27"/>
      <c r="J3850" s="23"/>
      <c r="K3850" s="30"/>
      <c r="L3850" s="23"/>
      <c r="M3850" s="20"/>
      <c r="N3850" s="20"/>
      <c r="O3850" s="20"/>
      <c r="P3850" s="20"/>
    </row>
    <row r="3851">
      <c r="A3851" s="10"/>
      <c r="B3851" s="11"/>
      <c r="C3851" s="10"/>
      <c r="D3851" s="13"/>
      <c r="E3851" s="14"/>
      <c r="F3851" s="14"/>
      <c r="G3851" s="14"/>
      <c r="H3851" s="10"/>
      <c r="I3851" s="17"/>
      <c r="J3851" s="10"/>
      <c r="K3851" s="46"/>
      <c r="L3851" s="10"/>
      <c r="M3851" s="20"/>
      <c r="N3851" s="20"/>
      <c r="O3851" s="20"/>
      <c r="P3851" s="20"/>
    </row>
    <row r="3852">
      <c r="A3852" s="23"/>
      <c r="B3852" s="21"/>
      <c r="C3852" s="23"/>
      <c r="D3852" s="24"/>
      <c r="E3852" s="14"/>
      <c r="F3852" s="14"/>
      <c r="G3852" s="14"/>
      <c r="H3852" s="23"/>
      <c r="I3852" s="27"/>
      <c r="J3852" s="23"/>
      <c r="K3852" s="30"/>
      <c r="L3852" s="23"/>
      <c r="M3852" s="20"/>
      <c r="N3852" s="20"/>
      <c r="O3852" s="20"/>
      <c r="P3852" s="20"/>
    </row>
    <row r="3853">
      <c r="A3853" s="10"/>
      <c r="B3853" s="11"/>
      <c r="C3853" s="10"/>
      <c r="D3853" s="13"/>
      <c r="E3853" s="14"/>
      <c r="F3853" s="14"/>
      <c r="G3853" s="14"/>
      <c r="H3853" s="10"/>
      <c r="I3853" s="17"/>
      <c r="J3853" s="10"/>
      <c r="K3853" s="46"/>
      <c r="L3853" s="10"/>
      <c r="M3853" s="20"/>
      <c r="N3853" s="20"/>
      <c r="O3853" s="20"/>
      <c r="P3853" s="20"/>
    </row>
    <row r="3854">
      <c r="A3854" s="23"/>
      <c r="B3854" s="21"/>
      <c r="C3854" s="23"/>
      <c r="D3854" s="24"/>
      <c r="E3854" s="14"/>
      <c r="F3854" s="14"/>
      <c r="G3854" s="14"/>
      <c r="H3854" s="23"/>
      <c r="I3854" s="27"/>
      <c r="J3854" s="23"/>
      <c r="K3854" s="30"/>
      <c r="L3854" s="23"/>
      <c r="M3854" s="20"/>
      <c r="N3854" s="20"/>
      <c r="O3854" s="20"/>
      <c r="P3854" s="20"/>
    </row>
    <row r="3855">
      <c r="A3855" s="10"/>
      <c r="B3855" s="11"/>
      <c r="C3855" s="10"/>
      <c r="D3855" s="13"/>
      <c r="E3855" s="14"/>
      <c r="F3855" s="14"/>
      <c r="G3855" s="14"/>
      <c r="H3855" s="10"/>
      <c r="I3855" s="17"/>
      <c r="J3855" s="10"/>
      <c r="K3855" s="46"/>
      <c r="L3855" s="10"/>
      <c r="M3855" s="20"/>
      <c r="N3855" s="20"/>
      <c r="O3855" s="20"/>
      <c r="P3855" s="20"/>
    </row>
    <row r="3856">
      <c r="A3856" s="23"/>
      <c r="B3856" s="21"/>
      <c r="C3856" s="23"/>
      <c r="D3856" s="24"/>
      <c r="E3856" s="14"/>
      <c r="F3856" s="14"/>
      <c r="G3856" s="14"/>
      <c r="H3856" s="23"/>
      <c r="I3856" s="27"/>
      <c r="J3856" s="23"/>
      <c r="K3856" s="30"/>
      <c r="L3856" s="23"/>
      <c r="M3856" s="20"/>
      <c r="N3856" s="20"/>
      <c r="O3856" s="20"/>
      <c r="P3856" s="20"/>
    </row>
    <row r="3857">
      <c r="A3857" s="10"/>
      <c r="B3857" s="11"/>
      <c r="C3857" s="10"/>
      <c r="D3857" s="13"/>
      <c r="E3857" s="14"/>
      <c r="F3857" s="14"/>
      <c r="G3857" s="14"/>
      <c r="H3857" s="10"/>
      <c r="I3857" s="17"/>
      <c r="J3857" s="10"/>
      <c r="K3857" s="46"/>
      <c r="L3857" s="10"/>
      <c r="M3857" s="20"/>
      <c r="N3857" s="20"/>
      <c r="O3857" s="20"/>
      <c r="P3857" s="20"/>
    </row>
    <row r="3858">
      <c r="A3858" s="23"/>
      <c r="B3858" s="21"/>
      <c r="C3858" s="23"/>
      <c r="D3858" s="24"/>
      <c r="E3858" s="14"/>
      <c r="F3858" s="14"/>
      <c r="G3858" s="14"/>
      <c r="H3858" s="23"/>
      <c r="I3858" s="27"/>
      <c r="J3858" s="23"/>
      <c r="K3858" s="30"/>
      <c r="L3858" s="23"/>
      <c r="M3858" s="20"/>
      <c r="N3858" s="20"/>
      <c r="O3858" s="20"/>
      <c r="P3858" s="20"/>
    </row>
    <row r="3859">
      <c r="A3859" s="10"/>
      <c r="B3859" s="11"/>
      <c r="C3859" s="10"/>
      <c r="D3859" s="13"/>
      <c r="E3859" s="14"/>
      <c r="F3859" s="14"/>
      <c r="G3859" s="14"/>
      <c r="H3859" s="10"/>
      <c r="I3859" s="17"/>
      <c r="J3859" s="10"/>
      <c r="K3859" s="46"/>
      <c r="L3859" s="10"/>
      <c r="M3859" s="20"/>
      <c r="N3859" s="20"/>
      <c r="O3859" s="20"/>
      <c r="P3859" s="20"/>
    </row>
    <row r="3860">
      <c r="A3860" s="23"/>
      <c r="B3860" s="21"/>
      <c r="C3860" s="23"/>
      <c r="D3860" s="24"/>
      <c r="E3860" s="14"/>
      <c r="F3860" s="14"/>
      <c r="G3860" s="14"/>
      <c r="H3860" s="23"/>
      <c r="I3860" s="27"/>
      <c r="J3860" s="23"/>
      <c r="K3860" s="30"/>
      <c r="L3860" s="23"/>
      <c r="M3860" s="20"/>
      <c r="N3860" s="20"/>
      <c r="O3860" s="20"/>
      <c r="P3860" s="20"/>
    </row>
    <row r="3861">
      <c r="A3861" s="10"/>
      <c r="B3861" s="11"/>
      <c r="C3861" s="10"/>
      <c r="D3861" s="13"/>
      <c r="E3861" s="14"/>
      <c r="F3861" s="14"/>
      <c r="G3861" s="14"/>
      <c r="H3861" s="10"/>
      <c r="I3861" s="17"/>
      <c r="J3861" s="10"/>
      <c r="K3861" s="46"/>
      <c r="L3861" s="10"/>
      <c r="M3861" s="20"/>
      <c r="N3861" s="20"/>
      <c r="O3861" s="20"/>
      <c r="P3861" s="20"/>
    </row>
    <row r="3862">
      <c r="A3862" s="23"/>
      <c r="B3862" s="21"/>
      <c r="C3862" s="23"/>
      <c r="D3862" s="24"/>
      <c r="E3862" s="14"/>
      <c r="F3862" s="14"/>
      <c r="G3862" s="14"/>
      <c r="H3862" s="23"/>
      <c r="I3862" s="27"/>
      <c r="J3862" s="23"/>
      <c r="K3862" s="30"/>
      <c r="L3862" s="23"/>
      <c r="M3862" s="20"/>
      <c r="N3862" s="20"/>
      <c r="O3862" s="20"/>
      <c r="P3862" s="20"/>
    </row>
    <row r="3863">
      <c r="A3863" s="10"/>
      <c r="B3863" s="11"/>
      <c r="C3863" s="10"/>
      <c r="D3863" s="13"/>
      <c r="E3863" s="14"/>
      <c r="F3863" s="14"/>
      <c r="G3863" s="14"/>
      <c r="H3863" s="10"/>
      <c r="I3863" s="17"/>
      <c r="J3863" s="10"/>
      <c r="K3863" s="46"/>
      <c r="L3863" s="10"/>
      <c r="M3863" s="20"/>
      <c r="N3863" s="20"/>
      <c r="O3863" s="20"/>
      <c r="P3863" s="20"/>
    </row>
    <row r="3864">
      <c r="A3864" s="23"/>
      <c r="B3864" s="21"/>
      <c r="C3864" s="23"/>
      <c r="D3864" s="24"/>
      <c r="E3864" s="14"/>
      <c r="F3864" s="14"/>
      <c r="G3864" s="14"/>
      <c r="H3864" s="23"/>
      <c r="I3864" s="27"/>
      <c r="J3864" s="23"/>
      <c r="K3864" s="30"/>
      <c r="L3864" s="23"/>
      <c r="M3864" s="20"/>
      <c r="N3864" s="20"/>
      <c r="O3864" s="20"/>
      <c r="P3864" s="20"/>
    </row>
    <row r="3865">
      <c r="A3865" s="10"/>
      <c r="B3865" s="11"/>
      <c r="C3865" s="10"/>
      <c r="D3865" s="13"/>
      <c r="E3865" s="14"/>
      <c r="F3865" s="14"/>
      <c r="G3865" s="14"/>
      <c r="H3865" s="10"/>
      <c r="I3865" s="17"/>
      <c r="J3865" s="10"/>
      <c r="K3865" s="46"/>
      <c r="L3865" s="10"/>
      <c r="M3865" s="20"/>
      <c r="N3865" s="20"/>
      <c r="O3865" s="20"/>
      <c r="P3865" s="20"/>
    </row>
    <row r="3866">
      <c r="A3866" s="23"/>
      <c r="B3866" s="21"/>
      <c r="C3866" s="23"/>
      <c r="D3866" s="24"/>
      <c r="E3866" s="14"/>
      <c r="F3866" s="14"/>
      <c r="G3866" s="14"/>
      <c r="H3866" s="23"/>
      <c r="I3866" s="27"/>
      <c r="J3866" s="23"/>
      <c r="K3866" s="30"/>
      <c r="L3866" s="23"/>
      <c r="M3866" s="20"/>
      <c r="N3866" s="20"/>
      <c r="O3866" s="20"/>
      <c r="P3866" s="20"/>
    </row>
    <row r="3867">
      <c r="A3867" s="10"/>
      <c r="B3867" s="11"/>
      <c r="C3867" s="10"/>
      <c r="D3867" s="13"/>
      <c r="E3867" s="14"/>
      <c r="F3867" s="14"/>
      <c r="G3867" s="14"/>
      <c r="H3867" s="10"/>
      <c r="I3867" s="17"/>
      <c r="J3867" s="10"/>
      <c r="K3867" s="46"/>
      <c r="L3867" s="10"/>
      <c r="M3867" s="20"/>
      <c r="N3867" s="20"/>
      <c r="O3867" s="20"/>
      <c r="P3867" s="20"/>
    </row>
    <row r="3868">
      <c r="A3868" s="23"/>
      <c r="B3868" s="21"/>
      <c r="C3868" s="23"/>
      <c r="D3868" s="24"/>
      <c r="E3868" s="14"/>
      <c r="F3868" s="14"/>
      <c r="G3868" s="14"/>
      <c r="H3868" s="23"/>
      <c r="I3868" s="27"/>
      <c r="J3868" s="23"/>
      <c r="K3868" s="30"/>
      <c r="L3868" s="23"/>
      <c r="M3868" s="20"/>
      <c r="N3868" s="20"/>
      <c r="O3868" s="20"/>
      <c r="P3868" s="20"/>
    </row>
    <row r="3869">
      <c r="A3869" s="10"/>
      <c r="B3869" s="11"/>
      <c r="C3869" s="10"/>
      <c r="D3869" s="13"/>
      <c r="E3869" s="14"/>
      <c r="F3869" s="14"/>
      <c r="G3869" s="14"/>
      <c r="H3869" s="10"/>
      <c r="I3869" s="17"/>
      <c r="J3869" s="10"/>
      <c r="K3869" s="46"/>
      <c r="L3869" s="10"/>
      <c r="M3869" s="20"/>
      <c r="N3869" s="20"/>
      <c r="O3869" s="20"/>
      <c r="P3869" s="20"/>
    </row>
    <row r="3870">
      <c r="A3870" s="23"/>
      <c r="B3870" s="21"/>
      <c r="C3870" s="23"/>
      <c r="D3870" s="24"/>
      <c r="E3870" s="14"/>
      <c r="F3870" s="14"/>
      <c r="G3870" s="14"/>
      <c r="H3870" s="23"/>
      <c r="I3870" s="27"/>
      <c r="J3870" s="23"/>
      <c r="K3870" s="30"/>
      <c r="L3870" s="23"/>
      <c r="M3870" s="20"/>
      <c r="N3870" s="20"/>
      <c r="O3870" s="20"/>
      <c r="P3870" s="20"/>
    </row>
    <row r="3871">
      <c r="A3871" s="10"/>
      <c r="B3871" s="11"/>
      <c r="C3871" s="10"/>
      <c r="D3871" s="13"/>
      <c r="E3871" s="14"/>
      <c r="F3871" s="14"/>
      <c r="G3871" s="14"/>
      <c r="H3871" s="10"/>
      <c r="I3871" s="17"/>
      <c r="J3871" s="10"/>
      <c r="K3871" s="46"/>
      <c r="L3871" s="10"/>
      <c r="M3871" s="20"/>
      <c r="N3871" s="20"/>
      <c r="O3871" s="20"/>
      <c r="P3871" s="20"/>
    </row>
    <row r="3872">
      <c r="A3872" s="23"/>
      <c r="B3872" s="21"/>
      <c r="C3872" s="23"/>
      <c r="D3872" s="24"/>
      <c r="E3872" s="14"/>
      <c r="F3872" s="14"/>
      <c r="G3872" s="14"/>
      <c r="H3872" s="23"/>
      <c r="I3872" s="27"/>
      <c r="J3872" s="23"/>
      <c r="K3872" s="30"/>
      <c r="L3872" s="23"/>
      <c r="M3872" s="20"/>
      <c r="N3872" s="20"/>
      <c r="O3872" s="20"/>
      <c r="P3872" s="20"/>
    </row>
    <row r="3873">
      <c r="A3873" s="10"/>
      <c r="B3873" s="11"/>
      <c r="C3873" s="10"/>
      <c r="D3873" s="13"/>
      <c r="E3873" s="14"/>
      <c r="F3873" s="14"/>
      <c r="G3873" s="14"/>
      <c r="H3873" s="10"/>
      <c r="I3873" s="17"/>
      <c r="J3873" s="10"/>
      <c r="K3873" s="46"/>
      <c r="L3873" s="10"/>
      <c r="M3873" s="20"/>
      <c r="N3873" s="20"/>
      <c r="O3873" s="20"/>
      <c r="P3873" s="20"/>
    </row>
    <row r="3874">
      <c r="A3874" s="23"/>
      <c r="B3874" s="21"/>
      <c r="C3874" s="23"/>
      <c r="D3874" s="24"/>
      <c r="E3874" s="14"/>
      <c r="F3874" s="14"/>
      <c r="G3874" s="14"/>
      <c r="H3874" s="23"/>
      <c r="I3874" s="27"/>
      <c r="J3874" s="23"/>
      <c r="K3874" s="30"/>
      <c r="L3874" s="23"/>
      <c r="M3874" s="20"/>
      <c r="N3874" s="20"/>
      <c r="O3874" s="20"/>
      <c r="P3874" s="20"/>
    </row>
    <row r="3875">
      <c r="A3875" s="10"/>
      <c r="B3875" s="11"/>
      <c r="C3875" s="10"/>
      <c r="D3875" s="13"/>
      <c r="E3875" s="14"/>
      <c r="F3875" s="14"/>
      <c r="G3875" s="14"/>
      <c r="H3875" s="10"/>
      <c r="I3875" s="17"/>
      <c r="J3875" s="10"/>
      <c r="K3875" s="46"/>
      <c r="L3875" s="10"/>
      <c r="M3875" s="20"/>
      <c r="N3875" s="20"/>
      <c r="O3875" s="20"/>
      <c r="P3875" s="20"/>
    </row>
    <row r="3876">
      <c r="A3876" s="23"/>
      <c r="B3876" s="21"/>
      <c r="C3876" s="23"/>
      <c r="D3876" s="24"/>
      <c r="E3876" s="14"/>
      <c r="F3876" s="14"/>
      <c r="G3876" s="14"/>
      <c r="H3876" s="23"/>
      <c r="I3876" s="27"/>
      <c r="J3876" s="23"/>
      <c r="K3876" s="30"/>
      <c r="L3876" s="23"/>
      <c r="M3876" s="20"/>
      <c r="N3876" s="20"/>
      <c r="O3876" s="20"/>
      <c r="P3876" s="20"/>
    </row>
    <row r="3877">
      <c r="A3877" s="10"/>
      <c r="B3877" s="11"/>
      <c r="C3877" s="10"/>
      <c r="D3877" s="13"/>
      <c r="E3877" s="14"/>
      <c r="F3877" s="14"/>
      <c r="G3877" s="14"/>
      <c r="H3877" s="10"/>
      <c r="I3877" s="17"/>
      <c r="J3877" s="10"/>
      <c r="K3877" s="46"/>
      <c r="L3877" s="10"/>
      <c r="M3877" s="20"/>
      <c r="N3877" s="20"/>
      <c r="O3877" s="20"/>
      <c r="P3877" s="20"/>
    </row>
    <row r="3878">
      <c r="A3878" s="23"/>
      <c r="B3878" s="21"/>
      <c r="C3878" s="23"/>
      <c r="D3878" s="24"/>
      <c r="E3878" s="14"/>
      <c r="F3878" s="14"/>
      <c r="G3878" s="14"/>
      <c r="H3878" s="23"/>
      <c r="I3878" s="27"/>
      <c r="J3878" s="23"/>
      <c r="K3878" s="30"/>
      <c r="L3878" s="23"/>
      <c r="M3878" s="20"/>
      <c r="N3878" s="20"/>
      <c r="O3878" s="20"/>
      <c r="P3878" s="20"/>
    </row>
    <row r="3879">
      <c r="A3879" s="10"/>
      <c r="B3879" s="11"/>
      <c r="C3879" s="10"/>
      <c r="D3879" s="13"/>
      <c r="E3879" s="14"/>
      <c r="F3879" s="14"/>
      <c r="G3879" s="14"/>
      <c r="H3879" s="10"/>
      <c r="I3879" s="17"/>
      <c r="J3879" s="10"/>
      <c r="K3879" s="46"/>
      <c r="L3879" s="10"/>
      <c r="M3879" s="20"/>
      <c r="N3879" s="20"/>
      <c r="O3879" s="20"/>
      <c r="P3879" s="20"/>
    </row>
    <row r="3880">
      <c r="A3880" s="23"/>
      <c r="B3880" s="21"/>
      <c r="C3880" s="23"/>
      <c r="D3880" s="24"/>
      <c r="E3880" s="14"/>
      <c r="F3880" s="14"/>
      <c r="G3880" s="14"/>
      <c r="H3880" s="23"/>
      <c r="I3880" s="27"/>
      <c r="J3880" s="23"/>
      <c r="K3880" s="30"/>
      <c r="L3880" s="23"/>
      <c r="M3880" s="20"/>
      <c r="N3880" s="20"/>
      <c r="O3880" s="20"/>
      <c r="P3880" s="20"/>
    </row>
    <row r="3881">
      <c r="A3881" s="10"/>
      <c r="B3881" s="11"/>
      <c r="C3881" s="10"/>
      <c r="D3881" s="13"/>
      <c r="E3881" s="14"/>
      <c r="F3881" s="14"/>
      <c r="G3881" s="14"/>
      <c r="H3881" s="10"/>
      <c r="I3881" s="17"/>
      <c r="J3881" s="10"/>
      <c r="K3881" s="46"/>
      <c r="L3881" s="10"/>
      <c r="M3881" s="20"/>
      <c r="N3881" s="20"/>
      <c r="O3881" s="20"/>
      <c r="P3881" s="20"/>
    </row>
    <row r="3882">
      <c r="A3882" s="23"/>
      <c r="B3882" s="21"/>
      <c r="C3882" s="23"/>
      <c r="D3882" s="24"/>
      <c r="E3882" s="14"/>
      <c r="F3882" s="14"/>
      <c r="G3882" s="14"/>
      <c r="H3882" s="23"/>
      <c r="I3882" s="27"/>
      <c r="J3882" s="23"/>
      <c r="K3882" s="30"/>
      <c r="L3882" s="23"/>
      <c r="M3882" s="20"/>
      <c r="N3882" s="20"/>
      <c r="O3882" s="20"/>
      <c r="P3882" s="20"/>
    </row>
    <row r="3883">
      <c r="A3883" s="10"/>
      <c r="B3883" s="11"/>
      <c r="C3883" s="10"/>
      <c r="D3883" s="13"/>
      <c r="E3883" s="14"/>
      <c r="F3883" s="14"/>
      <c r="G3883" s="14"/>
      <c r="H3883" s="10"/>
      <c r="I3883" s="17"/>
      <c r="J3883" s="10"/>
      <c r="K3883" s="46"/>
      <c r="L3883" s="10"/>
      <c r="M3883" s="20"/>
      <c r="N3883" s="20"/>
      <c r="O3883" s="20"/>
      <c r="P3883" s="20"/>
    </row>
    <row r="3884">
      <c r="A3884" s="23"/>
      <c r="B3884" s="21"/>
      <c r="C3884" s="23"/>
      <c r="D3884" s="24"/>
      <c r="E3884" s="14"/>
      <c r="F3884" s="14"/>
      <c r="G3884" s="14"/>
      <c r="H3884" s="23"/>
      <c r="I3884" s="27"/>
      <c r="J3884" s="23"/>
      <c r="K3884" s="30"/>
      <c r="L3884" s="23"/>
      <c r="M3884" s="20"/>
      <c r="N3884" s="20"/>
      <c r="O3884" s="20"/>
      <c r="P3884" s="20"/>
    </row>
    <row r="3885">
      <c r="A3885" s="10"/>
      <c r="B3885" s="11"/>
      <c r="C3885" s="10"/>
      <c r="D3885" s="13"/>
      <c r="E3885" s="14"/>
      <c r="F3885" s="14"/>
      <c r="G3885" s="14"/>
      <c r="H3885" s="10"/>
      <c r="I3885" s="17"/>
      <c r="J3885" s="10"/>
      <c r="K3885" s="46"/>
      <c r="L3885" s="10"/>
      <c r="M3885" s="20"/>
      <c r="N3885" s="20"/>
      <c r="O3885" s="20"/>
      <c r="P3885" s="20"/>
    </row>
    <row r="3886">
      <c r="A3886" s="23"/>
      <c r="B3886" s="21"/>
      <c r="C3886" s="23"/>
      <c r="D3886" s="24"/>
      <c r="E3886" s="14"/>
      <c r="F3886" s="14"/>
      <c r="G3886" s="14"/>
      <c r="H3886" s="23"/>
      <c r="I3886" s="27"/>
      <c r="J3886" s="23"/>
      <c r="K3886" s="30"/>
      <c r="L3886" s="23"/>
      <c r="M3886" s="20"/>
      <c r="N3886" s="20"/>
      <c r="O3886" s="20"/>
      <c r="P3886" s="20"/>
    </row>
    <row r="3887">
      <c r="A3887" s="10"/>
      <c r="B3887" s="11"/>
      <c r="C3887" s="10"/>
      <c r="D3887" s="13"/>
      <c r="E3887" s="14"/>
      <c r="F3887" s="14"/>
      <c r="G3887" s="14"/>
      <c r="H3887" s="10"/>
      <c r="I3887" s="17"/>
      <c r="J3887" s="10"/>
      <c r="K3887" s="46"/>
      <c r="L3887" s="10"/>
      <c r="M3887" s="20"/>
      <c r="N3887" s="20"/>
      <c r="O3887" s="20"/>
      <c r="P3887" s="20"/>
    </row>
    <row r="3888">
      <c r="A3888" s="23"/>
      <c r="B3888" s="21"/>
      <c r="C3888" s="23"/>
      <c r="D3888" s="24"/>
      <c r="E3888" s="14"/>
      <c r="F3888" s="14"/>
      <c r="G3888" s="14"/>
      <c r="H3888" s="23"/>
      <c r="I3888" s="27"/>
      <c r="J3888" s="23"/>
      <c r="K3888" s="30"/>
      <c r="L3888" s="23"/>
      <c r="M3888" s="20"/>
      <c r="N3888" s="20"/>
      <c r="O3888" s="20"/>
      <c r="P3888" s="20"/>
    </row>
    <row r="3889">
      <c r="A3889" s="10"/>
      <c r="B3889" s="11"/>
      <c r="C3889" s="10"/>
      <c r="D3889" s="13"/>
      <c r="E3889" s="14"/>
      <c r="F3889" s="14"/>
      <c r="G3889" s="14"/>
      <c r="H3889" s="10"/>
      <c r="I3889" s="17"/>
      <c r="J3889" s="10"/>
      <c r="K3889" s="46"/>
      <c r="L3889" s="10"/>
      <c r="M3889" s="20"/>
      <c r="N3889" s="20"/>
      <c r="O3889" s="20"/>
      <c r="P3889" s="20"/>
    </row>
    <row r="3890">
      <c r="A3890" s="23"/>
      <c r="B3890" s="21"/>
      <c r="C3890" s="23"/>
      <c r="D3890" s="24"/>
      <c r="E3890" s="14"/>
      <c r="F3890" s="14"/>
      <c r="G3890" s="14"/>
      <c r="H3890" s="23"/>
      <c r="I3890" s="27"/>
      <c r="J3890" s="23"/>
      <c r="K3890" s="30"/>
      <c r="L3890" s="23"/>
      <c r="M3890" s="20"/>
      <c r="N3890" s="20"/>
      <c r="O3890" s="20"/>
      <c r="P3890" s="20"/>
    </row>
    <row r="3891">
      <c r="A3891" s="10"/>
      <c r="B3891" s="11"/>
      <c r="C3891" s="10"/>
      <c r="D3891" s="13"/>
      <c r="E3891" s="14"/>
      <c r="F3891" s="14"/>
      <c r="G3891" s="14"/>
      <c r="H3891" s="10"/>
      <c r="I3891" s="17"/>
      <c r="J3891" s="10"/>
      <c r="K3891" s="46"/>
      <c r="L3891" s="10"/>
      <c r="M3891" s="20"/>
      <c r="N3891" s="20"/>
      <c r="O3891" s="20"/>
      <c r="P3891" s="20"/>
    </row>
    <row r="3892">
      <c r="A3892" s="23"/>
      <c r="B3892" s="21"/>
      <c r="C3892" s="23"/>
      <c r="D3892" s="24"/>
      <c r="E3892" s="14"/>
      <c r="F3892" s="14"/>
      <c r="G3892" s="14"/>
      <c r="H3892" s="23"/>
      <c r="I3892" s="27"/>
      <c r="J3892" s="23"/>
      <c r="K3892" s="30"/>
      <c r="L3892" s="23"/>
      <c r="M3892" s="20"/>
      <c r="N3892" s="20"/>
      <c r="O3892" s="20"/>
      <c r="P3892" s="20"/>
    </row>
    <row r="3893">
      <c r="A3893" s="10"/>
      <c r="B3893" s="11"/>
      <c r="C3893" s="10"/>
      <c r="D3893" s="13"/>
      <c r="E3893" s="14"/>
      <c r="F3893" s="14"/>
      <c r="G3893" s="14"/>
      <c r="H3893" s="10"/>
      <c r="I3893" s="17"/>
      <c r="J3893" s="10"/>
      <c r="K3893" s="46"/>
      <c r="L3893" s="10"/>
      <c r="M3893" s="20"/>
      <c r="N3893" s="20"/>
      <c r="O3893" s="20"/>
      <c r="P3893" s="20"/>
    </row>
    <row r="3894">
      <c r="A3894" s="23"/>
      <c r="B3894" s="21"/>
      <c r="C3894" s="23"/>
      <c r="D3894" s="24"/>
      <c r="E3894" s="14"/>
      <c r="F3894" s="14"/>
      <c r="G3894" s="14"/>
      <c r="H3894" s="23"/>
      <c r="I3894" s="27"/>
      <c r="J3894" s="23"/>
      <c r="K3894" s="30"/>
      <c r="L3894" s="23"/>
      <c r="M3894" s="20"/>
      <c r="N3894" s="20"/>
      <c r="O3894" s="20"/>
      <c r="P3894" s="20"/>
    </row>
    <row r="3895">
      <c r="A3895" s="10"/>
      <c r="B3895" s="11"/>
      <c r="C3895" s="10"/>
      <c r="D3895" s="13"/>
      <c r="E3895" s="14"/>
      <c r="F3895" s="14"/>
      <c r="G3895" s="14"/>
      <c r="H3895" s="10"/>
      <c r="I3895" s="17"/>
      <c r="J3895" s="10"/>
      <c r="K3895" s="46"/>
      <c r="L3895" s="10"/>
      <c r="M3895" s="20"/>
      <c r="N3895" s="20"/>
      <c r="O3895" s="20"/>
      <c r="P3895" s="20"/>
    </row>
    <row r="3896">
      <c r="A3896" s="23"/>
      <c r="B3896" s="21"/>
      <c r="C3896" s="23"/>
      <c r="D3896" s="24"/>
      <c r="E3896" s="14"/>
      <c r="F3896" s="14"/>
      <c r="G3896" s="14"/>
      <c r="H3896" s="23"/>
      <c r="I3896" s="27"/>
      <c r="J3896" s="23"/>
      <c r="K3896" s="30"/>
      <c r="L3896" s="23"/>
      <c r="M3896" s="20"/>
      <c r="N3896" s="20"/>
      <c r="O3896" s="20"/>
      <c r="P3896" s="20"/>
    </row>
    <row r="3897">
      <c r="A3897" s="10"/>
      <c r="B3897" s="11"/>
      <c r="C3897" s="10"/>
      <c r="D3897" s="13"/>
      <c r="E3897" s="14"/>
      <c r="F3897" s="14"/>
      <c r="G3897" s="14"/>
      <c r="H3897" s="10"/>
      <c r="I3897" s="17"/>
      <c r="J3897" s="10"/>
      <c r="K3897" s="46"/>
      <c r="L3897" s="10"/>
      <c r="M3897" s="20"/>
      <c r="N3897" s="20"/>
      <c r="O3897" s="20"/>
      <c r="P3897" s="20"/>
    </row>
    <row r="3898">
      <c r="A3898" s="23"/>
      <c r="B3898" s="21"/>
      <c r="C3898" s="23"/>
      <c r="D3898" s="24"/>
      <c r="E3898" s="14"/>
      <c r="F3898" s="14"/>
      <c r="G3898" s="14"/>
      <c r="H3898" s="23"/>
      <c r="I3898" s="27"/>
      <c r="J3898" s="23"/>
      <c r="K3898" s="30"/>
      <c r="L3898" s="23"/>
      <c r="M3898" s="20"/>
      <c r="N3898" s="20"/>
      <c r="O3898" s="20"/>
      <c r="P3898" s="20"/>
    </row>
    <row r="3899">
      <c r="A3899" s="10"/>
      <c r="B3899" s="11"/>
      <c r="C3899" s="10"/>
      <c r="D3899" s="13"/>
      <c r="E3899" s="14"/>
      <c r="F3899" s="14"/>
      <c r="G3899" s="14"/>
      <c r="H3899" s="10"/>
      <c r="I3899" s="17"/>
      <c r="J3899" s="10"/>
      <c r="K3899" s="46"/>
      <c r="L3899" s="10"/>
      <c r="M3899" s="20"/>
      <c r="N3899" s="20"/>
      <c r="O3899" s="20"/>
      <c r="P3899" s="20"/>
    </row>
    <row r="3900">
      <c r="A3900" s="23"/>
      <c r="B3900" s="21"/>
      <c r="C3900" s="23"/>
      <c r="D3900" s="24"/>
      <c r="E3900" s="14"/>
      <c r="F3900" s="14"/>
      <c r="G3900" s="14"/>
      <c r="H3900" s="23"/>
      <c r="I3900" s="27"/>
      <c r="J3900" s="23"/>
      <c r="K3900" s="30"/>
      <c r="L3900" s="23"/>
      <c r="M3900" s="20"/>
      <c r="N3900" s="20"/>
      <c r="O3900" s="20"/>
      <c r="P3900" s="20"/>
    </row>
    <row r="3901">
      <c r="A3901" s="10"/>
      <c r="B3901" s="11"/>
      <c r="C3901" s="10"/>
      <c r="D3901" s="13"/>
      <c r="E3901" s="14"/>
      <c r="F3901" s="14"/>
      <c r="G3901" s="14"/>
      <c r="H3901" s="10"/>
      <c r="I3901" s="17"/>
      <c r="J3901" s="10"/>
      <c r="K3901" s="46"/>
      <c r="L3901" s="10"/>
      <c r="M3901" s="20"/>
      <c r="N3901" s="20"/>
      <c r="O3901" s="20"/>
      <c r="P3901" s="20"/>
    </row>
    <row r="3902">
      <c r="A3902" s="23"/>
      <c r="B3902" s="21"/>
      <c r="C3902" s="23"/>
      <c r="D3902" s="24"/>
      <c r="E3902" s="14"/>
      <c r="F3902" s="14"/>
      <c r="G3902" s="14"/>
      <c r="H3902" s="23"/>
      <c r="I3902" s="27"/>
      <c r="J3902" s="23"/>
      <c r="K3902" s="30"/>
      <c r="L3902" s="23"/>
      <c r="M3902" s="20"/>
      <c r="N3902" s="20"/>
      <c r="O3902" s="20"/>
      <c r="P3902" s="20"/>
    </row>
    <row r="3903">
      <c r="A3903" s="10"/>
      <c r="B3903" s="11"/>
      <c r="C3903" s="10"/>
      <c r="D3903" s="13"/>
      <c r="E3903" s="14"/>
      <c r="F3903" s="14"/>
      <c r="G3903" s="14"/>
      <c r="H3903" s="10"/>
      <c r="I3903" s="17"/>
      <c r="J3903" s="10"/>
      <c r="K3903" s="46"/>
      <c r="L3903" s="10"/>
      <c r="M3903" s="20"/>
      <c r="N3903" s="20"/>
      <c r="O3903" s="20"/>
      <c r="P3903" s="20"/>
    </row>
    <row r="3904">
      <c r="A3904" s="23"/>
      <c r="B3904" s="21"/>
      <c r="C3904" s="23"/>
      <c r="D3904" s="24"/>
      <c r="E3904" s="14"/>
      <c r="F3904" s="14"/>
      <c r="G3904" s="14"/>
      <c r="H3904" s="23"/>
      <c r="I3904" s="27"/>
      <c r="J3904" s="23"/>
      <c r="K3904" s="30"/>
      <c r="L3904" s="23"/>
      <c r="M3904" s="20"/>
      <c r="N3904" s="20"/>
      <c r="O3904" s="20"/>
      <c r="P3904" s="20"/>
    </row>
    <row r="3905">
      <c r="A3905" s="10"/>
      <c r="B3905" s="11"/>
      <c r="C3905" s="10"/>
      <c r="D3905" s="13"/>
      <c r="E3905" s="14"/>
      <c r="F3905" s="14"/>
      <c r="G3905" s="14"/>
      <c r="H3905" s="10"/>
      <c r="I3905" s="17"/>
      <c r="J3905" s="10"/>
      <c r="K3905" s="46"/>
      <c r="L3905" s="10"/>
      <c r="M3905" s="20"/>
      <c r="N3905" s="20"/>
      <c r="O3905" s="20"/>
      <c r="P3905" s="20"/>
    </row>
    <row r="3906">
      <c r="A3906" s="23"/>
      <c r="B3906" s="21"/>
      <c r="C3906" s="23"/>
      <c r="D3906" s="24"/>
      <c r="E3906" s="14"/>
      <c r="F3906" s="14"/>
      <c r="G3906" s="14"/>
      <c r="H3906" s="23"/>
      <c r="I3906" s="27"/>
      <c r="J3906" s="23"/>
      <c r="K3906" s="30"/>
      <c r="L3906" s="23"/>
      <c r="M3906" s="20"/>
      <c r="N3906" s="20"/>
      <c r="O3906" s="20"/>
      <c r="P3906" s="20"/>
    </row>
    <row r="3907">
      <c r="A3907" s="10"/>
      <c r="B3907" s="11"/>
      <c r="C3907" s="10"/>
      <c r="D3907" s="13"/>
      <c r="E3907" s="14"/>
      <c r="F3907" s="14"/>
      <c r="G3907" s="14"/>
      <c r="H3907" s="10"/>
      <c r="I3907" s="17"/>
      <c r="J3907" s="10"/>
      <c r="K3907" s="46"/>
      <c r="L3907" s="10"/>
      <c r="M3907" s="20"/>
      <c r="N3907" s="20"/>
      <c r="O3907" s="20"/>
      <c r="P3907" s="20"/>
    </row>
    <row r="3908">
      <c r="A3908" s="23"/>
      <c r="B3908" s="21"/>
      <c r="C3908" s="23"/>
      <c r="D3908" s="24"/>
      <c r="E3908" s="14"/>
      <c r="F3908" s="14"/>
      <c r="G3908" s="14"/>
      <c r="H3908" s="23"/>
      <c r="I3908" s="27"/>
      <c r="J3908" s="23"/>
      <c r="K3908" s="30"/>
      <c r="L3908" s="23"/>
      <c r="M3908" s="20"/>
      <c r="N3908" s="20"/>
      <c r="O3908" s="20"/>
      <c r="P3908" s="20"/>
    </row>
    <row r="3909">
      <c r="A3909" s="10"/>
      <c r="B3909" s="11"/>
      <c r="C3909" s="10"/>
      <c r="D3909" s="13"/>
      <c r="E3909" s="14"/>
      <c r="F3909" s="14"/>
      <c r="G3909" s="14"/>
      <c r="H3909" s="10"/>
      <c r="I3909" s="17"/>
      <c r="J3909" s="10"/>
      <c r="K3909" s="46"/>
      <c r="L3909" s="10"/>
      <c r="M3909" s="20"/>
      <c r="N3909" s="20"/>
      <c r="O3909" s="20"/>
      <c r="P3909" s="20"/>
    </row>
    <row r="3910">
      <c r="A3910" s="23"/>
      <c r="B3910" s="21"/>
      <c r="C3910" s="23"/>
      <c r="D3910" s="24"/>
      <c r="E3910" s="14"/>
      <c r="F3910" s="14"/>
      <c r="G3910" s="14"/>
      <c r="H3910" s="23"/>
      <c r="I3910" s="27"/>
      <c r="J3910" s="23"/>
      <c r="K3910" s="30"/>
      <c r="L3910" s="23"/>
      <c r="M3910" s="20"/>
      <c r="N3910" s="20"/>
      <c r="O3910" s="20"/>
      <c r="P3910" s="20"/>
    </row>
    <row r="3911">
      <c r="A3911" s="10"/>
      <c r="B3911" s="11"/>
      <c r="C3911" s="10"/>
      <c r="D3911" s="13"/>
      <c r="E3911" s="14"/>
      <c r="F3911" s="14"/>
      <c r="G3911" s="14"/>
      <c r="H3911" s="10"/>
      <c r="I3911" s="17"/>
      <c r="J3911" s="10"/>
      <c r="K3911" s="46"/>
      <c r="L3911" s="10"/>
      <c r="M3911" s="20"/>
      <c r="N3911" s="20"/>
      <c r="O3911" s="20"/>
      <c r="P3911" s="20"/>
    </row>
    <row r="3912">
      <c r="A3912" s="23"/>
      <c r="B3912" s="21"/>
      <c r="C3912" s="23"/>
      <c r="D3912" s="24"/>
      <c r="E3912" s="14"/>
      <c r="F3912" s="14"/>
      <c r="G3912" s="14"/>
      <c r="H3912" s="23"/>
      <c r="I3912" s="27"/>
      <c r="J3912" s="23"/>
      <c r="K3912" s="30"/>
      <c r="L3912" s="23"/>
      <c r="M3912" s="20"/>
      <c r="N3912" s="20"/>
      <c r="O3912" s="20"/>
      <c r="P3912" s="20"/>
    </row>
    <row r="3913">
      <c r="A3913" s="10"/>
      <c r="B3913" s="11"/>
      <c r="C3913" s="10"/>
      <c r="D3913" s="13"/>
      <c r="E3913" s="14"/>
      <c r="F3913" s="14"/>
      <c r="G3913" s="14"/>
      <c r="H3913" s="10"/>
      <c r="I3913" s="17"/>
      <c r="J3913" s="10"/>
      <c r="K3913" s="46"/>
      <c r="L3913" s="10"/>
      <c r="M3913" s="20"/>
      <c r="N3913" s="20"/>
      <c r="O3913" s="20"/>
      <c r="P3913" s="20"/>
    </row>
    <row r="3914">
      <c r="A3914" s="23"/>
      <c r="B3914" s="21"/>
      <c r="C3914" s="23"/>
      <c r="D3914" s="24"/>
      <c r="E3914" s="14"/>
      <c r="F3914" s="14"/>
      <c r="G3914" s="14"/>
      <c r="H3914" s="23"/>
      <c r="I3914" s="27"/>
      <c r="J3914" s="23"/>
      <c r="K3914" s="30"/>
      <c r="L3914" s="23"/>
      <c r="M3914" s="20"/>
      <c r="N3914" s="20"/>
      <c r="O3914" s="20"/>
      <c r="P3914" s="20"/>
    </row>
    <row r="3915">
      <c r="A3915" s="10"/>
      <c r="B3915" s="11"/>
      <c r="C3915" s="10"/>
      <c r="D3915" s="13"/>
      <c r="E3915" s="14"/>
      <c r="F3915" s="14"/>
      <c r="G3915" s="14"/>
      <c r="H3915" s="10"/>
      <c r="I3915" s="17"/>
      <c r="J3915" s="10"/>
      <c r="K3915" s="46"/>
      <c r="L3915" s="10"/>
      <c r="M3915" s="20"/>
      <c r="N3915" s="20"/>
      <c r="O3915" s="20"/>
      <c r="P3915" s="20"/>
    </row>
    <row r="3916">
      <c r="A3916" s="23"/>
      <c r="B3916" s="21"/>
      <c r="C3916" s="23"/>
      <c r="D3916" s="24"/>
      <c r="E3916" s="14"/>
      <c r="F3916" s="14"/>
      <c r="G3916" s="14"/>
      <c r="H3916" s="23"/>
      <c r="I3916" s="27"/>
      <c r="J3916" s="23"/>
      <c r="K3916" s="30"/>
      <c r="L3916" s="23"/>
      <c r="M3916" s="20"/>
      <c r="N3916" s="20"/>
      <c r="O3916" s="20"/>
      <c r="P3916" s="20"/>
    </row>
    <row r="3917">
      <c r="A3917" s="10"/>
      <c r="B3917" s="11"/>
      <c r="C3917" s="10"/>
      <c r="D3917" s="13"/>
      <c r="E3917" s="14"/>
      <c r="F3917" s="14"/>
      <c r="G3917" s="14"/>
      <c r="H3917" s="10"/>
      <c r="I3917" s="17"/>
      <c r="J3917" s="10"/>
      <c r="K3917" s="46"/>
      <c r="L3917" s="10"/>
      <c r="M3917" s="20"/>
      <c r="N3917" s="20"/>
      <c r="O3917" s="20"/>
      <c r="P3917" s="20"/>
    </row>
    <row r="3918">
      <c r="A3918" s="23"/>
      <c r="B3918" s="21"/>
      <c r="C3918" s="23"/>
      <c r="D3918" s="24"/>
      <c r="E3918" s="14"/>
      <c r="F3918" s="14"/>
      <c r="G3918" s="14"/>
      <c r="H3918" s="23"/>
      <c r="I3918" s="27"/>
      <c r="J3918" s="23"/>
      <c r="K3918" s="30"/>
      <c r="L3918" s="23"/>
      <c r="M3918" s="20"/>
      <c r="N3918" s="20"/>
      <c r="O3918" s="20"/>
      <c r="P3918" s="20"/>
    </row>
    <row r="3919">
      <c r="A3919" s="10"/>
      <c r="B3919" s="11"/>
      <c r="C3919" s="10"/>
      <c r="D3919" s="13"/>
      <c r="E3919" s="14"/>
      <c r="F3919" s="14"/>
      <c r="G3919" s="14"/>
      <c r="H3919" s="10"/>
      <c r="I3919" s="17"/>
      <c r="J3919" s="10"/>
      <c r="K3919" s="46"/>
      <c r="L3919" s="10"/>
      <c r="M3919" s="20"/>
      <c r="N3919" s="20"/>
      <c r="O3919" s="20"/>
      <c r="P3919" s="20"/>
    </row>
    <row r="3920">
      <c r="A3920" s="23"/>
      <c r="B3920" s="21"/>
      <c r="C3920" s="23"/>
      <c r="D3920" s="24"/>
      <c r="E3920" s="14"/>
      <c r="F3920" s="14"/>
      <c r="G3920" s="14"/>
      <c r="H3920" s="23"/>
      <c r="I3920" s="27"/>
      <c r="J3920" s="23"/>
      <c r="K3920" s="30"/>
      <c r="L3920" s="23"/>
      <c r="M3920" s="20"/>
      <c r="N3920" s="20"/>
      <c r="O3920" s="20"/>
      <c r="P3920" s="20"/>
    </row>
    <row r="3921">
      <c r="A3921" s="10"/>
      <c r="B3921" s="11"/>
      <c r="C3921" s="10"/>
      <c r="D3921" s="13"/>
      <c r="E3921" s="14"/>
      <c r="F3921" s="14"/>
      <c r="G3921" s="14"/>
      <c r="H3921" s="10"/>
      <c r="I3921" s="17"/>
      <c r="J3921" s="10"/>
      <c r="K3921" s="46"/>
      <c r="L3921" s="10"/>
      <c r="M3921" s="20"/>
      <c r="N3921" s="20"/>
      <c r="O3921" s="20"/>
      <c r="P3921" s="20"/>
    </row>
    <row r="3922">
      <c r="A3922" s="23"/>
      <c r="B3922" s="21"/>
      <c r="C3922" s="23"/>
      <c r="D3922" s="24"/>
      <c r="E3922" s="14"/>
      <c r="F3922" s="14"/>
      <c r="G3922" s="14"/>
      <c r="H3922" s="23"/>
      <c r="I3922" s="27"/>
      <c r="J3922" s="23"/>
      <c r="K3922" s="30"/>
      <c r="L3922" s="23"/>
      <c r="M3922" s="20"/>
      <c r="N3922" s="20"/>
      <c r="O3922" s="20"/>
      <c r="P3922" s="20"/>
    </row>
    <row r="3923">
      <c r="A3923" s="10"/>
      <c r="B3923" s="11"/>
      <c r="C3923" s="10"/>
      <c r="D3923" s="13"/>
      <c r="E3923" s="14"/>
      <c r="F3923" s="14"/>
      <c r="G3923" s="14"/>
      <c r="H3923" s="10"/>
      <c r="I3923" s="17"/>
      <c r="J3923" s="10"/>
      <c r="K3923" s="46"/>
      <c r="L3923" s="10"/>
      <c r="M3923" s="20"/>
      <c r="N3923" s="20"/>
      <c r="O3923" s="20"/>
      <c r="P3923" s="20"/>
    </row>
    <row r="3924">
      <c r="A3924" s="23"/>
      <c r="B3924" s="21"/>
      <c r="C3924" s="23"/>
      <c r="D3924" s="24"/>
      <c r="E3924" s="14"/>
      <c r="F3924" s="14"/>
      <c r="G3924" s="14"/>
      <c r="H3924" s="23"/>
      <c r="I3924" s="27"/>
      <c r="J3924" s="23"/>
      <c r="K3924" s="30"/>
      <c r="L3924" s="23"/>
      <c r="M3924" s="20"/>
      <c r="N3924" s="20"/>
      <c r="O3924" s="20"/>
      <c r="P3924" s="20"/>
    </row>
    <row r="3925">
      <c r="A3925" s="10"/>
      <c r="B3925" s="11"/>
      <c r="C3925" s="10"/>
      <c r="D3925" s="13"/>
      <c r="E3925" s="14"/>
      <c r="F3925" s="14"/>
      <c r="G3925" s="14"/>
      <c r="H3925" s="10"/>
      <c r="I3925" s="17"/>
      <c r="J3925" s="10"/>
      <c r="K3925" s="46"/>
      <c r="L3925" s="10"/>
      <c r="M3925" s="20"/>
      <c r="N3925" s="20"/>
      <c r="O3925" s="20"/>
      <c r="P3925" s="20"/>
    </row>
    <row r="3926">
      <c r="A3926" s="23"/>
      <c r="B3926" s="21"/>
      <c r="C3926" s="23"/>
      <c r="D3926" s="24"/>
      <c r="E3926" s="14"/>
      <c r="F3926" s="14"/>
      <c r="G3926" s="14"/>
      <c r="H3926" s="23"/>
      <c r="I3926" s="27"/>
      <c r="J3926" s="23"/>
      <c r="K3926" s="30"/>
      <c r="L3926" s="23"/>
      <c r="M3926" s="20"/>
      <c r="N3926" s="20"/>
      <c r="O3926" s="20"/>
      <c r="P3926" s="20"/>
    </row>
    <row r="3927">
      <c r="A3927" s="10"/>
      <c r="B3927" s="11"/>
      <c r="C3927" s="10"/>
      <c r="D3927" s="13"/>
      <c r="E3927" s="14"/>
      <c r="F3927" s="14"/>
      <c r="G3927" s="14"/>
      <c r="H3927" s="10"/>
      <c r="I3927" s="17"/>
      <c r="J3927" s="10"/>
      <c r="K3927" s="46"/>
      <c r="L3927" s="10"/>
      <c r="M3927" s="20"/>
      <c r="N3927" s="20"/>
      <c r="O3927" s="20"/>
      <c r="P3927" s="20"/>
    </row>
    <row r="3928">
      <c r="A3928" s="23"/>
      <c r="B3928" s="21"/>
      <c r="C3928" s="23"/>
      <c r="D3928" s="24"/>
      <c r="E3928" s="14"/>
      <c r="F3928" s="14"/>
      <c r="G3928" s="14"/>
      <c r="H3928" s="23"/>
      <c r="I3928" s="27"/>
      <c r="J3928" s="23"/>
      <c r="K3928" s="30"/>
      <c r="L3928" s="23"/>
      <c r="M3928" s="20"/>
      <c r="N3928" s="20"/>
      <c r="O3928" s="20"/>
      <c r="P3928" s="20"/>
    </row>
    <row r="3929">
      <c r="A3929" s="10"/>
      <c r="B3929" s="11"/>
      <c r="C3929" s="10"/>
      <c r="D3929" s="13"/>
      <c r="E3929" s="14"/>
      <c r="F3929" s="14"/>
      <c r="G3929" s="14"/>
      <c r="H3929" s="10"/>
      <c r="I3929" s="17"/>
      <c r="J3929" s="10"/>
      <c r="K3929" s="46"/>
      <c r="L3929" s="10"/>
      <c r="M3929" s="20"/>
      <c r="N3929" s="20"/>
      <c r="O3929" s="20"/>
      <c r="P3929" s="20"/>
    </row>
    <row r="3930">
      <c r="A3930" s="23"/>
      <c r="B3930" s="21"/>
      <c r="C3930" s="23"/>
      <c r="D3930" s="24"/>
      <c r="E3930" s="14"/>
      <c r="F3930" s="14"/>
      <c r="G3930" s="14"/>
      <c r="H3930" s="23"/>
      <c r="I3930" s="27"/>
      <c r="J3930" s="23"/>
      <c r="K3930" s="30"/>
      <c r="L3930" s="23"/>
      <c r="M3930" s="20"/>
      <c r="N3930" s="20"/>
      <c r="O3930" s="20"/>
      <c r="P3930" s="20"/>
    </row>
    <row r="3931">
      <c r="A3931" s="10"/>
      <c r="B3931" s="11"/>
      <c r="C3931" s="10"/>
      <c r="D3931" s="13"/>
      <c r="E3931" s="14"/>
      <c r="F3931" s="14"/>
      <c r="G3931" s="14"/>
      <c r="H3931" s="10"/>
      <c r="I3931" s="17"/>
      <c r="J3931" s="10"/>
      <c r="K3931" s="46"/>
      <c r="L3931" s="10"/>
      <c r="M3931" s="20"/>
      <c r="N3931" s="20"/>
      <c r="O3931" s="20"/>
      <c r="P3931" s="20"/>
    </row>
    <row r="3932">
      <c r="A3932" s="23"/>
      <c r="B3932" s="21"/>
      <c r="C3932" s="23"/>
      <c r="D3932" s="24"/>
      <c r="E3932" s="14"/>
      <c r="F3932" s="14"/>
      <c r="G3932" s="14"/>
      <c r="H3932" s="23"/>
      <c r="I3932" s="27"/>
      <c r="J3932" s="23"/>
      <c r="K3932" s="30"/>
      <c r="L3932" s="23"/>
      <c r="M3932" s="20"/>
      <c r="N3932" s="20"/>
      <c r="O3932" s="20"/>
      <c r="P3932" s="20"/>
    </row>
    <row r="3933">
      <c r="A3933" s="10"/>
      <c r="B3933" s="11"/>
      <c r="C3933" s="10"/>
      <c r="D3933" s="13"/>
      <c r="E3933" s="14"/>
      <c r="F3933" s="14"/>
      <c r="G3933" s="14"/>
      <c r="H3933" s="10"/>
      <c r="I3933" s="17"/>
      <c r="J3933" s="10"/>
      <c r="K3933" s="46"/>
      <c r="L3933" s="10"/>
      <c r="M3933" s="20"/>
      <c r="N3933" s="20"/>
      <c r="O3933" s="20"/>
      <c r="P3933" s="20"/>
    </row>
    <row r="3934">
      <c r="A3934" s="23"/>
      <c r="B3934" s="21"/>
      <c r="C3934" s="23"/>
      <c r="D3934" s="24"/>
      <c r="E3934" s="14"/>
      <c r="F3934" s="14"/>
      <c r="G3934" s="14"/>
      <c r="H3934" s="23"/>
      <c r="I3934" s="27"/>
      <c r="J3934" s="23"/>
      <c r="K3934" s="30"/>
      <c r="L3934" s="23"/>
      <c r="M3934" s="20"/>
      <c r="N3934" s="20"/>
      <c r="O3934" s="20"/>
      <c r="P3934" s="20"/>
    </row>
    <row r="3935">
      <c r="A3935" s="10"/>
      <c r="B3935" s="11"/>
      <c r="C3935" s="10"/>
      <c r="D3935" s="13"/>
      <c r="E3935" s="14"/>
      <c r="F3935" s="14"/>
      <c r="G3935" s="14"/>
      <c r="H3935" s="10"/>
      <c r="I3935" s="17"/>
      <c r="J3935" s="10"/>
      <c r="K3935" s="46"/>
      <c r="L3935" s="10"/>
      <c r="M3935" s="20"/>
      <c r="N3935" s="20"/>
      <c r="O3935" s="20"/>
      <c r="P3935" s="20"/>
    </row>
    <row r="3936">
      <c r="A3936" s="23"/>
      <c r="B3936" s="21"/>
      <c r="C3936" s="23"/>
      <c r="D3936" s="24"/>
      <c r="E3936" s="14"/>
      <c r="F3936" s="14"/>
      <c r="G3936" s="14"/>
      <c r="H3936" s="23"/>
      <c r="I3936" s="27"/>
      <c r="J3936" s="23"/>
      <c r="K3936" s="30"/>
      <c r="L3936" s="23"/>
      <c r="M3936" s="20"/>
      <c r="N3936" s="20"/>
      <c r="O3936" s="20"/>
      <c r="P3936" s="20"/>
    </row>
    <row r="3937">
      <c r="A3937" s="10"/>
      <c r="B3937" s="11"/>
      <c r="C3937" s="10"/>
      <c r="D3937" s="13"/>
      <c r="E3937" s="14"/>
      <c r="F3937" s="14"/>
      <c r="G3937" s="14"/>
      <c r="H3937" s="10"/>
      <c r="I3937" s="17"/>
      <c r="J3937" s="10"/>
      <c r="K3937" s="46"/>
      <c r="L3937" s="10"/>
      <c r="M3937" s="20"/>
      <c r="N3937" s="20"/>
      <c r="O3937" s="20"/>
      <c r="P3937" s="20"/>
    </row>
    <row r="3938">
      <c r="A3938" s="23"/>
      <c r="B3938" s="21"/>
      <c r="C3938" s="23"/>
      <c r="D3938" s="24"/>
      <c r="E3938" s="14"/>
      <c r="F3938" s="14"/>
      <c r="G3938" s="14"/>
      <c r="H3938" s="23"/>
      <c r="I3938" s="27"/>
      <c r="J3938" s="23"/>
      <c r="K3938" s="30"/>
      <c r="L3938" s="23"/>
      <c r="M3938" s="20"/>
      <c r="N3938" s="20"/>
      <c r="O3938" s="20"/>
      <c r="P3938" s="20"/>
    </row>
    <row r="3939">
      <c r="A3939" s="10"/>
      <c r="B3939" s="11"/>
      <c r="C3939" s="10"/>
      <c r="D3939" s="13"/>
      <c r="E3939" s="14"/>
      <c r="F3939" s="14"/>
      <c r="G3939" s="14"/>
      <c r="H3939" s="10"/>
      <c r="I3939" s="17"/>
      <c r="J3939" s="10"/>
      <c r="K3939" s="46"/>
      <c r="L3939" s="10"/>
      <c r="M3939" s="20"/>
      <c r="N3939" s="20"/>
      <c r="O3939" s="20"/>
      <c r="P3939" s="20"/>
    </row>
    <row r="3940">
      <c r="A3940" s="23"/>
      <c r="B3940" s="21"/>
      <c r="C3940" s="23"/>
      <c r="D3940" s="24"/>
      <c r="E3940" s="14"/>
      <c r="F3940" s="14"/>
      <c r="G3940" s="14"/>
      <c r="H3940" s="23"/>
      <c r="I3940" s="27"/>
      <c r="J3940" s="23"/>
      <c r="K3940" s="30"/>
      <c r="L3940" s="23"/>
      <c r="M3940" s="20"/>
      <c r="N3940" s="20"/>
      <c r="O3940" s="20"/>
      <c r="P3940" s="20"/>
    </row>
    <row r="3941">
      <c r="A3941" s="10"/>
      <c r="B3941" s="11"/>
      <c r="C3941" s="10"/>
      <c r="D3941" s="13"/>
      <c r="E3941" s="14"/>
      <c r="F3941" s="14"/>
      <c r="G3941" s="14"/>
      <c r="H3941" s="10"/>
      <c r="I3941" s="17"/>
      <c r="J3941" s="10"/>
      <c r="K3941" s="46"/>
      <c r="L3941" s="10"/>
      <c r="M3941" s="20"/>
      <c r="N3941" s="20"/>
      <c r="O3941" s="20"/>
      <c r="P3941" s="20"/>
    </row>
    <row r="3942">
      <c r="A3942" s="23"/>
      <c r="B3942" s="21"/>
      <c r="C3942" s="23"/>
      <c r="D3942" s="24"/>
      <c r="E3942" s="14"/>
      <c r="F3942" s="14"/>
      <c r="G3942" s="14"/>
      <c r="H3942" s="23"/>
      <c r="I3942" s="27"/>
      <c r="J3942" s="23"/>
      <c r="K3942" s="30"/>
      <c r="L3942" s="23"/>
      <c r="M3942" s="20"/>
      <c r="N3942" s="20"/>
      <c r="O3942" s="20"/>
      <c r="P3942" s="20"/>
    </row>
    <row r="3943">
      <c r="A3943" s="10"/>
      <c r="B3943" s="11"/>
      <c r="C3943" s="10"/>
      <c r="D3943" s="13"/>
      <c r="E3943" s="14"/>
      <c r="F3943" s="14"/>
      <c r="G3943" s="14"/>
      <c r="H3943" s="10"/>
      <c r="I3943" s="17"/>
      <c r="J3943" s="10"/>
      <c r="K3943" s="46"/>
      <c r="L3943" s="10"/>
      <c r="M3943" s="20"/>
      <c r="N3943" s="20"/>
      <c r="O3943" s="20"/>
      <c r="P3943" s="20"/>
    </row>
    <row r="3944">
      <c r="A3944" s="23"/>
      <c r="B3944" s="21"/>
      <c r="C3944" s="23"/>
      <c r="D3944" s="24"/>
      <c r="E3944" s="14"/>
      <c r="F3944" s="14"/>
      <c r="G3944" s="14"/>
      <c r="H3944" s="23"/>
      <c r="I3944" s="27"/>
      <c r="J3944" s="23"/>
      <c r="K3944" s="30"/>
      <c r="L3944" s="23"/>
      <c r="M3944" s="20"/>
      <c r="N3944" s="20"/>
      <c r="O3944" s="20"/>
      <c r="P3944" s="20"/>
    </row>
    <row r="3945">
      <c r="A3945" s="10"/>
      <c r="B3945" s="11"/>
      <c r="C3945" s="10"/>
      <c r="D3945" s="13"/>
      <c r="E3945" s="14"/>
      <c r="F3945" s="14"/>
      <c r="G3945" s="14"/>
      <c r="H3945" s="10"/>
      <c r="I3945" s="17"/>
      <c r="J3945" s="10"/>
      <c r="K3945" s="46"/>
      <c r="L3945" s="10"/>
      <c r="M3945" s="20"/>
      <c r="N3945" s="20"/>
      <c r="O3945" s="20"/>
      <c r="P3945" s="20"/>
    </row>
    <row r="3946">
      <c r="A3946" s="23"/>
      <c r="B3946" s="21"/>
      <c r="C3946" s="23"/>
      <c r="D3946" s="24"/>
      <c r="E3946" s="14"/>
      <c r="F3946" s="14"/>
      <c r="G3946" s="14"/>
      <c r="H3946" s="23"/>
      <c r="I3946" s="27"/>
      <c r="J3946" s="23"/>
      <c r="K3946" s="30"/>
      <c r="L3946" s="23"/>
      <c r="M3946" s="20"/>
      <c r="N3946" s="20"/>
      <c r="O3946" s="20"/>
      <c r="P3946" s="20"/>
    </row>
    <row r="3947">
      <c r="A3947" s="10"/>
      <c r="B3947" s="11"/>
      <c r="C3947" s="10"/>
      <c r="D3947" s="13"/>
      <c r="E3947" s="14"/>
      <c r="F3947" s="14"/>
      <c r="G3947" s="14"/>
      <c r="H3947" s="10"/>
      <c r="I3947" s="17"/>
      <c r="J3947" s="10"/>
      <c r="K3947" s="46"/>
      <c r="L3947" s="10"/>
      <c r="M3947" s="20"/>
      <c r="N3947" s="20"/>
      <c r="O3947" s="20"/>
      <c r="P3947" s="20"/>
    </row>
    <row r="3948">
      <c r="A3948" s="23"/>
      <c r="B3948" s="21"/>
      <c r="C3948" s="23"/>
      <c r="D3948" s="24"/>
      <c r="E3948" s="14"/>
      <c r="F3948" s="14"/>
      <c r="G3948" s="14"/>
      <c r="H3948" s="23"/>
      <c r="I3948" s="27"/>
      <c r="J3948" s="23"/>
      <c r="K3948" s="30"/>
      <c r="L3948" s="23"/>
      <c r="M3948" s="20"/>
      <c r="N3948" s="20"/>
      <c r="O3948" s="20"/>
      <c r="P3948" s="20"/>
    </row>
    <row r="3949">
      <c r="A3949" s="10"/>
      <c r="B3949" s="11"/>
      <c r="C3949" s="10"/>
      <c r="D3949" s="13"/>
      <c r="E3949" s="14"/>
      <c r="F3949" s="14"/>
      <c r="G3949" s="14"/>
      <c r="H3949" s="10"/>
      <c r="I3949" s="17"/>
      <c r="J3949" s="10"/>
      <c r="K3949" s="46"/>
      <c r="L3949" s="10"/>
      <c r="M3949" s="20"/>
      <c r="N3949" s="20"/>
      <c r="O3949" s="20"/>
      <c r="P3949" s="20"/>
    </row>
    <row r="3950">
      <c r="A3950" s="23"/>
      <c r="B3950" s="21"/>
      <c r="C3950" s="23"/>
      <c r="D3950" s="24"/>
      <c r="E3950" s="14"/>
      <c r="F3950" s="14"/>
      <c r="G3950" s="14"/>
      <c r="H3950" s="23"/>
      <c r="I3950" s="27"/>
      <c r="J3950" s="23"/>
      <c r="K3950" s="30"/>
      <c r="L3950" s="23"/>
      <c r="M3950" s="20"/>
      <c r="N3950" s="20"/>
      <c r="O3950" s="20"/>
      <c r="P3950" s="20"/>
    </row>
    <row r="3951">
      <c r="A3951" s="10"/>
      <c r="B3951" s="11"/>
      <c r="C3951" s="10"/>
      <c r="D3951" s="13"/>
      <c r="E3951" s="14"/>
      <c r="F3951" s="14"/>
      <c r="G3951" s="14"/>
      <c r="H3951" s="10"/>
      <c r="I3951" s="17"/>
      <c r="J3951" s="10"/>
      <c r="K3951" s="46"/>
      <c r="L3951" s="10"/>
      <c r="M3951" s="20"/>
      <c r="N3951" s="20"/>
      <c r="O3951" s="20"/>
      <c r="P3951" s="20"/>
    </row>
    <row r="3952">
      <c r="A3952" s="23"/>
      <c r="B3952" s="21"/>
      <c r="C3952" s="23"/>
      <c r="D3952" s="24"/>
      <c r="E3952" s="14"/>
      <c r="F3952" s="14"/>
      <c r="G3952" s="14"/>
      <c r="H3952" s="23"/>
      <c r="I3952" s="27"/>
      <c r="J3952" s="23"/>
      <c r="K3952" s="30"/>
      <c r="L3952" s="23"/>
      <c r="M3952" s="20"/>
      <c r="N3952" s="20"/>
      <c r="O3952" s="20"/>
      <c r="P3952" s="20"/>
    </row>
    <row r="3953">
      <c r="A3953" s="10"/>
      <c r="B3953" s="11"/>
      <c r="C3953" s="10"/>
      <c r="D3953" s="13"/>
      <c r="E3953" s="14"/>
      <c r="F3953" s="14"/>
      <c r="G3953" s="14"/>
      <c r="H3953" s="10"/>
      <c r="I3953" s="17"/>
      <c r="J3953" s="10"/>
      <c r="K3953" s="46"/>
      <c r="L3953" s="10"/>
      <c r="M3953" s="20"/>
      <c r="N3953" s="20"/>
      <c r="O3953" s="20"/>
      <c r="P3953" s="20"/>
    </row>
    <row r="3954">
      <c r="A3954" s="23"/>
      <c r="B3954" s="21"/>
      <c r="C3954" s="23"/>
      <c r="D3954" s="24"/>
      <c r="E3954" s="14"/>
      <c r="F3954" s="14"/>
      <c r="G3954" s="14"/>
      <c r="H3954" s="23"/>
      <c r="I3954" s="27"/>
      <c r="J3954" s="23"/>
      <c r="K3954" s="30"/>
      <c r="L3954" s="23"/>
      <c r="M3954" s="20"/>
      <c r="N3954" s="20"/>
      <c r="O3954" s="20"/>
      <c r="P3954" s="20"/>
    </row>
    <row r="3955">
      <c r="A3955" s="10"/>
      <c r="B3955" s="11"/>
      <c r="C3955" s="10"/>
      <c r="D3955" s="13"/>
      <c r="E3955" s="14"/>
      <c r="F3955" s="14"/>
      <c r="G3955" s="14"/>
      <c r="H3955" s="10"/>
      <c r="I3955" s="17"/>
      <c r="J3955" s="10"/>
      <c r="K3955" s="46"/>
      <c r="L3955" s="10"/>
      <c r="M3955" s="20"/>
      <c r="N3955" s="20"/>
      <c r="O3955" s="20"/>
      <c r="P3955" s="20"/>
    </row>
    <row r="3956">
      <c r="A3956" s="23"/>
      <c r="B3956" s="21"/>
      <c r="C3956" s="23"/>
      <c r="D3956" s="24"/>
      <c r="E3956" s="14"/>
      <c r="F3956" s="14"/>
      <c r="G3956" s="14"/>
      <c r="H3956" s="23"/>
      <c r="I3956" s="27"/>
      <c r="J3956" s="23"/>
      <c r="K3956" s="30"/>
      <c r="L3956" s="23"/>
      <c r="M3956" s="20"/>
      <c r="N3956" s="20"/>
      <c r="O3956" s="20"/>
      <c r="P3956" s="20"/>
    </row>
    <row r="3957">
      <c r="A3957" s="10"/>
      <c r="B3957" s="11"/>
      <c r="C3957" s="10"/>
      <c r="D3957" s="13"/>
      <c r="E3957" s="14"/>
      <c r="F3957" s="14"/>
      <c r="G3957" s="14"/>
      <c r="H3957" s="10"/>
      <c r="I3957" s="17"/>
      <c r="J3957" s="10"/>
      <c r="K3957" s="46"/>
      <c r="L3957" s="10"/>
      <c r="M3957" s="20"/>
      <c r="N3957" s="20"/>
      <c r="O3957" s="20"/>
      <c r="P3957" s="20"/>
    </row>
    <row r="3958">
      <c r="A3958" s="23"/>
      <c r="B3958" s="21"/>
      <c r="C3958" s="23"/>
      <c r="D3958" s="24"/>
      <c r="E3958" s="14"/>
      <c r="F3958" s="14"/>
      <c r="G3958" s="14"/>
      <c r="H3958" s="23"/>
      <c r="I3958" s="27"/>
      <c r="J3958" s="23"/>
      <c r="K3958" s="30"/>
      <c r="L3958" s="23"/>
      <c r="M3958" s="20"/>
      <c r="N3958" s="20"/>
      <c r="O3958" s="20"/>
      <c r="P3958" s="20"/>
    </row>
    <row r="3959">
      <c r="A3959" s="10"/>
      <c r="B3959" s="11"/>
      <c r="C3959" s="10"/>
      <c r="D3959" s="13"/>
      <c r="E3959" s="14"/>
      <c r="F3959" s="14"/>
      <c r="G3959" s="14"/>
      <c r="H3959" s="10"/>
      <c r="I3959" s="17"/>
      <c r="J3959" s="10"/>
      <c r="K3959" s="46"/>
      <c r="L3959" s="10"/>
      <c r="M3959" s="20"/>
      <c r="N3959" s="20"/>
      <c r="O3959" s="20"/>
      <c r="P3959" s="20"/>
    </row>
    <row r="3960">
      <c r="A3960" s="23"/>
      <c r="B3960" s="21"/>
      <c r="C3960" s="23"/>
      <c r="D3960" s="24"/>
      <c r="E3960" s="14"/>
      <c r="F3960" s="14"/>
      <c r="G3960" s="14"/>
      <c r="H3960" s="23"/>
      <c r="I3960" s="27"/>
      <c r="J3960" s="23"/>
      <c r="K3960" s="30"/>
      <c r="L3960" s="23"/>
      <c r="M3960" s="20"/>
      <c r="N3960" s="20"/>
      <c r="O3960" s="20"/>
      <c r="P3960" s="20"/>
    </row>
    <row r="3961">
      <c r="A3961" s="10"/>
      <c r="B3961" s="11"/>
      <c r="C3961" s="10"/>
      <c r="D3961" s="13"/>
      <c r="E3961" s="14"/>
      <c r="F3961" s="14"/>
      <c r="G3961" s="14"/>
      <c r="H3961" s="10"/>
      <c r="I3961" s="17"/>
      <c r="J3961" s="10"/>
      <c r="K3961" s="46"/>
      <c r="L3961" s="10"/>
      <c r="M3961" s="20"/>
      <c r="N3961" s="20"/>
      <c r="O3961" s="20"/>
      <c r="P3961" s="20"/>
    </row>
    <row r="3962">
      <c r="A3962" s="23"/>
      <c r="B3962" s="21"/>
      <c r="C3962" s="23"/>
      <c r="D3962" s="24"/>
      <c r="E3962" s="14"/>
      <c r="F3962" s="14"/>
      <c r="G3962" s="14"/>
      <c r="H3962" s="23"/>
      <c r="I3962" s="27"/>
      <c r="J3962" s="23"/>
      <c r="K3962" s="30"/>
      <c r="L3962" s="23"/>
      <c r="M3962" s="20"/>
      <c r="N3962" s="20"/>
      <c r="O3962" s="20"/>
      <c r="P3962" s="20"/>
    </row>
    <row r="3963">
      <c r="A3963" s="10"/>
      <c r="B3963" s="11"/>
      <c r="C3963" s="10"/>
      <c r="D3963" s="13"/>
      <c r="E3963" s="14"/>
      <c r="F3963" s="14"/>
      <c r="G3963" s="14"/>
      <c r="H3963" s="10"/>
      <c r="I3963" s="17"/>
      <c r="J3963" s="10"/>
      <c r="K3963" s="46"/>
      <c r="L3963" s="10"/>
      <c r="M3963" s="20"/>
      <c r="N3963" s="20"/>
      <c r="O3963" s="20"/>
      <c r="P3963" s="20"/>
    </row>
    <row r="3964">
      <c r="A3964" s="23"/>
      <c r="B3964" s="21"/>
      <c r="C3964" s="23"/>
      <c r="D3964" s="24"/>
      <c r="E3964" s="14"/>
      <c r="F3964" s="14"/>
      <c r="G3964" s="14"/>
      <c r="H3964" s="23"/>
      <c r="I3964" s="27"/>
      <c r="J3964" s="23"/>
      <c r="K3964" s="30"/>
      <c r="L3964" s="23"/>
      <c r="M3964" s="20"/>
      <c r="N3964" s="20"/>
      <c r="O3964" s="20"/>
      <c r="P3964" s="20"/>
    </row>
    <row r="3965">
      <c r="A3965" s="10"/>
      <c r="B3965" s="11"/>
      <c r="C3965" s="10"/>
      <c r="D3965" s="13"/>
      <c r="E3965" s="14"/>
      <c r="F3965" s="14"/>
      <c r="G3965" s="14"/>
      <c r="H3965" s="10"/>
      <c r="I3965" s="17"/>
      <c r="J3965" s="10"/>
      <c r="K3965" s="46"/>
      <c r="L3965" s="10"/>
      <c r="M3965" s="20"/>
      <c r="N3965" s="20"/>
      <c r="O3965" s="20"/>
      <c r="P3965" s="20"/>
    </row>
    <row r="3966">
      <c r="A3966" s="23"/>
      <c r="B3966" s="21"/>
      <c r="C3966" s="23"/>
      <c r="D3966" s="24"/>
      <c r="E3966" s="14"/>
      <c r="F3966" s="14"/>
      <c r="G3966" s="14"/>
      <c r="H3966" s="23"/>
      <c r="I3966" s="27"/>
      <c r="J3966" s="23"/>
      <c r="K3966" s="30"/>
      <c r="L3966" s="23"/>
      <c r="M3966" s="20"/>
      <c r="N3966" s="20"/>
      <c r="O3966" s="20"/>
      <c r="P3966" s="20"/>
    </row>
    <row r="3967">
      <c r="A3967" s="10"/>
      <c r="B3967" s="11"/>
      <c r="C3967" s="10"/>
      <c r="D3967" s="13"/>
      <c r="E3967" s="14"/>
      <c r="F3967" s="14"/>
      <c r="G3967" s="14"/>
      <c r="H3967" s="10"/>
      <c r="I3967" s="17"/>
      <c r="J3967" s="10"/>
      <c r="K3967" s="46"/>
      <c r="L3967" s="10"/>
      <c r="M3967" s="20"/>
      <c r="N3967" s="20"/>
      <c r="O3967" s="20"/>
      <c r="P3967" s="20"/>
    </row>
    <row r="3968">
      <c r="A3968" s="23"/>
      <c r="B3968" s="21"/>
      <c r="C3968" s="23"/>
      <c r="D3968" s="24"/>
      <c r="E3968" s="14"/>
      <c r="F3968" s="14"/>
      <c r="G3968" s="14"/>
      <c r="H3968" s="23"/>
      <c r="I3968" s="27"/>
      <c r="J3968" s="23"/>
      <c r="K3968" s="30"/>
      <c r="L3968" s="23"/>
      <c r="M3968" s="20"/>
      <c r="N3968" s="20"/>
      <c r="O3968" s="20"/>
      <c r="P3968" s="20"/>
    </row>
    <row r="3969">
      <c r="A3969" s="10"/>
      <c r="B3969" s="11"/>
      <c r="C3969" s="10"/>
      <c r="D3969" s="13"/>
      <c r="E3969" s="14"/>
      <c r="F3969" s="14"/>
      <c r="G3969" s="14"/>
      <c r="H3969" s="10"/>
      <c r="I3969" s="17"/>
      <c r="J3969" s="10"/>
      <c r="K3969" s="46"/>
      <c r="L3969" s="10"/>
      <c r="M3969" s="20"/>
      <c r="N3969" s="20"/>
      <c r="O3969" s="20"/>
      <c r="P3969" s="20"/>
    </row>
    <row r="3970">
      <c r="A3970" s="23"/>
      <c r="B3970" s="21"/>
      <c r="C3970" s="23"/>
      <c r="D3970" s="24"/>
      <c r="E3970" s="14"/>
      <c r="F3970" s="14"/>
      <c r="G3970" s="14"/>
      <c r="H3970" s="23"/>
      <c r="I3970" s="27"/>
      <c r="J3970" s="23"/>
      <c r="K3970" s="30"/>
      <c r="L3970" s="23"/>
      <c r="M3970" s="20"/>
      <c r="N3970" s="20"/>
      <c r="O3970" s="20"/>
      <c r="P3970" s="20"/>
    </row>
    <row r="3971">
      <c r="A3971" s="10"/>
      <c r="B3971" s="11"/>
      <c r="C3971" s="10"/>
      <c r="D3971" s="13"/>
      <c r="E3971" s="14"/>
      <c r="F3971" s="14"/>
      <c r="G3971" s="14"/>
      <c r="H3971" s="10"/>
      <c r="I3971" s="17"/>
      <c r="J3971" s="10"/>
      <c r="K3971" s="46"/>
      <c r="L3971" s="10"/>
      <c r="M3971" s="20"/>
      <c r="N3971" s="20"/>
      <c r="O3971" s="20"/>
      <c r="P3971" s="20"/>
    </row>
    <row r="3972">
      <c r="A3972" s="23"/>
      <c r="B3972" s="21"/>
      <c r="C3972" s="23"/>
      <c r="D3972" s="24"/>
      <c r="E3972" s="14"/>
      <c r="F3972" s="14"/>
      <c r="G3972" s="14"/>
      <c r="H3972" s="23"/>
      <c r="I3972" s="27"/>
      <c r="J3972" s="23"/>
      <c r="K3972" s="30"/>
      <c r="L3972" s="23"/>
      <c r="M3972" s="20"/>
      <c r="N3972" s="20"/>
      <c r="O3972" s="20"/>
      <c r="P3972" s="20"/>
    </row>
    <row r="3973">
      <c r="A3973" s="10"/>
      <c r="B3973" s="11"/>
      <c r="C3973" s="10"/>
      <c r="D3973" s="13"/>
      <c r="E3973" s="14"/>
      <c r="F3973" s="14"/>
      <c r="G3973" s="14"/>
      <c r="H3973" s="10"/>
      <c r="I3973" s="17"/>
      <c r="J3973" s="10"/>
      <c r="K3973" s="46"/>
      <c r="L3973" s="10"/>
      <c r="M3973" s="20"/>
      <c r="N3973" s="20"/>
      <c r="O3973" s="20"/>
      <c r="P3973" s="20"/>
    </row>
    <row r="3974">
      <c r="A3974" s="23"/>
      <c r="B3974" s="21"/>
      <c r="C3974" s="23"/>
      <c r="D3974" s="24"/>
      <c r="E3974" s="14"/>
      <c r="F3974" s="14"/>
      <c r="G3974" s="14"/>
      <c r="H3974" s="23"/>
      <c r="I3974" s="27"/>
      <c r="J3974" s="23"/>
      <c r="K3974" s="30"/>
      <c r="L3974" s="23"/>
      <c r="M3974" s="20"/>
      <c r="N3974" s="20"/>
      <c r="O3974" s="20"/>
      <c r="P3974" s="20"/>
    </row>
    <row r="3975">
      <c r="A3975" s="10"/>
      <c r="B3975" s="11"/>
      <c r="C3975" s="10"/>
      <c r="D3975" s="13"/>
      <c r="E3975" s="14"/>
      <c r="F3975" s="14"/>
      <c r="G3975" s="14"/>
      <c r="H3975" s="10"/>
      <c r="I3975" s="17"/>
      <c r="J3975" s="10"/>
      <c r="K3975" s="46"/>
      <c r="L3975" s="10"/>
      <c r="M3975" s="20"/>
      <c r="N3975" s="20"/>
      <c r="O3975" s="20"/>
      <c r="P3975" s="20"/>
    </row>
    <row r="3976">
      <c r="A3976" s="23"/>
      <c r="B3976" s="21"/>
      <c r="C3976" s="23"/>
      <c r="D3976" s="24"/>
      <c r="E3976" s="14"/>
      <c r="F3976" s="14"/>
      <c r="G3976" s="14"/>
      <c r="H3976" s="23"/>
      <c r="I3976" s="27"/>
      <c r="J3976" s="23"/>
      <c r="K3976" s="30"/>
      <c r="L3976" s="23"/>
      <c r="M3976" s="20"/>
      <c r="N3976" s="20"/>
      <c r="O3976" s="20"/>
      <c r="P3976" s="20"/>
    </row>
    <row r="3977">
      <c r="A3977" s="10"/>
      <c r="B3977" s="11"/>
      <c r="C3977" s="10"/>
      <c r="D3977" s="13"/>
      <c r="E3977" s="14"/>
      <c r="F3977" s="14"/>
      <c r="G3977" s="14"/>
      <c r="H3977" s="10"/>
      <c r="I3977" s="17"/>
      <c r="J3977" s="10"/>
      <c r="K3977" s="46"/>
      <c r="L3977" s="10"/>
      <c r="M3977" s="20"/>
      <c r="N3977" s="20"/>
      <c r="O3977" s="20"/>
      <c r="P3977" s="20"/>
    </row>
    <row r="3978">
      <c r="A3978" s="23"/>
      <c r="B3978" s="21"/>
      <c r="C3978" s="23"/>
      <c r="D3978" s="24"/>
      <c r="E3978" s="14"/>
      <c r="F3978" s="14"/>
      <c r="G3978" s="14"/>
      <c r="H3978" s="23"/>
      <c r="I3978" s="27"/>
      <c r="J3978" s="23"/>
      <c r="K3978" s="30"/>
      <c r="L3978" s="23"/>
      <c r="M3978" s="20"/>
      <c r="N3978" s="20"/>
      <c r="O3978" s="20"/>
      <c r="P3978" s="20"/>
    </row>
    <row r="3979">
      <c r="A3979" s="10"/>
      <c r="B3979" s="11"/>
      <c r="C3979" s="10"/>
      <c r="D3979" s="13"/>
      <c r="E3979" s="14"/>
      <c r="F3979" s="14"/>
      <c r="G3979" s="14"/>
      <c r="H3979" s="10"/>
      <c r="I3979" s="17"/>
      <c r="J3979" s="10"/>
      <c r="K3979" s="46"/>
      <c r="L3979" s="10"/>
      <c r="M3979" s="20"/>
      <c r="N3979" s="20"/>
      <c r="O3979" s="20"/>
      <c r="P3979" s="20"/>
    </row>
    <row r="3980">
      <c r="A3980" s="23"/>
      <c r="B3980" s="21"/>
      <c r="C3980" s="23"/>
      <c r="D3980" s="24"/>
      <c r="E3980" s="14"/>
      <c r="F3980" s="14"/>
      <c r="G3980" s="14"/>
      <c r="H3980" s="23"/>
      <c r="I3980" s="27"/>
      <c r="J3980" s="23"/>
      <c r="K3980" s="30"/>
      <c r="L3980" s="23"/>
      <c r="M3980" s="20"/>
      <c r="N3980" s="20"/>
      <c r="O3980" s="20"/>
      <c r="P3980" s="20"/>
    </row>
    <row r="3981">
      <c r="A3981" s="10"/>
      <c r="B3981" s="11"/>
      <c r="C3981" s="10"/>
      <c r="D3981" s="13"/>
      <c r="E3981" s="14"/>
      <c r="F3981" s="14"/>
      <c r="G3981" s="14"/>
      <c r="H3981" s="10"/>
      <c r="I3981" s="17"/>
      <c r="J3981" s="10"/>
      <c r="K3981" s="46"/>
      <c r="L3981" s="10"/>
      <c r="M3981" s="20"/>
      <c r="N3981" s="20"/>
      <c r="O3981" s="20"/>
      <c r="P3981" s="20"/>
    </row>
    <row r="3982">
      <c r="A3982" s="23"/>
      <c r="B3982" s="21"/>
      <c r="C3982" s="23"/>
      <c r="D3982" s="24"/>
      <c r="E3982" s="14"/>
      <c r="F3982" s="14"/>
      <c r="G3982" s="14"/>
      <c r="H3982" s="23"/>
      <c r="I3982" s="27"/>
      <c r="J3982" s="23"/>
      <c r="K3982" s="30"/>
      <c r="L3982" s="23"/>
      <c r="M3982" s="20"/>
      <c r="N3982" s="20"/>
      <c r="O3982" s="20"/>
      <c r="P3982" s="20"/>
    </row>
    <row r="3983">
      <c r="A3983" s="10"/>
      <c r="B3983" s="11"/>
      <c r="C3983" s="10"/>
      <c r="D3983" s="13"/>
      <c r="E3983" s="14"/>
      <c r="F3983" s="14"/>
      <c r="G3983" s="14"/>
      <c r="H3983" s="10"/>
      <c r="I3983" s="17"/>
      <c r="J3983" s="10"/>
      <c r="K3983" s="46"/>
      <c r="L3983" s="10"/>
      <c r="M3983" s="20"/>
      <c r="N3983" s="20"/>
      <c r="O3983" s="20"/>
      <c r="P3983" s="20"/>
    </row>
    <row r="3984">
      <c r="A3984" s="23"/>
      <c r="B3984" s="21"/>
      <c r="C3984" s="23"/>
      <c r="D3984" s="24"/>
      <c r="E3984" s="14"/>
      <c r="F3984" s="14"/>
      <c r="G3984" s="14"/>
      <c r="H3984" s="23"/>
      <c r="I3984" s="27"/>
      <c r="J3984" s="23"/>
      <c r="K3984" s="30"/>
      <c r="L3984" s="23"/>
      <c r="M3984" s="20"/>
      <c r="N3984" s="20"/>
      <c r="O3984" s="20"/>
      <c r="P3984" s="20"/>
    </row>
    <row r="3985">
      <c r="A3985" s="10"/>
      <c r="B3985" s="11"/>
      <c r="C3985" s="10"/>
      <c r="D3985" s="13"/>
      <c r="E3985" s="14"/>
      <c r="F3985" s="14"/>
      <c r="G3985" s="14"/>
      <c r="H3985" s="10"/>
      <c r="I3985" s="17"/>
      <c r="J3985" s="10"/>
      <c r="K3985" s="46"/>
      <c r="L3985" s="10"/>
      <c r="M3985" s="20"/>
      <c r="N3985" s="20"/>
      <c r="O3985" s="20"/>
      <c r="P3985" s="20"/>
    </row>
    <row r="3986">
      <c r="A3986" s="23"/>
      <c r="B3986" s="21"/>
      <c r="C3986" s="23"/>
      <c r="D3986" s="24"/>
      <c r="E3986" s="14"/>
      <c r="F3986" s="14"/>
      <c r="G3986" s="14"/>
      <c r="H3986" s="23"/>
      <c r="I3986" s="27"/>
      <c r="J3986" s="23"/>
      <c r="K3986" s="30"/>
      <c r="L3986" s="23"/>
      <c r="M3986" s="20"/>
      <c r="N3986" s="20"/>
      <c r="O3986" s="20"/>
      <c r="P3986" s="20"/>
    </row>
    <row r="3987">
      <c r="A3987" s="10"/>
      <c r="B3987" s="11"/>
      <c r="C3987" s="10"/>
      <c r="D3987" s="13"/>
      <c r="E3987" s="14"/>
      <c r="F3987" s="14"/>
      <c r="G3987" s="14"/>
      <c r="H3987" s="10"/>
      <c r="I3987" s="17"/>
      <c r="J3987" s="10"/>
      <c r="K3987" s="46"/>
      <c r="L3987" s="10"/>
      <c r="M3987" s="20"/>
      <c r="N3987" s="20"/>
      <c r="O3987" s="20"/>
      <c r="P3987" s="20"/>
    </row>
    <row r="3988">
      <c r="A3988" s="23"/>
      <c r="B3988" s="21"/>
      <c r="C3988" s="23"/>
      <c r="D3988" s="24"/>
      <c r="E3988" s="14"/>
      <c r="F3988" s="14"/>
      <c r="G3988" s="14"/>
      <c r="H3988" s="23"/>
      <c r="I3988" s="27"/>
      <c r="J3988" s="23"/>
      <c r="K3988" s="30"/>
      <c r="L3988" s="23"/>
      <c r="M3988" s="20"/>
      <c r="N3988" s="20"/>
      <c r="O3988" s="20"/>
      <c r="P3988" s="20"/>
    </row>
    <row r="3989">
      <c r="A3989" s="10"/>
      <c r="B3989" s="11"/>
      <c r="C3989" s="10"/>
      <c r="D3989" s="13"/>
      <c r="E3989" s="14"/>
      <c r="F3989" s="14"/>
      <c r="G3989" s="14"/>
      <c r="H3989" s="10"/>
      <c r="I3989" s="17"/>
      <c r="J3989" s="10"/>
      <c r="K3989" s="46"/>
      <c r="L3989" s="10"/>
      <c r="M3989" s="20"/>
      <c r="N3989" s="20"/>
      <c r="O3989" s="20"/>
      <c r="P3989" s="20"/>
    </row>
    <row r="3990">
      <c r="A3990" s="23"/>
      <c r="B3990" s="21"/>
      <c r="C3990" s="23"/>
      <c r="D3990" s="24"/>
      <c r="E3990" s="14"/>
      <c r="F3990" s="14"/>
      <c r="G3990" s="14"/>
      <c r="H3990" s="23"/>
      <c r="I3990" s="27"/>
      <c r="J3990" s="23"/>
      <c r="K3990" s="30"/>
      <c r="L3990" s="23"/>
      <c r="M3990" s="20"/>
      <c r="N3990" s="20"/>
      <c r="O3990" s="20"/>
      <c r="P3990" s="20"/>
    </row>
    <row r="3991">
      <c r="A3991" s="10"/>
      <c r="B3991" s="11"/>
      <c r="C3991" s="10"/>
      <c r="D3991" s="13"/>
      <c r="E3991" s="14"/>
      <c r="F3991" s="14"/>
      <c r="G3991" s="14"/>
      <c r="H3991" s="10"/>
      <c r="I3991" s="17"/>
      <c r="J3991" s="10"/>
      <c r="K3991" s="46"/>
      <c r="L3991" s="10"/>
      <c r="M3991" s="20"/>
      <c r="N3991" s="20"/>
      <c r="O3991" s="20"/>
      <c r="P3991" s="20"/>
    </row>
    <row r="3992">
      <c r="A3992" s="23"/>
      <c r="B3992" s="21"/>
      <c r="C3992" s="23"/>
      <c r="D3992" s="24"/>
      <c r="E3992" s="14"/>
      <c r="F3992" s="14"/>
      <c r="G3992" s="14"/>
      <c r="H3992" s="23"/>
      <c r="I3992" s="27"/>
      <c r="J3992" s="23"/>
      <c r="K3992" s="30"/>
      <c r="L3992" s="23"/>
      <c r="M3992" s="20"/>
      <c r="N3992" s="20"/>
      <c r="O3992" s="20"/>
      <c r="P3992" s="20"/>
    </row>
    <row r="3993">
      <c r="A3993" s="10"/>
      <c r="B3993" s="11"/>
      <c r="C3993" s="10"/>
      <c r="D3993" s="13"/>
      <c r="E3993" s="14"/>
      <c r="F3993" s="14"/>
      <c r="G3993" s="14"/>
      <c r="H3993" s="10"/>
      <c r="I3993" s="17"/>
      <c r="J3993" s="10"/>
      <c r="K3993" s="46"/>
      <c r="L3993" s="10"/>
      <c r="M3993" s="20"/>
      <c r="N3993" s="20"/>
      <c r="O3993" s="20"/>
      <c r="P3993" s="20"/>
    </row>
    <row r="3994">
      <c r="A3994" s="23"/>
      <c r="B3994" s="21"/>
      <c r="C3994" s="23"/>
      <c r="D3994" s="24"/>
      <c r="E3994" s="14"/>
      <c r="F3994" s="14"/>
      <c r="G3994" s="14"/>
      <c r="H3994" s="23"/>
      <c r="I3994" s="27"/>
      <c r="J3994" s="23"/>
      <c r="K3994" s="30"/>
      <c r="L3994" s="23"/>
      <c r="M3994" s="20"/>
      <c r="N3994" s="20"/>
      <c r="O3994" s="20"/>
      <c r="P3994" s="20"/>
    </row>
    <row r="3995">
      <c r="A3995" s="10"/>
      <c r="B3995" s="11"/>
      <c r="C3995" s="10"/>
      <c r="D3995" s="13"/>
      <c r="E3995" s="14"/>
      <c r="F3995" s="14"/>
      <c r="G3995" s="14"/>
      <c r="H3995" s="10"/>
      <c r="I3995" s="17"/>
      <c r="J3995" s="10"/>
      <c r="K3995" s="46"/>
      <c r="L3995" s="10"/>
      <c r="M3995" s="20"/>
      <c r="N3995" s="20"/>
      <c r="O3995" s="20"/>
      <c r="P3995" s="20"/>
    </row>
    <row r="3996">
      <c r="A3996" s="23"/>
      <c r="B3996" s="21"/>
      <c r="C3996" s="23"/>
      <c r="D3996" s="24"/>
      <c r="E3996" s="14"/>
      <c r="F3996" s="14"/>
      <c r="G3996" s="14"/>
      <c r="H3996" s="23"/>
      <c r="I3996" s="27"/>
      <c r="J3996" s="23"/>
      <c r="K3996" s="30"/>
      <c r="L3996" s="23"/>
      <c r="M3996" s="20"/>
      <c r="N3996" s="20"/>
      <c r="O3996" s="20"/>
      <c r="P3996" s="20"/>
    </row>
    <row r="3997">
      <c r="A3997" s="10"/>
      <c r="B3997" s="11"/>
      <c r="C3997" s="10"/>
      <c r="D3997" s="13"/>
      <c r="E3997" s="14"/>
      <c r="F3997" s="14"/>
      <c r="G3997" s="14"/>
      <c r="H3997" s="10"/>
      <c r="I3997" s="17"/>
      <c r="J3997" s="10"/>
      <c r="K3997" s="46"/>
      <c r="L3997" s="10"/>
      <c r="M3997" s="20"/>
      <c r="N3997" s="20"/>
      <c r="O3997" s="20"/>
      <c r="P3997" s="20"/>
    </row>
    <row r="3998">
      <c r="A3998" s="23"/>
      <c r="B3998" s="21"/>
      <c r="C3998" s="23"/>
      <c r="D3998" s="24"/>
      <c r="E3998" s="14"/>
      <c r="F3998" s="14"/>
      <c r="G3998" s="14"/>
      <c r="H3998" s="23"/>
      <c r="I3998" s="27"/>
      <c r="J3998" s="23"/>
      <c r="K3998" s="30"/>
      <c r="L3998" s="23"/>
      <c r="M3998" s="20"/>
      <c r="N3998" s="20"/>
      <c r="O3998" s="20"/>
      <c r="P3998" s="20"/>
    </row>
    <row r="3999">
      <c r="A3999" s="10"/>
      <c r="B3999" s="11"/>
      <c r="C3999" s="10"/>
      <c r="D3999" s="13"/>
      <c r="E3999" s="14"/>
      <c r="F3999" s="14"/>
      <c r="G3999" s="14"/>
      <c r="H3999" s="10"/>
      <c r="I3999" s="17"/>
      <c r="J3999" s="10"/>
      <c r="K3999" s="46"/>
      <c r="L3999" s="10"/>
      <c r="M3999" s="20"/>
      <c r="N3999" s="20"/>
      <c r="O3999" s="20"/>
      <c r="P3999" s="20"/>
    </row>
    <row r="4000">
      <c r="A4000" s="23"/>
      <c r="B4000" s="21"/>
      <c r="C4000" s="23"/>
      <c r="D4000" s="24"/>
      <c r="E4000" s="14"/>
      <c r="F4000" s="14"/>
      <c r="G4000" s="14"/>
      <c r="H4000" s="23"/>
      <c r="I4000" s="27"/>
      <c r="J4000" s="23"/>
      <c r="K4000" s="30"/>
      <c r="L4000" s="23"/>
      <c r="M4000" s="20"/>
      <c r="N4000" s="20"/>
      <c r="O4000" s="20"/>
      <c r="P4000" s="20"/>
    </row>
    <row r="4001">
      <c r="A4001" s="10"/>
      <c r="B4001" s="11"/>
      <c r="C4001" s="10"/>
      <c r="D4001" s="13"/>
      <c r="E4001" s="14"/>
      <c r="F4001" s="14"/>
      <c r="G4001" s="14"/>
      <c r="H4001" s="10"/>
      <c r="I4001" s="17"/>
      <c r="J4001" s="10"/>
      <c r="K4001" s="46"/>
      <c r="L4001" s="10"/>
      <c r="M4001" s="20"/>
      <c r="N4001" s="20"/>
      <c r="O4001" s="20"/>
      <c r="P4001" s="20"/>
    </row>
    <row r="4002">
      <c r="A4002" s="23"/>
      <c r="B4002" s="21"/>
      <c r="C4002" s="23"/>
      <c r="D4002" s="24"/>
      <c r="E4002" s="14"/>
      <c r="F4002" s="14"/>
      <c r="G4002" s="14"/>
      <c r="H4002" s="23"/>
      <c r="I4002" s="27"/>
      <c r="J4002" s="23"/>
      <c r="K4002" s="30"/>
      <c r="L4002" s="23"/>
      <c r="M4002" s="20"/>
      <c r="N4002" s="20"/>
      <c r="O4002" s="20"/>
      <c r="P4002" s="20"/>
    </row>
    <row r="4003">
      <c r="A4003" s="10"/>
      <c r="B4003" s="11"/>
      <c r="C4003" s="10"/>
      <c r="D4003" s="13"/>
      <c r="E4003" s="14"/>
      <c r="F4003" s="14"/>
      <c r="G4003" s="14"/>
      <c r="H4003" s="10"/>
      <c r="I4003" s="17"/>
      <c r="J4003" s="10"/>
      <c r="K4003" s="46"/>
      <c r="L4003" s="10"/>
      <c r="M4003" s="20"/>
      <c r="N4003" s="20"/>
      <c r="O4003" s="20"/>
      <c r="P4003" s="20"/>
    </row>
    <row r="4004">
      <c r="A4004" s="23"/>
      <c r="B4004" s="21"/>
      <c r="C4004" s="23"/>
      <c r="D4004" s="24"/>
      <c r="E4004" s="14"/>
      <c r="F4004" s="14"/>
      <c r="G4004" s="14"/>
      <c r="H4004" s="23"/>
      <c r="I4004" s="27"/>
      <c r="J4004" s="23"/>
      <c r="K4004" s="30"/>
      <c r="L4004" s="23"/>
      <c r="M4004" s="20"/>
      <c r="N4004" s="20"/>
      <c r="O4004" s="20"/>
      <c r="P4004" s="20"/>
    </row>
    <row r="4005">
      <c r="A4005" s="10"/>
      <c r="B4005" s="11"/>
      <c r="C4005" s="10"/>
      <c r="D4005" s="13"/>
      <c r="E4005" s="14"/>
      <c r="F4005" s="14"/>
      <c r="G4005" s="14"/>
      <c r="H4005" s="10"/>
      <c r="I4005" s="17"/>
      <c r="J4005" s="10"/>
      <c r="K4005" s="46"/>
      <c r="L4005" s="10"/>
      <c r="M4005" s="20"/>
      <c r="N4005" s="20"/>
      <c r="O4005" s="20"/>
      <c r="P4005" s="20"/>
    </row>
    <row r="4006">
      <c r="A4006" s="23"/>
      <c r="B4006" s="21"/>
      <c r="C4006" s="23"/>
      <c r="D4006" s="24"/>
      <c r="E4006" s="14"/>
      <c r="F4006" s="14"/>
      <c r="G4006" s="14"/>
      <c r="H4006" s="23"/>
      <c r="I4006" s="27"/>
      <c r="J4006" s="23"/>
      <c r="K4006" s="30"/>
      <c r="L4006" s="23"/>
      <c r="M4006" s="20"/>
      <c r="N4006" s="20"/>
      <c r="O4006" s="20"/>
      <c r="P4006" s="20"/>
    </row>
    <row r="4007">
      <c r="A4007" s="10"/>
      <c r="B4007" s="11"/>
      <c r="C4007" s="10"/>
      <c r="D4007" s="13"/>
      <c r="E4007" s="14"/>
      <c r="F4007" s="14"/>
      <c r="G4007" s="14"/>
      <c r="H4007" s="10"/>
      <c r="I4007" s="17"/>
      <c r="J4007" s="10"/>
      <c r="K4007" s="46"/>
      <c r="L4007" s="10"/>
      <c r="M4007" s="20"/>
      <c r="N4007" s="20"/>
      <c r="O4007" s="20"/>
      <c r="P4007" s="20"/>
    </row>
    <row r="4008">
      <c r="A4008" s="23"/>
      <c r="B4008" s="21"/>
      <c r="C4008" s="23"/>
      <c r="D4008" s="24"/>
      <c r="E4008" s="14"/>
      <c r="F4008" s="14"/>
      <c r="G4008" s="14"/>
      <c r="H4008" s="23"/>
      <c r="I4008" s="27"/>
      <c r="J4008" s="23"/>
      <c r="K4008" s="30"/>
      <c r="L4008" s="23"/>
      <c r="M4008" s="20"/>
      <c r="N4008" s="20"/>
      <c r="O4008" s="20"/>
      <c r="P4008" s="20"/>
    </row>
    <row r="4009">
      <c r="A4009" s="10"/>
      <c r="B4009" s="11"/>
      <c r="C4009" s="10"/>
      <c r="D4009" s="13"/>
      <c r="E4009" s="14"/>
      <c r="F4009" s="14"/>
      <c r="G4009" s="14"/>
      <c r="H4009" s="10"/>
      <c r="I4009" s="17"/>
      <c r="J4009" s="10"/>
      <c r="K4009" s="46"/>
      <c r="L4009" s="10"/>
      <c r="M4009" s="20"/>
      <c r="N4009" s="20"/>
      <c r="O4009" s="20"/>
      <c r="P4009" s="20"/>
    </row>
    <row r="4010">
      <c r="A4010" s="23"/>
      <c r="B4010" s="21"/>
      <c r="C4010" s="23"/>
      <c r="D4010" s="24"/>
      <c r="E4010" s="14"/>
      <c r="F4010" s="14"/>
      <c r="G4010" s="14"/>
      <c r="H4010" s="23"/>
      <c r="I4010" s="27"/>
      <c r="J4010" s="23"/>
      <c r="K4010" s="30"/>
      <c r="L4010" s="23"/>
      <c r="M4010" s="20"/>
      <c r="N4010" s="20"/>
      <c r="O4010" s="20"/>
      <c r="P4010" s="20"/>
    </row>
    <row r="4011">
      <c r="A4011" s="10"/>
      <c r="B4011" s="11"/>
      <c r="C4011" s="10"/>
      <c r="D4011" s="13"/>
      <c r="E4011" s="14"/>
      <c r="F4011" s="14"/>
      <c r="G4011" s="14"/>
      <c r="H4011" s="10"/>
      <c r="I4011" s="17"/>
      <c r="J4011" s="10"/>
      <c r="K4011" s="46"/>
      <c r="L4011" s="10"/>
      <c r="M4011" s="20"/>
      <c r="N4011" s="20"/>
      <c r="O4011" s="20"/>
      <c r="P4011" s="20"/>
    </row>
    <row r="4012">
      <c r="A4012" s="23"/>
      <c r="B4012" s="21"/>
      <c r="C4012" s="23"/>
      <c r="D4012" s="24"/>
      <c r="E4012" s="14"/>
      <c r="F4012" s="14"/>
      <c r="G4012" s="14"/>
      <c r="H4012" s="23"/>
      <c r="I4012" s="27"/>
      <c r="J4012" s="23"/>
      <c r="K4012" s="30"/>
      <c r="L4012" s="23"/>
      <c r="M4012" s="20"/>
      <c r="N4012" s="20"/>
      <c r="O4012" s="20"/>
      <c r="P4012" s="20"/>
    </row>
    <row r="4013">
      <c r="A4013" s="10"/>
      <c r="B4013" s="11"/>
      <c r="C4013" s="10"/>
      <c r="D4013" s="13"/>
      <c r="E4013" s="14"/>
      <c r="F4013" s="14"/>
      <c r="G4013" s="14"/>
      <c r="H4013" s="10"/>
      <c r="I4013" s="17"/>
      <c r="J4013" s="10"/>
      <c r="K4013" s="46"/>
      <c r="L4013" s="10"/>
      <c r="M4013" s="20"/>
      <c r="N4013" s="20"/>
      <c r="O4013" s="20"/>
      <c r="P4013" s="20"/>
    </row>
    <row r="4014">
      <c r="A4014" s="23"/>
      <c r="B4014" s="21"/>
      <c r="C4014" s="23"/>
      <c r="D4014" s="24"/>
      <c r="E4014" s="14"/>
      <c r="F4014" s="14"/>
      <c r="G4014" s="14"/>
      <c r="H4014" s="23"/>
      <c r="I4014" s="27"/>
      <c r="J4014" s="23"/>
      <c r="K4014" s="30"/>
      <c r="L4014" s="23"/>
      <c r="M4014" s="20"/>
      <c r="N4014" s="20"/>
      <c r="O4014" s="20"/>
      <c r="P4014" s="20"/>
    </row>
    <row r="4015">
      <c r="A4015" s="10"/>
      <c r="B4015" s="11"/>
      <c r="C4015" s="10"/>
      <c r="D4015" s="13"/>
      <c r="E4015" s="14"/>
      <c r="F4015" s="14"/>
      <c r="G4015" s="14"/>
      <c r="H4015" s="10"/>
      <c r="I4015" s="17"/>
      <c r="J4015" s="10"/>
      <c r="K4015" s="46"/>
      <c r="L4015" s="10"/>
      <c r="M4015" s="20"/>
      <c r="N4015" s="20"/>
      <c r="O4015" s="20"/>
      <c r="P4015" s="20"/>
    </row>
    <row r="4016">
      <c r="A4016" s="23"/>
      <c r="B4016" s="21"/>
      <c r="C4016" s="23"/>
      <c r="D4016" s="24"/>
      <c r="E4016" s="14"/>
      <c r="F4016" s="14"/>
      <c r="G4016" s="14"/>
      <c r="H4016" s="23"/>
      <c r="I4016" s="27"/>
      <c r="J4016" s="23"/>
      <c r="K4016" s="30"/>
      <c r="L4016" s="23"/>
      <c r="M4016" s="20"/>
      <c r="N4016" s="20"/>
      <c r="O4016" s="20"/>
      <c r="P4016" s="20"/>
    </row>
    <row r="4017">
      <c r="A4017" s="10"/>
      <c r="B4017" s="11"/>
      <c r="C4017" s="10"/>
      <c r="D4017" s="13"/>
      <c r="E4017" s="14"/>
      <c r="F4017" s="14"/>
      <c r="G4017" s="14"/>
      <c r="H4017" s="10"/>
      <c r="I4017" s="17"/>
      <c r="J4017" s="10"/>
      <c r="K4017" s="46"/>
      <c r="L4017" s="10"/>
      <c r="M4017" s="20"/>
      <c r="N4017" s="20"/>
      <c r="O4017" s="20"/>
      <c r="P4017" s="20"/>
    </row>
    <row r="4018">
      <c r="A4018" s="23"/>
      <c r="B4018" s="21"/>
      <c r="C4018" s="23"/>
      <c r="D4018" s="24"/>
      <c r="E4018" s="14"/>
      <c r="F4018" s="14"/>
      <c r="G4018" s="14"/>
      <c r="H4018" s="23"/>
      <c r="I4018" s="27"/>
      <c r="J4018" s="23"/>
      <c r="K4018" s="30"/>
      <c r="L4018" s="23"/>
      <c r="M4018" s="20"/>
      <c r="N4018" s="20"/>
      <c r="O4018" s="20"/>
      <c r="P4018" s="20"/>
    </row>
    <row r="4019">
      <c r="A4019" s="10"/>
      <c r="B4019" s="11"/>
      <c r="C4019" s="10"/>
      <c r="D4019" s="13"/>
      <c r="E4019" s="14"/>
      <c r="F4019" s="14"/>
      <c r="G4019" s="14"/>
      <c r="H4019" s="10"/>
      <c r="I4019" s="17"/>
      <c r="J4019" s="10"/>
      <c r="K4019" s="46"/>
      <c r="L4019" s="10"/>
      <c r="M4019" s="20"/>
      <c r="N4019" s="20"/>
      <c r="O4019" s="20"/>
      <c r="P4019" s="20"/>
    </row>
    <row r="4020">
      <c r="A4020" s="23"/>
      <c r="B4020" s="21"/>
      <c r="C4020" s="23"/>
      <c r="D4020" s="24"/>
      <c r="E4020" s="14"/>
      <c r="F4020" s="14"/>
      <c r="G4020" s="14"/>
      <c r="H4020" s="23"/>
      <c r="I4020" s="27"/>
      <c r="J4020" s="23"/>
      <c r="K4020" s="30"/>
      <c r="L4020" s="23"/>
      <c r="M4020" s="20"/>
      <c r="N4020" s="20"/>
      <c r="O4020" s="20"/>
      <c r="P4020" s="20"/>
    </row>
    <row r="4021">
      <c r="A4021" s="10"/>
      <c r="B4021" s="11"/>
      <c r="C4021" s="10"/>
      <c r="D4021" s="13"/>
      <c r="E4021" s="14"/>
      <c r="F4021" s="14"/>
      <c r="G4021" s="14"/>
      <c r="H4021" s="10"/>
      <c r="I4021" s="17"/>
      <c r="J4021" s="10"/>
      <c r="K4021" s="46"/>
      <c r="L4021" s="10"/>
      <c r="M4021" s="20"/>
      <c r="N4021" s="20"/>
      <c r="O4021" s="20"/>
      <c r="P4021" s="20"/>
    </row>
    <row r="4022">
      <c r="A4022" s="23"/>
      <c r="B4022" s="21"/>
      <c r="C4022" s="23"/>
      <c r="D4022" s="24"/>
      <c r="E4022" s="14"/>
      <c r="F4022" s="14"/>
      <c r="G4022" s="14"/>
      <c r="H4022" s="23"/>
      <c r="I4022" s="27"/>
      <c r="J4022" s="23"/>
      <c r="K4022" s="30"/>
      <c r="L4022" s="23"/>
      <c r="M4022" s="20"/>
      <c r="N4022" s="20"/>
      <c r="O4022" s="20"/>
      <c r="P4022" s="20"/>
    </row>
    <row r="4023">
      <c r="A4023" s="10"/>
      <c r="B4023" s="11"/>
      <c r="C4023" s="10"/>
      <c r="D4023" s="13"/>
      <c r="E4023" s="14"/>
      <c r="F4023" s="14"/>
      <c r="G4023" s="14"/>
      <c r="H4023" s="10"/>
      <c r="I4023" s="17"/>
      <c r="J4023" s="10"/>
      <c r="K4023" s="46"/>
      <c r="L4023" s="10"/>
      <c r="M4023" s="20"/>
      <c r="N4023" s="20"/>
      <c r="O4023" s="20"/>
      <c r="P4023" s="20"/>
    </row>
    <row r="4024">
      <c r="A4024" s="23"/>
      <c r="B4024" s="21"/>
      <c r="C4024" s="23"/>
      <c r="D4024" s="24"/>
      <c r="E4024" s="14"/>
      <c r="F4024" s="14"/>
      <c r="G4024" s="14"/>
      <c r="H4024" s="23"/>
      <c r="I4024" s="27"/>
      <c r="J4024" s="23"/>
      <c r="K4024" s="30"/>
      <c r="L4024" s="23"/>
      <c r="M4024" s="20"/>
      <c r="N4024" s="20"/>
      <c r="O4024" s="20"/>
      <c r="P4024" s="20"/>
    </row>
    <row r="4025">
      <c r="A4025" s="10"/>
      <c r="B4025" s="11"/>
      <c r="C4025" s="10"/>
      <c r="D4025" s="13"/>
      <c r="E4025" s="14"/>
      <c r="F4025" s="14"/>
      <c r="G4025" s="14"/>
      <c r="H4025" s="10"/>
      <c r="I4025" s="17"/>
      <c r="J4025" s="10"/>
      <c r="K4025" s="46"/>
      <c r="L4025" s="10"/>
      <c r="M4025" s="20"/>
      <c r="N4025" s="20"/>
      <c r="O4025" s="20"/>
      <c r="P4025" s="20"/>
    </row>
    <row r="4026">
      <c r="A4026" s="23"/>
      <c r="B4026" s="21"/>
      <c r="C4026" s="23"/>
      <c r="D4026" s="24"/>
      <c r="E4026" s="14"/>
      <c r="F4026" s="14"/>
      <c r="G4026" s="14"/>
      <c r="H4026" s="23"/>
      <c r="I4026" s="27"/>
      <c r="J4026" s="23"/>
      <c r="K4026" s="30"/>
      <c r="L4026" s="23"/>
      <c r="M4026" s="20"/>
      <c r="N4026" s="20"/>
      <c r="O4026" s="20"/>
      <c r="P4026" s="20"/>
    </row>
    <row r="4027">
      <c r="A4027" s="10"/>
      <c r="B4027" s="11"/>
      <c r="C4027" s="10"/>
      <c r="D4027" s="13"/>
      <c r="E4027" s="14"/>
      <c r="F4027" s="14"/>
      <c r="G4027" s="14"/>
      <c r="H4027" s="10"/>
      <c r="I4027" s="17"/>
      <c r="J4027" s="10"/>
      <c r="K4027" s="46"/>
      <c r="L4027" s="10"/>
      <c r="M4027" s="20"/>
      <c r="N4027" s="20"/>
      <c r="O4027" s="20"/>
      <c r="P4027" s="20"/>
    </row>
    <row r="4028">
      <c r="A4028" s="23"/>
      <c r="B4028" s="21"/>
      <c r="C4028" s="23"/>
      <c r="D4028" s="24"/>
      <c r="E4028" s="14"/>
      <c r="F4028" s="14"/>
      <c r="G4028" s="14"/>
      <c r="H4028" s="23"/>
      <c r="I4028" s="27"/>
      <c r="J4028" s="23"/>
      <c r="K4028" s="30"/>
      <c r="L4028" s="23"/>
      <c r="M4028" s="20"/>
      <c r="N4028" s="20"/>
      <c r="O4028" s="20"/>
      <c r="P4028" s="20"/>
    </row>
    <row r="4029">
      <c r="A4029" s="10"/>
      <c r="B4029" s="11"/>
      <c r="C4029" s="10"/>
      <c r="D4029" s="13"/>
      <c r="E4029" s="14"/>
      <c r="F4029" s="14"/>
      <c r="G4029" s="14"/>
      <c r="H4029" s="10"/>
      <c r="I4029" s="17"/>
      <c r="J4029" s="10"/>
      <c r="K4029" s="46"/>
      <c r="L4029" s="10"/>
      <c r="M4029" s="20"/>
      <c r="N4029" s="20"/>
      <c r="O4029" s="20"/>
      <c r="P4029" s="20"/>
    </row>
    <row r="4030">
      <c r="A4030" s="23"/>
      <c r="B4030" s="21"/>
      <c r="C4030" s="23"/>
      <c r="D4030" s="24"/>
      <c r="E4030" s="14"/>
      <c r="F4030" s="14"/>
      <c r="G4030" s="14"/>
      <c r="H4030" s="23"/>
      <c r="I4030" s="27"/>
      <c r="J4030" s="23"/>
      <c r="K4030" s="30"/>
      <c r="L4030" s="23"/>
      <c r="M4030" s="20"/>
      <c r="N4030" s="20"/>
      <c r="O4030" s="20"/>
      <c r="P4030" s="20"/>
    </row>
    <row r="4031">
      <c r="A4031" s="10"/>
      <c r="B4031" s="11"/>
      <c r="C4031" s="10"/>
      <c r="D4031" s="13"/>
      <c r="E4031" s="14"/>
      <c r="F4031" s="14"/>
      <c r="G4031" s="14"/>
      <c r="H4031" s="10"/>
      <c r="I4031" s="17"/>
      <c r="J4031" s="10"/>
      <c r="K4031" s="46"/>
      <c r="L4031" s="10"/>
      <c r="M4031" s="20"/>
      <c r="N4031" s="20"/>
      <c r="O4031" s="20"/>
      <c r="P4031" s="20"/>
    </row>
    <row r="4032">
      <c r="A4032" s="23"/>
      <c r="B4032" s="21"/>
      <c r="C4032" s="23"/>
      <c r="D4032" s="24"/>
      <c r="E4032" s="14"/>
      <c r="F4032" s="14"/>
      <c r="G4032" s="14"/>
      <c r="H4032" s="23"/>
      <c r="I4032" s="27"/>
      <c r="J4032" s="23"/>
      <c r="K4032" s="30"/>
      <c r="L4032" s="23"/>
      <c r="M4032" s="20"/>
      <c r="N4032" s="20"/>
      <c r="O4032" s="20"/>
      <c r="P4032" s="20"/>
    </row>
    <row r="4033">
      <c r="A4033" s="10"/>
      <c r="B4033" s="11"/>
      <c r="C4033" s="10"/>
      <c r="D4033" s="13"/>
      <c r="E4033" s="14"/>
      <c r="F4033" s="14"/>
      <c r="G4033" s="14"/>
      <c r="H4033" s="10"/>
      <c r="I4033" s="17"/>
      <c r="J4033" s="10"/>
      <c r="K4033" s="46"/>
      <c r="L4033" s="10"/>
      <c r="M4033" s="20"/>
      <c r="N4033" s="20"/>
      <c r="O4033" s="20"/>
      <c r="P4033" s="20"/>
    </row>
    <row r="4034">
      <c r="A4034" s="23"/>
      <c r="B4034" s="21"/>
      <c r="C4034" s="23"/>
      <c r="D4034" s="24"/>
      <c r="E4034" s="14"/>
      <c r="F4034" s="14"/>
      <c r="G4034" s="14"/>
      <c r="H4034" s="23"/>
      <c r="I4034" s="27"/>
      <c r="J4034" s="23"/>
      <c r="K4034" s="30"/>
      <c r="L4034" s="23"/>
      <c r="M4034" s="20"/>
      <c r="N4034" s="20"/>
      <c r="O4034" s="20"/>
      <c r="P4034" s="20"/>
    </row>
    <row r="4035">
      <c r="A4035" s="10"/>
      <c r="B4035" s="11"/>
      <c r="C4035" s="10"/>
      <c r="D4035" s="13"/>
      <c r="E4035" s="14"/>
      <c r="F4035" s="14"/>
      <c r="G4035" s="14"/>
      <c r="H4035" s="10"/>
      <c r="I4035" s="17"/>
      <c r="J4035" s="10"/>
      <c r="K4035" s="46"/>
      <c r="L4035" s="10"/>
      <c r="M4035" s="20"/>
      <c r="N4035" s="20"/>
      <c r="O4035" s="20"/>
      <c r="P4035" s="20"/>
    </row>
    <row r="4036">
      <c r="A4036" s="23"/>
      <c r="B4036" s="21"/>
      <c r="C4036" s="23"/>
      <c r="D4036" s="24"/>
      <c r="E4036" s="14"/>
      <c r="F4036" s="14"/>
      <c r="G4036" s="14"/>
      <c r="H4036" s="23"/>
      <c r="I4036" s="27"/>
      <c r="J4036" s="23"/>
      <c r="K4036" s="30"/>
      <c r="L4036" s="23"/>
      <c r="M4036" s="20"/>
      <c r="N4036" s="20"/>
      <c r="O4036" s="20"/>
      <c r="P4036" s="20"/>
    </row>
    <row r="4037">
      <c r="A4037" s="10"/>
      <c r="B4037" s="11"/>
      <c r="C4037" s="10"/>
      <c r="D4037" s="13"/>
      <c r="E4037" s="14"/>
      <c r="F4037" s="14"/>
      <c r="G4037" s="14"/>
      <c r="H4037" s="10"/>
      <c r="I4037" s="17"/>
      <c r="J4037" s="10"/>
      <c r="K4037" s="46"/>
      <c r="L4037" s="10"/>
      <c r="M4037" s="20"/>
      <c r="N4037" s="20"/>
      <c r="O4037" s="20"/>
      <c r="P4037" s="20"/>
    </row>
    <row r="4038">
      <c r="A4038" s="23"/>
      <c r="B4038" s="21"/>
      <c r="C4038" s="23"/>
      <c r="D4038" s="24"/>
      <c r="E4038" s="14"/>
      <c r="F4038" s="14"/>
      <c r="G4038" s="14"/>
      <c r="H4038" s="23"/>
      <c r="I4038" s="27"/>
      <c r="J4038" s="23"/>
      <c r="K4038" s="30"/>
      <c r="L4038" s="23"/>
      <c r="M4038" s="20"/>
      <c r="N4038" s="20"/>
      <c r="O4038" s="20"/>
      <c r="P4038" s="20"/>
    </row>
    <row r="4039">
      <c r="A4039" s="10"/>
      <c r="B4039" s="11"/>
      <c r="C4039" s="10"/>
      <c r="D4039" s="13"/>
      <c r="E4039" s="14"/>
      <c r="F4039" s="14"/>
      <c r="G4039" s="14"/>
      <c r="H4039" s="10"/>
      <c r="I4039" s="17"/>
      <c r="J4039" s="10"/>
      <c r="K4039" s="46"/>
      <c r="L4039" s="10"/>
      <c r="M4039" s="20"/>
      <c r="N4039" s="20"/>
      <c r="O4039" s="20"/>
      <c r="P4039" s="20"/>
    </row>
    <row r="4040">
      <c r="A4040" s="23"/>
      <c r="B4040" s="21"/>
      <c r="C4040" s="23"/>
      <c r="D4040" s="24"/>
      <c r="E4040" s="14"/>
      <c r="F4040" s="14"/>
      <c r="G4040" s="14"/>
      <c r="H4040" s="23"/>
      <c r="I4040" s="27"/>
      <c r="J4040" s="23"/>
      <c r="K4040" s="30"/>
      <c r="L4040" s="23"/>
      <c r="M4040" s="20"/>
      <c r="N4040" s="20"/>
      <c r="O4040" s="20"/>
      <c r="P4040" s="20"/>
    </row>
    <row r="4041">
      <c r="A4041" s="10"/>
      <c r="B4041" s="11"/>
      <c r="C4041" s="10"/>
      <c r="D4041" s="13"/>
      <c r="E4041" s="14"/>
      <c r="F4041" s="14"/>
      <c r="G4041" s="14"/>
      <c r="H4041" s="10"/>
      <c r="I4041" s="17"/>
      <c r="J4041" s="10"/>
      <c r="K4041" s="46"/>
      <c r="L4041" s="10"/>
      <c r="M4041" s="20"/>
      <c r="N4041" s="20"/>
      <c r="O4041" s="20"/>
      <c r="P4041" s="20"/>
    </row>
    <row r="4042">
      <c r="A4042" s="23"/>
      <c r="B4042" s="21"/>
      <c r="C4042" s="23"/>
      <c r="D4042" s="24"/>
      <c r="E4042" s="14"/>
      <c r="F4042" s="14"/>
      <c r="G4042" s="14"/>
      <c r="H4042" s="23"/>
      <c r="I4042" s="27"/>
      <c r="J4042" s="23"/>
      <c r="K4042" s="30"/>
      <c r="L4042" s="23"/>
      <c r="M4042" s="20"/>
      <c r="N4042" s="20"/>
      <c r="O4042" s="20"/>
      <c r="P4042" s="20"/>
    </row>
    <row r="4043">
      <c r="A4043" s="10"/>
      <c r="B4043" s="11"/>
      <c r="C4043" s="10"/>
      <c r="D4043" s="13"/>
      <c r="E4043" s="14"/>
      <c r="F4043" s="14"/>
      <c r="G4043" s="14"/>
      <c r="H4043" s="10"/>
      <c r="I4043" s="17"/>
      <c r="J4043" s="10"/>
      <c r="K4043" s="46"/>
      <c r="L4043" s="10"/>
      <c r="M4043" s="20"/>
      <c r="N4043" s="20"/>
      <c r="O4043" s="20"/>
      <c r="P4043" s="20"/>
    </row>
    <row r="4044">
      <c r="A4044" s="23"/>
      <c r="B4044" s="21"/>
      <c r="C4044" s="23"/>
      <c r="D4044" s="24"/>
      <c r="E4044" s="14"/>
      <c r="F4044" s="14"/>
      <c r="G4044" s="14"/>
      <c r="H4044" s="23"/>
      <c r="I4044" s="27"/>
      <c r="J4044" s="23"/>
      <c r="K4044" s="30"/>
      <c r="L4044" s="23"/>
      <c r="M4044" s="20"/>
      <c r="N4044" s="20"/>
      <c r="O4044" s="20"/>
      <c r="P4044" s="20"/>
    </row>
    <row r="4045">
      <c r="A4045" s="10"/>
      <c r="B4045" s="11"/>
      <c r="C4045" s="10"/>
      <c r="D4045" s="13"/>
      <c r="E4045" s="14"/>
      <c r="F4045" s="14"/>
      <c r="G4045" s="14"/>
      <c r="H4045" s="10"/>
      <c r="I4045" s="17"/>
      <c r="J4045" s="10"/>
      <c r="K4045" s="46"/>
      <c r="L4045" s="10"/>
      <c r="M4045" s="20"/>
      <c r="N4045" s="20"/>
      <c r="O4045" s="20"/>
      <c r="P4045" s="20"/>
    </row>
    <row r="4046">
      <c r="A4046" s="23"/>
      <c r="B4046" s="21"/>
      <c r="C4046" s="23"/>
      <c r="D4046" s="24"/>
      <c r="E4046" s="14"/>
      <c r="F4046" s="14"/>
      <c r="G4046" s="14"/>
      <c r="H4046" s="23"/>
      <c r="I4046" s="27"/>
      <c r="J4046" s="23"/>
      <c r="K4046" s="30"/>
      <c r="L4046" s="23"/>
      <c r="M4046" s="20"/>
      <c r="N4046" s="20"/>
      <c r="O4046" s="20"/>
      <c r="P4046" s="20"/>
    </row>
    <row r="4047">
      <c r="A4047" s="10"/>
      <c r="B4047" s="11"/>
      <c r="C4047" s="10"/>
      <c r="D4047" s="13"/>
      <c r="E4047" s="14"/>
      <c r="F4047" s="14"/>
      <c r="G4047" s="14"/>
      <c r="H4047" s="10"/>
      <c r="I4047" s="17"/>
      <c r="J4047" s="10"/>
      <c r="K4047" s="46"/>
      <c r="L4047" s="10"/>
      <c r="M4047" s="20"/>
      <c r="N4047" s="20"/>
      <c r="O4047" s="20"/>
      <c r="P4047" s="20"/>
    </row>
    <row r="4048">
      <c r="A4048" s="23"/>
      <c r="B4048" s="21"/>
      <c r="C4048" s="23"/>
      <c r="D4048" s="24"/>
      <c r="E4048" s="14"/>
      <c r="F4048" s="14"/>
      <c r="G4048" s="14"/>
      <c r="H4048" s="23"/>
      <c r="I4048" s="27"/>
      <c r="J4048" s="23"/>
      <c r="K4048" s="30"/>
      <c r="L4048" s="23"/>
      <c r="M4048" s="20"/>
      <c r="N4048" s="20"/>
      <c r="O4048" s="20"/>
      <c r="P4048" s="20"/>
    </row>
    <row r="4049">
      <c r="A4049" s="10"/>
      <c r="B4049" s="11"/>
      <c r="C4049" s="10"/>
      <c r="D4049" s="13"/>
      <c r="E4049" s="14"/>
      <c r="F4049" s="14"/>
      <c r="G4049" s="14"/>
      <c r="H4049" s="10"/>
      <c r="I4049" s="17"/>
      <c r="J4049" s="10"/>
      <c r="K4049" s="46"/>
      <c r="L4049" s="10"/>
      <c r="M4049" s="20"/>
      <c r="N4049" s="20"/>
      <c r="O4049" s="20"/>
      <c r="P4049" s="20"/>
    </row>
    <row r="4050">
      <c r="A4050" s="23"/>
      <c r="B4050" s="21"/>
      <c r="C4050" s="23"/>
      <c r="D4050" s="24"/>
      <c r="E4050" s="14"/>
      <c r="F4050" s="14"/>
      <c r="G4050" s="14"/>
      <c r="H4050" s="23"/>
      <c r="I4050" s="27"/>
      <c r="J4050" s="23"/>
      <c r="K4050" s="30"/>
      <c r="L4050" s="23"/>
      <c r="M4050" s="20"/>
      <c r="N4050" s="20"/>
      <c r="O4050" s="20"/>
      <c r="P4050" s="20"/>
    </row>
    <row r="4051">
      <c r="A4051" s="10"/>
      <c r="B4051" s="11"/>
      <c r="C4051" s="10"/>
      <c r="D4051" s="13"/>
      <c r="E4051" s="14"/>
      <c r="F4051" s="14"/>
      <c r="G4051" s="14"/>
      <c r="H4051" s="10"/>
      <c r="I4051" s="17"/>
      <c r="J4051" s="10"/>
      <c r="K4051" s="46"/>
      <c r="L4051" s="10"/>
      <c r="M4051" s="20"/>
      <c r="N4051" s="20"/>
      <c r="O4051" s="20"/>
      <c r="P4051" s="20"/>
    </row>
    <row r="4052">
      <c r="A4052" s="23"/>
      <c r="B4052" s="21"/>
      <c r="C4052" s="23"/>
      <c r="D4052" s="24"/>
      <c r="E4052" s="14"/>
      <c r="F4052" s="14"/>
      <c r="G4052" s="14"/>
      <c r="H4052" s="23"/>
      <c r="I4052" s="27"/>
      <c r="J4052" s="23"/>
      <c r="K4052" s="30"/>
      <c r="L4052" s="23"/>
      <c r="M4052" s="20"/>
      <c r="N4052" s="20"/>
      <c r="O4052" s="20"/>
      <c r="P4052" s="20"/>
    </row>
    <row r="4053">
      <c r="A4053" s="10"/>
      <c r="B4053" s="11"/>
      <c r="C4053" s="10"/>
      <c r="D4053" s="13"/>
      <c r="E4053" s="14"/>
      <c r="F4053" s="14"/>
      <c r="G4053" s="14"/>
      <c r="H4053" s="10"/>
      <c r="I4053" s="17"/>
      <c r="J4053" s="10"/>
      <c r="K4053" s="46"/>
      <c r="L4053" s="10"/>
      <c r="M4053" s="20"/>
      <c r="N4053" s="20"/>
      <c r="O4053" s="20"/>
      <c r="P4053" s="20"/>
    </row>
    <row r="4054">
      <c r="A4054" s="23"/>
      <c r="B4054" s="21"/>
      <c r="C4054" s="23"/>
      <c r="D4054" s="24"/>
      <c r="E4054" s="14"/>
      <c r="F4054" s="14"/>
      <c r="G4054" s="14"/>
      <c r="H4054" s="23"/>
      <c r="I4054" s="27"/>
      <c r="J4054" s="23"/>
      <c r="K4054" s="30"/>
      <c r="L4054" s="23"/>
      <c r="M4054" s="20"/>
      <c r="N4054" s="20"/>
      <c r="O4054" s="20"/>
      <c r="P4054" s="20"/>
    </row>
    <row r="4055">
      <c r="A4055" s="10"/>
      <c r="B4055" s="11"/>
      <c r="C4055" s="10"/>
      <c r="D4055" s="13"/>
      <c r="E4055" s="14"/>
      <c r="F4055" s="14"/>
      <c r="G4055" s="14"/>
      <c r="H4055" s="10"/>
      <c r="I4055" s="17"/>
      <c r="J4055" s="10"/>
      <c r="K4055" s="46"/>
      <c r="L4055" s="10"/>
      <c r="M4055" s="20"/>
      <c r="N4055" s="20"/>
      <c r="O4055" s="20"/>
      <c r="P4055" s="20"/>
    </row>
    <row r="4056">
      <c r="A4056" s="23"/>
      <c r="B4056" s="21"/>
      <c r="C4056" s="23"/>
      <c r="D4056" s="24"/>
      <c r="E4056" s="14"/>
      <c r="F4056" s="14"/>
      <c r="G4056" s="14"/>
      <c r="H4056" s="23"/>
      <c r="I4056" s="27"/>
      <c r="J4056" s="23"/>
      <c r="K4056" s="30"/>
      <c r="L4056" s="23"/>
      <c r="M4056" s="20"/>
      <c r="N4056" s="20"/>
      <c r="O4056" s="20"/>
      <c r="P4056" s="20"/>
    </row>
    <row r="4057">
      <c r="A4057" s="10"/>
      <c r="B4057" s="11"/>
      <c r="C4057" s="10"/>
      <c r="D4057" s="13"/>
      <c r="E4057" s="14"/>
      <c r="F4057" s="14"/>
      <c r="G4057" s="14"/>
      <c r="H4057" s="10"/>
      <c r="I4057" s="17"/>
      <c r="J4057" s="10"/>
      <c r="K4057" s="46"/>
      <c r="L4057" s="10"/>
      <c r="M4057" s="20"/>
      <c r="N4057" s="20"/>
      <c r="O4057" s="20"/>
      <c r="P4057" s="20"/>
    </row>
    <row r="4058">
      <c r="A4058" s="23"/>
      <c r="B4058" s="21"/>
      <c r="C4058" s="23"/>
      <c r="D4058" s="24"/>
      <c r="E4058" s="14"/>
      <c r="F4058" s="14"/>
      <c r="G4058" s="14"/>
      <c r="H4058" s="23"/>
      <c r="I4058" s="27"/>
      <c r="J4058" s="23"/>
      <c r="K4058" s="30"/>
      <c r="L4058" s="23"/>
      <c r="M4058" s="20"/>
      <c r="N4058" s="20"/>
      <c r="O4058" s="20"/>
      <c r="P4058" s="20"/>
    </row>
    <row r="4059">
      <c r="A4059" s="10"/>
      <c r="B4059" s="11"/>
      <c r="C4059" s="10"/>
      <c r="D4059" s="13"/>
      <c r="E4059" s="14"/>
      <c r="F4059" s="14"/>
      <c r="G4059" s="14"/>
      <c r="H4059" s="10"/>
      <c r="I4059" s="17"/>
      <c r="J4059" s="10"/>
      <c r="K4059" s="46"/>
      <c r="L4059" s="10"/>
      <c r="M4059" s="20"/>
      <c r="N4059" s="20"/>
      <c r="O4059" s="20"/>
      <c r="P4059" s="20"/>
    </row>
    <row r="4060">
      <c r="A4060" s="23"/>
      <c r="B4060" s="21"/>
      <c r="C4060" s="23"/>
      <c r="D4060" s="24"/>
      <c r="E4060" s="14"/>
      <c r="F4060" s="14"/>
      <c r="G4060" s="14"/>
      <c r="H4060" s="23"/>
      <c r="I4060" s="27"/>
      <c r="J4060" s="23"/>
      <c r="K4060" s="30"/>
      <c r="L4060" s="23"/>
      <c r="M4060" s="20"/>
      <c r="N4060" s="20"/>
      <c r="O4060" s="20"/>
      <c r="P4060" s="20"/>
    </row>
    <row r="4061">
      <c r="A4061" s="10"/>
      <c r="B4061" s="11"/>
      <c r="C4061" s="10"/>
      <c r="D4061" s="13"/>
      <c r="E4061" s="14"/>
      <c r="F4061" s="14"/>
      <c r="G4061" s="14"/>
      <c r="H4061" s="10"/>
      <c r="I4061" s="17"/>
      <c r="J4061" s="10"/>
      <c r="K4061" s="46"/>
      <c r="L4061" s="10"/>
      <c r="M4061" s="20"/>
      <c r="N4061" s="20"/>
      <c r="O4061" s="20"/>
      <c r="P4061" s="20"/>
    </row>
    <row r="4062">
      <c r="A4062" s="23"/>
      <c r="B4062" s="21"/>
      <c r="C4062" s="23"/>
      <c r="D4062" s="24"/>
      <c r="E4062" s="14"/>
      <c r="F4062" s="14"/>
      <c r="G4062" s="14"/>
      <c r="H4062" s="23"/>
      <c r="I4062" s="27"/>
      <c r="J4062" s="23"/>
      <c r="K4062" s="30"/>
      <c r="L4062" s="23"/>
      <c r="M4062" s="20"/>
      <c r="N4062" s="20"/>
      <c r="O4062" s="20"/>
      <c r="P4062" s="20"/>
    </row>
    <row r="4063">
      <c r="A4063" s="10"/>
      <c r="B4063" s="11"/>
      <c r="C4063" s="10"/>
      <c r="D4063" s="13"/>
      <c r="E4063" s="14"/>
      <c r="F4063" s="14"/>
      <c r="G4063" s="14"/>
      <c r="H4063" s="10"/>
      <c r="I4063" s="17"/>
      <c r="J4063" s="10"/>
      <c r="K4063" s="46"/>
      <c r="L4063" s="10"/>
      <c r="M4063" s="20"/>
      <c r="N4063" s="20"/>
      <c r="O4063" s="20"/>
      <c r="P4063" s="20"/>
    </row>
    <row r="4064">
      <c r="A4064" s="23"/>
      <c r="B4064" s="21"/>
      <c r="C4064" s="23"/>
      <c r="D4064" s="24"/>
      <c r="E4064" s="14"/>
      <c r="F4064" s="14"/>
      <c r="G4064" s="14"/>
      <c r="H4064" s="23"/>
      <c r="I4064" s="27"/>
      <c r="J4064" s="23"/>
      <c r="K4064" s="30"/>
      <c r="L4064" s="23"/>
      <c r="M4064" s="20"/>
      <c r="N4064" s="20"/>
      <c r="O4064" s="20"/>
      <c r="P4064" s="20"/>
    </row>
    <row r="4065">
      <c r="A4065" s="10"/>
      <c r="B4065" s="11"/>
      <c r="C4065" s="10"/>
      <c r="D4065" s="13"/>
      <c r="E4065" s="14"/>
      <c r="F4065" s="14"/>
      <c r="G4065" s="14"/>
      <c r="H4065" s="10"/>
      <c r="I4065" s="17"/>
      <c r="J4065" s="10"/>
      <c r="K4065" s="46"/>
      <c r="L4065" s="10"/>
      <c r="M4065" s="20"/>
      <c r="N4065" s="20"/>
      <c r="O4065" s="20"/>
      <c r="P4065" s="20"/>
    </row>
    <row r="4066">
      <c r="A4066" s="23"/>
      <c r="B4066" s="21"/>
      <c r="C4066" s="23"/>
      <c r="D4066" s="24"/>
      <c r="E4066" s="14"/>
      <c r="F4066" s="14"/>
      <c r="G4066" s="14"/>
      <c r="H4066" s="23"/>
      <c r="I4066" s="27"/>
      <c r="J4066" s="23"/>
      <c r="K4066" s="30"/>
      <c r="L4066" s="23"/>
      <c r="M4066" s="20"/>
      <c r="N4066" s="20"/>
      <c r="O4066" s="20"/>
      <c r="P4066" s="20"/>
    </row>
    <row r="4067">
      <c r="A4067" s="10"/>
      <c r="B4067" s="11"/>
      <c r="C4067" s="10"/>
      <c r="D4067" s="13"/>
      <c r="E4067" s="14"/>
      <c r="F4067" s="14"/>
      <c r="G4067" s="14"/>
      <c r="H4067" s="10"/>
      <c r="I4067" s="17"/>
      <c r="J4067" s="10"/>
      <c r="K4067" s="46"/>
      <c r="L4067" s="10"/>
      <c r="M4067" s="20"/>
      <c r="N4067" s="20"/>
      <c r="O4067" s="20"/>
      <c r="P4067" s="20"/>
    </row>
    <row r="4068">
      <c r="A4068" s="23"/>
      <c r="B4068" s="21"/>
      <c r="C4068" s="23"/>
      <c r="D4068" s="24"/>
      <c r="E4068" s="14"/>
      <c r="F4068" s="14"/>
      <c r="G4068" s="14"/>
      <c r="H4068" s="23"/>
      <c r="I4068" s="27"/>
      <c r="J4068" s="23"/>
      <c r="K4068" s="30"/>
      <c r="L4068" s="23"/>
      <c r="M4068" s="20"/>
      <c r="N4068" s="20"/>
      <c r="O4068" s="20"/>
      <c r="P4068" s="20"/>
    </row>
    <row r="4069">
      <c r="A4069" s="10"/>
      <c r="B4069" s="11"/>
      <c r="C4069" s="10"/>
      <c r="D4069" s="13"/>
      <c r="E4069" s="14"/>
      <c r="F4069" s="14"/>
      <c r="G4069" s="14"/>
      <c r="H4069" s="10"/>
      <c r="I4069" s="17"/>
      <c r="J4069" s="10"/>
      <c r="K4069" s="46"/>
      <c r="L4069" s="10"/>
      <c r="M4069" s="20"/>
      <c r="N4069" s="20"/>
      <c r="O4069" s="20"/>
      <c r="P4069" s="20"/>
    </row>
    <row r="4070">
      <c r="A4070" s="23"/>
      <c r="B4070" s="21"/>
      <c r="C4070" s="23"/>
      <c r="D4070" s="24"/>
      <c r="E4070" s="14"/>
      <c r="F4070" s="14"/>
      <c r="G4070" s="14"/>
      <c r="H4070" s="23"/>
      <c r="I4070" s="27"/>
      <c r="J4070" s="23"/>
      <c r="K4070" s="30"/>
      <c r="L4070" s="23"/>
      <c r="M4070" s="20"/>
      <c r="N4070" s="20"/>
      <c r="O4070" s="20"/>
      <c r="P4070" s="20"/>
    </row>
    <row r="4071">
      <c r="A4071" s="10"/>
      <c r="B4071" s="11"/>
      <c r="C4071" s="10"/>
      <c r="D4071" s="13"/>
      <c r="E4071" s="14"/>
      <c r="F4071" s="14"/>
      <c r="G4071" s="14"/>
      <c r="H4071" s="10"/>
      <c r="I4071" s="17"/>
      <c r="J4071" s="10"/>
      <c r="K4071" s="46"/>
      <c r="L4071" s="10"/>
      <c r="M4071" s="20"/>
      <c r="N4071" s="20"/>
      <c r="O4071" s="20"/>
      <c r="P4071" s="20"/>
    </row>
    <row r="4072">
      <c r="A4072" s="23"/>
      <c r="B4072" s="21"/>
      <c r="C4072" s="23"/>
      <c r="D4072" s="24"/>
      <c r="E4072" s="14"/>
      <c r="F4072" s="14"/>
      <c r="G4072" s="14"/>
      <c r="H4072" s="23"/>
      <c r="I4072" s="27"/>
      <c r="J4072" s="23"/>
      <c r="K4072" s="30"/>
      <c r="L4072" s="23"/>
      <c r="M4072" s="20"/>
      <c r="N4072" s="20"/>
      <c r="O4072" s="20"/>
      <c r="P4072" s="20"/>
    </row>
    <row r="4073">
      <c r="A4073" s="10"/>
      <c r="B4073" s="11"/>
      <c r="C4073" s="10"/>
      <c r="D4073" s="13"/>
      <c r="E4073" s="14"/>
      <c r="F4073" s="14"/>
      <c r="G4073" s="14"/>
      <c r="H4073" s="10"/>
      <c r="I4073" s="17"/>
      <c r="J4073" s="10"/>
      <c r="K4073" s="46"/>
      <c r="L4073" s="10"/>
      <c r="M4073" s="20"/>
      <c r="N4073" s="20"/>
      <c r="O4073" s="20"/>
      <c r="P4073" s="20"/>
    </row>
    <row r="4074">
      <c r="A4074" s="23"/>
      <c r="B4074" s="21"/>
      <c r="C4074" s="23"/>
      <c r="D4074" s="24"/>
      <c r="E4074" s="14"/>
      <c r="F4074" s="14"/>
      <c r="G4074" s="14"/>
      <c r="H4074" s="23"/>
      <c r="I4074" s="27"/>
      <c r="J4074" s="23"/>
      <c r="K4074" s="30"/>
      <c r="L4074" s="23"/>
      <c r="M4074" s="20"/>
      <c r="N4074" s="20"/>
      <c r="O4074" s="20"/>
      <c r="P4074" s="20"/>
    </row>
    <row r="4075">
      <c r="A4075" s="10"/>
      <c r="B4075" s="11"/>
      <c r="C4075" s="10"/>
      <c r="D4075" s="13"/>
      <c r="E4075" s="14"/>
      <c r="F4075" s="14"/>
      <c r="G4075" s="14"/>
      <c r="H4075" s="10"/>
      <c r="I4075" s="17"/>
      <c r="J4075" s="10"/>
      <c r="K4075" s="46"/>
      <c r="L4075" s="10"/>
      <c r="M4075" s="20"/>
      <c r="N4075" s="20"/>
      <c r="O4075" s="20"/>
      <c r="P4075" s="20"/>
    </row>
    <row r="4076">
      <c r="A4076" s="23"/>
      <c r="B4076" s="21"/>
      <c r="C4076" s="23"/>
      <c r="D4076" s="24"/>
      <c r="E4076" s="14"/>
      <c r="F4076" s="14"/>
      <c r="G4076" s="14"/>
      <c r="H4076" s="23"/>
      <c r="I4076" s="27"/>
      <c r="J4076" s="23"/>
      <c r="K4076" s="30"/>
      <c r="L4076" s="23"/>
      <c r="M4076" s="20"/>
      <c r="N4076" s="20"/>
      <c r="O4076" s="20"/>
      <c r="P4076" s="20"/>
    </row>
    <row r="4077">
      <c r="A4077" s="10"/>
      <c r="B4077" s="11"/>
      <c r="C4077" s="10"/>
      <c r="D4077" s="13"/>
      <c r="E4077" s="14"/>
      <c r="F4077" s="14"/>
      <c r="G4077" s="14"/>
      <c r="H4077" s="10"/>
      <c r="I4077" s="17"/>
      <c r="J4077" s="10"/>
      <c r="K4077" s="46"/>
      <c r="L4077" s="10"/>
      <c r="M4077" s="20"/>
      <c r="N4077" s="20"/>
      <c r="O4077" s="20"/>
      <c r="P4077" s="20"/>
    </row>
    <row r="4078">
      <c r="A4078" s="23"/>
      <c r="B4078" s="21"/>
      <c r="C4078" s="23"/>
      <c r="D4078" s="24"/>
      <c r="E4078" s="14"/>
      <c r="F4078" s="14"/>
      <c r="G4078" s="14"/>
      <c r="H4078" s="23"/>
      <c r="I4078" s="27"/>
      <c r="J4078" s="23"/>
      <c r="K4078" s="30"/>
      <c r="L4078" s="23"/>
      <c r="M4078" s="20"/>
      <c r="N4078" s="20"/>
      <c r="O4078" s="20"/>
      <c r="P4078" s="20"/>
    </row>
    <row r="4079">
      <c r="A4079" s="10"/>
      <c r="B4079" s="11"/>
      <c r="C4079" s="10"/>
      <c r="D4079" s="13"/>
      <c r="E4079" s="14"/>
      <c r="F4079" s="14"/>
      <c r="G4079" s="14"/>
      <c r="H4079" s="10"/>
      <c r="I4079" s="17"/>
      <c r="J4079" s="10"/>
      <c r="K4079" s="46"/>
      <c r="L4079" s="10"/>
      <c r="M4079" s="20"/>
      <c r="N4079" s="20"/>
      <c r="O4079" s="20"/>
      <c r="P4079" s="20"/>
    </row>
    <row r="4080">
      <c r="A4080" s="23"/>
      <c r="B4080" s="21"/>
      <c r="C4080" s="23"/>
      <c r="D4080" s="24"/>
      <c r="E4080" s="14"/>
      <c r="F4080" s="14"/>
      <c r="G4080" s="14"/>
      <c r="H4080" s="23"/>
      <c r="I4080" s="27"/>
      <c r="J4080" s="23"/>
      <c r="K4080" s="30"/>
      <c r="L4080" s="23"/>
      <c r="M4080" s="20"/>
      <c r="N4080" s="20"/>
      <c r="O4080" s="20"/>
      <c r="P4080" s="20"/>
    </row>
    <row r="4081">
      <c r="A4081" s="10"/>
      <c r="B4081" s="11"/>
      <c r="C4081" s="10"/>
      <c r="D4081" s="13"/>
      <c r="E4081" s="14"/>
      <c r="F4081" s="14"/>
      <c r="G4081" s="14"/>
      <c r="H4081" s="10"/>
      <c r="I4081" s="17"/>
      <c r="J4081" s="10"/>
      <c r="K4081" s="46"/>
      <c r="L4081" s="10"/>
      <c r="M4081" s="20"/>
      <c r="N4081" s="20"/>
      <c r="O4081" s="20"/>
      <c r="P4081" s="20"/>
    </row>
    <row r="4082">
      <c r="A4082" s="23"/>
      <c r="B4082" s="21"/>
      <c r="C4082" s="23"/>
      <c r="D4082" s="24"/>
      <c r="E4082" s="14"/>
      <c r="F4082" s="14"/>
      <c r="G4082" s="14"/>
      <c r="H4082" s="23"/>
      <c r="I4082" s="27"/>
      <c r="J4082" s="23"/>
      <c r="K4082" s="30"/>
      <c r="L4082" s="23"/>
      <c r="M4082" s="20"/>
      <c r="N4082" s="20"/>
      <c r="O4082" s="20"/>
      <c r="P4082" s="20"/>
    </row>
    <row r="4083">
      <c r="A4083" s="10"/>
      <c r="B4083" s="11"/>
      <c r="C4083" s="10"/>
      <c r="D4083" s="13"/>
      <c r="E4083" s="14"/>
      <c r="F4083" s="14"/>
      <c r="G4083" s="14"/>
      <c r="H4083" s="10"/>
      <c r="I4083" s="17"/>
      <c r="J4083" s="10"/>
      <c r="K4083" s="46"/>
      <c r="L4083" s="10"/>
      <c r="M4083" s="20"/>
      <c r="N4083" s="20"/>
      <c r="O4083" s="20"/>
      <c r="P4083" s="20"/>
    </row>
    <row r="4084">
      <c r="A4084" s="23"/>
      <c r="B4084" s="21"/>
      <c r="C4084" s="23"/>
      <c r="D4084" s="24"/>
      <c r="E4084" s="14"/>
      <c r="F4084" s="14"/>
      <c r="G4084" s="14"/>
      <c r="H4084" s="23"/>
      <c r="I4084" s="27"/>
      <c r="J4084" s="23"/>
      <c r="K4084" s="30"/>
      <c r="L4084" s="23"/>
      <c r="M4084" s="20"/>
      <c r="N4084" s="20"/>
      <c r="O4084" s="20"/>
      <c r="P4084" s="20"/>
    </row>
    <row r="4085">
      <c r="A4085" s="10"/>
      <c r="B4085" s="11"/>
      <c r="C4085" s="10"/>
      <c r="D4085" s="13"/>
      <c r="E4085" s="14"/>
      <c r="F4085" s="14"/>
      <c r="G4085" s="14"/>
      <c r="H4085" s="10"/>
      <c r="I4085" s="17"/>
      <c r="J4085" s="10"/>
      <c r="K4085" s="46"/>
      <c r="L4085" s="10"/>
      <c r="M4085" s="20"/>
      <c r="N4085" s="20"/>
      <c r="O4085" s="20"/>
      <c r="P4085" s="20"/>
    </row>
    <row r="4086">
      <c r="A4086" s="23"/>
      <c r="B4086" s="21"/>
      <c r="C4086" s="23"/>
      <c r="D4086" s="24"/>
      <c r="E4086" s="14"/>
      <c r="F4086" s="14"/>
      <c r="G4086" s="14"/>
      <c r="H4086" s="23"/>
      <c r="I4086" s="27"/>
      <c r="J4086" s="23"/>
      <c r="K4086" s="30"/>
      <c r="L4086" s="23"/>
      <c r="M4086" s="20"/>
      <c r="N4086" s="20"/>
      <c r="O4086" s="20"/>
      <c r="P4086" s="20"/>
    </row>
    <row r="4087">
      <c r="A4087" s="10"/>
      <c r="B4087" s="11"/>
      <c r="C4087" s="10"/>
      <c r="D4087" s="13"/>
      <c r="E4087" s="14"/>
      <c r="F4087" s="14"/>
      <c r="G4087" s="14"/>
      <c r="H4087" s="10"/>
      <c r="I4087" s="17"/>
      <c r="J4087" s="10"/>
      <c r="K4087" s="46"/>
      <c r="L4087" s="10"/>
      <c r="M4087" s="20"/>
      <c r="N4087" s="20"/>
      <c r="O4087" s="20"/>
      <c r="P4087" s="20"/>
    </row>
    <row r="4088">
      <c r="A4088" s="23"/>
      <c r="B4088" s="21"/>
      <c r="C4088" s="23"/>
      <c r="D4088" s="24"/>
      <c r="E4088" s="14"/>
      <c r="F4088" s="14"/>
      <c r="G4088" s="14"/>
      <c r="H4088" s="23"/>
      <c r="I4088" s="27"/>
      <c r="J4088" s="23"/>
      <c r="K4088" s="30"/>
      <c r="L4088" s="23"/>
      <c r="M4088" s="20"/>
      <c r="N4088" s="20"/>
      <c r="O4088" s="20"/>
      <c r="P4088" s="20"/>
    </row>
    <row r="4089">
      <c r="A4089" s="10"/>
      <c r="B4089" s="11"/>
      <c r="C4089" s="10"/>
      <c r="D4089" s="13"/>
      <c r="E4089" s="14"/>
      <c r="F4089" s="14"/>
      <c r="G4089" s="14"/>
      <c r="H4089" s="10"/>
      <c r="I4089" s="17"/>
      <c r="J4089" s="10"/>
      <c r="K4089" s="46"/>
      <c r="L4089" s="10"/>
      <c r="M4089" s="20"/>
      <c r="N4089" s="20"/>
      <c r="O4089" s="20"/>
      <c r="P4089" s="20"/>
    </row>
    <row r="4090">
      <c r="A4090" s="23"/>
      <c r="B4090" s="21"/>
      <c r="C4090" s="23"/>
      <c r="D4090" s="24"/>
      <c r="E4090" s="14"/>
      <c r="F4090" s="14"/>
      <c r="G4090" s="14"/>
      <c r="H4090" s="23"/>
      <c r="I4090" s="27"/>
      <c r="J4090" s="23"/>
      <c r="K4090" s="30"/>
      <c r="L4090" s="23"/>
      <c r="M4090" s="20"/>
      <c r="N4090" s="20"/>
      <c r="O4090" s="20"/>
      <c r="P4090" s="20"/>
    </row>
    <row r="4091">
      <c r="A4091" s="10"/>
      <c r="B4091" s="11"/>
      <c r="C4091" s="10"/>
      <c r="D4091" s="13"/>
      <c r="E4091" s="14"/>
      <c r="F4091" s="14"/>
      <c r="G4091" s="14"/>
      <c r="H4091" s="10"/>
      <c r="I4091" s="17"/>
      <c r="J4091" s="10"/>
      <c r="K4091" s="46"/>
      <c r="L4091" s="10"/>
      <c r="M4091" s="20"/>
      <c r="N4091" s="20"/>
      <c r="O4091" s="20"/>
      <c r="P4091" s="20"/>
    </row>
    <row r="4092">
      <c r="A4092" s="23"/>
      <c r="B4092" s="21"/>
      <c r="C4092" s="23"/>
      <c r="D4092" s="24"/>
      <c r="E4092" s="14"/>
      <c r="F4092" s="14"/>
      <c r="G4092" s="14"/>
      <c r="H4092" s="23"/>
      <c r="I4092" s="27"/>
      <c r="J4092" s="23"/>
      <c r="K4092" s="30"/>
      <c r="L4092" s="23"/>
      <c r="M4092" s="20"/>
      <c r="N4092" s="20"/>
      <c r="O4092" s="20"/>
      <c r="P4092" s="20"/>
    </row>
    <row r="4093">
      <c r="A4093" s="10"/>
      <c r="B4093" s="11"/>
      <c r="C4093" s="10"/>
      <c r="D4093" s="13"/>
      <c r="E4093" s="14"/>
      <c r="F4093" s="14"/>
      <c r="G4093" s="14"/>
      <c r="H4093" s="10"/>
      <c r="I4093" s="17"/>
      <c r="J4093" s="10"/>
      <c r="K4093" s="46"/>
      <c r="L4093" s="10"/>
      <c r="M4093" s="20"/>
      <c r="N4093" s="20"/>
      <c r="O4093" s="20"/>
      <c r="P4093" s="20"/>
    </row>
    <row r="4094">
      <c r="A4094" s="23"/>
      <c r="B4094" s="21"/>
      <c r="C4094" s="23"/>
      <c r="D4094" s="24"/>
      <c r="E4094" s="14"/>
      <c r="F4094" s="14"/>
      <c r="G4094" s="14"/>
      <c r="H4094" s="23"/>
      <c r="I4094" s="27"/>
      <c r="J4094" s="23"/>
      <c r="K4094" s="30"/>
      <c r="L4094" s="23"/>
      <c r="M4094" s="20"/>
      <c r="N4094" s="20"/>
      <c r="O4094" s="20"/>
      <c r="P4094" s="20"/>
    </row>
    <row r="4095">
      <c r="A4095" s="10"/>
      <c r="B4095" s="11"/>
      <c r="C4095" s="10"/>
      <c r="D4095" s="13"/>
      <c r="E4095" s="14"/>
      <c r="F4095" s="14"/>
      <c r="G4095" s="14"/>
      <c r="H4095" s="10"/>
      <c r="I4095" s="17"/>
      <c r="J4095" s="10"/>
      <c r="K4095" s="46"/>
      <c r="L4095" s="10"/>
      <c r="M4095" s="20"/>
      <c r="N4095" s="20"/>
      <c r="O4095" s="20"/>
      <c r="P4095" s="20"/>
    </row>
    <row r="4096">
      <c r="A4096" s="23"/>
      <c r="B4096" s="21"/>
      <c r="C4096" s="23"/>
      <c r="D4096" s="24"/>
      <c r="E4096" s="14"/>
      <c r="F4096" s="14"/>
      <c r="G4096" s="14"/>
      <c r="H4096" s="23"/>
      <c r="I4096" s="27"/>
      <c r="J4096" s="23"/>
      <c r="K4096" s="30"/>
      <c r="L4096" s="23"/>
      <c r="M4096" s="20"/>
      <c r="N4096" s="20"/>
      <c r="O4096" s="20"/>
      <c r="P4096" s="20"/>
    </row>
    <row r="4097">
      <c r="A4097" s="10"/>
      <c r="B4097" s="11"/>
      <c r="C4097" s="10"/>
      <c r="D4097" s="13"/>
      <c r="E4097" s="14"/>
      <c r="F4097" s="14"/>
      <c r="G4097" s="14"/>
      <c r="H4097" s="10"/>
      <c r="I4097" s="17"/>
      <c r="J4097" s="10"/>
      <c r="K4097" s="46"/>
      <c r="L4097" s="10"/>
      <c r="M4097" s="20"/>
      <c r="N4097" s="20"/>
      <c r="O4097" s="20"/>
      <c r="P4097" s="20"/>
    </row>
    <row r="4098">
      <c r="A4098" s="23"/>
      <c r="B4098" s="21"/>
      <c r="C4098" s="23"/>
      <c r="D4098" s="24"/>
      <c r="E4098" s="14"/>
      <c r="F4098" s="14"/>
      <c r="G4098" s="14"/>
      <c r="H4098" s="23"/>
      <c r="I4098" s="27"/>
      <c r="J4098" s="23"/>
      <c r="K4098" s="30"/>
      <c r="L4098" s="23"/>
      <c r="M4098" s="20"/>
      <c r="N4098" s="20"/>
      <c r="O4098" s="20"/>
      <c r="P4098" s="20"/>
    </row>
    <row r="4099">
      <c r="A4099" s="10"/>
      <c r="B4099" s="11"/>
      <c r="C4099" s="10"/>
      <c r="D4099" s="13"/>
      <c r="E4099" s="14"/>
      <c r="F4099" s="14"/>
      <c r="G4099" s="14"/>
      <c r="H4099" s="10"/>
      <c r="I4099" s="17"/>
      <c r="J4099" s="10"/>
      <c r="K4099" s="46"/>
      <c r="L4099" s="10"/>
      <c r="M4099" s="20"/>
      <c r="N4099" s="20"/>
      <c r="O4099" s="20"/>
      <c r="P4099" s="20"/>
    </row>
    <row r="4100">
      <c r="A4100" s="23"/>
      <c r="B4100" s="21"/>
      <c r="C4100" s="23"/>
      <c r="D4100" s="24"/>
      <c r="E4100" s="14"/>
      <c r="F4100" s="14"/>
      <c r="G4100" s="14"/>
      <c r="H4100" s="23"/>
      <c r="I4100" s="27"/>
      <c r="J4100" s="23"/>
      <c r="K4100" s="30"/>
      <c r="L4100" s="23"/>
      <c r="M4100" s="20"/>
      <c r="N4100" s="20"/>
      <c r="O4100" s="20"/>
      <c r="P4100" s="20"/>
    </row>
    <row r="4101">
      <c r="A4101" s="10"/>
      <c r="B4101" s="11"/>
      <c r="C4101" s="10"/>
      <c r="D4101" s="13"/>
      <c r="E4101" s="14"/>
      <c r="F4101" s="14"/>
      <c r="G4101" s="14"/>
      <c r="H4101" s="10"/>
      <c r="I4101" s="17"/>
      <c r="J4101" s="10"/>
      <c r="K4101" s="46"/>
      <c r="L4101" s="10"/>
      <c r="M4101" s="20"/>
      <c r="N4101" s="20"/>
      <c r="O4101" s="20"/>
      <c r="P4101" s="20"/>
    </row>
    <row r="4102">
      <c r="A4102" s="23"/>
      <c r="B4102" s="21"/>
      <c r="C4102" s="23"/>
      <c r="D4102" s="24"/>
      <c r="E4102" s="14"/>
      <c r="F4102" s="14"/>
      <c r="G4102" s="14"/>
      <c r="H4102" s="23"/>
      <c r="I4102" s="27"/>
      <c r="J4102" s="23"/>
      <c r="K4102" s="30"/>
      <c r="L4102" s="23"/>
      <c r="M4102" s="20"/>
      <c r="N4102" s="20"/>
      <c r="O4102" s="20"/>
      <c r="P4102" s="20"/>
    </row>
    <row r="4103">
      <c r="A4103" s="10"/>
      <c r="B4103" s="11"/>
      <c r="C4103" s="10"/>
      <c r="D4103" s="13"/>
      <c r="E4103" s="14"/>
      <c r="F4103" s="14"/>
      <c r="G4103" s="14"/>
      <c r="H4103" s="10"/>
      <c r="I4103" s="17"/>
      <c r="J4103" s="10"/>
      <c r="K4103" s="46"/>
      <c r="L4103" s="10"/>
      <c r="M4103" s="20"/>
      <c r="N4103" s="20"/>
      <c r="O4103" s="20"/>
      <c r="P4103" s="20"/>
    </row>
    <row r="4104">
      <c r="A4104" s="23"/>
      <c r="B4104" s="21"/>
      <c r="C4104" s="23"/>
      <c r="D4104" s="24"/>
      <c r="E4104" s="14"/>
      <c r="F4104" s="14"/>
      <c r="G4104" s="14"/>
      <c r="H4104" s="23"/>
      <c r="I4104" s="27"/>
      <c r="J4104" s="23"/>
      <c r="K4104" s="30"/>
      <c r="L4104" s="23"/>
      <c r="M4104" s="20"/>
      <c r="N4104" s="20"/>
      <c r="O4104" s="20"/>
      <c r="P4104" s="20"/>
    </row>
    <row r="4105">
      <c r="A4105" s="10"/>
      <c r="B4105" s="11"/>
      <c r="C4105" s="10"/>
      <c r="D4105" s="13"/>
      <c r="E4105" s="14"/>
      <c r="F4105" s="14"/>
      <c r="G4105" s="14"/>
      <c r="H4105" s="10"/>
      <c r="I4105" s="17"/>
      <c r="J4105" s="10"/>
      <c r="K4105" s="46"/>
      <c r="L4105" s="10"/>
      <c r="M4105" s="20"/>
      <c r="N4105" s="20"/>
      <c r="O4105" s="20"/>
      <c r="P4105" s="20"/>
    </row>
    <row r="4106">
      <c r="A4106" s="23"/>
      <c r="B4106" s="21"/>
      <c r="C4106" s="23"/>
      <c r="D4106" s="24"/>
      <c r="E4106" s="14"/>
      <c r="F4106" s="14"/>
      <c r="G4106" s="14"/>
      <c r="H4106" s="23"/>
      <c r="I4106" s="27"/>
      <c r="J4106" s="23"/>
      <c r="K4106" s="30"/>
      <c r="L4106" s="23"/>
      <c r="M4106" s="20"/>
      <c r="N4106" s="20"/>
      <c r="O4106" s="20"/>
      <c r="P4106" s="20"/>
    </row>
    <row r="4107">
      <c r="A4107" s="10"/>
      <c r="B4107" s="11"/>
      <c r="C4107" s="10"/>
      <c r="D4107" s="13"/>
      <c r="E4107" s="14"/>
      <c r="F4107" s="14"/>
      <c r="G4107" s="14"/>
      <c r="H4107" s="10"/>
      <c r="I4107" s="17"/>
      <c r="J4107" s="10"/>
      <c r="K4107" s="46"/>
      <c r="L4107" s="10"/>
      <c r="M4107" s="20"/>
      <c r="N4107" s="20"/>
      <c r="O4107" s="20"/>
      <c r="P4107" s="20"/>
    </row>
    <row r="4108">
      <c r="A4108" s="23"/>
      <c r="B4108" s="21"/>
      <c r="C4108" s="23"/>
      <c r="D4108" s="24"/>
      <c r="E4108" s="14"/>
      <c r="F4108" s="14"/>
      <c r="G4108" s="14"/>
      <c r="H4108" s="23"/>
      <c r="I4108" s="27"/>
      <c r="J4108" s="23"/>
      <c r="K4108" s="30"/>
      <c r="L4108" s="23"/>
      <c r="M4108" s="20"/>
      <c r="N4108" s="20"/>
      <c r="O4108" s="20"/>
      <c r="P4108" s="20"/>
    </row>
    <row r="4109">
      <c r="A4109" s="10"/>
      <c r="B4109" s="11"/>
      <c r="C4109" s="10"/>
      <c r="D4109" s="13"/>
      <c r="E4109" s="14"/>
      <c r="F4109" s="14"/>
      <c r="G4109" s="14"/>
      <c r="H4109" s="10"/>
      <c r="I4109" s="17"/>
      <c r="J4109" s="10"/>
      <c r="K4109" s="46"/>
      <c r="L4109" s="10"/>
      <c r="M4109" s="20"/>
      <c r="N4109" s="20"/>
      <c r="O4109" s="20"/>
      <c r="P4109" s="20"/>
    </row>
    <row r="4110">
      <c r="A4110" s="23"/>
      <c r="B4110" s="21"/>
      <c r="C4110" s="23"/>
      <c r="D4110" s="24"/>
      <c r="E4110" s="14"/>
      <c r="F4110" s="14"/>
      <c r="G4110" s="14"/>
      <c r="H4110" s="23"/>
      <c r="I4110" s="27"/>
      <c r="J4110" s="23"/>
      <c r="K4110" s="30"/>
      <c r="L4110" s="23"/>
      <c r="M4110" s="20"/>
      <c r="N4110" s="20"/>
      <c r="O4110" s="20"/>
      <c r="P4110" s="20"/>
    </row>
    <row r="4111">
      <c r="A4111" s="10"/>
      <c r="B4111" s="11"/>
      <c r="C4111" s="10"/>
      <c r="D4111" s="13"/>
      <c r="E4111" s="14"/>
      <c r="F4111" s="14"/>
      <c r="G4111" s="14"/>
      <c r="H4111" s="10"/>
      <c r="I4111" s="17"/>
      <c r="J4111" s="10"/>
      <c r="K4111" s="46"/>
      <c r="L4111" s="10"/>
      <c r="M4111" s="20"/>
      <c r="N4111" s="20"/>
      <c r="O4111" s="20"/>
      <c r="P4111" s="20"/>
    </row>
    <row r="4112">
      <c r="A4112" s="23"/>
      <c r="B4112" s="21"/>
      <c r="C4112" s="23"/>
      <c r="D4112" s="24"/>
      <c r="E4112" s="14"/>
      <c r="F4112" s="14"/>
      <c r="G4112" s="14"/>
      <c r="H4112" s="23"/>
      <c r="I4112" s="27"/>
      <c r="J4112" s="23"/>
      <c r="K4112" s="30"/>
      <c r="L4112" s="23"/>
      <c r="M4112" s="20"/>
      <c r="N4112" s="20"/>
      <c r="O4112" s="20"/>
      <c r="P4112" s="20"/>
    </row>
    <row r="4113">
      <c r="A4113" s="10"/>
      <c r="B4113" s="11"/>
      <c r="C4113" s="10"/>
      <c r="D4113" s="13"/>
      <c r="E4113" s="14"/>
      <c r="F4113" s="14"/>
      <c r="G4113" s="14"/>
      <c r="H4113" s="10"/>
      <c r="I4113" s="17"/>
      <c r="J4113" s="10"/>
      <c r="K4113" s="46"/>
      <c r="L4113" s="10"/>
      <c r="M4113" s="20"/>
      <c r="N4113" s="20"/>
      <c r="O4113" s="20"/>
      <c r="P4113" s="20"/>
    </row>
    <row r="4114">
      <c r="A4114" s="23"/>
      <c r="B4114" s="21"/>
      <c r="C4114" s="23"/>
      <c r="D4114" s="24"/>
      <c r="E4114" s="14"/>
      <c r="F4114" s="14"/>
      <c r="G4114" s="14"/>
      <c r="H4114" s="23"/>
      <c r="I4114" s="27"/>
      <c r="J4114" s="23"/>
      <c r="K4114" s="30"/>
      <c r="L4114" s="23"/>
      <c r="M4114" s="20"/>
      <c r="N4114" s="20"/>
      <c r="O4114" s="20"/>
      <c r="P4114" s="20"/>
    </row>
    <row r="4115">
      <c r="A4115" s="10"/>
      <c r="B4115" s="11"/>
      <c r="C4115" s="10"/>
      <c r="D4115" s="13"/>
      <c r="E4115" s="14"/>
      <c r="F4115" s="14"/>
      <c r="G4115" s="14"/>
      <c r="H4115" s="10"/>
      <c r="I4115" s="17"/>
      <c r="J4115" s="10"/>
      <c r="K4115" s="46"/>
      <c r="L4115" s="10"/>
      <c r="M4115" s="20"/>
      <c r="N4115" s="20"/>
      <c r="O4115" s="20"/>
      <c r="P4115" s="20"/>
    </row>
    <row r="4116">
      <c r="A4116" s="23"/>
      <c r="B4116" s="21"/>
      <c r="C4116" s="23"/>
      <c r="D4116" s="24"/>
      <c r="E4116" s="14"/>
      <c r="F4116" s="14"/>
      <c r="G4116" s="14"/>
      <c r="H4116" s="23"/>
      <c r="I4116" s="27"/>
      <c r="J4116" s="23"/>
      <c r="K4116" s="30"/>
      <c r="L4116" s="23"/>
      <c r="M4116" s="20"/>
      <c r="N4116" s="20"/>
      <c r="O4116" s="20"/>
      <c r="P4116" s="20"/>
    </row>
    <row r="4117">
      <c r="A4117" s="10"/>
      <c r="B4117" s="11"/>
      <c r="C4117" s="10"/>
      <c r="D4117" s="13"/>
      <c r="E4117" s="14"/>
      <c r="F4117" s="14"/>
      <c r="G4117" s="14"/>
      <c r="H4117" s="10"/>
      <c r="I4117" s="17"/>
      <c r="J4117" s="10"/>
      <c r="K4117" s="46"/>
      <c r="L4117" s="10"/>
      <c r="M4117" s="20"/>
      <c r="N4117" s="20"/>
      <c r="O4117" s="20"/>
      <c r="P4117" s="20"/>
    </row>
    <row r="4118">
      <c r="A4118" s="23"/>
      <c r="B4118" s="21"/>
      <c r="C4118" s="23"/>
      <c r="D4118" s="24"/>
      <c r="E4118" s="14"/>
      <c r="F4118" s="14"/>
      <c r="G4118" s="14"/>
      <c r="H4118" s="23"/>
      <c r="I4118" s="27"/>
      <c r="J4118" s="23"/>
      <c r="K4118" s="30"/>
      <c r="L4118" s="23"/>
      <c r="M4118" s="20"/>
      <c r="N4118" s="20"/>
      <c r="O4118" s="20"/>
      <c r="P4118" s="20"/>
    </row>
    <row r="4119">
      <c r="A4119" s="10"/>
      <c r="B4119" s="11"/>
      <c r="C4119" s="10"/>
      <c r="D4119" s="13"/>
      <c r="E4119" s="14"/>
      <c r="F4119" s="14"/>
      <c r="G4119" s="14"/>
      <c r="H4119" s="10"/>
      <c r="I4119" s="17"/>
      <c r="J4119" s="10"/>
      <c r="K4119" s="46"/>
      <c r="L4119" s="10"/>
      <c r="M4119" s="20"/>
      <c r="N4119" s="20"/>
      <c r="O4119" s="20"/>
      <c r="P4119" s="20"/>
    </row>
    <row r="4120">
      <c r="A4120" s="23"/>
      <c r="B4120" s="21"/>
      <c r="C4120" s="23"/>
      <c r="D4120" s="24"/>
      <c r="E4120" s="14"/>
      <c r="F4120" s="14"/>
      <c r="G4120" s="14"/>
      <c r="H4120" s="23"/>
      <c r="I4120" s="27"/>
      <c r="J4120" s="23"/>
      <c r="K4120" s="30"/>
      <c r="L4120" s="23"/>
      <c r="M4120" s="20"/>
      <c r="N4120" s="20"/>
      <c r="O4120" s="20"/>
      <c r="P4120" s="20"/>
    </row>
    <row r="4121">
      <c r="A4121" s="10"/>
      <c r="B4121" s="11"/>
      <c r="C4121" s="10"/>
      <c r="D4121" s="13"/>
      <c r="E4121" s="14"/>
      <c r="F4121" s="14"/>
      <c r="G4121" s="14"/>
      <c r="H4121" s="10"/>
      <c r="I4121" s="17"/>
      <c r="J4121" s="10"/>
      <c r="K4121" s="46"/>
      <c r="L4121" s="10"/>
      <c r="M4121" s="20"/>
      <c r="N4121" s="20"/>
      <c r="O4121" s="20"/>
      <c r="P4121" s="20"/>
    </row>
    <row r="4122">
      <c r="A4122" s="23"/>
      <c r="B4122" s="21"/>
      <c r="C4122" s="23"/>
      <c r="D4122" s="24"/>
      <c r="E4122" s="14"/>
      <c r="F4122" s="14"/>
      <c r="G4122" s="14"/>
      <c r="H4122" s="23"/>
      <c r="I4122" s="27"/>
      <c r="J4122" s="23"/>
      <c r="K4122" s="30"/>
      <c r="L4122" s="23"/>
      <c r="M4122" s="20"/>
      <c r="N4122" s="20"/>
      <c r="O4122" s="20"/>
      <c r="P4122" s="20"/>
    </row>
    <row r="4123">
      <c r="A4123" s="10"/>
      <c r="B4123" s="11"/>
      <c r="C4123" s="10"/>
      <c r="D4123" s="13"/>
      <c r="E4123" s="14"/>
      <c r="F4123" s="14"/>
      <c r="G4123" s="14"/>
      <c r="H4123" s="10"/>
      <c r="I4123" s="17"/>
      <c r="J4123" s="10"/>
      <c r="K4123" s="46"/>
      <c r="L4123" s="10"/>
      <c r="M4123" s="20"/>
      <c r="N4123" s="20"/>
      <c r="O4123" s="20"/>
      <c r="P4123" s="20"/>
    </row>
    <row r="4124">
      <c r="A4124" s="23"/>
      <c r="B4124" s="21"/>
      <c r="C4124" s="23"/>
      <c r="D4124" s="24"/>
      <c r="E4124" s="14"/>
      <c r="F4124" s="14"/>
      <c r="G4124" s="14"/>
      <c r="H4124" s="23"/>
      <c r="I4124" s="27"/>
      <c r="J4124" s="23"/>
      <c r="K4124" s="30"/>
      <c r="L4124" s="23"/>
      <c r="M4124" s="20"/>
      <c r="N4124" s="20"/>
      <c r="O4124" s="20"/>
      <c r="P4124" s="20"/>
    </row>
    <row r="4125">
      <c r="A4125" s="10"/>
      <c r="B4125" s="11"/>
      <c r="C4125" s="10"/>
      <c r="D4125" s="13"/>
      <c r="E4125" s="14"/>
      <c r="F4125" s="14"/>
      <c r="G4125" s="14"/>
      <c r="H4125" s="10"/>
      <c r="I4125" s="17"/>
      <c r="J4125" s="10"/>
      <c r="K4125" s="46"/>
      <c r="L4125" s="10"/>
      <c r="M4125" s="20"/>
      <c r="N4125" s="20"/>
      <c r="O4125" s="20"/>
      <c r="P4125" s="20"/>
    </row>
    <row r="4126">
      <c r="A4126" s="23"/>
      <c r="B4126" s="21"/>
      <c r="C4126" s="23"/>
      <c r="D4126" s="24"/>
      <c r="E4126" s="14"/>
      <c r="F4126" s="14"/>
      <c r="G4126" s="14"/>
      <c r="H4126" s="23"/>
      <c r="I4126" s="27"/>
      <c r="J4126" s="23"/>
      <c r="K4126" s="30"/>
      <c r="L4126" s="23"/>
      <c r="M4126" s="20"/>
      <c r="N4126" s="20"/>
      <c r="O4126" s="20"/>
      <c r="P4126" s="20"/>
    </row>
    <row r="4127">
      <c r="A4127" s="10"/>
      <c r="B4127" s="11"/>
      <c r="C4127" s="10"/>
      <c r="D4127" s="13"/>
      <c r="E4127" s="14"/>
      <c r="F4127" s="14"/>
      <c r="G4127" s="14"/>
      <c r="H4127" s="10"/>
      <c r="I4127" s="17"/>
      <c r="J4127" s="10"/>
      <c r="K4127" s="46"/>
      <c r="L4127" s="10"/>
      <c r="M4127" s="20"/>
      <c r="N4127" s="20"/>
      <c r="O4127" s="20"/>
      <c r="P4127" s="20"/>
    </row>
    <row r="4128">
      <c r="A4128" s="23"/>
      <c r="B4128" s="21"/>
      <c r="C4128" s="23"/>
      <c r="D4128" s="24"/>
      <c r="E4128" s="14"/>
      <c r="F4128" s="14"/>
      <c r="G4128" s="14"/>
      <c r="H4128" s="23"/>
      <c r="I4128" s="27"/>
      <c r="J4128" s="23"/>
      <c r="K4128" s="30"/>
      <c r="L4128" s="23"/>
      <c r="M4128" s="20"/>
      <c r="N4128" s="20"/>
      <c r="O4128" s="20"/>
      <c r="P4128" s="20"/>
    </row>
    <row r="4129">
      <c r="A4129" s="10"/>
      <c r="B4129" s="11"/>
      <c r="C4129" s="10"/>
      <c r="D4129" s="13"/>
      <c r="E4129" s="14"/>
      <c r="F4129" s="14"/>
      <c r="G4129" s="14"/>
      <c r="H4129" s="10"/>
      <c r="I4129" s="17"/>
      <c r="J4129" s="10"/>
      <c r="K4129" s="46"/>
      <c r="L4129" s="10"/>
      <c r="M4129" s="20"/>
      <c r="N4129" s="20"/>
      <c r="O4129" s="20"/>
      <c r="P4129" s="20"/>
    </row>
    <row r="4130">
      <c r="A4130" s="23"/>
      <c r="B4130" s="21"/>
      <c r="C4130" s="23"/>
      <c r="D4130" s="24"/>
      <c r="E4130" s="14"/>
      <c r="F4130" s="14"/>
      <c r="G4130" s="14"/>
      <c r="H4130" s="23"/>
      <c r="I4130" s="27"/>
      <c r="J4130" s="23"/>
      <c r="K4130" s="30"/>
      <c r="L4130" s="23"/>
      <c r="M4130" s="20"/>
      <c r="N4130" s="20"/>
      <c r="O4130" s="20"/>
      <c r="P4130" s="20"/>
    </row>
    <row r="4131">
      <c r="A4131" s="10"/>
      <c r="B4131" s="11"/>
      <c r="C4131" s="10"/>
      <c r="D4131" s="13"/>
      <c r="E4131" s="14"/>
      <c r="F4131" s="14"/>
      <c r="G4131" s="14"/>
      <c r="H4131" s="10"/>
      <c r="I4131" s="17"/>
      <c r="J4131" s="10"/>
      <c r="K4131" s="46"/>
      <c r="L4131" s="10"/>
      <c r="M4131" s="20"/>
      <c r="N4131" s="20"/>
      <c r="O4131" s="20"/>
      <c r="P4131" s="20"/>
    </row>
    <row r="4132">
      <c r="A4132" s="23"/>
      <c r="B4132" s="21"/>
      <c r="C4132" s="23"/>
      <c r="D4132" s="24"/>
      <c r="E4132" s="14"/>
      <c r="F4132" s="14"/>
      <c r="G4132" s="14"/>
      <c r="H4132" s="23"/>
      <c r="I4132" s="27"/>
      <c r="J4132" s="23"/>
      <c r="K4132" s="30"/>
      <c r="L4132" s="23"/>
      <c r="M4132" s="20"/>
      <c r="N4132" s="20"/>
      <c r="O4132" s="20"/>
      <c r="P4132" s="20"/>
    </row>
    <row r="4133">
      <c r="A4133" s="10"/>
      <c r="B4133" s="11"/>
      <c r="C4133" s="10"/>
      <c r="D4133" s="13"/>
      <c r="E4133" s="14"/>
      <c r="F4133" s="14"/>
      <c r="G4133" s="14"/>
      <c r="H4133" s="10"/>
      <c r="I4133" s="17"/>
      <c r="J4133" s="10"/>
      <c r="K4133" s="46"/>
      <c r="L4133" s="10"/>
      <c r="M4133" s="20"/>
      <c r="N4133" s="20"/>
      <c r="O4133" s="20"/>
      <c r="P4133" s="20"/>
    </row>
    <row r="4134">
      <c r="A4134" s="23"/>
      <c r="B4134" s="21"/>
      <c r="C4134" s="23"/>
      <c r="D4134" s="24"/>
      <c r="E4134" s="14"/>
      <c r="F4134" s="14"/>
      <c r="G4134" s="14"/>
      <c r="H4134" s="23"/>
      <c r="I4134" s="27"/>
      <c r="J4134" s="23"/>
      <c r="K4134" s="30"/>
      <c r="L4134" s="23"/>
      <c r="M4134" s="20"/>
      <c r="N4134" s="20"/>
      <c r="O4134" s="20"/>
      <c r="P4134" s="20"/>
    </row>
    <row r="4135">
      <c r="A4135" s="10"/>
      <c r="B4135" s="11"/>
      <c r="C4135" s="10"/>
      <c r="D4135" s="13"/>
      <c r="E4135" s="14"/>
      <c r="F4135" s="14"/>
      <c r="G4135" s="14"/>
      <c r="H4135" s="10"/>
      <c r="I4135" s="17"/>
      <c r="J4135" s="10"/>
      <c r="K4135" s="46"/>
      <c r="L4135" s="10"/>
      <c r="M4135" s="20"/>
      <c r="N4135" s="20"/>
      <c r="O4135" s="20"/>
      <c r="P4135" s="20"/>
    </row>
    <row r="4136">
      <c r="A4136" s="23"/>
      <c r="B4136" s="21"/>
      <c r="C4136" s="23"/>
      <c r="D4136" s="24"/>
      <c r="E4136" s="14"/>
      <c r="F4136" s="14"/>
      <c r="G4136" s="14"/>
      <c r="H4136" s="23"/>
      <c r="I4136" s="27"/>
      <c r="J4136" s="23"/>
      <c r="K4136" s="30"/>
      <c r="L4136" s="23"/>
      <c r="M4136" s="20"/>
      <c r="N4136" s="20"/>
      <c r="O4136" s="20"/>
      <c r="P4136" s="20"/>
    </row>
    <row r="4137">
      <c r="A4137" s="10"/>
      <c r="B4137" s="11"/>
      <c r="C4137" s="10"/>
      <c r="D4137" s="13"/>
      <c r="E4137" s="14"/>
      <c r="F4137" s="14"/>
      <c r="G4137" s="14"/>
      <c r="H4137" s="10"/>
      <c r="I4137" s="17"/>
      <c r="J4137" s="10"/>
      <c r="K4137" s="46"/>
      <c r="L4137" s="10"/>
      <c r="M4137" s="20"/>
      <c r="N4137" s="20"/>
      <c r="O4137" s="20"/>
      <c r="P4137" s="20"/>
    </row>
    <row r="4138">
      <c r="A4138" s="23"/>
      <c r="B4138" s="21"/>
      <c r="C4138" s="23"/>
      <c r="D4138" s="24"/>
      <c r="E4138" s="14"/>
      <c r="F4138" s="14"/>
      <c r="G4138" s="14"/>
      <c r="H4138" s="23"/>
      <c r="I4138" s="27"/>
      <c r="J4138" s="23"/>
      <c r="K4138" s="30"/>
      <c r="L4138" s="23"/>
      <c r="M4138" s="20"/>
      <c r="N4138" s="20"/>
      <c r="O4138" s="20"/>
      <c r="P4138" s="20"/>
    </row>
    <row r="4139">
      <c r="A4139" s="10"/>
      <c r="B4139" s="11"/>
      <c r="C4139" s="10"/>
      <c r="D4139" s="13"/>
      <c r="E4139" s="14"/>
      <c r="F4139" s="14"/>
      <c r="G4139" s="14"/>
      <c r="H4139" s="10"/>
      <c r="I4139" s="17"/>
      <c r="J4139" s="10"/>
      <c r="K4139" s="46"/>
      <c r="L4139" s="10"/>
      <c r="M4139" s="20"/>
      <c r="N4139" s="20"/>
      <c r="O4139" s="20"/>
      <c r="P4139" s="20"/>
    </row>
    <row r="4140">
      <c r="A4140" s="23"/>
      <c r="B4140" s="21"/>
      <c r="C4140" s="23"/>
      <c r="D4140" s="24"/>
      <c r="E4140" s="14"/>
      <c r="F4140" s="14"/>
      <c r="G4140" s="14"/>
      <c r="H4140" s="23"/>
      <c r="I4140" s="27"/>
      <c r="J4140" s="23"/>
      <c r="K4140" s="30"/>
      <c r="L4140" s="23"/>
      <c r="M4140" s="20"/>
      <c r="N4140" s="20"/>
      <c r="O4140" s="20"/>
      <c r="P4140" s="20"/>
    </row>
    <row r="4141">
      <c r="A4141" s="10"/>
      <c r="B4141" s="11"/>
      <c r="C4141" s="10"/>
      <c r="D4141" s="13"/>
      <c r="E4141" s="14"/>
      <c r="F4141" s="14"/>
      <c r="G4141" s="14"/>
      <c r="H4141" s="10"/>
      <c r="I4141" s="17"/>
      <c r="J4141" s="10"/>
      <c r="K4141" s="46"/>
      <c r="L4141" s="10"/>
      <c r="M4141" s="20"/>
      <c r="N4141" s="20"/>
      <c r="O4141" s="20"/>
      <c r="P4141" s="20"/>
    </row>
    <row r="4142">
      <c r="A4142" s="23"/>
      <c r="B4142" s="21"/>
      <c r="C4142" s="23"/>
      <c r="D4142" s="24"/>
      <c r="E4142" s="14"/>
      <c r="F4142" s="14"/>
      <c r="G4142" s="14"/>
      <c r="H4142" s="23"/>
      <c r="I4142" s="27"/>
      <c r="J4142" s="23"/>
      <c r="K4142" s="30"/>
      <c r="L4142" s="23"/>
      <c r="M4142" s="20"/>
      <c r="N4142" s="20"/>
      <c r="O4142" s="20"/>
      <c r="P4142" s="20"/>
    </row>
    <row r="4143">
      <c r="A4143" s="10"/>
      <c r="B4143" s="11"/>
      <c r="C4143" s="10"/>
      <c r="D4143" s="13"/>
      <c r="E4143" s="14"/>
      <c r="F4143" s="14"/>
      <c r="G4143" s="14"/>
      <c r="H4143" s="10"/>
      <c r="I4143" s="17"/>
      <c r="J4143" s="10"/>
      <c r="K4143" s="46"/>
      <c r="L4143" s="10"/>
      <c r="M4143" s="20"/>
      <c r="N4143" s="20"/>
      <c r="O4143" s="20"/>
      <c r="P4143" s="20"/>
    </row>
    <row r="4144">
      <c r="A4144" s="23"/>
      <c r="B4144" s="21"/>
      <c r="C4144" s="23"/>
      <c r="D4144" s="24"/>
      <c r="E4144" s="14"/>
      <c r="F4144" s="14"/>
      <c r="G4144" s="14"/>
      <c r="H4144" s="23"/>
      <c r="I4144" s="27"/>
      <c r="J4144" s="23"/>
      <c r="K4144" s="30"/>
      <c r="L4144" s="23"/>
      <c r="M4144" s="20"/>
      <c r="N4144" s="20"/>
      <c r="O4144" s="20"/>
      <c r="P4144" s="20"/>
    </row>
    <row r="4145">
      <c r="A4145" s="10"/>
      <c r="B4145" s="11"/>
      <c r="C4145" s="10"/>
      <c r="D4145" s="13"/>
      <c r="E4145" s="14"/>
      <c r="F4145" s="14"/>
      <c r="G4145" s="14"/>
      <c r="H4145" s="10"/>
      <c r="I4145" s="17"/>
      <c r="J4145" s="10"/>
      <c r="K4145" s="46"/>
      <c r="L4145" s="10"/>
      <c r="M4145" s="20"/>
      <c r="N4145" s="20"/>
      <c r="O4145" s="20"/>
      <c r="P4145" s="20"/>
    </row>
    <row r="4146">
      <c r="A4146" s="23"/>
      <c r="B4146" s="21"/>
      <c r="C4146" s="23"/>
      <c r="D4146" s="24"/>
      <c r="E4146" s="14"/>
      <c r="F4146" s="14"/>
      <c r="G4146" s="14"/>
      <c r="H4146" s="23"/>
      <c r="I4146" s="27"/>
      <c r="J4146" s="23"/>
      <c r="K4146" s="30"/>
      <c r="L4146" s="23"/>
      <c r="M4146" s="20"/>
      <c r="N4146" s="20"/>
      <c r="O4146" s="20"/>
      <c r="P4146" s="20"/>
    </row>
    <row r="4147">
      <c r="A4147" s="10"/>
      <c r="B4147" s="11"/>
      <c r="C4147" s="10"/>
      <c r="D4147" s="13"/>
      <c r="E4147" s="14"/>
      <c r="F4147" s="14"/>
      <c r="G4147" s="14"/>
      <c r="H4147" s="10"/>
      <c r="I4147" s="17"/>
      <c r="J4147" s="10"/>
      <c r="K4147" s="46"/>
      <c r="L4147" s="10"/>
      <c r="M4147" s="20"/>
      <c r="N4147" s="20"/>
      <c r="O4147" s="20"/>
      <c r="P4147" s="20"/>
    </row>
    <row r="4148">
      <c r="A4148" s="23"/>
      <c r="B4148" s="21"/>
      <c r="C4148" s="23"/>
      <c r="D4148" s="24"/>
      <c r="E4148" s="14"/>
      <c r="F4148" s="14"/>
      <c r="G4148" s="14"/>
      <c r="H4148" s="23"/>
      <c r="I4148" s="27"/>
      <c r="J4148" s="23"/>
      <c r="K4148" s="30"/>
      <c r="L4148" s="23"/>
      <c r="M4148" s="20"/>
      <c r="N4148" s="20"/>
      <c r="O4148" s="20"/>
      <c r="P4148" s="20"/>
    </row>
    <row r="4149">
      <c r="A4149" s="10"/>
      <c r="B4149" s="11"/>
      <c r="C4149" s="10"/>
      <c r="D4149" s="13"/>
      <c r="E4149" s="14"/>
      <c r="F4149" s="14"/>
      <c r="G4149" s="14"/>
      <c r="H4149" s="10"/>
      <c r="I4149" s="17"/>
      <c r="J4149" s="10"/>
      <c r="K4149" s="46"/>
      <c r="L4149" s="10"/>
      <c r="M4149" s="20"/>
      <c r="N4149" s="20"/>
      <c r="O4149" s="20"/>
      <c r="P4149" s="20"/>
    </row>
    <row r="4150">
      <c r="A4150" s="23"/>
      <c r="B4150" s="21"/>
      <c r="C4150" s="23"/>
      <c r="D4150" s="24"/>
      <c r="E4150" s="14"/>
      <c r="F4150" s="14"/>
      <c r="G4150" s="14"/>
      <c r="H4150" s="23"/>
      <c r="I4150" s="27"/>
      <c r="J4150" s="23"/>
      <c r="K4150" s="30"/>
      <c r="L4150" s="23"/>
      <c r="M4150" s="20"/>
      <c r="N4150" s="20"/>
      <c r="O4150" s="20"/>
      <c r="P4150" s="20"/>
    </row>
    <row r="4151">
      <c r="A4151" s="10"/>
      <c r="B4151" s="11"/>
      <c r="C4151" s="10"/>
      <c r="D4151" s="13"/>
      <c r="E4151" s="14"/>
      <c r="F4151" s="14"/>
      <c r="G4151" s="14"/>
      <c r="H4151" s="10"/>
      <c r="I4151" s="17"/>
      <c r="J4151" s="10"/>
      <c r="K4151" s="46"/>
      <c r="L4151" s="10"/>
      <c r="M4151" s="20"/>
      <c r="N4151" s="20"/>
      <c r="O4151" s="20"/>
      <c r="P4151" s="20"/>
    </row>
    <row r="4152">
      <c r="A4152" s="23"/>
      <c r="B4152" s="21"/>
      <c r="C4152" s="23"/>
      <c r="D4152" s="24"/>
      <c r="E4152" s="14"/>
      <c r="F4152" s="14"/>
      <c r="G4152" s="14"/>
      <c r="H4152" s="23"/>
      <c r="I4152" s="27"/>
      <c r="J4152" s="23"/>
      <c r="K4152" s="30"/>
      <c r="L4152" s="23"/>
      <c r="M4152" s="20"/>
      <c r="N4152" s="20"/>
      <c r="O4152" s="20"/>
      <c r="P4152" s="20"/>
    </row>
    <row r="4153">
      <c r="A4153" s="10"/>
      <c r="B4153" s="11"/>
      <c r="C4153" s="10"/>
      <c r="D4153" s="13"/>
      <c r="E4153" s="14"/>
      <c r="F4153" s="14"/>
      <c r="G4153" s="14"/>
      <c r="H4153" s="10"/>
      <c r="I4153" s="17"/>
      <c r="J4153" s="10"/>
      <c r="K4153" s="46"/>
      <c r="L4153" s="10"/>
      <c r="M4153" s="20"/>
      <c r="N4153" s="20"/>
      <c r="O4153" s="20"/>
      <c r="P4153" s="20"/>
    </row>
    <row r="4154">
      <c r="A4154" s="23"/>
      <c r="B4154" s="21"/>
      <c r="C4154" s="23"/>
      <c r="D4154" s="24"/>
      <c r="E4154" s="14"/>
      <c r="F4154" s="14"/>
      <c r="G4154" s="14"/>
      <c r="H4154" s="23"/>
      <c r="I4154" s="27"/>
      <c r="J4154" s="23"/>
      <c r="K4154" s="30"/>
      <c r="L4154" s="23"/>
      <c r="M4154" s="20"/>
      <c r="N4154" s="20"/>
      <c r="O4154" s="20"/>
      <c r="P4154" s="20"/>
    </row>
    <row r="4155">
      <c r="A4155" s="10"/>
      <c r="B4155" s="11"/>
      <c r="C4155" s="10"/>
      <c r="D4155" s="13"/>
      <c r="E4155" s="14"/>
      <c r="F4155" s="14"/>
      <c r="G4155" s="14"/>
      <c r="H4155" s="10"/>
      <c r="I4155" s="17"/>
      <c r="J4155" s="10"/>
      <c r="K4155" s="46"/>
      <c r="L4155" s="10"/>
      <c r="M4155" s="20"/>
      <c r="N4155" s="20"/>
      <c r="O4155" s="20"/>
      <c r="P4155" s="20"/>
    </row>
    <row r="4156">
      <c r="A4156" s="23"/>
      <c r="B4156" s="21"/>
      <c r="C4156" s="23"/>
      <c r="D4156" s="24"/>
      <c r="E4156" s="14"/>
      <c r="F4156" s="14"/>
      <c r="G4156" s="14"/>
      <c r="H4156" s="23"/>
      <c r="I4156" s="27"/>
      <c r="J4156" s="23"/>
      <c r="K4156" s="30"/>
      <c r="L4156" s="23"/>
      <c r="M4156" s="20"/>
      <c r="N4156" s="20"/>
      <c r="O4156" s="20"/>
      <c r="P4156" s="20"/>
    </row>
    <row r="4157">
      <c r="A4157" s="10"/>
      <c r="B4157" s="11"/>
      <c r="C4157" s="10"/>
      <c r="D4157" s="13"/>
      <c r="E4157" s="14"/>
      <c r="F4157" s="14"/>
      <c r="G4157" s="14"/>
      <c r="H4157" s="10"/>
      <c r="I4157" s="17"/>
      <c r="J4157" s="10"/>
      <c r="K4157" s="46"/>
      <c r="L4157" s="10"/>
      <c r="M4157" s="20"/>
      <c r="N4157" s="20"/>
      <c r="O4157" s="20"/>
      <c r="P4157" s="20"/>
    </row>
    <row r="4158">
      <c r="A4158" s="23"/>
      <c r="B4158" s="21"/>
      <c r="C4158" s="23"/>
      <c r="D4158" s="24"/>
      <c r="E4158" s="14"/>
      <c r="F4158" s="14"/>
      <c r="G4158" s="14"/>
      <c r="H4158" s="23"/>
      <c r="I4158" s="27"/>
      <c r="J4158" s="23"/>
      <c r="K4158" s="30"/>
      <c r="L4158" s="23"/>
      <c r="M4158" s="20"/>
      <c r="N4158" s="20"/>
      <c r="O4158" s="20"/>
      <c r="P4158" s="20"/>
    </row>
    <row r="4159">
      <c r="A4159" s="10"/>
      <c r="B4159" s="11"/>
      <c r="C4159" s="10"/>
      <c r="D4159" s="13"/>
      <c r="E4159" s="14"/>
      <c r="F4159" s="14"/>
      <c r="G4159" s="14"/>
      <c r="H4159" s="10"/>
      <c r="I4159" s="17"/>
      <c r="J4159" s="10"/>
      <c r="K4159" s="46"/>
      <c r="L4159" s="10"/>
      <c r="M4159" s="20"/>
      <c r="N4159" s="20"/>
      <c r="O4159" s="20"/>
      <c r="P4159" s="20"/>
    </row>
    <row r="4160">
      <c r="A4160" s="23"/>
      <c r="B4160" s="21"/>
      <c r="C4160" s="23"/>
      <c r="D4160" s="24"/>
      <c r="E4160" s="14"/>
      <c r="F4160" s="14"/>
      <c r="G4160" s="14"/>
      <c r="H4160" s="23"/>
      <c r="I4160" s="27"/>
      <c r="J4160" s="23"/>
      <c r="K4160" s="30"/>
      <c r="L4160" s="23"/>
      <c r="M4160" s="20"/>
      <c r="N4160" s="20"/>
      <c r="O4160" s="20"/>
      <c r="P4160" s="20"/>
    </row>
    <row r="4161">
      <c r="A4161" s="10"/>
      <c r="B4161" s="11"/>
      <c r="C4161" s="10"/>
      <c r="D4161" s="13"/>
      <c r="E4161" s="14"/>
      <c r="F4161" s="14"/>
      <c r="G4161" s="14"/>
      <c r="H4161" s="10"/>
      <c r="I4161" s="17"/>
      <c r="J4161" s="10"/>
      <c r="K4161" s="46"/>
      <c r="L4161" s="10"/>
      <c r="M4161" s="20"/>
      <c r="N4161" s="20"/>
      <c r="O4161" s="20"/>
      <c r="P4161" s="20"/>
    </row>
    <row r="4162">
      <c r="A4162" s="23"/>
      <c r="B4162" s="21"/>
      <c r="C4162" s="23"/>
      <c r="D4162" s="24"/>
      <c r="E4162" s="14"/>
      <c r="F4162" s="14"/>
      <c r="G4162" s="14"/>
      <c r="H4162" s="23"/>
      <c r="I4162" s="27"/>
      <c r="J4162" s="23"/>
      <c r="K4162" s="30"/>
      <c r="L4162" s="23"/>
      <c r="M4162" s="20"/>
      <c r="N4162" s="20"/>
      <c r="O4162" s="20"/>
      <c r="P4162" s="20"/>
    </row>
    <row r="4163">
      <c r="A4163" s="10"/>
      <c r="B4163" s="11"/>
      <c r="C4163" s="10"/>
      <c r="D4163" s="13"/>
      <c r="E4163" s="14"/>
      <c r="F4163" s="14"/>
      <c r="G4163" s="14"/>
      <c r="H4163" s="10"/>
      <c r="I4163" s="17"/>
      <c r="J4163" s="10"/>
      <c r="K4163" s="46"/>
      <c r="L4163" s="10"/>
      <c r="M4163" s="20"/>
      <c r="N4163" s="20"/>
      <c r="O4163" s="20"/>
      <c r="P4163" s="20"/>
    </row>
    <row r="4164">
      <c r="A4164" s="23"/>
      <c r="B4164" s="21"/>
      <c r="C4164" s="23"/>
      <c r="D4164" s="24"/>
      <c r="E4164" s="14"/>
      <c r="F4164" s="14"/>
      <c r="G4164" s="14"/>
      <c r="H4164" s="23"/>
      <c r="I4164" s="27"/>
      <c r="J4164" s="23"/>
      <c r="K4164" s="30"/>
      <c r="L4164" s="23"/>
      <c r="M4164" s="20"/>
      <c r="N4164" s="20"/>
      <c r="O4164" s="20"/>
      <c r="P4164" s="20"/>
    </row>
    <row r="4165">
      <c r="A4165" s="10"/>
      <c r="B4165" s="11"/>
      <c r="C4165" s="10"/>
      <c r="D4165" s="13"/>
      <c r="E4165" s="14"/>
      <c r="F4165" s="14"/>
      <c r="G4165" s="14"/>
      <c r="H4165" s="10"/>
      <c r="I4165" s="17"/>
      <c r="J4165" s="10"/>
      <c r="K4165" s="46"/>
      <c r="L4165" s="10"/>
      <c r="M4165" s="20"/>
      <c r="N4165" s="20"/>
      <c r="O4165" s="20"/>
      <c r="P4165" s="20"/>
    </row>
    <row r="4166">
      <c r="A4166" s="23"/>
      <c r="B4166" s="21"/>
      <c r="C4166" s="23"/>
      <c r="D4166" s="24"/>
      <c r="E4166" s="14"/>
      <c r="F4166" s="14"/>
      <c r="G4166" s="14"/>
      <c r="H4166" s="23"/>
      <c r="I4166" s="27"/>
      <c r="J4166" s="23"/>
      <c r="K4166" s="30"/>
      <c r="L4166" s="23"/>
      <c r="M4166" s="20"/>
      <c r="N4166" s="20"/>
      <c r="O4166" s="20"/>
      <c r="P4166" s="20"/>
    </row>
    <row r="4167">
      <c r="A4167" s="10"/>
      <c r="B4167" s="11"/>
      <c r="C4167" s="10"/>
      <c r="D4167" s="13"/>
      <c r="E4167" s="14"/>
      <c r="F4167" s="14"/>
      <c r="G4167" s="14"/>
      <c r="H4167" s="10"/>
      <c r="I4167" s="17"/>
      <c r="J4167" s="10"/>
      <c r="K4167" s="46"/>
      <c r="L4167" s="10"/>
      <c r="M4167" s="20"/>
      <c r="N4167" s="20"/>
      <c r="O4167" s="20"/>
      <c r="P4167" s="20"/>
    </row>
    <row r="4168">
      <c r="A4168" s="23"/>
      <c r="B4168" s="21"/>
      <c r="C4168" s="23"/>
      <c r="D4168" s="24"/>
      <c r="E4168" s="14"/>
      <c r="F4168" s="14"/>
      <c r="G4168" s="14"/>
      <c r="H4168" s="23"/>
      <c r="I4168" s="27"/>
      <c r="J4168" s="23"/>
      <c r="K4168" s="30"/>
      <c r="L4168" s="23"/>
      <c r="M4168" s="20"/>
      <c r="N4168" s="20"/>
      <c r="O4168" s="20"/>
      <c r="P4168" s="20"/>
    </row>
    <row r="4169">
      <c r="A4169" s="10"/>
      <c r="B4169" s="11"/>
      <c r="C4169" s="10"/>
      <c r="D4169" s="13"/>
      <c r="E4169" s="14"/>
      <c r="F4169" s="14"/>
      <c r="G4169" s="14"/>
      <c r="H4169" s="10"/>
      <c r="I4169" s="17"/>
      <c r="J4169" s="10"/>
      <c r="K4169" s="46"/>
      <c r="L4169" s="10"/>
      <c r="M4169" s="20"/>
      <c r="N4169" s="20"/>
      <c r="O4169" s="20"/>
      <c r="P4169" s="20"/>
    </row>
    <row r="4170">
      <c r="A4170" s="23"/>
      <c r="B4170" s="21"/>
      <c r="C4170" s="23"/>
      <c r="D4170" s="24"/>
      <c r="E4170" s="14"/>
      <c r="F4170" s="14"/>
      <c r="G4170" s="14"/>
      <c r="H4170" s="23"/>
      <c r="I4170" s="27"/>
      <c r="J4170" s="23"/>
      <c r="K4170" s="30"/>
      <c r="L4170" s="23"/>
      <c r="M4170" s="20"/>
      <c r="N4170" s="20"/>
      <c r="O4170" s="20"/>
      <c r="P4170" s="20"/>
    </row>
    <row r="4171">
      <c r="A4171" s="10"/>
      <c r="B4171" s="11"/>
      <c r="C4171" s="10"/>
      <c r="D4171" s="13"/>
      <c r="E4171" s="14"/>
      <c r="F4171" s="14"/>
      <c r="G4171" s="14"/>
      <c r="H4171" s="10"/>
      <c r="I4171" s="17"/>
      <c r="J4171" s="10"/>
      <c r="K4171" s="46"/>
      <c r="L4171" s="10"/>
      <c r="M4171" s="20"/>
      <c r="N4171" s="20"/>
      <c r="O4171" s="20"/>
      <c r="P4171" s="20"/>
    </row>
    <row r="4172">
      <c r="A4172" s="23"/>
      <c r="B4172" s="21"/>
      <c r="C4172" s="23"/>
      <c r="D4172" s="24"/>
      <c r="E4172" s="14"/>
      <c r="F4172" s="14"/>
      <c r="G4172" s="14"/>
      <c r="H4172" s="23"/>
      <c r="I4172" s="27"/>
      <c r="J4172" s="23"/>
      <c r="K4172" s="30"/>
      <c r="L4172" s="23"/>
      <c r="M4172" s="20"/>
      <c r="N4172" s="20"/>
      <c r="O4172" s="20"/>
      <c r="P4172" s="20"/>
    </row>
    <row r="4173">
      <c r="A4173" s="10"/>
      <c r="B4173" s="11"/>
      <c r="C4173" s="10"/>
      <c r="D4173" s="13"/>
      <c r="E4173" s="14"/>
      <c r="F4173" s="14"/>
      <c r="G4173" s="14"/>
      <c r="H4173" s="10"/>
      <c r="I4173" s="17"/>
      <c r="J4173" s="10"/>
      <c r="K4173" s="46"/>
      <c r="L4173" s="10"/>
      <c r="M4173" s="20"/>
      <c r="N4173" s="20"/>
      <c r="O4173" s="20"/>
      <c r="P4173" s="20"/>
    </row>
    <row r="4174">
      <c r="A4174" s="23"/>
      <c r="B4174" s="21"/>
      <c r="C4174" s="23"/>
      <c r="D4174" s="24"/>
      <c r="E4174" s="14"/>
      <c r="F4174" s="14"/>
      <c r="G4174" s="14"/>
      <c r="H4174" s="23"/>
      <c r="I4174" s="27"/>
      <c r="J4174" s="23"/>
      <c r="K4174" s="30"/>
      <c r="L4174" s="23"/>
      <c r="M4174" s="20"/>
      <c r="N4174" s="20"/>
      <c r="O4174" s="20"/>
      <c r="P4174" s="20"/>
    </row>
    <row r="4175">
      <c r="A4175" s="10"/>
      <c r="B4175" s="11"/>
      <c r="C4175" s="10"/>
      <c r="D4175" s="13"/>
      <c r="E4175" s="14"/>
      <c r="F4175" s="14"/>
      <c r="G4175" s="14"/>
      <c r="H4175" s="10"/>
      <c r="I4175" s="17"/>
      <c r="J4175" s="10"/>
      <c r="K4175" s="46"/>
      <c r="L4175" s="10"/>
      <c r="M4175" s="20"/>
      <c r="N4175" s="20"/>
      <c r="O4175" s="20"/>
      <c r="P4175" s="20"/>
    </row>
    <row r="4176">
      <c r="A4176" s="23"/>
      <c r="B4176" s="21"/>
      <c r="C4176" s="23"/>
      <c r="D4176" s="24"/>
      <c r="E4176" s="14"/>
      <c r="F4176" s="14"/>
      <c r="G4176" s="14"/>
      <c r="H4176" s="23"/>
      <c r="I4176" s="27"/>
      <c r="J4176" s="23"/>
      <c r="K4176" s="30"/>
      <c r="L4176" s="23"/>
      <c r="M4176" s="20"/>
      <c r="N4176" s="20"/>
      <c r="O4176" s="20"/>
      <c r="P4176" s="20"/>
    </row>
    <row r="4177">
      <c r="A4177" s="10"/>
      <c r="B4177" s="11"/>
      <c r="C4177" s="10"/>
      <c r="D4177" s="13"/>
      <c r="E4177" s="14"/>
      <c r="F4177" s="14"/>
      <c r="G4177" s="14"/>
      <c r="H4177" s="10"/>
      <c r="I4177" s="17"/>
      <c r="J4177" s="10"/>
      <c r="K4177" s="46"/>
      <c r="L4177" s="10"/>
      <c r="M4177" s="20"/>
      <c r="N4177" s="20"/>
      <c r="O4177" s="20"/>
      <c r="P4177" s="20"/>
    </row>
    <row r="4178">
      <c r="A4178" s="23"/>
      <c r="B4178" s="21"/>
      <c r="C4178" s="23"/>
      <c r="D4178" s="24"/>
      <c r="E4178" s="14"/>
      <c r="F4178" s="14"/>
      <c r="G4178" s="14"/>
      <c r="H4178" s="23"/>
      <c r="I4178" s="27"/>
      <c r="J4178" s="23"/>
      <c r="K4178" s="30"/>
      <c r="L4178" s="23"/>
      <c r="M4178" s="20"/>
      <c r="N4178" s="20"/>
      <c r="O4178" s="20"/>
      <c r="P4178" s="20"/>
    </row>
    <row r="4179">
      <c r="A4179" s="10"/>
      <c r="B4179" s="11"/>
      <c r="C4179" s="10"/>
      <c r="D4179" s="13"/>
      <c r="E4179" s="14"/>
      <c r="F4179" s="14"/>
      <c r="G4179" s="14"/>
      <c r="H4179" s="10"/>
      <c r="I4179" s="17"/>
      <c r="J4179" s="10"/>
      <c r="K4179" s="46"/>
      <c r="L4179" s="10"/>
      <c r="M4179" s="20"/>
      <c r="N4179" s="20"/>
      <c r="O4179" s="20"/>
      <c r="P4179" s="20"/>
    </row>
    <row r="4180">
      <c r="A4180" s="23"/>
      <c r="B4180" s="21"/>
      <c r="C4180" s="23"/>
      <c r="D4180" s="24"/>
      <c r="E4180" s="14"/>
      <c r="F4180" s="14"/>
      <c r="G4180" s="14"/>
      <c r="H4180" s="23"/>
      <c r="I4180" s="27"/>
      <c r="J4180" s="23"/>
      <c r="K4180" s="30"/>
      <c r="L4180" s="23"/>
      <c r="M4180" s="20"/>
      <c r="N4180" s="20"/>
      <c r="O4180" s="20"/>
      <c r="P4180" s="20"/>
    </row>
    <row r="4181">
      <c r="A4181" s="10"/>
      <c r="B4181" s="11"/>
      <c r="C4181" s="10"/>
      <c r="D4181" s="13"/>
      <c r="E4181" s="14"/>
      <c r="F4181" s="14"/>
      <c r="G4181" s="14"/>
      <c r="H4181" s="10"/>
      <c r="I4181" s="17"/>
      <c r="J4181" s="10"/>
      <c r="K4181" s="46"/>
      <c r="L4181" s="10"/>
      <c r="M4181" s="20"/>
      <c r="N4181" s="20"/>
      <c r="O4181" s="20"/>
      <c r="P4181" s="20"/>
    </row>
    <row r="4182">
      <c r="A4182" s="23"/>
      <c r="B4182" s="21"/>
      <c r="C4182" s="23"/>
      <c r="D4182" s="24"/>
      <c r="E4182" s="14"/>
      <c r="F4182" s="14"/>
      <c r="G4182" s="14"/>
      <c r="H4182" s="23"/>
      <c r="I4182" s="27"/>
      <c r="J4182" s="23"/>
      <c r="K4182" s="30"/>
      <c r="L4182" s="23"/>
      <c r="M4182" s="20"/>
      <c r="N4182" s="20"/>
      <c r="O4182" s="20"/>
      <c r="P4182" s="20"/>
    </row>
    <row r="4183">
      <c r="A4183" s="10"/>
      <c r="B4183" s="11"/>
      <c r="C4183" s="10"/>
      <c r="D4183" s="13"/>
      <c r="E4183" s="14"/>
      <c r="F4183" s="14"/>
      <c r="G4183" s="14"/>
      <c r="H4183" s="10"/>
      <c r="I4183" s="17"/>
      <c r="J4183" s="10"/>
      <c r="K4183" s="46"/>
      <c r="L4183" s="10"/>
      <c r="M4183" s="20"/>
      <c r="N4183" s="20"/>
      <c r="O4183" s="20"/>
      <c r="P4183" s="20"/>
    </row>
    <row r="4184">
      <c r="A4184" s="23"/>
      <c r="B4184" s="21"/>
      <c r="C4184" s="23"/>
      <c r="D4184" s="24"/>
      <c r="E4184" s="14"/>
      <c r="F4184" s="14"/>
      <c r="G4184" s="14"/>
      <c r="H4184" s="23"/>
      <c r="I4184" s="27"/>
      <c r="J4184" s="23"/>
      <c r="K4184" s="30"/>
      <c r="L4184" s="23"/>
      <c r="M4184" s="20"/>
      <c r="N4184" s="20"/>
      <c r="O4184" s="20"/>
      <c r="P4184" s="20"/>
    </row>
    <row r="4185">
      <c r="A4185" s="10"/>
      <c r="B4185" s="11"/>
      <c r="C4185" s="10"/>
      <c r="D4185" s="13"/>
      <c r="E4185" s="14"/>
      <c r="F4185" s="14"/>
      <c r="G4185" s="14"/>
      <c r="H4185" s="10"/>
      <c r="I4185" s="17"/>
      <c r="J4185" s="10"/>
      <c r="K4185" s="46"/>
      <c r="L4185" s="10"/>
      <c r="M4185" s="20"/>
      <c r="N4185" s="20"/>
      <c r="O4185" s="20"/>
      <c r="P4185" s="20"/>
    </row>
    <row r="4186">
      <c r="A4186" s="23"/>
      <c r="B4186" s="21"/>
      <c r="C4186" s="23"/>
      <c r="D4186" s="24"/>
      <c r="E4186" s="14"/>
      <c r="F4186" s="14"/>
      <c r="G4186" s="14"/>
      <c r="H4186" s="23"/>
      <c r="I4186" s="27"/>
      <c r="J4186" s="23"/>
      <c r="K4186" s="30"/>
      <c r="L4186" s="23"/>
      <c r="M4186" s="20"/>
      <c r="N4186" s="20"/>
      <c r="O4186" s="20"/>
      <c r="P4186" s="20"/>
    </row>
    <row r="4187">
      <c r="A4187" s="10"/>
      <c r="B4187" s="11"/>
      <c r="C4187" s="10"/>
      <c r="D4187" s="13"/>
      <c r="E4187" s="14"/>
      <c r="F4187" s="14"/>
      <c r="G4187" s="14"/>
      <c r="H4187" s="10"/>
      <c r="I4187" s="17"/>
      <c r="J4187" s="10"/>
      <c r="K4187" s="46"/>
      <c r="L4187" s="10"/>
      <c r="M4187" s="20"/>
      <c r="N4187" s="20"/>
      <c r="O4187" s="20"/>
      <c r="P4187" s="20"/>
    </row>
    <row r="4188">
      <c r="A4188" s="23"/>
      <c r="B4188" s="21"/>
      <c r="C4188" s="23"/>
      <c r="D4188" s="24"/>
      <c r="E4188" s="14"/>
      <c r="F4188" s="14"/>
      <c r="G4188" s="14"/>
      <c r="H4188" s="23"/>
      <c r="I4188" s="27"/>
      <c r="J4188" s="23"/>
      <c r="K4188" s="30"/>
      <c r="L4188" s="23"/>
      <c r="M4188" s="20"/>
      <c r="N4188" s="20"/>
      <c r="O4188" s="20"/>
      <c r="P4188" s="20"/>
    </row>
    <row r="4189">
      <c r="A4189" s="10"/>
      <c r="B4189" s="11"/>
      <c r="C4189" s="10"/>
      <c r="D4189" s="13"/>
      <c r="E4189" s="14"/>
      <c r="F4189" s="14"/>
      <c r="G4189" s="14"/>
      <c r="H4189" s="10"/>
      <c r="I4189" s="17"/>
      <c r="J4189" s="10"/>
      <c r="K4189" s="46"/>
      <c r="L4189" s="10"/>
      <c r="M4189" s="20"/>
      <c r="N4189" s="20"/>
      <c r="O4189" s="20"/>
      <c r="P4189" s="20"/>
    </row>
    <row r="4190">
      <c r="A4190" s="23"/>
      <c r="B4190" s="21"/>
      <c r="C4190" s="23"/>
      <c r="D4190" s="24"/>
      <c r="E4190" s="14"/>
      <c r="F4190" s="14"/>
      <c r="G4190" s="14"/>
      <c r="H4190" s="23"/>
      <c r="I4190" s="27"/>
      <c r="J4190" s="23"/>
      <c r="K4190" s="30"/>
      <c r="L4190" s="23"/>
      <c r="M4190" s="20"/>
      <c r="N4190" s="20"/>
      <c r="O4190" s="20"/>
      <c r="P4190" s="20"/>
    </row>
    <row r="4191">
      <c r="A4191" s="10"/>
      <c r="B4191" s="11"/>
      <c r="C4191" s="10"/>
      <c r="D4191" s="13"/>
      <c r="E4191" s="14"/>
      <c r="F4191" s="14"/>
      <c r="G4191" s="14"/>
      <c r="H4191" s="10"/>
      <c r="I4191" s="17"/>
      <c r="J4191" s="10"/>
      <c r="K4191" s="46"/>
      <c r="L4191" s="10"/>
      <c r="M4191" s="20"/>
      <c r="N4191" s="20"/>
      <c r="O4191" s="20"/>
      <c r="P4191" s="20"/>
    </row>
    <row r="4192">
      <c r="A4192" s="23"/>
      <c r="B4192" s="21"/>
      <c r="C4192" s="23"/>
      <c r="D4192" s="24"/>
      <c r="E4192" s="14"/>
      <c r="F4192" s="14"/>
      <c r="G4192" s="14"/>
      <c r="H4192" s="23"/>
      <c r="I4192" s="27"/>
      <c r="J4192" s="23"/>
      <c r="K4192" s="30"/>
      <c r="L4192" s="23"/>
      <c r="M4192" s="20"/>
      <c r="N4192" s="20"/>
      <c r="O4192" s="20"/>
      <c r="P4192" s="20"/>
    </row>
    <row r="4193">
      <c r="A4193" s="10"/>
      <c r="B4193" s="11"/>
      <c r="C4193" s="10"/>
      <c r="D4193" s="13"/>
      <c r="E4193" s="14"/>
      <c r="F4193" s="14"/>
      <c r="G4193" s="14"/>
      <c r="H4193" s="10"/>
      <c r="I4193" s="17"/>
      <c r="J4193" s="10"/>
      <c r="K4193" s="46"/>
      <c r="L4193" s="10"/>
      <c r="M4193" s="20"/>
      <c r="N4193" s="20"/>
      <c r="O4193" s="20"/>
      <c r="P4193" s="20"/>
    </row>
    <row r="4194">
      <c r="A4194" s="23"/>
      <c r="B4194" s="21"/>
      <c r="C4194" s="23"/>
      <c r="D4194" s="24"/>
      <c r="E4194" s="14"/>
      <c r="F4194" s="14"/>
      <c r="G4194" s="14"/>
      <c r="H4194" s="23"/>
      <c r="I4194" s="27"/>
      <c r="J4194" s="23"/>
      <c r="K4194" s="30"/>
      <c r="L4194" s="23"/>
      <c r="M4194" s="20"/>
      <c r="N4194" s="20"/>
      <c r="O4194" s="20"/>
      <c r="P4194" s="20"/>
    </row>
    <row r="4195">
      <c r="A4195" s="10"/>
      <c r="B4195" s="11"/>
      <c r="C4195" s="10"/>
      <c r="D4195" s="13"/>
      <c r="E4195" s="14"/>
      <c r="F4195" s="14"/>
      <c r="G4195" s="14"/>
      <c r="H4195" s="10"/>
      <c r="I4195" s="17"/>
      <c r="J4195" s="10"/>
      <c r="K4195" s="46"/>
      <c r="L4195" s="10"/>
      <c r="M4195" s="20"/>
      <c r="N4195" s="20"/>
      <c r="O4195" s="20"/>
      <c r="P4195" s="20"/>
    </row>
    <row r="4196">
      <c r="A4196" s="23"/>
      <c r="B4196" s="21"/>
      <c r="C4196" s="23"/>
      <c r="D4196" s="24"/>
      <c r="E4196" s="14"/>
      <c r="F4196" s="14"/>
      <c r="G4196" s="14"/>
      <c r="H4196" s="23"/>
      <c r="I4196" s="27"/>
      <c r="J4196" s="23"/>
      <c r="K4196" s="30"/>
      <c r="L4196" s="23"/>
      <c r="M4196" s="20"/>
      <c r="N4196" s="20"/>
      <c r="O4196" s="20"/>
      <c r="P4196" s="20"/>
    </row>
    <row r="4197">
      <c r="A4197" s="10"/>
      <c r="B4197" s="11"/>
      <c r="C4197" s="10"/>
      <c r="D4197" s="13"/>
      <c r="E4197" s="14"/>
      <c r="F4197" s="14"/>
      <c r="G4197" s="14"/>
      <c r="H4197" s="10"/>
      <c r="I4197" s="17"/>
      <c r="J4197" s="10"/>
      <c r="K4197" s="46"/>
      <c r="L4197" s="10"/>
      <c r="M4197" s="20"/>
      <c r="N4197" s="20"/>
      <c r="O4197" s="20"/>
      <c r="P4197" s="20"/>
    </row>
    <row r="4198">
      <c r="A4198" s="23"/>
      <c r="B4198" s="21"/>
      <c r="C4198" s="23"/>
      <c r="D4198" s="24"/>
      <c r="E4198" s="14"/>
      <c r="F4198" s="14"/>
      <c r="G4198" s="14"/>
      <c r="H4198" s="23"/>
      <c r="I4198" s="27"/>
      <c r="J4198" s="23"/>
      <c r="K4198" s="30"/>
      <c r="L4198" s="23"/>
      <c r="M4198" s="20"/>
      <c r="N4198" s="20"/>
      <c r="O4198" s="20"/>
      <c r="P4198" s="20"/>
    </row>
    <row r="4199">
      <c r="A4199" s="10"/>
      <c r="B4199" s="11"/>
      <c r="C4199" s="10"/>
      <c r="D4199" s="13"/>
      <c r="E4199" s="14"/>
      <c r="F4199" s="14"/>
      <c r="G4199" s="14"/>
      <c r="H4199" s="10"/>
      <c r="I4199" s="17"/>
      <c r="J4199" s="10"/>
      <c r="K4199" s="46"/>
      <c r="L4199" s="10"/>
      <c r="M4199" s="20"/>
      <c r="N4199" s="20"/>
      <c r="O4199" s="20"/>
      <c r="P4199" s="20"/>
    </row>
    <row r="4200">
      <c r="A4200" s="23"/>
      <c r="B4200" s="21"/>
      <c r="C4200" s="23"/>
      <c r="D4200" s="24"/>
      <c r="E4200" s="14"/>
      <c r="F4200" s="14"/>
      <c r="G4200" s="14"/>
      <c r="H4200" s="23"/>
      <c r="I4200" s="27"/>
      <c r="J4200" s="23"/>
      <c r="K4200" s="30"/>
      <c r="L4200" s="23"/>
      <c r="M4200" s="20"/>
      <c r="N4200" s="20"/>
      <c r="O4200" s="20"/>
      <c r="P4200" s="20"/>
    </row>
    <row r="4201">
      <c r="A4201" s="10"/>
      <c r="B4201" s="11"/>
      <c r="C4201" s="10"/>
      <c r="D4201" s="13"/>
      <c r="E4201" s="14"/>
      <c r="F4201" s="14"/>
      <c r="G4201" s="14"/>
      <c r="H4201" s="10"/>
      <c r="I4201" s="17"/>
      <c r="J4201" s="10"/>
      <c r="K4201" s="46"/>
      <c r="L4201" s="10"/>
      <c r="M4201" s="20"/>
      <c r="N4201" s="20"/>
      <c r="O4201" s="20"/>
      <c r="P4201" s="20"/>
    </row>
    <row r="4202">
      <c r="A4202" s="23"/>
      <c r="B4202" s="21"/>
      <c r="C4202" s="23"/>
      <c r="D4202" s="24"/>
      <c r="E4202" s="14"/>
      <c r="F4202" s="14"/>
      <c r="G4202" s="14"/>
      <c r="H4202" s="23"/>
      <c r="I4202" s="27"/>
      <c r="J4202" s="23"/>
      <c r="K4202" s="30"/>
      <c r="L4202" s="23"/>
      <c r="M4202" s="20"/>
      <c r="N4202" s="20"/>
      <c r="O4202" s="20"/>
      <c r="P4202" s="20"/>
    </row>
    <row r="4203">
      <c r="A4203" s="10"/>
      <c r="B4203" s="11"/>
      <c r="C4203" s="10"/>
      <c r="D4203" s="13"/>
      <c r="E4203" s="14"/>
      <c r="F4203" s="14"/>
      <c r="G4203" s="14"/>
      <c r="H4203" s="10"/>
      <c r="I4203" s="17"/>
      <c r="J4203" s="10"/>
      <c r="K4203" s="46"/>
      <c r="L4203" s="10"/>
      <c r="M4203" s="20"/>
      <c r="N4203" s="20"/>
      <c r="O4203" s="20"/>
      <c r="P4203" s="20"/>
    </row>
    <row r="4204">
      <c r="A4204" s="23"/>
      <c r="B4204" s="21"/>
      <c r="C4204" s="23"/>
      <c r="D4204" s="24"/>
      <c r="E4204" s="14"/>
      <c r="F4204" s="14"/>
      <c r="G4204" s="14"/>
      <c r="H4204" s="23"/>
      <c r="I4204" s="27"/>
      <c r="J4204" s="23"/>
      <c r="K4204" s="30"/>
      <c r="L4204" s="23"/>
      <c r="M4204" s="20"/>
      <c r="N4204" s="20"/>
      <c r="O4204" s="20"/>
      <c r="P4204" s="20"/>
    </row>
    <row r="4205">
      <c r="A4205" s="10"/>
      <c r="B4205" s="11"/>
      <c r="C4205" s="10"/>
      <c r="D4205" s="13"/>
      <c r="E4205" s="14"/>
      <c r="F4205" s="14"/>
      <c r="G4205" s="14"/>
      <c r="H4205" s="10"/>
      <c r="I4205" s="17"/>
      <c r="J4205" s="10"/>
      <c r="K4205" s="46"/>
      <c r="L4205" s="10"/>
      <c r="M4205" s="20"/>
      <c r="N4205" s="20"/>
      <c r="O4205" s="20"/>
      <c r="P4205" s="20"/>
    </row>
    <row r="4206">
      <c r="A4206" s="23"/>
      <c r="B4206" s="21"/>
      <c r="C4206" s="23"/>
      <c r="D4206" s="24"/>
      <c r="E4206" s="14"/>
      <c r="F4206" s="14"/>
      <c r="G4206" s="14"/>
      <c r="H4206" s="23"/>
      <c r="I4206" s="27"/>
      <c r="J4206" s="23"/>
      <c r="K4206" s="30"/>
      <c r="L4206" s="23"/>
      <c r="M4206" s="20"/>
      <c r="N4206" s="20"/>
      <c r="O4206" s="20"/>
      <c r="P4206" s="20"/>
    </row>
    <row r="4207">
      <c r="A4207" s="10"/>
      <c r="B4207" s="11"/>
      <c r="C4207" s="10"/>
      <c r="D4207" s="13"/>
      <c r="E4207" s="14"/>
      <c r="F4207" s="14"/>
      <c r="G4207" s="14"/>
      <c r="H4207" s="10"/>
      <c r="I4207" s="17"/>
      <c r="J4207" s="10"/>
      <c r="K4207" s="46"/>
      <c r="L4207" s="10"/>
      <c r="M4207" s="20"/>
      <c r="N4207" s="20"/>
      <c r="O4207" s="20"/>
      <c r="P4207" s="20"/>
    </row>
    <row r="4208">
      <c r="A4208" s="23"/>
      <c r="B4208" s="21"/>
      <c r="C4208" s="23"/>
      <c r="D4208" s="24"/>
      <c r="E4208" s="14"/>
      <c r="F4208" s="14"/>
      <c r="G4208" s="14"/>
      <c r="H4208" s="23"/>
      <c r="I4208" s="27"/>
      <c r="J4208" s="23"/>
      <c r="K4208" s="30"/>
      <c r="L4208" s="23"/>
      <c r="M4208" s="20"/>
      <c r="N4208" s="20"/>
      <c r="O4208" s="20"/>
      <c r="P4208" s="20"/>
    </row>
    <row r="4209">
      <c r="A4209" s="10"/>
      <c r="B4209" s="11"/>
      <c r="C4209" s="10"/>
      <c r="D4209" s="13"/>
      <c r="E4209" s="14"/>
      <c r="F4209" s="14"/>
      <c r="G4209" s="14"/>
      <c r="H4209" s="10"/>
      <c r="I4209" s="17"/>
      <c r="J4209" s="10"/>
      <c r="K4209" s="46"/>
      <c r="L4209" s="10"/>
      <c r="M4209" s="20"/>
      <c r="N4209" s="20"/>
      <c r="O4209" s="20"/>
      <c r="P4209" s="20"/>
    </row>
    <row r="4210">
      <c r="A4210" s="23"/>
      <c r="B4210" s="21"/>
      <c r="C4210" s="23"/>
      <c r="D4210" s="24"/>
      <c r="E4210" s="14"/>
      <c r="F4210" s="14"/>
      <c r="G4210" s="14"/>
      <c r="H4210" s="23"/>
      <c r="I4210" s="27"/>
      <c r="J4210" s="23"/>
      <c r="K4210" s="30"/>
      <c r="L4210" s="23"/>
      <c r="M4210" s="20"/>
      <c r="N4210" s="20"/>
      <c r="O4210" s="20"/>
      <c r="P4210" s="20"/>
    </row>
    <row r="4211">
      <c r="A4211" s="10"/>
      <c r="B4211" s="11"/>
      <c r="C4211" s="10"/>
      <c r="D4211" s="13"/>
      <c r="E4211" s="14"/>
      <c r="F4211" s="14"/>
      <c r="G4211" s="14"/>
      <c r="H4211" s="10"/>
      <c r="I4211" s="17"/>
      <c r="J4211" s="10"/>
      <c r="K4211" s="46"/>
      <c r="L4211" s="10"/>
      <c r="M4211" s="20"/>
      <c r="N4211" s="20"/>
      <c r="O4211" s="20"/>
      <c r="P4211" s="20"/>
    </row>
    <row r="4212">
      <c r="A4212" s="23"/>
      <c r="B4212" s="21"/>
      <c r="C4212" s="23"/>
      <c r="D4212" s="24"/>
      <c r="E4212" s="14"/>
      <c r="F4212" s="14"/>
      <c r="G4212" s="14"/>
      <c r="H4212" s="23"/>
      <c r="I4212" s="27"/>
      <c r="J4212" s="23"/>
      <c r="K4212" s="30"/>
      <c r="L4212" s="23"/>
      <c r="M4212" s="20"/>
      <c r="N4212" s="20"/>
      <c r="O4212" s="20"/>
      <c r="P4212" s="20"/>
    </row>
    <row r="4213">
      <c r="A4213" s="10"/>
      <c r="B4213" s="11"/>
      <c r="C4213" s="10"/>
      <c r="D4213" s="13"/>
      <c r="E4213" s="14"/>
      <c r="F4213" s="14"/>
      <c r="G4213" s="14"/>
      <c r="H4213" s="10"/>
      <c r="I4213" s="17"/>
      <c r="J4213" s="10"/>
      <c r="K4213" s="46"/>
      <c r="L4213" s="10"/>
      <c r="M4213" s="20"/>
      <c r="N4213" s="20"/>
      <c r="O4213" s="20"/>
      <c r="P4213" s="20"/>
    </row>
    <row r="4214">
      <c r="A4214" s="23"/>
      <c r="B4214" s="21"/>
      <c r="C4214" s="23"/>
      <c r="D4214" s="24"/>
      <c r="E4214" s="14"/>
      <c r="F4214" s="14"/>
      <c r="G4214" s="14"/>
      <c r="H4214" s="23"/>
      <c r="I4214" s="27"/>
      <c r="J4214" s="23"/>
      <c r="K4214" s="30"/>
      <c r="L4214" s="23"/>
      <c r="M4214" s="20"/>
      <c r="N4214" s="20"/>
      <c r="O4214" s="20"/>
      <c r="P4214" s="20"/>
    </row>
    <row r="4215">
      <c r="A4215" s="10"/>
      <c r="B4215" s="11"/>
      <c r="C4215" s="10"/>
      <c r="D4215" s="13"/>
      <c r="E4215" s="14"/>
      <c r="F4215" s="14"/>
      <c r="G4215" s="14"/>
      <c r="H4215" s="10"/>
      <c r="I4215" s="17"/>
      <c r="J4215" s="10"/>
      <c r="K4215" s="46"/>
      <c r="L4215" s="10"/>
      <c r="M4215" s="20"/>
      <c r="N4215" s="20"/>
      <c r="O4215" s="20"/>
      <c r="P4215" s="20"/>
    </row>
    <row r="4216">
      <c r="A4216" s="23"/>
      <c r="B4216" s="21"/>
      <c r="C4216" s="23"/>
      <c r="D4216" s="24"/>
      <c r="E4216" s="14"/>
      <c r="F4216" s="14"/>
      <c r="G4216" s="14"/>
      <c r="H4216" s="23"/>
      <c r="I4216" s="27"/>
      <c r="J4216" s="23"/>
      <c r="K4216" s="30"/>
      <c r="L4216" s="23"/>
      <c r="M4216" s="20"/>
      <c r="N4216" s="20"/>
      <c r="O4216" s="20"/>
      <c r="P4216" s="20"/>
    </row>
    <row r="4217">
      <c r="A4217" s="10"/>
      <c r="B4217" s="11"/>
      <c r="C4217" s="10"/>
      <c r="D4217" s="13"/>
      <c r="E4217" s="14"/>
      <c r="F4217" s="14"/>
      <c r="G4217" s="14"/>
      <c r="H4217" s="10"/>
      <c r="I4217" s="17"/>
      <c r="J4217" s="10"/>
      <c r="K4217" s="46"/>
      <c r="L4217" s="10"/>
      <c r="M4217" s="20"/>
      <c r="N4217" s="20"/>
      <c r="O4217" s="20"/>
      <c r="P4217" s="20"/>
    </row>
    <row r="4218">
      <c r="A4218" s="23"/>
      <c r="B4218" s="21"/>
      <c r="C4218" s="23"/>
      <c r="D4218" s="24"/>
      <c r="E4218" s="14"/>
      <c r="F4218" s="14"/>
      <c r="G4218" s="14"/>
      <c r="H4218" s="23"/>
      <c r="I4218" s="27"/>
      <c r="J4218" s="23"/>
      <c r="K4218" s="30"/>
      <c r="L4218" s="23"/>
      <c r="M4218" s="20"/>
      <c r="N4218" s="20"/>
      <c r="O4218" s="20"/>
      <c r="P4218" s="20"/>
    </row>
    <row r="4219">
      <c r="A4219" s="10"/>
      <c r="B4219" s="11"/>
      <c r="C4219" s="10"/>
      <c r="D4219" s="13"/>
      <c r="E4219" s="14"/>
      <c r="F4219" s="14"/>
      <c r="G4219" s="14"/>
      <c r="H4219" s="10"/>
      <c r="I4219" s="17"/>
      <c r="J4219" s="10"/>
      <c r="K4219" s="46"/>
      <c r="L4219" s="10"/>
      <c r="M4219" s="20"/>
      <c r="N4219" s="20"/>
      <c r="O4219" s="20"/>
      <c r="P4219" s="20"/>
    </row>
    <row r="4220">
      <c r="A4220" s="23"/>
      <c r="B4220" s="21"/>
      <c r="C4220" s="23"/>
      <c r="D4220" s="24"/>
      <c r="E4220" s="14"/>
      <c r="F4220" s="14"/>
      <c r="G4220" s="14"/>
      <c r="H4220" s="23"/>
      <c r="I4220" s="27"/>
      <c r="J4220" s="23"/>
      <c r="K4220" s="30"/>
      <c r="L4220" s="23"/>
      <c r="M4220" s="20"/>
      <c r="N4220" s="20"/>
      <c r="O4220" s="20"/>
      <c r="P4220" s="20"/>
    </row>
    <row r="4221">
      <c r="A4221" s="10"/>
      <c r="B4221" s="11"/>
      <c r="C4221" s="10"/>
      <c r="D4221" s="13"/>
      <c r="E4221" s="14"/>
      <c r="F4221" s="14"/>
      <c r="G4221" s="14"/>
      <c r="H4221" s="10"/>
      <c r="I4221" s="17"/>
      <c r="J4221" s="10"/>
      <c r="K4221" s="46"/>
      <c r="L4221" s="10"/>
      <c r="M4221" s="20"/>
      <c r="N4221" s="20"/>
      <c r="O4221" s="20"/>
      <c r="P4221" s="20"/>
    </row>
    <row r="4222">
      <c r="A4222" s="23"/>
      <c r="B4222" s="21"/>
      <c r="C4222" s="23"/>
      <c r="D4222" s="24"/>
      <c r="E4222" s="14"/>
      <c r="F4222" s="14"/>
      <c r="G4222" s="14"/>
      <c r="H4222" s="23"/>
      <c r="I4222" s="27"/>
      <c r="J4222" s="23"/>
      <c r="K4222" s="30"/>
      <c r="L4222" s="23"/>
      <c r="M4222" s="20"/>
      <c r="N4222" s="20"/>
      <c r="O4222" s="20"/>
      <c r="P4222" s="20"/>
    </row>
    <row r="4223">
      <c r="A4223" s="10"/>
      <c r="B4223" s="11"/>
      <c r="C4223" s="10"/>
      <c r="D4223" s="13"/>
      <c r="E4223" s="14"/>
      <c r="F4223" s="14"/>
      <c r="G4223" s="14"/>
      <c r="H4223" s="10"/>
      <c r="I4223" s="17"/>
      <c r="J4223" s="10"/>
      <c r="K4223" s="46"/>
      <c r="L4223" s="10"/>
      <c r="M4223" s="20"/>
      <c r="N4223" s="20"/>
      <c r="O4223" s="20"/>
      <c r="P4223" s="20"/>
    </row>
    <row r="4224">
      <c r="A4224" s="23"/>
      <c r="B4224" s="21"/>
      <c r="C4224" s="23"/>
      <c r="D4224" s="24"/>
      <c r="E4224" s="14"/>
      <c r="F4224" s="14"/>
      <c r="G4224" s="14"/>
      <c r="H4224" s="23"/>
      <c r="I4224" s="27"/>
      <c r="J4224" s="23"/>
      <c r="K4224" s="30"/>
      <c r="L4224" s="23"/>
      <c r="M4224" s="20"/>
      <c r="N4224" s="20"/>
      <c r="O4224" s="20"/>
      <c r="P4224" s="20"/>
    </row>
    <row r="4225">
      <c r="A4225" s="10"/>
      <c r="B4225" s="11"/>
      <c r="C4225" s="10"/>
      <c r="D4225" s="13"/>
      <c r="E4225" s="14"/>
      <c r="F4225" s="14"/>
      <c r="G4225" s="14"/>
      <c r="H4225" s="10"/>
      <c r="I4225" s="17"/>
      <c r="J4225" s="10"/>
      <c r="K4225" s="46"/>
      <c r="L4225" s="10"/>
      <c r="M4225" s="20"/>
      <c r="N4225" s="20"/>
      <c r="O4225" s="20"/>
      <c r="P4225" s="20"/>
    </row>
    <row r="4226">
      <c r="A4226" s="23"/>
      <c r="B4226" s="21"/>
      <c r="C4226" s="23"/>
      <c r="D4226" s="24"/>
      <c r="E4226" s="14"/>
      <c r="F4226" s="14"/>
      <c r="G4226" s="14"/>
      <c r="H4226" s="23"/>
      <c r="I4226" s="27"/>
      <c r="J4226" s="23"/>
      <c r="K4226" s="30"/>
      <c r="L4226" s="23"/>
      <c r="M4226" s="20"/>
      <c r="N4226" s="20"/>
      <c r="O4226" s="20"/>
      <c r="P4226" s="20"/>
    </row>
    <row r="4227">
      <c r="A4227" s="10"/>
      <c r="B4227" s="11"/>
      <c r="C4227" s="10"/>
      <c r="D4227" s="13"/>
      <c r="E4227" s="14"/>
      <c r="F4227" s="14"/>
      <c r="G4227" s="14"/>
      <c r="H4227" s="10"/>
      <c r="I4227" s="17"/>
      <c r="J4227" s="10"/>
      <c r="K4227" s="46"/>
      <c r="L4227" s="10"/>
      <c r="M4227" s="20"/>
      <c r="N4227" s="20"/>
      <c r="O4227" s="20"/>
      <c r="P4227" s="20"/>
    </row>
    <row r="4228">
      <c r="A4228" s="23"/>
      <c r="B4228" s="21"/>
      <c r="C4228" s="23"/>
      <c r="D4228" s="24"/>
      <c r="E4228" s="14"/>
      <c r="F4228" s="14"/>
      <c r="G4228" s="14"/>
      <c r="H4228" s="23"/>
      <c r="I4228" s="27"/>
      <c r="J4228" s="23"/>
      <c r="K4228" s="30"/>
      <c r="L4228" s="23"/>
      <c r="M4228" s="20"/>
      <c r="N4228" s="20"/>
      <c r="O4228" s="20"/>
      <c r="P4228" s="20"/>
    </row>
    <row r="4229">
      <c r="A4229" s="10"/>
      <c r="B4229" s="11"/>
      <c r="C4229" s="10"/>
      <c r="D4229" s="13"/>
      <c r="E4229" s="14"/>
      <c r="F4229" s="14"/>
      <c r="G4229" s="14"/>
      <c r="H4229" s="10"/>
      <c r="I4229" s="17"/>
      <c r="J4229" s="10"/>
      <c r="K4229" s="46"/>
      <c r="L4229" s="10"/>
      <c r="M4229" s="20"/>
      <c r="N4229" s="20"/>
      <c r="O4229" s="20"/>
      <c r="P4229" s="20"/>
    </row>
    <row r="4230">
      <c r="A4230" s="23"/>
      <c r="B4230" s="21"/>
      <c r="C4230" s="23"/>
      <c r="D4230" s="24"/>
      <c r="E4230" s="14"/>
      <c r="F4230" s="14"/>
      <c r="G4230" s="14"/>
      <c r="H4230" s="23"/>
      <c r="I4230" s="27"/>
      <c r="J4230" s="23"/>
      <c r="K4230" s="30"/>
      <c r="L4230" s="23"/>
      <c r="M4230" s="20"/>
      <c r="N4230" s="20"/>
      <c r="O4230" s="20"/>
      <c r="P4230" s="20"/>
    </row>
    <row r="4231">
      <c r="A4231" s="10"/>
      <c r="B4231" s="11"/>
      <c r="C4231" s="10"/>
      <c r="D4231" s="13"/>
      <c r="E4231" s="14"/>
      <c r="F4231" s="14"/>
      <c r="G4231" s="14"/>
      <c r="H4231" s="10"/>
      <c r="I4231" s="17"/>
      <c r="J4231" s="10"/>
      <c r="K4231" s="46"/>
      <c r="L4231" s="10"/>
      <c r="M4231" s="20"/>
      <c r="N4231" s="20"/>
      <c r="O4231" s="20"/>
      <c r="P4231" s="20"/>
    </row>
    <row r="4232">
      <c r="A4232" s="23"/>
      <c r="B4232" s="21"/>
      <c r="C4232" s="23"/>
      <c r="D4232" s="24"/>
      <c r="E4232" s="14"/>
      <c r="F4232" s="14"/>
      <c r="G4232" s="14"/>
      <c r="H4232" s="23"/>
      <c r="I4232" s="27"/>
      <c r="J4232" s="23"/>
      <c r="K4232" s="30"/>
      <c r="L4232" s="23"/>
      <c r="M4232" s="20"/>
      <c r="N4232" s="20"/>
      <c r="O4232" s="20"/>
      <c r="P4232" s="20"/>
    </row>
    <row r="4233">
      <c r="A4233" s="10"/>
      <c r="B4233" s="11"/>
      <c r="C4233" s="10"/>
      <c r="D4233" s="13"/>
      <c r="E4233" s="14"/>
      <c r="F4233" s="14"/>
      <c r="G4233" s="14"/>
      <c r="H4233" s="10"/>
      <c r="I4233" s="17"/>
      <c r="J4233" s="10"/>
      <c r="K4233" s="46"/>
      <c r="L4233" s="10"/>
      <c r="M4233" s="20"/>
      <c r="N4233" s="20"/>
      <c r="O4233" s="20"/>
      <c r="P4233" s="20"/>
    </row>
    <row r="4234">
      <c r="A4234" s="23"/>
      <c r="B4234" s="21"/>
      <c r="C4234" s="23"/>
      <c r="D4234" s="24"/>
      <c r="E4234" s="14"/>
      <c r="F4234" s="14"/>
      <c r="G4234" s="14"/>
      <c r="H4234" s="23"/>
      <c r="I4234" s="27"/>
      <c r="J4234" s="23"/>
      <c r="K4234" s="30"/>
      <c r="L4234" s="23"/>
      <c r="M4234" s="20"/>
      <c r="N4234" s="20"/>
      <c r="O4234" s="20"/>
      <c r="P4234" s="20"/>
    </row>
    <row r="4235">
      <c r="A4235" s="10"/>
      <c r="B4235" s="11"/>
      <c r="C4235" s="10"/>
      <c r="D4235" s="13"/>
      <c r="E4235" s="14"/>
      <c r="F4235" s="14"/>
      <c r="G4235" s="14"/>
      <c r="H4235" s="10"/>
      <c r="I4235" s="17"/>
      <c r="J4235" s="10"/>
      <c r="K4235" s="46"/>
      <c r="L4235" s="10"/>
      <c r="M4235" s="20"/>
      <c r="N4235" s="20"/>
      <c r="O4235" s="20"/>
      <c r="P4235" s="20"/>
    </row>
    <row r="4236">
      <c r="A4236" s="23"/>
      <c r="B4236" s="21"/>
      <c r="C4236" s="23"/>
      <c r="D4236" s="24"/>
      <c r="E4236" s="14"/>
      <c r="F4236" s="14"/>
      <c r="G4236" s="14"/>
      <c r="H4236" s="23"/>
      <c r="I4236" s="27"/>
      <c r="J4236" s="23"/>
      <c r="K4236" s="30"/>
      <c r="L4236" s="23"/>
      <c r="M4236" s="20"/>
      <c r="N4236" s="20"/>
      <c r="O4236" s="20"/>
      <c r="P4236" s="20"/>
    </row>
    <row r="4237">
      <c r="A4237" s="10"/>
      <c r="B4237" s="11"/>
      <c r="C4237" s="10"/>
      <c r="D4237" s="13"/>
      <c r="E4237" s="14"/>
      <c r="F4237" s="14"/>
      <c r="G4237" s="14"/>
      <c r="H4237" s="10"/>
      <c r="I4237" s="17"/>
      <c r="J4237" s="10"/>
      <c r="K4237" s="46"/>
      <c r="L4237" s="10"/>
      <c r="M4237" s="20"/>
      <c r="N4237" s="20"/>
      <c r="O4237" s="20"/>
      <c r="P4237" s="20"/>
    </row>
    <row r="4238">
      <c r="A4238" s="23"/>
      <c r="B4238" s="21"/>
      <c r="C4238" s="23"/>
      <c r="D4238" s="24"/>
      <c r="E4238" s="14"/>
      <c r="F4238" s="14"/>
      <c r="G4238" s="14"/>
      <c r="H4238" s="23"/>
      <c r="I4238" s="27"/>
      <c r="J4238" s="23"/>
      <c r="K4238" s="30"/>
      <c r="L4238" s="23"/>
      <c r="M4238" s="20"/>
      <c r="N4238" s="20"/>
      <c r="O4238" s="20"/>
      <c r="P4238" s="20"/>
    </row>
    <row r="4239">
      <c r="A4239" s="10"/>
      <c r="B4239" s="11"/>
      <c r="C4239" s="10"/>
      <c r="D4239" s="13"/>
      <c r="E4239" s="14"/>
      <c r="F4239" s="14"/>
      <c r="G4239" s="14"/>
      <c r="H4239" s="10"/>
      <c r="I4239" s="17"/>
      <c r="J4239" s="10"/>
      <c r="K4239" s="46"/>
      <c r="L4239" s="10"/>
      <c r="M4239" s="20"/>
      <c r="N4239" s="20"/>
      <c r="O4239" s="20"/>
      <c r="P4239" s="20"/>
    </row>
    <row r="4240">
      <c r="A4240" s="23"/>
      <c r="B4240" s="21"/>
      <c r="C4240" s="23"/>
      <c r="D4240" s="24"/>
      <c r="E4240" s="14"/>
      <c r="F4240" s="14"/>
      <c r="G4240" s="14"/>
      <c r="H4240" s="23"/>
      <c r="I4240" s="27"/>
      <c r="J4240" s="23"/>
      <c r="K4240" s="30"/>
      <c r="L4240" s="23"/>
      <c r="M4240" s="20"/>
      <c r="N4240" s="20"/>
      <c r="O4240" s="20"/>
      <c r="P4240" s="20"/>
    </row>
    <row r="4241">
      <c r="A4241" s="10"/>
      <c r="B4241" s="11"/>
      <c r="C4241" s="10"/>
      <c r="D4241" s="13"/>
      <c r="E4241" s="14"/>
      <c r="F4241" s="14"/>
      <c r="G4241" s="14"/>
      <c r="H4241" s="10"/>
      <c r="I4241" s="17"/>
      <c r="J4241" s="10"/>
      <c r="K4241" s="46"/>
      <c r="L4241" s="10"/>
      <c r="M4241" s="20"/>
      <c r="N4241" s="20"/>
      <c r="O4241" s="20"/>
      <c r="P4241" s="20"/>
    </row>
    <row r="4242">
      <c r="A4242" s="23"/>
      <c r="B4242" s="21"/>
      <c r="C4242" s="23"/>
      <c r="D4242" s="24"/>
      <c r="E4242" s="14"/>
      <c r="F4242" s="14"/>
      <c r="G4242" s="14"/>
      <c r="H4242" s="23"/>
      <c r="I4242" s="27"/>
      <c r="J4242" s="23"/>
      <c r="K4242" s="30"/>
      <c r="L4242" s="23"/>
      <c r="M4242" s="20"/>
      <c r="N4242" s="20"/>
      <c r="O4242" s="20"/>
      <c r="P4242" s="20"/>
    </row>
    <row r="4243">
      <c r="A4243" s="10"/>
      <c r="B4243" s="11"/>
      <c r="C4243" s="10"/>
      <c r="D4243" s="13"/>
      <c r="E4243" s="14"/>
      <c r="F4243" s="14"/>
      <c r="G4243" s="14"/>
      <c r="H4243" s="10"/>
      <c r="I4243" s="17"/>
      <c r="J4243" s="10"/>
      <c r="K4243" s="46"/>
      <c r="L4243" s="10"/>
      <c r="M4243" s="20"/>
      <c r="N4243" s="20"/>
      <c r="O4243" s="20"/>
      <c r="P4243" s="20"/>
    </row>
    <row r="4244">
      <c r="A4244" s="23"/>
      <c r="B4244" s="21"/>
      <c r="C4244" s="23"/>
      <c r="D4244" s="24"/>
      <c r="E4244" s="14"/>
      <c r="F4244" s="14"/>
      <c r="G4244" s="14"/>
      <c r="H4244" s="23"/>
      <c r="I4244" s="27"/>
      <c r="J4244" s="23"/>
      <c r="K4244" s="30"/>
      <c r="L4244" s="23"/>
      <c r="M4244" s="20"/>
      <c r="N4244" s="20"/>
      <c r="O4244" s="20"/>
      <c r="P4244" s="20"/>
    </row>
    <row r="4245">
      <c r="A4245" s="10"/>
      <c r="B4245" s="11"/>
      <c r="C4245" s="10"/>
      <c r="D4245" s="13"/>
      <c r="E4245" s="14"/>
      <c r="F4245" s="14"/>
      <c r="G4245" s="14"/>
      <c r="H4245" s="10"/>
      <c r="I4245" s="17"/>
      <c r="J4245" s="10"/>
      <c r="K4245" s="46"/>
      <c r="L4245" s="10"/>
      <c r="M4245" s="20"/>
      <c r="N4245" s="20"/>
      <c r="O4245" s="20"/>
      <c r="P4245" s="20"/>
    </row>
    <row r="4246">
      <c r="A4246" s="23"/>
      <c r="B4246" s="21"/>
      <c r="C4246" s="23"/>
      <c r="D4246" s="24"/>
      <c r="E4246" s="14"/>
      <c r="F4246" s="14"/>
      <c r="G4246" s="14"/>
      <c r="H4246" s="23"/>
      <c r="I4246" s="27"/>
      <c r="J4246" s="23"/>
      <c r="K4246" s="30"/>
      <c r="L4246" s="23"/>
      <c r="M4246" s="20"/>
      <c r="N4246" s="20"/>
      <c r="O4246" s="20"/>
      <c r="P4246" s="20"/>
    </row>
    <row r="4247">
      <c r="A4247" s="10"/>
      <c r="B4247" s="11"/>
      <c r="C4247" s="10"/>
      <c r="D4247" s="13"/>
      <c r="E4247" s="14"/>
      <c r="F4247" s="14"/>
      <c r="G4247" s="14"/>
      <c r="H4247" s="10"/>
      <c r="I4247" s="17"/>
      <c r="J4247" s="10"/>
      <c r="K4247" s="46"/>
      <c r="L4247" s="10"/>
      <c r="M4247" s="20"/>
      <c r="N4247" s="20"/>
      <c r="O4247" s="20"/>
      <c r="P4247" s="20"/>
    </row>
    <row r="4248">
      <c r="A4248" s="23"/>
      <c r="B4248" s="21"/>
      <c r="C4248" s="23"/>
      <c r="D4248" s="24"/>
      <c r="E4248" s="14"/>
      <c r="F4248" s="14"/>
      <c r="G4248" s="14"/>
      <c r="H4248" s="23"/>
      <c r="I4248" s="27"/>
      <c r="J4248" s="23"/>
      <c r="K4248" s="30"/>
      <c r="L4248" s="23"/>
      <c r="M4248" s="20"/>
      <c r="N4248" s="20"/>
      <c r="O4248" s="20"/>
      <c r="P4248" s="20"/>
    </row>
    <row r="4249">
      <c r="A4249" s="10"/>
      <c r="B4249" s="11"/>
      <c r="C4249" s="10"/>
      <c r="D4249" s="13"/>
      <c r="E4249" s="14"/>
      <c r="F4249" s="14"/>
      <c r="G4249" s="14"/>
      <c r="H4249" s="10"/>
      <c r="I4249" s="17"/>
      <c r="J4249" s="10"/>
      <c r="K4249" s="46"/>
      <c r="L4249" s="10"/>
      <c r="M4249" s="20"/>
      <c r="N4249" s="20"/>
      <c r="O4249" s="20"/>
      <c r="P4249" s="20"/>
    </row>
    <row r="4250">
      <c r="A4250" s="23"/>
      <c r="B4250" s="21"/>
      <c r="C4250" s="23"/>
      <c r="D4250" s="24"/>
      <c r="E4250" s="14"/>
      <c r="F4250" s="14"/>
      <c r="G4250" s="14"/>
      <c r="H4250" s="23"/>
      <c r="I4250" s="27"/>
      <c r="J4250" s="23"/>
      <c r="K4250" s="30"/>
      <c r="L4250" s="23"/>
      <c r="M4250" s="20"/>
      <c r="N4250" s="20"/>
      <c r="O4250" s="20"/>
      <c r="P4250" s="20"/>
    </row>
    <row r="4251">
      <c r="A4251" s="10"/>
      <c r="B4251" s="11"/>
      <c r="C4251" s="10"/>
      <c r="D4251" s="13"/>
      <c r="E4251" s="14"/>
      <c r="F4251" s="14"/>
      <c r="G4251" s="14"/>
      <c r="H4251" s="10"/>
      <c r="I4251" s="17"/>
      <c r="J4251" s="10"/>
      <c r="K4251" s="46"/>
      <c r="L4251" s="10"/>
      <c r="M4251" s="20"/>
      <c r="N4251" s="20"/>
      <c r="O4251" s="20"/>
      <c r="P4251" s="20"/>
    </row>
    <row r="4252">
      <c r="A4252" s="23"/>
      <c r="B4252" s="21"/>
      <c r="C4252" s="23"/>
      <c r="D4252" s="24"/>
      <c r="E4252" s="14"/>
      <c r="F4252" s="14"/>
      <c r="G4252" s="14"/>
      <c r="H4252" s="23"/>
      <c r="I4252" s="27"/>
      <c r="J4252" s="23"/>
      <c r="K4252" s="30"/>
      <c r="L4252" s="23"/>
      <c r="M4252" s="20"/>
      <c r="N4252" s="20"/>
      <c r="O4252" s="20"/>
      <c r="P4252" s="20"/>
    </row>
    <row r="4253">
      <c r="A4253" s="10"/>
      <c r="B4253" s="11"/>
      <c r="C4253" s="10"/>
      <c r="D4253" s="13"/>
      <c r="E4253" s="14"/>
      <c r="F4253" s="14"/>
      <c r="G4253" s="14"/>
      <c r="H4253" s="10"/>
      <c r="I4253" s="17"/>
      <c r="J4253" s="10"/>
      <c r="K4253" s="46"/>
      <c r="L4253" s="10"/>
      <c r="M4253" s="20"/>
      <c r="N4253" s="20"/>
      <c r="O4253" s="20"/>
      <c r="P4253" s="20"/>
    </row>
    <row r="4254">
      <c r="A4254" s="23"/>
      <c r="B4254" s="21"/>
      <c r="C4254" s="23"/>
      <c r="D4254" s="24"/>
      <c r="E4254" s="14"/>
      <c r="F4254" s="14"/>
      <c r="G4254" s="14"/>
      <c r="H4254" s="23"/>
      <c r="I4254" s="27"/>
      <c r="J4254" s="23"/>
      <c r="K4254" s="30"/>
      <c r="L4254" s="23"/>
      <c r="M4254" s="20"/>
      <c r="N4254" s="20"/>
      <c r="O4254" s="20"/>
      <c r="P4254" s="20"/>
    </row>
    <row r="4255">
      <c r="A4255" s="10"/>
      <c r="B4255" s="11"/>
      <c r="C4255" s="10"/>
      <c r="D4255" s="13"/>
      <c r="E4255" s="14"/>
      <c r="F4255" s="14"/>
      <c r="G4255" s="14"/>
      <c r="H4255" s="10"/>
      <c r="I4255" s="17"/>
      <c r="J4255" s="10"/>
      <c r="K4255" s="46"/>
      <c r="L4255" s="10"/>
      <c r="M4255" s="20"/>
      <c r="N4255" s="20"/>
      <c r="O4255" s="20"/>
      <c r="P4255" s="20"/>
    </row>
    <row r="4256">
      <c r="A4256" s="23"/>
      <c r="B4256" s="21"/>
      <c r="C4256" s="23"/>
      <c r="D4256" s="24"/>
      <c r="E4256" s="14"/>
      <c r="F4256" s="14"/>
      <c r="G4256" s="14"/>
      <c r="H4256" s="23"/>
      <c r="I4256" s="27"/>
      <c r="J4256" s="23"/>
      <c r="K4256" s="30"/>
      <c r="L4256" s="23"/>
      <c r="M4256" s="20"/>
      <c r="N4256" s="20"/>
      <c r="O4256" s="20"/>
      <c r="P4256" s="20"/>
    </row>
    <row r="4257">
      <c r="A4257" s="10"/>
      <c r="B4257" s="11"/>
      <c r="C4257" s="10"/>
      <c r="D4257" s="13"/>
      <c r="E4257" s="14"/>
      <c r="F4257" s="14"/>
      <c r="G4257" s="14"/>
      <c r="H4257" s="10"/>
      <c r="I4257" s="17"/>
      <c r="J4257" s="10"/>
      <c r="K4257" s="46"/>
      <c r="L4257" s="10"/>
      <c r="M4257" s="20"/>
      <c r="N4257" s="20"/>
      <c r="O4257" s="20"/>
      <c r="P4257" s="20"/>
    </row>
    <row r="4258">
      <c r="A4258" s="23"/>
      <c r="B4258" s="21"/>
      <c r="C4258" s="23"/>
      <c r="D4258" s="24"/>
      <c r="E4258" s="14"/>
      <c r="F4258" s="14"/>
      <c r="G4258" s="14"/>
      <c r="H4258" s="23"/>
      <c r="I4258" s="27"/>
      <c r="J4258" s="23"/>
      <c r="K4258" s="30"/>
      <c r="L4258" s="23"/>
      <c r="M4258" s="20"/>
      <c r="N4258" s="20"/>
      <c r="O4258" s="20"/>
      <c r="P4258" s="20"/>
    </row>
    <row r="4259">
      <c r="A4259" s="10"/>
      <c r="B4259" s="11"/>
      <c r="C4259" s="10"/>
      <c r="D4259" s="13"/>
      <c r="E4259" s="14"/>
      <c r="F4259" s="14"/>
      <c r="G4259" s="14"/>
      <c r="H4259" s="10"/>
      <c r="I4259" s="17"/>
      <c r="J4259" s="10"/>
      <c r="K4259" s="46"/>
      <c r="L4259" s="10"/>
      <c r="M4259" s="20"/>
      <c r="N4259" s="20"/>
      <c r="O4259" s="20"/>
      <c r="P4259" s="20"/>
    </row>
    <row r="4260">
      <c r="A4260" s="23"/>
      <c r="B4260" s="21"/>
      <c r="C4260" s="23"/>
      <c r="D4260" s="24"/>
      <c r="E4260" s="14"/>
      <c r="F4260" s="14"/>
      <c r="G4260" s="14"/>
      <c r="H4260" s="23"/>
      <c r="I4260" s="27"/>
      <c r="J4260" s="23"/>
      <c r="K4260" s="30"/>
      <c r="L4260" s="23"/>
      <c r="M4260" s="20"/>
      <c r="N4260" s="20"/>
      <c r="O4260" s="20"/>
      <c r="P4260" s="20"/>
    </row>
    <row r="4261">
      <c r="A4261" s="10"/>
      <c r="B4261" s="11"/>
      <c r="C4261" s="10"/>
      <c r="D4261" s="13"/>
      <c r="E4261" s="14"/>
      <c r="F4261" s="14"/>
      <c r="G4261" s="14"/>
      <c r="H4261" s="10"/>
      <c r="I4261" s="17"/>
      <c r="J4261" s="10"/>
      <c r="K4261" s="46"/>
      <c r="L4261" s="10"/>
      <c r="M4261" s="20"/>
      <c r="N4261" s="20"/>
      <c r="O4261" s="20"/>
      <c r="P4261" s="20"/>
    </row>
    <row r="4262">
      <c r="A4262" s="23"/>
      <c r="B4262" s="21"/>
      <c r="C4262" s="23"/>
      <c r="D4262" s="24"/>
      <c r="E4262" s="14"/>
      <c r="F4262" s="14"/>
      <c r="G4262" s="14"/>
      <c r="H4262" s="23"/>
      <c r="I4262" s="27"/>
      <c r="J4262" s="23"/>
      <c r="K4262" s="30"/>
      <c r="L4262" s="23"/>
      <c r="M4262" s="20"/>
      <c r="N4262" s="20"/>
      <c r="O4262" s="20"/>
      <c r="P4262" s="20"/>
    </row>
    <row r="4263">
      <c r="A4263" s="10"/>
      <c r="B4263" s="11"/>
      <c r="C4263" s="10"/>
      <c r="D4263" s="13"/>
      <c r="E4263" s="14"/>
      <c r="F4263" s="14"/>
      <c r="G4263" s="14"/>
      <c r="H4263" s="10"/>
      <c r="I4263" s="17"/>
      <c r="J4263" s="10"/>
      <c r="K4263" s="46"/>
      <c r="L4263" s="10"/>
      <c r="M4263" s="20"/>
      <c r="N4263" s="20"/>
      <c r="O4263" s="20"/>
      <c r="P4263" s="20"/>
    </row>
    <row r="4264">
      <c r="A4264" s="23"/>
      <c r="B4264" s="21"/>
      <c r="C4264" s="23"/>
      <c r="D4264" s="24"/>
      <c r="E4264" s="14"/>
      <c r="F4264" s="14"/>
      <c r="G4264" s="14"/>
      <c r="H4264" s="23"/>
      <c r="I4264" s="27"/>
      <c r="J4264" s="23"/>
      <c r="K4264" s="30"/>
      <c r="L4264" s="23"/>
      <c r="M4264" s="20"/>
      <c r="N4264" s="20"/>
      <c r="O4264" s="20"/>
      <c r="P4264" s="20"/>
    </row>
    <row r="4265">
      <c r="A4265" s="10"/>
      <c r="B4265" s="11"/>
      <c r="C4265" s="10"/>
      <c r="D4265" s="13"/>
      <c r="E4265" s="14"/>
      <c r="F4265" s="14"/>
      <c r="G4265" s="14"/>
      <c r="H4265" s="10"/>
      <c r="I4265" s="17"/>
      <c r="J4265" s="10"/>
      <c r="K4265" s="46"/>
      <c r="L4265" s="10"/>
      <c r="M4265" s="20"/>
      <c r="N4265" s="20"/>
      <c r="O4265" s="20"/>
      <c r="P4265" s="20"/>
    </row>
    <row r="4266">
      <c r="A4266" s="23"/>
      <c r="B4266" s="21"/>
      <c r="C4266" s="23"/>
      <c r="D4266" s="24"/>
      <c r="E4266" s="14"/>
      <c r="F4266" s="14"/>
      <c r="G4266" s="14"/>
      <c r="H4266" s="23"/>
      <c r="I4266" s="27"/>
      <c r="J4266" s="23"/>
      <c r="K4266" s="30"/>
      <c r="L4266" s="23"/>
      <c r="M4266" s="20"/>
      <c r="N4266" s="20"/>
      <c r="O4266" s="20"/>
      <c r="P4266" s="20"/>
    </row>
    <row r="4267">
      <c r="A4267" s="10"/>
      <c r="B4267" s="11"/>
      <c r="C4267" s="10"/>
      <c r="D4267" s="13"/>
      <c r="E4267" s="14"/>
      <c r="F4267" s="14"/>
      <c r="G4267" s="14"/>
      <c r="H4267" s="10"/>
      <c r="I4267" s="17"/>
      <c r="J4267" s="10"/>
      <c r="K4267" s="46"/>
      <c r="L4267" s="10"/>
      <c r="M4267" s="20"/>
      <c r="N4267" s="20"/>
      <c r="O4267" s="20"/>
      <c r="P4267" s="20"/>
    </row>
    <row r="4268">
      <c r="A4268" s="23"/>
      <c r="B4268" s="21"/>
      <c r="C4268" s="23"/>
      <c r="D4268" s="24"/>
      <c r="E4268" s="14"/>
      <c r="F4268" s="14"/>
      <c r="G4268" s="14"/>
      <c r="H4268" s="23"/>
      <c r="I4268" s="27"/>
      <c r="J4268" s="23"/>
      <c r="K4268" s="30"/>
      <c r="L4268" s="23"/>
      <c r="M4268" s="20"/>
      <c r="N4268" s="20"/>
      <c r="O4268" s="20"/>
      <c r="P4268" s="20"/>
    </row>
    <row r="4269">
      <c r="A4269" s="10"/>
      <c r="B4269" s="11"/>
      <c r="C4269" s="10"/>
      <c r="D4269" s="13"/>
      <c r="E4269" s="14"/>
      <c r="F4269" s="14"/>
      <c r="G4269" s="14"/>
      <c r="H4269" s="10"/>
      <c r="I4269" s="17"/>
      <c r="J4269" s="10"/>
      <c r="K4269" s="46"/>
      <c r="L4269" s="10"/>
      <c r="M4269" s="20"/>
      <c r="N4269" s="20"/>
      <c r="O4269" s="20"/>
      <c r="P4269" s="20"/>
    </row>
    <row r="4270">
      <c r="A4270" s="23"/>
      <c r="B4270" s="21"/>
      <c r="C4270" s="23"/>
      <c r="D4270" s="24"/>
      <c r="E4270" s="14"/>
      <c r="F4270" s="14"/>
      <c r="G4270" s="14"/>
      <c r="H4270" s="23"/>
      <c r="I4270" s="27"/>
      <c r="J4270" s="23"/>
      <c r="K4270" s="30"/>
      <c r="L4270" s="23"/>
      <c r="M4270" s="20"/>
      <c r="N4270" s="20"/>
      <c r="O4270" s="20"/>
      <c r="P4270" s="20"/>
    </row>
    <row r="4271">
      <c r="A4271" s="10"/>
      <c r="B4271" s="11"/>
      <c r="C4271" s="10"/>
      <c r="D4271" s="13"/>
      <c r="E4271" s="14"/>
      <c r="F4271" s="14"/>
      <c r="G4271" s="14"/>
      <c r="H4271" s="10"/>
      <c r="I4271" s="17"/>
      <c r="J4271" s="10"/>
      <c r="K4271" s="46"/>
      <c r="L4271" s="10"/>
      <c r="M4271" s="20"/>
      <c r="N4271" s="20"/>
      <c r="O4271" s="20"/>
      <c r="P4271" s="20"/>
    </row>
    <row r="4272">
      <c r="A4272" s="23"/>
      <c r="B4272" s="21"/>
      <c r="C4272" s="23"/>
      <c r="D4272" s="24"/>
      <c r="E4272" s="14"/>
      <c r="F4272" s="14"/>
      <c r="G4272" s="14"/>
      <c r="H4272" s="23"/>
      <c r="I4272" s="27"/>
      <c r="J4272" s="23"/>
      <c r="K4272" s="30"/>
      <c r="L4272" s="23"/>
      <c r="M4272" s="20"/>
      <c r="N4272" s="20"/>
      <c r="O4272" s="20"/>
      <c r="P4272" s="20"/>
    </row>
    <row r="4273">
      <c r="A4273" s="10"/>
      <c r="B4273" s="11"/>
      <c r="C4273" s="10"/>
      <c r="D4273" s="13"/>
      <c r="E4273" s="14"/>
      <c r="F4273" s="14"/>
      <c r="G4273" s="14"/>
      <c r="H4273" s="10"/>
      <c r="I4273" s="17"/>
      <c r="J4273" s="10"/>
      <c r="K4273" s="46"/>
      <c r="L4273" s="10"/>
      <c r="M4273" s="20"/>
      <c r="N4273" s="20"/>
      <c r="O4273" s="20"/>
      <c r="P4273" s="20"/>
    </row>
    <row r="4274">
      <c r="A4274" s="23"/>
      <c r="B4274" s="21"/>
      <c r="C4274" s="23"/>
      <c r="D4274" s="24"/>
      <c r="E4274" s="14"/>
      <c r="F4274" s="14"/>
      <c r="G4274" s="14"/>
      <c r="H4274" s="23"/>
      <c r="I4274" s="27"/>
      <c r="J4274" s="23"/>
      <c r="K4274" s="30"/>
      <c r="L4274" s="23"/>
      <c r="M4274" s="20"/>
      <c r="N4274" s="20"/>
      <c r="O4274" s="20"/>
      <c r="P4274" s="20"/>
    </row>
    <row r="4275">
      <c r="A4275" s="10"/>
      <c r="B4275" s="11"/>
      <c r="C4275" s="10"/>
      <c r="D4275" s="13"/>
      <c r="E4275" s="14"/>
      <c r="F4275" s="14"/>
      <c r="G4275" s="14"/>
      <c r="H4275" s="10"/>
      <c r="I4275" s="17"/>
      <c r="J4275" s="10"/>
      <c r="K4275" s="46"/>
      <c r="L4275" s="10"/>
      <c r="M4275" s="20"/>
      <c r="N4275" s="20"/>
      <c r="O4275" s="20"/>
      <c r="P4275" s="20"/>
    </row>
    <row r="4276">
      <c r="A4276" s="23"/>
      <c r="B4276" s="21"/>
      <c r="C4276" s="23"/>
      <c r="D4276" s="24"/>
      <c r="E4276" s="14"/>
      <c r="F4276" s="14"/>
      <c r="G4276" s="14"/>
      <c r="H4276" s="23"/>
      <c r="I4276" s="27"/>
      <c r="J4276" s="23"/>
      <c r="K4276" s="30"/>
      <c r="L4276" s="23"/>
      <c r="M4276" s="20"/>
      <c r="N4276" s="20"/>
      <c r="O4276" s="20"/>
      <c r="P4276" s="20"/>
    </row>
    <row r="4277">
      <c r="A4277" s="10"/>
      <c r="B4277" s="11"/>
      <c r="C4277" s="10"/>
      <c r="D4277" s="13"/>
      <c r="E4277" s="14"/>
      <c r="F4277" s="14"/>
      <c r="G4277" s="14"/>
      <c r="H4277" s="10"/>
      <c r="I4277" s="17"/>
      <c r="J4277" s="10"/>
      <c r="K4277" s="46"/>
      <c r="L4277" s="10"/>
      <c r="M4277" s="20"/>
      <c r="N4277" s="20"/>
      <c r="O4277" s="20"/>
      <c r="P4277" s="20"/>
    </row>
    <row r="4278">
      <c r="A4278" s="23"/>
      <c r="B4278" s="21"/>
      <c r="C4278" s="23"/>
      <c r="D4278" s="24"/>
      <c r="E4278" s="14"/>
      <c r="F4278" s="14"/>
      <c r="G4278" s="14"/>
      <c r="H4278" s="23"/>
      <c r="I4278" s="27"/>
      <c r="J4278" s="23"/>
      <c r="K4278" s="30"/>
      <c r="L4278" s="23"/>
      <c r="M4278" s="20"/>
      <c r="N4278" s="20"/>
      <c r="O4278" s="20"/>
      <c r="P4278" s="20"/>
    </row>
    <row r="4279">
      <c r="A4279" s="10"/>
      <c r="B4279" s="11"/>
      <c r="C4279" s="10"/>
      <c r="D4279" s="13"/>
      <c r="E4279" s="14"/>
      <c r="F4279" s="14"/>
      <c r="G4279" s="14"/>
      <c r="H4279" s="10"/>
      <c r="I4279" s="17"/>
      <c r="J4279" s="10"/>
      <c r="K4279" s="46"/>
      <c r="L4279" s="10"/>
      <c r="M4279" s="20"/>
      <c r="N4279" s="20"/>
      <c r="O4279" s="20"/>
      <c r="P4279" s="20"/>
    </row>
    <row r="4280">
      <c r="A4280" s="23"/>
      <c r="B4280" s="21"/>
      <c r="C4280" s="23"/>
      <c r="D4280" s="24"/>
      <c r="E4280" s="14"/>
      <c r="F4280" s="14"/>
      <c r="G4280" s="14"/>
      <c r="H4280" s="23"/>
      <c r="I4280" s="27"/>
      <c r="J4280" s="23"/>
      <c r="K4280" s="30"/>
      <c r="L4280" s="23"/>
      <c r="M4280" s="20"/>
      <c r="N4280" s="20"/>
      <c r="O4280" s="20"/>
      <c r="P4280" s="20"/>
    </row>
    <row r="4281">
      <c r="A4281" s="10"/>
      <c r="B4281" s="11"/>
      <c r="C4281" s="10"/>
      <c r="D4281" s="13"/>
      <c r="E4281" s="14"/>
      <c r="F4281" s="14"/>
      <c r="G4281" s="14"/>
      <c r="H4281" s="10"/>
      <c r="I4281" s="17"/>
      <c r="J4281" s="10"/>
      <c r="K4281" s="46"/>
      <c r="L4281" s="10"/>
      <c r="M4281" s="20"/>
      <c r="N4281" s="20"/>
      <c r="O4281" s="20"/>
      <c r="P4281" s="20"/>
    </row>
    <row r="4282">
      <c r="A4282" s="23"/>
      <c r="B4282" s="21"/>
      <c r="C4282" s="23"/>
      <c r="D4282" s="24"/>
      <c r="E4282" s="14"/>
      <c r="F4282" s="14"/>
      <c r="G4282" s="14"/>
      <c r="H4282" s="23"/>
      <c r="I4282" s="27"/>
      <c r="J4282" s="23"/>
      <c r="K4282" s="30"/>
      <c r="L4282" s="23"/>
      <c r="M4282" s="20"/>
      <c r="N4282" s="20"/>
      <c r="O4282" s="20"/>
      <c r="P4282" s="20"/>
    </row>
    <row r="4283">
      <c r="A4283" s="10"/>
      <c r="B4283" s="11"/>
      <c r="C4283" s="10"/>
      <c r="D4283" s="13"/>
      <c r="E4283" s="14"/>
      <c r="F4283" s="14"/>
      <c r="G4283" s="14"/>
      <c r="H4283" s="10"/>
      <c r="I4283" s="17"/>
      <c r="J4283" s="10"/>
      <c r="K4283" s="46"/>
      <c r="L4283" s="10"/>
      <c r="M4283" s="20"/>
      <c r="N4283" s="20"/>
      <c r="O4283" s="20"/>
      <c r="P4283" s="20"/>
    </row>
    <row r="4284">
      <c r="A4284" s="23"/>
      <c r="B4284" s="21"/>
      <c r="C4284" s="23"/>
      <c r="D4284" s="24"/>
      <c r="E4284" s="14"/>
      <c r="F4284" s="14"/>
      <c r="G4284" s="14"/>
      <c r="H4284" s="23"/>
      <c r="I4284" s="27"/>
      <c r="J4284" s="23"/>
      <c r="K4284" s="30"/>
      <c r="L4284" s="23"/>
      <c r="M4284" s="20"/>
      <c r="N4284" s="20"/>
      <c r="O4284" s="20"/>
      <c r="P4284" s="20"/>
    </row>
    <row r="4285">
      <c r="A4285" s="10"/>
      <c r="B4285" s="11"/>
      <c r="C4285" s="10"/>
      <c r="D4285" s="13"/>
      <c r="E4285" s="14"/>
      <c r="F4285" s="14"/>
      <c r="G4285" s="14"/>
      <c r="H4285" s="10"/>
      <c r="I4285" s="17"/>
      <c r="J4285" s="10"/>
      <c r="K4285" s="46"/>
      <c r="L4285" s="10"/>
      <c r="M4285" s="20"/>
      <c r="N4285" s="20"/>
      <c r="O4285" s="20"/>
      <c r="P4285" s="20"/>
    </row>
    <row r="4286">
      <c r="A4286" s="23"/>
      <c r="B4286" s="21"/>
      <c r="C4286" s="23"/>
      <c r="D4286" s="24"/>
      <c r="E4286" s="14"/>
      <c r="F4286" s="14"/>
      <c r="G4286" s="14"/>
      <c r="H4286" s="23"/>
      <c r="I4286" s="27"/>
      <c r="J4286" s="23"/>
      <c r="K4286" s="30"/>
      <c r="L4286" s="23"/>
      <c r="M4286" s="20"/>
      <c r="N4286" s="20"/>
      <c r="O4286" s="20"/>
      <c r="P4286" s="20"/>
    </row>
    <row r="4287">
      <c r="A4287" s="10"/>
      <c r="B4287" s="11"/>
      <c r="C4287" s="10"/>
      <c r="D4287" s="13"/>
      <c r="E4287" s="14"/>
      <c r="F4287" s="14"/>
      <c r="G4287" s="14"/>
      <c r="H4287" s="10"/>
      <c r="I4287" s="17"/>
      <c r="J4287" s="10"/>
      <c r="K4287" s="46"/>
      <c r="L4287" s="10"/>
      <c r="M4287" s="20"/>
      <c r="N4287" s="20"/>
      <c r="O4287" s="20"/>
      <c r="P4287" s="20"/>
    </row>
    <row r="4288">
      <c r="A4288" s="23"/>
      <c r="B4288" s="21"/>
      <c r="C4288" s="23"/>
      <c r="D4288" s="24"/>
      <c r="E4288" s="14"/>
      <c r="F4288" s="14"/>
      <c r="G4288" s="14"/>
      <c r="H4288" s="23"/>
      <c r="I4288" s="27"/>
      <c r="J4288" s="23"/>
      <c r="K4288" s="30"/>
      <c r="L4288" s="23"/>
      <c r="M4288" s="20"/>
      <c r="N4288" s="20"/>
      <c r="O4288" s="20"/>
      <c r="P4288" s="20"/>
    </row>
    <row r="4289">
      <c r="A4289" s="10"/>
      <c r="B4289" s="11"/>
      <c r="C4289" s="10"/>
      <c r="D4289" s="13"/>
      <c r="E4289" s="14"/>
      <c r="F4289" s="14"/>
      <c r="G4289" s="14"/>
      <c r="H4289" s="10"/>
      <c r="I4289" s="17"/>
      <c r="J4289" s="10"/>
      <c r="K4289" s="46"/>
      <c r="L4289" s="10"/>
      <c r="M4289" s="20"/>
      <c r="N4289" s="20"/>
      <c r="O4289" s="20"/>
      <c r="P4289" s="20"/>
    </row>
    <row r="4290">
      <c r="A4290" s="23"/>
      <c r="B4290" s="21"/>
      <c r="C4290" s="23"/>
      <c r="D4290" s="24"/>
      <c r="E4290" s="14"/>
      <c r="F4290" s="14"/>
      <c r="G4290" s="14"/>
      <c r="H4290" s="23"/>
      <c r="I4290" s="27"/>
      <c r="J4290" s="23"/>
      <c r="K4290" s="30"/>
      <c r="L4290" s="23"/>
      <c r="M4290" s="20"/>
      <c r="N4290" s="20"/>
      <c r="O4290" s="20"/>
      <c r="P4290" s="20"/>
    </row>
    <row r="4291">
      <c r="A4291" s="10"/>
      <c r="B4291" s="11"/>
      <c r="C4291" s="10"/>
      <c r="D4291" s="13"/>
      <c r="E4291" s="14"/>
      <c r="F4291" s="14"/>
      <c r="G4291" s="14"/>
      <c r="H4291" s="10"/>
      <c r="I4291" s="17"/>
      <c r="J4291" s="10"/>
      <c r="K4291" s="46"/>
      <c r="L4291" s="10"/>
      <c r="M4291" s="20"/>
      <c r="N4291" s="20"/>
      <c r="O4291" s="20"/>
      <c r="P4291" s="20"/>
    </row>
    <row r="4292">
      <c r="A4292" s="23"/>
      <c r="B4292" s="21"/>
      <c r="C4292" s="23"/>
      <c r="D4292" s="24"/>
      <c r="E4292" s="14"/>
      <c r="F4292" s="14"/>
      <c r="G4292" s="14"/>
      <c r="H4292" s="23"/>
      <c r="I4292" s="27"/>
      <c r="J4292" s="23"/>
      <c r="K4292" s="30"/>
      <c r="L4292" s="23"/>
      <c r="M4292" s="20"/>
      <c r="N4292" s="20"/>
      <c r="O4292" s="20"/>
      <c r="P4292" s="20"/>
    </row>
    <row r="4293">
      <c r="A4293" s="10"/>
      <c r="B4293" s="11"/>
      <c r="C4293" s="10"/>
      <c r="D4293" s="13"/>
      <c r="E4293" s="14"/>
      <c r="F4293" s="14"/>
      <c r="G4293" s="14"/>
      <c r="H4293" s="10"/>
      <c r="I4293" s="17"/>
      <c r="J4293" s="10"/>
      <c r="K4293" s="46"/>
      <c r="L4293" s="10"/>
      <c r="M4293" s="20"/>
      <c r="N4293" s="20"/>
      <c r="O4293" s="20"/>
      <c r="P4293" s="20"/>
    </row>
    <row r="4294">
      <c r="A4294" s="23"/>
      <c r="B4294" s="21"/>
      <c r="C4294" s="23"/>
      <c r="D4294" s="24"/>
      <c r="E4294" s="14"/>
      <c r="F4294" s="14"/>
      <c r="G4294" s="14"/>
      <c r="H4294" s="23"/>
      <c r="I4294" s="27"/>
      <c r="J4294" s="23"/>
      <c r="K4294" s="30"/>
      <c r="L4294" s="23"/>
      <c r="M4294" s="20"/>
      <c r="N4294" s="20"/>
      <c r="O4294" s="20"/>
      <c r="P4294" s="20"/>
    </row>
    <row r="4295">
      <c r="A4295" s="10"/>
      <c r="B4295" s="11"/>
      <c r="C4295" s="10"/>
      <c r="D4295" s="13"/>
      <c r="E4295" s="14"/>
      <c r="F4295" s="14"/>
      <c r="G4295" s="14"/>
      <c r="H4295" s="10"/>
      <c r="I4295" s="17"/>
      <c r="J4295" s="10"/>
      <c r="K4295" s="46"/>
      <c r="L4295" s="10"/>
      <c r="M4295" s="20"/>
      <c r="N4295" s="20"/>
      <c r="O4295" s="20"/>
      <c r="P4295" s="20"/>
    </row>
    <row r="4296">
      <c r="A4296" s="23"/>
      <c r="B4296" s="21"/>
      <c r="C4296" s="23"/>
      <c r="D4296" s="24"/>
      <c r="E4296" s="14"/>
      <c r="F4296" s="14"/>
      <c r="G4296" s="14"/>
      <c r="H4296" s="23"/>
      <c r="I4296" s="27"/>
      <c r="J4296" s="23"/>
      <c r="K4296" s="30"/>
      <c r="L4296" s="23"/>
      <c r="M4296" s="20"/>
      <c r="N4296" s="20"/>
      <c r="O4296" s="20"/>
      <c r="P4296" s="20"/>
    </row>
    <row r="4297">
      <c r="A4297" s="10"/>
      <c r="B4297" s="11"/>
      <c r="C4297" s="10"/>
      <c r="D4297" s="13"/>
      <c r="E4297" s="14"/>
      <c r="F4297" s="14"/>
      <c r="G4297" s="14"/>
      <c r="H4297" s="10"/>
      <c r="I4297" s="17"/>
      <c r="J4297" s="10"/>
      <c r="K4297" s="46"/>
      <c r="L4297" s="10"/>
      <c r="M4297" s="20"/>
      <c r="N4297" s="20"/>
      <c r="O4297" s="20"/>
      <c r="P4297" s="20"/>
    </row>
    <row r="4298">
      <c r="A4298" s="23"/>
      <c r="B4298" s="21"/>
      <c r="C4298" s="23"/>
      <c r="D4298" s="24"/>
      <c r="E4298" s="14"/>
      <c r="F4298" s="14"/>
      <c r="G4298" s="14"/>
      <c r="H4298" s="23"/>
      <c r="I4298" s="27"/>
      <c r="J4298" s="23"/>
      <c r="K4298" s="30"/>
      <c r="L4298" s="23"/>
      <c r="M4298" s="20"/>
      <c r="N4298" s="20"/>
      <c r="O4298" s="20"/>
      <c r="P4298" s="20"/>
    </row>
    <row r="4299">
      <c r="A4299" s="10"/>
      <c r="B4299" s="11"/>
      <c r="C4299" s="10"/>
      <c r="D4299" s="13"/>
      <c r="E4299" s="14"/>
      <c r="F4299" s="14"/>
      <c r="G4299" s="14"/>
      <c r="H4299" s="10"/>
      <c r="I4299" s="17"/>
      <c r="J4299" s="10"/>
      <c r="K4299" s="46"/>
      <c r="L4299" s="10"/>
      <c r="M4299" s="20"/>
      <c r="N4299" s="20"/>
      <c r="O4299" s="20"/>
      <c r="P4299" s="20"/>
    </row>
    <row r="4300">
      <c r="A4300" s="23"/>
      <c r="B4300" s="21"/>
      <c r="C4300" s="23"/>
      <c r="D4300" s="24"/>
      <c r="E4300" s="14"/>
      <c r="F4300" s="14"/>
      <c r="G4300" s="14"/>
      <c r="H4300" s="23"/>
      <c r="I4300" s="27"/>
      <c r="J4300" s="23"/>
      <c r="K4300" s="30"/>
      <c r="L4300" s="23"/>
      <c r="M4300" s="20"/>
      <c r="N4300" s="20"/>
      <c r="O4300" s="20"/>
      <c r="P4300" s="20"/>
    </row>
    <row r="4301">
      <c r="A4301" s="10"/>
      <c r="B4301" s="11"/>
      <c r="C4301" s="10"/>
      <c r="D4301" s="13"/>
      <c r="E4301" s="14"/>
      <c r="F4301" s="14"/>
      <c r="G4301" s="14"/>
      <c r="H4301" s="10"/>
      <c r="I4301" s="17"/>
      <c r="J4301" s="10"/>
      <c r="K4301" s="46"/>
      <c r="L4301" s="10"/>
      <c r="M4301" s="20"/>
      <c r="N4301" s="20"/>
      <c r="O4301" s="20"/>
      <c r="P4301" s="20"/>
    </row>
    <row r="4302">
      <c r="A4302" s="23"/>
      <c r="B4302" s="21"/>
      <c r="C4302" s="23"/>
      <c r="D4302" s="24"/>
      <c r="E4302" s="14"/>
      <c r="F4302" s="14"/>
      <c r="G4302" s="14"/>
      <c r="H4302" s="23"/>
      <c r="I4302" s="27"/>
      <c r="J4302" s="23"/>
      <c r="K4302" s="30"/>
      <c r="L4302" s="23"/>
      <c r="M4302" s="20"/>
      <c r="N4302" s="20"/>
      <c r="O4302" s="20"/>
      <c r="P4302" s="20"/>
    </row>
    <row r="4303">
      <c r="A4303" s="10"/>
      <c r="B4303" s="11"/>
      <c r="C4303" s="10"/>
      <c r="D4303" s="13"/>
      <c r="E4303" s="14"/>
      <c r="F4303" s="14"/>
      <c r="G4303" s="14"/>
      <c r="H4303" s="10"/>
      <c r="I4303" s="17"/>
      <c r="J4303" s="10"/>
      <c r="K4303" s="46"/>
      <c r="L4303" s="10"/>
      <c r="M4303" s="20"/>
      <c r="N4303" s="20"/>
      <c r="O4303" s="20"/>
      <c r="P4303" s="20"/>
    </row>
    <row r="4304">
      <c r="A4304" s="23"/>
      <c r="B4304" s="21"/>
      <c r="C4304" s="23"/>
      <c r="D4304" s="24"/>
      <c r="E4304" s="14"/>
      <c r="F4304" s="14"/>
      <c r="G4304" s="14"/>
      <c r="H4304" s="23"/>
      <c r="I4304" s="27"/>
      <c r="J4304" s="23"/>
      <c r="K4304" s="30"/>
      <c r="L4304" s="23"/>
      <c r="M4304" s="20"/>
      <c r="N4304" s="20"/>
      <c r="O4304" s="20"/>
      <c r="P4304" s="20"/>
    </row>
    <row r="4305">
      <c r="A4305" s="10"/>
      <c r="B4305" s="11"/>
      <c r="C4305" s="10"/>
      <c r="D4305" s="13"/>
      <c r="E4305" s="14"/>
      <c r="F4305" s="14"/>
      <c r="G4305" s="14"/>
      <c r="H4305" s="10"/>
      <c r="I4305" s="17"/>
      <c r="J4305" s="10"/>
      <c r="K4305" s="46"/>
      <c r="L4305" s="10"/>
      <c r="M4305" s="20"/>
      <c r="N4305" s="20"/>
      <c r="O4305" s="20"/>
      <c r="P4305" s="20"/>
    </row>
    <row r="4306">
      <c r="A4306" s="23"/>
      <c r="B4306" s="21"/>
      <c r="C4306" s="23"/>
      <c r="D4306" s="24"/>
      <c r="E4306" s="14"/>
      <c r="F4306" s="14"/>
      <c r="G4306" s="14"/>
      <c r="H4306" s="23"/>
      <c r="I4306" s="27"/>
      <c r="J4306" s="23"/>
      <c r="K4306" s="30"/>
      <c r="L4306" s="23"/>
      <c r="M4306" s="20"/>
      <c r="N4306" s="20"/>
      <c r="O4306" s="20"/>
      <c r="P4306" s="20"/>
    </row>
    <row r="4307">
      <c r="A4307" s="10"/>
      <c r="B4307" s="11"/>
      <c r="C4307" s="10"/>
      <c r="D4307" s="13"/>
      <c r="E4307" s="14"/>
      <c r="F4307" s="14"/>
      <c r="G4307" s="14"/>
      <c r="H4307" s="10"/>
      <c r="I4307" s="17"/>
      <c r="J4307" s="10"/>
      <c r="K4307" s="46"/>
      <c r="L4307" s="10"/>
      <c r="M4307" s="20"/>
      <c r="N4307" s="20"/>
      <c r="O4307" s="20"/>
      <c r="P4307" s="20"/>
    </row>
    <row r="4308">
      <c r="A4308" s="23"/>
      <c r="B4308" s="21"/>
      <c r="C4308" s="23"/>
      <c r="D4308" s="24"/>
      <c r="E4308" s="14"/>
      <c r="F4308" s="14"/>
      <c r="G4308" s="14"/>
      <c r="H4308" s="23"/>
      <c r="I4308" s="27"/>
      <c r="J4308" s="23"/>
      <c r="K4308" s="30"/>
      <c r="L4308" s="23"/>
      <c r="M4308" s="20"/>
      <c r="N4308" s="20"/>
      <c r="O4308" s="20"/>
      <c r="P4308" s="20"/>
    </row>
    <row r="4309">
      <c r="A4309" s="10"/>
      <c r="B4309" s="11"/>
      <c r="C4309" s="10"/>
      <c r="D4309" s="13"/>
      <c r="E4309" s="14"/>
      <c r="F4309" s="14"/>
      <c r="G4309" s="14"/>
      <c r="H4309" s="10"/>
      <c r="I4309" s="17"/>
      <c r="J4309" s="10"/>
      <c r="K4309" s="46"/>
      <c r="L4309" s="10"/>
      <c r="M4309" s="20"/>
      <c r="N4309" s="20"/>
      <c r="O4309" s="20"/>
      <c r="P4309" s="20"/>
    </row>
    <row r="4310">
      <c r="A4310" s="23"/>
      <c r="B4310" s="21"/>
      <c r="C4310" s="23"/>
      <c r="D4310" s="24"/>
      <c r="E4310" s="14"/>
      <c r="F4310" s="14"/>
      <c r="G4310" s="14"/>
      <c r="H4310" s="23"/>
      <c r="I4310" s="27"/>
      <c r="J4310" s="23"/>
      <c r="K4310" s="30"/>
      <c r="L4310" s="23"/>
      <c r="M4310" s="20"/>
      <c r="N4310" s="20"/>
      <c r="O4310" s="20"/>
      <c r="P4310" s="20"/>
    </row>
    <row r="4311">
      <c r="A4311" s="10"/>
      <c r="B4311" s="11"/>
      <c r="C4311" s="10"/>
      <c r="D4311" s="13"/>
      <c r="E4311" s="14"/>
      <c r="F4311" s="14"/>
      <c r="G4311" s="14"/>
      <c r="H4311" s="10"/>
      <c r="I4311" s="17"/>
      <c r="J4311" s="10"/>
      <c r="K4311" s="46"/>
      <c r="L4311" s="10"/>
      <c r="M4311" s="20"/>
      <c r="N4311" s="20"/>
      <c r="O4311" s="20"/>
      <c r="P4311" s="20"/>
    </row>
    <row r="4312">
      <c r="A4312" s="23"/>
      <c r="B4312" s="21"/>
      <c r="C4312" s="23"/>
      <c r="D4312" s="24"/>
      <c r="E4312" s="14"/>
      <c r="F4312" s="14"/>
      <c r="G4312" s="14"/>
      <c r="H4312" s="23"/>
      <c r="I4312" s="27"/>
      <c r="J4312" s="23"/>
      <c r="K4312" s="30"/>
      <c r="L4312" s="23"/>
      <c r="M4312" s="20"/>
      <c r="N4312" s="20"/>
      <c r="O4312" s="20"/>
      <c r="P4312" s="20"/>
    </row>
    <row r="4313">
      <c r="A4313" s="10"/>
      <c r="B4313" s="11"/>
      <c r="C4313" s="10"/>
      <c r="D4313" s="13"/>
      <c r="E4313" s="14"/>
      <c r="F4313" s="14"/>
      <c r="G4313" s="14"/>
      <c r="H4313" s="10"/>
      <c r="I4313" s="17"/>
      <c r="J4313" s="10"/>
      <c r="K4313" s="46"/>
      <c r="L4313" s="10"/>
      <c r="M4313" s="20"/>
      <c r="N4313" s="20"/>
      <c r="O4313" s="20"/>
      <c r="P4313" s="20"/>
    </row>
    <row r="4314">
      <c r="A4314" s="23"/>
      <c r="B4314" s="21"/>
      <c r="C4314" s="23"/>
      <c r="D4314" s="24"/>
      <c r="E4314" s="14"/>
      <c r="F4314" s="14"/>
      <c r="G4314" s="14"/>
      <c r="H4314" s="23"/>
      <c r="I4314" s="27"/>
      <c r="J4314" s="23"/>
      <c r="K4314" s="30"/>
      <c r="L4314" s="23"/>
      <c r="M4314" s="20"/>
      <c r="N4314" s="20"/>
      <c r="O4314" s="20"/>
      <c r="P4314" s="20"/>
    </row>
    <row r="4315">
      <c r="A4315" s="10"/>
      <c r="B4315" s="11"/>
      <c r="C4315" s="10"/>
      <c r="D4315" s="13"/>
      <c r="E4315" s="14"/>
      <c r="F4315" s="14"/>
      <c r="G4315" s="14"/>
      <c r="H4315" s="10"/>
      <c r="I4315" s="17"/>
      <c r="J4315" s="10"/>
      <c r="K4315" s="46"/>
      <c r="L4315" s="10"/>
      <c r="M4315" s="20"/>
      <c r="N4315" s="20"/>
      <c r="O4315" s="20"/>
      <c r="P4315" s="20"/>
    </row>
    <row r="4316">
      <c r="A4316" s="23"/>
      <c r="B4316" s="21"/>
      <c r="C4316" s="23"/>
      <c r="D4316" s="24"/>
      <c r="E4316" s="14"/>
      <c r="F4316" s="14"/>
      <c r="G4316" s="14"/>
      <c r="H4316" s="23"/>
      <c r="I4316" s="27"/>
      <c r="J4316" s="23"/>
      <c r="K4316" s="30"/>
      <c r="L4316" s="23"/>
      <c r="M4316" s="20"/>
      <c r="N4316" s="20"/>
      <c r="O4316" s="20"/>
      <c r="P4316" s="20"/>
    </row>
    <row r="4317">
      <c r="A4317" s="10"/>
      <c r="B4317" s="11"/>
      <c r="C4317" s="10"/>
      <c r="D4317" s="13"/>
      <c r="E4317" s="14"/>
      <c r="F4317" s="14"/>
      <c r="G4317" s="14"/>
      <c r="H4317" s="10"/>
      <c r="I4317" s="17"/>
      <c r="J4317" s="10"/>
      <c r="K4317" s="46"/>
      <c r="L4317" s="10"/>
      <c r="M4317" s="20"/>
      <c r="N4317" s="20"/>
      <c r="O4317" s="20"/>
      <c r="P4317" s="20"/>
    </row>
    <row r="4318">
      <c r="A4318" s="23"/>
      <c r="B4318" s="21"/>
      <c r="C4318" s="23"/>
      <c r="D4318" s="24"/>
      <c r="E4318" s="14"/>
      <c r="F4318" s="14"/>
      <c r="G4318" s="14"/>
      <c r="H4318" s="23"/>
      <c r="I4318" s="27"/>
      <c r="J4318" s="23"/>
      <c r="K4318" s="30"/>
      <c r="L4318" s="23"/>
      <c r="M4318" s="20"/>
      <c r="N4318" s="20"/>
      <c r="O4318" s="20"/>
      <c r="P4318" s="20"/>
    </row>
    <row r="4319">
      <c r="A4319" s="10"/>
      <c r="B4319" s="11"/>
      <c r="C4319" s="10"/>
      <c r="D4319" s="13"/>
      <c r="E4319" s="14"/>
      <c r="F4319" s="14"/>
      <c r="G4319" s="14"/>
      <c r="H4319" s="10"/>
      <c r="I4319" s="17"/>
      <c r="J4319" s="10"/>
      <c r="K4319" s="46"/>
      <c r="L4319" s="10"/>
      <c r="M4319" s="20"/>
      <c r="N4319" s="20"/>
      <c r="O4319" s="20"/>
      <c r="P4319" s="20"/>
    </row>
    <row r="4320">
      <c r="A4320" s="23"/>
      <c r="B4320" s="21"/>
      <c r="C4320" s="23"/>
      <c r="D4320" s="24"/>
      <c r="E4320" s="14"/>
      <c r="F4320" s="14"/>
      <c r="G4320" s="14"/>
      <c r="H4320" s="23"/>
      <c r="I4320" s="27"/>
      <c r="J4320" s="23"/>
      <c r="K4320" s="30"/>
      <c r="L4320" s="23"/>
      <c r="M4320" s="20"/>
      <c r="N4320" s="20"/>
      <c r="O4320" s="20"/>
      <c r="P4320" s="20"/>
    </row>
    <row r="4321">
      <c r="A4321" s="10"/>
      <c r="B4321" s="11"/>
      <c r="C4321" s="10"/>
      <c r="D4321" s="13"/>
      <c r="E4321" s="14"/>
      <c r="F4321" s="14"/>
      <c r="G4321" s="14"/>
      <c r="H4321" s="10"/>
      <c r="I4321" s="17"/>
      <c r="J4321" s="10"/>
      <c r="K4321" s="46"/>
      <c r="L4321" s="10"/>
      <c r="M4321" s="20"/>
      <c r="N4321" s="20"/>
      <c r="O4321" s="20"/>
      <c r="P4321" s="20"/>
    </row>
    <row r="4322">
      <c r="A4322" s="23"/>
      <c r="B4322" s="21"/>
      <c r="C4322" s="23"/>
      <c r="D4322" s="24"/>
      <c r="E4322" s="14"/>
      <c r="F4322" s="14"/>
      <c r="G4322" s="14"/>
      <c r="H4322" s="23"/>
      <c r="I4322" s="27"/>
      <c r="J4322" s="23"/>
      <c r="K4322" s="30"/>
      <c r="L4322" s="23"/>
      <c r="M4322" s="20"/>
      <c r="N4322" s="20"/>
      <c r="O4322" s="20"/>
      <c r="P4322" s="20"/>
    </row>
    <row r="4323">
      <c r="A4323" s="10"/>
      <c r="B4323" s="11"/>
      <c r="C4323" s="10"/>
      <c r="D4323" s="13"/>
      <c r="E4323" s="14"/>
      <c r="F4323" s="14"/>
      <c r="G4323" s="14"/>
      <c r="H4323" s="10"/>
      <c r="I4323" s="17"/>
      <c r="J4323" s="10"/>
      <c r="K4323" s="46"/>
      <c r="L4323" s="10"/>
      <c r="M4323" s="20"/>
      <c r="N4323" s="20"/>
      <c r="O4323" s="20"/>
      <c r="P4323" s="20"/>
    </row>
    <row r="4324">
      <c r="A4324" s="23"/>
      <c r="B4324" s="21"/>
      <c r="C4324" s="23"/>
      <c r="D4324" s="24"/>
      <c r="E4324" s="14"/>
      <c r="F4324" s="14"/>
      <c r="G4324" s="14"/>
      <c r="H4324" s="23"/>
      <c r="I4324" s="27"/>
      <c r="J4324" s="23"/>
      <c r="K4324" s="30"/>
      <c r="L4324" s="23"/>
      <c r="M4324" s="20"/>
      <c r="N4324" s="20"/>
      <c r="O4324" s="20"/>
      <c r="P4324" s="20"/>
    </row>
    <row r="4325">
      <c r="A4325" s="10"/>
      <c r="B4325" s="11"/>
      <c r="C4325" s="10"/>
      <c r="D4325" s="13"/>
      <c r="E4325" s="14"/>
      <c r="F4325" s="14"/>
      <c r="G4325" s="14"/>
      <c r="H4325" s="10"/>
      <c r="I4325" s="17"/>
      <c r="J4325" s="10"/>
      <c r="K4325" s="46"/>
      <c r="L4325" s="10"/>
      <c r="M4325" s="20"/>
      <c r="N4325" s="20"/>
      <c r="O4325" s="20"/>
      <c r="P4325" s="20"/>
    </row>
    <row r="4326">
      <c r="A4326" s="23"/>
      <c r="B4326" s="21"/>
      <c r="C4326" s="23"/>
      <c r="D4326" s="24"/>
      <c r="E4326" s="14"/>
      <c r="F4326" s="14"/>
      <c r="G4326" s="14"/>
      <c r="H4326" s="23"/>
      <c r="I4326" s="27"/>
      <c r="J4326" s="23"/>
      <c r="K4326" s="30"/>
      <c r="L4326" s="23"/>
      <c r="M4326" s="20"/>
      <c r="N4326" s="20"/>
      <c r="O4326" s="20"/>
      <c r="P4326" s="20"/>
    </row>
    <row r="4327">
      <c r="A4327" s="10"/>
      <c r="B4327" s="11"/>
      <c r="C4327" s="10"/>
      <c r="D4327" s="13"/>
      <c r="E4327" s="14"/>
      <c r="F4327" s="14"/>
      <c r="G4327" s="14"/>
      <c r="H4327" s="10"/>
      <c r="I4327" s="17"/>
      <c r="J4327" s="10"/>
      <c r="K4327" s="46"/>
      <c r="L4327" s="10"/>
      <c r="M4327" s="20"/>
      <c r="N4327" s="20"/>
      <c r="O4327" s="20"/>
      <c r="P4327" s="20"/>
    </row>
    <row r="4328">
      <c r="A4328" s="23"/>
      <c r="B4328" s="21"/>
      <c r="C4328" s="23"/>
      <c r="D4328" s="24"/>
      <c r="E4328" s="14"/>
      <c r="F4328" s="14"/>
      <c r="G4328" s="14"/>
      <c r="H4328" s="23"/>
      <c r="I4328" s="27"/>
      <c r="J4328" s="23"/>
      <c r="K4328" s="30"/>
      <c r="L4328" s="23"/>
      <c r="M4328" s="20"/>
      <c r="N4328" s="20"/>
      <c r="O4328" s="20"/>
      <c r="P4328" s="20"/>
    </row>
    <row r="4329">
      <c r="A4329" s="10"/>
      <c r="B4329" s="11"/>
      <c r="C4329" s="10"/>
      <c r="D4329" s="13"/>
      <c r="E4329" s="14"/>
      <c r="F4329" s="14"/>
      <c r="G4329" s="14"/>
      <c r="H4329" s="10"/>
      <c r="I4329" s="17"/>
      <c r="J4329" s="10"/>
      <c r="K4329" s="46"/>
      <c r="L4329" s="10"/>
      <c r="M4329" s="20"/>
      <c r="N4329" s="20"/>
      <c r="O4329" s="20"/>
      <c r="P4329" s="20"/>
    </row>
    <row r="4330">
      <c r="A4330" s="23"/>
      <c r="B4330" s="21"/>
      <c r="C4330" s="23"/>
      <c r="D4330" s="24"/>
      <c r="E4330" s="14"/>
      <c r="F4330" s="14"/>
      <c r="G4330" s="14"/>
      <c r="H4330" s="23"/>
      <c r="I4330" s="27"/>
      <c r="J4330" s="23"/>
      <c r="K4330" s="30"/>
      <c r="L4330" s="23"/>
      <c r="M4330" s="20"/>
      <c r="N4330" s="20"/>
      <c r="O4330" s="20"/>
      <c r="P4330" s="20"/>
    </row>
    <row r="4331">
      <c r="A4331" s="10"/>
      <c r="B4331" s="11"/>
      <c r="C4331" s="10"/>
      <c r="D4331" s="13"/>
      <c r="E4331" s="14"/>
      <c r="F4331" s="14"/>
      <c r="G4331" s="14"/>
      <c r="H4331" s="10"/>
      <c r="I4331" s="17"/>
      <c r="J4331" s="10"/>
      <c r="K4331" s="46"/>
      <c r="L4331" s="10"/>
      <c r="M4331" s="20"/>
      <c r="N4331" s="20"/>
      <c r="O4331" s="20"/>
      <c r="P4331" s="20"/>
    </row>
    <row r="4332">
      <c r="A4332" s="23"/>
      <c r="B4332" s="21"/>
      <c r="C4332" s="23"/>
      <c r="D4332" s="24"/>
      <c r="E4332" s="14"/>
      <c r="F4332" s="14"/>
      <c r="G4332" s="14"/>
      <c r="H4332" s="23"/>
      <c r="I4332" s="27"/>
      <c r="J4332" s="23"/>
      <c r="K4332" s="30"/>
      <c r="L4332" s="23"/>
      <c r="M4332" s="20"/>
      <c r="N4332" s="20"/>
      <c r="O4332" s="20"/>
      <c r="P4332" s="20"/>
    </row>
    <row r="4333">
      <c r="A4333" s="10"/>
      <c r="B4333" s="11"/>
      <c r="C4333" s="10"/>
      <c r="D4333" s="13"/>
      <c r="E4333" s="14"/>
      <c r="F4333" s="14"/>
      <c r="G4333" s="14"/>
      <c r="H4333" s="10"/>
      <c r="I4333" s="17"/>
      <c r="J4333" s="10"/>
      <c r="K4333" s="46"/>
      <c r="L4333" s="10"/>
      <c r="M4333" s="20"/>
      <c r="N4333" s="20"/>
      <c r="O4333" s="20"/>
      <c r="P4333" s="20"/>
    </row>
    <row r="4334">
      <c r="A4334" s="23"/>
      <c r="B4334" s="21"/>
      <c r="C4334" s="23"/>
      <c r="D4334" s="24"/>
      <c r="E4334" s="14"/>
      <c r="F4334" s="14"/>
      <c r="G4334" s="14"/>
      <c r="H4334" s="23"/>
      <c r="I4334" s="27"/>
      <c r="J4334" s="23"/>
      <c r="K4334" s="30"/>
      <c r="L4334" s="23"/>
      <c r="M4334" s="20"/>
      <c r="N4334" s="20"/>
      <c r="O4334" s="20"/>
      <c r="P4334" s="20"/>
    </row>
    <row r="4335">
      <c r="A4335" s="10"/>
      <c r="B4335" s="11"/>
      <c r="C4335" s="10"/>
      <c r="D4335" s="13"/>
      <c r="E4335" s="14"/>
      <c r="F4335" s="14"/>
      <c r="G4335" s="14"/>
      <c r="H4335" s="10"/>
      <c r="I4335" s="17"/>
      <c r="J4335" s="10"/>
      <c r="K4335" s="46"/>
      <c r="L4335" s="10"/>
      <c r="M4335" s="20"/>
      <c r="N4335" s="20"/>
      <c r="O4335" s="20"/>
      <c r="P4335" s="20"/>
    </row>
    <row r="4336">
      <c r="A4336" s="23"/>
      <c r="B4336" s="21"/>
      <c r="C4336" s="23"/>
      <c r="D4336" s="24"/>
      <c r="E4336" s="14"/>
      <c r="F4336" s="14"/>
      <c r="G4336" s="14"/>
      <c r="H4336" s="23"/>
      <c r="I4336" s="27"/>
      <c r="J4336" s="23"/>
      <c r="K4336" s="30"/>
      <c r="L4336" s="23"/>
      <c r="M4336" s="20"/>
      <c r="N4336" s="20"/>
      <c r="O4336" s="20"/>
      <c r="P4336" s="20"/>
    </row>
    <row r="4337">
      <c r="A4337" s="10"/>
      <c r="B4337" s="11"/>
      <c r="C4337" s="10"/>
      <c r="D4337" s="13"/>
      <c r="E4337" s="14"/>
      <c r="F4337" s="14"/>
      <c r="G4337" s="14"/>
      <c r="H4337" s="10"/>
      <c r="I4337" s="17"/>
      <c r="J4337" s="10"/>
      <c r="K4337" s="46"/>
      <c r="L4337" s="10"/>
      <c r="M4337" s="20"/>
      <c r="N4337" s="20"/>
      <c r="O4337" s="20"/>
      <c r="P4337" s="20"/>
    </row>
    <row r="4338">
      <c r="A4338" s="23"/>
      <c r="B4338" s="21"/>
      <c r="C4338" s="23"/>
      <c r="D4338" s="24"/>
      <c r="E4338" s="14"/>
      <c r="F4338" s="14"/>
      <c r="G4338" s="14"/>
      <c r="H4338" s="23"/>
      <c r="I4338" s="27"/>
      <c r="J4338" s="23"/>
      <c r="K4338" s="30"/>
      <c r="L4338" s="23"/>
      <c r="M4338" s="20"/>
      <c r="N4338" s="20"/>
      <c r="O4338" s="20"/>
      <c r="P4338" s="20"/>
    </row>
    <row r="4339">
      <c r="A4339" s="10"/>
      <c r="B4339" s="11"/>
      <c r="C4339" s="10"/>
      <c r="D4339" s="13"/>
      <c r="E4339" s="14"/>
      <c r="F4339" s="14"/>
      <c r="G4339" s="14"/>
      <c r="H4339" s="10"/>
      <c r="I4339" s="17"/>
      <c r="J4339" s="10"/>
      <c r="K4339" s="46"/>
      <c r="L4339" s="10"/>
      <c r="M4339" s="20"/>
      <c r="N4339" s="20"/>
      <c r="O4339" s="20"/>
      <c r="P4339" s="20"/>
    </row>
    <row r="4340">
      <c r="A4340" s="23"/>
      <c r="B4340" s="21"/>
      <c r="C4340" s="23"/>
      <c r="D4340" s="24"/>
      <c r="E4340" s="14"/>
      <c r="F4340" s="14"/>
      <c r="G4340" s="14"/>
      <c r="H4340" s="23"/>
      <c r="I4340" s="27"/>
      <c r="J4340" s="23"/>
      <c r="K4340" s="30"/>
      <c r="L4340" s="23"/>
      <c r="M4340" s="20"/>
      <c r="N4340" s="20"/>
      <c r="O4340" s="20"/>
      <c r="P4340" s="20"/>
    </row>
    <row r="4341">
      <c r="A4341" s="10"/>
      <c r="B4341" s="11"/>
      <c r="C4341" s="10"/>
      <c r="D4341" s="13"/>
      <c r="E4341" s="14"/>
      <c r="F4341" s="14"/>
      <c r="G4341" s="14"/>
      <c r="H4341" s="10"/>
      <c r="I4341" s="17"/>
      <c r="J4341" s="10"/>
      <c r="K4341" s="46"/>
      <c r="L4341" s="10"/>
      <c r="M4341" s="20"/>
      <c r="N4341" s="20"/>
      <c r="O4341" s="20"/>
      <c r="P4341" s="20"/>
    </row>
    <row r="4342">
      <c r="A4342" s="23"/>
      <c r="B4342" s="21"/>
      <c r="C4342" s="23"/>
      <c r="D4342" s="24"/>
      <c r="E4342" s="14"/>
      <c r="F4342" s="14"/>
      <c r="G4342" s="14"/>
      <c r="H4342" s="23"/>
      <c r="I4342" s="27"/>
      <c r="J4342" s="23"/>
      <c r="K4342" s="30"/>
      <c r="L4342" s="23"/>
      <c r="M4342" s="20"/>
      <c r="N4342" s="20"/>
      <c r="O4342" s="20"/>
      <c r="P4342" s="20"/>
    </row>
    <row r="4343">
      <c r="A4343" s="10"/>
      <c r="B4343" s="11"/>
      <c r="C4343" s="10"/>
      <c r="D4343" s="13"/>
      <c r="E4343" s="14"/>
      <c r="F4343" s="14"/>
      <c r="G4343" s="14"/>
      <c r="H4343" s="10"/>
      <c r="I4343" s="17"/>
      <c r="J4343" s="10"/>
      <c r="K4343" s="46"/>
      <c r="L4343" s="10"/>
      <c r="M4343" s="20"/>
      <c r="N4343" s="20"/>
      <c r="O4343" s="20"/>
      <c r="P4343" s="20"/>
    </row>
    <row r="4344">
      <c r="A4344" s="23"/>
      <c r="B4344" s="21"/>
      <c r="C4344" s="23"/>
      <c r="D4344" s="24"/>
      <c r="E4344" s="14"/>
      <c r="F4344" s="14"/>
      <c r="G4344" s="14"/>
      <c r="H4344" s="23"/>
      <c r="I4344" s="27"/>
      <c r="J4344" s="23"/>
      <c r="K4344" s="30"/>
      <c r="L4344" s="23"/>
      <c r="M4344" s="20"/>
      <c r="N4344" s="20"/>
      <c r="O4344" s="20"/>
      <c r="P4344" s="20"/>
    </row>
    <row r="4345">
      <c r="A4345" s="10"/>
      <c r="B4345" s="11"/>
      <c r="C4345" s="10"/>
      <c r="D4345" s="13"/>
      <c r="E4345" s="14"/>
      <c r="F4345" s="14"/>
      <c r="G4345" s="14"/>
      <c r="H4345" s="10"/>
      <c r="I4345" s="17"/>
      <c r="J4345" s="10"/>
      <c r="K4345" s="46"/>
      <c r="L4345" s="10"/>
      <c r="M4345" s="20"/>
      <c r="N4345" s="20"/>
      <c r="O4345" s="20"/>
      <c r="P4345" s="20"/>
    </row>
    <row r="4346">
      <c r="A4346" s="23"/>
      <c r="B4346" s="21"/>
      <c r="C4346" s="23"/>
      <c r="D4346" s="24"/>
      <c r="E4346" s="14"/>
      <c r="F4346" s="14"/>
      <c r="G4346" s="14"/>
      <c r="H4346" s="23"/>
      <c r="I4346" s="27"/>
      <c r="J4346" s="23"/>
      <c r="K4346" s="30"/>
      <c r="L4346" s="23"/>
      <c r="M4346" s="20"/>
      <c r="N4346" s="20"/>
      <c r="O4346" s="20"/>
      <c r="P4346" s="20"/>
    </row>
    <row r="4347">
      <c r="A4347" s="10"/>
      <c r="B4347" s="11"/>
      <c r="C4347" s="10"/>
      <c r="D4347" s="13"/>
      <c r="E4347" s="14"/>
      <c r="F4347" s="14"/>
      <c r="G4347" s="14"/>
      <c r="H4347" s="10"/>
      <c r="I4347" s="17"/>
      <c r="J4347" s="10"/>
      <c r="K4347" s="46"/>
      <c r="L4347" s="10"/>
      <c r="M4347" s="20"/>
      <c r="N4347" s="20"/>
      <c r="O4347" s="20"/>
      <c r="P4347" s="20"/>
    </row>
    <row r="4348">
      <c r="A4348" s="23"/>
      <c r="B4348" s="21"/>
      <c r="C4348" s="23"/>
      <c r="D4348" s="24"/>
      <c r="E4348" s="14"/>
      <c r="F4348" s="14"/>
      <c r="G4348" s="14"/>
      <c r="H4348" s="23"/>
      <c r="I4348" s="27"/>
      <c r="J4348" s="23"/>
      <c r="K4348" s="30"/>
      <c r="L4348" s="23"/>
      <c r="M4348" s="20"/>
      <c r="N4348" s="20"/>
      <c r="O4348" s="20"/>
      <c r="P4348" s="20"/>
    </row>
    <row r="4349">
      <c r="A4349" s="10"/>
      <c r="B4349" s="11"/>
      <c r="C4349" s="10"/>
      <c r="D4349" s="13"/>
      <c r="E4349" s="14"/>
      <c r="F4349" s="14"/>
      <c r="G4349" s="14"/>
      <c r="H4349" s="10"/>
      <c r="I4349" s="17"/>
      <c r="J4349" s="10"/>
      <c r="K4349" s="46"/>
      <c r="L4349" s="10"/>
      <c r="M4349" s="20"/>
      <c r="N4349" s="20"/>
      <c r="O4349" s="20"/>
      <c r="P4349" s="20"/>
    </row>
    <row r="4350">
      <c r="A4350" s="23"/>
      <c r="B4350" s="21"/>
      <c r="C4350" s="23"/>
      <c r="D4350" s="24"/>
      <c r="E4350" s="14"/>
      <c r="F4350" s="14"/>
      <c r="G4350" s="14"/>
      <c r="H4350" s="23"/>
      <c r="I4350" s="27"/>
      <c r="J4350" s="23"/>
      <c r="K4350" s="30"/>
      <c r="L4350" s="23"/>
      <c r="M4350" s="20"/>
      <c r="N4350" s="20"/>
      <c r="O4350" s="20"/>
      <c r="P4350" s="20"/>
    </row>
    <row r="4351">
      <c r="A4351" s="10"/>
      <c r="B4351" s="11"/>
      <c r="C4351" s="10"/>
      <c r="D4351" s="13"/>
      <c r="E4351" s="14"/>
      <c r="F4351" s="14"/>
      <c r="G4351" s="14"/>
      <c r="H4351" s="10"/>
      <c r="I4351" s="17"/>
      <c r="J4351" s="10"/>
      <c r="K4351" s="46"/>
      <c r="L4351" s="10"/>
      <c r="M4351" s="20"/>
      <c r="N4351" s="20"/>
      <c r="O4351" s="20"/>
      <c r="P4351" s="20"/>
    </row>
    <row r="4352">
      <c r="A4352" s="23"/>
      <c r="B4352" s="21"/>
      <c r="C4352" s="23"/>
      <c r="D4352" s="24"/>
      <c r="E4352" s="14"/>
      <c r="F4352" s="14"/>
      <c r="G4352" s="14"/>
      <c r="H4352" s="23"/>
      <c r="I4352" s="27"/>
      <c r="J4352" s="23"/>
      <c r="K4352" s="30"/>
      <c r="L4352" s="23"/>
      <c r="M4352" s="20"/>
      <c r="N4352" s="20"/>
      <c r="O4352" s="20"/>
      <c r="P4352" s="20"/>
    </row>
    <row r="4353">
      <c r="A4353" s="10"/>
      <c r="B4353" s="11"/>
      <c r="C4353" s="10"/>
      <c r="D4353" s="13"/>
      <c r="E4353" s="14"/>
      <c r="F4353" s="14"/>
      <c r="G4353" s="14"/>
      <c r="H4353" s="10"/>
      <c r="I4353" s="17"/>
      <c r="J4353" s="10"/>
      <c r="K4353" s="46"/>
      <c r="L4353" s="10"/>
      <c r="M4353" s="20"/>
      <c r="N4353" s="20"/>
      <c r="O4353" s="20"/>
      <c r="P4353" s="20"/>
    </row>
    <row r="4354">
      <c r="A4354" s="23"/>
      <c r="B4354" s="21"/>
      <c r="C4354" s="23"/>
      <c r="D4354" s="24"/>
      <c r="E4354" s="14"/>
      <c r="F4354" s="14"/>
      <c r="G4354" s="14"/>
      <c r="H4354" s="23"/>
      <c r="I4354" s="27"/>
      <c r="J4354" s="23"/>
      <c r="K4354" s="30"/>
      <c r="L4354" s="23"/>
      <c r="M4354" s="20"/>
      <c r="N4354" s="20"/>
      <c r="O4354" s="20"/>
      <c r="P4354" s="20"/>
    </row>
    <row r="4355">
      <c r="A4355" s="10"/>
      <c r="B4355" s="11"/>
      <c r="C4355" s="10"/>
      <c r="D4355" s="13"/>
      <c r="E4355" s="14"/>
      <c r="F4355" s="14"/>
      <c r="G4355" s="14"/>
      <c r="H4355" s="10"/>
      <c r="I4355" s="17"/>
      <c r="J4355" s="10"/>
      <c r="K4355" s="46"/>
      <c r="L4355" s="10"/>
      <c r="M4355" s="20"/>
      <c r="N4355" s="20"/>
      <c r="O4355" s="20"/>
      <c r="P4355" s="20"/>
    </row>
    <row r="4356">
      <c r="A4356" s="23"/>
      <c r="B4356" s="21"/>
      <c r="C4356" s="23"/>
      <c r="D4356" s="24"/>
      <c r="E4356" s="14"/>
      <c r="F4356" s="14"/>
      <c r="G4356" s="14"/>
      <c r="H4356" s="23"/>
      <c r="I4356" s="27"/>
      <c r="J4356" s="23"/>
      <c r="K4356" s="30"/>
      <c r="L4356" s="23"/>
      <c r="M4356" s="20"/>
      <c r="N4356" s="20"/>
      <c r="O4356" s="20"/>
      <c r="P4356" s="20"/>
    </row>
    <row r="4357">
      <c r="A4357" s="10"/>
      <c r="B4357" s="11"/>
      <c r="C4357" s="10"/>
      <c r="D4357" s="13"/>
      <c r="E4357" s="14"/>
      <c r="F4357" s="14"/>
      <c r="G4357" s="14"/>
      <c r="H4357" s="10"/>
      <c r="I4357" s="17"/>
      <c r="J4357" s="10"/>
      <c r="K4357" s="46"/>
      <c r="L4357" s="10"/>
      <c r="M4357" s="20"/>
      <c r="N4357" s="20"/>
      <c r="O4357" s="20"/>
      <c r="P4357" s="20"/>
    </row>
    <row r="4358">
      <c r="A4358" s="23"/>
      <c r="B4358" s="21"/>
      <c r="C4358" s="23"/>
      <c r="D4358" s="24"/>
      <c r="E4358" s="14"/>
      <c r="F4358" s="14"/>
      <c r="G4358" s="14"/>
      <c r="H4358" s="23"/>
      <c r="I4358" s="27"/>
      <c r="J4358" s="23"/>
      <c r="K4358" s="30"/>
      <c r="L4358" s="23"/>
      <c r="M4358" s="20"/>
      <c r="N4358" s="20"/>
      <c r="O4358" s="20"/>
      <c r="P4358" s="20"/>
    </row>
    <row r="4359">
      <c r="A4359" s="10"/>
      <c r="B4359" s="11"/>
      <c r="C4359" s="10"/>
      <c r="D4359" s="13"/>
      <c r="E4359" s="14"/>
      <c r="F4359" s="14"/>
      <c r="G4359" s="14"/>
      <c r="H4359" s="10"/>
      <c r="I4359" s="17"/>
      <c r="J4359" s="10"/>
      <c r="K4359" s="46"/>
      <c r="L4359" s="10"/>
      <c r="M4359" s="20"/>
      <c r="N4359" s="20"/>
      <c r="O4359" s="20"/>
      <c r="P4359" s="20"/>
    </row>
    <row r="4360">
      <c r="A4360" s="23"/>
      <c r="B4360" s="21"/>
      <c r="C4360" s="23"/>
      <c r="D4360" s="24"/>
      <c r="E4360" s="14"/>
      <c r="F4360" s="14"/>
      <c r="G4360" s="14"/>
      <c r="H4360" s="23"/>
      <c r="I4360" s="27"/>
      <c r="J4360" s="23"/>
      <c r="K4360" s="30"/>
      <c r="L4360" s="23"/>
      <c r="M4360" s="20"/>
      <c r="N4360" s="20"/>
      <c r="O4360" s="20"/>
      <c r="P4360" s="20"/>
    </row>
    <row r="4361">
      <c r="A4361" s="10"/>
      <c r="B4361" s="11"/>
      <c r="C4361" s="10"/>
      <c r="D4361" s="13"/>
      <c r="E4361" s="14"/>
      <c r="F4361" s="14"/>
      <c r="G4361" s="14"/>
      <c r="H4361" s="10"/>
      <c r="I4361" s="17"/>
      <c r="J4361" s="10"/>
      <c r="K4361" s="46"/>
      <c r="L4361" s="10"/>
      <c r="M4361" s="20"/>
      <c r="N4361" s="20"/>
      <c r="O4361" s="20"/>
      <c r="P4361" s="20"/>
    </row>
    <row r="4362">
      <c r="A4362" s="23"/>
      <c r="B4362" s="21"/>
      <c r="C4362" s="23"/>
      <c r="D4362" s="24"/>
      <c r="E4362" s="14"/>
      <c r="F4362" s="14"/>
      <c r="G4362" s="14"/>
      <c r="H4362" s="23"/>
      <c r="I4362" s="27"/>
      <c r="J4362" s="23"/>
      <c r="K4362" s="30"/>
      <c r="L4362" s="23"/>
      <c r="M4362" s="20"/>
      <c r="N4362" s="20"/>
      <c r="O4362" s="20"/>
      <c r="P4362" s="20"/>
    </row>
    <row r="4363">
      <c r="A4363" s="10"/>
      <c r="B4363" s="11"/>
      <c r="C4363" s="10"/>
      <c r="D4363" s="13"/>
      <c r="E4363" s="14"/>
      <c r="F4363" s="14"/>
      <c r="G4363" s="14"/>
      <c r="H4363" s="10"/>
      <c r="I4363" s="17"/>
      <c r="J4363" s="10"/>
      <c r="K4363" s="46"/>
      <c r="L4363" s="10"/>
      <c r="M4363" s="20"/>
      <c r="N4363" s="20"/>
      <c r="O4363" s="20"/>
      <c r="P4363" s="20"/>
    </row>
    <row r="4364">
      <c r="A4364" s="23"/>
      <c r="B4364" s="21"/>
      <c r="C4364" s="23"/>
      <c r="D4364" s="24"/>
      <c r="E4364" s="14"/>
      <c r="F4364" s="14"/>
      <c r="G4364" s="14"/>
      <c r="H4364" s="23"/>
      <c r="I4364" s="27"/>
      <c r="J4364" s="23"/>
      <c r="K4364" s="30"/>
      <c r="L4364" s="23"/>
      <c r="M4364" s="20"/>
      <c r="N4364" s="20"/>
      <c r="O4364" s="20"/>
      <c r="P4364" s="20"/>
    </row>
    <row r="4365">
      <c r="A4365" s="10"/>
      <c r="B4365" s="11"/>
      <c r="C4365" s="10"/>
      <c r="D4365" s="13"/>
      <c r="E4365" s="14"/>
      <c r="F4365" s="14"/>
      <c r="G4365" s="14"/>
      <c r="H4365" s="10"/>
      <c r="I4365" s="17"/>
      <c r="J4365" s="10"/>
      <c r="K4365" s="46"/>
      <c r="L4365" s="10"/>
      <c r="M4365" s="20"/>
      <c r="N4365" s="20"/>
      <c r="O4365" s="20"/>
      <c r="P4365" s="20"/>
    </row>
    <row r="4366">
      <c r="A4366" s="23"/>
      <c r="B4366" s="21"/>
      <c r="C4366" s="23"/>
      <c r="D4366" s="24"/>
      <c r="E4366" s="14"/>
      <c r="F4366" s="14"/>
      <c r="G4366" s="14"/>
      <c r="H4366" s="23"/>
      <c r="I4366" s="27"/>
      <c r="J4366" s="23"/>
      <c r="K4366" s="30"/>
      <c r="L4366" s="23"/>
      <c r="M4366" s="20"/>
      <c r="N4366" s="20"/>
      <c r="O4366" s="20"/>
      <c r="P4366" s="20"/>
    </row>
    <row r="4367">
      <c r="A4367" s="10"/>
      <c r="B4367" s="11"/>
      <c r="C4367" s="10"/>
      <c r="D4367" s="13"/>
      <c r="E4367" s="14"/>
      <c r="F4367" s="14"/>
      <c r="G4367" s="14"/>
      <c r="H4367" s="10"/>
      <c r="I4367" s="17"/>
      <c r="J4367" s="10"/>
      <c r="K4367" s="46"/>
      <c r="L4367" s="10"/>
      <c r="M4367" s="20"/>
      <c r="N4367" s="20"/>
      <c r="O4367" s="20"/>
      <c r="P4367" s="20"/>
    </row>
    <row r="4368">
      <c r="A4368" s="23"/>
      <c r="B4368" s="21"/>
      <c r="C4368" s="23"/>
      <c r="D4368" s="24"/>
      <c r="E4368" s="14"/>
      <c r="F4368" s="14"/>
      <c r="G4368" s="14"/>
      <c r="H4368" s="23"/>
      <c r="I4368" s="27"/>
      <c r="J4368" s="23"/>
      <c r="K4368" s="30"/>
      <c r="L4368" s="23"/>
      <c r="M4368" s="20"/>
      <c r="N4368" s="20"/>
      <c r="O4368" s="20"/>
      <c r="P4368" s="20"/>
    </row>
    <row r="4369">
      <c r="A4369" s="10"/>
      <c r="B4369" s="11"/>
      <c r="C4369" s="10"/>
      <c r="D4369" s="13"/>
      <c r="E4369" s="14"/>
      <c r="F4369" s="14"/>
      <c r="G4369" s="14"/>
      <c r="H4369" s="10"/>
      <c r="I4369" s="17"/>
      <c r="J4369" s="10"/>
      <c r="K4369" s="46"/>
      <c r="L4369" s="10"/>
      <c r="M4369" s="20"/>
      <c r="N4369" s="20"/>
      <c r="O4369" s="20"/>
      <c r="P4369" s="20"/>
    </row>
    <row r="4370">
      <c r="A4370" s="23"/>
      <c r="B4370" s="21"/>
      <c r="C4370" s="23"/>
      <c r="D4370" s="24"/>
      <c r="E4370" s="14"/>
      <c r="F4370" s="14"/>
      <c r="G4370" s="14"/>
      <c r="H4370" s="23"/>
      <c r="I4370" s="27"/>
      <c r="J4370" s="23"/>
      <c r="K4370" s="30"/>
      <c r="L4370" s="23"/>
      <c r="M4370" s="20"/>
      <c r="N4370" s="20"/>
      <c r="O4370" s="20"/>
      <c r="P4370" s="20"/>
    </row>
    <row r="4371">
      <c r="A4371" s="10"/>
      <c r="B4371" s="11"/>
      <c r="C4371" s="10"/>
      <c r="D4371" s="13"/>
      <c r="E4371" s="14"/>
      <c r="F4371" s="14"/>
      <c r="G4371" s="14"/>
      <c r="H4371" s="10"/>
      <c r="I4371" s="17"/>
      <c r="J4371" s="10"/>
      <c r="K4371" s="46"/>
      <c r="L4371" s="10"/>
      <c r="M4371" s="20"/>
      <c r="N4371" s="20"/>
      <c r="O4371" s="20"/>
      <c r="P4371" s="20"/>
    </row>
    <row r="4372">
      <c r="A4372" s="23"/>
      <c r="B4372" s="21"/>
      <c r="C4372" s="23"/>
      <c r="D4372" s="24"/>
      <c r="E4372" s="14"/>
      <c r="F4372" s="14"/>
      <c r="G4372" s="14"/>
      <c r="H4372" s="23"/>
      <c r="I4372" s="27"/>
      <c r="J4372" s="23"/>
      <c r="K4372" s="30"/>
      <c r="L4372" s="23"/>
      <c r="M4372" s="20"/>
      <c r="N4372" s="20"/>
      <c r="O4372" s="20"/>
      <c r="P4372" s="20"/>
    </row>
    <row r="4373">
      <c r="A4373" s="10"/>
      <c r="B4373" s="11"/>
      <c r="C4373" s="10"/>
      <c r="D4373" s="13"/>
      <c r="E4373" s="14"/>
      <c r="F4373" s="14"/>
      <c r="G4373" s="14"/>
      <c r="H4373" s="10"/>
      <c r="I4373" s="17"/>
      <c r="J4373" s="10"/>
      <c r="K4373" s="46"/>
      <c r="L4373" s="10"/>
      <c r="M4373" s="20"/>
      <c r="N4373" s="20"/>
      <c r="O4373" s="20"/>
      <c r="P4373" s="20"/>
    </row>
    <row r="4374">
      <c r="A4374" s="23"/>
      <c r="B4374" s="21"/>
      <c r="C4374" s="23"/>
      <c r="D4374" s="24"/>
      <c r="E4374" s="14"/>
      <c r="F4374" s="14"/>
      <c r="G4374" s="14"/>
      <c r="H4374" s="23"/>
      <c r="I4374" s="27"/>
      <c r="J4374" s="23"/>
      <c r="K4374" s="30"/>
      <c r="L4374" s="23"/>
      <c r="M4374" s="20"/>
      <c r="N4374" s="20"/>
      <c r="O4374" s="20"/>
      <c r="P4374" s="20"/>
    </row>
    <row r="4375">
      <c r="A4375" s="10"/>
      <c r="B4375" s="11"/>
      <c r="C4375" s="10"/>
      <c r="D4375" s="13"/>
      <c r="E4375" s="14"/>
      <c r="F4375" s="14"/>
      <c r="G4375" s="14"/>
      <c r="H4375" s="10"/>
      <c r="I4375" s="17"/>
      <c r="J4375" s="10"/>
      <c r="K4375" s="46"/>
      <c r="L4375" s="10"/>
      <c r="M4375" s="20"/>
      <c r="N4375" s="20"/>
      <c r="O4375" s="20"/>
      <c r="P4375" s="20"/>
    </row>
    <row r="4376">
      <c r="A4376" s="23"/>
      <c r="B4376" s="21"/>
      <c r="C4376" s="23"/>
      <c r="D4376" s="24"/>
      <c r="E4376" s="14"/>
      <c r="F4376" s="14"/>
      <c r="G4376" s="14"/>
      <c r="H4376" s="23"/>
      <c r="I4376" s="27"/>
      <c r="J4376" s="23"/>
      <c r="K4376" s="30"/>
      <c r="L4376" s="23"/>
      <c r="M4376" s="20"/>
      <c r="N4376" s="20"/>
      <c r="O4376" s="20"/>
      <c r="P4376" s="20"/>
    </row>
    <row r="4377">
      <c r="A4377" s="10"/>
      <c r="B4377" s="11"/>
      <c r="C4377" s="10"/>
      <c r="D4377" s="13"/>
      <c r="E4377" s="14"/>
      <c r="F4377" s="14"/>
      <c r="G4377" s="14"/>
      <c r="H4377" s="10"/>
      <c r="I4377" s="17"/>
      <c r="J4377" s="10"/>
      <c r="K4377" s="46"/>
      <c r="L4377" s="10"/>
      <c r="M4377" s="20"/>
      <c r="N4377" s="20"/>
      <c r="O4377" s="20"/>
      <c r="P4377" s="20"/>
    </row>
    <row r="4378">
      <c r="A4378" s="23"/>
      <c r="B4378" s="21"/>
      <c r="C4378" s="23"/>
      <c r="D4378" s="24"/>
      <c r="E4378" s="14"/>
      <c r="F4378" s="14"/>
      <c r="G4378" s="14"/>
      <c r="H4378" s="23"/>
      <c r="I4378" s="27"/>
      <c r="J4378" s="23"/>
      <c r="K4378" s="30"/>
      <c r="L4378" s="23"/>
      <c r="M4378" s="20"/>
      <c r="N4378" s="20"/>
      <c r="O4378" s="20"/>
      <c r="P4378" s="20"/>
    </row>
    <row r="4379">
      <c r="A4379" s="10"/>
      <c r="B4379" s="11"/>
      <c r="C4379" s="10"/>
      <c r="D4379" s="13"/>
      <c r="E4379" s="14"/>
      <c r="F4379" s="14"/>
      <c r="G4379" s="14"/>
      <c r="H4379" s="10"/>
      <c r="I4379" s="17"/>
      <c r="J4379" s="10"/>
      <c r="K4379" s="46"/>
      <c r="L4379" s="10"/>
      <c r="M4379" s="20"/>
      <c r="N4379" s="20"/>
      <c r="O4379" s="20"/>
      <c r="P4379" s="20"/>
    </row>
    <row r="4380">
      <c r="A4380" s="23"/>
      <c r="B4380" s="21"/>
      <c r="C4380" s="23"/>
      <c r="D4380" s="24"/>
      <c r="E4380" s="14"/>
      <c r="F4380" s="14"/>
      <c r="G4380" s="14"/>
      <c r="H4380" s="23"/>
      <c r="I4380" s="27"/>
      <c r="J4380" s="23"/>
      <c r="K4380" s="30"/>
      <c r="L4380" s="23"/>
      <c r="M4380" s="20"/>
      <c r="N4380" s="20"/>
      <c r="O4380" s="20"/>
      <c r="P4380" s="20"/>
    </row>
    <row r="4381">
      <c r="A4381" s="10"/>
      <c r="B4381" s="11"/>
      <c r="C4381" s="10"/>
      <c r="D4381" s="13"/>
      <c r="E4381" s="14"/>
      <c r="F4381" s="14"/>
      <c r="G4381" s="14"/>
      <c r="H4381" s="10"/>
      <c r="I4381" s="17"/>
      <c r="J4381" s="10"/>
      <c r="K4381" s="46"/>
      <c r="L4381" s="10"/>
      <c r="M4381" s="20"/>
      <c r="N4381" s="20"/>
      <c r="O4381" s="20"/>
      <c r="P4381" s="20"/>
    </row>
    <row r="4382">
      <c r="A4382" s="23"/>
      <c r="B4382" s="21"/>
      <c r="C4382" s="23"/>
      <c r="D4382" s="24"/>
      <c r="E4382" s="14"/>
      <c r="F4382" s="14"/>
      <c r="G4382" s="14"/>
      <c r="H4382" s="23"/>
      <c r="I4382" s="27"/>
      <c r="J4382" s="23"/>
      <c r="K4382" s="30"/>
      <c r="L4382" s="23"/>
      <c r="M4382" s="20"/>
      <c r="N4382" s="20"/>
      <c r="O4382" s="20"/>
      <c r="P4382" s="20"/>
    </row>
    <row r="4383">
      <c r="A4383" s="10"/>
      <c r="B4383" s="11"/>
      <c r="C4383" s="10"/>
      <c r="D4383" s="13"/>
      <c r="E4383" s="14"/>
      <c r="F4383" s="14"/>
      <c r="G4383" s="14"/>
      <c r="H4383" s="10"/>
      <c r="I4383" s="17"/>
      <c r="J4383" s="10"/>
      <c r="K4383" s="46"/>
      <c r="L4383" s="10"/>
      <c r="M4383" s="20"/>
      <c r="N4383" s="20"/>
      <c r="O4383" s="20"/>
      <c r="P4383" s="20"/>
    </row>
    <row r="4384">
      <c r="A4384" s="23"/>
      <c r="B4384" s="21"/>
      <c r="C4384" s="23"/>
      <c r="D4384" s="24"/>
      <c r="E4384" s="14"/>
      <c r="F4384" s="14"/>
      <c r="G4384" s="14"/>
      <c r="H4384" s="23"/>
      <c r="I4384" s="27"/>
      <c r="J4384" s="23"/>
      <c r="K4384" s="30"/>
      <c r="L4384" s="23"/>
      <c r="M4384" s="20"/>
      <c r="N4384" s="20"/>
      <c r="O4384" s="20"/>
      <c r="P4384" s="20"/>
    </row>
    <row r="4385">
      <c r="A4385" s="10"/>
      <c r="B4385" s="11"/>
      <c r="C4385" s="10"/>
      <c r="D4385" s="13"/>
      <c r="E4385" s="14"/>
      <c r="F4385" s="14"/>
      <c r="G4385" s="14"/>
      <c r="H4385" s="10"/>
      <c r="I4385" s="17"/>
      <c r="J4385" s="10"/>
      <c r="K4385" s="46"/>
      <c r="L4385" s="10"/>
      <c r="M4385" s="20"/>
      <c r="N4385" s="20"/>
      <c r="O4385" s="20"/>
      <c r="P4385" s="20"/>
    </row>
    <row r="4386">
      <c r="A4386" s="23"/>
      <c r="B4386" s="21"/>
      <c r="C4386" s="23"/>
      <c r="D4386" s="24"/>
      <c r="E4386" s="14"/>
      <c r="F4386" s="14"/>
      <c r="G4386" s="14"/>
      <c r="H4386" s="23"/>
      <c r="I4386" s="27"/>
      <c r="J4386" s="23"/>
      <c r="K4386" s="30"/>
      <c r="L4386" s="23"/>
      <c r="M4386" s="20"/>
      <c r="N4386" s="20"/>
      <c r="O4386" s="20"/>
      <c r="P4386" s="20"/>
    </row>
    <row r="4387">
      <c r="A4387" s="10"/>
      <c r="B4387" s="11"/>
      <c r="C4387" s="10"/>
      <c r="D4387" s="13"/>
      <c r="E4387" s="14"/>
      <c r="F4387" s="14"/>
      <c r="G4387" s="14"/>
      <c r="H4387" s="10"/>
      <c r="I4387" s="17"/>
      <c r="J4387" s="10"/>
      <c r="K4387" s="46"/>
      <c r="L4387" s="10"/>
      <c r="M4387" s="20"/>
      <c r="N4387" s="20"/>
      <c r="O4387" s="20"/>
      <c r="P4387" s="20"/>
    </row>
    <row r="4388">
      <c r="A4388" s="23"/>
      <c r="B4388" s="21"/>
      <c r="C4388" s="23"/>
      <c r="D4388" s="24"/>
      <c r="E4388" s="14"/>
      <c r="F4388" s="14"/>
      <c r="G4388" s="14"/>
      <c r="H4388" s="23"/>
      <c r="I4388" s="27"/>
      <c r="J4388" s="23"/>
      <c r="K4388" s="30"/>
      <c r="L4388" s="23"/>
      <c r="M4388" s="20"/>
      <c r="N4388" s="20"/>
      <c r="O4388" s="20"/>
      <c r="P4388" s="20"/>
    </row>
    <row r="4389">
      <c r="A4389" s="10"/>
      <c r="B4389" s="11"/>
      <c r="C4389" s="10"/>
      <c r="D4389" s="13"/>
      <c r="E4389" s="14"/>
      <c r="F4389" s="14"/>
      <c r="G4389" s="14"/>
      <c r="H4389" s="10"/>
      <c r="I4389" s="17"/>
      <c r="J4389" s="10"/>
      <c r="K4389" s="46"/>
      <c r="L4389" s="10"/>
      <c r="M4389" s="20"/>
      <c r="N4389" s="20"/>
      <c r="O4389" s="20"/>
      <c r="P4389" s="20"/>
    </row>
    <row r="4390">
      <c r="A4390" s="23"/>
      <c r="B4390" s="21"/>
      <c r="C4390" s="23"/>
      <c r="D4390" s="24"/>
      <c r="E4390" s="14"/>
      <c r="F4390" s="14"/>
      <c r="G4390" s="14"/>
      <c r="H4390" s="23"/>
      <c r="I4390" s="27"/>
      <c r="J4390" s="23"/>
      <c r="K4390" s="30"/>
      <c r="L4390" s="23"/>
      <c r="M4390" s="20"/>
      <c r="N4390" s="20"/>
      <c r="O4390" s="20"/>
      <c r="P4390" s="20"/>
    </row>
    <row r="4391">
      <c r="A4391" s="10"/>
      <c r="B4391" s="11"/>
      <c r="C4391" s="10"/>
      <c r="D4391" s="13"/>
      <c r="E4391" s="14"/>
      <c r="F4391" s="14"/>
      <c r="G4391" s="14"/>
      <c r="H4391" s="10"/>
      <c r="I4391" s="17"/>
      <c r="J4391" s="10"/>
      <c r="K4391" s="46"/>
      <c r="L4391" s="10"/>
      <c r="M4391" s="20"/>
      <c r="N4391" s="20"/>
      <c r="O4391" s="20"/>
      <c r="P4391" s="20"/>
    </row>
    <row r="4392">
      <c r="A4392" s="23"/>
      <c r="B4392" s="21"/>
      <c r="C4392" s="23"/>
      <c r="D4392" s="24"/>
      <c r="E4392" s="14"/>
      <c r="F4392" s="14"/>
      <c r="G4392" s="14"/>
      <c r="H4392" s="23"/>
      <c r="I4392" s="27"/>
      <c r="J4392" s="23"/>
      <c r="K4392" s="30"/>
      <c r="L4392" s="23"/>
      <c r="M4392" s="20"/>
      <c r="N4392" s="20"/>
      <c r="O4392" s="20"/>
      <c r="P4392" s="20"/>
    </row>
    <row r="4393">
      <c r="A4393" s="10"/>
      <c r="B4393" s="11"/>
      <c r="C4393" s="10"/>
      <c r="D4393" s="13"/>
      <c r="E4393" s="14"/>
      <c r="F4393" s="14"/>
      <c r="G4393" s="14"/>
      <c r="H4393" s="10"/>
      <c r="I4393" s="17"/>
      <c r="J4393" s="10"/>
      <c r="K4393" s="46"/>
      <c r="L4393" s="10"/>
      <c r="M4393" s="20"/>
      <c r="N4393" s="20"/>
      <c r="O4393" s="20"/>
      <c r="P4393" s="20"/>
    </row>
    <row r="4394">
      <c r="A4394" s="23"/>
      <c r="B4394" s="21"/>
      <c r="C4394" s="23"/>
      <c r="D4394" s="24"/>
      <c r="E4394" s="14"/>
      <c r="F4394" s="14"/>
      <c r="G4394" s="14"/>
      <c r="H4394" s="23"/>
      <c r="I4394" s="27"/>
      <c r="J4394" s="23"/>
      <c r="K4394" s="30"/>
      <c r="L4394" s="23"/>
      <c r="M4394" s="20"/>
      <c r="N4394" s="20"/>
      <c r="O4394" s="20"/>
      <c r="P4394" s="20"/>
    </row>
    <row r="4395">
      <c r="A4395" s="10"/>
      <c r="B4395" s="11"/>
      <c r="C4395" s="10"/>
      <c r="D4395" s="13"/>
      <c r="E4395" s="14"/>
      <c r="F4395" s="14"/>
      <c r="G4395" s="14"/>
      <c r="H4395" s="10"/>
      <c r="I4395" s="17"/>
      <c r="J4395" s="10"/>
      <c r="K4395" s="46"/>
      <c r="L4395" s="10"/>
      <c r="M4395" s="20"/>
      <c r="N4395" s="20"/>
      <c r="O4395" s="20"/>
      <c r="P4395" s="20"/>
    </row>
    <row r="4396">
      <c r="A4396" s="23"/>
      <c r="B4396" s="21"/>
      <c r="C4396" s="23"/>
      <c r="D4396" s="24"/>
      <c r="E4396" s="14"/>
      <c r="F4396" s="14"/>
      <c r="G4396" s="14"/>
      <c r="H4396" s="23"/>
      <c r="I4396" s="27"/>
      <c r="J4396" s="23"/>
      <c r="K4396" s="30"/>
      <c r="L4396" s="23"/>
      <c r="M4396" s="20"/>
      <c r="N4396" s="20"/>
      <c r="O4396" s="20"/>
      <c r="P4396" s="20"/>
    </row>
    <row r="4397">
      <c r="A4397" s="10"/>
      <c r="B4397" s="11"/>
      <c r="C4397" s="10"/>
      <c r="D4397" s="13"/>
      <c r="E4397" s="14"/>
      <c r="F4397" s="14"/>
      <c r="G4397" s="14"/>
      <c r="H4397" s="10"/>
      <c r="I4397" s="17"/>
      <c r="J4397" s="10"/>
      <c r="K4397" s="46"/>
      <c r="L4397" s="10"/>
      <c r="M4397" s="20"/>
      <c r="N4397" s="20"/>
      <c r="O4397" s="20"/>
      <c r="P4397" s="20"/>
    </row>
    <row r="4398">
      <c r="A4398" s="23"/>
      <c r="B4398" s="21"/>
      <c r="C4398" s="23"/>
      <c r="D4398" s="24"/>
      <c r="E4398" s="14"/>
      <c r="F4398" s="14"/>
      <c r="G4398" s="14"/>
      <c r="H4398" s="23"/>
      <c r="I4398" s="27"/>
      <c r="J4398" s="23"/>
      <c r="K4398" s="30"/>
      <c r="L4398" s="23"/>
      <c r="M4398" s="20"/>
      <c r="N4398" s="20"/>
      <c r="O4398" s="20"/>
      <c r="P4398" s="20"/>
    </row>
    <row r="4399">
      <c r="A4399" s="10"/>
      <c r="B4399" s="11"/>
      <c r="C4399" s="10"/>
      <c r="D4399" s="13"/>
      <c r="E4399" s="14"/>
      <c r="F4399" s="14"/>
      <c r="G4399" s="14"/>
      <c r="H4399" s="10"/>
      <c r="I4399" s="17"/>
      <c r="J4399" s="10"/>
      <c r="K4399" s="46"/>
      <c r="L4399" s="10"/>
      <c r="M4399" s="20"/>
      <c r="N4399" s="20"/>
      <c r="O4399" s="20"/>
      <c r="P4399" s="20"/>
    </row>
    <row r="4400">
      <c r="A4400" s="23"/>
      <c r="B4400" s="21"/>
      <c r="C4400" s="23"/>
      <c r="D4400" s="24"/>
      <c r="E4400" s="14"/>
      <c r="F4400" s="14"/>
      <c r="G4400" s="14"/>
      <c r="H4400" s="23"/>
      <c r="I4400" s="27"/>
      <c r="J4400" s="23"/>
      <c r="K4400" s="30"/>
      <c r="L4400" s="23"/>
      <c r="M4400" s="20"/>
      <c r="N4400" s="20"/>
      <c r="O4400" s="20"/>
      <c r="P4400" s="20"/>
    </row>
    <row r="4401">
      <c r="A4401" s="10"/>
      <c r="B4401" s="11"/>
      <c r="C4401" s="10"/>
      <c r="D4401" s="13"/>
      <c r="E4401" s="14"/>
      <c r="F4401" s="14"/>
      <c r="G4401" s="14"/>
      <c r="H4401" s="10"/>
      <c r="I4401" s="17"/>
      <c r="J4401" s="10"/>
      <c r="K4401" s="46"/>
      <c r="L4401" s="10"/>
      <c r="M4401" s="20"/>
      <c r="N4401" s="20"/>
      <c r="O4401" s="20"/>
      <c r="P4401" s="20"/>
    </row>
    <row r="4402">
      <c r="A4402" s="23"/>
      <c r="B4402" s="21"/>
      <c r="C4402" s="23"/>
      <c r="D4402" s="24"/>
      <c r="E4402" s="14"/>
      <c r="F4402" s="14"/>
      <c r="G4402" s="14"/>
      <c r="H4402" s="23"/>
      <c r="I4402" s="27"/>
      <c r="J4402" s="23"/>
      <c r="K4402" s="30"/>
      <c r="L4402" s="23"/>
      <c r="M4402" s="20"/>
      <c r="N4402" s="20"/>
      <c r="O4402" s="20"/>
      <c r="P4402" s="20"/>
    </row>
    <row r="4403">
      <c r="A4403" s="10"/>
      <c r="B4403" s="11"/>
      <c r="C4403" s="10"/>
      <c r="D4403" s="13"/>
      <c r="E4403" s="14"/>
      <c r="F4403" s="14"/>
      <c r="G4403" s="14"/>
      <c r="H4403" s="10"/>
      <c r="I4403" s="17"/>
      <c r="J4403" s="10"/>
      <c r="K4403" s="46"/>
      <c r="L4403" s="10"/>
      <c r="M4403" s="20"/>
      <c r="N4403" s="20"/>
      <c r="O4403" s="20"/>
      <c r="P4403" s="20"/>
    </row>
    <row r="4404">
      <c r="A4404" s="23"/>
      <c r="B4404" s="21"/>
      <c r="C4404" s="23"/>
      <c r="D4404" s="24"/>
      <c r="E4404" s="14"/>
      <c r="F4404" s="14"/>
      <c r="G4404" s="14"/>
      <c r="H4404" s="23"/>
      <c r="I4404" s="27"/>
      <c r="J4404" s="23"/>
      <c r="K4404" s="30"/>
      <c r="L4404" s="23"/>
      <c r="M4404" s="20"/>
      <c r="N4404" s="20"/>
      <c r="O4404" s="20"/>
      <c r="P4404" s="20"/>
    </row>
    <row r="4405">
      <c r="A4405" s="10"/>
      <c r="B4405" s="11"/>
      <c r="C4405" s="10"/>
      <c r="D4405" s="13"/>
      <c r="E4405" s="14"/>
      <c r="F4405" s="14"/>
      <c r="G4405" s="14"/>
      <c r="H4405" s="10"/>
      <c r="I4405" s="17"/>
      <c r="J4405" s="10"/>
      <c r="K4405" s="46"/>
      <c r="L4405" s="10"/>
      <c r="M4405" s="20"/>
      <c r="N4405" s="20"/>
      <c r="O4405" s="20"/>
      <c r="P4405" s="20"/>
    </row>
    <row r="4406">
      <c r="A4406" s="23"/>
      <c r="B4406" s="21"/>
      <c r="C4406" s="23"/>
      <c r="D4406" s="24"/>
      <c r="E4406" s="14"/>
      <c r="F4406" s="14"/>
      <c r="G4406" s="14"/>
      <c r="H4406" s="23"/>
      <c r="I4406" s="27"/>
      <c r="J4406" s="23"/>
      <c r="K4406" s="30"/>
      <c r="L4406" s="23"/>
      <c r="M4406" s="20"/>
      <c r="N4406" s="20"/>
      <c r="O4406" s="20"/>
      <c r="P4406" s="20"/>
    </row>
    <row r="4407">
      <c r="A4407" s="10"/>
      <c r="B4407" s="11"/>
      <c r="C4407" s="10"/>
      <c r="D4407" s="13"/>
      <c r="E4407" s="14"/>
      <c r="F4407" s="14"/>
      <c r="G4407" s="14"/>
      <c r="H4407" s="10"/>
      <c r="I4407" s="17"/>
      <c r="J4407" s="10"/>
      <c r="K4407" s="46"/>
      <c r="L4407" s="10"/>
      <c r="M4407" s="20"/>
      <c r="N4407" s="20"/>
      <c r="O4407" s="20"/>
      <c r="P4407" s="20"/>
    </row>
    <row r="4408">
      <c r="A4408" s="23"/>
      <c r="B4408" s="21"/>
      <c r="C4408" s="23"/>
      <c r="D4408" s="24"/>
      <c r="E4408" s="14"/>
      <c r="F4408" s="14"/>
      <c r="G4408" s="14"/>
      <c r="H4408" s="23"/>
      <c r="I4408" s="27"/>
      <c r="J4408" s="23"/>
      <c r="K4408" s="30"/>
      <c r="L4408" s="23"/>
      <c r="M4408" s="20"/>
      <c r="N4408" s="20"/>
      <c r="O4408" s="20"/>
      <c r="P4408" s="20"/>
    </row>
    <row r="4409">
      <c r="A4409" s="10"/>
      <c r="B4409" s="11"/>
      <c r="C4409" s="10"/>
      <c r="D4409" s="13"/>
      <c r="E4409" s="14"/>
      <c r="F4409" s="14"/>
      <c r="G4409" s="14"/>
      <c r="H4409" s="10"/>
      <c r="I4409" s="17"/>
      <c r="J4409" s="10"/>
      <c r="K4409" s="46"/>
      <c r="L4409" s="10"/>
      <c r="M4409" s="20"/>
      <c r="N4409" s="20"/>
      <c r="O4409" s="20"/>
      <c r="P4409" s="20"/>
    </row>
    <row r="4410">
      <c r="A4410" s="23"/>
      <c r="B4410" s="21"/>
      <c r="C4410" s="23"/>
      <c r="D4410" s="24"/>
      <c r="E4410" s="14"/>
      <c r="F4410" s="14"/>
      <c r="G4410" s="14"/>
      <c r="H4410" s="23"/>
      <c r="I4410" s="27"/>
      <c r="J4410" s="23"/>
      <c r="K4410" s="30"/>
      <c r="L4410" s="23"/>
      <c r="M4410" s="20"/>
      <c r="N4410" s="20"/>
      <c r="O4410" s="20"/>
      <c r="P4410" s="20"/>
    </row>
    <row r="4411">
      <c r="A4411" s="10"/>
      <c r="B4411" s="11"/>
      <c r="C4411" s="10"/>
      <c r="D4411" s="13"/>
      <c r="E4411" s="14"/>
      <c r="F4411" s="14"/>
      <c r="G4411" s="14"/>
      <c r="H4411" s="10"/>
      <c r="I4411" s="17"/>
      <c r="J4411" s="10"/>
      <c r="K4411" s="46"/>
      <c r="L4411" s="10"/>
      <c r="M4411" s="20"/>
      <c r="N4411" s="20"/>
      <c r="O4411" s="20"/>
      <c r="P4411" s="20"/>
    </row>
    <row r="4412">
      <c r="A4412" s="23"/>
      <c r="B4412" s="21"/>
      <c r="C4412" s="23"/>
      <c r="D4412" s="24"/>
      <c r="E4412" s="14"/>
      <c r="F4412" s="14"/>
      <c r="G4412" s="14"/>
      <c r="H4412" s="23"/>
      <c r="I4412" s="27"/>
      <c r="J4412" s="23"/>
      <c r="K4412" s="30"/>
      <c r="L4412" s="23"/>
      <c r="M4412" s="20"/>
      <c r="N4412" s="20"/>
      <c r="O4412" s="20"/>
      <c r="P4412" s="20"/>
    </row>
    <row r="4413">
      <c r="A4413" s="10"/>
      <c r="B4413" s="11"/>
      <c r="C4413" s="10"/>
      <c r="D4413" s="13"/>
      <c r="E4413" s="14"/>
      <c r="F4413" s="14"/>
      <c r="G4413" s="14"/>
      <c r="H4413" s="10"/>
      <c r="I4413" s="17"/>
      <c r="J4413" s="10"/>
      <c r="K4413" s="46"/>
      <c r="L4413" s="10"/>
      <c r="M4413" s="20"/>
      <c r="N4413" s="20"/>
      <c r="O4413" s="20"/>
      <c r="P4413" s="20"/>
    </row>
    <row r="4414">
      <c r="A4414" s="23"/>
      <c r="B4414" s="21"/>
      <c r="C4414" s="23"/>
      <c r="D4414" s="24"/>
      <c r="E4414" s="14"/>
      <c r="F4414" s="14"/>
      <c r="G4414" s="14"/>
      <c r="H4414" s="23"/>
      <c r="I4414" s="27"/>
      <c r="J4414" s="23"/>
      <c r="K4414" s="30"/>
      <c r="L4414" s="23"/>
      <c r="M4414" s="20"/>
      <c r="N4414" s="20"/>
      <c r="O4414" s="20"/>
      <c r="P4414" s="20"/>
    </row>
    <row r="4415">
      <c r="A4415" s="10"/>
      <c r="B4415" s="11"/>
      <c r="C4415" s="10"/>
      <c r="D4415" s="13"/>
      <c r="E4415" s="14"/>
      <c r="F4415" s="14"/>
      <c r="G4415" s="14"/>
      <c r="H4415" s="10"/>
      <c r="I4415" s="17"/>
      <c r="J4415" s="10"/>
      <c r="K4415" s="46"/>
      <c r="L4415" s="10"/>
      <c r="M4415" s="20"/>
      <c r="N4415" s="20"/>
      <c r="O4415" s="20"/>
      <c r="P4415" s="20"/>
    </row>
    <row r="4416">
      <c r="A4416" s="23"/>
      <c r="B4416" s="21"/>
      <c r="C4416" s="23"/>
      <c r="D4416" s="24"/>
      <c r="E4416" s="14"/>
      <c r="F4416" s="14"/>
      <c r="G4416" s="14"/>
      <c r="H4416" s="23"/>
      <c r="I4416" s="27"/>
      <c r="J4416" s="23"/>
      <c r="K4416" s="30"/>
      <c r="L4416" s="23"/>
      <c r="M4416" s="20"/>
      <c r="N4416" s="20"/>
      <c r="O4416" s="20"/>
      <c r="P4416" s="20"/>
    </row>
    <row r="4417">
      <c r="A4417" s="10"/>
      <c r="B4417" s="11"/>
      <c r="C4417" s="10"/>
      <c r="D4417" s="13"/>
      <c r="E4417" s="14"/>
      <c r="F4417" s="14"/>
      <c r="G4417" s="14"/>
      <c r="H4417" s="10"/>
      <c r="I4417" s="17"/>
      <c r="J4417" s="10"/>
      <c r="K4417" s="46"/>
      <c r="L4417" s="10"/>
      <c r="M4417" s="20"/>
      <c r="N4417" s="20"/>
      <c r="O4417" s="20"/>
      <c r="P4417" s="20"/>
    </row>
    <row r="4418">
      <c r="A4418" s="23"/>
      <c r="B4418" s="21"/>
      <c r="C4418" s="23"/>
      <c r="D4418" s="24"/>
      <c r="E4418" s="14"/>
      <c r="F4418" s="14"/>
      <c r="G4418" s="14"/>
      <c r="H4418" s="23"/>
      <c r="I4418" s="27"/>
      <c r="J4418" s="23"/>
      <c r="K4418" s="30"/>
      <c r="L4418" s="23"/>
      <c r="M4418" s="20"/>
      <c r="N4418" s="20"/>
      <c r="O4418" s="20"/>
      <c r="P4418" s="20"/>
    </row>
    <row r="4419">
      <c r="A4419" s="10"/>
      <c r="B4419" s="11"/>
      <c r="C4419" s="10"/>
      <c r="D4419" s="13"/>
      <c r="E4419" s="14"/>
      <c r="F4419" s="14"/>
      <c r="G4419" s="14"/>
      <c r="H4419" s="10"/>
      <c r="I4419" s="17"/>
      <c r="J4419" s="10"/>
      <c r="K4419" s="46"/>
      <c r="L4419" s="10"/>
      <c r="M4419" s="20"/>
      <c r="N4419" s="20"/>
      <c r="O4419" s="20"/>
      <c r="P4419" s="20"/>
    </row>
    <row r="4420">
      <c r="A4420" s="23"/>
      <c r="B4420" s="21"/>
      <c r="C4420" s="23"/>
      <c r="D4420" s="24"/>
      <c r="E4420" s="14"/>
      <c r="F4420" s="14"/>
      <c r="G4420" s="14"/>
      <c r="H4420" s="23"/>
      <c r="I4420" s="27"/>
      <c r="J4420" s="23"/>
      <c r="K4420" s="30"/>
      <c r="L4420" s="23"/>
      <c r="M4420" s="20"/>
      <c r="N4420" s="20"/>
      <c r="O4420" s="20"/>
      <c r="P4420" s="20"/>
    </row>
    <row r="4421">
      <c r="A4421" s="10"/>
      <c r="B4421" s="11"/>
      <c r="C4421" s="10"/>
      <c r="D4421" s="13"/>
      <c r="E4421" s="14"/>
      <c r="F4421" s="14"/>
      <c r="G4421" s="14"/>
      <c r="H4421" s="10"/>
      <c r="I4421" s="17"/>
      <c r="J4421" s="10"/>
      <c r="K4421" s="46"/>
      <c r="L4421" s="10"/>
      <c r="M4421" s="20"/>
      <c r="N4421" s="20"/>
      <c r="O4421" s="20"/>
      <c r="P4421" s="20"/>
    </row>
    <row r="4422">
      <c r="A4422" s="23"/>
      <c r="B4422" s="21"/>
      <c r="C4422" s="23"/>
      <c r="D4422" s="24"/>
      <c r="E4422" s="14"/>
      <c r="F4422" s="14"/>
      <c r="G4422" s="14"/>
      <c r="H4422" s="23"/>
      <c r="I4422" s="27"/>
      <c r="J4422" s="23"/>
      <c r="K4422" s="30"/>
      <c r="L4422" s="23"/>
      <c r="M4422" s="20"/>
      <c r="N4422" s="20"/>
      <c r="O4422" s="20"/>
      <c r="P4422" s="20"/>
    </row>
    <row r="4423">
      <c r="A4423" s="10"/>
      <c r="B4423" s="11"/>
      <c r="C4423" s="10"/>
      <c r="D4423" s="13"/>
      <c r="E4423" s="14"/>
      <c r="F4423" s="14"/>
      <c r="G4423" s="14"/>
      <c r="H4423" s="10"/>
      <c r="I4423" s="17"/>
      <c r="J4423" s="10"/>
      <c r="K4423" s="46"/>
      <c r="L4423" s="10"/>
      <c r="M4423" s="20"/>
      <c r="N4423" s="20"/>
      <c r="O4423" s="20"/>
      <c r="P4423" s="20"/>
    </row>
    <row r="4424">
      <c r="A4424" s="23"/>
      <c r="B4424" s="21"/>
      <c r="C4424" s="23"/>
      <c r="D4424" s="24"/>
      <c r="E4424" s="14"/>
      <c r="F4424" s="14"/>
      <c r="G4424" s="14"/>
      <c r="H4424" s="23"/>
      <c r="I4424" s="27"/>
      <c r="J4424" s="23"/>
      <c r="K4424" s="30"/>
      <c r="L4424" s="23"/>
      <c r="M4424" s="20"/>
      <c r="N4424" s="20"/>
      <c r="O4424" s="20"/>
      <c r="P4424" s="20"/>
    </row>
    <row r="4425">
      <c r="A4425" s="10"/>
      <c r="B4425" s="11"/>
      <c r="C4425" s="10"/>
      <c r="D4425" s="13"/>
      <c r="E4425" s="14"/>
      <c r="F4425" s="14"/>
      <c r="G4425" s="14"/>
      <c r="H4425" s="10"/>
      <c r="I4425" s="17"/>
      <c r="J4425" s="10"/>
      <c r="K4425" s="46"/>
      <c r="L4425" s="10"/>
      <c r="M4425" s="20"/>
      <c r="N4425" s="20"/>
      <c r="O4425" s="20"/>
      <c r="P4425" s="20"/>
    </row>
    <row r="4426">
      <c r="A4426" s="23"/>
      <c r="B4426" s="21"/>
      <c r="C4426" s="23"/>
      <c r="D4426" s="24"/>
      <c r="E4426" s="14"/>
      <c r="F4426" s="14"/>
      <c r="G4426" s="14"/>
      <c r="H4426" s="23"/>
      <c r="I4426" s="27"/>
      <c r="J4426" s="23"/>
      <c r="K4426" s="30"/>
      <c r="L4426" s="23"/>
      <c r="M4426" s="20"/>
      <c r="N4426" s="20"/>
      <c r="O4426" s="20"/>
      <c r="P4426" s="20"/>
    </row>
    <row r="4427">
      <c r="A4427" s="10"/>
      <c r="B4427" s="11"/>
      <c r="C4427" s="10"/>
      <c r="D4427" s="13"/>
      <c r="E4427" s="14"/>
      <c r="F4427" s="14"/>
      <c r="G4427" s="14"/>
      <c r="H4427" s="10"/>
      <c r="I4427" s="17"/>
      <c r="J4427" s="10"/>
      <c r="K4427" s="46"/>
      <c r="L4427" s="10"/>
      <c r="M4427" s="20"/>
      <c r="N4427" s="20"/>
      <c r="O4427" s="20"/>
      <c r="P4427" s="20"/>
    </row>
    <row r="4428">
      <c r="A4428" s="23"/>
      <c r="B4428" s="21"/>
      <c r="C4428" s="23"/>
      <c r="D4428" s="24"/>
      <c r="E4428" s="14"/>
      <c r="F4428" s="14"/>
      <c r="G4428" s="14"/>
      <c r="H4428" s="23"/>
      <c r="I4428" s="27"/>
      <c r="J4428" s="23"/>
      <c r="K4428" s="30"/>
      <c r="L4428" s="23"/>
      <c r="M4428" s="20"/>
      <c r="N4428" s="20"/>
      <c r="O4428" s="20"/>
      <c r="P4428" s="20"/>
    </row>
    <row r="4429">
      <c r="A4429" s="10"/>
      <c r="B4429" s="11"/>
      <c r="C4429" s="10"/>
      <c r="D4429" s="13"/>
      <c r="E4429" s="14"/>
      <c r="F4429" s="14"/>
      <c r="G4429" s="14"/>
      <c r="H4429" s="10"/>
      <c r="I4429" s="17"/>
      <c r="J4429" s="10"/>
      <c r="K4429" s="46"/>
      <c r="L4429" s="10"/>
      <c r="M4429" s="20"/>
      <c r="N4429" s="20"/>
      <c r="O4429" s="20"/>
      <c r="P4429" s="20"/>
    </row>
    <row r="4430">
      <c r="A4430" s="23"/>
      <c r="B4430" s="21"/>
      <c r="C4430" s="23"/>
      <c r="D4430" s="24"/>
      <c r="E4430" s="14"/>
      <c r="F4430" s="14"/>
      <c r="G4430" s="14"/>
      <c r="H4430" s="23"/>
      <c r="I4430" s="27"/>
      <c r="J4430" s="23"/>
      <c r="K4430" s="30"/>
      <c r="L4430" s="23"/>
      <c r="M4430" s="20"/>
      <c r="N4430" s="20"/>
      <c r="O4430" s="20"/>
      <c r="P4430" s="20"/>
    </row>
    <row r="4431">
      <c r="A4431" s="10"/>
      <c r="B4431" s="11"/>
      <c r="C4431" s="10"/>
      <c r="D4431" s="13"/>
      <c r="E4431" s="14"/>
      <c r="F4431" s="14"/>
      <c r="G4431" s="14"/>
      <c r="H4431" s="10"/>
      <c r="I4431" s="17"/>
      <c r="J4431" s="10"/>
      <c r="K4431" s="46"/>
      <c r="L4431" s="10"/>
      <c r="M4431" s="20"/>
      <c r="N4431" s="20"/>
      <c r="O4431" s="20"/>
      <c r="P4431" s="20"/>
    </row>
    <row r="4432">
      <c r="A4432" s="23"/>
      <c r="B4432" s="21"/>
      <c r="C4432" s="23"/>
      <c r="D4432" s="24"/>
      <c r="E4432" s="14"/>
      <c r="F4432" s="14"/>
      <c r="G4432" s="14"/>
      <c r="H4432" s="23"/>
      <c r="I4432" s="27"/>
      <c r="J4432" s="23"/>
      <c r="K4432" s="30"/>
      <c r="L4432" s="23"/>
      <c r="M4432" s="20"/>
      <c r="N4432" s="20"/>
      <c r="O4432" s="20"/>
      <c r="P4432" s="20"/>
    </row>
    <row r="4433">
      <c r="A4433" s="10"/>
      <c r="B4433" s="11"/>
      <c r="C4433" s="10"/>
      <c r="D4433" s="13"/>
      <c r="E4433" s="14"/>
      <c r="F4433" s="14"/>
      <c r="G4433" s="14"/>
      <c r="H4433" s="10"/>
      <c r="I4433" s="17"/>
      <c r="J4433" s="10"/>
      <c r="K4433" s="46"/>
      <c r="L4433" s="10"/>
      <c r="M4433" s="20"/>
      <c r="N4433" s="20"/>
      <c r="O4433" s="20"/>
      <c r="P4433" s="20"/>
    </row>
    <row r="4434">
      <c r="A4434" s="23"/>
      <c r="B4434" s="21"/>
      <c r="C4434" s="23"/>
      <c r="D4434" s="24"/>
      <c r="E4434" s="14"/>
      <c r="F4434" s="14"/>
      <c r="G4434" s="14"/>
      <c r="H4434" s="23"/>
      <c r="I4434" s="27"/>
      <c r="J4434" s="23"/>
      <c r="K4434" s="30"/>
      <c r="L4434" s="23"/>
      <c r="M4434" s="20"/>
      <c r="N4434" s="20"/>
      <c r="O4434" s="20"/>
      <c r="P4434" s="20"/>
    </row>
    <row r="4435">
      <c r="A4435" s="10"/>
      <c r="B4435" s="11"/>
      <c r="C4435" s="10"/>
      <c r="D4435" s="13"/>
      <c r="E4435" s="14"/>
      <c r="F4435" s="14"/>
      <c r="G4435" s="14"/>
      <c r="H4435" s="10"/>
      <c r="I4435" s="17"/>
      <c r="J4435" s="10"/>
      <c r="K4435" s="46"/>
      <c r="L4435" s="10"/>
      <c r="M4435" s="20"/>
      <c r="N4435" s="20"/>
      <c r="O4435" s="20"/>
      <c r="P4435" s="20"/>
    </row>
    <row r="4436">
      <c r="A4436" s="23"/>
      <c r="B4436" s="21"/>
      <c r="C4436" s="23"/>
      <c r="D4436" s="24"/>
      <c r="E4436" s="14"/>
      <c r="F4436" s="14"/>
      <c r="G4436" s="14"/>
      <c r="H4436" s="23"/>
      <c r="I4436" s="27"/>
      <c r="J4436" s="23"/>
      <c r="K4436" s="30"/>
      <c r="L4436" s="23"/>
      <c r="M4436" s="20"/>
      <c r="N4436" s="20"/>
      <c r="O4436" s="20"/>
      <c r="P4436" s="20"/>
    </row>
    <row r="4437">
      <c r="A4437" s="10"/>
      <c r="B4437" s="11"/>
      <c r="C4437" s="10"/>
      <c r="D4437" s="13"/>
      <c r="E4437" s="14"/>
      <c r="F4437" s="14"/>
      <c r="G4437" s="14"/>
      <c r="H4437" s="10"/>
      <c r="I4437" s="17"/>
      <c r="J4437" s="10"/>
      <c r="K4437" s="46"/>
      <c r="L4437" s="10"/>
      <c r="M4437" s="20"/>
      <c r="N4437" s="20"/>
      <c r="O4437" s="20"/>
      <c r="P4437" s="20"/>
    </row>
    <row r="4438">
      <c r="A4438" s="23"/>
      <c r="B4438" s="21"/>
      <c r="C4438" s="23"/>
      <c r="D4438" s="24"/>
      <c r="E4438" s="14"/>
      <c r="F4438" s="14"/>
      <c r="G4438" s="14"/>
      <c r="H4438" s="23"/>
      <c r="I4438" s="27"/>
      <c r="J4438" s="23"/>
      <c r="K4438" s="30"/>
      <c r="L4438" s="23"/>
      <c r="M4438" s="20"/>
      <c r="N4438" s="20"/>
      <c r="O4438" s="20"/>
      <c r="P4438" s="20"/>
    </row>
    <row r="4439">
      <c r="A4439" s="10"/>
      <c r="B4439" s="11"/>
      <c r="C4439" s="10"/>
      <c r="D4439" s="13"/>
      <c r="E4439" s="14"/>
      <c r="F4439" s="14"/>
      <c r="G4439" s="14"/>
      <c r="H4439" s="10"/>
      <c r="I4439" s="17"/>
      <c r="J4439" s="10"/>
      <c r="K4439" s="46"/>
      <c r="L4439" s="10"/>
      <c r="M4439" s="20"/>
      <c r="N4439" s="20"/>
      <c r="O4439" s="20"/>
      <c r="P4439" s="20"/>
    </row>
    <row r="4440">
      <c r="A4440" s="23"/>
      <c r="B4440" s="21"/>
      <c r="C4440" s="23"/>
      <c r="D4440" s="24"/>
      <c r="E4440" s="14"/>
      <c r="F4440" s="14"/>
      <c r="G4440" s="14"/>
      <c r="H4440" s="23"/>
      <c r="I4440" s="27"/>
      <c r="J4440" s="23"/>
      <c r="K4440" s="30"/>
      <c r="L4440" s="23"/>
      <c r="M4440" s="20"/>
      <c r="N4440" s="20"/>
      <c r="O4440" s="20"/>
      <c r="P4440" s="20"/>
    </row>
    <row r="4441">
      <c r="A4441" s="10"/>
      <c r="B4441" s="11"/>
      <c r="C4441" s="10"/>
      <c r="D4441" s="13"/>
      <c r="E4441" s="14"/>
      <c r="F4441" s="14"/>
      <c r="G4441" s="14"/>
      <c r="H4441" s="10"/>
      <c r="I4441" s="17"/>
      <c r="J4441" s="10"/>
      <c r="K4441" s="46"/>
      <c r="L4441" s="10"/>
      <c r="M4441" s="20"/>
      <c r="N4441" s="20"/>
      <c r="O4441" s="20"/>
      <c r="P4441" s="20"/>
    </row>
    <row r="4442">
      <c r="A4442" s="23"/>
      <c r="B4442" s="21"/>
      <c r="C4442" s="23"/>
      <c r="D4442" s="24"/>
      <c r="E4442" s="14"/>
      <c r="F4442" s="14"/>
      <c r="G4442" s="14"/>
      <c r="H4442" s="23"/>
      <c r="I4442" s="27"/>
      <c r="J4442" s="23"/>
      <c r="K4442" s="30"/>
      <c r="L4442" s="23"/>
      <c r="M4442" s="20"/>
      <c r="N4442" s="20"/>
      <c r="O4442" s="20"/>
      <c r="P4442" s="20"/>
    </row>
    <row r="4443">
      <c r="A4443" s="10"/>
      <c r="B4443" s="11"/>
      <c r="C4443" s="10"/>
      <c r="D4443" s="13"/>
      <c r="E4443" s="14"/>
      <c r="F4443" s="14"/>
      <c r="G4443" s="14"/>
      <c r="H4443" s="10"/>
      <c r="I4443" s="17"/>
      <c r="J4443" s="10"/>
      <c r="K4443" s="46"/>
      <c r="L4443" s="10"/>
      <c r="M4443" s="20"/>
      <c r="N4443" s="20"/>
      <c r="O4443" s="20"/>
      <c r="P4443" s="20"/>
    </row>
    <row r="4444">
      <c r="A4444" s="23"/>
      <c r="B4444" s="21"/>
      <c r="C4444" s="23"/>
      <c r="D4444" s="24"/>
      <c r="E4444" s="14"/>
      <c r="F4444" s="14"/>
      <c r="G4444" s="14"/>
      <c r="H4444" s="23"/>
      <c r="I4444" s="27"/>
      <c r="J4444" s="23"/>
      <c r="K4444" s="30"/>
      <c r="L4444" s="23"/>
      <c r="M4444" s="20"/>
      <c r="N4444" s="20"/>
      <c r="O4444" s="20"/>
      <c r="P4444" s="20"/>
    </row>
    <row r="4445">
      <c r="A4445" s="10"/>
      <c r="B4445" s="11"/>
      <c r="C4445" s="10"/>
      <c r="D4445" s="13"/>
      <c r="E4445" s="14"/>
      <c r="F4445" s="14"/>
      <c r="G4445" s="14"/>
      <c r="H4445" s="10"/>
      <c r="I4445" s="17"/>
      <c r="J4445" s="10"/>
      <c r="K4445" s="46"/>
      <c r="L4445" s="10"/>
      <c r="M4445" s="20"/>
      <c r="N4445" s="20"/>
      <c r="O4445" s="20"/>
      <c r="P4445" s="20"/>
    </row>
    <row r="4446">
      <c r="A4446" s="23"/>
      <c r="B4446" s="21"/>
      <c r="C4446" s="23"/>
      <c r="D4446" s="24"/>
      <c r="E4446" s="14"/>
      <c r="F4446" s="14"/>
      <c r="G4446" s="14"/>
      <c r="H4446" s="23"/>
      <c r="I4446" s="27"/>
      <c r="J4446" s="23"/>
      <c r="K4446" s="30"/>
      <c r="L4446" s="23"/>
      <c r="M4446" s="20"/>
      <c r="N4446" s="20"/>
      <c r="O4446" s="20"/>
      <c r="P4446" s="20"/>
    </row>
    <row r="4447">
      <c r="A4447" s="10"/>
      <c r="B4447" s="11"/>
      <c r="C4447" s="10"/>
      <c r="D4447" s="13"/>
      <c r="E4447" s="14"/>
      <c r="F4447" s="14"/>
      <c r="G4447" s="14"/>
      <c r="H4447" s="10"/>
      <c r="I4447" s="17"/>
      <c r="J4447" s="10"/>
      <c r="K4447" s="46"/>
      <c r="L4447" s="10"/>
      <c r="M4447" s="20"/>
      <c r="N4447" s="20"/>
      <c r="O4447" s="20"/>
      <c r="P4447" s="20"/>
    </row>
    <row r="4448">
      <c r="A4448" s="23"/>
      <c r="B4448" s="21"/>
      <c r="C4448" s="23"/>
      <c r="D4448" s="24"/>
      <c r="E4448" s="14"/>
      <c r="F4448" s="14"/>
      <c r="G4448" s="14"/>
      <c r="H4448" s="23"/>
      <c r="I4448" s="27"/>
      <c r="J4448" s="23"/>
      <c r="K4448" s="30"/>
      <c r="L4448" s="23"/>
      <c r="M4448" s="20"/>
      <c r="N4448" s="20"/>
      <c r="O4448" s="20"/>
      <c r="P4448" s="20"/>
    </row>
    <row r="4449">
      <c r="A4449" s="10"/>
      <c r="B4449" s="11"/>
      <c r="C4449" s="10"/>
      <c r="D4449" s="13"/>
      <c r="E4449" s="14"/>
      <c r="F4449" s="14"/>
      <c r="G4449" s="14"/>
      <c r="H4449" s="10"/>
      <c r="I4449" s="17"/>
      <c r="J4449" s="10"/>
      <c r="K4449" s="46"/>
      <c r="L4449" s="10"/>
      <c r="M4449" s="20"/>
      <c r="N4449" s="20"/>
      <c r="O4449" s="20"/>
      <c r="P4449" s="20"/>
    </row>
    <row r="4450">
      <c r="A4450" s="23"/>
      <c r="B4450" s="21"/>
      <c r="C4450" s="23"/>
      <c r="D4450" s="24"/>
      <c r="E4450" s="14"/>
      <c r="F4450" s="14"/>
      <c r="G4450" s="14"/>
      <c r="H4450" s="23"/>
      <c r="I4450" s="27"/>
      <c r="J4450" s="23"/>
      <c r="K4450" s="30"/>
      <c r="L4450" s="23"/>
      <c r="M4450" s="20"/>
      <c r="N4450" s="20"/>
      <c r="O4450" s="20"/>
      <c r="P4450" s="20"/>
    </row>
    <row r="4451">
      <c r="A4451" s="10"/>
      <c r="B4451" s="11"/>
      <c r="C4451" s="10"/>
      <c r="D4451" s="13"/>
      <c r="E4451" s="14"/>
      <c r="F4451" s="14"/>
      <c r="G4451" s="14"/>
      <c r="H4451" s="10"/>
      <c r="I4451" s="17"/>
      <c r="J4451" s="10"/>
      <c r="K4451" s="46"/>
      <c r="L4451" s="10"/>
      <c r="M4451" s="20"/>
      <c r="N4451" s="20"/>
      <c r="O4451" s="20"/>
      <c r="P4451" s="20"/>
    </row>
    <row r="4452">
      <c r="A4452" s="23"/>
      <c r="B4452" s="21"/>
      <c r="C4452" s="23"/>
      <c r="D4452" s="24"/>
      <c r="E4452" s="14"/>
      <c r="F4452" s="14"/>
      <c r="G4452" s="14"/>
      <c r="H4452" s="23"/>
      <c r="I4452" s="27"/>
      <c r="J4452" s="23"/>
      <c r="K4452" s="30"/>
      <c r="L4452" s="23"/>
      <c r="M4452" s="20"/>
      <c r="N4452" s="20"/>
      <c r="O4452" s="20"/>
      <c r="P4452" s="20"/>
    </row>
    <row r="4453">
      <c r="A4453" s="10"/>
      <c r="B4453" s="11"/>
      <c r="C4453" s="10"/>
      <c r="D4453" s="13"/>
      <c r="E4453" s="14"/>
      <c r="F4453" s="14"/>
      <c r="G4453" s="14"/>
      <c r="H4453" s="10"/>
      <c r="I4453" s="17"/>
      <c r="J4453" s="10"/>
      <c r="K4453" s="46"/>
      <c r="L4453" s="10"/>
      <c r="M4453" s="20"/>
      <c r="N4453" s="20"/>
      <c r="O4453" s="20"/>
      <c r="P4453" s="20"/>
    </row>
    <row r="4454">
      <c r="A4454" s="23"/>
      <c r="B4454" s="21"/>
      <c r="C4454" s="23"/>
      <c r="D4454" s="24"/>
      <c r="E4454" s="14"/>
      <c r="F4454" s="14"/>
      <c r="G4454" s="14"/>
      <c r="H4454" s="23"/>
      <c r="I4454" s="27"/>
      <c r="J4454" s="23"/>
      <c r="K4454" s="30"/>
      <c r="L4454" s="23"/>
      <c r="M4454" s="20"/>
      <c r="N4454" s="20"/>
      <c r="O4454" s="20"/>
      <c r="P4454" s="20"/>
    </row>
    <row r="4455">
      <c r="A4455" s="10"/>
      <c r="B4455" s="11"/>
      <c r="C4455" s="10"/>
      <c r="D4455" s="13"/>
      <c r="E4455" s="14"/>
      <c r="F4455" s="14"/>
      <c r="G4455" s="14"/>
      <c r="H4455" s="10"/>
      <c r="I4455" s="17"/>
      <c r="J4455" s="10"/>
      <c r="K4455" s="46"/>
      <c r="L4455" s="10"/>
      <c r="M4455" s="20"/>
      <c r="N4455" s="20"/>
      <c r="O4455" s="20"/>
      <c r="P4455" s="20"/>
    </row>
    <row r="4456">
      <c r="A4456" s="23"/>
      <c r="B4456" s="21"/>
      <c r="C4456" s="23"/>
      <c r="D4456" s="24"/>
      <c r="E4456" s="14"/>
      <c r="F4456" s="14"/>
      <c r="G4456" s="14"/>
      <c r="H4456" s="23"/>
      <c r="I4456" s="27"/>
      <c r="J4456" s="23"/>
      <c r="K4456" s="30"/>
      <c r="L4456" s="23"/>
      <c r="M4456" s="20"/>
      <c r="N4456" s="20"/>
      <c r="O4456" s="20"/>
      <c r="P4456" s="20"/>
    </row>
    <row r="4457">
      <c r="A4457" s="10"/>
      <c r="B4457" s="11"/>
      <c r="C4457" s="10"/>
      <c r="D4457" s="13"/>
      <c r="E4457" s="14"/>
      <c r="F4457" s="14"/>
      <c r="G4457" s="14"/>
      <c r="H4457" s="10"/>
      <c r="I4457" s="17"/>
      <c r="J4457" s="10"/>
      <c r="K4457" s="46"/>
      <c r="L4457" s="10"/>
      <c r="M4457" s="20"/>
      <c r="N4457" s="20"/>
      <c r="O4457" s="20"/>
      <c r="P4457" s="20"/>
    </row>
    <row r="4458">
      <c r="A4458" s="23"/>
      <c r="B4458" s="21"/>
      <c r="C4458" s="23"/>
      <c r="D4458" s="24"/>
      <c r="E4458" s="14"/>
      <c r="F4458" s="14"/>
      <c r="G4458" s="14"/>
      <c r="H4458" s="23"/>
      <c r="I4458" s="27"/>
      <c r="J4458" s="23"/>
      <c r="K4458" s="30"/>
      <c r="L4458" s="23"/>
      <c r="M4458" s="20"/>
      <c r="N4458" s="20"/>
      <c r="O4458" s="20"/>
      <c r="P4458" s="20"/>
    </row>
    <row r="4459">
      <c r="A4459" s="10"/>
      <c r="B4459" s="11"/>
      <c r="C4459" s="10"/>
      <c r="D4459" s="13"/>
      <c r="E4459" s="14"/>
      <c r="F4459" s="14"/>
      <c r="G4459" s="14"/>
      <c r="H4459" s="10"/>
      <c r="I4459" s="17"/>
      <c r="J4459" s="10"/>
      <c r="K4459" s="46"/>
      <c r="L4459" s="10"/>
      <c r="M4459" s="20"/>
      <c r="N4459" s="20"/>
      <c r="O4459" s="20"/>
      <c r="P4459" s="20"/>
    </row>
    <row r="4460">
      <c r="A4460" s="23"/>
      <c r="B4460" s="21"/>
      <c r="C4460" s="23"/>
      <c r="D4460" s="24"/>
      <c r="E4460" s="14"/>
      <c r="F4460" s="14"/>
      <c r="G4460" s="14"/>
      <c r="H4460" s="23"/>
      <c r="I4460" s="27"/>
      <c r="J4460" s="23"/>
      <c r="K4460" s="30"/>
      <c r="L4460" s="23"/>
      <c r="M4460" s="20"/>
      <c r="N4460" s="20"/>
      <c r="O4460" s="20"/>
      <c r="P4460" s="20"/>
    </row>
    <row r="4461">
      <c r="A4461" s="10"/>
      <c r="B4461" s="11"/>
      <c r="C4461" s="10"/>
      <c r="D4461" s="13"/>
      <c r="E4461" s="14"/>
      <c r="F4461" s="14"/>
      <c r="G4461" s="14"/>
      <c r="H4461" s="10"/>
      <c r="I4461" s="17"/>
      <c r="J4461" s="10"/>
      <c r="K4461" s="46"/>
      <c r="L4461" s="10"/>
      <c r="M4461" s="20"/>
      <c r="N4461" s="20"/>
      <c r="O4461" s="20"/>
      <c r="P4461" s="20"/>
    </row>
    <row r="4462">
      <c r="A4462" s="23"/>
      <c r="B4462" s="21"/>
      <c r="C4462" s="23"/>
      <c r="D4462" s="24"/>
      <c r="E4462" s="14"/>
      <c r="F4462" s="14"/>
      <c r="G4462" s="14"/>
      <c r="H4462" s="23"/>
      <c r="I4462" s="27"/>
      <c r="J4462" s="23"/>
      <c r="K4462" s="30"/>
      <c r="L4462" s="23"/>
      <c r="M4462" s="20"/>
      <c r="N4462" s="20"/>
      <c r="O4462" s="20"/>
      <c r="P4462" s="20"/>
    </row>
    <row r="4463">
      <c r="A4463" s="10"/>
      <c r="B4463" s="11"/>
      <c r="C4463" s="10"/>
      <c r="D4463" s="13"/>
      <c r="E4463" s="14"/>
      <c r="F4463" s="14"/>
      <c r="G4463" s="14"/>
      <c r="H4463" s="10"/>
      <c r="I4463" s="17"/>
      <c r="J4463" s="10"/>
      <c r="K4463" s="46"/>
      <c r="L4463" s="10"/>
      <c r="M4463" s="20"/>
      <c r="N4463" s="20"/>
      <c r="O4463" s="20"/>
      <c r="P4463" s="20"/>
    </row>
    <row r="4464">
      <c r="A4464" s="23"/>
      <c r="B4464" s="21"/>
      <c r="C4464" s="23"/>
      <c r="D4464" s="24"/>
      <c r="E4464" s="14"/>
      <c r="F4464" s="14"/>
      <c r="G4464" s="14"/>
      <c r="H4464" s="23"/>
      <c r="I4464" s="27"/>
      <c r="J4464" s="23"/>
      <c r="K4464" s="30"/>
      <c r="L4464" s="23"/>
      <c r="M4464" s="20"/>
      <c r="N4464" s="20"/>
      <c r="O4464" s="20"/>
      <c r="P4464" s="20"/>
    </row>
    <row r="4465">
      <c r="A4465" s="10"/>
      <c r="B4465" s="11"/>
      <c r="C4465" s="10"/>
      <c r="D4465" s="13"/>
      <c r="E4465" s="14"/>
      <c r="F4465" s="14"/>
      <c r="G4465" s="14"/>
      <c r="H4465" s="10"/>
      <c r="I4465" s="17"/>
      <c r="J4465" s="10"/>
      <c r="K4465" s="46"/>
      <c r="L4465" s="10"/>
      <c r="M4465" s="20"/>
      <c r="N4465" s="20"/>
      <c r="O4465" s="20"/>
      <c r="P4465" s="20"/>
    </row>
    <row r="4466">
      <c r="A4466" s="23"/>
      <c r="B4466" s="21"/>
      <c r="C4466" s="23"/>
      <c r="D4466" s="24"/>
      <c r="E4466" s="14"/>
      <c r="F4466" s="14"/>
      <c r="G4466" s="14"/>
      <c r="H4466" s="23"/>
      <c r="I4466" s="27"/>
      <c r="J4466" s="23"/>
      <c r="K4466" s="30"/>
      <c r="L4466" s="23"/>
      <c r="M4466" s="20"/>
      <c r="N4466" s="20"/>
      <c r="O4466" s="20"/>
      <c r="P4466" s="20"/>
    </row>
    <row r="4467">
      <c r="A4467" s="10"/>
      <c r="B4467" s="11"/>
      <c r="C4467" s="10"/>
      <c r="D4467" s="13"/>
      <c r="E4467" s="14"/>
      <c r="F4467" s="14"/>
      <c r="G4467" s="14"/>
      <c r="H4467" s="10"/>
      <c r="I4467" s="17"/>
      <c r="J4467" s="10"/>
      <c r="K4467" s="46"/>
      <c r="L4467" s="10"/>
      <c r="M4467" s="20"/>
      <c r="N4467" s="20"/>
      <c r="O4467" s="20"/>
      <c r="P4467" s="20"/>
    </row>
    <row r="4468">
      <c r="A4468" s="23"/>
      <c r="B4468" s="21"/>
      <c r="C4468" s="23"/>
      <c r="D4468" s="24"/>
      <c r="E4468" s="14"/>
      <c r="F4468" s="14"/>
      <c r="G4468" s="14"/>
      <c r="H4468" s="23"/>
      <c r="I4468" s="27"/>
      <c r="J4468" s="23"/>
      <c r="K4468" s="30"/>
      <c r="L4468" s="23"/>
      <c r="M4468" s="20"/>
      <c r="N4468" s="20"/>
      <c r="O4468" s="20"/>
      <c r="P4468" s="20"/>
    </row>
    <row r="4469">
      <c r="A4469" s="10"/>
      <c r="B4469" s="11"/>
      <c r="C4469" s="10"/>
      <c r="D4469" s="13"/>
      <c r="E4469" s="14"/>
      <c r="F4469" s="14"/>
      <c r="G4469" s="14"/>
      <c r="H4469" s="10"/>
      <c r="I4469" s="17"/>
      <c r="J4469" s="10"/>
      <c r="K4469" s="46"/>
      <c r="L4469" s="10"/>
      <c r="M4469" s="20"/>
      <c r="N4469" s="20"/>
      <c r="O4469" s="20"/>
      <c r="P4469" s="20"/>
    </row>
    <row r="4470">
      <c r="A4470" s="23"/>
      <c r="B4470" s="21"/>
      <c r="C4470" s="23"/>
      <c r="D4470" s="24"/>
      <c r="E4470" s="14"/>
      <c r="F4470" s="14"/>
      <c r="G4470" s="14"/>
      <c r="H4470" s="23"/>
      <c r="I4470" s="27"/>
      <c r="J4470" s="23"/>
      <c r="K4470" s="30"/>
      <c r="L4470" s="23"/>
      <c r="M4470" s="20"/>
      <c r="N4470" s="20"/>
      <c r="O4470" s="20"/>
      <c r="P4470" s="20"/>
    </row>
    <row r="4471">
      <c r="A4471" s="10"/>
      <c r="B4471" s="11"/>
      <c r="C4471" s="10"/>
      <c r="D4471" s="13"/>
      <c r="E4471" s="14"/>
      <c r="F4471" s="14"/>
      <c r="G4471" s="14"/>
      <c r="H4471" s="10"/>
      <c r="I4471" s="17"/>
      <c r="J4471" s="10"/>
      <c r="K4471" s="46"/>
      <c r="L4471" s="10"/>
      <c r="M4471" s="20"/>
      <c r="N4471" s="20"/>
      <c r="O4471" s="20"/>
      <c r="P4471" s="20"/>
    </row>
    <row r="4472">
      <c r="A4472" s="23"/>
      <c r="B4472" s="21"/>
      <c r="C4472" s="23"/>
      <c r="D4472" s="24"/>
      <c r="E4472" s="14"/>
      <c r="F4472" s="14"/>
      <c r="G4472" s="14"/>
      <c r="H4472" s="23"/>
      <c r="I4472" s="27"/>
      <c r="J4472" s="23"/>
      <c r="K4472" s="30"/>
      <c r="L4472" s="23"/>
      <c r="M4472" s="20"/>
      <c r="N4472" s="20"/>
      <c r="O4472" s="20"/>
      <c r="P4472" s="20"/>
    </row>
    <row r="4473">
      <c r="A4473" s="10"/>
      <c r="B4473" s="11"/>
      <c r="C4473" s="10"/>
      <c r="D4473" s="13"/>
      <c r="E4473" s="14"/>
      <c r="F4473" s="14"/>
      <c r="G4473" s="14"/>
      <c r="H4473" s="10"/>
      <c r="I4473" s="17"/>
      <c r="J4473" s="10"/>
      <c r="K4473" s="46"/>
      <c r="L4473" s="10"/>
      <c r="M4473" s="20"/>
      <c r="N4473" s="20"/>
      <c r="O4473" s="20"/>
      <c r="P4473" s="20"/>
    </row>
    <row r="4474">
      <c r="A4474" s="23"/>
      <c r="B4474" s="21"/>
      <c r="C4474" s="23"/>
      <c r="D4474" s="24"/>
      <c r="E4474" s="14"/>
      <c r="F4474" s="14"/>
      <c r="G4474" s="14"/>
      <c r="H4474" s="23"/>
      <c r="I4474" s="27"/>
      <c r="J4474" s="23"/>
      <c r="K4474" s="30"/>
      <c r="L4474" s="23"/>
      <c r="M4474" s="20"/>
      <c r="N4474" s="20"/>
      <c r="O4474" s="20"/>
      <c r="P4474" s="20"/>
    </row>
    <row r="4475">
      <c r="A4475" s="10"/>
      <c r="B4475" s="11"/>
      <c r="C4475" s="10"/>
      <c r="D4475" s="13"/>
      <c r="E4475" s="14"/>
      <c r="F4475" s="14"/>
      <c r="G4475" s="14"/>
      <c r="H4475" s="10"/>
      <c r="I4475" s="17"/>
      <c r="J4475" s="10"/>
      <c r="K4475" s="46"/>
      <c r="L4475" s="10"/>
      <c r="M4475" s="20"/>
      <c r="N4475" s="20"/>
      <c r="O4475" s="20"/>
      <c r="P4475" s="20"/>
    </row>
    <row r="4476">
      <c r="A4476" s="23"/>
      <c r="B4476" s="21"/>
      <c r="C4476" s="23"/>
      <c r="D4476" s="24"/>
      <c r="E4476" s="14"/>
      <c r="F4476" s="14"/>
      <c r="G4476" s="14"/>
      <c r="H4476" s="23"/>
      <c r="I4476" s="27"/>
      <c r="J4476" s="23"/>
      <c r="K4476" s="30"/>
      <c r="L4476" s="23"/>
      <c r="M4476" s="20"/>
      <c r="N4476" s="20"/>
      <c r="O4476" s="20"/>
      <c r="P4476" s="20"/>
    </row>
    <row r="4477">
      <c r="A4477" s="10"/>
      <c r="B4477" s="11"/>
      <c r="C4477" s="10"/>
      <c r="D4477" s="13"/>
      <c r="E4477" s="14"/>
      <c r="F4477" s="14"/>
      <c r="G4477" s="14"/>
      <c r="H4477" s="10"/>
      <c r="I4477" s="17"/>
      <c r="J4477" s="10"/>
      <c r="K4477" s="46"/>
      <c r="L4477" s="10"/>
      <c r="M4477" s="20"/>
      <c r="N4477" s="20"/>
      <c r="O4477" s="20"/>
      <c r="P4477" s="20"/>
    </row>
    <row r="4478">
      <c r="A4478" s="23"/>
      <c r="B4478" s="21"/>
      <c r="C4478" s="23"/>
      <c r="D4478" s="24"/>
      <c r="E4478" s="14"/>
      <c r="F4478" s="14"/>
      <c r="G4478" s="14"/>
      <c r="H4478" s="23"/>
      <c r="I4478" s="27"/>
      <c r="J4478" s="23"/>
      <c r="K4478" s="30"/>
      <c r="L4478" s="23"/>
      <c r="M4478" s="20"/>
      <c r="N4478" s="20"/>
      <c r="O4478" s="20"/>
      <c r="P4478" s="20"/>
    </row>
    <row r="4479">
      <c r="A4479" s="10"/>
      <c r="B4479" s="11"/>
      <c r="C4479" s="10"/>
      <c r="D4479" s="13"/>
      <c r="E4479" s="14"/>
      <c r="F4479" s="14"/>
      <c r="G4479" s="14"/>
      <c r="H4479" s="10"/>
      <c r="I4479" s="17"/>
      <c r="J4479" s="10"/>
      <c r="K4479" s="46"/>
      <c r="L4479" s="10"/>
      <c r="M4479" s="20"/>
      <c r="N4479" s="20"/>
      <c r="O4479" s="20"/>
      <c r="P4479" s="20"/>
    </row>
    <row r="4480">
      <c r="A4480" s="23"/>
      <c r="B4480" s="21"/>
      <c r="C4480" s="23"/>
      <c r="D4480" s="24"/>
      <c r="E4480" s="14"/>
      <c r="F4480" s="14"/>
      <c r="G4480" s="14"/>
      <c r="H4480" s="23"/>
      <c r="I4480" s="27"/>
      <c r="J4480" s="23"/>
      <c r="K4480" s="30"/>
      <c r="L4480" s="23"/>
      <c r="M4480" s="20"/>
      <c r="N4480" s="20"/>
      <c r="O4480" s="20"/>
      <c r="P4480" s="20"/>
    </row>
    <row r="4481">
      <c r="A4481" s="10"/>
      <c r="B4481" s="11"/>
      <c r="C4481" s="10"/>
      <c r="D4481" s="13"/>
      <c r="E4481" s="14"/>
      <c r="F4481" s="14"/>
      <c r="G4481" s="14"/>
      <c r="H4481" s="10"/>
      <c r="I4481" s="17"/>
      <c r="J4481" s="10"/>
      <c r="K4481" s="46"/>
      <c r="L4481" s="10"/>
      <c r="M4481" s="20"/>
      <c r="N4481" s="20"/>
      <c r="O4481" s="20"/>
      <c r="P4481" s="20"/>
    </row>
    <row r="4482">
      <c r="A4482" s="23"/>
      <c r="B4482" s="21"/>
      <c r="C4482" s="23"/>
      <c r="D4482" s="24"/>
      <c r="E4482" s="14"/>
      <c r="F4482" s="14"/>
      <c r="G4482" s="14"/>
      <c r="H4482" s="23"/>
      <c r="I4482" s="27"/>
      <c r="J4482" s="23"/>
      <c r="K4482" s="30"/>
      <c r="L4482" s="23"/>
      <c r="M4482" s="20"/>
      <c r="N4482" s="20"/>
      <c r="O4482" s="20"/>
      <c r="P4482" s="20"/>
    </row>
    <row r="4483">
      <c r="A4483" s="10"/>
      <c r="B4483" s="11"/>
      <c r="C4483" s="10"/>
      <c r="D4483" s="13"/>
      <c r="E4483" s="14"/>
      <c r="F4483" s="14"/>
      <c r="G4483" s="14"/>
      <c r="H4483" s="10"/>
      <c r="I4483" s="17"/>
      <c r="J4483" s="10"/>
      <c r="K4483" s="46"/>
      <c r="L4483" s="10"/>
      <c r="M4483" s="20"/>
      <c r="N4483" s="20"/>
      <c r="O4483" s="20"/>
      <c r="P4483" s="20"/>
    </row>
    <row r="4484">
      <c r="A4484" s="23"/>
      <c r="B4484" s="21"/>
      <c r="C4484" s="23"/>
      <c r="D4484" s="24"/>
      <c r="E4484" s="14"/>
      <c r="F4484" s="14"/>
      <c r="G4484" s="14"/>
      <c r="H4484" s="23"/>
      <c r="I4484" s="27"/>
      <c r="J4484" s="23"/>
      <c r="K4484" s="30"/>
      <c r="L4484" s="23"/>
      <c r="M4484" s="20"/>
      <c r="N4484" s="20"/>
      <c r="O4484" s="20"/>
      <c r="P4484" s="20"/>
    </row>
    <row r="4485">
      <c r="A4485" s="10"/>
      <c r="B4485" s="11"/>
      <c r="C4485" s="10"/>
      <c r="D4485" s="13"/>
      <c r="E4485" s="14"/>
      <c r="F4485" s="14"/>
      <c r="G4485" s="14"/>
      <c r="H4485" s="10"/>
      <c r="I4485" s="17"/>
      <c r="J4485" s="10"/>
      <c r="K4485" s="46"/>
      <c r="L4485" s="10"/>
      <c r="M4485" s="20"/>
      <c r="N4485" s="20"/>
      <c r="O4485" s="20"/>
      <c r="P4485" s="20"/>
    </row>
    <row r="4486">
      <c r="A4486" s="23"/>
      <c r="B4486" s="21"/>
      <c r="C4486" s="23"/>
      <c r="D4486" s="24"/>
      <c r="E4486" s="14"/>
      <c r="F4486" s="14"/>
      <c r="G4486" s="14"/>
      <c r="H4486" s="23"/>
      <c r="I4486" s="27"/>
      <c r="J4486" s="23"/>
      <c r="K4486" s="30"/>
      <c r="L4486" s="23"/>
      <c r="M4486" s="20"/>
      <c r="N4486" s="20"/>
      <c r="O4486" s="20"/>
      <c r="P4486" s="20"/>
    </row>
    <row r="4487">
      <c r="A4487" s="10"/>
      <c r="B4487" s="11"/>
      <c r="C4487" s="10"/>
      <c r="D4487" s="13"/>
      <c r="E4487" s="14"/>
      <c r="F4487" s="14"/>
      <c r="G4487" s="14"/>
      <c r="H4487" s="10"/>
      <c r="I4487" s="17"/>
      <c r="J4487" s="10"/>
      <c r="K4487" s="46"/>
      <c r="L4487" s="10"/>
      <c r="M4487" s="20"/>
      <c r="N4487" s="20"/>
      <c r="O4487" s="20"/>
      <c r="P4487" s="20"/>
    </row>
    <row r="4488">
      <c r="A4488" s="23"/>
      <c r="B4488" s="21"/>
      <c r="C4488" s="23"/>
      <c r="D4488" s="24"/>
      <c r="E4488" s="14"/>
      <c r="F4488" s="14"/>
      <c r="G4488" s="14"/>
      <c r="H4488" s="23"/>
      <c r="I4488" s="27"/>
      <c r="J4488" s="23"/>
      <c r="K4488" s="30"/>
      <c r="L4488" s="23"/>
      <c r="M4488" s="20"/>
      <c r="N4488" s="20"/>
      <c r="O4488" s="20"/>
      <c r="P4488" s="20"/>
    </row>
    <row r="4489">
      <c r="A4489" s="10"/>
      <c r="B4489" s="11"/>
      <c r="C4489" s="10"/>
      <c r="D4489" s="13"/>
      <c r="E4489" s="14"/>
      <c r="F4489" s="14"/>
      <c r="G4489" s="14"/>
      <c r="H4489" s="10"/>
      <c r="I4489" s="17"/>
      <c r="J4489" s="10"/>
      <c r="K4489" s="46"/>
      <c r="L4489" s="10"/>
      <c r="M4489" s="20"/>
      <c r="N4489" s="20"/>
      <c r="O4489" s="20"/>
      <c r="P4489" s="20"/>
    </row>
    <row r="4490">
      <c r="A4490" s="23"/>
      <c r="B4490" s="21"/>
      <c r="C4490" s="23"/>
      <c r="D4490" s="24"/>
      <c r="E4490" s="14"/>
      <c r="F4490" s="14"/>
      <c r="G4490" s="14"/>
      <c r="H4490" s="23"/>
      <c r="I4490" s="27"/>
      <c r="J4490" s="23"/>
      <c r="K4490" s="30"/>
      <c r="L4490" s="23"/>
      <c r="M4490" s="20"/>
      <c r="N4490" s="20"/>
      <c r="O4490" s="20"/>
      <c r="P4490" s="20"/>
    </row>
    <row r="4491">
      <c r="A4491" s="10"/>
      <c r="B4491" s="11"/>
      <c r="C4491" s="10"/>
      <c r="D4491" s="13"/>
      <c r="E4491" s="14"/>
      <c r="F4491" s="14"/>
      <c r="G4491" s="14"/>
      <c r="H4491" s="10"/>
      <c r="I4491" s="17"/>
      <c r="J4491" s="10"/>
      <c r="K4491" s="46"/>
      <c r="L4491" s="10"/>
      <c r="M4491" s="20"/>
      <c r="N4491" s="20"/>
      <c r="O4491" s="20"/>
      <c r="P4491" s="20"/>
    </row>
    <row r="4492">
      <c r="A4492" s="23"/>
      <c r="B4492" s="21"/>
      <c r="C4492" s="23"/>
      <c r="D4492" s="24"/>
      <c r="E4492" s="14"/>
      <c r="F4492" s="14"/>
      <c r="G4492" s="14"/>
      <c r="H4492" s="23"/>
      <c r="I4492" s="27"/>
      <c r="J4492" s="23"/>
      <c r="K4492" s="30"/>
      <c r="L4492" s="23"/>
      <c r="M4492" s="20"/>
      <c r="N4492" s="20"/>
      <c r="O4492" s="20"/>
      <c r="P4492" s="20"/>
    </row>
    <row r="4493">
      <c r="A4493" s="10"/>
      <c r="B4493" s="11"/>
      <c r="C4493" s="10"/>
      <c r="D4493" s="13"/>
      <c r="E4493" s="14"/>
      <c r="F4493" s="14"/>
      <c r="G4493" s="14"/>
      <c r="H4493" s="10"/>
      <c r="I4493" s="17"/>
      <c r="J4493" s="10"/>
      <c r="K4493" s="46"/>
      <c r="L4493" s="10"/>
      <c r="M4493" s="20"/>
      <c r="N4493" s="20"/>
      <c r="O4493" s="20"/>
      <c r="P4493" s="20"/>
    </row>
    <row r="4494">
      <c r="A4494" s="23"/>
      <c r="B4494" s="21"/>
      <c r="C4494" s="23"/>
      <c r="D4494" s="24"/>
      <c r="E4494" s="14"/>
      <c r="F4494" s="14"/>
      <c r="G4494" s="14"/>
      <c r="H4494" s="23"/>
      <c r="I4494" s="27"/>
      <c r="J4494" s="23"/>
      <c r="K4494" s="30"/>
      <c r="L4494" s="23"/>
      <c r="M4494" s="20"/>
      <c r="N4494" s="20"/>
      <c r="O4494" s="20"/>
      <c r="P4494" s="20"/>
    </row>
    <row r="4495">
      <c r="A4495" s="10"/>
      <c r="B4495" s="11"/>
      <c r="C4495" s="10"/>
      <c r="D4495" s="13"/>
      <c r="E4495" s="14"/>
      <c r="F4495" s="14"/>
      <c r="G4495" s="14"/>
      <c r="H4495" s="10"/>
      <c r="I4495" s="17"/>
      <c r="J4495" s="10"/>
      <c r="K4495" s="46"/>
      <c r="L4495" s="10"/>
      <c r="M4495" s="20"/>
      <c r="N4495" s="20"/>
      <c r="O4495" s="20"/>
      <c r="P4495" s="20"/>
    </row>
    <row r="4496">
      <c r="A4496" s="23"/>
      <c r="B4496" s="21"/>
      <c r="C4496" s="23"/>
      <c r="D4496" s="24"/>
      <c r="E4496" s="14"/>
      <c r="F4496" s="14"/>
      <c r="G4496" s="14"/>
      <c r="H4496" s="23"/>
      <c r="I4496" s="27"/>
      <c r="J4496" s="23"/>
      <c r="K4496" s="30"/>
      <c r="L4496" s="23"/>
      <c r="M4496" s="20"/>
      <c r="N4496" s="20"/>
      <c r="O4496" s="20"/>
      <c r="P4496" s="20"/>
    </row>
    <row r="4497">
      <c r="A4497" s="10"/>
      <c r="B4497" s="11"/>
      <c r="C4497" s="10"/>
      <c r="D4497" s="13"/>
      <c r="E4497" s="14"/>
      <c r="F4497" s="14"/>
      <c r="G4497" s="14"/>
      <c r="H4497" s="10"/>
      <c r="I4497" s="17"/>
      <c r="J4497" s="10"/>
      <c r="K4497" s="46"/>
      <c r="L4497" s="10"/>
      <c r="M4497" s="20"/>
      <c r="N4497" s="20"/>
      <c r="O4497" s="20"/>
      <c r="P4497" s="20"/>
    </row>
    <row r="4498">
      <c r="A4498" s="23"/>
      <c r="B4498" s="21"/>
      <c r="C4498" s="23"/>
      <c r="D4498" s="24"/>
      <c r="E4498" s="14"/>
      <c r="F4498" s="14"/>
      <c r="G4498" s="14"/>
      <c r="H4498" s="23"/>
      <c r="I4498" s="27"/>
      <c r="J4498" s="23"/>
      <c r="K4498" s="30"/>
      <c r="L4498" s="23"/>
      <c r="M4498" s="20"/>
      <c r="N4498" s="20"/>
      <c r="O4498" s="20"/>
      <c r="P4498" s="20"/>
    </row>
    <row r="4499">
      <c r="A4499" s="10"/>
      <c r="B4499" s="11"/>
      <c r="C4499" s="10"/>
      <c r="D4499" s="13"/>
      <c r="E4499" s="14"/>
      <c r="F4499" s="14"/>
      <c r="G4499" s="14"/>
      <c r="H4499" s="10"/>
      <c r="I4499" s="17"/>
      <c r="J4499" s="10"/>
      <c r="K4499" s="46"/>
      <c r="L4499" s="10"/>
      <c r="M4499" s="20"/>
      <c r="N4499" s="20"/>
      <c r="O4499" s="20"/>
      <c r="P4499" s="20"/>
    </row>
    <row r="4500">
      <c r="A4500" s="23"/>
      <c r="B4500" s="21"/>
      <c r="C4500" s="23"/>
      <c r="D4500" s="24"/>
      <c r="E4500" s="14"/>
      <c r="F4500" s="14"/>
      <c r="G4500" s="14"/>
      <c r="H4500" s="23"/>
      <c r="I4500" s="27"/>
      <c r="J4500" s="23"/>
      <c r="K4500" s="30"/>
      <c r="L4500" s="23"/>
      <c r="M4500" s="20"/>
      <c r="N4500" s="20"/>
      <c r="O4500" s="20"/>
      <c r="P4500" s="20"/>
    </row>
    <row r="4501">
      <c r="A4501" s="10"/>
      <c r="B4501" s="11"/>
      <c r="C4501" s="10"/>
      <c r="D4501" s="13"/>
      <c r="E4501" s="14"/>
      <c r="F4501" s="14"/>
      <c r="G4501" s="14"/>
      <c r="H4501" s="10"/>
      <c r="I4501" s="17"/>
      <c r="J4501" s="10"/>
      <c r="K4501" s="46"/>
      <c r="L4501" s="10"/>
      <c r="M4501" s="20"/>
      <c r="N4501" s="20"/>
      <c r="O4501" s="20"/>
      <c r="P4501" s="20"/>
    </row>
    <row r="4502">
      <c r="A4502" s="23"/>
      <c r="B4502" s="21"/>
      <c r="C4502" s="23"/>
      <c r="D4502" s="24"/>
      <c r="E4502" s="14"/>
      <c r="F4502" s="14"/>
      <c r="G4502" s="14"/>
      <c r="H4502" s="23"/>
      <c r="I4502" s="27"/>
      <c r="J4502" s="23"/>
      <c r="K4502" s="30"/>
      <c r="L4502" s="23"/>
      <c r="M4502" s="20"/>
      <c r="N4502" s="20"/>
      <c r="O4502" s="20"/>
      <c r="P4502" s="20"/>
    </row>
    <row r="4503">
      <c r="A4503" s="10"/>
      <c r="B4503" s="11"/>
      <c r="C4503" s="10"/>
      <c r="D4503" s="13"/>
      <c r="E4503" s="14"/>
      <c r="F4503" s="14"/>
      <c r="G4503" s="14"/>
      <c r="H4503" s="10"/>
      <c r="I4503" s="17"/>
      <c r="J4503" s="10"/>
      <c r="K4503" s="46"/>
      <c r="L4503" s="10"/>
      <c r="M4503" s="20"/>
      <c r="N4503" s="20"/>
      <c r="O4503" s="20"/>
      <c r="P4503" s="20"/>
    </row>
    <row r="4504">
      <c r="A4504" s="23"/>
      <c r="B4504" s="21"/>
      <c r="C4504" s="23"/>
      <c r="D4504" s="24"/>
      <c r="E4504" s="14"/>
      <c r="F4504" s="14"/>
      <c r="G4504" s="14"/>
      <c r="H4504" s="23"/>
      <c r="I4504" s="27"/>
      <c r="J4504" s="23"/>
      <c r="K4504" s="30"/>
      <c r="L4504" s="23"/>
      <c r="M4504" s="20"/>
      <c r="N4504" s="20"/>
      <c r="O4504" s="20"/>
      <c r="P4504" s="20"/>
    </row>
    <row r="4505">
      <c r="A4505" s="10"/>
      <c r="B4505" s="11"/>
      <c r="C4505" s="10"/>
      <c r="D4505" s="13"/>
      <c r="E4505" s="14"/>
      <c r="F4505" s="14"/>
      <c r="G4505" s="14"/>
      <c r="H4505" s="10"/>
      <c r="I4505" s="17"/>
      <c r="J4505" s="10"/>
      <c r="K4505" s="46"/>
      <c r="L4505" s="10"/>
      <c r="M4505" s="20"/>
      <c r="N4505" s="20"/>
      <c r="O4505" s="20"/>
      <c r="P4505" s="20"/>
    </row>
    <row r="4506">
      <c r="A4506" s="23"/>
      <c r="B4506" s="21"/>
      <c r="C4506" s="23"/>
      <c r="D4506" s="24"/>
      <c r="E4506" s="14"/>
      <c r="F4506" s="14"/>
      <c r="G4506" s="14"/>
      <c r="H4506" s="23"/>
      <c r="I4506" s="27"/>
      <c r="J4506" s="23"/>
      <c r="K4506" s="30"/>
      <c r="L4506" s="23"/>
      <c r="M4506" s="20"/>
      <c r="N4506" s="20"/>
      <c r="O4506" s="20"/>
      <c r="P4506" s="20"/>
    </row>
    <row r="4507">
      <c r="A4507" s="10"/>
      <c r="B4507" s="11"/>
      <c r="C4507" s="10"/>
      <c r="D4507" s="13"/>
      <c r="E4507" s="14"/>
      <c r="F4507" s="14"/>
      <c r="G4507" s="14"/>
      <c r="H4507" s="10"/>
      <c r="I4507" s="17"/>
      <c r="J4507" s="10"/>
      <c r="K4507" s="46"/>
      <c r="L4507" s="10"/>
      <c r="M4507" s="20"/>
      <c r="N4507" s="20"/>
      <c r="O4507" s="20"/>
      <c r="P4507" s="20"/>
    </row>
    <row r="4508">
      <c r="A4508" s="23"/>
      <c r="B4508" s="21"/>
      <c r="C4508" s="23"/>
      <c r="D4508" s="24"/>
      <c r="E4508" s="14"/>
      <c r="F4508" s="14"/>
      <c r="G4508" s="14"/>
      <c r="H4508" s="23"/>
      <c r="I4508" s="27"/>
      <c r="J4508" s="23"/>
      <c r="K4508" s="30"/>
      <c r="L4508" s="23"/>
      <c r="M4508" s="20"/>
      <c r="N4508" s="20"/>
      <c r="O4508" s="20"/>
      <c r="P4508" s="20"/>
    </row>
    <row r="4509">
      <c r="A4509" s="10"/>
      <c r="B4509" s="11"/>
      <c r="C4509" s="10"/>
      <c r="D4509" s="13"/>
      <c r="E4509" s="14"/>
      <c r="F4509" s="14"/>
      <c r="G4509" s="14"/>
      <c r="H4509" s="10"/>
      <c r="I4509" s="17"/>
      <c r="J4509" s="10"/>
      <c r="K4509" s="46"/>
      <c r="L4509" s="10"/>
      <c r="M4509" s="20"/>
      <c r="N4509" s="20"/>
      <c r="O4509" s="20"/>
      <c r="P4509" s="20"/>
    </row>
    <row r="4510">
      <c r="A4510" s="23"/>
      <c r="B4510" s="21"/>
      <c r="C4510" s="23"/>
      <c r="D4510" s="24"/>
      <c r="E4510" s="14"/>
      <c r="F4510" s="14"/>
      <c r="G4510" s="14"/>
      <c r="H4510" s="23"/>
      <c r="I4510" s="27"/>
      <c r="J4510" s="23"/>
      <c r="K4510" s="30"/>
      <c r="L4510" s="23"/>
      <c r="M4510" s="20"/>
      <c r="N4510" s="20"/>
      <c r="O4510" s="20"/>
      <c r="P4510" s="20"/>
    </row>
    <row r="4511">
      <c r="A4511" s="10"/>
      <c r="B4511" s="11"/>
      <c r="C4511" s="10"/>
      <c r="D4511" s="13"/>
      <c r="E4511" s="14"/>
      <c r="F4511" s="14"/>
      <c r="G4511" s="14"/>
      <c r="H4511" s="10"/>
      <c r="I4511" s="17"/>
      <c r="J4511" s="10"/>
      <c r="K4511" s="46"/>
      <c r="L4511" s="10"/>
      <c r="M4511" s="20"/>
      <c r="N4511" s="20"/>
      <c r="O4511" s="20"/>
      <c r="P4511" s="20"/>
    </row>
    <row r="4512">
      <c r="A4512" s="23"/>
      <c r="B4512" s="21"/>
      <c r="C4512" s="23"/>
      <c r="D4512" s="24"/>
      <c r="E4512" s="14"/>
      <c r="F4512" s="14"/>
      <c r="G4512" s="14"/>
      <c r="H4512" s="23"/>
      <c r="I4512" s="27"/>
      <c r="J4512" s="23"/>
      <c r="K4512" s="30"/>
      <c r="L4512" s="23"/>
      <c r="M4512" s="20"/>
      <c r="N4512" s="20"/>
      <c r="O4512" s="20"/>
      <c r="P4512" s="20"/>
    </row>
    <row r="4513">
      <c r="A4513" s="10"/>
      <c r="B4513" s="11"/>
      <c r="C4513" s="10"/>
      <c r="D4513" s="13"/>
      <c r="E4513" s="14"/>
      <c r="F4513" s="14"/>
      <c r="G4513" s="14"/>
      <c r="H4513" s="10"/>
      <c r="I4513" s="17"/>
      <c r="J4513" s="10"/>
      <c r="K4513" s="46"/>
      <c r="L4513" s="10"/>
      <c r="M4513" s="20"/>
      <c r="N4513" s="20"/>
      <c r="O4513" s="20"/>
      <c r="P4513" s="20"/>
    </row>
    <row r="4514">
      <c r="A4514" s="23"/>
      <c r="B4514" s="21"/>
      <c r="C4514" s="23"/>
      <c r="D4514" s="24"/>
      <c r="E4514" s="14"/>
      <c r="F4514" s="14"/>
      <c r="G4514" s="14"/>
      <c r="H4514" s="23"/>
      <c r="I4514" s="27"/>
      <c r="J4514" s="23"/>
      <c r="K4514" s="30"/>
      <c r="L4514" s="23"/>
      <c r="M4514" s="20"/>
      <c r="N4514" s="20"/>
      <c r="O4514" s="20"/>
      <c r="P4514" s="20"/>
    </row>
    <row r="4515">
      <c r="A4515" s="10"/>
      <c r="B4515" s="11"/>
      <c r="C4515" s="10"/>
      <c r="D4515" s="13"/>
      <c r="E4515" s="14"/>
      <c r="F4515" s="14"/>
      <c r="G4515" s="14"/>
      <c r="H4515" s="10"/>
      <c r="I4515" s="17"/>
      <c r="J4515" s="10"/>
      <c r="K4515" s="46"/>
      <c r="L4515" s="10"/>
      <c r="M4515" s="20"/>
      <c r="N4515" s="20"/>
      <c r="O4515" s="20"/>
      <c r="P4515" s="20"/>
    </row>
    <row r="4516">
      <c r="A4516" s="23"/>
      <c r="B4516" s="21"/>
      <c r="C4516" s="23"/>
      <c r="D4516" s="24"/>
      <c r="E4516" s="14"/>
      <c r="F4516" s="14"/>
      <c r="G4516" s="14"/>
      <c r="H4516" s="23"/>
      <c r="I4516" s="27"/>
      <c r="J4516" s="23"/>
      <c r="K4516" s="30"/>
      <c r="L4516" s="23"/>
      <c r="M4516" s="20"/>
      <c r="N4516" s="20"/>
      <c r="O4516" s="20"/>
      <c r="P4516" s="20"/>
    </row>
    <row r="4517">
      <c r="A4517" s="10"/>
      <c r="B4517" s="11"/>
      <c r="C4517" s="10"/>
      <c r="D4517" s="13"/>
      <c r="E4517" s="14"/>
      <c r="F4517" s="14"/>
      <c r="G4517" s="14"/>
      <c r="H4517" s="10"/>
      <c r="I4517" s="17"/>
      <c r="J4517" s="10"/>
      <c r="K4517" s="46"/>
      <c r="L4517" s="10"/>
      <c r="M4517" s="20"/>
      <c r="N4517" s="20"/>
      <c r="O4517" s="20"/>
      <c r="P4517" s="20"/>
    </row>
    <row r="4518">
      <c r="A4518" s="23"/>
      <c r="B4518" s="21"/>
      <c r="C4518" s="23"/>
      <c r="D4518" s="24"/>
      <c r="E4518" s="14"/>
      <c r="F4518" s="14"/>
      <c r="G4518" s="14"/>
      <c r="H4518" s="23"/>
      <c r="I4518" s="27"/>
      <c r="J4518" s="23"/>
      <c r="K4518" s="30"/>
      <c r="L4518" s="23"/>
      <c r="M4518" s="20"/>
      <c r="N4518" s="20"/>
      <c r="O4518" s="20"/>
      <c r="P4518" s="20"/>
    </row>
    <row r="4519">
      <c r="A4519" s="10"/>
      <c r="B4519" s="11"/>
      <c r="C4519" s="10"/>
      <c r="D4519" s="13"/>
      <c r="E4519" s="14"/>
      <c r="F4519" s="14"/>
      <c r="G4519" s="14"/>
      <c r="H4519" s="10"/>
      <c r="I4519" s="17"/>
      <c r="J4519" s="10"/>
      <c r="K4519" s="46"/>
      <c r="L4519" s="10"/>
      <c r="M4519" s="20"/>
      <c r="N4519" s="20"/>
      <c r="O4519" s="20"/>
      <c r="P4519" s="20"/>
    </row>
    <row r="4520">
      <c r="A4520" s="23"/>
      <c r="B4520" s="21"/>
      <c r="C4520" s="23"/>
      <c r="D4520" s="24"/>
      <c r="E4520" s="14"/>
      <c r="F4520" s="14"/>
      <c r="G4520" s="14"/>
      <c r="H4520" s="23"/>
      <c r="I4520" s="27"/>
      <c r="J4520" s="23"/>
      <c r="K4520" s="30"/>
      <c r="L4520" s="23"/>
      <c r="M4520" s="20"/>
      <c r="N4520" s="20"/>
      <c r="O4520" s="20"/>
      <c r="P4520" s="20"/>
    </row>
    <row r="4521">
      <c r="A4521" s="10"/>
      <c r="B4521" s="11"/>
      <c r="C4521" s="10"/>
      <c r="D4521" s="13"/>
      <c r="E4521" s="14"/>
      <c r="F4521" s="14"/>
      <c r="G4521" s="14"/>
      <c r="H4521" s="10"/>
      <c r="I4521" s="17"/>
      <c r="J4521" s="10"/>
      <c r="K4521" s="46"/>
      <c r="L4521" s="10"/>
      <c r="M4521" s="20"/>
      <c r="N4521" s="20"/>
      <c r="O4521" s="20"/>
      <c r="P4521" s="20"/>
    </row>
    <row r="4522">
      <c r="A4522" s="23"/>
      <c r="B4522" s="21"/>
      <c r="C4522" s="23"/>
      <c r="D4522" s="24"/>
      <c r="E4522" s="14"/>
      <c r="F4522" s="14"/>
      <c r="G4522" s="14"/>
      <c r="H4522" s="23"/>
      <c r="I4522" s="27"/>
      <c r="J4522" s="23"/>
      <c r="K4522" s="30"/>
      <c r="L4522" s="23"/>
      <c r="M4522" s="20"/>
      <c r="N4522" s="20"/>
      <c r="O4522" s="20"/>
      <c r="P4522" s="20"/>
    </row>
    <row r="4523">
      <c r="A4523" s="10"/>
      <c r="B4523" s="11"/>
      <c r="C4523" s="10"/>
      <c r="D4523" s="13"/>
      <c r="E4523" s="14"/>
      <c r="F4523" s="14"/>
      <c r="G4523" s="14"/>
      <c r="H4523" s="10"/>
      <c r="I4523" s="17"/>
      <c r="J4523" s="10"/>
      <c r="K4523" s="46"/>
      <c r="L4523" s="10"/>
      <c r="M4523" s="20"/>
      <c r="N4523" s="20"/>
      <c r="O4523" s="20"/>
      <c r="P4523" s="20"/>
    </row>
    <row r="4524">
      <c r="A4524" s="23"/>
      <c r="B4524" s="21"/>
      <c r="C4524" s="23"/>
      <c r="D4524" s="24"/>
      <c r="E4524" s="14"/>
      <c r="F4524" s="14"/>
      <c r="G4524" s="14"/>
      <c r="H4524" s="23"/>
      <c r="I4524" s="27"/>
      <c r="J4524" s="23"/>
      <c r="K4524" s="30"/>
      <c r="L4524" s="23"/>
      <c r="M4524" s="20"/>
      <c r="N4524" s="20"/>
      <c r="O4524" s="20"/>
      <c r="P4524" s="20"/>
    </row>
    <row r="4525">
      <c r="A4525" s="10"/>
      <c r="B4525" s="11"/>
      <c r="C4525" s="10"/>
      <c r="D4525" s="13"/>
      <c r="E4525" s="14"/>
      <c r="F4525" s="14"/>
      <c r="G4525" s="14"/>
      <c r="H4525" s="10"/>
      <c r="I4525" s="17"/>
      <c r="J4525" s="10"/>
      <c r="K4525" s="46"/>
      <c r="L4525" s="10"/>
      <c r="M4525" s="20"/>
      <c r="N4525" s="20"/>
      <c r="O4525" s="20"/>
      <c r="P4525" s="20"/>
    </row>
    <row r="4526">
      <c r="A4526" s="23"/>
      <c r="B4526" s="21"/>
      <c r="C4526" s="23"/>
      <c r="D4526" s="24"/>
      <c r="E4526" s="14"/>
      <c r="F4526" s="14"/>
      <c r="G4526" s="14"/>
      <c r="H4526" s="23"/>
      <c r="I4526" s="27"/>
      <c r="J4526" s="23"/>
      <c r="K4526" s="30"/>
      <c r="L4526" s="23"/>
      <c r="M4526" s="20"/>
      <c r="N4526" s="20"/>
      <c r="O4526" s="20"/>
      <c r="P4526" s="20"/>
    </row>
    <row r="4527">
      <c r="A4527" s="10"/>
      <c r="B4527" s="11"/>
      <c r="C4527" s="10"/>
      <c r="D4527" s="13"/>
      <c r="E4527" s="14"/>
      <c r="F4527" s="14"/>
      <c r="G4527" s="14"/>
      <c r="H4527" s="10"/>
      <c r="I4527" s="17"/>
      <c r="J4527" s="10"/>
      <c r="K4527" s="46"/>
      <c r="L4527" s="10"/>
      <c r="M4527" s="20"/>
      <c r="N4527" s="20"/>
      <c r="O4527" s="20"/>
      <c r="P4527" s="20"/>
    </row>
    <row r="4528">
      <c r="A4528" s="23"/>
      <c r="B4528" s="21"/>
      <c r="C4528" s="23"/>
      <c r="D4528" s="24"/>
      <c r="E4528" s="14"/>
      <c r="F4528" s="14"/>
      <c r="G4528" s="14"/>
      <c r="H4528" s="23"/>
      <c r="I4528" s="27"/>
      <c r="J4528" s="23"/>
      <c r="K4528" s="30"/>
      <c r="L4528" s="23"/>
      <c r="M4528" s="20"/>
      <c r="N4528" s="20"/>
      <c r="O4528" s="20"/>
      <c r="P4528" s="20"/>
    </row>
    <row r="4529">
      <c r="A4529" s="10"/>
      <c r="B4529" s="11"/>
      <c r="C4529" s="10"/>
      <c r="D4529" s="13"/>
      <c r="E4529" s="14"/>
      <c r="F4529" s="14"/>
      <c r="G4529" s="14"/>
      <c r="H4529" s="10"/>
      <c r="I4529" s="17"/>
      <c r="J4529" s="10"/>
      <c r="K4529" s="46"/>
      <c r="L4529" s="10"/>
      <c r="M4529" s="20"/>
      <c r="N4529" s="20"/>
      <c r="O4529" s="20"/>
      <c r="P4529" s="20"/>
    </row>
    <row r="4530">
      <c r="A4530" s="23"/>
      <c r="B4530" s="21"/>
      <c r="C4530" s="23"/>
      <c r="D4530" s="24"/>
      <c r="E4530" s="14"/>
      <c r="F4530" s="14"/>
      <c r="G4530" s="14"/>
      <c r="H4530" s="23"/>
      <c r="I4530" s="27"/>
      <c r="J4530" s="23"/>
      <c r="K4530" s="30"/>
      <c r="L4530" s="23"/>
      <c r="M4530" s="20"/>
      <c r="N4530" s="20"/>
      <c r="O4530" s="20"/>
      <c r="P4530" s="20"/>
    </row>
    <row r="4531">
      <c r="A4531" s="10"/>
      <c r="B4531" s="11"/>
      <c r="C4531" s="10"/>
      <c r="D4531" s="13"/>
      <c r="E4531" s="14"/>
      <c r="F4531" s="14"/>
      <c r="G4531" s="14"/>
      <c r="H4531" s="10"/>
      <c r="I4531" s="17"/>
      <c r="J4531" s="10"/>
      <c r="K4531" s="46"/>
      <c r="L4531" s="10"/>
      <c r="M4531" s="20"/>
      <c r="N4531" s="20"/>
      <c r="O4531" s="20"/>
      <c r="P4531" s="20"/>
    </row>
    <row r="4532">
      <c r="A4532" s="23"/>
      <c r="B4532" s="21"/>
      <c r="C4532" s="23"/>
      <c r="D4532" s="24"/>
      <c r="E4532" s="14"/>
      <c r="F4532" s="14"/>
      <c r="G4532" s="14"/>
      <c r="H4532" s="23"/>
      <c r="I4532" s="27"/>
      <c r="J4532" s="23"/>
      <c r="K4532" s="30"/>
      <c r="L4532" s="23"/>
      <c r="M4532" s="20"/>
      <c r="N4532" s="20"/>
      <c r="O4532" s="20"/>
      <c r="P4532" s="20"/>
    </row>
    <row r="4533">
      <c r="A4533" s="10"/>
      <c r="B4533" s="11"/>
      <c r="C4533" s="10"/>
      <c r="D4533" s="13"/>
      <c r="E4533" s="14"/>
      <c r="F4533" s="14"/>
      <c r="G4533" s="14"/>
      <c r="H4533" s="10"/>
      <c r="I4533" s="17"/>
      <c r="J4533" s="10"/>
      <c r="K4533" s="46"/>
      <c r="L4533" s="10"/>
      <c r="M4533" s="20"/>
      <c r="N4533" s="20"/>
      <c r="O4533" s="20"/>
      <c r="P4533" s="20"/>
    </row>
    <row r="4534">
      <c r="A4534" s="23"/>
      <c r="B4534" s="21"/>
      <c r="C4534" s="23"/>
      <c r="D4534" s="24"/>
      <c r="E4534" s="14"/>
      <c r="F4534" s="14"/>
      <c r="G4534" s="14"/>
      <c r="H4534" s="23"/>
      <c r="I4534" s="27"/>
      <c r="J4534" s="23"/>
      <c r="K4534" s="30"/>
      <c r="L4534" s="23"/>
      <c r="M4534" s="20"/>
      <c r="N4534" s="20"/>
      <c r="O4534" s="20"/>
      <c r="P4534" s="20"/>
    </row>
    <row r="4535">
      <c r="A4535" s="10"/>
      <c r="B4535" s="11"/>
      <c r="C4535" s="10"/>
      <c r="D4535" s="13"/>
      <c r="E4535" s="14"/>
      <c r="F4535" s="14"/>
      <c r="G4535" s="14"/>
      <c r="H4535" s="10"/>
      <c r="I4535" s="17"/>
      <c r="J4535" s="10"/>
      <c r="K4535" s="46"/>
      <c r="L4535" s="10"/>
      <c r="M4535" s="20"/>
      <c r="N4535" s="20"/>
      <c r="O4535" s="20"/>
      <c r="P4535" s="20"/>
    </row>
    <row r="4536">
      <c r="A4536" s="23"/>
      <c r="B4536" s="21"/>
      <c r="C4536" s="23"/>
      <c r="D4536" s="24"/>
      <c r="E4536" s="14"/>
      <c r="F4536" s="14"/>
      <c r="G4536" s="14"/>
      <c r="H4536" s="23"/>
      <c r="I4536" s="27"/>
      <c r="J4536" s="23"/>
      <c r="K4536" s="30"/>
      <c r="L4536" s="23"/>
      <c r="M4536" s="20"/>
      <c r="N4536" s="20"/>
      <c r="O4536" s="20"/>
      <c r="P4536" s="20"/>
    </row>
    <row r="4537">
      <c r="A4537" s="10"/>
      <c r="B4537" s="11"/>
      <c r="C4537" s="10"/>
      <c r="D4537" s="13"/>
      <c r="E4537" s="14"/>
      <c r="F4537" s="14"/>
      <c r="G4537" s="14"/>
      <c r="H4537" s="10"/>
      <c r="I4537" s="17"/>
      <c r="J4537" s="10"/>
      <c r="K4537" s="46"/>
      <c r="L4537" s="10"/>
      <c r="M4537" s="20"/>
      <c r="N4537" s="20"/>
      <c r="O4537" s="20"/>
      <c r="P4537" s="20"/>
    </row>
    <row r="4538">
      <c r="A4538" s="23"/>
      <c r="B4538" s="21"/>
      <c r="C4538" s="23"/>
      <c r="D4538" s="24"/>
      <c r="E4538" s="14"/>
      <c r="F4538" s="14"/>
      <c r="G4538" s="14"/>
      <c r="H4538" s="23"/>
      <c r="I4538" s="27"/>
      <c r="J4538" s="23"/>
      <c r="K4538" s="30"/>
      <c r="L4538" s="23"/>
      <c r="M4538" s="20"/>
      <c r="N4538" s="20"/>
      <c r="O4538" s="20"/>
      <c r="P4538" s="20"/>
    </row>
    <row r="4539">
      <c r="A4539" s="10"/>
      <c r="B4539" s="11"/>
      <c r="C4539" s="10"/>
      <c r="D4539" s="13"/>
      <c r="E4539" s="14"/>
      <c r="F4539" s="14"/>
      <c r="G4539" s="14"/>
      <c r="H4539" s="10"/>
      <c r="I4539" s="17"/>
      <c r="J4539" s="10"/>
      <c r="K4539" s="46"/>
      <c r="L4539" s="10"/>
      <c r="M4539" s="20"/>
      <c r="N4539" s="20"/>
      <c r="O4539" s="20"/>
      <c r="P4539" s="20"/>
    </row>
    <row r="4540">
      <c r="A4540" s="23"/>
      <c r="B4540" s="21"/>
      <c r="C4540" s="23"/>
      <c r="D4540" s="24"/>
      <c r="E4540" s="14"/>
      <c r="F4540" s="14"/>
      <c r="G4540" s="14"/>
      <c r="H4540" s="23"/>
      <c r="I4540" s="27"/>
      <c r="J4540" s="23"/>
      <c r="K4540" s="30"/>
      <c r="L4540" s="23"/>
      <c r="M4540" s="20"/>
      <c r="N4540" s="20"/>
      <c r="O4540" s="20"/>
      <c r="P4540" s="20"/>
    </row>
    <row r="4541">
      <c r="A4541" s="10"/>
      <c r="B4541" s="11"/>
      <c r="C4541" s="10"/>
      <c r="D4541" s="13"/>
      <c r="E4541" s="14"/>
      <c r="F4541" s="14"/>
      <c r="G4541" s="14"/>
      <c r="H4541" s="10"/>
      <c r="I4541" s="17"/>
      <c r="J4541" s="10"/>
      <c r="K4541" s="46"/>
      <c r="L4541" s="10"/>
      <c r="M4541" s="20"/>
      <c r="N4541" s="20"/>
      <c r="O4541" s="20"/>
      <c r="P4541" s="20"/>
    </row>
    <row r="4542">
      <c r="A4542" s="23"/>
      <c r="B4542" s="21"/>
      <c r="C4542" s="23"/>
      <c r="D4542" s="24"/>
      <c r="E4542" s="14"/>
      <c r="F4542" s="14"/>
      <c r="G4542" s="14"/>
      <c r="H4542" s="23"/>
      <c r="I4542" s="27"/>
      <c r="J4542" s="23"/>
      <c r="K4542" s="30"/>
      <c r="L4542" s="23"/>
      <c r="M4542" s="20"/>
      <c r="N4542" s="20"/>
      <c r="O4542" s="20"/>
      <c r="P4542" s="20"/>
    </row>
    <row r="4543">
      <c r="A4543" s="10"/>
      <c r="B4543" s="11"/>
      <c r="C4543" s="10"/>
      <c r="D4543" s="13"/>
      <c r="E4543" s="14"/>
      <c r="F4543" s="14"/>
      <c r="G4543" s="14"/>
      <c r="H4543" s="10"/>
      <c r="I4543" s="17"/>
      <c r="J4543" s="10"/>
      <c r="K4543" s="46"/>
      <c r="L4543" s="10"/>
      <c r="M4543" s="20"/>
      <c r="N4543" s="20"/>
      <c r="O4543" s="20"/>
      <c r="P4543" s="20"/>
    </row>
    <row r="4544">
      <c r="A4544" s="23"/>
      <c r="B4544" s="21"/>
      <c r="C4544" s="23"/>
      <c r="D4544" s="24"/>
      <c r="E4544" s="14"/>
      <c r="F4544" s="14"/>
      <c r="G4544" s="14"/>
      <c r="H4544" s="23"/>
      <c r="I4544" s="27"/>
      <c r="J4544" s="23"/>
      <c r="K4544" s="30"/>
      <c r="L4544" s="23"/>
      <c r="M4544" s="20"/>
      <c r="N4544" s="20"/>
      <c r="O4544" s="20"/>
      <c r="P4544" s="20"/>
    </row>
    <row r="4545">
      <c r="A4545" s="10"/>
      <c r="B4545" s="11"/>
      <c r="C4545" s="10"/>
      <c r="D4545" s="13"/>
      <c r="E4545" s="14"/>
      <c r="F4545" s="14"/>
      <c r="G4545" s="14"/>
      <c r="H4545" s="10"/>
      <c r="I4545" s="17"/>
      <c r="J4545" s="10"/>
      <c r="K4545" s="46"/>
      <c r="L4545" s="10"/>
      <c r="M4545" s="20"/>
      <c r="N4545" s="20"/>
      <c r="O4545" s="20"/>
      <c r="P4545" s="20"/>
    </row>
    <row r="4546">
      <c r="A4546" s="23"/>
      <c r="B4546" s="21"/>
      <c r="C4546" s="23"/>
      <c r="D4546" s="24"/>
      <c r="E4546" s="14"/>
      <c r="F4546" s="14"/>
      <c r="G4546" s="14"/>
      <c r="H4546" s="23"/>
      <c r="I4546" s="27"/>
      <c r="J4546" s="23"/>
      <c r="K4546" s="30"/>
      <c r="L4546" s="23"/>
      <c r="M4546" s="20"/>
      <c r="N4546" s="20"/>
      <c r="O4546" s="20"/>
      <c r="P4546" s="20"/>
    </row>
    <row r="4547">
      <c r="A4547" s="10"/>
      <c r="B4547" s="11"/>
      <c r="C4547" s="10"/>
      <c r="D4547" s="13"/>
      <c r="E4547" s="14"/>
      <c r="F4547" s="14"/>
      <c r="G4547" s="14"/>
      <c r="H4547" s="10"/>
      <c r="I4547" s="17"/>
      <c r="J4547" s="10"/>
      <c r="K4547" s="46"/>
      <c r="L4547" s="10"/>
      <c r="M4547" s="20"/>
      <c r="N4547" s="20"/>
      <c r="O4547" s="20"/>
      <c r="P4547" s="20"/>
    </row>
    <row r="4548">
      <c r="A4548" s="23"/>
      <c r="B4548" s="21"/>
      <c r="C4548" s="23"/>
      <c r="D4548" s="24"/>
      <c r="E4548" s="14"/>
      <c r="F4548" s="14"/>
      <c r="G4548" s="14"/>
      <c r="H4548" s="23"/>
      <c r="I4548" s="27"/>
      <c r="J4548" s="23"/>
      <c r="K4548" s="30"/>
      <c r="L4548" s="23"/>
      <c r="M4548" s="20"/>
      <c r="N4548" s="20"/>
      <c r="O4548" s="20"/>
      <c r="P4548" s="20"/>
    </row>
    <row r="4549">
      <c r="A4549" s="10"/>
      <c r="B4549" s="11"/>
      <c r="C4549" s="10"/>
      <c r="D4549" s="13"/>
      <c r="E4549" s="14"/>
      <c r="F4549" s="14"/>
      <c r="G4549" s="14"/>
      <c r="H4549" s="10"/>
      <c r="I4549" s="17"/>
      <c r="J4549" s="10"/>
      <c r="K4549" s="46"/>
      <c r="L4549" s="10"/>
      <c r="M4549" s="20"/>
      <c r="N4549" s="20"/>
      <c r="O4549" s="20"/>
      <c r="P4549" s="20"/>
    </row>
    <row r="4550">
      <c r="A4550" s="23"/>
      <c r="B4550" s="21"/>
      <c r="C4550" s="23"/>
      <c r="D4550" s="24"/>
      <c r="E4550" s="14"/>
      <c r="F4550" s="14"/>
      <c r="G4550" s="14"/>
      <c r="H4550" s="23"/>
      <c r="I4550" s="27"/>
      <c r="J4550" s="23"/>
      <c r="K4550" s="30"/>
      <c r="L4550" s="23"/>
      <c r="M4550" s="20"/>
      <c r="N4550" s="20"/>
      <c r="O4550" s="20"/>
      <c r="P4550" s="20"/>
    </row>
    <row r="4551">
      <c r="A4551" s="10"/>
      <c r="B4551" s="11"/>
      <c r="C4551" s="10"/>
      <c r="D4551" s="13"/>
      <c r="E4551" s="14"/>
      <c r="F4551" s="14"/>
      <c r="G4551" s="14"/>
      <c r="H4551" s="10"/>
      <c r="I4551" s="17"/>
      <c r="J4551" s="10"/>
      <c r="K4551" s="46"/>
      <c r="L4551" s="10"/>
      <c r="M4551" s="20"/>
      <c r="N4551" s="20"/>
      <c r="O4551" s="20"/>
      <c r="P4551" s="20"/>
    </row>
    <row r="4552">
      <c r="A4552" s="23"/>
      <c r="B4552" s="21"/>
      <c r="C4552" s="23"/>
      <c r="D4552" s="24"/>
      <c r="E4552" s="14"/>
      <c r="F4552" s="14"/>
      <c r="G4552" s="14"/>
      <c r="H4552" s="23"/>
      <c r="I4552" s="27"/>
      <c r="J4552" s="23"/>
      <c r="K4552" s="30"/>
      <c r="L4552" s="23"/>
      <c r="M4552" s="20"/>
      <c r="N4552" s="20"/>
      <c r="O4552" s="20"/>
      <c r="P4552" s="20"/>
    </row>
    <row r="4553">
      <c r="A4553" s="10"/>
      <c r="B4553" s="11"/>
      <c r="C4553" s="10"/>
      <c r="D4553" s="13"/>
      <c r="E4553" s="14"/>
      <c r="F4553" s="14"/>
      <c r="G4553" s="14"/>
      <c r="H4553" s="10"/>
      <c r="I4553" s="17"/>
      <c r="J4553" s="10"/>
      <c r="K4553" s="46"/>
      <c r="L4553" s="10"/>
      <c r="M4553" s="20"/>
      <c r="N4553" s="20"/>
      <c r="O4553" s="20"/>
      <c r="P4553" s="20"/>
    </row>
    <row r="4554">
      <c r="A4554" s="23"/>
      <c r="B4554" s="21"/>
      <c r="C4554" s="23"/>
      <c r="D4554" s="24"/>
      <c r="E4554" s="14"/>
      <c r="F4554" s="14"/>
      <c r="G4554" s="14"/>
      <c r="H4554" s="23"/>
      <c r="I4554" s="27"/>
      <c r="J4554" s="23"/>
      <c r="K4554" s="30"/>
      <c r="L4554" s="23"/>
      <c r="M4554" s="20"/>
      <c r="N4554" s="20"/>
      <c r="O4554" s="20"/>
      <c r="P4554" s="20"/>
    </row>
    <row r="4555">
      <c r="A4555" s="10"/>
      <c r="B4555" s="11"/>
      <c r="C4555" s="10"/>
      <c r="D4555" s="13"/>
      <c r="E4555" s="14"/>
      <c r="F4555" s="14"/>
      <c r="G4555" s="14"/>
      <c r="H4555" s="10"/>
      <c r="I4555" s="17"/>
      <c r="J4555" s="10"/>
      <c r="K4555" s="46"/>
      <c r="L4555" s="10"/>
      <c r="M4555" s="20"/>
      <c r="N4555" s="20"/>
      <c r="O4555" s="20"/>
      <c r="P4555" s="20"/>
    </row>
    <row r="4556">
      <c r="A4556" s="23"/>
      <c r="B4556" s="21"/>
      <c r="C4556" s="23"/>
      <c r="D4556" s="24"/>
      <c r="E4556" s="14"/>
      <c r="F4556" s="14"/>
      <c r="G4556" s="14"/>
      <c r="H4556" s="23"/>
      <c r="I4556" s="27"/>
      <c r="J4556" s="23"/>
      <c r="K4556" s="30"/>
      <c r="L4556" s="23"/>
      <c r="M4556" s="20"/>
      <c r="N4556" s="20"/>
      <c r="O4556" s="20"/>
      <c r="P4556" s="20"/>
    </row>
    <row r="4557">
      <c r="A4557" s="10"/>
      <c r="B4557" s="11"/>
      <c r="C4557" s="10"/>
      <c r="D4557" s="13"/>
      <c r="E4557" s="14"/>
      <c r="F4557" s="14"/>
      <c r="G4557" s="14"/>
      <c r="H4557" s="10"/>
      <c r="I4557" s="17"/>
      <c r="J4557" s="10"/>
      <c r="K4557" s="46"/>
      <c r="L4557" s="10"/>
      <c r="M4557" s="20"/>
      <c r="N4557" s="20"/>
      <c r="O4557" s="20"/>
      <c r="P4557" s="20"/>
    </row>
    <row r="4558">
      <c r="A4558" s="23"/>
      <c r="B4558" s="21"/>
      <c r="C4558" s="23"/>
      <c r="D4558" s="24"/>
      <c r="E4558" s="14"/>
      <c r="F4558" s="14"/>
      <c r="G4558" s="14"/>
      <c r="H4558" s="23"/>
      <c r="I4558" s="27"/>
      <c r="J4558" s="23"/>
      <c r="K4558" s="30"/>
      <c r="L4558" s="23"/>
      <c r="M4558" s="20"/>
      <c r="N4558" s="20"/>
      <c r="O4558" s="20"/>
      <c r="P4558" s="20"/>
    </row>
    <row r="4559">
      <c r="A4559" s="10"/>
      <c r="B4559" s="11"/>
      <c r="C4559" s="10"/>
      <c r="D4559" s="13"/>
      <c r="E4559" s="14"/>
      <c r="F4559" s="14"/>
      <c r="G4559" s="14"/>
      <c r="H4559" s="10"/>
      <c r="I4559" s="17"/>
      <c r="J4559" s="10"/>
      <c r="K4559" s="46"/>
      <c r="L4559" s="10"/>
      <c r="M4559" s="20"/>
      <c r="N4559" s="20"/>
      <c r="O4559" s="20"/>
      <c r="P4559" s="20"/>
    </row>
    <row r="4560">
      <c r="A4560" s="23"/>
      <c r="B4560" s="21"/>
      <c r="C4560" s="23"/>
      <c r="D4560" s="24"/>
      <c r="E4560" s="14"/>
      <c r="F4560" s="14"/>
      <c r="G4560" s="14"/>
      <c r="H4560" s="23"/>
      <c r="I4560" s="27"/>
      <c r="J4560" s="23"/>
      <c r="K4560" s="30"/>
      <c r="L4560" s="23"/>
      <c r="M4560" s="20"/>
      <c r="N4560" s="20"/>
      <c r="O4560" s="20"/>
      <c r="P4560" s="20"/>
    </row>
    <row r="4561">
      <c r="A4561" s="10"/>
      <c r="B4561" s="11"/>
      <c r="C4561" s="10"/>
      <c r="D4561" s="13"/>
      <c r="E4561" s="14"/>
      <c r="F4561" s="14"/>
      <c r="G4561" s="14"/>
      <c r="H4561" s="10"/>
      <c r="I4561" s="17"/>
      <c r="J4561" s="10"/>
      <c r="K4561" s="46"/>
      <c r="L4561" s="10"/>
      <c r="M4561" s="20"/>
      <c r="N4561" s="20"/>
      <c r="O4561" s="20"/>
      <c r="P4561" s="20"/>
    </row>
    <row r="4562">
      <c r="A4562" s="23"/>
      <c r="B4562" s="21"/>
      <c r="C4562" s="23"/>
      <c r="D4562" s="24"/>
      <c r="E4562" s="14"/>
      <c r="F4562" s="14"/>
      <c r="G4562" s="14"/>
      <c r="H4562" s="23"/>
      <c r="I4562" s="27"/>
      <c r="J4562" s="23"/>
      <c r="K4562" s="30"/>
      <c r="L4562" s="23"/>
      <c r="M4562" s="20"/>
      <c r="N4562" s="20"/>
      <c r="O4562" s="20"/>
      <c r="P4562" s="20"/>
    </row>
    <row r="4563">
      <c r="A4563" s="10"/>
      <c r="B4563" s="11"/>
      <c r="C4563" s="10"/>
      <c r="D4563" s="13"/>
      <c r="E4563" s="14"/>
      <c r="F4563" s="14"/>
      <c r="G4563" s="14"/>
      <c r="H4563" s="10"/>
      <c r="I4563" s="17"/>
      <c r="J4563" s="10"/>
      <c r="K4563" s="46"/>
      <c r="L4563" s="10"/>
      <c r="M4563" s="20"/>
      <c r="N4563" s="20"/>
      <c r="O4563" s="20"/>
      <c r="P4563" s="20"/>
    </row>
    <row r="4564">
      <c r="A4564" s="23"/>
      <c r="B4564" s="21"/>
      <c r="C4564" s="23"/>
      <c r="D4564" s="24"/>
      <c r="E4564" s="14"/>
      <c r="F4564" s="14"/>
      <c r="G4564" s="14"/>
      <c r="H4564" s="23"/>
      <c r="I4564" s="27"/>
      <c r="J4564" s="23"/>
      <c r="K4564" s="30"/>
      <c r="L4564" s="23"/>
      <c r="M4564" s="20"/>
      <c r="N4564" s="20"/>
      <c r="O4564" s="20"/>
      <c r="P4564" s="20"/>
    </row>
    <row r="4565">
      <c r="A4565" s="10"/>
      <c r="B4565" s="11"/>
      <c r="C4565" s="10"/>
      <c r="D4565" s="13"/>
      <c r="E4565" s="14"/>
      <c r="F4565" s="14"/>
      <c r="G4565" s="14"/>
      <c r="H4565" s="10"/>
      <c r="I4565" s="17"/>
      <c r="J4565" s="10"/>
      <c r="K4565" s="46"/>
      <c r="L4565" s="10"/>
      <c r="M4565" s="20"/>
      <c r="N4565" s="20"/>
      <c r="O4565" s="20"/>
      <c r="P4565" s="20"/>
    </row>
    <row r="4566">
      <c r="A4566" s="23"/>
      <c r="B4566" s="21"/>
      <c r="C4566" s="23"/>
      <c r="D4566" s="24"/>
      <c r="E4566" s="14"/>
      <c r="F4566" s="14"/>
      <c r="G4566" s="14"/>
      <c r="H4566" s="23"/>
      <c r="I4566" s="27"/>
      <c r="J4566" s="23"/>
      <c r="K4566" s="30"/>
      <c r="L4566" s="23"/>
      <c r="M4566" s="20"/>
      <c r="N4566" s="20"/>
      <c r="O4566" s="20"/>
      <c r="P4566" s="20"/>
    </row>
    <row r="4567">
      <c r="A4567" s="10"/>
      <c r="B4567" s="11"/>
      <c r="C4567" s="10"/>
      <c r="D4567" s="13"/>
      <c r="E4567" s="14"/>
      <c r="F4567" s="14"/>
      <c r="G4567" s="14"/>
      <c r="H4567" s="10"/>
      <c r="I4567" s="17"/>
      <c r="J4567" s="10"/>
      <c r="K4567" s="46"/>
      <c r="L4567" s="10"/>
      <c r="M4567" s="20"/>
      <c r="N4567" s="20"/>
      <c r="O4567" s="20"/>
      <c r="P4567" s="20"/>
    </row>
    <row r="4568">
      <c r="A4568" s="23"/>
      <c r="B4568" s="21"/>
      <c r="C4568" s="23"/>
      <c r="D4568" s="24"/>
      <c r="E4568" s="14"/>
      <c r="F4568" s="14"/>
      <c r="G4568" s="14"/>
      <c r="H4568" s="23"/>
      <c r="I4568" s="27"/>
      <c r="J4568" s="23"/>
      <c r="K4568" s="30"/>
      <c r="L4568" s="23"/>
      <c r="M4568" s="20"/>
      <c r="N4568" s="20"/>
      <c r="O4568" s="20"/>
      <c r="P4568" s="20"/>
    </row>
    <row r="4569">
      <c r="A4569" s="10"/>
      <c r="B4569" s="11"/>
      <c r="C4569" s="10"/>
      <c r="D4569" s="13"/>
      <c r="E4569" s="14"/>
      <c r="F4569" s="14"/>
      <c r="G4569" s="14"/>
      <c r="H4569" s="10"/>
      <c r="I4569" s="17"/>
      <c r="J4569" s="10"/>
      <c r="K4569" s="46"/>
      <c r="L4569" s="10"/>
      <c r="M4569" s="20"/>
      <c r="N4569" s="20"/>
      <c r="O4569" s="20"/>
      <c r="P4569" s="20"/>
    </row>
    <row r="4570">
      <c r="A4570" s="23"/>
      <c r="B4570" s="21"/>
      <c r="C4570" s="23"/>
      <c r="D4570" s="24"/>
      <c r="E4570" s="14"/>
      <c r="F4570" s="14"/>
      <c r="G4570" s="14"/>
      <c r="H4570" s="23"/>
      <c r="I4570" s="27"/>
      <c r="J4570" s="23"/>
      <c r="K4570" s="30"/>
      <c r="L4570" s="23"/>
      <c r="M4570" s="20"/>
      <c r="N4570" s="20"/>
      <c r="O4570" s="20"/>
      <c r="P4570" s="20"/>
    </row>
    <row r="4571">
      <c r="A4571" s="10"/>
      <c r="B4571" s="11"/>
      <c r="C4571" s="10"/>
      <c r="D4571" s="13"/>
      <c r="E4571" s="14"/>
      <c r="F4571" s="14"/>
      <c r="G4571" s="14"/>
      <c r="H4571" s="10"/>
      <c r="I4571" s="17"/>
      <c r="J4571" s="10"/>
      <c r="K4571" s="46"/>
      <c r="L4571" s="10"/>
      <c r="M4571" s="20"/>
      <c r="N4571" s="20"/>
      <c r="O4571" s="20"/>
      <c r="P4571" s="20"/>
    </row>
    <row r="4572">
      <c r="A4572" s="23"/>
      <c r="B4572" s="21"/>
      <c r="C4572" s="23"/>
      <c r="D4572" s="24"/>
      <c r="E4572" s="14"/>
      <c r="F4572" s="14"/>
      <c r="G4572" s="14"/>
      <c r="H4572" s="23"/>
      <c r="I4572" s="27"/>
      <c r="J4572" s="23"/>
      <c r="K4572" s="30"/>
      <c r="L4572" s="23"/>
      <c r="M4572" s="20"/>
      <c r="N4572" s="20"/>
      <c r="O4572" s="20"/>
      <c r="P4572" s="20"/>
    </row>
    <row r="4573">
      <c r="A4573" s="10"/>
      <c r="B4573" s="11"/>
      <c r="C4573" s="10"/>
      <c r="D4573" s="13"/>
      <c r="E4573" s="14"/>
      <c r="F4573" s="14"/>
      <c r="G4573" s="14"/>
      <c r="H4573" s="10"/>
      <c r="I4573" s="17"/>
      <c r="J4573" s="10"/>
      <c r="K4573" s="46"/>
      <c r="L4573" s="10"/>
      <c r="M4573" s="20"/>
      <c r="N4573" s="20"/>
      <c r="O4573" s="20"/>
      <c r="P4573" s="20"/>
    </row>
    <row r="4574">
      <c r="A4574" s="23"/>
      <c r="B4574" s="21"/>
      <c r="C4574" s="23"/>
      <c r="D4574" s="24"/>
      <c r="E4574" s="14"/>
      <c r="F4574" s="14"/>
      <c r="G4574" s="14"/>
      <c r="H4574" s="23"/>
      <c r="I4574" s="27"/>
      <c r="J4574" s="23"/>
      <c r="K4574" s="30"/>
      <c r="L4574" s="23"/>
      <c r="M4574" s="20"/>
      <c r="N4574" s="20"/>
      <c r="O4574" s="20"/>
      <c r="P4574" s="20"/>
    </row>
    <row r="4575">
      <c r="A4575" s="10"/>
      <c r="B4575" s="11"/>
      <c r="C4575" s="10"/>
      <c r="D4575" s="13"/>
      <c r="E4575" s="14"/>
      <c r="F4575" s="14"/>
      <c r="G4575" s="14"/>
      <c r="H4575" s="10"/>
      <c r="I4575" s="17"/>
      <c r="J4575" s="10"/>
      <c r="K4575" s="46"/>
      <c r="L4575" s="10"/>
      <c r="M4575" s="20"/>
      <c r="N4575" s="20"/>
      <c r="O4575" s="20"/>
      <c r="P4575" s="20"/>
    </row>
    <row r="4576">
      <c r="A4576" s="23"/>
      <c r="B4576" s="21"/>
      <c r="C4576" s="23"/>
      <c r="D4576" s="24"/>
      <c r="E4576" s="14"/>
      <c r="F4576" s="14"/>
      <c r="G4576" s="14"/>
      <c r="H4576" s="23"/>
      <c r="I4576" s="27"/>
      <c r="J4576" s="23"/>
      <c r="K4576" s="30"/>
      <c r="L4576" s="23"/>
      <c r="M4576" s="20"/>
      <c r="N4576" s="20"/>
      <c r="O4576" s="20"/>
      <c r="P4576" s="20"/>
    </row>
    <row r="4577">
      <c r="A4577" s="10"/>
      <c r="B4577" s="11"/>
      <c r="C4577" s="10"/>
      <c r="D4577" s="13"/>
      <c r="E4577" s="14"/>
      <c r="F4577" s="14"/>
      <c r="G4577" s="14"/>
      <c r="H4577" s="10"/>
      <c r="I4577" s="17"/>
      <c r="J4577" s="10"/>
      <c r="K4577" s="46"/>
      <c r="L4577" s="10"/>
      <c r="M4577" s="20"/>
      <c r="N4577" s="20"/>
      <c r="O4577" s="20"/>
      <c r="P4577" s="20"/>
    </row>
    <row r="4578">
      <c r="A4578" s="23"/>
      <c r="B4578" s="21"/>
      <c r="C4578" s="23"/>
      <c r="D4578" s="24"/>
      <c r="E4578" s="14"/>
      <c r="F4578" s="14"/>
      <c r="G4578" s="14"/>
      <c r="H4578" s="23"/>
      <c r="I4578" s="27"/>
      <c r="J4578" s="23"/>
      <c r="K4578" s="30"/>
      <c r="L4578" s="23"/>
      <c r="M4578" s="20"/>
      <c r="N4578" s="20"/>
      <c r="O4578" s="20"/>
      <c r="P4578" s="20"/>
    </row>
    <row r="4579">
      <c r="A4579" s="10"/>
      <c r="B4579" s="11"/>
      <c r="C4579" s="10"/>
      <c r="D4579" s="13"/>
      <c r="E4579" s="14"/>
      <c r="F4579" s="14"/>
      <c r="G4579" s="14"/>
      <c r="H4579" s="10"/>
      <c r="I4579" s="17"/>
      <c r="J4579" s="10"/>
      <c r="K4579" s="46"/>
      <c r="L4579" s="10"/>
      <c r="M4579" s="20"/>
      <c r="N4579" s="20"/>
      <c r="O4579" s="20"/>
      <c r="P4579" s="20"/>
    </row>
    <row r="4580">
      <c r="A4580" s="23"/>
      <c r="B4580" s="21"/>
      <c r="C4580" s="23"/>
      <c r="D4580" s="24"/>
      <c r="E4580" s="14"/>
      <c r="F4580" s="14"/>
      <c r="G4580" s="14"/>
      <c r="H4580" s="23"/>
      <c r="I4580" s="27"/>
      <c r="J4580" s="23"/>
      <c r="K4580" s="30"/>
      <c r="L4580" s="23"/>
      <c r="M4580" s="20"/>
      <c r="N4580" s="20"/>
      <c r="O4580" s="20"/>
      <c r="P4580" s="20"/>
    </row>
    <row r="4581">
      <c r="A4581" s="10"/>
      <c r="B4581" s="11"/>
      <c r="C4581" s="10"/>
      <c r="D4581" s="13"/>
      <c r="E4581" s="14"/>
      <c r="F4581" s="14"/>
      <c r="G4581" s="14"/>
      <c r="H4581" s="10"/>
      <c r="I4581" s="17"/>
      <c r="J4581" s="10"/>
      <c r="K4581" s="46"/>
      <c r="L4581" s="10"/>
      <c r="M4581" s="20"/>
      <c r="N4581" s="20"/>
      <c r="O4581" s="20"/>
      <c r="P4581" s="20"/>
    </row>
    <row r="4582">
      <c r="A4582" s="23"/>
      <c r="B4582" s="21"/>
      <c r="C4582" s="23"/>
      <c r="D4582" s="24"/>
      <c r="E4582" s="14"/>
      <c r="F4582" s="14"/>
      <c r="G4582" s="14"/>
      <c r="H4582" s="23"/>
      <c r="I4582" s="27"/>
      <c r="J4582" s="23"/>
      <c r="K4582" s="30"/>
      <c r="L4582" s="23"/>
      <c r="M4582" s="20"/>
      <c r="N4582" s="20"/>
      <c r="O4582" s="20"/>
      <c r="P4582" s="20"/>
    </row>
    <row r="4583">
      <c r="A4583" s="10"/>
      <c r="B4583" s="11"/>
      <c r="C4583" s="10"/>
      <c r="D4583" s="13"/>
      <c r="E4583" s="14"/>
      <c r="F4583" s="14"/>
      <c r="G4583" s="14"/>
      <c r="H4583" s="10"/>
      <c r="I4583" s="17"/>
      <c r="J4583" s="10"/>
      <c r="K4583" s="46"/>
      <c r="L4583" s="10"/>
      <c r="M4583" s="20"/>
      <c r="N4583" s="20"/>
      <c r="O4583" s="20"/>
      <c r="P4583" s="20"/>
    </row>
    <row r="4584">
      <c r="A4584" s="23"/>
      <c r="B4584" s="21"/>
      <c r="C4584" s="23"/>
      <c r="D4584" s="24"/>
      <c r="E4584" s="14"/>
      <c r="F4584" s="14"/>
      <c r="G4584" s="14"/>
      <c r="H4584" s="23"/>
      <c r="I4584" s="27"/>
      <c r="J4584" s="23"/>
      <c r="K4584" s="30"/>
      <c r="L4584" s="23"/>
      <c r="M4584" s="20"/>
      <c r="N4584" s="20"/>
      <c r="O4584" s="20"/>
      <c r="P4584" s="20"/>
    </row>
    <row r="4585">
      <c r="A4585" s="10"/>
      <c r="B4585" s="11"/>
      <c r="C4585" s="10"/>
      <c r="D4585" s="13"/>
      <c r="E4585" s="14"/>
      <c r="F4585" s="14"/>
      <c r="G4585" s="14"/>
      <c r="H4585" s="10"/>
      <c r="I4585" s="17"/>
      <c r="J4585" s="10"/>
      <c r="K4585" s="46"/>
      <c r="L4585" s="10"/>
      <c r="M4585" s="20"/>
      <c r="N4585" s="20"/>
      <c r="O4585" s="20"/>
      <c r="P4585" s="20"/>
    </row>
    <row r="4586">
      <c r="A4586" s="23"/>
      <c r="B4586" s="21"/>
      <c r="C4586" s="23"/>
      <c r="D4586" s="24"/>
      <c r="E4586" s="14"/>
      <c r="F4586" s="14"/>
      <c r="G4586" s="14"/>
      <c r="H4586" s="23"/>
      <c r="I4586" s="27"/>
      <c r="J4586" s="23"/>
      <c r="K4586" s="30"/>
      <c r="L4586" s="23"/>
      <c r="M4586" s="20"/>
      <c r="N4586" s="20"/>
      <c r="O4586" s="20"/>
      <c r="P4586" s="20"/>
    </row>
    <row r="4587">
      <c r="A4587" s="10"/>
      <c r="B4587" s="11"/>
      <c r="C4587" s="10"/>
      <c r="D4587" s="13"/>
      <c r="E4587" s="14"/>
      <c r="F4587" s="14"/>
      <c r="G4587" s="14"/>
      <c r="H4587" s="10"/>
      <c r="I4587" s="17"/>
      <c r="J4587" s="10"/>
      <c r="K4587" s="46"/>
      <c r="L4587" s="10"/>
      <c r="M4587" s="20"/>
      <c r="N4587" s="20"/>
      <c r="O4587" s="20"/>
      <c r="P4587" s="20"/>
    </row>
    <row r="4588">
      <c r="A4588" s="23"/>
      <c r="B4588" s="21"/>
      <c r="C4588" s="23"/>
      <c r="D4588" s="24"/>
      <c r="E4588" s="14"/>
      <c r="F4588" s="14"/>
      <c r="G4588" s="14"/>
      <c r="H4588" s="23"/>
      <c r="I4588" s="27"/>
      <c r="J4588" s="23"/>
      <c r="K4588" s="30"/>
      <c r="L4588" s="23"/>
      <c r="M4588" s="20"/>
      <c r="N4588" s="20"/>
      <c r="O4588" s="20"/>
      <c r="P4588" s="20"/>
    </row>
    <row r="4589">
      <c r="A4589" s="10"/>
      <c r="B4589" s="11"/>
      <c r="C4589" s="10"/>
      <c r="D4589" s="13"/>
      <c r="E4589" s="14"/>
      <c r="F4589" s="14"/>
      <c r="G4589" s="14"/>
      <c r="H4589" s="10"/>
      <c r="I4589" s="17"/>
      <c r="J4589" s="10"/>
      <c r="K4589" s="46"/>
      <c r="L4589" s="10"/>
      <c r="M4589" s="20"/>
      <c r="N4589" s="20"/>
      <c r="O4589" s="20"/>
      <c r="P4589" s="20"/>
    </row>
    <row r="4590">
      <c r="A4590" s="23"/>
      <c r="B4590" s="21"/>
      <c r="C4590" s="23"/>
      <c r="D4590" s="24"/>
      <c r="E4590" s="14"/>
      <c r="F4590" s="14"/>
      <c r="G4590" s="14"/>
      <c r="H4590" s="23"/>
      <c r="I4590" s="27"/>
      <c r="J4590" s="23"/>
      <c r="K4590" s="30"/>
      <c r="L4590" s="23"/>
      <c r="M4590" s="20"/>
      <c r="N4590" s="20"/>
      <c r="O4590" s="20"/>
      <c r="P4590" s="20"/>
    </row>
    <row r="4591">
      <c r="A4591" s="10"/>
      <c r="B4591" s="11"/>
      <c r="C4591" s="10"/>
      <c r="D4591" s="13"/>
      <c r="E4591" s="14"/>
      <c r="F4591" s="14"/>
      <c r="G4591" s="14"/>
      <c r="H4591" s="10"/>
      <c r="I4591" s="17"/>
      <c r="J4591" s="10"/>
      <c r="K4591" s="46"/>
      <c r="L4591" s="10"/>
      <c r="M4591" s="20"/>
      <c r="N4591" s="20"/>
      <c r="O4591" s="20"/>
      <c r="P4591" s="20"/>
    </row>
    <row r="4592">
      <c r="A4592" s="23"/>
      <c r="B4592" s="21"/>
      <c r="C4592" s="23"/>
      <c r="D4592" s="24"/>
      <c r="E4592" s="14"/>
      <c r="F4592" s="14"/>
      <c r="G4592" s="14"/>
      <c r="H4592" s="23"/>
      <c r="I4592" s="27"/>
      <c r="J4592" s="23"/>
      <c r="K4592" s="30"/>
      <c r="L4592" s="23"/>
      <c r="M4592" s="20"/>
      <c r="N4592" s="20"/>
      <c r="O4592" s="20"/>
      <c r="P4592" s="20"/>
    </row>
    <row r="4593">
      <c r="A4593" s="10"/>
      <c r="B4593" s="11"/>
      <c r="C4593" s="10"/>
      <c r="D4593" s="13"/>
      <c r="E4593" s="14"/>
      <c r="F4593" s="14"/>
      <c r="G4593" s="14"/>
      <c r="H4593" s="10"/>
      <c r="I4593" s="17"/>
      <c r="J4593" s="10"/>
      <c r="K4593" s="46"/>
      <c r="L4593" s="10"/>
      <c r="M4593" s="20"/>
      <c r="N4593" s="20"/>
      <c r="O4593" s="20"/>
      <c r="P4593" s="20"/>
    </row>
    <row r="4594">
      <c r="A4594" s="23"/>
      <c r="B4594" s="21"/>
      <c r="C4594" s="23"/>
      <c r="D4594" s="24"/>
      <c r="E4594" s="14"/>
      <c r="F4594" s="14"/>
      <c r="G4594" s="14"/>
      <c r="H4594" s="23"/>
      <c r="I4594" s="27"/>
      <c r="J4594" s="23"/>
      <c r="K4594" s="30"/>
      <c r="L4594" s="23"/>
      <c r="M4594" s="20"/>
      <c r="N4594" s="20"/>
      <c r="O4594" s="20"/>
      <c r="P4594" s="20"/>
    </row>
    <row r="4595">
      <c r="A4595" s="10"/>
      <c r="B4595" s="11"/>
      <c r="C4595" s="10"/>
      <c r="D4595" s="13"/>
      <c r="E4595" s="14"/>
      <c r="F4595" s="14"/>
      <c r="G4595" s="14"/>
      <c r="H4595" s="10"/>
      <c r="I4595" s="17"/>
      <c r="J4595" s="10"/>
      <c r="K4595" s="46"/>
      <c r="L4595" s="10"/>
      <c r="M4595" s="20"/>
      <c r="N4595" s="20"/>
      <c r="O4595" s="20"/>
      <c r="P4595" s="20"/>
    </row>
    <row r="4596">
      <c r="A4596" s="23"/>
      <c r="B4596" s="21"/>
      <c r="C4596" s="23"/>
      <c r="D4596" s="24"/>
      <c r="E4596" s="14"/>
      <c r="F4596" s="14"/>
      <c r="G4596" s="14"/>
      <c r="H4596" s="23"/>
      <c r="I4596" s="27"/>
      <c r="J4596" s="23"/>
      <c r="K4596" s="30"/>
      <c r="L4596" s="23"/>
      <c r="M4596" s="20"/>
      <c r="N4596" s="20"/>
      <c r="O4596" s="20"/>
      <c r="P4596" s="20"/>
    </row>
    <row r="4597">
      <c r="A4597" s="10"/>
      <c r="B4597" s="11"/>
      <c r="C4597" s="10"/>
      <c r="D4597" s="13"/>
      <c r="E4597" s="14"/>
      <c r="F4597" s="14"/>
      <c r="G4597" s="14"/>
      <c r="H4597" s="10"/>
      <c r="I4597" s="17"/>
      <c r="J4597" s="10"/>
      <c r="K4597" s="46"/>
      <c r="L4597" s="10"/>
      <c r="M4597" s="20"/>
      <c r="N4597" s="20"/>
      <c r="O4597" s="20"/>
      <c r="P4597" s="20"/>
    </row>
    <row r="4598">
      <c r="A4598" s="23"/>
      <c r="B4598" s="21"/>
      <c r="C4598" s="23"/>
      <c r="D4598" s="24"/>
      <c r="E4598" s="14"/>
      <c r="F4598" s="14"/>
      <c r="G4598" s="14"/>
      <c r="H4598" s="23"/>
      <c r="I4598" s="27"/>
      <c r="J4598" s="23"/>
      <c r="K4598" s="30"/>
      <c r="L4598" s="23"/>
      <c r="M4598" s="20"/>
      <c r="N4598" s="20"/>
      <c r="O4598" s="20"/>
      <c r="P4598" s="20"/>
    </row>
    <row r="4599">
      <c r="A4599" s="10"/>
      <c r="B4599" s="11"/>
      <c r="C4599" s="10"/>
      <c r="D4599" s="13"/>
      <c r="E4599" s="14"/>
      <c r="F4599" s="14"/>
      <c r="G4599" s="14"/>
      <c r="H4599" s="10"/>
      <c r="I4599" s="17"/>
      <c r="J4599" s="10"/>
      <c r="K4599" s="46"/>
      <c r="L4599" s="10"/>
      <c r="M4599" s="20"/>
      <c r="N4599" s="20"/>
      <c r="O4599" s="20"/>
      <c r="P4599" s="20"/>
    </row>
    <row r="4600">
      <c r="A4600" s="23"/>
      <c r="B4600" s="21"/>
      <c r="C4600" s="23"/>
      <c r="D4600" s="24"/>
      <c r="E4600" s="14"/>
      <c r="F4600" s="14"/>
      <c r="G4600" s="14"/>
      <c r="H4600" s="23"/>
      <c r="I4600" s="27"/>
      <c r="J4600" s="23"/>
      <c r="K4600" s="30"/>
      <c r="L4600" s="23"/>
      <c r="M4600" s="20"/>
      <c r="N4600" s="20"/>
      <c r="O4600" s="20"/>
      <c r="P4600" s="20"/>
    </row>
    <row r="4601">
      <c r="A4601" s="10"/>
      <c r="B4601" s="11"/>
      <c r="C4601" s="10"/>
      <c r="D4601" s="13"/>
      <c r="E4601" s="14"/>
      <c r="F4601" s="14"/>
      <c r="G4601" s="14"/>
      <c r="H4601" s="10"/>
      <c r="I4601" s="17"/>
      <c r="J4601" s="10"/>
      <c r="K4601" s="46"/>
      <c r="L4601" s="10"/>
      <c r="M4601" s="20"/>
      <c r="N4601" s="20"/>
      <c r="O4601" s="20"/>
      <c r="P4601" s="20"/>
    </row>
    <row r="4602">
      <c r="A4602" s="23"/>
      <c r="B4602" s="21"/>
      <c r="C4602" s="23"/>
      <c r="D4602" s="24"/>
      <c r="E4602" s="14"/>
      <c r="F4602" s="14"/>
      <c r="G4602" s="14"/>
      <c r="H4602" s="23"/>
      <c r="I4602" s="27"/>
      <c r="J4602" s="23"/>
      <c r="K4602" s="30"/>
      <c r="L4602" s="23"/>
      <c r="M4602" s="20"/>
      <c r="N4602" s="20"/>
      <c r="O4602" s="20"/>
      <c r="P4602" s="20"/>
    </row>
    <row r="4603">
      <c r="A4603" s="10"/>
      <c r="B4603" s="11"/>
      <c r="C4603" s="10"/>
      <c r="D4603" s="13"/>
      <c r="E4603" s="14"/>
      <c r="F4603" s="14"/>
      <c r="G4603" s="14"/>
      <c r="H4603" s="10"/>
      <c r="I4603" s="17"/>
      <c r="J4603" s="10"/>
      <c r="K4603" s="46"/>
      <c r="L4603" s="10"/>
      <c r="M4603" s="20"/>
      <c r="N4603" s="20"/>
      <c r="O4603" s="20"/>
      <c r="P4603" s="20"/>
    </row>
    <row r="4604">
      <c r="A4604" s="23"/>
      <c r="B4604" s="21"/>
      <c r="C4604" s="23"/>
      <c r="D4604" s="24"/>
      <c r="E4604" s="14"/>
      <c r="F4604" s="14"/>
      <c r="G4604" s="14"/>
      <c r="H4604" s="23"/>
      <c r="I4604" s="27"/>
      <c r="J4604" s="23"/>
      <c r="K4604" s="30"/>
      <c r="L4604" s="23"/>
      <c r="M4604" s="20"/>
      <c r="N4604" s="20"/>
      <c r="O4604" s="20"/>
      <c r="P4604" s="20"/>
    </row>
    <row r="4605">
      <c r="A4605" s="10"/>
      <c r="B4605" s="11"/>
      <c r="C4605" s="10"/>
      <c r="D4605" s="13"/>
      <c r="E4605" s="14"/>
      <c r="F4605" s="14"/>
      <c r="G4605" s="14"/>
      <c r="H4605" s="10"/>
      <c r="I4605" s="17"/>
      <c r="J4605" s="10"/>
      <c r="K4605" s="46"/>
      <c r="L4605" s="10"/>
      <c r="M4605" s="20"/>
      <c r="N4605" s="20"/>
      <c r="O4605" s="20"/>
      <c r="P4605" s="20"/>
    </row>
    <row r="4606">
      <c r="A4606" s="23"/>
      <c r="B4606" s="21"/>
      <c r="C4606" s="23"/>
      <c r="D4606" s="24"/>
      <c r="E4606" s="14"/>
      <c r="F4606" s="14"/>
      <c r="G4606" s="14"/>
      <c r="H4606" s="23"/>
      <c r="I4606" s="27"/>
      <c r="J4606" s="23"/>
      <c r="K4606" s="30"/>
      <c r="L4606" s="23"/>
      <c r="M4606" s="20"/>
      <c r="N4606" s="20"/>
      <c r="O4606" s="20"/>
      <c r="P4606" s="20"/>
    </row>
    <row r="4607">
      <c r="A4607" s="10"/>
      <c r="B4607" s="11"/>
      <c r="C4607" s="10"/>
      <c r="D4607" s="13"/>
      <c r="E4607" s="14"/>
      <c r="F4607" s="14"/>
      <c r="G4607" s="14"/>
      <c r="H4607" s="10"/>
      <c r="I4607" s="17"/>
      <c r="J4607" s="10"/>
      <c r="K4607" s="46"/>
      <c r="L4607" s="10"/>
      <c r="M4607" s="20"/>
      <c r="N4607" s="20"/>
      <c r="O4607" s="20"/>
      <c r="P4607" s="20"/>
    </row>
    <row r="4608">
      <c r="A4608" s="23"/>
      <c r="B4608" s="21"/>
      <c r="C4608" s="23"/>
      <c r="D4608" s="24"/>
      <c r="E4608" s="14"/>
      <c r="F4608" s="14"/>
      <c r="G4608" s="14"/>
      <c r="H4608" s="23"/>
      <c r="I4608" s="27"/>
      <c r="J4608" s="23"/>
      <c r="K4608" s="30"/>
      <c r="L4608" s="23"/>
      <c r="M4608" s="20"/>
      <c r="N4608" s="20"/>
      <c r="O4608" s="20"/>
      <c r="P4608" s="20"/>
    </row>
    <row r="4609">
      <c r="A4609" s="10"/>
      <c r="B4609" s="11"/>
      <c r="C4609" s="10"/>
      <c r="D4609" s="13"/>
      <c r="E4609" s="14"/>
      <c r="F4609" s="14"/>
      <c r="G4609" s="14"/>
      <c r="H4609" s="10"/>
      <c r="I4609" s="17"/>
      <c r="J4609" s="10"/>
      <c r="K4609" s="46"/>
      <c r="L4609" s="10"/>
      <c r="M4609" s="20"/>
      <c r="N4609" s="20"/>
      <c r="O4609" s="20"/>
      <c r="P4609" s="20"/>
    </row>
    <row r="4610">
      <c r="A4610" s="23"/>
      <c r="B4610" s="21"/>
      <c r="C4610" s="23"/>
      <c r="D4610" s="24"/>
      <c r="E4610" s="14"/>
      <c r="F4610" s="14"/>
      <c r="G4610" s="14"/>
      <c r="H4610" s="23"/>
      <c r="I4610" s="27"/>
      <c r="J4610" s="23"/>
      <c r="K4610" s="30"/>
      <c r="L4610" s="23"/>
      <c r="M4610" s="20"/>
      <c r="N4610" s="20"/>
      <c r="O4610" s="20"/>
      <c r="P4610" s="20"/>
    </row>
    <row r="4611">
      <c r="A4611" s="10"/>
      <c r="B4611" s="11"/>
      <c r="C4611" s="10"/>
      <c r="D4611" s="13"/>
      <c r="E4611" s="14"/>
      <c r="F4611" s="14"/>
      <c r="G4611" s="14"/>
      <c r="H4611" s="10"/>
      <c r="I4611" s="17"/>
      <c r="J4611" s="10"/>
      <c r="K4611" s="46"/>
      <c r="L4611" s="10"/>
      <c r="M4611" s="20"/>
      <c r="N4611" s="20"/>
      <c r="O4611" s="20"/>
      <c r="P4611" s="20"/>
    </row>
    <row r="4612">
      <c r="A4612" s="23"/>
      <c r="B4612" s="21"/>
      <c r="C4612" s="23"/>
      <c r="D4612" s="24"/>
      <c r="E4612" s="14"/>
      <c r="F4612" s="14"/>
      <c r="G4612" s="14"/>
      <c r="H4612" s="23"/>
      <c r="I4612" s="27"/>
      <c r="J4612" s="23"/>
      <c r="K4612" s="30"/>
      <c r="L4612" s="23"/>
      <c r="M4612" s="20"/>
      <c r="N4612" s="20"/>
      <c r="O4612" s="20"/>
      <c r="P4612" s="20"/>
    </row>
    <row r="4613">
      <c r="A4613" s="10"/>
      <c r="B4613" s="11"/>
      <c r="C4613" s="10"/>
      <c r="D4613" s="13"/>
      <c r="E4613" s="14"/>
      <c r="F4613" s="14"/>
      <c r="G4613" s="14"/>
      <c r="H4613" s="10"/>
      <c r="I4613" s="17"/>
      <c r="J4613" s="10"/>
      <c r="K4613" s="46"/>
      <c r="L4613" s="10"/>
      <c r="M4613" s="20"/>
      <c r="N4613" s="20"/>
      <c r="O4613" s="20"/>
      <c r="P4613" s="20"/>
    </row>
    <row r="4614">
      <c r="A4614" s="23"/>
      <c r="B4614" s="21"/>
      <c r="C4614" s="23"/>
      <c r="D4614" s="24"/>
      <c r="E4614" s="14"/>
      <c r="F4614" s="14"/>
      <c r="G4614" s="14"/>
      <c r="H4614" s="23"/>
      <c r="I4614" s="27"/>
      <c r="J4614" s="23"/>
      <c r="K4614" s="30"/>
      <c r="L4614" s="23"/>
      <c r="M4614" s="20"/>
      <c r="N4614" s="20"/>
      <c r="O4614" s="20"/>
      <c r="P4614" s="20"/>
    </row>
    <row r="4615">
      <c r="A4615" s="10"/>
      <c r="B4615" s="11"/>
      <c r="C4615" s="10"/>
      <c r="D4615" s="13"/>
      <c r="E4615" s="14"/>
      <c r="F4615" s="14"/>
      <c r="G4615" s="14"/>
      <c r="H4615" s="10"/>
      <c r="I4615" s="17"/>
      <c r="J4615" s="10"/>
      <c r="K4615" s="46"/>
      <c r="L4615" s="10"/>
      <c r="M4615" s="20"/>
      <c r="N4615" s="20"/>
      <c r="O4615" s="20"/>
      <c r="P4615" s="20"/>
    </row>
    <row r="4616">
      <c r="A4616" s="23"/>
      <c r="B4616" s="21"/>
      <c r="C4616" s="23"/>
      <c r="D4616" s="24"/>
      <c r="E4616" s="14"/>
      <c r="F4616" s="14"/>
      <c r="G4616" s="14"/>
      <c r="H4616" s="23"/>
      <c r="I4616" s="27"/>
      <c r="J4616" s="23"/>
      <c r="K4616" s="30"/>
      <c r="L4616" s="23"/>
      <c r="M4616" s="20"/>
      <c r="N4616" s="20"/>
      <c r="O4616" s="20"/>
      <c r="P4616" s="20"/>
    </row>
    <row r="4617">
      <c r="A4617" s="10"/>
      <c r="B4617" s="11"/>
      <c r="C4617" s="10"/>
      <c r="D4617" s="13"/>
      <c r="E4617" s="14"/>
      <c r="F4617" s="14"/>
      <c r="G4617" s="14"/>
      <c r="H4617" s="10"/>
      <c r="I4617" s="17"/>
      <c r="J4617" s="10"/>
      <c r="K4617" s="46"/>
      <c r="L4617" s="10"/>
      <c r="M4617" s="20"/>
      <c r="N4617" s="20"/>
      <c r="O4617" s="20"/>
      <c r="P4617" s="20"/>
    </row>
    <row r="4618">
      <c r="A4618" s="23"/>
      <c r="B4618" s="21"/>
      <c r="C4618" s="23"/>
      <c r="D4618" s="24"/>
      <c r="E4618" s="14"/>
      <c r="F4618" s="14"/>
      <c r="G4618" s="14"/>
      <c r="H4618" s="23"/>
      <c r="I4618" s="27"/>
      <c r="J4618" s="23"/>
      <c r="K4618" s="30"/>
      <c r="L4618" s="23"/>
      <c r="M4618" s="20"/>
      <c r="N4618" s="20"/>
      <c r="O4618" s="20"/>
      <c r="P4618" s="20"/>
    </row>
    <row r="4619">
      <c r="A4619" s="10"/>
      <c r="B4619" s="11"/>
      <c r="C4619" s="10"/>
      <c r="D4619" s="13"/>
      <c r="E4619" s="14"/>
      <c r="F4619" s="14"/>
      <c r="G4619" s="14"/>
      <c r="H4619" s="10"/>
      <c r="I4619" s="17"/>
      <c r="J4619" s="10"/>
      <c r="K4619" s="46"/>
      <c r="L4619" s="10"/>
      <c r="M4619" s="20"/>
      <c r="N4619" s="20"/>
      <c r="O4619" s="20"/>
      <c r="P4619" s="20"/>
    </row>
    <row r="4620">
      <c r="A4620" s="23"/>
      <c r="B4620" s="21"/>
      <c r="C4620" s="23"/>
      <c r="D4620" s="24"/>
      <c r="E4620" s="14"/>
      <c r="F4620" s="14"/>
      <c r="G4620" s="14"/>
      <c r="H4620" s="23"/>
      <c r="I4620" s="27"/>
      <c r="J4620" s="23"/>
      <c r="K4620" s="30"/>
      <c r="L4620" s="23"/>
      <c r="M4620" s="20"/>
      <c r="N4620" s="20"/>
      <c r="O4620" s="20"/>
      <c r="P4620" s="20"/>
    </row>
    <row r="4621">
      <c r="A4621" s="10"/>
      <c r="B4621" s="11"/>
      <c r="C4621" s="10"/>
      <c r="D4621" s="13"/>
      <c r="E4621" s="14"/>
      <c r="F4621" s="14"/>
      <c r="G4621" s="14"/>
      <c r="H4621" s="10"/>
      <c r="I4621" s="17"/>
      <c r="J4621" s="10"/>
      <c r="K4621" s="46"/>
      <c r="L4621" s="10"/>
      <c r="M4621" s="20"/>
      <c r="N4621" s="20"/>
      <c r="O4621" s="20"/>
      <c r="P4621" s="20"/>
    </row>
    <row r="4622">
      <c r="A4622" s="23"/>
      <c r="B4622" s="21"/>
      <c r="C4622" s="23"/>
      <c r="D4622" s="24"/>
      <c r="E4622" s="14"/>
      <c r="F4622" s="14"/>
      <c r="G4622" s="14"/>
      <c r="H4622" s="23"/>
      <c r="I4622" s="27"/>
      <c r="J4622" s="23"/>
      <c r="K4622" s="30"/>
      <c r="L4622" s="23"/>
      <c r="M4622" s="20"/>
      <c r="N4622" s="20"/>
      <c r="O4622" s="20"/>
      <c r="P4622" s="20"/>
    </row>
    <row r="4623">
      <c r="A4623" s="10"/>
      <c r="B4623" s="11"/>
      <c r="C4623" s="10"/>
      <c r="D4623" s="13"/>
      <c r="E4623" s="14"/>
      <c r="F4623" s="14"/>
      <c r="G4623" s="14"/>
      <c r="H4623" s="10"/>
      <c r="I4623" s="17"/>
      <c r="J4623" s="10"/>
      <c r="K4623" s="46"/>
      <c r="L4623" s="10"/>
      <c r="M4623" s="20"/>
      <c r="N4623" s="20"/>
      <c r="O4623" s="20"/>
      <c r="P4623" s="20"/>
    </row>
    <row r="4624">
      <c r="A4624" s="23"/>
      <c r="B4624" s="21"/>
      <c r="C4624" s="23"/>
      <c r="D4624" s="24"/>
      <c r="E4624" s="14"/>
      <c r="F4624" s="14"/>
      <c r="G4624" s="14"/>
      <c r="H4624" s="23"/>
      <c r="I4624" s="27"/>
      <c r="J4624" s="23"/>
      <c r="K4624" s="30"/>
      <c r="L4624" s="23"/>
      <c r="M4624" s="20"/>
      <c r="N4624" s="20"/>
      <c r="O4624" s="20"/>
      <c r="P4624" s="20"/>
    </row>
    <row r="4625">
      <c r="A4625" s="10"/>
      <c r="B4625" s="11"/>
      <c r="C4625" s="10"/>
      <c r="D4625" s="13"/>
      <c r="E4625" s="14"/>
      <c r="F4625" s="14"/>
      <c r="G4625" s="14"/>
      <c r="H4625" s="10"/>
      <c r="I4625" s="17"/>
      <c r="J4625" s="10"/>
      <c r="K4625" s="46"/>
      <c r="L4625" s="10"/>
      <c r="M4625" s="20"/>
      <c r="N4625" s="20"/>
      <c r="O4625" s="20"/>
      <c r="P4625" s="20"/>
    </row>
    <row r="4626">
      <c r="A4626" s="23"/>
      <c r="B4626" s="21"/>
      <c r="C4626" s="23"/>
      <c r="D4626" s="24"/>
      <c r="E4626" s="14"/>
      <c r="F4626" s="14"/>
      <c r="G4626" s="14"/>
      <c r="H4626" s="23"/>
      <c r="I4626" s="27"/>
      <c r="J4626" s="23"/>
      <c r="K4626" s="30"/>
      <c r="L4626" s="23"/>
      <c r="M4626" s="20"/>
      <c r="N4626" s="20"/>
      <c r="O4626" s="20"/>
      <c r="P4626" s="20"/>
    </row>
    <row r="4627">
      <c r="A4627" s="10"/>
      <c r="B4627" s="11"/>
      <c r="C4627" s="10"/>
      <c r="D4627" s="13"/>
      <c r="E4627" s="14"/>
      <c r="F4627" s="14"/>
      <c r="G4627" s="14"/>
      <c r="H4627" s="10"/>
      <c r="I4627" s="17"/>
      <c r="J4627" s="10"/>
      <c r="K4627" s="46"/>
      <c r="L4627" s="10"/>
      <c r="M4627" s="20"/>
      <c r="N4627" s="20"/>
      <c r="O4627" s="20"/>
      <c r="P4627" s="20"/>
    </row>
    <row r="4628">
      <c r="A4628" s="23"/>
      <c r="B4628" s="21"/>
      <c r="C4628" s="23"/>
      <c r="D4628" s="24"/>
      <c r="E4628" s="14"/>
      <c r="F4628" s="14"/>
      <c r="G4628" s="14"/>
      <c r="H4628" s="23"/>
      <c r="I4628" s="27"/>
      <c r="J4628" s="23"/>
      <c r="K4628" s="30"/>
      <c r="L4628" s="23"/>
      <c r="M4628" s="20"/>
      <c r="N4628" s="20"/>
      <c r="O4628" s="20"/>
      <c r="P4628" s="20"/>
    </row>
    <row r="4629">
      <c r="A4629" s="10"/>
      <c r="B4629" s="11"/>
      <c r="C4629" s="10"/>
      <c r="D4629" s="13"/>
      <c r="E4629" s="14"/>
      <c r="F4629" s="14"/>
      <c r="G4629" s="14"/>
      <c r="H4629" s="10"/>
      <c r="I4629" s="17"/>
      <c r="J4629" s="10"/>
      <c r="K4629" s="46"/>
      <c r="L4629" s="10"/>
      <c r="M4629" s="20"/>
      <c r="N4629" s="20"/>
      <c r="O4629" s="20"/>
      <c r="P4629" s="20"/>
    </row>
    <row r="4630">
      <c r="A4630" s="23"/>
      <c r="B4630" s="21"/>
      <c r="C4630" s="23"/>
      <c r="D4630" s="24"/>
      <c r="E4630" s="14"/>
      <c r="F4630" s="14"/>
      <c r="G4630" s="14"/>
      <c r="H4630" s="23"/>
      <c r="I4630" s="27"/>
      <c r="J4630" s="23"/>
      <c r="K4630" s="30"/>
      <c r="L4630" s="23"/>
      <c r="M4630" s="20"/>
      <c r="N4630" s="20"/>
      <c r="O4630" s="20"/>
      <c r="P4630" s="20"/>
    </row>
    <row r="4631">
      <c r="A4631" s="10"/>
      <c r="B4631" s="11"/>
      <c r="C4631" s="10"/>
      <c r="D4631" s="13"/>
      <c r="E4631" s="14"/>
      <c r="F4631" s="14"/>
      <c r="G4631" s="14"/>
      <c r="H4631" s="10"/>
      <c r="I4631" s="17"/>
      <c r="J4631" s="10"/>
      <c r="K4631" s="46"/>
      <c r="L4631" s="10"/>
      <c r="M4631" s="20"/>
      <c r="N4631" s="20"/>
      <c r="O4631" s="20"/>
      <c r="P4631" s="20"/>
    </row>
    <row r="4632">
      <c r="A4632" s="23"/>
      <c r="B4632" s="21"/>
      <c r="C4632" s="23"/>
      <c r="D4632" s="24"/>
      <c r="E4632" s="14"/>
      <c r="F4632" s="14"/>
      <c r="G4632" s="14"/>
      <c r="H4632" s="23"/>
      <c r="I4632" s="27"/>
      <c r="J4632" s="23"/>
      <c r="K4632" s="30"/>
      <c r="L4632" s="23"/>
      <c r="M4632" s="20"/>
      <c r="N4632" s="20"/>
      <c r="O4632" s="20"/>
      <c r="P4632" s="20"/>
    </row>
    <row r="4633">
      <c r="A4633" s="10"/>
      <c r="B4633" s="11"/>
      <c r="C4633" s="10"/>
      <c r="D4633" s="13"/>
      <c r="E4633" s="14"/>
      <c r="F4633" s="14"/>
      <c r="G4633" s="14"/>
      <c r="H4633" s="10"/>
      <c r="I4633" s="17"/>
      <c r="J4633" s="10"/>
      <c r="K4633" s="46"/>
      <c r="L4633" s="10"/>
      <c r="M4633" s="20"/>
      <c r="N4633" s="20"/>
      <c r="O4633" s="20"/>
      <c r="P4633" s="20"/>
    </row>
    <row r="4634">
      <c r="A4634" s="23"/>
      <c r="B4634" s="21"/>
      <c r="C4634" s="23"/>
      <c r="D4634" s="24"/>
      <c r="E4634" s="14"/>
      <c r="F4634" s="14"/>
      <c r="G4634" s="14"/>
      <c r="H4634" s="23"/>
      <c r="I4634" s="27"/>
      <c r="J4634" s="23"/>
      <c r="K4634" s="30"/>
      <c r="L4634" s="23"/>
      <c r="M4634" s="20"/>
      <c r="N4634" s="20"/>
      <c r="O4634" s="20"/>
      <c r="P4634" s="20"/>
    </row>
    <row r="4635">
      <c r="A4635" s="10"/>
      <c r="B4635" s="11"/>
      <c r="C4635" s="10"/>
      <c r="D4635" s="13"/>
      <c r="E4635" s="14"/>
      <c r="F4635" s="14"/>
      <c r="G4635" s="14"/>
      <c r="H4635" s="10"/>
      <c r="I4635" s="17"/>
      <c r="J4635" s="10"/>
      <c r="K4635" s="46"/>
      <c r="L4635" s="10"/>
      <c r="M4635" s="20"/>
      <c r="N4635" s="20"/>
      <c r="O4635" s="20"/>
      <c r="P4635" s="20"/>
    </row>
    <row r="4636">
      <c r="A4636" s="23"/>
      <c r="B4636" s="21"/>
      <c r="C4636" s="23"/>
      <c r="D4636" s="24"/>
      <c r="E4636" s="14"/>
      <c r="F4636" s="14"/>
      <c r="G4636" s="14"/>
      <c r="H4636" s="23"/>
      <c r="I4636" s="27"/>
      <c r="J4636" s="23"/>
      <c r="K4636" s="30"/>
      <c r="L4636" s="23"/>
      <c r="M4636" s="20"/>
      <c r="N4636" s="20"/>
      <c r="O4636" s="20"/>
      <c r="P4636" s="20"/>
    </row>
    <row r="4637">
      <c r="A4637" s="10"/>
      <c r="B4637" s="11"/>
      <c r="C4637" s="10"/>
      <c r="D4637" s="13"/>
      <c r="E4637" s="14"/>
      <c r="F4637" s="14"/>
      <c r="G4637" s="14"/>
      <c r="H4637" s="10"/>
      <c r="I4637" s="17"/>
      <c r="J4637" s="10"/>
      <c r="K4637" s="46"/>
      <c r="L4637" s="10"/>
      <c r="M4637" s="20"/>
      <c r="N4637" s="20"/>
      <c r="O4637" s="20"/>
      <c r="P4637" s="20"/>
    </row>
    <row r="4638">
      <c r="A4638" s="23"/>
      <c r="B4638" s="21"/>
      <c r="C4638" s="23"/>
      <c r="D4638" s="24"/>
      <c r="E4638" s="14"/>
      <c r="F4638" s="14"/>
      <c r="G4638" s="14"/>
      <c r="H4638" s="23"/>
      <c r="I4638" s="27"/>
      <c r="J4638" s="23"/>
      <c r="K4638" s="30"/>
      <c r="L4638" s="23"/>
      <c r="M4638" s="20"/>
      <c r="N4638" s="20"/>
      <c r="O4638" s="20"/>
      <c r="P4638" s="20"/>
    </row>
    <row r="4639">
      <c r="A4639" s="10"/>
      <c r="B4639" s="11"/>
      <c r="C4639" s="10"/>
      <c r="D4639" s="13"/>
      <c r="E4639" s="14"/>
      <c r="F4639" s="14"/>
      <c r="G4639" s="14"/>
      <c r="H4639" s="10"/>
      <c r="I4639" s="17"/>
      <c r="J4639" s="10"/>
      <c r="K4639" s="46"/>
      <c r="L4639" s="10"/>
      <c r="M4639" s="20"/>
      <c r="N4639" s="20"/>
      <c r="O4639" s="20"/>
      <c r="P4639" s="20"/>
    </row>
    <row r="4640">
      <c r="A4640" s="23"/>
      <c r="B4640" s="21"/>
      <c r="C4640" s="23"/>
      <c r="D4640" s="24"/>
      <c r="E4640" s="14"/>
      <c r="F4640" s="14"/>
      <c r="G4640" s="14"/>
      <c r="H4640" s="23"/>
      <c r="I4640" s="27"/>
      <c r="J4640" s="23"/>
      <c r="K4640" s="30"/>
      <c r="L4640" s="23"/>
      <c r="M4640" s="20"/>
      <c r="N4640" s="20"/>
      <c r="O4640" s="20"/>
      <c r="P4640" s="20"/>
    </row>
    <row r="4641">
      <c r="A4641" s="10"/>
      <c r="B4641" s="11"/>
      <c r="C4641" s="10"/>
      <c r="D4641" s="13"/>
      <c r="E4641" s="14"/>
      <c r="F4641" s="14"/>
      <c r="G4641" s="14"/>
      <c r="H4641" s="10"/>
      <c r="I4641" s="17"/>
      <c r="J4641" s="10"/>
      <c r="K4641" s="46"/>
      <c r="L4641" s="10"/>
      <c r="M4641" s="20"/>
      <c r="N4641" s="20"/>
      <c r="O4641" s="20"/>
      <c r="P4641" s="20"/>
    </row>
    <row r="4642">
      <c r="A4642" s="23"/>
      <c r="B4642" s="21"/>
      <c r="C4642" s="23"/>
      <c r="D4642" s="24"/>
      <c r="E4642" s="14"/>
      <c r="F4642" s="14"/>
      <c r="G4642" s="14"/>
      <c r="H4642" s="23"/>
      <c r="I4642" s="27"/>
      <c r="J4642" s="23"/>
      <c r="K4642" s="30"/>
      <c r="L4642" s="23"/>
      <c r="M4642" s="20"/>
      <c r="N4642" s="20"/>
      <c r="O4642" s="20"/>
      <c r="P4642" s="20"/>
    </row>
    <row r="4643">
      <c r="A4643" s="10"/>
      <c r="B4643" s="11"/>
      <c r="C4643" s="10"/>
      <c r="D4643" s="13"/>
      <c r="E4643" s="14"/>
      <c r="F4643" s="14"/>
      <c r="G4643" s="14"/>
      <c r="H4643" s="10"/>
      <c r="I4643" s="17"/>
      <c r="J4643" s="10"/>
      <c r="K4643" s="46"/>
      <c r="L4643" s="10"/>
      <c r="M4643" s="20"/>
      <c r="N4643" s="20"/>
      <c r="O4643" s="20"/>
      <c r="P4643" s="20"/>
    </row>
    <row r="4644">
      <c r="A4644" s="23"/>
      <c r="B4644" s="21"/>
      <c r="C4644" s="23"/>
      <c r="D4644" s="24"/>
      <c r="E4644" s="14"/>
      <c r="F4644" s="14"/>
      <c r="G4644" s="14"/>
      <c r="H4644" s="23"/>
      <c r="I4644" s="27"/>
      <c r="J4644" s="23"/>
      <c r="K4644" s="30"/>
      <c r="L4644" s="23"/>
      <c r="M4644" s="20"/>
      <c r="N4644" s="20"/>
      <c r="O4644" s="20"/>
      <c r="P4644" s="20"/>
    </row>
    <row r="4645">
      <c r="A4645" s="10"/>
      <c r="B4645" s="11"/>
      <c r="C4645" s="10"/>
      <c r="D4645" s="13"/>
      <c r="E4645" s="14"/>
      <c r="F4645" s="14"/>
      <c r="G4645" s="14"/>
      <c r="H4645" s="10"/>
      <c r="I4645" s="17"/>
      <c r="J4645" s="10"/>
      <c r="K4645" s="46"/>
      <c r="L4645" s="10"/>
      <c r="M4645" s="20"/>
      <c r="N4645" s="20"/>
      <c r="O4645" s="20"/>
      <c r="P4645" s="20"/>
    </row>
    <row r="4646">
      <c r="A4646" s="23"/>
      <c r="B4646" s="21"/>
      <c r="C4646" s="23"/>
      <c r="D4646" s="24"/>
      <c r="E4646" s="14"/>
      <c r="F4646" s="14"/>
      <c r="G4646" s="14"/>
      <c r="H4646" s="23"/>
      <c r="I4646" s="27"/>
      <c r="J4646" s="23"/>
      <c r="K4646" s="30"/>
      <c r="L4646" s="23"/>
      <c r="M4646" s="20"/>
      <c r="N4646" s="20"/>
      <c r="O4646" s="20"/>
      <c r="P4646" s="20"/>
    </row>
    <row r="4647">
      <c r="A4647" s="10"/>
      <c r="B4647" s="11"/>
      <c r="C4647" s="10"/>
      <c r="D4647" s="13"/>
      <c r="E4647" s="14"/>
      <c r="F4647" s="14"/>
      <c r="G4647" s="14"/>
      <c r="H4647" s="10"/>
      <c r="I4647" s="17"/>
      <c r="J4647" s="10"/>
      <c r="K4647" s="46"/>
      <c r="L4647" s="10"/>
      <c r="M4647" s="20"/>
      <c r="N4647" s="20"/>
      <c r="O4647" s="20"/>
      <c r="P4647" s="20"/>
    </row>
    <row r="4648">
      <c r="A4648" s="23"/>
      <c r="B4648" s="21"/>
      <c r="C4648" s="23"/>
      <c r="D4648" s="24"/>
      <c r="E4648" s="14"/>
      <c r="F4648" s="14"/>
      <c r="G4648" s="14"/>
      <c r="H4648" s="23"/>
      <c r="I4648" s="27"/>
      <c r="J4648" s="23"/>
      <c r="K4648" s="30"/>
      <c r="L4648" s="23"/>
      <c r="M4648" s="20"/>
      <c r="N4648" s="20"/>
      <c r="O4648" s="20"/>
      <c r="P4648" s="20"/>
    </row>
    <row r="4649">
      <c r="A4649" s="10"/>
      <c r="B4649" s="11"/>
      <c r="C4649" s="10"/>
      <c r="D4649" s="13"/>
      <c r="E4649" s="14"/>
      <c r="F4649" s="14"/>
      <c r="G4649" s="14"/>
      <c r="H4649" s="10"/>
      <c r="I4649" s="17"/>
      <c r="J4649" s="10"/>
      <c r="K4649" s="46"/>
      <c r="L4649" s="10"/>
      <c r="M4649" s="20"/>
      <c r="N4649" s="20"/>
      <c r="O4649" s="20"/>
      <c r="P4649" s="20"/>
    </row>
    <row r="4650">
      <c r="A4650" s="23"/>
      <c r="B4650" s="21"/>
      <c r="C4650" s="23"/>
      <c r="D4650" s="24"/>
      <c r="E4650" s="14"/>
      <c r="F4650" s="14"/>
      <c r="G4650" s="14"/>
      <c r="H4650" s="23"/>
      <c r="I4650" s="27"/>
      <c r="J4650" s="23"/>
      <c r="K4650" s="30"/>
      <c r="L4650" s="23"/>
      <c r="M4650" s="20"/>
      <c r="N4650" s="20"/>
      <c r="O4650" s="20"/>
      <c r="P4650" s="20"/>
    </row>
    <row r="4651">
      <c r="A4651" s="10"/>
      <c r="B4651" s="11"/>
      <c r="C4651" s="10"/>
      <c r="D4651" s="13"/>
      <c r="E4651" s="14"/>
      <c r="F4651" s="14"/>
      <c r="G4651" s="14"/>
      <c r="H4651" s="10"/>
      <c r="I4651" s="17"/>
      <c r="J4651" s="10"/>
      <c r="K4651" s="46"/>
      <c r="L4651" s="10"/>
      <c r="M4651" s="20"/>
      <c r="N4651" s="20"/>
      <c r="O4651" s="20"/>
      <c r="P4651" s="20"/>
    </row>
    <row r="4652">
      <c r="A4652" s="23"/>
      <c r="B4652" s="21"/>
      <c r="C4652" s="23"/>
      <c r="D4652" s="24"/>
      <c r="E4652" s="14"/>
      <c r="F4652" s="14"/>
      <c r="G4652" s="14"/>
      <c r="H4652" s="23"/>
      <c r="I4652" s="27"/>
      <c r="J4652" s="23"/>
      <c r="K4652" s="30"/>
      <c r="L4652" s="23"/>
      <c r="M4652" s="20"/>
      <c r="N4652" s="20"/>
      <c r="O4652" s="20"/>
      <c r="P4652" s="20"/>
    </row>
    <row r="4653">
      <c r="A4653" s="10"/>
      <c r="B4653" s="11"/>
      <c r="C4653" s="10"/>
      <c r="D4653" s="13"/>
      <c r="E4653" s="14"/>
      <c r="F4653" s="14"/>
      <c r="G4653" s="14"/>
      <c r="H4653" s="10"/>
      <c r="I4653" s="17"/>
      <c r="J4653" s="10"/>
      <c r="K4653" s="46"/>
      <c r="L4653" s="10"/>
      <c r="M4653" s="20"/>
      <c r="N4653" s="20"/>
      <c r="O4653" s="20"/>
      <c r="P4653" s="20"/>
    </row>
    <row r="4654">
      <c r="A4654" s="23"/>
      <c r="B4654" s="21"/>
      <c r="C4654" s="23"/>
      <c r="D4654" s="24"/>
      <c r="E4654" s="14"/>
      <c r="F4654" s="14"/>
      <c r="G4654" s="14"/>
      <c r="H4654" s="23"/>
      <c r="I4654" s="27"/>
      <c r="J4654" s="23"/>
      <c r="K4654" s="30"/>
      <c r="L4654" s="23"/>
      <c r="M4654" s="20"/>
      <c r="N4654" s="20"/>
      <c r="O4654" s="20"/>
      <c r="P4654" s="20"/>
    </row>
    <row r="4655">
      <c r="A4655" s="10"/>
      <c r="B4655" s="11"/>
      <c r="C4655" s="10"/>
      <c r="D4655" s="13"/>
      <c r="E4655" s="14"/>
      <c r="F4655" s="14"/>
      <c r="G4655" s="14"/>
      <c r="H4655" s="10"/>
      <c r="I4655" s="17"/>
      <c r="J4655" s="10"/>
      <c r="K4655" s="46"/>
      <c r="L4655" s="10"/>
      <c r="M4655" s="20"/>
      <c r="N4655" s="20"/>
      <c r="O4655" s="20"/>
      <c r="P4655" s="20"/>
    </row>
    <row r="4656">
      <c r="A4656" s="23"/>
      <c r="B4656" s="21"/>
      <c r="C4656" s="23"/>
      <c r="D4656" s="24"/>
      <c r="E4656" s="14"/>
      <c r="F4656" s="14"/>
      <c r="G4656" s="14"/>
      <c r="H4656" s="23"/>
      <c r="I4656" s="27"/>
      <c r="J4656" s="23"/>
      <c r="K4656" s="30"/>
      <c r="L4656" s="23"/>
      <c r="M4656" s="20"/>
      <c r="N4656" s="20"/>
      <c r="O4656" s="20"/>
      <c r="P4656" s="20"/>
    </row>
    <row r="4657">
      <c r="A4657" s="10"/>
      <c r="B4657" s="11"/>
      <c r="C4657" s="10"/>
      <c r="D4657" s="13"/>
      <c r="E4657" s="14"/>
      <c r="F4657" s="14"/>
      <c r="G4657" s="14"/>
      <c r="H4657" s="10"/>
      <c r="I4657" s="17"/>
      <c r="J4657" s="10"/>
      <c r="K4657" s="46"/>
      <c r="L4657" s="10"/>
      <c r="M4657" s="20"/>
      <c r="N4657" s="20"/>
      <c r="O4657" s="20"/>
      <c r="P4657" s="20"/>
    </row>
    <row r="4658">
      <c r="A4658" s="23"/>
      <c r="B4658" s="21"/>
      <c r="C4658" s="23"/>
      <c r="D4658" s="24"/>
      <c r="E4658" s="14"/>
      <c r="F4658" s="14"/>
      <c r="G4658" s="14"/>
      <c r="H4658" s="23"/>
      <c r="I4658" s="27"/>
      <c r="J4658" s="23"/>
      <c r="K4658" s="30"/>
      <c r="L4658" s="23"/>
      <c r="M4658" s="20"/>
      <c r="N4658" s="20"/>
      <c r="O4658" s="20"/>
      <c r="P4658" s="20"/>
    </row>
    <row r="4659">
      <c r="A4659" s="10"/>
      <c r="B4659" s="11"/>
      <c r="C4659" s="10"/>
      <c r="D4659" s="13"/>
      <c r="E4659" s="14"/>
      <c r="F4659" s="14"/>
      <c r="G4659" s="14"/>
      <c r="H4659" s="10"/>
      <c r="I4659" s="17"/>
      <c r="J4659" s="10"/>
      <c r="K4659" s="46"/>
      <c r="L4659" s="10"/>
      <c r="M4659" s="20"/>
      <c r="N4659" s="20"/>
      <c r="O4659" s="20"/>
      <c r="P4659" s="20"/>
    </row>
    <row r="4660">
      <c r="A4660" s="23"/>
      <c r="B4660" s="21"/>
      <c r="C4660" s="23"/>
      <c r="D4660" s="24"/>
      <c r="E4660" s="14"/>
      <c r="F4660" s="14"/>
      <c r="G4660" s="14"/>
      <c r="H4660" s="23"/>
      <c r="I4660" s="27"/>
      <c r="J4660" s="23"/>
      <c r="K4660" s="30"/>
      <c r="L4660" s="23"/>
      <c r="M4660" s="20"/>
      <c r="N4660" s="20"/>
      <c r="O4660" s="20"/>
      <c r="P4660" s="20"/>
    </row>
    <row r="4661">
      <c r="A4661" s="10"/>
      <c r="B4661" s="11"/>
      <c r="C4661" s="10"/>
      <c r="D4661" s="13"/>
      <c r="E4661" s="14"/>
      <c r="F4661" s="14"/>
      <c r="G4661" s="14"/>
      <c r="H4661" s="10"/>
      <c r="I4661" s="17"/>
      <c r="J4661" s="10"/>
      <c r="K4661" s="46"/>
      <c r="L4661" s="10"/>
      <c r="M4661" s="20"/>
      <c r="N4661" s="20"/>
      <c r="O4661" s="20"/>
      <c r="P4661" s="20"/>
    </row>
    <row r="4662">
      <c r="A4662" s="23"/>
      <c r="B4662" s="21"/>
      <c r="C4662" s="23"/>
      <c r="D4662" s="24"/>
      <c r="E4662" s="14"/>
      <c r="F4662" s="14"/>
      <c r="G4662" s="14"/>
      <c r="H4662" s="23"/>
      <c r="I4662" s="27"/>
      <c r="J4662" s="23"/>
      <c r="K4662" s="30"/>
      <c r="L4662" s="23"/>
      <c r="M4662" s="20"/>
      <c r="N4662" s="20"/>
      <c r="O4662" s="20"/>
      <c r="P4662" s="20"/>
    </row>
    <row r="4663">
      <c r="A4663" s="10"/>
      <c r="B4663" s="11"/>
      <c r="C4663" s="10"/>
      <c r="D4663" s="13"/>
      <c r="E4663" s="14"/>
      <c r="F4663" s="14"/>
      <c r="G4663" s="14"/>
      <c r="H4663" s="10"/>
      <c r="I4663" s="17"/>
      <c r="J4663" s="10"/>
      <c r="K4663" s="46"/>
      <c r="L4663" s="10"/>
      <c r="M4663" s="20"/>
      <c r="N4663" s="20"/>
      <c r="O4663" s="20"/>
      <c r="P4663" s="20"/>
    </row>
    <row r="4664">
      <c r="A4664" s="23"/>
      <c r="B4664" s="21"/>
      <c r="C4664" s="23"/>
      <c r="D4664" s="24"/>
      <c r="E4664" s="14"/>
      <c r="F4664" s="14"/>
      <c r="G4664" s="14"/>
      <c r="H4664" s="23"/>
      <c r="I4664" s="27"/>
      <c r="J4664" s="23"/>
      <c r="K4664" s="30"/>
      <c r="L4664" s="23"/>
      <c r="M4664" s="20"/>
      <c r="N4664" s="20"/>
      <c r="O4664" s="20"/>
      <c r="P4664" s="20"/>
    </row>
    <row r="4665">
      <c r="A4665" s="10"/>
      <c r="B4665" s="11"/>
      <c r="C4665" s="10"/>
      <c r="D4665" s="13"/>
      <c r="E4665" s="14"/>
      <c r="F4665" s="14"/>
      <c r="G4665" s="14"/>
      <c r="H4665" s="10"/>
      <c r="I4665" s="17"/>
      <c r="J4665" s="10"/>
      <c r="K4665" s="46"/>
      <c r="L4665" s="10"/>
      <c r="M4665" s="20"/>
      <c r="N4665" s="20"/>
      <c r="O4665" s="20"/>
      <c r="P4665" s="20"/>
    </row>
    <row r="4666">
      <c r="A4666" s="23"/>
      <c r="B4666" s="21"/>
      <c r="C4666" s="23"/>
      <c r="D4666" s="24"/>
      <c r="E4666" s="14"/>
      <c r="F4666" s="14"/>
      <c r="G4666" s="14"/>
      <c r="H4666" s="23"/>
      <c r="I4666" s="27"/>
      <c r="J4666" s="23"/>
      <c r="K4666" s="30"/>
      <c r="L4666" s="23"/>
      <c r="M4666" s="20"/>
      <c r="N4666" s="20"/>
      <c r="O4666" s="20"/>
      <c r="P4666" s="20"/>
    </row>
    <row r="4667">
      <c r="A4667" s="10"/>
      <c r="B4667" s="11"/>
      <c r="C4667" s="10"/>
      <c r="D4667" s="13"/>
      <c r="E4667" s="14"/>
      <c r="F4667" s="14"/>
      <c r="G4667" s="14"/>
      <c r="H4667" s="10"/>
      <c r="I4667" s="17"/>
      <c r="J4667" s="10"/>
      <c r="K4667" s="46"/>
      <c r="L4667" s="10"/>
      <c r="M4667" s="20"/>
      <c r="N4667" s="20"/>
      <c r="O4667" s="20"/>
      <c r="P4667" s="20"/>
    </row>
    <row r="4668">
      <c r="A4668" s="23"/>
      <c r="B4668" s="21"/>
      <c r="C4668" s="23"/>
      <c r="D4668" s="24"/>
      <c r="E4668" s="14"/>
      <c r="F4668" s="14"/>
      <c r="G4668" s="14"/>
      <c r="H4668" s="23"/>
      <c r="I4668" s="27"/>
      <c r="J4668" s="23"/>
      <c r="K4668" s="30"/>
      <c r="L4668" s="23"/>
      <c r="M4668" s="20"/>
      <c r="N4668" s="20"/>
      <c r="O4668" s="20"/>
      <c r="P4668" s="20"/>
    </row>
    <row r="4669">
      <c r="A4669" s="10"/>
      <c r="B4669" s="11"/>
      <c r="C4669" s="10"/>
      <c r="D4669" s="13"/>
      <c r="E4669" s="14"/>
      <c r="F4669" s="14"/>
      <c r="G4669" s="14"/>
      <c r="H4669" s="10"/>
      <c r="I4669" s="17"/>
      <c r="J4669" s="10"/>
      <c r="K4669" s="46"/>
      <c r="L4669" s="10"/>
      <c r="M4669" s="20"/>
      <c r="N4669" s="20"/>
      <c r="O4669" s="20"/>
      <c r="P4669" s="20"/>
    </row>
    <row r="4670">
      <c r="A4670" s="23"/>
      <c r="B4670" s="21"/>
      <c r="C4670" s="23"/>
      <c r="D4670" s="24"/>
      <c r="E4670" s="14"/>
      <c r="F4670" s="14"/>
      <c r="G4670" s="14"/>
      <c r="H4670" s="23"/>
      <c r="I4670" s="27"/>
      <c r="J4670" s="23"/>
      <c r="K4670" s="30"/>
      <c r="L4670" s="23"/>
      <c r="M4670" s="20"/>
      <c r="N4670" s="20"/>
      <c r="O4670" s="20"/>
      <c r="P4670" s="20"/>
    </row>
    <row r="4671">
      <c r="A4671" s="10"/>
      <c r="B4671" s="11"/>
      <c r="C4671" s="10"/>
      <c r="D4671" s="13"/>
      <c r="E4671" s="14"/>
      <c r="F4671" s="14"/>
      <c r="G4671" s="14"/>
      <c r="H4671" s="10"/>
      <c r="I4671" s="17"/>
      <c r="J4671" s="10"/>
      <c r="K4671" s="46"/>
      <c r="L4671" s="10"/>
      <c r="M4671" s="20"/>
      <c r="N4671" s="20"/>
      <c r="O4671" s="20"/>
      <c r="P4671" s="20"/>
    </row>
    <row r="4672">
      <c r="A4672" s="23"/>
      <c r="B4672" s="21"/>
      <c r="C4672" s="23"/>
      <c r="D4672" s="24"/>
      <c r="E4672" s="14"/>
      <c r="F4672" s="14"/>
      <c r="G4672" s="14"/>
      <c r="H4672" s="23"/>
      <c r="I4672" s="27"/>
      <c r="J4672" s="23"/>
      <c r="K4672" s="30"/>
      <c r="L4672" s="23"/>
      <c r="M4672" s="20"/>
      <c r="N4672" s="20"/>
      <c r="O4672" s="20"/>
      <c r="P4672" s="20"/>
    </row>
    <row r="4673">
      <c r="A4673" s="10"/>
      <c r="B4673" s="11"/>
      <c r="C4673" s="10"/>
      <c r="D4673" s="13"/>
      <c r="E4673" s="14"/>
      <c r="F4673" s="14"/>
      <c r="G4673" s="14"/>
      <c r="H4673" s="10"/>
      <c r="I4673" s="17"/>
      <c r="J4673" s="10"/>
      <c r="K4673" s="46"/>
      <c r="L4673" s="10"/>
      <c r="M4673" s="20"/>
      <c r="N4673" s="20"/>
      <c r="O4673" s="20"/>
      <c r="P4673" s="20"/>
    </row>
    <row r="4674">
      <c r="A4674" s="23"/>
      <c r="B4674" s="21"/>
      <c r="C4674" s="23"/>
      <c r="D4674" s="24"/>
      <c r="E4674" s="14"/>
      <c r="F4674" s="14"/>
      <c r="G4674" s="14"/>
      <c r="H4674" s="23"/>
      <c r="I4674" s="27"/>
      <c r="J4674" s="23"/>
      <c r="K4674" s="30"/>
      <c r="L4674" s="23"/>
      <c r="M4674" s="20"/>
      <c r="N4674" s="20"/>
      <c r="O4674" s="20"/>
      <c r="P4674" s="20"/>
    </row>
    <row r="4675">
      <c r="A4675" s="10"/>
      <c r="B4675" s="11"/>
      <c r="C4675" s="10"/>
      <c r="D4675" s="13"/>
      <c r="E4675" s="14"/>
      <c r="F4675" s="14"/>
      <c r="G4675" s="14"/>
      <c r="H4675" s="10"/>
      <c r="I4675" s="17"/>
      <c r="J4675" s="10"/>
      <c r="K4675" s="46"/>
      <c r="L4675" s="10"/>
      <c r="M4675" s="20"/>
      <c r="N4675" s="20"/>
      <c r="O4675" s="20"/>
      <c r="P4675" s="20"/>
    </row>
    <row r="4676">
      <c r="A4676" s="23"/>
      <c r="B4676" s="21"/>
      <c r="C4676" s="23"/>
      <c r="D4676" s="24"/>
      <c r="E4676" s="14"/>
      <c r="F4676" s="14"/>
      <c r="G4676" s="14"/>
      <c r="H4676" s="23"/>
      <c r="I4676" s="27"/>
      <c r="J4676" s="23"/>
      <c r="K4676" s="30"/>
      <c r="L4676" s="23"/>
      <c r="M4676" s="20"/>
      <c r="N4676" s="20"/>
      <c r="O4676" s="20"/>
      <c r="P4676" s="20"/>
    </row>
    <row r="4677">
      <c r="A4677" s="10"/>
      <c r="B4677" s="11"/>
      <c r="C4677" s="10"/>
      <c r="D4677" s="13"/>
      <c r="E4677" s="14"/>
      <c r="F4677" s="14"/>
      <c r="G4677" s="14"/>
      <c r="H4677" s="10"/>
      <c r="I4677" s="17"/>
      <c r="J4677" s="10"/>
      <c r="K4677" s="46"/>
      <c r="L4677" s="10"/>
      <c r="M4677" s="20"/>
      <c r="N4677" s="20"/>
      <c r="O4677" s="20"/>
      <c r="P4677" s="20"/>
    </row>
    <row r="4678">
      <c r="A4678" s="23"/>
      <c r="B4678" s="21"/>
      <c r="C4678" s="23"/>
      <c r="D4678" s="24"/>
      <c r="E4678" s="14"/>
      <c r="F4678" s="14"/>
      <c r="G4678" s="14"/>
      <c r="H4678" s="23"/>
      <c r="I4678" s="27"/>
      <c r="J4678" s="23"/>
      <c r="K4678" s="30"/>
      <c r="L4678" s="23"/>
      <c r="M4678" s="20"/>
      <c r="N4678" s="20"/>
      <c r="O4678" s="20"/>
      <c r="P4678" s="20"/>
    </row>
    <row r="4679">
      <c r="A4679" s="10"/>
      <c r="B4679" s="11"/>
      <c r="C4679" s="10"/>
      <c r="D4679" s="13"/>
      <c r="E4679" s="14"/>
      <c r="F4679" s="14"/>
      <c r="G4679" s="14"/>
      <c r="H4679" s="10"/>
      <c r="I4679" s="17"/>
      <c r="J4679" s="10"/>
      <c r="K4679" s="46"/>
      <c r="L4679" s="10"/>
      <c r="M4679" s="20"/>
      <c r="N4679" s="20"/>
      <c r="O4679" s="20"/>
      <c r="P4679" s="20"/>
    </row>
    <row r="4680">
      <c r="A4680" s="23"/>
      <c r="B4680" s="21"/>
      <c r="C4680" s="23"/>
      <c r="D4680" s="24"/>
      <c r="E4680" s="14"/>
      <c r="F4680" s="14"/>
      <c r="G4680" s="14"/>
      <c r="H4680" s="23"/>
      <c r="I4680" s="27"/>
      <c r="J4680" s="23"/>
      <c r="K4680" s="30"/>
      <c r="L4680" s="23"/>
      <c r="M4680" s="20"/>
      <c r="N4680" s="20"/>
      <c r="O4680" s="20"/>
      <c r="P4680" s="20"/>
    </row>
    <row r="4681">
      <c r="A4681" s="10"/>
      <c r="B4681" s="11"/>
      <c r="C4681" s="10"/>
      <c r="D4681" s="13"/>
      <c r="E4681" s="14"/>
      <c r="F4681" s="14"/>
      <c r="G4681" s="14"/>
      <c r="H4681" s="10"/>
      <c r="I4681" s="17"/>
      <c r="J4681" s="10"/>
      <c r="K4681" s="46"/>
      <c r="L4681" s="10"/>
      <c r="M4681" s="20"/>
      <c r="N4681" s="20"/>
      <c r="O4681" s="20"/>
      <c r="P4681" s="20"/>
    </row>
    <row r="4682">
      <c r="A4682" s="23"/>
      <c r="B4682" s="21"/>
      <c r="C4682" s="23"/>
      <c r="D4682" s="24"/>
      <c r="E4682" s="14"/>
      <c r="F4682" s="14"/>
      <c r="G4682" s="14"/>
      <c r="H4682" s="23"/>
      <c r="I4682" s="27"/>
      <c r="J4682" s="23"/>
      <c r="K4682" s="30"/>
      <c r="L4682" s="23"/>
      <c r="M4682" s="20"/>
      <c r="N4682" s="20"/>
      <c r="O4682" s="20"/>
      <c r="P4682" s="20"/>
    </row>
    <row r="4683">
      <c r="A4683" s="10"/>
      <c r="B4683" s="11"/>
      <c r="C4683" s="10"/>
      <c r="D4683" s="13"/>
      <c r="E4683" s="14"/>
      <c r="F4683" s="14"/>
      <c r="G4683" s="14"/>
      <c r="H4683" s="10"/>
      <c r="I4683" s="17"/>
      <c r="J4683" s="10"/>
      <c r="K4683" s="46"/>
      <c r="L4683" s="10"/>
      <c r="M4683" s="20"/>
      <c r="N4683" s="20"/>
      <c r="O4683" s="20"/>
      <c r="P4683" s="20"/>
    </row>
    <row r="4684">
      <c r="A4684" s="23"/>
      <c r="B4684" s="21"/>
      <c r="C4684" s="23"/>
      <c r="D4684" s="24"/>
      <c r="E4684" s="14"/>
      <c r="F4684" s="14"/>
      <c r="G4684" s="14"/>
      <c r="H4684" s="23"/>
      <c r="I4684" s="27"/>
      <c r="J4684" s="23"/>
      <c r="K4684" s="30"/>
      <c r="L4684" s="23"/>
      <c r="M4684" s="20"/>
      <c r="N4684" s="20"/>
      <c r="O4684" s="20"/>
      <c r="P4684" s="20"/>
    </row>
    <row r="4685">
      <c r="A4685" s="10"/>
      <c r="B4685" s="11"/>
      <c r="C4685" s="10"/>
      <c r="D4685" s="13"/>
      <c r="E4685" s="14"/>
      <c r="F4685" s="14"/>
      <c r="G4685" s="14"/>
      <c r="H4685" s="10"/>
      <c r="I4685" s="17"/>
      <c r="J4685" s="10"/>
      <c r="K4685" s="46"/>
      <c r="L4685" s="10"/>
      <c r="M4685" s="20"/>
      <c r="N4685" s="20"/>
      <c r="O4685" s="20"/>
      <c r="P4685" s="20"/>
    </row>
    <row r="4686">
      <c r="A4686" s="23"/>
      <c r="B4686" s="21"/>
      <c r="C4686" s="23"/>
      <c r="D4686" s="24"/>
      <c r="E4686" s="14"/>
      <c r="F4686" s="14"/>
      <c r="G4686" s="14"/>
      <c r="H4686" s="23"/>
      <c r="I4686" s="27"/>
      <c r="J4686" s="23"/>
      <c r="K4686" s="30"/>
      <c r="L4686" s="23"/>
      <c r="M4686" s="20"/>
      <c r="N4686" s="20"/>
      <c r="O4686" s="20"/>
      <c r="P4686" s="20"/>
    </row>
    <row r="4687">
      <c r="A4687" s="10"/>
      <c r="B4687" s="11"/>
      <c r="C4687" s="10"/>
      <c r="D4687" s="13"/>
      <c r="E4687" s="14"/>
      <c r="F4687" s="14"/>
      <c r="G4687" s="14"/>
      <c r="H4687" s="10"/>
      <c r="I4687" s="17"/>
      <c r="J4687" s="10"/>
      <c r="K4687" s="46"/>
      <c r="L4687" s="10"/>
      <c r="M4687" s="20"/>
      <c r="N4687" s="20"/>
      <c r="O4687" s="20"/>
      <c r="P4687" s="20"/>
    </row>
    <row r="4688">
      <c r="A4688" s="23"/>
      <c r="B4688" s="21"/>
      <c r="C4688" s="23"/>
      <c r="D4688" s="24"/>
      <c r="E4688" s="14"/>
      <c r="F4688" s="14"/>
      <c r="G4688" s="14"/>
      <c r="H4688" s="23"/>
      <c r="I4688" s="27"/>
      <c r="J4688" s="23"/>
      <c r="K4688" s="30"/>
      <c r="L4688" s="23"/>
      <c r="M4688" s="20"/>
      <c r="N4688" s="20"/>
      <c r="O4688" s="20"/>
      <c r="P4688" s="20"/>
    </row>
    <row r="4689">
      <c r="A4689" s="10"/>
      <c r="B4689" s="11"/>
      <c r="C4689" s="10"/>
      <c r="D4689" s="13"/>
      <c r="E4689" s="14"/>
      <c r="F4689" s="14"/>
      <c r="G4689" s="14"/>
      <c r="H4689" s="10"/>
      <c r="I4689" s="17"/>
      <c r="J4689" s="10"/>
      <c r="K4689" s="46"/>
      <c r="L4689" s="10"/>
      <c r="M4689" s="20"/>
      <c r="N4689" s="20"/>
      <c r="O4689" s="20"/>
      <c r="P4689" s="20"/>
    </row>
    <row r="4690">
      <c r="A4690" s="23"/>
      <c r="B4690" s="21"/>
      <c r="C4690" s="23"/>
      <c r="D4690" s="24"/>
      <c r="E4690" s="14"/>
      <c r="F4690" s="14"/>
      <c r="G4690" s="14"/>
      <c r="H4690" s="23"/>
      <c r="I4690" s="27"/>
      <c r="J4690" s="23"/>
      <c r="K4690" s="30"/>
      <c r="L4690" s="23"/>
      <c r="M4690" s="20"/>
      <c r="N4690" s="20"/>
      <c r="O4690" s="20"/>
      <c r="P4690" s="20"/>
    </row>
    <row r="4691">
      <c r="A4691" s="10"/>
      <c r="B4691" s="11"/>
      <c r="C4691" s="10"/>
      <c r="D4691" s="13"/>
      <c r="E4691" s="14"/>
      <c r="F4691" s="14"/>
      <c r="G4691" s="14"/>
      <c r="H4691" s="10"/>
      <c r="I4691" s="17"/>
      <c r="J4691" s="10"/>
      <c r="K4691" s="46"/>
      <c r="L4691" s="10"/>
      <c r="M4691" s="20"/>
      <c r="N4691" s="20"/>
      <c r="O4691" s="20"/>
      <c r="P4691" s="20"/>
    </row>
    <row r="4692">
      <c r="A4692" s="23"/>
      <c r="B4692" s="21"/>
      <c r="C4692" s="23"/>
      <c r="D4692" s="24"/>
      <c r="E4692" s="14"/>
      <c r="F4692" s="14"/>
      <c r="G4692" s="14"/>
      <c r="H4692" s="23"/>
      <c r="I4692" s="27"/>
      <c r="J4692" s="23"/>
      <c r="K4692" s="30"/>
      <c r="L4692" s="23"/>
      <c r="M4692" s="20"/>
      <c r="N4692" s="20"/>
      <c r="O4692" s="20"/>
      <c r="P4692" s="20"/>
    </row>
    <row r="4693">
      <c r="A4693" s="10"/>
      <c r="B4693" s="11"/>
      <c r="C4693" s="10"/>
      <c r="D4693" s="13"/>
      <c r="E4693" s="14"/>
      <c r="F4693" s="14"/>
      <c r="G4693" s="14"/>
      <c r="H4693" s="10"/>
      <c r="I4693" s="17"/>
      <c r="J4693" s="10"/>
      <c r="K4693" s="46"/>
      <c r="L4693" s="10"/>
      <c r="M4693" s="20"/>
      <c r="N4693" s="20"/>
      <c r="O4693" s="20"/>
      <c r="P4693" s="20"/>
    </row>
    <row r="4694">
      <c r="A4694" s="23"/>
      <c r="B4694" s="21"/>
      <c r="C4694" s="23"/>
      <c r="D4694" s="24"/>
      <c r="E4694" s="14"/>
      <c r="F4694" s="14"/>
      <c r="G4694" s="14"/>
      <c r="H4694" s="23"/>
      <c r="I4694" s="27"/>
      <c r="J4694" s="23"/>
      <c r="K4694" s="30"/>
      <c r="L4694" s="23"/>
      <c r="M4694" s="20"/>
      <c r="N4694" s="20"/>
      <c r="O4694" s="20"/>
      <c r="P4694" s="20"/>
    </row>
    <row r="4695">
      <c r="A4695" s="10"/>
      <c r="B4695" s="11"/>
      <c r="C4695" s="10"/>
      <c r="D4695" s="13"/>
      <c r="E4695" s="14"/>
      <c r="F4695" s="14"/>
      <c r="G4695" s="14"/>
      <c r="H4695" s="10"/>
      <c r="I4695" s="17"/>
      <c r="J4695" s="10"/>
      <c r="K4695" s="46"/>
      <c r="L4695" s="10"/>
      <c r="M4695" s="20"/>
      <c r="N4695" s="20"/>
      <c r="O4695" s="20"/>
      <c r="P4695" s="20"/>
    </row>
    <row r="4696">
      <c r="A4696" s="23"/>
      <c r="B4696" s="21"/>
      <c r="C4696" s="23"/>
      <c r="D4696" s="24"/>
      <c r="E4696" s="14"/>
      <c r="F4696" s="14"/>
      <c r="G4696" s="14"/>
      <c r="H4696" s="23"/>
      <c r="I4696" s="27"/>
      <c r="J4696" s="23"/>
      <c r="K4696" s="30"/>
      <c r="L4696" s="23"/>
      <c r="M4696" s="20"/>
      <c r="N4696" s="20"/>
      <c r="O4696" s="20"/>
      <c r="P4696" s="20"/>
    </row>
    <row r="4697">
      <c r="A4697" s="10"/>
      <c r="B4697" s="11"/>
      <c r="C4697" s="10"/>
      <c r="D4697" s="13"/>
      <c r="E4697" s="14"/>
      <c r="F4697" s="14"/>
      <c r="G4697" s="14"/>
      <c r="H4697" s="10"/>
      <c r="I4697" s="17"/>
      <c r="J4697" s="10"/>
      <c r="K4697" s="46"/>
      <c r="L4697" s="10"/>
      <c r="M4697" s="20"/>
      <c r="N4697" s="20"/>
      <c r="O4697" s="20"/>
      <c r="P4697" s="20"/>
    </row>
    <row r="4698">
      <c r="A4698" s="23"/>
      <c r="B4698" s="21"/>
      <c r="C4698" s="23"/>
      <c r="D4698" s="24"/>
      <c r="E4698" s="14"/>
      <c r="F4698" s="14"/>
      <c r="G4698" s="14"/>
      <c r="H4698" s="23"/>
      <c r="I4698" s="27"/>
      <c r="J4698" s="23"/>
      <c r="K4698" s="30"/>
      <c r="L4698" s="23"/>
      <c r="M4698" s="20"/>
      <c r="N4698" s="20"/>
      <c r="O4698" s="20"/>
      <c r="P4698" s="20"/>
    </row>
    <row r="4699">
      <c r="A4699" s="10"/>
      <c r="B4699" s="11"/>
      <c r="C4699" s="10"/>
      <c r="D4699" s="13"/>
      <c r="E4699" s="14"/>
      <c r="F4699" s="14"/>
      <c r="G4699" s="14"/>
      <c r="H4699" s="10"/>
      <c r="I4699" s="17"/>
      <c r="J4699" s="10"/>
      <c r="K4699" s="46"/>
      <c r="L4699" s="10"/>
      <c r="M4699" s="20"/>
      <c r="N4699" s="20"/>
      <c r="O4699" s="20"/>
      <c r="P4699" s="20"/>
    </row>
    <row r="4700">
      <c r="A4700" s="23"/>
      <c r="B4700" s="21"/>
      <c r="C4700" s="23"/>
      <c r="D4700" s="24"/>
      <c r="E4700" s="14"/>
      <c r="F4700" s="14"/>
      <c r="G4700" s="14"/>
      <c r="H4700" s="23"/>
      <c r="I4700" s="27"/>
      <c r="J4700" s="23"/>
      <c r="K4700" s="30"/>
      <c r="L4700" s="23"/>
      <c r="M4700" s="20"/>
      <c r="N4700" s="20"/>
      <c r="O4700" s="20"/>
      <c r="P4700" s="20"/>
    </row>
    <row r="4701">
      <c r="A4701" s="10"/>
      <c r="B4701" s="11"/>
      <c r="C4701" s="10"/>
      <c r="D4701" s="13"/>
      <c r="E4701" s="14"/>
      <c r="F4701" s="14"/>
      <c r="G4701" s="14"/>
      <c r="H4701" s="10"/>
      <c r="I4701" s="17"/>
      <c r="J4701" s="10"/>
      <c r="K4701" s="46"/>
      <c r="L4701" s="10"/>
      <c r="M4701" s="20"/>
      <c r="N4701" s="20"/>
      <c r="O4701" s="20"/>
      <c r="P4701" s="20"/>
    </row>
    <row r="4702">
      <c r="A4702" s="23"/>
      <c r="B4702" s="21"/>
      <c r="C4702" s="23"/>
      <c r="D4702" s="24"/>
      <c r="E4702" s="14"/>
      <c r="F4702" s="14"/>
      <c r="G4702" s="14"/>
      <c r="H4702" s="23"/>
      <c r="I4702" s="27"/>
      <c r="J4702" s="23"/>
      <c r="K4702" s="30"/>
      <c r="L4702" s="23"/>
      <c r="M4702" s="20"/>
      <c r="N4702" s="20"/>
      <c r="O4702" s="20"/>
      <c r="P4702" s="20"/>
    </row>
    <row r="4703">
      <c r="A4703" s="10"/>
      <c r="B4703" s="11"/>
      <c r="C4703" s="10"/>
      <c r="D4703" s="13"/>
      <c r="E4703" s="14"/>
      <c r="F4703" s="14"/>
      <c r="G4703" s="14"/>
      <c r="H4703" s="10"/>
      <c r="I4703" s="17"/>
      <c r="J4703" s="10"/>
      <c r="K4703" s="46"/>
      <c r="L4703" s="10"/>
      <c r="M4703" s="20"/>
      <c r="N4703" s="20"/>
      <c r="O4703" s="20"/>
      <c r="P4703" s="20"/>
    </row>
    <row r="4704">
      <c r="A4704" s="23"/>
      <c r="B4704" s="21"/>
      <c r="C4704" s="23"/>
      <c r="D4704" s="24"/>
      <c r="E4704" s="14"/>
      <c r="F4704" s="14"/>
      <c r="G4704" s="14"/>
      <c r="H4704" s="23"/>
      <c r="I4704" s="27"/>
      <c r="J4704" s="23"/>
      <c r="K4704" s="30"/>
      <c r="L4704" s="23"/>
      <c r="M4704" s="20"/>
      <c r="N4704" s="20"/>
      <c r="O4704" s="20"/>
      <c r="P4704" s="20"/>
    </row>
    <row r="4705">
      <c r="A4705" s="10"/>
      <c r="B4705" s="11"/>
      <c r="C4705" s="10"/>
      <c r="D4705" s="13"/>
      <c r="E4705" s="14"/>
      <c r="F4705" s="14"/>
      <c r="G4705" s="14"/>
      <c r="H4705" s="10"/>
      <c r="I4705" s="17"/>
      <c r="J4705" s="10"/>
      <c r="K4705" s="46"/>
      <c r="L4705" s="10"/>
      <c r="M4705" s="20"/>
      <c r="N4705" s="20"/>
      <c r="O4705" s="20"/>
      <c r="P4705" s="20"/>
    </row>
    <row r="4706">
      <c r="A4706" s="23"/>
      <c r="B4706" s="21"/>
      <c r="C4706" s="23"/>
      <c r="D4706" s="24"/>
      <c r="E4706" s="14"/>
      <c r="F4706" s="14"/>
      <c r="G4706" s="14"/>
      <c r="H4706" s="23"/>
      <c r="I4706" s="27"/>
      <c r="J4706" s="23"/>
      <c r="K4706" s="30"/>
      <c r="L4706" s="23"/>
      <c r="M4706" s="20"/>
      <c r="N4706" s="20"/>
      <c r="O4706" s="20"/>
      <c r="P4706" s="20"/>
    </row>
    <row r="4707">
      <c r="A4707" s="10"/>
      <c r="B4707" s="11"/>
      <c r="C4707" s="10"/>
      <c r="D4707" s="13"/>
      <c r="E4707" s="14"/>
      <c r="F4707" s="14"/>
      <c r="G4707" s="14"/>
      <c r="H4707" s="10"/>
      <c r="I4707" s="17"/>
      <c r="J4707" s="10"/>
      <c r="K4707" s="46"/>
      <c r="L4707" s="10"/>
      <c r="M4707" s="20"/>
      <c r="N4707" s="20"/>
      <c r="O4707" s="20"/>
      <c r="P4707" s="20"/>
    </row>
    <row r="4708">
      <c r="A4708" s="23"/>
      <c r="B4708" s="21"/>
      <c r="C4708" s="23"/>
      <c r="D4708" s="24"/>
      <c r="E4708" s="14"/>
      <c r="F4708" s="14"/>
      <c r="G4708" s="14"/>
      <c r="H4708" s="23"/>
      <c r="I4708" s="27"/>
      <c r="J4708" s="23"/>
      <c r="K4708" s="30"/>
      <c r="L4708" s="23"/>
      <c r="M4708" s="20"/>
      <c r="N4708" s="20"/>
      <c r="O4708" s="20"/>
      <c r="P4708" s="20"/>
    </row>
    <row r="4709">
      <c r="A4709" s="10"/>
      <c r="B4709" s="11"/>
      <c r="C4709" s="10"/>
      <c r="D4709" s="13"/>
      <c r="E4709" s="14"/>
      <c r="F4709" s="14"/>
      <c r="G4709" s="14"/>
      <c r="H4709" s="10"/>
      <c r="I4709" s="17"/>
      <c r="J4709" s="10"/>
      <c r="K4709" s="46"/>
      <c r="L4709" s="10"/>
      <c r="M4709" s="20"/>
      <c r="N4709" s="20"/>
      <c r="O4709" s="20"/>
      <c r="P4709" s="20"/>
    </row>
    <row r="4710">
      <c r="A4710" s="23"/>
      <c r="B4710" s="21"/>
      <c r="C4710" s="23"/>
      <c r="D4710" s="24"/>
      <c r="E4710" s="14"/>
      <c r="F4710" s="14"/>
      <c r="G4710" s="14"/>
      <c r="H4710" s="23"/>
      <c r="I4710" s="27"/>
      <c r="J4710" s="23"/>
      <c r="K4710" s="30"/>
      <c r="L4710" s="23"/>
      <c r="M4710" s="20"/>
      <c r="N4710" s="20"/>
      <c r="O4710" s="20"/>
      <c r="P4710" s="20"/>
    </row>
    <row r="4711">
      <c r="A4711" s="10"/>
      <c r="B4711" s="11"/>
      <c r="C4711" s="10"/>
      <c r="D4711" s="13"/>
      <c r="E4711" s="14"/>
      <c r="F4711" s="14"/>
      <c r="G4711" s="14"/>
      <c r="H4711" s="10"/>
      <c r="I4711" s="17"/>
      <c r="J4711" s="10"/>
      <c r="K4711" s="46"/>
      <c r="L4711" s="10"/>
      <c r="M4711" s="20"/>
      <c r="N4711" s="20"/>
      <c r="O4711" s="20"/>
      <c r="P4711" s="20"/>
    </row>
    <row r="4712">
      <c r="A4712" s="23"/>
      <c r="B4712" s="21"/>
      <c r="C4712" s="23"/>
      <c r="D4712" s="24"/>
      <c r="E4712" s="14"/>
      <c r="F4712" s="14"/>
      <c r="G4712" s="14"/>
      <c r="H4712" s="23"/>
      <c r="I4712" s="27"/>
      <c r="J4712" s="23"/>
      <c r="K4712" s="30"/>
      <c r="L4712" s="23"/>
      <c r="M4712" s="20"/>
      <c r="N4712" s="20"/>
      <c r="O4712" s="20"/>
      <c r="P4712" s="20"/>
    </row>
    <row r="4713">
      <c r="A4713" s="10"/>
      <c r="B4713" s="11"/>
      <c r="C4713" s="10"/>
      <c r="D4713" s="13"/>
      <c r="E4713" s="14"/>
      <c r="F4713" s="14"/>
      <c r="G4713" s="14"/>
      <c r="H4713" s="10"/>
      <c r="I4713" s="17"/>
      <c r="J4713" s="10"/>
      <c r="K4713" s="46"/>
      <c r="L4713" s="10"/>
      <c r="M4713" s="20"/>
      <c r="N4713" s="20"/>
      <c r="O4713" s="20"/>
      <c r="P4713" s="20"/>
    </row>
    <row r="4714">
      <c r="A4714" s="23"/>
      <c r="B4714" s="21"/>
      <c r="C4714" s="23"/>
      <c r="D4714" s="24"/>
      <c r="E4714" s="14"/>
      <c r="F4714" s="14"/>
      <c r="G4714" s="14"/>
      <c r="H4714" s="23"/>
      <c r="I4714" s="27"/>
      <c r="J4714" s="23"/>
      <c r="K4714" s="30"/>
      <c r="L4714" s="23"/>
      <c r="M4714" s="20"/>
      <c r="N4714" s="20"/>
      <c r="O4714" s="20"/>
      <c r="P4714" s="20"/>
    </row>
    <row r="4715">
      <c r="A4715" s="10"/>
      <c r="B4715" s="11"/>
      <c r="C4715" s="10"/>
      <c r="D4715" s="13"/>
      <c r="E4715" s="14"/>
      <c r="F4715" s="14"/>
      <c r="G4715" s="14"/>
      <c r="H4715" s="10"/>
      <c r="I4715" s="17"/>
      <c r="J4715" s="10"/>
      <c r="K4715" s="46"/>
      <c r="L4715" s="10"/>
      <c r="M4715" s="20"/>
      <c r="N4715" s="20"/>
      <c r="O4715" s="20"/>
      <c r="P4715" s="20"/>
    </row>
    <row r="4716">
      <c r="A4716" s="23"/>
      <c r="B4716" s="21"/>
      <c r="C4716" s="23"/>
      <c r="D4716" s="24"/>
      <c r="E4716" s="14"/>
      <c r="F4716" s="14"/>
      <c r="G4716" s="14"/>
      <c r="H4716" s="23"/>
      <c r="I4716" s="27"/>
      <c r="J4716" s="23"/>
      <c r="K4716" s="30"/>
      <c r="L4716" s="23"/>
      <c r="M4716" s="20"/>
      <c r="N4716" s="20"/>
      <c r="O4716" s="20"/>
      <c r="P4716" s="20"/>
    </row>
    <row r="4717">
      <c r="A4717" s="10"/>
      <c r="B4717" s="11"/>
      <c r="C4717" s="10"/>
      <c r="D4717" s="13"/>
      <c r="E4717" s="14"/>
      <c r="F4717" s="14"/>
      <c r="G4717" s="14"/>
      <c r="H4717" s="10"/>
      <c r="I4717" s="17"/>
      <c r="J4717" s="10"/>
      <c r="K4717" s="46"/>
      <c r="L4717" s="10"/>
      <c r="M4717" s="20"/>
      <c r="N4717" s="20"/>
      <c r="O4717" s="20"/>
      <c r="P4717" s="20"/>
    </row>
    <row r="4718">
      <c r="A4718" s="23"/>
      <c r="B4718" s="21"/>
      <c r="C4718" s="23"/>
      <c r="D4718" s="24"/>
      <c r="E4718" s="14"/>
      <c r="F4718" s="14"/>
      <c r="G4718" s="14"/>
      <c r="H4718" s="23"/>
      <c r="I4718" s="27"/>
      <c r="J4718" s="23"/>
      <c r="K4718" s="30"/>
      <c r="L4718" s="23"/>
      <c r="M4718" s="20"/>
      <c r="N4718" s="20"/>
      <c r="O4718" s="20"/>
      <c r="P4718" s="20"/>
    </row>
    <row r="4719">
      <c r="A4719" s="10"/>
      <c r="B4719" s="11"/>
      <c r="C4719" s="10"/>
      <c r="D4719" s="13"/>
      <c r="E4719" s="14"/>
      <c r="F4719" s="14"/>
      <c r="G4719" s="14"/>
      <c r="H4719" s="10"/>
      <c r="I4719" s="17"/>
      <c r="J4719" s="10"/>
      <c r="K4719" s="46"/>
      <c r="L4719" s="10"/>
      <c r="M4719" s="20"/>
      <c r="N4719" s="20"/>
      <c r="O4719" s="20"/>
      <c r="P4719" s="20"/>
    </row>
    <row r="4720">
      <c r="A4720" s="23"/>
      <c r="B4720" s="21"/>
      <c r="C4720" s="23"/>
      <c r="D4720" s="24"/>
      <c r="E4720" s="14"/>
      <c r="F4720" s="14"/>
      <c r="G4720" s="14"/>
      <c r="H4720" s="23"/>
      <c r="I4720" s="27"/>
      <c r="J4720" s="23"/>
      <c r="K4720" s="30"/>
      <c r="L4720" s="23"/>
      <c r="M4720" s="20"/>
      <c r="N4720" s="20"/>
      <c r="O4720" s="20"/>
      <c r="P4720" s="20"/>
    </row>
    <row r="4721">
      <c r="A4721" s="10"/>
      <c r="B4721" s="11"/>
      <c r="C4721" s="10"/>
      <c r="D4721" s="13"/>
      <c r="E4721" s="14"/>
      <c r="F4721" s="14"/>
      <c r="G4721" s="14"/>
      <c r="H4721" s="10"/>
      <c r="I4721" s="17"/>
      <c r="J4721" s="10"/>
      <c r="K4721" s="46"/>
      <c r="L4721" s="10"/>
      <c r="M4721" s="20"/>
      <c r="N4721" s="20"/>
      <c r="O4721" s="20"/>
      <c r="P4721" s="20"/>
    </row>
    <row r="4722">
      <c r="A4722" s="23"/>
      <c r="B4722" s="21"/>
      <c r="C4722" s="23"/>
      <c r="D4722" s="24"/>
      <c r="E4722" s="14"/>
      <c r="F4722" s="14"/>
      <c r="G4722" s="14"/>
      <c r="H4722" s="23"/>
      <c r="I4722" s="27"/>
      <c r="J4722" s="23"/>
      <c r="K4722" s="30"/>
      <c r="L4722" s="23"/>
      <c r="M4722" s="20"/>
      <c r="N4722" s="20"/>
      <c r="O4722" s="20"/>
      <c r="P4722" s="20"/>
    </row>
    <row r="4723">
      <c r="A4723" s="10"/>
      <c r="B4723" s="11"/>
      <c r="C4723" s="10"/>
      <c r="D4723" s="13"/>
      <c r="E4723" s="14"/>
      <c r="F4723" s="14"/>
      <c r="G4723" s="14"/>
      <c r="H4723" s="10"/>
      <c r="I4723" s="17"/>
      <c r="J4723" s="10"/>
      <c r="K4723" s="46"/>
      <c r="L4723" s="10"/>
      <c r="M4723" s="20"/>
      <c r="N4723" s="20"/>
      <c r="O4723" s="20"/>
      <c r="P4723" s="20"/>
    </row>
    <row r="4724">
      <c r="A4724" s="23"/>
      <c r="B4724" s="21"/>
      <c r="C4724" s="23"/>
      <c r="D4724" s="24"/>
      <c r="E4724" s="14"/>
      <c r="F4724" s="14"/>
      <c r="G4724" s="14"/>
      <c r="H4724" s="23"/>
      <c r="I4724" s="27"/>
      <c r="J4724" s="23"/>
      <c r="K4724" s="30"/>
      <c r="L4724" s="23"/>
      <c r="M4724" s="20"/>
      <c r="N4724" s="20"/>
      <c r="O4724" s="20"/>
      <c r="P4724" s="20"/>
    </row>
    <row r="4725">
      <c r="A4725" s="10"/>
      <c r="B4725" s="11"/>
      <c r="C4725" s="10"/>
      <c r="D4725" s="13"/>
      <c r="E4725" s="14"/>
      <c r="F4725" s="14"/>
      <c r="G4725" s="14"/>
      <c r="H4725" s="10"/>
      <c r="I4725" s="17"/>
      <c r="J4725" s="10"/>
      <c r="K4725" s="46"/>
      <c r="L4725" s="10"/>
      <c r="M4725" s="20"/>
      <c r="N4725" s="20"/>
      <c r="O4725" s="20"/>
      <c r="P4725" s="20"/>
    </row>
    <row r="4726">
      <c r="A4726" s="23"/>
      <c r="B4726" s="21"/>
      <c r="C4726" s="23"/>
      <c r="D4726" s="24"/>
      <c r="E4726" s="14"/>
      <c r="F4726" s="14"/>
      <c r="G4726" s="14"/>
      <c r="H4726" s="23"/>
      <c r="I4726" s="27"/>
      <c r="J4726" s="23"/>
      <c r="K4726" s="30"/>
      <c r="L4726" s="23"/>
      <c r="M4726" s="20"/>
      <c r="N4726" s="20"/>
      <c r="O4726" s="20"/>
      <c r="P4726" s="20"/>
    </row>
    <row r="4727">
      <c r="A4727" s="10"/>
      <c r="B4727" s="11"/>
      <c r="C4727" s="10"/>
      <c r="D4727" s="13"/>
      <c r="E4727" s="14"/>
      <c r="F4727" s="14"/>
      <c r="G4727" s="14"/>
      <c r="H4727" s="10"/>
      <c r="I4727" s="17"/>
      <c r="J4727" s="10"/>
      <c r="K4727" s="46"/>
      <c r="L4727" s="10"/>
      <c r="M4727" s="20"/>
      <c r="N4727" s="20"/>
      <c r="O4727" s="20"/>
      <c r="P4727" s="20"/>
    </row>
    <row r="4728">
      <c r="A4728" s="23"/>
      <c r="B4728" s="21"/>
      <c r="C4728" s="23"/>
      <c r="D4728" s="24"/>
      <c r="E4728" s="14"/>
      <c r="F4728" s="14"/>
      <c r="G4728" s="14"/>
      <c r="H4728" s="23"/>
      <c r="I4728" s="27"/>
      <c r="J4728" s="23"/>
      <c r="K4728" s="30"/>
      <c r="L4728" s="23"/>
      <c r="M4728" s="20"/>
      <c r="N4728" s="20"/>
      <c r="O4728" s="20"/>
      <c r="P4728" s="20"/>
    </row>
    <row r="4729">
      <c r="A4729" s="10"/>
      <c r="B4729" s="11"/>
      <c r="C4729" s="10"/>
      <c r="D4729" s="13"/>
      <c r="E4729" s="14"/>
      <c r="F4729" s="14"/>
      <c r="G4729" s="14"/>
      <c r="H4729" s="10"/>
      <c r="I4729" s="17"/>
      <c r="J4729" s="10"/>
      <c r="K4729" s="46"/>
      <c r="L4729" s="10"/>
      <c r="M4729" s="20"/>
      <c r="N4729" s="20"/>
      <c r="O4729" s="20"/>
      <c r="P4729" s="20"/>
    </row>
    <row r="4730">
      <c r="A4730" s="23"/>
      <c r="B4730" s="21"/>
      <c r="C4730" s="23"/>
      <c r="D4730" s="24"/>
      <c r="E4730" s="14"/>
      <c r="F4730" s="14"/>
      <c r="G4730" s="14"/>
      <c r="H4730" s="23"/>
      <c r="I4730" s="27"/>
      <c r="J4730" s="23"/>
      <c r="K4730" s="30"/>
      <c r="L4730" s="23"/>
      <c r="M4730" s="20"/>
      <c r="N4730" s="20"/>
      <c r="O4730" s="20"/>
      <c r="P4730" s="20"/>
    </row>
    <row r="4731">
      <c r="A4731" s="10"/>
      <c r="B4731" s="11"/>
      <c r="C4731" s="10"/>
      <c r="D4731" s="13"/>
      <c r="E4731" s="14"/>
      <c r="F4731" s="14"/>
      <c r="G4731" s="14"/>
      <c r="H4731" s="10"/>
      <c r="I4731" s="17"/>
      <c r="J4731" s="10"/>
      <c r="K4731" s="46"/>
      <c r="L4731" s="10"/>
      <c r="M4731" s="20"/>
      <c r="N4731" s="20"/>
      <c r="O4731" s="20"/>
      <c r="P4731" s="20"/>
    </row>
    <row r="4732">
      <c r="A4732" s="23"/>
      <c r="B4732" s="21"/>
      <c r="C4732" s="23"/>
      <c r="D4732" s="24"/>
      <c r="E4732" s="14"/>
      <c r="F4732" s="14"/>
      <c r="G4732" s="14"/>
      <c r="H4732" s="23"/>
      <c r="I4732" s="27"/>
      <c r="J4732" s="23"/>
      <c r="K4732" s="30"/>
      <c r="L4732" s="23"/>
      <c r="M4732" s="20"/>
      <c r="N4732" s="20"/>
      <c r="O4732" s="20"/>
      <c r="P4732" s="20"/>
    </row>
    <row r="4733">
      <c r="A4733" s="10"/>
      <c r="B4733" s="11"/>
      <c r="C4733" s="10"/>
      <c r="D4733" s="13"/>
      <c r="E4733" s="14"/>
      <c r="F4733" s="14"/>
      <c r="G4733" s="14"/>
      <c r="H4733" s="10"/>
      <c r="I4733" s="17"/>
      <c r="J4733" s="10"/>
      <c r="K4733" s="46"/>
      <c r="L4733" s="10"/>
      <c r="M4733" s="20"/>
      <c r="N4733" s="20"/>
      <c r="O4733" s="20"/>
      <c r="P4733" s="20"/>
    </row>
    <row r="4734">
      <c r="A4734" s="23"/>
      <c r="B4734" s="21"/>
      <c r="C4734" s="23"/>
      <c r="D4734" s="24"/>
      <c r="E4734" s="14"/>
      <c r="F4734" s="14"/>
      <c r="G4734" s="14"/>
      <c r="H4734" s="23"/>
      <c r="I4734" s="27"/>
      <c r="J4734" s="23"/>
      <c r="K4734" s="30"/>
      <c r="L4734" s="23"/>
      <c r="M4734" s="20"/>
      <c r="N4734" s="20"/>
      <c r="O4734" s="20"/>
      <c r="P4734" s="20"/>
    </row>
    <row r="4735">
      <c r="A4735" s="10"/>
      <c r="B4735" s="11"/>
      <c r="C4735" s="10"/>
      <c r="D4735" s="13"/>
      <c r="E4735" s="14"/>
      <c r="F4735" s="14"/>
      <c r="G4735" s="14"/>
      <c r="H4735" s="10"/>
      <c r="I4735" s="17"/>
      <c r="J4735" s="10"/>
      <c r="K4735" s="46"/>
      <c r="L4735" s="10"/>
      <c r="M4735" s="20"/>
      <c r="N4735" s="20"/>
      <c r="O4735" s="20"/>
      <c r="P4735" s="20"/>
    </row>
    <row r="4736">
      <c r="A4736" s="23"/>
      <c r="B4736" s="21"/>
      <c r="C4736" s="23"/>
      <c r="D4736" s="24"/>
      <c r="E4736" s="14"/>
      <c r="F4736" s="14"/>
      <c r="G4736" s="14"/>
      <c r="H4736" s="23"/>
      <c r="I4736" s="27"/>
      <c r="J4736" s="23"/>
      <c r="K4736" s="30"/>
      <c r="L4736" s="23"/>
      <c r="M4736" s="20"/>
      <c r="N4736" s="20"/>
      <c r="O4736" s="20"/>
      <c r="P4736" s="20"/>
    </row>
    <row r="4737">
      <c r="A4737" s="10"/>
      <c r="B4737" s="11"/>
      <c r="C4737" s="10"/>
      <c r="D4737" s="13"/>
      <c r="E4737" s="14"/>
      <c r="F4737" s="14"/>
      <c r="G4737" s="14"/>
      <c r="H4737" s="10"/>
      <c r="I4737" s="17"/>
      <c r="J4737" s="10"/>
      <c r="K4737" s="46"/>
      <c r="L4737" s="10"/>
      <c r="M4737" s="20"/>
      <c r="N4737" s="20"/>
      <c r="O4737" s="20"/>
      <c r="P4737" s="20"/>
    </row>
    <row r="4738">
      <c r="A4738" s="23"/>
      <c r="B4738" s="21"/>
      <c r="C4738" s="23"/>
      <c r="D4738" s="24"/>
      <c r="E4738" s="14"/>
      <c r="F4738" s="14"/>
      <c r="G4738" s="14"/>
      <c r="H4738" s="23"/>
      <c r="I4738" s="27"/>
      <c r="J4738" s="23"/>
      <c r="K4738" s="30"/>
      <c r="L4738" s="23"/>
      <c r="M4738" s="20"/>
      <c r="N4738" s="20"/>
      <c r="O4738" s="20"/>
      <c r="P4738" s="20"/>
    </row>
    <row r="4739">
      <c r="A4739" s="10"/>
      <c r="B4739" s="11"/>
      <c r="C4739" s="10"/>
      <c r="D4739" s="13"/>
      <c r="E4739" s="14"/>
      <c r="F4739" s="14"/>
      <c r="G4739" s="14"/>
      <c r="H4739" s="10"/>
      <c r="I4739" s="17"/>
      <c r="J4739" s="10"/>
      <c r="K4739" s="46"/>
      <c r="L4739" s="10"/>
      <c r="M4739" s="20"/>
      <c r="N4739" s="20"/>
      <c r="O4739" s="20"/>
      <c r="P4739" s="20"/>
    </row>
    <row r="4740">
      <c r="A4740" s="23"/>
      <c r="B4740" s="21"/>
      <c r="C4740" s="23"/>
      <c r="D4740" s="24"/>
      <c r="E4740" s="14"/>
      <c r="F4740" s="14"/>
      <c r="G4740" s="14"/>
      <c r="H4740" s="23"/>
      <c r="I4740" s="27"/>
      <c r="J4740" s="23"/>
      <c r="K4740" s="30"/>
      <c r="L4740" s="23"/>
      <c r="M4740" s="20"/>
      <c r="N4740" s="20"/>
      <c r="O4740" s="20"/>
      <c r="P4740" s="20"/>
    </row>
    <row r="4741">
      <c r="A4741" s="10"/>
      <c r="B4741" s="11"/>
      <c r="C4741" s="10"/>
      <c r="D4741" s="13"/>
      <c r="E4741" s="14"/>
      <c r="F4741" s="14"/>
      <c r="G4741" s="14"/>
      <c r="H4741" s="10"/>
      <c r="I4741" s="17"/>
      <c r="J4741" s="10"/>
      <c r="K4741" s="46"/>
      <c r="L4741" s="10"/>
      <c r="M4741" s="20"/>
      <c r="N4741" s="20"/>
      <c r="O4741" s="20"/>
      <c r="P4741" s="20"/>
    </row>
    <row r="4742">
      <c r="A4742" s="23"/>
      <c r="B4742" s="21"/>
      <c r="C4742" s="23"/>
      <c r="D4742" s="24"/>
      <c r="E4742" s="14"/>
      <c r="F4742" s="14"/>
      <c r="G4742" s="14"/>
      <c r="H4742" s="23"/>
      <c r="I4742" s="27"/>
      <c r="J4742" s="23"/>
      <c r="K4742" s="30"/>
      <c r="L4742" s="23"/>
      <c r="M4742" s="20"/>
      <c r="N4742" s="20"/>
      <c r="O4742" s="20"/>
      <c r="P4742" s="20"/>
    </row>
    <row r="4743">
      <c r="A4743" s="10"/>
      <c r="B4743" s="11"/>
      <c r="C4743" s="10"/>
      <c r="D4743" s="13"/>
      <c r="E4743" s="14"/>
      <c r="F4743" s="14"/>
      <c r="G4743" s="14"/>
      <c r="H4743" s="10"/>
      <c r="I4743" s="17"/>
      <c r="J4743" s="10"/>
      <c r="K4743" s="46"/>
      <c r="L4743" s="10"/>
      <c r="M4743" s="20"/>
      <c r="N4743" s="20"/>
      <c r="O4743" s="20"/>
      <c r="P4743" s="20"/>
    </row>
    <row r="4744">
      <c r="A4744" s="23"/>
      <c r="B4744" s="21"/>
      <c r="C4744" s="23"/>
      <c r="D4744" s="24"/>
      <c r="E4744" s="14"/>
      <c r="F4744" s="14"/>
      <c r="G4744" s="14"/>
      <c r="H4744" s="23"/>
      <c r="I4744" s="27"/>
      <c r="J4744" s="23"/>
      <c r="K4744" s="30"/>
      <c r="L4744" s="23"/>
      <c r="M4744" s="20"/>
      <c r="N4744" s="20"/>
      <c r="O4744" s="20"/>
      <c r="P4744" s="20"/>
    </row>
    <row r="4745">
      <c r="A4745" s="10"/>
      <c r="B4745" s="11"/>
      <c r="C4745" s="10"/>
      <c r="D4745" s="13"/>
      <c r="E4745" s="14"/>
      <c r="F4745" s="14"/>
      <c r="G4745" s="14"/>
      <c r="H4745" s="10"/>
      <c r="I4745" s="17"/>
      <c r="J4745" s="10"/>
      <c r="K4745" s="46"/>
      <c r="L4745" s="10"/>
      <c r="M4745" s="20"/>
      <c r="N4745" s="20"/>
      <c r="O4745" s="20"/>
      <c r="P4745" s="20"/>
    </row>
    <row r="4746">
      <c r="A4746" s="23"/>
      <c r="B4746" s="21"/>
      <c r="C4746" s="23"/>
      <c r="D4746" s="24"/>
      <c r="E4746" s="14"/>
      <c r="F4746" s="14"/>
      <c r="G4746" s="14"/>
      <c r="H4746" s="23"/>
      <c r="I4746" s="27"/>
      <c r="J4746" s="23"/>
      <c r="K4746" s="30"/>
      <c r="L4746" s="23"/>
      <c r="M4746" s="20"/>
      <c r="N4746" s="20"/>
      <c r="O4746" s="20"/>
      <c r="P4746" s="20"/>
    </row>
    <row r="4747">
      <c r="A4747" s="10"/>
      <c r="B4747" s="11"/>
      <c r="C4747" s="10"/>
      <c r="D4747" s="13"/>
      <c r="E4747" s="14"/>
      <c r="F4747" s="14"/>
      <c r="G4747" s="14"/>
      <c r="H4747" s="10"/>
      <c r="I4747" s="17"/>
      <c r="J4747" s="10"/>
      <c r="K4747" s="46"/>
      <c r="L4747" s="10"/>
      <c r="M4747" s="20"/>
      <c r="N4747" s="20"/>
      <c r="O4747" s="20"/>
      <c r="P4747" s="20"/>
    </row>
    <row r="4748">
      <c r="A4748" s="23"/>
      <c r="B4748" s="21"/>
      <c r="C4748" s="23"/>
      <c r="D4748" s="24"/>
      <c r="E4748" s="14"/>
      <c r="F4748" s="14"/>
      <c r="G4748" s="14"/>
      <c r="H4748" s="23"/>
      <c r="I4748" s="27"/>
      <c r="J4748" s="23"/>
      <c r="K4748" s="30"/>
      <c r="L4748" s="23"/>
      <c r="M4748" s="20"/>
      <c r="N4748" s="20"/>
      <c r="O4748" s="20"/>
      <c r="P4748" s="20"/>
    </row>
    <row r="4749">
      <c r="A4749" s="10"/>
      <c r="B4749" s="11"/>
      <c r="C4749" s="10"/>
      <c r="D4749" s="13"/>
      <c r="E4749" s="14"/>
      <c r="F4749" s="14"/>
      <c r="G4749" s="14"/>
      <c r="H4749" s="10"/>
      <c r="I4749" s="17"/>
      <c r="J4749" s="10"/>
      <c r="K4749" s="46"/>
      <c r="L4749" s="10"/>
      <c r="M4749" s="20"/>
      <c r="N4749" s="20"/>
      <c r="O4749" s="20"/>
      <c r="P4749" s="20"/>
    </row>
    <row r="4750">
      <c r="A4750" s="23"/>
      <c r="B4750" s="21"/>
      <c r="C4750" s="23"/>
      <c r="D4750" s="24"/>
      <c r="E4750" s="14"/>
      <c r="F4750" s="14"/>
      <c r="G4750" s="14"/>
      <c r="H4750" s="23"/>
      <c r="I4750" s="27"/>
      <c r="J4750" s="23"/>
      <c r="K4750" s="30"/>
      <c r="L4750" s="23"/>
      <c r="M4750" s="20"/>
      <c r="N4750" s="20"/>
      <c r="O4750" s="20"/>
      <c r="P4750" s="20"/>
    </row>
    <row r="4751">
      <c r="A4751" s="10"/>
      <c r="B4751" s="11"/>
      <c r="C4751" s="10"/>
      <c r="D4751" s="13"/>
      <c r="E4751" s="14"/>
      <c r="F4751" s="14"/>
      <c r="G4751" s="14"/>
      <c r="H4751" s="10"/>
      <c r="I4751" s="17"/>
      <c r="J4751" s="10"/>
      <c r="K4751" s="46"/>
      <c r="L4751" s="10"/>
      <c r="M4751" s="20"/>
      <c r="N4751" s="20"/>
      <c r="O4751" s="20"/>
      <c r="P4751" s="20"/>
    </row>
    <row r="4752">
      <c r="A4752" s="23"/>
      <c r="B4752" s="21"/>
      <c r="C4752" s="23"/>
      <c r="D4752" s="24"/>
      <c r="E4752" s="14"/>
      <c r="F4752" s="14"/>
      <c r="G4752" s="14"/>
      <c r="H4752" s="23"/>
      <c r="I4752" s="27"/>
      <c r="J4752" s="23"/>
      <c r="K4752" s="30"/>
      <c r="L4752" s="23"/>
      <c r="M4752" s="20"/>
      <c r="N4752" s="20"/>
      <c r="O4752" s="20"/>
      <c r="P4752" s="20"/>
    </row>
    <row r="4753">
      <c r="A4753" s="10"/>
      <c r="B4753" s="11"/>
      <c r="C4753" s="10"/>
      <c r="D4753" s="13"/>
      <c r="E4753" s="14"/>
      <c r="F4753" s="14"/>
      <c r="G4753" s="14"/>
      <c r="H4753" s="10"/>
      <c r="I4753" s="17"/>
      <c r="J4753" s="10"/>
      <c r="K4753" s="46"/>
      <c r="L4753" s="10"/>
      <c r="M4753" s="20"/>
      <c r="N4753" s="20"/>
      <c r="O4753" s="20"/>
      <c r="P4753" s="20"/>
    </row>
    <row r="4754">
      <c r="A4754" s="23"/>
      <c r="B4754" s="21"/>
      <c r="C4754" s="23"/>
      <c r="D4754" s="24"/>
      <c r="E4754" s="14"/>
      <c r="F4754" s="14"/>
      <c r="G4754" s="14"/>
      <c r="H4754" s="23"/>
      <c r="I4754" s="27"/>
      <c r="J4754" s="23"/>
      <c r="K4754" s="30"/>
      <c r="L4754" s="23"/>
      <c r="M4754" s="20"/>
      <c r="N4754" s="20"/>
      <c r="O4754" s="20"/>
      <c r="P4754" s="20"/>
    </row>
    <row r="4755">
      <c r="A4755" s="10"/>
      <c r="B4755" s="11"/>
      <c r="C4755" s="10"/>
      <c r="D4755" s="13"/>
      <c r="E4755" s="14"/>
      <c r="F4755" s="14"/>
      <c r="G4755" s="14"/>
      <c r="H4755" s="10"/>
      <c r="I4755" s="17"/>
      <c r="J4755" s="10"/>
      <c r="K4755" s="46"/>
      <c r="L4755" s="10"/>
      <c r="M4755" s="20"/>
      <c r="N4755" s="20"/>
      <c r="O4755" s="20"/>
      <c r="P4755" s="20"/>
    </row>
    <row r="4756">
      <c r="A4756" s="23"/>
      <c r="B4756" s="21"/>
      <c r="C4756" s="23"/>
      <c r="D4756" s="24"/>
      <c r="E4756" s="14"/>
      <c r="F4756" s="14"/>
      <c r="G4756" s="14"/>
      <c r="H4756" s="23"/>
      <c r="I4756" s="27"/>
      <c r="J4756" s="23"/>
      <c r="K4756" s="30"/>
      <c r="L4756" s="23"/>
      <c r="M4756" s="20"/>
      <c r="N4756" s="20"/>
      <c r="O4756" s="20"/>
      <c r="P4756" s="20"/>
    </row>
    <row r="4757">
      <c r="A4757" s="10"/>
      <c r="B4757" s="11"/>
      <c r="C4757" s="10"/>
      <c r="D4757" s="13"/>
      <c r="E4757" s="14"/>
      <c r="F4757" s="14"/>
      <c r="G4757" s="14"/>
      <c r="H4757" s="10"/>
      <c r="I4757" s="17"/>
      <c r="J4757" s="10"/>
      <c r="K4757" s="46"/>
      <c r="L4757" s="10"/>
      <c r="M4757" s="20"/>
      <c r="N4757" s="20"/>
      <c r="O4757" s="20"/>
      <c r="P4757" s="20"/>
    </row>
    <row r="4758">
      <c r="A4758" s="23"/>
      <c r="B4758" s="21"/>
      <c r="C4758" s="23"/>
      <c r="D4758" s="24"/>
      <c r="E4758" s="14"/>
      <c r="F4758" s="14"/>
      <c r="G4758" s="14"/>
      <c r="H4758" s="23"/>
      <c r="I4758" s="27"/>
      <c r="J4758" s="23"/>
      <c r="K4758" s="30"/>
      <c r="L4758" s="23"/>
      <c r="M4758" s="20"/>
      <c r="N4758" s="20"/>
      <c r="O4758" s="20"/>
      <c r="P4758" s="20"/>
    </row>
    <row r="4759">
      <c r="A4759" s="10"/>
      <c r="B4759" s="11"/>
      <c r="C4759" s="10"/>
      <c r="D4759" s="13"/>
      <c r="E4759" s="14"/>
      <c r="F4759" s="14"/>
      <c r="G4759" s="14"/>
      <c r="H4759" s="10"/>
      <c r="I4759" s="17"/>
      <c r="J4759" s="10"/>
      <c r="K4759" s="46"/>
      <c r="L4759" s="10"/>
      <c r="M4759" s="20"/>
      <c r="N4759" s="20"/>
      <c r="O4759" s="20"/>
      <c r="P4759" s="20"/>
    </row>
    <row r="4760">
      <c r="A4760" s="23"/>
      <c r="B4760" s="21"/>
      <c r="C4760" s="23"/>
      <c r="D4760" s="24"/>
      <c r="E4760" s="14"/>
      <c r="F4760" s="14"/>
      <c r="G4760" s="14"/>
      <c r="H4760" s="23"/>
      <c r="I4760" s="27"/>
      <c r="J4760" s="23"/>
      <c r="K4760" s="30"/>
      <c r="L4760" s="23"/>
      <c r="M4760" s="20"/>
      <c r="N4760" s="20"/>
      <c r="O4760" s="20"/>
      <c r="P4760" s="20"/>
    </row>
    <row r="4761">
      <c r="A4761" s="10"/>
      <c r="B4761" s="11"/>
      <c r="C4761" s="10"/>
      <c r="D4761" s="13"/>
      <c r="E4761" s="14"/>
      <c r="F4761" s="14"/>
      <c r="G4761" s="14"/>
      <c r="H4761" s="10"/>
      <c r="I4761" s="17"/>
      <c r="J4761" s="10"/>
      <c r="K4761" s="46"/>
      <c r="L4761" s="10"/>
      <c r="M4761" s="20"/>
      <c r="N4761" s="20"/>
      <c r="O4761" s="20"/>
      <c r="P4761" s="20"/>
    </row>
    <row r="4762">
      <c r="A4762" s="23"/>
      <c r="B4762" s="21"/>
      <c r="C4762" s="23"/>
      <c r="D4762" s="24"/>
      <c r="E4762" s="14"/>
      <c r="F4762" s="14"/>
      <c r="G4762" s="14"/>
      <c r="H4762" s="23"/>
      <c r="I4762" s="27"/>
      <c r="J4762" s="23"/>
      <c r="K4762" s="30"/>
      <c r="L4762" s="23"/>
      <c r="M4762" s="20"/>
      <c r="N4762" s="20"/>
      <c r="O4762" s="20"/>
      <c r="P4762" s="20"/>
    </row>
    <row r="4763">
      <c r="A4763" s="10"/>
      <c r="B4763" s="11"/>
      <c r="C4763" s="10"/>
      <c r="D4763" s="13"/>
      <c r="E4763" s="14"/>
      <c r="F4763" s="14"/>
      <c r="G4763" s="14"/>
      <c r="H4763" s="10"/>
      <c r="I4763" s="17"/>
      <c r="J4763" s="10"/>
      <c r="K4763" s="46"/>
      <c r="L4763" s="10"/>
      <c r="M4763" s="20"/>
      <c r="N4763" s="20"/>
      <c r="O4763" s="20"/>
      <c r="P4763" s="20"/>
    </row>
    <row r="4764">
      <c r="A4764" s="23"/>
      <c r="B4764" s="21"/>
      <c r="C4764" s="23"/>
      <c r="D4764" s="24"/>
      <c r="E4764" s="14"/>
      <c r="F4764" s="14"/>
      <c r="G4764" s="14"/>
      <c r="H4764" s="23"/>
      <c r="I4764" s="27"/>
      <c r="J4764" s="23"/>
      <c r="K4764" s="30"/>
      <c r="L4764" s="23"/>
      <c r="M4764" s="20"/>
      <c r="N4764" s="20"/>
      <c r="O4764" s="20"/>
      <c r="P4764" s="20"/>
    </row>
    <row r="4765">
      <c r="A4765" s="10"/>
      <c r="B4765" s="11"/>
      <c r="C4765" s="10"/>
      <c r="D4765" s="13"/>
      <c r="E4765" s="14"/>
      <c r="F4765" s="14"/>
      <c r="G4765" s="14"/>
      <c r="H4765" s="10"/>
      <c r="I4765" s="17"/>
      <c r="J4765" s="10"/>
      <c r="K4765" s="46"/>
      <c r="L4765" s="10"/>
      <c r="M4765" s="20"/>
      <c r="N4765" s="20"/>
      <c r="O4765" s="20"/>
      <c r="P4765" s="20"/>
    </row>
    <row r="4766">
      <c r="A4766" s="23"/>
      <c r="B4766" s="21"/>
      <c r="C4766" s="23"/>
      <c r="D4766" s="24"/>
      <c r="E4766" s="14"/>
      <c r="F4766" s="14"/>
      <c r="G4766" s="14"/>
      <c r="H4766" s="23"/>
      <c r="I4766" s="27"/>
      <c r="J4766" s="23"/>
      <c r="K4766" s="30"/>
      <c r="L4766" s="23"/>
      <c r="M4766" s="20"/>
      <c r="N4766" s="20"/>
      <c r="O4766" s="20"/>
      <c r="P4766" s="20"/>
    </row>
    <row r="4767">
      <c r="A4767" s="10"/>
      <c r="B4767" s="11"/>
      <c r="C4767" s="10"/>
      <c r="D4767" s="13"/>
      <c r="E4767" s="14"/>
      <c r="F4767" s="14"/>
      <c r="G4767" s="14"/>
      <c r="H4767" s="10"/>
      <c r="I4767" s="17"/>
      <c r="J4767" s="10"/>
      <c r="K4767" s="46"/>
      <c r="L4767" s="10"/>
      <c r="M4767" s="20"/>
      <c r="N4767" s="20"/>
      <c r="O4767" s="20"/>
      <c r="P4767" s="20"/>
    </row>
    <row r="4768">
      <c r="A4768" s="23"/>
      <c r="B4768" s="21"/>
      <c r="C4768" s="23"/>
      <c r="D4768" s="24"/>
      <c r="E4768" s="14"/>
      <c r="F4768" s="14"/>
      <c r="G4768" s="14"/>
      <c r="H4768" s="23"/>
      <c r="I4768" s="27"/>
      <c r="J4768" s="23"/>
      <c r="K4768" s="30"/>
      <c r="L4768" s="23"/>
      <c r="M4768" s="20"/>
      <c r="N4768" s="20"/>
      <c r="O4768" s="20"/>
      <c r="P4768" s="20"/>
    </row>
    <row r="4769">
      <c r="A4769" s="10"/>
      <c r="B4769" s="11"/>
      <c r="C4769" s="10"/>
      <c r="D4769" s="13"/>
      <c r="E4769" s="14"/>
      <c r="F4769" s="14"/>
      <c r="G4769" s="14"/>
      <c r="H4769" s="10"/>
      <c r="I4769" s="17"/>
      <c r="J4769" s="10"/>
      <c r="K4769" s="46"/>
      <c r="L4769" s="10"/>
      <c r="M4769" s="20"/>
      <c r="N4769" s="20"/>
      <c r="O4769" s="20"/>
      <c r="P4769" s="20"/>
    </row>
    <row r="4770">
      <c r="A4770" s="23"/>
      <c r="B4770" s="21"/>
      <c r="C4770" s="23"/>
      <c r="D4770" s="24"/>
      <c r="E4770" s="14"/>
      <c r="F4770" s="14"/>
      <c r="G4770" s="14"/>
      <c r="H4770" s="23"/>
      <c r="I4770" s="27"/>
      <c r="J4770" s="23"/>
      <c r="K4770" s="30"/>
      <c r="L4770" s="23"/>
      <c r="M4770" s="20"/>
      <c r="N4770" s="20"/>
      <c r="O4770" s="20"/>
      <c r="P4770" s="20"/>
    </row>
    <row r="4771">
      <c r="A4771" s="10"/>
      <c r="B4771" s="11"/>
      <c r="C4771" s="10"/>
      <c r="D4771" s="13"/>
      <c r="E4771" s="14"/>
      <c r="F4771" s="14"/>
      <c r="G4771" s="14"/>
      <c r="H4771" s="10"/>
      <c r="I4771" s="17"/>
      <c r="J4771" s="10"/>
      <c r="K4771" s="46"/>
      <c r="L4771" s="10"/>
      <c r="M4771" s="20"/>
      <c r="N4771" s="20"/>
      <c r="O4771" s="20"/>
      <c r="P4771" s="20"/>
    </row>
    <row r="4772">
      <c r="A4772" s="23"/>
      <c r="B4772" s="21"/>
      <c r="C4772" s="23"/>
      <c r="D4772" s="24"/>
      <c r="E4772" s="14"/>
      <c r="F4772" s="14"/>
      <c r="G4772" s="14"/>
      <c r="H4772" s="23"/>
      <c r="I4772" s="27"/>
      <c r="J4772" s="23"/>
      <c r="K4772" s="30"/>
      <c r="L4772" s="23"/>
      <c r="M4772" s="20"/>
      <c r="N4772" s="20"/>
      <c r="O4772" s="20"/>
      <c r="P4772" s="20"/>
    </row>
    <row r="4773">
      <c r="A4773" s="10"/>
      <c r="B4773" s="11"/>
      <c r="C4773" s="10"/>
      <c r="D4773" s="13"/>
      <c r="E4773" s="14"/>
      <c r="F4773" s="14"/>
      <c r="G4773" s="14"/>
      <c r="H4773" s="10"/>
      <c r="I4773" s="17"/>
      <c r="J4773" s="10"/>
      <c r="K4773" s="46"/>
      <c r="L4773" s="10"/>
      <c r="M4773" s="20"/>
      <c r="N4773" s="20"/>
      <c r="O4773" s="20"/>
      <c r="P4773" s="20"/>
    </row>
    <row r="4774">
      <c r="A4774" s="23"/>
      <c r="B4774" s="21"/>
      <c r="C4774" s="23"/>
      <c r="D4774" s="24"/>
      <c r="E4774" s="14"/>
      <c r="F4774" s="14"/>
      <c r="G4774" s="14"/>
      <c r="H4774" s="23"/>
      <c r="I4774" s="27"/>
      <c r="J4774" s="23"/>
      <c r="K4774" s="30"/>
      <c r="L4774" s="23"/>
      <c r="M4774" s="20"/>
      <c r="N4774" s="20"/>
      <c r="O4774" s="20"/>
      <c r="P4774" s="20"/>
    </row>
    <row r="4775">
      <c r="A4775" s="10"/>
      <c r="B4775" s="11"/>
      <c r="C4775" s="10"/>
      <c r="D4775" s="13"/>
      <c r="E4775" s="14"/>
      <c r="F4775" s="14"/>
      <c r="G4775" s="14"/>
      <c r="H4775" s="10"/>
      <c r="I4775" s="17"/>
      <c r="J4775" s="10"/>
      <c r="K4775" s="46"/>
      <c r="L4775" s="10"/>
      <c r="M4775" s="20"/>
      <c r="N4775" s="20"/>
      <c r="O4775" s="20"/>
      <c r="P4775" s="20"/>
    </row>
    <row r="4776">
      <c r="A4776" s="23"/>
      <c r="B4776" s="21"/>
      <c r="C4776" s="23"/>
      <c r="D4776" s="24"/>
      <c r="E4776" s="14"/>
      <c r="F4776" s="14"/>
      <c r="G4776" s="14"/>
      <c r="H4776" s="23"/>
      <c r="I4776" s="27"/>
      <c r="J4776" s="23"/>
      <c r="K4776" s="30"/>
      <c r="L4776" s="23"/>
      <c r="M4776" s="20"/>
      <c r="N4776" s="20"/>
      <c r="O4776" s="20"/>
      <c r="P4776" s="20"/>
    </row>
    <row r="4777">
      <c r="A4777" s="10"/>
      <c r="B4777" s="11"/>
      <c r="C4777" s="10"/>
      <c r="D4777" s="13"/>
      <c r="E4777" s="14"/>
      <c r="F4777" s="14"/>
      <c r="G4777" s="14"/>
      <c r="H4777" s="10"/>
      <c r="I4777" s="17"/>
      <c r="J4777" s="10"/>
      <c r="K4777" s="46"/>
      <c r="L4777" s="10"/>
      <c r="M4777" s="20"/>
      <c r="N4777" s="20"/>
      <c r="O4777" s="20"/>
      <c r="P4777" s="20"/>
    </row>
    <row r="4778">
      <c r="A4778" s="23"/>
      <c r="B4778" s="21"/>
      <c r="C4778" s="23"/>
      <c r="D4778" s="24"/>
      <c r="E4778" s="14"/>
      <c r="F4778" s="14"/>
      <c r="G4778" s="14"/>
      <c r="H4778" s="23"/>
      <c r="I4778" s="27"/>
      <c r="J4778" s="23"/>
      <c r="K4778" s="30"/>
      <c r="L4778" s="23"/>
      <c r="M4778" s="20"/>
      <c r="N4778" s="20"/>
      <c r="O4778" s="20"/>
      <c r="P4778" s="20"/>
    </row>
    <row r="4779">
      <c r="A4779" s="10"/>
      <c r="B4779" s="11"/>
      <c r="C4779" s="10"/>
      <c r="D4779" s="13"/>
      <c r="E4779" s="14"/>
      <c r="F4779" s="14"/>
      <c r="G4779" s="14"/>
      <c r="H4779" s="10"/>
      <c r="I4779" s="17"/>
      <c r="J4779" s="10"/>
      <c r="K4779" s="46"/>
      <c r="L4779" s="10"/>
      <c r="M4779" s="20"/>
      <c r="N4779" s="20"/>
      <c r="O4779" s="20"/>
      <c r="P4779" s="20"/>
    </row>
    <row r="4780">
      <c r="A4780" s="23"/>
      <c r="B4780" s="21"/>
      <c r="C4780" s="23"/>
      <c r="D4780" s="24"/>
      <c r="E4780" s="14"/>
      <c r="F4780" s="14"/>
      <c r="G4780" s="14"/>
      <c r="H4780" s="23"/>
      <c r="I4780" s="27"/>
      <c r="J4780" s="23"/>
      <c r="K4780" s="30"/>
      <c r="L4780" s="23"/>
      <c r="M4780" s="20"/>
      <c r="N4780" s="20"/>
      <c r="O4780" s="20"/>
      <c r="P4780" s="20"/>
    </row>
    <row r="4781">
      <c r="A4781" s="10"/>
      <c r="B4781" s="11"/>
      <c r="C4781" s="10"/>
      <c r="D4781" s="13"/>
      <c r="E4781" s="14"/>
      <c r="F4781" s="14"/>
      <c r="G4781" s="14"/>
      <c r="H4781" s="10"/>
      <c r="I4781" s="17"/>
      <c r="J4781" s="10"/>
      <c r="K4781" s="46"/>
      <c r="L4781" s="10"/>
      <c r="M4781" s="20"/>
      <c r="N4781" s="20"/>
      <c r="O4781" s="20"/>
      <c r="P4781" s="20"/>
    </row>
    <row r="4782">
      <c r="A4782" s="23"/>
      <c r="B4782" s="21"/>
      <c r="C4782" s="23"/>
      <c r="D4782" s="24"/>
      <c r="E4782" s="14"/>
      <c r="F4782" s="14"/>
      <c r="G4782" s="14"/>
      <c r="H4782" s="23"/>
      <c r="I4782" s="27"/>
      <c r="J4782" s="23"/>
      <c r="K4782" s="30"/>
      <c r="L4782" s="23"/>
      <c r="M4782" s="20"/>
      <c r="N4782" s="20"/>
      <c r="O4782" s="20"/>
      <c r="P4782" s="20"/>
    </row>
    <row r="4783">
      <c r="A4783" s="10"/>
      <c r="B4783" s="11"/>
      <c r="C4783" s="10"/>
      <c r="D4783" s="13"/>
      <c r="E4783" s="14"/>
      <c r="F4783" s="14"/>
      <c r="G4783" s="14"/>
      <c r="H4783" s="10"/>
      <c r="I4783" s="17"/>
      <c r="J4783" s="10"/>
      <c r="K4783" s="46"/>
      <c r="L4783" s="10"/>
      <c r="M4783" s="20"/>
      <c r="N4783" s="20"/>
      <c r="O4783" s="20"/>
      <c r="P4783" s="20"/>
    </row>
    <row r="4784">
      <c r="A4784" s="23"/>
      <c r="B4784" s="21"/>
      <c r="C4784" s="23"/>
      <c r="D4784" s="24"/>
      <c r="E4784" s="14"/>
      <c r="F4784" s="14"/>
      <c r="G4784" s="14"/>
      <c r="H4784" s="23"/>
      <c r="I4784" s="27"/>
      <c r="J4784" s="23"/>
      <c r="K4784" s="30"/>
      <c r="L4784" s="23"/>
      <c r="M4784" s="20"/>
      <c r="N4784" s="20"/>
      <c r="O4784" s="20"/>
      <c r="P4784" s="20"/>
    </row>
    <row r="4785">
      <c r="A4785" s="10"/>
      <c r="B4785" s="11"/>
      <c r="C4785" s="10"/>
      <c r="D4785" s="13"/>
      <c r="E4785" s="14"/>
      <c r="F4785" s="14"/>
      <c r="G4785" s="14"/>
      <c r="H4785" s="10"/>
      <c r="I4785" s="17"/>
      <c r="J4785" s="10"/>
      <c r="K4785" s="46"/>
      <c r="L4785" s="10"/>
      <c r="M4785" s="20"/>
      <c r="N4785" s="20"/>
      <c r="O4785" s="20"/>
      <c r="P4785" s="20"/>
    </row>
    <row r="4786">
      <c r="A4786" s="23"/>
      <c r="B4786" s="21"/>
      <c r="C4786" s="23"/>
      <c r="D4786" s="24"/>
      <c r="E4786" s="14"/>
      <c r="F4786" s="14"/>
      <c r="G4786" s="14"/>
      <c r="H4786" s="23"/>
      <c r="I4786" s="27"/>
      <c r="J4786" s="23"/>
      <c r="K4786" s="30"/>
      <c r="L4786" s="23"/>
      <c r="M4786" s="20"/>
      <c r="N4786" s="20"/>
      <c r="O4786" s="20"/>
      <c r="P4786" s="20"/>
    </row>
    <row r="4787">
      <c r="A4787" s="10"/>
      <c r="B4787" s="11"/>
      <c r="C4787" s="10"/>
      <c r="D4787" s="13"/>
      <c r="E4787" s="14"/>
      <c r="F4787" s="14"/>
      <c r="G4787" s="14"/>
      <c r="H4787" s="10"/>
      <c r="I4787" s="17"/>
      <c r="J4787" s="10"/>
      <c r="K4787" s="46"/>
      <c r="L4787" s="10"/>
      <c r="M4787" s="20"/>
      <c r="N4787" s="20"/>
      <c r="O4787" s="20"/>
      <c r="P4787" s="20"/>
    </row>
    <row r="4788">
      <c r="A4788" s="23"/>
      <c r="B4788" s="21"/>
      <c r="C4788" s="23"/>
      <c r="D4788" s="24"/>
      <c r="E4788" s="14"/>
      <c r="F4788" s="14"/>
      <c r="G4788" s="14"/>
      <c r="H4788" s="23"/>
      <c r="I4788" s="27"/>
      <c r="J4788" s="23"/>
      <c r="K4788" s="30"/>
      <c r="L4788" s="23"/>
      <c r="M4788" s="20"/>
      <c r="N4788" s="20"/>
      <c r="O4788" s="20"/>
      <c r="P4788" s="20"/>
    </row>
    <row r="4789">
      <c r="A4789" s="10"/>
      <c r="B4789" s="11"/>
      <c r="C4789" s="10"/>
      <c r="D4789" s="13"/>
      <c r="E4789" s="14"/>
      <c r="F4789" s="14"/>
      <c r="G4789" s="14"/>
      <c r="H4789" s="10"/>
      <c r="I4789" s="17"/>
      <c r="J4789" s="10"/>
      <c r="K4789" s="46"/>
      <c r="L4789" s="10"/>
      <c r="M4789" s="20"/>
      <c r="N4789" s="20"/>
      <c r="O4789" s="20"/>
      <c r="P4789" s="20"/>
    </row>
    <row r="4790">
      <c r="A4790" s="23"/>
      <c r="B4790" s="21"/>
      <c r="C4790" s="23"/>
      <c r="D4790" s="24"/>
      <c r="E4790" s="14"/>
      <c r="F4790" s="14"/>
      <c r="G4790" s="14"/>
      <c r="H4790" s="23"/>
      <c r="I4790" s="27"/>
      <c r="J4790" s="23"/>
      <c r="K4790" s="30"/>
      <c r="L4790" s="23"/>
      <c r="M4790" s="20"/>
      <c r="N4790" s="20"/>
      <c r="O4790" s="20"/>
      <c r="P4790" s="20"/>
    </row>
    <row r="4791">
      <c r="A4791" s="10"/>
      <c r="B4791" s="11"/>
      <c r="C4791" s="10"/>
      <c r="D4791" s="13"/>
      <c r="E4791" s="14"/>
      <c r="F4791" s="14"/>
      <c r="G4791" s="14"/>
      <c r="H4791" s="10"/>
      <c r="I4791" s="17"/>
      <c r="J4791" s="10"/>
      <c r="K4791" s="46"/>
      <c r="L4791" s="10"/>
      <c r="M4791" s="20"/>
      <c r="N4791" s="20"/>
      <c r="O4791" s="20"/>
      <c r="P4791" s="20"/>
    </row>
    <row r="4792">
      <c r="A4792" s="23"/>
      <c r="B4792" s="21"/>
      <c r="C4792" s="23"/>
      <c r="D4792" s="24"/>
      <c r="E4792" s="14"/>
      <c r="F4792" s="14"/>
      <c r="G4792" s="14"/>
      <c r="H4792" s="23"/>
      <c r="I4792" s="27"/>
      <c r="J4792" s="23"/>
      <c r="K4792" s="30"/>
      <c r="L4792" s="23"/>
      <c r="M4792" s="20"/>
      <c r="N4792" s="20"/>
      <c r="O4792" s="20"/>
      <c r="P4792" s="20"/>
    </row>
    <row r="4793">
      <c r="A4793" s="10"/>
      <c r="B4793" s="11"/>
      <c r="C4793" s="10"/>
      <c r="D4793" s="13"/>
      <c r="E4793" s="14"/>
      <c r="F4793" s="14"/>
      <c r="G4793" s="14"/>
      <c r="H4793" s="10"/>
      <c r="I4793" s="17"/>
      <c r="J4793" s="10"/>
      <c r="K4793" s="46"/>
      <c r="L4793" s="10"/>
      <c r="M4793" s="20"/>
      <c r="N4793" s="20"/>
      <c r="O4793" s="20"/>
      <c r="P4793" s="20"/>
    </row>
    <row r="4794">
      <c r="A4794" s="23"/>
      <c r="B4794" s="21"/>
      <c r="C4794" s="23"/>
      <c r="D4794" s="24"/>
      <c r="E4794" s="14"/>
      <c r="F4794" s="14"/>
      <c r="G4794" s="14"/>
      <c r="H4794" s="23"/>
      <c r="I4794" s="27"/>
      <c r="J4794" s="23"/>
      <c r="K4794" s="30"/>
      <c r="L4794" s="23"/>
      <c r="M4794" s="20"/>
      <c r="N4794" s="20"/>
      <c r="O4794" s="20"/>
      <c r="P4794" s="20"/>
    </row>
    <row r="4795">
      <c r="A4795" s="10"/>
      <c r="B4795" s="11"/>
      <c r="C4795" s="10"/>
      <c r="D4795" s="13"/>
      <c r="E4795" s="14"/>
      <c r="F4795" s="14"/>
      <c r="G4795" s="14"/>
      <c r="H4795" s="10"/>
      <c r="I4795" s="17"/>
      <c r="J4795" s="10"/>
      <c r="K4795" s="46"/>
      <c r="L4795" s="10"/>
      <c r="M4795" s="20"/>
      <c r="N4795" s="20"/>
      <c r="O4795" s="20"/>
      <c r="P4795" s="20"/>
    </row>
    <row r="4796">
      <c r="A4796" s="23"/>
      <c r="B4796" s="21"/>
      <c r="C4796" s="23"/>
      <c r="D4796" s="24"/>
      <c r="E4796" s="14"/>
      <c r="F4796" s="14"/>
      <c r="G4796" s="14"/>
      <c r="H4796" s="23"/>
      <c r="I4796" s="27"/>
      <c r="J4796" s="23"/>
      <c r="K4796" s="30"/>
      <c r="L4796" s="23"/>
      <c r="M4796" s="20"/>
      <c r="N4796" s="20"/>
      <c r="O4796" s="20"/>
      <c r="P4796" s="20"/>
    </row>
    <row r="4797">
      <c r="A4797" s="10"/>
      <c r="B4797" s="11"/>
      <c r="C4797" s="10"/>
      <c r="D4797" s="13"/>
      <c r="E4797" s="14"/>
      <c r="F4797" s="14"/>
      <c r="G4797" s="14"/>
      <c r="H4797" s="10"/>
      <c r="I4797" s="17"/>
      <c r="J4797" s="10"/>
      <c r="K4797" s="46"/>
      <c r="L4797" s="10"/>
      <c r="M4797" s="20"/>
      <c r="N4797" s="20"/>
      <c r="O4797" s="20"/>
      <c r="P4797" s="20"/>
    </row>
    <row r="4798">
      <c r="A4798" s="23"/>
      <c r="B4798" s="21"/>
      <c r="C4798" s="23"/>
      <c r="D4798" s="24"/>
      <c r="E4798" s="14"/>
      <c r="F4798" s="14"/>
      <c r="G4798" s="14"/>
      <c r="H4798" s="23"/>
      <c r="I4798" s="27"/>
      <c r="J4798" s="23"/>
      <c r="K4798" s="30"/>
      <c r="L4798" s="23"/>
      <c r="M4798" s="20"/>
      <c r="N4798" s="20"/>
      <c r="O4798" s="20"/>
      <c r="P4798" s="20"/>
    </row>
    <row r="4799">
      <c r="A4799" s="10"/>
      <c r="B4799" s="11"/>
      <c r="C4799" s="10"/>
      <c r="D4799" s="13"/>
      <c r="E4799" s="14"/>
      <c r="F4799" s="14"/>
      <c r="G4799" s="14"/>
      <c r="H4799" s="10"/>
      <c r="I4799" s="17"/>
      <c r="J4799" s="10"/>
      <c r="K4799" s="46"/>
      <c r="L4799" s="10"/>
      <c r="M4799" s="20"/>
      <c r="N4799" s="20"/>
      <c r="O4799" s="20"/>
      <c r="P4799" s="20"/>
    </row>
    <row r="4800">
      <c r="A4800" s="23"/>
      <c r="B4800" s="21"/>
      <c r="C4800" s="23"/>
      <c r="D4800" s="24"/>
      <c r="E4800" s="14"/>
      <c r="F4800" s="14"/>
      <c r="G4800" s="14"/>
      <c r="H4800" s="23"/>
      <c r="I4800" s="27"/>
      <c r="J4800" s="23"/>
      <c r="K4800" s="30"/>
      <c r="L4800" s="23"/>
      <c r="M4800" s="20"/>
      <c r="N4800" s="20"/>
      <c r="O4800" s="20"/>
      <c r="P4800" s="20"/>
    </row>
    <row r="4801">
      <c r="A4801" s="10"/>
      <c r="B4801" s="11"/>
      <c r="C4801" s="10"/>
      <c r="D4801" s="13"/>
      <c r="E4801" s="14"/>
      <c r="F4801" s="14"/>
      <c r="G4801" s="14"/>
      <c r="H4801" s="10"/>
      <c r="I4801" s="17"/>
      <c r="J4801" s="10"/>
      <c r="K4801" s="46"/>
      <c r="L4801" s="10"/>
      <c r="M4801" s="20"/>
      <c r="N4801" s="20"/>
      <c r="O4801" s="20"/>
      <c r="P4801" s="20"/>
    </row>
    <row r="4802">
      <c r="A4802" s="23"/>
      <c r="B4802" s="21"/>
      <c r="C4802" s="23"/>
      <c r="D4802" s="24"/>
      <c r="E4802" s="14"/>
      <c r="F4802" s="14"/>
      <c r="G4802" s="14"/>
      <c r="H4802" s="23"/>
      <c r="I4802" s="27"/>
      <c r="J4802" s="23"/>
      <c r="K4802" s="30"/>
      <c r="L4802" s="23"/>
      <c r="M4802" s="20"/>
      <c r="N4802" s="20"/>
      <c r="O4802" s="20"/>
      <c r="P4802" s="20"/>
    </row>
    <row r="4803">
      <c r="A4803" s="10"/>
      <c r="B4803" s="11"/>
      <c r="C4803" s="10"/>
      <c r="D4803" s="13"/>
      <c r="E4803" s="14"/>
      <c r="F4803" s="14"/>
      <c r="G4803" s="14"/>
      <c r="H4803" s="10"/>
      <c r="I4803" s="17"/>
      <c r="J4803" s="10"/>
      <c r="K4803" s="46"/>
      <c r="L4803" s="10"/>
      <c r="M4803" s="20"/>
      <c r="N4803" s="20"/>
      <c r="O4803" s="20"/>
      <c r="P4803" s="20"/>
    </row>
    <row r="4804">
      <c r="A4804" s="23"/>
      <c r="B4804" s="21"/>
      <c r="C4804" s="23"/>
      <c r="D4804" s="24"/>
      <c r="E4804" s="14"/>
      <c r="F4804" s="14"/>
      <c r="G4804" s="14"/>
      <c r="H4804" s="23"/>
      <c r="I4804" s="27"/>
      <c r="J4804" s="23"/>
      <c r="K4804" s="30"/>
      <c r="L4804" s="23"/>
      <c r="M4804" s="20"/>
      <c r="N4804" s="20"/>
      <c r="O4804" s="20"/>
      <c r="P4804" s="20"/>
    </row>
    <row r="4805">
      <c r="A4805" s="10"/>
      <c r="B4805" s="11"/>
      <c r="C4805" s="10"/>
      <c r="D4805" s="13"/>
      <c r="E4805" s="14"/>
      <c r="F4805" s="14"/>
      <c r="G4805" s="14"/>
      <c r="H4805" s="10"/>
      <c r="I4805" s="17"/>
      <c r="J4805" s="10"/>
      <c r="K4805" s="46"/>
      <c r="L4805" s="10"/>
      <c r="M4805" s="20"/>
      <c r="N4805" s="20"/>
      <c r="O4805" s="20"/>
      <c r="P4805" s="20"/>
    </row>
    <row r="4806">
      <c r="A4806" s="23"/>
      <c r="B4806" s="21"/>
      <c r="C4806" s="23"/>
      <c r="D4806" s="24"/>
      <c r="E4806" s="14"/>
      <c r="F4806" s="14"/>
      <c r="G4806" s="14"/>
      <c r="H4806" s="23"/>
      <c r="I4806" s="27"/>
      <c r="J4806" s="23"/>
      <c r="K4806" s="30"/>
      <c r="L4806" s="23"/>
      <c r="M4806" s="20"/>
      <c r="N4806" s="20"/>
      <c r="O4806" s="20"/>
      <c r="P4806" s="20"/>
    </row>
    <row r="4807">
      <c r="A4807" s="10"/>
      <c r="B4807" s="11"/>
      <c r="C4807" s="10"/>
      <c r="D4807" s="13"/>
      <c r="E4807" s="14"/>
      <c r="F4807" s="14"/>
      <c r="G4807" s="14"/>
      <c r="H4807" s="10"/>
      <c r="I4807" s="17"/>
      <c r="J4807" s="10"/>
      <c r="K4807" s="46"/>
      <c r="L4807" s="10"/>
      <c r="M4807" s="20"/>
      <c r="N4807" s="20"/>
      <c r="O4807" s="20"/>
      <c r="P4807" s="20"/>
    </row>
    <row r="4808">
      <c r="A4808" s="23"/>
      <c r="B4808" s="21"/>
      <c r="C4808" s="23"/>
      <c r="D4808" s="24"/>
      <c r="E4808" s="14"/>
      <c r="F4808" s="14"/>
      <c r="G4808" s="14"/>
      <c r="H4808" s="23"/>
      <c r="I4808" s="27"/>
      <c r="J4808" s="23"/>
      <c r="K4808" s="30"/>
      <c r="L4808" s="23"/>
      <c r="M4808" s="20"/>
      <c r="N4808" s="20"/>
      <c r="O4808" s="20"/>
      <c r="P4808" s="20"/>
    </row>
    <row r="4809">
      <c r="A4809" s="10"/>
      <c r="B4809" s="11"/>
      <c r="C4809" s="10"/>
      <c r="D4809" s="13"/>
      <c r="E4809" s="14"/>
      <c r="F4809" s="14"/>
      <c r="G4809" s="14"/>
      <c r="H4809" s="10"/>
      <c r="I4809" s="17"/>
      <c r="J4809" s="10"/>
      <c r="K4809" s="46"/>
      <c r="L4809" s="10"/>
      <c r="M4809" s="20"/>
      <c r="N4809" s="20"/>
      <c r="O4809" s="20"/>
      <c r="P4809" s="20"/>
    </row>
    <row r="4810">
      <c r="A4810" s="23"/>
      <c r="B4810" s="21"/>
      <c r="C4810" s="23"/>
      <c r="D4810" s="24"/>
      <c r="E4810" s="14"/>
      <c r="F4810" s="14"/>
      <c r="G4810" s="14"/>
      <c r="H4810" s="23"/>
      <c r="I4810" s="27"/>
      <c r="J4810" s="23"/>
      <c r="K4810" s="30"/>
      <c r="L4810" s="23"/>
      <c r="M4810" s="20"/>
      <c r="N4810" s="20"/>
      <c r="O4810" s="20"/>
      <c r="P4810" s="20"/>
    </row>
    <row r="4811">
      <c r="A4811" s="10"/>
      <c r="B4811" s="11"/>
      <c r="C4811" s="10"/>
      <c r="D4811" s="13"/>
      <c r="E4811" s="14"/>
      <c r="F4811" s="14"/>
      <c r="G4811" s="14"/>
      <c r="H4811" s="10"/>
      <c r="I4811" s="17"/>
      <c r="J4811" s="10"/>
      <c r="K4811" s="46"/>
      <c r="L4811" s="10"/>
      <c r="M4811" s="20"/>
      <c r="N4811" s="20"/>
      <c r="O4811" s="20"/>
      <c r="P4811" s="20"/>
    </row>
    <row r="4812">
      <c r="A4812" s="23"/>
      <c r="B4812" s="21"/>
      <c r="C4812" s="23"/>
      <c r="D4812" s="24"/>
      <c r="E4812" s="14"/>
      <c r="F4812" s="14"/>
      <c r="G4812" s="14"/>
      <c r="H4812" s="23"/>
      <c r="I4812" s="27"/>
      <c r="J4812" s="23"/>
      <c r="K4812" s="30"/>
      <c r="L4812" s="23"/>
      <c r="M4812" s="20"/>
      <c r="N4812" s="20"/>
      <c r="O4812" s="20"/>
      <c r="P4812" s="20"/>
    </row>
    <row r="4813">
      <c r="A4813" s="10"/>
      <c r="B4813" s="11"/>
      <c r="C4813" s="10"/>
      <c r="D4813" s="13"/>
      <c r="E4813" s="14"/>
      <c r="F4813" s="14"/>
      <c r="G4813" s="14"/>
      <c r="H4813" s="10"/>
      <c r="I4813" s="17"/>
      <c r="J4813" s="10"/>
      <c r="K4813" s="46"/>
      <c r="L4813" s="10"/>
      <c r="M4813" s="20"/>
      <c r="N4813" s="20"/>
      <c r="O4813" s="20"/>
      <c r="P4813" s="20"/>
    </row>
    <row r="4814">
      <c r="A4814" s="23"/>
      <c r="B4814" s="21"/>
      <c r="C4814" s="23"/>
      <c r="D4814" s="24"/>
      <c r="E4814" s="14"/>
      <c r="F4814" s="14"/>
      <c r="G4814" s="14"/>
      <c r="H4814" s="23"/>
      <c r="I4814" s="27"/>
      <c r="J4814" s="23"/>
      <c r="K4814" s="30"/>
      <c r="L4814" s="23"/>
      <c r="M4814" s="20"/>
      <c r="N4814" s="20"/>
      <c r="O4814" s="20"/>
      <c r="P4814" s="20"/>
    </row>
    <row r="4815">
      <c r="A4815" s="10"/>
      <c r="B4815" s="11"/>
      <c r="C4815" s="10"/>
      <c r="D4815" s="13"/>
      <c r="E4815" s="14"/>
      <c r="F4815" s="14"/>
      <c r="G4815" s="14"/>
      <c r="H4815" s="10"/>
      <c r="I4815" s="17"/>
      <c r="J4815" s="10"/>
      <c r="K4815" s="46"/>
      <c r="L4815" s="10"/>
      <c r="M4815" s="20"/>
      <c r="N4815" s="20"/>
      <c r="O4815" s="20"/>
      <c r="P4815" s="20"/>
    </row>
    <row r="4816">
      <c r="A4816" s="23"/>
      <c r="B4816" s="21"/>
      <c r="C4816" s="23"/>
      <c r="D4816" s="24"/>
      <c r="E4816" s="14"/>
      <c r="F4816" s="14"/>
      <c r="G4816" s="14"/>
      <c r="H4816" s="23"/>
      <c r="I4816" s="27"/>
      <c r="J4816" s="23"/>
      <c r="K4816" s="30"/>
      <c r="L4816" s="23"/>
      <c r="M4816" s="20"/>
      <c r="N4816" s="20"/>
      <c r="O4816" s="20"/>
      <c r="P4816" s="20"/>
    </row>
    <row r="4817">
      <c r="A4817" s="10"/>
      <c r="B4817" s="11"/>
      <c r="C4817" s="10"/>
      <c r="D4817" s="13"/>
      <c r="E4817" s="14"/>
      <c r="F4817" s="14"/>
      <c r="G4817" s="14"/>
      <c r="H4817" s="10"/>
      <c r="I4817" s="17"/>
      <c r="J4817" s="10"/>
      <c r="K4817" s="46"/>
      <c r="L4817" s="10"/>
      <c r="M4817" s="20"/>
      <c r="N4817" s="20"/>
      <c r="O4817" s="20"/>
      <c r="P4817" s="20"/>
    </row>
    <row r="4818">
      <c r="A4818" s="23"/>
      <c r="B4818" s="21"/>
      <c r="C4818" s="23"/>
      <c r="D4818" s="24"/>
      <c r="E4818" s="14"/>
      <c r="F4818" s="14"/>
      <c r="G4818" s="14"/>
      <c r="H4818" s="23"/>
      <c r="I4818" s="27"/>
      <c r="J4818" s="23"/>
      <c r="K4818" s="30"/>
      <c r="L4818" s="23"/>
      <c r="M4818" s="20"/>
      <c r="N4818" s="20"/>
      <c r="O4818" s="20"/>
      <c r="P4818" s="20"/>
    </row>
    <row r="4819">
      <c r="A4819" s="10"/>
      <c r="B4819" s="11"/>
      <c r="C4819" s="10"/>
      <c r="D4819" s="13"/>
      <c r="E4819" s="14"/>
      <c r="F4819" s="14"/>
      <c r="G4819" s="14"/>
      <c r="H4819" s="10"/>
      <c r="I4819" s="17"/>
      <c r="J4819" s="10"/>
      <c r="K4819" s="46"/>
      <c r="L4819" s="10"/>
      <c r="M4819" s="20"/>
      <c r="N4819" s="20"/>
      <c r="O4819" s="20"/>
      <c r="P4819" s="20"/>
    </row>
    <row r="4820">
      <c r="A4820" s="23"/>
      <c r="B4820" s="21"/>
      <c r="C4820" s="23"/>
      <c r="D4820" s="24"/>
      <c r="E4820" s="14"/>
      <c r="F4820" s="14"/>
      <c r="G4820" s="14"/>
      <c r="H4820" s="23"/>
      <c r="I4820" s="27"/>
      <c r="J4820" s="23"/>
      <c r="K4820" s="30"/>
      <c r="L4820" s="23"/>
      <c r="M4820" s="20"/>
      <c r="N4820" s="20"/>
      <c r="O4820" s="20"/>
      <c r="P4820" s="20"/>
    </row>
    <row r="4821">
      <c r="A4821" s="10"/>
      <c r="B4821" s="11"/>
      <c r="C4821" s="10"/>
      <c r="D4821" s="13"/>
      <c r="E4821" s="14"/>
      <c r="F4821" s="14"/>
      <c r="G4821" s="14"/>
      <c r="H4821" s="10"/>
      <c r="I4821" s="17"/>
      <c r="J4821" s="10"/>
      <c r="K4821" s="46"/>
      <c r="L4821" s="10"/>
      <c r="M4821" s="20"/>
      <c r="N4821" s="20"/>
      <c r="O4821" s="20"/>
      <c r="P4821" s="20"/>
    </row>
    <row r="4822">
      <c r="A4822" s="23"/>
      <c r="B4822" s="21"/>
      <c r="C4822" s="23"/>
      <c r="D4822" s="24"/>
      <c r="E4822" s="14"/>
      <c r="F4822" s="14"/>
      <c r="G4822" s="14"/>
      <c r="H4822" s="23"/>
      <c r="I4822" s="27"/>
      <c r="J4822" s="23"/>
      <c r="K4822" s="30"/>
      <c r="L4822" s="23"/>
      <c r="M4822" s="20"/>
      <c r="N4822" s="20"/>
      <c r="O4822" s="20"/>
      <c r="P4822" s="20"/>
    </row>
    <row r="4823">
      <c r="A4823" s="10"/>
      <c r="B4823" s="11"/>
      <c r="C4823" s="10"/>
      <c r="D4823" s="13"/>
      <c r="E4823" s="14"/>
      <c r="F4823" s="14"/>
      <c r="G4823" s="14"/>
      <c r="H4823" s="10"/>
      <c r="I4823" s="17"/>
      <c r="J4823" s="10"/>
      <c r="K4823" s="46"/>
      <c r="L4823" s="10"/>
      <c r="M4823" s="20"/>
      <c r="N4823" s="20"/>
      <c r="O4823" s="20"/>
      <c r="P4823" s="20"/>
    </row>
    <row r="4824">
      <c r="A4824" s="23"/>
      <c r="B4824" s="21"/>
      <c r="C4824" s="23"/>
      <c r="D4824" s="24"/>
      <c r="E4824" s="14"/>
      <c r="F4824" s="14"/>
      <c r="G4824" s="14"/>
      <c r="H4824" s="23"/>
      <c r="I4824" s="27"/>
      <c r="J4824" s="23"/>
      <c r="K4824" s="30"/>
      <c r="L4824" s="23"/>
      <c r="M4824" s="20"/>
      <c r="N4824" s="20"/>
      <c r="O4824" s="20"/>
      <c r="P4824" s="20"/>
    </row>
    <row r="4825">
      <c r="A4825" s="10"/>
      <c r="B4825" s="11"/>
      <c r="C4825" s="10"/>
      <c r="D4825" s="13"/>
      <c r="E4825" s="14"/>
      <c r="F4825" s="14"/>
      <c r="G4825" s="14"/>
      <c r="H4825" s="10"/>
      <c r="I4825" s="17"/>
      <c r="J4825" s="10"/>
      <c r="K4825" s="46"/>
      <c r="L4825" s="10"/>
      <c r="M4825" s="20"/>
      <c r="N4825" s="20"/>
      <c r="O4825" s="20"/>
      <c r="P4825" s="20"/>
    </row>
    <row r="4826">
      <c r="A4826" s="23"/>
      <c r="B4826" s="21"/>
      <c r="C4826" s="23"/>
      <c r="D4826" s="24"/>
      <c r="E4826" s="14"/>
      <c r="F4826" s="14"/>
      <c r="G4826" s="14"/>
      <c r="H4826" s="23"/>
      <c r="I4826" s="27"/>
      <c r="J4826" s="23"/>
      <c r="K4826" s="30"/>
      <c r="L4826" s="23"/>
      <c r="M4826" s="20"/>
      <c r="N4826" s="20"/>
      <c r="O4826" s="20"/>
      <c r="P4826" s="20"/>
    </row>
    <row r="4827">
      <c r="A4827" s="10"/>
      <c r="B4827" s="11"/>
      <c r="C4827" s="10"/>
      <c r="D4827" s="13"/>
      <c r="E4827" s="14"/>
      <c r="F4827" s="14"/>
      <c r="G4827" s="14"/>
      <c r="H4827" s="10"/>
      <c r="I4827" s="17"/>
      <c r="J4827" s="10"/>
      <c r="K4827" s="46"/>
      <c r="L4827" s="10"/>
      <c r="M4827" s="20"/>
      <c r="N4827" s="20"/>
      <c r="O4827" s="20"/>
      <c r="P4827" s="20"/>
    </row>
    <row r="4828">
      <c r="A4828" s="23"/>
      <c r="B4828" s="21"/>
      <c r="C4828" s="23"/>
      <c r="D4828" s="24"/>
      <c r="E4828" s="14"/>
      <c r="F4828" s="14"/>
      <c r="G4828" s="14"/>
      <c r="H4828" s="23"/>
      <c r="I4828" s="27"/>
      <c r="J4828" s="23"/>
      <c r="K4828" s="30"/>
      <c r="L4828" s="23"/>
      <c r="M4828" s="20"/>
      <c r="N4828" s="20"/>
      <c r="O4828" s="20"/>
      <c r="P4828" s="20"/>
    </row>
    <row r="4829">
      <c r="A4829" s="10"/>
      <c r="B4829" s="11"/>
      <c r="C4829" s="10"/>
      <c r="D4829" s="13"/>
      <c r="E4829" s="14"/>
      <c r="F4829" s="14"/>
      <c r="G4829" s="14"/>
      <c r="H4829" s="10"/>
      <c r="I4829" s="17"/>
      <c r="J4829" s="10"/>
      <c r="K4829" s="46"/>
      <c r="L4829" s="10"/>
      <c r="M4829" s="20"/>
      <c r="N4829" s="20"/>
      <c r="O4829" s="20"/>
      <c r="P4829" s="20"/>
    </row>
    <row r="4830">
      <c r="A4830" s="23"/>
      <c r="B4830" s="21"/>
      <c r="C4830" s="23"/>
      <c r="D4830" s="24"/>
      <c r="E4830" s="14"/>
      <c r="F4830" s="14"/>
      <c r="G4830" s="14"/>
      <c r="H4830" s="23"/>
      <c r="I4830" s="27"/>
      <c r="J4830" s="23"/>
      <c r="K4830" s="30"/>
      <c r="L4830" s="23"/>
      <c r="M4830" s="20"/>
      <c r="N4830" s="20"/>
      <c r="O4830" s="20"/>
      <c r="P4830" s="20"/>
    </row>
    <row r="4831">
      <c r="A4831" s="10"/>
      <c r="B4831" s="11"/>
      <c r="C4831" s="10"/>
      <c r="D4831" s="13"/>
      <c r="E4831" s="14"/>
      <c r="F4831" s="14"/>
      <c r="G4831" s="14"/>
      <c r="H4831" s="10"/>
      <c r="I4831" s="17"/>
      <c r="J4831" s="10"/>
      <c r="K4831" s="46"/>
      <c r="L4831" s="10"/>
      <c r="M4831" s="20"/>
      <c r="N4831" s="20"/>
      <c r="O4831" s="20"/>
      <c r="P4831" s="20"/>
    </row>
    <row r="4832">
      <c r="A4832" s="23"/>
      <c r="B4832" s="21"/>
      <c r="C4832" s="23"/>
      <c r="D4832" s="24"/>
      <c r="E4832" s="14"/>
      <c r="F4832" s="14"/>
      <c r="G4832" s="14"/>
      <c r="H4832" s="23"/>
      <c r="I4832" s="27"/>
      <c r="J4832" s="23"/>
      <c r="K4832" s="30"/>
      <c r="L4832" s="23"/>
      <c r="M4832" s="20"/>
      <c r="N4832" s="20"/>
      <c r="O4832" s="20"/>
      <c r="P4832" s="20"/>
    </row>
    <row r="4833">
      <c r="A4833" s="10"/>
      <c r="B4833" s="11"/>
      <c r="C4833" s="10"/>
      <c r="D4833" s="13"/>
      <c r="E4833" s="14"/>
      <c r="F4833" s="14"/>
      <c r="G4833" s="14"/>
      <c r="H4833" s="10"/>
      <c r="I4833" s="17"/>
      <c r="J4833" s="10"/>
      <c r="K4833" s="46"/>
      <c r="L4833" s="10"/>
      <c r="M4833" s="20"/>
      <c r="N4833" s="20"/>
      <c r="O4833" s="20"/>
      <c r="P4833" s="20"/>
    </row>
    <row r="4834">
      <c r="A4834" s="23"/>
      <c r="B4834" s="21"/>
      <c r="C4834" s="23"/>
      <c r="D4834" s="24"/>
      <c r="E4834" s="14"/>
      <c r="F4834" s="14"/>
      <c r="G4834" s="14"/>
      <c r="H4834" s="23"/>
      <c r="I4834" s="27"/>
      <c r="J4834" s="23"/>
      <c r="K4834" s="30"/>
      <c r="L4834" s="23"/>
      <c r="M4834" s="20"/>
      <c r="N4834" s="20"/>
      <c r="O4834" s="20"/>
      <c r="P4834" s="20"/>
    </row>
    <row r="4835">
      <c r="A4835" s="10"/>
      <c r="B4835" s="11"/>
      <c r="C4835" s="10"/>
      <c r="D4835" s="13"/>
      <c r="E4835" s="14"/>
      <c r="F4835" s="14"/>
      <c r="G4835" s="14"/>
      <c r="H4835" s="10"/>
      <c r="I4835" s="17"/>
      <c r="J4835" s="10"/>
      <c r="K4835" s="46"/>
      <c r="L4835" s="10"/>
      <c r="M4835" s="20"/>
      <c r="N4835" s="20"/>
      <c r="O4835" s="20"/>
      <c r="P4835" s="20"/>
    </row>
    <row r="4836">
      <c r="A4836" s="23"/>
      <c r="B4836" s="21"/>
      <c r="C4836" s="23"/>
      <c r="D4836" s="24"/>
      <c r="E4836" s="14"/>
      <c r="F4836" s="14"/>
      <c r="G4836" s="14"/>
      <c r="H4836" s="23"/>
      <c r="I4836" s="27"/>
      <c r="J4836" s="23"/>
      <c r="K4836" s="30"/>
      <c r="L4836" s="23"/>
      <c r="M4836" s="20"/>
      <c r="N4836" s="20"/>
      <c r="O4836" s="20"/>
      <c r="P4836" s="20"/>
    </row>
    <row r="4837">
      <c r="A4837" s="10"/>
      <c r="B4837" s="11"/>
      <c r="C4837" s="10"/>
      <c r="D4837" s="13"/>
      <c r="E4837" s="14"/>
      <c r="F4837" s="14"/>
      <c r="G4837" s="14"/>
      <c r="H4837" s="10"/>
      <c r="I4837" s="17"/>
      <c r="J4837" s="10"/>
      <c r="K4837" s="46"/>
      <c r="L4837" s="10"/>
      <c r="M4837" s="20"/>
      <c r="N4837" s="20"/>
      <c r="O4837" s="20"/>
      <c r="P4837" s="20"/>
    </row>
    <row r="4838">
      <c r="A4838" s="23"/>
      <c r="B4838" s="21"/>
      <c r="C4838" s="23"/>
      <c r="D4838" s="24"/>
      <c r="E4838" s="14"/>
      <c r="F4838" s="14"/>
      <c r="G4838" s="14"/>
      <c r="H4838" s="23"/>
      <c r="I4838" s="27"/>
      <c r="J4838" s="23"/>
      <c r="K4838" s="30"/>
      <c r="L4838" s="23"/>
      <c r="M4838" s="20"/>
      <c r="N4838" s="20"/>
      <c r="O4838" s="20"/>
      <c r="P4838" s="20"/>
    </row>
    <row r="4839">
      <c r="A4839" s="10"/>
      <c r="B4839" s="11"/>
      <c r="C4839" s="10"/>
      <c r="D4839" s="13"/>
      <c r="E4839" s="14"/>
      <c r="F4839" s="14"/>
      <c r="G4839" s="14"/>
      <c r="H4839" s="10"/>
      <c r="I4839" s="17"/>
      <c r="J4839" s="10"/>
      <c r="K4839" s="46"/>
      <c r="L4839" s="10"/>
      <c r="M4839" s="20"/>
      <c r="N4839" s="20"/>
      <c r="O4839" s="20"/>
      <c r="P4839" s="20"/>
    </row>
    <row r="4840">
      <c r="A4840" s="23"/>
      <c r="B4840" s="21"/>
      <c r="C4840" s="23"/>
      <c r="D4840" s="24"/>
      <c r="E4840" s="14"/>
      <c r="F4840" s="14"/>
      <c r="G4840" s="14"/>
      <c r="H4840" s="23"/>
      <c r="I4840" s="27"/>
      <c r="J4840" s="23"/>
      <c r="K4840" s="30"/>
      <c r="L4840" s="23"/>
      <c r="M4840" s="20"/>
      <c r="N4840" s="20"/>
      <c r="O4840" s="20"/>
      <c r="P4840" s="20"/>
    </row>
    <row r="4841">
      <c r="A4841" s="10"/>
      <c r="B4841" s="11"/>
      <c r="C4841" s="10"/>
      <c r="D4841" s="13"/>
      <c r="E4841" s="14"/>
      <c r="F4841" s="14"/>
      <c r="G4841" s="14"/>
      <c r="H4841" s="10"/>
      <c r="I4841" s="17"/>
      <c r="J4841" s="10"/>
      <c r="K4841" s="46"/>
      <c r="L4841" s="10"/>
      <c r="M4841" s="20"/>
      <c r="N4841" s="20"/>
      <c r="O4841" s="20"/>
      <c r="P4841" s="20"/>
    </row>
    <row r="4842">
      <c r="A4842" s="23"/>
      <c r="B4842" s="21"/>
      <c r="C4842" s="23"/>
      <c r="D4842" s="24"/>
      <c r="E4842" s="14"/>
      <c r="F4842" s="14"/>
      <c r="G4842" s="14"/>
      <c r="H4842" s="23"/>
      <c r="I4842" s="27"/>
      <c r="J4842" s="23"/>
      <c r="K4842" s="30"/>
      <c r="L4842" s="23"/>
      <c r="M4842" s="20"/>
      <c r="N4842" s="20"/>
      <c r="O4842" s="20"/>
      <c r="P4842" s="20"/>
    </row>
    <row r="4843">
      <c r="A4843" s="10"/>
      <c r="B4843" s="11"/>
      <c r="C4843" s="10"/>
      <c r="D4843" s="13"/>
      <c r="E4843" s="14"/>
      <c r="F4843" s="14"/>
      <c r="G4843" s="14"/>
      <c r="H4843" s="10"/>
      <c r="I4843" s="17"/>
      <c r="J4843" s="10"/>
      <c r="K4843" s="46"/>
      <c r="L4843" s="10"/>
      <c r="M4843" s="20"/>
      <c r="N4843" s="20"/>
      <c r="O4843" s="20"/>
      <c r="P4843" s="20"/>
    </row>
    <row r="4844">
      <c r="A4844" s="23"/>
      <c r="B4844" s="21"/>
      <c r="C4844" s="23"/>
      <c r="D4844" s="24"/>
      <c r="E4844" s="14"/>
      <c r="F4844" s="14"/>
      <c r="G4844" s="14"/>
      <c r="H4844" s="23"/>
      <c r="I4844" s="27"/>
      <c r="J4844" s="23"/>
      <c r="K4844" s="30"/>
      <c r="L4844" s="23"/>
      <c r="M4844" s="20"/>
      <c r="N4844" s="20"/>
      <c r="O4844" s="20"/>
      <c r="P4844" s="20"/>
    </row>
    <row r="4845">
      <c r="A4845" s="10"/>
      <c r="B4845" s="11"/>
      <c r="C4845" s="10"/>
      <c r="D4845" s="13"/>
      <c r="E4845" s="14"/>
      <c r="F4845" s="14"/>
      <c r="G4845" s="14"/>
      <c r="H4845" s="10"/>
      <c r="I4845" s="17"/>
      <c r="J4845" s="10"/>
      <c r="K4845" s="46"/>
      <c r="L4845" s="10"/>
      <c r="M4845" s="20"/>
      <c r="N4845" s="20"/>
      <c r="O4845" s="20"/>
      <c r="P4845" s="20"/>
    </row>
    <row r="4846">
      <c r="A4846" s="23"/>
      <c r="B4846" s="21"/>
      <c r="C4846" s="23"/>
      <c r="D4846" s="24"/>
      <c r="E4846" s="14"/>
      <c r="F4846" s="14"/>
      <c r="G4846" s="14"/>
      <c r="H4846" s="23"/>
      <c r="I4846" s="27"/>
      <c r="J4846" s="23"/>
      <c r="K4846" s="30"/>
      <c r="L4846" s="23"/>
      <c r="M4846" s="20"/>
      <c r="N4846" s="20"/>
      <c r="O4846" s="20"/>
      <c r="P4846" s="20"/>
    </row>
    <row r="4847">
      <c r="A4847" s="10"/>
      <c r="B4847" s="11"/>
      <c r="C4847" s="10"/>
      <c r="D4847" s="13"/>
      <c r="E4847" s="14"/>
      <c r="F4847" s="14"/>
      <c r="G4847" s="14"/>
      <c r="H4847" s="10"/>
      <c r="I4847" s="17"/>
      <c r="J4847" s="10"/>
      <c r="K4847" s="46"/>
      <c r="L4847" s="10"/>
      <c r="M4847" s="20"/>
      <c r="N4847" s="20"/>
      <c r="O4847" s="20"/>
      <c r="P4847" s="20"/>
    </row>
    <row r="4848">
      <c r="A4848" s="23"/>
      <c r="B4848" s="21"/>
      <c r="C4848" s="23"/>
      <c r="D4848" s="24"/>
      <c r="E4848" s="14"/>
      <c r="F4848" s="14"/>
      <c r="G4848" s="14"/>
      <c r="H4848" s="23"/>
      <c r="I4848" s="27"/>
      <c r="J4848" s="23"/>
      <c r="K4848" s="30"/>
      <c r="L4848" s="23"/>
      <c r="M4848" s="20"/>
      <c r="N4848" s="20"/>
      <c r="O4848" s="20"/>
      <c r="P4848" s="20"/>
    </row>
    <row r="4849">
      <c r="A4849" s="10"/>
      <c r="B4849" s="11"/>
      <c r="C4849" s="10"/>
      <c r="D4849" s="13"/>
      <c r="E4849" s="14"/>
      <c r="F4849" s="14"/>
      <c r="G4849" s="14"/>
      <c r="H4849" s="10"/>
      <c r="I4849" s="17"/>
      <c r="J4849" s="10"/>
      <c r="K4849" s="46"/>
      <c r="L4849" s="10"/>
      <c r="M4849" s="20"/>
      <c r="N4849" s="20"/>
      <c r="O4849" s="20"/>
      <c r="P4849" s="20"/>
    </row>
    <row r="4850">
      <c r="A4850" s="23"/>
      <c r="B4850" s="21"/>
      <c r="C4850" s="23"/>
      <c r="D4850" s="24"/>
      <c r="E4850" s="14"/>
      <c r="F4850" s="14"/>
      <c r="G4850" s="14"/>
      <c r="H4850" s="23"/>
      <c r="I4850" s="27"/>
      <c r="J4850" s="23"/>
      <c r="K4850" s="30"/>
      <c r="L4850" s="23"/>
      <c r="M4850" s="20"/>
      <c r="N4850" s="20"/>
      <c r="O4850" s="20"/>
      <c r="P4850" s="20"/>
    </row>
    <row r="4851">
      <c r="A4851" s="10"/>
      <c r="B4851" s="11"/>
      <c r="C4851" s="10"/>
      <c r="D4851" s="13"/>
      <c r="E4851" s="14"/>
      <c r="F4851" s="14"/>
      <c r="G4851" s="14"/>
      <c r="H4851" s="10"/>
      <c r="I4851" s="17"/>
      <c r="J4851" s="10"/>
      <c r="K4851" s="46"/>
      <c r="L4851" s="10"/>
      <c r="M4851" s="20"/>
      <c r="N4851" s="20"/>
      <c r="O4851" s="20"/>
      <c r="P4851" s="20"/>
    </row>
    <row r="4852">
      <c r="A4852" s="23"/>
      <c r="B4852" s="21"/>
      <c r="C4852" s="23"/>
      <c r="D4852" s="24"/>
      <c r="E4852" s="14"/>
      <c r="F4852" s="14"/>
      <c r="G4852" s="14"/>
      <c r="H4852" s="23"/>
      <c r="I4852" s="27"/>
      <c r="J4852" s="23"/>
      <c r="K4852" s="30"/>
      <c r="L4852" s="23"/>
      <c r="M4852" s="20"/>
      <c r="N4852" s="20"/>
      <c r="O4852" s="20"/>
      <c r="P4852" s="20"/>
    </row>
    <row r="4853">
      <c r="A4853" s="10"/>
      <c r="B4853" s="11"/>
      <c r="C4853" s="10"/>
      <c r="D4853" s="13"/>
      <c r="E4853" s="14"/>
      <c r="F4853" s="14"/>
      <c r="G4853" s="14"/>
      <c r="H4853" s="10"/>
      <c r="I4853" s="17"/>
      <c r="J4853" s="10"/>
      <c r="K4853" s="46"/>
      <c r="L4853" s="10"/>
      <c r="M4853" s="20"/>
      <c r="N4853" s="20"/>
      <c r="O4853" s="20"/>
      <c r="P4853" s="20"/>
    </row>
    <row r="4854">
      <c r="A4854" s="23"/>
      <c r="B4854" s="21"/>
      <c r="C4854" s="23"/>
      <c r="D4854" s="24"/>
      <c r="E4854" s="14"/>
      <c r="F4854" s="14"/>
      <c r="G4854" s="14"/>
      <c r="H4854" s="23"/>
      <c r="I4854" s="27"/>
      <c r="J4854" s="23"/>
      <c r="K4854" s="30"/>
      <c r="L4854" s="23"/>
      <c r="M4854" s="20"/>
      <c r="N4854" s="20"/>
      <c r="O4854" s="20"/>
      <c r="P4854" s="20"/>
    </row>
    <row r="4855">
      <c r="A4855" s="10"/>
      <c r="B4855" s="11"/>
      <c r="C4855" s="10"/>
      <c r="D4855" s="13"/>
      <c r="E4855" s="14"/>
      <c r="F4855" s="14"/>
      <c r="G4855" s="14"/>
      <c r="H4855" s="10"/>
      <c r="I4855" s="17"/>
      <c r="J4855" s="10"/>
      <c r="K4855" s="46"/>
      <c r="L4855" s="10"/>
      <c r="M4855" s="20"/>
      <c r="N4855" s="20"/>
      <c r="O4855" s="20"/>
      <c r="P4855" s="20"/>
    </row>
    <row r="4856">
      <c r="A4856" s="23"/>
      <c r="B4856" s="21"/>
      <c r="C4856" s="23"/>
      <c r="D4856" s="24"/>
      <c r="E4856" s="14"/>
      <c r="F4856" s="14"/>
      <c r="G4856" s="14"/>
      <c r="H4856" s="23"/>
      <c r="I4856" s="27"/>
      <c r="J4856" s="23"/>
      <c r="K4856" s="30"/>
      <c r="L4856" s="23"/>
      <c r="M4856" s="20"/>
      <c r="N4856" s="20"/>
      <c r="O4856" s="20"/>
      <c r="P4856" s="20"/>
    </row>
    <row r="4857">
      <c r="A4857" s="10"/>
      <c r="B4857" s="11"/>
      <c r="C4857" s="10"/>
      <c r="D4857" s="13"/>
      <c r="E4857" s="14"/>
      <c r="F4857" s="14"/>
      <c r="G4857" s="14"/>
      <c r="H4857" s="10"/>
      <c r="I4857" s="17"/>
      <c r="J4857" s="10"/>
      <c r="K4857" s="46"/>
      <c r="L4857" s="10"/>
      <c r="M4857" s="20"/>
      <c r="N4857" s="20"/>
      <c r="O4857" s="20"/>
      <c r="P4857" s="20"/>
    </row>
    <row r="4858">
      <c r="A4858" s="23"/>
      <c r="B4858" s="21"/>
      <c r="C4858" s="23"/>
      <c r="D4858" s="24"/>
      <c r="E4858" s="14"/>
      <c r="F4858" s="14"/>
      <c r="G4858" s="14"/>
      <c r="H4858" s="23"/>
      <c r="I4858" s="27"/>
      <c r="J4858" s="23"/>
      <c r="K4858" s="30"/>
      <c r="L4858" s="23"/>
      <c r="M4858" s="20"/>
      <c r="N4858" s="20"/>
      <c r="O4858" s="20"/>
      <c r="P4858" s="20"/>
    </row>
    <row r="4859">
      <c r="A4859" s="10"/>
      <c r="B4859" s="11"/>
      <c r="C4859" s="10"/>
      <c r="D4859" s="13"/>
      <c r="E4859" s="14"/>
      <c r="F4859" s="14"/>
      <c r="G4859" s="14"/>
      <c r="H4859" s="10"/>
      <c r="I4859" s="17"/>
      <c r="J4859" s="10"/>
      <c r="K4859" s="46"/>
      <c r="L4859" s="10"/>
      <c r="M4859" s="20"/>
      <c r="N4859" s="20"/>
      <c r="O4859" s="20"/>
      <c r="P4859" s="20"/>
    </row>
    <row r="4860">
      <c r="A4860" s="23"/>
      <c r="B4860" s="21"/>
      <c r="C4860" s="23"/>
      <c r="D4860" s="24"/>
      <c r="E4860" s="14"/>
      <c r="F4860" s="14"/>
      <c r="G4860" s="14"/>
      <c r="H4860" s="23"/>
      <c r="I4860" s="27"/>
      <c r="J4860" s="23"/>
      <c r="K4860" s="30"/>
      <c r="L4860" s="23"/>
      <c r="M4860" s="20"/>
      <c r="N4860" s="20"/>
      <c r="O4860" s="20"/>
      <c r="P4860" s="20"/>
    </row>
    <row r="4861">
      <c r="A4861" s="10"/>
      <c r="B4861" s="11"/>
      <c r="C4861" s="10"/>
      <c r="D4861" s="13"/>
      <c r="E4861" s="14"/>
      <c r="F4861" s="14"/>
      <c r="G4861" s="14"/>
      <c r="H4861" s="10"/>
      <c r="I4861" s="17"/>
      <c r="J4861" s="10"/>
      <c r="K4861" s="46"/>
      <c r="L4861" s="10"/>
      <c r="M4861" s="20"/>
      <c r="N4861" s="20"/>
      <c r="O4861" s="20"/>
      <c r="P4861" s="20"/>
    </row>
    <row r="4862">
      <c r="A4862" s="23"/>
      <c r="B4862" s="21"/>
      <c r="C4862" s="23"/>
      <c r="D4862" s="24"/>
      <c r="E4862" s="14"/>
      <c r="F4862" s="14"/>
      <c r="G4862" s="14"/>
      <c r="H4862" s="23"/>
      <c r="I4862" s="27"/>
      <c r="J4862" s="23"/>
      <c r="K4862" s="30"/>
      <c r="L4862" s="23"/>
      <c r="M4862" s="20"/>
      <c r="N4862" s="20"/>
      <c r="O4862" s="20"/>
      <c r="P4862" s="20"/>
    </row>
    <row r="4863">
      <c r="A4863" s="10"/>
      <c r="B4863" s="11"/>
      <c r="C4863" s="10"/>
      <c r="D4863" s="13"/>
      <c r="E4863" s="14"/>
      <c r="F4863" s="14"/>
      <c r="G4863" s="14"/>
      <c r="H4863" s="10"/>
      <c r="I4863" s="17"/>
      <c r="J4863" s="10"/>
      <c r="K4863" s="46"/>
      <c r="L4863" s="10"/>
      <c r="M4863" s="20"/>
      <c r="N4863" s="20"/>
      <c r="O4863" s="20"/>
      <c r="P4863" s="20"/>
    </row>
    <row r="4864">
      <c r="A4864" s="23"/>
      <c r="B4864" s="21"/>
      <c r="C4864" s="23"/>
      <c r="D4864" s="24"/>
      <c r="E4864" s="14"/>
      <c r="F4864" s="14"/>
      <c r="G4864" s="14"/>
      <c r="H4864" s="23"/>
      <c r="I4864" s="27"/>
      <c r="J4864" s="23"/>
      <c r="K4864" s="30"/>
      <c r="L4864" s="23"/>
      <c r="M4864" s="20"/>
      <c r="N4864" s="20"/>
      <c r="O4864" s="20"/>
      <c r="P4864" s="20"/>
    </row>
    <row r="4865">
      <c r="A4865" s="10"/>
      <c r="B4865" s="11"/>
      <c r="C4865" s="10"/>
      <c r="D4865" s="13"/>
      <c r="E4865" s="14"/>
      <c r="F4865" s="14"/>
      <c r="G4865" s="14"/>
      <c r="H4865" s="10"/>
      <c r="I4865" s="17"/>
      <c r="J4865" s="10"/>
      <c r="K4865" s="46"/>
      <c r="L4865" s="10"/>
      <c r="M4865" s="20"/>
      <c r="N4865" s="20"/>
      <c r="O4865" s="20"/>
      <c r="P4865" s="20"/>
    </row>
    <row r="4866">
      <c r="A4866" s="23"/>
      <c r="B4866" s="21"/>
      <c r="C4866" s="23"/>
      <c r="D4866" s="24"/>
      <c r="E4866" s="14"/>
      <c r="F4866" s="14"/>
      <c r="G4866" s="14"/>
      <c r="H4866" s="23"/>
      <c r="I4866" s="27"/>
      <c r="J4866" s="23"/>
      <c r="K4866" s="30"/>
      <c r="L4866" s="23"/>
      <c r="M4866" s="20"/>
      <c r="N4866" s="20"/>
      <c r="O4866" s="20"/>
      <c r="P4866" s="20"/>
    </row>
    <row r="4867">
      <c r="A4867" s="10"/>
      <c r="B4867" s="11"/>
      <c r="C4867" s="10"/>
      <c r="D4867" s="13"/>
      <c r="E4867" s="14"/>
      <c r="F4867" s="14"/>
      <c r="G4867" s="14"/>
      <c r="H4867" s="10"/>
      <c r="I4867" s="17"/>
      <c r="J4867" s="10"/>
      <c r="K4867" s="46"/>
      <c r="L4867" s="10"/>
      <c r="M4867" s="20"/>
      <c r="N4867" s="20"/>
      <c r="O4867" s="20"/>
      <c r="P4867" s="20"/>
    </row>
    <row r="4868">
      <c r="A4868" s="23"/>
      <c r="B4868" s="21"/>
      <c r="C4868" s="23"/>
      <c r="D4868" s="24"/>
      <c r="E4868" s="14"/>
      <c r="F4868" s="14"/>
      <c r="G4868" s="14"/>
      <c r="H4868" s="23"/>
      <c r="I4868" s="27"/>
      <c r="J4868" s="23"/>
      <c r="K4868" s="30"/>
      <c r="L4868" s="23"/>
      <c r="M4868" s="20"/>
      <c r="N4868" s="20"/>
      <c r="O4868" s="20"/>
      <c r="P4868" s="20"/>
    </row>
    <row r="4869">
      <c r="A4869" s="10"/>
      <c r="B4869" s="11"/>
      <c r="C4869" s="10"/>
      <c r="D4869" s="13"/>
      <c r="E4869" s="14"/>
      <c r="F4869" s="14"/>
      <c r="G4869" s="14"/>
      <c r="H4869" s="10"/>
      <c r="I4869" s="17"/>
      <c r="J4869" s="10"/>
      <c r="K4869" s="46"/>
      <c r="L4869" s="10"/>
      <c r="M4869" s="20"/>
      <c r="N4869" s="20"/>
      <c r="O4869" s="20"/>
      <c r="P4869" s="20"/>
    </row>
    <row r="4870">
      <c r="A4870" s="23"/>
      <c r="B4870" s="21"/>
      <c r="C4870" s="23"/>
      <c r="D4870" s="24"/>
      <c r="E4870" s="14"/>
      <c r="F4870" s="14"/>
      <c r="G4870" s="14"/>
      <c r="H4870" s="23"/>
      <c r="I4870" s="27"/>
      <c r="J4870" s="23"/>
      <c r="K4870" s="30"/>
      <c r="L4870" s="23"/>
      <c r="M4870" s="20"/>
      <c r="N4870" s="20"/>
      <c r="O4870" s="20"/>
      <c r="P4870" s="20"/>
    </row>
    <row r="4871">
      <c r="A4871" s="10"/>
      <c r="B4871" s="11"/>
      <c r="C4871" s="10"/>
      <c r="D4871" s="13"/>
      <c r="E4871" s="14"/>
      <c r="F4871" s="14"/>
      <c r="G4871" s="14"/>
      <c r="H4871" s="10"/>
      <c r="I4871" s="17"/>
      <c r="J4871" s="10"/>
      <c r="K4871" s="46"/>
      <c r="L4871" s="10"/>
      <c r="M4871" s="20"/>
      <c r="N4871" s="20"/>
      <c r="O4871" s="20"/>
      <c r="P4871" s="20"/>
    </row>
    <row r="4872">
      <c r="A4872" s="23"/>
      <c r="B4872" s="21"/>
      <c r="C4872" s="23"/>
      <c r="D4872" s="24"/>
      <c r="E4872" s="14"/>
      <c r="F4872" s="14"/>
      <c r="G4872" s="14"/>
      <c r="H4872" s="23"/>
      <c r="I4872" s="27"/>
      <c r="J4872" s="23"/>
      <c r="K4872" s="30"/>
      <c r="L4872" s="23"/>
      <c r="M4872" s="20"/>
      <c r="N4872" s="20"/>
      <c r="O4872" s="20"/>
      <c r="P4872" s="20"/>
    </row>
    <row r="4873">
      <c r="A4873" s="10"/>
      <c r="B4873" s="11"/>
      <c r="C4873" s="10"/>
      <c r="D4873" s="13"/>
      <c r="E4873" s="14"/>
      <c r="F4873" s="14"/>
      <c r="G4873" s="14"/>
      <c r="H4873" s="10"/>
      <c r="I4873" s="17"/>
      <c r="J4873" s="10"/>
      <c r="K4873" s="46"/>
      <c r="L4873" s="10"/>
      <c r="M4873" s="20"/>
      <c r="N4873" s="20"/>
      <c r="O4873" s="20"/>
      <c r="P4873" s="20"/>
    </row>
    <row r="4874">
      <c r="A4874" s="23"/>
      <c r="B4874" s="21"/>
      <c r="C4874" s="23"/>
      <c r="D4874" s="24"/>
      <c r="E4874" s="14"/>
      <c r="F4874" s="14"/>
      <c r="G4874" s="14"/>
      <c r="H4874" s="23"/>
      <c r="I4874" s="27"/>
      <c r="J4874" s="23"/>
      <c r="K4874" s="30"/>
      <c r="L4874" s="23"/>
      <c r="M4874" s="20"/>
      <c r="N4874" s="20"/>
      <c r="O4874" s="20"/>
      <c r="P4874" s="20"/>
    </row>
    <row r="4875">
      <c r="A4875" s="10"/>
      <c r="B4875" s="11"/>
      <c r="C4875" s="10"/>
      <c r="D4875" s="13"/>
      <c r="E4875" s="14"/>
      <c r="F4875" s="14"/>
      <c r="G4875" s="14"/>
      <c r="H4875" s="10"/>
      <c r="I4875" s="17"/>
      <c r="J4875" s="10"/>
      <c r="K4875" s="46"/>
      <c r="L4875" s="10"/>
      <c r="M4875" s="20"/>
      <c r="N4875" s="20"/>
      <c r="O4875" s="20"/>
      <c r="P4875" s="20"/>
    </row>
    <row r="4876">
      <c r="A4876" s="23"/>
      <c r="B4876" s="21"/>
      <c r="C4876" s="23"/>
      <c r="D4876" s="24"/>
      <c r="E4876" s="14"/>
      <c r="F4876" s="14"/>
      <c r="G4876" s="14"/>
      <c r="H4876" s="23"/>
      <c r="I4876" s="27"/>
      <c r="J4876" s="23"/>
      <c r="K4876" s="30"/>
      <c r="L4876" s="23"/>
      <c r="M4876" s="20"/>
      <c r="N4876" s="20"/>
      <c r="O4876" s="20"/>
      <c r="P4876" s="20"/>
    </row>
    <row r="4877">
      <c r="A4877" s="10"/>
      <c r="B4877" s="11"/>
      <c r="C4877" s="10"/>
      <c r="D4877" s="13"/>
      <c r="E4877" s="14"/>
      <c r="F4877" s="14"/>
      <c r="G4877" s="14"/>
      <c r="H4877" s="10"/>
      <c r="I4877" s="17"/>
      <c r="J4877" s="10"/>
      <c r="K4877" s="46"/>
      <c r="L4877" s="10"/>
      <c r="M4877" s="20"/>
      <c r="N4877" s="20"/>
      <c r="O4877" s="20"/>
      <c r="P4877" s="20"/>
    </row>
    <row r="4878">
      <c r="A4878" s="23"/>
      <c r="B4878" s="21"/>
      <c r="C4878" s="23"/>
      <c r="D4878" s="24"/>
      <c r="E4878" s="14"/>
      <c r="F4878" s="14"/>
      <c r="G4878" s="14"/>
      <c r="H4878" s="23"/>
      <c r="I4878" s="27"/>
      <c r="J4878" s="23"/>
      <c r="K4878" s="30"/>
      <c r="L4878" s="23"/>
      <c r="M4878" s="20"/>
      <c r="N4878" s="20"/>
      <c r="O4878" s="20"/>
      <c r="P4878" s="20"/>
    </row>
    <row r="4879">
      <c r="A4879" s="10"/>
      <c r="B4879" s="11"/>
      <c r="C4879" s="10"/>
      <c r="D4879" s="13"/>
      <c r="E4879" s="14"/>
      <c r="F4879" s="14"/>
      <c r="G4879" s="14"/>
      <c r="H4879" s="10"/>
      <c r="I4879" s="17"/>
      <c r="J4879" s="10"/>
      <c r="K4879" s="46"/>
      <c r="L4879" s="10"/>
      <c r="M4879" s="20"/>
      <c r="N4879" s="20"/>
      <c r="O4879" s="20"/>
      <c r="P4879" s="20"/>
    </row>
    <row r="4880">
      <c r="A4880" s="23"/>
      <c r="B4880" s="21"/>
      <c r="C4880" s="23"/>
      <c r="D4880" s="24"/>
      <c r="E4880" s="14"/>
      <c r="F4880" s="14"/>
      <c r="G4880" s="14"/>
      <c r="H4880" s="23"/>
      <c r="I4880" s="27"/>
      <c r="J4880" s="23"/>
      <c r="K4880" s="30"/>
      <c r="L4880" s="23"/>
      <c r="M4880" s="20"/>
      <c r="N4880" s="20"/>
      <c r="O4880" s="20"/>
      <c r="P4880" s="20"/>
    </row>
    <row r="4881">
      <c r="A4881" s="10"/>
      <c r="B4881" s="11"/>
      <c r="C4881" s="10"/>
      <c r="D4881" s="13"/>
      <c r="E4881" s="14"/>
      <c r="F4881" s="14"/>
      <c r="G4881" s="14"/>
      <c r="H4881" s="10"/>
      <c r="I4881" s="17"/>
      <c r="J4881" s="10"/>
      <c r="K4881" s="46"/>
      <c r="L4881" s="10"/>
      <c r="M4881" s="20"/>
      <c r="N4881" s="20"/>
      <c r="O4881" s="20"/>
      <c r="P4881" s="20"/>
    </row>
    <row r="4882">
      <c r="A4882" s="23"/>
      <c r="B4882" s="21"/>
      <c r="C4882" s="23"/>
      <c r="D4882" s="24"/>
      <c r="E4882" s="14"/>
      <c r="F4882" s="14"/>
      <c r="G4882" s="14"/>
      <c r="H4882" s="23"/>
      <c r="I4882" s="27"/>
      <c r="J4882" s="23"/>
      <c r="K4882" s="30"/>
      <c r="L4882" s="23"/>
      <c r="M4882" s="20"/>
      <c r="N4882" s="20"/>
      <c r="O4882" s="20"/>
      <c r="P4882" s="20"/>
    </row>
    <row r="4883">
      <c r="A4883" s="10"/>
      <c r="B4883" s="11"/>
      <c r="C4883" s="10"/>
      <c r="D4883" s="13"/>
      <c r="E4883" s="14"/>
      <c r="F4883" s="14"/>
      <c r="G4883" s="14"/>
      <c r="H4883" s="10"/>
      <c r="I4883" s="17"/>
      <c r="J4883" s="10"/>
      <c r="K4883" s="46"/>
      <c r="L4883" s="10"/>
      <c r="M4883" s="20"/>
      <c r="N4883" s="20"/>
      <c r="O4883" s="20"/>
      <c r="P4883" s="20"/>
    </row>
    <row r="4884">
      <c r="A4884" s="23"/>
      <c r="B4884" s="21"/>
      <c r="C4884" s="23"/>
      <c r="D4884" s="24"/>
      <c r="E4884" s="14"/>
      <c r="F4884" s="14"/>
      <c r="G4884" s="14"/>
      <c r="H4884" s="23"/>
      <c r="I4884" s="27"/>
      <c r="J4884" s="23"/>
      <c r="K4884" s="30"/>
      <c r="L4884" s="23"/>
      <c r="M4884" s="20"/>
      <c r="N4884" s="20"/>
      <c r="O4884" s="20"/>
      <c r="P4884" s="20"/>
    </row>
    <row r="4885">
      <c r="A4885" s="10"/>
      <c r="B4885" s="11"/>
      <c r="C4885" s="10"/>
      <c r="D4885" s="13"/>
      <c r="E4885" s="14"/>
      <c r="F4885" s="14"/>
      <c r="G4885" s="14"/>
      <c r="H4885" s="10"/>
      <c r="I4885" s="17"/>
      <c r="J4885" s="10"/>
      <c r="K4885" s="46"/>
      <c r="L4885" s="10"/>
      <c r="M4885" s="20"/>
      <c r="N4885" s="20"/>
      <c r="O4885" s="20"/>
      <c r="P4885" s="20"/>
    </row>
    <row r="4886">
      <c r="A4886" s="23"/>
      <c r="B4886" s="21"/>
      <c r="C4886" s="23"/>
      <c r="D4886" s="24"/>
      <c r="E4886" s="14"/>
      <c r="F4886" s="14"/>
      <c r="G4886" s="14"/>
      <c r="H4886" s="23"/>
      <c r="I4886" s="27"/>
      <c r="J4886" s="23"/>
      <c r="K4886" s="30"/>
      <c r="L4886" s="23"/>
      <c r="M4886" s="20"/>
      <c r="N4886" s="20"/>
      <c r="O4886" s="20"/>
      <c r="P4886" s="20"/>
    </row>
    <row r="4887">
      <c r="A4887" s="10"/>
      <c r="B4887" s="11"/>
      <c r="C4887" s="10"/>
      <c r="D4887" s="13"/>
      <c r="E4887" s="14"/>
      <c r="F4887" s="14"/>
      <c r="G4887" s="14"/>
      <c r="H4887" s="10"/>
      <c r="I4887" s="17"/>
      <c r="J4887" s="10"/>
      <c r="K4887" s="46"/>
      <c r="L4887" s="10"/>
      <c r="M4887" s="20"/>
      <c r="N4887" s="20"/>
      <c r="O4887" s="20"/>
      <c r="P4887" s="20"/>
    </row>
    <row r="4888">
      <c r="A4888" s="23"/>
      <c r="B4888" s="21"/>
      <c r="C4888" s="23"/>
      <c r="D4888" s="24"/>
      <c r="E4888" s="14"/>
      <c r="F4888" s="14"/>
      <c r="G4888" s="14"/>
      <c r="H4888" s="23"/>
      <c r="I4888" s="27"/>
      <c r="J4888" s="23"/>
      <c r="K4888" s="30"/>
      <c r="L4888" s="23"/>
      <c r="M4888" s="20"/>
      <c r="N4888" s="20"/>
      <c r="O4888" s="20"/>
      <c r="P4888" s="20"/>
    </row>
    <row r="4889">
      <c r="A4889" s="10"/>
      <c r="B4889" s="11"/>
      <c r="C4889" s="10"/>
      <c r="D4889" s="13"/>
      <c r="E4889" s="14"/>
      <c r="F4889" s="14"/>
      <c r="G4889" s="14"/>
      <c r="H4889" s="10"/>
      <c r="I4889" s="17"/>
      <c r="J4889" s="10"/>
      <c r="K4889" s="46"/>
      <c r="L4889" s="10"/>
      <c r="M4889" s="20"/>
      <c r="N4889" s="20"/>
      <c r="O4889" s="20"/>
      <c r="P4889" s="20"/>
    </row>
    <row r="4890">
      <c r="A4890" s="23"/>
      <c r="B4890" s="21"/>
      <c r="C4890" s="23"/>
      <c r="D4890" s="24"/>
      <c r="E4890" s="14"/>
      <c r="F4890" s="14"/>
      <c r="G4890" s="14"/>
      <c r="H4890" s="23"/>
      <c r="I4890" s="27"/>
      <c r="J4890" s="23"/>
      <c r="K4890" s="30"/>
      <c r="L4890" s="23"/>
      <c r="M4890" s="20"/>
      <c r="N4890" s="20"/>
      <c r="O4890" s="20"/>
      <c r="P4890" s="20"/>
    </row>
    <row r="4891">
      <c r="A4891" s="10"/>
      <c r="B4891" s="11"/>
      <c r="C4891" s="10"/>
      <c r="D4891" s="13"/>
      <c r="E4891" s="14"/>
      <c r="F4891" s="14"/>
      <c r="G4891" s="14"/>
      <c r="H4891" s="10"/>
      <c r="I4891" s="17"/>
      <c r="J4891" s="10"/>
      <c r="K4891" s="46"/>
      <c r="L4891" s="10"/>
      <c r="M4891" s="20"/>
      <c r="N4891" s="20"/>
      <c r="O4891" s="20"/>
      <c r="P4891" s="20"/>
    </row>
    <row r="4892">
      <c r="A4892" s="23"/>
      <c r="B4892" s="21"/>
      <c r="C4892" s="23"/>
      <c r="D4892" s="24"/>
      <c r="E4892" s="14"/>
      <c r="F4892" s="14"/>
      <c r="G4892" s="14"/>
      <c r="H4892" s="23"/>
      <c r="I4892" s="27"/>
      <c r="J4892" s="23"/>
      <c r="K4892" s="30"/>
      <c r="L4892" s="23"/>
      <c r="M4892" s="20"/>
      <c r="N4892" s="20"/>
      <c r="O4892" s="20"/>
      <c r="P4892" s="20"/>
    </row>
    <row r="4893">
      <c r="A4893" s="10"/>
      <c r="B4893" s="11"/>
      <c r="C4893" s="10"/>
      <c r="D4893" s="13"/>
      <c r="E4893" s="14"/>
      <c r="F4893" s="14"/>
      <c r="G4893" s="14"/>
      <c r="H4893" s="10"/>
      <c r="I4893" s="17"/>
      <c r="J4893" s="10"/>
      <c r="K4893" s="46"/>
      <c r="L4893" s="10"/>
      <c r="M4893" s="20"/>
      <c r="N4893" s="20"/>
      <c r="O4893" s="20"/>
      <c r="P4893" s="20"/>
    </row>
    <row r="4894">
      <c r="A4894" s="23"/>
      <c r="B4894" s="21"/>
      <c r="C4894" s="23"/>
      <c r="D4894" s="24"/>
      <c r="E4894" s="14"/>
      <c r="F4894" s="14"/>
      <c r="G4894" s="14"/>
      <c r="H4894" s="23"/>
      <c r="I4894" s="27"/>
      <c r="J4894" s="23"/>
      <c r="K4894" s="30"/>
      <c r="L4894" s="23"/>
      <c r="M4894" s="20"/>
      <c r="N4894" s="20"/>
      <c r="O4894" s="20"/>
      <c r="P4894" s="20"/>
    </row>
    <row r="4895">
      <c r="A4895" s="10"/>
      <c r="B4895" s="11"/>
      <c r="C4895" s="10"/>
      <c r="D4895" s="13"/>
      <c r="E4895" s="14"/>
      <c r="F4895" s="14"/>
      <c r="G4895" s="14"/>
      <c r="H4895" s="10"/>
      <c r="I4895" s="17"/>
      <c r="J4895" s="10"/>
      <c r="K4895" s="46"/>
      <c r="L4895" s="10"/>
      <c r="M4895" s="20"/>
      <c r="N4895" s="20"/>
      <c r="O4895" s="20"/>
      <c r="P4895" s="20"/>
    </row>
    <row r="4896">
      <c r="A4896" s="23"/>
      <c r="B4896" s="21"/>
      <c r="C4896" s="23"/>
      <c r="D4896" s="24"/>
      <c r="E4896" s="14"/>
      <c r="F4896" s="14"/>
      <c r="G4896" s="14"/>
      <c r="H4896" s="23"/>
      <c r="I4896" s="27"/>
      <c r="J4896" s="23"/>
      <c r="K4896" s="30"/>
      <c r="L4896" s="23"/>
      <c r="M4896" s="20"/>
      <c r="N4896" s="20"/>
      <c r="O4896" s="20"/>
      <c r="P4896" s="20"/>
    </row>
    <row r="4897">
      <c r="A4897" s="10"/>
      <c r="B4897" s="11"/>
      <c r="C4897" s="10"/>
      <c r="D4897" s="13"/>
      <c r="E4897" s="14"/>
      <c r="F4897" s="14"/>
      <c r="G4897" s="14"/>
      <c r="H4897" s="10"/>
      <c r="I4897" s="17"/>
      <c r="J4897" s="10"/>
      <c r="K4897" s="46"/>
      <c r="L4897" s="10"/>
      <c r="M4897" s="20"/>
      <c r="N4897" s="20"/>
      <c r="O4897" s="20"/>
      <c r="P4897" s="20"/>
    </row>
    <row r="4898">
      <c r="A4898" s="23"/>
      <c r="B4898" s="21"/>
      <c r="C4898" s="23"/>
      <c r="D4898" s="24"/>
      <c r="E4898" s="14"/>
      <c r="F4898" s="14"/>
      <c r="G4898" s="14"/>
      <c r="H4898" s="23"/>
      <c r="I4898" s="27"/>
      <c r="J4898" s="23"/>
      <c r="K4898" s="30"/>
      <c r="L4898" s="23"/>
      <c r="M4898" s="20"/>
      <c r="N4898" s="20"/>
      <c r="O4898" s="20"/>
      <c r="P4898" s="20"/>
    </row>
    <row r="4899">
      <c r="A4899" s="10"/>
      <c r="B4899" s="11"/>
      <c r="C4899" s="10"/>
      <c r="D4899" s="13"/>
      <c r="E4899" s="14"/>
      <c r="F4899" s="14"/>
      <c r="G4899" s="14"/>
      <c r="H4899" s="10"/>
      <c r="I4899" s="17"/>
      <c r="J4899" s="10"/>
      <c r="K4899" s="46"/>
      <c r="L4899" s="10"/>
      <c r="M4899" s="20"/>
      <c r="N4899" s="20"/>
      <c r="O4899" s="20"/>
      <c r="P4899" s="20"/>
    </row>
    <row r="4900">
      <c r="A4900" s="23"/>
      <c r="B4900" s="21"/>
      <c r="C4900" s="23"/>
      <c r="D4900" s="24"/>
      <c r="E4900" s="14"/>
      <c r="F4900" s="14"/>
      <c r="G4900" s="14"/>
      <c r="H4900" s="23"/>
      <c r="I4900" s="27"/>
      <c r="J4900" s="23"/>
      <c r="K4900" s="30"/>
      <c r="L4900" s="23"/>
      <c r="M4900" s="20"/>
      <c r="N4900" s="20"/>
      <c r="O4900" s="20"/>
      <c r="P4900" s="20"/>
    </row>
    <row r="4901">
      <c r="A4901" s="10"/>
      <c r="B4901" s="11"/>
      <c r="C4901" s="10"/>
      <c r="D4901" s="13"/>
      <c r="E4901" s="14"/>
      <c r="F4901" s="14"/>
      <c r="G4901" s="14"/>
      <c r="H4901" s="10"/>
      <c r="I4901" s="17"/>
      <c r="J4901" s="10"/>
      <c r="K4901" s="46"/>
      <c r="L4901" s="10"/>
      <c r="M4901" s="20"/>
      <c r="N4901" s="20"/>
      <c r="O4901" s="20"/>
      <c r="P4901" s="20"/>
    </row>
    <row r="4902">
      <c r="A4902" s="23"/>
      <c r="B4902" s="21"/>
      <c r="C4902" s="23"/>
      <c r="D4902" s="24"/>
      <c r="E4902" s="14"/>
      <c r="F4902" s="14"/>
      <c r="G4902" s="14"/>
      <c r="H4902" s="23"/>
      <c r="I4902" s="27"/>
      <c r="J4902" s="23"/>
      <c r="K4902" s="30"/>
      <c r="L4902" s="23"/>
      <c r="M4902" s="20"/>
      <c r="N4902" s="20"/>
      <c r="O4902" s="20"/>
      <c r="P4902" s="20"/>
    </row>
    <row r="4903">
      <c r="A4903" s="10"/>
      <c r="B4903" s="11"/>
      <c r="C4903" s="10"/>
      <c r="D4903" s="13"/>
      <c r="E4903" s="14"/>
      <c r="F4903" s="14"/>
      <c r="G4903" s="14"/>
      <c r="H4903" s="10"/>
      <c r="I4903" s="17"/>
      <c r="J4903" s="10"/>
      <c r="K4903" s="46"/>
      <c r="L4903" s="10"/>
      <c r="M4903" s="20"/>
      <c r="N4903" s="20"/>
      <c r="O4903" s="20"/>
      <c r="P4903" s="20"/>
    </row>
    <row r="4904">
      <c r="A4904" s="23"/>
      <c r="B4904" s="21"/>
      <c r="C4904" s="23"/>
      <c r="D4904" s="24"/>
      <c r="E4904" s="14"/>
      <c r="F4904" s="14"/>
      <c r="G4904" s="14"/>
      <c r="H4904" s="23"/>
      <c r="I4904" s="27"/>
      <c r="J4904" s="23"/>
      <c r="K4904" s="30"/>
      <c r="L4904" s="23"/>
      <c r="M4904" s="20"/>
      <c r="N4904" s="20"/>
      <c r="O4904" s="20"/>
      <c r="P4904" s="20"/>
    </row>
    <row r="4905">
      <c r="A4905" s="10"/>
      <c r="B4905" s="11"/>
      <c r="C4905" s="10"/>
      <c r="D4905" s="13"/>
      <c r="E4905" s="14"/>
      <c r="F4905" s="14"/>
      <c r="G4905" s="14"/>
      <c r="H4905" s="10"/>
      <c r="I4905" s="17"/>
      <c r="J4905" s="10"/>
      <c r="K4905" s="46"/>
      <c r="L4905" s="10"/>
      <c r="M4905" s="20"/>
      <c r="N4905" s="20"/>
      <c r="O4905" s="20"/>
      <c r="P4905" s="20"/>
    </row>
    <row r="4906">
      <c r="A4906" s="23"/>
      <c r="B4906" s="21"/>
      <c r="C4906" s="23"/>
      <c r="D4906" s="24"/>
      <c r="E4906" s="14"/>
      <c r="F4906" s="14"/>
      <c r="G4906" s="14"/>
      <c r="H4906" s="23"/>
      <c r="I4906" s="27"/>
      <c r="J4906" s="23"/>
      <c r="K4906" s="30"/>
      <c r="L4906" s="23"/>
      <c r="M4906" s="20"/>
      <c r="N4906" s="20"/>
      <c r="O4906" s="20"/>
      <c r="P4906" s="20"/>
    </row>
    <row r="4907">
      <c r="A4907" s="10"/>
      <c r="B4907" s="11"/>
      <c r="C4907" s="10"/>
      <c r="D4907" s="13"/>
      <c r="E4907" s="14"/>
      <c r="F4907" s="14"/>
      <c r="G4907" s="14"/>
      <c r="H4907" s="10"/>
      <c r="I4907" s="17"/>
      <c r="J4907" s="10"/>
      <c r="K4907" s="46"/>
      <c r="L4907" s="10"/>
      <c r="M4907" s="20"/>
      <c r="N4907" s="20"/>
      <c r="O4907" s="20"/>
      <c r="P4907" s="20"/>
    </row>
    <row r="4908">
      <c r="A4908" s="23"/>
      <c r="B4908" s="21"/>
      <c r="C4908" s="23"/>
      <c r="D4908" s="24"/>
      <c r="E4908" s="14"/>
      <c r="F4908" s="14"/>
      <c r="G4908" s="14"/>
      <c r="H4908" s="23"/>
      <c r="I4908" s="27"/>
      <c r="J4908" s="23"/>
      <c r="K4908" s="30"/>
      <c r="L4908" s="23"/>
      <c r="M4908" s="20"/>
      <c r="N4908" s="20"/>
      <c r="O4908" s="20"/>
      <c r="P4908" s="20"/>
    </row>
    <row r="4909">
      <c r="A4909" s="10"/>
      <c r="B4909" s="11"/>
      <c r="C4909" s="10"/>
      <c r="D4909" s="13"/>
      <c r="E4909" s="14"/>
      <c r="F4909" s="14"/>
      <c r="G4909" s="14"/>
      <c r="H4909" s="10"/>
      <c r="I4909" s="17"/>
      <c r="J4909" s="10"/>
      <c r="K4909" s="46"/>
      <c r="L4909" s="10"/>
      <c r="M4909" s="20"/>
      <c r="N4909" s="20"/>
      <c r="O4909" s="20"/>
      <c r="P4909" s="20"/>
    </row>
    <row r="4910">
      <c r="A4910" s="23"/>
      <c r="B4910" s="21"/>
      <c r="C4910" s="23"/>
      <c r="D4910" s="24"/>
      <c r="E4910" s="14"/>
      <c r="F4910" s="14"/>
      <c r="G4910" s="14"/>
      <c r="H4910" s="23"/>
      <c r="I4910" s="27"/>
      <c r="J4910" s="23"/>
      <c r="K4910" s="30"/>
      <c r="L4910" s="23"/>
      <c r="M4910" s="20"/>
      <c r="N4910" s="20"/>
      <c r="O4910" s="20"/>
      <c r="P4910" s="20"/>
    </row>
    <row r="4911">
      <c r="A4911" s="10"/>
      <c r="B4911" s="11"/>
      <c r="C4911" s="10"/>
      <c r="D4911" s="13"/>
      <c r="E4911" s="14"/>
      <c r="F4911" s="14"/>
      <c r="G4911" s="14"/>
      <c r="H4911" s="10"/>
      <c r="I4911" s="17"/>
      <c r="J4911" s="10"/>
      <c r="K4911" s="46"/>
      <c r="L4911" s="10"/>
      <c r="M4911" s="20"/>
      <c r="N4911" s="20"/>
      <c r="O4911" s="20"/>
      <c r="P4911" s="20"/>
    </row>
    <row r="4912">
      <c r="A4912" s="23"/>
      <c r="B4912" s="21"/>
      <c r="C4912" s="23"/>
      <c r="D4912" s="24"/>
      <c r="E4912" s="14"/>
      <c r="F4912" s="14"/>
      <c r="G4912" s="14"/>
      <c r="H4912" s="23"/>
      <c r="I4912" s="27"/>
      <c r="J4912" s="23"/>
      <c r="K4912" s="30"/>
      <c r="L4912" s="23"/>
      <c r="M4912" s="20"/>
      <c r="N4912" s="20"/>
      <c r="O4912" s="20"/>
      <c r="P4912" s="20"/>
    </row>
    <row r="4913">
      <c r="A4913" s="10"/>
      <c r="B4913" s="11"/>
      <c r="C4913" s="10"/>
      <c r="D4913" s="13"/>
      <c r="E4913" s="14"/>
      <c r="F4913" s="14"/>
      <c r="G4913" s="14"/>
      <c r="H4913" s="10"/>
      <c r="I4913" s="17"/>
      <c r="J4913" s="10"/>
      <c r="K4913" s="46"/>
      <c r="L4913" s="10"/>
      <c r="M4913" s="20"/>
      <c r="N4913" s="20"/>
      <c r="O4913" s="20"/>
      <c r="P4913" s="20"/>
    </row>
    <row r="4914">
      <c r="A4914" s="23"/>
      <c r="B4914" s="21"/>
      <c r="C4914" s="23"/>
      <c r="D4914" s="24"/>
      <c r="E4914" s="14"/>
      <c r="F4914" s="14"/>
      <c r="G4914" s="14"/>
      <c r="H4914" s="23"/>
      <c r="I4914" s="27"/>
      <c r="J4914" s="23"/>
      <c r="K4914" s="30"/>
      <c r="L4914" s="23"/>
      <c r="M4914" s="20"/>
      <c r="N4914" s="20"/>
      <c r="O4914" s="20"/>
      <c r="P4914" s="20"/>
    </row>
    <row r="4915">
      <c r="A4915" s="10"/>
      <c r="B4915" s="11"/>
      <c r="C4915" s="10"/>
      <c r="D4915" s="13"/>
      <c r="E4915" s="14"/>
      <c r="F4915" s="14"/>
      <c r="G4915" s="14"/>
      <c r="H4915" s="10"/>
      <c r="I4915" s="17"/>
      <c r="J4915" s="10"/>
      <c r="K4915" s="46"/>
      <c r="L4915" s="10"/>
      <c r="M4915" s="20"/>
      <c r="N4915" s="20"/>
      <c r="O4915" s="20"/>
      <c r="P4915" s="20"/>
    </row>
    <row r="4916">
      <c r="A4916" s="23"/>
      <c r="B4916" s="21"/>
      <c r="C4916" s="23"/>
      <c r="D4916" s="24"/>
      <c r="E4916" s="14"/>
      <c r="F4916" s="14"/>
      <c r="G4916" s="14"/>
      <c r="H4916" s="23"/>
      <c r="I4916" s="27"/>
      <c r="J4916" s="23"/>
      <c r="K4916" s="30"/>
      <c r="L4916" s="23"/>
      <c r="M4916" s="20"/>
      <c r="N4916" s="20"/>
      <c r="O4916" s="20"/>
      <c r="P4916" s="20"/>
    </row>
    <row r="4917">
      <c r="A4917" s="10"/>
      <c r="B4917" s="11"/>
      <c r="C4917" s="10"/>
      <c r="D4917" s="13"/>
      <c r="E4917" s="14"/>
      <c r="F4917" s="14"/>
      <c r="G4917" s="14"/>
      <c r="H4917" s="10"/>
      <c r="I4917" s="17"/>
      <c r="J4917" s="10"/>
      <c r="K4917" s="46"/>
      <c r="L4917" s="10"/>
      <c r="M4917" s="20"/>
      <c r="N4917" s="20"/>
      <c r="O4917" s="20"/>
      <c r="P4917" s="20"/>
    </row>
    <row r="4918">
      <c r="A4918" s="23"/>
      <c r="B4918" s="21"/>
      <c r="C4918" s="23"/>
      <c r="D4918" s="24"/>
      <c r="E4918" s="14"/>
      <c r="F4918" s="14"/>
      <c r="G4918" s="14"/>
      <c r="H4918" s="23"/>
      <c r="I4918" s="27"/>
      <c r="J4918" s="23"/>
      <c r="K4918" s="30"/>
      <c r="L4918" s="23"/>
      <c r="M4918" s="20"/>
      <c r="N4918" s="20"/>
      <c r="O4918" s="20"/>
      <c r="P4918" s="20"/>
    </row>
    <row r="4919">
      <c r="A4919" s="10"/>
      <c r="B4919" s="11"/>
      <c r="C4919" s="10"/>
      <c r="D4919" s="13"/>
      <c r="E4919" s="14"/>
      <c r="F4919" s="14"/>
      <c r="G4919" s="14"/>
      <c r="H4919" s="10"/>
      <c r="I4919" s="17"/>
      <c r="J4919" s="10"/>
      <c r="K4919" s="46"/>
      <c r="L4919" s="10"/>
      <c r="M4919" s="20"/>
      <c r="N4919" s="20"/>
      <c r="O4919" s="20"/>
      <c r="P4919" s="20"/>
    </row>
    <row r="4920">
      <c r="A4920" s="23"/>
      <c r="B4920" s="21"/>
      <c r="C4920" s="23"/>
      <c r="D4920" s="24"/>
      <c r="E4920" s="14"/>
      <c r="F4920" s="14"/>
      <c r="G4920" s="14"/>
      <c r="H4920" s="23"/>
      <c r="I4920" s="27"/>
      <c r="J4920" s="23"/>
      <c r="K4920" s="30"/>
      <c r="L4920" s="23"/>
      <c r="M4920" s="20"/>
      <c r="N4920" s="20"/>
      <c r="O4920" s="20"/>
      <c r="P4920" s="20"/>
    </row>
    <row r="4921">
      <c r="A4921" s="10"/>
      <c r="B4921" s="11"/>
      <c r="C4921" s="10"/>
      <c r="D4921" s="13"/>
      <c r="E4921" s="14"/>
      <c r="F4921" s="14"/>
      <c r="G4921" s="14"/>
      <c r="H4921" s="10"/>
      <c r="I4921" s="17"/>
      <c r="J4921" s="10"/>
      <c r="K4921" s="46"/>
      <c r="L4921" s="10"/>
      <c r="M4921" s="20"/>
      <c r="N4921" s="20"/>
      <c r="O4921" s="20"/>
      <c r="P4921" s="20"/>
    </row>
    <row r="4922">
      <c r="A4922" s="23"/>
      <c r="B4922" s="21"/>
      <c r="C4922" s="23"/>
      <c r="D4922" s="24"/>
      <c r="E4922" s="14"/>
      <c r="F4922" s="14"/>
      <c r="G4922" s="14"/>
      <c r="H4922" s="23"/>
      <c r="I4922" s="27"/>
      <c r="J4922" s="23"/>
      <c r="K4922" s="30"/>
      <c r="L4922" s="23"/>
      <c r="M4922" s="20"/>
      <c r="N4922" s="20"/>
      <c r="O4922" s="20"/>
      <c r="P4922" s="20"/>
    </row>
    <row r="4923">
      <c r="A4923" s="10"/>
      <c r="B4923" s="11"/>
      <c r="C4923" s="10"/>
      <c r="D4923" s="13"/>
      <c r="E4923" s="14"/>
      <c r="F4923" s="14"/>
      <c r="G4923" s="14"/>
      <c r="H4923" s="10"/>
      <c r="I4923" s="17"/>
      <c r="J4923" s="10"/>
      <c r="K4923" s="46"/>
      <c r="L4923" s="10"/>
      <c r="M4923" s="20"/>
      <c r="N4923" s="20"/>
      <c r="O4923" s="20"/>
      <c r="P4923" s="20"/>
    </row>
    <row r="4924">
      <c r="A4924" s="23"/>
      <c r="B4924" s="21"/>
      <c r="C4924" s="23"/>
      <c r="D4924" s="24"/>
      <c r="E4924" s="14"/>
      <c r="F4924" s="14"/>
      <c r="G4924" s="14"/>
      <c r="H4924" s="23"/>
      <c r="I4924" s="27"/>
      <c r="J4924" s="23"/>
      <c r="K4924" s="30"/>
      <c r="L4924" s="23"/>
      <c r="M4924" s="20"/>
      <c r="N4924" s="20"/>
      <c r="O4924" s="20"/>
      <c r="P4924" s="20"/>
    </row>
    <row r="4925">
      <c r="A4925" s="10"/>
      <c r="B4925" s="11"/>
      <c r="C4925" s="10"/>
      <c r="D4925" s="13"/>
      <c r="E4925" s="14"/>
      <c r="F4925" s="14"/>
      <c r="G4925" s="14"/>
      <c r="H4925" s="10"/>
      <c r="I4925" s="17"/>
      <c r="J4925" s="10"/>
      <c r="K4925" s="46"/>
      <c r="L4925" s="10"/>
      <c r="M4925" s="20"/>
      <c r="N4925" s="20"/>
      <c r="O4925" s="20"/>
      <c r="P4925" s="20"/>
    </row>
    <row r="4926">
      <c r="A4926" s="23"/>
      <c r="B4926" s="21"/>
      <c r="C4926" s="23"/>
      <c r="D4926" s="24"/>
      <c r="E4926" s="14"/>
      <c r="F4926" s="14"/>
      <c r="G4926" s="14"/>
      <c r="H4926" s="23"/>
      <c r="I4926" s="27"/>
      <c r="J4926" s="23"/>
      <c r="K4926" s="30"/>
      <c r="L4926" s="23"/>
      <c r="M4926" s="20"/>
      <c r="N4926" s="20"/>
      <c r="O4926" s="20"/>
      <c r="P4926" s="20"/>
    </row>
    <row r="4927">
      <c r="A4927" s="10"/>
      <c r="B4927" s="11"/>
      <c r="C4927" s="10"/>
      <c r="D4927" s="13"/>
      <c r="E4927" s="14"/>
      <c r="F4927" s="14"/>
      <c r="G4927" s="14"/>
      <c r="H4927" s="10"/>
      <c r="I4927" s="17"/>
      <c r="J4927" s="10"/>
      <c r="K4927" s="46"/>
      <c r="L4927" s="10"/>
      <c r="M4927" s="20"/>
      <c r="N4927" s="20"/>
      <c r="O4927" s="20"/>
      <c r="P4927" s="20"/>
    </row>
    <row r="4928">
      <c r="A4928" s="23"/>
      <c r="B4928" s="21"/>
      <c r="C4928" s="23"/>
      <c r="D4928" s="24"/>
      <c r="E4928" s="14"/>
      <c r="F4928" s="14"/>
      <c r="G4928" s="14"/>
      <c r="H4928" s="23"/>
      <c r="I4928" s="27"/>
      <c r="J4928" s="23"/>
      <c r="K4928" s="30"/>
      <c r="L4928" s="23"/>
      <c r="M4928" s="20"/>
      <c r="N4928" s="20"/>
      <c r="O4928" s="20"/>
      <c r="P4928" s="20"/>
    </row>
    <row r="4929">
      <c r="A4929" s="10"/>
      <c r="B4929" s="11"/>
      <c r="C4929" s="10"/>
      <c r="D4929" s="13"/>
      <c r="E4929" s="14"/>
      <c r="F4929" s="14"/>
      <c r="G4929" s="14"/>
      <c r="H4929" s="10"/>
      <c r="I4929" s="17"/>
      <c r="J4929" s="10"/>
      <c r="K4929" s="46"/>
      <c r="L4929" s="10"/>
      <c r="M4929" s="20"/>
      <c r="N4929" s="20"/>
      <c r="O4929" s="20"/>
      <c r="P4929" s="20"/>
    </row>
    <row r="4930">
      <c r="A4930" s="23"/>
      <c r="B4930" s="21"/>
      <c r="C4930" s="23"/>
      <c r="D4930" s="24"/>
      <c r="E4930" s="14"/>
      <c r="F4930" s="14"/>
      <c r="G4930" s="14"/>
      <c r="H4930" s="23"/>
      <c r="I4930" s="27"/>
      <c r="J4930" s="23"/>
      <c r="K4930" s="30"/>
      <c r="L4930" s="23"/>
      <c r="M4930" s="20"/>
      <c r="N4930" s="20"/>
      <c r="O4930" s="20"/>
      <c r="P4930" s="20"/>
    </row>
    <row r="4931">
      <c r="A4931" s="10"/>
      <c r="B4931" s="11"/>
      <c r="C4931" s="10"/>
      <c r="D4931" s="13"/>
      <c r="E4931" s="14"/>
      <c r="F4931" s="14"/>
      <c r="G4931" s="14"/>
      <c r="H4931" s="10"/>
      <c r="I4931" s="17"/>
      <c r="J4931" s="10"/>
      <c r="K4931" s="46"/>
      <c r="L4931" s="10"/>
      <c r="M4931" s="20"/>
      <c r="N4931" s="20"/>
      <c r="O4931" s="20"/>
      <c r="P4931" s="20"/>
    </row>
    <row r="4932">
      <c r="A4932" s="23"/>
      <c r="B4932" s="21"/>
      <c r="C4932" s="23"/>
      <c r="D4932" s="24"/>
      <c r="E4932" s="14"/>
      <c r="F4932" s="14"/>
      <c r="G4932" s="14"/>
      <c r="H4932" s="23"/>
      <c r="I4932" s="27"/>
      <c r="J4932" s="23"/>
      <c r="K4932" s="30"/>
      <c r="L4932" s="23"/>
      <c r="M4932" s="20"/>
      <c r="N4932" s="20"/>
      <c r="O4932" s="20"/>
      <c r="P4932" s="20"/>
    </row>
    <row r="4933">
      <c r="A4933" s="10"/>
      <c r="B4933" s="11"/>
      <c r="C4933" s="10"/>
      <c r="D4933" s="13"/>
      <c r="E4933" s="14"/>
      <c r="F4933" s="14"/>
      <c r="G4933" s="14"/>
      <c r="H4933" s="10"/>
      <c r="I4933" s="17"/>
      <c r="J4933" s="10"/>
      <c r="K4933" s="46"/>
      <c r="L4933" s="10"/>
      <c r="M4933" s="20"/>
      <c r="N4933" s="20"/>
      <c r="O4933" s="20"/>
      <c r="P4933" s="20"/>
    </row>
    <row r="4934">
      <c r="A4934" s="23"/>
      <c r="B4934" s="21"/>
      <c r="C4934" s="23"/>
      <c r="D4934" s="24"/>
      <c r="E4934" s="14"/>
      <c r="F4934" s="14"/>
      <c r="G4934" s="14"/>
      <c r="H4934" s="23"/>
      <c r="I4934" s="27"/>
      <c r="J4934" s="23"/>
      <c r="K4934" s="30"/>
      <c r="L4934" s="23"/>
      <c r="M4934" s="20"/>
      <c r="N4934" s="20"/>
      <c r="O4934" s="20"/>
      <c r="P4934" s="20"/>
    </row>
    <row r="4935">
      <c r="A4935" s="10"/>
      <c r="B4935" s="11"/>
      <c r="C4935" s="10"/>
      <c r="D4935" s="13"/>
      <c r="E4935" s="14"/>
      <c r="F4935" s="14"/>
      <c r="G4935" s="14"/>
      <c r="H4935" s="10"/>
      <c r="I4935" s="17"/>
      <c r="J4935" s="10"/>
      <c r="K4935" s="46"/>
      <c r="L4935" s="10"/>
      <c r="M4935" s="20"/>
      <c r="N4935" s="20"/>
      <c r="O4935" s="20"/>
      <c r="P4935" s="20"/>
    </row>
    <row r="4936">
      <c r="A4936" s="23"/>
      <c r="B4936" s="21"/>
      <c r="C4936" s="23"/>
      <c r="D4936" s="24"/>
      <c r="E4936" s="14"/>
      <c r="F4936" s="14"/>
      <c r="G4936" s="14"/>
      <c r="H4936" s="23"/>
      <c r="I4936" s="27"/>
      <c r="J4936" s="23"/>
      <c r="K4936" s="30"/>
      <c r="L4936" s="23"/>
      <c r="M4936" s="20"/>
      <c r="N4936" s="20"/>
      <c r="O4936" s="20"/>
      <c r="P4936" s="20"/>
    </row>
    <row r="4937">
      <c r="A4937" s="10"/>
      <c r="B4937" s="11"/>
      <c r="C4937" s="10"/>
      <c r="D4937" s="13"/>
      <c r="E4937" s="14"/>
      <c r="F4937" s="14"/>
      <c r="G4937" s="14"/>
      <c r="H4937" s="10"/>
      <c r="I4937" s="17"/>
      <c r="J4937" s="10"/>
      <c r="K4937" s="46"/>
      <c r="L4937" s="10"/>
      <c r="M4937" s="20"/>
      <c r="N4937" s="20"/>
      <c r="O4937" s="20"/>
      <c r="P4937" s="20"/>
    </row>
    <row r="4938">
      <c r="A4938" s="23"/>
      <c r="B4938" s="21"/>
      <c r="C4938" s="23"/>
      <c r="D4938" s="24"/>
      <c r="E4938" s="14"/>
      <c r="F4938" s="14"/>
      <c r="G4938" s="14"/>
      <c r="H4938" s="23"/>
      <c r="I4938" s="27"/>
      <c r="J4938" s="23"/>
      <c r="K4938" s="30"/>
      <c r="L4938" s="23"/>
      <c r="M4938" s="20"/>
      <c r="N4938" s="20"/>
      <c r="O4938" s="20"/>
      <c r="P4938" s="20"/>
    </row>
    <row r="4939">
      <c r="A4939" s="10"/>
      <c r="B4939" s="11"/>
      <c r="C4939" s="10"/>
      <c r="D4939" s="13"/>
      <c r="E4939" s="14"/>
      <c r="F4939" s="14"/>
      <c r="G4939" s="14"/>
      <c r="H4939" s="10"/>
      <c r="I4939" s="17"/>
      <c r="J4939" s="10"/>
      <c r="K4939" s="46"/>
      <c r="L4939" s="10"/>
      <c r="M4939" s="20"/>
      <c r="N4939" s="20"/>
      <c r="O4939" s="20"/>
      <c r="P4939" s="20"/>
    </row>
    <row r="4940">
      <c r="A4940" s="23"/>
      <c r="B4940" s="21"/>
      <c r="C4940" s="23"/>
      <c r="D4940" s="24"/>
      <c r="E4940" s="14"/>
      <c r="F4940" s="14"/>
      <c r="G4940" s="14"/>
      <c r="H4940" s="23"/>
      <c r="I4940" s="27"/>
      <c r="J4940" s="23"/>
      <c r="K4940" s="30"/>
      <c r="L4940" s="23"/>
      <c r="M4940" s="20"/>
      <c r="N4940" s="20"/>
      <c r="O4940" s="20"/>
      <c r="P4940" s="20"/>
    </row>
    <row r="4941">
      <c r="A4941" s="10"/>
      <c r="B4941" s="11"/>
      <c r="C4941" s="10"/>
      <c r="D4941" s="13"/>
      <c r="E4941" s="14"/>
      <c r="F4941" s="14"/>
      <c r="G4941" s="14"/>
      <c r="H4941" s="10"/>
      <c r="I4941" s="17"/>
      <c r="J4941" s="10"/>
      <c r="K4941" s="46"/>
      <c r="L4941" s="10"/>
      <c r="M4941" s="20"/>
      <c r="N4941" s="20"/>
      <c r="O4941" s="20"/>
      <c r="P4941" s="20"/>
    </row>
    <row r="4942">
      <c r="A4942" s="23"/>
      <c r="B4942" s="21"/>
      <c r="C4942" s="23"/>
      <c r="D4942" s="24"/>
      <c r="E4942" s="14"/>
      <c r="F4942" s="14"/>
      <c r="G4942" s="14"/>
      <c r="H4942" s="23"/>
      <c r="I4942" s="27"/>
      <c r="J4942" s="23"/>
      <c r="K4942" s="30"/>
      <c r="L4942" s="23"/>
      <c r="M4942" s="20"/>
      <c r="N4942" s="20"/>
      <c r="O4942" s="20"/>
      <c r="P4942" s="20"/>
    </row>
    <row r="4943">
      <c r="A4943" s="10"/>
      <c r="B4943" s="11"/>
      <c r="C4943" s="10"/>
      <c r="D4943" s="13"/>
      <c r="E4943" s="14"/>
      <c r="F4943" s="14"/>
      <c r="G4943" s="14"/>
      <c r="H4943" s="10"/>
      <c r="I4943" s="17"/>
      <c r="J4943" s="10"/>
      <c r="K4943" s="46"/>
      <c r="L4943" s="10"/>
      <c r="M4943" s="20"/>
      <c r="N4943" s="20"/>
      <c r="O4943" s="20"/>
      <c r="P4943" s="20"/>
    </row>
    <row r="4944">
      <c r="A4944" s="23"/>
      <c r="B4944" s="21"/>
      <c r="C4944" s="23"/>
      <c r="D4944" s="24"/>
      <c r="E4944" s="14"/>
      <c r="F4944" s="14"/>
      <c r="G4944" s="14"/>
      <c r="H4944" s="23"/>
      <c r="I4944" s="27"/>
      <c r="J4944" s="23"/>
      <c r="K4944" s="30"/>
      <c r="L4944" s="23"/>
      <c r="M4944" s="20"/>
      <c r="N4944" s="20"/>
      <c r="O4944" s="20"/>
      <c r="P4944" s="20"/>
    </row>
    <row r="4945">
      <c r="A4945" s="10"/>
      <c r="B4945" s="11"/>
      <c r="C4945" s="10"/>
      <c r="D4945" s="13"/>
      <c r="E4945" s="14"/>
      <c r="F4945" s="14"/>
      <c r="G4945" s="14"/>
      <c r="H4945" s="10"/>
      <c r="I4945" s="17"/>
      <c r="J4945" s="10"/>
      <c r="K4945" s="46"/>
      <c r="L4945" s="10"/>
      <c r="M4945" s="20"/>
      <c r="N4945" s="20"/>
      <c r="O4945" s="20"/>
      <c r="P4945" s="20"/>
    </row>
    <row r="4946">
      <c r="A4946" s="23"/>
      <c r="B4946" s="21"/>
      <c r="C4946" s="23"/>
      <c r="D4946" s="24"/>
      <c r="E4946" s="14"/>
      <c r="F4946" s="14"/>
      <c r="G4946" s="14"/>
      <c r="H4946" s="23"/>
      <c r="I4946" s="27"/>
      <c r="J4946" s="23"/>
      <c r="K4946" s="30"/>
      <c r="L4946" s="23"/>
      <c r="M4946" s="20"/>
      <c r="N4946" s="20"/>
      <c r="O4946" s="20"/>
      <c r="P4946" s="20"/>
    </row>
    <row r="4947">
      <c r="A4947" s="10"/>
      <c r="B4947" s="11"/>
      <c r="C4947" s="10"/>
      <c r="D4947" s="13"/>
      <c r="E4947" s="14"/>
      <c r="F4947" s="14"/>
      <c r="G4947" s="14"/>
      <c r="H4947" s="10"/>
      <c r="I4947" s="17"/>
      <c r="J4947" s="10"/>
      <c r="K4947" s="46"/>
      <c r="L4947" s="10"/>
      <c r="M4947" s="20"/>
      <c r="N4947" s="20"/>
      <c r="O4947" s="20"/>
      <c r="P4947" s="20"/>
    </row>
    <row r="4948">
      <c r="A4948" s="23"/>
      <c r="B4948" s="21"/>
      <c r="C4948" s="23"/>
      <c r="D4948" s="24"/>
      <c r="E4948" s="14"/>
      <c r="F4948" s="14"/>
      <c r="G4948" s="14"/>
      <c r="H4948" s="23"/>
      <c r="I4948" s="27"/>
      <c r="J4948" s="23"/>
      <c r="K4948" s="30"/>
      <c r="L4948" s="23"/>
      <c r="M4948" s="20"/>
      <c r="N4948" s="20"/>
      <c r="O4948" s="20"/>
      <c r="P4948" s="20"/>
    </row>
    <row r="4949">
      <c r="A4949" s="10"/>
      <c r="B4949" s="11"/>
      <c r="C4949" s="10"/>
      <c r="D4949" s="13"/>
      <c r="E4949" s="14"/>
      <c r="F4949" s="14"/>
      <c r="G4949" s="14"/>
      <c r="H4949" s="10"/>
      <c r="I4949" s="17"/>
      <c r="J4949" s="10"/>
      <c r="K4949" s="46"/>
      <c r="L4949" s="10"/>
      <c r="M4949" s="20"/>
      <c r="N4949" s="20"/>
      <c r="O4949" s="20"/>
      <c r="P4949" s="20"/>
    </row>
    <row r="4950">
      <c r="A4950" s="23"/>
      <c r="B4950" s="21"/>
      <c r="C4950" s="23"/>
      <c r="D4950" s="24"/>
      <c r="E4950" s="14"/>
      <c r="F4950" s="14"/>
      <c r="G4950" s="14"/>
      <c r="H4950" s="23"/>
      <c r="I4950" s="27"/>
      <c r="J4950" s="23"/>
      <c r="K4950" s="30"/>
      <c r="L4950" s="23"/>
      <c r="M4950" s="20"/>
      <c r="N4950" s="20"/>
      <c r="O4950" s="20"/>
      <c r="P4950" s="20"/>
    </row>
    <row r="4951">
      <c r="A4951" s="10"/>
      <c r="B4951" s="11"/>
      <c r="C4951" s="10"/>
      <c r="D4951" s="13"/>
      <c r="E4951" s="14"/>
      <c r="F4951" s="14"/>
      <c r="G4951" s="14"/>
      <c r="H4951" s="10"/>
      <c r="I4951" s="17"/>
      <c r="J4951" s="10"/>
      <c r="K4951" s="46"/>
      <c r="L4951" s="10"/>
      <c r="M4951" s="20"/>
      <c r="N4951" s="20"/>
      <c r="O4951" s="20"/>
      <c r="P4951" s="20"/>
    </row>
    <row r="4952">
      <c r="A4952" s="23"/>
      <c r="B4952" s="21"/>
      <c r="C4952" s="23"/>
      <c r="D4952" s="24"/>
      <c r="E4952" s="14"/>
      <c r="F4952" s="14"/>
      <c r="G4952" s="14"/>
      <c r="H4952" s="23"/>
      <c r="I4952" s="27"/>
      <c r="J4952" s="23"/>
      <c r="K4952" s="30"/>
      <c r="L4952" s="23"/>
      <c r="M4952" s="20"/>
      <c r="N4952" s="20"/>
      <c r="O4952" s="20"/>
      <c r="P4952" s="20"/>
    </row>
    <row r="4953">
      <c r="A4953" s="10"/>
      <c r="B4953" s="11"/>
      <c r="C4953" s="10"/>
      <c r="D4953" s="13"/>
      <c r="E4953" s="14"/>
      <c r="F4953" s="14"/>
      <c r="G4953" s="14"/>
      <c r="H4953" s="10"/>
      <c r="I4953" s="17"/>
      <c r="J4953" s="10"/>
      <c r="K4953" s="46"/>
      <c r="L4953" s="10"/>
      <c r="M4953" s="20"/>
      <c r="N4953" s="20"/>
      <c r="O4953" s="20"/>
      <c r="P4953" s="20"/>
    </row>
    <row r="4954">
      <c r="A4954" s="23"/>
      <c r="B4954" s="21"/>
      <c r="C4954" s="23"/>
      <c r="D4954" s="24"/>
      <c r="E4954" s="14"/>
      <c r="F4954" s="14"/>
      <c r="G4954" s="14"/>
      <c r="H4954" s="23"/>
      <c r="I4954" s="27"/>
      <c r="J4954" s="23"/>
      <c r="K4954" s="30"/>
      <c r="L4954" s="23"/>
      <c r="M4954" s="20"/>
      <c r="N4954" s="20"/>
      <c r="O4954" s="20"/>
      <c r="P4954" s="20"/>
    </row>
    <row r="4955">
      <c r="A4955" s="10"/>
      <c r="B4955" s="11"/>
      <c r="C4955" s="10"/>
      <c r="D4955" s="13"/>
      <c r="E4955" s="14"/>
      <c r="F4955" s="14"/>
      <c r="G4955" s="14"/>
      <c r="H4955" s="10"/>
      <c r="I4955" s="17"/>
      <c r="J4955" s="10"/>
      <c r="K4955" s="46"/>
      <c r="L4955" s="10"/>
      <c r="M4955" s="20"/>
      <c r="N4955" s="20"/>
      <c r="O4955" s="20"/>
      <c r="P4955" s="20"/>
    </row>
    <row r="4956">
      <c r="A4956" s="23"/>
      <c r="B4956" s="21"/>
      <c r="C4956" s="23"/>
      <c r="D4956" s="24"/>
      <c r="E4956" s="14"/>
      <c r="F4956" s="14"/>
      <c r="G4956" s="14"/>
      <c r="H4956" s="23"/>
      <c r="I4956" s="27"/>
      <c r="J4956" s="23"/>
      <c r="K4956" s="30"/>
      <c r="L4956" s="23"/>
      <c r="M4956" s="20"/>
      <c r="N4956" s="20"/>
      <c r="O4956" s="20"/>
      <c r="P4956" s="20"/>
    </row>
    <row r="4957">
      <c r="A4957" s="10"/>
      <c r="B4957" s="11"/>
      <c r="C4957" s="10"/>
      <c r="D4957" s="13"/>
      <c r="E4957" s="14"/>
      <c r="F4957" s="14"/>
      <c r="G4957" s="14"/>
      <c r="H4957" s="10"/>
      <c r="I4957" s="17"/>
      <c r="J4957" s="10"/>
      <c r="K4957" s="46"/>
      <c r="L4957" s="10"/>
      <c r="M4957" s="20"/>
      <c r="N4957" s="20"/>
      <c r="O4957" s="20"/>
      <c r="P4957" s="20"/>
    </row>
    <row r="4958">
      <c r="A4958" s="23"/>
      <c r="B4958" s="21"/>
      <c r="C4958" s="23"/>
      <c r="D4958" s="24"/>
      <c r="E4958" s="14"/>
      <c r="F4958" s="14"/>
      <c r="G4958" s="14"/>
      <c r="H4958" s="23"/>
      <c r="I4958" s="27"/>
      <c r="J4958" s="23"/>
      <c r="K4958" s="30"/>
      <c r="L4958" s="23"/>
      <c r="M4958" s="20"/>
      <c r="N4958" s="20"/>
      <c r="O4958" s="20"/>
      <c r="P4958" s="20"/>
    </row>
    <row r="4959">
      <c r="A4959" s="10"/>
      <c r="B4959" s="11"/>
      <c r="C4959" s="10"/>
      <c r="D4959" s="13"/>
      <c r="E4959" s="14"/>
      <c r="F4959" s="14"/>
      <c r="G4959" s="14"/>
      <c r="H4959" s="10"/>
      <c r="I4959" s="17"/>
      <c r="J4959" s="10"/>
      <c r="K4959" s="46"/>
      <c r="L4959" s="10"/>
      <c r="M4959" s="20"/>
      <c r="N4959" s="20"/>
      <c r="O4959" s="20"/>
      <c r="P4959" s="20"/>
    </row>
    <row r="4960">
      <c r="A4960" s="23"/>
      <c r="B4960" s="21"/>
      <c r="C4960" s="23"/>
      <c r="D4960" s="24"/>
      <c r="E4960" s="14"/>
      <c r="F4960" s="14"/>
      <c r="G4960" s="14"/>
      <c r="H4960" s="23"/>
      <c r="I4960" s="27"/>
      <c r="J4960" s="23"/>
      <c r="K4960" s="30"/>
      <c r="L4960" s="23"/>
      <c r="M4960" s="20"/>
      <c r="N4960" s="20"/>
      <c r="O4960" s="20"/>
      <c r="P4960" s="20"/>
    </row>
    <row r="4961">
      <c r="A4961" s="10"/>
      <c r="B4961" s="11"/>
      <c r="C4961" s="10"/>
      <c r="D4961" s="13"/>
      <c r="E4961" s="14"/>
      <c r="F4961" s="14"/>
      <c r="G4961" s="14"/>
      <c r="H4961" s="10"/>
      <c r="I4961" s="17"/>
      <c r="J4961" s="10"/>
      <c r="K4961" s="46"/>
      <c r="L4961" s="10"/>
      <c r="M4961" s="20"/>
      <c r="N4961" s="20"/>
      <c r="O4961" s="20"/>
      <c r="P4961" s="20"/>
    </row>
    <row r="4962">
      <c r="A4962" s="23"/>
      <c r="B4962" s="21"/>
      <c r="C4962" s="23"/>
      <c r="D4962" s="24"/>
      <c r="E4962" s="14"/>
      <c r="F4962" s="14"/>
      <c r="G4962" s="14"/>
      <c r="H4962" s="23"/>
      <c r="I4962" s="27"/>
      <c r="J4962" s="23"/>
      <c r="K4962" s="30"/>
      <c r="L4962" s="23"/>
      <c r="M4962" s="20"/>
      <c r="N4962" s="20"/>
      <c r="O4962" s="20"/>
      <c r="P4962" s="20"/>
    </row>
    <row r="4963">
      <c r="A4963" s="10"/>
      <c r="B4963" s="11"/>
      <c r="C4963" s="10"/>
      <c r="D4963" s="13"/>
      <c r="E4963" s="14"/>
      <c r="F4963" s="14"/>
      <c r="G4963" s="14"/>
      <c r="H4963" s="10"/>
      <c r="I4963" s="17"/>
      <c r="J4963" s="10"/>
      <c r="K4963" s="46"/>
      <c r="L4963" s="10"/>
      <c r="M4963" s="20"/>
      <c r="N4963" s="20"/>
      <c r="O4963" s="20"/>
      <c r="P4963" s="20"/>
    </row>
    <row r="4964">
      <c r="A4964" s="23"/>
      <c r="B4964" s="21"/>
      <c r="C4964" s="23"/>
      <c r="D4964" s="24"/>
      <c r="E4964" s="14"/>
      <c r="F4964" s="14"/>
      <c r="G4964" s="14"/>
      <c r="H4964" s="23"/>
      <c r="I4964" s="27"/>
      <c r="J4964" s="23"/>
      <c r="K4964" s="30"/>
      <c r="L4964" s="23"/>
      <c r="M4964" s="20"/>
      <c r="N4964" s="20"/>
      <c r="O4964" s="20"/>
      <c r="P4964" s="20"/>
    </row>
    <row r="4965">
      <c r="A4965" s="10"/>
      <c r="B4965" s="11"/>
      <c r="C4965" s="10"/>
      <c r="D4965" s="13"/>
      <c r="E4965" s="14"/>
      <c r="F4965" s="14"/>
      <c r="G4965" s="14"/>
      <c r="H4965" s="10"/>
      <c r="I4965" s="17"/>
      <c r="J4965" s="10"/>
      <c r="K4965" s="46"/>
      <c r="L4965" s="10"/>
      <c r="M4965" s="20"/>
      <c r="N4965" s="20"/>
      <c r="O4965" s="20"/>
      <c r="P4965" s="20"/>
    </row>
    <row r="4966">
      <c r="A4966" s="23"/>
      <c r="B4966" s="21"/>
      <c r="C4966" s="23"/>
      <c r="D4966" s="24"/>
      <c r="E4966" s="14"/>
      <c r="F4966" s="14"/>
      <c r="G4966" s="14"/>
      <c r="H4966" s="23"/>
      <c r="I4966" s="27"/>
      <c r="J4966" s="23"/>
      <c r="K4966" s="30"/>
      <c r="L4966" s="23"/>
      <c r="M4966" s="20"/>
      <c r="N4966" s="20"/>
      <c r="O4966" s="20"/>
      <c r="P4966" s="20"/>
    </row>
    <row r="4967">
      <c r="A4967" s="10"/>
      <c r="B4967" s="11"/>
      <c r="C4967" s="10"/>
      <c r="D4967" s="13"/>
      <c r="E4967" s="14"/>
      <c r="F4967" s="14"/>
      <c r="G4967" s="14"/>
      <c r="H4967" s="10"/>
      <c r="I4967" s="17"/>
      <c r="J4967" s="10"/>
      <c r="K4967" s="46"/>
      <c r="L4967" s="10"/>
      <c r="M4967" s="20"/>
      <c r="N4967" s="20"/>
      <c r="O4967" s="20"/>
      <c r="P4967" s="20"/>
    </row>
    <row r="4968">
      <c r="A4968" s="23"/>
      <c r="B4968" s="21"/>
      <c r="C4968" s="23"/>
      <c r="D4968" s="24"/>
      <c r="E4968" s="14"/>
      <c r="F4968" s="14"/>
      <c r="G4968" s="14"/>
      <c r="H4968" s="23"/>
      <c r="I4968" s="27"/>
      <c r="J4968" s="23"/>
      <c r="K4968" s="30"/>
      <c r="L4968" s="23"/>
      <c r="M4968" s="20"/>
      <c r="N4968" s="20"/>
      <c r="O4968" s="20"/>
      <c r="P4968" s="20"/>
    </row>
    <row r="4969">
      <c r="A4969" s="10"/>
      <c r="B4969" s="11"/>
      <c r="C4969" s="10"/>
      <c r="D4969" s="13"/>
      <c r="E4969" s="14"/>
      <c r="F4969" s="14"/>
      <c r="G4969" s="14"/>
      <c r="H4969" s="10"/>
      <c r="I4969" s="17"/>
      <c r="J4969" s="10"/>
      <c r="K4969" s="46"/>
      <c r="L4969" s="10"/>
      <c r="M4969" s="20"/>
      <c r="N4969" s="20"/>
      <c r="O4969" s="20"/>
      <c r="P4969" s="20"/>
    </row>
    <row r="4970">
      <c r="A4970" s="23"/>
      <c r="B4970" s="21"/>
      <c r="C4970" s="23"/>
      <c r="D4970" s="24"/>
      <c r="E4970" s="14"/>
      <c r="F4970" s="14"/>
      <c r="G4970" s="14"/>
      <c r="H4970" s="23"/>
      <c r="I4970" s="27"/>
      <c r="J4970" s="23"/>
      <c r="K4970" s="30"/>
      <c r="L4970" s="23"/>
      <c r="M4970" s="20"/>
      <c r="N4970" s="20"/>
      <c r="O4970" s="20"/>
      <c r="P4970" s="20"/>
    </row>
    <row r="4971">
      <c r="A4971" s="10"/>
      <c r="B4971" s="11"/>
      <c r="C4971" s="10"/>
      <c r="D4971" s="13"/>
      <c r="E4971" s="14"/>
      <c r="F4971" s="14"/>
      <c r="G4971" s="14"/>
      <c r="H4971" s="10"/>
      <c r="I4971" s="17"/>
      <c r="J4971" s="10"/>
      <c r="K4971" s="46"/>
      <c r="L4971" s="10"/>
      <c r="M4971" s="20"/>
      <c r="N4971" s="20"/>
      <c r="O4971" s="20"/>
      <c r="P4971" s="20"/>
    </row>
    <row r="4972">
      <c r="A4972" s="23"/>
      <c r="B4972" s="21"/>
      <c r="C4972" s="23"/>
      <c r="D4972" s="24"/>
      <c r="E4972" s="14"/>
      <c r="F4972" s="14"/>
      <c r="G4972" s="14"/>
      <c r="H4972" s="23"/>
      <c r="I4972" s="27"/>
      <c r="J4972" s="23"/>
      <c r="K4972" s="30"/>
      <c r="L4972" s="23"/>
      <c r="M4972" s="20"/>
      <c r="N4972" s="20"/>
      <c r="O4972" s="20"/>
      <c r="P4972" s="20"/>
    </row>
    <row r="4973">
      <c r="A4973" s="10"/>
      <c r="B4973" s="11"/>
      <c r="C4973" s="10"/>
      <c r="D4973" s="13"/>
      <c r="E4973" s="14"/>
      <c r="F4973" s="14"/>
      <c r="G4973" s="14"/>
      <c r="H4973" s="10"/>
      <c r="I4973" s="17"/>
      <c r="J4973" s="10"/>
      <c r="K4973" s="46"/>
      <c r="L4973" s="10"/>
      <c r="M4973" s="20"/>
      <c r="N4973" s="20"/>
      <c r="O4973" s="20"/>
      <c r="P4973" s="20"/>
    </row>
    <row r="4974">
      <c r="A4974" s="23"/>
      <c r="B4974" s="21"/>
      <c r="C4974" s="23"/>
      <c r="D4974" s="24"/>
      <c r="E4974" s="14"/>
      <c r="F4974" s="14"/>
      <c r="G4974" s="14"/>
      <c r="H4974" s="23"/>
      <c r="I4974" s="27"/>
      <c r="J4974" s="23"/>
      <c r="K4974" s="30"/>
      <c r="L4974" s="23"/>
      <c r="M4974" s="20"/>
      <c r="N4974" s="20"/>
      <c r="O4974" s="20"/>
      <c r="P4974" s="20"/>
    </row>
    <row r="4975">
      <c r="A4975" s="10"/>
      <c r="B4975" s="11"/>
      <c r="C4975" s="10"/>
      <c r="D4975" s="13"/>
      <c r="E4975" s="14"/>
      <c r="F4975" s="14"/>
      <c r="G4975" s="14"/>
      <c r="H4975" s="10"/>
      <c r="I4975" s="17"/>
      <c r="J4975" s="10"/>
      <c r="K4975" s="46"/>
      <c r="L4975" s="10"/>
      <c r="M4975" s="20"/>
      <c r="N4975" s="20"/>
      <c r="O4975" s="20"/>
      <c r="P4975" s="20"/>
    </row>
    <row r="4976">
      <c r="A4976" s="23"/>
      <c r="B4976" s="21"/>
      <c r="C4976" s="23"/>
      <c r="D4976" s="24"/>
      <c r="E4976" s="14"/>
      <c r="F4976" s="14"/>
      <c r="G4976" s="14"/>
      <c r="H4976" s="23"/>
      <c r="I4976" s="27"/>
      <c r="J4976" s="23"/>
      <c r="K4976" s="30"/>
      <c r="L4976" s="23"/>
      <c r="M4976" s="20"/>
      <c r="N4976" s="20"/>
      <c r="O4976" s="20"/>
      <c r="P4976" s="20"/>
    </row>
    <row r="4977">
      <c r="A4977" s="10"/>
      <c r="B4977" s="11"/>
      <c r="C4977" s="10"/>
      <c r="D4977" s="13"/>
      <c r="E4977" s="14"/>
      <c r="F4977" s="14"/>
      <c r="G4977" s="14"/>
      <c r="H4977" s="10"/>
      <c r="I4977" s="17"/>
      <c r="J4977" s="10"/>
      <c r="K4977" s="46"/>
      <c r="L4977" s="10"/>
      <c r="M4977" s="20"/>
      <c r="N4977" s="20"/>
      <c r="O4977" s="20"/>
      <c r="P4977" s="20"/>
    </row>
    <row r="4978">
      <c r="A4978" s="23"/>
      <c r="B4978" s="21"/>
      <c r="C4978" s="23"/>
      <c r="D4978" s="24"/>
      <c r="E4978" s="14"/>
      <c r="F4978" s="14"/>
      <c r="G4978" s="14"/>
      <c r="H4978" s="23"/>
      <c r="I4978" s="27"/>
      <c r="J4978" s="23"/>
      <c r="K4978" s="30"/>
      <c r="L4978" s="23"/>
      <c r="M4978" s="20"/>
      <c r="N4978" s="20"/>
      <c r="O4978" s="20"/>
      <c r="P4978" s="20"/>
    </row>
    <row r="4979">
      <c r="A4979" s="10"/>
      <c r="B4979" s="11"/>
      <c r="C4979" s="10"/>
      <c r="D4979" s="13"/>
      <c r="E4979" s="14"/>
      <c r="F4979" s="14"/>
      <c r="G4979" s="14"/>
      <c r="H4979" s="10"/>
      <c r="I4979" s="17"/>
      <c r="J4979" s="10"/>
      <c r="K4979" s="46"/>
      <c r="L4979" s="10"/>
      <c r="M4979" s="20"/>
      <c r="N4979" s="20"/>
      <c r="O4979" s="20"/>
      <c r="P4979" s="20"/>
    </row>
    <row r="4980">
      <c r="A4980" s="23"/>
      <c r="B4980" s="21"/>
      <c r="C4980" s="23"/>
      <c r="D4980" s="24"/>
      <c r="E4980" s="14"/>
      <c r="F4980" s="14"/>
      <c r="G4980" s="14"/>
      <c r="H4980" s="23"/>
      <c r="I4980" s="27"/>
      <c r="J4980" s="23"/>
      <c r="K4980" s="30"/>
      <c r="L4980" s="23"/>
      <c r="M4980" s="20"/>
      <c r="N4980" s="20"/>
      <c r="O4980" s="20"/>
      <c r="P4980" s="20"/>
    </row>
    <row r="4981">
      <c r="A4981" s="10"/>
      <c r="B4981" s="11"/>
      <c r="C4981" s="10"/>
      <c r="D4981" s="13"/>
      <c r="E4981" s="14"/>
      <c r="F4981" s="14"/>
      <c r="G4981" s="14"/>
      <c r="H4981" s="10"/>
      <c r="I4981" s="17"/>
      <c r="J4981" s="10"/>
      <c r="K4981" s="46"/>
      <c r="L4981" s="10"/>
      <c r="M4981" s="20"/>
      <c r="N4981" s="20"/>
      <c r="O4981" s="20"/>
      <c r="P4981" s="20"/>
    </row>
    <row r="4982">
      <c r="A4982" s="23"/>
      <c r="B4982" s="21"/>
      <c r="C4982" s="23"/>
      <c r="D4982" s="24"/>
      <c r="E4982" s="14"/>
      <c r="F4982" s="14"/>
      <c r="G4982" s="14"/>
      <c r="H4982" s="23"/>
      <c r="I4982" s="27"/>
      <c r="J4982" s="23"/>
      <c r="K4982" s="30"/>
      <c r="L4982" s="23"/>
      <c r="M4982" s="20"/>
      <c r="N4982" s="20"/>
      <c r="O4982" s="20"/>
      <c r="P4982" s="20"/>
    </row>
    <row r="4983">
      <c r="A4983" s="10"/>
      <c r="B4983" s="11"/>
      <c r="C4983" s="10"/>
      <c r="D4983" s="13"/>
      <c r="E4983" s="14"/>
      <c r="F4983" s="14"/>
      <c r="G4983" s="14"/>
      <c r="H4983" s="10"/>
      <c r="I4983" s="17"/>
      <c r="J4983" s="10"/>
      <c r="K4983" s="46"/>
      <c r="L4983" s="10"/>
      <c r="M4983" s="20"/>
      <c r="N4983" s="20"/>
      <c r="O4983" s="20"/>
      <c r="P4983" s="20"/>
    </row>
    <row r="4984">
      <c r="A4984" s="23"/>
      <c r="B4984" s="21"/>
      <c r="C4984" s="23"/>
      <c r="D4984" s="24"/>
      <c r="E4984" s="14"/>
      <c r="F4984" s="14"/>
      <c r="G4984" s="14"/>
      <c r="H4984" s="23"/>
      <c r="I4984" s="27"/>
      <c r="J4984" s="23"/>
      <c r="K4984" s="30"/>
      <c r="L4984" s="23"/>
      <c r="M4984" s="20"/>
      <c r="N4984" s="20"/>
      <c r="O4984" s="20"/>
      <c r="P4984" s="20"/>
    </row>
    <row r="4985">
      <c r="A4985" s="10"/>
      <c r="B4985" s="11"/>
      <c r="C4985" s="10"/>
      <c r="D4985" s="13"/>
      <c r="E4985" s="14"/>
      <c r="F4985" s="14"/>
      <c r="G4985" s="14"/>
      <c r="H4985" s="10"/>
      <c r="I4985" s="17"/>
      <c r="J4985" s="10"/>
      <c r="K4985" s="46"/>
      <c r="L4985" s="10"/>
      <c r="M4985" s="20"/>
      <c r="N4985" s="20"/>
      <c r="O4985" s="20"/>
      <c r="P4985" s="20"/>
    </row>
    <row r="4986">
      <c r="A4986" s="23"/>
      <c r="B4986" s="21"/>
      <c r="C4986" s="23"/>
      <c r="D4986" s="24"/>
      <c r="E4986" s="14"/>
      <c r="F4986" s="14"/>
      <c r="G4986" s="14"/>
      <c r="H4986" s="23"/>
      <c r="I4986" s="27"/>
      <c r="J4986" s="23"/>
      <c r="K4986" s="30"/>
      <c r="L4986" s="23"/>
      <c r="M4986" s="20"/>
      <c r="N4986" s="20"/>
      <c r="O4986" s="20"/>
      <c r="P4986" s="20"/>
    </row>
    <row r="4987">
      <c r="A4987" s="10"/>
      <c r="B4987" s="11"/>
      <c r="C4987" s="10"/>
      <c r="D4987" s="13"/>
      <c r="E4987" s="14"/>
      <c r="F4987" s="14"/>
      <c r="G4987" s="14"/>
      <c r="H4987" s="10"/>
      <c r="I4987" s="17"/>
      <c r="J4987" s="10"/>
      <c r="K4987" s="46"/>
      <c r="L4987" s="10"/>
      <c r="M4987" s="20"/>
      <c r="N4987" s="20"/>
      <c r="O4987" s="20"/>
      <c r="P4987" s="20"/>
    </row>
    <row r="4988">
      <c r="A4988" s="23"/>
      <c r="B4988" s="21"/>
      <c r="C4988" s="23"/>
      <c r="D4988" s="24"/>
      <c r="E4988" s="14"/>
      <c r="F4988" s="14"/>
      <c r="G4988" s="14"/>
      <c r="H4988" s="23"/>
      <c r="I4988" s="27"/>
      <c r="J4988" s="23"/>
      <c r="K4988" s="30"/>
      <c r="L4988" s="23"/>
      <c r="M4988" s="20"/>
      <c r="N4988" s="20"/>
      <c r="O4988" s="20"/>
      <c r="P4988" s="20"/>
    </row>
    <row r="4989">
      <c r="A4989" s="10"/>
      <c r="B4989" s="11"/>
      <c r="C4989" s="10"/>
      <c r="D4989" s="13"/>
      <c r="E4989" s="14"/>
      <c r="F4989" s="14"/>
      <c r="G4989" s="14"/>
      <c r="H4989" s="10"/>
      <c r="I4989" s="17"/>
      <c r="J4989" s="10"/>
      <c r="K4989" s="46"/>
      <c r="L4989" s="10"/>
      <c r="M4989" s="20"/>
      <c r="N4989" s="20"/>
      <c r="O4989" s="20"/>
      <c r="P4989" s="20"/>
    </row>
    <row r="4990">
      <c r="A4990" s="23"/>
      <c r="B4990" s="21"/>
      <c r="C4990" s="23"/>
      <c r="D4990" s="24"/>
      <c r="E4990" s="14"/>
      <c r="F4990" s="14"/>
      <c r="G4990" s="14"/>
      <c r="H4990" s="23"/>
      <c r="I4990" s="27"/>
      <c r="J4990" s="23"/>
      <c r="K4990" s="30"/>
      <c r="L4990" s="23"/>
      <c r="M4990" s="20"/>
      <c r="N4990" s="20"/>
      <c r="O4990" s="20"/>
      <c r="P4990" s="20"/>
    </row>
    <row r="4991">
      <c r="A4991" s="10"/>
      <c r="B4991" s="11"/>
      <c r="C4991" s="10"/>
      <c r="D4991" s="13"/>
      <c r="E4991" s="14"/>
      <c r="F4991" s="14"/>
      <c r="G4991" s="14"/>
      <c r="H4991" s="10"/>
      <c r="I4991" s="17"/>
      <c r="J4991" s="10"/>
      <c r="K4991" s="46"/>
      <c r="L4991" s="10"/>
      <c r="M4991" s="20"/>
      <c r="N4991" s="20"/>
      <c r="O4991" s="20"/>
      <c r="P4991" s="20"/>
    </row>
    <row r="4992">
      <c r="A4992" s="23"/>
      <c r="B4992" s="21"/>
      <c r="C4992" s="23"/>
      <c r="D4992" s="24"/>
      <c r="E4992" s="14"/>
      <c r="F4992" s="14"/>
      <c r="G4992" s="14"/>
      <c r="H4992" s="23"/>
      <c r="I4992" s="27"/>
      <c r="J4992" s="23"/>
      <c r="K4992" s="30"/>
      <c r="L4992" s="23"/>
      <c r="M4992" s="20"/>
      <c r="N4992" s="20"/>
      <c r="O4992" s="20"/>
      <c r="P4992" s="20"/>
    </row>
    <row r="4993">
      <c r="A4993" s="10"/>
      <c r="B4993" s="11"/>
      <c r="C4993" s="10"/>
      <c r="D4993" s="13"/>
      <c r="E4993" s="14"/>
      <c r="F4993" s="14"/>
      <c r="G4993" s="14"/>
      <c r="H4993" s="10"/>
      <c r="I4993" s="17"/>
      <c r="J4993" s="10"/>
      <c r="K4993" s="46"/>
      <c r="L4993" s="10"/>
      <c r="M4993" s="20"/>
      <c r="N4993" s="20"/>
      <c r="O4993" s="20"/>
      <c r="P4993" s="20"/>
    </row>
    <row r="4994">
      <c r="A4994" s="23"/>
      <c r="B4994" s="21"/>
      <c r="C4994" s="23"/>
      <c r="D4994" s="24"/>
      <c r="E4994" s="14"/>
      <c r="F4994" s="14"/>
      <c r="G4994" s="14"/>
      <c r="H4994" s="23"/>
      <c r="I4994" s="27"/>
      <c r="J4994" s="23"/>
      <c r="K4994" s="30"/>
      <c r="L4994" s="23"/>
      <c r="M4994" s="20"/>
      <c r="N4994" s="20"/>
      <c r="O4994" s="20"/>
      <c r="P4994" s="20"/>
    </row>
    <row r="4995">
      <c r="A4995" s="10"/>
      <c r="B4995" s="11"/>
      <c r="C4995" s="10"/>
      <c r="D4995" s="13"/>
      <c r="E4995" s="14"/>
      <c r="F4995" s="14"/>
      <c r="G4995" s="14"/>
      <c r="H4995" s="10"/>
      <c r="I4995" s="17"/>
      <c r="J4995" s="10"/>
      <c r="K4995" s="46"/>
      <c r="L4995" s="10"/>
      <c r="M4995" s="20"/>
      <c r="N4995" s="20"/>
      <c r="O4995" s="20"/>
      <c r="P4995" s="20"/>
    </row>
    <row r="4996">
      <c r="A4996" s="23"/>
      <c r="B4996" s="21"/>
      <c r="C4996" s="23"/>
      <c r="D4996" s="24"/>
      <c r="E4996" s="14"/>
      <c r="F4996" s="14"/>
      <c r="G4996" s="14"/>
      <c r="H4996" s="23"/>
      <c r="I4996" s="27"/>
      <c r="J4996" s="23"/>
      <c r="K4996" s="30"/>
      <c r="L4996" s="23"/>
      <c r="M4996" s="20"/>
      <c r="N4996" s="20"/>
      <c r="O4996" s="20"/>
      <c r="P4996" s="20"/>
    </row>
    <row r="4997">
      <c r="A4997" s="10"/>
      <c r="B4997" s="11"/>
      <c r="C4997" s="10"/>
      <c r="D4997" s="13"/>
      <c r="E4997" s="14"/>
      <c r="F4997" s="14"/>
      <c r="G4997" s="14"/>
      <c r="H4997" s="10"/>
      <c r="I4997" s="17"/>
      <c r="J4997" s="10"/>
      <c r="K4997" s="46"/>
      <c r="L4997" s="10"/>
      <c r="M4997" s="20"/>
      <c r="N4997" s="20"/>
      <c r="O4997" s="20"/>
      <c r="P4997" s="20"/>
    </row>
    <row r="4998">
      <c r="A4998" s="23"/>
      <c r="B4998" s="21"/>
      <c r="C4998" s="23"/>
      <c r="D4998" s="24"/>
      <c r="E4998" s="14"/>
      <c r="F4998" s="14"/>
      <c r="G4998" s="14"/>
      <c r="H4998" s="23"/>
      <c r="I4998" s="27"/>
      <c r="J4998" s="23"/>
      <c r="K4998" s="30"/>
      <c r="L4998" s="23"/>
      <c r="M4998" s="20"/>
      <c r="N4998" s="20"/>
      <c r="O4998" s="20"/>
      <c r="P4998" s="20"/>
    </row>
    <row r="4999">
      <c r="A4999" s="10"/>
      <c r="B4999" s="11"/>
      <c r="C4999" s="10"/>
      <c r="D4999" s="13"/>
      <c r="E4999" s="14"/>
      <c r="F4999" s="14"/>
      <c r="G4999" s="14"/>
      <c r="H4999" s="10"/>
      <c r="I4999" s="17"/>
      <c r="J4999" s="10"/>
      <c r="K4999" s="46"/>
      <c r="L4999" s="10"/>
      <c r="M4999" s="20"/>
      <c r="N4999" s="20"/>
      <c r="O4999" s="20"/>
      <c r="P4999" s="20"/>
    </row>
    <row r="5000">
      <c r="A5000" s="23"/>
      <c r="B5000" s="21"/>
      <c r="C5000" s="23"/>
      <c r="D5000" s="24"/>
      <c r="E5000" s="14"/>
      <c r="F5000" s="14"/>
      <c r="G5000" s="14"/>
      <c r="H5000" s="23"/>
      <c r="I5000" s="27"/>
      <c r="J5000" s="23"/>
      <c r="K5000" s="30"/>
      <c r="L5000" s="23"/>
      <c r="M5000" s="20"/>
      <c r="N5000" s="20"/>
      <c r="O5000" s="20"/>
      <c r="P5000" s="20"/>
    </row>
    <row r="5001">
      <c r="A5001" s="10"/>
      <c r="B5001" s="11"/>
      <c r="C5001" s="10"/>
      <c r="D5001" s="13"/>
      <c r="E5001" s="14"/>
      <c r="F5001" s="14"/>
      <c r="G5001" s="14"/>
      <c r="H5001" s="10"/>
      <c r="I5001" s="17"/>
      <c r="J5001" s="10"/>
      <c r="K5001" s="46"/>
      <c r="L5001" s="10"/>
      <c r="M5001" s="20"/>
      <c r="N5001" s="20"/>
      <c r="O5001" s="20"/>
      <c r="P5001" s="20"/>
    </row>
    <row r="5002">
      <c r="A5002" s="23"/>
      <c r="B5002" s="21"/>
      <c r="C5002" s="23"/>
      <c r="D5002" s="24"/>
      <c r="E5002" s="14"/>
      <c r="F5002" s="14"/>
      <c r="G5002" s="14"/>
      <c r="H5002" s="23"/>
      <c r="I5002" s="27"/>
      <c r="J5002" s="23"/>
      <c r="K5002" s="30"/>
      <c r="L5002" s="23"/>
      <c r="M5002" s="20"/>
      <c r="N5002" s="20"/>
      <c r="O5002" s="20"/>
      <c r="P5002" s="20"/>
    </row>
    <row r="5003">
      <c r="A5003" s="10"/>
      <c r="B5003" s="11"/>
      <c r="C5003" s="10"/>
      <c r="D5003" s="13"/>
      <c r="E5003" s="14"/>
      <c r="F5003" s="14"/>
      <c r="G5003" s="14"/>
      <c r="H5003" s="10"/>
      <c r="I5003" s="17"/>
      <c r="J5003" s="10"/>
      <c r="K5003" s="46"/>
      <c r="L5003" s="10"/>
      <c r="M5003" s="20"/>
      <c r="N5003" s="20"/>
      <c r="O5003" s="20"/>
      <c r="P5003" s="20"/>
    </row>
    <row r="5004">
      <c r="A5004" s="23"/>
      <c r="B5004" s="21"/>
      <c r="C5004" s="23"/>
      <c r="D5004" s="24"/>
      <c r="E5004" s="14"/>
      <c r="F5004" s="14"/>
      <c r="G5004" s="14"/>
      <c r="H5004" s="23"/>
      <c r="I5004" s="27"/>
      <c r="J5004" s="23"/>
      <c r="K5004" s="30"/>
      <c r="L5004" s="23"/>
      <c r="M5004" s="20"/>
      <c r="N5004" s="20"/>
      <c r="O5004" s="20"/>
      <c r="P5004" s="20"/>
    </row>
    <row r="5005">
      <c r="A5005" s="10"/>
      <c r="B5005" s="11"/>
      <c r="C5005" s="10"/>
      <c r="D5005" s="13"/>
      <c r="E5005" s="14"/>
      <c r="F5005" s="14"/>
      <c r="G5005" s="14"/>
      <c r="H5005" s="10"/>
      <c r="I5005" s="17"/>
      <c r="J5005" s="10"/>
      <c r="K5005" s="46"/>
      <c r="L5005" s="10"/>
      <c r="M5005" s="20"/>
      <c r="N5005" s="20"/>
      <c r="O5005" s="20"/>
      <c r="P5005" s="20"/>
    </row>
    <row r="5006">
      <c r="A5006" s="23"/>
      <c r="B5006" s="21"/>
      <c r="C5006" s="23"/>
      <c r="D5006" s="24"/>
      <c r="E5006" s="14"/>
      <c r="F5006" s="14"/>
      <c r="G5006" s="14"/>
      <c r="H5006" s="23"/>
      <c r="I5006" s="27"/>
      <c r="J5006" s="23"/>
      <c r="K5006" s="30"/>
      <c r="L5006" s="23"/>
      <c r="M5006" s="20"/>
      <c r="N5006" s="20"/>
      <c r="O5006" s="20"/>
      <c r="P5006" s="20"/>
    </row>
    <row r="5007">
      <c r="A5007" s="10"/>
      <c r="B5007" s="11"/>
      <c r="C5007" s="10"/>
      <c r="D5007" s="13"/>
      <c r="E5007" s="14"/>
      <c r="F5007" s="14"/>
      <c r="G5007" s="14"/>
      <c r="H5007" s="10"/>
      <c r="I5007" s="17"/>
      <c r="J5007" s="10"/>
      <c r="K5007" s="46"/>
      <c r="L5007" s="10"/>
      <c r="M5007" s="20"/>
      <c r="N5007" s="20"/>
      <c r="O5007" s="20"/>
      <c r="P5007" s="20"/>
    </row>
    <row r="5008">
      <c r="A5008" s="23"/>
      <c r="B5008" s="21"/>
      <c r="C5008" s="23"/>
      <c r="D5008" s="24"/>
      <c r="E5008" s="14"/>
      <c r="F5008" s="14"/>
      <c r="G5008" s="14"/>
      <c r="H5008" s="23"/>
      <c r="I5008" s="27"/>
      <c r="J5008" s="23"/>
      <c r="K5008" s="30"/>
      <c r="L5008" s="23"/>
      <c r="M5008" s="20"/>
      <c r="N5008" s="20"/>
      <c r="O5008" s="20"/>
      <c r="P5008" s="20"/>
    </row>
    <row r="5009">
      <c r="A5009" s="10"/>
      <c r="B5009" s="11"/>
      <c r="C5009" s="10"/>
      <c r="D5009" s="13"/>
      <c r="E5009" s="14"/>
      <c r="F5009" s="14"/>
      <c r="G5009" s="14"/>
      <c r="H5009" s="10"/>
      <c r="I5009" s="17"/>
      <c r="J5009" s="10"/>
      <c r="K5009" s="46"/>
      <c r="L5009" s="10"/>
      <c r="M5009" s="20"/>
      <c r="N5009" s="20"/>
      <c r="O5009" s="20"/>
      <c r="P5009" s="20"/>
    </row>
    <row r="5010">
      <c r="A5010" s="23"/>
      <c r="B5010" s="21"/>
      <c r="C5010" s="23"/>
      <c r="D5010" s="24"/>
      <c r="E5010" s="14"/>
      <c r="F5010" s="14"/>
      <c r="G5010" s="14"/>
      <c r="H5010" s="23"/>
      <c r="I5010" s="27"/>
      <c r="J5010" s="23"/>
      <c r="K5010" s="30"/>
      <c r="L5010" s="23"/>
      <c r="M5010" s="20"/>
      <c r="N5010" s="20"/>
      <c r="O5010" s="20"/>
      <c r="P5010" s="20"/>
    </row>
    <row r="5011">
      <c r="A5011" s="10"/>
      <c r="B5011" s="11"/>
      <c r="C5011" s="10"/>
      <c r="D5011" s="13"/>
      <c r="E5011" s="14"/>
      <c r="F5011" s="14"/>
      <c r="G5011" s="14"/>
      <c r="H5011" s="10"/>
      <c r="I5011" s="17"/>
      <c r="J5011" s="10"/>
      <c r="K5011" s="46"/>
      <c r="L5011" s="10"/>
      <c r="M5011" s="20"/>
      <c r="N5011" s="20"/>
      <c r="O5011" s="20"/>
      <c r="P5011" s="20"/>
    </row>
    <row r="5012">
      <c r="A5012" s="23"/>
      <c r="B5012" s="21"/>
      <c r="C5012" s="23"/>
      <c r="D5012" s="24"/>
      <c r="E5012" s="14"/>
      <c r="F5012" s="14"/>
      <c r="G5012" s="14"/>
      <c r="H5012" s="23"/>
      <c r="I5012" s="27"/>
      <c r="J5012" s="23"/>
      <c r="K5012" s="30"/>
      <c r="L5012" s="23"/>
      <c r="M5012" s="20"/>
      <c r="N5012" s="20"/>
      <c r="O5012" s="20"/>
      <c r="P5012" s="20"/>
    </row>
    <row r="5013">
      <c r="A5013" s="10"/>
      <c r="B5013" s="11"/>
      <c r="C5013" s="10"/>
      <c r="D5013" s="13"/>
      <c r="E5013" s="14"/>
      <c r="F5013" s="14"/>
      <c r="G5013" s="14"/>
      <c r="H5013" s="10"/>
      <c r="I5013" s="17"/>
      <c r="J5013" s="10"/>
      <c r="K5013" s="46"/>
      <c r="L5013" s="10"/>
      <c r="M5013" s="20"/>
      <c r="N5013" s="20"/>
      <c r="O5013" s="20"/>
      <c r="P5013" s="20"/>
    </row>
    <row r="5014">
      <c r="A5014" s="23"/>
      <c r="B5014" s="21"/>
      <c r="C5014" s="23"/>
      <c r="D5014" s="24"/>
      <c r="E5014" s="14"/>
      <c r="F5014" s="14"/>
      <c r="G5014" s="14"/>
      <c r="H5014" s="23"/>
      <c r="I5014" s="27"/>
      <c r="J5014" s="23"/>
      <c r="K5014" s="30"/>
      <c r="L5014" s="23"/>
      <c r="M5014" s="20"/>
      <c r="N5014" s="20"/>
      <c r="O5014" s="20"/>
      <c r="P5014" s="20"/>
    </row>
    <row r="5015">
      <c r="A5015" s="10"/>
      <c r="B5015" s="11"/>
      <c r="C5015" s="10"/>
      <c r="D5015" s="13"/>
      <c r="E5015" s="14"/>
      <c r="F5015" s="14"/>
      <c r="G5015" s="14"/>
      <c r="H5015" s="10"/>
      <c r="I5015" s="17"/>
      <c r="J5015" s="10"/>
      <c r="K5015" s="46"/>
      <c r="L5015" s="10"/>
      <c r="M5015" s="20"/>
      <c r="N5015" s="20"/>
      <c r="O5015" s="20"/>
      <c r="P5015" s="20"/>
    </row>
    <row r="5016">
      <c r="A5016" s="23"/>
      <c r="B5016" s="21"/>
      <c r="C5016" s="23"/>
      <c r="D5016" s="24"/>
      <c r="E5016" s="14"/>
      <c r="F5016" s="14"/>
      <c r="G5016" s="14"/>
      <c r="H5016" s="23"/>
      <c r="I5016" s="27"/>
      <c r="J5016" s="23"/>
      <c r="K5016" s="30"/>
      <c r="L5016" s="23"/>
      <c r="M5016" s="20"/>
      <c r="N5016" s="20"/>
      <c r="O5016" s="20"/>
      <c r="P5016" s="20"/>
    </row>
    <row r="5017">
      <c r="A5017" s="10"/>
      <c r="B5017" s="11"/>
      <c r="C5017" s="10"/>
      <c r="D5017" s="13"/>
      <c r="E5017" s="14"/>
      <c r="F5017" s="14"/>
      <c r="G5017" s="14"/>
      <c r="H5017" s="10"/>
      <c r="I5017" s="17"/>
      <c r="J5017" s="10"/>
      <c r="K5017" s="46"/>
      <c r="L5017" s="10"/>
      <c r="M5017" s="20"/>
      <c r="N5017" s="20"/>
      <c r="O5017" s="20"/>
      <c r="P5017" s="20"/>
    </row>
    <row r="5018">
      <c r="A5018" s="23"/>
      <c r="B5018" s="21"/>
      <c r="C5018" s="23"/>
      <c r="D5018" s="24"/>
      <c r="E5018" s="14"/>
      <c r="F5018" s="14"/>
      <c r="G5018" s="14"/>
      <c r="H5018" s="23"/>
      <c r="I5018" s="27"/>
      <c r="J5018" s="23"/>
      <c r="K5018" s="30"/>
      <c r="L5018" s="23"/>
      <c r="M5018" s="20"/>
      <c r="N5018" s="20"/>
      <c r="O5018" s="20"/>
      <c r="P5018" s="20"/>
    </row>
    <row r="5019">
      <c r="A5019" s="10"/>
      <c r="B5019" s="11"/>
      <c r="C5019" s="10"/>
      <c r="D5019" s="13"/>
      <c r="E5019" s="14"/>
      <c r="F5019" s="14"/>
      <c r="G5019" s="14"/>
      <c r="H5019" s="10"/>
      <c r="I5019" s="17"/>
      <c r="J5019" s="10"/>
      <c r="K5019" s="46"/>
      <c r="L5019" s="10"/>
      <c r="M5019" s="20"/>
      <c r="N5019" s="20"/>
      <c r="O5019" s="20"/>
      <c r="P5019" s="20"/>
    </row>
    <row r="5020">
      <c r="A5020" s="23"/>
      <c r="B5020" s="21"/>
      <c r="C5020" s="23"/>
      <c r="D5020" s="24"/>
      <c r="E5020" s="14"/>
      <c r="F5020" s="14"/>
      <c r="G5020" s="14"/>
      <c r="H5020" s="23"/>
      <c r="I5020" s="27"/>
      <c r="J5020" s="23"/>
      <c r="K5020" s="30"/>
      <c r="L5020" s="23"/>
      <c r="M5020" s="20"/>
      <c r="N5020" s="20"/>
      <c r="O5020" s="20"/>
      <c r="P5020" s="20"/>
    </row>
    <row r="5021">
      <c r="A5021" s="10"/>
      <c r="B5021" s="11"/>
      <c r="C5021" s="10"/>
      <c r="D5021" s="13"/>
      <c r="E5021" s="14"/>
      <c r="F5021" s="14"/>
      <c r="G5021" s="14"/>
      <c r="H5021" s="10"/>
      <c r="I5021" s="17"/>
      <c r="J5021" s="10"/>
      <c r="K5021" s="46"/>
      <c r="L5021" s="10"/>
      <c r="M5021" s="20"/>
      <c r="N5021" s="20"/>
      <c r="O5021" s="20"/>
      <c r="P5021" s="20"/>
    </row>
    <row r="5022">
      <c r="A5022" s="23"/>
      <c r="B5022" s="21"/>
      <c r="C5022" s="23"/>
      <c r="D5022" s="24"/>
      <c r="E5022" s="14"/>
      <c r="F5022" s="14"/>
      <c r="G5022" s="14"/>
      <c r="H5022" s="23"/>
      <c r="I5022" s="27"/>
      <c r="J5022" s="23"/>
      <c r="K5022" s="30"/>
      <c r="L5022" s="23"/>
      <c r="M5022" s="20"/>
      <c r="N5022" s="20"/>
      <c r="O5022" s="20"/>
      <c r="P5022" s="20"/>
    </row>
    <row r="5023">
      <c r="A5023" s="10"/>
      <c r="B5023" s="11"/>
      <c r="C5023" s="10"/>
      <c r="D5023" s="13"/>
      <c r="E5023" s="14"/>
      <c r="F5023" s="14"/>
      <c r="G5023" s="14"/>
      <c r="H5023" s="10"/>
      <c r="I5023" s="17"/>
      <c r="J5023" s="10"/>
      <c r="K5023" s="46"/>
      <c r="L5023" s="10"/>
      <c r="M5023" s="20"/>
      <c r="N5023" s="20"/>
      <c r="O5023" s="20"/>
      <c r="P5023" s="20"/>
    </row>
    <row r="5024">
      <c r="A5024" s="23"/>
      <c r="B5024" s="21"/>
      <c r="C5024" s="23"/>
      <c r="D5024" s="24"/>
      <c r="E5024" s="14"/>
      <c r="F5024" s="14"/>
      <c r="G5024" s="14"/>
      <c r="H5024" s="23"/>
      <c r="I5024" s="27"/>
      <c r="J5024" s="23"/>
      <c r="K5024" s="30"/>
      <c r="L5024" s="23"/>
      <c r="M5024" s="20"/>
      <c r="N5024" s="20"/>
      <c r="O5024" s="20"/>
      <c r="P5024" s="20"/>
    </row>
    <row r="5025">
      <c r="A5025" s="10"/>
      <c r="B5025" s="11"/>
      <c r="C5025" s="10"/>
      <c r="D5025" s="13"/>
      <c r="E5025" s="14"/>
      <c r="F5025" s="14"/>
      <c r="G5025" s="14"/>
      <c r="H5025" s="10"/>
      <c r="I5025" s="17"/>
      <c r="J5025" s="10"/>
      <c r="K5025" s="46"/>
      <c r="L5025" s="10"/>
      <c r="M5025" s="20"/>
      <c r="N5025" s="20"/>
      <c r="O5025" s="20"/>
      <c r="P5025" s="20"/>
    </row>
    <row r="5026">
      <c r="A5026" s="23"/>
      <c r="B5026" s="21"/>
      <c r="C5026" s="23"/>
      <c r="D5026" s="24"/>
      <c r="E5026" s="14"/>
      <c r="F5026" s="14"/>
      <c r="G5026" s="14"/>
      <c r="H5026" s="23"/>
      <c r="I5026" s="27"/>
      <c r="J5026" s="23"/>
      <c r="K5026" s="30"/>
      <c r="L5026" s="23"/>
      <c r="M5026" s="20"/>
      <c r="N5026" s="20"/>
      <c r="O5026" s="20"/>
      <c r="P5026" s="20"/>
    </row>
    <row r="5027">
      <c r="A5027" s="10"/>
      <c r="B5027" s="11"/>
      <c r="C5027" s="10"/>
      <c r="D5027" s="13"/>
      <c r="E5027" s="14"/>
      <c r="F5027" s="14"/>
      <c r="G5027" s="14"/>
      <c r="H5027" s="10"/>
      <c r="I5027" s="17"/>
      <c r="J5027" s="10"/>
      <c r="K5027" s="46"/>
      <c r="L5027" s="10"/>
      <c r="M5027" s="20"/>
      <c r="N5027" s="20"/>
      <c r="O5027" s="20"/>
      <c r="P5027" s="20"/>
    </row>
    <row r="5028">
      <c r="A5028" s="23"/>
      <c r="B5028" s="21"/>
      <c r="C5028" s="23"/>
      <c r="D5028" s="24"/>
      <c r="E5028" s="14"/>
      <c r="F5028" s="14"/>
      <c r="G5028" s="14"/>
      <c r="H5028" s="23"/>
      <c r="I5028" s="27"/>
      <c r="J5028" s="23"/>
      <c r="K5028" s="30"/>
      <c r="L5028" s="23"/>
      <c r="M5028" s="20"/>
      <c r="N5028" s="20"/>
      <c r="O5028" s="20"/>
      <c r="P5028" s="20"/>
    </row>
    <row r="5029">
      <c r="A5029" s="10"/>
      <c r="B5029" s="11"/>
      <c r="C5029" s="10"/>
      <c r="D5029" s="13"/>
      <c r="E5029" s="14"/>
      <c r="F5029" s="14"/>
      <c r="G5029" s="14"/>
      <c r="H5029" s="10"/>
      <c r="I5029" s="17"/>
      <c r="J5029" s="10"/>
      <c r="K5029" s="46"/>
      <c r="L5029" s="10"/>
      <c r="M5029" s="20"/>
      <c r="N5029" s="20"/>
      <c r="O5029" s="20"/>
      <c r="P5029" s="20"/>
    </row>
    <row r="5030">
      <c r="A5030" s="23"/>
      <c r="B5030" s="21"/>
      <c r="C5030" s="23"/>
      <c r="D5030" s="24"/>
      <c r="E5030" s="14"/>
      <c r="F5030" s="14"/>
      <c r="G5030" s="14"/>
      <c r="H5030" s="23"/>
      <c r="I5030" s="27"/>
      <c r="J5030" s="23"/>
      <c r="K5030" s="30"/>
      <c r="L5030" s="23"/>
      <c r="M5030" s="20"/>
      <c r="N5030" s="20"/>
      <c r="O5030" s="20"/>
      <c r="P5030" s="20"/>
    </row>
    <row r="5031">
      <c r="A5031" s="10"/>
      <c r="B5031" s="11"/>
      <c r="C5031" s="10"/>
      <c r="D5031" s="13"/>
      <c r="E5031" s="14"/>
      <c r="F5031" s="14"/>
      <c r="G5031" s="14"/>
      <c r="H5031" s="10"/>
      <c r="I5031" s="17"/>
      <c r="J5031" s="10"/>
      <c r="K5031" s="46"/>
      <c r="L5031" s="10"/>
      <c r="M5031" s="20"/>
      <c r="N5031" s="20"/>
      <c r="O5031" s="20"/>
      <c r="P5031" s="20"/>
    </row>
    <row r="5032">
      <c r="A5032" s="23"/>
      <c r="B5032" s="21"/>
      <c r="C5032" s="23"/>
      <c r="D5032" s="24"/>
      <c r="E5032" s="14"/>
      <c r="F5032" s="14"/>
      <c r="G5032" s="14"/>
      <c r="H5032" s="23"/>
      <c r="I5032" s="27"/>
      <c r="J5032" s="23"/>
      <c r="K5032" s="30"/>
      <c r="L5032" s="23"/>
      <c r="M5032" s="20"/>
      <c r="N5032" s="20"/>
      <c r="O5032" s="20"/>
      <c r="P5032" s="20"/>
    </row>
    <row r="5033">
      <c r="A5033" s="10"/>
      <c r="B5033" s="11"/>
      <c r="C5033" s="10"/>
      <c r="D5033" s="13"/>
      <c r="E5033" s="14"/>
      <c r="F5033" s="14"/>
      <c r="G5033" s="14"/>
      <c r="H5033" s="10"/>
      <c r="I5033" s="17"/>
      <c r="J5033" s="10"/>
      <c r="K5033" s="46"/>
      <c r="L5033" s="10"/>
      <c r="M5033" s="20"/>
      <c r="N5033" s="20"/>
      <c r="O5033" s="20"/>
      <c r="P5033" s="20"/>
    </row>
    <row r="5034">
      <c r="A5034" s="23"/>
      <c r="B5034" s="21"/>
      <c r="C5034" s="23"/>
      <c r="D5034" s="24"/>
      <c r="E5034" s="14"/>
      <c r="F5034" s="14"/>
      <c r="G5034" s="14"/>
      <c r="H5034" s="23"/>
      <c r="I5034" s="27"/>
      <c r="J5034" s="23"/>
      <c r="K5034" s="30"/>
      <c r="L5034" s="23"/>
      <c r="M5034" s="20"/>
      <c r="N5034" s="20"/>
      <c r="O5034" s="20"/>
      <c r="P5034" s="20"/>
    </row>
    <row r="5035">
      <c r="A5035" s="10"/>
      <c r="B5035" s="11"/>
      <c r="C5035" s="10"/>
      <c r="D5035" s="13"/>
      <c r="E5035" s="14"/>
      <c r="F5035" s="14"/>
      <c r="G5035" s="14"/>
      <c r="H5035" s="10"/>
      <c r="I5035" s="17"/>
      <c r="J5035" s="10"/>
      <c r="K5035" s="46"/>
      <c r="L5035" s="10"/>
      <c r="M5035" s="20"/>
      <c r="N5035" s="20"/>
      <c r="O5035" s="20"/>
      <c r="P5035" s="20"/>
    </row>
    <row r="5036">
      <c r="A5036" s="23"/>
      <c r="B5036" s="21"/>
      <c r="C5036" s="23"/>
      <c r="D5036" s="24"/>
      <c r="E5036" s="14"/>
      <c r="F5036" s="14"/>
      <c r="G5036" s="14"/>
      <c r="H5036" s="23"/>
      <c r="I5036" s="27"/>
      <c r="J5036" s="23"/>
      <c r="K5036" s="30"/>
      <c r="L5036" s="23"/>
      <c r="M5036" s="20"/>
      <c r="N5036" s="20"/>
      <c r="O5036" s="20"/>
      <c r="P5036" s="20"/>
    </row>
    <row r="5037">
      <c r="A5037" s="10"/>
      <c r="B5037" s="11"/>
      <c r="C5037" s="10"/>
      <c r="D5037" s="13"/>
      <c r="E5037" s="14"/>
      <c r="F5037" s="14"/>
      <c r="G5037" s="14"/>
      <c r="H5037" s="10"/>
      <c r="I5037" s="17"/>
      <c r="J5037" s="10"/>
      <c r="K5037" s="46"/>
      <c r="L5037" s="10"/>
      <c r="M5037" s="20"/>
      <c r="N5037" s="20"/>
      <c r="O5037" s="20"/>
      <c r="P5037" s="20"/>
    </row>
    <row r="5038">
      <c r="A5038" s="23"/>
      <c r="B5038" s="21"/>
      <c r="C5038" s="23"/>
      <c r="D5038" s="24"/>
      <c r="E5038" s="14"/>
      <c r="F5038" s="14"/>
      <c r="G5038" s="14"/>
      <c r="H5038" s="23"/>
      <c r="I5038" s="27"/>
      <c r="J5038" s="23"/>
      <c r="K5038" s="30"/>
      <c r="L5038" s="23"/>
      <c r="M5038" s="20"/>
      <c r="N5038" s="20"/>
      <c r="O5038" s="20"/>
      <c r="P5038" s="20"/>
    </row>
    <row r="5039">
      <c r="A5039" s="10"/>
      <c r="B5039" s="11"/>
      <c r="C5039" s="10"/>
      <c r="D5039" s="13"/>
      <c r="E5039" s="14"/>
      <c r="F5039" s="14"/>
      <c r="G5039" s="14"/>
      <c r="H5039" s="10"/>
      <c r="I5039" s="17"/>
      <c r="J5039" s="10"/>
      <c r="K5039" s="46"/>
      <c r="L5039" s="10"/>
      <c r="M5039" s="20"/>
      <c r="N5039" s="20"/>
      <c r="O5039" s="20"/>
      <c r="P5039" s="20"/>
    </row>
    <row r="5040">
      <c r="A5040" s="23"/>
      <c r="B5040" s="21"/>
      <c r="C5040" s="23"/>
      <c r="D5040" s="24"/>
      <c r="E5040" s="14"/>
      <c r="F5040" s="14"/>
      <c r="G5040" s="14"/>
      <c r="H5040" s="23"/>
      <c r="I5040" s="27"/>
      <c r="J5040" s="23"/>
      <c r="K5040" s="30"/>
      <c r="L5040" s="23"/>
      <c r="M5040" s="20"/>
      <c r="N5040" s="20"/>
      <c r="O5040" s="20"/>
      <c r="P5040" s="20"/>
    </row>
    <row r="5041">
      <c r="A5041" s="10"/>
      <c r="B5041" s="11"/>
      <c r="C5041" s="10"/>
      <c r="D5041" s="13"/>
      <c r="E5041" s="14"/>
      <c r="F5041" s="14"/>
      <c r="G5041" s="14"/>
      <c r="H5041" s="10"/>
      <c r="I5041" s="17"/>
      <c r="J5041" s="10"/>
      <c r="K5041" s="46"/>
      <c r="L5041" s="10"/>
      <c r="M5041" s="20"/>
      <c r="N5041" s="20"/>
      <c r="O5041" s="20"/>
      <c r="P5041" s="20"/>
    </row>
    <row r="5042">
      <c r="A5042" s="23"/>
      <c r="B5042" s="21"/>
      <c r="C5042" s="23"/>
      <c r="D5042" s="24"/>
      <c r="E5042" s="14"/>
      <c r="F5042" s="14"/>
      <c r="G5042" s="14"/>
      <c r="H5042" s="23"/>
      <c r="I5042" s="27"/>
      <c r="J5042" s="23"/>
      <c r="K5042" s="30"/>
      <c r="L5042" s="23"/>
      <c r="M5042" s="20"/>
      <c r="N5042" s="20"/>
      <c r="O5042" s="20"/>
      <c r="P5042" s="20"/>
    </row>
    <row r="5043">
      <c r="A5043" s="10"/>
      <c r="B5043" s="11"/>
      <c r="C5043" s="10"/>
      <c r="D5043" s="13"/>
      <c r="E5043" s="14"/>
      <c r="F5043" s="14"/>
      <c r="G5043" s="14"/>
      <c r="H5043" s="10"/>
      <c r="I5043" s="17"/>
      <c r="J5043" s="10"/>
      <c r="K5043" s="46"/>
      <c r="L5043" s="10"/>
      <c r="M5043" s="20"/>
      <c r="N5043" s="20"/>
      <c r="O5043" s="20"/>
      <c r="P5043" s="20"/>
    </row>
    <row r="5044">
      <c r="A5044" s="23"/>
      <c r="B5044" s="21"/>
      <c r="C5044" s="23"/>
      <c r="D5044" s="24"/>
      <c r="E5044" s="14"/>
      <c r="F5044" s="14"/>
      <c r="G5044" s="14"/>
      <c r="H5044" s="23"/>
      <c r="I5044" s="27"/>
      <c r="J5044" s="23"/>
      <c r="K5044" s="30"/>
      <c r="L5044" s="23"/>
      <c r="M5044" s="20"/>
      <c r="N5044" s="20"/>
      <c r="O5044" s="20"/>
      <c r="P5044" s="20"/>
    </row>
    <row r="5045">
      <c r="A5045" s="10"/>
      <c r="B5045" s="11"/>
      <c r="C5045" s="10"/>
      <c r="D5045" s="13"/>
      <c r="E5045" s="14"/>
      <c r="F5045" s="14"/>
      <c r="G5045" s="14"/>
      <c r="H5045" s="10"/>
      <c r="I5045" s="17"/>
      <c r="J5045" s="10"/>
      <c r="K5045" s="46"/>
      <c r="L5045" s="10"/>
      <c r="M5045" s="20"/>
      <c r="N5045" s="20"/>
      <c r="O5045" s="20"/>
      <c r="P5045" s="20"/>
    </row>
    <row r="5046">
      <c r="A5046" s="23"/>
      <c r="B5046" s="21"/>
      <c r="C5046" s="23"/>
      <c r="D5046" s="24"/>
      <c r="E5046" s="14"/>
      <c r="F5046" s="14"/>
      <c r="G5046" s="14"/>
      <c r="H5046" s="23"/>
      <c r="I5046" s="27"/>
      <c r="J5046" s="23"/>
      <c r="K5046" s="30"/>
      <c r="L5046" s="23"/>
      <c r="M5046" s="20"/>
      <c r="N5046" s="20"/>
      <c r="O5046" s="20"/>
      <c r="P5046" s="20"/>
    </row>
    <row r="5047">
      <c r="A5047" s="10"/>
      <c r="B5047" s="11"/>
      <c r="C5047" s="10"/>
      <c r="D5047" s="13"/>
      <c r="E5047" s="14"/>
      <c r="F5047" s="14"/>
      <c r="G5047" s="14"/>
      <c r="H5047" s="10"/>
      <c r="I5047" s="17"/>
      <c r="J5047" s="10"/>
      <c r="K5047" s="46"/>
      <c r="L5047" s="10"/>
      <c r="M5047" s="20"/>
      <c r="N5047" s="20"/>
      <c r="O5047" s="20"/>
      <c r="P5047" s="20"/>
    </row>
    <row r="5048">
      <c r="A5048" s="23"/>
      <c r="B5048" s="21"/>
      <c r="C5048" s="23"/>
      <c r="D5048" s="24"/>
      <c r="E5048" s="14"/>
      <c r="F5048" s="14"/>
      <c r="G5048" s="14"/>
      <c r="H5048" s="23"/>
      <c r="I5048" s="27"/>
      <c r="J5048" s="23"/>
      <c r="K5048" s="30"/>
      <c r="L5048" s="23"/>
      <c r="M5048" s="20"/>
      <c r="N5048" s="20"/>
      <c r="O5048" s="20"/>
      <c r="P5048" s="20"/>
    </row>
    <row r="5049">
      <c r="A5049" s="10"/>
      <c r="B5049" s="11"/>
      <c r="C5049" s="10"/>
      <c r="D5049" s="13"/>
      <c r="E5049" s="14"/>
      <c r="F5049" s="14"/>
      <c r="G5049" s="14"/>
      <c r="H5049" s="10"/>
      <c r="I5049" s="17"/>
      <c r="J5049" s="10"/>
      <c r="K5049" s="46"/>
      <c r="L5049" s="10"/>
      <c r="M5049" s="20"/>
      <c r="N5049" s="20"/>
      <c r="O5049" s="20"/>
      <c r="P5049" s="20"/>
    </row>
    <row r="5050">
      <c r="A5050" s="23"/>
      <c r="B5050" s="21"/>
      <c r="C5050" s="23"/>
      <c r="D5050" s="24"/>
      <c r="E5050" s="14"/>
      <c r="F5050" s="14"/>
      <c r="G5050" s="14"/>
      <c r="H5050" s="23"/>
      <c r="I5050" s="27"/>
      <c r="J5050" s="23"/>
      <c r="K5050" s="30"/>
      <c r="L5050" s="23"/>
      <c r="M5050" s="20"/>
      <c r="N5050" s="20"/>
      <c r="O5050" s="20"/>
      <c r="P5050" s="20"/>
    </row>
    <row r="5051">
      <c r="A5051" s="10"/>
      <c r="B5051" s="11"/>
      <c r="C5051" s="10"/>
      <c r="D5051" s="13"/>
      <c r="E5051" s="14"/>
      <c r="F5051" s="14"/>
      <c r="G5051" s="14"/>
      <c r="H5051" s="10"/>
      <c r="I5051" s="17"/>
      <c r="J5051" s="10"/>
      <c r="K5051" s="46"/>
      <c r="L5051" s="10"/>
      <c r="M5051" s="20"/>
      <c r="N5051" s="20"/>
      <c r="O5051" s="20"/>
      <c r="P5051" s="20"/>
    </row>
    <row r="5052">
      <c r="A5052" s="23"/>
      <c r="B5052" s="21"/>
      <c r="C5052" s="23"/>
      <c r="D5052" s="24"/>
      <c r="E5052" s="14"/>
      <c r="F5052" s="14"/>
      <c r="G5052" s="14"/>
      <c r="H5052" s="23"/>
      <c r="I5052" s="27"/>
      <c r="J5052" s="23"/>
      <c r="K5052" s="30"/>
      <c r="L5052" s="23"/>
      <c r="M5052" s="20"/>
      <c r="N5052" s="20"/>
      <c r="O5052" s="20"/>
      <c r="P5052" s="20"/>
    </row>
    <row r="5053">
      <c r="A5053" s="10"/>
      <c r="B5053" s="11"/>
      <c r="C5053" s="10"/>
      <c r="D5053" s="13"/>
      <c r="E5053" s="14"/>
      <c r="F5053" s="14"/>
      <c r="G5053" s="14"/>
      <c r="H5053" s="10"/>
      <c r="I5053" s="17"/>
      <c r="J5053" s="10"/>
      <c r="K5053" s="46"/>
      <c r="L5053" s="10"/>
      <c r="M5053" s="20"/>
      <c r="N5053" s="20"/>
      <c r="O5053" s="20"/>
      <c r="P5053" s="20"/>
    </row>
    <row r="5054">
      <c r="A5054" s="23"/>
      <c r="B5054" s="21"/>
      <c r="C5054" s="23"/>
      <c r="D5054" s="24"/>
      <c r="E5054" s="14"/>
      <c r="F5054" s="14"/>
      <c r="G5054" s="14"/>
      <c r="H5054" s="23"/>
      <c r="I5054" s="27"/>
      <c r="J5054" s="23"/>
      <c r="K5054" s="30"/>
      <c r="L5054" s="23"/>
      <c r="M5054" s="20"/>
      <c r="N5054" s="20"/>
      <c r="O5054" s="20"/>
      <c r="P5054" s="20"/>
    </row>
    <row r="5055">
      <c r="A5055" s="10"/>
      <c r="B5055" s="11"/>
      <c r="C5055" s="10"/>
      <c r="D5055" s="13"/>
      <c r="E5055" s="14"/>
      <c r="F5055" s="14"/>
      <c r="G5055" s="14"/>
      <c r="H5055" s="10"/>
      <c r="I5055" s="17"/>
      <c r="J5055" s="10"/>
      <c r="K5055" s="46"/>
      <c r="L5055" s="10"/>
      <c r="M5055" s="20"/>
      <c r="N5055" s="20"/>
      <c r="O5055" s="20"/>
      <c r="P5055" s="20"/>
    </row>
    <row r="5056">
      <c r="A5056" s="23"/>
      <c r="B5056" s="21"/>
      <c r="C5056" s="23"/>
      <c r="D5056" s="24"/>
      <c r="E5056" s="14"/>
      <c r="F5056" s="14"/>
      <c r="G5056" s="14"/>
      <c r="H5056" s="23"/>
      <c r="I5056" s="27"/>
      <c r="J5056" s="23"/>
      <c r="K5056" s="30"/>
      <c r="L5056" s="23"/>
      <c r="M5056" s="20"/>
      <c r="N5056" s="20"/>
      <c r="O5056" s="20"/>
      <c r="P5056" s="20"/>
    </row>
    <row r="5057">
      <c r="A5057" s="10"/>
      <c r="B5057" s="11"/>
      <c r="C5057" s="10"/>
      <c r="D5057" s="13"/>
      <c r="E5057" s="14"/>
      <c r="F5057" s="14"/>
      <c r="G5057" s="14"/>
      <c r="H5057" s="10"/>
      <c r="I5057" s="17"/>
      <c r="J5057" s="10"/>
      <c r="K5057" s="46"/>
      <c r="L5057" s="10"/>
      <c r="M5057" s="20"/>
      <c r="N5057" s="20"/>
      <c r="O5057" s="20"/>
      <c r="P5057" s="20"/>
    </row>
    <row r="5058">
      <c r="A5058" s="23"/>
      <c r="B5058" s="21"/>
      <c r="C5058" s="23"/>
      <c r="D5058" s="24"/>
      <c r="E5058" s="14"/>
      <c r="F5058" s="14"/>
      <c r="G5058" s="14"/>
      <c r="H5058" s="23"/>
      <c r="I5058" s="27"/>
      <c r="J5058" s="23"/>
      <c r="K5058" s="30"/>
      <c r="L5058" s="23"/>
      <c r="M5058" s="20"/>
      <c r="N5058" s="20"/>
      <c r="O5058" s="20"/>
      <c r="P5058" s="20"/>
    </row>
    <row r="5059">
      <c r="A5059" s="10"/>
      <c r="B5059" s="11"/>
      <c r="C5059" s="10"/>
      <c r="D5059" s="13"/>
      <c r="E5059" s="14"/>
      <c r="F5059" s="14"/>
      <c r="G5059" s="14"/>
      <c r="H5059" s="10"/>
      <c r="I5059" s="17"/>
      <c r="J5059" s="10"/>
      <c r="K5059" s="46"/>
      <c r="L5059" s="10"/>
      <c r="M5059" s="20"/>
      <c r="N5059" s="20"/>
      <c r="O5059" s="20"/>
      <c r="P5059" s="20"/>
    </row>
    <row r="5060">
      <c r="A5060" s="23"/>
      <c r="B5060" s="21"/>
      <c r="C5060" s="23"/>
      <c r="D5060" s="24"/>
      <c r="E5060" s="14"/>
      <c r="F5060" s="14"/>
      <c r="G5060" s="14"/>
      <c r="H5060" s="23"/>
      <c r="I5060" s="27"/>
      <c r="J5060" s="23"/>
      <c r="K5060" s="30"/>
      <c r="L5060" s="23"/>
      <c r="M5060" s="20"/>
      <c r="N5060" s="20"/>
      <c r="O5060" s="20"/>
      <c r="P5060" s="20"/>
    </row>
    <row r="5061">
      <c r="A5061" s="10"/>
      <c r="B5061" s="11"/>
      <c r="C5061" s="10"/>
      <c r="D5061" s="13"/>
      <c r="E5061" s="14"/>
      <c r="F5061" s="14"/>
      <c r="G5061" s="14"/>
      <c r="H5061" s="10"/>
      <c r="I5061" s="17"/>
      <c r="J5061" s="10"/>
      <c r="K5061" s="46"/>
      <c r="L5061" s="10"/>
      <c r="M5061" s="20"/>
      <c r="N5061" s="20"/>
      <c r="O5061" s="20"/>
      <c r="P5061" s="20"/>
    </row>
    <row r="5062">
      <c r="A5062" s="23"/>
      <c r="B5062" s="21"/>
      <c r="C5062" s="23"/>
      <c r="D5062" s="24"/>
      <c r="E5062" s="14"/>
      <c r="F5062" s="14"/>
      <c r="G5062" s="14"/>
      <c r="H5062" s="23"/>
      <c r="I5062" s="27"/>
      <c r="J5062" s="23"/>
      <c r="K5062" s="30"/>
      <c r="L5062" s="23"/>
      <c r="M5062" s="20"/>
      <c r="N5062" s="20"/>
      <c r="O5062" s="20"/>
      <c r="P5062" s="20"/>
    </row>
    <row r="5063">
      <c r="A5063" s="10"/>
      <c r="B5063" s="11"/>
      <c r="C5063" s="10"/>
      <c r="D5063" s="13"/>
      <c r="E5063" s="14"/>
      <c r="F5063" s="14"/>
      <c r="G5063" s="14"/>
      <c r="H5063" s="10"/>
      <c r="I5063" s="17"/>
      <c r="J5063" s="10"/>
      <c r="K5063" s="46"/>
      <c r="L5063" s="10"/>
      <c r="M5063" s="20"/>
      <c r="N5063" s="20"/>
      <c r="O5063" s="20"/>
      <c r="P5063" s="20"/>
    </row>
    <row r="5064">
      <c r="A5064" s="23"/>
      <c r="B5064" s="21"/>
      <c r="C5064" s="23"/>
      <c r="D5064" s="24"/>
      <c r="E5064" s="14"/>
      <c r="F5064" s="14"/>
      <c r="G5064" s="14"/>
      <c r="H5064" s="23"/>
      <c r="I5064" s="27"/>
      <c r="J5064" s="23"/>
      <c r="K5064" s="30"/>
      <c r="L5064" s="23"/>
      <c r="M5064" s="20"/>
      <c r="N5064" s="20"/>
      <c r="O5064" s="20"/>
      <c r="P5064" s="20"/>
    </row>
    <row r="5065">
      <c r="A5065" s="10"/>
      <c r="B5065" s="11"/>
      <c r="C5065" s="10"/>
      <c r="D5065" s="13"/>
      <c r="E5065" s="14"/>
      <c r="F5065" s="14"/>
      <c r="G5065" s="14"/>
      <c r="H5065" s="10"/>
      <c r="I5065" s="17"/>
      <c r="J5065" s="10"/>
      <c r="K5065" s="46"/>
      <c r="L5065" s="10"/>
      <c r="M5065" s="20"/>
      <c r="N5065" s="20"/>
      <c r="O5065" s="20"/>
      <c r="P5065" s="20"/>
    </row>
    <row r="5066">
      <c r="A5066" s="23"/>
      <c r="B5066" s="21"/>
      <c r="C5066" s="23"/>
      <c r="D5066" s="24"/>
      <c r="E5066" s="14"/>
      <c r="F5066" s="14"/>
      <c r="G5066" s="14"/>
      <c r="H5066" s="23"/>
      <c r="I5066" s="27"/>
      <c r="J5066" s="23"/>
      <c r="K5066" s="30"/>
      <c r="L5066" s="23"/>
      <c r="M5066" s="20"/>
      <c r="N5066" s="20"/>
      <c r="O5066" s="20"/>
      <c r="P5066" s="20"/>
    </row>
    <row r="5067">
      <c r="A5067" s="10"/>
      <c r="B5067" s="11"/>
      <c r="C5067" s="10"/>
      <c r="D5067" s="13"/>
      <c r="E5067" s="14"/>
      <c r="F5067" s="14"/>
      <c r="G5067" s="14"/>
      <c r="H5067" s="10"/>
      <c r="I5067" s="17"/>
      <c r="J5067" s="10"/>
      <c r="K5067" s="46"/>
      <c r="L5067" s="10"/>
      <c r="M5067" s="20"/>
      <c r="N5067" s="20"/>
      <c r="O5067" s="20"/>
      <c r="P5067" s="20"/>
    </row>
    <row r="5068">
      <c r="A5068" s="23"/>
      <c r="B5068" s="21"/>
      <c r="C5068" s="23"/>
      <c r="D5068" s="24"/>
      <c r="E5068" s="14"/>
      <c r="F5068" s="14"/>
      <c r="G5068" s="14"/>
      <c r="H5068" s="23"/>
      <c r="I5068" s="27"/>
      <c r="J5068" s="23"/>
      <c r="K5068" s="30"/>
      <c r="L5068" s="23"/>
      <c r="M5068" s="20"/>
      <c r="N5068" s="20"/>
      <c r="O5068" s="20"/>
      <c r="P5068" s="20"/>
    </row>
    <row r="5069">
      <c r="A5069" s="10"/>
      <c r="B5069" s="11"/>
      <c r="C5069" s="10"/>
      <c r="D5069" s="13"/>
      <c r="E5069" s="14"/>
      <c r="F5069" s="14"/>
      <c r="G5069" s="14"/>
      <c r="H5069" s="10"/>
      <c r="I5069" s="17"/>
      <c r="J5069" s="10"/>
      <c r="K5069" s="46"/>
      <c r="L5069" s="10"/>
      <c r="M5069" s="20"/>
      <c r="N5069" s="20"/>
      <c r="O5069" s="20"/>
      <c r="P5069" s="20"/>
    </row>
    <row r="5070">
      <c r="A5070" s="23"/>
      <c r="B5070" s="21"/>
      <c r="C5070" s="23"/>
      <c r="D5070" s="24"/>
      <c r="E5070" s="14"/>
      <c r="F5070" s="14"/>
      <c r="G5070" s="14"/>
      <c r="H5070" s="23"/>
      <c r="I5070" s="27"/>
      <c r="J5070" s="23"/>
      <c r="K5070" s="30"/>
      <c r="L5070" s="23"/>
      <c r="M5070" s="20"/>
      <c r="N5070" s="20"/>
      <c r="O5070" s="20"/>
      <c r="P5070" s="20"/>
    </row>
    <row r="5071">
      <c r="A5071" s="10"/>
      <c r="B5071" s="11"/>
      <c r="C5071" s="10"/>
      <c r="D5071" s="13"/>
      <c r="E5071" s="14"/>
      <c r="F5071" s="14"/>
      <c r="G5071" s="14"/>
      <c r="H5071" s="10"/>
      <c r="I5071" s="17"/>
      <c r="J5071" s="10"/>
      <c r="K5071" s="46"/>
      <c r="L5071" s="10"/>
      <c r="M5071" s="20"/>
      <c r="N5071" s="20"/>
      <c r="O5071" s="20"/>
      <c r="P5071" s="20"/>
    </row>
    <row r="5072">
      <c r="A5072" s="23"/>
      <c r="B5072" s="21"/>
      <c r="C5072" s="23"/>
      <c r="D5072" s="24"/>
      <c r="E5072" s="14"/>
      <c r="F5072" s="14"/>
      <c r="G5072" s="14"/>
      <c r="H5072" s="23"/>
      <c r="I5072" s="27"/>
      <c r="J5072" s="23"/>
      <c r="K5072" s="30"/>
      <c r="L5072" s="23"/>
      <c r="M5072" s="20"/>
      <c r="N5072" s="20"/>
      <c r="O5072" s="20"/>
      <c r="P5072" s="20"/>
    </row>
    <row r="5073">
      <c r="A5073" s="10"/>
      <c r="B5073" s="11"/>
      <c r="C5073" s="10"/>
      <c r="D5073" s="13"/>
      <c r="E5073" s="14"/>
      <c r="F5073" s="14"/>
      <c r="G5073" s="14"/>
      <c r="H5073" s="10"/>
      <c r="I5073" s="17"/>
      <c r="J5073" s="10"/>
      <c r="K5073" s="46"/>
      <c r="L5073" s="10"/>
      <c r="M5073" s="20"/>
      <c r="N5073" s="20"/>
      <c r="O5073" s="20"/>
      <c r="P5073" s="20"/>
    </row>
    <row r="5074">
      <c r="A5074" s="23"/>
      <c r="B5074" s="21"/>
      <c r="C5074" s="23"/>
      <c r="D5074" s="24"/>
      <c r="E5074" s="14"/>
      <c r="F5074" s="14"/>
      <c r="G5074" s="14"/>
      <c r="H5074" s="23"/>
      <c r="I5074" s="27"/>
      <c r="J5074" s="23"/>
      <c r="K5074" s="30"/>
      <c r="L5074" s="23"/>
      <c r="M5074" s="20"/>
      <c r="N5074" s="20"/>
      <c r="O5074" s="20"/>
      <c r="P5074" s="20"/>
    </row>
    <row r="5075">
      <c r="A5075" s="10"/>
      <c r="B5075" s="11"/>
      <c r="C5075" s="10"/>
      <c r="D5075" s="13"/>
      <c r="E5075" s="14"/>
      <c r="F5075" s="14"/>
      <c r="G5075" s="14"/>
      <c r="H5075" s="10"/>
      <c r="I5075" s="17"/>
      <c r="J5075" s="10"/>
      <c r="K5075" s="46"/>
      <c r="L5075" s="10"/>
      <c r="M5075" s="20"/>
      <c r="N5075" s="20"/>
      <c r="O5075" s="20"/>
      <c r="P5075" s="20"/>
    </row>
    <row r="5076">
      <c r="A5076" s="23"/>
      <c r="B5076" s="21"/>
      <c r="C5076" s="23"/>
      <c r="D5076" s="24"/>
      <c r="E5076" s="14"/>
      <c r="F5076" s="14"/>
      <c r="G5076" s="14"/>
      <c r="H5076" s="23"/>
      <c r="I5076" s="27"/>
      <c r="J5076" s="23"/>
      <c r="K5076" s="30"/>
      <c r="L5076" s="23"/>
      <c r="M5076" s="20"/>
      <c r="N5076" s="20"/>
      <c r="O5076" s="20"/>
      <c r="P5076" s="20"/>
    </row>
    <row r="5077">
      <c r="A5077" s="10"/>
      <c r="B5077" s="11"/>
      <c r="C5077" s="10"/>
      <c r="D5077" s="13"/>
      <c r="E5077" s="14"/>
      <c r="F5077" s="14"/>
      <c r="G5077" s="14"/>
      <c r="H5077" s="10"/>
      <c r="I5077" s="17"/>
      <c r="J5077" s="10"/>
      <c r="K5077" s="46"/>
      <c r="L5077" s="10"/>
      <c r="M5077" s="20"/>
      <c r="N5077" s="20"/>
      <c r="O5077" s="20"/>
      <c r="P5077" s="20"/>
    </row>
    <row r="5078">
      <c r="A5078" s="23"/>
      <c r="B5078" s="21"/>
      <c r="C5078" s="23"/>
      <c r="D5078" s="24"/>
      <c r="E5078" s="14"/>
      <c r="F5078" s="14"/>
      <c r="G5078" s="14"/>
      <c r="H5078" s="23"/>
      <c r="I5078" s="27"/>
      <c r="J5078" s="23"/>
      <c r="K5078" s="30"/>
      <c r="L5078" s="23"/>
      <c r="M5078" s="20"/>
      <c r="N5078" s="20"/>
      <c r="O5078" s="20"/>
      <c r="P5078" s="20"/>
    </row>
    <row r="5079">
      <c r="A5079" s="10"/>
      <c r="B5079" s="11"/>
      <c r="C5079" s="10"/>
      <c r="D5079" s="13"/>
      <c r="E5079" s="14"/>
      <c r="F5079" s="14"/>
      <c r="G5079" s="14"/>
      <c r="H5079" s="10"/>
      <c r="I5079" s="17"/>
      <c r="J5079" s="10"/>
      <c r="K5079" s="46"/>
      <c r="L5079" s="10"/>
      <c r="M5079" s="20"/>
      <c r="N5079" s="20"/>
      <c r="O5079" s="20"/>
      <c r="P5079" s="20"/>
    </row>
    <row r="5080">
      <c r="A5080" s="23"/>
      <c r="B5080" s="21"/>
      <c r="C5080" s="23"/>
      <c r="D5080" s="24"/>
      <c r="E5080" s="14"/>
      <c r="F5080" s="14"/>
      <c r="G5080" s="14"/>
      <c r="H5080" s="23"/>
      <c r="I5080" s="27"/>
      <c r="J5080" s="23"/>
      <c r="K5080" s="30"/>
      <c r="L5080" s="23"/>
      <c r="M5080" s="20"/>
      <c r="N5080" s="20"/>
      <c r="O5080" s="20"/>
      <c r="P5080" s="20"/>
    </row>
    <row r="5081">
      <c r="A5081" s="10"/>
      <c r="B5081" s="11"/>
      <c r="C5081" s="10"/>
      <c r="D5081" s="13"/>
      <c r="E5081" s="14"/>
      <c r="F5081" s="14"/>
      <c r="G5081" s="14"/>
      <c r="H5081" s="10"/>
      <c r="I5081" s="17"/>
      <c r="J5081" s="10"/>
      <c r="K5081" s="46"/>
      <c r="L5081" s="10"/>
      <c r="M5081" s="20"/>
      <c r="N5081" s="20"/>
      <c r="O5081" s="20"/>
      <c r="P5081" s="20"/>
    </row>
    <row r="5082">
      <c r="A5082" s="23"/>
      <c r="B5082" s="21"/>
      <c r="C5082" s="23"/>
      <c r="D5082" s="24"/>
      <c r="E5082" s="14"/>
      <c r="F5082" s="14"/>
      <c r="G5082" s="14"/>
      <c r="H5082" s="23"/>
      <c r="I5082" s="27"/>
      <c r="J5082" s="23"/>
      <c r="K5082" s="30"/>
      <c r="L5082" s="23"/>
      <c r="M5082" s="20"/>
      <c r="N5082" s="20"/>
      <c r="O5082" s="20"/>
      <c r="P5082" s="20"/>
    </row>
    <row r="5083">
      <c r="A5083" s="10"/>
      <c r="B5083" s="11"/>
      <c r="C5083" s="10"/>
      <c r="D5083" s="13"/>
      <c r="E5083" s="14"/>
      <c r="F5083" s="14"/>
      <c r="G5083" s="14"/>
      <c r="H5083" s="10"/>
      <c r="I5083" s="17"/>
      <c r="J5083" s="10"/>
      <c r="K5083" s="46"/>
      <c r="L5083" s="10"/>
      <c r="M5083" s="20"/>
      <c r="N5083" s="20"/>
      <c r="O5083" s="20"/>
      <c r="P5083" s="20"/>
    </row>
    <row r="5084">
      <c r="A5084" s="23"/>
      <c r="B5084" s="21"/>
      <c r="C5084" s="23"/>
      <c r="D5084" s="24"/>
      <c r="E5084" s="14"/>
      <c r="F5084" s="14"/>
      <c r="G5084" s="14"/>
      <c r="H5084" s="23"/>
      <c r="I5084" s="27"/>
      <c r="J5084" s="23"/>
      <c r="K5084" s="30"/>
      <c r="L5084" s="23"/>
      <c r="M5084" s="20"/>
      <c r="N5084" s="20"/>
      <c r="O5084" s="20"/>
      <c r="P5084" s="20"/>
    </row>
    <row r="5085">
      <c r="A5085" s="10"/>
      <c r="B5085" s="11"/>
      <c r="C5085" s="10"/>
      <c r="D5085" s="13"/>
      <c r="E5085" s="14"/>
      <c r="F5085" s="14"/>
      <c r="G5085" s="14"/>
      <c r="H5085" s="10"/>
      <c r="I5085" s="17"/>
      <c r="J5085" s="10"/>
      <c r="K5085" s="46"/>
      <c r="L5085" s="10"/>
      <c r="M5085" s="20"/>
      <c r="N5085" s="20"/>
      <c r="O5085" s="20"/>
      <c r="P5085" s="20"/>
    </row>
    <row r="5086">
      <c r="A5086" s="23"/>
      <c r="B5086" s="21"/>
      <c r="C5086" s="23"/>
      <c r="D5086" s="24"/>
      <c r="E5086" s="14"/>
      <c r="F5086" s="14"/>
      <c r="G5086" s="14"/>
      <c r="H5086" s="23"/>
      <c r="I5086" s="27"/>
      <c r="J5086" s="23"/>
      <c r="K5086" s="30"/>
      <c r="L5086" s="23"/>
      <c r="M5086" s="20"/>
      <c r="N5086" s="20"/>
      <c r="O5086" s="20"/>
      <c r="P5086" s="20"/>
    </row>
    <row r="5087">
      <c r="A5087" s="10"/>
      <c r="B5087" s="11"/>
      <c r="C5087" s="10"/>
      <c r="D5087" s="13"/>
      <c r="E5087" s="14"/>
      <c r="F5087" s="14"/>
      <c r="G5087" s="14"/>
      <c r="H5087" s="10"/>
      <c r="I5087" s="17"/>
      <c r="J5087" s="10"/>
      <c r="K5087" s="46"/>
      <c r="L5087" s="10"/>
      <c r="M5087" s="20"/>
      <c r="N5087" s="20"/>
      <c r="O5087" s="20"/>
      <c r="P5087" s="20"/>
    </row>
    <row r="5088">
      <c r="A5088" s="23"/>
      <c r="B5088" s="21"/>
      <c r="C5088" s="23"/>
      <c r="D5088" s="24"/>
      <c r="E5088" s="14"/>
      <c r="F5088" s="14"/>
      <c r="G5088" s="14"/>
      <c r="H5088" s="23"/>
      <c r="I5088" s="27"/>
      <c r="J5088" s="23"/>
      <c r="K5088" s="30"/>
      <c r="L5088" s="23"/>
      <c r="M5088" s="20"/>
      <c r="N5088" s="20"/>
      <c r="O5088" s="20"/>
      <c r="P5088" s="20"/>
    </row>
    <row r="5089">
      <c r="A5089" s="10"/>
      <c r="B5089" s="11"/>
      <c r="C5089" s="10"/>
      <c r="D5089" s="13"/>
      <c r="E5089" s="14"/>
      <c r="F5089" s="14"/>
      <c r="G5089" s="14"/>
      <c r="H5089" s="10"/>
      <c r="I5089" s="17"/>
      <c r="J5089" s="10"/>
      <c r="K5089" s="46"/>
      <c r="L5089" s="10"/>
      <c r="M5089" s="20"/>
      <c r="N5089" s="20"/>
      <c r="O5089" s="20"/>
      <c r="P5089" s="20"/>
    </row>
    <row r="5090">
      <c r="A5090" s="23"/>
      <c r="B5090" s="21"/>
      <c r="C5090" s="23"/>
      <c r="D5090" s="24"/>
      <c r="E5090" s="14"/>
      <c r="F5090" s="14"/>
      <c r="G5090" s="14"/>
      <c r="H5090" s="23"/>
      <c r="I5090" s="27"/>
      <c r="J5090" s="23"/>
      <c r="K5090" s="30"/>
      <c r="L5090" s="23"/>
      <c r="M5090" s="20"/>
      <c r="N5090" s="20"/>
      <c r="O5090" s="20"/>
      <c r="P5090" s="20"/>
    </row>
    <row r="5091">
      <c r="A5091" s="10"/>
      <c r="B5091" s="11"/>
      <c r="C5091" s="10"/>
      <c r="D5091" s="13"/>
      <c r="E5091" s="14"/>
      <c r="F5091" s="14"/>
      <c r="G5091" s="14"/>
      <c r="H5091" s="10"/>
      <c r="I5091" s="17"/>
      <c r="J5091" s="10"/>
      <c r="K5091" s="46"/>
      <c r="L5091" s="10"/>
      <c r="M5091" s="20"/>
      <c r="N5091" s="20"/>
      <c r="O5091" s="20"/>
      <c r="P5091" s="20"/>
    </row>
    <row r="5092">
      <c r="A5092" s="23"/>
      <c r="B5092" s="21"/>
      <c r="C5092" s="23"/>
      <c r="D5092" s="24"/>
      <c r="E5092" s="14"/>
      <c r="F5092" s="14"/>
      <c r="G5092" s="14"/>
      <c r="H5092" s="23"/>
      <c r="I5092" s="27"/>
      <c r="J5092" s="23"/>
      <c r="K5092" s="30"/>
      <c r="L5092" s="23"/>
      <c r="M5092" s="20"/>
      <c r="N5092" s="20"/>
      <c r="O5092" s="20"/>
      <c r="P5092" s="20"/>
    </row>
    <row r="5093">
      <c r="A5093" s="10"/>
      <c r="B5093" s="11"/>
      <c r="C5093" s="10"/>
      <c r="D5093" s="13"/>
      <c r="E5093" s="14"/>
      <c r="F5093" s="14"/>
      <c r="G5093" s="14"/>
      <c r="H5093" s="10"/>
      <c r="I5093" s="17"/>
      <c r="J5093" s="10"/>
      <c r="K5093" s="46"/>
      <c r="L5093" s="10"/>
      <c r="M5093" s="20"/>
      <c r="N5093" s="20"/>
      <c r="O5093" s="20"/>
      <c r="P5093" s="20"/>
    </row>
    <row r="5094">
      <c r="A5094" s="23"/>
      <c r="B5094" s="21"/>
      <c r="C5094" s="23"/>
      <c r="D5094" s="24"/>
      <c r="E5094" s="14"/>
      <c r="F5094" s="14"/>
      <c r="G5094" s="14"/>
      <c r="H5094" s="23"/>
      <c r="I5094" s="27"/>
      <c r="J5094" s="23"/>
      <c r="K5094" s="30"/>
      <c r="L5094" s="23"/>
      <c r="M5094" s="20"/>
      <c r="N5094" s="20"/>
      <c r="O5094" s="20"/>
      <c r="P5094" s="20"/>
    </row>
    <row r="5095">
      <c r="A5095" s="10"/>
      <c r="B5095" s="11"/>
      <c r="C5095" s="10"/>
      <c r="D5095" s="13"/>
      <c r="E5095" s="14"/>
      <c r="F5095" s="14"/>
      <c r="G5095" s="14"/>
      <c r="H5095" s="10"/>
      <c r="I5095" s="17"/>
      <c r="J5095" s="10"/>
      <c r="K5095" s="46"/>
      <c r="L5095" s="10"/>
      <c r="M5095" s="20"/>
      <c r="N5095" s="20"/>
      <c r="O5095" s="20"/>
      <c r="P5095" s="20"/>
    </row>
    <row r="5096">
      <c r="A5096" s="23"/>
      <c r="B5096" s="21"/>
      <c r="C5096" s="23"/>
      <c r="D5096" s="24"/>
      <c r="E5096" s="14"/>
      <c r="F5096" s="14"/>
      <c r="G5096" s="14"/>
      <c r="H5096" s="23"/>
      <c r="I5096" s="27"/>
      <c r="J5096" s="23"/>
      <c r="K5096" s="30"/>
      <c r="L5096" s="23"/>
      <c r="M5096" s="20"/>
      <c r="N5096" s="20"/>
      <c r="O5096" s="20"/>
      <c r="P5096" s="20"/>
    </row>
    <row r="5097">
      <c r="A5097" s="10"/>
      <c r="B5097" s="11"/>
      <c r="C5097" s="10"/>
      <c r="D5097" s="13"/>
      <c r="E5097" s="14"/>
      <c r="F5097" s="14"/>
      <c r="G5097" s="14"/>
      <c r="H5097" s="10"/>
      <c r="I5097" s="17"/>
      <c r="J5097" s="10"/>
      <c r="K5097" s="46"/>
      <c r="L5097" s="10"/>
      <c r="M5097" s="20"/>
      <c r="N5097" s="20"/>
      <c r="O5097" s="20"/>
      <c r="P5097" s="20"/>
    </row>
    <row r="5098">
      <c r="A5098" s="23"/>
      <c r="B5098" s="21"/>
      <c r="C5098" s="23"/>
      <c r="D5098" s="24"/>
      <c r="E5098" s="14"/>
      <c r="F5098" s="14"/>
      <c r="G5098" s="14"/>
      <c r="H5098" s="23"/>
      <c r="I5098" s="27"/>
      <c r="J5098" s="23"/>
      <c r="K5098" s="30"/>
      <c r="L5098" s="23"/>
      <c r="M5098" s="20"/>
      <c r="N5098" s="20"/>
      <c r="O5098" s="20"/>
      <c r="P5098" s="20"/>
    </row>
    <row r="5099">
      <c r="A5099" s="10"/>
      <c r="B5099" s="11"/>
      <c r="C5099" s="10"/>
      <c r="D5099" s="13"/>
      <c r="E5099" s="14"/>
      <c r="F5099" s="14"/>
      <c r="G5099" s="14"/>
      <c r="H5099" s="10"/>
      <c r="I5099" s="17"/>
      <c r="J5099" s="10"/>
      <c r="K5099" s="46"/>
      <c r="L5099" s="10"/>
      <c r="M5099" s="20"/>
      <c r="N5099" s="20"/>
      <c r="O5099" s="20"/>
      <c r="P5099" s="20"/>
    </row>
    <row r="5100">
      <c r="A5100" s="23"/>
      <c r="B5100" s="21"/>
      <c r="C5100" s="23"/>
      <c r="D5100" s="24"/>
      <c r="E5100" s="14"/>
      <c r="F5100" s="14"/>
      <c r="G5100" s="14"/>
      <c r="H5100" s="23"/>
      <c r="I5100" s="27"/>
      <c r="J5100" s="23"/>
      <c r="K5100" s="30"/>
      <c r="L5100" s="23"/>
      <c r="M5100" s="20"/>
      <c r="N5100" s="20"/>
      <c r="O5100" s="20"/>
      <c r="P5100" s="20"/>
    </row>
    <row r="5101">
      <c r="A5101" s="10"/>
      <c r="B5101" s="11"/>
      <c r="C5101" s="10"/>
      <c r="D5101" s="13"/>
      <c r="E5101" s="14"/>
      <c r="F5101" s="14"/>
      <c r="G5101" s="14"/>
      <c r="H5101" s="10"/>
      <c r="I5101" s="17"/>
      <c r="J5101" s="10"/>
      <c r="K5101" s="46"/>
      <c r="L5101" s="10"/>
      <c r="M5101" s="20"/>
      <c r="N5101" s="20"/>
      <c r="O5101" s="20"/>
      <c r="P5101" s="20"/>
    </row>
    <row r="5102">
      <c r="A5102" s="23"/>
      <c r="B5102" s="21"/>
      <c r="C5102" s="23"/>
      <c r="D5102" s="24"/>
      <c r="E5102" s="14"/>
      <c r="F5102" s="14"/>
      <c r="G5102" s="14"/>
      <c r="H5102" s="23"/>
      <c r="I5102" s="27"/>
      <c r="J5102" s="23"/>
      <c r="K5102" s="30"/>
      <c r="L5102" s="23"/>
      <c r="M5102" s="20"/>
      <c r="N5102" s="20"/>
      <c r="O5102" s="20"/>
      <c r="P5102" s="20"/>
    </row>
    <row r="5103">
      <c r="A5103" s="10"/>
      <c r="B5103" s="11"/>
      <c r="C5103" s="10"/>
      <c r="D5103" s="13"/>
      <c r="E5103" s="14"/>
      <c r="F5103" s="14"/>
      <c r="G5103" s="14"/>
      <c r="H5103" s="10"/>
      <c r="I5103" s="17"/>
      <c r="J5103" s="10"/>
      <c r="K5103" s="46"/>
      <c r="L5103" s="10"/>
      <c r="M5103" s="20"/>
      <c r="N5103" s="20"/>
      <c r="O5103" s="20"/>
      <c r="P5103" s="20"/>
    </row>
    <row r="5104">
      <c r="A5104" s="23"/>
      <c r="B5104" s="21"/>
      <c r="C5104" s="23"/>
      <c r="D5104" s="24"/>
      <c r="E5104" s="14"/>
      <c r="F5104" s="14"/>
      <c r="G5104" s="14"/>
      <c r="H5104" s="23"/>
      <c r="I5104" s="27"/>
      <c r="J5104" s="23"/>
      <c r="K5104" s="30"/>
      <c r="L5104" s="23"/>
      <c r="M5104" s="20"/>
      <c r="N5104" s="20"/>
      <c r="O5104" s="20"/>
      <c r="P5104" s="20"/>
    </row>
    <row r="5105">
      <c r="A5105" s="10"/>
      <c r="B5105" s="11"/>
      <c r="C5105" s="10"/>
      <c r="D5105" s="13"/>
      <c r="E5105" s="14"/>
      <c r="F5105" s="14"/>
      <c r="G5105" s="14"/>
      <c r="H5105" s="10"/>
      <c r="I5105" s="17"/>
      <c r="J5105" s="10"/>
      <c r="K5105" s="46"/>
      <c r="L5105" s="10"/>
      <c r="M5105" s="20"/>
      <c r="N5105" s="20"/>
      <c r="O5105" s="20"/>
      <c r="P5105" s="20"/>
    </row>
    <row r="5106">
      <c r="A5106" s="23"/>
      <c r="B5106" s="21"/>
      <c r="C5106" s="23"/>
      <c r="D5106" s="24"/>
      <c r="E5106" s="14"/>
      <c r="F5106" s="14"/>
      <c r="G5106" s="14"/>
      <c r="H5106" s="23"/>
      <c r="I5106" s="27"/>
      <c r="J5106" s="23"/>
      <c r="K5106" s="30"/>
      <c r="L5106" s="23"/>
      <c r="M5106" s="20"/>
      <c r="N5106" s="20"/>
      <c r="O5106" s="20"/>
      <c r="P5106" s="20"/>
    </row>
    <row r="5107">
      <c r="A5107" s="10"/>
      <c r="B5107" s="11"/>
      <c r="C5107" s="10"/>
      <c r="D5107" s="13"/>
      <c r="E5107" s="14"/>
      <c r="F5107" s="14"/>
      <c r="G5107" s="14"/>
      <c r="H5107" s="10"/>
      <c r="I5107" s="17"/>
      <c r="J5107" s="10"/>
      <c r="K5107" s="46"/>
      <c r="L5107" s="10"/>
      <c r="M5107" s="20"/>
      <c r="N5107" s="20"/>
      <c r="O5107" s="20"/>
      <c r="P5107" s="20"/>
    </row>
    <row r="5108">
      <c r="A5108" s="23"/>
      <c r="B5108" s="21"/>
      <c r="C5108" s="23"/>
      <c r="D5108" s="24"/>
      <c r="E5108" s="14"/>
      <c r="F5108" s="14"/>
      <c r="G5108" s="14"/>
      <c r="H5108" s="23"/>
      <c r="I5108" s="27"/>
      <c r="J5108" s="23"/>
      <c r="K5108" s="30"/>
      <c r="L5108" s="23"/>
      <c r="M5108" s="20"/>
      <c r="N5108" s="20"/>
      <c r="O5108" s="20"/>
      <c r="P5108" s="20"/>
    </row>
    <row r="5109">
      <c r="A5109" s="10"/>
      <c r="B5109" s="11"/>
      <c r="C5109" s="10"/>
      <c r="D5109" s="13"/>
      <c r="E5109" s="14"/>
      <c r="F5109" s="14"/>
      <c r="G5109" s="14"/>
      <c r="H5109" s="10"/>
      <c r="I5109" s="17"/>
      <c r="J5109" s="10"/>
      <c r="K5109" s="46"/>
      <c r="L5109" s="10"/>
      <c r="M5109" s="20"/>
      <c r="N5109" s="20"/>
      <c r="O5109" s="20"/>
      <c r="P5109" s="20"/>
    </row>
    <row r="5110">
      <c r="A5110" s="23"/>
      <c r="B5110" s="21"/>
      <c r="C5110" s="23"/>
      <c r="D5110" s="24"/>
      <c r="E5110" s="14"/>
      <c r="F5110" s="14"/>
      <c r="G5110" s="14"/>
      <c r="H5110" s="23"/>
      <c r="I5110" s="27"/>
      <c r="J5110" s="23"/>
      <c r="K5110" s="30"/>
      <c r="L5110" s="23"/>
      <c r="M5110" s="20"/>
      <c r="N5110" s="20"/>
      <c r="O5110" s="20"/>
      <c r="P5110" s="20"/>
    </row>
    <row r="5111">
      <c r="A5111" s="10"/>
      <c r="B5111" s="11"/>
      <c r="C5111" s="10"/>
      <c r="D5111" s="13"/>
      <c r="E5111" s="14"/>
      <c r="F5111" s="14"/>
      <c r="G5111" s="14"/>
      <c r="H5111" s="10"/>
      <c r="I5111" s="17"/>
      <c r="J5111" s="10"/>
      <c r="K5111" s="46"/>
      <c r="L5111" s="10"/>
      <c r="M5111" s="20"/>
      <c r="N5111" s="20"/>
      <c r="O5111" s="20"/>
      <c r="P5111" s="20"/>
    </row>
    <row r="5112">
      <c r="A5112" s="23"/>
      <c r="B5112" s="21"/>
      <c r="C5112" s="23"/>
      <c r="D5112" s="24"/>
      <c r="E5112" s="14"/>
      <c r="F5112" s="14"/>
      <c r="G5112" s="14"/>
      <c r="H5112" s="23"/>
      <c r="I5112" s="27"/>
      <c r="J5112" s="23"/>
      <c r="K5112" s="30"/>
      <c r="L5112" s="23"/>
      <c r="M5112" s="20"/>
      <c r="N5112" s="20"/>
      <c r="O5112" s="20"/>
      <c r="P5112" s="20"/>
    </row>
    <row r="5113">
      <c r="A5113" s="10"/>
      <c r="B5113" s="11"/>
      <c r="C5113" s="10"/>
      <c r="D5113" s="13"/>
      <c r="E5113" s="14"/>
      <c r="F5113" s="14"/>
      <c r="G5113" s="14"/>
      <c r="H5113" s="10"/>
      <c r="I5113" s="17"/>
      <c r="J5113" s="10"/>
      <c r="K5113" s="46"/>
      <c r="L5113" s="10"/>
      <c r="M5113" s="20"/>
      <c r="N5113" s="20"/>
      <c r="O5113" s="20"/>
      <c r="P5113" s="20"/>
    </row>
    <row r="5114">
      <c r="A5114" s="23"/>
      <c r="B5114" s="21"/>
      <c r="C5114" s="23"/>
      <c r="D5114" s="24"/>
      <c r="E5114" s="14"/>
      <c r="F5114" s="14"/>
      <c r="G5114" s="14"/>
      <c r="H5114" s="23"/>
      <c r="I5114" s="27"/>
      <c r="J5114" s="23"/>
      <c r="K5114" s="30"/>
      <c r="L5114" s="23"/>
      <c r="M5114" s="20"/>
      <c r="N5114" s="20"/>
      <c r="O5114" s="20"/>
      <c r="P5114" s="20"/>
    </row>
    <row r="5115">
      <c r="A5115" s="10"/>
      <c r="B5115" s="11"/>
      <c r="C5115" s="10"/>
      <c r="D5115" s="13"/>
      <c r="E5115" s="14"/>
      <c r="F5115" s="14"/>
      <c r="G5115" s="14"/>
      <c r="H5115" s="10"/>
      <c r="I5115" s="17"/>
      <c r="J5115" s="10"/>
      <c r="K5115" s="46"/>
      <c r="L5115" s="10"/>
      <c r="M5115" s="20"/>
      <c r="N5115" s="20"/>
      <c r="O5115" s="20"/>
      <c r="P5115" s="20"/>
    </row>
    <row r="5116">
      <c r="A5116" s="23"/>
      <c r="B5116" s="21"/>
      <c r="C5116" s="23"/>
      <c r="D5116" s="24"/>
      <c r="E5116" s="14"/>
      <c r="F5116" s="14"/>
      <c r="G5116" s="14"/>
      <c r="H5116" s="23"/>
      <c r="I5116" s="27"/>
      <c r="J5116" s="23"/>
      <c r="K5116" s="30"/>
      <c r="L5116" s="23"/>
      <c r="M5116" s="20"/>
      <c r="N5116" s="20"/>
      <c r="O5116" s="20"/>
      <c r="P5116" s="20"/>
    </row>
    <row r="5117">
      <c r="A5117" s="10"/>
      <c r="B5117" s="11"/>
      <c r="C5117" s="10"/>
      <c r="D5117" s="13"/>
      <c r="E5117" s="14"/>
      <c r="F5117" s="14"/>
      <c r="G5117" s="14"/>
      <c r="H5117" s="10"/>
      <c r="I5117" s="17"/>
      <c r="J5117" s="10"/>
      <c r="K5117" s="46"/>
      <c r="L5117" s="10"/>
      <c r="M5117" s="20"/>
      <c r="N5117" s="20"/>
      <c r="O5117" s="20"/>
      <c r="P5117" s="20"/>
    </row>
    <row r="5118">
      <c r="A5118" s="23"/>
      <c r="B5118" s="21"/>
      <c r="C5118" s="23"/>
      <c r="D5118" s="24"/>
      <c r="E5118" s="14"/>
      <c r="F5118" s="14"/>
      <c r="G5118" s="14"/>
      <c r="H5118" s="23"/>
      <c r="I5118" s="27"/>
      <c r="J5118" s="23"/>
      <c r="K5118" s="30"/>
      <c r="L5118" s="23"/>
      <c r="M5118" s="20"/>
      <c r="N5118" s="20"/>
      <c r="O5118" s="20"/>
      <c r="P5118" s="20"/>
    </row>
    <row r="5119">
      <c r="A5119" s="10"/>
      <c r="B5119" s="11"/>
      <c r="C5119" s="10"/>
      <c r="D5119" s="13"/>
      <c r="E5119" s="14"/>
      <c r="F5119" s="14"/>
      <c r="G5119" s="14"/>
      <c r="H5119" s="10"/>
      <c r="I5119" s="17"/>
      <c r="J5119" s="10"/>
      <c r="K5119" s="46"/>
      <c r="L5119" s="10"/>
      <c r="M5119" s="20"/>
      <c r="N5119" s="20"/>
      <c r="O5119" s="20"/>
      <c r="P5119" s="20"/>
    </row>
    <row r="5120">
      <c r="A5120" s="23"/>
      <c r="B5120" s="21"/>
      <c r="C5120" s="23"/>
      <c r="D5120" s="24"/>
      <c r="E5120" s="14"/>
      <c r="F5120" s="14"/>
      <c r="G5120" s="14"/>
      <c r="H5120" s="23"/>
      <c r="I5120" s="27"/>
      <c r="J5120" s="23"/>
      <c r="K5120" s="30"/>
      <c r="L5120" s="23"/>
      <c r="M5120" s="20"/>
      <c r="N5120" s="20"/>
      <c r="O5120" s="20"/>
      <c r="P5120" s="20"/>
    </row>
    <row r="5121">
      <c r="A5121" s="10"/>
      <c r="B5121" s="11"/>
      <c r="C5121" s="10"/>
      <c r="D5121" s="13"/>
      <c r="E5121" s="14"/>
      <c r="F5121" s="14"/>
      <c r="G5121" s="14"/>
      <c r="H5121" s="10"/>
      <c r="I5121" s="17"/>
      <c r="J5121" s="10"/>
      <c r="K5121" s="46"/>
      <c r="L5121" s="10"/>
      <c r="M5121" s="20"/>
      <c r="N5121" s="20"/>
      <c r="O5121" s="20"/>
      <c r="P5121" s="20"/>
    </row>
    <row r="5122">
      <c r="A5122" s="23"/>
      <c r="B5122" s="21"/>
      <c r="C5122" s="23"/>
      <c r="D5122" s="24"/>
      <c r="E5122" s="14"/>
      <c r="F5122" s="14"/>
      <c r="G5122" s="14"/>
      <c r="H5122" s="23"/>
      <c r="I5122" s="27"/>
      <c r="J5122" s="23"/>
      <c r="K5122" s="30"/>
      <c r="L5122" s="23"/>
      <c r="M5122" s="20"/>
      <c r="N5122" s="20"/>
      <c r="O5122" s="20"/>
      <c r="P5122" s="20"/>
    </row>
    <row r="5123">
      <c r="A5123" s="10"/>
      <c r="B5123" s="11"/>
      <c r="C5123" s="10"/>
      <c r="D5123" s="13"/>
      <c r="E5123" s="14"/>
      <c r="F5123" s="14"/>
      <c r="G5123" s="14"/>
      <c r="H5123" s="10"/>
      <c r="I5123" s="17"/>
      <c r="J5123" s="10"/>
      <c r="K5123" s="46"/>
      <c r="L5123" s="10"/>
      <c r="M5123" s="20"/>
      <c r="N5123" s="20"/>
      <c r="O5123" s="20"/>
      <c r="P5123" s="20"/>
    </row>
    <row r="5124">
      <c r="A5124" s="23"/>
      <c r="B5124" s="21"/>
      <c r="C5124" s="23"/>
      <c r="D5124" s="24"/>
      <c r="E5124" s="14"/>
      <c r="F5124" s="14"/>
      <c r="G5124" s="14"/>
      <c r="H5124" s="23"/>
      <c r="I5124" s="27"/>
      <c r="J5124" s="23"/>
      <c r="K5124" s="30"/>
      <c r="L5124" s="23"/>
      <c r="M5124" s="20"/>
      <c r="N5124" s="20"/>
      <c r="O5124" s="20"/>
      <c r="P5124" s="20"/>
    </row>
    <row r="5125">
      <c r="A5125" s="10"/>
      <c r="B5125" s="11"/>
      <c r="C5125" s="10"/>
      <c r="D5125" s="13"/>
      <c r="E5125" s="14"/>
      <c r="F5125" s="14"/>
      <c r="G5125" s="14"/>
      <c r="H5125" s="10"/>
      <c r="I5125" s="17"/>
      <c r="J5125" s="10"/>
      <c r="K5125" s="46"/>
      <c r="L5125" s="10"/>
      <c r="M5125" s="20"/>
      <c r="N5125" s="20"/>
      <c r="O5125" s="20"/>
      <c r="P5125" s="20"/>
    </row>
    <row r="5126">
      <c r="A5126" s="23"/>
      <c r="B5126" s="21"/>
      <c r="C5126" s="23"/>
      <c r="D5126" s="24"/>
      <c r="E5126" s="14"/>
      <c r="F5126" s="14"/>
      <c r="G5126" s="14"/>
      <c r="H5126" s="23"/>
      <c r="I5126" s="27"/>
      <c r="J5126" s="23"/>
      <c r="K5126" s="30"/>
      <c r="L5126" s="23"/>
      <c r="M5126" s="20"/>
      <c r="N5126" s="20"/>
      <c r="O5126" s="20"/>
      <c r="P5126" s="20"/>
    </row>
    <row r="5127">
      <c r="A5127" s="10"/>
      <c r="B5127" s="11"/>
      <c r="C5127" s="10"/>
      <c r="D5127" s="13"/>
      <c r="E5127" s="14"/>
      <c r="F5127" s="14"/>
      <c r="G5127" s="14"/>
      <c r="H5127" s="10"/>
      <c r="I5127" s="17"/>
      <c r="J5127" s="10"/>
      <c r="K5127" s="46"/>
      <c r="L5127" s="10"/>
      <c r="M5127" s="20"/>
      <c r="N5127" s="20"/>
      <c r="O5127" s="20"/>
      <c r="P5127" s="20"/>
    </row>
    <row r="5128">
      <c r="A5128" s="23"/>
      <c r="B5128" s="21"/>
      <c r="C5128" s="23"/>
      <c r="D5128" s="24"/>
      <c r="E5128" s="14"/>
      <c r="F5128" s="14"/>
      <c r="G5128" s="14"/>
      <c r="H5128" s="23"/>
      <c r="I5128" s="27"/>
      <c r="J5128" s="23"/>
      <c r="K5128" s="30"/>
      <c r="L5128" s="23"/>
      <c r="M5128" s="20"/>
      <c r="N5128" s="20"/>
      <c r="O5128" s="20"/>
      <c r="P5128" s="20"/>
    </row>
    <row r="5129">
      <c r="A5129" s="10"/>
      <c r="B5129" s="11"/>
      <c r="C5129" s="10"/>
      <c r="D5129" s="13"/>
      <c r="E5129" s="14"/>
      <c r="F5129" s="14"/>
      <c r="G5129" s="14"/>
      <c r="H5129" s="10"/>
      <c r="I5129" s="17"/>
      <c r="J5129" s="10"/>
      <c r="K5129" s="46"/>
      <c r="L5129" s="10"/>
      <c r="M5129" s="20"/>
      <c r="N5129" s="20"/>
      <c r="O5129" s="20"/>
      <c r="P5129" s="20"/>
    </row>
    <row r="5130">
      <c r="A5130" s="23"/>
      <c r="B5130" s="21"/>
      <c r="C5130" s="23"/>
      <c r="D5130" s="24"/>
      <c r="E5130" s="14"/>
      <c r="F5130" s="14"/>
      <c r="G5130" s="14"/>
      <c r="H5130" s="23"/>
      <c r="I5130" s="27"/>
      <c r="J5130" s="23"/>
      <c r="K5130" s="30"/>
      <c r="L5130" s="23"/>
      <c r="M5130" s="20"/>
      <c r="N5130" s="20"/>
      <c r="O5130" s="20"/>
      <c r="P5130" s="20"/>
    </row>
    <row r="5131">
      <c r="A5131" s="10"/>
      <c r="B5131" s="11"/>
      <c r="C5131" s="10"/>
      <c r="D5131" s="13"/>
      <c r="E5131" s="14"/>
      <c r="F5131" s="14"/>
      <c r="G5131" s="14"/>
      <c r="H5131" s="10"/>
      <c r="I5131" s="17"/>
      <c r="J5131" s="10"/>
      <c r="K5131" s="46"/>
      <c r="L5131" s="10"/>
      <c r="M5131" s="20"/>
      <c r="N5131" s="20"/>
      <c r="O5131" s="20"/>
      <c r="P5131" s="20"/>
    </row>
    <row r="5132">
      <c r="A5132" s="23"/>
      <c r="B5132" s="21"/>
      <c r="C5132" s="23"/>
      <c r="D5132" s="24"/>
      <c r="E5132" s="14"/>
      <c r="F5132" s="14"/>
      <c r="G5132" s="14"/>
      <c r="H5132" s="23"/>
      <c r="I5132" s="27"/>
      <c r="J5132" s="23"/>
      <c r="K5132" s="30"/>
      <c r="L5132" s="23"/>
      <c r="M5132" s="20"/>
      <c r="N5132" s="20"/>
      <c r="O5132" s="20"/>
      <c r="P5132" s="20"/>
    </row>
    <row r="5133">
      <c r="A5133" s="10"/>
      <c r="B5133" s="11"/>
      <c r="C5133" s="10"/>
      <c r="D5133" s="13"/>
      <c r="E5133" s="14"/>
      <c r="F5133" s="14"/>
      <c r="G5133" s="14"/>
      <c r="H5133" s="10"/>
      <c r="I5133" s="17"/>
      <c r="J5133" s="10"/>
      <c r="K5133" s="46"/>
      <c r="L5133" s="10"/>
      <c r="M5133" s="20"/>
      <c r="N5133" s="20"/>
      <c r="O5133" s="20"/>
      <c r="P5133" s="20"/>
    </row>
    <row r="5134">
      <c r="A5134" s="23"/>
      <c r="B5134" s="21"/>
      <c r="C5134" s="23"/>
      <c r="D5134" s="24"/>
      <c r="E5134" s="14"/>
      <c r="F5134" s="14"/>
      <c r="G5134" s="14"/>
      <c r="H5134" s="23"/>
      <c r="I5134" s="27"/>
      <c r="J5134" s="23"/>
      <c r="K5134" s="30"/>
      <c r="L5134" s="23"/>
      <c r="M5134" s="20"/>
      <c r="N5134" s="20"/>
      <c r="O5134" s="20"/>
      <c r="P5134" s="20"/>
    </row>
    <row r="5135">
      <c r="A5135" s="10"/>
      <c r="B5135" s="11"/>
      <c r="C5135" s="10"/>
      <c r="D5135" s="13"/>
      <c r="E5135" s="14"/>
      <c r="F5135" s="14"/>
      <c r="G5135" s="14"/>
      <c r="H5135" s="10"/>
      <c r="I5135" s="17"/>
      <c r="J5135" s="10"/>
      <c r="K5135" s="46"/>
      <c r="L5135" s="10"/>
      <c r="M5135" s="20"/>
      <c r="N5135" s="20"/>
      <c r="O5135" s="20"/>
      <c r="P5135" s="20"/>
    </row>
    <row r="5136">
      <c r="A5136" s="23"/>
      <c r="B5136" s="21"/>
      <c r="C5136" s="23"/>
      <c r="D5136" s="24"/>
      <c r="E5136" s="14"/>
      <c r="F5136" s="14"/>
      <c r="G5136" s="14"/>
      <c r="H5136" s="23"/>
      <c r="I5136" s="27"/>
      <c r="J5136" s="23"/>
      <c r="K5136" s="30"/>
      <c r="L5136" s="23"/>
      <c r="M5136" s="20"/>
      <c r="N5136" s="20"/>
      <c r="O5136" s="20"/>
      <c r="P5136" s="20"/>
    </row>
    <row r="5137">
      <c r="A5137" s="10"/>
      <c r="B5137" s="11"/>
      <c r="C5137" s="10"/>
      <c r="D5137" s="13"/>
      <c r="E5137" s="14"/>
      <c r="F5137" s="14"/>
      <c r="G5137" s="14"/>
      <c r="H5137" s="10"/>
      <c r="I5137" s="17"/>
      <c r="J5137" s="10"/>
      <c r="K5137" s="46"/>
      <c r="L5137" s="10"/>
      <c r="M5137" s="20"/>
      <c r="N5137" s="20"/>
      <c r="O5137" s="20"/>
      <c r="P5137" s="20"/>
    </row>
    <row r="5138">
      <c r="A5138" s="23"/>
      <c r="B5138" s="21"/>
      <c r="C5138" s="23"/>
      <c r="D5138" s="24"/>
      <c r="E5138" s="14"/>
      <c r="F5138" s="14"/>
      <c r="G5138" s="14"/>
      <c r="H5138" s="23"/>
      <c r="I5138" s="27"/>
      <c r="J5138" s="23"/>
      <c r="K5138" s="30"/>
      <c r="L5138" s="23"/>
      <c r="M5138" s="20"/>
      <c r="N5138" s="20"/>
      <c r="O5138" s="20"/>
      <c r="P5138" s="20"/>
    </row>
    <row r="5139">
      <c r="A5139" s="10"/>
      <c r="B5139" s="11"/>
      <c r="C5139" s="10"/>
      <c r="D5139" s="13"/>
      <c r="E5139" s="14"/>
      <c r="F5139" s="14"/>
      <c r="G5139" s="14"/>
      <c r="H5139" s="10"/>
      <c r="I5139" s="17"/>
      <c r="J5139" s="10"/>
      <c r="K5139" s="46"/>
      <c r="L5139" s="10"/>
      <c r="M5139" s="20"/>
      <c r="N5139" s="20"/>
      <c r="O5139" s="20"/>
      <c r="P5139" s="20"/>
    </row>
    <row r="5140">
      <c r="A5140" s="23"/>
      <c r="B5140" s="21"/>
      <c r="C5140" s="23"/>
      <c r="D5140" s="24"/>
      <c r="E5140" s="14"/>
      <c r="F5140" s="14"/>
      <c r="G5140" s="14"/>
      <c r="H5140" s="23"/>
      <c r="I5140" s="27"/>
      <c r="J5140" s="23"/>
      <c r="K5140" s="30"/>
      <c r="L5140" s="23"/>
      <c r="M5140" s="20"/>
      <c r="N5140" s="20"/>
      <c r="O5140" s="20"/>
      <c r="P5140" s="20"/>
    </row>
    <row r="5141">
      <c r="A5141" s="10"/>
      <c r="B5141" s="11"/>
      <c r="C5141" s="10"/>
      <c r="D5141" s="13"/>
      <c r="E5141" s="14"/>
      <c r="F5141" s="14"/>
      <c r="G5141" s="14"/>
      <c r="H5141" s="10"/>
      <c r="I5141" s="17"/>
      <c r="J5141" s="10"/>
      <c r="K5141" s="46"/>
      <c r="L5141" s="10"/>
      <c r="M5141" s="20"/>
      <c r="N5141" s="20"/>
      <c r="O5141" s="20"/>
      <c r="P5141" s="20"/>
    </row>
    <row r="5142">
      <c r="A5142" s="23"/>
      <c r="B5142" s="21"/>
      <c r="C5142" s="23"/>
      <c r="D5142" s="24"/>
      <c r="E5142" s="14"/>
      <c r="F5142" s="14"/>
      <c r="G5142" s="14"/>
      <c r="H5142" s="23"/>
      <c r="I5142" s="27"/>
      <c r="J5142" s="23"/>
      <c r="K5142" s="30"/>
      <c r="L5142" s="23"/>
      <c r="M5142" s="20"/>
      <c r="N5142" s="20"/>
      <c r="O5142" s="20"/>
      <c r="P5142" s="20"/>
    </row>
    <row r="5143">
      <c r="A5143" s="10"/>
      <c r="B5143" s="11"/>
      <c r="C5143" s="10"/>
      <c r="D5143" s="13"/>
      <c r="E5143" s="14"/>
      <c r="F5143" s="14"/>
      <c r="G5143" s="14"/>
      <c r="H5143" s="10"/>
      <c r="I5143" s="17"/>
      <c r="J5143" s="10"/>
      <c r="K5143" s="46"/>
      <c r="L5143" s="10"/>
      <c r="M5143" s="20"/>
      <c r="N5143" s="20"/>
      <c r="O5143" s="20"/>
      <c r="P5143" s="20"/>
    </row>
    <row r="5144">
      <c r="A5144" s="23"/>
      <c r="B5144" s="21"/>
      <c r="C5144" s="23"/>
      <c r="D5144" s="24"/>
      <c r="E5144" s="14"/>
      <c r="F5144" s="14"/>
      <c r="G5144" s="14"/>
      <c r="H5144" s="23"/>
      <c r="I5144" s="27"/>
      <c r="J5144" s="23"/>
      <c r="K5144" s="30"/>
      <c r="L5144" s="23"/>
      <c r="M5144" s="20"/>
      <c r="N5144" s="20"/>
      <c r="O5144" s="20"/>
      <c r="P5144" s="20"/>
    </row>
    <row r="5145">
      <c r="A5145" s="10"/>
      <c r="B5145" s="11"/>
      <c r="C5145" s="10"/>
      <c r="D5145" s="13"/>
      <c r="E5145" s="14"/>
      <c r="F5145" s="14"/>
      <c r="G5145" s="14"/>
      <c r="H5145" s="10"/>
      <c r="I5145" s="17"/>
      <c r="J5145" s="10"/>
      <c r="K5145" s="46"/>
      <c r="L5145" s="10"/>
      <c r="M5145" s="20"/>
      <c r="N5145" s="20"/>
      <c r="O5145" s="20"/>
      <c r="P5145" s="20"/>
    </row>
    <row r="5146">
      <c r="A5146" s="23"/>
      <c r="B5146" s="21"/>
      <c r="C5146" s="23"/>
      <c r="D5146" s="24"/>
      <c r="E5146" s="14"/>
      <c r="F5146" s="14"/>
      <c r="G5146" s="14"/>
      <c r="H5146" s="23"/>
      <c r="I5146" s="27"/>
      <c r="J5146" s="23"/>
      <c r="K5146" s="30"/>
      <c r="L5146" s="23"/>
      <c r="M5146" s="20"/>
      <c r="N5146" s="20"/>
      <c r="O5146" s="20"/>
      <c r="P5146" s="20"/>
    </row>
    <row r="5147">
      <c r="A5147" s="10"/>
      <c r="B5147" s="11"/>
      <c r="C5147" s="10"/>
      <c r="D5147" s="13"/>
      <c r="E5147" s="14"/>
      <c r="F5147" s="14"/>
      <c r="G5147" s="14"/>
      <c r="H5147" s="10"/>
      <c r="I5147" s="17"/>
      <c r="J5147" s="10"/>
      <c r="K5147" s="46"/>
      <c r="L5147" s="10"/>
      <c r="M5147" s="20"/>
      <c r="N5147" s="20"/>
      <c r="O5147" s="20"/>
      <c r="P5147" s="20"/>
    </row>
    <row r="5148">
      <c r="A5148" s="23"/>
      <c r="B5148" s="21"/>
      <c r="C5148" s="23"/>
      <c r="D5148" s="24"/>
      <c r="E5148" s="14"/>
      <c r="F5148" s="14"/>
      <c r="G5148" s="14"/>
      <c r="H5148" s="23"/>
      <c r="I5148" s="27"/>
      <c r="J5148" s="23"/>
      <c r="K5148" s="30"/>
      <c r="L5148" s="23"/>
      <c r="M5148" s="20"/>
      <c r="N5148" s="20"/>
      <c r="O5148" s="20"/>
      <c r="P5148" s="20"/>
    </row>
    <row r="5149">
      <c r="A5149" s="10"/>
      <c r="B5149" s="11"/>
      <c r="C5149" s="10"/>
      <c r="D5149" s="13"/>
      <c r="E5149" s="14"/>
      <c r="F5149" s="14"/>
      <c r="G5149" s="14"/>
      <c r="H5149" s="10"/>
      <c r="I5149" s="17"/>
      <c r="J5149" s="10"/>
      <c r="K5149" s="46"/>
      <c r="L5149" s="10"/>
      <c r="M5149" s="20"/>
      <c r="N5149" s="20"/>
      <c r="O5149" s="20"/>
      <c r="P5149" s="20"/>
    </row>
    <row r="5150">
      <c r="A5150" s="23"/>
      <c r="B5150" s="21"/>
      <c r="C5150" s="23"/>
      <c r="D5150" s="24"/>
      <c r="E5150" s="14"/>
      <c r="F5150" s="14"/>
      <c r="G5150" s="14"/>
      <c r="H5150" s="23"/>
      <c r="I5150" s="27"/>
      <c r="J5150" s="23"/>
      <c r="K5150" s="30"/>
      <c r="L5150" s="23"/>
      <c r="M5150" s="20"/>
      <c r="N5150" s="20"/>
      <c r="O5150" s="20"/>
      <c r="P5150" s="20"/>
    </row>
    <row r="5151">
      <c r="A5151" s="10"/>
      <c r="B5151" s="11"/>
      <c r="C5151" s="10"/>
      <c r="D5151" s="13"/>
      <c r="E5151" s="14"/>
      <c r="F5151" s="14"/>
      <c r="G5151" s="14"/>
      <c r="H5151" s="10"/>
      <c r="I5151" s="17"/>
      <c r="J5151" s="10"/>
      <c r="K5151" s="46"/>
      <c r="L5151" s="10"/>
      <c r="M5151" s="20"/>
      <c r="N5151" s="20"/>
      <c r="O5151" s="20"/>
      <c r="P5151" s="20"/>
    </row>
    <row r="5152">
      <c r="A5152" s="23"/>
      <c r="B5152" s="21"/>
      <c r="C5152" s="23"/>
      <c r="D5152" s="24"/>
      <c r="E5152" s="14"/>
      <c r="F5152" s="14"/>
      <c r="G5152" s="14"/>
      <c r="H5152" s="23"/>
      <c r="I5152" s="27"/>
      <c r="J5152" s="23"/>
      <c r="K5152" s="30"/>
      <c r="L5152" s="23"/>
      <c r="M5152" s="20"/>
      <c r="N5152" s="20"/>
      <c r="O5152" s="20"/>
      <c r="P5152" s="20"/>
    </row>
    <row r="5153">
      <c r="A5153" s="10"/>
      <c r="B5153" s="11"/>
      <c r="C5153" s="10"/>
      <c r="D5153" s="13"/>
      <c r="E5153" s="14"/>
      <c r="F5153" s="14"/>
      <c r="G5153" s="14"/>
      <c r="H5153" s="10"/>
      <c r="I5153" s="17"/>
      <c r="J5153" s="10"/>
      <c r="K5153" s="46"/>
      <c r="L5153" s="10"/>
      <c r="M5153" s="20"/>
      <c r="N5153" s="20"/>
      <c r="O5153" s="20"/>
      <c r="P5153" s="20"/>
    </row>
    <row r="5154">
      <c r="A5154" s="23"/>
      <c r="B5154" s="21"/>
      <c r="C5154" s="23"/>
      <c r="D5154" s="24"/>
      <c r="E5154" s="14"/>
      <c r="F5154" s="14"/>
      <c r="G5154" s="14"/>
      <c r="H5154" s="23"/>
      <c r="I5154" s="27"/>
      <c r="J5154" s="23"/>
      <c r="K5154" s="30"/>
      <c r="L5154" s="23"/>
      <c r="M5154" s="20"/>
      <c r="N5154" s="20"/>
      <c r="O5154" s="20"/>
      <c r="P5154" s="20"/>
    </row>
    <row r="5155">
      <c r="A5155" s="10"/>
      <c r="B5155" s="11"/>
      <c r="C5155" s="10"/>
      <c r="D5155" s="13"/>
      <c r="E5155" s="14"/>
      <c r="F5155" s="14"/>
      <c r="G5155" s="14"/>
      <c r="H5155" s="10"/>
      <c r="I5155" s="17"/>
      <c r="J5155" s="10"/>
      <c r="K5155" s="46"/>
      <c r="L5155" s="10"/>
      <c r="M5155" s="20"/>
      <c r="N5155" s="20"/>
      <c r="O5155" s="20"/>
      <c r="P5155" s="20"/>
    </row>
    <row r="5156">
      <c r="A5156" s="23"/>
      <c r="B5156" s="21"/>
      <c r="C5156" s="23"/>
      <c r="D5156" s="24"/>
      <c r="E5156" s="14"/>
      <c r="F5156" s="14"/>
      <c r="G5156" s="14"/>
      <c r="H5156" s="23"/>
      <c r="I5156" s="27"/>
      <c r="J5156" s="23"/>
      <c r="K5156" s="30"/>
      <c r="L5156" s="23"/>
      <c r="M5156" s="20"/>
      <c r="N5156" s="20"/>
      <c r="O5156" s="20"/>
      <c r="P5156" s="20"/>
    </row>
    <row r="5157">
      <c r="A5157" s="10"/>
      <c r="B5157" s="11"/>
      <c r="C5157" s="10"/>
      <c r="D5157" s="13"/>
      <c r="E5157" s="14"/>
      <c r="F5157" s="14"/>
      <c r="G5157" s="14"/>
      <c r="H5157" s="10"/>
      <c r="I5157" s="17"/>
      <c r="J5157" s="10"/>
      <c r="K5157" s="46"/>
      <c r="L5157" s="10"/>
      <c r="M5157" s="20"/>
      <c r="N5157" s="20"/>
      <c r="O5157" s="20"/>
      <c r="P5157" s="20"/>
    </row>
    <row r="5158">
      <c r="A5158" s="23"/>
      <c r="B5158" s="21"/>
      <c r="C5158" s="23"/>
      <c r="D5158" s="24"/>
      <c r="E5158" s="14"/>
      <c r="F5158" s="14"/>
      <c r="G5158" s="14"/>
      <c r="H5158" s="23"/>
      <c r="I5158" s="27"/>
      <c r="J5158" s="23"/>
      <c r="K5158" s="30"/>
      <c r="L5158" s="23"/>
      <c r="M5158" s="20"/>
      <c r="N5158" s="20"/>
      <c r="O5158" s="20"/>
      <c r="P5158" s="20"/>
    </row>
    <row r="5159">
      <c r="A5159" s="10"/>
      <c r="B5159" s="11"/>
      <c r="C5159" s="10"/>
      <c r="D5159" s="13"/>
      <c r="E5159" s="14"/>
      <c r="F5159" s="14"/>
      <c r="G5159" s="14"/>
      <c r="H5159" s="10"/>
      <c r="I5159" s="17"/>
      <c r="J5159" s="10"/>
      <c r="K5159" s="46"/>
      <c r="L5159" s="10"/>
      <c r="M5159" s="20"/>
      <c r="N5159" s="20"/>
      <c r="O5159" s="20"/>
      <c r="P5159" s="20"/>
    </row>
    <row r="5160">
      <c r="A5160" s="23"/>
      <c r="B5160" s="21"/>
      <c r="C5160" s="23"/>
      <c r="D5160" s="24"/>
      <c r="E5160" s="14"/>
      <c r="F5160" s="14"/>
      <c r="G5160" s="14"/>
      <c r="H5160" s="23"/>
      <c r="I5160" s="27"/>
      <c r="J5160" s="23"/>
      <c r="K5160" s="30"/>
      <c r="L5160" s="23"/>
      <c r="M5160" s="20"/>
      <c r="N5160" s="20"/>
      <c r="O5160" s="20"/>
      <c r="P5160" s="20"/>
    </row>
    <row r="5161">
      <c r="A5161" s="10"/>
      <c r="B5161" s="11"/>
      <c r="C5161" s="10"/>
      <c r="D5161" s="13"/>
      <c r="E5161" s="14"/>
      <c r="F5161" s="14"/>
      <c r="G5161" s="14"/>
      <c r="H5161" s="10"/>
      <c r="I5161" s="17"/>
      <c r="J5161" s="10"/>
      <c r="K5161" s="46"/>
      <c r="L5161" s="10"/>
      <c r="M5161" s="20"/>
      <c r="N5161" s="20"/>
      <c r="O5161" s="20"/>
      <c r="P5161" s="20"/>
    </row>
    <row r="5162">
      <c r="A5162" s="23"/>
      <c r="B5162" s="21"/>
      <c r="C5162" s="23"/>
      <c r="D5162" s="24"/>
      <c r="E5162" s="14"/>
      <c r="F5162" s="14"/>
      <c r="G5162" s="14"/>
      <c r="H5162" s="23"/>
      <c r="I5162" s="27"/>
      <c r="J5162" s="23"/>
      <c r="K5162" s="30"/>
      <c r="L5162" s="23"/>
      <c r="M5162" s="20"/>
      <c r="N5162" s="20"/>
      <c r="O5162" s="20"/>
      <c r="P5162" s="20"/>
    </row>
    <row r="5163">
      <c r="A5163" s="10"/>
      <c r="B5163" s="11"/>
      <c r="C5163" s="10"/>
      <c r="D5163" s="13"/>
      <c r="E5163" s="14"/>
      <c r="F5163" s="14"/>
      <c r="G5163" s="14"/>
      <c r="H5163" s="10"/>
      <c r="I5163" s="17"/>
      <c r="J5163" s="10"/>
      <c r="K5163" s="46"/>
      <c r="L5163" s="10"/>
      <c r="M5163" s="20"/>
      <c r="N5163" s="20"/>
      <c r="O5163" s="20"/>
      <c r="P5163" s="20"/>
    </row>
    <row r="5164">
      <c r="A5164" s="23"/>
      <c r="B5164" s="21"/>
      <c r="C5164" s="23"/>
      <c r="D5164" s="24"/>
      <c r="E5164" s="14"/>
      <c r="F5164" s="14"/>
      <c r="G5164" s="14"/>
      <c r="H5164" s="23"/>
      <c r="I5164" s="27"/>
      <c r="J5164" s="23"/>
      <c r="K5164" s="30"/>
      <c r="L5164" s="23"/>
      <c r="M5164" s="20"/>
      <c r="N5164" s="20"/>
      <c r="O5164" s="20"/>
      <c r="P5164" s="20"/>
    </row>
    <row r="5165">
      <c r="A5165" s="10"/>
      <c r="B5165" s="11"/>
      <c r="C5165" s="10"/>
      <c r="D5165" s="13"/>
      <c r="E5165" s="14"/>
      <c r="F5165" s="14"/>
      <c r="G5165" s="14"/>
      <c r="H5165" s="10"/>
      <c r="I5165" s="17"/>
      <c r="J5165" s="10"/>
      <c r="K5165" s="46"/>
      <c r="L5165" s="10"/>
      <c r="M5165" s="20"/>
      <c r="N5165" s="20"/>
      <c r="O5165" s="20"/>
      <c r="P5165" s="20"/>
    </row>
    <row r="5166">
      <c r="A5166" s="23"/>
      <c r="B5166" s="21"/>
      <c r="C5166" s="23"/>
      <c r="D5166" s="24"/>
      <c r="E5166" s="14"/>
      <c r="F5166" s="14"/>
      <c r="G5166" s="14"/>
      <c r="H5166" s="23"/>
      <c r="I5166" s="27"/>
      <c r="J5166" s="23"/>
      <c r="K5166" s="30"/>
      <c r="L5166" s="23"/>
      <c r="M5166" s="20"/>
      <c r="N5166" s="20"/>
      <c r="O5166" s="20"/>
      <c r="P5166" s="20"/>
    </row>
    <row r="5167">
      <c r="A5167" s="10"/>
      <c r="B5167" s="11"/>
      <c r="C5167" s="10"/>
      <c r="D5167" s="13"/>
      <c r="E5167" s="14"/>
      <c r="F5167" s="14"/>
      <c r="G5167" s="14"/>
      <c r="H5167" s="10"/>
      <c r="I5167" s="17"/>
      <c r="J5167" s="10"/>
      <c r="K5167" s="46"/>
      <c r="L5167" s="10"/>
      <c r="M5167" s="20"/>
      <c r="N5167" s="20"/>
      <c r="O5167" s="20"/>
      <c r="P5167" s="20"/>
    </row>
    <row r="5168">
      <c r="A5168" s="23"/>
      <c r="B5168" s="21"/>
      <c r="C5168" s="23"/>
      <c r="D5168" s="24"/>
      <c r="E5168" s="14"/>
      <c r="F5168" s="14"/>
      <c r="G5168" s="14"/>
      <c r="H5168" s="23"/>
      <c r="I5168" s="27"/>
      <c r="J5168" s="23"/>
      <c r="K5168" s="30"/>
      <c r="L5168" s="23"/>
      <c r="M5168" s="20"/>
      <c r="N5168" s="20"/>
      <c r="O5168" s="20"/>
      <c r="P5168" s="20"/>
    </row>
    <row r="5169">
      <c r="A5169" s="10"/>
      <c r="B5169" s="11"/>
      <c r="C5169" s="10"/>
      <c r="D5169" s="13"/>
      <c r="E5169" s="14"/>
      <c r="F5169" s="14"/>
      <c r="G5169" s="14"/>
      <c r="H5169" s="10"/>
      <c r="I5169" s="17"/>
      <c r="J5169" s="10"/>
      <c r="K5169" s="46"/>
      <c r="L5169" s="10"/>
      <c r="M5169" s="20"/>
      <c r="N5169" s="20"/>
      <c r="O5169" s="20"/>
      <c r="P5169" s="20"/>
    </row>
    <row r="5170">
      <c r="A5170" s="23"/>
      <c r="B5170" s="21"/>
      <c r="C5170" s="23"/>
      <c r="D5170" s="24"/>
      <c r="E5170" s="14"/>
      <c r="F5170" s="14"/>
      <c r="G5170" s="14"/>
      <c r="H5170" s="23"/>
      <c r="I5170" s="27"/>
      <c r="J5170" s="23"/>
      <c r="K5170" s="30"/>
      <c r="L5170" s="23"/>
      <c r="M5170" s="20"/>
      <c r="N5170" s="20"/>
      <c r="O5170" s="20"/>
      <c r="P5170" s="20"/>
    </row>
    <row r="5171">
      <c r="A5171" s="10"/>
      <c r="B5171" s="11"/>
      <c r="C5171" s="10"/>
      <c r="D5171" s="13"/>
      <c r="E5171" s="14"/>
      <c r="F5171" s="14"/>
      <c r="G5171" s="14"/>
      <c r="H5171" s="10"/>
      <c r="I5171" s="17"/>
      <c r="J5171" s="10"/>
      <c r="K5171" s="46"/>
      <c r="L5171" s="10"/>
      <c r="M5171" s="20"/>
      <c r="N5171" s="20"/>
      <c r="O5171" s="20"/>
      <c r="P5171" s="20"/>
    </row>
    <row r="5172">
      <c r="A5172" s="23"/>
      <c r="B5172" s="21"/>
      <c r="C5172" s="23"/>
      <c r="D5172" s="24"/>
      <c r="E5172" s="14"/>
      <c r="F5172" s="14"/>
      <c r="G5172" s="14"/>
      <c r="H5172" s="23"/>
      <c r="I5172" s="27"/>
      <c r="J5172" s="23"/>
      <c r="K5172" s="30"/>
      <c r="L5172" s="23"/>
      <c r="M5172" s="20"/>
      <c r="N5172" s="20"/>
      <c r="O5172" s="20"/>
      <c r="P5172" s="20"/>
    </row>
    <row r="5173">
      <c r="A5173" s="10"/>
      <c r="B5173" s="11"/>
      <c r="C5173" s="10"/>
      <c r="D5173" s="13"/>
      <c r="E5173" s="14"/>
      <c r="F5173" s="14"/>
      <c r="G5173" s="14"/>
      <c r="H5173" s="10"/>
      <c r="I5173" s="17"/>
      <c r="J5173" s="10"/>
      <c r="K5173" s="46"/>
      <c r="L5173" s="10"/>
      <c r="M5173" s="20"/>
      <c r="N5173" s="20"/>
      <c r="O5173" s="20"/>
      <c r="P5173" s="20"/>
    </row>
    <row r="5174">
      <c r="A5174" s="23"/>
      <c r="B5174" s="21"/>
      <c r="C5174" s="23"/>
      <c r="D5174" s="24"/>
      <c r="E5174" s="14"/>
      <c r="F5174" s="14"/>
      <c r="G5174" s="14"/>
      <c r="H5174" s="23"/>
      <c r="I5174" s="27"/>
      <c r="J5174" s="23"/>
      <c r="K5174" s="30"/>
      <c r="L5174" s="23"/>
      <c r="M5174" s="20"/>
      <c r="N5174" s="20"/>
      <c r="O5174" s="20"/>
      <c r="P5174" s="20"/>
    </row>
    <row r="5175">
      <c r="A5175" s="10"/>
      <c r="B5175" s="11"/>
      <c r="C5175" s="10"/>
      <c r="D5175" s="13"/>
      <c r="E5175" s="14"/>
      <c r="F5175" s="14"/>
      <c r="G5175" s="14"/>
      <c r="H5175" s="10"/>
      <c r="I5175" s="17"/>
      <c r="J5175" s="10"/>
      <c r="K5175" s="46"/>
      <c r="L5175" s="10"/>
      <c r="M5175" s="20"/>
      <c r="N5175" s="20"/>
      <c r="O5175" s="20"/>
      <c r="P5175" s="20"/>
    </row>
    <row r="5176">
      <c r="A5176" s="23"/>
      <c r="B5176" s="21"/>
      <c r="C5176" s="23"/>
      <c r="D5176" s="24"/>
      <c r="E5176" s="14"/>
      <c r="F5176" s="14"/>
      <c r="G5176" s="14"/>
      <c r="H5176" s="23"/>
      <c r="I5176" s="27"/>
      <c r="J5176" s="23"/>
      <c r="K5176" s="30"/>
      <c r="L5176" s="23"/>
      <c r="M5176" s="20"/>
      <c r="N5176" s="20"/>
      <c r="O5176" s="20"/>
      <c r="P5176" s="20"/>
    </row>
    <row r="5177">
      <c r="A5177" s="10"/>
      <c r="B5177" s="11"/>
      <c r="C5177" s="10"/>
      <c r="D5177" s="13"/>
      <c r="E5177" s="14"/>
      <c r="F5177" s="14"/>
      <c r="G5177" s="14"/>
      <c r="H5177" s="10"/>
      <c r="I5177" s="17"/>
      <c r="J5177" s="10"/>
      <c r="K5177" s="46"/>
      <c r="L5177" s="10"/>
      <c r="M5177" s="20"/>
      <c r="N5177" s="20"/>
      <c r="O5177" s="20"/>
      <c r="P5177" s="20"/>
    </row>
    <row r="5178">
      <c r="A5178" s="23"/>
      <c r="B5178" s="21"/>
      <c r="C5178" s="23"/>
      <c r="D5178" s="24"/>
      <c r="E5178" s="14"/>
      <c r="F5178" s="14"/>
      <c r="G5178" s="14"/>
      <c r="H5178" s="23"/>
      <c r="I5178" s="27"/>
      <c r="J5178" s="23"/>
      <c r="K5178" s="30"/>
      <c r="L5178" s="23"/>
      <c r="M5178" s="20"/>
      <c r="N5178" s="20"/>
      <c r="O5178" s="20"/>
      <c r="P5178" s="20"/>
    </row>
    <row r="5179">
      <c r="A5179" s="10"/>
      <c r="B5179" s="11"/>
      <c r="C5179" s="10"/>
      <c r="D5179" s="13"/>
      <c r="E5179" s="14"/>
      <c r="F5179" s="14"/>
      <c r="G5179" s="14"/>
      <c r="H5179" s="10"/>
      <c r="I5179" s="17"/>
      <c r="J5179" s="10"/>
      <c r="K5179" s="46"/>
      <c r="L5179" s="10"/>
      <c r="M5179" s="20"/>
      <c r="N5179" s="20"/>
      <c r="O5179" s="20"/>
      <c r="P5179" s="20"/>
    </row>
    <row r="5180">
      <c r="A5180" s="23"/>
      <c r="B5180" s="21"/>
      <c r="C5180" s="23"/>
      <c r="D5180" s="24"/>
      <c r="E5180" s="14"/>
      <c r="F5180" s="14"/>
      <c r="G5180" s="14"/>
      <c r="H5180" s="23"/>
      <c r="I5180" s="27"/>
      <c r="J5180" s="23"/>
      <c r="K5180" s="30"/>
      <c r="L5180" s="23"/>
      <c r="M5180" s="20"/>
      <c r="N5180" s="20"/>
      <c r="O5180" s="20"/>
      <c r="P5180" s="20"/>
    </row>
    <row r="5181">
      <c r="A5181" s="10"/>
      <c r="B5181" s="11"/>
      <c r="C5181" s="10"/>
      <c r="D5181" s="13"/>
      <c r="E5181" s="14"/>
      <c r="F5181" s="14"/>
      <c r="G5181" s="14"/>
      <c r="H5181" s="10"/>
      <c r="I5181" s="17"/>
      <c r="J5181" s="10"/>
      <c r="K5181" s="46"/>
      <c r="L5181" s="10"/>
      <c r="M5181" s="20"/>
      <c r="N5181" s="20"/>
      <c r="O5181" s="20"/>
      <c r="P5181" s="20"/>
    </row>
    <row r="5182">
      <c r="A5182" s="23"/>
      <c r="B5182" s="21"/>
      <c r="C5182" s="23"/>
      <c r="D5182" s="24"/>
      <c r="E5182" s="14"/>
      <c r="F5182" s="14"/>
      <c r="G5182" s="14"/>
      <c r="H5182" s="23"/>
      <c r="I5182" s="27"/>
      <c r="J5182" s="23"/>
      <c r="K5182" s="30"/>
      <c r="L5182" s="23"/>
      <c r="M5182" s="20"/>
      <c r="N5182" s="20"/>
      <c r="O5182" s="20"/>
      <c r="P5182" s="20"/>
    </row>
    <row r="5183">
      <c r="A5183" s="10"/>
      <c r="B5183" s="11"/>
      <c r="C5183" s="10"/>
      <c r="D5183" s="13"/>
      <c r="E5183" s="14"/>
      <c r="F5183" s="14"/>
      <c r="G5183" s="14"/>
      <c r="H5183" s="10"/>
      <c r="I5183" s="17"/>
      <c r="J5183" s="10"/>
      <c r="K5183" s="46"/>
      <c r="L5183" s="10"/>
      <c r="M5183" s="20"/>
      <c r="N5183" s="20"/>
      <c r="O5183" s="20"/>
      <c r="P5183" s="20"/>
    </row>
    <row r="5184">
      <c r="A5184" s="23"/>
      <c r="B5184" s="21"/>
      <c r="C5184" s="23"/>
      <c r="D5184" s="24"/>
      <c r="E5184" s="14"/>
      <c r="F5184" s="14"/>
      <c r="G5184" s="14"/>
      <c r="H5184" s="23"/>
      <c r="I5184" s="27"/>
      <c r="J5184" s="23"/>
      <c r="K5184" s="30"/>
      <c r="L5184" s="23"/>
      <c r="M5184" s="20"/>
      <c r="N5184" s="20"/>
      <c r="O5184" s="20"/>
      <c r="P5184" s="20"/>
    </row>
    <row r="5185">
      <c r="A5185" s="10"/>
      <c r="B5185" s="11"/>
      <c r="C5185" s="10"/>
      <c r="D5185" s="13"/>
      <c r="E5185" s="14"/>
      <c r="F5185" s="14"/>
      <c r="G5185" s="14"/>
      <c r="H5185" s="10"/>
      <c r="I5185" s="17"/>
      <c r="J5185" s="10"/>
      <c r="K5185" s="46"/>
      <c r="L5185" s="10"/>
      <c r="M5185" s="20"/>
      <c r="N5185" s="20"/>
      <c r="O5185" s="20"/>
      <c r="P5185" s="20"/>
    </row>
    <row r="5186">
      <c r="A5186" s="23"/>
      <c r="B5186" s="21"/>
      <c r="C5186" s="23"/>
      <c r="D5186" s="24"/>
      <c r="E5186" s="14"/>
      <c r="F5186" s="14"/>
      <c r="G5186" s="14"/>
      <c r="H5186" s="23"/>
      <c r="I5186" s="27"/>
      <c r="J5186" s="23"/>
      <c r="K5186" s="30"/>
      <c r="L5186" s="23"/>
      <c r="M5186" s="20"/>
      <c r="N5186" s="20"/>
      <c r="O5186" s="20"/>
      <c r="P5186" s="20"/>
    </row>
    <row r="5187">
      <c r="A5187" s="10"/>
      <c r="B5187" s="11"/>
      <c r="C5187" s="10"/>
      <c r="D5187" s="13"/>
      <c r="E5187" s="14"/>
      <c r="F5187" s="14"/>
      <c r="G5187" s="14"/>
      <c r="H5187" s="10"/>
      <c r="I5187" s="17"/>
      <c r="J5187" s="10"/>
      <c r="K5187" s="46"/>
      <c r="L5187" s="10"/>
      <c r="M5187" s="20"/>
      <c r="N5187" s="20"/>
      <c r="O5187" s="20"/>
      <c r="P5187" s="20"/>
    </row>
    <row r="5188">
      <c r="A5188" s="23"/>
      <c r="B5188" s="21"/>
      <c r="C5188" s="23"/>
      <c r="D5188" s="24"/>
      <c r="E5188" s="14"/>
      <c r="F5188" s="14"/>
      <c r="G5188" s="14"/>
      <c r="H5188" s="23"/>
      <c r="I5188" s="27"/>
      <c r="J5188" s="23"/>
      <c r="K5188" s="30"/>
      <c r="L5188" s="23"/>
      <c r="M5188" s="20"/>
      <c r="N5188" s="20"/>
      <c r="O5188" s="20"/>
      <c r="P5188" s="20"/>
    </row>
    <row r="5189">
      <c r="A5189" s="10"/>
      <c r="B5189" s="11"/>
      <c r="C5189" s="10"/>
      <c r="D5189" s="13"/>
      <c r="E5189" s="14"/>
      <c r="F5189" s="14"/>
      <c r="G5189" s="14"/>
      <c r="H5189" s="10"/>
      <c r="I5189" s="17"/>
      <c r="J5189" s="10"/>
      <c r="K5189" s="46"/>
      <c r="L5189" s="10"/>
      <c r="M5189" s="20"/>
      <c r="N5189" s="20"/>
      <c r="O5189" s="20"/>
      <c r="P5189" s="20"/>
    </row>
    <row r="5190">
      <c r="A5190" s="23"/>
      <c r="B5190" s="21"/>
      <c r="C5190" s="23"/>
      <c r="D5190" s="24"/>
      <c r="E5190" s="14"/>
      <c r="F5190" s="14"/>
      <c r="G5190" s="14"/>
      <c r="H5190" s="23"/>
      <c r="I5190" s="27"/>
      <c r="J5190" s="23"/>
      <c r="K5190" s="30"/>
      <c r="L5190" s="23"/>
      <c r="M5190" s="20"/>
      <c r="N5190" s="20"/>
      <c r="O5190" s="20"/>
      <c r="P5190" s="20"/>
    </row>
    <row r="5191">
      <c r="A5191" s="10"/>
      <c r="B5191" s="11"/>
      <c r="C5191" s="10"/>
      <c r="D5191" s="13"/>
      <c r="E5191" s="14"/>
      <c r="F5191" s="14"/>
      <c r="G5191" s="14"/>
      <c r="H5191" s="10"/>
      <c r="I5191" s="17"/>
      <c r="J5191" s="10"/>
      <c r="K5191" s="46"/>
      <c r="L5191" s="10"/>
      <c r="M5191" s="20"/>
      <c r="N5191" s="20"/>
      <c r="O5191" s="20"/>
      <c r="P5191" s="20"/>
    </row>
    <row r="5192">
      <c r="A5192" s="23"/>
      <c r="B5192" s="21"/>
      <c r="C5192" s="23"/>
      <c r="D5192" s="24"/>
      <c r="E5192" s="14"/>
      <c r="F5192" s="14"/>
      <c r="G5192" s="14"/>
      <c r="H5192" s="23"/>
      <c r="I5192" s="27"/>
      <c r="J5192" s="23"/>
      <c r="K5192" s="30"/>
      <c r="L5192" s="23"/>
      <c r="M5192" s="20"/>
      <c r="N5192" s="20"/>
      <c r="O5192" s="20"/>
      <c r="P5192" s="20"/>
    </row>
    <row r="5193">
      <c r="A5193" s="10"/>
      <c r="B5193" s="11"/>
      <c r="C5193" s="10"/>
      <c r="D5193" s="13"/>
      <c r="E5193" s="14"/>
      <c r="F5193" s="14"/>
      <c r="G5193" s="14"/>
      <c r="H5193" s="10"/>
      <c r="I5193" s="17"/>
      <c r="J5193" s="10"/>
      <c r="K5193" s="46"/>
      <c r="L5193" s="10"/>
      <c r="M5193" s="20"/>
      <c r="N5193" s="20"/>
      <c r="O5193" s="20"/>
      <c r="P5193" s="20"/>
    </row>
    <row r="5194">
      <c r="A5194" s="23"/>
      <c r="B5194" s="21"/>
      <c r="C5194" s="23"/>
      <c r="D5194" s="24"/>
      <c r="E5194" s="14"/>
      <c r="F5194" s="14"/>
      <c r="G5194" s="14"/>
      <c r="H5194" s="23"/>
      <c r="I5194" s="27"/>
      <c r="J5194" s="23"/>
      <c r="K5194" s="30"/>
      <c r="L5194" s="23"/>
      <c r="M5194" s="20"/>
      <c r="N5194" s="20"/>
      <c r="O5194" s="20"/>
      <c r="P5194" s="20"/>
    </row>
    <row r="5195">
      <c r="A5195" s="10"/>
      <c r="B5195" s="11"/>
      <c r="C5195" s="10"/>
      <c r="D5195" s="13"/>
      <c r="E5195" s="14"/>
      <c r="F5195" s="14"/>
      <c r="G5195" s="14"/>
      <c r="H5195" s="10"/>
      <c r="I5195" s="17"/>
      <c r="J5195" s="10"/>
      <c r="K5195" s="46"/>
      <c r="L5195" s="10"/>
      <c r="M5195" s="20"/>
      <c r="N5195" s="20"/>
      <c r="O5195" s="20"/>
      <c r="P5195" s="20"/>
    </row>
    <row r="5196">
      <c r="A5196" s="23"/>
      <c r="B5196" s="21"/>
      <c r="C5196" s="23"/>
      <c r="D5196" s="24"/>
      <c r="E5196" s="14"/>
      <c r="F5196" s="14"/>
      <c r="G5196" s="14"/>
      <c r="H5196" s="23"/>
      <c r="I5196" s="27"/>
      <c r="J5196" s="23"/>
      <c r="K5196" s="30"/>
      <c r="L5196" s="23"/>
      <c r="M5196" s="20"/>
      <c r="N5196" s="20"/>
      <c r="O5196" s="20"/>
      <c r="P5196" s="20"/>
    </row>
    <row r="5197">
      <c r="A5197" s="10"/>
      <c r="B5197" s="11"/>
      <c r="C5197" s="10"/>
      <c r="D5197" s="13"/>
      <c r="E5197" s="14"/>
      <c r="F5197" s="14"/>
      <c r="G5197" s="14"/>
      <c r="H5197" s="10"/>
      <c r="I5197" s="17"/>
      <c r="J5197" s="10"/>
      <c r="K5197" s="46"/>
      <c r="L5197" s="10"/>
      <c r="M5197" s="20"/>
      <c r="N5197" s="20"/>
      <c r="O5197" s="20"/>
      <c r="P5197" s="20"/>
    </row>
    <row r="5198">
      <c r="A5198" s="23"/>
      <c r="B5198" s="21"/>
      <c r="C5198" s="23"/>
      <c r="D5198" s="24"/>
      <c r="E5198" s="14"/>
      <c r="F5198" s="14"/>
      <c r="G5198" s="14"/>
      <c r="H5198" s="23"/>
      <c r="I5198" s="27"/>
      <c r="J5198" s="23"/>
      <c r="K5198" s="30"/>
      <c r="L5198" s="23"/>
      <c r="M5198" s="20"/>
      <c r="N5198" s="20"/>
      <c r="O5198" s="20"/>
      <c r="P5198" s="20"/>
    </row>
    <row r="5199">
      <c r="A5199" s="10"/>
      <c r="B5199" s="11"/>
      <c r="C5199" s="10"/>
      <c r="D5199" s="13"/>
      <c r="E5199" s="14"/>
      <c r="F5199" s="14"/>
      <c r="G5199" s="14"/>
      <c r="H5199" s="10"/>
      <c r="I5199" s="17"/>
      <c r="J5199" s="10"/>
      <c r="K5199" s="46"/>
      <c r="L5199" s="10"/>
      <c r="M5199" s="20"/>
      <c r="N5199" s="20"/>
      <c r="O5199" s="20"/>
      <c r="P5199" s="20"/>
    </row>
    <row r="5200">
      <c r="A5200" s="23"/>
      <c r="B5200" s="21"/>
      <c r="C5200" s="23"/>
      <c r="D5200" s="24"/>
      <c r="E5200" s="14"/>
      <c r="F5200" s="14"/>
      <c r="G5200" s="14"/>
      <c r="H5200" s="23"/>
      <c r="I5200" s="27"/>
      <c r="J5200" s="23"/>
      <c r="K5200" s="30"/>
      <c r="L5200" s="23"/>
      <c r="M5200" s="20"/>
      <c r="N5200" s="20"/>
      <c r="O5200" s="20"/>
      <c r="P5200" s="20"/>
    </row>
    <row r="5201">
      <c r="A5201" s="10"/>
      <c r="B5201" s="11"/>
      <c r="C5201" s="10"/>
      <c r="D5201" s="13"/>
      <c r="E5201" s="14"/>
      <c r="F5201" s="14"/>
      <c r="G5201" s="14"/>
      <c r="H5201" s="10"/>
      <c r="I5201" s="17"/>
      <c r="J5201" s="10"/>
      <c r="K5201" s="46"/>
      <c r="L5201" s="10"/>
      <c r="M5201" s="20"/>
      <c r="N5201" s="20"/>
      <c r="O5201" s="20"/>
      <c r="P5201" s="20"/>
    </row>
    <row r="5202">
      <c r="A5202" s="23"/>
      <c r="B5202" s="21"/>
      <c r="C5202" s="23"/>
      <c r="D5202" s="24"/>
      <c r="E5202" s="14"/>
      <c r="F5202" s="14"/>
      <c r="G5202" s="14"/>
      <c r="H5202" s="23"/>
      <c r="I5202" s="27"/>
      <c r="J5202" s="23"/>
      <c r="K5202" s="30"/>
      <c r="L5202" s="23"/>
      <c r="M5202" s="20"/>
      <c r="N5202" s="20"/>
      <c r="O5202" s="20"/>
      <c r="P5202" s="20"/>
    </row>
    <row r="5203">
      <c r="A5203" s="10"/>
      <c r="B5203" s="11"/>
      <c r="C5203" s="10"/>
      <c r="D5203" s="13"/>
      <c r="E5203" s="14"/>
      <c r="F5203" s="14"/>
      <c r="G5203" s="14"/>
      <c r="H5203" s="10"/>
      <c r="I5203" s="17"/>
      <c r="J5203" s="10"/>
      <c r="K5203" s="46"/>
      <c r="L5203" s="10"/>
      <c r="M5203" s="20"/>
      <c r="N5203" s="20"/>
      <c r="O5203" s="20"/>
      <c r="P5203" s="20"/>
    </row>
    <row r="5204">
      <c r="A5204" s="23"/>
      <c r="B5204" s="21"/>
      <c r="C5204" s="23"/>
      <c r="D5204" s="24"/>
      <c r="E5204" s="14"/>
      <c r="F5204" s="14"/>
      <c r="G5204" s="14"/>
      <c r="H5204" s="23"/>
      <c r="I5204" s="27"/>
      <c r="J5204" s="23"/>
      <c r="K5204" s="30"/>
      <c r="L5204" s="23"/>
      <c r="M5204" s="20"/>
      <c r="N5204" s="20"/>
      <c r="O5204" s="20"/>
      <c r="P5204" s="20"/>
    </row>
    <row r="5205">
      <c r="A5205" s="10"/>
      <c r="B5205" s="11"/>
      <c r="C5205" s="10"/>
      <c r="D5205" s="13"/>
      <c r="E5205" s="14"/>
      <c r="F5205" s="14"/>
      <c r="G5205" s="14"/>
      <c r="H5205" s="10"/>
      <c r="I5205" s="17"/>
      <c r="J5205" s="10"/>
      <c r="K5205" s="46"/>
      <c r="L5205" s="10"/>
      <c r="M5205" s="20"/>
      <c r="N5205" s="20"/>
      <c r="O5205" s="20"/>
      <c r="P5205" s="20"/>
    </row>
    <row r="5206">
      <c r="A5206" s="23"/>
      <c r="B5206" s="21"/>
      <c r="C5206" s="23"/>
      <c r="D5206" s="24"/>
      <c r="E5206" s="14"/>
      <c r="F5206" s="14"/>
      <c r="G5206" s="14"/>
      <c r="H5206" s="23"/>
      <c r="I5206" s="27"/>
      <c r="J5206" s="23"/>
      <c r="K5206" s="30"/>
      <c r="L5206" s="23"/>
      <c r="M5206" s="20"/>
      <c r="N5206" s="20"/>
      <c r="O5206" s="20"/>
      <c r="P5206" s="20"/>
    </row>
    <row r="5207">
      <c r="A5207" s="10"/>
      <c r="B5207" s="11"/>
      <c r="C5207" s="10"/>
      <c r="D5207" s="13"/>
      <c r="E5207" s="14"/>
      <c r="F5207" s="14"/>
      <c r="G5207" s="14"/>
      <c r="H5207" s="10"/>
      <c r="I5207" s="17"/>
      <c r="J5207" s="10"/>
      <c r="K5207" s="46"/>
      <c r="L5207" s="10"/>
      <c r="M5207" s="20"/>
      <c r="N5207" s="20"/>
      <c r="O5207" s="20"/>
      <c r="P5207" s="20"/>
    </row>
    <row r="5208">
      <c r="A5208" s="23"/>
      <c r="B5208" s="21"/>
      <c r="C5208" s="23"/>
      <c r="D5208" s="24"/>
      <c r="E5208" s="14"/>
      <c r="F5208" s="14"/>
      <c r="G5208" s="14"/>
      <c r="H5208" s="23"/>
      <c r="I5208" s="27"/>
      <c r="J5208" s="23"/>
      <c r="K5208" s="30"/>
      <c r="L5208" s="23"/>
      <c r="M5208" s="20"/>
      <c r="N5208" s="20"/>
      <c r="O5208" s="20"/>
      <c r="P5208" s="20"/>
    </row>
    <row r="5209">
      <c r="A5209" s="10"/>
      <c r="B5209" s="11"/>
      <c r="C5209" s="10"/>
      <c r="D5209" s="13"/>
      <c r="E5209" s="14"/>
      <c r="F5209" s="14"/>
      <c r="G5209" s="14"/>
      <c r="H5209" s="10"/>
      <c r="I5209" s="17"/>
      <c r="J5209" s="10"/>
      <c r="K5209" s="46"/>
      <c r="L5209" s="10"/>
      <c r="M5209" s="20"/>
      <c r="N5209" s="20"/>
      <c r="O5209" s="20"/>
      <c r="P5209" s="20"/>
    </row>
    <row r="5210">
      <c r="A5210" s="23"/>
      <c r="B5210" s="21"/>
      <c r="C5210" s="23"/>
      <c r="D5210" s="24"/>
      <c r="E5210" s="14"/>
      <c r="F5210" s="14"/>
      <c r="G5210" s="14"/>
      <c r="H5210" s="23"/>
      <c r="I5210" s="27"/>
      <c r="J5210" s="23"/>
      <c r="K5210" s="30"/>
      <c r="L5210" s="23"/>
      <c r="M5210" s="20"/>
      <c r="N5210" s="20"/>
      <c r="O5210" s="20"/>
      <c r="P5210" s="20"/>
    </row>
    <row r="5211">
      <c r="A5211" s="10"/>
      <c r="B5211" s="11"/>
      <c r="C5211" s="10"/>
      <c r="D5211" s="13"/>
      <c r="E5211" s="14"/>
      <c r="F5211" s="14"/>
      <c r="G5211" s="14"/>
      <c r="H5211" s="10"/>
      <c r="I5211" s="17"/>
      <c r="J5211" s="10"/>
      <c r="K5211" s="46"/>
      <c r="L5211" s="10"/>
      <c r="M5211" s="20"/>
      <c r="N5211" s="20"/>
      <c r="O5211" s="20"/>
      <c r="P5211" s="20"/>
    </row>
    <row r="5212">
      <c r="A5212" s="23"/>
      <c r="B5212" s="21"/>
      <c r="C5212" s="23"/>
      <c r="D5212" s="24"/>
      <c r="E5212" s="14"/>
      <c r="F5212" s="14"/>
      <c r="G5212" s="14"/>
      <c r="H5212" s="23"/>
      <c r="I5212" s="27"/>
      <c r="J5212" s="23"/>
      <c r="K5212" s="30"/>
      <c r="L5212" s="23"/>
      <c r="M5212" s="20"/>
      <c r="N5212" s="20"/>
      <c r="O5212" s="20"/>
      <c r="P5212" s="20"/>
    </row>
    <row r="5213">
      <c r="A5213" s="10"/>
      <c r="B5213" s="11"/>
      <c r="C5213" s="10"/>
      <c r="D5213" s="13"/>
      <c r="E5213" s="14"/>
      <c r="F5213" s="14"/>
      <c r="G5213" s="14"/>
      <c r="H5213" s="10"/>
      <c r="I5213" s="17"/>
      <c r="J5213" s="10"/>
      <c r="K5213" s="46"/>
      <c r="L5213" s="10"/>
      <c r="M5213" s="20"/>
      <c r="N5213" s="20"/>
      <c r="O5213" s="20"/>
      <c r="P5213" s="20"/>
    </row>
    <row r="5214">
      <c r="A5214" s="23"/>
      <c r="B5214" s="21"/>
      <c r="C5214" s="23"/>
      <c r="D5214" s="24"/>
      <c r="E5214" s="14"/>
      <c r="F5214" s="14"/>
      <c r="G5214" s="14"/>
      <c r="H5214" s="23"/>
      <c r="I5214" s="27"/>
      <c r="J5214" s="23"/>
      <c r="K5214" s="30"/>
      <c r="L5214" s="23"/>
      <c r="M5214" s="20"/>
      <c r="N5214" s="20"/>
      <c r="O5214" s="20"/>
      <c r="P5214" s="20"/>
    </row>
    <row r="5215">
      <c r="A5215" s="10"/>
      <c r="B5215" s="11"/>
      <c r="C5215" s="10"/>
      <c r="D5215" s="13"/>
      <c r="E5215" s="14"/>
      <c r="F5215" s="14"/>
      <c r="G5215" s="14"/>
      <c r="H5215" s="10"/>
      <c r="I5215" s="17"/>
      <c r="J5215" s="10"/>
      <c r="K5215" s="46"/>
      <c r="L5215" s="10"/>
      <c r="M5215" s="20"/>
      <c r="N5215" s="20"/>
      <c r="O5215" s="20"/>
      <c r="P5215" s="20"/>
    </row>
    <row r="5216">
      <c r="A5216" s="23"/>
      <c r="B5216" s="21"/>
      <c r="C5216" s="23"/>
      <c r="D5216" s="24"/>
      <c r="E5216" s="14"/>
      <c r="F5216" s="14"/>
      <c r="G5216" s="14"/>
      <c r="H5216" s="23"/>
      <c r="I5216" s="27"/>
      <c r="J5216" s="23"/>
      <c r="K5216" s="30"/>
      <c r="L5216" s="23"/>
      <c r="M5216" s="20"/>
      <c r="N5216" s="20"/>
      <c r="O5216" s="20"/>
      <c r="P5216" s="20"/>
    </row>
    <row r="5217">
      <c r="A5217" s="10"/>
      <c r="B5217" s="11"/>
      <c r="C5217" s="10"/>
      <c r="D5217" s="13"/>
      <c r="E5217" s="14"/>
      <c r="F5217" s="14"/>
      <c r="G5217" s="14"/>
      <c r="H5217" s="10"/>
      <c r="I5217" s="17"/>
      <c r="J5217" s="10"/>
      <c r="K5217" s="46"/>
      <c r="L5217" s="10"/>
      <c r="M5217" s="20"/>
      <c r="N5217" s="20"/>
      <c r="O5217" s="20"/>
      <c r="P5217" s="20"/>
    </row>
    <row r="5218">
      <c r="A5218" s="23"/>
      <c r="B5218" s="21"/>
      <c r="C5218" s="23"/>
      <c r="D5218" s="24"/>
      <c r="E5218" s="14"/>
      <c r="F5218" s="14"/>
      <c r="G5218" s="14"/>
      <c r="H5218" s="23"/>
      <c r="I5218" s="27"/>
      <c r="J5218" s="23"/>
      <c r="K5218" s="30"/>
      <c r="L5218" s="23"/>
      <c r="M5218" s="20"/>
      <c r="N5218" s="20"/>
      <c r="O5218" s="20"/>
      <c r="P5218" s="20"/>
    </row>
    <row r="5219">
      <c r="A5219" s="10"/>
      <c r="B5219" s="11"/>
      <c r="C5219" s="10"/>
      <c r="D5219" s="13"/>
      <c r="E5219" s="14"/>
      <c r="F5219" s="14"/>
      <c r="G5219" s="14"/>
      <c r="H5219" s="10"/>
      <c r="I5219" s="17"/>
      <c r="J5219" s="10"/>
      <c r="K5219" s="46"/>
      <c r="L5219" s="10"/>
      <c r="M5219" s="20"/>
      <c r="N5219" s="20"/>
      <c r="O5219" s="20"/>
      <c r="P5219" s="20"/>
    </row>
    <row r="5220">
      <c r="A5220" s="23"/>
      <c r="B5220" s="21"/>
      <c r="C5220" s="23"/>
      <c r="D5220" s="24"/>
      <c r="E5220" s="14"/>
      <c r="F5220" s="14"/>
      <c r="G5220" s="14"/>
      <c r="H5220" s="23"/>
      <c r="I5220" s="27"/>
      <c r="J5220" s="23"/>
      <c r="K5220" s="30"/>
      <c r="L5220" s="23"/>
      <c r="M5220" s="20"/>
      <c r="N5220" s="20"/>
      <c r="O5220" s="20"/>
      <c r="P5220" s="20"/>
    </row>
    <row r="5221">
      <c r="A5221" s="10"/>
      <c r="B5221" s="11"/>
      <c r="C5221" s="10"/>
      <c r="D5221" s="13"/>
      <c r="E5221" s="14"/>
      <c r="F5221" s="14"/>
      <c r="G5221" s="14"/>
      <c r="H5221" s="10"/>
      <c r="I5221" s="17"/>
      <c r="J5221" s="10"/>
      <c r="K5221" s="46"/>
      <c r="L5221" s="10"/>
      <c r="M5221" s="20"/>
      <c r="N5221" s="20"/>
      <c r="O5221" s="20"/>
      <c r="P5221" s="20"/>
    </row>
    <row r="5222">
      <c r="A5222" s="23"/>
      <c r="B5222" s="21"/>
      <c r="C5222" s="23"/>
      <c r="D5222" s="24"/>
      <c r="E5222" s="14"/>
      <c r="F5222" s="14"/>
      <c r="G5222" s="14"/>
      <c r="H5222" s="23"/>
      <c r="I5222" s="27"/>
      <c r="J5222" s="23"/>
      <c r="K5222" s="30"/>
      <c r="L5222" s="23"/>
      <c r="M5222" s="20"/>
      <c r="N5222" s="20"/>
      <c r="O5222" s="20"/>
      <c r="P5222" s="20"/>
    </row>
    <row r="5223">
      <c r="A5223" s="10"/>
      <c r="B5223" s="11"/>
      <c r="C5223" s="10"/>
      <c r="D5223" s="13"/>
      <c r="E5223" s="14"/>
      <c r="F5223" s="14"/>
      <c r="G5223" s="14"/>
      <c r="H5223" s="10"/>
      <c r="I5223" s="17"/>
      <c r="J5223" s="10"/>
      <c r="K5223" s="46"/>
      <c r="L5223" s="10"/>
      <c r="M5223" s="20"/>
      <c r="N5223" s="20"/>
      <c r="O5223" s="20"/>
      <c r="P5223" s="20"/>
    </row>
    <row r="5224">
      <c r="A5224" s="23"/>
      <c r="B5224" s="21"/>
      <c r="C5224" s="23"/>
      <c r="D5224" s="24"/>
      <c r="E5224" s="14"/>
      <c r="F5224" s="14"/>
      <c r="G5224" s="14"/>
      <c r="H5224" s="23"/>
      <c r="I5224" s="27"/>
      <c r="J5224" s="23"/>
      <c r="K5224" s="30"/>
      <c r="L5224" s="23"/>
      <c r="M5224" s="20"/>
      <c r="N5224" s="20"/>
      <c r="O5224" s="20"/>
      <c r="P5224" s="20"/>
    </row>
    <row r="5225">
      <c r="A5225" s="10"/>
      <c r="B5225" s="11"/>
      <c r="C5225" s="10"/>
      <c r="D5225" s="13"/>
      <c r="E5225" s="14"/>
      <c r="F5225" s="14"/>
      <c r="G5225" s="14"/>
      <c r="H5225" s="10"/>
      <c r="I5225" s="17"/>
      <c r="J5225" s="10"/>
      <c r="K5225" s="46"/>
      <c r="L5225" s="10"/>
      <c r="M5225" s="20"/>
      <c r="N5225" s="20"/>
      <c r="O5225" s="20"/>
      <c r="P5225" s="20"/>
    </row>
    <row r="5226">
      <c r="A5226" s="23"/>
      <c r="B5226" s="21"/>
      <c r="C5226" s="23"/>
      <c r="D5226" s="24"/>
      <c r="E5226" s="14"/>
      <c r="F5226" s="14"/>
      <c r="G5226" s="14"/>
      <c r="H5226" s="23"/>
      <c r="I5226" s="27"/>
      <c r="J5226" s="23"/>
      <c r="K5226" s="30"/>
      <c r="L5226" s="23"/>
      <c r="M5226" s="20"/>
      <c r="N5226" s="20"/>
      <c r="O5226" s="20"/>
      <c r="P5226" s="20"/>
    </row>
    <row r="5227">
      <c r="A5227" s="10"/>
      <c r="B5227" s="11"/>
      <c r="C5227" s="10"/>
      <c r="D5227" s="13"/>
      <c r="E5227" s="14"/>
      <c r="F5227" s="14"/>
      <c r="G5227" s="14"/>
      <c r="H5227" s="10"/>
      <c r="I5227" s="17"/>
      <c r="J5227" s="10"/>
      <c r="K5227" s="46"/>
      <c r="L5227" s="10"/>
      <c r="M5227" s="20"/>
      <c r="N5227" s="20"/>
      <c r="O5227" s="20"/>
      <c r="P5227" s="20"/>
    </row>
    <row r="5228">
      <c r="A5228" s="23"/>
      <c r="B5228" s="21"/>
      <c r="C5228" s="23"/>
      <c r="D5228" s="24"/>
      <c r="E5228" s="14"/>
      <c r="F5228" s="14"/>
      <c r="G5228" s="14"/>
      <c r="H5228" s="23"/>
      <c r="I5228" s="27"/>
      <c r="J5228" s="23"/>
      <c r="K5228" s="30"/>
      <c r="L5228" s="23"/>
      <c r="M5228" s="20"/>
      <c r="N5228" s="20"/>
      <c r="O5228" s="20"/>
      <c r="P5228" s="20"/>
    </row>
    <row r="5229">
      <c r="A5229" s="10"/>
      <c r="B5229" s="11"/>
      <c r="C5229" s="10"/>
      <c r="D5229" s="13"/>
      <c r="E5229" s="14"/>
      <c r="F5229" s="14"/>
      <c r="G5229" s="14"/>
      <c r="H5229" s="10"/>
      <c r="I5229" s="17"/>
      <c r="J5229" s="10"/>
      <c r="K5229" s="46"/>
      <c r="L5229" s="10"/>
      <c r="M5229" s="20"/>
      <c r="N5229" s="20"/>
      <c r="O5229" s="20"/>
      <c r="P5229" s="20"/>
    </row>
    <row r="5230">
      <c r="A5230" s="23"/>
      <c r="B5230" s="21"/>
      <c r="C5230" s="23"/>
      <c r="D5230" s="24"/>
      <c r="E5230" s="14"/>
      <c r="F5230" s="14"/>
      <c r="G5230" s="14"/>
      <c r="H5230" s="23"/>
      <c r="I5230" s="27"/>
      <c r="J5230" s="23"/>
      <c r="K5230" s="30"/>
      <c r="L5230" s="23"/>
      <c r="M5230" s="20"/>
      <c r="N5230" s="20"/>
      <c r="O5230" s="20"/>
      <c r="P5230" s="20"/>
    </row>
    <row r="5231">
      <c r="A5231" s="10"/>
      <c r="B5231" s="11"/>
      <c r="C5231" s="10"/>
      <c r="D5231" s="13"/>
      <c r="E5231" s="14"/>
      <c r="F5231" s="14"/>
      <c r="G5231" s="14"/>
      <c r="H5231" s="10"/>
      <c r="I5231" s="17"/>
      <c r="J5231" s="10"/>
      <c r="K5231" s="46"/>
      <c r="L5231" s="10"/>
      <c r="M5231" s="20"/>
      <c r="N5231" s="20"/>
      <c r="O5231" s="20"/>
      <c r="P5231" s="20"/>
    </row>
    <row r="5232">
      <c r="A5232" s="23"/>
      <c r="B5232" s="21"/>
      <c r="C5232" s="23"/>
      <c r="D5232" s="24"/>
      <c r="E5232" s="14"/>
      <c r="F5232" s="14"/>
      <c r="G5232" s="14"/>
      <c r="H5232" s="23"/>
      <c r="I5232" s="27"/>
      <c r="J5232" s="23"/>
      <c r="K5232" s="30"/>
      <c r="L5232" s="23"/>
      <c r="M5232" s="20"/>
      <c r="N5232" s="20"/>
      <c r="O5232" s="20"/>
      <c r="P5232" s="20"/>
    </row>
    <row r="5233">
      <c r="A5233" s="10"/>
      <c r="B5233" s="11"/>
      <c r="C5233" s="10"/>
      <c r="D5233" s="13"/>
      <c r="E5233" s="14"/>
      <c r="F5233" s="14"/>
      <c r="G5233" s="14"/>
      <c r="H5233" s="10"/>
      <c r="I5233" s="17"/>
      <c r="J5233" s="10"/>
      <c r="K5233" s="46"/>
      <c r="L5233" s="10"/>
      <c r="M5233" s="20"/>
      <c r="N5233" s="20"/>
      <c r="O5233" s="20"/>
      <c r="P5233" s="20"/>
    </row>
    <row r="5234">
      <c r="A5234" s="23"/>
      <c r="B5234" s="21"/>
      <c r="C5234" s="23"/>
      <c r="D5234" s="24"/>
      <c r="E5234" s="14"/>
      <c r="F5234" s="14"/>
      <c r="G5234" s="14"/>
      <c r="H5234" s="23"/>
      <c r="I5234" s="27"/>
      <c r="J5234" s="23"/>
      <c r="K5234" s="30"/>
      <c r="L5234" s="23"/>
      <c r="M5234" s="20"/>
      <c r="N5234" s="20"/>
      <c r="O5234" s="20"/>
      <c r="P5234" s="20"/>
    </row>
    <row r="5235">
      <c r="A5235" s="10"/>
      <c r="B5235" s="11"/>
      <c r="C5235" s="10"/>
      <c r="D5235" s="13"/>
      <c r="E5235" s="14"/>
      <c r="F5235" s="14"/>
      <c r="G5235" s="14"/>
      <c r="H5235" s="10"/>
      <c r="I5235" s="17"/>
      <c r="J5235" s="10"/>
      <c r="K5235" s="46"/>
      <c r="L5235" s="10"/>
      <c r="M5235" s="20"/>
      <c r="N5235" s="20"/>
      <c r="O5235" s="20"/>
      <c r="P5235" s="20"/>
    </row>
    <row r="5236">
      <c r="A5236" s="23"/>
      <c r="B5236" s="21"/>
      <c r="C5236" s="23"/>
      <c r="D5236" s="24"/>
      <c r="E5236" s="14"/>
      <c r="F5236" s="14"/>
      <c r="G5236" s="14"/>
      <c r="H5236" s="23"/>
      <c r="I5236" s="27"/>
      <c r="J5236" s="23"/>
      <c r="K5236" s="30"/>
      <c r="L5236" s="23"/>
      <c r="M5236" s="20"/>
      <c r="N5236" s="20"/>
      <c r="O5236" s="20"/>
      <c r="P5236" s="20"/>
    </row>
    <row r="5237">
      <c r="A5237" s="10"/>
      <c r="B5237" s="11"/>
      <c r="C5237" s="10"/>
      <c r="D5237" s="13"/>
      <c r="E5237" s="14"/>
      <c r="F5237" s="14"/>
      <c r="G5237" s="14"/>
      <c r="H5237" s="10"/>
      <c r="I5237" s="17"/>
      <c r="J5237" s="10"/>
      <c r="K5237" s="46"/>
      <c r="L5237" s="10"/>
      <c r="M5237" s="20"/>
      <c r="N5237" s="20"/>
      <c r="O5237" s="20"/>
      <c r="P5237" s="20"/>
    </row>
    <row r="5238">
      <c r="A5238" s="23"/>
      <c r="B5238" s="21"/>
      <c r="C5238" s="23"/>
      <c r="D5238" s="24"/>
      <c r="E5238" s="14"/>
      <c r="F5238" s="14"/>
      <c r="G5238" s="14"/>
      <c r="H5238" s="23"/>
      <c r="I5238" s="27"/>
      <c r="J5238" s="23"/>
      <c r="K5238" s="30"/>
      <c r="L5238" s="23"/>
      <c r="M5238" s="20"/>
      <c r="N5238" s="20"/>
      <c r="O5238" s="20"/>
      <c r="P5238" s="20"/>
    </row>
    <row r="5239">
      <c r="A5239" s="10"/>
      <c r="B5239" s="11"/>
      <c r="C5239" s="10"/>
      <c r="D5239" s="13"/>
      <c r="E5239" s="14"/>
      <c r="F5239" s="14"/>
      <c r="G5239" s="14"/>
      <c r="H5239" s="10"/>
      <c r="I5239" s="17"/>
      <c r="J5239" s="10"/>
      <c r="K5239" s="46"/>
      <c r="L5239" s="10"/>
      <c r="M5239" s="20"/>
      <c r="N5239" s="20"/>
      <c r="O5239" s="20"/>
      <c r="P5239" s="20"/>
    </row>
    <row r="5240">
      <c r="A5240" s="23"/>
      <c r="B5240" s="21"/>
      <c r="C5240" s="23"/>
      <c r="D5240" s="24"/>
      <c r="E5240" s="14"/>
      <c r="F5240" s="14"/>
      <c r="G5240" s="14"/>
      <c r="H5240" s="23"/>
      <c r="I5240" s="27"/>
      <c r="J5240" s="23"/>
      <c r="K5240" s="30"/>
      <c r="L5240" s="23"/>
      <c r="M5240" s="20"/>
      <c r="N5240" s="20"/>
      <c r="O5240" s="20"/>
      <c r="P5240" s="20"/>
    </row>
    <row r="5241">
      <c r="A5241" s="10"/>
      <c r="B5241" s="11"/>
      <c r="C5241" s="10"/>
      <c r="D5241" s="13"/>
      <c r="E5241" s="14"/>
      <c r="F5241" s="14"/>
      <c r="G5241" s="14"/>
      <c r="H5241" s="10"/>
      <c r="I5241" s="17"/>
      <c r="J5241" s="10"/>
      <c r="K5241" s="46"/>
      <c r="L5241" s="10"/>
      <c r="M5241" s="20"/>
      <c r="N5241" s="20"/>
      <c r="O5241" s="20"/>
      <c r="P5241" s="20"/>
    </row>
    <row r="5242">
      <c r="A5242" s="23"/>
      <c r="B5242" s="21"/>
      <c r="C5242" s="23"/>
      <c r="D5242" s="24"/>
      <c r="E5242" s="14"/>
      <c r="F5242" s="14"/>
      <c r="G5242" s="14"/>
      <c r="H5242" s="23"/>
      <c r="I5242" s="27"/>
      <c r="J5242" s="23"/>
      <c r="K5242" s="30"/>
      <c r="L5242" s="23"/>
      <c r="M5242" s="20"/>
      <c r="N5242" s="20"/>
      <c r="O5242" s="20"/>
      <c r="P5242" s="20"/>
    </row>
    <row r="5243">
      <c r="A5243" s="10"/>
      <c r="B5243" s="11"/>
      <c r="C5243" s="10"/>
      <c r="D5243" s="13"/>
      <c r="E5243" s="14"/>
      <c r="F5243" s="14"/>
      <c r="G5243" s="14"/>
      <c r="H5243" s="10"/>
      <c r="I5243" s="17"/>
      <c r="J5243" s="10"/>
      <c r="K5243" s="46"/>
      <c r="L5243" s="10"/>
      <c r="M5243" s="20"/>
      <c r="N5243" s="20"/>
      <c r="O5243" s="20"/>
      <c r="P5243" s="20"/>
    </row>
    <row r="5244">
      <c r="A5244" s="23"/>
      <c r="B5244" s="21"/>
      <c r="C5244" s="23"/>
      <c r="D5244" s="24"/>
      <c r="E5244" s="14"/>
      <c r="F5244" s="14"/>
      <c r="G5244" s="14"/>
      <c r="H5244" s="23"/>
      <c r="I5244" s="27"/>
      <c r="J5244" s="23"/>
      <c r="K5244" s="30"/>
      <c r="L5244" s="23"/>
      <c r="M5244" s="20"/>
      <c r="N5244" s="20"/>
      <c r="O5244" s="20"/>
      <c r="P5244" s="20"/>
    </row>
    <row r="5245">
      <c r="A5245" s="10"/>
      <c r="B5245" s="11"/>
      <c r="C5245" s="10"/>
      <c r="D5245" s="13"/>
      <c r="E5245" s="14"/>
      <c r="F5245" s="14"/>
      <c r="G5245" s="14"/>
      <c r="H5245" s="10"/>
      <c r="I5245" s="17"/>
      <c r="J5245" s="10"/>
      <c r="K5245" s="46"/>
      <c r="L5245" s="10"/>
      <c r="M5245" s="20"/>
      <c r="N5245" s="20"/>
      <c r="O5245" s="20"/>
      <c r="P5245" s="20"/>
    </row>
    <row r="5246">
      <c r="A5246" s="23"/>
      <c r="B5246" s="21"/>
      <c r="C5246" s="23"/>
      <c r="D5246" s="24"/>
      <c r="E5246" s="14"/>
      <c r="F5246" s="14"/>
      <c r="G5246" s="14"/>
      <c r="H5246" s="23"/>
      <c r="I5246" s="27"/>
      <c r="J5246" s="23"/>
      <c r="K5246" s="30"/>
      <c r="L5246" s="23"/>
      <c r="M5246" s="20"/>
      <c r="N5246" s="20"/>
      <c r="O5246" s="20"/>
      <c r="P5246" s="20"/>
    </row>
    <row r="5247">
      <c r="A5247" s="10"/>
      <c r="B5247" s="11"/>
      <c r="C5247" s="10"/>
      <c r="D5247" s="13"/>
      <c r="E5247" s="14"/>
      <c r="F5247" s="14"/>
      <c r="G5247" s="14"/>
      <c r="H5247" s="10"/>
      <c r="I5247" s="17"/>
      <c r="J5247" s="10"/>
      <c r="K5247" s="46"/>
      <c r="L5247" s="10"/>
      <c r="M5247" s="20"/>
      <c r="N5247" s="20"/>
      <c r="O5247" s="20"/>
      <c r="P5247" s="20"/>
    </row>
    <row r="5248">
      <c r="A5248" s="23"/>
      <c r="B5248" s="21"/>
      <c r="C5248" s="23"/>
      <c r="D5248" s="24"/>
      <c r="E5248" s="14"/>
      <c r="F5248" s="14"/>
      <c r="G5248" s="14"/>
      <c r="H5248" s="23"/>
      <c r="I5248" s="27"/>
      <c r="J5248" s="23"/>
      <c r="K5248" s="30"/>
      <c r="L5248" s="23"/>
      <c r="M5248" s="20"/>
      <c r="N5248" s="20"/>
      <c r="O5248" s="20"/>
      <c r="P5248" s="20"/>
    </row>
    <row r="5249">
      <c r="A5249" s="10"/>
      <c r="B5249" s="11"/>
      <c r="C5249" s="10"/>
      <c r="D5249" s="13"/>
      <c r="E5249" s="14"/>
      <c r="F5249" s="14"/>
      <c r="G5249" s="14"/>
      <c r="H5249" s="10"/>
      <c r="I5249" s="17"/>
      <c r="J5249" s="10"/>
      <c r="K5249" s="46"/>
      <c r="L5249" s="10"/>
      <c r="M5249" s="20"/>
      <c r="N5249" s="20"/>
      <c r="O5249" s="20"/>
      <c r="P5249" s="20"/>
    </row>
    <row r="5250">
      <c r="A5250" s="23"/>
      <c r="B5250" s="21"/>
      <c r="C5250" s="23"/>
      <c r="D5250" s="24"/>
      <c r="E5250" s="14"/>
      <c r="F5250" s="14"/>
      <c r="G5250" s="14"/>
      <c r="H5250" s="23"/>
      <c r="I5250" s="27"/>
      <c r="J5250" s="23"/>
      <c r="K5250" s="30"/>
      <c r="L5250" s="23"/>
      <c r="M5250" s="20"/>
      <c r="N5250" s="20"/>
      <c r="O5250" s="20"/>
      <c r="P5250" s="20"/>
    </row>
    <row r="5251">
      <c r="A5251" s="10"/>
      <c r="B5251" s="11"/>
      <c r="C5251" s="10"/>
      <c r="D5251" s="13"/>
      <c r="E5251" s="14"/>
      <c r="F5251" s="14"/>
      <c r="G5251" s="14"/>
      <c r="H5251" s="10"/>
      <c r="I5251" s="17"/>
      <c r="J5251" s="10"/>
      <c r="K5251" s="46"/>
      <c r="L5251" s="10"/>
      <c r="M5251" s="20"/>
      <c r="N5251" s="20"/>
      <c r="O5251" s="20"/>
      <c r="P5251" s="20"/>
    </row>
    <row r="5252">
      <c r="A5252" s="23"/>
      <c r="B5252" s="21"/>
      <c r="C5252" s="23"/>
      <c r="D5252" s="24"/>
      <c r="E5252" s="14"/>
      <c r="F5252" s="14"/>
      <c r="G5252" s="14"/>
      <c r="H5252" s="23"/>
      <c r="I5252" s="27"/>
      <c r="J5252" s="23"/>
      <c r="K5252" s="30"/>
      <c r="L5252" s="23"/>
      <c r="M5252" s="20"/>
      <c r="N5252" s="20"/>
      <c r="O5252" s="20"/>
      <c r="P5252" s="20"/>
    </row>
    <row r="5253">
      <c r="A5253" s="10"/>
      <c r="B5253" s="11"/>
      <c r="C5253" s="10"/>
      <c r="D5253" s="13"/>
      <c r="E5253" s="14"/>
      <c r="F5253" s="14"/>
      <c r="G5253" s="14"/>
      <c r="H5253" s="10"/>
      <c r="I5253" s="17"/>
      <c r="J5253" s="10"/>
      <c r="K5253" s="46"/>
      <c r="L5253" s="10"/>
      <c r="M5253" s="20"/>
      <c r="N5253" s="20"/>
      <c r="O5253" s="20"/>
      <c r="P5253" s="20"/>
    </row>
    <row r="5254">
      <c r="A5254" s="23"/>
      <c r="B5254" s="21"/>
      <c r="C5254" s="23"/>
      <c r="D5254" s="24"/>
      <c r="E5254" s="14"/>
      <c r="F5254" s="14"/>
      <c r="G5254" s="14"/>
      <c r="H5254" s="23"/>
      <c r="I5254" s="27"/>
      <c r="J5254" s="23"/>
      <c r="K5254" s="30"/>
      <c r="L5254" s="23"/>
      <c r="M5254" s="20"/>
      <c r="N5254" s="20"/>
      <c r="O5254" s="20"/>
      <c r="P5254" s="20"/>
    </row>
    <row r="5255">
      <c r="A5255" s="10"/>
      <c r="B5255" s="11"/>
      <c r="C5255" s="10"/>
      <c r="D5255" s="13"/>
      <c r="E5255" s="14"/>
      <c r="F5255" s="14"/>
      <c r="G5255" s="14"/>
      <c r="H5255" s="10"/>
      <c r="I5255" s="17"/>
      <c r="J5255" s="10"/>
      <c r="K5255" s="46"/>
      <c r="L5255" s="10"/>
      <c r="M5255" s="20"/>
      <c r="N5255" s="20"/>
      <c r="O5255" s="20"/>
      <c r="P5255" s="20"/>
    </row>
    <row r="5256">
      <c r="A5256" s="23"/>
      <c r="B5256" s="21"/>
      <c r="C5256" s="23"/>
      <c r="D5256" s="24"/>
      <c r="E5256" s="14"/>
      <c r="F5256" s="14"/>
      <c r="G5256" s="14"/>
      <c r="H5256" s="23"/>
      <c r="I5256" s="27"/>
      <c r="J5256" s="23"/>
      <c r="K5256" s="30"/>
      <c r="L5256" s="23"/>
      <c r="M5256" s="20"/>
      <c r="N5256" s="20"/>
      <c r="O5256" s="20"/>
      <c r="P5256" s="20"/>
    </row>
    <row r="5257">
      <c r="A5257" s="10"/>
      <c r="B5257" s="11"/>
      <c r="C5257" s="10"/>
      <c r="D5257" s="13"/>
      <c r="E5257" s="14"/>
      <c r="F5257" s="14"/>
      <c r="G5257" s="14"/>
      <c r="H5257" s="10"/>
      <c r="I5257" s="17"/>
      <c r="J5257" s="10"/>
      <c r="K5257" s="46"/>
      <c r="L5257" s="10"/>
      <c r="M5257" s="20"/>
      <c r="N5257" s="20"/>
      <c r="O5257" s="20"/>
      <c r="P5257" s="20"/>
    </row>
    <row r="5258">
      <c r="A5258" s="23"/>
      <c r="B5258" s="21"/>
      <c r="C5258" s="23"/>
      <c r="D5258" s="24"/>
      <c r="E5258" s="14"/>
      <c r="F5258" s="14"/>
      <c r="G5258" s="14"/>
      <c r="H5258" s="23"/>
      <c r="I5258" s="27"/>
      <c r="J5258" s="23"/>
      <c r="K5258" s="30"/>
      <c r="L5258" s="23"/>
      <c r="M5258" s="20"/>
      <c r="N5258" s="20"/>
      <c r="O5258" s="20"/>
      <c r="P5258" s="20"/>
    </row>
    <row r="5259">
      <c r="A5259" s="10"/>
      <c r="B5259" s="11"/>
      <c r="C5259" s="10"/>
      <c r="D5259" s="13"/>
      <c r="E5259" s="14"/>
      <c r="F5259" s="14"/>
      <c r="G5259" s="14"/>
      <c r="H5259" s="10"/>
      <c r="I5259" s="17"/>
      <c r="J5259" s="10"/>
      <c r="K5259" s="46"/>
      <c r="L5259" s="10"/>
      <c r="M5259" s="20"/>
      <c r="N5259" s="20"/>
      <c r="O5259" s="20"/>
      <c r="P5259" s="20"/>
    </row>
    <row r="5260">
      <c r="A5260" s="23"/>
      <c r="B5260" s="21"/>
      <c r="C5260" s="23"/>
      <c r="D5260" s="24"/>
      <c r="E5260" s="14"/>
      <c r="F5260" s="14"/>
      <c r="G5260" s="14"/>
      <c r="H5260" s="23"/>
      <c r="I5260" s="27"/>
      <c r="J5260" s="23"/>
      <c r="K5260" s="30"/>
      <c r="L5260" s="23"/>
      <c r="M5260" s="20"/>
      <c r="N5260" s="20"/>
      <c r="O5260" s="20"/>
      <c r="P5260" s="20"/>
    </row>
    <row r="5261">
      <c r="A5261" s="10"/>
      <c r="B5261" s="11"/>
      <c r="C5261" s="10"/>
      <c r="D5261" s="13"/>
      <c r="E5261" s="14"/>
      <c r="F5261" s="14"/>
      <c r="G5261" s="14"/>
      <c r="H5261" s="10"/>
      <c r="I5261" s="17"/>
      <c r="J5261" s="10"/>
      <c r="K5261" s="46"/>
      <c r="L5261" s="10"/>
      <c r="M5261" s="20"/>
      <c r="N5261" s="20"/>
      <c r="O5261" s="20"/>
      <c r="P5261" s="20"/>
    </row>
    <row r="5262">
      <c r="A5262" s="23"/>
      <c r="B5262" s="21"/>
      <c r="C5262" s="23"/>
      <c r="D5262" s="24"/>
      <c r="E5262" s="14"/>
      <c r="F5262" s="14"/>
      <c r="G5262" s="14"/>
      <c r="H5262" s="23"/>
      <c r="I5262" s="27"/>
      <c r="J5262" s="23"/>
      <c r="K5262" s="30"/>
      <c r="L5262" s="23"/>
      <c r="M5262" s="20"/>
      <c r="N5262" s="20"/>
      <c r="O5262" s="20"/>
      <c r="P5262" s="20"/>
    </row>
    <row r="5263">
      <c r="A5263" s="10"/>
      <c r="B5263" s="11"/>
      <c r="C5263" s="10"/>
      <c r="D5263" s="13"/>
      <c r="E5263" s="14"/>
      <c r="F5263" s="14"/>
      <c r="G5263" s="14"/>
      <c r="H5263" s="10"/>
      <c r="I5263" s="17"/>
      <c r="J5263" s="10"/>
      <c r="K5263" s="46"/>
      <c r="L5263" s="10"/>
      <c r="M5263" s="20"/>
      <c r="N5263" s="20"/>
      <c r="O5263" s="20"/>
      <c r="P5263" s="20"/>
    </row>
    <row r="5264">
      <c r="A5264" s="23"/>
      <c r="B5264" s="21"/>
      <c r="C5264" s="23"/>
      <c r="D5264" s="24"/>
      <c r="E5264" s="14"/>
      <c r="F5264" s="14"/>
      <c r="G5264" s="14"/>
      <c r="H5264" s="23"/>
      <c r="I5264" s="27"/>
      <c r="J5264" s="23"/>
      <c r="K5264" s="30"/>
      <c r="L5264" s="23"/>
      <c r="M5264" s="20"/>
      <c r="N5264" s="20"/>
      <c r="O5264" s="20"/>
      <c r="P5264" s="20"/>
    </row>
    <row r="5265">
      <c r="A5265" s="10"/>
      <c r="B5265" s="11"/>
      <c r="C5265" s="10"/>
      <c r="D5265" s="13"/>
      <c r="E5265" s="14"/>
      <c r="F5265" s="14"/>
      <c r="G5265" s="14"/>
      <c r="H5265" s="10"/>
      <c r="I5265" s="17"/>
      <c r="J5265" s="10"/>
      <c r="K5265" s="46"/>
      <c r="L5265" s="10"/>
      <c r="M5265" s="20"/>
      <c r="N5265" s="20"/>
      <c r="O5265" s="20"/>
      <c r="P5265" s="20"/>
    </row>
    <row r="5266">
      <c r="A5266" s="23"/>
      <c r="B5266" s="21"/>
      <c r="C5266" s="23"/>
      <c r="D5266" s="24"/>
      <c r="E5266" s="14"/>
      <c r="F5266" s="14"/>
      <c r="G5266" s="14"/>
      <c r="H5266" s="23"/>
      <c r="I5266" s="27"/>
      <c r="J5266" s="23"/>
      <c r="K5266" s="30"/>
      <c r="L5266" s="23"/>
      <c r="M5266" s="20"/>
      <c r="N5266" s="20"/>
      <c r="O5266" s="20"/>
      <c r="P5266" s="20"/>
    </row>
    <row r="5267">
      <c r="A5267" s="10"/>
      <c r="B5267" s="11"/>
      <c r="C5267" s="10"/>
      <c r="D5267" s="13"/>
      <c r="E5267" s="14"/>
      <c r="F5267" s="14"/>
      <c r="G5267" s="14"/>
      <c r="H5267" s="10"/>
      <c r="I5267" s="17"/>
      <c r="J5267" s="10"/>
      <c r="K5267" s="46"/>
      <c r="L5267" s="10"/>
      <c r="M5267" s="20"/>
      <c r="N5267" s="20"/>
      <c r="O5267" s="20"/>
      <c r="P5267" s="20"/>
    </row>
    <row r="5268">
      <c r="A5268" s="23"/>
      <c r="B5268" s="21"/>
      <c r="C5268" s="23"/>
      <c r="D5268" s="24"/>
      <c r="E5268" s="14"/>
      <c r="F5268" s="14"/>
      <c r="G5268" s="14"/>
      <c r="H5268" s="23"/>
      <c r="I5268" s="27"/>
      <c r="J5268" s="23"/>
      <c r="K5268" s="30"/>
      <c r="L5268" s="23"/>
      <c r="M5268" s="20"/>
      <c r="N5268" s="20"/>
      <c r="O5268" s="20"/>
      <c r="P5268" s="20"/>
    </row>
    <row r="5269">
      <c r="A5269" s="10"/>
      <c r="B5269" s="11"/>
      <c r="C5269" s="10"/>
      <c r="D5269" s="13"/>
      <c r="E5269" s="14"/>
      <c r="F5269" s="14"/>
      <c r="G5269" s="14"/>
      <c r="H5269" s="10"/>
      <c r="I5269" s="17"/>
      <c r="J5269" s="10"/>
      <c r="K5269" s="46"/>
      <c r="L5269" s="10"/>
      <c r="M5269" s="20"/>
      <c r="N5269" s="20"/>
      <c r="O5269" s="20"/>
      <c r="P5269" s="20"/>
    </row>
    <row r="5270">
      <c r="A5270" s="23"/>
      <c r="B5270" s="21"/>
      <c r="C5270" s="23"/>
      <c r="D5270" s="24"/>
      <c r="E5270" s="14"/>
      <c r="F5270" s="14"/>
      <c r="G5270" s="14"/>
      <c r="H5270" s="23"/>
      <c r="I5270" s="27"/>
      <c r="J5270" s="23"/>
      <c r="K5270" s="30"/>
      <c r="L5270" s="23"/>
      <c r="M5270" s="20"/>
      <c r="N5270" s="20"/>
      <c r="O5270" s="20"/>
      <c r="P5270" s="20"/>
    </row>
    <row r="5271">
      <c r="A5271" s="10"/>
      <c r="B5271" s="11"/>
      <c r="C5271" s="10"/>
      <c r="D5271" s="13"/>
      <c r="E5271" s="14"/>
      <c r="F5271" s="14"/>
      <c r="G5271" s="14"/>
      <c r="H5271" s="10"/>
      <c r="I5271" s="17"/>
      <c r="J5271" s="10"/>
      <c r="K5271" s="46"/>
      <c r="L5271" s="10"/>
      <c r="M5271" s="20"/>
      <c r="N5271" s="20"/>
      <c r="O5271" s="20"/>
      <c r="P5271" s="20"/>
    </row>
    <row r="5272">
      <c r="A5272" s="23"/>
      <c r="B5272" s="21"/>
      <c r="C5272" s="23"/>
      <c r="D5272" s="24"/>
      <c r="E5272" s="14"/>
      <c r="F5272" s="14"/>
      <c r="G5272" s="14"/>
      <c r="H5272" s="23"/>
      <c r="I5272" s="27"/>
      <c r="J5272" s="23"/>
      <c r="K5272" s="30"/>
      <c r="L5272" s="23"/>
      <c r="M5272" s="20"/>
      <c r="N5272" s="20"/>
      <c r="O5272" s="20"/>
      <c r="P5272" s="20"/>
    </row>
    <row r="5273">
      <c r="A5273" s="10"/>
      <c r="B5273" s="11"/>
      <c r="C5273" s="10"/>
      <c r="D5273" s="13"/>
      <c r="E5273" s="14"/>
      <c r="F5273" s="14"/>
      <c r="G5273" s="14"/>
      <c r="H5273" s="10"/>
      <c r="I5273" s="17"/>
      <c r="J5273" s="10"/>
      <c r="K5273" s="46"/>
      <c r="L5273" s="10"/>
      <c r="M5273" s="20"/>
      <c r="N5273" s="20"/>
      <c r="O5273" s="20"/>
      <c r="P5273" s="20"/>
    </row>
    <row r="5274">
      <c r="A5274" s="23"/>
      <c r="B5274" s="21"/>
      <c r="C5274" s="23"/>
      <c r="D5274" s="24"/>
      <c r="E5274" s="14"/>
      <c r="F5274" s="14"/>
      <c r="G5274" s="14"/>
      <c r="H5274" s="23"/>
      <c r="I5274" s="27"/>
      <c r="J5274" s="23"/>
      <c r="K5274" s="30"/>
      <c r="L5274" s="23"/>
      <c r="M5274" s="20"/>
      <c r="N5274" s="20"/>
      <c r="O5274" s="20"/>
      <c r="P5274" s="20"/>
    </row>
    <row r="5275">
      <c r="A5275" s="10"/>
      <c r="B5275" s="11"/>
      <c r="C5275" s="10"/>
      <c r="D5275" s="13"/>
      <c r="E5275" s="14"/>
      <c r="F5275" s="14"/>
      <c r="G5275" s="14"/>
      <c r="H5275" s="10"/>
      <c r="I5275" s="17"/>
      <c r="J5275" s="10"/>
      <c r="K5275" s="46"/>
      <c r="L5275" s="10"/>
      <c r="M5275" s="20"/>
      <c r="N5275" s="20"/>
      <c r="O5275" s="20"/>
      <c r="P5275" s="20"/>
    </row>
    <row r="5276">
      <c r="A5276" s="23"/>
      <c r="B5276" s="21"/>
      <c r="C5276" s="23"/>
      <c r="D5276" s="24"/>
      <c r="E5276" s="14"/>
      <c r="F5276" s="14"/>
      <c r="G5276" s="14"/>
      <c r="H5276" s="23"/>
      <c r="I5276" s="27"/>
      <c r="J5276" s="23"/>
      <c r="K5276" s="30"/>
      <c r="L5276" s="23"/>
      <c r="M5276" s="20"/>
      <c r="N5276" s="20"/>
      <c r="O5276" s="20"/>
      <c r="P5276" s="20"/>
    </row>
    <row r="5277">
      <c r="A5277" s="10"/>
      <c r="B5277" s="11"/>
      <c r="C5277" s="10"/>
      <c r="D5277" s="13"/>
      <c r="E5277" s="14"/>
      <c r="F5277" s="14"/>
      <c r="G5277" s="14"/>
      <c r="H5277" s="10"/>
      <c r="I5277" s="17"/>
      <c r="J5277" s="10"/>
      <c r="K5277" s="46"/>
      <c r="L5277" s="10"/>
      <c r="M5277" s="20"/>
      <c r="N5277" s="20"/>
      <c r="O5277" s="20"/>
      <c r="P5277" s="20"/>
    </row>
    <row r="5278">
      <c r="A5278" s="23"/>
      <c r="B5278" s="21"/>
      <c r="C5278" s="23"/>
      <c r="D5278" s="24"/>
      <c r="E5278" s="14"/>
      <c r="F5278" s="14"/>
      <c r="G5278" s="14"/>
      <c r="H5278" s="23"/>
      <c r="I5278" s="27"/>
      <c r="J5278" s="23"/>
      <c r="K5278" s="30"/>
      <c r="L5278" s="23"/>
      <c r="M5278" s="20"/>
      <c r="N5278" s="20"/>
      <c r="O5278" s="20"/>
      <c r="P5278" s="20"/>
    </row>
    <row r="5279">
      <c r="A5279" s="10"/>
      <c r="B5279" s="11"/>
      <c r="C5279" s="10"/>
      <c r="D5279" s="13"/>
      <c r="E5279" s="14"/>
      <c r="F5279" s="14"/>
      <c r="G5279" s="14"/>
      <c r="H5279" s="10"/>
      <c r="I5279" s="17"/>
      <c r="J5279" s="10"/>
      <c r="K5279" s="46"/>
      <c r="L5279" s="10"/>
      <c r="M5279" s="20"/>
      <c r="N5279" s="20"/>
      <c r="O5279" s="20"/>
      <c r="P5279" s="20"/>
    </row>
    <row r="5280">
      <c r="A5280" s="23"/>
      <c r="B5280" s="21"/>
      <c r="C5280" s="23"/>
      <c r="D5280" s="24"/>
      <c r="E5280" s="14"/>
      <c r="F5280" s="14"/>
      <c r="G5280" s="14"/>
      <c r="H5280" s="23"/>
      <c r="I5280" s="27"/>
      <c r="J5280" s="23"/>
      <c r="K5280" s="30"/>
      <c r="L5280" s="23"/>
      <c r="M5280" s="20"/>
      <c r="N5280" s="20"/>
      <c r="O5280" s="20"/>
      <c r="P5280" s="20"/>
    </row>
    <row r="5281">
      <c r="A5281" s="10"/>
      <c r="B5281" s="11"/>
      <c r="C5281" s="10"/>
      <c r="D5281" s="13"/>
      <c r="E5281" s="14"/>
      <c r="F5281" s="14"/>
      <c r="G5281" s="14"/>
      <c r="H5281" s="10"/>
      <c r="I5281" s="17"/>
      <c r="J5281" s="10"/>
      <c r="K5281" s="46"/>
      <c r="L5281" s="10"/>
      <c r="M5281" s="20"/>
      <c r="N5281" s="20"/>
      <c r="O5281" s="20"/>
      <c r="P5281" s="20"/>
    </row>
    <row r="5282">
      <c r="A5282" s="23"/>
      <c r="B5282" s="21"/>
      <c r="C5282" s="23"/>
      <c r="D5282" s="24"/>
      <c r="E5282" s="14"/>
      <c r="F5282" s="14"/>
      <c r="G5282" s="14"/>
      <c r="H5282" s="23"/>
      <c r="I5282" s="27"/>
      <c r="J5282" s="23"/>
      <c r="K5282" s="30"/>
      <c r="L5282" s="23"/>
      <c r="M5282" s="20"/>
      <c r="N5282" s="20"/>
      <c r="O5282" s="20"/>
      <c r="P5282" s="20"/>
    </row>
    <row r="5283">
      <c r="A5283" s="10"/>
      <c r="B5283" s="11"/>
      <c r="C5283" s="10"/>
      <c r="D5283" s="13"/>
      <c r="E5283" s="14"/>
      <c r="F5283" s="14"/>
      <c r="G5283" s="14"/>
      <c r="H5283" s="10"/>
      <c r="I5283" s="17"/>
      <c r="J5283" s="10"/>
      <c r="K5283" s="46"/>
      <c r="L5283" s="10"/>
      <c r="M5283" s="20"/>
      <c r="N5283" s="20"/>
      <c r="O5283" s="20"/>
      <c r="P5283" s="20"/>
    </row>
    <row r="5284">
      <c r="A5284" s="23"/>
      <c r="B5284" s="21"/>
      <c r="C5284" s="23"/>
      <c r="D5284" s="24"/>
      <c r="E5284" s="14"/>
      <c r="F5284" s="14"/>
      <c r="G5284" s="14"/>
      <c r="H5284" s="23"/>
      <c r="I5284" s="27"/>
      <c r="J5284" s="23"/>
      <c r="K5284" s="30"/>
      <c r="L5284" s="23"/>
      <c r="M5284" s="20"/>
      <c r="N5284" s="20"/>
      <c r="O5284" s="20"/>
      <c r="P5284" s="20"/>
    </row>
    <row r="5285">
      <c r="A5285" s="10"/>
      <c r="B5285" s="11"/>
      <c r="C5285" s="10"/>
      <c r="D5285" s="13"/>
      <c r="E5285" s="14"/>
      <c r="F5285" s="14"/>
      <c r="G5285" s="14"/>
      <c r="H5285" s="10"/>
      <c r="I5285" s="17"/>
      <c r="J5285" s="10"/>
      <c r="K5285" s="46"/>
      <c r="L5285" s="10"/>
      <c r="M5285" s="20"/>
      <c r="N5285" s="20"/>
      <c r="O5285" s="20"/>
      <c r="P5285" s="20"/>
    </row>
    <row r="5286">
      <c r="A5286" s="23"/>
      <c r="B5286" s="21"/>
      <c r="C5286" s="23"/>
      <c r="D5286" s="24"/>
      <c r="E5286" s="14"/>
      <c r="F5286" s="14"/>
      <c r="G5286" s="14"/>
      <c r="H5286" s="23"/>
      <c r="I5286" s="27"/>
      <c r="J5286" s="23"/>
      <c r="K5286" s="30"/>
      <c r="L5286" s="23"/>
      <c r="M5286" s="20"/>
      <c r="N5286" s="20"/>
      <c r="O5286" s="20"/>
      <c r="P5286" s="20"/>
    </row>
    <row r="5287">
      <c r="A5287" s="10"/>
      <c r="B5287" s="11"/>
      <c r="C5287" s="10"/>
      <c r="D5287" s="13"/>
      <c r="E5287" s="14"/>
      <c r="F5287" s="14"/>
      <c r="G5287" s="14"/>
      <c r="H5287" s="10"/>
      <c r="I5287" s="17"/>
      <c r="J5287" s="10"/>
      <c r="K5287" s="46"/>
      <c r="L5287" s="10"/>
      <c r="M5287" s="20"/>
      <c r="N5287" s="20"/>
      <c r="O5287" s="20"/>
      <c r="P5287" s="20"/>
    </row>
    <row r="5288">
      <c r="A5288" s="23"/>
      <c r="B5288" s="21"/>
      <c r="C5288" s="23"/>
      <c r="D5288" s="24"/>
      <c r="E5288" s="14"/>
      <c r="F5288" s="14"/>
      <c r="G5288" s="14"/>
      <c r="H5288" s="23"/>
      <c r="I5288" s="27"/>
      <c r="J5288" s="23"/>
      <c r="K5288" s="30"/>
      <c r="L5288" s="23"/>
      <c r="M5288" s="20"/>
      <c r="N5288" s="20"/>
      <c r="O5288" s="20"/>
      <c r="P5288" s="20"/>
    </row>
    <row r="5289">
      <c r="A5289" s="10"/>
      <c r="B5289" s="11"/>
      <c r="C5289" s="10"/>
      <c r="D5289" s="13"/>
      <c r="E5289" s="14"/>
      <c r="F5289" s="14"/>
      <c r="G5289" s="14"/>
      <c r="H5289" s="10"/>
      <c r="I5289" s="17"/>
      <c r="J5289" s="10"/>
      <c r="K5289" s="46"/>
      <c r="L5289" s="10"/>
      <c r="M5289" s="20"/>
      <c r="N5289" s="20"/>
      <c r="O5289" s="20"/>
      <c r="P5289" s="20"/>
    </row>
    <row r="5290">
      <c r="A5290" s="23"/>
      <c r="B5290" s="21"/>
      <c r="C5290" s="23"/>
      <c r="D5290" s="24"/>
      <c r="E5290" s="14"/>
      <c r="F5290" s="14"/>
      <c r="G5290" s="14"/>
      <c r="H5290" s="23"/>
      <c r="I5290" s="27"/>
      <c r="J5290" s="23"/>
      <c r="K5290" s="30"/>
      <c r="L5290" s="23"/>
      <c r="M5290" s="20"/>
      <c r="N5290" s="20"/>
      <c r="O5290" s="20"/>
      <c r="P5290" s="20"/>
    </row>
    <row r="5291">
      <c r="A5291" s="10"/>
      <c r="B5291" s="11"/>
      <c r="C5291" s="10"/>
      <c r="D5291" s="13"/>
      <c r="E5291" s="14"/>
      <c r="F5291" s="14"/>
      <c r="G5291" s="14"/>
      <c r="H5291" s="10"/>
      <c r="I5291" s="17"/>
      <c r="J5291" s="10"/>
      <c r="K5291" s="46"/>
      <c r="L5291" s="10"/>
      <c r="M5291" s="20"/>
      <c r="N5291" s="20"/>
      <c r="O5291" s="20"/>
      <c r="P5291" s="20"/>
    </row>
    <row r="5292">
      <c r="A5292" s="23"/>
      <c r="B5292" s="21"/>
      <c r="C5292" s="23"/>
      <c r="D5292" s="24"/>
      <c r="E5292" s="14"/>
      <c r="F5292" s="14"/>
      <c r="G5292" s="14"/>
      <c r="H5292" s="23"/>
      <c r="I5292" s="27"/>
      <c r="J5292" s="23"/>
      <c r="K5292" s="30"/>
      <c r="L5292" s="23"/>
      <c r="M5292" s="20"/>
      <c r="N5292" s="20"/>
      <c r="O5292" s="20"/>
      <c r="P5292" s="20"/>
    </row>
    <row r="5293">
      <c r="A5293" s="10"/>
      <c r="B5293" s="11"/>
      <c r="C5293" s="10"/>
      <c r="D5293" s="13"/>
      <c r="E5293" s="14"/>
      <c r="F5293" s="14"/>
      <c r="G5293" s="14"/>
      <c r="H5293" s="10"/>
      <c r="I5293" s="17"/>
      <c r="J5293" s="10"/>
      <c r="K5293" s="46"/>
      <c r="L5293" s="10"/>
      <c r="M5293" s="20"/>
      <c r="N5293" s="20"/>
      <c r="O5293" s="20"/>
      <c r="P5293" s="20"/>
    </row>
    <row r="5294">
      <c r="A5294" s="23"/>
      <c r="B5294" s="21"/>
      <c r="C5294" s="23"/>
      <c r="D5294" s="24"/>
      <c r="E5294" s="14"/>
      <c r="F5294" s="14"/>
      <c r="G5294" s="14"/>
      <c r="H5294" s="23"/>
      <c r="I5294" s="27"/>
      <c r="J5294" s="23"/>
      <c r="K5294" s="30"/>
      <c r="L5294" s="23"/>
      <c r="M5294" s="20"/>
      <c r="N5294" s="20"/>
      <c r="O5294" s="20"/>
      <c r="P5294" s="20"/>
    </row>
    <row r="5295">
      <c r="A5295" s="10"/>
      <c r="B5295" s="11"/>
      <c r="C5295" s="10"/>
      <c r="D5295" s="13"/>
      <c r="E5295" s="14"/>
      <c r="F5295" s="14"/>
      <c r="G5295" s="14"/>
      <c r="H5295" s="10"/>
      <c r="I5295" s="17"/>
      <c r="J5295" s="10"/>
      <c r="K5295" s="46"/>
      <c r="L5295" s="10"/>
      <c r="M5295" s="20"/>
      <c r="N5295" s="20"/>
      <c r="O5295" s="20"/>
      <c r="P5295" s="20"/>
    </row>
    <row r="5296">
      <c r="A5296" s="23"/>
      <c r="B5296" s="21"/>
      <c r="C5296" s="23"/>
      <c r="D5296" s="24"/>
      <c r="E5296" s="14"/>
      <c r="F5296" s="14"/>
      <c r="G5296" s="14"/>
      <c r="H5296" s="23"/>
      <c r="I5296" s="27"/>
      <c r="J5296" s="23"/>
      <c r="K5296" s="30"/>
      <c r="L5296" s="23"/>
      <c r="M5296" s="20"/>
      <c r="N5296" s="20"/>
      <c r="O5296" s="20"/>
      <c r="P5296" s="20"/>
    </row>
    <row r="5297">
      <c r="A5297" s="10"/>
      <c r="B5297" s="11"/>
      <c r="C5297" s="10"/>
      <c r="D5297" s="13"/>
      <c r="E5297" s="14"/>
      <c r="F5297" s="14"/>
      <c r="G5297" s="14"/>
      <c r="H5297" s="10"/>
      <c r="I5297" s="17"/>
      <c r="J5297" s="10"/>
      <c r="K5297" s="46"/>
      <c r="L5297" s="10"/>
      <c r="M5297" s="20"/>
      <c r="N5297" s="20"/>
      <c r="O5297" s="20"/>
      <c r="P5297" s="20"/>
    </row>
    <row r="5298">
      <c r="A5298" s="23"/>
      <c r="B5298" s="21"/>
      <c r="C5298" s="23"/>
      <c r="D5298" s="24"/>
      <c r="E5298" s="14"/>
      <c r="F5298" s="14"/>
      <c r="G5298" s="14"/>
      <c r="H5298" s="23"/>
      <c r="I5298" s="27"/>
      <c r="J5298" s="23"/>
      <c r="K5298" s="30"/>
      <c r="L5298" s="23"/>
      <c r="M5298" s="20"/>
      <c r="N5298" s="20"/>
      <c r="O5298" s="20"/>
      <c r="P5298" s="20"/>
    </row>
    <row r="5299">
      <c r="A5299" s="10"/>
      <c r="B5299" s="11"/>
      <c r="C5299" s="10"/>
      <c r="D5299" s="13"/>
      <c r="E5299" s="14"/>
      <c r="F5299" s="14"/>
      <c r="G5299" s="14"/>
      <c r="H5299" s="10"/>
      <c r="I5299" s="17"/>
      <c r="J5299" s="10"/>
      <c r="K5299" s="46"/>
      <c r="L5299" s="10"/>
      <c r="M5299" s="20"/>
      <c r="N5299" s="20"/>
      <c r="O5299" s="20"/>
      <c r="P5299" s="20"/>
    </row>
    <row r="5300">
      <c r="A5300" s="23"/>
      <c r="B5300" s="21"/>
      <c r="C5300" s="23"/>
      <c r="D5300" s="24"/>
      <c r="E5300" s="14"/>
      <c r="F5300" s="14"/>
      <c r="G5300" s="14"/>
      <c r="H5300" s="23"/>
      <c r="I5300" s="27"/>
      <c r="J5300" s="23"/>
      <c r="K5300" s="30"/>
      <c r="L5300" s="23"/>
      <c r="M5300" s="20"/>
      <c r="N5300" s="20"/>
      <c r="O5300" s="20"/>
      <c r="P5300" s="20"/>
    </row>
    <row r="5301">
      <c r="A5301" s="10"/>
      <c r="B5301" s="11"/>
      <c r="C5301" s="10"/>
      <c r="D5301" s="13"/>
      <c r="E5301" s="14"/>
      <c r="F5301" s="14"/>
      <c r="G5301" s="14"/>
      <c r="H5301" s="10"/>
      <c r="I5301" s="17"/>
      <c r="J5301" s="10"/>
      <c r="K5301" s="46"/>
      <c r="L5301" s="10"/>
      <c r="M5301" s="20"/>
      <c r="N5301" s="20"/>
      <c r="O5301" s="20"/>
      <c r="P5301" s="20"/>
    </row>
    <row r="5302">
      <c r="A5302" s="23"/>
      <c r="B5302" s="21"/>
      <c r="C5302" s="23"/>
      <c r="D5302" s="24"/>
      <c r="E5302" s="14"/>
      <c r="F5302" s="14"/>
      <c r="G5302" s="14"/>
      <c r="H5302" s="23"/>
      <c r="I5302" s="27"/>
      <c r="J5302" s="23"/>
      <c r="K5302" s="30"/>
      <c r="L5302" s="23"/>
      <c r="M5302" s="20"/>
      <c r="N5302" s="20"/>
      <c r="O5302" s="20"/>
      <c r="P5302" s="20"/>
    </row>
    <row r="5303">
      <c r="A5303" s="10"/>
      <c r="B5303" s="11"/>
      <c r="C5303" s="10"/>
      <c r="D5303" s="13"/>
      <c r="E5303" s="14"/>
      <c r="F5303" s="14"/>
      <c r="G5303" s="14"/>
      <c r="H5303" s="10"/>
      <c r="I5303" s="17"/>
      <c r="J5303" s="10"/>
      <c r="K5303" s="46"/>
      <c r="L5303" s="10"/>
      <c r="M5303" s="20"/>
      <c r="N5303" s="20"/>
      <c r="O5303" s="20"/>
      <c r="P5303" s="20"/>
    </row>
    <row r="5304">
      <c r="A5304" s="23"/>
      <c r="B5304" s="21"/>
      <c r="C5304" s="23"/>
      <c r="D5304" s="24"/>
      <c r="E5304" s="14"/>
      <c r="F5304" s="14"/>
      <c r="G5304" s="14"/>
      <c r="H5304" s="23"/>
      <c r="I5304" s="27"/>
      <c r="J5304" s="23"/>
      <c r="K5304" s="30"/>
      <c r="L5304" s="23"/>
      <c r="M5304" s="20"/>
      <c r="N5304" s="20"/>
      <c r="O5304" s="20"/>
      <c r="P5304" s="20"/>
    </row>
    <row r="5305">
      <c r="A5305" s="10"/>
      <c r="B5305" s="11"/>
      <c r="C5305" s="10"/>
      <c r="D5305" s="13"/>
      <c r="E5305" s="14"/>
      <c r="F5305" s="14"/>
      <c r="G5305" s="14"/>
      <c r="H5305" s="10"/>
      <c r="I5305" s="17"/>
      <c r="J5305" s="10"/>
      <c r="K5305" s="46"/>
      <c r="L5305" s="10"/>
      <c r="M5305" s="20"/>
      <c r="N5305" s="20"/>
      <c r="O5305" s="20"/>
      <c r="P5305" s="20"/>
    </row>
    <row r="5306">
      <c r="A5306" s="23"/>
      <c r="B5306" s="21"/>
      <c r="C5306" s="23"/>
      <c r="D5306" s="24"/>
      <c r="E5306" s="14"/>
      <c r="F5306" s="14"/>
      <c r="G5306" s="14"/>
      <c r="H5306" s="23"/>
      <c r="I5306" s="27"/>
      <c r="J5306" s="23"/>
      <c r="K5306" s="30"/>
      <c r="L5306" s="23"/>
      <c r="M5306" s="20"/>
      <c r="N5306" s="20"/>
      <c r="O5306" s="20"/>
      <c r="P5306" s="20"/>
    </row>
    <row r="5307">
      <c r="A5307" s="10"/>
      <c r="B5307" s="11"/>
      <c r="C5307" s="10"/>
      <c r="D5307" s="13"/>
      <c r="E5307" s="14"/>
      <c r="F5307" s="14"/>
      <c r="G5307" s="14"/>
      <c r="H5307" s="10"/>
      <c r="I5307" s="17"/>
      <c r="J5307" s="10"/>
      <c r="K5307" s="46"/>
      <c r="L5307" s="10"/>
      <c r="M5307" s="20"/>
      <c r="N5307" s="20"/>
      <c r="O5307" s="20"/>
      <c r="P5307" s="20"/>
    </row>
    <row r="5308">
      <c r="A5308" s="23"/>
      <c r="B5308" s="21"/>
      <c r="C5308" s="23"/>
      <c r="D5308" s="24"/>
      <c r="E5308" s="14"/>
      <c r="F5308" s="14"/>
      <c r="G5308" s="14"/>
      <c r="H5308" s="23"/>
      <c r="I5308" s="27"/>
      <c r="J5308" s="23"/>
      <c r="K5308" s="30"/>
      <c r="L5308" s="23"/>
      <c r="M5308" s="20"/>
      <c r="N5308" s="20"/>
      <c r="O5308" s="20"/>
      <c r="P5308" s="20"/>
    </row>
    <row r="5309">
      <c r="A5309" s="10"/>
      <c r="B5309" s="11"/>
      <c r="C5309" s="10"/>
      <c r="D5309" s="13"/>
      <c r="E5309" s="14"/>
      <c r="F5309" s="14"/>
      <c r="G5309" s="14"/>
      <c r="H5309" s="10"/>
      <c r="I5309" s="17"/>
      <c r="J5309" s="10"/>
      <c r="K5309" s="46"/>
      <c r="L5309" s="10"/>
      <c r="M5309" s="20"/>
      <c r="N5309" s="20"/>
      <c r="O5309" s="20"/>
      <c r="P5309" s="20"/>
    </row>
    <row r="5310">
      <c r="A5310" s="23"/>
      <c r="B5310" s="21"/>
      <c r="C5310" s="23"/>
      <c r="D5310" s="24"/>
      <c r="E5310" s="14"/>
      <c r="F5310" s="14"/>
      <c r="G5310" s="14"/>
      <c r="H5310" s="23"/>
      <c r="I5310" s="27"/>
      <c r="J5310" s="23"/>
      <c r="K5310" s="30"/>
      <c r="L5310" s="23"/>
      <c r="M5310" s="20"/>
      <c r="N5310" s="20"/>
      <c r="O5310" s="20"/>
      <c r="P5310" s="20"/>
    </row>
    <row r="5311">
      <c r="A5311" s="10"/>
      <c r="B5311" s="11"/>
      <c r="C5311" s="10"/>
      <c r="D5311" s="13"/>
      <c r="E5311" s="14"/>
      <c r="F5311" s="14"/>
      <c r="G5311" s="14"/>
      <c r="H5311" s="10"/>
      <c r="I5311" s="17"/>
      <c r="J5311" s="10"/>
      <c r="K5311" s="46"/>
      <c r="L5311" s="10"/>
      <c r="M5311" s="20"/>
      <c r="N5311" s="20"/>
      <c r="O5311" s="20"/>
      <c r="P5311" s="20"/>
    </row>
    <row r="5312">
      <c r="A5312" s="23"/>
      <c r="B5312" s="21"/>
      <c r="C5312" s="23"/>
      <c r="D5312" s="24"/>
      <c r="E5312" s="14"/>
      <c r="F5312" s="14"/>
      <c r="G5312" s="14"/>
      <c r="H5312" s="23"/>
      <c r="I5312" s="27"/>
      <c r="J5312" s="23"/>
      <c r="K5312" s="30"/>
      <c r="L5312" s="23"/>
      <c r="M5312" s="20"/>
      <c r="N5312" s="20"/>
      <c r="O5312" s="20"/>
      <c r="P5312" s="20"/>
    </row>
    <row r="5313">
      <c r="A5313" s="10"/>
      <c r="B5313" s="11"/>
      <c r="C5313" s="10"/>
      <c r="D5313" s="13"/>
      <c r="E5313" s="14"/>
      <c r="F5313" s="14"/>
      <c r="G5313" s="14"/>
      <c r="H5313" s="10"/>
      <c r="I5313" s="17"/>
      <c r="J5313" s="10"/>
      <c r="K5313" s="46"/>
      <c r="L5313" s="10"/>
      <c r="M5313" s="20"/>
      <c r="N5313" s="20"/>
      <c r="O5313" s="20"/>
      <c r="P5313" s="20"/>
    </row>
    <row r="5314">
      <c r="A5314" s="23"/>
      <c r="B5314" s="21"/>
      <c r="C5314" s="23"/>
      <c r="D5314" s="24"/>
      <c r="E5314" s="14"/>
      <c r="F5314" s="14"/>
      <c r="G5314" s="14"/>
      <c r="H5314" s="23"/>
      <c r="I5314" s="27"/>
      <c r="J5314" s="23"/>
      <c r="K5314" s="30"/>
      <c r="L5314" s="23"/>
      <c r="M5314" s="20"/>
      <c r="N5314" s="20"/>
      <c r="O5314" s="20"/>
      <c r="P5314" s="20"/>
    </row>
    <row r="5315">
      <c r="A5315" s="10"/>
      <c r="B5315" s="11"/>
      <c r="C5315" s="10"/>
      <c r="D5315" s="13"/>
      <c r="E5315" s="14"/>
      <c r="F5315" s="14"/>
      <c r="G5315" s="14"/>
      <c r="H5315" s="10"/>
      <c r="I5315" s="17"/>
      <c r="J5315" s="10"/>
      <c r="K5315" s="46"/>
      <c r="L5315" s="10"/>
      <c r="M5315" s="20"/>
      <c r="N5315" s="20"/>
      <c r="O5315" s="20"/>
      <c r="P5315" s="20"/>
    </row>
    <row r="5316">
      <c r="A5316" s="23"/>
      <c r="B5316" s="21"/>
      <c r="C5316" s="23"/>
      <c r="D5316" s="24"/>
      <c r="E5316" s="14"/>
      <c r="F5316" s="14"/>
      <c r="G5316" s="14"/>
      <c r="H5316" s="23"/>
      <c r="I5316" s="27"/>
      <c r="J5316" s="23"/>
      <c r="K5316" s="30"/>
      <c r="L5316" s="23"/>
      <c r="M5316" s="20"/>
      <c r="N5316" s="20"/>
      <c r="O5316" s="20"/>
      <c r="P5316" s="20"/>
    </row>
    <row r="5317">
      <c r="A5317" s="10"/>
      <c r="B5317" s="11"/>
      <c r="C5317" s="10"/>
      <c r="D5317" s="13"/>
      <c r="E5317" s="14"/>
      <c r="F5317" s="14"/>
      <c r="G5317" s="14"/>
      <c r="H5317" s="10"/>
      <c r="I5317" s="17"/>
      <c r="J5317" s="10"/>
      <c r="K5317" s="46"/>
      <c r="L5317" s="10"/>
      <c r="M5317" s="20"/>
      <c r="N5317" s="20"/>
      <c r="O5317" s="20"/>
      <c r="P5317" s="20"/>
    </row>
    <row r="5318">
      <c r="A5318" s="23"/>
      <c r="B5318" s="21"/>
      <c r="C5318" s="23"/>
      <c r="D5318" s="24"/>
      <c r="E5318" s="14"/>
      <c r="F5318" s="14"/>
      <c r="G5318" s="14"/>
      <c r="H5318" s="23"/>
      <c r="I5318" s="27"/>
      <c r="J5318" s="23"/>
      <c r="K5318" s="30"/>
      <c r="L5318" s="23"/>
      <c r="M5318" s="20"/>
      <c r="N5318" s="20"/>
      <c r="O5318" s="20"/>
      <c r="P5318" s="20"/>
    </row>
    <row r="5319">
      <c r="A5319" s="10"/>
      <c r="B5319" s="11"/>
      <c r="C5319" s="10"/>
      <c r="D5319" s="13"/>
      <c r="E5319" s="14"/>
      <c r="F5319" s="14"/>
      <c r="G5319" s="14"/>
      <c r="H5319" s="10"/>
      <c r="I5319" s="17"/>
      <c r="J5319" s="10"/>
      <c r="K5319" s="46"/>
      <c r="L5319" s="10"/>
      <c r="M5319" s="20"/>
      <c r="N5319" s="20"/>
      <c r="O5319" s="20"/>
      <c r="P5319" s="20"/>
    </row>
    <row r="5320">
      <c r="A5320" s="23"/>
      <c r="B5320" s="21"/>
      <c r="C5320" s="23"/>
      <c r="D5320" s="24"/>
      <c r="E5320" s="14"/>
      <c r="F5320" s="14"/>
      <c r="G5320" s="14"/>
      <c r="H5320" s="23"/>
      <c r="I5320" s="27"/>
      <c r="J5320" s="23"/>
      <c r="K5320" s="30"/>
      <c r="L5320" s="23"/>
      <c r="M5320" s="20"/>
      <c r="N5320" s="20"/>
      <c r="O5320" s="20"/>
      <c r="P5320" s="20"/>
    </row>
    <row r="5321">
      <c r="A5321" s="10"/>
      <c r="B5321" s="11"/>
      <c r="C5321" s="10"/>
      <c r="D5321" s="13"/>
      <c r="E5321" s="14"/>
      <c r="F5321" s="14"/>
      <c r="G5321" s="14"/>
      <c r="H5321" s="10"/>
      <c r="I5321" s="17"/>
      <c r="J5321" s="10"/>
      <c r="K5321" s="46"/>
      <c r="L5321" s="10"/>
      <c r="M5321" s="20"/>
      <c r="N5321" s="20"/>
      <c r="O5321" s="20"/>
      <c r="P5321" s="20"/>
    </row>
    <row r="5322">
      <c r="A5322" s="23"/>
      <c r="B5322" s="21"/>
      <c r="C5322" s="23"/>
      <c r="D5322" s="24"/>
      <c r="E5322" s="14"/>
      <c r="F5322" s="14"/>
      <c r="G5322" s="14"/>
      <c r="H5322" s="23"/>
      <c r="I5322" s="27"/>
      <c r="J5322" s="23"/>
      <c r="K5322" s="30"/>
      <c r="L5322" s="23"/>
      <c r="M5322" s="20"/>
      <c r="N5322" s="20"/>
      <c r="O5322" s="20"/>
      <c r="P5322" s="20"/>
    </row>
    <row r="5323">
      <c r="A5323" s="10"/>
      <c r="B5323" s="11"/>
      <c r="C5323" s="10"/>
      <c r="D5323" s="13"/>
      <c r="E5323" s="14"/>
      <c r="F5323" s="14"/>
      <c r="G5323" s="14"/>
      <c r="H5323" s="10"/>
      <c r="I5323" s="17"/>
      <c r="J5323" s="10"/>
      <c r="K5323" s="46"/>
      <c r="L5323" s="10"/>
      <c r="M5323" s="20"/>
      <c r="N5323" s="20"/>
      <c r="O5323" s="20"/>
      <c r="P5323" s="20"/>
    </row>
    <row r="5324">
      <c r="A5324" s="23"/>
      <c r="B5324" s="21"/>
      <c r="C5324" s="23"/>
      <c r="D5324" s="24"/>
      <c r="E5324" s="14"/>
      <c r="F5324" s="14"/>
      <c r="G5324" s="14"/>
      <c r="H5324" s="23"/>
      <c r="I5324" s="27"/>
      <c r="J5324" s="23"/>
      <c r="K5324" s="30"/>
      <c r="L5324" s="23"/>
      <c r="M5324" s="20"/>
      <c r="N5324" s="20"/>
      <c r="O5324" s="20"/>
      <c r="P5324" s="20"/>
    </row>
    <row r="5325">
      <c r="A5325" s="10"/>
      <c r="B5325" s="11"/>
      <c r="C5325" s="10"/>
      <c r="D5325" s="13"/>
      <c r="E5325" s="14"/>
      <c r="F5325" s="14"/>
      <c r="G5325" s="14"/>
      <c r="H5325" s="10"/>
      <c r="I5325" s="17"/>
      <c r="J5325" s="10"/>
      <c r="K5325" s="46"/>
      <c r="L5325" s="10"/>
      <c r="M5325" s="20"/>
      <c r="N5325" s="20"/>
      <c r="O5325" s="20"/>
      <c r="P5325" s="20"/>
    </row>
    <row r="5326">
      <c r="A5326" s="23"/>
      <c r="B5326" s="21"/>
      <c r="C5326" s="23"/>
      <c r="D5326" s="24"/>
      <c r="E5326" s="14"/>
      <c r="F5326" s="14"/>
      <c r="G5326" s="14"/>
      <c r="H5326" s="23"/>
      <c r="I5326" s="27"/>
      <c r="J5326" s="23"/>
      <c r="K5326" s="30"/>
      <c r="L5326" s="23"/>
      <c r="M5326" s="20"/>
      <c r="N5326" s="20"/>
      <c r="O5326" s="20"/>
      <c r="P5326" s="20"/>
    </row>
    <row r="5327">
      <c r="A5327" s="10"/>
      <c r="B5327" s="11"/>
      <c r="C5327" s="10"/>
      <c r="D5327" s="13"/>
      <c r="E5327" s="14"/>
      <c r="F5327" s="14"/>
      <c r="G5327" s="14"/>
      <c r="H5327" s="10"/>
      <c r="I5327" s="17"/>
      <c r="J5327" s="10"/>
      <c r="K5327" s="46"/>
      <c r="L5327" s="10"/>
      <c r="M5327" s="20"/>
      <c r="N5327" s="20"/>
      <c r="O5327" s="20"/>
      <c r="P5327" s="20"/>
    </row>
    <row r="5328">
      <c r="A5328" s="23"/>
      <c r="B5328" s="21"/>
      <c r="C5328" s="23"/>
      <c r="D5328" s="24"/>
      <c r="E5328" s="14"/>
      <c r="F5328" s="14"/>
      <c r="G5328" s="14"/>
      <c r="H5328" s="23"/>
      <c r="I5328" s="27"/>
      <c r="J5328" s="23"/>
      <c r="K5328" s="30"/>
      <c r="L5328" s="23"/>
      <c r="M5328" s="20"/>
      <c r="N5328" s="20"/>
      <c r="O5328" s="20"/>
      <c r="P5328" s="20"/>
    </row>
    <row r="5329">
      <c r="A5329" s="10"/>
      <c r="B5329" s="11"/>
      <c r="C5329" s="10"/>
      <c r="D5329" s="13"/>
      <c r="E5329" s="14"/>
      <c r="F5329" s="14"/>
      <c r="G5329" s="14"/>
      <c r="H5329" s="10"/>
      <c r="I5329" s="17"/>
      <c r="J5329" s="10"/>
      <c r="K5329" s="46"/>
      <c r="L5329" s="10"/>
      <c r="M5329" s="20"/>
      <c r="N5329" s="20"/>
      <c r="O5329" s="20"/>
      <c r="P5329" s="20"/>
    </row>
    <row r="5330">
      <c r="A5330" s="23"/>
      <c r="B5330" s="21"/>
      <c r="C5330" s="23"/>
      <c r="D5330" s="24"/>
      <c r="E5330" s="14"/>
      <c r="F5330" s="14"/>
      <c r="G5330" s="14"/>
      <c r="H5330" s="23"/>
      <c r="I5330" s="27"/>
      <c r="J5330" s="23"/>
      <c r="K5330" s="30"/>
      <c r="L5330" s="23"/>
      <c r="M5330" s="20"/>
      <c r="N5330" s="20"/>
      <c r="O5330" s="20"/>
      <c r="P5330" s="20"/>
    </row>
    <row r="5331">
      <c r="A5331" s="10"/>
      <c r="B5331" s="11"/>
      <c r="C5331" s="10"/>
      <c r="D5331" s="13"/>
      <c r="E5331" s="14"/>
      <c r="F5331" s="14"/>
      <c r="G5331" s="14"/>
      <c r="H5331" s="10"/>
      <c r="I5331" s="17"/>
      <c r="J5331" s="10"/>
      <c r="K5331" s="46"/>
      <c r="L5331" s="10"/>
      <c r="M5331" s="20"/>
      <c r="N5331" s="20"/>
      <c r="O5331" s="20"/>
      <c r="P5331" s="20"/>
    </row>
    <row r="5332">
      <c r="A5332" s="23"/>
      <c r="B5332" s="21"/>
      <c r="C5332" s="23"/>
      <c r="D5332" s="24"/>
      <c r="E5332" s="14"/>
      <c r="F5332" s="14"/>
      <c r="G5332" s="14"/>
      <c r="H5332" s="23"/>
      <c r="I5332" s="27"/>
      <c r="J5332" s="23"/>
      <c r="K5332" s="30"/>
      <c r="L5332" s="23"/>
      <c r="M5332" s="20"/>
      <c r="N5332" s="20"/>
      <c r="O5332" s="20"/>
      <c r="P5332" s="20"/>
    </row>
    <row r="5333">
      <c r="A5333" s="10"/>
      <c r="B5333" s="11"/>
      <c r="C5333" s="10"/>
      <c r="D5333" s="13"/>
      <c r="E5333" s="14"/>
      <c r="F5333" s="14"/>
      <c r="G5333" s="14"/>
      <c r="H5333" s="10"/>
      <c r="I5333" s="17"/>
      <c r="J5333" s="10"/>
      <c r="K5333" s="46"/>
      <c r="L5333" s="10"/>
      <c r="M5333" s="20"/>
      <c r="N5333" s="20"/>
      <c r="O5333" s="20"/>
      <c r="P5333" s="20"/>
    </row>
    <row r="5334">
      <c r="A5334" s="23"/>
      <c r="B5334" s="21"/>
      <c r="C5334" s="23"/>
      <c r="D5334" s="24"/>
      <c r="E5334" s="14"/>
      <c r="F5334" s="14"/>
      <c r="G5334" s="14"/>
      <c r="H5334" s="23"/>
      <c r="I5334" s="27"/>
      <c r="J5334" s="23"/>
      <c r="K5334" s="30"/>
      <c r="L5334" s="23"/>
      <c r="M5334" s="20"/>
      <c r="N5334" s="20"/>
      <c r="O5334" s="20"/>
      <c r="P5334" s="20"/>
    </row>
    <row r="5335">
      <c r="A5335" s="10"/>
      <c r="B5335" s="11"/>
      <c r="C5335" s="10"/>
      <c r="D5335" s="13"/>
      <c r="E5335" s="14"/>
      <c r="F5335" s="14"/>
      <c r="G5335" s="14"/>
      <c r="H5335" s="10"/>
      <c r="I5335" s="17"/>
      <c r="J5335" s="10"/>
      <c r="K5335" s="46"/>
      <c r="L5335" s="10"/>
      <c r="M5335" s="20"/>
      <c r="N5335" s="20"/>
      <c r="O5335" s="20"/>
      <c r="P5335" s="20"/>
    </row>
    <row r="5336">
      <c r="A5336" s="23"/>
      <c r="B5336" s="21"/>
      <c r="C5336" s="23"/>
      <c r="D5336" s="24"/>
      <c r="E5336" s="14"/>
      <c r="F5336" s="14"/>
      <c r="G5336" s="14"/>
      <c r="H5336" s="23"/>
      <c r="I5336" s="27"/>
      <c r="J5336" s="23"/>
      <c r="K5336" s="30"/>
      <c r="L5336" s="23"/>
      <c r="M5336" s="20"/>
      <c r="N5336" s="20"/>
      <c r="O5336" s="20"/>
      <c r="P5336" s="20"/>
    </row>
    <row r="5337">
      <c r="A5337" s="10"/>
      <c r="B5337" s="11"/>
      <c r="C5337" s="10"/>
      <c r="D5337" s="13"/>
      <c r="E5337" s="14"/>
      <c r="F5337" s="14"/>
      <c r="G5337" s="14"/>
      <c r="H5337" s="10"/>
      <c r="I5337" s="17"/>
      <c r="J5337" s="10"/>
      <c r="K5337" s="46"/>
      <c r="L5337" s="10"/>
      <c r="M5337" s="20"/>
      <c r="N5337" s="20"/>
      <c r="O5337" s="20"/>
      <c r="P5337" s="20"/>
    </row>
    <row r="5338">
      <c r="A5338" s="23"/>
      <c r="B5338" s="21"/>
      <c r="C5338" s="23"/>
      <c r="D5338" s="24"/>
      <c r="E5338" s="14"/>
      <c r="F5338" s="14"/>
      <c r="G5338" s="14"/>
      <c r="H5338" s="23"/>
      <c r="I5338" s="27"/>
      <c r="J5338" s="23"/>
      <c r="K5338" s="30"/>
      <c r="L5338" s="23"/>
      <c r="M5338" s="20"/>
      <c r="N5338" s="20"/>
      <c r="O5338" s="20"/>
      <c r="P5338" s="20"/>
    </row>
    <row r="5339">
      <c r="A5339" s="10"/>
      <c r="B5339" s="11"/>
      <c r="C5339" s="10"/>
      <c r="D5339" s="13"/>
      <c r="E5339" s="14"/>
      <c r="F5339" s="14"/>
      <c r="G5339" s="14"/>
      <c r="H5339" s="10"/>
      <c r="I5339" s="17"/>
      <c r="J5339" s="10"/>
      <c r="K5339" s="46"/>
      <c r="L5339" s="10"/>
      <c r="M5339" s="20"/>
      <c r="N5339" s="20"/>
      <c r="O5339" s="20"/>
      <c r="P5339" s="20"/>
    </row>
    <row r="5340">
      <c r="A5340" s="23"/>
      <c r="B5340" s="21"/>
      <c r="C5340" s="23"/>
      <c r="D5340" s="24"/>
      <c r="E5340" s="14"/>
      <c r="F5340" s="14"/>
      <c r="G5340" s="14"/>
      <c r="H5340" s="23"/>
      <c r="I5340" s="27"/>
      <c r="J5340" s="23"/>
      <c r="K5340" s="30"/>
      <c r="L5340" s="23"/>
      <c r="M5340" s="20"/>
      <c r="N5340" s="20"/>
      <c r="O5340" s="20"/>
      <c r="P5340" s="20"/>
    </row>
    <row r="5341">
      <c r="A5341" s="10"/>
      <c r="B5341" s="11"/>
      <c r="C5341" s="10"/>
      <c r="D5341" s="13"/>
      <c r="E5341" s="14"/>
      <c r="F5341" s="14"/>
      <c r="G5341" s="14"/>
      <c r="H5341" s="10"/>
      <c r="I5341" s="17"/>
      <c r="J5341" s="10"/>
      <c r="K5341" s="46"/>
      <c r="L5341" s="10"/>
      <c r="M5341" s="20"/>
      <c r="N5341" s="20"/>
      <c r="O5341" s="20"/>
      <c r="P5341" s="20"/>
    </row>
    <row r="5342">
      <c r="A5342" s="23"/>
      <c r="B5342" s="21"/>
      <c r="C5342" s="23"/>
      <c r="D5342" s="24"/>
      <c r="E5342" s="14"/>
      <c r="F5342" s="14"/>
      <c r="G5342" s="14"/>
      <c r="H5342" s="23"/>
      <c r="I5342" s="27"/>
      <c r="J5342" s="23"/>
      <c r="K5342" s="30"/>
      <c r="L5342" s="23"/>
      <c r="M5342" s="20"/>
      <c r="N5342" s="20"/>
      <c r="O5342" s="20"/>
      <c r="P5342" s="20"/>
    </row>
    <row r="5343">
      <c r="A5343" s="10"/>
      <c r="B5343" s="11"/>
      <c r="C5343" s="10"/>
      <c r="D5343" s="13"/>
      <c r="E5343" s="14"/>
      <c r="F5343" s="14"/>
      <c r="G5343" s="14"/>
      <c r="H5343" s="10"/>
      <c r="I5343" s="17"/>
      <c r="J5343" s="10"/>
      <c r="K5343" s="46"/>
      <c r="L5343" s="10"/>
      <c r="M5343" s="20"/>
      <c r="N5343" s="20"/>
      <c r="O5343" s="20"/>
      <c r="P5343" s="20"/>
    </row>
    <row r="5344">
      <c r="A5344" s="23"/>
      <c r="B5344" s="21"/>
      <c r="C5344" s="23"/>
      <c r="D5344" s="24"/>
      <c r="E5344" s="14"/>
      <c r="F5344" s="14"/>
      <c r="G5344" s="14"/>
      <c r="H5344" s="23"/>
      <c r="I5344" s="27"/>
      <c r="J5344" s="23"/>
      <c r="K5344" s="30"/>
      <c r="L5344" s="23"/>
      <c r="M5344" s="20"/>
      <c r="N5344" s="20"/>
      <c r="O5344" s="20"/>
      <c r="P5344" s="20"/>
    </row>
    <row r="5345">
      <c r="A5345" s="10"/>
      <c r="B5345" s="11"/>
      <c r="C5345" s="10"/>
      <c r="D5345" s="13"/>
      <c r="E5345" s="14"/>
      <c r="F5345" s="14"/>
      <c r="G5345" s="14"/>
      <c r="H5345" s="10"/>
      <c r="I5345" s="17"/>
      <c r="J5345" s="10"/>
      <c r="K5345" s="46"/>
      <c r="L5345" s="10"/>
      <c r="M5345" s="20"/>
      <c r="N5345" s="20"/>
      <c r="O5345" s="20"/>
      <c r="P5345" s="20"/>
    </row>
    <row r="5346">
      <c r="A5346" s="23"/>
      <c r="B5346" s="21"/>
      <c r="C5346" s="23"/>
      <c r="D5346" s="24"/>
      <c r="E5346" s="14"/>
      <c r="F5346" s="14"/>
      <c r="G5346" s="14"/>
      <c r="H5346" s="23"/>
      <c r="I5346" s="27"/>
      <c r="J5346" s="23"/>
      <c r="K5346" s="30"/>
      <c r="L5346" s="23"/>
      <c r="M5346" s="20"/>
      <c r="N5346" s="20"/>
      <c r="O5346" s="20"/>
      <c r="P5346" s="20"/>
    </row>
    <row r="5347">
      <c r="A5347" s="10"/>
      <c r="B5347" s="11"/>
      <c r="C5347" s="10"/>
      <c r="D5347" s="13"/>
      <c r="E5347" s="14"/>
      <c r="F5347" s="14"/>
      <c r="G5347" s="14"/>
      <c r="H5347" s="10"/>
      <c r="I5347" s="17"/>
      <c r="J5347" s="10"/>
      <c r="K5347" s="46"/>
      <c r="L5347" s="10"/>
      <c r="M5347" s="20"/>
      <c r="N5347" s="20"/>
      <c r="O5347" s="20"/>
      <c r="P5347" s="20"/>
    </row>
    <row r="5348">
      <c r="A5348" s="23"/>
      <c r="B5348" s="21"/>
      <c r="C5348" s="23"/>
      <c r="D5348" s="24"/>
      <c r="E5348" s="14"/>
      <c r="F5348" s="14"/>
      <c r="G5348" s="14"/>
      <c r="H5348" s="23"/>
      <c r="I5348" s="27"/>
      <c r="J5348" s="23"/>
      <c r="K5348" s="30"/>
      <c r="L5348" s="23"/>
      <c r="M5348" s="20"/>
      <c r="N5348" s="20"/>
      <c r="O5348" s="20"/>
      <c r="P5348" s="20"/>
    </row>
    <row r="5349">
      <c r="A5349" s="10"/>
      <c r="B5349" s="11"/>
      <c r="C5349" s="10"/>
      <c r="D5349" s="13"/>
      <c r="E5349" s="14"/>
      <c r="F5349" s="14"/>
      <c r="G5349" s="14"/>
      <c r="H5349" s="10"/>
      <c r="I5349" s="17"/>
      <c r="J5349" s="10"/>
      <c r="K5349" s="46"/>
      <c r="L5349" s="10"/>
      <c r="M5349" s="20"/>
      <c r="N5349" s="20"/>
      <c r="O5349" s="20"/>
      <c r="P5349" s="20"/>
    </row>
    <row r="5350">
      <c r="A5350" s="23"/>
      <c r="B5350" s="21"/>
      <c r="C5350" s="23"/>
      <c r="D5350" s="24"/>
      <c r="E5350" s="14"/>
      <c r="F5350" s="14"/>
      <c r="G5350" s="14"/>
      <c r="H5350" s="23"/>
      <c r="I5350" s="27"/>
      <c r="J5350" s="23"/>
      <c r="K5350" s="30"/>
      <c r="L5350" s="23"/>
      <c r="M5350" s="20"/>
      <c r="N5350" s="20"/>
      <c r="O5350" s="20"/>
      <c r="P5350" s="20"/>
    </row>
    <row r="5351">
      <c r="A5351" s="10"/>
      <c r="B5351" s="11"/>
      <c r="C5351" s="10"/>
      <c r="D5351" s="13"/>
      <c r="E5351" s="14"/>
      <c r="F5351" s="14"/>
      <c r="G5351" s="14"/>
      <c r="H5351" s="10"/>
      <c r="I5351" s="17"/>
      <c r="J5351" s="10"/>
      <c r="K5351" s="46"/>
      <c r="L5351" s="10"/>
      <c r="M5351" s="20"/>
      <c r="N5351" s="20"/>
      <c r="O5351" s="20"/>
      <c r="P5351" s="20"/>
    </row>
    <row r="5352">
      <c r="A5352" s="23"/>
      <c r="B5352" s="21"/>
      <c r="C5352" s="23"/>
      <c r="D5352" s="24"/>
      <c r="E5352" s="14"/>
      <c r="F5352" s="14"/>
      <c r="G5352" s="14"/>
      <c r="H5352" s="23"/>
      <c r="I5352" s="27"/>
      <c r="J5352" s="23"/>
      <c r="K5352" s="30"/>
      <c r="L5352" s="23"/>
      <c r="M5352" s="20"/>
      <c r="N5352" s="20"/>
      <c r="O5352" s="20"/>
      <c r="P5352" s="20"/>
    </row>
    <row r="5353">
      <c r="A5353" s="10"/>
      <c r="B5353" s="11"/>
      <c r="C5353" s="10"/>
      <c r="D5353" s="13"/>
      <c r="E5353" s="14"/>
      <c r="F5353" s="14"/>
      <c r="G5353" s="14"/>
      <c r="H5353" s="10"/>
      <c r="I5353" s="17"/>
      <c r="J5353" s="10"/>
      <c r="K5353" s="46"/>
      <c r="L5353" s="10"/>
      <c r="M5353" s="20"/>
      <c r="N5353" s="20"/>
      <c r="O5353" s="20"/>
      <c r="P5353" s="20"/>
    </row>
    <row r="5354">
      <c r="A5354" s="23"/>
      <c r="B5354" s="21"/>
      <c r="C5354" s="23"/>
      <c r="D5354" s="24"/>
      <c r="E5354" s="14"/>
      <c r="F5354" s="14"/>
      <c r="G5354" s="14"/>
      <c r="H5354" s="23"/>
      <c r="I5354" s="27"/>
      <c r="J5354" s="23"/>
      <c r="K5354" s="30"/>
      <c r="L5354" s="23"/>
      <c r="M5354" s="20"/>
      <c r="N5354" s="20"/>
      <c r="O5354" s="20"/>
      <c r="P5354" s="20"/>
    </row>
    <row r="5355">
      <c r="A5355" s="10"/>
      <c r="B5355" s="11"/>
      <c r="C5355" s="10"/>
      <c r="D5355" s="13"/>
      <c r="E5355" s="14"/>
      <c r="F5355" s="14"/>
      <c r="G5355" s="14"/>
      <c r="H5355" s="10"/>
      <c r="I5355" s="17"/>
      <c r="J5355" s="10"/>
      <c r="K5355" s="46"/>
      <c r="L5355" s="10"/>
      <c r="M5355" s="20"/>
      <c r="N5355" s="20"/>
      <c r="O5355" s="20"/>
      <c r="P5355" s="20"/>
    </row>
    <row r="5356">
      <c r="A5356" s="23"/>
      <c r="B5356" s="21"/>
      <c r="C5356" s="23"/>
      <c r="D5356" s="24"/>
      <c r="E5356" s="14"/>
      <c r="F5356" s="14"/>
      <c r="G5356" s="14"/>
      <c r="H5356" s="23"/>
      <c r="I5356" s="27"/>
      <c r="J5356" s="23"/>
      <c r="K5356" s="30"/>
      <c r="L5356" s="23"/>
      <c r="M5356" s="20"/>
      <c r="N5356" s="20"/>
      <c r="O5356" s="20"/>
      <c r="P5356" s="20"/>
    </row>
    <row r="5357">
      <c r="A5357" s="10"/>
      <c r="B5357" s="11"/>
      <c r="C5357" s="10"/>
      <c r="D5357" s="13"/>
      <c r="E5357" s="14"/>
      <c r="F5357" s="14"/>
      <c r="G5357" s="14"/>
      <c r="H5357" s="10"/>
      <c r="I5357" s="17"/>
      <c r="J5357" s="10"/>
      <c r="K5357" s="46"/>
      <c r="L5357" s="10"/>
      <c r="M5357" s="20"/>
      <c r="N5357" s="20"/>
      <c r="O5357" s="20"/>
      <c r="P5357" s="20"/>
    </row>
    <row r="5358">
      <c r="A5358" s="23"/>
      <c r="B5358" s="21"/>
      <c r="C5358" s="23"/>
      <c r="D5358" s="24"/>
      <c r="E5358" s="14"/>
      <c r="F5358" s="14"/>
      <c r="G5358" s="14"/>
      <c r="H5358" s="23"/>
      <c r="I5358" s="27"/>
      <c r="J5358" s="23"/>
      <c r="K5358" s="30"/>
      <c r="L5358" s="23"/>
      <c r="M5358" s="20"/>
      <c r="N5358" s="20"/>
      <c r="O5358" s="20"/>
      <c r="P5358" s="20"/>
    </row>
    <row r="5359">
      <c r="A5359" s="10"/>
      <c r="B5359" s="11"/>
      <c r="C5359" s="10"/>
      <c r="D5359" s="13"/>
      <c r="E5359" s="14"/>
      <c r="F5359" s="14"/>
      <c r="G5359" s="14"/>
      <c r="H5359" s="10"/>
      <c r="I5359" s="17"/>
      <c r="J5359" s="10"/>
      <c r="K5359" s="46"/>
      <c r="L5359" s="10"/>
      <c r="M5359" s="20"/>
      <c r="N5359" s="20"/>
      <c r="O5359" s="20"/>
      <c r="P5359" s="20"/>
    </row>
    <row r="5360">
      <c r="A5360" s="23"/>
      <c r="B5360" s="21"/>
      <c r="C5360" s="23"/>
      <c r="D5360" s="24"/>
      <c r="E5360" s="14"/>
      <c r="F5360" s="14"/>
      <c r="G5360" s="14"/>
      <c r="H5360" s="23"/>
      <c r="I5360" s="27"/>
      <c r="J5360" s="23"/>
      <c r="K5360" s="30"/>
      <c r="L5360" s="23"/>
      <c r="M5360" s="20"/>
      <c r="N5360" s="20"/>
      <c r="O5360" s="20"/>
      <c r="P5360" s="20"/>
    </row>
    <row r="5361">
      <c r="A5361" s="10"/>
      <c r="B5361" s="11"/>
      <c r="C5361" s="10"/>
      <c r="D5361" s="13"/>
      <c r="E5361" s="14"/>
      <c r="F5361" s="14"/>
      <c r="G5361" s="14"/>
      <c r="H5361" s="10"/>
      <c r="I5361" s="17"/>
      <c r="J5361" s="10"/>
      <c r="K5361" s="46"/>
      <c r="L5361" s="10"/>
      <c r="M5361" s="20"/>
      <c r="N5361" s="20"/>
      <c r="O5361" s="20"/>
      <c r="P5361" s="20"/>
    </row>
    <row r="5362">
      <c r="A5362" s="23"/>
      <c r="B5362" s="21"/>
      <c r="C5362" s="23"/>
      <c r="D5362" s="24"/>
      <c r="E5362" s="14"/>
      <c r="F5362" s="14"/>
      <c r="G5362" s="14"/>
      <c r="H5362" s="23"/>
      <c r="I5362" s="27"/>
      <c r="J5362" s="23"/>
      <c r="K5362" s="30"/>
      <c r="L5362" s="23"/>
      <c r="M5362" s="20"/>
      <c r="N5362" s="20"/>
      <c r="O5362" s="20"/>
      <c r="P5362" s="20"/>
    </row>
    <row r="5363">
      <c r="A5363" s="10"/>
      <c r="B5363" s="11"/>
      <c r="C5363" s="10"/>
      <c r="D5363" s="13"/>
      <c r="E5363" s="14"/>
      <c r="F5363" s="14"/>
      <c r="G5363" s="14"/>
      <c r="H5363" s="10"/>
      <c r="I5363" s="17"/>
      <c r="J5363" s="10"/>
      <c r="K5363" s="46"/>
      <c r="L5363" s="10"/>
      <c r="M5363" s="20"/>
      <c r="N5363" s="20"/>
      <c r="O5363" s="20"/>
      <c r="P5363" s="20"/>
    </row>
    <row r="5364">
      <c r="A5364" s="23"/>
      <c r="B5364" s="21"/>
      <c r="C5364" s="23"/>
      <c r="D5364" s="24"/>
      <c r="E5364" s="14"/>
      <c r="F5364" s="14"/>
      <c r="G5364" s="14"/>
      <c r="H5364" s="23"/>
      <c r="I5364" s="27"/>
      <c r="J5364" s="23"/>
      <c r="K5364" s="30"/>
      <c r="L5364" s="23"/>
      <c r="M5364" s="20"/>
      <c r="N5364" s="20"/>
      <c r="O5364" s="20"/>
      <c r="P5364" s="20"/>
    </row>
    <row r="5365">
      <c r="A5365" s="10"/>
      <c r="B5365" s="11"/>
      <c r="C5365" s="10"/>
      <c r="D5365" s="13"/>
      <c r="E5365" s="14"/>
      <c r="F5365" s="14"/>
      <c r="G5365" s="14"/>
      <c r="H5365" s="10"/>
      <c r="I5365" s="17"/>
      <c r="J5365" s="10"/>
      <c r="K5365" s="46"/>
      <c r="L5365" s="10"/>
      <c r="M5365" s="20"/>
      <c r="N5365" s="20"/>
      <c r="O5365" s="20"/>
      <c r="P5365" s="20"/>
    </row>
    <row r="5366">
      <c r="A5366" s="23"/>
      <c r="B5366" s="21"/>
      <c r="C5366" s="23"/>
      <c r="D5366" s="24"/>
      <c r="E5366" s="14"/>
      <c r="F5366" s="14"/>
      <c r="G5366" s="14"/>
      <c r="H5366" s="23"/>
      <c r="I5366" s="27"/>
      <c r="J5366" s="23"/>
      <c r="K5366" s="30"/>
      <c r="L5366" s="23"/>
      <c r="M5366" s="20"/>
      <c r="N5366" s="20"/>
      <c r="O5366" s="20"/>
      <c r="P5366" s="20"/>
    </row>
    <row r="5367">
      <c r="A5367" s="10"/>
      <c r="B5367" s="11"/>
      <c r="C5367" s="10"/>
      <c r="D5367" s="13"/>
      <c r="E5367" s="14"/>
      <c r="F5367" s="14"/>
      <c r="G5367" s="14"/>
      <c r="H5367" s="10"/>
      <c r="I5367" s="17"/>
      <c r="J5367" s="10"/>
      <c r="K5367" s="46"/>
      <c r="L5367" s="10"/>
      <c r="M5367" s="20"/>
      <c r="N5367" s="20"/>
      <c r="O5367" s="20"/>
      <c r="P5367" s="20"/>
    </row>
    <row r="5368">
      <c r="A5368" s="23"/>
      <c r="B5368" s="21"/>
      <c r="C5368" s="23"/>
      <c r="D5368" s="24"/>
      <c r="E5368" s="14"/>
      <c r="F5368" s="14"/>
      <c r="G5368" s="14"/>
      <c r="H5368" s="23"/>
      <c r="I5368" s="27"/>
      <c r="J5368" s="23"/>
      <c r="K5368" s="30"/>
      <c r="L5368" s="23"/>
      <c r="M5368" s="20"/>
      <c r="N5368" s="20"/>
      <c r="O5368" s="20"/>
      <c r="P5368" s="20"/>
    </row>
    <row r="5369">
      <c r="A5369" s="10"/>
      <c r="B5369" s="11"/>
      <c r="C5369" s="10"/>
      <c r="D5369" s="13"/>
      <c r="E5369" s="14"/>
      <c r="F5369" s="14"/>
      <c r="G5369" s="14"/>
      <c r="H5369" s="10"/>
      <c r="I5369" s="17"/>
      <c r="J5369" s="10"/>
      <c r="K5369" s="46"/>
      <c r="L5369" s="10"/>
      <c r="M5369" s="20"/>
      <c r="N5369" s="20"/>
      <c r="O5369" s="20"/>
      <c r="P5369" s="20"/>
    </row>
    <row r="5370">
      <c r="A5370" s="23"/>
      <c r="B5370" s="21"/>
      <c r="C5370" s="23"/>
      <c r="D5370" s="24"/>
      <c r="E5370" s="14"/>
      <c r="F5370" s="14"/>
      <c r="G5370" s="14"/>
      <c r="H5370" s="23"/>
      <c r="I5370" s="27"/>
      <c r="J5370" s="23"/>
      <c r="K5370" s="30"/>
      <c r="L5370" s="23"/>
      <c r="M5370" s="20"/>
      <c r="N5370" s="20"/>
      <c r="O5370" s="20"/>
      <c r="P5370" s="20"/>
    </row>
    <row r="5371">
      <c r="A5371" s="10"/>
      <c r="B5371" s="11"/>
      <c r="C5371" s="10"/>
      <c r="D5371" s="13"/>
      <c r="E5371" s="14"/>
      <c r="F5371" s="14"/>
      <c r="G5371" s="14"/>
      <c r="H5371" s="10"/>
      <c r="I5371" s="17"/>
      <c r="J5371" s="10"/>
      <c r="K5371" s="46"/>
      <c r="L5371" s="10"/>
      <c r="M5371" s="20"/>
      <c r="N5371" s="20"/>
      <c r="O5371" s="20"/>
      <c r="P5371" s="20"/>
    </row>
    <row r="5372">
      <c r="A5372" s="23"/>
      <c r="B5372" s="21"/>
      <c r="C5372" s="23"/>
      <c r="D5372" s="24"/>
      <c r="E5372" s="14"/>
      <c r="F5372" s="14"/>
      <c r="G5372" s="14"/>
      <c r="H5372" s="23"/>
      <c r="I5372" s="27"/>
      <c r="J5372" s="23"/>
      <c r="K5372" s="30"/>
      <c r="L5372" s="23"/>
      <c r="M5372" s="20"/>
      <c r="N5372" s="20"/>
      <c r="O5372" s="20"/>
      <c r="P5372" s="20"/>
    </row>
    <row r="5373">
      <c r="A5373" s="10"/>
      <c r="B5373" s="11"/>
      <c r="C5373" s="10"/>
      <c r="D5373" s="13"/>
      <c r="E5373" s="14"/>
      <c r="F5373" s="14"/>
      <c r="G5373" s="14"/>
      <c r="H5373" s="10"/>
      <c r="I5373" s="17"/>
      <c r="J5373" s="10"/>
      <c r="K5373" s="46"/>
      <c r="L5373" s="10"/>
      <c r="M5373" s="20"/>
      <c r="N5373" s="20"/>
      <c r="O5373" s="20"/>
      <c r="P5373" s="20"/>
    </row>
    <row r="5374">
      <c r="A5374" s="23"/>
      <c r="B5374" s="21"/>
      <c r="C5374" s="23"/>
      <c r="D5374" s="24"/>
      <c r="E5374" s="14"/>
      <c r="F5374" s="14"/>
      <c r="G5374" s="14"/>
      <c r="H5374" s="23"/>
      <c r="I5374" s="27"/>
      <c r="J5374" s="23"/>
      <c r="K5374" s="30"/>
      <c r="L5374" s="23"/>
      <c r="M5374" s="20"/>
      <c r="N5374" s="20"/>
      <c r="O5374" s="20"/>
      <c r="P5374" s="20"/>
    </row>
    <row r="5375">
      <c r="A5375" s="10"/>
      <c r="B5375" s="11"/>
      <c r="C5375" s="10"/>
      <c r="D5375" s="13"/>
      <c r="E5375" s="14"/>
      <c r="F5375" s="14"/>
      <c r="G5375" s="14"/>
      <c r="H5375" s="10"/>
      <c r="I5375" s="17"/>
      <c r="J5375" s="10"/>
      <c r="K5375" s="46"/>
      <c r="L5375" s="10"/>
      <c r="M5375" s="20"/>
      <c r="N5375" s="20"/>
      <c r="O5375" s="20"/>
      <c r="P5375" s="20"/>
    </row>
    <row r="5376">
      <c r="A5376" s="23"/>
      <c r="B5376" s="21"/>
      <c r="C5376" s="23"/>
      <c r="D5376" s="24"/>
      <c r="E5376" s="14"/>
      <c r="F5376" s="14"/>
      <c r="G5376" s="14"/>
      <c r="H5376" s="23"/>
      <c r="I5376" s="27"/>
      <c r="J5376" s="23"/>
      <c r="K5376" s="30"/>
      <c r="L5376" s="23"/>
      <c r="M5376" s="20"/>
      <c r="N5376" s="20"/>
      <c r="O5376" s="20"/>
      <c r="P5376" s="20"/>
    </row>
    <row r="5377">
      <c r="A5377" s="10"/>
      <c r="B5377" s="11"/>
      <c r="C5377" s="10"/>
      <c r="D5377" s="13"/>
      <c r="E5377" s="14"/>
      <c r="F5377" s="14"/>
      <c r="G5377" s="14"/>
      <c r="H5377" s="10"/>
      <c r="I5377" s="17"/>
      <c r="J5377" s="10"/>
      <c r="K5377" s="46"/>
      <c r="L5377" s="10"/>
      <c r="M5377" s="20"/>
      <c r="N5377" s="20"/>
      <c r="O5377" s="20"/>
      <c r="P5377" s="20"/>
    </row>
    <row r="5378">
      <c r="A5378" s="23"/>
      <c r="B5378" s="21"/>
      <c r="C5378" s="23"/>
      <c r="D5378" s="24"/>
      <c r="E5378" s="14"/>
      <c r="F5378" s="14"/>
      <c r="G5378" s="14"/>
      <c r="H5378" s="23"/>
      <c r="I5378" s="27"/>
      <c r="J5378" s="23"/>
      <c r="K5378" s="30"/>
      <c r="L5378" s="23"/>
      <c r="M5378" s="20"/>
      <c r="N5378" s="20"/>
      <c r="O5378" s="20"/>
      <c r="P5378" s="20"/>
    </row>
    <row r="5379">
      <c r="A5379" s="10"/>
      <c r="B5379" s="11"/>
      <c r="C5379" s="10"/>
      <c r="D5379" s="13"/>
      <c r="E5379" s="14"/>
      <c r="F5379" s="14"/>
      <c r="G5379" s="14"/>
      <c r="H5379" s="10"/>
      <c r="I5379" s="17"/>
      <c r="J5379" s="10"/>
      <c r="K5379" s="46"/>
      <c r="L5379" s="10"/>
      <c r="M5379" s="20"/>
      <c r="N5379" s="20"/>
      <c r="O5379" s="20"/>
      <c r="P5379" s="20"/>
    </row>
    <row r="5380">
      <c r="A5380" s="23"/>
      <c r="B5380" s="21"/>
      <c r="C5380" s="23"/>
      <c r="D5380" s="24"/>
      <c r="E5380" s="14"/>
      <c r="F5380" s="14"/>
      <c r="G5380" s="14"/>
      <c r="H5380" s="23"/>
      <c r="I5380" s="27"/>
      <c r="J5380" s="23"/>
      <c r="K5380" s="30"/>
      <c r="L5380" s="23"/>
      <c r="M5380" s="20"/>
      <c r="N5380" s="20"/>
      <c r="O5380" s="20"/>
      <c r="P5380" s="20"/>
    </row>
    <row r="5381">
      <c r="A5381" s="10"/>
      <c r="B5381" s="11"/>
      <c r="C5381" s="10"/>
      <c r="D5381" s="13"/>
      <c r="E5381" s="14"/>
      <c r="F5381" s="14"/>
      <c r="G5381" s="14"/>
      <c r="H5381" s="10"/>
      <c r="I5381" s="17"/>
      <c r="J5381" s="10"/>
      <c r="K5381" s="46"/>
      <c r="L5381" s="10"/>
      <c r="M5381" s="20"/>
      <c r="N5381" s="20"/>
      <c r="O5381" s="20"/>
      <c r="P5381" s="20"/>
    </row>
    <row r="5382">
      <c r="A5382" s="23"/>
      <c r="B5382" s="21"/>
      <c r="C5382" s="23"/>
      <c r="D5382" s="24"/>
      <c r="E5382" s="14"/>
      <c r="F5382" s="14"/>
      <c r="G5382" s="14"/>
      <c r="H5382" s="23"/>
      <c r="I5382" s="27"/>
      <c r="J5382" s="23"/>
      <c r="K5382" s="30"/>
      <c r="L5382" s="23"/>
      <c r="M5382" s="20"/>
      <c r="N5382" s="20"/>
      <c r="O5382" s="20"/>
      <c r="P5382" s="20"/>
    </row>
    <row r="5383">
      <c r="A5383" s="10"/>
      <c r="B5383" s="11"/>
      <c r="C5383" s="10"/>
      <c r="D5383" s="13"/>
      <c r="E5383" s="14"/>
      <c r="F5383" s="14"/>
      <c r="G5383" s="14"/>
      <c r="H5383" s="10"/>
      <c r="I5383" s="17"/>
      <c r="J5383" s="10"/>
      <c r="K5383" s="46"/>
      <c r="L5383" s="10"/>
      <c r="M5383" s="20"/>
      <c r="N5383" s="20"/>
      <c r="O5383" s="20"/>
      <c r="P5383" s="20"/>
    </row>
    <row r="5384">
      <c r="A5384" s="23"/>
      <c r="B5384" s="21"/>
      <c r="C5384" s="23"/>
      <c r="D5384" s="24"/>
      <c r="E5384" s="14"/>
      <c r="F5384" s="14"/>
      <c r="G5384" s="14"/>
      <c r="H5384" s="23"/>
      <c r="I5384" s="27"/>
      <c r="J5384" s="23"/>
      <c r="K5384" s="30"/>
      <c r="L5384" s="23"/>
      <c r="M5384" s="20"/>
      <c r="N5384" s="20"/>
      <c r="O5384" s="20"/>
      <c r="P5384" s="20"/>
    </row>
    <row r="5385">
      <c r="A5385" s="10"/>
      <c r="B5385" s="11"/>
      <c r="C5385" s="10"/>
      <c r="D5385" s="13"/>
      <c r="E5385" s="14"/>
      <c r="F5385" s="14"/>
      <c r="G5385" s="14"/>
      <c r="H5385" s="10"/>
      <c r="I5385" s="17"/>
      <c r="J5385" s="10"/>
      <c r="K5385" s="46"/>
      <c r="L5385" s="10"/>
      <c r="M5385" s="20"/>
      <c r="N5385" s="20"/>
      <c r="O5385" s="20"/>
      <c r="P5385" s="20"/>
    </row>
    <row r="5386">
      <c r="A5386" s="23"/>
      <c r="B5386" s="21"/>
      <c r="C5386" s="23"/>
      <c r="D5386" s="24"/>
      <c r="E5386" s="14"/>
      <c r="F5386" s="14"/>
      <c r="G5386" s="14"/>
      <c r="H5386" s="23"/>
      <c r="I5386" s="27"/>
      <c r="J5386" s="23"/>
      <c r="K5386" s="30"/>
      <c r="L5386" s="23"/>
      <c r="M5386" s="20"/>
      <c r="N5386" s="20"/>
      <c r="O5386" s="20"/>
      <c r="P5386" s="20"/>
    </row>
    <row r="5387">
      <c r="A5387" s="10"/>
      <c r="B5387" s="11"/>
      <c r="C5387" s="10"/>
      <c r="D5387" s="13"/>
      <c r="E5387" s="14"/>
      <c r="F5387" s="14"/>
      <c r="G5387" s="14"/>
      <c r="H5387" s="10"/>
      <c r="I5387" s="17"/>
      <c r="J5387" s="10"/>
      <c r="K5387" s="46"/>
      <c r="L5387" s="10"/>
      <c r="M5387" s="20"/>
      <c r="N5387" s="20"/>
      <c r="O5387" s="20"/>
      <c r="P5387" s="20"/>
    </row>
    <row r="5388">
      <c r="A5388" s="23"/>
      <c r="B5388" s="21"/>
      <c r="C5388" s="23"/>
      <c r="D5388" s="24"/>
      <c r="E5388" s="14"/>
      <c r="F5388" s="14"/>
      <c r="G5388" s="14"/>
      <c r="H5388" s="23"/>
      <c r="I5388" s="27"/>
      <c r="J5388" s="23"/>
      <c r="K5388" s="30"/>
      <c r="L5388" s="23"/>
      <c r="M5388" s="20"/>
      <c r="N5388" s="20"/>
      <c r="O5388" s="20"/>
      <c r="P5388" s="20"/>
    </row>
    <row r="5389">
      <c r="A5389" s="10"/>
      <c r="B5389" s="11"/>
      <c r="C5389" s="10"/>
      <c r="D5389" s="13"/>
      <c r="E5389" s="14"/>
      <c r="F5389" s="14"/>
      <c r="G5389" s="14"/>
      <c r="H5389" s="10"/>
      <c r="I5389" s="17"/>
      <c r="J5389" s="10"/>
      <c r="K5389" s="46"/>
      <c r="L5389" s="10"/>
      <c r="M5389" s="20"/>
      <c r="N5389" s="20"/>
      <c r="O5389" s="20"/>
      <c r="P5389" s="20"/>
    </row>
    <row r="5390">
      <c r="A5390" s="23"/>
      <c r="B5390" s="21"/>
      <c r="C5390" s="23"/>
      <c r="D5390" s="24"/>
      <c r="E5390" s="14"/>
      <c r="F5390" s="14"/>
      <c r="G5390" s="14"/>
      <c r="H5390" s="23"/>
      <c r="I5390" s="27"/>
      <c r="J5390" s="23"/>
      <c r="K5390" s="30"/>
      <c r="L5390" s="23"/>
      <c r="M5390" s="20"/>
      <c r="N5390" s="20"/>
      <c r="O5390" s="20"/>
      <c r="P5390" s="20"/>
    </row>
    <row r="5391">
      <c r="A5391" s="10"/>
      <c r="B5391" s="11"/>
      <c r="C5391" s="10"/>
      <c r="D5391" s="13"/>
      <c r="E5391" s="14"/>
      <c r="F5391" s="14"/>
      <c r="G5391" s="14"/>
      <c r="H5391" s="10"/>
      <c r="I5391" s="17"/>
      <c r="J5391" s="10"/>
      <c r="K5391" s="46"/>
      <c r="L5391" s="10"/>
      <c r="M5391" s="20"/>
      <c r="N5391" s="20"/>
      <c r="O5391" s="20"/>
      <c r="P5391" s="20"/>
    </row>
    <row r="5392">
      <c r="A5392" s="23"/>
      <c r="B5392" s="21"/>
      <c r="C5392" s="23"/>
      <c r="D5392" s="24"/>
      <c r="E5392" s="14"/>
      <c r="F5392" s="14"/>
      <c r="G5392" s="14"/>
      <c r="H5392" s="23"/>
      <c r="I5392" s="27"/>
      <c r="J5392" s="23"/>
      <c r="K5392" s="30"/>
      <c r="L5392" s="23"/>
      <c r="M5392" s="20"/>
      <c r="N5392" s="20"/>
      <c r="O5392" s="20"/>
      <c r="P5392" s="20"/>
    </row>
    <row r="5393">
      <c r="A5393" s="10"/>
      <c r="B5393" s="11"/>
      <c r="C5393" s="10"/>
      <c r="D5393" s="13"/>
      <c r="E5393" s="14"/>
      <c r="F5393" s="14"/>
      <c r="G5393" s="14"/>
      <c r="H5393" s="10"/>
      <c r="I5393" s="17"/>
      <c r="J5393" s="10"/>
      <c r="K5393" s="46"/>
      <c r="L5393" s="10"/>
      <c r="M5393" s="20"/>
      <c r="N5393" s="20"/>
      <c r="O5393" s="20"/>
      <c r="P5393" s="20"/>
    </row>
    <row r="5394">
      <c r="A5394" s="23"/>
      <c r="B5394" s="21"/>
      <c r="C5394" s="23"/>
      <c r="D5394" s="24"/>
      <c r="E5394" s="14"/>
      <c r="F5394" s="14"/>
      <c r="G5394" s="14"/>
      <c r="H5394" s="23"/>
      <c r="I5394" s="27"/>
      <c r="J5394" s="23"/>
      <c r="K5394" s="30"/>
      <c r="L5394" s="23"/>
      <c r="M5394" s="20"/>
      <c r="N5394" s="20"/>
      <c r="O5394" s="20"/>
      <c r="P5394" s="20"/>
    </row>
    <row r="5395">
      <c r="A5395" s="10"/>
      <c r="B5395" s="11"/>
      <c r="C5395" s="10"/>
      <c r="D5395" s="13"/>
      <c r="E5395" s="14"/>
      <c r="F5395" s="14"/>
      <c r="G5395" s="14"/>
      <c r="H5395" s="10"/>
      <c r="I5395" s="17"/>
      <c r="J5395" s="10"/>
      <c r="K5395" s="46"/>
      <c r="L5395" s="10"/>
      <c r="M5395" s="20"/>
      <c r="N5395" s="20"/>
      <c r="O5395" s="20"/>
      <c r="P5395" s="20"/>
    </row>
    <row r="5396">
      <c r="A5396" s="23"/>
      <c r="B5396" s="21"/>
      <c r="C5396" s="23"/>
      <c r="D5396" s="24"/>
      <c r="E5396" s="14"/>
      <c r="F5396" s="14"/>
      <c r="G5396" s="14"/>
      <c r="H5396" s="23"/>
      <c r="I5396" s="27"/>
      <c r="J5396" s="23"/>
      <c r="K5396" s="30"/>
      <c r="L5396" s="23"/>
      <c r="M5396" s="20"/>
      <c r="N5396" s="20"/>
      <c r="O5396" s="20"/>
      <c r="P5396" s="20"/>
    </row>
    <row r="5397">
      <c r="A5397" s="10"/>
      <c r="B5397" s="11"/>
      <c r="C5397" s="10"/>
      <c r="D5397" s="13"/>
      <c r="E5397" s="14"/>
      <c r="F5397" s="14"/>
      <c r="G5397" s="14"/>
      <c r="H5397" s="10"/>
      <c r="I5397" s="17"/>
      <c r="J5397" s="10"/>
      <c r="K5397" s="46"/>
      <c r="L5397" s="10"/>
      <c r="M5397" s="20"/>
      <c r="N5397" s="20"/>
      <c r="O5397" s="20"/>
      <c r="P5397" s="20"/>
    </row>
    <row r="5398">
      <c r="A5398" s="23"/>
      <c r="B5398" s="21"/>
      <c r="C5398" s="23"/>
      <c r="D5398" s="24"/>
      <c r="E5398" s="14"/>
      <c r="F5398" s="14"/>
      <c r="G5398" s="14"/>
      <c r="H5398" s="23"/>
      <c r="I5398" s="27"/>
      <c r="J5398" s="23"/>
      <c r="K5398" s="30"/>
      <c r="L5398" s="23"/>
      <c r="M5398" s="20"/>
      <c r="N5398" s="20"/>
      <c r="O5398" s="20"/>
      <c r="P5398" s="20"/>
    </row>
    <row r="5399">
      <c r="A5399" s="10"/>
      <c r="B5399" s="11"/>
      <c r="C5399" s="10"/>
      <c r="D5399" s="13"/>
      <c r="E5399" s="14"/>
      <c r="F5399" s="14"/>
      <c r="G5399" s="14"/>
      <c r="H5399" s="10"/>
      <c r="I5399" s="17"/>
      <c r="J5399" s="10"/>
      <c r="K5399" s="46"/>
      <c r="L5399" s="10"/>
      <c r="M5399" s="20"/>
      <c r="N5399" s="20"/>
      <c r="O5399" s="20"/>
      <c r="P5399" s="20"/>
    </row>
    <row r="5400">
      <c r="A5400" s="23"/>
      <c r="B5400" s="21"/>
      <c r="C5400" s="23"/>
      <c r="D5400" s="24"/>
      <c r="E5400" s="14"/>
      <c r="F5400" s="14"/>
      <c r="G5400" s="14"/>
      <c r="H5400" s="23"/>
      <c r="I5400" s="27"/>
      <c r="J5400" s="23"/>
      <c r="K5400" s="30"/>
      <c r="L5400" s="23"/>
      <c r="M5400" s="20"/>
      <c r="N5400" s="20"/>
      <c r="O5400" s="20"/>
      <c r="P5400" s="20"/>
    </row>
    <row r="5401">
      <c r="A5401" s="10"/>
      <c r="B5401" s="11"/>
      <c r="C5401" s="10"/>
      <c r="D5401" s="13"/>
      <c r="E5401" s="14"/>
      <c r="F5401" s="14"/>
      <c r="G5401" s="14"/>
      <c r="H5401" s="10"/>
      <c r="I5401" s="17"/>
      <c r="J5401" s="10"/>
      <c r="K5401" s="46"/>
      <c r="L5401" s="10"/>
      <c r="M5401" s="20"/>
      <c r="N5401" s="20"/>
      <c r="O5401" s="20"/>
      <c r="P5401" s="20"/>
    </row>
    <row r="5402">
      <c r="A5402" s="23"/>
      <c r="B5402" s="21"/>
      <c r="C5402" s="23"/>
      <c r="D5402" s="24"/>
      <c r="E5402" s="14"/>
      <c r="F5402" s="14"/>
      <c r="G5402" s="14"/>
      <c r="H5402" s="23"/>
      <c r="I5402" s="27"/>
      <c r="J5402" s="23"/>
      <c r="K5402" s="30"/>
      <c r="L5402" s="23"/>
      <c r="M5402" s="20"/>
      <c r="N5402" s="20"/>
      <c r="O5402" s="20"/>
      <c r="P5402" s="20"/>
    </row>
    <row r="5403">
      <c r="A5403" s="10"/>
      <c r="B5403" s="11"/>
      <c r="C5403" s="10"/>
      <c r="D5403" s="13"/>
      <c r="E5403" s="14"/>
      <c r="F5403" s="14"/>
      <c r="G5403" s="14"/>
      <c r="H5403" s="10"/>
      <c r="I5403" s="17"/>
      <c r="J5403" s="10"/>
      <c r="K5403" s="46"/>
      <c r="L5403" s="10"/>
      <c r="M5403" s="20"/>
      <c r="N5403" s="20"/>
      <c r="O5403" s="20"/>
      <c r="P5403" s="20"/>
    </row>
    <row r="5404">
      <c r="A5404" s="23"/>
      <c r="B5404" s="21"/>
      <c r="C5404" s="23"/>
      <c r="D5404" s="24"/>
      <c r="E5404" s="14"/>
      <c r="F5404" s="14"/>
      <c r="G5404" s="14"/>
      <c r="H5404" s="23"/>
      <c r="I5404" s="27"/>
      <c r="J5404" s="23"/>
      <c r="K5404" s="30"/>
      <c r="L5404" s="23"/>
      <c r="M5404" s="20"/>
      <c r="N5404" s="20"/>
      <c r="O5404" s="20"/>
      <c r="P5404" s="20"/>
    </row>
    <row r="5405">
      <c r="A5405" s="10"/>
      <c r="B5405" s="11"/>
      <c r="C5405" s="10"/>
      <c r="D5405" s="13"/>
      <c r="E5405" s="14"/>
      <c r="F5405" s="14"/>
      <c r="G5405" s="14"/>
      <c r="H5405" s="10"/>
      <c r="I5405" s="17"/>
      <c r="J5405" s="10"/>
      <c r="K5405" s="46"/>
      <c r="L5405" s="10"/>
      <c r="M5405" s="20"/>
      <c r="N5405" s="20"/>
      <c r="O5405" s="20"/>
      <c r="P5405" s="20"/>
    </row>
    <row r="5406">
      <c r="A5406" s="23"/>
      <c r="B5406" s="21"/>
      <c r="C5406" s="23"/>
      <c r="D5406" s="24"/>
      <c r="E5406" s="14"/>
      <c r="F5406" s="14"/>
      <c r="G5406" s="14"/>
      <c r="H5406" s="23"/>
      <c r="I5406" s="27"/>
      <c r="J5406" s="23"/>
      <c r="K5406" s="30"/>
      <c r="L5406" s="23"/>
      <c r="M5406" s="20"/>
      <c r="N5406" s="20"/>
      <c r="O5406" s="20"/>
      <c r="P5406" s="20"/>
    </row>
    <row r="5407">
      <c r="A5407" s="10"/>
      <c r="B5407" s="11"/>
      <c r="C5407" s="10"/>
      <c r="D5407" s="13"/>
      <c r="E5407" s="14"/>
      <c r="F5407" s="14"/>
      <c r="G5407" s="14"/>
      <c r="H5407" s="10"/>
      <c r="I5407" s="17"/>
      <c r="J5407" s="10"/>
      <c r="K5407" s="46"/>
      <c r="L5407" s="10"/>
      <c r="M5407" s="20"/>
      <c r="N5407" s="20"/>
      <c r="O5407" s="20"/>
      <c r="P5407" s="20"/>
    </row>
    <row r="5408">
      <c r="A5408" s="23"/>
      <c r="B5408" s="21"/>
      <c r="C5408" s="23"/>
      <c r="D5408" s="24"/>
      <c r="E5408" s="14"/>
      <c r="F5408" s="14"/>
      <c r="G5408" s="14"/>
      <c r="H5408" s="23"/>
      <c r="I5408" s="27"/>
      <c r="J5408" s="23"/>
      <c r="K5408" s="30"/>
      <c r="L5408" s="23"/>
      <c r="M5408" s="20"/>
      <c r="N5408" s="20"/>
      <c r="O5408" s="20"/>
      <c r="P5408" s="20"/>
    </row>
    <row r="5409">
      <c r="A5409" s="10"/>
      <c r="B5409" s="11"/>
      <c r="C5409" s="10"/>
      <c r="D5409" s="13"/>
      <c r="E5409" s="14"/>
      <c r="F5409" s="14"/>
      <c r="G5409" s="14"/>
      <c r="H5409" s="10"/>
      <c r="I5409" s="17"/>
      <c r="J5409" s="10"/>
      <c r="K5409" s="46"/>
      <c r="L5409" s="10"/>
      <c r="M5409" s="20"/>
      <c r="N5409" s="20"/>
      <c r="O5409" s="20"/>
      <c r="P5409" s="20"/>
    </row>
    <row r="5410">
      <c r="A5410" s="23"/>
      <c r="B5410" s="21"/>
      <c r="C5410" s="23"/>
      <c r="D5410" s="24"/>
      <c r="E5410" s="14"/>
      <c r="F5410" s="14"/>
      <c r="G5410" s="14"/>
      <c r="H5410" s="23"/>
      <c r="I5410" s="27"/>
      <c r="J5410" s="23"/>
      <c r="K5410" s="30"/>
      <c r="L5410" s="23"/>
      <c r="M5410" s="20"/>
      <c r="N5410" s="20"/>
      <c r="O5410" s="20"/>
      <c r="P5410" s="20"/>
    </row>
    <row r="5411">
      <c r="A5411" s="10"/>
      <c r="B5411" s="11"/>
      <c r="C5411" s="10"/>
      <c r="D5411" s="13"/>
      <c r="E5411" s="14"/>
      <c r="F5411" s="14"/>
      <c r="G5411" s="14"/>
      <c r="H5411" s="10"/>
      <c r="I5411" s="17"/>
      <c r="J5411" s="10"/>
      <c r="K5411" s="46"/>
      <c r="L5411" s="10"/>
      <c r="M5411" s="20"/>
      <c r="N5411" s="20"/>
      <c r="O5411" s="20"/>
      <c r="P5411" s="20"/>
    </row>
    <row r="5412">
      <c r="A5412" s="23"/>
      <c r="B5412" s="21"/>
      <c r="C5412" s="23"/>
      <c r="D5412" s="24"/>
      <c r="E5412" s="14"/>
      <c r="F5412" s="14"/>
      <c r="G5412" s="14"/>
      <c r="H5412" s="23"/>
      <c r="I5412" s="27"/>
      <c r="J5412" s="23"/>
      <c r="K5412" s="30"/>
      <c r="L5412" s="23"/>
      <c r="M5412" s="20"/>
      <c r="N5412" s="20"/>
      <c r="O5412" s="20"/>
      <c r="P5412" s="20"/>
    </row>
    <row r="5413">
      <c r="A5413" s="10"/>
      <c r="B5413" s="11"/>
      <c r="C5413" s="10"/>
      <c r="D5413" s="13"/>
      <c r="E5413" s="14"/>
      <c r="F5413" s="14"/>
      <c r="G5413" s="14"/>
      <c r="H5413" s="10"/>
      <c r="I5413" s="17"/>
      <c r="J5413" s="10"/>
      <c r="K5413" s="46"/>
      <c r="L5413" s="10"/>
      <c r="M5413" s="20"/>
      <c r="N5413" s="20"/>
      <c r="O5413" s="20"/>
      <c r="P5413" s="20"/>
    </row>
    <row r="5414">
      <c r="A5414" s="23"/>
      <c r="B5414" s="21"/>
      <c r="C5414" s="23"/>
      <c r="D5414" s="24"/>
      <c r="E5414" s="14"/>
      <c r="F5414" s="14"/>
      <c r="G5414" s="14"/>
      <c r="H5414" s="23"/>
      <c r="I5414" s="27"/>
      <c r="J5414" s="23"/>
      <c r="K5414" s="30"/>
      <c r="L5414" s="23"/>
      <c r="M5414" s="20"/>
      <c r="N5414" s="20"/>
      <c r="O5414" s="20"/>
      <c r="P5414" s="20"/>
    </row>
    <row r="5415">
      <c r="A5415" s="10"/>
      <c r="B5415" s="11"/>
      <c r="C5415" s="10"/>
      <c r="D5415" s="13"/>
      <c r="E5415" s="14"/>
      <c r="F5415" s="14"/>
      <c r="G5415" s="14"/>
      <c r="H5415" s="10"/>
      <c r="I5415" s="17"/>
      <c r="J5415" s="10"/>
      <c r="K5415" s="46"/>
      <c r="L5415" s="10"/>
      <c r="M5415" s="20"/>
      <c r="N5415" s="20"/>
      <c r="O5415" s="20"/>
      <c r="P5415" s="20"/>
    </row>
    <row r="5416">
      <c r="A5416" s="23"/>
      <c r="B5416" s="21"/>
      <c r="C5416" s="23"/>
      <c r="D5416" s="24"/>
      <c r="E5416" s="14"/>
      <c r="F5416" s="14"/>
      <c r="G5416" s="14"/>
      <c r="H5416" s="23"/>
      <c r="I5416" s="27"/>
      <c r="J5416" s="23"/>
      <c r="K5416" s="30"/>
      <c r="L5416" s="23"/>
      <c r="M5416" s="20"/>
      <c r="N5416" s="20"/>
      <c r="O5416" s="20"/>
      <c r="P5416" s="20"/>
    </row>
    <row r="5417">
      <c r="A5417" s="10"/>
      <c r="B5417" s="11"/>
      <c r="C5417" s="10"/>
      <c r="D5417" s="13"/>
      <c r="E5417" s="14"/>
      <c r="F5417" s="14"/>
      <c r="G5417" s="14"/>
      <c r="H5417" s="10"/>
      <c r="I5417" s="17"/>
      <c r="J5417" s="10"/>
      <c r="K5417" s="46"/>
      <c r="L5417" s="10"/>
      <c r="M5417" s="20"/>
      <c r="N5417" s="20"/>
      <c r="O5417" s="20"/>
      <c r="P5417" s="20"/>
    </row>
    <row r="5418">
      <c r="A5418" s="23"/>
      <c r="B5418" s="21"/>
      <c r="C5418" s="23"/>
      <c r="D5418" s="24"/>
      <c r="E5418" s="14"/>
      <c r="F5418" s="14"/>
      <c r="G5418" s="14"/>
      <c r="H5418" s="23"/>
      <c r="I5418" s="27"/>
      <c r="J5418" s="23"/>
      <c r="K5418" s="30"/>
      <c r="L5418" s="23"/>
      <c r="M5418" s="20"/>
      <c r="N5418" s="20"/>
      <c r="O5418" s="20"/>
      <c r="P5418" s="20"/>
    </row>
    <row r="5419">
      <c r="A5419" s="10"/>
      <c r="B5419" s="11"/>
      <c r="C5419" s="10"/>
      <c r="D5419" s="13"/>
      <c r="E5419" s="14"/>
      <c r="F5419" s="14"/>
      <c r="G5419" s="14"/>
      <c r="H5419" s="10"/>
      <c r="I5419" s="17"/>
      <c r="J5419" s="10"/>
      <c r="K5419" s="46"/>
      <c r="L5419" s="10"/>
      <c r="M5419" s="20"/>
      <c r="N5419" s="20"/>
      <c r="O5419" s="20"/>
      <c r="P5419" s="20"/>
    </row>
    <row r="5420">
      <c r="A5420" s="23"/>
      <c r="B5420" s="21"/>
      <c r="C5420" s="23"/>
      <c r="D5420" s="24"/>
      <c r="E5420" s="14"/>
      <c r="F5420" s="14"/>
      <c r="G5420" s="14"/>
      <c r="H5420" s="23"/>
      <c r="I5420" s="27"/>
      <c r="J5420" s="23"/>
      <c r="K5420" s="30"/>
      <c r="L5420" s="23"/>
      <c r="M5420" s="20"/>
      <c r="N5420" s="20"/>
      <c r="O5420" s="20"/>
      <c r="P5420" s="20"/>
    </row>
    <row r="5421">
      <c r="A5421" s="10"/>
      <c r="B5421" s="11"/>
      <c r="C5421" s="10"/>
      <c r="D5421" s="13"/>
      <c r="E5421" s="14"/>
      <c r="F5421" s="14"/>
      <c r="G5421" s="14"/>
      <c r="H5421" s="10"/>
      <c r="I5421" s="17"/>
      <c r="J5421" s="10"/>
      <c r="K5421" s="46"/>
      <c r="L5421" s="10"/>
      <c r="M5421" s="20"/>
      <c r="N5421" s="20"/>
      <c r="O5421" s="20"/>
      <c r="P5421" s="20"/>
    </row>
    <row r="5422">
      <c r="A5422" s="23"/>
      <c r="B5422" s="21"/>
      <c r="C5422" s="23"/>
      <c r="D5422" s="24"/>
      <c r="E5422" s="14"/>
      <c r="F5422" s="14"/>
      <c r="G5422" s="14"/>
      <c r="H5422" s="23"/>
      <c r="I5422" s="27"/>
      <c r="J5422" s="23"/>
      <c r="K5422" s="30"/>
      <c r="L5422" s="23"/>
      <c r="M5422" s="20"/>
      <c r="N5422" s="20"/>
      <c r="O5422" s="20"/>
      <c r="P5422" s="20"/>
    </row>
    <row r="5423">
      <c r="A5423" s="10"/>
      <c r="B5423" s="11"/>
      <c r="C5423" s="10"/>
      <c r="D5423" s="13"/>
      <c r="E5423" s="14"/>
      <c r="F5423" s="14"/>
      <c r="G5423" s="14"/>
      <c r="H5423" s="10"/>
      <c r="I5423" s="17"/>
      <c r="J5423" s="10"/>
      <c r="K5423" s="46"/>
      <c r="L5423" s="10"/>
      <c r="M5423" s="20"/>
      <c r="N5423" s="20"/>
      <c r="O5423" s="20"/>
      <c r="P5423" s="20"/>
    </row>
    <row r="5424">
      <c r="A5424" s="23"/>
      <c r="B5424" s="21"/>
      <c r="C5424" s="23"/>
      <c r="D5424" s="24"/>
      <c r="E5424" s="14"/>
      <c r="F5424" s="14"/>
      <c r="G5424" s="14"/>
      <c r="H5424" s="23"/>
      <c r="I5424" s="27"/>
      <c r="J5424" s="23"/>
      <c r="K5424" s="30"/>
      <c r="L5424" s="23"/>
      <c r="M5424" s="20"/>
      <c r="N5424" s="20"/>
      <c r="O5424" s="20"/>
      <c r="P5424" s="20"/>
    </row>
    <row r="5425">
      <c r="A5425" s="10"/>
      <c r="B5425" s="11"/>
      <c r="C5425" s="10"/>
      <c r="D5425" s="13"/>
      <c r="E5425" s="14"/>
      <c r="F5425" s="14"/>
      <c r="G5425" s="14"/>
      <c r="H5425" s="10"/>
      <c r="I5425" s="17"/>
      <c r="J5425" s="10"/>
      <c r="K5425" s="46"/>
      <c r="L5425" s="10"/>
      <c r="M5425" s="20"/>
      <c r="N5425" s="20"/>
      <c r="O5425" s="20"/>
      <c r="P5425" s="20"/>
    </row>
    <row r="5426">
      <c r="A5426" s="23"/>
      <c r="B5426" s="21"/>
      <c r="C5426" s="23"/>
      <c r="D5426" s="24"/>
      <c r="E5426" s="14"/>
      <c r="F5426" s="14"/>
      <c r="G5426" s="14"/>
      <c r="H5426" s="23"/>
      <c r="I5426" s="27"/>
      <c r="J5426" s="23"/>
      <c r="K5426" s="30"/>
      <c r="L5426" s="23"/>
      <c r="M5426" s="20"/>
      <c r="N5426" s="20"/>
      <c r="O5426" s="20"/>
      <c r="P5426" s="20"/>
    </row>
    <row r="5427">
      <c r="A5427" s="10"/>
      <c r="B5427" s="11"/>
      <c r="C5427" s="10"/>
      <c r="D5427" s="13"/>
      <c r="E5427" s="14"/>
      <c r="F5427" s="14"/>
      <c r="G5427" s="14"/>
      <c r="H5427" s="10"/>
      <c r="I5427" s="17"/>
      <c r="J5427" s="10"/>
      <c r="K5427" s="46"/>
      <c r="L5427" s="10"/>
      <c r="M5427" s="20"/>
      <c r="N5427" s="20"/>
      <c r="O5427" s="20"/>
      <c r="P5427" s="20"/>
    </row>
    <row r="5428">
      <c r="A5428" s="23"/>
      <c r="B5428" s="21"/>
      <c r="C5428" s="23"/>
      <c r="D5428" s="24"/>
      <c r="E5428" s="14"/>
      <c r="F5428" s="14"/>
      <c r="G5428" s="14"/>
      <c r="H5428" s="23"/>
      <c r="I5428" s="27"/>
      <c r="J5428" s="23"/>
      <c r="K5428" s="30"/>
      <c r="L5428" s="23"/>
      <c r="M5428" s="20"/>
      <c r="N5428" s="20"/>
      <c r="O5428" s="20"/>
      <c r="P5428" s="20"/>
    </row>
    <row r="5429">
      <c r="A5429" s="10"/>
      <c r="B5429" s="11"/>
      <c r="C5429" s="10"/>
      <c r="D5429" s="13"/>
      <c r="E5429" s="14"/>
      <c r="F5429" s="14"/>
      <c r="G5429" s="14"/>
      <c r="H5429" s="10"/>
      <c r="I5429" s="17"/>
      <c r="J5429" s="10"/>
      <c r="K5429" s="46"/>
      <c r="L5429" s="10"/>
      <c r="M5429" s="20"/>
      <c r="N5429" s="20"/>
      <c r="O5429" s="20"/>
      <c r="P5429" s="20"/>
    </row>
    <row r="5430">
      <c r="A5430" s="23"/>
      <c r="B5430" s="21"/>
      <c r="C5430" s="23"/>
      <c r="D5430" s="24"/>
      <c r="E5430" s="14"/>
      <c r="F5430" s="14"/>
      <c r="G5430" s="14"/>
      <c r="H5430" s="23"/>
      <c r="I5430" s="27"/>
      <c r="J5430" s="23"/>
      <c r="K5430" s="30"/>
      <c r="L5430" s="23"/>
      <c r="M5430" s="20"/>
      <c r="N5430" s="20"/>
      <c r="O5430" s="20"/>
      <c r="P5430" s="20"/>
    </row>
    <row r="5431">
      <c r="A5431" s="10"/>
      <c r="B5431" s="11"/>
      <c r="C5431" s="10"/>
      <c r="D5431" s="13"/>
      <c r="E5431" s="14"/>
      <c r="F5431" s="14"/>
      <c r="G5431" s="14"/>
      <c r="H5431" s="10"/>
      <c r="I5431" s="17"/>
      <c r="J5431" s="10"/>
      <c r="K5431" s="46"/>
      <c r="L5431" s="10"/>
      <c r="M5431" s="20"/>
      <c r="N5431" s="20"/>
      <c r="O5431" s="20"/>
      <c r="P5431" s="20"/>
    </row>
    <row r="5432">
      <c r="A5432" s="23"/>
      <c r="B5432" s="21"/>
      <c r="C5432" s="23"/>
      <c r="D5432" s="24"/>
      <c r="E5432" s="14"/>
      <c r="F5432" s="14"/>
      <c r="G5432" s="14"/>
      <c r="H5432" s="23"/>
      <c r="I5432" s="27"/>
      <c r="J5432" s="23"/>
      <c r="K5432" s="30"/>
      <c r="L5432" s="23"/>
      <c r="M5432" s="20"/>
      <c r="N5432" s="20"/>
      <c r="O5432" s="20"/>
      <c r="P5432" s="20"/>
    </row>
    <row r="5433">
      <c r="A5433" s="10"/>
      <c r="B5433" s="11"/>
      <c r="C5433" s="10"/>
      <c r="D5433" s="13"/>
      <c r="E5433" s="14"/>
      <c r="F5433" s="14"/>
      <c r="G5433" s="14"/>
      <c r="H5433" s="10"/>
      <c r="I5433" s="17"/>
      <c r="J5433" s="10"/>
      <c r="K5433" s="46"/>
      <c r="L5433" s="10"/>
      <c r="M5433" s="20"/>
      <c r="N5433" s="20"/>
      <c r="O5433" s="20"/>
      <c r="P5433" s="20"/>
    </row>
    <row r="5434">
      <c r="A5434" s="23"/>
      <c r="B5434" s="21"/>
      <c r="C5434" s="23"/>
      <c r="D5434" s="24"/>
      <c r="E5434" s="14"/>
      <c r="F5434" s="14"/>
      <c r="G5434" s="14"/>
      <c r="H5434" s="23"/>
      <c r="I5434" s="27"/>
      <c r="J5434" s="23"/>
      <c r="K5434" s="30"/>
      <c r="L5434" s="23"/>
      <c r="M5434" s="20"/>
      <c r="N5434" s="20"/>
      <c r="O5434" s="20"/>
      <c r="P5434" s="20"/>
    </row>
    <row r="5435">
      <c r="A5435" s="10"/>
      <c r="B5435" s="11"/>
      <c r="C5435" s="10"/>
      <c r="D5435" s="13"/>
      <c r="E5435" s="14"/>
      <c r="F5435" s="14"/>
      <c r="G5435" s="14"/>
      <c r="H5435" s="10"/>
      <c r="I5435" s="17"/>
      <c r="J5435" s="10"/>
      <c r="K5435" s="46"/>
      <c r="L5435" s="10"/>
      <c r="M5435" s="20"/>
      <c r="N5435" s="20"/>
      <c r="O5435" s="20"/>
      <c r="P5435" s="20"/>
    </row>
    <row r="5436">
      <c r="A5436" s="23"/>
      <c r="B5436" s="21"/>
      <c r="C5436" s="23"/>
      <c r="D5436" s="24"/>
      <c r="E5436" s="14"/>
      <c r="F5436" s="14"/>
      <c r="G5436" s="14"/>
      <c r="H5436" s="23"/>
      <c r="I5436" s="27"/>
      <c r="J5436" s="23"/>
      <c r="K5436" s="30"/>
      <c r="L5436" s="23"/>
      <c r="M5436" s="20"/>
      <c r="N5436" s="20"/>
      <c r="O5436" s="20"/>
      <c r="P5436" s="20"/>
    </row>
    <row r="5437">
      <c r="A5437" s="10"/>
      <c r="B5437" s="11"/>
      <c r="C5437" s="10"/>
      <c r="D5437" s="13"/>
      <c r="E5437" s="14"/>
      <c r="F5437" s="14"/>
      <c r="G5437" s="14"/>
      <c r="H5437" s="10"/>
      <c r="I5437" s="17"/>
      <c r="J5437" s="10"/>
      <c r="K5437" s="46"/>
      <c r="L5437" s="10"/>
      <c r="M5437" s="20"/>
      <c r="N5437" s="20"/>
      <c r="O5437" s="20"/>
      <c r="P5437" s="20"/>
    </row>
    <row r="5438">
      <c r="A5438" s="23"/>
      <c r="B5438" s="21"/>
      <c r="C5438" s="23"/>
      <c r="D5438" s="24"/>
      <c r="E5438" s="14"/>
      <c r="F5438" s="14"/>
      <c r="G5438" s="14"/>
      <c r="H5438" s="23"/>
      <c r="I5438" s="27"/>
      <c r="J5438" s="23"/>
      <c r="K5438" s="30"/>
      <c r="L5438" s="23"/>
      <c r="M5438" s="20"/>
      <c r="N5438" s="20"/>
      <c r="O5438" s="20"/>
      <c r="P5438" s="20"/>
    </row>
    <row r="5439">
      <c r="A5439" s="10"/>
      <c r="B5439" s="11"/>
      <c r="C5439" s="10"/>
      <c r="D5439" s="13"/>
      <c r="E5439" s="14"/>
      <c r="F5439" s="14"/>
      <c r="G5439" s="14"/>
      <c r="H5439" s="10"/>
      <c r="I5439" s="17"/>
      <c r="J5439" s="10"/>
      <c r="K5439" s="46"/>
      <c r="L5439" s="10"/>
      <c r="M5439" s="20"/>
      <c r="N5439" s="20"/>
      <c r="O5439" s="20"/>
      <c r="P5439" s="20"/>
    </row>
    <row r="5440">
      <c r="A5440" s="23"/>
      <c r="B5440" s="21"/>
      <c r="C5440" s="23"/>
      <c r="D5440" s="24"/>
      <c r="E5440" s="14"/>
      <c r="F5440" s="14"/>
      <c r="G5440" s="14"/>
      <c r="H5440" s="23"/>
      <c r="I5440" s="27"/>
      <c r="J5440" s="23"/>
      <c r="K5440" s="30"/>
      <c r="L5440" s="23"/>
      <c r="M5440" s="20"/>
      <c r="N5440" s="20"/>
      <c r="O5440" s="20"/>
      <c r="P5440" s="20"/>
    </row>
    <row r="5441">
      <c r="A5441" s="10"/>
      <c r="B5441" s="11"/>
      <c r="C5441" s="10"/>
      <c r="D5441" s="13"/>
      <c r="E5441" s="14"/>
      <c r="F5441" s="14"/>
      <c r="G5441" s="14"/>
      <c r="H5441" s="10"/>
      <c r="I5441" s="17"/>
      <c r="J5441" s="10"/>
      <c r="K5441" s="46"/>
      <c r="L5441" s="10"/>
      <c r="M5441" s="20"/>
      <c r="N5441" s="20"/>
      <c r="O5441" s="20"/>
      <c r="P5441" s="20"/>
    </row>
    <row r="5442">
      <c r="A5442" s="23"/>
      <c r="B5442" s="21"/>
      <c r="C5442" s="23"/>
      <c r="D5442" s="24"/>
      <c r="E5442" s="14"/>
      <c r="F5442" s="14"/>
      <c r="G5442" s="14"/>
      <c r="H5442" s="23"/>
      <c r="I5442" s="27"/>
      <c r="J5442" s="23"/>
      <c r="K5442" s="30"/>
      <c r="L5442" s="23"/>
      <c r="M5442" s="20"/>
      <c r="N5442" s="20"/>
      <c r="O5442" s="20"/>
      <c r="P5442" s="20"/>
    </row>
    <row r="5443">
      <c r="A5443" s="10"/>
      <c r="B5443" s="11"/>
      <c r="C5443" s="10"/>
      <c r="D5443" s="13"/>
      <c r="E5443" s="14"/>
      <c r="F5443" s="14"/>
      <c r="G5443" s="14"/>
      <c r="H5443" s="10"/>
      <c r="I5443" s="17"/>
      <c r="J5443" s="10"/>
      <c r="K5443" s="46"/>
      <c r="L5443" s="10"/>
      <c r="M5443" s="20"/>
      <c r="N5443" s="20"/>
      <c r="O5443" s="20"/>
      <c r="P5443" s="20"/>
    </row>
    <row r="5444">
      <c r="A5444" s="23"/>
      <c r="B5444" s="21"/>
      <c r="C5444" s="23"/>
      <c r="D5444" s="24"/>
      <c r="E5444" s="14"/>
      <c r="F5444" s="14"/>
      <c r="G5444" s="14"/>
      <c r="H5444" s="23"/>
      <c r="I5444" s="27"/>
      <c r="J5444" s="23"/>
      <c r="K5444" s="30"/>
      <c r="L5444" s="23"/>
      <c r="M5444" s="20"/>
      <c r="N5444" s="20"/>
      <c r="O5444" s="20"/>
      <c r="P5444" s="20"/>
    </row>
    <row r="5445">
      <c r="A5445" s="10"/>
      <c r="B5445" s="11"/>
      <c r="C5445" s="10"/>
      <c r="D5445" s="13"/>
      <c r="E5445" s="14"/>
      <c r="F5445" s="14"/>
      <c r="G5445" s="14"/>
      <c r="H5445" s="10"/>
      <c r="I5445" s="17"/>
      <c r="J5445" s="10"/>
      <c r="K5445" s="46"/>
      <c r="L5445" s="10"/>
      <c r="M5445" s="20"/>
      <c r="N5445" s="20"/>
      <c r="O5445" s="20"/>
      <c r="P5445" s="20"/>
    </row>
    <row r="5446">
      <c r="A5446" s="23"/>
      <c r="B5446" s="21"/>
      <c r="C5446" s="23"/>
      <c r="D5446" s="24"/>
      <c r="E5446" s="14"/>
      <c r="F5446" s="14"/>
      <c r="G5446" s="14"/>
      <c r="H5446" s="23"/>
      <c r="I5446" s="27"/>
      <c r="J5446" s="23"/>
      <c r="K5446" s="30"/>
      <c r="L5446" s="23"/>
      <c r="M5446" s="20"/>
      <c r="N5446" s="20"/>
      <c r="O5446" s="20"/>
      <c r="P5446" s="20"/>
    </row>
    <row r="5447">
      <c r="A5447" s="10"/>
      <c r="B5447" s="11"/>
      <c r="C5447" s="10"/>
      <c r="D5447" s="13"/>
      <c r="E5447" s="14"/>
      <c r="F5447" s="14"/>
      <c r="G5447" s="14"/>
      <c r="H5447" s="10"/>
      <c r="I5447" s="17"/>
      <c r="J5447" s="10"/>
      <c r="K5447" s="46"/>
      <c r="L5447" s="10"/>
      <c r="M5447" s="20"/>
      <c r="N5447" s="20"/>
      <c r="O5447" s="20"/>
      <c r="P5447" s="20"/>
    </row>
    <row r="5448">
      <c r="A5448" s="23"/>
      <c r="B5448" s="21"/>
      <c r="C5448" s="23"/>
      <c r="D5448" s="24"/>
      <c r="E5448" s="14"/>
      <c r="F5448" s="14"/>
      <c r="G5448" s="14"/>
      <c r="H5448" s="23"/>
      <c r="I5448" s="27"/>
      <c r="J5448" s="23"/>
      <c r="K5448" s="30"/>
      <c r="L5448" s="23"/>
      <c r="M5448" s="20"/>
      <c r="N5448" s="20"/>
      <c r="O5448" s="20"/>
      <c r="P5448" s="20"/>
    </row>
    <row r="5449">
      <c r="A5449" s="10"/>
      <c r="B5449" s="11"/>
      <c r="C5449" s="10"/>
      <c r="D5449" s="13"/>
      <c r="E5449" s="14"/>
      <c r="F5449" s="14"/>
      <c r="G5449" s="14"/>
      <c r="H5449" s="10"/>
      <c r="I5449" s="17"/>
      <c r="J5449" s="10"/>
      <c r="K5449" s="46"/>
      <c r="L5449" s="10"/>
      <c r="M5449" s="20"/>
      <c r="N5449" s="20"/>
      <c r="O5449" s="20"/>
      <c r="P5449" s="20"/>
    </row>
    <row r="5450">
      <c r="A5450" s="23"/>
      <c r="B5450" s="21"/>
      <c r="C5450" s="23"/>
      <c r="D5450" s="24"/>
      <c r="E5450" s="14"/>
      <c r="F5450" s="14"/>
      <c r="G5450" s="14"/>
      <c r="H5450" s="23"/>
      <c r="I5450" s="27"/>
      <c r="J5450" s="23"/>
      <c r="K5450" s="30"/>
      <c r="L5450" s="23"/>
      <c r="M5450" s="20"/>
      <c r="N5450" s="20"/>
      <c r="O5450" s="20"/>
      <c r="P5450" s="20"/>
    </row>
    <row r="5451">
      <c r="A5451" s="10"/>
      <c r="B5451" s="11"/>
      <c r="C5451" s="10"/>
      <c r="D5451" s="13"/>
      <c r="E5451" s="14"/>
      <c r="F5451" s="14"/>
      <c r="G5451" s="14"/>
      <c r="H5451" s="10"/>
      <c r="I5451" s="17"/>
      <c r="J5451" s="10"/>
      <c r="K5451" s="46"/>
      <c r="L5451" s="10"/>
      <c r="M5451" s="20"/>
      <c r="N5451" s="20"/>
      <c r="O5451" s="20"/>
      <c r="P5451" s="20"/>
    </row>
    <row r="5452">
      <c r="A5452" s="23"/>
      <c r="B5452" s="21"/>
      <c r="C5452" s="23"/>
      <c r="D5452" s="24"/>
      <c r="E5452" s="14"/>
      <c r="F5452" s="14"/>
      <c r="G5452" s="14"/>
      <c r="H5452" s="23"/>
      <c r="I5452" s="27"/>
      <c r="J5452" s="23"/>
      <c r="K5452" s="30"/>
      <c r="L5452" s="23"/>
      <c r="M5452" s="20"/>
      <c r="N5452" s="20"/>
      <c r="O5452" s="20"/>
      <c r="P5452" s="20"/>
    </row>
    <row r="5453">
      <c r="A5453" s="10"/>
      <c r="B5453" s="11"/>
      <c r="C5453" s="10"/>
      <c r="D5453" s="13"/>
      <c r="E5453" s="14"/>
      <c r="F5453" s="14"/>
      <c r="G5453" s="14"/>
      <c r="H5453" s="10"/>
      <c r="I5453" s="17"/>
      <c r="J5453" s="10"/>
      <c r="K5453" s="46"/>
      <c r="L5453" s="10"/>
      <c r="M5453" s="20"/>
      <c r="N5453" s="20"/>
      <c r="O5453" s="20"/>
      <c r="P5453" s="20"/>
    </row>
    <row r="5454">
      <c r="A5454" s="23"/>
      <c r="B5454" s="21"/>
      <c r="C5454" s="23"/>
      <c r="D5454" s="24"/>
      <c r="E5454" s="14"/>
      <c r="F5454" s="14"/>
      <c r="G5454" s="14"/>
      <c r="H5454" s="23"/>
      <c r="I5454" s="27"/>
      <c r="J5454" s="23"/>
      <c r="K5454" s="30"/>
      <c r="L5454" s="23"/>
      <c r="M5454" s="20"/>
      <c r="N5454" s="20"/>
      <c r="O5454" s="20"/>
      <c r="P5454" s="20"/>
    </row>
    <row r="5455">
      <c r="A5455" s="10"/>
      <c r="B5455" s="11"/>
      <c r="C5455" s="10"/>
      <c r="D5455" s="13"/>
      <c r="E5455" s="14"/>
      <c r="F5455" s="14"/>
      <c r="G5455" s="14"/>
      <c r="H5455" s="10"/>
      <c r="I5455" s="17"/>
      <c r="J5455" s="10"/>
      <c r="K5455" s="46"/>
      <c r="L5455" s="10"/>
      <c r="M5455" s="20"/>
      <c r="N5455" s="20"/>
      <c r="O5455" s="20"/>
      <c r="P5455" s="20"/>
    </row>
    <row r="5456">
      <c r="A5456" s="23"/>
      <c r="B5456" s="21"/>
      <c r="C5456" s="23"/>
      <c r="D5456" s="24"/>
      <c r="E5456" s="14"/>
      <c r="F5456" s="14"/>
      <c r="G5456" s="14"/>
      <c r="H5456" s="23"/>
      <c r="I5456" s="27"/>
      <c r="J5456" s="23"/>
      <c r="K5456" s="30"/>
      <c r="L5456" s="23"/>
      <c r="M5456" s="20"/>
      <c r="N5456" s="20"/>
      <c r="O5456" s="20"/>
      <c r="P5456" s="20"/>
    </row>
    <row r="5457">
      <c r="A5457" s="10"/>
      <c r="B5457" s="11"/>
      <c r="C5457" s="10"/>
      <c r="D5457" s="13"/>
      <c r="E5457" s="14"/>
      <c r="F5457" s="14"/>
      <c r="G5457" s="14"/>
      <c r="H5457" s="10"/>
      <c r="I5457" s="17"/>
      <c r="J5457" s="10"/>
      <c r="K5457" s="46"/>
      <c r="L5457" s="10"/>
      <c r="M5457" s="20"/>
      <c r="N5457" s="20"/>
      <c r="O5457" s="20"/>
      <c r="P5457" s="20"/>
    </row>
    <row r="5458">
      <c r="A5458" s="23"/>
      <c r="B5458" s="21"/>
      <c r="C5458" s="23"/>
      <c r="D5458" s="24"/>
      <c r="E5458" s="14"/>
      <c r="F5458" s="14"/>
      <c r="G5458" s="14"/>
      <c r="H5458" s="23"/>
      <c r="I5458" s="27"/>
      <c r="J5458" s="23"/>
      <c r="K5458" s="30"/>
      <c r="L5458" s="23"/>
      <c r="M5458" s="20"/>
      <c r="N5458" s="20"/>
      <c r="O5458" s="20"/>
      <c r="P5458" s="20"/>
    </row>
    <row r="5459">
      <c r="A5459" s="10"/>
      <c r="B5459" s="11"/>
      <c r="C5459" s="10"/>
      <c r="D5459" s="13"/>
      <c r="E5459" s="14"/>
      <c r="F5459" s="14"/>
      <c r="G5459" s="14"/>
      <c r="H5459" s="10"/>
      <c r="I5459" s="17"/>
      <c r="J5459" s="10"/>
      <c r="K5459" s="46"/>
      <c r="L5459" s="10"/>
      <c r="M5459" s="20"/>
      <c r="N5459" s="20"/>
      <c r="O5459" s="20"/>
      <c r="P5459" s="20"/>
    </row>
    <row r="5460">
      <c r="A5460" s="23"/>
      <c r="B5460" s="21"/>
      <c r="C5460" s="23"/>
      <c r="D5460" s="24"/>
      <c r="E5460" s="14"/>
      <c r="F5460" s="14"/>
      <c r="G5460" s="14"/>
      <c r="H5460" s="23"/>
      <c r="I5460" s="27"/>
      <c r="J5460" s="23"/>
      <c r="K5460" s="30"/>
      <c r="L5460" s="23"/>
      <c r="M5460" s="20"/>
      <c r="N5460" s="20"/>
      <c r="O5460" s="20"/>
      <c r="P5460" s="20"/>
    </row>
    <row r="5461">
      <c r="A5461" s="10"/>
      <c r="B5461" s="11"/>
      <c r="C5461" s="10"/>
      <c r="D5461" s="13"/>
      <c r="E5461" s="14"/>
      <c r="F5461" s="14"/>
      <c r="G5461" s="14"/>
      <c r="H5461" s="10"/>
      <c r="I5461" s="17"/>
      <c r="J5461" s="10"/>
      <c r="K5461" s="46"/>
      <c r="L5461" s="10"/>
      <c r="M5461" s="20"/>
      <c r="N5461" s="20"/>
      <c r="O5461" s="20"/>
      <c r="P5461" s="20"/>
    </row>
    <row r="5462">
      <c r="A5462" s="23"/>
      <c r="B5462" s="21"/>
      <c r="C5462" s="23"/>
      <c r="D5462" s="24"/>
      <c r="E5462" s="14"/>
      <c r="F5462" s="14"/>
      <c r="G5462" s="14"/>
      <c r="H5462" s="23"/>
      <c r="I5462" s="27"/>
      <c r="J5462" s="23"/>
      <c r="K5462" s="30"/>
      <c r="L5462" s="23"/>
      <c r="M5462" s="20"/>
      <c r="N5462" s="20"/>
      <c r="O5462" s="20"/>
      <c r="P5462" s="20"/>
    </row>
    <row r="5463">
      <c r="A5463" s="10"/>
      <c r="B5463" s="11"/>
      <c r="C5463" s="10"/>
      <c r="D5463" s="13"/>
      <c r="E5463" s="14"/>
      <c r="F5463" s="14"/>
      <c r="G5463" s="14"/>
      <c r="H5463" s="10"/>
      <c r="I5463" s="17"/>
      <c r="J5463" s="10"/>
      <c r="K5463" s="46"/>
      <c r="L5463" s="10"/>
      <c r="M5463" s="20"/>
      <c r="N5463" s="20"/>
      <c r="O5463" s="20"/>
      <c r="P5463" s="20"/>
    </row>
    <row r="5464">
      <c r="A5464" s="23"/>
      <c r="B5464" s="21"/>
      <c r="C5464" s="23"/>
      <c r="D5464" s="24"/>
      <c r="E5464" s="14"/>
      <c r="F5464" s="14"/>
      <c r="G5464" s="14"/>
      <c r="H5464" s="23"/>
      <c r="I5464" s="27"/>
      <c r="J5464" s="23"/>
      <c r="K5464" s="30"/>
      <c r="L5464" s="23"/>
      <c r="M5464" s="20"/>
      <c r="N5464" s="20"/>
      <c r="O5464" s="20"/>
      <c r="P5464" s="20"/>
    </row>
    <row r="5465">
      <c r="A5465" s="10"/>
      <c r="B5465" s="11"/>
      <c r="C5465" s="10"/>
      <c r="D5465" s="13"/>
      <c r="E5465" s="14"/>
      <c r="F5465" s="14"/>
      <c r="G5465" s="14"/>
      <c r="H5465" s="10"/>
      <c r="I5465" s="17"/>
      <c r="J5465" s="10"/>
      <c r="K5465" s="46"/>
      <c r="L5465" s="10"/>
      <c r="M5465" s="20"/>
      <c r="N5465" s="20"/>
      <c r="O5465" s="20"/>
      <c r="P5465" s="20"/>
    </row>
    <row r="5466">
      <c r="A5466" s="23"/>
      <c r="B5466" s="21"/>
      <c r="C5466" s="23"/>
      <c r="D5466" s="24"/>
      <c r="E5466" s="14"/>
      <c r="F5466" s="14"/>
      <c r="G5466" s="14"/>
      <c r="H5466" s="23"/>
      <c r="I5466" s="27"/>
      <c r="J5466" s="23"/>
      <c r="K5466" s="30"/>
      <c r="L5466" s="23"/>
      <c r="M5466" s="20"/>
      <c r="N5466" s="20"/>
      <c r="O5466" s="20"/>
      <c r="P5466" s="20"/>
    </row>
    <row r="5467">
      <c r="A5467" s="10"/>
      <c r="B5467" s="11"/>
      <c r="C5467" s="10"/>
      <c r="D5467" s="13"/>
      <c r="E5467" s="14"/>
      <c r="F5467" s="14"/>
      <c r="G5467" s="14"/>
      <c r="H5467" s="10"/>
      <c r="I5467" s="17"/>
      <c r="J5467" s="10"/>
      <c r="K5467" s="46"/>
      <c r="L5467" s="10"/>
      <c r="M5467" s="20"/>
      <c r="N5467" s="20"/>
      <c r="O5467" s="20"/>
      <c r="P5467" s="20"/>
    </row>
    <row r="5468">
      <c r="A5468" s="23"/>
      <c r="B5468" s="21"/>
      <c r="C5468" s="23"/>
      <c r="D5468" s="24"/>
      <c r="E5468" s="14"/>
      <c r="F5468" s="14"/>
      <c r="G5468" s="14"/>
      <c r="H5468" s="23"/>
      <c r="I5468" s="27"/>
      <c r="J5468" s="23"/>
      <c r="K5468" s="30"/>
      <c r="L5468" s="23"/>
      <c r="M5468" s="20"/>
      <c r="N5468" s="20"/>
      <c r="O5468" s="20"/>
      <c r="P5468" s="20"/>
    </row>
    <row r="5469">
      <c r="A5469" s="10"/>
      <c r="B5469" s="11"/>
      <c r="C5469" s="10"/>
      <c r="D5469" s="13"/>
      <c r="E5469" s="14"/>
      <c r="F5469" s="14"/>
      <c r="G5469" s="14"/>
      <c r="H5469" s="10"/>
      <c r="I5469" s="17"/>
      <c r="J5469" s="10"/>
      <c r="K5469" s="46"/>
      <c r="L5469" s="10"/>
      <c r="M5469" s="20"/>
      <c r="N5469" s="20"/>
      <c r="O5469" s="20"/>
      <c r="P5469" s="20"/>
    </row>
    <row r="5470">
      <c r="A5470" s="23"/>
      <c r="B5470" s="21"/>
      <c r="C5470" s="23"/>
      <c r="D5470" s="24"/>
      <c r="E5470" s="14"/>
      <c r="F5470" s="14"/>
      <c r="G5470" s="14"/>
      <c r="H5470" s="23"/>
      <c r="I5470" s="27"/>
      <c r="J5470" s="23"/>
      <c r="K5470" s="30"/>
      <c r="L5470" s="23"/>
      <c r="M5470" s="20"/>
      <c r="N5470" s="20"/>
      <c r="O5470" s="20"/>
      <c r="P5470" s="20"/>
    </row>
    <row r="5471">
      <c r="A5471" s="10"/>
      <c r="B5471" s="11"/>
      <c r="C5471" s="10"/>
      <c r="D5471" s="13"/>
      <c r="E5471" s="14"/>
      <c r="F5471" s="14"/>
      <c r="G5471" s="14"/>
      <c r="H5471" s="10"/>
      <c r="I5471" s="17"/>
      <c r="J5471" s="10"/>
      <c r="K5471" s="46"/>
      <c r="L5471" s="10"/>
      <c r="M5471" s="20"/>
      <c r="N5471" s="20"/>
      <c r="O5471" s="20"/>
      <c r="P5471" s="20"/>
    </row>
    <row r="5472">
      <c r="A5472" s="23"/>
      <c r="B5472" s="21"/>
      <c r="C5472" s="23"/>
      <c r="D5472" s="24"/>
      <c r="E5472" s="14"/>
      <c r="F5472" s="14"/>
      <c r="G5472" s="14"/>
      <c r="H5472" s="23"/>
      <c r="I5472" s="27"/>
      <c r="J5472" s="23"/>
      <c r="K5472" s="30"/>
      <c r="L5472" s="23"/>
      <c r="M5472" s="20"/>
      <c r="N5472" s="20"/>
      <c r="O5472" s="20"/>
      <c r="P5472" s="20"/>
    </row>
    <row r="5473">
      <c r="A5473" s="10"/>
      <c r="B5473" s="11"/>
      <c r="C5473" s="10"/>
      <c r="D5473" s="13"/>
      <c r="E5473" s="14"/>
      <c r="F5473" s="14"/>
      <c r="G5473" s="14"/>
      <c r="H5473" s="10"/>
      <c r="I5473" s="17"/>
      <c r="J5473" s="10"/>
      <c r="K5473" s="46"/>
      <c r="L5473" s="10"/>
      <c r="M5473" s="20"/>
      <c r="N5473" s="20"/>
      <c r="O5473" s="20"/>
      <c r="P5473" s="20"/>
    </row>
    <row r="5474">
      <c r="A5474" s="23"/>
      <c r="B5474" s="21"/>
      <c r="C5474" s="23"/>
      <c r="D5474" s="24"/>
      <c r="E5474" s="14"/>
      <c r="F5474" s="14"/>
      <c r="G5474" s="14"/>
      <c r="H5474" s="23"/>
      <c r="I5474" s="27"/>
      <c r="J5474" s="23"/>
      <c r="K5474" s="30"/>
      <c r="L5474" s="23"/>
      <c r="M5474" s="20"/>
      <c r="N5474" s="20"/>
      <c r="O5474" s="20"/>
      <c r="P5474" s="20"/>
    </row>
    <row r="5475">
      <c r="A5475" s="10"/>
      <c r="B5475" s="11"/>
      <c r="C5475" s="10"/>
      <c r="D5475" s="13"/>
      <c r="E5475" s="14"/>
      <c r="F5475" s="14"/>
      <c r="G5475" s="14"/>
      <c r="H5475" s="10"/>
      <c r="I5475" s="17"/>
      <c r="J5475" s="10"/>
      <c r="K5475" s="46"/>
      <c r="L5475" s="10"/>
      <c r="M5475" s="20"/>
      <c r="N5475" s="20"/>
      <c r="O5475" s="20"/>
      <c r="P5475" s="20"/>
    </row>
    <row r="5476">
      <c r="A5476" s="23"/>
      <c r="B5476" s="21"/>
      <c r="C5476" s="23"/>
      <c r="D5476" s="24"/>
      <c r="E5476" s="14"/>
      <c r="F5476" s="14"/>
      <c r="G5476" s="14"/>
      <c r="H5476" s="23"/>
      <c r="I5476" s="27"/>
      <c r="J5476" s="23"/>
      <c r="K5476" s="30"/>
      <c r="L5476" s="23"/>
      <c r="M5476" s="20"/>
      <c r="N5476" s="20"/>
      <c r="O5476" s="20"/>
      <c r="P5476" s="20"/>
    </row>
    <row r="5477">
      <c r="A5477" s="10"/>
      <c r="B5477" s="11"/>
      <c r="C5477" s="10"/>
      <c r="D5477" s="13"/>
      <c r="E5477" s="14"/>
      <c r="F5477" s="14"/>
      <c r="G5477" s="14"/>
      <c r="H5477" s="10"/>
      <c r="I5477" s="17"/>
      <c r="J5477" s="10"/>
      <c r="K5477" s="46"/>
      <c r="L5477" s="10"/>
      <c r="M5477" s="20"/>
      <c r="N5477" s="20"/>
      <c r="O5477" s="20"/>
      <c r="P5477" s="20"/>
    </row>
    <row r="5478">
      <c r="A5478" s="23"/>
      <c r="B5478" s="21"/>
      <c r="C5478" s="23"/>
      <c r="D5478" s="24"/>
      <c r="E5478" s="14"/>
      <c r="F5478" s="14"/>
      <c r="G5478" s="14"/>
      <c r="H5478" s="23"/>
      <c r="I5478" s="27"/>
      <c r="J5478" s="23"/>
      <c r="K5478" s="30"/>
      <c r="L5478" s="23"/>
      <c r="M5478" s="20"/>
      <c r="N5478" s="20"/>
      <c r="O5478" s="20"/>
      <c r="P5478" s="20"/>
    </row>
    <row r="5479">
      <c r="A5479" s="10"/>
      <c r="B5479" s="11"/>
      <c r="C5479" s="10"/>
      <c r="D5479" s="13"/>
      <c r="E5479" s="14"/>
      <c r="F5479" s="14"/>
      <c r="G5479" s="14"/>
      <c r="H5479" s="10"/>
      <c r="I5479" s="17"/>
      <c r="J5479" s="10"/>
      <c r="K5479" s="46"/>
      <c r="L5479" s="10"/>
      <c r="M5479" s="20"/>
      <c r="N5479" s="20"/>
      <c r="O5479" s="20"/>
      <c r="P5479" s="20"/>
    </row>
    <row r="5480">
      <c r="A5480" s="23"/>
      <c r="B5480" s="21"/>
      <c r="C5480" s="23"/>
      <c r="D5480" s="24"/>
      <c r="E5480" s="14"/>
      <c r="F5480" s="14"/>
      <c r="G5480" s="14"/>
      <c r="H5480" s="23"/>
      <c r="I5480" s="27"/>
      <c r="J5480" s="23"/>
      <c r="K5480" s="30"/>
      <c r="L5480" s="23"/>
      <c r="M5480" s="20"/>
      <c r="N5480" s="20"/>
      <c r="O5480" s="20"/>
      <c r="P5480" s="20"/>
    </row>
    <row r="5481">
      <c r="A5481" s="10"/>
      <c r="B5481" s="11"/>
      <c r="C5481" s="10"/>
      <c r="D5481" s="13"/>
      <c r="E5481" s="14"/>
      <c r="F5481" s="14"/>
      <c r="G5481" s="14"/>
      <c r="H5481" s="10"/>
      <c r="I5481" s="17"/>
      <c r="J5481" s="10"/>
      <c r="K5481" s="46"/>
      <c r="L5481" s="10"/>
      <c r="M5481" s="20"/>
      <c r="N5481" s="20"/>
      <c r="O5481" s="20"/>
      <c r="P5481" s="20"/>
    </row>
    <row r="5482">
      <c r="A5482" s="23"/>
      <c r="B5482" s="21"/>
      <c r="C5482" s="23"/>
      <c r="D5482" s="24"/>
      <c r="E5482" s="14"/>
      <c r="F5482" s="14"/>
      <c r="G5482" s="14"/>
      <c r="H5482" s="23"/>
      <c r="I5482" s="27"/>
      <c r="J5482" s="23"/>
      <c r="K5482" s="30"/>
      <c r="L5482" s="23"/>
      <c r="M5482" s="20"/>
      <c r="N5482" s="20"/>
      <c r="O5482" s="20"/>
      <c r="P5482" s="20"/>
    </row>
    <row r="5483">
      <c r="A5483" s="10"/>
      <c r="B5483" s="11"/>
      <c r="C5483" s="10"/>
      <c r="D5483" s="13"/>
      <c r="E5483" s="14"/>
      <c r="F5483" s="14"/>
      <c r="G5483" s="14"/>
      <c r="H5483" s="10"/>
      <c r="I5483" s="17"/>
      <c r="J5483" s="10"/>
      <c r="K5483" s="46"/>
      <c r="L5483" s="10"/>
      <c r="M5483" s="20"/>
      <c r="N5483" s="20"/>
      <c r="O5483" s="20"/>
      <c r="P5483" s="20"/>
    </row>
    <row r="5484">
      <c r="A5484" s="23"/>
      <c r="B5484" s="21"/>
      <c r="C5484" s="23"/>
      <c r="D5484" s="24"/>
      <c r="E5484" s="14"/>
      <c r="F5484" s="14"/>
      <c r="G5484" s="14"/>
      <c r="H5484" s="23"/>
      <c r="I5484" s="27"/>
      <c r="J5484" s="23"/>
      <c r="K5484" s="30"/>
      <c r="L5484" s="23"/>
      <c r="M5484" s="20"/>
      <c r="N5484" s="20"/>
      <c r="O5484" s="20"/>
      <c r="P5484" s="20"/>
    </row>
    <row r="5485">
      <c r="A5485" s="10"/>
      <c r="B5485" s="11"/>
      <c r="C5485" s="10"/>
      <c r="D5485" s="13"/>
      <c r="E5485" s="14"/>
      <c r="F5485" s="14"/>
      <c r="G5485" s="14"/>
      <c r="H5485" s="10"/>
      <c r="I5485" s="17"/>
      <c r="J5485" s="10"/>
      <c r="K5485" s="46"/>
      <c r="L5485" s="10"/>
      <c r="M5485" s="20"/>
      <c r="N5485" s="20"/>
      <c r="O5485" s="20"/>
      <c r="P5485" s="20"/>
    </row>
    <row r="5486">
      <c r="A5486" s="23"/>
      <c r="B5486" s="21"/>
      <c r="C5486" s="23"/>
      <c r="D5486" s="24"/>
      <c r="E5486" s="14"/>
      <c r="F5486" s="14"/>
      <c r="G5486" s="14"/>
      <c r="H5486" s="23"/>
      <c r="I5486" s="27"/>
      <c r="J5486" s="23"/>
      <c r="K5486" s="30"/>
      <c r="L5486" s="23"/>
      <c r="M5486" s="20"/>
      <c r="N5486" s="20"/>
      <c r="O5486" s="20"/>
      <c r="P5486" s="20"/>
    </row>
    <row r="5487">
      <c r="A5487" s="10"/>
      <c r="B5487" s="11"/>
      <c r="C5487" s="10"/>
      <c r="D5487" s="13"/>
      <c r="E5487" s="14"/>
      <c r="F5487" s="14"/>
      <c r="G5487" s="14"/>
      <c r="H5487" s="10"/>
      <c r="I5487" s="17"/>
      <c r="J5487" s="10"/>
      <c r="K5487" s="46"/>
      <c r="L5487" s="10"/>
      <c r="M5487" s="20"/>
      <c r="N5487" s="20"/>
      <c r="O5487" s="20"/>
      <c r="P5487" s="20"/>
    </row>
    <row r="5488">
      <c r="A5488" s="23"/>
      <c r="B5488" s="21"/>
      <c r="C5488" s="23"/>
      <c r="D5488" s="24"/>
      <c r="E5488" s="14"/>
      <c r="F5488" s="14"/>
      <c r="G5488" s="14"/>
      <c r="H5488" s="23"/>
      <c r="I5488" s="27"/>
      <c r="J5488" s="23"/>
      <c r="K5488" s="30"/>
      <c r="L5488" s="23"/>
      <c r="M5488" s="20"/>
      <c r="N5488" s="20"/>
      <c r="O5488" s="20"/>
      <c r="P5488" s="20"/>
    </row>
    <row r="5489">
      <c r="A5489" s="10"/>
      <c r="B5489" s="11"/>
      <c r="C5489" s="10"/>
      <c r="D5489" s="13"/>
      <c r="E5489" s="14"/>
      <c r="F5489" s="14"/>
      <c r="G5489" s="14"/>
      <c r="H5489" s="10"/>
      <c r="I5489" s="17"/>
      <c r="J5489" s="10"/>
      <c r="K5489" s="46"/>
      <c r="L5489" s="10"/>
      <c r="M5489" s="20"/>
      <c r="N5489" s="20"/>
      <c r="O5489" s="20"/>
      <c r="P5489" s="20"/>
    </row>
    <row r="5490">
      <c r="A5490" s="23"/>
      <c r="B5490" s="21"/>
      <c r="C5490" s="23"/>
      <c r="D5490" s="24"/>
      <c r="E5490" s="14"/>
      <c r="F5490" s="14"/>
      <c r="G5490" s="14"/>
      <c r="H5490" s="23"/>
      <c r="I5490" s="27"/>
      <c r="J5490" s="23"/>
      <c r="K5490" s="30"/>
      <c r="L5490" s="23"/>
      <c r="M5490" s="20"/>
      <c r="N5490" s="20"/>
      <c r="O5490" s="20"/>
      <c r="P5490" s="20"/>
    </row>
    <row r="5491">
      <c r="A5491" s="10"/>
      <c r="B5491" s="11"/>
      <c r="C5491" s="10"/>
      <c r="D5491" s="13"/>
      <c r="E5491" s="14"/>
      <c r="F5491" s="14"/>
      <c r="G5491" s="14"/>
      <c r="H5491" s="10"/>
      <c r="I5491" s="17"/>
      <c r="J5491" s="10"/>
      <c r="K5491" s="46"/>
      <c r="L5491" s="10"/>
      <c r="M5491" s="20"/>
      <c r="N5491" s="20"/>
      <c r="O5491" s="20"/>
      <c r="P5491" s="20"/>
    </row>
    <row r="5492">
      <c r="A5492" s="23"/>
      <c r="B5492" s="21"/>
      <c r="C5492" s="23"/>
      <c r="D5492" s="24"/>
      <c r="E5492" s="14"/>
      <c r="F5492" s="14"/>
      <c r="G5492" s="14"/>
      <c r="H5492" s="23"/>
      <c r="I5492" s="27"/>
      <c r="J5492" s="23"/>
      <c r="K5492" s="30"/>
      <c r="L5492" s="23"/>
      <c r="M5492" s="20"/>
      <c r="N5492" s="20"/>
      <c r="O5492" s="20"/>
      <c r="P5492" s="20"/>
    </row>
    <row r="5493">
      <c r="A5493" s="10"/>
      <c r="B5493" s="11"/>
      <c r="C5493" s="10"/>
      <c r="D5493" s="13"/>
      <c r="E5493" s="14"/>
      <c r="F5493" s="14"/>
      <c r="G5493" s="14"/>
      <c r="H5493" s="10"/>
      <c r="I5493" s="17"/>
      <c r="J5493" s="10"/>
      <c r="K5493" s="46"/>
      <c r="L5493" s="10"/>
      <c r="M5493" s="20"/>
      <c r="N5493" s="20"/>
      <c r="O5493" s="20"/>
      <c r="P5493" s="20"/>
    </row>
    <row r="5494">
      <c r="A5494" s="23"/>
      <c r="B5494" s="21"/>
      <c r="C5494" s="23"/>
      <c r="D5494" s="24"/>
      <c r="E5494" s="14"/>
      <c r="F5494" s="14"/>
      <c r="G5494" s="14"/>
      <c r="H5494" s="23"/>
      <c r="I5494" s="27"/>
      <c r="J5494" s="23"/>
      <c r="K5494" s="30"/>
      <c r="L5494" s="23"/>
      <c r="M5494" s="20"/>
      <c r="N5494" s="20"/>
      <c r="O5494" s="20"/>
      <c r="P5494" s="20"/>
    </row>
    <row r="5495">
      <c r="A5495" s="10"/>
      <c r="B5495" s="11"/>
      <c r="C5495" s="10"/>
      <c r="D5495" s="13"/>
      <c r="E5495" s="14"/>
      <c r="F5495" s="14"/>
      <c r="G5495" s="14"/>
      <c r="H5495" s="10"/>
      <c r="I5495" s="17"/>
      <c r="J5495" s="10"/>
      <c r="K5495" s="46"/>
      <c r="L5495" s="10"/>
      <c r="M5495" s="20"/>
      <c r="N5495" s="20"/>
      <c r="O5495" s="20"/>
      <c r="P5495" s="20"/>
    </row>
    <row r="5496">
      <c r="A5496" s="23"/>
      <c r="B5496" s="21"/>
      <c r="C5496" s="23"/>
      <c r="D5496" s="24"/>
      <c r="E5496" s="14"/>
      <c r="F5496" s="14"/>
      <c r="G5496" s="14"/>
      <c r="H5496" s="23"/>
      <c r="I5496" s="27"/>
      <c r="J5496" s="23"/>
      <c r="K5496" s="30"/>
      <c r="L5496" s="23"/>
      <c r="M5496" s="20"/>
      <c r="N5496" s="20"/>
      <c r="O5496" s="20"/>
      <c r="P5496" s="20"/>
    </row>
    <row r="5497">
      <c r="A5497" s="10"/>
      <c r="B5497" s="11"/>
      <c r="C5497" s="10"/>
      <c r="D5497" s="13"/>
      <c r="E5497" s="14"/>
      <c r="F5497" s="14"/>
      <c r="G5497" s="14"/>
      <c r="H5497" s="10"/>
      <c r="I5497" s="17"/>
      <c r="J5497" s="10"/>
      <c r="K5497" s="46"/>
      <c r="L5497" s="10"/>
      <c r="M5497" s="20"/>
      <c r="N5497" s="20"/>
      <c r="O5497" s="20"/>
      <c r="P5497" s="20"/>
    </row>
    <row r="5498">
      <c r="A5498" s="23"/>
      <c r="B5498" s="21"/>
      <c r="C5498" s="23"/>
      <c r="D5498" s="24"/>
      <c r="E5498" s="14"/>
      <c r="F5498" s="14"/>
      <c r="G5498" s="14"/>
      <c r="H5498" s="23"/>
      <c r="I5498" s="27"/>
      <c r="J5498" s="23"/>
      <c r="K5498" s="30"/>
      <c r="L5498" s="23"/>
      <c r="M5498" s="20"/>
      <c r="N5498" s="20"/>
      <c r="O5498" s="20"/>
      <c r="P5498" s="20"/>
    </row>
    <row r="5499">
      <c r="A5499" s="10"/>
      <c r="B5499" s="11"/>
      <c r="C5499" s="10"/>
      <c r="D5499" s="13"/>
      <c r="E5499" s="14"/>
      <c r="F5499" s="14"/>
      <c r="G5499" s="14"/>
      <c r="H5499" s="10"/>
      <c r="I5499" s="17"/>
      <c r="J5499" s="10"/>
      <c r="K5499" s="46"/>
      <c r="L5499" s="10"/>
      <c r="M5499" s="20"/>
      <c r="N5499" s="20"/>
      <c r="O5499" s="20"/>
      <c r="P5499" s="20"/>
    </row>
    <row r="5500">
      <c r="A5500" s="23"/>
      <c r="B5500" s="21"/>
      <c r="C5500" s="23"/>
      <c r="D5500" s="24"/>
      <c r="E5500" s="14"/>
      <c r="F5500" s="14"/>
      <c r="G5500" s="14"/>
      <c r="H5500" s="23"/>
      <c r="I5500" s="27"/>
      <c r="J5500" s="23"/>
      <c r="K5500" s="30"/>
      <c r="L5500" s="23"/>
      <c r="M5500" s="20"/>
      <c r="N5500" s="20"/>
      <c r="O5500" s="20"/>
      <c r="P5500" s="20"/>
    </row>
    <row r="5501">
      <c r="A5501" s="10"/>
      <c r="B5501" s="11"/>
      <c r="C5501" s="10"/>
      <c r="D5501" s="13"/>
      <c r="E5501" s="14"/>
      <c r="F5501" s="14"/>
      <c r="G5501" s="14"/>
      <c r="H5501" s="10"/>
      <c r="I5501" s="17"/>
      <c r="J5501" s="10"/>
      <c r="K5501" s="46"/>
      <c r="L5501" s="10"/>
      <c r="M5501" s="20"/>
      <c r="N5501" s="20"/>
      <c r="O5501" s="20"/>
      <c r="P5501" s="20"/>
    </row>
    <row r="5502">
      <c r="A5502" s="23"/>
      <c r="B5502" s="21"/>
      <c r="C5502" s="23"/>
      <c r="D5502" s="24"/>
      <c r="E5502" s="14"/>
      <c r="F5502" s="14"/>
      <c r="G5502" s="14"/>
      <c r="H5502" s="23"/>
      <c r="I5502" s="27"/>
      <c r="J5502" s="23"/>
      <c r="K5502" s="30"/>
      <c r="L5502" s="23"/>
      <c r="M5502" s="20"/>
      <c r="N5502" s="20"/>
      <c r="O5502" s="20"/>
      <c r="P5502" s="20"/>
    </row>
    <row r="5503">
      <c r="A5503" s="10"/>
      <c r="B5503" s="11"/>
      <c r="C5503" s="10"/>
      <c r="D5503" s="13"/>
      <c r="E5503" s="14"/>
      <c r="F5503" s="14"/>
      <c r="G5503" s="14"/>
      <c r="H5503" s="10"/>
      <c r="I5503" s="17"/>
      <c r="J5503" s="10"/>
      <c r="K5503" s="46"/>
      <c r="L5503" s="10"/>
      <c r="M5503" s="20"/>
      <c r="N5503" s="20"/>
      <c r="O5503" s="20"/>
      <c r="P5503" s="20"/>
    </row>
    <row r="5504">
      <c r="A5504" s="23"/>
      <c r="B5504" s="21"/>
      <c r="C5504" s="23"/>
      <c r="D5504" s="24"/>
      <c r="E5504" s="14"/>
      <c r="F5504" s="14"/>
      <c r="G5504" s="14"/>
      <c r="H5504" s="23"/>
      <c r="I5504" s="27"/>
      <c r="J5504" s="23"/>
      <c r="K5504" s="30"/>
      <c r="L5504" s="23"/>
      <c r="M5504" s="20"/>
      <c r="N5504" s="20"/>
      <c r="O5504" s="20"/>
      <c r="P5504" s="20"/>
    </row>
    <row r="5505">
      <c r="A5505" s="162"/>
      <c r="B5505" s="163"/>
      <c r="C5505" s="162"/>
      <c r="D5505" s="164"/>
      <c r="E5505" s="165"/>
      <c r="F5505" s="165"/>
      <c r="G5505" s="165"/>
      <c r="H5505" s="162"/>
      <c r="I5505" s="166"/>
      <c r="J5505" s="162"/>
      <c r="K5505" s="167"/>
      <c r="L5505" s="162"/>
      <c r="M5505" s="20"/>
      <c r="N5505" s="20"/>
      <c r="O5505" s="20"/>
      <c r="P5505" s="20"/>
    </row>
  </sheetData>
  <hyperlinks>
    <hyperlink r:id="rId1" ref="L25"/>
    <hyperlink r:id="rId2" ref="L72"/>
    <hyperlink r:id="rId3" ref="L75"/>
    <hyperlink r:id="rId4" ref="L77"/>
    <hyperlink r:id="rId5" ref="L116"/>
    <hyperlink r:id="rId6" ref="L121"/>
    <hyperlink r:id="rId7" ref="L128"/>
    <hyperlink r:id="rId8" ref="L131"/>
    <hyperlink r:id="rId9" ref="L132"/>
    <hyperlink r:id="rId10" ref="L147"/>
    <hyperlink r:id="rId11" ref="L148"/>
    <hyperlink r:id="rId12" ref="L154"/>
    <hyperlink r:id="rId13" ref="L157"/>
    <hyperlink r:id="rId14" ref="L162"/>
    <hyperlink r:id="rId15" ref="L165"/>
    <hyperlink r:id="rId16" ref="L177"/>
    <hyperlink r:id="rId17" ref="L187"/>
    <hyperlink r:id="rId18" ref="L189"/>
    <hyperlink r:id="rId19" ref="L191"/>
    <hyperlink r:id="rId20" ref="L202"/>
    <hyperlink r:id="rId21" ref="L211"/>
    <hyperlink r:id="rId22" ref="L212"/>
    <hyperlink r:id="rId23" ref="L220"/>
    <hyperlink r:id="rId24" ref="L223"/>
    <hyperlink r:id="rId25" ref="L227"/>
    <hyperlink r:id="rId26" ref="L237"/>
    <hyperlink r:id="rId27" ref="L238"/>
    <hyperlink r:id="rId28" ref="L242"/>
    <hyperlink r:id="rId29" ref="L244"/>
    <hyperlink r:id="rId30" ref="L246"/>
    <hyperlink r:id="rId31" ref="L247"/>
    <hyperlink r:id="rId32" ref="L255"/>
    <hyperlink r:id="rId33" ref="L258"/>
    <hyperlink r:id="rId34" ref="L259"/>
    <hyperlink r:id="rId35" ref="L263"/>
    <hyperlink r:id="rId36" ref="L264"/>
    <hyperlink r:id="rId37" ref="L265"/>
    <hyperlink r:id="rId38" ref="L267"/>
    <hyperlink r:id="rId39" ref="L268"/>
    <hyperlink r:id="rId40" ref="L270"/>
    <hyperlink r:id="rId41" ref="L272"/>
    <hyperlink r:id="rId42" ref="L280"/>
    <hyperlink r:id="rId43" ref="L282"/>
    <hyperlink r:id="rId44" ref="L283"/>
    <hyperlink r:id="rId45" ref="L284"/>
    <hyperlink r:id="rId46" ref="L287"/>
    <hyperlink r:id="rId47" ref="L288"/>
    <hyperlink r:id="rId48" ref="L292"/>
    <hyperlink r:id="rId49" ref="L294"/>
    <hyperlink r:id="rId50" location="heading=h.589mmq9qpr5l" ref="L295"/>
    <hyperlink r:id="rId51" ref="L296"/>
    <hyperlink r:id="rId52" ref="L299"/>
    <hyperlink r:id="rId53" ref="L300"/>
    <hyperlink r:id="rId54" ref="L301"/>
    <hyperlink r:id="rId55" ref="L302"/>
    <hyperlink r:id="rId56" ref="L306"/>
    <hyperlink r:id="rId57" ref="L307"/>
    <hyperlink r:id="rId58" ref="L308"/>
    <hyperlink r:id="rId59" ref="L309"/>
    <hyperlink r:id="rId60" ref="L312"/>
    <hyperlink r:id="rId61" ref="L313"/>
    <hyperlink r:id="rId62" ref="L314"/>
    <hyperlink r:id="rId63" ref="L315"/>
    <hyperlink r:id="rId64" ref="L316"/>
    <hyperlink r:id="rId65" ref="L318"/>
    <hyperlink r:id="rId66" ref="L319"/>
    <hyperlink r:id="rId67" ref="L320"/>
    <hyperlink r:id="rId68" ref="L321"/>
    <hyperlink r:id="rId69" ref="L323"/>
    <hyperlink r:id="rId70" ref="L325"/>
    <hyperlink r:id="rId71" ref="L326"/>
    <hyperlink r:id="rId72" ref="L327"/>
    <hyperlink r:id="rId73" ref="L328"/>
    <hyperlink r:id="rId74" ref="L329"/>
    <hyperlink r:id="rId75" ref="L330"/>
    <hyperlink r:id="rId76" ref="L331"/>
    <hyperlink r:id="rId77" ref="L332"/>
    <hyperlink r:id="rId78" ref="L334"/>
    <hyperlink r:id="rId79" ref="L335"/>
    <hyperlink r:id="rId80" ref="L337"/>
    <hyperlink r:id="rId81" ref="L339"/>
    <hyperlink r:id="rId82" ref="L341"/>
    <hyperlink r:id="rId83" ref="L342"/>
    <hyperlink r:id="rId84" ref="L343"/>
    <hyperlink r:id="rId85" ref="L345"/>
    <hyperlink r:id="rId86" ref="L346"/>
    <hyperlink r:id="rId87" ref="L347"/>
    <hyperlink r:id="rId88" ref="L348"/>
    <hyperlink r:id="rId89" ref="L349"/>
    <hyperlink r:id="rId90" ref="L350"/>
    <hyperlink r:id="rId91" ref="L351"/>
    <hyperlink r:id="rId92" ref="L352"/>
    <hyperlink r:id="rId93" ref="L353"/>
    <hyperlink r:id="rId94" ref="L354"/>
    <hyperlink r:id="rId95" ref="L355"/>
    <hyperlink r:id="rId96" ref="L356"/>
    <hyperlink r:id="rId97" ref="L357"/>
    <hyperlink r:id="rId98" ref="L359"/>
    <hyperlink r:id="rId99" ref="L360"/>
    <hyperlink r:id="rId100" ref="L361"/>
    <hyperlink r:id="rId101" ref="L362"/>
    <hyperlink r:id="rId102" ref="L363"/>
    <hyperlink r:id="rId103" ref="L364"/>
    <hyperlink r:id="rId104" ref="L366"/>
    <hyperlink r:id="rId105" ref="L367"/>
    <hyperlink r:id="rId106" ref="L368"/>
    <hyperlink r:id="rId107" ref="L369"/>
    <hyperlink r:id="rId108" ref="L370"/>
    <hyperlink r:id="rId109" ref="L371"/>
    <hyperlink r:id="rId110" ref="L372"/>
    <hyperlink r:id="rId111" ref="L373"/>
    <hyperlink r:id="rId112" ref="L375"/>
    <hyperlink r:id="rId113" ref="L377"/>
    <hyperlink r:id="rId114" ref="L378"/>
    <hyperlink r:id="rId115" ref="L380"/>
    <hyperlink r:id="rId116" ref="L381"/>
    <hyperlink r:id="rId117" ref="L382"/>
    <hyperlink r:id="rId118" ref="L383"/>
    <hyperlink r:id="rId119" ref="L384"/>
    <hyperlink r:id="rId120" ref="L385"/>
    <hyperlink r:id="rId121" ref="L386"/>
    <hyperlink r:id="rId122" ref="L387"/>
    <hyperlink r:id="rId123" ref="L389"/>
    <hyperlink r:id="rId124" ref="L393"/>
    <hyperlink r:id="rId125" ref="L394"/>
    <hyperlink r:id="rId126" ref="L398"/>
    <hyperlink r:id="rId127" ref="L413"/>
    <hyperlink r:id="rId128" ref="L416"/>
    <hyperlink r:id="rId129" ref="L417"/>
    <hyperlink r:id="rId130" ref="L418"/>
    <hyperlink r:id="rId131" ref="L421"/>
    <hyperlink r:id="rId132" ref="L422"/>
    <hyperlink r:id="rId133" ref="L424"/>
    <hyperlink r:id="rId134" ref="L428"/>
    <hyperlink r:id="rId135" ref="L432"/>
    <hyperlink r:id="rId136" ref="L434"/>
    <hyperlink r:id="rId137" ref="L439"/>
    <hyperlink r:id="rId138" ref="L440"/>
    <hyperlink r:id="rId139" ref="L441"/>
    <hyperlink r:id="rId140" ref="L442"/>
    <hyperlink r:id="rId141" ref="L443"/>
    <hyperlink r:id="rId142" location="heading=h.37ziu0z3fkpm" ref="L444"/>
    <hyperlink r:id="rId143" ref="L448"/>
    <hyperlink r:id="rId144" ref="L449"/>
    <hyperlink r:id="rId145" ref="L451"/>
    <hyperlink r:id="rId146" ref="L452"/>
    <hyperlink r:id="rId147" ref="L453"/>
    <hyperlink r:id="rId148" ref="L454"/>
    <hyperlink r:id="rId149" ref="L456"/>
    <hyperlink r:id="rId150" ref="L457"/>
    <hyperlink r:id="rId151" ref="L458"/>
    <hyperlink r:id="rId152" ref="L459"/>
    <hyperlink r:id="rId153" location="heading=h.a9kqk3xbyygu" ref="L460"/>
    <hyperlink r:id="rId154" ref="L463"/>
    <hyperlink r:id="rId155" ref="L465"/>
    <hyperlink r:id="rId156" ref="L467"/>
    <hyperlink r:id="rId157" ref="L471"/>
    <hyperlink r:id="rId158" ref="L472"/>
    <hyperlink r:id="rId159" ref="L473"/>
    <hyperlink r:id="rId160" ref="L474"/>
    <hyperlink r:id="rId161" ref="L475"/>
    <hyperlink r:id="rId162" ref="L476"/>
    <hyperlink r:id="rId163" ref="L477"/>
    <hyperlink r:id="rId164" ref="L478"/>
    <hyperlink r:id="rId165" ref="L479"/>
    <hyperlink r:id="rId166" ref="L480"/>
    <hyperlink r:id="rId167" ref="L482"/>
    <hyperlink r:id="rId168" ref="L483"/>
    <hyperlink r:id="rId169" ref="L484"/>
    <hyperlink r:id="rId170" ref="L485"/>
    <hyperlink r:id="rId171" ref="L486"/>
    <hyperlink r:id="rId172" ref="L487"/>
    <hyperlink r:id="rId173" ref="L488"/>
    <hyperlink r:id="rId174" ref="L489"/>
    <hyperlink r:id="rId175" ref="L490"/>
    <hyperlink r:id="rId176" ref="L491"/>
    <hyperlink r:id="rId177" ref="L492"/>
    <hyperlink r:id="rId178" ref="L493"/>
    <hyperlink r:id="rId179" ref="L494"/>
    <hyperlink r:id="rId180" ref="L495"/>
    <hyperlink r:id="rId181" ref="L496"/>
    <hyperlink r:id="rId182" ref="L497"/>
    <hyperlink r:id="rId183" ref="L498"/>
    <hyperlink r:id="rId184" ref="L500"/>
    <hyperlink r:id="rId185" ref="L501"/>
    <hyperlink r:id="rId186" ref="L502"/>
    <hyperlink r:id="rId187" ref="L503"/>
    <hyperlink r:id="rId188" ref="L504"/>
    <hyperlink r:id="rId189" ref="L505"/>
    <hyperlink r:id="rId190" ref="L506"/>
    <hyperlink r:id="rId191" ref="L507"/>
    <hyperlink r:id="rId192" ref="L508"/>
    <hyperlink r:id="rId193" ref="L509"/>
    <hyperlink r:id="rId194" ref="L511"/>
    <hyperlink r:id="rId195" ref="L512"/>
    <hyperlink r:id="rId196" ref="L513"/>
    <hyperlink r:id="rId197" ref="L514"/>
    <hyperlink r:id="rId198" ref="L516"/>
    <hyperlink r:id="rId199" ref="L518"/>
    <hyperlink r:id="rId200" ref="L519"/>
    <hyperlink r:id="rId201" ref="L520"/>
    <hyperlink r:id="rId202" ref="L522"/>
    <hyperlink r:id="rId203" ref="L523"/>
    <hyperlink r:id="rId204" ref="L524"/>
    <hyperlink r:id="rId205" ref="L525"/>
    <hyperlink r:id="rId206" ref="L526"/>
    <hyperlink r:id="rId207" ref="L527"/>
    <hyperlink r:id="rId208" ref="L528"/>
    <hyperlink r:id="rId209" ref="L529"/>
    <hyperlink r:id="rId210" ref="L532"/>
    <hyperlink r:id="rId211" ref="L533"/>
    <hyperlink r:id="rId212" ref="L535"/>
    <hyperlink r:id="rId213" ref="L536"/>
    <hyperlink r:id="rId214" ref="L537"/>
    <hyperlink r:id="rId215" ref="L538"/>
    <hyperlink r:id="rId216" ref="L541"/>
    <hyperlink r:id="rId217" ref="L543"/>
    <hyperlink r:id="rId218" ref="L545"/>
    <hyperlink r:id="rId219" ref="L546"/>
    <hyperlink r:id="rId220" ref="L550"/>
    <hyperlink r:id="rId221" ref="L551"/>
    <hyperlink r:id="rId222" ref="L552"/>
    <hyperlink r:id="rId223" ref="L553"/>
    <hyperlink r:id="rId224" ref="L554"/>
    <hyperlink r:id="rId225" ref="L556"/>
    <hyperlink r:id="rId226" ref="L559"/>
    <hyperlink r:id="rId227" ref="L560"/>
    <hyperlink r:id="rId228" ref="L561"/>
    <hyperlink r:id="rId229" ref="L562"/>
    <hyperlink r:id="rId230" ref="L563"/>
    <hyperlink r:id="rId231" ref="L564"/>
    <hyperlink r:id="rId232" ref="L565"/>
    <hyperlink r:id="rId233" ref="L566"/>
    <hyperlink r:id="rId234" ref="L567"/>
    <hyperlink r:id="rId235" ref="L568"/>
    <hyperlink r:id="rId236" ref="L569"/>
    <hyperlink r:id="rId237" ref="L570"/>
    <hyperlink r:id="rId238" ref="L571"/>
    <hyperlink r:id="rId239" ref="L572"/>
    <hyperlink r:id="rId240" ref="L573"/>
    <hyperlink r:id="rId241" ref="L574"/>
    <hyperlink r:id="rId242" ref="L575"/>
    <hyperlink r:id="rId243" ref="L576"/>
    <hyperlink r:id="rId244" ref="L577"/>
    <hyperlink r:id="rId245" ref="L578"/>
    <hyperlink r:id="rId246" ref="L579"/>
    <hyperlink r:id="rId247" ref="L580"/>
    <hyperlink r:id="rId248" ref="L582"/>
    <hyperlink r:id="rId249" ref="L583"/>
    <hyperlink r:id="rId250" ref="L584"/>
    <hyperlink r:id="rId251" ref="L585"/>
    <hyperlink r:id="rId252" ref="L587"/>
    <hyperlink r:id="rId253" ref="L588"/>
    <hyperlink r:id="rId254" ref="L590"/>
    <hyperlink r:id="rId255" ref="L591"/>
    <hyperlink r:id="rId256" ref="L592"/>
    <hyperlink r:id="rId257" ref="L594"/>
    <hyperlink r:id="rId258" ref="L595"/>
    <hyperlink r:id="rId259" ref="L596"/>
    <hyperlink r:id="rId260" ref="L598"/>
    <hyperlink r:id="rId261" ref="L599"/>
    <hyperlink r:id="rId262" ref="L600"/>
    <hyperlink r:id="rId263" ref="L601"/>
    <hyperlink r:id="rId264" ref="L602"/>
    <hyperlink r:id="rId265" ref="L603"/>
    <hyperlink r:id="rId266" ref="L604"/>
    <hyperlink r:id="rId267" ref="L606"/>
    <hyperlink r:id="rId268" ref="L610"/>
    <hyperlink r:id="rId269" ref="L611"/>
    <hyperlink r:id="rId270" ref="L613"/>
    <hyperlink r:id="rId271" ref="L616"/>
    <hyperlink r:id="rId272" ref="L620"/>
    <hyperlink r:id="rId273" ref="L621"/>
    <hyperlink r:id="rId274" ref="L622"/>
    <hyperlink r:id="rId275" ref="L623"/>
    <hyperlink r:id="rId276" ref="L624"/>
    <hyperlink r:id="rId277" ref="L626"/>
    <hyperlink r:id="rId278" ref="L627"/>
    <hyperlink r:id="rId279" ref="L629"/>
    <hyperlink r:id="rId280" ref="L630"/>
    <hyperlink r:id="rId281" ref="L631"/>
    <hyperlink r:id="rId282" ref="L633"/>
    <hyperlink r:id="rId283" ref="L634"/>
    <hyperlink r:id="rId284" ref="L635"/>
    <hyperlink r:id="rId285" ref="L636"/>
    <hyperlink r:id="rId286" ref="L638"/>
    <hyperlink r:id="rId287" ref="L642"/>
    <hyperlink r:id="rId288" ref="L643"/>
    <hyperlink r:id="rId289" ref="L644"/>
    <hyperlink r:id="rId290" ref="L645"/>
    <hyperlink r:id="rId291" ref="L646"/>
    <hyperlink r:id="rId292" ref="L647"/>
    <hyperlink r:id="rId293" ref="L650"/>
    <hyperlink r:id="rId294" ref="L653"/>
    <hyperlink r:id="rId295" ref="L654"/>
    <hyperlink r:id="rId296" ref="L655"/>
    <hyperlink r:id="rId297" ref="L660"/>
    <hyperlink r:id="rId298" ref="L661"/>
    <hyperlink r:id="rId299" ref="L663"/>
    <hyperlink r:id="rId300" ref="L664"/>
    <hyperlink r:id="rId301" ref="L665"/>
    <hyperlink r:id="rId302" ref="L666"/>
    <hyperlink r:id="rId303" ref="L667"/>
    <hyperlink r:id="rId304" ref="L670"/>
    <hyperlink r:id="rId305" ref="L671"/>
    <hyperlink r:id="rId306" ref="L673"/>
  </hyperlinks>
  <drawing r:id="rId307"/>
  <tableParts count="1">
    <tablePart r:id="rId30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0"/>
    <col customWidth="1" min="2" max="2" width="9.5"/>
    <col customWidth="1" min="3" max="3" width="25.5"/>
    <col customWidth="1" min="4" max="4" width="14.75"/>
    <col customWidth="1" min="5" max="5" width="14.38"/>
    <col customWidth="1" min="6" max="6" width="9.25"/>
    <col customWidth="1" min="7" max="7" width="27.75"/>
    <col customWidth="1" min="8" max="8" width="23.25"/>
    <col customWidth="1" min="9" max="9" width="11.25"/>
    <col customWidth="1" min="10" max="10" width="11.75"/>
    <col customWidth="1" min="11" max="11" width="51.25"/>
    <col customWidth="1" min="12" max="12" width="28.0"/>
  </cols>
  <sheetData>
    <row r="1">
      <c r="A1" s="1" t="str">
        <f>IFERROR(__xludf.DUMMYFUNCTION("QUERY(
  'Input Data'!A1:N5505,
  ""select B, A, C, D, E, G, H, I, J, K, L, N
   where F = 'Alvin'"",
  1
)
"),"TANGGAL")</f>
        <v>TANGGAL</v>
      </c>
      <c r="B1" s="2" t="str">
        <f>IFERROR(__xludf.DUMMYFUNCTION("""COMPUTED_VALUE"""),"KODE")</f>
        <v>KODE</v>
      </c>
      <c r="C1" s="3" t="str">
        <f>IFERROR(__xludf.DUMMYFUNCTION("""COMPUTED_VALUE"""),"NAMA")</f>
        <v>NAMA</v>
      </c>
      <c r="D1" s="4" t="str">
        <f>IFERROR(__xludf.DUMMYFUNCTION("""COMPUTED_VALUE"""),"WHATSAPP")</f>
        <v>WHATSAPP</v>
      </c>
      <c r="E1" s="3" t="str">
        <f>IFERROR(__xludf.DUMMYFUNCTION("""COMPUTED_VALUE"""),"SOURCE")</f>
        <v>SOURCE</v>
      </c>
      <c r="F1" s="3" t="str">
        <f>IFERROR(__xludf.DUMMYFUNCTION("""COMPUTED_VALUE"""),"STATUS")</f>
        <v>STATUS</v>
      </c>
      <c r="G1" s="5" t="str">
        <f>IFERROR(__xludf.DUMMYFUNCTION("""COMPUTED_VALUE"""),"PAKET / DESTINASI")</f>
        <v>PAKET / DESTINASI</v>
      </c>
      <c r="H1" s="1" t="str">
        <f>IFERROR(__xludf.DUMMYFUNCTION("""COMPUTED_VALUE"""),"TANGGAL TRIP")</f>
        <v>TANGGAL TRIP</v>
      </c>
      <c r="I1" s="4" t="str">
        <f>IFERROR(__xludf.DUMMYFUNCTION("""COMPUTED_VALUE"""),"PAX")</f>
        <v>PAX</v>
      </c>
      <c r="J1" s="3" t="str">
        <f>IFERROR(__xludf.DUMMYFUNCTION("""COMPUTED_VALUE"""),"ESTIMASI NILAI ORDER")</f>
        <v>ESTIMASI NILAI ORDER</v>
      </c>
      <c r="K1" s="6" t="str">
        <f>IFERROR(__xludf.DUMMYFUNCTION("""COMPUTED_VALUE"""),"KETERANGAN")</f>
        <v>KETERANGAN</v>
      </c>
      <c r="L1" s="3" t="str">
        <f>IFERROR(__xludf.DUMMYFUNCTION("""COMPUTED_VALUE"""),"ANALISA AI")</f>
        <v>ANALISA AI</v>
      </c>
      <c r="M1" s="9"/>
      <c r="N1" s="9"/>
      <c r="O1" s="9"/>
      <c r="P1" s="9"/>
    </row>
    <row r="2">
      <c r="A2" s="11">
        <f>IFERROR(__xludf.DUMMYFUNCTION("""COMPUTED_VALUE"""),46023.0)</f>
        <v>46023</v>
      </c>
      <c r="B2" s="12" t="str">
        <f>IFERROR(__xludf.DUMMYFUNCTION("""COMPUTED_VALUE"""),"2601A001")</f>
        <v>2601A001</v>
      </c>
      <c r="C2" s="10" t="str">
        <f>IFERROR(__xludf.DUMMYFUNCTION("""COMPUTED_VALUE"""),"Cynthia")</f>
        <v>Cynthia</v>
      </c>
      <c r="D2" s="13" t="str">
        <f>IFERROR(__xludf.DUMMYFUNCTION("""COMPUTED_VALUE"""),"081249880600")</f>
        <v>081249880600</v>
      </c>
      <c r="E2" s="14" t="str">
        <f>IFERROR(__xludf.DUMMYFUNCTION("""COMPUTED_VALUE"""),"Website")</f>
        <v>Website</v>
      </c>
      <c r="F2" s="14" t="str">
        <f>IFERROR(__xludf.DUMMYFUNCTION("""COMPUTED_VALUE"""),"Closing")</f>
        <v>Closing</v>
      </c>
      <c r="G2" s="15" t="str">
        <f>IFERROR(__xludf.DUMMYFUNCTION("""COMPUTED_VALUE"""),"Menjangan Tabuhan")</f>
        <v>Menjangan Tabuhan</v>
      </c>
      <c r="H2" s="16">
        <f>IFERROR(__xludf.DUMMYFUNCTION("""COMPUTED_VALUE"""),46025.0)</f>
        <v>46025</v>
      </c>
      <c r="I2" s="17"/>
      <c r="J2" s="18">
        <f>IFERROR(__xludf.DUMMYFUNCTION("""COMPUTED_VALUE"""),7905000.0)</f>
        <v>7905000</v>
      </c>
      <c r="K2" s="19" t="str">
        <f>IFERROR(__xludf.DUMMYFUNCTION("""COMPUTED_VALUE"""),"tambah foto video")</f>
        <v>tambah foto video</v>
      </c>
      <c r="L2" s="10"/>
      <c r="M2" s="20"/>
      <c r="N2" s="20"/>
      <c r="O2" s="20"/>
      <c r="P2" s="20"/>
    </row>
    <row r="3">
      <c r="A3" s="21">
        <f>IFERROR(__xludf.DUMMYFUNCTION("""COMPUTED_VALUE"""),46023.0)</f>
        <v>46023</v>
      </c>
      <c r="B3" s="22" t="str">
        <f>IFERROR(__xludf.DUMMYFUNCTION("""COMPUTED_VALUE"""),"2601A002")</f>
        <v>2601A002</v>
      </c>
      <c r="C3" s="23" t="str">
        <f>IFERROR(__xludf.DUMMYFUNCTION("""COMPUTED_VALUE"""),"Dewitri")</f>
        <v>Dewitri</v>
      </c>
      <c r="D3" s="24" t="str">
        <f>IFERROR(__xludf.DUMMYFUNCTION("""COMPUTED_VALUE"""),"085776495791")</f>
        <v>085776495791</v>
      </c>
      <c r="E3" s="14" t="str">
        <f>IFERROR(__xludf.DUMMYFUNCTION("""COMPUTED_VALUE"""),"Website")</f>
        <v>Website</v>
      </c>
      <c r="F3" s="14" t="str">
        <f>IFERROR(__xludf.DUMMYFUNCTION("""COMPUTED_VALUE"""),"Gagal")</f>
        <v>Gagal</v>
      </c>
      <c r="G3" s="25" t="str">
        <f>IFERROR(__xludf.DUMMYFUNCTION("""COMPUTED_VALUE"""),"Kawah ijen")</f>
        <v>Kawah ijen</v>
      </c>
      <c r="H3" s="26">
        <f>IFERROR(__xludf.DUMMYFUNCTION("""COMPUTED_VALUE"""),46023.0)</f>
        <v>46023</v>
      </c>
      <c r="I3" s="27">
        <f>IFERROR(__xludf.DUMMYFUNCTION("""COMPUTED_VALUE"""),3.0)</f>
        <v>3</v>
      </c>
      <c r="J3" s="28"/>
      <c r="K3" s="30"/>
      <c r="L3" s="23"/>
      <c r="M3" s="20"/>
      <c r="N3" s="20"/>
      <c r="O3" s="20"/>
      <c r="P3" s="20"/>
    </row>
    <row r="4">
      <c r="A4" s="11">
        <f>IFERROR(__xludf.DUMMYFUNCTION("""COMPUTED_VALUE"""),46024.0)</f>
        <v>46024</v>
      </c>
      <c r="B4" s="12" t="str">
        <f>IFERROR(__xludf.DUMMYFUNCTION("""COMPUTED_VALUE"""),"2601A003")</f>
        <v>2601A003</v>
      </c>
      <c r="C4" s="10" t="str">
        <f>IFERROR(__xludf.DUMMYFUNCTION("""COMPUTED_VALUE"""),"Ulil albab")</f>
        <v>Ulil albab</v>
      </c>
      <c r="D4" s="13" t="str">
        <f>IFERROR(__xludf.DUMMYFUNCTION("""COMPUTED_VALUE"""),"08561542812")</f>
        <v>08561542812</v>
      </c>
      <c r="E4" s="14" t="str">
        <f>IFERROR(__xludf.DUMMYFUNCTION("""COMPUTED_VALUE"""),"Website")</f>
        <v>Website</v>
      </c>
      <c r="F4" s="14" t="str">
        <f>IFERROR(__xludf.DUMMYFUNCTION("""COMPUTED_VALUE"""),"Gagal")</f>
        <v>Gagal</v>
      </c>
      <c r="G4" s="14" t="str">
        <f>IFERROR(__xludf.DUMMYFUNCTION("""COMPUTED_VALUE"""),"Trip MT")</f>
        <v>Trip MT</v>
      </c>
      <c r="H4" s="16">
        <f>IFERROR(__xludf.DUMMYFUNCTION("""COMPUTED_VALUE"""),46024.0)</f>
        <v>46024</v>
      </c>
      <c r="I4" s="17">
        <f>IFERROR(__xludf.DUMMYFUNCTION("""COMPUTED_VALUE"""),4.0)</f>
        <v>4</v>
      </c>
      <c r="J4" s="18"/>
      <c r="K4" s="19" t="str">
        <f>IFERROR(__xludf.DUMMYFUNCTION("""COMPUTED_VALUE"""),"Over budget")</f>
        <v>Over budget</v>
      </c>
      <c r="L4" s="10"/>
      <c r="M4" s="20"/>
      <c r="N4" s="20"/>
      <c r="O4" s="20"/>
      <c r="P4" s="20"/>
    </row>
    <row r="5">
      <c r="A5" s="21">
        <f>IFERROR(__xludf.DUMMYFUNCTION("""COMPUTED_VALUE"""),46024.0)</f>
        <v>46024</v>
      </c>
      <c r="B5" s="22" t="str">
        <f>IFERROR(__xludf.DUMMYFUNCTION("""COMPUTED_VALUE"""),"2601A004")</f>
        <v>2601A004</v>
      </c>
      <c r="C5" s="23" t="str">
        <f>IFERROR(__xludf.DUMMYFUNCTION("""COMPUTED_VALUE"""),"Anto")</f>
        <v>Anto</v>
      </c>
      <c r="D5" s="24" t="str">
        <f>IFERROR(__xludf.DUMMYFUNCTION("""COMPUTED_VALUE"""),"0818950503")</f>
        <v>0818950503</v>
      </c>
      <c r="E5" s="14" t="str">
        <f>IFERROR(__xludf.DUMMYFUNCTION("""COMPUTED_VALUE"""),"Website")</f>
        <v>Website</v>
      </c>
      <c r="F5" s="14" t="str">
        <f>IFERROR(__xludf.DUMMYFUNCTION("""COMPUTED_VALUE"""),"Gagal")</f>
        <v>Gagal</v>
      </c>
      <c r="G5" s="15"/>
      <c r="H5" s="26"/>
      <c r="I5" s="27"/>
      <c r="J5" s="33"/>
      <c r="K5" s="36" t="str">
        <f>IFERROR(__xludf.DUMMYFUNCTION("""COMPUTED_VALUE"""),"jadinya ke malang")</f>
        <v>jadinya ke malang</v>
      </c>
      <c r="L5" s="23"/>
      <c r="M5" s="20"/>
      <c r="N5" s="20"/>
      <c r="O5" s="20"/>
      <c r="P5" s="20"/>
    </row>
    <row r="6">
      <c r="A6" s="11">
        <f>IFERROR(__xludf.DUMMYFUNCTION("""COMPUTED_VALUE"""),46026.0)</f>
        <v>46026</v>
      </c>
      <c r="B6" s="12" t="str">
        <f>IFERROR(__xludf.DUMMYFUNCTION("""COMPUTED_VALUE"""),"2601A005")</f>
        <v>2601A005</v>
      </c>
      <c r="C6" s="10" t="str">
        <f>IFERROR(__xludf.DUMMYFUNCTION("""COMPUTED_VALUE"""),"Tjen bie")</f>
        <v>Tjen bie</v>
      </c>
      <c r="D6" s="13" t="str">
        <f>IFERROR(__xludf.DUMMYFUNCTION("""COMPUTED_VALUE"""),"081330627337")</f>
        <v>081330627337</v>
      </c>
      <c r="E6" s="14" t="str">
        <f>IFERROR(__xludf.DUMMYFUNCTION("""COMPUTED_VALUE"""),"Website")</f>
        <v>Website</v>
      </c>
      <c r="F6" s="14" t="str">
        <f>IFERROR(__xludf.DUMMYFUNCTION("""COMPUTED_VALUE"""),"Gagal")</f>
        <v>Gagal</v>
      </c>
      <c r="G6" s="14" t="str">
        <f>IFERROR(__xludf.DUMMYFUNCTION("""COMPUTED_VALUE"""),"3H2M Z")</f>
        <v>3H2M Z</v>
      </c>
      <c r="H6" s="16">
        <f>IFERROR(__xludf.DUMMYFUNCTION("""COMPUTED_VALUE"""),46027.0)</f>
        <v>46027</v>
      </c>
      <c r="I6" s="17">
        <f>IFERROR(__xludf.DUMMYFUNCTION("""COMPUTED_VALUE"""),2.0)</f>
        <v>2</v>
      </c>
      <c r="J6" s="18"/>
      <c r="K6" s="19" t="str">
        <f>IFERROR(__xludf.DUMMYFUNCTION("""COMPUTED_VALUE"""),"Jadi ke lovina")</f>
        <v>Jadi ke lovina</v>
      </c>
      <c r="L6" s="10"/>
      <c r="M6" s="20"/>
      <c r="N6" s="20"/>
      <c r="O6" s="20"/>
      <c r="P6" s="20"/>
    </row>
    <row r="7">
      <c r="A7" s="21">
        <f>IFERROR(__xludf.DUMMYFUNCTION("""COMPUTED_VALUE"""),46027.0)</f>
        <v>46027</v>
      </c>
      <c r="B7" s="22" t="str">
        <f>IFERROR(__xludf.DUMMYFUNCTION("""COMPUTED_VALUE"""),"2601A006")</f>
        <v>2601A006</v>
      </c>
      <c r="C7" s="23" t="str">
        <f>IFERROR(__xludf.DUMMYFUNCTION("""COMPUTED_VALUE"""),"Anindita purnamasari")</f>
        <v>Anindita purnamasari</v>
      </c>
      <c r="D7" s="24" t="str">
        <f>IFERROR(__xludf.DUMMYFUNCTION("""COMPUTED_VALUE"""),"082233330301")</f>
        <v>082233330301</v>
      </c>
      <c r="E7" s="14" t="str">
        <f>IFERROR(__xludf.DUMMYFUNCTION("""COMPUTED_VALUE"""),"Website")</f>
        <v>Website</v>
      </c>
      <c r="F7" s="14" t="str">
        <f>IFERROR(__xludf.DUMMYFUNCTION("""COMPUTED_VALUE"""),"Gagal")</f>
        <v>Gagal</v>
      </c>
      <c r="G7" s="14" t="str">
        <f>IFERROR(__xludf.DUMMYFUNCTION("""COMPUTED_VALUE"""),"2H1M")</f>
        <v>2H1M</v>
      </c>
      <c r="H7" s="26"/>
      <c r="I7" s="27">
        <f>IFERROR(__xludf.DUMMYFUNCTION("""COMPUTED_VALUE"""),2.0)</f>
        <v>2</v>
      </c>
      <c r="J7" s="28"/>
      <c r="K7" s="30" t="str">
        <f>IFERROR(__xludf.DUMMYFUNCTION("""COMPUTED_VALUE"""),"dikabari jika jadi ambil paketnya")</f>
        <v>dikabari jika jadi ambil paketnya</v>
      </c>
      <c r="L7" s="23"/>
      <c r="M7" s="20"/>
      <c r="N7" s="20"/>
      <c r="O7" s="20"/>
      <c r="P7" s="20"/>
    </row>
    <row r="8">
      <c r="A8" s="11">
        <f>IFERROR(__xludf.DUMMYFUNCTION("""COMPUTED_VALUE"""),46027.0)</f>
        <v>46027</v>
      </c>
      <c r="B8" s="12" t="str">
        <f>IFERROR(__xludf.DUMMYFUNCTION("""COMPUTED_VALUE"""),"2601A007")</f>
        <v>2601A007</v>
      </c>
      <c r="C8" s="10" t="str">
        <f>IFERROR(__xludf.DUMMYFUNCTION("""COMPUTED_VALUE"""),"Riska")</f>
        <v>Riska</v>
      </c>
      <c r="D8" s="13" t="str">
        <f>IFERROR(__xludf.DUMMYFUNCTION("""COMPUTED_VALUE"""),"08994700800")</f>
        <v>08994700800</v>
      </c>
      <c r="E8" s="14" t="str">
        <f>IFERROR(__xludf.DUMMYFUNCTION("""COMPUTED_VALUE"""),"Website")</f>
        <v>Website</v>
      </c>
      <c r="F8" s="14" t="str">
        <f>IFERROR(__xludf.DUMMYFUNCTION("""COMPUTED_VALUE"""),"Gagal")</f>
        <v>Gagal</v>
      </c>
      <c r="G8" s="14" t="str">
        <f>IFERROR(__xludf.DUMMYFUNCTION("""COMPUTED_VALUE"""),"3H2M A")</f>
        <v>3H2M A</v>
      </c>
      <c r="H8" s="16"/>
      <c r="I8" s="17">
        <f>IFERROR(__xludf.DUMMYFUNCTION("""COMPUTED_VALUE"""),10.0)</f>
        <v>10</v>
      </c>
      <c r="J8" s="18"/>
      <c r="K8" s="46" t="str">
        <f>IFERROR(__xludf.DUMMYFUNCTION("""COMPUTED_VALUE"""),"tanya tanya, masih blm jawab follow up")</f>
        <v>tanya tanya, masih blm jawab follow up</v>
      </c>
      <c r="L8" s="10"/>
      <c r="M8" s="20"/>
      <c r="N8" s="20"/>
      <c r="O8" s="20"/>
      <c r="P8" s="20"/>
    </row>
    <row r="9">
      <c r="A9" s="21">
        <f>IFERROR(__xludf.DUMMYFUNCTION("""COMPUTED_VALUE"""),46029.0)</f>
        <v>46029</v>
      </c>
      <c r="B9" s="22" t="str">
        <f>IFERROR(__xludf.DUMMYFUNCTION("""COMPUTED_VALUE"""),"2601A008")</f>
        <v>2601A008</v>
      </c>
      <c r="C9" s="23" t="str">
        <f>IFERROR(__xludf.DUMMYFUNCTION("""COMPUTED_VALUE"""),"Helmi")</f>
        <v>Helmi</v>
      </c>
      <c r="D9" s="24" t="str">
        <f>IFERROR(__xludf.DUMMYFUNCTION("""COMPUTED_VALUE"""),"083826179860‬")</f>
        <v>083826179860‬</v>
      </c>
      <c r="E9" s="14" t="str">
        <f>IFERROR(__xludf.DUMMYFUNCTION("""COMPUTED_VALUE"""),"Website")</f>
        <v>Website</v>
      </c>
      <c r="F9" s="14" t="str">
        <f>IFERROR(__xludf.DUMMYFUNCTION("""COMPUTED_VALUE"""),"Gagal")</f>
        <v>Gagal</v>
      </c>
      <c r="G9" s="25" t="str">
        <f>IFERROR(__xludf.DUMMYFUNCTION("""COMPUTED_VALUE"""),"1D IB")</f>
        <v>1D IB</v>
      </c>
      <c r="H9" s="26">
        <f>IFERROR(__xludf.DUMMYFUNCTION("""COMPUTED_VALUE"""),46030.0)</f>
        <v>46030</v>
      </c>
      <c r="I9" s="27">
        <f>IFERROR(__xludf.DUMMYFUNCTION("""COMPUTED_VALUE"""),3.0)</f>
        <v>3</v>
      </c>
      <c r="J9" s="28">
        <f>IFERROR(__xludf.DUMMYFUNCTION("""COMPUTED_VALUE"""),2076000.0)</f>
        <v>2076000</v>
      </c>
      <c r="K9" s="36" t="str">
        <f>IFERROR(__xludf.DUMMYFUNCTION("""COMPUTED_VALUE"""),"order")</f>
        <v>order</v>
      </c>
      <c r="L9" s="49"/>
      <c r="M9" s="20"/>
      <c r="N9" s="20"/>
      <c r="O9" s="20"/>
      <c r="P9" s="20"/>
    </row>
    <row r="10">
      <c r="A10" s="11">
        <f>IFERROR(__xludf.DUMMYFUNCTION("""COMPUTED_VALUE"""),46030.0)</f>
        <v>46030</v>
      </c>
      <c r="B10" s="12" t="str">
        <f>IFERROR(__xludf.DUMMYFUNCTION("""COMPUTED_VALUE"""),"2601A009")</f>
        <v>2601A009</v>
      </c>
      <c r="C10" s="10" t="str">
        <f>IFERROR(__xludf.DUMMYFUNCTION("""COMPUTED_VALUE"""),"Ruly")</f>
        <v>Ruly</v>
      </c>
      <c r="D10" s="13" t="str">
        <f>IFERROR(__xludf.DUMMYFUNCTION("""COMPUTED_VALUE"""),"08170934898")</f>
        <v>08170934898</v>
      </c>
      <c r="E10" s="14" t="str">
        <f>IFERROR(__xludf.DUMMYFUNCTION("""COMPUTED_VALUE"""),"Website")</f>
        <v>Website</v>
      </c>
      <c r="F10" s="14" t="str">
        <f>IFERROR(__xludf.DUMMYFUNCTION("""COMPUTED_VALUE"""),"Gagal")</f>
        <v>Gagal</v>
      </c>
      <c r="G10" s="14" t="str">
        <f>IFERROR(__xludf.DUMMYFUNCTION("""COMPUTED_VALUE"""),"3H2M A")</f>
        <v>3H2M A</v>
      </c>
      <c r="H10" s="16"/>
      <c r="I10" s="17">
        <f>IFERROR(__xludf.DUMMYFUNCTION("""COMPUTED_VALUE"""),2.0)</f>
        <v>2</v>
      </c>
      <c r="J10" s="18"/>
      <c r="K10" s="46" t="str">
        <f>IFERROR(__xludf.DUMMYFUNCTION("""COMPUTED_VALUE"""),"Tidak jawab")</f>
        <v>Tidak jawab</v>
      </c>
      <c r="L10" s="10"/>
      <c r="M10" s="20"/>
      <c r="N10" s="20"/>
      <c r="O10" s="20"/>
      <c r="P10" s="20"/>
    </row>
    <row r="11">
      <c r="A11" s="21">
        <f>IFERROR(__xludf.DUMMYFUNCTION("""COMPUTED_VALUE"""),46030.0)</f>
        <v>46030</v>
      </c>
      <c r="B11" s="22" t="str">
        <f>IFERROR(__xludf.DUMMYFUNCTION("""COMPUTED_VALUE"""),"2601A010")</f>
        <v>2601A010</v>
      </c>
      <c r="C11" s="23" t="str">
        <f>IFERROR(__xludf.DUMMYFUNCTION("""COMPUTED_VALUE"""),"Stephan")</f>
        <v>Stephan</v>
      </c>
      <c r="D11" s="24" t="str">
        <f>IFERROR(__xludf.DUMMYFUNCTION("""COMPUTED_VALUE"""),"085105912829")</f>
        <v>085105912829</v>
      </c>
      <c r="E11" s="14" t="str">
        <f>IFERROR(__xludf.DUMMYFUNCTION("""COMPUTED_VALUE"""),"Website")</f>
        <v>Website</v>
      </c>
      <c r="F11" s="14" t="str">
        <f>IFERROR(__xludf.DUMMYFUNCTION("""COMPUTED_VALUE"""),"Gagal")</f>
        <v>Gagal</v>
      </c>
      <c r="G11" s="14" t="str">
        <f>IFERROR(__xludf.DUMMYFUNCTION("""COMPUTED_VALUE"""),"4H3M")</f>
        <v>4H3M</v>
      </c>
      <c r="H11" s="26"/>
      <c r="I11" s="27">
        <f>IFERROR(__xludf.DUMMYFUNCTION("""COMPUTED_VALUE"""),2.0)</f>
        <v>2</v>
      </c>
      <c r="J11" s="28"/>
      <c r="K11" s="30" t="str">
        <f>IFERROR(__xludf.DUMMYFUNCTION("""COMPUTED_VALUE"""),"lagi pikir-pikir, FU pertengahan januari")</f>
        <v>lagi pikir-pikir, FU pertengahan januari</v>
      </c>
      <c r="L11" s="23"/>
      <c r="M11" s="20"/>
      <c r="N11" s="20"/>
      <c r="O11" s="20"/>
      <c r="P11" s="20"/>
    </row>
    <row r="12">
      <c r="A12" s="11">
        <f>IFERROR(__xludf.DUMMYFUNCTION("""COMPUTED_VALUE"""),46031.0)</f>
        <v>46031</v>
      </c>
      <c r="B12" s="12" t="str">
        <f>IFERROR(__xludf.DUMMYFUNCTION("""COMPUTED_VALUE"""),"2601A011")</f>
        <v>2601A011</v>
      </c>
      <c r="C12" s="10" t="str">
        <f>IFERROR(__xludf.DUMMYFUNCTION("""COMPUTED_VALUE"""),"carone")</f>
        <v>carone</v>
      </c>
      <c r="D12" s="13" t="str">
        <f>IFERROR(__xludf.DUMMYFUNCTION("""COMPUTED_VALUE"""),"0877933043674")</f>
        <v>0877933043674</v>
      </c>
      <c r="E12" s="14" t="str">
        <f>IFERROR(__xludf.DUMMYFUNCTION("""COMPUTED_VALUE"""),"Lainnya")</f>
        <v>Lainnya</v>
      </c>
      <c r="F12" s="14" t="str">
        <f>IFERROR(__xludf.DUMMYFUNCTION("""COMPUTED_VALUE"""),"Gagal")</f>
        <v>Gagal</v>
      </c>
      <c r="G12" s="14" t="str">
        <f>IFERROR(__xludf.DUMMYFUNCTION("""COMPUTED_VALUE"""),"3H2M")</f>
        <v>3H2M</v>
      </c>
      <c r="H12" s="16"/>
      <c r="I12" s="17"/>
      <c r="J12" s="54"/>
      <c r="K12" s="46" t="str">
        <f>IFERROR(__xludf.DUMMYFUNCTION("""COMPUTED_VALUE"""),"Masih tanya tanya")</f>
        <v>Masih tanya tanya</v>
      </c>
      <c r="L12" s="10"/>
      <c r="M12" s="20"/>
      <c r="N12" s="20"/>
      <c r="O12" s="20"/>
      <c r="P12" s="20"/>
    </row>
    <row r="13">
      <c r="A13" s="21">
        <f>IFERROR(__xludf.DUMMYFUNCTION("""COMPUTED_VALUE"""),46031.0)</f>
        <v>46031</v>
      </c>
      <c r="B13" s="22" t="str">
        <f>IFERROR(__xludf.DUMMYFUNCTION("""COMPUTED_VALUE"""),"2601A012")</f>
        <v>2601A012</v>
      </c>
      <c r="C13" s="23" t="str">
        <f>IFERROR(__xludf.DUMMYFUNCTION("""COMPUTED_VALUE"""),"Giet")</f>
        <v>Giet</v>
      </c>
      <c r="D13" s="24" t="str">
        <f>IFERROR(__xludf.DUMMYFUNCTION("""COMPUTED_VALUE"""),"085377504433")</f>
        <v>085377504433</v>
      </c>
      <c r="E13" s="14" t="str">
        <f>IFERROR(__xludf.DUMMYFUNCTION("""COMPUTED_VALUE"""),"Website")</f>
        <v>Website</v>
      </c>
      <c r="F13" s="14" t="str">
        <f>IFERROR(__xludf.DUMMYFUNCTION("""COMPUTED_VALUE"""),"Gagal")</f>
        <v>Gagal</v>
      </c>
      <c r="G13" s="14" t="str">
        <f>IFERROR(__xludf.DUMMYFUNCTION("""COMPUTED_VALUE"""),"3H2M")</f>
        <v>3H2M</v>
      </c>
      <c r="H13" s="26"/>
      <c r="I13" s="27"/>
      <c r="J13" s="33"/>
      <c r="K13" s="30" t="str">
        <f>IFERROR(__xludf.DUMMYFUNCTION("""COMPUTED_VALUE"""),"masih tanya tanya")</f>
        <v>masih tanya tanya</v>
      </c>
      <c r="L13" s="23"/>
      <c r="M13" s="20"/>
      <c r="N13" s="20"/>
      <c r="O13" s="20"/>
      <c r="P13" s="20"/>
    </row>
    <row r="14">
      <c r="A14" s="11">
        <f>IFERROR(__xludf.DUMMYFUNCTION("""COMPUTED_VALUE"""),46032.0)</f>
        <v>46032</v>
      </c>
      <c r="B14" s="12" t="str">
        <f>IFERROR(__xludf.DUMMYFUNCTION("""COMPUTED_VALUE"""),"2601A013")</f>
        <v>2601A013</v>
      </c>
      <c r="C14" s="10" t="str">
        <f>IFERROR(__xludf.DUMMYFUNCTION("""COMPUTED_VALUE"""),"Deni Sultan")</f>
        <v>Deni Sultan</v>
      </c>
      <c r="D14" s="13" t="str">
        <f>IFERROR(__xludf.DUMMYFUNCTION("""COMPUTED_VALUE"""),"081912435459‬")</f>
        <v>081912435459‬</v>
      </c>
      <c r="E14" s="14" t="str">
        <f>IFERROR(__xludf.DUMMYFUNCTION("""COMPUTED_VALUE"""),"Website")</f>
        <v>Website</v>
      </c>
      <c r="F14" s="14" t="str">
        <f>IFERROR(__xludf.DUMMYFUNCTION("""COMPUTED_VALUE"""),"Closing")</f>
        <v>Closing</v>
      </c>
      <c r="G14" s="14" t="str">
        <f>IFERROR(__xludf.DUMMYFUNCTION("""COMPUTED_VALUE"""),"MT")</f>
        <v>MT</v>
      </c>
      <c r="H14" s="16">
        <f>IFERROR(__xludf.DUMMYFUNCTION("""COMPUTED_VALUE"""),46046.0)</f>
        <v>46046</v>
      </c>
      <c r="I14" s="17">
        <f>IFERROR(__xludf.DUMMYFUNCTION("""COMPUTED_VALUE"""),2.0)</f>
        <v>2</v>
      </c>
      <c r="J14" s="54">
        <f>IFERROR(__xludf.DUMMYFUNCTION("""COMPUTED_VALUE"""),590000.0)</f>
        <v>590000</v>
      </c>
      <c r="K14" s="46" t="str">
        <f>IFERROR(__xludf.DUMMYFUNCTION("""COMPUTED_VALUE"""),"order")</f>
        <v>order</v>
      </c>
      <c r="L14" s="10"/>
      <c r="M14" s="20"/>
      <c r="N14" s="20"/>
      <c r="O14" s="20"/>
      <c r="P14" s="20"/>
    </row>
    <row r="15">
      <c r="A15" s="21">
        <f>IFERROR(__xludf.DUMMYFUNCTION("""COMPUTED_VALUE"""),46031.0)</f>
        <v>46031</v>
      </c>
      <c r="B15" s="22" t="str">
        <f>IFERROR(__xludf.DUMMYFUNCTION("""COMPUTED_VALUE"""),"2601A014")</f>
        <v>2601A014</v>
      </c>
      <c r="C15" s="23" t="str">
        <f>IFERROR(__xludf.DUMMYFUNCTION("""COMPUTED_VALUE"""),"Asep")</f>
        <v>Asep</v>
      </c>
      <c r="D15" s="24" t="str">
        <f>IFERROR(__xludf.DUMMYFUNCTION("""COMPUTED_VALUE"""),"085524416539")</f>
        <v>085524416539</v>
      </c>
      <c r="E15" s="14" t="str">
        <f>IFERROR(__xludf.DUMMYFUNCTION("""COMPUTED_VALUE"""),"Website")</f>
        <v>Website</v>
      </c>
      <c r="F15" s="14" t="str">
        <f>IFERROR(__xludf.DUMMYFUNCTION("""COMPUTED_VALUE"""),"Gagal")</f>
        <v>Gagal</v>
      </c>
      <c r="G15" s="14" t="str">
        <f>IFERROR(__xludf.DUMMYFUNCTION("""COMPUTED_VALUE"""),"Trip Alas Purwo")</f>
        <v>Trip Alas Purwo</v>
      </c>
      <c r="H15" s="26"/>
      <c r="I15" s="27">
        <f>IFERROR(__xludf.DUMMYFUNCTION("""COMPUTED_VALUE"""),10.0)</f>
        <v>10</v>
      </c>
      <c r="J15" s="33"/>
      <c r="K15" s="30" t="str">
        <f>IFERROR(__xludf.DUMMYFUNCTION("""COMPUTED_VALUE"""),"tanya tanya")</f>
        <v>tanya tanya</v>
      </c>
      <c r="L15" s="23"/>
      <c r="M15" s="20"/>
      <c r="N15" s="20"/>
      <c r="O15" s="20"/>
      <c r="P15" s="20"/>
    </row>
    <row r="16">
      <c r="A16" s="11">
        <f>IFERROR(__xludf.DUMMYFUNCTION("""COMPUTED_VALUE"""),46033.0)</f>
        <v>46033</v>
      </c>
      <c r="B16" s="12" t="str">
        <f>IFERROR(__xludf.DUMMYFUNCTION("""COMPUTED_VALUE"""),"2601A015")</f>
        <v>2601A015</v>
      </c>
      <c r="C16" s="10" t="str">
        <f>IFERROR(__xludf.DUMMYFUNCTION("""COMPUTED_VALUE"""),"Istinah")</f>
        <v>Istinah</v>
      </c>
      <c r="D16" s="13" t="str">
        <f>IFERROR(__xludf.DUMMYFUNCTION("""COMPUTED_VALUE"""),"081334625968")</f>
        <v>081334625968</v>
      </c>
      <c r="E16" s="14" t="str">
        <f>IFERROR(__xludf.DUMMYFUNCTION("""COMPUTED_VALUE"""),"Website")</f>
        <v>Website</v>
      </c>
      <c r="F16" s="14" t="str">
        <f>IFERROR(__xludf.DUMMYFUNCTION("""COMPUTED_VALUE"""),"Gagal")</f>
        <v>Gagal</v>
      </c>
      <c r="G16" s="15" t="str">
        <f>IFERROR(__xludf.DUMMYFUNCTION("""COMPUTED_VALUE"""),"Trip Djawatan Baluran")</f>
        <v>Trip Djawatan Baluran</v>
      </c>
      <c r="H16" s="16"/>
      <c r="I16" s="17">
        <f>IFERROR(__xludf.DUMMYFUNCTION("""COMPUTED_VALUE"""),10.0)</f>
        <v>10</v>
      </c>
      <c r="J16" s="18"/>
      <c r="K16" s="19" t="str">
        <f>IFERROR(__xludf.DUMMYFUNCTION("""COMPUTED_VALUE"""),"masih cari informasi")</f>
        <v>masih cari informasi</v>
      </c>
      <c r="L16" s="10"/>
      <c r="M16" s="20"/>
      <c r="N16" s="20"/>
      <c r="O16" s="20"/>
      <c r="P16" s="20"/>
    </row>
    <row r="17">
      <c r="A17" s="21">
        <f>IFERROR(__xludf.DUMMYFUNCTION("""COMPUTED_VALUE"""),46033.0)</f>
        <v>46033</v>
      </c>
      <c r="B17" s="22" t="str">
        <f>IFERROR(__xludf.DUMMYFUNCTION("""COMPUTED_VALUE"""),"2601A016")</f>
        <v>2601A016</v>
      </c>
      <c r="C17" s="23" t="str">
        <f>IFERROR(__xludf.DUMMYFUNCTION("""COMPUTED_VALUE"""),"Edwin")</f>
        <v>Edwin</v>
      </c>
      <c r="D17" s="24" t="str">
        <f>IFERROR(__xludf.DUMMYFUNCTION("""COMPUTED_VALUE"""),"085659981058")</f>
        <v>085659981058</v>
      </c>
      <c r="E17" s="14" t="str">
        <f>IFERROR(__xludf.DUMMYFUNCTION("""COMPUTED_VALUE"""),"Website")</f>
        <v>Website</v>
      </c>
      <c r="F17" s="14" t="str">
        <f>IFERROR(__xludf.DUMMYFUNCTION("""COMPUTED_VALUE"""),"Closing")</f>
        <v>Closing</v>
      </c>
      <c r="G17" s="14" t="str">
        <f>IFERROR(__xludf.DUMMYFUNCTION("""COMPUTED_VALUE"""),"Private trip 3H2M")</f>
        <v>Private trip 3H2M</v>
      </c>
      <c r="H17" s="26"/>
      <c r="I17" s="27">
        <f>IFERROR(__xludf.DUMMYFUNCTION("""COMPUTED_VALUE"""),2.0)</f>
        <v>2</v>
      </c>
      <c r="J17" s="28">
        <f>IFERROR(__xludf.DUMMYFUNCTION("""COMPUTED_VALUE"""),6794000.0)</f>
        <v>6794000</v>
      </c>
      <c r="K17" s="36" t="str">
        <f>IFERROR(__xludf.DUMMYFUNCTION("""COMPUTED_VALUE"""),"order")</f>
        <v>order</v>
      </c>
      <c r="L17" s="49"/>
      <c r="M17" s="20"/>
      <c r="N17" s="20"/>
      <c r="O17" s="20"/>
      <c r="P17" s="20"/>
    </row>
    <row r="18">
      <c r="A18" s="11">
        <f>IFERROR(__xludf.DUMMYFUNCTION("""COMPUTED_VALUE"""),46035.0)</f>
        <v>46035</v>
      </c>
      <c r="B18" s="12" t="str">
        <f>IFERROR(__xludf.DUMMYFUNCTION("""COMPUTED_VALUE"""),"2601A017")</f>
        <v>2601A017</v>
      </c>
      <c r="C18" s="10" t="str">
        <f>IFERROR(__xludf.DUMMYFUNCTION("""COMPUTED_VALUE"""),"Jessica")</f>
        <v>Jessica</v>
      </c>
      <c r="D18" s="13" t="str">
        <f>IFERROR(__xludf.DUMMYFUNCTION("""COMPUTED_VALUE"""),"08113166995")</f>
        <v>08113166995</v>
      </c>
      <c r="E18" s="14" t="str">
        <f>IFERROR(__xludf.DUMMYFUNCTION("""COMPUTED_VALUE"""),"Website")</f>
        <v>Website</v>
      </c>
      <c r="F18" s="14" t="str">
        <f>IFERROR(__xludf.DUMMYFUNCTION("""COMPUTED_VALUE"""),"Gagal")</f>
        <v>Gagal</v>
      </c>
      <c r="G18" s="14" t="str">
        <f>IFERROR(__xludf.DUMMYFUNCTION("""COMPUTED_VALUE"""),"Trip Ijen")</f>
        <v>Trip Ijen</v>
      </c>
      <c r="H18" s="16"/>
      <c r="I18" s="17"/>
      <c r="J18" s="54"/>
      <c r="K18" s="19" t="str">
        <f>IFERROR(__xludf.DUMMYFUNCTION("""COMPUTED_VALUE"""),"tidak ada respon")</f>
        <v>tidak ada respon</v>
      </c>
      <c r="L18" s="76"/>
      <c r="M18" s="20"/>
      <c r="N18" s="20"/>
      <c r="O18" s="20"/>
      <c r="P18" s="20"/>
    </row>
    <row r="19">
      <c r="A19" s="21">
        <f>IFERROR(__xludf.DUMMYFUNCTION("""COMPUTED_VALUE"""),46036.0)</f>
        <v>46036</v>
      </c>
      <c r="B19" s="22" t="str">
        <f>IFERROR(__xludf.DUMMYFUNCTION("""COMPUTED_VALUE"""),"2601A018")</f>
        <v>2601A018</v>
      </c>
      <c r="C19" s="23" t="str">
        <f>IFERROR(__xludf.DUMMYFUNCTION("""COMPUTED_VALUE"""),"Kambali khan")</f>
        <v>Kambali khan</v>
      </c>
      <c r="D19" s="24" t="str">
        <f>IFERROR(__xludf.DUMMYFUNCTION("""COMPUTED_VALUE"""),"081133300048")</f>
        <v>081133300048</v>
      </c>
      <c r="E19" s="14" t="str">
        <f>IFERROR(__xludf.DUMMYFUNCTION("""COMPUTED_VALUE"""),"Website")</f>
        <v>Website</v>
      </c>
      <c r="F19" s="14" t="str">
        <f>IFERROR(__xludf.DUMMYFUNCTION("""COMPUTED_VALUE"""),"Gagal")</f>
        <v>Gagal</v>
      </c>
      <c r="G19" s="25" t="str">
        <f>IFERROR(__xludf.DUMMYFUNCTION("""COMPUTED_VALUE"""),"rekom 2H1M")</f>
        <v>rekom 2H1M</v>
      </c>
      <c r="H19" s="78"/>
      <c r="I19" s="27">
        <f>IFERROR(__xludf.DUMMYFUNCTION("""COMPUTED_VALUE"""),7.0)</f>
        <v>7</v>
      </c>
      <c r="J19" s="28"/>
      <c r="K19" s="36" t="str">
        <f>IFERROR(__xludf.DUMMYFUNCTION("""COMPUTED_VALUE"""),"tanya paket open trip ")</f>
        <v>tanya paket open trip </v>
      </c>
      <c r="L19" s="49"/>
      <c r="M19" s="20"/>
      <c r="N19" s="20"/>
      <c r="O19" s="20"/>
      <c r="P19" s="20"/>
    </row>
    <row r="20">
      <c r="A20" s="11">
        <f>IFERROR(__xludf.DUMMYFUNCTION("""COMPUTED_VALUE"""),46036.0)</f>
        <v>46036</v>
      </c>
      <c r="B20" s="12" t="str">
        <f>IFERROR(__xludf.DUMMYFUNCTION("""COMPUTED_VALUE"""),"2601A019")</f>
        <v>2601A019</v>
      </c>
      <c r="C20" s="76" t="str">
        <f>IFERROR(__xludf.DUMMYFUNCTION("""COMPUTED_VALUE"""),"Harun")</f>
        <v>Harun</v>
      </c>
      <c r="D20" s="13" t="str">
        <f>IFERROR(__xludf.DUMMYFUNCTION("""COMPUTED_VALUE"""),"085190940022")</f>
        <v>085190940022</v>
      </c>
      <c r="E20" s="14" t="str">
        <f>IFERROR(__xludf.DUMMYFUNCTION("""COMPUTED_VALUE"""),"Website")</f>
        <v>Website</v>
      </c>
      <c r="F20" s="14" t="str">
        <f>IFERROR(__xludf.DUMMYFUNCTION("""COMPUTED_VALUE"""),"Gagal")</f>
        <v>Gagal</v>
      </c>
      <c r="G20" s="25"/>
      <c r="H20" s="16"/>
      <c r="I20" s="80"/>
      <c r="J20" s="54"/>
      <c r="K20" s="19" t="str">
        <f>IFERROR(__xludf.DUMMYFUNCTION("""COMPUTED_VALUE"""),"tidak ada respon")</f>
        <v>tidak ada respon</v>
      </c>
      <c r="L20" s="76"/>
      <c r="M20" s="20"/>
      <c r="N20" s="20"/>
      <c r="O20" s="20"/>
      <c r="P20" s="20"/>
    </row>
    <row r="21">
      <c r="A21" s="21">
        <f>IFERROR(__xludf.DUMMYFUNCTION("""COMPUTED_VALUE"""),46037.0)</f>
        <v>46037</v>
      </c>
      <c r="B21" s="22" t="str">
        <f>IFERROR(__xludf.DUMMYFUNCTION("""COMPUTED_VALUE"""),"2601A020")</f>
        <v>2601A020</v>
      </c>
      <c r="C21" s="23" t="str">
        <f>IFERROR(__xludf.DUMMYFUNCTION("""COMPUTED_VALUE"""),"Darius")</f>
        <v>Darius</v>
      </c>
      <c r="D21" s="24" t="str">
        <f>IFERROR(__xludf.DUMMYFUNCTION("""COMPUTED_VALUE"""),"0811508236")</f>
        <v>0811508236</v>
      </c>
      <c r="E21" s="14" t="str">
        <f>IFERROR(__xludf.DUMMYFUNCTION("""COMPUTED_VALUE"""),"Website")</f>
        <v>Website</v>
      </c>
      <c r="F21" s="14" t="str">
        <f>IFERROR(__xludf.DUMMYFUNCTION("""COMPUTED_VALUE"""),"Gagal")</f>
        <v>Gagal</v>
      </c>
      <c r="G21" s="14" t="str">
        <f>IFERROR(__xludf.DUMMYFUNCTION("""COMPUTED_VALUE"""),"4H3M")</f>
        <v>4H3M</v>
      </c>
      <c r="H21" s="26"/>
      <c r="I21" s="27">
        <f>IFERROR(__xludf.DUMMYFUNCTION("""COMPUTED_VALUE"""),10.0)</f>
        <v>10</v>
      </c>
      <c r="J21" s="28"/>
      <c r="K21" s="36" t="str">
        <f>IFERROR(__xludf.DUMMYFUNCTION("""COMPUTED_VALUE"""),"jadinya ke bali, temannya Aji")</f>
        <v>jadinya ke bali, temannya Aji</v>
      </c>
      <c r="L21" s="49"/>
      <c r="M21" s="20"/>
      <c r="N21" s="20"/>
      <c r="O21" s="20"/>
      <c r="P21" s="20"/>
    </row>
    <row r="22">
      <c r="A22" s="11">
        <f>IFERROR(__xludf.DUMMYFUNCTION("""COMPUTED_VALUE"""),46038.0)</f>
        <v>46038</v>
      </c>
      <c r="B22" s="12" t="str">
        <f>IFERROR(__xludf.DUMMYFUNCTION("""COMPUTED_VALUE"""),"2601A021")</f>
        <v>2601A021</v>
      </c>
      <c r="C22" s="10" t="str">
        <f>IFERROR(__xludf.DUMMYFUNCTION("""COMPUTED_VALUE"""),"Novita ")</f>
        <v>Novita </v>
      </c>
      <c r="D22" s="13" t="str">
        <f>IFERROR(__xludf.DUMMYFUNCTION("""COMPUTED_VALUE"""),"085600920652")</f>
        <v>085600920652</v>
      </c>
      <c r="E22" s="14" t="str">
        <f>IFERROR(__xludf.DUMMYFUNCTION("""COMPUTED_VALUE"""),"Website")</f>
        <v>Website</v>
      </c>
      <c r="F22" s="14" t="str">
        <f>IFERROR(__xludf.DUMMYFUNCTION("""COMPUTED_VALUE"""),"Gagal")</f>
        <v>Gagal</v>
      </c>
      <c r="G22" s="14" t="str">
        <f>IFERROR(__xludf.DUMMYFUNCTION("""COMPUTED_VALUE"""),"Trip D, B")</f>
        <v>Trip D, B</v>
      </c>
      <c r="H22" s="16">
        <f>IFERROR(__xludf.DUMMYFUNCTION("""COMPUTED_VALUE"""),46046.0)</f>
        <v>46046</v>
      </c>
      <c r="I22" s="17"/>
      <c r="J22" s="54"/>
      <c r="K22" s="46" t="str">
        <f>IFERROR(__xludf.DUMMYFUNCTION("""COMPUTED_VALUE"""),"masih belum minat")</f>
        <v>masih belum minat</v>
      </c>
      <c r="L22" s="10"/>
      <c r="M22" s="20"/>
      <c r="N22" s="20"/>
      <c r="O22" s="20"/>
      <c r="P22" s="20"/>
    </row>
    <row r="23">
      <c r="A23" s="21">
        <f>IFERROR(__xludf.DUMMYFUNCTION("""COMPUTED_VALUE"""),46039.0)</f>
        <v>46039</v>
      </c>
      <c r="B23" s="22" t="str">
        <f>IFERROR(__xludf.DUMMYFUNCTION("""COMPUTED_VALUE"""),"2601A022")</f>
        <v>2601A022</v>
      </c>
      <c r="C23" s="23" t="str">
        <f>IFERROR(__xludf.DUMMYFUNCTION("""COMPUTED_VALUE"""),"Abi Yuma")</f>
        <v>Abi Yuma</v>
      </c>
      <c r="D23" s="24" t="str">
        <f>IFERROR(__xludf.DUMMYFUNCTION("""COMPUTED_VALUE"""),"08119025858")</f>
        <v>08119025858</v>
      </c>
      <c r="E23" s="14" t="str">
        <f>IFERROR(__xludf.DUMMYFUNCTION("""COMPUTED_VALUE"""),"Website")</f>
        <v>Website</v>
      </c>
      <c r="F23" s="14" t="str">
        <f>IFERROR(__xludf.DUMMYFUNCTION("""COMPUTED_VALUE"""),"Gagal")</f>
        <v>Gagal</v>
      </c>
      <c r="G23" s="15" t="str">
        <f>IFERROR(__xludf.DUMMYFUNCTION("""COMPUTED_VALUE"""),"2H3M")</f>
        <v>2H3M</v>
      </c>
      <c r="H23" s="24"/>
      <c r="I23" s="27"/>
      <c r="J23" s="28"/>
      <c r="K23" s="30" t="str">
        <f>IFERROR(__xludf.DUMMYFUNCTION("""COMPUTED_VALUE"""),"tidak jawab")</f>
        <v>tidak jawab</v>
      </c>
      <c r="L23" s="23"/>
      <c r="M23" s="20"/>
      <c r="N23" s="20"/>
      <c r="O23" s="20"/>
      <c r="P23" s="20"/>
    </row>
    <row r="24">
      <c r="A24" s="11">
        <f>IFERROR(__xludf.DUMMYFUNCTION("""COMPUTED_VALUE"""),46039.0)</f>
        <v>46039</v>
      </c>
      <c r="B24" s="12" t="str">
        <f>IFERROR(__xludf.DUMMYFUNCTION("""COMPUTED_VALUE"""),"2601A023")</f>
        <v>2601A023</v>
      </c>
      <c r="C24" s="10" t="str">
        <f>IFERROR(__xludf.DUMMYFUNCTION("""COMPUTED_VALUE"""),"Aji")</f>
        <v>Aji</v>
      </c>
      <c r="D24" s="13" t="str">
        <f>IFERROR(__xludf.DUMMYFUNCTION("""COMPUTED_VALUE"""),"082211224004")</f>
        <v>082211224004</v>
      </c>
      <c r="E24" s="14" t="str">
        <f>IFERROR(__xludf.DUMMYFUNCTION("""COMPUTED_VALUE"""),"Lainnya")</f>
        <v>Lainnya</v>
      </c>
      <c r="F24" s="14" t="str">
        <f>IFERROR(__xludf.DUMMYFUNCTION("""COMPUTED_VALUE"""),"Gagal")</f>
        <v>Gagal</v>
      </c>
      <c r="G24" s="15" t="str">
        <f>IFERROR(__xludf.DUMMYFUNCTION("""COMPUTED_VALUE"""),"3H4M")</f>
        <v>3H4M</v>
      </c>
      <c r="H24" s="16"/>
      <c r="I24" s="17"/>
      <c r="J24" s="18"/>
      <c r="K24" s="19" t="str">
        <f>IFERROR(__xludf.DUMMYFUNCTION("""COMPUTED_VALUE"""),"jadinya ke bali")</f>
        <v>jadinya ke bali</v>
      </c>
      <c r="L24" s="76"/>
      <c r="M24" s="20"/>
      <c r="N24" s="20"/>
      <c r="O24" s="20"/>
      <c r="P24" s="20"/>
    </row>
    <row r="25">
      <c r="A25" s="21">
        <f>IFERROR(__xludf.DUMMYFUNCTION("""COMPUTED_VALUE"""),46041.0)</f>
        <v>46041</v>
      </c>
      <c r="B25" s="22" t="str">
        <f>IFERROR(__xludf.DUMMYFUNCTION("""COMPUTED_VALUE"""),"2601A024")</f>
        <v>2601A024</v>
      </c>
      <c r="C25" s="23" t="str">
        <f>IFERROR(__xludf.DUMMYFUNCTION("""COMPUTED_VALUE"""),"Adi Suseno")</f>
        <v>Adi Suseno</v>
      </c>
      <c r="D25" s="24" t="str">
        <f>IFERROR(__xludf.DUMMYFUNCTION("""COMPUTED_VALUE"""),"081293287733")</f>
        <v>081293287733</v>
      </c>
      <c r="E25" s="14" t="str">
        <f>IFERROR(__xludf.DUMMYFUNCTION("""COMPUTED_VALUE"""),"Website")</f>
        <v>Website</v>
      </c>
      <c r="F25" s="14" t="str">
        <f>IFERROR(__xludf.DUMMYFUNCTION("""COMPUTED_VALUE"""),"Closing")</f>
        <v>Closing</v>
      </c>
      <c r="G25" s="14" t="str">
        <f>IFERROR(__xludf.DUMMYFUNCTION("""COMPUTED_VALUE"""),"Trip ijen baluran dll")</f>
        <v>Trip ijen baluran dll</v>
      </c>
      <c r="H25" s="26">
        <f>IFERROR(__xludf.DUMMYFUNCTION("""COMPUTED_VALUE"""),46042.0)</f>
        <v>46042</v>
      </c>
      <c r="I25" s="27"/>
      <c r="J25" s="33">
        <f>IFERROR(__xludf.DUMMYFUNCTION("""COMPUTED_VALUE"""),3820000.0)</f>
        <v>3820000</v>
      </c>
      <c r="K25" s="36" t="str">
        <f>IFERROR(__xludf.DUMMYFUNCTION("""COMPUTED_VALUE"""),"order")</f>
        <v>order</v>
      </c>
      <c r="L25" s="49"/>
      <c r="M25" s="20"/>
      <c r="N25" s="20"/>
      <c r="O25" s="20"/>
      <c r="P25" s="20"/>
    </row>
    <row r="26">
      <c r="A26" s="11">
        <f>IFERROR(__xludf.DUMMYFUNCTION("""COMPUTED_VALUE"""),46041.0)</f>
        <v>46041</v>
      </c>
      <c r="B26" s="12" t="str">
        <f>IFERROR(__xludf.DUMMYFUNCTION("""COMPUTED_VALUE"""),"2601A025")</f>
        <v>2601A025</v>
      </c>
      <c r="C26" s="10" t="str">
        <f>IFERROR(__xludf.DUMMYFUNCTION("""COMPUTED_VALUE"""),"Fadilah")</f>
        <v>Fadilah</v>
      </c>
      <c r="D26" s="13" t="str">
        <f>IFERROR(__xludf.DUMMYFUNCTION("""COMPUTED_VALUE"""),"087715569423")</f>
        <v>087715569423</v>
      </c>
      <c r="E26" s="14" t="str">
        <f>IFERROR(__xludf.DUMMYFUNCTION("""COMPUTED_VALUE"""),"Website")</f>
        <v>Website</v>
      </c>
      <c r="F26" s="14" t="str">
        <f>IFERROR(__xludf.DUMMYFUNCTION("""COMPUTED_VALUE"""),"Gagal")</f>
        <v>Gagal</v>
      </c>
      <c r="G26" s="15" t="str">
        <f>IFERROR(__xludf.DUMMYFUNCTION("""COMPUTED_VALUE"""),"4H3M")</f>
        <v>4H3M</v>
      </c>
      <c r="H26" s="16"/>
      <c r="I26" s="17"/>
      <c r="J26" s="18"/>
      <c r="K26" s="46"/>
      <c r="L26" s="10"/>
      <c r="M26" s="20"/>
      <c r="N26" s="20"/>
      <c r="O26" s="20"/>
      <c r="P26" s="20"/>
    </row>
    <row r="27">
      <c r="A27" s="21">
        <f>IFERROR(__xludf.DUMMYFUNCTION("""COMPUTED_VALUE"""),46041.0)</f>
        <v>46041</v>
      </c>
      <c r="B27" s="22" t="str">
        <f>IFERROR(__xludf.DUMMYFUNCTION("""COMPUTED_VALUE"""),"2601A026")</f>
        <v>2601A026</v>
      </c>
      <c r="C27" s="23" t="str">
        <f>IFERROR(__xludf.DUMMYFUNCTION("""COMPUTED_VALUE"""),"Okky")</f>
        <v>Okky</v>
      </c>
      <c r="D27" s="24" t="str">
        <f>IFERROR(__xludf.DUMMYFUNCTION("""COMPUTED_VALUE"""),"081319880887")</f>
        <v>081319880887</v>
      </c>
      <c r="E27" s="14" t="str">
        <f>IFERROR(__xludf.DUMMYFUNCTION("""COMPUTED_VALUE"""),"Website")</f>
        <v>Website</v>
      </c>
      <c r="F27" s="14" t="str">
        <f>IFERROR(__xludf.DUMMYFUNCTION("""COMPUTED_VALUE"""),"Gagal")</f>
        <v>Gagal</v>
      </c>
      <c r="G27" s="14" t="str">
        <f>IFERROR(__xludf.DUMMYFUNCTION("""COMPUTED_VALUE"""),"3H2M A")</f>
        <v>3H2M A</v>
      </c>
      <c r="H27" s="26"/>
      <c r="I27" s="27">
        <f>IFERROR(__xludf.DUMMYFUNCTION("""COMPUTED_VALUE"""),4.0)</f>
        <v>4</v>
      </c>
      <c r="J27" s="33">
        <f>IFERROR(__xludf.DUMMYFUNCTION("""COMPUTED_VALUE"""),6808000.0)</f>
        <v>6808000</v>
      </c>
      <c r="K27" s="36" t="str">
        <f>IFERROR(__xludf.DUMMYFUNCTION("""COMPUTED_VALUE"""),"gada balasan")</f>
        <v>gada balasan</v>
      </c>
      <c r="L27" s="81" t="str">
        <f>IFERROR(__xludf.DUMMYFUNCTION("""COMPUTED_VALUE"""),"https://docs.google.com/document/d/1tO1LgOdMkFtOXA2Keh2AwL0MUaqLJDAcxzgeBUy-pmY/edit?usp=sharing")</f>
        <v>https://docs.google.com/document/d/1tO1LgOdMkFtOXA2Keh2AwL0MUaqLJDAcxzgeBUy-pmY/edit?usp=sharing</v>
      </c>
      <c r="M27" s="20"/>
      <c r="N27" s="20"/>
      <c r="O27" s="20"/>
      <c r="P27" s="20"/>
    </row>
    <row r="28">
      <c r="A28" s="11">
        <f>IFERROR(__xludf.DUMMYFUNCTION("""COMPUTED_VALUE"""),46041.0)</f>
        <v>46041</v>
      </c>
      <c r="B28" s="12" t="str">
        <f>IFERROR(__xludf.DUMMYFUNCTION("""COMPUTED_VALUE"""),"2601A027")</f>
        <v>2601A027</v>
      </c>
      <c r="C28" s="10" t="str">
        <f>IFERROR(__xludf.DUMMYFUNCTION("""COMPUTED_VALUE"""),"Tiyan")</f>
        <v>Tiyan</v>
      </c>
      <c r="D28" s="13" t="str">
        <f>IFERROR(__xludf.DUMMYFUNCTION("""COMPUTED_VALUE"""),"085159766960")</f>
        <v>085159766960</v>
      </c>
      <c r="E28" s="14" t="str">
        <f>IFERROR(__xludf.DUMMYFUNCTION("""COMPUTED_VALUE"""),"Website")</f>
        <v>Website</v>
      </c>
      <c r="F28" s="14" t="str">
        <f>IFERROR(__xludf.DUMMYFUNCTION("""COMPUTED_VALUE"""),"Gagal")</f>
        <v>Gagal</v>
      </c>
      <c r="G28" s="25" t="str">
        <f>IFERROR(__xludf.DUMMYFUNCTION("""COMPUTED_VALUE"""),"3H2M")</f>
        <v>3H2M</v>
      </c>
      <c r="H28" s="16"/>
      <c r="I28" s="17"/>
      <c r="J28" s="18"/>
      <c r="K28" s="19" t="str">
        <f>IFERROR(__xludf.DUMMYFUNCTION("""COMPUTED_VALUE"""),"tidak ada respon")</f>
        <v>tidak ada respon</v>
      </c>
      <c r="L28" s="76"/>
      <c r="M28" s="20"/>
      <c r="N28" s="20"/>
      <c r="O28" s="20"/>
      <c r="P28" s="20"/>
    </row>
    <row r="29">
      <c r="A29" s="21">
        <f>IFERROR(__xludf.DUMMYFUNCTION("""COMPUTED_VALUE"""),46041.0)</f>
        <v>46041</v>
      </c>
      <c r="B29" s="22" t="str">
        <f>IFERROR(__xludf.DUMMYFUNCTION("""COMPUTED_VALUE"""),"2601A028")</f>
        <v>2601A028</v>
      </c>
      <c r="C29" s="23" t="str">
        <f>IFERROR(__xludf.DUMMYFUNCTION("""COMPUTED_VALUE"""),"Roha")</f>
        <v>Roha</v>
      </c>
      <c r="D29" s="24" t="str">
        <f>IFERROR(__xludf.DUMMYFUNCTION("""COMPUTED_VALUE"""),"923344633856")</f>
        <v>923344633856</v>
      </c>
      <c r="E29" s="14" t="str">
        <f>IFERROR(__xludf.DUMMYFUNCTION("""COMPUTED_VALUE"""),"Website")</f>
        <v>Website</v>
      </c>
      <c r="F29" s="14" t="str">
        <f>IFERROR(__xludf.DUMMYFUNCTION("""COMPUTED_VALUE"""),"Gagal")</f>
        <v>Gagal</v>
      </c>
      <c r="G29" s="25" t="str">
        <f>IFERROR(__xludf.DUMMYFUNCTION("""COMPUTED_VALUE"""),"trip djawatan baluran")</f>
        <v>trip djawatan baluran</v>
      </c>
      <c r="H29" s="26"/>
      <c r="I29" s="27">
        <f>IFERROR(__xludf.DUMMYFUNCTION("""COMPUTED_VALUE"""),2.0)</f>
        <v>2</v>
      </c>
      <c r="J29" s="28"/>
      <c r="K29" s="36" t="str">
        <f>IFERROR(__xludf.DUMMYFUNCTION("""COMPUTED_VALUE"""),"tidak tertarik ")</f>
        <v>tidak tertarik </v>
      </c>
      <c r="L29" s="49"/>
      <c r="M29" s="20"/>
      <c r="N29" s="20"/>
      <c r="O29" s="20"/>
      <c r="P29" s="20"/>
    </row>
    <row r="30">
      <c r="A30" s="11">
        <f>IFERROR(__xludf.DUMMYFUNCTION("""COMPUTED_VALUE"""),46041.0)</f>
        <v>46041</v>
      </c>
      <c r="B30" s="12" t="str">
        <f>IFERROR(__xludf.DUMMYFUNCTION("""COMPUTED_VALUE"""),"2601A029")</f>
        <v>2601A029</v>
      </c>
      <c r="C30" s="10" t="str">
        <f>IFERROR(__xludf.DUMMYFUNCTION("""COMPUTED_VALUE"""),"Tsabitah Nur")</f>
        <v>Tsabitah Nur</v>
      </c>
      <c r="D30" s="13" t="str">
        <f>IFERROR(__xludf.DUMMYFUNCTION("""COMPUTED_VALUE"""),"085163058792")</f>
        <v>085163058792</v>
      </c>
      <c r="E30" s="14" t="str">
        <f>IFERROR(__xludf.DUMMYFUNCTION("""COMPUTED_VALUE"""),"Website")</f>
        <v>Website</v>
      </c>
      <c r="F30" s="14" t="str">
        <f>IFERROR(__xludf.DUMMYFUNCTION("""COMPUTED_VALUE"""),"Gagal")</f>
        <v>Gagal</v>
      </c>
      <c r="G30" s="14"/>
      <c r="H30" s="16"/>
      <c r="I30" s="17"/>
      <c r="J30" s="18"/>
      <c r="K30" s="19" t="str">
        <f>IFERROR(__xludf.DUMMYFUNCTION("""COMPUTED_VALUE"""),"tidak ada respon")</f>
        <v>tidak ada respon</v>
      </c>
      <c r="L30" s="76"/>
      <c r="M30" s="20"/>
      <c r="N30" s="20"/>
      <c r="O30" s="20"/>
      <c r="P30" s="20"/>
    </row>
    <row r="31">
      <c r="A31" s="21">
        <f>IFERROR(__xludf.DUMMYFUNCTION("""COMPUTED_VALUE"""),46042.0)</f>
        <v>46042</v>
      </c>
      <c r="B31" s="22" t="str">
        <f>IFERROR(__xludf.DUMMYFUNCTION("""COMPUTED_VALUE"""),"2601A030")</f>
        <v>2601A030</v>
      </c>
      <c r="C31" s="23" t="str">
        <f>IFERROR(__xludf.DUMMYFUNCTION("""COMPUTED_VALUE"""),"Dwi Isti")</f>
        <v>Dwi Isti</v>
      </c>
      <c r="D31" s="24" t="str">
        <f>IFERROR(__xludf.DUMMYFUNCTION("""COMPUTED_VALUE"""),"089671917797")</f>
        <v>089671917797</v>
      </c>
      <c r="E31" s="14" t="str">
        <f>IFERROR(__xludf.DUMMYFUNCTION("""COMPUTED_VALUE"""),"Website")</f>
        <v>Website</v>
      </c>
      <c r="F31" s="14" t="str">
        <f>IFERROR(__xludf.DUMMYFUNCTION("""COMPUTED_VALUE"""),"Closing")</f>
        <v>Closing</v>
      </c>
      <c r="G31" s="25" t="str">
        <f>IFERROR(__xludf.DUMMYFUNCTION("""COMPUTED_VALUE"""),"3H2M B")</f>
        <v>3H2M B</v>
      </c>
      <c r="H31" s="26"/>
      <c r="I31" s="27"/>
      <c r="J31" s="28">
        <f>IFERROR(__xludf.DUMMYFUNCTION("""COMPUTED_VALUE"""),8603000.0)</f>
        <v>8603000</v>
      </c>
      <c r="K31" s="36" t="str">
        <f>IFERROR(__xludf.DUMMYFUNCTION("""COMPUTED_VALUE"""),"ALHAMDULILAH ORDER")</f>
        <v>ALHAMDULILAH ORDER</v>
      </c>
      <c r="L31" s="49"/>
      <c r="M31" s="20"/>
      <c r="N31" s="20"/>
      <c r="O31" s="20"/>
      <c r="P31" s="20"/>
    </row>
    <row r="32">
      <c r="A32" s="11">
        <f>IFERROR(__xludf.DUMMYFUNCTION("""COMPUTED_VALUE"""),46042.0)</f>
        <v>46042</v>
      </c>
      <c r="B32" s="12" t="str">
        <f>IFERROR(__xludf.DUMMYFUNCTION("""COMPUTED_VALUE"""),"2601A031")</f>
        <v>2601A031</v>
      </c>
      <c r="C32" s="10" t="str">
        <f>IFERROR(__xludf.DUMMYFUNCTION("""COMPUTED_VALUE"""),"Honeymoon")</f>
        <v>Honeymoon</v>
      </c>
      <c r="D32" s="13" t="str">
        <f>IFERROR(__xludf.DUMMYFUNCTION("""COMPUTED_VALUE"""),"087879654866")</f>
        <v>087879654866</v>
      </c>
      <c r="E32" s="14" t="str">
        <f>IFERROR(__xludf.DUMMYFUNCTION("""COMPUTED_VALUE"""),"Website")</f>
        <v>Website</v>
      </c>
      <c r="F32" s="14" t="str">
        <f>IFERROR(__xludf.DUMMYFUNCTION("""COMPUTED_VALUE"""),"Gagal")</f>
        <v>Gagal</v>
      </c>
      <c r="G32" s="14" t="str">
        <f>IFERROR(__xludf.DUMMYFUNCTION("""COMPUTED_VALUE"""),"3H2M Opsi A")</f>
        <v>3H2M Opsi A</v>
      </c>
      <c r="H32" s="13"/>
      <c r="I32" s="17"/>
      <c r="J32" s="18"/>
      <c r="K32" s="46" t="str">
        <f>IFERROR(__xludf.DUMMYFUNCTION("""COMPUTED_VALUE"""),"tidak ada respon")</f>
        <v>tidak ada respon</v>
      </c>
      <c r="L32" s="10"/>
      <c r="M32" s="20"/>
      <c r="N32" s="20"/>
      <c r="O32" s="20"/>
      <c r="P32" s="20"/>
    </row>
    <row r="33">
      <c r="A33" s="21">
        <f>IFERROR(__xludf.DUMMYFUNCTION("""COMPUTED_VALUE"""),46042.0)</f>
        <v>46042</v>
      </c>
      <c r="B33" s="22" t="str">
        <f>IFERROR(__xludf.DUMMYFUNCTION("""COMPUTED_VALUE"""),"2601A032")</f>
        <v>2601A032</v>
      </c>
      <c r="C33" s="23" t="str">
        <f>IFERROR(__xludf.DUMMYFUNCTION("""COMPUTED_VALUE"""),"Nurandita")</f>
        <v>Nurandita</v>
      </c>
      <c r="D33" s="24" t="str">
        <f>IFERROR(__xludf.DUMMYFUNCTION("""COMPUTED_VALUE"""),"081317308408")</f>
        <v>081317308408</v>
      </c>
      <c r="E33" s="14" t="str">
        <f>IFERROR(__xludf.DUMMYFUNCTION("""COMPUTED_VALUE"""),"Website")</f>
        <v>Website</v>
      </c>
      <c r="F33" s="14" t="str">
        <f>IFERROR(__xludf.DUMMYFUNCTION("""COMPUTED_VALUE"""),"Gagal")</f>
        <v>Gagal</v>
      </c>
      <c r="G33" s="25" t="str">
        <f>IFERROR(__xludf.DUMMYFUNCTION("""COMPUTED_VALUE"""),"Private Trip 3H2M Custom")</f>
        <v>Private Trip 3H2M Custom</v>
      </c>
      <c r="H33" s="26"/>
      <c r="I33" s="27">
        <f>IFERROR(__xludf.DUMMYFUNCTION("""COMPUTED_VALUE"""),21.0)</f>
        <v>21</v>
      </c>
      <c r="J33" s="28">
        <f>IFERROR(__xludf.DUMMYFUNCTION("""COMPUTED_VALUE"""),5.166E7)</f>
        <v>51660000</v>
      </c>
      <c r="K33" s="36" t="str">
        <f>IFERROR(__xludf.DUMMYFUNCTION("""COMPUTED_VALUE"""),"gada bbalasan")</f>
        <v>gada bbalasan</v>
      </c>
      <c r="L33" s="81" t="str">
        <f>IFERROR(__xludf.DUMMYFUNCTION("""COMPUTED_VALUE"""),"https://docs.google.com/document/d/1hKGuEK3I6GR0h7KG7tijUbTOER93QwazXSeUlH1209s/edit?usp=sharing")</f>
        <v>https://docs.google.com/document/d/1hKGuEK3I6GR0h7KG7tijUbTOER93QwazXSeUlH1209s/edit?usp=sharing</v>
      </c>
      <c r="M33" s="20"/>
      <c r="N33" s="20"/>
      <c r="O33" s="20"/>
      <c r="P33" s="20"/>
    </row>
    <row r="34">
      <c r="A34" s="11">
        <f>IFERROR(__xludf.DUMMYFUNCTION("""COMPUTED_VALUE"""),46042.0)</f>
        <v>46042</v>
      </c>
      <c r="B34" s="12" t="str">
        <f>IFERROR(__xludf.DUMMYFUNCTION("""COMPUTED_VALUE"""),"2601A033")</f>
        <v>2601A033</v>
      </c>
      <c r="C34" s="10" t="str">
        <f>IFERROR(__xludf.DUMMYFUNCTION("""COMPUTED_VALUE"""),"Thio")</f>
        <v>Thio</v>
      </c>
      <c r="D34" s="13" t="str">
        <f>IFERROR(__xludf.DUMMYFUNCTION("""COMPUTED_VALUE"""),"081219155817")</f>
        <v>081219155817</v>
      </c>
      <c r="E34" s="14" t="str">
        <f>IFERROR(__xludf.DUMMYFUNCTION("""COMPUTED_VALUE"""),"Website")</f>
        <v>Website</v>
      </c>
      <c r="F34" s="14" t="str">
        <f>IFERROR(__xludf.DUMMYFUNCTION("""COMPUTED_VALUE"""),"Gagal")</f>
        <v>Gagal</v>
      </c>
      <c r="G34" s="14" t="str">
        <f>IFERROR(__xludf.DUMMYFUNCTION("""COMPUTED_VALUE"""),"3H2M")</f>
        <v>3H2M</v>
      </c>
      <c r="H34" s="16"/>
      <c r="I34" s="17">
        <f>IFERROR(__xludf.DUMMYFUNCTION("""COMPUTED_VALUE"""),7.0)</f>
        <v>7</v>
      </c>
      <c r="J34" s="54"/>
      <c r="K34" s="19" t="str">
        <f>IFERROR(__xludf.DUMMYFUNCTION("""COMPUTED_VALUE"""),"tanya tanya")</f>
        <v>tanya tanya</v>
      </c>
      <c r="L34" s="76"/>
      <c r="M34" s="20"/>
      <c r="N34" s="20"/>
      <c r="O34" s="20"/>
      <c r="P34" s="20"/>
    </row>
    <row r="35">
      <c r="A35" s="21">
        <f>IFERROR(__xludf.DUMMYFUNCTION("""COMPUTED_VALUE"""),46042.0)</f>
        <v>46042</v>
      </c>
      <c r="B35" s="22" t="str">
        <f>IFERROR(__xludf.DUMMYFUNCTION("""COMPUTED_VALUE"""),"2601A034")</f>
        <v>2601A034</v>
      </c>
      <c r="C35" s="23" t="str">
        <f>IFERROR(__xludf.DUMMYFUNCTION("""COMPUTED_VALUE"""),"EL")</f>
        <v>EL</v>
      </c>
      <c r="D35" s="24" t="str">
        <f>IFERROR(__xludf.DUMMYFUNCTION("""COMPUTED_VALUE"""),"085813040343")</f>
        <v>085813040343</v>
      </c>
      <c r="E35" s="14" t="str">
        <f>IFERROR(__xludf.DUMMYFUNCTION("""COMPUTED_VALUE"""),"Website")</f>
        <v>Website</v>
      </c>
      <c r="F35" s="14" t="str">
        <f>IFERROR(__xludf.DUMMYFUNCTION("""COMPUTED_VALUE"""),"Gagal")</f>
        <v>Gagal</v>
      </c>
      <c r="G35" s="14" t="str">
        <f>IFERROR(__xludf.DUMMYFUNCTION("""COMPUTED_VALUE"""),"3H2M")</f>
        <v>3H2M</v>
      </c>
      <c r="H35" s="26"/>
      <c r="I35" s="27"/>
      <c r="J35" s="33"/>
      <c r="K35" s="36"/>
      <c r="L35" s="49"/>
      <c r="M35" s="20"/>
      <c r="N35" s="20"/>
      <c r="O35" s="20"/>
      <c r="P35" s="20"/>
    </row>
    <row r="36">
      <c r="A36" s="11">
        <f>IFERROR(__xludf.DUMMYFUNCTION("""COMPUTED_VALUE"""),46043.0)</f>
        <v>46043</v>
      </c>
      <c r="B36" s="12" t="str">
        <f>IFERROR(__xludf.DUMMYFUNCTION("""COMPUTED_VALUE"""),"2601A035")</f>
        <v>2601A035</v>
      </c>
      <c r="C36" s="10" t="str">
        <f>IFERROR(__xludf.DUMMYFUNCTION("""COMPUTED_VALUE"""),"Metryayu")</f>
        <v>Metryayu</v>
      </c>
      <c r="D36" s="13" t="str">
        <f>IFERROR(__xludf.DUMMYFUNCTION("""COMPUTED_VALUE"""),"081388272191")</f>
        <v>081388272191</v>
      </c>
      <c r="E36" s="14" t="str">
        <f>IFERROR(__xludf.DUMMYFUNCTION("""COMPUTED_VALUE"""),"Lainnya")</f>
        <v>Lainnya</v>
      </c>
      <c r="F36" s="14" t="str">
        <f>IFERROR(__xludf.DUMMYFUNCTION("""COMPUTED_VALUE"""),"Gagal")</f>
        <v>Gagal</v>
      </c>
      <c r="G36" s="14" t="str">
        <f>IFERROR(__xludf.DUMMYFUNCTION("""COMPUTED_VALUE"""),"Trip Djawatan Baluran")</f>
        <v>Trip Djawatan Baluran</v>
      </c>
      <c r="H36" s="16"/>
      <c r="I36" s="17">
        <f>IFERROR(__xludf.DUMMYFUNCTION("""COMPUTED_VALUE"""),5.0)</f>
        <v>5</v>
      </c>
      <c r="J36" s="18"/>
      <c r="K36" s="46" t="str">
        <f>IFERROR(__xludf.DUMMYFUNCTION("""COMPUTED_VALUE"""),"tidak ada respon")</f>
        <v>tidak ada respon</v>
      </c>
      <c r="L36" s="10"/>
      <c r="M36" s="20"/>
      <c r="N36" s="20"/>
      <c r="O36" s="20"/>
      <c r="P36" s="20"/>
    </row>
    <row r="37">
      <c r="A37" s="21">
        <f>IFERROR(__xludf.DUMMYFUNCTION("""COMPUTED_VALUE"""),46043.0)</f>
        <v>46043</v>
      </c>
      <c r="B37" s="22" t="str">
        <f>IFERROR(__xludf.DUMMYFUNCTION("""COMPUTED_VALUE"""),"2601A036")</f>
        <v>2601A036</v>
      </c>
      <c r="C37" s="23" t="str">
        <f>IFERROR(__xludf.DUMMYFUNCTION("""COMPUTED_VALUE"""),"Hj.Wiwin")</f>
        <v>Hj.Wiwin</v>
      </c>
      <c r="D37" s="24" t="str">
        <f>IFERROR(__xludf.DUMMYFUNCTION("""COMPUTED_VALUE"""),"085213862132")</f>
        <v>085213862132</v>
      </c>
      <c r="E37" s="14" t="str">
        <f>IFERROR(__xludf.DUMMYFUNCTION("""COMPUTED_VALUE"""),"Website")</f>
        <v>Website</v>
      </c>
      <c r="F37" s="14" t="str">
        <f>IFERROR(__xludf.DUMMYFUNCTION("""COMPUTED_VALUE"""),"Gagal")</f>
        <v>Gagal</v>
      </c>
      <c r="G37" s="14" t="str">
        <f>IFERROR(__xludf.DUMMYFUNCTION("""COMPUTED_VALUE"""),"3H2M")</f>
        <v>3H2M</v>
      </c>
      <c r="H37" s="26"/>
      <c r="I37" s="27">
        <f>IFERROR(__xludf.DUMMYFUNCTION("""COMPUTED_VALUE"""),10.0)</f>
        <v>10</v>
      </c>
      <c r="J37" s="33">
        <f>IFERROR(__xludf.DUMMYFUNCTION("""COMPUTED_VALUE"""),2.865E7)</f>
        <v>28650000</v>
      </c>
      <c r="K37" s="30" t="str">
        <f>IFERROR(__xludf.DUMMYFUNCTION("""COMPUTED_VALUE"""),"tidak ada respon")</f>
        <v>tidak ada respon</v>
      </c>
      <c r="L37" s="87" t="str">
        <f>IFERROR(__xludf.DUMMYFUNCTION("""COMPUTED_VALUE"""),"https://docs.google.com/document/d/1dIRrs3AubGSROJCp1oEJBYXBkQBoa1UGWgOsiAXf6oo/edit?usp=sharing")</f>
        <v>https://docs.google.com/document/d/1dIRrs3AubGSROJCp1oEJBYXBkQBoa1UGWgOsiAXf6oo/edit?usp=sharing</v>
      </c>
      <c r="M37" s="20"/>
      <c r="N37" s="20"/>
      <c r="O37" s="20"/>
      <c r="P37" s="20"/>
    </row>
    <row r="38">
      <c r="A38" s="11">
        <f>IFERROR(__xludf.DUMMYFUNCTION("""COMPUTED_VALUE"""),46043.0)</f>
        <v>46043</v>
      </c>
      <c r="B38" s="12" t="str">
        <f>IFERROR(__xludf.DUMMYFUNCTION("""COMPUTED_VALUE"""),"2601A037")</f>
        <v>2601A037</v>
      </c>
      <c r="C38" s="10" t="str">
        <f>IFERROR(__xludf.DUMMYFUNCTION("""COMPUTED_VALUE"""),"82118155984")</f>
        <v>82118155984</v>
      </c>
      <c r="D38" s="13" t="str">
        <f>IFERROR(__xludf.DUMMYFUNCTION("""COMPUTED_VALUE"""),"082118155984")</f>
        <v>082118155984</v>
      </c>
      <c r="E38" s="14" t="str">
        <f>IFERROR(__xludf.DUMMYFUNCTION("""COMPUTED_VALUE"""),"Website")</f>
        <v>Website</v>
      </c>
      <c r="F38" s="14" t="str">
        <f>IFERROR(__xludf.DUMMYFUNCTION("""COMPUTED_VALUE"""),"Gagal")</f>
        <v>Gagal</v>
      </c>
      <c r="G38" s="15" t="str">
        <f>IFERROR(__xludf.DUMMYFUNCTION("""COMPUTED_VALUE"""),"3H2M")</f>
        <v>3H2M</v>
      </c>
      <c r="H38" s="16"/>
      <c r="I38" s="17">
        <f>IFERROR(__xludf.DUMMYFUNCTION("""COMPUTED_VALUE"""),3.0)</f>
        <v>3</v>
      </c>
      <c r="J38" s="18">
        <f>IFERROR(__xludf.DUMMYFUNCTION("""COMPUTED_VALUE"""),9192000.0)</f>
        <v>9192000</v>
      </c>
      <c r="K38" s="46" t="str">
        <f>IFERROR(__xludf.DUMMYFUNCTION("""COMPUTED_VALUE"""),"belum dapat cuti")</f>
        <v>belum dapat cuti</v>
      </c>
      <c r="L38" s="10"/>
      <c r="M38" s="20"/>
      <c r="N38" s="20"/>
      <c r="O38" s="20"/>
      <c r="P38" s="20"/>
    </row>
    <row r="39">
      <c r="A39" s="21">
        <f>IFERROR(__xludf.DUMMYFUNCTION("""COMPUTED_VALUE"""),45996.0)</f>
        <v>45996</v>
      </c>
      <c r="B39" s="22" t="str">
        <f>IFERROR(__xludf.DUMMYFUNCTION("""COMPUTED_VALUE"""),"2512A001")</f>
        <v>2512A001</v>
      </c>
      <c r="C39" s="23" t="str">
        <f>IFERROR(__xludf.DUMMYFUNCTION("""COMPUTED_VALUE"""),"Kian Djiang(Agus setia budi)")</f>
        <v>Kian Djiang(Agus setia budi)</v>
      </c>
      <c r="D39" s="24" t="str">
        <f>IFERROR(__xludf.DUMMYFUNCTION("""COMPUTED_VALUE"""),"0895603297486")</f>
        <v>0895603297486</v>
      </c>
      <c r="E39" s="14" t="str">
        <f>IFERROR(__xludf.DUMMYFUNCTION("""COMPUTED_VALUE"""),"Website")</f>
        <v>Website</v>
      </c>
      <c r="F39" s="14" t="str">
        <f>IFERROR(__xludf.DUMMYFUNCTION("""COMPUTED_VALUE"""),"Warm Leads")</f>
        <v>Warm Leads</v>
      </c>
      <c r="G39" s="15" t="str">
        <f>IFERROR(__xludf.DUMMYFUNCTION("""COMPUTED_VALUE"""),"4H3M")</f>
        <v>4H3M</v>
      </c>
      <c r="H39" s="26"/>
      <c r="I39" s="27">
        <f>IFERROR(__xludf.DUMMYFUNCTION("""COMPUTED_VALUE"""),50.0)</f>
        <v>50</v>
      </c>
      <c r="J39" s="33">
        <f>IFERROR(__xludf.DUMMYFUNCTION("""COMPUTED_VALUE"""),1.257E8)</f>
        <v>125700000</v>
      </c>
      <c r="K39" s="30" t="str">
        <f>IFERROR(__xludf.DUMMYFUNCTION("""COMPUTED_VALUE"""),"DP bulan Juli (Trip bulan Agustus)")</f>
        <v>DP bulan Juli (Trip bulan Agustus)</v>
      </c>
      <c r="L39" s="23"/>
      <c r="M39" s="20"/>
      <c r="N39" s="20"/>
      <c r="O39" s="20"/>
      <c r="P39" s="20"/>
    </row>
    <row r="40">
      <c r="A40" s="11">
        <f>IFERROR(__xludf.DUMMYFUNCTION("""COMPUTED_VALUE"""),46044.0)</f>
        <v>46044</v>
      </c>
      <c r="B40" s="12" t="str">
        <f>IFERROR(__xludf.DUMMYFUNCTION("""COMPUTED_VALUE"""),"2601A038")</f>
        <v>2601A038</v>
      </c>
      <c r="C40" s="10" t="str">
        <f>IFERROR(__xludf.DUMMYFUNCTION("""COMPUTED_VALUE"""),"81234323491")</f>
        <v>81234323491</v>
      </c>
      <c r="D40" s="13" t="str">
        <f>IFERROR(__xludf.DUMMYFUNCTION("""COMPUTED_VALUE"""),"081234323491")</f>
        <v>081234323491</v>
      </c>
      <c r="E40" s="14" t="str">
        <f>IFERROR(__xludf.DUMMYFUNCTION("""COMPUTED_VALUE"""),"Website")</f>
        <v>Website</v>
      </c>
      <c r="F40" s="14" t="str">
        <f>IFERROR(__xludf.DUMMYFUNCTION("""COMPUTED_VALUE"""),"Gagal")</f>
        <v>Gagal</v>
      </c>
      <c r="G40" s="15" t="str">
        <f>IFERROR(__xludf.DUMMYFUNCTION("""COMPUTED_VALUE"""),"OT One day Ijen Baluran")</f>
        <v>OT One day Ijen Baluran</v>
      </c>
      <c r="H40" s="16"/>
      <c r="I40" s="17"/>
      <c r="J40" s="18"/>
      <c r="K40" s="19"/>
      <c r="L40" s="10"/>
      <c r="M40" s="20"/>
      <c r="N40" s="20"/>
      <c r="O40" s="20"/>
      <c r="P40" s="20"/>
    </row>
    <row r="41">
      <c r="A41" s="21">
        <f>IFERROR(__xludf.DUMMYFUNCTION("""COMPUTED_VALUE"""),46044.0)</f>
        <v>46044</v>
      </c>
      <c r="B41" s="22" t="str">
        <f>IFERROR(__xludf.DUMMYFUNCTION("""COMPUTED_VALUE"""),"2601A039")</f>
        <v>2601A039</v>
      </c>
      <c r="C41" s="23" t="str">
        <f>IFERROR(__xludf.DUMMYFUNCTION("""COMPUTED_VALUE"""),"Ikna")</f>
        <v>Ikna</v>
      </c>
      <c r="D41" s="24" t="str">
        <f>IFERROR(__xludf.DUMMYFUNCTION("""COMPUTED_VALUE"""),"085780090877")</f>
        <v>085780090877</v>
      </c>
      <c r="E41" s="14" t="str">
        <f>IFERROR(__xludf.DUMMYFUNCTION("""COMPUTED_VALUE"""),"Website")</f>
        <v>Website</v>
      </c>
      <c r="F41" s="14" t="str">
        <f>IFERROR(__xludf.DUMMYFUNCTION("""COMPUTED_VALUE"""),"Gagal")</f>
        <v>Gagal</v>
      </c>
      <c r="G41" s="15" t="str">
        <f>IFERROR(__xludf.DUMMYFUNCTION("""COMPUTED_VALUE"""),"2H1M")</f>
        <v>2H1M</v>
      </c>
      <c r="H41" s="26"/>
      <c r="I41" s="27"/>
      <c r="J41" s="28"/>
      <c r="K41" s="36"/>
      <c r="L41" s="23"/>
      <c r="M41" s="20"/>
      <c r="N41" s="20"/>
      <c r="O41" s="20"/>
      <c r="P41" s="20"/>
    </row>
    <row r="42">
      <c r="A42" s="11">
        <f>IFERROR(__xludf.DUMMYFUNCTION("""COMPUTED_VALUE"""),46044.0)</f>
        <v>46044</v>
      </c>
      <c r="B42" s="12" t="str">
        <f>IFERROR(__xludf.DUMMYFUNCTION("""COMPUTED_VALUE"""),"2601A040")</f>
        <v>2601A040</v>
      </c>
      <c r="C42" s="10" t="str">
        <f>IFERROR(__xludf.DUMMYFUNCTION("""COMPUTED_VALUE"""),"Fida")</f>
        <v>Fida</v>
      </c>
      <c r="D42" s="13" t="str">
        <f>IFERROR(__xludf.DUMMYFUNCTION("""COMPUTED_VALUE"""),"085869776991")</f>
        <v>085869776991</v>
      </c>
      <c r="E42" s="14" t="str">
        <f>IFERROR(__xludf.DUMMYFUNCTION("""COMPUTED_VALUE"""),"Website")</f>
        <v>Website</v>
      </c>
      <c r="F42" s="14" t="str">
        <f>IFERROR(__xludf.DUMMYFUNCTION("""COMPUTED_VALUE"""),"Gagal")</f>
        <v>Gagal</v>
      </c>
      <c r="G42" s="25" t="str">
        <f>IFERROR(__xludf.DUMMYFUNCTION("""COMPUTED_VALUE"""),"3H2M")</f>
        <v>3H2M</v>
      </c>
      <c r="H42" s="16"/>
      <c r="I42" s="17"/>
      <c r="J42" s="18"/>
      <c r="K42" s="19" t="str">
        <f>IFERROR(__xludf.DUMMYFUNCTION("""COMPUTED_VALUE"""),"tanya tanya")</f>
        <v>tanya tanya</v>
      </c>
      <c r="L42" s="76"/>
      <c r="M42" s="20"/>
      <c r="N42" s="20"/>
      <c r="O42" s="20"/>
      <c r="P42" s="20"/>
    </row>
    <row r="43">
      <c r="A43" s="21">
        <f>IFERROR(__xludf.DUMMYFUNCTION("""COMPUTED_VALUE"""),45969.0)</f>
        <v>45969</v>
      </c>
      <c r="B43" s="22" t="str">
        <f>IFERROR(__xludf.DUMMYFUNCTION("""COMPUTED_VALUE"""),"2511A001")</f>
        <v>2511A001</v>
      </c>
      <c r="C43" s="23" t="str">
        <f>IFERROR(__xludf.DUMMYFUNCTION("""COMPUTED_VALUE"""),"Andika")</f>
        <v>Andika</v>
      </c>
      <c r="D43" s="24" t="str">
        <f>IFERROR(__xludf.DUMMYFUNCTION("""COMPUTED_VALUE"""),"082226664141")</f>
        <v>082226664141</v>
      </c>
      <c r="E43" s="14" t="str">
        <f>IFERROR(__xludf.DUMMYFUNCTION("""COMPUTED_VALUE"""),"Website")</f>
        <v>Website</v>
      </c>
      <c r="F43" s="14" t="str">
        <f>IFERROR(__xludf.DUMMYFUNCTION("""COMPUTED_VALUE"""),"Closing")</f>
        <v>Closing</v>
      </c>
      <c r="G43" s="14" t="str">
        <f>IFERROR(__xludf.DUMMYFUNCTION("""COMPUTED_VALUE"""),"Private Trip 3H2M Opsi A")</f>
        <v>Private Trip 3H2M Opsi A</v>
      </c>
      <c r="H43" s="26"/>
      <c r="I43" s="27">
        <f>IFERROR(__xludf.DUMMYFUNCTION("""COMPUTED_VALUE"""),6.0)</f>
        <v>6</v>
      </c>
      <c r="J43" s="28">
        <f>IFERROR(__xludf.DUMMYFUNCTION("""COMPUTED_VALUE"""),1.3638E7)</f>
        <v>13638000</v>
      </c>
      <c r="K43" s="30" t="str">
        <f>IFERROR(__xludf.DUMMYFUNCTION("""COMPUTED_VALUE"""),"order")</f>
        <v>order</v>
      </c>
      <c r="L43" s="23"/>
      <c r="M43" s="20"/>
      <c r="N43" s="20"/>
      <c r="O43" s="20"/>
      <c r="P43" s="20"/>
    </row>
    <row r="44">
      <c r="A44" s="11">
        <f>IFERROR(__xludf.DUMMYFUNCTION("""COMPUTED_VALUE"""),46021.0)</f>
        <v>46021</v>
      </c>
      <c r="B44" s="12" t="str">
        <f>IFERROR(__xludf.DUMMYFUNCTION("""COMPUTED_VALUE"""),"2512A002")</f>
        <v>2512A002</v>
      </c>
      <c r="C44" s="10" t="str">
        <f>IFERROR(__xludf.DUMMYFUNCTION("""COMPUTED_VALUE"""),"Kiky Rizkiyah")</f>
        <v>Kiky Rizkiyah</v>
      </c>
      <c r="D44" s="13" t="str">
        <f>IFERROR(__xludf.DUMMYFUNCTION("""COMPUTED_VALUE"""),"08123045710")</f>
        <v>08123045710</v>
      </c>
      <c r="E44" s="14" t="str">
        <f>IFERROR(__xludf.DUMMYFUNCTION("""COMPUTED_VALUE"""),"Website")</f>
        <v>Website</v>
      </c>
      <c r="F44" s="14" t="str">
        <f>IFERROR(__xludf.DUMMYFUNCTION("""COMPUTED_VALUE"""),"Closing")</f>
        <v>Closing</v>
      </c>
      <c r="G44" s="25" t="str">
        <f>IFERROR(__xludf.DUMMYFUNCTION("""COMPUTED_VALUE"""),"Private Trip 2H1M Custom")</f>
        <v>Private Trip 2H1M Custom</v>
      </c>
      <c r="H44" s="16"/>
      <c r="I44" s="17"/>
      <c r="J44" s="54">
        <f>IFERROR(__xludf.DUMMYFUNCTION("""COMPUTED_VALUE"""),7000000.0)</f>
        <v>7000000</v>
      </c>
      <c r="K44" s="19" t="str">
        <f>IFERROR(__xludf.DUMMYFUNCTION("""COMPUTED_VALUE"""),"order")</f>
        <v>order</v>
      </c>
      <c r="L44" s="76"/>
      <c r="M44" s="20"/>
      <c r="N44" s="20"/>
      <c r="O44" s="20"/>
      <c r="P44" s="20"/>
    </row>
    <row r="45">
      <c r="A45" s="21">
        <f>IFERROR(__xludf.DUMMYFUNCTION("""COMPUTED_VALUE"""),46044.0)</f>
        <v>46044</v>
      </c>
      <c r="B45" s="22" t="str">
        <f>IFERROR(__xludf.DUMMYFUNCTION("""COMPUTED_VALUE"""),"2601A041")</f>
        <v>2601A041</v>
      </c>
      <c r="C45" s="23" t="str">
        <f>IFERROR(__xludf.DUMMYFUNCTION("""COMPUTED_VALUE"""),"Pras bayu")</f>
        <v>Pras bayu</v>
      </c>
      <c r="D45" s="24" t="str">
        <f>IFERROR(__xludf.DUMMYFUNCTION("""COMPUTED_VALUE"""),"08976412063")</f>
        <v>08976412063</v>
      </c>
      <c r="E45" s="14" t="str">
        <f>IFERROR(__xludf.DUMMYFUNCTION("""COMPUTED_VALUE"""),"Website")</f>
        <v>Website</v>
      </c>
      <c r="F45" s="14" t="str">
        <f>IFERROR(__xludf.DUMMYFUNCTION("""COMPUTED_VALUE"""),"Gagal")</f>
        <v>Gagal</v>
      </c>
      <c r="G45" s="14" t="str">
        <f>IFERROR(__xludf.DUMMYFUNCTION("""COMPUTED_VALUE"""),"Tanya tanya")</f>
        <v>Tanya tanya</v>
      </c>
      <c r="H45" s="26"/>
      <c r="I45" s="27"/>
      <c r="J45" s="33"/>
      <c r="K45" s="30" t="str">
        <f>IFERROR(__xludf.DUMMYFUNCTION("""COMPUTED_VALUE"""),"mencari driver")</f>
        <v>mencari driver</v>
      </c>
      <c r="L45" s="23"/>
      <c r="M45" s="20"/>
      <c r="N45" s="20"/>
      <c r="O45" s="20"/>
      <c r="P45" s="20"/>
    </row>
    <row r="46">
      <c r="A46" s="11">
        <f>IFERROR(__xludf.DUMMYFUNCTION("""COMPUTED_VALUE"""),46044.0)</f>
        <v>46044</v>
      </c>
      <c r="B46" s="12" t="str">
        <f>IFERROR(__xludf.DUMMYFUNCTION("""COMPUTED_VALUE"""),"2601A042")</f>
        <v>2601A042</v>
      </c>
      <c r="C46" s="10" t="str">
        <f>IFERROR(__xludf.DUMMYFUNCTION("""COMPUTED_VALUE"""),"85664690787")</f>
        <v>85664690787</v>
      </c>
      <c r="D46" s="13" t="str">
        <f>IFERROR(__xludf.DUMMYFUNCTION("""COMPUTED_VALUE"""),"085664690787")</f>
        <v>085664690787</v>
      </c>
      <c r="E46" s="14" t="str">
        <f>IFERROR(__xludf.DUMMYFUNCTION("""COMPUTED_VALUE"""),"Website")</f>
        <v>Website</v>
      </c>
      <c r="F46" s="14" t="str">
        <f>IFERROR(__xludf.DUMMYFUNCTION("""COMPUTED_VALUE"""),"Gagal")</f>
        <v>Gagal</v>
      </c>
      <c r="G46" s="14"/>
      <c r="H46" s="16"/>
      <c r="I46" s="17"/>
      <c r="J46" s="18"/>
      <c r="K46" s="46" t="str">
        <f>IFERROR(__xludf.DUMMYFUNCTION("""COMPUTED_VALUE"""),"idak ada respon")</f>
        <v>idak ada respon</v>
      </c>
      <c r="L46" s="10"/>
      <c r="M46" s="20"/>
      <c r="N46" s="20"/>
      <c r="O46" s="20"/>
      <c r="P46" s="20"/>
    </row>
    <row r="47">
      <c r="A47" s="21">
        <f>IFERROR(__xludf.DUMMYFUNCTION("""COMPUTED_VALUE"""),46045.0)</f>
        <v>46045</v>
      </c>
      <c r="B47" s="22" t="str">
        <f>IFERROR(__xludf.DUMMYFUNCTION("""COMPUTED_VALUE"""),"2601A043")</f>
        <v>2601A043</v>
      </c>
      <c r="C47" s="23" t="str">
        <f>IFERROR(__xludf.DUMMYFUNCTION("""COMPUTED_VALUE"""),"Farras")</f>
        <v>Farras</v>
      </c>
      <c r="D47" s="24" t="str">
        <f>IFERROR(__xludf.DUMMYFUNCTION("""COMPUTED_VALUE"""),"082326313343")</f>
        <v>082326313343</v>
      </c>
      <c r="E47" s="14" t="str">
        <f>IFERROR(__xludf.DUMMYFUNCTION("""COMPUTED_VALUE"""),"Website")</f>
        <v>Website</v>
      </c>
      <c r="F47" s="14" t="str">
        <f>IFERROR(__xludf.DUMMYFUNCTION("""COMPUTED_VALUE"""),"Gagal")</f>
        <v>Gagal</v>
      </c>
      <c r="G47" s="15" t="str">
        <f>IFERROR(__xludf.DUMMYFUNCTION("""COMPUTED_VALUE"""),"4H3M")</f>
        <v>4H3M</v>
      </c>
      <c r="H47" s="26">
        <f>IFERROR(__xludf.DUMMYFUNCTION("""COMPUTED_VALUE"""),46048.0)</f>
        <v>46048</v>
      </c>
      <c r="I47" s="27">
        <f>IFERROR(__xludf.DUMMYFUNCTION("""COMPUTED_VALUE"""),2.0)</f>
        <v>2</v>
      </c>
      <c r="J47" s="28"/>
      <c r="K47" s="30" t="str">
        <f>IFERROR(__xludf.DUMMYFUNCTION("""COMPUTED_VALUE"""),"belum cocok waktu")</f>
        <v>belum cocok waktu</v>
      </c>
      <c r="L47" s="49"/>
      <c r="M47" s="20"/>
      <c r="N47" s="20"/>
      <c r="O47" s="20"/>
      <c r="P47" s="20"/>
    </row>
    <row r="48">
      <c r="A48" s="11">
        <f>IFERROR(__xludf.DUMMYFUNCTION("""COMPUTED_VALUE"""),46045.0)</f>
        <v>46045</v>
      </c>
      <c r="B48" s="12" t="str">
        <f>IFERROR(__xludf.DUMMYFUNCTION("""COMPUTED_VALUE"""),"2601A044")</f>
        <v>2601A044</v>
      </c>
      <c r="C48" s="10" t="str">
        <f>IFERROR(__xludf.DUMMYFUNCTION("""COMPUTED_VALUE"""),"Rosta")</f>
        <v>Rosta</v>
      </c>
      <c r="D48" s="13" t="str">
        <f>IFERROR(__xludf.DUMMYFUNCTION("""COMPUTED_VALUE"""),"081382731664")</f>
        <v>081382731664</v>
      </c>
      <c r="E48" s="14" t="str">
        <f>IFERROR(__xludf.DUMMYFUNCTION("""COMPUTED_VALUE"""),"Website")</f>
        <v>Website</v>
      </c>
      <c r="F48" s="14" t="str">
        <f>IFERROR(__xludf.DUMMYFUNCTION("""COMPUTED_VALUE"""),"Gagal")</f>
        <v>Gagal</v>
      </c>
      <c r="G48" s="15" t="str">
        <f>IFERROR(__xludf.DUMMYFUNCTION("""COMPUTED_VALUE"""),"3H2M Custom")</f>
        <v>3H2M Custom</v>
      </c>
      <c r="H48" s="16"/>
      <c r="I48" s="17">
        <f>IFERROR(__xludf.DUMMYFUNCTION("""COMPUTED_VALUE"""),60.0)</f>
        <v>60</v>
      </c>
      <c r="J48" s="18">
        <f>IFERROR(__xludf.DUMMYFUNCTION("""COMPUTED_VALUE"""),1.5E8)</f>
        <v>150000000</v>
      </c>
      <c r="K48" s="19" t="str">
        <f>IFERROR(__xludf.DUMMYFUNCTION("""COMPUTED_VALUE"""),"gaada balasan lagi")</f>
        <v>gaada balasan lagi</v>
      </c>
      <c r="L48" s="76"/>
      <c r="M48" s="20"/>
      <c r="N48" s="20"/>
      <c r="O48" s="20"/>
      <c r="P48" s="20"/>
    </row>
    <row r="49">
      <c r="A49" s="21">
        <f>IFERROR(__xludf.DUMMYFUNCTION("""COMPUTED_VALUE"""),46045.0)</f>
        <v>46045</v>
      </c>
      <c r="B49" s="22" t="str">
        <f>IFERROR(__xludf.DUMMYFUNCTION("""COMPUTED_VALUE"""),"2601A045")</f>
        <v>2601A045</v>
      </c>
      <c r="C49" s="23" t="str">
        <f>IFERROR(__xludf.DUMMYFUNCTION("""COMPUTED_VALUE"""),"Yetty")</f>
        <v>Yetty</v>
      </c>
      <c r="D49" s="24" t="str">
        <f>IFERROR(__xludf.DUMMYFUNCTION("""COMPUTED_VALUE"""),"081910011543")</f>
        <v>081910011543</v>
      </c>
      <c r="E49" s="14" t="str">
        <f>IFERROR(__xludf.DUMMYFUNCTION("""COMPUTED_VALUE"""),"Website")</f>
        <v>Website</v>
      </c>
      <c r="F49" s="14" t="str">
        <f>IFERROR(__xludf.DUMMYFUNCTION("""COMPUTED_VALUE"""),"Gagal")</f>
        <v>Gagal</v>
      </c>
      <c r="G49" s="14" t="str">
        <f>IFERROR(__xludf.DUMMYFUNCTION("""COMPUTED_VALUE"""),"Trip Ijen")</f>
        <v>Trip Ijen</v>
      </c>
      <c r="H49" s="26"/>
      <c r="I49" s="27">
        <f>IFERROR(__xludf.DUMMYFUNCTION("""COMPUTED_VALUE"""),6.0)</f>
        <v>6</v>
      </c>
      <c r="J49" s="28"/>
      <c r="K49" s="30" t="str">
        <f>IFERROR(__xludf.DUMMYFUNCTION("""COMPUTED_VALUE"""),"mau di rundingkan dulu")</f>
        <v>mau di rundingkan dulu</v>
      </c>
      <c r="L49" s="23"/>
      <c r="M49" s="20"/>
      <c r="N49" s="20"/>
      <c r="O49" s="20"/>
      <c r="P49" s="20"/>
    </row>
    <row r="50">
      <c r="A50" s="11">
        <f>IFERROR(__xludf.DUMMYFUNCTION("""COMPUTED_VALUE"""),46046.0)</f>
        <v>46046</v>
      </c>
      <c r="B50" s="12" t="str">
        <f>IFERROR(__xludf.DUMMYFUNCTION("""COMPUTED_VALUE"""),"2601A046")</f>
        <v>2601A046</v>
      </c>
      <c r="C50" s="10" t="str">
        <f>IFERROR(__xludf.DUMMYFUNCTION("""COMPUTED_VALUE"""),"A Sudibyo")</f>
        <v>A Sudibyo</v>
      </c>
      <c r="D50" s="13" t="str">
        <f>IFERROR(__xludf.DUMMYFUNCTION("""COMPUTED_VALUE"""),"085102704611")</f>
        <v>085102704611</v>
      </c>
      <c r="E50" s="14" t="str">
        <f>IFERROR(__xludf.DUMMYFUNCTION("""COMPUTED_VALUE"""),"Website")</f>
        <v>Website</v>
      </c>
      <c r="F50" s="14" t="str">
        <f>IFERROR(__xludf.DUMMYFUNCTION("""COMPUTED_VALUE"""),"Gagal")</f>
        <v>Gagal</v>
      </c>
      <c r="G50" s="14" t="str">
        <f>IFERROR(__xludf.DUMMYFUNCTION("""COMPUTED_VALUE"""),"OT Djawatan")</f>
        <v>OT Djawatan</v>
      </c>
      <c r="H50" s="16"/>
      <c r="I50" s="17">
        <f>IFERROR(__xludf.DUMMYFUNCTION("""COMPUTED_VALUE"""),2.0)</f>
        <v>2</v>
      </c>
      <c r="J50" s="54">
        <f>IFERROR(__xludf.DUMMYFUNCTION("""COMPUTED_VALUE"""),1100000.0)</f>
        <v>1100000</v>
      </c>
      <c r="K50" s="19" t="str">
        <f>IFERROR(__xludf.DUMMYFUNCTION("""COMPUTED_VALUE"""),"masih ditunda")</f>
        <v>masih ditunda</v>
      </c>
      <c r="L50" s="76"/>
      <c r="M50" s="20"/>
      <c r="N50" s="20"/>
      <c r="O50" s="20"/>
      <c r="P50" s="20"/>
    </row>
    <row r="51">
      <c r="A51" s="21">
        <f>IFERROR(__xludf.DUMMYFUNCTION("""COMPUTED_VALUE"""),46046.0)</f>
        <v>46046</v>
      </c>
      <c r="B51" s="22" t="str">
        <f>IFERROR(__xludf.DUMMYFUNCTION("""COMPUTED_VALUE"""),"2601A047")</f>
        <v>2601A047</v>
      </c>
      <c r="C51" s="23" t="str">
        <f>IFERROR(__xludf.DUMMYFUNCTION("""COMPUTED_VALUE"""),"Selvy")</f>
        <v>Selvy</v>
      </c>
      <c r="D51" s="24" t="str">
        <f>IFERROR(__xludf.DUMMYFUNCTION("""COMPUTED_VALUE"""),"0811595446")</f>
        <v>0811595446</v>
      </c>
      <c r="E51" s="14" t="str">
        <f>IFERROR(__xludf.DUMMYFUNCTION("""COMPUTED_VALUE"""),"Website")</f>
        <v>Website</v>
      </c>
      <c r="F51" s="14" t="str">
        <f>IFERROR(__xludf.DUMMYFUNCTION("""COMPUTED_VALUE"""),"Gagal")</f>
        <v>Gagal</v>
      </c>
      <c r="G51" s="14"/>
      <c r="H51" s="26"/>
      <c r="I51" s="27"/>
      <c r="J51" s="33"/>
      <c r="K51" s="36" t="str">
        <f>IFERROR(__xludf.DUMMYFUNCTION("""COMPUTED_VALUE"""),"tidak ada respon")</f>
        <v>tidak ada respon</v>
      </c>
      <c r="L51" s="49"/>
      <c r="M51" s="20"/>
      <c r="N51" s="20"/>
      <c r="O51" s="20"/>
      <c r="P51" s="20"/>
    </row>
    <row r="52">
      <c r="A52" s="11">
        <f>IFERROR(__xludf.DUMMYFUNCTION("""COMPUTED_VALUE"""),46046.0)</f>
        <v>46046</v>
      </c>
      <c r="B52" s="12" t="str">
        <f>IFERROR(__xludf.DUMMYFUNCTION("""COMPUTED_VALUE"""),"2601A048")</f>
        <v>2601A048</v>
      </c>
      <c r="C52" s="10" t="str">
        <f>IFERROR(__xludf.DUMMYFUNCTION("""COMPUTED_VALUE"""),"Des")</f>
        <v>Des</v>
      </c>
      <c r="D52" s="13" t="str">
        <f>IFERROR(__xludf.DUMMYFUNCTION("""COMPUTED_VALUE"""),"085314764695")</f>
        <v>085314764695</v>
      </c>
      <c r="E52" s="14" t="str">
        <f>IFERROR(__xludf.DUMMYFUNCTION("""COMPUTED_VALUE"""),"Website")</f>
        <v>Website</v>
      </c>
      <c r="F52" s="14" t="str">
        <f>IFERROR(__xludf.DUMMYFUNCTION("""COMPUTED_VALUE"""),"Gagal")</f>
        <v>Gagal</v>
      </c>
      <c r="G52" s="14" t="str">
        <f>IFERROR(__xludf.DUMMYFUNCTION("""COMPUTED_VALUE"""),"3H2M")</f>
        <v>3H2M</v>
      </c>
      <c r="H52" s="16"/>
      <c r="I52" s="17">
        <f>IFERROR(__xludf.DUMMYFUNCTION("""COMPUTED_VALUE"""),1.0)</f>
        <v>1</v>
      </c>
      <c r="J52" s="18"/>
      <c r="K52" s="46" t="str">
        <f>IFERROR(__xludf.DUMMYFUNCTION("""COMPUTED_VALUE"""),"tidak ada respon")</f>
        <v>tidak ada respon</v>
      </c>
      <c r="L52" s="10"/>
      <c r="M52" s="20"/>
      <c r="N52" s="20"/>
      <c r="O52" s="20"/>
      <c r="P52" s="20"/>
    </row>
    <row r="53">
      <c r="A53" s="21">
        <f>IFERROR(__xludf.DUMMYFUNCTION("""COMPUTED_VALUE"""),46046.0)</f>
        <v>46046</v>
      </c>
      <c r="B53" s="22" t="str">
        <f>IFERROR(__xludf.DUMMYFUNCTION("""COMPUTED_VALUE"""),"2601A049")</f>
        <v>2601A049</v>
      </c>
      <c r="C53" s="23" t="str">
        <f>IFERROR(__xludf.DUMMYFUNCTION("""COMPUTED_VALUE"""),"Debyo")</f>
        <v>Debyo</v>
      </c>
      <c r="D53" s="24" t="str">
        <f>IFERROR(__xludf.DUMMYFUNCTION("""COMPUTED_VALUE"""),"085643660340")</f>
        <v>085643660340</v>
      </c>
      <c r="E53" s="14" t="str">
        <f>IFERROR(__xludf.DUMMYFUNCTION("""COMPUTED_VALUE"""),"Website")</f>
        <v>Website</v>
      </c>
      <c r="F53" s="14" t="str">
        <f>IFERROR(__xludf.DUMMYFUNCTION("""COMPUTED_VALUE"""),"Gagal")</f>
        <v>Gagal</v>
      </c>
      <c r="G53" s="15" t="str">
        <f>IFERROR(__xludf.DUMMYFUNCTION("""COMPUTED_VALUE"""),"4H3M")</f>
        <v>4H3M</v>
      </c>
      <c r="H53" s="26"/>
      <c r="I53" s="27">
        <f>IFERROR(__xludf.DUMMYFUNCTION("""COMPUTED_VALUE"""),80.0)</f>
        <v>80</v>
      </c>
      <c r="J53" s="28">
        <f>IFERROR(__xludf.DUMMYFUNCTION("""COMPUTED_VALUE"""),2.12E8)</f>
        <v>212000000</v>
      </c>
      <c r="K53" s="36" t="str">
        <f>IFERROR(__xludf.DUMMYFUNCTION("""COMPUTED_VALUE"""),"tidak balas lagi")</f>
        <v>tidak balas lagi</v>
      </c>
      <c r="L53" s="49"/>
      <c r="M53" s="20"/>
      <c r="N53" s="20"/>
      <c r="O53" s="20"/>
      <c r="P53" s="20"/>
    </row>
    <row r="54">
      <c r="A54" s="11">
        <f>IFERROR(__xludf.DUMMYFUNCTION("""COMPUTED_VALUE"""),46047.0)</f>
        <v>46047</v>
      </c>
      <c r="B54" s="12" t="str">
        <f>IFERROR(__xludf.DUMMYFUNCTION("""COMPUTED_VALUE"""),"2601A050")</f>
        <v>2601A050</v>
      </c>
      <c r="C54" s="10" t="str">
        <f>IFERROR(__xludf.DUMMYFUNCTION("""COMPUTED_VALUE"""),"Eka")</f>
        <v>Eka</v>
      </c>
      <c r="D54" s="13" t="str">
        <f>IFERROR(__xludf.DUMMYFUNCTION("""COMPUTED_VALUE"""),"08112913613")</f>
        <v>08112913613</v>
      </c>
      <c r="E54" s="14" t="str">
        <f>IFERROR(__xludf.DUMMYFUNCTION("""COMPUTED_VALUE"""),"Website")</f>
        <v>Website</v>
      </c>
      <c r="F54" s="14" t="str">
        <f>IFERROR(__xludf.DUMMYFUNCTION("""COMPUTED_VALUE"""),"Gagal")</f>
        <v>Gagal</v>
      </c>
      <c r="G54" s="15" t="str">
        <f>IFERROR(__xludf.DUMMYFUNCTION("""COMPUTED_VALUE""")," 3H2M Opsi A")</f>
        <v> 3H2M Opsi A</v>
      </c>
      <c r="H54" s="16"/>
      <c r="I54" s="17">
        <f>IFERROR(__xludf.DUMMYFUNCTION("""COMPUTED_VALUE"""),9.0)</f>
        <v>9</v>
      </c>
      <c r="J54" s="18">
        <f>IFERROR(__xludf.DUMMYFUNCTION("""COMPUTED_VALUE"""),1.1043E7)</f>
        <v>11043000</v>
      </c>
      <c r="K54" s="19" t="str">
        <f>IFERROR(__xludf.DUMMYFUNCTION("""COMPUTED_VALUE"""),"gada balasan")</f>
        <v>gada balasan</v>
      </c>
      <c r="L54" s="76"/>
      <c r="M54" s="20"/>
      <c r="N54" s="20"/>
      <c r="O54" s="20"/>
      <c r="P54" s="20"/>
    </row>
    <row r="55">
      <c r="A55" s="21">
        <f>IFERROR(__xludf.DUMMYFUNCTION("""COMPUTED_VALUE"""),46047.0)</f>
        <v>46047</v>
      </c>
      <c r="B55" s="22" t="str">
        <f>IFERROR(__xludf.DUMMYFUNCTION("""COMPUTED_VALUE"""),"2601A051")</f>
        <v>2601A051</v>
      </c>
      <c r="C55" s="23" t="str">
        <f>IFERROR(__xludf.DUMMYFUNCTION("""COMPUTED_VALUE"""),"Cynn")</f>
        <v>Cynn</v>
      </c>
      <c r="D55" s="24" t="str">
        <f>IFERROR(__xludf.DUMMYFUNCTION("""COMPUTED_VALUE"""),"081227870375")</f>
        <v>081227870375</v>
      </c>
      <c r="E55" s="14" t="str">
        <f>IFERROR(__xludf.DUMMYFUNCTION("""COMPUTED_VALUE"""),"Website")</f>
        <v>Website</v>
      </c>
      <c r="F55" s="14" t="str">
        <f>IFERROR(__xludf.DUMMYFUNCTION("""COMPUTED_VALUE"""),"Gagal")</f>
        <v>Gagal</v>
      </c>
      <c r="G55" s="15" t="str">
        <f>IFERROR(__xludf.DUMMYFUNCTION("""COMPUTED_VALUE"""),"OT I, B")</f>
        <v>OT I, B</v>
      </c>
      <c r="H55" s="26"/>
      <c r="I55" s="27">
        <f>IFERROR(__xludf.DUMMYFUNCTION("""COMPUTED_VALUE"""),2.0)</f>
        <v>2</v>
      </c>
      <c r="J55" s="28"/>
      <c r="K55" s="30" t="str">
        <f>IFERROR(__xludf.DUMMYFUNCTION("""COMPUTED_VALUE"""),"tanya tanya")</f>
        <v>tanya tanya</v>
      </c>
      <c r="L55" s="23"/>
      <c r="M55" s="20"/>
      <c r="N55" s="20"/>
      <c r="O55" s="20"/>
      <c r="P55" s="20"/>
    </row>
    <row r="56">
      <c r="A56" s="11">
        <f>IFERROR(__xludf.DUMMYFUNCTION("""COMPUTED_VALUE"""),46048.0)</f>
        <v>46048</v>
      </c>
      <c r="B56" s="12" t="str">
        <f>IFERROR(__xludf.DUMMYFUNCTION("""COMPUTED_VALUE"""),"2601A052")</f>
        <v>2601A052</v>
      </c>
      <c r="C56" s="10" t="str">
        <f>IFERROR(__xludf.DUMMYFUNCTION("""COMPUTED_VALUE"""),"Syahnindita")</f>
        <v>Syahnindita</v>
      </c>
      <c r="D56" s="13" t="str">
        <f>IFERROR(__xludf.DUMMYFUNCTION("""COMPUTED_VALUE"""),"081938890390")</f>
        <v>081938890390</v>
      </c>
      <c r="E56" s="14" t="str">
        <f>IFERROR(__xludf.DUMMYFUNCTION("""COMPUTED_VALUE"""),"Website")</f>
        <v>Website</v>
      </c>
      <c r="F56" s="14" t="str">
        <f>IFERROR(__xludf.DUMMYFUNCTION("""COMPUTED_VALUE"""),"Gagal")</f>
        <v>Gagal</v>
      </c>
      <c r="G56" s="25" t="str">
        <f>IFERROR(__xludf.DUMMYFUNCTION("""COMPUTED_VALUE"""),"3H2M Custom")</f>
        <v>3H2M Custom</v>
      </c>
      <c r="H56" s="16"/>
      <c r="I56" s="80">
        <f>IFERROR(__xludf.DUMMYFUNCTION("""COMPUTED_VALUE"""),7.0)</f>
        <v>7</v>
      </c>
      <c r="J56" s="18">
        <f>IFERROR(__xludf.DUMMYFUNCTION("""COMPUTED_VALUE"""),2.4661E7)</f>
        <v>24661000</v>
      </c>
      <c r="K56" s="46" t="str">
        <f>IFERROR(__xludf.DUMMYFUNCTION("""COMPUTED_VALUE"""),"gadapat cuti, next mungkin dihubungi lagi")</f>
        <v>gadapat cuti, next mungkin dihubungi lagi</v>
      </c>
      <c r="L56" s="10"/>
      <c r="M56" s="20"/>
      <c r="N56" s="20"/>
      <c r="O56" s="20"/>
      <c r="P56" s="20"/>
    </row>
    <row r="57">
      <c r="A57" s="21">
        <f>IFERROR(__xludf.DUMMYFUNCTION("""COMPUTED_VALUE"""),46048.0)</f>
        <v>46048</v>
      </c>
      <c r="B57" s="22" t="str">
        <f>IFERROR(__xludf.DUMMYFUNCTION("""COMPUTED_VALUE"""),"2601A053")</f>
        <v>2601A053</v>
      </c>
      <c r="C57" s="23" t="str">
        <f>IFERROR(__xludf.DUMMYFUNCTION("""COMPUTED_VALUE"""),"Rasti")</f>
        <v>Rasti</v>
      </c>
      <c r="D57" s="24" t="str">
        <f>IFERROR(__xludf.DUMMYFUNCTION("""COMPUTED_VALUE"""),"085333556995")</f>
        <v>085333556995</v>
      </c>
      <c r="E57" s="14" t="str">
        <f>IFERROR(__xludf.DUMMYFUNCTION("""COMPUTED_VALUE"""),"Website")</f>
        <v>Website</v>
      </c>
      <c r="F57" s="14" t="str">
        <f>IFERROR(__xludf.DUMMYFUNCTION("""COMPUTED_VALUE"""),"Gagal")</f>
        <v>Gagal</v>
      </c>
      <c r="G57" s="15"/>
      <c r="H57" s="26"/>
      <c r="I57" s="27"/>
      <c r="J57" s="33"/>
      <c r="K57" s="36" t="str">
        <f>IFERROR(__xludf.DUMMYFUNCTION("""COMPUTED_VALUE"""),"tidak ada respon")</f>
        <v>tidak ada respon</v>
      </c>
      <c r="L57" s="49"/>
      <c r="M57" s="20"/>
      <c r="N57" s="20"/>
      <c r="O57" s="20"/>
      <c r="P57" s="20"/>
    </row>
    <row r="58">
      <c r="A58" s="11">
        <f>IFERROR(__xludf.DUMMYFUNCTION("""COMPUTED_VALUE"""),46048.0)</f>
        <v>46048</v>
      </c>
      <c r="B58" s="12" t="str">
        <f>IFERROR(__xludf.DUMMYFUNCTION("""COMPUTED_VALUE"""),"2601A054")</f>
        <v>2601A054</v>
      </c>
      <c r="C58" s="10" t="str">
        <f>IFERROR(__xludf.DUMMYFUNCTION("""COMPUTED_VALUE"""),"Sendi")</f>
        <v>Sendi</v>
      </c>
      <c r="D58" s="13" t="str">
        <f>IFERROR(__xludf.DUMMYFUNCTION("""COMPUTED_VALUE"""),"082244942939")</f>
        <v>082244942939</v>
      </c>
      <c r="E58" s="14" t="str">
        <f>IFERROR(__xludf.DUMMYFUNCTION("""COMPUTED_VALUE"""),"Website")</f>
        <v>Website</v>
      </c>
      <c r="F58" s="14" t="str">
        <f>IFERROR(__xludf.DUMMYFUNCTION("""COMPUTED_VALUE"""),"Gagal")</f>
        <v>Gagal</v>
      </c>
      <c r="G58" s="15" t="str">
        <f>IFERROR(__xludf.DUMMYFUNCTION("""COMPUTED_VALUE"""),"Trip Djawatan Baluran")</f>
        <v>Trip Djawatan Baluran</v>
      </c>
      <c r="H58" s="16"/>
      <c r="I58" s="17">
        <f>IFERROR(__xludf.DUMMYFUNCTION("""COMPUTED_VALUE"""),4.0)</f>
        <v>4</v>
      </c>
      <c r="J58" s="18"/>
      <c r="K58" s="19" t="str">
        <f>IFERROR(__xludf.DUMMYFUNCTION("""COMPUTED_VALUE"""),"belum tertarik")</f>
        <v>belum tertarik</v>
      </c>
      <c r="L58" s="76"/>
      <c r="M58" s="20"/>
      <c r="N58" s="20"/>
      <c r="O58" s="20"/>
      <c r="P58" s="20"/>
    </row>
    <row r="59">
      <c r="A59" s="21">
        <f>IFERROR(__xludf.DUMMYFUNCTION("""COMPUTED_VALUE"""),46048.0)</f>
        <v>46048</v>
      </c>
      <c r="B59" s="22" t="str">
        <f>IFERROR(__xludf.DUMMYFUNCTION("""COMPUTED_VALUE"""),"2601A055")</f>
        <v>2601A055</v>
      </c>
      <c r="C59" s="23" t="str">
        <f>IFERROR(__xludf.DUMMYFUNCTION("""COMPUTED_VALUE"""),"Hendro")</f>
        <v>Hendro</v>
      </c>
      <c r="D59" s="24" t="str">
        <f>IFERROR(__xludf.DUMMYFUNCTION("""COMPUTED_VALUE"""),"081918004080")</f>
        <v>081918004080</v>
      </c>
      <c r="E59" s="14" t="str">
        <f>IFERROR(__xludf.DUMMYFUNCTION("""COMPUTED_VALUE"""),"Website")</f>
        <v>Website</v>
      </c>
      <c r="F59" s="14" t="str">
        <f>IFERROR(__xludf.DUMMYFUNCTION("""COMPUTED_VALUE"""),"Gagal")</f>
        <v>Gagal</v>
      </c>
      <c r="G59" s="14" t="str">
        <f>IFERROR(__xludf.DUMMYFUNCTION("""COMPUTED_VALUE"""),"Trip Djawatan Baluran")</f>
        <v>Trip Djawatan Baluran</v>
      </c>
      <c r="H59" s="26"/>
      <c r="I59" s="27">
        <f>IFERROR(__xludf.DUMMYFUNCTION("""COMPUTED_VALUE"""),2.0)</f>
        <v>2</v>
      </c>
      <c r="J59" s="28"/>
      <c r="K59" s="30" t="str">
        <f>IFERROR(__xludf.DUMMYFUNCTION("""COMPUTED_VALUE"""),"tidak ada respon")</f>
        <v>tidak ada respon</v>
      </c>
      <c r="L59" s="23"/>
      <c r="M59" s="20"/>
      <c r="N59" s="20"/>
      <c r="O59" s="20"/>
      <c r="P59" s="20"/>
    </row>
    <row r="60">
      <c r="A60" s="11">
        <f>IFERROR(__xludf.DUMMYFUNCTION("""COMPUTED_VALUE"""),46049.0)</f>
        <v>46049</v>
      </c>
      <c r="B60" s="12" t="str">
        <f>IFERROR(__xludf.DUMMYFUNCTION("""COMPUTED_VALUE"""),"2601A056")</f>
        <v>2601A056</v>
      </c>
      <c r="C60" s="10" t="str">
        <f>IFERROR(__xludf.DUMMYFUNCTION("""COMPUTED_VALUE"""),"Aulia Rizky Amalia")</f>
        <v>Aulia Rizky Amalia</v>
      </c>
      <c r="D60" s="13" t="str">
        <f>IFERROR(__xludf.DUMMYFUNCTION("""COMPUTED_VALUE"""),"083189971273")</f>
        <v>083189971273</v>
      </c>
      <c r="E60" s="14" t="str">
        <f>IFERROR(__xludf.DUMMYFUNCTION("""COMPUTED_VALUE"""),"Website")</f>
        <v>Website</v>
      </c>
      <c r="F60" s="14" t="str">
        <f>IFERROR(__xludf.DUMMYFUNCTION("""COMPUTED_VALUE"""),"Gagal")</f>
        <v>Gagal</v>
      </c>
      <c r="G60" s="25" t="str">
        <f>IFERROR(__xludf.DUMMYFUNCTION("""COMPUTED_VALUE"""),"custom 2H1M")</f>
        <v>custom 2H1M</v>
      </c>
      <c r="H60" s="16"/>
      <c r="I60" s="17">
        <f>IFERROR(__xludf.DUMMYFUNCTION("""COMPUTED_VALUE"""),5.0)</f>
        <v>5</v>
      </c>
      <c r="J60" s="18"/>
      <c r="K60" s="19" t="str">
        <f>IFERROR(__xludf.DUMMYFUNCTION("""COMPUTED_VALUE"""),"sudah kirim penawaran, masih diinfokan ke temannya")</f>
        <v>sudah kirim penawaran, masih diinfokan ke temannya</v>
      </c>
      <c r="L60" s="76"/>
      <c r="M60" s="20"/>
      <c r="N60" s="20"/>
      <c r="O60" s="20"/>
      <c r="P60" s="20"/>
    </row>
    <row r="61">
      <c r="A61" s="21">
        <f>IFERROR(__xludf.DUMMYFUNCTION("""COMPUTED_VALUE"""),46049.0)</f>
        <v>46049</v>
      </c>
      <c r="B61" s="22" t="str">
        <f>IFERROR(__xludf.DUMMYFUNCTION("""COMPUTED_VALUE"""),"2601A057")</f>
        <v>2601A057</v>
      </c>
      <c r="C61" s="23" t="str">
        <f>IFERROR(__xludf.DUMMYFUNCTION("""COMPUTED_VALUE"""),"Ari budiman")</f>
        <v>Ari budiman</v>
      </c>
      <c r="D61" s="24" t="str">
        <f>IFERROR(__xludf.DUMMYFUNCTION("""COMPUTED_VALUE"""),"081365613727")</f>
        <v>081365613727</v>
      </c>
      <c r="E61" s="14" t="str">
        <f>IFERROR(__xludf.DUMMYFUNCTION("""COMPUTED_VALUE"""),"Website")</f>
        <v>Website</v>
      </c>
      <c r="F61" s="14" t="str">
        <f>IFERROR(__xludf.DUMMYFUNCTION("""COMPUTED_VALUE"""),"Closing")</f>
        <v>Closing</v>
      </c>
      <c r="G61" s="14" t="str">
        <f>IFERROR(__xludf.DUMMYFUNCTION("""COMPUTED_VALUE"""),"Trip Teluk Hijau")</f>
        <v>Trip Teluk Hijau</v>
      </c>
      <c r="H61" s="26"/>
      <c r="I61" s="27">
        <f>IFERROR(__xludf.DUMMYFUNCTION("""COMPUTED_VALUE"""),5.0)</f>
        <v>5</v>
      </c>
      <c r="J61" s="28">
        <f>IFERROR(__xludf.DUMMYFUNCTION("""COMPUTED_VALUE"""),2250000.0)</f>
        <v>2250000</v>
      </c>
      <c r="K61" s="30" t="str">
        <f>IFERROR(__xludf.DUMMYFUNCTION("""COMPUTED_VALUE"""),"order")</f>
        <v>order</v>
      </c>
      <c r="L61" s="23"/>
      <c r="M61" s="20"/>
      <c r="N61" s="20"/>
      <c r="O61" s="20"/>
      <c r="P61" s="20"/>
    </row>
    <row r="62">
      <c r="A62" s="11">
        <f>IFERROR(__xludf.DUMMYFUNCTION("""COMPUTED_VALUE"""),46049.0)</f>
        <v>46049</v>
      </c>
      <c r="B62" s="12" t="str">
        <f>IFERROR(__xludf.DUMMYFUNCTION("""COMPUTED_VALUE"""),"2601A058")</f>
        <v>2601A058</v>
      </c>
      <c r="C62" s="10" t="str">
        <f>IFERROR(__xludf.DUMMYFUNCTION("""COMPUTED_VALUE"""),"Caca")</f>
        <v>Caca</v>
      </c>
      <c r="D62" s="13" t="str">
        <f>IFERROR(__xludf.DUMMYFUNCTION("""COMPUTED_VALUE"""),"081573666815")</f>
        <v>081573666815</v>
      </c>
      <c r="E62" s="14" t="str">
        <f>IFERROR(__xludf.DUMMYFUNCTION("""COMPUTED_VALUE"""),"Website")</f>
        <v>Website</v>
      </c>
      <c r="F62" s="14" t="str">
        <f>IFERROR(__xludf.DUMMYFUNCTION("""COMPUTED_VALUE"""),"Gagal")</f>
        <v>Gagal</v>
      </c>
      <c r="G62" s="14" t="str">
        <f>IFERROR(__xludf.DUMMYFUNCTION("""COMPUTED_VALUE"""),"Trip baluran")</f>
        <v>Trip baluran</v>
      </c>
      <c r="H62" s="16"/>
      <c r="I62" s="17">
        <f>IFERROR(__xludf.DUMMYFUNCTION("""COMPUTED_VALUE"""),15.0)</f>
        <v>15</v>
      </c>
      <c r="J62" s="54">
        <f>IFERROR(__xludf.DUMMYFUNCTION("""COMPUTED_VALUE"""),3900000.0)</f>
        <v>3900000</v>
      </c>
      <c r="K62" s="46" t="str">
        <f>IFERROR(__xludf.DUMMYFUNCTION("""COMPUTED_VALUE"""),"tidak ada jawaban")</f>
        <v>tidak ada jawaban</v>
      </c>
      <c r="L62" s="100" t="str">
        <f>IFERROR(__xludf.DUMMYFUNCTION("""COMPUTED_VALUE"""),"https://docs.google.com/document/d/1dCS-DTyTB0rcOBWL6xkq6bti9h0yXz0xReLOQwOqm6Q/edit?usp=sharing")</f>
        <v>https://docs.google.com/document/d/1dCS-DTyTB0rcOBWL6xkq6bti9h0yXz0xReLOQwOqm6Q/edit?usp=sharing</v>
      </c>
      <c r="M62" s="20"/>
      <c r="N62" s="20"/>
      <c r="O62" s="20"/>
      <c r="P62" s="20"/>
    </row>
    <row r="63">
      <c r="A63" s="21">
        <f>IFERROR(__xludf.DUMMYFUNCTION("""COMPUTED_VALUE"""),46050.0)</f>
        <v>46050</v>
      </c>
      <c r="B63" s="22" t="str">
        <f>IFERROR(__xludf.DUMMYFUNCTION("""COMPUTED_VALUE"""),"2601A060")</f>
        <v>2601A060</v>
      </c>
      <c r="C63" s="23" t="str">
        <f>IFERROR(__xludf.DUMMYFUNCTION("""COMPUTED_VALUE"""),"Lanny suyanto")</f>
        <v>Lanny suyanto</v>
      </c>
      <c r="D63" s="24" t="str">
        <f>IFERROR(__xludf.DUMMYFUNCTION("""COMPUTED_VALUE"""),"0817220272")</f>
        <v>0817220272</v>
      </c>
      <c r="E63" s="14" t="str">
        <f>IFERROR(__xludf.DUMMYFUNCTION("""COMPUTED_VALUE"""),"Website")</f>
        <v>Website</v>
      </c>
      <c r="F63" s="14" t="str">
        <f>IFERROR(__xludf.DUMMYFUNCTION("""COMPUTED_VALUE"""),"Gagal")</f>
        <v>Gagal</v>
      </c>
      <c r="G63" s="15" t="str">
        <f>IFERROR(__xludf.DUMMYFUNCTION("""COMPUTED_VALUE"""),"4H3M")</f>
        <v>4H3M</v>
      </c>
      <c r="H63" s="83"/>
      <c r="I63" s="27">
        <f>IFERROR(__xludf.DUMMYFUNCTION("""COMPUTED_VALUE"""),30.0)</f>
        <v>30</v>
      </c>
      <c r="J63" s="33">
        <f>IFERROR(__xludf.DUMMYFUNCTION("""COMPUTED_VALUE"""),6.36E7)</f>
        <v>63600000</v>
      </c>
      <c r="K63" s="36" t="str">
        <f>IFERROR(__xludf.DUMMYFUNCTION("""COMPUTED_VALUE"""),"tidak ada jawaban lagi")</f>
        <v>tidak ada jawaban lagi</v>
      </c>
      <c r="L63" s="81" t="str">
        <f>IFERROR(__xludf.DUMMYFUNCTION("""COMPUTED_VALUE"""),"https://docs.google.com/document/d/1ByN8KaDbVn05mmAo3BQIhKqfPFfGWSR02o7DAvmWzng/edit?usp=sharing")</f>
        <v>https://docs.google.com/document/d/1ByN8KaDbVn05mmAo3BQIhKqfPFfGWSR02o7DAvmWzng/edit?usp=sharing</v>
      </c>
      <c r="M63" s="20"/>
      <c r="N63" s="20"/>
      <c r="O63" s="20"/>
      <c r="P63" s="20"/>
    </row>
    <row r="64">
      <c r="A64" s="11">
        <f>IFERROR(__xludf.DUMMYFUNCTION("""COMPUTED_VALUE"""),46050.0)</f>
        <v>46050</v>
      </c>
      <c r="B64" s="12" t="str">
        <f>IFERROR(__xludf.DUMMYFUNCTION("""COMPUTED_VALUE"""),"2601A061")</f>
        <v>2601A061</v>
      </c>
      <c r="C64" s="10" t="str">
        <f>IFERROR(__xludf.DUMMYFUNCTION("""COMPUTED_VALUE"""),"Sendy")</f>
        <v>Sendy</v>
      </c>
      <c r="D64" s="13" t="str">
        <f>IFERROR(__xludf.DUMMYFUNCTION("""COMPUTED_VALUE"""),"087776660612")</f>
        <v>087776660612</v>
      </c>
      <c r="E64" s="14" t="str">
        <f>IFERROR(__xludf.DUMMYFUNCTION("""COMPUTED_VALUE"""),"Website")</f>
        <v>Website</v>
      </c>
      <c r="F64" s="14" t="str">
        <f>IFERROR(__xludf.DUMMYFUNCTION("""COMPUTED_VALUE"""),"Gagal")</f>
        <v>Gagal</v>
      </c>
      <c r="G64" s="14" t="str">
        <f>IFERROR(__xludf.DUMMYFUNCTION("""COMPUTED_VALUE"""),"OT D, B")</f>
        <v>OT D, B</v>
      </c>
      <c r="H64" s="16"/>
      <c r="I64" s="17"/>
      <c r="J64" s="18"/>
      <c r="K64" s="19" t="str">
        <f>IFERROR(__xludf.DUMMYFUNCTION("""COMPUTED_VALUE"""),"sendiri")</f>
        <v>sendiri</v>
      </c>
      <c r="L64" s="76"/>
      <c r="M64" s="20"/>
      <c r="N64" s="20"/>
      <c r="O64" s="20"/>
      <c r="P64" s="20"/>
    </row>
    <row r="65">
      <c r="A65" s="21">
        <f>IFERROR(__xludf.DUMMYFUNCTION("""COMPUTED_VALUE"""),46051.0)</f>
        <v>46051</v>
      </c>
      <c r="B65" s="22" t="str">
        <f>IFERROR(__xludf.DUMMYFUNCTION("""COMPUTED_VALUE"""),"2601A062")</f>
        <v>2601A062</v>
      </c>
      <c r="C65" s="23" t="str">
        <f>IFERROR(__xludf.DUMMYFUNCTION("""COMPUTED_VALUE"""),"Anugerah Perdana")</f>
        <v>Anugerah Perdana</v>
      </c>
      <c r="D65" s="24" t="str">
        <f>IFERROR(__xludf.DUMMYFUNCTION("""COMPUTED_VALUE"""),"081329762124")</f>
        <v>081329762124</v>
      </c>
      <c r="E65" s="14" t="str">
        <f>IFERROR(__xludf.DUMMYFUNCTION("""COMPUTED_VALUE"""),"Website")</f>
        <v>Website</v>
      </c>
      <c r="F65" s="14" t="str">
        <f>IFERROR(__xludf.DUMMYFUNCTION("""COMPUTED_VALUE"""),"Gagal")</f>
        <v>Gagal</v>
      </c>
      <c r="G65" s="15" t="str">
        <f>IFERROR(__xludf.DUMMYFUNCTION("""COMPUTED_VALUE"""),"3H2M Opsi A")</f>
        <v>3H2M Opsi A</v>
      </c>
      <c r="H65" s="26"/>
      <c r="I65" s="27">
        <f>IFERROR(__xludf.DUMMYFUNCTION("""COMPUTED_VALUE"""),2.0)</f>
        <v>2</v>
      </c>
      <c r="J65" s="33">
        <f>IFERROR(__xludf.DUMMYFUNCTION("""COMPUTED_VALUE"""),6128000.0)</f>
        <v>6128000</v>
      </c>
      <c r="K65" s="36" t="str">
        <f>IFERROR(__xludf.DUMMYFUNCTION("""COMPUTED_VALUE"""),"belum balas lagi")</f>
        <v>belum balas lagi</v>
      </c>
      <c r="L65" s="87" t="str">
        <f>IFERROR(__xludf.DUMMYFUNCTION("""COMPUTED_VALUE"""),"https://docs.google.com/document/d/13MqIUKaT--IgfEldtUan8PJMYEDPSAHBA90UC72C-nA/edit?usp=sharing")</f>
        <v>https://docs.google.com/document/d/13MqIUKaT--IgfEldtUan8PJMYEDPSAHBA90UC72C-nA/edit?usp=sharing</v>
      </c>
      <c r="M65" s="20"/>
      <c r="N65" s="20"/>
      <c r="O65" s="20"/>
      <c r="P65" s="20"/>
    </row>
    <row r="66">
      <c r="A66" s="11">
        <f>IFERROR(__xludf.DUMMYFUNCTION("""COMPUTED_VALUE"""),46049.0)</f>
        <v>46049</v>
      </c>
      <c r="B66" s="12" t="str">
        <f>IFERROR(__xludf.DUMMYFUNCTION("""COMPUTED_VALUE"""),"2601A059")</f>
        <v>2601A059</v>
      </c>
      <c r="C66" s="10" t="str">
        <f>IFERROR(__xludf.DUMMYFUNCTION("""COMPUTED_VALUE"""),"DR")</f>
        <v>DR</v>
      </c>
      <c r="D66" s="13" t="str">
        <f>IFERROR(__xludf.DUMMYFUNCTION("""COMPUTED_VALUE"""),"085854406666")</f>
        <v>085854406666</v>
      </c>
      <c r="E66" s="14" t="str">
        <f>IFERROR(__xludf.DUMMYFUNCTION("""COMPUTED_VALUE"""),"Website")</f>
        <v>Website</v>
      </c>
      <c r="F66" s="14" t="str">
        <f>IFERROR(__xludf.DUMMYFUNCTION("""COMPUTED_VALUE"""),"Gagal")</f>
        <v>Gagal</v>
      </c>
      <c r="G66" s="14" t="str">
        <f>IFERROR(__xludf.DUMMYFUNCTION("""COMPUTED_VALUE"""),"3H2M Opsi B")</f>
        <v>3H2M Opsi B</v>
      </c>
      <c r="H66" s="16"/>
      <c r="I66" s="17">
        <f>IFERROR(__xludf.DUMMYFUNCTION("""COMPUTED_VALUE"""),5.0)</f>
        <v>5</v>
      </c>
      <c r="J66" s="18"/>
      <c r="K66" s="19" t="str">
        <f>IFERROR(__xludf.DUMMYFUNCTION("""COMPUTED_VALUE"""),"Gagal karna tidak ada balasan lagi")</f>
        <v>Gagal karna tidak ada balasan lagi</v>
      </c>
      <c r="L66" s="76"/>
      <c r="M66" s="20"/>
      <c r="N66" s="20"/>
      <c r="O66" s="20"/>
      <c r="P66" s="20"/>
    </row>
    <row r="67">
      <c r="A67" s="21">
        <f>IFERROR(__xludf.DUMMYFUNCTION("""COMPUTED_VALUE"""),46051.0)</f>
        <v>46051</v>
      </c>
      <c r="B67" s="22" t="str">
        <f>IFERROR(__xludf.DUMMYFUNCTION("""COMPUTED_VALUE"""),"2601A063")</f>
        <v>2601A063</v>
      </c>
      <c r="C67" s="23" t="str">
        <f>IFERROR(__xludf.DUMMYFUNCTION("""COMPUTED_VALUE"""),"Nasyajulia")</f>
        <v>Nasyajulia</v>
      </c>
      <c r="D67" s="24" t="str">
        <f>IFERROR(__xludf.DUMMYFUNCTION("""COMPUTED_VALUE"""),"0881024866564")</f>
        <v>0881024866564</v>
      </c>
      <c r="E67" s="14" t="str">
        <f>IFERROR(__xludf.DUMMYFUNCTION("""COMPUTED_VALUE"""),"Website")</f>
        <v>Website</v>
      </c>
      <c r="F67" s="14" t="str">
        <f>IFERROR(__xludf.DUMMYFUNCTION("""COMPUTED_VALUE"""),"Gagal")</f>
        <v>Gagal</v>
      </c>
      <c r="G67" s="14"/>
      <c r="H67" s="26"/>
      <c r="I67" s="27"/>
      <c r="J67" s="28"/>
      <c r="K67" s="36" t="str">
        <f>IFERROR(__xludf.DUMMYFUNCTION("""COMPUTED_VALUE"""),"belum tertarik")</f>
        <v>belum tertarik</v>
      </c>
      <c r="L67" s="49"/>
      <c r="M67" s="20"/>
      <c r="N67" s="20"/>
      <c r="O67" s="20"/>
      <c r="P67" s="20"/>
    </row>
    <row r="68">
      <c r="A68" s="11">
        <f>IFERROR(__xludf.DUMMYFUNCTION("""COMPUTED_VALUE"""),46052.0)</f>
        <v>46052</v>
      </c>
      <c r="B68" s="12" t="str">
        <f>IFERROR(__xludf.DUMMYFUNCTION("""COMPUTED_VALUE"""),"2601A064")</f>
        <v>2601A064</v>
      </c>
      <c r="C68" s="10" t="str">
        <f>IFERROR(__xludf.DUMMYFUNCTION("""COMPUTED_VALUE"""),"Hary ")</f>
        <v>Hary </v>
      </c>
      <c r="D68" s="13" t="str">
        <f>IFERROR(__xludf.DUMMYFUNCTION("""COMPUTED_VALUE"""),"085257112446")</f>
        <v>085257112446</v>
      </c>
      <c r="E68" s="14" t="str">
        <f>IFERROR(__xludf.DUMMYFUNCTION("""COMPUTED_VALUE"""),"Website")</f>
        <v>Website</v>
      </c>
      <c r="F68" s="14" t="str">
        <f>IFERROR(__xludf.DUMMYFUNCTION("""COMPUTED_VALUE"""),"Gagal")</f>
        <v>Gagal</v>
      </c>
      <c r="G68" s="14" t="str">
        <f>IFERROR(__xludf.DUMMYFUNCTION("""COMPUTED_VALUE"""),"2H1M Custom")</f>
        <v>2H1M Custom</v>
      </c>
      <c r="H68" s="16"/>
      <c r="I68" s="17">
        <f>IFERROR(__xludf.DUMMYFUNCTION("""COMPUTED_VALUE"""),2.0)</f>
        <v>2</v>
      </c>
      <c r="J68" s="54"/>
      <c r="K68" s="46" t="str">
        <f>IFERROR(__xludf.DUMMYFUNCTION("""COMPUTED_VALUE"""),"kurang minat karna jauh")</f>
        <v>kurang minat karna jauh</v>
      </c>
      <c r="L68" s="10"/>
      <c r="M68" s="20"/>
      <c r="N68" s="20"/>
      <c r="O68" s="20"/>
      <c r="P68" s="20"/>
    </row>
    <row r="69">
      <c r="A69" s="21">
        <f>IFERROR(__xludf.DUMMYFUNCTION("""COMPUTED_VALUE"""),46053.0)</f>
        <v>46053</v>
      </c>
      <c r="B69" s="22" t="str">
        <f>IFERROR(__xludf.DUMMYFUNCTION("""COMPUTED_VALUE"""),"2601A065")</f>
        <v>2601A065</v>
      </c>
      <c r="C69" s="23" t="str">
        <f>IFERROR(__xludf.DUMMYFUNCTION("""COMPUTED_VALUE"""),"Anna")</f>
        <v>Anna</v>
      </c>
      <c r="D69" s="24" t="str">
        <f>IFERROR(__xludf.DUMMYFUNCTION("""COMPUTED_VALUE"""),"085829041849")</f>
        <v>085829041849</v>
      </c>
      <c r="E69" s="14" t="str">
        <f>IFERROR(__xludf.DUMMYFUNCTION("""COMPUTED_VALUE"""),"Website")</f>
        <v>Website</v>
      </c>
      <c r="F69" s="14" t="str">
        <f>IFERROR(__xludf.DUMMYFUNCTION("""COMPUTED_VALUE"""),"Gagal")</f>
        <v>Gagal</v>
      </c>
      <c r="G69" s="14" t="str">
        <f>IFERROR(__xludf.DUMMYFUNCTION("""COMPUTED_VALUE"""),"paket trip ijen")</f>
        <v>paket trip ijen</v>
      </c>
      <c r="H69" s="26"/>
      <c r="I69" s="27">
        <f>IFERROR(__xludf.DUMMYFUNCTION("""COMPUTED_VALUE"""),12.0)</f>
        <v>12</v>
      </c>
      <c r="J69" s="28"/>
      <c r="K69" s="30" t="str">
        <f>IFERROR(__xludf.DUMMYFUNCTION("""COMPUTED_VALUE"""),"Masih ditawarkan ke tamunya")</f>
        <v>Masih ditawarkan ke tamunya</v>
      </c>
      <c r="L69" s="23"/>
      <c r="M69" s="20"/>
      <c r="N69" s="20"/>
      <c r="O69" s="20"/>
      <c r="P69" s="20"/>
    </row>
    <row r="70">
      <c r="A70" s="11">
        <f>IFERROR(__xludf.DUMMYFUNCTION("""COMPUTED_VALUE"""),46053.0)</f>
        <v>46053</v>
      </c>
      <c r="B70" s="12" t="str">
        <f>IFERROR(__xludf.DUMMYFUNCTION("""COMPUTED_VALUE"""),"2601A066")</f>
        <v>2601A066</v>
      </c>
      <c r="C70" s="10" t="str">
        <f>IFERROR(__xludf.DUMMYFUNCTION("""COMPUTED_VALUE"""),"Rain")</f>
        <v>Rain</v>
      </c>
      <c r="D70" s="13" t="str">
        <f>IFERROR(__xludf.DUMMYFUNCTION("""COMPUTED_VALUE"""),"085719601265")</f>
        <v>085719601265</v>
      </c>
      <c r="E70" s="14" t="str">
        <f>IFERROR(__xludf.DUMMYFUNCTION("""COMPUTED_VALUE"""),"Website")</f>
        <v>Website</v>
      </c>
      <c r="F70" s="14" t="str">
        <f>IFERROR(__xludf.DUMMYFUNCTION("""COMPUTED_VALUE"""),"Gagal")</f>
        <v>Gagal</v>
      </c>
      <c r="G70" s="14"/>
      <c r="H70" s="79"/>
      <c r="I70" s="17"/>
      <c r="J70" s="18"/>
      <c r="K70" s="46" t="str">
        <f>IFERROR(__xludf.DUMMYFUNCTION("""COMPUTED_VALUE"""),"gagal, tidak ada balasan")</f>
        <v>gagal, tidak ada balasan</v>
      </c>
      <c r="L70" s="10"/>
      <c r="M70" s="20"/>
      <c r="N70" s="20"/>
      <c r="O70" s="20"/>
      <c r="P70" s="20"/>
    </row>
    <row r="71">
      <c r="A71" s="21">
        <f>IFERROR(__xludf.DUMMYFUNCTION("""COMPUTED_VALUE"""),46053.0)</f>
        <v>46053</v>
      </c>
      <c r="B71" s="22" t="str">
        <f>IFERROR(__xludf.DUMMYFUNCTION("""COMPUTED_VALUE"""),"2601A067")</f>
        <v>2601A067</v>
      </c>
      <c r="C71" s="23" t="str">
        <f>IFERROR(__xludf.DUMMYFUNCTION("""COMPUTED_VALUE"""),"JM Rouf")</f>
        <v>JM Rouf</v>
      </c>
      <c r="D71" s="24" t="str">
        <f>IFERROR(__xludf.DUMMYFUNCTION("""COMPUTED_VALUE"""),"33617373308")</f>
        <v>33617373308</v>
      </c>
      <c r="E71" s="14" t="str">
        <f>IFERROR(__xludf.DUMMYFUNCTION("""COMPUTED_VALUE"""),"Website")</f>
        <v>Website</v>
      </c>
      <c r="F71" s="14" t="str">
        <f>IFERROR(__xludf.DUMMYFUNCTION("""COMPUTED_VALUE"""),"Gagal")</f>
        <v>Gagal</v>
      </c>
      <c r="G71" s="15" t="str">
        <f>IFERROR(__xludf.DUMMYFUNCTION("""COMPUTED_VALUE"""),"Trip D, PM, TI")</f>
        <v>Trip D, PM, TI</v>
      </c>
      <c r="H71" s="26"/>
      <c r="I71" s="27"/>
      <c r="J71" s="28"/>
      <c r="K71" s="36" t="str">
        <f>IFERROR(__xludf.DUMMYFUNCTION("""COMPUTED_VALUE"""),"tidak minat")</f>
        <v>tidak minat</v>
      </c>
      <c r="L71" s="49"/>
      <c r="M71" s="20"/>
      <c r="N71" s="20"/>
      <c r="O71" s="20"/>
      <c r="P71" s="20"/>
    </row>
    <row r="72">
      <c r="A72" s="11">
        <f>IFERROR(__xludf.DUMMYFUNCTION("""COMPUTED_VALUE"""),46053.0)</f>
        <v>46053</v>
      </c>
      <c r="B72" s="12" t="str">
        <f>IFERROR(__xludf.DUMMYFUNCTION("""COMPUTED_VALUE"""),"2601A068")</f>
        <v>2601A068</v>
      </c>
      <c r="C72" s="10" t="str">
        <f>IFERROR(__xludf.DUMMYFUNCTION("""COMPUTED_VALUE"""),"Mila")</f>
        <v>Mila</v>
      </c>
      <c r="D72" s="13" t="str">
        <f>IFERROR(__xludf.DUMMYFUNCTION("""COMPUTED_VALUE"""),"081511307136")</f>
        <v>081511307136</v>
      </c>
      <c r="E72" s="14" t="str">
        <f>IFERROR(__xludf.DUMMYFUNCTION("""COMPUTED_VALUE"""),"Website")</f>
        <v>Website</v>
      </c>
      <c r="F72" s="14" t="str">
        <f>IFERROR(__xludf.DUMMYFUNCTION("""COMPUTED_VALUE"""),"Gagal")</f>
        <v>Gagal</v>
      </c>
      <c r="G72" s="14"/>
      <c r="H72" s="16"/>
      <c r="I72" s="17"/>
      <c r="J72" s="18"/>
      <c r="K72" s="19" t="str">
        <f>IFERROR(__xludf.DUMMYFUNCTION("""COMPUTED_VALUE"""),"Gagal Tidak ada respon")</f>
        <v>Gagal Tidak ada respon</v>
      </c>
      <c r="L72" s="76"/>
      <c r="M72" s="20"/>
      <c r="N72" s="20"/>
      <c r="O72" s="20"/>
      <c r="P72" s="20"/>
    </row>
    <row r="73">
      <c r="A73" s="21">
        <f>IFERROR(__xludf.DUMMYFUNCTION("""COMPUTED_VALUE"""),46023.0)</f>
        <v>46023</v>
      </c>
      <c r="B73" s="22" t="str">
        <f>IFERROR(__xludf.DUMMYFUNCTION("""COMPUTED_VALUE"""),"2602A001")</f>
        <v>2602A001</v>
      </c>
      <c r="C73" s="23" t="str">
        <f>IFERROR(__xludf.DUMMYFUNCTION("""COMPUTED_VALUE"""),"Layla")</f>
        <v>Layla</v>
      </c>
      <c r="D73" s="24" t="str">
        <f>IFERROR(__xludf.DUMMYFUNCTION("""COMPUTED_VALUE"""),"085334674721")</f>
        <v>085334674721</v>
      </c>
      <c r="E73" s="14" t="str">
        <f>IFERROR(__xludf.DUMMYFUNCTION("""COMPUTED_VALUE"""),"Website")</f>
        <v>Website</v>
      </c>
      <c r="F73" s="14" t="str">
        <f>IFERROR(__xludf.DUMMYFUNCTION("""COMPUTED_VALUE"""),"Closing")</f>
        <v>Closing</v>
      </c>
      <c r="G73" s="14" t="str">
        <f>IFERROR(__xludf.DUMMYFUNCTION("""COMPUTED_VALUE"""),"Trip 1D M , B")</f>
        <v>Trip 1D M , B</v>
      </c>
      <c r="H73" s="26">
        <f>IFERROR(__xludf.DUMMYFUNCTION("""COMPUTED_VALUE"""),46172.0)</f>
        <v>46172</v>
      </c>
      <c r="I73" s="27">
        <f>IFERROR(__xludf.DUMMYFUNCTION("""COMPUTED_VALUE"""),4.0)</f>
        <v>4</v>
      </c>
      <c r="J73" s="33">
        <f>IFERROR(__xludf.DUMMYFUNCTION("""COMPUTED_VALUE"""),3708000.0)</f>
        <v>3708000</v>
      </c>
      <c r="K73" s="36" t="str">
        <f>IFERROR(__xludf.DUMMYFUNCTION("""COMPUTED_VALUE"""),"ALHAMDULILLAH ")</f>
        <v>ALHAMDULILLAH </v>
      </c>
      <c r="L73" s="81" t="str">
        <f>IFERROR(__xludf.DUMMYFUNCTION("""COMPUTED_VALUE"""),"https://docs.google.com/document/d/11U4STf_PzmsD-tx3NDn4KyQxOXU4Cy7IdOLpO4cHx9Y/edit?usp=sharing")</f>
        <v>https://docs.google.com/document/d/11U4STf_PzmsD-tx3NDn4KyQxOXU4Cy7IdOLpO4cHx9Y/edit?usp=sharing</v>
      </c>
      <c r="M73" s="20"/>
      <c r="N73" s="20"/>
      <c r="O73" s="20"/>
      <c r="P73" s="20"/>
    </row>
    <row r="74">
      <c r="A74" s="11">
        <f>IFERROR(__xludf.DUMMYFUNCTION("""COMPUTED_VALUE"""),46055.0)</f>
        <v>46055</v>
      </c>
      <c r="B74" s="12" t="str">
        <f>IFERROR(__xludf.DUMMYFUNCTION("""COMPUTED_VALUE"""),"2602A002")</f>
        <v>2602A002</v>
      </c>
      <c r="C74" s="10" t="str">
        <f>IFERROR(__xludf.DUMMYFUNCTION("""COMPUTED_VALUE"""),"Suci")</f>
        <v>Suci</v>
      </c>
      <c r="D74" s="13" t="str">
        <f>IFERROR(__xludf.DUMMYFUNCTION("""COMPUTED_VALUE"""),"081233877184")</f>
        <v>081233877184</v>
      </c>
      <c r="E74" s="14" t="str">
        <f>IFERROR(__xludf.DUMMYFUNCTION("""COMPUTED_VALUE"""),"Website")</f>
        <v>Website</v>
      </c>
      <c r="F74" s="14" t="str">
        <f>IFERROR(__xludf.DUMMYFUNCTION("""COMPUTED_VALUE"""),"Gagal")</f>
        <v>Gagal</v>
      </c>
      <c r="G74" s="25" t="str">
        <f>IFERROR(__xludf.DUMMYFUNCTION("""COMPUTED_VALUE"""),"3H2M Opsi B")</f>
        <v>3H2M Opsi B</v>
      </c>
      <c r="H74" s="16">
        <f>IFERROR(__xludf.DUMMYFUNCTION("""COMPUTED_VALUE"""),46117.0)</f>
        <v>46117</v>
      </c>
      <c r="I74" s="17">
        <f>IFERROR(__xludf.DUMMYFUNCTION("""COMPUTED_VALUE"""),4.0)</f>
        <v>4</v>
      </c>
      <c r="J74" s="18"/>
      <c r="K74" s="19" t="str">
        <f>IFERROR(__xludf.DUMMYFUNCTION("""COMPUTED_VALUE"""),"cancellll")</f>
        <v>cancellll</v>
      </c>
      <c r="L74" s="76"/>
      <c r="M74" s="20"/>
      <c r="N74" s="20"/>
      <c r="O74" s="20"/>
      <c r="P74" s="20"/>
    </row>
    <row r="75">
      <c r="A75" s="21">
        <f>IFERROR(__xludf.DUMMYFUNCTION("""COMPUTED_VALUE"""),46056.0)</f>
        <v>46056</v>
      </c>
      <c r="B75" s="22" t="str">
        <f>IFERROR(__xludf.DUMMYFUNCTION("""COMPUTED_VALUE"""),"2602A003")</f>
        <v>2602A003</v>
      </c>
      <c r="C75" s="23" t="str">
        <f>IFERROR(__xludf.DUMMYFUNCTION("""COMPUTED_VALUE"""),"Steven sieto")</f>
        <v>Steven sieto</v>
      </c>
      <c r="D75" s="24" t="str">
        <f>IFERROR(__xludf.DUMMYFUNCTION("""COMPUTED_VALUE"""),"08165444838")</f>
        <v>08165444838</v>
      </c>
      <c r="E75" s="14" t="str">
        <f>IFERROR(__xludf.DUMMYFUNCTION("""COMPUTED_VALUE"""),"Website")</f>
        <v>Website</v>
      </c>
      <c r="F75" s="14" t="str">
        <f>IFERROR(__xludf.DUMMYFUNCTION("""COMPUTED_VALUE"""),"Gagal")</f>
        <v>Gagal</v>
      </c>
      <c r="G75" s="14" t="str">
        <f>IFERROR(__xludf.DUMMYFUNCTION("""COMPUTED_VALUE"""),"2H1M Z")</f>
        <v>2H1M Z</v>
      </c>
      <c r="H75" s="26"/>
      <c r="I75" s="27">
        <f>IFERROR(__xludf.DUMMYFUNCTION("""COMPUTED_VALUE"""),20.0)</f>
        <v>20</v>
      </c>
      <c r="J75" s="33">
        <f>IFERROR(__xludf.DUMMYFUNCTION("""COMPUTED_VALUE"""),1.5E7)</f>
        <v>15000000</v>
      </c>
      <c r="K75" s="36" t="str">
        <f>IFERROR(__xludf.DUMMYFUNCTION("""COMPUTED_VALUE"""),"Blm balas lagi")</f>
        <v>Blm balas lagi</v>
      </c>
      <c r="L75" s="49"/>
      <c r="M75" s="20"/>
      <c r="N75" s="20"/>
      <c r="O75" s="20"/>
      <c r="P75" s="20"/>
    </row>
    <row r="76">
      <c r="A76" s="11">
        <f>IFERROR(__xludf.DUMMYFUNCTION("""COMPUTED_VALUE"""),46057.0)</f>
        <v>46057</v>
      </c>
      <c r="B76" s="12" t="str">
        <f>IFERROR(__xludf.DUMMYFUNCTION("""COMPUTED_VALUE"""),"2602A004")</f>
        <v>2602A004</v>
      </c>
      <c r="C76" s="10" t="str">
        <f>IFERROR(__xludf.DUMMYFUNCTION("""COMPUTED_VALUE"""),"83173513987")</f>
        <v>83173513987</v>
      </c>
      <c r="D76" s="13" t="str">
        <f>IFERROR(__xludf.DUMMYFUNCTION("""COMPUTED_VALUE"""),"083173513987")</f>
        <v>083173513987</v>
      </c>
      <c r="E76" s="14" t="str">
        <f>IFERROR(__xludf.DUMMYFUNCTION("""COMPUTED_VALUE"""),"Website")</f>
        <v>Website</v>
      </c>
      <c r="F76" s="14" t="str">
        <f>IFERROR(__xludf.DUMMYFUNCTION("""COMPUTED_VALUE"""),"Gagal")</f>
        <v>Gagal</v>
      </c>
      <c r="G76" s="14" t="str">
        <f>IFERROR(__xludf.DUMMYFUNCTION("""COMPUTED_VALUE"""),"one day trip banyuwangi")</f>
        <v>one day trip banyuwangi</v>
      </c>
      <c r="H76" s="16"/>
      <c r="I76" s="17">
        <f>IFERROR(__xludf.DUMMYFUNCTION("""COMPUTED_VALUE"""),1.0)</f>
        <v>1</v>
      </c>
      <c r="J76" s="54"/>
      <c r="K76" s="19"/>
      <c r="L76" s="76"/>
      <c r="M76" s="20"/>
      <c r="N76" s="20"/>
      <c r="O76" s="20"/>
      <c r="P76" s="20"/>
    </row>
    <row r="77">
      <c r="A77" s="21">
        <f>IFERROR(__xludf.DUMMYFUNCTION("""COMPUTED_VALUE"""),46058.0)</f>
        <v>46058</v>
      </c>
      <c r="B77" s="22" t="str">
        <f>IFERROR(__xludf.DUMMYFUNCTION("""COMPUTED_VALUE"""),"2602A005")</f>
        <v>2602A005</v>
      </c>
      <c r="C77" s="23" t="str">
        <f>IFERROR(__xludf.DUMMYFUNCTION("""COMPUTED_VALUE"""),"Dr. Leny Erfiana")</f>
        <v>Dr. Leny Erfiana</v>
      </c>
      <c r="D77" s="24" t="str">
        <f>IFERROR(__xludf.DUMMYFUNCTION("""COMPUTED_VALUE"""),"085236381772")</f>
        <v>085236381772</v>
      </c>
      <c r="E77" s="14" t="str">
        <f>IFERROR(__xludf.DUMMYFUNCTION("""COMPUTED_VALUE"""),"Website")</f>
        <v>Website</v>
      </c>
      <c r="F77" s="14" t="str">
        <f>IFERROR(__xludf.DUMMYFUNCTION("""COMPUTED_VALUE"""),"Gagal")</f>
        <v>Gagal</v>
      </c>
      <c r="G77" s="14" t="str">
        <f>IFERROR(__xludf.DUMMYFUNCTION("""COMPUTED_VALUE"""),"trip 3H2M")</f>
        <v>trip 3H2M</v>
      </c>
      <c r="H77" s="78">
        <f>IFERROR(__xludf.DUMMYFUNCTION("""COMPUTED_VALUE"""),46097.0)</f>
        <v>46097</v>
      </c>
      <c r="I77" s="89">
        <f>IFERROR(__xludf.DUMMYFUNCTION("""COMPUTED_VALUE"""),3.0)</f>
        <v>3</v>
      </c>
      <c r="J77" s="28">
        <f>IFERROR(__xludf.DUMMYFUNCTION("""COMPUTED_VALUE"""),6402000.0)</f>
        <v>6402000</v>
      </c>
      <c r="K77" s="36" t="str">
        <f>IFERROR(__xludf.DUMMYFUNCTION("""COMPUTED_VALUE"""),"nanti dikabari lagi")</f>
        <v>nanti dikabari lagi</v>
      </c>
      <c r="L77" s="49"/>
      <c r="M77" s="20"/>
      <c r="N77" s="20"/>
      <c r="O77" s="20"/>
      <c r="P77" s="20"/>
    </row>
    <row r="78">
      <c r="A78" s="11">
        <f>IFERROR(__xludf.DUMMYFUNCTION("""COMPUTED_VALUE"""),46058.0)</f>
        <v>46058</v>
      </c>
      <c r="B78" s="12" t="str">
        <f>IFERROR(__xludf.DUMMYFUNCTION("""COMPUTED_VALUE"""),"2602A006")</f>
        <v>2602A006</v>
      </c>
      <c r="C78" s="10" t="str">
        <f>IFERROR(__xludf.DUMMYFUNCTION("""COMPUTED_VALUE"""),"Akm")</f>
        <v>Akm</v>
      </c>
      <c r="D78" s="13" t="str">
        <f>IFERROR(__xludf.DUMMYFUNCTION("""COMPUTED_VALUE"""),"085200412086")</f>
        <v>085200412086</v>
      </c>
      <c r="E78" s="14" t="str">
        <f>IFERROR(__xludf.DUMMYFUNCTION("""COMPUTED_VALUE"""),"Lainnya")</f>
        <v>Lainnya</v>
      </c>
      <c r="F78" s="14" t="str">
        <f>IFERROR(__xludf.DUMMYFUNCTION("""COMPUTED_VALUE"""),"Gagal")</f>
        <v>Gagal</v>
      </c>
      <c r="G78" s="14" t="str">
        <f>IFERROR(__xludf.DUMMYFUNCTION("""COMPUTED_VALUE"""),"Trip Green island")</f>
        <v>Trip Green island</v>
      </c>
      <c r="H78" s="16"/>
      <c r="I78" s="17">
        <f>IFERROR(__xludf.DUMMYFUNCTION("""COMPUTED_VALUE"""),1.0)</f>
        <v>1</v>
      </c>
      <c r="J78" s="18"/>
      <c r="K78" s="46" t="str">
        <f>IFERROR(__xludf.DUMMYFUNCTION("""COMPUTED_VALUE"""),"sudah di trip lain")</f>
        <v>sudah di trip lain</v>
      </c>
      <c r="L78" s="10"/>
      <c r="M78" s="20"/>
      <c r="N78" s="20"/>
      <c r="O78" s="20"/>
      <c r="P78" s="20"/>
    </row>
    <row r="79">
      <c r="A79" s="21">
        <f>IFERROR(__xludf.DUMMYFUNCTION("""COMPUTED_VALUE"""),46058.0)</f>
        <v>46058</v>
      </c>
      <c r="B79" s="22" t="str">
        <f>IFERROR(__xludf.DUMMYFUNCTION("""COMPUTED_VALUE"""),"2602A007")</f>
        <v>2602A007</v>
      </c>
      <c r="C79" s="23" t="str">
        <f>IFERROR(__xludf.DUMMYFUNCTION("""COMPUTED_VALUE"""),"Rizka")</f>
        <v>Rizka</v>
      </c>
      <c r="D79" s="24" t="str">
        <f>IFERROR(__xludf.DUMMYFUNCTION("""COMPUTED_VALUE"""),"085280537600")</f>
        <v>085280537600</v>
      </c>
      <c r="E79" s="14" t="str">
        <f>IFERROR(__xludf.DUMMYFUNCTION("""COMPUTED_VALUE"""),"Website")</f>
        <v>Website</v>
      </c>
      <c r="F79" s="14" t="str">
        <f>IFERROR(__xludf.DUMMYFUNCTION("""COMPUTED_VALUE"""),"Closing")</f>
        <v>Closing</v>
      </c>
      <c r="G79" s="14" t="str">
        <f>IFERROR(__xludf.DUMMYFUNCTION("""COMPUTED_VALUE"""),"2H1M Z (1D PM, 1D KW B)")</f>
        <v>2H1M Z (1D PM, 1D KW B)</v>
      </c>
      <c r="H79" s="26"/>
      <c r="I79" s="27">
        <f>IFERROR(__xludf.DUMMYFUNCTION("""COMPUTED_VALUE"""),4.0)</f>
        <v>4</v>
      </c>
      <c r="J79" s="24">
        <f>IFERROR(__xludf.DUMMYFUNCTION("""COMPUTED_VALUE"""),3840000.0)</f>
        <v>3840000</v>
      </c>
      <c r="K79" s="36" t="str">
        <f>IFERROR(__xludf.DUMMYFUNCTION("""COMPUTED_VALUE"""),"Sudah DP alhamdulillah")</f>
        <v>Sudah DP alhamdulillah</v>
      </c>
      <c r="L79" s="49"/>
      <c r="M79" s="20"/>
      <c r="N79" s="20"/>
      <c r="O79" s="20"/>
      <c r="P79" s="20"/>
    </row>
    <row r="80">
      <c r="A80" s="11">
        <f>IFERROR(__xludf.DUMMYFUNCTION("""COMPUTED_VALUE"""),46059.0)</f>
        <v>46059</v>
      </c>
      <c r="B80" s="12" t="str">
        <f>IFERROR(__xludf.DUMMYFUNCTION("""COMPUTED_VALUE"""),"2602A008")</f>
        <v>2602A008</v>
      </c>
      <c r="C80" s="10" t="str">
        <f>IFERROR(__xludf.DUMMYFUNCTION("""COMPUTED_VALUE"""),"Michelle")</f>
        <v>Michelle</v>
      </c>
      <c r="D80" s="13" t="str">
        <f>IFERROR(__xludf.DUMMYFUNCTION("""COMPUTED_VALUE"""),"08111807321")</f>
        <v>08111807321</v>
      </c>
      <c r="E80" s="14" t="str">
        <f>IFERROR(__xludf.DUMMYFUNCTION("""COMPUTED_VALUE"""),"Website")</f>
        <v>Website</v>
      </c>
      <c r="F80" s="14" t="str">
        <f>IFERROR(__xludf.DUMMYFUNCTION("""COMPUTED_VALUE"""),"Gagal")</f>
        <v>Gagal</v>
      </c>
      <c r="G80" s="14" t="str">
        <f>IFERROR(__xludf.DUMMYFUNCTION("""COMPUTED_VALUE"""),"Trip Teluk Hijau")</f>
        <v>Trip Teluk Hijau</v>
      </c>
      <c r="H80" s="16">
        <f>IFERROR(__xludf.DUMMYFUNCTION("""COMPUTED_VALUE"""),46158.0)</f>
        <v>46158</v>
      </c>
      <c r="I80" s="17">
        <f>IFERROR(__xludf.DUMMYFUNCTION("""COMPUTED_VALUE"""),6.0)</f>
        <v>6</v>
      </c>
      <c r="J80" s="18">
        <f>IFERROR(__xludf.DUMMYFUNCTION("""COMPUTED_VALUE"""),3090000.0)</f>
        <v>3090000</v>
      </c>
      <c r="K80" s="19" t="str">
        <f>IFERROR(__xludf.DUMMYFUNCTION("""COMPUTED_VALUE"""),"tidak ada balasan")</f>
        <v>tidak ada balasan</v>
      </c>
      <c r="L80" s="88" t="str">
        <f>IFERROR(__xludf.DUMMYFUNCTION("""COMPUTED_VALUE"""),"https://docs.google.com/document/d/1Hq7YCuakPtUJsUYKsWDb8GCrQAL7Sype9pV3jo0_5XI/edit?usp=sharing")</f>
        <v>https://docs.google.com/document/d/1Hq7YCuakPtUJsUYKsWDb8GCrQAL7Sype9pV3jo0_5XI/edit?usp=sharing</v>
      </c>
      <c r="M80" s="20"/>
      <c r="N80" s="20"/>
      <c r="O80" s="20"/>
      <c r="P80" s="20"/>
    </row>
    <row r="81">
      <c r="A81" s="21">
        <f>IFERROR(__xludf.DUMMYFUNCTION("""COMPUTED_VALUE"""),46060.0)</f>
        <v>46060</v>
      </c>
      <c r="B81" s="22" t="str">
        <f>IFERROR(__xludf.DUMMYFUNCTION("""COMPUTED_VALUE"""),"2602A009")</f>
        <v>2602A009</v>
      </c>
      <c r="C81" s="23" t="str">
        <f>IFERROR(__xludf.DUMMYFUNCTION("""COMPUTED_VALUE"""),"Julinda")</f>
        <v>Julinda</v>
      </c>
      <c r="D81" s="24" t="str">
        <f>IFERROR(__xludf.DUMMYFUNCTION("""COMPUTED_VALUE"""),"08990033369")</f>
        <v>08990033369</v>
      </c>
      <c r="E81" s="14" t="str">
        <f>IFERROR(__xludf.DUMMYFUNCTION("""COMPUTED_VALUE"""),"Website")</f>
        <v>Website</v>
      </c>
      <c r="F81" s="14" t="str">
        <f>IFERROR(__xludf.DUMMYFUNCTION("""COMPUTED_VALUE"""),"Gagal")</f>
        <v>Gagal</v>
      </c>
      <c r="G81" s="25" t="str">
        <f>IFERROR(__xludf.DUMMYFUNCTION("""COMPUTED_VALUE"""),"OT Alas Purwo, D, PM")</f>
        <v>OT Alas Purwo, D, PM</v>
      </c>
      <c r="H81" s="26">
        <f>IFERROR(__xludf.DUMMYFUNCTION("""COMPUTED_VALUE"""),46061.0)</f>
        <v>46061</v>
      </c>
      <c r="I81" s="89">
        <f>IFERROR(__xludf.DUMMYFUNCTION("""COMPUTED_VALUE"""),2.0)</f>
        <v>2</v>
      </c>
      <c r="J81" s="90"/>
      <c r="K81" s="36" t="str">
        <f>IFERROR(__xludf.DUMMYFUNCTION("""COMPUTED_VALUE"""),"belum balas lagi")</f>
        <v>belum balas lagi</v>
      </c>
      <c r="L81" s="49"/>
      <c r="M81" s="20"/>
      <c r="N81" s="20"/>
      <c r="O81" s="20"/>
      <c r="P81" s="20"/>
    </row>
    <row r="82">
      <c r="A82" s="11">
        <f>IFERROR(__xludf.DUMMYFUNCTION("""COMPUTED_VALUE"""),46060.0)</f>
        <v>46060</v>
      </c>
      <c r="B82" s="12" t="str">
        <f>IFERROR(__xludf.DUMMYFUNCTION("""COMPUTED_VALUE"""),"2602A010")</f>
        <v>2602A010</v>
      </c>
      <c r="C82" s="10" t="str">
        <f>IFERROR(__xludf.DUMMYFUNCTION("""COMPUTED_VALUE"""),"Lenny")</f>
        <v>Lenny</v>
      </c>
      <c r="D82" s="13" t="str">
        <f>IFERROR(__xludf.DUMMYFUNCTION("""COMPUTED_VALUE"""),"081319190031")</f>
        <v>081319190031</v>
      </c>
      <c r="E82" s="14" t="str">
        <f>IFERROR(__xludf.DUMMYFUNCTION("""COMPUTED_VALUE"""),"Website")</f>
        <v>Website</v>
      </c>
      <c r="F82" s="14" t="str">
        <f>IFERROR(__xludf.DUMMYFUNCTION("""COMPUTED_VALUE"""),"Gagal")</f>
        <v>Gagal</v>
      </c>
      <c r="G82" s="15" t="str">
        <f>IFERROR(__xludf.DUMMYFUNCTION("""COMPUTED_VALUE"""),"OT 3H2M Everyday")</f>
        <v>OT 3H2M Everyday</v>
      </c>
      <c r="H82" s="16"/>
      <c r="I82" s="17">
        <f>IFERROR(__xludf.DUMMYFUNCTION("""COMPUTED_VALUE"""),2.0)</f>
        <v>2</v>
      </c>
      <c r="J82" s="18">
        <f>IFERROR(__xludf.DUMMYFUNCTION("""COMPUTED_VALUE"""),3200000.0)</f>
        <v>3200000</v>
      </c>
      <c r="K82" s="46" t="str">
        <f>IFERROR(__xludf.DUMMYFUNCTION("""COMPUTED_VALUE"""),"masih tanya tanya")</f>
        <v>masih tanya tanya</v>
      </c>
      <c r="L82" s="10"/>
      <c r="M82" s="20"/>
      <c r="N82" s="20"/>
      <c r="O82" s="20"/>
      <c r="P82" s="20"/>
    </row>
    <row r="83">
      <c r="A83" s="21">
        <f>IFERROR(__xludf.DUMMYFUNCTION("""COMPUTED_VALUE"""),46061.0)</f>
        <v>46061</v>
      </c>
      <c r="B83" s="22" t="str">
        <f>IFERROR(__xludf.DUMMYFUNCTION("""COMPUTED_VALUE"""),"2602A011")</f>
        <v>2602A011</v>
      </c>
      <c r="C83" s="23" t="str">
        <f>IFERROR(__xludf.DUMMYFUNCTION("""COMPUTED_VALUE"""),"A.M")</f>
        <v>A.M</v>
      </c>
      <c r="D83" s="24" t="str">
        <f>IFERROR(__xludf.DUMMYFUNCTION("""COMPUTED_VALUE"""),"085141444406")</f>
        <v>085141444406</v>
      </c>
      <c r="E83" s="14" t="str">
        <f>IFERROR(__xludf.DUMMYFUNCTION("""COMPUTED_VALUE"""),"Lainnya")</f>
        <v>Lainnya</v>
      </c>
      <c r="F83" s="14" t="str">
        <f>IFERROR(__xludf.DUMMYFUNCTION("""COMPUTED_VALUE"""),"Gagal")</f>
        <v>Gagal</v>
      </c>
      <c r="G83" s="25" t="str">
        <f>IFERROR(__xludf.DUMMYFUNCTION("""COMPUTED_VALUE"""),"OT D, B")</f>
        <v>OT D, B</v>
      </c>
      <c r="H83" s="78">
        <f>IFERROR(__xludf.DUMMYFUNCTION("""COMPUTED_VALUE"""),46068.0)</f>
        <v>46068</v>
      </c>
      <c r="I83" s="27">
        <f>IFERROR(__xludf.DUMMYFUNCTION("""COMPUTED_VALUE"""),2.0)</f>
        <v>2</v>
      </c>
      <c r="J83" s="91">
        <f>IFERROR(__xludf.DUMMYFUNCTION("""COMPUTED_VALUE"""),1100000.0)</f>
        <v>1100000</v>
      </c>
      <c r="K83" s="30" t="str">
        <f>IFERROR(__xludf.DUMMYFUNCTION("""COMPUTED_VALUE"""),"nanti dikabari jika fiks, masih di luar negri, FU 2 maret")</f>
        <v>nanti dikabari jika fiks, masih di luar negri, FU 2 maret</v>
      </c>
      <c r="L83" s="49"/>
      <c r="M83" s="20"/>
      <c r="N83" s="20"/>
      <c r="O83" s="20"/>
      <c r="P83" s="20"/>
    </row>
    <row r="84">
      <c r="A84" s="11">
        <f>IFERROR(__xludf.DUMMYFUNCTION("""COMPUTED_VALUE"""),46061.0)</f>
        <v>46061</v>
      </c>
      <c r="B84" s="12" t="str">
        <f>IFERROR(__xludf.DUMMYFUNCTION("""COMPUTED_VALUE"""),"2602A012")</f>
        <v>2602A012</v>
      </c>
      <c r="C84" s="10" t="str">
        <f>IFERROR(__xludf.DUMMYFUNCTION("""COMPUTED_VALUE"""),"Marina Woods")</f>
        <v>Marina Woods</v>
      </c>
      <c r="D84" s="13" t="str">
        <f>IFERROR(__xludf.DUMMYFUNCTION("""COMPUTED_VALUE"""),"447899367364")</f>
        <v>447899367364</v>
      </c>
      <c r="E84" s="14" t="str">
        <f>IFERROR(__xludf.DUMMYFUNCTION("""COMPUTED_VALUE"""),"Website")</f>
        <v>Website</v>
      </c>
      <c r="F84" s="14" t="str">
        <f>IFERROR(__xludf.DUMMYFUNCTION("""COMPUTED_VALUE"""),"Closing")</f>
        <v>Closing</v>
      </c>
      <c r="G84" s="14" t="str">
        <f>IFERROR(__xludf.DUMMYFUNCTION("""COMPUTED_VALUE"""),"Private Trip Ijen")</f>
        <v>Private Trip Ijen</v>
      </c>
      <c r="H84" s="16">
        <f>IFERROR(__xludf.DUMMYFUNCTION("""COMPUTED_VALUE"""),46062.0)</f>
        <v>46062</v>
      </c>
      <c r="I84" s="17">
        <f>IFERROR(__xludf.DUMMYFUNCTION("""COMPUTED_VALUE"""),2.0)</f>
        <v>2</v>
      </c>
      <c r="J84" s="18">
        <f>IFERROR(__xludf.DUMMYFUNCTION("""COMPUTED_VALUE"""),1600000.0)</f>
        <v>1600000</v>
      </c>
      <c r="K84" s="46" t="str">
        <f>IFERROR(__xludf.DUMMYFUNCTION("""COMPUTED_VALUE"""),"order, sdh dp")</f>
        <v>order, sdh dp</v>
      </c>
      <c r="L84" s="10"/>
      <c r="M84" s="20"/>
      <c r="N84" s="20"/>
      <c r="O84" s="20"/>
      <c r="P84" s="20"/>
    </row>
    <row r="85">
      <c r="A85" s="21">
        <f>IFERROR(__xludf.DUMMYFUNCTION("""COMPUTED_VALUE"""),46062.0)</f>
        <v>46062</v>
      </c>
      <c r="B85" s="22" t="str">
        <f>IFERROR(__xludf.DUMMYFUNCTION("""COMPUTED_VALUE"""),"2602A013")</f>
        <v>2602A013</v>
      </c>
      <c r="C85" s="49" t="str">
        <f>IFERROR(__xludf.DUMMYFUNCTION("""COMPUTED_VALUE"""),"Shethe")</f>
        <v>Shethe</v>
      </c>
      <c r="D85" s="24" t="str">
        <f>IFERROR(__xludf.DUMMYFUNCTION("""COMPUTED_VALUE"""),"085729951440")</f>
        <v>085729951440</v>
      </c>
      <c r="E85" s="14" t="str">
        <f>IFERROR(__xludf.DUMMYFUNCTION("""COMPUTED_VALUE"""),"Website")</f>
        <v>Website</v>
      </c>
      <c r="F85" s="14" t="str">
        <f>IFERROR(__xludf.DUMMYFUNCTION("""COMPUTED_VALUE"""),"Gagal")</f>
        <v>Gagal</v>
      </c>
      <c r="G85" s="14" t="str">
        <f>IFERROR(__xludf.DUMMYFUNCTION("""COMPUTED_VALUE"""),"Trip Ijen")</f>
        <v>Trip Ijen</v>
      </c>
      <c r="H85" s="26"/>
      <c r="I85" s="27">
        <f>IFERROR(__xludf.DUMMYFUNCTION("""COMPUTED_VALUE"""),5.0)</f>
        <v>5</v>
      </c>
      <c r="J85" s="91"/>
      <c r="K85" s="30" t="str">
        <f>IFERROR(__xludf.DUMMYFUNCTION("""COMPUTED_VALUE"""),"tanya tanya")</f>
        <v>tanya tanya</v>
      </c>
      <c r="L85" s="23"/>
      <c r="M85" s="20"/>
      <c r="N85" s="20"/>
      <c r="O85" s="20"/>
      <c r="P85" s="20"/>
    </row>
    <row r="86">
      <c r="A86" s="11">
        <f>IFERROR(__xludf.DUMMYFUNCTION("""COMPUTED_VALUE"""),46062.0)</f>
        <v>46062</v>
      </c>
      <c r="B86" s="12" t="str">
        <f>IFERROR(__xludf.DUMMYFUNCTION("""COMPUTED_VALUE"""),"2602A014")</f>
        <v>2602A014</v>
      </c>
      <c r="C86" s="10" t="str">
        <f>IFERROR(__xludf.DUMMYFUNCTION("""COMPUTED_VALUE"""),"Sunardi Edy Sukamto")</f>
        <v>Sunardi Edy Sukamto</v>
      </c>
      <c r="D86" s="13" t="str">
        <f>IFERROR(__xludf.DUMMYFUNCTION("""COMPUTED_VALUE"""),"08123282494")</f>
        <v>08123282494</v>
      </c>
      <c r="E86" s="14" t="str">
        <f>IFERROR(__xludf.DUMMYFUNCTION("""COMPUTED_VALUE"""),"Website")</f>
        <v>Website</v>
      </c>
      <c r="F86" s="14" t="str">
        <f>IFERROR(__xludf.DUMMYFUNCTION("""COMPUTED_VALUE"""),"Gagal")</f>
        <v>Gagal</v>
      </c>
      <c r="G86" s="25" t="str">
        <f>IFERROR(__xludf.DUMMYFUNCTION("""COMPUTED_VALUE"""),"1 day Trip D,MU,PM")</f>
        <v>1 day Trip D,MU,PM</v>
      </c>
      <c r="H86" s="92">
        <f>IFERROR(__xludf.DUMMYFUNCTION("""COMPUTED_VALUE"""),46067.0)</f>
        <v>46067</v>
      </c>
      <c r="I86" s="80">
        <f>IFERROR(__xludf.DUMMYFUNCTION("""COMPUTED_VALUE"""),32.0)</f>
        <v>32</v>
      </c>
      <c r="J86" s="93">
        <f>IFERROR(__xludf.DUMMYFUNCTION("""COMPUTED_VALUE"""),7360000.0)</f>
        <v>7360000</v>
      </c>
      <c r="K86" s="19" t="str">
        <f>IFERROR(__xludf.DUMMYFUNCTION("""COMPUTED_VALUE"""),"rombongan tidak jadi berangkat")</f>
        <v>rombongan tidak jadi berangkat</v>
      </c>
      <c r="L86" s="76"/>
      <c r="M86" s="20"/>
      <c r="N86" s="20"/>
      <c r="O86" s="20"/>
      <c r="P86" s="20"/>
    </row>
    <row r="87">
      <c r="A87" s="21">
        <f>IFERROR(__xludf.DUMMYFUNCTION("""COMPUTED_VALUE"""),46062.0)</f>
        <v>46062</v>
      </c>
      <c r="B87" s="22" t="str">
        <f>IFERROR(__xludf.DUMMYFUNCTION("""COMPUTED_VALUE"""),"2602A015")</f>
        <v>2602A015</v>
      </c>
      <c r="C87" s="23" t="str">
        <f>IFERROR(__xludf.DUMMYFUNCTION("""COMPUTED_VALUE"""),"Trisna")</f>
        <v>Trisna</v>
      </c>
      <c r="D87" s="24" t="str">
        <f>IFERROR(__xludf.DUMMYFUNCTION("""COMPUTED_VALUE"""),"081332193311")</f>
        <v>081332193311</v>
      </c>
      <c r="E87" s="14" t="str">
        <f>IFERROR(__xludf.DUMMYFUNCTION("""COMPUTED_VALUE"""),"Website")</f>
        <v>Website</v>
      </c>
      <c r="F87" s="14" t="str">
        <f>IFERROR(__xludf.DUMMYFUNCTION("""COMPUTED_VALUE"""),"Gagal")</f>
        <v>Gagal</v>
      </c>
      <c r="G87" s="14" t="str">
        <f>IFERROR(__xludf.DUMMYFUNCTION("""COMPUTED_VALUE"""),"Trip GI")</f>
        <v>Trip GI</v>
      </c>
      <c r="H87" s="26"/>
      <c r="I87" s="27">
        <f>IFERROR(__xludf.DUMMYFUNCTION("""COMPUTED_VALUE"""),2.0)</f>
        <v>2</v>
      </c>
      <c r="J87" s="24"/>
      <c r="K87" s="30" t="str">
        <f>IFERROR(__xludf.DUMMYFUNCTION("""COMPUTED_VALUE"""),"gagal karna tidak tertarik")</f>
        <v>gagal karna tidak tertarik</v>
      </c>
      <c r="L87" s="23"/>
      <c r="M87" s="20"/>
      <c r="N87" s="20"/>
      <c r="O87" s="20"/>
      <c r="P87" s="20"/>
    </row>
    <row r="88">
      <c r="A88" s="11">
        <f>IFERROR(__xludf.DUMMYFUNCTION("""COMPUTED_VALUE"""),46062.0)</f>
        <v>46062</v>
      </c>
      <c r="B88" s="12" t="str">
        <f>IFERROR(__xludf.DUMMYFUNCTION("""COMPUTED_VALUE"""),"2602A016")</f>
        <v>2602A016</v>
      </c>
      <c r="C88" s="10" t="str">
        <f>IFERROR(__xludf.DUMMYFUNCTION("""COMPUTED_VALUE"""),"Ulul Amri")</f>
        <v>Ulul Amri</v>
      </c>
      <c r="D88" s="13" t="str">
        <f>IFERROR(__xludf.DUMMYFUNCTION("""COMPUTED_VALUE"""),"085278155358")</f>
        <v>085278155358</v>
      </c>
      <c r="E88" s="14" t="str">
        <f>IFERROR(__xludf.DUMMYFUNCTION("""COMPUTED_VALUE"""),"Website")</f>
        <v>Website</v>
      </c>
      <c r="F88" s="14" t="str">
        <f>IFERROR(__xludf.DUMMYFUNCTION("""COMPUTED_VALUE"""),"Gagal")</f>
        <v>Gagal</v>
      </c>
      <c r="G88" s="15" t="str">
        <f>IFERROR(__xludf.DUMMYFUNCTION("""COMPUTED_VALUE"""),"Trip Ijen")</f>
        <v>Trip Ijen</v>
      </c>
      <c r="H88" s="16">
        <f>IFERROR(__xludf.DUMMYFUNCTION("""COMPUTED_VALUE"""),46067.0)</f>
        <v>46067</v>
      </c>
      <c r="I88" s="17">
        <f>IFERROR(__xludf.DUMMYFUNCTION("""COMPUTED_VALUE"""),5.0)</f>
        <v>5</v>
      </c>
      <c r="J88" s="94"/>
      <c r="K88" s="46" t="str">
        <f>IFERROR(__xludf.DUMMYFUNCTION("""COMPUTED_VALUE"""),"lewat tanggal dan tidak balas lagi")</f>
        <v>lewat tanggal dan tidak balas lagi</v>
      </c>
      <c r="L88" s="10"/>
      <c r="M88" s="20"/>
      <c r="N88" s="20"/>
      <c r="O88" s="20"/>
      <c r="P88" s="20"/>
    </row>
    <row r="89">
      <c r="A89" s="21">
        <f>IFERROR(__xludf.DUMMYFUNCTION("""COMPUTED_VALUE"""),46063.0)</f>
        <v>46063</v>
      </c>
      <c r="B89" s="22" t="str">
        <f>IFERROR(__xludf.DUMMYFUNCTION("""COMPUTED_VALUE"""),"2602A017")</f>
        <v>2602A017</v>
      </c>
      <c r="C89" s="23" t="str">
        <f>IFERROR(__xludf.DUMMYFUNCTION("""COMPUTED_VALUE"""),"Rosidbagus")</f>
        <v>Rosidbagus</v>
      </c>
      <c r="D89" s="24" t="str">
        <f>IFERROR(__xludf.DUMMYFUNCTION("""COMPUTED_VALUE"""),"082123031677")</f>
        <v>082123031677</v>
      </c>
      <c r="E89" s="14" t="str">
        <f>IFERROR(__xludf.DUMMYFUNCTION("""COMPUTED_VALUE"""),"Website")</f>
        <v>Website</v>
      </c>
      <c r="F89" s="14" t="str">
        <f>IFERROR(__xludf.DUMMYFUNCTION("""COMPUTED_VALUE"""),"Gagal")</f>
        <v>Gagal</v>
      </c>
      <c r="G89" s="25" t="str">
        <f>IFERROR(__xludf.DUMMYFUNCTION("""COMPUTED_VALUE"""),"Trip D, B")</f>
        <v>Trip D, B</v>
      </c>
      <c r="H89" s="26">
        <f>IFERROR(__xludf.DUMMYFUNCTION("""COMPUTED_VALUE"""),46105.0)</f>
        <v>46105</v>
      </c>
      <c r="I89" s="27">
        <f>IFERROR(__xludf.DUMMYFUNCTION("""COMPUTED_VALUE"""),6.0)</f>
        <v>6</v>
      </c>
      <c r="J89" s="28">
        <f>IFERROR(__xludf.DUMMYFUNCTION("""COMPUTED_VALUE"""),4290000.0)</f>
        <v>4290000</v>
      </c>
      <c r="K89" s="36" t="str">
        <f>IFERROR(__xludf.DUMMYFUNCTION("""COMPUTED_VALUE"""),"gada respon")</f>
        <v>gada respon</v>
      </c>
      <c r="L89" s="49"/>
      <c r="M89" s="20"/>
      <c r="N89" s="20"/>
      <c r="O89" s="20"/>
      <c r="P89" s="20"/>
    </row>
    <row r="90">
      <c r="A90" s="11">
        <f>IFERROR(__xludf.DUMMYFUNCTION("""COMPUTED_VALUE"""),46063.0)</f>
        <v>46063</v>
      </c>
      <c r="B90" s="12" t="str">
        <f>IFERROR(__xludf.DUMMYFUNCTION("""COMPUTED_VALUE"""),"2602A018")</f>
        <v>2602A018</v>
      </c>
      <c r="C90" s="10" t="str">
        <f>IFERROR(__xludf.DUMMYFUNCTION("""COMPUTED_VALUE"""),"Dila ")</f>
        <v>Dila </v>
      </c>
      <c r="D90" s="13" t="str">
        <f>IFERROR(__xludf.DUMMYFUNCTION("""COMPUTED_VALUE"""),"081332256246")</f>
        <v>081332256246</v>
      </c>
      <c r="E90" s="14" t="str">
        <f>IFERROR(__xludf.DUMMYFUNCTION("""COMPUTED_VALUE"""),"Website")</f>
        <v>Website</v>
      </c>
      <c r="F90" s="14" t="str">
        <f>IFERROR(__xludf.DUMMYFUNCTION("""COMPUTED_VALUE"""),"Closing")</f>
        <v>Closing</v>
      </c>
      <c r="G90" s="25" t="str">
        <f>IFERROR(__xludf.DUMMYFUNCTION("""COMPUTED_VALUE"""),"Open Trip Ijen")</f>
        <v>Open Trip Ijen</v>
      </c>
      <c r="H90" s="16">
        <f>IFERROR(__xludf.DUMMYFUNCTION("""COMPUTED_VALUE"""),46069.0)</f>
        <v>46069</v>
      </c>
      <c r="I90" s="80">
        <f>IFERROR(__xludf.DUMMYFUNCTION("""COMPUTED_VALUE"""),4.0)</f>
        <v>4</v>
      </c>
      <c r="J90" s="54">
        <f>IFERROR(__xludf.DUMMYFUNCTION("""COMPUTED_VALUE"""),1000000.0)</f>
        <v>1000000</v>
      </c>
      <c r="K90" s="19" t="str">
        <f>IFERROR(__xludf.DUMMYFUNCTION("""COMPUTED_VALUE"""),"order,")</f>
        <v>order,</v>
      </c>
      <c r="L90" s="76"/>
      <c r="M90" s="20"/>
      <c r="N90" s="20"/>
      <c r="O90" s="20"/>
      <c r="P90" s="20"/>
    </row>
    <row r="91">
      <c r="A91" s="21">
        <f>IFERROR(__xludf.DUMMYFUNCTION("""COMPUTED_VALUE"""),46066.0)</f>
        <v>46066</v>
      </c>
      <c r="B91" s="22" t="str">
        <f>IFERROR(__xludf.DUMMYFUNCTION("""COMPUTED_VALUE"""),"2602A019")</f>
        <v>2602A019</v>
      </c>
      <c r="C91" s="23" t="str">
        <f>IFERROR(__xludf.DUMMYFUNCTION("""COMPUTED_VALUE"""),"Dev")</f>
        <v>Dev</v>
      </c>
      <c r="D91" s="24" t="str">
        <f>IFERROR(__xludf.DUMMYFUNCTION("""COMPUTED_VALUE"""),"0895411763369")</f>
        <v>0895411763369</v>
      </c>
      <c r="E91" s="14" t="str">
        <f>IFERROR(__xludf.DUMMYFUNCTION("""COMPUTED_VALUE"""),"Website")</f>
        <v>Website</v>
      </c>
      <c r="F91" s="14" t="str">
        <f>IFERROR(__xludf.DUMMYFUNCTION("""COMPUTED_VALUE"""),"Gagal")</f>
        <v>Gagal</v>
      </c>
      <c r="G91" s="14"/>
      <c r="H91" s="26"/>
      <c r="I91" s="27"/>
      <c r="J91" s="28"/>
      <c r="K91" s="30"/>
      <c r="L91" s="23"/>
      <c r="M91" s="20"/>
      <c r="N91" s="20"/>
      <c r="O91" s="20"/>
      <c r="P91" s="20"/>
    </row>
    <row r="92">
      <c r="A92" s="11">
        <f>IFERROR(__xludf.DUMMYFUNCTION("""COMPUTED_VALUE"""),46066.0)</f>
        <v>46066</v>
      </c>
      <c r="B92" s="12" t="str">
        <f>IFERROR(__xludf.DUMMYFUNCTION("""COMPUTED_VALUE"""),"2602A020")</f>
        <v>2602A020</v>
      </c>
      <c r="C92" s="10" t="str">
        <f>IFERROR(__xludf.DUMMYFUNCTION("""COMPUTED_VALUE"""),"Happy Petals")</f>
        <v>Happy Petals</v>
      </c>
      <c r="D92" s="13" t="str">
        <f>IFERROR(__xludf.DUMMYFUNCTION("""COMPUTED_VALUE"""),"08315680898")</f>
        <v>08315680898</v>
      </c>
      <c r="E92" s="14" t="str">
        <f>IFERROR(__xludf.DUMMYFUNCTION("""COMPUTED_VALUE"""),"Website")</f>
        <v>Website</v>
      </c>
      <c r="F92" s="14" t="str">
        <f>IFERROR(__xludf.DUMMYFUNCTION("""COMPUTED_VALUE"""),"Gagal")</f>
        <v>Gagal</v>
      </c>
      <c r="G92" s="15" t="str">
        <f>IFERROR(__xludf.DUMMYFUNCTION("""COMPUTED_VALUE"""),"Trip Menjangan, Ijen")</f>
        <v>Trip Menjangan, Ijen</v>
      </c>
      <c r="H92" s="92"/>
      <c r="I92" s="17">
        <f>IFERROR(__xludf.DUMMYFUNCTION("""COMPUTED_VALUE"""),3.0)</f>
        <v>3</v>
      </c>
      <c r="J92" s="54"/>
      <c r="K92" s="46" t="str">
        <f>IFERROR(__xludf.DUMMYFUNCTION("""COMPUTED_VALUE"""),"tanya tanya")</f>
        <v>tanya tanya</v>
      </c>
      <c r="L92" s="10"/>
      <c r="M92" s="20"/>
      <c r="N92" s="20"/>
      <c r="O92" s="20"/>
      <c r="P92" s="20"/>
    </row>
    <row r="93">
      <c r="A93" s="21">
        <f>IFERROR(__xludf.DUMMYFUNCTION("""COMPUTED_VALUE"""),46066.0)</f>
        <v>46066</v>
      </c>
      <c r="B93" s="22" t="str">
        <f>IFERROR(__xludf.DUMMYFUNCTION("""COMPUTED_VALUE"""),"2602A021")</f>
        <v>2602A021</v>
      </c>
      <c r="C93" s="23" t="str">
        <f>IFERROR(__xludf.DUMMYFUNCTION("""COMPUTED_VALUE"""),"Owen")</f>
        <v>Owen</v>
      </c>
      <c r="D93" s="24" t="str">
        <f>IFERROR(__xludf.DUMMYFUNCTION("""COMPUTED_VALUE"""),"085100988588")</f>
        <v>085100988588</v>
      </c>
      <c r="E93" s="14" t="str">
        <f>IFERROR(__xludf.DUMMYFUNCTION("""COMPUTED_VALUE"""),"Instagram")</f>
        <v>Instagram</v>
      </c>
      <c r="F93" s="14" t="str">
        <f>IFERROR(__xludf.DUMMYFUNCTION("""COMPUTED_VALUE"""),"Closing")</f>
        <v>Closing</v>
      </c>
      <c r="G93" s="14" t="str">
        <f>IFERROR(__xludf.DUMMYFUNCTION("""COMPUTED_VALUE"""),"private trip M T")</f>
        <v>private trip M T</v>
      </c>
      <c r="H93" s="26">
        <f>IFERROR(__xludf.DUMMYFUNCTION("""COMPUTED_VALUE"""),46074.0)</f>
        <v>46074</v>
      </c>
      <c r="I93" s="27">
        <f>IFERROR(__xludf.DUMMYFUNCTION("""COMPUTED_VALUE"""),3.0)</f>
        <v>3</v>
      </c>
      <c r="J93" s="28">
        <f>IFERROR(__xludf.DUMMYFUNCTION("""COMPUTED_VALUE"""),1830000.0)</f>
        <v>1830000</v>
      </c>
      <c r="K93" s="30" t="str">
        <f>IFERROR(__xludf.DUMMYFUNCTION("""COMPUTED_VALUE""")," order")</f>
        <v> order</v>
      </c>
      <c r="L93" s="23"/>
      <c r="M93" s="20"/>
      <c r="N93" s="20"/>
      <c r="O93" s="20"/>
      <c r="P93" s="20"/>
    </row>
    <row r="94">
      <c r="A94" s="11">
        <f>IFERROR(__xludf.DUMMYFUNCTION("""COMPUTED_VALUE"""),46067.0)</f>
        <v>46067</v>
      </c>
      <c r="B94" s="12" t="str">
        <f>IFERROR(__xludf.DUMMYFUNCTION("""COMPUTED_VALUE"""),"2602A022")</f>
        <v>2602A022</v>
      </c>
      <c r="C94" s="10" t="str">
        <f>IFERROR(__xludf.DUMMYFUNCTION("""COMPUTED_VALUE"""),"Rahayu")</f>
        <v>Rahayu</v>
      </c>
      <c r="D94" s="13" t="str">
        <f>IFERROR(__xludf.DUMMYFUNCTION("""COMPUTED_VALUE"""),"08113392183")</f>
        <v>08113392183</v>
      </c>
      <c r="E94" s="14" t="str">
        <f>IFERROR(__xludf.DUMMYFUNCTION("""COMPUTED_VALUE"""),"Website")</f>
        <v>Website</v>
      </c>
      <c r="F94" s="14" t="str">
        <f>IFERROR(__xludf.DUMMYFUNCTION("""COMPUTED_VALUE"""),"Gagal")</f>
        <v>Gagal</v>
      </c>
      <c r="G94" s="14" t="str">
        <f>IFERROR(__xludf.DUMMYFUNCTION("""COMPUTED_VALUE"""),"2H1M")</f>
        <v>2H1M</v>
      </c>
      <c r="H94" s="16"/>
      <c r="I94" s="80">
        <f>IFERROR(__xludf.DUMMYFUNCTION("""COMPUTED_VALUE"""),1.0)</f>
        <v>1</v>
      </c>
      <c r="J94" s="54">
        <f>IFERROR(__xludf.DUMMYFUNCTION("""COMPUTED_VALUE"""),4680000.0)</f>
        <v>4680000</v>
      </c>
      <c r="K94" s="46" t="str">
        <f>IFERROR(__xludf.DUMMYFUNCTION("""COMPUTED_VALUE"""),"belum balas lagi")</f>
        <v>belum balas lagi</v>
      </c>
      <c r="L94" s="10"/>
      <c r="M94" s="20"/>
      <c r="N94" s="20"/>
      <c r="O94" s="20"/>
      <c r="P94" s="20"/>
    </row>
    <row r="95">
      <c r="A95" s="21">
        <f>IFERROR(__xludf.DUMMYFUNCTION("""COMPUTED_VALUE"""),46067.0)</f>
        <v>46067</v>
      </c>
      <c r="B95" s="22" t="str">
        <f>IFERROR(__xludf.DUMMYFUNCTION("""COMPUTED_VALUE"""),"2512A003")</f>
        <v>2512A003</v>
      </c>
      <c r="C95" s="23" t="str">
        <f>IFERROR(__xludf.DUMMYFUNCTION("""COMPUTED_VALUE"""),"Arif Dalan Wisata")</f>
        <v>Arif Dalan Wisata</v>
      </c>
      <c r="D95" s="24" t="str">
        <f>IFERROR(__xludf.DUMMYFUNCTION("""COMPUTED_VALUE"""),"082121616867")</f>
        <v>082121616867</v>
      </c>
      <c r="E95" s="14" t="str">
        <f>IFERROR(__xludf.DUMMYFUNCTION("""COMPUTED_VALUE"""),"Website")</f>
        <v>Website</v>
      </c>
      <c r="F95" s="14" t="str">
        <f>IFERROR(__xludf.DUMMYFUNCTION("""COMPUTED_VALUE"""),"Gagal")</f>
        <v>Gagal</v>
      </c>
      <c r="G95" s="15" t="str">
        <f>IFERROR(__xludf.DUMMYFUNCTION("""COMPUTED_VALUE"""),"2H2M Custom")</f>
        <v>2H2M Custom</v>
      </c>
      <c r="H95" s="26"/>
      <c r="I95" s="27">
        <f>IFERROR(__xludf.DUMMYFUNCTION("""COMPUTED_VALUE"""),35.0)</f>
        <v>35</v>
      </c>
      <c r="J95" s="33">
        <f>IFERROR(__xludf.DUMMYFUNCTION("""COMPUTED_VALUE"""),5.25E7)</f>
        <v>52500000</v>
      </c>
      <c r="K95" s="30" t="str">
        <f>IFERROR(__xludf.DUMMYFUNCTION("""COMPUTED_VALUE"""),"sudah buat penawaran")</f>
        <v>sudah buat penawaran</v>
      </c>
      <c r="L95" s="23"/>
      <c r="M95" s="20"/>
      <c r="N95" s="20"/>
      <c r="O95" s="20"/>
      <c r="P95" s="20"/>
    </row>
    <row r="96">
      <c r="A96" s="11">
        <f>IFERROR(__xludf.DUMMYFUNCTION("""COMPUTED_VALUE"""),46067.0)</f>
        <v>46067</v>
      </c>
      <c r="B96" s="12" t="str">
        <f>IFERROR(__xludf.DUMMYFUNCTION("""COMPUTED_VALUE"""),"2602A023")</f>
        <v>2602A023</v>
      </c>
      <c r="C96" s="10" t="str">
        <f>IFERROR(__xludf.DUMMYFUNCTION("""COMPUTED_VALUE"""),"Tri Handoko")</f>
        <v>Tri Handoko</v>
      </c>
      <c r="D96" s="13" t="str">
        <f>IFERROR(__xludf.DUMMYFUNCTION("""COMPUTED_VALUE"""),"08151629111")</f>
        <v>08151629111</v>
      </c>
      <c r="E96" s="14" t="str">
        <f>IFERROR(__xludf.DUMMYFUNCTION("""COMPUTED_VALUE"""),"Website")</f>
        <v>Website</v>
      </c>
      <c r="F96" s="14" t="str">
        <f>IFERROR(__xludf.DUMMYFUNCTION("""COMPUTED_VALUE"""),"Closing")</f>
        <v>Closing</v>
      </c>
      <c r="G96" s="14" t="str">
        <f>IFERROR(__xludf.DUMMYFUNCTION("""COMPUTED_VALUE"""),"Trip Menjangan Tabuhan")</f>
        <v>Trip Menjangan Tabuhan</v>
      </c>
      <c r="H96" s="16">
        <f>IFERROR(__xludf.DUMMYFUNCTION("""COMPUTED_VALUE"""),46069.0)</f>
        <v>46069</v>
      </c>
      <c r="I96" s="17">
        <f>IFERROR(__xludf.DUMMYFUNCTION("""COMPUTED_VALUE"""),6.0)</f>
        <v>6</v>
      </c>
      <c r="J96" s="54">
        <f>IFERROR(__xludf.DUMMYFUNCTION("""COMPUTED_VALUE"""),2460000.0)</f>
        <v>2460000</v>
      </c>
      <c r="K96" s="46" t="str">
        <f>IFERROR(__xludf.DUMMYFUNCTION("""COMPUTED_VALUE"""),"order")</f>
        <v>order</v>
      </c>
      <c r="L96" s="10"/>
      <c r="M96" s="20"/>
      <c r="N96" s="20"/>
      <c r="O96" s="20"/>
      <c r="P96" s="20"/>
    </row>
    <row r="97">
      <c r="A97" s="21">
        <f>IFERROR(__xludf.DUMMYFUNCTION("""COMPUTED_VALUE"""),46069.0)</f>
        <v>46069</v>
      </c>
      <c r="B97" s="22" t="str">
        <f>IFERROR(__xludf.DUMMYFUNCTION("""COMPUTED_VALUE"""),"2602A024")</f>
        <v>2602A024</v>
      </c>
      <c r="C97" s="23" t="str">
        <f>IFERROR(__xludf.DUMMYFUNCTION("""COMPUTED_VALUE"""),"Dirga")</f>
        <v>Dirga</v>
      </c>
      <c r="D97" s="24" t="str">
        <f>IFERROR(__xludf.DUMMYFUNCTION("""COMPUTED_VALUE"""),"083819575522‬")</f>
        <v>083819575522‬</v>
      </c>
      <c r="E97" s="14" t="str">
        <f>IFERROR(__xludf.DUMMYFUNCTION("""COMPUTED_VALUE"""),"Lainnya")</f>
        <v>Lainnya</v>
      </c>
      <c r="F97" s="14" t="str">
        <f>IFERROR(__xludf.DUMMYFUNCTION("""COMPUTED_VALUE"""),"Gagal")</f>
        <v>Gagal</v>
      </c>
      <c r="G97" s="25" t="str">
        <f>IFERROR(__xludf.DUMMYFUNCTION("""COMPUTED_VALUE"""),"3H2M")</f>
        <v>3H2M</v>
      </c>
      <c r="H97" s="26"/>
      <c r="I97" s="27">
        <f>IFERROR(__xludf.DUMMYFUNCTION("""COMPUTED_VALUE"""),2.0)</f>
        <v>2</v>
      </c>
      <c r="J97" s="28"/>
      <c r="K97" s="36" t="str">
        <f>IFERROR(__xludf.DUMMYFUNCTION("""COMPUTED_VALUE"""),"budget masih kurang")</f>
        <v>budget masih kurang</v>
      </c>
      <c r="L97" s="23"/>
      <c r="M97" s="20"/>
      <c r="N97" s="20"/>
      <c r="O97" s="20"/>
      <c r="P97" s="20"/>
    </row>
    <row r="98">
      <c r="A98" s="11">
        <f>IFERROR(__xludf.DUMMYFUNCTION("""COMPUTED_VALUE"""),46069.0)</f>
        <v>46069</v>
      </c>
      <c r="B98" s="12" t="str">
        <f>IFERROR(__xludf.DUMMYFUNCTION("""COMPUTED_VALUE"""),"2602A025")</f>
        <v>2602A025</v>
      </c>
      <c r="C98" s="10" t="str">
        <f>IFERROR(__xludf.DUMMYFUNCTION("""COMPUTED_VALUE"""),"083134610505‬")</f>
        <v>083134610505‬</v>
      </c>
      <c r="D98" s="13" t="str">
        <f>IFERROR(__xludf.DUMMYFUNCTION("""COMPUTED_VALUE"""),"083134610505‬")</f>
        <v>083134610505‬</v>
      </c>
      <c r="E98" s="14" t="str">
        <f>IFERROR(__xludf.DUMMYFUNCTION("""COMPUTED_VALUE"""),"Website")</f>
        <v>Website</v>
      </c>
      <c r="F98" s="14" t="str">
        <f>IFERROR(__xludf.DUMMYFUNCTION("""COMPUTED_VALUE"""),"Gagal")</f>
        <v>Gagal</v>
      </c>
      <c r="G98" s="25" t="str">
        <f>IFERROR(__xludf.DUMMYFUNCTION("""COMPUTED_VALUE"""),"3H2M")</f>
        <v>3H2M</v>
      </c>
      <c r="H98" s="16"/>
      <c r="I98" s="80">
        <f>IFERROR(__xludf.DUMMYFUNCTION("""COMPUTED_VALUE"""),2.0)</f>
        <v>2</v>
      </c>
      <c r="J98" s="95"/>
      <c r="K98" s="19" t="str">
        <f>IFERROR(__xludf.DUMMYFUNCTION("""COMPUTED_VALUE"""),"tidak ada jawaban")</f>
        <v>tidak ada jawaban</v>
      </c>
      <c r="L98" s="10"/>
      <c r="M98" s="20"/>
      <c r="N98" s="20"/>
      <c r="O98" s="20"/>
      <c r="P98" s="20"/>
    </row>
    <row r="99">
      <c r="A99" s="21">
        <f>IFERROR(__xludf.DUMMYFUNCTION("""COMPUTED_VALUE"""),46069.0)</f>
        <v>46069</v>
      </c>
      <c r="B99" s="22" t="str">
        <f>IFERROR(__xludf.DUMMYFUNCTION("""COMPUTED_VALUE"""),"2602A026")</f>
        <v>2602A026</v>
      </c>
      <c r="C99" s="23" t="str">
        <f>IFERROR(__xludf.DUMMYFUNCTION("""COMPUTED_VALUE"""),"Ira")</f>
        <v>Ira</v>
      </c>
      <c r="D99" s="24" t="str">
        <f>IFERROR(__xludf.DUMMYFUNCTION("""COMPUTED_VALUE"""),"083820481784‬")</f>
        <v>083820481784‬</v>
      </c>
      <c r="E99" s="14" t="str">
        <f>IFERROR(__xludf.DUMMYFUNCTION("""COMPUTED_VALUE"""),"Lainnya")</f>
        <v>Lainnya</v>
      </c>
      <c r="F99" s="14" t="str">
        <f>IFERROR(__xludf.DUMMYFUNCTION("""COMPUTED_VALUE"""),"Gagal")</f>
        <v>Gagal</v>
      </c>
      <c r="G99" s="15" t="str">
        <f>IFERROR(__xludf.DUMMYFUNCTION("""COMPUTED_VALUE"""),"3H2M")</f>
        <v>3H2M</v>
      </c>
      <c r="H99" s="26"/>
      <c r="I99" s="27">
        <f>IFERROR(__xludf.DUMMYFUNCTION("""COMPUTED_VALUE"""),2.0)</f>
        <v>2</v>
      </c>
      <c r="J99" s="28"/>
      <c r="K99" s="36" t="str">
        <f>IFERROR(__xludf.DUMMYFUNCTION("""COMPUTED_VALUE"""),"gada balasan")</f>
        <v>gada balasan</v>
      </c>
      <c r="L99" s="87" t="str">
        <f>IFERROR(__xludf.DUMMYFUNCTION("""COMPUTED_VALUE"""),"https://docs.google.com/document/d/11YdmRlFi-WWKqHGELpCpy0x-_2wwvx5U7V_2f2bLfHI/edit?usp=sharing")</f>
        <v>https://docs.google.com/document/d/11YdmRlFi-WWKqHGELpCpy0x-_2wwvx5U7V_2f2bLfHI/edit?usp=sharing</v>
      </c>
      <c r="M99" s="20"/>
      <c r="N99" s="20"/>
      <c r="O99" s="20"/>
      <c r="P99" s="20"/>
    </row>
    <row r="100">
      <c r="A100" s="11">
        <f>IFERROR(__xludf.DUMMYFUNCTION("""COMPUTED_VALUE"""),46070.0)</f>
        <v>46070</v>
      </c>
      <c r="B100" s="12" t="str">
        <f>IFERROR(__xludf.DUMMYFUNCTION("""COMPUTED_VALUE"""),"2602A027")</f>
        <v>2602A027</v>
      </c>
      <c r="C100" s="10" t="str">
        <f>IFERROR(__xludf.DUMMYFUNCTION("""COMPUTED_VALUE"""),"Elita")</f>
        <v>Elita</v>
      </c>
      <c r="D100" s="13" t="str">
        <f>IFERROR(__xludf.DUMMYFUNCTION("""COMPUTED_VALUE"""),"0818669148‬")</f>
        <v>0818669148‬</v>
      </c>
      <c r="E100" s="14" t="str">
        <f>IFERROR(__xludf.DUMMYFUNCTION("""COMPUTED_VALUE"""),"Website")</f>
        <v>Website</v>
      </c>
      <c r="F100" s="14" t="str">
        <f>IFERROR(__xludf.DUMMYFUNCTION("""COMPUTED_VALUE"""),"Gagal")</f>
        <v>Gagal</v>
      </c>
      <c r="G100" s="14" t="str">
        <f>IFERROR(__xludf.DUMMYFUNCTION("""COMPUTED_VALUE"""),"2H1M")</f>
        <v>2H1M</v>
      </c>
      <c r="H100" s="16"/>
      <c r="I100" s="17"/>
      <c r="J100" s="18"/>
      <c r="K100" s="46" t="str">
        <f>IFERROR(__xludf.DUMMYFUNCTION("""COMPUTED_VALUE"""),"tidak ada jawaban")</f>
        <v>tidak ada jawaban</v>
      </c>
      <c r="L100" s="10"/>
      <c r="M100" s="20"/>
      <c r="N100" s="20"/>
      <c r="O100" s="20"/>
      <c r="P100" s="20"/>
    </row>
    <row r="101">
      <c r="A101" s="21">
        <f>IFERROR(__xludf.DUMMYFUNCTION("""COMPUTED_VALUE"""),46070.0)</f>
        <v>46070</v>
      </c>
      <c r="B101" s="22" t="str">
        <f>IFERROR(__xludf.DUMMYFUNCTION("""COMPUTED_VALUE"""),"2602A033")</f>
        <v>2602A033</v>
      </c>
      <c r="C101" s="23" t="str">
        <f>IFERROR(__xludf.DUMMYFUNCTION("""COMPUTED_VALUE"""),"sekar")</f>
        <v>sekar</v>
      </c>
      <c r="D101" s="24" t="str">
        <f>IFERROR(__xludf.DUMMYFUNCTION("""COMPUTED_VALUE"""),"085651299413‬")</f>
        <v>085651299413‬</v>
      </c>
      <c r="E101" s="14" t="str">
        <f>IFERROR(__xludf.DUMMYFUNCTION("""COMPUTED_VALUE"""),"Website")</f>
        <v>Website</v>
      </c>
      <c r="F101" s="14" t="str">
        <f>IFERROR(__xludf.DUMMYFUNCTION("""COMPUTED_VALUE"""),"Gagal")</f>
        <v>Gagal</v>
      </c>
      <c r="G101" s="15" t="str">
        <f>IFERROR(__xludf.DUMMYFUNCTION("""COMPUTED_VALUE"""),"2H1M")</f>
        <v>2H1M</v>
      </c>
      <c r="H101" s="26"/>
      <c r="I101" s="27">
        <f>IFERROR(__xludf.DUMMYFUNCTION("""COMPUTED_VALUE"""),12.0)</f>
        <v>12</v>
      </c>
      <c r="J101" s="33">
        <f>IFERROR(__xludf.DUMMYFUNCTION("""COMPUTED_VALUE"""),1.14E7)</f>
        <v>11400000</v>
      </c>
      <c r="K101" s="30" t="str">
        <f>IFERROR(__xludf.DUMMYFUNCTION("""COMPUTED_VALUE"""),"sudah di followup. tidak ada jawaban")</f>
        <v>sudah di followup. tidak ada jawaban</v>
      </c>
      <c r="L101" s="87" t="str">
        <f>IFERROR(__xludf.DUMMYFUNCTION("""COMPUTED_VALUE"""),"https://docs.google.com/document/d/1_ekJualW89sVypOKyDX_WI53TOOFaw3wtFUWP6tWIn4/edit?usp=sharing")</f>
        <v>https://docs.google.com/document/d/1_ekJualW89sVypOKyDX_WI53TOOFaw3wtFUWP6tWIn4/edit?usp=sharing</v>
      </c>
      <c r="M101" s="20"/>
      <c r="N101" s="20"/>
      <c r="O101" s="20"/>
      <c r="P101" s="20"/>
    </row>
    <row r="102">
      <c r="A102" s="11">
        <f>IFERROR(__xludf.DUMMYFUNCTION("""COMPUTED_VALUE"""),46070.0)</f>
        <v>46070</v>
      </c>
      <c r="B102" s="12" t="str">
        <f>IFERROR(__xludf.DUMMYFUNCTION("""COMPUTED_VALUE"""),"2602A028")</f>
        <v>2602A028</v>
      </c>
      <c r="C102" s="10" t="str">
        <f>IFERROR(__xludf.DUMMYFUNCTION("""COMPUTED_VALUE"""),"Bonnie Fredika")</f>
        <v>Bonnie Fredika</v>
      </c>
      <c r="D102" s="13" t="str">
        <f>IFERROR(__xludf.DUMMYFUNCTION("""COMPUTED_VALUE"""),"085723181118‬")</f>
        <v>085723181118‬</v>
      </c>
      <c r="E102" s="14" t="str">
        <f>IFERROR(__xludf.DUMMYFUNCTION("""COMPUTED_VALUE"""),"Website")</f>
        <v>Website</v>
      </c>
      <c r="F102" s="14" t="str">
        <f>IFERROR(__xludf.DUMMYFUNCTION("""COMPUTED_VALUE"""),"Review")</f>
        <v>Review</v>
      </c>
      <c r="G102" s="15" t="str">
        <f>IFERROR(__xludf.DUMMYFUNCTION("""COMPUTED_VALUE"""),"3H2M")</f>
        <v>3H2M</v>
      </c>
      <c r="H102" s="16"/>
      <c r="I102" s="17">
        <f>IFERROR(__xludf.DUMMYFUNCTION("""COMPUTED_VALUE"""),10.0)</f>
        <v>10</v>
      </c>
      <c r="J102" s="18">
        <f>IFERROR(__xludf.DUMMYFUNCTION("""COMPUTED_VALUE"""),1.1E7)</f>
        <v>11000000</v>
      </c>
      <c r="K102" s="46" t="str">
        <f>IFERROR(__xludf.DUMMYFUNCTION("""COMPUTED_VALUE"""),"ALHAMDULILLAH CLOSING")</f>
        <v>ALHAMDULILLAH CLOSING</v>
      </c>
      <c r="L102" s="100" t="str">
        <f>IFERROR(__xludf.DUMMYFUNCTION("""COMPUTED_VALUE"""),"https://docs.google.com/document/d/1lcOU9WELHGwPNGVd_Qn8hkjTCd388v03p7F_6Wi4yMk/edit?usp=sharing")</f>
        <v>https://docs.google.com/document/d/1lcOU9WELHGwPNGVd_Qn8hkjTCd388v03p7F_6Wi4yMk/edit?usp=sharing</v>
      </c>
      <c r="M102" s="20"/>
      <c r="N102" s="20"/>
      <c r="O102" s="20"/>
      <c r="P102" s="20"/>
    </row>
    <row r="103">
      <c r="A103" s="21">
        <f>IFERROR(__xludf.DUMMYFUNCTION("""COMPUTED_VALUE"""),46071.0)</f>
        <v>46071</v>
      </c>
      <c r="B103" s="22" t="str">
        <f>IFERROR(__xludf.DUMMYFUNCTION("""COMPUTED_VALUE"""),"2602A029")</f>
        <v>2602A029</v>
      </c>
      <c r="C103" s="23" t="str">
        <f>IFERROR(__xludf.DUMMYFUNCTION("""COMPUTED_VALUE"""),"Neni")</f>
        <v>Neni</v>
      </c>
      <c r="D103" s="24" t="str">
        <f>IFERROR(__xludf.DUMMYFUNCTION("""COMPUTED_VALUE"""),"081213494140‬")</f>
        <v>081213494140‬</v>
      </c>
      <c r="E103" s="14" t="str">
        <f>IFERROR(__xludf.DUMMYFUNCTION("""COMPUTED_VALUE"""),"Lainnya")</f>
        <v>Lainnya</v>
      </c>
      <c r="F103" s="14" t="str">
        <f>IFERROR(__xludf.DUMMYFUNCTION("""COMPUTED_VALUE"""),"Gagal")</f>
        <v>Gagal</v>
      </c>
      <c r="G103" s="14" t="str">
        <f>IFERROR(__xludf.DUMMYFUNCTION("""COMPUTED_VALUE"""),"djabal")</f>
        <v>djabal</v>
      </c>
      <c r="H103" s="26">
        <f>IFERROR(__xludf.DUMMYFUNCTION("""COMPUTED_VALUE"""),46105.0)</f>
        <v>46105</v>
      </c>
      <c r="I103" s="27">
        <f>IFERROR(__xludf.DUMMYFUNCTION("""COMPUTED_VALUE"""),2.0)</f>
        <v>2</v>
      </c>
      <c r="J103" s="28">
        <f>IFERROR(__xludf.DUMMYFUNCTION("""COMPUTED_VALUE"""),2280200.0)</f>
        <v>2280200</v>
      </c>
      <c r="K103" s="30" t="str">
        <f>IFERROR(__xludf.DUMMYFUNCTION("""COMPUTED_VALUE"""),"lewat tanggal. tidak balas")</f>
        <v>lewat tanggal. tidak balas</v>
      </c>
      <c r="L103" s="23"/>
      <c r="M103" s="20"/>
      <c r="N103" s="20"/>
      <c r="O103" s="20"/>
      <c r="P103" s="20"/>
    </row>
    <row r="104">
      <c r="A104" s="11">
        <f>IFERROR(__xludf.DUMMYFUNCTION("""COMPUTED_VALUE"""),46071.0)</f>
        <v>46071</v>
      </c>
      <c r="B104" s="12" t="str">
        <f>IFERROR(__xludf.DUMMYFUNCTION("""COMPUTED_VALUE"""),"2602A030")</f>
        <v>2602A030</v>
      </c>
      <c r="C104" s="10" t="str">
        <f>IFERROR(__xludf.DUMMYFUNCTION("""COMPUTED_VALUE"""),"GA")</f>
        <v>GA</v>
      </c>
      <c r="D104" s="13" t="str">
        <f>IFERROR(__xludf.DUMMYFUNCTION("""COMPUTED_VALUE"""),"087701802154‬")</f>
        <v>087701802154‬</v>
      </c>
      <c r="E104" s="14" t="str">
        <f>IFERROR(__xludf.DUMMYFUNCTION("""COMPUTED_VALUE"""),"Lainnya")</f>
        <v>Lainnya</v>
      </c>
      <c r="F104" s="14" t="str">
        <f>IFERROR(__xludf.DUMMYFUNCTION("""COMPUTED_VALUE"""),"Gagal")</f>
        <v>Gagal</v>
      </c>
      <c r="G104" s="14" t="str">
        <f>IFERROR(__xludf.DUMMYFUNCTION("""COMPUTED_VALUE"""),"3H2M / 4H3M")</f>
        <v>3H2M / 4H3M</v>
      </c>
      <c r="H104" s="16"/>
      <c r="I104" s="17"/>
      <c r="J104" s="18"/>
      <c r="K104" s="46" t="str">
        <f>IFERROR(__xludf.DUMMYFUNCTION("""COMPUTED_VALUE"""),"gada bbalasan")</f>
        <v>gada bbalasan</v>
      </c>
      <c r="L104" s="10"/>
      <c r="M104" s="20"/>
      <c r="N104" s="20"/>
      <c r="O104" s="20"/>
      <c r="P104" s="20"/>
    </row>
    <row r="105">
      <c r="A105" s="21">
        <f>IFERROR(__xludf.DUMMYFUNCTION("""COMPUTED_VALUE"""),46071.0)</f>
        <v>46071</v>
      </c>
      <c r="B105" s="22" t="str">
        <f>IFERROR(__xludf.DUMMYFUNCTION("""COMPUTED_VALUE"""),"2602A031")</f>
        <v>2602A031</v>
      </c>
      <c r="C105" s="23" t="str">
        <f>IFERROR(__xludf.DUMMYFUNCTION("""COMPUTED_VALUE"""),"Zavic")</f>
        <v>Zavic</v>
      </c>
      <c r="D105" s="24" t="str">
        <f>IFERROR(__xludf.DUMMYFUNCTION("""COMPUTED_VALUE"""),"6588137243")</f>
        <v>6588137243</v>
      </c>
      <c r="E105" s="14" t="str">
        <f>IFERROR(__xludf.DUMMYFUNCTION("""COMPUTED_VALUE"""),"Lainnya")</f>
        <v>Lainnya</v>
      </c>
      <c r="F105" s="14" t="str">
        <f>IFERROR(__xludf.DUMMYFUNCTION("""COMPUTED_VALUE"""),"Gagal")</f>
        <v>Gagal</v>
      </c>
      <c r="G105" s="15" t="str">
        <f>IFERROR(__xludf.DUMMYFUNCTION("""COMPUTED_VALUE"""),"Trip D, B")</f>
        <v>Trip D, B</v>
      </c>
      <c r="H105" s="26">
        <f>IFERROR(__xludf.DUMMYFUNCTION("""COMPUTED_VALUE"""),46086.0)</f>
        <v>46086</v>
      </c>
      <c r="I105" s="89">
        <f>IFERROR(__xludf.DUMMYFUNCTION("""COMPUTED_VALUE"""),3.0)</f>
        <v>3</v>
      </c>
      <c r="J105" s="96"/>
      <c r="K105" s="30" t="str">
        <f>IFERROR(__xludf.DUMMYFUNCTION("""COMPUTED_VALUE"""),"teman kendrick, pesan di trip lain")</f>
        <v>teman kendrick, pesan di trip lain</v>
      </c>
      <c r="L105" s="23"/>
      <c r="M105" s="20"/>
      <c r="N105" s="20"/>
      <c r="O105" s="20"/>
      <c r="P105" s="20"/>
    </row>
    <row r="106">
      <c r="A106" s="11">
        <f>IFERROR(__xludf.DUMMYFUNCTION("""COMPUTED_VALUE"""),46071.0)</f>
        <v>46071</v>
      </c>
      <c r="B106" s="12" t="str">
        <f>IFERROR(__xludf.DUMMYFUNCTION("""COMPUTED_VALUE"""),"2602A032")</f>
        <v>2602A032</v>
      </c>
      <c r="C106" s="10" t="str">
        <f>IFERROR(__xludf.DUMMYFUNCTION("""COMPUTED_VALUE"""),"Kendrick")</f>
        <v>Kendrick</v>
      </c>
      <c r="D106" s="13" t="str">
        <f>IFERROR(__xludf.DUMMYFUNCTION("""COMPUTED_VALUE"""),"6587571305")</f>
        <v>6587571305</v>
      </c>
      <c r="E106" s="14" t="str">
        <f>IFERROR(__xludf.DUMMYFUNCTION("""COMPUTED_VALUE"""),"Lainnya")</f>
        <v>Lainnya</v>
      </c>
      <c r="F106" s="14" t="str">
        <f>IFERROR(__xludf.DUMMYFUNCTION("""COMPUTED_VALUE"""),"Gagal")</f>
        <v>Gagal</v>
      </c>
      <c r="G106" s="14" t="str">
        <f>IFERROR(__xludf.DUMMYFUNCTION("""COMPUTED_VALUE"""),"Trip D, B")</f>
        <v>Trip D, B</v>
      </c>
      <c r="H106" s="16">
        <f>IFERROR(__xludf.DUMMYFUNCTION("""COMPUTED_VALUE"""),46085.0)</f>
        <v>46085</v>
      </c>
      <c r="I106" s="17">
        <f>IFERROR(__xludf.DUMMYFUNCTION("""COMPUTED_VALUE"""),3.0)</f>
        <v>3</v>
      </c>
      <c r="J106" s="18"/>
      <c r="K106" s="46" t="str">
        <f>IFERROR(__xludf.DUMMYFUNCTION("""COMPUTED_VALUE"""),"pesan di trip lain")</f>
        <v>pesan di trip lain</v>
      </c>
      <c r="L106" s="10"/>
      <c r="M106" s="20"/>
      <c r="N106" s="20"/>
      <c r="O106" s="20"/>
      <c r="P106" s="20"/>
    </row>
    <row r="107">
      <c r="A107" s="21">
        <f>IFERROR(__xludf.DUMMYFUNCTION("""COMPUTED_VALUE"""),46072.0)</f>
        <v>46072</v>
      </c>
      <c r="B107" s="22" t="str">
        <f>IFERROR(__xludf.DUMMYFUNCTION("""COMPUTED_VALUE"""),"2602A034")</f>
        <v>2602A034</v>
      </c>
      <c r="C107" s="23" t="str">
        <f>IFERROR(__xludf.DUMMYFUNCTION("""COMPUTED_VALUE"""),"Saktia")</f>
        <v>Saktia</v>
      </c>
      <c r="D107" s="24" t="str">
        <f>IFERROR(__xludf.DUMMYFUNCTION("""COMPUTED_VALUE"""),"083840449658")</f>
        <v>083840449658</v>
      </c>
      <c r="E107" s="14" t="str">
        <f>IFERROR(__xludf.DUMMYFUNCTION("""COMPUTED_VALUE"""),"Website")</f>
        <v>Website</v>
      </c>
      <c r="F107" s="14" t="str">
        <f>IFERROR(__xludf.DUMMYFUNCTION("""COMPUTED_VALUE"""),"Gagal")</f>
        <v>Gagal</v>
      </c>
      <c r="G107" s="15"/>
      <c r="H107" s="26"/>
      <c r="I107" s="27"/>
      <c r="J107" s="28"/>
      <c r="K107" s="36" t="str">
        <f>IFERROR(__xludf.DUMMYFUNCTION("""COMPUTED_VALUE"""),"hanya menyapa")</f>
        <v>hanya menyapa</v>
      </c>
      <c r="L107" s="23"/>
      <c r="M107" s="20"/>
      <c r="N107" s="20"/>
      <c r="O107" s="20"/>
      <c r="P107" s="20"/>
    </row>
    <row r="108">
      <c r="A108" s="11">
        <f>IFERROR(__xludf.DUMMYFUNCTION("""COMPUTED_VALUE"""),46072.0)</f>
        <v>46072</v>
      </c>
      <c r="B108" s="12" t="str">
        <f>IFERROR(__xludf.DUMMYFUNCTION("""COMPUTED_VALUE"""),"2602A035")</f>
        <v>2602A035</v>
      </c>
      <c r="C108" s="10" t="str">
        <f>IFERROR(__xludf.DUMMYFUNCTION("""COMPUTED_VALUE"""),"Widya sanjiwani")</f>
        <v>Widya sanjiwani</v>
      </c>
      <c r="D108" s="13" t="str">
        <f>IFERROR(__xludf.DUMMYFUNCTION("""COMPUTED_VALUE"""),"087857132284")</f>
        <v>087857132284</v>
      </c>
      <c r="E108" s="14" t="str">
        <f>IFERROR(__xludf.DUMMYFUNCTION("""COMPUTED_VALUE"""),"Tiktok")</f>
        <v>Tiktok</v>
      </c>
      <c r="F108" s="14" t="str">
        <f>IFERROR(__xludf.DUMMYFUNCTION("""COMPUTED_VALUE"""),"Closing")</f>
        <v>Closing</v>
      </c>
      <c r="G108" s="14" t="str">
        <f>IFERROR(__xludf.DUMMYFUNCTION("""COMPUTED_VALUE"""),"OT M T")</f>
        <v>OT M T</v>
      </c>
      <c r="H108" s="16">
        <f>IFERROR(__xludf.DUMMYFUNCTION("""COMPUTED_VALUE"""),46075.0)</f>
        <v>46075</v>
      </c>
      <c r="I108" s="17">
        <f>IFERROR(__xludf.DUMMYFUNCTION("""COMPUTED_VALUE"""),2.0)</f>
        <v>2</v>
      </c>
      <c r="J108" s="18">
        <f>IFERROR(__xludf.DUMMYFUNCTION("""COMPUTED_VALUE"""),590000.0)</f>
        <v>590000</v>
      </c>
      <c r="K108" s="46" t="str">
        <f>IFERROR(__xludf.DUMMYFUNCTION("""COMPUTED_VALUE"""),"order")</f>
        <v>order</v>
      </c>
      <c r="L108" s="76"/>
      <c r="M108" s="20"/>
      <c r="N108" s="20"/>
      <c r="O108" s="20"/>
      <c r="P108" s="20"/>
    </row>
    <row r="109">
      <c r="A109" s="21">
        <f>IFERROR(__xludf.DUMMYFUNCTION("""COMPUTED_VALUE"""),46072.0)</f>
        <v>46072</v>
      </c>
      <c r="B109" s="22" t="str">
        <f>IFERROR(__xludf.DUMMYFUNCTION("""COMPUTED_VALUE"""),"2602A036")</f>
        <v>2602A036</v>
      </c>
      <c r="C109" s="23" t="str">
        <f>IFERROR(__xludf.DUMMYFUNCTION("""COMPUTED_VALUE"""),"salsabila")</f>
        <v>salsabila</v>
      </c>
      <c r="D109" s="24" t="str">
        <f>IFERROR(__xludf.DUMMYFUNCTION("""COMPUTED_VALUE"""),"081357790927‬")</f>
        <v>081357790927‬</v>
      </c>
      <c r="E109" s="14" t="str">
        <f>IFERROR(__xludf.DUMMYFUNCTION("""COMPUTED_VALUE"""),"Instagram")</f>
        <v>Instagram</v>
      </c>
      <c r="F109" s="14" t="str">
        <f>IFERROR(__xludf.DUMMYFUNCTION("""COMPUTED_VALUE"""),"Gagal")</f>
        <v>Gagal</v>
      </c>
      <c r="G109" s="15" t="str">
        <f>IFERROR(__xludf.DUMMYFUNCTION("""COMPUTED_VALUE"""),"2H1M")</f>
        <v>2H1M</v>
      </c>
      <c r="H109" s="26"/>
      <c r="I109" s="27">
        <f>IFERROR(__xludf.DUMMYFUNCTION("""COMPUTED_VALUE"""),46115.0)</f>
        <v>46115</v>
      </c>
      <c r="J109" s="33">
        <f>IFERROR(__xludf.DUMMYFUNCTION("""COMPUTED_VALUE"""),5400000.0)</f>
        <v>5400000</v>
      </c>
      <c r="K109" s="30" t="str">
        <f>IFERROR(__xludf.DUMMYFUNCTION("""COMPUTED_VALUE"""),"tidak ada balasan lagi")</f>
        <v>tidak ada balasan lagi</v>
      </c>
      <c r="L109" s="23"/>
      <c r="M109" s="20"/>
      <c r="N109" s="20"/>
      <c r="O109" s="20"/>
      <c r="P109" s="20"/>
    </row>
    <row r="110">
      <c r="A110" s="11">
        <f>IFERROR(__xludf.DUMMYFUNCTION("""COMPUTED_VALUE"""),46073.0)</f>
        <v>46073</v>
      </c>
      <c r="B110" s="12" t="str">
        <f>IFERROR(__xludf.DUMMYFUNCTION("""COMPUTED_VALUE"""),"2602A037")</f>
        <v>2602A037</v>
      </c>
      <c r="C110" s="10" t="str">
        <f>IFERROR(__xludf.DUMMYFUNCTION("""COMPUTED_VALUE"""),"ine resmisari")</f>
        <v>ine resmisari</v>
      </c>
      <c r="D110" s="13" t="str">
        <f>IFERROR(__xludf.DUMMYFUNCTION("""COMPUTED_VALUE"""),"089689976234‬")</f>
        <v>089689976234‬</v>
      </c>
      <c r="E110" s="14" t="str">
        <f>IFERROR(__xludf.DUMMYFUNCTION("""COMPUTED_VALUE"""),"Website")</f>
        <v>Website</v>
      </c>
      <c r="F110" s="14" t="str">
        <f>IFERROR(__xludf.DUMMYFUNCTION("""COMPUTED_VALUE"""),"Qualified")</f>
        <v>Qualified</v>
      </c>
      <c r="G110" s="15" t="str">
        <f>IFERROR(__xludf.DUMMYFUNCTION("""COMPUTED_VALUE"""),"4H3M")</f>
        <v>4H3M</v>
      </c>
      <c r="H110" s="16"/>
      <c r="I110" s="17">
        <f>IFERROR(__xludf.DUMMYFUNCTION("""COMPUTED_VALUE"""),48.0)</f>
        <v>48</v>
      </c>
      <c r="J110" s="18">
        <f>IFERROR(__xludf.DUMMYFUNCTION("""COMPUTED_VALUE"""),7.92E7)</f>
        <v>79200000</v>
      </c>
      <c r="K110" s="46" t="str">
        <f>IFERROR(__xludf.DUMMYFUNCTION("""COMPUTED_VALUE"""),"buat penawaran, fu mei")</f>
        <v>buat penawaran, fu mei</v>
      </c>
      <c r="L110" s="100" t="str">
        <f>IFERROR(__xludf.DUMMYFUNCTION("""COMPUTED_VALUE"""),"https://docs.google.com/document/d/15qIbL8EqkYecD8xmNsC_kTkMe29yBIrWPoEF_6kHtto/edit?usp=sharing")</f>
        <v>https://docs.google.com/document/d/15qIbL8EqkYecD8xmNsC_kTkMe29yBIrWPoEF_6kHtto/edit?usp=sharing</v>
      </c>
      <c r="M110" s="20"/>
      <c r="N110" s="20"/>
      <c r="O110" s="20"/>
      <c r="P110" s="20"/>
    </row>
    <row r="111">
      <c r="A111" s="21">
        <f>IFERROR(__xludf.DUMMYFUNCTION("""COMPUTED_VALUE"""),46074.0)</f>
        <v>46074</v>
      </c>
      <c r="B111" s="22" t="str">
        <f>IFERROR(__xludf.DUMMYFUNCTION("""COMPUTED_VALUE"""),"2602A038")</f>
        <v>2602A038</v>
      </c>
      <c r="C111" s="23" t="str">
        <f>IFERROR(__xludf.DUMMYFUNCTION("""COMPUTED_VALUE"""),"Dewi ")</f>
        <v>Dewi </v>
      </c>
      <c r="D111" s="24" t="str">
        <f>IFERROR(__xludf.DUMMYFUNCTION("""COMPUTED_VALUE"""),"085217294719")</f>
        <v>085217294719</v>
      </c>
      <c r="E111" s="14" t="str">
        <f>IFERROR(__xludf.DUMMYFUNCTION("""COMPUTED_VALUE"""),"Instagram")</f>
        <v>Instagram</v>
      </c>
      <c r="F111" s="14" t="str">
        <f>IFERROR(__xludf.DUMMYFUNCTION("""COMPUTED_VALUE"""),"Gagal")</f>
        <v>Gagal</v>
      </c>
      <c r="G111" s="14" t="str">
        <f>IFERROR(__xludf.DUMMYFUNCTION("""COMPUTED_VALUE"""),"3H2M A")</f>
        <v>3H2M A</v>
      </c>
      <c r="H111" s="26"/>
      <c r="I111" s="27">
        <f>IFERROR(__xludf.DUMMYFUNCTION("""COMPUTED_VALUE"""),2.0)</f>
        <v>2</v>
      </c>
      <c r="J111" s="28">
        <f>IFERROR(__xludf.DUMMYFUNCTION("""COMPUTED_VALUE"""),7194000.0)</f>
        <v>7194000</v>
      </c>
      <c r="K111" s="30" t="str">
        <f>IFERROR(__xludf.DUMMYFUNCTION("""COMPUTED_VALUE"""),"cancel")</f>
        <v>cancel</v>
      </c>
      <c r="L111" s="23"/>
      <c r="M111" s="20"/>
      <c r="N111" s="20"/>
      <c r="O111" s="20"/>
      <c r="P111" s="20"/>
    </row>
    <row r="112">
      <c r="A112" s="97">
        <f>IFERROR(__xludf.DUMMYFUNCTION("""COMPUTED_VALUE"""),46074.0)</f>
        <v>46074</v>
      </c>
      <c r="B112" s="98" t="str">
        <f>IFERROR(__xludf.DUMMYFUNCTION("""COMPUTED_VALUE"""),"2602A039")</f>
        <v>2602A039</v>
      </c>
      <c r="C112" s="76" t="str">
        <f>IFERROR(__xludf.DUMMYFUNCTION("""COMPUTED_VALUE"""),"Eren")</f>
        <v>Eren</v>
      </c>
      <c r="D112" s="99" t="str">
        <f>IFERROR(__xludf.DUMMYFUNCTION("""COMPUTED_VALUE"""),"085171061151")</f>
        <v>085171061151</v>
      </c>
      <c r="E112" s="25" t="str">
        <f>IFERROR(__xludf.DUMMYFUNCTION("""COMPUTED_VALUE"""),"Instagram")</f>
        <v>Instagram</v>
      </c>
      <c r="F112" s="25" t="str">
        <f>IFERROR(__xludf.DUMMYFUNCTION("""COMPUTED_VALUE"""),"Gagal")</f>
        <v>Gagal</v>
      </c>
      <c r="G112" s="25"/>
      <c r="H112" s="92"/>
      <c r="I112" s="80"/>
      <c r="J112" s="95"/>
      <c r="K112" s="19" t="str">
        <f>IFERROR(__xludf.DUMMYFUNCTION("""COMPUTED_VALUE"""),"hanya menyapa")</f>
        <v>hanya menyapa</v>
      </c>
      <c r="L112" s="76"/>
      <c r="M112" s="20"/>
      <c r="N112" s="20"/>
      <c r="O112" s="20"/>
      <c r="P112" s="20"/>
    </row>
    <row r="113">
      <c r="A113" s="21">
        <f>IFERROR(__xludf.DUMMYFUNCTION("""COMPUTED_VALUE"""),46075.0)</f>
        <v>46075</v>
      </c>
      <c r="B113" s="22" t="str">
        <f>IFERROR(__xludf.DUMMYFUNCTION("""COMPUTED_VALUE"""),"2602A040")</f>
        <v>2602A040</v>
      </c>
      <c r="C113" s="23" t="str">
        <f>IFERROR(__xludf.DUMMYFUNCTION("""COMPUTED_VALUE"""),"isti")</f>
        <v>isti</v>
      </c>
      <c r="D113" s="24" t="str">
        <f>IFERROR(__xludf.DUMMYFUNCTION("""COMPUTED_VALUE"""),"08123019533")</f>
        <v>08123019533</v>
      </c>
      <c r="E113" s="14" t="str">
        <f>IFERROR(__xludf.DUMMYFUNCTION("""COMPUTED_VALUE"""),"Website")</f>
        <v>Website</v>
      </c>
      <c r="F113" s="14" t="str">
        <f>IFERROR(__xludf.DUMMYFUNCTION("""COMPUTED_VALUE"""),"Gagal")</f>
        <v>Gagal</v>
      </c>
      <c r="G113" s="14" t="str">
        <f>IFERROR(__xludf.DUMMYFUNCTION("""COMPUTED_VALUE"""),"2H1M C")</f>
        <v>2H1M C</v>
      </c>
      <c r="H113" s="26">
        <f>IFERROR(__xludf.DUMMYFUNCTION("""COMPUTED_VALUE"""),46103.0)</f>
        <v>46103</v>
      </c>
      <c r="I113" s="27">
        <f>IFERROR(__xludf.DUMMYFUNCTION("""COMPUTED_VALUE"""),15.0)</f>
        <v>15</v>
      </c>
      <c r="J113" s="33">
        <f>IFERROR(__xludf.DUMMYFUNCTION("""COMPUTED_VALUE"""),1.245E7)</f>
        <v>12450000</v>
      </c>
      <c r="K113" s="30" t="str">
        <f>IFERROR(__xludf.DUMMYFUNCTION("""COMPUTED_VALUE"""),"buat penawaran")</f>
        <v>buat penawaran</v>
      </c>
      <c r="L113" s="23"/>
      <c r="M113" s="20"/>
      <c r="N113" s="20"/>
      <c r="O113" s="20"/>
      <c r="P113" s="20"/>
    </row>
    <row r="114">
      <c r="A114" s="11">
        <f>IFERROR(__xludf.DUMMYFUNCTION("""COMPUTED_VALUE"""),46075.0)</f>
        <v>46075</v>
      </c>
      <c r="B114" s="12" t="str">
        <f>IFERROR(__xludf.DUMMYFUNCTION("""COMPUTED_VALUE"""),"2602A041")</f>
        <v>2602A041</v>
      </c>
      <c r="C114" s="10" t="str">
        <f>IFERROR(__xludf.DUMMYFUNCTION("""COMPUTED_VALUE"""),"Wadihah")</f>
        <v>Wadihah</v>
      </c>
      <c r="D114" s="13" t="str">
        <f>IFERROR(__xludf.DUMMYFUNCTION("""COMPUTED_VALUE"""),"60175756486")</f>
        <v>60175756486</v>
      </c>
      <c r="E114" s="14" t="str">
        <f>IFERROR(__xludf.DUMMYFUNCTION("""COMPUTED_VALUE"""),"Instagram")</f>
        <v>Instagram</v>
      </c>
      <c r="F114" s="14" t="str">
        <f>IFERROR(__xludf.DUMMYFUNCTION("""COMPUTED_VALUE"""),"Gagal")</f>
        <v>Gagal</v>
      </c>
      <c r="G114" s="15" t="str">
        <f>IFERROR(__xludf.DUMMYFUNCTION("""COMPUTED_VALUE"""),"4H3M")</f>
        <v>4H3M</v>
      </c>
      <c r="H114" s="16"/>
      <c r="I114" s="17">
        <f>IFERROR(__xludf.DUMMYFUNCTION("""COMPUTED_VALUE"""),3.0)</f>
        <v>3</v>
      </c>
      <c r="J114" s="18"/>
      <c r="K114" s="46"/>
      <c r="L114" s="10"/>
      <c r="M114" s="20"/>
      <c r="N114" s="20"/>
      <c r="O114" s="20"/>
      <c r="P114" s="20"/>
    </row>
    <row r="115">
      <c r="A115" s="21">
        <f>IFERROR(__xludf.DUMMYFUNCTION("""COMPUTED_VALUE"""),46075.0)</f>
        <v>46075</v>
      </c>
      <c r="B115" s="22" t="str">
        <f>IFERROR(__xludf.DUMMYFUNCTION("""COMPUTED_VALUE"""),"2602A042")</f>
        <v>2602A042</v>
      </c>
      <c r="C115" s="49" t="str">
        <f>IFERROR(__xludf.DUMMYFUNCTION("""COMPUTED_VALUE"""),"Alfiani")</f>
        <v>Alfiani</v>
      </c>
      <c r="D115" s="24" t="str">
        <f>IFERROR(__xludf.DUMMYFUNCTION("""COMPUTED_VALUE"""),"085183014626")</f>
        <v>085183014626</v>
      </c>
      <c r="E115" s="14" t="str">
        <f>IFERROR(__xludf.DUMMYFUNCTION("""COMPUTED_VALUE"""),"Instagram")</f>
        <v>Instagram</v>
      </c>
      <c r="F115" s="14" t="str">
        <f>IFERROR(__xludf.DUMMYFUNCTION("""COMPUTED_VALUE"""),"Gagal")</f>
        <v>Gagal</v>
      </c>
      <c r="G115" s="15" t="str">
        <f>IFERROR(__xludf.DUMMYFUNCTION("""COMPUTED_VALUE"""),"OT B")</f>
        <v>OT B</v>
      </c>
      <c r="H115" s="26">
        <f>IFERROR(__xludf.DUMMYFUNCTION("""COMPUTED_VALUE"""),46143.0)</f>
        <v>46143</v>
      </c>
      <c r="I115" s="27">
        <f>IFERROR(__xludf.DUMMYFUNCTION("""COMPUTED_VALUE"""),1.0)</f>
        <v>1</v>
      </c>
      <c r="J115" s="28"/>
      <c r="K115" s="30" t="str">
        <f>IFERROR(__xludf.DUMMYFUNCTION("""COMPUTED_VALUE"""),"tidak ada jawaban, lewat tanggal")</f>
        <v>tidak ada jawaban, lewat tanggal</v>
      </c>
      <c r="L115" s="87" t="str">
        <f>IFERROR(__xludf.DUMMYFUNCTION("""COMPUTED_VALUE"""),"https://docs.google.com/document/d/13oz5xh7Gk9KYHvgLmnvWvhBXZhCl5tOVE0pzNMoOnJU/edit?usp=sharing")</f>
        <v>https://docs.google.com/document/d/13oz5xh7Gk9KYHvgLmnvWvhBXZhCl5tOVE0pzNMoOnJU/edit?usp=sharing</v>
      </c>
      <c r="M115" s="20"/>
      <c r="N115" s="20"/>
      <c r="O115" s="20"/>
      <c r="P115" s="20"/>
    </row>
    <row r="116">
      <c r="A116" s="11">
        <f>IFERROR(__xludf.DUMMYFUNCTION("""COMPUTED_VALUE"""),46076.0)</f>
        <v>46076</v>
      </c>
      <c r="B116" s="12" t="str">
        <f>IFERROR(__xludf.DUMMYFUNCTION("""COMPUTED_VALUE"""),"2602A043")</f>
        <v>2602A043</v>
      </c>
      <c r="C116" s="10" t="str">
        <f>IFERROR(__xludf.DUMMYFUNCTION("""COMPUTED_VALUE"""),"Arlius")</f>
        <v>Arlius</v>
      </c>
      <c r="D116" s="13" t="str">
        <f>IFERROR(__xludf.DUMMYFUNCTION("""COMPUTED_VALUE"""),"082233596825")</f>
        <v>082233596825</v>
      </c>
      <c r="E116" s="14" t="str">
        <f>IFERROR(__xludf.DUMMYFUNCTION("""COMPUTED_VALUE"""),"Website")</f>
        <v>Website</v>
      </c>
      <c r="F116" s="14" t="str">
        <f>IFERROR(__xludf.DUMMYFUNCTION("""COMPUTED_VALUE"""),"Gagal")</f>
        <v>Gagal</v>
      </c>
      <c r="G116" s="15" t="str">
        <f>IFERROR(__xludf.DUMMYFUNCTION("""COMPUTED_VALUE"""),"3H2M opsi B")</f>
        <v>3H2M opsi B</v>
      </c>
      <c r="H116" s="16"/>
      <c r="I116" s="17">
        <f>IFERROR(__xludf.DUMMYFUNCTION("""COMPUTED_VALUE"""),5.0)</f>
        <v>5</v>
      </c>
      <c r="J116" s="54">
        <f>IFERROR(__xludf.DUMMYFUNCTION("""COMPUTED_VALUE"""),5225000.0)</f>
        <v>5225000</v>
      </c>
      <c r="K116" s="19" t="str">
        <f>IFERROR(__xludf.DUMMYFUNCTION("""COMPUTED_VALUE"""),"masih di rundingkan")</f>
        <v>masih di rundingkan</v>
      </c>
      <c r="L116" s="88" t="str">
        <f>IFERROR(__xludf.DUMMYFUNCTION("""COMPUTED_VALUE"""),"https://docs.google.com/document/d/1mJL98j3AkiC5uk0V0P0Pj-Q_iDZEpf4_Z7o3D59cy60/edit?usp=sharing")</f>
        <v>https://docs.google.com/document/d/1mJL98j3AkiC5uk0V0P0Pj-Q_iDZEpf4_Z7o3D59cy60/edit?usp=sharing</v>
      </c>
      <c r="M116" s="20"/>
      <c r="N116" s="20"/>
      <c r="O116" s="20"/>
      <c r="P116" s="20"/>
    </row>
    <row r="117">
      <c r="A117" s="21">
        <f>IFERROR(__xludf.DUMMYFUNCTION("""COMPUTED_VALUE"""),46076.0)</f>
        <v>46076</v>
      </c>
      <c r="B117" s="22" t="str">
        <f>IFERROR(__xludf.DUMMYFUNCTION("""COMPUTED_VALUE"""),"2602A044")</f>
        <v>2602A044</v>
      </c>
      <c r="C117" s="23" t="str">
        <f>IFERROR(__xludf.DUMMYFUNCTION("""COMPUTED_VALUE"""),"Ratih Yuniarti")</f>
        <v>Ratih Yuniarti</v>
      </c>
      <c r="D117" s="24" t="str">
        <f>IFERROR(__xludf.DUMMYFUNCTION("""COMPUTED_VALUE"""),"081381545499")</f>
        <v>081381545499</v>
      </c>
      <c r="E117" s="14" t="str">
        <f>IFERROR(__xludf.DUMMYFUNCTION("""COMPUTED_VALUE"""),"Instagram")</f>
        <v>Instagram</v>
      </c>
      <c r="F117" s="14" t="str">
        <f>IFERROR(__xludf.DUMMYFUNCTION("""COMPUTED_VALUE"""),"Gagal")</f>
        <v>Gagal</v>
      </c>
      <c r="G117" s="15"/>
      <c r="H117" s="26"/>
      <c r="I117" s="27">
        <f>IFERROR(__xludf.DUMMYFUNCTION("""COMPUTED_VALUE"""),2.0)</f>
        <v>2</v>
      </c>
      <c r="J117" s="28"/>
      <c r="K117" s="30" t="str">
        <f>IFERROR(__xludf.DUMMYFUNCTION("""COMPUTED_VALUE"""),"belum dijawab")</f>
        <v>belum dijawab</v>
      </c>
      <c r="L117" s="87" t="str">
        <f>IFERROR(__xludf.DUMMYFUNCTION("""COMPUTED_VALUE"""),"https://docs.google.com/document/d/1AdhRRbwiG17AT2ik6dZ2iN-CyyKyXM06F3zlLCaQE4M/edit?usp=sharing")</f>
        <v>https://docs.google.com/document/d/1AdhRRbwiG17AT2ik6dZ2iN-CyyKyXM06F3zlLCaQE4M/edit?usp=sharing</v>
      </c>
      <c r="M117" s="20"/>
      <c r="N117" s="20"/>
      <c r="O117" s="20"/>
      <c r="P117" s="20"/>
    </row>
    <row r="118">
      <c r="A118" s="11">
        <f>IFERROR(__xludf.DUMMYFUNCTION("""COMPUTED_VALUE"""),46076.0)</f>
        <v>46076</v>
      </c>
      <c r="B118" s="12" t="str">
        <f>IFERROR(__xludf.DUMMYFUNCTION("""COMPUTED_VALUE"""),"2602A045")</f>
        <v>2602A045</v>
      </c>
      <c r="C118" s="10" t="str">
        <f>IFERROR(__xludf.DUMMYFUNCTION("""COMPUTED_VALUE"""),"Cantika Arumi")</f>
        <v>Cantika Arumi</v>
      </c>
      <c r="D118" s="13" t="str">
        <f>IFERROR(__xludf.DUMMYFUNCTION("""COMPUTED_VALUE"""),"085335948837")</f>
        <v>085335948837</v>
      </c>
      <c r="E118" s="14" t="str">
        <f>IFERROR(__xludf.DUMMYFUNCTION("""COMPUTED_VALUE"""),"Instagram")</f>
        <v>Instagram</v>
      </c>
      <c r="F118" s="14" t="str">
        <f>IFERROR(__xludf.DUMMYFUNCTION("""COMPUTED_VALUE"""),"Review")</f>
        <v>Review</v>
      </c>
      <c r="G118" s="15" t="str">
        <f>IFERROR(__xludf.DUMMYFUNCTION("""COMPUTED_VALUE"""),"Ot Ijen")</f>
        <v>Ot Ijen</v>
      </c>
      <c r="H118" s="16">
        <f>IFERROR(__xludf.DUMMYFUNCTION("""COMPUTED_VALUE"""),46083.0)</f>
        <v>46083</v>
      </c>
      <c r="I118" s="17">
        <f>IFERROR(__xludf.DUMMYFUNCTION("""COMPUTED_VALUE"""),1.0)</f>
        <v>1</v>
      </c>
      <c r="J118" s="54">
        <f>IFERROR(__xludf.DUMMYFUNCTION("""COMPUTED_VALUE"""),250000.0)</f>
        <v>250000</v>
      </c>
      <c r="K118" s="46" t="str">
        <f>IFERROR(__xludf.DUMMYFUNCTION("""COMPUTED_VALUE"""),"order")</f>
        <v>order</v>
      </c>
      <c r="L118" s="10"/>
      <c r="M118" s="20"/>
      <c r="N118" s="20"/>
      <c r="O118" s="20"/>
      <c r="P118" s="20"/>
    </row>
    <row r="119">
      <c r="A119" s="21">
        <f>IFERROR(__xludf.DUMMYFUNCTION("""COMPUTED_VALUE"""),46077.0)</f>
        <v>46077</v>
      </c>
      <c r="B119" s="22" t="str">
        <f>IFERROR(__xludf.DUMMYFUNCTION("""COMPUTED_VALUE"""),"2602A046")</f>
        <v>2602A046</v>
      </c>
      <c r="C119" s="23" t="str">
        <f>IFERROR(__xludf.DUMMYFUNCTION("""COMPUTED_VALUE"""),"Michaela Ambrozyova")</f>
        <v>Michaela Ambrozyova</v>
      </c>
      <c r="D119" s="24" t="str">
        <f>IFERROR(__xludf.DUMMYFUNCTION("""COMPUTED_VALUE"""),"421908320035")</f>
        <v>421908320035</v>
      </c>
      <c r="E119" s="14" t="str">
        <f>IFERROR(__xludf.DUMMYFUNCTION("""COMPUTED_VALUE"""),"Lainnya")</f>
        <v>Lainnya</v>
      </c>
      <c r="F119" s="14" t="str">
        <f>IFERROR(__xludf.DUMMYFUNCTION("""COMPUTED_VALUE"""),"Gagal")</f>
        <v>Gagal</v>
      </c>
      <c r="G119" s="15" t="str">
        <f>IFERROR(__xludf.DUMMYFUNCTION("""COMPUTED_VALUE"""),"ijen")</f>
        <v>ijen</v>
      </c>
      <c r="H119" s="26"/>
      <c r="I119" s="27"/>
      <c r="J119" s="28"/>
      <c r="K119" s="36"/>
      <c r="L119" s="49"/>
      <c r="M119" s="20"/>
      <c r="N119" s="20"/>
      <c r="O119" s="20"/>
      <c r="P119" s="20"/>
    </row>
    <row r="120">
      <c r="A120" s="11">
        <f>IFERROR(__xludf.DUMMYFUNCTION("""COMPUTED_VALUE"""),46078.0)</f>
        <v>46078</v>
      </c>
      <c r="B120" s="12" t="str">
        <f>IFERROR(__xludf.DUMMYFUNCTION("""COMPUTED_VALUE"""),"2602A047")</f>
        <v>2602A047</v>
      </c>
      <c r="C120" s="10" t="str">
        <f>IFERROR(__xludf.DUMMYFUNCTION("""COMPUTED_VALUE"""),"Daniel")</f>
        <v>Daniel</v>
      </c>
      <c r="D120" s="13" t="str">
        <f>IFERROR(__xludf.DUMMYFUNCTION("""COMPUTED_VALUE"""),"081212195507")</f>
        <v>081212195507</v>
      </c>
      <c r="E120" s="14" t="str">
        <f>IFERROR(__xludf.DUMMYFUNCTION("""COMPUTED_VALUE"""),"Website")</f>
        <v>Website</v>
      </c>
      <c r="F120" s="14" t="str">
        <f>IFERROR(__xludf.DUMMYFUNCTION("""COMPUTED_VALUE"""),"Gagal")</f>
        <v>Gagal</v>
      </c>
      <c r="G120" s="14" t="str">
        <f>IFERROR(__xludf.DUMMYFUNCTION("""COMPUTED_VALUE"""),"Green island")</f>
        <v>Green island</v>
      </c>
      <c r="H120" s="16">
        <f>IFERROR(__xludf.DUMMYFUNCTION("""COMPUTED_VALUE"""),46100.0)</f>
        <v>46100</v>
      </c>
      <c r="I120" s="17">
        <f>IFERROR(__xludf.DUMMYFUNCTION("""COMPUTED_VALUE"""),4.0)</f>
        <v>4</v>
      </c>
      <c r="J120" s="54">
        <f>IFERROR(__xludf.DUMMYFUNCTION("""COMPUTED_VALUE"""),3328000.0)</f>
        <v>3328000</v>
      </c>
      <c r="K120" s="46" t="str">
        <f>IFERROR(__xludf.DUMMYFUNCTION("""COMPUTED_VALUE"""),"Tidak dibalas")</f>
        <v>Tidak dibalas</v>
      </c>
      <c r="L120" s="88" t="str">
        <f>IFERROR(__xludf.DUMMYFUNCTION("""COMPUTED_VALUE"""),"https://docs.google.com/document/d/19_yE0YVS9n6ZC7Bycfvsfs1HYr4maEXGpssLGsARqeQ/edit?usp=sharing")</f>
        <v>https://docs.google.com/document/d/19_yE0YVS9n6ZC7Bycfvsfs1HYr4maEXGpssLGsARqeQ/edit?usp=sharing</v>
      </c>
      <c r="M120" s="20"/>
      <c r="N120" s="20"/>
      <c r="O120" s="20"/>
      <c r="P120" s="20"/>
    </row>
    <row r="121">
      <c r="A121" s="21">
        <f>IFERROR(__xludf.DUMMYFUNCTION("""COMPUTED_VALUE"""),46079.0)</f>
        <v>46079</v>
      </c>
      <c r="B121" s="22" t="str">
        <f>IFERROR(__xludf.DUMMYFUNCTION("""COMPUTED_VALUE"""),"2602A048")</f>
        <v>2602A048</v>
      </c>
      <c r="C121" s="23" t="str">
        <f>IFERROR(__xludf.DUMMYFUNCTION("""COMPUTED_VALUE"""),"Rahel Dellavany")</f>
        <v>Rahel Dellavany</v>
      </c>
      <c r="D121" s="102" t="str">
        <f>IFERROR(__xludf.DUMMYFUNCTION("""COMPUTED_VALUE"""),"088213211982")</f>
        <v>088213211982</v>
      </c>
      <c r="E121" s="14" t="str">
        <f>IFERROR(__xludf.DUMMYFUNCTION("""COMPUTED_VALUE"""),"Instagram")</f>
        <v>Instagram</v>
      </c>
      <c r="F121" s="14" t="str">
        <f>IFERROR(__xludf.DUMMYFUNCTION("""COMPUTED_VALUE"""),"Gagal")</f>
        <v>Gagal</v>
      </c>
      <c r="G121" s="14" t="str">
        <f>IFERROR(__xludf.DUMMYFUNCTION("""COMPUTED_VALUE"""),"Trip D,B")</f>
        <v>Trip D,B</v>
      </c>
      <c r="H121" s="26">
        <f>IFERROR(__xludf.DUMMYFUNCTION("""COMPUTED_VALUE"""),46110.0)</f>
        <v>46110</v>
      </c>
      <c r="I121" s="27">
        <f>IFERROR(__xludf.DUMMYFUNCTION("""COMPUTED_VALUE"""),6.0)</f>
        <v>6</v>
      </c>
      <c r="J121" s="28">
        <f>IFERROR(__xludf.DUMMYFUNCTION("""COMPUTED_VALUE"""),4290000.0)</f>
        <v>4290000</v>
      </c>
      <c r="K121" s="30" t="str">
        <f>IFERROR(__xludf.DUMMYFUNCTION("""COMPUTED_VALUE"""),"Blm balas")</f>
        <v>Blm balas</v>
      </c>
      <c r="L121" s="87" t="str">
        <f>IFERROR(__xludf.DUMMYFUNCTION("""COMPUTED_VALUE"""),"https://docs.google.com/document/d/1nMlgqQ4a8WnW4OZg4eNWiGhnOBc6JBs3alM3HeQIpnw/edit?usp=sharing")</f>
        <v>https://docs.google.com/document/d/1nMlgqQ4a8WnW4OZg4eNWiGhnOBc6JBs3alM3HeQIpnw/edit?usp=sharing</v>
      </c>
      <c r="M121" s="20"/>
      <c r="N121" s="20"/>
      <c r="O121" s="20"/>
      <c r="P121" s="20"/>
    </row>
    <row r="122">
      <c r="A122" s="11">
        <f>IFERROR(__xludf.DUMMYFUNCTION("""COMPUTED_VALUE"""),46080.0)</f>
        <v>46080</v>
      </c>
      <c r="B122" s="12" t="str">
        <f>IFERROR(__xludf.DUMMYFUNCTION("""COMPUTED_VALUE"""),"2602A049")</f>
        <v>2602A049</v>
      </c>
      <c r="C122" s="10" t="str">
        <f>IFERROR(__xludf.DUMMYFUNCTION("""COMPUTED_VALUE"""),"Cahyo")</f>
        <v>Cahyo</v>
      </c>
      <c r="D122" s="13" t="str">
        <f>IFERROR(__xludf.DUMMYFUNCTION("""COMPUTED_VALUE"""),"085643322282")</f>
        <v>085643322282</v>
      </c>
      <c r="E122" s="14" t="str">
        <f>IFERROR(__xludf.DUMMYFUNCTION("""COMPUTED_VALUE"""),"Website")</f>
        <v>Website</v>
      </c>
      <c r="F122" s="14" t="str">
        <f>IFERROR(__xludf.DUMMYFUNCTION("""COMPUTED_VALUE"""),"Gagal")</f>
        <v>Gagal</v>
      </c>
      <c r="G122" s="15" t="str">
        <f>IFERROR(__xludf.DUMMYFUNCTION("""COMPUTED_VALUE"""),"Paket Outbond D, B")</f>
        <v>Paket Outbond D, B</v>
      </c>
      <c r="H122" s="16"/>
      <c r="I122" s="17"/>
      <c r="J122" s="54">
        <f>IFERROR(__xludf.DUMMYFUNCTION("""COMPUTED_VALUE"""),3.18E7)</f>
        <v>31800000</v>
      </c>
      <c r="K122" s="46" t="str">
        <f>IFERROR(__xludf.DUMMYFUNCTION("""COMPUTED_VALUE"""),"buat penawaran, fu mei")</f>
        <v>buat penawaran, fu mei</v>
      </c>
      <c r="L122" s="100" t="str">
        <f>IFERROR(__xludf.DUMMYFUNCTION("""COMPUTED_VALUE"""),"https://docs.google.com/document/d/19VGX7F9Wmog6os2FQwjwP1N8EREshbOz3zYaN-irITo/edit?usp=sharing")</f>
        <v>https://docs.google.com/document/d/19VGX7F9Wmog6os2FQwjwP1N8EREshbOz3zYaN-irITo/edit?usp=sharing</v>
      </c>
      <c r="M122" s="20"/>
      <c r="N122" s="20"/>
      <c r="O122" s="20"/>
      <c r="P122" s="20"/>
    </row>
    <row r="123">
      <c r="A123" s="21">
        <f>IFERROR(__xludf.DUMMYFUNCTION("""COMPUTED_VALUE"""),46079.0)</f>
        <v>46079</v>
      </c>
      <c r="B123" s="22" t="str">
        <f>IFERROR(__xludf.DUMMYFUNCTION("""COMPUTED_VALUE"""),"2602A050 ")</f>
        <v>2602A050 </v>
      </c>
      <c r="C123" s="23" t="str">
        <f>IFERROR(__xludf.DUMMYFUNCTION("""COMPUTED_VALUE"""),"Rahma")</f>
        <v>Rahma</v>
      </c>
      <c r="D123" s="24" t="str">
        <f>IFERROR(__xludf.DUMMYFUNCTION("""COMPUTED_VALUE"""),"085865278003")</f>
        <v>085865278003</v>
      </c>
      <c r="E123" s="14" t="str">
        <f>IFERROR(__xludf.DUMMYFUNCTION("""COMPUTED_VALUE"""),"Lainnya")</f>
        <v>Lainnya</v>
      </c>
      <c r="F123" s="14" t="str">
        <f>IFERROR(__xludf.DUMMYFUNCTION("""COMPUTED_VALUE"""),"Gagal")</f>
        <v>Gagal</v>
      </c>
      <c r="G123" s="14" t="str">
        <f>IFERROR(__xludf.DUMMYFUNCTION("""COMPUTED_VALUE"""),"OT M, T, D, B")</f>
        <v>OT M, T, D, B</v>
      </c>
      <c r="H123" s="26"/>
      <c r="I123" s="27"/>
      <c r="J123" s="28"/>
      <c r="K123" s="30" t="str">
        <f>IFERROR(__xludf.DUMMYFUNCTION("""COMPUTED_VALUE"""),"tidak balas lagi")</f>
        <v>tidak balas lagi</v>
      </c>
      <c r="L123" s="87" t="str">
        <f>IFERROR(__xludf.DUMMYFUNCTION("""COMPUTED_VALUE"""),"https://docs.google.com/document/d/1SuiPuIr-oqpPBMpZJq-MecYt3nCB8d6RMI4PNNXxgpQ/edit?usp=sharing")</f>
        <v>https://docs.google.com/document/d/1SuiPuIr-oqpPBMpZJq-MecYt3nCB8d6RMI4PNNXxgpQ/edit?usp=sharing</v>
      </c>
      <c r="M123" s="20"/>
      <c r="N123" s="20"/>
      <c r="O123" s="20"/>
      <c r="P123" s="20"/>
    </row>
    <row r="124">
      <c r="A124" s="11">
        <f>IFERROR(__xludf.DUMMYFUNCTION("""COMPUTED_VALUE"""),46054.0)</f>
        <v>46054</v>
      </c>
      <c r="B124" s="12" t="str">
        <f>IFERROR(__xludf.DUMMYFUNCTION("""COMPUTED_VALUE"""),"2603A001")</f>
        <v>2603A001</v>
      </c>
      <c r="C124" s="10" t="str">
        <f>IFERROR(__xludf.DUMMYFUNCTION("""COMPUTED_VALUE"""),"Rachim")</f>
        <v>Rachim</v>
      </c>
      <c r="D124" s="13" t="str">
        <f>IFERROR(__xludf.DUMMYFUNCTION("""COMPUTED_VALUE"""),"081281050468")</f>
        <v>081281050468</v>
      </c>
      <c r="E124" s="14" t="str">
        <f>IFERROR(__xludf.DUMMYFUNCTION("""COMPUTED_VALUE"""),"Website")</f>
        <v>Website</v>
      </c>
      <c r="F124" s="14" t="str">
        <f>IFERROR(__xludf.DUMMYFUNCTION("""COMPUTED_VALUE"""),"Gagal")</f>
        <v>Gagal</v>
      </c>
      <c r="G124" s="15" t="str">
        <f>IFERROR(__xludf.DUMMYFUNCTION("""COMPUTED_VALUE"""),"Trip M, T ")</f>
        <v>Trip M, T </v>
      </c>
      <c r="H124" s="16">
        <f>IFERROR(__xludf.DUMMYFUNCTION("""COMPUTED_VALUE"""),46107.0)</f>
        <v>46107</v>
      </c>
      <c r="I124" s="17">
        <f>IFERROR(__xludf.DUMMYFUNCTION("""COMPUTED_VALUE"""),46178.0)</f>
        <v>46178</v>
      </c>
      <c r="J124" s="18"/>
      <c r="K124" s="46" t="str">
        <f>IFERROR(__xludf.DUMMYFUNCTION("""COMPUTED_VALUE"""),"cancel trip tanpa keterangan")</f>
        <v>cancel trip tanpa keterangan</v>
      </c>
      <c r="L124" s="10"/>
      <c r="M124" s="20"/>
      <c r="N124" s="20"/>
      <c r="O124" s="20"/>
      <c r="P124" s="20"/>
    </row>
    <row r="125">
      <c r="A125" s="21">
        <f>IFERROR(__xludf.DUMMYFUNCTION("""COMPUTED_VALUE"""),46082.0)</f>
        <v>46082</v>
      </c>
      <c r="B125" s="22" t="str">
        <f>IFERROR(__xludf.DUMMYFUNCTION("""COMPUTED_VALUE"""),"2603A002")</f>
        <v>2603A002</v>
      </c>
      <c r="C125" s="23" t="str">
        <f>IFERROR(__xludf.DUMMYFUNCTION("""COMPUTED_VALUE"""),"Alvin")</f>
        <v>Alvin</v>
      </c>
      <c r="D125" s="24" t="str">
        <f>IFERROR(__xludf.DUMMYFUNCTION("""COMPUTED_VALUE"""),"089601668159")</f>
        <v>089601668159</v>
      </c>
      <c r="E125" s="14" t="str">
        <f>IFERROR(__xludf.DUMMYFUNCTION("""COMPUTED_VALUE"""),"Website")</f>
        <v>Website</v>
      </c>
      <c r="F125" s="14" t="str">
        <f>IFERROR(__xludf.DUMMYFUNCTION("""COMPUTED_VALUE"""),"Gagal")</f>
        <v>Gagal</v>
      </c>
      <c r="G125" s="15" t="str">
        <f>IFERROR(__xludf.DUMMYFUNCTION("""COMPUTED_VALUE"""),"4H3M")</f>
        <v>4H3M</v>
      </c>
      <c r="H125" s="26">
        <f>IFERROR(__xludf.DUMMYFUNCTION("""COMPUTED_VALUE"""),46098.0)</f>
        <v>46098</v>
      </c>
      <c r="I125" s="27">
        <f>IFERROR(__xludf.DUMMYFUNCTION("""COMPUTED_VALUE"""),5.0)</f>
        <v>5</v>
      </c>
      <c r="J125" s="28">
        <f>IFERROR(__xludf.DUMMYFUNCTION("""COMPUTED_VALUE"""),1.85E7)</f>
        <v>18500000</v>
      </c>
      <c r="K125" s="36" t="str">
        <f>IFERROR(__xludf.DUMMYFUNCTION("""COMPUTED_VALUE"""),"gada balasan")</f>
        <v>gada balasan</v>
      </c>
      <c r="L125" s="49"/>
      <c r="M125" s="20"/>
      <c r="N125" s="20"/>
      <c r="O125" s="20"/>
      <c r="P125" s="20"/>
    </row>
    <row r="126">
      <c r="A126" s="11">
        <f>IFERROR(__xludf.DUMMYFUNCTION("""COMPUTED_VALUE"""),46082.0)</f>
        <v>46082</v>
      </c>
      <c r="B126" s="12" t="str">
        <f>IFERROR(__xludf.DUMMYFUNCTION("""COMPUTED_VALUE"""),"2603A003")</f>
        <v>2603A003</v>
      </c>
      <c r="C126" s="10" t="str">
        <f>IFERROR(__xludf.DUMMYFUNCTION("""COMPUTED_VALUE"""),"Tania")</f>
        <v>Tania</v>
      </c>
      <c r="D126" s="13" t="str">
        <f>IFERROR(__xludf.DUMMYFUNCTION("""COMPUTED_VALUE"""),"081232783200")</f>
        <v>081232783200</v>
      </c>
      <c r="E126" s="14" t="str">
        <f>IFERROR(__xludf.DUMMYFUNCTION("""COMPUTED_VALUE"""),"Instagram")</f>
        <v>Instagram</v>
      </c>
      <c r="F126" s="14" t="str">
        <f>IFERROR(__xludf.DUMMYFUNCTION("""COMPUTED_VALUE"""),"Gagal")</f>
        <v>Gagal</v>
      </c>
      <c r="G126" s="14" t="str">
        <f>IFERROR(__xludf.DUMMYFUNCTION("""COMPUTED_VALUE"""),"Private Trip Menjangan")</f>
        <v>Private Trip Menjangan</v>
      </c>
      <c r="H126" s="16">
        <f>IFERROR(__xludf.DUMMYFUNCTION("""COMPUTED_VALUE"""),46103.0)</f>
        <v>46103</v>
      </c>
      <c r="I126" s="17">
        <f>IFERROR(__xludf.DUMMYFUNCTION("""COMPUTED_VALUE"""),3.0)</f>
        <v>3</v>
      </c>
      <c r="J126" s="18">
        <f>IFERROR(__xludf.DUMMYFUNCTION("""COMPUTED_VALUE"""),2379000.0)</f>
        <v>2379000</v>
      </c>
      <c r="K126" s="46" t="str">
        <f>IFERROR(__xludf.DUMMYFUNCTION("""COMPUTED_VALUE"""),"sudah kirim penawaran, tidak balas lagi")</f>
        <v>sudah kirim penawaran, tidak balas lagi</v>
      </c>
      <c r="L126" s="100" t="str">
        <f>IFERROR(__xludf.DUMMYFUNCTION("""COMPUTED_VALUE"""),"https://docs.google.com/document/d/1UrbZLSeM81V8Hkzor-ZwdAj93ofaLSOSez5Zc8w8QbA/edit?tab=t.0")</f>
        <v>https://docs.google.com/document/d/1UrbZLSeM81V8Hkzor-ZwdAj93ofaLSOSez5Zc8w8QbA/edit?tab=t.0</v>
      </c>
      <c r="M126" s="20"/>
      <c r="N126" s="20"/>
      <c r="O126" s="20"/>
      <c r="P126" s="20"/>
    </row>
    <row r="127">
      <c r="A127" s="21">
        <f>IFERROR(__xludf.DUMMYFUNCTION("""COMPUTED_VALUE"""),46082.0)</f>
        <v>46082</v>
      </c>
      <c r="B127" s="22" t="str">
        <f>IFERROR(__xludf.DUMMYFUNCTION("""COMPUTED_VALUE"""),"2603A004")</f>
        <v>2603A004</v>
      </c>
      <c r="C127" s="23" t="str">
        <f>IFERROR(__xludf.DUMMYFUNCTION("""COMPUTED_VALUE"""),"Lidya")</f>
        <v>Lidya</v>
      </c>
      <c r="D127" s="24" t="str">
        <f>IFERROR(__xludf.DUMMYFUNCTION("""COMPUTED_VALUE"""),"083198770259")</f>
        <v>083198770259</v>
      </c>
      <c r="E127" s="14" t="str">
        <f>IFERROR(__xludf.DUMMYFUNCTION("""COMPUTED_VALUE"""),"Instagram")</f>
        <v>Instagram</v>
      </c>
      <c r="F127" s="14" t="str">
        <f>IFERROR(__xludf.DUMMYFUNCTION("""COMPUTED_VALUE"""),"Gagal")</f>
        <v>Gagal</v>
      </c>
      <c r="G127" s="15" t="str">
        <f>IFERROR(__xludf.DUMMYFUNCTION("""COMPUTED_VALUE"""),"Private Trip 3H2M")</f>
        <v>Private Trip 3H2M</v>
      </c>
      <c r="H127" s="26"/>
      <c r="I127" s="27">
        <f>IFERROR(__xludf.DUMMYFUNCTION("""COMPUTED_VALUE"""),46146.0)</f>
        <v>46146</v>
      </c>
      <c r="J127" s="33">
        <f>IFERROR(__xludf.DUMMYFUNCTION("""COMPUTED_VALUE"""),7100000.0)</f>
        <v>7100000</v>
      </c>
      <c r="K127" s="30" t="str">
        <f>IFERROR(__xludf.DUMMYFUNCTION("""COMPUTED_VALUE"""),"perubahan major rencana liburan")</f>
        <v>perubahan major rencana liburan</v>
      </c>
      <c r="L127" s="87" t="str">
        <f>IFERROR(__xludf.DUMMYFUNCTION("""COMPUTED_VALUE"""),"https://docs.google.com/document/d/1rd4lhac0z7he1-OmaP93U073gQv6F7_7WIyAt2YiOro/edit?usp=sharing")</f>
        <v>https://docs.google.com/document/d/1rd4lhac0z7he1-OmaP93U073gQv6F7_7WIyAt2YiOro/edit?usp=sharing</v>
      </c>
      <c r="M127" s="20"/>
      <c r="N127" s="20"/>
      <c r="O127" s="20"/>
      <c r="P127" s="20"/>
    </row>
    <row r="128">
      <c r="A128" s="11">
        <f>IFERROR(__xludf.DUMMYFUNCTION("""COMPUTED_VALUE"""),46082.0)</f>
        <v>46082</v>
      </c>
      <c r="B128" s="12" t="str">
        <f>IFERROR(__xludf.DUMMYFUNCTION("""COMPUTED_VALUE"""),"2603A005")</f>
        <v>2603A005</v>
      </c>
      <c r="C128" s="10" t="str">
        <f>IFERROR(__xludf.DUMMYFUNCTION("""COMPUTED_VALUE"""),"Isti")</f>
        <v>Isti</v>
      </c>
      <c r="D128" s="13" t="str">
        <f>IFERROR(__xludf.DUMMYFUNCTION("""COMPUTED_VALUE"""),"61402000436")</f>
        <v>61402000436</v>
      </c>
      <c r="E128" s="14" t="str">
        <f>IFERROR(__xludf.DUMMYFUNCTION("""COMPUTED_VALUE"""),"Instagram")</f>
        <v>Instagram</v>
      </c>
      <c r="F128" s="14" t="str">
        <f>IFERROR(__xludf.DUMMYFUNCTION("""COMPUTED_VALUE"""),"Gagal")</f>
        <v>Gagal</v>
      </c>
      <c r="G128" s="15"/>
      <c r="H128" s="16"/>
      <c r="I128" s="17">
        <f>IFERROR(__xludf.DUMMYFUNCTION("""COMPUTED_VALUE"""),1.0)</f>
        <v>1</v>
      </c>
      <c r="J128" s="54"/>
      <c r="K128" s="46" t="str">
        <f>IFERROR(__xludf.DUMMYFUNCTION("""COMPUTED_VALUE"""),"menanyakan tanggal")</f>
        <v>menanyakan tanggal</v>
      </c>
      <c r="L128" s="10"/>
      <c r="M128" s="20"/>
      <c r="N128" s="20"/>
      <c r="O128" s="20"/>
      <c r="P128" s="20"/>
    </row>
    <row r="129">
      <c r="A129" s="21">
        <f>IFERROR(__xludf.DUMMYFUNCTION("""COMPUTED_VALUE"""),46084.0)</f>
        <v>46084</v>
      </c>
      <c r="B129" s="22" t="str">
        <f>IFERROR(__xludf.DUMMYFUNCTION("""COMPUTED_VALUE"""),"2603A006")</f>
        <v>2603A006</v>
      </c>
      <c r="C129" s="23" t="str">
        <f>IFERROR(__xludf.DUMMYFUNCTION("""COMPUTED_VALUE"""),"Isna  Valufi")</f>
        <v>Isna  Valufi</v>
      </c>
      <c r="D129" s="24" t="str">
        <f>IFERROR(__xludf.DUMMYFUNCTION("""COMPUTED_VALUE"""),"087825743455")</f>
        <v>087825743455</v>
      </c>
      <c r="E129" s="14" t="str">
        <f>IFERROR(__xludf.DUMMYFUNCTION("""COMPUTED_VALUE"""),"Instagram")</f>
        <v>Instagram</v>
      </c>
      <c r="F129" s="14" t="str">
        <f>IFERROR(__xludf.DUMMYFUNCTION("""COMPUTED_VALUE"""),"Gagal")</f>
        <v>Gagal</v>
      </c>
      <c r="G129" s="15" t="str">
        <f>IFERROR(__xludf.DUMMYFUNCTION("""COMPUTED_VALUE"""),"OT 3D2N")</f>
        <v>OT 3D2N</v>
      </c>
      <c r="H129" s="26"/>
      <c r="I129" s="27">
        <f>IFERROR(__xludf.DUMMYFUNCTION("""COMPUTED_VALUE"""),1.0)</f>
        <v>1</v>
      </c>
      <c r="J129" s="28">
        <f>IFERROR(__xludf.DUMMYFUNCTION("""COMPUTED_VALUE"""),1600000.0)</f>
        <v>1600000</v>
      </c>
      <c r="K129" s="30" t="str">
        <f>IFERROR(__xludf.DUMMYFUNCTION("""COMPUTED_VALUE"""),"gajadi ambil cuti")</f>
        <v>gajadi ambil cuti</v>
      </c>
      <c r="L129" s="81" t="str">
        <f>IFERROR(__xludf.DUMMYFUNCTION("""COMPUTED_VALUE"""),"https://docs.google.com/document/d/1o9W6-RxtIClawdWzlAjbPoq_wSv7jb2GlhhH6IY1aMw/edit?usp=sharing")</f>
        <v>https://docs.google.com/document/d/1o9W6-RxtIClawdWzlAjbPoq_wSv7jb2GlhhH6IY1aMw/edit?usp=sharing</v>
      </c>
      <c r="M129" s="20"/>
      <c r="N129" s="20"/>
      <c r="O129" s="20"/>
      <c r="P129" s="20"/>
    </row>
    <row r="130">
      <c r="A130" s="11">
        <f>IFERROR(__xludf.DUMMYFUNCTION("""COMPUTED_VALUE"""),46085.0)</f>
        <v>46085</v>
      </c>
      <c r="B130" s="12" t="str">
        <f>IFERROR(__xludf.DUMMYFUNCTION("""COMPUTED_VALUE"""),"2603A007")</f>
        <v>2603A007</v>
      </c>
      <c r="C130" s="10" t="str">
        <f>IFERROR(__xludf.DUMMYFUNCTION("""COMPUTED_VALUE"""),"Shienny")</f>
        <v>Shienny</v>
      </c>
      <c r="D130" s="13" t="str">
        <f>IFERROR(__xludf.DUMMYFUNCTION("""COMPUTED_VALUE"""),"081225369612")</f>
        <v>081225369612</v>
      </c>
      <c r="E130" s="14" t="str">
        <f>IFERROR(__xludf.DUMMYFUNCTION("""COMPUTED_VALUE"""),"Rekomendasi")</f>
        <v>Rekomendasi</v>
      </c>
      <c r="F130" s="14" t="str">
        <f>IFERROR(__xludf.DUMMYFUNCTION("""COMPUTED_VALUE"""),"Closing")</f>
        <v>Closing</v>
      </c>
      <c r="G130" s="14" t="str">
        <f>IFERROR(__xludf.DUMMYFUNCTION("""COMPUTED_VALUE"""),"3H2M custom")</f>
        <v>3H2M custom</v>
      </c>
      <c r="H130" s="16"/>
      <c r="I130" s="17">
        <f>IFERROR(__xludf.DUMMYFUNCTION("""COMPUTED_VALUE"""),3.0)</f>
        <v>3</v>
      </c>
      <c r="J130" s="54">
        <f>IFERROR(__xludf.DUMMYFUNCTION("""COMPUTED_VALUE"""),1.05E7)</f>
        <v>10500000</v>
      </c>
      <c r="K130" s="46" t="str">
        <f>IFERROR(__xludf.DUMMYFUNCTION("""COMPUTED_VALUE"""),"order")</f>
        <v>order</v>
      </c>
      <c r="L130" s="76"/>
      <c r="M130" s="20"/>
      <c r="N130" s="20"/>
      <c r="O130" s="20"/>
      <c r="P130" s="20"/>
    </row>
    <row r="131">
      <c r="A131" s="21">
        <f>IFERROR(__xludf.DUMMYFUNCTION("""COMPUTED_VALUE"""),46086.0)</f>
        <v>46086</v>
      </c>
      <c r="B131" s="22" t="str">
        <f>IFERROR(__xludf.DUMMYFUNCTION("""COMPUTED_VALUE"""),"2603A008")</f>
        <v>2603A008</v>
      </c>
      <c r="C131" s="23" t="str">
        <f>IFERROR(__xludf.DUMMYFUNCTION("""COMPUTED_VALUE"""),"Kang Uu EO Adventurious")</f>
        <v>Kang Uu EO Adventurious</v>
      </c>
      <c r="D131" s="24" t="str">
        <f>IFERROR(__xludf.DUMMYFUNCTION("""COMPUTED_VALUE"""),"081931299010")</f>
        <v>081931299010</v>
      </c>
      <c r="E131" s="14" t="str">
        <f>IFERROR(__xludf.DUMMYFUNCTION("""COMPUTED_VALUE"""),"Website")</f>
        <v>Website</v>
      </c>
      <c r="F131" s="14" t="str">
        <f>IFERROR(__xludf.DUMMYFUNCTION("""COMPUTED_VALUE"""),"Gagal")</f>
        <v>Gagal</v>
      </c>
      <c r="G131" s="15" t="str">
        <f>IFERROR(__xludf.DUMMYFUNCTION("""COMPUTED_VALUE"""),"One day trip D B")</f>
        <v>One day trip D B</v>
      </c>
      <c r="H131" s="26">
        <f>IFERROR(__xludf.DUMMYFUNCTION("""COMPUTED_VALUE"""),46121.0)</f>
        <v>46121</v>
      </c>
      <c r="I131" s="27">
        <f>IFERROR(__xludf.DUMMYFUNCTION("""COMPUTED_VALUE"""),23.0)</f>
        <v>23</v>
      </c>
      <c r="J131" s="28">
        <f>IFERROR(__xludf.DUMMYFUNCTION("""COMPUTED_VALUE"""),1.403E7)</f>
        <v>14030000</v>
      </c>
      <c r="K131" s="30" t="str">
        <f>IFERROR(__xludf.DUMMYFUNCTION("""COMPUTED_VALUE"""),"Tidak ada jawaban")</f>
        <v>Tidak ada jawaban</v>
      </c>
      <c r="L131" s="87" t="str">
        <f>IFERROR(__xludf.DUMMYFUNCTION("""COMPUTED_VALUE"""),"https://docs.google.com/document/d/1PnwPcIwK_8xNddaf4hld_rhVJHOTJ6JY5SS3UZCALCU/edit?usp=sharing")</f>
        <v>https://docs.google.com/document/d/1PnwPcIwK_8xNddaf4hld_rhVJHOTJ6JY5SS3UZCALCU/edit?usp=sharing</v>
      </c>
      <c r="M131" s="20"/>
      <c r="N131" s="20"/>
      <c r="O131" s="20"/>
      <c r="P131" s="20"/>
    </row>
    <row r="132">
      <c r="A132" s="11">
        <f>IFERROR(__xludf.DUMMYFUNCTION("""COMPUTED_VALUE"""),46086.0)</f>
        <v>46086</v>
      </c>
      <c r="B132" s="12" t="str">
        <f>IFERROR(__xludf.DUMMYFUNCTION("""COMPUTED_VALUE"""),"2603A009")</f>
        <v>2603A009</v>
      </c>
      <c r="C132" s="10" t="str">
        <f>IFERROR(__xludf.DUMMYFUNCTION("""COMPUTED_VALUE"""),"Centuryviktor")</f>
        <v>Centuryviktor</v>
      </c>
      <c r="D132" s="13" t="str">
        <f>IFERROR(__xludf.DUMMYFUNCTION("""COMPUTED_VALUE"""),"085717505050")</f>
        <v>085717505050</v>
      </c>
      <c r="E132" s="14" t="str">
        <f>IFERROR(__xludf.DUMMYFUNCTION("""COMPUTED_VALUE"""),"Website")</f>
        <v>Website</v>
      </c>
      <c r="F132" s="14" t="str">
        <f>IFERROR(__xludf.DUMMYFUNCTION("""COMPUTED_VALUE"""),"Gagal")</f>
        <v>Gagal</v>
      </c>
      <c r="G132" s="14" t="str">
        <f>IFERROR(__xludf.DUMMYFUNCTION("""COMPUTED_VALUE"""),"4H3M ")</f>
        <v>4H3M </v>
      </c>
      <c r="H132" s="16">
        <f>IFERROR(__xludf.DUMMYFUNCTION("""COMPUTED_VALUE"""),46101.0)</f>
        <v>46101</v>
      </c>
      <c r="I132" s="17">
        <f>IFERROR(__xludf.DUMMYFUNCTION("""COMPUTED_VALUE"""),4.0)</f>
        <v>4</v>
      </c>
      <c r="J132" s="54">
        <f>IFERROR(__xludf.DUMMYFUNCTION("""COMPUTED_VALUE"""),1.6E7)</f>
        <v>16000000</v>
      </c>
      <c r="K132" s="46" t="str">
        <f>IFERROR(__xludf.DUMMYFUNCTION("""COMPUTED_VALUE"""),"cancel, jadinya ke jogja")</f>
        <v>cancel, jadinya ke jogja</v>
      </c>
      <c r="L132" s="10"/>
      <c r="M132" s="20"/>
      <c r="N132" s="20"/>
      <c r="O132" s="20"/>
      <c r="P132" s="20"/>
    </row>
    <row r="133">
      <c r="A133" s="21">
        <f>IFERROR(__xludf.DUMMYFUNCTION("""COMPUTED_VALUE"""),46087.0)</f>
        <v>46087</v>
      </c>
      <c r="B133" s="22" t="str">
        <f>IFERROR(__xludf.DUMMYFUNCTION("""COMPUTED_VALUE"""),"2603A010")</f>
        <v>2603A010</v>
      </c>
      <c r="C133" s="23" t="str">
        <f>IFERROR(__xludf.DUMMYFUNCTION("""COMPUTED_VALUE"""),"Hilda")</f>
        <v>Hilda</v>
      </c>
      <c r="D133" s="24" t="str">
        <f>IFERROR(__xludf.DUMMYFUNCTION("""COMPUTED_VALUE"""),"081396838385")</f>
        <v>081396838385</v>
      </c>
      <c r="E133" s="14" t="str">
        <f>IFERROR(__xludf.DUMMYFUNCTION("""COMPUTED_VALUE"""),"Instagram")</f>
        <v>Instagram</v>
      </c>
      <c r="F133" s="14" t="str">
        <f>IFERROR(__xludf.DUMMYFUNCTION("""COMPUTED_VALUE"""),"Gagal")</f>
        <v>Gagal</v>
      </c>
      <c r="G133" s="14" t="str">
        <f>IFERROR(__xludf.DUMMYFUNCTION("""COMPUTED_VALUE"""),"OT I")</f>
        <v>OT I</v>
      </c>
      <c r="H133" s="26"/>
      <c r="I133" s="27"/>
      <c r="J133" s="33"/>
      <c r="K133" s="30" t="str">
        <f>IFERROR(__xludf.DUMMYFUNCTION("""COMPUTED_VALUE"""),"mau nanya-nnya dlu")</f>
        <v>mau nanya-nnya dlu</v>
      </c>
      <c r="L133" s="23"/>
      <c r="M133" s="20"/>
      <c r="N133" s="20"/>
      <c r="O133" s="20"/>
      <c r="P133" s="20"/>
    </row>
    <row r="134">
      <c r="A134" s="11">
        <f>IFERROR(__xludf.DUMMYFUNCTION("""COMPUTED_VALUE"""),46087.0)</f>
        <v>46087</v>
      </c>
      <c r="B134" s="12" t="str">
        <f>IFERROR(__xludf.DUMMYFUNCTION("""COMPUTED_VALUE"""),"2603A011")</f>
        <v>2603A011</v>
      </c>
      <c r="C134" s="10" t="str">
        <f>IFERROR(__xludf.DUMMYFUNCTION("""COMPUTED_VALUE"""),"Edwin pramana")</f>
        <v>Edwin pramana</v>
      </c>
      <c r="D134" s="13" t="str">
        <f>IFERROR(__xludf.DUMMYFUNCTION("""COMPUTED_VALUE"""),"085640932304")</f>
        <v>085640932304</v>
      </c>
      <c r="E134" s="14" t="str">
        <f>IFERROR(__xludf.DUMMYFUNCTION("""COMPUTED_VALUE"""),"Website")</f>
        <v>Website</v>
      </c>
      <c r="F134" s="14" t="str">
        <f>IFERROR(__xludf.DUMMYFUNCTION("""COMPUTED_VALUE"""),"Gagal")</f>
        <v>Gagal</v>
      </c>
      <c r="G134" s="15" t="str">
        <f>IFERROR(__xludf.DUMMYFUNCTION("""COMPUTED_VALUE"""),"3H2M Custom")</f>
        <v>3H2M Custom</v>
      </c>
      <c r="H134" s="16"/>
      <c r="I134" s="17">
        <f>IFERROR(__xludf.DUMMYFUNCTION("""COMPUTED_VALUE"""),4.0)</f>
        <v>4</v>
      </c>
      <c r="J134" s="18">
        <f>IFERROR(__xludf.DUMMYFUNCTION("""COMPUTED_VALUE"""),7120000.0)</f>
        <v>7120000</v>
      </c>
      <c r="K134" s="46" t="str">
        <f>IFERROR(__xludf.DUMMYFUNCTION("""COMPUTED_VALUE"""),"tidak ada balasan lagi")</f>
        <v>tidak ada balasan lagi</v>
      </c>
      <c r="L134" s="88" t="str">
        <f>IFERROR(__xludf.DUMMYFUNCTION("""COMPUTED_VALUE"""),"https://docs.google.com/document/d/1BrX-Nml2r4Ecu2-R2T4-TmWjJu9YkU8ukGMuWPxirQQ/edit?tab=t.0")</f>
        <v>https://docs.google.com/document/d/1BrX-Nml2r4Ecu2-R2T4-TmWjJu9YkU8ukGMuWPxirQQ/edit?tab=t.0</v>
      </c>
      <c r="M134" s="20"/>
      <c r="N134" s="20"/>
      <c r="O134" s="20"/>
      <c r="P134" s="20"/>
    </row>
    <row r="135">
      <c r="A135" s="21">
        <f>IFERROR(__xludf.DUMMYFUNCTION("""COMPUTED_VALUE"""),46087.0)</f>
        <v>46087</v>
      </c>
      <c r="B135" s="22" t="str">
        <f>IFERROR(__xludf.DUMMYFUNCTION("""COMPUTED_VALUE"""),"2603A012")</f>
        <v>2603A012</v>
      </c>
      <c r="C135" s="23" t="str">
        <f>IFERROR(__xludf.DUMMYFUNCTION("""COMPUTED_VALUE"""),"Shinta tata")</f>
        <v>Shinta tata</v>
      </c>
      <c r="D135" s="24" t="str">
        <f>IFERROR(__xludf.DUMMYFUNCTION("""COMPUTED_VALUE"""),"087783170939")</f>
        <v>087783170939</v>
      </c>
      <c r="E135" s="14" t="str">
        <f>IFERROR(__xludf.DUMMYFUNCTION("""COMPUTED_VALUE"""),"Website")</f>
        <v>Website</v>
      </c>
      <c r="F135" s="14" t="str">
        <f>IFERROR(__xludf.DUMMYFUNCTION("""COMPUTED_VALUE"""),"Gagal")</f>
        <v>Gagal</v>
      </c>
      <c r="G135" s="25" t="str">
        <f>IFERROR(__xludf.DUMMYFUNCTION("""COMPUTED_VALUE"""),"Trip I")</f>
        <v>Trip I</v>
      </c>
      <c r="H135" s="26"/>
      <c r="I135" s="27">
        <f>IFERROR(__xludf.DUMMYFUNCTION("""COMPUTED_VALUE"""),2.0)</f>
        <v>2</v>
      </c>
      <c r="J135" s="33"/>
      <c r="K135" s="36"/>
      <c r="L135" s="49"/>
      <c r="M135" s="20"/>
      <c r="N135" s="20"/>
      <c r="O135" s="20"/>
      <c r="P135" s="20"/>
    </row>
    <row r="136">
      <c r="A136" s="11">
        <f>IFERROR(__xludf.DUMMYFUNCTION("""COMPUTED_VALUE"""),46088.0)</f>
        <v>46088</v>
      </c>
      <c r="B136" s="12" t="str">
        <f>IFERROR(__xludf.DUMMYFUNCTION("""COMPUTED_VALUE"""),"2603A013")</f>
        <v>2603A013</v>
      </c>
      <c r="C136" s="10" t="str">
        <f>IFERROR(__xludf.DUMMYFUNCTION("""COMPUTED_VALUE"""),"Aisyah")</f>
        <v>Aisyah</v>
      </c>
      <c r="D136" s="13" t="str">
        <f>IFERROR(__xludf.DUMMYFUNCTION("""COMPUTED_VALUE"""),"085866955933")</f>
        <v>085866955933</v>
      </c>
      <c r="E136" s="14" t="str">
        <f>IFERROR(__xludf.DUMMYFUNCTION("""COMPUTED_VALUE"""),"Instagram")</f>
        <v>Instagram</v>
      </c>
      <c r="F136" s="14" t="str">
        <f>IFERROR(__xludf.DUMMYFUNCTION("""COMPUTED_VALUE"""),"Closing")</f>
        <v>Closing</v>
      </c>
      <c r="G136" s="25" t="str">
        <f>IFERROR(__xludf.DUMMYFUNCTION("""COMPUTED_VALUE"""),"3H2M Custom")</f>
        <v>3H2M Custom</v>
      </c>
      <c r="H136" s="16"/>
      <c r="I136" s="80">
        <f>IFERROR(__xludf.DUMMYFUNCTION("""COMPUTED_VALUE"""),6.0)</f>
        <v>6</v>
      </c>
      <c r="J136" s="54">
        <f>IFERROR(__xludf.DUMMYFUNCTION("""COMPUTED_VALUE"""),5780000.0)</f>
        <v>5780000</v>
      </c>
      <c r="K136" s="19" t="str">
        <f>IFERROR(__xludf.DUMMYFUNCTION("""COMPUTED_VALUE"""),"order")</f>
        <v>order</v>
      </c>
      <c r="L136" s="76"/>
      <c r="M136" s="20"/>
      <c r="N136" s="20"/>
      <c r="O136" s="20"/>
      <c r="P136" s="20"/>
    </row>
    <row r="137">
      <c r="A137" s="21">
        <f>IFERROR(__xludf.DUMMYFUNCTION("""COMPUTED_VALUE"""),46088.0)</f>
        <v>46088</v>
      </c>
      <c r="B137" s="22" t="str">
        <f>IFERROR(__xludf.DUMMYFUNCTION("""COMPUTED_VALUE"""),"2603A014")</f>
        <v>2603A014</v>
      </c>
      <c r="C137" s="23" t="str">
        <f>IFERROR(__xludf.DUMMYFUNCTION("""COMPUTED_VALUE"""),"Saskia")</f>
        <v>Saskia</v>
      </c>
      <c r="D137" s="24" t="str">
        <f>IFERROR(__xludf.DUMMYFUNCTION("""COMPUTED_VALUE"""),"089503197071")</f>
        <v>089503197071</v>
      </c>
      <c r="E137" s="14" t="str">
        <f>IFERROR(__xludf.DUMMYFUNCTION("""COMPUTED_VALUE"""),"Instagram")</f>
        <v>Instagram</v>
      </c>
      <c r="F137" s="14" t="str">
        <f>IFERROR(__xludf.DUMMYFUNCTION("""COMPUTED_VALUE"""),"Gagal")</f>
        <v>Gagal</v>
      </c>
      <c r="G137" s="15"/>
      <c r="H137" s="26"/>
      <c r="I137" s="27"/>
      <c r="J137" s="28"/>
      <c r="K137" s="30" t="str">
        <f>IFERROR(__xludf.DUMMYFUNCTION("""COMPUTED_VALUE"""),"hanya menyapa.")</f>
        <v>hanya menyapa.</v>
      </c>
      <c r="L137" s="23"/>
      <c r="M137" s="20"/>
      <c r="N137" s="20"/>
      <c r="O137" s="20"/>
      <c r="P137" s="20"/>
    </row>
    <row r="138">
      <c r="A138" s="11">
        <f>IFERROR(__xludf.DUMMYFUNCTION("""COMPUTED_VALUE"""),46088.0)</f>
        <v>46088</v>
      </c>
      <c r="B138" s="12" t="str">
        <f>IFERROR(__xludf.DUMMYFUNCTION("""COMPUTED_VALUE"""),"2603A015")</f>
        <v>2603A015</v>
      </c>
      <c r="C138" s="10" t="str">
        <f>IFERROR(__xludf.DUMMYFUNCTION("""COMPUTED_VALUE"""),"fith")</f>
        <v>fith</v>
      </c>
      <c r="D138" s="13" t="str">
        <f>IFERROR(__xludf.DUMMYFUNCTION("""COMPUTED_VALUE"""),"089518004829")</f>
        <v>089518004829</v>
      </c>
      <c r="E138" s="14" t="str">
        <f>IFERROR(__xludf.DUMMYFUNCTION("""COMPUTED_VALUE"""),"Website")</f>
        <v>Website</v>
      </c>
      <c r="F138" s="14" t="str">
        <f>IFERROR(__xludf.DUMMYFUNCTION("""COMPUTED_VALUE"""),"Gagal")</f>
        <v>Gagal</v>
      </c>
      <c r="G138" s="15" t="str">
        <f>IFERROR(__xludf.DUMMYFUNCTION("""COMPUTED_VALUE"""),"3H2M")</f>
        <v>3H2M</v>
      </c>
      <c r="H138" s="16"/>
      <c r="I138" s="17">
        <f>IFERROR(__xludf.DUMMYFUNCTION("""COMPUTED_VALUE"""),2.0)</f>
        <v>2</v>
      </c>
      <c r="J138" s="18"/>
      <c r="K138" s="46"/>
      <c r="L138" s="10"/>
      <c r="M138" s="20"/>
      <c r="N138" s="20"/>
      <c r="O138" s="20"/>
      <c r="P138" s="20"/>
    </row>
    <row r="139">
      <c r="A139" s="21">
        <f>IFERROR(__xludf.DUMMYFUNCTION("""COMPUTED_VALUE"""),46088.0)</f>
        <v>46088</v>
      </c>
      <c r="B139" s="22" t="str">
        <f>IFERROR(__xludf.DUMMYFUNCTION("""COMPUTED_VALUE"""),"2603A016")</f>
        <v>2603A016</v>
      </c>
      <c r="C139" s="23" t="str">
        <f>IFERROR(__xludf.DUMMYFUNCTION("""COMPUTED_VALUE"""),"Robertus Samosir")</f>
        <v>Robertus Samosir</v>
      </c>
      <c r="D139" s="24" t="str">
        <f>IFERROR(__xludf.DUMMYFUNCTION("""COMPUTED_VALUE"""),"085363908264")</f>
        <v>085363908264</v>
      </c>
      <c r="E139" s="14" t="str">
        <f>IFERROR(__xludf.DUMMYFUNCTION("""COMPUTED_VALUE"""),"Website")</f>
        <v>Website</v>
      </c>
      <c r="F139" s="14" t="str">
        <f>IFERROR(__xludf.DUMMYFUNCTION("""COMPUTED_VALUE"""),"Gagal")</f>
        <v>Gagal</v>
      </c>
      <c r="G139" s="15" t="str">
        <f>IFERROR(__xludf.DUMMYFUNCTION("""COMPUTED_VALUE"""),"Custom 3H2M")</f>
        <v>Custom 3H2M</v>
      </c>
      <c r="H139" s="26"/>
      <c r="I139" s="27">
        <f>IFERROR(__xludf.DUMMYFUNCTION("""COMPUTED_VALUE"""),5.0)</f>
        <v>5</v>
      </c>
      <c r="J139" s="28">
        <f>IFERROR(__xludf.DUMMYFUNCTION("""COMPUTED_VALUE"""),8515000.0)</f>
        <v>8515000</v>
      </c>
      <c r="K139" s="30" t="str">
        <f>IFERROR(__xludf.DUMMYFUNCTION("""COMPUTED_VALUE"""),"sejak kirim penawaran tidak ada balasan lagi")</f>
        <v>sejak kirim penawaran tidak ada balasan lagi</v>
      </c>
      <c r="L139" s="87" t="str">
        <f>IFERROR(__xludf.DUMMYFUNCTION("""COMPUTED_VALUE"""),"https://docs.google.com/document/d/1-Oo9xna-eepDmWr_47y0rSdzc3lOcxL2AI2ldlGlg2o/edit?usp=sharing")</f>
        <v>https://docs.google.com/document/d/1-Oo9xna-eepDmWr_47y0rSdzc3lOcxL2AI2ldlGlg2o/edit?usp=sharing</v>
      </c>
      <c r="M139" s="20"/>
      <c r="N139" s="20"/>
      <c r="O139" s="20"/>
      <c r="P139" s="20"/>
    </row>
    <row r="140">
      <c r="A140" s="11">
        <f>IFERROR(__xludf.DUMMYFUNCTION("""COMPUTED_VALUE"""),46089.0)</f>
        <v>46089</v>
      </c>
      <c r="B140" s="12" t="str">
        <f>IFERROR(__xludf.DUMMYFUNCTION("""COMPUTED_VALUE"""),"2603A017")</f>
        <v>2603A017</v>
      </c>
      <c r="C140" s="10" t="str">
        <f>IFERROR(__xludf.DUMMYFUNCTION("""COMPUTED_VALUE"""),"Thierry")</f>
        <v>Thierry</v>
      </c>
      <c r="D140" s="13" t="str">
        <f>IFERROR(__xludf.DUMMYFUNCTION("""COMPUTED_VALUE"""),"33769485350")</f>
        <v>33769485350</v>
      </c>
      <c r="E140" s="14" t="str">
        <f>IFERROR(__xludf.DUMMYFUNCTION("""COMPUTED_VALUE"""),"Instagram")</f>
        <v>Instagram</v>
      </c>
      <c r="F140" s="14" t="str">
        <f>IFERROR(__xludf.DUMMYFUNCTION("""COMPUTED_VALUE"""),"Gagal")</f>
        <v>Gagal</v>
      </c>
      <c r="G140" s="15" t="str">
        <f>IFERROR(__xludf.DUMMYFUNCTION("""COMPUTED_VALUE"""),"Trip ijen")</f>
        <v>Trip ijen</v>
      </c>
      <c r="H140" s="16"/>
      <c r="I140" s="17">
        <f>IFERROR(__xludf.DUMMYFUNCTION("""COMPUTED_VALUE"""),1.0)</f>
        <v>1</v>
      </c>
      <c r="J140" s="54">
        <f>IFERROR(__xludf.DUMMYFUNCTION("""COMPUTED_VALUE"""),500000.0)</f>
        <v>500000</v>
      </c>
      <c r="K140" s="46" t="str">
        <f>IFERROR(__xludf.DUMMYFUNCTION("""COMPUTED_VALUE"""),"kirim penawaran")</f>
        <v>kirim penawaran</v>
      </c>
      <c r="L140" s="10"/>
      <c r="M140" s="20"/>
      <c r="N140" s="20"/>
      <c r="O140" s="20"/>
      <c r="P140" s="20"/>
    </row>
    <row r="141">
      <c r="A141" s="21">
        <f>IFERROR(__xludf.DUMMYFUNCTION("""COMPUTED_VALUE"""),46089.0)</f>
        <v>46089</v>
      </c>
      <c r="B141" s="22" t="str">
        <f>IFERROR(__xludf.DUMMYFUNCTION("""COMPUTED_VALUE"""),"2603A018")</f>
        <v>2603A018</v>
      </c>
      <c r="C141" s="23" t="str">
        <f>IFERROR(__xludf.DUMMYFUNCTION("""COMPUTED_VALUE"""),"Bramantyo Saksono")</f>
        <v>Bramantyo Saksono</v>
      </c>
      <c r="D141" s="24" t="str">
        <f>IFERROR(__xludf.DUMMYFUNCTION("""COMPUTED_VALUE"""),"081231717107")</f>
        <v>081231717107</v>
      </c>
      <c r="E141" s="14" t="str">
        <f>IFERROR(__xludf.DUMMYFUNCTION("""COMPUTED_VALUE"""),"Website")</f>
        <v>Website</v>
      </c>
      <c r="F141" s="14" t="str">
        <f>IFERROR(__xludf.DUMMYFUNCTION("""COMPUTED_VALUE"""),"Gagal")</f>
        <v>Gagal</v>
      </c>
      <c r="G141" s="15" t="str">
        <f>IFERROR(__xludf.DUMMYFUNCTION("""COMPUTED_VALUE"""),"Custom 3H2M")</f>
        <v>Custom 3H2M</v>
      </c>
      <c r="H141" s="26"/>
      <c r="I141" s="89">
        <f>IFERROR(__xludf.DUMMYFUNCTION("""COMPUTED_VALUE"""),4.0)</f>
        <v>4</v>
      </c>
      <c r="J141" s="28">
        <f>IFERROR(__xludf.DUMMYFUNCTION("""COMPUTED_VALUE"""),1.066E7)</f>
        <v>10660000</v>
      </c>
      <c r="K141" s="30" t="str">
        <f>IFERROR(__xludf.DUMMYFUNCTION("""COMPUTED_VALUE"""),"sejak kirim penawaran tidak ada balasan lagi")</f>
        <v>sejak kirim penawaran tidak ada balasan lagi</v>
      </c>
      <c r="L141" s="81" t="str">
        <f>IFERROR(__xludf.DUMMYFUNCTION("""COMPUTED_VALUE"""),"https://docs.google.com/document/d/13VdLjJT7irt71tXNqSoAnm8uUyhGyWZ_11iHshyAgUY/edit?usp=sharing")</f>
        <v>https://docs.google.com/document/d/13VdLjJT7irt71tXNqSoAnm8uUyhGyWZ_11iHshyAgUY/edit?usp=sharing</v>
      </c>
      <c r="M141" s="20"/>
      <c r="N141" s="20"/>
      <c r="O141" s="20"/>
      <c r="P141" s="20"/>
    </row>
    <row r="142">
      <c r="A142" s="11">
        <f>IFERROR(__xludf.DUMMYFUNCTION("""COMPUTED_VALUE"""),46089.0)</f>
        <v>46089</v>
      </c>
      <c r="B142" s="12" t="str">
        <f>IFERROR(__xludf.DUMMYFUNCTION("""COMPUTED_VALUE"""),"2603A019")</f>
        <v>2603A019</v>
      </c>
      <c r="C142" s="10" t="str">
        <f>IFERROR(__xludf.DUMMYFUNCTION("""COMPUTED_VALUE"""),"Prista")</f>
        <v>Prista</v>
      </c>
      <c r="D142" s="13" t="str">
        <f>IFERROR(__xludf.DUMMYFUNCTION("""COMPUTED_VALUE"""),"081219103733")</f>
        <v>081219103733</v>
      </c>
      <c r="E142" s="14" t="str">
        <f>IFERROR(__xludf.DUMMYFUNCTION("""COMPUTED_VALUE"""),"Instagram")</f>
        <v>Instagram</v>
      </c>
      <c r="F142" s="14" t="str">
        <f>IFERROR(__xludf.DUMMYFUNCTION("""COMPUTED_VALUE"""),"Gagal")</f>
        <v>Gagal</v>
      </c>
      <c r="G142" s="14"/>
      <c r="H142" s="16"/>
      <c r="I142" s="17"/>
      <c r="J142" s="54"/>
      <c r="K142" s="46" t="str">
        <f>IFERROR(__xludf.DUMMYFUNCTION("""COMPUTED_VALUE"""),"hanya menyapa")</f>
        <v>hanya menyapa</v>
      </c>
      <c r="L142" s="10"/>
      <c r="M142" s="20"/>
      <c r="N142" s="20"/>
      <c r="O142" s="20"/>
      <c r="P142" s="20"/>
    </row>
    <row r="143">
      <c r="A143" s="21">
        <f>IFERROR(__xludf.DUMMYFUNCTION("""COMPUTED_VALUE"""),46090.0)</f>
        <v>46090</v>
      </c>
      <c r="B143" s="22" t="str">
        <f>IFERROR(__xludf.DUMMYFUNCTION("""COMPUTED_VALUE"""),"2603A020")</f>
        <v>2603A020</v>
      </c>
      <c r="C143" s="23" t="str">
        <f>IFERROR(__xludf.DUMMYFUNCTION("""COMPUTED_VALUE"""),"Tya")</f>
        <v>Tya</v>
      </c>
      <c r="D143" s="24" t="str">
        <f>IFERROR(__xludf.DUMMYFUNCTION("""COMPUTED_VALUE"""),"085227006091")</f>
        <v>085227006091</v>
      </c>
      <c r="E143" s="14" t="str">
        <f>IFERROR(__xludf.DUMMYFUNCTION("""COMPUTED_VALUE"""),"Website")</f>
        <v>Website</v>
      </c>
      <c r="F143" s="14" t="str">
        <f>IFERROR(__xludf.DUMMYFUNCTION("""COMPUTED_VALUE"""),"Gagal")</f>
        <v>Gagal</v>
      </c>
      <c r="G143" s="15" t="str">
        <f>IFERROR(__xludf.DUMMYFUNCTION("""COMPUTED_VALUE"""),"2H1M custom")</f>
        <v>2H1M custom</v>
      </c>
      <c r="H143" s="26"/>
      <c r="I143" s="27">
        <f>IFERROR(__xludf.DUMMYFUNCTION("""COMPUTED_VALUE"""),2.0)</f>
        <v>2</v>
      </c>
      <c r="J143" s="33">
        <f>IFERROR(__xludf.DUMMYFUNCTION("""COMPUTED_VALUE"""),5220000.0)</f>
        <v>5220000</v>
      </c>
      <c r="K143" s="30" t="str">
        <f>IFERROR(__xludf.DUMMYFUNCTION("""COMPUTED_VALUE"""),"gada jawaban dan kelanjutan")</f>
        <v>gada jawaban dan kelanjutan</v>
      </c>
      <c r="L143" s="87" t="str">
        <f>IFERROR(__xludf.DUMMYFUNCTION("""COMPUTED_VALUE"""),"https://docs.google.com/document/d/1afskSDsgsB_EZ8p_YL8a2Avvfs09xv8ZH_u3YDTOV6M/edit?usp=sharing")</f>
        <v>https://docs.google.com/document/d/1afskSDsgsB_EZ8p_YL8a2Avvfs09xv8ZH_u3YDTOV6M/edit?usp=sharing</v>
      </c>
      <c r="M143" s="20"/>
      <c r="N143" s="20"/>
      <c r="O143" s="20"/>
      <c r="P143" s="20"/>
    </row>
    <row r="144">
      <c r="A144" s="11">
        <f>IFERROR(__xludf.DUMMYFUNCTION("""COMPUTED_VALUE"""),46091.0)</f>
        <v>46091</v>
      </c>
      <c r="B144" s="12" t="str">
        <f>IFERROR(__xludf.DUMMYFUNCTION("""COMPUTED_VALUE"""),"2603A021")</f>
        <v>2603A021</v>
      </c>
      <c r="C144" s="10" t="str">
        <f>IFERROR(__xludf.DUMMYFUNCTION("""COMPUTED_VALUE"""),"Kheira")</f>
        <v>Kheira</v>
      </c>
      <c r="D144" s="13" t="str">
        <f>IFERROR(__xludf.DUMMYFUNCTION("""COMPUTED_VALUE"""),"082310921117")</f>
        <v>082310921117</v>
      </c>
      <c r="E144" s="14" t="str">
        <f>IFERROR(__xludf.DUMMYFUNCTION("""COMPUTED_VALUE"""),"Website")</f>
        <v>Website</v>
      </c>
      <c r="F144" s="14" t="str">
        <f>IFERROR(__xludf.DUMMYFUNCTION("""COMPUTED_VALUE"""),"Gagal")</f>
        <v>Gagal</v>
      </c>
      <c r="G144" s="15" t="str">
        <f>IFERROR(__xludf.DUMMYFUNCTION("""COMPUTED_VALUE"""),"3H2M Custom")</f>
        <v>3H2M Custom</v>
      </c>
      <c r="H144" s="16"/>
      <c r="I144" s="17">
        <f>IFERROR(__xludf.DUMMYFUNCTION("""COMPUTED_VALUE"""),6.0)</f>
        <v>6</v>
      </c>
      <c r="J144" s="18">
        <f>IFERROR(__xludf.DUMMYFUNCTION("""COMPUTED_VALUE"""),1.377E7)</f>
        <v>13770000</v>
      </c>
      <c r="K144" s="46" t="str">
        <f>IFERROR(__xludf.DUMMYFUNCTION("""COMPUTED_VALUE"""),"cancel ")</f>
        <v>cancel </v>
      </c>
      <c r="L144" s="100" t="str">
        <f>IFERROR(__xludf.DUMMYFUNCTION("""COMPUTED_VALUE"""),"https://docs.google.com/document/d/1ImZ2DQqVT-2OrII48xmimrQstKre5eS0T32EmvKC2Ng/edit?usp=sharing")</f>
        <v>https://docs.google.com/document/d/1ImZ2DQqVT-2OrII48xmimrQstKre5eS0T32EmvKC2Ng/edit?usp=sharing</v>
      </c>
      <c r="M144" s="20"/>
      <c r="N144" s="20"/>
      <c r="O144" s="20"/>
      <c r="P144" s="20"/>
    </row>
    <row r="145">
      <c r="A145" s="21">
        <f>IFERROR(__xludf.DUMMYFUNCTION("""COMPUTED_VALUE"""),46093.0)</f>
        <v>46093</v>
      </c>
      <c r="B145" s="22" t="str">
        <f>IFERROR(__xludf.DUMMYFUNCTION("""COMPUTED_VALUE"""),"2603A022")</f>
        <v>2603A022</v>
      </c>
      <c r="C145" s="23" t="str">
        <f>IFERROR(__xludf.DUMMYFUNCTION("""COMPUTED_VALUE"""),"Fiona")</f>
        <v>Fiona</v>
      </c>
      <c r="D145" s="24" t="str">
        <f>IFERROR(__xludf.DUMMYFUNCTION("""COMPUTED_VALUE"""),"087751327799")</f>
        <v>087751327799</v>
      </c>
      <c r="E145" s="14" t="str">
        <f>IFERROR(__xludf.DUMMYFUNCTION("""COMPUTED_VALUE"""),"Website")</f>
        <v>Website</v>
      </c>
      <c r="F145" s="14" t="str">
        <f>IFERROR(__xludf.DUMMYFUNCTION("""COMPUTED_VALUE"""),"Gagal")</f>
        <v>Gagal</v>
      </c>
      <c r="G145" s="14" t="str">
        <f>IFERROR(__xludf.DUMMYFUNCTION("""COMPUTED_VALUE"""),"Green island")</f>
        <v>Green island</v>
      </c>
      <c r="H145" s="26">
        <f>IFERROR(__xludf.DUMMYFUNCTION("""COMPUTED_VALUE"""),46103.0)</f>
        <v>46103</v>
      </c>
      <c r="I145" s="27">
        <f>IFERROR(__xludf.DUMMYFUNCTION("""COMPUTED_VALUE"""),8.0)</f>
        <v>8</v>
      </c>
      <c r="J145" s="33">
        <f>IFERROR(__xludf.DUMMYFUNCTION("""COMPUTED_VALUE"""),5320000.0)</f>
        <v>5320000</v>
      </c>
      <c r="K145" s="30" t="str">
        <f>IFERROR(__xludf.DUMMYFUNCTION("""COMPUTED_VALUE"""),"tidak jadi dulu tripnya")</f>
        <v>tidak jadi dulu tripnya</v>
      </c>
      <c r="L145" s="87" t="str">
        <f>IFERROR(__xludf.DUMMYFUNCTION("""COMPUTED_VALUE"""),"https://docs.google.com/document/d/17Fe6RllYDrqiq9HPq9zBMSoG6P1X_CuBg6JajofvanE/edit?tab=t.0")</f>
        <v>https://docs.google.com/document/d/17Fe6RllYDrqiq9HPq9zBMSoG6P1X_CuBg6JajofvanE/edit?tab=t.0</v>
      </c>
      <c r="M145" s="20"/>
      <c r="N145" s="20"/>
      <c r="O145" s="20"/>
      <c r="P145" s="20"/>
    </row>
    <row r="146">
      <c r="A146" s="11">
        <f>IFERROR(__xludf.DUMMYFUNCTION("""COMPUTED_VALUE"""),46093.0)</f>
        <v>46093</v>
      </c>
      <c r="B146" s="12" t="str">
        <f>IFERROR(__xludf.DUMMYFUNCTION("""COMPUTED_VALUE"""),"2603A023")</f>
        <v>2603A023</v>
      </c>
      <c r="C146" s="10" t="str">
        <f>IFERROR(__xludf.DUMMYFUNCTION("""COMPUTED_VALUE"""),"Sefin")</f>
        <v>Sefin</v>
      </c>
      <c r="D146" s="13" t="str">
        <f>IFERROR(__xludf.DUMMYFUNCTION("""COMPUTED_VALUE"""),"082136353737")</f>
        <v>082136353737</v>
      </c>
      <c r="E146" s="14" t="str">
        <f>IFERROR(__xludf.DUMMYFUNCTION("""COMPUTED_VALUE"""),"Instagram")</f>
        <v>Instagram</v>
      </c>
      <c r="F146" s="14" t="str">
        <f>IFERROR(__xludf.DUMMYFUNCTION("""COMPUTED_VALUE"""),"Gagal")</f>
        <v>Gagal</v>
      </c>
      <c r="G146" s="14" t="str">
        <f>IFERROR(__xludf.DUMMYFUNCTION("""COMPUTED_VALUE"""),"3H2M")</f>
        <v>3H2M</v>
      </c>
      <c r="H146" s="16"/>
      <c r="I146" s="17">
        <f>IFERROR(__xludf.DUMMYFUNCTION("""COMPUTED_VALUE"""),2.0)</f>
        <v>2</v>
      </c>
      <c r="J146" s="18">
        <f>IFERROR(__xludf.DUMMYFUNCTION("""COMPUTED_VALUE"""),6128000.0)</f>
        <v>6128000</v>
      </c>
      <c r="K146" s="46" t="str">
        <f>IFERROR(__xludf.DUMMYFUNCTION("""COMPUTED_VALUE"""),"cuti belum di acc ")</f>
        <v>cuti belum di acc </v>
      </c>
      <c r="L146" s="10"/>
      <c r="M146" s="20"/>
      <c r="N146" s="20"/>
      <c r="O146" s="20"/>
      <c r="P146" s="20"/>
    </row>
    <row r="147">
      <c r="A147" s="21">
        <f>IFERROR(__xludf.DUMMYFUNCTION("""COMPUTED_VALUE"""),46094.0)</f>
        <v>46094</v>
      </c>
      <c r="B147" s="22" t="str">
        <f>IFERROR(__xludf.DUMMYFUNCTION("""COMPUTED_VALUE"""),"2603A024")</f>
        <v>2603A024</v>
      </c>
      <c r="C147" s="23" t="str">
        <f>IFERROR(__xludf.DUMMYFUNCTION("""COMPUTED_VALUE"""),"Novira")</f>
        <v>Novira</v>
      </c>
      <c r="D147" s="24" t="str">
        <f>IFERROR(__xludf.DUMMYFUNCTION("""COMPUTED_VALUE"""),"085187010197")</f>
        <v>085187010197</v>
      </c>
      <c r="E147" s="14" t="str">
        <f>IFERROR(__xludf.DUMMYFUNCTION("""COMPUTED_VALUE"""),"Instagram")</f>
        <v>Instagram</v>
      </c>
      <c r="F147" s="14" t="str">
        <f>IFERROR(__xludf.DUMMYFUNCTION("""COMPUTED_VALUE"""),"Gagal")</f>
        <v>Gagal</v>
      </c>
      <c r="G147" s="15" t="str">
        <f>IFERROR(__xludf.DUMMYFUNCTION("""COMPUTED_VALUE"""),"Trip D, B")</f>
        <v>Trip D, B</v>
      </c>
      <c r="H147" s="26">
        <f>IFERROR(__xludf.DUMMYFUNCTION("""COMPUTED_VALUE"""),46104.0)</f>
        <v>46104</v>
      </c>
      <c r="I147" s="27">
        <f>IFERROR(__xludf.DUMMYFUNCTION("""COMPUTED_VALUE"""),3.0)</f>
        <v>3</v>
      </c>
      <c r="J147" s="33">
        <f>IFERROR(__xludf.DUMMYFUNCTION("""COMPUTED_VALUE"""),2250000.0)</f>
        <v>2250000</v>
      </c>
      <c r="K147" s="30" t="str">
        <f>IFERROR(__xludf.DUMMYFUNCTION("""COMPUTED_VALUE"""),"gaada balasan")</f>
        <v>gaada balasan</v>
      </c>
      <c r="L147" s="87" t="str">
        <f>IFERROR(__xludf.DUMMYFUNCTION("""COMPUTED_VALUE"""),"https://docs.google.com/document/d/1dTOmwmacoQn5Xetx_FxbPXY9SNv303UVl_ULz3Y7aao/edit?usp=sharing")</f>
        <v>https://docs.google.com/document/d/1dTOmwmacoQn5Xetx_FxbPXY9SNv303UVl_ULz3Y7aao/edit?usp=sharing</v>
      </c>
      <c r="M147" s="20"/>
      <c r="N147" s="20"/>
      <c r="O147" s="20"/>
      <c r="P147" s="20"/>
    </row>
    <row r="148">
      <c r="A148" s="11">
        <f>IFERROR(__xludf.DUMMYFUNCTION("""COMPUTED_VALUE"""),46094.0)</f>
        <v>46094</v>
      </c>
      <c r="B148" s="12" t="str">
        <f>IFERROR(__xludf.DUMMYFUNCTION("""COMPUTED_VALUE"""),"2603A025")</f>
        <v>2603A025</v>
      </c>
      <c r="C148" s="10" t="str">
        <f>IFERROR(__xludf.DUMMYFUNCTION("""COMPUTED_VALUE"""),"Melati")</f>
        <v>Melati</v>
      </c>
      <c r="D148" s="13" t="str">
        <f>IFERROR(__xludf.DUMMYFUNCTION("""COMPUTED_VALUE"""),"085717888548")</f>
        <v>085717888548</v>
      </c>
      <c r="E148" s="14" t="str">
        <f>IFERROR(__xludf.DUMMYFUNCTION("""COMPUTED_VALUE"""),"Instagram")</f>
        <v>Instagram</v>
      </c>
      <c r="F148" s="14" t="str">
        <f>IFERROR(__xludf.DUMMYFUNCTION("""COMPUTED_VALUE"""),"Gagal")</f>
        <v>Gagal</v>
      </c>
      <c r="G148" s="15" t="str">
        <f>IFERROR(__xludf.DUMMYFUNCTION("""COMPUTED_VALUE"""),"2H1M Custom")</f>
        <v>2H1M Custom</v>
      </c>
      <c r="H148" s="16">
        <f>IFERROR(__xludf.DUMMYFUNCTION("""COMPUTED_VALUE"""),46115.0)</f>
        <v>46115</v>
      </c>
      <c r="I148" s="17">
        <f>IFERROR(__xludf.DUMMYFUNCTION("""COMPUTED_VALUE"""),4.0)</f>
        <v>4</v>
      </c>
      <c r="J148" s="54">
        <f>IFERROR(__xludf.DUMMYFUNCTION("""COMPUTED_VALUE"""),5400000.0)</f>
        <v>5400000</v>
      </c>
      <c r="K148" s="19" t="str">
        <f>IFERROR(__xludf.DUMMYFUNCTION("""COMPUTED_VALUE"""),"buat penawaran")</f>
        <v>buat penawaran</v>
      </c>
      <c r="L148" s="88" t="str">
        <f>IFERROR(__xludf.DUMMYFUNCTION("""COMPUTED_VALUE"""),"https://docs.google.com/document/d/17AU7AT-Us9U-0GteJzfGymhI1yLH10uEfwXGS0_6GNo/edit?usp=sharing")</f>
        <v>https://docs.google.com/document/d/17AU7AT-Us9U-0GteJzfGymhI1yLH10uEfwXGS0_6GNo/edit?usp=sharing</v>
      </c>
      <c r="M148" s="20"/>
      <c r="N148" s="20"/>
      <c r="O148" s="20"/>
      <c r="P148" s="20"/>
    </row>
    <row r="149">
      <c r="A149" s="21">
        <f>IFERROR(__xludf.DUMMYFUNCTION("""COMPUTED_VALUE"""),46094.0)</f>
        <v>46094</v>
      </c>
      <c r="B149" s="22" t="str">
        <f>IFERROR(__xludf.DUMMYFUNCTION("""COMPUTED_VALUE"""),"2603A026")</f>
        <v>2603A026</v>
      </c>
      <c r="C149" s="23" t="str">
        <f>IFERROR(__xludf.DUMMYFUNCTION("""COMPUTED_VALUE"""),"Lia")</f>
        <v>Lia</v>
      </c>
      <c r="D149" s="24" t="str">
        <f>IFERROR(__xludf.DUMMYFUNCTION("""COMPUTED_VALUE"""),"08568541948")</f>
        <v>08568541948</v>
      </c>
      <c r="E149" s="14" t="str">
        <f>IFERROR(__xludf.DUMMYFUNCTION("""COMPUTED_VALUE"""),"Instagram")</f>
        <v>Instagram</v>
      </c>
      <c r="F149" s="14" t="str">
        <f>IFERROR(__xludf.DUMMYFUNCTION("""COMPUTED_VALUE"""),"Closing")</f>
        <v>Closing</v>
      </c>
      <c r="G149" s="15" t="str">
        <f>IFERROR(__xludf.DUMMYFUNCTION("""COMPUTED_VALUE"""),"OT 3H2M")</f>
        <v>OT 3H2M</v>
      </c>
      <c r="H149" s="26"/>
      <c r="I149" s="27">
        <f>IFERROR(__xludf.DUMMYFUNCTION("""COMPUTED_VALUE"""),1.0)</f>
        <v>1</v>
      </c>
      <c r="J149" s="28">
        <f>IFERROR(__xludf.DUMMYFUNCTION("""COMPUTED_VALUE"""),1600000.0)</f>
        <v>1600000</v>
      </c>
      <c r="K149" s="36" t="str">
        <f>IFERROR(__xludf.DUMMYFUNCTION("""COMPUTED_VALUE"""),"order")</f>
        <v>order</v>
      </c>
      <c r="L149" s="49"/>
      <c r="M149" s="20"/>
      <c r="N149" s="20"/>
      <c r="O149" s="20"/>
      <c r="P149" s="20"/>
    </row>
    <row r="150">
      <c r="A150" s="11">
        <f>IFERROR(__xludf.DUMMYFUNCTION("""COMPUTED_VALUE"""),46094.0)</f>
        <v>46094</v>
      </c>
      <c r="B150" s="12" t="str">
        <f>IFERROR(__xludf.DUMMYFUNCTION("""COMPUTED_VALUE"""),"2603A027")</f>
        <v>2603A027</v>
      </c>
      <c r="C150" s="10" t="str">
        <f>IFERROR(__xludf.DUMMYFUNCTION("""COMPUTED_VALUE"""),"Syaharani Martiza")</f>
        <v>Syaharani Martiza</v>
      </c>
      <c r="D150" s="13" t="str">
        <f>IFERROR(__xludf.DUMMYFUNCTION("""COMPUTED_VALUE"""),"081280082608")</f>
        <v>081280082608</v>
      </c>
      <c r="E150" s="14" t="str">
        <f>IFERROR(__xludf.DUMMYFUNCTION("""COMPUTED_VALUE"""),"Instagram")</f>
        <v>Instagram</v>
      </c>
      <c r="F150" s="14" t="str">
        <f>IFERROR(__xludf.DUMMYFUNCTION("""COMPUTED_VALUE"""),"Gagal")</f>
        <v>Gagal</v>
      </c>
      <c r="G150" s="14" t="str">
        <f>IFERROR(__xludf.DUMMYFUNCTION("""COMPUTED_VALUE"""),"3H2M Custom")</f>
        <v>3H2M Custom</v>
      </c>
      <c r="H150" s="16"/>
      <c r="I150" s="17">
        <f>IFERROR(__xludf.DUMMYFUNCTION("""COMPUTED_VALUE"""),5.0)</f>
        <v>5</v>
      </c>
      <c r="J150" s="54"/>
      <c r="K150" s="46" t="str">
        <f>IFERROR(__xludf.DUMMYFUNCTION("""COMPUTED_VALUE"""),"belum ada balasan")</f>
        <v>belum ada balasan</v>
      </c>
      <c r="L150" s="10"/>
      <c r="M150" s="20"/>
      <c r="N150" s="20"/>
      <c r="O150" s="20"/>
      <c r="P150" s="20"/>
    </row>
    <row r="151">
      <c r="A151" s="21">
        <f>IFERROR(__xludf.DUMMYFUNCTION("""COMPUTED_VALUE"""),46095.0)</f>
        <v>46095</v>
      </c>
      <c r="B151" s="22" t="str">
        <f>IFERROR(__xludf.DUMMYFUNCTION("""COMPUTED_VALUE"""),"2603A028")</f>
        <v>2603A028</v>
      </c>
      <c r="C151" s="23" t="str">
        <f>IFERROR(__xludf.DUMMYFUNCTION("""COMPUTED_VALUE"""),"Dhion")</f>
        <v>Dhion</v>
      </c>
      <c r="D151" s="24" t="str">
        <f>IFERROR(__xludf.DUMMYFUNCTION("""COMPUTED_VALUE"""),"0882000645161")</f>
        <v>0882000645161</v>
      </c>
      <c r="E151" s="14" t="str">
        <f>IFERROR(__xludf.DUMMYFUNCTION("""COMPUTED_VALUE"""),"Website")</f>
        <v>Website</v>
      </c>
      <c r="F151" s="14" t="str">
        <f>IFERROR(__xludf.DUMMYFUNCTION("""COMPUTED_VALUE"""),"Closing")</f>
        <v>Closing</v>
      </c>
      <c r="G151" s="15" t="str">
        <f>IFERROR(__xludf.DUMMYFUNCTION("""COMPUTED_VALUE"""),"2H1M  Custom")</f>
        <v>2H1M  Custom</v>
      </c>
      <c r="H151" s="26"/>
      <c r="I151" s="27">
        <f>IFERROR(__xludf.DUMMYFUNCTION("""COMPUTED_VALUE"""),5.0)</f>
        <v>5</v>
      </c>
      <c r="J151" s="33">
        <f>IFERROR(__xludf.DUMMYFUNCTION("""COMPUTED_VALUE"""),4500000.0)</f>
        <v>4500000</v>
      </c>
      <c r="K151" s="30" t="str">
        <f>IFERROR(__xludf.DUMMYFUNCTION("""COMPUTED_VALUE"""),"kirim penawaran")</f>
        <v>kirim penawaran</v>
      </c>
      <c r="L151" s="23"/>
      <c r="M151" s="20"/>
      <c r="N151" s="20"/>
      <c r="O151" s="20"/>
      <c r="P151" s="20"/>
    </row>
    <row r="152">
      <c r="A152" s="11">
        <f>IFERROR(__xludf.DUMMYFUNCTION("""COMPUTED_VALUE"""),46094.0)</f>
        <v>46094</v>
      </c>
      <c r="B152" s="12" t="str">
        <f>IFERROR(__xludf.DUMMYFUNCTION("""COMPUTED_VALUE"""),"2603A029")</f>
        <v>2603A029</v>
      </c>
      <c r="C152" s="10" t="str">
        <f>IFERROR(__xludf.DUMMYFUNCTION("""COMPUTED_VALUE"""),"Kreshna")</f>
        <v>Kreshna</v>
      </c>
      <c r="D152" s="13" t="str">
        <f>IFERROR(__xludf.DUMMYFUNCTION("""COMPUTED_VALUE"""),"082286779677‬")</f>
        <v>082286779677‬</v>
      </c>
      <c r="E152" s="14" t="str">
        <f>IFERROR(__xludf.DUMMYFUNCTION("""COMPUTED_VALUE"""),"Website")</f>
        <v>Website</v>
      </c>
      <c r="F152" s="14" t="str">
        <f>IFERROR(__xludf.DUMMYFUNCTION("""COMPUTED_VALUE"""),"Gagal")</f>
        <v>Gagal</v>
      </c>
      <c r="G152" s="15" t="str">
        <f>IFERROR(__xludf.DUMMYFUNCTION("""COMPUTED_VALUE"""),"taman galuh")</f>
        <v>taman galuh</v>
      </c>
      <c r="H152" s="16"/>
      <c r="I152" s="17"/>
      <c r="J152" s="18"/>
      <c r="K152" s="19" t="str">
        <f>IFERROR(__xludf.DUMMYFUNCTION("""COMPUTED_VALUE"""),"gagal, rencana mau ke taman galuh")</f>
        <v>gagal, rencana mau ke taman galuh</v>
      </c>
      <c r="L152" s="76"/>
      <c r="M152" s="20"/>
      <c r="N152" s="20"/>
      <c r="O152" s="20"/>
      <c r="P152" s="20"/>
    </row>
    <row r="153">
      <c r="A153" s="21">
        <f>IFERROR(__xludf.DUMMYFUNCTION("""COMPUTED_VALUE"""),46095.0)</f>
        <v>46095</v>
      </c>
      <c r="B153" s="22" t="str">
        <f>IFERROR(__xludf.DUMMYFUNCTION("""COMPUTED_VALUE"""),"2603A030")</f>
        <v>2603A030</v>
      </c>
      <c r="C153" s="23" t="str">
        <f>IFERROR(__xludf.DUMMYFUNCTION("""COMPUTED_VALUE"""),"Atika")</f>
        <v>Atika</v>
      </c>
      <c r="D153" s="24" t="str">
        <f>IFERROR(__xludf.DUMMYFUNCTION("""COMPUTED_VALUE"""),"081234028695")</f>
        <v>081234028695</v>
      </c>
      <c r="E153" s="14" t="str">
        <f>IFERROR(__xludf.DUMMYFUNCTION("""COMPUTED_VALUE"""),"Instagram")</f>
        <v>Instagram</v>
      </c>
      <c r="F153" s="14" t="str">
        <f>IFERROR(__xludf.DUMMYFUNCTION("""COMPUTED_VALUE"""),"Gagal")</f>
        <v>Gagal</v>
      </c>
      <c r="G153" s="25" t="str">
        <f>IFERROR(__xludf.DUMMYFUNCTION("""COMPUTED_VALUE"""),"2H1M")</f>
        <v>2H1M</v>
      </c>
      <c r="H153" s="78"/>
      <c r="I153" s="89">
        <f>IFERROR(__xludf.DUMMYFUNCTION("""COMPUTED_VALUE"""),5.0)</f>
        <v>5</v>
      </c>
      <c r="J153" s="96">
        <f>IFERROR(__xludf.DUMMYFUNCTION("""COMPUTED_VALUE"""),4750000.0)</f>
        <v>4750000</v>
      </c>
      <c r="K153" s="36"/>
      <c r="L153" s="49"/>
      <c r="M153" s="20"/>
      <c r="N153" s="20"/>
      <c r="O153" s="20"/>
      <c r="P153" s="20"/>
    </row>
    <row r="154">
      <c r="A154" s="11">
        <f>IFERROR(__xludf.DUMMYFUNCTION("""COMPUTED_VALUE"""),46096.0)</f>
        <v>46096</v>
      </c>
      <c r="B154" s="12" t="str">
        <f>IFERROR(__xludf.DUMMYFUNCTION("""COMPUTED_VALUE"""),"2603A031")</f>
        <v>2603A031</v>
      </c>
      <c r="C154" s="10" t="str">
        <f>IFERROR(__xludf.DUMMYFUNCTION("""COMPUTED_VALUE"""),"Anisa")</f>
        <v>Anisa</v>
      </c>
      <c r="D154" s="13" t="str">
        <f>IFERROR(__xludf.DUMMYFUNCTION("""COMPUTED_VALUE"""),"089613987223‬")</f>
        <v>089613987223‬</v>
      </c>
      <c r="E154" s="14" t="str">
        <f>IFERROR(__xludf.DUMMYFUNCTION("""COMPUTED_VALUE"""),"Instagram")</f>
        <v>Instagram</v>
      </c>
      <c r="F154" s="14" t="str">
        <f>IFERROR(__xludf.DUMMYFUNCTION("""COMPUTED_VALUE"""),"Gagal")</f>
        <v>Gagal</v>
      </c>
      <c r="G154" s="15" t="str">
        <f>IFERROR(__xludf.DUMMYFUNCTION("""COMPUTED_VALUE"""),"trip menjangan baluran")</f>
        <v>trip menjangan baluran</v>
      </c>
      <c r="H154" s="16">
        <f>IFERROR(__xludf.DUMMYFUNCTION("""COMPUTED_VALUE"""),46105.0)</f>
        <v>46105</v>
      </c>
      <c r="I154" s="17">
        <f>IFERROR(__xludf.DUMMYFUNCTION("""COMPUTED_VALUE"""),2.0)</f>
        <v>2</v>
      </c>
      <c r="J154" s="54"/>
      <c r="K154" s="46"/>
      <c r="L154" s="10"/>
      <c r="M154" s="20"/>
      <c r="N154" s="20"/>
      <c r="O154" s="20"/>
      <c r="P154" s="20"/>
    </row>
    <row r="155">
      <c r="A155" s="21">
        <f>IFERROR(__xludf.DUMMYFUNCTION("""COMPUTED_VALUE"""),46096.0)</f>
        <v>46096</v>
      </c>
      <c r="B155" s="22" t="str">
        <f>IFERROR(__xludf.DUMMYFUNCTION("""COMPUTED_VALUE"""),"2603A032")</f>
        <v>2603A032</v>
      </c>
      <c r="C155" s="23" t="str">
        <f>IFERROR(__xludf.DUMMYFUNCTION("""COMPUTED_VALUE"""),"Alya nadya")</f>
        <v>Alya nadya</v>
      </c>
      <c r="D155" s="24" t="str">
        <f>IFERROR(__xludf.DUMMYFUNCTION("""COMPUTED_VALUE"""),"08112001339‬")</f>
        <v>08112001339‬</v>
      </c>
      <c r="E155" s="14" t="str">
        <f>IFERROR(__xludf.DUMMYFUNCTION("""COMPUTED_VALUE"""),"Instagram")</f>
        <v>Instagram</v>
      </c>
      <c r="F155" s="14" t="str">
        <f>IFERROR(__xludf.DUMMYFUNCTION("""COMPUTED_VALUE"""),"Gagal")</f>
        <v>Gagal</v>
      </c>
      <c r="G155" s="15" t="str">
        <f>IFERROR(__xludf.DUMMYFUNCTION("""COMPUTED_VALUE"""),"4H3M Custom")</f>
        <v>4H3M Custom</v>
      </c>
      <c r="H155" s="26"/>
      <c r="I155" s="27">
        <f>IFERROR(__xludf.DUMMYFUNCTION("""COMPUTED_VALUE"""),6.0)</f>
        <v>6</v>
      </c>
      <c r="J155" s="33">
        <f>IFERROR(__xludf.DUMMYFUNCTION("""COMPUTED_VALUE"""),1.4781E7)</f>
        <v>14781000</v>
      </c>
      <c r="K155" s="30"/>
      <c r="L155" s="81" t="str">
        <f>IFERROR(__xludf.DUMMYFUNCTION("""COMPUTED_VALUE"""),"https://docs.google.com/document/d/15tGBZYFhVJdeLWTnwFtewTfHPp56aGtS9qy4AS2Hojk/edit?usp=sharing")</f>
        <v>https://docs.google.com/document/d/15tGBZYFhVJdeLWTnwFtewTfHPp56aGtS9qy4AS2Hojk/edit?usp=sharing</v>
      </c>
      <c r="M155" s="20"/>
      <c r="N155" s="20"/>
      <c r="O155" s="20"/>
      <c r="P155" s="20"/>
    </row>
    <row r="156">
      <c r="A156" s="11">
        <f>IFERROR(__xludf.DUMMYFUNCTION("""COMPUTED_VALUE"""),46096.0)</f>
        <v>46096</v>
      </c>
      <c r="B156" s="12" t="str">
        <f>IFERROR(__xludf.DUMMYFUNCTION("""COMPUTED_VALUE"""),"2603A033")</f>
        <v>2603A033</v>
      </c>
      <c r="C156" s="10" t="str">
        <f>IFERROR(__xludf.DUMMYFUNCTION("""COMPUTED_VALUE"""),"Dewanti Ajeng")</f>
        <v>Dewanti Ajeng</v>
      </c>
      <c r="D156" s="13" t="str">
        <f>IFERROR(__xludf.DUMMYFUNCTION("""COMPUTED_VALUE"""),"081323981858‬")</f>
        <v>081323981858‬</v>
      </c>
      <c r="E156" s="14" t="str">
        <f>IFERROR(__xludf.DUMMYFUNCTION("""COMPUTED_VALUE"""),"Instagram")</f>
        <v>Instagram</v>
      </c>
      <c r="F156" s="14" t="str">
        <f>IFERROR(__xludf.DUMMYFUNCTION("""COMPUTED_VALUE"""),"Gagal")</f>
        <v>Gagal</v>
      </c>
      <c r="G156" s="15" t="str">
        <f>IFERROR(__xludf.DUMMYFUNCTION("""COMPUTED_VALUE"""),"2H1M Custom")</f>
        <v>2H1M Custom</v>
      </c>
      <c r="H156" s="16"/>
      <c r="I156" s="17">
        <f>IFERROR(__xludf.DUMMYFUNCTION("""COMPUTED_VALUE"""),2.0)</f>
        <v>2</v>
      </c>
      <c r="J156" s="54">
        <f>IFERROR(__xludf.DUMMYFUNCTION("""COMPUTED_VALUE"""),5400000.0)</f>
        <v>5400000</v>
      </c>
      <c r="K156" s="46" t="str">
        <f>IFERROR(__xludf.DUMMYFUNCTION("""COMPUTED_VALUE"""),"masih diskusi")</f>
        <v>masih diskusi</v>
      </c>
      <c r="L156" s="76"/>
      <c r="M156" s="20"/>
      <c r="N156" s="20"/>
      <c r="O156" s="20"/>
      <c r="P156" s="20"/>
    </row>
    <row r="157">
      <c r="A157" s="21">
        <f>IFERROR(__xludf.DUMMYFUNCTION("""COMPUTED_VALUE"""),46096.0)</f>
        <v>46096</v>
      </c>
      <c r="B157" s="22" t="str">
        <f>IFERROR(__xludf.DUMMYFUNCTION("""COMPUTED_VALUE"""),"2603A034")</f>
        <v>2603A034</v>
      </c>
      <c r="C157" s="23" t="str">
        <f>IFERROR(__xludf.DUMMYFUNCTION("""COMPUTED_VALUE"""),"Utari")</f>
        <v>Utari</v>
      </c>
      <c r="D157" s="24" t="str">
        <f>IFERROR(__xludf.DUMMYFUNCTION("""COMPUTED_VALUE"""),"082131035023‬")</f>
        <v>082131035023‬</v>
      </c>
      <c r="E157" s="14" t="str">
        <f>IFERROR(__xludf.DUMMYFUNCTION("""COMPUTED_VALUE"""),"Instagram")</f>
        <v>Instagram</v>
      </c>
      <c r="F157" s="14" t="str">
        <f>IFERROR(__xludf.DUMMYFUNCTION("""COMPUTED_VALUE"""),"Gagal")</f>
        <v>Gagal</v>
      </c>
      <c r="G157" s="15" t="str">
        <f>IFERROR(__xludf.DUMMYFUNCTION("""COMPUTED_VALUE"""),"Trip + yoga")</f>
        <v>Trip + yoga</v>
      </c>
      <c r="H157" s="26"/>
      <c r="I157" s="27">
        <f>IFERROR(__xludf.DUMMYFUNCTION("""COMPUTED_VALUE"""),20.0)</f>
        <v>20</v>
      </c>
      <c r="J157" s="28"/>
      <c r="K157" s="30" t="str">
        <f>IFERROR(__xludf.DUMMYFUNCTION("""COMPUTED_VALUE"""),"tidak ada kelanjutan. di fu tidak ada balasan")</f>
        <v>tidak ada kelanjutan. di fu tidak ada balasan</v>
      </c>
      <c r="L157" s="87" t="str">
        <f>IFERROR(__xludf.DUMMYFUNCTION("""COMPUTED_VALUE"""),"https://docs.google.com/document/d/1yEYYflTAtV4uS7mL7WXQx1BbbTMBuye25vXeeTuY1OY/edit?usp=sharing")</f>
        <v>https://docs.google.com/document/d/1yEYYflTAtV4uS7mL7WXQx1BbbTMBuye25vXeeTuY1OY/edit?usp=sharing</v>
      </c>
      <c r="M157" s="20"/>
      <c r="N157" s="20"/>
      <c r="O157" s="20"/>
      <c r="P157" s="20"/>
    </row>
    <row r="158">
      <c r="A158" s="11">
        <f>IFERROR(__xludf.DUMMYFUNCTION("""COMPUTED_VALUE"""),46096.0)</f>
        <v>46096</v>
      </c>
      <c r="B158" s="12" t="str">
        <f>IFERROR(__xludf.DUMMYFUNCTION("""COMPUTED_VALUE"""),"2603A035")</f>
        <v>2603A035</v>
      </c>
      <c r="C158" s="10" t="str">
        <f>IFERROR(__xludf.DUMMYFUNCTION("""COMPUTED_VALUE"""),"Della")</f>
        <v>Della</v>
      </c>
      <c r="D158" s="13" t="str">
        <f>IFERROR(__xludf.DUMMYFUNCTION("""COMPUTED_VALUE"""),"081296160678‬")</f>
        <v>081296160678‬</v>
      </c>
      <c r="E158" s="14" t="str">
        <f>IFERROR(__xludf.DUMMYFUNCTION("""COMPUTED_VALUE"""),"Instagram")</f>
        <v>Instagram</v>
      </c>
      <c r="F158" s="14" t="str">
        <f>IFERROR(__xludf.DUMMYFUNCTION("""COMPUTED_VALUE"""),"Gagal")</f>
        <v>Gagal</v>
      </c>
      <c r="G158" s="15" t="str">
        <f>IFERROR(__xludf.DUMMYFUNCTION("""COMPUTED_VALUE"""),"3H2M Custom")</f>
        <v>3H2M Custom</v>
      </c>
      <c r="H158" s="16">
        <f>IFERROR(__xludf.DUMMYFUNCTION("""COMPUTED_VALUE"""),46108.0)</f>
        <v>46108</v>
      </c>
      <c r="I158" s="17">
        <f>IFERROR(__xludf.DUMMYFUNCTION("""COMPUTED_VALUE"""),10.0)</f>
        <v>10</v>
      </c>
      <c r="J158" s="54"/>
      <c r="K158" s="46" t="str">
        <f>IFERROR(__xludf.DUMMYFUNCTION("""COMPUTED_VALUE"""),"tidak bales lagi")</f>
        <v>tidak bales lagi</v>
      </c>
      <c r="L158" s="10"/>
      <c r="M158" s="20"/>
      <c r="N158" s="20"/>
      <c r="O158" s="20"/>
      <c r="P158" s="20"/>
    </row>
    <row r="159">
      <c r="A159" s="21">
        <f>IFERROR(__xludf.DUMMYFUNCTION("""COMPUTED_VALUE"""),46097.0)</f>
        <v>46097</v>
      </c>
      <c r="B159" s="22" t="str">
        <f>IFERROR(__xludf.DUMMYFUNCTION("""COMPUTED_VALUE"""),"2603A036")</f>
        <v>2603A036</v>
      </c>
      <c r="C159" s="23" t="str">
        <f>IFERROR(__xludf.DUMMYFUNCTION("""COMPUTED_VALUE"""),"Anie")</f>
        <v>Anie</v>
      </c>
      <c r="D159" s="24" t="str">
        <f>IFERROR(__xludf.DUMMYFUNCTION("""COMPUTED_VALUE"""),"08157628944‬")</f>
        <v>08157628944‬</v>
      </c>
      <c r="E159" s="14" t="str">
        <f>IFERROR(__xludf.DUMMYFUNCTION("""COMPUTED_VALUE"""),"Instagram")</f>
        <v>Instagram</v>
      </c>
      <c r="F159" s="14" t="str">
        <f>IFERROR(__xludf.DUMMYFUNCTION("""COMPUTED_VALUE"""),"Gagal")</f>
        <v>Gagal</v>
      </c>
      <c r="G159" s="15" t="str">
        <f>IFERROR(__xludf.DUMMYFUNCTION("""COMPUTED_VALUE"""),"3H2M opsi A")</f>
        <v>3H2M opsi A</v>
      </c>
      <c r="H159" s="26"/>
      <c r="I159" s="27">
        <f>IFERROR(__xludf.DUMMYFUNCTION("""COMPUTED_VALUE"""),4.0)</f>
        <v>4</v>
      </c>
      <c r="J159" s="33">
        <f>IFERROR(__xludf.DUMMYFUNCTION("""COMPUTED_VALUE"""),6808000.0)</f>
        <v>6808000</v>
      </c>
      <c r="K159" s="30" t="str">
        <f>IFERROR(__xludf.DUMMYFUNCTION("""COMPUTED_VALUE"""),"gada kelanjutan")</f>
        <v>gada kelanjutan</v>
      </c>
      <c r="L159" s="87" t="str">
        <f>IFERROR(__xludf.DUMMYFUNCTION("""COMPUTED_VALUE"""),"https://docs.google.com/document/d/1CyKrL_5-hiFqvLSGzshnXcHx7kwtdIOC5RjNuUy2iFI/edit?usp=sharing")</f>
        <v>https://docs.google.com/document/d/1CyKrL_5-hiFqvLSGzshnXcHx7kwtdIOC5RjNuUy2iFI/edit?usp=sharing</v>
      </c>
      <c r="M159" s="20"/>
      <c r="N159" s="20"/>
      <c r="O159" s="20"/>
      <c r="P159" s="20"/>
    </row>
    <row r="160">
      <c r="A160" s="11">
        <f>IFERROR(__xludf.DUMMYFUNCTION("""COMPUTED_VALUE"""),46097.0)</f>
        <v>46097</v>
      </c>
      <c r="B160" s="12" t="str">
        <f>IFERROR(__xludf.DUMMYFUNCTION("""COMPUTED_VALUE"""),"2603A037")</f>
        <v>2603A037</v>
      </c>
      <c r="C160" s="10" t="str">
        <f>IFERROR(__xludf.DUMMYFUNCTION("""COMPUTED_VALUE"""),"Nungky")</f>
        <v>Nungky</v>
      </c>
      <c r="D160" s="13" t="str">
        <f>IFERROR(__xludf.DUMMYFUNCTION("""COMPUTED_VALUE"""),"08113040099‬")</f>
        <v>08113040099‬</v>
      </c>
      <c r="E160" s="14" t="str">
        <f>IFERROR(__xludf.DUMMYFUNCTION("""COMPUTED_VALUE"""),"Instagram")</f>
        <v>Instagram</v>
      </c>
      <c r="F160" s="14" t="str">
        <f>IFERROR(__xludf.DUMMYFUNCTION("""COMPUTED_VALUE"""),"Closing")</f>
        <v>Closing</v>
      </c>
      <c r="G160" s="14" t="str">
        <f>IFERROR(__xludf.DUMMYFUNCTION("""COMPUTED_VALUE"""),"1 day trip")</f>
        <v>1 day trip</v>
      </c>
      <c r="H160" s="16">
        <f>IFERROR(__xludf.DUMMYFUNCTION("""COMPUTED_VALUE"""),46109.0)</f>
        <v>46109</v>
      </c>
      <c r="I160" s="17">
        <f>IFERROR(__xludf.DUMMYFUNCTION("""COMPUTED_VALUE"""),4.0)</f>
        <v>4</v>
      </c>
      <c r="J160" s="54">
        <f>IFERROR(__xludf.DUMMYFUNCTION("""COMPUTED_VALUE"""),2560000.0)</f>
        <v>2560000</v>
      </c>
      <c r="K160" s="46" t="str">
        <f>IFERROR(__xludf.DUMMYFUNCTION("""COMPUTED_VALUE"""),"alhamdulillah order ")</f>
        <v>alhamdulillah order </v>
      </c>
      <c r="L160" s="10"/>
      <c r="M160" s="20"/>
      <c r="N160" s="20"/>
      <c r="O160" s="20"/>
      <c r="P160" s="20"/>
    </row>
    <row r="161">
      <c r="A161" s="21">
        <f>IFERROR(__xludf.DUMMYFUNCTION("""COMPUTED_VALUE"""),46097.0)</f>
        <v>46097</v>
      </c>
      <c r="B161" s="22" t="str">
        <f>IFERROR(__xludf.DUMMYFUNCTION("""COMPUTED_VALUE"""),"2603A038")</f>
        <v>2603A038</v>
      </c>
      <c r="C161" s="23" t="str">
        <f>IFERROR(__xludf.DUMMYFUNCTION("""COMPUTED_VALUE"""),"Mick")</f>
        <v>Mick</v>
      </c>
      <c r="D161" s="24" t="str">
        <f>IFERROR(__xludf.DUMMYFUNCTION("""COMPUTED_VALUE"""),"‪+32491368865‬")</f>
        <v>‪+32491368865‬</v>
      </c>
      <c r="E161" s="14" t="str">
        <f>IFERROR(__xludf.DUMMYFUNCTION("""COMPUTED_VALUE"""),"Instagram")</f>
        <v>Instagram</v>
      </c>
      <c r="F161" s="14" t="str">
        <f>IFERROR(__xludf.DUMMYFUNCTION("""COMPUTED_VALUE"""),"Gagal")</f>
        <v>Gagal</v>
      </c>
      <c r="G161" s="14" t="str">
        <f>IFERROR(__xludf.DUMMYFUNCTION("""COMPUTED_VALUE"""),"1D ijen")</f>
        <v>1D ijen</v>
      </c>
      <c r="H161" s="26">
        <f>IFERROR(__xludf.DUMMYFUNCTION("""COMPUTED_VALUE"""),46097.0)</f>
        <v>46097</v>
      </c>
      <c r="I161" s="27">
        <f>IFERROR(__xludf.DUMMYFUNCTION("""COMPUTED_VALUE"""),1.0)</f>
        <v>1</v>
      </c>
      <c r="J161" s="33">
        <f>IFERROR(__xludf.DUMMYFUNCTION("""COMPUTED_VALUE"""),500000.0)</f>
        <v>500000</v>
      </c>
      <c r="K161" s="30"/>
      <c r="L161" s="23"/>
      <c r="M161" s="20"/>
      <c r="N161" s="20"/>
      <c r="O161" s="20"/>
      <c r="P161" s="20"/>
    </row>
    <row r="162">
      <c r="A162" s="11">
        <f>IFERROR(__xludf.DUMMYFUNCTION("""COMPUTED_VALUE"""),46097.0)</f>
        <v>46097</v>
      </c>
      <c r="B162" s="12" t="str">
        <f>IFERROR(__xludf.DUMMYFUNCTION("""COMPUTED_VALUE"""),"2603A039")</f>
        <v>2603A039</v>
      </c>
      <c r="C162" s="10" t="str">
        <f>IFERROR(__xludf.DUMMYFUNCTION("""COMPUTED_VALUE"""),"Milen")</f>
        <v>Milen</v>
      </c>
      <c r="D162" s="13" t="str">
        <f>IFERROR(__xludf.DUMMYFUNCTION("""COMPUTED_VALUE"""),"085121117005")</f>
        <v>085121117005</v>
      </c>
      <c r="E162" s="14" t="str">
        <f>IFERROR(__xludf.DUMMYFUNCTION("""COMPUTED_VALUE"""),"Instagram")</f>
        <v>Instagram</v>
      </c>
      <c r="F162" s="14" t="str">
        <f>IFERROR(__xludf.DUMMYFUNCTION("""COMPUTED_VALUE"""),"Gagal")</f>
        <v>Gagal</v>
      </c>
      <c r="G162" s="15" t="str">
        <f>IFERROR(__xludf.DUMMYFUNCTION("""COMPUTED_VALUE"""),"Outing")</f>
        <v>Outing</v>
      </c>
      <c r="H162" s="16"/>
      <c r="I162" s="17">
        <f>IFERROR(__xludf.DUMMYFUNCTION("""COMPUTED_VALUE"""),55.0)</f>
        <v>55</v>
      </c>
      <c r="J162" s="54">
        <f>IFERROR(__xludf.DUMMYFUNCTION("""COMPUTED_VALUE"""),7.975E7)</f>
        <v>79750000</v>
      </c>
      <c r="K162" s="46" t="str">
        <f>IFERROR(__xludf.DUMMYFUNCTION("""COMPUTED_VALUE"""),"tidak jadi diselenggarakan di BWI")</f>
        <v>tidak jadi diselenggarakan di BWI</v>
      </c>
      <c r="L162" s="100" t="str">
        <f>IFERROR(__xludf.DUMMYFUNCTION("""COMPUTED_VALUE"""),"https://docs.google.com/document/d/1Atv9cZ86fzq5YAs1oklAxNWkBH0mudpF4hNwyKoADTY/edit?usp=sharing")</f>
        <v>https://docs.google.com/document/d/1Atv9cZ86fzq5YAs1oklAxNWkBH0mudpF4hNwyKoADTY/edit?usp=sharing</v>
      </c>
      <c r="M162" s="20"/>
      <c r="N162" s="20"/>
      <c r="O162" s="20"/>
      <c r="P162" s="20"/>
    </row>
    <row r="163">
      <c r="A163" s="21">
        <f>IFERROR(__xludf.DUMMYFUNCTION("""COMPUTED_VALUE"""),46097.0)</f>
        <v>46097</v>
      </c>
      <c r="B163" s="22" t="str">
        <f>IFERROR(__xludf.DUMMYFUNCTION("""COMPUTED_VALUE"""),"2603A040")</f>
        <v>2603A040</v>
      </c>
      <c r="C163" s="23" t="str">
        <f>IFERROR(__xludf.DUMMYFUNCTION("""COMPUTED_VALUE"""),"erika")</f>
        <v>erika</v>
      </c>
      <c r="D163" s="24" t="str">
        <f>IFERROR(__xludf.DUMMYFUNCTION("""COMPUTED_VALUE"""),"087878283448‬")</f>
        <v>087878283448‬</v>
      </c>
      <c r="E163" s="14" t="str">
        <f>IFERROR(__xludf.DUMMYFUNCTION("""COMPUTED_VALUE"""),"Instagram")</f>
        <v>Instagram</v>
      </c>
      <c r="F163" s="14" t="str">
        <f>IFERROR(__xludf.DUMMYFUNCTION("""COMPUTED_VALUE"""),"Gagal")</f>
        <v>Gagal</v>
      </c>
      <c r="G163" s="14" t="str">
        <f>IFERROR(__xludf.DUMMYFUNCTION("""COMPUTED_VALUE"""),"2H1M")</f>
        <v>2H1M</v>
      </c>
      <c r="H163" s="26">
        <f>IFERROR(__xludf.DUMMYFUNCTION("""COMPUTED_VALUE"""),46104.0)</f>
        <v>46104</v>
      </c>
      <c r="I163" s="27">
        <f>IFERROR(__xludf.DUMMYFUNCTION("""COMPUTED_VALUE"""),2.0)</f>
        <v>2</v>
      </c>
      <c r="J163" s="33"/>
      <c r="K163" s="30" t="str">
        <f>IFERROR(__xludf.DUMMYFUNCTION("""COMPUTED_VALUE"""),"lewat tanggal")</f>
        <v>lewat tanggal</v>
      </c>
      <c r="L163" s="23"/>
      <c r="M163" s="20"/>
      <c r="N163" s="20"/>
      <c r="O163" s="20"/>
      <c r="P163" s="20"/>
    </row>
    <row r="164">
      <c r="A164" s="11">
        <f>IFERROR(__xludf.DUMMYFUNCTION("""COMPUTED_VALUE"""),46097.0)</f>
        <v>46097</v>
      </c>
      <c r="B164" s="12" t="str">
        <f>IFERROR(__xludf.DUMMYFUNCTION("""COMPUTED_VALUE"""),"2603A041")</f>
        <v>2603A041</v>
      </c>
      <c r="C164" s="10" t="str">
        <f>IFERROR(__xludf.DUMMYFUNCTION("""COMPUTED_VALUE"""),"Yuliana")</f>
        <v>Yuliana</v>
      </c>
      <c r="D164" s="13" t="str">
        <f>IFERROR(__xludf.DUMMYFUNCTION("""COMPUTED_VALUE"""),"081331128788‬")</f>
        <v>081331128788‬</v>
      </c>
      <c r="E164" s="14" t="str">
        <f>IFERROR(__xludf.DUMMYFUNCTION("""COMPUTED_VALUE"""),"Website")</f>
        <v>Website</v>
      </c>
      <c r="F164" s="14" t="str">
        <f>IFERROR(__xludf.DUMMYFUNCTION("""COMPUTED_VALUE"""),"Gagal")</f>
        <v>Gagal</v>
      </c>
      <c r="G164" s="15" t="str">
        <f>IFERROR(__xludf.DUMMYFUNCTION("""COMPUTED_VALUE"""),"1Day trip")</f>
        <v>1Day trip</v>
      </c>
      <c r="H164" s="16">
        <f>IFERROR(__xludf.DUMMYFUNCTION("""COMPUTED_VALUE"""),46101.0)</f>
        <v>46101</v>
      </c>
      <c r="I164" s="17">
        <f>IFERROR(__xludf.DUMMYFUNCTION("""COMPUTED_VALUE"""),4.0)</f>
        <v>4</v>
      </c>
      <c r="J164" s="54">
        <f>IFERROR(__xludf.DUMMYFUNCTION("""COMPUTED_VALUE"""),2200000.0)</f>
        <v>2200000</v>
      </c>
      <c r="K164" s="19" t="str">
        <f>IFERROR(__xludf.DUMMYFUNCTION("""COMPUTED_VALUE"""),"guide fullbooked")</f>
        <v>guide fullbooked</v>
      </c>
      <c r="L164" s="76"/>
      <c r="M164" s="20"/>
      <c r="N164" s="20"/>
      <c r="O164" s="20"/>
      <c r="P164" s="20"/>
    </row>
    <row r="165">
      <c r="A165" s="110">
        <f>IFERROR(__xludf.DUMMYFUNCTION("""COMPUTED_VALUE"""),46097.0)</f>
        <v>46097</v>
      </c>
      <c r="B165" s="22" t="str">
        <f>IFERROR(__xludf.DUMMYFUNCTION("""COMPUTED_VALUE"""),",2603A042")</f>
        <v>,2603A042</v>
      </c>
      <c r="C165" s="23" t="str">
        <f>IFERROR(__xludf.DUMMYFUNCTION("""COMPUTED_VALUE"""),"dhesy")</f>
        <v>dhesy</v>
      </c>
      <c r="D165" s="24" t="str">
        <f>IFERROR(__xludf.DUMMYFUNCTION("""COMPUTED_VALUE"""),"085739541848‬")</f>
        <v>085739541848‬</v>
      </c>
      <c r="E165" s="14" t="str">
        <f>IFERROR(__xludf.DUMMYFUNCTION("""COMPUTED_VALUE"""),"Website")</f>
        <v>Website</v>
      </c>
      <c r="F165" s="14" t="str">
        <f>IFERROR(__xludf.DUMMYFUNCTION("""COMPUTED_VALUE"""),"Gagal")</f>
        <v>Gagal</v>
      </c>
      <c r="G165" s="15" t="str">
        <f>IFERROR(__xludf.DUMMYFUNCTION("""COMPUTED_VALUE"""),"1 day trip custom")</f>
        <v>1 day trip custom</v>
      </c>
      <c r="H165" s="26">
        <f>IFERROR(__xludf.DUMMYFUNCTION("""COMPUTED_VALUE"""),46115.0)</f>
        <v>46115</v>
      </c>
      <c r="I165" s="27">
        <f>IFERROR(__xludf.DUMMYFUNCTION("""COMPUTED_VALUE"""),2.0)</f>
        <v>2</v>
      </c>
      <c r="J165" s="33">
        <f>IFERROR(__xludf.DUMMYFUNCTION("""COMPUTED_VALUE"""),3454000.0)</f>
        <v>3454000</v>
      </c>
      <c r="K165" s="30" t="str">
        <f>IFERROR(__xludf.DUMMYFUNCTION("""COMPUTED_VALUE"""),"tidak jadi liburan")</f>
        <v>tidak jadi liburan</v>
      </c>
      <c r="L165" s="87" t="str">
        <f>IFERROR(__xludf.DUMMYFUNCTION("""COMPUTED_VALUE"""),"https://docs.google.com/document/d/13PBvpOXEkr5-SRwEQySm2LE0rqChjcu8q81zVmn4yik/edit?usp=sharing")</f>
        <v>https://docs.google.com/document/d/13PBvpOXEkr5-SRwEQySm2LE0rqChjcu8q81zVmn4yik/edit?usp=sharing</v>
      </c>
      <c r="M165" s="20"/>
      <c r="N165" s="20"/>
      <c r="O165" s="20"/>
      <c r="P165" s="20"/>
    </row>
    <row r="166">
      <c r="A166" s="97">
        <f>IFERROR(__xludf.DUMMYFUNCTION("""COMPUTED_VALUE"""),46098.0)</f>
        <v>46098</v>
      </c>
      <c r="B166" s="12" t="str">
        <f>IFERROR(__xludf.DUMMYFUNCTION("""COMPUTED_VALUE"""),"2603A043")</f>
        <v>2603A043</v>
      </c>
      <c r="C166" s="10" t="str">
        <f>IFERROR(__xludf.DUMMYFUNCTION("""COMPUTED_VALUE"""),"Firda")</f>
        <v>Firda</v>
      </c>
      <c r="D166" s="13" t="str">
        <f>IFERROR(__xludf.DUMMYFUNCTION("""COMPUTED_VALUE"""),"081290621363‬")</f>
        <v>081290621363‬</v>
      </c>
      <c r="E166" s="14" t="str">
        <f>IFERROR(__xludf.DUMMYFUNCTION("""COMPUTED_VALUE"""),"Instagram")</f>
        <v>Instagram</v>
      </c>
      <c r="F166" s="14" t="str">
        <f>IFERROR(__xludf.DUMMYFUNCTION("""COMPUTED_VALUE"""),"Gagal")</f>
        <v>Gagal</v>
      </c>
      <c r="G166" s="15" t="str">
        <f>IFERROR(__xludf.DUMMYFUNCTION("""COMPUTED_VALUE"""),"package honeymoon 3H2M")</f>
        <v>package honeymoon 3H2M</v>
      </c>
      <c r="H166" s="92">
        <f>IFERROR(__xludf.DUMMYFUNCTION("""COMPUTED_VALUE"""),46118.0)</f>
        <v>46118</v>
      </c>
      <c r="I166" s="17">
        <f>IFERROR(__xludf.DUMMYFUNCTION("""COMPUTED_VALUE"""),2.0)</f>
        <v>2</v>
      </c>
      <c r="J166" s="18">
        <f>IFERROR(__xludf.DUMMYFUNCTION("""COMPUTED_VALUE"""),5600000.0)</f>
        <v>5600000</v>
      </c>
      <c r="K166" s="19" t="str">
        <f>IFERROR(__xludf.DUMMYFUNCTION("""COMPUTED_VALUE"""),"buat penawaran")</f>
        <v>buat penawaran</v>
      </c>
      <c r="L166" s="76"/>
      <c r="M166" s="20"/>
      <c r="N166" s="20"/>
      <c r="O166" s="20"/>
      <c r="P166" s="20"/>
    </row>
    <row r="167">
      <c r="A167" s="110">
        <f>IFERROR(__xludf.DUMMYFUNCTION("""COMPUTED_VALUE"""),46098.0)</f>
        <v>46098</v>
      </c>
      <c r="B167" s="22" t="str">
        <f>IFERROR(__xludf.DUMMYFUNCTION("""COMPUTED_VALUE"""),"2603A044")</f>
        <v>2603A044</v>
      </c>
      <c r="C167" s="23" t="str">
        <f>IFERROR(__xludf.DUMMYFUNCTION("""COMPUTED_VALUE"""),"Dimas")</f>
        <v>Dimas</v>
      </c>
      <c r="D167" s="24" t="str">
        <f>IFERROR(__xludf.DUMMYFUNCTION("""COMPUTED_VALUE"""),"081297736447")</f>
        <v>081297736447</v>
      </c>
      <c r="E167" s="14" t="str">
        <f>IFERROR(__xludf.DUMMYFUNCTION("""COMPUTED_VALUE"""),"Website")</f>
        <v>Website</v>
      </c>
      <c r="F167" s="14" t="str">
        <f>IFERROR(__xludf.DUMMYFUNCTION("""COMPUTED_VALUE"""),"Closing")</f>
        <v>Closing</v>
      </c>
      <c r="G167" s="15" t="str">
        <f>IFERROR(__xludf.DUMMYFUNCTION("""COMPUTED_VALUE"""),"2H1M opsi D")</f>
        <v>2H1M opsi D</v>
      </c>
      <c r="H167" s="26"/>
      <c r="I167" s="27">
        <f>IFERROR(__xludf.DUMMYFUNCTION("""COMPUTED_VALUE"""),4.0)</f>
        <v>4</v>
      </c>
      <c r="J167" s="33">
        <f>IFERROR(__xludf.DUMMYFUNCTION("""COMPUTED_VALUE"""),4800000.0)</f>
        <v>4800000</v>
      </c>
      <c r="K167" s="30" t="str">
        <f>IFERROR(__xludf.DUMMYFUNCTION("""COMPUTED_VALUE"""),"alhamdulillah order ")</f>
        <v>alhamdulillah order </v>
      </c>
      <c r="L167" s="49"/>
      <c r="M167" s="20"/>
      <c r="N167" s="20"/>
      <c r="O167" s="20"/>
      <c r="P167" s="20"/>
    </row>
    <row r="168">
      <c r="A168" s="11">
        <f>IFERROR(__xludf.DUMMYFUNCTION("""COMPUTED_VALUE"""),46098.0)</f>
        <v>46098</v>
      </c>
      <c r="B168" s="12" t="str">
        <f>IFERROR(__xludf.DUMMYFUNCTION("""COMPUTED_VALUE"""),"2603A045")</f>
        <v>2603A045</v>
      </c>
      <c r="C168" s="10" t="str">
        <f>IFERROR(__xludf.DUMMYFUNCTION("""COMPUTED_VALUE"""),"081280377799‬")</f>
        <v>081280377799‬</v>
      </c>
      <c r="D168" s="13" t="str">
        <f>IFERROR(__xludf.DUMMYFUNCTION("""COMPUTED_VALUE"""),"081280377799‬")</f>
        <v>081280377799‬</v>
      </c>
      <c r="E168" s="14" t="str">
        <f>IFERROR(__xludf.DUMMYFUNCTION("""COMPUTED_VALUE"""),"Website")</f>
        <v>Website</v>
      </c>
      <c r="F168" s="14" t="str">
        <f>IFERROR(__xludf.DUMMYFUNCTION("""COMPUTED_VALUE"""),"Gagal")</f>
        <v>Gagal</v>
      </c>
      <c r="G168" s="15" t="str">
        <f>IFERROR(__xludf.DUMMYFUNCTION("""COMPUTED_VALUE"""),"trip W,B")</f>
        <v>trip W,B</v>
      </c>
      <c r="H168" s="16">
        <f>IFERROR(__xludf.DUMMYFUNCTION("""COMPUTED_VALUE"""),46102.0)</f>
        <v>46102</v>
      </c>
      <c r="I168" s="17">
        <f>IFERROR(__xludf.DUMMYFUNCTION("""COMPUTED_VALUE"""),8.0)</f>
        <v>8</v>
      </c>
      <c r="J168" s="54"/>
      <c r="K168" s="46" t="str">
        <f>IFERROR(__xludf.DUMMYFUNCTION("""COMPUTED_VALUE"""),"gaada balesan")</f>
        <v>gaada balesan</v>
      </c>
      <c r="L168" s="10"/>
      <c r="M168" s="20"/>
      <c r="N168" s="20"/>
      <c r="O168" s="20"/>
      <c r="P168" s="20"/>
    </row>
    <row r="169">
      <c r="A169" s="21">
        <f>IFERROR(__xludf.DUMMYFUNCTION("""COMPUTED_VALUE"""),46098.0)</f>
        <v>46098</v>
      </c>
      <c r="B169" s="22" t="str">
        <f>IFERROR(__xludf.DUMMYFUNCTION("""COMPUTED_VALUE"""),"2603A046")</f>
        <v>2603A046</v>
      </c>
      <c r="C169" s="23" t="str">
        <f>IFERROR(__xludf.DUMMYFUNCTION("""COMPUTED_VALUE"""),"Effi")</f>
        <v>Effi</v>
      </c>
      <c r="D169" s="24" t="str">
        <f>IFERROR(__xludf.DUMMYFUNCTION("""COMPUTED_VALUE"""),"081249343718")</f>
        <v>081249343718</v>
      </c>
      <c r="E169" s="14" t="str">
        <f>IFERROR(__xludf.DUMMYFUNCTION("""COMPUTED_VALUE"""),"Website")</f>
        <v>Website</v>
      </c>
      <c r="F169" s="14" t="str">
        <f>IFERROR(__xludf.DUMMYFUNCTION("""COMPUTED_VALUE"""),"Gagal")</f>
        <v>Gagal</v>
      </c>
      <c r="G169" s="15" t="str">
        <f>IFERROR(__xludf.DUMMYFUNCTION("""COMPUTED_VALUE"""),"4H3M")</f>
        <v>4H3M</v>
      </c>
      <c r="H169" s="26">
        <f>IFERROR(__xludf.DUMMYFUNCTION("""COMPUTED_VALUE"""),46100.0)</f>
        <v>46100</v>
      </c>
      <c r="I169" s="27">
        <f>IFERROR(__xludf.DUMMYFUNCTION("""COMPUTED_VALUE"""),5.0)</f>
        <v>5</v>
      </c>
      <c r="J169" s="33">
        <f>IFERROR(__xludf.DUMMYFUNCTION("""COMPUTED_VALUE"""),1.1375E7)</f>
        <v>11375000</v>
      </c>
      <c r="K169" s="30" t="str">
        <f>IFERROR(__xludf.DUMMYFUNCTION("""COMPUTED_VALUE"""),"tidak jadi karena banyak destinasi tutup")</f>
        <v>tidak jadi karena banyak destinasi tutup</v>
      </c>
      <c r="L169" s="49"/>
      <c r="M169" s="20"/>
      <c r="N169" s="20"/>
      <c r="O169" s="20"/>
      <c r="P169" s="20"/>
    </row>
    <row r="170">
      <c r="A170" s="11">
        <f>IFERROR(__xludf.DUMMYFUNCTION("""COMPUTED_VALUE"""),46100.0)</f>
        <v>46100</v>
      </c>
      <c r="B170" s="12" t="str">
        <f>IFERROR(__xludf.DUMMYFUNCTION("""COMPUTED_VALUE"""),"2603A047")</f>
        <v>2603A047</v>
      </c>
      <c r="C170" s="10" t="str">
        <f>IFERROR(__xludf.DUMMYFUNCTION("""COMPUTED_VALUE"""),"Rahman")</f>
        <v>Rahman</v>
      </c>
      <c r="D170" s="13" t="str">
        <f>IFERROR(__xludf.DUMMYFUNCTION("""COMPUTED_VALUE"""),"081223505020")</f>
        <v>081223505020</v>
      </c>
      <c r="E170" s="14" t="str">
        <f>IFERROR(__xludf.DUMMYFUNCTION("""COMPUTED_VALUE"""),"Instagram")</f>
        <v>Instagram</v>
      </c>
      <c r="F170" s="14" t="str">
        <f>IFERROR(__xludf.DUMMYFUNCTION("""COMPUTED_VALUE"""),"Gagal")</f>
        <v>Gagal</v>
      </c>
      <c r="G170" s="14" t="str">
        <f>IFERROR(__xludf.DUMMYFUNCTION("""COMPUTED_VALUE"""),"OT 3H2M ")</f>
        <v>OT 3H2M </v>
      </c>
      <c r="H170" s="16"/>
      <c r="I170" s="17">
        <f>IFERROR(__xludf.DUMMYFUNCTION("""COMPUTED_VALUE"""),2.0)</f>
        <v>2</v>
      </c>
      <c r="J170" s="54"/>
      <c r="K170" s="46" t="str">
        <f>IFERROR(__xludf.DUMMYFUNCTION("""COMPUTED_VALUE"""),"gaada balesan")</f>
        <v>gaada balesan</v>
      </c>
      <c r="L170" s="10"/>
      <c r="M170" s="20"/>
      <c r="N170" s="20"/>
      <c r="O170" s="20"/>
      <c r="P170" s="20"/>
    </row>
    <row r="171">
      <c r="A171" s="21">
        <f>IFERROR(__xludf.DUMMYFUNCTION("""COMPUTED_VALUE"""),46100.0)</f>
        <v>46100</v>
      </c>
      <c r="B171" s="22" t="str">
        <f>IFERROR(__xludf.DUMMYFUNCTION("""COMPUTED_VALUE"""),"2603A048")</f>
        <v>2603A048</v>
      </c>
      <c r="C171" s="23" t="str">
        <f>IFERROR(__xludf.DUMMYFUNCTION("""COMPUTED_VALUE"""),"Hanim")</f>
        <v>Hanim</v>
      </c>
      <c r="D171" s="24" t="str">
        <f>IFERROR(__xludf.DUMMYFUNCTION("""COMPUTED_VALUE"""),"0818588593")</f>
        <v>0818588593</v>
      </c>
      <c r="E171" s="14" t="str">
        <f>IFERROR(__xludf.DUMMYFUNCTION("""COMPUTED_VALUE"""),"Instagram")</f>
        <v>Instagram</v>
      </c>
      <c r="F171" s="14" t="str">
        <f>IFERROR(__xludf.DUMMYFUNCTION("""COMPUTED_VALUE"""),"Gagal")</f>
        <v>Gagal</v>
      </c>
      <c r="G171" s="15" t="str">
        <f>IFERROR(__xludf.DUMMYFUNCTION("""COMPUTED_VALUE"""),"3H2M opsi A")</f>
        <v>3H2M opsi A</v>
      </c>
      <c r="H171" s="26">
        <f>IFERROR(__xludf.DUMMYFUNCTION("""COMPUTED_VALUE"""),46107.0)</f>
        <v>46107</v>
      </c>
      <c r="I171" s="27">
        <f>IFERROR(__xludf.DUMMYFUNCTION("""COMPUTED_VALUE"""),6.0)</f>
        <v>6</v>
      </c>
      <c r="J171" s="33">
        <f>IFERROR(__xludf.DUMMYFUNCTION("""COMPUTED_VALUE"""),1615000.0)</f>
        <v>1615000</v>
      </c>
      <c r="K171" s="30" t="str">
        <f>IFERROR(__xludf.DUMMYFUNCTION("""COMPUTED_VALUE"""),"tidak balas ")</f>
        <v>tidak balas </v>
      </c>
      <c r="L171" s="49"/>
      <c r="M171" s="20"/>
      <c r="N171" s="20"/>
      <c r="O171" s="20"/>
      <c r="P171" s="20"/>
    </row>
    <row r="172">
      <c r="A172" s="11">
        <f>IFERROR(__xludf.DUMMYFUNCTION("""COMPUTED_VALUE"""),46100.0)</f>
        <v>46100</v>
      </c>
      <c r="B172" s="12" t="str">
        <f>IFERROR(__xludf.DUMMYFUNCTION("""COMPUTED_VALUE"""),"2603A049")</f>
        <v>2603A049</v>
      </c>
      <c r="C172" s="10" t="str">
        <f>IFERROR(__xludf.DUMMYFUNCTION("""COMPUTED_VALUE"""),"Lora")</f>
        <v>Lora</v>
      </c>
      <c r="D172" s="13" t="str">
        <f>IFERROR(__xludf.DUMMYFUNCTION("""COMPUTED_VALUE"""),"081328298312")</f>
        <v>081328298312</v>
      </c>
      <c r="E172" s="14" t="str">
        <f>IFERROR(__xludf.DUMMYFUNCTION("""COMPUTED_VALUE"""),"Instagram")</f>
        <v>Instagram</v>
      </c>
      <c r="F172" s="14" t="str">
        <f>IFERROR(__xludf.DUMMYFUNCTION("""COMPUTED_VALUE"""),"Gagal")</f>
        <v>Gagal</v>
      </c>
      <c r="G172" s="15" t="str">
        <f>IFERROR(__xludf.DUMMYFUNCTION("""COMPUTED_VALUE"""),"trip 1d D, B")</f>
        <v>trip 1d D, B</v>
      </c>
      <c r="H172" s="92">
        <f>IFERROR(__xludf.DUMMYFUNCTION("""COMPUTED_VALUE"""),46105.0)</f>
        <v>46105</v>
      </c>
      <c r="I172" s="17">
        <f>IFERROR(__xludf.DUMMYFUNCTION("""COMPUTED_VALUE"""),5.0)</f>
        <v>5</v>
      </c>
      <c r="J172" s="54">
        <f>IFERROR(__xludf.DUMMYFUNCTION("""COMPUTED_VALUE"""),2750000.0)</f>
        <v>2750000</v>
      </c>
      <c r="K172" s="46" t="str">
        <f>IFERROR(__xludf.DUMMYFUNCTION("""COMPUTED_VALUE"""),"tidak balas ")</f>
        <v>tidak balas </v>
      </c>
      <c r="L172" s="10"/>
      <c r="M172" s="20"/>
      <c r="N172" s="20"/>
      <c r="O172" s="20"/>
      <c r="P172" s="20"/>
    </row>
    <row r="173">
      <c r="A173" s="21">
        <f>IFERROR(__xludf.DUMMYFUNCTION("""COMPUTED_VALUE"""),46100.0)</f>
        <v>46100</v>
      </c>
      <c r="B173" s="22" t="str">
        <f>IFERROR(__xludf.DUMMYFUNCTION("""COMPUTED_VALUE"""),"2603A050")</f>
        <v>2603A050</v>
      </c>
      <c r="C173" s="23" t="str">
        <f>IFERROR(__xludf.DUMMYFUNCTION("""COMPUTED_VALUE"""),"Naufal")</f>
        <v>Naufal</v>
      </c>
      <c r="D173" s="24" t="str">
        <f>IFERROR(__xludf.DUMMYFUNCTION("""COMPUTED_VALUE"""),"082242394571")</f>
        <v>082242394571</v>
      </c>
      <c r="E173" s="14" t="str">
        <f>IFERROR(__xludf.DUMMYFUNCTION("""COMPUTED_VALUE"""),"Instagram")</f>
        <v>Instagram</v>
      </c>
      <c r="F173" s="14" t="str">
        <f>IFERROR(__xludf.DUMMYFUNCTION("""COMPUTED_VALUE"""),"Gagal")</f>
        <v>Gagal</v>
      </c>
      <c r="G173" s="15" t="str">
        <f>IFERROR(__xludf.DUMMYFUNCTION("""COMPUTED_VALUE"""),"Trip I")</f>
        <v>Trip I</v>
      </c>
      <c r="H173" s="78">
        <f>IFERROR(__xludf.DUMMYFUNCTION("""COMPUTED_VALUE"""),46115.0)</f>
        <v>46115</v>
      </c>
      <c r="I173" s="27">
        <f>IFERROR(__xludf.DUMMYFUNCTION("""COMPUTED_VALUE"""),2.0)</f>
        <v>2</v>
      </c>
      <c r="J173" s="33">
        <f>IFERROR(__xludf.DUMMYFUNCTION("""COMPUTED_VALUE"""),1228000.0)</f>
        <v>1228000</v>
      </c>
      <c r="K173" s="30" t="str">
        <f>IFERROR(__xludf.DUMMYFUNCTION("""COMPUTED_VALUE"""),"gajadi")</f>
        <v>gajadi</v>
      </c>
      <c r="L173" s="87" t="str">
        <f>IFERROR(__xludf.DUMMYFUNCTION("""COMPUTED_VALUE"""),"https://docs.google.com/document/d/1iwvos4ukbIhbx_5xESDYw6sO8W7jJRhIArHeAH_3D5M/edit?usp=sharing")</f>
        <v>https://docs.google.com/document/d/1iwvos4ukbIhbx_5xESDYw6sO8W7jJRhIArHeAH_3D5M/edit?usp=sharing</v>
      </c>
      <c r="M173" s="20"/>
      <c r="N173" s="20"/>
      <c r="O173" s="20"/>
      <c r="P173" s="20"/>
    </row>
    <row r="174">
      <c r="A174" s="11">
        <f>IFERROR(__xludf.DUMMYFUNCTION("""COMPUTED_VALUE"""),46100.0)</f>
        <v>46100</v>
      </c>
      <c r="B174" s="12" t="str">
        <f>IFERROR(__xludf.DUMMYFUNCTION("""COMPUTED_VALUE"""),"2603A051 ")</f>
        <v>2603A051 </v>
      </c>
      <c r="C174" s="10" t="str">
        <f>IFERROR(__xludf.DUMMYFUNCTION("""COMPUTED_VALUE"""),"Affan")</f>
        <v>Affan</v>
      </c>
      <c r="D174" s="13" t="str">
        <f>IFERROR(__xludf.DUMMYFUNCTION("""COMPUTED_VALUE"""),"085655722271")</f>
        <v>085655722271</v>
      </c>
      <c r="E174" s="14" t="str">
        <f>IFERROR(__xludf.DUMMYFUNCTION("""COMPUTED_VALUE"""),"Instagram")</f>
        <v>Instagram</v>
      </c>
      <c r="F174" s="14" t="str">
        <f>IFERROR(__xludf.DUMMYFUNCTION("""COMPUTED_VALUE"""),"Gagal")</f>
        <v>Gagal</v>
      </c>
      <c r="G174" s="15" t="str">
        <f>IFERROR(__xludf.DUMMYFUNCTION("""COMPUTED_VALUE"""),"Trip I")</f>
        <v>Trip I</v>
      </c>
      <c r="H174" s="92">
        <f>IFERROR(__xludf.DUMMYFUNCTION("""COMPUTED_VALUE"""),46104.0)</f>
        <v>46104</v>
      </c>
      <c r="I174" s="80">
        <f>IFERROR(__xludf.DUMMYFUNCTION("""COMPUTED_VALUE"""),4.0)</f>
        <v>4</v>
      </c>
      <c r="J174" s="93"/>
      <c r="K174" s="19" t="str">
        <f>IFERROR(__xludf.DUMMYFUNCTION("""COMPUTED_VALUE"""),"blm minat OT, pengennya Priv Trip")</f>
        <v>blm minat OT, pengennya Priv Trip</v>
      </c>
      <c r="L174" s="76"/>
      <c r="M174" s="20"/>
      <c r="N174" s="20"/>
      <c r="O174" s="20"/>
      <c r="P174" s="20"/>
    </row>
    <row r="175">
      <c r="A175" s="21">
        <f>IFERROR(__xludf.DUMMYFUNCTION("""COMPUTED_VALUE"""),46100.0)</f>
        <v>46100</v>
      </c>
      <c r="B175" s="22" t="str">
        <f>IFERROR(__xludf.DUMMYFUNCTION("""COMPUTED_VALUE"""),"2603A052")</f>
        <v>2603A052</v>
      </c>
      <c r="C175" s="23" t="str">
        <f>IFERROR(__xludf.DUMMYFUNCTION("""COMPUTED_VALUE"""),"81330104625")</f>
        <v>81330104625</v>
      </c>
      <c r="D175" s="24" t="str">
        <f>IFERROR(__xludf.DUMMYFUNCTION("""COMPUTED_VALUE"""),"081330104625")</f>
        <v>081330104625</v>
      </c>
      <c r="E175" s="14" t="str">
        <f>IFERROR(__xludf.DUMMYFUNCTION("""COMPUTED_VALUE"""),"Website")</f>
        <v>Website</v>
      </c>
      <c r="F175" s="14" t="str">
        <f>IFERROR(__xludf.DUMMYFUNCTION("""COMPUTED_VALUE"""),"Gagal")</f>
        <v>Gagal</v>
      </c>
      <c r="G175" s="15"/>
      <c r="H175" s="26"/>
      <c r="I175" s="27"/>
      <c r="J175" s="28"/>
      <c r="K175" s="36" t="str">
        <f>IFERROR(__xludf.DUMMYFUNCTION("""COMPUTED_VALUE"""),"hanya menyapa")</f>
        <v>hanya menyapa</v>
      </c>
      <c r="L175" s="49"/>
      <c r="M175" s="20"/>
      <c r="N175" s="20"/>
      <c r="O175" s="20"/>
      <c r="P175" s="20"/>
    </row>
    <row r="176">
      <c r="A176" s="97">
        <f>IFERROR(__xludf.DUMMYFUNCTION("""COMPUTED_VALUE"""),46100.0)</f>
        <v>46100</v>
      </c>
      <c r="B176" s="97" t="str">
        <f>IFERROR(__xludf.DUMMYFUNCTION("""COMPUTED_VALUE"""),"2603A053")</f>
        <v>2603A053</v>
      </c>
      <c r="C176" s="76" t="str">
        <f>IFERROR(__xludf.DUMMYFUNCTION("""COMPUTED_VALUE"""),"Farrah")</f>
        <v>Farrah</v>
      </c>
      <c r="D176" s="13" t="str">
        <f>IFERROR(__xludf.DUMMYFUNCTION("""COMPUTED_VALUE"""),"082117932324")</f>
        <v>082117932324</v>
      </c>
      <c r="E176" s="25" t="str">
        <f>IFERROR(__xludf.DUMMYFUNCTION("""COMPUTED_VALUE"""),"Instagram")</f>
        <v>Instagram</v>
      </c>
      <c r="F176" s="25" t="str">
        <f>IFERROR(__xludf.DUMMYFUNCTION("""COMPUTED_VALUE"""),"Gagal")</f>
        <v>Gagal</v>
      </c>
      <c r="G176" s="15"/>
      <c r="H176" s="92">
        <f>IFERROR(__xludf.DUMMYFUNCTION("""COMPUTED_VALUE"""),46104.0)</f>
        <v>46104</v>
      </c>
      <c r="I176" s="80"/>
      <c r="J176" s="93"/>
      <c r="K176" s="46" t="str">
        <f>IFERROR(__xludf.DUMMYFUNCTION("""COMPUTED_VALUE"""),"hanya menyapa")</f>
        <v>hanya menyapa</v>
      </c>
      <c r="L176" s="76"/>
      <c r="M176" s="20"/>
      <c r="N176" s="20"/>
      <c r="O176" s="20"/>
      <c r="P176" s="20"/>
    </row>
    <row r="177">
      <c r="A177" s="110">
        <f>IFERROR(__xludf.DUMMYFUNCTION("""COMPUTED_VALUE"""),46100.0)</f>
        <v>46100</v>
      </c>
      <c r="B177" s="110" t="str">
        <f>IFERROR(__xludf.DUMMYFUNCTION("""COMPUTED_VALUE"""),"2603A054")</f>
        <v>2603A054</v>
      </c>
      <c r="C177" s="49" t="str">
        <f>IFERROR(__xludf.DUMMYFUNCTION("""COMPUTED_VALUE"""),"Soraya")</f>
        <v>Soraya</v>
      </c>
      <c r="D177" s="102" t="str">
        <f>IFERROR(__xludf.DUMMYFUNCTION("""COMPUTED_VALUE"""),"085839925828")</f>
        <v>085839925828</v>
      </c>
      <c r="E177" s="25" t="str">
        <f>IFERROR(__xludf.DUMMYFUNCTION("""COMPUTED_VALUE"""),"Instagram")</f>
        <v>Instagram</v>
      </c>
      <c r="F177" s="25" t="str">
        <f>IFERROR(__xludf.DUMMYFUNCTION("""COMPUTED_VALUE"""),"Closing")</f>
        <v>Closing</v>
      </c>
      <c r="G177" s="15" t="str">
        <f>IFERROR(__xludf.DUMMYFUNCTION("""COMPUTED_VALUE"""),"OT M T")</f>
        <v>OT M T</v>
      </c>
      <c r="H177" s="26">
        <f>IFERROR(__xludf.DUMMYFUNCTION("""COMPUTED_VALUE"""),46104.0)</f>
        <v>46104</v>
      </c>
      <c r="I177" s="27">
        <f>IFERROR(__xludf.DUMMYFUNCTION("""COMPUTED_VALUE"""),3.0)</f>
        <v>3</v>
      </c>
      <c r="J177" s="33">
        <f>IFERROR(__xludf.DUMMYFUNCTION("""COMPUTED_VALUE"""),1050000.0)</f>
        <v>1050000</v>
      </c>
      <c r="K177" s="30" t="str">
        <f>IFERROR(__xludf.DUMMYFUNCTION("""COMPUTED_VALUE"""),"Alhamdulillah")</f>
        <v>Alhamdulillah</v>
      </c>
      <c r="L177" s="49"/>
      <c r="M177" s="20"/>
      <c r="N177" s="20"/>
      <c r="O177" s="20"/>
      <c r="P177" s="20"/>
    </row>
    <row r="178">
      <c r="A178" s="97">
        <f>IFERROR(__xludf.DUMMYFUNCTION("""COMPUTED_VALUE"""),46101.0)</f>
        <v>46101</v>
      </c>
      <c r="B178" s="97" t="str">
        <f>IFERROR(__xludf.DUMMYFUNCTION("""COMPUTED_VALUE"""),"2603A055")</f>
        <v>2603A055</v>
      </c>
      <c r="C178" s="76" t="str">
        <f>IFERROR(__xludf.DUMMYFUNCTION("""COMPUTED_VALUE"""),"Amalia Ridhawati")</f>
        <v>Amalia Ridhawati</v>
      </c>
      <c r="D178" s="99" t="str">
        <f>IFERROR(__xludf.DUMMYFUNCTION("""COMPUTED_VALUE"""),"081959744329")</f>
        <v>081959744329</v>
      </c>
      <c r="E178" s="25" t="str">
        <f>IFERROR(__xludf.DUMMYFUNCTION("""COMPUTED_VALUE"""),"Instagram")</f>
        <v>Instagram</v>
      </c>
      <c r="F178" s="25" t="str">
        <f>IFERROR(__xludf.DUMMYFUNCTION("""COMPUTED_VALUE"""),"Gagal")</f>
        <v>Gagal</v>
      </c>
      <c r="G178" s="25" t="str">
        <f>IFERROR(__xludf.DUMMYFUNCTION("""COMPUTED_VALUE"""),"Wurung Baluran")</f>
        <v>Wurung Baluran</v>
      </c>
      <c r="H178" s="92">
        <f>IFERROR(__xludf.DUMMYFUNCTION("""COMPUTED_VALUE"""),46104.0)</f>
        <v>46104</v>
      </c>
      <c r="I178" s="80">
        <f>IFERROR(__xludf.DUMMYFUNCTION("""COMPUTED_VALUE"""),5.0)</f>
        <v>5</v>
      </c>
      <c r="J178" s="54">
        <f>IFERROR(__xludf.DUMMYFUNCTION("""COMPUTED_VALUE"""),3140000.0)</f>
        <v>3140000</v>
      </c>
      <c r="K178" s="19" t="str">
        <f>IFERROR(__xludf.DUMMYFUNCTION("""COMPUTED_VALUE"""),"sudah dapat trip lain ")</f>
        <v>sudah dapat trip lain </v>
      </c>
      <c r="L178" s="76"/>
      <c r="M178" s="20"/>
      <c r="N178" s="20"/>
      <c r="O178" s="20"/>
      <c r="P178" s="20"/>
    </row>
    <row r="179">
      <c r="A179" s="110">
        <f>IFERROR(__xludf.DUMMYFUNCTION("""COMPUTED_VALUE"""),46101.0)</f>
        <v>46101</v>
      </c>
      <c r="B179" s="110" t="str">
        <f>IFERROR(__xludf.DUMMYFUNCTION("""COMPUTED_VALUE"""),"2603A056")</f>
        <v>2603A056</v>
      </c>
      <c r="C179" s="49" t="str">
        <f>IFERROR(__xludf.DUMMYFUNCTION("""COMPUTED_VALUE"""),"Reyzan")</f>
        <v>Reyzan</v>
      </c>
      <c r="D179" s="102" t="str">
        <f>IFERROR(__xludf.DUMMYFUNCTION("""COMPUTED_VALUE"""),"085158096108")</f>
        <v>085158096108</v>
      </c>
      <c r="E179" s="25" t="str">
        <f>IFERROR(__xludf.DUMMYFUNCTION("""COMPUTED_VALUE"""),"Website")</f>
        <v>Website</v>
      </c>
      <c r="F179" s="25" t="str">
        <f>IFERROR(__xludf.DUMMYFUNCTION("""COMPUTED_VALUE"""),"Gagal")</f>
        <v>Gagal</v>
      </c>
      <c r="G179" s="15"/>
      <c r="H179" s="78"/>
      <c r="I179" s="27">
        <f>IFERROR(__xludf.DUMMYFUNCTION("""COMPUTED_VALUE"""),1.0)</f>
        <v>1</v>
      </c>
      <c r="J179" s="33"/>
      <c r="K179" s="30" t="str">
        <f>IFERROR(__xludf.DUMMYFUNCTION("""COMPUTED_VALUE"""),"ga bales lagi")</f>
        <v>ga bales lagi</v>
      </c>
      <c r="L179" s="49"/>
      <c r="M179" s="20"/>
      <c r="N179" s="20"/>
      <c r="O179" s="20"/>
      <c r="P179" s="20"/>
    </row>
    <row r="180">
      <c r="A180" s="97">
        <f>IFERROR(__xludf.DUMMYFUNCTION("""COMPUTED_VALUE"""),46101.0)</f>
        <v>46101</v>
      </c>
      <c r="B180" s="97" t="str">
        <f>IFERROR(__xludf.DUMMYFUNCTION("""COMPUTED_VALUE"""),"2603A057")</f>
        <v>2603A057</v>
      </c>
      <c r="C180" s="76" t="str">
        <f>IFERROR(__xludf.DUMMYFUNCTION("""COMPUTED_VALUE"""),"Abel")</f>
        <v>Abel</v>
      </c>
      <c r="D180" s="99" t="str">
        <f>IFERROR(__xludf.DUMMYFUNCTION("""COMPUTED_VALUE"""),"081703445500")</f>
        <v>081703445500</v>
      </c>
      <c r="E180" s="25" t="str">
        <f>IFERROR(__xludf.DUMMYFUNCTION("""COMPUTED_VALUE"""),"Instagram")</f>
        <v>Instagram</v>
      </c>
      <c r="F180" s="25" t="str">
        <f>IFERROR(__xludf.DUMMYFUNCTION("""COMPUTED_VALUE"""),"Gagal")</f>
        <v>Gagal</v>
      </c>
      <c r="G180" s="25" t="str">
        <f>IFERROR(__xludf.DUMMYFUNCTION("""COMPUTED_VALUE"""),"1D Trip")</f>
        <v>1D Trip</v>
      </c>
      <c r="H180" s="92"/>
      <c r="I180" s="80">
        <f>IFERROR(__xludf.DUMMYFUNCTION("""COMPUTED_VALUE"""),3.0)</f>
        <v>3</v>
      </c>
      <c r="J180" s="93"/>
      <c r="K180" s="19"/>
      <c r="L180" s="76"/>
      <c r="M180" s="20"/>
      <c r="N180" s="20"/>
      <c r="O180" s="20"/>
      <c r="P180" s="20"/>
    </row>
    <row r="181">
      <c r="A181" s="110">
        <f>IFERROR(__xludf.DUMMYFUNCTION("""COMPUTED_VALUE"""),46101.0)</f>
        <v>46101</v>
      </c>
      <c r="B181" s="110" t="str">
        <f>IFERROR(__xludf.DUMMYFUNCTION("""COMPUTED_VALUE"""),"2603A058")</f>
        <v>2603A058</v>
      </c>
      <c r="C181" s="49" t="str">
        <f>IFERROR(__xludf.DUMMYFUNCTION("""COMPUTED_VALUE"""),"Joseph Ferdinand")</f>
        <v>Joseph Ferdinand</v>
      </c>
      <c r="D181" s="102" t="str">
        <f>IFERROR(__xludf.DUMMYFUNCTION("""COMPUTED_VALUE"""),"087729390111")</f>
        <v>087729390111</v>
      </c>
      <c r="E181" s="25" t="str">
        <f>IFERROR(__xludf.DUMMYFUNCTION("""COMPUTED_VALUE"""),"Website")</f>
        <v>Website</v>
      </c>
      <c r="F181" s="25" t="str">
        <f>IFERROR(__xludf.DUMMYFUNCTION("""COMPUTED_VALUE"""),"Closing")</f>
        <v>Closing</v>
      </c>
      <c r="G181" s="15" t="str">
        <f>IFERROR(__xludf.DUMMYFUNCTION("""COMPUTED_VALUE"""),"3H2M")</f>
        <v>3H2M</v>
      </c>
      <c r="H181" s="78"/>
      <c r="I181" s="89">
        <f>IFERROR(__xludf.DUMMYFUNCTION("""COMPUTED_VALUE"""),10.0)</f>
        <v>10</v>
      </c>
      <c r="J181" s="96">
        <f>IFERROR(__xludf.DUMMYFUNCTION("""COMPUTED_VALUE"""),2.198E7)</f>
        <v>21980000</v>
      </c>
      <c r="K181" s="30" t="str">
        <f>IFERROR(__xludf.DUMMYFUNCTION("""COMPUTED_VALUE"""),"include votel manyar, 2 orang hanya ikut day 1, d2 &amp; d3 8 orang yang trip")</f>
        <v>include votel manyar, 2 orang hanya ikut day 1, d2 &amp; d3 8 orang yang trip</v>
      </c>
      <c r="L181" s="49"/>
      <c r="M181" s="20"/>
      <c r="N181" s="20"/>
      <c r="O181" s="20"/>
      <c r="P181" s="20"/>
    </row>
    <row r="182">
      <c r="A182" s="97">
        <f>IFERROR(__xludf.DUMMYFUNCTION("""COMPUTED_VALUE"""),46101.0)</f>
        <v>46101</v>
      </c>
      <c r="B182" s="97" t="str">
        <f>IFERROR(__xludf.DUMMYFUNCTION("""COMPUTED_VALUE"""),"2603A059")</f>
        <v>2603A059</v>
      </c>
      <c r="C182" s="76" t="str">
        <f>IFERROR(__xludf.DUMMYFUNCTION("""COMPUTED_VALUE"""),"Jassoon")</f>
        <v>Jassoon</v>
      </c>
      <c r="D182" s="99" t="str">
        <f>IFERROR(__xludf.DUMMYFUNCTION("""COMPUTED_VALUE"""),"085692669956")</f>
        <v>085692669956</v>
      </c>
      <c r="E182" s="25" t="str">
        <f>IFERROR(__xludf.DUMMYFUNCTION("""COMPUTED_VALUE"""),"Instagram")</f>
        <v>Instagram</v>
      </c>
      <c r="F182" s="25" t="str">
        <f>IFERROR(__xludf.DUMMYFUNCTION("""COMPUTED_VALUE"""),"Gagal")</f>
        <v>Gagal</v>
      </c>
      <c r="G182" s="15" t="str">
        <f>IFERROR(__xludf.DUMMYFUNCTION("""COMPUTED_VALUE"""),"Trip I, B, PB, Alas prwo")</f>
        <v>Trip I, B, PB, Alas prwo</v>
      </c>
      <c r="H182" s="92"/>
      <c r="I182" s="80">
        <f>IFERROR(__xludf.DUMMYFUNCTION("""COMPUTED_VALUE"""),7.0)</f>
        <v>7</v>
      </c>
      <c r="J182" s="54"/>
      <c r="K182" s="46" t="str">
        <f>IFERROR(__xludf.DUMMYFUNCTION("""COMPUTED_VALUE"""),"gagal karna full book dan dadakan")</f>
        <v>gagal karna full book dan dadakan</v>
      </c>
      <c r="L182" s="10"/>
      <c r="M182" s="20"/>
      <c r="N182" s="20"/>
      <c r="O182" s="20"/>
      <c r="P182" s="20"/>
    </row>
    <row r="183">
      <c r="A183" s="110">
        <f>IFERROR(__xludf.DUMMYFUNCTION("""COMPUTED_VALUE"""),46101.0)</f>
        <v>46101</v>
      </c>
      <c r="B183" s="110" t="str">
        <f>IFERROR(__xludf.DUMMYFUNCTION("""COMPUTED_VALUE"""),"2603A060")</f>
        <v>2603A060</v>
      </c>
      <c r="C183" s="49" t="str">
        <f>IFERROR(__xludf.DUMMYFUNCTION("""COMPUTED_VALUE"""),"Lavita")</f>
        <v>Lavita</v>
      </c>
      <c r="D183" s="102" t="str">
        <f>IFERROR(__xludf.DUMMYFUNCTION("""COMPUTED_VALUE"""),"082139029314")</f>
        <v>082139029314</v>
      </c>
      <c r="E183" s="25" t="str">
        <f>IFERROR(__xludf.DUMMYFUNCTION("""COMPUTED_VALUE"""),"Instagram")</f>
        <v>Instagram</v>
      </c>
      <c r="F183" s="25" t="str">
        <f>IFERROR(__xludf.DUMMYFUNCTION("""COMPUTED_VALUE"""),"Gagal")</f>
        <v>Gagal</v>
      </c>
      <c r="G183" s="15" t="str">
        <f>IFERROR(__xludf.DUMMYFUNCTION("""COMPUTED_VALUE"""),"Trip B, D, M")</f>
        <v>Trip B, D, M</v>
      </c>
      <c r="H183" s="78">
        <f>IFERROR(__xludf.DUMMYFUNCTION("""COMPUTED_VALUE"""),46115.0)</f>
        <v>46115</v>
      </c>
      <c r="I183" s="89">
        <f>IFERROR(__xludf.DUMMYFUNCTION("""COMPUTED_VALUE"""),8.0)</f>
        <v>8</v>
      </c>
      <c r="J183" s="96"/>
      <c r="K183" s="30"/>
      <c r="L183" s="81" t="str">
        <f>IFERROR(__xludf.DUMMYFUNCTION("""COMPUTED_VALUE"""),"https://docs.google.com/document/d/1bWbEcNAAr9XMhhtrdum94C20FUPSCHL6kZSbW3MZH4k/edit?usp=sharing")</f>
        <v>https://docs.google.com/document/d/1bWbEcNAAr9XMhhtrdum94C20FUPSCHL6kZSbW3MZH4k/edit?usp=sharing</v>
      </c>
      <c r="M183" s="20"/>
      <c r="N183" s="20"/>
      <c r="O183" s="20"/>
      <c r="P183" s="20"/>
    </row>
    <row r="184">
      <c r="A184" s="97">
        <f>IFERROR(__xludf.DUMMYFUNCTION("""COMPUTED_VALUE"""),46102.0)</f>
        <v>46102</v>
      </c>
      <c r="B184" s="110" t="str">
        <f>IFERROR(__xludf.DUMMYFUNCTION("""COMPUTED_VALUE"""),"2603A061")</f>
        <v>2603A061</v>
      </c>
      <c r="C184" s="76" t="str">
        <f>IFERROR(__xludf.DUMMYFUNCTION("""COMPUTED_VALUE"""),"Nanda")</f>
        <v>Nanda</v>
      </c>
      <c r="D184" s="99" t="str">
        <f>IFERROR(__xludf.DUMMYFUNCTION("""COMPUTED_VALUE"""),"081385271542")</f>
        <v>081385271542</v>
      </c>
      <c r="E184" s="25" t="str">
        <f>IFERROR(__xludf.DUMMYFUNCTION("""COMPUTED_VALUE"""),"Website")</f>
        <v>Website</v>
      </c>
      <c r="F184" s="25" t="str">
        <f>IFERROR(__xludf.DUMMYFUNCTION("""COMPUTED_VALUE"""),"Gagal")</f>
        <v>Gagal</v>
      </c>
      <c r="G184" s="15"/>
      <c r="H184" s="92">
        <f>IFERROR(__xludf.DUMMYFUNCTION("""COMPUTED_VALUE"""),46102.0)</f>
        <v>46102</v>
      </c>
      <c r="I184" s="80"/>
      <c r="J184" s="93"/>
      <c r="K184" s="19" t="str">
        <f>IFERROR(__xludf.DUMMYFUNCTION("""COMPUTED_VALUE"""),"tanya sewa motor")</f>
        <v>tanya sewa motor</v>
      </c>
      <c r="L184" s="76"/>
      <c r="M184" s="20"/>
      <c r="N184" s="20"/>
      <c r="O184" s="20"/>
      <c r="P184" s="20"/>
    </row>
    <row r="185">
      <c r="A185" s="110">
        <f>IFERROR(__xludf.DUMMYFUNCTION("""COMPUTED_VALUE"""),46101.0)</f>
        <v>46101</v>
      </c>
      <c r="B185" s="110" t="str">
        <f>IFERROR(__xludf.DUMMYFUNCTION("""COMPUTED_VALUE"""),"2603A062")</f>
        <v>2603A062</v>
      </c>
      <c r="C185" s="112" t="str">
        <f>IFERROR(__xludf.DUMMYFUNCTION("""COMPUTED_VALUE"""),"Fatim")</f>
        <v>Fatim</v>
      </c>
      <c r="D185" s="102" t="str">
        <f>IFERROR(__xludf.DUMMYFUNCTION("""COMPUTED_VALUE"""),"085700662935")</f>
        <v>085700662935</v>
      </c>
      <c r="E185" s="25" t="str">
        <f>IFERROR(__xludf.DUMMYFUNCTION("""COMPUTED_VALUE"""),"Instagram")</f>
        <v>Instagram</v>
      </c>
      <c r="F185" s="25" t="str">
        <f>IFERROR(__xludf.DUMMYFUNCTION("""COMPUTED_VALUE"""),"Gagal")</f>
        <v>Gagal</v>
      </c>
      <c r="G185" s="25" t="str">
        <f>IFERROR(__xludf.DUMMYFUNCTION("""COMPUTED_VALUE"""),"Trip yg tersedia")</f>
        <v>Trip yg tersedia</v>
      </c>
      <c r="H185" s="78"/>
      <c r="I185" s="89">
        <f>IFERROR(__xludf.DUMMYFUNCTION("""COMPUTED_VALUE"""),2.0)</f>
        <v>2</v>
      </c>
      <c r="J185" s="96"/>
      <c r="K185" s="36"/>
      <c r="L185" s="49"/>
      <c r="M185" s="20"/>
      <c r="N185" s="20"/>
      <c r="O185" s="20"/>
      <c r="P185" s="20"/>
    </row>
    <row r="186">
      <c r="A186" s="97">
        <f>IFERROR(__xludf.DUMMYFUNCTION("""COMPUTED_VALUE"""),46102.0)</f>
        <v>46102</v>
      </c>
      <c r="B186" s="97" t="str">
        <f>IFERROR(__xludf.DUMMYFUNCTION("""COMPUTED_VALUE"""),"2603A063")</f>
        <v>2603A063</v>
      </c>
      <c r="C186" s="76" t="str">
        <f>IFERROR(__xludf.DUMMYFUNCTION("""COMPUTED_VALUE"""),"Asha")</f>
        <v>Asha</v>
      </c>
      <c r="D186" s="99" t="str">
        <f>IFERROR(__xludf.DUMMYFUNCTION("""COMPUTED_VALUE"""),"085876052620")</f>
        <v>085876052620</v>
      </c>
      <c r="E186" s="25" t="str">
        <f>IFERROR(__xludf.DUMMYFUNCTION("""COMPUTED_VALUE"""),"Instagram")</f>
        <v>Instagram</v>
      </c>
      <c r="F186" s="25" t="str">
        <f>IFERROR(__xludf.DUMMYFUNCTION("""COMPUTED_VALUE"""),"Gagal")</f>
        <v>Gagal</v>
      </c>
      <c r="G186" s="15" t="str">
        <f>IFERROR(__xludf.DUMMYFUNCTION("""COMPUTED_VALUE"""),"Trip M, T")</f>
        <v>Trip M, T</v>
      </c>
      <c r="H186" s="16">
        <f>IFERROR(__xludf.DUMMYFUNCTION("""COMPUTED_VALUE"""),46103.0)</f>
        <v>46103</v>
      </c>
      <c r="I186" s="17"/>
      <c r="J186" s="93"/>
      <c r="K186" s="19" t="str">
        <f>IFERROR(__xludf.DUMMYFUNCTION("""COMPUTED_VALUE"""),"Full Booked")</f>
        <v>Full Booked</v>
      </c>
      <c r="L186" s="76"/>
      <c r="M186" s="20"/>
      <c r="N186" s="20"/>
      <c r="O186" s="20"/>
      <c r="P186" s="20"/>
    </row>
    <row r="187">
      <c r="A187" s="110">
        <f>IFERROR(__xludf.DUMMYFUNCTION("""COMPUTED_VALUE"""),46102.0)</f>
        <v>46102</v>
      </c>
      <c r="B187" s="110" t="str">
        <f>IFERROR(__xludf.DUMMYFUNCTION("""COMPUTED_VALUE"""),"2603A064")</f>
        <v>2603A064</v>
      </c>
      <c r="C187" s="49" t="str">
        <f>IFERROR(__xludf.DUMMYFUNCTION("""COMPUTED_VALUE"""),"Mariska")</f>
        <v>Mariska</v>
      </c>
      <c r="D187" s="102" t="str">
        <f>IFERROR(__xludf.DUMMYFUNCTION("""COMPUTED_VALUE"""),"08813229259")</f>
        <v>08813229259</v>
      </c>
      <c r="E187" s="25" t="str">
        <f>IFERROR(__xludf.DUMMYFUNCTION("""COMPUTED_VALUE"""),"Instagram")</f>
        <v>Instagram</v>
      </c>
      <c r="F187" s="25" t="str">
        <f>IFERROR(__xludf.DUMMYFUNCTION("""COMPUTED_VALUE"""),"Gagal")</f>
        <v>Gagal</v>
      </c>
      <c r="G187" s="15" t="str">
        <f>IFERROR(__xludf.DUMMYFUNCTION("""COMPUTED_VALUE"""),"3H2M Everyday")</f>
        <v>3H2M Everyday</v>
      </c>
      <c r="H187" s="78">
        <f>IFERROR(__xludf.DUMMYFUNCTION("""COMPUTED_VALUE"""),46104.0)</f>
        <v>46104</v>
      </c>
      <c r="I187" s="89">
        <f>IFERROR(__xludf.DUMMYFUNCTION("""COMPUTED_VALUE"""),2.0)</f>
        <v>2</v>
      </c>
      <c r="J187" s="33"/>
      <c r="K187" s="36" t="str">
        <f>IFERROR(__xludf.DUMMYFUNCTION("""COMPUTED_VALUE"""),"masih cek ketersediaan")</f>
        <v>masih cek ketersediaan</v>
      </c>
      <c r="L187" s="49"/>
      <c r="M187" s="20"/>
      <c r="N187" s="20"/>
      <c r="O187" s="20"/>
      <c r="P187" s="20"/>
    </row>
    <row r="188">
      <c r="A188" s="97">
        <f>IFERROR(__xludf.DUMMYFUNCTION("""COMPUTED_VALUE"""),46102.0)</f>
        <v>46102</v>
      </c>
      <c r="B188" s="97" t="str">
        <f>IFERROR(__xludf.DUMMYFUNCTION("""COMPUTED_VALUE"""),"2603A065")</f>
        <v>2603A065</v>
      </c>
      <c r="C188" s="76" t="str">
        <f>IFERROR(__xludf.DUMMYFUNCTION("""COMPUTED_VALUE"""),"Tiara")</f>
        <v>Tiara</v>
      </c>
      <c r="D188" s="99" t="str">
        <f>IFERROR(__xludf.DUMMYFUNCTION("""COMPUTED_VALUE"""),"082231220446")</f>
        <v>082231220446</v>
      </c>
      <c r="E188" s="25" t="str">
        <f>IFERROR(__xludf.DUMMYFUNCTION("""COMPUTED_VALUE"""),"Instagram")</f>
        <v>Instagram</v>
      </c>
      <c r="F188" s="25" t="str">
        <f>IFERROR(__xludf.DUMMYFUNCTION("""COMPUTED_VALUE"""),"Gagal")</f>
        <v>Gagal</v>
      </c>
      <c r="G188" s="15" t="str">
        <f>IFERROR(__xludf.DUMMYFUNCTION("""COMPUTED_VALUE"""),"Trip M, T")</f>
        <v>Trip M, T</v>
      </c>
      <c r="H188" s="92">
        <f>IFERROR(__xludf.DUMMYFUNCTION("""COMPUTED_VALUE"""),46103.0)</f>
        <v>46103</v>
      </c>
      <c r="I188" s="17">
        <f>IFERROR(__xludf.DUMMYFUNCTION("""COMPUTED_VALUE"""),3.0)</f>
        <v>3</v>
      </c>
      <c r="J188" s="54"/>
      <c r="K188" s="19" t="str">
        <f>IFERROR(__xludf.DUMMYFUNCTION("""COMPUTED_VALUE"""),"Full Booked")</f>
        <v>Full Booked</v>
      </c>
      <c r="L188" s="76"/>
      <c r="M188" s="20"/>
      <c r="N188" s="20"/>
      <c r="O188" s="20"/>
      <c r="P188" s="20"/>
    </row>
    <row r="189">
      <c r="A189" s="110">
        <f>IFERROR(__xludf.DUMMYFUNCTION("""COMPUTED_VALUE"""),46074.0)</f>
        <v>46074</v>
      </c>
      <c r="B189" s="110" t="str">
        <f>IFERROR(__xludf.DUMMYFUNCTION("""COMPUTED_VALUE"""),"2603A066")</f>
        <v>2603A066</v>
      </c>
      <c r="C189" s="49" t="str">
        <f>IFERROR(__xludf.DUMMYFUNCTION("""COMPUTED_VALUE"""),"Dila")</f>
        <v>Dila</v>
      </c>
      <c r="D189" s="102" t="str">
        <f>IFERROR(__xludf.DUMMYFUNCTION("""COMPUTED_VALUE"""),"082388994261")</f>
        <v>082388994261</v>
      </c>
      <c r="E189" s="25" t="str">
        <f>IFERROR(__xludf.DUMMYFUNCTION("""COMPUTED_VALUE"""),"Instagram")</f>
        <v>Instagram</v>
      </c>
      <c r="F189" s="25" t="str">
        <f>IFERROR(__xludf.DUMMYFUNCTION("""COMPUTED_VALUE"""),"Gagal")</f>
        <v>Gagal</v>
      </c>
      <c r="G189" s="15" t="str">
        <f>IFERROR(__xludf.DUMMYFUNCTION("""COMPUTED_VALUE"""),"3H2M Custom")</f>
        <v>3H2M Custom</v>
      </c>
      <c r="H189" s="78"/>
      <c r="I189" s="89">
        <f>IFERROR(__xludf.DUMMYFUNCTION("""COMPUTED_VALUE"""),7.0)</f>
        <v>7</v>
      </c>
      <c r="J189" s="96"/>
      <c r="K189" s="36" t="str">
        <f>IFERROR(__xludf.DUMMYFUNCTION("""COMPUTED_VALUE"""),"FUll Booked")</f>
        <v>FUll Booked</v>
      </c>
      <c r="L189" s="81" t="str">
        <f>IFERROR(__xludf.DUMMYFUNCTION("""COMPUTED_VALUE"""),"https://docs.google.com/document/d/1L-7Eatb8VGovZhCBXD7YlYFS6Sg4JFCOt1-y5B_jUXQ/edit?tab=t.0")</f>
        <v>https://docs.google.com/document/d/1L-7Eatb8VGovZhCBXD7YlYFS6Sg4JFCOt1-y5B_jUXQ/edit?tab=t.0</v>
      </c>
      <c r="M189" s="20"/>
      <c r="N189" s="20"/>
      <c r="O189" s="20"/>
      <c r="P189" s="20"/>
    </row>
    <row r="190">
      <c r="A190" s="97">
        <f>IFERROR(__xludf.DUMMYFUNCTION("""COMPUTED_VALUE"""),46102.0)</f>
        <v>46102</v>
      </c>
      <c r="B190" s="97" t="str">
        <f>IFERROR(__xludf.DUMMYFUNCTION("""COMPUTED_VALUE"""),"2603A067")</f>
        <v>2603A067</v>
      </c>
      <c r="C190" s="76" t="str">
        <f>IFERROR(__xludf.DUMMYFUNCTION("""COMPUTED_VALUE"""),"Nala")</f>
        <v>Nala</v>
      </c>
      <c r="D190" s="99" t="str">
        <f>IFERROR(__xludf.DUMMYFUNCTION("""COMPUTED_VALUE"""),"081283022336")</f>
        <v>081283022336</v>
      </c>
      <c r="E190" s="25" t="str">
        <f>IFERROR(__xludf.DUMMYFUNCTION("""COMPUTED_VALUE"""),"Instagram")</f>
        <v>Instagram</v>
      </c>
      <c r="F190" s="25" t="str">
        <f>IFERROR(__xludf.DUMMYFUNCTION("""COMPUTED_VALUE"""),"Gagal")</f>
        <v>Gagal</v>
      </c>
      <c r="G190" s="15" t="str">
        <f>IFERROR(__xludf.DUMMYFUNCTION("""COMPUTED_VALUE"""),"Trip W")</f>
        <v>Trip W</v>
      </c>
      <c r="H190" s="92">
        <f>IFERROR(__xludf.DUMMYFUNCTION("""COMPUTED_VALUE"""),46103.0)</f>
        <v>46103</v>
      </c>
      <c r="I190" s="17">
        <f>IFERROR(__xludf.DUMMYFUNCTION("""COMPUTED_VALUE"""),4.0)</f>
        <v>4</v>
      </c>
      <c r="J190" s="54"/>
      <c r="K190" s="19"/>
      <c r="L190" s="76"/>
      <c r="M190" s="20"/>
      <c r="N190" s="20"/>
      <c r="O190" s="20"/>
      <c r="P190" s="20"/>
    </row>
    <row r="191">
      <c r="A191" s="110">
        <f>IFERROR(__xludf.DUMMYFUNCTION("""COMPUTED_VALUE"""),46102.0)</f>
        <v>46102</v>
      </c>
      <c r="B191" s="110" t="str">
        <f>IFERROR(__xludf.DUMMYFUNCTION("""COMPUTED_VALUE"""),"2603A068")</f>
        <v>2603A068</v>
      </c>
      <c r="C191" s="49" t="str">
        <f>IFERROR(__xludf.DUMMYFUNCTION("""COMPUTED_VALUE"""),"Apri")</f>
        <v>Apri</v>
      </c>
      <c r="D191" s="102" t="str">
        <f>IFERROR(__xludf.DUMMYFUNCTION("""COMPUTED_VALUE"""),"082122906213")</f>
        <v>082122906213</v>
      </c>
      <c r="E191" s="25" t="str">
        <f>IFERROR(__xludf.DUMMYFUNCTION("""COMPUTED_VALUE"""),"Instagram")</f>
        <v>Instagram</v>
      </c>
      <c r="F191" s="25" t="str">
        <f>IFERROR(__xludf.DUMMYFUNCTION("""COMPUTED_VALUE"""),"Gagal")</f>
        <v>Gagal</v>
      </c>
      <c r="G191" s="25" t="str">
        <f>IFERROR(__xludf.DUMMYFUNCTION("""COMPUTED_VALUE"""),"3H2M Opsi B")</f>
        <v>3H2M Opsi B</v>
      </c>
      <c r="H191" s="78"/>
      <c r="I191" s="89">
        <f>IFERROR(__xludf.DUMMYFUNCTION("""COMPUTED_VALUE"""),46115.0)</f>
        <v>46115</v>
      </c>
      <c r="J191" s="33">
        <f>IFERROR(__xludf.DUMMYFUNCTION("""COMPUTED_VALUE"""),4854000.0)</f>
        <v>4854000</v>
      </c>
      <c r="K191" s="36" t="str">
        <f>IFERROR(__xludf.DUMMYFUNCTION("""COMPUTED_VALUE"""),"sdh fu gada jawaban")</f>
        <v>sdh fu gada jawaban</v>
      </c>
      <c r="L191" s="81" t="str">
        <f>IFERROR(__xludf.DUMMYFUNCTION("""COMPUTED_VALUE"""),"https://docs.google.com/document/d/1JRyfC1kx7oC3n22QwRQLt7_us6MB85SRPjLwGAMwBEE/edit?usp=sharing")</f>
        <v>https://docs.google.com/document/d/1JRyfC1kx7oC3n22QwRQLt7_us6MB85SRPjLwGAMwBEE/edit?usp=sharing</v>
      </c>
      <c r="M191" s="20"/>
      <c r="N191" s="20"/>
      <c r="O191" s="20"/>
      <c r="P191" s="20"/>
    </row>
    <row r="192">
      <c r="A192" s="97">
        <f>IFERROR(__xludf.DUMMYFUNCTION("""COMPUTED_VALUE"""),46102.0)</f>
        <v>46102</v>
      </c>
      <c r="B192" s="97" t="str">
        <f>IFERROR(__xludf.DUMMYFUNCTION("""COMPUTED_VALUE"""),"2603A069")</f>
        <v>2603A069</v>
      </c>
      <c r="C192" s="76" t="str">
        <f>IFERROR(__xludf.DUMMYFUNCTION("""COMPUTED_VALUE"""),"Theo")</f>
        <v>Theo</v>
      </c>
      <c r="D192" s="99" t="str">
        <f>IFERROR(__xludf.DUMMYFUNCTION("""COMPUTED_VALUE"""),"081322307227")</f>
        <v>081322307227</v>
      </c>
      <c r="E192" s="25" t="str">
        <f>IFERROR(__xludf.DUMMYFUNCTION("""COMPUTED_VALUE"""),"Rekomendasi")</f>
        <v>Rekomendasi</v>
      </c>
      <c r="F192" s="25" t="str">
        <f>IFERROR(__xludf.DUMMYFUNCTION("""COMPUTED_VALUE"""),"Closing")</f>
        <v>Closing</v>
      </c>
      <c r="G192" s="15" t="str">
        <f>IFERROR(__xludf.DUMMYFUNCTION("""COMPUTED_VALUE"""),"3h2m ")</f>
        <v>3h2m </v>
      </c>
      <c r="H192" s="92"/>
      <c r="I192" s="80">
        <f>IFERROR(__xludf.DUMMYFUNCTION("""COMPUTED_VALUE"""),9.0)</f>
        <v>9</v>
      </c>
      <c r="J192" s="93"/>
      <c r="K192" s="19" t="str">
        <f>IFERROR(__xludf.DUMMYFUNCTION("""COMPUTED_VALUE"""),"ALHAMDULILLAH ORDER")</f>
        <v>ALHAMDULILLAH ORDER</v>
      </c>
      <c r="L192" s="76"/>
      <c r="M192" s="20"/>
      <c r="N192" s="20"/>
      <c r="O192" s="20"/>
      <c r="P192" s="20"/>
    </row>
    <row r="193">
      <c r="A193" s="110">
        <f>IFERROR(__xludf.DUMMYFUNCTION("""COMPUTED_VALUE"""),46103.0)</f>
        <v>46103</v>
      </c>
      <c r="B193" s="110" t="str">
        <f>IFERROR(__xludf.DUMMYFUNCTION("""COMPUTED_VALUE"""),"2603A070")</f>
        <v>2603A070</v>
      </c>
      <c r="C193" s="49" t="str">
        <f>IFERROR(__xludf.DUMMYFUNCTION("""COMPUTED_VALUE"""),"Gina")</f>
        <v>Gina</v>
      </c>
      <c r="D193" s="102" t="str">
        <f>IFERROR(__xludf.DUMMYFUNCTION("""COMPUTED_VALUE"""),"081277714893‬")</f>
        <v>081277714893‬</v>
      </c>
      <c r="E193" s="25" t="str">
        <f>IFERROR(__xludf.DUMMYFUNCTION("""COMPUTED_VALUE"""),"Instagram")</f>
        <v>Instagram</v>
      </c>
      <c r="F193" s="25" t="str">
        <f>IFERROR(__xludf.DUMMYFUNCTION("""COMPUTED_VALUE"""),"Gagal")</f>
        <v>Gagal</v>
      </c>
      <c r="G193" s="15" t="str">
        <f>IFERROR(__xludf.DUMMYFUNCTION("""COMPUTED_VALUE"""),"2h1m")</f>
        <v>2h1m</v>
      </c>
      <c r="H193" s="26">
        <f>IFERROR(__xludf.DUMMYFUNCTION("""COMPUTED_VALUE"""),46103.0)</f>
        <v>46103</v>
      </c>
      <c r="I193" s="27">
        <f>IFERROR(__xludf.DUMMYFUNCTION("""COMPUTED_VALUE"""),3.0)</f>
        <v>3</v>
      </c>
      <c r="J193" s="33"/>
      <c r="K193" s="36" t="str">
        <f>IFERROR(__xludf.DUMMYFUNCTION("""COMPUTED_VALUE"""),"guide dan transport saja,sdh Full booked")</f>
        <v>guide dan transport saja,sdh Full booked</v>
      </c>
      <c r="L193" s="49"/>
      <c r="M193" s="20"/>
      <c r="N193" s="20"/>
      <c r="O193" s="20"/>
      <c r="P193" s="20"/>
    </row>
    <row r="194">
      <c r="A194" s="97">
        <f>IFERROR(__xludf.DUMMYFUNCTION("""COMPUTED_VALUE"""),46103.0)</f>
        <v>46103</v>
      </c>
      <c r="B194" s="97" t="str">
        <f>IFERROR(__xludf.DUMMYFUNCTION("""COMPUTED_VALUE"""),"2603A071")</f>
        <v>2603A071</v>
      </c>
      <c r="C194" s="76" t="str">
        <f>IFERROR(__xludf.DUMMYFUNCTION("""COMPUTED_VALUE"""),"Vina")</f>
        <v>Vina</v>
      </c>
      <c r="D194" s="99" t="str">
        <f>IFERROR(__xludf.DUMMYFUNCTION("""COMPUTED_VALUE"""),"‪088227004534‬")</f>
        <v>‪088227004534‬</v>
      </c>
      <c r="E194" s="25" t="str">
        <f>IFERROR(__xludf.DUMMYFUNCTION("""COMPUTED_VALUE"""),"Instagram")</f>
        <v>Instagram</v>
      </c>
      <c r="F194" s="25" t="str">
        <f>IFERROR(__xludf.DUMMYFUNCTION("""COMPUTED_VALUE"""),"Gagal")</f>
        <v>Gagal</v>
      </c>
      <c r="G194" s="15" t="str">
        <f>IFERROR(__xludf.DUMMYFUNCTION("""COMPUTED_VALUE"""),"Trip menjangan")</f>
        <v>Trip menjangan</v>
      </c>
      <c r="H194" s="92">
        <f>IFERROR(__xludf.DUMMYFUNCTION("""COMPUTED_VALUE"""),46104.0)</f>
        <v>46104</v>
      </c>
      <c r="I194" s="80">
        <f>IFERROR(__xludf.DUMMYFUNCTION("""COMPUTED_VALUE"""),2.0)</f>
        <v>2</v>
      </c>
      <c r="J194" s="93"/>
      <c r="K194" s="19" t="str">
        <f>IFERROR(__xludf.DUMMYFUNCTION("""COMPUTED_VALUE"""),"fullbooked")</f>
        <v>fullbooked</v>
      </c>
      <c r="L194" s="76"/>
      <c r="M194" s="20"/>
      <c r="N194" s="20"/>
      <c r="O194" s="20"/>
      <c r="P194" s="20"/>
    </row>
    <row r="195">
      <c r="A195" s="110">
        <f>IFERROR(__xludf.DUMMYFUNCTION("""COMPUTED_VALUE"""),46104.0)</f>
        <v>46104</v>
      </c>
      <c r="B195" s="110" t="str">
        <f>IFERROR(__xludf.DUMMYFUNCTION("""COMPUTED_VALUE"""),"2603A072")</f>
        <v>2603A072</v>
      </c>
      <c r="C195" s="112" t="str">
        <f>IFERROR(__xludf.DUMMYFUNCTION("""COMPUTED_VALUE"""),"Jumadi")</f>
        <v>Jumadi</v>
      </c>
      <c r="D195" s="102" t="str">
        <f>IFERROR(__xludf.DUMMYFUNCTION("""COMPUTED_VALUE"""),"081329379133")</f>
        <v>081329379133</v>
      </c>
      <c r="E195" s="25" t="str">
        <f>IFERROR(__xludf.DUMMYFUNCTION("""COMPUTED_VALUE"""),"Lainnya")</f>
        <v>Lainnya</v>
      </c>
      <c r="F195" s="25" t="str">
        <f>IFERROR(__xludf.DUMMYFUNCTION("""COMPUTED_VALUE"""),"Gagal")</f>
        <v>Gagal</v>
      </c>
      <c r="G195" s="15" t="str">
        <f>IFERROR(__xludf.DUMMYFUNCTION("""COMPUTED_VALUE"""),"TN Baluran")</f>
        <v>TN Baluran</v>
      </c>
      <c r="H195" s="78">
        <f>IFERROR(__xludf.DUMMYFUNCTION("""COMPUTED_VALUE"""),46105.0)</f>
        <v>46105</v>
      </c>
      <c r="I195" s="89">
        <f>IFERROR(__xludf.DUMMYFUNCTION("""COMPUTED_VALUE"""),6.0)</f>
        <v>6</v>
      </c>
      <c r="J195" s="33"/>
      <c r="K195" s="30" t="str">
        <f>IFERROR(__xludf.DUMMYFUNCTION("""COMPUTED_VALUE"""),"Jeep Fullbooked")</f>
        <v>Jeep Fullbooked</v>
      </c>
      <c r="L195" s="23"/>
      <c r="M195" s="20"/>
      <c r="N195" s="20"/>
      <c r="O195" s="20"/>
      <c r="P195" s="20"/>
    </row>
    <row r="196">
      <c r="A196" s="97">
        <f>IFERROR(__xludf.DUMMYFUNCTION("""COMPUTED_VALUE"""),46104.0)</f>
        <v>46104</v>
      </c>
      <c r="B196" s="97" t="str">
        <f>IFERROR(__xludf.DUMMYFUNCTION("""COMPUTED_VALUE"""),"2603A073")</f>
        <v>2603A073</v>
      </c>
      <c r="C196" s="76" t="str">
        <f>IFERROR(__xludf.DUMMYFUNCTION("""COMPUTED_VALUE"""),"Ayu")</f>
        <v>Ayu</v>
      </c>
      <c r="D196" s="99" t="str">
        <f>IFERROR(__xludf.DUMMYFUNCTION("""COMPUTED_VALUE"""),"6591642479")</f>
        <v>6591642479</v>
      </c>
      <c r="E196" s="25" t="str">
        <f>IFERROR(__xludf.DUMMYFUNCTION("""COMPUTED_VALUE"""),"Instagram")</f>
        <v>Instagram</v>
      </c>
      <c r="F196" s="25" t="str">
        <f>IFERROR(__xludf.DUMMYFUNCTION("""COMPUTED_VALUE"""),"Gagal")</f>
        <v>Gagal</v>
      </c>
      <c r="G196" s="15" t="str">
        <f>IFERROR(__xludf.DUMMYFUNCTION("""COMPUTED_VALUE"""),"OT Djawatan")</f>
        <v>OT Djawatan</v>
      </c>
      <c r="H196" s="92">
        <f>IFERROR(__xludf.DUMMYFUNCTION("""COMPUTED_VALUE"""),46106.0)</f>
        <v>46106</v>
      </c>
      <c r="I196" s="17">
        <f>IFERROR(__xludf.DUMMYFUNCTION("""COMPUTED_VALUE"""),1.0)</f>
        <v>1</v>
      </c>
      <c r="J196" s="54"/>
      <c r="K196" s="46" t="str">
        <f>IFERROR(__xludf.DUMMYFUNCTION("""COMPUTED_VALUE"""),"menunggu barengan OT")</f>
        <v>menunggu barengan OT</v>
      </c>
      <c r="L196" s="10"/>
      <c r="M196" s="20"/>
      <c r="N196" s="20"/>
      <c r="O196" s="20"/>
      <c r="P196" s="20"/>
    </row>
    <row r="197">
      <c r="A197" s="110">
        <f>IFERROR(__xludf.DUMMYFUNCTION("""COMPUTED_VALUE"""),46104.0)</f>
        <v>46104</v>
      </c>
      <c r="B197" s="110" t="str">
        <f>IFERROR(__xludf.DUMMYFUNCTION("""COMPUTED_VALUE"""),"2603A074")</f>
        <v>2603A074</v>
      </c>
      <c r="C197" s="49" t="str">
        <f>IFERROR(__xludf.DUMMYFUNCTION("""COMPUTED_VALUE"""),"Rizal")</f>
        <v>Rizal</v>
      </c>
      <c r="D197" s="102" t="str">
        <f>IFERROR(__xludf.DUMMYFUNCTION("""COMPUTED_VALUE"""),"08133316528")</f>
        <v>08133316528</v>
      </c>
      <c r="E197" s="25" t="str">
        <f>IFERROR(__xludf.DUMMYFUNCTION("""COMPUTED_VALUE"""),"Instagram")</f>
        <v>Instagram</v>
      </c>
      <c r="F197" s="25" t="str">
        <f>IFERROR(__xludf.DUMMYFUNCTION("""COMPUTED_VALUE"""),"Gagal")</f>
        <v>Gagal</v>
      </c>
      <c r="G197" s="15" t="str">
        <f>IFERROR(__xludf.DUMMYFUNCTION("""COMPUTED_VALUE"""),"3H2M")</f>
        <v>3H2M</v>
      </c>
      <c r="H197" s="78"/>
      <c r="I197" s="89">
        <f>IFERROR(__xludf.DUMMYFUNCTION("""COMPUTED_VALUE"""),2.0)</f>
        <v>2</v>
      </c>
      <c r="J197" s="96">
        <f>IFERROR(__xludf.DUMMYFUNCTION("""COMPUTED_VALUE"""),4800000.0)</f>
        <v>4800000</v>
      </c>
      <c r="K197" s="36" t="str">
        <f>IFERROR(__xludf.DUMMYFUNCTION("""COMPUTED_VALUE"""),"centang 1, ga bales lagi")</f>
        <v>centang 1, ga bales lagi</v>
      </c>
      <c r="L197" s="49"/>
      <c r="M197" s="20"/>
      <c r="N197" s="20"/>
      <c r="O197" s="20"/>
      <c r="P197" s="20"/>
    </row>
    <row r="198">
      <c r="A198" s="97">
        <f>IFERROR(__xludf.DUMMYFUNCTION("""COMPUTED_VALUE"""),46104.0)</f>
        <v>46104</v>
      </c>
      <c r="B198" s="97" t="str">
        <f>IFERROR(__xludf.DUMMYFUNCTION("""COMPUTED_VALUE"""),"2603A075")</f>
        <v>2603A075</v>
      </c>
      <c r="C198" s="76" t="str">
        <f>IFERROR(__xludf.DUMMYFUNCTION("""COMPUTED_VALUE"""),"Rofik")</f>
        <v>Rofik</v>
      </c>
      <c r="D198" s="99" t="str">
        <f>IFERROR(__xludf.DUMMYFUNCTION("""COMPUTED_VALUE"""),"081335689977")</f>
        <v>081335689977</v>
      </c>
      <c r="E198" s="25" t="str">
        <f>IFERROR(__xludf.DUMMYFUNCTION("""COMPUTED_VALUE"""),"Instagram")</f>
        <v>Instagram</v>
      </c>
      <c r="F198" s="25" t="str">
        <f>IFERROR(__xludf.DUMMYFUNCTION("""COMPUTED_VALUE"""),"Gagal")</f>
        <v>Gagal</v>
      </c>
      <c r="G198" s="15" t="str">
        <f>IFERROR(__xludf.DUMMYFUNCTION("""COMPUTED_VALUE"""),"Trip Pulau Bedil")</f>
        <v>Trip Pulau Bedil</v>
      </c>
      <c r="H198" s="92">
        <f>IFERROR(__xludf.DUMMYFUNCTION("""COMPUTED_VALUE"""),46107.0)</f>
        <v>46107</v>
      </c>
      <c r="I198" s="17">
        <f>IFERROR(__xludf.DUMMYFUNCTION("""COMPUTED_VALUE"""),4.0)</f>
        <v>4</v>
      </c>
      <c r="J198" s="54"/>
      <c r="K198" s="46"/>
      <c r="L198" s="76"/>
      <c r="M198" s="20"/>
      <c r="N198" s="20"/>
      <c r="O198" s="20"/>
      <c r="P198" s="20"/>
    </row>
    <row r="199">
      <c r="A199" s="110">
        <f>IFERROR(__xludf.DUMMYFUNCTION("""COMPUTED_VALUE"""),46104.0)</f>
        <v>46104</v>
      </c>
      <c r="B199" s="110" t="str">
        <f>IFERROR(__xludf.DUMMYFUNCTION("""COMPUTED_VALUE"""),"2603A076")</f>
        <v>2603A076</v>
      </c>
      <c r="C199" s="49" t="str">
        <f>IFERROR(__xludf.DUMMYFUNCTION("""COMPUTED_VALUE"""),"Fit Ummu Kenzie")</f>
        <v>Fit Ummu Kenzie</v>
      </c>
      <c r="D199" s="102" t="str">
        <f>IFERROR(__xludf.DUMMYFUNCTION("""COMPUTED_VALUE"""),"081214842048")</f>
        <v>081214842048</v>
      </c>
      <c r="E199" s="25" t="str">
        <f>IFERROR(__xludf.DUMMYFUNCTION("""COMPUTED_VALUE"""),"Instagram")</f>
        <v>Instagram</v>
      </c>
      <c r="F199" s="25" t="str">
        <f>IFERROR(__xludf.DUMMYFUNCTION("""COMPUTED_VALUE"""),"Gagal")</f>
        <v>Gagal</v>
      </c>
      <c r="G199" s="15" t="str">
        <f>IFERROR(__xludf.DUMMYFUNCTION("""COMPUTED_VALUE"""),"Dj, TN B")</f>
        <v>Dj, TN B</v>
      </c>
      <c r="H199" s="78"/>
      <c r="I199" s="89">
        <f>IFERROR(__xludf.DUMMYFUNCTION("""COMPUTED_VALUE"""),3.0)</f>
        <v>3</v>
      </c>
      <c r="J199" s="96"/>
      <c r="K199" s="30" t="str">
        <f>IFERROR(__xludf.DUMMYFUNCTION("""COMPUTED_VALUE"""),"hanya menyapa")</f>
        <v>hanya menyapa</v>
      </c>
      <c r="L199" s="23"/>
      <c r="M199" s="20"/>
      <c r="N199" s="20"/>
      <c r="O199" s="20"/>
      <c r="P199" s="20"/>
    </row>
    <row r="200">
      <c r="A200" s="97">
        <f>IFERROR(__xludf.DUMMYFUNCTION("""COMPUTED_VALUE"""),46104.0)</f>
        <v>46104</v>
      </c>
      <c r="B200" s="97" t="str">
        <f>IFERROR(__xludf.DUMMYFUNCTION("""COMPUTED_VALUE"""),"2603A077")</f>
        <v>2603A077</v>
      </c>
      <c r="C200" s="76" t="str">
        <f>IFERROR(__xludf.DUMMYFUNCTION("""COMPUTED_VALUE"""),"Dimas Bimayakti")</f>
        <v>Dimas Bimayakti</v>
      </c>
      <c r="D200" s="99" t="str">
        <f>IFERROR(__xludf.DUMMYFUNCTION("""COMPUTED_VALUE"""),"081233350666")</f>
        <v>081233350666</v>
      </c>
      <c r="E200" s="25" t="str">
        <f>IFERROR(__xludf.DUMMYFUNCTION("""COMPUTED_VALUE"""),"Instagram")</f>
        <v>Instagram</v>
      </c>
      <c r="F200" s="25" t="str">
        <f>IFERROR(__xludf.DUMMYFUNCTION("""COMPUTED_VALUE"""),"Gagal")</f>
        <v>Gagal</v>
      </c>
      <c r="G200" s="15"/>
      <c r="H200" s="92"/>
      <c r="I200" s="80"/>
      <c r="J200" s="93"/>
      <c r="K200" s="19" t="str">
        <f>IFERROR(__xludf.DUMMYFUNCTION("""COMPUTED_VALUE"""),"hanya menyapa")</f>
        <v>hanya menyapa</v>
      </c>
      <c r="L200" s="76"/>
      <c r="M200" s="20"/>
      <c r="N200" s="20"/>
      <c r="O200" s="20"/>
      <c r="P200" s="20"/>
    </row>
    <row r="201">
      <c r="A201" s="110">
        <f>IFERROR(__xludf.DUMMYFUNCTION("""COMPUTED_VALUE"""),46104.0)</f>
        <v>46104</v>
      </c>
      <c r="B201" s="110" t="str">
        <f>IFERROR(__xludf.DUMMYFUNCTION("""COMPUTED_VALUE"""),"2603A078")</f>
        <v>2603A078</v>
      </c>
      <c r="C201" s="49" t="str">
        <f>IFERROR(__xludf.DUMMYFUNCTION("""COMPUTED_VALUE"""),"Nosi")</f>
        <v>Nosi</v>
      </c>
      <c r="D201" s="102" t="str">
        <f>IFERROR(__xludf.DUMMYFUNCTION("""COMPUTED_VALUE"""),"085808356934")</f>
        <v>085808356934</v>
      </c>
      <c r="E201" s="25" t="str">
        <f>IFERROR(__xludf.DUMMYFUNCTION("""COMPUTED_VALUE"""),"Instagram")</f>
        <v>Instagram</v>
      </c>
      <c r="F201" s="25" t="str">
        <f>IFERROR(__xludf.DUMMYFUNCTION("""COMPUTED_VALUE"""),"Gagal")</f>
        <v>Gagal</v>
      </c>
      <c r="G201" s="15" t="str">
        <f>IFERROR(__xludf.DUMMYFUNCTION("""COMPUTED_VALUE"""),"OT 3H2M")</f>
        <v>OT 3H2M</v>
      </c>
      <c r="H201" s="78"/>
      <c r="I201" s="89">
        <f>IFERROR(__xludf.DUMMYFUNCTION("""COMPUTED_VALUE"""),3.0)</f>
        <v>3</v>
      </c>
      <c r="J201" s="33">
        <f>IFERROR(__xludf.DUMMYFUNCTION("""COMPUTED_VALUE"""),4800000.0)</f>
        <v>4800000</v>
      </c>
      <c r="K201" s="36" t="str">
        <f>IFERROR(__xludf.DUMMYFUNCTION("""COMPUTED_VALUE"""),"diskusi tanggal, fu mei")</f>
        <v>diskusi tanggal, fu mei</v>
      </c>
      <c r="L201" s="81" t="str">
        <f>IFERROR(__xludf.DUMMYFUNCTION("""COMPUTED_VALUE"""),"https://docs.google.com/document/d/1KVtMRAowJ8myc7_jm588z2AFelwGA1NWrGqNGhdcD_Y/edit?usp=sharing")</f>
        <v>https://docs.google.com/document/d/1KVtMRAowJ8myc7_jm588z2AFelwGA1NWrGqNGhdcD_Y/edit?usp=sharing</v>
      </c>
      <c r="M201" s="20"/>
      <c r="N201" s="20"/>
      <c r="O201" s="20"/>
      <c r="P201" s="20"/>
    </row>
    <row r="202">
      <c r="A202" s="97">
        <f>IFERROR(__xludf.DUMMYFUNCTION("""COMPUTED_VALUE"""),46104.0)</f>
        <v>46104</v>
      </c>
      <c r="B202" s="97" t="str">
        <f>IFERROR(__xludf.DUMMYFUNCTION("""COMPUTED_VALUE"""),"2603A079")</f>
        <v>2603A079</v>
      </c>
      <c r="C202" s="76" t="str">
        <f>IFERROR(__xludf.DUMMYFUNCTION("""COMPUTED_VALUE"""),"Gita")</f>
        <v>Gita</v>
      </c>
      <c r="D202" s="99" t="str">
        <f>IFERROR(__xludf.DUMMYFUNCTION("""COMPUTED_VALUE"""),"081385759664")</f>
        <v>081385759664</v>
      </c>
      <c r="E202" s="25" t="str">
        <f>IFERROR(__xludf.DUMMYFUNCTION("""COMPUTED_VALUE"""),"Instagram")</f>
        <v>Instagram</v>
      </c>
      <c r="F202" s="25" t="str">
        <f>IFERROR(__xludf.DUMMYFUNCTION("""COMPUTED_VALUE"""),"Gagal")</f>
        <v>Gagal</v>
      </c>
      <c r="G202" s="15" t="str">
        <f>IFERROR(__xludf.DUMMYFUNCTION("""COMPUTED_VALUE"""),"Ijen, Tn B")</f>
        <v>Ijen, Tn B</v>
      </c>
      <c r="H202" s="16"/>
      <c r="I202" s="80">
        <f>IFERROR(__xludf.DUMMYFUNCTION("""COMPUTED_VALUE"""),46114.0)</f>
        <v>46114</v>
      </c>
      <c r="J202" s="93"/>
      <c r="K202" s="46" t="str">
        <f>IFERROR(__xludf.DUMMYFUNCTION("""COMPUTED_VALUE"""),"tidak ada jawaban")</f>
        <v>tidak ada jawaban</v>
      </c>
      <c r="L202" s="100" t="str">
        <f>IFERROR(__xludf.DUMMYFUNCTION("""COMPUTED_VALUE"""),"https://docs.google.com/document/d/1b1u9Bt1He2Mo5aXyEn-_ikqX0tMdouiX-GLsvkdUHHw/edit?usp=sharing")</f>
        <v>https://docs.google.com/document/d/1b1u9Bt1He2Mo5aXyEn-_ikqX0tMdouiX-GLsvkdUHHw/edit?usp=sharing</v>
      </c>
      <c r="M202" s="20"/>
      <c r="N202" s="20"/>
      <c r="O202" s="20"/>
      <c r="P202" s="20"/>
    </row>
    <row r="203">
      <c r="A203" s="110">
        <f>IFERROR(__xludf.DUMMYFUNCTION("""COMPUTED_VALUE"""),46105.0)</f>
        <v>46105</v>
      </c>
      <c r="B203" s="110" t="str">
        <f>IFERROR(__xludf.DUMMYFUNCTION("""COMPUTED_VALUE"""),"2603A080")</f>
        <v>2603A080</v>
      </c>
      <c r="C203" s="49" t="str">
        <f>IFERROR(__xludf.DUMMYFUNCTION("""COMPUTED_VALUE"""),"Willy")</f>
        <v>Willy</v>
      </c>
      <c r="D203" s="102" t="str">
        <f>IFERROR(__xludf.DUMMYFUNCTION("""COMPUTED_VALUE"""),"083109605882")</f>
        <v>083109605882</v>
      </c>
      <c r="E203" s="25" t="str">
        <f>IFERROR(__xludf.DUMMYFUNCTION("""COMPUTED_VALUE"""),"Instagram")</f>
        <v>Instagram</v>
      </c>
      <c r="F203" s="25" t="str">
        <f>IFERROR(__xludf.DUMMYFUNCTION("""COMPUTED_VALUE"""),"Gagal")</f>
        <v>Gagal</v>
      </c>
      <c r="G203" s="15" t="str">
        <f>IFERROR(__xludf.DUMMYFUNCTION("""COMPUTED_VALUE"""),"3H2M")</f>
        <v>3H2M</v>
      </c>
      <c r="H203" s="26"/>
      <c r="I203" s="89">
        <f>IFERROR(__xludf.DUMMYFUNCTION("""COMPUTED_VALUE"""),2.0)</f>
        <v>2</v>
      </c>
      <c r="J203" s="96"/>
      <c r="K203" s="36" t="str">
        <f>IFERROR(__xludf.DUMMYFUNCTION("""COMPUTED_VALUE"""),"ga bales lagi")</f>
        <v>ga bales lagi</v>
      </c>
      <c r="L203" s="23"/>
      <c r="M203" s="20"/>
      <c r="N203" s="20"/>
      <c r="O203" s="20"/>
      <c r="P203" s="20"/>
    </row>
    <row r="204">
      <c r="A204" s="97">
        <f>IFERROR(__xludf.DUMMYFUNCTION("""COMPUTED_VALUE"""),46105.0)</f>
        <v>46105</v>
      </c>
      <c r="B204" s="97" t="str">
        <f>IFERROR(__xludf.DUMMYFUNCTION("""COMPUTED_VALUE"""),"2603A081")</f>
        <v>2603A081</v>
      </c>
      <c r="C204" s="76" t="str">
        <f>IFERROR(__xludf.DUMMYFUNCTION("""COMPUTED_VALUE"""),"Nur Hayati")</f>
        <v>Nur Hayati</v>
      </c>
      <c r="D204" s="99" t="str">
        <f>IFERROR(__xludf.DUMMYFUNCTION("""COMPUTED_VALUE"""),"081128889698")</f>
        <v>081128889698</v>
      </c>
      <c r="E204" s="25" t="str">
        <f>IFERROR(__xludf.DUMMYFUNCTION("""COMPUTED_VALUE"""),"Lainnya")</f>
        <v>Lainnya</v>
      </c>
      <c r="F204" s="25" t="str">
        <f>IFERROR(__xludf.DUMMYFUNCTION("""COMPUTED_VALUE"""),"Closing")</f>
        <v>Closing</v>
      </c>
      <c r="G204" s="15"/>
      <c r="H204" s="16"/>
      <c r="I204" s="80"/>
      <c r="J204" s="93"/>
      <c r="K204" s="19" t="str">
        <f>IFERROR(__xludf.DUMMYFUNCTION("""COMPUTED_VALUE"""),"Saudara tamu Aisyah")</f>
        <v>Saudara tamu Aisyah</v>
      </c>
      <c r="L204" s="10"/>
      <c r="M204" s="20"/>
      <c r="N204" s="20"/>
      <c r="O204" s="20"/>
      <c r="P204" s="20"/>
    </row>
    <row r="205">
      <c r="A205" s="110">
        <f>IFERROR(__xludf.DUMMYFUNCTION("""COMPUTED_VALUE"""),46105.0)</f>
        <v>46105</v>
      </c>
      <c r="B205" s="110" t="str">
        <f>IFERROR(__xludf.DUMMYFUNCTION("""COMPUTED_VALUE"""),"2603A082")</f>
        <v>2603A082</v>
      </c>
      <c r="C205" s="49" t="str">
        <f>IFERROR(__xludf.DUMMYFUNCTION("""COMPUTED_VALUE"""),"Anna Rozaq")</f>
        <v>Anna Rozaq</v>
      </c>
      <c r="D205" s="102" t="str">
        <f>IFERROR(__xludf.DUMMYFUNCTION("""COMPUTED_VALUE"""),"08122860749")</f>
        <v>08122860749</v>
      </c>
      <c r="E205" s="25" t="str">
        <f>IFERROR(__xludf.DUMMYFUNCTION("""COMPUTED_VALUE"""),"Website")</f>
        <v>Website</v>
      </c>
      <c r="F205" s="25" t="str">
        <f>IFERROR(__xludf.DUMMYFUNCTION("""COMPUTED_VALUE"""),"Closing")</f>
        <v>Closing</v>
      </c>
      <c r="G205" s="15" t="str">
        <f>IFERROR(__xludf.DUMMYFUNCTION("""COMPUTED_VALUE"""),"OT Ijen")</f>
        <v>OT Ijen</v>
      </c>
      <c r="H205" s="26">
        <f>IFERROR(__xludf.DUMMYFUNCTION("""COMPUTED_VALUE"""),46107.0)</f>
        <v>46107</v>
      </c>
      <c r="I205" s="89">
        <f>IFERROR(__xludf.DUMMYFUNCTION("""COMPUTED_VALUE"""),3.0)</f>
        <v>3</v>
      </c>
      <c r="J205" s="96">
        <f>IFERROR(__xludf.DUMMYFUNCTION("""COMPUTED_VALUE"""),975000.0)</f>
        <v>975000</v>
      </c>
      <c r="K205" s="36" t="str">
        <f>IFERROR(__xludf.DUMMYFUNCTION("""COMPUTED_VALUE"""),"ALHAMDULILLAH")</f>
        <v>ALHAMDULILLAH</v>
      </c>
      <c r="L205" s="23"/>
      <c r="M205" s="20"/>
      <c r="N205" s="20"/>
      <c r="O205" s="20"/>
      <c r="P205" s="20"/>
    </row>
    <row r="206">
      <c r="A206" s="97">
        <f>IFERROR(__xludf.DUMMYFUNCTION("""COMPUTED_VALUE"""),46105.0)</f>
        <v>46105</v>
      </c>
      <c r="B206" s="97" t="str">
        <f>IFERROR(__xludf.DUMMYFUNCTION("""COMPUTED_VALUE"""),"2603A083")</f>
        <v>2603A083</v>
      </c>
      <c r="C206" s="76" t="str">
        <f>IFERROR(__xludf.DUMMYFUNCTION("""COMPUTED_VALUE"""),"Jerick")</f>
        <v>Jerick</v>
      </c>
      <c r="D206" s="99" t="str">
        <f>IFERROR(__xludf.DUMMYFUNCTION("""COMPUTED_VALUE"""),"081227576654")</f>
        <v>081227576654</v>
      </c>
      <c r="E206" s="25" t="str">
        <f>IFERROR(__xludf.DUMMYFUNCTION("""COMPUTED_VALUE"""),"Instagram")</f>
        <v>Instagram</v>
      </c>
      <c r="F206" s="25" t="str">
        <f>IFERROR(__xludf.DUMMYFUNCTION("""COMPUTED_VALUE"""),"Gagal")</f>
        <v>Gagal</v>
      </c>
      <c r="G206" s="15" t="str">
        <f>IFERROR(__xludf.DUMMYFUNCTION("""COMPUTED_VALUE"""),"2H1M")</f>
        <v>2H1M</v>
      </c>
      <c r="H206" s="16"/>
      <c r="I206" s="80">
        <f>IFERROR(__xludf.DUMMYFUNCTION("""COMPUTED_VALUE"""),3.0)</f>
        <v>3</v>
      </c>
      <c r="J206" s="93"/>
      <c r="K206" s="19"/>
      <c r="L206" s="100" t="str">
        <f>IFERROR(__xludf.DUMMYFUNCTION("""COMPUTED_VALUE"""),"https://docs.google.com/document/d/1JSINNaWFr_ZkP7csCGIZsC45LOomiRGplMqXsufS4lI/edit?usp=sharing")</f>
        <v>https://docs.google.com/document/d/1JSINNaWFr_ZkP7csCGIZsC45LOomiRGplMqXsufS4lI/edit?usp=sharing</v>
      </c>
      <c r="M206" s="20"/>
      <c r="N206" s="20"/>
      <c r="O206" s="20"/>
      <c r="P206" s="20"/>
    </row>
    <row r="207">
      <c r="A207" s="110">
        <f>IFERROR(__xludf.DUMMYFUNCTION("""COMPUTED_VALUE"""),46105.0)</f>
        <v>46105</v>
      </c>
      <c r="B207" s="110" t="str">
        <f>IFERROR(__xludf.DUMMYFUNCTION("""COMPUTED_VALUE"""),"2603A084")</f>
        <v>2603A084</v>
      </c>
      <c r="C207" s="49" t="str">
        <f>IFERROR(__xludf.DUMMYFUNCTION("""COMPUTED_VALUE"""),"Citra")</f>
        <v>Citra</v>
      </c>
      <c r="D207" s="102" t="str">
        <f>IFERROR(__xludf.DUMMYFUNCTION("""COMPUTED_VALUE"""),"085179972674")</f>
        <v>085179972674</v>
      </c>
      <c r="E207" s="25" t="str">
        <f>IFERROR(__xludf.DUMMYFUNCTION("""COMPUTED_VALUE"""),"Instagram")</f>
        <v>Instagram</v>
      </c>
      <c r="F207" s="25" t="str">
        <f>IFERROR(__xludf.DUMMYFUNCTION("""COMPUTED_VALUE"""),"Gagal")</f>
        <v>Gagal</v>
      </c>
      <c r="G207" s="15"/>
      <c r="H207" s="26"/>
      <c r="I207" s="89"/>
      <c r="J207" s="96"/>
      <c r="K207" s="36" t="str">
        <f>IFERROR(__xludf.DUMMYFUNCTION("""COMPUTED_VALUE"""),"ga bales lagi")</f>
        <v>ga bales lagi</v>
      </c>
      <c r="L207" s="23"/>
      <c r="M207" s="20"/>
      <c r="N207" s="20"/>
      <c r="O207" s="20"/>
      <c r="P207" s="20"/>
    </row>
    <row r="208">
      <c r="A208" s="97">
        <f>IFERROR(__xludf.DUMMYFUNCTION("""COMPUTED_VALUE"""),46105.0)</f>
        <v>46105</v>
      </c>
      <c r="B208" s="97" t="str">
        <f>IFERROR(__xludf.DUMMYFUNCTION("""COMPUTED_VALUE"""),"2603A085")</f>
        <v>2603A085</v>
      </c>
      <c r="C208" s="76" t="str">
        <f>IFERROR(__xludf.DUMMYFUNCTION("""COMPUTED_VALUE"""),"Eas")</f>
        <v>Eas</v>
      </c>
      <c r="D208" s="99" t="str">
        <f>IFERROR(__xludf.DUMMYFUNCTION("""COMPUTED_VALUE"""),"088227226909")</f>
        <v>088227226909</v>
      </c>
      <c r="E208" s="25" t="str">
        <f>IFERROR(__xludf.DUMMYFUNCTION("""COMPUTED_VALUE"""),"Instagram")</f>
        <v>Instagram</v>
      </c>
      <c r="F208" s="25" t="str">
        <f>IFERROR(__xludf.DUMMYFUNCTION("""COMPUTED_VALUE"""),"Gagal")</f>
        <v>Gagal</v>
      </c>
      <c r="G208" s="15" t="str">
        <f>IFERROR(__xludf.DUMMYFUNCTION("""COMPUTED_VALUE"""),"OT 3H2M")</f>
        <v>OT 3H2M</v>
      </c>
      <c r="H208" s="92"/>
      <c r="I208" s="17">
        <f>IFERROR(__xludf.DUMMYFUNCTION("""COMPUTED_VALUE"""),46083.0)</f>
        <v>46083</v>
      </c>
      <c r="J208" s="54">
        <f>IFERROR(__xludf.DUMMYFUNCTION("""COMPUTED_VALUE"""),1600000.0)</f>
        <v>1600000</v>
      </c>
      <c r="K208" s="19" t="str">
        <f>IFERROR(__xludf.DUMMYFUNCTION("""COMPUTED_VALUE"""),"belum ada balasan")</f>
        <v>belum ada balasan</v>
      </c>
      <c r="L208" s="76"/>
      <c r="M208" s="20"/>
      <c r="N208" s="20"/>
      <c r="O208" s="20"/>
      <c r="P208" s="20"/>
    </row>
    <row r="209">
      <c r="A209" s="110">
        <f>IFERROR(__xludf.DUMMYFUNCTION("""COMPUTED_VALUE"""),46105.0)</f>
        <v>46105</v>
      </c>
      <c r="B209" s="110" t="str">
        <f>IFERROR(__xludf.DUMMYFUNCTION("""COMPUTED_VALUE"""),"2603A086")</f>
        <v>2603A086</v>
      </c>
      <c r="C209" s="112" t="str">
        <f>IFERROR(__xludf.DUMMYFUNCTION("""COMPUTED_VALUE"""),"Maulana")</f>
        <v>Maulana</v>
      </c>
      <c r="D209" s="102" t="str">
        <f>IFERROR(__xludf.DUMMYFUNCTION("""COMPUTED_VALUE"""),"085159991579‬")</f>
        <v>085159991579‬</v>
      </c>
      <c r="E209" s="25" t="str">
        <f>IFERROR(__xludf.DUMMYFUNCTION("""COMPUTED_VALUE"""),"Website")</f>
        <v>Website</v>
      </c>
      <c r="F209" s="25" t="str">
        <f>IFERROR(__xludf.DUMMYFUNCTION("""COMPUTED_VALUE"""),"Gagal")</f>
        <v>Gagal</v>
      </c>
      <c r="G209" s="15" t="str">
        <f>IFERROR(__xludf.DUMMYFUNCTION("""COMPUTED_VALUE"""),"2H1M")</f>
        <v>2H1M</v>
      </c>
      <c r="H209" s="26"/>
      <c r="I209" s="27">
        <f>IFERROR(__xludf.DUMMYFUNCTION("""COMPUTED_VALUE"""),15.0)</f>
        <v>15</v>
      </c>
      <c r="J209" s="33">
        <f>IFERROR(__xludf.DUMMYFUNCTION("""COMPUTED_VALUE"""),1.125E7)</f>
        <v>11250000</v>
      </c>
      <c r="K209" s="36" t="str">
        <f>IFERROR(__xludf.DUMMYFUNCTION("""COMPUTED_VALUE"""),"tidak ada balasan")</f>
        <v>tidak ada balasan</v>
      </c>
      <c r="L209" s="124" t="str">
        <f>IFERROR(__xludf.DUMMYFUNCTION("""COMPUTED_VALUE"""),"https://docs.google.com/document/d/1q4M2dhYvM6hMcAIAESXQStHGp13E9wvTJvt2vC_5Pg0/edit?usp=sharing")</f>
        <v>https://docs.google.com/document/d/1q4M2dhYvM6hMcAIAESXQStHGp13E9wvTJvt2vC_5Pg0/edit?usp=sharing</v>
      </c>
      <c r="M209" s="20"/>
      <c r="N209" s="20"/>
      <c r="O209" s="20"/>
      <c r="P209" s="20"/>
    </row>
    <row r="210">
      <c r="A210" s="97">
        <f>IFERROR(__xludf.DUMMYFUNCTION("""COMPUTED_VALUE"""),46105.0)</f>
        <v>46105</v>
      </c>
      <c r="B210" s="97" t="str">
        <f>IFERROR(__xludf.DUMMYFUNCTION("""COMPUTED_VALUE"""),"2603A087")</f>
        <v>2603A087</v>
      </c>
      <c r="C210" s="76" t="str">
        <f>IFERROR(__xludf.DUMMYFUNCTION("""COMPUTED_VALUE"""),"Hasan")</f>
        <v>Hasan</v>
      </c>
      <c r="D210" s="99" t="str">
        <f>IFERROR(__xludf.DUMMYFUNCTION("""COMPUTED_VALUE"""),"081515607686")</f>
        <v>081515607686</v>
      </c>
      <c r="E210" s="25" t="str">
        <f>IFERROR(__xludf.DUMMYFUNCTION("""COMPUTED_VALUE"""),"Instagram")</f>
        <v>Instagram</v>
      </c>
      <c r="F210" s="25" t="str">
        <f>IFERROR(__xludf.DUMMYFUNCTION("""COMPUTED_VALUE"""),"Gagal")</f>
        <v>Gagal</v>
      </c>
      <c r="G210" s="15"/>
      <c r="H210" s="92"/>
      <c r="I210" s="80"/>
      <c r="J210" s="93"/>
      <c r="K210" s="19" t="str">
        <f>IFERROR(__xludf.DUMMYFUNCTION("""COMPUTED_VALUE"""),"hanya menyapa")</f>
        <v>hanya menyapa</v>
      </c>
      <c r="L210" s="19"/>
      <c r="M210" s="20"/>
      <c r="N210" s="20"/>
      <c r="O210" s="20"/>
      <c r="P210" s="20"/>
    </row>
    <row r="211">
      <c r="A211" s="110">
        <f>IFERROR(__xludf.DUMMYFUNCTION("""COMPUTED_VALUE"""),46106.0)</f>
        <v>46106</v>
      </c>
      <c r="B211" s="110" t="str">
        <f>IFERROR(__xludf.DUMMYFUNCTION("""COMPUTED_VALUE"""),"2603A088")</f>
        <v>2603A088</v>
      </c>
      <c r="C211" s="49" t="str">
        <f>IFERROR(__xludf.DUMMYFUNCTION("""COMPUTED_VALUE"""),"Ima")</f>
        <v>Ima</v>
      </c>
      <c r="D211" s="102" t="str">
        <f>IFERROR(__xludf.DUMMYFUNCTION("""COMPUTED_VALUE"""),"13654803212")</f>
        <v>13654803212</v>
      </c>
      <c r="E211" s="25" t="str">
        <f>IFERROR(__xludf.DUMMYFUNCTION("""COMPUTED_VALUE"""),"Instagram")</f>
        <v>Instagram</v>
      </c>
      <c r="F211" s="25" t="str">
        <f>IFERROR(__xludf.DUMMYFUNCTION("""COMPUTED_VALUE"""),"Gagal")</f>
        <v>Gagal</v>
      </c>
      <c r="G211" s="25" t="str">
        <f>IFERROR(__xludf.DUMMYFUNCTION("""COMPUTED_VALUE"""),"1D trip B")</f>
        <v>1D trip B</v>
      </c>
      <c r="H211" s="78"/>
      <c r="I211" s="89"/>
      <c r="J211" s="96"/>
      <c r="K211" s="36"/>
      <c r="L211" s="49"/>
      <c r="M211" s="20"/>
      <c r="N211" s="20"/>
      <c r="O211" s="20"/>
      <c r="P211" s="20"/>
    </row>
    <row r="212">
      <c r="A212" s="97">
        <f>IFERROR(__xludf.DUMMYFUNCTION("""COMPUTED_VALUE"""),46107.0)</f>
        <v>46107</v>
      </c>
      <c r="B212" s="97" t="str">
        <f>IFERROR(__xludf.DUMMYFUNCTION("""COMPUTED_VALUE"""),"2603A089")</f>
        <v>2603A089</v>
      </c>
      <c r="C212" s="76" t="str">
        <f>IFERROR(__xludf.DUMMYFUNCTION("""COMPUTED_VALUE"""),"Ky")</f>
        <v>Ky</v>
      </c>
      <c r="D212" s="99" t="str">
        <f>IFERROR(__xludf.DUMMYFUNCTION("""COMPUTED_VALUE"""),"08977155877")</f>
        <v>08977155877</v>
      </c>
      <c r="E212" s="25" t="str">
        <f>IFERROR(__xludf.DUMMYFUNCTION("""COMPUTED_VALUE"""),"Instagram")</f>
        <v>Instagram</v>
      </c>
      <c r="F212" s="25" t="str">
        <f>IFERROR(__xludf.DUMMYFUNCTION("""COMPUTED_VALUE"""),"Gagal")</f>
        <v>Gagal</v>
      </c>
      <c r="G212" s="15" t="str">
        <f>IFERROR(__xludf.DUMMYFUNCTION("""COMPUTED_VALUE"""),"1D trip ")</f>
        <v>1D trip </v>
      </c>
      <c r="H212" s="92">
        <f>IFERROR(__xludf.DUMMYFUNCTION("""COMPUTED_VALUE"""),46122.0)</f>
        <v>46122</v>
      </c>
      <c r="I212" s="80"/>
      <c r="J212" s="93"/>
      <c r="K212" s="19"/>
      <c r="L212" s="76"/>
      <c r="M212" s="20"/>
      <c r="N212" s="20"/>
      <c r="O212" s="20"/>
      <c r="P212" s="20"/>
    </row>
    <row r="213">
      <c r="A213" s="110">
        <f>IFERROR(__xludf.DUMMYFUNCTION("""COMPUTED_VALUE"""),46108.0)</f>
        <v>46108</v>
      </c>
      <c r="B213" s="110" t="str">
        <f>IFERROR(__xludf.DUMMYFUNCTION("""COMPUTED_VALUE"""),"2603A090")</f>
        <v>2603A090</v>
      </c>
      <c r="C213" s="49" t="str">
        <f>IFERROR(__xludf.DUMMYFUNCTION("""COMPUTED_VALUE"""),"Maria Fransisca")</f>
        <v>Maria Fransisca</v>
      </c>
      <c r="D213" s="102" t="str">
        <f>IFERROR(__xludf.DUMMYFUNCTION("""COMPUTED_VALUE"""),"085939380996")</f>
        <v>085939380996</v>
      </c>
      <c r="E213" s="25" t="str">
        <f>IFERROR(__xludf.DUMMYFUNCTION("""COMPUTED_VALUE"""),"Lainnya")</f>
        <v>Lainnya</v>
      </c>
      <c r="F213" s="25" t="str">
        <f>IFERROR(__xludf.DUMMYFUNCTION("""COMPUTED_VALUE"""),"Gagal")</f>
        <v>Gagal</v>
      </c>
      <c r="G213" s="15" t="str">
        <f>IFERROR(__xludf.DUMMYFUNCTION("""COMPUTED_VALUE"""),"OT Ijen, TN B")</f>
        <v>OT Ijen, TN B</v>
      </c>
      <c r="H213" s="26">
        <f>IFERROR(__xludf.DUMMYFUNCTION("""COMPUTED_VALUE"""),46142.0)</f>
        <v>46142</v>
      </c>
      <c r="I213" s="89">
        <f>IFERROR(__xludf.DUMMYFUNCTION("""COMPUTED_VALUE"""),2.0)</f>
        <v>2</v>
      </c>
      <c r="J213" s="33">
        <f>IFERROR(__xludf.DUMMYFUNCTION("""COMPUTED_VALUE"""),1960000.0)</f>
        <v>1960000</v>
      </c>
      <c r="K213" s="36" t="str">
        <f>IFERROR(__xludf.DUMMYFUNCTION("""COMPUTED_VALUE"""),"tidak jadi")</f>
        <v>tidak jadi</v>
      </c>
      <c r="L213" s="81" t="str">
        <f>IFERROR(__xludf.DUMMYFUNCTION("""COMPUTED_VALUE"""),"https://docs.google.com/document/d/1EVLEWy5B80D9RlbiQLsSHh9HrZoLwLyZJGF-K-4xPF8/edit?usp=sharing")</f>
        <v>https://docs.google.com/document/d/1EVLEWy5B80D9RlbiQLsSHh9HrZoLwLyZJGF-K-4xPF8/edit?usp=sharing</v>
      </c>
      <c r="M213" s="20"/>
      <c r="N213" s="20"/>
      <c r="O213" s="20"/>
      <c r="P213" s="20"/>
    </row>
    <row r="214">
      <c r="A214" s="97">
        <f>IFERROR(__xludf.DUMMYFUNCTION("""COMPUTED_VALUE"""),46108.0)</f>
        <v>46108</v>
      </c>
      <c r="B214" s="97" t="str">
        <f>IFERROR(__xludf.DUMMYFUNCTION("""COMPUTED_VALUE"""),"2603A091")</f>
        <v>2603A091</v>
      </c>
      <c r="C214" s="76" t="str">
        <f>IFERROR(__xludf.DUMMYFUNCTION("""COMPUTED_VALUE"""),"CC Jaqline")</f>
        <v>CC Jaqline</v>
      </c>
      <c r="D214" s="99" t="str">
        <f>IFERROR(__xludf.DUMMYFUNCTION("""COMPUTED_VALUE"""),"08113491029")</f>
        <v>08113491029</v>
      </c>
      <c r="E214" s="25" t="str">
        <f>IFERROR(__xludf.DUMMYFUNCTION("""COMPUTED_VALUE"""),"Website")</f>
        <v>Website</v>
      </c>
      <c r="F214" s="25" t="str">
        <f>IFERROR(__xludf.DUMMYFUNCTION("""COMPUTED_VALUE"""),"Gagal")</f>
        <v>Gagal</v>
      </c>
      <c r="G214" s="15" t="str">
        <f>IFERROR(__xludf.DUMMYFUNCTION("""COMPUTED_VALUE"""),"Private Trip 3H2M Custome")</f>
        <v>Private Trip 3H2M Custome</v>
      </c>
      <c r="H214" s="16"/>
      <c r="I214" s="17">
        <f>IFERROR(__xludf.DUMMYFUNCTION("""COMPUTED_VALUE"""),46115.0)</f>
        <v>46115</v>
      </c>
      <c r="J214" s="93">
        <f>IFERROR(__xludf.DUMMYFUNCTION("""COMPUTED_VALUE"""),5940000.0)</f>
        <v>5940000</v>
      </c>
      <c r="K214" s="19" t="str">
        <f>IFERROR(__xludf.DUMMYFUNCTION("""COMPUTED_VALUE"""),"gada balasan")</f>
        <v>gada balasan</v>
      </c>
      <c r="L214" s="88" t="str">
        <f>IFERROR(__xludf.DUMMYFUNCTION("""COMPUTED_VALUE"""),"https://docs.google.com/document/d/153Fp-8Qar5uCr7-Ed1uVKCbe0MJ84rnUE1lrkKsc2yk/edit?usp=sharing")</f>
        <v>https://docs.google.com/document/d/153Fp-8Qar5uCr7-Ed1uVKCbe0MJ84rnUE1lrkKsc2yk/edit?usp=sharing</v>
      </c>
      <c r="M214" s="20"/>
      <c r="N214" s="20"/>
      <c r="O214" s="20"/>
      <c r="P214" s="20"/>
    </row>
    <row r="215">
      <c r="A215" s="110">
        <f>IFERROR(__xludf.DUMMYFUNCTION("""COMPUTED_VALUE"""),46109.0)</f>
        <v>46109</v>
      </c>
      <c r="B215" s="110" t="str">
        <f>IFERROR(__xludf.DUMMYFUNCTION("""COMPUTED_VALUE"""),"2603A092")</f>
        <v>2603A092</v>
      </c>
      <c r="C215" s="49" t="str">
        <f>IFERROR(__xludf.DUMMYFUNCTION("""COMPUTED_VALUE"""),"Shafna")</f>
        <v>Shafna</v>
      </c>
      <c r="D215" s="102" t="str">
        <f>IFERROR(__xludf.DUMMYFUNCTION("""COMPUTED_VALUE"""),"085156081067")</f>
        <v>085156081067</v>
      </c>
      <c r="E215" s="25" t="str">
        <f>IFERROR(__xludf.DUMMYFUNCTION("""COMPUTED_VALUE"""),"Instagram")</f>
        <v>Instagram</v>
      </c>
      <c r="F215" s="25" t="str">
        <f>IFERROR(__xludf.DUMMYFUNCTION("""COMPUTED_VALUE"""),"Gagal")</f>
        <v>Gagal</v>
      </c>
      <c r="G215" s="15" t="str">
        <f>IFERROR(__xludf.DUMMYFUNCTION("""COMPUTED_VALUE"""),"3h2m custom")</f>
        <v>3h2m custom</v>
      </c>
      <c r="H215" s="78"/>
      <c r="I215" s="89">
        <f>IFERROR(__xludf.DUMMYFUNCTION("""COMPUTED_VALUE"""),2.0)</f>
        <v>2</v>
      </c>
      <c r="J215" s="96">
        <f>IFERROR(__xludf.DUMMYFUNCTION("""COMPUTED_VALUE"""),3250000.0)</f>
        <v>3250000</v>
      </c>
      <c r="K215" s="36" t="str">
        <f>IFERROR(__xludf.DUMMYFUNCTION("""COMPUTED_VALUE"""),"ada suatu hal")</f>
        <v>ada suatu hal</v>
      </c>
      <c r="L215" s="81" t="str">
        <f>IFERROR(__xludf.DUMMYFUNCTION("""COMPUTED_VALUE"""),"https://docs.google.com/document/d/15DUkcLQ98t1kI_XRvDXVyv1uxYRnuHTwaBqkGts8Xqo/edit?usp=sharing")</f>
        <v>https://docs.google.com/document/d/15DUkcLQ98t1kI_XRvDXVyv1uxYRnuHTwaBqkGts8Xqo/edit?usp=sharing</v>
      </c>
      <c r="M215" s="20"/>
      <c r="N215" s="20"/>
      <c r="O215" s="20"/>
      <c r="P215" s="20"/>
    </row>
    <row r="216">
      <c r="A216" s="97">
        <f>IFERROR(__xludf.DUMMYFUNCTION("""COMPUTED_VALUE"""),46109.0)</f>
        <v>46109</v>
      </c>
      <c r="B216" s="97" t="str">
        <f>IFERROR(__xludf.DUMMYFUNCTION("""COMPUTED_VALUE"""),"2603A093")</f>
        <v>2603A093</v>
      </c>
      <c r="C216" s="76" t="str">
        <f>IFERROR(__xludf.DUMMYFUNCTION("""COMPUTED_VALUE"""),"Dita")</f>
        <v>Dita</v>
      </c>
      <c r="D216" s="99" t="str">
        <f>IFERROR(__xludf.DUMMYFUNCTION("""COMPUTED_VALUE"""),"081225546717")</f>
        <v>081225546717</v>
      </c>
      <c r="E216" s="25" t="str">
        <f>IFERROR(__xludf.DUMMYFUNCTION("""COMPUTED_VALUE"""),"Instagram")</f>
        <v>Instagram</v>
      </c>
      <c r="F216" s="25" t="str">
        <f>IFERROR(__xludf.DUMMYFUNCTION("""COMPUTED_VALUE"""),"Gagal")</f>
        <v>Gagal</v>
      </c>
      <c r="G216" s="15"/>
      <c r="H216" s="92"/>
      <c r="I216" s="80"/>
      <c r="J216" s="93"/>
      <c r="K216" s="19" t="str">
        <f>IFERROR(__xludf.DUMMYFUNCTION("""COMPUTED_VALUE"""),"hanya menyapa")</f>
        <v>hanya menyapa</v>
      </c>
      <c r="L216" s="76"/>
      <c r="M216" s="20"/>
      <c r="N216" s="20"/>
      <c r="O216" s="20"/>
      <c r="P216" s="20"/>
    </row>
    <row r="217">
      <c r="A217" s="110">
        <f>IFERROR(__xludf.DUMMYFUNCTION("""COMPUTED_VALUE"""),46109.0)</f>
        <v>46109</v>
      </c>
      <c r="B217" s="110" t="str">
        <f>IFERROR(__xludf.DUMMYFUNCTION("""COMPUTED_VALUE"""),"2603A094")</f>
        <v>2603A094</v>
      </c>
      <c r="C217" s="49" t="str">
        <f>IFERROR(__xludf.DUMMYFUNCTION("""COMPUTED_VALUE"""),"Tuti Hernawati")</f>
        <v>Tuti Hernawati</v>
      </c>
      <c r="D217" s="102" t="str">
        <f>IFERROR(__xludf.DUMMYFUNCTION("""COMPUTED_VALUE"""),"08122006220")</f>
        <v>08122006220</v>
      </c>
      <c r="E217" s="25" t="str">
        <f>IFERROR(__xludf.DUMMYFUNCTION("""COMPUTED_VALUE"""),"Website")</f>
        <v>Website</v>
      </c>
      <c r="F217" s="25" t="str">
        <f>IFERROR(__xludf.DUMMYFUNCTION("""COMPUTED_VALUE"""),"Gagal")</f>
        <v>Gagal</v>
      </c>
      <c r="G217" s="25"/>
      <c r="H217" s="78"/>
      <c r="I217" s="89"/>
      <c r="J217" s="96"/>
      <c r="K217" s="36" t="str">
        <f>IFERROR(__xludf.DUMMYFUNCTION("""COMPUTED_VALUE"""),"hanya menyapa")</f>
        <v>hanya menyapa</v>
      </c>
      <c r="L217" s="49"/>
      <c r="M217" s="20"/>
      <c r="N217" s="20"/>
      <c r="O217" s="20"/>
      <c r="P217" s="20"/>
    </row>
    <row r="218">
      <c r="A218" s="97">
        <f>IFERROR(__xludf.DUMMYFUNCTION("""COMPUTED_VALUE"""),46109.0)</f>
        <v>46109</v>
      </c>
      <c r="B218" s="97" t="str">
        <f>IFERROR(__xludf.DUMMYFUNCTION("""COMPUTED_VALUE"""),"2603A095")</f>
        <v>2603A095</v>
      </c>
      <c r="C218" s="76" t="str">
        <f>IFERROR(__xludf.DUMMYFUNCTION("""COMPUTED_VALUE"""),"Afif")</f>
        <v>Afif</v>
      </c>
      <c r="D218" s="99" t="str">
        <f>IFERROR(__xludf.DUMMYFUNCTION("""COMPUTED_VALUE"""),"085138016373")</f>
        <v>085138016373</v>
      </c>
      <c r="E218" s="25" t="str">
        <f>IFERROR(__xludf.DUMMYFUNCTION("""COMPUTED_VALUE"""),"Website")</f>
        <v>Website</v>
      </c>
      <c r="F218" s="25" t="str">
        <f>IFERROR(__xludf.DUMMYFUNCTION("""COMPUTED_VALUE"""),"Gagal")</f>
        <v>Gagal</v>
      </c>
      <c r="G218" s="15" t="str">
        <f>IFERROR(__xludf.DUMMYFUNCTION("""COMPUTED_VALUE"""),"Privat Trip  2H1M Custome")</f>
        <v>Privat Trip  2H1M Custome</v>
      </c>
      <c r="H218" s="16"/>
      <c r="I218" s="17">
        <f>IFERROR(__xludf.DUMMYFUNCTION("""COMPUTED_VALUE"""),5.0)</f>
        <v>5</v>
      </c>
      <c r="J218" s="54">
        <f>IFERROR(__xludf.DUMMYFUNCTION("""COMPUTED_VALUE"""),1040000.0)</f>
        <v>1040000</v>
      </c>
      <c r="K218" s="46" t="str">
        <f>IFERROR(__xludf.DUMMYFUNCTION("""COMPUTED_VALUE"""),"belum deal sm istri")</f>
        <v>belum deal sm istri</v>
      </c>
      <c r="L218" s="76"/>
      <c r="M218" s="20"/>
      <c r="N218" s="20"/>
      <c r="O218" s="20"/>
      <c r="P218" s="20"/>
    </row>
    <row r="219">
      <c r="A219" s="110">
        <f>IFERROR(__xludf.DUMMYFUNCTION("""COMPUTED_VALUE"""),46110.0)</f>
        <v>46110</v>
      </c>
      <c r="B219" s="110" t="str">
        <f>IFERROR(__xludf.DUMMYFUNCTION("""COMPUTED_VALUE"""),"2603A096")</f>
        <v>2603A096</v>
      </c>
      <c r="C219" s="49" t="str">
        <f>IFERROR(__xludf.DUMMYFUNCTION("""COMPUTED_VALUE"""),"Lilou")</f>
        <v>Lilou</v>
      </c>
      <c r="D219" s="102" t="str">
        <f>IFERROR(__xludf.DUMMYFUNCTION("""COMPUTED_VALUE"""),"41774641655")</f>
        <v>41774641655</v>
      </c>
      <c r="E219" s="25" t="str">
        <f>IFERROR(__xludf.DUMMYFUNCTION("""COMPUTED_VALUE"""),"Instagram")</f>
        <v>Instagram</v>
      </c>
      <c r="F219" s="25" t="str">
        <f>IFERROR(__xludf.DUMMYFUNCTION("""COMPUTED_VALUE"""),"Closing")</f>
        <v>Closing</v>
      </c>
      <c r="G219" s="15" t="str">
        <f>IFERROR(__xludf.DUMMYFUNCTION("""COMPUTED_VALUE"""),"OT M T")</f>
        <v>OT M T</v>
      </c>
      <c r="H219" s="78">
        <f>IFERROR(__xludf.DUMMYFUNCTION("""COMPUTED_VALUE"""),46113.0)</f>
        <v>46113</v>
      </c>
      <c r="I219" s="89">
        <f>IFERROR(__xludf.DUMMYFUNCTION("""COMPUTED_VALUE"""),1.0)</f>
        <v>1</v>
      </c>
      <c r="J219" s="96">
        <f>IFERROR(__xludf.DUMMYFUNCTION("""COMPUTED_VALUE"""),755000.0)</f>
        <v>755000</v>
      </c>
      <c r="K219" s="36" t="str">
        <f>IFERROR(__xludf.DUMMYFUNCTION("""COMPUTED_VALUE"""),"orderr")</f>
        <v>orderr</v>
      </c>
      <c r="L219" s="49"/>
      <c r="M219" s="20"/>
      <c r="N219" s="20"/>
      <c r="O219" s="20"/>
      <c r="P219" s="20"/>
    </row>
    <row r="220">
      <c r="A220" s="97">
        <f>IFERROR(__xludf.DUMMYFUNCTION("""COMPUTED_VALUE"""),46111.0)</f>
        <v>46111</v>
      </c>
      <c r="B220" s="97" t="str">
        <f>IFERROR(__xludf.DUMMYFUNCTION("""COMPUTED_VALUE"""),"2603A097")</f>
        <v>2603A097</v>
      </c>
      <c r="C220" s="76" t="str">
        <f>IFERROR(__xludf.DUMMYFUNCTION("""COMPUTED_VALUE"""),"Rere")</f>
        <v>Rere</v>
      </c>
      <c r="D220" s="99" t="str">
        <f>IFERROR(__xludf.DUMMYFUNCTION("""COMPUTED_VALUE"""),"085743314475")</f>
        <v>085743314475</v>
      </c>
      <c r="E220" s="25" t="str">
        <f>IFERROR(__xludf.DUMMYFUNCTION("""COMPUTED_VALUE"""),"Instagram")</f>
        <v>Instagram</v>
      </c>
      <c r="F220" s="25" t="str">
        <f>IFERROR(__xludf.DUMMYFUNCTION("""COMPUTED_VALUE"""),"Closing")</f>
        <v>Closing</v>
      </c>
      <c r="G220" s="15" t="str">
        <f>IFERROR(__xludf.DUMMYFUNCTION("""COMPUTED_VALUE"""),"3H2M Opsi A")</f>
        <v>3H2M Opsi A</v>
      </c>
      <c r="H220" s="92"/>
      <c r="I220" s="17"/>
      <c r="J220" s="93">
        <f>IFERROR(__xludf.DUMMYFUNCTION("""COMPUTED_VALUE"""),2.11E7)</f>
        <v>21100000</v>
      </c>
      <c r="K220" s="19" t="str">
        <f>IFERROR(__xludf.DUMMYFUNCTION("""COMPUTED_VALUE"""),"buat penawaran")</f>
        <v>buat penawaran</v>
      </c>
      <c r="L220" s="88" t="str">
        <f>IFERROR(__xludf.DUMMYFUNCTION("""COMPUTED_VALUE"""),"https://docs.google.com/document/d/16w-XzVuUJ5WrsllKfo52wdl3H1Da-u9M4Ky7Y3fd-tQ/edit?usp=sharing")</f>
        <v>https://docs.google.com/document/d/16w-XzVuUJ5WrsllKfo52wdl3H1Da-u9M4Ky7Y3fd-tQ/edit?usp=sharing</v>
      </c>
      <c r="M220" s="20"/>
      <c r="N220" s="20"/>
      <c r="O220" s="20"/>
      <c r="P220" s="20"/>
    </row>
    <row r="221">
      <c r="A221" s="110">
        <f>IFERROR(__xludf.DUMMYFUNCTION("""COMPUTED_VALUE"""),46111.0)</f>
        <v>46111</v>
      </c>
      <c r="B221" s="110" t="str">
        <f>IFERROR(__xludf.DUMMYFUNCTION("""COMPUTED_VALUE"""),"2603A098")</f>
        <v>2603A098</v>
      </c>
      <c r="C221" s="49" t="str">
        <f>IFERROR(__xludf.DUMMYFUNCTION("""COMPUTED_VALUE"""),"082322648604")</f>
        <v>082322648604</v>
      </c>
      <c r="D221" s="102" t="str">
        <f>IFERROR(__xludf.DUMMYFUNCTION("""COMPUTED_VALUE"""),"082322648604")</f>
        <v>082322648604</v>
      </c>
      <c r="E221" s="25" t="str">
        <f>IFERROR(__xludf.DUMMYFUNCTION("""COMPUTED_VALUE"""),"Instagram")</f>
        <v>Instagram</v>
      </c>
      <c r="F221" s="25" t="str">
        <f>IFERROR(__xludf.DUMMYFUNCTION("""COMPUTED_VALUE"""),"Gagal")</f>
        <v>Gagal</v>
      </c>
      <c r="G221" s="25" t="str">
        <f>IFERROR(__xludf.DUMMYFUNCTION("""COMPUTED_VALUE"""),"trip alas purwo")</f>
        <v>trip alas purwo</v>
      </c>
      <c r="H221" s="26">
        <f>IFERROR(__xludf.DUMMYFUNCTION("""COMPUTED_VALUE"""),46131.0)</f>
        <v>46131</v>
      </c>
      <c r="I221" s="89"/>
      <c r="J221" s="33"/>
      <c r="K221" s="36" t="str">
        <f>IFERROR(__xludf.DUMMYFUNCTION("""COMPUTED_VALUE"""),"gada balasan")</f>
        <v>gada balasan</v>
      </c>
      <c r="L221" s="81" t="str">
        <f>IFERROR(__xludf.DUMMYFUNCTION("""COMPUTED_VALUE"""),"https://docs.google.com/document/d/1CohgXFd0Lxxy1VWhOA-mS6aRqATMKa5JsyG0kTwBdOw/edit?usp=sharing")</f>
        <v>https://docs.google.com/document/d/1CohgXFd0Lxxy1VWhOA-mS6aRqATMKa5JsyG0kTwBdOw/edit?usp=sharing</v>
      </c>
      <c r="M221" s="20"/>
      <c r="N221" s="20"/>
      <c r="O221" s="20"/>
      <c r="P221" s="20"/>
    </row>
    <row r="222">
      <c r="A222" s="97">
        <f>IFERROR(__xludf.DUMMYFUNCTION("""COMPUTED_VALUE"""),46112.0)</f>
        <v>46112</v>
      </c>
      <c r="B222" s="97" t="str">
        <f>IFERROR(__xludf.DUMMYFUNCTION("""COMPUTED_VALUE"""),"2603A099")</f>
        <v>2603A099</v>
      </c>
      <c r="C222" s="76" t="str">
        <f>IFERROR(__xludf.DUMMYFUNCTION("""COMPUTED_VALUE"""),"Aulia")</f>
        <v>Aulia</v>
      </c>
      <c r="D222" s="99" t="str">
        <f>IFERROR(__xludf.DUMMYFUNCTION("""COMPUTED_VALUE"""),"081284714903‬")</f>
        <v>081284714903‬</v>
      </c>
      <c r="E222" s="25" t="str">
        <f>IFERROR(__xludf.DUMMYFUNCTION("""COMPUTED_VALUE"""),"Instagram")</f>
        <v>Instagram</v>
      </c>
      <c r="F222" s="25" t="str">
        <f>IFERROR(__xludf.DUMMYFUNCTION("""COMPUTED_VALUE"""),"Gagal")</f>
        <v>Gagal</v>
      </c>
      <c r="G222" s="25" t="str">
        <f>IFERROR(__xludf.DUMMYFUNCTION("""COMPUTED_VALUE"""),"2H1M Custom")</f>
        <v>2H1M Custom</v>
      </c>
      <c r="H222" s="16"/>
      <c r="I222" s="89">
        <f>IFERROR(__xludf.DUMMYFUNCTION("""COMPUTED_VALUE"""),2.0)</f>
        <v>2</v>
      </c>
      <c r="J222" s="93">
        <f>IFERROR(__xludf.DUMMYFUNCTION("""COMPUTED_VALUE"""),3300000.0)</f>
        <v>3300000</v>
      </c>
      <c r="K222" s="19" t="str">
        <f>IFERROR(__xludf.DUMMYFUNCTION("""COMPUTED_VALUE"""),"gada balasan")</f>
        <v>gada balasan</v>
      </c>
      <c r="L222" s="88" t="str">
        <f>IFERROR(__xludf.DUMMYFUNCTION("""COMPUTED_VALUE"""),"https://docs.google.com/document/d/1S1m7WvNaCTEXfSmrMS1GGM94NKeF1GMb0NYgT4AcV_Q/edit?usp=sharing")</f>
        <v>https://docs.google.com/document/d/1S1m7WvNaCTEXfSmrMS1GGM94NKeF1GMb0NYgT4AcV_Q/edit?usp=sharing</v>
      </c>
      <c r="M222" s="20"/>
      <c r="N222" s="20"/>
      <c r="O222" s="20"/>
      <c r="P222" s="20"/>
    </row>
    <row r="223">
      <c r="A223" s="110">
        <f>IFERROR(__xludf.DUMMYFUNCTION("""COMPUTED_VALUE"""),46112.0)</f>
        <v>46112</v>
      </c>
      <c r="B223" s="110" t="str">
        <f>IFERROR(__xludf.DUMMYFUNCTION("""COMPUTED_VALUE"""),"2603A100")</f>
        <v>2603A100</v>
      </c>
      <c r="C223" s="49" t="str">
        <f>IFERROR(__xludf.DUMMYFUNCTION("""COMPUTED_VALUE"""),"Johannes andri")</f>
        <v>Johannes andri</v>
      </c>
      <c r="D223" s="102" t="str">
        <f>IFERROR(__xludf.DUMMYFUNCTION("""COMPUTED_VALUE"""),"081585091369")</f>
        <v>081585091369</v>
      </c>
      <c r="E223" s="25" t="str">
        <f>IFERROR(__xludf.DUMMYFUNCTION("""COMPUTED_VALUE"""),"Instagram")</f>
        <v>Instagram</v>
      </c>
      <c r="F223" s="25" t="str">
        <f>IFERROR(__xludf.DUMMYFUNCTION("""COMPUTED_VALUE"""),"Qualified")</f>
        <v>Qualified</v>
      </c>
      <c r="G223" s="15" t="str">
        <f>IFERROR(__xludf.DUMMYFUNCTION("""COMPUTED_VALUE"""),"2h1m custom")</f>
        <v>2h1m custom</v>
      </c>
      <c r="H223" s="26"/>
      <c r="I223" s="27">
        <f>IFERROR(__xludf.DUMMYFUNCTION("""COMPUTED_VALUE"""),5.0)</f>
        <v>5</v>
      </c>
      <c r="J223" s="33">
        <f>IFERROR(__xludf.DUMMYFUNCTION("""COMPUTED_VALUE"""),4500000.0)</f>
        <v>4500000</v>
      </c>
      <c r="K223" s="36" t="str">
        <f>IFERROR(__xludf.DUMMYFUNCTION("""COMPUTED_VALUE"""),"fu 26 juli")</f>
        <v>fu 26 juli</v>
      </c>
      <c r="L223" s="81" t="str">
        <f>IFERROR(__xludf.DUMMYFUNCTION("""COMPUTED_VALUE"""),"https://docs.google.com/document/d/1uAH3ykAbKawbzM_wfwn9AYQ_fp4j1HibtJPXpJZtjOU/edit?usp=sharing")</f>
        <v>https://docs.google.com/document/d/1uAH3ykAbKawbzM_wfwn9AYQ_fp4j1HibtJPXpJZtjOU/edit?usp=sharing</v>
      </c>
      <c r="M223" s="20"/>
      <c r="N223" s="20"/>
      <c r="O223" s="20"/>
      <c r="P223" s="20"/>
    </row>
    <row r="224">
      <c r="A224" s="97">
        <f>IFERROR(__xludf.DUMMYFUNCTION("""COMPUTED_VALUE"""),46112.0)</f>
        <v>46112</v>
      </c>
      <c r="B224" s="97" t="str">
        <f>IFERROR(__xludf.DUMMYFUNCTION("""COMPUTED_VALUE"""),"2603A101")</f>
        <v>2603A101</v>
      </c>
      <c r="C224" s="76" t="str">
        <f>IFERROR(__xludf.DUMMYFUNCTION("""COMPUTED_VALUE"""),"ervina")</f>
        <v>ervina</v>
      </c>
      <c r="D224" s="99" t="str">
        <f>IFERROR(__xludf.DUMMYFUNCTION("""COMPUTED_VALUE"""),"081333473764")</f>
        <v>081333473764</v>
      </c>
      <c r="E224" s="25" t="str">
        <f>IFERROR(__xludf.DUMMYFUNCTION("""COMPUTED_VALUE"""),"Instagram")</f>
        <v>Instagram</v>
      </c>
      <c r="F224" s="25" t="str">
        <f>IFERROR(__xludf.DUMMYFUNCTION("""COMPUTED_VALUE"""),"Gagal")</f>
        <v>Gagal</v>
      </c>
      <c r="G224" s="25" t="str">
        <f>IFERROR(__xludf.DUMMYFUNCTION("""COMPUTED_VALUE"""),"1d ijen baluran")</f>
        <v>1d ijen baluran</v>
      </c>
      <c r="H224" s="16"/>
      <c r="I224" s="17">
        <f>IFERROR(__xludf.DUMMYFUNCTION("""COMPUTED_VALUE"""),3.0)</f>
        <v>3</v>
      </c>
      <c r="J224" s="54">
        <f>IFERROR(__xludf.DUMMYFUNCTION("""COMPUTED_VALUE"""),2076000.0)</f>
        <v>2076000</v>
      </c>
      <c r="K224" s="19" t="str">
        <f>IFERROR(__xludf.DUMMYFUNCTION("""COMPUTED_VALUE"""),"ga dpt cuti")</f>
        <v>ga dpt cuti</v>
      </c>
      <c r="L224" s="88" t="str">
        <f>IFERROR(__xludf.DUMMYFUNCTION("""COMPUTED_VALUE"""),"https://docs.google.com/document/d/1Ges2XLDhWxFgWo2JZPQyhTEYs5vMQchJ2_HDLvWsZBQ/edit?usp=sharing")</f>
        <v>https://docs.google.com/document/d/1Ges2XLDhWxFgWo2JZPQyhTEYs5vMQchJ2_HDLvWsZBQ/edit?usp=sharing</v>
      </c>
      <c r="M224" s="20"/>
      <c r="N224" s="20"/>
      <c r="O224" s="20"/>
      <c r="P224" s="20"/>
    </row>
    <row r="225">
      <c r="A225" s="110">
        <f>IFERROR(__xludf.DUMMYFUNCTION("""COMPUTED_VALUE"""),46112.0)</f>
        <v>46112</v>
      </c>
      <c r="B225" s="110" t="str">
        <f>IFERROR(__xludf.DUMMYFUNCTION("""COMPUTED_VALUE"""),"2603A102")</f>
        <v>2603A102</v>
      </c>
      <c r="C225" s="49" t="str">
        <f>IFERROR(__xludf.DUMMYFUNCTION("""COMPUTED_VALUE"""),"Martha")</f>
        <v>Martha</v>
      </c>
      <c r="D225" s="102" t="str">
        <f>IFERROR(__xludf.DUMMYFUNCTION("""COMPUTED_VALUE"""),"087853537626")</f>
        <v>087853537626</v>
      </c>
      <c r="E225" s="25" t="str">
        <f>IFERROR(__xludf.DUMMYFUNCTION("""COMPUTED_VALUE"""),"Website")</f>
        <v>Website</v>
      </c>
      <c r="F225" s="25" t="str">
        <f>IFERROR(__xludf.DUMMYFUNCTION("""COMPUTED_VALUE"""),"Gagal")</f>
        <v>Gagal</v>
      </c>
      <c r="G225" s="25" t="str">
        <f>IFERROR(__xludf.DUMMYFUNCTION("""COMPUTED_VALUE"""),"OT 1D")</f>
        <v>OT 1D</v>
      </c>
      <c r="H225" s="26">
        <f>IFERROR(__xludf.DUMMYFUNCTION("""COMPUTED_VALUE"""),46114.0)</f>
        <v>46114</v>
      </c>
      <c r="I225" s="27">
        <f>IFERROR(__xludf.DUMMYFUNCTION("""COMPUTED_VALUE"""),2.0)</f>
        <v>2</v>
      </c>
      <c r="J225" s="33">
        <f>IFERROR(__xludf.DUMMYFUNCTION("""COMPUTED_VALUE"""),1100000.0)</f>
        <v>1100000</v>
      </c>
      <c r="K225" s="36" t="str">
        <f>IFERROR(__xludf.DUMMYFUNCTION("""COMPUTED_VALUE"""),"tidak ada jawaban")</f>
        <v>tidak ada jawaban</v>
      </c>
      <c r="L225" s="49"/>
      <c r="M225" s="20"/>
      <c r="N225" s="20"/>
      <c r="O225" s="20"/>
      <c r="P225" s="20"/>
    </row>
    <row r="226">
      <c r="A226" s="97">
        <f>IFERROR(__xludf.DUMMYFUNCTION("""COMPUTED_VALUE"""),46112.0)</f>
        <v>46112</v>
      </c>
      <c r="B226" s="97" t="str">
        <f>IFERROR(__xludf.DUMMYFUNCTION("""COMPUTED_VALUE"""),"2603A103")</f>
        <v>2603A103</v>
      </c>
      <c r="C226" s="76" t="str">
        <f>IFERROR(__xludf.DUMMYFUNCTION("""COMPUTED_VALUE"""),"Vella")</f>
        <v>Vella</v>
      </c>
      <c r="D226" s="99" t="str">
        <f>IFERROR(__xludf.DUMMYFUNCTION("""COMPUTED_VALUE"""),"085156904985")</f>
        <v>085156904985</v>
      </c>
      <c r="E226" s="25" t="str">
        <f>IFERROR(__xludf.DUMMYFUNCTION("""COMPUTED_VALUE"""),"Instagram")</f>
        <v>Instagram</v>
      </c>
      <c r="F226" s="25" t="str">
        <f>IFERROR(__xludf.DUMMYFUNCTION("""COMPUTED_VALUE"""),"Gagal")</f>
        <v>Gagal</v>
      </c>
      <c r="G226" s="15" t="str">
        <f>IFERROR(__xludf.DUMMYFUNCTION("""COMPUTED_VALUE"""),"2H1M")</f>
        <v>2H1M</v>
      </c>
      <c r="H226" s="92"/>
      <c r="I226" s="17">
        <f>IFERROR(__xludf.DUMMYFUNCTION("""COMPUTED_VALUE"""),4.0)</f>
        <v>4</v>
      </c>
      <c r="J226" s="93"/>
      <c r="K226" s="19" t="str">
        <f>IFERROR(__xludf.DUMMYFUNCTION("""COMPUTED_VALUE"""),"gada kelanjutan")</f>
        <v>gada kelanjutan</v>
      </c>
      <c r="L226" s="88" t="str">
        <f>IFERROR(__xludf.DUMMYFUNCTION("""COMPUTED_VALUE"""),"https://docs.google.com/document/d/17h_yC1p6udV3A4QyTH4zrnxl-rb-c4BRoDeHYr7lvoE/edit?usp=sharing")</f>
        <v>https://docs.google.com/document/d/17h_yC1p6udV3A4QyTH4zrnxl-rb-c4BRoDeHYr7lvoE/edit?usp=sharing</v>
      </c>
      <c r="M226" s="20"/>
      <c r="N226" s="20"/>
      <c r="O226" s="20"/>
      <c r="P226" s="20"/>
    </row>
    <row r="227">
      <c r="A227" s="110">
        <f>IFERROR(__xludf.DUMMYFUNCTION("""COMPUTED_VALUE"""),46113.0)</f>
        <v>46113</v>
      </c>
      <c r="B227" s="110" t="str">
        <f>IFERROR(__xludf.DUMMYFUNCTION("""COMPUTED_VALUE"""),"2604A001")</f>
        <v>2604A001</v>
      </c>
      <c r="C227" s="49" t="str">
        <f>IFERROR(__xludf.DUMMYFUNCTION("""COMPUTED_VALUE"""),"Silvi")</f>
        <v>Silvi</v>
      </c>
      <c r="D227" s="102" t="str">
        <f>IFERROR(__xludf.DUMMYFUNCTION("""COMPUTED_VALUE"""),"085263434303")</f>
        <v>085263434303</v>
      </c>
      <c r="E227" s="25" t="str">
        <f>IFERROR(__xludf.DUMMYFUNCTION("""COMPUTED_VALUE"""),"Instagram")</f>
        <v>Instagram</v>
      </c>
      <c r="F227" s="25" t="str">
        <f>IFERROR(__xludf.DUMMYFUNCTION("""COMPUTED_VALUE"""),"Gagal")</f>
        <v>Gagal</v>
      </c>
      <c r="G227" s="25" t="str">
        <f>IFERROR(__xludf.DUMMYFUNCTION("""COMPUTED_VALUE"""),"trip custom")</f>
        <v>trip custom</v>
      </c>
      <c r="H227" s="26"/>
      <c r="I227" s="27">
        <f>IFERROR(__xludf.DUMMYFUNCTION("""COMPUTED_VALUE"""),2.0)</f>
        <v>2</v>
      </c>
      <c r="J227" s="33"/>
      <c r="K227" s="36" t="str">
        <f>IFERROR(__xludf.DUMMYFUNCTION("""COMPUTED_VALUE"""),"lewat tanggal. sdh fu tdk ada jawaban")</f>
        <v>lewat tanggal. sdh fu tdk ada jawaban</v>
      </c>
      <c r="L227" s="81" t="str">
        <f>IFERROR(__xludf.DUMMYFUNCTION("""COMPUTED_VALUE"""),"https://docs.google.com/document/d/1M-epWE9NwckP-O_bzNEcPPpRskObNZ_4zLtxEsVRGgI/edit?usp=sharing")</f>
        <v>https://docs.google.com/document/d/1M-epWE9NwckP-O_bzNEcPPpRskObNZ_4zLtxEsVRGgI/edit?usp=sharing</v>
      </c>
      <c r="M227" s="20"/>
      <c r="N227" s="20"/>
      <c r="O227" s="20"/>
      <c r="P227" s="20"/>
    </row>
    <row r="228">
      <c r="A228" s="97">
        <f>IFERROR(__xludf.DUMMYFUNCTION("""COMPUTED_VALUE"""),46113.0)</f>
        <v>46113</v>
      </c>
      <c r="B228" s="97" t="str">
        <f>IFERROR(__xludf.DUMMYFUNCTION("""COMPUTED_VALUE"""),"2604A002")</f>
        <v>2604A002</v>
      </c>
      <c r="C228" s="76" t="str">
        <f>IFERROR(__xludf.DUMMYFUNCTION("""COMPUTED_VALUE"""),"Hilda")</f>
        <v>Hilda</v>
      </c>
      <c r="D228" s="99" t="str">
        <f>IFERROR(__xludf.DUMMYFUNCTION("""COMPUTED_VALUE"""),"085892683767")</f>
        <v>085892683767</v>
      </c>
      <c r="E228" s="25" t="str">
        <f>IFERROR(__xludf.DUMMYFUNCTION("""COMPUTED_VALUE"""),"Instagram")</f>
        <v>Instagram</v>
      </c>
      <c r="F228" s="25" t="str">
        <f>IFERROR(__xludf.DUMMYFUNCTION("""COMPUTED_VALUE"""),"Gagal")</f>
        <v>Gagal</v>
      </c>
      <c r="G228" s="25" t="str">
        <f>IFERROR(__xludf.DUMMYFUNCTION("""COMPUTED_VALUE"""),"2h1m opsi B")</f>
        <v>2h1m opsi B</v>
      </c>
      <c r="H228" s="92"/>
      <c r="I228" s="80">
        <f>IFERROR(__xludf.DUMMYFUNCTION("""COMPUTED_VALUE"""),3.0)</f>
        <v>3</v>
      </c>
      <c r="J228" s="93"/>
      <c r="K228" s="19" t="str">
        <f>IFERROR(__xludf.DUMMYFUNCTION("""COMPUTED_VALUE"""),"gada balasan")</f>
        <v>gada balasan</v>
      </c>
      <c r="L228" s="88" t="str">
        <f>IFERROR(__xludf.DUMMYFUNCTION("""COMPUTED_VALUE"""),"https://docs.google.com/document/d/1r888GU9xm_6FpclHpSZrb8KBLgxCNiKeE-WnHijDmUc/edit?usp=sharing")</f>
        <v>https://docs.google.com/document/d/1r888GU9xm_6FpclHpSZrb8KBLgxCNiKeE-WnHijDmUc/edit?usp=sharing</v>
      </c>
      <c r="M228" s="20"/>
      <c r="N228" s="20"/>
      <c r="O228" s="20"/>
      <c r="P228" s="20"/>
    </row>
    <row r="229">
      <c r="A229" s="110">
        <f>IFERROR(__xludf.DUMMYFUNCTION("""COMPUTED_VALUE"""),46113.0)</f>
        <v>46113</v>
      </c>
      <c r="B229" s="110" t="str">
        <f>IFERROR(__xludf.DUMMYFUNCTION("""COMPUTED_VALUE"""),"2604A003")</f>
        <v>2604A003</v>
      </c>
      <c r="C229" s="49" t="str">
        <f>IFERROR(__xludf.DUMMYFUNCTION("""COMPUTED_VALUE"""),"Ridha Yunita")</f>
        <v>Ridha Yunita</v>
      </c>
      <c r="D229" s="102" t="str">
        <f>IFERROR(__xludf.DUMMYFUNCTION("""COMPUTED_VALUE"""),"085648223685")</f>
        <v>085648223685</v>
      </c>
      <c r="E229" s="25" t="str">
        <f>IFERROR(__xludf.DUMMYFUNCTION("""COMPUTED_VALUE"""),"Website")</f>
        <v>Website</v>
      </c>
      <c r="F229" s="25" t="str">
        <f>IFERROR(__xludf.DUMMYFUNCTION("""COMPUTED_VALUE"""),"Gagal")</f>
        <v>Gagal</v>
      </c>
      <c r="G229" s="25" t="str">
        <f>IFERROR(__xludf.DUMMYFUNCTION("""COMPUTED_VALUE"""),"OT 1D D, PM, teluk ijo")</f>
        <v>OT 1D D, PM, teluk ijo</v>
      </c>
      <c r="H229" s="78"/>
      <c r="I229" s="27">
        <f>IFERROR(__xludf.DUMMYFUNCTION("""COMPUTED_VALUE"""),3.0)</f>
        <v>3</v>
      </c>
      <c r="J229" s="33"/>
      <c r="K229" s="36" t="str">
        <f>IFERROR(__xludf.DUMMYFUNCTION("""COMPUTED_VALUE"""),"cancel karna ada suatu hal")</f>
        <v>cancel karna ada suatu hal</v>
      </c>
      <c r="L229" s="81" t="str">
        <f>IFERROR(__xludf.DUMMYFUNCTION("""COMPUTED_VALUE"""),"https://docs.google.com/document/d/1UgR5I4bxdAxliR5vM38p6oPIveJpD6uf96LrUzjePsM/edit?usp=sharing")</f>
        <v>https://docs.google.com/document/d/1UgR5I4bxdAxliR5vM38p6oPIveJpD6uf96LrUzjePsM/edit?usp=sharing</v>
      </c>
      <c r="M229" s="20"/>
      <c r="N229" s="20"/>
      <c r="O229" s="20"/>
      <c r="P229" s="20"/>
    </row>
    <row r="230">
      <c r="A230" s="97">
        <f>IFERROR(__xludf.DUMMYFUNCTION("""COMPUTED_VALUE"""),46113.0)</f>
        <v>46113</v>
      </c>
      <c r="B230" s="97" t="str">
        <f>IFERROR(__xludf.DUMMYFUNCTION("""COMPUTED_VALUE"""),"2604A004")</f>
        <v>2604A004</v>
      </c>
      <c r="C230" s="76" t="str">
        <f>IFERROR(__xludf.DUMMYFUNCTION("""COMPUTED_VALUE"""),"Natasya Lavebellita")</f>
        <v>Natasya Lavebellita</v>
      </c>
      <c r="D230" s="99" t="str">
        <f>IFERROR(__xludf.DUMMYFUNCTION("""COMPUTED_VALUE"""),"085649074001")</f>
        <v>085649074001</v>
      </c>
      <c r="E230" s="25" t="str">
        <f>IFERROR(__xludf.DUMMYFUNCTION("""COMPUTED_VALUE"""),"Website")</f>
        <v>Website</v>
      </c>
      <c r="F230" s="25" t="str">
        <f>IFERROR(__xludf.DUMMYFUNCTION("""COMPUTED_VALUE"""),"Gagal")</f>
        <v>Gagal</v>
      </c>
      <c r="G230" s="15" t="str">
        <f>IFERROR(__xludf.DUMMYFUNCTION("""COMPUTED_VALUE"""),"1D B, D")</f>
        <v>1D B, D</v>
      </c>
      <c r="H230" s="92">
        <f>IFERROR(__xludf.DUMMYFUNCTION("""COMPUTED_VALUE"""),46123.0)</f>
        <v>46123</v>
      </c>
      <c r="I230" s="17"/>
      <c r="J230" s="93"/>
      <c r="K230" s="19" t="str">
        <f>IFERROR(__xludf.DUMMYFUNCTION("""COMPUTED_VALUE"""),"tidak ada balasan")</f>
        <v>tidak ada balasan</v>
      </c>
      <c r="L230" s="88" t="str">
        <f>IFERROR(__xludf.DUMMYFUNCTION("""COMPUTED_VALUE"""),"https://docs.google.com/document/d/1GCdEcN1x_mYBmrSC698dlrJAyCkuoAX8l1S9Ng8bSHU/edit?usp=sharing")</f>
        <v>https://docs.google.com/document/d/1GCdEcN1x_mYBmrSC698dlrJAyCkuoAX8l1S9Ng8bSHU/edit?usp=sharing</v>
      </c>
      <c r="M230" s="20"/>
      <c r="N230" s="20"/>
      <c r="O230" s="20"/>
      <c r="P230" s="20"/>
    </row>
    <row r="231">
      <c r="A231" s="110">
        <f>IFERROR(__xludf.DUMMYFUNCTION("""COMPUTED_VALUE"""),46113.0)</f>
        <v>46113</v>
      </c>
      <c r="B231" s="110" t="str">
        <f>IFERROR(__xludf.DUMMYFUNCTION("""COMPUTED_VALUE"""),"2604A005")</f>
        <v>2604A005</v>
      </c>
      <c r="C231" s="49" t="str">
        <f>IFERROR(__xludf.DUMMYFUNCTION("""COMPUTED_VALUE"""),"Maulina Sefi")</f>
        <v>Maulina Sefi</v>
      </c>
      <c r="D231" s="102" t="str">
        <f>IFERROR(__xludf.DUMMYFUNCTION("""COMPUTED_VALUE"""),"085730578147")</f>
        <v>085730578147</v>
      </c>
      <c r="E231" s="25" t="str">
        <f>IFERROR(__xludf.DUMMYFUNCTION("""COMPUTED_VALUE"""),"Instagram")</f>
        <v>Instagram</v>
      </c>
      <c r="F231" s="25" t="str">
        <f>IFERROR(__xludf.DUMMYFUNCTION("""COMPUTED_VALUE"""),"Gagal")</f>
        <v>Gagal</v>
      </c>
      <c r="G231" s="15" t="str">
        <f>IFERROR(__xludf.DUMMYFUNCTION("""COMPUTED_VALUE"""),"OT M, T")</f>
        <v>OT M, T</v>
      </c>
      <c r="H231" s="26">
        <f>IFERROR(__xludf.DUMMYFUNCTION("""COMPUTED_VALUE"""),46117.0)</f>
        <v>46117</v>
      </c>
      <c r="I231" s="27">
        <f>IFERROR(__xludf.DUMMYFUNCTION("""COMPUTED_VALUE"""),2.0)</f>
        <v>2</v>
      </c>
      <c r="J231" s="33">
        <f>IFERROR(__xludf.DUMMYFUNCTION("""COMPUTED_VALUE"""),295000.0)</f>
        <v>295000</v>
      </c>
      <c r="K231" s="36" t="str">
        <f>IFERROR(__xludf.DUMMYFUNCTION("""COMPUTED_VALUE"""),"tidak jadi")</f>
        <v>tidak jadi</v>
      </c>
      <c r="L231" s="49"/>
      <c r="M231" s="20"/>
      <c r="N231" s="20"/>
      <c r="O231" s="20"/>
      <c r="P231" s="20"/>
    </row>
    <row r="232">
      <c r="A232" s="97">
        <f>IFERROR(__xludf.DUMMYFUNCTION("""COMPUTED_VALUE"""),46114.0)</f>
        <v>46114</v>
      </c>
      <c r="B232" s="97" t="str">
        <f>IFERROR(__xludf.DUMMYFUNCTION("""COMPUTED_VALUE"""),"2604A006")</f>
        <v>2604A006</v>
      </c>
      <c r="C232" s="76" t="str">
        <f>IFERROR(__xludf.DUMMYFUNCTION("""COMPUTED_VALUE"""),"Bila")</f>
        <v>Bila</v>
      </c>
      <c r="D232" s="99" t="str">
        <f>IFERROR(__xludf.DUMMYFUNCTION("""COMPUTED_VALUE"""),"081223853354")</f>
        <v>081223853354</v>
      </c>
      <c r="E232" s="25" t="str">
        <f>IFERROR(__xludf.DUMMYFUNCTION("""COMPUTED_VALUE"""),"Instagram")</f>
        <v>Instagram</v>
      </c>
      <c r="F232" s="25" t="str">
        <f>IFERROR(__xludf.DUMMYFUNCTION("""COMPUTED_VALUE"""),"Gagal")</f>
        <v>Gagal</v>
      </c>
      <c r="G232" s="15" t="str">
        <f>IFERROR(__xludf.DUMMYFUNCTION("""COMPUTED_VALUE"""),"1D green island")</f>
        <v>1D green island</v>
      </c>
      <c r="H232" s="16"/>
      <c r="I232" s="17">
        <f>IFERROR(__xludf.DUMMYFUNCTION("""COMPUTED_VALUE"""),7.0)</f>
        <v>7</v>
      </c>
      <c r="J232" s="54">
        <f>IFERROR(__xludf.DUMMYFUNCTION("""COMPUTED_VALUE"""),3822000.0)</f>
        <v>3822000</v>
      </c>
      <c r="K232" s="19" t="str">
        <f>IFERROR(__xludf.DUMMYFUNCTION("""COMPUTED_VALUE"""),"buat penawaran, tidak ada balasan")</f>
        <v>buat penawaran, tidak ada balasan</v>
      </c>
      <c r="L232" s="88" t="str">
        <f>IFERROR(__xludf.DUMMYFUNCTION("""COMPUTED_VALUE"""),"https://docs.google.com/document/d/1IifxN6RzpE0HchftHxSJu9d0vWiM5pL-YjYBBa9ruso/edit?usp=sharing")</f>
        <v>https://docs.google.com/document/d/1IifxN6RzpE0HchftHxSJu9d0vWiM5pL-YjYBBa9ruso/edit?usp=sharing</v>
      </c>
      <c r="M232" s="20"/>
      <c r="N232" s="20"/>
      <c r="O232" s="20"/>
      <c r="P232" s="20"/>
    </row>
    <row r="233">
      <c r="A233" s="110">
        <f>IFERROR(__xludf.DUMMYFUNCTION("""COMPUTED_VALUE"""),46114.0)</f>
        <v>46114</v>
      </c>
      <c r="B233" s="110" t="str">
        <f>IFERROR(__xludf.DUMMYFUNCTION("""COMPUTED_VALUE"""),"2604A007")</f>
        <v>2604A007</v>
      </c>
      <c r="C233" s="49" t="str">
        <f>IFERROR(__xludf.DUMMYFUNCTION("""COMPUTED_VALUE"""),"Novi")</f>
        <v>Novi</v>
      </c>
      <c r="D233" s="102" t="str">
        <f>IFERROR(__xludf.DUMMYFUNCTION("""COMPUTED_VALUE"""),"08129524407")</f>
        <v>08129524407</v>
      </c>
      <c r="E233" s="25" t="str">
        <f>IFERROR(__xludf.DUMMYFUNCTION("""COMPUTED_VALUE"""),"Instagram")</f>
        <v>Instagram</v>
      </c>
      <c r="F233" s="25" t="str">
        <f>IFERROR(__xludf.DUMMYFUNCTION("""COMPUTED_VALUE"""),"Gagal")</f>
        <v>Gagal</v>
      </c>
      <c r="G233" s="15" t="str">
        <f>IFERROR(__xludf.DUMMYFUNCTION("""COMPUTED_VALUE"""),"2H1M Opsi B")</f>
        <v>2H1M Opsi B</v>
      </c>
      <c r="H233" s="78"/>
      <c r="I233" s="89">
        <f>IFERROR(__xludf.DUMMYFUNCTION("""COMPUTED_VALUE"""),6.0)</f>
        <v>6</v>
      </c>
      <c r="J233" s="96">
        <f>IFERROR(__xludf.DUMMYFUNCTION("""COMPUTED_VALUE"""),8040000.0)</f>
        <v>8040000</v>
      </c>
      <c r="K233" s="36" t="str">
        <f>IFERROR(__xludf.DUMMYFUNCTION("""COMPUTED_VALUE"""),"nanti dihubungi jika sudah fiks paxnya, fu juni")</f>
        <v>nanti dihubungi jika sudah fiks paxnya, fu juni</v>
      </c>
      <c r="L233" s="81" t="str">
        <f>IFERROR(__xludf.DUMMYFUNCTION("""COMPUTED_VALUE"""),"https://docs.google.com/document/d/1SN7aHbdC8rLeai20u-MIOuy8yLHxnn3Lkxt9-8zVO5A/edit?usp=sharing")</f>
        <v>https://docs.google.com/document/d/1SN7aHbdC8rLeai20u-MIOuy8yLHxnn3Lkxt9-8zVO5A/edit?usp=sharing</v>
      </c>
      <c r="M233" s="20"/>
      <c r="N233" s="20"/>
      <c r="O233" s="20"/>
      <c r="P233" s="20"/>
    </row>
    <row r="234">
      <c r="A234" s="97">
        <f>IFERROR(__xludf.DUMMYFUNCTION("""COMPUTED_VALUE"""),46114.0)</f>
        <v>46114</v>
      </c>
      <c r="B234" s="97" t="str">
        <f>IFERROR(__xludf.DUMMYFUNCTION("""COMPUTED_VALUE"""),"2604A008")</f>
        <v>2604A008</v>
      </c>
      <c r="C234" s="76" t="str">
        <f>IFERROR(__xludf.DUMMYFUNCTION("""COMPUTED_VALUE"""),"Siswati Utami")</f>
        <v>Siswati Utami</v>
      </c>
      <c r="D234" s="99" t="str">
        <f>IFERROR(__xludf.DUMMYFUNCTION("""COMPUTED_VALUE"""),"082236322033")</f>
        <v>082236322033</v>
      </c>
      <c r="E234" s="25" t="str">
        <f>IFERROR(__xludf.DUMMYFUNCTION("""COMPUTED_VALUE"""),"Instagram")</f>
        <v>Instagram</v>
      </c>
      <c r="F234" s="25" t="str">
        <f>IFERROR(__xludf.DUMMYFUNCTION("""COMPUTED_VALUE"""),"Gagal")</f>
        <v>Gagal</v>
      </c>
      <c r="G234" s="25" t="str">
        <f>IFERROR(__xludf.DUMMYFUNCTION("""COMPUTED_VALUE"""),"1D D, B")</f>
        <v>1D D, B</v>
      </c>
      <c r="H234" s="92"/>
      <c r="I234" s="17">
        <f>IFERROR(__xludf.DUMMYFUNCTION("""COMPUTED_VALUE"""),3.0)</f>
        <v>3</v>
      </c>
      <c r="J234" s="93">
        <f>IFERROR(__xludf.DUMMYFUNCTION("""COMPUTED_VALUE"""),1875000.0)</f>
        <v>1875000</v>
      </c>
      <c r="K234" s="19" t="str">
        <f>IFERROR(__xludf.DUMMYFUNCTION("""COMPUTED_VALUE"""),"ga ada kelanjutan")</f>
        <v>ga ada kelanjutan</v>
      </c>
      <c r="L234" s="88" t="str">
        <f>IFERROR(__xludf.DUMMYFUNCTION("""COMPUTED_VALUE"""),"https://docs.google.com/document/d/17e8VmrhIqngMCuRGDngwmr-EbTK9cXfv5329ypt3K_o/edit?usp=sharing")</f>
        <v>https://docs.google.com/document/d/17e8VmrhIqngMCuRGDngwmr-EbTK9cXfv5329ypt3K_o/edit?usp=sharing</v>
      </c>
      <c r="M234" s="20"/>
      <c r="N234" s="20"/>
      <c r="O234" s="20"/>
      <c r="P234" s="20"/>
    </row>
    <row r="235">
      <c r="A235" s="110">
        <f>IFERROR(__xludf.DUMMYFUNCTION("""COMPUTED_VALUE"""),46115.0)</f>
        <v>46115</v>
      </c>
      <c r="B235" s="110" t="str">
        <f>IFERROR(__xludf.DUMMYFUNCTION("""COMPUTED_VALUE"""),"2604A009")</f>
        <v>2604A009</v>
      </c>
      <c r="C235" s="49" t="str">
        <f>IFERROR(__xludf.DUMMYFUNCTION("""COMPUTED_VALUE"""),"Dewi")</f>
        <v>Dewi</v>
      </c>
      <c r="D235" s="102" t="str">
        <f>IFERROR(__xludf.DUMMYFUNCTION("""COMPUTED_VALUE"""),"085880530215")</f>
        <v>085880530215</v>
      </c>
      <c r="E235" s="25" t="str">
        <f>IFERROR(__xludf.DUMMYFUNCTION("""COMPUTED_VALUE"""),"Instagram")</f>
        <v>Instagram</v>
      </c>
      <c r="F235" s="25" t="str">
        <f>IFERROR(__xludf.DUMMYFUNCTION("""COMPUTED_VALUE"""),"Gagal")</f>
        <v>Gagal</v>
      </c>
      <c r="G235" s="15" t="str">
        <f>IFERROR(__xludf.DUMMYFUNCTION("""COMPUTED_VALUE"""),"3H2M opsi A")</f>
        <v>3H2M opsi A</v>
      </c>
      <c r="H235" s="78"/>
      <c r="I235" s="89">
        <f>IFERROR(__xludf.DUMMYFUNCTION("""COMPUTED_VALUE"""),2.0)</f>
        <v>2</v>
      </c>
      <c r="J235" s="96"/>
      <c r="K235" s="30" t="str">
        <f>IFERROR(__xludf.DUMMYFUNCTION("""COMPUTED_VALUE"""),"gada balasan")</f>
        <v>gada balasan</v>
      </c>
      <c r="L235" s="81" t="str">
        <f>IFERROR(__xludf.DUMMYFUNCTION("""COMPUTED_VALUE"""),"https://docs.google.com/document/d/1Jy8G55eoRFqTi8KELR58q94dB4vKyGFKvsBWL_Dsp3E/edit?usp=sharing")</f>
        <v>https://docs.google.com/document/d/1Jy8G55eoRFqTi8KELR58q94dB4vKyGFKvsBWL_Dsp3E/edit?usp=sharing</v>
      </c>
      <c r="M235" s="20"/>
      <c r="N235" s="20"/>
      <c r="O235" s="20"/>
      <c r="P235" s="20"/>
    </row>
    <row r="236">
      <c r="A236" s="97">
        <f>IFERROR(__xludf.DUMMYFUNCTION("""COMPUTED_VALUE"""),46116.0)</f>
        <v>46116</v>
      </c>
      <c r="B236" s="97" t="str">
        <f>IFERROR(__xludf.DUMMYFUNCTION("""COMPUTED_VALUE"""),"2604A010")</f>
        <v>2604A010</v>
      </c>
      <c r="C236" s="76" t="str">
        <f>IFERROR(__xludf.DUMMYFUNCTION("""COMPUTED_VALUE"""),"Fany")</f>
        <v>Fany</v>
      </c>
      <c r="D236" s="99" t="str">
        <f>IFERROR(__xludf.DUMMYFUNCTION("""COMPUTED_VALUE"""),"081283753936")</f>
        <v>081283753936</v>
      </c>
      <c r="E236" s="25" t="str">
        <f>IFERROR(__xludf.DUMMYFUNCTION("""COMPUTED_VALUE"""),"Instagram")</f>
        <v>Instagram</v>
      </c>
      <c r="F236" s="25" t="str">
        <f>IFERROR(__xludf.DUMMYFUNCTION("""COMPUTED_VALUE"""),"Qualified")</f>
        <v>Qualified</v>
      </c>
      <c r="G236" s="15" t="str">
        <f>IFERROR(__xludf.DUMMYFUNCTION("""COMPUTED_VALUE"""),"3h2m opsi B")</f>
        <v>3h2m opsi B</v>
      </c>
      <c r="H236" s="16"/>
      <c r="I236" s="17">
        <f>IFERROR(__xludf.DUMMYFUNCTION("""COMPUTED_VALUE"""),5.0)</f>
        <v>5</v>
      </c>
      <c r="J236" s="54">
        <f>IFERROR(__xludf.DUMMYFUNCTION("""COMPUTED_VALUE"""),5225000.0)</f>
        <v>5225000</v>
      </c>
      <c r="K236" s="19" t="str">
        <f>IFERROR(__xludf.DUMMYFUNCTION("""COMPUTED_VALUE"""),"fu mei")</f>
        <v>fu mei</v>
      </c>
      <c r="L236" s="88" t="str">
        <f>IFERROR(__xludf.DUMMYFUNCTION("""COMPUTED_VALUE"""),"https://docs.google.com/document/d/1REAXMG0es5KNvHeF-KAsTxul7WHsXn6y-H12x460mng/edit?usp=sharing")</f>
        <v>https://docs.google.com/document/d/1REAXMG0es5KNvHeF-KAsTxul7WHsXn6y-H12x460mng/edit?usp=sharing</v>
      </c>
      <c r="M236" s="20"/>
      <c r="N236" s="20"/>
      <c r="O236" s="20"/>
      <c r="P236" s="20"/>
    </row>
    <row r="237">
      <c r="A237" s="110">
        <f>IFERROR(__xludf.DUMMYFUNCTION("""COMPUTED_VALUE"""),46116.0)</f>
        <v>46116</v>
      </c>
      <c r="B237" s="110" t="str">
        <f>IFERROR(__xludf.DUMMYFUNCTION("""COMPUTED_VALUE"""),"2604A011")</f>
        <v>2604A011</v>
      </c>
      <c r="C237" s="49" t="str">
        <f>IFERROR(__xludf.DUMMYFUNCTION("""COMPUTED_VALUE"""),"Anto")</f>
        <v>Anto</v>
      </c>
      <c r="D237" s="102" t="str">
        <f>IFERROR(__xludf.DUMMYFUNCTION("""COMPUTED_VALUE"""),"085727801119")</f>
        <v>085727801119</v>
      </c>
      <c r="E237" s="25" t="str">
        <f>IFERROR(__xludf.DUMMYFUNCTION("""COMPUTED_VALUE"""),"Website")</f>
        <v>Website</v>
      </c>
      <c r="F237" s="25" t="str">
        <f>IFERROR(__xludf.DUMMYFUNCTION("""COMPUTED_VALUE"""),"Gagal")</f>
        <v>Gagal</v>
      </c>
      <c r="G237" s="25" t="str">
        <f>IFERROR(__xludf.DUMMYFUNCTION("""COMPUTED_VALUE"""),"OT  D, B")</f>
        <v>OT  D, B</v>
      </c>
      <c r="H237" s="78">
        <f>IFERROR(__xludf.DUMMYFUNCTION("""COMPUTED_VALUE"""),46119.0)</f>
        <v>46119</v>
      </c>
      <c r="I237" s="89">
        <f>IFERROR(__xludf.DUMMYFUNCTION("""COMPUTED_VALUE"""),2.0)</f>
        <v>2</v>
      </c>
      <c r="J237" s="96">
        <f>IFERROR(__xludf.DUMMYFUNCTION("""COMPUTED_VALUE"""),1100000.0)</f>
        <v>1100000</v>
      </c>
      <c r="K237" s="36" t="str">
        <f>IFERROR(__xludf.DUMMYFUNCTION("""COMPUTED_VALUE"""),"tidak ada respon")</f>
        <v>tidak ada respon</v>
      </c>
      <c r="L237" s="81" t="str">
        <f>IFERROR(__xludf.DUMMYFUNCTION("""COMPUTED_VALUE"""),"https://docs.google.com/document/d/1OVA9iOWdO9AWQ9RIau5fDiDRE137Opu6r2ni8ftfVOQ/edit?usp=sharing")</f>
        <v>https://docs.google.com/document/d/1OVA9iOWdO9AWQ9RIau5fDiDRE137Opu6r2ni8ftfVOQ/edit?usp=sharing</v>
      </c>
      <c r="M237" s="20"/>
      <c r="N237" s="20"/>
      <c r="O237" s="20"/>
      <c r="P237" s="20"/>
    </row>
    <row r="238">
      <c r="A238" s="97">
        <f>IFERROR(__xludf.DUMMYFUNCTION("""COMPUTED_VALUE"""),46118.0)</f>
        <v>46118</v>
      </c>
      <c r="B238" s="97" t="str">
        <f>IFERROR(__xludf.DUMMYFUNCTION("""COMPUTED_VALUE"""),"2604A012")</f>
        <v>2604A012</v>
      </c>
      <c r="C238" s="76" t="str">
        <f>IFERROR(__xludf.DUMMYFUNCTION("""COMPUTED_VALUE"""),"Arina Safira")</f>
        <v>Arina Safira</v>
      </c>
      <c r="D238" s="99" t="str">
        <f>IFERROR(__xludf.DUMMYFUNCTION("""COMPUTED_VALUE"""),"08111990367")</f>
        <v>08111990367</v>
      </c>
      <c r="E238" s="25" t="str">
        <f>IFERROR(__xludf.DUMMYFUNCTION("""COMPUTED_VALUE"""),"Instagram")</f>
        <v>Instagram</v>
      </c>
      <c r="F238" s="25" t="str">
        <f>IFERROR(__xludf.DUMMYFUNCTION("""COMPUTED_VALUE"""),"Gagal")</f>
        <v>Gagal</v>
      </c>
      <c r="G238" s="25" t="str">
        <f>IFERROR(__xludf.DUMMYFUNCTION("""COMPUTED_VALUE"""),"trip wurung, D, B")</f>
        <v>trip wurung, D, B</v>
      </c>
      <c r="H238" s="16"/>
      <c r="I238" s="17"/>
      <c r="J238" s="54"/>
      <c r="K238" s="46" t="str">
        <f>IFERROR(__xludf.DUMMYFUNCTION("""COMPUTED_VALUE"""),"gajadi")</f>
        <v>gajadi</v>
      </c>
      <c r="L238" s="88" t="str">
        <f>IFERROR(__xludf.DUMMYFUNCTION("""COMPUTED_VALUE"""),"https://docs.google.com/document/d/1jlXAQhifCZdcHQlGp-jN66WyVWabuKT8-8LWCmZ0iWU/edit?usp=sharing")</f>
        <v>https://docs.google.com/document/d/1jlXAQhifCZdcHQlGp-jN66WyVWabuKT8-8LWCmZ0iWU/edit?usp=sharing</v>
      </c>
      <c r="M238" s="20"/>
      <c r="N238" s="20"/>
      <c r="O238" s="20"/>
      <c r="P238" s="20"/>
    </row>
    <row r="239">
      <c r="A239" s="110">
        <f>IFERROR(__xludf.DUMMYFUNCTION("""COMPUTED_VALUE"""),46118.0)</f>
        <v>46118</v>
      </c>
      <c r="B239" s="110" t="str">
        <f>IFERROR(__xludf.DUMMYFUNCTION("""COMPUTED_VALUE"""),"2604A013")</f>
        <v>2604A013</v>
      </c>
      <c r="C239" s="49" t="str">
        <f>IFERROR(__xludf.DUMMYFUNCTION("""COMPUTED_VALUE"""),"Mira")</f>
        <v>Mira</v>
      </c>
      <c r="D239" s="102" t="str">
        <f>IFERROR(__xludf.DUMMYFUNCTION("""COMPUTED_VALUE"""),"60195025953")</f>
        <v>60195025953</v>
      </c>
      <c r="E239" s="25" t="str">
        <f>IFERROR(__xludf.DUMMYFUNCTION("""COMPUTED_VALUE"""),"Instagram")</f>
        <v>Instagram</v>
      </c>
      <c r="F239" s="25" t="str">
        <f>IFERROR(__xludf.DUMMYFUNCTION("""COMPUTED_VALUE"""),"Gagal")</f>
        <v>Gagal</v>
      </c>
      <c r="G239" s="25" t="str">
        <f>IFERROR(__xludf.DUMMYFUNCTION("""COMPUTED_VALUE"""),"Trip Tabuhan")</f>
        <v>Trip Tabuhan</v>
      </c>
      <c r="H239" s="78"/>
      <c r="I239" s="89">
        <f>IFERROR(__xludf.DUMMYFUNCTION("""COMPUTED_VALUE"""),2.0)</f>
        <v>2</v>
      </c>
      <c r="J239" s="96"/>
      <c r="K239" s="36" t="str">
        <f>IFERROR(__xludf.DUMMYFUNCTION("""COMPUTED_VALUE"""),"tidak ada balasan")</f>
        <v>tidak ada balasan</v>
      </c>
      <c r="L239" s="81" t="str">
        <f>IFERROR(__xludf.DUMMYFUNCTION("""COMPUTED_VALUE"""),"https://docs.google.com/document/d/1bePgZb3XPF8gbcmy-DmW7j9NIpZuEPOMh5aXvXnK9yU/edit?usp=sharing")</f>
        <v>https://docs.google.com/document/d/1bePgZb3XPF8gbcmy-DmW7j9NIpZuEPOMh5aXvXnK9yU/edit?usp=sharing</v>
      </c>
      <c r="M239" s="20"/>
      <c r="N239" s="20"/>
      <c r="O239" s="20"/>
      <c r="P239" s="20"/>
    </row>
    <row r="240">
      <c r="A240" s="97">
        <f>IFERROR(__xludf.DUMMYFUNCTION("""COMPUTED_VALUE"""),46118.0)</f>
        <v>46118</v>
      </c>
      <c r="B240" s="97" t="str">
        <f>IFERROR(__xludf.DUMMYFUNCTION("""COMPUTED_VALUE"""),"2604A014")</f>
        <v>2604A014</v>
      </c>
      <c r="C240" s="76" t="str">
        <f>IFERROR(__xludf.DUMMYFUNCTION("""COMPUTED_VALUE"""),"Nabila Ratna")</f>
        <v>Nabila Ratna</v>
      </c>
      <c r="D240" s="99" t="str">
        <f>IFERROR(__xludf.DUMMYFUNCTION("""COMPUTED_VALUE"""),"081322226980")</f>
        <v>081322226980</v>
      </c>
      <c r="E240" s="25" t="str">
        <f>IFERROR(__xludf.DUMMYFUNCTION("""COMPUTED_VALUE"""),"Instagram")</f>
        <v>Instagram</v>
      </c>
      <c r="F240" s="25" t="str">
        <f>IFERROR(__xludf.DUMMYFUNCTION("""COMPUTED_VALUE"""),"Gagal")</f>
        <v>Gagal</v>
      </c>
      <c r="G240" s="25"/>
      <c r="H240" s="92"/>
      <c r="I240" s="80"/>
      <c r="J240" s="93"/>
      <c r="K240" s="19" t="str">
        <f>IFERROR(__xludf.DUMMYFUNCTION("""COMPUTED_VALUE"""),"Hanya menyapa")</f>
        <v>Hanya menyapa</v>
      </c>
      <c r="L240" s="88" t="str">
        <f>IFERROR(__xludf.DUMMYFUNCTION("""COMPUTED_VALUE"""),"https://docs.google.com/document/d/15OhD4E0gEUcQkDUjqXIjWb8UPnumXoA6Hi3AkAS1WqM/edit?usp=sharing")</f>
        <v>https://docs.google.com/document/d/15OhD4E0gEUcQkDUjqXIjWb8UPnumXoA6Hi3AkAS1WqM/edit?usp=sharing</v>
      </c>
      <c r="M240" s="20"/>
      <c r="N240" s="20"/>
      <c r="O240" s="20"/>
      <c r="P240" s="20"/>
    </row>
    <row r="241">
      <c r="A241" s="110">
        <f>IFERROR(__xludf.DUMMYFUNCTION("""COMPUTED_VALUE"""),46118.0)</f>
        <v>46118</v>
      </c>
      <c r="B241" s="110" t="str">
        <f>IFERROR(__xludf.DUMMYFUNCTION("""COMPUTED_VALUE"""),"2604A015")</f>
        <v>2604A015</v>
      </c>
      <c r="C241" s="49" t="str">
        <f>IFERROR(__xludf.DUMMYFUNCTION("""COMPUTED_VALUE"""),"Fadjrin")</f>
        <v>Fadjrin</v>
      </c>
      <c r="D241" s="102" t="str">
        <f>IFERROR(__xludf.DUMMYFUNCTION("""COMPUTED_VALUE"""),"082285208277")</f>
        <v>082285208277</v>
      </c>
      <c r="E241" s="25" t="str">
        <f>IFERROR(__xludf.DUMMYFUNCTION("""COMPUTED_VALUE"""),"Website")</f>
        <v>Website</v>
      </c>
      <c r="F241" s="25" t="str">
        <f>IFERROR(__xludf.DUMMYFUNCTION("""COMPUTED_VALUE"""),"Gagal")</f>
        <v>Gagal</v>
      </c>
      <c r="G241" s="25" t="str">
        <f>IFERROR(__xludf.DUMMYFUNCTION("""COMPUTED_VALUE"""),"3h2m / 2h1m custom")</f>
        <v>3h2m / 2h1m custom</v>
      </c>
      <c r="H241" s="78"/>
      <c r="I241" s="89">
        <f>IFERROR(__xludf.DUMMYFUNCTION("""COMPUTED_VALUE"""),22.0)</f>
        <v>22</v>
      </c>
      <c r="J241" s="96">
        <f>IFERROR(__xludf.DUMMYFUNCTION("""COMPUTED_VALUE"""),3.696E7)</f>
        <v>36960000</v>
      </c>
      <c r="K241" s="36" t="str">
        <f>IFERROR(__xludf.DUMMYFUNCTION("""COMPUTED_VALUE"""),"tidak ada balasan")</f>
        <v>tidak ada balasan</v>
      </c>
      <c r="L241" s="81" t="str">
        <f>IFERROR(__xludf.DUMMYFUNCTION("""COMPUTED_VALUE"""),"https://docs.google.com/document/d/1xkGpSN1JnGmF4EEqxB3_i3akNZk8hncXm6Uv6cb_71c/edit?usp=sharing")</f>
        <v>https://docs.google.com/document/d/1xkGpSN1JnGmF4EEqxB3_i3akNZk8hncXm6Uv6cb_71c/edit?usp=sharing</v>
      </c>
      <c r="M241" s="20"/>
      <c r="N241" s="20"/>
      <c r="O241" s="20"/>
      <c r="P241" s="20"/>
    </row>
    <row r="242">
      <c r="A242" s="97">
        <f>IFERROR(__xludf.DUMMYFUNCTION("""COMPUTED_VALUE"""),46118.0)</f>
        <v>46118</v>
      </c>
      <c r="B242" s="97" t="str">
        <f>IFERROR(__xludf.DUMMYFUNCTION("""COMPUTED_VALUE"""),"2604A016")</f>
        <v>2604A016</v>
      </c>
      <c r="C242" s="76" t="str">
        <f>IFERROR(__xludf.DUMMYFUNCTION("""COMPUTED_VALUE"""),"Mutia")</f>
        <v>Mutia</v>
      </c>
      <c r="D242" s="99" t="str">
        <f>IFERROR(__xludf.DUMMYFUNCTION("""COMPUTED_VALUE"""),"085647052939")</f>
        <v>085647052939</v>
      </c>
      <c r="E242" s="25" t="str">
        <f>IFERROR(__xludf.DUMMYFUNCTION("""COMPUTED_VALUE"""),"Instagram")</f>
        <v>Instagram</v>
      </c>
      <c r="F242" s="25" t="str">
        <f>IFERROR(__xludf.DUMMYFUNCTION("""COMPUTED_VALUE"""),"Closing")</f>
        <v>Closing</v>
      </c>
      <c r="G242" s="15" t="str">
        <f>IFERROR(__xludf.DUMMYFUNCTION("""COMPUTED_VALUE"""),"2H1M Custom")</f>
        <v>2H1M Custom</v>
      </c>
      <c r="H242" s="92"/>
      <c r="I242" s="80">
        <f>IFERROR(__xludf.DUMMYFUNCTION("""COMPUTED_VALUE"""),6.0)</f>
        <v>6</v>
      </c>
      <c r="J242" s="93">
        <f>IFERROR(__xludf.DUMMYFUNCTION("""COMPUTED_VALUE"""),6360000.0)</f>
        <v>6360000</v>
      </c>
      <c r="K242" s="19" t="str">
        <f>IFERROR(__xludf.DUMMYFUNCTION("""COMPUTED_VALUE"""),"Alhamdulillah")</f>
        <v>Alhamdulillah</v>
      </c>
      <c r="L242" s="88" t="str">
        <f>IFERROR(__xludf.DUMMYFUNCTION("""COMPUTED_VALUE"""),"https://docs.google.com/document/d/1E74fSFm-llXEQjJMvoa3N8WJuffp2lrYgXqNg2ingMM/edit?usp=sharing")</f>
        <v>https://docs.google.com/document/d/1E74fSFm-llXEQjJMvoa3N8WJuffp2lrYgXqNg2ingMM/edit?usp=sharing</v>
      </c>
      <c r="M242" s="20"/>
      <c r="N242" s="20"/>
      <c r="O242" s="20"/>
      <c r="P242" s="20"/>
    </row>
    <row r="243">
      <c r="A243" s="110">
        <f>IFERROR(__xludf.DUMMYFUNCTION("""COMPUTED_VALUE"""),46119.0)</f>
        <v>46119</v>
      </c>
      <c r="B243" s="110" t="str">
        <f>IFERROR(__xludf.DUMMYFUNCTION("""COMPUTED_VALUE"""),"2604A017")</f>
        <v>2604A017</v>
      </c>
      <c r="C243" s="49" t="str">
        <f>IFERROR(__xludf.DUMMYFUNCTION("""COMPUTED_VALUE"""),"Fuad")</f>
        <v>Fuad</v>
      </c>
      <c r="D243" s="102" t="str">
        <f>IFERROR(__xludf.DUMMYFUNCTION("""COMPUTED_VALUE"""),"089508004646‬")</f>
        <v>089508004646‬</v>
      </c>
      <c r="E243" s="25" t="str">
        <f>IFERROR(__xludf.DUMMYFUNCTION("""COMPUTED_VALUE"""),"Instagram")</f>
        <v>Instagram</v>
      </c>
      <c r="F243" s="25" t="str">
        <f>IFERROR(__xludf.DUMMYFUNCTION("""COMPUTED_VALUE"""),"Closing")</f>
        <v>Closing</v>
      </c>
      <c r="G243" s="25" t="str">
        <f>IFERROR(__xludf.DUMMYFUNCTION("""COMPUTED_VALUE"""),"2H1M custom")</f>
        <v>2H1M custom</v>
      </c>
      <c r="H243" s="78">
        <f>IFERROR(__xludf.DUMMYFUNCTION("""COMPUTED_VALUE"""),46120.0)</f>
        <v>46120</v>
      </c>
      <c r="I243" s="89">
        <f>IFERROR(__xludf.DUMMYFUNCTION("""COMPUTED_VALUE"""),2.0)</f>
        <v>2</v>
      </c>
      <c r="J243" s="96">
        <f>IFERROR(__xludf.DUMMYFUNCTION("""COMPUTED_VALUE"""),4670000.0)</f>
        <v>4670000</v>
      </c>
      <c r="K243" s="36" t="str">
        <f>IFERROR(__xludf.DUMMYFUNCTION("""COMPUTED_VALUE"""),"ALHAMDULILLAH")</f>
        <v>ALHAMDULILLAH</v>
      </c>
      <c r="L243" s="49"/>
      <c r="M243" s="20"/>
      <c r="N243" s="20"/>
      <c r="O243" s="20"/>
      <c r="P243" s="20"/>
    </row>
    <row r="244">
      <c r="A244" s="97">
        <f>IFERROR(__xludf.DUMMYFUNCTION("""COMPUTED_VALUE"""),46119.0)</f>
        <v>46119</v>
      </c>
      <c r="B244" s="97" t="str">
        <f>IFERROR(__xludf.DUMMYFUNCTION("""COMPUTED_VALUE"""),"2604A018")</f>
        <v>2604A018</v>
      </c>
      <c r="C244" s="76" t="str">
        <f>IFERROR(__xludf.DUMMYFUNCTION("""COMPUTED_VALUE"""),"Guntur Dwi Prakoso")</f>
        <v>Guntur Dwi Prakoso</v>
      </c>
      <c r="D244" s="99" t="str">
        <f>IFERROR(__xludf.DUMMYFUNCTION("""COMPUTED_VALUE"""),"082121655422‬")</f>
        <v>082121655422‬</v>
      </c>
      <c r="E244" s="25" t="str">
        <f>IFERROR(__xludf.DUMMYFUNCTION("""COMPUTED_VALUE"""),"Instagram")</f>
        <v>Instagram</v>
      </c>
      <c r="F244" s="25" t="str">
        <f>IFERROR(__xludf.DUMMYFUNCTION("""COMPUTED_VALUE"""),"Qualified")</f>
        <v>Qualified</v>
      </c>
      <c r="G244" s="25" t="str">
        <f>IFERROR(__xludf.DUMMYFUNCTION("""COMPUTED_VALUE"""),"2h1m Custom")</f>
        <v>2h1m Custom</v>
      </c>
      <c r="H244" s="92"/>
      <c r="I244" s="80">
        <f>IFERROR(__xludf.DUMMYFUNCTION("""COMPUTED_VALUE"""),3.0)</f>
        <v>3</v>
      </c>
      <c r="J244" s="93"/>
      <c r="K244" s="19" t="str">
        <f>IFERROR(__xludf.DUMMYFUNCTION("""COMPUTED_VALUE"""),"di reschedule. fu 18 juni")</f>
        <v>di reschedule. fu 18 juni</v>
      </c>
      <c r="L244" s="88" t="str">
        <f>IFERROR(__xludf.DUMMYFUNCTION("""COMPUTED_VALUE"""),"https://docs.google.com/document/d/1nlkDUjK4f2dbu3E3yMwYkk8VhWAlpqNkTprb-q4o_rw/edit?usp=sharing")</f>
        <v>https://docs.google.com/document/d/1nlkDUjK4f2dbu3E3yMwYkk8VhWAlpqNkTprb-q4o_rw/edit?usp=sharing</v>
      </c>
      <c r="M244" s="20"/>
      <c r="N244" s="20"/>
      <c r="O244" s="20"/>
      <c r="P244" s="20"/>
    </row>
    <row r="245">
      <c r="A245" s="110">
        <f>IFERROR(__xludf.DUMMYFUNCTION("""COMPUTED_VALUE"""),46119.0)</f>
        <v>46119</v>
      </c>
      <c r="B245" s="110" t="str">
        <f>IFERROR(__xludf.DUMMYFUNCTION("""COMPUTED_VALUE"""),"2604A019")</f>
        <v>2604A019</v>
      </c>
      <c r="C245" s="49" t="str">
        <f>IFERROR(__xludf.DUMMYFUNCTION("""COMPUTED_VALUE"""),"Laili Maghfiroh")</f>
        <v>Laili Maghfiroh</v>
      </c>
      <c r="D245" s="102" t="str">
        <f>IFERROR(__xludf.DUMMYFUNCTION("""COMPUTED_VALUE"""),"085730946704")</f>
        <v>085730946704</v>
      </c>
      <c r="E245" s="25" t="str">
        <f>IFERROR(__xludf.DUMMYFUNCTION("""COMPUTED_VALUE"""),"Instagram")</f>
        <v>Instagram</v>
      </c>
      <c r="F245" s="25" t="str">
        <f>IFERROR(__xludf.DUMMYFUNCTION("""COMPUTED_VALUE"""),"Qualified")</f>
        <v>Qualified</v>
      </c>
      <c r="G245" s="25" t="str">
        <f>IFERROR(__xludf.DUMMYFUNCTION("""COMPUTED_VALUE"""),"Trip M, B")</f>
        <v>Trip M, B</v>
      </c>
      <c r="H245" s="78"/>
      <c r="I245" s="89">
        <f>IFERROR(__xludf.DUMMYFUNCTION("""COMPUTED_VALUE"""),3.0)</f>
        <v>3</v>
      </c>
      <c r="J245" s="96">
        <f>IFERROR(__xludf.DUMMYFUNCTION("""COMPUTED_VALUE"""),3516000.0)</f>
        <v>3516000</v>
      </c>
      <c r="K245" s="36" t="str">
        <f>IFERROR(__xludf.DUMMYFUNCTION("""COMPUTED_VALUE"""),"FU Awal mei")</f>
        <v>FU Awal mei</v>
      </c>
      <c r="L245" s="81" t="str">
        <f>IFERROR(__xludf.DUMMYFUNCTION("""COMPUTED_VALUE"""),"https://docs.google.com/document/d/1p6FbS35eOdJX4G5UmJlySPAi66eKpChvJtpZ2RCtn0s/edit?usp=sharing")</f>
        <v>https://docs.google.com/document/d/1p6FbS35eOdJX4G5UmJlySPAi66eKpChvJtpZ2RCtn0s/edit?usp=sharing</v>
      </c>
      <c r="M245" s="20"/>
      <c r="N245" s="20"/>
      <c r="O245" s="20"/>
      <c r="P245" s="20"/>
    </row>
    <row r="246">
      <c r="A246" s="97">
        <f>IFERROR(__xludf.DUMMYFUNCTION("""COMPUTED_VALUE"""),46119.0)</f>
        <v>46119</v>
      </c>
      <c r="B246" s="97" t="str">
        <f>IFERROR(__xludf.DUMMYFUNCTION("""COMPUTED_VALUE"""),"2604A020")</f>
        <v>2604A020</v>
      </c>
      <c r="C246" s="76" t="str">
        <f>IFERROR(__xludf.DUMMYFUNCTION("""COMPUTED_VALUE"""),"Joshi")</f>
        <v>Joshi</v>
      </c>
      <c r="D246" s="99" t="str">
        <f>IFERROR(__xludf.DUMMYFUNCTION("""COMPUTED_VALUE"""),"087839921505")</f>
        <v>087839921505</v>
      </c>
      <c r="E246" s="25" t="str">
        <f>IFERROR(__xludf.DUMMYFUNCTION("""COMPUTED_VALUE"""),"Instagram")</f>
        <v>Instagram</v>
      </c>
      <c r="F246" s="25" t="str">
        <f>IFERROR(__xludf.DUMMYFUNCTION("""COMPUTED_VALUE"""),"Gagal")</f>
        <v>Gagal</v>
      </c>
      <c r="G246" s="15"/>
      <c r="H246" s="92"/>
      <c r="I246" s="17"/>
      <c r="J246" s="93"/>
      <c r="K246" s="19" t="str">
        <f>IFERROR(__xludf.DUMMYFUNCTION("""COMPUTED_VALUE"""),"hanya menyapa")</f>
        <v>hanya menyapa</v>
      </c>
      <c r="L246" s="88" t="str">
        <f>IFERROR(__xludf.DUMMYFUNCTION("""COMPUTED_VALUE"""),"https://docs.google.com/document/d/19FNWrpTJ_01e2zLRWnx9eORCQbrhHfeDnQEsqlyM5CA/edit?usp=sharing")</f>
        <v>https://docs.google.com/document/d/19FNWrpTJ_01e2zLRWnx9eORCQbrhHfeDnQEsqlyM5CA/edit?usp=sharing</v>
      </c>
      <c r="M246" s="20"/>
      <c r="N246" s="20"/>
      <c r="O246" s="20"/>
      <c r="P246" s="20"/>
    </row>
    <row r="247">
      <c r="A247" s="110">
        <f>IFERROR(__xludf.DUMMYFUNCTION("""COMPUTED_VALUE"""),46120.0)</f>
        <v>46120</v>
      </c>
      <c r="B247" s="110" t="str">
        <f>IFERROR(__xludf.DUMMYFUNCTION("""COMPUTED_VALUE"""),"2604A021")</f>
        <v>2604A021</v>
      </c>
      <c r="C247" s="49" t="str">
        <f>IFERROR(__xludf.DUMMYFUNCTION("""COMPUTED_VALUE"""),"Ana")</f>
        <v>Ana</v>
      </c>
      <c r="D247" s="102" t="str">
        <f>IFERROR(__xludf.DUMMYFUNCTION("""COMPUTED_VALUE"""),"085811281799")</f>
        <v>085811281799</v>
      </c>
      <c r="E247" s="25" t="str">
        <f>IFERROR(__xludf.DUMMYFUNCTION("""COMPUTED_VALUE"""),"Website")</f>
        <v>Website</v>
      </c>
      <c r="F247" s="25" t="str">
        <f>IFERROR(__xludf.DUMMYFUNCTION("""COMPUTED_VALUE"""),"Gagal")</f>
        <v>Gagal</v>
      </c>
      <c r="G247" s="25" t="str">
        <f>IFERROR(__xludf.DUMMYFUNCTION("""COMPUTED_VALUE"""),"1D ijen")</f>
        <v>1D ijen</v>
      </c>
      <c r="H247" s="78">
        <f>IFERROR(__xludf.DUMMYFUNCTION("""COMPUTED_VALUE"""),46142.0)</f>
        <v>46142</v>
      </c>
      <c r="I247" s="89">
        <f>IFERROR(__xludf.DUMMYFUNCTION("""COMPUTED_VALUE"""),5.0)</f>
        <v>5</v>
      </c>
      <c r="J247" s="96">
        <f>IFERROR(__xludf.DUMMYFUNCTION("""COMPUTED_VALUE"""),2135000.0)</f>
        <v>2135000</v>
      </c>
      <c r="K247" s="36" t="str">
        <f>IFERROR(__xludf.DUMMYFUNCTION("""COMPUTED_VALUE"""),"belum jadi pergi")</f>
        <v>belum jadi pergi</v>
      </c>
      <c r="L247" s="49"/>
      <c r="M247" s="20"/>
      <c r="N247" s="20"/>
      <c r="O247" s="20"/>
      <c r="P247" s="20"/>
    </row>
    <row r="248">
      <c r="A248" s="97">
        <f>IFERROR(__xludf.DUMMYFUNCTION("""COMPUTED_VALUE"""),46120.0)</f>
        <v>46120</v>
      </c>
      <c r="B248" s="97" t="str">
        <f>IFERROR(__xludf.DUMMYFUNCTION("""COMPUTED_VALUE"""),"2604A022")</f>
        <v>2604A022</v>
      </c>
      <c r="C248" s="76" t="str">
        <f>IFERROR(__xludf.DUMMYFUNCTION("""COMPUTED_VALUE"""),"Suvi")</f>
        <v>Suvi</v>
      </c>
      <c r="D248" s="99" t="str">
        <f>IFERROR(__xludf.DUMMYFUNCTION("""COMPUTED_VALUE"""),"08127519858")</f>
        <v>08127519858</v>
      </c>
      <c r="E248" s="25" t="str">
        <f>IFERROR(__xludf.DUMMYFUNCTION("""COMPUTED_VALUE"""),"Instagram")</f>
        <v>Instagram</v>
      </c>
      <c r="F248" s="25" t="str">
        <f>IFERROR(__xludf.DUMMYFUNCTION("""COMPUTED_VALUE"""),"Qualified")</f>
        <v>Qualified</v>
      </c>
      <c r="G248" s="25" t="str">
        <f>IFERROR(__xludf.DUMMYFUNCTION("""COMPUTED_VALUE"""),"3H2M / 4H3M")</f>
        <v>3H2M / 4H3M</v>
      </c>
      <c r="H248" s="16"/>
      <c r="I248" s="80">
        <f>IFERROR(__xludf.DUMMYFUNCTION("""COMPUTED_VALUE"""),6.0)</f>
        <v>6</v>
      </c>
      <c r="J248" s="54"/>
      <c r="K248" s="19" t="str">
        <f>IFERROR(__xludf.DUMMYFUNCTION("""COMPUTED_VALUE"""),"FU 10 mei")</f>
        <v>FU 10 mei</v>
      </c>
      <c r="L248" s="88" t="str">
        <f>IFERROR(__xludf.DUMMYFUNCTION("""COMPUTED_VALUE"""),"https://docs.google.com/document/d/13AGnN7-A4DwLwb8t7WqtzcF3aSk3R5f5pEdD2SMe_dE/edit?usp=sharing")</f>
        <v>https://docs.google.com/document/d/13AGnN7-A4DwLwb8t7WqtzcF3aSk3R5f5pEdD2SMe_dE/edit?usp=sharing</v>
      </c>
      <c r="M248" s="20"/>
      <c r="N248" s="20"/>
      <c r="O248" s="20"/>
      <c r="P248" s="20"/>
    </row>
    <row r="249">
      <c r="A249" s="110">
        <f>IFERROR(__xludf.DUMMYFUNCTION("""COMPUTED_VALUE"""),46120.0)</f>
        <v>46120</v>
      </c>
      <c r="B249" s="110" t="str">
        <f>IFERROR(__xludf.DUMMYFUNCTION("""COMPUTED_VALUE"""),"2604A023")</f>
        <v>2604A023</v>
      </c>
      <c r="C249" s="49" t="str">
        <f>IFERROR(__xludf.DUMMYFUNCTION("""COMPUTED_VALUE"""),"Lea")</f>
        <v>Lea</v>
      </c>
      <c r="D249" s="102" t="str">
        <f>IFERROR(__xludf.DUMMYFUNCTION("""COMPUTED_VALUE"""),"08996778680")</f>
        <v>08996778680</v>
      </c>
      <c r="E249" s="25" t="str">
        <f>IFERROR(__xludf.DUMMYFUNCTION("""COMPUTED_VALUE"""),"Instagram")</f>
        <v>Instagram</v>
      </c>
      <c r="F249" s="25" t="str">
        <f>IFERROR(__xludf.DUMMYFUNCTION("""COMPUTED_VALUE"""),"Closing")</f>
        <v>Closing</v>
      </c>
      <c r="G249" s="15" t="str">
        <f>IFERROR(__xludf.DUMMYFUNCTION("""COMPUTED_VALUE"""),"2H2M opsi A")</f>
        <v>2H2M opsi A</v>
      </c>
      <c r="H249" s="78">
        <f>IFERROR(__xludf.DUMMYFUNCTION("""COMPUTED_VALUE"""),46121.0)</f>
        <v>46121</v>
      </c>
      <c r="I249" s="89">
        <f>IFERROR(__xludf.DUMMYFUNCTION("""COMPUTED_VALUE"""),2.0)</f>
        <v>2</v>
      </c>
      <c r="J249" s="96">
        <f>IFERROR(__xludf.DUMMYFUNCTION("""COMPUTED_VALUE"""),5714000.0)</f>
        <v>5714000</v>
      </c>
      <c r="K249" s="30" t="str">
        <f>IFERROR(__xludf.DUMMYFUNCTION("""COMPUTED_VALUE"""),"ALHAMDULILLAH")</f>
        <v>ALHAMDULILLAH</v>
      </c>
      <c r="L249" s="49"/>
      <c r="M249" s="20"/>
      <c r="N249" s="20"/>
      <c r="O249" s="20"/>
      <c r="P249" s="20"/>
    </row>
    <row r="250">
      <c r="A250" s="97">
        <f>IFERROR(__xludf.DUMMYFUNCTION("""COMPUTED_VALUE"""),46120.0)</f>
        <v>46120</v>
      </c>
      <c r="B250" s="97" t="str">
        <f>IFERROR(__xludf.DUMMYFUNCTION("""COMPUTED_VALUE"""),"2604A024")</f>
        <v>2604A024</v>
      </c>
      <c r="C250" s="76" t="str">
        <f>IFERROR(__xludf.DUMMYFUNCTION("""COMPUTED_VALUE"""),"Hawari")</f>
        <v>Hawari</v>
      </c>
      <c r="D250" s="99" t="str">
        <f>IFERROR(__xludf.DUMMYFUNCTION("""COMPUTED_VALUE"""),"081316099832")</f>
        <v>081316099832</v>
      </c>
      <c r="E250" s="25" t="str">
        <f>IFERROR(__xludf.DUMMYFUNCTION("""COMPUTED_VALUE"""),"Website")</f>
        <v>Website</v>
      </c>
      <c r="F250" s="25" t="str">
        <f>IFERROR(__xludf.DUMMYFUNCTION("""COMPUTED_VALUE"""),"Gagal")</f>
        <v>Gagal</v>
      </c>
      <c r="G250" s="25" t="str">
        <f>IFERROR(__xludf.DUMMYFUNCTION("""COMPUTED_VALUE"""),"3H2M")</f>
        <v>3H2M</v>
      </c>
      <c r="H250" s="92"/>
      <c r="I250" s="80">
        <f>IFERROR(__xludf.DUMMYFUNCTION("""COMPUTED_VALUE"""),46083.0)</f>
        <v>46083</v>
      </c>
      <c r="J250" s="54"/>
      <c r="K250" s="19" t="str">
        <f>IFERROR(__xludf.DUMMYFUNCTION("""COMPUTED_VALUE"""),"tidak ada balasan")</f>
        <v>tidak ada balasan</v>
      </c>
      <c r="L250" s="88" t="str">
        <f>IFERROR(__xludf.DUMMYFUNCTION("""COMPUTED_VALUE"""),"https://docs.google.com/document/d/1mNwYwi2re9rg4r-uLsNGYOv4QVER_qOVem6f2K8xaho/edit?usp=sharing")</f>
        <v>https://docs.google.com/document/d/1mNwYwi2re9rg4r-uLsNGYOv4QVER_qOVem6f2K8xaho/edit?usp=sharing</v>
      </c>
      <c r="M250" s="20"/>
      <c r="N250" s="20"/>
      <c r="O250" s="20"/>
      <c r="P250" s="20"/>
    </row>
    <row r="251">
      <c r="A251" s="110">
        <f>IFERROR(__xludf.DUMMYFUNCTION("""COMPUTED_VALUE"""),46120.0)</f>
        <v>46120</v>
      </c>
      <c r="B251" s="110" t="str">
        <f>IFERROR(__xludf.DUMMYFUNCTION("""COMPUTED_VALUE"""),"2604A025")</f>
        <v>2604A025</v>
      </c>
      <c r="C251" s="49" t="str">
        <f>IFERROR(__xludf.DUMMYFUNCTION("""COMPUTED_VALUE"""),"Audi firstania")</f>
        <v>Audi firstania</v>
      </c>
      <c r="D251" s="102" t="str">
        <f>IFERROR(__xludf.DUMMYFUNCTION("""COMPUTED_VALUE"""),"081334332305")</f>
        <v>081334332305</v>
      </c>
      <c r="E251" s="25" t="str">
        <f>IFERROR(__xludf.DUMMYFUNCTION("""COMPUTED_VALUE"""),"Instagram")</f>
        <v>Instagram</v>
      </c>
      <c r="F251" s="25" t="str">
        <f>IFERROR(__xludf.DUMMYFUNCTION("""COMPUTED_VALUE"""),"Closing")</f>
        <v>Closing</v>
      </c>
      <c r="G251" s="25" t="str">
        <f>IFERROR(__xludf.DUMMYFUNCTION("""COMPUTED_VALUE"""),"OT I")</f>
        <v>OT I</v>
      </c>
      <c r="H251" s="78">
        <f>IFERROR(__xludf.DUMMYFUNCTION("""COMPUTED_VALUE"""),46123.0)</f>
        <v>46123</v>
      </c>
      <c r="I251" s="89">
        <f>IFERROR(__xludf.DUMMYFUNCTION("""COMPUTED_VALUE"""),2.0)</f>
        <v>2</v>
      </c>
      <c r="J251" s="96">
        <f>IFERROR(__xludf.DUMMYFUNCTION("""COMPUTED_VALUE"""),500000.0)</f>
        <v>500000</v>
      </c>
      <c r="K251" s="19" t="str">
        <f>IFERROR(__xludf.DUMMYFUNCTION("""COMPUTED_VALUE"""),"ALHAMDULILLAH")</f>
        <v>ALHAMDULILLAH</v>
      </c>
      <c r="L251" s="76"/>
      <c r="M251" s="20"/>
      <c r="N251" s="20"/>
      <c r="O251" s="20"/>
      <c r="P251" s="20"/>
    </row>
    <row r="252">
      <c r="A252" s="97">
        <f>IFERROR(__xludf.DUMMYFUNCTION("""COMPUTED_VALUE"""),46120.0)</f>
        <v>46120</v>
      </c>
      <c r="B252" s="97" t="str">
        <f>IFERROR(__xludf.DUMMYFUNCTION("""COMPUTED_VALUE"""),"2604A026")</f>
        <v>2604A026</v>
      </c>
      <c r="C252" s="76" t="str">
        <f>IFERROR(__xludf.DUMMYFUNCTION("""COMPUTED_VALUE"""),"Daninta")</f>
        <v>Daninta</v>
      </c>
      <c r="D252" s="99" t="str">
        <f>IFERROR(__xludf.DUMMYFUNCTION("""COMPUTED_VALUE"""),"081384847408")</f>
        <v>081384847408</v>
      </c>
      <c r="E252" s="25" t="str">
        <f>IFERROR(__xludf.DUMMYFUNCTION("""COMPUTED_VALUE"""),"Instagram")</f>
        <v>Instagram</v>
      </c>
      <c r="F252" s="25" t="str">
        <f>IFERROR(__xludf.DUMMYFUNCTION("""COMPUTED_VALUE"""),"Closing")</f>
        <v>Closing</v>
      </c>
      <c r="G252" s="15" t="str">
        <f>IFERROR(__xludf.DUMMYFUNCTION("""COMPUTED_VALUE"""),"OT M T")</f>
        <v>OT M T</v>
      </c>
      <c r="H252" s="92">
        <f>IFERROR(__xludf.DUMMYFUNCTION("""COMPUTED_VALUE"""),46128.0)</f>
        <v>46128</v>
      </c>
      <c r="I252" s="80">
        <f>IFERROR(__xludf.DUMMYFUNCTION("""COMPUTED_VALUE"""),1.0)</f>
        <v>1</v>
      </c>
      <c r="J252" s="93">
        <f>IFERROR(__xludf.DUMMYFUNCTION("""COMPUTED_VALUE"""),525000.0)</f>
        <v>525000</v>
      </c>
      <c r="K252" s="19" t="str">
        <f>IFERROR(__xludf.DUMMYFUNCTION("""COMPUTED_VALUE"""),"Orderrrr")</f>
        <v>Orderrrr</v>
      </c>
      <c r="L252" s="88" t="str">
        <f>IFERROR(__xludf.DUMMYFUNCTION("""COMPUTED_VALUE"""),"https://docs.google.com/document/d/1hdiHV-Zq4KSBlIusuqzZqoHhZ7l8WVsAbzmBLn4GIbo/edit?usp=sharing")</f>
        <v>https://docs.google.com/document/d/1hdiHV-Zq4KSBlIusuqzZqoHhZ7l8WVsAbzmBLn4GIbo/edit?usp=sharing</v>
      </c>
      <c r="M252" s="20"/>
      <c r="N252" s="20"/>
      <c r="O252" s="20"/>
      <c r="P252" s="20"/>
    </row>
    <row r="253">
      <c r="A253" s="110">
        <f>IFERROR(__xludf.DUMMYFUNCTION("""COMPUTED_VALUE"""),46120.0)</f>
        <v>46120</v>
      </c>
      <c r="B253" s="110" t="str">
        <f>IFERROR(__xludf.DUMMYFUNCTION("""COMPUTED_VALUE"""),"2604A027")</f>
        <v>2604A027</v>
      </c>
      <c r="C253" s="49" t="str">
        <f>IFERROR(__xludf.DUMMYFUNCTION("""COMPUTED_VALUE"""),"Ara")</f>
        <v>Ara</v>
      </c>
      <c r="D253" s="102" t="str">
        <f>IFERROR(__xludf.DUMMYFUNCTION("""COMPUTED_VALUE"""),"0895635984294")</f>
        <v>0895635984294</v>
      </c>
      <c r="E253" s="25" t="str">
        <f>IFERROR(__xludf.DUMMYFUNCTION("""COMPUTED_VALUE"""),"Website")</f>
        <v>Website</v>
      </c>
      <c r="F253" s="25" t="str">
        <f>IFERROR(__xludf.DUMMYFUNCTION("""COMPUTED_VALUE"""),"Gagal")</f>
        <v>Gagal</v>
      </c>
      <c r="G253" s="15"/>
      <c r="H253" s="92"/>
      <c r="I253" s="89"/>
      <c r="J253" s="96"/>
      <c r="K253" s="36" t="str">
        <f>IFERROR(__xludf.DUMMYFUNCTION("""COMPUTED_VALUE"""),"gada balasan")</f>
        <v>gada balasan</v>
      </c>
      <c r="L253" s="81" t="str">
        <f>IFERROR(__xludf.DUMMYFUNCTION("""COMPUTED_VALUE"""),"https://docs.google.com/document/d/1dekJ0CZIz5oiN9ksok9u_LCyFKthcyglIlGOHgD0A-4/edit?usp=sharing")</f>
        <v>https://docs.google.com/document/d/1dekJ0CZIz5oiN9ksok9u_LCyFKthcyglIlGOHgD0A-4/edit?usp=sharing</v>
      </c>
      <c r="M253" s="20"/>
      <c r="N253" s="20"/>
      <c r="O253" s="20"/>
      <c r="P253" s="20"/>
    </row>
    <row r="254">
      <c r="A254" s="97">
        <f>IFERROR(__xludf.DUMMYFUNCTION("""COMPUTED_VALUE"""),46121.0)</f>
        <v>46121</v>
      </c>
      <c r="B254" s="97" t="str">
        <f>IFERROR(__xludf.DUMMYFUNCTION("""COMPUTED_VALUE"""),"2604A028")</f>
        <v>2604A028</v>
      </c>
      <c r="C254" s="76" t="str">
        <f>IFERROR(__xludf.DUMMYFUNCTION("""COMPUTED_VALUE"""),"Dila Kurnia")</f>
        <v>Dila Kurnia</v>
      </c>
      <c r="D254" s="99" t="str">
        <f>IFERROR(__xludf.DUMMYFUNCTION("""COMPUTED_VALUE"""),"081333336180")</f>
        <v>081333336180</v>
      </c>
      <c r="E254" s="25" t="str">
        <f>IFERROR(__xludf.DUMMYFUNCTION("""COMPUTED_VALUE"""),"Instagram")</f>
        <v>Instagram</v>
      </c>
      <c r="F254" s="25" t="str">
        <f>IFERROR(__xludf.DUMMYFUNCTION("""COMPUTED_VALUE"""),"Closing")</f>
        <v>Closing</v>
      </c>
      <c r="G254" s="25" t="str">
        <f>IFERROR(__xludf.DUMMYFUNCTION("""COMPUTED_VALUE"""),"1D WD, BD, GI, PM")</f>
        <v>1D WD, BD, GI, PM</v>
      </c>
      <c r="H254" s="92">
        <f>IFERROR(__xludf.DUMMYFUNCTION("""COMPUTED_VALUE"""),46143.0)</f>
        <v>46143</v>
      </c>
      <c r="I254" s="80">
        <f>IFERROR(__xludf.DUMMYFUNCTION("""COMPUTED_VALUE"""),10.0)</f>
        <v>10</v>
      </c>
      <c r="J254" s="93">
        <f>IFERROR(__xludf.DUMMYFUNCTION("""COMPUTED_VALUE"""),6100000.0)</f>
        <v>6100000</v>
      </c>
      <c r="K254" s="19" t="str">
        <f>IFERROR(__xludf.DUMMYFUNCTION("""COMPUTED_VALUE"""),"Orderrrr")</f>
        <v>Orderrrr</v>
      </c>
      <c r="L254" s="88" t="str">
        <f>IFERROR(__xludf.DUMMYFUNCTION("""COMPUTED_VALUE"""),"https://docs.google.com/document/d/152z9oZmgN2nuofnY10h2vBEz8OChSwFmw-jB6sAMioU/edit?usp=sharing")</f>
        <v>https://docs.google.com/document/d/152z9oZmgN2nuofnY10h2vBEz8OChSwFmw-jB6sAMioU/edit?usp=sharing</v>
      </c>
      <c r="M254" s="20"/>
      <c r="N254" s="20"/>
      <c r="O254" s="20"/>
      <c r="P254" s="20"/>
    </row>
    <row r="255">
      <c r="A255" s="110">
        <f>IFERROR(__xludf.DUMMYFUNCTION("""COMPUTED_VALUE"""),46122.0)</f>
        <v>46122</v>
      </c>
      <c r="B255" s="110" t="str">
        <f>IFERROR(__xludf.DUMMYFUNCTION("""COMPUTED_VALUE"""),"2604A029")</f>
        <v>2604A029</v>
      </c>
      <c r="C255" s="49" t="str">
        <f>IFERROR(__xludf.DUMMYFUNCTION("""COMPUTED_VALUE"""),"Triaz")</f>
        <v>Triaz</v>
      </c>
      <c r="D255" s="102" t="str">
        <f>IFERROR(__xludf.DUMMYFUNCTION("""COMPUTED_VALUE"""),"08971173658")</f>
        <v>08971173658</v>
      </c>
      <c r="E255" s="25" t="str">
        <f>IFERROR(__xludf.DUMMYFUNCTION("""COMPUTED_VALUE"""),"Website")</f>
        <v>Website</v>
      </c>
      <c r="F255" s="25" t="str">
        <f>IFERROR(__xludf.DUMMYFUNCTION("""COMPUTED_VALUE"""),"Gagal")</f>
        <v>Gagal</v>
      </c>
      <c r="G255" s="15" t="str">
        <f>IFERROR(__xludf.DUMMYFUNCTION("""COMPUTED_VALUE"""),"1D trip")</f>
        <v>1D trip</v>
      </c>
      <c r="H255" s="26"/>
      <c r="I255" s="27">
        <f>IFERROR(__xludf.DUMMYFUNCTION("""COMPUTED_VALUE"""),3.0)</f>
        <v>3</v>
      </c>
      <c r="J255" s="33">
        <f>IFERROR(__xludf.DUMMYFUNCTION("""COMPUTED_VALUE"""),1500000.0)</f>
        <v>1500000</v>
      </c>
      <c r="K255" s="30" t="str">
        <f>IFERROR(__xludf.DUMMYFUNCTION("""COMPUTED_VALUE"""),"tidak ada balasan")</f>
        <v>tidak ada balasan</v>
      </c>
      <c r="L255" s="81" t="str">
        <f>IFERROR(__xludf.DUMMYFUNCTION("""COMPUTED_VALUE"""),"https://docs.google.com/document/d/19J9A9xI9qblVViymafLXjdk7rtr8w3ISomg2PClvCBg/edit?usp=sharing")</f>
        <v>https://docs.google.com/document/d/19J9A9xI9qblVViymafLXjdk7rtr8w3ISomg2PClvCBg/edit?usp=sharing</v>
      </c>
      <c r="M255" s="20"/>
      <c r="N255" s="20"/>
      <c r="O255" s="20"/>
      <c r="P255" s="20"/>
    </row>
    <row r="256">
      <c r="A256" s="97">
        <f>IFERROR(__xludf.DUMMYFUNCTION("""COMPUTED_VALUE"""),46122.0)</f>
        <v>46122</v>
      </c>
      <c r="B256" s="97" t="str">
        <f>IFERROR(__xludf.DUMMYFUNCTION("""COMPUTED_VALUE"""),"2604A030")</f>
        <v>2604A030</v>
      </c>
      <c r="C256" s="76" t="str">
        <f>IFERROR(__xludf.DUMMYFUNCTION("""COMPUTED_VALUE"""),"Febian Basyara")</f>
        <v>Febian Basyara</v>
      </c>
      <c r="D256" s="99" t="str">
        <f>IFERROR(__xludf.DUMMYFUNCTION("""COMPUTED_VALUE"""),"082179631328")</f>
        <v>082179631328</v>
      </c>
      <c r="E256" s="25" t="str">
        <f>IFERROR(__xludf.DUMMYFUNCTION("""COMPUTED_VALUE"""),"Instagram")</f>
        <v>Instagram</v>
      </c>
      <c r="F256" s="25" t="str">
        <f>IFERROR(__xludf.DUMMYFUNCTION("""COMPUTED_VALUE"""),"Gagal")</f>
        <v>Gagal</v>
      </c>
      <c r="G256" s="15"/>
      <c r="H256" s="92"/>
      <c r="I256" s="80"/>
      <c r="J256" s="93"/>
      <c r="K256" s="46" t="str">
        <f>IFERROR(__xludf.DUMMYFUNCTION("""COMPUTED_VALUE"""),"hanya menyapa")</f>
        <v>hanya menyapa</v>
      </c>
      <c r="L256" s="76"/>
      <c r="M256" s="20"/>
      <c r="N256" s="20"/>
      <c r="O256" s="20"/>
      <c r="P256" s="20"/>
    </row>
    <row r="257">
      <c r="A257" s="110">
        <f>IFERROR(__xludf.DUMMYFUNCTION("""COMPUTED_VALUE"""),46123.0)</f>
        <v>46123</v>
      </c>
      <c r="B257" s="110" t="str">
        <f>IFERROR(__xludf.DUMMYFUNCTION("""COMPUTED_VALUE"""),"2604A031")</f>
        <v>2604A031</v>
      </c>
      <c r="C257" s="49" t="str">
        <f>IFERROR(__xludf.DUMMYFUNCTION("""COMPUTED_VALUE"""),"Rinda")</f>
        <v>Rinda</v>
      </c>
      <c r="D257" s="102" t="str">
        <f>IFERROR(__xludf.DUMMYFUNCTION("""COMPUTED_VALUE"""),"087780084085")</f>
        <v>087780084085</v>
      </c>
      <c r="E257" s="25" t="str">
        <f>IFERROR(__xludf.DUMMYFUNCTION("""COMPUTED_VALUE"""),"Instagram")</f>
        <v>Instagram</v>
      </c>
      <c r="F257" s="25" t="str">
        <f>IFERROR(__xludf.DUMMYFUNCTION("""COMPUTED_VALUE"""),"Gagal")</f>
        <v>Gagal</v>
      </c>
      <c r="G257" s="15" t="str">
        <f>IFERROR(__xludf.DUMMYFUNCTION("""COMPUTED_VALUE"""),"Ijen baluran")</f>
        <v>Ijen baluran</v>
      </c>
      <c r="H257" s="92">
        <f>IFERROR(__xludf.DUMMYFUNCTION("""COMPUTED_VALUE"""),46130.0)</f>
        <v>46130</v>
      </c>
      <c r="I257" s="27">
        <f>IFERROR(__xludf.DUMMYFUNCTION("""COMPUTED_VALUE"""),3.0)</f>
        <v>3</v>
      </c>
      <c r="J257" s="96">
        <f>IFERROR(__xludf.DUMMYFUNCTION("""COMPUTED_VALUE"""),2076000.0)</f>
        <v>2076000</v>
      </c>
      <c r="K257" s="30" t="str">
        <f>IFERROR(__xludf.DUMMYFUNCTION("""COMPUTED_VALUE"""),"Tidak ada balasan")</f>
        <v>Tidak ada balasan</v>
      </c>
      <c r="L257" s="81" t="str">
        <f>IFERROR(__xludf.DUMMYFUNCTION("""COMPUTED_VALUE"""),"https://docs.google.com/document/d/1APvbambRm0L1RbC4eH6W2R5XcMBzoVFVqfw1PzOav1o/edit?usp=sharing")</f>
        <v>https://docs.google.com/document/d/1APvbambRm0L1RbC4eH6W2R5XcMBzoVFVqfw1PzOav1o/edit?usp=sharing</v>
      </c>
      <c r="M257" s="20"/>
      <c r="N257" s="20"/>
      <c r="O257" s="20"/>
      <c r="P257" s="20"/>
    </row>
    <row r="258">
      <c r="A258" s="97">
        <f>IFERROR(__xludf.DUMMYFUNCTION("""COMPUTED_VALUE"""),46123.0)</f>
        <v>46123</v>
      </c>
      <c r="B258" s="97" t="str">
        <f>IFERROR(__xludf.DUMMYFUNCTION("""COMPUTED_VALUE"""),"2604A032")</f>
        <v>2604A032</v>
      </c>
      <c r="C258" s="76" t="str">
        <f>IFERROR(__xludf.DUMMYFUNCTION("""COMPUTED_VALUE"""),"RCM Tour")</f>
        <v>RCM Tour</v>
      </c>
      <c r="D258" s="99" t="str">
        <f>IFERROR(__xludf.DUMMYFUNCTION("""COMPUTED_VALUE"""),"082258993434")</f>
        <v>082258993434</v>
      </c>
      <c r="E258" s="25" t="str">
        <f>IFERROR(__xludf.DUMMYFUNCTION("""COMPUTED_VALUE"""),"Website")</f>
        <v>Website</v>
      </c>
      <c r="F258" s="25" t="str">
        <f>IFERROR(__xludf.DUMMYFUNCTION("""COMPUTED_VALUE"""),"Gagal")</f>
        <v>Gagal</v>
      </c>
      <c r="G258" s="25" t="str">
        <f>IFERROR(__xludf.DUMMYFUNCTION("""COMPUTED_VALUE"""),"3h2m")</f>
        <v>3h2m</v>
      </c>
      <c r="H258" s="92"/>
      <c r="I258" s="17">
        <f>IFERROR(__xludf.DUMMYFUNCTION("""COMPUTED_VALUE"""),20.0)</f>
        <v>20</v>
      </c>
      <c r="J258" s="93">
        <f>IFERROR(__xludf.DUMMYFUNCTION("""COMPUTED_VALUE"""),3.2E7)</f>
        <v>32000000</v>
      </c>
      <c r="K258" s="46" t="str">
        <f>IFERROR(__xludf.DUMMYFUNCTION("""COMPUTED_VALUE"""),"jadinya ke Bangkok")</f>
        <v>jadinya ke Bangkok</v>
      </c>
      <c r="L258" s="76"/>
      <c r="M258" s="20"/>
      <c r="N258" s="20"/>
      <c r="O258" s="20"/>
      <c r="P258" s="20"/>
    </row>
    <row r="259">
      <c r="A259" s="110">
        <f>IFERROR(__xludf.DUMMYFUNCTION("""COMPUTED_VALUE"""),46121.0)</f>
        <v>46121</v>
      </c>
      <c r="B259" s="97" t="str">
        <f>IFERROR(__xludf.DUMMYFUNCTION("""COMPUTED_VALUE"""),"2604A033")</f>
        <v>2604A033</v>
      </c>
      <c r="C259" s="49" t="str">
        <f>IFERROR(__xludf.DUMMYFUNCTION("""COMPUTED_VALUE"""),"Della")</f>
        <v>Della</v>
      </c>
      <c r="D259" s="102" t="str">
        <f>IFERROR(__xludf.DUMMYFUNCTION("""COMPUTED_VALUE"""),"082334491671")</f>
        <v>082334491671</v>
      </c>
      <c r="E259" s="25" t="str">
        <f>IFERROR(__xludf.DUMMYFUNCTION("""COMPUTED_VALUE"""),"Instagram")</f>
        <v>Instagram</v>
      </c>
      <c r="F259" s="25" t="str">
        <f>IFERROR(__xludf.DUMMYFUNCTION("""COMPUTED_VALUE"""),"Gagal")</f>
        <v>Gagal</v>
      </c>
      <c r="G259" s="15" t="str">
        <f>IFERROR(__xludf.DUMMYFUNCTION("""COMPUTED_VALUE"""),"OT M T")</f>
        <v>OT M T</v>
      </c>
      <c r="H259" s="78">
        <f>IFERROR(__xludf.DUMMYFUNCTION("""COMPUTED_VALUE"""),46132.0)</f>
        <v>46132</v>
      </c>
      <c r="I259" s="27">
        <f>IFERROR(__xludf.DUMMYFUNCTION("""COMPUTED_VALUE"""),1.0)</f>
        <v>1</v>
      </c>
      <c r="J259" s="96">
        <f>IFERROR(__xludf.DUMMYFUNCTION("""COMPUTED_VALUE"""),525000.0)</f>
        <v>525000</v>
      </c>
      <c r="K259" s="36" t="str">
        <f>IFERROR(__xludf.DUMMYFUNCTION("""COMPUTED_VALUE"""),"Tidak ada peserta")</f>
        <v>Tidak ada peserta</v>
      </c>
      <c r="L259" s="49"/>
      <c r="M259" s="20"/>
      <c r="N259" s="20"/>
      <c r="O259" s="20"/>
      <c r="P259" s="20"/>
    </row>
    <row r="260">
      <c r="A260" s="97">
        <f>IFERROR(__xludf.DUMMYFUNCTION("""COMPUTED_VALUE"""),46121.0)</f>
        <v>46121</v>
      </c>
      <c r="B260" s="97" t="str">
        <f>IFERROR(__xludf.DUMMYFUNCTION("""COMPUTED_VALUE"""),"2604A034")</f>
        <v>2604A034</v>
      </c>
      <c r="C260" s="76" t="str">
        <f>IFERROR(__xludf.DUMMYFUNCTION("""COMPUTED_VALUE"""),"Ika")</f>
        <v>Ika</v>
      </c>
      <c r="D260" s="99" t="str">
        <f>IFERROR(__xludf.DUMMYFUNCTION("""COMPUTED_VALUE"""),"089699872548")</f>
        <v>089699872548</v>
      </c>
      <c r="E260" s="25" t="str">
        <f>IFERROR(__xludf.DUMMYFUNCTION("""COMPUTED_VALUE"""),"Instagram")</f>
        <v>Instagram</v>
      </c>
      <c r="F260" s="25" t="str">
        <f>IFERROR(__xludf.DUMMYFUNCTION("""COMPUTED_VALUE"""),"Gagal")</f>
        <v>Gagal</v>
      </c>
      <c r="G260" s="15" t="str">
        <f>IFERROR(__xludf.DUMMYFUNCTION("""COMPUTED_VALUE"""),"OT I")</f>
        <v>OT I</v>
      </c>
      <c r="H260" s="92"/>
      <c r="I260" s="80"/>
      <c r="J260" s="93"/>
      <c r="K260" s="19" t="str">
        <f>IFERROR(__xludf.DUMMYFUNCTION("""COMPUTED_VALUE"""),"tidak ada balasan")</f>
        <v>tidak ada balasan</v>
      </c>
      <c r="L260" s="88" t="str">
        <f>IFERROR(__xludf.DUMMYFUNCTION("""COMPUTED_VALUE"""),"https://docs.google.com/document/d/1ZDEhCNVN0JXAeZbdv_4BkZSUUHA2mJIqTGzsl-m3B6s/edit?usp=sharing")</f>
        <v>https://docs.google.com/document/d/1ZDEhCNVN0JXAeZbdv_4BkZSUUHA2mJIqTGzsl-m3B6s/edit?usp=sharing</v>
      </c>
      <c r="M260" s="20"/>
      <c r="N260" s="20"/>
      <c r="O260" s="20"/>
      <c r="P260" s="20"/>
    </row>
    <row r="261">
      <c r="A261" s="110">
        <f>IFERROR(__xludf.DUMMYFUNCTION("""COMPUTED_VALUE"""),46121.0)</f>
        <v>46121</v>
      </c>
      <c r="B261" s="110" t="str">
        <f>IFERROR(__xludf.DUMMYFUNCTION("""COMPUTED_VALUE"""),"2604A035")</f>
        <v>2604A035</v>
      </c>
      <c r="C261" s="49" t="str">
        <f>IFERROR(__xludf.DUMMYFUNCTION("""COMPUTED_VALUE"""),"Sinta Nurmawati")</f>
        <v>Sinta Nurmawati</v>
      </c>
      <c r="D261" s="102" t="str">
        <f>IFERROR(__xludf.DUMMYFUNCTION("""COMPUTED_VALUE"""),"08977537928")</f>
        <v>08977537928</v>
      </c>
      <c r="E261" s="25" t="str">
        <f>IFERROR(__xludf.DUMMYFUNCTION("""COMPUTED_VALUE"""),"Instagram")</f>
        <v>Instagram</v>
      </c>
      <c r="F261" s="25" t="str">
        <f>IFERROR(__xludf.DUMMYFUNCTION("""COMPUTED_VALUE"""),"Gagal")</f>
        <v>Gagal</v>
      </c>
      <c r="G261" s="15" t="str">
        <f>IFERROR(__xludf.DUMMYFUNCTION("""COMPUTED_VALUE"""),"ot 3h2m ")</f>
        <v>ot 3h2m </v>
      </c>
      <c r="H261" s="78"/>
      <c r="I261" s="27">
        <f>IFERROR(__xludf.DUMMYFUNCTION("""COMPUTED_VALUE"""),2.0)</f>
        <v>2</v>
      </c>
      <c r="J261" s="96">
        <f>IFERROR(__xludf.DUMMYFUNCTION("""COMPUTED_VALUE"""),3200000.0)</f>
        <v>3200000</v>
      </c>
      <c r="K261" s="19" t="str">
        <f>IFERROR(__xludf.DUMMYFUNCTION("""COMPUTED_VALUE"""),"Tidak ada balasan")</f>
        <v>Tidak ada balasan</v>
      </c>
      <c r="L261" s="88" t="str">
        <f>IFERROR(__xludf.DUMMYFUNCTION("""COMPUTED_VALUE"""),"https://docs.google.com/document/d/1Lp0NZEyWISxzImTuDlCy2KDgKjPwz8zROY3v61HOTHc/edit?usp=sharing")</f>
        <v>https://docs.google.com/document/d/1Lp0NZEyWISxzImTuDlCy2KDgKjPwz8zROY3v61HOTHc/edit?usp=sharing</v>
      </c>
      <c r="M261" s="20"/>
      <c r="N261" s="20"/>
      <c r="O261" s="20"/>
      <c r="P261" s="20"/>
    </row>
    <row r="262">
      <c r="A262" s="97">
        <f>IFERROR(__xludf.DUMMYFUNCTION("""COMPUTED_VALUE"""),46123.0)</f>
        <v>46123</v>
      </c>
      <c r="B262" s="97" t="str">
        <f>IFERROR(__xludf.DUMMYFUNCTION("""COMPUTED_VALUE"""),"2604A036")</f>
        <v>2604A036</v>
      </c>
      <c r="C262" s="76" t="str">
        <f>IFERROR(__xludf.DUMMYFUNCTION("""COMPUTED_VALUE"""),"sinta")</f>
        <v>sinta</v>
      </c>
      <c r="D262" s="99" t="str">
        <f>IFERROR(__xludf.DUMMYFUNCTION("""COMPUTED_VALUE"""),"085903711129")</f>
        <v>085903711129</v>
      </c>
      <c r="E262" s="25" t="str">
        <f>IFERROR(__xludf.DUMMYFUNCTION("""COMPUTED_VALUE"""),"Instagram")</f>
        <v>Instagram</v>
      </c>
      <c r="F262" s="25" t="str">
        <f>IFERROR(__xludf.DUMMYFUNCTION("""COMPUTED_VALUE"""),"Gagal")</f>
        <v>Gagal</v>
      </c>
      <c r="G262" s="15" t="str">
        <f>IFERROR(__xludf.DUMMYFUNCTION("""COMPUTED_VALUE"""),"3H2M Opsi B")</f>
        <v>3H2M Opsi B</v>
      </c>
      <c r="H262" s="92"/>
      <c r="I262" s="17">
        <f>IFERROR(__xludf.DUMMYFUNCTION("""COMPUTED_VALUE"""),5.0)</f>
        <v>5</v>
      </c>
      <c r="J262" s="54">
        <f>IFERROR(__xludf.DUMMYFUNCTION("""COMPUTED_VALUE"""),5225000.0)</f>
        <v>5225000</v>
      </c>
      <c r="K262" s="19" t="str">
        <f>IFERROR(__xludf.DUMMYFUNCTION("""COMPUTED_VALUE"""),"sudah  join di penawaran lain")</f>
        <v>sudah  join di penawaran lain</v>
      </c>
      <c r="L262" s="88" t="str">
        <f>IFERROR(__xludf.DUMMYFUNCTION("""COMPUTED_VALUE"""),"https://docs.google.com/document/d/1grhWc8zgkscGz5QpiGqjvFhB_HL0M-HKjXHwR3UrsQY/edit?usp=sharing")</f>
        <v>https://docs.google.com/document/d/1grhWc8zgkscGz5QpiGqjvFhB_HL0M-HKjXHwR3UrsQY/edit?usp=sharing</v>
      </c>
      <c r="M262" s="20"/>
      <c r="N262" s="20"/>
      <c r="O262" s="20"/>
      <c r="P262" s="20"/>
    </row>
    <row r="263">
      <c r="A263" s="110">
        <f>IFERROR(__xludf.DUMMYFUNCTION("""COMPUTED_VALUE"""),46123.0)</f>
        <v>46123</v>
      </c>
      <c r="B263" s="110" t="str">
        <f>IFERROR(__xludf.DUMMYFUNCTION("""COMPUTED_VALUE"""),"2604A037")</f>
        <v>2604A037</v>
      </c>
      <c r="C263" s="102" t="str">
        <f>IFERROR(__xludf.DUMMYFUNCTION("""COMPUTED_VALUE"""),"tanti")</f>
        <v>tanti</v>
      </c>
      <c r="D263" s="102" t="str">
        <f>IFERROR(__xludf.DUMMYFUNCTION("""COMPUTED_VALUE"""),"08121429009")</f>
        <v>08121429009</v>
      </c>
      <c r="E263" s="25" t="str">
        <f>IFERROR(__xludf.DUMMYFUNCTION("""COMPUTED_VALUE"""),"Website")</f>
        <v>Website</v>
      </c>
      <c r="F263" s="25" t="str">
        <f>IFERROR(__xludf.DUMMYFUNCTION("""COMPUTED_VALUE"""),"Qualified")</f>
        <v>Qualified</v>
      </c>
      <c r="G263" s="15" t="str">
        <f>IFERROR(__xludf.DUMMYFUNCTION("""COMPUTED_VALUE"""),"OT 3H2M")</f>
        <v>OT 3H2M</v>
      </c>
      <c r="H263" s="78"/>
      <c r="I263" s="89">
        <f>IFERROR(__xludf.DUMMYFUNCTION("""COMPUTED_VALUE"""),2.0)</f>
        <v>2</v>
      </c>
      <c r="J263" s="96">
        <f>IFERROR(__xludf.DUMMYFUNCTION("""COMPUTED_VALUE"""),3200000.0)</f>
        <v>3200000</v>
      </c>
      <c r="K263" s="36" t="str">
        <f>IFERROR(__xludf.DUMMYFUNCTION("""COMPUTED_VALUE"""),"fu 10  mei")</f>
        <v>fu 10  mei</v>
      </c>
      <c r="L263" s="81" t="str">
        <f>IFERROR(__xludf.DUMMYFUNCTION("""COMPUTED_VALUE"""),"https://docs.google.com/document/d/1tw1BYXESqh0wP9bkhQBi4V1R3etBrR0QP_d9R6VH1fU/edit?usp=sharing")</f>
        <v>https://docs.google.com/document/d/1tw1BYXESqh0wP9bkhQBi4V1R3etBrR0QP_d9R6VH1fU/edit?usp=sharing</v>
      </c>
      <c r="M263" s="20"/>
      <c r="N263" s="20"/>
      <c r="O263" s="20"/>
      <c r="P263" s="20"/>
    </row>
    <row r="264">
      <c r="A264" s="97">
        <f>IFERROR(__xludf.DUMMYFUNCTION("""COMPUTED_VALUE"""),46123.0)</f>
        <v>46123</v>
      </c>
      <c r="B264" s="97" t="str">
        <f>IFERROR(__xludf.DUMMYFUNCTION("""COMPUTED_VALUE"""),"2604A038")</f>
        <v>2604A038</v>
      </c>
      <c r="C264" s="76" t="str">
        <f>IFERROR(__xludf.DUMMYFUNCTION("""COMPUTED_VALUE"""),"No Name")</f>
        <v>No Name</v>
      </c>
      <c r="D264" s="99" t="str">
        <f>IFERROR(__xludf.DUMMYFUNCTION("""COMPUTED_VALUE"""),"08112424428")</f>
        <v>08112424428</v>
      </c>
      <c r="E264" s="25" t="str">
        <f>IFERROR(__xludf.DUMMYFUNCTION("""COMPUTED_VALUE"""),"Website")</f>
        <v>Website</v>
      </c>
      <c r="F264" s="25" t="str">
        <f>IFERROR(__xludf.DUMMYFUNCTION("""COMPUTED_VALUE"""),"Gagal")</f>
        <v>Gagal</v>
      </c>
      <c r="G264" s="15" t="str">
        <f>IFERROR(__xludf.DUMMYFUNCTION("""COMPUTED_VALUE"""),"OT 3H2M")</f>
        <v>OT 3H2M</v>
      </c>
      <c r="H264" s="92">
        <f>IFERROR(__xludf.DUMMYFUNCTION("""COMPUTED_VALUE"""),46156.0)</f>
        <v>46156</v>
      </c>
      <c r="I264" s="80">
        <f>IFERROR(__xludf.DUMMYFUNCTION("""COMPUTED_VALUE"""),2.0)</f>
        <v>2</v>
      </c>
      <c r="J264" s="93">
        <f>IFERROR(__xludf.DUMMYFUNCTION("""COMPUTED_VALUE"""),3200000.0)</f>
        <v>3200000</v>
      </c>
      <c r="K264" s="19" t="str">
        <f>IFERROR(__xludf.DUMMYFUNCTION("""COMPUTED_VALUE"""),"trip mandiri")</f>
        <v>trip mandiri</v>
      </c>
      <c r="L264" s="88" t="str">
        <f>IFERROR(__xludf.DUMMYFUNCTION("""COMPUTED_VALUE"""),"https://docs.google.com/document/d/1kV-tohbU-FdEppAwI4vUbP7iNFJoA41nFctzo1j6Iiw/edit?usp=sharing")</f>
        <v>https://docs.google.com/document/d/1kV-tohbU-FdEppAwI4vUbP7iNFJoA41nFctzo1j6Iiw/edit?usp=sharing</v>
      </c>
      <c r="M264" s="20"/>
      <c r="N264" s="20"/>
      <c r="O264" s="20"/>
      <c r="P264" s="20"/>
    </row>
    <row r="265">
      <c r="A265" s="110">
        <f>IFERROR(__xludf.DUMMYFUNCTION("""COMPUTED_VALUE"""),46123.0)</f>
        <v>46123</v>
      </c>
      <c r="B265" s="110" t="str">
        <f>IFERROR(__xludf.DUMMYFUNCTION("""COMPUTED_VALUE"""),"2604A039")</f>
        <v>2604A039</v>
      </c>
      <c r="C265" s="49" t="str">
        <f>IFERROR(__xludf.DUMMYFUNCTION("""COMPUTED_VALUE"""),"Septin")</f>
        <v>Septin</v>
      </c>
      <c r="D265" s="102" t="str">
        <f>IFERROR(__xludf.DUMMYFUNCTION("""COMPUTED_VALUE"""),"081515771848")</f>
        <v>081515771848</v>
      </c>
      <c r="E265" s="25" t="str">
        <f>IFERROR(__xludf.DUMMYFUNCTION("""COMPUTED_VALUE"""),"Instagram")</f>
        <v>Instagram</v>
      </c>
      <c r="F265" s="25" t="str">
        <f>IFERROR(__xludf.DUMMYFUNCTION("""COMPUTED_VALUE"""),"Gagal")</f>
        <v>Gagal</v>
      </c>
      <c r="G265" s="15" t="str">
        <f>IFERROR(__xludf.DUMMYFUNCTION("""COMPUTED_VALUE"""),"Trip GI")</f>
        <v>Trip GI</v>
      </c>
      <c r="H265" s="78">
        <f>IFERROR(__xludf.DUMMYFUNCTION("""COMPUTED_VALUE"""),46157.0)</f>
        <v>46157</v>
      </c>
      <c r="I265" s="89">
        <f>IFERROR(__xludf.DUMMYFUNCTION("""COMPUTED_VALUE"""),6.0)</f>
        <v>6</v>
      </c>
      <c r="J265" s="96">
        <f>IFERROR(__xludf.DUMMYFUNCTION("""COMPUTED_VALUE"""),3570000.0)</f>
        <v>3570000</v>
      </c>
      <c r="K265" s="36" t="str">
        <f>IFERROR(__xludf.DUMMYFUNCTION("""COMPUTED_VALUE"""),"tidak ada jawaban")</f>
        <v>tidak ada jawaban</v>
      </c>
      <c r="L265" s="81" t="str">
        <f>IFERROR(__xludf.DUMMYFUNCTION("""COMPUTED_VALUE"""),"https://docs.google.com/document/d/1dtx7pl6uZ54iMbdKwd3Cp2KFcgoN1SfA7uQliXjgkz0/edit?usp=sharing")</f>
        <v>https://docs.google.com/document/d/1dtx7pl6uZ54iMbdKwd3Cp2KFcgoN1SfA7uQliXjgkz0/edit?usp=sharing</v>
      </c>
      <c r="M265" s="20"/>
      <c r="N265" s="20"/>
      <c r="O265" s="20"/>
      <c r="P265" s="20"/>
    </row>
    <row r="266">
      <c r="A266" s="97">
        <f>IFERROR(__xludf.DUMMYFUNCTION("""COMPUTED_VALUE"""),46124.0)</f>
        <v>46124</v>
      </c>
      <c r="B266" s="97" t="str">
        <f>IFERROR(__xludf.DUMMYFUNCTION("""COMPUTED_VALUE"""),"2604A040")</f>
        <v>2604A040</v>
      </c>
      <c r="C266" s="76" t="str">
        <f>IFERROR(__xludf.DUMMYFUNCTION("""COMPUTED_VALUE"""),"Daniel")</f>
        <v>Daniel</v>
      </c>
      <c r="D266" s="99" t="str">
        <f>IFERROR(__xludf.DUMMYFUNCTION("""COMPUTED_VALUE"""),"491718386314")</f>
        <v>491718386314</v>
      </c>
      <c r="E266" s="25" t="str">
        <f>IFERROR(__xludf.DUMMYFUNCTION("""COMPUTED_VALUE"""),"Website")</f>
        <v>Website</v>
      </c>
      <c r="F266" s="25" t="str">
        <f>IFERROR(__xludf.DUMMYFUNCTION("""COMPUTED_VALUE"""),"Closing")</f>
        <v>Closing</v>
      </c>
      <c r="G266" s="25" t="str">
        <f>IFERROR(__xludf.DUMMYFUNCTION("""COMPUTED_VALUE"""),"Trip ijen")</f>
        <v>Trip ijen</v>
      </c>
      <c r="H266" s="92"/>
      <c r="I266" s="80">
        <f>IFERROR(__xludf.DUMMYFUNCTION("""COMPUTED_VALUE"""),4.0)</f>
        <v>4</v>
      </c>
      <c r="J266" s="93">
        <f>IFERROR(__xludf.DUMMYFUNCTION("""COMPUTED_VALUE"""),2256000.0)</f>
        <v>2256000</v>
      </c>
      <c r="K266" s="19" t="str">
        <f>IFERROR(__xludf.DUMMYFUNCTION("""COMPUTED_VALUE"""),"orderr")</f>
        <v>orderr</v>
      </c>
      <c r="L266" s="88" t="str">
        <f>IFERROR(__xludf.DUMMYFUNCTION("""COMPUTED_VALUE"""),"https://docs.google.com/document/d/1_KJiYE_jm49EUGE1_LMUgzToovUBRgJdPWdhkNP6yJo/edit?usp=sharing")</f>
        <v>https://docs.google.com/document/d/1_KJiYE_jm49EUGE1_LMUgzToovUBRgJdPWdhkNP6yJo/edit?usp=sharing</v>
      </c>
      <c r="M266" s="20"/>
      <c r="N266" s="20"/>
      <c r="O266" s="20"/>
      <c r="P266" s="20"/>
    </row>
    <row r="267">
      <c r="A267" s="110">
        <f>IFERROR(__xludf.DUMMYFUNCTION("""COMPUTED_VALUE"""),46124.0)</f>
        <v>46124</v>
      </c>
      <c r="B267" s="110" t="str">
        <f>IFERROR(__xludf.DUMMYFUNCTION("""COMPUTED_VALUE"""),"2604A041")</f>
        <v>2604A041</v>
      </c>
      <c r="C267" s="49" t="str">
        <f>IFERROR(__xludf.DUMMYFUNCTION("""COMPUTED_VALUE"""),"Hilman")</f>
        <v>Hilman</v>
      </c>
      <c r="D267" s="102" t="str">
        <f>IFERROR(__xludf.DUMMYFUNCTION("""COMPUTED_VALUE"""),"087851935254")</f>
        <v>087851935254</v>
      </c>
      <c r="E267" s="25" t="str">
        <f>IFERROR(__xludf.DUMMYFUNCTION("""COMPUTED_VALUE"""),"Website")</f>
        <v>Website</v>
      </c>
      <c r="F267" s="25" t="str">
        <f>IFERROR(__xludf.DUMMYFUNCTION("""COMPUTED_VALUE"""),"Gagal")</f>
        <v>Gagal</v>
      </c>
      <c r="G267" s="15" t="str">
        <f>IFERROR(__xludf.DUMMYFUNCTION("""COMPUTED_VALUE"""),"1D D, B ")</f>
        <v>1D D, B </v>
      </c>
      <c r="H267" s="78">
        <f>IFERROR(__xludf.DUMMYFUNCTION("""COMPUTED_VALUE"""),46144.0)</f>
        <v>46144</v>
      </c>
      <c r="I267" s="89">
        <f>IFERROR(__xludf.DUMMYFUNCTION("""COMPUTED_VALUE"""),5.0)</f>
        <v>5</v>
      </c>
      <c r="J267" s="33">
        <f>IFERROR(__xludf.DUMMYFUNCTION("""COMPUTED_VALUE"""),2115000.0)</f>
        <v>2115000</v>
      </c>
      <c r="K267" s="36" t="str">
        <f>IFERROR(__xludf.DUMMYFUNCTION("""COMPUTED_VALUE"""),"tidak ada jawaban")</f>
        <v>tidak ada jawaban</v>
      </c>
      <c r="L267" s="81" t="str">
        <f>IFERROR(__xludf.DUMMYFUNCTION("""COMPUTED_VALUE"""),"https://docs.google.com/document/d/1UWKQuRQWEFDg6BdKNGG0J5S703G8PKMpGc2AeRoHVO0/edit?usp=sharing")</f>
        <v>https://docs.google.com/document/d/1UWKQuRQWEFDg6BdKNGG0J5S703G8PKMpGc2AeRoHVO0/edit?usp=sharing</v>
      </c>
      <c r="M267" s="20"/>
      <c r="N267" s="20"/>
      <c r="O267" s="20"/>
      <c r="P267" s="20"/>
    </row>
    <row r="268">
      <c r="A268" s="97">
        <f>IFERROR(__xludf.DUMMYFUNCTION("""COMPUTED_VALUE"""),46124.0)</f>
        <v>46124</v>
      </c>
      <c r="B268" s="97" t="str">
        <f>IFERROR(__xludf.DUMMYFUNCTION("""COMPUTED_VALUE"""),"2604A042")</f>
        <v>2604A042</v>
      </c>
      <c r="C268" s="76" t="str">
        <f>IFERROR(__xludf.DUMMYFUNCTION("""COMPUTED_VALUE"""),"Finni yuliani")</f>
        <v>Finni yuliani</v>
      </c>
      <c r="D268" s="99" t="str">
        <f>IFERROR(__xludf.DUMMYFUNCTION("""COMPUTED_VALUE"""),"0895320822521")</f>
        <v>0895320822521</v>
      </c>
      <c r="E268" s="25" t="str">
        <f>IFERROR(__xludf.DUMMYFUNCTION("""COMPUTED_VALUE"""),"Instagram")</f>
        <v>Instagram</v>
      </c>
      <c r="F268" s="25" t="str">
        <f>IFERROR(__xludf.DUMMYFUNCTION("""COMPUTED_VALUE"""),"Gagal")</f>
        <v>Gagal</v>
      </c>
      <c r="G268" s="25"/>
      <c r="H268" s="92"/>
      <c r="I268" s="80"/>
      <c r="J268" s="93"/>
      <c r="K268" s="19" t="str">
        <f>IFERROR(__xludf.DUMMYFUNCTION("""COMPUTED_VALUE"""),"Hanya menyapa")</f>
        <v>Hanya menyapa</v>
      </c>
      <c r="L268" s="76"/>
      <c r="M268" s="20"/>
      <c r="N268" s="20"/>
      <c r="O268" s="20"/>
      <c r="P268" s="20"/>
    </row>
    <row r="269">
      <c r="A269" s="110">
        <f>IFERROR(__xludf.DUMMYFUNCTION("""COMPUTED_VALUE"""),46124.0)</f>
        <v>46124</v>
      </c>
      <c r="B269" s="110" t="str">
        <f>IFERROR(__xludf.DUMMYFUNCTION("""COMPUTED_VALUE"""),"2604A043")</f>
        <v>2604A043</v>
      </c>
      <c r="C269" s="49" t="str">
        <f>IFERROR(__xludf.DUMMYFUNCTION("""COMPUTED_VALUE"""),"Haryanda bagus")</f>
        <v>Haryanda bagus</v>
      </c>
      <c r="D269" s="102" t="str">
        <f>IFERROR(__xludf.DUMMYFUNCTION("""COMPUTED_VALUE"""),"085258584658")</f>
        <v>085258584658</v>
      </c>
      <c r="E269" s="25" t="str">
        <f>IFERROR(__xludf.DUMMYFUNCTION("""COMPUTED_VALUE"""),"Instagram")</f>
        <v>Instagram</v>
      </c>
      <c r="F269" s="25" t="str">
        <f>IFERROR(__xludf.DUMMYFUNCTION("""COMPUTED_VALUE"""),"Gagal")</f>
        <v>Gagal</v>
      </c>
      <c r="G269" s="15"/>
      <c r="H269" s="78"/>
      <c r="I269" s="89"/>
      <c r="J269" s="96"/>
      <c r="K269" s="36" t="str">
        <f>IFERROR(__xludf.DUMMYFUNCTION("""COMPUTED_VALUE"""),"Hanya menyapa")</f>
        <v>Hanya menyapa</v>
      </c>
      <c r="L269" s="49"/>
      <c r="M269" s="20"/>
      <c r="N269" s="20"/>
      <c r="O269" s="20"/>
      <c r="P269" s="20"/>
    </row>
    <row r="270">
      <c r="A270" s="97">
        <f>IFERROR(__xludf.DUMMYFUNCTION("""COMPUTED_VALUE"""),46124.0)</f>
        <v>46124</v>
      </c>
      <c r="B270" s="97" t="str">
        <f>IFERROR(__xludf.DUMMYFUNCTION("""COMPUTED_VALUE"""),"2604A044")</f>
        <v>2604A044</v>
      </c>
      <c r="C270" s="76" t="str">
        <f>IFERROR(__xludf.DUMMYFUNCTION("""COMPUTED_VALUE"""),"No Name")</f>
        <v>No Name</v>
      </c>
      <c r="D270" s="99" t="str">
        <f>IFERROR(__xludf.DUMMYFUNCTION("""COMPUTED_VALUE"""),"085117752548")</f>
        <v>085117752548</v>
      </c>
      <c r="E270" s="25" t="str">
        <f>IFERROR(__xludf.DUMMYFUNCTION("""COMPUTED_VALUE"""),"Instagram")</f>
        <v>Instagram</v>
      </c>
      <c r="F270" s="25" t="str">
        <f>IFERROR(__xludf.DUMMYFUNCTION("""COMPUTED_VALUE"""),"Gagal")</f>
        <v>Gagal</v>
      </c>
      <c r="G270" s="25" t="str">
        <f>IFERROR(__xludf.DUMMYFUNCTION("""COMPUTED_VALUE""")," OT 2D1N")</f>
        <v> OT 2D1N</v>
      </c>
      <c r="H270" s="92"/>
      <c r="I270" s="80">
        <f>IFERROR(__xludf.DUMMYFUNCTION("""COMPUTED_VALUE"""),1.0)</f>
        <v>1</v>
      </c>
      <c r="J270" s="93"/>
      <c r="K270" s="19" t="str">
        <f>IFERROR(__xludf.DUMMYFUNCTION("""COMPUTED_VALUE"""),"gada balasan")</f>
        <v>gada balasan</v>
      </c>
      <c r="L270" s="88" t="str">
        <f>IFERROR(__xludf.DUMMYFUNCTION("""COMPUTED_VALUE"""),"https://docs.google.com/document/d/12UzPcCj8bm33B2OEzrVbY_OXwiBhfxYoD9mTTLRBeTY/edit?usp=sharing")</f>
        <v>https://docs.google.com/document/d/12UzPcCj8bm33B2OEzrVbY_OXwiBhfxYoD9mTTLRBeTY/edit?usp=sharing</v>
      </c>
      <c r="M270" s="20"/>
      <c r="N270" s="20"/>
      <c r="O270" s="20"/>
      <c r="P270" s="20"/>
    </row>
    <row r="271">
      <c r="A271" s="110">
        <f>IFERROR(__xludf.DUMMYFUNCTION("""COMPUTED_VALUE"""),46124.0)</f>
        <v>46124</v>
      </c>
      <c r="B271" s="110" t="str">
        <f>IFERROR(__xludf.DUMMYFUNCTION("""COMPUTED_VALUE"""),"2604A045")</f>
        <v>2604A045</v>
      </c>
      <c r="C271" s="49" t="str">
        <f>IFERROR(__xludf.DUMMYFUNCTION("""COMPUTED_VALUE"""),"Celine")</f>
        <v>Celine</v>
      </c>
      <c r="D271" s="102" t="str">
        <f>IFERROR(__xludf.DUMMYFUNCTION("""COMPUTED_VALUE"""),"087813520145")</f>
        <v>087813520145</v>
      </c>
      <c r="E271" s="25" t="str">
        <f>IFERROR(__xludf.DUMMYFUNCTION("""COMPUTED_VALUE"""),"Instagram")</f>
        <v>Instagram</v>
      </c>
      <c r="F271" s="25" t="str">
        <f>IFERROR(__xludf.DUMMYFUNCTION("""COMPUTED_VALUE"""),"Qualified")</f>
        <v>Qualified</v>
      </c>
      <c r="G271" s="25" t="str">
        <f>IFERROR(__xludf.DUMMYFUNCTION("""COMPUTED_VALUE"""),"Trip D, B, PM, Kawah wurung")</f>
        <v>Trip D, B, PM, Kawah wurung</v>
      </c>
      <c r="H271" s="78"/>
      <c r="I271" s="89">
        <f>IFERROR(__xludf.DUMMYFUNCTION("""COMPUTED_VALUE"""),3.0)</f>
        <v>3</v>
      </c>
      <c r="J271" s="33">
        <f>IFERROR(__xludf.DUMMYFUNCTION("""COMPUTED_VALUE"""),3540000.0)</f>
        <v>3540000</v>
      </c>
      <c r="K271" s="30" t="str">
        <f>IFERROR(__xludf.DUMMYFUNCTION("""COMPUTED_VALUE"""),"FU 5 mei")</f>
        <v>FU 5 mei</v>
      </c>
      <c r="L271" s="81" t="str">
        <f>IFERROR(__xludf.DUMMYFUNCTION("""COMPUTED_VALUE"""),"https://docs.google.com/document/d/1kA7lEu7PdLCfWjo5mzgEk9bw7rm4B8A2fmokR6EtvjI/edit?usp=sharing")</f>
        <v>https://docs.google.com/document/d/1kA7lEu7PdLCfWjo5mzgEk9bw7rm4B8A2fmokR6EtvjI/edit?usp=sharing</v>
      </c>
      <c r="M271" s="20"/>
      <c r="N271" s="20"/>
      <c r="O271" s="20"/>
      <c r="P271" s="20"/>
    </row>
    <row r="272">
      <c r="A272" s="97">
        <f>IFERROR(__xludf.DUMMYFUNCTION("""COMPUTED_VALUE"""),46125.0)</f>
        <v>46125</v>
      </c>
      <c r="B272" s="97" t="str">
        <f>IFERROR(__xludf.DUMMYFUNCTION("""COMPUTED_VALUE"""),"2604A046")</f>
        <v>2604A046</v>
      </c>
      <c r="C272" s="76" t="str">
        <f>IFERROR(__xludf.DUMMYFUNCTION("""COMPUTED_VALUE"""),"Taju")</f>
        <v>Taju</v>
      </c>
      <c r="D272" s="99" t="str">
        <f>IFERROR(__xludf.DUMMYFUNCTION("""COMPUTED_VALUE"""),"082134237377")</f>
        <v>082134237377</v>
      </c>
      <c r="E272" s="25" t="str">
        <f>IFERROR(__xludf.DUMMYFUNCTION("""COMPUTED_VALUE"""),"Instagram")</f>
        <v>Instagram</v>
      </c>
      <c r="F272" s="25" t="str">
        <f>IFERROR(__xludf.DUMMYFUNCTION("""COMPUTED_VALUE"""),"Gagal")</f>
        <v>Gagal</v>
      </c>
      <c r="G272" s="25" t="str">
        <f>IFERROR(__xludf.DUMMYFUNCTION("""COMPUTED_VALUE"""),"2h1m  custom")</f>
        <v>2h1m  custom</v>
      </c>
      <c r="H272" s="92"/>
      <c r="I272" s="80">
        <f>IFERROR(__xludf.DUMMYFUNCTION("""COMPUTED_VALUE"""),6.0)</f>
        <v>6</v>
      </c>
      <c r="J272" s="93">
        <f>IFERROR(__xludf.DUMMYFUNCTION("""COMPUTED_VALUE"""),7800000.0)</f>
        <v>7800000</v>
      </c>
      <c r="K272" s="19" t="str">
        <f>IFERROR(__xludf.DUMMYFUNCTION("""COMPUTED_VALUE"""),"gada jawaban, sdh fu")</f>
        <v>gada jawaban, sdh fu</v>
      </c>
      <c r="L272" s="88" t="str">
        <f>IFERROR(__xludf.DUMMYFUNCTION("""COMPUTED_VALUE"""),"https://docs.google.com/document/d/1cl90rx5QiUJs9HcdeolU0W9IhBVMLK02p108iit-CqM/edit?usp=sharing")</f>
        <v>https://docs.google.com/document/d/1cl90rx5QiUJs9HcdeolU0W9IhBVMLK02p108iit-CqM/edit?usp=sharing</v>
      </c>
      <c r="M272" s="20"/>
      <c r="N272" s="20"/>
      <c r="O272" s="20"/>
      <c r="P272" s="20"/>
    </row>
    <row r="273">
      <c r="A273" s="110">
        <f>IFERROR(__xludf.DUMMYFUNCTION("""COMPUTED_VALUE"""),46126.0)</f>
        <v>46126</v>
      </c>
      <c r="B273" s="110" t="str">
        <f>IFERROR(__xludf.DUMMYFUNCTION("""COMPUTED_VALUE"""),"2604A047")</f>
        <v>2604A047</v>
      </c>
      <c r="C273" s="49" t="str">
        <f>IFERROR(__xludf.DUMMYFUNCTION("""COMPUTED_VALUE"""),"Fina")</f>
        <v>Fina</v>
      </c>
      <c r="D273" s="102" t="str">
        <f>IFERROR(__xludf.DUMMYFUNCTION("""COMPUTED_VALUE"""),"089514536194")</f>
        <v>089514536194</v>
      </c>
      <c r="E273" s="25" t="str">
        <f>IFERROR(__xludf.DUMMYFUNCTION("""COMPUTED_VALUE"""),"Website")</f>
        <v>Website</v>
      </c>
      <c r="F273" s="25" t="str">
        <f>IFERROR(__xludf.DUMMYFUNCTION("""COMPUTED_VALUE"""),"Qualified")</f>
        <v>Qualified</v>
      </c>
      <c r="G273" s="25" t="str">
        <f>IFERROR(__xludf.DUMMYFUNCTION("""COMPUTED_VALUE"""),"3h2m opsi A")</f>
        <v>3h2m opsi A</v>
      </c>
      <c r="H273" s="78"/>
      <c r="I273" s="89">
        <f>IFERROR(__xludf.DUMMYFUNCTION("""COMPUTED_VALUE"""),8.0)</f>
        <v>8</v>
      </c>
      <c r="J273" s="96">
        <f>IFERROR(__xludf.DUMMYFUNCTION("""COMPUTED_VALUE"""),1.5E7)</f>
        <v>15000000</v>
      </c>
      <c r="K273" s="30" t="str">
        <f>IFERROR(__xludf.DUMMYFUNCTION("""COMPUTED_VALUE"""),"masih dishare ke grup, Fu 2 mei")</f>
        <v>masih dishare ke grup, Fu 2 mei</v>
      </c>
      <c r="L273" s="81" t="str">
        <f>IFERROR(__xludf.DUMMYFUNCTION("""COMPUTED_VALUE"""),"https://docs.google.com/document/d/1paIhZipVKAvm_NxzkVLzS3a8DtPRoJonkdvzfHoWmrI/edit?usp=sharing")</f>
        <v>https://docs.google.com/document/d/1paIhZipVKAvm_NxzkVLzS3a8DtPRoJonkdvzfHoWmrI/edit?usp=sharing</v>
      </c>
      <c r="M273" s="20"/>
      <c r="N273" s="20"/>
      <c r="O273" s="20"/>
      <c r="P273" s="20"/>
    </row>
    <row r="274">
      <c r="A274" s="97">
        <f>IFERROR(__xludf.DUMMYFUNCTION("""COMPUTED_VALUE"""),46126.0)</f>
        <v>46126</v>
      </c>
      <c r="B274" s="97" t="str">
        <f>IFERROR(__xludf.DUMMYFUNCTION("""COMPUTED_VALUE"""),"2604A048")</f>
        <v>2604A048</v>
      </c>
      <c r="C274" s="76" t="str">
        <f>IFERROR(__xludf.DUMMYFUNCTION("""COMPUTED_VALUE"""),"billy")</f>
        <v>billy</v>
      </c>
      <c r="D274" s="99" t="str">
        <f>IFERROR(__xludf.DUMMYFUNCTION("""COMPUTED_VALUE"""),"081215050763")</f>
        <v>081215050763</v>
      </c>
      <c r="E274" s="25" t="str">
        <f>IFERROR(__xludf.DUMMYFUNCTION("""COMPUTED_VALUE"""),"Website")</f>
        <v>Website</v>
      </c>
      <c r="F274" s="25" t="str">
        <f>IFERROR(__xludf.DUMMYFUNCTION("""COMPUTED_VALUE"""),"Gagal")</f>
        <v>Gagal</v>
      </c>
      <c r="G274" s="15"/>
      <c r="H274" s="16"/>
      <c r="I274" s="17"/>
      <c r="J274" s="54"/>
      <c r="K274" s="46" t="str">
        <f>IFERROR(__xludf.DUMMYFUNCTION("""COMPUTED_VALUE"""),"hanya menyapa")</f>
        <v>hanya menyapa</v>
      </c>
      <c r="L274" s="76"/>
      <c r="M274" s="20"/>
      <c r="N274" s="20"/>
      <c r="O274" s="20"/>
      <c r="P274" s="20"/>
    </row>
    <row r="275">
      <c r="A275" s="110">
        <f>IFERROR(__xludf.DUMMYFUNCTION("""COMPUTED_VALUE"""),46126.0)</f>
        <v>46126</v>
      </c>
      <c r="B275" s="110" t="str">
        <f>IFERROR(__xludf.DUMMYFUNCTION("""COMPUTED_VALUE"""),"2604A049")</f>
        <v>2604A049</v>
      </c>
      <c r="C275" s="49" t="str">
        <f>IFERROR(__xludf.DUMMYFUNCTION("""COMPUTED_VALUE"""),"Eva Januari")</f>
        <v>Eva Januari</v>
      </c>
      <c r="D275" s="102" t="str">
        <f>IFERROR(__xludf.DUMMYFUNCTION("""COMPUTED_VALUE"""),"081348062223")</f>
        <v>081348062223</v>
      </c>
      <c r="E275" s="25" t="str">
        <f>IFERROR(__xludf.DUMMYFUNCTION("""COMPUTED_VALUE"""),"Instagram")</f>
        <v>Instagram</v>
      </c>
      <c r="F275" s="25" t="str">
        <f>IFERROR(__xludf.DUMMYFUNCTION("""COMPUTED_VALUE"""),"Gagal")</f>
        <v>Gagal</v>
      </c>
      <c r="G275" s="25" t="str">
        <f>IFERROR(__xludf.DUMMYFUNCTION("""COMPUTED_VALUE"""),"2h1m")</f>
        <v>2h1m</v>
      </c>
      <c r="H275" s="78"/>
      <c r="I275" s="89"/>
      <c r="J275" s="96"/>
      <c r="K275" s="36" t="str">
        <f>IFERROR(__xludf.DUMMYFUNCTION("""COMPUTED_VALUE"""),"gada balasan")</f>
        <v>gada balasan</v>
      </c>
      <c r="L275" s="81" t="str">
        <f>IFERROR(__xludf.DUMMYFUNCTION("""COMPUTED_VALUE"""),"https://docs.google.com/document/d/1xrqwT6C0Vgc2QGjcJIPCeXtNyGYzpZJWizNDbhkeRx0/edit?usp=sharing")</f>
        <v>https://docs.google.com/document/d/1xrqwT6C0Vgc2QGjcJIPCeXtNyGYzpZJWizNDbhkeRx0/edit?usp=sharing</v>
      </c>
      <c r="M275" s="20"/>
      <c r="N275" s="20"/>
      <c r="O275" s="20"/>
      <c r="P275" s="20"/>
    </row>
    <row r="276">
      <c r="A276" s="97">
        <f>IFERROR(__xludf.DUMMYFUNCTION("""COMPUTED_VALUE"""),46126.0)</f>
        <v>46126</v>
      </c>
      <c r="B276" s="97" t="str">
        <f>IFERROR(__xludf.DUMMYFUNCTION("""COMPUTED_VALUE"""),"2604A050")</f>
        <v>2604A050</v>
      </c>
      <c r="C276" s="76" t="str">
        <f>IFERROR(__xludf.DUMMYFUNCTION("""COMPUTED_VALUE"""),"Tasya Widya")</f>
        <v>Tasya Widya</v>
      </c>
      <c r="D276" s="99" t="str">
        <f>IFERROR(__xludf.DUMMYFUNCTION("""COMPUTED_VALUE"""),"08112991307")</f>
        <v>08112991307</v>
      </c>
      <c r="E276" s="25" t="str">
        <f>IFERROR(__xludf.DUMMYFUNCTION("""COMPUTED_VALUE"""),"Instagram")</f>
        <v>Instagram</v>
      </c>
      <c r="F276" s="25" t="str">
        <f>IFERROR(__xludf.DUMMYFUNCTION("""COMPUTED_VALUE"""),"Gagal")</f>
        <v>Gagal</v>
      </c>
      <c r="G276" s="25" t="str">
        <f>IFERROR(__xludf.DUMMYFUNCTION("""COMPUTED_VALUE"""),"2H1M ")</f>
        <v>2H1M </v>
      </c>
      <c r="H276" s="92"/>
      <c r="I276" s="80">
        <f>IFERROR(__xludf.DUMMYFUNCTION("""COMPUTED_VALUE"""),3.0)</f>
        <v>3</v>
      </c>
      <c r="J276" s="93">
        <f>IFERROR(__xludf.DUMMYFUNCTION("""COMPUTED_VALUE"""),5850000.0)</f>
        <v>5850000</v>
      </c>
      <c r="K276" s="19" t="str">
        <f>IFERROR(__xludf.DUMMYFUNCTION("""COMPUTED_VALUE"""),"tak ada jawaban")</f>
        <v>tak ada jawaban</v>
      </c>
      <c r="L276" s="88" t="str">
        <f>IFERROR(__xludf.DUMMYFUNCTION("""COMPUTED_VALUE"""),"https://docs.google.com/document/d/1p04wQrhMyz5VeWOYHu2nvkgecjzPoH2KJ2Yc8B62kkw/edit?usp=sharing")</f>
        <v>https://docs.google.com/document/d/1p04wQrhMyz5VeWOYHu2nvkgecjzPoH2KJ2Yc8B62kkw/edit?usp=sharing</v>
      </c>
      <c r="M276" s="20"/>
      <c r="N276" s="20"/>
      <c r="O276" s="20"/>
      <c r="P276" s="20"/>
    </row>
    <row r="277">
      <c r="A277" s="110">
        <f>IFERROR(__xludf.DUMMYFUNCTION("""COMPUTED_VALUE"""),46126.0)</f>
        <v>46126</v>
      </c>
      <c r="B277" s="110" t="str">
        <f>IFERROR(__xludf.DUMMYFUNCTION("""COMPUTED_VALUE"""),"2604A051")</f>
        <v>2604A051</v>
      </c>
      <c r="C277" s="49" t="str">
        <f>IFERROR(__xludf.DUMMYFUNCTION("""COMPUTED_VALUE"""),"Indriya")</f>
        <v>Indriya</v>
      </c>
      <c r="D277" s="102" t="str">
        <f>IFERROR(__xludf.DUMMYFUNCTION("""COMPUTED_VALUE"""),"082271637123")</f>
        <v>082271637123</v>
      </c>
      <c r="E277" s="25" t="str">
        <f>IFERROR(__xludf.DUMMYFUNCTION("""COMPUTED_VALUE"""),"Instagram")</f>
        <v>Instagram</v>
      </c>
      <c r="F277" s="25" t="str">
        <f>IFERROR(__xludf.DUMMYFUNCTION("""COMPUTED_VALUE"""),"Qualified")</f>
        <v>Qualified</v>
      </c>
      <c r="G277" s="15" t="str">
        <f>IFERROR(__xludf.DUMMYFUNCTION("""COMPUTED_VALUE"""),"4H3M")</f>
        <v>4H3M</v>
      </c>
      <c r="H277" s="78">
        <f>IFERROR(__xludf.DUMMYFUNCTION("""COMPUTED_VALUE"""),46223.0)</f>
        <v>46223</v>
      </c>
      <c r="I277" s="27">
        <f>IFERROR(__xludf.DUMMYFUNCTION("""COMPUTED_VALUE"""),4.0)</f>
        <v>4</v>
      </c>
      <c r="J277" s="96">
        <f>IFERROR(__xludf.DUMMYFUNCTION("""COMPUTED_VALUE"""),8460000.0)</f>
        <v>8460000</v>
      </c>
      <c r="K277" s="36"/>
      <c r="L277" s="81" t="str">
        <f>IFERROR(__xludf.DUMMYFUNCTION("""COMPUTED_VALUE"""),"https://docs.google.com/document/d/16HUEAj4hDXhu6YcxeOlYhOKJyT8jY-eWNZLthHortcw/edit?usp=sharing")</f>
        <v>https://docs.google.com/document/d/16HUEAj4hDXhu6YcxeOlYhOKJyT8jY-eWNZLthHortcw/edit?usp=sharing</v>
      </c>
      <c r="M277" s="20"/>
      <c r="N277" s="20"/>
      <c r="O277" s="20"/>
      <c r="P277" s="20"/>
    </row>
    <row r="278">
      <c r="A278" s="97">
        <f>IFERROR(__xludf.DUMMYFUNCTION("""COMPUTED_VALUE"""),46126.0)</f>
        <v>46126</v>
      </c>
      <c r="B278" s="97" t="str">
        <f>IFERROR(__xludf.DUMMYFUNCTION("""COMPUTED_VALUE"""),"2604A052")</f>
        <v>2604A052</v>
      </c>
      <c r="C278" s="76" t="str">
        <f>IFERROR(__xludf.DUMMYFUNCTION("""COMPUTED_VALUE"""),"kikii")</f>
        <v>kikii</v>
      </c>
      <c r="D278" s="99" t="str">
        <f>IFERROR(__xludf.DUMMYFUNCTION("""COMPUTED_VALUE"""),"085656704404")</f>
        <v>085656704404</v>
      </c>
      <c r="E278" s="25" t="str">
        <f>IFERROR(__xludf.DUMMYFUNCTION("""COMPUTED_VALUE"""),"Instagram")</f>
        <v>Instagram</v>
      </c>
      <c r="F278" s="25" t="str">
        <f>IFERROR(__xludf.DUMMYFUNCTION("""COMPUTED_VALUE"""),"Gagal")</f>
        <v>Gagal</v>
      </c>
      <c r="G278" s="25" t="str">
        <f>IFERROR(__xludf.DUMMYFUNCTION("""COMPUTED_VALUE"""),"2H1M Opsi A")</f>
        <v>2H1M Opsi A</v>
      </c>
      <c r="H278" s="92"/>
      <c r="I278" s="17">
        <f>IFERROR(__xludf.DUMMYFUNCTION("""COMPUTED_VALUE"""),2.0)</f>
        <v>2</v>
      </c>
      <c r="J278" s="93"/>
      <c r="K278" s="46" t="str">
        <f>IFERROR(__xludf.DUMMYFUNCTION("""COMPUTED_VALUE"""),"gada balasan")</f>
        <v>gada balasan</v>
      </c>
      <c r="L278" s="88" t="str">
        <f>IFERROR(__xludf.DUMMYFUNCTION("""COMPUTED_VALUE"""),"https://docs.google.com/document/d/1tN-BDIFP4wIdtDPNc4VJGm5KmomsIJWLCspFWJ2XwKE/edit?usp=sharing")</f>
        <v>https://docs.google.com/document/d/1tN-BDIFP4wIdtDPNc4VJGm5KmomsIJWLCspFWJ2XwKE/edit?usp=sharing</v>
      </c>
      <c r="M278" s="20"/>
      <c r="N278" s="20"/>
      <c r="O278" s="20"/>
      <c r="P278" s="20"/>
    </row>
    <row r="279">
      <c r="A279" s="110">
        <f>IFERROR(__xludf.DUMMYFUNCTION("""COMPUTED_VALUE"""),46127.0)</f>
        <v>46127</v>
      </c>
      <c r="B279" s="110" t="str">
        <f>IFERROR(__xludf.DUMMYFUNCTION("""COMPUTED_VALUE"""),"2604A053")</f>
        <v>2604A053</v>
      </c>
      <c r="C279" s="49" t="str">
        <f>IFERROR(__xludf.DUMMYFUNCTION("""COMPUTED_VALUE"""),"No Name")</f>
        <v>No Name</v>
      </c>
      <c r="D279" s="102" t="str">
        <f>IFERROR(__xludf.DUMMYFUNCTION("""COMPUTED_VALUE"""),"089654451424")</f>
        <v>089654451424</v>
      </c>
      <c r="E279" s="25" t="str">
        <f>IFERROR(__xludf.DUMMYFUNCTION("""COMPUTED_VALUE"""),"Instagram")</f>
        <v>Instagram</v>
      </c>
      <c r="F279" s="25" t="str">
        <f>IFERROR(__xludf.DUMMYFUNCTION("""COMPUTED_VALUE"""),"Qualified")</f>
        <v>Qualified</v>
      </c>
      <c r="G279" s="25" t="str">
        <f>IFERROR(__xludf.DUMMYFUNCTION("""COMPUTED_VALUE"""),"3H2M Opsi A")</f>
        <v>3H2M Opsi A</v>
      </c>
      <c r="H279" s="78"/>
      <c r="I279" s="89">
        <f>IFERROR(__xludf.DUMMYFUNCTION("""COMPUTED_VALUE"""),3.0)</f>
        <v>3</v>
      </c>
      <c r="J279" s="96">
        <f>IFERROR(__xludf.DUMMYFUNCTION("""COMPUTED_VALUE"""),6402000.0)</f>
        <v>6402000</v>
      </c>
      <c r="K279" s="36"/>
      <c r="L279" s="88" t="str">
        <f>IFERROR(__xludf.DUMMYFUNCTION("""COMPUTED_VALUE"""),"https://docs.google.com/document/d/1aOPRpMvvQewirm47rXVCTEB-xFW7SKdTHnDsy40Ie0o/edit?usp=sharing")</f>
        <v>https://docs.google.com/document/d/1aOPRpMvvQewirm47rXVCTEB-xFW7SKdTHnDsy40Ie0o/edit?usp=sharing</v>
      </c>
      <c r="M279" s="20"/>
      <c r="N279" s="20"/>
      <c r="O279" s="20"/>
      <c r="P279" s="20"/>
    </row>
    <row r="280">
      <c r="A280" s="97">
        <f>IFERROR(__xludf.DUMMYFUNCTION("""COMPUTED_VALUE"""),46128.0)</f>
        <v>46128</v>
      </c>
      <c r="B280" s="97" t="str">
        <f>IFERROR(__xludf.DUMMYFUNCTION("""COMPUTED_VALUE"""),"2604A054")</f>
        <v>2604A054</v>
      </c>
      <c r="C280" s="76" t="str">
        <f>IFERROR(__xludf.DUMMYFUNCTION("""COMPUTED_VALUE"""),"Pinastika")</f>
        <v>Pinastika</v>
      </c>
      <c r="D280" s="99" t="str">
        <f>IFERROR(__xludf.DUMMYFUNCTION("""COMPUTED_VALUE"""),"081990039512")</f>
        <v>081990039512</v>
      </c>
      <c r="E280" s="25" t="str">
        <f>IFERROR(__xludf.DUMMYFUNCTION("""COMPUTED_VALUE"""),"Instagram")</f>
        <v>Instagram</v>
      </c>
      <c r="F280" s="25" t="str">
        <f>IFERROR(__xludf.DUMMYFUNCTION("""COMPUTED_VALUE"""),"Gagal")</f>
        <v>Gagal</v>
      </c>
      <c r="G280" s="25" t="str">
        <f>IFERROR(__xludf.DUMMYFUNCTION("""COMPUTED_VALUE"""),"3h2m")</f>
        <v>3h2m</v>
      </c>
      <c r="H280" s="92"/>
      <c r="I280" s="17">
        <f>IFERROR(__xludf.DUMMYFUNCTION("""COMPUTED_VALUE"""),3.0)</f>
        <v>3</v>
      </c>
      <c r="J280" s="93"/>
      <c r="K280" s="19" t="str">
        <f>IFERROR(__xludf.DUMMYFUNCTION("""COMPUTED_VALUE"""),"gada balasan")</f>
        <v>gada balasan</v>
      </c>
      <c r="L280" s="88" t="str">
        <f>IFERROR(__xludf.DUMMYFUNCTION("""COMPUTED_VALUE"""),"https://docs.google.com/document/d/1ZV9arjh86y1bYWqVLM5KgWjlMvtdtx7jrIkkc5_UGxA/edit?usp=sharing")</f>
        <v>https://docs.google.com/document/d/1ZV9arjh86y1bYWqVLM5KgWjlMvtdtx7jrIkkc5_UGxA/edit?usp=sharing</v>
      </c>
      <c r="M280" s="20"/>
      <c r="N280" s="20"/>
      <c r="O280" s="20"/>
      <c r="P280" s="20"/>
    </row>
    <row r="281">
      <c r="A281" s="110">
        <f>IFERROR(__xludf.DUMMYFUNCTION("""COMPUTED_VALUE"""),46128.0)</f>
        <v>46128</v>
      </c>
      <c r="B281" s="110" t="str">
        <f>IFERROR(__xludf.DUMMYFUNCTION("""COMPUTED_VALUE"""),"2604A055")</f>
        <v>2604A055</v>
      </c>
      <c r="C281" s="49" t="str">
        <f>IFERROR(__xludf.DUMMYFUNCTION("""COMPUTED_VALUE"""),"Elita")</f>
        <v>Elita</v>
      </c>
      <c r="D281" s="102" t="str">
        <f>IFERROR(__xludf.DUMMYFUNCTION("""COMPUTED_VALUE"""),"08133636406")</f>
        <v>08133636406</v>
      </c>
      <c r="E281" s="25" t="str">
        <f>IFERROR(__xludf.DUMMYFUNCTION("""COMPUTED_VALUE"""),"Instagram")</f>
        <v>Instagram</v>
      </c>
      <c r="F281" s="25" t="str">
        <f>IFERROR(__xludf.DUMMYFUNCTION("""COMPUTED_VALUE"""),"Gagal")</f>
        <v>Gagal</v>
      </c>
      <c r="G281" s="25" t="str">
        <f>IFERROR(__xludf.DUMMYFUNCTION("""COMPUTED_VALUE"""),"OT B")</f>
        <v>OT B</v>
      </c>
      <c r="H281" s="78">
        <f>IFERROR(__xludf.DUMMYFUNCTION("""COMPUTED_VALUE"""),46131.0)</f>
        <v>46131</v>
      </c>
      <c r="I281" s="89">
        <f>IFERROR(__xludf.DUMMYFUNCTION("""COMPUTED_VALUE"""),2.0)</f>
        <v>2</v>
      </c>
      <c r="J281" s="96">
        <f>IFERROR(__xludf.DUMMYFUNCTION("""COMPUTED_VALUE"""),700000.0)</f>
        <v>700000</v>
      </c>
      <c r="K281" s="36" t="str">
        <f>IFERROR(__xludf.DUMMYFUNCTION("""COMPUTED_VALUE"""),"tidak ada balasan")</f>
        <v>tidak ada balasan</v>
      </c>
      <c r="L281" s="81" t="str">
        <f>IFERROR(__xludf.DUMMYFUNCTION("""COMPUTED_VALUE"""),"https://docs.google.com/document/d/1JNltuh7q1Le6b0ohCth1rBp-OMXRZujqqXGLvdoOTHs/edit?usp=sharing")</f>
        <v>https://docs.google.com/document/d/1JNltuh7q1Le6b0ohCth1rBp-OMXRZujqqXGLvdoOTHs/edit?usp=sharing</v>
      </c>
      <c r="M281" s="20"/>
      <c r="N281" s="20"/>
      <c r="O281" s="20"/>
      <c r="P281" s="20"/>
    </row>
    <row r="282">
      <c r="A282" s="97">
        <f>IFERROR(__xludf.DUMMYFUNCTION("""COMPUTED_VALUE"""),46129.0)</f>
        <v>46129</v>
      </c>
      <c r="B282" s="97" t="str">
        <f>IFERROR(__xludf.DUMMYFUNCTION("""COMPUTED_VALUE"""),"2604A056")</f>
        <v>2604A056</v>
      </c>
      <c r="C282" s="76" t="str">
        <f>IFERROR(__xludf.DUMMYFUNCTION("""COMPUTED_VALUE"""),"Nesya")</f>
        <v>Nesya</v>
      </c>
      <c r="D282" s="99" t="str">
        <f>IFERROR(__xludf.DUMMYFUNCTION("""COMPUTED_VALUE"""),"0895397165196")</f>
        <v>0895397165196</v>
      </c>
      <c r="E282" s="25" t="str">
        <f>IFERROR(__xludf.DUMMYFUNCTION("""COMPUTED_VALUE"""),"Instagram")</f>
        <v>Instagram</v>
      </c>
      <c r="F282" s="25" t="str">
        <f>IFERROR(__xludf.DUMMYFUNCTION("""COMPUTED_VALUE"""),"Closing")</f>
        <v>Closing</v>
      </c>
      <c r="G282" s="25" t="str">
        <f>IFERROR(__xludf.DUMMYFUNCTION("""COMPUTED_VALUE"""),"3H2M opsi A")</f>
        <v>3H2M opsi A</v>
      </c>
      <c r="H282" s="92"/>
      <c r="I282" s="80">
        <f>IFERROR(__xludf.DUMMYFUNCTION("""COMPUTED_VALUE"""),7.0)</f>
        <v>7</v>
      </c>
      <c r="J282" s="93">
        <f>IFERROR(__xludf.DUMMYFUNCTION("""COMPUTED_VALUE"""),1.0094E7)</f>
        <v>10094000</v>
      </c>
      <c r="K282" s="19" t="str">
        <f>IFERROR(__xludf.DUMMYFUNCTION("""COMPUTED_VALUE"""),"Gabung dengan Diah")</f>
        <v>Gabung dengan Diah</v>
      </c>
      <c r="L282" s="88" t="str">
        <f>IFERROR(__xludf.DUMMYFUNCTION("""COMPUTED_VALUE"""),"https://docs.google.com/document/d/1Et0BSbWrNalEVk85nZ4-6rfrtEDtHtbAfTNey3v5KH8/edit?usp=sharing")</f>
        <v>https://docs.google.com/document/d/1Et0BSbWrNalEVk85nZ4-6rfrtEDtHtbAfTNey3v5KH8/edit?usp=sharing</v>
      </c>
      <c r="M282" s="20"/>
      <c r="N282" s="20"/>
      <c r="O282" s="20"/>
      <c r="P282" s="20"/>
    </row>
    <row r="283">
      <c r="A283" s="110">
        <f>IFERROR(__xludf.DUMMYFUNCTION("""COMPUTED_VALUE"""),46129.0)</f>
        <v>46129</v>
      </c>
      <c r="B283" s="110" t="str">
        <f>IFERROR(__xludf.DUMMYFUNCTION("""COMPUTED_VALUE"""),"2604A057")</f>
        <v>2604A057</v>
      </c>
      <c r="C283" s="49" t="str">
        <f>IFERROR(__xludf.DUMMYFUNCTION("""COMPUTED_VALUE"""),"Salsabila")</f>
        <v>Salsabila</v>
      </c>
      <c r="D283" s="102" t="str">
        <f>IFERROR(__xludf.DUMMYFUNCTION("""COMPUTED_VALUE"""),"085264954614")</f>
        <v>085264954614</v>
      </c>
      <c r="E283" s="25" t="str">
        <f>IFERROR(__xludf.DUMMYFUNCTION("""COMPUTED_VALUE"""),"Instagram")</f>
        <v>Instagram</v>
      </c>
      <c r="F283" s="25" t="str">
        <f>IFERROR(__xludf.DUMMYFUNCTION("""COMPUTED_VALUE"""),"Gagal")</f>
        <v>Gagal</v>
      </c>
      <c r="G283" s="15" t="str">
        <f>IFERROR(__xludf.DUMMYFUNCTION("""COMPUTED_VALUE"""),"trip T, I")</f>
        <v>trip T, I</v>
      </c>
      <c r="H283" s="26">
        <f>IFERROR(__xludf.DUMMYFUNCTION("""COMPUTED_VALUE"""),46139.0)</f>
        <v>46139</v>
      </c>
      <c r="I283" s="27">
        <f>IFERROR(__xludf.DUMMYFUNCTION("""COMPUTED_VALUE"""),1.0)</f>
        <v>1</v>
      </c>
      <c r="J283" s="96">
        <f>IFERROR(__xludf.DUMMYFUNCTION("""COMPUTED_VALUE"""),525000.0)</f>
        <v>525000</v>
      </c>
      <c r="K283" s="36" t="str">
        <f>IFERROR(__xludf.DUMMYFUNCTION("""COMPUTED_VALUE"""),"tak ada jawaban")</f>
        <v>tak ada jawaban</v>
      </c>
      <c r="L283" s="81" t="str">
        <f>IFERROR(__xludf.DUMMYFUNCTION("""COMPUTED_VALUE"""),"https://docs.google.com/document/d/1mpqfMsTF18GGjC6WDjT8Axv5OYaworaP7cayb_z8GQo/edit?usp=sharing")</f>
        <v>https://docs.google.com/document/d/1mpqfMsTF18GGjC6WDjT8Axv5OYaworaP7cayb_z8GQo/edit?usp=sharing</v>
      </c>
      <c r="M283" s="20"/>
      <c r="N283" s="20"/>
      <c r="O283" s="20"/>
      <c r="P283" s="20"/>
    </row>
    <row r="284">
      <c r="A284" s="97">
        <f>IFERROR(__xludf.DUMMYFUNCTION("""COMPUTED_VALUE"""),46130.0)</f>
        <v>46130</v>
      </c>
      <c r="B284" s="97" t="str">
        <f>IFERROR(__xludf.DUMMYFUNCTION("""COMPUTED_VALUE"""),"2604A058")</f>
        <v>2604A058</v>
      </c>
      <c r="C284" s="76" t="str">
        <f>IFERROR(__xludf.DUMMYFUNCTION("""COMPUTED_VALUE"""),"Ambar")</f>
        <v>Ambar</v>
      </c>
      <c r="D284" s="99" t="str">
        <f>IFERROR(__xludf.DUMMYFUNCTION("""COMPUTED_VALUE"""),"082141083242")</f>
        <v>082141083242</v>
      </c>
      <c r="E284" s="25" t="str">
        <f>IFERROR(__xludf.DUMMYFUNCTION("""COMPUTED_VALUE"""),"Instagram")</f>
        <v>Instagram</v>
      </c>
      <c r="F284" s="25" t="str">
        <f>IFERROR(__xludf.DUMMYFUNCTION("""COMPUTED_VALUE"""),"Qualified")</f>
        <v>Qualified</v>
      </c>
      <c r="G284" s="15" t="str">
        <f>IFERROR(__xludf.DUMMYFUNCTION("""COMPUTED_VALUE"""),"OT D, B, M , T")</f>
        <v>OT D, B, M , T</v>
      </c>
      <c r="H284" s="16"/>
      <c r="I284" s="17">
        <f>IFERROR(__xludf.DUMMYFUNCTION("""COMPUTED_VALUE"""),2.0)</f>
        <v>2</v>
      </c>
      <c r="J284" s="54">
        <f>IFERROR(__xludf.DUMMYFUNCTION("""COMPUTED_VALUE"""),1100000.0)</f>
        <v>1100000</v>
      </c>
      <c r="K284" s="19"/>
      <c r="L284" s="88" t="str">
        <f>IFERROR(__xludf.DUMMYFUNCTION("""COMPUTED_VALUE"""),"https://docs.google.com/document/d/1quEnHGdTJcq9hhALJ1AJUKQ-azpep4kmgHwXiKRMJ5A/edit?usp=sharing")</f>
        <v>https://docs.google.com/document/d/1quEnHGdTJcq9hhALJ1AJUKQ-azpep4kmgHwXiKRMJ5A/edit?usp=sharing</v>
      </c>
      <c r="M284" s="20"/>
      <c r="N284" s="20"/>
      <c r="O284" s="20"/>
      <c r="P284" s="20"/>
    </row>
    <row r="285">
      <c r="A285" s="110">
        <f>IFERROR(__xludf.DUMMYFUNCTION("""COMPUTED_VALUE"""),46130.0)</f>
        <v>46130</v>
      </c>
      <c r="B285" s="110" t="str">
        <f>IFERROR(__xludf.DUMMYFUNCTION("""COMPUTED_VALUE"""),"2604A059")</f>
        <v>2604A059</v>
      </c>
      <c r="C285" s="49" t="str">
        <f>IFERROR(__xludf.DUMMYFUNCTION("""COMPUTED_VALUE"""),"Nana")</f>
        <v>Nana</v>
      </c>
      <c r="D285" s="102" t="str">
        <f>IFERROR(__xludf.DUMMYFUNCTION("""COMPUTED_VALUE"""),"081325151578")</f>
        <v>081325151578</v>
      </c>
      <c r="E285" s="25" t="str">
        <f>IFERROR(__xludf.DUMMYFUNCTION("""COMPUTED_VALUE"""),"Website")</f>
        <v>Website</v>
      </c>
      <c r="F285" s="25" t="str">
        <f>IFERROR(__xludf.DUMMYFUNCTION("""COMPUTED_VALUE"""),"Gagal")</f>
        <v>Gagal</v>
      </c>
      <c r="G285" s="15" t="str">
        <f>IFERROR(__xludf.DUMMYFUNCTION("""COMPUTED_VALUE"""),"Trip 3H2M")</f>
        <v>Trip 3H2M</v>
      </c>
      <c r="H285" s="78"/>
      <c r="I285" s="89">
        <f>IFERROR(__xludf.DUMMYFUNCTION("""COMPUTED_VALUE"""),10.0)</f>
        <v>10</v>
      </c>
      <c r="J285" s="96"/>
      <c r="K285" s="36" t="str">
        <f>IFERROR(__xludf.DUMMYFUNCTION("""COMPUTED_VALUE"""),"ada bbrp hal yg kuranf memungkinkan")</f>
        <v>ada bbrp hal yg kuranf memungkinkan</v>
      </c>
      <c r="L285" s="81" t="str">
        <f>IFERROR(__xludf.DUMMYFUNCTION("""COMPUTED_VALUE"""),"https://docs.google.com/document/d/1VPryGzV7tYRaZLQaV9mY9xTpe87ztOzLpu1NPBQqML8/edit?usp=sharing")</f>
        <v>https://docs.google.com/document/d/1VPryGzV7tYRaZLQaV9mY9xTpe87ztOzLpu1NPBQqML8/edit?usp=sharing</v>
      </c>
      <c r="M285" s="20"/>
      <c r="N285" s="20"/>
      <c r="O285" s="20"/>
      <c r="P285" s="20"/>
    </row>
    <row r="286">
      <c r="A286" s="97">
        <f>IFERROR(__xludf.DUMMYFUNCTION("""COMPUTED_VALUE"""),46130.0)</f>
        <v>46130</v>
      </c>
      <c r="B286" s="97" t="str">
        <f>IFERROR(__xludf.DUMMYFUNCTION("""COMPUTED_VALUE"""),"2604A060")</f>
        <v>2604A060</v>
      </c>
      <c r="C286" s="76" t="str">
        <f>IFERROR(__xludf.DUMMYFUNCTION("""COMPUTED_VALUE"""),"Naya")</f>
        <v>Naya</v>
      </c>
      <c r="D286" s="99" t="str">
        <f>IFERROR(__xludf.DUMMYFUNCTION("""COMPUTED_VALUE"""),"081320793223")</f>
        <v>081320793223</v>
      </c>
      <c r="E286" s="25" t="str">
        <f>IFERROR(__xludf.DUMMYFUNCTION("""COMPUTED_VALUE"""),"Instagram")</f>
        <v>Instagram</v>
      </c>
      <c r="F286" s="25" t="str">
        <f>IFERROR(__xludf.DUMMYFUNCTION("""COMPUTED_VALUE"""),"Gagal")</f>
        <v>Gagal</v>
      </c>
      <c r="G286" s="15" t="str">
        <f>IFERROR(__xludf.DUMMYFUNCTION("""COMPUTED_VALUE"""),"2h3m")</f>
        <v>2h3m</v>
      </c>
      <c r="H286" s="92"/>
      <c r="I286" s="17">
        <f>IFERROR(__xludf.DUMMYFUNCTION("""COMPUTED_VALUE"""),4.0)</f>
        <v>4</v>
      </c>
      <c r="J286" s="54">
        <f>IFERROR(__xludf.DUMMYFUNCTION("""COMPUTED_VALUE"""),4480000.0)</f>
        <v>4480000</v>
      </c>
      <c r="K286" s="19" t="str">
        <f>IFERROR(__xludf.DUMMYFUNCTION("""COMPUTED_VALUE"""),"masih cari cuti")</f>
        <v>masih cari cuti</v>
      </c>
      <c r="L286" s="76"/>
      <c r="M286" s="20"/>
      <c r="N286" s="20"/>
      <c r="O286" s="20"/>
      <c r="P286" s="20"/>
    </row>
    <row r="287">
      <c r="A287" s="110">
        <f>IFERROR(__xludf.DUMMYFUNCTION("""COMPUTED_VALUE"""),46131.0)</f>
        <v>46131</v>
      </c>
      <c r="B287" s="110" t="str">
        <f>IFERROR(__xludf.DUMMYFUNCTION("""COMPUTED_VALUE"""),"2604A061")</f>
        <v>2604A061</v>
      </c>
      <c r="C287" s="49" t="str">
        <f>IFERROR(__xludf.DUMMYFUNCTION("""COMPUTED_VALUE"""),"Juniffia")</f>
        <v>Juniffia</v>
      </c>
      <c r="D287" s="102" t="str">
        <f>IFERROR(__xludf.DUMMYFUNCTION("""COMPUTED_VALUE"""),"085524734259")</f>
        <v>085524734259</v>
      </c>
      <c r="E287" s="25" t="str">
        <f>IFERROR(__xludf.DUMMYFUNCTION("""COMPUTED_VALUE"""),"Instagram")</f>
        <v>Instagram</v>
      </c>
      <c r="F287" s="25" t="str">
        <f>IFERROR(__xludf.DUMMYFUNCTION("""COMPUTED_VALUE"""),"Qualified")</f>
        <v>Qualified</v>
      </c>
      <c r="G287" s="15" t="str">
        <f>IFERROR(__xludf.DUMMYFUNCTION("""COMPUTED_VALUE"""),"2h1m")</f>
        <v>2h1m</v>
      </c>
      <c r="H287" s="78">
        <f>IFERROR(__xludf.DUMMYFUNCTION("""COMPUTED_VALUE"""),46185.0)</f>
        <v>46185</v>
      </c>
      <c r="I287" s="27">
        <f>IFERROR(__xludf.DUMMYFUNCTION("""COMPUTED_VALUE"""),2.0)</f>
        <v>2</v>
      </c>
      <c r="J287" s="96">
        <f>IFERROR(__xludf.DUMMYFUNCTION("""COMPUTED_VALUE"""),3780000.0)</f>
        <v>3780000</v>
      </c>
      <c r="K287" s="30" t="str">
        <f>IFERROR(__xludf.DUMMYFUNCTION("""COMPUTED_VALUE"""),"kirim penawaran, Akhir mei")</f>
        <v>kirim penawaran, Akhir mei</v>
      </c>
      <c r="L287" s="81" t="str">
        <f>IFERROR(__xludf.DUMMYFUNCTION("""COMPUTED_VALUE"""),"https://docs.google.com/document/d/1LHtpVf3NdAI-vAH9vaeB8Rj2K3uRud5DL47eGjvvoxU/edit?usp=sharing")</f>
        <v>https://docs.google.com/document/d/1LHtpVf3NdAI-vAH9vaeB8Rj2K3uRud5DL47eGjvvoxU/edit?usp=sharing</v>
      </c>
      <c r="M287" s="20"/>
      <c r="N287" s="20"/>
      <c r="O287" s="20"/>
      <c r="P287" s="20"/>
    </row>
    <row r="288">
      <c r="A288" s="97">
        <f>IFERROR(__xludf.DUMMYFUNCTION("""COMPUTED_VALUE"""),46131.0)</f>
        <v>46131</v>
      </c>
      <c r="B288" s="97" t="str">
        <f>IFERROR(__xludf.DUMMYFUNCTION("""COMPUTED_VALUE"""),"2604A062")</f>
        <v>2604A062</v>
      </c>
      <c r="C288" s="76" t="str">
        <f>IFERROR(__xludf.DUMMYFUNCTION("""COMPUTED_VALUE"""),"May SK")</f>
        <v>May SK</v>
      </c>
      <c r="D288" s="99" t="str">
        <f>IFERROR(__xludf.DUMMYFUNCTION("""COMPUTED_VALUE"""),"08161133838")</f>
        <v>08161133838</v>
      </c>
      <c r="E288" s="25" t="str">
        <f>IFERROR(__xludf.DUMMYFUNCTION("""COMPUTED_VALUE"""),"Website")</f>
        <v>Website</v>
      </c>
      <c r="F288" s="25" t="str">
        <f>IFERROR(__xludf.DUMMYFUNCTION("""COMPUTED_VALUE"""),"Gagal")</f>
        <v>Gagal</v>
      </c>
      <c r="G288" s="15" t="str">
        <f>IFERROR(__xludf.DUMMYFUNCTION("""COMPUTED_VALUE"""),"3h2m")</f>
        <v>3h2m</v>
      </c>
      <c r="H288" s="16"/>
      <c r="I288" s="17">
        <f>IFERROR(__xludf.DUMMYFUNCTION("""COMPUTED_VALUE"""),2.0)</f>
        <v>2</v>
      </c>
      <c r="J288" s="54"/>
      <c r="K288" s="19" t="str">
        <f>IFERROR(__xludf.DUMMYFUNCTION("""COMPUTED_VALUE"""),"fu lagi 16 mei")</f>
        <v>fu lagi 16 mei</v>
      </c>
      <c r="L288" s="88" t="str">
        <f>IFERROR(__xludf.DUMMYFUNCTION("""COMPUTED_VALUE"""),"https://docs.google.com/document/d/1umxVFt11vI8O4VCFAyb3nQhbvyxnjLiZCV1JrrekWJg/edit?usp=sharing")</f>
        <v>https://docs.google.com/document/d/1umxVFt11vI8O4VCFAyb3nQhbvyxnjLiZCV1JrrekWJg/edit?usp=sharing</v>
      </c>
      <c r="M288" s="20"/>
      <c r="N288" s="20"/>
      <c r="O288" s="20"/>
      <c r="P288" s="20"/>
    </row>
    <row r="289">
      <c r="A289" s="110">
        <f>IFERROR(__xludf.DUMMYFUNCTION("""COMPUTED_VALUE"""),46131.0)</f>
        <v>46131</v>
      </c>
      <c r="B289" s="110" t="str">
        <f>IFERROR(__xludf.DUMMYFUNCTION("""COMPUTED_VALUE"""),"2604A063")</f>
        <v>2604A063</v>
      </c>
      <c r="C289" s="49" t="str">
        <f>IFERROR(__xludf.DUMMYFUNCTION("""COMPUTED_VALUE"""),"Sky")</f>
        <v>Sky</v>
      </c>
      <c r="D289" s="102" t="str">
        <f>IFERROR(__xludf.DUMMYFUNCTION("""COMPUTED_VALUE"""),"08156960491")</f>
        <v>08156960491</v>
      </c>
      <c r="E289" s="25" t="str">
        <f>IFERROR(__xludf.DUMMYFUNCTION("""COMPUTED_VALUE"""),"Instagram")</f>
        <v>Instagram</v>
      </c>
      <c r="F289" s="25" t="str">
        <f>IFERROR(__xludf.DUMMYFUNCTION("""COMPUTED_VALUE"""),"Qualified")</f>
        <v>Qualified</v>
      </c>
      <c r="G289" s="25" t="str">
        <f>IFERROR(__xludf.DUMMYFUNCTION("""COMPUTED_VALUE"""),"3H2M opsi A")</f>
        <v>3H2M opsi A</v>
      </c>
      <c r="H289" s="78"/>
      <c r="I289" s="89">
        <f>IFERROR(__xludf.DUMMYFUNCTION("""COMPUTED_VALUE"""),2.0)</f>
        <v>2</v>
      </c>
      <c r="J289" s="96">
        <f>IFERROR(__xludf.DUMMYFUNCTION("""COMPUTED_VALUE"""),6828000.0)</f>
        <v>6828000</v>
      </c>
      <c r="K289" s="36" t="str">
        <f>IFERROR(__xludf.DUMMYFUNCTION("""COMPUTED_VALUE"""),"kirim penawaran, FU Akhir mei")</f>
        <v>kirim penawaran, FU Akhir mei</v>
      </c>
      <c r="L289" s="81" t="str">
        <f>IFERROR(__xludf.DUMMYFUNCTION("""COMPUTED_VALUE"""),"https://docs.google.com/document/d/1NMY6AVs3XJ5H-UpmXMShvrtxwceCqEsZREFZ0ipc56Y/edit?usp=sharing")</f>
        <v>https://docs.google.com/document/d/1NMY6AVs3XJ5H-UpmXMShvrtxwceCqEsZREFZ0ipc56Y/edit?usp=sharing</v>
      </c>
      <c r="M289" s="20"/>
      <c r="N289" s="20"/>
      <c r="O289" s="20"/>
      <c r="P289" s="20"/>
    </row>
    <row r="290">
      <c r="A290" s="97">
        <f>IFERROR(__xludf.DUMMYFUNCTION("""COMPUTED_VALUE"""),46131.0)</f>
        <v>46131</v>
      </c>
      <c r="B290" s="97" t="str">
        <f>IFERROR(__xludf.DUMMYFUNCTION("""COMPUTED_VALUE"""),"2604A064")</f>
        <v>2604A064</v>
      </c>
      <c r="C290" s="76" t="str">
        <f>IFERROR(__xludf.DUMMYFUNCTION("""COMPUTED_VALUE"""),"Erlin")</f>
        <v>Erlin</v>
      </c>
      <c r="D290" s="99" t="str">
        <f>IFERROR(__xludf.DUMMYFUNCTION("""COMPUTED_VALUE"""),"085718104191")</f>
        <v>085718104191</v>
      </c>
      <c r="E290" s="25" t="str">
        <f>IFERROR(__xludf.DUMMYFUNCTION("""COMPUTED_VALUE"""),"Instagram")</f>
        <v>Instagram</v>
      </c>
      <c r="F290" s="25" t="str">
        <f>IFERROR(__xludf.DUMMYFUNCTION("""COMPUTED_VALUE"""),"Closing")</f>
        <v>Closing</v>
      </c>
      <c r="G290" s="15" t="str">
        <f>IFERROR(__xludf.DUMMYFUNCTION("""COMPUTED_VALUE"""),"3H2M/2H1M")</f>
        <v>3H2M/2H1M</v>
      </c>
      <c r="H290" s="92"/>
      <c r="I290" s="80">
        <f>IFERROR(__xludf.DUMMYFUNCTION("""COMPUTED_VALUE"""),11.0)</f>
        <v>11</v>
      </c>
      <c r="J290" s="93">
        <f>IFERROR(__xludf.DUMMYFUNCTION("""COMPUTED_VALUE"""),1.28E7)</f>
        <v>12800000</v>
      </c>
      <c r="K290" s="19" t="str">
        <f>IFERROR(__xludf.DUMMYFUNCTION("""COMPUTED_VALUE"""),"alhamdulillah order")</f>
        <v>alhamdulillah order</v>
      </c>
      <c r="L290" s="88" t="str">
        <f>IFERROR(__xludf.DUMMYFUNCTION("""COMPUTED_VALUE"""),"https://docs.google.com/document/d/1WcBSlVFx0_1IChxnGbvWhPNRKRxcStqdhoSQnxnTN_k/edit?usp=sharing")</f>
        <v>https://docs.google.com/document/d/1WcBSlVFx0_1IChxnGbvWhPNRKRxcStqdhoSQnxnTN_k/edit?usp=sharing</v>
      </c>
      <c r="M290" s="20"/>
      <c r="N290" s="20"/>
      <c r="O290" s="20"/>
      <c r="P290" s="20"/>
    </row>
    <row r="291">
      <c r="A291" s="110">
        <f>IFERROR(__xludf.DUMMYFUNCTION("""COMPUTED_VALUE"""),46131.0)</f>
        <v>46131</v>
      </c>
      <c r="B291" s="110" t="str">
        <f>IFERROR(__xludf.DUMMYFUNCTION("""COMPUTED_VALUE"""),"2604A065")</f>
        <v>2604A065</v>
      </c>
      <c r="C291" s="49" t="str">
        <f>IFERROR(__xludf.DUMMYFUNCTION("""COMPUTED_VALUE"""),"Diah")</f>
        <v>Diah</v>
      </c>
      <c r="D291" s="102" t="str">
        <f>IFERROR(__xludf.DUMMYFUNCTION("""COMPUTED_VALUE"""),"081937996742")</f>
        <v>081937996742</v>
      </c>
      <c r="E291" s="25" t="str">
        <f>IFERROR(__xludf.DUMMYFUNCTION("""COMPUTED_VALUE"""),"Website")</f>
        <v>Website</v>
      </c>
      <c r="F291" s="25" t="str">
        <f>IFERROR(__xludf.DUMMYFUNCTION("""COMPUTED_VALUE"""),"Closing")</f>
        <v>Closing</v>
      </c>
      <c r="G291" s="15" t="str">
        <f>IFERROR(__xludf.DUMMYFUNCTION("""COMPUTED_VALUE"""),"3H2M opsi A")</f>
        <v>3H2M opsi A</v>
      </c>
      <c r="H291" s="26"/>
      <c r="I291" s="89">
        <f>IFERROR(__xludf.DUMMYFUNCTION("""COMPUTED_VALUE"""),7.0)</f>
        <v>7</v>
      </c>
      <c r="J291" s="96">
        <f>IFERROR(__xludf.DUMMYFUNCTION("""COMPUTED_VALUE"""),1.5632E7)</f>
        <v>15632000</v>
      </c>
      <c r="K291" s="36" t="str">
        <f>IFERROR(__xludf.DUMMYFUNCTION("""COMPUTED_VALUE"""),"ALHAMDULILLAHHH")</f>
        <v>ALHAMDULILLAHHH</v>
      </c>
      <c r="L291" s="81" t="str">
        <f>IFERROR(__xludf.DUMMYFUNCTION("""COMPUTED_VALUE"""),"https://docs.google.com/document/d/1OpKw15qCOlpaZu2JkZA3O2d6sUjSFfmJ9yHhssYmc50/edit?usp=sharing")</f>
        <v>https://docs.google.com/document/d/1OpKw15qCOlpaZu2JkZA3O2d6sUjSFfmJ9yHhssYmc50/edit?usp=sharing</v>
      </c>
      <c r="M291" s="20"/>
      <c r="N291" s="20"/>
      <c r="O291" s="20"/>
      <c r="P291" s="20"/>
    </row>
    <row r="292">
      <c r="A292" s="97">
        <f>IFERROR(__xludf.DUMMYFUNCTION("""COMPUTED_VALUE"""),46131.0)</f>
        <v>46131</v>
      </c>
      <c r="B292" s="97" t="str">
        <f>IFERROR(__xludf.DUMMYFUNCTION("""COMPUTED_VALUE"""),"2604A066")</f>
        <v>2604A066</v>
      </c>
      <c r="C292" s="76" t="str">
        <f>IFERROR(__xludf.DUMMYFUNCTION("""COMPUTED_VALUE"""),"Ponny")</f>
        <v>Ponny</v>
      </c>
      <c r="D292" s="99" t="str">
        <f>IFERROR(__xludf.DUMMYFUNCTION("""COMPUTED_VALUE"""),"087878896548")</f>
        <v>087878896548</v>
      </c>
      <c r="E292" s="25" t="str">
        <f>IFERROR(__xludf.DUMMYFUNCTION("""COMPUTED_VALUE"""),"Instagram")</f>
        <v>Instagram</v>
      </c>
      <c r="F292" s="25" t="str">
        <f>IFERROR(__xludf.DUMMYFUNCTION("""COMPUTED_VALUE"""),"Gagal")</f>
        <v>Gagal</v>
      </c>
      <c r="G292" s="25" t="str">
        <f>IFERROR(__xludf.DUMMYFUNCTION("""COMPUTED_VALUE"""),"Trip D, B, GI")</f>
        <v>Trip D, B, GI</v>
      </c>
      <c r="H292" s="16"/>
      <c r="I292" s="17">
        <f>IFERROR(__xludf.DUMMYFUNCTION("""COMPUTED_VALUE"""),2.0)</f>
        <v>2</v>
      </c>
      <c r="J292" s="54">
        <f>IFERROR(__xludf.DUMMYFUNCTION("""COMPUTED_VALUE"""),2740000.0)</f>
        <v>2740000</v>
      </c>
      <c r="K292" s="46" t="str">
        <f>IFERROR(__xludf.DUMMYFUNCTION("""COMPUTED_VALUE"""),"sudah booking ditempat lain")</f>
        <v>sudah booking ditempat lain</v>
      </c>
      <c r="L292" s="76"/>
      <c r="M292" s="20"/>
      <c r="N292" s="20"/>
      <c r="O292" s="20"/>
      <c r="P292" s="20"/>
    </row>
    <row r="293">
      <c r="A293" s="110">
        <f>IFERROR(__xludf.DUMMYFUNCTION("""COMPUTED_VALUE"""),46131.0)</f>
        <v>46131</v>
      </c>
      <c r="B293" s="110" t="str">
        <f>IFERROR(__xludf.DUMMYFUNCTION("""COMPUTED_VALUE"""),"2604A067")</f>
        <v>2604A067</v>
      </c>
      <c r="C293" s="49" t="str">
        <f>IFERROR(__xludf.DUMMYFUNCTION("""COMPUTED_VALUE"""),"No name")</f>
        <v>No name</v>
      </c>
      <c r="D293" s="102" t="str">
        <f>IFERROR(__xludf.DUMMYFUNCTION("""COMPUTED_VALUE"""),"088286131858")</f>
        <v>088286131858</v>
      </c>
      <c r="E293" s="25" t="str">
        <f>IFERROR(__xludf.DUMMYFUNCTION("""COMPUTED_VALUE"""),"Instagram")</f>
        <v>Instagram</v>
      </c>
      <c r="F293" s="25" t="str">
        <f>IFERROR(__xludf.DUMMYFUNCTION("""COMPUTED_VALUE"""),"Gagal")</f>
        <v>Gagal</v>
      </c>
      <c r="G293" s="25"/>
      <c r="H293" s="78"/>
      <c r="I293" s="89"/>
      <c r="J293" s="96"/>
      <c r="K293" s="36"/>
      <c r="L293" s="49"/>
      <c r="M293" s="20"/>
      <c r="N293" s="20"/>
      <c r="O293" s="20"/>
      <c r="P293" s="20"/>
    </row>
    <row r="294">
      <c r="A294" s="97">
        <f>IFERROR(__xludf.DUMMYFUNCTION("""COMPUTED_VALUE"""),46131.0)</f>
        <v>46131</v>
      </c>
      <c r="B294" s="97" t="str">
        <f>IFERROR(__xludf.DUMMYFUNCTION("""COMPUTED_VALUE"""),"2604A068")</f>
        <v>2604A068</v>
      </c>
      <c r="C294" s="76" t="str">
        <f>IFERROR(__xludf.DUMMYFUNCTION("""COMPUTED_VALUE"""),"Dhini")</f>
        <v>Dhini</v>
      </c>
      <c r="D294" s="99" t="str">
        <f>IFERROR(__xludf.DUMMYFUNCTION("""COMPUTED_VALUE"""),"082123207691")</f>
        <v>082123207691</v>
      </c>
      <c r="E294" s="25" t="str">
        <f>IFERROR(__xludf.DUMMYFUNCTION("""COMPUTED_VALUE"""),"Instagram")</f>
        <v>Instagram</v>
      </c>
      <c r="F294" s="25" t="str">
        <f>IFERROR(__xludf.DUMMYFUNCTION("""COMPUTED_VALUE"""),"Gagal")</f>
        <v>Gagal</v>
      </c>
      <c r="G294" s="15" t="str">
        <f>IFERROR(__xludf.DUMMYFUNCTION("""COMPUTED_VALUE"""),"OT 3H2M")</f>
        <v>OT 3H2M</v>
      </c>
      <c r="H294" s="92"/>
      <c r="I294" s="80">
        <f>IFERROR(__xludf.DUMMYFUNCTION("""COMPUTED_VALUE"""),2.0)</f>
        <v>2</v>
      </c>
      <c r="J294" s="93">
        <f>IFERROR(__xludf.DUMMYFUNCTION("""COMPUTED_VALUE"""),3200000.0)</f>
        <v>3200000</v>
      </c>
      <c r="K294" s="19" t="str">
        <f>IFERROR(__xludf.DUMMYFUNCTION("""COMPUTED_VALUE"""),"gada jawaban")</f>
        <v>gada jawaban</v>
      </c>
      <c r="L294" s="76"/>
      <c r="M294" s="20"/>
      <c r="N294" s="20"/>
      <c r="O294" s="20"/>
      <c r="P294" s="20"/>
    </row>
    <row r="295">
      <c r="A295" s="110">
        <f>IFERROR(__xludf.DUMMYFUNCTION("""COMPUTED_VALUE"""),46131.0)</f>
        <v>46131</v>
      </c>
      <c r="B295" s="110" t="str">
        <f>IFERROR(__xludf.DUMMYFUNCTION("""COMPUTED_VALUE"""),"2604A069")</f>
        <v>2604A069</v>
      </c>
      <c r="C295" s="49" t="str">
        <f>IFERROR(__xludf.DUMMYFUNCTION("""COMPUTED_VALUE"""),"Javier")</f>
        <v>Javier</v>
      </c>
      <c r="D295" s="102" t="str">
        <f>IFERROR(__xludf.DUMMYFUNCTION("""COMPUTED_VALUE"""),"085183107452")</f>
        <v>085183107452</v>
      </c>
      <c r="E295" s="25" t="str">
        <f>IFERROR(__xludf.DUMMYFUNCTION("""COMPUTED_VALUE"""),"Instagram")</f>
        <v>Instagram</v>
      </c>
      <c r="F295" s="25" t="str">
        <f>IFERROR(__xludf.DUMMYFUNCTION("""COMPUTED_VALUE"""),"Gagal")</f>
        <v>Gagal</v>
      </c>
      <c r="G295" s="25" t="str">
        <f>IFERROR(__xludf.DUMMYFUNCTION("""COMPUTED_VALUE"""),"Trip M T")</f>
        <v>Trip M T</v>
      </c>
      <c r="H295" s="26"/>
      <c r="I295" s="89">
        <f>IFERROR(__xludf.DUMMYFUNCTION("""COMPUTED_VALUE"""),2.0)</f>
        <v>2</v>
      </c>
      <c r="J295" s="33">
        <f>IFERROR(__xludf.DUMMYFUNCTION("""COMPUTED_VALUE"""),1050000.0)</f>
        <v>1050000</v>
      </c>
      <c r="K295" s="19" t="str">
        <f>IFERROR(__xludf.DUMMYFUNCTION("""COMPUTED_VALUE"""),"mencari yg dr sby")</f>
        <v>mencari yg dr sby</v>
      </c>
      <c r="L295" s="76"/>
      <c r="M295" s="20"/>
      <c r="N295" s="20"/>
      <c r="O295" s="20"/>
      <c r="P295" s="20"/>
    </row>
    <row r="296">
      <c r="A296" s="97">
        <f>IFERROR(__xludf.DUMMYFUNCTION("""COMPUTED_VALUE"""),46131.0)</f>
        <v>46131</v>
      </c>
      <c r="B296" s="110" t="str">
        <f>IFERROR(__xludf.DUMMYFUNCTION("""COMPUTED_VALUE"""),"2604A070")</f>
        <v>2604A070</v>
      </c>
      <c r="C296" s="76" t="str">
        <f>IFERROR(__xludf.DUMMYFUNCTION("""COMPUTED_VALUE"""),"Jerik")</f>
        <v>Jerik</v>
      </c>
      <c r="D296" s="99" t="str">
        <f>IFERROR(__xludf.DUMMYFUNCTION("""COMPUTED_VALUE"""),"08139190325")</f>
        <v>08139190325</v>
      </c>
      <c r="E296" s="25" t="str">
        <f>IFERROR(__xludf.DUMMYFUNCTION("""COMPUTED_VALUE"""),"Instagram")</f>
        <v>Instagram</v>
      </c>
      <c r="F296" s="25" t="str">
        <f>IFERROR(__xludf.DUMMYFUNCTION("""COMPUTED_VALUE"""),"Gagal")</f>
        <v>Gagal</v>
      </c>
      <c r="G296" s="25" t="str">
        <f>IFERROR(__xludf.DUMMYFUNCTION("""COMPUTED_VALUE"""),"Trip I, AP, D,")</f>
        <v>Trip I, AP, D,</v>
      </c>
      <c r="H296" s="92"/>
      <c r="I296" s="80"/>
      <c r="J296" s="54"/>
      <c r="K296" s="19" t="str">
        <f>IFERROR(__xludf.DUMMYFUNCTION("""COMPUTED_VALUE"""),"belum balas lagi.")</f>
        <v>belum balas lagi.</v>
      </c>
      <c r="L296" s="88" t="str">
        <f>IFERROR(__xludf.DUMMYFUNCTION("""COMPUTED_VALUE"""),"https://docs.google.com/document/d/1CkdeYIqHWUZ1H0TJ7CvOpjMTv3rtSHgw-4-lYBemljE/edit?usp=sharing")</f>
        <v>https://docs.google.com/document/d/1CkdeYIqHWUZ1H0TJ7CvOpjMTv3rtSHgw-4-lYBemljE/edit?usp=sharing</v>
      </c>
      <c r="M296" s="20"/>
      <c r="N296" s="20"/>
      <c r="O296" s="20"/>
      <c r="P296" s="20"/>
    </row>
    <row r="297">
      <c r="A297" s="110">
        <f>IFERROR(__xludf.DUMMYFUNCTION("""COMPUTED_VALUE"""),46132.0)</f>
        <v>46132</v>
      </c>
      <c r="B297" s="110" t="str">
        <f>IFERROR(__xludf.DUMMYFUNCTION("""COMPUTED_VALUE"""),"2604A071")</f>
        <v>2604A071</v>
      </c>
      <c r="C297" s="49" t="str">
        <f>IFERROR(__xludf.DUMMYFUNCTION("""COMPUTED_VALUE"""),"Marsheilla A")</f>
        <v>Marsheilla A</v>
      </c>
      <c r="D297" s="102" t="str">
        <f>IFERROR(__xludf.DUMMYFUNCTION("""COMPUTED_VALUE"""),"081284460967")</f>
        <v>081284460967</v>
      </c>
      <c r="E297" s="25" t="str">
        <f>IFERROR(__xludf.DUMMYFUNCTION("""COMPUTED_VALUE"""),"Instagram")</f>
        <v>Instagram</v>
      </c>
      <c r="F297" s="25" t="str">
        <f>IFERROR(__xludf.DUMMYFUNCTION("""COMPUTED_VALUE"""),"Gagal")</f>
        <v>Gagal</v>
      </c>
      <c r="G297" s="15" t="str">
        <f>IFERROR(__xludf.DUMMYFUNCTION("""COMPUTED_VALUE"""),"4H3M")</f>
        <v>4H3M</v>
      </c>
      <c r="H297" s="78"/>
      <c r="I297" s="27">
        <f>IFERROR(__xludf.DUMMYFUNCTION("""COMPUTED_VALUE"""),2.0)</f>
        <v>2</v>
      </c>
      <c r="J297" s="33">
        <f>IFERROR(__xludf.DUMMYFUNCTION("""COMPUTED_VALUE"""),7820000.0)</f>
        <v>7820000</v>
      </c>
      <c r="K297" s="30" t="str">
        <f>IFERROR(__xludf.DUMMYFUNCTION("""COMPUTED_VALUE"""),"gada jawaban")</f>
        <v>gada jawaban</v>
      </c>
      <c r="L297" s="81" t="str">
        <f>IFERROR(__xludf.DUMMYFUNCTION("""COMPUTED_VALUE"""),"https://docs.google.com/document/d/1vxa-C1iwhq7R98Ys7r-d4U_kmYRmPiliwbnsF_fmHP4/edit?usp=sharing")</f>
        <v>https://docs.google.com/document/d/1vxa-C1iwhq7R98Ys7r-d4U_kmYRmPiliwbnsF_fmHP4/edit?usp=sharing</v>
      </c>
      <c r="M297" s="20"/>
      <c r="N297" s="20"/>
      <c r="O297" s="20"/>
      <c r="P297" s="20"/>
    </row>
    <row r="298">
      <c r="A298" s="97">
        <f>IFERROR(__xludf.DUMMYFUNCTION("""COMPUTED_VALUE"""),46132.0)</f>
        <v>46132</v>
      </c>
      <c r="B298" s="97" t="str">
        <f>IFERROR(__xludf.DUMMYFUNCTION("""COMPUTED_VALUE"""),"2604A072")</f>
        <v>2604A072</v>
      </c>
      <c r="C298" s="49" t="str">
        <f>IFERROR(__xludf.DUMMYFUNCTION("""COMPUTED_VALUE"""),"Ria Febri")</f>
        <v>Ria Febri</v>
      </c>
      <c r="D298" s="102" t="str">
        <f>IFERROR(__xludf.DUMMYFUNCTION("""COMPUTED_VALUE"""),"081252405710")</f>
        <v>081252405710</v>
      </c>
      <c r="E298" s="25" t="str">
        <f>IFERROR(__xludf.DUMMYFUNCTION("""COMPUTED_VALUE"""),"Lainnya")</f>
        <v>Lainnya</v>
      </c>
      <c r="F298" s="25" t="str">
        <f>IFERROR(__xludf.DUMMYFUNCTION("""COMPUTED_VALUE"""),"Gagal")</f>
        <v>Gagal</v>
      </c>
      <c r="G298" s="25" t="str">
        <f>IFERROR(__xludf.DUMMYFUNCTION("""COMPUTED_VALUE"""),"OT M T")</f>
        <v>OT M T</v>
      </c>
      <c r="H298" s="16"/>
      <c r="I298" s="17"/>
      <c r="J298" s="54"/>
      <c r="K298" s="46" t="str">
        <f>IFERROR(__xludf.DUMMYFUNCTION("""COMPUTED_VALUE"""),"tidak ada balasan")</f>
        <v>tidak ada balasan</v>
      </c>
      <c r="L298" s="76"/>
      <c r="M298" s="20"/>
      <c r="N298" s="20"/>
      <c r="O298" s="20"/>
      <c r="P298" s="20"/>
    </row>
    <row r="299">
      <c r="A299" s="110">
        <f>IFERROR(__xludf.DUMMYFUNCTION("""COMPUTED_VALUE"""),46133.0)</f>
        <v>46133</v>
      </c>
      <c r="B299" s="119" t="str">
        <f>IFERROR(__xludf.DUMMYFUNCTION("""COMPUTED_VALUE"""),"2604A073")</f>
        <v>2604A073</v>
      </c>
      <c r="C299" s="49" t="str">
        <f>IFERROR(__xludf.DUMMYFUNCTION("""COMPUTED_VALUE"""),"No Name")</f>
        <v>No Name</v>
      </c>
      <c r="D299" s="102" t="str">
        <f>IFERROR(__xludf.DUMMYFUNCTION("""COMPUTED_VALUE"""),"085156638641")</f>
        <v>085156638641</v>
      </c>
      <c r="E299" s="25" t="str">
        <f>IFERROR(__xludf.DUMMYFUNCTION("""COMPUTED_VALUE"""),"Instagram")</f>
        <v>Instagram</v>
      </c>
      <c r="F299" s="25" t="str">
        <f>IFERROR(__xludf.DUMMYFUNCTION("""COMPUTED_VALUE"""),"Gagal")</f>
        <v>Gagal</v>
      </c>
      <c r="G299" s="25" t="str">
        <f>IFERROR(__xludf.DUMMYFUNCTION("""COMPUTED_VALUE"""),"OT 3H2M")</f>
        <v>OT 3H2M</v>
      </c>
      <c r="H299" s="78"/>
      <c r="I299" s="89">
        <f>IFERROR(__xludf.DUMMYFUNCTION("""COMPUTED_VALUE"""),2.0)</f>
        <v>2</v>
      </c>
      <c r="J299" s="96"/>
      <c r="K299" s="36" t="str">
        <f>IFERROR(__xludf.DUMMYFUNCTION("""COMPUTED_VALUE"""),"FULLBOOKED")</f>
        <v>FULLBOOKED</v>
      </c>
      <c r="L299" s="81" t="str">
        <f>IFERROR(__xludf.DUMMYFUNCTION("""COMPUTED_VALUE"""),"https://docs.google.com/document/d/1ttTERkF3-Yh8Vp4J56dJWEujJJyZlJEUDu1acbR19Hg/edit?usp=sharing")</f>
        <v>https://docs.google.com/document/d/1ttTERkF3-Yh8Vp4J56dJWEujJJyZlJEUDu1acbR19Hg/edit?usp=sharing</v>
      </c>
      <c r="M299" s="20"/>
      <c r="N299" s="20"/>
      <c r="O299" s="20"/>
      <c r="P299" s="20"/>
    </row>
    <row r="300">
      <c r="A300" s="97">
        <f>IFERROR(__xludf.DUMMYFUNCTION("""COMPUTED_VALUE"""),46133.0)</f>
        <v>46133</v>
      </c>
      <c r="B300" s="97" t="str">
        <f>IFERROR(__xludf.DUMMYFUNCTION("""COMPUTED_VALUE"""),"2604A074")</f>
        <v>2604A074</v>
      </c>
      <c r="C300" s="76" t="str">
        <f>IFERROR(__xludf.DUMMYFUNCTION("""COMPUTED_VALUE"""),"Ivan")</f>
        <v>Ivan</v>
      </c>
      <c r="D300" s="99" t="str">
        <f>IFERROR(__xludf.DUMMYFUNCTION("""COMPUTED_VALUE"""),"085213014214")</f>
        <v>085213014214</v>
      </c>
      <c r="E300" s="25" t="str">
        <f>IFERROR(__xludf.DUMMYFUNCTION("""COMPUTED_VALUE"""),"Instagram")</f>
        <v>Instagram</v>
      </c>
      <c r="F300" s="25" t="str">
        <f>IFERROR(__xludf.DUMMYFUNCTION("""COMPUTED_VALUE"""),"Qualified")</f>
        <v>Qualified</v>
      </c>
      <c r="G300" s="25" t="str">
        <f>IFERROR(__xludf.DUMMYFUNCTION("""COMPUTED_VALUE"""),"OT 3H2M")</f>
        <v>OT 3H2M</v>
      </c>
      <c r="H300" s="92"/>
      <c r="I300" s="80">
        <f>IFERROR(__xludf.DUMMYFUNCTION("""COMPUTED_VALUE"""),6.0)</f>
        <v>6</v>
      </c>
      <c r="J300" s="93">
        <f>IFERROR(__xludf.DUMMYFUNCTION("""COMPUTED_VALUE"""),9600000.0)</f>
        <v>9600000</v>
      </c>
      <c r="K300" s="19" t="str">
        <f>IFERROR(__xludf.DUMMYFUNCTION("""COMPUTED_VALUE"""),"nanti diinfokan kembali, FU 10 mei")</f>
        <v>nanti diinfokan kembali, FU 10 mei</v>
      </c>
      <c r="L300" s="88" t="str">
        <f>IFERROR(__xludf.DUMMYFUNCTION("""COMPUTED_VALUE"""),"https://docs.google.com/document/d/1BRzmkPrY-4K7f9NS6fTkubITgAmZ4yesMYBT3sI5Mdc/edit?usp=sharing")</f>
        <v>https://docs.google.com/document/d/1BRzmkPrY-4K7f9NS6fTkubITgAmZ4yesMYBT3sI5Mdc/edit?usp=sharing</v>
      </c>
      <c r="M300" s="20"/>
      <c r="N300" s="20"/>
      <c r="O300" s="20"/>
      <c r="P300" s="20"/>
    </row>
    <row r="301">
      <c r="A301" s="110">
        <f>IFERROR(__xludf.DUMMYFUNCTION("""COMPUTED_VALUE"""),46133.0)</f>
        <v>46133</v>
      </c>
      <c r="B301" s="110" t="str">
        <f>IFERROR(__xludf.DUMMYFUNCTION("""COMPUTED_VALUE"""),"2604A075")</f>
        <v>2604A075</v>
      </c>
      <c r="C301" s="49" t="str">
        <f>IFERROR(__xludf.DUMMYFUNCTION("""COMPUTED_VALUE"""),"Auliahelen")</f>
        <v>Auliahelen</v>
      </c>
      <c r="D301" s="102" t="str">
        <f>IFERROR(__xludf.DUMMYFUNCTION("""COMPUTED_VALUE"""),"085655941390")</f>
        <v>085655941390</v>
      </c>
      <c r="E301" s="25" t="str">
        <f>IFERROR(__xludf.DUMMYFUNCTION("""COMPUTED_VALUE"""),"Instagram")</f>
        <v>Instagram</v>
      </c>
      <c r="F301" s="25" t="str">
        <f>IFERROR(__xludf.DUMMYFUNCTION("""COMPUTED_VALUE"""),"Gagal")</f>
        <v>Gagal</v>
      </c>
      <c r="G301" s="15" t="str">
        <f>IFERROR(__xludf.DUMMYFUNCTION("""COMPUTED_VALUE"""),"2H1M opsi C")</f>
        <v>2H1M opsi C</v>
      </c>
      <c r="H301" s="78"/>
      <c r="I301" s="89">
        <f>IFERROR(__xludf.DUMMYFUNCTION("""COMPUTED_VALUE"""),4.0)</f>
        <v>4</v>
      </c>
      <c r="J301" s="96"/>
      <c r="K301" s="36" t="str">
        <f>IFERROR(__xludf.DUMMYFUNCTION("""COMPUTED_VALUE"""),"gada balasan")</f>
        <v>gada balasan</v>
      </c>
      <c r="L301" s="81" t="str">
        <f>IFERROR(__xludf.DUMMYFUNCTION("""COMPUTED_VALUE"""),"https://docs.google.com/document/d/1kfw2EVDT_tuFmQ2la4o04ioPxfY3aQ7RyYo8xrkxJaA/edit?usp=sharing")</f>
        <v>https://docs.google.com/document/d/1kfw2EVDT_tuFmQ2la4o04ioPxfY3aQ7RyYo8xrkxJaA/edit?usp=sharing</v>
      </c>
      <c r="M301" s="20"/>
      <c r="N301" s="20"/>
      <c r="O301" s="20"/>
      <c r="P301" s="20"/>
    </row>
    <row r="302">
      <c r="A302" s="97">
        <f>IFERROR(__xludf.DUMMYFUNCTION("""COMPUTED_VALUE"""),46133.0)</f>
        <v>46133</v>
      </c>
      <c r="B302" s="97" t="str">
        <f>IFERROR(__xludf.DUMMYFUNCTION("""COMPUTED_VALUE"""),"2604A076")</f>
        <v>2604A076</v>
      </c>
      <c r="C302" s="76" t="str">
        <f>IFERROR(__xludf.DUMMYFUNCTION("""COMPUTED_VALUE"""),"Nia ")</f>
        <v>Nia </v>
      </c>
      <c r="D302" s="99" t="str">
        <f>IFERROR(__xludf.DUMMYFUNCTION("""COMPUTED_VALUE"""),"082326666677")</f>
        <v>082326666677</v>
      </c>
      <c r="E302" s="25" t="str">
        <f>IFERROR(__xludf.DUMMYFUNCTION("""COMPUTED_VALUE"""),"Instagram")</f>
        <v>Instagram</v>
      </c>
      <c r="F302" s="25" t="str">
        <f>IFERROR(__xludf.DUMMYFUNCTION("""COMPUTED_VALUE"""),"Gagal")</f>
        <v>Gagal</v>
      </c>
      <c r="G302" s="15" t="str">
        <f>IFERROR(__xludf.DUMMYFUNCTION("""COMPUTED_VALUE"""),"Trip MT")</f>
        <v>Trip MT</v>
      </c>
      <c r="H302" s="16"/>
      <c r="I302" s="80">
        <f>IFERROR(__xludf.DUMMYFUNCTION("""COMPUTED_VALUE"""),5.0)</f>
        <v>5</v>
      </c>
      <c r="J302" s="54"/>
      <c r="K302" s="19" t="str">
        <f>IFERROR(__xludf.DUMMYFUNCTION("""COMPUTED_VALUE"""),"gada balasan")</f>
        <v>gada balasan</v>
      </c>
      <c r="L302" s="88" t="str">
        <f>IFERROR(__xludf.DUMMYFUNCTION("""COMPUTED_VALUE"""),"https://docs.google.com/document/d/1hyfRHax52fI684-re7zvLxXKlCbz2hs0OFsWlsG2GWs/edit?usp=sharing")</f>
        <v>https://docs.google.com/document/d/1hyfRHax52fI684-re7zvLxXKlCbz2hs0OFsWlsG2GWs/edit?usp=sharing</v>
      </c>
      <c r="M302" s="20"/>
      <c r="N302" s="20"/>
      <c r="O302" s="20"/>
      <c r="P302" s="20"/>
    </row>
    <row r="303">
      <c r="A303" s="110">
        <f>IFERROR(__xludf.DUMMYFUNCTION("""COMPUTED_VALUE"""),46133.0)</f>
        <v>46133</v>
      </c>
      <c r="B303" s="110" t="str">
        <f>IFERROR(__xludf.DUMMYFUNCTION("""COMPUTED_VALUE"""),"2604A078")</f>
        <v>2604A078</v>
      </c>
      <c r="C303" s="49" t="str">
        <f>IFERROR(__xludf.DUMMYFUNCTION("""COMPUTED_VALUE"""),"Bel")</f>
        <v>Bel</v>
      </c>
      <c r="D303" s="102" t="str">
        <f>IFERROR(__xludf.DUMMYFUNCTION("""COMPUTED_VALUE"""),"085716233752")</f>
        <v>085716233752</v>
      </c>
      <c r="E303" s="25" t="str">
        <f>IFERROR(__xludf.DUMMYFUNCTION("""COMPUTED_VALUE"""),"Instagram")</f>
        <v>Instagram</v>
      </c>
      <c r="F303" s="25" t="str">
        <f>IFERROR(__xludf.DUMMYFUNCTION("""COMPUTED_VALUE"""),"Gagal")</f>
        <v>Gagal</v>
      </c>
      <c r="G303" s="25" t="str">
        <f>IFERROR(__xludf.DUMMYFUNCTION("""COMPUTED_VALUE"""),"OT GI")</f>
        <v>OT GI</v>
      </c>
      <c r="H303" s="26"/>
      <c r="I303" s="89">
        <f>IFERROR(__xludf.DUMMYFUNCTION("""COMPUTED_VALUE"""),1.0)</f>
        <v>1</v>
      </c>
      <c r="J303" s="33"/>
      <c r="K303" s="36" t="str">
        <f>IFERROR(__xludf.DUMMYFUNCTION("""COMPUTED_VALUE"""),"Lempar Holiday")</f>
        <v>Lempar Holiday</v>
      </c>
      <c r="L303" s="49"/>
      <c r="M303" s="20"/>
      <c r="N303" s="20"/>
      <c r="O303" s="20"/>
      <c r="P303" s="20"/>
    </row>
    <row r="304">
      <c r="A304" s="97">
        <f>IFERROR(__xludf.DUMMYFUNCTION("""COMPUTED_VALUE"""),46134.0)</f>
        <v>46134</v>
      </c>
      <c r="B304" s="97" t="str">
        <f>IFERROR(__xludf.DUMMYFUNCTION("""COMPUTED_VALUE"""),"2604A079")</f>
        <v>2604A079</v>
      </c>
      <c r="C304" s="76" t="str">
        <f>IFERROR(__xludf.DUMMYFUNCTION("""COMPUTED_VALUE"""),"Yulia")</f>
        <v>Yulia</v>
      </c>
      <c r="D304" s="99" t="str">
        <f>IFERROR(__xludf.DUMMYFUNCTION("""COMPUTED_VALUE"""),"085223012345")</f>
        <v>085223012345</v>
      </c>
      <c r="E304" s="25" t="str">
        <f>IFERROR(__xludf.DUMMYFUNCTION("""COMPUTED_VALUE"""),"Website")</f>
        <v>Website</v>
      </c>
      <c r="F304" s="25" t="str">
        <f>IFERROR(__xludf.DUMMYFUNCTION("""COMPUTED_VALUE"""),"Closing")</f>
        <v>Closing</v>
      </c>
      <c r="G304" s="15" t="str">
        <f>IFERROR(__xludf.DUMMYFUNCTION("""COMPUTED_VALUE"""),"3H2M A")</f>
        <v>3H2M A</v>
      </c>
      <c r="H304" s="92"/>
      <c r="I304" s="80">
        <f>IFERROR(__xludf.DUMMYFUNCTION("""COMPUTED_VALUE"""),13.0)</f>
        <v>13</v>
      </c>
      <c r="J304" s="93">
        <f>IFERROR(__xludf.DUMMYFUNCTION("""COMPUTED_VALUE"""),1.495E7)</f>
        <v>14950000</v>
      </c>
      <c r="K304" s="46" t="str">
        <f>IFERROR(__xludf.DUMMYFUNCTION("""COMPUTED_VALUE"""),"masih dipelajari")</f>
        <v>masih dipelajari</v>
      </c>
      <c r="L304" s="88" t="str">
        <f>IFERROR(__xludf.DUMMYFUNCTION("""COMPUTED_VALUE"""),"https://docs.google.com/document/d/14Z7_AKAFl3NTmd7F0XIN-gF5p53yZxCn0IyYOCz40v4/edit?usp=sharing")</f>
        <v>https://docs.google.com/document/d/14Z7_AKAFl3NTmd7F0XIN-gF5p53yZxCn0IyYOCz40v4/edit?usp=sharing</v>
      </c>
      <c r="M304" s="20"/>
      <c r="N304" s="20"/>
      <c r="O304" s="20"/>
      <c r="P304" s="20"/>
    </row>
    <row r="305">
      <c r="A305" s="110">
        <f>IFERROR(__xludf.DUMMYFUNCTION("""COMPUTED_VALUE"""),46134.0)</f>
        <v>46134</v>
      </c>
      <c r="B305" s="110" t="str">
        <f>IFERROR(__xludf.DUMMYFUNCTION("""COMPUTED_VALUE"""),"2604A080")</f>
        <v>2604A080</v>
      </c>
      <c r="C305" s="49" t="str">
        <f>IFERROR(__xludf.DUMMYFUNCTION("""COMPUTED_VALUE"""),"Shinta")</f>
        <v>Shinta</v>
      </c>
      <c r="D305" s="102" t="str">
        <f>IFERROR(__xludf.DUMMYFUNCTION("""COMPUTED_VALUE"""),"0811218443")</f>
        <v>0811218443</v>
      </c>
      <c r="E305" s="25" t="str">
        <f>IFERROR(__xludf.DUMMYFUNCTION("""COMPUTED_VALUE"""),"Instagram")</f>
        <v>Instagram</v>
      </c>
      <c r="F305" s="25" t="str">
        <f>IFERROR(__xludf.DUMMYFUNCTION("""COMPUTED_VALUE"""),"Qualified")</f>
        <v>Qualified</v>
      </c>
      <c r="G305" s="15" t="str">
        <f>IFERROR(__xludf.DUMMYFUNCTION("""COMPUTED_VALUE"""),"Trip D, MU, PM")</f>
        <v>Trip D, MU, PM</v>
      </c>
      <c r="H305" s="78"/>
      <c r="I305" s="89">
        <f>IFERROR(__xludf.DUMMYFUNCTION("""COMPUTED_VALUE"""),10.0)</f>
        <v>10</v>
      </c>
      <c r="J305" s="96">
        <f>IFERROR(__xludf.DUMMYFUNCTION("""COMPUTED_VALUE"""),2980000.0)</f>
        <v>2980000</v>
      </c>
      <c r="K305" s="36" t="str">
        <f>IFERROR(__xludf.DUMMYFUNCTION("""COMPUTED_VALUE"""),"dipelajari dlu")</f>
        <v>dipelajari dlu</v>
      </c>
      <c r="L305" s="81" t="str">
        <f>IFERROR(__xludf.DUMMYFUNCTION("""COMPUTED_VALUE"""),"https://docs.google.com/document/d/1crEyDPG7f_0XqK0KInVWj3it23s284T7IZ-leajieXA/edit?usp=sharing")</f>
        <v>https://docs.google.com/document/d/1crEyDPG7f_0XqK0KInVWj3it23s284T7IZ-leajieXA/edit?usp=sharing</v>
      </c>
      <c r="M305" s="20"/>
      <c r="N305" s="20"/>
      <c r="O305" s="20"/>
      <c r="P305" s="20"/>
    </row>
    <row r="306">
      <c r="A306" s="97">
        <f>IFERROR(__xludf.DUMMYFUNCTION("""COMPUTED_VALUE"""),46134.0)</f>
        <v>46134</v>
      </c>
      <c r="B306" s="97" t="str">
        <f>IFERROR(__xludf.DUMMYFUNCTION("""COMPUTED_VALUE"""),"2604A081")</f>
        <v>2604A081</v>
      </c>
      <c r="C306" s="76" t="str">
        <f>IFERROR(__xludf.DUMMYFUNCTION("""COMPUTED_VALUE"""),"Lintang Ramadhanti")</f>
        <v>Lintang Ramadhanti</v>
      </c>
      <c r="D306" s="99" t="str">
        <f>IFERROR(__xludf.DUMMYFUNCTION("""COMPUTED_VALUE"""),"085711471680")</f>
        <v>085711471680</v>
      </c>
      <c r="E306" s="25" t="str">
        <f>IFERROR(__xludf.DUMMYFUNCTION("""COMPUTED_VALUE"""),"Instagram")</f>
        <v>Instagram</v>
      </c>
      <c r="F306" s="25" t="str">
        <f>IFERROR(__xludf.DUMMYFUNCTION("""COMPUTED_VALUE"""),"Gagal")</f>
        <v>Gagal</v>
      </c>
      <c r="G306" s="15" t="str">
        <f>IFERROR(__xludf.DUMMYFUNCTION("""COMPUTED_VALUE"""),"OT M T")</f>
        <v>OT M T</v>
      </c>
      <c r="H306" s="92">
        <f>IFERROR(__xludf.DUMMYFUNCTION("""COMPUTED_VALUE"""),46144.0)</f>
        <v>46144</v>
      </c>
      <c r="I306" s="80">
        <f>IFERROR(__xludf.DUMMYFUNCTION("""COMPUTED_VALUE"""),2.0)</f>
        <v>2</v>
      </c>
      <c r="J306" s="93">
        <f>IFERROR(__xludf.DUMMYFUNCTION("""COMPUTED_VALUE"""),590000.0)</f>
        <v>590000</v>
      </c>
      <c r="K306" s="19" t="str">
        <f>IFERROR(__xludf.DUMMYFUNCTION("""COMPUTED_VALUE"""),"tidak ada balasan")</f>
        <v>tidak ada balasan</v>
      </c>
      <c r="L306" s="88" t="str">
        <f>IFERROR(__xludf.DUMMYFUNCTION("""COMPUTED_VALUE"""),"https://docs.google.com/document/d/1ELoa1QhTRPv7xY4B2KRb7_QtbQrdUbPaSnvKIwV70jM/edit?usp=sharing")</f>
        <v>https://docs.google.com/document/d/1ELoa1QhTRPv7xY4B2KRb7_QtbQrdUbPaSnvKIwV70jM/edit?usp=sharing</v>
      </c>
      <c r="M306" s="20"/>
      <c r="N306" s="20"/>
      <c r="O306" s="20"/>
      <c r="P306" s="20"/>
    </row>
    <row r="307">
      <c r="A307" s="110">
        <f>IFERROR(__xludf.DUMMYFUNCTION("""COMPUTED_VALUE"""),46134.0)</f>
        <v>46134</v>
      </c>
      <c r="B307" s="110" t="str">
        <f>IFERROR(__xludf.DUMMYFUNCTION("""COMPUTED_VALUE"""),"2604A082")</f>
        <v>2604A082</v>
      </c>
      <c r="C307" s="49" t="str">
        <f>IFERROR(__xludf.DUMMYFUNCTION("""COMPUTED_VALUE"""),"Adela")</f>
        <v>Adela</v>
      </c>
      <c r="D307" s="102" t="str">
        <f>IFERROR(__xludf.DUMMYFUNCTION("""COMPUTED_VALUE"""),"088233811775")</f>
        <v>088233811775</v>
      </c>
      <c r="E307" s="25" t="str">
        <f>IFERROR(__xludf.DUMMYFUNCTION("""COMPUTED_VALUE"""),"Instagram")</f>
        <v>Instagram</v>
      </c>
      <c r="F307" s="25" t="str">
        <f>IFERROR(__xludf.DUMMYFUNCTION("""COMPUTED_VALUE"""),"Qualified")</f>
        <v>Qualified</v>
      </c>
      <c r="G307" s="15"/>
      <c r="H307" s="78"/>
      <c r="I307" s="89">
        <f>IFERROR(__xludf.DUMMYFUNCTION("""COMPUTED_VALUE"""),46272.0)</f>
        <v>46272</v>
      </c>
      <c r="J307" s="96">
        <f>IFERROR(__xludf.DUMMYFUNCTION("""COMPUTED_VALUE"""),1.215E7)</f>
        <v>12150000</v>
      </c>
      <c r="K307" s="36" t="str">
        <f>IFERROR(__xludf.DUMMYFUNCTION("""COMPUTED_VALUE"""),"fu 5 mei")</f>
        <v>fu 5 mei</v>
      </c>
      <c r="L307" s="81" t="str">
        <f>IFERROR(__xludf.DUMMYFUNCTION("""COMPUTED_VALUE"""),"https://docs.google.com/document/d/1nAJHVlz5vRjq3zLEU_XS0DhSy4iXhXydO4qH5MOImQE/edit?usp=sharing")</f>
        <v>https://docs.google.com/document/d/1nAJHVlz5vRjq3zLEU_XS0DhSy4iXhXydO4qH5MOImQE/edit?usp=sharing</v>
      </c>
      <c r="M307" s="20"/>
      <c r="N307" s="20"/>
      <c r="O307" s="20"/>
      <c r="P307" s="20"/>
    </row>
    <row r="308">
      <c r="A308" s="97">
        <f>IFERROR(__xludf.DUMMYFUNCTION("""COMPUTED_VALUE"""),46135.0)</f>
        <v>46135</v>
      </c>
      <c r="B308" s="97" t="str">
        <f>IFERROR(__xludf.DUMMYFUNCTION("""COMPUTED_VALUE"""),"2604A083")</f>
        <v>2604A083</v>
      </c>
      <c r="C308" s="76" t="str">
        <f>IFERROR(__xludf.DUMMYFUNCTION("""COMPUTED_VALUE"""),"Gita")</f>
        <v>Gita</v>
      </c>
      <c r="D308" s="99" t="str">
        <f>IFERROR(__xludf.DUMMYFUNCTION("""COMPUTED_VALUE"""),"085156367823")</f>
        <v>085156367823</v>
      </c>
      <c r="E308" s="25" t="str">
        <f>IFERROR(__xludf.DUMMYFUNCTION("""COMPUTED_VALUE"""),"Website")</f>
        <v>Website</v>
      </c>
      <c r="F308" s="25" t="str">
        <f>IFERROR(__xludf.DUMMYFUNCTION("""COMPUTED_VALUE"""),"Closing")</f>
        <v>Closing</v>
      </c>
      <c r="G308" s="25" t="str">
        <f>IFERROR(__xludf.DUMMYFUNCTION("""COMPUTED_VALUE"""),"3H2M Custom")</f>
        <v>3H2M Custom</v>
      </c>
      <c r="H308" s="92"/>
      <c r="I308" s="17">
        <f>IFERROR(__xludf.DUMMYFUNCTION("""COMPUTED_VALUE"""),2.0)</f>
        <v>2</v>
      </c>
      <c r="J308" s="54">
        <f>IFERROR(__xludf.DUMMYFUNCTION("""COMPUTED_VALUE"""),7240000.0)</f>
        <v>7240000</v>
      </c>
      <c r="K308" s="19" t="str">
        <f>IFERROR(__xludf.DUMMYFUNCTION("""COMPUTED_VALUE"""),"ALHAMDULILLAH")</f>
        <v>ALHAMDULILLAH</v>
      </c>
      <c r="L308" s="88" t="str">
        <f>IFERROR(__xludf.DUMMYFUNCTION("""COMPUTED_VALUE"""),"https://docs.google.com/document/d/1mxuSOlq2UoVHUdDq9Qlb0MDNTlSWy6CJ_A4BhyryeM8/edit?usp=sharing")</f>
        <v>https://docs.google.com/document/d/1mxuSOlq2UoVHUdDq9Qlb0MDNTlSWy6CJ_A4BhyryeM8/edit?usp=sharing</v>
      </c>
      <c r="M308" s="20"/>
      <c r="N308" s="20"/>
      <c r="O308" s="20"/>
      <c r="P308" s="20"/>
    </row>
    <row r="309">
      <c r="A309" s="110">
        <f>IFERROR(__xludf.DUMMYFUNCTION("""COMPUTED_VALUE"""),46104.0)</f>
        <v>46104</v>
      </c>
      <c r="B309" s="110" t="str">
        <f>IFERROR(__xludf.DUMMYFUNCTION("""COMPUTED_VALUE"""),"2604A084")</f>
        <v>2604A084</v>
      </c>
      <c r="C309" s="49" t="str">
        <f>IFERROR(__xludf.DUMMYFUNCTION("""COMPUTED_VALUE"""),"Yaya")</f>
        <v>Yaya</v>
      </c>
      <c r="D309" s="102" t="str">
        <f>IFERROR(__xludf.DUMMYFUNCTION("""COMPUTED_VALUE"""),"081217799593")</f>
        <v>081217799593</v>
      </c>
      <c r="E309" s="25" t="str">
        <f>IFERROR(__xludf.DUMMYFUNCTION("""COMPUTED_VALUE"""),"Instagram")</f>
        <v>Instagram</v>
      </c>
      <c r="F309" s="25" t="str">
        <f>IFERROR(__xludf.DUMMYFUNCTION("""COMPUTED_VALUE"""),"Gagal")</f>
        <v>Gagal</v>
      </c>
      <c r="G309" s="15" t="str">
        <f>IFERROR(__xludf.DUMMYFUNCTION("""COMPUTED_VALUE"""),"OT 3H2M")</f>
        <v>OT 3H2M</v>
      </c>
      <c r="H309" s="26"/>
      <c r="I309" s="89">
        <f>IFERROR(__xludf.DUMMYFUNCTION("""COMPUTED_VALUE"""),4.0)</f>
        <v>4</v>
      </c>
      <c r="J309" s="96">
        <f>IFERROR(__xludf.DUMMYFUNCTION("""COMPUTED_VALUE"""),6400000.0)</f>
        <v>6400000</v>
      </c>
      <c r="K309" s="36" t="str">
        <f>IFERROR(__xludf.DUMMYFUNCTION("""COMPUTED_VALUE"""),"Jadi di Trip lain")</f>
        <v>Jadi di Trip lain</v>
      </c>
      <c r="L309" s="81" t="str">
        <f>IFERROR(__xludf.DUMMYFUNCTION("""COMPUTED_VALUE"""),"https://docs.google.com/document/d/13zuv92lZfm8dU5txDsd7XpYxThLYMroV8-s7ljFUxE8/edit?usp=sharing")</f>
        <v>https://docs.google.com/document/d/13zuv92lZfm8dU5txDsd7XpYxThLYMroV8-s7ljFUxE8/edit?usp=sharing</v>
      </c>
      <c r="M309" s="20"/>
      <c r="N309" s="20"/>
      <c r="O309" s="20"/>
      <c r="P309" s="20"/>
    </row>
    <row r="310">
      <c r="A310" s="97">
        <f>IFERROR(__xludf.DUMMYFUNCTION("""COMPUTED_VALUE"""),46135.0)</f>
        <v>46135</v>
      </c>
      <c r="B310" s="97" t="str">
        <f>IFERROR(__xludf.DUMMYFUNCTION("""COMPUTED_VALUE"""),"2604A085")</f>
        <v>2604A085</v>
      </c>
      <c r="C310" s="76" t="str">
        <f>IFERROR(__xludf.DUMMYFUNCTION("""COMPUTED_VALUE"""),"ohandjohari")</f>
        <v>ohandjohari</v>
      </c>
      <c r="D310" s="99" t="str">
        <f>IFERROR(__xludf.DUMMYFUNCTION("""COMPUTED_VALUE"""),"087898652288")</f>
        <v>087898652288</v>
      </c>
      <c r="E310" s="25" t="str">
        <f>IFERROR(__xludf.DUMMYFUNCTION("""COMPUTED_VALUE"""),"Lainnya")</f>
        <v>Lainnya</v>
      </c>
      <c r="F310" s="25" t="str">
        <f>IFERROR(__xludf.DUMMYFUNCTION("""COMPUTED_VALUE"""),"Qualified")</f>
        <v>Qualified</v>
      </c>
      <c r="G310" s="25" t="str">
        <f>IFERROR(__xludf.DUMMYFUNCTION("""COMPUTED_VALUE"""),"2H1M")</f>
        <v>2H1M</v>
      </c>
      <c r="H310" s="16"/>
      <c r="I310" s="17">
        <f>IFERROR(__xludf.DUMMYFUNCTION("""COMPUTED_VALUE"""),15.0)</f>
        <v>15</v>
      </c>
      <c r="J310" s="54">
        <f>IFERROR(__xludf.DUMMYFUNCTION("""COMPUTED_VALUE"""),1.275E7)</f>
        <v>12750000</v>
      </c>
      <c r="K310" s="19" t="str">
        <f>IFERROR(__xludf.DUMMYFUNCTION("""COMPUTED_VALUE"""),"fu 25 april")</f>
        <v>fu 25 april</v>
      </c>
      <c r="L310" s="88" t="str">
        <f>IFERROR(__xludf.DUMMYFUNCTION("""COMPUTED_VALUE"""),"https://docs.google.com/document/d/1Q3qTaUazgE9lLwQqm8vUURZqmMuH72E1TFQW2NQG2kY/edit?usp=sharing")</f>
        <v>https://docs.google.com/document/d/1Q3qTaUazgE9lLwQqm8vUURZqmMuH72E1TFQW2NQG2kY/edit?usp=sharing</v>
      </c>
      <c r="M310" s="20"/>
      <c r="N310" s="20"/>
      <c r="O310" s="20"/>
      <c r="P310" s="20"/>
    </row>
    <row r="311">
      <c r="A311" s="110">
        <f>IFERROR(__xludf.DUMMYFUNCTION("""COMPUTED_VALUE"""),46136.0)</f>
        <v>46136</v>
      </c>
      <c r="B311" s="110" t="str">
        <f>IFERROR(__xludf.DUMMYFUNCTION("""COMPUTED_VALUE"""),"2604A086")</f>
        <v>2604A086</v>
      </c>
      <c r="C311" s="49" t="str">
        <f>IFERROR(__xludf.DUMMYFUNCTION("""COMPUTED_VALUE"""),"dee")</f>
        <v>dee</v>
      </c>
      <c r="D311" s="102" t="str">
        <f>IFERROR(__xludf.DUMMYFUNCTION("""COMPUTED_VALUE"""),"082124668365")</f>
        <v>082124668365</v>
      </c>
      <c r="E311" s="25" t="str">
        <f>IFERROR(__xludf.DUMMYFUNCTION("""COMPUTED_VALUE"""),"Instagram")</f>
        <v>Instagram</v>
      </c>
      <c r="F311" s="25" t="str">
        <f>IFERROR(__xludf.DUMMYFUNCTION("""COMPUTED_VALUE"""),"Qualified")</f>
        <v>Qualified</v>
      </c>
      <c r="G311" s="25" t="str">
        <f>IFERROR(__xludf.DUMMYFUNCTION("""COMPUTED_VALUE"""),"OT M T")</f>
        <v>OT M T</v>
      </c>
      <c r="H311" s="78">
        <f>IFERROR(__xludf.DUMMYFUNCTION("""COMPUTED_VALUE"""),46144.0)</f>
        <v>46144</v>
      </c>
      <c r="I311" s="89">
        <f>IFERROR(__xludf.DUMMYFUNCTION("""COMPUTED_VALUE"""),10.0)</f>
        <v>10</v>
      </c>
      <c r="J311" s="96">
        <f>IFERROR(__xludf.DUMMYFUNCTION("""COMPUTED_VALUE"""),2950000.0)</f>
        <v>2950000</v>
      </c>
      <c r="K311" s="36" t="str">
        <f>IFERROR(__xludf.DUMMYFUNCTION("""COMPUTED_VALUE"""),"FU 25 April")</f>
        <v>FU 25 April</v>
      </c>
      <c r="L311" s="81" t="str">
        <f>IFERROR(__xludf.DUMMYFUNCTION("""COMPUTED_VALUE"""),"https://docs.google.com/document/d/1-MhHQT8Z0Ma1W4qm-jLxesBmHCQwtRm0kGn27JMhQGU/edit?usp=sharing")</f>
        <v>https://docs.google.com/document/d/1-MhHQT8Z0Ma1W4qm-jLxesBmHCQwtRm0kGn27JMhQGU/edit?usp=sharing</v>
      </c>
      <c r="M311" s="20"/>
      <c r="N311" s="20"/>
      <c r="O311" s="20"/>
      <c r="P311" s="20"/>
    </row>
    <row r="312">
      <c r="A312" s="97">
        <f>IFERROR(__xludf.DUMMYFUNCTION("""COMPUTED_VALUE"""),46136.0)</f>
        <v>46136</v>
      </c>
      <c r="B312" s="97" t="str">
        <f>IFERROR(__xludf.DUMMYFUNCTION("""COMPUTED_VALUE"""),"2604A087")</f>
        <v>2604A087</v>
      </c>
      <c r="C312" s="76" t="str">
        <f>IFERROR(__xludf.DUMMYFUNCTION("""COMPUTED_VALUE"""),"fitri")</f>
        <v>fitri</v>
      </c>
      <c r="D312" s="99" t="str">
        <f>IFERROR(__xludf.DUMMYFUNCTION("""COMPUTED_VALUE"""),"0811213038")</f>
        <v>0811213038</v>
      </c>
      <c r="E312" s="25" t="str">
        <f>IFERROR(__xludf.DUMMYFUNCTION("""COMPUTED_VALUE"""),"Instagram")</f>
        <v>Instagram</v>
      </c>
      <c r="F312" s="25" t="str">
        <f>IFERROR(__xludf.DUMMYFUNCTION("""COMPUTED_VALUE"""),"Qualified")</f>
        <v>Qualified</v>
      </c>
      <c r="G312" s="15" t="str">
        <f>IFERROR(__xludf.DUMMYFUNCTION("""COMPUTED_VALUE"""),"Trip GI BD")</f>
        <v>Trip GI BD</v>
      </c>
      <c r="H312" s="92">
        <f>IFERROR(__xludf.DUMMYFUNCTION("""COMPUTED_VALUE"""),46157.0)</f>
        <v>46157</v>
      </c>
      <c r="I312" s="80">
        <f>IFERROR(__xludf.DUMMYFUNCTION("""COMPUTED_VALUE"""),4.0)</f>
        <v>4</v>
      </c>
      <c r="J312" s="93">
        <f>IFERROR(__xludf.DUMMYFUNCTION("""COMPUTED_VALUE"""),1540000.0)</f>
        <v>1540000</v>
      </c>
      <c r="K312" s="19" t="str">
        <f>IFERROR(__xludf.DUMMYFUNCTION("""COMPUTED_VALUE"""),"Kirim penawaran")</f>
        <v>Kirim penawaran</v>
      </c>
      <c r="L312" s="88" t="str">
        <f>IFERROR(__xludf.DUMMYFUNCTION("""COMPUTED_VALUE"""),"https://docs.google.com/document/d/1ubk1wW-1mElYA-372--VhpvqOQiUdh5QFXC_BduMTa0/edit?usp=sharing")</f>
        <v>https://docs.google.com/document/d/1ubk1wW-1mElYA-372--VhpvqOQiUdh5QFXC_BduMTa0/edit?usp=sharing</v>
      </c>
      <c r="M312" s="20"/>
      <c r="N312" s="20"/>
      <c r="O312" s="20"/>
      <c r="P312" s="20"/>
    </row>
    <row r="313">
      <c r="A313" s="110">
        <f>IFERROR(__xludf.DUMMYFUNCTION("""COMPUTED_VALUE"""),46136.0)</f>
        <v>46136</v>
      </c>
      <c r="B313" s="110" t="str">
        <f>IFERROR(__xludf.DUMMYFUNCTION("""COMPUTED_VALUE"""),"2604A088")</f>
        <v>2604A088</v>
      </c>
      <c r="C313" s="49" t="str">
        <f>IFERROR(__xludf.DUMMYFUNCTION("""COMPUTED_VALUE"""),"Ninis")</f>
        <v>Ninis</v>
      </c>
      <c r="D313" s="102" t="str">
        <f>IFERROR(__xludf.DUMMYFUNCTION("""COMPUTED_VALUE"""),"085855855990")</f>
        <v>085855855990</v>
      </c>
      <c r="E313" s="25" t="str">
        <f>IFERROR(__xludf.DUMMYFUNCTION("""COMPUTED_VALUE"""),"Website")</f>
        <v>Website</v>
      </c>
      <c r="F313" s="25" t="str">
        <f>IFERROR(__xludf.DUMMYFUNCTION("""COMPUTED_VALUE"""),"Gagal")</f>
        <v>Gagal</v>
      </c>
      <c r="G313" s="25"/>
      <c r="H313" s="78"/>
      <c r="I313" s="27"/>
      <c r="J313" s="33"/>
      <c r="K313" s="36" t="str">
        <f>IFERROR(__xludf.DUMMYFUNCTION("""COMPUTED_VALUE"""),"tidak jadi")</f>
        <v>tidak jadi</v>
      </c>
      <c r="L313" s="81" t="str">
        <f>IFERROR(__xludf.DUMMYFUNCTION("""COMPUTED_VALUE"""),"https://docs.google.com/document/d/1Tzj3M76jItUMwOgYFk_Z7QdY6bhW0Me6c9fjO0dZl98/edit?usp=sharing")</f>
        <v>https://docs.google.com/document/d/1Tzj3M76jItUMwOgYFk_Z7QdY6bhW0Me6c9fjO0dZl98/edit?usp=sharing</v>
      </c>
      <c r="M313" s="20"/>
      <c r="N313" s="20"/>
      <c r="O313" s="20"/>
      <c r="P313" s="20"/>
    </row>
    <row r="314">
      <c r="A314" s="97">
        <f>IFERROR(__xludf.DUMMYFUNCTION("""COMPUTED_VALUE"""),46136.0)</f>
        <v>46136</v>
      </c>
      <c r="B314" s="97" t="str">
        <f>IFERROR(__xludf.DUMMYFUNCTION("""COMPUTED_VALUE"""),"2604A090")</f>
        <v>2604A090</v>
      </c>
      <c r="C314" s="76" t="str">
        <f>IFERROR(__xludf.DUMMYFUNCTION("""COMPUTED_VALUE"""),"vira")</f>
        <v>vira</v>
      </c>
      <c r="D314" s="99" t="str">
        <f>IFERROR(__xludf.DUMMYFUNCTION("""COMPUTED_VALUE"""),"087781523339")</f>
        <v>087781523339</v>
      </c>
      <c r="E314" s="25" t="str">
        <f>IFERROR(__xludf.DUMMYFUNCTION("""COMPUTED_VALUE"""),"Website")</f>
        <v>Website</v>
      </c>
      <c r="F314" s="25" t="str">
        <f>IFERROR(__xludf.DUMMYFUNCTION("""COMPUTED_VALUE"""),"Closing")</f>
        <v>Closing</v>
      </c>
      <c r="G314" s="25" t="str">
        <f>IFERROR(__xludf.DUMMYFUNCTION("""COMPUTED_VALUE"""),"1D M T")</f>
        <v>1D M T</v>
      </c>
      <c r="H314" s="92">
        <f>IFERROR(__xludf.DUMMYFUNCTION("""COMPUTED_VALUE"""),46147.0)</f>
        <v>46147</v>
      </c>
      <c r="I314" s="80">
        <f>IFERROR(__xludf.DUMMYFUNCTION("""COMPUTED_VALUE"""),2.0)</f>
        <v>2</v>
      </c>
      <c r="J314" s="93">
        <f>IFERROR(__xludf.DUMMYFUNCTION("""COMPUTED_VALUE"""),1700000.0)</f>
        <v>1700000</v>
      </c>
      <c r="K314" s="19" t="str">
        <f>IFERROR(__xludf.DUMMYFUNCTION("""COMPUTED_VALUE"""),"ALHAMDULILLAH")</f>
        <v>ALHAMDULILLAH</v>
      </c>
      <c r="L314" s="76"/>
      <c r="M314" s="20"/>
      <c r="N314" s="20"/>
      <c r="O314" s="20"/>
      <c r="P314" s="20"/>
    </row>
    <row r="315">
      <c r="A315" s="110">
        <f>IFERROR(__xludf.DUMMYFUNCTION("""COMPUTED_VALUE"""),46136.0)</f>
        <v>46136</v>
      </c>
      <c r="B315" s="110" t="str">
        <f>IFERROR(__xludf.DUMMYFUNCTION("""COMPUTED_VALUE"""),"2604A089")</f>
        <v>2604A089</v>
      </c>
      <c r="C315" s="49" t="str">
        <f>IFERROR(__xludf.DUMMYFUNCTION("""COMPUTED_VALUE"""),"Herfani")</f>
        <v>Herfani</v>
      </c>
      <c r="D315" s="102" t="str">
        <f>IFERROR(__xludf.DUMMYFUNCTION("""COMPUTED_VALUE"""),"081218648700")</f>
        <v>081218648700</v>
      </c>
      <c r="E315" s="25" t="str">
        <f>IFERROR(__xludf.DUMMYFUNCTION("""COMPUTED_VALUE"""),"Website")</f>
        <v>Website</v>
      </c>
      <c r="F315" s="25" t="str">
        <f>IFERROR(__xludf.DUMMYFUNCTION("""COMPUTED_VALUE"""),"Closing")</f>
        <v>Closing</v>
      </c>
      <c r="G315" s="15" t="str">
        <f>IFERROR(__xludf.DUMMYFUNCTION("""COMPUTED_VALUE"""),"3H2M A")</f>
        <v>3H2M A</v>
      </c>
      <c r="H315" s="78"/>
      <c r="I315" s="89">
        <f>IFERROR(__xludf.DUMMYFUNCTION("""COMPUTED_VALUE"""),2.0)</f>
        <v>2</v>
      </c>
      <c r="J315" s="96">
        <f>IFERROR(__xludf.DUMMYFUNCTION("""COMPUTED_VALUE"""),6000000.0)</f>
        <v>6000000</v>
      </c>
      <c r="K315" s="36" t="str">
        <f>IFERROR(__xludf.DUMMYFUNCTION("""COMPUTED_VALUE"""),"ALHAMDULILLAH")</f>
        <v>ALHAMDULILLAH</v>
      </c>
      <c r="L315" s="49"/>
      <c r="M315" s="20"/>
      <c r="N315" s="20"/>
      <c r="O315" s="20"/>
      <c r="P315" s="20"/>
    </row>
    <row r="316">
      <c r="A316" s="97">
        <f>IFERROR(__xludf.DUMMYFUNCTION("""COMPUTED_VALUE"""),46137.0)</f>
        <v>46137</v>
      </c>
      <c r="B316" s="97" t="str">
        <f>IFERROR(__xludf.DUMMYFUNCTION("""COMPUTED_VALUE"""),"2604A091")</f>
        <v>2604A091</v>
      </c>
      <c r="C316" s="76" t="str">
        <f>IFERROR(__xludf.DUMMYFUNCTION("""COMPUTED_VALUE"""),"Dhisty")</f>
        <v>Dhisty</v>
      </c>
      <c r="D316" s="99" t="str">
        <f>IFERROR(__xludf.DUMMYFUNCTION("""COMPUTED_VALUE"""),"081283753989")</f>
        <v>081283753989</v>
      </c>
      <c r="E316" s="25" t="str">
        <f>IFERROR(__xludf.DUMMYFUNCTION("""COMPUTED_VALUE"""),"Instagram")</f>
        <v>Instagram</v>
      </c>
      <c r="F316" s="25" t="str">
        <f>IFERROR(__xludf.DUMMYFUNCTION("""COMPUTED_VALUE"""),"Qualified")</f>
        <v>Qualified</v>
      </c>
      <c r="G316" s="25" t="str">
        <f>IFERROR(__xludf.DUMMYFUNCTION("""COMPUTED_VALUE"""),"OT M T")</f>
        <v>OT M T</v>
      </c>
      <c r="H316" s="92">
        <f>IFERROR(__xludf.DUMMYFUNCTION("""COMPUTED_VALUE"""),46158.0)</f>
        <v>46158</v>
      </c>
      <c r="I316" s="80">
        <f>IFERROR(__xludf.DUMMYFUNCTION("""COMPUTED_VALUE"""),5.0)</f>
        <v>5</v>
      </c>
      <c r="J316" s="93">
        <f>IFERROR(__xludf.DUMMYFUNCTION("""COMPUTED_VALUE"""),1475000.0)</f>
        <v>1475000</v>
      </c>
      <c r="K316" s="19"/>
      <c r="L316" s="88" t="str">
        <f>IFERROR(__xludf.DUMMYFUNCTION("""COMPUTED_VALUE"""),"https://docs.google.com/document/d/1L9HSPspX9R4zKi8QK1MZuYY0iQp2DRH5GFRrvjkeOLs/edit?usp=sharing")</f>
        <v>https://docs.google.com/document/d/1L9HSPspX9R4zKi8QK1MZuYY0iQp2DRH5GFRrvjkeOLs/edit?usp=sharing</v>
      </c>
      <c r="M316" s="20"/>
      <c r="N316" s="20"/>
      <c r="O316" s="20"/>
      <c r="P316" s="20"/>
    </row>
    <row r="317">
      <c r="A317" s="110">
        <f>IFERROR(__xludf.DUMMYFUNCTION("""COMPUTED_VALUE"""),46137.0)</f>
        <v>46137</v>
      </c>
      <c r="B317" s="110" t="str">
        <f>IFERROR(__xludf.DUMMYFUNCTION("""COMPUTED_VALUE"""),"2604A092")</f>
        <v>2604A092</v>
      </c>
      <c r="C317" s="49" t="str">
        <f>IFERROR(__xludf.DUMMYFUNCTION("""COMPUTED_VALUE"""),"Abednego")</f>
        <v>Abednego</v>
      </c>
      <c r="D317" s="102" t="str">
        <f>IFERROR(__xludf.DUMMYFUNCTION("""COMPUTED_VALUE"""),"081284386772")</f>
        <v>081284386772</v>
      </c>
      <c r="E317" s="25" t="str">
        <f>IFERROR(__xludf.DUMMYFUNCTION("""COMPUTED_VALUE"""),"Website")</f>
        <v>Website</v>
      </c>
      <c r="F317" s="25" t="str">
        <f>IFERROR(__xludf.DUMMYFUNCTION("""COMPUTED_VALUE"""),"Qualified")</f>
        <v>Qualified</v>
      </c>
      <c r="G317" s="25" t="str">
        <f>IFERROR(__xludf.DUMMYFUNCTION("""COMPUTED_VALUE"""),"2H1M custom")</f>
        <v>2H1M custom</v>
      </c>
      <c r="H317" s="26">
        <f>IFERROR(__xludf.DUMMYFUNCTION("""COMPUTED_VALUE"""),46170.0)</f>
        <v>46170</v>
      </c>
      <c r="I317" s="27">
        <f>IFERROR(__xludf.DUMMYFUNCTION("""COMPUTED_VALUE"""),3.0)</f>
        <v>3</v>
      </c>
      <c r="J317" s="33">
        <f>IFERROR(__xludf.DUMMYFUNCTION("""COMPUTED_VALUE"""),5985000.0)</f>
        <v>5985000</v>
      </c>
      <c r="K317" s="36" t="str">
        <f>IFERROR(__xludf.DUMMYFUNCTION("""COMPUTED_VALUE"""),"masih sounding ke klg")</f>
        <v>masih sounding ke klg</v>
      </c>
      <c r="L317" s="81" t="str">
        <f>IFERROR(__xludf.DUMMYFUNCTION("""COMPUTED_VALUE"""),"https://docs.google.com/document/d/1vteeac6aA8eiuiUJ8iHe6n1MzFrmrTpdV2sh0idIupY/edit?usp=sharing")</f>
        <v>https://docs.google.com/document/d/1vteeac6aA8eiuiUJ8iHe6n1MzFrmrTpdV2sh0idIupY/edit?usp=sharing</v>
      </c>
      <c r="M317" s="20"/>
      <c r="N317" s="20"/>
      <c r="O317" s="20"/>
      <c r="P317" s="20"/>
    </row>
    <row r="318">
      <c r="A318" s="97">
        <f>IFERROR(__xludf.DUMMYFUNCTION("""COMPUTED_VALUE"""),46137.0)</f>
        <v>46137</v>
      </c>
      <c r="B318" s="97" t="str">
        <f>IFERROR(__xludf.DUMMYFUNCTION("""COMPUTED_VALUE"""),"2604A093")</f>
        <v>2604A093</v>
      </c>
      <c r="C318" s="76" t="str">
        <f>IFERROR(__xludf.DUMMYFUNCTION("""COMPUTED_VALUE"""),"Daryanto")</f>
        <v>Daryanto</v>
      </c>
      <c r="D318" s="99" t="str">
        <f>IFERROR(__xludf.DUMMYFUNCTION("""COMPUTED_VALUE"""),"081910237755")</f>
        <v>081910237755</v>
      </c>
      <c r="E318" s="25" t="str">
        <f>IFERROR(__xludf.DUMMYFUNCTION("""COMPUTED_VALUE"""),"Website")</f>
        <v>Website</v>
      </c>
      <c r="F318" s="25" t="str">
        <f>IFERROR(__xludf.DUMMYFUNCTION("""COMPUTED_VALUE"""),"Qualified")</f>
        <v>Qualified</v>
      </c>
      <c r="G318" s="25" t="str">
        <f>IFERROR(__xludf.DUMMYFUNCTION("""COMPUTED_VALUE"""),"3H2M ")</f>
        <v>3H2M </v>
      </c>
      <c r="H318" s="92"/>
      <c r="I318" s="17">
        <f>IFERROR(__xludf.DUMMYFUNCTION("""COMPUTED_VALUE"""),2.0)</f>
        <v>2</v>
      </c>
      <c r="J318" s="54">
        <f>IFERROR(__xludf.DUMMYFUNCTION("""COMPUTED_VALUE"""),4500000.0)</f>
        <v>4500000</v>
      </c>
      <c r="K318" s="19"/>
      <c r="L318" s="88" t="str">
        <f>IFERROR(__xludf.DUMMYFUNCTION("""COMPUTED_VALUE"""),"https://docs.google.com/document/d/1cXkin868abmMBNGqgxRbfwpBvp__EyksqLQ9mPJaLxA/edit?usp=sharing")</f>
        <v>https://docs.google.com/document/d/1cXkin868abmMBNGqgxRbfwpBvp__EyksqLQ9mPJaLxA/edit?usp=sharing</v>
      </c>
      <c r="M318" s="20"/>
      <c r="N318" s="20"/>
      <c r="O318" s="20"/>
      <c r="P318" s="20"/>
    </row>
    <row r="319">
      <c r="A319" s="110">
        <f>IFERROR(__xludf.DUMMYFUNCTION("""COMPUTED_VALUE"""),46137.0)</f>
        <v>46137</v>
      </c>
      <c r="B319" s="110" t="str">
        <f>IFERROR(__xludf.DUMMYFUNCTION("""COMPUTED_VALUE"""),"2604A094")</f>
        <v>2604A094</v>
      </c>
      <c r="C319" s="49" t="str">
        <f>IFERROR(__xludf.DUMMYFUNCTION("""COMPUTED_VALUE"""),"Ahmad")</f>
        <v>Ahmad</v>
      </c>
      <c r="D319" s="102" t="str">
        <f>IFERROR(__xludf.DUMMYFUNCTION("""COMPUTED_VALUE"""),"082329480260")</f>
        <v>082329480260</v>
      </c>
      <c r="E319" s="25" t="str">
        <f>IFERROR(__xludf.DUMMYFUNCTION("""COMPUTED_VALUE"""),"Instagram")</f>
        <v>Instagram</v>
      </c>
      <c r="F319" s="25" t="str">
        <f>IFERROR(__xludf.DUMMYFUNCTION("""COMPUTED_VALUE"""),"Gagal")</f>
        <v>Gagal</v>
      </c>
      <c r="G319" s="15" t="str">
        <f>IFERROR(__xludf.DUMMYFUNCTION("""COMPUTED_VALUE"""),"OT M T")</f>
        <v>OT M T</v>
      </c>
      <c r="H319" s="78">
        <f>IFERROR(__xludf.DUMMYFUNCTION("""COMPUTED_VALUE"""),46144.0)</f>
        <v>46144</v>
      </c>
      <c r="I319" s="27">
        <f>IFERROR(__xludf.DUMMYFUNCTION("""COMPUTED_VALUE"""),6.0)</f>
        <v>6</v>
      </c>
      <c r="J319" s="96">
        <f>IFERROR(__xludf.DUMMYFUNCTION("""COMPUTED_VALUE"""),1770000.0)</f>
        <v>1770000</v>
      </c>
      <c r="K319" s="36" t="str">
        <f>IFERROR(__xludf.DUMMYFUNCTION("""COMPUTED_VALUE"""),"tidak jadi")</f>
        <v>tidak jadi</v>
      </c>
      <c r="L319" s="81" t="str">
        <f>IFERROR(__xludf.DUMMYFUNCTION("""COMPUTED_VALUE"""),"https://docs.google.com/document/d/18TwIwxgqWojGkn7PqC3MF9HM0Jy-LD-Ihm2a6bHvEhI/edit?usp=sharing")</f>
        <v>https://docs.google.com/document/d/18TwIwxgqWojGkn7PqC3MF9HM0Jy-LD-Ihm2a6bHvEhI/edit?usp=sharing</v>
      </c>
      <c r="M319" s="20"/>
      <c r="N319" s="20"/>
      <c r="O319" s="20"/>
      <c r="P319" s="20"/>
    </row>
    <row r="320">
      <c r="A320" s="97">
        <f>IFERROR(__xludf.DUMMYFUNCTION("""COMPUTED_VALUE"""),46137.0)</f>
        <v>46137</v>
      </c>
      <c r="B320" s="97" t="str">
        <f>IFERROR(__xludf.DUMMYFUNCTION("""COMPUTED_VALUE"""),"2604A095")</f>
        <v>2604A095</v>
      </c>
      <c r="C320" s="76" t="str">
        <f>IFERROR(__xludf.DUMMYFUNCTION("""COMPUTED_VALUE"""),"Febriana ")</f>
        <v>Febriana </v>
      </c>
      <c r="D320" s="99" t="str">
        <f>IFERROR(__xludf.DUMMYFUNCTION("""COMPUTED_VALUE"""),"082128547423")</f>
        <v>082128547423</v>
      </c>
      <c r="E320" s="25" t="str">
        <f>IFERROR(__xludf.DUMMYFUNCTION("""COMPUTED_VALUE"""),"Instagram")</f>
        <v>Instagram</v>
      </c>
      <c r="F320" s="25" t="str">
        <f>IFERROR(__xludf.DUMMYFUNCTION("""COMPUTED_VALUE"""),"Gagal")</f>
        <v>Gagal</v>
      </c>
      <c r="G320" s="25" t="str">
        <f>IFERROR(__xludf.DUMMYFUNCTION("""COMPUTED_VALUE"""),"OT M T")</f>
        <v>OT M T</v>
      </c>
      <c r="H320" s="92">
        <f>IFERROR(__xludf.DUMMYFUNCTION("""COMPUTED_VALUE"""),46143.0)</f>
        <v>46143</v>
      </c>
      <c r="I320" s="80">
        <f>IFERROR(__xludf.DUMMYFUNCTION("""COMPUTED_VALUE"""),2.0)</f>
        <v>2</v>
      </c>
      <c r="J320" s="93">
        <f>IFERROR(__xludf.DUMMYFUNCTION("""COMPUTED_VALUE"""),590000.0)</f>
        <v>590000</v>
      </c>
      <c r="K320" s="19" t="str">
        <f>IFERROR(__xludf.DUMMYFUNCTION("""COMPUTED_VALUE"""),"Tidak ada respon")</f>
        <v>Tidak ada respon</v>
      </c>
      <c r="L320" s="88" t="str">
        <f>IFERROR(__xludf.DUMMYFUNCTION("""COMPUTED_VALUE"""),"https://docs.google.com/document/d/1lGre8GfM8MCr9mE5gHYjSFk8T8Gjea7bAzvdLueCpj0/edit?usp=sharing")</f>
        <v>https://docs.google.com/document/d/1lGre8GfM8MCr9mE5gHYjSFk8T8Gjea7bAzvdLueCpj0/edit?usp=sharing</v>
      </c>
      <c r="M320" s="20"/>
      <c r="N320" s="20"/>
      <c r="O320" s="20"/>
      <c r="P320" s="20"/>
    </row>
    <row r="321">
      <c r="A321" s="110">
        <f>IFERROR(__xludf.DUMMYFUNCTION("""COMPUTED_VALUE"""),46137.0)</f>
        <v>46137</v>
      </c>
      <c r="B321" s="110" t="str">
        <f>IFERROR(__xludf.DUMMYFUNCTION("""COMPUTED_VALUE"""),"2604A096")</f>
        <v>2604A096</v>
      </c>
      <c r="C321" s="49" t="str">
        <f>IFERROR(__xludf.DUMMYFUNCTION("""COMPUTED_VALUE"""),"Kamila")</f>
        <v>Kamila</v>
      </c>
      <c r="D321" s="102" t="str">
        <f>IFERROR(__xludf.DUMMYFUNCTION("""COMPUTED_VALUE"""),"085220860983")</f>
        <v>085220860983</v>
      </c>
      <c r="E321" s="25" t="str">
        <f>IFERROR(__xludf.DUMMYFUNCTION("""COMPUTED_VALUE"""),"Website")</f>
        <v>Website</v>
      </c>
      <c r="F321" s="25" t="str">
        <f>IFERROR(__xludf.DUMMYFUNCTION("""COMPUTED_VALUE"""),"Gagal")</f>
        <v>Gagal</v>
      </c>
      <c r="G321" s="25" t="str">
        <f>IFERROR(__xludf.DUMMYFUNCTION("""COMPUTED_VALUE"""),"3H2M opsi A")</f>
        <v>3H2M opsi A</v>
      </c>
      <c r="H321" s="26"/>
      <c r="I321" s="27"/>
      <c r="J321" s="33"/>
      <c r="K321" s="30" t="str">
        <f>IFERROR(__xludf.DUMMYFUNCTION("""COMPUTED_VALUE"""),"tidak ada jawaban")</f>
        <v>tidak ada jawaban</v>
      </c>
      <c r="L321" s="81" t="str">
        <f>IFERROR(__xludf.DUMMYFUNCTION("""COMPUTED_VALUE"""),"https://docs.google.com/document/d/1RFpss8exRQV1AIiB65l1LJe-bN2Mkr6UYX1VqKR7GUA/edit?usp=sharing")</f>
        <v>https://docs.google.com/document/d/1RFpss8exRQV1AIiB65l1LJe-bN2Mkr6UYX1VqKR7GUA/edit?usp=sharing</v>
      </c>
      <c r="M321" s="20"/>
      <c r="N321" s="20"/>
      <c r="O321" s="20"/>
      <c r="P321" s="20"/>
    </row>
    <row r="322">
      <c r="A322" s="110">
        <f>IFERROR(__xludf.DUMMYFUNCTION("""COMPUTED_VALUE"""),46137.0)</f>
        <v>46137</v>
      </c>
      <c r="B322" s="110" t="str">
        <f>IFERROR(__xludf.DUMMYFUNCTION("""COMPUTED_VALUE"""),"2604A097")</f>
        <v>2604A097</v>
      </c>
      <c r="C322" s="49" t="str">
        <f>IFERROR(__xludf.DUMMYFUNCTION("""COMPUTED_VALUE"""),"No Name")</f>
        <v>No Name</v>
      </c>
      <c r="D322" s="102" t="str">
        <f>IFERROR(__xludf.DUMMYFUNCTION("""COMPUTED_VALUE"""),"081249491409")</f>
        <v>081249491409</v>
      </c>
      <c r="E322" s="25" t="str">
        <f>IFERROR(__xludf.DUMMYFUNCTION("""COMPUTED_VALUE"""),"Website")</f>
        <v>Website</v>
      </c>
      <c r="F322" s="25" t="str">
        <f>IFERROR(__xludf.DUMMYFUNCTION("""COMPUTED_VALUE"""),"Gagal")</f>
        <v>Gagal</v>
      </c>
      <c r="G322" s="25"/>
      <c r="H322" s="78"/>
      <c r="I322" s="89"/>
      <c r="J322" s="96"/>
      <c r="K322" s="36" t="str">
        <f>IFERROR(__xludf.DUMMYFUNCTION("""COMPUTED_VALUE"""),"hanya menyapa saja. tidak ada lanjutan")</f>
        <v>hanya menyapa saja. tidak ada lanjutan</v>
      </c>
      <c r="L322" s="81" t="str">
        <f>IFERROR(__xludf.DUMMYFUNCTION("""COMPUTED_VALUE"""),"https://docs.google.com/document/d/1mcOYCeX4vgkbXEgKgQ3pJDex0IHluTezCeMMehVyNP8/edit?usp=sharing")</f>
        <v>https://docs.google.com/document/d/1mcOYCeX4vgkbXEgKgQ3pJDex0IHluTezCeMMehVyNP8/edit?usp=sharing</v>
      </c>
      <c r="M322" s="20"/>
      <c r="N322" s="20"/>
      <c r="O322" s="20"/>
      <c r="P322" s="20"/>
    </row>
    <row r="323">
      <c r="A323" s="97">
        <f>IFERROR(__xludf.DUMMYFUNCTION("""COMPUTED_VALUE"""),46138.0)</f>
        <v>46138</v>
      </c>
      <c r="B323" s="97" t="str">
        <f>IFERROR(__xludf.DUMMYFUNCTION("""COMPUTED_VALUE"""),"2604A098")</f>
        <v>2604A098</v>
      </c>
      <c r="C323" s="120" t="str">
        <f>IFERROR(__xludf.DUMMYFUNCTION("""COMPUTED_VALUE"""),"Rio")</f>
        <v>Rio</v>
      </c>
      <c r="D323" s="99" t="str">
        <f>IFERROR(__xludf.DUMMYFUNCTION("""COMPUTED_VALUE"""),"61415927600")</f>
        <v>61415927600</v>
      </c>
      <c r="E323" s="25" t="str">
        <f>IFERROR(__xludf.DUMMYFUNCTION("""COMPUTED_VALUE"""),"Instagram")</f>
        <v>Instagram</v>
      </c>
      <c r="F323" s="25" t="str">
        <f>IFERROR(__xludf.DUMMYFUNCTION("""COMPUTED_VALUE"""),"Gagal")</f>
        <v>Gagal</v>
      </c>
      <c r="G323" s="25" t="str">
        <f>IFERROR(__xludf.DUMMYFUNCTION("""COMPUTED_VALUE"""),"OT I")</f>
        <v>OT I</v>
      </c>
      <c r="H323" s="92"/>
      <c r="I323" s="17">
        <f>IFERROR(__xludf.DUMMYFUNCTION("""COMPUTED_VALUE"""),1.0)</f>
        <v>1</v>
      </c>
      <c r="J323" s="93">
        <f>IFERROR(__xludf.DUMMYFUNCTION("""COMPUTED_VALUE"""),450000.0)</f>
        <v>450000</v>
      </c>
      <c r="K323" s="46" t="str">
        <f>IFERROR(__xludf.DUMMYFUNCTION("""COMPUTED_VALUE"""),"tdkjawab")</f>
        <v>tdkjawab</v>
      </c>
      <c r="L323" s="88" t="str">
        <f>IFERROR(__xludf.DUMMYFUNCTION("""COMPUTED_VALUE"""),"https://docs.google.com/document/d/1yBNOOKl2r0NSaC2R80O14_5_IK2aCU5vIC3MrMBxGiE/edit?usp=sharing")</f>
        <v>https://docs.google.com/document/d/1yBNOOKl2r0NSaC2R80O14_5_IK2aCU5vIC3MrMBxGiE/edit?usp=sharing</v>
      </c>
      <c r="M323" s="20"/>
      <c r="N323" s="20"/>
      <c r="O323" s="20"/>
      <c r="P323" s="20"/>
    </row>
    <row r="324">
      <c r="A324" s="110">
        <f>IFERROR(__xludf.DUMMYFUNCTION("""COMPUTED_VALUE"""),46138.0)</f>
        <v>46138</v>
      </c>
      <c r="B324" s="110" t="str">
        <f>IFERROR(__xludf.DUMMYFUNCTION("""COMPUTED_VALUE"""),"2604A099")</f>
        <v>2604A099</v>
      </c>
      <c r="C324" s="49" t="str">
        <f>IFERROR(__xludf.DUMMYFUNCTION("""COMPUTED_VALUE"""),"Tazkia")</f>
        <v>Tazkia</v>
      </c>
      <c r="D324" s="102" t="str">
        <f>IFERROR(__xludf.DUMMYFUNCTION("""COMPUTED_VALUE"""),"081585349602")</f>
        <v>081585349602</v>
      </c>
      <c r="E324" s="25" t="str">
        <f>IFERROR(__xludf.DUMMYFUNCTION("""COMPUTED_VALUE"""),"Lainnya")</f>
        <v>Lainnya</v>
      </c>
      <c r="F324" s="25" t="str">
        <f>IFERROR(__xludf.DUMMYFUNCTION("""COMPUTED_VALUE"""),"Qualified")</f>
        <v>Qualified</v>
      </c>
      <c r="G324" s="25" t="str">
        <f>IFERROR(__xludf.DUMMYFUNCTION("""COMPUTED_VALUE"""),"2H1M B")</f>
        <v>2H1M B</v>
      </c>
      <c r="H324" s="78"/>
      <c r="I324" s="89">
        <f>IFERROR(__xludf.DUMMYFUNCTION("""COMPUTED_VALUE"""),5.0)</f>
        <v>5</v>
      </c>
      <c r="J324" s="96">
        <f>IFERROR(__xludf.DUMMYFUNCTION("""COMPUTED_VALUE"""),4430000.0)</f>
        <v>4430000</v>
      </c>
      <c r="K324" s="36" t="str">
        <f>IFERROR(__xludf.DUMMYFUNCTION("""COMPUTED_VALUE"""),"masih diskusi")</f>
        <v>masih diskusi</v>
      </c>
      <c r="L324" s="81" t="str">
        <f>IFERROR(__xludf.DUMMYFUNCTION("""COMPUTED_VALUE"""),"https://docs.google.com/document/d/14l3RtkaGRNNZ_I7ulRJYn7dDOhlXgk4hre3-ij3lRbQ/edit?usp=sharing")</f>
        <v>https://docs.google.com/document/d/14l3RtkaGRNNZ_I7ulRJYn7dDOhlXgk4hre3-ij3lRbQ/edit?usp=sharing</v>
      </c>
      <c r="M324" s="20"/>
      <c r="N324" s="20"/>
      <c r="O324" s="20"/>
      <c r="P324" s="20"/>
    </row>
    <row r="325">
      <c r="A325" s="97">
        <f>IFERROR(__xludf.DUMMYFUNCTION("""COMPUTED_VALUE"""),46138.0)</f>
        <v>46138</v>
      </c>
      <c r="B325" s="97" t="str">
        <f>IFERROR(__xludf.DUMMYFUNCTION("""COMPUTED_VALUE"""),"2604A100")</f>
        <v>2604A100</v>
      </c>
      <c r="C325" s="76" t="str">
        <f>IFERROR(__xludf.DUMMYFUNCTION("""COMPUTED_VALUE"""),"Raihan")</f>
        <v>Raihan</v>
      </c>
      <c r="D325" s="99" t="str">
        <f>IFERROR(__xludf.DUMMYFUNCTION("""COMPUTED_VALUE"""),"081280746600")</f>
        <v>081280746600</v>
      </c>
      <c r="E325" s="25" t="str">
        <f>IFERROR(__xludf.DUMMYFUNCTION("""COMPUTED_VALUE"""),"Website")</f>
        <v>Website</v>
      </c>
      <c r="F325" s="25" t="str">
        <f>IFERROR(__xludf.DUMMYFUNCTION("""COMPUTED_VALUE"""),"Gagal")</f>
        <v>Gagal</v>
      </c>
      <c r="G325" s="15" t="str">
        <f>IFERROR(__xludf.DUMMYFUNCTION("""COMPUTED_VALUE"""),"OT 3H2M")</f>
        <v>OT 3H2M</v>
      </c>
      <c r="H325" s="16"/>
      <c r="I325" s="17">
        <f>IFERROR(__xludf.DUMMYFUNCTION("""COMPUTED_VALUE"""),1.0)</f>
        <v>1</v>
      </c>
      <c r="J325" s="54"/>
      <c r="K325" s="19" t="str">
        <f>IFERROR(__xludf.DUMMYFUNCTION("""COMPUTED_VALUE"""),"Full booked")</f>
        <v>Full booked</v>
      </c>
      <c r="L325" s="88" t="str">
        <f>IFERROR(__xludf.DUMMYFUNCTION("""COMPUTED_VALUE"""),"https://docs.google.com/document/d/1YxA_C9wR_TZUPzi34IqJ0HixsYCmgSre94cW3WVWC1o/edit?usp=sharing")</f>
        <v>https://docs.google.com/document/d/1YxA_C9wR_TZUPzi34IqJ0HixsYCmgSre94cW3WVWC1o/edit?usp=sharing</v>
      </c>
      <c r="M325" s="20"/>
      <c r="N325" s="20"/>
      <c r="O325" s="20"/>
      <c r="P325" s="20"/>
    </row>
    <row r="326">
      <c r="A326" s="110">
        <f>IFERROR(__xludf.DUMMYFUNCTION("""COMPUTED_VALUE"""),46138.0)</f>
        <v>46138</v>
      </c>
      <c r="B326" s="110" t="str">
        <f>IFERROR(__xludf.DUMMYFUNCTION("""COMPUTED_VALUE"""),"2604A101")</f>
        <v>2604A101</v>
      </c>
      <c r="C326" s="49" t="str">
        <f>IFERROR(__xludf.DUMMYFUNCTION("""COMPUTED_VALUE"""),"Regy")</f>
        <v>Regy</v>
      </c>
      <c r="D326" s="102" t="str">
        <f>IFERROR(__xludf.DUMMYFUNCTION("""COMPUTED_VALUE"""),"082114630240")</f>
        <v>082114630240</v>
      </c>
      <c r="E326" s="25" t="str">
        <f>IFERROR(__xludf.DUMMYFUNCTION("""COMPUTED_VALUE"""),"Instagram")</f>
        <v>Instagram</v>
      </c>
      <c r="F326" s="25" t="str">
        <f>IFERROR(__xludf.DUMMYFUNCTION("""COMPUTED_VALUE"""),"Gagal")</f>
        <v>Gagal</v>
      </c>
      <c r="G326" s="25" t="str">
        <f>IFERROR(__xludf.DUMMYFUNCTION("""COMPUTED_VALUE"""),"OT 3H2M")</f>
        <v>OT 3H2M</v>
      </c>
      <c r="H326" s="78"/>
      <c r="I326" s="89"/>
      <c r="J326" s="33"/>
      <c r="K326" s="36" t="str">
        <f>IFERROR(__xludf.DUMMYFUNCTION("""COMPUTED_VALUE"""),"tidak dapat kereta")</f>
        <v>tidak dapat kereta</v>
      </c>
      <c r="L326" s="81" t="str">
        <f>IFERROR(__xludf.DUMMYFUNCTION("""COMPUTED_VALUE"""),"https://docs.google.com/document/d/1RN5Cp46M4Wrze4ix7Z7s72Fu9vDH3GDwE6-7Ce658yI/edit?usp=sharing")</f>
        <v>https://docs.google.com/document/d/1RN5Cp46M4Wrze4ix7Z7s72Fu9vDH3GDwE6-7Ce658yI/edit?usp=sharing</v>
      </c>
      <c r="M326" s="20"/>
      <c r="N326" s="20"/>
      <c r="O326" s="20"/>
      <c r="P326" s="20"/>
    </row>
    <row r="327">
      <c r="A327" s="97">
        <f>IFERROR(__xludf.DUMMYFUNCTION("""COMPUTED_VALUE"""),46138.0)</f>
        <v>46138</v>
      </c>
      <c r="B327" s="97" t="str">
        <f>IFERROR(__xludf.DUMMYFUNCTION("""COMPUTED_VALUE"""),"2604A102")</f>
        <v>2604A102</v>
      </c>
      <c r="C327" s="76" t="str">
        <f>IFERROR(__xludf.DUMMYFUNCTION("""COMPUTED_VALUE"""),"Nugi")</f>
        <v>Nugi</v>
      </c>
      <c r="D327" s="99" t="str">
        <f>IFERROR(__xludf.DUMMYFUNCTION("""COMPUTED_VALUE"""),"081381534020")</f>
        <v>081381534020</v>
      </c>
      <c r="E327" s="25" t="str">
        <f>IFERROR(__xludf.DUMMYFUNCTION("""COMPUTED_VALUE"""),"Website")</f>
        <v>Website</v>
      </c>
      <c r="F327" s="25" t="str">
        <f>IFERROR(__xludf.DUMMYFUNCTION("""COMPUTED_VALUE"""),"Closing")</f>
        <v>Closing</v>
      </c>
      <c r="G327" s="25" t="str">
        <f>IFERROR(__xludf.DUMMYFUNCTION("""COMPUTED_VALUE"""),"Trip 1D D, B")</f>
        <v>Trip 1D D, B</v>
      </c>
      <c r="H327" s="92">
        <f>IFERROR(__xludf.DUMMYFUNCTION("""COMPUTED_VALUE"""),46156.0)</f>
        <v>46156</v>
      </c>
      <c r="I327" s="80">
        <f>IFERROR(__xludf.DUMMYFUNCTION("""COMPUTED_VALUE"""),2.0)</f>
        <v>2</v>
      </c>
      <c r="J327" s="93">
        <f>IFERROR(__xludf.DUMMYFUNCTION("""COMPUTED_VALUE"""),1754000.0)</f>
        <v>1754000</v>
      </c>
      <c r="K327" s="19" t="str">
        <f>IFERROR(__xludf.DUMMYFUNCTION("""COMPUTED_VALUE"""),"ALHAMDULILLAH")</f>
        <v>ALHAMDULILLAH</v>
      </c>
      <c r="L327" s="76"/>
      <c r="M327" s="20"/>
      <c r="N327" s="20"/>
      <c r="O327" s="20"/>
      <c r="P327" s="20"/>
    </row>
    <row r="328">
      <c r="A328" s="110">
        <f>IFERROR(__xludf.DUMMYFUNCTION("""COMPUTED_VALUE"""),46138.0)</f>
        <v>46138</v>
      </c>
      <c r="B328" s="110" t="str">
        <f>IFERROR(__xludf.DUMMYFUNCTION("""COMPUTED_VALUE"""),"2604A103")</f>
        <v>2604A103</v>
      </c>
      <c r="C328" s="49" t="str">
        <f>IFERROR(__xludf.DUMMYFUNCTION("""COMPUTED_VALUE"""),"Adela")</f>
        <v>Adela</v>
      </c>
      <c r="D328" s="102" t="str">
        <f>IFERROR(__xludf.DUMMYFUNCTION("""COMPUTED_VALUE"""),"082134085922")</f>
        <v>082134085922</v>
      </c>
      <c r="E328" s="25" t="str">
        <f>IFERROR(__xludf.DUMMYFUNCTION("""COMPUTED_VALUE"""),"Website")</f>
        <v>Website</v>
      </c>
      <c r="F328" s="25" t="str">
        <f>IFERROR(__xludf.DUMMYFUNCTION("""COMPUTED_VALUE"""),"Qualified")</f>
        <v>Qualified</v>
      </c>
      <c r="G328" s="25" t="str">
        <f>IFERROR(__xludf.DUMMYFUNCTION("""COMPUTED_VALUE"""),"3H2M A")</f>
        <v>3H2M A</v>
      </c>
      <c r="H328" s="78"/>
      <c r="I328" s="89">
        <f>IFERROR(__xludf.DUMMYFUNCTION("""COMPUTED_VALUE"""),2.0)</f>
        <v>2</v>
      </c>
      <c r="J328" s="96">
        <f>IFERROR(__xludf.DUMMYFUNCTION("""COMPUTED_VALUE"""),6128000.0)</f>
        <v>6128000</v>
      </c>
      <c r="K328" s="36" t="str">
        <f>IFERROR(__xludf.DUMMYFUNCTION("""COMPUTED_VALUE"""),"buat penawaran")</f>
        <v>buat penawaran</v>
      </c>
      <c r="L328" s="81" t="str">
        <f>IFERROR(__xludf.DUMMYFUNCTION("""COMPUTED_VALUE"""),"https://docs.google.com/document/d/1SKPH9CgKJRwvJtRhzpxB_dS6MlzgksszSCgZPThJZQk/edit?usp=sharing")</f>
        <v>https://docs.google.com/document/d/1SKPH9CgKJRwvJtRhzpxB_dS6MlzgksszSCgZPThJZQk/edit?usp=sharing</v>
      </c>
      <c r="M328" s="20"/>
      <c r="N328" s="20"/>
      <c r="O328" s="20"/>
      <c r="P328" s="20"/>
    </row>
    <row r="329">
      <c r="A329" s="97">
        <f>IFERROR(__xludf.DUMMYFUNCTION("""COMPUTED_VALUE"""),46139.0)</f>
        <v>46139</v>
      </c>
      <c r="B329" s="110" t="str">
        <f>IFERROR(__xludf.DUMMYFUNCTION("""COMPUTED_VALUE"""),"2604A104")</f>
        <v>2604A104</v>
      </c>
      <c r="C329" s="76" t="str">
        <f>IFERROR(__xludf.DUMMYFUNCTION("""COMPUTED_VALUE"""),"Wati")</f>
        <v>Wati</v>
      </c>
      <c r="D329" s="99" t="str">
        <f>IFERROR(__xludf.DUMMYFUNCTION("""COMPUTED_VALUE"""),"081291435110")</f>
        <v>081291435110</v>
      </c>
      <c r="E329" s="25" t="str">
        <f>IFERROR(__xludf.DUMMYFUNCTION("""COMPUTED_VALUE"""),"Website")</f>
        <v>Website</v>
      </c>
      <c r="F329" s="25" t="str">
        <f>IFERROR(__xludf.DUMMYFUNCTION("""COMPUTED_VALUE"""),"Qualified")</f>
        <v>Qualified</v>
      </c>
      <c r="G329" s="25" t="str">
        <f>IFERROR(__xludf.DUMMYFUNCTION("""COMPUTED_VALUE"""),"2h1m")</f>
        <v>2h1m</v>
      </c>
      <c r="H329" s="92">
        <f>IFERROR(__xludf.DUMMYFUNCTION("""COMPUTED_VALUE"""),46324.0)</f>
        <v>46324</v>
      </c>
      <c r="I329" s="17">
        <f>IFERROR(__xludf.DUMMYFUNCTION("""COMPUTED_VALUE"""),12.0)</f>
        <v>12</v>
      </c>
      <c r="J329" s="93">
        <f>IFERROR(__xludf.DUMMYFUNCTION("""COMPUTED_VALUE"""),1.17E7)</f>
        <v>11700000</v>
      </c>
      <c r="K329" s="46" t="str">
        <f>IFERROR(__xludf.DUMMYFUNCTION("""COMPUTED_VALUE"""),"buat penawaran")</f>
        <v>buat penawaran</v>
      </c>
      <c r="L329" s="88" t="str">
        <f>IFERROR(__xludf.DUMMYFUNCTION("""COMPUTED_VALUE"""),"https://docs.google.com/document/d/1-OPncysgZtsXtKEyiniZ2gSmzQDiG_DgZ38ohiQ24kM/edit?usp=sharing")</f>
        <v>https://docs.google.com/document/d/1-OPncysgZtsXtKEyiniZ2gSmzQDiG_DgZ38ohiQ24kM/edit?usp=sharing</v>
      </c>
      <c r="M329" s="20"/>
      <c r="N329" s="20"/>
      <c r="O329" s="20"/>
      <c r="P329" s="20"/>
    </row>
    <row r="330">
      <c r="A330" s="110">
        <f>IFERROR(__xludf.DUMMYFUNCTION("""COMPUTED_VALUE"""),46139.0)</f>
        <v>46139</v>
      </c>
      <c r="B330" s="110" t="str">
        <f>IFERROR(__xludf.DUMMYFUNCTION("""COMPUTED_VALUE"""),"2604A105")</f>
        <v>2604A105</v>
      </c>
      <c r="C330" s="49" t="str">
        <f>IFERROR(__xludf.DUMMYFUNCTION("""COMPUTED_VALUE"""),"Rifqa")</f>
        <v>Rifqa</v>
      </c>
      <c r="D330" s="102" t="str">
        <f>IFERROR(__xludf.DUMMYFUNCTION("""COMPUTED_VALUE"""),"081511299298")</f>
        <v>081511299298</v>
      </c>
      <c r="E330" s="25" t="str">
        <f>IFERROR(__xludf.DUMMYFUNCTION("""COMPUTED_VALUE"""),"Instagram")</f>
        <v>Instagram</v>
      </c>
      <c r="F330" s="25" t="str">
        <f>IFERROR(__xludf.DUMMYFUNCTION("""COMPUTED_VALUE"""),"Gagal")</f>
        <v>Gagal</v>
      </c>
      <c r="G330" s="25"/>
      <c r="H330" s="26"/>
      <c r="I330" s="27"/>
      <c r="J330" s="96"/>
      <c r="K330" s="36" t="str">
        <f>IFERROR(__xludf.DUMMYFUNCTION("""COMPUTED_VALUE"""),"last fu ")</f>
        <v>last fu </v>
      </c>
      <c r="L330" s="81" t="str">
        <f>IFERROR(__xludf.DUMMYFUNCTION("""COMPUTED_VALUE"""),"https://docs.google.com/document/d/1zVrrEsCLn9F_c9dQjP3VUMpO7MWKHLhZJSBqonHK5so/edit?usp=sharing")</f>
        <v>https://docs.google.com/document/d/1zVrrEsCLn9F_c9dQjP3VUMpO7MWKHLhZJSBqonHK5so/edit?usp=sharing</v>
      </c>
      <c r="M330" s="20"/>
      <c r="N330" s="20"/>
      <c r="O330" s="20"/>
      <c r="P330" s="20"/>
    </row>
    <row r="331">
      <c r="A331" s="97">
        <f>IFERROR(__xludf.DUMMYFUNCTION("""COMPUTED_VALUE"""),46139.0)</f>
        <v>46139</v>
      </c>
      <c r="B331" s="97" t="str">
        <f>IFERROR(__xludf.DUMMYFUNCTION("""COMPUTED_VALUE"""),"2604A106")</f>
        <v>2604A106</v>
      </c>
      <c r="C331" s="76" t="str">
        <f>IFERROR(__xludf.DUMMYFUNCTION("""COMPUTED_VALUE"""),"Velin")</f>
        <v>Velin</v>
      </c>
      <c r="D331" s="99" t="str">
        <f>IFERROR(__xludf.DUMMYFUNCTION("""COMPUTED_VALUE"""),"081215488294")</f>
        <v>081215488294</v>
      </c>
      <c r="E331" s="25" t="str">
        <f>IFERROR(__xludf.DUMMYFUNCTION("""COMPUTED_VALUE"""),"Instagram")</f>
        <v>Instagram</v>
      </c>
      <c r="F331" s="25" t="str">
        <f>IFERROR(__xludf.DUMMYFUNCTION("""COMPUTED_VALUE"""),"Qualified")</f>
        <v>Qualified</v>
      </c>
      <c r="G331" s="25" t="str">
        <f>IFERROR(__xludf.DUMMYFUNCTION("""COMPUTED_VALUE"""),"3H2M")</f>
        <v>3H2M</v>
      </c>
      <c r="H331" s="92"/>
      <c r="I331" s="17">
        <f>IFERROR(__xludf.DUMMYFUNCTION("""COMPUTED_VALUE"""),2.0)</f>
        <v>2</v>
      </c>
      <c r="J331" s="93">
        <f>IFERROR(__xludf.DUMMYFUNCTION("""COMPUTED_VALUE"""),6920000.0)</f>
        <v>6920000</v>
      </c>
      <c r="K331" s="19" t="str">
        <f>IFERROR(__xludf.DUMMYFUNCTION("""COMPUTED_VALUE"""),"buat penawaran")</f>
        <v>buat penawaran</v>
      </c>
      <c r="L331" s="88" t="str">
        <f>IFERROR(__xludf.DUMMYFUNCTION("""COMPUTED_VALUE"""),"https://docs.google.com/document/d/1FYLPBZh9jqZeJJiQgqAdfOq1nQPZSFqldtD-swYXk0s/edit?usp=sharing")</f>
        <v>https://docs.google.com/document/d/1FYLPBZh9jqZeJJiQgqAdfOq1nQPZSFqldtD-swYXk0s/edit?usp=sharing</v>
      </c>
      <c r="M331" s="20"/>
      <c r="N331" s="20"/>
      <c r="O331" s="20"/>
      <c r="P331" s="20"/>
    </row>
    <row r="332">
      <c r="A332" s="110">
        <f>IFERROR(__xludf.DUMMYFUNCTION("""COMPUTED_VALUE"""),46139.0)</f>
        <v>46139</v>
      </c>
      <c r="B332" s="110" t="str">
        <f>IFERROR(__xludf.DUMMYFUNCTION("""COMPUTED_VALUE"""),"2604A107")</f>
        <v>2604A107</v>
      </c>
      <c r="C332" s="49" t="str">
        <f>IFERROR(__xludf.DUMMYFUNCTION("""COMPUTED_VALUE"""),"Firda")</f>
        <v>Firda</v>
      </c>
      <c r="D332" s="102" t="str">
        <f>IFERROR(__xludf.DUMMYFUNCTION("""COMPUTED_VALUE"""),"089508614381")</f>
        <v>089508614381</v>
      </c>
      <c r="E332" s="25" t="str">
        <f>IFERROR(__xludf.DUMMYFUNCTION("""COMPUTED_VALUE"""),"Website")</f>
        <v>Website</v>
      </c>
      <c r="F332" s="25" t="str">
        <f>IFERROR(__xludf.DUMMYFUNCTION("""COMPUTED_VALUE"""),"Gagal")</f>
        <v>Gagal</v>
      </c>
      <c r="G332" s="25" t="str">
        <f>IFERROR(__xludf.DUMMYFUNCTION("""COMPUTED_VALUE"""),"Trip I")</f>
        <v>Trip I</v>
      </c>
      <c r="H332" s="78">
        <f>IFERROR(__xludf.DUMMYFUNCTION("""COMPUTED_VALUE"""),46144.0)</f>
        <v>46144</v>
      </c>
      <c r="I332" s="89">
        <f>IFERROR(__xludf.DUMMYFUNCTION("""COMPUTED_VALUE"""),1.0)</f>
        <v>1</v>
      </c>
      <c r="J332" s="96">
        <f>IFERROR(__xludf.DUMMYFUNCTION("""COMPUTED_VALUE"""),250000.0)</f>
        <v>250000</v>
      </c>
      <c r="K332" s="36" t="str">
        <f>IFERROR(__xludf.DUMMYFUNCTION("""COMPUTED_VALUE"""),"gajadi")</f>
        <v>gajadi</v>
      </c>
      <c r="L332" s="81" t="str">
        <f>IFERROR(__xludf.DUMMYFUNCTION("""COMPUTED_VALUE"""),"https://docs.google.com/document/d/1ztsu8Oj-4aD3nmLXbHgsA3aa_-IaPu5Xa60ftvACoNk/edit?usp=sharing")</f>
        <v>https://docs.google.com/document/d/1ztsu8Oj-4aD3nmLXbHgsA3aa_-IaPu5Xa60ftvACoNk/edit?usp=sharing</v>
      </c>
      <c r="M332" s="20"/>
      <c r="N332" s="20"/>
      <c r="O332" s="20"/>
      <c r="P332" s="20"/>
    </row>
    <row r="333">
      <c r="A333" s="97">
        <f>IFERROR(__xludf.DUMMYFUNCTION("""COMPUTED_VALUE"""),46139.0)</f>
        <v>46139</v>
      </c>
      <c r="B333" s="97" t="str">
        <f>IFERROR(__xludf.DUMMYFUNCTION("""COMPUTED_VALUE"""),"2604A108")</f>
        <v>2604A108</v>
      </c>
      <c r="C333" s="76" t="str">
        <f>IFERROR(__xludf.DUMMYFUNCTION("""COMPUTED_VALUE"""),"Angela")</f>
        <v>Angela</v>
      </c>
      <c r="D333" s="99" t="str">
        <f>IFERROR(__xludf.DUMMYFUNCTION("""COMPUTED_VALUE"""),"081232652016")</f>
        <v>081232652016</v>
      </c>
      <c r="E333" s="25" t="str">
        <f>IFERROR(__xludf.DUMMYFUNCTION("""COMPUTED_VALUE"""),"Instagram")</f>
        <v>Instagram</v>
      </c>
      <c r="F333" s="25" t="str">
        <f>IFERROR(__xludf.DUMMYFUNCTION("""COMPUTED_VALUE"""),"Closing")</f>
        <v>Closing</v>
      </c>
      <c r="G333" s="25" t="str">
        <f>IFERROR(__xludf.DUMMYFUNCTION("""COMPUTED_VALUE"""),"2H1M Custom")</f>
        <v>2H1M Custom</v>
      </c>
      <c r="H333" s="92"/>
      <c r="I333" s="17">
        <f>IFERROR(__xludf.DUMMYFUNCTION("""COMPUTED_VALUE"""),2.0)</f>
        <v>2</v>
      </c>
      <c r="J333" s="54">
        <f>IFERROR(__xludf.DUMMYFUNCTION("""COMPUTED_VALUE"""),4100000.0)</f>
        <v>4100000</v>
      </c>
      <c r="K333" s="46" t="str">
        <f>IFERROR(__xludf.DUMMYFUNCTION("""COMPUTED_VALUE"""),"ALHAMDULILLAH")</f>
        <v>ALHAMDULILLAH</v>
      </c>
      <c r="L333" s="76"/>
      <c r="M333" s="20"/>
      <c r="N333" s="20"/>
      <c r="O333" s="20"/>
      <c r="P333" s="20"/>
    </row>
    <row r="334">
      <c r="A334" s="110">
        <f>IFERROR(__xludf.DUMMYFUNCTION("""COMPUTED_VALUE"""),46139.0)</f>
        <v>46139</v>
      </c>
      <c r="B334" s="110" t="str">
        <f>IFERROR(__xludf.DUMMYFUNCTION("""COMPUTED_VALUE"""),"2604A109")</f>
        <v>2604A109</v>
      </c>
      <c r="C334" s="49" t="str">
        <f>IFERROR(__xludf.DUMMYFUNCTION("""COMPUTED_VALUE"""),"Firda Audia")</f>
        <v>Firda Audia</v>
      </c>
      <c r="D334" s="102" t="str">
        <f>IFERROR(__xludf.DUMMYFUNCTION("""COMPUTED_VALUE"""),"081294433651")</f>
        <v>081294433651</v>
      </c>
      <c r="E334" s="25" t="str">
        <f>IFERROR(__xludf.DUMMYFUNCTION("""COMPUTED_VALUE"""),"Instagram")</f>
        <v>Instagram</v>
      </c>
      <c r="F334" s="25" t="str">
        <f>IFERROR(__xludf.DUMMYFUNCTION("""COMPUTED_VALUE"""),"Gagal")</f>
        <v>Gagal</v>
      </c>
      <c r="G334" s="25" t="str">
        <f>IFERROR(__xludf.DUMMYFUNCTION("""COMPUTED_VALUE"""),"2H1M")</f>
        <v>2H1M</v>
      </c>
      <c r="H334" s="78"/>
      <c r="I334" s="89">
        <f>IFERROR(__xludf.DUMMYFUNCTION("""COMPUTED_VALUE"""),12.0)</f>
        <v>12</v>
      </c>
      <c r="J334" s="96"/>
      <c r="K334" s="36" t="str">
        <f>IFERROR(__xludf.DUMMYFUNCTION("""COMPUTED_VALUE"""),"gada balasan. sdh fu")</f>
        <v>gada balasan. sdh fu</v>
      </c>
      <c r="L334" s="81" t="str">
        <f>IFERROR(__xludf.DUMMYFUNCTION("""COMPUTED_VALUE"""),"https://docs.google.com/document/d/1yk57ha8fuRgVhXQnZC_KFlKqu_eEJ1jGYt1fEGhjAg8/edit?usp=sharing")</f>
        <v>https://docs.google.com/document/d/1yk57ha8fuRgVhXQnZC_KFlKqu_eEJ1jGYt1fEGhjAg8/edit?usp=sharing</v>
      </c>
      <c r="M334" s="20"/>
      <c r="N334" s="20"/>
      <c r="O334" s="20"/>
      <c r="P334" s="20"/>
    </row>
    <row r="335">
      <c r="A335" s="97">
        <f>IFERROR(__xludf.DUMMYFUNCTION("""COMPUTED_VALUE"""),46140.0)</f>
        <v>46140</v>
      </c>
      <c r="B335" s="97" t="str">
        <f>IFERROR(__xludf.DUMMYFUNCTION("""COMPUTED_VALUE"""),"2604A110")</f>
        <v>2604A110</v>
      </c>
      <c r="C335" s="76" t="str">
        <f>IFERROR(__xludf.DUMMYFUNCTION("""COMPUTED_VALUE"""),"Sylvi")</f>
        <v>Sylvi</v>
      </c>
      <c r="D335" s="99" t="str">
        <f>IFERROR(__xludf.DUMMYFUNCTION("""COMPUTED_VALUE"""),"0811324349")</f>
        <v>0811324349</v>
      </c>
      <c r="E335" s="25" t="str">
        <f>IFERROR(__xludf.DUMMYFUNCTION("""COMPUTED_VALUE"""),"Website")</f>
        <v>Website</v>
      </c>
      <c r="F335" s="25" t="str">
        <f>IFERROR(__xludf.DUMMYFUNCTION("""COMPUTED_VALUE"""),"Qualified")</f>
        <v>Qualified</v>
      </c>
      <c r="G335" s="25" t="str">
        <f>IFERROR(__xludf.DUMMYFUNCTION("""COMPUTED_VALUE"""),"trip 1D AP, D, PM")</f>
        <v>trip 1D AP, D, PM</v>
      </c>
      <c r="H335" s="92">
        <f>IFERROR(__xludf.DUMMYFUNCTION("""COMPUTED_VALUE"""),46157.0)</f>
        <v>46157</v>
      </c>
      <c r="I335" s="80">
        <f>IFERROR(__xludf.DUMMYFUNCTION("""COMPUTED_VALUE"""),2.0)</f>
        <v>2</v>
      </c>
      <c r="J335" s="93">
        <f>IFERROR(__xludf.DUMMYFUNCTION("""COMPUTED_VALUE"""),1768000.0)</f>
        <v>1768000</v>
      </c>
      <c r="K335" s="19" t="str">
        <f>IFERROR(__xludf.DUMMYFUNCTION("""COMPUTED_VALUE"""),"reschadule, masih opname")</f>
        <v>reschadule, masih opname</v>
      </c>
      <c r="L335" s="81" t="str">
        <f>IFERROR(__xludf.DUMMYFUNCTION("""COMPUTED_VALUE"""),"https://docs.google.com/document/d/12LmUlhImDvJNn0V1MKO4HEy6bRM_N22I7irWYQHppRQ/edit?usp=sharing")</f>
        <v>https://docs.google.com/document/d/12LmUlhImDvJNn0V1MKO4HEy6bRM_N22I7irWYQHppRQ/edit?usp=sharing</v>
      </c>
      <c r="M335" s="20"/>
      <c r="N335" s="20"/>
      <c r="O335" s="20"/>
      <c r="P335" s="20"/>
    </row>
    <row r="336">
      <c r="A336" s="110">
        <f>IFERROR(__xludf.DUMMYFUNCTION("""COMPUTED_VALUE"""),46140.0)</f>
        <v>46140</v>
      </c>
      <c r="B336" s="110" t="str">
        <f>IFERROR(__xludf.DUMMYFUNCTION("""COMPUTED_VALUE"""),"2604A111")</f>
        <v>2604A111</v>
      </c>
      <c r="C336" s="49" t="str">
        <f>IFERROR(__xludf.DUMMYFUNCTION("""COMPUTED_VALUE"""),"Mifta")</f>
        <v>Mifta</v>
      </c>
      <c r="D336" s="102" t="str">
        <f>IFERROR(__xludf.DUMMYFUNCTION("""COMPUTED_VALUE"""),"081380177255")</f>
        <v>081380177255</v>
      </c>
      <c r="E336" s="25" t="str">
        <f>IFERROR(__xludf.DUMMYFUNCTION("""COMPUTED_VALUE"""),"Instagram")</f>
        <v>Instagram</v>
      </c>
      <c r="F336" s="25" t="str">
        <f>IFERROR(__xludf.DUMMYFUNCTION("""COMPUTED_VALUE"""),"Gagal")</f>
        <v>Gagal</v>
      </c>
      <c r="G336" s="25" t="str">
        <f>IFERROR(__xludf.DUMMYFUNCTION("""COMPUTED_VALUE"""),"OT 3H2M")</f>
        <v>OT 3H2M</v>
      </c>
      <c r="H336" s="26"/>
      <c r="I336" s="27">
        <f>IFERROR(__xludf.DUMMYFUNCTION("""COMPUTED_VALUE"""),2.0)</f>
        <v>2</v>
      </c>
      <c r="J336" s="33">
        <f>IFERROR(__xludf.DUMMYFUNCTION("""COMPUTED_VALUE"""),3200000.0)</f>
        <v>3200000</v>
      </c>
      <c r="K336" s="30" t="str">
        <f>IFERROR(__xludf.DUMMYFUNCTION("""COMPUTED_VALUE"""),"Gagal, Vendor Full Booked")</f>
        <v>Gagal, Vendor Full Booked</v>
      </c>
      <c r="L336" s="49"/>
      <c r="M336" s="20"/>
      <c r="N336" s="20"/>
      <c r="O336" s="20"/>
      <c r="P336" s="20"/>
    </row>
    <row r="337">
      <c r="A337" s="97">
        <f>IFERROR(__xludf.DUMMYFUNCTION("""COMPUTED_VALUE"""),46140.0)</f>
        <v>46140</v>
      </c>
      <c r="B337" s="97" t="str">
        <f>IFERROR(__xludf.DUMMYFUNCTION("""COMPUTED_VALUE"""),"2604A112")</f>
        <v>2604A112</v>
      </c>
      <c r="C337" s="76" t="str">
        <f>IFERROR(__xludf.DUMMYFUNCTION("""COMPUTED_VALUE"""),"Bu Minar")</f>
        <v>Bu Minar</v>
      </c>
      <c r="D337" s="99" t="str">
        <f>IFERROR(__xludf.DUMMYFUNCTION("""COMPUTED_VALUE"""),"081310320316")</f>
        <v>081310320316</v>
      </c>
      <c r="E337" s="25" t="str">
        <f>IFERROR(__xludf.DUMMYFUNCTION("""COMPUTED_VALUE"""),"Website")</f>
        <v>Website</v>
      </c>
      <c r="F337" s="25" t="str">
        <f>IFERROR(__xludf.DUMMYFUNCTION("""COMPUTED_VALUE"""),"Qualified")</f>
        <v>Qualified</v>
      </c>
      <c r="G337" s="25" t="str">
        <f>IFERROR(__xludf.DUMMYFUNCTION("""COMPUTED_VALUE"""),"4H3M")</f>
        <v>4H3M</v>
      </c>
      <c r="H337" s="92"/>
      <c r="I337" s="80">
        <f>IFERROR(__xludf.DUMMYFUNCTION("""COMPUTED_VALUE"""),4.0)</f>
        <v>4</v>
      </c>
      <c r="J337" s="93">
        <f>IFERROR(__xludf.DUMMYFUNCTION("""COMPUTED_VALUE"""),8460000.0)</f>
        <v>8460000</v>
      </c>
      <c r="K337" s="46" t="str">
        <f>IFERROR(__xludf.DUMMYFUNCTION("""COMPUTED_VALUE"""),"Reschadule juli. FU pertengahan juni")</f>
        <v>Reschadule juli. FU pertengahan juni</v>
      </c>
      <c r="L337" s="88" t="str">
        <f>IFERROR(__xludf.DUMMYFUNCTION("""COMPUTED_VALUE"""),"https://docs.google.com/document/d/1AEURLeT-OST2QAG-jZMSk3SeOSMAZYVFkJ2p4yrSbkw/edit?usp=sharing")</f>
        <v>https://docs.google.com/document/d/1AEURLeT-OST2QAG-jZMSk3SeOSMAZYVFkJ2p4yrSbkw/edit?usp=sharing</v>
      </c>
      <c r="M337" s="20"/>
      <c r="N337" s="20"/>
      <c r="O337" s="20"/>
      <c r="P337" s="20"/>
    </row>
    <row r="338">
      <c r="A338" s="110">
        <f>IFERROR(__xludf.DUMMYFUNCTION("""COMPUTED_VALUE"""),46140.0)</f>
        <v>46140</v>
      </c>
      <c r="B338" s="110" t="str">
        <f>IFERROR(__xludf.DUMMYFUNCTION("""COMPUTED_VALUE"""),"2604A113")</f>
        <v>2604A113</v>
      </c>
      <c r="C338" s="49" t="str">
        <f>IFERROR(__xludf.DUMMYFUNCTION("""COMPUTED_VALUE"""),"Winda")</f>
        <v>Winda</v>
      </c>
      <c r="D338" s="102" t="str">
        <f>IFERROR(__xludf.DUMMYFUNCTION("""COMPUTED_VALUE"""),"085194589069")</f>
        <v>085194589069</v>
      </c>
      <c r="E338" s="25" t="str">
        <f>IFERROR(__xludf.DUMMYFUNCTION("""COMPUTED_VALUE"""),"Instagram")</f>
        <v>Instagram</v>
      </c>
      <c r="F338" s="25" t="str">
        <f>IFERROR(__xludf.DUMMYFUNCTION("""COMPUTED_VALUE"""),"Gagal")</f>
        <v>Gagal</v>
      </c>
      <c r="G338" s="25" t="str">
        <f>IFERROR(__xludf.DUMMYFUNCTION("""COMPUTED_VALUE"""),"OT M T")</f>
        <v>OT M T</v>
      </c>
      <c r="H338" s="78">
        <f>IFERROR(__xludf.DUMMYFUNCTION("""COMPUTED_VALUE"""),46143.0)</f>
        <v>46143</v>
      </c>
      <c r="I338" s="89">
        <f>IFERROR(__xludf.DUMMYFUNCTION("""COMPUTED_VALUE"""),2.0)</f>
        <v>2</v>
      </c>
      <c r="J338" s="96">
        <f>IFERROR(__xludf.DUMMYFUNCTION("""COMPUTED_VALUE"""),1050000.0)</f>
        <v>1050000</v>
      </c>
      <c r="K338" s="36" t="str">
        <f>IFERROR(__xludf.DUMMYFUNCTION("""COMPUTED_VALUE"""),"Full Booked")</f>
        <v>Full Booked</v>
      </c>
      <c r="L338" s="81" t="str">
        <f>IFERROR(__xludf.DUMMYFUNCTION("""COMPUTED_VALUE"""),"https://docs.google.com/document/d/1Qj76ryx5e3IvVK4ZmnLf8b10CImepI_1_GydM4m-nBg/edit?usp=sharing")</f>
        <v>https://docs.google.com/document/d/1Qj76ryx5e3IvVK4ZmnLf8b10CImepI_1_GydM4m-nBg/edit?usp=sharing</v>
      </c>
      <c r="M338" s="20"/>
      <c r="N338" s="20"/>
      <c r="O338" s="20"/>
      <c r="P338" s="20"/>
    </row>
    <row r="339">
      <c r="A339" s="97">
        <f>IFERROR(__xludf.DUMMYFUNCTION("""COMPUTED_VALUE"""),46141.0)</f>
        <v>46141</v>
      </c>
      <c r="B339" s="97" t="str">
        <f>IFERROR(__xludf.DUMMYFUNCTION("""COMPUTED_VALUE"""),"2604A114")</f>
        <v>2604A114</v>
      </c>
      <c r="C339" s="76" t="str">
        <f>IFERROR(__xludf.DUMMYFUNCTION("""COMPUTED_VALUE"""),"Renzy")</f>
        <v>Renzy</v>
      </c>
      <c r="D339" s="99" t="str">
        <f>IFERROR(__xludf.DUMMYFUNCTION("""COMPUTED_VALUE"""),"082167892924")</f>
        <v>082167892924</v>
      </c>
      <c r="E339" s="25" t="str">
        <f>IFERROR(__xludf.DUMMYFUNCTION("""COMPUTED_VALUE"""),"Instagram")</f>
        <v>Instagram</v>
      </c>
      <c r="F339" s="25" t="str">
        <f>IFERROR(__xludf.DUMMYFUNCTION("""COMPUTED_VALUE"""),"Gagal")</f>
        <v>Gagal</v>
      </c>
      <c r="G339" s="25" t="str">
        <f>IFERROR(__xludf.DUMMYFUNCTION("""COMPUTED_VALUE"""),"OT 3H2M")</f>
        <v>OT 3H2M</v>
      </c>
      <c r="H339" s="92">
        <f>IFERROR(__xludf.DUMMYFUNCTION("""COMPUTED_VALUE"""),46143.0)</f>
        <v>46143</v>
      </c>
      <c r="I339" s="80">
        <f>IFERROR(__xludf.DUMMYFUNCTION("""COMPUTED_VALUE"""),1.0)</f>
        <v>1</v>
      </c>
      <c r="J339" s="93">
        <f>IFERROR(__xludf.DUMMYFUNCTION("""COMPUTED_VALUE"""),1600000.0)</f>
        <v>1600000</v>
      </c>
      <c r="K339" s="46" t="str">
        <f>IFERROR(__xludf.DUMMYFUNCTION("""COMPUTED_VALUE"""),"Full Booked")</f>
        <v>Full Booked</v>
      </c>
      <c r="L339" s="76"/>
      <c r="M339" s="20"/>
      <c r="N339" s="20"/>
      <c r="O339" s="20"/>
      <c r="P339" s="20"/>
    </row>
    <row r="340">
      <c r="A340" s="110">
        <f>IFERROR(__xludf.DUMMYFUNCTION("""COMPUTED_VALUE"""),46141.0)</f>
        <v>46141</v>
      </c>
      <c r="B340" s="110" t="str">
        <f>IFERROR(__xludf.DUMMYFUNCTION("""COMPUTED_VALUE"""),"2604A115")</f>
        <v>2604A115</v>
      </c>
      <c r="C340" s="49" t="str">
        <f>IFERROR(__xludf.DUMMYFUNCTION("""COMPUTED_VALUE"""),"Izul")</f>
        <v>Izul</v>
      </c>
      <c r="D340" s="102" t="str">
        <f>IFERROR(__xludf.DUMMYFUNCTION("""COMPUTED_VALUE"""),"085866663713")</f>
        <v>085866663713</v>
      </c>
      <c r="E340" s="25" t="str">
        <f>IFERROR(__xludf.DUMMYFUNCTION("""COMPUTED_VALUE"""),"Lainnya")</f>
        <v>Lainnya</v>
      </c>
      <c r="F340" s="25" t="str">
        <f>IFERROR(__xludf.DUMMYFUNCTION("""COMPUTED_VALUE"""),"Gagal")</f>
        <v>Gagal</v>
      </c>
      <c r="G340" s="25"/>
      <c r="H340" s="78">
        <f>IFERROR(__xludf.DUMMYFUNCTION("""COMPUTED_VALUE"""),46157.0)</f>
        <v>46157</v>
      </c>
      <c r="I340" s="89"/>
      <c r="J340" s="96"/>
      <c r="K340" s="36" t="str">
        <f>IFERROR(__xludf.DUMMYFUNCTION("""COMPUTED_VALUE"""),"tidak ada balasan")</f>
        <v>tidak ada balasan</v>
      </c>
      <c r="L340" s="81" t="str">
        <f>IFERROR(__xludf.DUMMYFUNCTION("""COMPUTED_VALUE"""),"https://docs.google.com/document/d/1UmPikxR8PiBr8sMELyam9EWeGay1Z7vVE3nLypUwrik/edit?usp=sharing")</f>
        <v>https://docs.google.com/document/d/1UmPikxR8PiBr8sMELyam9EWeGay1Z7vVE3nLypUwrik/edit?usp=sharing</v>
      </c>
      <c r="M340" s="20"/>
      <c r="N340" s="20"/>
      <c r="O340" s="20"/>
      <c r="P340" s="20"/>
    </row>
    <row r="341">
      <c r="A341" s="97">
        <f>IFERROR(__xludf.DUMMYFUNCTION("""COMPUTED_VALUE"""),46141.0)</f>
        <v>46141</v>
      </c>
      <c r="B341" s="97" t="str">
        <f>IFERROR(__xludf.DUMMYFUNCTION("""COMPUTED_VALUE"""),"2604A116")</f>
        <v>2604A116</v>
      </c>
      <c r="C341" s="76" t="str">
        <f>IFERROR(__xludf.DUMMYFUNCTION("""COMPUTED_VALUE"""),"Lia")</f>
        <v>Lia</v>
      </c>
      <c r="D341" s="99" t="str">
        <f>IFERROR(__xludf.DUMMYFUNCTION("""COMPUTED_VALUE"""),"089637597579")</f>
        <v>089637597579</v>
      </c>
      <c r="E341" s="25" t="str">
        <f>IFERROR(__xludf.DUMMYFUNCTION("""COMPUTED_VALUE"""),"Instagram")</f>
        <v>Instagram</v>
      </c>
      <c r="F341" s="25" t="str">
        <f>IFERROR(__xludf.DUMMYFUNCTION("""COMPUTED_VALUE"""),"Gagal")</f>
        <v>Gagal</v>
      </c>
      <c r="G341" s="25" t="str">
        <f>IFERROR(__xludf.DUMMYFUNCTION("""COMPUTED_VALUE"""),"2H1M")</f>
        <v>2H1M</v>
      </c>
      <c r="H341" s="92"/>
      <c r="I341" s="80">
        <f>IFERROR(__xludf.DUMMYFUNCTION("""COMPUTED_VALUE"""),5.0)</f>
        <v>5</v>
      </c>
      <c r="J341" s="54">
        <f>IFERROR(__xludf.DUMMYFUNCTION("""COMPUTED_VALUE"""),4430000.0)</f>
        <v>4430000</v>
      </c>
      <c r="K341" s="46" t="str">
        <f>IFERROR(__xludf.DUMMYFUNCTION("""COMPUTED_VALUE"""),"Kehabisan Tiket Transport")</f>
        <v>Kehabisan Tiket Transport</v>
      </c>
      <c r="L341" s="76"/>
      <c r="M341" s="20"/>
      <c r="N341" s="20"/>
      <c r="O341" s="20"/>
      <c r="P341" s="20"/>
    </row>
    <row r="342">
      <c r="A342" s="110">
        <f>IFERROR(__xludf.DUMMYFUNCTION("""COMPUTED_VALUE"""),46142.0)</f>
        <v>46142</v>
      </c>
      <c r="B342" s="110" t="str">
        <f>IFERROR(__xludf.DUMMYFUNCTION("""COMPUTED_VALUE"""),"2604A117")</f>
        <v>2604A117</v>
      </c>
      <c r="C342" s="49" t="str">
        <f>IFERROR(__xludf.DUMMYFUNCTION("""COMPUTED_VALUE"""),"Zira")</f>
        <v>Zira</v>
      </c>
      <c r="D342" s="102" t="str">
        <f>IFERROR(__xludf.DUMMYFUNCTION("""COMPUTED_VALUE"""),"085718414898")</f>
        <v>085718414898</v>
      </c>
      <c r="E342" s="25" t="str">
        <f>IFERROR(__xludf.DUMMYFUNCTION("""COMPUTED_VALUE"""),"Website")</f>
        <v>Website</v>
      </c>
      <c r="F342" s="25" t="str">
        <f>IFERROR(__xludf.DUMMYFUNCTION("""COMPUTED_VALUE"""),"Closing")</f>
        <v>Closing</v>
      </c>
      <c r="G342" s="25" t="str">
        <f>IFERROR(__xludf.DUMMYFUNCTION("""COMPUTED_VALUE"""),"3H2M A")</f>
        <v>3H2M A</v>
      </c>
      <c r="H342" s="78"/>
      <c r="I342" s="89">
        <f>IFERROR(__xludf.DUMMYFUNCTION("""COMPUTED_VALUE"""),4.0)</f>
        <v>4</v>
      </c>
      <c r="J342" s="96">
        <f>IFERROR(__xludf.DUMMYFUNCTION("""COMPUTED_VALUE"""),6808000.0)</f>
        <v>6808000</v>
      </c>
      <c r="K342" s="30" t="str">
        <f>IFERROR(__xludf.DUMMYFUNCTION("""COMPUTED_VALUE"""),"masih diskusi dgn keluarga")</f>
        <v>masih diskusi dgn keluarga</v>
      </c>
      <c r="L342" s="81" t="str">
        <f>IFERROR(__xludf.DUMMYFUNCTION("""COMPUTED_VALUE"""),"https://docs.google.com/document/d/1brynkPMUwYa0Kpun9sWpNhxfIybvBbn1qPR4oaQqBmo/edit?usp=sharing")</f>
        <v>https://docs.google.com/document/d/1brynkPMUwYa0Kpun9sWpNhxfIybvBbn1qPR4oaQqBmo/edit?usp=sharing</v>
      </c>
      <c r="M342" s="20"/>
      <c r="N342" s="20"/>
      <c r="O342" s="20"/>
      <c r="P342" s="20"/>
    </row>
    <row r="343">
      <c r="A343" s="97">
        <f>IFERROR(__xludf.DUMMYFUNCTION("""COMPUTED_VALUE"""),46142.0)</f>
        <v>46142</v>
      </c>
      <c r="B343" s="97" t="str">
        <f>IFERROR(__xludf.DUMMYFUNCTION("""COMPUTED_VALUE"""),"2604A118")</f>
        <v>2604A118</v>
      </c>
      <c r="C343" s="76" t="str">
        <f>IFERROR(__xludf.DUMMYFUNCTION("""COMPUTED_VALUE"""),"Dwipa")</f>
        <v>Dwipa</v>
      </c>
      <c r="D343" s="99" t="str">
        <f>IFERROR(__xludf.DUMMYFUNCTION("""COMPUTED_VALUE"""),"081294550707")</f>
        <v>081294550707</v>
      </c>
      <c r="E343" s="25" t="str">
        <f>IFERROR(__xludf.DUMMYFUNCTION("""COMPUTED_VALUE"""),"Instagram")</f>
        <v>Instagram</v>
      </c>
      <c r="F343" s="25" t="str">
        <f>IFERROR(__xludf.DUMMYFUNCTION("""COMPUTED_VALUE"""),"Gagal")</f>
        <v>Gagal</v>
      </c>
      <c r="G343" s="25" t="str">
        <f>IFERROR(__xludf.DUMMYFUNCTION("""COMPUTED_VALUE"""),"OT M T")</f>
        <v>OT M T</v>
      </c>
      <c r="H343" s="92"/>
      <c r="I343" s="80"/>
      <c r="J343" s="93"/>
      <c r="K343" s="46" t="str">
        <f>IFERROR(__xludf.DUMMYFUNCTION("""COMPUTED_VALUE"""),"fullbookedd")</f>
        <v>fullbookedd</v>
      </c>
      <c r="L343" s="76"/>
      <c r="M343" s="20"/>
      <c r="N343" s="20"/>
      <c r="O343" s="20"/>
      <c r="P343" s="20"/>
    </row>
    <row r="344">
      <c r="A344" s="110">
        <f>IFERROR(__xludf.DUMMYFUNCTION("""COMPUTED_VALUE"""),46142.0)</f>
        <v>46142</v>
      </c>
      <c r="B344" s="110" t="str">
        <f>IFERROR(__xludf.DUMMYFUNCTION("""COMPUTED_VALUE"""),"2604A119")</f>
        <v>2604A119</v>
      </c>
      <c r="C344" s="49" t="str">
        <f>IFERROR(__xludf.DUMMYFUNCTION("""COMPUTED_VALUE"""),"Bambang")</f>
        <v>Bambang</v>
      </c>
      <c r="D344" s="102" t="str">
        <f>IFERROR(__xludf.DUMMYFUNCTION("""COMPUTED_VALUE"""),"08112484200")</f>
        <v>08112484200</v>
      </c>
      <c r="E344" s="25" t="str">
        <f>IFERROR(__xludf.DUMMYFUNCTION("""COMPUTED_VALUE"""),"Website")</f>
        <v>Website</v>
      </c>
      <c r="F344" s="25" t="str">
        <f>IFERROR(__xludf.DUMMYFUNCTION("""COMPUTED_VALUE"""),"Qualified")</f>
        <v>Qualified</v>
      </c>
      <c r="G344" s="25" t="str">
        <f>IFERROR(__xludf.DUMMYFUNCTION("""COMPUTED_VALUE"""),"3H2M A/B")</f>
        <v>3H2M A/B</v>
      </c>
      <c r="H344" s="78"/>
      <c r="I344" s="89">
        <f>IFERROR(__xludf.DUMMYFUNCTION("""COMPUTED_VALUE"""),30.0)</f>
        <v>30</v>
      </c>
      <c r="J344" s="96">
        <f>IFERROR(__xludf.DUMMYFUNCTION("""COMPUTED_VALUE"""),4.44E7)</f>
        <v>44400000</v>
      </c>
      <c r="K344" s="36" t="str">
        <f>IFERROR(__xludf.DUMMYFUNCTION("""COMPUTED_VALUE"""),"FU1 juni")</f>
        <v>FU1 juni</v>
      </c>
      <c r="L344" s="49"/>
      <c r="M344" s="20"/>
      <c r="N344" s="20"/>
      <c r="O344" s="20"/>
      <c r="P344" s="20"/>
    </row>
    <row r="345">
      <c r="A345" s="97">
        <f>IFERROR(__xludf.DUMMYFUNCTION("""COMPUTED_VALUE"""),46143.0)</f>
        <v>46143</v>
      </c>
      <c r="B345" s="97" t="str">
        <f>IFERROR(__xludf.DUMMYFUNCTION("""COMPUTED_VALUE"""),"2605A001")</f>
        <v>2605A001</v>
      </c>
      <c r="C345" s="76" t="str">
        <f>IFERROR(__xludf.DUMMYFUNCTION("""COMPUTED_VALUE"""),"Henda")</f>
        <v>Henda</v>
      </c>
      <c r="D345" s="99" t="str">
        <f>IFERROR(__xludf.DUMMYFUNCTION("""COMPUTED_VALUE"""),"081290016726")</f>
        <v>081290016726</v>
      </c>
      <c r="E345" s="25" t="str">
        <f>IFERROR(__xludf.DUMMYFUNCTION("""COMPUTED_VALUE"""),"Website")</f>
        <v>Website</v>
      </c>
      <c r="F345" s="25" t="str">
        <f>IFERROR(__xludf.DUMMYFUNCTION("""COMPUTED_VALUE"""),"Qualified")</f>
        <v>Qualified</v>
      </c>
      <c r="G345" s="25" t="str">
        <f>IFERROR(__xludf.DUMMYFUNCTION("""COMPUTED_VALUE"""),"OT 3H2M")</f>
        <v>OT 3H2M</v>
      </c>
      <c r="H345" s="16"/>
      <c r="I345" s="17">
        <f>IFERROR(__xludf.DUMMYFUNCTION("""COMPUTED_VALUE"""),3.0)</f>
        <v>3</v>
      </c>
      <c r="J345" s="54">
        <f>IFERROR(__xludf.DUMMYFUNCTION("""COMPUTED_VALUE"""),4800000.0)</f>
        <v>4800000</v>
      </c>
      <c r="K345" s="46" t="str">
        <f>IFERROR(__xludf.DUMMYFUNCTION("""COMPUTED_VALUE"""),"FU 20 Juni")</f>
        <v>FU 20 Juni</v>
      </c>
      <c r="L345" s="76"/>
      <c r="M345" s="20"/>
      <c r="N345" s="20"/>
      <c r="O345" s="20"/>
      <c r="P345" s="20"/>
    </row>
    <row r="346">
      <c r="A346" s="97">
        <f>IFERROR(__xludf.DUMMYFUNCTION("""COMPUTED_VALUE"""),46143.0)</f>
        <v>46143</v>
      </c>
      <c r="B346" s="110" t="str">
        <f>IFERROR(__xludf.DUMMYFUNCTION("""COMPUTED_VALUE"""),"2605A002")</f>
        <v>2605A002</v>
      </c>
      <c r="C346" s="49" t="str">
        <f>IFERROR(__xludf.DUMMYFUNCTION("""COMPUTED_VALUE"""),"Ledi Fara")</f>
        <v>Ledi Fara</v>
      </c>
      <c r="D346" s="102" t="str">
        <f>IFERROR(__xludf.DUMMYFUNCTION("""COMPUTED_VALUE"""),"088126620344")</f>
        <v>088126620344</v>
      </c>
      <c r="E346" s="25" t="str">
        <f>IFERROR(__xludf.DUMMYFUNCTION("""COMPUTED_VALUE"""),"Website")</f>
        <v>Website</v>
      </c>
      <c r="F346" s="25" t="str">
        <f>IFERROR(__xludf.DUMMYFUNCTION("""COMPUTED_VALUE"""),"Gagal")</f>
        <v>Gagal</v>
      </c>
      <c r="G346" s="25" t="str">
        <f>IFERROR(__xludf.DUMMYFUNCTION("""COMPUTED_VALUE"""),"Trip I")</f>
        <v>Trip I</v>
      </c>
      <c r="H346" s="78">
        <f>IFERROR(__xludf.DUMMYFUNCTION("""COMPUTED_VALUE"""),46144.0)</f>
        <v>46144</v>
      </c>
      <c r="I346" s="27">
        <f>IFERROR(__xludf.DUMMYFUNCTION("""COMPUTED_VALUE"""),5.0)</f>
        <v>5</v>
      </c>
      <c r="J346" s="33">
        <f>IFERROR(__xludf.DUMMYFUNCTION("""COMPUTED_VALUE"""),1820000.0)</f>
        <v>1820000</v>
      </c>
      <c r="K346" s="30" t="str">
        <f>IFERROR(__xludf.DUMMYFUNCTION("""COMPUTED_VALUE"""),"penipu")</f>
        <v>penipu</v>
      </c>
      <c r="L346" s="49"/>
      <c r="M346" s="20"/>
      <c r="N346" s="20"/>
      <c r="O346" s="20"/>
      <c r="P346" s="20"/>
    </row>
    <row r="347">
      <c r="A347" s="97">
        <f>IFERROR(__xludf.DUMMYFUNCTION("""COMPUTED_VALUE"""),46143.0)</f>
        <v>46143</v>
      </c>
      <c r="B347" s="110" t="str">
        <f>IFERROR(__xludf.DUMMYFUNCTION("""COMPUTED_VALUE"""),"2605A003")</f>
        <v>2605A003</v>
      </c>
      <c r="C347" s="76" t="str">
        <f>IFERROR(__xludf.DUMMYFUNCTION("""COMPUTED_VALUE"""),"Gina")</f>
        <v>Gina</v>
      </c>
      <c r="D347" s="99" t="str">
        <f>IFERROR(__xludf.DUMMYFUNCTION("""COMPUTED_VALUE"""),"089609977265")</f>
        <v>089609977265</v>
      </c>
      <c r="E347" s="25" t="str">
        <f>IFERROR(__xludf.DUMMYFUNCTION("""COMPUTED_VALUE"""),"Instagram")</f>
        <v>Instagram</v>
      </c>
      <c r="F347" s="25" t="str">
        <f>IFERROR(__xludf.DUMMYFUNCTION("""COMPUTED_VALUE"""),"Gagal")</f>
        <v>Gagal</v>
      </c>
      <c r="G347" s="25" t="str">
        <f>IFERROR(__xludf.DUMMYFUNCTION("""COMPUTED_VALUE"""),"OT MT")</f>
        <v>OT MT</v>
      </c>
      <c r="H347" s="16">
        <f>IFERROR(__xludf.DUMMYFUNCTION("""COMPUTED_VALUE"""),46144.0)</f>
        <v>46144</v>
      </c>
      <c r="I347" s="17"/>
      <c r="J347" s="54"/>
      <c r="K347" s="46" t="str">
        <f>IFERROR(__xludf.DUMMYFUNCTION("""COMPUTED_VALUE"""),"Fullbooked")</f>
        <v>Fullbooked</v>
      </c>
      <c r="L347" s="76"/>
      <c r="M347" s="20"/>
      <c r="N347" s="20"/>
      <c r="O347" s="20"/>
      <c r="P347" s="20"/>
    </row>
    <row r="348">
      <c r="A348" s="110">
        <f>IFERROR(__xludf.DUMMYFUNCTION("""COMPUTED_VALUE"""),46143.0)</f>
        <v>46143</v>
      </c>
      <c r="B348" s="110" t="str">
        <f>IFERROR(__xludf.DUMMYFUNCTION("""COMPUTED_VALUE"""),"2605A004")</f>
        <v>2605A004</v>
      </c>
      <c r="C348" s="49" t="str">
        <f>IFERROR(__xludf.DUMMYFUNCTION("""COMPUTED_VALUE"""),"Kharisma")</f>
        <v>Kharisma</v>
      </c>
      <c r="D348" s="102" t="str">
        <f>IFERROR(__xludf.DUMMYFUNCTION("""COMPUTED_VALUE"""),"081268902321")</f>
        <v>081268902321</v>
      </c>
      <c r="E348" s="25" t="str">
        <f>IFERROR(__xludf.DUMMYFUNCTION("""COMPUTED_VALUE"""),"Instagram")</f>
        <v>Instagram</v>
      </c>
      <c r="F348" s="25" t="str">
        <f>IFERROR(__xludf.DUMMYFUNCTION("""COMPUTED_VALUE"""),"Gagal")</f>
        <v>Gagal</v>
      </c>
      <c r="G348" s="25" t="str">
        <f>IFERROR(__xludf.DUMMYFUNCTION("""COMPUTED_VALUE"""),"OT MT")</f>
        <v>OT MT</v>
      </c>
      <c r="H348" s="78">
        <f>IFERROR(__xludf.DUMMYFUNCTION("""COMPUTED_VALUE"""),46157.0)</f>
        <v>46157</v>
      </c>
      <c r="I348" s="89">
        <f>IFERROR(__xludf.DUMMYFUNCTION("""COMPUTED_VALUE"""),2.0)</f>
        <v>2</v>
      </c>
      <c r="J348" s="96"/>
      <c r="K348" s="36" t="str">
        <f>IFERROR(__xludf.DUMMYFUNCTION("""COMPUTED_VALUE"""),"Fullbooked")</f>
        <v>Fullbooked</v>
      </c>
      <c r="L348" s="49"/>
      <c r="M348" s="20"/>
      <c r="N348" s="20"/>
      <c r="O348" s="20"/>
      <c r="P348" s="20"/>
    </row>
    <row r="349">
      <c r="A349" s="97">
        <f>IFERROR(__xludf.DUMMYFUNCTION("""COMPUTED_VALUE"""),46143.0)</f>
        <v>46143</v>
      </c>
      <c r="B349" s="97" t="str">
        <f>IFERROR(__xludf.DUMMYFUNCTION("""COMPUTED_VALUE"""),"2605A005")</f>
        <v>2605A005</v>
      </c>
      <c r="C349" s="76" t="str">
        <f>IFERROR(__xludf.DUMMYFUNCTION("""COMPUTED_VALUE"""),"Rieska amalia")</f>
        <v>Rieska amalia</v>
      </c>
      <c r="D349" s="99" t="str">
        <f>IFERROR(__xludf.DUMMYFUNCTION("""COMPUTED_VALUE"""),"085742479784")</f>
        <v>085742479784</v>
      </c>
      <c r="E349" s="25" t="str">
        <f>IFERROR(__xludf.DUMMYFUNCTION("""COMPUTED_VALUE"""),"Instagram")</f>
        <v>Instagram</v>
      </c>
      <c r="F349" s="25" t="str">
        <f>IFERROR(__xludf.DUMMYFUNCTION("""COMPUTED_VALUE"""),"Gagal")</f>
        <v>Gagal</v>
      </c>
      <c r="G349" s="25" t="str">
        <f>IFERROR(__xludf.DUMMYFUNCTION("""COMPUTED_VALUE"""),"2H1M A")</f>
        <v>2H1M A</v>
      </c>
      <c r="H349" s="92"/>
      <c r="I349" s="80">
        <f>IFERROR(__xludf.DUMMYFUNCTION("""COMPUTED_VALUE"""),11.0)</f>
        <v>11</v>
      </c>
      <c r="J349" s="93"/>
      <c r="K349" s="46" t="str">
        <f>IFERROR(__xludf.DUMMYFUNCTION("""COMPUTED_VALUE"""),"Fullbooked")</f>
        <v>Fullbooked</v>
      </c>
      <c r="L349" s="76"/>
      <c r="M349" s="20"/>
      <c r="N349" s="20"/>
      <c r="O349" s="20"/>
      <c r="P349" s="20"/>
    </row>
    <row r="350">
      <c r="A350" s="110">
        <f>IFERROR(__xludf.DUMMYFUNCTION("""COMPUTED_VALUE"""),46143.0)</f>
        <v>46143</v>
      </c>
      <c r="B350" s="110" t="str">
        <f>IFERROR(__xludf.DUMMYFUNCTION("""COMPUTED_VALUE"""),"2605A006")</f>
        <v>2605A006</v>
      </c>
      <c r="C350" s="49" t="str">
        <f>IFERROR(__xludf.DUMMYFUNCTION("""COMPUTED_VALUE"""),"Olala")</f>
        <v>Olala</v>
      </c>
      <c r="D350" s="102" t="str">
        <f>IFERROR(__xludf.DUMMYFUNCTION("""COMPUTED_VALUE"""),"082227708228")</f>
        <v>082227708228</v>
      </c>
      <c r="E350" s="25" t="str">
        <f>IFERROR(__xludf.DUMMYFUNCTION("""COMPUTED_VALUE"""),"Lainnya")</f>
        <v>Lainnya</v>
      </c>
      <c r="F350" s="25" t="str">
        <f>IFERROR(__xludf.DUMMYFUNCTION("""COMPUTED_VALUE"""),"Gagal")</f>
        <v>Gagal</v>
      </c>
      <c r="G350" s="25" t="str">
        <f>IFERROR(__xludf.DUMMYFUNCTION("""COMPUTED_VALUE"""),"Trip B / Sewa Jeep")</f>
        <v>Trip B / Sewa Jeep</v>
      </c>
      <c r="H350" s="78">
        <f>IFERROR(__xludf.DUMMYFUNCTION("""COMPUTED_VALUE"""),46157.0)</f>
        <v>46157</v>
      </c>
      <c r="I350" s="89"/>
      <c r="J350" s="96"/>
      <c r="K350" s="30" t="str">
        <f>IFERROR(__xludf.DUMMYFUNCTION("""COMPUTED_VALUE"""),"Fullbooked")</f>
        <v>Fullbooked</v>
      </c>
      <c r="L350" s="49"/>
      <c r="M350" s="20"/>
      <c r="N350" s="20"/>
      <c r="O350" s="20"/>
      <c r="P350" s="20"/>
    </row>
    <row r="351">
      <c r="A351" s="97">
        <f>IFERROR(__xludf.DUMMYFUNCTION("""COMPUTED_VALUE"""),46143.0)</f>
        <v>46143</v>
      </c>
      <c r="B351" s="97" t="str">
        <f>IFERROR(__xludf.DUMMYFUNCTION("""COMPUTED_VALUE"""),"2605A006")</f>
        <v>2605A006</v>
      </c>
      <c r="C351" s="76" t="str">
        <f>IFERROR(__xludf.DUMMYFUNCTION("""COMPUTED_VALUE"""),"Tika")</f>
        <v>Tika</v>
      </c>
      <c r="D351" s="99" t="str">
        <f>IFERROR(__xludf.DUMMYFUNCTION("""COMPUTED_VALUE"""),"082344805275")</f>
        <v>082344805275</v>
      </c>
      <c r="E351" s="25" t="str">
        <f>IFERROR(__xludf.DUMMYFUNCTION("""COMPUTED_VALUE"""),"Instagram")</f>
        <v>Instagram</v>
      </c>
      <c r="F351" s="25" t="str">
        <f>IFERROR(__xludf.DUMMYFUNCTION("""COMPUTED_VALUE"""),"Gagal")</f>
        <v>Gagal</v>
      </c>
      <c r="G351" s="25" t="str">
        <f>IFERROR(__xludf.DUMMYFUNCTION("""COMPUTED_VALUE"""),"Trip M T , B")</f>
        <v>Trip M T , B</v>
      </c>
      <c r="H351" s="92">
        <f>IFERROR(__xludf.DUMMYFUNCTION("""COMPUTED_VALUE"""),46156.0)</f>
        <v>46156</v>
      </c>
      <c r="I351" s="80">
        <f>IFERROR(__xludf.DUMMYFUNCTION("""COMPUTED_VALUE"""),2.0)</f>
        <v>2</v>
      </c>
      <c r="J351" s="93"/>
      <c r="K351" s="46" t="str">
        <f>IFERROR(__xludf.DUMMYFUNCTION("""COMPUTED_VALUE"""),"fullbooked")</f>
        <v>fullbooked</v>
      </c>
      <c r="L351" s="76"/>
      <c r="M351" s="20"/>
      <c r="N351" s="20"/>
      <c r="O351" s="20"/>
      <c r="P351" s="20"/>
    </row>
    <row r="352">
      <c r="A352" s="110">
        <f>IFERROR(__xludf.DUMMYFUNCTION("""COMPUTED_VALUE"""),46143.0)</f>
        <v>46143</v>
      </c>
      <c r="B352" s="110" t="str">
        <f>IFERROR(__xludf.DUMMYFUNCTION("""COMPUTED_VALUE"""),"2605A007")</f>
        <v>2605A007</v>
      </c>
      <c r="C352" s="49" t="str">
        <f>IFERROR(__xludf.DUMMYFUNCTION("""COMPUTED_VALUE"""),"Rahayoe")</f>
        <v>Rahayoe</v>
      </c>
      <c r="D352" s="102" t="str">
        <f>IFERROR(__xludf.DUMMYFUNCTION("""COMPUTED_VALUE"""),"081269731661")</f>
        <v>081269731661</v>
      </c>
      <c r="E352" s="25" t="str">
        <f>IFERROR(__xludf.DUMMYFUNCTION("""COMPUTED_VALUE"""),"Website")</f>
        <v>Website</v>
      </c>
      <c r="F352" s="25" t="str">
        <f>IFERROR(__xludf.DUMMYFUNCTION("""COMPUTED_VALUE"""),"Qualified")</f>
        <v>Qualified</v>
      </c>
      <c r="G352" s="25" t="str">
        <f>IFERROR(__xludf.DUMMYFUNCTION("""COMPUTED_VALUE"""),"3H2M")</f>
        <v>3H2M</v>
      </c>
      <c r="H352" s="78"/>
      <c r="I352" s="89">
        <f>IFERROR(__xludf.DUMMYFUNCTION("""COMPUTED_VALUE"""),5.0)</f>
        <v>5</v>
      </c>
      <c r="J352" s="96"/>
      <c r="K352" s="30" t="str">
        <f>IFERROR(__xludf.DUMMYFUNCTION("""COMPUTED_VALUE"""),"fu 28 mei")</f>
        <v>fu 28 mei</v>
      </c>
      <c r="L352" s="49"/>
      <c r="M352" s="20"/>
      <c r="N352" s="20"/>
      <c r="O352" s="20"/>
      <c r="P352" s="20"/>
    </row>
    <row r="353">
      <c r="A353" s="97">
        <f>IFERROR(__xludf.DUMMYFUNCTION("""COMPUTED_VALUE"""),46144.0)</f>
        <v>46144</v>
      </c>
      <c r="B353" s="97" t="str">
        <f>IFERROR(__xludf.DUMMYFUNCTION("""COMPUTED_VALUE"""),"2605A009")</f>
        <v>2605A009</v>
      </c>
      <c r="C353" s="76" t="str">
        <f>IFERROR(__xludf.DUMMYFUNCTION("""COMPUTED_VALUE"""),"Ameena")</f>
        <v>Ameena</v>
      </c>
      <c r="D353" s="99" t="str">
        <f>IFERROR(__xludf.DUMMYFUNCTION("""COMPUTED_VALUE"""),"082334704822")</f>
        <v>082334704822</v>
      </c>
      <c r="E353" s="25" t="str">
        <f>IFERROR(__xludf.DUMMYFUNCTION("""COMPUTED_VALUE"""),"Instagram")</f>
        <v>Instagram</v>
      </c>
      <c r="F353" s="25" t="str">
        <f>IFERROR(__xludf.DUMMYFUNCTION("""COMPUTED_VALUE"""),"Qualified")</f>
        <v>Qualified</v>
      </c>
      <c r="G353" s="25" t="str">
        <f>IFERROR(__xludf.DUMMYFUNCTION("""COMPUTED_VALUE"""),"Trip T")</f>
        <v>Trip T</v>
      </c>
      <c r="H353" s="92"/>
      <c r="I353" s="80">
        <f>IFERROR(__xludf.DUMMYFUNCTION("""COMPUTED_VALUE"""),4.0)</f>
        <v>4</v>
      </c>
      <c r="J353" s="54">
        <f>IFERROR(__xludf.DUMMYFUNCTION("""COMPUTED_VALUE"""),2000000.0)</f>
        <v>2000000</v>
      </c>
      <c r="K353" s="46" t="str">
        <f>IFERROR(__xludf.DUMMYFUNCTION("""COMPUTED_VALUE"""),"masih komfir ke temannnya")</f>
        <v>masih komfir ke temannnya</v>
      </c>
      <c r="L353" s="76"/>
      <c r="M353" s="20"/>
      <c r="N353" s="20"/>
      <c r="O353" s="20"/>
      <c r="P353" s="20"/>
    </row>
    <row r="354">
      <c r="A354" s="110">
        <f>IFERROR(__xludf.DUMMYFUNCTION("""COMPUTED_VALUE"""),46144.0)</f>
        <v>46144</v>
      </c>
      <c r="B354" s="110" t="str">
        <f>IFERROR(__xludf.DUMMYFUNCTION("""COMPUTED_VALUE"""),"2605A010")</f>
        <v>2605A010</v>
      </c>
      <c r="C354" s="49" t="str">
        <f>IFERROR(__xludf.DUMMYFUNCTION("""COMPUTED_VALUE"""),"Miftahul Ulum")</f>
        <v>Miftahul Ulum</v>
      </c>
      <c r="D354" s="102" t="str">
        <f>IFERROR(__xludf.DUMMYFUNCTION("""COMPUTED_VALUE"""),"085604046643")</f>
        <v>085604046643</v>
      </c>
      <c r="E354" s="25" t="str">
        <f>IFERROR(__xludf.DUMMYFUNCTION("""COMPUTED_VALUE"""),"Lainnya")</f>
        <v>Lainnya</v>
      </c>
      <c r="F354" s="25" t="str">
        <f>IFERROR(__xludf.DUMMYFUNCTION("""COMPUTED_VALUE"""),"Gagal")</f>
        <v>Gagal</v>
      </c>
      <c r="G354" s="25"/>
      <c r="H354" s="78"/>
      <c r="I354" s="89"/>
      <c r="J354" s="96"/>
      <c r="K354" s="30" t="str">
        <f>IFERROR(__xludf.DUMMYFUNCTION("""COMPUTED_VALUE"""),"gada balasan")</f>
        <v>gada balasan</v>
      </c>
      <c r="L354" s="49"/>
      <c r="M354" s="20"/>
      <c r="N354" s="20"/>
      <c r="O354" s="20"/>
      <c r="P354" s="20"/>
    </row>
    <row r="355">
      <c r="A355" s="97">
        <f>IFERROR(__xludf.DUMMYFUNCTION("""COMPUTED_VALUE"""),46145.0)</f>
        <v>46145</v>
      </c>
      <c r="B355" s="97" t="str">
        <f>IFERROR(__xludf.DUMMYFUNCTION("""COMPUTED_VALUE"""),"2605A011")</f>
        <v>2605A011</v>
      </c>
      <c r="C355" s="76" t="str">
        <f>IFERROR(__xludf.DUMMYFUNCTION("""COMPUTED_VALUE"""),"Rony")</f>
        <v>Rony</v>
      </c>
      <c r="D355" s="99" t="str">
        <f>IFERROR(__xludf.DUMMYFUNCTION("""COMPUTED_VALUE"""),"085863963349")</f>
        <v>085863963349</v>
      </c>
      <c r="E355" s="25" t="str">
        <f>IFERROR(__xludf.DUMMYFUNCTION("""COMPUTED_VALUE"""),"Instagram")</f>
        <v>Instagram</v>
      </c>
      <c r="F355" s="25" t="str">
        <f>IFERROR(__xludf.DUMMYFUNCTION("""COMPUTED_VALUE"""),"Gagal")</f>
        <v>Gagal</v>
      </c>
      <c r="G355" s="25" t="str">
        <f>IFERROR(__xludf.DUMMYFUNCTION("""COMPUTED_VALUE"""),"1D ")</f>
        <v>1D </v>
      </c>
      <c r="H355" s="92">
        <f>IFERROR(__xludf.DUMMYFUNCTION("""COMPUTED_VALUE"""),46173.0)</f>
        <v>46173</v>
      </c>
      <c r="I355" s="80">
        <f>IFERROR(__xludf.DUMMYFUNCTION("""COMPUTED_VALUE"""),46300.0)</f>
        <v>46300</v>
      </c>
      <c r="J355" s="93"/>
      <c r="K355" s="46" t="str">
        <f>IFERROR(__xludf.DUMMYFUNCTION("""COMPUTED_VALUE"""),"tidak ada balasan")</f>
        <v>tidak ada balasan</v>
      </c>
      <c r="L355" s="76"/>
      <c r="M355" s="20"/>
      <c r="N355" s="20"/>
      <c r="O355" s="20"/>
      <c r="P355" s="20"/>
    </row>
    <row r="356">
      <c r="A356" s="110">
        <f>IFERROR(__xludf.DUMMYFUNCTION("""COMPUTED_VALUE"""),46145.0)</f>
        <v>46145</v>
      </c>
      <c r="B356" s="110" t="str">
        <f>IFERROR(__xludf.DUMMYFUNCTION("""COMPUTED_VALUE"""),"2605A012")</f>
        <v>2605A012</v>
      </c>
      <c r="C356" s="49" t="str">
        <f>IFERROR(__xludf.DUMMYFUNCTION("""COMPUTED_VALUE"""),"Reyni")</f>
        <v>Reyni</v>
      </c>
      <c r="D356" s="102" t="str">
        <f>IFERROR(__xludf.DUMMYFUNCTION("""COMPUTED_VALUE"""),"085339626665")</f>
        <v>085339626665</v>
      </c>
      <c r="E356" s="25" t="str">
        <f>IFERROR(__xludf.DUMMYFUNCTION("""COMPUTED_VALUE"""),"Lainnya")</f>
        <v>Lainnya</v>
      </c>
      <c r="F356" s="25" t="str">
        <f>IFERROR(__xludf.DUMMYFUNCTION("""COMPUTED_VALUE"""),"Gagal")</f>
        <v>Gagal</v>
      </c>
      <c r="G356" s="25" t="str">
        <f>IFERROR(__xludf.DUMMYFUNCTION("""COMPUTED_VALUE"""),"OTMT")</f>
        <v>OTMT</v>
      </c>
      <c r="H356" s="78">
        <f>IFERROR(__xludf.DUMMYFUNCTION("""COMPUTED_VALUE"""),46170.0)</f>
        <v>46170</v>
      </c>
      <c r="I356" s="89">
        <f>IFERROR(__xludf.DUMMYFUNCTION("""COMPUTED_VALUE"""),2.0)</f>
        <v>2</v>
      </c>
      <c r="J356" s="33">
        <f>IFERROR(__xludf.DUMMYFUNCTION("""COMPUTED_VALUE"""),1050000.0)</f>
        <v>1050000</v>
      </c>
      <c r="K356" s="30" t="str">
        <f>IFERROR(__xludf.DUMMYFUNCTION("""COMPUTED_VALUE"""),"gada jawaban. gagal")</f>
        <v>gada jawaban. gagal</v>
      </c>
      <c r="L356" s="76"/>
      <c r="M356" s="20"/>
      <c r="N356" s="20"/>
      <c r="O356" s="20"/>
      <c r="P356" s="20"/>
    </row>
    <row r="357">
      <c r="A357" s="97">
        <f>IFERROR(__xludf.DUMMYFUNCTION("""COMPUTED_VALUE"""),46145.0)</f>
        <v>46145</v>
      </c>
      <c r="B357" s="97" t="str">
        <f>IFERROR(__xludf.DUMMYFUNCTION("""COMPUTED_VALUE"""),"2605A013")</f>
        <v>2605A013</v>
      </c>
      <c r="C357" s="76" t="str">
        <f>IFERROR(__xludf.DUMMYFUNCTION("""COMPUTED_VALUE"""),"Egy Religya")</f>
        <v>Egy Religya</v>
      </c>
      <c r="D357" s="99" t="str">
        <f>IFERROR(__xludf.DUMMYFUNCTION("""COMPUTED_VALUE"""),"088901619672")</f>
        <v>088901619672</v>
      </c>
      <c r="E357" s="25" t="str">
        <f>IFERROR(__xludf.DUMMYFUNCTION("""COMPUTED_VALUE"""),"Lainnya")</f>
        <v>Lainnya</v>
      </c>
      <c r="F357" s="25" t="str">
        <f>IFERROR(__xludf.DUMMYFUNCTION("""COMPUTED_VALUE"""),"Closing")</f>
        <v>Closing</v>
      </c>
      <c r="G357" s="25" t="str">
        <f>IFERROR(__xludf.DUMMYFUNCTION("""COMPUTED_VALUE"""),"3H2M Z")</f>
        <v>3H2M Z</v>
      </c>
      <c r="H357" s="92"/>
      <c r="I357" s="80">
        <f>IFERROR(__xludf.DUMMYFUNCTION("""COMPUTED_VALUE"""),3.0)</f>
        <v>3</v>
      </c>
      <c r="J357" s="93">
        <f>IFERROR(__xludf.DUMMYFUNCTION("""COMPUTED_VALUE"""),3885000.0)</f>
        <v>3885000</v>
      </c>
      <c r="K357" s="46" t="str">
        <f>IFERROR(__xludf.DUMMYFUNCTION("""COMPUTED_VALUE"""),"ORDERR")</f>
        <v>ORDERR</v>
      </c>
      <c r="L357" s="76"/>
      <c r="M357" s="20"/>
      <c r="N357" s="20"/>
      <c r="O357" s="20"/>
      <c r="P357" s="20"/>
    </row>
    <row r="358">
      <c r="A358" s="110">
        <f>IFERROR(__xludf.DUMMYFUNCTION("""COMPUTED_VALUE"""),46145.0)</f>
        <v>46145</v>
      </c>
      <c r="B358" s="110" t="str">
        <f>IFERROR(__xludf.DUMMYFUNCTION("""COMPUTED_VALUE"""),"2605A014")</f>
        <v>2605A014</v>
      </c>
      <c r="C358" s="49" t="str">
        <f>IFERROR(__xludf.DUMMYFUNCTION("""COMPUTED_VALUE"""),"Amel (Safara)")</f>
        <v>Amel (Safara)</v>
      </c>
      <c r="D358" s="102" t="str">
        <f>IFERROR(__xludf.DUMMYFUNCTION("""COMPUTED_VALUE"""),"081252511149")</f>
        <v>081252511149</v>
      </c>
      <c r="E358" s="25" t="str">
        <f>IFERROR(__xludf.DUMMYFUNCTION("""COMPUTED_VALUE"""),"Instagram")</f>
        <v>Instagram</v>
      </c>
      <c r="F358" s="25" t="str">
        <f>IFERROR(__xludf.DUMMYFUNCTION("""COMPUTED_VALUE"""),"Gagal")</f>
        <v>Gagal</v>
      </c>
      <c r="G358" s="25" t="str">
        <f>IFERROR(__xludf.DUMMYFUNCTION("""COMPUTED_VALUE"""),"3H2M Z (exc. transport)")</f>
        <v>3H2M Z (exc. transport)</v>
      </c>
      <c r="H358" s="78"/>
      <c r="I358" s="89">
        <f>IFERROR(__xludf.DUMMYFUNCTION("""COMPUTED_VALUE"""),2.0)</f>
        <v>2</v>
      </c>
      <c r="J358" s="96">
        <f>IFERROR(__xludf.DUMMYFUNCTION("""COMPUTED_VALUE"""),2600000.0)</f>
        <v>2600000</v>
      </c>
      <c r="K358" s="30" t="str">
        <f>IFERROR(__xludf.DUMMYFUNCTION("""COMPUTED_VALUE"""),"kemungkinan perjadin")</f>
        <v>kemungkinan perjadin</v>
      </c>
      <c r="L358" s="49"/>
      <c r="M358" s="20"/>
      <c r="N358" s="20"/>
      <c r="O358" s="20"/>
      <c r="P358" s="20"/>
    </row>
    <row r="359">
      <c r="A359" s="97">
        <f>IFERROR(__xludf.DUMMYFUNCTION("""COMPUTED_VALUE"""),46144.0)</f>
        <v>46144</v>
      </c>
      <c r="B359" s="97" t="str">
        <f>IFERROR(__xludf.DUMMYFUNCTION("""COMPUTED_VALUE"""),"2605A015")</f>
        <v>2605A015</v>
      </c>
      <c r="C359" s="76" t="str">
        <f>IFERROR(__xludf.DUMMYFUNCTION("""COMPUTED_VALUE"""),"Lailia M")</f>
        <v>Lailia M</v>
      </c>
      <c r="D359" s="13" t="str">
        <f>IFERROR(__xludf.DUMMYFUNCTION("""COMPUTED_VALUE"""),"082143232230")</f>
        <v>082143232230</v>
      </c>
      <c r="E359" s="25" t="str">
        <f>IFERROR(__xludf.DUMMYFUNCTION("""COMPUTED_VALUE"""),"Lainnya")</f>
        <v>Lainnya</v>
      </c>
      <c r="F359" s="25" t="str">
        <f>IFERROR(__xludf.DUMMYFUNCTION("""COMPUTED_VALUE"""),"Gagal")</f>
        <v>Gagal</v>
      </c>
      <c r="G359" s="25"/>
      <c r="H359" s="92"/>
      <c r="I359" s="80"/>
      <c r="J359" s="93"/>
      <c r="K359" s="19" t="str">
        <f>IFERROR(__xludf.DUMMYFUNCTION("""COMPUTED_VALUE"""),"ga jadi, sdh tdk di bwi")</f>
        <v>ga jadi, sdh tdk di bwi</v>
      </c>
      <c r="L359" s="76"/>
      <c r="M359" s="20"/>
      <c r="N359" s="20"/>
      <c r="O359" s="20"/>
      <c r="P359" s="20"/>
    </row>
    <row r="360">
      <c r="A360" s="110">
        <f>IFERROR(__xludf.DUMMYFUNCTION("""COMPUTED_VALUE"""),46145.0)</f>
        <v>46145</v>
      </c>
      <c r="B360" s="110" t="str">
        <f>IFERROR(__xludf.DUMMYFUNCTION("""COMPUTED_VALUE"""),"2605A016")</f>
        <v>2605A016</v>
      </c>
      <c r="C360" s="49" t="str">
        <f>IFERROR(__xludf.DUMMYFUNCTION("""COMPUTED_VALUE"""),"Adi")</f>
        <v>Adi</v>
      </c>
      <c r="D360" s="102" t="str">
        <f>IFERROR(__xludf.DUMMYFUNCTION("""COMPUTED_VALUE"""),"081234584744‬")</f>
        <v>081234584744‬</v>
      </c>
      <c r="E360" s="25" t="str">
        <f>IFERROR(__xludf.DUMMYFUNCTION("""COMPUTED_VALUE"""),"Instagram")</f>
        <v>Instagram</v>
      </c>
      <c r="F360" s="25" t="str">
        <f>IFERROR(__xludf.DUMMYFUNCTION("""COMPUTED_VALUE"""),"Qualified")</f>
        <v>Qualified</v>
      </c>
      <c r="G360" s="25" t="str">
        <f>IFERROR(__xludf.DUMMYFUNCTION("""COMPUTED_VALUE"""),"2H1M Custom")</f>
        <v>2H1M Custom</v>
      </c>
      <c r="H360" s="78"/>
      <c r="I360" s="27">
        <f>IFERROR(__xludf.DUMMYFUNCTION("""COMPUTED_VALUE"""),3.0)</f>
        <v>3</v>
      </c>
      <c r="J360" s="96">
        <f>IFERROR(__xludf.DUMMYFUNCTION("""COMPUTED_VALUE"""),2970000.0)</f>
        <v>2970000</v>
      </c>
      <c r="K360" s="36" t="str">
        <f>IFERROR(__xludf.DUMMYFUNCTION("""COMPUTED_VALUE"""),"masih dipertimbangkan")</f>
        <v>masih dipertimbangkan</v>
      </c>
      <c r="L360" s="49"/>
      <c r="M360" s="20"/>
      <c r="N360" s="20"/>
      <c r="O360" s="20"/>
      <c r="P360" s="20"/>
    </row>
    <row r="361">
      <c r="A361" s="97">
        <f>IFERROR(__xludf.DUMMYFUNCTION("""COMPUTED_VALUE"""),46145.0)</f>
        <v>46145</v>
      </c>
      <c r="B361" s="97" t="str">
        <f>IFERROR(__xludf.DUMMYFUNCTION("""COMPUTED_VALUE"""),"2605A017")</f>
        <v>2605A017</v>
      </c>
      <c r="C361" s="76" t="str">
        <f>IFERROR(__xludf.DUMMYFUNCTION("""COMPUTED_VALUE"""),"Dhana")</f>
        <v>Dhana</v>
      </c>
      <c r="D361" s="99" t="str">
        <f>IFERROR(__xludf.DUMMYFUNCTION("""COMPUTED_VALUE"""),"085669866741‬")</f>
        <v>085669866741‬</v>
      </c>
      <c r="E361" s="25" t="str">
        <f>IFERROR(__xludf.DUMMYFUNCTION("""COMPUTED_VALUE"""),"Instagram")</f>
        <v>Instagram</v>
      </c>
      <c r="F361" s="25" t="str">
        <f>IFERROR(__xludf.DUMMYFUNCTION("""COMPUTED_VALUE"""),"Gagal")</f>
        <v>Gagal</v>
      </c>
      <c r="G361" s="25" t="str">
        <f>IFERROR(__xludf.DUMMYFUNCTION("""COMPUTED_VALUE"""),"OT M T")</f>
        <v>OT M T</v>
      </c>
      <c r="H361" s="92">
        <f>IFERROR(__xludf.DUMMYFUNCTION("""COMPUTED_VALUE"""),46157.0)</f>
        <v>46157</v>
      </c>
      <c r="I361" s="80">
        <f>IFERROR(__xludf.DUMMYFUNCTION("""COMPUTED_VALUE"""),6.0)</f>
        <v>6</v>
      </c>
      <c r="J361" s="93">
        <f>IFERROR(__xludf.DUMMYFUNCTION("""COMPUTED_VALUE"""),3150000.0)</f>
        <v>3150000</v>
      </c>
      <c r="K361" s="19" t="str">
        <f>IFERROR(__xludf.DUMMYFUNCTION("""COMPUTED_VALUE"""),"cancell")</f>
        <v>cancell</v>
      </c>
      <c r="L361" s="76"/>
      <c r="M361" s="20"/>
      <c r="N361" s="20"/>
      <c r="O361" s="20"/>
      <c r="P361" s="20"/>
    </row>
    <row r="362">
      <c r="A362" s="110">
        <f>IFERROR(__xludf.DUMMYFUNCTION("""COMPUTED_VALUE"""),46145.0)</f>
        <v>46145</v>
      </c>
      <c r="B362" s="110" t="str">
        <f>IFERROR(__xludf.DUMMYFUNCTION("""COMPUTED_VALUE"""),"2605A018")</f>
        <v>2605A018</v>
      </c>
      <c r="C362" s="49" t="str">
        <f>IFERROR(__xludf.DUMMYFUNCTION("""COMPUTED_VALUE"""),"Alya Belinda")</f>
        <v>Alya Belinda</v>
      </c>
      <c r="D362" s="102" t="str">
        <f>IFERROR(__xludf.DUMMYFUNCTION("""COMPUTED_VALUE"""),"081227162986‬")</f>
        <v>081227162986‬</v>
      </c>
      <c r="E362" s="25" t="str">
        <f>IFERROR(__xludf.DUMMYFUNCTION("""COMPUTED_VALUE"""),"Instagram")</f>
        <v>Instagram</v>
      </c>
      <c r="F362" s="25" t="str">
        <f>IFERROR(__xludf.DUMMYFUNCTION("""COMPUTED_VALUE"""),"Gagal")</f>
        <v>Gagal</v>
      </c>
      <c r="G362" s="25" t="str">
        <f>IFERROR(__xludf.DUMMYFUNCTION("""COMPUTED_VALUE"""),"Trip M T")</f>
        <v>Trip M T</v>
      </c>
      <c r="H362" s="78">
        <f>IFERROR(__xludf.DUMMYFUNCTION("""COMPUTED_VALUE"""),46158.0)</f>
        <v>46158</v>
      </c>
      <c r="I362" s="89">
        <f>IFERROR(__xludf.DUMMYFUNCTION("""COMPUTED_VALUE"""),3.0)</f>
        <v>3</v>
      </c>
      <c r="J362" s="96"/>
      <c r="K362" s="30" t="str">
        <f>IFERROR(__xludf.DUMMYFUNCTION("""COMPUTED_VALUE"""),"gada balasan lagi")</f>
        <v>gada balasan lagi</v>
      </c>
      <c r="L362" s="49"/>
      <c r="M362" s="20"/>
      <c r="N362" s="20"/>
      <c r="O362" s="20"/>
      <c r="P362" s="20"/>
    </row>
    <row r="363">
      <c r="A363" s="97">
        <f>IFERROR(__xludf.DUMMYFUNCTION("""COMPUTED_VALUE"""),46115.0)</f>
        <v>46115</v>
      </c>
      <c r="B363" s="97" t="str">
        <f>IFERROR(__xludf.DUMMYFUNCTION("""COMPUTED_VALUE"""),"2605A019")</f>
        <v>2605A019</v>
      </c>
      <c r="C363" s="76" t="str">
        <f>IFERROR(__xludf.DUMMYFUNCTION("""COMPUTED_VALUE"""),"Nadine")</f>
        <v>Nadine</v>
      </c>
      <c r="D363" s="99" t="str">
        <f>IFERROR(__xludf.DUMMYFUNCTION("""COMPUTED_VALUE"""),"08886682380‬")</f>
        <v>08886682380‬</v>
      </c>
      <c r="E363" s="25" t="str">
        <f>IFERROR(__xludf.DUMMYFUNCTION("""COMPUTED_VALUE"""),"Instagram")</f>
        <v>Instagram</v>
      </c>
      <c r="F363" s="25" t="str">
        <f>IFERROR(__xludf.DUMMYFUNCTION("""COMPUTED_VALUE"""),"Gagal")</f>
        <v>Gagal</v>
      </c>
      <c r="G363" s="25" t="str">
        <f>IFERROR(__xludf.DUMMYFUNCTION("""COMPUTED_VALUE"""),"Trip M T")</f>
        <v>Trip M T</v>
      </c>
      <c r="H363" s="92">
        <f>IFERROR(__xludf.DUMMYFUNCTION("""COMPUTED_VALUE"""),46158.0)</f>
        <v>46158</v>
      </c>
      <c r="I363" s="80"/>
      <c r="J363" s="93"/>
      <c r="K363" s="46" t="str">
        <f>IFERROR(__xludf.DUMMYFUNCTION("""COMPUTED_VALUE"""),"gada balasan")</f>
        <v>gada balasan</v>
      </c>
      <c r="L363" s="76"/>
      <c r="M363" s="20"/>
      <c r="N363" s="20"/>
      <c r="O363" s="20"/>
      <c r="P363" s="20"/>
    </row>
    <row r="364">
      <c r="A364" s="110">
        <f>IFERROR(__xludf.DUMMYFUNCTION("""COMPUTED_VALUE"""),46146.0)</f>
        <v>46146</v>
      </c>
      <c r="B364" s="110" t="str">
        <f>IFERROR(__xludf.DUMMYFUNCTION("""COMPUTED_VALUE"""),"2605A020")</f>
        <v>2605A020</v>
      </c>
      <c r="C364" s="49" t="str">
        <f>IFERROR(__xludf.DUMMYFUNCTION("""COMPUTED_VALUE"""),"Elok")</f>
        <v>Elok</v>
      </c>
      <c r="D364" s="102" t="str">
        <f>IFERROR(__xludf.DUMMYFUNCTION("""COMPUTED_VALUE"""),"082295407134‬")</f>
        <v>082295407134‬</v>
      </c>
      <c r="E364" s="25" t="str">
        <f>IFERROR(__xludf.DUMMYFUNCTION("""COMPUTED_VALUE"""),"Instagram")</f>
        <v>Instagram</v>
      </c>
      <c r="F364" s="25" t="str">
        <f>IFERROR(__xludf.DUMMYFUNCTION("""COMPUTED_VALUE"""),"Qualified")</f>
        <v>Qualified</v>
      </c>
      <c r="G364" s="25" t="str">
        <f>IFERROR(__xludf.DUMMYFUNCTION("""COMPUTED_VALUE"""),"2H1M / 3H2M")</f>
        <v>2H1M / 3H2M</v>
      </c>
      <c r="H364" s="78"/>
      <c r="I364" s="89">
        <f>IFERROR(__xludf.DUMMYFUNCTION("""COMPUTED_VALUE"""),2.0)</f>
        <v>2</v>
      </c>
      <c r="J364" s="33">
        <f>IFERROR(__xludf.DUMMYFUNCTION("""COMPUTED_VALUE"""),7200000.0)</f>
        <v>7200000</v>
      </c>
      <c r="K364" s="30" t="str">
        <f>IFERROR(__xludf.DUMMYFUNCTION("""COMPUTED_VALUE"""),"FU 7 Mei")</f>
        <v>FU 7 Mei</v>
      </c>
      <c r="L364" s="49"/>
      <c r="M364" s="20"/>
      <c r="N364" s="20"/>
      <c r="O364" s="20"/>
      <c r="P364" s="20"/>
    </row>
    <row r="365">
      <c r="A365" s="97">
        <f>IFERROR(__xludf.DUMMYFUNCTION("""COMPUTED_VALUE"""),46146.0)</f>
        <v>46146</v>
      </c>
      <c r="B365" s="97" t="str">
        <f>IFERROR(__xludf.DUMMYFUNCTION("""COMPUTED_VALUE"""),"2605A021")</f>
        <v>2605A021</v>
      </c>
      <c r="C365" s="76" t="str">
        <f>IFERROR(__xludf.DUMMYFUNCTION("""COMPUTED_VALUE"""),"Satrya jaya")</f>
        <v>Satrya jaya</v>
      </c>
      <c r="D365" s="99" t="str">
        <f>IFERROR(__xludf.DUMMYFUNCTION("""COMPUTED_VALUE"""),"082158024089")</f>
        <v>082158024089</v>
      </c>
      <c r="E365" s="25" t="str">
        <f>IFERROR(__xludf.DUMMYFUNCTION("""COMPUTED_VALUE"""),"Instagram")</f>
        <v>Instagram</v>
      </c>
      <c r="F365" s="25" t="str">
        <f>IFERROR(__xludf.DUMMYFUNCTION("""COMPUTED_VALUE"""),"Gagal")</f>
        <v>Gagal</v>
      </c>
      <c r="G365" s="25" t="str">
        <f>IFERROR(__xludf.DUMMYFUNCTION("""COMPUTED_VALUE"""),"OT MT")</f>
        <v>OT MT</v>
      </c>
      <c r="H365" s="92">
        <f>IFERROR(__xludf.DUMMYFUNCTION("""COMPUTED_VALUE"""),46158.0)</f>
        <v>46158</v>
      </c>
      <c r="I365" s="80">
        <f>IFERROR(__xludf.DUMMYFUNCTION("""COMPUTED_VALUE"""),3.0)</f>
        <v>3</v>
      </c>
      <c r="J365" s="54">
        <f>IFERROR(__xludf.DUMMYFUNCTION("""COMPUTED_VALUE"""),885000.0)</f>
        <v>885000</v>
      </c>
      <c r="K365" s="46" t="str">
        <f>IFERROR(__xludf.DUMMYFUNCTION("""COMPUTED_VALUE"""),"nunggu peserta lain, diinfo jika sudah ada")</f>
        <v>nunggu peserta lain, diinfo jika sudah ada</v>
      </c>
      <c r="L365" s="76"/>
      <c r="M365" s="20"/>
      <c r="N365" s="20"/>
      <c r="O365" s="20"/>
      <c r="P365" s="20"/>
    </row>
    <row r="366">
      <c r="A366" s="110">
        <f>IFERROR(__xludf.DUMMYFUNCTION("""COMPUTED_VALUE"""),46146.0)</f>
        <v>46146</v>
      </c>
      <c r="B366" s="110" t="str">
        <f>IFERROR(__xludf.DUMMYFUNCTION("""COMPUTED_VALUE"""),"2605A022")</f>
        <v>2605A022</v>
      </c>
      <c r="C366" s="49" t="str">
        <f>IFERROR(__xludf.DUMMYFUNCTION("""COMPUTED_VALUE"""),"Dwi")</f>
        <v>Dwi</v>
      </c>
      <c r="D366" s="102" t="str">
        <f>IFERROR(__xludf.DUMMYFUNCTION("""COMPUTED_VALUE"""),"081216886288")</f>
        <v>081216886288</v>
      </c>
      <c r="E366" s="25" t="str">
        <f>IFERROR(__xludf.DUMMYFUNCTION("""COMPUTED_VALUE"""),"Instagram")</f>
        <v>Instagram</v>
      </c>
      <c r="F366" s="25" t="str">
        <f>IFERROR(__xludf.DUMMYFUNCTION("""COMPUTED_VALUE"""),"Closing")</f>
        <v>Closing</v>
      </c>
      <c r="G366" s="25" t="str">
        <f>IFERROR(__xludf.DUMMYFUNCTION("""COMPUTED_VALUE"""),"OT MT")</f>
        <v>OT MT</v>
      </c>
      <c r="H366" s="78">
        <f>IFERROR(__xludf.DUMMYFUNCTION("""COMPUTED_VALUE"""),46192.0)</f>
        <v>46192</v>
      </c>
      <c r="I366" s="89">
        <f>IFERROR(__xludf.DUMMYFUNCTION("""COMPUTED_VALUE"""),2.0)</f>
        <v>2</v>
      </c>
      <c r="J366" s="96">
        <f>IFERROR(__xludf.DUMMYFUNCTION("""COMPUTED_VALUE"""),525000.0)</f>
        <v>525000</v>
      </c>
      <c r="K366" s="30" t="str">
        <f>IFERROR(__xludf.DUMMYFUNCTION("""COMPUTED_VALUE"""),"ORDERRR")</f>
        <v>ORDERRR</v>
      </c>
      <c r="L366" s="49"/>
      <c r="M366" s="20"/>
      <c r="N366" s="20"/>
      <c r="O366" s="20"/>
      <c r="P366" s="20"/>
    </row>
    <row r="367">
      <c r="A367" s="97">
        <f>IFERROR(__xludf.DUMMYFUNCTION("""COMPUTED_VALUE"""),46145.0)</f>
        <v>46145</v>
      </c>
      <c r="B367" s="97" t="str">
        <f>IFERROR(__xludf.DUMMYFUNCTION("""COMPUTED_VALUE"""),"2605A023")</f>
        <v>2605A023</v>
      </c>
      <c r="C367" s="76" t="str">
        <f>IFERROR(__xludf.DUMMYFUNCTION("""COMPUTED_VALUE"""),"Elia ")</f>
        <v>Elia </v>
      </c>
      <c r="D367" s="99" t="str">
        <f>IFERROR(__xludf.DUMMYFUNCTION("""COMPUTED_VALUE"""),"081389029614")</f>
        <v>081389029614</v>
      </c>
      <c r="E367" s="25" t="str">
        <f>IFERROR(__xludf.DUMMYFUNCTION("""COMPUTED_VALUE"""),"Instagram")</f>
        <v>Instagram</v>
      </c>
      <c r="F367" s="25" t="str">
        <f>IFERROR(__xludf.DUMMYFUNCTION("""COMPUTED_VALUE"""),"Closing")</f>
        <v>Closing</v>
      </c>
      <c r="G367" s="25" t="str">
        <f>IFERROR(__xludf.DUMMYFUNCTION("""COMPUTED_VALUE"""),"Djawatan baluran")</f>
        <v>Djawatan baluran</v>
      </c>
      <c r="H367" s="92">
        <f>IFERROR(__xludf.DUMMYFUNCTION("""COMPUTED_VALUE"""),46164.0)</f>
        <v>46164</v>
      </c>
      <c r="I367" s="80">
        <f>IFERROR(__xludf.DUMMYFUNCTION("""COMPUTED_VALUE"""),2.0)</f>
        <v>2</v>
      </c>
      <c r="J367" s="93">
        <f>IFERROR(__xludf.DUMMYFUNCTION("""COMPUTED_VALUE"""),1754000.0)</f>
        <v>1754000</v>
      </c>
      <c r="K367" s="19" t="str">
        <f>IFERROR(__xludf.DUMMYFUNCTION("""COMPUTED_VALUE"""),"alhamdulillah order")</f>
        <v>alhamdulillah order</v>
      </c>
      <c r="L367" s="76"/>
      <c r="M367" s="20"/>
      <c r="N367" s="20"/>
      <c r="O367" s="20"/>
      <c r="P367" s="20"/>
    </row>
    <row r="368">
      <c r="A368" s="110">
        <f>IFERROR(__xludf.DUMMYFUNCTION("""COMPUTED_VALUE"""),46145.0)</f>
        <v>46145</v>
      </c>
      <c r="B368" s="110" t="str">
        <f>IFERROR(__xludf.DUMMYFUNCTION("""COMPUTED_VALUE"""),"2605A024")</f>
        <v>2605A024</v>
      </c>
      <c r="C368" s="49" t="str">
        <f>IFERROR(__xludf.DUMMYFUNCTION("""COMPUTED_VALUE"""),"Adi")</f>
        <v>Adi</v>
      </c>
      <c r="D368" s="102" t="str">
        <f>IFERROR(__xludf.DUMMYFUNCTION("""COMPUTED_VALUE"""),"081234584744")</f>
        <v>081234584744</v>
      </c>
      <c r="E368" s="25" t="str">
        <f>IFERROR(__xludf.DUMMYFUNCTION("""COMPUTED_VALUE"""),"Instagram")</f>
        <v>Instagram</v>
      </c>
      <c r="F368" s="25" t="str">
        <f>IFERROR(__xludf.DUMMYFUNCTION("""COMPUTED_VALUE"""),"Qualified")</f>
        <v>Qualified</v>
      </c>
      <c r="G368" s="25" t="str">
        <f>IFERROR(__xludf.DUMMYFUNCTION("""COMPUTED_VALUE"""),"2h1m z")</f>
        <v>2h1m z</v>
      </c>
      <c r="H368" s="78"/>
      <c r="I368" s="89"/>
      <c r="J368" s="96">
        <f>IFERROR(__xludf.DUMMYFUNCTION("""COMPUTED_VALUE"""),2970000.0)</f>
        <v>2970000</v>
      </c>
      <c r="K368" s="36" t="str">
        <f>IFERROR(__xludf.DUMMYFUNCTION("""COMPUTED_VALUE"""),"masih dipertimbangkan. fu 4 juni")</f>
        <v>masih dipertimbangkan. fu 4 juni</v>
      </c>
      <c r="L368" s="49"/>
      <c r="M368" s="20"/>
      <c r="N368" s="20"/>
      <c r="O368" s="20"/>
      <c r="P368" s="20"/>
    </row>
    <row r="369">
      <c r="A369" s="97">
        <f>IFERROR(__xludf.DUMMYFUNCTION("""COMPUTED_VALUE"""),46145.0)</f>
        <v>46145</v>
      </c>
      <c r="B369" s="97" t="str">
        <f>IFERROR(__xludf.DUMMYFUNCTION("""COMPUTED_VALUE"""),"2605A025")</f>
        <v>2605A025</v>
      </c>
      <c r="C369" s="76" t="str">
        <f>IFERROR(__xludf.DUMMYFUNCTION("""COMPUTED_VALUE"""),"Dhana caesar")</f>
        <v>Dhana caesar</v>
      </c>
      <c r="D369" s="99" t="str">
        <f>IFERROR(__xludf.DUMMYFUNCTION("""COMPUTED_VALUE"""),"085669866741")</f>
        <v>085669866741</v>
      </c>
      <c r="E369" s="25" t="str">
        <f>IFERROR(__xludf.DUMMYFUNCTION("""COMPUTED_VALUE"""),"Instagram")</f>
        <v>Instagram</v>
      </c>
      <c r="F369" s="25" t="str">
        <f>IFERROR(__xludf.DUMMYFUNCTION("""COMPUTED_VALUE"""),"Gagal")</f>
        <v>Gagal</v>
      </c>
      <c r="G369" s="25" t="str">
        <f>IFERROR(__xludf.DUMMYFUNCTION("""COMPUTED_VALUE"""),"OTMT")</f>
        <v>OTMT</v>
      </c>
      <c r="H369" s="92">
        <f>IFERROR(__xludf.DUMMYFUNCTION("""COMPUTED_VALUE"""),46157.0)</f>
        <v>46157</v>
      </c>
      <c r="I369" s="80">
        <f>IFERROR(__xludf.DUMMYFUNCTION("""COMPUTED_VALUE"""),6.0)</f>
        <v>6</v>
      </c>
      <c r="J369" s="93">
        <f>IFERROR(__xludf.DUMMYFUNCTION("""COMPUTED_VALUE"""),1650000.0)</f>
        <v>1650000</v>
      </c>
      <c r="K369" s="46" t="str">
        <f>IFERROR(__xludf.DUMMYFUNCTION("""COMPUTED_VALUE"""),"tidak jadi ambil paketnya")</f>
        <v>tidak jadi ambil paketnya</v>
      </c>
      <c r="L369" s="76"/>
      <c r="M369" s="20"/>
      <c r="N369" s="20"/>
      <c r="O369" s="20"/>
      <c r="P369" s="20"/>
    </row>
    <row r="370">
      <c r="A370" s="110">
        <f>IFERROR(__xludf.DUMMYFUNCTION("""COMPUTED_VALUE"""),46146.0)</f>
        <v>46146</v>
      </c>
      <c r="B370" s="110" t="str">
        <f>IFERROR(__xludf.DUMMYFUNCTION("""COMPUTED_VALUE"""),"2605A026")</f>
        <v>2605A026</v>
      </c>
      <c r="C370" s="49" t="str">
        <f>IFERROR(__xludf.DUMMYFUNCTION("""COMPUTED_VALUE"""),"Ezra")</f>
        <v>Ezra</v>
      </c>
      <c r="D370" s="102" t="str">
        <f>IFERROR(__xludf.DUMMYFUNCTION("""COMPUTED_VALUE"""),"0881080202667")</f>
        <v>0881080202667</v>
      </c>
      <c r="E370" s="25" t="str">
        <f>IFERROR(__xludf.DUMMYFUNCTION("""COMPUTED_VALUE"""),"Instagram")</f>
        <v>Instagram</v>
      </c>
      <c r="F370" s="25" t="str">
        <f>IFERROR(__xludf.DUMMYFUNCTION("""COMPUTED_VALUE"""),"Gagal")</f>
        <v>Gagal</v>
      </c>
      <c r="G370" s="25" t="str">
        <f>IFERROR(__xludf.DUMMYFUNCTION("""COMPUTED_VALUE"""),"D, B")</f>
        <v>D, B</v>
      </c>
      <c r="H370" s="78"/>
      <c r="I370" s="89"/>
      <c r="J370" s="96"/>
      <c r="K370" s="36" t="str">
        <f>IFERROR(__xludf.DUMMYFUNCTION("""COMPUTED_VALUE"""),"tdk ada jawaban")</f>
        <v>tdk ada jawaban</v>
      </c>
      <c r="L370" s="49"/>
      <c r="M370" s="20"/>
      <c r="N370" s="20"/>
      <c r="O370" s="20"/>
      <c r="P370" s="20"/>
    </row>
    <row r="371">
      <c r="A371" s="97">
        <f>IFERROR(__xludf.DUMMYFUNCTION("""COMPUTED_VALUE"""),46146.0)</f>
        <v>46146</v>
      </c>
      <c r="B371" s="97" t="str">
        <f>IFERROR(__xludf.DUMMYFUNCTION("""COMPUTED_VALUE"""),"2605A027")</f>
        <v>2605A027</v>
      </c>
      <c r="C371" s="76" t="str">
        <f>IFERROR(__xludf.DUMMYFUNCTION("""COMPUTED_VALUE"""),"Nuraini")</f>
        <v>Nuraini</v>
      </c>
      <c r="D371" s="76" t="str">
        <f>IFERROR(__xludf.DUMMYFUNCTION("""COMPUTED_VALUE"""),"083893689355")</f>
        <v>083893689355</v>
      </c>
      <c r="E371" s="25" t="str">
        <f>IFERROR(__xludf.DUMMYFUNCTION("""COMPUTED_VALUE"""),"Lainnya")</f>
        <v>Lainnya</v>
      </c>
      <c r="F371" s="25" t="str">
        <f>IFERROR(__xludf.DUMMYFUNCTION("""COMPUTED_VALUE"""),"Qualified")</f>
        <v>Qualified</v>
      </c>
      <c r="G371" s="25" t="str">
        <f>IFERROR(__xludf.DUMMYFUNCTION("""COMPUTED_VALUE"""),"OTMT")</f>
        <v>OTMT</v>
      </c>
      <c r="H371" s="92">
        <f>IFERROR(__xludf.DUMMYFUNCTION("""COMPUTED_VALUE"""),46158.0)</f>
        <v>46158</v>
      </c>
      <c r="I371" s="80">
        <f>IFERROR(__xludf.DUMMYFUNCTION("""COMPUTED_VALUE"""),2.0)</f>
        <v>2</v>
      </c>
      <c r="J371" s="93">
        <f>IFERROR(__xludf.DUMMYFUNCTION("""COMPUTED_VALUE"""),590000.0)</f>
        <v>590000</v>
      </c>
      <c r="K371" s="19" t="str">
        <f>IFERROR(__xludf.DUMMYFUNCTION("""COMPUTED_VALUE"""),"blm balas lagi")</f>
        <v>blm balas lagi</v>
      </c>
      <c r="L371" s="130"/>
      <c r="M371" s="20"/>
      <c r="N371" s="20"/>
      <c r="O371" s="20"/>
      <c r="P371" s="20"/>
    </row>
    <row r="372">
      <c r="A372" s="110">
        <f>IFERROR(__xludf.DUMMYFUNCTION("""COMPUTED_VALUE"""),46147.0)</f>
        <v>46147</v>
      </c>
      <c r="B372" s="110" t="str">
        <f>IFERROR(__xludf.DUMMYFUNCTION("""COMPUTED_VALUE"""),"2605A028")</f>
        <v>2605A028</v>
      </c>
      <c r="C372" s="49" t="str">
        <f>IFERROR(__xludf.DUMMYFUNCTION("""COMPUTED_VALUE"""),"Edward Esling")</f>
        <v>Edward Esling</v>
      </c>
      <c r="D372" s="102" t="str">
        <f>IFERROR(__xludf.DUMMYFUNCTION("""COMPUTED_VALUE"""),"447860207309")</f>
        <v>447860207309</v>
      </c>
      <c r="E372" s="25" t="str">
        <f>IFERROR(__xludf.DUMMYFUNCTION("""COMPUTED_VALUE"""),"Lainnya")</f>
        <v>Lainnya</v>
      </c>
      <c r="F372" s="25" t="str">
        <f>IFERROR(__xludf.DUMMYFUNCTION("""COMPUTED_VALUE"""),"Closing")</f>
        <v>Closing</v>
      </c>
      <c r="G372" s="25" t="str">
        <f>IFERROR(__xludf.DUMMYFUNCTION("""COMPUTED_VALUE"""),"ijen")</f>
        <v>ijen</v>
      </c>
      <c r="H372" s="78">
        <f>IFERROR(__xludf.DUMMYFUNCTION("""COMPUTED_VALUE"""),46148.0)</f>
        <v>46148</v>
      </c>
      <c r="I372" s="89">
        <f>IFERROR(__xludf.DUMMYFUNCTION("""COMPUTED_VALUE"""),2.0)</f>
        <v>2</v>
      </c>
      <c r="J372" s="33">
        <f>IFERROR(__xludf.DUMMYFUNCTION("""COMPUTED_VALUE"""),1700000.0)</f>
        <v>1700000</v>
      </c>
      <c r="K372" s="30" t="str">
        <f>IFERROR(__xludf.DUMMYFUNCTION("""COMPUTED_VALUE"""),"ALHAMDULILLAH ORDER")</f>
        <v>ALHAMDULILLAH ORDER</v>
      </c>
      <c r="L372" s="49"/>
      <c r="M372" s="20"/>
      <c r="N372" s="20"/>
      <c r="O372" s="20"/>
      <c r="P372" s="20"/>
    </row>
    <row r="373">
      <c r="A373" s="97">
        <f>IFERROR(__xludf.DUMMYFUNCTION("""COMPUTED_VALUE"""),46147.0)</f>
        <v>46147</v>
      </c>
      <c r="B373" s="97" t="str">
        <f>IFERROR(__xludf.DUMMYFUNCTION("""COMPUTED_VALUE"""),"2605A029")</f>
        <v>2605A029</v>
      </c>
      <c r="C373" s="76" t="str">
        <f>IFERROR(__xludf.DUMMYFUNCTION("""COMPUTED_VALUE"""),"JE")</f>
        <v>JE</v>
      </c>
      <c r="D373" s="99" t="str">
        <f>IFERROR(__xludf.DUMMYFUNCTION("""COMPUTED_VALUE"""),"08993838705")</f>
        <v>08993838705</v>
      </c>
      <c r="E373" s="25" t="str">
        <f>IFERROR(__xludf.DUMMYFUNCTION("""COMPUTED_VALUE"""),"Instagram")</f>
        <v>Instagram</v>
      </c>
      <c r="F373" s="25" t="str">
        <f>IFERROR(__xludf.DUMMYFUNCTION("""COMPUTED_VALUE"""),"Closing")</f>
        <v>Closing</v>
      </c>
      <c r="G373" s="25"/>
      <c r="H373" s="92"/>
      <c r="I373" s="80">
        <f>IFERROR(__xludf.DUMMYFUNCTION("""COMPUTED_VALUE"""),22.0)</f>
        <v>22</v>
      </c>
      <c r="J373" s="93"/>
      <c r="K373" s="19" t="str">
        <f>IFERROR(__xludf.DUMMYFUNCTION("""COMPUTED_VALUE"""),"alhamdulillah closing")</f>
        <v>alhamdulillah closing</v>
      </c>
      <c r="L373" s="76"/>
      <c r="M373" s="20"/>
      <c r="N373" s="20"/>
      <c r="O373" s="20"/>
      <c r="P373" s="20"/>
    </row>
    <row r="374">
      <c r="A374" s="110">
        <f>IFERROR(__xludf.DUMMYFUNCTION("""COMPUTED_VALUE"""),46147.0)</f>
        <v>46147</v>
      </c>
      <c r="B374" s="110" t="str">
        <f>IFERROR(__xludf.DUMMYFUNCTION("""COMPUTED_VALUE"""),"2605A030")</f>
        <v>2605A030</v>
      </c>
      <c r="C374" s="49" t="str">
        <f>IFERROR(__xludf.DUMMYFUNCTION("""COMPUTED_VALUE"""),"Ery Hikmawati")</f>
        <v>Ery Hikmawati</v>
      </c>
      <c r="D374" s="102" t="str">
        <f>IFERROR(__xludf.DUMMYFUNCTION("""COMPUTED_VALUE"""),"085285143243")</f>
        <v>085285143243</v>
      </c>
      <c r="E374" s="25" t="str">
        <f>IFERROR(__xludf.DUMMYFUNCTION("""COMPUTED_VALUE"""),"Lainnya")</f>
        <v>Lainnya</v>
      </c>
      <c r="F374" s="25" t="str">
        <f>IFERROR(__xludf.DUMMYFUNCTION("""COMPUTED_VALUE"""),"Qualified")</f>
        <v>Qualified</v>
      </c>
      <c r="G374" s="25" t="str">
        <f>IFERROR(__xludf.DUMMYFUNCTION("""COMPUTED_VALUE"""),"ot 3h2m")</f>
        <v>ot 3h2m</v>
      </c>
      <c r="H374" s="78"/>
      <c r="I374" s="89">
        <f>IFERROR(__xludf.DUMMYFUNCTION("""COMPUTED_VALUE"""),4.0)</f>
        <v>4</v>
      </c>
      <c r="J374" s="96">
        <f>IFERROR(__xludf.DUMMYFUNCTION("""COMPUTED_VALUE"""),6400000.0)</f>
        <v>6400000</v>
      </c>
      <c r="K374" s="30" t="str">
        <f>IFERROR(__xludf.DUMMYFUNCTION("""COMPUTED_VALUE"""),"kasi tau travel sby-bwi. fu 4 juli")</f>
        <v>kasi tau travel sby-bwi. fu 4 juli</v>
      </c>
      <c r="L374" s="49"/>
      <c r="M374" s="20"/>
      <c r="N374" s="20"/>
      <c r="O374" s="20"/>
      <c r="P374" s="20"/>
    </row>
    <row r="375">
      <c r="A375" s="97">
        <f>IFERROR(__xludf.DUMMYFUNCTION("""COMPUTED_VALUE"""),46148.0)</f>
        <v>46148</v>
      </c>
      <c r="B375" s="97" t="str">
        <f>IFERROR(__xludf.DUMMYFUNCTION("""COMPUTED_VALUE"""),"2605A031")</f>
        <v>2605A031</v>
      </c>
      <c r="C375" s="76" t="str">
        <f>IFERROR(__xludf.DUMMYFUNCTION("""COMPUTED_VALUE"""),"Natasya Aulia Izzati R")</f>
        <v>Natasya Aulia Izzati R</v>
      </c>
      <c r="D375" s="99" t="str">
        <f>IFERROR(__xludf.DUMMYFUNCTION("""COMPUTED_VALUE"""),"0895395178369")</f>
        <v>0895395178369</v>
      </c>
      <c r="E375" s="25" t="str">
        <f>IFERROR(__xludf.DUMMYFUNCTION("""COMPUTED_VALUE"""),"Instagram")</f>
        <v>Instagram</v>
      </c>
      <c r="F375" s="25" t="str">
        <f>IFERROR(__xludf.DUMMYFUNCTION("""COMPUTED_VALUE"""),"Gagal")</f>
        <v>Gagal</v>
      </c>
      <c r="G375" s="25" t="str">
        <f>IFERROR(__xludf.DUMMYFUNCTION("""COMPUTED_VALUE"""),"menjangan tabuhan")</f>
        <v>menjangan tabuhan</v>
      </c>
      <c r="H375" s="92">
        <f>IFERROR(__xludf.DUMMYFUNCTION("""COMPUTED_VALUE"""),46157.0)</f>
        <v>46157</v>
      </c>
      <c r="I375" s="80">
        <f>IFERROR(__xludf.DUMMYFUNCTION("""COMPUTED_VALUE"""),4.0)</f>
        <v>4</v>
      </c>
      <c r="J375" s="93">
        <f>IFERROR(__xludf.DUMMYFUNCTION("""COMPUTED_VALUE"""),2000000.0)</f>
        <v>2000000</v>
      </c>
      <c r="K375" s="46" t="str">
        <f>IFERROR(__xludf.DUMMYFUNCTION("""COMPUTED_VALUE"""),"FULLBOOKED")</f>
        <v>FULLBOOKED</v>
      </c>
      <c r="L375" s="76"/>
      <c r="M375" s="20"/>
      <c r="N375" s="20"/>
      <c r="O375" s="20"/>
      <c r="P375" s="20"/>
    </row>
    <row r="376">
      <c r="A376" s="97">
        <f>IFERROR(__xludf.DUMMYFUNCTION("""COMPUTED_VALUE"""),46149.0)</f>
        <v>46149</v>
      </c>
      <c r="B376" s="97" t="str">
        <f>IFERROR(__xludf.DUMMYFUNCTION("""COMPUTED_VALUE"""),"2605A032")</f>
        <v>2605A032</v>
      </c>
      <c r="C376" s="76" t="str">
        <f>IFERROR(__xludf.DUMMYFUNCTION("""COMPUTED_VALUE"""),"Kak Ayu PT Lombok Traveling Tours")</f>
        <v>Kak Ayu PT Lombok Traveling Tours</v>
      </c>
      <c r="D376" s="99" t="str">
        <f>IFERROR(__xludf.DUMMYFUNCTION("""COMPUTED_VALUE"""),"082236869216")</f>
        <v>082236869216</v>
      </c>
      <c r="E376" s="25" t="str">
        <f>IFERROR(__xludf.DUMMYFUNCTION("""COMPUTED_VALUE"""),"Website")</f>
        <v>Website</v>
      </c>
      <c r="F376" s="25" t="str">
        <f>IFERROR(__xludf.DUMMYFUNCTION("""COMPUTED_VALUE"""),"Qualified")</f>
        <v>Qualified</v>
      </c>
      <c r="G376" s="25" t="str">
        <f>IFERROR(__xludf.DUMMYFUNCTION("""COMPUTED_VALUE"""),"4h3m")</f>
        <v>4h3m</v>
      </c>
      <c r="H376" s="92"/>
      <c r="I376" s="80">
        <f>IFERROR(__xludf.DUMMYFUNCTION("""COMPUTED_VALUE"""),55.0)</f>
        <v>55</v>
      </c>
      <c r="J376" s="93">
        <f>IFERROR(__xludf.DUMMYFUNCTION("""COMPUTED_VALUE"""),2.7775E8)</f>
        <v>277750000</v>
      </c>
      <c r="K376" s="46" t="str">
        <f>IFERROR(__xludf.DUMMYFUNCTION("""COMPUTED_VALUE"""),"fu 14 mei")</f>
        <v>fu 14 mei</v>
      </c>
      <c r="L376" s="76"/>
      <c r="M376" s="20"/>
      <c r="N376" s="20"/>
      <c r="O376" s="20"/>
      <c r="P376" s="20"/>
    </row>
    <row r="377">
      <c r="A377" s="110">
        <f>IFERROR(__xludf.DUMMYFUNCTION("""COMPUTED_VALUE"""),46147.0)</f>
        <v>46147</v>
      </c>
      <c r="B377" s="110" t="str">
        <f>IFERROR(__xludf.DUMMYFUNCTION("""COMPUTED_VALUE"""),"2605A033")</f>
        <v>2605A033</v>
      </c>
      <c r="C377" s="49" t="str">
        <f>IFERROR(__xludf.DUMMYFUNCTION("""COMPUTED_VALUE"""),"Bella Al Azis")</f>
        <v>Bella Al Azis</v>
      </c>
      <c r="D377" s="102" t="str">
        <f>IFERROR(__xludf.DUMMYFUNCTION("""COMPUTED_VALUE"""),"081391601261")</f>
        <v>081391601261</v>
      </c>
      <c r="E377" s="25" t="str">
        <f>IFERROR(__xludf.DUMMYFUNCTION("""COMPUTED_VALUE"""),"Instagram")</f>
        <v>Instagram</v>
      </c>
      <c r="F377" s="25" t="str">
        <f>IFERROR(__xludf.DUMMYFUNCTION("""COMPUTED_VALUE"""),"Gagal")</f>
        <v>Gagal</v>
      </c>
      <c r="G377" s="25" t="str">
        <f>IFERROR(__xludf.DUMMYFUNCTION("""COMPUTED_VALUE"""),"ot djabal")</f>
        <v>ot djabal</v>
      </c>
      <c r="H377" s="92">
        <f>IFERROR(__xludf.DUMMYFUNCTION("""COMPUTED_VALUE"""),46159.0)</f>
        <v>46159</v>
      </c>
      <c r="I377" s="89">
        <f>IFERROR(__xludf.DUMMYFUNCTION("""COMPUTED_VALUE"""),2.0)</f>
        <v>2</v>
      </c>
      <c r="J377" s="96">
        <f>IFERROR(__xludf.DUMMYFUNCTION("""COMPUTED_VALUE"""),1100000.0)</f>
        <v>1100000</v>
      </c>
      <c r="K377" s="36" t="str">
        <f>IFERROR(__xludf.DUMMYFUNCTION("""COMPUTED_VALUE"""),"tidak menyebutkan alasan tidak jadi ")</f>
        <v>tidak menyebutkan alasan tidak jadi </v>
      </c>
      <c r="L377" s="76"/>
      <c r="M377" s="20"/>
      <c r="N377" s="20"/>
      <c r="O377" s="20"/>
      <c r="P377" s="20"/>
    </row>
    <row r="378">
      <c r="A378" s="97">
        <f>IFERROR(__xludf.DUMMYFUNCTION("""COMPUTED_VALUE"""),46150.0)</f>
        <v>46150</v>
      </c>
      <c r="B378" s="97" t="str">
        <f>IFERROR(__xludf.DUMMYFUNCTION("""COMPUTED_VALUE"""),"2605A034")</f>
        <v>2605A034</v>
      </c>
      <c r="C378" s="76" t="str">
        <f>IFERROR(__xludf.DUMMYFUNCTION("""COMPUTED_VALUE"""),"Itinn")</f>
        <v>Itinn</v>
      </c>
      <c r="D378" s="99" t="str">
        <f>IFERROR(__xludf.DUMMYFUNCTION("""COMPUTED_VALUE"""),"081318848401")</f>
        <v>081318848401</v>
      </c>
      <c r="E378" s="25" t="str">
        <f>IFERROR(__xludf.DUMMYFUNCTION("""COMPUTED_VALUE"""),"Instagram")</f>
        <v>Instagram</v>
      </c>
      <c r="F378" s="25" t="str">
        <f>IFERROR(__xludf.DUMMYFUNCTION("""COMPUTED_VALUE"""),"Closing")</f>
        <v>Closing</v>
      </c>
      <c r="G378" s="25" t="str">
        <f>IFERROR(__xludf.DUMMYFUNCTION("""COMPUTED_VALUE"""),"3H2M opsi A")</f>
        <v>3H2M opsi A</v>
      </c>
      <c r="H378" s="92">
        <f>IFERROR(__xludf.DUMMYFUNCTION("""COMPUTED_VALUE"""),46168.0)</f>
        <v>46168</v>
      </c>
      <c r="I378" s="17">
        <f>IFERROR(__xludf.DUMMYFUNCTION("""COMPUTED_VALUE"""),2.0)</f>
        <v>2</v>
      </c>
      <c r="J378" s="54">
        <f>IFERROR(__xludf.DUMMYFUNCTION("""COMPUTED_VALUE"""),6128000.0)</f>
        <v>6128000</v>
      </c>
      <c r="K378" s="19" t="str">
        <f>IFERROR(__xludf.DUMMYFUNCTION("""COMPUTED_VALUE"""),"Alhamdulillah order")</f>
        <v>Alhamdulillah order</v>
      </c>
      <c r="L378" s="76"/>
      <c r="M378" s="20"/>
      <c r="N378" s="20"/>
      <c r="O378" s="20"/>
      <c r="P378" s="20"/>
    </row>
    <row r="379">
      <c r="A379" s="110">
        <f>IFERROR(__xludf.DUMMYFUNCTION("""COMPUTED_VALUE"""),46147.0)</f>
        <v>46147</v>
      </c>
      <c r="B379" s="110" t="str">
        <f>IFERROR(__xludf.DUMMYFUNCTION("""COMPUTED_VALUE"""),"2605A035")</f>
        <v>2605A035</v>
      </c>
      <c r="C379" s="49" t="str">
        <f>IFERROR(__xludf.DUMMYFUNCTION("""COMPUTED_VALUE"""),"Veny")</f>
        <v>Veny</v>
      </c>
      <c r="D379" s="102" t="str">
        <f>IFERROR(__xludf.DUMMYFUNCTION("""COMPUTED_VALUE"""),"081384777185")</f>
        <v>081384777185</v>
      </c>
      <c r="E379" s="25" t="str">
        <f>IFERROR(__xludf.DUMMYFUNCTION("""COMPUTED_VALUE"""),"Instagram")</f>
        <v>Instagram</v>
      </c>
      <c r="F379" s="25" t="str">
        <f>IFERROR(__xludf.DUMMYFUNCTION("""COMPUTED_VALUE"""),"Prospek")</f>
        <v>Prospek</v>
      </c>
      <c r="G379" s="25" t="str">
        <f>IFERROR(__xludf.DUMMYFUNCTION("""COMPUTED_VALUE"""),"2H1M")</f>
        <v>2H1M</v>
      </c>
      <c r="H379" s="78"/>
      <c r="I379" s="89">
        <f>IFERROR(__xludf.DUMMYFUNCTION("""COMPUTED_VALUE"""),4.0)</f>
        <v>4</v>
      </c>
      <c r="J379" s="96">
        <f>IFERROR(__xludf.DUMMYFUNCTION("""COMPUTED_VALUE"""),4000000.0)</f>
        <v>4000000</v>
      </c>
      <c r="K379" s="36" t="str">
        <f>IFERROR(__xludf.DUMMYFUNCTION("""COMPUTED_VALUE"""),"fu 15 mei")</f>
        <v>fu 15 mei</v>
      </c>
      <c r="L379" s="49"/>
      <c r="M379" s="20"/>
      <c r="N379" s="20"/>
      <c r="O379" s="20"/>
      <c r="P379" s="20"/>
    </row>
    <row r="380">
      <c r="A380" s="97">
        <f>IFERROR(__xludf.DUMMYFUNCTION("""COMPUTED_VALUE"""),46148.0)</f>
        <v>46148</v>
      </c>
      <c r="B380" s="97" t="str">
        <f>IFERROR(__xludf.DUMMYFUNCTION("""COMPUTED_VALUE"""),"2605A036")</f>
        <v>2605A036</v>
      </c>
      <c r="C380" s="76" t="str">
        <f>IFERROR(__xludf.DUMMYFUNCTION("""COMPUTED_VALUE"""),"Prasti PNP")</f>
        <v>Prasti PNP</v>
      </c>
      <c r="D380" s="99" t="str">
        <f>IFERROR(__xludf.DUMMYFUNCTION("""COMPUTED_VALUE"""),"08119855855")</f>
        <v>08119855855</v>
      </c>
      <c r="E380" s="25" t="str">
        <f>IFERROR(__xludf.DUMMYFUNCTION("""COMPUTED_VALUE"""),"Lainnya")</f>
        <v>Lainnya</v>
      </c>
      <c r="F380" s="25" t="str">
        <f>IFERROR(__xludf.DUMMYFUNCTION("""COMPUTED_VALUE"""),"Closing")</f>
        <v>Closing</v>
      </c>
      <c r="G380" s="25" t="str">
        <f>IFERROR(__xludf.DUMMYFUNCTION("""COMPUTED_VALUE"""),"ot mt")</f>
        <v>ot mt</v>
      </c>
      <c r="H380" s="16"/>
      <c r="I380" s="17">
        <f>IFERROR(__xludf.DUMMYFUNCTION("""COMPUTED_VALUE"""),3.0)</f>
        <v>3</v>
      </c>
      <c r="J380" s="54"/>
      <c r="K380" s="46" t="str">
        <f>IFERROR(__xludf.DUMMYFUNCTION("""COMPUTED_VALUE"""),"alhamdulillah")</f>
        <v>alhamdulillah</v>
      </c>
      <c r="L380" s="10"/>
      <c r="M380" s="20"/>
      <c r="N380" s="20"/>
      <c r="O380" s="20"/>
      <c r="P380" s="20"/>
    </row>
    <row r="381">
      <c r="A381" s="110">
        <f>IFERROR(__xludf.DUMMYFUNCTION("""COMPUTED_VALUE"""),46148.0)</f>
        <v>46148</v>
      </c>
      <c r="B381" s="110" t="str">
        <f>IFERROR(__xludf.DUMMYFUNCTION("""COMPUTED_VALUE"""),"2605A037")</f>
        <v>2605A037</v>
      </c>
      <c r="C381" s="49" t="str">
        <f>IFERROR(__xludf.DUMMYFUNCTION("""COMPUTED_VALUE"""),"nasyab")</f>
        <v>nasyab</v>
      </c>
      <c r="D381" s="102" t="str">
        <f>IFERROR(__xludf.DUMMYFUNCTION("""COMPUTED_VALUE"""),"0882009584159")</f>
        <v>0882009584159</v>
      </c>
      <c r="E381" s="25" t="str">
        <f>IFERROR(__xludf.DUMMYFUNCTION("""COMPUTED_VALUE"""),"Lainnya")</f>
        <v>Lainnya</v>
      </c>
      <c r="F381" s="25" t="str">
        <f>IFERROR(__xludf.DUMMYFUNCTION("""COMPUTED_VALUE"""),"Gagal")</f>
        <v>Gagal</v>
      </c>
      <c r="G381" s="25" t="str">
        <f>IFERROR(__xludf.DUMMYFUNCTION("""COMPUTED_VALUE"""),"green island")</f>
        <v>green island</v>
      </c>
      <c r="H381" s="78"/>
      <c r="I381" s="27">
        <f>IFERROR(__xludf.DUMMYFUNCTION("""COMPUTED_VALUE"""),5.0)</f>
        <v>5</v>
      </c>
      <c r="J381" s="96">
        <f>IFERROR(__xludf.DUMMYFUNCTION("""COMPUTED_VALUE"""),2650000.0)</f>
        <v>2650000</v>
      </c>
      <c r="K381" s="30" t="str">
        <f>IFERROR(__xludf.DUMMYFUNCTION("""COMPUTED_VALUE"""),"gada balasan")</f>
        <v>gada balasan</v>
      </c>
      <c r="L381" s="49"/>
      <c r="M381" s="20"/>
      <c r="N381" s="20"/>
      <c r="O381" s="20"/>
      <c r="P381" s="20"/>
    </row>
    <row r="382">
      <c r="A382" s="97">
        <f>IFERROR(__xludf.DUMMYFUNCTION("""COMPUTED_VALUE"""),46147.0)</f>
        <v>46147</v>
      </c>
      <c r="B382" s="97" t="str">
        <f>IFERROR(__xludf.DUMMYFUNCTION("""COMPUTED_VALUE"""),"2605A038")</f>
        <v>2605A038</v>
      </c>
      <c r="C382" s="76"/>
      <c r="D382" s="99" t="str">
        <f>IFERROR(__xludf.DUMMYFUNCTION("""COMPUTED_VALUE"""),"085184659081")</f>
        <v>085184659081</v>
      </c>
      <c r="E382" s="25" t="str">
        <f>IFERROR(__xludf.DUMMYFUNCTION("""COMPUTED_VALUE"""),"Instagram")</f>
        <v>Instagram</v>
      </c>
      <c r="F382" s="25" t="str">
        <f>IFERROR(__xludf.DUMMYFUNCTION("""COMPUTED_VALUE"""),"Gagal")</f>
        <v>Gagal</v>
      </c>
      <c r="G382" s="25" t="str">
        <f>IFERROR(__xludf.DUMMYFUNCTION("""COMPUTED_VALUE"""),"ot djabal")</f>
        <v>ot djabal</v>
      </c>
      <c r="H382" s="92">
        <f>IFERROR(__xludf.DUMMYFUNCTION("""COMPUTED_VALUE"""),46157.0)</f>
        <v>46157</v>
      </c>
      <c r="I382" s="80"/>
      <c r="J382" s="93"/>
      <c r="K382" s="19" t="str">
        <f>IFERROR(__xludf.DUMMYFUNCTION("""COMPUTED_VALUE"""),"FULLBOOKED")</f>
        <v>FULLBOOKED</v>
      </c>
      <c r="L382" s="76"/>
      <c r="M382" s="20"/>
      <c r="N382" s="20"/>
      <c r="O382" s="20"/>
      <c r="P382" s="20"/>
    </row>
    <row r="383">
      <c r="A383" s="110">
        <f>IFERROR(__xludf.DUMMYFUNCTION("""COMPUTED_VALUE"""),46148.0)</f>
        <v>46148</v>
      </c>
      <c r="B383" s="110" t="str">
        <f>IFERROR(__xludf.DUMMYFUNCTION("""COMPUTED_VALUE"""),"2605A039")</f>
        <v>2605A039</v>
      </c>
      <c r="C383" s="49" t="str">
        <f>IFERROR(__xludf.DUMMYFUNCTION("""COMPUTED_VALUE"""),"FADHIL")</f>
        <v>FADHIL</v>
      </c>
      <c r="D383" s="102" t="str">
        <f>IFERROR(__xludf.DUMMYFUNCTION("""COMPUTED_VALUE"""),"081229036282")</f>
        <v>081229036282</v>
      </c>
      <c r="E383" s="25" t="str">
        <f>IFERROR(__xludf.DUMMYFUNCTION("""COMPUTED_VALUE"""),"Lainnya")</f>
        <v>Lainnya</v>
      </c>
      <c r="F383" s="25" t="str">
        <f>IFERROR(__xludf.DUMMYFUNCTION("""COMPUTED_VALUE"""),"Gagal")</f>
        <v>Gagal</v>
      </c>
      <c r="G383" s="25" t="str">
        <f>IFERROR(__xludf.DUMMYFUNCTION("""COMPUTED_VALUE"""),"snoekling")</f>
        <v>snoekling</v>
      </c>
      <c r="H383" s="78">
        <f>IFERROR(__xludf.DUMMYFUNCTION("""COMPUTED_VALUE"""),46151.0)</f>
        <v>46151</v>
      </c>
      <c r="I383" s="89">
        <f>IFERROR(__xludf.DUMMYFUNCTION("""COMPUTED_VALUE"""),2.0)</f>
        <v>2</v>
      </c>
      <c r="J383" s="96"/>
      <c r="K383" s="30" t="str">
        <f>IFERROR(__xludf.DUMMYFUNCTION("""COMPUTED_VALUE"""),"gada jawaban. gagal")</f>
        <v>gada jawaban. gagal</v>
      </c>
      <c r="L383" s="49"/>
      <c r="M383" s="20"/>
      <c r="N383" s="20"/>
      <c r="O383" s="20"/>
      <c r="P383" s="20"/>
    </row>
    <row r="384">
      <c r="A384" s="97">
        <f>IFERROR(__xludf.DUMMYFUNCTION("""COMPUTED_VALUE"""),46147.0)</f>
        <v>46147</v>
      </c>
      <c r="B384" s="97" t="str">
        <f>IFERROR(__xludf.DUMMYFUNCTION("""COMPUTED_VALUE"""),"2605A040")</f>
        <v>2605A040</v>
      </c>
      <c r="C384" s="76" t="str">
        <f>IFERROR(__xludf.DUMMYFUNCTION("""COMPUTED_VALUE"""),"Sarah")</f>
        <v>Sarah</v>
      </c>
      <c r="D384" s="99" t="str">
        <f>IFERROR(__xludf.DUMMYFUNCTION("""COMPUTED_VALUE"""),"08988700324")</f>
        <v>08988700324</v>
      </c>
      <c r="E384" s="25" t="str">
        <f>IFERROR(__xludf.DUMMYFUNCTION("""COMPUTED_VALUE"""),"Lainnya")</f>
        <v>Lainnya</v>
      </c>
      <c r="F384" s="25" t="str">
        <f>IFERROR(__xludf.DUMMYFUNCTION("""COMPUTED_VALUE"""),"Qualified")</f>
        <v>Qualified</v>
      </c>
      <c r="G384" s="25" t="str">
        <f>IFERROR(__xludf.DUMMYFUNCTION("""COMPUTED_VALUE"""),"Open trip")</f>
        <v>Open trip</v>
      </c>
      <c r="H384" s="92"/>
      <c r="I384" s="80">
        <f>IFERROR(__xludf.DUMMYFUNCTION("""COMPUTED_VALUE"""),2.0)</f>
        <v>2</v>
      </c>
      <c r="J384" s="93"/>
      <c r="K384" s="46" t="str">
        <f>IFERROR(__xludf.DUMMYFUNCTION("""COMPUTED_VALUE"""),"fu 2 agustus")</f>
        <v>fu 2 agustus</v>
      </c>
      <c r="L384" s="76"/>
      <c r="M384" s="20"/>
      <c r="N384" s="20"/>
      <c r="O384" s="20"/>
      <c r="P384" s="20"/>
    </row>
    <row r="385">
      <c r="A385" s="110">
        <f>IFERROR(__xludf.DUMMYFUNCTION("""COMPUTED_VALUE"""),46149.0)</f>
        <v>46149</v>
      </c>
      <c r="B385" s="110" t="str">
        <f>IFERROR(__xludf.DUMMYFUNCTION("""COMPUTED_VALUE"""),"2605A041")</f>
        <v>2605A041</v>
      </c>
      <c r="C385" s="49" t="str">
        <f>IFERROR(__xludf.DUMMYFUNCTION("""COMPUTED_VALUE"""),"Anabel")</f>
        <v>Anabel</v>
      </c>
      <c r="D385" s="102" t="str">
        <f>IFERROR(__xludf.DUMMYFUNCTION("""COMPUTED_VALUE"""),"08112121232")</f>
        <v>08112121232</v>
      </c>
      <c r="E385" s="25" t="str">
        <f>IFERROR(__xludf.DUMMYFUNCTION("""COMPUTED_VALUE"""),"Lainnya")</f>
        <v>Lainnya</v>
      </c>
      <c r="F385" s="25" t="str">
        <f>IFERROR(__xludf.DUMMYFUNCTION("""COMPUTED_VALUE"""),"Qualified")</f>
        <v>Qualified</v>
      </c>
      <c r="G385" s="25" t="str">
        <f>IFERROR(__xludf.DUMMYFUNCTION("""COMPUTED_VALUE"""),"1d djawatan green island")</f>
        <v>1d djawatan green island</v>
      </c>
      <c r="H385" s="78">
        <f>IFERROR(__xludf.DUMMYFUNCTION("""COMPUTED_VALUE"""),46186.0)</f>
        <v>46186</v>
      </c>
      <c r="I385" s="27">
        <f>IFERROR(__xludf.DUMMYFUNCTION("""COMPUTED_VALUE"""),4.0)</f>
        <v>4</v>
      </c>
      <c r="J385" s="96">
        <f>IFERROR(__xludf.DUMMYFUNCTION("""COMPUTED_VALUE"""),2300000.0)</f>
        <v>2300000</v>
      </c>
      <c r="K385" s="30" t="str">
        <f>IFERROR(__xludf.DUMMYFUNCTION("""COMPUTED_VALUE"""),"fu 28 mei")</f>
        <v>fu 28 mei</v>
      </c>
      <c r="L385" s="76"/>
      <c r="M385" s="20"/>
      <c r="N385" s="20"/>
      <c r="O385" s="20"/>
      <c r="P385" s="20"/>
    </row>
    <row r="386">
      <c r="A386" s="97">
        <f>IFERROR(__xludf.DUMMYFUNCTION("""COMPUTED_VALUE"""),46149.0)</f>
        <v>46149</v>
      </c>
      <c r="B386" s="97" t="str">
        <f>IFERROR(__xludf.DUMMYFUNCTION("""COMPUTED_VALUE"""),"2605A042")</f>
        <v>2605A042</v>
      </c>
      <c r="C386" s="76" t="str">
        <f>IFERROR(__xludf.DUMMYFUNCTION("""COMPUTED_VALUE"""),"Lilis")</f>
        <v>Lilis</v>
      </c>
      <c r="D386" s="99" t="str">
        <f>IFERROR(__xludf.DUMMYFUNCTION("""COMPUTED_VALUE"""),"081285371101")</f>
        <v>081285371101</v>
      </c>
      <c r="E386" s="25" t="str">
        <f>IFERROR(__xludf.DUMMYFUNCTION("""COMPUTED_VALUE"""),"Lainnya")</f>
        <v>Lainnya</v>
      </c>
      <c r="F386" s="25" t="str">
        <f>IFERROR(__xludf.DUMMYFUNCTION("""COMPUTED_VALUE"""),"Gagal")</f>
        <v>Gagal</v>
      </c>
      <c r="G386" s="25" t="str">
        <f>IFERROR(__xludf.DUMMYFUNCTION("""COMPUTED_VALUE"""),"3h2m open trip")</f>
        <v>3h2m open trip</v>
      </c>
      <c r="H386" s="92">
        <f>IFERROR(__xludf.DUMMYFUNCTION("""COMPUTED_VALUE"""),46166.0)</f>
        <v>46166</v>
      </c>
      <c r="I386" s="80">
        <f>IFERROR(__xludf.DUMMYFUNCTION("""COMPUTED_VALUE"""),1.0)</f>
        <v>1</v>
      </c>
      <c r="J386" s="93"/>
      <c r="K386" s="19" t="str">
        <f>IFERROR(__xludf.DUMMYFUNCTION("""COMPUTED_VALUE"""),"ditunda rencananya")</f>
        <v>ditunda rencananya</v>
      </c>
      <c r="L386" s="76"/>
      <c r="M386" s="20"/>
      <c r="N386" s="20"/>
      <c r="O386" s="20"/>
      <c r="P386" s="20"/>
    </row>
    <row r="387">
      <c r="A387" s="110">
        <f>IFERROR(__xludf.DUMMYFUNCTION("""COMPUTED_VALUE"""),46149.0)</f>
        <v>46149</v>
      </c>
      <c r="B387" s="110" t="str">
        <f>IFERROR(__xludf.DUMMYFUNCTION("""COMPUTED_VALUE"""),"2605A043")</f>
        <v>2605A043</v>
      </c>
      <c r="C387" s="49" t="str">
        <f>IFERROR(__xludf.DUMMYFUNCTION("""COMPUTED_VALUE"""),"M. Aryawira C")</f>
        <v>M. Aryawira C</v>
      </c>
      <c r="D387" s="102" t="str">
        <f>IFERROR(__xludf.DUMMYFUNCTION("""COMPUTED_VALUE"""),"085842903250")</f>
        <v>085842903250</v>
      </c>
      <c r="E387" s="25" t="str">
        <f>IFERROR(__xludf.DUMMYFUNCTION("""COMPUTED_VALUE"""),"Lainnya")</f>
        <v>Lainnya</v>
      </c>
      <c r="F387" s="25" t="str">
        <f>IFERROR(__xludf.DUMMYFUNCTION("""COMPUTED_VALUE"""),"Gagal")</f>
        <v>Gagal</v>
      </c>
      <c r="G387" s="25" t="str">
        <f>IFERROR(__xludf.DUMMYFUNCTION("""COMPUTED_VALUE"""),"ot 3h2m")</f>
        <v>ot 3h2m</v>
      </c>
      <c r="H387" s="78"/>
      <c r="I387" s="27"/>
      <c r="J387" s="33"/>
      <c r="K387" s="36" t="str">
        <f>IFERROR(__xludf.DUMMYFUNCTION("""COMPUTED_VALUE"""),"gada balasan lagi")</f>
        <v>gada balasan lagi</v>
      </c>
      <c r="L387" s="49"/>
      <c r="M387" s="20"/>
      <c r="N387" s="20"/>
      <c r="O387" s="20"/>
      <c r="P387" s="20"/>
    </row>
    <row r="388">
      <c r="A388" s="97">
        <f>IFERROR(__xludf.DUMMYFUNCTION("""COMPUTED_VALUE"""),46150.0)</f>
        <v>46150</v>
      </c>
      <c r="B388" s="97" t="str">
        <f>IFERROR(__xludf.DUMMYFUNCTION("""COMPUTED_VALUE"""),"2605A044")</f>
        <v>2605A044</v>
      </c>
      <c r="C388" s="76" t="str">
        <f>IFERROR(__xludf.DUMMYFUNCTION("""COMPUTED_VALUE"""),"Mitaaa")</f>
        <v>Mitaaa</v>
      </c>
      <c r="D388" s="99" t="str">
        <f>IFERROR(__xludf.DUMMYFUNCTION("""COMPUTED_VALUE"""),"085729200538")</f>
        <v>085729200538</v>
      </c>
      <c r="E388" s="25" t="str">
        <f>IFERROR(__xludf.DUMMYFUNCTION("""COMPUTED_VALUE"""),"Lainnya")</f>
        <v>Lainnya</v>
      </c>
      <c r="F388" s="25" t="str">
        <f>IFERROR(__xludf.DUMMYFUNCTION("""COMPUTED_VALUE"""),"Gagal")</f>
        <v>Gagal</v>
      </c>
      <c r="G388" s="25" t="str">
        <f>IFERROR(__xludf.DUMMYFUNCTION("""COMPUTED_VALUE"""),"3h2m")</f>
        <v>3h2m</v>
      </c>
      <c r="H388" s="92"/>
      <c r="I388" s="80">
        <f>IFERROR(__xludf.DUMMYFUNCTION("""COMPUTED_VALUE"""),2.0)</f>
        <v>2</v>
      </c>
      <c r="J388" s="93"/>
      <c r="K388" s="19" t="str">
        <f>IFERROR(__xludf.DUMMYFUNCTION("""COMPUTED_VALUE"""),"gada balasan")</f>
        <v>gada balasan</v>
      </c>
      <c r="L388" s="76"/>
      <c r="M388" s="20"/>
      <c r="N388" s="20"/>
      <c r="O388" s="20"/>
      <c r="P388" s="20"/>
    </row>
    <row r="389">
      <c r="A389" s="110">
        <f>IFERROR(__xludf.DUMMYFUNCTION("""COMPUTED_VALUE"""),46151.0)</f>
        <v>46151</v>
      </c>
      <c r="B389" s="110" t="str">
        <f>IFERROR(__xludf.DUMMYFUNCTION("""COMPUTED_VALUE"""),"2605A045")</f>
        <v>2605A045</v>
      </c>
      <c r="C389" s="49" t="str">
        <f>IFERROR(__xludf.DUMMYFUNCTION("""COMPUTED_VALUE"""),"Victor")</f>
        <v>Victor</v>
      </c>
      <c r="D389" s="102" t="str">
        <f>IFERROR(__xludf.DUMMYFUNCTION("""COMPUTED_VALUE"""),"081282815552")</f>
        <v>081282815552</v>
      </c>
      <c r="E389" s="25" t="str">
        <f>IFERROR(__xludf.DUMMYFUNCTION("""COMPUTED_VALUE"""),"Instagram")</f>
        <v>Instagram</v>
      </c>
      <c r="F389" s="25" t="str">
        <f>IFERROR(__xludf.DUMMYFUNCTION("""COMPUTED_VALUE"""),"Closing")</f>
        <v>Closing</v>
      </c>
      <c r="G389" s="25" t="str">
        <f>IFERROR(__xludf.DUMMYFUNCTION("""COMPUTED_VALUE"""),"ot ijen")</f>
        <v>ot ijen</v>
      </c>
      <c r="H389" s="78">
        <f>IFERROR(__xludf.DUMMYFUNCTION("""COMPUTED_VALUE"""),46157.0)</f>
        <v>46157</v>
      </c>
      <c r="I389" s="89">
        <f>IFERROR(__xludf.DUMMYFUNCTION("""COMPUTED_VALUE"""),2.0)</f>
        <v>2</v>
      </c>
      <c r="J389" s="33">
        <f>IFERROR(__xludf.DUMMYFUNCTION("""COMPUTED_VALUE"""),500000.0)</f>
        <v>500000</v>
      </c>
      <c r="K389" s="30" t="str">
        <f>IFERROR(__xludf.DUMMYFUNCTION("""COMPUTED_VALUE"""),"Alhamdulillah order")</f>
        <v>Alhamdulillah order</v>
      </c>
      <c r="L389" s="49"/>
      <c r="M389" s="20"/>
      <c r="N389" s="20"/>
      <c r="O389" s="20"/>
      <c r="P389" s="20"/>
    </row>
    <row r="390">
      <c r="A390" s="97">
        <f>IFERROR(__xludf.DUMMYFUNCTION("""COMPUTED_VALUE"""),46149.0)</f>
        <v>46149</v>
      </c>
      <c r="B390" s="97" t="str">
        <f>IFERROR(__xludf.DUMMYFUNCTION("""COMPUTED_VALUE"""),"2605A046")</f>
        <v>2605A046</v>
      </c>
      <c r="C390" s="76" t="str">
        <f>IFERROR(__xludf.DUMMYFUNCTION("""COMPUTED_VALUE"""),"Annisa Eka Fitrianti")</f>
        <v>Annisa Eka Fitrianti</v>
      </c>
      <c r="D390" s="99" t="str">
        <f>IFERROR(__xludf.DUMMYFUNCTION("""COMPUTED_VALUE"""),"082240709074")</f>
        <v>082240709074</v>
      </c>
      <c r="E390" s="25" t="str">
        <f>IFERROR(__xludf.DUMMYFUNCTION("""COMPUTED_VALUE"""),"Instagram")</f>
        <v>Instagram</v>
      </c>
      <c r="F390" s="25" t="str">
        <f>IFERROR(__xludf.DUMMYFUNCTION("""COMPUTED_VALUE"""),"Gagal")</f>
        <v>Gagal</v>
      </c>
      <c r="G390" s="25" t="str">
        <f>IFERROR(__xludf.DUMMYFUNCTION("""COMPUTED_VALUE"""),"private trip mt")</f>
        <v>private trip mt</v>
      </c>
      <c r="H390" s="92">
        <f>IFERROR(__xludf.DUMMYFUNCTION("""COMPUTED_VALUE"""),46158.0)</f>
        <v>46158</v>
      </c>
      <c r="I390" s="80">
        <f>IFERROR(__xludf.DUMMYFUNCTION("""COMPUTED_VALUE"""),3.0)</f>
        <v>3</v>
      </c>
      <c r="J390" s="93"/>
      <c r="K390" s="19" t="str">
        <f>IFERROR(__xludf.DUMMYFUNCTION("""COMPUTED_VALUE"""),"gada jawaban. gagal")</f>
        <v>gada jawaban. gagal</v>
      </c>
      <c r="L390" s="76"/>
      <c r="M390" s="20"/>
      <c r="N390" s="20"/>
      <c r="O390" s="20"/>
      <c r="P390" s="20"/>
    </row>
    <row r="391">
      <c r="A391" s="110">
        <f>IFERROR(__xludf.DUMMYFUNCTION("""COMPUTED_VALUE"""),46151.0)</f>
        <v>46151</v>
      </c>
      <c r="B391" s="97" t="str">
        <f>IFERROR(__xludf.DUMMYFUNCTION("""COMPUTED_VALUE"""),"2605A047")</f>
        <v>2605A047</v>
      </c>
      <c r="C391" s="49" t="str">
        <f>IFERROR(__xludf.DUMMYFUNCTION("""COMPUTED_VALUE"""),"Yefta Andrea")</f>
        <v>Yefta Andrea</v>
      </c>
      <c r="D391" s="102" t="str">
        <f>IFERROR(__xludf.DUMMYFUNCTION("""COMPUTED_VALUE"""),"081227001402")</f>
        <v>081227001402</v>
      </c>
      <c r="E391" s="25" t="str">
        <f>IFERROR(__xludf.DUMMYFUNCTION("""COMPUTED_VALUE"""),"Lainnya")</f>
        <v>Lainnya</v>
      </c>
      <c r="F391" s="25" t="str">
        <f>IFERROR(__xludf.DUMMYFUNCTION("""COMPUTED_VALUE"""),"Gagal")</f>
        <v>Gagal</v>
      </c>
      <c r="G391" s="25" t="str">
        <f>IFERROR(__xludf.DUMMYFUNCTION("""COMPUTED_VALUE"""),"3h2m")</f>
        <v>3h2m</v>
      </c>
      <c r="H391" s="78"/>
      <c r="I391" s="89">
        <f>IFERROR(__xludf.DUMMYFUNCTION("""COMPUTED_VALUE"""),2.0)</f>
        <v>2</v>
      </c>
      <c r="J391" s="96"/>
      <c r="K391" s="36"/>
      <c r="L391" s="49"/>
      <c r="M391" s="20"/>
      <c r="N391" s="20"/>
      <c r="O391" s="20"/>
      <c r="P391" s="20"/>
    </row>
    <row r="392">
      <c r="A392" s="97">
        <f>IFERROR(__xludf.DUMMYFUNCTION("""COMPUTED_VALUE"""),46150.0)</f>
        <v>46150</v>
      </c>
      <c r="B392" s="97" t="str">
        <f>IFERROR(__xludf.DUMMYFUNCTION("""COMPUTED_VALUE"""),"2605A048")</f>
        <v>2605A048</v>
      </c>
      <c r="C392" s="76" t="str">
        <f>IFERROR(__xludf.DUMMYFUNCTION("""COMPUTED_VALUE"""),"Ani Restuning Tias")</f>
        <v>Ani Restuning Tias</v>
      </c>
      <c r="D392" s="99" t="str">
        <f>IFERROR(__xludf.DUMMYFUNCTION("""COMPUTED_VALUE"""),"082148480303")</f>
        <v>082148480303</v>
      </c>
      <c r="E392" s="25" t="str">
        <f>IFERROR(__xludf.DUMMYFUNCTION("""COMPUTED_VALUE"""),"Instagram")</f>
        <v>Instagram</v>
      </c>
      <c r="F392" s="25" t="str">
        <f>IFERROR(__xludf.DUMMYFUNCTION("""COMPUTED_VALUE"""),"Closing")</f>
        <v>Closing</v>
      </c>
      <c r="G392" s="25" t="str">
        <f>IFERROR(__xludf.DUMMYFUNCTION("""COMPUTED_VALUE"""),"ot 3h2m")</f>
        <v>ot 3h2m</v>
      </c>
      <c r="H392" s="92"/>
      <c r="I392" s="80">
        <f>IFERROR(__xludf.DUMMYFUNCTION("""COMPUTED_VALUE"""),4.0)</f>
        <v>4</v>
      </c>
      <c r="J392" s="93">
        <f>IFERROR(__xludf.DUMMYFUNCTION("""COMPUTED_VALUE"""),6400000.0)</f>
        <v>6400000</v>
      </c>
      <c r="K392" s="46" t="str">
        <f>IFERROR(__xludf.DUMMYFUNCTION("""COMPUTED_VALUE"""),"trip selesai")</f>
        <v>trip selesai</v>
      </c>
      <c r="L392" s="76"/>
      <c r="M392" s="20"/>
      <c r="N392" s="20"/>
      <c r="O392" s="20"/>
      <c r="P392" s="20"/>
    </row>
    <row r="393">
      <c r="A393" s="110">
        <f>IFERROR(__xludf.DUMMYFUNCTION("""COMPUTED_VALUE"""),46150.0)</f>
        <v>46150</v>
      </c>
      <c r="B393" s="110" t="str">
        <f>IFERROR(__xludf.DUMMYFUNCTION("""COMPUTED_VALUE"""),"2605A049 ")</f>
        <v>2605A049 </v>
      </c>
      <c r="C393" s="49" t="str">
        <f>IFERROR(__xludf.DUMMYFUNCTION("""COMPUTED_VALUE"""),"Artha")</f>
        <v>Artha</v>
      </c>
      <c r="D393" s="102" t="str">
        <f>IFERROR(__xludf.DUMMYFUNCTION("""COMPUTED_VALUE"""),"082220229150")</f>
        <v>082220229150</v>
      </c>
      <c r="E393" s="25" t="str">
        <f>IFERROR(__xludf.DUMMYFUNCTION("""COMPUTED_VALUE"""),"Lainnya")</f>
        <v>Lainnya</v>
      </c>
      <c r="F393" s="25" t="str">
        <f>IFERROR(__xludf.DUMMYFUNCTION("""COMPUTED_VALUE"""),"Gagal")</f>
        <v>Gagal</v>
      </c>
      <c r="G393" s="25" t="str">
        <f>IFERROR(__xludf.DUMMYFUNCTION("""COMPUTED_VALUE"""),"djabal")</f>
        <v>djabal</v>
      </c>
      <c r="H393" s="78">
        <f>IFERROR(__xludf.DUMMYFUNCTION("""COMPUTED_VALUE"""),46157.0)</f>
        <v>46157</v>
      </c>
      <c r="I393" s="89">
        <f>IFERROR(__xludf.DUMMYFUNCTION("""COMPUTED_VALUE"""),2.0)</f>
        <v>2</v>
      </c>
      <c r="J393" s="96">
        <f>IFERROR(__xludf.DUMMYFUNCTION("""COMPUTED_VALUE"""),1754000.0)</f>
        <v>1754000</v>
      </c>
      <c r="K393" s="30" t="str">
        <f>IFERROR(__xludf.DUMMYFUNCTION("""COMPUTED_VALUE"""),"ortu sakit")</f>
        <v>ortu sakit</v>
      </c>
      <c r="L393" s="49"/>
      <c r="M393" s="20"/>
      <c r="N393" s="20"/>
      <c r="O393" s="20"/>
      <c r="P393" s="20"/>
    </row>
    <row r="394">
      <c r="A394" s="97">
        <f>IFERROR(__xludf.DUMMYFUNCTION("""COMPUTED_VALUE"""),46151.0)</f>
        <v>46151</v>
      </c>
      <c r="B394" s="97" t="str">
        <f>IFERROR(__xludf.DUMMYFUNCTION("""COMPUTED_VALUE"""),"2605A050")</f>
        <v>2605A050</v>
      </c>
      <c r="C394" s="76" t="str">
        <f>IFERROR(__xludf.DUMMYFUNCTION("""COMPUTED_VALUE"""),"Mita")</f>
        <v>Mita</v>
      </c>
      <c r="D394" s="99" t="str">
        <f>IFERROR(__xludf.DUMMYFUNCTION("""COMPUTED_VALUE"""),"0895339162517")</f>
        <v>0895339162517</v>
      </c>
      <c r="E394" s="25" t="str">
        <f>IFERROR(__xludf.DUMMYFUNCTION("""COMPUTED_VALUE"""),"Lainnya")</f>
        <v>Lainnya</v>
      </c>
      <c r="F394" s="25" t="str">
        <f>IFERROR(__xludf.DUMMYFUNCTION("""COMPUTED_VALUE"""),"Qualified")</f>
        <v>Qualified</v>
      </c>
      <c r="G394" s="25" t="str">
        <f>IFERROR(__xludf.DUMMYFUNCTION("""COMPUTED_VALUE"""),"2H1M CUSTOM")</f>
        <v>2H1M CUSTOM</v>
      </c>
      <c r="H394" s="92"/>
      <c r="I394" s="80">
        <f>IFERROR(__xludf.DUMMYFUNCTION("""COMPUTED_VALUE"""),2.0)</f>
        <v>2</v>
      </c>
      <c r="J394" s="93">
        <f>IFERROR(__xludf.DUMMYFUNCTION("""COMPUTED_VALUE"""),4540000.0)</f>
        <v>4540000</v>
      </c>
      <c r="K394" s="46" t="str">
        <f>IFERROR(__xludf.DUMMYFUNCTION("""COMPUTED_VALUE"""),"fu 10 mei")</f>
        <v>fu 10 mei</v>
      </c>
      <c r="L394" s="76"/>
      <c r="M394" s="20"/>
      <c r="N394" s="20"/>
      <c r="O394" s="20"/>
      <c r="P394" s="20"/>
    </row>
    <row r="395">
      <c r="A395" s="110">
        <f>IFERROR(__xludf.DUMMYFUNCTION("""COMPUTED_VALUE"""),46152.0)</f>
        <v>46152</v>
      </c>
      <c r="B395" s="110" t="str">
        <f>IFERROR(__xludf.DUMMYFUNCTION("""COMPUTED_VALUE"""),"2605A051")</f>
        <v>2605A051</v>
      </c>
      <c r="C395" s="49" t="str">
        <f>IFERROR(__xludf.DUMMYFUNCTION("""COMPUTED_VALUE"""),"Akuuu")</f>
        <v>Akuuu</v>
      </c>
      <c r="D395" s="102" t="str">
        <f>IFERROR(__xludf.DUMMYFUNCTION("""COMPUTED_VALUE"""),"089514875765")</f>
        <v>089514875765</v>
      </c>
      <c r="E395" s="25" t="str">
        <f>IFERROR(__xludf.DUMMYFUNCTION("""COMPUTED_VALUE"""),"Instagram")</f>
        <v>Instagram</v>
      </c>
      <c r="F395" s="25" t="str">
        <f>IFERROR(__xludf.DUMMYFUNCTION("""COMPUTED_VALUE"""),"Gagal")</f>
        <v>Gagal</v>
      </c>
      <c r="G395" s="25"/>
      <c r="H395" s="78"/>
      <c r="I395" s="27"/>
      <c r="J395" s="96"/>
      <c r="K395" s="30" t="str">
        <f>IFERROR(__xludf.DUMMYFUNCTION("""COMPUTED_VALUE"""),"gada balasan")</f>
        <v>gada balasan</v>
      </c>
      <c r="L395" s="49"/>
      <c r="M395" s="20"/>
      <c r="N395" s="20"/>
      <c r="O395" s="20"/>
      <c r="P395" s="20"/>
    </row>
    <row r="396">
      <c r="A396" s="97">
        <f>IFERROR(__xludf.DUMMYFUNCTION("""COMPUTED_VALUE"""),46152.0)</f>
        <v>46152</v>
      </c>
      <c r="B396" s="97" t="str">
        <f>IFERROR(__xludf.DUMMYFUNCTION("""COMPUTED_VALUE"""),"2605A052")</f>
        <v>2605A052</v>
      </c>
      <c r="C396" s="76" t="str">
        <f>IFERROR(__xludf.DUMMYFUNCTION("""COMPUTED_VALUE"""),"Ade")</f>
        <v>Ade</v>
      </c>
      <c r="D396" s="99" t="str">
        <f>IFERROR(__xludf.DUMMYFUNCTION("""COMPUTED_VALUE"""),"089699870731")</f>
        <v>089699870731</v>
      </c>
      <c r="E396" s="25" t="str">
        <f>IFERROR(__xludf.DUMMYFUNCTION("""COMPUTED_VALUE"""),"Instagram")</f>
        <v>Instagram</v>
      </c>
      <c r="F396" s="25" t="str">
        <f>IFERROR(__xludf.DUMMYFUNCTION("""COMPUTED_VALUE"""),"Qualified")</f>
        <v>Qualified</v>
      </c>
      <c r="G396" s="25" t="str">
        <f>IFERROR(__xludf.DUMMYFUNCTION("""COMPUTED_VALUE"""),"ot 2h1m")</f>
        <v>ot 2h1m</v>
      </c>
      <c r="H396" s="92"/>
      <c r="I396" s="80">
        <f>IFERROR(__xludf.DUMMYFUNCTION("""COMPUTED_VALUE"""),4.0)</f>
        <v>4</v>
      </c>
      <c r="J396" s="54">
        <f>IFERROR(__xludf.DUMMYFUNCTION("""COMPUTED_VALUE"""),3900000.0)</f>
        <v>3900000</v>
      </c>
      <c r="K396" s="19" t="str">
        <f>IFERROR(__xludf.DUMMYFUNCTION("""COMPUTED_VALUE"""),"fu 14 mei")</f>
        <v>fu 14 mei</v>
      </c>
      <c r="L396" s="76"/>
      <c r="M396" s="20"/>
      <c r="N396" s="20"/>
      <c r="O396" s="20"/>
      <c r="P396" s="20"/>
    </row>
    <row r="397">
      <c r="A397" s="110">
        <f>IFERROR(__xludf.DUMMYFUNCTION("""COMPUTED_VALUE"""),46152.0)</f>
        <v>46152</v>
      </c>
      <c r="B397" s="110" t="str">
        <f>IFERROR(__xludf.DUMMYFUNCTION("""COMPUTED_VALUE"""),"2605A053")</f>
        <v>2605A053</v>
      </c>
      <c r="C397" s="49" t="str">
        <f>IFERROR(__xludf.DUMMYFUNCTION("""COMPUTED_VALUE"""),"Intan")</f>
        <v>Intan</v>
      </c>
      <c r="D397" s="102" t="str">
        <f>IFERROR(__xludf.DUMMYFUNCTION("""COMPUTED_VALUE"""),"081280775907")</f>
        <v>081280775907</v>
      </c>
      <c r="E397" s="25" t="str">
        <f>IFERROR(__xludf.DUMMYFUNCTION("""COMPUTED_VALUE"""),"Lainnya")</f>
        <v>Lainnya</v>
      </c>
      <c r="F397" s="25" t="str">
        <f>IFERROR(__xludf.DUMMYFUNCTION("""COMPUTED_VALUE"""),"Gagal")</f>
        <v>Gagal</v>
      </c>
      <c r="G397" s="25" t="str">
        <f>IFERROR(__xludf.DUMMYFUNCTION("""COMPUTED_VALUE"""),"OT 3H2M")</f>
        <v>OT 3H2M</v>
      </c>
      <c r="H397" s="78"/>
      <c r="I397" s="27">
        <f>IFERROR(__xludf.DUMMYFUNCTION("""COMPUTED_VALUE"""),4.0)</f>
        <v>4</v>
      </c>
      <c r="J397" s="96">
        <f>IFERROR(__xludf.DUMMYFUNCTION("""COMPUTED_VALUE"""),6400000.0)</f>
        <v>6400000</v>
      </c>
      <c r="K397" s="30" t="str">
        <f>IFERROR(__xludf.DUMMYFUNCTION("""COMPUTED_VALUE"""),"Fullbooked")</f>
        <v>Fullbooked</v>
      </c>
      <c r="L397" s="49"/>
      <c r="M397" s="20"/>
      <c r="N397" s="20"/>
      <c r="O397" s="20"/>
      <c r="P397" s="20"/>
    </row>
    <row r="398">
      <c r="A398" s="97">
        <f>IFERROR(__xludf.DUMMYFUNCTION("""COMPUTED_VALUE"""),46152.0)</f>
        <v>46152</v>
      </c>
      <c r="B398" s="97" t="str">
        <f>IFERROR(__xludf.DUMMYFUNCTION("""COMPUTED_VALUE"""),"2605A054")</f>
        <v>2605A054</v>
      </c>
      <c r="C398" s="76" t="str">
        <f>IFERROR(__xludf.DUMMYFUNCTION("""COMPUTED_VALUE"""),"Hana Harsyika")</f>
        <v>Hana Harsyika</v>
      </c>
      <c r="D398" s="99" t="str">
        <f>IFERROR(__xludf.DUMMYFUNCTION("""COMPUTED_VALUE"""),"081299148988")</f>
        <v>081299148988</v>
      </c>
      <c r="E398" s="25" t="str">
        <f>IFERROR(__xludf.DUMMYFUNCTION("""COMPUTED_VALUE"""),"Website")</f>
        <v>Website</v>
      </c>
      <c r="F398" s="25" t="str">
        <f>IFERROR(__xludf.DUMMYFUNCTION("""COMPUTED_VALUE"""),"Qualified")</f>
        <v>Qualified</v>
      </c>
      <c r="G398" s="25" t="str">
        <f>IFERROR(__xludf.DUMMYFUNCTION("""COMPUTED_VALUE"""),"3h2m custom")</f>
        <v>3h2m custom</v>
      </c>
      <c r="H398" s="92"/>
      <c r="I398" s="80">
        <f>IFERROR(__xludf.DUMMYFUNCTION("""COMPUTED_VALUE"""),5.0)</f>
        <v>5</v>
      </c>
      <c r="J398" s="93"/>
      <c r="K398" s="46" t="str">
        <f>IFERROR(__xludf.DUMMYFUNCTION("""COMPUTED_VALUE"""),"fu 25 mei. hitung paket")</f>
        <v>fu 25 mei. hitung paket</v>
      </c>
      <c r="L398" s="76"/>
      <c r="M398" s="20"/>
      <c r="N398" s="20"/>
      <c r="O398" s="20"/>
      <c r="P398" s="20"/>
    </row>
    <row r="399">
      <c r="A399" s="110">
        <f>IFERROR(__xludf.DUMMYFUNCTION("""COMPUTED_VALUE"""),46152.0)</f>
        <v>46152</v>
      </c>
      <c r="B399" s="110" t="str">
        <f>IFERROR(__xludf.DUMMYFUNCTION("""COMPUTED_VALUE"""),"2605A055")</f>
        <v>2605A055</v>
      </c>
      <c r="C399" s="49" t="str">
        <f>IFERROR(__xludf.DUMMYFUNCTION("""COMPUTED_VALUE"""),"Sabita")</f>
        <v>Sabita</v>
      </c>
      <c r="D399" s="102" t="str">
        <f>IFERROR(__xludf.DUMMYFUNCTION("""COMPUTED_VALUE"""),"089663948105")</f>
        <v>089663948105</v>
      </c>
      <c r="E399" s="25" t="str">
        <f>IFERROR(__xludf.DUMMYFUNCTION("""COMPUTED_VALUE"""),"Lainnya")</f>
        <v>Lainnya</v>
      </c>
      <c r="F399" s="25" t="str">
        <f>IFERROR(__xludf.DUMMYFUNCTION("""COMPUTED_VALUE"""),"Qualified")</f>
        <v>Qualified</v>
      </c>
      <c r="G399" s="25" t="str">
        <f>IFERROR(__xludf.DUMMYFUNCTION("""COMPUTED_VALUE"""),"open trip 2h1m")</f>
        <v>open trip 2h1m</v>
      </c>
      <c r="H399" s="92"/>
      <c r="I399" s="89">
        <f>IFERROR(__xludf.DUMMYFUNCTION("""COMPUTED_VALUE"""),2.0)</f>
        <v>2</v>
      </c>
      <c r="J399" s="96">
        <f>IFERROR(__xludf.DUMMYFUNCTION("""COMPUTED_VALUE"""),1650000.0)</f>
        <v>1650000</v>
      </c>
      <c r="K399" s="36" t="str">
        <f>IFERROR(__xludf.DUMMYFUNCTION("""COMPUTED_VALUE"""),"fu 7 juni")</f>
        <v>fu 7 juni</v>
      </c>
      <c r="L399" s="76"/>
      <c r="M399" s="20"/>
      <c r="N399" s="20"/>
      <c r="O399" s="20"/>
      <c r="P399" s="20"/>
    </row>
    <row r="400">
      <c r="A400" s="97">
        <f>IFERROR(__xludf.DUMMYFUNCTION("""COMPUTED_VALUE"""),46152.0)</f>
        <v>46152</v>
      </c>
      <c r="B400" s="97" t="str">
        <f>IFERROR(__xludf.DUMMYFUNCTION("""COMPUTED_VALUE"""),"2605A056")</f>
        <v>2605A056</v>
      </c>
      <c r="C400" s="76" t="str">
        <f>IFERROR(__xludf.DUMMYFUNCTION("""COMPUTED_VALUE"""),"Tifa")</f>
        <v>Tifa</v>
      </c>
      <c r="D400" s="99" t="str">
        <f>IFERROR(__xludf.DUMMYFUNCTION("""COMPUTED_VALUE"""),"08998768348")</f>
        <v>08998768348</v>
      </c>
      <c r="E400" s="25" t="str">
        <f>IFERROR(__xludf.DUMMYFUNCTION("""COMPUTED_VALUE"""),"Instagram")</f>
        <v>Instagram</v>
      </c>
      <c r="F400" s="25" t="str">
        <f>IFERROR(__xludf.DUMMYFUNCTION("""COMPUTED_VALUE"""),"Gagal")</f>
        <v>Gagal</v>
      </c>
      <c r="G400" s="25"/>
      <c r="H400" s="92"/>
      <c r="I400" s="80"/>
      <c r="J400" s="93"/>
      <c r="K400" s="19" t="str">
        <f>IFERROR(__xludf.DUMMYFUNCTION("""COMPUTED_VALUE"""),"gada balasan")</f>
        <v>gada balasan</v>
      </c>
      <c r="L400" s="76"/>
      <c r="M400" s="20"/>
      <c r="N400" s="20"/>
      <c r="O400" s="20"/>
      <c r="P400" s="20"/>
    </row>
    <row r="401">
      <c r="A401" s="110">
        <f>IFERROR(__xludf.DUMMYFUNCTION("""COMPUTED_VALUE"""),46152.0)</f>
        <v>46152</v>
      </c>
      <c r="B401" s="110" t="str">
        <f>IFERROR(__xludf.DUMMYFUNCTION("""COMPUTED_VALUE"""),"2605A057")</f>
        <v>2605A057</v>
      </c>
      <c r="C401" s="49" t="str">
        <f>IFERROR(__xludf.DUMMYFUNCTION("""COMPUTED_VALUE"""),"Faisal")</f>
        <v>Faisal</v>
      </c>
      <c r="D401" s="102" t="str">
        <f>IFERROR(__xludf.DUMMYFUNCTION("""COMPUTED_VALUE"""),"081903870457")</f>
        <v>081903870457</v>
      </c>
      <c r="E401" s="25" t="str">
        <f>IFERROR(__xludf.DUMMYFUNCTION("""COMPUTED_VALUE"""),"Instagram")</f>
        <v>Instagram</v>
      </c>
      <c r="F401" s="25" t="str">
        <f>IFERROR(__xludf.DUMMYFUNCTION("""COMPUTED_VALUE"""),"Qualified")</f>
        <v>Qualified</v>
      </c>
      <c r="G401" s="25" t="str">
        <f>IFERROR(__xludf.DUMMYFUNCTION("""COMPUTED_VALUE"""),"menjangan tabuhan")</f>
        <v>menjangan tabuhan</v>
      </c>
      <c r="H401" s="78">
        <f>IFERROR(__xludf.DUMMYFUNCTION("""COMPUTED_VALUE"""),46207.0)</f>
        <v>46207</v>
      </c>
      <c r="I401" s="89">
        <f>IFERROR(__xludf.DUMMYFUNCTION("""COMPUTED_VALUE"""),15.0)</f>
        <v>15</v>
      </c>
      <c r="J401" s="96">
        <f>IFERROR(__xludf.DUMMYFUNCTION("""COMPUTED_VALUE"""),4425000.0)</f>
        <v>4425000</v>
      </c>
      <c r="K401" s="30" t="str">
        <f>IFERROR(__xludf.DUMMYFUNCTION("""COMPUTED_VALUE"""),"fu 1 juli")</f>
        <v>fu 1 juli</v>
      </c>
      <c r="L401" s="49"/>
      <c r="M401" s="20"/>
      <c r="N401" s="20"/>
      <c r="O401" s="20"/>
      <c r="P401" s="20"/>
    </row>
    <row r="402">
      <c r="A402" s="97">
        <f>IFERROR(__xludf.DUMMYFUNCTION("""COMPUTED_VALUE"""),46153.0)</f>
        <v>46153</v>
      </c>
      <c r="B402" s="97" t="str">
        <f>IFERROR(__xludf.DUMMYFUNCTION("""COMPUTED_VALUE"""),"2605A058")</f>
        <v>2605A058</v>
      </c>
      <c r="C402" s="76" t="str">
        <f>IFERROR(__xludf.DUMMYFUNCTION("""COMPUTED_VALUE"""),"Syila")</f>
        <v>Syila</v>
      </c>
      <c r="D402" s="99" t="str">
        <f>IFERROR(__xludf.DUMMYFUNCTION("""COMPUTED_VALUE"""),"085230222999")</f>
        <v>085230222999</v>
      </c>
      <c r="E402" s="25" t="str">
        <f>IFERROR(__xludf.DUMMYFUNCTION("""COMPUTED_VALUE"""),"Website")</f>
        <v>Website</v>
      </c>
      <c r="F402" s="25" t="str">
        <f>IFERROR(__xludf.DUMMYFUNCTION("""COMPUTED_VALUE"""),"Gagal")</f>
        <v>Gagal</v>
      </c>
      <c r="G402" s="25" t="str">
        <f>IFERROR(__xludf.DUMMYFUNCTION("""COMPUTED_VALUE"""),"ot3h2m")</f>
        <v>ot3h2m</v>
      </c>
      <c r="H402" s="92"/>
      <c r="I402" s="80">
        <f>IFERROR(__xludf.DUMMYFUNCTION("""COMPUTED_VALUE"""),1.0)</f>
        <v>1</v>
      </c>
      <c r="J402" s="93">
        <f>IFERROR(__xludf.DUMMYFUNCTION("""COMPUTED_VALUE"""),1.6E7)</f>
        <v>16000000</v>
      </c>
      <c r="K402" s="19" t="str">
        <f>IFERROR(__xludf.DUMMYFUNCTION("""COMPUTED_VALUE"""),"fullbooked")</f>
        <v>fullbooked</v>
      </c>
      <c r="L402" s="76"/>
      <c r="M402" s="20"/>
      <c r="N402" s="20"/>
      <c r="O402" s="20"/>
      <c r="P402" s="20"/>
    </row>
    <row r="403">
      <c r="A403" s="110">
        <f>IFERROR(__xludf.DUMMYFUNCTION("""COMPUTED_VALUE"""),46153.0)</f>
        <v>46153</v>
      </c>
      <c r="B403" s="110" t="str">
        <f>IFERROR(__xludf.DUMMYFUNCTION("""COMPUTED_VALUE"""),"2605A059")</f>
        <v>2605A059</v>
      </c>
      <c r="C403" s="49" t="str">
        <f>IFERROR(__xludf.DUMMYFUNCTION("""COMPUTED_VALUE"""),"Dania Nurrizky")</f>
        <v>Dania Nurrizky</v>
      </c>
      <c r="D403" s="102" t="str">
        <f>IFERROR(__xludf.DUMMYFUNCTION("""COMPUTED_VALUE"""),"087803446447")</f>
        <v>087803446447</v>
      </c>
      <c r="E403" s="25" t="str">
        <f>IFERROR(__xludf.DUMMYFUNCTION("""COMPUTED_VALUE"""),"Instagram")</f>
        <v>Instagram</v>
      </c>
      <c r="F403" s="25" t="str">
        <f>IFERROR(__xludf.DUMMYFUNCTION("""COMPUTED_VALUE"""),"Gagal")</f>
        <v>Gagal</v>
      </c>
      <c r="G403" s="25"/>
      <c r="H403" s="78"/>
      <c r="I403" s="89"/>
      <c r="J403" s="96"/>
      <c r="K403" s="30" t="str">
        <f>IFERROR(__xludf.DUMMYFUNCTION("""COMPUTED_VALUE"""),"gada balasan")</f>
        <v>gada balasan</v>
      </c>
      <c r="L403" s="49"/>
      <c r="M403" s="20"/>
      <c r="N403" s="20"/>
      <c r="O403" s="20"/>
      <c r="P403" s="20"/>
    </row>
    <row r="404">
      <c r="A404" s="97">
        <f>IFERROR(__xludf.DUMMYFUNCTION("""COMPUTED_VALUE"""),46154.0)</f>
        <v>46154</v>
      </c>
      <c r="B404" s="98" t="str">
        <f>IFERROR(__xludf.DUMMYFUNCTION("""COMPUTED_VALUE"""),"2605A060 ")</f>
        <v>2605A060 </v>
      </c>
      <c r="C404" s="76" t="str">
        <f>IFERROR(__xludf.DUMMYFUNCTION("""COMPUTED_VALUE"""),"Silmina")</f>
        <v>Silmina</v>
      </c>
      <c r="D404" s="99" t="str">
        <f>IFERROR(__xludf.DUMMYFUNCTION("""COMPUTED_VALUE"""),"0813939177291")</f>
        <v>0813939177291</v>
      </c>
      <c r="E404" s="25" t="str">
        <f>IFERROR(__xludf.DUMMYFUNCTION("""COMPUTED_VALUE"""),"Lainnya")</f>
        <v>Lainnya</v>
      </c>
      <c r="F404" s="25" t="str">
        <f>IFERROR(__xludf.DUMMYFUNCTION("""COMPUTED_VALUE"""),"Gagal")</f>
        <v>Gagal</v>
      </c>
      <c r="G404" s="25" t="str">
        <f>IFERROR(__xludf.DUMMYFUNCTION("""COMPUTED_VALUE"""),"ot menjangan tabuhan")</f>
        <v>ot menjangan tabuhan</v>
      </c>
      <c r="H404" s="92">
        <f>IFERROR(__xludf.DUMMYFUNCTION("""COMPUTED_VALUE"""),46156.0)</f>
        <v>46156</v>
      </c>
      <c r="I404" s="80">
        <f>IFERROR(__xludf.DUMMYFUNCTION("""COMPUTED_VALUE"""),2.0)</f>
        <v>2</v>
      </c>
      <c r="J404" s="93">
        <f>IFERROR(__xludf.DUMMYFUNCTION("""COMPUTED_VALUE"""),800000.0)</f>
        <v>800000</v>
      </c>
      <c r="K404" s="46" t="str">
        <f>IFERROR(__xludf.DUMMYFUNCTION("""COMPUTED_VALUE"""),"fullbooked")</f>
        <v>fullbooked</v>
      </c>
      <c r="L404" s="76"/>
      <c r="M404" s="20"/>
      <c r="N404" s="20"/>
      <c r="O404" s="20"/>
      <c r="P404" s="20"/>
    </row>
    <row r="405">
      <c r="A405" s="110">
        <f>IFERROR(__xludf.DUMMYFUNCTION("""COMPUTED_VALUE"""),46154.0)</f>
        <v>46154</v>
      </c>
      <c r="B405" s="119" t="str">
        <f>IFERROR(__xludf.DUMMYFUNCTION("""COMPUTED_VALUE"""),"2605A061")</f>
        <v>2605A061</v>
      </c>
      <c r="C405" s="49" t="str">
        <f>IFERROR(__xludf.DUMMYFUNCTION("""COMPUTED_VALUE"""),"Deltaforce")</f>
        <v>Deltaforce</v>
      </c>
      <c r="D405" s="102" t="str">
        <f>IFERROR(__xludf.DUMMYFUNCTION("""COMPUTED_VALUE"""),"085212014707")</f>
        <v>085212014707</v>
      </c>
      <c r="E405" s="25" t="str">
        <f>IFERROR(__xludf.DUMMYFUNCTION("""COMPUTED_VALUE"""),"Lainnya")</f>
        <v>Lainnya</v>
      </c>
      <c r="F405" s="25" t="str">
        <f>IFERROR(__xludf.DUMMYFUNCTION("""COMPUTED_VALUE"""),"Qualified")</f>
        <v>Qualified</v>
      </c>
      <c r="G405" s="25" t="str">
        <f>IFERROR(__xludf.DUMMYFUNCTION("""COMPUTED_VALUE"""),"ot menjangan tabuhan")</f>
        <v>ot menjangan tabuhan</v>
      </c>
      <c r="H405" s="78">
        <f>IFERROR(__xludf.DUMMYFUNCTION("""COMPUTED_VALUE"""),46158.0)</f>
        <v>46158</v>
      </c>
      <c r="I405" s="89">
        <f>IFERROR(__xludf.DUMMYFUNCTION("""COMPUTED_VALUE"""),2.0)</f>
        <v>2</v>
      </c>
      <c r="J405" s="96">
        <f>IFERROR(__xludf.DUMMYFUNCTION("""COMPUTED_VALUE"""),550000.0)</f>
        <v>550000</v>
      </c>
      <c r="K405" s="36" t="str">
        <f>IFERROR(__xludf.DUMMYFUNCTION("""COMPUTED_VALUE"""),"belum ada balasan. fu 13 mei")</f>
        <v>belum ada balasan. fu 13 mei</v>
      </c>
      <c r="L405" s="49"/>
      <c r="M405" s="20"/>
      <c r="N405" s="20"/>
      <c r="O405" s="20"/>
      <c r="P405" s="20"/>
    </row>
    <row r="406">
      <c r="A406" s="97">
        <f>IFERROR(__xludf.DUMMYFUNCTION("""COMPUTED_VALUE"""),46154.0)</f>
        <v>46154</v>
      </c>
      <c r="B406" s="98" t="str">
        <f>IFERROR(__xludf.DUMMYFUNCTION("""COMPUTED_VALUE"""),"2605A062")</f>
        <v>2605A062</v>
      </c>
      <c r="C406" s="76" t="str">
        <f>IFERROR(__xludf.DUMMYFUNCTION("""COMPUTED_VALUE"""),"Putu Vari Bagiarti")</f>
        <v>Putu Vari Bagiarti</v>
      </c>
      <c r="D406" s="99" t="str">
        <f>IFERROR(__xludf.DUMMYFUNCTION("""COMPUTED_VALUE"""),"0877855228338")</f>
        <v>0877855228338</v>
      </c>
      <c r="E406" s="25" t="str">
        <f>IFERROR(__xludf.DUMMYFUNCTION("""COMPUTED_VALUE"""),"Lainnya")</f>
        <v>Lainnya</v>
      </c>
      <c r="F406" s="25" t="str">
        <f>IFERROR(__xludf.DUMMYFUNCTION("""COMPUTED_VALUE"""),"Closing")</f>
        <v>Closing</v>
      </c>
      <c r="G406" s="25" t="str">
        <f>IFERROR(__xludf.DUMMYFUNCTION("""COMPUTED_VALUE"""),"ijen")</f>
        <v>ijen</v>
      </c>
      <c r="H406" s="92">
        <f>IFERROR(__xludf.DUMMYFUNCTION("""COMPUTED_VALUE"""),46157.0)</f>
        <v>46157</v>
      </c>
      <c r="I406" s="80">
        <f>IFERROR(__xludf.DUMMYFUNCTION("""COMPUTED_VALUE"""),5.0)</f>
        <v>5</v>
      </c>
      <c r="J406" s="93">
        <f>IFERROR(__xludf.DUMMYFUNCTION("""COMPUTED_VALUE"""),1820000.0)</f>
        <v>1820000</v>
      </c>
      <c r="K406" s="46" t="str">
        <f>IFERROR(__xludf.DUMMYFUNCTION("""COMPUTED_VALUE"""),"Alhamdulillah order")</f>
        <v>Alhamdulillah order</v>
      </c>
      <c r="L406" s="76"/>
      <c r="M406" s="20"/>
      <c r="N406" s="20"/>
      <c r="O406" s="20"/>
      <c r="P406" s="20"/>
    </row>
    <row r="407">
      <c r="A407" s="110">
        <f>IFERROR(__xludf.DUMMYFUNCTION("""COMPUTED_VALUE"""),46153.0)</f>
        <v>46153</v>
      </c>
      <c r="B407" s="119" t="str">
        <f>IFERROR(__xludf.DUMMYFUNCTION("""COMPUTED_VALUE"""),"2605A063")</f>
        <v>2605A063</v>
      </c>
      <c r="C407" s="49" t="str">
        <f>IFERROR(__xludf.DUMMYFUNCTION("""COMPUTED_VALUE"""),"Civan")</f>
        <v>Civan</v>
      </c>
      <c r="D407" s="102" t="str">
        <f>IFERROR(__xludf.DUMMYFUNCTION("""COMPUTED_VALUE"""),"082338486647")</f>
        <v>082338486647</v>
      </c>
      <c r="E407" s="25" t="str">
        <f>IFERROR(__xludf.DUMMYFUNCTION("""COMPUTED_VALUE"""),"Instagram")</f>
        <v>Instagram</v>
      </c>
      <c r="F407" s="25" t="str">
        <f>IFERROR(__xludf.DUMMYFUNCTION("""COMPUTED_VALUE"""),"Closing")</f>
        <v>Closing</v>
      </c>
      <c r="G407" s="25" t="str">
        <f>IFERROR(__xludf.DUMMYFUNCTION("""COMPUTED_VALUE"""),"ot mt")</f>
        <v>ot mt</v>
      </c>
      <c r="H407" s="78">
        <f>IFERROR(__xludf.DUMMYFUNCTION("""COMPUTED_VALUE"""),46155.0)</f>
        <v>46155</v>
      </c>
      <c r="I407" s="27">
        <f>IFERROR(__xludf.DUMMYFUNCTION("""COMPUTED_VALUE"""),2.0)</f>
        <v>2</v>
      </c>
      <c r="J407" s="33">
        <f>IFERROR(__xludf.DUMMYFUNCTION("""COMPUTED_VALUE"""),800000.0)</f>
        <v>800000</v>
      </c>
      <c r="K407" s="30" t="str">
        <f>IFERROR(__xludf.DUMMYFUNCTION("""COMPUTED_VALUE"""),"Alhamdulillah order")</f>
        <v>Alhamdulillah order</v>
      </c>
      <c r="L407" s="49"/>
      <c r="M407" s="20"/>
      <c r="N407" s="20"/>
      <c r="O407" s="20"/>
      <c r="P407" s="20"/>
    </row>
    <row r="408">
      <c r="A408" s="97">
        <f>IFERROR(__xludf.DUMMYFUNCTION("""COMPUTED_VALUE"""),46154.0)</f>
        <v>46154</v>
      </c>
      <c r="B408" s="97" t="str">
        <f>IFERROR(__xludf.DUMMYFUNCTION("""COMPUTED_VALUE"""),"2605A064")</f>
        <v>2605A064</v>
      </c>
      <c r="C408" s="76" t="str">
        <f>IFERROR(__xludf.DUMMYFUNCTION("""COMPUTED_VALUE"""),"Pawestri")</f>
        <v>Pawestri</v>
      </c>
      <c r="D408" s="99" t="str">
        <f>IFERROR(__xludf.DUMMYFUNCTION("""COMPUTED_VALUE"""),"081330631454")</f>
        <v>081330631454</v>
      </c>
      <c r="E408" s="25" t="str">
        <f>IFERROR(__xludf.DUMMYFUNCTION("""COMPUTED_VALUE"""),"Instagram")</f>
        <v>Instagram</v>
      </c>
      <c r="F408" s="25" t="str">
        <f>IFERROR(__xludf.DUMMYFUNCTION("""COMPUTED_VALUE"""),"Gagal")</f>
        <v>Gagal</v>
      </c>
      <c r="G408" s="25" t="str">
        <f>IFERROR(__xludf.DUMMYFUNCTION("""COMPUTED_VALUE"""),"menjangan baluran")</f>
        <v>menjangan baluran</v>
      </c>
      <c r="H408" s="92"/>
      <c r="I408" s="80">
        <f>IFERROR(__xludf.DUMMYFUNCTION("""COMPUTED_VALUE"""),2.0)</f>
        <v>2</v>
      </c>
      <c r="J408" s="93">
        <f>IFERROR(__xludf.DUMMYFUNCTION("""COMPUTED_VALUE"""),3454000.0)</f>
        <v>3454000</v>
      </c>
      <c r="K408" s="19" t="str">
        <f>IFERROR(__xludf.DUMMYFUNCTION("""COMPUTED_VALUE"""),"gada balasan")</f>
        <v>gada balasan</v>
      </c>
      <c r="L408" s="76"/>
      <c r="M408" s="20"/>
      <c r="N408" s="20"/>
      <c r="O408" s="20"/>
      <c r="P408" s="20"/>
    </row>
    <row r="409">
      <c r="A409" s="110">
        <f>IFERROR(__xludf.DUMMYFUNCTION("""COMPUTED_VALUE"""),46154.0)</f>
        <v>46154</v>
      </c>
      <c r="B409" s="110" t="str">
        <f>IFERROR(__xludf.DUMMYFUNCTION("""COMPUTED_VALUE"""),"2605A065")</f>
        <v>2605A065</v>
      </c>
      <c r="C409" s="49" t="str">
        <f>IFERROR(__xludf.DUMMYFUNCTION("""COMPUTED_VALUE"""),"Nanaa")</f>
        <v>Nanaa</v>
      </c>
      <c r="D409" s="102" t="str">
        <f>IFERROR(__xludf.DUMMYFUNCTION("""COMPUTED_VALUE"""),"0895391374217")</f>
        <v>0895391374217</v>
      </c>
      <c r="E409" s="25" t="str">
        <f>IFERROR(__xludf.DUMMYFUNCTION("""COMPUTED_VALUE"""),"Instagram")</f>
        <v>Instagram</v>
      </c>
      <c r="F409" s="25" t="str">
        <f>IFERROR(__xludf.DUMMYFUNCTION("""COMPUTED_VALUE"""),"Gagal")</f>
        <v>Gagal</v>
      </c>
      <c r="G409" s="25" t="str">
        <f>IFERROR(__xludf.DUMMYFUNCTION("""COMPUTED_VALUE"""),"3h2m")</f>
        <v>3h2m</v>
      </c>
      <c r="H409" s="78"/>
      <c r="I409" s="89">
        <f>IFERROR(__xludf.DUMMYFUNCTION("""COMPUTED_VALUE"""),4.0)</f>
        <v>4</v>
      </c>
      <c r="J409" s="96"/>
      <c r="K409" s="36" t="str">
        <f>IFERROR(__xludf.DUMMYFUNCTION("""COMPUTED_VALUE"""),"fullbooked")</f>
        <v>fullbooked</v>
      </c>
      <c r="L409" s="23"/>
      <c r="M409" s="20"/>
      <c r="N409" s="20"/>
      <c r="O409" s="20"/>
      <c r="P409" s="20"/>
    </row>
    <row r="410">
      <c r="A410" s="110">
        <f>IFERROR(__xludf.DUMMYFUNCTION("""COMPUTED_VALUE"""),46155.0)</f>
        <v>46155</v>
      </c>
      <c r="B410" s="110" t="str">
        <f>IFERROR(__xludf.DUMMYFUNCTION("""COMPUTED_VALUE"""),"2605A066")</f>
        <v>2605A066</v>
      </c>
      <c r="C410" s="49" t="str">
        <f>IFERROR(__xludf.DUMMYFUNCTION("""COMPUTED_VALUE"""),"Ariel")</f>
        <v>Ariel</v>
      </c>
      <c r="D410" s="102" t="str">
        <f>IFERROR(__xludf.DUMMYFUNCTION("""COMPUTED_VALUE"""),"089674666179")</f>
        <v>089674666179</v>
      </c>
      <c r="E410" s="25" t="str">
        <f>IFERROR(__xludf.DUMMYFUNCTION("""COMPUTED_VALUE"""),"Website")</f>
        <v>Website</v>
      </c>
      <c r="F410" s="25" t="str">
        <f>IFERROR(__xludf.DUMMYFUNCTION("""COMPUTED_VALUE"""),"Gagal")</f>
        <v>Gagal</v>
      </c>
      <c r="G410" s="25" t="str">
        <f>IFERROR(__xludf.DUMMYFUNCTION("""COMPUTED_VALUE"""),"menjangan tabuhan")</f>
        <v>menjangan tabuhan</v>
      </c>
      <c r="H410" s="78">
        <f>IFERROR(__xludf.DUMMYFUNCTION("""COMPUTED_VALUE"""),46171.0)</f>
        <v>46171</v>
      </c>
      <c r="I410" s="27">
        <f>IFERROR(__xludf.DUMMYFUNCTION("""COMPUTED_VALUE"""),2.0)</f>
        <v>2</v>
      </c>
      <c r="J410" s="33">
        <f>IFERROR(__xludf.DUMMYFUNCTION("""COMPUTED_VALUE"""),800000.0)</f>
        <v>800000</v>
      </c>
      <c r="K410" s="30" t="str">
        <f>IFERROR(__xludf.DUMMYFUNCTION("""COMPUTED_VALUE"""),"gada balasan")</f>
        <v>gada balasan</v>
      </c>
      <c r="L410" s="49"/>
      <c r="M410" s="20"/>
      <c r="N410" s="20"/>
      <c r="O410" s="20"/>
      <c r="P410" s="20"/>
    </row>
    <row r="411">
      <c r="A411" s="97">
        <f>IFERROR(__xludf.DUMMYFUNCTION("""COMPUTED_VALUE"""),46155.0)</f>
        <v>46155</v>
      </c>
      <c r="B411" s="97" t="str">
        <f>IFERROR(__xludf.DUMMYFUNCTION("""COMPUTED_VALUE"""),"2605A067")</f>
        <v>2605A067</v>
      </c>
      <c r="C411" s="76" t="str">
        <f>IFERROR(__xludf.DUMMYFUNCTION("""COMPUTED_VALUE"""),"Khafid syaifulloh")</f>
        <v>Khafid syaifulloh</v>
      </c>
      <c r="D411" s="99" t="str">
        <f>IFERROR(__xludf.DUMMYFUNCTION("""COMPUTED_VALUE"""),"085850956899")</f>
        <v>085850956899</v>
      </c>
      <c r="E411" s="25" t="str">
        <f>IFERROR(__xludf.DUMMYFUNCTION("""COMPUTED_VALUE"""),"Instagram")</f>
        <v>Instagram</v>
      </c>
      <c r="F411" s="25" t="str">
        <f>IFERROR(__xludf.DUMMYFUNCTION("""COMPUTED_VALUE"""),"Gagal")</f>
        <v>Gagal</v>
      </c>
      <c r="G411" s="25" t="str">
        <f>IFERROR(__xludf.DUMMYFUNCTION("""COMPUTED_VALUE"""),"ot menjangan tabuhan")</f>
        <v>ot menjangan tabuhan</v>
      </c>
      <c r="H411" s="92"/>
      <c r="I411" s="80">
        <f>IFERROR(__xludf.DUMMYFUNCTION("""COMPUTED_VALUE"""),2.0)</f>
        <v>2</v>
      </c>
      <c r="J411" s="93"/>
      <c r="K411" s="46" t="str">
        <f>IFERROR(__xludf.DUMMYFUNCTION("""COMPUTED_VALUE"""),"gada balasan")</f>
        <v>gada balasan</v>
      </c>
      <c r="L411" s="76"/>
      <c r="M411" s="20"/>
      <c r="N411" s="20"/>
      <c r="O411" s="20"/>
      <c r="P411" s="20"/>
    </row>
    <row r="412">
      <c r="A412" s="110">
        <f>IFERROR(__xludf.DUMMYFUNCTION("""COMPUTED_VALUE"""),46155.0)</f>
        <v>46155</v>
      </c>
      <c r="B412" s="110" t="str">
        <f>IFERROR(__xludf.DUMMYFUNCTION("""COMPUTED_VALUE"""),"2605A068")</f>
        <v>2605A068</v>
      </c>
      <c r="C412" s="49" t="str">
        <f>IFERROR(__xludf.DUMMYFUNCTION("""COMPUTED_VALUE"""),"Widya")</f>
        <v>Widya</v>
      </c>
      <c r="D412" s="102" t="str">
        <f>IFERROR(__xludf.DUMMYFUNCTION("""COMPUTED_VALUE"""),"085731314222")</f>
        <v>085731314222</v>
      </c>
      <c r="E412" s="25" t="str">
        <f>IFERROR(__xludf.DUMMYFUNCTION("""COMPUTED_VALUE"""),"Instagram")</f>
        <v>Instagram</v>
      </c>
      <c r="F412" s="25" t="str">
        <f>IFERROR(__xludf.DUMMYFUNCTION("""COMPUTED_VALUE"""),"Gagal")</f>
        <v>Gagal</v>
      </c>
      <c r="G412" s="25" t="str">
        <f>IFERROR(__xludf.DUMMYFUNCTION("""COMPUTED_VALUE"""),"green island")</f>
        <v>green island</v>
      </c>
      <c r="H412" s="78">
        <f>IFERROR(__xludf.DUMMYFUNCTION("""COMPUTED_VALUE"""),46156.0)</f>
        <v>46156</v>
      </c>
      <c r="I412" s="27">
        <f>IFERROR(__xludf.DUMMYFUNCTION("""COMPUTED_VALUE"""),2.0)</f>
        <v>2</v>
      </c>
      <c r="J412" s="33"/>
      <c r="K412" s="30" t="str">
        <f>IFERROR(__xludf.DUMMYFUNCTION("""COMPUTED_VALUE"""),"fullbooked")</f>
        <v>fullbooked</v>
      </c>
      <c r="L412" s="49"/>
      <c r="M412" s="20"/>
      <c r="N412" s="20"/>
      <c r="O412" s="20"/>
      <c r="P412" s="20"/>
    </row>
    <row r="413">
      <c r="A413" s="97">
        <f>IFERROR(__xludf.DUMMYFUNCTION("""COMPUTED_VALUE"""),46155.0)</f>
        <v>46155</v>
      </c>
      <c r="B413" s="97" t="str">
        <f>IFERROR(__xludf.DUMMYFUNCTION("""COMPUTED_VALUE"""),"2605A069")</f>
        <v>2605A069</v>
      </c>
      <c r="C413" s="76" t="str">
        <f>IFERROR(__xludf.DUMMYFUNCTION("""COMPUTED_VALUE"""),"Jess")</f>
        <v>Jess</v>
      </c>
      <c r="D413" s="99" t="str">
        <f>IFERROR(__xludf.DUMMYFUNCTION("""COMPUTED_VALUE"""),"089508748886")</f>
        <v>089508748886</v>
      </c>
      <c r="E413" s="25" t="str">
        <f>IFERROR(__xludf.DUMMYFUNCTION("""COMPUTED_VALUE"""),"Lainnya")</f>
        <v>Lainnya</v>
      </c>
      <c r="F413" s="25" t="str">
        <f>IFERROR(__xludf.DUMMYFUNCTION("""COMPUTED_VALUE"""),"Qualified")</f>
        <v>Qualified</v>
      </c>
      <c r="G413" s="25" t="str">
        <f>IFERROR(__xludf.DUMMYFUNCTION("""COMPUTED_VALUE"""),"menjangan tabuhan")</f>
        <v>menjangan tabuhan</v>
      </c>
      <c r="H413" s="92">
        <f>IFERROR(__xludf.DUMMYFUNCTION("""COMPUTED_VALUE"""),46202.0)</f>
        <v>46202</v>
      </c>
      <c r="I413" s="80">
        <f>IFERROR(__xludf.DUMMYFUNCTION("""COMPUTED_VALUE"""),2.0)</f>
        <v>2</v>
      </c>
      <c r="J413" s="93">
        <f>IFERROR(__xludf.DUMMYFUNCTION("""COMPUTED_VALUE"""),800000.0)</f>
        <v>800000</v>
      </c>
      <c r="K413" s="46" t="str">
        <f>IFERROR(__xludf.DUMMYFUNCTION("""COMPUTED_VALUE"""),"fu 14 mei")</f>
        <v>fu 14 mei</v>
      </c>
      <c r="L413" s="76"/>
      <c r="M413" s="20"/>
      <c r="N413" s="20"/>
      <c r="O413" s="20"/>
      <c r="P413" s="20"/>
    </row>
    <row r="414">
      <c r="A414" s="97">
        <f>IFERROR(__xludf.DUMMYFUNCTION("""COMPUTED_VALUE"""),46155.0)</f>
        <v>46155</v>
      </c>
      <c r="B414" s="97" t="str">
        <f>IFERROR(__xludf.DUMMYFUNCTION("""COMPUTED_VALUE"""),"2605A070")</f>
        <v>2605A070</v>
      </c>
      <c r="C414" s="76" t="str">
        <f>IFERROR(__xludf.DUMMYFUNCTION("""COMPUTED_VALUE"""),"Alma Tiara Cindy")</f>
        <v>Alma Tiara Cindy</v>
      </c>
      <c r="D414" s="99" t="str">
        <f>IFERROR(__xludf.DUMMYFUNCTION("""COMPUTED_VALUE"""),"081214064884")</f>
        <v>081214064884</v>
      </c>
      <c r="E414" s="25" t="str">
        <f>IFERROR(__xludf.DUMMYFUNCTION("""COMPUTED_VALUE"""),"Instagram")</f>
        <v>Instagram</v>
      </c>
      <c r="F414" s="25" t="str">
        <f>IFERROR(__xludf.DUMMYFUNCTION("""COMPUTED_VALUE"""),"Qualified")</f>
        <v>Qualified</v>
      </c>
      <c r="G414" s="25" t="str">
        <f>IFERROR(__xludf.DUMMYFUNCTION("""COMPUTED_VALUE"""),"3h2m ot alas purwo")</f>
        <v>3h2m ot alas purwo</v>
      </c>
      <c r="H414" s="92"/>
      <c r="I414" s="80">
        <f>IFERROR(__xludf.DUMMYFUNCTION("""COMPUTED_VALUE"""),5.0)</f>
        <v>5</v>
      </c>
      <c r="J414" s="93">
        <f>IFERROR(__xludf.DUMMYFUNCTION("""COMPUTED_VALUE"""),8000000.0)</f>
        <v>8000000</v>
      </c>
      <c r="K414" s="19" t="str">
        <f>IFERROR(__xludf.DUMMYFUNCTION("""COMPUTED_VALUE"""),"fu 14 mei")</f>
        <v>fu 14 mei</v>
      </c>
      <c r="L414" s="76"/>
      <c r="M414" s="20"/>
      <c r="N414" s="20"/>
      <c r="O414" s="20"/>
      <c r="P414" s="20"/>
    </row>
    <row r="415">
      <c r="A415" s="97">
        <f>IFERROR(__xludf.DUMMYFUNCTION("""COMPUTED_VALUE"""),46155.0)</f>
        <v>46155</v>
      </c>
      <c r="B415" s="97" t="str">
        <f>IFERROR(__xludf.DUMMYFUNCTION("""COMPUTED_VALUE"""),"2605A071")</f>
        <v>2605A071</v>
      </c>
      <c r="C415" s="76" t="str">
        <f>IFERROR(__xludf.DUMMYFUNCTION("""COMPUTED_VALUE"""),"Dewi Tyas")</f>
        <v>Dewi Tyas</v>
      </c>
      <c r="D415" s="99" t="str">
        <f>IFERROR(__xludf.DUMMYFUNCTION("""COMPUTED_VALUE"""),"08170621716")</f>
        <v>08170621716</v>
      </c>
      <c r="E415" s="25" t="str">
        <f>IFERROR(__xludf.DUMMYFUNCTION("""COMPUTED_VALUE"""),"Website")</f>
        <v>Website</v>
      </c>
      <c r="F415" s="25" t="str">
        <f>IFERROR(__xludf.DUMMYFUNCTION("""COMPUTED_VALUE"""),"Qualified")</f>
        <v>Qualified</v>
      </c>
      <c r="G415" s="25" t="str">
        <f>IFERROR(__xludf.DUMMYFUNCTION("""COMPUTED_VALUE"""),"2h1m opsi b")</f>
        <v>2h1m opsi b</v>
      </c>
      <c r="H415" s="92"/>
      <c r="I415" s="17">
        <f>IFERROR(__xludf.DUMMYFUNCTION("""COMPUTED_VALUE"""),3.0)</f>
        <v>3</v>
      </c>
      <c r="J415" s="93">
        <f>IFERROR(__xludf.DUMMYFUNCTION("""COMPUTED_VALUE"""),3867000.0)</f>
        <v>3867000</v>
      </c>
      <c r="K415" s="46" t="str">
        <f>IFERROR(__xludf.DUMMYFUNCTION("""COMPUTED_VALUE"""),"fu 14 mei")</f>
        <v>fu 14 mei</v>
      </c>
      <c r="L415" s="76"/>
      <c r="M415" s="20"/>
      <c r="N415" s="20"/>
      <c r="O415" s="20"/>
      <c r="P415" s="20"/>
    </row>
    <row r="416">
      <c r="A416" s="110">
        <f>IFERROR(__xludf.DUMMYFUNCTION("""COMPUTED_VALUE"""),46155.0)</f>
        <v>46155</v>
      </c>
      <c r="B416" s="110" t="str">
        <f>IFERROR(__xludf.DUMMYFUNCTION("""COMPUTED_VALUE"""),"2605A072")</f>
        <v>2605A072</v>
      </c>
      <c r="C416" s="49" t="str">
        <f>IFERROR(__xludf.DUMMYFUNCTION("""COMPUTED_VALUE"""),"Retno Wulandari")</f>
        <v>Retno Wulandari</v>
      </c>
      <c r="D416" s="102" t="str">
        <f>IFERROR(__xludf.DUMMYFUNCTION("""COMPUTED_VALUE"""),"081333116719")</f>
        <v>081333116719</v>
      </c>
      <c r="E416" s="25" t="str">
        <f>IFERROR(__xludf.DUMMYFUNCTION("""COMPUTED_VALUE"""),"Website")</f>
        <v>Website</v>
      </c>
      <c r="F416" s="25" t="str">
        <f>IFERROR(__xludf.DUMMYFUNCTION("""COMPUTED_VALUE"""),"Gagal")</f>
        <v>Gagal</v>
      </c>
      <c r="G416" s="25"/>
      <c r="H416" s="26">
        <f>IFERROR(__xludf.DUMMYFUNCTION("""COMPUTED_VALUE"""),46157.0)</f>
        <v>46157</v>
      </c>
      <c r="I416" s="27"/>
      <c r="J416" s="33"/>
      <c r="K416" s="30" t="str">
        <f>IFERROR(__xludf.DUMMYFUNCTION("""COMPUTED_VALUE"""),"fullbooked")</f>
        <v>fullbooked</v>
      </c>
      <c r="L416" s="49"/>
      <c r="M416" s="20"/>
      <c r="N416" s="20"/>
      <c r="O416" s="20"/>
      <c r="P416" s="20"/>
    </row>
    <row r="417">
      <c r="A417" s="110">
        <f>IFERROR(__xludf.DUMMYFUNCTION("""COMPUTED_VALUE"""),46156.0)</f>
        <v>46156</v>
      </c>
      <c r="B417" s="110" t="str">
        <f>IFERROR(__xludf.DUMMYFUNCTION("""COMPUTED_VALUE"""),"2605A073")</f>
        <v>2605A073</v>
      </c>
      <c r="C417" s="49" t="str">
        <f>IFERROR(__xludf.DUMMYFUNCTION("""COMPUTED_VALUE"""),"Indrie A.ch")</f>
        <v>Indrie A.ch</v>
      </c>
      <c r="D417" s="102" t="str">
        <f>IFERROR(__xludf.DUMMYFUNCTION("""COMPUTED_VALUE"""),"089617299022")</f>
        <v>089617299022</v>
      </c>
      <c r="E417" s="25" t="str">
        <f>IFERROR(__xludf.DUMMYFUNCTION("""COMPUTED_VALUE"""),"Website")</f>
        <v>Website</v>
      </c>
      <c r="F417" s="25" t="str">
        <f>IFERROR(__xludf.DUMMYFUNCTION("""COMPUTED_VALUE"""),"Gagal")</f>
        <v>Gagal</v>
      </c>
      <c r="G417" s="25"/>
      <c r="H417" s="78"/>
      <c r="I417" s="89"/>
      <c r="J417" s="96"/>
      <c r="K417" s="30" t="str">
        <f>IFERROR(__xludf.DUMMYFUNCTION("""COMPUTED_VALUE"""),"gada balasan")</f>
        <v>gada balasan</v>
      </c>
      <c r="L417" s="49"/>
      <c r="M417" s="20"/>
      <c r="N417" s="20"/>
      <c r="O417" s="20"/>
      <c r="P417" s="20"/>
    </row>
    <row r="418">
      <c r="A418" s="110">
        <f>IFERROR(__xludf.DUMMYFUNCTION("""COMPUTED_VALUE"""),46156.0)</f>
        <v>46156</v>
      </c>
      <c r="B418" s="110" t="str">
        <f>IFERROR(__xludf.DUMMYFUNCTION("""COMPUTED_VALUE"""),"2605A074")</f>
        <v>2605A074</v>
      </c>
      <c r="C418" s="49" t="str">
        <f>IFERROR(__xludf.DUMMYFUNCTION("""COMPUTED_VALUE"""),"Lina")</f>
        <v>Lina</v>
      </c>
      <c r="D418" s="102" t="str">
        <f>IFERROR(__xludf.DUMMYFUNCTION("""COMPUTED_VALUE"""),"0895603811349")</f>
        <v>0895603811349</v>
      </c>
      <c r="E418" s="25" t="str">
        <f>IFERROR(__xludf.DUMMYFUNCTION("""COMPUTED_VALUE"""),"Lainnya")</f>
        <v>Lainnya</v>
      </c>
      <c r="F418" s="25" t="str">
        <f>IFERROR(__xludf.DUMMYFUNCTION("""COMPUTED_VALUE"""),"Closing")</f>
        <v>Closing</v>
      </c>
      <c r="G418" s="25" t="str">
        <f>IFERROR(__xludf.DUMMYFUNCTION("""COMPUTED_VALUE"""),"ot mt")</f>
        <v>ot mt</v>
      </c>
      <c r="H418" s="78">
        <f>IFERROR(__xludf.DUMMYFUNCTION("""COMPUTED_VALUE"""),46166.0)</f>
        <v>46166</v>
      </c>
      <c r="I418" s="27">
        <f>IFERROR(__xludf.DUMMYFUNCTION("""COMPUTED_VALUE"""),6.0)</f>
        <v>6</v>
      </c>
      <c r="J418" s="96">
        <f>IFERROR(__xludf.DUMMYFUNCTION("""COMPUTED_VALUE"""),1650000.0)</f>
        <v>1650000</v>
      </c>
      <c r="K418" s="30" t="str">
        <f>IFERROR(__xludf.DUMMYFUNCTION("""COMPUTED_VALUE"""),"alhamdulillah order")</f>
        <v>alhamdulillah order</v>
      </c>
      <c r="L418" s="49"/>
      <c r="M418" s="20"/>
      <c r="N418" s="20"/>
      <c r="O418" s="20"/>
      <c r="P418" s="20"/>
    </row>
    <row r="419">
      <c r="A419" s="97">
        <f>IFERROR(__xludf.DUMMYFUNCTION("""COMPUTED_VALUE"""),46160.0)</f>
        <v>46160</v>
      </c>
      <c r="B419" s="97" t="str">
        <f>IFERROR(__xludf.DUMMYFUNCTION("""COMPUTED_VALUE"""),"2605A075")</f>
        <v>2605A075</v>
      </c>
      <c r="C419" s="76" t="str">
        <f>IFERROR(__xludf.DUMMYFUNCTION("""COMPUTED_VALUE"""),"Veronica Merry")</f>
        <v>Veronica Merry</v>
      </c>
      <c r="D419" s="99" t="str">
        <f>IFERROR(__xludf.DUMMYFUNCTION("""COMPUTED_VALUE"""),"08112952345")</f>
        <v>08112952345</v>
      </c>
      <c r="E419" s="25" t="str">
        <f>IFERROR(__xludf.DUMMYFUNCTION("""COMPUTED_VALUE"""),"Instagram")</f>
        <v>Instagram</v>
      </c>
      <c r="F419" s="25" t="str">
        <f>IFERROR(__xludf.DUMMYFUNCTION("""COMPUTED_VALUE"""),"Closing")</f>
        <v>Closing</v>
      </c>
      <c r="G419" s="25" t="str">
        <f>IFERROR(__xludf.DUMMYFUNCTION("""COMPUTED_VALUE"""),"ot mt")</f>
        <v>ot mt</v>
      </c>
      <c r="H419" s="92">
        <f>IFERROR(__xludf.DUMMYFUNCTION("""COMPUTED_VALUE"""),46262.0)</f>
        <v>46262</v>
      </c>
      <c r="I419" s="80">
        <f>IFERROR(__xludf.DUMMYFUNCTION("""COMPUTED_VALUE"""),2.0)</f>
        <v>2</v>
      </c>
      <c r="J419" s="93">
        <f>IFERROR(__xludf.DUMMYFUNCTION("""COMPUTED_VALUE"""),800000.0)</f>
        <v>800000</v>
      </c>
      <c r="K419" s="46" t="str">
        <f>IFERROR(__xludf.DUMMYFUNCTION("""COMPUTED_VALUE"""),"alhamdulillah order")</f>
        <v>alhamdulillah order</v>
      </c>
      <c r="L419" s="76"/>
      <c r="M419" s="20"/>
      <c r="N419" s="20"/>
      <c r="O419" s="20"/>
      <c r="P419" s="20"/>
    </row>
    <row r="420">
      <c r="A420" s="110">
        <f>IFERROR(__xludf.DUMMYFUNCTION("""COMPUTED_VALUE"""),46157.0)</f>
        <v>46157</v>
      </c>
      <c r="B420" s="110" t="str">
        <f>IFERROR(__xludf.DUMMYFUNCTION("""COMPUTED_VALUE"""),"2605A076")</f>
        <v>2605A076</v>
      </c>
      <c r="C420" s="49" t="str">
        <f>IFERROR(__xludf.DUMMYFUNCTION("""COMPUTED_VALUE"""),"PAWON MAMI / Diajeng TAri")</f>
        <v>PAWON MAMI / Diajeng TAri</v>
      </c>
      <c r="D420" s="102" t="str">
        <f>IFERROR(__xludf.DUMMYFUNCTION("""COMPUTED_VALUE"""),"081904031152")</f>
        <v>081904031152</v>
      </c>
      <c r="E420" s="25" t="str">
        <f>IFERROR(__xludf.DUMMYFUNCTION("""COMPUTED_VALUE"""),"Lainnya")</f>
        <v>Lainnya</v>
      </c>
      <c r="F420" s="25" t="str">
        <f>IFERROR(__xludf.DUMMYFUNCTION("""COMPUTED_VALUE"""),"Leads Baru")</f>
        <v>Leads Baru</v>
      </c>
      <c r="G420" s="25" t="str">
        <f>IFERROR(__xludf.DUMMYFUNCTION("""COMPUTED_VALUE"""),"3h2m")</f>
        <v>3h2m</v>
      </c>
      <c r="H420" s="78"/>
      <c r="I420" s="89">
        <f>IFERROR(__xludf.DUMMYFUNCTION("""COMPUTED_VALUE"""),2.0)</f>
        <v>2</v>
      </c>
      <c r="J420" s="96"/>
      <c r="K420" s="30" t="str">
        <f>IFERROR(__xludf.DUMMYFUNCTION("""COMPUTED_VALUE"""),"fu 15 november")</f>
        <v>fu 15 november</v>
      </c>
      <c r="L420" s="49"/>
      <c r="M420" s="20"/>
      <c r="N420" s="20"/>
      <c r="O420" s="20"/>
      <c r="P420" s="20"/>
    </row>
    <row r="421">
      <c r="A421" s="97">
        <f>IFERROR(__xludf.DUMMYFUNCTION("""COMPUTED_VALUE"""),46157.0)</f>
        <v>46157</v>
      </c>
      <c r="B421" s="97" t="str">
        <f>IFERROR(__xludf.DUMMYFUNCTION("""COMPUTED_VALUE"""),"2605A077")</f>
        <v>2605A077</v>
      </c>
      <c r="C421" s="76" t="str">
        <f>IFERROR(__xludf.DUMMYFUNCTION("""COMPUTED_VALUE"""),"Fajar NR")</f>
        <v>Fajar NR</v>
      </c>
      <c r="D421" s="99" t="str">
        <f>IFERROR(__xludf.DUMMYFUNCTION("""COMPUTED_VALUE"""),"085725692529")</f>
        <v>085725692529</v>
      </c>
      <c r="E421" s="25" t="str">
        <f>IFERROR(__xludf.DUMMYFUNCTION("""COMPUTED_VALUE"""),"Website")</f>
        <v>Website</v>
      </c>
      <c r="F421" s="25" t="str">
        <f>IFERROR(__xludf.DUMMYFUNCTION("""COMPUTED_VALUE"""),"Gagal")</f>
        <v>Gagal</v>
      </c>
      <c r="G421" s="25" t="str">
        <f>IFERROR(__xludf.DUMMYFUNCTION("""COMPUTED_VALUE"""),"1 day")</f>
        <v>1 day</v>
      </c>
      <c r="H421" s="92"/>
      <c r="I421" s="17"/>
      <c r="J421" s="54"/>
      <c r="K421" s="46" t="str">
        <f>IFERROR(__xludf.DUMMYFUNCTION("""COMPUTED_VALUE"""),"ditunda")</f>
        <v>ditunda</v>
      </c>
      <c r="L421" s="76"/>
      <c r="M421" s="20"/>
      <c r="N421" s="20"/>
      <c r="O421" s="20"/>
      <c r="P421" s="20"/>
    </row>
    <row r="422">
      <c r="A422" s="110">
        <f>IFERROR(__xludf.DUMMYFUNCTION("""COMPUTED_VALUE"""),46157.0)</f>
        <v>46157</v>
      </c>
      <c r="B422" s="110" t="str">
        <f>IFERROR(__xludf.DUMMYFUNCTION("""COMPUTED_VALUE"""),"2605A078")</f>
        <v>2605A078</v>
      </c>
      <c r="C422" s="49" t="str">
        <f>IFERROR(__xludf.DUMMYFUNCTION("""COMPUTED_VALUE"""),"Tiara Malinda")</f>
        <v>Tiara Malinda</v>
      </c>
      <c r="D422" s="102" t="str">
        <f>IFERROR(__xludf.DUMMYFUNCTION("""COMPUTED_VALUE"""),"085273813010")</f>
        <v>085273813010</v>
      </c>
      <c r="E422" s="25" t="str">
        <f>IFERROR(__xludf.DUMMYFUNCTION("""COMPUTED_VALUE"""),"Instagram")</f>
        <v>Instagram</v>
      </c>
      <c r="F422" s="25" t="str">
        <f>IFERROR(__xludf.DUMMYFUNCTION("""COMPUTED_VALUE"""),"Gagal")</f>
        <v>Gagal</v>
      </c>
      <c r="G422" s="25" t="str">
        <f>IFERROR(__xludf.DUMMYFUNCTION("""COMPUTED_VALUE"""),"3h2m honeymoon")</f>
        <v>3h2m honeymoon</v>
      </c>
      <c r="H422" s="78"/>
      <c r="I422" s="89">
        <f>IFERROR(__xludf.DUMMYFUNCTION("""COMPUTED_VALUE"""),2.0)</f>
        <v>2</v>
      </c>
      <c r="J422" s="96"/>
      <c r="K422" s="36" t="str">
        <f>IFERROR(__xludf.DUMMYFUNCTION("""COMPUTED_VALUE"""),"lewat tanggal")</f>
        <v>lewat tanggal</v>
      </c>
      <c r="L422" s="49"/>
      <c r="M422" s="20"/>
      <c r="N422" s="20"/>
      <c r="O422" s="20"/>
      <c r="P422" s="20"/>
    </row>
    <row r="423">
      <c r="A423" s="97">
        <f>IFERROR(__xludf.DUMMYFUNCTION("""COMPUTED_VALUE"""),46157.0)</f>
        <v>46157</v>
      </c>
      <c r="B423" s="97" t="str">
        <f>IFERROR(__xludf.DUMMYFUNCTION("""COMPUTED_VALUE"""),"2605A079")</f>
        <v>2605A079</v>
      </c>
      <c r="C423" s="76" t="str">
        <f>IFERROR(__xludf.DUMMYFUNCTION("""COMPUTED_VALUE"""),"Tike Hervianty")</f>
        <v>Tike Hervianty</v>
      </c>
      <c r="D423" s="99" t="str">
        <f>IFERROR(__xludf.DUMMYFUNCTION("""COMPUTED_VALUE"""),"082323800099")</f>
        <v>082323800099</v>
      </c>
      <c r="E423" s="25" t="str">
        <f>IFERROR(__xludf.DUMMYFUNCTION("""COMPUTED_VALUE"""),"Lainnya")</f>
        <v>Lainnya</v>
      </c>
      <c r="F423" s="25" t="str">
        <f>IFERROR(__xludf.DUMMYFUNCTION("""COMPUTED_VALUE"""),"Gagal")</f>
        <v>Gagal</v>
      </c>
      <c r="G423" s="25" t="str">
        <f>IFERROR(__xludf.DUMMYFUNCTION("""COMPUTED_VALUE"""),"ot mt")</f>
        <v>ot mt</v>
      </c>
      <c r="H423" s="92">
        <f>IFERROR(__xludf.DUMMYFUNCTION("""COMPUTED_VALUE"""),46184.0)</f>
        <v>46184</v>
      </c>
      <c r="I423" s="80">
        <f>IFERROR(__xludf.DUMMYFUNCTION("""COMPUTED_VALUE"""),2.0)</f>
        <v>2</v>
      </c>
      <c r="J423" s="93">
        <f>IFERROR(__xludf.DUMMYFUNCTION("""COMPUTED_VALUE"""),800000.0)</f>
        <v>800000</v>
      </c>
      <c r="K423" s="19" t="str">
        <f>IFERROR(__xludf.DUMMYFUNCTION("""COMPUTED_VALUE"""),"lewat tanggal")</f>
        <v>lewat tanggal</v>
      </c>
      <c r="L423" s="76"/>
      <c r="M423" s="20"/>
      <c r="N423" s="20"/>
      <c r="O423" s="20"/>
      <c r="P423" s="20"/>
    </row>
    <row r="424">
      <c r="A424" s="97">
        <f>IFERROR(__xludf.DUMMYFUNCTION("""COMPUTED_VALUE"""),46157.0)</f>
        <v>46157</v>
      </c>
      <c r="B424" s="97" t="str">
        <f>IFERROR(__xludf.DUMMYFUNCTION("""COMPUTED_VALUE"""),"2605A080")</f>
        <v>2605A080</v>
      </c>
      <c r="C424" s="76" t="str">
        <f>IFERROR(__xludf.DUMMYFUNCTION("""COMPUTED_VALUE"""),"Chika")</f>
        <v>Chika</v>
      </c>
      <c r="D424" s="99" t="str">
        <f>IFERROR(__xludf.DUMMYFUNCTION("""COMPUTED_VALUE"""),"081997896316")</f>
        <v>081997896316</v>
      </c>
      <c r="E424" s="25" t="str">
        <f>IFERROR(__xludf.DUMMYFUNCTION("""COMPUTED_VALUE"""),"Lainnya")</f>
        <v>Lainnya</v>
      </c>
      <c r="F424" s="25" t="str">
        <f>IFERROR(__xludf.DUMMYFUNCTION("""COMPUTED_VALUE"""),"Gagal")</f>
        <v>Gagal</v>
      </c>
      <c r="G424" s="25" t="str">
        <f>IFERROR(__xludf.DUMMYFUNCTION("""COMPUTED_VALUE"""),"2h1m z")</f>
        <v>2h1m z</v>
      </c>
      <c r="H424" s="92">
        <f>IFERROR(__xludf.DUMMYFUNCTION("""COMPUTED_VALUE"""),46187.0)</f>
        <v>46187</v>
      </c>
      <c r="I424" s="80">
        <f>IFERROR(__xludf.DUMMYFUNCTION("""COMPUTED_VALUE"""),2.0)</f>
        <v>2</v>
      </c>
      <c r="J424" s="93">
        <f>IFERROR(__xludf.DUMMYFUNCTION("""COMPUTED_VALUE"""),4516000.0)</f>
        <v>4516000</v>
      </c>
      <c r="K424" s="46" t="str">
        <f>IFERROR(__xludf.DUMMYFUNCTION("""COMPUTED_VALUE"""),"lewat tanggal")</f>
        <v>lewat tanggal</v>
      </c>
      <c r="L424" s="76"/>
      <c r="M424" s="20"/>
      <c r="N424" s="20"/>
      <c r="O424" s="20"/>
      <c r="P424" s="20"/>
    </row>
    <row r="425">
      <c r="A425" s="110">
        <f>IFERROR(__xludf.DUMMYFUNCTION("""COMPUTED_VALUE"""),46157.0)</f>
        <v>46157</v>
      </c>
      <c r="B425" s="110" t="str">
        <f>IFERROR(__xludf.DUMMYFUNCTION("""COMPUTED_VALUE"""),"2605A081")</f>
        <v>2605A081</v>
      </c>
      <c r="C425" s="49" t="str">
        <f>IFERROR(__xludf.DUMMYFUNCTION("""COMPUTED_VALUE"""),"Intan Dewi Sartika")</f>
        <v>Intan Dewi Sartika</v>
      </c>
      <c r="D425" s="102" t="str">
        <f>IFERROR(__xludf.DUMMYFUNCTION("""COMPUTED_VALUE"""),"08989681962")</f>
        <v>08989681962</v>
      </c>
      <c r="E425" s="25" t="str">
        <f>IFERROR(__xludf.DUMMYFUNCTION("""COMPUTED_VALUE"""),"Instagram")</f>
        <v>Instagram</v>
      </c>
      <c r="F425" s="25" t="str">
        <f>IFERROR(__xludf.DUMMYFUNCTION("""COMPUTED_VALUE"""),"Gagal")</f>
        <v>Gagal</v>
      </c>
      <c r="G425" s="25" t="str">
        <f>IFERROR(__xludf.DUMMYFUNCTION("""COMPUTED_VALUE"""),"open trip")</f>
        <v>open trip</v>
      </c>
      <c r="H425" s="78"/>
      <c r="I425" s="89"/>
      <c r="J425" s="96"/>
      <c r="K425" s="30" t="str">
        <f>IFERROR(__xludf.DUMMYFUNCTION("""COMPUTED_VALUE"""),"lewat tanggal")</f>
        <v>lewat tanggal</v>
      </c>
      <c r="L425" s="49"/>
      <c r="M425" s="20"/>
      <c r="N425" s="20"/>
      <c r="O425" s="20"/>
      <c r="P425" s="20"/>
    </row>
    <row r="426">
      <c r="A426" s="97">
        <f>IFERROR(__xludf.DUMMYFUNCTION("""COMPUTED_VALUE"""),46158.0)</f>
        <v>46158</v>
      </c>
      <c r="B426" s="97" t="str">
        <f>IFERROR(__xludf.DUMMYFUNCTION("""COMPUTED_VALUE"""),"2605A082")</f>
        <v>2605A082</v>
      </c>
      <c r="C426" s="76" t="str">
        <f>IFERROR(__xludf.DUMMYFUNCTION("""COMPUTED_VALUE"""),"Muhammad Fakhri M")</f>
        <v>Muhammad Fakhri M</v>
      </c>
      <c r="D426" s="99" t="str">
        <f>IFERROR(__xludf.DUMMYFUNCTION("""COMPUTED_VALUE"""),"085226131173")</f>
        <v>085226131173</v>
      </c>
      <c r="E426" s="25" t="str">
        <f>IFERROR(__xludf.DUMMYFUNCTION("""COMPUTED_VALUE"""),"Website")</f>
        <v>Website</v>
      </c>
      <c r="F426" s="25" t="str">
        <f>IFERROR(__xludf.DUMMYFUNCTION("""COMPUTED_VALUE"""),"Gagal")</f>
        <v>Gagal</v>
      </c>
      <c r="G426" s="25" t="str">
        <f>IFERROR(__xludf.DUMMYFUNCTION("""COMPUTED_VALUE"""),"open trip menjangan")</f>
        <v>open trip menjangan</v>
      </c>
      <c r="H426" s="16">
        <f>IFERROR(__xludf.DUMMYFUNCTION("""COMPUTED_VALUE"""),46186.0)</f>
        <v>46186</v>
      </c>
      <c r="I426" s="17">
        <f>IFERROR(__xludf.DUMMYFUNCTION("""COMPUTED_VALUE"""),1.0)</f>
        <v>1</v>
      </c>
      <c r="J426" s="54"/>
      <c r="K426" s="46" t="str">
        <f>IFERROR(__xludf.DUMMYFUNCTION("""COMPUTED_VALUE"""),"lewat tanggal")</f>
        <v>lewat tanggal</v>
      </c>
      <c r="L426" s="76"/>
      <c r="M426" s="20"/>
      <c r="N426" s="20"/>
      <c r="O426" s="20"/>
      <c r="P426" s="20"/>
    </row>
    <row r="427">
      <c r="A427" s="110">
        <f>IFERROR(__xludf.DUMMYFUNCTION("""COMPUTED_VALUE"""),46159.0)</f>
        <v>46159</v>
      </c>
      <c r="B427" s="110" t="str">
        <f>IFERROR(__xludf.DUMMYFUNCTION("""COMPUTED_VALUE"""),"2605A083")</f>
        <v>2605A083</v>
      </c>
      <c r="C427" s="49" t="str">
        <f>IFERROR(__xludf.DUMMYFUNCTION("""COMPUTED_VALUE"""),"Farchan")</f>
        <v>Farchan</v>
      </c>
      <c r="D427" s="102" t="str">
        <f>IFERROR(__xludf.DUMMYFUNCTION("""COMPUTED_VALUE"""),"089512860188")</f>
        <v>089512860188</v>
      </c>
      <c r="E427" s="25" t="str">
        <f>IFERROR(__xludf.DUMMYFUNCTION("""COMPUTED_VALUE"""),"Lainnya")</f>
        <v>Lainnya</v>
      </c>
      <c r="F427" s="25" t="str">
        <f>IFERROR(__xludf.DUMMYFUNCTION("""COMPUTED_VALUE"""),"Gagal")</f>
        <v>Gagal</v>
      </c>
      <c r="G427" s="25" t="str">
        <f>IFERROR(__xludf.DUMMYFUNCTION("""COMPUTED_VALUE"""),"ot mt")</f>
        <v>ot mt</v>
      </c>
      <c r="H427" s="26"/>
      <c r="I427" s="27">
        <f>IFERROR(__xludf.DUMMYFUNCTION("""COMPUTED_VALUE"""),6.0)</f>
        <v>6</v>
      </c>
      <c r="J427" s="33"/>
      <c r="K427" s="30" t="str">
        <f>IFERROR(__xludf.DUMMYFUNCTION("""COMPUTED_VALUE"""),"lewat tanggal")</f>
        <v>lewat tanggal</v>
      </c>
      <c r="L427" s="49"/>
      <c r="M427" s="20"/>
      <c r="N427" s="20"/>
      <c r="O427" s="20"/>
      <c r="P427" s="20"/>
    </row>
    <row r="428">
      <c r="A428" s="97">
        <f>IFERROR(__xludf.DUMMYFUNCTION("""COMPUTED_VALUE"""),46159.0)</f>
        <v>46159</v>
      </c>
      <c r="B428" s="97" t="str">
        <f>IFERROR(__xludf.DUMMYFUNCTION("""COMPUTED_VALUE"""),"2605A084")</f>
        <v>2605A084</v>
      </c>
      <c r="C428" s="76" t="str">
        <f>IFERROR(__xludf.DUMMYFUNCTION("""COMPUTED_VALUE"""),"Ika PB")</f>
        <v>Ika PB</v>
      </c>
      <c r="D428" s="99" t="str">
        <f>IFERROR(__xludf.DUMMYFUNCTION("""COMPUTED_VALUE"""),"08156515800")</f>
        <v>08156515800</v>
      </c>
      <c r="E428" s="25" t="str">
        <f>IFERROR(__xludf.DUMMYFUNCTION("""COMPUTED_VALUE"""),"Lainnya")</f>
        <v>Lainnya</v>
      </c>
      <c r="F428" s="25" t="str">
        <f>IFERROR(__xludf.DUMMYFUNCTION("""COMPUTED_VALUE"""),"Gagal")</f>
        <v>Gagal</v>
      </c>
      <c r="G428" s="25" t="str">
        <f>IFERROR(__xludf.DUMMYFUNCTION("""COMPUTED_VALUE"""),"3h2m")</f>
        <v>3h2m</v>
      </c>
      <c r="H428" s="92"/>
      <c r="I428" s="80">
        <f>IFERROR(__xludf.DUMMYFUNCTION("""COMPUTED_VALUE"""),2.0)</f>
        <v>2</v>
      </c>
      <c r="J428" s="93"/>
      <c r="K428" s="19" t="str">
        <f>IFERROR(__xludf.DUMMYFUNCTION("""COMPUTED_VALUE"""),"waktu tidak pas")</f>
        <v>waktu tidak pas</v>
      </c>
      <c r="L428" s="76"/>
      <c r="M428" s="20"/>
      <c r="N428" s="20"/>
      <c r="O428" s="20"/>
      <c r="P428" s="20"/>
    </row>
    <row r="429">
      <c r="A429" s="110">
        <f>IFERROR(__xludf.DUMMYFUNCTION("""COMPUTED_VALUE"""),46159.0)</f>
        <v>46159</v>
      </c>
      <c r="B429" s="110" t="str">
        <f>IFERROR(__xludf.DUMMYFUNCTION("""COMPUTED_VALUE"""),"2605A085")</f>
        <v>2605A085</v>
      </c>
      <c r="C429" s="49" t="str">
        <f>IFERROR(__xludf.DUMMYFUNCTION("""COMPUTED_VALUE"""),"Rudi")</f>
        <v>Rudi</v>
      </c>
      <c r="D429" s="102" t="str">
        <f>IFERROR(__xludf.DUMMYFUNCTION("""COMPUTED_VALUE"""),"0857742850411")</f>
        <v>0857742850411</v>
      </c>
      <c r="E429" s="25" t="str">
        <f>IFERROR(__xludf.DUMMYFUNCTION("""COMPUTED_VALUE"""),"Website")</f>
        <v>Website</v>
      </c>
      <c r="F429" s="25" t="str">
        <f>IFERROR(__xludf.DUMMYFUNCTION("""COMPUTED_VALUE"""),"Gagal")</f>
        <v>Gagal</v>
      </c>
      <c r="G429" s="25" t="str">
        <f>IFERROR(__xludf.DUMMYFUNCTION("""COMPUTED_VALUE"""),"3h2m opsi a")</f>
        <v>3h2m opsi a</v>
      </c>
      <c r="H429" s="78"/>
      <c r="I429" s="89">
        <f>IFERROR(__xludf.DUMMYFUNCTION("""COMPUTED_VALUE"""),2.0)</f>
        <v>2</v>
      </c>
      <c r="J429" s="96">
        <f>IFERROR(__xludf.DUMMYFUNCTION("""COMPUTED_VALUE"""),6128000.0)</f>
        <v>6128000</v>
      </c>
      <c r="K429" s="30" t="str">
        <f>IFERROR(__xludf.DUMMYFUNCTION("""COMPUTED_VALUE"""),"gada balasan")</f>
        <v>gada balasan</v>
      </c>
      <c r="L429" s="49"/>
      <c r="M429" s="20"/>
      <c r="N429" s="20"/>
      <c r="O429" s="20"/>
      <c r="P429" s="20"/>
    </row>
    <row r="430">
      <c r="A430" s="97">
        <f>IFERROR(__xludf.DUMMYFUNCTION("""COMPUTED_VALUE"""),46159.0)</f>
        <v>46159</v>
      </c>
      <c r="B430" s="97" t="str">
        <f>IFERROR(__xludf.DUMMYFUNCTION("""COMPUTED_VALUE"""),"2605A086")</f>
        <v>2605A086</v>
      </c>
      <c r="C430" s="76" t="str">
        <f>IFERROR(__xludf.DUMMYFUNCTION("""COMPUTED_VALUE"""),"Purwanto")</f>
        <v>Purwanto</v>
      </c>
      <c r="D430" s="99" t="str">
        <f>IFERROR(__xludf.DUMMYFUNCTION("""COMPUTED_VALUE"""),"0859106863261")</f>
        <v>0859106863261</v>
      </c>
      <c r="E430" s="25" t="str">
        <f>IFERROR(__xludf.DUMMYFUNCTION("""COMPUTED_VALUE"""),"Website")</f>
        <v>Website</v>
      </c>
      <c r="F430" s="25" t="str">
        <f>IFERROR(__xludf.DUMMYFUNCTION("""COMPUTED_VALUE"""),"Gagal")</f>
        <v>Gagal</v>
      </c>
      <c r="G430" s="25" t="str">
        <f>IFERROR(__xludf.DUMMYFUNCTION("""COMPUTED_VALUE"""),"pantai ketapang")</f>
        <v>pantai ketapang</v>
      </c>
      <c r="H430" s="92">
        <f>IFERROR(__xludf.DUMMYFUNCTION("""COMPUTED_VALUE"""),46205.0)</f>
        <v>46205</v>
      </c>
      <c r="I430" s="80">
        <f>IFERROR(__xludf.DUMMYFUNCTION("""COMPUTED_VALUE"""),5.0)</f>
        <v>5</v>
      </c>
      <c r="J430" s="93"/>
      <c r="K430" s="46" t="str">
        <f>IFERROR(__xludf.DUMMYFUNCTION("""COMPUTED_VALUE"""),"gada balasan")</f>
        <v>gada balasan</v>
      </c>
      <c r="L430" s="76"/>
      <c r="M430" s="20"/>
      <c r="N430" s="20"/>
      <c r="O430" s="20"/>
      <c r="P430" s="20"/>
    </row>
    <row r="431">
      <c r="A431" s="126">
        <f>IFERROR(__xludf.DUMMYFUNCTION("""COMPUTED_VALUE"""),46159.0)</f>
        <v>46159</v>
      </c>
      <c r="B431" s="110" t="str">
        <f>IFERROR(__xludf.DUMMYFUNCTION("""COMPUTED_VALUE"""),"2605A087")</f>
        <v>2605A087</v>
      </c>
      <c r="C431" s="49" t="str">
        <f>IFERROR(__xludf.DUMMYFUNCTION("""COMPUTED_VALUE"""),"Meliyana")</f>
        <v>Meliyana</v>
      </c>
      <c r="D431" s="102" t="str">
        <f>IFERROR(__xludf.DUMMYFUNCTION("""COMPUTED_VALUE"""),"083813795762")</f>
        <v>083813795762</v>
      </c>
      <c r="E431" s="25" t="str">
        <f>IFERROR(__xludf.DUMMYFUNCTION("""COMPUTED_VALUE"""),"Lainnya")</f>
        <v>Lainnya</v>
      </c>
      <c r="F431" s="25" t="str">
        <f>IFERROR(__xludf.DUMMYFUNCTION("""COMPUTED_VALUE"""),"Gagal")</f>
        <v>Gagal</v>
      </c>
      <c r="G431" s="25" t="str">
        <f>IFERROR(__xludf.DUMMYFUNCTION("""COMPUTED_VALUE"""),"ot 3h2m")</f>
        <v>ot 3h2m</v>
      </c>
      <c r="H431" s="78"/>
      <c r="I431" s="27"/>
      <c r="J431" s="33"/>
      <c r="K431" s="30" t="str">
        <f>IFERROR(__xludf.DUMMYFUNCTION("""COMPUTED_VALUE"""),"gada balasan")</f>
        <v>gada balasan</v>
      </c>
      <c r="L431" s="49"/>
      <c r="M431" s="20"/>
      <c r="N431" s="20"/>
      <c r="O431" s="20"/>
      <c r="P431" s="20"/>
    </row>
    <row r="432">
      <c r="A432" s="97">
        <f>IFERROR(__xludf.DUMMYFUNCTION("""COMPUTED_VALUE"""),46160.0)</f>
        <v>46160</v>
      </c>
      <c r="B432" s="97" t="str">
        <f>IFERROR(__xludf.DUMMYFUNCTION("""COMPUTED_VALUE"""),"2605A088")</f>
        <v>2605A088</v>
      </c>
      <c r="C432" s="76" t="str">
        <f>IFERROR(__xludf.DUMMYFUNCTION("""COMPUTED_VALUE"""),"Linson")</f>
        <v>Linson</v>
      </c>
      <c r="D432" s="99" t="str">
        <f>IFERROR(__xludf.DUMMYFUNCTION("""COMPUTED_VALUE"""),"08114107337")</f>
        <v>08114107337</v>
      </c>
      <c r="E432" s="25" t="str">
        <f>IFERROR(__xludf.DUMMYFUNCTION("""COMPUTED_VALUE"""),"Website")</f>
        <v>Website</v>
      </c>
      <c r="F432" s="25" t="str">
        <f>IFERROR(__xludf.DUMMYFUNCTION("""COMPUTED_VALUE"""),"Gagal")</f>
        <v>Gagal</v>
      </c>
      <c r="G432" s="25" t="str">
        <f>IFERROR(__xludf.DUMMYFUNCTION("""COMPUTED_VALUE"""),"ot selatan")</f>
        <v>ot selatan</v>
      </c>
      <c r="H432" s="92">
        <f>IFERROR(__xludf.DUMMYFUNCTION("""COMPUTED_VALUE"""),46169.0)</f>
        <v>46169</v>
      </c>
      <c r="I432" s="80">
        <f>IFERROR(__xludf.DUMMYFUNCTION("""COMPUTED_VALUE"""),2.0)</f>
        <v>2</v>
      </c>
      <c r="J432" s="93">
        <f>IFERROR(__xludf.DUMMYFUNCTION("""COMPUTED_VALUE"""),2098000.0)</f>
        <v>2098000</v>
      </c>
      <c r="K432" s="46" t="str">
        <f>IFERROR(__xludf.DUMMYFUNCTION("""COMPUTED_VALUE"""),"gada jawaban")</f>
        <v>gada jawaban</v>
      </c>
      <c r="L432" s="76"/>
      <c r="M432" s="20"/>
      <c r="N432" s="20"/>
      <c r="O432" s="20"/>
      <c r="P432" s="20"/>
    </row>
    <row r="433">
      <c r="A433" s="110">
        <f>IFERROR(__xludf.DUMMYFUNCTION("""COMPUTED_VALUE"""),46159.0)</f>
        <v>46159</v>
      </c>
      <c r="B433" s="110" t="str">
        <f>IFERROR(__xludf.DUMMYFUNCTION("""COMPUTED_VALUE"""),"2605A089")</f>
        <v>2605A089</v>
      </c>
      <c r="C433" s="49" t="str">
        <f>IFERROR(__xludf.DUMMYFUNCTION("""COMPUTED_VALUE"""),"Lia (English Course 21 Laily)")</f>
        <v>Lia (English Course 21 Laily)</v>
      </c>
      <c r="D433" s="102" t="str">
        <f>IFERROR(__xludf.DUMMYFUNCTION("""COMPUTED_VALUE"""),"081382380538")</f>
        <v>081382380538</v>
      </c>
      <c r="E433" s="25" t="str">
        <f>IFERROR(__xludf.DUMMYFUNCTION("""COMPUTED_VALUE"""),"Website")</f>
        <v>Website</v>
      </c>
      <c r="F433" s="25" t="str">
        <f>IFERROR(__xludf.DUMMYFUNCTION("""COMPUTED_VALUE"""),"Gagal")</f>
        <v>Gagal</v>
      </c>
      <c r="G433" s="25" t="str">
        <f>IFERROR(__xludf.DUMMYFUNCTION("""COMPUTED_VALUE"""),"3h2m a")</f>
        <v>3h2m a</v>
      </c>
      <c r="H433" s="78"/>
      <c r="I433" s="89">
        <f>IFERROR(__xludf.DUMMYFUNCTION("""COMPUTED_VALUE"""),2.0)</f>
        <v>2</v>
      </c>
      <c r="J433" s="96">
        <f>IFERROR(__xludf.DUMMYFUNCTION("""COMPUTED_VALUE"""),7194000.0)</f>
        <v>7194000</v>
      </c>
      <c r="K433" s="30" t="str">
        <f>IFERROR(__xludf.DUMMYFUNCTION("""COMPUTED_VALUE"""),"gada balasan")</f>
        <v>gada balasan</v>
      </c>
      <c r="L433" s="49"/>
      <c r="M433" s="20"/>
      <c r="N433" s="20"/>
      <c r="O433" s="20"/>
      <c r="P433" s="20"/>
    </row>
    <row r="434">
      <c r="A434" s="97">
        <f>IFERROR(__xludf.DUMMYFUNCTION("""COMPUTED_VALUE"""),46159.0)</f>
        <v>46159</v>
      </c>
      <c r="B434" s="97" t="str">
        <f>IFERROR(__xludf.DUMMYFUNCTION("""COMPUTED_VALUE"""),"2605A090")</f>
        <v>2605A090</v>
      </c>
      <c r="C434" s="76" t="str">
        <f>IFERROR(__xludf.DUMMYFUNCTION("""COMPUTED_VALUE"""),"Bu'e Herni")</f>
        <v>Bu'e Herni</v>
      </c>
      <c r="D434" s="99" t="str">
        <f>IFERROR(__xludf.DUMMYFUNCTION("""COMPUTED_VALUE"""),"081226689898")</f>
        <v>081226689898</v>
      </c>
      <c r="E434" s="25" t="str">
        <f>IFERROR(__xludf.DUMMYFUNCTION("""COMPUTED_VALUE"""),"Website")</f>
        <v>Website</v>
      </c>
      <c r="F434" s="25" t="str">
        <f>IFERROR(__xludf.DUMMYFUNCTION("""COMPUTED_VALUE"""),"Qualified")</f>
        <v>Qualified</v>
      </c>
      <c r="G434" s="25" t="str">
        <f>IFERROR(__xludf.DUMMYFUNCTION("""COMPUTED_VALUE"""),"4h3m")</f>
        <v>4h3m</v>
      </c>
      <c r="H434" s="92"/>
      <c r="I434" s="80">
        <f>IFERROR(__xludf.DUMMYFUNCTION("""COMPUTED_VALUE"""),10.0)</f>
        <v>10</v>
      </c>
      <c r="J434" s="93">
        <f>IFERROR(__xludf.DUMMYFUNCTION("""COMPUTED_VALUE"""),1.418E7)</f>
        <v>14180000</v>
      </c>
      <c r="K434" s="46" t="str">
        <f>IFERROR(__xludf.DUMMYFUNCTION("""COMPUTED_VALUE"""),"fu 4 september")</f>
        <v>fu 4 september</v>
      </c>
      <c r="L434" s="76"/>
      <c r="M434" s="20"/>
      <c r="N434" s="20"/>
      <c r="O434" s="20"/>
      <c r="P434" s="20"/>
    </row>
    <row r="435">
      <c r="A435" s="110">
        <f>IFERROR(__xludf.DUMMYFUNCTION("""COMPUTED_VALUE"""),46158.0)</f>
        <v>46158</v>
      </c>
      <c r="B435" s="110" t="str">
        <f>IFERROR(__xludf.DUMMYFUNCTION("""COMPUTED_VALUE"""),"2605A091")</f>
        <v>2605A091</v>
      </c>
      <c r="C435" s="49" t="str">
        <f>IFERROR(__xludf.DUMMYFUNCTION("""COMPUTED_VALUE"""),"Esti")</f>
        <v>Esti</v>
      </c>
      <c r="D435" s="102" t="str">
        <f>IFERROR(__xludf.DUMMYFUNCTION("""COMPUTED_VALUE"""),"08118779374")</f>
        <v>08118779374</v>
      </c>
      <c r="E435" s="25" t="str">
        <f>IFERROR(__xludf.DUMMYFUNCTION("""COMPUTED_VALUE"""),"Website")</f>
        <v>Website</v>
      </c>
      <c r="F435" s="25" t="str">
        <f>IFERROR(__xludf.DUMMYFUNCTION("""COMPUTED_VALUE"""),"Qualified")</f>
        <v>Qualified</v>
      </c>
      <c r="G435" s="25" t="str">
        <f>IFERROR(__xludf.DUMMYFUNCTION("""COMPUTED_VALUE"""),"3h2m opsi b")</f>
        <v>3h2m opsi b</v>
      </c>
      <c r="H435" s="78"/>
      <c r="I435" s="89">
        <f>IFERROR(__xludf.DUMMYFUNCTION("""COMPUTED_VALUE"""),7.0)</f>
        <v>7</v>
      </c>
      <c r="J435" s="96">
        <f>IFERROR(__xludf.DUMMYFUNCTION("""COMPUTED_VALUE"""),8603000.0)</f>
        <v>8603000</v>
      </c>
      <c r="K435" s="30" t="str">
        <f>IFERROR(__xludf.DUMMYFUNCTION("""COMPUTED_VALUE"""),"fu 28 juni ")</f>
        <v>fu 28 juni </v>
      </c>
      <c r="L435" s="49"/>
      <c r="M435" s="20"/>
      <c r="N435" s="20"/>
      <c r="O435" s="20"/>
      <c r="P435" s="20"/>
    </row>
    <row r="436">
      <c r="A436" s="97">
        <f>IFERROR(__xludf.DUMMYFUNCTION("""COMPUTED_VALUE"""),46158.0)</f>
        <v>46158</v>
      </c>
      <c r="B436" s="97" t="str">
        <f>IFERROR(__xludf.DUMMYFUNCTION("""COMPUTED_VALUE"""),"2605A092")</f>
        <v>2605A092</v>
      </c>
      <c r="C436" s="76" t="str">
        <f>IFERROR(__xludf.DUMMYFUNCTION("""COMPUTED_VALUE"""),"Elvy Savarina Suwenda")</f>
        <v>Elvy Savarina Suwenda</v>
      </c>
      <c r="D436" s="99" t="str">
        <f>IFERROR(__xludf.DUMMYFUNCTION("""COMPUTED_VALUE"""),"081573712979")</f>
        <v>081573712979</v>
      </c>
      <c r="E436" s="25" t="str">
        <f>IFERROR(__xludf.DUMMYFUNCTION("""COMPUTED_VALUE"""),"Lainnya")</f>
        <v>Lainnya</v>
      </c>
      <c r="F436" s="25" t="str">
        <f>IFERROR(__xludf.DUMMYFUNCTION("""COMPUTED_VALUE"""),"Closing")</f>
        <v>Closing</v>
      </c>
      <c r="G436" s="25" t="str">
        <f>IFERROR(__xludf.DUMMYFUNCTION("""COMPUTED_VALUE"""),"3h2m")</f>
        <v>3h2m</v>
      </c>
      <c r="H436" s="92">
        <f>IFERROR(__xludf.DUMMYFUNCTION("""COMPUTED_VALUE"""),46198.0)</f>
        <v>46198</v>
      </c>
      <c r="I436" s="17">
        <f>IFERROR(__xludf.DUMMYFUNCTION("""COMPUTED_VALUE"""),9.0)</f>
        <v>9</v>
      </c>
      <c r="J436" s="54">
        <f>IFERROR(__xludf.DUMMYFUNCTION("""COMPUTED_VALUE"""),1.2043E7)</f>
        <v>12043000</v>
      </c>
      <c r="K436" s="46" t="str">
        <f>IFERROR(__xludf.DUMMYFUNCTION("""COMPUTED_VALUE"""),"alhamdulillah closing")</f>
        <v>alhamdulillah closing</v>
      </c>
      <c r="L436" s="10"/>
      <c r="M436" s="20"/>
      <c r="N436" s="20"/>
      <c r="O436" s="20"/>
      <c r="P436" s="20"/>
    </row>
    <row r="437">
      <c r="A437" s="110">
        <f>IFERROR(__xludf.DUMMYFUNCTION("""COMPUTED_VALUE"""),46161.0)</f>
        <v>46161</v>
      </c>
      <c r="B437" s="110" t="str">
        <f>IFERROR(__xludf.DUMMYFUNCTION("""COMPUTED_VALUE"""),"2605A093")</f>
        <v>2605A093</v>
      </c>
      <c r="C437" s="49" t="str">
        <f>IFERROR(__xludf.DUMMYFUNCTION("""COMPUTED_VALUE"""),"Vita")</f>
        <v>Vita</v>
      </c>
      <c r="D437" s="102" t="str">
        <f>IFERROR(__xludf.DUMMYFUNCTION("""COMPUTED_VALUE"""),"081532791437")</f>
        <v>081532791437</v>
      </c>
      <c r="E437" s="25" t="str">
        <f>IFERROR(__xludf.DUMMYFUNCTION("""COMPUTED_VALUE"""),"Lainnya")</f>
        <v>Lainnya</v>
      </c>
      <c r="F437" s="25" t="str">
        <f>IFERROR(__xludf.DUMMYFUNCTION("""COMPUTED_VALUE"""),"Gagal")</f>
        <v>Gagal</v>
      </c>
      <c r="G437" s="25" t="str">
        <f>IFERROR(__xludf.DUMMYFUNCTION("""COMPUTED_VALUE"""),"pv mt")</f>
        <v>pv mt</v>
      </c>
      <c r="H437" s="26">
        <f>IFERROR(__xludf.DUMMYFUNCTION("""COMPUTED_VALUE"""),46167.0)</f>
        <v>46167</v>
      </c>
      <c r="I437" s="27">
        <f>IFERROR(__xludf.DUMMYFUNCTION("""COMPUTED_VALUE"""),7.0)</f>
        <v>7</v>
      </c>
      <c r="J437" s="33">
        <f>IFERROR(__xludf.DUMMYFUNCTION("""COMPUTED_VALUE"""),2590000.0)</f>
        <v>2590000</v>
      </c>
      <c r="K437" s="30" t="str">
        <f>IFERROR(__xludf.DUMMYFUNCTION("""COMPUTED_VALUE"""),"lewat tanggal")</f>
        <v>lewat tanggal</v>
      </c>
      <c r="L437" s="49"/>
      <c r="M437" s="20"/>
      <c r="N437" s="20"/>
      <c r="O437" s="20"/>
      <c r="P437" s="20"/>
    </row>
    <row r="438">
      <c r="A438" s="97">
        <f>IFERROR(__xludf.DUMMYFUNCTION("""COMPUTED_VALUE"""),46161.0)</f>
        <v>46161</v>
      </c>
      <c r="B438" s="97" t="str">
        <f>IFERROR(__xludf.DUMMYFUNCTION("""COMPUTED_VALUE"""),"2605A094")</f>
        <v>2605A094</v>
      </c>
      <c r="C438" s="76" t="str">
        <f>IFERROR(__xludf.DUMMYFUNCTION("""COMPUTED_VALUE"""),"Munir A 88")</f>
        <v>Munir A 88</v>
      </c>
      <c r="D438" s="99" t="str">
        <f>IFERROR(__xludf.DUMMYFUNCTION("""COMPUTED_VALUE"""),"081230330998")</f>
        <v>081230330998</v>
      </c>
      <c r="E438" s="25" t="str">
        <f>IFERROR(__xludf.DUMMYFUNCTION("""COMPUTED_VALUE"""),"Website")</f>
        <v>Website</v>
      </c>
      <c r="F438" s="25" t="str">
        <f>IFERROR(__xludf.DUMMYFUNCTION("""COMPUTED_VALUE"""),"Gagal")</f>
        <v>Gagal</v>
      </c>
      <c r="G438" s="25" t="str">
        <f>IFERROR(__xludf.DUMMYFUNCTION("""COMPUTED_VALUE"""),"1d green island")</f>
        <v>1d green island</v>
      </c>
      <c r="H438" s="92"/>
      <c r="I438" s="80">
        <f>IFERROR(__xludf.DUMMYFUNCTION("""COMPUTED_VALUE"""),6.0)</f>
        <v>6</v>
      </c>
      <c r="J438" s="93">
        <f>IFERROR(__xludf.DUMMYFUNCTION("""COMPUTED_VALUE"""),4170000.0)</f>
        <v>4170000</v>
      </c>
      <c r="K438" s="19" t="str">
        <f>IFERROR(__xludf.DUMMYFUNCTION("""COMPUTED_VALUE"""),"gada balasan")</f>
        <v>gada balasan</v>
      </c>
      <c r="L438" s="76"/>
      <c r="M438" s="20"/>
      <c r="N438" s="20"/>
      <c r="O438" s="20"/>
      <c r="P438" s="20"/>
    </row>
    <row r="439">
      <c r="A439" s="110">
        <f>IFERROR(__xludf.DUMMYFUNCTION("""COMPUTED_VALUE"""),46160.0)</f>
        <v>46160</v>
      </c>
      <c r="B439" s="110" t="str">
        <f>IFERROR(__xludf.DUMMYFUNCTION("""COMPUTED_VALUE"""),"2605A095")</f>
        <v>2605A095</v>
      </c>
      <c r="C439" s="49" t="str">
        <f>IFERROR(__xludf.DUMMYFUNCTION("""COMPUTED_VALUE"""),"Rina Noor")</f>
        <v>Rina Noor</v>
      </c>
      <c r="D439" s="102" t="str">
        <f>IFERROR(__xludf.DUMMYFUNCTION("""COMPUTED_VALUE"""),"085287379772")</f>
        <v>085287379772</v>
      </c>
      <c r="E439" s="25" t="str">
        <f>IFERROR(__xludf.DUMMYFUNCTION("""COMPUTED_VALUE"""),"Website")</f>
        <v>Website</v>
      </c>
      <c r="F439" s="25" t="str">
        <f>IFERROR(__xludf.DUMMYFUNCTION("""COMPUTED_VALUE"""),"Qualified")</f>
        <v>Qualified</v>
      </c>
      <c r="G439" s="25" t="str">
        <f>IFERROR(__xludf.DUMMYFUNCTION("""COMPUTED_VALUE"""),"3h2m")</f>
        <v>3h2m</v>
      </c>
      <c r="H439" s="78"/>
      <c r="I439" s="89">
        <f>IFERROR(__xludf.DUMMYFUNCTION("""COMPUTED_VALUE"""),50.0)</f>
        <v>50</v>
      </c>
      <c r="J439" s="96">
        <f>IFERROR(__xludf.DUMMYFUNCTION("""COMPUTED_VALUE"""),7.45E7)</f>
        <v>74500000</v>
      </c>
      <c r="K439" s="30" t="str">
        <f>IFERROR(__xludf.DUMMYFUNCTION("""COMPUTED_VALUE"""),"fu 23 mei")</f>
        <v>fu 23 mei</v>
      </c>
      <c r="L439" s="49"/>
      <c r="M439" s="20"/>
      <c r="N439" s="20"/>
      <c r="O439" s="20"/>
      <c r="P439" s="20"/>
    </row>
    <row r="440">
      <c r="A440" s="97">
        <f>IFERROR(__xludf.DUMMYFUNCTION("""COMPUTED_VALUE"""),46161.0)</f>
        <v>46161</v>
      </c>
      <c r="B440" s="97" t="str">
        <f>IFERROR(__xludf.DUMMYFUNCTION("""COMPUTED_VALUE"""),"2605A096")</f>
        <v>2605A096</v>
      </c>
      <c r="C440" s="76" t="str">
        <f>IFERROR(__xludf.DUMMYFUNCTION("""COMPUTED_VALUE"""),"Weta Wety")</f>
        <v>Weta Wety</v>
      </c>
      <c r="D440" s="99" t="str">
        <f>IFERROR(__xludf.DUMMYFUNCTION("""COMPUTED_VALUE"""),"0881010971344")</f>
        <v>0881010971344</v>
      </c>
      <c r="E440" s="25" t="str">
        <f>IFERROR(__xludf.DUMMYFUNCTION("""COMPUTED_VALUE"""),"Instagram")</f>
        <v>Instagram</v>
      </c>
      <c r="F440" s="25" t="str">
        <f>IFERROR(__xludf.DUMMYFUNCTION("""COMPUTED_VALUE"""),"Gagal")</f>
        <v>Gagal</v>
      </c>
      <c r="G440" s="25" t="str">
        <f>IFERROR(__xludf.DUMMYFUNCTION("""COMPUTED_VALUE"""),"ot mt")</f>
        <v>ot mt</v>
      </c>
      <c r="H440" s="92">
        <f>IFERROR(__xludf.DUMMYFUNCTION("""COMPUTED_VALUE"""),46172.0)</f>
        <v>46172</v>
      </c>
      <c r="I440" s="17">
        <f>IFERROR(__xludf.DUMMYFUNCTION("""COMPUTED_VALUE"""),3.0)</f>
        <v>3</v>
      </c>
      <c r="J440" s="93">
        <f>IFERROR(__xludf.DUMMYFUNCTION("""COMPUTED_VALUE"""),825000.0)</f>
        <v>825000</v>
      </c>
      <c r="K440" s="46" t="str">
        <f>IFERROR(__xludf.DUMMYFUNCTION("""COMPUTED_VALUE"""),"fu 22 mei")</f>
        <v>fu 22 mei</v>
      </c>
      <c r="L440" s="76"/>
      <c r="M440" s="20"/>
      <c r="N440" s="20"/>
      <c r="O440" s="20"/>
      <c r="P440" s="20"/>
    </row>
    <row r="441">
      <c r="A441" s="110">
        <f>IFERROR(__xludf.DUMMYFUNCTION("""COMPUTED_VALUE"""),46161.0)</f>
        <v>46161</v>
      </c>
      <c r="B441" s="110" t="str">
        <f>IFERROR(__xludf.DUMMYFUNCTION("""COMPUTED_VALUE"""),"2605A097")</f>
        <v>2605A097</v>
      </c>
      <c r="C441" s="49" t="str">
        <f>IFERROR(__xludf.DUMMYFUNCTION("""COMPUTED_VALUE"""),"Fatih")</f>
        <v>Fatih</v>
      </c>
      <c r="D441" s="24" t="str">
        <f>IFERROR(__xludf.DUMMYFUNCTION("""COMPUTED_VALUE"""),"085122906880")</f>
        <v>085122906880</v>
      </c>
      <c r="E441" s="25" t="str">
        <f>IFERROR(__xludf.DUMMYFUNCTION("""COMPUTED_VALUE"""),"Website")</f>
        <v>Website</v>
      </c>
      <c r="F441" s="25" t="str">
        <f>IFERROR(__xludf.DUMMYFUNCTION("""COMPUTED_VALUE"""),"Gagal")</f>
        <v>Gagal</v>
      </c>
      <c r="G441" s="25" t="str">
        <f>IFERROR(__xludf.DUMMYFUNCTION("""COMPUTED_VALUE"""),"priv mt")</f>
        <v>priv mt</v>
      </c>
      <c r="H441" s="78">
        <f>IFERROR(__xludf.DUMMYFUNCTION("""COMPUTED_VALUE"""),46194.0)</f>
        <v>46194</v>
      </c>
      <c r="I441" s="89">
        <f>IFERROR(__xludf.DUMMYFUNCTION("""COMPUTED_VALUE"""),2.0)</f>
        <v>2</v>
      </c>
      <c r="J441" s="96">
        <f>IFERROR(__xludf.DUMMYFUNCTION("""COMPUTED_VALUE"""),1700000.0)</f>
        <v>1700000</v>
      </c>
      <c r="K441" s="30" t="str">
        <f>IFERROR(__xludf.DUMMYFUNCTION("""COMPUTED_VALUE"""),"gada balasan")</f>
        <v>gada balasan</v>
      </c>
      <c r="L441" s="49"/>
      <c r="M441" s="20"/>
      <c r="N441" s="20"/>
      <c r="O441" s="20"/>
      <c r="P441" s="20"/>
    </row>
    <row r="442">
      <c r="A442" s="97">
        <f>IFERROR(__xludf.DUMMYFUNCTION("""COMPUTED_VALUE"""),46157.0)</f>
        <v>46157</v>
      </c>
      <c r="B442" s="97" t="str">
        <f>IFERROR(__xludf.DUMMYFUNCTION("""COMPUTED_VALUE"""),"2605A098")</f>
        <v>2605A098</v>
      </c>
      <c r="C442" s="76" t="str">
        <f>IFERROR(__xludf.DUMMYFUNCTION("""COMPUTED_VALUE"""),"Sheilla Ravi")</f>
        <v>Sheilla Ravi</v>
      </c>
      <c r="D442" s="99" t="str">
        <f>IFERROR(__xludf.DUMMYFUNCTION("""COMPUTED_VALUE"""),"082243523520")</f>
        <v>082243523520</v>
      </c>
      <c r="E442" s="25" t="str">
        <f>IFERROR(__xludf.DUMMYFUNCTION("""COMPUTED_VALUE"""),"Instagram")</f>
        <v>Instagram</v>
      </c>
      <c r="F442" s="25" t="str">
        <f>IFERROR(__xludf.DUMMYFUNCTION("""COMPUTED_VALUE"""),"Gagal")</f>
        <v>Gagal</v>
      </c>
      <c r="G442" s="25" t="str">
        <f>IFERROR(__xludf.DUMMYFUNCTION("""COMPUTED_VALUE"""),"3h2m a")</f>
        <v>3h2m a</v>
      </c>
      <c r="H442" s="78"/>
      <c r="I442" s="80">
        <f>IFERROR(__xludf.DUMMYFUNCTION("""COMPUTED_VALUE"""),2.0)</f>
        <v>2</v>
      </c>
      <c r="J442" s="93">
        <f>IFERROR(__xludf.DUMMYFUNCTION("""COMPUTED_VALUE"""),6128000.0)</f>
        <v>6128000</v>
      </c>
      <c r="K442" s="46" t="str">
        <f>IFERROR(__xludf.DUMMYFUNCTION("""COMPUTED_VALUE"""),"ganti destinasi bukan bwi")</f>
        <v>ganti destinasi bukan bwi</v>
      </c>
      <c r="L442" s="76"/>
      <c r="M442" s="20"/>
      <c r="N442" s="20"/>
      <c r="O442" s="20"/>
      <c r="P442" s="20"/>
    </row>
    <row r="443">
      <c r="A443" s="110">
        <f>IFERROR(__xludf.DUMMYFUNCTION("""COMPUTED_VALUE"""),46161.0)</f>
        <v>46161</v>
      </c>
      <c r="B443" s="110" t="str">
        <f>IFERROR(__xludf.DUMMYFUNCTION("""COMPUTED_VALUE"""),"2605A099")</f>
        <v>2605A099</v>
      </c>
      <c r="C443" s="49" t="str">
        <f>IFERROR(__xludf.DUMMYFUNCTION("""COMPUTED_VALUE"""),"Erika Indriani")</f>
        <v>Erika Indriani</v>
      </c>
      <c r="D443" s="102" t="str">
        <f>IFERROR(__xludf.DUMMYFUNCTION("""COMPUTED_VALUE"""),"081294710496")</f>
        <v>081294710496</v>
      </c>
      <c r="E443" s="25" t="str">
        <f>IFERROR(__xludf.DUMMYFUNCTION("""COMPUTED_VALUE"""),"Instagram")</f>
        <v>Instagram</v>
      </c>
      <c r="F443" s="25" t="str">
        <f>IFERROR(__xludf.DUMMYFUNCTION("""COMPUTED_VALUE"""),"Closing")</f>
        <v>Closing</v>
      </c>
      <c r="G443" s="25" t="str">
        <f>IFERROR(__xludf.DUMMYFUNCTION("""COMPUTED_VALUE"""),"3h2m")</f>
        <v>3h2m</v>
      </c>
      <c r="H443" s="78"/>
      <c r="I443" s="89">
        <f>IFERROR(__xludf.DUMMYFUNCTION("""COMPUTED_VALUE"""),3.0)</f>
        <v>3</v>
      </c>
      <c r="J443" s="96">
        <f>IFERROR(__xludf.DUMMYFUNCTION("""COMPUTED_VALUE"""),7152000.0)</f>
        <v>7152000</v>
      </c>
      <c r="K443" s="36" t="str">
        <f>IFERROR(__xludf.DUMMYFUNCTION("""COMPUTED_VALUE"""),"alhamdulillah order")</f>
        <v>alhamdulillah order</v>
      </c>
      <c r="L443" s="49"/>
      <c r="M443" s="20"/>
      <c r="N443" s="20"/>
      <c r="O443" s="20"/>
      <c r="P443" s="20"/>
    </row>
    <row r="444">
      <c r="A444" s="97">
        <f>IFERROR(__xludf.DUMMYFUNCTION("""COMPUTED_VALUE"""),46160.0)</f>
        <v>46160</v>
      </c>
      <c r="B444" s="97" t="str">
        <f>IFERROR(__xludf.DUMMYFUNCTION("""COMPUTED_VALUE"""),"2605A100")</f>
        <v>2605A100</v>
      </c>
      <c r="C444" s="76" t="str">
        <f>IFERROR(__xludf.DUMMYFUNCTION("""COMPUTED_VALUE"""),"Ardi")</f>
        <v>Ardi</v>
      </c>
      <c r="D444" s="99" t="str">
        <f>IFERROR(__xludf.DUMMYFUNCTION("""COMPUTED_VALUE"""),"087809404555")</f>
        <v>087809404555</v>
      </c>
      <c r="E444" s="25" t="str">
        <f>IFERROR(__xludf.DUMMYFUNCTION("""COMPUTED_VALUE"""),"Instagram")</f>
        <v>Instagram</v>
      </c>
      <c r="F444" s="25" t="str">
        <f>IFERROR(__xludf.DUMMYFUNCTION("""COMPUTED_VALUE"""),"Prospek")</f>
        <v>Prospek</v>
      </c>
      <c r="G444" s="25" t="str">
        <f>IFERROR(__xludf.DUMMYFUNCTION("""COMPUTED_VALUE"""),"3h2m a")</f>
        <v>3h2m a</v>
      </c>
      <c r="H444" s="92"/>
      <c r="I444" s="80">
        <f>IFERROR(__xludf.DUMMYFUNCTION("""COMPUTED_VALUE"""),75.0)</f>
        <v>75</v>
      </c>
      <c r="J444" s="93">
        <f>IFERROR(__xludf.DUMMYFUNCTION("""COMPUTED_VALUE"""),1.35E8)</f>
        <v>135000000</v>
      </c>
      <c r="K444" s="46" t="str">
        <f>IFERROR(__xludf.DUMMYFUNCTION("""COMPUTED_VALUE"""),"fu 8 agustus")</f>
        <v>fu 8 agustus</v>
      </c>
      <c r="L444" s="76"/>
      <c r="M444" s="20"/>
      <c r="N444" s="20"/>
      <c r="O444" s="20"/>
      <c r="P444" s="20"/>
    </row>
    <row r="445">
      <c r="A445" s="110">
        <f>IFERROR(__xludf.DUMMYFUNCTION("""COMPUTED_VALUE"""),46162.0)</f>
        <v>46162</v>
      </c>
      <c r="B445" s="110" t="str">
        <f>IFERROR(__xludf.DUMMYFUNCTION("""COMPUTED_VALUE"""),"2605A101")</f>
        <v>2605A101</v>
      </c>
      <c r="C445" s="49" t="str">
        <f>IFERROR(__xludf.DUMMYFUNCTION("""COMPUTED_VALUE"""),"Farida Umaiyanti")</f>
        <v>Farida Umaiyanti</v>
      </c>
      <c r="D445" s="102" t="str">
        <f>IFERROR(__xludf.DUMMYFUNCTION("""COMPUTED_VALUE"""),"0813331962444")</f>
        <v>0813331962444</v>
      </c>
      <c r="E445" s="25" t="str">
        <f>IFERROR(__xludf.DUMMYFUNCTION("""COMPUTED_VALUE"""),"Website")</f>
        <v>Website</v>
      </c>
      <c r="F445" s="25" t="str">
        <f>IFERROR(__xludf.DUMMYFUNCTION("""COMPUTED_VALUE"""),"Gagal")</f>
        <v>Gagal</v>
      </c>
      <c r="G445" s="25" t="str">
        <f>IFERROR(__xludf.DUMMYFUNCTION("""COMPUTED_VALUE"""),"2h1m")</f>
        <v>2h1m</v>
      </c>
      <c r="H445" s="78">
        <f>IFERROR(__xludf.DUMMYFUNCTION("""COMPUTED_VALUE"""),46172.0)</f>
        <v>46172</v>
      </c>
      <c r="I445" s="27">
        <f>IFERROR(__xludf.DUMMYFUNCTION("""COMPUTED_VALUE"""),3.0)</f>
        <v>3</v>
      </c>
      <c r="J445" s="33">
        <f>IFERROR(__xludf.DUMMYFUNCTION("""COMPUTED_VALUE"""),4740000.0)</f>
        <v>4740000</v>
      </c>
      <c r="K445" s="30"/>
      <c r="L445" s="76"/>
      <c r="M445" s="20"/>
      <c r="N445" s="20"/>
      <c r="O445" s="20"/>
      <c r="P445" s="20"/>
    </row>
    <row r="446">
      <c r="A446" s="97">
        <f>IFERROR(__xludf.DUMMYFUNCTION("""COMPUTED_VALUE"""),46160.0)</f>
        <v>46160</v>
      </c>
      <c r="B446" s="97" t="str">
        <f>IFERROR(__xludf.DUMMYFUNCTION("""COMPUTED_VALUE"""),"2605A102")</f>
        <v>2605A102</v>
      </c>
      <c r="C446" s="76" t="str">
        <f>IFERROR(__xludf.DUMMYFUNCTION("""COMPUTED_VALUE"""),"fayez indra")</f>
        <v>fayez indra</v>
      </c>
      <c r="D446" s="99" t="str">
        <f>IFERROR(__xludf.DUMMYFUNCTION("""COMPUTED_VALUE"""),"0811891255")</f>
        <v>0811891255</v>
      </c>
      <c r="E446" s="25" t="str">
        <f>IFERROR(__xludf.DUMMYFUNCTION("""COMPUTED_VALUE"""),"Website")</f>
        <v>Website</v>
      </c>
      <c r="F446" s="25" t="str">
        <f>IFERROR(__xludf.DUMMYFUNCTION("""COMPUTED_VALUE"""),"Closing")</f>
        <v>Closing</v>
      </c>
      <c r="G446" s="25" t="str">
        <f>IFERROR(__xludf.DUMMYFUNCTION("""COMPUTED_VALUE"""),"2h1m")</f>
        <v>2h1m</v>
      </c>
      <c r="H446" s="16"/>
      <c r="I446" s="17">
        <f>IFERROR(__xludf.DUMMYFUNCTION("""COMPUTED_VALUE"""),3.0)</f>
        <v>3</v>
      </c>
      <c r="J446" s="54">
        <f>IFERROR(__xludf.DUMMYFUNCTION("""COMPUTED_VALUE"""),4935000.0)</f>
        <v>4935000</v>
      </c>
      <c r="K446" s="46" t="str">
        <f>IFERROR(__xludf.DUMMYFUNCTION("""COMPUTED_VALUE"""),"fu 21 mei")</f>
        <v>fu 21 mei</v>
      </c>
      <c r="L446" s="76"/>
      <c r="M446" s="20"/>
      <c r="N446" s="20"/>
      <c r="O446" s="20"/>
      <c r="P446" s="20"/>
    </row>
    <row r="447">
      <c r="A447" s="110">
        <f>IFERROR(__xludf.DUMMYFUNCTION("""COMPUTED_VALUE"""),46162.0)</f>
        <v>46162</v>
      </c>
      <c r="B447" s="110" t="str">
        <f>IFERROR(__xludf.DUMMYFUNCTION("""COMPUTED_VALUE"""),"2605A103")</f>
        <v>2605A103</v>
      </c>
      <c r="C447" s="49" t="str">
        <f>IFERROR(__xludf.DUMMYFUNCTION("""COMPUTED_VALUE"""),"Su")</f>
        <v>Su</v>
      </c>
      <c r="D447" s="102" t="str">
        <f>IFERROR(__xludf.DUMMYFUNCTION("""COMPUTED_VALUE"""),"8613915050808")</f>
        <v>8613915050808</v>
      </c>
      <c r="E447" s="25" t="str">
        <f>IFERROR(__xludf.DUMMYFUNCTION("""COMPUTED_VALUE"""),"Website")</f>
        <v>Website</v>
      </c>
      <c r="F447" s="25" t="str">
        <f>IFERROR(__xludf.DUMMYFUNCTION("""COMPUTED_VALUE"""),"Gagal")</f>
        <v>Gagal</v>
      </c>
      <c r="G447" s="25" t="str">
        <f>IFERROR(__xludf.DUMMYFUNCTION("""COMPUTED_VALUE"""),"ot mt")</f>
        <v>ot mt</v>
      </c>
      <c r="H447" s="78">
        <f>IFERROR(__xludf.DUMMYFUNCTION("""COMPUTED_VALUE"""),46164.0)</f>
        <v>46164</v>
      </c>
      <c r="I447" s="89">
        <f>IFERROR(__xludf.DUMMYFUNCTION("""COMPUTED_VALUE"""),3.0)</f>
        <v>3</v>
      </c>
      <c r="J447" s="96">
        <f>IFERROR(__xludf.DUMMYFUNCTION("""COMPUTED_VALUE"""),1800000.0)</f>
        <v>1800000</v>
      </c>
      <c r="K447" s="36" t="str">
        <f>IFERROR(__xludf.DUMMYFUNCTION("""COMPUTED_VALUE"""),"fu 21 mei")</f>
        <v>fu 21 mei</v>
      </c>
      <c r="L447" s="49"/>
      <c r="M447" s="20"/>
      <c r="N447" s="20"/>
      <c r="O447" s="20"/>
      <c r="P447" s="20"/>
    </row>
    <row r="448">
      <c r="A448" s="97">
        <f>IFERROR(__xludf.DUMMYFUNCTION("""COMPUTED_VALUE"""),46159.0)</f>
        <v>46159</v>
      </c>
      <c r="B448" s="97" t="str">
        <f>IFERROR(__xludf.DUMMYFUNCTION("""COMPUTED_VALUE"""),"2605A104")</f>
        <v>2605A104</v>
      </c>
      <c r="C448" s="76" t="str">
        <f>IFERROR(__xludf.DUMMYFUNCTION("""COMPUTED_VALUE"""),"Inggit Tribuana S")</f>
        <v>Inggit Tribuana S</v>
      </c>
      <c r="D448" s="99" t="str">
        <f>IFERROR(__xludf.DUMMYFUNCTION("""COMPUTED_VALUE"""),"087733021262")</f>
        <v>087733021262</v>
      </c>
      <c r="E448" s="25" t="str">
        <f>IFERROR(__xludf.DUMMYFUNCTION("""COMPUTED_VALUE"""),"Instagram")</f>
        <v>Instagram</v>
      </c>
      <c r="F448" s="25" t="str">
        <f>IFERROR(__xludf.DUMMYFUNCTION("""COMPUTED_VALUE"""),"Closing")</f>
        <v>Closing</v>
      </c>
      <c r="G448" s="25" t="str">
        <f>IFERROR(__xludf.DUMMYFUNCTION("""COMPUTED_VALUE"""),"2h1m")</f>
        <v>2h1m</v>
      </c>
      <c r="H448" s="92"/>
      <c r="I448" s="80">
        <f>IFERROR(__xludf.DUMMYFUNCTION("""COMPUTED_VALUE"""),5.0)</f>
        <v>5</v>
      </c>
      <c r="J448" s="54">
        <f>IFERROR(__xludf.DUMMYFUNCTION("""COMPUTED_VALUE"""),4800000.0)</f>
        <v>4800000</v>
      </c>
      <c r="K448" s="46" t="str">
        <f>IFERROR(__xludf.DUMMYFUNCTION("""COMPUTED_VALUE"""),"alhamdulillah order")</f>
        <v>alhamdulillah order</v>
      </c>
      <c r="L448" s="76"/>
      <c r="M448" s="20"/>
      <c r="N448" s="20"/>
      <c r="O448" s="20"/>
      <c r="P448" s="20"/>
    </row>
    <row r="449">
      <c r="A449" s="110">
        <f>IFERROR(__xludf.DUMMYFUNCTION("""COMPUTED_VALUE"""),46161.0)</f>
        <v>46161</v>
      </c>
      <c r="B449" s="110" t="str">
        <f>IFERROR(__xludf.DUMMYFUNCTION("""COMPUTED_VALUE"""),"2605A105")</f>
        <v>2605A105</v>
      </c>
      <c r="C449" s="49" t="str">
        <f>IFERROR(__xludf.DUMMYFUNCTION("""COMPUTED_VALUE"""),"Fani - Fatharani Salma N")</f>
        <v>Fani - Fatharani Salma N</v>
      </c>
      <c r="D449" s="102" t="str">
        <f>IFERROR(__xludf.DUMMYFUNCTION("""COMPUTED_VALUE"""),"081222612217")</f>
        <v>081222612217</v>
      </c>
      <c r="E449" s="25" t="str">
        <f>IFERROR(__xludf.DUMMYFUNCTION("""COMPUTED_VALUE"""),"Instagram")</f>
        <v>Instagram</v>
      </c>
      <c r="F449" s="25" t="str">
        <f>IFERROR(__xludf.DUMMYFUNCTION("""COMPUTED_VALUE"""),"Closing")</f>
        <v>Closing</v>
      </c>
      <c r="G449" s="25" t="str">
        <f>IFERROR(__xludf.DUMMYFUNCTION("""COMPUTED_VALUE"""),"ot 3h2m")</f>
        <v>ot 3h2m</v>
      </c>
      <c r="H449" s="78"/>
      <c r="I449" s="89">
        <f>IFERROR(__xludf.DUMMYFUNCTION("""COMPUTED_VALUE"""),2.0)</f>
        <v>2</v>
      </c>
      <c r="J449" s="96">
        <f>IFERROR(__xludf.DUMMYFUNCTION("""COMPUTED_VALUE"""),3200000.0)</f>
        <v>3200000</v>
      </c>
      <c r="K449" s="36" t="str">
        <f>IFERROR(__xludf.DUMMYFUNCTION("""COMPUTED_VALUE"""),"ubah leads")</f>
        <v>ubah leads</v>
      </c>
      <c r="L449" s="49"/>
      <c r="M449" s="20"/>
      <c r="N449" s="20"/>
      <c r="O449" s="20"/>
      <c r="P449" s="20"/>
    </row>
    <row r="450">
      <c r="A450" s="97">
        <f>IFERROR(__xludf.DUMMYFUNCTION("""COMPUTED_VALUE"""),46162.0)</f>
        <v>46162</v>
      </c>
      <c r="B450" s="97" t="str">
        <f>IFERROR(__xludf.DUMMYFUNCTION("""COMPUTED_VALUE"""),"2605A106")</f>
        <v>2605A106</v>
      </c>
      <c r="C450" s="76" t="str">
        <f>IFERROR(__xludf.DUMMYFUNCTION("""COMPUTED_VALUE"""),"FAHMI")</f>
        <v>FAHMI</v>
      </c>
      <c r="D450" s="99" t="str">
        <f>IFERROR(__xludf.DUMMYFUNCTION("""COMPUTED_VALUE"""),"0877773781823")</f>
        <v>0877773781823</v>
      </c>
      <c r="E450" s="25" t="str">
        <f>IFERROR(__xludf.DUMMYFUNCTION("""COMPUTED_VALUE"""),"Website")</f>
        <v>Website</v>
      </c>
      <c r="F450" s="25" t="str">
        <f>IFERROR(__xludf.DUMMYFUNCTION("""COMPUTED_VALUE"""),"Closing")</f>
        <v>Closing</v>
      </c>
      <c r="G450" s="25" t="str">
        <f>IFERROR(__xludf.DUMMYFUNCTION("""COMPUTED_VALUE"""),"2h1m")</f>
        <v>2h1m</v>
      </c>
      <c r="H450" s="92"/>
      <c r="I450" s="80">
        <f>IFERROR(__xludf.DUMMYFUNCTION("""COMPUTED_VALUE"""),7.0)</f>
        <v>7</v>
      </c>
      <c r="J450" s="54">
        <f>IFERROR(__xludf.DUMMYFUNCTION("""COMPUTED_VALUE"""),1.1375E7)</f>
        <v>11375000</v>
      </c>
      <c r="K450" s="46" t="str">
        <f>IFERROR(__xludf.DUMMYFUNCTION("""COMPUTED_VALUE"""),"ALHAMDULILLAH CLOSING")</f>
        <v>ALHAMDULILLAH CLOSING</v>
      </c>
      <c r="L450" s="76"/>
      <c r="M450" s="20"/>
      <c r="N450" s="20"/>
      <c r="O450" s="20"/>
      <c r="P450" s="20"/>
    </row>
    <row r="451">
      <c r="A451" s="110">
        <f>IFERROR(__xludf.DUMMYFUNCTION("""COMPUTED_VALUE"""),46165.0)</f>
        <v>46165</v>
      </c>
      <c r="B451" s="110" t="str">
        <f>IFERROR(__xludf.DUMMYFUNCTION("""COMPUTED_VALUE"""),"2605A107")</f>
        <v>2605A107</v>
      </c>
      <c r="C451" s="49" t="str">
        <f>IFERROR(__xludf.DUMMYFUNCTION("""COMPUTED_VALUE"""),"Evi R. Wahyuni")</f>
        <v>Evi R. Wahyuni</v>
      </c>
      <c r="D451" s="102" t="str">
        <f>IFERROR(__xludf.DUMMYFUNCTION("""COMPUTED_VALUE"""),"08111030695")</f>
        <v>08111030695</v>
      </c>
      <c r="E451" s="25" t="str">
        <f>IFERROR(__xludf.DUMMYFUNCTION("""COMPUTED_VALUE"""),"Instagram")</f>
        <v>Instagram</v>
      </c>
      <c r="F451" s="25" t="str">
        <f>IFERROR(__xludf.DUMMYFUNCTION("""COMPUTED_VALUE"""),"Closing")</f>
        <v>Closing</v>
      </c>
      <c r="G451" s="25" t="str">
        <f>IFERROR(__xludf.DUMMYFUNCTION("""COMPUTED_VALUE"""),"ot djabal dan ijen")</f>
        <v>ot djabal dan ijen</v>
      </c>
      <c r="H451" s="26"/>
      <c r="I451" s="27">
        <f>IFERROR(__xludf.DUMMYFUNCTION("""COMPUTED_VALUE"""),2.0)</f>
        <v>2</v>
      </c>
      <c r="J451" s="33">
        <f>IFERROR(__xludf.DUMMYFUNCTION("""COMPUTED_VALUE"""),1600000.0)</f>
        <v>1600000</v>
      </c>
      <c r="K451" s="30" t="str">
        <f>IFERROR(__xludf.DUMMYFUNCTION("""COMPUTED_VALUE"""),"alhamdulillah order:)")</f>
        <v>alhamdulillah order:)</v>
      </c>
      <c r="L451" s="49"/>
      <c r="M451" s="20"/>
      <c r="N451" s="20"/>
      <c r="O451" s="20"/>
      <c r="P451" s="20"/>
    </row>
    <row r="452">
      <c r="A452" s="97">
        <f>IFERROR(__xludf.DUMMYFUNCTION("""COMPUTED_VALUE"""),46165.0)</f>
        <v>46165</v>
      </c>
      <c r="B452" s="97" t="str">
        <f>IFERROR(__xludf.DUMMYFUNCTION("""COMPUTED_VALUE"""),"2605A108")</f>
        <v>2605A108</v>
      </c>
      <c r="C452" s="76" t="str">
        <f>IFERROR(__xludf.DUMMYFUNCTION("""COMPUTED_VALUE"""),"Susi Septiani")</f>
        <v>Susi Septiani</v>
      </c>
      <c r="D452" s="99" t="str">
        <f>IFERROR(__xludf.DUMMYFUNCTION("""COMPUTED_VALUE"""),"087700511641")</f>
        <v>087700511641</v>
      </c>
      <c r="E452" s="25" t="str">
        <f>IFERROR(__xludf.DUMMYFUNCTION("""COMPUTED_VALUE"""),"Website")</f>
        <v>Website</v>
      </c>
      <c r="F452" s="25" t="str">
        <f>IFERROR(__xludf.DUMMYFUNCTION("""COMPUTED_VALUE"""),"Closing")</f>
        <v>Closing</v>
      </c>
      <c r="G452" s="25" t="str">
        <f>IFERROR(__xludf.DUMMYFUNCTION("""COMPUTED_VALUE"""),"3h2m z")</f>
        <v>3h2m z</v>
      </c>
      <c r="H452" s="92"/>
      <c r="I452" s="80">
        <f>IFERROR(__xludf.DUMMYFUNCTION("""COMPUTED_VALUE"""),4.0)</f>
        <v>4</v>
      </c>
      <c r="J452" s="93">
        <f>IFERROR(__xludf.DUMMYFUNCTION("""COMPUTED_VALUE"""),1.14E7)</f>
        <v>11400000</v>
      </c>
      <c r="K452" s="46" t="str">
        <f>IFERROR(__xludf.DUMMYFUNCTION("""COMPUTED_VALUE"""),"alhamdulillah order:)")</f>
        <v>alhamdulillah order:)</v>
      </c>
      <c r="L452" s="76"/>
      <c r="M452" s="20"/>
      <c r="N452" s="20"/>
      <c r="O452" s="20"/>
      <c r="P452" s="20"/>
    </row>
    <row r="453">
      <c r="A453" s="110">
        <f>IFERROR(__xludf.DUMMYFUNCTION("""COMPUTED_VALUE"""),46165.0)</f>
        <v>46165</v>
      </c>
      <c r="B453" s="110" t="str">
        <f>IFERROR(__xludf.DUMMYFUNCTION("""COMPUTED_VALUE"""),"2605A109")</f>
        <v>2605A109</v>
      </c>
      <c r="C453" s="49" t="str">
        <f>IFERROR(__xludf.DUMMYFUNCTION("""COMPUTED_VALUE"""),"Dina Sanyoto")</f>
        <v>Dina Sanyoto</v>
      </c>
      <c r="D453" s="102" t="str">
        <f>IFERROR(__xludf.DUMMYFUNCTION("""COMPUTED_VALUE"""),"08123533968")</f>
        <v>08123533968</v>
      </c>
      <c r="E453" s="25" t="str">
        <f>IFERROR(__xludf.DUMMYFUNCTION("""COMPUTED_VALUE"""),"Instagram")</f>
        <v>Instagram</v>
      </c>
      <c r="F453" s="25" t="str">
        <f>IFERROR(__xludf.DUMMYFUNCTION("""COMPUTED_VALUE"""),"Closing")</f>
        <v>Closing</v>
      </c>
      <c r="G453" s="25" t="str">
        <f>IFERROR(__xludf.DUMMYFUNCTION("""COMPUTED_VALUE"""),"3h2m custome")</f>
        <v>3h2m custome</v>
      </c>
      <c r="H453" s="78"/>
      <c r="I453" s="89">
        <f>IFERROR(__xludf.DUMMYFUNCTION("""COMPUTED_VALUE"""),3.0)</f>
        <v>3</v>
      </c>
      <c r="J453" s="33">
        <f>IFERROR(__xludf.DUMMYFUNCTION("""COMPUTED_VALUE"""),5400000.0)</f>
        <v>5400000</v>
      </c>
      <c r="K453" s="30" t="str">
        <f>IFERROR(__xludf.DUMMYFUNCTION("""COMPUTED_VALUE"""),"alhamdulillah closing")</f>
        <v>alhamdulillah closing</v>
      </c>
      <c r="L453" s="49"/>
      <c r="M453" s="20"/>
      <c r="N453" s="20"/>
      <c r="O453" s="20"/>
      <c r="P453" s="20"/>
    </row>
    <row r="454">
      <c r="A454" s="97">
        <f>IFERROR(__xludf.DUMMYFUNCTION("""COMPUTED_VALUE"""),46167.0)</f>
        <v>46167</v>
      </c>
      <c r="B454" s="97" t="str">
        <f>IFERROR(__xludf.DUMMYFUNCTION("""COMPUTED_VALUE"""),"2605A110")</f>
        <v>2605A110</v>
      </c>
      <c r="C454" s="76" t="str">
        <f>IFERROR(__xludf.DUMMYFUNCTION("""COMPUTED_VALUE"""),"Y. Belinda")</f>
        <v>Y. Belinda</v>
      </c>
      <c r="D454" s="99" t="str">
        <f>IFERROR(__xludf.DUMMYFUNCTION("""COMPUTED_VALUE"""),"0817701995")</f>
        <v>0817701995</v>
      </c>
      <c r="E454" s="25" t="str">
        <f>IFERROR(__xludf.DUMMYFUNCTION("""COMPUTED_VALUE"""),"Website")</f>
        <v>Website</v>
      </c>
      <c r="F454" s="25" t="str">
        <f>IFERROR(__xludf.DUMMYFUNCTION("""COMPUTED_VALUE"""),"Closing")</f>
        <v>Closing</v>
      </c>
      <c r="G454" s="25" t="str">
        <f>IFERROR(__xludf.DUMMYFUNCTION("""COMPUTED_VALUE"""),"3h2m custom")</f>
        <v>3h2m custom</v>
      </c>
      <c r="H454" s="92"/>
      <c r="I454" s="80">
        <f>IFERROR(__xludf.DUMMYFUNCTION("""COMPUTED_VALUE"""),1.0)</f>
        <v>1</v>
      </c>
      <c r="J454" s="129">
        <f>IFERROR(__xludf.DUMMYFUNCTION("""COMPUTED_VALUE"""),4080000.0)</f>
        <v>4080000</v>
      </c>
      <c r="K454" s="19" t="str">
        <f>IFERROR(__xludf.DUMMYFUNCTION("""COMPUTED_VALUE"""),"alhamdulillah order")</f>
        <v>alhamdulillah order</v>
      </c>
      <c r="L454" s="76"/>
      <c r="M454" s="20"/>
      <c r="N454" s="20"/>
      <c r="O454" s="20"/>
      <c r="P454" s="20"/>
    </row>
    <row r="455">
      <c r="A455" s="110">
        <f>IFERROR(__xludf.DUMMYFUNCTION("""COMPUTED_VALUE"""),46160.0)</f>
        <v>46160</v>
      </c>
      <c r="B455" s="110" t="str">
        <f>IFERROR(__xludf.DUMMYFUNCTION("""COMPUTED_VALUE"""),"2605A111")</f>
        <v>2605A111</v>
      </c>
      <c r="C455" s="49" t="str">
        <f>IFERROR(__xludf.DUMMYFUNCTION("""COMPUTED_VALUE"""),"Achmad Elyas")</f>
        <v>Achmad Elyas</v>
      </c>
      <c r="D455" s="102" t="str">
        <f>IFERROR(__xludf.DUMMYFUNCTION("""COMPUTED_VALUE"""),"081235277773")</f>
        <v>081235277773</v>
      </c>
      <c r="E455" s="25" t="str">
        <f>IFERROR(__xludf.DUMMYFUNCTION("""COMPUTED_VALUE"""),"Instagram")</f>
        <v>Instagram</v>
      </c>
      <c r="F455" s="25" t="str">
        <f>IFERROR(__xludf.DUMMYFUNCTION("""COMPUTED_VALUE"""),"Gagal")</f>
        <v>Gagal</v>
      </c>
      <c r="G455" s="25" t="str">
        <f>IFERROR(__xludf.DUMMYFUNCTION("""COMPUTED_VALUE"""),"tn baluran")</f>
        <v>tn baluran</v>
      </c>
      <c r="H455" s="78"/>
      <c r="I455" s="89"/>
      <c r="J455" s="96"/>
      <c r="K455" s="36" t="str">
        <f>IFERROR(__xludf.DUMMYFUNCTION("""COMPUTED_VALUE"""),"gada jawaban, hanya menyapa")</f>
        <v>gada jawaban, hanya menyapa</v>
      </c>
      <c r="L455" s="49"/>
      <c r="M455" s="20"/>
      <c r="N455" s="20"/>
      <c r="O455" s="20"/>
      <c r="P455" s="20"/>
    </row>
    <row r="456">
      <c r="A456" s="97">
        <f>IFERROR(__xludf.DUMMYFUNCTION("""COMPUTED_VALUE"""),46156.0)</f>
        <v>46156</v>
      </c>
      <c r="B456" s="97" t="str">
        <f>IFERROR(__xludf.DUMMYFUNCTION("""COMPUTED_VALUE"""),"2605A112")</f>
        <v>2605A112</v>
      </c>
      <c r="C456" s="76" t="str">
        <f>IFERROR(__xludf.DUMMYFUNCTION("""COMPUTED_VALUE"""),"Farel")</f>
        <v>Farel</v>
      </c>
      <c r="D456" s="99" t="str">
        <f>IFERROR(__xludf.DUMMYFUNCTION("""COMPUTED_VALUE"""),"082182847878")</f>
        <v>082182847878</v>
      </c>
      <c r="E456" s="25" t="str">
        <f>IFERROR(__xludf.DUMMYFUNCTION("""COMPUTED_VALUE"""),"Instagram")</f>
        <v>Instagram</v>
      </c>
      <c r="F456" s="25" t="str">
        <f>IFERROR(__xludf.DUMMYFUNCTION("""COMPUTED_VALUE"""),"Gagal")</f>
        <v>Gagal</v>
      </c>
      <c r="G456" s="25" t="str">
        <f>IFERROR(__xludf.DUMMYFUNCTION("""COMPUTED_VALUE"""),"3h2m")</f>
        <v>3h2m</v>
      </c>
      <c r="H456" s="92"/>
      <c r="I456" s="80">
        <f>IFERROR(__xludf.DUMMYFUNCTION("""COMPUTED_VALUE"""),4.0)</f>
        <v>4</v>
      </c>
      <c r="J456" s="93">
        <f>IFERROR(__xludf.DUMMYFUNCTION("""COMPUTED_VALUE"""),6808000.0)</f>
        <v>6808000</v>
      </c>
      <c r="K456" s="19" t="str">
        <f>IFERROR(__xludf.DUMMYFUNCTION("""COMPUTED_VALUE"""),"blm bisa melanjutkan")</f>
        <v>blm bisa melanjutkan</v>
      </c>
      <c r="L456" s="76"/>
      <c r="M456" s="20"/>
      <c r="N456" s="20"/>
      <c r="O456" s="20"/>
      <c r="P456" s="20"/>
    </row>
    <row r="457">
      <c r="A457" s="110">
        <f>IFERROR(__xludf.DUMMYFUNCTION("""COMPUTED_VALUE"""),46156.0)</f>
        <v>46156</v>
      </c>
      <c r="B457" s="110" t="str">
        <f>IFERROR(__xludf.DUMMYFUNCTION("""COMPUTED_VALUE"""),"2605A113")</f>
        <v>2605A113</v>
      </c>
      <c r="C457" s="49" t="str">
        <f>IFERROR(__xludf.DUMMYFUNCTION("""COMPUTED_VALUE"""),"Didyn")</f>
        <v>Didyn</v>
      </c>
      <c r="D457" s="102" t="str">
        <f>IFERROR(__xludf.DUMMYFUNCTION("""COMPUTED_VALUE"""),"087779670032")</f>
        <v>087779670032</v>
      </c>
      <c r="E457" s="25" t="str">
        <f>IFERROR(__xludf.DUMMYFUNCTION("""COMPUTED_VALUE"""),"Website")</f>
        <v>Website</v>
      </c>
      <c r="F457" s="25" t="str">
        <f>IFERROR(__xludf.DUMMYFUNCTION("""COMPUTED_VALUE"""),"Gagal")</f>
        <v>Gagal</v>
      </c>
      <c r="G457" s="25" t="str">
        <f>IFERROR(__xludf.DUMMYFUNCTION("""COMPUTED_VALUE"""),"3h2m")</f>
        <v>3h2m</v>
      </c>
      <c r="H457" s="78"/>
      <c r="I457" s="89">
        <f>IFERROR(__xludf.DUMMYFUNCTION("""COMPUTED_VALUE"""),15.0)</f>
        <v>15</v>
      </c>
      <c r="J457" s="96"/>
      <c r="K457" s="36"/>
      <c r="L457" s="49"/>
      <c r="M457" s="20"/>
      <c r="N457" s="20"/>
      <c r="O457" s="20"/>
      <c r="P457" s="20"/>
    </row>
    <row r="458">
      <c r="A458" s="97">
        <f>IFERROR(__xludf.DUMMYFUNCTION("""COMPUTED_VALUE"""),46157.0)</f>
        <v>46157</v>
      </c>
      <c r="B458" s="97" t="str">
        <f>IFERROR(__xludf.DUMMYFUNCTION("""COMPUTED_VALUE"""),"2605A114")</f>
        <v>2605A114</v>
      </c>
      <c r="C458" s="76" t="str">
        <f>IFERROR(__xludf.DUMMYFUNCTION("""COMPUTED_VALUE"""),"Wulan")</f>
        <v>Wulan</v>
      </c>
      <c r="D458" s="99" t="str">
        <f>IFERROR(__xludf.DUMMYFUNCTION("""COMPUTED_VALUE"""),"08129541224")</f>
        <v>08129541224</v>
      </c>
      <c r="E458" s="25" t="str">
        <f>IFERROR(__xludf.DUMMYFUNCTION("""COMPUTED_VALUE"""),"Website")</f>
        <v>Website</v>
      </c>
      <c r="F458" s="25" t="str">
        <f>IFERROR(__xludf.DUMMYFUNCTION("""COMPUTED_VALUE"""),"Gagal")</f>
        <v>Gagal</v>
      </c>
      <c r="G458" s="25" t="str">
        <f>IFERROR(__xludf.DUMMYFUNCTION("""COMPUTED_VALUE"""),"ot mt")</f>
        <v>ot mt</v>
      </c>
      <c r="H458" s="92">
        <f>IFERROR(__xludf.DUMMYFUNCTION("""COMPUTED_VALUE"""),46158.0)</f>
        <v>46158</v>
      </c>
      <c r="I458" s="80"/>
      <c r="J458" s="93"/>
      <c r="K458" s="19" t="str">
        <f>IFERROR(__xludf.DUMMYFUNCTION("""COMPUTED_VALUE"""),"fullbooked")</f>
        <v>fullbooked</v>
      </c>
      <c r="L458" s="76"/>
      <c r="M458" s="20"/>
      <c r="N458" s="20"/>
      <c r="O458" s="20"/>
      <c r="P458" s="20"/>
    </row>
    <row r="459">
      <c r="A459" s="110">
        <f>IFERROR(__xludf.DUMMYFUNCTION("""COMPUTED_VALUE"""),46157.0)</f>
        <v>46157</v>
      </c>
      <c r="B459" s="110" t="str">
        <f>IFERROR(__xludf.DUMMYFUNCTION("""COMPUTED_VALUE"""),"2605A115")</f>
        <v>2605A115</v>
      </c>
      <c r="C459" s="49" t="str">
        <f>IFERROR(__xludf.DUMMYFUNCTION("""COMPUTED_VALUE"""),"Nan")</f>
        <v>Nan</v>
      </c>
      <c r="D459" s="102" t="str">
        <f>IFERROR(__xludf.DUMMYFUNCTION("""COMPUTED_VALUE"""),"083821675707")</f>
        <v>083821675707</v>
      </c>
      <c r="E459" s="25" t="str">
        <f>IFERROR(__xludf.DUMMYFUNCTION("""COMPUTED_VALUE"""),"Instagram")</f>
        <v>Instagram</v>
      </c>
      <c r="F459" s="25" t="str">
        <f>IFERROR(__xludf.DUMMYFUNCTION("""COMPUTED_VALUE"""),"Gagal")</f>
        <v>Gagal</v>
      </c>
      <c r="G459" s="25" t="str">
        <f>IFERROR(__xludf.DUMMYFUNCTION("""COMPUTED_VALUE"""),"ot mt")</f>
        <v>ot mt</v>
      </c>
      <c r="H459" s="78"/>
      <c r="I459" s="27"/>
      <c r="J459" s="96"/>
      <c r="K459" s="30" t="str">
        <f>IFERROR(__xludf.DUMMYFUNCTION("""COMPUTED_VALUE"""),"hanya menyapa. tidak ada lanjutan")</f>
        <v>hanya menyapa. tidak ada lanjutan</v>
      </c>
      <c r="L459" s="49"/>
      <c r="M459" s="20"/>
      <c r="N459" s="20"/>
      <c r="O459" s="20"/>
      <c r="P459" s="20"/>
    </row>
    <row r="460">
      <c r="A460" s="97">
        <f>IFERROR(__xludf.DUMMYFUNCTION("""COMPUTED_VALUE"""),46157.0)</f>
        <v>46157</v>
      </c>
      <c r="B460" s="97" t="str">
        <f>IFERROR(__xludf.DUMMYFUNCTION("""COMPUTED_VALUE"""),"2605A116")</f>
        <v>2605A116</v>
      </c>
      <c r="C460" s="76" t="str">
        <f>IFERROR(__xludf.DUMMYFUNCTION("""COMPUTED_VALUE"""),"Qiboo")</f>
        <v>Qiboo</v>
      </c>
      <c r="D460" s="99" t="str">
        <f>IFERROR(__xludf.DUMMYFUNCTION("""COMPUTED_VALUE"""),"081391158925")</f>
        <v>081391158925</v>
      </c>
      <c r="E460" s="25" t="str">
        <f>IFERROR(__xludf.DUMMYFUNCTION("""COMPUTED_VALUE"""),"Lainnya")</f>
        <v>Lainnya</v>
      </c>
      <c r="F460" s="25" t="str">
        <f>IFERROR(__xludf.DUMMYFUNCTION("""COMPUTED_VALUE"""),"Gagal")</f>
        <v>Gagal</v>
      </c>
      <c r="G460" s="25"/>
      <c r="H460" s="92"/>
      <c r="I460" s="80"/>
      <c r="J460" s="93"/>
      <c r="K460" s="46" t="str">
        <f>IFERROR(__xludf.DUMMYFUNCTION("""COMPUTED_VALUE"""),"hanya menyapa. tidak ada lanjutan")</f>
        <v>hanya menyapa. tidak ada lanjutan</v>
      </c>
      <c r="L460" s="76"/>
      <c r="M460" s="20"/>
      <c r="N460" s="20"/>
      <c r="O460" s="20"/>
      <c r="P460" s="20"/>
    </row>
    <row r="461">
      <c r="A461" s="110">
        <f>IFERROR(__xludf.DUMMYFUNCTION("""COMPUTED_VALUE"""),46157.0)</f>
        <v>46157</v>
      </c>
      <c r="B461" s="110" t="str">
        <f>IFERROR(__xludf.DUMMYFUNCTION("""COMPUTED_VALUE"""),"2605A117")</f>
        <v>2605A117</v>
      </c>
      <c r="C461" s="49" t="str">
        <f>IFERROR(__xludf.DUMMYFUNCTION("""COMPUTED_VALUE"""),"Titi")</f>
        <v>Titi</v>
      </c>
      <c r="D461" s="102" t="str">
        <f>IFERROR(__xludf.DUMMYFUNCTION("""COMPUTED_VALUE"""),"089528279993")</f>
        <v>089528279993</v>
      </c>
      <c r="E461" s="25" t="str">
        <f>IFERROR(__xludf.DUMMYFUNCTION("""COMPUTED_VALUE"""),"Lainnya")</f>
        <v>Lainnya</v>
      </c>
      <c r="F461" s="25" t="str">
        <f>IFERROR(__xludf.DUMMYFUNCTION("""COMPUTED_VALUE"""),"Gagal")</f>
        <v>Gagal</v>
      </c>
      <c r="G461" s="25" t="str">
        <f>IFERROR(__xludf.DUMMYFUNCTION("""COMPUTED_VALUE"""),"private mt")</f>
        <v>private mt</v>
      </c>
      <c r="H461" s="78">
        <f>IFERROR(__xludf.DUMMYFUNCTION("""COMPUTED_VALUE"""),46158.0)</f>
        <v>46158</v>
      </c>
      <c r="I461" s="89">
        <f>IFERROR(__xludf.DUMMYFUNCTION("""COMPUTED_VALUE"""),2.0)</f>
        <v>2</v>
      </c>
      <c r="J461" s="96"/>
      <c r="K461" s="36" t="str">
        <f>IFERROR(__xludf.DUMMYFUNCTION("""COMPUTED_VALUE"""),"fullbooked")</f>
        <v>fullbooked</v>
      </c>
      <c r="L461" s="49"/>
      <c r="M461" s="20"/>
      <c r="N461" s="20"/>
      <c r="O461" s="20"/>
      <c r="P461" s="20"/>
    </row>
    <row r="462">
      <c r="A462" s="97">
        <f>IFERROR(__xludf.DUMMYFUNCTION("""COMPUTED_VALUE"""),46158.0)</f>
        <v>46158</v>
      </c>
      <c r="B462" s="97" t="str">
        <f>IFERROR(__xludf.DUMMYFUNCTION("""COMPUTED_VALUE"""),"2605A118")</f>
        <v>2605A118</v>
      </c>
      <c r="C462" s="76" t="str">
        <f>IFERROR(__xludf.DUMMYFUNCTION("""COMPUTED_VALUE"""),"Diky")</f>
        <v>Diky</v>
      </c>
      <c r="D462" s="99" t="str">
        <f>IFERROR(__xludf.DUMMYFUNCTION("""COMPUTED_VALUE"""),"083861309679")</f>
        <v>083861309679</v>
      </c>
      <c r="E462" s="25" t="str">
        <f>IFERROR(__xludf.DUMMYFUNCTION("""COMPUTED_VALUE"""),"Tiktok")</f>
        <v>Tiktok</v>
      </c>
      <c r="F462" s="25" t="str">
        <f>IFERROR(__xludf.DUMMYFUNCTION("""COMPUTED_VALUE"""),"Gagal")</f>
        <v>Gagal</v>
      </c>
      <c r="G462" s="25" t="str">
        <f>IFERROR(__xludf.DUMMYFUNCTION("""COMPUTED_VALUE"""),"ot djawatan dan green island 1d")</f>
        <v>ot djawatan dan green island 1d</v>
      </c>
      <c r="H462" s="92"/>
      <c r="I462" s="17"/>
      <c r="J462" s="93"/>
      <c r="K462" s="19" t="str">
        <f>IFERROR(__xludf.DUMMYFUNCTION("""COMPUTED_VALUE"""),"tidak ada jawaban")</f>
        <v>tidak ada jawaban</v>
      </c>
      <c r="L462" s="49"/>
      <c r="M462" s="20"/>
      <c r="N462" s="20"/>
      <c r="O462" s="20"/>
      <c r="P462" s="20"/>
    </row>
    <row r="463">
      <c r="A463" s="110">
        <f>IFERROR(__xludf.DUMMYFUNCTION("""COMPUTED_VALUE"""),46159.0)</f>
        <v>46159</v>
      </c>
      <c r="B463" s="110" t="str">
        <f>IFERROR(__xludf.DUMMYFUNCTION("""COMPUTED_VALUE"""),"2605A119")</f>
        <v>2605A119</v>
      </c>
      <c r="C463" s="49" t="str">
        <f>IFERROR(__xludf.DUMMYFUNCTION("""COMPUTED_VALUE"""),"A")</f>
        <v>A</v>
      </c>
      <c r="D463" s="102" t="str">
        <f>IFERROR(__xludf.DUMMYFUNCTION("""COMPUTED_VALUE"""),"60195593369")</f>
        <v>60195593369</v>
      </c>
      <c r="E463" s="25" t="str">
        <f>IFERROR(__xludf.DUMMYFUNCTION("""COMPUTED_VALUE"""),"Lainnya")</f>
        <v>Lainnya</v>
      </c>
      <c r="F463" s="25" t="str">
        <f>IFERROR(__xludf.DUMMYFUNCTION("""COMPUTED_VALUE"""),"Gagal")</f>
        <v>Gagal</v>
      </c>
      <c r="G463" s="25"/>
      <c r="H463" s="78"/>
      <c r="I463" s="89"/>
      <c r="J463" s="96"/>
      <c r="K463" s="30" t="str">
        <f>IFERROR(__xludf.DUMMYFUNCTION("""COMPUTED_VALUE"""),"hanya menyapa. tidak ada lanjutan")</f>
        <v>hanya menyapa. tidak ada lanjutan</v>
      </c>
      <c r="L463" s="49"/>
      <c r="M463" s="20"/>
      <c r="N463" s="20"/>
      <c r="O463" s="20"/>
      <c r="P463" s="20"/>
    </row>
    <row r="464">
      <c r="A464" s="97">
        <f>IFERROR(__xludf.DUMMYFUNCTION("""COMPUTED_VALUE"""),46159.0)</f>
        <v>46159</v>
      </c>
      <c r="B464" s="97" t="str">
        <f>IFERROR(__xludf.DUMMYFUNCTION("""COMPUTED_VALUE"""),"2605A120")</f>
        <v>2605A120</v>
      </c>
      <c r="C464" s="76" t="str">
        <f>IFERROR(__xludf.DUMMYFUNCTION("""COMPUTED_VALUE"""),"Achasaurs")</f>
        <v>Achasaurs</v>
      </c>
      <c r="D464" s="99" t="str">
        <f>IFERROR(__xludf.DUMMYFUNCTION("""COMPUTED_VALUE"""),"082122694354")</f>
        <v>082122694354</v>
      </c>
      <c r="E464" s="25" t="str">
        <f>IFERROR(__xludf.DUMMYFUNCTION("""COMPUTED_VALUE"""),"Website")</f>
        <v>Website</v>
      </c>
      <c r="F464" s="25" t="str">
        <f>IFERROR(__xludf.DUMMYFUNCTION("""COMPUTED_VALUE"""),"Gagal")</f>
        <v>Gagal</v>
      </c>
      <c r="G464" s="25" t="str">
        <f>IFERROR(__xludf.DUMMYFUNCTION("""COMPUTED_VALUE"""),"1d alas purwo")</f>
        <v>1d alas purwo</v>
      </c>
      <c r="H464" s="92"/>
      <c r="I464" s="80">
        <f>IFERROR(__xludf.DUMMYFUNCTION("""COMPUTED_VALUE"""),5.0)</f>
        <v>5</v>
      </c>
      <c r="J464" s="93"/>
      <c r="K464" s="19" t="str">
        <f>IFERROR(__xludf.DUMMYFUNCTION("""COMPUTED_VALUE"""),"gada balasan")</f>
        <v>gada balasan</v>
      </c>
      <c r="L464" s="49"/>
      <c r="M464" s="20"/>
      <c r="N464" s="20"/>
      <c r="O464" s="20"/>
      <c r="P464" s="20"/>
    </row>
    <row r="465">
      <c r="A465" s="110">
        <f>IFERROR(__xludf.DUMMYFUNCTION("""COMPUTED_VALUE"""),46158.0)</f>
        <v>46158</v>
      </c>
      <c r="B465" s="110" t="str">
        <f>IFERROR(__xludf.DUMMYFUNCTION("""COMPUTED_VALUE"""),"2605A121")</f>
        <v>2605A121</v>
      </c>
      <c r="C465" s="49" t="str">
        <f>IFERROR(__xludf.DUMMYFUNCTION("""COMPUTED_VALUE"""),"Izna")</f>
        <v>Izna</v>
      </c>
      <c r="D465" s="102" t="str">
        <f>IFERROR(__xludf.DUMMYFUNCTION("""COMPUTED_VALUE"""),"0817466226")</f>
        <v>0817466226</v>
      </c>
      <c r="E465" s="25" t="str">
        <f>IFERROR(__xludf.DUMMYFUNCTION("""COMPUTED_VALUE"""),"Lainnya")</f>
        <v>Lainnya</v>
      </c>
      <c r="F465" s="25" t="str">
        <f>IFERROR(__xludf.DUMMYFUNCTION("""COMPUTED_VALUE"""),"Gagal")</f>
        <v>Gagal</v>
      </c>
      <c r="G465" s="25" t="str">
        <f>IFERROR(__xludf.DUMMYFUNCTION("""COMPUTED_VALUE"""),"ot mt")</f>
        <v>ot mt</v>
      </c>
      <c r="H465" s="78">
        <f>IFERROR(__xludf.DUMMYFUNCTION("""COMPUTED_VALUE"""),46161.0)</f>
        <v>46161</v>
      </c>
      <c r="I465" s="89">
        <f>IFERROR(__xludf.DUMMYFUNCTION("""COMPUTED_VALUE"""),3.0)</f>
        <v>3</v>
      </c>
      <c r="J465" s="96"/>
      <c r="K465" s="30" t="str">
        <f>IFERROR(__xludf.DUMMYFUNCTION("""COMPUTED_VALUE"""),"gada jawaban")</f>
        <v>gada jawaban</v>
      </c>
      <c r="L465" s="49"/>
      <c r="M465" s="20"/>
      <c r="N465" s="20"/>
      <c r="O465" s="20"/>
      <c r="P465" s="20"/>
    </row>
    <row r="466">
      <c r="A466" s="97">
        <f>IFERROR(__xludf.DUMMYFUNCTION("""COMPUTED_VALUE"""),46160.0)</f>
        <v>46160</v>
      </c>
      <c r="B466" s="97" t="str">
        <f>IFERROR(__xludf.DUMMYFUNCTION("""COMPUTED_VALUE"""),"2605A122")</f>
        <v>2605A122</v>
      </c>
      <c r="C466" s="76" t="str">
        <f>IFERROR(__xludf.DUMMYFUNCTION("""COMPUTED_VALUE"""),"Nasyitha Valia")</f>
        <v>Nasyitha Valia</v>
      </c>
      <c r="D466" s="99" t="str">
        <f>IFERROR(__xludf.DUMMYFUNCTION("""COMPUTED_VALUE"""),"089601307446")</f>
        <v>089601307446</v>
      </c>
      <c r="E466" s="25" t="str">
        <f>IFERROR(__xludf.DUMMYFUNCTION("""COMPUTED_VALUE"""),"Lainnya")</f>
        <v>Lainnya</v>
      </c>
      <c r="F466" s="25" t="str">
        <f>IFERROR(__xludf.DUMMYFUNCTION("""COMPUTED_VALUE"""),"Gagal")</f>
        <v>Gagal</v>
      </c>
      <c r="G466" s="25"/>
      <c r="H466" s="92"/>
      <c r="I466" s="80"/>
      <c r="J466" s="93"/>
      <c r="K466" s="19" t="str">
        <f>IFERROR(__xludf.DUMMYFUNCTION("""COMPUTED_VALUE"""),"gada jawaban")</f>
        <v>gada jawaban</v>
      </c>
      <c r="L466" s="76"/>
      <c r="M466" s="20"/>
      <c r="N466" s="20"/>
      <c r="O466" s="20"/>
      <c r="P466" s="20"/>
    </row>
    <row r="467">
      <c r="A467" s="110">
        <f>IFERROR(__xludf.DUMMYFUNCTION("""COMPUTED_VALUE"""),46160.0)</f>
        <v>46160</v>
      </c>
      <c r="B467" s="110" t="str">
        <f>IFERROR(__xludf.DUMMYFUNCTION("""COMPUTED_VALUE"""),"2605A123")</f>
        <v>2605A123</v>
      </c>
      <c r="C467" s="49" t="str">
        <f>IFERROR(__xludf.DUMMYFUNCTION("""COMPUTED_VALUE"""),"Delia")</f>
        <v>Delia</v>
      </c>
      <c r="D467" s="102" t="str">
        <f>IFERROR(__xludf.DUMMYFUNCTION("""COMPUTED_VALUE"""),"081294202024")</f>
        <v>081294202024</v>
      </c>
      <c r="E467" s="25" t="str">
        <f>IFERROR(__xludf.DUMMYFUNCTION("""COMPUTED_VALUE"""),"Lainnya")</f>
        <v>Lainnya</v>
      </c>
      <c r="F467" s="25" t="str">
        <f>IFERROR(__xludf.DUMMYFUNCTION("""COMPUTED_VALUE"""),"Gagal")</f>
        <v>Gagal</v>
      </c>
      <c r="G467" s="25" t="str">
        <f>IFERROR(__xludf.DUMMYFUNCTION("""COMPUTED_VALUE"""),"ot")</f>
        <v>ot</v>
      </c>
      <c r="H467" s="78"/>
      <c r="I467" s="89">
        <f>IFERROR(__xludf.DUMMYFUNCTION("""COMPUTED_VALUE"""),1.0)</f>
        <v>1</v>
      </c>
      <c r="J467" s="96"/>
      <c r="K467" s="30" t="str">
        <f>IFERROR(__xludf.DUMMYFUNCTION("""COMPUTED_VALUE"""),"belum ada jawaban")</f>
        <v>belum ada jawaban</v>
      </c>
      <c r="L467" s="49"/>
      <c r="M467" s="20"/>
      <c r="N467" s="20"/>
      <c r="O467" s="20"/>
      <c r="P467" s="20"/>
    </row>
    <row r="468">
      <c r="A468" s="97">
        <f>IFERROR(__xludf.DUMMYFUNCTION("""COMPUTED_VALUE"""),46161.0)</f>
        <v>46161</v>
      </c>
      <c r="B468" s="97" t="str">
        <f>IFERROR(__xludf.DUMMYFUNCTION("""COMPUTED_VALUE"""),"2605A124")</f>
        <v>2605A124</v>
      </c>
      <c r="C468" s="76" t="str">
        <f>IFERROR(__xludf.DUMMYFUNCTION("""COMPUTED_VALUE"""),"Francois Vaz")</f>
        <v>Francois Vaz</v>
      </c>
      <c r="D468" s="99" t="str">
        <f>IFERROR(__xludf.DUMMYFUNCTION("""COMPUTED_VALUE"""),"33637680194")</f>
        <v>33637680194</v>
      </c>
      <c r="E468" s="25" t="str">
        <f>IFERROR(__xludf.DUMMYFUNCTION("""COMPUTED_VALUE"""),"Website")</f>
        <v>Website</v>
      </c>
      <c r="F468" s="25" t="str">
        <f>IFERROR(__xludf.DUMMYFUNCTION("""COMPUTED_VALUE"""),"Gagal")</f>
        <v>Gagal</v>
      </c>
      <c r="G468" s="25" t="str">
        <f>IFERROR(__xludf.DUMMYFUNCTION("""COMPUTED_VALUE"""),"ijen-tumpak sewu-bromo-malang")</f>
        <v>ijen-tumpak sewu-bromo-malang</v>
      </c>
      <c r="H468" s="92">
        <f>IFERROR(__xludf.DUMMYFUNCTION("""COMPUTED_VALUE"""),46173.0)</f>
        <v>46173</v>
      </c>
      <c r="I468" s="80">
        <f>IFERROR(__xludf.DUMMYFUNCTION("""COMPUTED_VALUE"""),3.0)</f>
        <v>3</v>
      </c>
      <c r="J468" s="93"/>
      <c r="K468" s="19" t="str">
        <f>IFERROR(__xludf.DUMMYFUNCTION("""COMPUTED_VALUE"""),"diarahkan ke holiday")</f>
        <v>diarahkan ke holiday</v>
      </c>
      <c r="L468" s="76"/>
      <c r="M468" s="20"/>
      <c r="N468" s="20"/>
      <c r="O468" s="20"/>
      <c r="P468" s="20"/>
    </row>
    <row r="469">
      <c r="A469" s="110">
        <f>IFERROR(__xludf.DUMMYFUNCTION("""COMPUTED_VALUE"""),46161.0)</f>
        <v>46161</v>
      </c>
      <c r="B469" s="110" t="str">
        <f>IFERROR(__xludf.DUMMYFUNCTION("""COMPUTED_VALUE"""),"2605A125")</f>
        <v>2605A125</v>
      </c>
      <c r="C469" s="49" t="str">
        <f>IFERROR(__xludf.DUMMYFUNCTION("""COMPUTED_VALUE"""),"Lusyana Sitorus")</f>
        <v>Lusyana Sitorus</v>
      </c>
      <c r="D469" s="102" t="str">
        <f>IFERROR(__xludf.DUMMYFUNCTION("""COMPUTED_VALUE"""),"081370159206")</f>
        <v>081370159206</v>
      </c>
      <c r="E469" s="25" t="str">
        <f>IFERROR(__xludf.DUMMYFUNCTION("""COMPUTED_VALUE"""),"Website")</f>
        <v>Website</v>
      </c>
      <c r="F469" s="25" t="str">
        <f>IFERROR(__xludf.DUMMYFUNCTION("""COMPUTED_VALUE"""),"Gagal")</f>
        <v>Gagal</v>
      </c>
      <c r="G469" s="25"/>
      <c r="H469" s="26"/>
      <c r="I469" s="27"/>
      <c r="J469" s="33"/>
      <c r="K469" s="30" t="str">
        <f>IFERROR(__xludf.DUMMYFUNCTION("""COMPUTED_VALUE"""),"gada jawaban")</f>
        <v>gada jawaban</v>
      </c>
      <c r="L469" s="49"/>
      <c r="M469" s="20"/>
      <c r="N469" s="20"/>
      <c r="O469" s="20"/>
      <c r="P469" s="20"/>
    </row>
    <row r="470">
      <c r="A470" s="97">
        <f>IFERROR(__xludf.DUMMYFUNCTION("""COMPUTED_VALUE"""),46162.0)</f>
        <v>46162</v>
      </c>
      <c r="B470" s="97" t="str">
        <f>IFERROR(__xludf.DUMMYFUNCTION("""COMPUTED_VALUE"""),"2605A126")</f>
        <v>2605A126</v>
      </c>
      <c r="C470" s="76" t="str">
        <f>IFERROR(__xludf.DUMMYFUNCTION("""COMPUTED_VALUE"""),"w")</f>
        <v>w</v>
      </c>
      <c r="D470" s="99" t="str">
        <f>IFERROR(__xludf.DUMMYFUNCTION("""COMPUTED_VALUE"""),"0895393730460")</f>
        <v>0895393730460</v>
      </c>
      <c r="E470" s="25" t="str">
        <f>IFERROR(__xludf.DUMMYFUNCTION("""COMPUTED_VALUE"""),"Instagram")</f>
        <v>Instagram</v>
      </c>
      <c r="F470" s="25" t="str">
        <f>IFERROR(__xludf.DUMMYFUNCTION("""COMPUTED_VALUE"""),"Gagal")</f>
        <v>Gagal</v>
      </c>
      <c r="G470" s="25" t="str">
        <f>IFERROR(__xludf.DUMMYFUNCTION("""COMPUTED_VALUE"""),"green island")</f>
        <v>green island</v>
      </c>
      <c r="H470" s="92"/>
      <c r="I470" s="80"/>
      <c r="J470" s="93"/>
      <c r="K470" s="19" t="str">
        <f>IFERROR(__xludf.DUMMYFUNCTION("""COMPUTED_VALUE"""),"gada jawaban")</f>
        <v>gada jawaban</v>
      </c>
      <c r="L470" s="76"/>
      <c r="M470" s="20"/>
      <c r="N470" s="20"/>
      <c r="O470" s="20"/>
      <c r="P470" s="20"/>
    </row>
    <row r="471">
      <c r="A471" s="110">
        <f>IFERROR(__xludf.DUMMYFUNCTION("""COMPUTED_VALUE"""),46162.0)</f>
        <v>46162</v>
      </c>
      <c r="B471" s="110" t="str">
        <f>IFERROR(__xludf.DUMMYFUNCTION("""COMPUTED_VALUE"""),"2605A127")</f>
        <v>2605A127</v>
      </c>
      <c r="C471" s="49" t="str">
        <f>IFERROR(__xludf.DUMMYFUNCTION("""COMPUTED_VALUE"""),"j")</f>
        <v>j</v>
      </c>
      <c r="D471" s="102" t="str">
        <f>IFERROR(__xludf.DUMMYFUNCTION("""COMPUTED_VALUE"""),"085603008700")</f>
        <v>085603008700</v>
      </c>
      <c r="E471" s="25" t="str">
        <f>IFERROR(__xludf.DUMMYFUNCTION("""COMPUTED_VALUE"""),"Lainnya")</f>
        <v>Lainnya</v>
      </c>
      <c r="F471" s="25" t="str">
        <f>IFERROR(__xludf.DUMMYFUNCTION("""COMPUTED_VALUE"""),"Gagal")</f>
        <v>Gagal</v>
      </c>
      <c r="G471" s="25" t="str">
        <f>IFERROR(__xludf.DUMMYFUNCTION("""COMPUTED_VALUE"""),"ot mt")</f>
        <v>ot mt</v>
      </c>
      <c r="H471" s="78">
        <f>IFERROR(__xludf.DUMMYFUNCTION("""COMPUTED_VALUE"""),46163.0)</f>
        <v>46163</v>
      </c>
      <c r="I471" s="27"/>
      <c r="J471" s="96"/>
      <c r="K471" s="36" t="str">
        <f>IFERROR(__xludf.DUMMYFUNCTION("""COMPUTED_VALUE"""),"gada jawaban")</f>
        <v>gada jawaban</v>
      </c>
      <c r="L471" s="49"/>
      <c r="M471" s="20"/>
      <c r="N471" s="20"/>
      <c r="O471" s="20"/>
      <c r="P471" s="20"/>
    </row>
    <row r="472">
      <c r="A472" s="97">
        <f>IFERROR(__xludf.DUMMYFUNCTION("""COMPUTED_VALUE"""),46161.0)</f>
        <v>46161</v>
      </c>
      <c r="B472" s="97" t="str">
        <f>IFERROR(__xludf.DUMMYFUNCTION("""COMPUTED_VALUE"""),"2605A128")</f>
        <v>2605A128</v>
      </c>
      <c r="C472" s="76" t="str">
        <f>IFERROR(__xludf.DUMMYFUNCTION("""COMPUTED_VALUE"""),"Andre Martin")</f>
        <v>Andre Martin</v>
      </c>
      <c r="D472" s="99" t="str">
        <f>IFERROR(__xludf.DUMMYFUNCTION("""COMPUTED_VALUE"""),"0895392130140")</f>
        <v>0895392130140</v>
      </c>
      <c r="E472" s="25" t="str">
        <f>IFERROR(__xludf.DUMMYFUNCTION("""COMPUTED_VALUE"""),"Instagram")</f>
        <v>Instagram</v>
      </c>
      <c r="F472" s="25" t="str">
        <f>IFERROR(__xludf.DUMMYFUNCTION("""COMPUTED_VALUE"""),"Gagal")</f>
        <v>Gagal</v>
      </c>
      <c r="G472" s="25" t="str">
        <f>IFERROR(__xludf.DUMMYFUNCTION("""COMPUTED_VALUE"""),"ot 3h2m ")</f>
        <v>ot 3h2m </v>
      </c>
      <c r="H472" s="92"/>
      <c r="I472" s="80">
        <f>IFERROR(__xludf.DUMMYFUNCTION("""COMPUTED_VALUE"""),1.0)</f>
        <v>1</v>
      </c>
      <c r="J472" s="93">
        <f>IFERROR(__xludf.DUMMYFUNCTION("""COMPUTED_VALUE"""),1600000.0)</f>
        <v>1600000</v>
      </c>
      <c r="K472" s="46" t="str">
        <f>IFERROR(__xludf.DUMMYFUNCTION("""COMPUTED_VALUE"""),"gada barengan")</f>
        <v>gada barengan</v>
      </c>
      <c r="L472" s="76"/>
      <c r="M472" s="20"/>
      <c r="N472" s="20"/>
      <c r="O472" s="20"/>
      <c r="P472" s="20"/>
    </row>
    <row r="473">
      <c r="A473" s="110">
        <f>IFERROR(__xludf.DUMMYFUNCTION("""COMPUTED_VALUE"""),46162.0)</f>
        <v>46162</v>
      </c>
      <c r="B473" s="110" t="str">
        <f>IFERROR(__xludf.DUMMYFUNCTION("""COMPUTED_VALUE"""),"2605A129")</f>
        <v>2605A129</v>
      </c>
      <c r="C473" s="49" t="str">
        <f>IFERROR(__xludf.DUMMYFUNCTION("""COMPUTED_VALUE"""),"Evi ")</f>
        <v>Evi </v>
      </c>
      <c r="D473" s="102" t="str">
        <f>IFERROR(__xludf.DUMMYFUNCTION("""COMPUTED_VALUE"""),"081315380368")</f>
        <v>081315380368</v>
      </c>
      <c r="E473" s="25" t="str">
        <f>IFERROR(__xludf.DUMMYFUNCTION("""COMPUTED_VALUE"""),"Instagram")</f>
        <v>Instagram</v>
      </c>
      <c r="F473" s="25" t="str">
        <f>IFERROR(__xludf.DUMMYFUNCTION("""COMPUTED_VALUE"""),"Gagal")</f>
        <v>Gagal</v>
      </c>
      <c r="G473" s="25" t="str">
        <f>IFERROR(__xludf.DUMMYFUNCTION("""COMPUTED_VALUE"""),"open trip djawatan, mt")</f>
        <v>open trip djawatan, mt</v>
      </c>
      <c r="H473" s="26"/>
      <c r="I473" s="27"/>
      <c r="J473" s="33">
        <f>IFERROR(__xludf.DUMMYFUNCTION("""COMPUTED_VALUE"""),750000.0)</f>
        <v>750000</v>
      </c>
      <c r="K473" s="30"/>
      <c r="L473" s="49"/>
      <c r="M473" s="20"/>
      <c r="N473" s="20"/>
      <c r="O473" s="20"/>
      <c r="P473" s="20"/>
    </row>
    <row r="474">
      <c r="A474" s="97">
        <f>IFERROR(__xludf.DUMMYFUNCTION("""COMPUTED_VALUE"""),46163.0)</f>
        <v>46163</v>
      </c>
      <c r="B474" s="110" t="str">
        <f>IFERROR(__xludf.DUMMYFUNCTION("""COMPUTED_VALUE"""),"2605A130")</f>
        <v>2605A130</v>
      </c>
      <c r="C474" s="76" t="str">
        <f>IFERROR(__xludf.DUMMYFUNCTION("""COMPUTED_VALUE"""),"Adawiyah Salma")</f>
        <v>Adawiyah Salma</v>
      </c>
      <c r="D474" s="99" t="str">
        <f>IFERROR(__xludf.DUMMYFUNCTION("""COMPUTED_VALUE"""),"08119371515")</f>
        <v>08119371515</v>
      </c>
      <c r="E474" s="25" t="str">
        <f>IFERROR(__xludf.DUMMYFUNCTION("""COMPUTED_VALUE"""),"Instagram")</f>
        <v>Instagram</v>
      </c>
      <c r="F474" s="25" t="str">
        <f>IFERROR(__xludf.DUMMYFUNCTION("""COMPUTED_VALUE"""),"Gagal")</f>
        <v>Gagal</v>
      </c>
      <c r="G474" s="25" t="str">
        <f>IFERROR(__xludf.DUMMYFUNCTION("""COMPUTED_VALUE"""),"ot mt")</f>
        <v>ot mt</v>
      </c>
      <c r="H474" s="92">
        <f>IFERROR(__xludf.DUMMYFUNCTION("""COMPUTED_VALUE"""),46173.0)</f>
        <v>46173</v>
      </c>
      <c r="I474" s="80">
        <f>IFERROR(__xludf.DUMMYFUNCTION("""COMPUTED_VALUE"""),2.0)</f>
        <v>2</v>
      </c>
      <c r="J474" s="93">
        <f>IFERROR(__xludf.DUMMYFUNCTION("""COMPUTED_VALUE"""),550000.0)</f>
        <v>550000</v>
      </c>
      <c r="K474" s="19" t="str">
        <f>IFERROR(__xludf.DUMMYFUNCTION("""COMPUTED_VALUE"""),"fullbooked")</f>
        <v>fullbooked</v>
      </c>
      <c r="L474" s="76"/>
      <c r="M474" s="20"/>
      <c r="N474" s="20"/>
      <c r="O474" s="20"/>
      <c r="P474" s="20"/>
    </row>
    <row r="475">
      <c r="A475" s="110">
        <f>IFERROR(__xludf.DUMMYFUNCTION("""COMPUTED_VALUE"""),46162.0)</f>
        <v>46162</v>
      </c>
      <c r="B475" s="110" t="str">
        <f>IFERROR(__xludf.DUMMYFUNCTION("""COMPUTED_VALUE"""),"2605A131")</f>
        <v>2605A131</v>
      </c>
      <c r="C475" s="49" t="str">
        <f>IFERROR(__xludf.DUMMYFUNCTION("""COMPUTED_VALUE"""),"a")</f>
        <v>a</v>
      </c>
      <c r="D475" s="102" t="str">
        <f>IFERROR(__xludf.DUMMYFUNCTION("""COMPUTED_VALUE"""),"0811121202")</f>
        <v>0811121202</v>
      </c>
      <c r="E475" s="25" t="str">
        <f>IFERROR(__xludf.DUMMYFUNCTION("""COMPUTED_VALUE"""),"Instagram")</f>
        <v>Instagram</v>
      </c>
      <c r="F475" s="25" t="str">
        <f>IFERROR(__xludf.DUMMYFUNCTION("""COMPUTED_VALUE"""),"Gagal")</f>
        <v>Gagal</v>
      </c>
      <c r="G475" s="25" t="str">
        <f>IFERROR(__xludf.DUMMYFUNCTION("""COMPUTED_VALUE"""),"open trip  ")</f>
        <v>open trip  </v>
      </c>
      <c r="H475" s="78"/>
      <c r="I475" s="89"/>
      <c r="J475" s="96"/>
      <c r="K475" s="30" t="str">
        <f>IFERROR(__xludf.DUMMYFUNCTION("""COMPUTED_VALUE"""),"gada kelanjutan")</f>
        <v>gada kelanjutan</v>
      </c>
      <c r="L475" s="49"/>
      <c r="M475" s="20"/>
      <c r="N475" s="20"/>
      <c r="O475" s="20"/>
      <c r="P475" s="20"/>
    </row>
    <row r="476">
      <c r="A476" s="97">
        <f>IFERROR(__xludf.DUMMYFUNCTION("""COMPUTED_VALUE"""),46159.0)</f>
        <v>46159</v>
      </c>
      <c r="B476" s="110" t="str">
        <f>IFERROR(__xludf.DUMMYFUNCTION("""COMPUTED_VALUE"""),"2605A132")</f>
        <v>2605A132</v>
      </c>
      <c r="C476" s="76" t="str">
        <f>IFERROR(__xludf.DUMMYFUNCTION("""COMPUTED_VALUE"""),"Anggun")</f>
        <v>Anggun</v>
      </c>
      <c r="D476" s="99" t="str">
        <f>IFERROR(__xludf.DUMMYFUNCTION("""COMPUTED_VALUE"""),"081332685738")</f>
        <v>081332685738</v>
      </c>
      <c r="E476" s="25" t="str">
        <f>IFERROR(__xludf.DUMMYFUNCTION("""COMPUTED_VALUE"""),"Instagram")</f>
        <v>Instagram</v>
      </c>
      <c r="F476" s="25" t="str">
        <f>IFERROR(__xludf.DUMMYFUNCTION("""COMPUTED_VALUE"""),"Gagal")</f>
        <v>Gagal</v>
      </c>
      <c r="G476" s="25" t="str">
        <f>IFERROR(__xludf.DUMMYFUNCTION("""COMPUTED_VALUE"""),"djawatan baluran tabuhan")</f>
        <v>djawatan baluran tabuhan</v>
      </c>
      <c r="H476" s="92">
        <f>IFERROR(__xludf.DUMMYFUNCTION("""COMPUTED_VALUE"""),46169.0)</f>
        <v>46169</v>
      </c>
      <c r="I476" s="80">
        <f>IFERROR(__xludf.DUMMYFUNCTION("""COMPUTED_VALUE"""),7.0)</f>
        <v>7</v>
      </c>
      <c r="J476" s="93">
        <f>IFERROR(__xludf.DUMMYFUNCTION("""COMPUTED_VALUE"""),8120000.0)</f>
        <v>8120000</v>
      </c>
      <c r="K476" s="19" t="str">
        <f>IFERROR(__xludf.DUMMYFUNCTION("""COMPUTED_VALUE"""),"gada kelanjutan")</f>
        <v>gada kelanjutan</v>
      </c>
      <c r="L476" s="76"/>
      <c r="M476" s="20"/>
      <c r="N476" s="20"/>
      <c r="O476" s="20"/>
      <c r="P476" s="20"/>
    </row>
    <row r="477">
      <c r="A477" s="110">
        <f>IFERROR(__xludf.DUMMYFUNCTION("""COMPUTED_VALUE"""),46158.0)</f>
        <v>46158</v>
      </c>
      <c r="B477" s="110" t="str">
        <f>IFERROR(__xludf.DUMMYFUNCTION("""COMPUTED_VALUE"""),"2605A133")</f>
        <v>2605A133</v>
      </c>
      <c r="C477" s="49" t="str">
        <f>IFERROR(__xludf.DUMMYFUNCTION("""COMPUTED_VALUE"""),"Assa Rohana")</f>
        <v>Assa Rohana</v>
      </c>
      <c r="D477" s="102" t="str">
        <f>IFERROR(__xludf.DUMMYFUNCTION("""COMPUTED_VALUE"""),"081291653213")</f>
        <v>081291653213</v>
      </c>
      <c r="E477" s="25" t="str">
        <f>IFERROR(__xludf.DUMMYFUNCTION("""COMPUTED_VALUE"""),"Instagram")</f>
        <v>Instagram</v>
      </c>
      <c r="F477" s="25" t="str">
        <f>IFERROR(__xludf.DUMMYFUNCTION("""COMPUTED_VALUE"""),"Gagal")</f>
        <v>Gagal</v>
      </c>
      <c r="G477" s="25" t="str">
        <f>IFERROR(__xludf.DUMMYFUNCTION("""COMPUTED_VALUE"""),"1d green island")</f>
        <v>1d green island</v>
      </c>
      <c r="H477" s="78">
        <f>IFERROR(__xludf.DUMMYFUNCTION("""COMPUTED_VALUE"""),46165.0)</f>
        <v>46165</v>
      </c>
      <c r="I477" s="89">
        <f>IFERROR(__xludf.DUMMYFUNCTION("""COMPUTED_VALUE"""),1.0)</f>
        <v>1</v>
      </c>
      <c r="J477" s="96">
        <f>IFERROR(__xludf.DUMMYFUNCTION("""COMPUTED_VALUE"""),2388000.0)</f>
        <v>2388000</v>
      </c>
      <c r="K477" s="30" t="str">
        <f>IFERROR(__xludf.DUMMYFUNCTION("""COMPUTED_VALUE"""),"gada balasan")</f>
        <v>gada balasan</v>
      </c>
      <c r="L477" s="49"/>
      <c r="M477" s="20"/>
      <c r="N477" s="20"/>
      <c r="O477" s="20"/>
      <c r="P477" s="20"/>
    </row>
    <row r="478">
      <c r="A478" s="97">
        <f>IFERROR(__xludf.DUMMYFUNCTION("""COMPUTED_VALUE"""),46158.0)</f>
        <v>46158</v>
      </c>
      <c r="B478" s="97" t="str">
        <f>IFERROR(__xludf.DUMMYFUNCTION("""COMPUTED_VALUE"""),"2605A134")</f>
        <v>2605A134</v>
      </c>
      <c r="C478" s="76" t="str">
        <f>IFERROR(__xludf.DUMMYFUNCTION("""COMPUTED_VALUE"""),"Ima ")</f>
        <v>Ima </v>
      </c>
      <c r="D478" s="99" t="str">
        <f>IFERROR(__xludf.DUMMYFUNCTION("""COMPUTED_VALUE"""),"081233171118")</f>
        <v>081233171118</v>
      </c>
      <c r="E478" s="25" t="str">
        <f>IFERROR(__xludf.DUMMYFUNCTION("""COMPUTED_VALUE"""),"Website")</f>
        <v>Website</v>
      </c>
      <c r="F478" s="25" t="str">
        <f>IFERROR(__xludf.DUMMYFUNCTION("""COMPUTED_VALUE"""),"Gagal")</f>
        <v>Gagal</v>
      </c>
      <c r="G478" s="25" t="str">
        <f>IFERROR(__xludf.DUMMYFUNCTION("""COMPUTED_VALUE"""),"2h1m")</f>
        <v>2h1m</v>
      </c>
      <c r="H478" s="92"/>
      <c r="I478" s="80">
        <f>IFERROR(__xludf.DUMMYFUNCTION("""COMPUTED_VALUE"""),5.0)</f>
        <v>5</v>
      </c>
      <c r="J478" s="93">
        <f>IFERROR(__xludf.DUMMYFUNCTION("""COMPUTED_VALUE"""),4100000.0)</f>
        <v>4100000</v>
      </c>
      <c r="K478" s="46" t="str">
        <f>IFERROR(__xludf.DUMMYFUNCTION("""COMPUTED_VALUE"""),"gada balasan")</f>
        <v>gada balasan</v>
      </c>
      <c r="L478" s="76"/>
      <c r="M478" s="20"/>
      <c r="N478" s="20"/>
      <c r="O478" s="20"/>
      <c r="P478" s="20"/>
    </row>
    <row r="479">
      <c r="A479" s="110">
        <f>IFERROR(__xludf.DUMMYFUNCTION("""COMPUTED_VALUE"""),46163.0)</f>
        <v>46163</v>
      </c>
      <c r="B479" s="110" t="str">
        <f>IFERROR(__xludf.DUMMYFUNCTION("""COMPUTED_VALUE"""),"2605A135")</f>
        <v>2605A135</v>
      </c>
      <c r="C479" s="49" t="str">
        <f>IFERROR(__xludf.DUMMYFUNCTION("""COMPUTED_VALUE"""),"Shafna Agiska")</f>
        <v>Shafna Agiska</v>
      </c>
      <c r="D479" s="102" t="str">
        <f>IFERROR(__xludf.DUMMYFUNCTION("""COMPUTED_VALUE"""),"081246285093")</f>
        <v>081246285093</v>
      </c>
      <c r="E479" s="25" t="str">
        <f>IFERROR(__xludf.DUMMYFUNCTION("""COMPUTED_VALUE"""),"Lainnya")</f>
        <v>Lainnya</v>
      </c>
      <c r="F479" s="25" t="str">
        <f>IFERROR(__xludf.DUMMYFUNCTION("""COMPUTED_VALUE"""),"Gagal")</f>
        <v>Gagal</v>
      </c>
      <c r="G479" s="25"/>
      <c r="H479" s="26"/>
      <c r="I479" s="89"/>
      <c r="J479" s="96"/>
      <c r="K479" s="30" t="str">
        <f>IFERROR(__xludf.DUMMYFUNCTION("""COMPUTED_VALUE"""),"tanya warung bu har saja. tidak ikut trip")</f>
        <v>tanya warung bu har saja. tidak ikut trip</v>
      </c>
      <c r="L479" s="49"/>
      <c r="M479" s="20"/>
      <c r="N479" s="20"/>
      <c r="O479" s="20"/>
      <c r="P479" s="20"/>
    </row>
    <row r="480">
      <c r="A480" s="97">
        <f>IFERROR(__xludf.DUMMYFUNCTION("""COMPUTED_VALUE"""),46163.0)</f>
        <v>46163</v>
      </c>
      <c r="B480" s="97" t="str">
        <f>IFERROR(__xludf.DUMMYFUNCTION("""COMPUTED_VALUE"""),"2605A136")</f>
        <v>2605A136</v>
      </c>
      <c r="C480" s="76" t="str">
        <f>IFERROR(__xludf.DUMMYFUNCTION("""COMPUTED_VALUE"""),"REZA")</f>
        <v>REZA</v>
      </c>
      <c r="D480" s="99" t="str">
        <f>IFERROR(__xludf.DUMMYFUNCTION("""COMPUTED_VALUE"""),"082330998760")</f>
        <v>082330998760</v>
      </c>
      <c r="E480" s="25" t="str">
        <f>IFERROR(__xludf.DUMMYFUNCTION("""COMPUTED_VALUE"""),"Instagram")</f>
        <v>Instagram</v>
      </c>
      <c r="F480" s="25" t="str">
        <f>IFERROR(__xludf.DUMMYFUNCTION("""COMPUTED_VALUE"""),"Gagal")</f>
        <v>Gagal</v>
      </c>
      <c r="G480" s="25" t="str">
        <f>IFERROR(__xludf.DUMMYFUNCTION("""COMPUTED_VALUE"""),"prvt menjangan tabuhan")</f>
        <v>prvt menjangan tabuhan</v>
      </c>
      <c r="H480" s="92">
        <f>IFERROR(__xludf.DUMMYFUNCTION("""COMPUTED_VALUE"""),46172.0)</f>
        <v>46172</v>
      </c>
      <c r="I480" s="80">
        <f>IFERROR(__xludf.DUMMYFUNCTION("""COMPUTED_VALUE"""),6.0)</f>
        <v>6</v>
      </c>
      <c r="J480" s="93"/>
      <c r="K480" s="46" t="str">
        <f>IFERROR(__xludf.DUMMYFUNCTION("""COMPUTED_VALUE"""),"fullbooked")</f>
        <v>fullbooked</v>
      </c>
      <c r="L480" s="76"/>
      <c r="M480" s="20"/>
      <c r="N480" s="20"/>
      <c r="O480" s="20"/>
      <c r="P480" s="20"/>
    </row>
    <row r="481">
      <c r="A481" s="110">
        <f>IFERROR(__xludf.DUMMYFUNCTION("""COMPUTED_VALUE"""),46164.0)</f>
        <v>46164</v>
      </c>
      <c r="B481" s="110" t="str">
        <f>IFERROR(__xludf.DUMMYFUNCTION("""COMPUTED_VALUE"""),"2605A137")</f>
        <v>2605A137</v>
      </c>
      <c r="C481" s="49" t="str">
        <f>IFERROR(__xludf.DUMMYFUNCTION("""COMPUTED_VALUE"""),"Della")</f>
        <v>Della</v>
      </c>
      <c r="D481" s="102" t="str">
        <f>IFERROR(__xludf.DUMMYFUNCTION("""COMPUTED_VALUE"""),"085710070572")</f>
        <v>085710070572</v>
      </c>
      <c r="E481" s="25" t="str">
        <f>IFERROR(__xludf.DUMMYFUNCTION("""COMPUTED_VALUE"""),"Tiktok")</f>
        <v>Tiktok</v>
      </c>
      <c r="F481" s="25" t="str">
        <f>IFERROR(__xludf.DUMMYFUNCTION("""COMPUTED_VALUE"""),"Gagal")</f>
        <v>Gagal</v>
      </c>
      <c r="G481" s="25" t="str">
        <f>IFERROR(__xludf.DUMMYFUNCTION("""COMPUTED_VALUE"""),"ot djabal")</f>
        <v>ot djabal</v>
      </c>
      <c r="H481" s="78">
        <f>IFERROR(__xludf.DUMMYFUNCTION("""COMPUTED_VALUE"""),46196.0)</f>
        <v>46196</v>
      </c>
      <c r="I481" s="89">
        <f>IFERROR(__xludf.DUMMYFUNCTION("""COMPUTED_VALUE"""),2.0)</f>
        <v>2</v>
      </c>
      <c r="J481" s="96">
        <f>IFERROR(__xludf.DUMMYFUNCTION("""COMPUTED_VALUE"""),1100000.0)</f>
        <v>1100000</v>
      </c>
      <c r="K481" s="30" t="str">
        <f>IFERROR(__xludf.DUMMYFUNCTION("""COMPUTED_VALUE"""),"gada jawaban")</f>
        <v>gada jawaban</v>
      </c>
      <c r="L481" s="49"/>
      <c r="M481" s="20"/>
      <c r="N481" s="20"/>
      <c r="O481" s="20"/>
      <c r="P481" s="20"/>
    </row>
    <row r="482">
      <c r="A482" s="110">
        <f>IFERROR(__xludf.DUMMYFUNCTION("""COMPUTED_VALUE"""),46164.0)</f>
        <v>46164</v>
      </c>
      <c r="B482" s="110" t="str">
        <f>IFERROR(__xludf.DUMMYFUNCTION("""COMPUTED_VALUE"""),"2605A138")</f>
        <v>2605A138</v>
      </c>
      <c r="C482" s="49" t="str">
        <f>IFERROR(__xludf.DUMMYFUNCTION("""COMPUTED_VALUE"""),"Asri S Rahmi")</f>
        <v>Asri S Rahmi</v>
      </c>
      <c r="D482" s="102" t="str">
        <f>IFERROR(__xludf.DUMMYFUNCTION("""COMPUTED_VALUE"""),"087848774252")</f>
        <v>087848774252</v>
      </c>
      <c r="E482" s="25" t="str">
        <f>IFERROR(__xludf.DUMMYFUNCTION("""COMPUTED_VALUE"""),"Instagram")</f>
        <v>Instagram</v>
      </c>
      <c r="F482" s="25" t="str">
        <f>IFERROR(__xludf.DUMMYFUNCTION("""COMPUTED_VALUE"""),"Gagal")</f>
        <v>Gagal</v>
      </c>
      <c r="G482" s="25" t="str">
        <f>IFERROR(__xludf.DUMMYFUNCTION("""COMPUTED_VALUE"""),"prvt menjangan tabuhan")</f>
        <v>prvt menjangan tabuhan</v>
      </c>
      <c r="H482" s="78">
        <f>IFERROR(__xludf.DUMMYFUNCTION("""COMPUTED_VALUE"""),46171.0)</f>
        <v>46171</v>
      </c>
      <c r="I482" s="89">
        <f>IFERROR(__xludf.DUMMYFUNCTION("""COMPUTED_VALUE"""),5.0)</f>
        <v>5</v>
      </c>
      <c r="J482" s="96"/>
      <c r="K482" s="30" t="str">
        <f>IFERROR(__xludf.DUMMYFUNCTION("""COMPUTED_VALUE"""),"lewat tanggal")</f>
        <v>lewat tanggal</v>
      </c>
      <c r="L482" s="49"/>
      <c r="M482" s="20"/>
      <c r="N482" s="20"/>
      <c r="O482" s="20"/>
      <c r="P482" s="20"/>
    </row>
    <row r="483">
      <c r="A483" s="110">
        <f>IFERROR(__xludf.DUMMYFUNCTION("""COMPUTED_VALUE"""),46164.0)</f>
        <v>46164</v>
      </c>
      <c r="B483" s="110" t="str">
        <f>IFERROR(__xludf.DUMMYFUNCTION("""COMPUTED_VALUE"""),"2605A139")</f>
        <v>2605A139</v>
      </c>
      <c r="C483" s="49" t="str">
        <f>IFERROR(__xludf.DUMMYFUNCTION("""COMPUTED_VALUE"""),"Jan (Bibos)")</f>
        <v>Jan (Bibos)</v>
      </c>
      <c r="D483" s="102" t="str">
        <f>IFERROR(__xludf.DUMMYFUNCTION("""COMPUTED_VALUE"""),"081316236303")</f>
        <v>081316236303</v>
      </c>
      <c r="E483" s="25" t="str">
        <f>IFERROR(__xludf.DUMMYFUNCTION("""COMPUTED_VALUE"""),"Website")</f>
        <v>Website</v>
      </c>
      <c r="F483" s="25" t="str">
        <f>IFERROR(__xludf.DUMMYFUNCTION("""COMPUTED_VALUE"""),"Gagal")</f>
        <v>Gagal</v>
      </c>
      <c r="G483" s="25" t="str">
        <f>IFERROR(__xludf.DUMMYFUNCTION("""COMPUTED_VALUE"""),"Green Island")</f>
        <v>Green Island</v>
      </c>
      <c r="H483" s="78"/>
      <c r="I483" s="89">
        <f>IFERROR(__xludf.DUMMYFUNCTION("""COMPUTED_VALUE"""),2.0)</f>
        <v>2</v>
      </c>
      <c r="J483" s="96">
        <f>IFERROR(__xludf.DUMMYFUNCTION("""COMPUTED_VALUE"""),1900000.0)</f>
        <v>1900000</v>
      </c>
      <c r="K483" s="30" t="str">
        <f>IFERROR(__xludf.DUMMYFUNCTION("""COMPUTED_VALUE"""),"ga jadi")</f>
        <v>ga jadi</v>
      </c>
      <c r="L483" s="49"/>
      <c r="M483" s="20"/>
      <c r="N483" s="20"/>
      <c r="O483" s="20"/>
      <c r="P483" s="20"/>
    </row>
    <row r="484">
      <c r="A484" s="97">
        <f>IFERROR(__xludf.DUMMYFUNCTION("""COMPUTED_VALUE"""),46165.0)</f>
        <v>46165</v>
      </c>
      <c r="B484" s="97" t="str">
        <f>IFERROR(__xludf.DUMMYFUNCTION("""COMPUTED_VALUE"""),"2605A140")</f>
        <v>2605A140</v>
      </c>
      <c r="C484" s="76" t="str">
        <f>IFERROR(__xludf.DUMMYFUNCTION("""COMPUTED_VALUE"""),"Mutiara")</f>
        <v>Mutiara</v>
      </c>
      <c r="D484" s="99" t="str">
        <f>IFERROR(__xludf.DUMMYFUNCTION("""COMPUTED_VALUE"""),"085799081096")</f>
        <v>085799081096</v>
      </c>
      <c r="E484" s="25" t="str">
        <f>IFERROR(__xludf.DUMMYFUNCTION("""COMPUTED_VALUE"""),"Instagram")</f>
        <v>Instagram</v>
      </c>
      <c r="F484" s="25" t="str">
        <f>IFERROR(__xludf.DUMMYFUNCTION("""COMPUTED_VALUE"""),"Gagal")</f>
        <v>Gagal</v>
      </c>
      <c r="G484" s="25" t="str">
        <f>IFERROR(__xludf.DUMMYFUNCTION("""COMPUTED_VALUE"""),"ot mt")</f>
        <v>ot mt</v>
      </c>
      <c r="H484" s="92"/>
      <c r="I484" s="80">
        <f>IFERROR(__xludf.DUMMYFUNCTION("""COMPUTED_VALUE"""),2.0)</f>
        <v>2</v>
      </c>
      <c r="J484" s="54">
        <f>IFERROR(__xludf.DUMMYFUNCTION("""COMPUTED_VALUE"""),550000.0)</f>
        <v>550000</v>
      </c>
      <c r="K484" s="46" t="str">
        <f>IFERROR(__xludf.DUMMYFUNCTION("""COMPUTED_VALUE"""),"fullbooked")</f>
        <v>fullbooked</v>
      </c>
      <c r="L484" s="76"/>
      <c r="M484" s="20"/>
      <c r="N484" s="20"/>
      <c r="O484" s="20"/>
      <c r="P484" s="20"/>
    </row>
    <row r="485">
      <c r="A485" s="110">
        <f>IFERROR(__xludf.DUMMYFUNCTION("""COMPUTED_VALUE"""),46164.0)</f>
        <v>46164</v>
      </c>
      <c r="B485" s="110" t="str">
        <f>IFERROR(__xludf.DUMMYFUNCTION("""COMPUTED_VALUE"""),"2605A141")</f>
        <v>2605A141</v>
      </c>
      <c r="C485" s="49" t="str">
        <f>IFERROR(__xludf.DUMMYFUNCTION("""COMPUTED_VALUE"""),"Max")</f>
        <v>Max</v>
      </c>
      <c r="D485" s="102" t="str">
        <f>IFERROR(__xludf.DUMMYFUNCTION("""COMPUTED_VALUE"""),"601114129530")</f>
        <v>601114129530</v>
      </c>
      <c r="E485" s="25" t="str">
        <f>IFERROR(__xludf.DUMMYFUNCTION("""COMPUTED_VALUE"""),"Lainnya")</f>
        <v>Lainnya</v>
      </c>
      <c r="F485" s="25" t="str">
        <f>IFERROR(__xludf.DUMMYFUNCTION("""COMPUTED_VALUE"""),"Gagal")</f>
        <v>Gagal</v>
      </c>
      <c r="G485" s="25" t="str">
        <f>IFERROR(__xludf.DUMMYFUNCTION("""COMPUTED_VALUE"""),"djabal")</f>
        <v>djabal</v>
      </c>
      <c r="H485" s="78">
        <f>IFERROR(__xludf.DUMMYFUNCTION("""COMPUTED_VALUE"""),46222.0)</f>
        <v>46222</v>
      </c>
      <c r="I485" s="89">
        <f>IFERROR(__xludf.DUMMYFUNCTION("""COMPUTED_VALUE"""),2.0)</f>
        <v>2</v>
      </c>
      <c r="J485" s="96">
        <f>IFERROR(__xludf.DUMMYFUNCTION("""COMPUTED_VALUE"""),2300000.0)</f>
        <v>2300000</v>
      </c>
      <c r="K485" s="36" t="str">
        <f>IFERROR(__xludf.DUMMYFUNCTION("""COMPUTED_VALUE"""),"tidak jadi pergi")</f>
        <v>tidak jadi pergi</v>
      </c>
      <c r="L485" s="49"/>
      <c r="M485" s="20"/>
      <c r="N485" s="20"/>
      <c r="O485" s="20"/>
      <c r="P485" s="20"/>
    </row>
    <row r="486">
      <c r="A486" s="97">
        <f>IFERROR(__xludf.DUMMYFUNCTION("""COMPUTED_VALUE"""),46164.0)</f>
        <v>46164</v>
      </c>
      <c r="B486" s="97" t="str">
        <f>IFERROR(__xludf.DUMMYFUNCTION("""COMPUTED_VALUE"""),"2605A142")</f>
        <v>2605A142</v>
      </c>
      <c r="C486" s="76" t="str">
        <f>IFERROR(__xludf.DUMMYFUNCTION("""COMPUTED_VALUE"""),"Nindya A")</f>
        <v>Nindya A</v>
      </c>
      <c r="D486" s="99" t="str">
        <f>IFERROR(__xludf.DUMMYFUNCTION("""COMPUTED_VALUE"""),"081284177651")</f>
        <v>081284177651</v>
      </c>
      <c r="E486" s="25" t="str">
        <f>IFERROR(__xludf.DUMMYFUNCTION("""COMPUTED_VALUE"""),"Lainnya")</f>
        <v>Lainnya</v>
      </c>
      <c r="F486" s="25" t="str">
        <f>IFERROR(__xludf.DUMMYFUNCTION("""COMPUTED_VALUE"""),"Gagal")</f>
        <v>Gagal</v>
      </c>
      <c r="G486" s="25"/>
      <c r="H486" s="92"/>
      <c r="I486" s="80"/>
      <c r="J486" s="93"/>
      <c r="K486" s="46" t="str">
        <f>IFERROR(__xludf.DUMMYFUNCTION("""COMPUTED_VALUE"""),"ke admin 1")</f>
        <v>ke admin 1</v>
      </c>
      <c r="L486" s="76"/>
      <c r="M486" s="20"/>
      <c r="N486" s="20"/>
      <c r="O486" s="20"/>
      <c r="P486" s="20"/>
    </row>
    <row r="487">
      <c r="A487" s="110">
        <f>IFERROR(__xludf.DUMMYFUNCTION("""COMPUTED_VALUE"""),46165.0)</f>
        <v>46165</v>
      </c>
      <c r="B487" s="110" t="str">
        <f>IFERROR(__xludf.DUMMYFUNCTION("""COMPUTED_VALUE"""),"2605A143")</f>
        <v>2605A143</v>
      </c>
      <c r="C487" s="49" t="str">
        <f>IFERROR(__xludf.DUMMYFUNCTION("""COMPUTED_VALUE"""),"Dilla")</f>
        <v>Dilla</v>
      </c>
      <c r="D487" s="102" t="str">
        <f>IFERROR(__xludf.DUMMYFUNCTION("""COMPUTED_VALUE"""),"081380278612")</f>
        <v>081380278612</v>
      </c>
      <c r="E487" s="25" t="str">
        <f>IFERROR(__xludf.DUMMYFUNCTION("""COMPUTED_VALUE"""),"Instagram")</f>
        <v>Instagram</v>
      </c>
      <c r="F487" s="25" t="str">
        <f>IFERROR(__xludf.DUMMYFUNCTION("""COMPUTED_VALUE"""),"Gagal")</f>
        <v>Gagal</v>
      </c>
      <c r="G487" s="25" t="str">
        <f>IFERROR(__xludf.DUMMYFUNCTION("""COMPUTED_VALUE"""),"2h1m opsi a")</f>
        <v>2h1m opsi a</v>
      </c>
      <c r="H487" s="26"/>
      <c r="I487" s="27">
        <f>IFERROR(__xludf.DUMMYFUNCTION("""COMPUTED_VALUE"""),2.0)</f>
        <v>2</v>
      </c>
      <c r="J487" s="33"/>
      <c r="K487" s="30" t="str">
        <f>IFERROR(__xludf.DUMMYFUNCTION("""COMPUTED_VALUE"""),"gada balasan")</f>
        <v>gada balasan</v>
      </c>
      <c r="L487" s="49"/>
      <c r="M487" s="20"/>
      <c r="N487" s="20"/>
      <c r="O487" s="20"/>
      <c r="P487" s="20"/>
    </row>
    <row r="488">
      <c r="A488" s="97">
        <f>IFERROR(__xludf.DUMMYFUNCTION("""COMPUTED_VALUE"""),46165.0)</f>
        <v>46165</v>
      </c>
      <c r="B488" s="97" t="str">
        <f>IFERROR(__xludf.DUMMYFUNCTION("""COMPUTED_VALUE"""),"2605A144")</f>
        <v>2605A144</v>
      </c>
      <c r="C488" s="76" t="str">
        <f>IFERROR(__xludf.DUMMYFUNCTION("""COMPUTED_VALUE"""),"Marcellinoo")</f>
        <v>Marcellinoo</v>
      </c>
      <c r="D488" s="99" t="str">
        <f>IFERROR(__xludf.DUMMYFUNCTION("""COMPUTED_VALUE"""),"085649538313")</f>
        <v>085649538313</v>
      </c>
      <c r="E488" s="25" t="str">
        <f>IFERROR(__xludf.DUMMYFUNCTION("""COMPUTED_VALUE"""),"Instagram")</f>
        <v>Instagram</v>
      </c>
      <c r="F488" s="25" t="str">
        <f>IFERROR(__xludf.DUMMYFUNCTION("""COMPUTED_VALUE"""),"Gagal")</f>
        <v>Gagal</v>
      </c>
      <c r="G488" s="25" t="str">
        <f>IFERROR(__xludf.DUMMYFUNCTION("""COMPUTED_VALUE"""),"ot mt")</f>
        <v>ot mt</v>
      </c>
      <c r="H488" s="92">
        <f>IFERROR(__xludf.DUMMYFUNCTION("""COMPUTED_VALUE"""),46173.0)</f>
        <v>46173</v>
      </c>
      <c r="I488" s="80">
        <f>IFERROR(__xludf.DUMMYFUNCTION("""COMPUTED_VALUE"""),4.0)</f>
        <v>4</v>
      </c>
      <c r="J488" s="93"/>
      <c r="K488" s="46" t="str">
        <f>IFERROR(__xludf.DUMMYFUNCTION("""COMPUTED_VALUE"""),"fullbooked")</f>
        <v>fullbooked</v>
      </c>
      <c r="L488" s="76"/>
      <c r="M488" s="20"/>
      <c r="N488" s="20"/>
      <c r="O488" s="20"/>
      <c r="P488" s="20"/>
    </row>
    <row r="489">
      <c r="A489" s="110">
        <f>IFERROR(__xludf.DUMMYFUNCTION("""COMPUTED_VALUE"""),46165.0)</f>
        <v>46165</v>
      </c>
      <c r="B489" s="110" t="str">
        <f>IFERROR(__xludf.DUMMYFUNCTION("""COMPUTED_VALUE"""),"2605A145")</f>
        <v>2605A145</v>
      </c>
      <c r="C489" s="49" t="str">
        <f>IFERROR(__xludf.DUMMYFUNCTION("""COMPUTED_VALUE"""),"Vidya")</f>
        <v>Vidya</v>
      </c>
      <c r="D489" s="102" t="str">
        <f>IFERROR(__xludf.DUMMYFUNCTION("""COMPUTED_VALUE"""),"081934681839")</f>
        <v>081934681839</v>
      </c>
      <c r="E489" s="25" t="str">
        <f>IFERROR(__xludf.DUMMYFUNCTION("""COMPUTED_VALUE"""),"Instagram")</f>
        <v>Instagram</v>
      </c>
      <c r="F489" s="25" t="str">
        <f>IFERROR(__xludf.DUMMYFUNCTION("""COMPUTED_VALUE"""),"Gagal")</f>
        <v>Gagal</v>
      </c>
      <c r="G489" s="25" t="str">
        <f>IFERROR(__xludf.DUMMYFUNCTION("""COMPUTED_VALUE"""),"2h1m")</f>
        <v>2h1m</v>
      </c>
      <c r="H489" s="78">
        <f>IFERROR(__xludf.DUMMYFUNCTION("""COMPUTED_VALUE"""),46172.0)</f>
        <v>46172</v>
      </c>
      <c r="I489" s="89">
        <f>IFERROR(__xludf.DUMMYFUNCTION("""COMPUTED_VALUE"""),2.0)</f>
        <v>2</v>
      </c>
      <c r="J489" s="96">
        <f>IFERROR(__xludf.DUMMYFUNCTION("""COMPUTED_VALUE"""),4890000.0)</f>
        <v>4890000</v>
      </c>
      <c r="K489" s="36" t="str">
        <f>IFERROR(__xludf.DUMMYFUNCTION("""COMPUTED_VALUE"""),"mepet dengan kerjaan")</f>
        <v>mepet dengan kerjaan</v>
      </c>
      <c r="L489" s="49"/>
      <c r="M489" s="20"/>
      <c r="N489" s="20"/>
      <c r="O489" s="20"/>
      <c r="P489" s="20"/>
    </row>
    <row r="490">
      <c r="A490" s="97">
        <f>IFERROR(__xludf.DUMMYFUNCTION("""COMPUTED_VALUE"""),46166.0)</f>
        <v>46166</v>
      </c>
      <c r="B490" s="97" t="str">
        <f>IFERROR(__xludf.DUMMYFUNCTION("""COMPUTED_VALUE"""),"2605A146")</f>
        <v>2605A146</v>
      </c>
      <c r="C490" s="76" t="str">
        <f>IFERROR(__xludf.DUMMYFUNCTION("""COMPUTED_VALUE"""),"Zanura")</f>
        <v>Zanura</v>
      </c>
      <c r="D490" s="99" t="str">
        <f>IFERROR(__xludf.DUMMYFUNCTION("""COMPUTED_VALUE"""),"082113925550")</f>
        <v>082113925550</v>
      </c>
      <c r="E490" s="25" t="str">
        <f>IFERROR(__xludf.DUMMYFUNCTION("""COMPUTED_VALUE"""),"Website")</f>
        <v>Website</v>
      </c>
      <c r="F490" s="25" t="str">
        <f>IFERROR(__xludf.DUMMYFUNCTION("""COMPUTED_VALUE"""),"Gagal")</f>
        <v>Gagal</v>
      </c>
      <c r="G490" s="25" t="str">
        <f>IFERROR(__xludf.DUMMYFUNCTION("""COMPUTED_VALUE"""),"3h2m")</f>
        <v>3h2m</v>
      </c>
      <c r="H490" s="92"/>
      <c r="I490" s="17">
        <f>IFERROR(__xludf.DUMMYFUNCTION("""COMPUTED_VALUE"""),4.0)</f>
        <v>4</v>
      </c>
      <c r="J490" s="54">
        <f>IFERROR(__xludf.DUMMYFUNCTION("""COMPUTED_VALUE"""),9500000.0)</f>
        <v>9500000</v>
      </c>
      <c r="K490" s="46" t="str">
        <f>IFERROR(__xludf.DUMMYFUNCTION("""COMPUTED_VALUE"""),"gada balasan")</f>
        <v>gada balasan</v>
      </c>
      <c r="L490" s="10"/>
      <c r="M490" s="20"/>
      <c r="N490" s="20"/>
      <c r="O490" s="20"/>
      <c r="P490" s="20"/>
    </row>
    <row r="491">
      <c r="A491" s="110">
        <f>IFERROR(__xludf.DUMMYFUNCTION("""COMPUTED_VALUE"""),46166.0)</f>
        <v>46166</v>
      </c>
      <c r="B491" s="110" t="str">
        <f>IFERROR(__xludf.DUMMYFUNCTION("""COMPUTED_VALUE"""),"2605A147")</f>
        <v>2605A147</v>
      </c>
      <c r="C491" s="49" t="str">
        <f>IFERROR(__xludf.DUMMYFUNCTION("""COMPUTED_VALUE"""),"Kristiana")</f>
        <v>Kristiana</v>
      </c>
      <c r="D491" s="102" t="str">
        <f>IFERROR(__xludf.DUMMYFUNCTION("""COMPUTED_VALUE"""),"082220182316")</f>
        <v>082220182316</v>
      </c>
      <c r="E491" s="25" t="str">
        <f>IFERROR(__xludf.DUMMYFUNCTION("""COMPUTED_VALUE"""),"Website")</f>
        <v>Website</v>
      </c>
      <c r="F491" s="25" t="str">
        <f>IFERROR(__xludf.DUMMYFUNCTION("""COMPUTED_VALUE"""),"Gagal")</f>
        <v>Gagal</v>
      </c>
      <c r="G491" s="25" t="str">
        <f>IFERROR(__xludf.DUMMYFUNCTION("""COMPUTED_VALUE"""),"menjangan tabuhan")</f>
        <v>menjangan tabuhan</v>
      </c>
      <c r="H491" s="78">
        <f>IFERROR(__xludf.DUMMYFUNCTION("""COMPUTED_VALUE"""),46172.0)</f>
        <v>46172</v>
      </c>
      <c r="I491" s="89">
        <f>IFERROR(__xludf.DUMMYFUNCTION("""COMPUTED_VALUE"""),5.0)</f>
        <v>5</v>
      </c>
      <c r="J491" s="96"/>
      <c r="K491" s="30" t="str">
        <f>IFERROR(__xludf.DUMMYFUNCTION("""COMPUTED_VALUE"""),"fullbooked")</f>
        <v>fullbooked</v>
      </c>
      <c r="L491" s="49"/>
      <c r="M491" s="20"/>
      <c r="N491" s="20"/>
      <c r="O491" s="20"/>
      <c r="P491" s="20"/>
    </row>
    <row r="492">
      <c r="A492" s="97">
        <f>IFERROR(__xludf.DUMMYFUNCTION("""COMPUTED_VALUE"""),46166.0)</f>
        <v>46166</v>
      </c>
      <c r="B492" s="97" t="str">
        <f>IFERROR(__xludf.DUMMYFUNCTION("""COMPUTED_VALUE"""),"2605A148")</f>
        <v>2605A148</v>
      </c>
      <c r="C492" s="76" t="str">
        <f>IFERROR(__xludf.DUMMYFUNCTION("""COMPUTED_VALUE"""),"Femy Rahma F")</f>
        <v>Femy Rahma F</v>
      </c>
      <c r="D492" s="99" t="str">
        <f>IFERROR(__xludf.DUMMYFUNCTION("""COMPUTED_VALUE"""),"081226919375")</f>
        <v>081226919375</v>
      </c>
      <c r="E492" s="25" t="str">
        <f>IFERROR(__xludf.DUMMYFUNCTION("""COMPUTED_VALUE"""),"Instagram")</f>
        <v>Instagram</v>
      </c>
      <c r="F492" s="25" t="str">
        <f>IFERROR(__xludf.DUMMYFUNCTION("""COMPUTED_VALUE"""),"Gagal")</f>
        <v>Gagal</v>
      </c>
      <c r="G492" s="25" t="str">
        <f>IFERROR(__xludf.DUMMYFUNCTION("""COMPUTED_VALUE"""),"2h1m opsi b")</f>
        <v>2h1m opsi b</v>
      </c>
      <c r="H492" s="92"/>
      <c r="I492" s="80">
        <f>IFERROR(__xludf.DUMMYFUNCTION("""COMPUTED_VALUE"""),2.0)</f>
        <v>2</v>
      </c>
      <c r="J492" s="93">
        <f>IFERROR(__xludf.DUMMYFUNCTION("""COMPUTED_VALUE"""),3588000.0)</f>
        <v>3588000</v>
      </c>
      <c r="K492" s="46" t="str">
        <f>IFERROR(__xludf.DUMMYFUNCTION("""COMPUTED_VALUE"""),"belum ada jawaban")</f>
        <v>belum ada jawaban</v>
      </c>
      <c r="L492" s="76"/>
      <c r="M492" s="20"/>
      <c r="N492" s="20"/>
      <c r="O492" s="20"/>
      <c r="P492" s="20"/>
    </row>
    <row r="493">
      <c r="A493" s="110">
        <f>IFERROR(__xludf.DUMMYFUNCTION("""COMPUTED_VALUE"""),46166.0)</f>
        <v>46166</v>
      </c>
      <c r="B493" s="110" t="str">
        <f>IFERROR(__xludf.DUMMYFUNCTION("""COMPUTED_VALUE"""),"2605A149")</f>
        <v>2605A149</v>
      </c>
      <c r="C493" s="49" t="str">
        <f>IFERROR(__xludf.DUMMYFUNCTION("""COMPUTED_VALUE"""),"Resti")</f>
        <v>Resti</v>
      </c>
      <c r="D493" s="102" t="str">
        <f>IFERROR(__xludf.DUMMYFUNCTION("""COMPUTED_VALUE"""),"081389486106")</f>
        <v>081389486106</v>
      </c>
      <c r="E493" s="25" t="str">
        <f>IFERROR(__xludf.DUMMYFUNCTION("""COMPUTED_VALUE"""),"Website")</f>
        <v>Website</v>
      </c>
      <c r="F493" s="25" t="str">
        <f>IFERROR(__xludf.DUMMYFUNCTION("""COMPUTED_VALUE"""),"Gagal")</f>
        <v>Gagal</v>
      </c>
      <c r="G493" s="25" t="str">
        <f>IFERROR(__xludf.DUMMYFUNCTION("""COMPUTED_VALUE"""),"3h2m")</f>
        <v>3h2m</v>
      </c>
      <c r="H493" s="26"/>
      <c r="I493" s="27">
        <f>IFERROR(__xludf.DUMMYFUNCTION("""COMPUTED_VALUE"""),15.0)</f>
        <v>15</v>
      </c>
      <c r="J493" s="33">
        <f>IFERROR(__xludf.DUMMYFUNCTION("""COMPUTED_VALUE"""),1.545E7)</f>
        <v>15450000</v>
      </c>
      <c r="K493" s="30" t="str">
        <f>IFERROR(__xludf.DUMMYFUNCTION("""COMPUTED_VALUE"""),"tiket pesawat habis")</f>
        <v>tiket pesawat habis</v>
      </c>
      <c r="L493" s="49"/>
      <c r="M493" s="20"/>
      <c r="N493" s="20"/>
      <c r="O493" s="20"/>
      <c r="P493" s="20"/>
    </row>
    <row r="494">
      <c r="A494" s="110">
        <f>IFERROR(__xludf.DUMMYFUNCTION("""COMPUTED_VALUE"""),46166.0)</f>
        <v>46166</v>
      </c>
      <c r="B494" s="110" t="str">
        <f>IFERROR(__xludf.DUMMYFUNCTION("""COMPUTED_VALUE"""),"2605A150")</f>
        <v>2605A150</v>
      </c>
      <c r="C494" s="76" t="str">
        <f>IFERROR(__xludf.DUMMYFUNCTION("""COMPUTED_VALUE"""),"Iyop Ropika")</f>
        <v>Iyop Ropika</v>
      </c>
      <c r="D494" s="99" t="str">
        <f>IFERROR(__xludf.DUMMYFUNCTION("""COMPUTED_VALUE"""),"081567861222")</f>
        <v>081567861222</v>
      </c>
      <c r="E494" s="25" t="str">
        <f>IFERROR(__xludf.DUMMYFUNCTION("""COMPUTED_VALUE"""),"Lainnya")</f>
        <v>Lainnya</v>
      </c>
      <c r="F494" s="25" t="str">
        <f>IFERROR(__xludf.DUMMYFUNCTION("""COMPUTED_VALUE"""),"Closing")</f>
        <v>Closing</v>
      </c>
      <c r="G494" s="25" t="str">
        <f>IFERROR(__xludf.DUMMYFUNCTION("""COMPUTED_VALUE"""),"1d trip")</f>
        <v>1d trip</v>
      </c>
      <c r="H494" s="16"/>
      <c r="I494" s="17">
        <f>IFERROR(__xludf.DUMMYFUNCTION("""COMPUTED_VALUE"""),5.0)</f>
        <v>5</v>
      </c>
      <c r="J494" s="93">
        <f>IFERROR(__xludf.DUMMYFUNCTION("""COMPUTED_VALUE"""),2300000.0)</f>
        <v>2300000</v>
      </c>
      <c r="K494" s="46" t="str">
        <f>IFERROR(__xludf.DUMMYFUNCTION("""COMPUTED_VALUE"""),"alhamdulillah closing")</f>
        <v>alhamdulillah closing</v>
      </c>
      <c r="L494" s="76"/>
      <c r="M494" s="20"/>
      <c r="N494" s="20"/>
      <c r="O494" s="20"/>
      <c r="P494" s="20"/>
    </row>
    <row r="495">
      <c r="A495" s="110">
        <f>IFERROR(__xludf.DUMMYFUNCTION("""COMPUTED_VALUE"""),46166.0)</f>
        <v>46166</v>
      </c>
      <c r="B495" s="110" t="str">
        <f>IFERROR(__xludf.DUMMYFUNCTION("""COMPUTED_VALUE"""),"2605A151")</f>
        <v>2605A151</v>
      </c>
      <c r="C495" s="49" t="str">
        <f>IFERROR(__xludf.DUMMYFUNCTION("""COMPUTED_VALUE"""),"cit cit cuit")</f>
        <v>cit cit cuit</v>
      </c>
      <c r="D495" s="102" t="str">
        <f>IFERROR(__xludf.DUMMYFUNCTION("""COMPUTED_VALUE"""),"085920638180")</f>
        <v>085920638180</v>
      </c>
      <c r="E495" s="25" t="str">
        <f>IFERROR(__xludf.DUMMYFUNCTION("""COMPUTED_VALUE"""),"Lainnya")</f>
        <v>Lainnya</v>
      </c>
      <c r="F495" s="25" t="str">
        <f>IFERROR(__xludf.DUMMYFUNCTION("""COMPUTED_VALUE"""),"Gagal")</f>
        <v>Gagal</v>
      </c>
      <c r="G495" s="25" t="str">
        <f>IFERROR(__xludf.DUMMYFUNCTION("""COMPUTED_VALUE"""),"green island")</f>
        <v>green island</v>
      </c>
      <c r="H495" s="78">
        <f>IFERROR(__xludf.DUMMYFUNCTION("""COMPUTED_VALUE"""),46179.0)</f>
        <v>46179</v>
      </c>
      <c r="I495" s="89">
        <f>IFERROR(__xludf.DUMMYFUNCTION("""COMPUTED_VALUE"""),3.0)</f>
        <v>3</v>
      </c>
      <c r="J495" s="96">
        <f>IFERROR(__xludf.DUMMYFUNCTION("""COMPUTED_VALUE"""),2199000.0)</f>
        <v>2199000</v>
      </c>
      <c r="K495" s="30"/>
      <c r="L495" s="49"/>
      <c r="M495" s="20"/>
      <c r="N495" s="20"/>
      <c r="O495" s="20"/>
      <c r="P495" s="20"/>
    </row>
    <row r="496">
      <c r="A496" s="97">
        <f>IFERROR(__xludf.DUMMYFUNCTION("""COMPUTED_VALUE"""),46167.0)</f>
        <v>46167</v>
      </c>
      <c r="B496" s="97" t="str">
        <f>IFERROR(__xludf.DUMMYFUNCTION("""COMPUTED_VALUE"""),"2605A152")</f>
        <v>2605A152</v>
      </c>
      <c r="C496" s="76" t="str">
        <f>IFERROR(__xludf.DUMMYFUNCTION("""COMPUTED_VALUE"""),"gitaningtyas9")</f>
        <v>gitaningtyas9</v>
      </c>
      <c r="D496" s="99" t="str">
        <f>IFERROR(__xludf.DUMMYFUNCTION("""COMPUTED_VALUE"""),"085232578449")</f>
        <v>085232578449</v>
      </c>
      <c r="E496" s="25" t="str">
        <f>IFERROR(__xludf.DUMMYFUNCTION("""COMPUTED_VALUE"""),"Instagram")</f>
        <v>Instagram</v>
      </c>
      <c r="F496" s="25" t="str">
        <f>IFERROR(__xludf.DUMMYFUNCTION("""COMPUTED_VALUE"""),"Gagal")</f>
        <v>Gagal</v>
      </c>
      <c r="G496" s="25" t="str">
        <f>IFERROR(__xludf.DUMMYFUNCTION("""COMPUTED_VALUE"""),"ot djabal")</f>
        <v>ot djabal</v>
      </c>
      <c r="H496" s="92"/>
      <c r="I496" s="80">
        <f>IFERROR(__xludf.DUMMYFUNCTION("""COMPUTED_VALUE"""),4.0)</f>
        <v>4</v>
      </c>
      <c r="J496" s="93">
        <f>IFERROR(__xludf.DUMMYFUNCTION("""COMPUTED_VALUE"""),2200000.0)</f>
        <v>2200000</v>
      </c>
      <c r="K496" s="46"/>
      <c r="L496" s="76"/>
      <c r="M496" s="20"/>
      <c r="N496" s="20"/>
      <c r="O496" s="20"/>
      <c r="P496" s="20"/>
    </row>
    <row r="497">
      <c r="A497" s="110">
        <f>IFERROR(__xludf.DUMMYFUNCTION("""COMPUTED_VALUE"""),46167.0)</f>
        <v>46167</v>
      </c>
      <c r="B497" s="110" t="str">
        <f>IFERROR(__xludf.DUMMYFUNCTION("""COMPUTED_VALUE"""),"2605A153")</f>
        <v>2605A153</v>
      </c>
      <c r="C497" s="49" t="str">
        <f>IFERROR(__xludf.DUMMYFUNCTION("""COMPUTED_VALUE"""),".")</f>
        <v>.</v>
      </c>
      <c r="D497" s="102" t="str">
        <f>IFERROR(__xludf.DUMMYFUNCTION("""COMPUTED_VALUE"""),"085784410760")</f>
        <v>085784410760</v>
      </c>
      <c r="E497" s="25" t="str">
        <f>IFERROR(__xludf.DUMMYFUNCTION("""COMPUTED_VALUE"""),"Instagram")</f>
        <v>Instagram</v>
      </c>
      <c r="F497" s="25" t="str">
        <f>IFERROR(__xludf.DUMMYFUNCTION("""COMPUTED_VALUE"""),"Gagal")</f>
        <v>Gagal</v>
      </c>
      <c r="G497" s="25"/>
      <c r="H497" s="78"/>
      <c r="I497" s="89"/>
      <c r="J497" s="96"/>
      <c r="K497" s="36" t="str">
        <f>IFERROR(__xludf.DUMMYFUNCTION("""COMPUTED_VALUE"""),"hanya menyapa. gada balasan")</f>
        <v>hanya menyapa. gada balasan</v>
      </c>
      <c r="L497" s="49"/>
      <c r="M497" s="20"/>
      <c r="N497" s="20"/>
      <c r="O497" s="20"/>
      <c r="P497" s="20"/>
    </row>
    <row r="498">
      <c r="A498" s="97">
        <f>IFERROR(__xludf.DUMMYFUNCTION("""COMPUTED_VALUE"""),46167.0)</f>
        <v>46167</v>
      </c>
      <c r="B498" s="97" t="str">
        <f>IFERROR(__xludf.DUMMYFUNCTION("""COMPUTED_VALUE"""),"2605A154")</f>
        <v>2605A154</v>
      </c>
      <c r="C498" s="76" t="str">
        <f>IFERROR(__xludf.DUMMYFUNCTION("""COMPUTED_VALUE"""),"Rahmad Insani Ilman")</f>
        <v>Rahmad Insani Ilman</v>
      </c>
      <c r="D498" s="99" t="str">
        <f>IFERROR(__xludf.DUMMYFUNCTION("""COMPUTED_VALUE"""),"085173255983")</f>
        <v>085173255983</v>
      </c>
      <c r="E498" s="25" t="str">
        <f>IFERROR(__xludf.DUMMYFUNCTION("""COMPUTED_VALUE"""),"Website")</f>
        <v>Website</v>
      </c>
      <c r="F498" s="25" t="str">
        <f>IFERROR(__xludf.DUMMYFUNCTION("""COMPUTED_VALUE"""),"Gagal")</f>
        <v>Gagal</v>
      </c>
      <c r="G498" s="25" t="str">
        <f>IFERROR(__xludf.DUMMYFUNCTION("""COMPUTED_VALUE"""),"ot djawatan")</f>
        <v>ot djawatan</v>
      </c>
      <c r="H498" s="92">
        <f>IFERROR(__xludf.DUMMYFUNCTION("""COMPUTED_VALUE"""),46193.0)</f>
        <v>46193</v>
      </c>
      <c r="I498" s="80"/>
      <c r="J498" s="93"/>
      <c r="K498" s="46" t="str">
        <f>IFERROR(__xludf.DUMMYFUNCTION("""COMPUTED_VALUE"""),"gada balasan  ")</f>
        <v>gada balasan  </v>
      </c>
      <c r="L498" s="76"/>
      <c r="M498" s="20"/>
      <c r="N498" s="20"/>
      <c r="O498" s="20"/>
      <c r="P498" s="20"/>
    </row>
    <row r="499">
      <c r="A499" s="110">
        <f>IFERROR(__xludf.DUMMYFUNCTION("""COMPUTED_VALUE"""),46167.0)</f>
        <v>46167</v>
      </c>
      <c r="B499" s="110" t="str">
        <f>IFERROR(__xludf.DUMMYFUNCTION("""COMPUTED_VALUE"""),"2605A155")</f>
        <v>2605A155</v>
      </c>
      <c r="C499" s="49" t="str">
        <f>IFERROR(__xludf.DUMMYFUNCTION("""COMPUTED_VALUE"""),"Diandra")</f>
        <v>Diandra</v>
      </c>
      <c r="D499" s="102" t="str">
        <f>IFERROR(__xludf.DUMMYFUNCTION("""COMPUTED_VALUE"""),"081382032024")</f>
        <v>081382032024</v>
      </c>
      <c r="E499" s="25" t="str">
        <f>IFERROR(__xludf.DUMMYFUNCTION("""COMPUTED_VALUE"""),"Instagram")</f>
        <v>Instagram</v>
      </c>
      <c r="F499" s="25" t="str">
        <f>IFERROR(__xludf.DUMMYFUNCTION("""COMPUTED_VALUE"""),"Qualified")</f>
        <v>Qualified</v>
      </c>
      <c r="G499" s="25" t="str">
        <f>IFERROR(__xludf.DUMMYFUNCTION("""COMPUTED_VALUE"""),"3h2m")</f>
        <v>3h2m</v>
      </c>
      <c r="H499" s="78"/>
      <c r="I499" s="89">
        <f>IFERROR(__xludf.DUMMYFUNCTION("""COMPUTED_VALUE"""),2.0)</f>
        <v>2</v>
      </c>
      <c r="J499" s="96">
        <f>IFERROR(__xludf.DUMMYFUNCTION("""COMPUTED_VALUE"""),6128000.0)</f>
        <v>6128000</v>
      </c>
      <c r="K499" s="30" t="str">
        <f>IFERROR(__xludf.DUMMYFUNCTION("""COMPUTED_VALUE"""),"fu 5 juli")</f>
        <v>fu 5 juli</v>
      </c>
      <c r="L499" s="49"/>
      <c r="M499" s="20"/>
      <c r="N499" s="20"/>
      <c r="O499" s="20"/>
      <c r="P499" s="20"/>
    </row>
    <row r="500">
      <c r="A500" s="97">
        <f>IFERROR(__xludf.DUMMYFUNCTION("""COMPUTED_VALUE"""),46168.0)</f>
        <v>46168</v>
      </c>
      <c r="B500" s="97" t="str">
        <f>IFERROR(__xludf.DUMMYFUNCTION("""COMPUTED_VALUE"""),"2605A156")</f>
        <v>2605A156</v>
      </c>
      <c r="C500" s="76" t="str">
        <f>IFERROR(__xludf.DUMMYFUNCTION("""COMPUTED_VALUE"""),"Azkia")</f>
        <v>Azkia</v>
      </c>
      <c r="D500" s="99" t="str">
        <f>IFERROR(__xludf.DUMMYFUNCTION("""COMPUTED_VALUE"""),"085648462808")</f>
        <v>085648462808</v>
      </c>
      <c r="E500" s="25" t="str">
        <f>IFERROR(__xludf.DUMMYFUNCTION("""COMPUTED_VALUE"""),"Website")</f>
        <v>Website</v>
      </c>
      <c r="F500" s="25" t="str">
        <f>IFERROR(__xludf.DUMMYFUNCTION("""COMPUTED_VALUE"""),"Gagal")</f>
        <v>Gagal</v>
      </c>
      <c r="G500" s="25" t="str">
        <f>IFERROR(__xludf.DUMMYFUNCTION("""COMPUTED_VALUE"""),"ot ijen")</f>
        <v>ot ijen</v>
      </c>
      <c r="H500" s="92">
        <f>IFERROR(__xludf.DUMMYFUNCTION("""COMPUTED_VALUE"""),46172.0)</f>
        <v>46172</v>
      </c>
      <c r="I500" s="80">
        <f>IFERROR(__xludf.DUMMYFUNCTION("""COMPUTED_VALUE"""),2.0)</f>
        <v>2</v>
      </c>
      <c r="J500" s="93">
        <f>IFERROR(__xludf.DUMMYFUNCTION("""COMPUTED_VALUE"""),500000.0)</f>
        <v>500000</v>
      </c>
      <c r="K500" s="19" t="str">
        <f>IFERROR(__xludf.DUMMYFUNCTION("""COMPUTED_VALUE"""),"belum jadi")</f>
        <v>belum jadi</v>
      </c>
      <c r="L500" s="76"/>
      <c r="M500" s="20"/>
      <c r="N500" s="20"/>
      <c r="O500" s="20"/>
      <c r="P500" s="20"/>
    </row>
    <row r="501">
      <c r="A501" s="110">
        <f>IFERROR(__xludf.DUMMYFUNCTION("""COMPUTED_VALUE"""),46167.0)</f>
        <v>46167</v>
      </c>
      <c r="B501" s="110" t="str">
        <f>IFERROR(__xludf.DUMMYFUNCTION("""COMPUTED_VALUE"""),"2605A157")</f>
        <v>2605A157</v>
      </c>
      <c r="C501" s="49" t="str">
        <f>IFERROR(__xludf.DUMMYFUNCTION("""COMPUTED_VALUE"""),"vivi")</f>
        <v>vivi</v>
      </c>
      <c r="D501" s="102" t="str">
        <f>IFERROR(__xludf.DUMMYFUNCTION("""COMPUTED_VALUE"""),"082276942844")</f>
        <v>082276942844</v>
      </c>
      <c r="E501" s="25" t="str">
        <f>IFERROR(__xludf.DUMMYFUNCTION("""COMPUTED_VALUE"""),"Instagram")</f>
        <v>Instagram</v>
      </c>
      <c r="F501" s="25" t="str">
        <f>IFERROR(__xludf.DUMMYFUNCTION("""COMPUTED_VALUE"""),"Gagal")</f>
        <v>Gagal</v>
      </c>
      <c r="G501" s="25" t="str">
        <f>IFERROR(__xludf.DUMMYFUNCTION("""COMPUTED_VALUE"""),"open trip")</f>
        <v>open trip</v>
      </c>
      <c r="H501" s="78"/>
      <c r="I501" s="89"/>
      <c r="J501" s="96"/>
      <c r="K501" s="36" t="str">
        <f>IFERROR(__xludf.DUMMYFUNCTION("""COMPUTED_VALUE"""),"gada kelanjutan")</f>
        <v>gada kelanjutan</v>
      </c>
      <c r="L501" s="49"/>
      <c r="M501" s="20"/>
      <c r="N501" s="20"/>
      <c r="O501" s="20"/>
      <c r="P501" s="20"/>
    </row>
    <row r="502">
      <c r="A502" s="97">
        <f>IFERROR(__xludf.DUMMYFUNCTION("""COMPUTED_VALUE"""),46167.0)</f>
        <v>46167</v>
      </c>
      <c r="B502" s="97" t="str">
        <f>IFERROR(__xludf.DUMMYFUNCTION("""COMPUTED_VALUE"""),"2605A158")</f>
        <v>2605A158</v>
      </c>
      <c r="C502" s="76" t="str">
        <f>IFERROR(__xludf.DUMMYFUNCTION("""COMPUTED_VALUE"""),"Farid")</f>
        <v>Farid</v>
      </c>
      <c r="D502" s="99" t="str">
        <f>IFERROR(__xludf.DUMMYFUNCTION("""COMPUTED_VALUE"""),"085366752778")</f>
        <v>085366752778</v>
      </c>
      <c r="E502" s="25" t="str">
        <f>IFERROR(__xludf.DUMMYFUNCTION("""COMPUTED_VALUE"""),"Lainnya")</f>
        <v>Lainnya</v>
      </c>
      <c r="F502" s="25" t="str">
        <f>IFERROR(__xludf.DUMMYFUNCTION("""COMPUTED_VALUE"""),"Gagal")</f>
        <v>Gagal</v>
      </c>
      <c r="G502" s="25" t="str">
        <f>IFERROR(__xludf.DUMMYFUNCTION("""COMPUTED_VALUE"""),"ot gi")</f>
        <v>ot gi</v>
      </c>
      <c r="H502" s="92">
        <f>IFERROR(__xludf.DUMMYFUNCTION("""COMPUTED_VALUE"""),46171.0)</f>
        <v>46171</v>
      </c>
      <c r="I502" s="17">
        <f>IFERROR(__xludf.DUMMYFUNCTION("""COMPUTED_VALUE"""),1.0)</f>
        <v>1</v>
      </c>
      <c r="J502" s="54">
        <f>IFERROR(__xludf.DUMMYFUNCTION("""COMPUTED_VALUE"""),160000.0)</f>
        <v>160000</v>
      </c>
      <c r="K502" s="46" t="str">
        <f>IFERROR(__xludf.DUMMYFUNCTION("""COMPUTED_VALUE"""),"gada kelanjutan")</f>
        <v>gada kelanjutan</v>
      </c>
      <c r="L502" s="76"/>
      <c r="M502" s="20"/>
      <c r="N502" s="20"/>
      <c r="O502" s="20"/>
      <c r="P502" s="20"/>
    </row>
    <row r="503">
      <c r="A503" s="110">
        <f>IFERROR(__xludf.DUMMYFUNCTION("""COMPUTED_VALUE"""),46167.0)</f>
        <v>46167</v>
      </c>
      <c r="B503" s="110" t="str">
        <f>IFERROR(__xludf.DUMMYFUNCTION("""COMPUTED_VALUE"""),"2605A159 ")</f>
        <v>2605A159 </v>
      </c>
      <c r="C503" s="49" t="str">
        <f>IFERROR(__xludf.DUMMYFUNCTION("""COMPUTED_VALUE"""),"Icha Be Your Travel")</f>
        <v>Icha Be Your Travel</v>
      </c>
      <c r="D503" s="102" t="str">
        <f>IFERROR(__xludf.DUMMYFUNCTION("""COMPUTED_VALUE"""),"085861405067")</f>
        <v>085861405067</v>
      </c>
      <c r="E503" s="25" t="str">
        <f>IFERROR(__xludf.DUMMYFUNCTION("""COMPUTED_VALUE"""),"Website")</f>
        <v>Website</v>
      </c>
      <c r="F503" s="25" t="str">
        <f>IFERROR(__xludf.DUMMYFUNCTION("""COMPUTED_VALUE"""),"Gagal")</f>
        <v>Gagal</v>
      </c>
      <c r="G503" s="25" t="str">
        <f>IFERROR(__xludf.DUMMYFUNCTION("""COMPUTED_VALUE"""),"3h2m")</f>
        <v>3h2m</v>
      </c>
      <c r="H503" s="78"/>
      <c r="I503" s="89">
        <f>IFERROR(__xludf.DUMMYFUNCTION("""COMPUTED_VALUE"""),50.0)</f>
        <v>50</v>
      </c>
      <c r="J503" s="96"/>
      <c r="K503" s="30"/>
      <c r="L503" s="49"/>
      <c r="M503" s="20"/>
      <c r="N503" s="20"/>
      <c r="O503" s="20"/>
      <c r="P503" s="20"/>
    </row>
    <row r="504">
      <c r="A504" s="97">
        <f>IFERROR(__xludf.DUMMYFUNCTION("""COMPUTED_VALUE"""),46168.0)</f>
        <v>46168</v>
      </c>
      <c r="B504" s="97" t="str">
        <f>IFERROR(__xludf.DUMMYFUNCTION("""COMPUTED_VALUE"""),"2605A160")</f>
        <v>2605A160</v>
      </c>
      <c r="C504" s="76" t="str">
        <f>IFERROR(__xludf.DUMMYFUNCTION("""COMPUTED_VALUE"""),"Yuniar")</f>
        <v>Yuniar</v>
      </c>
      <c r="D504" s="99" t="str">
        <f>IFERROR(__xludf.DUMMYFUNCTION("""COMPUTED_VALUE"""),"085736654095")</f>
        <v>085736654095</v>
      </c>
      <c r="E504" s="25" t="str">
        <f>IFERROR(__xludf.DUMMYFUNCTION("""COMPUTED_VALUE"""),"Instagram")</f>
        <v>Instagram</v>
      </c>
      <c r="F504" s="25" t="str">
        <f>IFERROR(__xludf.DUMMYFUNCTION("""COMPUTED_VALUE"""),"Gagal")</f>
        <v>Gagal</v>
      </c>
      <c r="G504" s="25" t="str">
        <f>IFERROR(__xludf.DUMMYFUNCTION("""COMPUTED_VALUE"""),"ot mt")</f>
        <v>ot mt</v>
      </c>
      <c r="H504" s="92"/>
      <c r="I504" s="80">
        <f>IFERROR(__xludf.DUMMYFUNCTION("""COMPUTED_VALUE"""),3.0)</f>
        <v>3</v>
      </c>
      <c r="J504" s="93"/>
      <c r="K504" s="46" t="str">
        <f>IFERROR(__xludf.DUMMYFUNCTION("""COMPUTED_VALUE"""),"lewat tanggal")</f>
        <v>lewat tanggal</v>
      </c>
      <c r="L504" s="76"/>
      <c r="M504" s="20"/>
      <c r="N504" s="20"/>
      <c r="O504" s="20"/>
      <c r="P504" s="20"/>
    </row>
    <row r="505">
      <c r="A505" s="110">
        <f>IFERROR(__xludf.DUMMYFUNCTION("""COMPUTED_VALUE"""),46168.0)</f>
        <v>46168</v>
      </c>
      <c r="B505" s="110" t="str">
        <f>IFERROR(__xludf.DUMMYFUNCTION("""COMPUTED_VALUE"""),"2605A161")</f>
        <v>2605A161</v>
      </c>
      <c r="C505" s="49" t="str">
        <f>IFERROR(__xludf.DUMMYFUNCTION("""COMPUTED_VALUE"""),"nothing")</f>
        <v>nothing</v>
      </c>
      <c r="D505" s="102" t="str">
        <f>IFERROR(__xludf.DUMMYFUNCTION("""COMPUTED_VALUE"""),"082313456020")</f>
        <v>082313456020</v>
      </c>
      <c r="E505" s="25" t="str">
        <f>IFERROR(__xludf.DUMMYFUNCTION("""COMPUTED_VALUE"""),"Website")</f>
        <v>Website</v>
      </c>
      <c r="F505" s="25" t="str">
        <f>IFERROR(__xludf.DUMMYFUNCTION("""COMPUTED_VALUE"""),"Gagal")</f>
        <v>Gagal</v>
      </c>
      <c r="G505" s="25" t="str">
        <f>IFERROR(__xludf.DUMMYFUNCTION("""COMPUTED_VALUE"""),"freediving")</f>
        <v>freediving</v>
      </c>
      <c r="H505" s="78">
        <f>IFERROR(__xludf.DUMMYFUNCTION("""COMPUTED_VALUE"""),46170.0)</f>
        <v>46170</v>
      </c>
      <c r="I505" s="27"/>
      <c r="J505" s="96"/>
      <c r="K505" s="30" t="str">
        <f>IFERROR(__xludf.DUMMYFUNCTION("""COMPUTED_VALUE"""),"gada jawaban")</f>
        <v>gada jawaban</v>
      </c>
      <c r="L505" s="49"/>
      <c r="M505" s="20"/>
      <c r="N505" s="20"/>
      <c r="O505" s="20"/>
      <c r="P505" s="20"/>
    </row>
    <row r="506">
      <c r="A506" s="97">
        <f>IFERROR(__xludf.DUMMYFUNCTION("""COMPUTED_VALUE"""),46168.0)</f>
        <v>46168</v>
      </c>
      <c r="B506" s="97" t="str">
        <f>IFERROR(__xludf.DUMMYFUNCTION("""COMPUTED_VALUE"""),"2605A162")</f>
        <v>2605A162</v>
      </c>
      <c r="C506" s="76" t="str">
        <f>IFERROR(__xludf.DUMMYFUNCTION("""COMPUTED_VALUE"""),".")</f>
        <v>.</v>
      </c>
      <c r="D506" s="99" t="str">
        <f>IFERROR(__xludf.DUMMYFUNCTION("""COMPUTED_VALUE"""),"085814920711")</f>
        <v>085814920711</v>
      </c>
      <c r="E506" s="25" t="str">
        <f>IFERROR(__xludf.DUMMYFUNCTION("""COMPUTED_VALUE"""),"Instagram")</f>
        <v>Instagram</v>
      </c>
      <c r="F506" s="25" t="str">
        <f>IFERROR(__xludf.DUMMYFUNCTION("""COMPUTED_VALUE"""),"Gagal")</f>
        <v>Gagal</v>
      </c>
      <c r="G506" s="25" t="str">
        <f>IFERROR(__xludf.DUMMYFUNCTION("""COMPUTED_VALUE"""),"ot djabal")</f>
        <v>ot djabal</v>
      </c>
      <c r="H506" s="92"/>
      <c r="I506" s="80">
        <f>IFERROR(__xludf.DUMMYFUNCTION("""COMPUTED_VALUE"""),3.0)</f>
        <v>3</v>
      </c>
      <c r="J506" s="93">
        <f>IFERROR(__xludf.DUMMYFUNCTION("""COMPUTED_VALUE"""),1650000.0)</f>
        <v>1650000</v>
      </c>
      <c r="K506" s="19" t="str">
        <f>IFERROR(__xludf.DUMMYFUNCTION("""COMPUTED_VALUE"""),"gada jawaban")</f>
        <v>gada jawaban</v>
      </c>
      <c r="L506" s="76"/>
      <c r="M506" s="20"/>
      <c r="N506" s="20"/>
      <c r="O506" s="20"/>
      <c r="P506" s="20"/>
    </row>
    <row r="507">
      <c r="A507" s="97">
        <f>IFERROR(__xludf.DUMMYFUNCTION("""COMPUTED_VALUE"""),46164.0)</f>
        <v>46164</v>
      </c>
      <c r="B507" s="97" t="str">
        <f>IFERROR(__xludf.DUMMYFUNCTION("""COMPUTED_VALUE"""),"2605A163")</f>
        <v>2605A163</v>
      </c>
      <c r="C507" s="76" t="str">
        <f>IFERROR(__xludf.DUMMYFUNCTION("""COMPUTED_VALUE"""),"FIfi")</f>
        <v>FIfi</v>
      </c>
      <c r="D507" s="99" t="str">
        <f>IFERROR(__xludf.DUMMYFUNCTION("""COMPUTED_VALUE"""),"082126911503")</f>
        <v>082126911503</v>
      </c>
      <c r="E507" s="25" t="str">
        <f>IFERROR(__xludf.DUMMYFUNCTION("""COMPUTED_VALUE"""),"Website")</f>
        <v>Website</v>
      </c>
      <c r="F507" s="25" t="str">
        <f>IFERROR(__xludf.DUMMYFUNCTION("""COMPUTED_VALUE"""),"Closing")</f>
        <v>Closing</v>
      </c>
      <c r="G507" s="25" t="str">
        <f>IFERROR(__xludf.DUMMYFUNCTION("""COMPUTED_VALUE"""),"3h2m")</f>
        <v>3h2m</v>
      </c>
      <c r="H507" s="16"/>
      <c r="I507" s="17">
        <f>IFERROR(__xludf.DUMMYFUNCTION("""COMPUTED_VALUE"""),5.0)</f>
        <v>5</v>
      </c>
      <c r="J507" s="54">
        <f>IFERROR(__xludf.DUMMYFUNCTION("""COMPUTED_VALUE"""),7725000.0)</f>
        <v>7725000</v>
      </c>
      <c r="K507" s="46" t="str">
        <f>IFERROR(__xludf.DUMMYFUNCTION("""COMPUTED_VALUE"""),"fu 6 juni")</f>
        <v>fu 6 juni</v>
      </c>
      <c r="L507" s="76"/>
      <c r="M507" s="20"/>
      <c r="N507" s="20"/>
      <c r="O507" s="20"/>
      <c r="P507" s="20"/>
    </row>
    <row r="508">
      <c r="A508" s="110">
        <f>IFERROR(__xludf.DUMMYFUNCTION("""COMPUTED_VALUE"""),46169.0)</f>
        <v>46169</v>
      </c>
      <c r="B508" s="110" t="str">
        <f>IFERROR(__xludf.DUMMYFUNCTION("""COMPUTED_VALUE"""),"2605A164")</f>
        <v>2605A164</v>
      </c>
      <c r="C508" s="49" t="str">
        <f>IFERROR(__xludf.DUMMYFUNCTION("""COMPUTED_VALUE"""),"Imma Kristy")</f>
        <v>Imma Kristy</v>
      </c>
      <c r="D508" s="102" t="str">
        <f>IFERROR(__xludf.DUMMYFUNCTION("""COMPUTED_VALUE"""),"081223647600")</f>
        <v>081223647600</v>
      </c>
      <c r="E508" s="25" t="str">
        <f>IFERROR(__xludf.DUMMYFUNCTION("""COMPUTED_VALUE"""),"Lainnya")</f>
        <v>Lainnya</v>
      </c>
      <c r="F508" s="25" t="str">
        <f>IFERROR(__xludf.DUMMYFUNCTION("""COMPUTED_VALUE"""),"Gagal")</f>
        <v>Gagal</v>
      </c>
      <c r="G508" s="25" t="str">
        <f>IFERROR(__xludf.DUMMYFUNCTION("""COMPUTED_VALUE"""),"3h2m opsi a")</f>
        <v>3h2m opsi a</v>
      </c>
      <c r="H508" s="26"/>
      <c r="I508" s="27">
        <f>IFERROR(__xludf.DUMMYFUNCTION("""COMPUTED_VALUE"""),2.0)</f>
        <v>2</v>
      </c>
      <c r="J508" s="33">
        <f>IFERROR(__xludf.DUMMYFUNCTION("""COMPUTED_VALUE"""),8378000.0)</f>
        <v>8378000</v>
      </c>
      <c r="K508" s="30" t="str">
        <f>IFERROR(__xludf.DUMMYFUNCTION("""COMPUTED_VALUE"""),"gada jawaban lagi")</f>
        <v>gada jawaban lagi</v>
      </c>
      <c r="L508" s="49"/>
      <c r="M508" s="20"/>
      <c r="N508" s="20"/>
      <c r="O508" s="20"/>
      <c r="P508" s="20"/>
    </row>
    <row r="509">
      <c r="A509" s="97">
        <f>IFERROR(__xludf.DUMMYFUNCTION("""COMPUTED_VALUE"""),46158.0)</f>
        <v>46158</v>
      </c>
      <c r="B509" s="97" t="str">
        <f>IFERROR(__xludf.DUMMYFUNCTION("""COMPUTED_VALUE"""),"2605A165")</f>
        <v>2605A165</v>
      </c>
      <c r="C509" s="76" t="str">
        <f>IFERROR(__xludf.DUMMYFUNCTION("""COMPUTED_VALUE"""),"Nadiah")</f>
        <v>Nadiah</v>
      </c>
      <c r="D509" s="99" t="str">
        <f>IFERROR(__xludf.DUMMYFUNCTION("""COMPUTED_VALUE"""),"082247534027")</f>
        <v>082247534027</v>
      </c>
      <c r="E509" s="25" t="str">
        <f>IFERROR(__xludf.DUMMYFUNCTION("""COMPUTED_VALUE"""),"Lainnya")</f>
        <v>Lainnya</v>
      </c>
      <c r="F509" s="25" t="str">
        <f>IFERROR(__xludf.DUMMYFUNCTION("""COMPUTED_VALUE"""),"Gagal")</f>
        <v>Gagal</v>
      </c>
      <c r="G509" s="25" t="str">
        <f>IFERROR(__xludf.DUMMYFUNCTION("""COMPUTED_VALUE"""),"mt")</f>
        <v>mt</v>
      </c>
      <c r="H509" s="92">
        <f>IFERROR(__xludf.DUMMYFUNCTION("""COMPUTED_VALUE"""),46172.0)</f>
        <v>46172</v>
      </c>
      <c r="I509" s="80"/>
      <c r="J509" s="93"/>
      <c r="K509" s="19" t="str">
        <f>IFERROR(__xludf.DUMMYFUNCTION("""COMPUTED_VALUE"""),"fullbooked")</f>
        <v>fullbooked</v>
      </c>
      <c r="L509" s="76"/>
      <c r="M509" s="20"/>
      <c r="N509" s="20"/>
      <c r="O509" s="20"/>
      <c r="P509" s="20"/>
    </row>
    <row r="510">
      <c r="A510" s="110">
        <f>IFERROR(__xludf.DUMMYFUNCTION("""COMPUTED_VALUE"""),46169.0)</f>
        <v>46169</v>
      </c>
      <c r="B510" s="110" t="str">
        <f>IFERROR(__xludf.DUMMYFUNCTION("""COMPUTED_VALUE"""),"2605A166")</f>
        <v>2605A166</v>
      </c>
      <c r="C510" s="49" t="str">
        <f>IFERROR(__xludf.DUMMYFUNCTION("""COMPUTED_VALUE"""),"Galih Mahardhika")</f>
        <v>Galih Mahardhika</v>
      </c>
      <c r="D510" s="102" t="str">
        <f>IFERROR(__xludf.DUMMYFUNCTION("""COMPUTED_VALUE"""),"081390096111")</f>
        <v>081390096111</v>
      </c>
      <c r="E510" s="25" t="str">
        <f>IFERROR(__xludf.DUMMYFUNCTION("""COMPUTED_VALUE"""),"Instagram")</f>
        <v>Instagram</v>
      </c>
      <c r="F510" s="25" t="str">
        <f>IFERROR(__xludf.DUMMYFUNCTION("""COMPUTED_VALUE"""),"Gagal")</f>
        <v>Gagal</v>
      </c>
      <c r="G510" s="25"/>
      <c r="H510" s="78"/>
      <c r="I510" s="27"/>
      <c r="J510" s="96"/>
      <c r="K510" s="36" t="str">
        <f>IFERROR(__xludf.DUMMYFUNCTION("""COMPUTED_VALUE"""),"gada jawaban")</f>
        <v>gada jawaban</v>
      </c>
      <c r="L510" s="49"/>
      <c r="M510" s="20"/>
      <c r="N510" s="20"/>
      <c r="O510" s="20"/>
      <c r="P510" s="20"/>
    </row>
    <row r="511">
      <c r="A511" s="97">
        <f>IFERROR(__xludf.DUMMYFUNCTION("""COMPUTED_VALUE"""),46169.0)</f>
        <v>46169</v>
      </c>
      <c r="B511" s="97" t="str">
        <f>IFERROR(__xludf.DUMMYFUNCTION("""COMPUTED_VALUE"""),"2605A167")</f>
        <v>2605A167</v>
      </c>
      <c r="C511" s="76" t="str">
        <f>IFERROR(__xludf.DUMMYFUNCTION("""COMPUTED_VALUE"""),"Octavishanta")</f>
        <v>Octavishanta</v>
      </c>
      <c r="D511" s="99" t="str">
        <f>IFERROR(__xludf.DUMMYFUNCTION("""COMPUTED_VALUE"""),"085871964453")</f>
        <v>085871964453</v>
      </c>
      <c r="E511" s="25" t="str">
        <f>IFERROR(__xludf.DUMMYFUNCTION("""COMPUTED_VALUE"""),"Instagram")</f>
        <v>Instagram</v>
      </c>
      <c r="F511" s="25" t="str">
        <f>IFERROR(__xludf.DUMMYFUNCTION("""COMPUTED_VALUE"""),"Gagal")</f>
        <v>Gagal</v>
      </c>
      <c r="G511" s="25" t="str">
        <f>IFERROR(__xludf.DUMMYFUNCTION("""COMPUTED_VALUE"""),"ot mt")</f>
        <v>ot mt</v>
      </c>
      <c r="H511" s="92"/>
      <c r="I511" s="80"/>
      <c r="J511" s="93"/>
      <c r="K511" s="46" t="str">
        <f>IFERROR(__xludf.DUMMYFUNCTION("""COMPUTED_VALUE"""),"gada jawaban")</f>
        <v>gada jawaban</v>
      </c>
      <c r="L511" s="76"/>
      <c r="M511" s="20"/>
      <c r="N511" s="20"/>
      <c r="O511" s="20"/>
      <c r="P511" s="20"/>
    </row>
    <row r="512">
      <c r="A512" s="110">
        <f>IFERROR(__xludf.DUMMYFUNCTION("""COMPUTED_VALUE"""),46168.0)</f>
        <v>46168</v>
      </c>
      <c r="B512" s="110" t="str">
        <f>IFERROR(__xludf.DUMMYFUNCTION("""COMPUTED_VALUE"""),"2605A168")</f>
        <v>2605A168</v>
      </c>
      <c r="C512" s="49" t="str">
        <f>IFERROR(__xludf.DUMMYFUNCTION("""COMPUTED_VALUE"""),"Aprillia")</f>
        <v>Aprillia</v>
      </c>
      <c r="D512" s="102" t="str">
        <f>IFERROR(__xludf.DUMMYFUNCTION("""COMPUTED_VALUE"""),"081230039048")</f>
        <v>081230039048</v>
      </c>
      <c r="E512" s="25" t="str">
        <f>IFERROR(__xludf.DUMMYFUNCTION("""COMPUTED_VALUE"""),"Website")</f>
        <v>Website</v>
      </c>
      <c r="F512" s="25" t="str">
        <f>IFERROR(__xludf.DUMMYFUNCTION("""COMPUTED_VALUE"""),"Gagal")</f>
        <v>Gagal</v>
      </c>
      <c r="G512" s="25" t="str">
        <f>IFERROR(__xludf.DUMMYFUNCTION("""COMPUTED_VALUE"""),"2h1m")</f>
        <v>2h1m</v>
      </c>
      <c r="H512" s="26"/>
      <c r="I512" s="89">
        <f>IFERROR(__xludf.DUMMYFUNCTION("""COMPUTED_VALUE"""),5.0)</f>
        <v>5</v>
      </c>
      <c r="J512" s="96">
        <f>IFERROR(__xludf.DUMMYFUNCTION("""COMPUTED_VALUE"""),5925000.0)</f>
        <v>5925000</v>
      </c>
      <c r="K512" s="30" t="str">
        <f>IFERROR(__xludf.DUMMYFUNCTION("""COMPUTED_VALUE"""),"gada jawaban")</f>
        <v>gada jawaban</v>
      </c>
      <c r="L512" s="49"/>
      <c r="M512" s="20"/>
      <c r="N512" s="20"/>
      <c r="O512" s="20"/>
      <c r="P512" s="20"/>
    </row>
    <row r="513">
      <c r="A513" s="97">
        <f>IFERROR(__xludf.DUMMYFUNCTION("""COMPUTED_VALUE"""),46169.0)</f>
        <v>46169</v>
      </c>
      <c r="B513" s="97" t="str">
        <f>IFERROR(__xludf.DUMMYFUNCTION("""COMPUTED_VALUE"""),"2605A169")</f>
        <v>2605A169</v>
      </c>
      <c r="C513" s="76" t="str">
        <f>IFERROR(__xludf.DUMMYFUNCTION("""COMPUTED_VALUE"""),"Astrid")</f>
        <v>Astrid</v>
      </c>
      <c r="D513" s="99" t="str">
        <f>IFERROR(__xludf.DUMMYFUNCTION("""COMPUTED_VALUE"""),"081272734381")</f>
        <v>081272734381</v>
      </c>
      <c r="E513" s="25" t="str">
        <f>IFERROR(__xludf.DUMMYFUNCTION("""COMPUTED_VALUE"""),"Instagram")</f>
        <v>Instagram</v>
      </c>
      <c r="F513" s="25" t="str">
        <f>IFERROR(__xludf.DUMMYFUNCTION("""COMPUTED_VALUE"""),"Gagal")</f>
        <v>Gagal</v>
      </c>
      <c r="G513" s="25" t="str">
        <f>IFERROR(__xludf.DUMMYFUNCTION("""COMPUTED_VALUE"""),"4h3m")</f>
        <v>4h3m</v>
      </c>
      <c r="H513" s="16"/>
      <c r="I513" s="80">
        <f>IFERROR(__xludf.DUMMYFUNCTION("""COMPUTED_VALUE"""),40.0)</f>
        <v>40</v>
      </c>
      <c r="J513" s="93"/>
      <c r="K513" s="46"/>
      <c r="L513" s="76"/>
      <c r="M513" s="20"/>
      <c r="N513" s="20"/>
      <c r="O513" s="20"/>
      <c r="P513" s="20"/>
    </row>
    <row r="514">
      <c r="A514" s="110">
        <f>IFERROR(__xludf.DUMMYFUNCTION("""COMPUTED_VALUE"""),46170.0)</f>
        <v>46170</v>
      </c>
      <c r="B514" s="110" t="str">
        <f>IFERROR(__xludf.DUMMYFUNCTION("""COMPUTED_VALUE"""),"2605A170")</f>
        <v>2605A170</v>
      </c>
      <c r="C514" s="49" t="str">
        <f>IFERROR(__xludf.DUMMYFUNCTION("""COMPUTED_VALUE"""),"Ida Puspa Rk")</f>
        <v>Ida Puspa Rk</v>
      </c>
      <c r="D514" s="102" t="str">
        <f>IFERROR(__xludf.DUMMYFUNCTION("""COMPUTED_VALUE"""),"08113322328")</f>
        <v>08113322328</v>
      </c>
      <c r="E514" s="25" t="str">
        <f>IFERROR(__xludf.DUMMYFUNCTION("""COMPUTED_VALUE"""),"Website")</f>
        <v>Website</v>
      </c>
      <c r="F514" s="25" t="str">
        <f>IFERROR(__xludf.DUMMYFUNCTION("""COMPUTED_VALUE"""),"Gagal")</f>
        <v>Gagal</v>
      </c>
      <c r="G514" s="25" t="str">
        <f>IFERROR(__xludf.DUMMYFUNCTION("""COMPUTED_VALUE"""),"mt")</f>
        <v>mt</v>
      </c>
      <c r="H514" s="78">
        <f>IFERROR(__xludf.DUMMYFUNCTION("""COMPUTED_VALUE"""),46172.0)</f>
        <v>46172</v>
      </c>
      <c r="I514" s="89">
        <f>IFERROR(__xludf.DUMMYFUNCTION("""COMPUTED_VALUE"""),4.0)</f>
        <v>4</v>
      </c>
      <c r="J514" s="96"/>
      <c r="K514" s="36" t="str">
        <f>IFERROR(__xludf.DUMMYFUNCTION("""COMPUTED_VALUE"""),"fullbooked")</f>
        <v>fullbooked</v>
      </c>
      <c r="L514" s="49"/>
      <c r="M514" s="20"/>
      <c r="N514" s="20"/>
      <c r="O514" s="20"/>
      <c r="P514" s="20"/>
    </row>
    <row r="515">
      <c r="A515" s="110">
        <f>IFERROR(__xludf.DUMMYFUNCTION("""COMPUTED_VALUE"""),46170.0)</f>
        <v>46170</v>
      </c>
      <c r="B515" s="110" t="str">
        <f>IFERROR(__xludf.DUMMYFUNCTION("""COMPUTED_VALUE"""),"2605A171")</f>
        <v>2605A171</v>
      </c>
      <c r="C515" s="49" t="str">
        <f>IFERROR(__xludf.DUMMYFUNCTION("""COMPUTED_VALUE"""),"Santha")</f>
        <v>Santha</v>
      </c>
      <c r="D515" s="102" t="str">
        <f>IFERROR(__xludf.DUMMYFUNCTION("""COMPUTED_VALUE"""),"081213035217")</f>
        <v>081213035217</v>
      </c>
      <c r="E515" s="25" t="str">
        <f>IFERROR(__xludf.DUMMYFUNCTION("""COMPUTED_VALUE"""),"Instagram")</f>
        <v>Instagram</v>
      </c>
      <c r="F515" s="25" t="str">
        <f>IFERROR(__xludf.DUMMYFUNCTION("""COMPUTED_VALUE"""),"Gagal")</f>
        <v>Gagal</v>
      </c>
      <c r="G515" s="25" t="str">
        <f>IFERROR(__xludf.DUMMYFUNCTION("""COMPUTED_VALUE"""),"ot 3h2m")</f>
        <v>ot 3h2m</v>
      </c>
      <c r="H515" s="78">
        <f>IFERROR(__xludf.DUMMYFUNCTION("""COMPUTED_VALUE"""),46186.0)</f>
        <v>46186</v>
      </c>
      <c r="I515" s="89">
        <f>IFERROR(__xludf.DUMMYFUNCTION("""COMPUTED_VALUE"""),2.0)</f>
        <v>2</v>
      </c>
      <c r="J515" s="96">
        <f>IFERROR(__xludf.DUMMYFUNCTION("""COMPUTED_VALUE"""),3200000.0)</f>
        <v>3200000</v>
      </c>
      <c r="K515" s="30" t="str">
        <f>IFERROR(__xludf.DUMMYFUNCTION("""COMPUTED_VALUE"""),"gada balasan dr dia")</f>
        <v>gada balasan dr dia</v>
      </c>
      <c r="L515" s="49"/>
      <c r="M515" s="20"/>
      <c r="N515" s="20"/>
      <c r="O515" s="20"/>
      <c r="P515" s="20"/>
    </row>
    <row r="516">
      <c r="A516" s="97">
        <f>IFERROR(__xludf.DUMMYFUNCTION("""COMPUTED_VALUE"""),46169.0)</f>
        <v>46169</v>
      </c>
      <c r="B516" s="97" t="str">
        <f>IFERROR(__xludf.DUMMYFUNCTION("""COMPUTED_VALUE"""),"2605A172")</f>
        <v>2605A172</v>
      </c>
      <c r="C516" s="76" t="str">
        <f>IFERROR(__xludf.DUMMYFUNCTION("""COMPUTED_VALUE"""),"Carolina Tanzil")</f>
        <v>Carolina Tanzil</v>
      </c>
      <c r="D516" s="99" t="str">
        <f>IFERROR(__xludf.DUMMYFUNCTION("""COMPUTED_VALUE"""),"08179131311")</f>
        <v>08179131311</v>
      </c>
      <c r="E516" s="25" t="str">
        <f>IFERROR(__xludf.DUMMYFUNCTION("""COMPUTED_VALUE"""),"Instagram")</f>
        <v>Instagram</v>
      </c>
      <c r="F516" s="25" t="str">
        <f>IFERROR(__xludf.DUMMYFUNCTION("""COMPUTED_VALUE"""),"Review")</f>
        <v>Review</v>
      </c>
      <c r="G516" s="25" t="str">
        <f>IFERROR(__xludf.DUMMYFUNCTION("""COMPUTED_VALUE"""),"2h1m opsi b")</f>
        <v>2h1m opsi b</v>
      </c>
      <c r="H516" s="16"/>
      <c r="I516" s="80">
        <f>IFERROR(__xludf.DUMMYFUNCTION("""COMPUTED_VALUE"""),3.0)</f>
        <v>3</v>
      </c>
      <c r="J516" s="93"/>
      <c r="K516" s="46" t="str">
        <f>IFERROR(__xludf.DUMMYFUNCTION("""COMPUTED_VALUE"""),"closing")</f>
        <v>closing</v>
      </c>
      <c r="L516" s="76"/>
      <c r="M516" s="20"/>
      <c r="N516" s="20"/>
      <c r="O516" s="20"/>
      <c r="P516" s="20"/>
    </row>
    <row r="517">
      <c r="A517" s="110">
        <f>IFERROR(__xludf.DUMMYFUNCTION("""COMPUTED_VALUE"""),46170.0)</f>
        <v>46170</v>
      </c>
      <c r="B517" s="110" t="str">
        <f>IFERROR(__xludf.DUMMYFUNCTION("""COMPUTED_VALUE"""),"2605A173")</f>
        <v>2605A173</v>
      </c>
      <c r="C517" s="49" t="str">
        <f>IFERROR(__xludf.DUMMYFUNCTION("""COMPUTED_VALUE"""),"Ismawati Subroto")</f>
        <v>Ismawati Subroto</v>
      </c>
      <c r="D517" s="102" t="str">
        <f>IFERROR(__xludf.DUMMYFUNCTION("""COMPUTED_VALUE"""),"081554688688")</f>
        <v>081554688688</v>
      </c>
      <c r="E517" s="25" t="str">
        <f>IFERROR(__xludf.DUMMYFUNCTION("""COMPUTED_VALUE"""),"Website")</f>
        <v>Website</v>
      </c>
      <c r="F517" s="25" t="str">
        <f>IFERROR(__xludf.DUMMYFUNCTION("""COMPUTED_VALUE"""),"Gagal")</f>
        <v>Gagal</v>
      </c>
      <c r="G517" s="25" t="str">
        <f>IFERROR(__xludf.DUMMYFUNCTION("""COMPUTED_VALUE"""),"3h2m opsi a")</f>
        <v>3h2m opsi a</v>
      </c>
      <c r="H517" s="78">
        <f>IFERROR(__xludf.DUMMYFUNCTION("""COMPUTED_VALUE"""),46210.0)</f>
        <v>46210</v>
      </c>
      <c r="I517" s="89">
        <f>IFERROR(__xludf.DUMMYFUNCTION("""COMPUTED_VALUE"""),3.0)</f>
        <v>3</v>
      </c>
      <c r="J517" s="96">
        <f>IFERROR(__xludf.DUMMYFUNCTION("""COMPUTED_VALUE"""),7401000.0)</f>
        <v>7401000</v>
      </c>
      <c r="K517" s="30" t="str">
        <f>IFERROR(__xludf.DUMMYFUNCTION("""COMPUTED_VALUE"""),"tdk ada jawaban")</f>
        <v>tdk ada jawaban</v>
      </c>
      <c r="L517" s="49"/>
      <c r="M517" s="20"/>
      <c r="N517" s="20"/>
      <c r="O517" s="20"/>
      <c r="P517" s="20"/>
    </row>
    <row r="518">
      <c r="A518" s="97">
        <f>IFERROR(__xludf.DUMMYFUNCTION("""COMPUTED_VALUE"""),46163.0)</f>
        <v>46163</v>
      </c>
      <c r="B518" s="97" t="str">
        <f>IFERROR(__xludf.DUMMYFUNCTION("""COMPUTED_VALUE"""),"2605A174")</f>
        <v>2605A174</v>
      </c>
      <c r="C518" s="76" t="str">
        <f>IFERROR(__xludf.DUMMYFUNCTION("""COMPUTED_VALUE"""),"Inggrid")</f>
        <v>Inggrid</v>
      </c>
      <c r="D518" s="99" t="str">
        <f>IFERROR(__xludf.DUMMYFUNCTION("""COMPUTED_VALUE"""),"081807130203")</f>
        <v>081807130203</v>
      </c>
      <c r="E518" s="25" t="str">
        <f>IFERROR(__xludf.DUMMYFUNCTION("""COMPUTED_VALUE"""),"Lainnya")</f>
        <v>Lainnya</v>
      </c>
      <c r="F518" s="25" t="str">
        <f>IFERROR(__xludf.DUMMYFUNCTION("""COMPUTED_VALUE"""),"Prospek")</f>
        <v>Prospek</v>
      </c>
      <c r="G518" s="25" t="str">
        <f>IFERROR(__xludf.DUMMYFUNCTION("""COMPUTED_VALUE"""),"3h2m")</f>
        <v>3h2m</v>
      </c>
      <c r="H518" s="92"/>
      <c r="I518" s="80"/>
      <c r="J518" s="93"/>
      <c r="K518" s="46" t="str">
        <f>IFERROR(__xludf.DUMMYFUNCTION("""COMPUTED_VALUE"""),"fu 12 juni")</f>
        <v>fu 12 juni</v>
      </c>
      <c r="L518" s="76"/>
      <c r="M518" s="20"/>
      <c r="N518" s="20"/>
      <c r="O518" s="20"/>
      <c r="P518" s="20"/>
    </row>
    <row r="519">
      <c r="A519" s="110">
        <f>IFERROR(__xludf.DUMMYFUNCTION("""COMPUTED_VALUE"""),46170.0)</f>
        <v>46170</v>
      </c>
      <c r="B519" s="110" t="str">
        <f>IFERROR(__xludf.DUMMYFUNCTION("""COMPUTED_VALUE"""),"2605A175")</f>
        <v>2605A175</v>
      </c>
      <c r="C519" s="49" t="str">
        <f>IFERROR(__xludf.DUMMYFUNCTION("""COMPUTED_VALUE"""),"Nisa")</f>
        <v>Nisa</v>
      </c>
      <c r="D519" s="102" t="str">
        <f>IFERROR(__xludf.DUMMYFUNCTION("""COMPUTED_VALUE"""),"082218072120")</f>
        <v>082218072120</v>
      </c>
      <c r="E519" s="25" t="str">
        <f>IFERROR(__xludf.DUMMYFUNCTION("""COMPUTED_VALUE"""),"Instagram")</f>
        <v>Instagram</v>
      </c>
      <c r="F519" s="25" t="str">
        <f>IFERROR(__xludf.DUMMYFUNCTION("""COMPUTED_VALUE"""),"Gagal")</f>
        <v>Gagal</v>
      </c>
      <c r="G519" s="25" t="str">
        <f>IFERROR(__xludf.DUMMYFUNCTION("""COMPUTED_VALUE"""),"ot mt")</f>
        <v>ot mt</v>
      </c>
      <c r="H519" s="78">
        <f>IFERROR(__xludf.DUMMYFUNCTION("""COMPUTED_VALUE"""),46171.0)</f>
        <v>46171</v>
      </c>
      <c r="I519" s="89">
        <f>IFERROR(__xludf.DUMMYFUNCTION("""COMPUTED_VALUE"""),3.0)</f>
        <v>3</v>
      </c>
      <c r="J519" s="96"/>
      <c r="K519" s="30" t="str">
        <f>IFERROR(__xludf.DUMMYFUNCTION("""COMPUTED_VALUE"""),"fullbooked")</f>
        <v>fullbooked</v>
      </c>
      <c r="L519" s="49"/>
      <c r="M519" s="20"/>
      <c r="N519" s="20"/>
      <c r="O519" s="20"/>
      <c r="P519" s="20"/>
    </row>
    <row r="520">
      <c r="A520" s="97">
        <f>IFERROR(__xludf.DUMMYFUNCTION("""COMPUTED_VALUE"""),46166.0)</f>
        <v>46166</v>
      </c>
      <c r="B520" s="97" t="str">
        <f>IFERROR(__xludf.DUMMYFUNCTION("""COMPUTED_VALUE"""),"2605A176")</f>
        <v>2605A176</v>
      </c>
      <c r="C520" s="76" t="str">
        <f>IFERROR(__xludf.DUMMYFUNCTION("""COMPUTED_VALUE"""),"Rainandri")</f>
        <v>Rainandri</v>
      </c>
      <c r="D520" s="99" t="str">
        <f>IFERROR(__xludf.DUMMYFUNCTION("""COMPUTED_VALUE"""),"081298666966")</f>
        <v>081298666966</v>
      </c>
      <c r="E520" s="25" t="str">
        <f>IFERROR(__xludf.DUMMYFUNCTION("""COMPUTED_VALUE"""),"Website")</f>
        <v>Website</v>
      </c>
      <c r="F520" s="25" t="str">
        <f>IFERROR(__xludf.DUMMYFUNCTION("""COMPUTED_VALUE"""),"Gagal")</f>
        <v>Gagal</v>
      </c>
      <c r="G520" s="25" t="str">
        <f>IFERROR(__xludf.DUMMYFUNCTION("""COMPUTED_VALUE"""),"3h2m a")</f>
        <v>3h2m a</v>
      </c>
      <c r="H520" s="92"/>
      <c r="I520" s="80">
        <f>IFERROR(__xludf.DUMMYFUNCTION("""COMPUTED_VALUE"""),3.0)</f>
        <v>3</v>
      </c>
      <c r="J520" s="93">
        <f>IFERROR(__xludf.DUMMYFUNCTION("""COMPUTED_VALUE"""),6402000.0)</f>
        <v>6402000</v>
      </c>
      <c r="K520" s="46" t="str">
        <f>IFERROR(__xludf.DUMMYFUNCTION("""COMPUTED_VALUE"""),"belum ada jawaban")</f>
        <v>belum ada jawaban</v>
      </c>
      <c r="L520" s="76"/>
      <c r="M520" s="20"/>
      <c r="N520" s="20"/>
      <c r="O520" s="20"/>
      <c r="P520" s="20"/>
    </row>
    <row r="521">
      <c r="A521" s="110">
        <f>IFERROR(__xludf.DUMMYFUNCTION("""COMPUTED_VALUE"""),46171.0)</f>
        <v>46171</v>
      </c>
      <c r="B521" s="110" t="str">
        <f>IFERROR(__xludf.DUMMYFUNCTION("""COMPUTED_VALUE"""),"2605A177")</f>
        <v>2605A177</v>
      </c>
      <c r="C521" s="49" t="str">
        <f>IFERROR(__xludf.DUMMYFUNCTION("""COMPUTED_VALUE"""),"Suci")</f>
        <v>Suci</v>
      </c>
      <c r="D521" s="102" t="str">
        <f>IFERROR(__xludf.DUMMYFUNCTION("""COMPUTED_VALUE"""),"081805344739")</f>
        <v>081805344739</v>
      </c>
      <c r="E521" s="25" t="str">
        <f>IFERROR(__xludf.DUMMYFUNCTION("""COMPUTED_VALUE"""),"Website")</f>
        <v>Website</v>
      </c>
      <c r="F521" s="25" t="str">
        <f>IFERROR(__xludf.DUMMYFUNCTION("""COMPUTED_VALUE"""),"Gagal")</f>
        <v>Gagal</v>
      </c>
      <c r="G521" s="25" t="str">
        <f>IFERROR(__xludf.DUMMYFUNCTION("""COMPUTED_VALUE"""),"djabal")</f>
        <v>djabal</v>
      </c>
      <c r="H521" s="78"/>
      <c r="I521" s="89">
        <f>IFERROR(__xludf.DUMMYFUNCTION("""COMPUTED_VALUE"""),3.0)</f>
        <v>3</v>
      </c>
      <c r="J521" s="96">
        <f>IFERROR(__xludf.DUMMYFUNCTION("""COMPUTED_VALUE"""),1875000.0)</f>
        <v>1875000</v>
      </c>
      <c r="K521" s="30" t="str">
        <f>IFERROR(__xludf.DUMMYFUNCTION("""COMPUTED_VALUE"""),"belum ada jawaban")</f>
        <v>belum ada jawaban</v>
      </c>
      <c r="L521" s="49"/>
      <c r="M521" s="20"/>
      <c r="N521" s="20"/>
      <c r="O521" s="20"/>
      <c r="P521" s="20"/>
    </row>
    <row r="522">
      <c r="A522" s="97">
        <f>IFERROR(__xludf.DUMMYFUNCTION("""COMPUTED_VALUE"""),46171.0)</f>
        <v>46171</v>
      </c>
      <c r="B522" s="97" t="str">
        <f>IFERROR(__xludf.DUMMYFUNCTION("""COMPUTED_VALUE"""),"2605A178")</f>
        <v>2605A178</v>
      </c>
      <c r="C522" s="76" t="str">
        <f>IFERROR(__xludf.DUMMYFUNCTION("""COMPUTED_VALUE"""),"Helena")</f>
        <v>Helena</v>
      </c>
      <c r="D522" s="99" t="str">
        <f>IFERROR(__xludf.DUMMYFUNCTION("""COMPUTED_VALUE"""),"081382881388")</f>
        <v>081382881388</v>
      </c>
      <c r="E522" s="25" t="str">
        <f>IFERROR(__xludf.DUMMYFUNCTION("""COMPUTED_VALUE"""),"Website")</f>
        <v>Website</v>
      </c>
      <c r="F522" s="25" t="str">
        <f>IFERROR(__xludf.DUMMYFUNCTION("""COMPUTED_VALUE"""),"Gagal")</f>
        <v>Gagal</v>
      </c>
      <c r="G522" s="25" t="str">
        <f>IFERROR(__xludf.DUMMYFUNCTION("""COMPUTED_VALUE"""),"baluran")</f>
        <v>baluran</v>
      </c>
      <c r="H522" s="92"/>
      <c r="I522" s="17">
        <f>IFERROR(__xludf.DUMMYFUNCTION("""COMPUTED_VALUE"""),2.0)</f>
        <v>2</v>
      </c>
      <c r="J522" s="54"/>
      <c r="K522" s="46" t="str">
        <f>IFERROR(__xludf.DUMMYFUNCTION("""COMPUTED_VALUE"""),"gada balasan dr dia")</f>
        <v>gada balasan dr dia</v>
      </c>
      <c r="L522" s="76"/>
      <c r="M522" s="20"/>
      <c r="N522" s="20"/>
      <c r="O522" s="20"/>
      <c r="P522" s="20"/>
    </row>
    <row r="523">
      <c r="A523" s="110">
        <f>IFERROR(__xludf.DUMMYFUNCTION("""COMPUTED_VALUE"""),46171.0)</f>
        <v>46171</v>
      </c>
      <c r="B523" s="110" t="str">
        <f>IFERROR(__xludf.DUMMYFUNCTION("""COMPUTED_VALUE"""),"2605A179")</f>
        <v>2605A179</v>
      </c>
      <c r="C523" s="49" t="str">
        <f>IFERROR(__xludf.DUMMYFUNCTION("""COMPUTED_VALUE"""),"Donny Ananta Putra")</f>
        <v>Donny Ananta Putra</v>
      </c>
      <c r="D523" s="102" t="str">
        <f>IFERROR(__xludf.DUMMYFUNCTION("""COMPUTED_VALUE"""),"089627626226")</f>
        <v>089627626226</v>
      </c>
      <c r="E523" s="25" t="str">
        <f>IFERROR(__xludf.DUMMYFUNCTION("""COMPUTED_VALUE"""),"Instagram")</f>
        <v>Instagram</v>
      </c>
      <c r="F523" s="25" t="str">
        <f>IFERROR(__xludf.DUMMYFUNCTION("""COMPUTED_VALUE"""),"Gagal")</f>
        <v>Gagal</v>
      </c>
      <c r="G523" s="25" t="str">
        <f>IFERROR(__xludf.DUMMYFUNCTION("""COMPUTED_VALUE"""),"1d trip")</f>
        <v>1d trip</v>
      </c>
      <c r="H523" s="78"/>
      <c r="I523" s="89">
        <f>IFERROR(__xludf.DUMMYFUNCTION("""COMPUTED_VALUE"""),2.0)</f>
        <v>2</v>
      </c>
      <c r="J523" s="33"/>
      <c r="K523" s="30" t="str">
        <f>IFERROR(__xludf.DUMMYFUNCTION("""COMPUTED_VALUE"""),"gada jawabaan")</f>
        <v>gada jawabaan</v>
      </c>
      <c r="L523" s="49"/>
      <c r="M523" s="20"/>
      <c r="N523" s="20"/>
      <c r="O523" s="20"/>
      <c r="P523" s="20"/>
    </row>
    <row r="524">
      <c r="A524" s="97">
        <f>IFERROR(__xludf.DUMMYFUNCTION("""COMPUTED_VALUE"""),46171.0)</f>
        <v>46171</v>
      </c>
      <c r="B524" s="121" t="str">
        <f>IFERROR(__xludf.DUMMYFUNCTION("""COMPUTED_VALUE"""),"2605A180")</f>
        <v>2605A180</v>
      </c>
      <c r="C524" s="76" t="str">
        <f>IFERROR(__xludf.DUMMYFUNCTION("""COMPUTED_VALUE"""),"ludovic renaudin")</f>
        <v>ludovic renaudin</v>
      </c>
      <c r="D524" s="99" t="str">
        <f>IFERROR(__xludf.DUMMYFUNCTION("""COMPUTED_VALUE"""),"61421302475")</f>
        <v>61421302475</v>
      </c>
      <c r="E524" s="25" t="str">
        <f>IFERROR(__xludf.DUMMYFUNCTION("""COMPUTED_VALUE"""),"Lainnya")</f>
        <v>Lainnya</v>
      </c>
      <c r="F524" s="25" t="str">
        <f>IFERROR(__xludf.DUMMYFUNCTION("""COMPUTED_VALUE"""),"Gagal")</f>
        <v>Gagal</v>
      </c>
      <c r="G524" s="25" t="str">
        <f>IFERROR(__xludf.DUMMYFUNCTION("""COMPUTED_VALUE"""),"ijen")</f>
        <v>ijen</v>
      </c>
      <c r="H524" s="92">
        <f>IFERROR(__xludf.DUMMYFUNCTION("""COMPUTED_VALUE"""),46172.0)</f>
        <v>46172</v>
      </c>
      <c r="I524" s="17"/>
      <c r="J524" s="93"/>
      <c r="K524" s="46" t="str">
        <f>IFERROR(__xludf.DUMMYFUNCTION("""COMPUTED_VALUE"""),"gada kelanjutan")</f>
        <v>gada kelanjutan</v>
      </c>
      <c r="L524" s="76"/>
      <c r="M524" s="20"/>
      <c r="N524" s="20"/>
      <c r="O524" s="20"/>
      <c r="P524" s="20"/>
    </row>
    <row r="525">
      <c r="A525" s="110">
        <f>IFERROR(__xludf.DUMMYFUNCTION("""COMPUTED_VALUE"""),46171.0)</f>
        <v>46171</v>
      </c>
      <c r="B525" s="110" t="str">
        <f>IFERROR(__xludf.DUMMYFUNCTION("""COMPUTED_VALUE"""),"2605A181")</f>
        <v>2605A181</v>
      </c>
      <c r="C525" s="49" t="str">
        <f>IFERROR(__xludf.DUMMYFUNCTION("""COMPUTED_VALUE"""),"Dewa")</f>
        <v>Dewa</v>
      </c>
      <c r="D525" s="102" t="str">
        <f>IFERROR(__xludf.DUMMYFUNCTION("""COMPUTED_VALUE"""),"08133953708")</f>
        <v>08133953708</v>
      </c>
      <c r="E525" s="25" t="str">
        <f>IFERROR(__xludf.DUMMYFUNCTION("""COMPUTED_VALUE"""),"Instagram")</f>
        <v>Instagram</v>
      </c>
      <c r="F525" s="25" t="str">
        <f>IFERROR(__xludf.DUMMYFUNCTION("""COMPUTED_VALUE"""),"Gagal")</f>
        <v>Gagal</v>
      </c>
      <c r="G525" s="25" t="str">
        <f>IFERROR(__xludf.DUMMYFUNCTION("""COMPUTED_VALUE"""),"mt")</f>
        <v>mt</v>
      </c>
      <c r="H525" s="78">
        <f>IFERROR(__xludf.DUMMYFUNCTION("""COMPUTED_VALUE"""),46173.0)</f>
        <v>46173</v>
      </c>
      <c r="I525" s="89"/>
      <c r="J525" s="96"/>
      <c r="K525" s="30" t="str">
        <f>IFERROR(__xludf.DUMMYFUNCTION("""COMPUTED_VALUE"""),"fullbooked")</f>
        <v>fullbooked</v>
      </c>
      <c r="L525" s="49"/>
      <c r="M525" s="20"/>
      <c r="N525" s="20"/>
      <c r="O525" s="20"/>
      <c r="P525" s="20"/>
    </row>
    <row r="526">
      <c r="A526" s="97">
        <f>IFERROR(__xludf.DUMMYFUNCTION("""COMPUTED_VALUE"""),46172.0)</f>
        <v>46172</v>
      </c>
      <c r="B526" s="97" t="str">
        <f>IFERROR(__xludf.DUMMYFUNCTION("""COMPUTED_VALUE"""),"2605A182")</f>
        <v>2605A182</v>
      </c>
      <c r="C526" s="76" t="str">
        <f>IFERROR(__xludf.DUMMYFUNCTION("""COMPUTED_VALUE"""),"Tio Martha")</f>
        <v>Tio Martha</v>
      </c>
      <c r="D526" s="99" t="str">
        <f>IFERROR(__xludf.DUMMYFUNCTION("""COMPUTED_VALUE"""),"081398976079")</f>
        <v>081398976079</v>
      </c>
      <c r="E526" s="25" t="str">
        <f>IFERROR(__xludf.DUMMYFUNCTION("""COMPUTED_VALUE"""),"Instagram")</f>
        <v>Instagram</v>
      </c>
      <c r="F526" s="25" t="str">
        <f>IFERROR(__xludf.DUMMYFUNCTION("""COMPUTED_VALUE"""),"Qualified")</f>
        <v>Qualified</v>
      </c>
      <c r="G526" s="25" t="str">
        <f>IFERROR(__xludf.DUMMYFUNCTION("""COMPUTED_VALUE"""),"3h2m a")</f>
        <v>3h2m a</v>
      </c>
      <c r="H526" s="92">
        <f>IFERROR(__xludf.DUMMYFUNCTION("""COMPUTED_VALUE"""),46256.0)</f>
        <v>46256</v>
      </c>
      <c r="I526" s="80">
        <f>IFERROR(__xludf.DUMMYFUNCTION("""COMPUTED_VALUE"""),6.0)</f>
        <v>6</v>
      </c>
      <c r="J526" s="93"/>
      <c r="K526" s="46" t="str">
        <f>IFERROR(__xludf.DUMMYFUNCTION("""COMPUTED_VALUE"""),"buat penawaran 31 mei")</f>
        <v>buat penawaran 31 mei</v>
      </c>
      <c r="L526" s="76"/>
      <c r="M526" s="20"/>
      <c r="N526" s="20"/>
      <c r="O526" s="20"/>
      <c r="P526" s="20"/>
    </row>
    <row r="527">
      <c r="A527" s="110">
        <f>IFERROR(__xludf.DUMMYFUNCTION("""COMPUTED_VALUE"""),46159.0)</f>
        <v>46159</v>
      </c>
      <c r="B527" s="110" t="str">
        <f>IFERROR(__xludf.DUMMYFUNCTION("""COMPUTED_VALUE"""),"2605A183")</f>
        <v>2605A183</v>
      </c>
      <c r="C527" s="49" t="str">
        <f>IFERROR(__xludf.DUMMYFUNCTION("""COMPUTED_VALUE"""),"Rudi PS")</f>
        <v>Rudi PS</v>
      </c>
      <c r="D527" s="102" t="str">
        <f>IFERROR(__xludf.DUMMYFUNCTION("""COMPUTED_VALUE"""),"085742850411")</f>
        <v>085742850411</v>
      </c>
      <c r="E527" s="25" t="str">
        <f>IFERROR(__xludf.DUMMYFUNCTION("""COMPUTED_VALUE"""),"Website")</f>
        <v>Website</v>
      </c>
      <c r="F527" s="25" t="str">
        <f>IFERROR(__xludf.DUMMYFUNCTION("""COMPUTED_VALUE"""),"Closing")</f>
        <v>Closing</v>
      </c>
      <c r="G527" s="25" t="str">
        <f>IFERROR(__xludf.DUMMYFUNCTION("""COMPUTED_VALUE"""),"3h2m a + Kawah Wurung")</f>
        <v>3h2m a + Kawah Wurung</v>
      </c>
      <c r="H527" s="26"/>
      <c r="I527" s="27">
        <f>IFERROR(__xludf.DUMMYFUNCTION("""COMPUTED_VALUE"""),2.0)</f>
        <v>2</v>
      </c>
      <c r="J527" s="33">
        <f>IFERROR(__xludf.DUMMYFUNCTION("""COMPUTED_VALUE"""),650000.0)</f>
        <v>650000</v>
      </c>
      <c r="K527" s="30" t="str">
        <f>IFERROR(__xludf.DUMMYFUNCTION("""COMPUTED_VALUE"""),"alhamdulillah")</f>
        <v>alhamdulillah</v>
      </c>
      <c r="L527" s="49"/>
      <c r="M527" s="20"/>
      <c r="N527" s="20"/>
      <c r="O527" s="20"/>
      <c r="P527" s="20"/>
    </row>
    <row r="528">
      <c r="A528" s="97">
        <f>IFERROR(__xludf.DUMMYFUNCTION("""COMPUTED_VALUE"""),46172.0)</f>
        <v>46172</v>
      </c>
      <c r="B528" s="97" t="str">
        <f>IFERROR(__xludf.DUMMYFUNCTION("""COMPUTED_VALUE"""),"2605A184")</f>
        <v>2605A184</v>
      </c>
      <c r="C528" s="76" t="str">
        <f>IFERROR(__xludf.DUMMYFUNCTION("""COMPUTED_VALUE"""),"Toto Sugiarto")</f>
        <v>Toto Sugiarto</v>
      </c>
      <c r="D528" s="99" t="str">
        <f>IFERROR(__xludf.DUMMYFUNCTION("""COMPUTED_VALUE"""),"08122338006")</f>
        <v>08122338006</v>
      </c>
      <c r="E528" s="25" t="str">
        <f>IFERROR(__xludf.DUMMYFUNCTION("""COMPUTED_VALUE"""),"Website")</f>
        <v>Website</v>
      </c>
      <c r="F528" s="25" t="str">
        <f>IFERROR(__xludf.DUMMYFUNCTION("""COMPUTED_VALUE"""),"Closing")</f>
        <v>Closing</v>
      </c>
      <c r="G528" s="25" t="str">
        <f>IFERROR(__xludf.DUMMYFUNCTION("""COMPUTED_VALUE"""),"3h2m opsi b")</f>
        <v>3h2m opsi b</v>
      </c>
      <c r="H528" s="92"/>
      <c r="I528" s="80">
        <f>IFERROR(__xludf.DUMMYFUNCTION("""COMPUTED_VALUE"""),2.0)</f>
        <v>2</v>
      </c>
      <c r="J528" s="129">
        <f>IFERROR(__xludf.DUMMYFUNCTION("""COMPUTED_VALUE"""),4720000.0)</f>
        <v>4720000</v>
      </c>
      <c r="K528" s="46" t="str">
        <f>IFERROR(__xludf.DUMMYFUNCTION("""COMPUTED_VALUE"""),"closing")</f>
        <v>closing</v>
      </c>
      <c r="L528" s="76"/>
      <c r="M528" s="20"/>
      <c r="N528" s="20"/>
      <c r="O528" s="20"/>
      <c r="P528" s="20"/>
    </row>
    <row r="529">
      <c r="A529" s="110">
        <f>IFERROR(__xludf.DUMMYFUNCTION("""COMPUTED_VALUE"""),46173.0)</f>
        <v>46173</v>
      </c>
      <c r="B529" s="110" t="str">
        <f>IFERROR(__xludf.DUMMYFUNCTION("""COMPUTED_VALUE"""),"2605A185")</f>
        <v>2605A185</v>
      </c>
      <c r="C529" s="49" t="str">
        <f>IFERROR(__xludf.DUMMYFUNCTION("""COMPUTED_VALUE"""),"Atik Haidar Hernawan")</f>
        <v>Atik Haidar Hernawan</v>
      </c>
      <c r="D529" s="102" t="str">
        <f>IFERROR(__xludf.DUMMYFUNCTION("""COMPUTED_VALUE"""),"085335015678")</f>
        <v>085335015678</v>
      </c>
      <c r="E529" s="25" t="str">
        <f>IFERROR(__xludf.DUMMYFUNCTION("""COMPUTED_VALUE"""),"Lainnya")</f>
        <v>Lainnya</v>
      </c>
      <c r="F529" s="25" t="str">
        <f>IFERROR(__xludf.DUMMYFUNCTION("""COMPUTED_VALUE"""),"Qualified")</f>
        <v>Qualified</v>
      </c>
      <c r="G529" s="25" t="str">
        <f>IFERROR(__xludf.DUMMYFUNCTION("""COMPUTED_VALUE"""),"3h2m")</f>
        <v>3h2m</v>
      </c>
      <c r="H529" s="78"/>
      <c r="I529" s="89">
        <f>IFERROR(__xludf.DUMMYFUNCTION("""COMPUTED_VALUE"""),3.0)</f>
        <v>3</v>
      </c>
      <c r="J529" s="96"/>
      <c r="K529" s="36" t="str">
        <f>IFERROR(__xludf.DUMMYFUNCTION("""COMPUTED_VALUE"""),"fu 20 juni")</f>
        <v>fu 20 juni</v>
      </c>
      <c r="L529" s="49"/>
      <c r="M529" s="20"/>
      <c r="N529" s="20"/>
      <c r="O529" s="20"/>
      <c r="P529" s="20"/>
    </row>
    <row r="530">
      <c r="A530" s="97">
        <f>IFERROR(__xludf.DUMMYFUNCTION("""COMPUTED_VALUE"""),46171.0)</f>
        <v>46171</v>
      </c>
      <c r="B530" s="97" t="str">
        <f>IFERROR(__xludf.DUMMYFUNCTION("""COMPUTED_VALUE"""),"2605A186")</f>
        <v>2605A186</v>
      </c>
      <c r="C530" s="76" t="str">
        <f>IFERROR(__xludf.DUMMYFUNCTION("""COMPUTED_VALUE"""),"Nadiacinta")</f>
        <v>Nadiacinta</v>
      </c>
      <c r="D530" s="99" t="str">
        <f>IFERROR(__xludf.DUMMYFUNCTION("""COMPUTED_VALUE"""),"089668201047")</f>
        <v>089668201047</v>
      </c>
      <c r="E530" s="25" t="str">
        <f>IFERROR(__xludf.DUMMYFUNCTION("""COMPUTED_VALUE"""),"Instagram")</f>
        <v>Instagram</v>
      </c>
      <c r="F530" s="25" t="str">
        <f>IFERROR(__xludf.DUMMYFUNCTION("""COMPUTED_VALUE"""),"Gagal")</f>
        <v>Gagal</v>
      </c>
      <c r="G530" s="25" t="str">
        <f>IFERROR(__xludf.DUMMYFUNCTION("""COMPUTED_VALUE"""),"2h1m")</f>
        <v>2h1m</v>
      </c>
      <c r="H530" s="92"/>
      <c r="I530" s="80">
        <f>IFERROR(__xludf.DUMMYFUNCTION("""COMPUTED_VALUE"""),7.0)</f>
        <v>7</v>
      </c>
      <c r="J530" s="93">
        <f>IFERROR(__xludf.DUMMYFUNCTION("""COMPUTED_VALUE"""),7595000.0)</f>
        <v>7595000</v>
      </c>
      <c r="K530" s="46"/>
      <c r="L530" s="76"/>
      <c r="M530" s="20"/>
      <c r="N530" s="20"/>
      <c r="O530" s="20"/>
      <c r="P530" s="20"/>
    </row>
    <row r="531">
      <c r="A531" s="110">
        <f>IFERROR(__xludf.DUMMYFUNCTION("""COMPUTED_VALUE"""),46172.0)</f>
        <v>46172</v>
      </c>
      <c r="B531" s="110" t="str">
        <f>IFERROR(__xludf.DUMMYFUNCTION("""COMPUTED_VALUE"""),"2605A187")</f>
        <v>2605A187</v>
      </c>
      <c r="C531" s="49" t="str">
        <f>IFERROR(__xludf.DUMMYFUNCTION("""COMPUTED_VALUE"""),"propertybanten")</f>
        <v>propertybanten</v>
      </c>
      <c r="D531" s="102" t="str">
        <f>IFERROR(__xludf.DUMMYFUNCTION("""COMPUTED_VALUE"""),"081219111164")</f>
        <v>081219111164</v>
      </c>
      <c r="E531" s="25" t="str">
        <f>IFERROR(__xludf.DUMMYFUNCTION("""COMPUTED_VALUE"""),"Website")</f>
        <v>Website</v>
      </c>
      <c r="F531" s="25" t="str">
        <f>IFERROR(__xludf.DUMMYFUNCTION("""COMPUTED_VALUE"""),"Gagal")</f>
        <v>Gagal</v>
      </c>
      <c r="G531" s="25"/>
      <c r="H531" s="78"/>
      <c r="I531" s="89"/>
      <c r="J531" s="96"/>
      <c r="K531" s="30" t="str">
        <f>IFERROR(__xludf.DUMMYFUNCTION("""COMPUTED_VALUE"""),"hanya menyapa")</f>
        <v>hanya menyapa</v>
      </c>
      <c r="L531" s="49"/>
      <c r="M531" s="20"/>
      <c r="N531" s="20"/>
      <c r="O531" s="20"/>
      <c r="P531" s="20"/>
    </row>
    <row r="532">
      <c r="A532" s="97">
        <f>IFERROR(__xludf.DUMMYFUNCTION("""COMPUTED_VALUE"""),46172.0)</f>
        <v>46172</v>
      </c>
      <c r="B532" s="97" t="str">
        <f>IFERROR(__xludf.DUMMYFUNCTION("""COMPUTED_VALUE"""),"2605A188")</f>
        <v>2605A188</v>
      </c>
      <c r="C532" s="76" t="str">
        <f>IFERROR(__xludf.DUMMYFUNCTION("""COMPUTED_VALUE"""),"Dian Mawar")</f>
        <v>Dian Mawar</v>
      </c>
      <c r="D532" s="99" t="str">
        <f>IFERROR(__xludf.DUMMYFUNCTION("""COMPUTED_VALUE"""),"085230866967")</f>
        <v>085230866967</v>
      </c>
      <c r="E532" s="25" t="str">
        <f>IFERROR(__xludf.DUMMYFUNCTION("""COMPUTED_VALUE"""),"Instagram")</f>
        <v>Instagram</v>
      </c>
      <c r="F532" s="25" t="str">
        <f>IFERROR(__xludf.DUMMYFUNCTION("""COMPUTED_VALUE"""),"Gagal")</f>
        <v>Gagal</v>
      </c>
      <c r="G532" s="25"/>
      <c r="H532" s="92"/>
      <c r="I532" s="80"/>
      <c r="J532" s="93"/>
      <c r="K532" s="19" t="str">
        <f>IFERROR(__xludf.DUMMYFUNCTION("""COMPUTED_VALUE"""),"hanya menyapa")</f>
        <v>hanya menyapa</v>
      </c>
      <c r="L532" s="10"/>
      <c r="M532" s="20"/>
      <c r="N532" s="20"/>
      <c r="O532" s="20"/>
      <c r="P532" s="20"/>
    </row>
    <row r="533">
      <c r="A533" s="110">
        <f>IFERROR(__xludf.DUMMYFUNCTION("""COMPUTED_VALUE"""),46171.0)</f>
        <v>46171</v>
      </c>
      <c r="B533" s="110" t="str">
        <f>IFERROR(__xludf.DUMMYFUNCTION("""COMPUTED_VALUE"""),"2605A189")</f>
        <v>2605A189</v>
      </c>
      <c r="C533" s="49" t="str">
        <f>IFERROR(__xludf.DUMMYFUNCTION("""COMPUTED_VALUE"""),"Alfina Fara")</f>
        <v>Alfina Fara</v>
      </c>
      <c r="D533" s="102" t="str">
        <f>IFERROR(__xludf.DUMMYFUNCTION("""COMPUTED_VALUE"""),"087834432980")</f>
        <v>087834432980</v>
      </c>
      <c r="E533" s="25" t="str">
        <f>IFERROR(__xludf.DUMMYFUNCTION("""COMPUTED_VALUE"""),"Instagram")</f>
        <v>Instagram</v>
      </c>
      <c r="F533" s="25" t="str">
        <f>IFERROR(__xludf.DUMMYFUNCTION("""COMPUTED_VALUE"""),"Gagal")</f>
        <v>Gagal</v>
      </c>
      <c r="G533" s="25" t="str">
        <f>IFERROR(__xludf.DUMMYFUNCTION("""COMPUTED_VALUE"""),"1d")</f>
        <v>1d</v>
      </c>
      <c r="H533" s="26">
        <f>IFERROR(__xludf.DUMMYFUNCTION("""COMPUTED_VALUE"""),46184.0)</f>
        <v>46184</v>
      </c>
      <c r="I533" s="27">
        <f>IFERROR(__xludf.DUMMYFUNCTION("""COMPUTED_VALUE"""),80.0)</f>
        <v>80</v>
      </c>
      <c r="J533" s="33">
        <f>IFERROR(__xludf.DUMMYFUNCTION("""COMPUTED_VALUE"""),6.24E7)</f>
        <v>62400000</v>
      </c>
      <c r="K533" s="30" t="str">
        <f>IFERROR(__xludf.DUMMYFUNCTION("""COMPUTED_VALUE"""),"gada balasan")</f>
        <v>gada balasan</v>
      </c>
      <c r="L533" s="49"/>
      <c r="M533" s="20"/>
      <c r="N533" s="20"/>
      <c r="O533" s="20"/>
      <c r="P533" s="20"/>
    </row>
    <row r="534">
      <c r="A534" s="97">
        <f>IFERROR(__xludf.DUMMYFUNCTION("""COMPUTED_VALUE"""),46172.0)</f>
        <v>46172</v>
      </c>
      <c r="B534" s="97" t="str">
        <f>IFERROR(__xludf.DUMMYFUNCTION("""COMPUTED_VALUE"""),"2605A190")</f>
        <v>2605A190</v>
      </c>
      <c r="C534" s="76" t="str">
        <f>IFERROR(__xludf.DUMMYFUNCTION("""COMPUTED_VALUE"""),"Siti Zahra")</f>
        <v>Siti Zahra</v>
      </c>
      <c r="D534" s="99" t="str">
        <f>IFERROR(__xludf.DUMMYFUNCTION("""COMPUTED_VALUE"""),"081293799918")</f>
        <v>081293799918</v>
      </c>
      <c r="E534" s="25" t="str">
        <f>IFERROR(__xludf.DUMMYFUNCTION("""COMPUTED_VALUE"""),"Instagram")</f>
        <v>Instagram</v>
      </c>
      <c r="F534" s="25" t="str">
        <f>IFERROR(__xludf.DUMMYFUNCTION("""COMPUTED_VALUE"""),"Gagal")</f>
        <v>Gagal</v>
      </c>
      <c r="G534" s="25" t="str">
        <f>IFERROR(__xludf.DUMMYFUNCTION("""COMPUTED_VALUE"""),"3h2m a")</f>
        <v>3h2m a</v>
      </c>
      <c r="H534" s="92"/>
      <c r="I534" s="80"/>
      <c r="J534" s="93"/>
      <c r="K534" s="46" t="str">
        <f>IFERROR(__xludf.DUMMYFUNCTION("""COMPUTED_VALUE"""),"gada balasan")</f>
        <v>gada balasan</v>
      </c>
      <c r="L534" s="76"/>
      <c r="M534" s="20"/>
      <c r="N534" s="20"/>
      <c r="O534" s="20"/>
      <c r="P534" s="20"/>
    </row>
    <row r="535">
      <c r="A535" s="110">
        <f>IFERROR(__xludf.DUMMYFUNCTION("""COMPUTED_VALUE"""),46172.0)</f>
        <v>46172</v>
      </c>
      <c r="B535" s="110" t="str">
        <f>IFERROR(__xludf.DUMMYFUNCTION("""COMPUTED_VALUE"""),"2605A191")</f>
        <v>2605A191</v>
      </c>
      <c r="C535" s="49" t="str">
        <f>IFERROR(__xludf.DUMMYFUNCTION("""COMPUTED_VALUE"""),"Rob")</f>
        <v>Rob</v>
      </c>
      <c r="D535" s="102" t="str">
        <f>IFERROR(__xludf.DUMMYFUNCTION("""COMPUTED_VALUE"""),"4915150428553")</f>
        <v>4915150428553</v>
      </c>
      <c r="E535" s="25" t="str">
        <f>IFERROR(__xludf.DUMMYFUNCTION("""COMPUTED_VALUE"""),"Lainnya")</f>
        <v>Lainnya</v>
      </c>
      <c r="F535" s="25" t="str">
        <f>IFERROR(__xludf.DUMMYFUNCTION("""COMPUTED_VALUE"""),"Gagal")</f>
        <v>Gagal</v>
      </c>
      <c r="G535" s="25" t="str">
        <f>IFERROR(__xludf.DUMMYFUNCTION("""COMPUTED_VALUE"""),"kopi kemiren")</f>
        <v>kopi kemiren</v>
      </c>
      <c r="H535" s="78"/>
      <c r="I535" s="89">
        <f>IFERROR(__xludf.DUMMYFUNCTION("""COMPUTED_VALUE"""),1.0)</f>
        <v>1</v>
      </c>
      <c r="J535" s="96"/>
      <c r="K535" s="30" t="str">
        <f>IFERROR(__xludf.DUMMYFUNCTION("""COMPUTED_VALUE"""),"minimal 2 orang. gagal")</f>
        <v>minimal 2 orang. gagal</v>
      </c>
      <c r="L535" s="76"/>
      <c r="M535" s="20"/>
      <c r="N535" s="20"/>
      <c r="O535" s="20"/>
      <c r="P535" s="20"/>
    </row>
    <row r="536">
      <c r="A536" s="97">
        <f>IFERROR(__xludf.DUMMYFUNCTION("""COMPUTED_VALUE"""),46172.0)</f>
        <v>46172</v>
      </c>
      <c r="B536" s="97" t="str">
        <f>IFERROR(__xludf.DUMMYFUNCTION("""COMPUTED_VALUE"""),"2605A192")</f>
        <v>2605A192</v>
      </c>
      <c r="C536" s="76" t="str">
        <f>IFERROR(__xludf.DUMMYFUNCTION("""COMPUTED_VALUE"""),".")</f>
        <v>.</v>
      </c>
      <c r="D536" s="99" t="str">
        <f>IFERROR(__xludf.DUMMYFUNCTION("""COMPUTED_VALUE"""),"085930419048")</f>
        <v>085930419048</v>
      </c>
      <c r="E536" s="25" t="str">
        <f>IFERROR(__xludf.DUMMYFUNCTION("""COMPUTED_VALUE"""),"Instagram")</f>
        <v>Instagram</v>
      </c>
      <c r="F536" s="25" t="str">
        <f>IFERROR(__xludf.DUMMYFUNCTION("""COMPUTED_VALUE"""),"Gagal")</f>
        <v>Gagal</v>
      </c>
      <c r="G536" s="25" t="str">
        <f>IFERROR(__xludf.DUMMYFUNCTION("""COMPUTED_VALUE"""),"scuba dive")</f>
        <v>scuba dive</v>
      </c>
      <c r="H536" s="16"/>
      <c r="I536" s="17">
        <f>IFERROR(__xludf.DUMMYFUNCTION("""COMPUTED_VALUE"""),1.0)</f>
        <v>1</v>
      </c>
      <c r="J536" s="93"/>
      <c r="K536" s="46" t="str">
        <f>IFERROR(__xludf.DUMMYFUNCTION("""COMPUTED_VALUE"""),"belum ada jawaban")</f>
        <v>belum ada jawaban</v>
      </c>
      <c r="L536" s="76"/>
      <c r="M536" s="20"/>
      <c r="N536" s="20"/>
      <c r="O536" s="20"/>
      <c r="P536" s="20"/>
    </row>
    <row r="537">
      <c r="A537" s="110">
        <f>IFERROR(__xludf.DUMMYFUNCTION("""COMPUTED_VALUE"""),46173.0)</f>
        <v>46173</v>
      </c>
      <c r="B537" s="110" t="str">
        <f>IFERROR(__xludf.DUMMYFUNCTION("""COMPUTED_VALUE"""),"2605A193")</f>
        <v>2605A193</v>
      </c>
      <c r="C537" s="49" t="str">
        <f>IFERROR(__xludf.DUMMYFUNCTION("""COMPUTED_VALUE"""),"Ratih Afrida")</f>
        <v>Ratih Afrida</v>
      </c>
      <c r="D537" s="102" t="str">
        <f>IFERROR(__xludf.DUMMYFUNCTION("""COMPUTED_VALUE"""),"082329524902")</f>
        <v>082329524902</v>
      </c>
      <c r="E537" s="25" t="str">
        <f>IFERROR(__xludf.DUMMYFUNCTION("""COMPUTED_VALUE"""),"Tiktok")</f>
        <v>Tiktok</v>
      </c>
      <c r="F537" s="25" t="str">
        <f>IFERROR(__xludf.DUMMYFUNCTION("""COMPUTED_VALUE"""),"Gagal")</f>
        <v>Gagal</v>
      </c>
      <c r="G537" s="25" t="str">
        <f>IFERROR(__xludf.DUMMYFUNCTION("""COMPUTED_VALUE"""),"4h3m")</f>
        <v>4h3m</v>
      </c>
      <c r="H537" s="26"/>
      <c r="I537" s="89">
        <f>IFERROR(__xludf.DUMMYFUNCTION("""COMPUTED_VALUE"""),1.0)</f>
        <v>1</v>
      </c>
      <c r="J537" s="33"/>
      <c r="K537" s="30" t="str">
        <f>IFERROR(__xludf.DUMMYFUNCTION("""COMPUTED_VALUE"""),"gada balasan")</f>
        <v>gada balasan</v>
      </c>
      <c r="L537" s="49"/>
      <c r="M537" s="20"/>
      <c r="N537" s="20"/>
      <c r="O537" s="20"/>
      <c r="P537" s="20"/>
    </row>
    <row r="538">
      <c r="A538" s="97">
        <f>IFERROR(__xludf.DUMMYFUNCTION("""COMPUTED_VALUE"""),46173.0)</f>
        <v>46173</v>
      </c>
      <c r="B538" s="97" t="str">
        <f>IFERROR(__xludf.DUMMYFUNCTION("""COMPUTED_VALUE"""),"2605A194")</f>
        <v>2605A194</v>
      </c>
      <c r="C538" s="76" t="str">
        <f>IFERROR(__xludf.DUMMYFUNCTION("""COMPUTED_VALUE"""),"Filia Harumi")</f>
        <v>Filia Harumi</v>
      </c>
      <c r="D538" s="99" t="str">
        <f>IFERROR(__xludf.DUMMYFUNCTION("""COMPUTED_VALUE"""),"082336440688")</f>
        <v>082336440688</v>
      </c>
      <c r="E538" s="25" t="str">
        <f>IFERROR(__xludf.DUMMYFUNCTION("""COMPUTED_VALUE"""),"Website")</f>
        <v>Website</v>
      </c>
      <c r="F538" s="25" t="str">
        <f>IFERROR(__xludf.DUMMYFUNCTION("""COMPUTED_VALUE"""),"Gagal")</f>
        <v>Gagal</v>
      </c>
      <c r="G538" s="25" t="str">
        <f>IFERROR(__xludf.DUMMYFUNCTION("""COMPUTED_VALUE"""),"2h1m")</f>
        <v>2h1m</v>
      </c>
      <c r="H538" s="92"/>
      <c r="I538" s="80">
        <f>IFERROR(__xludf.DUMMYFUNCTION("""COMPUTED_VALUE"""),7.0)</f>
        <v>7</v>
      </c>
      <c r="J538" s="93"/>
      <c r="K538" s="46" t="str">
        <f>IFERROR(__xludf.DUMMYFUNCTION("""COMPUTED_VALUE"""),"gada balasan")</f>
        <v>gada balasan</v>
      </c>
      <c r="L538" s="76"/>
      <c r="M538" s="20"/>
      <c r="N538" s="20"/>
      <c r="O538" s="20"/>
      <c r="P538" s="20"/>
    </row>
    <row r="539">
      <c r="A539" s="110">
        <f>IFERROR(__xludf.DUMMYFUNCTION("""COMPUTED_VALUE"""),46173.0)</f>
        <v>46173</v>
      </c>
      <c r="B539" s="110" t="str">
        <f>IFERROR(__xludf.DUMMYFUNCTION("""COMPUTED_VALUE"""),"2605A195")</f>
        <v>2605A195</v>
      </c>
      <c r="C539" s="49" t="str">
        <f>IFERROR(__xludf.DUMMYFUNCTION("""COMPUTED_VALUE"""),"Tesa")</f>
        <v>Tesa</v>
      </c>
      <c r="D539" s="102" t="str">
        <f>IFERROR(__xludf.DUMMYFUNCTION("""COMPUTED_VALUE"""),"082131231542")</f>
        <v>082131231542</v>
      </c>
      <c r="E539" s="25" t="str">
        <f>IFERROR(__xludf.DUMMYFUNCTION("""COMPUTED_VALUE"""),"Website")</f>
        <v>Website</v>
      </c>
      <c r="F539" s="25" t="str">
        <f>IFERROR(__xludf.DUMMYFUNCTION("""COMPUTED_VALUE"""),"Gagal")</f>
        <v>Gagal</v>
      </c>
      <c r="G539" s="25" t="str">
        <f>IFERROR(__xludf.DUMMYFUNCTION("""COMPUTED_VALUE"""),"djawatan baluran")</f>
        <v>djawatan baluran</v>
      </c>
      <c r="H539" s="78">
        <f>IFERROR(__xludf.DUMMYFUNCTION("""COMPUTED_VALUE"""),46174.0)</f>
        <v>46174</v>
      </c>
      <c r="I539" s="89"/>
      <c r="J539" s="96"/>
      <c r="K539" s="36" t="str">
        <f>IFERROR(__xludf.DUMMYFUNCTION("""COMPUTED_VALUE"""),"tidak ada jawaban")</f>
        <v>tidak ada jawaban</v>
      </c>
      <c r="L539" s="49"/>
      <c r="M539" s="20"/>
      <c r="N539" s="20"/>
      <c r="O539" s="20"/>
      <c r="P539" s="20"/>
    </row>
    <row r="540">
      <c r="A540" s="97">
        <f>IFERROR(__xludf.DUMMYFUNCTION("""COMPUTED_VALUE"""),46173.0)</f>
        <v>46173</v>
      </c>
      <c r="B540" s="97" t="str">
        <f>IFERROR(__xludf.DUMMYFUNCTION("""COMPUTED_VALUE"""),"2605A196")</f>
        <v>2605A196</v>
      </c>
      <c r="C540" s="76" t="str">
        <f>IFERROR(__xludf.DUMMYFUNCTION("""COMPUTED_VALUE"""),"faisal Novianto")</f>
        <v>faisal Novianto</v>
      </c>
      <c r="D540" s="99" t="str">
        <f>IFERROR(__xludf.DUMMYFUNCTION("""COMPUTED_VALUE"""),"085887393710")</f>
        <v>085887393710</v>
      </c>
      <c r="E540" s="25" t="str">
        <f>IFERROR(__xludf.DUMMYFUNCTION("""COMPUTED_VALUE"""),"Instagram")</f>
        <v>Instagram</v>
      </c>
      <c r="F540" s="25" t="str">
        <f>IFERROR(__xludf.DUMMYFUNCTION("""COMPUTED_VALUE"""),"Gagal")</f>
        <v>Gagal</v>
      </c>
      <c r="G540" s="25" t="str">
        <f>IFERROR(__xludf.DUMMYFUNCTION("""COMPUTED_VALUE"""),"ot menjangan tabuhan")</f>
        <v>ot menjangan tabuhan</v>
      </c>
      <c r="H540" s="92">
        <f>IFERROR(__xludf.DUMMYFUNCTION("""COMPUTED_VALUE"""),46202.0)</f>
        <v>46202</v>
      </c>
      <c r="I540" s="80">
        <f>IFERROR(__xludf.DUMMYFUNCTION("""COMPUTED_VALUE"""),1.0)</f>
        <v>1</v>
      </c>
      <c r="J540" s="129">
        <f>IFERROR(__xludf.DUMMYFUNCTION("""COMPUTED_VALUE"""),400000.0)</f>
        <v>400000</v>
      </c>
      <c r="K540" s="19" t="str">
        <f>IFERROR(__xludf.DUMMYFUNCTION("""COMPUTED_VALUE"""),"gada kelanjutan")</f>
        <v>gada kelanjutan</v>
      </c>
      <c r="L540" s="76"/>
      <c r="M540" s="20"/>
      <c r="N540" s="20"/>
      <c r="O540" s="20"/>
      <c r="P540" s="20"/>
    </row>
    <row r="541">
      <c r="A541" s="110">
        <f>IFERROR(__xludf.DUMMYFUNCTION("""COMPUTED_VALUE"""),46174.0)</f>
        <v>46174</v>
      </c>
      <c r="B541" s="110" t="str">
        <f>IFERROR(__xludf.DUMMYFUNCTION("""COMPUTED_VALUE"""),"2606A001")</f>
        <v>2606A001</v>
      </c>
      <c r="C541" s="49" t="str">
        <f>IFERROR(__xludf.DUMMYFUNCTION("""COMPUTED_VALUE"""),"Abdi/neneng")</f>
        <v>Abdi/neneng</v>
      </c>
      <c r="D541" s="102" t="str">
        <f>IFERROR(__xludf.DUMMYFUNCTION("""COMPUTED_VALUE"""),"082348709609")</f>
        <v>082348709609</v>
      </c>
      <c r="E541" s="25" t="str">
        <f>IFERROR(__xludf.DUMMYFUNCTION("""COMPUTED_VALUE"""),"Rekomendasi")</f>
        <v>Rekomendasi</v>
      </c>
      <c r="F541" s="25" t="str">
        <f>IFERROR(__xludf.DUMMYFUNCTION("""COMPUTED_VALUE"""),"Closing")</f>
        <v>Closing</v>
      </c>
      <c r="G541" s="25" t="str">
        <f>IFERROR(__xludf.DUMMYFUNCTION("""COMPUTED_VALUE"""),"ot menjangan tabuhan")</f>
        <v>ot menjangan tabuhan</v>
      </c>
      <c r="H541" s="26">
        <f>IFERROR(__xludf.DUMMYFUNCTION("""COMPUTED_VALUE"""),46174.0)</f>
        <v>46174</v>
      </c>
      <c r="I541" s="27">
        <f>IFERROR(__xludf.DUMMYFUNCTION("""COMPUTED_VALUE"""),3.0)</f>
        <v>3</v>
      </c>
      <c r="J541" s="96">
        <f>IFERROR(__xludf.DUMMYFUNCTION("""COMPUTED_VALUE"""),825000.0)</f>
        <v>825000</v>
      </c>
      <c r="K541" s="30" t="str">
        <f>IFERROR(__xludf.DUMMYFUNCTION("""COMPUTED_VALUE"""),"alhamdulillah order")</f>
        <v>alhamdulillah order</v>
      </c>
      <c r="L541" s="49"/>
      <c r="M541" s="20"/>
      <c r="N541" s="20"/>
      <c r="O541" s="20"/>
      <c r="P541" s="20"/>
    </row>
    <row r="542">
      <c r="A542" s="97">
        <f>IFERROR(__xludf.DUMMYFUNCTION("""COMPUTED_VALUE"""),46173.0)</f>
        <v>46173</v>
      </c>
      <c r="B542" s="121" t="str">
        <f>IFERROR(__xludf.DUMMYFUNCTION("""COMPUTED_VALUE"""),"2605A197")</f>
        <v>2605A197</v>
      </c>
      <c r="C542" s="76" t="str">
        <f>IFERROR(__xludf.DUMMYFUNCTION("""COMPUTED_VALUE"""),"Hui")</f>
        <v>Hui</v>
      </c>
      <c r="D542" s="99" t="str">
        <f>IFERROR(__xludf.DUMMYFUNCTION("""COMPUTED_VALUE"""),"087771140857")</f>
        <v>087771140857</v>
      </c>
      <c r="E542" s="25" t="str">
        <f>IFERROR(__xludf.DUMMYFUNCTION("""COMPUTED_VALUE"""),"Website")</f>
        <v>Website</v>
      </c>
      <c r="F542" s="25" t="str">
        <f>IFERROR(__xludf.DUMMYFUNCTION("""COMPUTED_VALUE"""),"Closing")</f>
        <v>Closing</v>
      </c>
      <c r="G542" s="25" t="str">
        <f>IFERROR(__xludf.DUMMYFUNCTION("""COMPUTED_VALUE"""),"ijen wurung")</f>
        <v>ijen wurung</v>
      </c>
      <c r="H542" s="92">
        <f>IFERROR(__xludf.DUMMYFUNCTION("""COMPUTED_VALUE"""),46186.0)</f>
        <v>46186</v>
      </c>
      <c r="I542" s="80">
        <f>IFERROR(__xludf.DUMMYFUNCTION("""COMPUTED_VALUE"""),4.0)</f>
        <v>4</v>
      </c>
      <c r="J542" s="93">
        <f>IFERROR(__xludf.DUMMYFUNCTION("""COMPUTED_VALUE"""),2040000.0)</f>
        <v>2040000</v>
      </c>
      <c r="K542" s="46" t="str">
        <f>IFERROR(__xludf.DUMMYFUNCTION("""COMPUTED_VALUE"""),"alhamdulillah order")</f>
        <v>alhamdulillah order</v>
      </c>
      <c r="L542" s="76"/>
      <c r="M542" s="20"/>
      <c r="N542" s="20"/>
      <c r="O542" s="20"/>
      <c r="P542" s="20"/>
    </row>
    <row r="543">
      <c r="A543" s="110">
        <f>IFERROR(__xludf.DUMMYFUNCTION("""COMPUTED_VALUE"""),46174.0)</f>
        <v>46174</v>
      </c>
      <c r="B543" s="110" t="str">
        <f>IFERROR(__xludf.DUMMYFUNCTION("""COMPUTED_VALUE"""),"2606A002")</f>
        <v>2606A002</v>
      </c>
      <c r="C543" s="49" t="str">
        <f>IFERROR(__xludf.DUMMYFUNCTION("""COMPUTED_VALUE"""),"Andin")</f>
        <v>Andin</v>
      </c>
      <c r="D543" s="102" t="str">
        <f>IFERROR(__xludf.DUMMYFUNCTION("""COMPUTED_VALUE"""),"08388605526")</f>
        <v>08388605526</v>
      </c>
      <c r="E543" s="25" t="str">
        <f>IFERROR(__xludf.DUMMYFUNCTION("""COMPUTED_VALUE"""),"Instagram")</f>
        <v>Instagram</v>
      </c>
      <c r="F543" s="25" t="str">
        <f>IFERROR(__xludf.DUMMYFUNCTION("""COMPUTED_VALUE"""),"Prospek")</f>
        <v>Prospek</v>
      </c>
      <c r="G543" s="25" t="str">
        <f>IFERROR(__xludf.DUMMYFUNCTION("""COMPUTED_VALUE"""),"3h2m opsi a")</f>
        <v>3h2m opsi a</v>
      </c>
      <c r="H543" s="78"/>
      <c r="I543" s="89">
        <f>IFERROR(__xludf.DUMMYFUNCTION("""COMPUTED_VALUE"""),2.0)</f>
        <v>2</v>
      </c>
      <c r="J543" s="96">
        <f>IFERROR(__xludf.DUMMYFUNCTION("""COMPUTED_VALUE"""),6128000.0)</f>
        <v>6128000</v>
      </c>
      <c r="K543" s="30" t="str">
        <f>IFERROR(__xludf.DUMMYFUNCTION("""COMPUTED_VALUE"""),"fu 6 agustus")</f>
        <v>fu 6 agustus</v>
      </c>
      <c r="L543" s="76"/>
      <c r="M543" s="20"/>
      <c r="N543" s="20"/>
      <c r="O543" s="20"/>
      <c r="P543" s="20"/>
    </row>
    <row r="544">
      <c r="A544" s="97">
        <f>IFERROR(__xludf.DUMMYFUNCTION("""COMPUTED_VALUE"""),46174.0)</f>
        <v>46174</v>
      </c>
      <c r="B544" s="97" t="str">
        <f>IFERROR(__xludf.DUMMYFUNCTION("""COMPUTED_VALUE"""),"2606A003")</f>
        <v>2606A003</v>
      </c>
      <c r="C544" s="76" t="str">
        <f>IFERROR(__xludf.DUMMYFUNCTION("""COMPUTED_VALUE"""),"Elly Winarni")</f>
        <v>Elly Winarni</v>
      </c>
      <c r="D544" s="99" t="str">
        <f>IFERROR(__xludf.DUMMYFUNCTION("""COMPUTED_VALUE"""),"082218000812")</f>
        <v>082218000812</v>
      </c>
      <c r="E544" s="25" t="str">
        <f>IFERROR(__xludf.DUMMYFUNCTION("""COMPUTED_VALUE"""),"Instagram")</f>
        <v>Instagram</v>
      </c>
      <c r="F544" s="25" t="str">
        <f>IFERROR(__xludf.DUMMYFUNCTION("""COMPUTED_VALUE"""),"Gagal")</f>
        <v>Gagal</v>
      </c>
      <c r="G544" s="25" t="str">
        <f>IFERROR(__xludf.DUMMYFUNCTION("""COMPUTED_VALUE"""),"green island")</f>
        <v>green island</v>
      </c>
      <c r="H544" s="92"/>
      <c r="I544" s="80"/>
      <c r="J544" s="93"/>
      <c r="K544" s="19" t="str">
        <f>IFERROR(__xludf.DUMMYFUNCTION("""COMPUTED_VALUE"""),"gada balasan")</f>
        <v>gada balasan</v>
      </c>
      <c r="L544" s="76"/>
      <c r="M544" s="20"/>
      <c r="N544" s="20"/>
      <c r="O544" s="20"/>
      <c r="P544" s="20"/>
    </row>
    <row r="545">
      <c r="A545" s="110">
        <f>IFERROR(__xludf.DUMMYFUNCTION("""COMPUTED_VALUE"""),46174.0)</f>
        <v>46174</v>
      </c>
      <c r="B545" s="110" t="str">
        <f>IFERROR(__xludf.DUMMYFUNCTION("""COMPUTED_VALUE"""),"2606A004")</f>
        <v>2606A004</v>
      </c>
      <c r="C545" s="49" t="str">
        <f>IFERROR(__xludf.DUMMYFUNCTION("""COMPUTED_VALUE"""),"Vidya")</f>
        <v>Vidya</v>
      </c>
      <c r="D545" s="102" t="str">
        <f>IFERROR(__xludf.DUMMYFUNCTION("""COMPUTED_VALUE"""),"081320972509")</f>
        <v>081320972509</v>
      </c>
      <c r="E545" s="25" t="str">
        <f>IFERROR(__xludf.DUMMYFUNCTION("""COMPUTED_VALUE"""),"Instagram")</f>
        <v>Instagram</v>
      </c>
      <c r="F545" s="25" t="str">
        <f>IFERROR(__xludf.DUMMYFUNCTION("""COMPUTED_VALUE"""),"Gagal")</f>
        <v>Gagal</v>
      </c>
      <c r="G545" s="25" t="str">
        <f>IFERROR(__xludf.DUMMYFUNCTION("""COMPUTED_VALUE"""),"ot mt")</f>
        <v>ot mt</v>
      </c>
      <c r="H545" s="78">
        <f>IFERROR(__xludf.DUMMYFUNCTION("""COMPUTED_VALUE"""),46192.0)</f>
        <v>46192</v>
      </c>
      <c r="I545" s="89"/>
      <c r="J545" s="96"/>
      <c r="K545" s="30"/>
      <c r="L545" s="49"/>
      <c r="M545" s="20"/>
      <c r="N545" s="20"/>
      <c r="O545" s="20"/>
      <c r="P545" s="20"/>
    </row>
    <row r="546">
      <c r="A546" s="97">
        <f>IFERROR(__xludf.DUMMYFUNCTION("""COMPUTED_VALUE"""),46174.0)</f>
        <v>46174</v>
      </c>
      <c r="B546" s="97" t="str">
        <f>IFERROR(__xludf.DUMMYFUNCTION("""COMPUTED_VALUE"""),"2606A005")</f>
        <v>2606A005</v>
      </c>
      <c r="C546" s="76" t="str">
        <f>IFERROR(__xludf.DUMMYFUNCTION("""COMPUTED_VALUE"""),"kuntum")</f>
        <v>kuntum</v>
      </c>
      <c r="D546" s="99" t="str">
        <f>IFERROR(__xludf.DUMMYFUNCTION("""COMPUTED_VALUE"""),"085811967836")</f>
        <v>085811967836</v>
      </c>
      <c r="E546" s="25" t="str">
        <f>IFERROR(__xludf.DUMMYFUNCTION("""COMPUTED_VALUE"""),"Instagram")</f>
        <v>Instagram</v>
      </c>
      <c r="F546" s="25" t="str">
        <f>IFERROR(__xludf.DUMMYFUNCTION("""COMPUTED_VALUE"""),"Gagal")</f>
        <v>Gagal</v>
      </c>
      <c r="G546" s="25"/>
      <c r="H546" s="16"/>
      <c r="I546" s="17"/>
      <c r="J546" s="54"/>
      <c r="K546" s="46" t="str">
        <f>IFERROR(__xludf.DUMMYFUNCTION("""COMPUTED_VALUE"""),"hanya menyapa")</f>
        <v>hanya menyapa</v>
      </c>
      <c r="L546" s="76"/>
      <c r="M546" s="20"/>
      <c r="N546" s="20"/>
      <c r="O546" s="20"/>
      <c r="P546" s="20"/>
    </row>
    <row r="547">
      <c r="A547" s="110">
        <f>IFERROR(__xludf.DUMMYFUNCTION("""COMPUTED_VALUE"""),46175.0)</f>
        <v>46175</v>
      </c>
      <c r="B547" s="110" t="str">
        <f>IFERROR(__xludf.DUMMYFUNCTION("""COMPUTED_VALUE"""),"2606A006")</f>
        <v>2606A006</v>
      </c>
      <c r="C547" s="49" t="str">
        <f>IFERROR(__xludf.DUMMYFUNCTION("""COMPUTED_VALUE"""),"Aini")</f>
        <v>Aini</v>
      </c>
      <c r="D547" s="102" t="str">
        <f>IFERROR(__xludf.DUMMYFUNCTION("""COMPUTED_VALUE"""),"082384016827")</f>
        <v>082384016827</v>
      </c>
      <c r="E547" s="25" t="str">
        <f>IFERROR(__xludf.DUMMYFUNCTION("""COMPUTED_VALUE"""),"Tiktok")</f>
        <v>Tiktok</v>
      </c>
      <c r="F547" s="25" t="str">
        <f>IFERROR(__xludf.DUMMYFUNCTION("""COMPUTED_VALUE"""),"Gagal")</f>
        <v>Gagal</v>
      </c>
      <c r="G547" s="25" t="str">
        <f>IFERROR(__xludf.DUMMYFUNCTION("""COMPUTED_VALUE"""),"4h3m")</f>
        <v>4h3m</v>
      </c>
      <c r="H547" s="92"/>
      <c r="I547" s="89">
        <f>IFERROR(__xludf.DUMMYFUNCTION("""COMPUTED_VALUE"""),2.0)</f>
        <v>2</v>
      </c>
      <c r="J547" s="96">
        <f>IFERROR(__xludf.DUMMYFUNCTION("""COMPUTED_VALUE"""),7820000.0)</f>
        <v>7820000</v>
      </c>
      <c r="K547" s="36" t="str">
        <f>IFERROR(__xludf.DUMMYFUNCTION("""COMPUTED_VALUE"""),"gabisa cuti")</f>
        <v>gabisa cuti</v>
      </c>
      <c r="L547" s="49"/>
      <c r="M547" s="20"/>
      <c r="N547" s="20"/>
      <c r="O547" s="20"/>
      <c r="P547" s="20"/>
    </row>
    <row r="548">
      <c r="A548" s="97">
        <f>IFERROR(__xludf.DUMMYFUNCTION("""COMPUTED_VALUE"""),46175.0)</f>
        <v>46175</v>
      </c>
      <c r="B548" s="97" t="str">
        <f>IFERROR(__xludf.DUMMYFUNCTION("""COMPUTED_VALUE"""),"2606A007")</f>
        <v>2606A007</v>
      </c>
      <c r="C548" s="76" t="str">
        <f>IFERROR(__xludf.DUMMYFUNCTION("""COMPUTED_VALUE"""),"Anis Binti Syahab")</f>
        <v>Anis Binti Syahab</v>
      </c>
      <c r="D548" s="99" t="str">
        <f>IFERROR(__xludf.DUMMYFUNCTION("""COMPUTED_VALUE"""),"085183092270")</f>
        <v>085183092270</v>
      </c>
      <c r="E548" s="25" t="str">
        <f>IFERROR(__xludf.DUMMYFUNCTION("""COMPUTED_VALUE"""),"Instagram")</f>
        <v>Instagram</v>
      </c>
      <c r="F548" s="25" t="str">
        <f>IFERROR(__xludf.DUMMYFUNCTION("""COMPUTED_VALUE"""),"Gagal")</f>
        <v>Gagal</v>
      </c>
      <c r="G548" s="25" t="str">
        <f>IFERROR(__xludf.DUMMYFUNCTION("""COMPUTED_VALUE"""),"2h1m")</f>
        <v>2h1m</v>
      </c>
      <c r="H548" s="92"/>
      <c r="I548" s="80">
        <f>IFERROR(__xludf.DUMMYFUNCTION("""COMPUTED_VALUE"""),5.0)</f>
        <v>5</v>
      </c>
      <c r="J548" s="93">
        <f>IFERROR(__xludf.DUMMYFUNCTION("""COMPUTED_VALUE"""),5625000.0)</f>
        <v>5625000</v>
      </c>
      <c r="K548" s="46" t="str">
        <f>IFERROR(__xludf.DUMMYFUNCTION("""COMPUTED_VALUE"""),"saudara nya sakit")</f>
        <v>saudara nya sakit</v>
      </c>
      <c r="L548" s="76"/>
      <c r="M548" s="20"/>
      <c r="N548" s="20"/>
      <c r="O548" s="20"/>
      <c r="P548" s="20"/>
    </row>
    <row r="549">
      <c r="A549" s="97">
        <f>IFERROR(__xludf.DUMMYFUNCTION("""COMPUTED_VALUE"""),46175.0)</f>
        <v>46175</v>
      </c>
      <c r="B549" s="97" t="str">
        <f>IFERROR(__xludf.DUMMYFUNCTION("""COMPUTED_VALUE"""),"2606A008")</f>
        <v>2606A008</v>
      </c>
      <c r="C549" s="88" t="str">
        <f>IFERROR(__xludf.DUMMYFUNCTION("""COMPUTED_VALUE"""),"Shanty.Fitria.id")</f>
        <v>Shanty.Fitria.id</v>
      </c>
      <c r="D549" s="99" t="str">
        <f>IFERROR(__xludf.DUMMYFUNCTION("""COMPUTED_VALUE"""),"087751821466")</f>
        <v>087751821466</v>
      </c>
      <c r="E549" s="25" t="str">
        <f>IFERROR(__xludf.DUMMYFUNCTION("""COMPUTED_VALUE"""),"Instagram")</f>
        <v>Instagram</v>
      </c>
      <c r="F549" s="25" t="str">
        <f>IFERROR(__xludf.DUMMYFUNCTION("""COMPUTED_VALUE"""),"Prospek")</f>
        <v>Prospek</v>
      </c>
      <c r="G549" s="25" t="str">
        <f>IFERROR(__xludf.DUMMYFUNCTION("""COMPUTED_VALUE"""),"ot djabal ")</f>
        <v>ot djabal </v>
      </c>
      <c r="H549" s="92"/>
      <c r="I549" s="80">
        <f>IFERROR(__xludf.DUMMYFUNCTION("""COMPUTED_VALUE"""),1.0)</f>
        <v>1</v>
      </c>
      <c r="J549" s="93">
        <f>IFERROR(__xludf.DUMMYFUNCTION("""COMPUTED_VALUE"""),550000.0)</f>
        <v>550000</v>
      </c>
      <c r="K549" s="46" t="str">
        <f>IFERROR(__xludf.DUMMYFUNCTION("""COMPUTED_VALUE"""),"fu 15 juni hanya menyapa")</f>
        <v>fu 15 juni hanya menyapa</v>
      </c>
      <c r="L549" s="76"/>
      <c r="M549" s="20"/>
      <c r="N549" s="20"/>
      <c r="O549" s="20"/>
      <c r="P549" s="20"/>
    </row>
    <row r="550">
      <c r="A550" s="110">
        <f>IFERROR(__xludf.DUMMYFUNCTION("""COMPUTED_VALUE"""),46176.0)</f>
        <v>46176</v>
      </c>
      <c r="B550" s="110" t="str">
        <f>IFERROR(__xludf.DUMMYFUNCTION("""COMPUTED_VALUE"""),"2606A009")</f>
        <v>2606A009</v>
      </c>
      <c r="C550" s="49" t="str">
        <f>IFERROR(__xludf.DUMMYFUNCTION("""COMPUTED_VALUE"""),"Amel")</f>
        <v>Amel</v>
      </c>
      <c r="D550" s="102" t="str">
        <f>IFERROR(__xludf.DUMMYFUNCTION("""COMPUTED_VALUE"""),"081336558887")</f>
        <v>081336558887</v>
      </c>
      <c r="E550" s="25" t="str">
        <f>IFERROR(__xludf.DUMMYFUNCTION("""COMPUTED_VALUE"""),"Website")</f>
        <v>Website</v>
      </c>
      <c r="F550" s="25" t="str">
        <f>IFERROR(__xludf.DUMMYFUNCTION("""COMPUTED_VALUE"""),"Qualified")</f>
        <v>Qualified</v>
      </c>
      <c r="G550" s="25" t="str">
        <f>IFERROR(__xludf.DUMMYFUNCTION("""COMPUTED_VALUE"""),"2h1m custome")</f>
        <v>2h1m custome</v>
      </c>
      <c r="H550" s="78"/>
      <c r="I550" s="89">
        <f>IFERROR(__xludf.DUMMYFUNCTION("""COMPUTED_VALUE"""),2.0)</f>
        <v>2</v>
      </c>
      <c r="J550" s="96">
        <f>IFERROR(__xludf.DUMMYFUNCTION("""COMPUTED_VALUE"""),4840000.0)</f>
        <v>4840000</v>
      </c>
      <c r="K550" s="30" t="str">
        <f>IFERROR(__xludf.DUMMYFUNCTION("""COMPUTED_VALUE"""),"fu 19 juni hanya menyapa")</f>
        <v>fu 19 juni hanya menyapa</v>
      </c>
      <c r="L550" s="49"/>
      <c r="M550" s="20"/>
      <c r="N550" s="20"/>
      <c r="O550" s="20"/>
      <c r="P550" s="20"/>
    </row>
    <row r="551">
      <c r="A551" s="110">
        <f>IFERROR(__xludf.DUMMYFUNCTION("""COMPUTED_VALUE"""),46176.0)</f>
        <v>46176</v>
      </c>
      <c r="B551" s="110" t="str">
        <f>IFERROR(__xludf.DUMMYFUNCTION("""COMPUTED_VALUE"""),"2606A010")</f>
        <v>2606A010</v>
      </c>
      <c r="C551" s="49" t="str">
        <f>IFERROR(__xludf.DUMMYFUNCTION("""COMPUTED_VALUE"""),"Ahmad Yasin Yusuf")</f>
        <v>Ahmad Yasin Yusuf</v>
      </c>
      <c r="D551" s="102" t="str">
        <f>IFERROR(__xludf.DUMMYFUNCTION("""COMPUTED_VALUE"""),"082140573838")</f>
        <v>082140573838</v>
      </c>
      <c r="E551" s="25" t="str">
        <f>IFERROR(__xludf.DUMMYFUNCTION("""COMPUTED_VALUE"""),"Website")</f>
        <v>Website</v>
      </c>
      <c r="F551" s="25" t="str">
        <f>IFERROR(__xludf.DUMMYFUNCTION("""COMPUTED_VALUE"""),"Qualified")</f>
        <v>Qualified</v>
      </c>
      <c r="G551" s="25" t="str">
        <f>IFERROR(__xludf.DUMMYFUNCTION("""COMPUTED_VALUE"""),"1d ijen")</f>
        <v>1d ijen</v>
      </c>
      <c r="H551" s="78">
        <f>IFERROR(__xludf.DUMMYFUNCTION("""COMPUTED_VALUE"""),46249.0)</f>
        <v>46249</v>
      </c>
      <c r="I551" s="89">
        <f>IFERROR(__xludf.DUMMYFUNCTION("""COMPUTED_VALUE"""),14.0)</f>
        <v>14</v>
      </c>
      <c r="J551" s="96">
        <f>IFERROR(__xludf.DUMMYFUNCTION("""COMPUTED_VALUE"""),3920000.0)</f>
        <v>3920000</v>
      </c>
      <c r="K551" s="30" t="str">
        <f>IFERROR(__xludf.DUMMYFUNCTION("""COMPUTED_VALUE"""),"fu 27 juni")</f>
        <v>fu 27 juni</v>
      </c>
      <c r="L551" s="49"/>
      <c r="M551" s="20"/>
      <c r="N551" s="20"/>
      <c r="O551" s="20"/>
      <c r="P551" s="20"/>
    </row>
    <row r="552">
      <c r="A552" s="97">
        <f>IFERROR(__xludf.DUMMYFUNCTION("""COMPUTED_VALUE"""),46176.0)</f>
        <v>46176</v>
      </c>
      <c r="B552" s="97" t="str">
        <f>IFERROR(__xludf.DUMMYFUNCTION("""COMPUTED_VALUE"""),"2606A011")</f>
        <v>2606A011</v>
      </c>
      <c r="C552" s="76" t="str">
        <f>IFERROR(__xludf.DUMMYFUNCTION("""COMPUTED_VALUE"""),"Shinta Ayu")</f>
        <v>Shinta Ayu</v>
      </c>
      <c r="D552" s="99" t="str">
        <f>IFERROR(__xludf.DUMMYFUNCTION("""COMPUTED_VALUE"""),"082132838971")</f>
        <v>082132838971</v>
      </c>
      <c r="E552" s="25" t="str">
        <f>IFERROR(__xludf.DUMMYFUNCTION("""COMPUTED_VALUE"""),"Instagram")</f>
        <v>Instagram</v>
      </c>
      <c r="F552" s="25" t="str">
        <f>IFERROR(__xludf.DUMMYFUNCTION("""COMPUTED_VALUE"""),"Qualified")</f>
        <v>Qualified</v>
      </c>
      <c r="G552" s="25" t="str">
        <f>IFERROR(__xludf.DUMMYFUNCTION("""COMPUTED_VALUE"""),"3h2m a")</f>
        <v>3h2m a</v>
      </c>
      <c r="H552" s="92">
        <f>IFERROR(__xludf.DUMMYFUNCTION("""COMPUTED_VALUE"""),46184.0)</f>
        <v>46184</v>
      </c>
      <c r="I552" s="80">
        <f>IFERROR(__xludf.DUMMYFUNCTION("""COMPUTED_VALUE"""),2.0)</f>
        <v>2</v>
      </c>
      <c r="J552" s="93">
        <f>IFERROR(__xludf.DUMMYFUNCTION("""COMPUTED_VALUE"""),4540000.0)</f>
        <v>4540000</v>
      </c>
      <c r="K552" s="46" t="str">
        <f>IFERROR(__xludf.DUMMYFUNCTION("""COMPUTED_VALUE"""),"fu 5 juni")</f>
        <v>fu 5 juni</v>
      </c>
      <c r="L552" s="76"/>
      <c r="M552" s="20"/>
      <c r="N552" s="20"/>
      <c r="O552" s="20"/>
      <c r="P552" s="20"/>
    </row>
    <row r="553">
      <c r="A553" s="110">
        <f>IFERROR(__xludf.DUMMYFUNCTION("""COMPUTED_VALUE"""),46176.0)</f>
        <v>46176</v>
      </c>
      <c r="B553" s="110" t="str">
        <f>IFERROR(__xludf.DUMMYFUNCTION("""COMPUTED_VALUE"""),"2606A012")</f>
        <v>2606A012</v>
      </c>
      <c r="C553" s="49" t="str">
        <f>IFERROR(__xludf.DUMMYFUNCTION("""COMPUTED_VALUE"""),"Reee")</f>
        <v>Reee</v>
      </c>
      <c r="D553" s="102" t="str">
        <f>IFERROR(__xludf.DUMMYFUNCTION("""COMPUTED_VALUE"""),"081231263678")</f>
        <v>081231263678</v>
      </c>
      <c r="E553" s="25" t="str">
        <f>IFERROR(__xludf.DUMMYFUNCTION("""COMPUTED_VALUE"""),"Lainnya")</f>
        <v>Lainnya</v>
      </c>
      <c r="F553" s="25" t="str">
        <f>IFERROR(__xludf.DUMMYFUNCTION("""COMPUTED_VALUE"""),"Qualified")</f>
        <v>Qualified</v>
      </c>
      <c r="G553" s="25" t="str">
        <f>IFERROR(__xludf.DUMMYFUNCTION("""COMPUTED_VALUE"""),"pvt mt")</f>
        <v>pvt mt</v>
      </c>
      <c r="H553" s="78">
        <f>IFERROR(__xludf.DUMMYFUNCTION("""COMPUTED_VALUE"""),46186.0)</f>
        <v>46186</v>
      </c>
      <c r="I553" s="89">
        <f>IFERROR(__xludf.DUMMYFUNCTION("""COMPUTED_VALUE"""),5.0)</f>
        <v>5</v>
      </c>
      <c r="J553" s="96">
        <f>IFERROR(__xludf.DUMMYFUNCTION("""COMPUTED_VALUE"""),2300000.0)</f>
        <v>2300000</v>
      </c>
      <c r="K553" s="30" t="str">
        <f>IFERROR(__xludf.DUMMYFUNCTION("""COMPUTED_VALUE"""),"fu 5 juni")</f>
        <v>fu 5 juni</v>
      </c>
      <c r="L553" s="49"/>
      <c r="M553" s="20"/>
      <c r="N553" s="20"/>
      <c r="O553" s="20"/>
      <c r="P553" s="20"/>
    </row>
    <row r="554">
      <c r="A554" s="97">
        <f>IFERROR(__xludf.DUMMYFUNCTION("""COMPUTED_VALUE"""),46176.0)</f>
        <v>46176</v>
      </c>
      <c r="B554" s="97" t="str">
        <f>IFERROR(__xludf.DUMMYFUNCTION("""COMPUTED_VALUE"""),"2606A013")</f>
        <v>2606A013</v>
      </c>
      <c r="C554" s="76" t="str">
        <f>IFERROR(__xludf.DUMMYFUNCTION("""COMPUTED_VALUE"""),"Dian")</f>
        <v>Dian</v>
      </c>
      <c r="D554" s="99" t="str">
        <f>IFERROR(__xludf.DUMMYFUNCTION("""COMPUTED_VALUE"""),"087884100669")</f>
        <v>087884100669</v>
      </c>
      <c r="E554" s="25" t="str">
        <f>IFERROR(__xludf.DUMMYFUNCTION("""COMPUTED_VALUE"""),"Instagram")</f>
        <v>Instagram</v>
      </c>
      <c r="F554" s="25" t="str">
        <f>IFERROR(__xludf.DUMMYFUNCTION("""COMPUTED_VALUE"""),"Gagal")</f>
        <v>Gagal</v>
      </c>
      <c r="G554" s="25" t="str">
        <f>IFERROR(__xludf.DUMMYFUNCTION("""COMPUTED_VALUE"""),"ot ijen")</f>
        <v>ot ijen</v>
      </c>
      <c r="H554" s="92">
        <f>IFERROR(__xludf.DUMMYFUNCTION("""COMPUTED_VALUE"""),46178.0)</f>
        <v>46178</v>
      </c>
      <c r="I554" s="17">
        <f>IFERROR(__xludf.DUMMYFUNCTION("""COMPUTED_VALUE"""),1.0)</f>
        <v>1</v>
      </c>
      <c r="J554" s="54">
        <f>IFERROR(__xludf.DUMMYFUNCTION("""COMPUTED_VALUE"""),250000.0)</f>
        <v>250000</v>
      </c>
      <c r="K554" s="46" t="str">
        <f>IFERROR(__xludf.DUMMYFUNCTION("""COMPUTED_VALUE"""),"tetiba balik jkt, ada urusan")</f>
        <v>tetiba balik jkt, ada urusan</v>
      </c>
      <c r="L554" s="76"/>
      <c r="M554" s="20"/>
      <c r="N554" s="20"/>
      <c r="O554" s="20"/>
      <c r="P554" s="20"/>
    </row>
    <row r="555">
      <c r="A555" s="110">
        <f>IFERROR(__xludf.DUMMYFUNCTION("""COMPUTED_VALUE"""),46175.0)</f>
        <v>46175</v>
      </c>
      <c r="B555" s="110" t="str">
        <f>IFERROR(__xludf.DUMMYFUNCTION("""COMPUTED_VALUE"""),"2606A014")</f>
        <v>2606A014</v>
      </c>
      <c r="C555" s="49" t="str">
        <f>IFERROR(__xludf.DUMMYFUNCTION("""COMPUTED_VALUE"""),"Nabila Fathonah")</f>
        <v>Nabila Fathonah</v>
      </c>
      <c r="D555" s="102" t="str">
        <f>IFERROR(__xludf.DUMMYFUNCTION("""COMPUTED_VALUE"""),"081213890303")</f>
        <v>081213890303</v>
      </c>
      <c r="E555" s="25" t="str">
        <f>IFERROR(__xludf.DUMMYFUNCTION("""COMPUTED_VALUE"""),"Instagram")</f>
        <v>Instagram</v>
      </c>
      <c r="F555" s="25" t="str">
        <f>IFERROR(__xludf.DUMMYFUNCTION("""COMPUTED_VALUE"""),"Closing")</f>
        <v>Closing</v>
      </c>
      <c r="G555" s="25" t="str">
        <f>IFERROR(__xludf.DUMMYFUNCTION("""COMPUTED_VALUE"""),"ot mt")</f>
        <v>ot mt</v>
      </c>
      <c r="H555" s="78">
        <f>IFERROR(__xludf.DUMMYFUNCTION("""COMPUTED_VALUE"""),46179.0)</f>
        <v>46179</v>
      </c>
      <c r="I555" s="89">
        <f>IFERROR(__xludf.DUMMYFUNCTION("""COMPUTED_VALUE"""),3.0)</f>
        <v>3</v>
      </c>
      <c r="J555" s="96">
        <f>IFERROR(__xludf.DUMMYFUNCTION("""COMPUTED_VALUE"""),825000.0)</f>
        <v>825000</v>
      </c>
      <c r="K555" s="30" t="str">
        <f>IFERROR(__xludf.DUMMYFUNCTION("""COMPUTED_VALUE"""),"alhamdulillah")</f>
        <v>alhamdulillah</v>
      </c>
      <c r="L555" s="49"/>
      <c r="M555" s="20"/>
      <c r="N555" s="20"/>
      <c r="O555" s="20"/>
      <c r="P555" s="20"/>
    </row>
    <row r="556">
      <c r="A556" s="97">
        <f>IFERROR(__xludf.DUMMYFUNCTION("""COMPUTED_VALUE"""),46177.0)</f>
        <v>46177</v>
      </c>
      <c r="B556" s="133" t="str">
        <f>IFERROR(__xludf.DUMMYFUNCTION("""COMPUTED_VALUE"""),"2606A015")</f>
        <v>2606A015</v>
      </c>
      <c r="C556" s="76" t="str">
        <f>IFERROR(__xludf.DUMMYFUNCTION("""COMPUTED_VALUE"""),"Lukyy")</f>
        <v>Lukyy</v>
      </c>
      <c r="D556" s="99" t="str">
        <f>IFERROR(__xludf.DUMMYFUNCTION("""COMPUTED_VALUE"""),"085952884267")</f>
        <v>085952884267</v>
      </c>
      <c r="E556" s="25" t="str">
        <f>IFERROR(__xludf.DUMMYFUNCTION("""COMPUTED_VALUE"""),"Instagram")</f>
        <v>Instagram</v>
      </c>
      <c r="F556" s="25" t="str">
        <f>IFERROR(__xludf.DUMMYFUNCTION("""COMPUTED_VALUE"""),"Gagal")</f>
        <v>Gagal</v>
      </c>
      <c r="G556" s="25" t="str">
        <f>IFERROR(__xludf.DUMMYFUNCTION("""COMPUTED_VALUE"""),"3h2m")</f>
        <v>3h2m</v>
      </c>
      <c r="H556" s="92"/>
      <c r="I556" s="80">
        <f>IFERROR(__xludf.DUMMYFUNCTION("""COMPUTED_VALUE"""),3.0)</f>
        <v>3</v>
      </c>
      <c r="J556" s="93">
        <f>IFERROR(__xludf.DUMMYFUNCTION("""COMPUTED_VALUE"""),6402000.0)</f>
        <v>6402000</v>
      </c>
      <c r="K556" s="46" t="str">
        <f>IFERROR(__xludf.DUMMYFUNCTION("""COMPUTED_VALUE"""),"gada balasan")</f>
        <v>gada balasan</v>
      </c>
      <c r="L556" s="76"/>
      <c r="M556" s="20"/>
      <c r="N556" s="20"/>
      <c r="O556" s="20"/>
      <c r="P556" s="20"/>
    </row>
    <row r="557">
      <c r="A557" s="110">
        <f>IFERROR(__xludf.DUMMYFUNCTION("""COMPUTED_VALUE"""),46176.0)</f>
        <v>46176</v>
      </c>
      <c r="B557" s="110" t="str">
        <f>IFERROR(__xludf.DUMMYFUNCTION("""COMPUTED_VALUE"""),"2606A016")</f>
        <v>2606A016</v>
      </c>
      <c r="C557" s="49" t="str">
        <f>IFERROR(__xludf.DUMMYFUNCTION("""COMPUTED_VALUE"""),"Erna")</f>
        <v>Erna</v>
      </c>
      <c r="D557" s="102" t="str">
        <f>IFERROR(__xludf.DUMMYFUNCTION("""COMPUTED_VALUE"""),"08568698886")</f>
        <v>08568698886</v>
      </c>
      <c r="E557" s="25" t="str">
        <f>IFERROR(__xludf.DUMMYFUNCTION("""COMPUTED_VALUE"""),"Instagram")</f>
        <v>Instagram</v>
      </c>
      <c r="F557" s="25" t="str">
        <f>IFERROR(__xludf.DUMMYFUNCTION("""COMPUTED_VALUE"""),"Prospek")</f>
        <v>Prospek</v>
      </c>
      <c r="G557" s="25" t="str">
        <f>IFERROR(__xludf.DUMMYFUNCTION("""COMPUTED_VALUE"""),"3h2m")</f>
        <v>3h2m</v>
      </c>
      <c r="H557" s="78"/>
      <c r="I557" s="89">
        <f>IFERROR(__xludf.DUMMYFUNCTION("""COMPUTED_VALUE"""),4.0)</f>
        <v>4</v>
      </c>
      <c r="J557" s="96">
        <f>IFERROR(__xludf.DUMMYFUNCTION("""COMPUTED_VALUE"""),3060000.0)</f>
        <v>3060000</v>
      </c>
      <c r="K557" s="30" t="str">
        <f>IFERROR(__xludf.DUMMYFUNCTION("""COMPUTED_VALUE"""),"fu 22 juni")</f>
        <v>fu 22 juni</v>
      </c>
      <c r="L557" s="49"/>
      <c r="M557" s="20"/>
      <c r="N557" s="20"/>
      <c r="O557" s="20"/>
      <c r="P557" s="20"/>
    </row>
    <row r="558">
      <c r="A558" s="97">
        <f>IFERROR(__xludf.DUMMYFUNCTION("""COMPUTED_VALUE"""),46177.0)</f>
        <v>46177</v>
      </c>
      <c r="B558" s="134" t="str">
        <f>IFERROR(__xludf.DUMMYFUNCTION("""COMPUTED_VALUE"""),"2606A017")</f>
        <v>2606A017</v>
      </c>
      <c r="C558" s="76" t="str">
        <f>IFERROR(__xludf.DUMMYFUNCTION("""COMPUTED_VALUE"""),"Fahrizal")</f>
        <v>Fahrizal</v>
      </c>
      <c r="D558" s="99" t="str">
        <f>IFERROR(__xludf.DUMMYFUNCTION("""COMPUTED_VALUE"""),"085329469824")</f>
        <v>085329469824</v>
      </c>
      <c r="E558" s="25" t="str">
        <f>IFERROR(__xludf.DUMMYFUNCTION("""COMPUTED_VALUE"""),"Instagram")</f>
        <v>Instagram</v>
      </c>
      <c r="F558" s="25" t="str">
        <f>IFERROR(__xludf.DUMMYFUNCTION("""COMPUTED_VALUE"""),"Gagal")</f>
        <v>Gagal</v>
      </c>
      <c r="G558" s="25" t="str">
        <f>IFERROR(__xludf.DUMMYFUNCTION("""COMPUTED_VALUE"""),"2h1m")</f>
        <v>2h1m</v>
      </c>
      <c r="H558" s="92">
        <f>IFERROR(__xludf.DUMMYFUNCTION("""COMPUTED_VALUE"""),46181.0)</f>
        <v>46181</v>
      </c>
      <c r="I558" s="80">
        <f>IFERROR(__xludf.DUMMYFUNCTION("""COMPUTED_VALUE"""),2.0)</f>
        <v>2</v>
      </c>
      <c r="J558" s="93"/>
      <c r="K558" s="46"/>
      <c r="L558" s="76"/>
      <c r="M558" s="20"/>
      <c r="N558" s="20"/>
      <c r="O558" s="20"/>
      <c r="P558" s="20"/>
    </row>
    <row r="559">
      <c r="A559" s="110">
        <f>IFERROR(__xludf.DUMMYFUNCTION("""COMPUTED_VALUE"""),46174.0)</f>
        <v>46174</v>
      </c>
      <c r="B559" s="110" t="str">
        <f>IFERROR(__xludf.DUMMYFUNCTION("""COMPUTED_VALUE"""),"2606A018")</f>
        <v>2606A018</v>
      </c>
      <c r="C559" s="49" t="str">
        <f>IFERROR(__xludf.DUMMYFUNCTION("""COMPUTED_VALUE"""),"Boby Nusanesia")</f>
        <v>Boby Nusanesia</v>
      </c>
      <c r="D559" s="102" t="str">
        <f>IFERROR(__xludf.DUMMYFUNCTION("""COMPUTED_VALUE"""),"081234747500")</f>
        <v>081234747500</v>
      </c>
      <c r="E559" s="25" t="str">
        <f>IFERROR(__xludf.DUMMYFUNCTION("""COMPUTED_VALUE"""),"Lainnya")</f>
        <v>Lainnya</v>
      </c>
      <c r="F559" s="25" t="str">
        <f>IFERROR(__xludf.DUMMYFUNCTION("""COMPUTED_VALUE"""),"Gagal")</f>
        <v>Gagal</v>
      </c>
      <c r="G559" s="25"/>
      <c r="H559" s="78"/>
      <c r="I559" s="89">
        <f>IFERROR(__xludf.DUMMYFUNCTION("""COMPUTED_VALUE"""),8.0)</f>
        <v>8</v>
      </c>
      <c r="J559" s="96"/>
      <c r="K559" s="30" t="str">
        <f>IFERROR(__xludf.DUMMYFUNCTION("""COMPUTED_VALUE"""),"gada balasan")</f>
        <v>gada balasan</v>
      </c>
      <c r="L559" s="49"/>
      <c r="M559" s="20"/>
      <c r="N559" s="20"/>
      <c r="O559" s="20"/>
      <c r="P559" s="20"/>
    </row>
    <row r="560">
      <c r="A560" s="97">
        <f>IFERROR(__xludf.DUMMYFUNCTION("""COMPUTED_VALUE"""),46177.0)</f>
        <v>46177</v>
      </c>
      <c r="B560" s="97" t="str">
        <f>IFERROR(__xludf.DUMMYFUNCTION("""COMPUTED_VALUE"""),"2606A019")</f>
        <v>2606A019</v>
      </c>
      <c r="C560" s="76" t="str">
        <f>IFERROR(__xludf.DUMMYFUNCTION("""COMPUTED_VALUE"""),"ismail")</f>
        <v>ismail</v>
      </c>
      <c r="D560" s="99" t="str">
        <f>IFERROR(__xludf.DUMMYFUNCTION("""COMPUTED_VALUE"""),"085819717587")</f>
        <v>085819717587</v>
      </c>
      <c r="E560" s="25" t="str">
        <f>IFERROR(__xludf.DUMMYFUNCTION("""COMPUTED_VALUE"""),"Instagram")</f>
        <v>Instagram</v>
      </c>
      <c r="F560" s="25" t="str">
        <f>IFERROR(__xludf.DUMMYFUNCTION("""COMPUTED_VALUE"""),"Gagal")</f>
        <v>Gagal</v>
      </c>
      <c r="G560" s="25" t="str">
        <f>IFERROR(__xludf.DUMMYFUNCTION("""COMPUTED_VALUE"""),"djabal")</f>
        <v>djabal</v>
      </c>
      <c r="H560" s="92"/>
      <c r="I560" s="80">
        <f>IFERROR(__xludf.DUMMYFUNCTION("""COMPUTED_VALUE"""),1.0)</f>
        <v>1</v>
      </c>
      <c r="J560" s="93"/>
      <c r="K560" s="46" t="str">
        <f>IFERROR(__xludf.DUMMYFUNCTION("""COMPUTED_VALUE"""),"gada balasan")</f>
        <v>gada balasan</v>
      </c>
      <c r="L560" s="76"/>
      <c r="M560" s="20"/>
      <c r="N560" s="20"/>
      <c r="O560" s="20"/>
      <c r="P560" s="20"/>
    </row>
    <row r="561">
      <c r="A561" s="110">
        <f>IFERROR(__xludf.DUMMYFUNCTION("""COMPUTED_VALUE"""),46177.0)</f>
        <v>46177</v>
      </c>
      <c r="B561" s="110" t="str">
        <f>IFERROR(__xludf.DUMMYFUNCTION("""COMPUTED_VALUE"""),"2606A020")</f>
        <v>2606A020</v>
      </c>
      <c r="C561" s="49" t="str">
        <f>IFERROR(__xludf.DUMMYFUNCTION("""COMPUTED_VALUE"""),"fiorenza")</f>
        <v>fiorenza</v>
      </c>
      <c r="D561" s="102" t="str">
        <f>IFERROR(__xludf.DUMMYFUNCTION("""COMPUTED_VALUE"""),"085643427366")</f>
        <v>085643427366</v>
      </c>
      <c r="E561" s="25" t="str">
        <f>IFERROR(__xludf.DUMMYFUNCTION("""COMPUTED_VALUE"""),"Instagram")</f>
        <v>Instagram</v>
      </c>
      <c r="F561" s="25" t="str">
        <f>IFERROR(__xludf.DUMMYFUNCTION("""COMPUTED_VALUE"""),"Gagal")</f>
        <v>Gagal</v>
      </c>
      <c r="G561" s="25" t="str">
        <f>IFERROR(__xludf.DUMMYFUNCTION("""COMPUTED_VALUE"""),"3h2m opsi b")</f>
        <v>3h2m opsi b</v>
      </c>
      <c r="H561" s="78"/>
      <c r="I561" s="89">
        <f>IFERROR(__xludf.DUMMYFUNCTION("""COMPUTED_VALUE"""),13.0)</f>
        <v>13</v>
      </c>
      <c r="J561" s="96"/>
      <c r="K561" s="36" t="str">
        <f>IFERROR(__xludf.DUMMYFUNCTION("""COMPUTED_VALUE"""),"gada balasan")</f>
        <v>gada balasan</v>
      </c>
      <c r="L561" s="49"/>
      <c r="M561" s="20"/>
      <c r="N561" s="20"/>
      <c r="O561" s="20"/>
      <c r="P561" s="20"/>
    </row>
    <row r="562">
      <c r="A562" s="97">
        <f>IFERROR(__xludf.DUMMYFUNCTION("""COMPUTED_VALUE"""),46177.0)</f>
        <v>46177</v>
      </c>
      <c r="B562" s="97" t="str">
        <f>IFERROR(__xludf.DUMMYFUNCTION("""COMPUTED_VALUE"""),"2606A021")</f>
        <v>2606A021</v>
      </c>
      <c r="C562" s="76" t="str">
        <f>IFERROR(__xludf.DUMMYFUNCTION("""COMPUTED_VALUE"""),"Amanda kurnia")</f>
        <v>Amanda kurnia</v>
      </c>
      <c r="D562" s="99" t="str">
        <f>IFERROR(__xludf.DUMMYFUNCTION("""COMPUTED_VALUE"""),"081380343328")</f>
        <v>081380343328</v>
      </c>
      <c r="E562" s="25" t="str">
        <f>IFERROR(__xludf.DUMMYFUNCTION("""COMPUTED_VALUE"""),"Instagram")</f>
        <v>Instagram</v>
      </c>
      <c r="F562" s="25" t="str">
        <f>IFERROR(__xludf.DUMMYFUNCTION("""COMPUTED_VALUE"""),"Gagal")</f>
        <v>Gagal</v>
      </c>
      <c r="G562" s="25" t="str">
        <f>IFERROR(__xludf.DUMMYFUNCTION("""COMPUTED_VALUE"""),"ot djabal")</f>
        <v>ot djabal</v>
      </c>
      <c r="H562" s="92"/>
      <c r="I562" s="80"/>
      <c r="J562" s="93"/>
      <c r="K562" s="19" t="str">
        <f>IFERROR(__xludf.DUMMYFUNCTION("""COMPUTED_VALUE"""),"gada balasan")</f>
        <v>gada balasan</v>
      </c>
      <c r="L562" s="76"/>
      <c r="M562" s="20"/>
      <c r="N562" s="20"/>
      <c r="O562" s="20"/>
      <c r="P562" s="20"/>
    </row>
    <row r="563">
      <c r="A563" s="110">
        <f>IFERROR(__xludf.DUMMYFUNCTION("""COMPUTED_VALUE"""),46178.0)</f>
        <v>46178</v>
      </c>
      <c r="B563" s="110" t="str">
        <f>IFERROR(__xludf.DUMMYFUNCTION("""COMPUTED_VALUE"""),"2606A022")</f>
        <v>2606A022</v>
      </c>
      <c r="C563" s="49" t="str">
        <f>IFERROR(__xludf.DUMMYFUNCTION("""COMPUTED_VALUE"""),"Sardjono")</f>
        <v>Sardjono</v>
      </c>
      <c r="D563" s="102" t="str">
        <f>IFERROR(__xludf.DUMMYFUNCTION("""COMPUTED_VALUE"""),"081575008778")</f>
        <v>081575008778</v>
      </c>
      <c r="E563" s="25" t="str">
        <f>IFERROR(__xludf.DUMMYFUNCTION("""COMPUTED_VALUE"""),"Website")</f>
        <v>Website</v>
      </c>
      <c r="F563" s="25" t="str">
        <f>IFERROR(__xludf.DUMMYFUNCTION("""COMPUTED_VALUE"""),"Gagal")</f>
        <v>Gagal</v>
      </c>
      <c r="G563" s="25" t="str">
        <f>IFERROR(__xludf.DUMMYFUNCTION("""COMPUTED_VALUE"""),"2h1m b")</f>
        <v>2h1m b</v>
      </c>
      <c r="H563" s="78"/>
      <c r="I563" s="89">
        <f>IFERROR(__xludf.DUMMYFUNCTION("""COMPUTED_VALUE"""),4.0)</f>
        <v>4</v>
      </c>
      <c r="J563" s="96">
        <f>IFERROR(__xludf.DUMMYFUNCTION("""COMPUTED_VALUE"""),4148000.0)</f>
        <v>4148000</v>
      </c>
      <c r="K563" s="36" t="str">
        <f>IFERROR(__xludf.DUMMYFUNCTION("""COMPUTED_VALUE"""),"gada balasan")</f>
        <v>gada balasan</v>
      </c>
      <c r="L563" s="49"/>
      <c r="M563" s="20"/>
      <c r="N563" s="20"/>
      <c r="O563" s="20"/>
      <c r="P563" s="20"/>
    </row>
    <row r="564">
      <c r="A564" s="97">
        <f>IFERROR(__xludf.DUMMYFUNCTION("""COMPUTED_VALUE"""),46178.0)</f>
        <v>46178</v>
      </c>
      <c r="B564" s="97" t="str">
        <f>IFERROR(__xludf.DUMMYFUNCTION("""COMPUTED_VALUE"""),"2606A023")</f>
        <v>2606A023</v>
      </c>
      <c r="C564" s="76" t="str">
        <f>IFERROR(__xludf.DUMMYFUNCTION("""COMPUTED_VALUE"""),"Iman Syafirman")</f>
        <v>Iman Syafirman</v>
      </c>
      <c r="D564" s="99" t="str">
        <f>IFERROR(__xludf.DUMMYFUNCTION("""COMPUTED_VALUE"""),"081211777810")</f>
        <v>081211777810</v>
      </c>
      <c r="E564" s="25" t="str">
        <f>IFERROR(__xludf.DUMMYFUNCTION("""COMPUTED_VALUE"""),"Website")</f>
        <v>Website</v>
      </c>
      <c r="F564" s="25" t="str">
        <f>IFERROR(__xludf.DUMMYFUNCTION("""COMPUTED_VALUE"""),"Gagal")</f>
        <v>Gagal</v>
      </c>
      <c r="G564" s="25" t="str">
        <f>IFERROR(__xludf.DUMMYFUNCTION("""COMPUTED_VALUE"""),"3h2m b")</f>
        <v>3h2m b</v>
      </c>
      <c r="H564" s="92">
        <f>IFERROR(__xludf.DUMMYFUNCTION("""COMPUTED_VALUE"""),46209.0)</f>
        <v>46209</v>
      </c>
      <c r="I564" s="80">
        <f>IFERROR(__xludf.DUMMYFUNCTION("""COMPUTED_VALUE"""),5.0)</f>
        <v>5</v>
      </c>
      <c r="J564" s="93"/>
      <c r="K564" s="19" t="str">
        <f>IFERROR(__xludf.DUMMYFUNCTION("""COMPUTED_VALUE"""),"gada balasan")</f>
        <v>gada balasan</v>
      </c>
      <c r="L564" s="76"/>
      <c r="M564" s="20"/>
      <c r="N564" s="20"/>
      <c r="O564" s="20"/>
      <c r="P564" s="20"/>
    </row>
    <row r="565">
      <c r="A565" s="110">
        <f>IFERROR(__xludf.DUMMYFUNCTION("""COMPUTED_VALUE"""),46178.0)</f>
        <v>46178</v>
      </c>
      <c r="B565" s="110" t="str">
        <f>IFERROR(__xludf.DUMMYFUNCTION("""COMPUTED_VALUE"""),"2606A024")</f>
        <v>2606A024</v>
      </c>
      <c r="C565" s="49" t="str">
        <f>IFERROR(__xludf.DUMMYFUNCTION("""COMPUTED_VALUE"""),"Esra Henita Marito")</f>
        <v>Esra Henita Marito</v>
      </c>
      <c r="D565" s="102" t="str">
        <f>IFERROR(__xludf.DUMMYFUNCTION("""COMPUTED_VALUE"""),"089629191295")</f>
        <v>089629191295</v>
      </c>
      <c r="E565" s="25" t="str">
        <f>IFERROR(__xludf.DUMMYFUNCTION("""COMPUTED_VALUE"""),"Instagram")</f>
        <v>Instagram</v>
      </c>
      <c r="F565" s="25" t="str">
        <f>IFERROR(__xludf.DUMMYFUNCTION("""COMPUTED_VALUE"""),"Gagal")</f>
        <v>Gagal</v>
      </c>
      <c r="G565" s="25" t="str">
        <f>IFERROR(__xludf.DUMMYFUNCTION("""COMPUTED_VALUE"""),"ot gi ")</f>
        <v>ot gi </v>
      </c>
      <c r="H565" s="78">
        <f>IFERROR(__xludf.DUMMYFUNCTION("""COMPUTED_VALUE"""),46189.0)</f>
        <v>46189</v>
      </c>
      <c r="I565" s="89">
        <f>IFERROR(__xludf.DUMMYFUNCTION("""COMPUTED_VALUE"""),2.0)</f>
        <v>2</v>
      </c>
      <c r="J565" s="96"/>
      <c r="K565" s="30" t="str">
        <f>IFERROR(__xludf.DUMMYFUNCTION("""COMPUTED_VALUE"""),"alihkan ke holiday")</f>
        <v>alihkan ke holiday</v>
      </c>
      <c r="L565" s="49"/>
      <c r="M565" s="20"/>
      <c r="N565" s="20"/>
      <c r="O565" s="20"/>
      <c r="P565" s="20"/>
    </row>
    <row r="566">
      <c r="A566" s="97">
        <f>IFERROR(__xludf.DUMMYFUNCTION("""COMPUTED_VALUE"""),46178.0)</f>
        <v>46178</v>
      </c>
      <c r="B566" s="97" t="str">
        <f>IFERROR(__xludf.DUMMYFUNCTION("""COMPUTED_VALUE"""),"2606A025")</f>
        <v>2606A025</v>
      </c>
      <c r="C566" s="76" t="str">
        <f>IFERROR(__xludf.DUMMYFUNCTION("""COMPUTED_VALUE"""),"Devita Permatasari")</f>
        <v>Devita Permatasari</v>
      </c>
      <c r="D566" s="99" t="str">
        <f>IFERROR(__xludf.DUMMYFUNCTION("""COMPUTED_VALUE"""),"089518850465")</f>
        <v>089518850465</v>
      </c>
      <c r="E566" s="25" t="str">
        <f>IFERROR(__xludf.DUMMYFUNCTION("""COMPUTED_VALUE"""),"Instagram")</f>
        <v>Instagram</v>
      </c>
      <c r="F566" s="25" t="str">
        <f>IFERROR(__xludf.DUMMYFUNCTION("""COMPUTED_VALUE"""),"Gagal")</f>
        <v>Gagal</v>
      </c>
      <c r="G566" s="25" t="str">
        <f>IFERROR(__xludf.DUMMYFUNCTION("""COMPUTED_VALUE"""),"ot djabal")</f>
        <v>ot djabal</v>
      </c>
      <c r="H566" s="92"/>
      <c r="I566" s="80">
        <f>IFERROR(__xludf.DUMMYFUNCTION("""COMPUTED_VALUE"""),2.0)</f>
        <v>2</v>
      </c>
      <c r="J566" s="93"/>
      <c r="K566" s="46" t="str">
        <f>IFERROR(__xludf.DUMMYFUNCTION("""COMPUTED_VALUE"""),"gada kelanjutan")</f>
        <v>gada kelanjutan</v>
      </c>
      <c r="L566" s="76"/>
      <c r="M566" s="20"/>
      <c r="N566" s="20"/>
      <c r="O566" s="20"/>
      <c r="P566" s="20"/>
    </row>
    <row r="567">
      <c r="A567" s="110">
        <f>IFERROR(__xludf.DUMMYFUNCTION("""COMPUTED_VALUE"""),46179.0)</f>
        <v>46179</v>
      </c>
      <c r="B567" s="110" t="str">
        <f>IFERROR(__xludf.DUMMYFUNCTION("""COMPUTED_VALUE"""),"2606A026")</f>
        <v>2606A026</v>
      </c>
      <c r="C567" s="49" t="str">
        <f>IFERROR(__xludf.DUMMYFUNCTION("""COMPUTED_VALUE"""),"Lilis")</f>
        <v>Lilis</v>
      </c>
      <c r="D567" s="102" t="str">
        <f>IFERROR(__xludf.DUMMYFUNCTION("""COMPUTED_VALUE"""),"08129092824")</f>
        <v>08129092824</v>
      </c>
      <c r="E567" s="25" t="str">
        <f>IFERROR(__xludf.DUMMYFUNCTION("""COMPUTED_VALUE"""),"Website")</f>
        <v>Website</v>
      </c>
      <c r="F567" s="25" t="str">
        <f>IFERROR(__xludf.DUMMYFUNCTION("""COMPUTED_VALUE"""),"Gagal")</f>
        <v>Gagal</v>
      </c>
      <c r="G567" s="25"/>
      <c r="H567" s="78"/>
      <c r="I567" s="27"/>
      <c r="J567" s="33"/>
      <c r="K567" s="30" t="str">
        <f>IFERROR(__xludf.DUMMYFUNCTION("""COMPUTED_VALUE"""),"hanya menyapa")</f>
        <v>hanya menyapa</v>
      </c>
      <c r="L567" s="49"/>
      <c r="M567" s="20"/>
      <c r="N567" s="20"/>
      <c r="O567" s="20"/>
      <c r="P567" s="20"/>
    </row>
    <row r="568">
      <c r="A568" s="97">
        <f>IFERROR(__xludf.DUMMYFUNCTION("""COMPUTED_VALUE"""),46179.0)</f>
        <v>46179</v>
      </c>
      <c r="B568" s="97" t="str">
        <f>IFERROR(__xludf.DUMMYFUNCTION("""COMPUTED_VALUE"""),"2606A027")</f>
        <v>2606A027</v>
      </c>
      <c r="C568" s="76" t="str">
        <f>IFERROR(__xludf.DUMMYFUNCTION("""COMPUTED_VALUE"""),"Linda")</f>
        <v>Linda</v>
      </c>
      <c r="D568" s="99" t="str">
        <f>IFERROR(__xludf.DUMMYFUNCTION("""COMPUTED_VALUE"""),"082343223731")</f>
        <v>082343223731</v>
      </c>
      <c r="E568" s="25" t="str">
        <f>IFERROR(__xludf.DUMMYFUNCTION("""COMPUTED_VALUE"""),"Instagram")</f>
        <v>Instagram</v>
      </c>
      <c r="F568" s="25" t="str">
        <f>IFERROR(__xludf.DUMMYFUNCTION("""COMPUTED_VALUE"""),"Gagal")</f>
        <v>Gagal</v>
      </c>
      <c r="G568" s="25"/>
      <c r="H568" s="92"/>
      <c r="I568" s="80"/>
      <c r="J568" s="93"/>
      <c r="K568" s="19" t="str">
        <f>IFERROR(__xludf.DUMMYFUNCTION("""COMPUTED_VALUE"""),"hanya menyapa")</f>
        <v>hanya menyapa</v>
      </c>
      <c r="L568" s="76"/>
      <c r="M568" s="20"/>
      <c r="N568" s="20"/>
      <c r="O568" s="20"/>
      <c r="P568" s="20"/>
    </row>
    <row r="569">
      <c r="A569" s="110">
        <f>IFERROR(__xludf.DUMMYFUNCTION("""COMPUTED_VALUE"""),46179.0)</f>
        <v>46179</v>
      </c>
      <c r="B569" s="110" t="str">
        <f>IFERROR(__xludf.DUMMYFUNCTION("""COMPUTED_VALUE"""),"2606A028")</f>
        <v>2606A028</v>
      </c>
      <c r="C569" s="49" t="str">
        <f>IFERROR(__xludf.DUMMYFUNCTION("""COMPUTED_VALUE"""),"qnylia")</f>
        <v>qnylia</v>
      </c>
      <c r="D569" s="102" t="str">
        <f>IFERROR(__xludf.DUMMYFUNCTION("""COMPUTED_VALUE"""),"085190882445")</f>
        <v>085190882445</v>
      </c>
      <c r="E569" s="25" t="str">
        <f>IFERROR(__xludf.DUMMYFUNCTION("""COMPUTED_VALUE"""),"Instagram")</f>
        <v>Instagram</v>
      </c>
      <c r="F569" s="25" t="str">
        <f>IFERROR(__xludf.DUMMYFUNCTION("""COMPUTED_VALUE"""),"Gagal")</f>
        <v>Gagal</v>
      </c>
      <c r="G569" s="25" t="str">
        <f>IFERROR(__xludf.DUMMYFUNCTION("""COMPUTED_VALUE"""),"2h1m b")</f>
        <v>2h1m b</v>
      </c>
      <c r="H569" s="78"/>
      <c r="I569" s="27">
        <f>IFERROR(__xludf.DUMMYFUNCTION("""COMPUTED_VALUE"""),4.0)</f>
        <v>4</v>
      </c>
      <c r="J569" s="96"/>
      <c r="K569" s="30" t="str">
        <f>IFERROR(__xludf.DUMMYFUNCTION("""COMPUTED_VALUE"""),"gada kelanjutan")</f>
        <v>gada kelanjutan</v>
      </c>
      <c r="L569" s="23"/>
      <c r="M569" s="20"/>
      <c r="N569" s="20"/>
      <c r="O569" s="20"/>
      <c r="P569" s="20"/>
    </row>
    <row r="570">
      <c r="A570" s="97">
        <f>IFERROR(__xludf.DUMMYFUNCTION("""COMPUTED_VALUE"""),46178.0)</f>
        <v>46178</v>
      </c>
      <c r="B570" s="97" t="str">
        <f>IFERROR(__xludf.DUMMYFUNCTION("""COMPUTED_VALUE"""),"2606A029")</f>
        <v>2606A029</v>
      </c>
      <c r="C570" s="76" t="str">
        <f>IFERROR(__xludf.DUMMYFUNCTION("""COMPUTED_VALUE"""),"Gunarti")</f>
        <v>Gunarti</v>
      </c>
      <c r="D570" s="99" t="str">
        <f>IFERROR(__xludf.DUMMYFUNCTION("""COMPUTED_VALUE"""),"085156458302")</f>
        <v>085156458302</v>
      </c>
      <c r="E570" s="25" t="str">
        <f>IFERROR(__xludf.DUMMYFUNCTION("""COMPUTED_VALUE"""),"Instagram")</f>
        <v>Instagram</v>
      </c>
      <c r="F570" s="25" t="str">
        <f>IFERROR(__xludf.DUMMYFUNCTION("""COMPUTED_VALUE"""),"Closing")</f>
        <v>Closing</v>
      </c>
      <c r="G570" s="25" t="str">
        <f>IFERROR(__xludf.DUMMYFUNCTION("""COMPUTED_VALUE"""),"ot mt")</f>
        <v>ot mt</v>
      </c>
      <c r="H570" s="92">
        <f>IFERROR(__xludf.DUMMYFUNCTION("""COMPUTED_VALUE"""),46180.0)</f>
        <v>46180</v>
      </c>
      <c r="I570" s="80">
        <f>IFERROR(__xludf.DUMMYFUNCTION("""COMPUTED_VALUE"""),2.0)</f>
        <v>2</v>
      </c>
      <c r="J570" s="93">
        <f>IFERROR(__xludf.DUMMYFUNCTION("""COMPUTED_VALUE"""),550000.0)</f>
        <v>550000</v>
      </c>
      <c r="K570" s="46" t="str">
        <f>IFERROR(__xludf.DUMMYFUNCTION("""COMPUTED_VALUE"""),"alhamdulillah order")</f>
        <v>alhamdulillah order</v>
      </c>
      <c r="L570" s="76"/>
      <c r="M570" s="20"/>
      <c r="N570" s="20"/>
      <c r="O570" s="20"/>
      <c r="P570" s="20"/>
    </row>
    <row r="571">
      <c r="A571" s="110">
        <f>IFERROR(__xludf.DUMMYFUNCTION("""COMPUTED_VALUE"""),46179.0)</f>
        <v>46179</v>
      </c>
      <c r="B571" s="110" t="str">
        <f>IFERROR(__xludf.DUMMYFUNCTION("""COMPUTED_VALUE"""),"2606A030")</f>
        <v>2606A030</v>
      </c>
      <c r="C571" s="49" t="str">
        <f>IFERROR(__xludf.DUMMYFUNCTION("""COMPUTED_VALUE"""),"Atika (sriminartimulyono1975)")</f>
        <v>Atika (sriminartimulyono1975)</v>
      </c>
      <c r="D571" s="102" t="str">
        <f>IFERROR(__xludf.DUMMYFUNCTION("""COMPUTED_VALUE"""),"081238241039")</f>
        <v>081238241039</v>
      </c>
      <c r="E571" s="25" t="str">
        <f>IFERROR(__xludf.DUMMYFUNCTION("""COMPUTED_VALUE"""),"Instagram")</f>
        <v>Instagram</v>
      </c>
      <c r="F571" s="25" t="str">
        <f>IFERROR(__xludf.DUMMYFUNCTION("""COMPUTED_VALUE"""),"Gagal")</f>
        <v>Gagal</v>
      </c>
      <c r="G571" s="25" t="str">
        <f>IFERROR(__xludf.DUMMYFUNCTION("""COMPUTED_VALUE"""),"green island")</f>
        <v>green island</v>
      </c>
      <c r="H571" s="78"/>
      <c r="I571" s="89">
        <f>IFERROR(__xludf.DUMMYFUNCTION("""COMPUTED_VALUE"""),5.0)</f>
        <v>5</v>
      </c>
      <c r="J571" s="96">
        <f>IFERROR(__xludf.DUMMYFUNCTION("""COMPUTED_VALUE"""),2650000.0)</f>
        <v>2650000</v>
      </c>
      <c r="K571" s="30" t="str">
        <f>IFERROR(__xludf.DUMMYFUNCTION("""COMPUTED_VALUE"""),"ganti ke jogja")</f>
        <v>ganti ke jogja</v>
      </c>
      <c r="L571" s="49"/>
      <c r="M571" s="20"/>
      <c r="N571" s="20"/>
      <c r="O571" s="20"/>
      <c r="P571" s="20"/>
    </row>
    <row r="572">
      <c r="A572" s="97">
        <f>IFERROR(__xludf.DUMMYFUNCTION("""COMPUTED_VALUE"""),46179.0)</f>
        <v>46179</v>
      </c>
      <c r="B572" s="97" t="str">
        <f>IFERROR(__xludf.DUMMYFUNCTION("""COMPUTED_VALUE"""),"2606A031")</f>
        <v>2606A031</v>
      </c>
      <c r="C572" s="76" t="str">
        <f>IFERROR(__xludf.DUMMYFUNCTION("""COMPUTED_VALUE"""),"Evelyn Patricia")</f>
        <v>Evelyn Patricia</v>
      </c>
      <c r="D572" s="99" t="str">
        <f>IFERROR(__xludf.DUMMYFUNCTION("""COMPUTED_VALUE"""),"082255427210")</f>
        <v>082255427210</v>
      </c>
      <c r="E572" s="25" t="str">
        <f>IFERROR(__xludf.DUMMYFUNCTION("""COMPUTED_VALUE"""),"Instagram")</f>
        <v>Instagram</v>
      </c>
      <c r="F572" s="25" t="str">
        <f>IFERROR(__xludf.DUMMYFUNCTION("""COMPUTED_VALUE"""),"Prospek")</f>
        <v>Prospek</v>
      </c>
      <c r="G572" s="25" t="str">
        <f>IFERROR(__xludf.DUMMYFUNCTION("""COMPUTED_VALUE"""),"ot 3h2m")</f>
        <v>ot 3h2m</v>
      </c>
      <c r="H572" s="92"/>
      <c r="I572" s="80">
        <f>IFERROR(__xludf.DUMMYFUNCTION("""COMPUTED_VALUE"""),3.0)</f>
        <v>3</v>
      </c>
      <c r="J572" s="54">
        <f>IFERROR(__xludf.DUMMYFUNCTION("""COMPUTED_VALUE"""),4800000.0)</f>
        <v>4800000</v>
      </c>
      <c r="K572" s="46" t="str">
        <f>IFERROR(__xludf.DUMMYFUNCTION("""COMPUTED_VALUE"""),"fu 5 agustus")</f>
        <v>fu 5 agustus</v>
      </c>
      <c r="L572" s="76"/>
      <c r="M572" s="20"/>
      <c r="N572" s="20"/>
      <c r="O572" s="20"/>
      <c r="P572" s="20"/>
    </row>
    <row r="573">
      <c r="A573" s="110">
        <f>IFERROR(__xludf.DUMMYFUNCTION("""COMPUTED_VALUE"""),46179.0)</f>
        <v>46179</v>
      </c>
      <c r="B573" s="110" t="str">
        <f>IFERROR(__xludf.DUMMYFUNCTION("""COMPUTED_VALUE"""),"2606A032")</f>
        <v>2606A032</v>
      </c>
      <c r="C573" s="49" t="str">
        <f>IFERROR(__xludf.DUMMYFUNCTION("""COMPUTED_VALUE"""),"Nonny")</f>
        <v>Nonny</v>
      </c>
      <c r="D573" s="102" t="str">
        <f>IFERROR(__xludf.DUMMYFUNCTION("""COMPUTED_VALUE"""),"082150000898")</f>
        <v>082150000898</v>
      </c>
      <c r="E573" s="25" t="str">
        <f>IFERROR(__xludf.DUMMYFUNCTION("""COMPUTED_VALUE"""),"Lainnya")</f>
        <v>Lainnya</v>
      </c>
      <c r="F573" s="25" t="str">
        <f>IFERROR(__xludf.DUMMYFUNCTION("""COMPUTED_VALUE"""),"Leads Baru")</f>
        <v>Leads Baru</v>
      </c>
      <c r="G573" s="25"/>
      <c r="H573" s="78"/>
      <c r="I573" s="89">
        <f>IFERROR(__xludf.DUMMYFUNCTION("""COMPUTED_VALUE"""),2.0)</f>
        <v>2</v>
      </c>
      <c r="J573" s="96"/>
      <c r="K573" s="30"/>
      <c r="L573" s="49"/>
      <c r="M573" s="20"/>
      <c r="N573" s="20"/>
      <c r="O573" s="20"/>
      <c r="P573" s="20"/>
    </row>
    <row r="574">
      <c r="A574" s="97">
        <f>IFERROR(__xludf.DUMMYFUNCTION("""COMPUTED_VALUE"""),46179.0)</f>
        <v>46179</v>
      </c>
      <c r="B574" s="97" t="str">
        <f>IFERROR(__xludf.DUMMYFUNCTION("""COMPUTED_VALUE"""),"2606A033")</f>
        <v>2606A033</v>
      </c>
      <c r="C574" s="76" t="str">
        <f>IFERROR(__xludf.DUMMYFUNCTION("""COMPUTED_VALUE"""),"FNI")</f>
        <v>FNI</v>
      </c>
      <c r="D574" s="99" t="str">
        <f>IFERROR(__xludf.DUMMYFUNCTION("""COMPUTED_VALUE"""),"085740434420")</f>
        <v>085740434420</v>
      </c>
      <c r="E574" s="25" t="str">
        <f>IFERROR(__xludf.DUMMYFUNCTION("""COMPUTED_VALUE"""),"Instagram")</f>
        <v>Instagram</v>
      </c>
      <c r="F574" s="25" t="str">
        <f>IFERROR(__xludf.DUMMYFUNCTION("""COMPUTED_VALUE"""),"Gagal")</f>
        <v>Gagal</v>
      </c>
      <c r="G574" s="25" t="str">
        <f>IFERROR(__xludf.DUMMYFUNCTION("""COMPUTED_VALUE"""),"pvt mt")</f>
        <v>pvt mt</v>
      </c>
      <c r="H574" s="92">
        <f>IFERROR(__xludf.DUMMYFUNCTION("""COMPUTED_VALUE"""),46207.0)</f>
        <v>46207</v>
      </c>
      <c r="I574" s="80">
        <f>IFERROR(__xludf.DUMMYFUNCTION("""COMPUTED_VALUE"""),3.0)</f>
        <v>3</v>
      </c>
      <c r="J574" s="93">
        <f>IFERROR(__xludf.DUMMYFUNCTION("""COMPUTED_VALUE"""),1830000.0)</f>
        <v>1830000</v>
      </c>
      <c r="K574" s="46" t="str">
        <f>IFERROR(__xludf.DUMMYFUNCTION("""COMPUTED_VALUE"""),"gada balasan")</f>
        <v>gada balasan</v>
      </c>
      <c r="L574" s="49"/>
      <c r="M574" s="20"/>
      <c r="N574" s="20"/>
      <c r="O574" s="20"/>
      <c r="P574" s="20"/>
    </row>
    <row r="575">
      <c r="A575" s="110">
        <f>IFERROR(__xludf.DUMMYFUNCTION("""COMPUTED_VALUE"""),46179.0)</f>
        <v>46179</v>
      </c>
      <c r="B575" s="110" t="str">
        <f>IFERROR(__xludf.DUMMYFUNCTION("""COMPUTED_VALUE"""),"2606A034")</f>
        <v>2606A034</v>
      </c>
      <c r="C575" s="49" t="str">
        <f>IFERROR(__xludf.DUMMYFUNCTION("""COMPUTED_VALUE"""),"Denys (Mimi Embun)")</f>
        <v>Denys (Mimi Embun)</v>
      </c>
      <c r="D575" s="102" t="str">
        <f>IFERROR(__xludf.DUMMYFUNCTION("""COMPUTED_VALUE"""),"085645398313")</f>
        <v>085645398313</v>
      </c>
      <c r="E575" s="25" t="str">
        <f>IFERROR(__xludf.DUMMYFUNCTION("""COMPUTED_VALUE"""),"Instagram")</f>
        <v>Instagram</v>
      </c>
      <c r="F575" s="25" t="str">
        <f>IFERROR(__xludf.DUMMYFUNCTION("""COMPUTED_VALUE"""),"Gagal")</f>
        <v>Gagal</v>
      </c>
      <c r="G575" s="25" t="str">
        <f>IFERROR(__xludf.DUMMYFUNCTION("""COMPUTED_VALUE"""),"3h2m b")</f>
        <v>3h2m b</v>
      </c>
      <c r="H575" s="78"/>
      <c r="I575" s="89">
        <f>IFERROR(__xludf.DUMMYFUNCTION("""COMPUTED_VALUE"""),5.0)</f>
        <v>5</v>
      </c>
      <c r="J575" s="96">
        <f>IFERROR(__xludf.DUMMYFUNCTION("""COMPUTED_VALUE"""),5225000.0)</f>
        <v>5225000</v>
      </c>
      <c r="K575" s="36" t="str">
        <f>IFERROR(__xludf.DUMMYFUNCTION("""COMPUTED_VALUE"""),"berhalangan")</f>
        <v>berhalangan</v>
      </c>
      <c r="L575" s="49"/>
      <c r="M575" s="20"/>
      <c r="N575" s="20"/>
      <c r="O575" s="20"/>
      <c r="P575" s="20"/>
    </row>
    <row r="576">
      <c r="A576" s="97">
        <f>IFERROR(__xludf.DUMMYFUNCTION("""COMPUTED_VALUE"""),46179.0)</f>
        <v>46179</v>
      </c>
      <c r="B576" s="97" t="str">
        <f>IFERROR(__xludf.DUMMYFUNCTION("""COMPUTED_VALUE"""),"2606A035")</f>
        <v>2606A035</v>
      </c>
      <c r="C576" s="76" t="str">
        <f>IFERROR(__xludf.DUMMYFUNCTION("""COMPUTED_VALUE"""),"Sabrinaa")</f>
        <v>Sabrinaa</v>
      </c>
      <c r="D576" s="99" t="str">
        <f>IFERROR(__xludf.DUMMYFUNCTION("""COMPUTED_VALUE"""),"081329829251")</f>
        <v>081329829251</v>
      </c>
      <c r="E576" s="25" t="str">
        <f>IFERROR(__xludf.DUMMYFUNCTION("""COMPUTED_VALUE"""),"Instagram")</f>
        <v>Instagram</v>
      </c>
      <c r="F576" s="25" t="str">
        <f>IFERROR(__xludf.DUMMYFUNCTION("""COMPUTED_VALUE"""),"Gagal")</f>
        <v>Gagal</v>
      </c>
      <c r="G576" s="25" t="str">
        <f>IFERROR(__xludf.DUMMYFUNCTION("""COMPUTED_VALUE"""),"3h2m a + green island")</f>
        <v>3h2m a + green island</v>
      </c>
      <c r="H576" s="16"/>
      <c r="I576" s="17">
        <f>IFERROR(__xludf.DUMMYFUNCTION("""COMPUTED_VALUE"""),5.0)</f>
        <v>5</v>
      </c>
      <c r="J576" s="54"/>
      <c r="K576" s="46" t="str">
        <f>IFERROR(__xludf.DUMMYFUNCTION("""COMPUTED_VALUE"""),"gada balasan")</f>
        <v>gada balasan</v>
      </c>
      <c r="L576" s="76"/>
      <c r="M576" s="20"/>
      <c r="N576" s="20"/>
      <c r="O576" s="20"/>
      <c r="P576" s="20"/>
    </row>
    <row r="577">
      <c r="A577" s="110">
        <f>IFERROR(__xludf.DUMMYFUNCTION("""COMPUTED_VALUE"""),46180.0)</f>
        <v>46180</v>
      </c>
      <c r="B577" s="110" t="str">
        <f>IFERROR(__xludf.DUMMYFUNCTION("""COMPUTED_VALUE"""),"2606A036")</f>
        <v>2606A036</v>
      </c>
      <c r="C577" s="49" t="str">
        <f>IFERROR(__xludf.DUMMYFUNCTION("""COMPUTED_VALUE"""),"Lulu Amirah")</f>
        <v>Lulu Amirah</v>
      </c>
      <c r="D577" s="102" t="str">
        <f>IFERROR(__xludf.DUMMYFUNCTION("""COMPUTED_VALUE"""),"085793432795")</f>
        <v>085793432795</v>
      </c>
      <c r="E577" s="25" t="str">
        <f>IFERROR(__xludf.DUMMYFUNCTION("""COMPUTED_VALUE"""),"Instagram")</f>
        <v>Instagram</v>
      </c>
      <c r="F577" s="25" t="str">
        <f>IFERROR(__xludf.DUMMYFUNCTION("""COMPUTED_VALUE"""),"Gagal")</f>
        <v>Gagal</v>
      </c>
      <c r="G577" s="25"/>
      <c r="H577" s="26"/>
      <c r="I577" s="27"/>
      <c r="J577" s="33"/>
      <c r="K577" s="30" t="str">
        <f>IFERROR(__xludf.DUMMYFUNCTION("""COMPUTED_VALUE"""),"tanya-tanya aja")</f>
        <v>tanya-tanya aja</v>
      </c>
      <c r="L577" s="49"/>
      <c r="M577" s="20"/>
      <c r="N577" s="20"/>
      <c r="O577" s="20"/>
      <c r="P577" s="20"/>
    </row>
    <row r="578">
      <c r="A578" s="97">
        <f>IFERROR(__xludf.DUMMYFUNCTION("""COMPUTED_VALUE"""),46180.0)</f>
        <v>46180</v>
      </c>
      <c r="B578" s="97" t="str">
        <f>IFERROR(__xludf.DUMMYFUNCTION("""COMPUTED_VALUE"""),"2606A037")</f>
        <v>2606A037</v>
      </c>
      <c r="C578" s="76" t="str">
        <f>IFERROR(__xludf.DUMMYFUNCTION("""COMPUTED_VALUE"""),"Rahmawati Ahmad")</f>
        <v>Rahmawati Ahmad</v>
      </c>
      <c r="D578" s="99" t="str">
        <f>IFERROR(__xludf.DUMMYFUNCTION("""COMPUTED_VALUE"""),"081315387703")</f>
        <v>081315387703</v>
      </c>
      <c r="E578" s="25" t="str">
        <f>IFERROR(__xludf.DUMMYFUNCTION("""COMPUTED_VALUE"""),"Website")</f>
        <v>Website</v>
      </c>
      <c r="F578" s="25" t="str">
        <f>IFERROR(__xludf.DUMMYFUNCTION("""COMPUTED_VALUE"""),"Closing")</f>
        <v>Closing</v>
      </c>
      <c r="G578" s="25" t="str">
        <f>IFERROR(__xludf.DUMMYFUNCTION("""COMPUTED_VALUE"""),"2h1m ")</f>
        <v>2h1m </v>
      </c>
      <c r="H578" s="92">
        <f>IFERROR(__xludf.DUMMYFUNCTION("""COMPUTED_VALUE"""),46216.0)</f>
        <v>46216</v>
      </c>
      <c r="I578" s="80">
        <f>IFERROR(__xludf.DUMMYFUNCTION("""COMPUTED_VALUE"""),5.0)</f>
        <v>5</v>
      </c>
      <c r="J578" s="93">
        <f>IFERROR(__xludf.DUMMYFUNCTION("""COMPUTED_VALUE"""),4430000.0)</f>
        <v>4430000</v>
      </c>
      <c r="K578" s="46" t="str">
        <f>IFERROR(__xludf.DUMMYFUNCTION("""COMPUTED_VALUE"""),"order")</f>
        <v>order</v>
      </c>
      <c r="L578" s="76"/>
      <c r="M578" s="20"/>
      <c r="N578" s="20"/>
      <c r="O578" s="20"/>
      <c r="P578" s="20"/>
    </row>
    <row r="579">
      <c r="A579" s="110">
        <f>IFERROR(__xludf.DUMMYFUNCTION("""COMPUTED_VALUE"""),46180.0)</f>
        <v>46180</v>
      </c>
      <c r="B579" s="110" t="str">
        <f>IFERROR(__xludf.DUMMYFUNCTION("""COMPUTED_VALUE"""),"2606A038")</f>
        <v>2606A038</v>
      </c>
      <c r="C579" s="49" t="str">
        <f>IFERROR(__xludf.DUMMYFUNCTION("""COMPUTED_VALUE"""),"faaa")</f>
        <v>faaa</v>
      </c>
      <c r="D579" s="102" t="str">
        <f>IFERROR(__xludf.DUMMYFUNCTION("""COMPUTED_VALUE"""),"085138590590")</f>
        <v>085138590590</v>
      </c>
      <c r="E579" s="25" t="str">
        <f>IFERROR(__xludf.DUMMYFUNCTION("""COMPUTED_VALUE"""),"Instagram")</f>
        <v>Instagram</v>
      </c>
      <c r="F579" s="25" t="str">
        <f>IFERROR(__xludf.DUMMYFUNCTION("""COMPUTED_VALUE"""),"Gagal")</f>
        <v>Gagal</v>
      </c>
      <c r="G579" s="25" t="str">
        <f>IFERROR(__xludf.DUMMYFUNCTION("""COMPUTED_VALUE"""),"3h2m b")</f>
        <v>3h2m b</v>
      </c>
      <c r="H579" s="26"/>
      <c r="I579" s="89"/>
      <c r="J579" s="33"/>
      <c r="K579" s="30" t="str">
        <f>IFERROR(__xludf.DUMMYFUNCTION("""COMPUTED_VALUE"""),"gada balasan")</f>
        <v>gada balasan</v>
      </c>
      <c r="L579" s="49"/>
      <c r="M579" s="20"/>
      <c r="N579" s="20"/>
      <c r="O579" s="20"/>
      <c r="P579" s="20"/>
    </row>
    <row r="580">
      <c r="A580" s="97">
        <f>IFERROR(__xludf.DUMMYFUNCTION("""COMPUTED_VALUE"""),46179.0)</f>
        <v>46179</v>
      </c>
      <c r="B580" s="97" t="str">
        <f>IFERROR(__xludf.DUMMYFUNCTION("""COMPUTED_VALUE"""),"2606A039")</f>
        <v>2606A039</v>
      </c>
      <c r="C580" s="76" t="str">
        <f>IFERROR(__xludf.DUMMYFUNCTION("""COMPUTED_VALUE"""),"ndupandw")</f>
        <v>ndupandw</v>
      </c>
      <c r="D580" s="99" t="str">
        <f>IFERROR(__xludf.DUMMYFUNCTION("""COMPUTED_VALUE"""),"0895360766092")</f>
        <v>0895360766092</v>
      </c>
      <c r="E580" s="25" t="str">
        <f>IFERROR(__xludf.DUMMYFUNCTION("""COMPUTED_VALUE"""),"Instagram")</f>
        <v>Instagram</v>
      </c>
      <c r="F580" s="25" t="str">
        <f>IFERROR(__xludf.DUMMYFUNCTION("""COMPUTED_VALUE"""),"Gagal")</f>
        <v>Gagal</v>
      </c>
      <c r="G580" s="25" t="str">
        <f>IFERROR(__xludf.DUMMYFUNCTION("""COMPUTED_VALUE"""),"ot 2h1m")</f>
        <v>ot 2h1m</v>
      </c>
      <c r="H580" s="92"/>
      <c r="I580" s="80"/>
      <c r="J580" s="93"/>
      <c r="K580" s="46" t="str">
        <f>IFERROR(__xludf.DUMMYFUNCTION("""COMPUTED_VALUE"""),"lewat tanggal")</f>
        <v>lewat tanggal</v>
      </c>
      <c r="L580" s="10"/>
      <c r="M580" s="20"/>
      <c r="N580" s="20"/>
      <c r="O580" s="20"/>
      <c r="P580" s="20"/>
    </row>
    <row r="581">
      <c r="A581" s="97">
        <f>IFERROR(__xludf.DUMMYFUNCTION("""COMPUTED_VALUE"""),46180.0)</f>
        <v>46180</v>
      </c>
      <c r="B581" s="97" t="str">
        <f>IFERROR(__xludf.DUMMYFUNCTION("""COMPUTED_VALUE"""),"2606A040")</f>
        <v>2606A040</v>
      </c>
      <c r="C581" s="76" t="str">
        <f>IFERROR(__xludf.DUMMYFUNCTION("""COMPUTED_VALUE"""),"anabelle")</f>
        <v>anabelle</v>
      </c>
      <c r="D581" s="99" t="str">
        <f>IFERROR(__xludf.DUMMYFUNCTION("""COMPUTED_VALUE"""),"08179426253")</f>
        <v>08179426253</v>
      </c>
      <c r="E581" s="25" t="str">
        <f>IFERROR(__xludf.DUMMYFUNCTION("""COMPUTED_VALUE"""),"Instagram")</f>
        <v>Instagram</v>
      </c>
      <c r="F581" s="25" t="str">
        <f>IFERROR(__xludf.DUMMYFUNCTION("""COMPUTED_VALUE"""),"Gagal")</f>
        <v>Gagal</v>
      </c>
      <c r="G581" s="25" t="str">
        <f>IFERROR(__xludf.DUMMYFUNCTION("""COMPUTED_VALUE"""),"ot 3h2m")</f>
        <v>ot 3h2m</v>
      </c>
      <c r="H581" s="92"/>
      <c r="I581" s="80">
        <f>IFERROR(__xludf.DUMMYFUNCTION("""COMPUTED_VALUE"""),7.0)</f>
        <v>7</v>
      </c>
      <c r="J581" s="93">
        <f>IFERROR(__xludf.DUMMYFUNCTION("""COMPUTED_VALUE"""),1.12E7)</f>
        <v>11200000</v>
      </c>
      <c r="K581" s="19"/>
      <c r="L581" s="76"/>
      <c r="M581" s="20"/>
      <c r="N581" s="20"/>
      <c r="O581" s="20"/>
      <c r="P581" s="20"/>
    </row>
    <row r="582">
      <c r="A582" s="110">
        <f>IFERROR(__xludf.DUMMYFUNCTION("""COMPUTED_VALUE"""),46180.0)</f>
        <v>46180</v>
      </c>
      <c r="B582" s="110" t="str">
        <f>IFERROR(__xludf.DUMMYFUNCTION("""COMPUTED_VALUE"""),"2606A041")</f>
        <v>2606A041</v>
      </c>
      <c r="C582" s="49" t="str">
        <f>IFERROR(__xludf.DUMMYFUNCTION("""COMPUTED_VALUE"""),"andrian RW")</f>
        <v>andrian RW</v>
      </c>
      <c r="D582" s="102" t="str">
        <f>IFERROR(__xludf.DUMMYFUNCTION("""COMPUTED_VALUE"""),"081388663674")</f>
        <v>081388663674</v>
      </c>
      <c r="E582" s="25" t="str">
        <f>IFERROR(__xludf.DUMMYFUNCTION("""COMPUTED_VALUE"""),"Instagram")</f>
        <v>Instagram</v>
      </c>
      <c r="F582" s="25" t="str">
        <f>IFERROR(__xludf.DUMMYFUNCTION("""COMPUTED_VALUE"""),"Gagal")</f>
        <v>Gagal</v>
      </c>
      <c r="G582" s="25" t="str">
        <f>IFERROR(__xludf.DUMMYFUNCTION("""COMPUTED_VALUE"""),"2h1m")</f>
        <v>2h1m</v>
      </c>
      <c r="H582" s="78"/>
      <c r="I582" s="89"/>
      <c r="J582" s="96"/>
      <c r="K582" s="36" t="str">
        <f>IFERROR(__xludf.DUMMYFUNCTION("""COMPUTED_VALUE"""),"gada balasan")</f>
        <v>gada balasan</v>
      </c>
      <c r="L582" s="49"/>
      <c r="M582" s="20"/>
      <c r="N582" s="20"/>
      <c r="O582" s="20"/>
      <c r="P582" s="20"/>
    </row>
    <row r="583">
      <c r="A583" s="97">
        <f>IFERROR(__xludf.DUMMYFUNCTION("""COMPUTED_VALUE"""),46180.0)</f>
        <v>46180</v>
      </c>
      <c r="B583" s="97" t="str">
        <f>IFERROR(__xludf.DUMMYFUNCTION("""COMPUTED_VALUE"""),"2606A042")</f>
        <v>2606A042</v>
      </c>
      <c r="C583" s="76" t="str">
        <f>IFERROR(__xludf.DUMMYFUNCTION("""COMPUTED_VALUE"""),"Thiaa")</f>
        <v>Thiaa</v>
      </c>
      <c r="D583" s="99" t="str">
        <f>IFERROR(__xludf.DUMMYFUNCTION("""COMPUTED_VALUE"""),"081388330262")</f>
        <v>081388330262</v>
      </c>
      <c r="E583" s="25" t="str">
        <f>IFERROR(__xludf.DUMMYFUNCTION("""COMPUTED_VALUE"""),"Instagram")</f>
        <v>Instagram</v>
      </c>
      <c r="F583" s="25" t="str">
        <f>IFERROR(__xludf.DUMMYFUNCTION("""COMPUTED_VALUE"""),"Gagal")</f>
        <v>Gagal</v>
      </c>
      <c r="G583" s="25" t="str">
        <f>IFERROR(__xludf.DUMMYFUNCTION("""COMPUTED_VALUE"""),"ot mt")</f>
        <v>ot mt</v>
      </c>
      <c r="H583" s="92"/>
      <c r="I583" s="80"/>
      <c r="J583" s="93"/>
      <c r="K583" s="46" t="str">
        <f>IFERROR(__xludf.DUMMYFUNCTION("""COMPUTED_VALUE"""),"gada balasan")</f>
        <v>gada balasan</v>
      </c>
      <c r="L583" s="76"/>
      <c r="M583" s="20"/>
      <c r="N583" s="20"/>
      <c r="O583" s="20"/>
      <c r="P583" s="20"/>
    </row>
    <row r="584">
      <c r="A584" s="110">
        <f>IFERROR(__xludf.DUMMYFUNCTION("""COMPUTED_VALUE"""),46181.0)</f>
        <v>46181</v>
      </c>
      <c r="B584" s="110" t="str">
        <f>IFERROR(__xludf.DUMMYFUNCTION("""COMPUTED_VALUE"""),"2606A043")</f>
        <v>2606A043</v>
      </c>
      <c r="C584" s="49" t="str">
        <f>IFERROR(__xludf.DUMMYFUNCTION("""COMPUTED_VALUE"""),"Tri nurhajati")</f>
        <v>Tri nurhajati</v>
      </c>
      <c r="D584" s="102" t="str">
        <f>IFERROR(__xludf.DUMMYFUNCTION("""COMPUTED_VALUE"""),"087777290722")</f>
        <v>087777290722</v>
      </c>
      <c r="E584" s="25" t="str">
        <f>IFERROR(__xludf.DUMMYFUNCTION("""COMPUTED_VALUE"""),"Website")</f>
        <v>Website</v>
      </c>
      <c r="F584" s="25" t="str">
        <f>IFERROR(__xludf.DUMMYFUNCTION("""COMPUTED_VALUE"""),"Gagal")</f>
        <v>Gagal</v>
      </c>
      <c r="G584" s="25" t="str">
        <f>IFERROR(__xludf.DUMMYFUNCTION("""COMPUTED_VALUE"""),"3h2m")</f>
        <v>3h2m</v>
      </c>
      <c r="H584" s="78"/>
      <c r="I584" s="89">
        <f>IFERROR(__xludf.DUMMYFUNCTION("""COMPUTED_VALUE"""),7.0)</f>
        <v>7</v>
      </c>
      <c r="J584" s="96"/>
      <c r="K584" s="30" t="str">
        <f>IFERROR(__xludf.DUMMYFUNCTION("""COMPUTED_VALUE"""),"jadinya ke Bali")</f>
        <v>jadinya ke Bali</v>
      </c>
      <c r="L584" s="49"/>
      <c r="M584" s="20"/>
      <c r="N584" s="20"/>
      <c r="O584" s="20"/>
      <c r="P584" s="20"/>
    </row>
    <row r="585">
      <c r="A585" s="97">
        <f>IFERROR(__xludf.DUMMYFUNCTION("""COMPUTED_VALUE"""),46181.0)</f>
        <v>46181</v>
      </c>
      <c r="B585" s="97" t="str">
        <f>IFERROR(__xludf.DUMMYFUNCTION("""COMPUTED_VALUE"""),"2606A044")</f>
        <v>2606A044</v>
      </c>
      <c r="C585" s="76" t="str">
        <f>IFERROR(__xludf.DUMMYFUNCTION("""COMPUTED_VALUE"""),"Iin")</f>
        <v>Iin</v>
      </c>
      <c r="D585" s="99" t="str">
        <f>IFERROR(__xludf.DUMMYFUNCTION("""COMPUTED_VALUE"""),"081296007655")</f>
        <v>081296007655</v>
      </c>
      <c r="E585" s="25" t="str">
        <f>IFERROR(__xludf.DUMMYFUNCTION("""COMPUTED_VALUE"""),"Instagram")</f>
        <v>Instagram</v>
      </c>
      <c r="F585" s="25" t="str">
        <f>IFERROR(__xludf.DUMMYFUNCTION("""COMPUTED_VALUE"""),"Gagal")</f>
        <v>Gagal</v>
      </c>
      <c r="G585" s="25" t="str">
        <f>IFERROR(__xludf.DUMMYFUNCTION("""COMPUTED_VALUE"""),"2h1m")</f>
        <v>2h1m</v>
      </c>
      <c r="H585" s="92"/>
      <c r="I585" s="80"/>
      <c r="J585" s="93"/>
      <c r="K585" s="19" t="str">
        <f>IFERROR(__xludf.DUMMYFUNCTION("""COMPUTED_VALUE"""),"ga jadi, tdk menyebutkan alasan")</f>
        <v>ga jadi, tdk menyebutkan alasan</v>
      </c>
      <c r="L585" s="76"/>
      <c r="M585" s="20"/>
      <c r="N585" s="20"/>
      <c r="O585" s="20"/>
      <c r="P585" s="20"/>
    </row>
    <row r="586">
      <c r="A586" s="110">
        <f>IFERROR(__xludf.DUMMYFUNCTION("""COMPUTED_VALUE"""),46181.0)</f>
        <v>46181</v>
      </c>
      <c r="B586" s="110" t="str">
        <f>IFERROR(__xludf.DUMMYFUNCTION("""COMPUTED_VALUE"""),"2606A045")</f>
        <v>2606A045</v>
      </c>
      <c r="C586" s="49" t="str">
        <f>IFERROR(__xludf.DUMMYFUNCTION("""COMPUTED_VALUE"""),"Desy / raja salad")</f>
        <v>Desy / raja salad</v>
      </c>
      <c r="D586" s="102" t="str">
        <f>IFERROR(__xludf.DUMMYFUNCTION("""COMPUTED_VALUE"""),"082153526000")</f>
        <v>082153526000</v>
      </c>
      <c r="E586" s="25" t="str">
        <f>IFERROR(__xludf.DUMMYFUNCTION("""COMPUTED_VALUE"""),"Website")</f>
        <v>Website</v>
      </c>
      <c r="F586" s="25" t="str">
        <f>IFERROR(__xludf.DUMMYFUNCTION("""COMPUTED_VALUE"""),"Gagal")</f>
        <v>Gagal</v>
      </c>
      <c r="G586" s="25" t="str">
        <f>IFERROR(__xludf.DUMMYFUNCTION("""COMPUTED_VALUE"""),"1h")</f>
        <v>1h</v>
      </c>
      <c r="H586" s="26"/>
      <c r="I586" s="27">
        <f>IFERROR(__xludf.DUMMYFUNCTION("""COMPUTED_VALUE"""),18.0)</f>
        <v>18</v>
      </c>
      <c r="J586" s="33"/>
      <c r="K586" s="30" t="str">
        <f>IFERROR(__xludf.DUMMYFUNCTION("""COMPUTED_VALUE"""),"gada balasan")</f>
        <v>gada balasan</v>
      </c>
      <c r="L586" s="49"/>
      <c r="M586" s="20"/>
      <c r="N586" s="20"/>
      <c r="O586" s="20"/>
      <c r="P586" s="20"/>
    </row>
    <row r="587">
      <c r="A587" s="97">
        <f>IFERROR(__xludf.DUMMYFUNCTION("""COMPUTED_VALUE"""),46181.0)</f>
        <v>46181</v>
      </c>
      <c r="B587" s="97" t="str">
        <f>IFERROR(__xludf.DUMMYFUNCTION("""COMPUTED_VALUE"""),"2606A046")</f>
        <v>2606A046</v>
      </c>
      <c r="C587" s="76" t="str">
        <f>IFERROR(__xludf.DUMMYFUNCTION("""COMPUTED_VALUE"""),"vinni")</f>
        <v>vinni</v>
      </c>
      <c r="D587" s="99" t="str">
        <f>IFERROR(__xludf.DUMMYFUNCTION("""COMPUTED_VALUE"""),"085860596632")</f>
        <v>085860596632</v>
      </c>
      <c r="E587" s="25" t="str">
        <f>IFERROR(__xludf.DUMMYFUNCTION("""COMPUTED_VALUE"""),"Website")</f>
        <v>Website</v>
      </c>
      <c r="F587" s="25" t="str">
        <f>IFERROR(__xludf.DUMMYFUNCTION("""COMPUTED_VALUE"""),"Closing")</f>
        <v>Closing</v>
      </c>
      <c r="G587" s="25" t="str">
        <f>IFERROR(__xludf.DUMMYFUNCTION("""COMPUTED_VALUE"""),"2h1m")</f>
        <v>2h1m</v>
      </c>
      <c r="H587" s="16"/>
      <c r="I587" s="80">
        <f>IFERROR(__xludf.DUMMYFUNCTION("""COMPUTED_VALUE"""),14.0)</f>
        <v>14</v>
      </c>
      <c r="J587" s="93">
        <f>IFERROR(__xludf.DUMMYFUNCTION("""COMPUTED_VALUE"""),1.9955E7)</f>
        <v>19955000</v>
      </c>
      <c r="K587" s="46" t="str">
        <f>IFERROR(__xludf.DUMMYFUNCTION("""COMPUTED_VALUE"""),"alhamdulillah order")</f>
        <v>alhamdulillah order</v>
      </c>
      <c r="L587" s="76"/>
      <c r="M587" s="20"/>
      <c r="N587" s="20"/>
      <c r="O587" s="20"/>
      <c r="P587" s="20"/>
    </row>
    <row r="588">
      <c r="A588" s="110">
        <f>IFERROR(__xludf.DUMMYFUNCTION("""COMPUTED_VALUE"""),46181.0)</f>
        <v>46181</v>
      </c>
      <c r="B588" s="110" t="str">
        <f>IFERROR(__xludf.DUMMYFUNCTION("""COMPUTED_VALUE"""),"2606A047")</f>
        <v>2606A047</v>
      </c>
      <c r="C588" s="49" t="str">
        <f>IFERROR(__xludf.DUMMYFUNCTION("""COMPUTED_VALUE"""),"Eny")</f>
        <v>Eny</v>
      </c>
      <c r="D588" s="102" t="str">
        <f>IFERROR(__xludf.DUMMYFUNCTION("""COMPUTED_VALUE"""),"081945997749")</f>
        <v>081945997749</v>
      </c>
      <c r="E588" s="25" t="str">
        <f>IFERROR(__xludf.DUMMYFUNCTION("""COMPUTED_VALUE"""),"Lainnya")</f>
        <v>Lainnya</v>
      </c>
      <c r="F588" s="25" t="str">
        <f>IFERROR(__xludf.DUMMYFUNCTION("""COMPUTED_VALUE"""),"Closing")</f>
        <v>Closing</v>
      </c>
      <c r="G588" s="25" t="str">
        <f>IFERROR(__xludf.DUMMYFUNCTION("""COMPUTED_VALUE"""),"3h2m")</f>
        <v>3h2m</v>
      </c>
      <c r="H588" s="26">
        <f>IFERROR(__xludf.DUMMYFUNCTION("""COMPUTED_VALUE"""),46202.0)</f>
        <v>46202</v>
      </c>
      <c r="I588" s="27">
        <f>IFERROR(__xludf.DUMMYFUNCTION("""COMPUTED_VALUE"""),8.0)</f>
        <v>8</v>
      </c>
      <c r="J588" s="33">
        <f>IFERROR(__xludf.DUMMYFUNCTION("""COMPUTED_VALUE"""),1.04E7)</f>
        <v>10400000</v>
      </c>
      <c r="K588" s="30"/>
      <c r="L588" s="49"/>
      <c r="M588" s="20"/>
      <c r="N588" s="20"/>
      <c r="O588" s="20"/>
      <c r="P588" s="20"/>
    </row>
    <row r="589">
      <c r="A589" s="97">
        <f>IFERROR(__xludf.DUMMYFUNCTION("""COMPUTED_VALUE"""),46181.0)</f>
        <v>46181</v>
      </c>
      <c r="B589" s="97" t="str">
        <f>IFERROR(__xludf.DUMMYFUNCTION("""COMPUTED_VALUE"""),"2606A048")</f>
        <v>2606A048</v>
      </c>
      <c r="C589" s="76" t="str">
        <f>IFERROR(__xludf.DUMMYFUNCTION("""COMPUTED_VALUE"""),"Anita Rismaya")</f>
        <v>Anita Rismaya</v>
      </c>
      <c r="D589" s="99" t="str">
        <f>IFERROR(__xludf.DUMMYFUNCTION("""COMPUTED_VALUE"""),"087777270743")</f>
        <v>087777270743</v>
      </c>
      <c r="E589" s="25" t="str">
        <f>IFERROR(__xludf.DUMMYFUNCTION("""COMPUTED_VALUE"""),"Instagram")</f>
        <v>Instagram</v>
      </c>
      <c r="F589" s="25" t="str">
        <f>IFERROR(__xludf.DUMMYFUNCTION("""COMPUTED_VALUE"""),"Gagal")</f>
        <v>Gagal</v>
      </c>
      <c r="G589" s="25" t="str">
        <f>IFERROR(__xludf.DUMMYFUNCTION("""COMPUTED_VALUE"""),"ot baluran dan alas purwo")</f>
        <v>ot baluran dan alas purwo</v>
      </c>
      <c r="H589" s="16"/>
      <c r="I589" s="17"/>
      <c r="J589" s="54"/>
      <c r="K589" s="46" t="str">
        <f>IFERROR(__xludf.DUMMYFUNCTION("""COMPUTED_VALUE"""),"gada balasan")</f>
        <v>gada balasan</v>
      </c>
      <c r="L589" s="76"/>
      <c r="M589" s="20"/>
      <c r="N589" s="20"/>
      <c r="O589" s="20"/>
      <c r="P589" s="20"/>
    </row>
    <row r="590">
      <c r="A590" s="110">
        <f>IFERROR(__xludf.DUMMYFUNCTION("""COMPUTED_VALUE"""),46182.0)</f>
        <v>46182</v>
      </c>
      <c r="B590" s="135" t="str">
        <f>IFERROR(__xludf.DUMMYFUNCTION("""COMPUTED_VALUE"""),"2606A049")</f>
        <v>2606A049</v>
      </c>
      <c r="C590" s="49" t="str">
        <f>IFERROR(__xludf.DUMMYFUNCTION("""COMPUTED_VALUE"""),"Lutfiya")</f>
        <v>Lutfiya</v>
      </c>
      <c r="D590" s="102" t="str">
        <f>IFERROR(__xludf.DUMMYFUNCTION("""COMPUTED_VALUE"""),"085732131060")</f>
        <v>085732131060</v>
      </c>
      <c r="E590" s="25" t="str">
        <f>IFERROR(__xludf.DUMMYFUNCTION("""COMPUTED_VALUE"""),"Instagram")</f>
        <v>Instagram</v>
      </c>
      <c r="F590" s="25" t="str">
        <f>IFERROR(__xludf.DUMMYFUNCTION("""COMPUTED_VALUE"""),"Closing")</f>
        <v>Closing</v>
      </c>
      <c r="G590" s="25" t="str">
        <f>IFERROR(__xludf.DUMMYFUNCTION("""COMPUTED_VALUE"""),"ot mt")</f>
        <v>ot mt</v>
      </c>
      <c r="H590" s="78">
        <f>IFERROR(__xludf.DUMMYFUNCTION("""COMPUTED_VALUE"""),46187.0)</f>
        <v>46187</v>
      </c>
      <c r="I590" s="89">
        <f>IFERROR(__xludf.DUMMYFUNCTION("""COMPUTED_VALUE"""),2.0)</f>
        <v>2</v>
      </c>
      <c r="J590" s="96">
        <f>IFERROR(__xludf.DUMMYFUNCTION("""COMPUTED_VALUE"""),550000.0)</f>
        <v>550000</v>
      </c>
      <c r="K590" s="30" t="str">
        <f>IFERROR(__xludf.DUMMYFUNCTION("""COMPUTED_VALUE"""),"alhamdulillah closing")</f>
        <v>alhamdulillah closing</v>
      </c>
      <c r="L590" s="49"/>
      <c r="M590" s="20"/>
      <c r="N590" s="20"/>
      <c r="O590" s="20"/>
      <c r="P590" s="20"/>
    </row>
    <row r="591">
      <c r="A591" s="97">
        <f>IFERROR(__xludf.DUMMYFUNCTION("""COMPUTED_VALUE"""),46182.0)</f>
        <v>46182</v>
      </c>
      <c r="B591" s="97" t="str">
        <f>IFERROR(__xludf.DUMMYFUNCTION("""COMPUTED_VALUE"""),"2606A050")</f>
        <v>2606A050</v>
      </c>
      <c r="C591" s="76" t="str">
        <f>IFERROR(__xludf.DUMMYFUNCTION("""COMPUTED_VALUE"""),"Erma Nurfajriah")</f>
        <v>Erma Nurfajriah</v>
      </c>
      <c r="D591" s="99" t="str">
        <f>IFERROR(__xludf.DUMMYFUNCTION("""COMPUTED_VALUE"""),"085762982172")</f>
        <v>085762982172</v>
      </c>
      <c r="E591" s="25" t="str">
        <f>IFERROR(__xludf.DUMMYFUNCTION("""COMPUTED_VALUE"""),"Instagram")</f>
        <v>Instagram</v>
      </c>
      <c r="F591" s="25" t="str">
        <f>IFERROR(__xludf.DUMMYFUNCTION("""COMPUTED_VALUE"""),"Qualified")</f>
        <v>Qualified</v>
      </c>
      <c r="G591" s="25"/>
      <c r="H591" s="16">
        <f>IFERROR(__xludf.DUMMYFUNCTION("""COMPUTED_VALUE"""),46184.0)</f>
        <v>46184</v>
      </c>
      <c r="I591" s="17"/>
      <c r="J591" s="54"/>
      <c r="K591" s="46"/>
      <c r="L591" s="76"/>
      <c r="M591" s="20"/>
      <c r="N591" s="20"/>
      <c r="O591" s="20"/>
      <c r="P591" s="20"/>
    </row>
    <row r="592">
      <c r="A592" s="110">
        <f>IFERROR(__xludf.DUMMYFUNCTION("""COMPUTED_VALUE"""),46182.0)</f>
        <v>46182</v>
      </c>
      <c r="B592" s="110" t="str">
        <f>IFERROR(__xludf.DUMMYFUNCTION("""COMPUTED_VALUE"""),"2606A051")</f>
        <v>2606A051</v>
      </c>
      <c r="C592" s="49" t="str">
        <f>IFERROR(__xludf.DUMMYFUNCTION("""COMPUTED_VALUE"""),"Najwa ")</f>
        <v>Najwa </v>
      </c>
      <c r="D592" s="102" t="str">
        <f>IFERROR(__xludf.DUMMYFUNCTION("""COMPUTED_VALUE"""),"081339893441")</f>
        <v>081339893441</v>
      </c>
      <c r="E592" s="25" t="str">
        <f>IFERROR(__xludf.DUMMYFUNCTION("""COMPUTED_VALUE"""),"Instagram")</f>
        <v>Instagram</v>
      </c>
      <c r="F592" s="25" t="str">
        <f>IFERROR(__xludf.DUMMYFUNCTION("""COMPUTED_VALUE"""),"Gagal")</f>
        <v>Gagal</v>
      </c>
      <c r="G592" s="25" t="str">
        <f>IFERROR(__xludf.DUMMYFUNCTION("""COMPUTED_VALUE"""),"1d djabal")</f>
        <v>1d djabal</v>
      </c>
      <c r="H592" s="78">
        <f>IFERROR(__xludf.DUMMYFUNCTION("""COMPUTED_VALUE"""),46188.0)</f>
        <v>46188</v>
      </c>
      <c r="I592" s="89">
        <f>IFERROR(__xludf.DUMMYFUNCTION("""COMPUTED_VALUE"""),3.0)</f>
        <v>3</v>
      </c>
      <c r="J592" s="96"/>
      <c r="K592" s="30"/>
      <c r="L592" s="49"/>
      <c r="M592" s="20"/>
      <c r="N592" s="20"/>
      <c r="O592" s="20"/>
      <c r="P592" s="20"/>
    </row>
    <row r="593">
      <c r="A593" s="97">
        <f>IFERROR(__xludf.DUMMYFUNCTION("""COMPUTED_VALUE"""),46182.0)</f>
        <v>46182</v>
      </c>
      <c r="B593" s="97" t="str">
        <f>IFERROR(__xludf.DUMMYFUNCTION("""COMPUTED_VALUE"""),"2606A052")</f>
        <v>2606A052</v>
      </c>
      <c r="C593" s="76" t="str">
        <f>IFERROR(__xludf.DUMMYFUNCTION("""COMPUTED_VALUE"""),"Resti")</f>
        <v>Resti</v>
      </c>
      <c r="D593" s="99" t="str">
        <f>IFERROR(__xludf.DUMMYFUNCTION("""COMPUTED_VALUE"""),"085787309812")</f>
        <v>085787309812</v>
      </c>
      <c r="E593" s="25" t="str">
        <f>IFERROR(__xludf.DUMMYFUNCTION("""COMPUTED_VALUE"""),"Lainnya")</f>
        <v>Lainnya</v>
      </c>
      <c r="F593" s="25" t="str">
        <f>IFERROR(__xludf.DUMMYFUNCTION("""COMPUTED_VALUE"""),"Gagal")</f>
        <v>Gagal</v>
      </c>
      <c r="G593" s="25"/>
      <c r="H593" s="92"/>
      <c r="I593" s="80">
        <f>IFERROR(__xludf.DUMMYFUNCTION("""COMPUTED_VALUE"""),30.0)</f>
        <v>30</v>
      </c>
      <c r="J593" s="93"/>
      <c r="K593" s="46" t="str">
        <f>IFERROR(__xludf.DUMMYFUNCTION("""COMPUTED_VALUE"""),"tiket pesawat habis")</f>
        <v>tiket pesawat habis</v>
      </c>
      <c r="L593" s="76"/>
      <c r="M593" s="20"/>
      <c r="N593" s="20"/>
      <c r="O593" s="20"/>
      <c r="P593" s="20"/>
    </row>
    <row r="594">
      <c r="A594" s="110">
        <f>IFERROR(__xludf.DUMMYFUNCTION("""COMPUTED_VALUE"""),46183.0)</f>
        <v>46183</v>
      </c>
      <c r="B594" s="110" t="str">
        <f>IFERROR(__xludf.DUMMYFUNCTION("""COMPUTED_VALUE"""),"2606A053")</f>
        <v>2606A053</v>
      </c>
      <c r="C594" s="49" t="str">
        <f>IFERROR(__xludf.DUMMYFUNCTION("""COMPUTED_VALUE"""),"vivin")</f>
        <v>vivin</v>
      </c>
      <c r="D594" s="102" t="str">
        <f>IFERROR(__xludf.DUMMYFUNCTION("""COMPUTED_VALUE"""),"089519990936")</f>
        <v>089519990936</v>
      </c>
      <c r="E594" s="25" t="str">
        <f>IFERROR(__xludf.DUMMYFUNCTION("""COMPUTED_VALUE"""),"Tiktok")</f>
        <v>Tiktok</v>
      </c>
      <c r="F594" s="25" t="str">
        <f>IFERROR(__xludf.DUMMYFUNCTION("""COMPUTED_VALUE"""),"Gagal")</f>
        <v>Gagal</v>
      </c>
      <c r="G594" s="25" t="str">
        <f>IFERROR(__xludf.DUMMYFUNCTION("""COMPUTED_VALUE"""),"ot 3h2m")</f>
        <v>ot 3h2m</v>
      </c>
      <c r="H594" s="78">
        <f>IFERROR(__xludf.DUMMYFUNCTION("""COMPUTED_VALUE"""),46193.0)</f>
        <v>46193</v>
      </c>
      <c r="I594" s="89">
        <f>IFERROR(__xludf.DUMMYFUNCTION("""COMPUTED_VALUE"""),1.0)</f>
        <v>1</v>
      </c>
      <c r="J594" s="96"/>
      <c r="K594" s="36" t="str">
        <f>IFERROR(__xludf.DUMMYFUNCTION("""COMPUTED_VALUE"""),"gada balasan")</f>
        <v>gada balasan</v>
      </c>
      <c r="L594" s="49"/>
      <c r="M594" s="20"/>
      <c r="N594" s="20"/>
      <c r="O594" s="20"/>
      <c r="P594" s="20"/>
    </row>
    <row r="595">
      <c r="A595" s="97">
        <f>IFERROR(__xludf.DUMMYFUNCTION("""COMPUTED_VALUE"""),46183.0)</f>
        <v>46183</v>
      </c>
      <c r="B595" s="97" t="str">
        <f>IFERROR(__xludf.DUMMYFUNCTION("""COMPUTED_VALUE"""),"2606A054")</f>
        <v>2606A054</v>
      </c>
      <c r="C595" s="76" t="str">
        <f>IFERROR(__xludf.DUMMYFUNCTION("""COMPUTED_VALUE"""),"Annisa fida")</f>
        <v>Annisa fida</v>
      </c>
      <c r="D595" s="99" t="str">
        <f>IFERROR(__xludf.DUMMYFUNCTION("""COMPUTED_VALUE"""),"082120003212")</f>
        <v>082120003212</v>
      </c>
      <c r="E595" s="25" t="str">
        <f>IFERROR(__xludf.DUMMYFUNCTION("""COMPUTED_VALUE"""),"Instagram")</f>
        <v>Instagram</v>
      </c>
      <c r="F595" s="25" t="str">
        <f>IFERROR(__xludf.DUMMYFUNCTION("""COMPUTED_VALUE"""),"Gagal")</f>
        <v>Gagal</v>
      </c>
      <c r="G595" s="25" t="str">
        <f>IFERROR(__xludf.DUMMYFUNCTION("""COMPUTED_VALUE"""),"ot ijen baluran")</f>
        <v>ot ijen baluran</v>
      </c>
      <c r="H595" s="92">
        <f>IFERROR(__xludf.DUMMYFUNCTION("""COMPUTED_VALUE"""),46210.0)</f>
        <v>46210</v>
      </c>
      <c r="I595" s="80">
        <f>IFERROR(__xludf.DUMMYFUNCTION("""COMPUTED_VALUE"""),4.0)</f>
        <v>4</v>
      </c>
      <c r="J595" s="93"/>
      <c r="K595" s="46" t="str">
        <f>IFERROR(__xludf.DUMMYFUNCTION("""COMPUTED_VALUE"""),"gada balasan")</f>
        <v>gada balasan</v>
      </c>
      <c r="L595" s="76"/>
      <c r="M595" s="20"/>
      <c r="N595" s="20"/>
      <c r="O595" s="20"/>
      <c r="P595" s="20"/>
    </row>
    <row r="596">
      <c r="A596" s="110">
        <f>IFERROR(__xludf.DUMMYFUNCTION("""COMPUTED_VALUE"""),46183.0)</f>
        <v>46183</v>
      </c>
      <c r="B596" s="110" t="str">
        <f>IFERROR(__xludf.DUMMYFUNCTION("""COMPUTED_VALUE"""),"2606A055")</f>
        <v>2606A055</v>
      </c>
      <c r="C596" s="49" t="str">
        <f>IFERROR(__xludf.DUMMYFUNCTION("""COMPUTED_VALUE"""),"Rifky Ballas")</f>
        <v>Rifky Ballas</v>
      </c>
      <c r="D596" s="102" t="str">
        <f>IFERROR(__xludf.DUMMYFUNCTION("""COMPUTED_VALUE"""),"081133320075")</f>
        <v>081133320075</v>
      </c>
      <c r="E596" s="25" t="str">
        <f>IFERROR(__xludf.DUMMYFUNCTION("""COMPUTED_VALUE"""),"Website")</f>
        <v>Website</v>
      </c>
      <c r="F596" s="25" t="str">
        <f>IFERROR(__xludf.DUMMYFUNCTION("""COMPUTED_VALUE"""),"Gagal")</f>
        <v>Gagal</v>
      </c>
      <c r="G596" s="25" t="str">
        <f>IFERROR(__xludf.DUMMYFUNCTION("""COMPUTED_VALUE"""),"4h3m")</f>
        <v>4h3m</v>
      </c>
      <c r="H596" s="78"/>
      <c r="I596" s="89">
        <f>IFERROR(__xludf.DUMMYFUNCTION("""COMPUTED_VALUE"""),5.0)</f>
        <v>5</v>
      </c>
      <c r="J596" s="96">
        <f>IFERROR(__xludf.DUMMYFUNCTION("""COMPUTED_VALUE"""),1.0E7)</f>
        <v>10000000</v>
      </c>
      <c r="K596" s="30" t="str">
        <f>IFERROR(__xludf.DUMMYFUNCTION("""COMPUTED_VALUE"""),"ga jadi")</f>
        <v>ga jadi</v>
      </c>
      <c r="L596" s="49"/>
      <c r="M596" s="20"/>
      <c r="N596" s="20"/>
      <c r="O596" s="20"/>
      <c r="P596" s="20"/>
    </row>
    <row r="597">
      <c r="A597" s="97">
        <f>IFERROR(__xludf.DUMMYFUNCTION("""COMPUTED_VALUE"""),46183.0)</f>
        <v>46183</v>
      </c>
      <c r="B597" s="97" t="str">
        <f>IFERROR(__xludf.DUMMYFUNCTION("""COMPUTED_VALUE"""),"2606A056")</f>
        <v>2606A056</v>
      </c>
      <c r="C597" s="76" t="str">
        <f>IFERROR(__xludf.DUMMYFUNCTION("""COMPUTED_VALUE"""),"Yolanda")</f>
        <v>Yolanda</v>
      </c>
      <c r="D597" s="99" t="str">
        <f>IFERROR(__xludf.DUMMYFUNCTION("""COMPUTED_VALUE"""),"08179892215")</f>
        <v>08179892215</v>
      </c>
      <c r="E597" s="25" t="str">
        <f>IFERROR(__xludf.DUMMYFUNCTION("""COMPUTED_VALUE"""),"Instagram")</f>
        <v>Instagram</v>
      </c>
      <c r="F597" s="25" t="str">
        <f>IFERROR(__xludf.DUMMYFUNCTION("""COMPUTED_VALUE"""),"Gagal")</f>
        <v>Gagal</v>
      </c>
      <c r="G597" s="25" t="str">
        <f>IFERROR(__xludf.DUMMYFUNCTION("""COMPUTED_VALUE"""),"green island")</f>
        <v>green island</v>
      </c>
      <c r="H597" s="92">
        <f>IFERROR(__xludf.DUMMYFUNCTION("""COMPUTED_VALUE"""),46184.0)</f>
        <v>46184</v>
      </c>
      <c r="I597" s="80">
        <f>IFERROR(__xludf.DUMMYFUNCTION("""COMPUTED_VALUE"""),4.0)</f>
        <v>4</v>
      </c>
      <c r="J597" s="93"/>
      <c r="K597" s="19" t="str">
        <f>IFERROR(__xludf.DUMMYFUNCTION("""COMPUTED_VALUE"""),"ga deal sm harganya")</f>
        <v>ga deal sm harganya</v>
      </c>
      <c r="L597" s="76"/>
      <c r="M597" s="20"/>
      <c r="N597" s="20"/>
      <c r="O597" s="20"/>
      <c r="P597" s="20"/>
    </row>
    <row r="598">
      <c r="A598" s="110">
        <f>IFERROR(__xludf.DUMMYFUNCTION("""COMPUTED_VALUE"""),46183.0)</f>
        <v>46183</v>
      </c>
      <c r="B598" s="110" t="str">
        <f>IFERROR(__xludf.DUMMYFUNCTION("""COMPUTED_VALUE"""),"2606A057")</f>
        <v>2606A057</v>
      </c>
      <c r="C598" s="49" t="str">
        <f>IFERROR(__xludf.DUMMYFUNCTION("""COMPUTED_VALUE"""),"Farren Idfila")</f>
        <v>Farren Idfila</v>
      </c>
      <c r="D598" s="102" t="str">
        <f>IFERROR(__xludf.DUMMYFUNCTION("""COMPUTED_VALUE"""),"081901195005")</f>
        <v>081901195005</v>
      </c>
      <c r="E598" s="25" t="str">
        <f>IFERROR(__xludf.DUMMYFUNCTION("""COMPUTED_VALUE"""),"Instagram")</f>
        <v>Instagram</v>
      </c>
      <c r="F598" s="25" t="str">
        <f>IFERROR(__xludf.DUMMYFUNCTION("""COMPUTED_VALUE"""),"Gagal")</f>
        <v>Gagal</v>
      </c>
      <c r="G598" s="25" t="str">
        <f>IFERROR(__xludf.DUMMYFUNCTION("""COMPUTED_VALUE"""),"2h1m")</f>
        <v>2h1m</v>
      </c>
      <c r="H598" s="78">
        <f>IFERROR(__xludf.DUMMYFUNCTION("""COMPUTED_VALUE"""),46188.0)</f>
        <v>46188</v>
      </c>
      <c r="I598" s="89">
        <f>IFERROR(__xludf.DUMMYFUNCTION("""COMPUTED_VALUE"""),2.0)</f>
        <v>2</v>
      </c>
      <c r="J598" s="96"/>
      <c r="K598" s="30" t="str">
        <f>IFERROR(__xludf.DUMMYFUNCTION("""COMPUTED_VALUE"""),"gada balasan")</f>
        <v>gada balasan</v>
      </c>
      <c r="L598" s="49"/>
      <c r="M598" s="20"/>
      <c r="N598" s="20"/>
      <c r="O598" s="20"/>
      <c r="P598" s="20"/>
    </row>
    <row r="599">
      <c r="A599" s="97">
        <f>IFERROR(__xludf.DUMMYFUNCTION("""COMPUTED_VALUE"""),46183.0)</f>
        <v>46183</v>
      </c>
      <c r="B599" s="97" t="str">
        <f>IFERROR(__xludf.DUMMYFUNCTION("""COMPUTED_VALUE"""),"2606A058")</f>
        <v>2606A058</v>
      </c>
      <c r="C599" s="76" t="str">
        <f>IFERROR(__xludf.DUMMYFUNCTION("""COMPUTED_VALUE"""),"Bela")</f>
        <v>Bela</v>
      </c>
      <c r="D599" s="99" t="str">
        <f>IFERROR(__xludf.DUMMYFUNCTION("""COMPUTED_VALUE"""),"08975849406")</f>
        <v>08975849406</v>
      </c>
      <c r="E599" s="25" t="str">
        <f>IFERROR(__xludf.DUMMYFUNCTION("""COMPUTED_VALUE"""),"Instagram")</f>
        <v>Instagram</v>
      </c>
      <c r="F599" s="25" t="str">
        <f>IFERROR(__xludf.DUMMYFUNCTION("""COMPUTED_VALUE"""),"Gagal")</f>
        <v>Gagal</v>
      </c>
      <c r="G599" s="25" t="str">
        <f>IFERROR(__xludf.DUMMYFUNCTION("""COMPUTED_VALUE"""),"green island")</f>
        <v>green island</v>
      </c>
      <c r="H599" s="92">
        <f>IFERROR(__xludf.DUMMYFUNCTION("""COMPUTED_VALUE"""),46186.0)</f>
        <v>46186</v>
      </c>
      <c r="I599" s="80">
        <f>IFERROR(__xludf.DUMMYFUNCTION("""COMPUTED_VALUE"""),3.0)</f>
        <v>3</v>
      </c>
      <c r="J599" s="93"/>
      <c r="K599" s="19" t="str">
        <f>IFERROR(__xludf.DUMMYFUNCTION("""COMPUTED_VALUE"""),"lewat tanggal")</f>
        <v>lewat tanggal</v>
      </c>
      <c r="L599" s="76"/>
      <c r="M599" s="20"/>
      <c r="N599" s="20"/>
      <c r="O599" s="20"/>
      <c r="P599" s="20"/>
    </row>
    <row r="600">
      <c r="A600" s="110">
        <f>IFERROR(__xludf.DUMMYFUNCTION("""COMPUTED_VALUE"""),46183.0)</f>
        <v>46183</v>
      </c>
      <c r="B600" s="110" t="str">
        <f>IFERROR(__xludf.DUMMYFUNCTION("""COMPUTED_VALUE"""),"2606A059")</f>
        <v>2606A059</v>
      </c>
      <c r="C600" s="49" t="str">
        <f>IFERROR(__xludf.DUMMYFUNCTION("""COMPUTED_VALUE"""),"Dinda N")</f>
        <v>Dinda N</v>
      </c>
      <c r="D600" s="102" t="str">
        <f>IFERROR(__xludf.DUMMYFUNCTION("""COMPUTED_VALUE"""),"081291286545")</f>
        <v>081291286545</v>
      </c>
      <c r="E600" s="25" t="str">
        <f>IFERROR(__xludf.DUMMYFUNCTION("""COMPUTED_VALUE"""),"Instagram")</f>
        <v>Instagram</v>
      </c>
      <c r="F600" s="25" t="str">
        <f>IFERROR(__xludf.DUMMYFUNCTION("""COMPUTED_VALUE"""),"Gagal")</f>
        <v>Gagal</v>
      </c>
      <c r="G600" s="25" t="str">
        <f>IFERROR(__xludf.DUMMYFUNCTION("""COMPUTED_VALUE"""),"Djawatan Baluran")</f>
        <v>Djawatan Baluran</v>
      </c>
      <c r="H600" s="78">
        <f>IFERROR(__xludf.DUMMYFUNCTION("""COMPUTED_VALUE"""),46203.0)</f>
        <v>46203</v>
      </c>
      <c r="I600" s="89">
        <f>IFERROR(__xludf.DUMMYFUNCTION("""COMPUTED_VALUE"""),4.0)</f>
        <v>4</v>
      </c>
      <c r="J600" s="96"/>
      <c r="K600" s="30" t="str">
        <f>IFERROR(__xludf.DUMMYFUNCTION("""COMPUTED_VALUE"""),"FU 20 Juni")</f>
        <v>FU 20 Juni</v>
      </c>
      <c r="L600" s="49"/>
      <c r="M600" s="20"/>
      <c r="N600" s="20"/>
      <c r="O600" s="20"/>
      <c r="P600" s="20"/>
    </row>
    <row r="601">
      <c r="A601" s="97">
        <f>IFERROR(__xludf.DUMMYFUNCTION("""COMPUTED_VALUE"""),46184.0)</f>
        <v>46184</v>
      </c>
      <c r="B601" s="97" t="str">
        <f>IFERROR(__xludf.DUMMYFUNCTION("""COMPUTED_VALUE"""),"2606A060")</f>
        <v>2606A060</v>
      </c>
      <c r="C601" s="76" t="str">
        <f>IFERROR(__xludf.DUMMYFUNCTION("""COMPUTED_VALUE"""),"Samsul")</f>
        <v>Samsul</v>
      </c>
      <c r="D601" s="99" t="str">
        <f>IFERROR(__xludf.DUMMYFUNCTION("""COMPUTED_VALUE"""),"0817322325")</f>
        <v>0817322325</v>
      </c>
      <c r="E601" s="25" t="str">
        <f>IFERROR(__xludf.DUMMYFUNCTION("""COMPUTED_VALUE"""),"Website")</f>
        <v>Website</v>
      </c>
      <c r="F601" s="25" t="str">
        <f>IFERROR(__xludf.DUMMYFUNCTION("""COMPUTED_VALUE"""),"Gagal")</f>
        <v>Gagal</v>
      </c>
      <c r="G601" s="25" t="str">
        <f>IFERROR(__xludf.DUMMYFUNCTION("""COMPUTED_VALUE"""),"1d green island")</f>
        <v>1d green island</v>
      </c>
      <c r="H601" s="92">
        <f>IFERROR(__xludf.DUMMYFUNCTION("""COMPUTED_VALUE"""),46188.0)</f>
        <v>46188</v>
      </c>
      <c r="I601" s="80">
        <f>IFERROR(__xludf.DUMMYFUNCTION("""COMPUTED_VALUE"""),4.0)</f>
        <v>4</v>
      </c>
      <c r="J601" s="93">
        <f>IFERROR(__xludf.DUMMYFUNCTION("""COMPUTED_VALUE"""),2560000.0)</f>
        <v>2560000</v>
      </c>
      <c r="K601" s="19" t="str">
        <f>IFERROR(__xludf.DUMMYFUNCTION("""COMPUTED_VALUE"""),"ga dapat cuti")</f>
        <v>ga dapat cuti</v>
      </c>
      <c r="L601" s="76"/>
      <c r="M601" s="20"/>
      <c r="N601" s="20"/>
      <c r="O601" s="20"/>
      <c r="P601" s="20"/>
    </row>
    <row r="602">
      <c r="A602" s="110">
        <f>IFERROR(__xludf.DUMMYFUNCTION("""COMPUTED_VALUE"""),46184.0)</f>
        <v>46184</v>
      </c>
      <c r="B602" s="110" t="str">
        <f>IFERROR(__xludf.DUMMYFUNCTION("""COMPUTED_VALUE"""),"2606A061")</f>
        <v>2606A061</v>
      </c>
      <c r="C602" s="49" t="str">
        <f>IFERROR(__xludf.DUMMYFUNCTION("""COMPUTED_VALUE"""),"LMT Production")</f>
        <v>LMT Production</v>
      </c>
      <c r="D602" s="102" t="str">
        <f>IFERROR(__xludf.DUMMYFUNCTION("""COMPUTED_VALUE"""),"082225480707")</f>
        <v>082225480707</v>
      </c>
      <c r="E602" s="25" t="str">
        <f>IFERROR(__xludf.DUMMYFUNCTION("""COMPUTED_VALUE"""),"Website")</f>
        <v>Website</v>
      </c>
      <c r="F602" s="25" t="str">
        <f>IFERROR(__xludf.DUMMYFUNCTION("""COMPUTED_VALUE"""),"Gagal")</f>
        <v>Gagal</v>
      </c>
      <c r="G602" s="25" t="str">
        <f>IFERROR(__xludf.DUMMYFUNCTION("""COMPUTED_VALUE"""),"ot mt")</f>
        <v>ot mt</v>
      </c>
      <c r="H602" s="78"/>
      <c r="I602" s="89"/>
      <c r="J602" s="96"/>
      <c r="K602" s="30" t="str">
        <f>IFERROR(__xludf.DUMMYFUNCTION("""COMPUTED_VALUE"""),"gada jawaban")</f>
        <v>gada jawaban</v>
      </c>
      <c r="L602" s="49"/>
      <c r="M602" s="20"/>
      <c r="N602" s="20"/>
      <c r="O602" s="20"/>
      <c r="P602" s="20"/>
    </row>
    <row r="603">
      <c r="A603" s="97">
        <f>IFERROR(__xludf.DUMMYFUNCTION("""COMPUTED_VALUE"""),46184.0)</f>
        <v>46184</v>
      </c>
      <c r="B603" s="97" t="str">
        <f>IFERROR(__xludf.DUMMYFUNCTION("""COMPUTED_VALUE"""),"2606A062")</f>
        <v>2606A062</v>
      </c>
      <c r="C603" s="76" t="str">
        <f>IFERROR(__xludf.DUMMYFUNCTION("""COMPUTED_VALUE"""),"Yanti Hian Hwa")</f>
        <v>Yanti Hian Hwa</v>
      </c>
      <c r="D603" s="99" t="str">
        <f>IFERROR(__xludf.DUMMYFUNCTION("""COMPUTED_VALUE"""),"081904978487")</f>
        <v>081904978487</v>
      </c>
      <c r="E603" s="25" t="str">
        <f>IFERROR(__xludf.DUMMYFUNCTION("""COMPUTED_VALUE"""),"Website")</f>
        <v>Website</v>
      </c>
      <c r="F603" s="25" t="str">
        <f>IFERROR(__xludf.DUMMYFUNCTION("""COMPUTED_VALUE"""),"Closing")</f>
        <v>Closing</v>
      </c>
      <c r="G603" s="25" t="str">
        <f>IFERROR(__xludf.DUMMYFUNCTION("""COMPUTED_VALUE"""),"4h3m")</f>
        <v>4h3m</v>
      </c>
      <c r="H603" s="92"/>
      <c r="I603" s="80">
        <f>IFERROR(__xludf.DUMMYFUNCTION("""COMPUTED_VALUE"""),46303.0)</f>
        <v>46303</v>
      </c>
      <c r="J603" s="93"/>
      <c r="K603" s="46"/>
      <c r="L603" s="76"/>
      <c r="M603" s="20"/>
      <c r="N603" s="20"/>
      <c r="O603" s="20"/>
      <c r="P603" s="20"/>
    </row>
    <row r="604">
      <c r="A604" s="110">
        <f>IFERROR(__xludf.DUMMYFUNCTION("""COMPUTED_VALUE"""),46184.0)</f>
        <v>46184</v>
      </c>
      <c r="B604" s="110" t="str">
        <f>IFERROR(__xludf.DUMMYFUNCTION("""COMPUTED_VALUE"""),"2606A063")</f>
        <v>2606A063</v>
      </c>
      <c r="C604" s="49" t="str">
        <f>IFERROR(__xludf.DUMMYFUNCTION("""COMPUTED_VALUE"""),"Adella Andi Melati")</f>
        <v>Adella Andi Melati</v>
      </c>
      <c r="D604" s="102" t="str">
        <f>IFERROR(__xludf.DUMMYFUNCTION("""COMPUTED_VALUE"""),"081332178160")</f>
        <v>081332178160</v>
      </c>
      <c r="E604" s="25" t="str">
        <f>IFERROR(__xludf.DUMMYFUNCTION("""COMPUTED_VALUE"""),"Instagram")</f>
        <v>Instagram</v>
      </c>
      <c r="F604" s="25" t="str">
        <f>IFERROR(__xludf.DUMMYFUNCTION("""COMPUTED_VALUE"""),"Gagal")</f>
        <v>Gagal</v>
      </c>
      <c r="G604" s="25" t="str">
        <f>IFERROR(__xludf.DUMMYFUNCTION("""COMPUTED_VALUE"""),"green island")</f>
        <v>green island</v>
      </c>
      <c r="H604" s="78"/>
      <c r="I604" s="89">
        <f>IFERROR(__xludf.DUMMYFUNCTION("""COMPUTED_VALUE"""),6.0)</f>
        <v>6</v>
      </c>
      <c r="J604" s="96"/>
      <c r="K604" s="30" t="str">
        <f>IFERROR(__xludf.DUMMYFUNCTION("""COMPUTED_VALUE"""),"gada balasan")</f>
        <v>gada balasan</v>
      </c>
      <c r="L604" s="49"/>
      <c r="M604" s="20"/>
      <c r="N604" s="20"/>
      <c r="O604" s="20"/>
      <c r="P604" s="20"/>
    </row>
    <row r="605">
      <c r="A605" s="97">
        <f>IFERROR(__xludf.DUMMYFUNCTION("""COMPUTED_VALUE"""),46184.0)</f>
        <v>46184</v>
      </c>
      <c r="B605" s="97" t="str">
        <f>IFERROR(__xludf.DUMMYFUNCTION("""COMPUTED_VALUE"""),"2606A064")</f>
        <v>2606A064</v>
      </c>
      <c r="C605" s="76" t="str">
        <f>IFERROR(__xludf.DUMMYFUNCTION("""COMPUTED_VALUE"""),"Hendi R")</f>
        <v>Hendi R</v>
      </c>
      <c r="D605" s="99" t="str">
        <f>IFERROR(__xludf.DUMMYFUNCTION("""COMPUTED_VALUE"""),"081328504598")</f>
        <v>081328504598</v>
      </c>
      <c r="E605" s="25" t="str">
        <f>IFERROR(__xludf.DUMMYFUNCTION("""COMPUTED_VALUE"""),"Lainnya")</f>
        <v>Lainnya</v>
      </c>
      <c r="F605" s="25" t="str">
        <f>IFERROR(__xludf.DUMMYFUNCTION("""COMPUTED_VALUE"""),"Closing")</f>
        <v>Closing</v>
      </c>
      <c r="G605" s="25" t="str">
        <f>IFERROR(__xludf.DUMMYFUNCTION("""COMPUTED_VALUE"""),"3h2m")</f>
        <v>3h2m</v>
      </c>
      <c r="H605" s="92"/>
      <c r="I605" s="80">
        <f>IFERROR(__xludf.DUMMYFUNCTION("""COMPUTED_VALUE"""),6.0)</f>
        <v>6</v>
      </c>
      <c r="J605" s="93"/>
      <c r="K605" s="19" t="str">
        <f>IFERROR(__xludf.DUMMYFUNCTION("""COMPUTED_VALUE"""),"ALHAMDULILLAH ORDER")</f>
        <v>ALHAMDULILLAH ORDER</v>
      </c>
      <c r="L605" s="76"/>
      <c r="M605" s="20"/>
      <c r="N605" s="20"/>
      <c r="O605" s="20"/>
      <c r="P605" s="20"/>
    </row>
    <row r="606">
      <c r="A606" s="110">
        <f>IFERROR(__xludf.DUMMYFUNCTION("""COMPUTED_VALUE"""),46185.0)</f>
        <v>46185</v>
      </c>
      <c r="B606" s="110" t="str">
        <f>IFERROR(__xludf.DUMMYFUNCTION("""COMPUTED_VALUE"""),"2606A065")</f>
        <v>2606A065</v>
      </c>
      <c r="C606" s="49" t="str">
        <f>IFERROR(__xludf.DUMMYFUNCTION("""COMPUTED_VALUE"""),"Sinta Rossita")</f>
        <v>Sinta Rossita</v>
      </c>
      <c r="D606" s="102" t="str">
        <f>IFERROR(__xludf.DUMMYFUNCTION("""COMPUTED_VALUE"""),"081399313391")</f>
        <v>081399313391</v>
      </c>
      <c r="E606" s="25" t="str">
        <f>IFERROR(__xludf.DUMMYFUNCTION("""COMPUTED_VALUE"""),"Instagram")</f>
        <v>Instagram</v>
      </c>
      <c r="F606" s="25" t="str">
        <f>IFERROR(__xludf.DUMMYFUNCTION("""COMPUTED_VALUE"""),"Leads Baru")</f>
        <v>Leads Baru</v>
      </c>
      <c r="G606" s="25"/>
      <c r="H606" s="78"/>
      <c r="I606" s="89"/>
      <c r="J606" s="96"/>
      <c r="K606" s="36" t="str">
        <f>IFERROR(__xludf.DUMMYFUNCTION("""COMPUTED_VALUE"""),"fu 26 juli")</f>
        <v>fu 26 juli</v>
      </c>
      <c r="L606" s="49"/>
      <c r="M606" s="20"/>
      <c r="N606" s="20"/>
      <c r="O606" s="20"/>
      <c r="P606" s="20"/>
    </row>
    <row r="607">
      <c r="A607" s="97">
        <f>IFERROR(__xludf.DUMMYFUNCTION("""COMPUTED_VALUE"""),46181.0)</f>
        <v>46181</v>
      </c>
      <c r="B607" s="97" t="str">
        <f>IFERROR(__xludf.DUMMYFUNCTION("""COMPUTED_VALUE"""),"2606A066")</f>
        <v>2606A066</v>
      </c>
      <c r="C607" s="76" t="str">
        <f>IFERROR(__xludf.DUMMYFUNCTION("""COMPUTED_VALUE"""),"Mustika Yulia Akhmi")</f>
        <v>Mustika Yulia Akhmi</v>
      </c>
      <c r="D607" s="99" t="str">
        <f>IFERROR(__xludf.DUMMYFUNCTION("""COMPUTED_VALUE"""),"085794552546")</f>
        <v>085794552546</v>
      </c>
      <c r="E607" s="25" t="str">
        <f>IFERROR(__xludf.DUMMYFUNCTION("""COMPUTED_VALUE"""),"Instagram")</f>
        <v>Instagram</v>
      </c>
      <c r="F607" s="25" t="str">
        <f>IFERROR(__xludf.DUMMYFUNCTION("""COMPUTED_VALUE"""),"Gagal")</f>
        <v>Gagal</v>
      </c>
      <c r="G607" s="25" t="str">
        <f>IFERROR(__xludf.DUMMYFUNCTION("""COMPUTED_VALUE"""),"2h1m")</f>
        <v>2h1m</v>
      </c>
      <c r="H607" s="92"/>
      <c r="I607" s="80">
        <f>IFERROR(__xludf.DUMMYFUNCTION("""COMPUTED_VALUE"""),2.0)</f>
        <v>2</v>
      </c>
      <c r="J607" s="93"/>
      <c r="K607" s="19" t="str">
        <f>IFERROR(__xludf.DUMMYFUNCTION("""COMPUTED_VALUE"""),"gada balasan")</f>
        <v>gada balasan</v>
      </c>
      <c r="L607" s="76"/>
      <c r="M607" s="20"/>
      <c r="N607" s="20"/>
      <c r="O607" s="20"/>
      <c r="P607" s="20"/>
    </row>
    <row r="608">
      <c r="A608" s="110">
        <f>IFERROR(__xludf.DUMMYFUNCTION("""COMPUTED_VALUE"""),46185.0)</f>
        <v>46185</v>
      </c>
      <c r="B608" s="110" t="str">
        <f>IFERROR(__xludf.DUMMYFUNCTION("""COMPUTED_VALUE"""),"2606A067")</f>
        <v>2606A067</v>
      </c>
      <c r="C608" s="49" t="str">
        <f>IFERROR(__xludf.DUMMYFUNCTION("""COMPUTED_VALUE"""),"Kinah")</f>
        <v>Kinah</v>
      </c>
      <c r="D608" s="102" t="str">
        <f>IFERROR(__xludf.DUMMYFUNCTION("""COMPUTED_VALUE"""),"081210860625")</f>
        <v>081210860625</v>
      </c>
      <c r="E608" s="25" t="str">
        <f>IFERROR(__xludf.DUMMYFUNCTION("""COMPUTED_VALUE"""),"Instagram")</f>
        <v>Instagram</v>
      </c>
      <c r="F608" s="25" t="str">
        <f>IFERROR(__xludf.DUMMYFUNCTION("""COMPUTED_VALUE"""),"Closing")</f>
        <v>Closing</v>
      </c>
      <c r="G608" s="25" t="str">
        <f>IFERROR(__xludf.DUMMYFUNCTION("""COMPUTED_VALUE"""),"OTMT")</f>
        <v>OTMT</v>
      </c>
      <c r="H608" s="78"/>
      <c r="I608" s="89">
        <f>IFERROR(__xludf.DUMMYFUNCTION("""COMPUTED_VALUE"""),2.0)</f>
        <v>2</v>
      </c>
      <c r="J608" s="96">
        <f>IFERROR(__xludf.DUMMYFUNCTION("""COMPUTED_VALUE"""),500000.0)</f>
        <v>500000</v>
      </c>
      <c r="K608" s="30" t="str">
        <f>IFERROR(__xludf.DUMMYFUNCTION("""COMPUTED_VALUE"""),"FU 1 JULI")</f>
        <v>FU 1 JULI</v>
      </c>
      <c r="L608" s="49"/>
      <c r="M608" s="20"/>
      <c r="N608" s="20"/>
      <c r="O608" s="20"/>
      <c r="P608" s="20"/>
    </row>
    <row r="609">
      <c r="A609" s="97">
        <f>IFERROR(__xludf.DUMMYFUNCTION("""COMPUTED_VALUE"""),46185.0)</f>
        <v>46185</v>
      </c>
      <c r="B609" s="97" t="str">
        <f>IFERROR(__xludf.DUMMYFUNCTION("""COMPUTED_VALUE"""),"2606A068")</f>
        <v>2606A068</v>
      </c>
      <c r="C609" s="76" t="str">
        <f>IFERROR(__xludf.DUMMYFUNCTION("""COMPUTED_VALUE"""),"Avivah")</f>
        <v>Avivah</v>
      </c>
      <c r="D609" s="99" t="str">
        <f>IFERROR(__xludf.DUMMYFUNCTION("""COMPUTED_VALUE"""),"08211635729")</f>
        <v>08211635729</v>
      </c>
      <c r="E609" s="25" t="str">
        <f>IFERROR(__xludf.DUMMYFUNCTION("""COMPUTED_VALUE"""),"Instagram")</f>
        <v>Instagram</v>
      </c>
      <c r="F609" s="25" t="str">
        <f>IFERROR(__xludf.DUMMYFUNCTION("""COMPUTED_VALUE"""),"Gagal")</f>
        <v>Gagal</v>
      </c>
      <c r="G609" s="25" t="str">
        <f>IFERROR(__xludf.DUMMYFUNCTION("""COMPUTED_VALUE"""),"3h2m")</f>
        <v>3h2m</v>
      </c>
      <c r="H609" s="92"/>
      <c r="I609" s="80">
        <f>IFERROR(__xludf.DUMMYFUNCTION("""COMPUTED_VALUE"""),2.0)</f>
        <v>2</v>
      </c>
      <c r="J609" s="93"/>
      <c r="K609" s="46" t="str">
        <f>IFERROR(__xludf.DUMMYFUNCTION("""COMPUTED_VALUE"""),"tidak ada kelanjutan")</f>
        <v>tidak ada kelanjutan</v>
      </c>
      <c r="L609" s="76"/>
      <c r="M609" s="20"/>
      <c r="N609" s="20"/>
      <c r="O609" s="20"/>
      <c r="P609" s="20"/>
    </row>
    <row r="610">
      <c r="A610" s="110">
        <f>IFERROR(__xludf.DUMMYFUNCTION("""COMPUTED_VALUE"""),46185.0)</f>
        <v>46185</v>
      </c>
      <c r="B610" s="110" t="str">
        <f>IFERROR(__xludf.DUMMYFUNCTION("""COMPUTED_VALUE"""),"2606A069")</f>
        <v>2606A069</v>
      </c>
      <c r="C610" s="49" t="str">
        <f>IFERROR(__xludf.DUMMYFUNCTION("""COMPUTED_VALUE"""),"Mary Stephanie")</f>
        <v>Mary Stephanie</v>
      </c>
      <c r="D610" s="102" t="str">
        <f>IFERROR(__xludf.DUMMYFUNCTION("""COMPUTED_VALUE"""),"081297574099")</f>
        <v>081297574099</v>
      </c>
      <c r="E610" s="25" t="str">
        <f>IFERROR(__xludf.DUMMYFUNCTION("""COMPUTED_VALUE"""),"Instagram")</f>
        <v>Instagram</v>
      </c>
      <c r="F610" s="25" t="str">
        <f>IFERROR(__xludf.DUMMYFUNCTION("""COMPUTED_VALUE"""),"Gagal")</f>
        <v>Gagal</v>
      </c>
      <c r="G610" s="25" t="str">
        <f>IFERROR(__xludf.DUMMYFUNCTION("""COMPUTED_VALUE"""),"4h3m")</f>
        <v>4h3m</v>
      </c>
      <c r="H610" s="78"/>
      <c r="I610" s="89">
        <f>IFERROR(__xludf.DUMMYFUNCTION("""COMPUTED_VALUE"""),21.0)</f>
        <v>21</v>
      </c>
      <c r="J610" s="33"/>
      <c r="K610" s="30" t="str">
        <f>IFERROR(__xludf.DUMMYFUNCTION("""COMPUTED_VALUE"""),"liburan ke hanoi")</f>
        <v>liburan ke hanoi</v>
      </c>
      <c r="L610" s="49"/>
      <c r="M610" s="20"/>
      <c r="N610" s="20"/>
      <c r="O610" s="20"/>
      <c r="P610" s="20"/>
    </row>
    <row r="611">
      <c r="A611" s="97">
        <f>IFERROR(__xludf.DUMMYFUNCTION("""COMPUTED_VALUE"""),46185.0)</f>
        <v>46185</v>
      </c>
      <c r="B611" s="97" t="str">
        <f>IFERROR(__xludf.DUMMYFUNCTION("""COMPUTED_VALUE"""),"2606A070")</f>
        <v>2606A070</v>
      </c>
      <c r="C611" s="76" t="str">
        <f>IFERROR(__xludf.DUMMYFUNCTION("""COMPUTED_VALUE"""),"Tina")</f>
        <v>Tina</v>
      </c>
      <c r="D611" s="99" t="str">
        <f>IFERROR(__xludf.DUMMYFUNCTION("""COMPUTED_VALUE"""),"082221808429")</f>
        <v>082221808429</v>
      </c>
      <c r="E611" s="25" t="str">
        <f>IFERROR(__xludf.DUMMYFUNCTION("""COMPUTED_VALUE"""),"Website")</f>
        <v>Website</v>
      </c>
      <c r="F611" s="25" t="str">
        <f>IFERROR(__xludf.DUMMYFUNCTION("""COMPUTED_VALUE"""),"Gagal")</f>
        <v>Gagal</v>
      </c>
      <c r="G611" s="25" t="str">
        <f>IFERROR(__xludf.DUMMYFUNCTION("""COMPUTED_VALUE"""),"2h1m")</f>
        <v>2h1m</v>
      </c>
      <c r="H611" s="92">
        <f>IFERROR(__xludf.DUMMYFUNCTION("""COMPUTED_VALUE"""),46205.0)</f>
        <v>46205</v>
      </c>
      <c r="I611" s="80">
        <f>IFERROR(__xludf.DUMMYFUNCTION("""COMPUTED_VALUE"""),2.0)</f>
        <v>2</v>
      </c>
      <c r="J611" s="93"/>
      <c r="K611" s="46" t="str">
        <f>IFERROR(__xludf.DUMMYFUNCTION("""COMPUTED_VALUE"""),"gada balasan")</f>
        <v>gada balasan</v>
      </c>
      <c r="L611" s="76"/>
      <c r="M611" s="20"/>
      <c r="N611" s="20"/>
      <c r="O611" s="20"/>
      <c r="P611" s="20"/>
    </row>
    <row r="612">
      <c r="A612" s="110">
        <f>IFERROR(__xludf.DUMMYFUNCTION("""COMPUTED_VALUE"""),46185.0)</f>
        <v>46185</v>
      </c>
      <c r="B612" s="110" t="str">
        <f>IFERROR(__xludf.DUMMYFUNCTION("""COMPUTED_VALUE"""),"2606A071")</f>
        <v>2606A071</v>
      </c>
      <c r="C612" s="49" t="str">
        <f>IFERROR(__xludf.DUMMYFUNCTION("""COMPUTED_VALUE"""),"East Region Newspage")</f>
        <v>East Region Newspage</v>
      </c>
      <c r="D612" s="102" t="str">
        <f>IFERROR(__xludf.DUMMYFUNCTION("""COMPUTED_VALUE"""),"081119971052")</f>
        <v>081119971052</v>
      </c>
      <c r="E612" s="25" t="str">
        <f>IFERROR(__xludf.DUMMYFUNCTION("""COMPUTED_VALUE"""),"Website")</f>
        <v>Website</v>
      </c>
      <c r="F612" s="25" t="str">
        <f>IFERROR(__xludf.DUMMYFUNCTION("""COMPUTED_VALUE"""),"Gagal")</f>
        <v>Gagal</v>
      </c>
      <c r="G612" s="25" t="str">
        <f>IFERROR(__xludf.DUMMYFUNCTION("""COMPUTED_VALUE"""),"ijen")</f>
        <v>ijen</v>
      </c>
      <c r="H612" s="78">
        <f>IFERROR(__xludf.DUMMYFUNCTION("""COMPUTED_VALUE"""),46186.0)</f>
        <v>46186</v>
      </c>
      <c r="I612" s="89"/>
      <c r="J612" s="96"/>
      <c r="K612" s="36" t="str">
        <f>IFERROR(__xludf.DUMMYFUNCTION("""COMPUTED_VALUE"""),"gada jawaban")</f>
        <v>gada jawaban</v>
      </c>
      <c r="L612" s="49"/>
      <c r="M612" s="20"/>
      <c r="N612" s="20"/>
      <c r="O612" s="20"/>
      <c r="P612" s="20"/>
    </row>
    <row r="613">
      <c r="A613" s="97">
        <f>IFERROR(__xludf.DUMMYFUNCTION("""COMPUTED_VALUE"""),46185.0)</f>
        <v>46185</v>
      </c>
      <c r="B613" s="97" t="str">
        <f>IFERROR(__xludf.DUMMYFUNCTION("""COMPUTED_VALUE"""),"2606A072")</f>
        <v>2606A072</v>
      </c>
      <c r="C613" s="76" t="str">
        <f>IFERROR(__xludf.DUMMYFUNCTION("""COMPUTED_VALUE"""),"Debby")</f>
        <v>Debby</v>
      </c>
      <c r="D613" s="99" t="str">
        <f>IFERROR(__xludf.DUMMYFUNCTION("""COMPUTED_VALUE"""),"08979381708")</f>
        <v>08979381708</v>
      </c>
      <c r="E613" s="25" t="str">
        <f>IFERROR(__xludf.DUMMYFUNCTION("""COMPUTED_VALUE"""),"Website")</f>
        <v>Website</v>
      </c>
      <c r="F613" s="25" t="str">
        <f>IFERROR(__xludf.DUMMYFUNCTION("""COMPUTED_VALUE"""),"Leads Baru")</f>
        <v>Leads Baru</v>
      </c>
      <c r="G613" s="25" t="str">
        <f>IFERROR(__xludf.DUMMYFUNCTION("""COMPUTED_VALUE"""),"3h2m")</f>
        <v>3h2m</v>
      </c>
      <c r="H613" s="16"/>
      <c r="I613" s="17">
        <f>IFERROR(__xludf.DUMMYFUNCTION("""COMPUTED_VALUE"""),3.0)</f>
        <v>3</v>
      </c>
      <c r="J613" s="54"/>
      <c r="K613" s="46" t="str">
        <f>IFERROR(__xludf.DUMMYFUNCTION("""COMPUTED_VALUE"""),"fu 28 september")</f>
        <v>fu 28 september</v>
      </c>
      <c r="L613" s="76"/>
      <c r="M613" s="20"/>
      <c r="N613" s="20"/>
      <c r="O613" s="20"/>
      <c r="P613" s="20"/>
    </row>
    <row r="614">
      <c r="A614" s="110">
        <f>IFERROR(__xludf.DUMMYFUNCTION("""COMPUTED_VALUE"""),46185.0)</f>
        <v>46185</v>
      </c>
      <c r="B614" s="110" t="str">
        <f>IFERROR(__xludf.DUMMYFUNCTION("""COMPUTED_VALUE"""),"2606A073")</f>
        <v>2606A073</v>
      </c>
      <c r="C614" s="49" t="str">
        <f>IFERROR(__xludf.DUMMYFUNCTION("""COMPUTED_VALUE"""),"Bagus")</f>
        <v>Bagus</v>
      </c>
      <c r="D614" s="102" t="str">
        <f>IFERROR(__xludf.DUMMYFUNCTION("""COMPUTED_VALUE"""),"085211132129")</f>
        <v>085211132129</v>
      </c>
      <c r="E614" s="25" t="str">
        <f>IFERROR(__xludf.DUMMYFUNCTION("""COMPUTED_VALUE"""),"Instagram")</f>
        <v>Instagram</v>
      </c>
      <c r="F614" s="25" t="str">
        <f>IFERROR(__xludf.DUMMYFUNCTION("""COMPUTED_VALUE"""),"Gagal")</f>
        <v>Gagal</v>
      </c>
      <c r="G614" s="25" t="str">
        <f>IFERROR(__xludf.DUMMYFUNCTION("""COMPUTED_VALUE"""),"kawah ijen")</f>
        <v>kawah ijen</v>
      </c>
      <c r="H614" s="78">
        <f>IFERROR(__xludf.DUMMYFUNCTION("""COMPUTED_VALUE"""),46185.0)</f>
        <v>46185</v>
      </c>
      <c r="I614" s="27">
        <f>IFERROR(__xludf.DUMMYFUNCTION("""COMPUTED_VALUE"""),2.0)</f>
        <v>2</v>
      </c>
      <c r="J614" s="136"/>
      <c r="K614" s="30" t="str">
        <f>IFERROR(__xludf.DUMMYFUNCTION("""COMPUTED_VALUE"""),"ke mbak dela")</f>
        <v>ke mbak dela</v>
      </c>
      <c r="L614" s="49"/>
      <c r="M614" s="20"/>
      <c r="N614" s="20"/>
      <c r="O614" s="20"/>
      <c r="P614" s="20"/>
    </row>
    <row r="615">
      <c r="A615" s="97">
        <f>IFERROR(__xludf.DUMMYFUNCTION("""COMPUTED_VALUE"""),46181.0)</f>
        <v>46181</v>
      </c>
      <c r="B615" s="97" t="str">
        <f>IFERROR(__xludf.DUMMYFUNCTION("""COMPUTED_VALUE"""),"2606A074")</f>
        <v>2606A074</v>
      </c>
      <c r="C615" s="76" t="str">
        <f>IFERROR(__xludf.DUMMYFUNCTION("""COMPUTED_VALUE"""),"Ana/Gemar tour")</f>
        <v>Ana/Gemar tour</v>
      </c>
      <c r="D615" s="99" t="str">
        <f>IFERROR(__xludf.DUMMYFUNCTION("""COMPUTED_VALUE"""),"081912800435")</f>
        <v>081912800435</v>
      </c>
      <c r="E615" s="25" t="str">
        <f>IFERROR(__xludf.DUMMYFUNCTION("""COMPUTED_VALUE"""),"Instagram")</f>
        <v>Instagram</v>
      </c>
      <c r="F615" s="25" t="str">
        <f>IFERROR(__xludf.DUMMYFUNCTION("""COMPUTED_VALUE"""),"Gagal")</f>
        <v>Gagal</v>
      </c>
      <c r="G615" s="25" t="str">
        <f>IFERROR(__xludf.DUMMYFUNCTION("""COMPUTED_VALUE"""),"3h2m")</f>
        <v>3h2m</v>
      </c>
      <c r="H615" s="92"/>
      <c r="I615" s="80">
        <f>IFERROR(__xludf.DUMMYFUNCTION("""COMPUTED_VALUE"""),30.0)</f>
        <v>30</v>
      </c>
      <c r="J615" s="93"/>
      <c r="K615" s="19" t="str">
        <f>IFERROR(__xludf.DUMMYFUNCTION("""COMPUTED_VALUE"""),"gada balasan lagi")</f>
        <v>gada balasan lagi</v>
      </c>
      <c r="L615" s="76"/>
      <c r="M615" s="20"/>
      <c r="N615" s="20"/>
      <c r="O615" s="20"/>
      <c r="P615" s="20"/>
    </row>
    <row r="616">
      <c r="A616" s="110">
        <f>IFERROR(__xludf.DUMMYFUNCTION("""COMPUTED_VALUE"""),46186.0)</f>
        <v>46186</v>
      </c>
      <c r="B616" s="110" t="str">
        <f>IFERROR(__xludf.DUMMYFUNCTION("""COMPUTED_VALUE"""),"2606A075")</f>
        <v>2606A075</v>
      </c>
      <c r="C616" s="49" t="str">
        <f>IFERROR(__xludf.DUMMYFUNCTION("""COMPUTED_VALUE"""),"Vs")</f>
        <v>Vs</v>
      </c>
      <c r="D616" s="102" t="str">
        <f>IFERROR(__xludf.DUMMYFUNCTION("""COMPUTED_VALUE"""),"081220542445")</f>
        <v>081220542445</v>
      </c>
      <c r="E616" s="25" t="str">
        <f>IFERROR(__xludf.DUMMYFUNCTION("""COMPUTED_VALUE"""),"Website")</f>
        <v>Website</v>
      </c>
      <c r="F616" s="25" t="str">
        <f>IFERROR(__xludf.DUMMYFUNCTION("""COMPUTED_VALUE"""),"Gagal")</f>
        <v>Gagal</v>
      </c>
      <c r="G616" s="25"/>
      <c r="H616" s="78"/>
      <c r="I616" s="89">
        <f>IFERROR(__xludf.DUMMYFUNCTION("""COMPUTED_VALUE"""),4.0)</f>
        <v>4</v>
      </c>
      <c r="J616" s="96"/>
      <c r="K616" s="30" t="str">
        <f>IFERROR(__xludf.DUMMYFUNCTION("""COMPUTED_VALUE"""),"gada kelanjutan")</f>
        <v>gada kelanjutan</v>
      </c>
      <c r="L616" s="49"/>
      <c r="M616" s="20"/>
      <c r="N616" s="20"/>
      <c r="O616" s="20"/>
      <c r="P616" s="20"/>
    </row>
    <row r="617">
      <c r="A617" s="97">
        <f>IFERROR(__xludf.DUMMYFUNCTION("""COMPUTED_VALUE"""),46186.0)</f>
        <v>46186</v>
      </c>
      <c r="B617" s="97" t="str">
        <f>IFERROR(__xludf.DUMMYFUNCTION("""COMPUTED_VALUE"""),"2606A076")</f>
        <v>2606A076</v>
      </c>
      <c r="C617" s="76" t="str">
        <f>IFERROR(__xludf.DUMMYFUNCTION("""COMPUTED_VALUE"""),"Yuliana Rahayu")</f>
        <v>Yuliana Rahayu</v>
      </c>
      <c r="D617" s="99" t="str">
        <f>IFERROR(__xludf.DUMMYFUNCTION("""COMPUTED_VALUE"""),"082112272745")</f>
        <v>082112272745</v>
      </c>
      <c r="E617" s="25" t="str">
        <f>IFERROR(__xludf.DUMMYFUNCTION("""COMPUTED_VALUE"""),"Website")</f>
        <v>Website</v>
      </c>
      <c r="F617" s="25" t="str">
        <f>IFERROR(__xludf.DUMMYFUNCTION("""COMPUTED_VALUE"""),"Gagal")</f>
        <v>Gagal</v>
      </c>
      <c r="G617" s="25" t="str">
        <f>IFERROR(__xludf.DUMMYFUNCTION("""COMPUTED_VALUE"""),"OT 3H2M")</f>
        <v>OT 3H2M</v>
      </c>
      <c r="H617" s="92"/>
      <c r="I617" s="80"/>
      <c r="J617" s="93"/>
      <c r="K617" s="19" t="str">
        <f>IFERROR(__xludf.DUMMYFUNCTION("""COMPUTED_VALUE"""),"gada kelanjutan")</f>
        <v>gada kelanjutan</v>
      </c>
      <c r="L617" s="76"/>
      <c r="M617" s="20"/>
      <c r="N617" s="20"/>
      <c r="O617" s="20"/>
      <c r="P617" s="20"/>
    </row>
    <row r="618">
      <c r="A618" s="110">
        <f>IFERROR(__xludf.DUMMYFUNCTION("""COMPUTED_VALUE"""),46186.0)</f>
        <v>46186</v>
      </c>
      <c r="B618" s="110" t="str">
        <f>IFERROR(__xludf.DUMMYFUNCTION("""COMPUTED_VALUE"""),"2606A077")</f>
        <v>2606A077</v>
      </c>
      <c r="C618" s="49" t="str">
        <f>IFERROR(__xludf.DUMMYFUNCTION("""COMPUTED_VALUE"""),"Adika Wiroyudo - Agil")</f>
        <v>Adika Wiroyudo - Agil</v>
      </c>
      <c r="D618" s="102" t="str">
        <f>IFERROR(__xludf.DUMMYFUNCTION("""COMPUTED_VALUE"""),"08111104123")</f>
        <v>08111104123</v>
      </c>
      <c r="E618" s="25" t="str">
        <f>IFERROR(__xludf.DUMMYFUNCTION("""COMPUTED_VALUE"""),"Instagram")</f>
        <v>Instagram</v>
      </c>
      <c r="F618" s="25" t="str">
        <f>IFERROR(__xludf.DUMMYFUNCTION("""COMPUTED_VALUE"""),"Gagal")</f>
        <v>Gagal</v>
      </c>
      <c r="G618" s="25" t="str">
        <f>IFERROR(__xludf.DUMMYFUNCTION("""COMPUTED_VALUE"""),"Menjangan")</f>
        <v>Menjangan</v>
      </c>
      <c r="H618" s="78">
        <f>IFERROR(__xludf.DUMMYFUNCTION("""COMPUTED_VALUE"""),46189.0)</f>
        <v>46189</v>
      </c>
      <c r="I618" s="89">
        <f>IFERROR(__xludf.DUMMYFUNCTION("""COMPUTED_VALUE"""),3.0)</f>
        <v>3</v>
      </c>
      <c r="J618" s="96"/>
      <c r="K618" s="36" t="str">
        <f>IFERROR(__xludf.DUMMYFUNCTION("""COMPUTED_VALUE"""),"fullbooked")</f>
        <v>fullbooked</v>
      </c>
      <c r="L618" s="49"/>
      <c r="M618" s="20"/>
      <c r="N618" s="20"/>
      <c r="O618" s="20"/>
      <c r="P618" s="20"/>
    </row>
    <row r="619">
      <c r="A619" s="97">
        <f>IFERROR(__xludf.DUMMYFUNCTION("""COMPUTED_VALUE"""),46182.0)</f>
        <v>46182</v>
      </c>
      <c r="B619" s="97" t="str">
        <f>IFERROR(__xludf.DUMMYFUNCTION("""COMPUTED_VALUE"""),"2606A078")</f>
        <v>2606A078</v>
      </c>
      <c r="C619" s="76" t="str">
        <f>IFERROR(__xludf.DUMMYFUNCTION("""COMPUTED_VALUE"""),"dinna sulinda")</f>
        <v>dinna sulinda</v>
      </c>
      <c r="D619" s="99" t="str">
        <f>IFERROR(__xludf.DUMMYFUNCTION("""COMPUTED_VALUE"""),"085695366620")</f>
        <v>085695366620</v>
      </c>
      <c r="E619" s="25" t="str">
        <f>IFERROR(__xludf.DUMMYFUNCTION("""COMPUTED_VALUE"""),"Website")</f>
        <v>Website</v>
      </c>
      <c r="F619" s="25" t="str">
        <f>IFERROR(__xludf.DUMMYFUNCTION("""COMPUTED_VALUE"""),"Gagal")</f>
        <v>Gagal</v>
      </c>
      <c r="G619" s="25" t="str">
        <f>IFERROR(__xludf.DUMMYFUNCTION("""COMPUTED_VALUE"""),"baluran")</f>
        <v>baluran</v>
      </c>
      <c r="H619" s="92">
        <f>IFERROR(__xludf.DUMMYFUNCTION("""COMPUTED_VALUE"""),46189.0)</f>
        <v>46189</v>
      </c>
      <c r="I619" s="80">
        <f>IFERROR(__xludf.DUMMYFUNCTION("""COMPUTED_VALUE"""),7.0)</f>
        <v>7</v>
      </c>
      <c r="J619" s="93">
        <f>IFERROR(__xludf.DUMMYFUNCTION("""COMPUTED_VALUE"""),3010000.0)</f>
        <v>3010000</v>
      </c>
      <c r="K619" s="46" t="str">
        <f>IFERROR(__xludf.DUMMYFUNCTION("""COMPUTED_VALUE"""),"ga jadi")</f>
        <v>ga jadi</v>
      </c>
      <c r="L619" s="76"/>
      <c r="M619" s="20"/>
      <c r="N619" s="20"/>
      <c r="O619" s="20"/>
      <c r="P619" s="20"/>
    </row>
    <row r="620">
      <c r="A620" s="110">
        <f>IFERROR(__xludf.DUMMYFUNCTION("""COMPUTED_VALUE"""),46186.0)</f>
        <v>46186</v>
      </c>
      <c r="B620" s="110" t="str">
        <f>IFERROR(__xludf.DUMMYFUNCTION("""COMPUTED_VALUE"""),"2606A079")</f>
        <v>2606A079</v>
      </c>
      <c r="C620" s="49" t="str">
        <f>IFERROR(__xludf.DUMMYFUNCTION("""COMPUTED_VALUE"""),"Rizky")</f>
        <v>Rizky</v>
      </c>
      <c r="D620" s="102" t="str">
        <f>IFERROR(__xludf.DUMMYFUNCTION("""COMPUTED_VALUE"""),"08176696659")</f>
        <v>08176696659</v>
      </c>
      <c r="E620" s="25" t="str">
        <f>IFERROR(__xludf.DUMMYFUNCTION("""COMPUTED_VALUE"""),"Instagram")</f>
        <v>Instagram</v>
      </c>
      <c r="F620" s="25" t="str">
        <f>IFERROR(__xludf.DUMMYFUNCTION("""COMPUTED_VALUE"""),"Gagal")</f>
        <v>Gagal</v>
      </c>
      <c r="G620" s="25" t="str">
        <f>IFERROR(__xludf.DUMMYFUNCTION("""COMPUTED_VALUE"""),"3h2m")</f>
        <v>3h2m</v>
      </c>
      <c r="H620" s="78"/>
      <c r="I620" s="89">
        <f>IFERROR(__xludf.DUMMYFUNCTION("""COMPUTED_VALUE"""),2.0)</f>
        <v>2</v>
      </c>
      <c r="J620" s="96"/>
      <c r="K620" s="36"/>
      <c r="L620" s="49"/>
      <c r="M620" s="20"/>
      <c r="N620" s="20"/>
      <c r="O620" s="20"/>
      <c r="P620" s="20"/>
    </row>
    <row r="621">
      <c r="A621" s="97">
        <f>IFERROR(__xludf.DUMMYFUNCTION("""COMPUTED_VALUE"""),46187.0)</f>
        <v>46187</v>
      </c>
      <c r="B621" s="97" t="str">
        <f>IFERROR(__xludf.DUMMYFUNCTION("""COMPUTED_VALUE"""),"2606A080")</f>
        <v>2606A080</v>
      </c>
      <c r="C621" s="76" t="str">
        <f>IFERROR(__xludf.DUMMYFUNCTION("""COMPUTED_VALUE"""),"Dewi")</f>
        <v>Dewi</v>
      </c>
      <c r="D621" s="99" t="str">
        <f>IFERROR(__xludf.DUMMYFUNCTION("""COMPUTED_VALUE"""),"087700088777")</f>
        <v>087700088777</v>
      </c>
      <c r="E621" s="25" t="str">
        <f>IFERROR(__xludf.DUMMYFUNCTION("""COMPUTED_VALUE"""),"Website")</f>
        <v>Website</v>
      </c>
      <c r="F621" s="25" t="str">
        <f>IFERROR(__xludf.DUMMYFUNCTION("""COMPUTED_VALUE"""),"Gagal")</f>
        <v>Gagal</v>
      </c>
      <c r="G621" s="25" t="str">
        <f>IFERROR(__xludf.DUMMYFUNCTION("""COMPUTED_VALUE"""),"3h2m")</f>
        <v>3h2m</v>
      </c>
      <c r="H621" s="16">
        <f>IFERROR(__xludf.DUMMYFUNCTION("""COMPUTED_VALUE"""),46195.0)</f>
        <v>46195</v>
      </c>
      <c r="I621" s="17"/>
      <c r="J621" s="54"/>
      <c r="K621" s="46" t="str">
        <f>IFERROR(__xludf.DUMMYFUNCTION("""COMPUTED_VALUE"""),"gada balasan")</f>
        <v>gada balasan</v>
      </c>
      <c r="L621" s="76"/>
      <c r="M621" s="20"/>
      <c r="N621" s="20"/>
      <c r="O621" s="20"/>
      <c r="P621" s="20"/>
    </row>
    <row r="622">
      <c r="A622" s="110">
        <f>IFERROR(__xludf.DUMMYFUNCTION("""COMPUTED_VALUE"""),46187.0)</f>
        <v>46187</v>
      </c>
      <c r="B622" s="110" t="str">
        <f>IFERROR(__xludf.DUMMYFUNCTION("""COMPUTED_VALUE"""),"2606A081")</f>
        <v>2606A081</v>
      </c>
      <c r="C622" s="49" t="str">
        <f>IFERROR(__xludf.DUMMYFUNCTION("""COMPUTED_VALUE"""),"Kristina")</f>
        <v>Kristina</v>
      </c>
      <c r="D622" s="102" t="str">
        <f>IFERROR(__xludf.DUMMYFUNCTION("""COMPUTED_VALUE"""),"085803909655")</f>
        <v>085803909655</v>
      </c>
      <c r="E622" s="25" t="str">
        <f>IFERROR(__xludf.DUMMYFUNCTION("""COMPUTED_VALUE"""),"Instagram")</f>
        <v>Instagram</v>
      </c>
      <c r="F622" s="25" t="str">
        <f>IFERROR(__xludf.DUMMYFUNCTION("""COMPUTED_VALUE"""),"Gagal")</f>
        <v>Gagal</v>
      </c>
      <c r="G622" s="25" t="str">
        <f>IFERROR(__xludf.DUMMYFUNCTION("""COMPUTED_VALUE"""),"3h2m")</f>
        <v>3h2m</v>
      </c>
      <c r="H622" s="78">
        <f>IFERROR(__xludf.DUMMYFUNCTION("""COMPUTED_VALUE"""),46188.0)</f>
        <v>46188</v>
      </c>
      <c r="I622" s="89">
        <f>IFERROR(__xludf.DUMMYFUNCTION("""COMPUTED_VALUE"""),1.0)</f>
        <v>1</v>
      </c>
      <c r="J622" s="96"/>
      <c r="K622" s="30" t="str">
        <f>IFERROR(__xludf.DUMMYFUNCTION("""COMPUTED_VALUE"""),"ga dapat cuti")</f>
        <v>ga dapat cuti</v>
      </c>
      <c r="L622" s="49"/>
      <c r="M622" s="20"/>
      <c r="N622" s="20"/>
      <c r="O622" s="20"/>
      <c r="P622" s="20"/>
    </row>
    <row r="623">
      <c r="A623" s="97">
        <f>IFERROR(__xludf.DUMMYFUNCTION("""COMPUTED_VALUE"""),46187.0)</f>
        <v>46187</v>
      </c>
      <c r="B623" s="97" t="str">
        <f>IFERROR(__xludf.DUMMYFUNCTION("""COMPUTED_VALUE"""),"2606A082")</f>
        <v>2606A082</v>
      </c>
      <c r="C623" s="76" t="str">
        <f>IFERROR(__xludf.DUMMYFUNCTION("""COMPUTED_VALUE"""),"Ika")</f>
        <v>Ika</v>
      </c>
      <c r="D623" s="99" t="str">
        <f>IFERROR(__xludf.DUMMYFUNCTION("""COMPUTED_VALUE"""),"083892207080")</f>
        <v>083892207080</v>
      </c>
      <c r="E623" s="25" t="str">
        <f>IFERROR(__xludf.DUMMYFUNCTION("""COMPUTED_VALUE"""),"Instagram")</f>
        <v>Instagram</v>
      </c>
      <c r="F623" s="25" t="str">
        <f>IFERROR(__xludf.DUMMYFUNCTION("""COMPUTED_VALUE"""),"Gagal")</f>
        <v>Gagal</v>
      </c>
      <c r="G623" s="25" t="str">
        <f>IFERROR(__xludf.DUMMYFUNCTION("""COMPUTED_VALUE"""),"ot 3h2m")</f>
        <v>ot 3h2m</v>
      </c>
      <c r="H623" s="92">
        <f>IFERROR(__xludf.DUMMYFUNCTION("""COMPUTED_VALUE"""),46212.0)</f>
        <v>46212</v>
      </c>
      <c r="I623" s="80"/>
      <c r="J623" s="93"/>
      <c r="K623" s="46" t="str">
        <f>IFERROR(__xludf.DUMMYFUNCTION("""COMPUTED_VALUE"""),"gada balasan")</f>
        <v>gada balasan</v>
      </c>
      <c r="L623" s="76"/>
      <c r="M623" s="20"/>
      <c r="N623" s="20"/>
      <c r="O623" s="20"/>
      <c r="P623" s="20"/>
    </row>
    <row r="624">
      <c r="A624" s="110">
        <f>IFERROR(__xludf.DUMMYFUNCTION("""COMPUTED_VALUE"""),46187.0)</f>
        <v>46187</v>
      </c>
      <c r="B624" s="110" t="str">
        <f>IFERROR(__xludf.DUMMYFUNCTION("""COMPUTED_VALUE"""),"2606A083")</f>
        <v>2606A083</v>
      </c>
      <c r="C624" s="49" t="str">
        <f>IFERROR(__xludf.DUMMYFUNCTION("""COMPUTED_VALUE"""),"Fillah")</f>
        <v>Fillah</v>
      </c>
      <c r="D624" s="102" t="str">
        <f>IFERROR(__xludf.DUMMYFUNCTION("""COMPUTED_VALUE"""),"081338671112")</f>
        <v>081338671112</v>
      </c>
      <c r="E624" s="25" t="str">
        <f>IFERROR(__xludf.DUMMYFUNCTION("""COMPUTED_VALUE"""),"Instagram")</f>
        <v>Instagram</v>
      </c>
      <c r="F624" s="25" t="str">
        <f>IFERROR(__xludf.DUMMYFUNCTION("""COMPUTED_VALUE"""),"Gagal")</f>
        <v>Gagal</v>
      </c>
      <c r="G624" s="25"/>
      <c r="H624" s="78"/>
      <c r="I624" s="89"/>
      <c r="J624" s="96"/>
      <c r="K624" s="36" t="str">
        <f>IFERROR(__xludf.DUMMYFUNCTION("""COMPUTED_VALUE"""),"gada kelanjutan")</f>
        <v>gada kelanjutan</v>
      </c>
      <c r="L624" s="137"/>
      <c r="M624" s="20"/>
      <c r="N624" s="20"/>
      <c r="O624" s="20"/>
      <c r="P624" s="20"/>
    </row>
    <row r="625">
      <c r="A625" s="97">
        <f>IFERROR(__xludf.DUMMYFUNCTION("""COMPUTED_VALUE"""),46187.0)</f>
        <v>46187</v>
      </c>
      <c r="B625" s="97" t="str">
        <f>IFERROR(__xludf.DUMMYFUNCTION("""COMPUTED_VALUE"""),"2606A084")</f>
        <v>2606A084</v>
      </c>
      <c r="C625" s="76" t="str">
        <f>IFERROR(__xludf.DUMMYFUNCTION("""COMPUTED_VALUE"""),"Shafa")</f>
        <v>Shafa</v>
      </c>
      <c r="D625" s="99" t="str">
        <f>IFERROR(__xludf.DUMMYFUNCTION("""COMPUTED_VALUE"""),"08976211029")</f>
        <v>08976211029</v>
      </c>
      <c r="E625" s="25" t="str">
        <f>IFERROR(__xludf.DUMMYFUNCTION("""COMPUTED_VALUE"""),"Instagram")</f>
        <v>Instagram</v>
      </c>
      <c r="F625" s="25" t="str">
        <f>IFERROR(__xludf.DUMMYFUNCTION("""COMPUTED_VALUE"""),"Gagal")</f>
        <v>Gagal</v>
      </c>
      <c r="G625" s="25" t="str">
        <f>IFERROR(__xludf.DUMMYFUNCTION("""COMPUTED_VALUE"""),"ot kawah ijen")</f>
        <v>ot kawah ijen</v>
      </c>
      <c r="H625" s="92">
        <f>IFERROR(__xludf.DUMMYFUNCTION("""COMPUTED_VALUE"""),46208.0)</f>
        <v>46208</v>
      </c>
      <c r="I625" s="17">
        <f>IFERROR(__xludf.DUMMYFUNCTION("""COMPUTED_VALUE"""),4.0)</f>
        <v>4</v>
      </c>
      <c r="J625" s="93"/>
      <c r="K625" s="46"/>
      <c r="L625" s="76"/>
      <c r="M625" s="20"/>
      <c r="N625" s="20"/>
      <c r="O625" s="20"/>
      <c r="P625" s="20"/>
    </row>
    <row r="626">
      <c r="A626" s="110">
        <f>IFERROR(__xludf.DUMMYFUNCTION("""COMPUTED_VALUE"""),46187.0)</f>
        <v>46187</v>
      </c>
      <c r="B626" s="110" t="str">
        <f>IFERROR(__xludf.DUMMYFUNCTION("""COMPUTED_VALUE"""),"2606A085")</f>
        <v>2606A085</v>
      </c>
      <c r="C626" s="49" t="str">
        <f>IFERROR(__xludf.DUMMYFUNCTION("""COMPUTED_VALUE"""),"Andika")</f>
        <v>Andika</v>
      </c>
      <c r="D626" s="102" t="str">
        <f>IFERROR(__xludf.DUMMYFUNCTION("""COMPUTED_VALUE"""),"081325210466")</f>
        <v>081325210466</v>
      </c>
      <c r="E626" s="25" t="str">
        <f>IFERROR(__xludf.DUMMYFUNCTION("""COMPUTED_VALUE"""),"Instagram")</f>
        <v>Instagram</v>
      </c>
      <c r="F626" s="25" t="str">
        <f>IFERROR(__xludf.DUMMYFUNCTION("""COMPUTED_VALUE"""),"Gagal")</f>
        <v>Gagal</v>
      </c>
      <c r="G626" s="25"/>
      <c r="H626" s="78"/>
      <c r="I626" s="89"/>
      <c r="J626" s="96"/>
      <c r="K626" s="30"/>
      <c r="L626" s="49"/>
      <c r="M626" s="20"/>
      <c r="N626" s="20"/>
      <c r="O626" s="20"/>
      <c r="P626" s="20"/>
    </row>
    <row r="627">
      <c r="A627" s="97">
        <f>IFERROR(__xludf.DUMMYFUNCTION("""COMPUTED_VALUE"""),46187.0)</f>
        <v>46187</v>
      </c>
      <c r="B627" s="97" t="str">
        <f>IFERROR(__xludf.DUMMYFUNCTION("""COMPUTED_VALUE"""),"2606A086")</f>
        <v>2606A086</v>
      </c>
      <c r="C627" s="76" t="str">
        <f>IFERROR(__xludf.DUMMYFUNCTION("""COMPUTED_VALUE"""),"Siska W. Wardhana")</f>
        <v>Siska W. Wardhana</v>
      </c>
      <c r="D627" s="99" t="str">
        <f>IFERROR(__xludf.DUMMYFUNCTION("""COMPUTED_VALUE"""),"087822020430")</f>
        <v>087822020430</v>
      </c>
      <c r="E627" s="25" t="str">
        <f>IFERROR(__xludf.DUMMYFUNCTION("""COMPUTED_VALUE"""),"Website")</f>
        <v>Website</v>
      </c>
      <c r="F627" s="25" t="str">
        <f>IFERROR(__xludf.DUMMYFUNCTION("""COMPUTED_VALUE"""),"Closing")</f>
        <v>Closing</v>
      </c>
      <c r="G627" s="25" t="str">
        <f>IFERROR(__xludf.DUMMYFUNCTION("""COMPUTED_VALUE"""),"3h2m")</f>
        <v>3h2m</v>
      </c>
      <c r="H627" s="92">
        <f>IFERROR(__xludf.DUMMYFUNCTION("""COMPUTED_VALUE"""),46192.0)</f>
        <v>46192</v>
      </c>
      <c r="I627" s="80"/>
      <c r="J627" s="93"/>
      <c r="K627" s="19"/>
      <c r="L627" s="76"/>
      <c r="M627" s="20"/>
      <c r="N627" s="20"/>
      <c r="O627" s="20"/>
      <c r="P627" s="20"/>
    </row>
    <row r="628">
      <c r="A628" s="110">
        <f>IFERROR(__xludf.DUMMYFUNCTION("""COMPUTED_VALUE"""),46187.0)</f>
        <v>46187</v>
      </c>
      <c r="B628" s="110" t="str">
        <f>IFERROR(__xludf.DUMMYFUNCTION("""COMPUTED_VALUE"""),"2606A087")</f>
        <v>2606A087</v>
      </c>
      <c r="C628" s="49" t="str">
        <f>IFERROR(__xludf.DUMMYFUNCTION("""COMPUTED_VALUE"""),"Hidayat")</f>
        <v>Hidayat</v>
      </c>
      <c r="D628" s="102" t="str">
        <f>IFERROR(__xludf.DUMMYFUNCTION("""COMPUTED_VALUE"""),"085325252348")</f>
        <v>085325252348</v>
      </c>
      <c r="E628" s="25" t="str">
        <f>IFERROR(__xludf.DUMMYFUNCTION("""COMPUTED_VALUE"""),"Instagram")</f>
        <v>Instagram</v>
      </c>
      <c r="F628" s="25" t="str">
        <f>IFERROR(__xludf.DUMMYFUNCTION("""COMPUTED_VALUE"""),"Gagal")</f>
        <v>Gagal</v>
      </c>
      <c r="G628" s="25"/>
      <c r="H628" s="78"/>
      <c r="I628" s="89"/>
      <c r="J628" s="96"/>
      <c r="K628" s="30"/>
      <c r="L628" s="49"/>
      <c r="M628" s="20"/>
      <c r="N628" s="20"/>
      <c r="O628" s="20"/>
      <c r="P628" s="20"/>
    </row>
    <row r="629">
      <c r="A629" s="97">
        <f>IFERROR(__xludf.DUMMYFUNCTION("""COMPUTED_VALUE"""),46188.0)</f>
        <v>46188</v>
      </c>
      <c r="B629" s="97" t="str">
        <f>IFERROR(__xludf.DUMMYFUNCTION("""COMPUTED_VALUE"""),"2606A088")</f>
        <v>2606A088</v>
      </c>
      <c r="C629" s="76" t="str">
        <f>IFERROR(__xludf.DUMMYFUNCTION("""COMPUTED_VALUE"""),"Pidharhyu")</f>
        <v>Pidharhyu</v>
      </c>
      <c r="D629" s="99" t="str">
        <f>IFERROR(__xludf.DUMMYFUNCTION("""COMPUTED_VALUE"""),"083840125855")</f>
        <v>083840125855</v>
      </c>
      <c r="E629" s="25" t="str">
        <f>IFERROR(__xludf.DUMMYFUNCTION("""COMPUTED_VALUE"""),"Instagram")</f>
        <v>Instagram</v>
      </c>
      <c r="F629" s="25" t="str">
        <f>IFERROR(__xludf.DUMMYFUNCTION("""COMPUTED_VALUE"""),"Gagal")</f>
        <v>Gagal</v>
      </c>
      <c r="G629" s="25" t="str">
        <f>IFERROR(__xludf.DUMMYFUNCTION("""COMPUTED_VALUE"""),"3h2m opsi a ")</f>
        <v>3h2m opsi a </v>
      </c>
      <c r="H629" s="92"/>
      <c r="I629" s="80">
        <f>IFERROR(__xludf.DUMMYFUNCTION("""COMPUTED_VALUE"""),2.0)</f>
        <v>2</v>
      </c>
      <c r="J629" s="93">
        <f>IFERROR(__xludf.DUMMYFUNCTION("""COMPUTED_VALUE"""),6128000.0)</f>
        <v>6128000</v>
      </c>
      <c r="K629" s="46"/>
      <c r="L629" s="76"/>
      <c r="M629" s="20"/>
      <c r="N629" s="20"/>
      <c r="O629" s="20"/>
      <c r="P629" s="20"/>
    </row>
    <row r="630">
      <c r="A630" s="110">
        <f>IFERROR(__xludf.DUMMYFUNCTION("""COMPUTED_VALUE"""),46188.0)</f>
        <v>46188</v>
      </c>
      <c r="B630" s="110" t="str">
        <f>IFERROR(__xludf.DUMMYFUNCTION("""COMPUTED_VALUE"""),"2606A089")</f>
        <v>2606A089</v>
      </c>
      <c r="C630" s="49" t="str">
        <f>IFERROR(__xludf.DUMMYFUNCTION("""COMPUTED_VALUE"""),"Radit")</f>
        <v>Radit</v>
      </c>
      <c r="D630" s="102" t="str">
        <f>IFERROR(__xludf.DUMMYFUNCTION("""COMPUTED_VALUE"""),"082136423185")</f>
        <v>082136423185</v>
      </c>
      <c r="E630" s="25" t="str">
        <f>IFERROR(__xludf.DUMMYFUNCTION("""COMPUTED_VALUE"""),"Instagram")</f>
        <v>Instagram</v>
      </c>
      <c r="F630" s="25" t="str">
        <f>IFERROR(__xludf.DUMMYFUNCTION("""COMPUTED_VALUE"""),"Gagal")</f>
        <v>Gagal</v>
      </c>
      <c r="G630" s="25" t="str">
        <f>IFERROR(__xludf.DUMMYFUNCTION("""COMPUTED_VALUE"""),"4h3m")</f>
        <v>4h3m</v>
      </c>
      <c r="H630" s="78"/>
      <c r="I630" s="27">
        <f>IFERROR(__xludf.DUMMYFUNCTION("""COMPUTED_VALUE"""),5.0)</f>
        <v>5</v>
      </c>
      <c r="J630" s="33"/>
      <c r="K630" s="30"/>
      <c r="L630" s="49"/>
      <c r="M630" s="20"/>
      <c r="N630" s="20"/>
      <c r="O630" s="20"/>
      <c r="P630" s="20"/>
    </row>
    <row r="631">
      <c r="A631" s="97">
        <f>IFERROR(__xludf.DUMMYFUNCTION("""COMPUTED_VALUE"""),46189.0)</f>
        <v>46189</v>
      </c>
      <c r="B631" s="97" t="str">
        <f>IFERROR(__xludf.DUMMYFUNCTION("""COMPUTED_VALUE"""),"2606A090")</f>
        <v>2606A090</v>
      </c>
      <c r="C631" s="76" t="str">
        <f>IFERROR(__xludf.DUMMYFUNCTION("""COMPUTED_VALUE"""),"Meyna")</f>
        <v>Meyna</v>
      </c>
      <c r="D631" s="99" t="str">
        <f>IFERROR(__xludf.DUMMYFUNCTION("""COMPUTED_VALUE"""),"081212488212")</f>
        <v>081212488212</v>
      </c>
      <c r="E631" s="25" t="str">
        <f>IFERROR(__xludf.DUMMYFUNCTION("""COMPUTED_VALUE"""),"Instagram")</f>
        <v>Instagram</v>
      </c>
      <c r="F631" s="25" t="str">
        <f>IFERROR(__xludf.DUMMYFUNCTION("""COMPUTED_VALUE"""),"Closing")</f>
        <v>Closing</v>
      </c>
      <c r="G631" s="25" t="str">
        <f>IFERROR(__xludf.DUMMYFUNCTION("""COMPUTED_VALUE"""),"priv mt")</f>
        <v>priv mt</v>
      </c>
      <c r="H631" s="92">
        <f>IFERROR(__xludf.DUMMYFUNCTION("""COMPUTED_VALUE"""),46191.0)</f>
        <v>46191</v>
      </c>
      <c r="I631" s="80">
        <f>IFERROR(__xludf.DUMMYFUNCTION("""COMPUTED_VALUE"""),3.0)</f>
        <v>3</v>
      </c>
      <c r="J631" s="93">
        <f>IFERROR(__xludf.DUMMYFUNCTION("""COMPUTED_VALUE"""),1830000.0)</f>
        <v>1830000</v>
      </c>
      <c r="K631" s="46" t="str">
        <f>IFERROR(__xludf.DUMMYFUNCTION("""COMPUTED_VALUE"""),"alhamdulillah orderrrr")</f>
        <v>alhamdulillah orderrrr</v>
      </c>
      <c r="L631" s="76"/>
      <c r="M631" s="20"/>
      <c r="N631" s="20"/>
      <c r="O631" s="20"/>
      <c r="P631" s="20"/>
    </row>
    <row r="632">
      <c r="A632" s="110">
        <f>IFERROR(__xludf.DUMMYFUNCTION("""COMPUTED_VALUE"""),46188.0)</f>
        <v>46188</v>
      </c>
      <c r="B632" s="110" t="str">
        <f>IFERROR(__xludf.DUMMYFUNCTION("""COMPUTED_VALUE"""),"2606A091")</f>
        <v>2606A091</v>
      </c>
      <c r="C632" s="49" t="str">
        <f>IFERROR(__xludf.DUMMYFUNCTION("""COMPUTED_VALUE"""),"Ida Susanti")</f>
        <v>Ida Susanti</v>
      </c>
      <c r="D632" s="102" t="str">
        <f>IFERROR(__xludf.DUMMYFUNCTION("""COMPUTED_VALUE"""),"085283500101")</f>
        <v>085283500101</v>
      </c>
      <c r="E632" s="25" t="str">
        <f>IFERROR(__xludf.DUMMYFUNCTION("""COMPUTED_VALUE"""),"Website")</f>
        <v>Website</v>
      </c>
      <c r="F632" s="25" t="str">
        <f>IFERROR(__xludf.DUMMYFUNCTION("""COMPUTED_VALUE"""),"Gagal")</f>
        <v>Gagal</v>
      </c>
      <c r="G632" s="25" t="str">
        <f>IFERROR(__xludf.DUMMYFUNCTION("""COMPUTED_VALUE"""),"djawatan-baluran")</f>
        <v>djawatan-baluran</v>
      </c>
      <c r="H632" s="78">
        <f>IFERROR(__xludf.DUMMYFUNCTION("""COMPUTED_VALUE"""),46191.0)</f>
        <v>46191</v>
      </c>
      <c r="I632" s="89">
        <f>IFERROR(__xludf.DUMMYFUNCTION("""COMPUTED_VALUE"""),5.0)</f>
        <v>5</v>
      </c>
      <c r="J632" s="96"/>
      <c r="K632" s="36"/>
      <c r="L632" s="49"/>
      <c r="M632" s="20"/>
      <c r="N632" s="20"/>
      <c r="O632" s="20"/>
      <c r="P632" s="20"/>
    </row>
    <row r="633">
      <c r="A633" s="97">
        <f>IFERROR(__xludf.DUMMYFUNCTION("""COMPUTED_VALUE"""),46188.0)</f>
        <v>46188</v>
      </c>
      <c r="B633" s="97" t="str">
        <f>IFERROR(__xludf.DUMMYFUNCTION("""COMPUTED_VALUE"""),"2606A092")</f>
        <v>2606A092</v>
      </c>
      <c r="C633" s="76" t="str">
        <f>IFERROR(__xludf.DUMMYFUNCTION("""COMPUTED_VALUE"""),"Muhammad Izza")</f>
        <v>Muhammad Izza</v>
      </c>
      <c r="D633" s="99" t="str">
        <f>IFERROR(__xludf.DUMMYFUNCTION("""COMPUTED_VALUE"""),"085820623370")</f>
        <v>085820623370</v>
      </c>
      <c r="E633" s="25" t="str">
        <f>IFERROR(__xludf.DUMMYFUNCTION("""COMPUTED_VALUE"""),"Website")</f>
        <v>Website</v>
      </c>
      <c r="F633" s="25" t="str">
        <f>IFERROR(__xludf.DUMMYFUNCTION("""COMPUTED_VALUE"""),"Gagal")</f>
        <v>Gagal</v>
      </c>
      <c r="G633" s="25"/>
      <c r="H633" s="92"/>
      <c r="I633" s="80"/>
      <c r="J633" s="93"/>
      <c r="K633" s="19"/>
      <c r="L633" s="76"/>
      <c r="M633" s="20"/>
      <c r="N633" s="20"/>
      <c r="O633" s="20"/>
      <c r="P633" s="20"/>
    </row>
    <row r="634">
      <c r="A634" s="110">
        <f>IFERROR(__xludf.DUMMYFUNCTION("""COMPUTED_VALUE"""),46189.0)</f>
        <v>46189</v>
      </c>
      <c r="B634" s="110" t="str">
        <f>IFERROR(__xludf.DUMMYFUNCTION("""COMPUTED_VALUE"""),"2606A093")</f>
        <v>2606A093</v>
      </c>
      <c r="C634" s="49" t="str">
        <f>IFERROR(__xludf.DUMMYFUNCTION("""COMPUTED_VALUE"""),"Sabrina")</f>
        <v>Sabrina</v>
      </c>
      <c r="D634" s="102" t="str">
        <f>IFERROR(__xludf.DUMMYFUNCTION("""COMPUTED_VALUE"""),"082257679080")</f>
        <v>082257679080</v>
      </c>
      <c r="E634" s="25" t="str">
        <f>IFERROR(__xludf.DUMMYFUNCTION("""COMPUTED_VALUE"""),"Instagram")</f>
        <v>Instagram</v>
      </c>
      <c r="F634" s="25" t="str">
        <f>IFERROR(__xludf.DUMMYFUNCTION("""COMPUTED_VALUE"""),"Gagal")</f>
        <v>Gagal</v>
      </c>
      <c r="G634" s="25"/>
      <c r="H634" s="78"/>
      <c r="I634" s="89"/>
      <c r="J634" s="96"/>
      <c r="K634" s="36"/>
      <c r="L634" s="23"/>
      <c r="M634" s="20"/>
      <c r="N634" s="20"/>
      <c r="O634" s="20"/>
      <c r="P634" s="20"/>
    </row>
    <row r="635">
      <c r="A635" s="97">
        <f>IFERROR(__xludf.DUMMYFUNCTION("""COMPUTED_VALUE"""),46189.0)</f>
        <v>46189</v>
      </c>
      <c r="B635" s="97" t="str">
        <f>IFERROR(__xludf.DUMMYFUNCTION("""COMPUTED_VALUE"""),"2606A094")</f>
        <v>2606A094</v>
      </c>
      <c r="C635" s="76" t="str">
        <f>IFERROR(__xludf.DUMMYFUNCTION("""COMPUTED_VALUE"""),"Adi")</f>
        <v>Adi</v>
      </c>
      <c r="D635" s="99" t="str">
        <f>IFERROR(__xludf.DUMMYFUNCTION("""COMPUTED_VALUE"""),"082164033322")</f>
        <v>082164033322</v>
      </c>
      <c r="E635" s="25" t="str">
        <f>IFERROR(__xludf.DUMMYFUNCTION("""COMPUTED_VALUE"""),"Website")</f>
        <v>Website</v>
      </c>
      <c r="F635" s="25" t="str">
        <f>IFERROR(__xludf.DUMMYFUNCTION("""COMPUTED_VALUE"""),"Gagal")</f>
        <v>Gagal</v>
      </c>
      <c r="G635" s="25"/>
      <c r="H635" s="16"/>
      <c r="I635" s="17"/>
      <c r="J635" s="54"/>
      <c r="K635" s="46"/>
      <c r="L635" s="76"/>
      <c r="M635" s="20"/>
      <c r="N635" s="20"/>
      <c r="O635" s="20"/>
      <c r="P635" s="20"/>
    </row>
    <row r="636">
      <c r="A636" s="110">
        <f>IFERROR(__xludf.DUMMYFUNCTION("""COMPUTED_VALUE"""),46189.0)</f>
        <v>46189</v>
      </c>
      <c r="B636" s="110" t="str">
        <f>IFERROR(__xludf.DUMMYFUNCTION("""COMPUTED_VALUE"""),"2606A095")</f>
        <v>2606A095</v>
      </c>
      <c r="C636" s="49" t="str">
        <f>IFERROR(__xludf.DUMMYFUNCTION("""COMPUTED_VALUE"""),"Azwar Mahruz")</f>
        <v>Azwar Mahruz</v>
      </c>
      <c r="D636" s="102" t="str">
        <f>IFERROR(__xludf.DUMMYFUNCTION("""COMPUTED_VALUE"""),"081228290766")</f>
        <v>081228290766</v>
      </c>
      <c r="E636" s="25" t="str">
        <f>IFERROR(__xludf.DUMMYFUNCTION("""COMPUTED_VALUE"""),"Instagram")</f>
        <v>Instagram</v>
      </c>
      <c r="F636" s="25" t="str">
        <f>IFERROR(__xludf.DUMMYFUNCTION("""COMPUTED_VALUE"""),"Gagal")</f>
        <v>Gagal</v>
      </c>
      <c r="G636" s="25"/>
      <c r="H636" s="78"/>
      <c r="I636" s="89"/>
      <c r="J636" s="96"/>
      <c r="K636" s="30"/>
      <c r="L636" s="49"/>
      <c r="M636" s="20"/>
      <c r="N636" s="20"/>
      <c r="O636" s="20"/>
      <c r="P636" s="20"/>
    </row>
    <row r="637">
      <c r="A637" s="97">
        <f>IFERROR(__xludf.DUMMYFUNCTION("""COMPUTED_VALUE"""),46189.0)</f>
        <v>46189</v>
      </c>
      <c r="B637" s="97" t="str">
        <f>IFERROR(__xludf.DUMMYFUNCTION("""COMPUTED_VALUE"""),"2606A096")</f>
        <v>2606A096</v>
      </c>
      <c r="C637" s="76" t="str">
        <f>IFERROR(__xludf.DUMMYFUNCTION("""COMPUTED_VALUE"""),"Zulva")</f>
        <v>Zulva</v>
      </c>
      <c r="D637" s="99" t="str">
        <f>IFERROR(__xludf.DUMMYFUNCTION("""COMPUTED_VALUE"""),"081231922270")</f>
        <v>081231922270</v>
      </c>
      <c r="E637" s="25" t="str">
        <f>IFERROR(__xludf.DUMMYFUNCTION("""COMPUTED_VALUE"""),"Instagram")</f>
        <v>Instagram</v>
      </c>
      <c r="F637" s="25" t="str">
        <f>IFERROR(__xludf.DUMMYFUNCTION("""COMPUTED_VALUE"""),"Closing")</f>
        <v>Closing</v>
      </c>
      <c r="G637" s="25" t="str">
        <f>IFERROR(__xludf.DUMMYFUNCTION("""COMPUTED_VALUE"""),"2h1m")</f>
        <v>2h1m</v>
      </c>
      <c r="H637" s="92"/>
      <c r="I637" s="80">
        <f>IFERROR(__xludf.DUMMYFUNCTION("""COMPUTED_VALUE"""),3.0)</f>
        <v>3</v>
      </c>
      <c r="J637" s="93"/>
      <c r="K637" s="46"/>
      <c r="L637" s="76"/>
      <c r="M637" s="20"/>
      <c r="N637" s="20"/>
      <c r="O637" s="20"/>
      <c r="P637" s="20"/>
    </row>
    <row r="638">
      <c r="A638" s="110">
        <f>IFERROR(__xludf.DUMMYFUNCTION("""COMPUTED_VALUE"""),46190.0)</f>
        <v>46190</v>
      </c>
      <c r="B638" s="135" t="str">
        <f>IFERROR(__xludf.DUMMYFUNCTION("""COMPUTED_VALUE"""),"2606A097")</f>
        <v>2606A097</v>
      </c>
      <c r="C638" s="49" t="str">
        <f>IFERROR(__xludf.DUMMYFUNCTION("""COMPUTED_VALUE"""),"Ms Iren")</f>
        <v>Ms Iren</v>
      </c>
      <c r="D638" s="102" t="str">
        <f>IFERROR(__xludf.DUMMYFUNCTION("""COMPUTED_VALUE"""),"085651169669")</f>
        <v>085651169669</v>
      </c>
      <c r="E638" s="25" t="str">
        <f>IFERROR(__xludf.DUMMYFUNCTION("""COMPUTED_VALUE"""),"Instagram")</f>
        <v>Instagram</v>
      </c>
      <c r="F638" s="25" t="str">
        <f>IFERROR(__xludf.DUMMYFUNCTION("""COMPUTED_VALUE"""),"Gagal")</f>
        <v>Gagal</v>
      </c>
      <c r="G638" s="25"/>
      <c r="H638" s="78"/>
      <c r="I638" s="27"/>
      <c r="J638" s="96"/>
      <c r="K638" s="30"/>
      <c r="L638" s="49"/>
      <c r="M638" s="20"/>
      <c r="N638" s="20"/>
      <c r="O638" s="20"/>
      <c r="P638" s="20"/>
    </row>
    <row r="639">
      <c r="A639" s="97">
        <f>IFERROR(__xludf.DUMMYFUNCTION("""COMPUTED_VALUE"""),46190.0)</f>
        <v>46190</v>
      </c>
      <c r="B639" s="97" t="str">
        <f>IFERROR(__xludf.DUMMYFUNCTION("""COMPUTED_VALUE"""),"2606A098")</f>
        <v>2606A098</v>
      </c>
      <c r="C639" s="76" t="str">
        <f>IFERROR(__xludf.DUMMYFUNCTION("""COMPUTED_VALUE"""),"Bila")</f>
        <v>Bila</v>
      </c>
      <c r="D639" s="99" t="str">
        <f>IFERROR(__xludf.DUMMYFUNCTION("""COMPUTED_VALUE"""),"081909411920")</f>
        <v>081909411920</v>
      </c>
      <c r="E639" s="25" t="str">
        <f>IFERROR(__xludf.DUMMYFUNCTION("""COMPUTED_VALUE"""),"Instagram")</f>
        <v>Instagram</v>
      </c>
      <c r="F639" s="25" t="str">
        <f>IFERROR(__xludf.DUMMYFUNCTION("""COMPUTED_VALUE"""),"Gagal")</f>
        <v>Gagal</v>
      </c>
      <c r="G639" s="25" t="str">
        <f>IFERROR(__xludf.DUMMYFUNCTION("""COMPUTED_VALUE"""),"2h1m")</f>
        <v>2h1m</v>
      </c>
      <c r="H639" s="92">
        <f>IFERROR(__xludf.DUMMYFUNCTION("""COMPUTED_VALUE"""),46215.0)</f>
        <v>46215</v>
      </c>
      <c r="I639" s="80"/>
      <c r="J639" s="93">
        <f>IFERROR(__xludf.DUMMYFUNCTION("""COMPUTED_VALUE"""),2388000.0)</f>
        <v>2388000</v>
      </c>
      <c r="K639" s="46" t="str">
        <f>IFERROR(__xludf.DUMMYFUNCTION("""COMPUTED_VALUE"""),"fu 1 juli")</f>
        <v>fu 1 juli</v>
      </c>
      <c r="L639" s="10"/>
      <c r="M639" s="20"/>
      <c r="N639" s="20"/>
      <c r="O639" s="20"/>
      <c r="P639" s="20"/>
    </row>
    <row r="640">
      <c r="A640" s="110">
        <f>IFERROR(__xludf.DUMMYFUNCTION("""COMPUTED_VALUE"""),46190.0)</f>
        <v>46190</v>
      </c>
      <c r="B640" s="110" t="str">
        <f>IFERROR(__xludf.DUMMYFUNCTION("""COMPUTED_VALUE"""),"2606A099")</f>
        <v>2606A099</v>
      </c>
      <c r="C640" s="49" t="str">
        <f>IFERROR(__xludf.DUMMYFUNCTION("""COMPUTED_VALUE"""),"Dhea Putri")</f>
        <v>Dhea Putri</v>
      </c>
      <c r="D640" s="102" t="str">
        <f>IFERROR(__xludf.DUMMYFUNCTION("""COMPUTED_VALUE"""),"082340594270")</f>
        <v>082340594270</v>
      </c>
      <c r="E640" s="25" t="str">
        <f>IFERROR(__xludf.DUMMYFUNCTION("""COMPUTED_VALUE"""),"Instagram")</f>
        <v>Instagram</v>
      </c>
      <c r="F640" s="25" t="str">
        <f>IFERROR(__xludf.DUMMYFUNCTION("""COMPUTED_VALUE"""),"Gagal")</f>
        <v>Gagal</v>
      </c>
      <c r="G640" s="25"/>
      <c r="H640" s="78"/>
      <c r="I640" s="89"/>
      <c r="J640" s="96"/>
      <c r="K640" s="36"/>
      <c r="L640" s="23"/>
      <c r="M640" s="20"/>
      <c r="N640" s="20"/>
      <c r="O640" s="20"/>
      <c r="P640" s="20"/>
    </row>
    <row r="641">
      <c r="A641" s="97">
        <f>IFERROR(__xludf.DUMMYFUNCTION("""COMPUTED_VALUE"""),46189.0)</f>
        <v>46189</v>
      </c>
      <c r="B641" s="97" t="str">
        <f>IFERROR(__xludf.DUMMYFUNCTION("""COMPUTED_VALUE"""),"2606A100")</f>
        <v>2606A100</v>
      </c>
      <c r="C641" s="76" t="str">
        <f>IFERROR(__xludf.DUMMYFUNCTION("""COMPUTED_VALUE"""),"Uus Ruslan Hamid")</f>
        <v>Uus Ruslan Hamid</v>
      </c>
      <c r="D641" s="99" t="str">
        <f>IFERROR(__xludf.DUMMYFUNCTION("""COMPUTED_VALUE"""),"081222477207")</f>
        <v>081222477207</v>
      </c>
      <c r="E641" s="25" t="str">
        <f>IFERROR(__xludf.DUMMYFUNCTION("""COMPUTED_VALUE"""),"Website")</f>
        <v>Website</v>
      </c>
      <c r="F641" s="25" t="str">
        <f>IFERROR(__xludf.DUMMYFUNCTION("""COMPUTED_VALUE"""),"Closing")</f>
        <v>Closing</v>
      </c>
      <c r="G641" s="25" t="str">
        <f>IFERROR(__xludf.DUMMYFUNCTION("""COMPUTED_VALUE"""),"2h1m")</f>
        <v>2h1m</v>
      </c>
      <c r="H641" s="92"/>
      <c r="I641" s="80">
        <f>IFERROR(__xludf.DUMMYFUNCTION("""COMPUTED_VALUE"""),11.0)</f>
        <v>11</v>
      </c>
      <c r="J641" s="93">
        <f>IFERROR(__xludf.DUMMYFUNCTION("""COMPUTED_VALUE"""),7480000.0)</f>
        <v>7480000</v>
      </c>
      <c r="K641" s="19"/>
      <c r="L641" s="76"/>
      <c r="M641" s="20"/>
      <c r="N641" s="20"/>
      <c r="O641" s="20"/>
      <c r="P641" s="20"/>
    </row>
    <row r="642">
      <c r="A642" s="110">
        <f>IFERROR(__xludf.DUMMYFUNCTION("""COMPUTED_VALUE"""),46190.0)</f>
        <v>46190</v>
      </c>
      <c r="B642" s="110" t="str">
        <f>IFERROR(__xludf.DUMMYFUNCTION("""COMPUTED_VALUE"""),"2606A101")</f>
        <v>2606A101</v>
      </c>
      <c r="C642" s="49" t="str">
        <f>IFERROR(__xludf.DUMMYFUNCTION("""COMPUTED_VALUE"""),"Laila")</f>
        <v>Laila</v>
      </c>
      <c r="D642" s="102" t="str">
        <f>IFERROR(__xludf.DUMMYFUNCTION("""COMPUTED_VALUE"""),"082335617345")</f>
        <v>082335617345</v>
      </c>
      <c r="E642" s="25" t="str">
        <f>IFERROR(__xludf.DUMMYFUNCTION("""COMPUTED_VALUE"""),"Website")</f>
        <v>Website</v>
      </c>
      <c r="F642" s="25" t="str">
        <f>IFERROR(__xludf.DUMMYFUNCTION("""COMPUTED_VALUE"""),"Gagal")</f>
        <v>Gagal</v>
      </c>
      <c r="G642" s="25"/>
      <c r="H642" s="78"/>
      <c r="I642" s="89"/>
      <c r="J642" s="96"/>
      <c r="K642" s="36"/>
      <c r="L642" s="49"/>
      <c r="M642" s="20"/>
      <c r="N642" s="20"/>
      <c r="O642" s="20"/>
      <c r="P642" s="20"/>
    </row>
    <row r="643">
      <c r="A643" s="97">
        <f>IFERROR(__xludf.DUMMYFUNCTION("""COMPUTED_VALUE"""),46191.0)</f>
        <v>46191</v>
      </c>
      <c r="B643" s="97" t="str">
        <f>IFERROR(__xludf.DUMMYFUNCTION("""COMPUTED_VALUE"""),"2606A102")</f>
        <v>2606A102</v>
      </c>
      <c r="C643" s="76" t="str">
        <f>IFERROR(__xludf.DUMMYFUNCTION("""COMPUTED_VALUE"""),"Mustika")</f>
        <v>Mustika</v>
      </c>
      <c r="D643" s="99" t="str">
        <f>IFERROR(__xludf.DUMMYFUNCTION("""COMPUTED_VALUE"""),"081218888987")</f>
        <v>081218888987</v>
      </c>
      <c r="E643" s="25" t="str">
        <f>IFERROR(__xludf.DUMMYFUNCTION("""COMPUTED_VALUE"""),"Website")</f>
        <v>Website</v>
      </c>
      <c r="F643" s="25" t="str">
        <f>IFERROR(__xludf.DUMMYFUNCTION("""COMPUTED_VALUE"""),"Gagal")</f>
        <v>Gagal</v>
      </c>
      <c r="G643" s="25" t="str">
        <f>IFERROR(__xludf.DUMMYFUNCTION("""COMPUTED_VALUE"""),"trip jeep")</f>
        <v>trip jeep</v>
      </c>
      <c r="H643" s="92">
        <f>IFERROR(__xludf.DUMMYFUNCTION("""COMPUTED_VALUE"""),46191.0)</f>
        <v>46191</v>
      </c>
      <c r="I643" s="17"/>
      <c r="J643" s="54"/>
      <c r="K643" s="46" t="str">
        <f>IFERROR(__xludf.DUMMYFUNCTION("""COMPUTED_VALUE"""),"gada kelanjutan jawaban")</f>
        <v>gada kelanjutan jawaban</v>
      </c>
      <c r="L643" s="76"/>
      <c r="M643" s="20"/>
      <c r="N643" s="20"/>
      <c r="O643" s="20"/>
      <c r="P643" s="20"/>
    </row>
    <row r="644">
      <c r="A644" s="110">
        <f>IFERROR(__xludf.DUMMYFUNCTION("""COMPUTED_VALUE"""),46191.0)</f>
        <v>46191</v>
      </c>
      <c r="B644" s="110" t="str">
        <f>IFERROR(__xludf.DUMMYFUNCTION("""COMPUTED_VALUE"""),"2606A103")</f>
        <v>2606A103</v>
      </c>
      <c r="C644" s="49" t="str">
        <f>IFERROR(__xludf.DUMMYFUNCTION("""COMPUTED_VALUE"""),"Mila")</f>
        <v>Mila</v>
      </c>
      <c r="D644" s="102" t="str">
        <f>IFERROR(__xludf.DUMMYFUNCTION("""COMPUTED_VALUE"""),"087796840618")</f>
        <v>087796840618</v>
      </c>
      <c r="E644" s="25" t="str">
        <f>IFERROR(__xludf.DUMMYFUNCTION("""COMPUTED_VALUE"""),"Website")</f>
        <v>Website</v>
      </c>
      <c r="F644" s="25" t="str">
        <f>IFERROR(__xludf.DUMMYFUNCTION("""COMPUTED_VALUE"""),"Gagal")</f>
        <v>Gagal</v>
      </c>
      <c r="G644" s="25" t="str">
        <f>IFERROR(__xludf.DUMMYFUNCTION("""COMPUTED_VALUE"""),"terakota djawatan")</f>
        <v>terakota djawatan</v>
      </c>
      <c r="H644" s="78">
        <f>IFERROR(__xludf.DUMMYFUNCTION("""COMPUTED_VALUE"""),46191.0)</f>
        <v>46191</v>
      </c>
      <c r="I644" s="89">
        <f>IFERROR(__xludf.DUMMYFUNCTION("""COMPUTED_VALUE"""),2.0)</f>
        <v>2</v>
      </c>
      <c r="J644" s="96">
        <f>IFERROR(__xludf.DUMMYFUNCTION("""COMPUTED_VALUE"""),1700000.0)</f>
        <v>1700000</v>
      </c>
      <c r="K644" s="30" t="str">
        <f>IFERROR(__xludf.DUMMYFUNCTION("""COMPUTED_VALUE"""),"gada kelanjutan jawaban")</f>
        <v>gada kelanjutan jawaban</v>
      </c>
      <c r="L644" s="49"/>
      <c r="M644" s="20"/>
      <c r="N644" s="20"/>
      <c r="O644" s="20"/>
      <c r="P644" s="20"/>
    </row>
    <row r="645">
      <c r="A645" s="97">
        <f>IFERROR(__xludf.DUMMYFUNCTION("""COMPUTED_VALUE"""),46191.0)</f>
        <v>46191</v>
      </c>
      <c r="B645" s="97" t="str">
        <f>IFERROR(__xludf.DUMMYFUNCTION("""COMPUTED_VALUE"""),"2606A104")</f>
        <v>2606A104</v>
      </c>
      <c r="C645" s="76" t="str">
        <f>IFERROR(__xludf.DUMMYFUNCTION("""COMPUTED_VALUE"""),"Ibu Nia")</f>
        <v>Ibu Nia</v>
      </c>
      <c r="D645" s="99" t="str">
        <f>IFERROR(__xludf.DUMMYFUNCTION("""COMPUTED_VALUE"""),"89685150775")</f>
        <v>89685150775</v>
      </c>
      <c r="E645" s="25" t="str">
        <f>IFERROR(__xludf.DUMMYFUNCTION("""COMPUTED_VALUE"""),"Lainnya")</f>
        <v>Lainnya</v>
      </c>
      <c r="F645" s="25" t="str">
        <f>IFERROR(__xludf.DUMMYFUNCTION("""COMPUTED_VALUE"""),"Gagal")</f>
        <v>Gagal</v>
      </c>
      <c r="G645" s="25" t="str">
        <f>IFERROR(__xludf.DUMMYFUNCTION("""COMPUTED_VALUE"""),"3h2m")</f>
        <v>3h2m</v>
      </c>
      <c r="H645" s="92"/>
      <c r="I645" s="17">
        <f>IFERROR(__xludf.DUMMYFUNCTION("""COMPUTED_VALUE"""),10.0)</f>
        <v>10</v>
      </c>
      <c r="J645" s="93"/>
      <c r="K645" s="19" t="str">
        <f>IFERROR(__xludf.DUMMYFUNCTION("""COMPUTED_VALUE"""),"ga jadi")</f>
        <v>ga jadi</v>
      </c>
      <c r="L645" s="76"/>
      <c r="M645" s="20"/>
      <c r="N645" s="20"/>
      <c r="O645" s="20"/>
      <c r="P645" s="20"/>
    </row>
    <row r="646">
      <c r="A646" s="110">
        <f>IFERROR(__xludf.DUMMYFUNCTION("""COMPUTED_VALUE"""),46191.0)</f>
        <v>46191</v>
      </c>
      <c r="B646" s="110" t="str">
        <f>IFERROR(__xludf.DUMMYFUNCTION("""COMPUTED_VALUE"""),"2606A105")</f>
        <v>2606A105</v>
      </c>
      <c r="C646" s="49" t="str">
        <f>IFERROR(__xludf.DUMMYFUNCTION("""COMPUTED_VALUE"""),"Marta Adriana")</f>
        <v>Marta Adriana</v>
      </c>
      <c r="D646" s="102" t="str">
        <f>IFERROR(__xludf.DUMMYFUNCTION("""COMPUTED_VALUE"""),"81332739083")</f>
        <v>81332739083</v>
      </c>
      <c r="E646" s="25" t="str">
        <f>IFERROR(__xludf.DUMMYFUNCTION("""COMPUTED_VALUE"""),"Website")</f>
        <v>Website</v>
      </c>
      <c r="F646" s="25" t="str">
        <f>IFERROR(__xludf.DUMMYFUNCTION("""COMPUTED_VALUE"""),"Gagal")</f>
        <v>Gagal</v>
      </c>
      <c r="G646" s="25" t="str">
        <f>IFERROR(__xludf.DUMMYFUNCTION("""COMPUTED_VALUE"""),"4h3m")</f>
        <v>4h3m</v>
      </c>
      <c r="H646" s="78"/>
      <c r="I646" s="89">
        <f>IFERROR(__xludf.DUMMYFUNCTION("""COMPUTED_VALUE"""),4.0)</f>
        <v>4</v>
      </c>
      <c r="J646" s="96"/>
      <c r="K646" s="30"/>
      <c r="L646" s="49"/>
      <c r="M646" s="20"/>
      <c r="N646" s="20"/>
      <c r="O646" s="20"/>
      <c r="P646" s="20"/>
    </row>
    <row r="647">
      <c r="A647" s="97">
        <f>IFERROR(__xludf.DUMMYFUNCTION("""COMPUTED_VALUE"""),46188.0)</f>
        <v>46188</v>
      </c>
      <c r="B647" s="97" t="str">
        <f>IFERROR(__xludf.DUMMYFUNCTION("""COMPUTED_VALUE"""),"2606A106")</f>
        <v>2606A106</v>
      </c>
      <c r="C647" s="76" t="str">
        <f>IFERROR(__xludf.DUMMYFUNCTION("""COMPUTED_VALUE"""),"Sherly")</f>
        <v>Sherly</v>
      </c>
      <c r="D647" s="99" t="str">
        <f>IFERROR(__xludf.DUMMYFUNCTION("""COMPUTED_VALUE"""),"082272452929")</f>
        <v>082272452929</v>
      </c>
      <c r="E647" s="25" t="str">
        <f>IFERROR(__xludf.DUMMYFUNCTION("""COMPUTED_VALUE"""),"Instagram")</f>
        <v>Instagram</v>
      </c>
      <c r="F647" s="25" t="str">
        <f>IFERROR(__xludf.DUMMYFUNCTION("""COMPUTED_VALUE"""),"Closing")</f>
        <v>Closing</v>
      </c>
      <c r="G647" s="25" t="str">
        <f>IFERROR(__xludf.DUMMYFUNCTION("""COMPUTED_VALUE"""),"ot mt ")</f>
        <v>ot mt </v>
      </c>
      <c r="H647" s="92">
        <f>IFERROR(__xludf.DUMMYFUNCTION("""COMPUTED_VALUE"""),46222.0)</f>
        <v>46222</v>
      </c>
      <c r="I647" s="17">
        <f>IFERROR(__xludf.DUMMYFUNCTION("""COMPUTED_VALUE"""),2.0)</f>
        <v>2</v>
      </c>
      <c r="J647" s="93">
        <f>IFERROR(__xludf.DUMMYFUNCTION("""COMPUTED_VALUE"""),550000.0)</f>
        <v>550000</v>
      </c>
      <c r="K647" s="46" t="str">
        <f>IFERROR(__xludf.DUMMYFUNCTION("""COMPUTED_VALUE"""),"alhamdulillah order")</f>
        <v>alhamdulillah order</v>
      </c>
      <c r="L647" s="10"/>
      <c r="M647" s="20"/>
      <c r="N647" s="20"/>
      <c r="O647" s="20"/>
      <c r="P647" s="20"/>
    </row>
    <row r="648">
      <c r="A648" s="110">
        <f>IFERROR(__xludf.DUMMYFUNCTION("""COMPUTED_VALUE"""),46191.0)</f>
        <v>46191</v>
      </c>
      <c r="B648" s="110" t="str">
        <f>IFERROR(__xludf.DUMMYFUNCTION("""COMPUTED_VALUE"""),"2606A107")</f>
        <v>2606A107</v>
      </c>
      <c r="C648" s="49" t="str">
        <f>IFERROR(__xludf.DUMMYFUNCTION("""COMPUTED_VALUE"""),"Yuni Ayundian")</f>
        <v>Yuni Ayundian</v>
      </c>
      <c r="D648" s="102" t="str">
        <f>IFERROR(__xludf.DUMMYFUNCTION("""COMPUTED_VALUE"""),"081381340494")</f>
        <v>081381340494</v>
      </c>
      <c r="E648" s="25" t="str">
        <f>IFERROR(__xludf.DUMMYFUNCTION("""COMPUTED_VALUE"""),"Website")</f>
        <v>Website</v>
      </c>
      <c r="F648" s="25" t="str">
        <f>IFERROR(__xludf.DUMMYFUNCTION("""COMPUTED_VALUE"""),"Gagal")</f>
        <v>Gagal</v>
      </c>
      <c r="G648" s="25"/>
      <c r="H648" s="78"/>
      <c r="I648" s="89"/>
      <c r="J648" s="96"/>
      <c r="K648" s="30"/>
      <c r="L648" s="49"/>
      <c r="M648" s="20"/>
      <c r="N648" s="20"/>
      <c r="O648" s="20"/>
      <c r="P648" s="20"/>
    </row>
    <row r="649">
      <c r="A649" s="97">
        <f>IFERROR(__xludf.DUMMYFUNCTION("""COMPUTED_VALUE"""),46191.0)</f>
        <v>46191</v>
      </c>
      <c r="B649" s="97" t="str">
        <f>IFERROR(__xludf.DUMMYFUNCTION("""COMPUTED_VALUE"""),"2606A108")</f>
        <v>2606A108</v>
      </c>
      <c r="C649" s="76" t="str">
        <f>IFERROR(__xludf.DUMMYFUNCTION("""COMPUTED_VALUE"""),"Nisa")</f>
        <v>Nisa</v>
      </c>
      <c r="D649" s="99" t="str">
        <f>IFERROR(__xludf.DUMMYFUNCTION("""COMPUTED_VALUE"""),"085939478038")</f>
        <v>085939478038</v>
      </c>
      <c r="E649" s="25" t="str">
        <f>IFERROR(__xludf.DUMMYFUNCTION("""COMPUTED_VALUE"""),"Instagram")</f>
        <v>Instagram</v>
      </c>
      <c r="F649" s="25" t="str">
        <f>IFERROR(__xludf.DUMMYFUNCTION("""COMPUTED_VALUE"""),"Gagal")</f>
        <v>Gagal</v>
      </c>
      <c r="G649" s="25"/>
      <c r="H649" s="92"/>
      <c r="I649" s="80"/>
      <c r="J649" s="93"/>
      <c r="K649" s="19"/>
      <c r="L649" s="10"/>
      <c r="M649" s="20"/>
      <c r="N649" s="20"/>
      <c r="O649" s="20"/>
      <c r="P649" s="20"/>
    </row>
    <row r="650">
      <c r="A650" s="110">
        <f>IFERROR(__xludf.DUMMYFUNCTION("""COMPUTED_VALUE"""),46191.0)</f>
        <v>46191</v>
      </c>
      <c r="B650" s="110" t="str">
        <f>IFERROR(__xludf.DUMMYFUNCTION("""COMPUTED_VALUE"""),"2606A109")</f>
        <v>2606A109</v>
      </c>
      <c r="C650" s="49" t="str">
        <f>IFERROR(__xludf.DUMMYFUNCTION("""COMPUTED_VALUE"""),"Daniel")</f>
        <v>Daniel</v>
      </c>
      <c r="D650" s="102" t="str">
        <f>IFERROR(__xludf.DUMMYFUNCTION("""COMPUTED_VALUE"""),"082210164678")</f>
        <v>082210164678</v>
      </c>
      <c r="E650" s="25" t="str">
        <f>IFERROR(__xludf.DUMMYFUNCTION("""COMPUTED_VALUE"""),"Website")</f>
        <v>Website</v>
      </c>
      <c r="F650" s="25" t="str">
        <f>IFERROR(__xludf.DUMMYFUNCTION("""COMPUTED_VALUE"""),"Closing")</f>
        <v>Closing</v>
      </c>
      <c r="G650" s="25" t="str">
        <f>IFERROR(__xludf.DUMMYFUNCTION("""COMPUTED_VALUE"""),"ot alas purwo")</f>
        <v>ot alas purwo</v>
      </c>
      <c r="H650" s="78"/>
      <c r="I650" s="89"/>
      <c r="J650" s="96">
        <f>IFERROR(__xludf.DUMMYFUNCTION("""COMPUTED_VALUE"""),1100000.0)</f>
        <v>1100000</v>
      </c>
      <c r="K650" s="36" t="str">
        <f>IFERROR(__xludf.DUMMYFUNCTION("""COMPUTED_VALUE"""),"orderrr")</f>
        <v>orderrr</v>
      </c>
      <c r="L650" s="76"/>
      <c r="M650" s="20"/>
      <c r="N650" s="20"/>
      <c r="O650" s="20"/>
      <c r="P650" s="20"/>
    </row>
    <row r="651">
      <c r="A651" s="97">
        <f>IFERROR(__xludf.DUMMYFUNCTION("""COMPUTED_VALUE"""),46192.0)</f>
        <v>46192</v>
      </c>
      <c r="B651" s="97" t="str">
        <f>IFERROR(__xludf.DUMMYFUNCTION("""COMPUTED_VALUE"""),"2606A110")</f>
        <v>2606A110</v>
      </c>
      <c r="C651" s="76" t="str">
        <f>IFERROR(__xludf.DUMMYFUNCTION("""COMPUTED_VALUE"""),"Ben")</f>
        <v>Ben</v>
      </c>
      <c r="D651" s="99" t="str">
        <f>IFERROR(__xludf.DUMMYFUNCTION("""COMPUTED_VALUE"""),"087890161405")</f>
        <v>087890161405</v>
      </c>
      <c r="E651" s="25" t="str">
        <f>IFERROR(__xludf.DUMMYFUNCTION("""COMPUTED_VALUE"""),"Instagram")</f>
        <v>Instagram</v>
      </c>
      <c r="F651" s="25" t="str">
        <f>IFERROR(__xludf.DUMMYFUNCTION("""COMPUTED_VALUE"""),"Gagal")</f>
        <v>Gagal</v>
      </c>
      <c r="G651" s="25"/>
      <c r="H651" s="92"/>
      <c r="I651" s="80"/>
      <c r="J651" s="93"/>
      <c r="K651" s="19"/>
      <c r="L651" s="10"/>
      <c r="M651" s="20"/>
      <c r="N651" s="20"/>
      <c r="O651" s="20"/>
      <c r="P651" s="20"/>
    </row>
    <row r="652">
      <c r="A652" s="110">
        <f>IFERROR(__xludf.DUMMYFUNCTION("""COMPUTED_VALUE"""),46192.0)</f>
        <v>46192</v>
      </c>
      <c r="B652" s="97" t="str">
        <f>IFERROR(__xludf.DUMMYFUNCTION("""COMPUTED_VALUE"""),"2606A111")</f>
        <v>2606A111</v>
      </c>
      <c r="C652" s="49" t="str">
        <f>IFERROR(__xludf.DUMMYFUNCTION("""COMPUTED_VALUE"""),"Michelle")</f>
        <v>Michelle</v>
      </c>
      <c r="D652" s="102" t="str">
        <f>IFERROR(__xludf.DUMMYFUNCTION("""COMPUTED_VALUE"""),"085101408599")</f>
        <v>085101408599</v>
      </c>
      <c r="E652" s="25" t="str">
        <f>IFERROR(__xludf.DUMMYFUNCTION("""COMPUTED_VALUE"""),"Instagram")</f>
        <v>Instagram</v>
      </c>
      <c r="F652" s="25" t="str">
        <f>IFERROR(__xludf.DUMMYFUNCTION("""COMPUTED_VALUE"""),"Gagal")</f>
        <v>Gagal</v>
      </c>
      <c r="G652" s="25"/>
      <c r="H652" s="78"/>
      <c r="I652" s="89"/>
      <c r="J652" s="96"/>
      <c r="K652" s="36"/>
      <c r="L652" s="49"/>
      <c r="M652" s="20"/>
      <c r="N652" s="20"/>
      <c r="O652" s="20"/>
      <c r="P652" s="20"/>
    </row>
    <row r="653">
      <c r="A653" s="97">
        <f>IFERROR(__xludf.DUMMYFUNCTION("""COMPUTED_VALUE"""),46192.0)</f>
        <v>46192</v>
      </c>
      <c r="B653" s="97" t="str">
        <f>IFERROR(__xludf.DUMMYFUNCTION("""COMPUTED_VALUE"""),"2606A112")</f>
        <v>2606A112</v>
      </c>
      <c r="C653" s="76" t="str">
        <f>IFERROR(__xludf.DUMMYFUNCTION("""COMPUTED_VALUE"""),"Erlina")</f>
        <v>Erlina</v>
      </c>
      <c r="D653" s="99" t="str">
        <f>IFERROR(__xludf.DUMMYFUNCTION("""COMPUTED_VALUE"""),"0882007396294")</f>
        <v>0882007396294</v>
      </c>
      <c r="E653" s="25" t="str">
        <f>IFERROR(__xludf.DUMMYFUNCTION("""COMPUTED_VALUE"""),"Instagram")</f>
        <v>Instagram</v>
      </c>
      <c r="F653" s="25" t="str">
        <f>IFERROR(__xludf.DUMMYFUNCTION("""COMPUTED_VALUE"""),"Gagal")</f>
        <v>Gagal</v>
      </c>
      <c r="G653" s="25"/>
      <c r="H653" s="92"/>
      <c r="I653" s="80"/>
      <c r="J653" s="93"/>
      <c r="K653" s="46"/>
      <c r="L653" s="76"/>
      <c r="M653" s="20"/>
      <c r="N653" s="20"/>
      <c r="O653" s="20"/>
      <c r="P653" s="20"/>
    </row>
    <row r="654">
      <c r="A654" s="110">
        <f>IFERROR(__xludf.DUMMYFUNCTION("""COMPUTED_VALUE"""),46192.0)</f>
        <v>46192</v>
      </c>
      <c r="B654" s="110" t="str">
        <f>IFERROR(__xludf.DUMMYFUNCTION("""COMPUTED_VALUE"""),"2606A113")</f>
        <v>2606A113</v>
      </c>
      <c r="C654" s="49" t="str">
        <f>IFERROR(__xludf.DUMMYFUNCTION("""COMPUTED_VALUE"""),"aisah")</f>
        <v>aisah</v>
      </c>
      <c r="D654" s="102" t="str">
        <f>IFERROR(__xludf.DUMMYFUNCTION("""COMPUTED_VALUE"""),"0881026701834")</f>
        <v>0881026701834</v>
      </c>
      <c r="E654" s="25" t="str">
        <f>IFERROR(__xludf.DUMMYFUNCTION("""COMPUTED_VALUE"""),"Instagram")</f>
        <v>Instagram</v>
      </c>
      <c r="F654" s="25" t="str">
        <f>IFERROR(__xludf.DUMMYFUNCTION("""COMPUTED_VALUE"""),"Gagal")</f>
        <v>Gagal</v>
      </c>
      <c r="G654" s="25" t="str">
        <f>IFERROR(__xludf.DUMMYFUNCTION("""COMPUTED_VALUE"""),"3h2m z")</f>
        <v>3h2m z</v>
      </c>
      <c r="H654" s="78"/>
      <c r="I654" s="89">
        <f>IFERROR(__xludf.DUMMYFUNCTION("""COMPUTED_VALUE"""),24.0)</f>
        <v>24</v>
      </c>
      <c r="J654" s="96"/>
      <c r="K654" s="36"/>
      <c r="L654" s="49"/>
      <c r="M654" s="20"/>
      <c r="N654" s="20"/>
      <c r="O654" s="20"/>
      <c r="P654" s="20"/>
    </row>
    <row r="655">
      <c r="A655" s="97">
        <f>IFERROR(__xludf.DUMMYFUNCTION("""COMPUTED_VALUE"""),46192.0)</f>
        <v>46192</v>
      </c>
      <c r="B655" s="97" t="str">
        <f>IFERROR(__xludf.DUMMYFUNCTION("""COMPUTED_VALUE"""),"2606A114")</f>
        <v>2606A114</v>
      </c>
      <c r="C655" s="76" t="str">
        <f>IFERROR(__xludf.DUMMYFUNCTION("""COMPUTED_VALUE"""),"Princes feby")</f>
        <v>Princes feby</v>
      </c>
      <c r="D655" s="99" t="str">
        <f>IFERROR(__xludf.DUMMYFUNCTION("""COMPUTED_VALUE"""),"0882009610223")</f>
        <v>0882009610223</v>
      </c>
      <c r="E655" s="25" t="str">
        <f>IFERROR(__xludf.DUMMYFUNCTION("""COMPUTED_VALUE"""),"Tiktok")</f>
        <v>Tiktok</v>
      </c>
      <c r="F655" s="25" t="str">
        <f>IFERROR(__xludf.DUMMYFUNCTION("""COMPUTED_VALUE"""),"Gagal")</f>
        <v>Gagal</v>
      </c>
      <c r="G655" s="25" t="str">
        <f>IFERROR(__xludf.DUMMYFUNCTION("""COMPUTED_VALUE"""),"OTMT")</f>
        <v>OTMT</v>
      </c>
      <c r="H655" s="92"/>
      <c r="I655" s="80">
        <f>IFERROR(__xludf.DUMMYFUNCTION("""COMPUTED_VALUE"""),2.0)</f>
        <v>2</v>
      </c>
      <c r="J655" s="93"/>
      <c r="K655" s="19"/>
      <c r="L655" s="76"/>
      <c r="M655" s="20"/>
      <c r="N655" s="20"/>
      <c r="O655" s="20"/>
      <c r="P655" s="20"/>
    </row>
    <row r="656">
      <c r="A656" s="110">
        <f>IFERROR(__xludf.DUMMYFUNCTION("""COMPUTED_VALUE"""),46192.0)</f>
        <v>46192</v>
      </c>
      <c r="B656" s="110" t="str">
        <f>IFERROR(__xludf.DUMMYFUNCTION("""COMPUTED_VALUE"""),"2606A115")</f>
        <v>2606A115</v>
      </c>
      <c r="C656" s="49" t="str">
        <f>IFERROR(__xludf.DUMMYFUNCTION("""COMPUTED_VALUE"""),"Yeni")</f>
        <v>Yeni</v>
      </c>
      <c r="D656" s="102" t="str">
        <f>IFERROR(__xludf.DUMMYFUNCTION("""COMPUTED_VALUE"""),"082214220424")</f>
        <v>082214220424</v>
      </c>
      <c r="E656" s="25" t="str">
        <f>IFERROR(__xludf.DUMMYFUNCTION("""COMPUTED_VALUE"""),"Lainnya")</f>
        <v>Lainnya</v>
      </c>
      <c r="F656" s="25" t="str">
        <f>IFERROR(__xludf.DUMMYFUNCTION("""COMPUTED_VALUE"""),"Gagal")</f>
        <v>Gagal</v>
      </c>
      <c r="G656" s="25" t="str">
        <f>IFERROR(__xludf.DUMMYFUNCTION("""COMPUTED_VALUE"""),"3H2M A + GI")</f>
        <v>3H2M A + GI</v>
      </c>
      <c r="H656" s="78"/>
      <c r="I656" s="89">
        <f>IFERROR(__xludf.DUMMYFUNCTION("""COMPUTED_VALUE"""),6.0)</f>
        <v>6</v>
      </c>
      <c r="J656" s="96"/>
      <c r="K656" s="30" t="str">
        <f>IFERROR(__xludf.DUMMYFUNCTION("""COMPUTED_VALUE"""),"teman bu nia")</f>
        <v>teman bu nia</v>
      </c>
      <c r="L656" s="49"/>
      <c r="M656" s="20"/>
      <c r="N656" s="20"/>
      <c r="O656" s="20"/>
      <c r="P656" s="20"/>
    </row>
    <row r="657">
      <c r="A657" s="97">
        <f>IFERROR(__xludf.DUMMYFUNCTION("""COMPUTED_VALUE"""),46192.0)</f>
        <v>46192</v>
      </c>
      <c r="B657" s="97" t="str">
        <f>IFERROR(__xludf.DUMMYFUNCTION("""COMPUTED_VALUE"""),"2606A116")</f>
        <v>2606A116</v>
      </c>
      <c r="C657" s="76" t="str">
        <f>IFERROR(__xludf.DUMMYFUNCTION("""COMPUTED_VALUE"""),"Ric")</f>
        <v>Ric</v>
      </c>
      <c r="D657" s="99" t="str">
        <f>IFERROR(__xludf.DUMMYFUNCTION("""COMPUTED_VALUE"""),"081331530796")</f>
        <v>081331530796</v>
      </c>
      <c r="E657" s="25" t="str">
        <f>IFERROR(__xludf.DUMMYFUNCTION("""COMPUTED_VALUE"""),"Instagram")</f>
        <v>Instagram</v>
      </c>
      <c r="F657" s="25" t="str">
        <f>IFERROR(__xludf.DUMMYFUNCTION("""COMPUTED_VALUE"""),"Gagal")</f>
        <v>Gagal</v>
      </c>
      <c r="G657" s="25"/>
      <c r="H657" s="92"/>
      <c r="I657" s="80"/>
      <c r="J657" s="93"/>
      <c r="K657" s="19"/>
      <c r="L657" s="76"/>
      <c r="M657" s="20"/>
      <c r="N657" s="20"/>
      <c r="O657" s="20"/>
      <c r="P657" s="20"/>
    </row>
    <row r="658">
      <c r="A658" s="110">
        <f>IFERROR(__xludf.DUMMYFUNCTION("""COMPUTED_VALUE"""),46192.0)</f>
        <v>46192</v>
      </c>
      <c r="B658" s="110" t="str">
        <f>IFERROR(__xludf.DUMMYFUNCTION("""COMPUTED_VALUE"""),"2606A117")</f>
        <v>2606A117</v>
      </c>
      <c r="C658" s="49" t="str">
        <f>IFERROR(__xludf.DUMMYFUNCTION("""COMPUTED_VALUE"""),"Dini")</f>
        <v>Dini</v>
      </c>
      <c r="D658" s="102" t="str">
        <f>IFERROR(__xludf.DUMMYFUNCTION("""COMPUTED_VALUE"""),"081285314396")</f>
        <v>081285314396</v>
      </c>
      <c r="E658" s="25" t="str">
        <f>IFERROR(__xludf.DUMMYFUNCTION("""COMPUTED_VALUE"""),"Instagram")</f>
        <v>Instagram</v>
      </c>
      <c r="F658" s="25" t="str">
        <f>IFERROR(__xludf.DUMMYFUNCTION("""COMPUTED_VALUE"""),"Gagal")</f>
        <v>Gagal</v>
      </c>
      <c r="G658" s="25"/>
      <c r="H658" s="78"/>
      <c r="I658" s="89">
        <f>IFERROR(__xludf.DUMMYFUNCTION("""COMPUTED_VALUE"""),3.0)</f>
        <v>3</v>
      </c>
      <c r="J658" s="96"/>
      <c r="K658" s="30"/>
      <c r="L658" s="49"/>
      <c r="M658" s="20"/>
      <c r="N658" s="20"/>
      <c r="O658" s="20"/>
      <c r="P658" s="20"/>
    </row>
    <row r="659">
      <c r="A659" s="97">
        <f>IFERROR(__xludf.DUMMYFUNCTION("""COMPUTED_VALUE"""),46192.0)</f>
        <v>46192</v>
      </c>
      <c r="B659" s="97" t="str">
        <f>IFERROR(__xludf.DUMMYFUNCTION("""COMPUTED_VALUE"""),"2606A118")</f>
        <v>2606A118</v>
      </c>
      <c r="C659" s="76" t="str">
        <f>IFERROR(__xludf.DUMMYFUNCTION("""COMPUTED_VALUE"""),"Anggi")</f>
        <v>Anggi</v>
      </c>
      <c r="D659" s="99" t="str">
        <f>IFERROR(__xludf.DUMMYFUNCTION("""COMPUTED_VALUE"""),"081252511682")</f>
        <v>081252511682</v>
      </c>
      <c r="E659" s="25" t="str">
        <f>IFERROR(__xludf.DUMMYFUNCTION("""COMPUTED_VALUE"""),"Instagram")</f>
        <v>Instagram</v>
      </c>
      <c r="F659" s="25" t="str">
        <f>IFERROR(__xludf.DUMMYFUNCTION("""COMPUTED_VALUE"""),"Gagal")</f>
        <v>Gagal</v>
      </c>
      <c r="G659" s="25" t="str">
        <f>IFERROR(__xludf.DUMMYFUNCTION("""COMPUTED_VALUE"""),"2H1M Z")</f>
        <v>2H1M Z</v>
      </c>
      <c r="H659" s="92"/>
      <c r="I659" s="80">
        <f>IFERROR(__xludf.DUMMYFUNCTION("""COMPUTED_VALUE"""),3.0)</f>
        <v>3</v>
      </c>
      <c r="J659" s="93"/>
      <c r="K659" s="46"/>
      <c r="L659" s="76"/>
      <c r="M659" s="20"/>
      <c r="N659" s="20"/>
      <c r="O659" s="20"/>
      <c r="P659" s="20"/>
    </row>
    <row r="660">
      <c r="A660" s="110">
        <f>IFERROR(__xludf.DUMMYFUNCTION("""COMPUTED_VALUE"""),46193.0)</f>
        <v>46193</v>
      </c>
      <c r="B660" s="110" t="str">
        <f>IFERROR(__xludf.DUMMYFUNCTION("""COMPUTED_VALUE"""),"2606A119")</f>
        <v>2606A119</v>
      </c>
      <c r="C660" s="49" t="str">
        <f>IFERROR(__xludf.DUMMYFUNCTION("""COMPUTED_VALUE"""),"Tazkia Fitri N")</f>
        <v>Tazkia Fitri N</v>
      </c>
      <c r="D660" s="102" t="str">
        <f>IFERROR(__xludf.DUMMYFUNCTION("""COMPUTED_VALUE"""),"082132383408")</f>
        <v>082132383408</v>
      </c>
      <c r="E660" s="25" t="str">
        <f>IFERROR(__xludf.DUMMYFUNCTION("""COMPUTED_VALUE"""),"Instagram")</f>
        <v>Instagram</v>
      </c>
      <c r="F660" s="25" t="str">
        <f>IFERROR(__xludf.DUMMYFUNCTION("""COMPUTED_VALUE"""),"Closing")</f>
        <v>Closing</v>
      </c>
      <c r="G660" s="25" t="str">
        <f>IFERROR(__xludf.DUMMYFUNCTION("""COMPUTED_VALUE"""),"ot menjangan tabuhan")</f>
        <v>ot menjangan tabuhan</v>
      </c>
      <c r="H660" s="78">
        <f>IFERROR(__xludf.DUMMYFUNCTION("""COMPUTED_VALUE"""),46200.0)</f>
        <v>46200</v>
      </c>
      <c r="I660" s="89">
        <f>IFERROR(__xludf.DUMMYFUNCTION("""COMPUTED_VALUE"""),2.0)</f>
        <v>2</v>
      </c>
      <c r="J660" s="96"/>
      <c r="K660" s="36"/>
      <c r="L660" s="49"/>
      <c r="M660" s="20"/>
      <c r="N660" s="20"/>
      <c r="O660" s="20"/>
      <c r="P660" s="20"/>
    </row>
    <row r="661">
      <c r="A661" s="97">
        <f>IFERROR(__xludf.DUMMYFUNCTION("""COMPUTED_VALUE"""),46193.0)</f>
        <v>46193</v>
      </c>
      <c r="B661" s="97" t="str">
        <f>IFERROR(__xludf.DUMMYFUNCTION("""COMPUTED_VALUE"""),"2606A120")</f>
        <v>2606A120</v>
      </c>
      <c r="C661" s="76" t="str">
        <f>IFERROR(__xludf.DUMMYFUNCTION("""COMPUTED_VALUE"""),"Enni Riyana")</f>
        <v>Enni Riyana</v>
      </c>
      <c r="D661" s="99" t="str">
        <f>IFERROR(__xludf.DUMMYFUNCTION("""COMPUTED_VALUE"""),"081233717129")</f>
        <v>081233717129</v>
      </c>
      <c r="E661" s="25" t="str">
        <f>IFERROR(__xludf.DUMMYFUNCTION("""COMPUTED_VALUE"""),"Lainnya")</f>
        <v>Lainnya</v>
      </c>
      <c r="F661" s="25" t="str">
        <f>IFERROR(__xludf.DUMMYFUNCTION("""COMPUTED_VALUE"""),"Closing")</f>
        <v>Closing</v>
      </c>
      <c r="G661" s="25"/>
      <c r="H661" s="92"/>
      <c r="I661" s="80"/>
      <c r="J661" s="93"/>
      <c r="K661" s="46"/>
      <c r="L661" s="76"/>
      <c r="M661" s="20"/>
      <c r="N661" s="20"/>
      <c r="O661" s="20"/>
      <c r="P661" s="20"/>
    </row>
    <row r="662">
      <c r="A662" s="110">
        <f>IFERROR(__xludf.DUMMYFUNCTION("""COMPUTED_VALUE"""),46193.0)</f>
        <v>46193</v>
      </c>
      <c r="B662" s="110" t="str">
        <f>IFERROR(__xludf.DUMMYFUNCTION("""COMPUTED_VALUE"""),"2606A121")</f>
        <v>2606A121</v>
      </c>
      <c r="C662" s="102" t="str">
        <f>IFERROR(__xludf.DUMMYFUNCTION("""COMPUTED_VALUE"""),"Putri")</f>
        <v>Putri</v>
      </c>
      <c r="D662" s="102" t="str">
        <f>IFERROR(__xludf.DUMMYFUNCTION("""COMPUTED_VALUE"""),"08116665035")</f>
        <v>08116665035</v>
      </c>
      <c r="E662" s="25" t="str">
        <f>IFERROR(__xludf.DUMMYFUNCTION("""COMPUTED_VALUE"""),"Instagram")</f>
        <v>Instagram</v>
      </c>
      <c r="F662" s="25" t="str">
        <f>IFERROR(__xludf.DUMMYFUNCTION("""COMPUTED_VALUE"""),"Gagal")</f>
        <v>Gagal</v>
      </c>
      <c r="G662" s="25"/>
      <c r="H662" s="78"/>
      <c r="I662" s="89"/>
      <c r="J662" s="96"/>
      <c r="K662" s="30"/>
      <c r="L662" s="49"/>
      <c r="M662" s="20"/>
      <c r="N662" s="20"/>
      <c r="O662" s="20"/>
      <c r="P662" s="20"/>
    </row>
    <row r="663">
      <c r="A663" s="97">
        <f>IFERROR(__xludf.DUMMYFUNCTION("""COMPUTED_VALUE"""),46194.0)</f>
        <v>46194</v>
      </c>
      <c r="B663" s="97" t="str">
        <f>IFERROR(__xludf.DUMMYFUNCTION("""COMPUTED_VALUE"""),"2606A122")</f>
        <v>2606A122</v>
      </c>
      <c r="C663" s="76" t="str">
        <f>IFERROR(__xludf.DUMMYFUNCTION("""COMPUTED_VALUE"""),"Ratih Dewi")</f>
        <v>Ratih Dewi</v>
      </c>
      <c r="D663" s="99" t="str">
        <f>IFERROR(__xludf.DUMMYFUNCTION("""COMPUTED_VALUE"""),"081326522626")</f>
        <v>081326522626</v>
      </c>
      <c r="E663" s="25" t="str">
        <f>IFERROR(__xludf.DUMMYFUNCTION("""COMPUTED_VALUE"""),"Instagram")</f>
        <v>Instagram</v>
      </c>
      <c r="F663" s="25" t="str">
        <f>IFERROR(__xludf.DUMMYFUNCTION("""COMPUTED_VALUE"""),"Gagal")</f>
        <v>Gagal</v>
      </c>
      <c r="G663" s="25"/>
      <c r="H663" s="92"/>
      <c r="I663" s="80"/>
      <c r="J663" s="93"/>
      <c r="K663" s="19"/>
      <c r="L663" s="76"/>
      <c r="M663" s="20"/>
      <c r="N663" s="20"/>
      <c r="O663" s="20"/>
      <c r="P663" s="20"/>
    </row>
    <row r="664">
      <c r="A664" s="110">
        <f>IFERROR(__xludf.DUMMYFUNCTION("""COMPUTED_VALUE"""),46194.0)</f>
        <v>46194</v>
      </c>
      <c r="B664" s="110" t="str">
        <f>IFERROR(__xludf.DUMMYFUNCTION("""COMPUTED_VALUE"""),"2606A123")</f>
        <v>2606A123</v>
      </c>
      <c r="C664" s="49" t="str">
        <f>IFERROR(__xludf.DUMMYFUNCTION("""COMPUTED_VALUE"""),"Nabila")</f>
        <v>Nabila</v>
      </c>
      <c r="D664" s="102" t="str">
        <f>IFERROR(__xludf.DUMMYFUNCTION("""COMPUTED_VALUE"""),"085771173990")</f>
        <v>085771173990</v>
      </c>
      <c r="E664" s="25" t="str">
        <f>IFERROR(__xludf.DUMMYFUNCTION("""COMPUTED_VALUE"""),"Instagram")</f>
        <v>Instagram</v>
      </c>
      <c r="F664" s="25" t="str">
        <f>IFERROR(__xludf.DUMMYFUNCTION("""COMPUTED_VALUE"""),"Warm Leads")</f>
        <v>Warm Leads</v>
      </c>
      <c r="G664" s="25" t="str">
        <f>IFERROR(__xludf.DUMMYFUNCTION("""COMPUTED_VALUE"""),"ot menjangan-tabuhan")</f>
        <v>ot menjangan-tabuhan</v>
      </c>
      <c r="H664" s="78"/>
      <c r="I664" s="89">
        <f>IFERROR(__xludf.DUMMYFUNCTION("""COMPUTED_VALUE"""),1.0)</f>
        <v>1</v>
      </c>
      <c r="J664" s="96"/>
      <c r="K664" s="30" t="str">
        <f>IFERROR(__xludf.DUMMYFUNCTION("""COMPUTED_VALUE"""),"FU 27 juli")</f>
        <v>FU 27 juli</v>
      </c>
      <c r="L664" s="49"/>
      <c r="M664" s="20"/>
      <c r="N664" s="20"/>
      <c r="O664" s="20"/>
      <c r="P664" s="20"/>
    </row>
    <row r="665">
      <c r="A665" s="97">
        <f>IFERROR(__xludf.DUMMYFUNCTION("""COMPUTED_VALUE"""),46194.0)</f>
        <v>46194</v>
      </c>
      <c r="B665" s="97" t="str">
        <f>IFERROR(__xludf.DUMMYFUNCTION("""COMPUTED_VALUE"""),"2606A124")</f>
        <v>2606A124</v>
      </c>
      <c r="C665" s="76" t="str">
        <f>IFERROR(__xludf.DUMMYFUNCTION("""COMPUTED_VALUE"""),"Restika Andiarini")</f>
        <v>Restika Andiarini</v>
      </c>
      <c r="D665" s="99" t="str">
        <f>IFERROR(__xludf.DUMMYFUNCTION("""COMPUTED_VALUE"""),"081312959028")</f>
        <v>081312959028</v>
      </c>
      <c r="E665" s="25" t="str">
        <f>IFERROR(__xludf.DUMMYFUNCTION("""COMPUTED_VALUE"""),"Instagram")</f>
        <v>Instagram</v>
      </c>
      <c r="F665" s="25" t="str">
        <f>IFERROR(__xludf.DUMMYFUNCTION("""COMPUTED_VALUE"""),"Closing")</f>
        <v>Closing</v>
      </c>
      <c r="G665" s="25" t="str">
        <f>IFERROR(__xludf.DUMMYFUNCTION("""COMPUTED_VALUE"""),"2h1m")</f>
        <v>2h1m</v>
      </c>
      <c r="H665" s="92"/>
      <c r="I665" s="80">
        <f>IFERROR(__xludf.DUMMYFUNCTION("""COMPUTED_VALUE"""),4.0)</f>
        <v>4</v>
      </c>
      <c r="J665" s="93">
        <f>IFERROR(__xludf.DUMMYFUNCTION("""COMPUTED_VALUE"""),4200000.0)</f>
        <v>4200000</v>
      </c>
      <c r="K665" s="46" t="str">
        <f>IFERROR(__xludf.DUMMYFUNCTION("""COMPUTED_VALUE"""),"alhamdulillah closig")</f>
        <v>alhamdulillah closig</v>
      </c>
      <c r="L665" s="76"/>
      <c r="M665" s="20"/>
      <c r="N665" s="20"/>
      <c r="O665" s="20"/>
      <c r="P665" s="20"/>
    </row>
    <row r="666">
      <c r="A666" s="110">
        <f>IFERROR(__xludf.DUMMYFUNCTION("""COMPUTED_VALUE"""),46194.0)</f>
        <v>46194</v>
      </c>
      <c r="B666" s="110" t="str">
        <f>IFERROR(__xludf.DUMMYFUNCTION("""COMPUTED_VALUE"""),"2606A125")</f>
        <v>2606A125</v>
      </c>
      <c r="C666" s="49" t="str">
        <f>IFERROR(__xludf.DUMMYFUNCTION("""COMPUTED_VALUE"""),"Callista Dwi Adriani")</f>
        <v>Callista Dwi Adriani</v>
      </c>
      <c r="D666" s="102" t="str">
        <f>IFERROR(__xludf.DUMMYFUNCTION("""COMPUTED_VALUE"""),"081281097690")</f>
        <v>081281097690</v>
      </c>
      <c r="E666" s="25" t="str">
        <f>IFERROR(__xludf.DUMMYFUNCTION("""COMPUTED_VALUE"""),"Instagram")</f>
        <v>Instagram</v>
      </c>
      <c r="F666" s="25" t="str">
        <f>IFERROR(__xludf.DUMMYFUNCTION("""COMPUTED_VALUE"""),"Gagal")</f>
        <v>Gagal</v>
      </c>
      <c r="G666" s="25"/>
      <c r="H666" s="78"/>
      <c r="I666" s="27"/>
      <c r="J666" s="96"/>
      <c r="K666" s="30"/>
      <c r="L666" s="49"/>
      <c r="M666" s="20"/>
      <c r="N666" s="20"/>
      <c r="O666" s="20"/>
      <c r="P666" s="20"/>
    </row>
    <row r="667">
      <c r="A667" s="97">
        <f>IFERROR(__xludf.DUMMYFUNCTION("""COMPUTED_VALUE"""),46194.0)</f>
        <v>46194</v>
      </c>
      <c r="B667" s="97" t="str">
        <f>IFERROR(__xludf.DUMMYFUNCTION("""COMPUTED_VALUE"""),"2606A126")</f>
        <v>2606A126</v>
      </c>
      <c r="C667" s="76" t="str">
        <f>IFERROR(__xludf.DUMMYFUNCTION("""COMPUTED_VALUE"""),"Yani S. Abdillah")</f>
        <v>Yani S. Abdillah</v>
      </c>
      <c r="D667" s="99" t="str">
        <f>IFERROR(__xludf.DUMMYFUNCTION("""COMPUTED_VALUE"""),"08122020275")</f>
        <v>08122020275</v>
      </c>
      <c r="E667" s="25" t="str">
        <f>IFERROR(__xludf.DUMMYFUNCTION("""COMPUTED_VALUE"""),"Website")</f>
        <v>Website</v>
      </c>
      <c r="F667" s="25" t="str">
        <f>IFERROR(__xludf.DUMMYFUNCTION("""COMPUTED_VALUE"""),"Gagal")</f>
        <v>Gagal</v>
      </c>
      <c r="G667" s="25"/>
      <c r="H667" s="16"/>
      <c r="I667" s="17"/>
      <c r="J667" s="54"/>
      <c r="K667" s="46"/>
      <c r="L667" s="76"/>
      <c r="M667" s="20"/>
      <c r="N667" s="20"/>
      <c r="O667" s="20"/>
      <c r="P667" s="20"/>
    </row>
    <row r="668">
      <c r="A668" s="110">
        <f>IFERROR(__xludf.DUMMYFUNCTION("""COMPUTED_VALUE"""),46194.0)</f>
        <v>46194</v>
      </c>
      <c r="B668" s="110" t="str">
        <f>IFERROR(__xludf.DUMMYFUNCTION("""COMPUTED_VALUE"""),"2606A127")</f>
        <v>2606A127</v>
      </c>
      <c r="C668" s="49" t="str">
        <f>IFERROR(__xludf.DUMMYFUNCTION("""COMPUTED_VALUE"""),"Shabrina Kamila")</f>
        <v>Shabrina Kamila</v>
      </c>
      <c r="D668" s="102" t="str">
        <f>IFERROR(__xludf.DUMMYFUNCTION("""COMPUTED_VALUE"""),"082228618585")</f>
        <v>082228618585</v>
      </c>
      <c r="E668" s="25" t="str">
        <f>IFERROR(__xludf.DUMMYFUNCTION("""COMPUTED_VALUE"""),"Instagram")</f>
        <v>Instagram</v>
      </c>
      <c r="F668" s="25" t="str">
        <f>IFERROR(__xludf.DUMMYFUNCTION("""COMPUTED_VALUE"""),"Qualified")</f>
        <v>Qualified</v>
      </c>
      <c r="G668" s="25" t="str">
        <f>IFERROR(__xludf.DUMMYFUNCTION("""COMPUTED_VALUE"""),"ot menjangan tabuhan")</f>
        <v>ot menjangan tabuhan</v>
      </c>
      <c r="H668" s="78">
        <f>IFERROR(__xludf.DUMMYFUNCTION("""COMPUTED_VALUE"""),46273.0)</f>
        <v>46273</v>
      </c>
      <c r="I668" s="89">
        <f>IFERROR(__xludf.DUMMYFUNCTION("""COMPUTED_VALUE"""),2.0)</f>
        <v>2</v>
      </c>
      <c r="J668" s="96">
        <f>IFERROR(__xludf.DUMMYFUNCTION("""COMPUTED_VALUE"""),800000.0)</f>
        <v>800000</v>
      </c>
      <c r="K668" s="30" t="str">
        <f>IFERROR(__xludf.DUMMYFUNCTION("""COMPUTED_VALUE"""),"fu 1 agustus")</f>
        <v>fu 1 agustus</v>
      </c>
      <c r="L668" s="49"/>
      <c r="M668" s="20"/>
      <c r="N668" s="20"/>
      <c r="O668" s="20"/>
      <c r="P668" s="20"/>
    </row>
    <row r="669">
      <c r="A669" s="97">
        <f>IFERROR(__xludf.DUMMYFUNCTION("""COMPUTED_VALUE"""),46195.0)</f>
        <v>46195</v>
      </c>
      <c r="B669" s="97" t="str">
        <f>IFERROR(__xludf.DUMMYFUNCTION("""COMPUTED_VALUE"""),"2606A128")</f>
        <v>2606A128</v>
      </c>
      <c r="C669" s="76" t="str">
        <f>IFERROR(__xludf.DUMMYFUNCTION("""COMPUTED_VALUE"""),"Adist")</f>
        <v>Adist</v>
      </c>
      <c r="D669" s="99" t="str">
        <f>IFERROR(__xludf.DUMMYFUNCTION("""COMPUTED_VALUE"""),"089524036828")</f>
        <v>089524036828</v>
      </c>
      <c r="E669" s="25" t="str">
        <f>IFERROR(__xludf.DUMMYFUNCTION("""COMPUTED_VALUE"""),"Instagram")</f>
        <v>Instagram</v>
      </c>
      <c r="F669" s="25" t="str">
        <f>IFERROR(__xludf.DUMMYFUNCTION("""COMPUTED_VALUE"""),"Qualified")</f>
        <v>Qualified</v>
      </c>
      <c r="G669" s="25" t="str">
        <f>IFERROR(__xludf.DUMMYFUNCTION("""COMPUTED_VALUE"""),"kawah wurung baluran")</f>
        <v>kawah wurung baluran</v>
      </c>
      <c r="H669" s="92"/>
      <c r="I669" s="80">
        <f>IFERROR(__xludf.DUMMYFUNCTION("""COMPUTED_VALUE"""),2.0)</f>
        <v>2</v>
      </c>
      <c r="J669" s="93">
        <f>IFERROR(__xludf.DUMMYFUNCTION("""COMPUTED_VALUE"""),2154000.0)</f>
        <v>2154000</v>
      </c>
      <c r="K669" s="19" t="str">
        <f>IFERROR(__xludf.DUMMYFUNCTION("""COMPUTED_VALUE"""),"fu 8 agustus")</f>
        <v>fu 8 agustus</v>
      </c>
      <c r="L669" s="76"/>
      <c r="M669" s="20"/>
      <c r="N669" s="20"/>
      <c r="O669" s="20"/>
      <c r="P669" s="20"/>
    </row>
    <row r="670">
      <c r="A670" s="110">
        <f>IFERROR(__xludf.DUMMYFUNCTION("""COMPUTED_VALUE"""),46194.0)</f>
        <v>46194</v>
      </c>
      <c r="B670" s="110" t="str">
        <f>IFERROR(__xludf.DUMMYFUNCTION("""COMPUTED_VALUE"""),"2606A129")</f>
        <v>2606A129</v>
      </c>
      <c r="C670" s="49" t="str">
        <f>IFERROR(__xludf.DUMMYFUNCTION("""COMPUTED_VALUE"""),"Revy")</f>
        <v>Revy</v>
      </c>
      <c r="D670" s="102" t="str">
        <f>IFERROR(__xludf.DUMMYFUNCTION("""COMPUTED_VALUE"""),"083134918749")</f>
        <v>083134918749</v>
      </c>
      <c r="E670" s="25" t="str">
        <f>IFERROR(__xludf.DUMMYFUNCTION("""COMPUTED_VALUE"""),"Website")</f>
        <v>Website</v>
      </c>
      <c r="F670" s="25" t="str">
        <f>IFERROR(__xludf.DUMMYFUNCTION("""COMPUTED_VALUE"""),"Gagal")</f>
        <v>Gagal</v>
      </c>
      <c r="G670" s="25"/>
      <c r="H670" s="78"/>
      <c r="I670" s="89"/>
      <c r="J670" s="96"/>
      <c r="K670" s="36"/>
      <c r="L670" s="49"/>
      <c r="M670" s="20"/>
      <c r="N670" s="20"/>
      <c r="O670" s="20"/>
      <c r="P670" s="20"/>
    </row>
    <row r="671">
      <c r="A671" s="97">
        <f>IFERROR(__xludf.DUMMYFUNCTION("""COMPUTED_VALUE"""),46195.0)</f>
        <v>46195</v>
      </c>
      <c r="B671" s="97" t="str">
        <f>IFERROR(__xludf.DUMMYFUNCTION("""COMPUTED_VALUE"""),"2606A130")</f>
        <v>2606A130</v>
      </c>
      <c r="C671" s="76" t="str">
        <f>IFERROR(__xludf.DUMMYFUNCTION("""COMPUTED_VALUE"""),"Abdul Rochman")</f>
        <v>Abdul Rochman</v>
      </c>
      <c r="D671" s="99" t="str">
        <f>IFERROR(__xludf.DUMMYFUNCTION("""COMPUTED_VALUE"""),"087777171801")</f>
        <v>087777171801</v>
      </c>
      <c r="E671" s="25" t="str">
        <f>IFERROR(__xludf.DUMMYFUNCTION("""COMPUTED_VALUE"""),"Website")</f>
        <v>Website</v>
      </c>
      <c r="F671" s="25" t="str">
        <f>IFERROR(__xludf.DUMMYFUNCTION("""COMPUTED_VALUE"""),"Gagal")</f>
        <v>Gagal</v>
      </c>
      <c r="G671" s="25"/>
      <c r="H671" s="16"/>
      <c r="I671" s="17"/>
      <c r="J671" s="54"/>
      <c r="K671" s="46"/>
      <c r="L671" s="76"/>
      <c r="M671" s="20"/>
      <c r="N671" s="20"/>
      <c r="O671" s="20"/>
      <c r="P671" s="20"/>
    </row>
    <row r="672">
      <c r="A672" s="110">
        <f>IFERROR(__xludf.DUMMYFUNCTION("""COMPUTED_VALUE"""),46195.0)</f>
        <v>46195</v>
      </c>
      <c r="B672" s="110" t="str">
        <f>IFERROR(__xludf.DUMMYFUNCTION("""COMPUTED_VALUE"""),"2606A131")</f>
        <v>2606A131</v>
      </c>
      <c r="C672" s="49" t="str">
        <f>IFERROR(__xludf.DUMMYFUNCTION("""COMPUTED_VALUE"""),"Arvian Syach")</f>
        <v>Arvian Syach</v>
      </c>
      <c r="D672" s="102" t="str">
        <f>IFERROR(__xludf.DUMMYFUNCTION("""COMPUTED_VALUE"""),"081333162462")</f>
        <v>081333162462</v>
      </c>
      <c r="E672" s="25" t="str">
        <f>IFERROR(__xludf.DUMMYFUNCTION("""COMPUTED_VALUE"""),"Website")</f>
        <v>Website</v>
      </c>
      <c r="F672" s="25" t="str">
        <f>IFERROR(__xludf.DUMMYFUNCTION("""COMPUTED_VALUE"""),"Gagal")</f>
        <v>Gagal</v>
      </c>
      <c r="G672" s="25" t="str">
        <f>IFERROR(__xludf.DUMMYFUNCTION("""COMPUTED_VALUE"""),"menjangan-tabuhan")</f>
        <v>menjangan-tabuhan</v>
      </c>
      <c r="H672" s="78">
        <f>IFERROR(__xludf.DUMMYFUNCTION("""COMPUTED_VALUE"""),46207.0)</f>
        <v>46207</v>
      </c>
      <c r="I672" s="89">
        <f>IFERROR(__xludf.DUMMYFUNCTION("""COMPUTED_VALUE"""),13.0)</f>
        <v>13</v>
      </c>
      <c r="J672" s="33"/>
      <c r="K672" s="30"/>
      <c r="L672" s="49"/>
      <c r="M672" s="20"/>
      <c r="N672" s="20"/>
      <c r="O672" s="20"/>
      <c r="P672" s="20"/>
    </row>
    <row r="673">
      <c r="A673" s="97">
        <f>IFERROR(__xludf.DUMMYFUNCTION("""COMPUTED_VALUE"""),46195.0)</f>
        <v>46195</v>
      </c>
      <c r="B673" s="97" t="str">
        <f>IFERROR(__xludf.DUMMYFUNCTION("""COMPUTED_VALUE"""),"2606A132")</f>
        <v>2606A132</v>
      </c>
      <c r="C673" s="76" t="str">
        <f>IFERROR(__xludf.DUMMYFUNCTION("""COMPUTED_VALUE"""),"Nida")</f>
        <v>Nida</v>
      </c>
      <c r="D673" s="99" t="str">
        <f>IFERROR(__xludf.DUMMYFUNCTION("""COMPUTED_VALUE"""),"082391927294")</f>
        <v>082391927294</v>
      </c>
      <c r="E673" s="25" t="str">
        <f>IFERROR(__xludf.DUMMYFUNCTION("""COMPUTED_VALUE"""),"Instagram")</f>
        <v>Instagram</v>
      </c>
      <c r="F673" s="25" t="str">
        <f>IFERROR(__xludf.DUMMYFUNCTION("""COMPUTED_VALUE"""),"Gagal")</f>
        <v>Gagal</v>
      </c>
      <c r="G673" s="25"/>
      <c r="H673" s="92"/>
      <c r="I673" s="80"/>
      <c r="J673" s="93"/>
      <c r="K673" s="46"/>
      <c r="L673" s="76"/>
      <c r="M673" s="20"/>
      <c r="N673" s="20"/>
      <c r="O673" s="20"/>
      <c r="P673" s="20"/>
    </row>
    <row r="674">
      <c r="A674" s="110">
        <f>IFERROR(__xludf.DUMMYFUNCTION("""COMPUTED_VALUE"""),46195.0)</f>
        <v>46195</v>
      </c>
      <c r="B674" s="110" t="str">
        <f>IFERROR(__xludf.DUMMYFUNCTION("""COMPUTED_VALUE"""),"2606A133")</f>
        <v>2606A133</v>
      </c>
      <c r="C674" s="49" t="str">
        <f>IFERROR(__xludf.DUMMYFUNCTION("""COMPUTED_VALUE"""),"Nadhira")</f>
        <v>Nadhira</v>
      </c>
      <c r="D674" s="102" t="str">
        <f>IFERROR(__xludf.DUMMYFUNCTION("""COMPUTED_VALUE"""),"081578131207")</f>
        <v>081578131207</v>
      </c>
      <c r="E674" s="25" t="str">
        <f>IFERROR(__xludf.DUMMYFUNCTION("""COMPUTED_VALUE"""),"Instagram")</f>
        <v>Instagram</v>
      </c>
      <c r="F674" s="25" t="str">
        <f>IFERROR(__xludf.DUMMYFUNCTION("""COMPUTED_VALUE"""),"Gagal")</f>
        <v>Gagal</v>
      </c>
      <c r="G674" s="25" t="str">
        <f>IFERROR(__xludf.DUMMYFUNCTION("""COMPUTED_VALUE"""),"ot menjangan tabuhan")</f>
        <v>ot menjangan tabuhan</v>
      </c>
      <c r="H674" s="78">
        <f>IFERROR(__xludf.DUMMYFUNCTION("""COMPUTED_VALUE"""),46216.0)</f>
        <v>46216</v>
      </c>
      <c r="I674" s="89">
        <f>IFERROR(__xludf.DUMMYFUNCTION("""COMPUTED_VALUE"""),1.0)</f>
        <v>1</v>
      </c>
      <c r="J674" s="96"/>
      <c r="K674" s="30" t="str">
        <f>IFERROR(__xludf.DUMMYFUNCTION("""COMPUTED_VALUE"""),"gada kelanjutan")</f>
        <v>gada kelanjutan</v>
      </c>
      <c r="L674" s="49"/>
      <c r="M674" s="20"/>
      <c r="N674" s="20"/>
      <c r="O674" s="20"/>
      <c r="P674" s="20"/>
    </row>
    <row r="675">
      <c r="A675" s="97">
        <f>IFERROR(__xludf.DUMMYFUNCTION("""COMPUTED_VALUE"""),46197.0)</f>
        <v>46197</v>
      </c>
      <c r="B675" s="97" t="str">
        <f>IFERROR(__xludf.DUMMYFUNCTION("""COMPUTED_VALUE"""),"2606A134")</f>
        <v>2606A134</v>
      </c>
      <c r="C675" s="76" t="str">
        <f>IFERROR(__xludf.DUMMYFUNCTION("""COMPUTED_VALUE"""),"Tasya")</f>
        <v>Tasya</v>
      </c>
      <c r="D675" s="99" t="str">
        <f>IFERROR(__xludf.DUMMYFUNCTION("""COMPUTED_VALUE"""),"085313264911")</f>
        <v>085313264911</v>
      </c>
      <c r="E675" s="25" t="str">
        <f>IFERROR(__xludf.DUMMYFUNCTION("""COMPUTED_VALUE"""),"Lainnya")</f>
        <v>Lainnya</v>
      </c>
      <c r="F675" s="25" t="str">
        <f>IFERROR(__xludf.DUMMYFUNCTION("""COMPUTED_VALUE"""),"Closing")</f>
        <v>Closing</v>
      </c>
      <c r="G675" s="25" t="str">
        <f>IFERROR(__xludf.DUMMYFUNCTION("""COMPUTED_VALUE"""),"ot mt")</f>
        <v>ot mt</v>
      </c>
      <c r="H675" s="92">
        <f>IFERROR(__xludf.DUMMYFUNCTION("""COMPUTED_VALUE"""),46198.0)</f>
        <v>46198</v>
      </c>
      <c r="I675" s="80">
        <f>IFERROR(__xludf.DUMMYFUNCTION("""COMPUTED_VALUE"""),4.0)</f>
        <v>4</v>
      </c>
      <c r="J675" s="93">
        <f>IFERROR(__xludf.DUMMYFUNCTION("""COMPUTED_VALUE"""),1600000.0)</f>
        <v>1600000</v>
      </c>
      <c r="K675" s="46" t="str">
        <f>IFERROR(__xludf.DUMMYFUNCTION("""COMPUTED_VALUE"""),"alhamdulillah closing")</f>
        <v>alhamdulillah closing</v>
      </c>
      <c r="L675" s="76"/>
      <c r="M675" s="20"/>
      <c r="N675" s="20"/>
      <c r="O675" s="20"/>
      <c r="P675" s="20"/>
    </row>
    <row r="676">
      <c r="A676" s="110">
        <f>IFERROR(__xludf.DUMMYFUNCTION("""COMPUTED_VALUE"""),46197.0)</f>
        <v>46197</v>
      </c>
      <c r="B676" s="110" t="str">
        <f>IFERROR(__xludf.DUMMYFUNCTION("""COMPUTED_VALUE"""),"2606A135")</f>
        <v>2606A135</v>
      </c>
      <c r="C676" s="49" t="str">
        <f>IFERROR(__xludf.DUMMYFUNCTION("""COMPUTED_VALUE"""),"Silvia Fraixedas")</f>
        <v>Silvia Fraixedas</v>
      </c>
      <c r="D676" s="102" t="str">
        <f>IFERROR(__xludf.DUMMYFUNCTION("""COMPUTED_VALUE"""),"34690823148")</f>
        <v>34690823148</v>
      </c>
      <c r="E676" s="25" t="str">
        <f>IFERROR(__xludf.DUMMYFUNCTION("""COMPUTED_VALUE"""),"Lainnya")</f>
        <v>Lainnya</v>
      </c>
      <c r="F676" s="25" t="str">
        <f>IFERROR(__xludf.DUMMYFUNCTION("""COMPUTED_VALUE"""),"Closing")</f>
        <v>Closing</v>
      </c>
      <c r="G676" s="25" t="str">
        <f>IFERROR(__xludf.DUMMYFUNCTION("""COMPUTED_VALUE"""),"ot baluran dan alas purwo")</f>
        <v>ot baluran dan alas purwo</v>
      </c>
      <c r="H676" s="26"/>
      <c r="I676" s="27">
        <f>IFERROR(__xludf.DUMMYFUNCTION("""COMPUTED_VALUE"""),1.0)</f>
        <v>1</v>
      </c>
      <c r="J676" s="33">
        <f>IFERROR(__xludf.DUMMYFUNCTION("""COMPUTED_VALUE"""),1450000.0)</f>
        <v>1450000</v>
      </c>
      <c r="K676" s="30" t="str">
        <f>IFERROR(__xludf.DUMMYFUNCTION("""COMPUTED_VALUE"""),"alhamdulillah closing")</f>
        <v>alhamdulillah closing</v>
      </c>
      <c r="L676" s="49"/>
      <c r="M676" s="20"/>
      <c r="N676" s="20"/>
      <c r="O676" s="20"/>
      <c r="P676" s="20"/>
    </row>
    <row r="677">
      <c r="A677" s="97">
        <f>IFERROR(__xludf.DUMMYFUNCTION("""COMPUTED_VALUE"""),46195.0)</f>
        <v>46195</v>
      </c>
      <c r="B677" s="97" t="str">
        <f>IFERROR(__xludf.DUMMYFUNCTION("""COMPUTED_VALUE"""),"2606A136")</f>
        <v>2606A136</v>
      </c>
      <c r="C677" s="76" t="str">
        <f>IFERROR(__xludf.DUMMYFUNCTION("""COMPUTED_VALUE"""),"Nurman Basuki")</f>
        <v>Nurman Basuki</v>
      </c>
      <c r="D677" s="99" t="str">
        <f>IFERROR(__xludf.DUMMYFUNCTION("""COMPUTED_VALUE"""),"08111011070")</f>
        <v>08111011070</v>
      </c>
      <c r="E677" s="25" t="str">
        <f>IFERROR(__xludf.DUMMYFUNCTION("""COMPUTED_VALUE"""),"Website")</f>
        <v>Website</v>
      </c>
      <c r="F677" s="25" t="str">
        <f>IFERROR(__xludf.DUMMYFUNCTION("""COMPUTED_VALUE"""),"Gagal")</f>
        <v>Gagal</v>
      </c>
      <c r="G677" s="25" t="str">
        <f>IFERROR(__xludf.DUMMYFUNCTION("""COMPUTED_VALUE"""),"3h2m")</f>
        <v>3h2m</v>
      </c>
      <c r="H677" s="16">
        <f>IFERROR(__xludf.DUMMYFUNCTION("""COMPUTED_VALUE"""),46205.0)</f>
        <v>46205</v>
      </c>
      <c r="I677" s="17">
        <f>IFERROR(__xludf.DUMMYFUNCTION("""COMPUTED_VALUE"""),2.0)</f>
        <v>2</v>
      </c>
      <c r="J677" s="54"/>
      <c r="K677" s="46"/>
      <c r="L677" s="76"/>
      <c r="M677" s="20"/>
      <c r="N677" s="20"/>
      <c r="O677" s="20"/>
      <c r="P677" s="20"/>
    </row>
    <row r="678">
      <c r="A678" s="110">
        <f>IFERROR(__xludf.DUMMYFUNCTION("""COMPUTED_VALUE"""),46196.0)</f>
        <v>46196</v>
      </c>
      <c r="B678" s="110" t="str">
        <f>IFERROR(__xludf.DUMMYFUNCTION("""COMPUTED_VALUE"""),"2606A137")</f>
        <v>2606A137</v>
      </c>
      <c r="C678" s="49" t="str">
        <f>IFERROR(__xludf.DUMMYFUNCTION("""COMPUTED_VALUE"""),"Nilam Mughni")</f>
        <v>Nilam Mughni</v>
      </c>
      <c r="D678" s="102" t="str">
        <f>IFERROR(__xludf.DUMMYFUNCTION("""COMPUTED_VALUE"""),"087737811823")</f>
        <v>087737811823</v>
      </c>
      <c r="E678" s="25" t="str">
        <f>IFERROR(__xludf.DUMMYFUNCTION("""COMPUTED_VALUE"""),"Lainnya")</f>
        <v>Lainnya</v>
      </c>
      <c r="F678" s="25" t="str">
        <f>IFERROR(__xludf.DUMMYFUNCTION("""COMPUTED_VALUE"""),"Gagal")</f>
        <v>Gagal</v>
      </c>
      <c r="G678" s="25"/>
      <c r="H678" s="78"/>
      <c r="I678" s="89"/>
      <c r="J678" s="96"/>
      <c r="K678" s="36"/>
      <c r="L678" s="49"/>
      <c r="M678" s="20"/>
      <c r="N678" s="20"/>
      <c r="O678" s="20"/>
      <c r="P678" s="20"/>
    </row>
    <row r="679">
      <c r="A679" s="97">
        <f>IFERROR(__xludf.DUMMYFUNCTION("""COMPUTED_VALUE"""),46196.0)</f>
        <v>46196</v>
      </c>
      <c r="B679" s="97" t="str">
        <f>IFERROR(__xludf.DUMMYFUNCTION("""COMPUTED_VALUE"""),"2606A138")</f>
        <v>2606A138</v>
      </c>
      <c r="C679" s="76" t="str">
        <f>IFERROR(__xludf.DUMMYFUNCTION("""COMPUTED_VALUE"""),"Rebimun")</f>
        <v>Rebimun</v>
      </c>
      <c r="D679" s="99" t="str">
        <f>IFERROR(__xludf.DUMMYFUNCTION("""COMPUTED_VALUE"""),"081910652439")</f>
        <v>081910652439</v>
      </c>
      <c r="E679" s="25" t="str">
        <f>IFERROR(__xludf.DUMMYFUNCTION("""COMPUTED_VALUE"""),"Website")</f>
        <v>Website</v>
      </c>
      <c r="F679" s="25" t="str">
        <f>IFERROR(__xludf.DUMMYFUNCTION("""COMPUTED_VALUE"""),"Gagal")</f>
        <v>Gagal</v>
      </c>
      <c r="G679" s="25" t="str">
        <f>IFERROR(__xludf.DUMMYFUNCTION("""COMPUTED_VALUE"""),"Menjangan-Tabuhan")</f>
        <v>Menjangan-Tabuhan</v>
      </c>
      <c r="H679" s="92">
        <f>IFERROR(__xludf.DUMMYFUNCTION("""COMPUTED_VALUE"""),46208.0)</f>
        <v>46208</v>
      </c>
      <c r="I679" s="80">
        <f>IFERROR(__xludf.DUMMYFUNCTION("""COMPUTED_VALUE"""),7.0)</f>
        <v>7</v>
      </c>
      <c r="J679" s="93"/>
      <c r="K679" s="46"/>
      <c r="L679" s="76"/>
      <c r="M679" s="20"/>
      <c r="N679" s="20"/>
      <c r="O679" s="20"/>
      <c r="P679" s="20"/>
    </row>
    <row r="680">
      <c r="A680" s="110">
        <f>IFERROR(__xludf.DUMMYFUNCTION("""COMPUTED_VALUE"""),46196.0)</f>
        <v>46196</v>
      </c>
      <c r="B680" s="110" t="str">
        <f>IFERROR(__xludf.DUMMYFUNCTION("""COMPUTED_VALUE"""),"2606A139")</f>
        <v>2606A139</v>
      </c>
      <c r="C680" s="49" t="str">
        <f>IFERROR(__xludf.DUMMYFUNCTION("""COMPUTED_VALUE"""),"Aulia Irvana")</f>
        <v>Aulia Irvana</v>
      </c>
      <c r="D680" s="102" t="str">
        <f>IFERROR(__xludf.DUMMYFUNCTION("""COMPUTED_VALUE"""),"0895357925773")</f>
        <v>0895357925773</v>
      </c>
      <c r="E680" s="25" t="str">
        <f>IFERROR(__xludf.DUMMYFUNCTION("""COMPUTED_VALUE"""),"Tiktok")</f>
        <v>Tiktok</v>
      </c>
      <c r="F680" s="25" t="str">
        <f>IFERROR(__xludf.DUMMYFUNCTION("""COMPUTED_VALUE"""),"Gagal")</f>
        <v>Gagal</v>
      </c>
      <c r="G680" s="25"/>
      <c r="H680" s="78"/>
      <c r="I680" s="89"/>
      <c r="J680" s="96"/>
      <c r="K680" s="36" t="str">
        <f>IFERROR(__xludf.DUMMYFUNCTION("""COMPUTED_VALUE"""),"fullbooked")</f>
        <v>fullbooked</v>
      </c>
      <c r="L680" s="49"/>
      <c r="M680" s="20"/>
      <c r="N680" s="20"/>
      <c r="O680" s="20"/>
      <c r="P680" s="20"/>
    </row>
    <row r="681">
      <c r="A681" s="97">
        <f>IFERROR(__xludf.DUMMYFUNCTION("""COMPUTED_VALUE"""),46196.0)</f>
        <v>46196</v>
      </c>
      <c r="B681" s="97" t="str">
        <f>IFERROR(__xludf.DUMMYFUNCTION("""COMPUTED_VALUE"""),"2606A140")</f>
        <v>2606A140</v>
      </c>
      <c r="C681" s="76" t="str">
        <f>IFERROR(__xludf.DUMMYFUNCTION("""COMPUTED_VALUE"""),"Ulfia")</f>
        <v>Ulfia</v>
      </c>
      <c r="D681" s="99" t="str">
        <f>IFERROR(__xludf.DUMMYFUNCTION("""COMPUTED_VALUE"""),"081346534653")</f>
        <v>081346534653</v>
      </c>
      <c r="E681" s="25" t="str">
        <f>IFERROR(__xludf.DUMMYFUNCTION("""COMPUTED_VALUE"""),"Instagram")</f>
        <v>Instagram</v>
      </c>
      <c r="F681" s="25" t="str">
        <f>IFERROR(__xludf.DUMMYFUNCTION("""COMPUTED_VALUE"""),"Gagal")</f>
        <v>Gagal</v>
      </c>
      <c r="G681" s="25" t="str">
        <f>IFERROR(__xludf.DUMMYFUNCTION("""COMPUTED_VALUE"""),"4h3m")</f>
        <v>4h3m</v>
      </c>
      <c r="H681" s="92"/>
      <c r="I681" s="80">
        <f>IFERROR(__xludf.DUMMYFUNCTION("""COMPUTED_VALUE"""),3.0)</f>
        <v>3</v>
      </c>
      <c r="J681" s="93"/>
      <c r="K681" s="19" t="str">
        <f>IFERROR(__xludf.DUMMYFUNCTION("""COMPUTED_VALUE"""),"kesibukan lain")</f>
        <v>kesibukan lain</v>
      </c>
      <c r="L681" s="76"/>
      <c r="M681" s="20"/>
      <c r="N681" s="20"/>
      <c r="O681" s="20"/>
      <c r="P681" s="20"/>
    </row>
    <row r="682">
      <c r="A682" s="110">
        <f>IFERROR(__xludf.DUMMYFUNCTION("""COMPUTED_VALUE"""),46197.0)</f>
        <v>46197</v>
      </c>
      <c r="B682" s="110" t="str">
        <f>IFERROR(__xludf.DUMMYFUNCTION("""COMPUTED_VALUE"""),"2606A141")</f>
        <v>2606A141</v>
      </c>
      <c r="C682" s="49" t="str">
        <f>IFERROR(__xludf.DUMMYFUNCTION("""COMPUTED_VALUE"""),"Trinur")</f>
        <v>Trinur</v>
      </c>
      <c r="D682" s="99" t="str">
        <f>IFERROR(__xludf.DUMMYFUNCTION("""COMPUTED_VALUE"""),"085201527193")</f>
        <v>085201527193</v>
      </c>
      <c r="E682" s="25" t="str">
        <f>IFERROR(__xludf.DUMMYFUNCTION("""COMPUTED_VALUE"""),"Instagram")</f>
        <v>Instagram</v>
      </c>
      <c r="F682" s="25" t="str">
        <f>IFERROR(__xludf.DUMMYFUNCTION("""COMPUTED_VALUE"""),"Gagal")</f>
        <v>Gagal</v>
      </c>
      <c r="G682" s="25" t="str">
        <f>IFERROR(__xludf.DUMMYFUNCTION("""COMPUTED_VALUE"""),"ot djawatan baluran")</f>
        <v>ot djawatan baluran</v>
      </c>
      <c r="H682" s="78"/>
      <c r="I682" s="89">
        <f>IFERROR(__xludf.DUMMYFUNCTION("""COMPUTED_VALUE"""),2.0)</f>
        <v>2</v>
      </c>
      <c r="J682" s="96"/>
      <c r="K682" s="36"/>
      <c r="L682" s="49"/>
      <c r="M682" s="20"/>
      <c r="N682" s="20"/>
      <c r="O682" s="20"/>
      <c r="P682" s="20"/>
    </row>
    <row r="683">
      <c r="A683" s="97">
        <f>IFERROR(__xludf.DUMMYFUNCTION("""COMPUTED_VALUE"""),46197.0)</f>
        <v>46197</v>
      </c>
      <c r="B683" s="97" t="str">
        <f>IFERROR(__xludf.DUMMYFUNCTION("""COMPUTED_VALUE"""),"2606A142")</f>
        <v>2606A142</v>
      </c>
      <c r="C683" s="76" t="str">
        <f>IFERROR(__xludf.DUMMYFUNCTION("""COMPUTED_VALUE"""),"Andre")</f>
        <v>Andre</v>
      </c>
      <c r="D683" s="99" t="str">
        <f>IFERROR(__xludf.DUMMYFUNCTION("""COMPUTED_VALUE"""),"082266369983")</f>
        <v>082266369983</v>
      </c>
      <c r="E683" s="25" t="str">
        <f>IFERROR(__xludf.DUMMYFUNCTION("""COMPUTED_VALUE"""),"Instagram")</f>
        <v>Instagram</v>
      </c>
      <c r="F683" s="25" t="str">
        <f>IFERROR(__xludf.DUMMYFUNCTION("""COMPUTED_VALUE"""),"Gagal")</f>
        <v>Gagal</v>
      </c>
      <c r="G683" s="25" t="str">
        <f>IFERROR(__xludf.DUMMYFUNCTION("""COMPUTED_VALUE"""),"4h3m")</f>
        <v>4h3m</v>
      </c>
      <c r="H683" s="16"/>
      <c r="I683" s="17">
        <f>IFERROR(__xludf.DUMMYFUNCTION("""COMPUTED_VALUE"""),50.0)</f>
        <v>50</v>
      </c>
      <c r="J683" s="54"/>
      <c r="K683" s="46"/>
      <c r="L683" s="76"/>
      <c r="M683" s="20"/>
      <c r="N683" s="20"/>
      <c r="O683" s="20"/>
      <c r="P683" s="20"/>
    </row>
    <row r="684">
      <c r="A684" s="110">
        <f>IFERROR(__xludf.DUMMYFUNCTION("""COMPUTED_VALUE"""),46197.0)</f>
        <v>46197</v>
      </c>
      <c r="B684" s="110" t="str">
        <f>IFERROR(__xludf.DUMMYFUNCTION("""COMPUTED_VALUE"""),"2606A143")</f>
        <v>2606A143</v>
      </c>
      <c r="C684" s="49" t="str">
        <f>IFERROR(__xludf.DUMMYFUNCTION("""COMPUTED_VALUE"""),"Syadz")</f>
        <v>Syadz</v>
      </c>
      <c r="D684" s="102" t="str">
        <f>IFERROR(__xludf.DUMMYFUNCTION("""COMPUTED_VALUE"""),"082226203285")</f>
        <v>082226203285</v>
      </c>
      <c r="E684" s="25" t="str">
        <f>IFERROR(__xludf.DUMMYFUNCTION("""COMPUTED_VALUE"""),"Instagram")</f>
        <v>Instagram</v>
      </c>
      <c r="F684" s="25" t="str">
        <f>IFERROR(__xludf.DUMMYFUNCTION("""COMPUTED_VALUE"""),"Gagal")</f>
        <v>Gagal</v>
      </c>
      <c r="G684" s="25"/>
      <c r="H684" s="78"/>
      <c r="I684" s="89"/>
      <c r="J684" s="33"/>
      <c r="K684" s="30"/>
      <c r="L684" s="49"/>
      <c r="M684" s="20"/>
      <c r="N684" s="20"/>
      <c r="O684" s="20"/>
      <c r="P684" s="20"/>
    </row>
    <row r="685">
      <c r="A685" s="97">
        <f>IFERROR(__xludf.DUMMYFUNCTION("""COMPUTED_VALUE"""),46197.0)</f>
        <v>46197</v>
      </c>
      <c r="B685" s="97" t="str">
        <f>IFERROR(__xludf.DUMMYFUNCTION("""COMPUTED_VALUE"""),"2606A144")</f>
        <v>2606A144</v>
      </c>
      <c r="C685" s="76" t="str">
        <f>IFERROR(__xludf.DUMMYFUNCTION("""COMPUTED_VALUE"""),"Indri Wilson")</f>
        <v>Indri Wilson</v>
      </c>
      <c r="D685" s="99" t="str">
        <f>IFERROR(__xludf.DUMMYFUNCTION("""COMPUTED_VALUE"""),"085200007722")</f>
        <v>085200007722</v>
      </c>
      <c r="E685" s="25" t="str">
        <f>IFERROR(__xludf.DUMMYFUNCTION("""COMPUTED_VALUE"""),"Website")</f>
        <v>Website</v>
      </c>
      <c r="F685" s="25" t="str">
        <f>IFERROR(__xludf.DUMMYFUNCTION("""COMPUTED_VALUE"""),"Leads Baru")</f>
        <v>Leads Baru</v>
      </c>
      <c r="G685" s="25"/>
      <c r="H685" s="92"/>
      <c r="I685" s="80"/>
      <c r="J685" s="93"/>
      <c r="K685" s="46"/>
      <c r="L685" s="76"/>
      <c r="M685" s="20"/>
      <c r="N685" s="20"/>
      <c r="O685" s="20"/>
      <c r="P685" s="20"/>
    </row>
    <row r="686">
      <c r="A686" s="110">
        <f>IFERROR(__xludf.DUMMYFUNCTION("""COMPUTED_VALUE"""),46197.0)</f>
        <v>46197</v>
      </c>
      <c r="B686" s="110" t="str">
        <f>IFERROR(__xludf.DUMMYFUNCTION("""COMPUTED_VALUE"""),"2606A145")</f>
        <v>2606A145</v>
      </c>
      <c r="C686" s="49" t="str">
        <f>IFERROR(__xludf.DUMMYFUNCTION("""COMPUTED_VALUE"""),"Suryo Hardiono")</f>
        <v>Suryo Hardiono</v>
      </c>
      <c r="D686" s="102" t="str">
        <f>IFERROR(__xludf.DUMMYFUNCTION("""COMPUTED_VALUE"""),"0818210453")</f>
        <v>0818210453</v>
      </c>
      <c r="E686" s="25" t="str">
        <f>IFERROR(__xludf.DUMMYFUNCTION("""COMPUTED_VALUE"""),"Website")</f>
        <v>Website</v>
      </c>
      <c r="F686" s="25" t="str">
        <f>IFERROR(__xludf.DUMMYFUNCTION("""COMPUTED_VALUE"""),"Leads Baru")</f>
        <v>Leads Baru</v>
      </c>
      <c r="G686" s="25" t="str">
        <f>IFERROR(__xludf.DUMMYFUNCTION("""COMPUTED_VALUE"""),"3h2m")</f>
        <v>3h2m</v>
      </c>
      <c r="H686" s="78">
        <f>IFERROR(__xludf.DUMMYFUNCTION("""COMPUTED_VALUE"""),46205.0)</f>
        <v>46205</v>
      </c>
      <c r="I686" s="89"/>
      <c r="J686" s="96"/>
      <c r="K686" s="30"/>
      <c r="L686" s="49"/>
      <c r="M686" s="20"/>
      <c r="N686" s="20"/>
      <c r="O686" s="20"/>
      <c r="P686" s="20"/>
    </row>
    <row r="687">
      <c r="A687" s="97">
        <f>IFERROR(__xludf.DUMMYFUNCTION("""COMPUTED_VALUE"""),46197.0)</f>
        <v>46197</v>
      </c>
      <c r="B687" s="97" t="str">
        <f>IFERROR(__xludf.DUMMYFUNCTION("""COMPUTED_VALUE"""),"2606A146")</f>
        <v>2606A146</v>
      </c>
      <c r="C687" s="76" t="str">
        <f>IFERROR(__xludf.DUMMYFUNCTION("""COMPUTED_VALUE"""),"Rius Bukit")</f>
        <v>Rius Bukit</v>
      </c>
      <c r="D687" s="99" t="str">
        <f>IFERROR(__xludf.DUMMYFUNCTION("""COMPUTED_VALUE"""),"081382395521")</f>
        <v>081382395521</v>
      </c>
      <c r="E687" s="25" t="str">
        <f>IFERROR(__xludf.DUMMYFUNCTION("""COMPUTED_VALUE"""),"Instagram")</f>
        <v>Instagram</v>
      </c>
      <c r="F687" s="25" t="str">
        <f>IFERROR(__xludf.DUMMYFUNCTION("""COMPUTED_VALUE"""),"Leads Baru")</f>
        <v>Leads Baru</v>
      </c>
      <c r="G687" s="25" t="str">
        <f>IFERROR(__xludf.DUMMYFUNCTION("""COMPUTED_VALUE"""),"3h2m")</f>
        <v>3h2m</v>
      </c>
      <c r="H687" s="92"/>
      <c r="I687" s="80">
        <f>IFERROR(__xludf.DUMMYFUNCTION("""COMPUTED_VALUE"""),1.0)</f>
        <v>1</v>
      </c>
      <c r="J687" s="93"/>
      <c r="K687" s="46"/>
      <c r="L687" s="76"/>
      <c r="M687" s="20"/>
      <c r="N687" s="20"/>
      <c r="O687" s="20"/>
      <c r="P687" s="20"/>
    </row>
    <row r="688">
      <c r="A688" s="110">
        <f>IFERROR(__xludf.DUMMYFUNCTION("""COMPUTED_VALUE"""),46197.0)</f>
        <v>46197</v>
      </c>
      <c r="B688" s="110" t="str">
        <f>IFERROR(__xludf.DUMMYFUNCTION("""COMPUTED_VALUE"""),"2606A147")</f>
        <v>2606A147</v>
      </c>
      <c r="C688" s="49" t="str">
        <f>IFERROR(__xludf.DUMMYFUNCTION("""COMPUTED_VALUE"""),"Sufathonah")</f>
        <v>Sufathonah</v>
      </c>
      <c r="D688" s="102" t="str">
        <f>IFERROR(__xludf.DUMMYFUNCTION("""COMPUTED_VALUE"""),"082248437101")</f>
        <v>082248437101</v>
      </c>
      <c r="E688" s="25" t="str">
        <f>IFERROR(__xludf.DUMMYFUNCTION("""COMPUTED_VALUE"""),"Instagram")</f>
        <v>Instagram</v>
      </c>
      <c r="F688" s="25" t="str">
        <f>IFERROR(__xludf.DUMMYFUNCTION("""COMPUTED_VALUE"""),"Leads Baru")</f>
        <v>Leads Baru</v>
      </c>
      <c r="G688" s="25"/>
      <c r="H688" s="78"/>
      <c r="I688" s="89"/>
      <c r="J688" s="96"/>
      <c r="K688" s="36"/>
      <c r="L688" s="49"/>
      <c r="M688" s="20"/>
      <c r="N688" s="20"/>
      <c r="O688" s="20"/>
      <c r="P688" s="20"/>
    </row>
    <row r="689">
      <c r="A689" s="97">
        <f>IFERROR(__xludf.DUMMYFUNCTION("""COMPUTED_VALUE"""),46198.0)</f>
        <v>46198</v>
      </c>
      <c r="B689" s="97" t="str">
        <f>IFERROR(__xludf.DUMMYFUNCTION("""COMPUTED_VALUE"""),"2606A148")</f>
        <v>2606A148</v>
      </c>
      <c r="C689" s="76" t="str">
        <f>IFERROR(__xludf.DUMMYFUNCTION("""COMPUTED_VALUE"""),"Puspita")</f>
        <v>Puspita</v>
      </c>
      <c r="D689" s="99" t="str">
        <f>IFERROR(__xludf.DUMMYFUNCTION("""COMPUTED_VALUE"""),"081217386148")</f>
        <v>081217386148</v>
      </c>
      <c r="E689" s="25" t="str">
        <f>IFERROR(__xludf.DUMMYFUNCTION("""COMPUTED_VALUE"""),"Instagram")</f>
        <v>Instagram</v>
      </c>
      <c r="F689" s="25" t="str">
        <f>IFERROR(__xludf.DUMMYFUNCTION("""COMPUTED_VALUE"""),"Leads Baru")</f>
        <v>Leads Baru</v>
      </c>
      <c r="G689" s="25"/>
      <c r="H689" s="16"/>
      <c r="I689" s="17"/>
      <c r="J689" s="54"/>
      <c r="K689" s="46"/>
      <c r="L689" s="76"/>
      <c r="M689" s="20"/>
      <c r="N689" s="20"/>
      <c r="O689" s="20"/>
      <c r="P689" s="20"/>
    </row>
    <row r="690">
      <c r="A690" s="110">
        <f>IFERROR(__xludf.DUMMYFUNCTION("""COMPUTED_VALUE"""),46198.0)</f>
        <v>46198</v>
      </c>
      <c r="B690" s="110" t="str">
        <f>IFERROR(__xludf.DUMMYFUNCTION("""COMPUTED_VALUE"""),"2606A149")</f>
        <v>2606A149</v>
      </c>
      <c r="C690" s="49" t="str">
        <f>IFERROR(__xludf.DUMMYFUNCTION("""COMPUTED_VALUE"""),"Ghea Aprilia")</f>
        <v>Ghea Aprilia</v>
      </c>
      <c r="D690" s="102" t="str">
        <f>IFERROR(__xludf.DUMMYFUNCTION("""COMPUTED_VALUE"""),"081310054097")</f>
        <v>081310054097</v>
      </c>
      <c r="E690" s="25" t="str">
        <f>IFERROR(__xludf.DUMMYFUNCTION("""COMPUTED_VALUE"""),"Instagram")</f>
        <v>Instagram</v>
      </c>
      <c r="F690" s="25" t="str">
        <f>IFERROR(__xludf.DUMMYFUNCTION("""COMPUTED_VALUE"""),"Leads Baru")</f>
        <v>Leads Baru</v>
      </c>
      <c r="G690" s="25"/>
      <c r="H690" s="78"/>
      <c r="I690" s="89"/>
      <c r="J690" s="96"/>
      <c r="K690" s="36"/>
      <c r="L690" s="49"/>
      <c r="M690" s="20"/>
      <c r="N690" s="20"/>
      <c r="O690" s="20"/>
      <c r="P690" s="20"/>
    </row>
    <row r="691">
      <c r="A691" s="97">
        <f>IFERROR(__xludf.DUMMYFUNCTION("""COMPUTED_VALUE"""),46181.0)</f>
        <v>46181</v>
      </c>
      <c r="B691" s="97" t="str">
        <f>IFERROR(__xludf.DUMMYFUNCTION("""COMPUTED_VALUE"""),"2606A150")</f>
        <v>2606A150</v>
      </c>
      <c r="C691" s="76" t="str">
        <f>IFERROR(__xludf.DUMMYFUNCTION("""COMPUTED_VALUE"""),"Alfian CK")</f>
        <v>Alfian CK</v>
      </c>
      <c r="D691" s="99" t="str">
        <f>IFERROR(__xludf.DUMMYFUNCTION("""COMPUTED_VALUE"""),"08971083016")</f>
        <v>08971083016</v>
      </c>
      <c r="E691" s="25" t="str">
        <f>IFERROR(__xludf.DUMMYFUNCTION("""COMPUTED_VALUE"""),"Lainnya")</f>
        <v>Lainnya</v>
      </c>
      <c r="F691" s="25" t="str">
        <f>IFERROR(__xludf.DUMMYFUNCTION("""COMPUTED_VALUE"""),"Gagal")</f>
        <v>Gagal</v>
      </c>
      <c r="G691" s="25" t="str">
        <f>IFERROR(__xludf.DUMMYFUNCTION("""COMPUTED_VALUE"""),"2h1m")</f>
        <v>2h1m</v>
      </c>
      <c r="H691" s="92"/>
      <c r="I691" s="80">
        <f>IFERROR(__xludf.DUMMYFUNCTION("""COMPUTED_VALUE"""),7.0)</f>
        <v>7</v>
      </c>
      <c r="J691" s="93"/>
      <c r="K691" s="46" t="str">
        <f>IFERROR(__xludf.DUMMYFUNCTION("""COMPUTED_VALUE"""),"gada kelajutan")</f>
        <v>gada kelajutan</v>
      </c>
      <c r="L691" s="76"/>
      <c r="M691" s="20"/>
      <c r="N691" s="20"/>
      <c r="O691" s="20"/>
      <c r="P691" s="20"/>
    </row>
    <row r="692">
      <c r="A692" s="110">
        <f>IFERROR(__xludf.DUMMYFUNCTION("""COMPUTED_VALUE"""),46187.0)</f>
        <v>46187</v>
      </c>
      <c r="B692" s="110" t="str">
        <f>IFERROR(__xludf.DUMMYFUNCTION("""COMPUTED_VALUE"""),"2606A151")</f>
        <v>2606A151</v>
      </c>
      <c r="C692" s="49" t="str">
        <f>IFERROR(__xludf.DUMMYFUNCTION("""COMPUTED_VALUE"""),"Mas Ilmi")</f>
        <v>Mas Ilmi</v>
      </c>
      <c r="D692" s="102" t="str">
        <f>IFERROR(__xludf.DUMMYFUNCTION("""COMPUTED_VALUE"""),"085730877644")</f>
        <v>085730877644</v>
      </c>
      <c r="E692" s="25" t="str">
        <f>IFERROR(__xludf.DUMMYFUNCTION("""COMPUTED_VALUE"""),"Website")</f>
        <v>Website</v>
      </c>
      <c r="F692" s="25" t="str">
        <f>IFERROR(__xludf.DUMMYFUNCTION("""COMPUTED_VALUE"""),"Gagal")</f>
        <v>Gagal</v>
      </c>
      <c r="G692" s="25" t="str">
        <f>IFERROR(__xludf.DUMMYFUNCTION("""COMPUTED_VALUE"""),"3h2m")</f>
        <v>3h2m</v>
      </c>
      <c r="H692" s="78">
        <f>IFERROR(__xludf.DUMMYFUNCTION("""COMPUTED_VALUE"""),46190.0)</f>
        <v>46190</v>
      </c>
      <c r="I692" s="89">
        <f>IFERROR(__xludf.DUMMYFUNCTION("""COMPUTED_VALUE"""),2.0)</f>
        <v>2</v>
      </c>
      <c r="J692" s="96"/>
      <c r="K692" s="30" t="str">
        <f>IFERROR(__xludf.DUMMYFUNCTION("""COMPUTED_VALUE"""),"lewat tanggal")</f>
        <v>lewat tanggal</v>
      </c>
      <c r="L692" s="49"/>
      <c r="M692" s="20"/>
      <c r="N692" s="20"/>
      <c r="O692" s="20"/>
      <c r="P692" s="20"/>
    </row>
    <row r="693">
      <c r="A693" s="97">
        <f>IFERROR(__xludf.DUMMYFUNCTION("""COMPUTED_VALUE"""),46199.0)</f>
        <v>46199</v>
      </c>
      <c r="B693" s="97" t="str">
        <f>IFERROR(__xludf.DUMMYFUNCTION("""COMPUTED_VALUE"""),"2606A152")</f>
        <v>2606A152</v>
      </c>
      <c r="C693" s="120" t="str">
        <f>IFERROR(__xludf.DUMMYFUNCTION("""COMPUTED_VALUE"""),"Ela")</f>
        <v>Ela</v>
      </c>
      <c r="D693" s="99" t="str">
        <f>IFERROR(__xludf.DUMMYFUNCTION("""COMPUTED_VALUE"""),"08561669566")</f>
        <v>08561669566</v>
      </c>
      <c r="E693" s="25" t="str">
        <f>IFERROR(__xludf.DUMMYFUNCTION("""COMPUTED_VALUE"""),"Lainnya")</f>
        <v>Lainnya</v>
      </c>
      <c r="F693" s="25" t="str">
        <f>IFERROR(__xludf.DUMMYFUNCTION("""COMPUTED_VALUE"""),"Leads Baru")</f>
        <v>Leads Baru</v>
      </c>
      <c r="G693" s="25"/>
      <c r="H693" s="16"/>
      <c r="I693" s="17"/>
      <c r="J693" s="54"/>
      <c r="K693" s="46"/>
      <c r="L693" s="76"/>
      <c r="M693" s="20"/>
      <c r="N693" s="20"/>
      <c r="O693" s="20"/>
      <c r="P693" s="20"/>
    </row>
    <row r="694">
      <c r="A694" s="110">
        <f>IFERROR(__xludf.DUMMYFUNCTION("""COMPUTED_VALUE"""),46199.0)</f>
        <v>46199</v>
      </c>
      <c r="B694" s="110" t="str">
        <f>IFERROR(__xludf.DUMMYFUNCTION("""COMPUTED_VALUE"""),"2606A153")</f>
        <v>2606A153</v>
      </c>
      <c r="C694" s="49" t="str">
        <f>IFERROR(__xludf.DUMMYFUNCTION("""COMPUTED_VALUE"""),"Nora")</f>
        <v>Nora</v>
      </c>
      <c r="D694" s="102" t="str">
        <f>IFERROR(__xludf.DUMMYFUNCTION("""COMPUTED_VALUE"""),"082277733031")</f>
        <v>082277733031</v>
      </c>
      <c r="E694" s="25" t="str">
        <f>IFERROR(__xludf.DUMMYFUNCTION("""COMPUTED_VALUE"""),"Instagram")</f>
        <v>Instagram</v>
      </c>
      <c r="F694" s="25" t="str">
        <f>IFERROR(__xludf.DUMMYFUNCTION("""COMPUTED_VALUE"""),"Qualified")</f>
        <v>Qualified</v>
      </c>
      <c r="G694" s="25" t="str">
        <f>IFERROR(__xludf.DUMMYFUNCTION("""COMPUTED_VALUE"""),"ot menjangan-tabuhan")</f>
        <v>ot menjangan-tabuhan</v>
      </c>
      <c r="H694" s="26">
        <f>IFERROR(__xludf.DUMMYFUNCTION("""COMPUTED_VALUE"""),46201.0)</f>
        <v>46201</v>
      </c>
      <c r="I694" s="89">
        <f>IFERROR(__xludf.DUMMYFUNCTION("""COMPUTED_VALUE"""),1.0)</f>
        <v>1</v>
      </c>
      <c r="J694" s="33"/>
      <c r="K694" s="30"/>
      <c r="L694" s="76"/>
      <c r="M694" s="20"/>
      <c r="N694" s="20"/>
      <c r="O694" s="20"/>
      <c r="P694" s="20"/>
    </row>
    <row r="695">
      <c r="A695" s="110">
        <f>IFERROR(__xludf.DUMMYFUNCTION("""COMPUTED_VALUE"""),46199.0)</f>
        <v>46199</v>
      </c>
      <c r="B695" s="110" t="str">
        <f>IFERROR(__xludf.DUMMYFUNCTION("""COMPUTED_VALUE"""),"2606A154")</f>
        <v>2606A154</v>
      </c>
      <c r="C695" s="76" t="str">
        <f>IFERROR(__xludf.DUMMYFUNCTION("""COMPUTED_VALUE"""),"Ika Damajanti")</f>
        <v>Ika Damajanti</v>
      </c>
      <c r="D695" s="99" t="str">
        <f>IFERROR(__xludf.DUMMYFUNCTION("""COMPUTED_VALUE"""),"081949691117")</f>
        <v>081949691117</v>
      </c>
      <c r="E695" s="25" t="str">
        <f>IFERROR(__xludf.DUMMYFUNCTION("""COMPUTED_VALUE"""),"Instagram")</f>
        <v>Instagram</v>
      </c>
      <c r="F695" s="25" t="str">
        <f>IFERROR(__xludf.DUMMYFUNCTION("""COMPUTED_VALUE"""),"Closing")</f>
        <v>Closing</v>
      </c>
      <c r="G695" s="25" t="str">
        <f>IFERROR(__xludf.DUMMYFUNCTION("""COMPUTED_VALUE"""),"3h2m")</f>
        <v>3h2m</v>
      </c>
      <c r="H695" s="92">
        <f>IFERROR(__xludf.DUMMYFUNCTION("""COMPUTED_VALUE"""),46215.0)</f>
        <v>46215</v>
      </c>
      <c r="I695" s="80">
        <f>IFERROR(__xludf.DUMMYFUNCTION("""COMPUTED_VALUE"""),3.0)</f>
        <v>3</v>
      </c>
      <c r="J695" s="93"/>
      <c r="K695" s="19" t="str">
        <f>IFERROR(__xludf.DUMMYFUNCTION("""COMPUTED_VALUE"""),"alhamdulillah")</f>
        <v>alhamdulillah</v>
      </c>
      <c r="L695" s="76"/>
      <c r="M695" s="20"/>
      <c r="N695" s="20"/>
      <c r="O695" s="20"/>
      <c r="P695" s="20"/>
    </row>
    <row r="696">
      <c r="A696" s="110">
        <f>IFERROR(__xludf.DUMMYFUNCTION("""COMPUTED_VALUE"""),46199.0)</f>
        <v>46199</v>
      </c>
      <c r="B696" s="110" t="str">
        <f>IFERROR(__xludf.DUMMYFUNCTION("""COMPUTED_VALUE"""),"2606A155")</f>
        <v>2606A155</v>
      </c>
      <c r="C696" s="49" t="str">
        <f>IFERROR(__xludf.DUMMYFUNCTION("""COMPUTED_VALUE"""),"Roy Desimoko")</f>
        <v>Roy Desimoko</v>
      </c>
      <c r="D696" s="102" t="str">
        <f>IFERROR(__xludf.DUMMYFUNCTION("""COMPUTED_VALUE"""),"081903974096")</f>
        <v>081903974096</v>
      </c>
      <c r="E696" s="25" t="str">
        <f>IFERROR(__xludf.DUMMYFUNCTION("""COMPUTED_VALUE"""),"Instagram")</f>
        <v>Instagram</v>
      </c>
      <c r="F696" s="25" t="str">
        <f>IFERROR(__xludf.DUMMYFUNCTION("""COMPUTED_VALUE"""),"Leads Baru")</f>
        <v>Leads Baru</v>
      </c>
      <c r="G696" s="25" t="str">
        <f>IFERROR(__xludf.DUMMYFUNCTION("""COMPUTED_VALUE"""),"3h2m")</f>
        <v>3h2m</v>
      </c>
      <c r="H696" s="78"/>
      <c r="I696" s="89"/>
      <c r="J696" s="96"/>
      <c r="K696" s="36"/>
      <c r="L696" s="49"/>
      <c r="M696" s="20"/>
      <c r="N696" s="20"/>
      <c r="O696" s="20"/>
      <c r="P696" s="20"/>
    </row>
    <row r="697">
      <c r="A697" s="97">
        <f>IFERROR(__xludf.DUMMYFUNCTION("""COMPUTED_VALUE"""),46199.0)</f>
        <v>46199</v>
      </c>
      <c r="B697" s="97" t="str">
        <f>IFERROR(__xludf.DUMMYFUNCTION("""COMPUTED_VALUE"""),"2606A156")</f>
        <v>2606A156</v>
      </c>
      <c r="C697" s="76" t="str">
        <f>IFERROR(__xludf.DUMMYFUNCTION("""COMPUTED_VALUE"""),"Diana")</f>
        <v>Diana</v>
      </c>
      <c r="D697" s="99" t="str">
        <f>IFERROR(__xludf.DUMMYFUNCTION("""COMPUTED_VALUE"""),"085178114894")</f>
        <v>085178114894</v>
      </c>
      <c r="E697" s="25" t="str">
        <f>IFERROR(__xludf.DUMMYFUNCTION("""COMPUTED_VALUE"""),"Website")</f>
        <v>Website</v>
      </c>
      <c r="F697" s="25" t="str">
        <f>IFERROR(__xludf.DUMMYFUNCTION("""COMPUTED_VALUE"""),"Gagal")</f>
        <v>Gagal</v>
      </c>
      <c r="G697" s="25"/>
      <c r="H697" s="139"/>
      <c r="I697" s="17"/>
      <c r="J697" s="93"/>
      <c r="K697" s="46" t="str">
        <f>IFERROR(__xludf.DUMMYFUNCTION("""COMPUTED_VALUE"""),"lewat tanggal")</f>
        <v>lewat tanggal</v>
      </c>
      <c r="L697" s="76"/>
      <c r="M697" s="20"/>
      <c r="N697" s="20"/>
      <c r="O697" s="20"/>
      <c r="P697" s="20"/>
    </row>
    <row r="698">
      <c r="A698" s="110">
        <f>IFERROR(__xludf.DUMMYFUNCTION("""COMPUTED_VALUE"""),46200.0)</f>
        <v>46200</v>
      </c>
      <c r="B698" s="110" t="str">
        <f>IFERROR(__xludf.DUMMYFUNCTION("""COMPUTED_VALUE"""),"2606A157")</f>
        <v>2606A157</v>
      </c>
      <c r="C698" s="76" t="str">
        <f>IFERROR(__xludf.DUMMYFUNCTION("""COMPUTED_VALUE"""),"Kantor")</f>
        <v>Kantor</v>
      </c>
      <c r="D698" s="99" t="str">
        <f>IFERROR(__xludf.DUMMYFUNCTION("""COMPUTED_VALUE"""),"081225210005")</f>
        <v>081225210005</v>
      </c>
      <c r="E698" s="25" t="str">
        <f>IFERROR(__xludf.DUMMYFUNCTION("""COMPUTED_VALUE"""),"Instagram")</f>
        <v>Instagram</v>
      </c>
      <c r="F698" s="25" t="str">
        <f>IFERROR(__xludf.DUMMYFUNCTION("""COMPUTED_VALUE"""),"Leads Baru")</f>
        <v>Leads Baru</v>
      </c>
      <c r="G698" s="25"/>
      <c r="H698" s="92"/>
      <c r="I698" s="80"/>
      <c r="J698" s="96"/>
      <c r="K698" s="30"/>
      <c r="L698" s="23"/>
      <c r="M698" s="20"/>
      <c r="N698" s="20"/>
      <c r="O698" s="20"/>
      <c r="P698" s="20"/>
    </row>
    <row r="699">
      <c r="A699" s="97">
        <f>IFERROR(__xludf.DUMMYFUNCTION("""COMPUTED_VALUE"""),46200.0)</f>
        <v>46200</v>
      </c>
      <c r="B699" s="97" t="str">
        <f>IFERROR(__xludf.DUMMYFUNCTION("""COMPUTED_VALUE"""),"2606A158")</f>
        <v>2606A158</v>
      </c>
      <c r="C699" s="76" t="str">
        <f>IFERROR(__xludf.DUMMYFUNCTION("""COMPUTED_VALUE"""),"Kh")</f>
        <v>Kh</v>
      </c>
      <c r="D699" s="99" t="str">
        <f>IFERROR(__xludf.DUMMYFUNCTION("""COMPUTED_VALUE"""),"089601224903")</f>
        <v>089601224903</v>
      </c>
      <c r="E699" s="25" t="str">
        <f>IFERROR(__xludf.DUMMYFUNCTION("""COMPUTED_VALUE"""),"Instagram")</f>
        <v>Instagram</v>
      </c>
      <c r="F699" s="25" t="str">
        <f>IFERROR(__xludf.DUMMYFUNCTION("""COMPUTED_VALUE"""),"Leads Baru")</f>
        <v>Leads Baru</v>
      </c>
      <c r="G699" s="25"/>
      <c r="H699" s="92"/>
      <c r="I699" s="80"/>
      <c r="J699" s="93"/>
      <c r="K699" s="19"/>
      <c r="L699" s="76"/>
      <c r="M699" s="20"/>
      <c r="N699" s="20"/>
      <c r="O699" s="20"/>
      <c r="P699" s="20"/>
    </row>
    <row r="700">
      <c r="A700" s="110">
        <f>IFERROR(__xludf.DUMMYFUNCTION("""COMPUTED_VALUE"""),46199.0)</f>
        <v>46199</v>
      </c>
      <c r="B700" s="110" t="str">
        <f>IFERROR(__xludf.DUMMYFUNCTION("""COMPUTED_VALUE"""),"2606A159")</f>
        <v>2606A159</v>
      </c>
      <c r="C700" s="49" t="str">
        <f>IFERROR(__xludf.DUMMYFUNCTION("""COMPUTED_VALUE"""),"Retno puspo dewi")</f>
        <v>Retno puspo dewi</v>
      </c>
      <c r="D700" s="102" t="str">
        <f>IFERROR(__xludf.DUMMYFUNCTION("""COMPUTED_VALUE"""),"085741929888")</f>
        <v>085741929888</v>
      </c>
      <c r="E700" s="25" t="str">
        <f>IFERROR(__xludf.DUMMYFUNCTION("""COMPUTED_VALUE"""),"Instagram")</f>
        <v>Instagram</v>
      </c>
      <c r="F700" s="25" t="str">
        <f>IFERROR(__xludf.DUMMYFUNCTION("""COMPUTED_VALUE"""),"Qualified")</f>
        <v>Qualified</v>
      </c>
      <c r="G700" s="25" t="str">
        <f>IFERROR(__xludf.DUMMYFUNCTION("""COMPUTED_VALUE"""),"ot menjangan tabuhan")</f>
        <v>ot menjangan tabuhan</v>
      </c>
      <c r="H700" s="26">
        <f>IFERROR(__xludf.DUMMYFUNCTION("""COMPUTED_VALUE"""),46213.0)</f>
        <v>46213</v>
      </c>
      <c r="I700" s="27">
        <f>IFERROR(__xludf.DUMMYFUNCTION("""COMPUTED_VALUE"""),9.0)</f>
        <v>9</v>
      </c>
      <c r="J700" s="33"/>
      <c r="K700" s="30"/>
      <c r="L700" s="49"/>
      <c r="M700" s="20"/>
      <c r="N700" s="20"/>
      <c r="O700" s="20"/>
      <c r="P700" s="20"/>
    </row>
    <row r="701">
      <c r="A701" s="97">
        <f>IFERROR(__xludf.DUMMYFUNCTION("""COMPUTED_VALUE"""),46199.0)</f>
        <v>46199</v>
      </c>
      <c r="B701" s="97" t="str">
        <f>IFERROR(__xludf.DUMMYFUNCTION("""COMPUTED_VALUE"""),"2606A160")</f>
        <v>2606A160</v>
      </c>
      <c r="C701" s="76" t="str">
        <f>IFERROR(__xludf.DUMMYFUNCTION("""COMPUTED_VALUE"""),"Ela")</f>
        <v>Ela</v>
      </c>
      <c r="D701" s="99" t="str">
        <f>IFERROR(__xludf.DUMMYFUNCTION("""COMPUTED_VALUE"""),"08561669566")</f>
        <v>08561669566</v>
      </c>
      <c r="E701" s="25" t="str">
        <f>IFERROR(__xludf.DUMMYFUNCTION("""COMPUTED_VALUE"""),"Website")</f>
        <v>Website</v>
      </c>
      <c r="F701" s="25" t="str">
        <f>IFERROR(__xludf.DUMMYFUNCTION("""COMPUTED_VALUE"""),"Leads Baru")</f>
        <v>Leads Baru</v>
      </c>
      <c r="G701" s="25"/>
      <c r="H701" s="16"/>
      <c r="I701" s="17"/>
      <c r="J701" s="54"/>
      <c r="K701" s="46"/>
      <c r="L701" s="76"/>
      <c r="M701" s="20"/>
      <c r="N701" s="20"/>
      <c r="O701" s="20"/>
      <c r="P701" s="20"/>
    </row>
    <row r="702">
      <c r="A702" s="110">
        <f>IFERROR(__xludf.DUMMYFUNCTION("""COMPUTED_VALUE"""),46200.0)</f>
        <v>46200</v>
      </c>
      <c r="B702" s="110" t="str">
        <f>IFERROR(__xludf.DUMMYFUNCTION("""COMPUTED_VALUE"""),"2606A161")</f>
        <v>2606A161</v>
      </c>
      <c r="C702" s="49" t="str">
        <f>IFERROR(__xludf.DUMMYFUNCTION("""COMPUTED_VALUE"""),"Hanna")</f>
        <v>Hanna</v>
      </c>
      <c r="D702" s="102" t="str">
        <f>IFERROR(__xludf.DUMMYFUNCTION("""COMPUTED_VALUE"""),"089535162399")</f>
        <v>089535162399</v>
      </c>
      <c r="E702" s="25" t="str">
        <f>IFERROR(__xludf.DUMMYFUNCTION("""COMPUTED_VALUE"""),"Instagram")</f>
        <v>Instagram</v>
      </c>
      <c r="F702" s="25" t="str">
        <f>IFERROR(__xludf.DUMMYFUNCTION("""COMPUTED_VALUE"""),"Gagal")</f>
        <v>Gagal</v>
      </c>
      <c r="G702" s="25" t="str">
        <f>IFERROR(__xludf.DUMMYFUNCTION("""COMPUTED_VALUE"""),"ot menjangan tabuhan")</f>
        <v>ot menjangan tabuhan</v>
      </c>
      <c r="H702" s="78">
        <f>IFERROR(__xludf.DUMMYFUNCTION("""COMPUTED_VALUE"""),46201.0)</f>
        <v>46201</v>
      </c>
      <c r="I702" s="27">
        <f>IFERROR(__xludf.DUMMYFUNCTION("""COMPUTED_VALUE"""),1.0)</f>
        <v>1</v>
      </c>
      <c r="J702" s="96"/>
      <c r="K702" s="30" t="str">
        <f>IFERROR(__xludf.DUMMYFUNCTION("""COMPUTED_VALUE"""),"Full booked")</f>
        <v>Full booked</v>
      </c>
      <c r="L702" s="49"/>
      <c r="M702" s="20"/>
      <c r="N702" s="20"/>
      <c r="O702" s="20"/>
      <c r="P702" s="20"/>
    </row>
    <row r="703">
      <c r="A703" s="97">
        <f>IFERROR(__xludf.DUMMYFUNCTION("""COMPUTED_VALUE"""),46200.0)</f>
        <v>46200</v>
      </c>
      <c r="B703" s="97" t="str">
        <f>IFERROR(__xludf.DUMMYFUNCTION("""COMPUTED_VALUE"""),"2606A162")</f>
        <v>2606A162</v>
      </c>
      <c r="C703" s="76" t="str">
        <f>IFERROR(__xludf.DUMMYFUNCTION("""COMPUTED_VALUE"""),"Nova Liyanti")</f>
        <v>Nova Liyanti</v>
      </c>
      <c r="D703" s="99" t="str">
        <f>IFERROR(__xludf.DUMMYFUNCTION("""COMPUTED_VALUE"""),"082388478881")</f>
        <v>082388478881</v>
      </c>
      <c r="E703" s="25" t="str">
        <f>IFERROR(__xludf.DUMMYFUNCTION("""COMPUTED_VALUE"""),"Instagram")</f>
        <v>Instagram</v>
      </c>
      <c r="F703" s="25" t="str">
        <f>IFERROR(__xludf.DUMMYFUNCTION("""COMPUTED_VALUE"""),"Leads Baru")</f>
        <v>Leads Baru</v>
      </c>
      <c r="G703" s="25" t="str">
        <f>IFERROR(__xludf.DUMMYFUNCTION("""COMPUTED_VALUE"""),"3h2m a")</f>
        <v>3h2m a</v>
      </c>
      <c r="H703" s="16"/>
      <c r="I703" s="17"/>
      <c r="J703" s="54"/>
      <c r="K703" s="46"/>
      <c r="L703" s="76"/>
      <c r="M703" s="20"/>
      <c r="N703" s="20"/>
      <c r="O703" s="20"/>
      <c r="P703" s="20"/>
    </row>
    <row r="704">
      <c r="A704" s="110">
        <f>IFERROR(__xludf.DUMMYFUNCTION("""COMPUTED_VALUE"""),46200.0)</f>
        <v>46200</v>
      </c>
      <c r="B704" s="110" t="str">
        <f>IFERROR(__xludf.DUMMYFUNCTION("""COMPUTED_VALUE"""),"2606A163")</f>
        <v>2606A163</v>
      </c>
      <c r="C704" s="49" t="str">
        <f>IFERROR(__xludf.DUMMYFUNCTION("""COMPUTED_VALUE"""),"Tulus")</f>
        <v>Tulus</v>
      </c>
      <c r="D704" s="102" t="str">
        <f>IFERROR(__xludf.DUMMYFUNCTION("""COMPUTED_VALUE"""),"085640344085")</f>
        <v>085640344085</v>
      </c>
      <c r="E704" s="25" t="str">
        <f>IFERROR(__xludf.DUMMYFUNCTION("""COMPUTED_VALUE"""),"Website")</f>
        <v>Website</v>
      </c>
      <c r="F704" s="25" t="str">
        <f>IFERROR(__xludf.DUMMYFUNCTION("""COMPUTED_VALUE"""),"Leads Baru")</f>
        <v>Leads Baru</v>
      </c>
      <c r="G704" s="25" t="str">
        <f>IFERROR(__xludf.DUMMYFUNCTION("""COMPUTED_VALUE"""),"2h1m")</f>
        <v>2h1m</v>
      </c>
      <c r="H704" s="78"/>
      <c r="I704" s="27">
        <f>IFERROR(__xludf.DUMMYFUNCTION("""COMPUTED_VALUE"""),4.0)</f>
        <v>4</v>
      </c>
      <c r="J704" s="33">
        <f>IFERROR(__xludf.DUMMYFUNCTION("""COMPUTED_VALUE"""),4148000.0)</f>
        <v>4148000</v>
      </c>
      <c r="K704" s="30" t="str">
        <f>IFERROR(__xludf.DUMMYFUNCTION("""COMPUTED_VALUE"""),"fu 4 juli")</f>
        <v>fu 4 juli</v>
      </c>
      <c r="L704" s="49"/>
      <c r="M704" s="20"/>
      <c r="N704" s="20"/>
      <c r="O704" s="20"/>
      <c r="P704" s="20"/>
    </row>
    <row r="705">
      <c r="A705" s="97">
        <f>IFERROR(__xludf.DUMMYFUNCTION("""COMPUTED_VALUE"""),46200.0)</f>
        <v>46200</v>
      </c>
      <c r="B705" s="97" t="str">
        <f>IFERROR(__xludf.DUMMYFUNCTION("""COMPUTED_VALUE"""),"2606A164")</f>
        <v>2606A164</v>
      </c>
      <c r="C705" s="76" t="str">
        <f>IFERROR(__xludf.DUMMYFUNCTION("""COMPUTED_VALUE"""),"Ayuda")</f>
        <v>Ayuda</v>
      </c>
      <c r="D705" s="99" t="str">
        <f>IFERROR(__xludf.DUMMYFUNCTION("""COMPUTED_VALUE"""),"08155188661")</f>
        <v>08155188661</v>
      </c>
      <c r="E705" s="25" t="str">
        <f>IFERROR(__xludf.DUMMYFUNCTION("""COMPUTED_VALUE"""),"Website")</f>
        <v>Website</v>
      </c>
      <c r="F705" s="25" t="str">
        <f>IFERROR(__xludf.DUMMYFUNCTION("""COMPUTED_VALUE"""),"Leads Baru")</f>
        <v>Leads Baru</v>
      </c>
      <c r="G705" s="25"/>
      <c r="H705" s="92"/>
      <c r="I705" s="80"/>
      <c r="J705" s="93"/>
      <c r="K705" s="46"/>
      <c r="L705" s="76"/>
      <c r="M705" s="20"/>
      <c r="N705" s="20"/>
      <c r="O705" s="20"/>
      <c r="P705" s="20"/>
    </row>
    <row r="706">
      <c r="A706" s="110">
        <f>IFERROR(__xludf.DUMMYFUNCTION("""COMPUTED_VALUE"""),46201.0)</f>
        <v>46201</v>
      </c>
      <c r="B706" s="110" t="str">
        <f>IFERROR(__xludf.DUMMYFUNCTION("""COMPUTED_VALUE"""),"2606A165")</f>
        <v>2606A165</v>
      </c>
      <c r="C706" s="49" t="str">
        <f>IFERROR(__xludf.DUMMYFUNCTION("""COMPUTED_VALUE"""),"Andres")</f>
        <v>Andres</v>
      </c>
      <c r="D706" s="102" t="str">
        <f>IFERROR(__xludf.DUMMYFUNCTION("""COMPUTED_VALUE"""),"573002444692")</f>
        <v>573002444692</v>
      </c>
      <c r="E706" s="25" t="str">
        <f>IFERROR(__xludf.DUMMYFUNCTION("""COMPUTED_VALUE"""),"Lainnya")</f>
        <v>Lainnya</v>
      </c>
      <c r="F706" s="25" t="str">
        <f>IFERROR(__xludf.DUMMYFUNCTION("""COMPUTED_VALUE"""),"Gagal")</f>
        <v>Gagal</v>
      </c>
      <c r="G706" s="25" t="str">
        <f>IFERROR(__xludf.DUMMYFUNCTION("""COMPUTED_VALUE"""),"tumpak sewu, bromo, ijen crater")</f>
        <v>tumpak sewu, bromo, ijen crater</v>
      </c>
      <c r="H706" s="78"/>
      <c r="I706" s="89"/>
      <c r="J706" s="96"/>
      <c r="K706" s="30"/>
      <c r="L706" s="49"/>
      <c r="M706" s="20"/>
      <c r="N706" s="20"/>
      <c r="O706" s="20"/>
      <c r="P706" s="20"/>
    </row>
    <row r="707">
      <c r="A707" s="97">
        <f>IFERROR(__xludf.DUMMYFUNCTION("""COMPUTED_VALUE"""),46201.0)</f>
        <v>46201</v>
      </c>
      <c r="B707" s="97" t="str">
        <f>IFERROR(__xludf.DUMMYFUNCTION("""COMPUTED_VALUE"""),"2606A166")</f>
        <v>2606A166</v>
      </c>
      <c r="C707" s="76" t="str">
        <f>IFERROR(__xludf.DUMMYFUNCTION("""COMPUTED_VALUE"""),"Ananda Budimulia")</f>
        <v>Ananda Budimulia</v>
      </c>
      <c r="D707" s="99" t="str">
        <f>IFERROR(__xludf.DUMMYFUNCTION("""COMPUTED_VALUE"""),"0811179656")</f>
        <v>0811179656</v>
      </c>
      <c r="E707" s="25" t="str">
        <f>IFERROR(__xludf.DUMMYFUNCTION("""COMPUTED_VALUE"""),"Website")</f>
        <v>Website</v>
      </c>
      <c r="F707" s="25" t="str">
        <f>IFERROR(__xludf.DUMMYFUNCTION("""COMPUTED_VALUE"""),"Closing")</f>
        <v>Closing</v>
      </c>
      <c r="G707" s="25" t="str">
        <f>IFERROR(__xludf.DUMMYFUNCTION("""COMPUTED_VALUE"""),"private trip menjangan tabuhan")</f>
        <v>private trip menjangan tabuhan</v>
      </c>
      <c r="H707" s="16">
        <f>IFERROR(__xludf.DUMMYFUNCTION("""COMPUTED_VALUE"""),46202.0)</f>
        <v>46202</v>
      </c>
      <c r="I707" s="17">
        <f>IFERROR(__xludf.DUMMYFUNCTION("""COMPUTED_VALUE"""),5.0)</f>
        <v>5</v>
      </c>
      <c r="J707" s="54">
        <f>IFERROR(__xludf.DUMMYFUNCTION("""COMPUTED_VALUE"""),2300000.0)</f>
        <v>2300000</v>
      </c>
      <c r="K707" s="46"/>
      <c r="L707" s="76"/>
      <c r="M707" s="20"/>
      <c r="N707" s="20"/>
      <c r="O707" s="20"/>
      <c r="P707" s="20"/>
    </row>
    <row r="708">
      <c r="A708" s="110">
        <f>IFERROR(__xludf.DUMMYFUNCTION("""COMPUTED_VALUE"""),46201.0)</f>
        <v>46201</v>
      </c>
      <c r="B708" s="110" t="str">
        <f>IFERROR(__xludf.DUMMYFUNCTION("""COMPUTED_VALUE"""),"2606A167")</f>
        <v>2606A167</v>
      </c>
      <c r="C708" s="49" t="str">
        <f>IFERROR(__xludf.DUMMYFUNCTION("""COMPUTED_VALUE"""),"Maya Puspitasari")</f>
        <v>Maya Puspitasari</v>
      </c>
      <c r="D708" s="102" t="str">
        <f>IFERROR(__xludf.DUMMYFUNCTION("""COMPUTED_VALUE"""),"08111857666")</f>
        <v>08111857666</v>
      </c>
      <c r="E708" s="25" t="str">
        <f>IFERROR(__xludf.DUMMYFUNCTION("""COMPUTED_VALUE"""),"Instagram")</f>
        <v>Instagram</v>
      </c>
      <c r="F708" s="25" t="str">
        <f>IFERROR(__xludf.DUMMYFUNCTION("""COMPUTED_VALUE"""),"Closing")</f>
        <v>Closing</v>
      </c>
      <c r="G708" s="25" t="str">
        <f>IFERROR(__xludf.DUMMYFUNCTION("""COMPUTED_VALUE"""),"ot menjangan-tabuhan")</f>
        <v>ot menjangan-tabuhan</v>
      </c>
      <c r="H708" s="78">
        <f>IFERROR(__xludf.DUMMYFUNCTION("""COMPUTED_VALUE"""),46202.0)</f>
        <v>46202</v>
      </c>
      <c r="I708" s="89">
        <f>IFERROR(__xludf.DUMMYFUNCTION("""COMPUTED_VALUE"""),4.0)</f>
        <v>4</v>
      </c>
      <c r="J708" s="96">
        <f>IFERROR(__xludf.DUMMYFUNCTION("""COMPUTED_VALUE"""),1600000.0)</f>
        <v>1600000</v>
      </c>
      <c r="K708" s="30" t="str">
        <f>IFERROR(__xludf.DUMMYFUNCTION("""COMPUTED_VALUE"""),"alhamdulillah closing")</f>
        <v>alhamdulillah closing</v>
      </c>
      <c r="L708" s="49"/>
      <c r="M708" s="20"/>
      <c r="N708" s="20"/>
      <c r="O708" s="20"/>
      <c r="P708" s="20"/>
    </row>
    <row r="709">
      <c r="A709" s="97">
        <f>IFERROR(__xludf.DUMMYFUNCTION("""COMPUTED_VALUE"""),46201.0)</f>
        <v>46201</v>
      </c>
      <c r="B709" s="97" t="str">
        <f>IFERROR(__xludf.DUMMYFUNCTION("""COMPUTED_VALUE"""),"2606A168")</f>
        <v>2606A168</v>
      </c>
      <c r="C709" s="76" t="str">
        <f>IFERROR(__xludf.DUMMYFUNCTION("""COMPUTED_VALUE"""),"Eva Meutia")</f>
        <v>Eva Meutia</v>
      </c>
      <c r="D709" s="99" t="str">
        <f>IFERROR(__xludf.DUMMYFUNCTION("""COMPUTED_VALUE"""),"082298063585")</f>
        <v>082298063585</v>
      </c>
      <c r="E709" s="25" t="str">
        <f>IFERROR(__xludf.DUMMYFUNCTION("""COMPUTED_VALUE"""),"Website")</f>
        <v>Website</v>
      </c>
      <c r="F709" s="25" t="str">
        <f>IFERROR(__xludf.DUMMYFUNCTION("""COMPUTED_VALUE"""),"Leads Baru")</f>
        <v>Leads Baru</v>
      </c>
      <c r="G709" s="25" t="str">
        <f>IFERROR(__xludf.DUMMYFUNCTION("""COMPUTED_VALUE"""),"ot menjangan tabuhan")</f>
        <v>ot menjangan tabuhan</v>
      </c>
      <c r="H709" s="92"/>
      <c r="I709" s="80"/>
      <c r="J709" s="93"/>
      <c r="K709" s="46"/>
      <c r="L709" s="76"/>
      <c r="M709" s="20"/>
      <c r="N709" s="20"/>
      <c r="O709" s="20"/>
      <c r="P709" s="20"/>
    </row>
    <row r="710">
      <c r="A710" s="110">
        <f>IFERROR(__xludf.DUMMYFUNCTION("""COMPUTED_VALUE"""),46201.0)</f>
        <v>46201</v>
      </c>
      <c r="B710" s="110" t="str">
        <f>IFERROR(__xludf.DUMMYFUNCTION("""COMPUTED_VALUE"""),"2606A169")</f>
        <v>2606A169</v>
      </c>
      <c r="C710" s="49" t="str">
        <f>IFERROR(__xludf.DUMMYFUNCTION("""COMPUTED_VALUE"""),"Sebastien")</f>
        <v>Sebastien</v>
      </c>
      <c r="D710" s="102" t="str">
        <f>IFERROR(__xludf.DUMMYFUNCTION("""COMPUTED_VALUE"""),"33683796292")</f>
        <v>33683796292</v>
      </c>
      <c r="E710" s="25" t="str">
        <f>IFERROR(__xludf.DUMMYFUNCTION("""COMPUTED_VALUE"""),"Lainnya")</f>
        <v>Lainnya</v>
      </c>
      <c r="F710" s="25" t="str">
        <f>IFERROR(__xludf.DUMMYFUNCTION("""COMPUTED_VALUE"""),"Closing")</f>
        <v>Closing</v>
      </c>
      <c r="G710" s="25" t="str">
        <f>IFERROR(__xludf.DUMMYFUNCTION("""COMPUTED_VALUE"""),"alas purwo")</f>
        <v>alas purwo</v>
      </c>
      <c r="H710" s="78">
        <f>IFERROR(__xludf.DUMMYFUNCTION("""COMPUTED_VALUE"""),46205.0)</f>
        <v>46205</v>
      </c>
      <c r="I710" s="27">
        <f>IFERROR(__xludf.DUMMYFUNCTION("""COMPUTED_VALUE"""),1.0)</f>
        <v>1</v>
      </c>
      <c r="J710" s="96">
        <f>IFERROR(__xludf.DUMMYFUNCTION("""COMPUTED_VALUE"""),3200000.0)</f>
        <v>3200000</v>
      </c>
      <c r="K710" s="30"/>
      <c r="L710" s="49"/>
      <c r="M710" s="20"/>
      <c r="N710" s="20"/>
      <c r="O710" s="20"/>
      <c r="P710" s="20"/>
    </row>
    <row r="711">
      <c r="A711" s="97">
        <f>IFERROR(__xludf.DUMMYFUNCTION("""COMPUTED_VALUE"""),46201.0)</f>
        <v>46201</v>
      </c>
      <c r="B711" s="97" t="str">
        <f>IFERROR(__xludf.DUMMYFUNCTION("""COMPUTED_VALUE"""),"2606A170")</f>
        <v>2606A170</v>
      </c>
      <c r="C711" s="76" t="str">
        <f>IFERROR(__xludf.DUMMYFUNCTION("""COMPUTED_VALUE"""),"Imasyithah")</f>
        <v>Imasyithah</v>
      </c>
      <c r="D711" s="99" t="str">
        <f>IFERROR(__xludf.DUMMYFUNCTION("""COMPUTED_VALUE"""),"087743823003")</f>
        <v>087743823003</v>
      </c>
      <c r="E711" s="25" t="str">
        <f>IFERROR(__xludf.DUMMYFUNCTION("""COMPUTED_VALUE"""),"Website")</f>
        <v>Website</v>
      </c>
      <c r="F711" s="25" t="str">
        <f>IFERROR(__xludf.DUMMYFUNCTION("""COMPUTED_VALUE"""),"Closing")</f>
        <v>Closing</v>
      </c>
      <c r="G711" s="25" t="str">
        <f>IFERROR(__xludf.DUMMYFUNCTION("""COMPUTED_VALUE"""),"3h2m custom")</f>
        <v>3h2m custom</v>
      </c>
      <c r="H711" s="92"/>
      <c r="I711" s="80">
        <f>IFERROR(__xludf.DUMMYFUNCTION("""COMPUTED_VALUE"""),3.0)</f>
        <v>3</v>
      </c>
      <c r="J711" s="93"/>
      <c r="K711" s="46"/>
      <c r="L711" s="76"/>
      <c r="M711" s="20"/>
      <c r="N711" s="20"/>
      <c r="O711" s="20"/>
      <c r="P711" s="20"/>
    </row>
    <row r="712">
      <c r="A712" s="110">
        <f>IFERROR(__xludf.DUMMYFUNCTION("""COMPUTED_VALUE"""),46201.0)</f>
        <v>46201</v>
      </c>
      <c r="B712" s="110" t="str">
        <f>IFERROR(__xludf.DUMMYFUNCTION("""COMPUTED_VALUE"""),"2606A171")</f>
        <v>2606A171</v>
      </c>
      <c r="C712" s="49" t="str">
        <f>IFERROR(__xludf.DUMMYFUNCTION("""COMPUTED_VALUE"""),"Elfathir")</f>
        <v>Elfathir</v>
      </c>
      <c r="D712" s="102" t="str">
        <f>IFERROR(__xludf.DUMMYFUNCTION("""COMPUTED_VALUE"""),"087888173283")</f>
        <v>087888173283</v>
      </c>
      <c r="E712" s="25" t="str">
        <f>IFERROR(__xludf.DUMMYFUNCTION("""COMPUTED_VALUE"""),"Instagram")</f>
        <v>Instagram</v>
      </c>
      <c r="F712" s="25" t="str">
        <f>IFERROR(__xludf.DUMMYFUNCTION("""COMPUTED_VALUE"""),"Gagal")</f>
        <v>Gagal</v>
      </c>
      <c r="G712" s="25" t="str">
        <f>IFERROR(__xludf.DUMMYFUNCTION("""COMPUTED_VALUE"""),"3h2m")</f>
        <v>3h2m</v>
      </c>
      <c r="H712" s="92"/>
      <c r="I712" s="80">
        <f>IFERROR(__xludf.DUMMYFUNCTION("""COMPUTED_VALUE"""),4.0)</f>
        <v>4</v>
      </c>
      <c r="J712" s="96"/>
      <c r="K712" s="30" t="str">
        <f>IFERROR(__xludf.DUMMYFUNCTION("""COMPUTED_VALUE"""),"fullbooked")</f>
        <v>fullbooked</v>
      </c>
      <c r="L712" s="23"/>
      <c r="M712" s="20"/>
      <c r="N712" s="20"/>
      <c r="O712" s="20"/>
      <c r="P712" s="20"/>
    </row>
    <row r="713">
      <c r="A713" s="97">
        <f>IFERROR(__xludf.DUMMYFUNCTION("""COMPUTED_VALUE"""),46202.0)</f>
        <v>46202</v>
      </c>
      <c r="B713" s="97" t="str">
        <f>IFERROR(__xludf.DUMMYFUNCTION("""COMPUTED_VALUE"""),"2606A172")</f>
        <v>2606A172</v>
      </c>
      <c r="C713" s="76" t="str">
        <f>IFERROR(__xludf.DUMMYFUNCTION("""COMPUTED_VALUE"""),"Farhan")</f>
        <v>Farhan</v>
      </c>
      <c r="D713" s="99" t="str">
        <f>IFERROR(__xludf.DUMMYFUNCTION("""COMPUTED_VALUE"""),"085737678028")</f>
        <v>085737678028</v>
      </c>
      <c r="E713" s="25" t="str">
        <f>IFERROR(__xludf.DUMMYFUNCTION("""COMPUTED_VALUE"""),"Instagram")</f>
        <v>Instagram</v>
      </c>
      <c r="F713" s="25" t="str">
        <f>IFERROR(__xludf.DUMMYFUNCTION("""COMPUTED_VALUE"""),"Leads Baru")</f>
        <v>Leads Baru</v>
      </c>
      <c r="G713" s="25"/>
      <c r="H713" s="92"/>
      <c r="I713" s="80"/>
      <c r="J713" s="93"/>
      <c r="K713" s="46"/>
      <c r="L713" s="76"/>
      <c r="M713" s="20"/>
      <c r="N713" s="20"/>
      <c r="O713" s="20"/>
      <c r="P713" s="20"/>
    </row>
    <row r="714">
      <c r="A714" s="110">
        <f>IFERROR(__xludf.DUMMYFUNCTION("""COMPUTED_VALUE"""),46203.0)</f>
        <v>46203</v>
      </c>
      <c r="B714" s="135" t="str">
        <f>IFERROR(__xludf.DUMMYFUNCTION("""COMPUTED_VALUE"""),"2606A173")</f>
        <v>2606A173</v>
      </c>
      <c r="C714" s="49" t="str">
        <f>IFERROR(__xludf.DUMMYFUNCTION("""COMPUTED_VALUE"""),"Wiwien Arianti")</f>
        <v>Wiwien Arianti</v>
      </c>
      <c r="D714" s="102" t="str">
        <f>IFERROR(__xludf.DUMMYFUNCTION("""COMPUTED_VALUE"""),"0818483300")</f>
        <v>0818483300</v>
      </c>
      <c r="E714" s="25" t="str">
        <f>IFERROR(__xludf.DUMMYFUNCTION("""COMPUTED_VALUE"""),"Instagram")</f>
        <v>Instagram</v>
      </c>
      <c r="F714" s="25" t="str">
        <f>IFERROR(__xludf.DUMMYFUNCTION("""COMPUTED_VALUE"""),"Closing")</f>
        <v>Closing</v>
      </c>
      <c r="G714" s="25" t="str">
        <f>IFERROR(__xludf.DUMMYFUNCTION("""COMPUTED_VALUE"""),"otmt dan ijen")</f>
        <v>otmt dan ijen</v>
      </c>
      <c r="H714" s="26">
        <f>IFERROR(__xludf.DUMMYFUNCTION("""COMPUTED_VALUE"""),46204.0)</f>
        <v>46204</v>
      </c>
      <c r="I714" s="27">
        <f>IFERROR(__xludf.DUMMYFUNCTION("""COMPUTED_VALUE"""),7.0)</f>
        <v>7</v>
      </c>
      <c r="J714" s="33">
        <f>IFERROR(__xludf.DUMMYFUNCTION("""COMPUTED_VALUE"""),2800000.0)</f>
        <v>2800000</v>
      </c>
      <c r="K714" s="30" t="str">
        <f>IFERROR(__xludf.DUMMYFUNCTION("""COMPUTED_VALUE"""),"alhamdulillah closing")</f>
        <v>alhamdulillah closing</v>
      </c>
      <c r="L714" s="49"/>
      <c r="M714" s="20"/>
      <c r="N714" s="20"/>
      <c r="O714" s="20"/>
      <c r="P714" s="20"/>
    </row>
    <row r="715">
      <c r="A715" s="97">
        <f>IFERROR(__xludf.DUMMYFUNCTION("""COMPUTED_VALUE"""),46202.0)</f>
        <v>46202</v>
      </c>
      <c r="B715" s="97" t="str">
        <f>IFERROR(__xludf.DUMMYFUNCTION("""COMPUTED_VALUE"""),"2606A178")</f>
        <v>2606A178</v>
      </c>
      <c r="C715" s="76" t="str">
        <f>IFERROR(__xludf.DUMMYFUNCTION("""COMPUTED_VALUE"""),"Verry D Irianto")</f>
        <v>Verry D Irianto</v>
      </c>
      <c r="D715" s="99" t="str">
        <f>IFERROR(__xludf.DUMMYFUNCTION("""COMPUTED_VALUE"""),"082343696677")</f>
        <v>082343696677</v>
      </c>
      <c r="E715" s="25" t="str">
        <f>IFERROR(__xludf.DUMMYFUNCTION("""COMPUTED_VALUE"""),"Instagram")</f>
        <v>Instagram</v>
      </c>
      <c r="F715" s="25" t="str">
        <f>IFERROR(__xludf.DUMMYFUNCTION("""COMPUTED_VALUE"""),"Gagal")</f>
        <v>Gagal</v>
      </c>
      <c r="G715" s="25" t="str">
        <f>IFERROR(__xludf.DUMMYFUNCTION("""COMPUTED_VALUE"""),"ot menjangan tabuhan, private baluran")</f>
        <v>ot menjangan tabuhan, private baluran</v>
      </c>
      <c r="H715" s="92">
        <f>IFERROR(__xludf.DUMMYFUNCTION("""COMPUTED_VALUE"""),46208.0)</f>
        <v>46208</v>
      </c>
      <c r="I715" s="80"/>
      <c r="J715" s="93"/>
      <c r="K715" s="46" t="str">
        <f>IFERROR(__xludf.DUMMYFUNCTION("""COMPUTED_VALUE"""),"fullbooked")</f>
        <v>fullbooked</v>
      </c>
      <c r="L715" s="10"/>
      <c r="M715" s="20"/>
      <c r="N715" s="20"/>
      <c r="O715" s="20"/>
      <c r="P715" s="20"/>
    </row>
    <row r="716">
      <c r="A716" s="110">
        <f>IFERROR(__xludf.DUMMYFUNCTION("""COMPUTED_VALUE"""),46202.0)</f>
        <v>46202</v>
      </c>
      <c r="B716" s="110" t="str">
        <f>IFERROR(__xludf.DUMMYFUNCTION("""COMPUTED_VALUE"""),"2606A179")</f>
        <v>2606A179</v>
      </c>
      <c r="C716" s="49" t="str">
        <f>IFERROR(__xludf.DUMMYFUNCTION("""COMPUTED_VALUE"""),"Jessica")</f>
        <v>Jessica</v>
      </c>
      <c r="D716" s="102" t="str">
        <f>IFERROR(__xludf.DUMMYFUNCTION("""COMPUTED_VALUE"""),"082316352135")</f>
        <v>082316352135</v>
      </c>
      <c r="E716" s="25" t="str">
        <f>IFERROR(__xludf.DUMMYFUNCTION("""COMPUTED_VALUE"""),"Instagram")</f>
        <v>Instagram</v>
      </c>
      <c r="F716" s="25" t="str">
        <f>IFERROR(__xludf.DUMMYFUNCTION("""COMPUTED_VALUE"""),"Leads Baru")</f>
        <v>Leads Baru</v>
      </c>
      <c r="G716" s="25"/>
      <c r="H716" s="78"/>
      <c r="I716" s="89"/>
      <c r="J716" s="96"/>
      <c r="K716" s="30"/>
      <c r="L716" s="49"/>
      <c r="M716" s="20"/>
      <c r="N716" s="20"/>
      <c r="O716" s="20"/>
      <c r="P716" s="20"/>
    </row>
    <row r="717">
      <c r="A717" s="97">
        <f>IFERROR(__xludf.DUMMYFUNCTION("""COMPUTED_VALUE"""),46202.0)</f>
        <v>46202</v>
      </c>
      <c r="B717" s="97" t="str">
        <f>IFERROR(__xludf.DUMMYFUNCTION("""COMPUTED_VALUE"""),"2606A180")</f>
        <v>2606A180</v>
      </c>
      <c r="C717" s="76" t="str">
        <f>IFERROR(__xludf.DUMMYFUNCTION("""COMPUTED_VALUE"""),"Waaa")</f>
        <v>Waaa</v>
      </c>
      <c r="D717" s="99" t="str">
        <f>IFERROR(__xludf.DUMMYFUNCTION("""COMPUTED_VALUE"""),"082223083995")</f>
        <v>082223083995</v>
      </c>
      <c r="E717" s="25" t="str">
        <f>IFERROR(__xludf.DUMMYFUNCTION("""COMPUTED_VALUE"""),"Instagram")</f>
        <v>Instagram</v>
      </c>
      <c r="F717" s="25" t="str">
        <f>IFERROR(__xludf.DUMMYFUNCTION("""COMPUTED_VALUE"""),"Leads Baru")</f>
        <v>Leads Baru</v>
      </c>
      <c r="G717" s="25"/>
      <c r="H717" s="92"/>
      <c r="I717" s="80"/>
      <c r="J717" s="54"/>
      <c r="K717" s="46"/>
      <c r="L717" s="76"/>
      <c r="M717" s="20"/>
      <c r="N717" s="20"/>
      <c r="O717" s="20"/>
      <c r="P717" s="20"/>
    </row>
    <row r="718">
      <c r="A718" s="110">
        <f>IFERROR(__xludf.DUMMYFUNCTION("""COMPUTED_VALUE"""),46202.0)</f>
        <v>46202</v>
      </c>
      <c r="B718" s="110" t="str">
        <f>IFERROR(__xludf.DUMMYFUNCTION("""COMPUTED_VALUE"""),"2606A181")</f>
        <v>2606A181</v>
      </c>
      <c r="C718" s="49" t="str">
        <f>IFERROR(__xludf.DUMMYFUNCTION("""COMPUTED_VALUE"""),"AH")</f>
        <v>AH</v>
      </c>
      <c r="D718" s="102" t="str">
        <f>IFERROR(__xludf.DUMMYFUNCTION("""COMPUTED_VALUE"""),"089669687979")</f>
        <v>089669687979</v>
      </c>
      <c r="E718" s="25" t="str">
        <f>IFERROR(__xludf.DUMMYFUNCTION("""COMPUTED_VALUE"""),"Instagram")</f>
        <v>Instagram</v>
      </c>
      <c r="F718" s="25" t="str">
        <f>IFERROR(__xludf.DUMMYFUNCTION("""COMPUTED_VALUE"""),"Leads Baru")</f>
        <v>Leads Baru</v>
      </c>
      <c r="G718" s="25" t="str">
        <f>IFERROR(__xludf.DUMMYFUNCTION("""COMPUTED_VALUE"""),"2H1M")</f>
        <v>2H1M</v>
      </c>
      <c r="H718" s="78"/>
      <c r="I718" s="89"/>
      <c r="J718" s="96"/>
      <c r="K718" s="30"/>
      <c r="L718" s="49"/>
      <c r="M718" s="20"/>
      <c r="N718" s="20"/>
      <c r="O718" s="20"/>
      <c r="P718" s="20"/>
    </row>
    <row r="719">
      <c r="A719" s="97">
        <f>IFERROR(__xludf.DUMMYFUNCTION("""COMPUTED_VALUE"""),46203.0)</f>
        <v>46203</v>
      </c>
      <c r="B719" s="110" t="str">
        <f>IFERROR(__xludf.DUMMYFUNCTION("""COMPUTED_VALUE"""),"2606A182")</f>
        <v>2606A182</v>
      </c>
      <c r="C719" s="76" t="str">
        <f>IFERROR(__xludf.DUMMYFUNCTION("""COMPUTED_VALUE"""),"Irmayani")</f>
        <v>Irmayani</v>
      </c>
      <c r="D719" s="99" t="str">
        <f>IFERROR(__xludf.DUMMYFUNCTION("""COMPUTED_VALUE"""),"082218341333")</f>
        <v>082218341333</v>
      </c>
      <c r="E719" s="25" t="str">
        <f>IFERROR(__xludf.DUMMYFUNCTION("""COMPUTED_VALUE"""),"Instagram")</f>
        <v>Instagram</v>
      </c>
      <c r="F719" s="25" t="str">
        <f>IFERROR(__xludf.DUMMYFUNCTION("""COMPUTED_VALUE"""),"Leads Baru")</f>
        <v>Leads Baru</v>
      </c>
      <c r="G719" s="25" t="str">
        <f>IFERROR(__xludf.DUMMYFUNCTION("""COMPUTED_VALUE"""),"green island, tabuhan, menjangan")</f>
        <v>green island, tabuhan, menjangan</v>
      </c>
      <c r="H719" s="92"/>
      <c r="I719" s="80"/>
      <c r="J719" s="93"/>
      <c r="K719" s="46"/>
      <c r="L719" s="76"/>
      <c r="M719" s="20"/>
      <c r="N719" s="20"/>
      <c r="O719" s="20"/>
      <c r="P719" s="20"/>
    </row>
    <row r="720">
      <c r="A720" s="110">
        <f>IFERROR(__xludf.DUMMYFUNCTION("""COMPUTED_VALUE"""),46203.0)</f>
        <v>46203</v>
      </c>
      <c r="B720" s="110" t="str">
        <f>IFERROR(__xludf.DUMMYFUNCTION("""COMPUTED_VALUE"""),"2606A183")</f>
        <v>2606A183</v>
      </c>
      <c r="C720" s="49" t="str">
        <f>IFERROR(__xludf.DUMMYFUNCTION("""COMPUTED_VALUE"""),"Rosmalia")</f>
        <v>Rosmalia</v>
      </c>
      <c r="D720" s="102" t="str">
        <f>IFERROR(__xludf.DUMMYFUNCTION("""COMPUTED_VALUE"""),"08158102702")</f>
        <v>08158102702</v>
      </c>
      <c r="E720" s="25" t="str">
        <f>IFERROR(__xludf.DUMMYFUNCTION("""COMPUTED_VALUE"""),"Instagram")</f>
        <v>Instagram</v>
      </c>
      <c r="F720" s="25" t="str">
        <f>IFERROR(__xludf.DUMMYFUNCTION("""COMPUTED_VALUE"""),"Leads Baru")</f>
        <v>Leads Baru</v>
      </c>
      <c r="G720" s="25" t="str">
        <f>IFERROR(__xludf.DUMMYFUNCTION("""COMPUTED_VALUE"""),"ot 3h2m")</f>
        <v>ot 3h2m</v>
      </c>
      <c r="H720" s="78"/>
      <c r="I720" s="89"/>
      <c r="J720" s="96"/>
      <c r="K720" s="30"/>
      <c r="L720" s="49"/>
      <c r="M720" s="20"/>
      <c r="N720" s="20"/>
      <c r="O720" s="20"/>
      <c r="P720" s="20"/>
    </row>
    <row r="721">
      <c r="A721" s="97">
        <f>IFERROR(__xludf.DUMMYFUNCTION("""COMPUTED_VALUE"""),46203.0)</f>
        <v>46203</v>
      </c>
      <c r="B721" s="97" t="str">
        <f>IFERROR(__xludf.DUMMYFUNCTION("""COMPUTED_VALUE"""),"2606A184")</f>
        <v>2606A184</v>
      </c>
      <c r="C721" s="76" t="str">
        <f>IFERROR(__xludf.DUMMYFUNCTION("""COMPUTED_VALUE"""),"Ruth Velani")</f>
        <v>Ruth Velani</v>
      </c>
      <c r="D721" s="99" t="str">
        <f>IFERROR(__xludf.DUMMYFUNCTION("""COMPUTED_VALUE"""),"08121582928")</f>
        <v>08121582928</v>
      </c>
      <c r="E721" s="25" t="str">
        <f>IFERROR(__xludf.DUMMYFUNCTION("""COMPUTED_VALUE"""),"Instagram")</f>
        <v>Instagram</v>
      </c>
      <c r="F721" s="25" t="str">
        <f>IFERROR(__xludf.DUMMYFUNCTION("""COMPUTED_VALUE"""),"Leads Baru")</f>
        <v>Leads Baru</v>
      </c>
      <c r="G721" s="25" t="str">
        <f>IFERROR(__xludf.DUMMYFUNCTION("""COMPUTED_VALUE"""),"2h1m")</f>
        <v>2h1m</v>
      </c>
      <c r="H721" s="92"/>
      <c r="I721" s="80"/>
      <c r="J721" s="93"/>
      <c r="K721" s="46"/>
      <c r="L721" s="10"/>
      <c r="M721" s="20"/>
      <c r="N721" s="20"/>
      <c r="O721" s="20"/>
      <c r="P721" s="20"/>
    </row>
    <row r="722">
      <c r="A722" s="110">
        <f>IFERROR(__xludf.DUMMYFUNCTION("""COMPUTED_VALUE"""),46203.0)</f>
        <v>46203</v>
      </c>
      <c r="B722" s="110" t="str">
        <f>IFERROR(__xludf.DUMMYFUNCTION("""COMPUTED_VALUE"""),"2606A185")</f>
        <v>2606A185</v>
      </c>
      <c r="C722" s="49" t="str">
        <f>IFERROR(__xludf.DUMMYFUNCTION("""COMPUTED_VALUE"""),"Oktii Sahwati")</f>
        <v>Oktii Sahwati</v>
      </c>
      <c r="D722" s="102" t="str">
        <f>IFERROR(__xludf.DUMMYFUNCTION("""COMPUTED_VALUE"""),"082314162612")</f>
        <v>082314162612</v>
      </c>
      <c r="E722" s="25" t="str">
        <f>IFERROR(__xludf.DUMMYFUNCTION("""COMPUTED_VALUE"""),"Instagram")</f>
        <v>Instagram</v>
      </c>
      <c r="F722" s="25" t="str">
        <f>IFERROR(__xludf.DUMMYFUNCTION("""COMPUTED_VALUE"""),"Leads Baru")</f>
        <v>Leads Baru</v>
      </c>
      <c r="G722" s="25" t="str">
        <f>IFERROR(__xludf.DUMMYFUNCTION("""COMPUTED_VALUE"""),"ot mt")</f>
        <v>ot mt</v>
      </c>
      <c r="H722" s="78"/>
      <c r="I722" s="89"/>
      <c r="J722" s="96"/>
      <c r="K722" s="30"/>
      <c r="L722" s="23"/>
      <c r="M722" s="20"/>
      <c r="N722" s="20"/>
      <c r="O722" s="20"/>
      <c r="P722" s="20"/>
    </row>
    <row r="723">
      <c r="A723" s="97">
        <f>IFERROR(__xludf.DUMMYFUNCTION("""COMPUTED_VALUE"""),46203.0)</f>
        <v>46203</v>
      </c>
      <c r="B723" s="97" t="str">
        <f>IFERROR(__xludf.DUMMYFUNCTION("""COMPUTED_VALUE"""),"2606A186")</f>
        <v>2606A186</v>
      </c>
      <c r="C723" s="76" t="str">
        <f>IFERROR(__xludf.DUMMYFUNCTION("""COMPUTED_VALUE"""),"Arief Cahyadi")</f>
        <v>Arief Cahyadi</v>
      </c>
      <c r="D723" s="99" t="str">
        <f>IFERROR(__xludf.DUMMYFUNCTION("""COMPUTED_VALUE"""),"081381620825")</f>
        <v>081381620825</v>
      </c>
      <c r="E723" s="25" t="str">
        <f>IFERROR(__xludf.DUMMYFUNCTION("""COMPUTED_VALUE"""),"Instagram")</f>
        <v>Instagram</v>
      </c>
      <c r="F723" s="25" t="str">
        <f>IFERROR(__xludf.DUMMYFUNCTION("""COMPUTED_VALUE"""),"Leads Baru")</f>
        <v>Leads Baru</v>
      </c>
      <c r="G723" s="25"/>
      <c r="H723" s="92"/>
      <c r="I723" s="80"/>
      <c r="J723" s="129"/>
      <c r="K723" s="19"/>
      <c r="L723" s="10"/>
      <c r="M723" s="20"/>
      <c r="N723" s="20"/>
      <c r="O723" s="20"/>
      <c r="P723" s="20"/>
    </row>
    <row r="724">
      <c r="A724" s="110">
        <f>IFERROR(__xludf.DUMMYFUNCTION("""COMPUTED_VALUE"""),46203.0)</f>
        <v>46203</v>
      </c>
      <c r="B724" s="110" t="str">
        <f>IFERROR(__xludf.DUMMYFUNCTION("""COMPUTED_VALUE"""),"2606A187")</f>
        <v>2606A187</v>
      </c>
      <c r="C724" s="49" t="str">
        <f>IFERROR(__xludf.DUMMYFUNCTION("""COMPUTED_VALUE"""),"Maurilla S Imron")</f>
        <v>Maurilla S Imron</v>
      </c>
      <c r="D724" s="102" t="str">
        <f>IFERROR(__xludf.DUMMYFUNCTION("""COMPUTED_VALUE"""),"31616653777")</f>
        <v>31616653777</v>
      </c>
      <c r="E724" s="25" t="str">
        <f>IFERROR(__xludf.DUMMYFUNCTION("""COMPUTED_VALUE"""),"Instagram")</f>
        <v>Instagram</v>
      </c>
      <c r="F724" s="25" t="str">
        <f>IFERROR(__xludf.DUMMYFUNCTION("""COMPUTED_VALUE"""),"Leads Baru")</f>
        <v>Leads Baru</v>
      </c>
      <c r="G724" s="25" t="str">
        <f>IFERROR(__xludf.DUMMYFUNCTION("""COMPUTED_VALUE"""),"trip green island")</f>
        <v>trip green island</v>
      </c>
      <c r="H724" s="78"/>
      <c r="I724" s="89"/>
      <c r="J724" s="96"/>
      <c r="K724" s="36"/>
      <c r="L724" s="49"/>
      <c r="M724" s="20"/>
      <c r="N724" s="20"/>
      <c r="O724" s="20"/>
      <c r="P724" s="20"/>
    </row>
    <row r="725">
      <c r="A725" s="97">
        <f>IFERROR(__xludf.DUMMYFUNCTION("""COMPUTED_VALUE"""),46203.0)</f>
        <v>46203</v>
      </c>
      <c r="B725" s="97" t="str">
        <f>IFERROR(__xludf.DUMMYFUNCTION("""COMPUTED_VALUE"""),"2606A188")</f>
        <v>2606A188</v>
      </c>
      <c r="C725" s="76" t="str">
        <f>IFERROR(__xludf.DUMMYFUNCTION("""COMPUTED_VALUE"""),"Defi")</f>
        <v>Defi</v>
      </c>
      <c r="D725" s="99" t="str">
        <f>IFERROR(__xludf.DUMMYFUNCTION("""COMPUTED_VALUE"""),"081369148426")</f>
        <v>081369148426</v>
      </c>
      <c r="E725" s="25" t="str">
        <f>IFERROR(__xludf.DUMMYFUNCTION("""COMPUTED_VALUE"""),"Instagram")</f>
        <v>Instagram</v>
      </c>
      <c r="F725" s="25" t="str">
        <f>IFERROR(__xludf.DUMMYFUNCTION("""COMPUTED_VALUE"""),"Leads Baru")</f>
        <v>Leads Baru</v>
      </c>
      <c r="G725" s="25" t="str">
        <f>IFERROR(__xludf.DUMMYFUNCTION("""COMPUTED_VALUE"""),"ot 3h2m")</f>
        <v>ot 3h2m</v>
      </c>
      <c r="H725" s="92"/>
      <c r="I725" s="80">
        <f>IFERROR(__xludf.DUMMYFUNCTION("""COMPUTED_VALUE"""),2.0)</f>
        <v>2</v>
      </c>
      <c r="J725" s="93"/>
      <c r="K725" s="46"/>
      <c r="L725" s="76"/>
      <c r="M725" s="20"/>
      <c r="N725" s="20"/>
      <c r="O725" s="20"/>
      <c r="P725" s="20"/>
    </row>
    <row r="726">
      <c r="A726" s="110">
        <f>IFERROR(__xludf.DUMMYFUNCTION("""COMPUTED_VALUE"""),46203.0)</f>
        <v>46203</v>
      </c>
      <c r="B726" s="110" t="str">
        <f>IFERROR(__xludf.DUMMYFUNCTION("""COMPUTED_VALUE"""),"2606A189")</f>
        <v>2606A189</v>
      </c>
      <c r="C726" s="49" t="str">
        <f>IFERROR(__xludf.DUMMYFUNCTION("""COMPUTED_VALUE"""),"Rheina")</f>
        <v>Rheina</v>
      </c>
      <c r="D726" s="102" t="str">
        <f>IFERROR(__xludf.DUMMYFUNCTION("""COMPUTED_VALUE"""),"087878473633")</f>
        <v>087878473633</v>
      </c>
      <c r="E726" s="25" t="str">
        <f>IFERROR(__xludf.DUMMYFUNCTION("""COMPUTED_VALUE"""),"Instagram")</f>
        <v>Instagram</v>
      </c>
      <c r="F726" s="25" t="str">
        <f>IFERROR(__xludf.DUMMYFUNCTION("""COMPUTED_VALUE"""),"Qualified")</f>
        <v>Qualified</v>
      </c>
      <c r="G726" s="25" t="str">
        <f>IFERROR(__xludf.DUMMYFUNCTION("""COMPUTED_VALUE"""),"ot 3h2m")</f>
        <v>ot 3h2m</v>
      </c>
      <c r="H726" s="78"/>
      <c r="I726" s="89">
        <f>IFERROR(__xludf.DUMMYFUNCTION("""COMPUTED_VALUE"""),5.0)</f>
        <v>5</v>
      </c>
      <c r="J726" s="96"/>
      <c r="K726" s="30"/>
      <c r="L726" s="49"/>
      <c r="M726" s="20"/>
      <c r="N726" s="20"/>
      <c r="O726" s="20"/>
      <c r="P726" s="20"/>
    </row>
    <row r="727">
      <c r="A727" s="97">
        <f>IFERROR(__xludf.DUMMYFUNCTION("""COMPUTED_VALUE"""),46202.0)</f>
        <v>46202</v>
      </c>
      <c r="B727" s="97" t="str">
        <f>IFERROR(__xludf.DUMMYFUNCTION("""COMPUTED_VALUE"""),"2606A190")</f>
        <v>2606A190</v>
      </c>
      <c r="C727" s="76" t="str">
        <f>IFERROR(__xludf.DUMMYFUNCTION("""COMPUTED_VALUE"""),"Furi")</f>
        <v>Furi</v>
      </c>
      <c r="D727" s="99" t="str">
        <f>IFERROR(__xludf.DUMMYFUNCTION("""COMPUTED_VALUE"""),"085692605967")</f>
        <v>085692605967</v>
      </c>
      <c r="E727" s="25" t="str">
        <f>IFERROR(__xludf.DUMMYFUNCTION("""COMPUTED_VALUE"""),"Lainnya")</f>
        <v>Lainnya</v>
      </c>
      <c r="F727" s="25" t="str">
        <f>IFERROR(__xludf.DUMMYFUNCTION("""COMPUTED_VALUE"""),"Gagal")</f>
        <v>Gagal</v>
      </c>
      <c r="G727" s="25" t="str">
        <f>IFERROR(__xludf.DUMMYFUNCTION("""COMPUTED_VALUE"""),"Green island")</f>
        <v>Green island</v>
      </c>
      <c r="H727" s="92"/>
      <c r="I727" s="80"/>
      <c r="J727" s="93"/>
      <c r="K727" s="46"/>
      <c r="L727" s="76"/>
      <c r="M727" s="20"/>
      <c r="N727" s="20"/>
      <c r="O727" s="20"/>
      <c r="P727" s="20"/>
    </row>
    <row r="728">
      <c r="A728" s="110">
        <f>IFERROR(__xludf.DUMMYFUNCTION("""COMPUTED_VALUE"""),46202.0)</f>
        <v>46202</v>
      </c>
      <c r="B728" s="110" t="str">
        <f>IFERROR(__xludf.DUMMYFUNCTION("""COMPUTED_VALUE"""),"2606A191")</f>
        <v>2606A191</v>
      </c>
      <c r="C728" s="49" t="str">
        <f>IFERROR(__xludf.DUMMYFUNCTION("""COMPUTED_VALUE"""),"Nicolas Viondra")</f>
        <v>Nicolas Viondra</v>
      </c>
      <c r="D728" s="102" t="str">
        <f>IFERROR(__xludf.DUMMYFUNCTION("""COMPUTED_VALUE"""),"087841507976")</f>
        <v>087841507976</v>
      </c>
      <c r="E728" s="25" t="str">
        <f>IFERROR(__xludf.DUMMYFUNCTION("""COMPUTED_VALUE"""),"Lainnya")</f>
        <v>Lainnya</v>
      </c>
      <c r="F728" s="25" t="str">
        <f>IFERROR(__xludf.DUMMYFUNCTION("""COMPUTED_VALUE"""),"Leads Baru")</f>
        <v>Leads Baru</v>
      </c>
      <c r="G728" s="25" t="str">
        <f>IFERROR(__xludf.DUMMYFUNCTION("""COMPUTED_VALUE"""),"kawah wurung")</f>
        <v>kawah wurung</v>
      </c>
      <c r="H728" s="26"/>
      <c r="I728" s="27"/>
      <c r="J728" s="33"/>
      <c r="K728" s="30"/>
      <c r="L728" s="49"/>
      <c r="M728" s="20"/>
      <c r="N728" s="20"/>
      <c r="O728" s="20"/>
      <c r="P728" s="20"/>
    </row>
    <row r="729">
      <c r="A729" s="97">
        <f>IFERROR(__xludf.DUMMYFUNCTION("""COMPUTED_VALUE"""),46203.0)</f>
        <v>46203</v>
      </c>
      <c r="B729" s="97" t="str">
        <f>IFERROR(__xludf.DUMMYFUNCTION("""COMPUTED_VALUE"""),"2606A192")</f>
        <v>2606A192</v>
      </c>
      <c r="C729" s="76" t="str">
        <f>IFERROR(__xludf.DUMMYFUNCTION("""COMPUTED_VALUE"""),"Tania")</f>
        <v>Tania</v>
      </c>
      <c r="D729" s="99" t="str">
        <f>IFERROR(__xludf.DUMMYFUNCTION("""COMPUTED_VALUE"""),"081246383680")</f>
        <v>081246383680</v>
      </c>
      <c r="E729" s="25" t="str">
        <f>IFERROR(__xludf.DUMMYFUNCTION("""COMPUTED_VALUE"""),"Instagram")</f>
        <v>Instagram</v>
      </c>
      <c r="F729" s="25" t="str">
        <f>IFERROR(__xludf.DUMMYFUNCTION("""COMPUTED_VALUE"""),"Leads Baru")</f>
        <v>Leads Baru</v>
      </c>
      <c r="G729" s="25" t="str">
        <f>IFERROR(__xludf.DUMMYFUNCTION("""COMPUTED_VALUE"""),"kawah ijen, baluran")</f>
        <v>kawah ijen, baluran</v>
      </c>
      <c r="H729" s="92"/>
      <c r="I729" s="80"/>
      <c r="J729" s="93"/>
      <c r="K729" s="46"/>
      <c r="L729" s="76"/>
      <c r="M729" s="20"/>
      <c r="N729" s="20"/>
      <c r="O729" s="20"/>
      <c r="P729" s="20"/>
    </row>
    <row r="730">
      <c r="A730" s="110">
        <f>IFERROR(__xludf.DUMMYFUNCTION("""COMPUTED_VALUE"""),46204.0)</f>
        <v>46204</v>
      </c>
      <c r="B730" s="110" t="str">
        <f>IFERROR(__xludf.DUMMYFUNCTION("""COMPUTED_VALUE"""),"2607A001")</f>
        <v>2607A001</v>
      </c>
      <c r="C730" s="49" t="str">
        <f>IFERROR(__xludf.DUMMYFUNCTION("""COMPUTED_VALUE"""),"Kurnia")</f>
        <v>Kurnia</v>
      </c>
      <c r="D730" s="102" t="str">
        <f>IFERROR(__xludf.DUMMYFUNCTION("""COMPUTED_VALUE"""),"08995212646")</f>
        <v>08995212646</v>
      </c>
      <c r="E730" s="25" t="str">
        <f>IFERROR(__xludf.DUMMYFUNCTION("""COMPUTED_VALUE"""),"Instagram")</f>
        <v>Instagram</v>
      </c>
      <c r="F730" s="25" t="str">
        <f>IFERROR(__xludf.DUMMYFUNCTION("""COMPUTED_VALUE"""),"Leads Baru")</f>
        <v>Leads Baru</v>
      </c>
      <c r="G730" s="25" t="str">
        <f>IFERROR(__xludf.DUMMYFUNCTION("""COMPUTED_VALUE"""),"ot menjangan tabuhan")</f>
        <v>ot menjangan tabuhan</v>
      </c>
      <c r="H730" s="78"/>
      <c r="I730" s="89"/>
      <c r="J730" s="96"/>
      <c r="K730" s="30"/>
      <c r="L730" s="49"/>
      <c r="M730" s="20"/>
      <c r="N730" s="20"/>
      <c r="O730" s="20"/>
      <c r="P730" s="20"/>
    </row>
    <row r="731">
      <c r="A731" s="97">
        <f>IFERROR(__xludf.DUMMYFUNCTION("""COMPUTED_VALUE"""),46204.0)</f>
        <v>46204</v>
      </c>
      <c r="B731" s="97" t="str">
        <f>IFERROR(__xludf.DUMMYFUNCTION("""COMPUTED_VALUE"""),"2607A002")</f>
        <v>2607A002</v>
      </c>
      <c r="C731" s="76" t="str">
        <f>IFERROR(__xludf.DUMMYFUNCTION("""COMPUTED_VALUE"""),"Ryo")</f>
        <v>Ryo</v>
      </c>
      <c r="D731" s="99" t="str">
        <f>IFERROR(__xludf.DUMMYFUNCTION("""COMPUTED_VALUE"""),"081285321367")</f>
        <v>081285321367</v>
      </c>
      <c r="E731" s="25" t="str">
        <f>IFERROR(__xludf.DUMMYFUNCTION("""COMPUTED_VALUE"""),"Website")</f>
        <v>Website</v>
      </c>
      <c r="F731" s="25" t="str">
        <f>IFERROR(__xludf.DUMMYFUNCTION("""COMPUTED_VALUE"""),"Leads Baru")</f>
        <v>Leads Baru</v>
      </c>
      <c r="G731" s="25" t="str">
        <f>IFERROR(__xludf.DUMMYFUNCTION("""COMPUTED_VALUE"""),"ot 3h2m")</f>
        <v>ot 3h2m</v>
      </c>
      <c r="H731" s="92"/>
      <c r="I731" s="80"/>
      <c r="J731" s="54"/>
      <c r="K731" s="46"/>
      <c r="L731" s="76"/>
      <c r="M731" s="20"/>
      <c r="N731" s="20"/>
      <c r="O731" s="20"/>
      <c r="P731" s="20"/>
    </row>
    <row r="732">
      <c r="A732" s="110">
        <f>IFERROR(__xludf.DUMMYFUNCTION("""COMPUTED_VALUE"""),46204.0)</f>
        <v>46204</v>
      </c>
      <c r="B732" s="110" t="str">
        <f>IFERROR(__xludf.DUMMYFUNCTION("""COMPUTED_VALUE"""),"2607A003")</f>
        <v>2607A003</v>
      </c>
      <c r="C732" s="49" t="str">
        <f>IFERROR(__xludf.DUMMYFUNCTION("""COMPUTED_VALUE"""),"Azwa")</f>
        <v>Azwa</v>
      </c>
      <c r="D732" s="102" t="str">
        <f>IFERROR(__xludf.DUMMYFUNCTION("""COMPUTED_VALUE"""),"085100655098")</f>
        <v>085100655098</v>
      </c>
      <c r="E732" s="25" t="str">
        <f>IFERROR(__xludf.DUMMYFUNCTION("""COMPUTED_VALUE"""),"Website")</f>
        <v>Website</v>
      </c>
      <c r="F732" s="25" t="str">
        <f>IFERROR(__xludf.DUMMYFUNCTION("""COMPUTED_VALUE"""),"Leads Baru")</f>
        <v>Leads Baru</v>
      </c>
      <c r="G732" s="25"/>
      <c r="H732" s="26"/>
      <c r="I732" s="27"/>
      <c r="J732" s="33"/>
      <c r="K732" s="30"/>
      <c r="L732" s="49"/>
      <c r="M732" s="20"/>
      <c r="N732" s="20"/>
      <c r="O732" s="20"/>
      <c r="P732" s="20"/>
    </row>
    <row r="733">
      <c r="A733" s="97">
        <f>IFERROR(__xludf.DUMMYFUNCTION("""COMPUTED_VALUE"""),46204.0)</f>
        <v>46204</v>
      </c>
      <c r="B733" s="97" t="str">
        <f>IFERROR(__xludf.DUMMYFUNCTION("""COMPUTED_VALUE"""),"2607A004")</f>
        <v>2607A004</v>
      </c>
      <c r="C733" s="76" t="str">
        <f>IFERROR(__xludf.DUMMYFUNCTION("""COMPUTED_VALUE"""),"Slamet Wardoyo")</f>
        <v>Slamet Wardoyo</v>
      </c>
      <c r="D733" s="99" t="str">
        <f>IFERROR(__xludf.DUMMYFUNCTION("""COMPUTED_VALUE"""),"08111526846")</f>
        <v>08111526846</v>
      </c>
      <c r="E733" s="25" t="str">
        <f>IFERROR(__xludf.DUMMYFUNCTION("""COMPUTED_VALUE"""),"Website")</f>
        <v>Website</v>
      </c>
      <c r="F733" s="25" t="str">
        <f>IFERROR(__xludf.DUMMYFUNCTION("""COMPUTED_VALUE"""),"Leads Baru")</f>
        <v>Leads Baru</v>
      </c>
      <c r="G733" s="25" t="str">
        <f>IFERROR(__xludf.DUMMYFUNCTION("""COMPUTED_VALUE"""),"menjangan")</f>
        <v>menjangan</v>
      </c>
      <c r="H733" s="92"/>
      <c r="I733" s="80"/>
      <c r="J733" s="54"/>
      <c r="K733" s="46"/>
      <c r="L733" s="76"/>
      <c r="M733" s="20"/>
      <c r="N733" s="20"/>
      <c r="O733" s="20"/>
      <c r="P733" s="20"/>
    </row>
    <row r="734">
      <c r="A734" s="110">
        <f>IFERROR(__xludf.DUMMYFUNCTION("""COMPUTED_VALUE"""),46204.0)</f>
        <v>46204</v>
      </c>
      <c r="B734" s="110" t="str">
        <f>IFERROR(__xludf.DUMMYFUNCTION("""COMPUTED_VALUE"""),"2607A005")</f>
        <v>2607A005</v>
      </c>
      <c r="C734" s="49" t="str">
        <f>IFERROR(__xludf.DUMMYFUNCTION("""COMPUTED_VALUE"""),"Cucu Nabi")</f>
        <v>Cucu Nabi</v>
      </c>
      <c r="D734" s="102" t="str">
        <f>IFERROR(__xludf.DUMMYFUNCTION("""COMPUTED_VALUE"""),"082236936558")</f>
        <v>082236936558</v>
      </c>
      <c r="E734" s="25" t="str">
        <f>IFERROR(__xludf.DUMMYFUNCTION("""COMPUTED_VALUE"""),"Instagram")</f>
        <v>Instagram</v>
      </c>
      <c r="F734" s="25" t="str">
        <f>IFERROR(__xludf.DUMMYFUNCTION("""COMPUTED_VALUE"""),"Leads Baru")</f>
        <v>Leads Baru</v>
      </c>
      <c r="G734" s="25" t="str">
        <f>IFERROR(__xludf.DUMMYFUNCTION("""COMPUTED_VALUE"""),"ot kawah ijen, p bedil")</f>
        <v>ot kawah ijen, p bedil</v>
      </c>
      <c r="H734" s="78"/>
      <c r="I734" s="89"/>
      <c r="J734" s="96"/>
      <c r="K734" s="30"/>
      <c r="L734" s="49"/>
      <c r="M734" s="20"/>
      <c r="N734" s="20"/>
      <c r="O734" s="20"/>
      <c r="P734" s="20"/>
    </row>
    <row r="735">
      <c r="A735" s="97">
        <f>IFERROR(__xludf.DUMMYFUNCTION("""COMPUTED_VALUE"""),46202.0)</f>
        <v>46202</v>
      </c>
      <c r="B735" s="97" t="str">
        <f>IFERROR(__xludf.DUMMYFUNCTION("""COMPUTED_VALUE"""),"2607A006")</f>
        <v>2607A006</v>
      </c>
      <c r="C735" s="76" t="str">
        <f>IFERROR(__xludf.DUMMYFUNCTION("""COMPUTED_VALUE"""),"Ana CC Ari")</f>
        <v>Ana CC Ari</v>
      </c>
      <c r="D735" s="99" t="str">
        <f>IFERROR(__xludf.DUMMYFUNCTION("""COMPUTED_VALUE"""),"081338720600")</f>
        <v>081338720600</v>
      </c>
      <c r="E735" s="25" t="str">
        <f>IFERROR(__xludf.DUMMYFUNCTION("""COMPUTED_VALUE"""),"Instagram")</f>
        <v>Instagram</v>
      </c>
      <c r="F735" s="25" t="str">
        <f>IFERROR(__xludf.DUMMYFUNCTION("""COMPUTED_VALUE"""),"Leads Baru")</f>
        <v>Leads Baru</v>
      </c>
      <c r="G735" s="25" t="str">
        <f>IFERROR(__xludf.DUMMYFUNCTION("""COMPUTED_VALUE"""),"3h2m")</f>
        <v>3h2m</v>
      </c>
      <c r="H735" s="92"/>
      <c r="I735" s="80">
        <f>IFERROR(__xludf.DUMMYFUNCTION("""COMPUTED_VALUE"""),2.0)</f>
        <v>2</v>
      </c>
      <c r="J735" s="93"/>
      <c r="K735" s="46"/>
      <c r="L735" s="76"/>
      <c r="M735" s="20"/>
      <c r="N735" s="20"/>
      <c r="O735" s="20"/>
      <c r="P735" s="20"/>
    </row>
    <row r="736">
      <c r="A736" s="110">
        <f>IFERROR(__xludf.DUMMYFUNCTION("""COMPUTED_VALUE"""),46204.0)</f>
        <v>46204</v>
      </c>
      <c r="B736" s="110" t="str">
        <f>IFERROR(__xludf.DUMMYFUNCTION("""COMPUTED_VALUE"""),"2607A007")</f>
        <v>2607A007</v>
      </c>
      <c r="C736" s="49" t="str">
        <f>IFERROR(__xludf.DUMMYFUNCTION("""COMPUTED_VALUE"""),"Kisty Trahendra")</f>
        <v>Kisty Trahendra</v>
      </c>
      <c r="D736" s="102" t="str">
        <f>IFERROR(__xludf.DUMMYFUNCTION("""COMPUTED_VALUE"""),"081233086945")</f>
        <v>081233086945</v>
      </c>
      <c r="E736" s="25" t="str">
        <f>IFERROR(__xludf.DUMMYFUNCTION("""COMPUTED_VALUE"""),"Instagram")</f>
        <v>Instagram</v>
      </c>
      <c r="F736" s="25" t="str">
        <f>IFERROR(__xludf.DUMMYFUNCTION("""COMPUTED_VALUE"""),"Leads Baru")</f>
        <v>Leads Baru</v>
      </c>
      <c r="G736" s="25" t="str">
        <f>IFERROR(__xludf.DUMMYFUNCTION("""COMPUTED_VALUE"""),"3h2m")</f>
        <v>3h2m</v>
      </c>
      <c r="H736" s="78">
        <f>IFERROR(__xludf.DUMMYFUNCTION("""COMPUTED_VALUE"""),46206.0)</f>
        <v>46206</v>
      </c>
      <c r="I736" s="89">
        <f>IFERROR(__xludf.DUMMYFUNCTION("""COMPUTED_VALUE"""),3.0)</f>
        <v>3</v>
      </c>
      <c r="J736" s="96"/>
      <c r="K736" s="30"/>
      <c r="L736" s="49"/>
      <c r="M736" s="20"/>
      <c r="N736" s="20"/>
      <c r="O736" s="20"/>
      <c r="P736" s="20"/>
    </row>
    <row r="737">
      <c r="A737" s="97">
        <f>IFERROR(__xludf.DUMMYFUNCTION("""COMPUTED_VALUE"""),46204.0)</f>
        <v>46204</v>
      </c>
      <c r="B737" s="97" t="str">
        <f>IFERROR(__xludf.DUMMYFUNCTION("""COMPUTED_VALUE"""),"2607A008")</f>
        <v>2607A008</v>
      </c>
      <c r="C737" s="76" t="str">
        <f>IFERROR(__xludf.DUMMYFUNCTION("""COMPUTED_VALUE"""),"Muhammmad Rizki")</f>
        <v>Muhammmad Rizki</v>
      </c>
      <c r="D737" s="99" t="str">
        <f>IFERROR(__xludf.DUMMYFUNCTION("""COMPUTED_VALUE"""),"085697279896")</f>
        <v>085697279896</v>
      </c>
      <c r="E737" s="25" t="str">
        <f>IFERROR(__xludf.DUMMYFUNCTION("""COMPUTED_VALUE"""),"Website")</f>
        <v>Website</v>
      </c>
      <c r="F737" s="25" t="str">
        <f>IFERROR(__xludf.DUMMYFUNCTION("""COMPUTED_VALUE"""),"Gagal")</f>
        <v>Gagal</v>
      </c>
      <c r="G737" s="25" t="str">
        <f>IFERROR(__xludf.DUMMYFUNCTION("""COMPUTED_VALUE"""),"menjangan")</f>
        <v>menjangan</v>
      </c>
      <c r="H737" s="16">
        <f>IFERROR(__xludf.DUMMYFUNCTION("""COMPUTED_VALUE"""),46207.0)</f>
        <v>46207</v>
      </c>
      <c r="I737" s="17">
        <f>IFERROR(__xludf.DUMMYFUNCTION("""COMPUTED_VALUE"""),4.0)</f>
        <v>4</v>
      </c>
      <c r="J737" s="54"/>
      <c r="K737" s="46"/>
      <c r="L737" s="76"/>
      <c r="M737" s="20"/>
      <c r="N737" s="20"/>
      <c r="O737" s="20"/>
      <c r="P737" s="20"/>
    </row>
    <row r="738">
      <c r="A738" s="110">
        <f>IFERROR(__xludf.DUMMYFUNCTION("""COMPUTED_VALUE"""),46204.0)</f>
        <v>46204</v>
      </c>
      <c r="B738" s="110" t="str">
        <f>IFERROR(__xludf.DUMMYFUNCTION("""COMPUTED_VALUE"""),"2607A009")</f>
        <v>2607A009</v>
      </c>
      <c r="C738" s="49" t="str">
        <f>IFERROR(__xludf.DUMMYFUNCTION("""COMPUTED_VALUE"""),"R")</f>
        <v>R</v>
      </c>
      <c r="D738" s="102" t="str">
        <f>IFERROR(__xludf.DUMMYFUNCTION("""COMPUTED_VALUE"""),"085138086133")</f>
        <v>085138086133</v>
      </c>
      <c r="E738" s="25" t="str">
        <f>IFERROR(__xludf.DUMMYFUNCTION("""COMPUTED_VALUE"""),"Website")</f>
        <v>Website</v>
      </c>
      <c r="F738" s="25" t="str">
        <f>IFERROR(__xludf.DUMMYFUNCTION("""COMPUTED_VALUE"""),"Gagal")</f>
        <v>Gagal</v>
      </c>
      <c r="G738" s="25"/>
      <c r="H738" s="78">
        <f>IFERROR(__xludf.DUMMYFUNCTION("""COMPUTED_VALUE"""),46206.0)</f>
        <v>46206</v>
      </c>
      <c r="I738" s="89"/>
      <c r="J738" s="96"/>
      <c r="K738" s="30" t="str">
        <f>IFERROR(__xludf.DUMMYFUNCTION("""COMPUTED_VALUE"""),"gada kelanjutan")</f>
        <v>gada kelanjutan</v>
      </c>
      <c r="L738" s="49"/>
      <c r="M738" s="20"/>
      <c r="N738" s="20"/>
      <c r="O738" s="20"/>
      <c r="P738" s="20"/>
    </row>
    <row r="739">
      <c r="A739" s="97">
        <f>IFERROR(__xludf.DUMMYFUNCTION("""COMPUTED_VALUE"""),46204.0)</f>
        <v>46204</v>
      </c>
      <c r="B739" s="97" t="str">
        <f>IFERROR(__xludf.DUMMYFUNCTION("""COMPUTED_VALUE"""),"2607A010")</f>
        <v>2607A010</v>
      </c>
      <c r="C739" s="76" t="str">
        <f>IFERROR(__xludf.DUMMYFUNCTION("""COMPUTED_VALUE"""),"Maya louise")</f>
        <v>Maya louise</v>
      </c>
      <c r="D739" s="99" t="str">
        <f>IFERROR(__xludf.DUMMYFUNCTION("""COMPUTED_VALUE"""),"082117667550")</f>
        <v>082117667550</v>
      </c>
      <c r="E739" s="25" t="str">
        <f>IFERROR(__xludf.DUMMYFUNCTION("""COMPUTED_VALUE"""),"Website")</f>
        <v>Website</v>
      </c>
      <c r="F739" s="25" t="str">
        <f>IFERROR(__xludf.DUMMYFUNCTION("""COMPUTED_VALUE"""),"Qualified")</f>
        <v>Qualified</v>
      </c>
      <c r="G739" s="25" t="str">
        <f>IFERROR(__xludf.DUMMYFUNCTION("""COMPUTED_VALUE"""),"3h2m")</f>
        <v>3h2m</v>
      </c>
      <c r="H739" s="92"/>
      <c r="I739" s="80"/>
      <c r="J739" s="93"/>
      <c r="K739" s="46"/>
      <c r="L739" s="76"/>
      <c r="M739" s="20"/>
      <c r="N739" s="20"/>
      <c r="O739" s="20"/>
      <c r="P739" s="20"/>
    </row>
    <row r="740">
      <c r="A740" s="110">
        <f>IFERROR(__xludf.DUMMYFUNCTION("""COMPUTED_VALUE"""),46204.0)</f>
        <v>46204</v>
      </c>
      <c r="B740" s="110" t="str">
        <f>IFERROR(__xludf.DUMMYFUNCTION("""COMPUTED_VALUE"""),"2607A011")</f>
        <v>2607A011</v>
      </c>
      <c r="C740" s="49" t="str">
        <f>IFERROR(__xludf.DUMMYFUNCTION("""COMPUTED_VALUE"""),"Fizara")</f>
        <v>Fizara</v>
      </c>
      <c r="D740" s="102" t="str">
        <f>IFERROR(__xludf.DUMMYFUNCTION("""COMPUTED_VALUE"""),"082134045075")</f>
        <v>082134045075</v>
      </c>
      <c r="E740" s="25" t="str">
        <f>IFERROR(__xludf.DUMMYFUNCTION("""COMPUTED_VALUE"""),"Instagram")</f>
        <v>Instagram</v>
      </c>
      <c r="F740" s="25" t="str">
        <f>IFERROR(__xludf.DUMMYFUNCTION("""COMPUTED_VALUE"""),"Leads Baru")</f>
        <v>Leads Baru</v>
      </c>
      <c r="G740" s="25" t="str">
        <f>IFERROR(__xludf.DUMMYFUNCTION("""COMPUTED_VALUE"""),"mt")</f>
        <v>mt</v>
      </c>
      <c r="H740" s="78">
        <f>IFERROR(__xludf.DUMMYFUNCTION("""COMPUTED_VALUE"""),46209.0)</f>
        <v>46209</v>
      </c>
      <c r="I740" s="89">
        <f>IFERROR(__xludf.DUMMYFUNCTION("""COMPUTED_VALUE"""),4.0)</f>
        <v>4</v>
      </c>
      <c r="J740" s="96"/>
      <c r="K740" s="30"/>
      <c r="L740" s="49"/>
      <c r="M740" s="20"/>
      <c r="N740" s="20"/>
      <c r="O740" s="20"/>
      <c r="P740" s="20"/>
    </row>
    <row r="741">
      <c r="A741" s="97">
        <f>IFERROR(__xludf.DUMMYFUNCTION("""COMPUTED_VALUE"""),46203.0)</f>
        <v>46203</v>
      </c>
      <c r="B741" s="97" t="str">
        <f>IFERROR(__xludf.DUMMYFUNCTION("""COMPUTED_VALUE"""),"2607A012")</f>
        <v>2607A012</v>
      </c>
      <c r="C741" s="76" t="str">
        <f>IFERROR(__xludf.DUMMYFUNCTION("""COMPUTED_VALUE"""),"Inne Vidyano")</f>
        <v>Inne Vidyano</v>
      </c>
      <c r="D741" s="99" t="str">
        <f>IFERROR(__xludf.DUMMYFUNCTION("""COMPUTED_VALUE"""),"081378118030")</f>
        <v>081378118030</v>
      </c>
      <c r="E741" s="25" t="str">
        <f>IFERROR(__xludf.DUMMYFUNCTION("""COMPUTED_VALUE"""),"Instagram")</f>
        <v>Instagram</v>
      </c>
      <c r="F741" s="25" t="str">
        <f>IFERROR(__xludf.DUMMYFUNCTION("""COMPUTED_VALUE"""),"Gagal")</f>
        <v>Gagal</v>
      </c>
      <c r="G741" s="25" t="str">
        <f>IFERROR(__xludf.DUMMYFUNCTION("""COMPUTED_VALUE"""),"4h3m")</f>
        <v>4h3m</v>
      </c>
      <c r="H741" s="92"/>
      <c r="I741" s="80">
        <f>IFERROR(__xludf.DUMMYFUNCTION("""COMPUTED_VALUE"""),5.0)</f>
        <v>5</v>
      </c>
      <c r="J741" s="93"/>
      <c r="K741" s="19" t="str">
        <f>IFERROR(__xludf.DUMMYFUNCTION("""COMPUTED_VALUE"""),"wkatunya belum ada, kalau jadi nanti dihubungi lagi")</f>
        <v>wkatunya belum ada, kalau jadi nanti dihubungi lagi</v>
      </c>
      <c r="L741" s="76"/>
      <c r="M741" s="20"/>
      <c r="N741" s="20"/>
      <c r="O741" s="20"/>
      <c r="P741" s="20"/>
    </row>
    <row r="742">
      <c r="A742" s="97">
        <f>IFERROR(__xludf.DUMMYFUNCTION("""COMPUTED_VALUE"""),46203.0)</f>
        <v>46203</v>
      </c>
      <c r="B742" s="97" t="str">
        <f>IFERROR(__xludf.DUMMYFUNCTION("""COMPUTED_VALUE"""),"2607A013")</f>
        <v>2607A013</v>
      </c>
      <c r="C742" s="49" t="str">
        <f>IFERROR(__xludf.DUMMYFUNCTION("""COMPUTED_VALUE"""),"Nani Tresnaningsih")</f>
        <v>Nani Tresnaningsih</v>
      </c>
      <c r="D742" s="102" t="str">
        <f>IFERROR(__xludf.DUMMYFUNCTION("""COMPUTED_VALUE"""),"081220806992")</f>
        <v>081220806992</v>
      </c>
      <c r="E742" s="25" t="str">
        <f>IFERROR(__xludf.DUMMYFUNCTION("""COMPUTED_VALUE"""),"Website")</f>
        <v>Website</v>
      </c>
      <c r="F742" s="25" t="str">
        <f>IFERROR(__xludf.DUMMYFUNCTION("""COMPUTED_VALUE"""),"Leads Baru")</f>
        <v>Leads Baru</v>
      </c>
      <c r="G742" s="25" t="str">
        <f>IFERROR(__xludf.DUMMYFUNCTION("""COMPUTED_VALUE"""),"3h2m")</f>
        <v>3h2m</v>
      </c>
      <c r="H742" s="78"/>
      <c r="I742" s="89">
        <f>IFERROR(__xludf.DUMMYFUNCTION("""COMPUTED_VALUE"""),10.0)</f>
        <v>10</v>
      </c>
      <c r="J742" s="96"/>
      <c r="K742" s="30"/>
      <c r="L742" s="23"/>
      <c r="M742" s="20"/>
      <c r="N742" s="20"/>
      <c r="O742" s="20"/>
      <c r="P742" s="20"/>
    </row>
    <row r="743">
      <c r="A743" s="97">
        <f>IFERROR(__xludf.DUMMYFUNCTION("""COMPUTED_VALUE"""),46205.0)</f>
        <v>46205</v>
      </c>
      <c r="B743" s="97" t="str">
        <f>IFERROR(__xludf.DUMMYFUNCTION("""COMPUTED_VALUE"""),"2607A015")</f>
        <v>2607A015</v>
      </c>
      <c r="C743" s="76" t="str">
        <f>IFERROR(__xludf.DUMMYFUNCTION("""COMPUTED_VALUE"""),"Tiwie")</f>
        <v>Tiwie</v>
      </c>
      <c r="D743" s="99" t="str">
        <f>IFERROR(__xludf.DUMMYFUNCTION("""COMPUTED_VALUE"""),"082136255566")</f>
        <v>082136255566</v>
      </c>
      <c r="E743" s="25" t="str">
        <f>IFERROR(__xludf.DUMMYFUNCTION("""COMPUTED_VALUE"""),"Website")</f>
        <v>Website</v>
      </c>
      <c r="F743" s="25" t="str">
        <f>IFERROR(__xludf.DUMMYFUNCTION("""COMPUTED_VALUE"""),"Leads Baru")</f>
        <v>Leads Baru</v>
      </c>
      <c r="G743" s="25"/>
      <c r="H743" s="92"/>
      <c r="I743" s="17"/>
      <c r="J743" s="93"/>
      <c r="K743" s="46"/>
      <c r="L743" s="76"/>
      <c r="M743" s="20"/>
      <c r="N743" s="20"/>
      <c r="O743" s="20"/>
      <c r="P743" s="20"/>
    </row>
    <row r="744">
      <c r="A744" s="97">
        <f>IFERROR(__xludf.DUMMYFUNCTION("""COMPUTED_VALUE"""),46205.0)</f>
        <v>46205</v>
      </c>
      <c r="B744" s="110" t="str">
        <f>IFERROR(__xludf.DUMMYFUNCTION("""COMPUTED_VALUE"""),"2607A016")</f>
        <v>2607A016</v>
      </c>
      <c r="C744" s="49" t="str">
        <f>IFERROR(__xludf.DUMMYFUNCTION("""COMPUTED_VALUE"""),"Farah Pangestuty")</f>
        <v>Farah Pangestuty</v>
      </c>
      <c r="D744" s="102" t="str">
        <f>IFERROR(__xludf.DUMMYFUNCTION("""COMPUTED_VALUE"""),"0895805321900")</f>
        <v>0895805321900</v>
      </c>
      <c r="E744" s="25" t="str">
        <f>IFERROR(__xludf.DUMMYFUNCTION("""COMPUTED_VALUE"""),"Lainnya")</f>
        <v>Lainnya</v>
      </c>
      <c r="F744" s="25" t="str">
        <f>IFERROR(__xludf.DUMMYFUNCTION("""COMPUTED_VALUE"""),"Leads Baru")</f>
        <v>Leads Baru</v>
      </c>
      <c r="G744" s="25"/>
      <c r="H744" s="26"/>
      <c r="I744" s="27"/>
      <c r="J744" s="33"/>
      <c r="K744" s="30"/>
      <c r="L744" s="49"/>
      <c r="M744" s="20"/>
      <c r="N744" s="20"/>
      <c r="O744" s="20"/>
      <c r="P744" s="20"/>
    </row>
    <row r="745">
      <c r="A745" s="97">
        <f>IFERROR(__xludf.DUMMYFUNCTION("""COMPUTED_VALUE"""),46205.0)</f>
        <v>46205</v>
      </c>
      <c r="B745" s="97" t="str">
        <f>IFERROR(__xludf.DUMMYFUNCTION("""COMPUTED_VALUE"""),"2607A017")</f>
        <v>2607A017</v>
      </c>
      <c r="C745" s="76" t="str">
        <f>IFERROR(__xludf.DUMMYFUNCTION("""COMPUTED_VALUE"""),"Beby")</f>
        <v>Beby</v>
      </c>
      <c r="D745" s="99" t="str">
        <f>IFERROR(__xludf.DUMMYFUNCTION("""COMPUTED_VALUE"""),"081938069369")</f>
        <v>081938069369</v>
      </c>
      <c r="E745" s="25" t="str">
        <f>IFERROR(__xludf.DUMMYFUNCTION("""COMPUTED_VALUE"""),"Instagram")</f>
        <v>Instagram</v>
      </c>
      <c r="F745" s="25" t="str">
        <f>IFERROR(__xludf.DUMMYFUNCTION("""COMPUTED_VALUE"""),"Leads Baru")</f>
        <v>Leads Baru</v>
      </c>
      <c r="G745" s="25" t="str">
        <f>IFERROR(__xludf.DUMMYFUNCTION("""COMPUTED_VALUE"""),"ot menjangan tabuhan")</f>
        <v>ot menjangan tabuhan</v>
      </c>
      <c r="H745" s="92"/>
      <c r="I745" s="80"/>
      <c r="J745" s="93"/>
      <c r="K745" s="46"/>
      <c r="L745" s="76"/>
      <c r="M745" s="20"/>
      <c r="N745" s="20"/>
      <c r="O745" s="20"/>
      <c r="P745" s="20"/>
    </row>
    <row r="746">
      <c r="A746" s="97">
        <f>IFERROR(__xludf.DUMMYFUNCTION("""COMPUTED_VALUE"""),46205.0)</f>
        <v>46205</v>
      </c>
      <c r="B746" s="110" t="str">
        <f>IFERROR(__xludf.DUMMYFUNCTION("""COMPUTED_VALUE"""),"2607A018")</f>
        <v>2607A018</v>
      </c>
      <c r="C746" s="49" t="str">
        <f>IFERROR(__xludf.DUMMYFUNCTION("""COMPUTED_VALUE"""),"Antonius")</f>
        <v>Antonius</v>
      </c>
      <c r="D746" s="102" t="str">
        <f>IFERROR(__xludf.DUMMYFUNCTION("""COMPUTED_VALUE"""),"08164885392")</f>
        <v>08164885392</v>
      </c>
      <c r="E746" s="25" t="str">
        <f>IFERROR(__xludf.DUMMYFUNCTION("""COMPUTED_VALUE"""),"Website")</f>
        <v>Website</v>
      </c>
      <c r="F746" s="25" t="str">
        <f>IFERROR(__xludf.DUMMYFUNCTION("""COMPUTED_VALUE"""),"Follow Up")</f>
        <v>Follow Up</v>
      </c>
      <c r="G746" s="25" t="str">
        <f>IFERROR(__xludf.DUMMYFUNCTION("""COMPUTED_VALUE"""),"2h1m opsi b")</f>
        <v>2h1m opsi b</v>
      </c>
      <c r="H746" s="78"/>
      <c r="I746" s="89">
        <f>IFERROR(__xludf.DUMMYFUNCTION("""COMPUTED_VALUE"""),2.0)</f>
        <v>2</v>
      </c>
      <c r="J746" s="136"/>
      <c r="K746" s="30"/>
      <c r="L746" s="23"/>
      <c r="M746" s="20"/>
      <c r="N746" s="20"/>
      <c r="O746" s="20"/>
      <c r="P746" s="20"/>
    </row>
    <row r="747">
      <c r="A747" s="97">
        <f>IFERROR(__xludf.DUMMYFUNCTION("""COMPUTED_VALUE"""),46205.0)</f>
        <v>46205</v>
      </c>
      <c r="B747" s="97" t="str">
        <f>IFERROR(__xludf.DUMMYFUNCTION("""COMPUTED_VALUE"""),"2607A019")</f>
        <v>2607A019</v>
      </c>
      <c r="C747" s="76" t="str">
        <f>IFERROR(__xludf.DUMMYFUNCTION("""COMPUTED_VALUE"""),"Nurita Pratama sari")</f>
        <v>Nurita Pratama sari</v>
      </c>
      <c r="D747" s="99" t="str">
        <f>IFERROR(__xludf.DUMMYFUNCTION("""COMPUTED_VALUE"""),"081225783915")</f>
        <v>081225783915</v>
      </c>
      <c r="E747" s="25" t="str">
        <f>IFERROR(__xludf.DUMMYFUNCTION("""COMPUTED_VALUE"""),"Instagram")</f>
        <v>Instagram</v>
      </c>
      <c r="F747" s="25" t="str">
        <f>IFERROR(__xludf.DUMMYFUNCTION("""COMPUTED_VALUE"""),"Leads Baru")</f>
        <v>Leads Baru</v>
      </c>
      <c r="G747" s="25" t="str">
        <f>IFERROR(__xludf.DUMMYFUNCTION("""COMPUTED_VALUE"""),"ot mt")</f>
        <v>ot mt</v>
      </c>
      <c r="H747" s="92">
        <f>IFERROR(__xludf.DUMMYFUNCTION("""COMPUTED_VALUE"""),46214.0)</f>
        <v>46214</v>
      </c>
      <c r="I747" s="17">
        <f>IFERROR(__xludf.DUMMYFUNCTION("""COMPUTED_VALUE"""),5.0)</f>
        <v>5</v>
      </c>
      <c r="J747" s="93">
        <f>IFERROR(__xludf.DUMMYFUNCTION("""COMPUTED_VALUE"""),1375000.0)</f>
        <v>1375000</v>
      </c>
      <c r="K747" s="46"/>
      <c r="L747" s="76"/>
      <c r="M747" s="20"/>
      <c r="N747" s="20"/>
      <c r="O747" s="20"/>
      <c r="P747" s="20"/>
    </row>
    <row r="748">
      <c r="A748" s="97">
        <f>IFERROR(__xludf.DUMMYFUNCTION("""COMPUTED_VALUE"""),46205.0)</f>
        <v>46205</v>
      </c>
      <c r="B748" s="110" t="str">
        <f>IFERROR(__xludf.DUMMYFUNCTION("""COMPUTED_VALUE"""),"2607A020")</f>
        <v>2607A020</v>
      </c>
      <c r="C748" s="49" t="str">
        <f>IFERROR(__xludf.DUMMYFUNCTION("""COMPUTED_VALUE"""),"Herwandasantoso (Angga)")</f>
        <v>Herwandasantoso (Angga)</v>
      </c>
      <c r="D748" s="102" t="str">
        <f>IFERROR(__xludf.DUMMYFUNCTION("""COMPUTED_VALUE"""),"089696696312")</f>
        <v>089696696312</v>
      </c>
      <c r="E748" s="25" t="str">
        <f>IFERROR(__xludf.DUMMYFUNCTION("""COMPUTED_VALUE"""),"Website")</f>
        <v>Website</v>
      </c>
      <c r="F748" s="25" t="str">
        <f>IFERROR(__xludf.DUMMYFUNCTION("""COMPUTED_VALUE"""),"Leads Baru")</f>
        <v>Leads Baru</v>
      </c>
      <c r="G748" s="25" t="str">
        <f>IFERROR(__xludf.DUMMYFUNCTION("""COMPUTED_VALUE"""),"one day trip Green island, djawatan")</f>
        <v>one day trip Green island, djawatan</v>
      </c>
      <c r="H748" s="26"/>
      <c r="I748" s="27"/>
      <c r="J748" s="33"/>
      <c r="K748" s="30"/>
      <c r="L748" s="49"/>
      <c r="M748" s="20"/>
      <c r="N748" s="20"/>
      <c r="O748" s="20"/>
      <c r="P748" s="20"/>
    </row>
    <row r="749">
      <c r="A749" s="97">
        <f>IFERROR(__xludf.DUMMYFUNCTION("""COMPUTED_VALUE"""),46205.0)</f>
        <v>46205</v>
      </c>
      <c r="B749" s="97" t="str">
        <f>IFERROR(__xludf.DUMMYFUNCTION("""COMPUTED_VALUE"""),"2607A021")</f>
        <v>2607A021</v>
      </c>
      <c r="C749" s="76" t="str">
        <f>IFERROR(__xludf.DUMMYFUNCTION("""COMPUTED_VALUE"""),"Martina Susanti")</f>
        <v>Martina Susanti</v>
      </c>
      <c r="D749" s="99" t="str">
        <f>IFERROR(__xludf.DUMMYFUNCTION("""COMPUTED_VALUE"""),"082214248001")</f>
        <v>082214248001</v>
      </c>
      <c r="E749" s="25" t="str">
        <f>IFERROR(__xludf.DUMMYFUNCTION("""COMPUTED_VALUE"""),"Instagram")</f>
        <v>Instagram</v>
      </c>
      <c r="F749" s="25" t="str">
        <f>IFERROR(__xludf.DUMMYFUNCTION("""COMPUTED_VALUE"""),"Gagal")</f>
        <v>Gagal</v>
      </c>
      <c r="G749" s="25"/>
      <c r="H749" s="92"/>
      <c r="I749" s="80"/>
      <c r="J749" s="93"/>
      <c r="K749" s="19" t="str">
        <f>IFERROR(__xludf.DUMMYFUNCTION("""COMPUTED_VALUE"""),"mt fullbooked")</f>
        <v>mt fullbooked</v>
      </c>
      <c r="L749" s="76"/>
      <c r="M749" s="20"/>
      <c r="N749" s="20"/>
      <c r="O749" s="20"/>
      <c r="P749" s="20"/>
    </row>
    <row r="750">
      <c r="A750" s="97">
        <f>IFERROR(__xludf.DUMMYFUNCTION("""COMPUTED_VALUE"""),46205.0)</f>
        <v>46205</v>
      </c>
      <c r="B750" s="110" t="str">
        <f>IFERROR(__xludf.DUMMYFUNCTION("""COMPUTED_VALUE"""),"2607A022")</f>
        <v>2607A022</v>
      </c>
      <c r="C750" s="49" t="str">
        <f>IFERROR(__xludf.DUMMYFUNCTION("""COMPUTED_VALUE"""),"May")</f>
        <v>May</v>
      </c>
      <c r="D750" s="102" t="str">
        <f>IFERROR(__xludf.DUMMYFUNCTION("""COMPUTED_VALUE"""),"089693246388")</f>
        <v>089693246388</v>
      </c>
      <c r="E750" s="25" t="str">
        <f>IFERROR(__xludf.DUMMYFUNCTION("""COMPUTED_VALUE"""),"Instagram")</f>
        <v>Instagram</v>
      </c>
      <c r="F750" s="25" t="str">
        <f>IFERROR(__xludf.DUMMYFUNCTION("""COMPUTED_VALUE"""),"Leads Baru")</f>
        <v>Leads Baru</v>
      </c>
      <c r="G750" s="25" t="str">
        <f>IFERROR(__xludf.DUMMYFUNCTION("""COMPUTED_VALUE"""),"ot 3h2m")</f>
        <v>ot 3h2m</v>
      </c>
      <c r="H750" s="78"/>
      <c r="I750" s="89"/>
      <c r="J750" s="96"/>
      <c r="K750" s="30"/>
      <c r="L750" s="23"/>
      <c r="M750" s="20"/>
      <c r="N750" s="20"/>
      <c r="O750" s="20"/>
      <c r="P750" s="20"/>
    </row>
    <row r="751">
      <c r="A751" s="97">
        <f>IFERROR(__xludf.DUMMYFUNCTION("""COMPUTED_VALUE"""),46205.0)</f>
        <v>46205</v>
      </c>
      <c r="B751" s="97" t="str">
        <f>IFERROR(__xludf.DUMMYFUNCTION("""COMPUTED_VALUE"""),"2607A023")</f>
        <v>2607A023</v>
      </c>
      <c r="C751" s="120" t="str">
        <f>IFERROR(__xludf.DUMMYFUNCTION("""COMPUTED_VALUE"""),"Strawberry")</f>
        <v>Strawberry</v>
      </c>
      <c r="D751" s="99" t="str">
        <f>IFERROR(__xludf.DUMMYFUNCTION("""COMPUTED_VALUE"""),"081573100206")</f>
        <v>081573100206</v>
      </c>
      <c r="E751" s="25" t="str">
        <f>IFERROR(__xludf.DUMMYFUNCTION("""COMPUTED_VALUE"""),"Instagram")</f>
        <v>Instagram</v>
      </c>
      <c r="F751" s="25" t="str">
        <f>IFERROR(__xludf.DUMMYFUNCTION("""COMPUTED_VALUE"""),"Leads Baru")</f>
        <v>Leads Baru</v>
      </c>
      <c r="G751" s="25" t="str">
        <f>IFERROR(__xludf.DUMMYFUNCTION("""COMPUTED_VALUE"""),"ot mt")</f>
        <v>ot mt</v>
      </c>
      <c r="H751" s="16">
        <f>IFERROR(__xludf.DUMMYFUNCTION("""COMPUTED_VALUE"""),46207.0)</f>
        <v>46207</v>
      </c>
      <c r="I751" s="80"/>
      <c r="J751" s="54"/>
      <c r="K751" s="46"/>
      <c r="L751" s="76"/>
      <c r="M751" s="20"/>
      <c r="N751" s="20"/>
      <c r="O751" s="20"/>
      <c r="P751" s="20"/>
    </row>
    <row r="752">
      <c r="A752" s="97">
        <f>IFERROR(__xludf.DUMMYFUNCTION("""COMPUTED_VALUE"""),46205.0)</f>
        <v>46205</v>
      </c>
      <c r="B752" s="110" t="str">
        <f>IFERROR(__xludf.DUMMYFUNCTION("""COMPUTED_VALUE"""),"2607A024")</f>
        <v>2607A024</v>
      </c>
      <c r="C752" s="49" t="str">
        <f>IFERROR(__xludf.DUMMYFUNCTION("""COMPUTED_VALUE"""),"Firdaus Ramadhan")</f>
        <v>Firdaus Ramadhan</v>
      </c>
      <c r="D752" s="102" t="str">
        <f>IFERROR(__xludf.DUMMYFUNCTION("""COMPUTED_VALUE"""),"081213484025")</f>
        <v>081213484025</v>
      </c>
      <c r="E752" s="25" t="str">
        <f>IFERROR(__xludf.DUMMYFUNCTION("""COMPUTED_VALUE"""),"Website")</f>
        <v>Website</v>
      </c>
      <c r="F752" s="25" t="str">
        <f>IFERROR(__xludf.DUMMYFUNCTION("""COMPUTED_VALUE"""),"Follow Up")</f>
        <v>Follow Up</v>
      </c>
      <c r="G752" s="25" t="str">
        <f>IFERROR(__xludf.DUMMYFUNCTION("""COMPUTED_VALUE"""),"ot3h2m")</f>
        <v>ot3h2m</v>
      </c>
      <c r="H752" s="78"/>
      <c r="I752" s="89">
        <f>IFERROR(__xludf.DUMMYFUNCTION("""COMPUTED_VALUE"""),1.0)</f>
        <v>1</v>
      </c>
      <c r="J752" s="136">
        <f>IFERROR(__xludf.DUMMYFUNCTION("""COMPUTED_VALUE"""),1600000.0)</f>
        <v>1600000</v>
      </c>
      <c r="K752" s="36"/>
      <c r="L752" s="49"/>
      <c r="M752" s="20"/>
      <c r="N752" s="20"/>
      <c r="O752" s="20"/>
      <c r="P752" s="20"/>
    </row>
    <row r="753">
      <c r="A753" s="97">
        <f>IFERROR(__xludf.DUMMYFUNCTION("""COMPUTED_VALUE"""),46206.0)</f>
        <v>46206</v>
      </c>
      <c r="B753" s="97" t="str">
        <f>IFERROR(__xludf.DUMMYFUNCTION("""COMPUTED_VALUE"""),"2607A025")</f>
        <v>2607A025</v>
      </c>
      <c r="C753" s="76" t="str">
        <f>IFERROR(__xludf.DUMMYFUNCTION("""COMPUTED_VALUE"""),"Suryanto")</f>
        <v>Suryanto</v>
      </c>
      <c r="D753" s="99" t="str">
        <f>IFERROR(__xludf.DUMMYFUNCTION("""COMPUTED_VALUE"""),"082177890789")</f>
        <v>082177890789</v>
      </c>
      <c r="E753" s="25" t="str">
        <f>IFERROR(__xludf.DUMMYFUNCTION("""COMPUTED_VALUE"""),"Website")</f>
        <v>Website</v>
      </c>
      <c r="F753" s="25" t="str">
        <f>IFERROR(__xludf.DUMMYFUNCTION("""COMPUTED_VALUE"""),"Gagal")</f>
        <v>Gagal</v>
      </c>
      <c r="G753" s="25" t="str">
        <f>IFERROR(__xludf.DUMMYFUNCTION("""COMPUTED_VALUE"""),"ijen")</f>
        <v>ijen</v>
      </c>
      <c r="H753" s="16">
        <f>IFERROR(__xludf.DUMMYFUNCTION("""COMPUTED_VALUE"""),46208.0)</f>
        <v>46208</v>
      </c>
      <c r="I753" s="17"/>
      <c r="J753" s="54"/>
      <c r="K753" s="46" t="str">
        <f>IFERROR(__xludf.DUMMYFUNCTION("""COMPUTED_VALUE"""),"pengen lihat blue fire")</f>
        <v>pengen lihat blue fire</v>
      </c>
      <c r="L753" s="76"/>
      <c r="M753" s="20"/>
      <c r="N753" s="20"/>
      <c r="O753" s="20"/>
      <c r="P753" s="20"/>
    </row>
    <row r="754">
      <c r="A754" s="110">
        <f>IFERROR(__xludf.DUMMYFUNCTION("""COMPUTED_VALUE"""),46206.0)</f>
        <v>46206</v>
      </c>
      <c r="B754" s="110" t="str">
        <f>IFERROR(__xludf.DUMMYFUNCTION("""COMPUTED_VALUE"""),"2607A026")</f>
        <v>2607A026</v>
      </c>
      <c r="C754" s="49" t="str">
        <f>IFERROR(__xludf.DUMMYFUNCTION("""COMPUTED_VALUE"""),"Putri Feni Rosa Uli")</f>
        <v>Putri Feni Rosa Uli</v>
      </c>
      <c r="D754" s="102" t="str">
        <f>IFERROR(__xludf.DUMMYFUNCTION("""COMPUTED_VALUE"""),"081319102213")</f>
        <v>081319102213</v>
      </c>
      <c r="E754" s="25" t="str">
        <f>IFERROR(__xludf.DUMMYFUNCTION("""COMPUTED_VALUE"""),"Website")</f>
        <v>Website</v>
      </c>
      <c r="F754" s="25" t="str">
        <f>IFERROR(__xludf.DUMMYFUNCTION("""COMPUTED_VALUE"""),"Closing")</f>
        <v>Closing</v>
      </c>
      <c r="G754" s="25" t="str">
        <f>IFERROR(__xludf.DUMMYFUNCTION("""COMPUTED_VALUE"""),"2h1m custom")</f>
        <v>2h1m custom</v>
      </c>
      <c r="H754" s="26"/>
      <c r="I754" s="27"/>
      <c r="J754" s="33">
        <f>IFERROR(__xludf.DUMMYFUNCTION("""COMPUTED_VALUE"""),4120000.0)</f>
        <v>4120000</v>
      </c>
      <c r="K754" s="30" t="str">
        <f>IFERROR(__xludf.DUMMYFUNCTION("""COMPUTED_VALUE"""),"alhamdulillah closing")</f>
        <v>alhamdulillah closing</v>
      </c>
      <c r="L754" s="49"/>
      <c r="M754" s="20"/>
      <c r="N754" s="20"/>
      <c r="O754" s="20"/>
      <c r="P754" s="20"/>
    </row>
    <row r="755">
      <c r="A755" s="97">
        <f>IFERROR(__xludf.DUMMYFUNCTION("""COMPUTED_VALUE"""),46206.0)</f>
        <v>46206</v>
      </c>
      <c r="B755" s="97" t="str">
        <f>IFERROR(__xludf.DUMMYFUNCTION("""COMPUTED_VALUE"""),"2607A027")</f>
        <v>2607A027</v>
      </c>
      <c r="C755" s="76" t="str">
        <f>IFERROR(__xludf.DUMMYFUNCTION("""COMPUTED_VALUE"""),"Bella Fahillah")</f>
        <v>Bella Fahillah</v>
      </c>
      <c r="D755" s="99" t="str">
        <f>IFERROR(__xludf.DUMMYFUNCTION("""COMPUTED_VALUE"""),"081319895179")</f>
        <v>081319895179</v>
      </c>
      <c r="E755" s="25" t="str">
        <f>IFERROR(__xludf.DUMMYFUNCTION("""COMPUTED_VALUE"""),"Instagram")</f>
        <v>Instagram</v>
      </c>
      <c r="F755" s="25" t="str">
        <f>IFERROR(__xludf.DUMMYFUNCTION("""COMPUTED_VALUE"""),"Qualified")</f>
        <v>Qualified</v>
      </c>
      <c r="G755" s="25" t="str">
        <f>IFERROR(__xludf.DUMMYFUNCTION("""COMPUTED_VALUE"""),"ot 3h2m")</f>
        <v>ot 3h2m</v>
      </c>
      <c r="H755" s="92"/>
      <c r="I755" s="80">
        <f>IFERROR(__xludf.DUMMYFUNCTION("""COMPUTED_VALUE"""),2.0)</f>
        <v>2</v>
      </c>
      <c r="J755" s="93">
        <f>IFERROR(__xludf.DUMMYFUNCTION("""COMPUTED_VALUE"""),3200000.0)</f>
        <v>3200000</v>
      </c>
      <c r="K755" s="46"/>
      <c r="L755" s="76"/>
      <c r="M755" s="20"/>
      <c r="N755" s="20"/>
      <c r="O755" s="20"/>
      <c r="P755" s="20"/>
    </row>
    <row r="756">
      <c r="A756" s="110">
        <f>IFERROR(__xludf.DUMMYFUNCTION("""COMPUTED_VALUE"""),46206.0)</f>
        <v>46206</v>
      </c>
      <c r="B756" s="110" t="str">
        <f>IFERROR(__xludf.DUMMYFUNCTION("""COMPUTED_VALUE"""),"2607A028")</f>
        <v>2607A028</v>
      </c>
      <c r="C756" s="49" t="str">
        <f>IFERROR(__xludf.DUMMYFUNCTION("""COMPUTED_VALUE"""),"Rydha G Mayaudy")</f>
        <v>Rydha G Mayaudy</v>
      </c>
      <c r="D756" s="102" t="str">
        <f>IFERROR(__xludf.DUMMYFUNCTION("""COMPUTED_VALUE"""),"081327357783")</f>
        <v>081327357783</v>
      </c>
      <c r="E756" s="25" t="str">
        <f>IFERROR(__xludf.DUMMYFUNCTION("""COMPUTED_VALUE"""),"Instagram")</f>
        <v>Instagram</v>
      </c>
      <c r="F756" s="25" t="str">
        <f>IFERROR(__xludf.DUMMYFUNCTION("""COMPUTED_VALUE"""),"Leads Baru")</f>
        <v>Leads Baru</v>
      </c>
      <c r="G756" s="25" t="str">
        <f>IFERROR(__xludf.DUMMYFUNCTION("""COMPUTED_VALUE"""),"ot mt")</f>
        <v>ot mt</v>
      </c>
      <c r="H756" s="78"/>
      <c r="I756" s="89"/>
      <c r="J756" s="96"/>
      <c r="K756" s="36"/>
      <c r="L756" s="49"/>
      <c r="M756" s="20"/>
      <c r="N756" s="20"/>
      <c r="O756" s="20"/>
      <c r="P756" s="20"/>
    </row>
    <row r="757">
      <c r="A757" s="97">
        <f>IFERROR(__xludf.DUMMYFUNCTION("""COMPUTED_VALUE"""),46206.0)</f>
        <v>46206</v>
      </c>
      <c r="B757" s="97" t="str">
        <f>IFERROR(__xludf.DUMMYFUNCTION("""COMPUTED_VALUE"""),"2607A029")</f>
        <v>2607A029</v>
      </c>
      <c r="C757" s="76" t="str">
        <f>IFERROR(__xludf.DUMMYFUNCTION("""COMPUTED_VALUE"""),"Herry Fahamsyah")</f>
        <v>Herry Fahamsyah</v>
      </c>
      <c r="D757" s="99" t="str">
        <f>IFERROR(__xludf.DUMMYFUNCTION("""COMPUTED_VALUE"""),"081294234000")</f>
        <v>081294234000</v>
      </c>
      <c r="E757" s="25" t="str">
        <f>IFERROR(__xludf.DUMMYFUNCTION("""COMPUTED_VALUE"""),"Instagram")</f>
        <v>Instagram</v>
      </c>
      <c r="F757" s="25" t="str">
        <f>IFERROR(__xludf.DUMMYFUNCTION("""COMPUTED_VALUE"""),"Leads Baru")</f>
        <v>Leads Baru</v>
      </c>
      <c r="G757" s="25" t="str">
        <f>IFERROR(__xludf.DUMMYFUNCTION("""COMPUTED_VALUE"""),"ot mt")</f>
        <v>ot mt</v>
      </c>
      <c r="H757" s="92"/>
      <c r="I757" s="80"/>
      <c r="J757" s="140"/>
      <c r="K757" s="46" t="str">
        <f>IFERROR(__xludf.DUMMYFUNCTION("""COMPUTED_VALUE"""),"1")</f>
        <v>1</v>
      </c>
      <c r="L757" s="76"/>
      <c r="M757" s="20"/>
      <c r="N757" s="20"/>
      <c r="O757" s="20"/>
      <c r="P757" s="20"/>
    </row>
    <row r="758">
      <c r="A758" s="110">
        <f>IFERROR(__xludf.DUMMYFUNCTION("""COMPUTED_VALUE"""),46206.0)</f>
        <v>46206</v>
      </c>
      <c r="B758" s="110" t="str">
        <f>IFERROR(__xludf.DUMMYFUNCTION("""COMPUTED_VALUE"""),"2607A030")</f>
        <v>2607A030</v>
      </c>
      <c r="C758" s="49" t="str">
        <f>IFERROR(__xludf.DUMMYFUNCTION("""COMPUTED_VALUE"""),"Egi Gigih")</f>
        <v>Egi Gigih</v>
      </c>
      <c r="D758" s="102" t="str">
        <f>IFERROR(__xludf.DUMMYFUNCTION("""COMPUTED_VALUE"""),"08985999948")</f>
        <v>08985999948</v>
      </c>
      <c r="E758" s="25" t="str">
        <f>IFERROR(__xludf.DUMMYFUNCTION("""COMPUTED_VALUE"""),"Instagram")</f>
        <v>Instagram</v>
      </c>
      <c r="F758" s="25" t="str">
        <f>IFERROR(__xludf.DUMMYFUNCTION("""COMPUTED_VALUE"""),"Leads Baru")</f>
        <v>Leads Baru</v>
      </c>
      <c r="G758" s="25"/>
      <c r="H758" s="78"/>
      <c r="I758" s="89"/>
      <c r="J758" s="96"/>
      <c r="K758" s="30"/>
      <c r="L758" s="49"/>
      <c r="M758" s="20"/>
      <c r="N758" s="20"/>
      <c r="O758" s="20"/>
      <c r="P758" s="20"/>
    </row>
    <row r="759">
      <c r="A759" s="97">
        <f>IFERROR(__xludf.DUMMYFUNCTION("""COMPUTED_VALUE"""),46206.0)</f>
        <v>46206</v>
      </c>
      <c r="B759" s="97" t="str">
        <f>IFERROR(__xludf.DUMMYFUNCTION("""COMPUTED_VALUE"""),"2607A031")</f>
        <v>2607A031</v>
      </c>
      <c r="C759" s="76" t="str">
        <f>IFERROR(__xludf.DUMMYFUNCTION("""COMPUTED_VALUE"""),"Abe")</f>
        <v>Abe</v>
      </c>
      <c r="D759" s="99" t="str">
        <f>IFERROR(__xludf.DUMMYFUNCTION("""COMPUTED_VALUE"""),"08111895858")</f>
        <v>08111895858</v>
      </c>
      <c r="E759" s="25" t="str">
        <f>IFERROR(__xludf.DUMMYFUNCTION("""COMPUTED_VALUE"""),"Website")</f>
        <v>Website</v>
      </c>
      <c r="F759" s="25" t="str">
        <f>IFERROR(__xludf.DUMMYFUNCTION("""COMPUTED_VALUE"""),"Leads Baru")</f>
        <v>Leads Baru</v>
      </c>
      <c r="G759" s="25"/>
      <c r="H759" s="92"/>
      <c r="I759" s="80"/>
      <c r="J759" s="93"/>
      <c r="K759" s="19"/>
      <c r="L759" s="10"/>
      <c r="M759" s="20"/>
      <c r="N759" s="20"/>
      <c r="O759" s="20"/>
      <c r="P759" s="20"/>
    </row>
    <row r="760">
      <c r="A760" s="110">
        <f>IFERROR(__xludf.DUMMYFUNCTION("""COMPUTED_VALUE"""),46206.0)</f>
        <v>46206</v>
      </c>
      <c r="B760" s="110" t="str">
        <f>IFERROR(__xludf.DUMMYFUNCTION("""COMPUTED_VALUE"""),"2607A032")</f>
        <v>2607A032</v>
      </c>
      <c r="C760" s="49" t="str">
        <f>IFERROR(__xludf.DUMMYFUNCTION("""COMPUTED_VALUE"""),"Yulisa Ani")</f>
        <v>Yulisa Ani</v>
      </c>
      <c r="D760" s="102" t="str">
        <f>IFERROR(__xludf.DUMMYFUNCTION("""COMPUTED_VALUE"""),"081330713582")</f>
        <v>081330713582</v>
      </c>
      <c r="E760" s="25" t="str">
        <f>IFERROR(__xludf.DUMMYFUNCTION("""COMPUTED_VALUE"""),"Instagram")</f>
        <v>Instagram</v>
      </c>
      <c r="F760" s="25" t="str">
        <f>IFERROR(__xludf.DUMMYFUNCTION("""COMPUTED_VALUE"""),"Gagal")</f>
        <v>Gagal</v>
      </c>
      <c r="G760" s="25" t="str">
        <f>IFERROR(__xludf.DUMMYFUNCTION("""COMPUTED_VALUE"""),"Djawatan, baluran")</f>
        <v>Djawatan, baluran</v>
      </c>
      <c r="H760" s="26">
        <f>IFERROR(__xludf.DUMMYFUNCTION("""COMPUTED_VALUE"""),46208.0)</f>
        <v>46208</v>
      </c>
      <c r="I760" s="27">
        <f>IFERROR(__xludf.DUMMYFUNCTION("""COMPUTED_VALUE"""),5.0)</f>
        <v>5</v>
      </c>
      <c r="J760" s="33"/>
      <c r="K760" s="30" t="str">
        <f>IFERROR(__xludf.DUMMYFUNCTION("""COMPUTED_VALUE"""),"gada jawaban")</f>
        <v>gada jawaban</v>
      </c>
      <c r="L760" s="49"/>
      <c r="M760" s="20"/>
      <c r="N760" s="20"/>
      <c r="O760" s="20"/>
      <c r="P760" s="20"/>
    </row>
    <row r="761">
      <c r="A761" s="97">
        <f>IFERROR(__xludf.DUMMYFUNCTION("""COMPUTED_VALUE"""),46207.0)</f>
        <v>46207</v>
      </c>
      <c r="B761" s="97" t="str">
        <f>IFERROR(__xludf.DUMMYFUNCTION("""COMPUTED_VALUE"""),"2607A033")</f>
        <v>2607A033</v>
      </c>
      <c r="C761" s="76" t="str">
        <f>IFERROR(__xludf.DUMMYFUNCTION("""COMPUTED_VALUE"""),"Dian Fitria")</f>
        <v>Dian Fitria</v>
      </c>
      <c r="D761" s="99" t="str">
        <f>IFERROR(__xludf.DUMMYFUNCTION("""COMPUTED_VALUE"""),"085810088687")</f>
        <v>085810088687</v>
      </c>
      <c r="E761" s="25" t="str">
        <f>IFERROR(__xludf.DUMMYFUNCTION("""COMPUTED_VALUE"""),"Instagram")</f>
        <v>Instagram</v>
      </c>
      <c r="F761" s="25" t="str">
        <f>IFERROR(__xludf.DUMMYFUNCTION("""COMPUTED_VALUE"""),"Leads Baru")</f>
        <v>Leads Baru</v>
      </c>
      <c r="G761" s="25"/>
      <c r="H761" s="92"/>
      <c r="I761" s="80"/>
      <c r="J761" s="93"/>
      <c r="K761" s="19"/>
      <c r="L761" s="76"/>
      <c r="M761" s="20"/>
      <c r="N761" s="20"/>
      <c r="O761" s="20"/>
      <c r="P761" s="20"/>
    </row>
    <row r="762">
      <c r="A762" s="110">
        <f>IFERROR(__xludf.DUMMYFUNCTION("""COMPUTED_VALUE"""),46207.0)</f>
        <v>46207</v>
      </c>
      <c r="B762" s="110" t="str">
        <f>IFERROR(__xludf.DUMMYFUNCTION("""COMPUTED_VALUE"""),"2607A034")</f>
        <v>2607A034</v>
      </c>
      <c r="C762" s="49" t="str">
        <f>IFERROR(__xludf.DUMMYFUNCTION("""COMPUTED_VALUE"""),"Rahma Dj")</f>
        <v>Rahma Dj</v>
      </c>
      <c r="D762" s="102" t="str">
        <f>IFERROR(__xludf.DUMMYFUNCTION("""COMPUTED_VALUE"""),"085293971113")</f>
        <v>085293971113</v>
      </c>
      <c r="E762" s="25" t="str">
        <f>IFERROR(__xludf.DUMMYFUNCTION("""COMPUTED_VALUE"""),"Website")</f>
        <v>Website</v>
      </c>
      <c r="F762" s="25" t="str">
        <f>IFERROR(__xludf.DUMMYFUNCTION("""COMPUTED_VALUE"""),"Leads Baru")</f>
        <v>Leads Baru</v>
      </c>
      <c r="G762" s="25"/>
      <c r="H762" s="78"/>
      <c r="I762" s="141"/>
      <c r="J762" s="96"/>
      <c r="K762" s="30"/>
      <c r="L762" s="49"/>
      <c r="M762" s="20"/>
      <c r="N762" s="20"/>
      <c r="O762" s="20"/>
      <c r="P762" s="20"/>
    </row>
    <row r="763">
      <c r="A763" s="97">
        <f>IFERROR(__xludf.DUMMYFUNCTION("""COMPUTED_VALUE"""),46207.0)</f>
        <v>46207</v>
      </c>
      <c r="B763" s="97" t="str">
        <f>IFERROR(__xludf.DUMMYFUNCTION("""COMPUTED_VALUE"""),"2607A035")</f>
        <v>2607A035</v>
      </c>
      <c r="C763" s="76" t="str">
        <f>IFERROR(__xludf.DUMMYFUNCTION("""COMPUTED_VALUE"""),"Dian fitria")</f>
        <v>Dian fitria</v>
      </c>
      <c r="D763" s="99" t="str">
        <f>IFERROR(__xludf.DUMMYFUNCTION("""COMPUTED_VALUE"""),"085810088687")</f>
        <v>085810088687</v>
      </c>
      <c r="E763" s="25" t="str">
        <f>IFERROR(__xludf.DUMMYFUNCTION("""COMPUTED_VALUE"""),"Instagram")</f>
        <v>Instagram</v>
      </c>
      <c r="F763" s="25" t="str">
        <f>IFERROR(__xludf.DUMMYFUNCTION("""COMPUTED_VALUE"""),"Leads Baru")</f>
        <v>Leads Baru</v>
      </c>
      <c r="G763" s="25" t="str">
        <f>IFERROR(__xludf.DUMMYFUNCTION("""COMPUTED_VALUE"""),"djawatan, green island")</f>
        <v>djawatan, green island</v>
      </c>
      <c r="H763" s="16"/>
      <c r="I763" s="17"/>
      <c r="J763" s="54"/>
      <c r="K763" s="46"/>
      <c r="L763" s="76"/>
      <c r="M763" s="20"/>
      <c r="N763" s="20"/>
      <c r="O763" s="20"/>
      <c r="P763" s="20"/>
    </row>
    <row r="764">
      <c r="A764" s="110">
        <f>IFERROR(__xludf.DUMMYFUNCTION("""COMPUTED_VALUE"""),46207.0)</f>
        <v>46207</v>
      </c>
      <c r="B764" s="110" t="str">
        <f>IFERROR(__xludf.DUMMYFUNCTION("""COMPUTED_VALUE"""),"2607A036")</f>
        <v>2607A036</v>
      </c>
      <c r="C764" s="49" t="str">
        <f>IFERROR(__xludf.DUMMYFUNCTION("""COMPUTED_VALUE"""),"Tri Asti")</f>
        <v>Tri Asti</v>
      </c>
      <c r="D764" s="102" t="str">
        <f>IFERROR(__xludf.DUMMYFUNCTION("""COMPUTED_VALUE"""),"085704142819")</f>
        <v>085704142819</v>
      </c>
      <c r="E764" s="25" t="str">
        <f>IFERROR(__xludf.DUMMYFUNCTION("""COMPUTED_VALUE"""),"Instagram")</f>
        <v>Instagram</v>
      </c>
      <c r="F764" s="25" t="str">
        <f>IFERROR(__xludf.DUMMYFUNCTION("""COMPUTED_VALUE"""),"Qualified")</f>
        <v>Qualified</v>
      </c>
      <c r="G764" s="25" t="str">
        <f>IFERROR(__xludf.DUMMYFUNCTION("""COMPUTED_VALUE"""),"ot mt")</f>
        <v>ot mt</v>
      </c>
      <c r="H764" s="78">
        <f>IFERROR(__xludf.DUMMYFUNCTION("""COMPUTED_VALUE"""),46249.0)</f>
        <v>46249</v>
      </c>
      <c r="I764" s="27">
        <f>IFERROR(__xludf.DUMMYFUNCTION("""COMPUTED_VALUE"""),100.0)</f>
        <v>100</v>
      </c>
      <c r="J764" s="145"/>
      <c r="K764" s="30"/>
      <c r="L764" s="49"/>
      <c r="M764" s="20"/>
      <c r="N764" s="20"/>
      <c r="O764" s="20"/>
      <c r="P764" s="20"/>
    </row>
    <row r="765">
      <c r="A765" s="97">
        <f>IFERROR(__xludf.DUMMYFUNCTION("""COMPUTED_VALUE"""),46205.0)</f>
        <v>46205</v>
      </c>
      <c r="B765" s="97" t="str">
        <f>IFERROR(__xludf.DUMMYFUNCTION("""COMPUTED_VALUE"""),"2607A037")</f>
        <v>2607A037</v>
      </c>
      <c r="C765" s="76" t="str">
        <f>IFERROR(__xludf.DUMMYFUNCTION("""COMPUTED_VALUE"""),"Raditya Hadi")</f>
        <v>Raditya Hadi</v>
      </c>
      <c r="D765" s="99" t="str">
        <f>IFERROR(__xludf.DUMMYFUNCTION("""COMPUTED_VALUE"""),"089669300224")</f>
        <v>089669300224</v>
      </c>
      <c r="E765" s="25" t="str">
        <f>IFERROR(__xludf.DUMMYFUNCTION("""COMPUTED_VALUE"""),"Website")</f>
        <v>Website</v>
      </c>
      <c r="F765" s="25" t="str">
        <f>IFERROR(__xludf.DUMMYFUNCTION("""COMPUTED_VALUE"""),"Qualified")</f>
        <v>Qualified</v>
      </c>
      <c r="G765" s="25" t="str">
        <f>IFERROR(__xludf.DUMMYFUNCTION("""COMPUTED_VALUE"""),"3h2m custom")</f>
        <v>3h2m custom</v>
      </c>
      <c r="H765" s="92">
        <f>IFERROR(__xludf.DUMMYFUNCTION("""COMPUTED_VALUE"""),46247.0)</f>
        <v>46247</v>
      </c>
      <c r="I765" s="80">
        <f>IFERROR(__xludf.DUMMYFUNCTION("""COMPUTED_VALUE"""),2.0)</f>
        <v>2</v>
      </c>
      <c r="J765" s="93"/>
      <c r="K765" s="19" t="str">
        <f>IFERROR(__xludf.DUMMYFUNCTION("""COMPUTED_VALUE"""),"fu 1 gustus")</f>
        <v>fu 1 gustus</v>
      </c>
      <c r="L765" s="76"/>
      <c r="M765" s="20"/>
      <c r="N765" s="20"/>
      <c r="O765" s="20"/>
      <c r="P765" s="20"/>
    </row>
    <row r="766">
      <c r="A766" s="110">
        <f>IFERROR(__xludf.DUMMYFUNCTION("""COMPUTED_VALUE"""),46207.0)</f>
        <v>46207</v>
      </c>
      <c r="B766" s="110" t="str">
        <f>IFERROR(__xludf.DUMMYFUNCTION("""COMPUTED_VALUE"""),"2607A038")</f>
        <v>2607A038</v>
      </c>
      <c r="C766" s="49" t="str">
        <f>IFERROR(__xludf.DUMMYFUNCTION("""COMPUTED_VALUE"""),"Fifi")</f>
        <v>Fifi</v>
      </c>
      <c r="D766" s="102" t="str">
        <f>IFERROR(__xludf.DUMMYFUNCTION("""COMPUTED_VALUE"""),"085156269850")</f>
        <v>085156269850</v>
      </c>
      <c r="E766" s="25" t="str">
        <f>IFERROR(__xludf.DUMMYFUNCTION("""COMPUTED_VALUE"""),"Instagram")</f>
        <v>Instagram</v>
      </c>
      <c r="F766" s="25" t="str">
        <f>IFERROR(__xludf.DUMMYFUNCTION("""COMPUTED_VALUE"""),"Leads Baru")</f>
        <v>Leads Baru</v>
      </c>
      <c r="G766" s="25" t="str">
        <f>IFERROR(__xludf.DUMMYFUNCTION("""COMPUTED_VALUE"""),"3h2m")</f>
        <v>3h2m</v>
      </c>
      <c r="H766" s="78"/>
      <c r="I766" s="89"/>
      <c r="J766" s="96"/>
      <c r="K766" s="30"/>
      <c r="L766" s="49"/>
      <c r="M766" s="20"/>
      <c r="N766" s="20"/>
      <c r="O766" s="20"/>
      <c r="P766" s="20"/>
    </row>
    <row r="767">
      <c r="A767" s="97">
        <f>IFERROR(__xludf.DUMMYFUNCTION("""COMPUTED_VALUE"""),46208.0)</f>
        <v>46208</v>
      </c>
      <c r="B767" s="97" t="str">
        <f>IFERROR(__xludf.DUMMYFUNCTION("""COMPUTED_VALUE"""),"2607A039")</f>
        <v>2607A039</v>
      </c>
      <c r="C767" s="76" t="str">
        <f>IFERROR(__xludf.DUMMYFUNCTION("""COMPUTED_VALUE"""),"Benny")</f>
        <v>Benny</v>
      </c>
      <c r="D767" s="99" t="str">
        <f>IFERROR(__xludf.DUMMYFUNCTION("""COMPUTED_VALUE"""),"081371627539")</f>
        <v>081371627539</v>
      </c>
      <c r="E767" s="25" t="str">
        <f>IFERROR(__xludf.DUMMYFUNCTION("""COMPUTED_VALUE"""),"Website")</f>
        <v>Website</v>
      </c>
      <c r="F767" s="25" t="str">
        <f>IFERROR(__xludf.DUMMYFUNCTION("""COMPUTED_VALUE"""),"Leads Baru")</f>
        <v>Leads Baru</v>
      </c>
      <c r="G767" s="25" t="str">
        <f>IFERROR(__xludf.DUMMYFUNCTION("""COMPUTED_VALUE"""),"trip menjangan tabuhan")</f>
        <v>trip menjangan tabuhan</v>
      </c>
      <c r="H767" s="92"/>
      <c r="I767" s="80"/>
      <c r="J767" s="93"/>
      <c r="K767" s="19"/>
      <c r="L767" s="76"/>
      <c r="M767" s="20"/>
      <c r="N767" s="20"/>
      <c r="O767" s="20"/>
      <c r="P767" s="20"/>
    </row>
    <row r="768">
      <c r="A768" s="110">
        <f>IFERROR(__xludf.DUMMYFUNCTION("""COMPUTED_VALUE"""),46208.0)</f>
        <v>46208</v>
      </c>
      <c r="B768" s="110" t="str">
        <f>IFERROR(__xludf.DUMMYFUNCTION("""COMPUTED_VALUE"""),"2607A040")</f>
        <v>2607A040</v>
      </c>
      <c r="C768" s="49" t="str">
        <f>IFERROR(__xludf.DUMMYFUNCTION("""COMPUTED_VALUE"""),"Husnul utami")</f>
        <v>Husnul utami</v>
      </c>
      <c r="D768" s="102" t="str">
        <f>IFERROR(__xludf.DUMMYFUNCTION("""COMPUTED_VALUE"""),"08567215141")</f>
        <v>08567215141</v>
      </c>
      <c r="E768" s="25" t="str">
        <f>IFERROR(__xludf.DUMMYFUNCTION("""COMPUTED_VALUE"""),"Website")</f>
        <v>Website</v>
      </c>
      <c r="F768" s="25" t="str">
        <f>IFERROR(__xludf.DUMMYFUNCTION("""COMPUTED_VALUE"""),"Leads Baru")</f>
        <v>Leads Baru</v>
      </c>
      <c r="G768" s="25"/>
      <c r="H768" s="78"/>
      <c r="I768" s="27"/>
      <c r="J768" s="96"/>
      <c r="K768" s="30"/>
      <c r="L768" s="49"/>
      <c r="M768" s="20"/>
      <c r="N768" s="20"/>
      <c r="O768" s="20"/>
      <c r="P768" s="20"/>
    </row>
    <row r="769">
      <c r="A769" s="97">
        <f>IFERROR(__xludf.DUMMYFUNCTION("""COMPUTED_VALUE"""),46207.0)</f>
        <v>46207</v>
      </c>
      <c r="B769" s="97" t="str">
        <f>IFERROR(__xludf.DUMMYFUNCTION("""COMPUTED_VALUE"""),"2607A041")</f>
        <v>2607A041</v>
      </c>
      <c r="C769" s="76" t="str">
        <f>IFERROR(__xludf.DUMMYFUNCTION("""COMPUTED_VALUE"""),"putra")</f>
        <v>putra</v>
      </c>
      <c r="D769" s="99" t="str">
        <f>IFERROR(__xludf.DUMMYFUNCTION("""COMPUTED_VALUE"""),"082117565038")</f>
        <v>082117565038</v>
      </c>
      <c r="E769" s="25" t="str">
        <f>IFERROR(__xludf.DUMMYFUNCTION("""COMPUTED_VALUE"""),"Instagram")</f>
        <v>Instagram</v>
      </c>
      <c r="F769" s="25" t="str">
        <f>IFERROR(__xludf.DUMMYFUNCTION("""COMPUTED_VALUE"""),"Gagal")</f>
        <v>Gagal</v>
      </c>
      <c r="G769" s="25" t="str">
        <f>IFERROR(__xludf.DUMMYFUNCTION("""COMPUTED_VALUE"""),"trip menjangan tabuhan")</f>
        <v>trip menjangan tabuhan</v>
      </c>
      <c r="H769" s="16">
        <f>IFERROR(__xludf.DUMMYFUNCTION("""COMPUTED_VALUE"""),46209.0)</f>
        <v>46209</v>
      </c>
      <c r="I769" s="17">
        <f>IFERROR(__xludf.DUMMYFUNCTION("""COMPUTED_VALUE"""),4.0)</f>
        <v>4</v>
      </c>
      <c r="J769" s="54"/>
      <c r="K769" s="46"/>
      <c r="L769" s="76"/>
      <c r="M769" s="20"/>
      <c r="N769" s="20"/>
      <c r="O769" s="20"/>
      <c r="P769" s="20"/>
    </row>
    <row r="770">
      <c r="A770" s="110">
        <f>IFERROR(__xludf.DUMMYFUNCTION("""COMPUTED_VALUE"""),46208.0)</f>
        <v>46208</v>
      </c>
      <c r="B770" s="110" t="str">
        <f>IFERROR(__xludf.DUMMYFUNCTION("""COMPUTED_VALUE"""),"2607A042")</f>
        <v>2607A042</v>
      </c>
      <c r="C770" s="49" t="str">
        <f>IFERROR(__xludf.DUMMYFUNCTION("""COMPUTED_VALUE"""),"Septa")</f>
        <v>Septa</v>
      </c>
      <c r="D770" s="102" t="str">
        <f>IFERROR(__xludf.DUMMYFUNCTION("""COMPUTED_VALUE"""),"97477029200")</f>
        <v>97477029200</v>
      </c>
      <c r="E770" s="25" t="str">
        <f>IFERROR(__xludf.DUMMYFUNCTION("""COMPUTED_VALUE"""),"Lainnya")</f>
        <v>Lainnya</v>
      </c>
      <c r="F770" s="25" t="str">
        <f>IFERROR(__xludf.DUMMYFUNCTION("""COMPUTED_VALUE"""),"Gagal")</f>
        <v>Gagal</v>
      </c>
      <c r="G770" s="25"/>
      <c r="H770" s="78"/>
      <c r="I770" s="89">
        <f>IFERROR(__xludf.DUMMYFUNCTION("""COMPUTED_VALUE"""),3.0)</f>
        <v>3</v>
      </c>
      <c r="J770" s="96"/>
      <c r="K770" s="36" t="str">
        <f>IFERROR(__xludf.DUMMYFUNCTION("""COMPUTED_VALUE"""),"booking lewat suami (Asep)")</f>
        <v>booking lewat suami (Asep)</v>
      </c>
      <c r="L770" s="49"/>
      <c r="M770" s="20"/>
      <c r="N770" s="20"/>
      <c r="O770" s="20"/>
      <c r="P770" s="20"/>
    </row>
    <row r="771">
      <c r="A771" s="97">
        <f>IFERROR(__xludf.DUMMYFUNCTION("""COMPUTED_VALUE"""),46204.0)</f>
        <v>46204</v>
      </c>
      <c r="B771" s="97" t="str">
        <f>IFERROR(__xludf.DUMMYFUNCTION("""COMPUTED_VALUE"""),"2607A043")</f>
        <v>2607A043</v>
      </c>
      <c r="C771" s="76" t="str">
        <f>IFERROR(__xludf.DUMMYFUNCTION("""COMPUTED_VALUE"""),"Achmad N. Romdoni")</f>
        <v>Achmad N. Romdoni</v>
      </c>
      <c r="D771" s="99" t="str">
        <f>IFERROR(__xludf.DUMMYFUNCTION("""COMPUTED_VALUE"""),"0818473300")</f>
        <v>0818473300</v>
      </c>
      <c r="E771" s="25" t="str">
        <f>IFERROR(__xludf.DUMMYFUNCTION("""COMPUTED_VALUE"""),"Instagram")</f>
        <v>Instagram</v>
      </c>
      <c r="F771" s="25" t="str">
        <f>IFERROR(__xludf.DUMMYFUNCTION("""COMPUTED_VALUE"""),"Closing")</f>
        <v>Closing</v>
      </c>
      <c r="G771" s="25" t="str">
        <f>IFERROR(__xludf.DUMMYFUNCTION("""COMPUTED_VALUE"""),"ot kawah ijen")</f>
        <v>ot kawah ijen</v>
      </c>
      <c r="H771" s="92">
        <f>IFERROR(__xludf.DUMMYFUNCTION("""COMPUTED_VALUE"""),46205.0)</f>
        <v>46205</v>
      </c>
      <c r="I771" s="80">
        <f>IFERROR(__xludf.DUMMYFUNCTION("""COMPUTED_VALUE"""),1.0)</f>
        <v>1</v>
      </c>
      <c r="J771" s="54"/>
      <c r="K771" s="46" t="str">
        <f>IFERROR(__xludf.DUMMYFUNCTION("""COMPUTED_VALUE"""),"Order")</f>
        <v>Order</v>
      </c>
      <c r="L771" s="10"/>
      <c r="M771" s="20"/>
      <c r="N771" s="20"/>
      <c r="O771" s="20"/>
      <c r="P771" s="20"/>
    </row>
    <row r="772">
      <c r="A772" s="110">
        <f>IFERROR(__xludf.DUMMYFUNCTION("""COMPUTED_VALUE"""),46207.0)</f>
        <v>46207</v>
      </c>
      <c r="B772" s="110" t="str">
        <f>IFERROR(__xludf.DUMMYFUNCTION("""COMPUTED_VALUE"""),"2607A044")</f>
        <v>2607A044</v>
      </c>
      <c r="C772" s="49" t="str">
        <f>IFERROR(__xludf.DUMMYFUNCTION("""COMPUTED_VALUE"""),"Junaidi")</f>
        <v>Junaidi</v>
      </c>
      <c r="D772" s="99"/>
      <c r="E772" s="25" t="str">
        <f>IFERROR(__xludf.DUMMYFUNCTION("""COMPUTED_VALUE"""),"Rekomendasi")</f>
        <v>Rekomendasi</v>
      </c>
      <c r="F772" s="25" t="str">
        <f>IFERROR(__xludf.DUMMYFUNCTION("""COMPUTED_VALUE"""),"Closing")</f>
        <v>Closing</v>
      </c>
      <c r="G772" s="25" t="str">
        <f>IFERROR(__xludf.DUMMYFUNCTION("""COMPUTED_VALUE"""),"2H1M Z")</f>
        <v>2H1M Z</v>
      </c>
      <c r="H772" s="78"/>
      <c r="I772" s="89">
        <f>IFERROR(__xludf.DUMMYFUNCTION("""COMPUTED_VALUE"""),4.0)</f>
        <v>4</v>
      </c>
      <c r="J772" s="96"/>
      <c r="K772" s="30"/>
      <c r="L772" s="49"/>
      <c r="M772" s="20"/>
      <c r="N772" s="20"/>
      <c r="O772" s="20"/>
      <c r="P772" s="20"/>
    </row>
    <row r="773">
      <c r="A773" s="97">
        <f>IFERROR(__xludf.DUMMYFUNCTION("""COMPUTED_VALUE"""),46208.0)</f>
        <v>46208</v>
      </c>
      <c r="B773" s="110" t="str">
        <f>IFERROR(__xludf.DUMMYFUNCTION("""COMPUTED_VALUE"""),"2607A045")</f>
        <v>2607A045</v>
      </c>
      <c r="C773" s="76" t="str">
        <f>IFERROR(__xludf.DUMMYFUNCTION("""COMPUTED_VALUE"""),"Obi")</f>
        <v>Obi</v>
      </c>
      <c r="D773" s="99" t="str">
        <f>IFERROR(__xludf.DUMMYFUNCTION("""COMPUTED_VALUE"""),"089650694886")</f>
        <v>089650694886</v>
      </c>
      <c r="E773" s="25" t="str">
        <f>IFERROR(__xludf.DUMMYFUNCTION("""COMPUTED_VALUE"""),"Instagram")</f>
        <v>Instagram</v>
      </c>
      <c r="F773" s="25" t="str">
        <f>IFERROR(__xludf.DUMMYFUNCTION("""COMPUTED_VALUE"""),"Leads Baru")</f>
        <v>Leads Baru</v>
      </c>
      <c r="G773" s="25" t="str">
        <f>IFERROR(__xludf.DUMMYFUNCTION("""COMPUTED_VALUE"""),"3h2m")</f>
        <v>3h2m</v>
      </c>
      <c r="H773" s="92"/>
      <c r="I773" s="80">
        <f>IFERROR(__xludf.DUMMYFUNCTION("""COMPUTED_VALUE"""),6.0)</f>
        <v>6</v>
      </c>
      <c r="J773" s="93"/>
      <c r="K773" s="46"/>
      <c r="L773" s="76"/>
      <c r="M773" s="20"/>
      <c r="N773" s="20"/>
      <c r="O773" s="20"/>
      <c r="P773" s="20"/>
    </row>
    <row r="774">
      <c r="A774" s="110">
        <f>IFERROR(__xludf.DUMMYFUNCTION("""COMPUTED_VALUE"""),46208.0)</f>
        <v>46208</v>
      </c>
      <c r="B774" s="110" t="str">
        <f>IFERROR(__xludf.DUMMYFUNCTION("""COMPUTED_VALUE"""),"2607A046")</f>
        <v>2607A046</v>
      </c>
      <c r="C774" s="49" t="str">
        <f>IFERROR(__xludf.DUMMYFUNCTION("""COMPUTED_VALUE"""),"Rizky Ardhian")</f>
        <v>Rizky Ardhian</v>
      </c>
      <c r="D774" s="102" t="str">
        <f>IFERROR(__xludf.DUMMYFUNCTION("""COMPUTED_VALUE"""),"087710103785")</f>
        <v>087710103785</v>
      </c>
      <c r="E774" s="25" t="str">
        <f>IFERROR(__xludf.DUMMYFUNCTION("""COMPUTED_VALUE"""),"Instagram")</f>
        <v>Instagram</v>
      </c>
      <c r="F774" s="25" t="str">
        <f>IFERROR(__xludf.DUMMYFUNCTION("""COMPUTED_VALUE"""),"Leads Baru")</f>
        <v>Leads Baru</v>
      </c>
      <c r="G774" s="25" t="str">
        <f>IFERROR(__xludf.DUMMYFUNCTION("""COMPUTED_VALUE"""),"2h1m")</f>
        <v>2h1m</v>
      </c>
      <c r="H774" s="26"/>
      <c r="I774" s="27"/>
      <c r="J774" s="33"/>
      <c r="K774" s="30"/>
      <c r="L774" s="49"/>
      <c r="M774" s="20"/>
      <c r="N774" s="20"/>
      <c r="O774" s="20"/>
      <c r="P774" s="20"/>
    </row>
    <row r="775">
      <c r="A775" s="97">
        <f>IFERROR(__xludf.DUMMYFUNCTION("""COMPUTED_VALUE"""),46209.0)</f>
        <v>46209</v>
      </c>
      <c r="B775" s="110" t="str">
        <f>IFERROR(__xludf.DUMMYFUNCTION("""COMPUTED_VALUE"""),"2607A047")</f>
        <v>2607A047</v>
      </c>
      <c r="C775" s="76" t="str">
        <f>IFERROR(__xludf.DUMMYFUNCTION("""COMPUTED_VALUE"""),"Hotline")</f>
        <v>Hotline</v>
      </c>
      <c r="D775" s="99" t="str">
        <f>IFERROR(__xludf.DUMMYFUNCTION("""COMPUTED_VALUE"""),"0811222037")</f>
        <v>0811222037</v>
      </c>
      <c r="E775" s="25" t="str">
        <f>IFERROR(__xludf.DUMMYFUNCTION("""COMPUTED_VALUE"""),"Website")</f>
        <v>Website</v>
      </c>
      <c r="F775" s="25" t="str">
        <f>IFERROR(__xludf.DUMMYFUNCTION("""COMPUTED_VALUE"""),"Leads Baru")</f>
        <v>Leads Baru</v>
      </c>
      <c r="G775" s="25"/>
      <c r="H775" s="92"/>
      <c r="I775" s="80"/>
      <c r="J775" s="93"/>
      <c r="K775" s="46"/>
      <c r="L775" s="76"/>
      <c r="M775" s="20"/>
      <c r="N775" s="20"/>
      <c r="O775" s="20"/>
      <c r="P775" s="20"/>
    </row>
    <row r="776">
      <c r="A776" s="110">
        <f>IFERROR(__xludf.DUMMYFUNCTION("""COMPUTED_VALUE"""),46209.0)</f>
        <v>46209</v>
      </c>
      <c r="B776" s="110" t="str">
        <f>IFERROR(__xludf.DUMMYFUNCTION("""COMPUTED_VALUE"""),"2607A048")</f>
        <v>2607A048</v>
      </c>
      <c r="C776" s="49" t="str">
        <f>IFERROR(__xludf.DUMMYFUNCTION("""COMPUTED_VALUE"""),"Echapita")</f>
        <v>Echapita</v>
      </c>
      <c r="D776" s="102" t="str">
        <f>IFERROR(__xludf.DUMMYFUNCTION("""COMPUTED_VALUE"""),"0816692496")</f>
        <v>0816692496</v>
      </c>
      <c r="E776" s="25" t="str">
        <f>IFERROR(__xludf.DUMMYFUNCTION("""COMPUTED_VALUE"""),"Instagram")</f>
        <v>Instagram</v>
      </c>
      <c r="F776" s="25" t="str">
        <f>IFERROR(__xludf.DUMMYFUNCTION("""COMPUTED_VALUE"""),"Gagal")</f>
        <v>Gagal</v>
      </c>
      <c r="G776" s="25" t="str">
        <f>IFERROR(__xludf.DUMMYFUNCTION("""COMPUTED_VALUE"""),"djawatan, green island, pulau merah")</f>
        <v>djawatan, green island, pulau merah</v>
      </c>
      <c r="H776" s="78"/>
      <c r="I776" s="89"/>
      <c r="J776" s="96"/>
      <c r="K776" s="30" t="str">
        <f>IFERROR(__xludf.DUMMYFUNCTION("""COMPUTED_VALUE"""),"gada balasan")</f>
        <v>gada balasan</v>
      </c>
      <c r="L776" s="49"/>
      <c r="M776" s="20"/>
      <c r="N776" s="20"/>
      <c r="O776" s="20"/>
      <c r="P776" s="20"/>
    </row>
    <row r="777">
      <c r="A777" s="97">
        <f>IFERROR(__xludf.DUMMYFUNCTION("""COMPUTED_VALUE"""),46209.0)</f>
        <v>46209</v>
      </c>
      <c r="B777" s="97" t="str">
        <f>IFERROR(__xludf.DUMMYFUNCTION("""COMPUTED_VALUE"""),"2607A049")</f>
        <v>2607A049</v>
      </c>
      <c r="C777" s="76" t="str">
        <f>IFERROR(__xludf.DUMMYFUNCTION("""COMPUTED_VALUE"""),"Ranie")</f>
        <v>Ranie</v>
      </c>
      <c r="D777" s="99" t="str">
        <f>IFERROR(__xludf.DUMMYFUNCTION("""COMPUTED_VALUE"""),"082231874445")</f>
        <v>082231874445</v>
      </c>
      <c r="E777" s="25" t="str">
        <f>IFERROR(__xludf.DUMMYFUNCTION("""COMPUTED_VALUE"""),"Instagram")</f>
        <v>Instagram</v>
      </c>
      <c r="F777" s="25" t="str">
        <f>IFERROR(__xludf.DUMMYFUNCTION("""COMPUTED_VALUE"""),"Closing")</f>
        <v>Closing</v>
      </c>
      <c r="G777" s="25" t="str">
        <f>IFERROR(__xludf.DUMMYFUNCTION("""COMPUTED_VALUE"""),"djawatan, baluran")</f>
        <v>djawatan, baluran</v>
      </c>
      <c r="H777" s="92">
        <f>IFERROR(__xludf.DUMMYFUNCTION("""COMPUTED_VALUE"""),46210.0)</f>
        <v>46210</v>
      </c>
      <c r="I777" s="17">
        <f>IFERROR(__xludf.DUMMYFUNCTION("""COMPUTED_VALUE"""),3.0)</f>
        <v>3</v>
      </c>
      <c r="J777" s="129">
        <f>IFERROR(__xludf.DUMMYFUNCTION("""COMPUTED_VALUE"""),1875000.0)</f>
        <v>1875000</v>
      </c>
      <c r="K777" s="46" t="str">
        <f>IFERROR(__xludf.DUMMYFUNCTION("""COMPUTED_VALUE"""),"Order")</f>
        <v>Order</v>
      </c>
      <c r="L777" s="76"/>
      <c r="M777" s="20"/>
      <c r="N777" s="20"/>
      <c r="O777" s="20"/>
      <c r="P777" s="20"/>
    </row>
    <row r="778">
      <c r="A778" s="110">
        <f>IFERROR(__xludf.DUMMYFUNCTION("""COMPUTED_VALUE"""),46210.0)</f>
        <v>46210</v>
      </c>
      <c r="B778" s="110" t="str">
        <f>IFERROR(__xludf.DUMMYFUNCTION("""COMPUTED_VALUE"""),"2607A050")</f>
        <v>2607A050</v>
      </c>
      <c r="C778" s="49" t="str">
        <f>IFERROR(__xludf.DUMMYFUNCTION("""COMPUTED_VALUE"""),"Asep Sanudin")</f>
        <v>Asep Sanudin</v>
      </c>
      <c r="D778" s="102" t="str">
        <f>IFERROR(__xludf.DUMMYFUNCTION("""COMPUTED_VALUE"""),"97455020935")</f>
        <v>97455020935</v>
      </c>
      <c r="E778" s="25" t="str">
        <f>IFERROR(__xludf.DUMMYFUNCTION("""COMPUTED_VALUE"""),"Rekomendasi")</f>
        <v>Rekomendasi</v>
      </c>
      <c r="F778" s="25" t="str">
        <f>IFERROR(__xludf.DUMMYFUNCTION("""COMPUTED_VALUE"""),"Closing")</f>
        <v>Closing</v>
      </c>
      <c r="G778" s="25" t="str">
        <f>IFERROR(__xludf.DUMMYFUNCTION("""COMPUTED_VALUE"""),"5h4m")</f>
        <v>5h4m</v>
      </c>
      <c r="H778" s="78"/>
      <c r="I778" s="89">
        <f>IFERROR(__xludf.DUMMYFUNCTION("""COMPUTED_VALUE"""),2.0)</f>
        <v>2</v>
      </c>
      <c r="J778" s="143">
        <f>IFERROR(__xludf.DUMMYFUNCTION("""COMPUTED_VALUE"""),1.82E7)</f>
        <v>18200000</v>
      </c>
      <c r="K778" s="30" t="str">
        <f>IFERROR(__xludf.DUMMYFUNCTION("""COMPUTED_VALUE"""),"orderr")</f>
        <v>orderr</v>
      </c>
      <c r="L778" s="49"/>
      <c r="M778" s="20"/>
      <c r="N778" s="20"/>
      <c r="O778" s="20"/>
      <c r="P778" s="20"/>
    </row>
    <row r="779">
      <c r="A779" s="97">
        <f>IFERROR(__xludf.DUMMYFUNCTION("""COMPUTED_VALUE"""),46209.0)</f>
        <v>46209</v>
      </c>
      <c r="B779" s="97" t="str">
        <f>IFERROR(__xludf.DUMMYFUNCTION("""COMPUTED_VALUE"""),"2606A051")</f>
        <v>2606A051</v>
      </c>
      <c r="C779" s="76" t="str">
        <f>IFERROR(__xludf.DUMMYFUNCTION("""COMPUTED_VALUE"""),"Kat")</f>
        <v>Kat</v>
      </c>
      <c r="D779" s="99" t="str">
        <f>IFERROR(__xludf.DUMMYFUNCTION("""COMPUTED_VALUE"""),"081290273672")</f>
        <v>081290273672</v>
      </c>
      <c r="E779" s="25" t="str">
        <f>IFERROR(__xludf.DUMMYFUNCTION("""COMPUTED_VALUE"""),"Instagram")</f>
        <v>Instagram</v>
      </c>
      <c r="F779" s="25" t="str">
        <f>IFERROR(__xludf.DUMMYFUNCTION("""COMPUTED_VALUE"""),"Leads Baru")</f>
        <v>Leads Baru</v>
      </c>
      <c r="G779" s="25"/>
      <c r="H779" s="92"/>
      <c r="I779" s="80"/>
      <c r="J779" s="93"/>
      <c r="K779" s="19"/>
      <c r="L779" s="76"/>
      <c r="M779" s="20"/>
      <c r="N779" s="20"/>
      <c r="O779" s="20"/>
      <c r="P779" s="20"/>
    </row>
    <row r="780">
      <c r="A780" s="110">
        <f>IFERROR(__xludf.DUMMYFUNCTION("""COMPUTED_VALUE"""),46209.0)</f>
        <v>46209</v>
      </c>
      <c r="B780" s="110" t="str">
        <f>IFERROR(__xludf.DUMMYFUNCTION("""COMPUTED_VALUE"""),"2606A052")</f>
        <v>2606A052</v>
      </c>
      <c r="C780" s="49" t="str">
        <f>IFERROR(__xludf.DUMMYFUNCTION("""COMPUTED_VALUE"""),"Dayat")</f>
        <v>Dayat</v>
      </c>
      <c r="D780" s="102" t="str">
        <f>IFERROR(__xludf.DUMMYFUNCTION("""COMPUTED_VALUE"""),"08986944442")</f>
        <v>08986944442</v>
      </c>
      <c r="E780" s="25" t="str">
        <f>IFERROR(__xludf.DUMMYFUNCTION("""COMPUTED_VALUE"""),"Instagram")</f>
        <v>Instagram</v>
      </c>
      <c r="F780" s="25" t="str">
        <f>IFERROR(__xludf.DUMMYFUNCTION("""COMPUTED_VALUE"""),"Follow Up")</f>
        <v>Follow Up</v>
      </c>
      <c r="G780" s="25" t="str">
        <f>IFERROR(__xludf.DUMMYFUNCTION("""COMPUTED_VALUE"""),"ot mt")</f>
        <v>ot mt</v>
      </c>
      <c r="H780" s="78">
        <f>IFERROR(__xludf.DUMMYFUNCTION("""COMPUTED_VALUE"""),46218.0)</f>
        <v>46218</v>
      </c>
      <c r="I780" s="89">
        <f>IFERROR(__xludf.DUMMYFUNCTION("""COMPUTED_VALUE"""),2.0)</f>
        <v>2</v>
      </c>
      <c r="J780" s="96"/>
      <c r="K780" s="30"/>
      <c r="L780" s="49"/>
      <c r="M780" s="20"/>
      <c r="N780" s="20"/>
      <c r="O780" s="20"/>
      <c r="P780" s="20"/>
    </row>
    <row r="781">
      <c r="A781" s="97">
        <f>IFERROR(__xludf.DUMMYFUNCTION("""COMPUTED_VALUE"""),46210.0)</f>
        <v>46210</v>
      </c>
      <c r="B781" s="97" t="str">
        <f>IFERROR(__xludf.DUMMYFUNCTION("""COMPUTED_VALUE"""),"2607A053")</f>
        <v>2607A053</v>
      </c>
      <c r="C781" s="76" t="str">
        <f>IFERROR(__xludf.DUMMYFUNCTION("""COMPUTED_VALUE"""),"Ryo")</f>
        <v>Ryo</v>
      </c>
      <c r="D781" s="99" t="str">
        <f>IFERROR(__xludf.DUMMYFUNCTION("""COMPUTED_VALUE"""),"08170929888")</f>
        <v>08170929888</v>
      </c>
      <c r="E781" s="25" t="str">
        <f>IFERROR(__xludf.DUMMYFUNCTION("""COMPUTED_VALUE"""),"Instagram")</f>
        <v>Instagram</v>
      </c>
      <c r="F781" s="25" t="str">
        <f>IFERROR(__xludf.DUMMYFUNCTION("""COMPUTED_VALUE"""),"Qualified")</f>
        <v>Qualified</v>
      </c>
      <c r="G781" s="25" t="str">
        <f>IFERROR(__xludf.DUMMYFUNCTION("""COMPUTED_VALUE"""),"ot mt, ot kawah ijen")</f>
        <v>ot mt, ot kawah ijen</v>
      </c>
      <c r="H781" s="92"/>
      <c r="I781" s="80"/>
      <c r="J781" s="93"/>
      <c r="K781" s="19"/>
      <c r="L781" s="76"/>
      <c r="M781" s="20"/>
      <c r="N781" s="20"/>
      <c r="O781" s="20"/>
      <c r="P781" s="20"/>
    </row>
    <row r="782">
      <c r="A782" s="110">
        <f>IFERROR(__xludf.DUMMYFUNCTION("""COMPUTED_VALUE"""),46210.0)</f>
        <v>46210</v>
      </c>
      <c r="B782" s="110" t="str">
        <f>IFERROR(__xludf.DUMMYFUNCTION("""COMPUTED_VALUE"""),"2607A054")</f>
        <v>2607A054</v>
      </c>
      <c r="C782" s="49" t="str">
        <f>IFERROR(__xludf.DUMMYFUNCTION("""COMPUTED_VALUE"""),"Tri Suryaningsih")</f>
        <v>Tri Suryaningsih</v>
      </c>
      <c r="D782" s="102" t="str">
        <f>IFERROR(__xludf.DUMMYFUNCTION("""COMPUTED_VALUE"""),"087887127156")</f>
        <v>087887127156</v>
      </c>
      <c r="E782" s="25" t="str">
        <f>IFERROR(__xludf.DUMMYFUNCTION("""COMPUTED_VALUE"""),"Website")</f>
        <v>Website</v>
      </c>
      <c r="F782" s="25" t="str">
        <f>IFERROR(__xludf.DUMMYFUNCTION("""COMPUTED_VALUE"""),"Gagal")</f>
        <v>Gagal</v>
      </c>
      <c r="G782" s="25" t="str">
        <f>IFERROR(__xludf.DUMMYFUNCTION("""COMPUTED_VALUE"""),"menjangan tabuhan")</f>
        <v>menjangan tabuhan</v>
      </c>
      <c r="H782" s="78"/>
      <c r="I782" s="89"/>
      <c r="J782" s="96"/>
      <c r="K782" s="36" t="str">
        <f>IFERROR(__xludf.DUMMYFUNCTION("""COMPUTED_VALUE"""),"gada balasan")</f>
        <v>gada balasan</v>
      </c>
      <c r="L782" s="23"/>
      <c r="M782" s="20"/>
      <c r="N782" s="20"/>
      <c r="O782" s="20"/>
      <c r="P782" s="20"/>
    </row>
    <row r="783">
      <c r="A783" s="97">
        <f>IFERROR(__xludf.DUMMYFUNCTION("""COMPUTED_VALUE"""),46209.0)</f>
        <v>46209</v>
      </c>
      <c r="B783" s="97" t="str">
        <f>IFERROR(__xludf.DUMMYFUNCTION("""COMPUTED_VALUE"""),"2607A055")</f>
        <v>2607A055</v>
      </c>
      <c r="C783" s="76" t="str">
        <f>IFERROR(__xludf.DUMMYFUNCTION("""COMPUTED_VALUE"""),"Widia")</f>
        <v>Widia</v>
      </c>
      <c r="D783" s="99" t="str">
        <f>IFERROR(__xludf.DUMMYFUNCTION("""COMPUTED_VALUE"""),"081381222334")</f>
        <v>081381222334</v>
      </c>
      <c r="E783" s="25" t="str">
        <f>IFERROR(__xludf.DUMMYFUNCTION("""COMPUTED_VALUE"""),"Website")</f>
        <v>Website</v>
      </c>
      <c r="F783" s="25" t="str">
        <f>IFERROR(__xludf.DUMMYFUNCTION("""COMPUTED_VALUE"""),"Gagal")</f>
        <v>Gagal</v>
      </c>
      <c r="G783" s="25"/>
      <c r="H783" s="92"/>
      <c r="I783" s="17"/>
      <c r="J783" s="129"/>
      <c r="K783" s="19" t="str">
        <f>IFERROR(__xludf.DUMMYFUNCTION("""COMPUTED_VALUE"""),"closing di holiday")</f>
        <v>closing di holiday</v>
      </c>
      <c r="L783" s="76"/>
      <c r="M783" s="20"/>
      <c r="N783" s="20"/>
      <c r="O783" s="20"/>
      <c r="P783" s="20"/>
    </row>
    <row r="784">
      <c r="A784" s="110">
        <f>IFERROR(__xludf.DUMMYFUNCTION("""COMPUTED_VALUE"""),46210.0)</f>
        <v>46210</v>
      </c>
      <c r="B784" s="110" t="str">
        <f>IFERROR(__xludf.DUMMYFUNCTION("""COMPUTED_VALUE"""),"2607A056")</f>
        <v>2607A056</v>
      </c>
      <c r="C784" s="49" t="str">
        <f>IFERROR(__xludf.DUMMYFUNCTION("""COMPUTED_VALUE"""),"Tina")</f>
        <v>Tina</v>
      </c>
      <c r="D784" s="102" t="str">
        <f>IFERROR(__xludf.DUMMYFUNCTION("""COMPUTED_VALUE"""),"081385621094")</f>
        <v>081385621094</v>
      </c>
      <c r="E784" s="25" t="str">
        <f>IFERROR(__xludf.DUMMYFUNCTION("""COMPUTED_VALUE"""),"Instagram")</f>
        <v>Instagram</v>
      </c>
      <c r="F784" s="25" t="str">
        <f>IFERROR(__xludf.DUMMYFUNCTION("""COMPUTED_VALUE"""),"Leads Baru")</f>
        <v>Leads Baru</v>
      </c>
      <c r="G784" s="25" t="str">
        <f>IFERROR(__xludf.DUMMYFUNCTION("""COMPUTED_VALUE"""),"2h1m")</f>
        <v>2h1m</v>
      </c>
      <c r="H784" s="26"/>
      <c r="I784" s="89"/>
      <c r="J784" s="96"/>
      <c r="K784" s="36"/>
      <c r="L784" s="49"/>
      <c r="M784" s="20"/>
      <c r="N784" s="20"/>
      <c r="O784" s="20"/>
      <c r="P784" s="20"/>
    </row>
    <row r="785">
      <c r="A785" s="97">
        <f>IFERROR(__xludf.DUMMYFUNCTION("""COMPUTED_VALUE"""),46211.0)</f>
        <v>46211</v>
      </c>
      <c r="B785" s="97" t="str">
        <f>IFERROR(__xludf.DUMMYFUNCTION("""COMPUTED_VALUE"""),"2607A057")</f>
        <v>2607A057</v>
      </c>
      <c r="C785" s="76" t="str">
        <f>IFERROR(__xludf.DUMMYFUNCTION("""COMPUTED_VALUE"""),"Sonya McGuire")</f>
        <v>Sonya McGuire</v>
      </c>
      <c r="D785" s="99" t="str">
        <f>IFERROR(__xludf.DUMMYFUNCTION("""COMPUTED_VALUE"""),"61494143452")</f>
        <v>61494143452</v>
      </c>
      <c r="E785" s="25" t="str">
        <f>IFERROR(__xludf.DUMMYFUNCTION("""COMPUTED_VALUE"""),"Instagram")</f>
        <v>Instagram</v>
      </c>
      <c r="F785" s="25" t="str">
        <f>IFERROR(__xludf.DUMMYFUNCTION("""COMPUTED_VALUE"""),"Gagal")</f>
        <v>Gagal</v>
      </c>
      <c r="G785" s="25"/>
      <c r="H785" s="16"/>
      <c r="I785" s="17"/>
      <c r="J785" s="54"/>
      <c r="K785" s="46"/>
      <c r="L785" s="76"/>
      <c r="M785" s="20"/>
      <c r="N785" s="20"/>
      <c r="O785" s="20"/>
      <c r="P785" s="20"/>
    </row>
    <row r="786">
      <c r="A786" s="110">
        <f>IFERROR(__xludf.DUMMYFUNCTION("""COMPUTED_VALUE"""),46211.0)</f>
        <v>46211</v>
      </c>
      <c r="B786" s="135" t="str">
        <f>IFERROR(__xludf.DUMMYFUNCTION("""COMPUTED_VALUE"""),"2607A058")</f>
        <v>2607A058</v>
      </c>
      <c r="C786" s="49" t="str">
        <f>IFERROR(__xludf.DUMMYFUNCTION("""COMPUTED_VALUE"""),"Anja")</f>
        <v>Anja</v>
      </c>
      <c r="D786" s="102" t="str">
        <f>IFERROR(__xludf.DUMMYFUNCTION("""COMPUTED_VALUE"""),"089502185680")</f>
        <v>089502185680</v>
      </c>
      <c r="E786" s="25" t="str">
        <f>IFERROR(__xludf.DUMMYFUNCTION("""COMPUTED_VALUE"""),"Instagram")</f>
        <v>Instagram</v>
      </c>
      <c r="F786" s="25" t="str">
        <f>IFERROR(__xludf.DUMMYFUNCTION("""COMPUTED_VALUE"""),"Leads Baru")</f>
        <v>Leads Baru</v>
      </c>
      <c r="G786" s="25" t="str">
        <f>IFERROR(__xludf.DUMMYFUNCTION("""COMPUTED_VALUE"""),"3h2m")</f>
        <v>3h2m</v>
      </c>
      <c r="H786" s="78"/>
      <c r="I786" s="89">
        <f>IFERROR(__xludf.DUMMYFUNCTION("""COMPUTED_VALUE"""),81.0)</f>
        <v>81</v>
      </c>
      <c r="J786" s="96"/>
      <c r="K786" s="36"/>
      <c r="L786" s="49"/>
      <c r="M786" s="20"/>
      <c r="N786" s="20"/>
      <c r="O786" s="20"/>
      <c r="P786" s="20"/>
    </row>
    <row r="787">
      <c r="A787" s="97">
        <f>IFERROR(__xludf.DUMMYFUNCTION("""COMPUTED_VALUE"""),46211.0)</f>
        <v>46211</v>
      </c>
      <c r="B787" s="97" t="str">
        <f>IFERROR(__xludf.DUMMYFUNCTION("""COMPUTED_VALUE"""),"2607A059")</f>
        <v>2607A059</v>
      </c>
      <c r="C787" s="76" t="str">
        <f>IFERROR(__xludf.DUMMYFUNCTION("""COMPUTED_VALUE"""),"Welan")</f>
        <v>Welan</v>
      </c>
      <c r="D787" s="99" t="str">
        <f>IFERROR(__xludf.DUMMYFUNCTION("""COMPUTED_VALUE"""),"081286863086")</f>
        <v>081286863086</v>
      </c>
      <c r="E787" s="25" t="str">
        <f>IFERROR(__xludf.DUMMYFUNCTION("""COMPUTED_VALUE"""),"Instagram")</f>
        <v>Instagram</v>
      </c>
      <c r="F787" s="25" t="str">
        <f>IFERROR(__xludf.DUMMYFUNCTION("""COMPUTED_VALUE"""),"Leads Baru")</f>
        <v>Leads Baru</v>
      </c>
      <c r="G787" s="25"/>
      <c r="H787" s="92"/>
      <c r="I787" s="80"/>
      <c r="J787" s="93"/>
      <c r="K787" s="46"/>
      <c r="L787" s="76"/>
      <c r="M787" s="20"/>
      <c r="N787" s="20"/>
      <c r="O787" s="20"/>
      <c r="P787" s="20"/>
    </row>
    <row r="788">
      <c r="A788" s="110">
        <f>IFERROR(__xludf.DUMMYFUNCTION("""COMPUTED_VALUE"""),46211.0)</f>
        <v>46211</v>
      </c>
      <c r="B788" s="110" t="str">
        <f>IFERROR(__xludf.DUMMYFUNCTION("""COMPUTED_VALUE"""),"2607A060")</f>
        <v>2607A060</v>
      </c>
      <c r="C788" s="49" t="str">
        <f>IFERROR(__xludf.DUMMYFUNCTION("""COMPUTED_VALUE"""),"Arif")</f>
        <v>Arif</v>
      </c>
      <c r="D788" s="102" t="str">
        <f>IFERROR(__xludf.DUMMYFUNCTION("""COMPUTED_VALUE"""),"085156825258")</f>
        <v>085156825258</v>
      </c>
      <c r="E788" s="25" t="str">
        <f>IFERROR(__xludf.DUMMYFUNCTION("""COMPUTED_VALUE"""),"Website")</f>
        <v>Website</v>
      </c>
      <c r="F788" s="25" t="str">
        <f>IFERROR(__xludf.DUMMYFUNCTION("""COMPUTED_VALUE"""),"Qualified")</f>
        <v>Qualified</v>
      </c>
      <c r="G788" s="25" t="str">
        <f>IFERROR(__xludf.DUMMYFUNCTION("""COMPUTED_VALUE"""),"2h1m")</f>
        <v>2h1m</v>
      </c>
      <c r="H788" s="26"/>
      <c r="I788" s="27"/>
      <c r="J788" s="33"/>
      <c r="K788" s="30"/>
      <c r="L788" s="49"/>
      <c r="M788" s="20"/>
      <c r="N788" s="20"/>
      <c r="O788" s="20"/>
      <c r="P788" s="20"/>
    </row>
    <row r="789">
      <c r="A789" s="110">
        <f>IFERROR(__xludf.DUMMYFUNCTION("""COMPUTED_VALUE"""),46212.0)</f>
        <v>46212</v>
      </c>
      <c r="B789" s="97" t="str">
        <f>IFERROR(__xludf.DUMMYFUNCTION("""COMPUTED_VALUE"""),"2607A061")</f>
        <v>2607A061</v>
      </c>
      <c r="C789" s="76" t="str">
        <f>IFERROR(__xludf.DUMMYFUNCTION("""COMPUTED_VALUE"""),"Nawal")</f>
        <v>Nawal</v>
      </c>
      <c r="D789" s="99" t="str">
        <f>IFERROR(__xludf.DUMMYFUNCTION("""COMPUTED_VALUE"""),"087727562567")</f>
        <v>087727562567</v>
      </c>
      <c r="E789" s="25" t="str">
        <f>IFERROR(__xludf.DUMMYFUNCTION("""COMPUTED_VALUE"""),"Lainnya")</f>
        <v>Lainnya</v>
      </c>
      <c r="F789" s="25" t="str">
        <f>IFERROR(__xludf.DUMMYFUNCTION("""COMPUTED_VALUE"""),"Leads Baru")</f>
        <v>Leads Baru</v>
      </c>
      <c r="G789" s="25"/>
      <c r="H789" s="92"/>
      <c r="I789" s="80"/>
      <c r="J789" s="93"/>
      <c r="K789" s="19" t="str">
        <f>IFERROR(__xludf.DUMMYFUNCTION("""COMPUTED_VALUE"""),"lanjutan si arif")</f>
        <v>lanjutan si arif</v>
      </c>
      <c r="L789" s="76"/>
      <c r="M789" s="20"/>
      <c r="N789" s="20"/>
      <c r="O789" s="20"/>
      <c r="P789" s="20"/>
    </row>
    <row r="790">
      <c r="A790" s="110">
        <f>IFERROR(__xludf.DUMMYFUNCTION("""COMPUTED_VALUE"""),46212.0)</f>
        <v>46212</v>
      </c>
      <c r="B790" s="110" t="str">
        <f>IFERROR(__xludf.DUMMYFUNCTION("""COMPUTED_VALUE"""),"2607A062")</f>
        <v>2607A062</v>
      </c>
      <c r="C790" s="49" t="str">
        <f>IFERROR(__xludf.DUMMYFUNCTION("""COMPUTED_VALUE"""),"kiky Poerwanti")</f>
        <v>kiky Poerwanti</v>
      </c>
      <c r="D790" s="102" t="str">
        <f>IFERROR(__xludf.DUMMYFUNCTION("""COMPUTED_VALUE"""),"085221033300")</f>
        <v>085221033300</v>
      </c>
      <c r="E790" s="25" t="str">
        <f>IFERROR(__xludf.DUMMYFUNCTION("""COMPUTED_VALUE"""),"Lainnya")</f>
        <v>Lainnya</v>
      </c>
      <c r="F790" s="25" t="str">
        <f>IFERROR(__xludf.DUMMYFUNCTION("""COMPUTED_VALUE"""),"Closing")</f>
        <v>Closing</v>
      </c>
      <c r="G790" s="25" t="str">
        <f>IFERROR(__xludf.DUMMYFUNCTION("""COMPUTED_VALUE"""),"private trip mt")</f>
        <v>private trip mt</v>
      </c>
      <c r="H790" s="78">
        <f>IFERROR(__xludf.DUMMYFUNCTION("""COMPUTED_VALUE"""),46214.0)</f>
        <v>46214</v>
      </c>
      <c r="I790" s="89">
        <f>IFERROR(__xludf.DUMMYFUNCTION("""COMPUTED_VALUE"""),4.0)</f>
        <v>4</v>
      </c>
      <c r="J790" s="96">
        <f>IFERROR(__xludf.DUMMYFUNCTION("""COMPUTED_VALUE"""),2000000.0)</f>
        <v>2000000</v>
      </c>
      <c r="K790" s="30" t="str">
        <f>IFERROR(__xludf.DUMMYFUNCTION("""COMPUTED_VALUE"""),"alhamdulillah closing")</f>
        <v>alhamdulillah closing</v>
      </c>
      <c r="L790" s="49"/>
      <c r="M790" s="20"/>
      <c r="N790" s="20"/>
      <c r="O790" s="20"/>
      <c r="P790" s="20"/>
    </row>
    <row r="791">
      <c r="A791" s="97">
        <f>IFERROR(__xludf.DUMMYFUNCTION("""COMPUTED_VALUE"""),46211.0)</f>
        <v>46211</v>
      </c>
      <c r="B791" s="97" t="str">
        <f>IFERROR(__xludf.DUMMYFUNCTION("""COMPUTED_VALUE"""),"2607A063")</f>
        <v>2607A063</v>
      </c>
      <c r="C791" s="76" t="str">
        <f>IFERROR(__xludf.DUMMYFUNCTION("""COMPUTED_VALUE"""),"Tonie")</f>
        <v>Tonie</v>
      </c>
      <c r="D791" s="99" t="str">
        <f>IFERROR(__xludf.DUMMYFUNCTION("""COMPUTED_VALUE"""),"081232639790")</f>
        <v>081232639790</v>
      </c>
      <c r="E791" s="25" t="str">
        <f>IFERROR(__xludf.DUMMYFUNCTION("""COMPUTED_VALUE"""),"Website")</f>
        <v>Website</v>
      </c>
      <c r="F791" s="25" t="str">
        <f>IFERROR(__xludf.DUMMYFUNCTION("""COMPUTED_VALUE"""),"Closing")</f>
        <v>Closing</v>
      </c>
      <c r="G791" s="25" t="str">
        <f>IFERROR(__xludf.DUMMYFUNCTION("""COMPUTED_VALUE"""),"djawatan")</f>
        <v>djawatan</v>
      </c>
      <c r="H791" s="92">
        <f>IFERROR(__xludf.DUMMYFUNCTION("""COMPUTED_VALUE"""),46213.0)</f>
        <v>46213</v>
      </c>
      <c r="I791" s="80">
        <f>IFERROR(__xludf.DUMMYFUNCTION("""COMPUTED_VALUE"""),2.0)</f>
        <v>2</v>
      </c>
      <c r="J791" s="93"/>
      <c r="K791" s="19"/>
      <c r="L791" s="76"/>
      <c r="M791" s="20"/>
      <c r="N791" s="20"/>
      <c r="O791" s="20"/>
      <c r="P791" s="20"/>
    </row>
    <row r="792">
      <c r="A792" s="110">
        <f>IFERROR(__xludf.DUMMYFUNCTION("""COMPUTED_VALUE"""),46212.0)</f>
        <v>46212</v>
      </c>
      <c r="B792" s="110" t="str">
        <f>IFERROR(__xludf.DUMMYFUNCTION("""COMPUTED_VALUE"""),"2607A064")</f>
        <v>2607A064</v>
      </c>
      <c r="C792" s="49" t="str">
        <f>IFERROR(__xludf.DUMMYFUNCTION("""COMPUTED_VALUE"""),"iip")</f>
        <v>iip</v>
      </c>
      <c r="D792" s="102" t="str">
        <f>IFERROR(__xludf.DUMMYFUNCTION("""COMPUTED_VALUE"""),"082113782323")</f>
        <v>082113782323</v>
      </c>
      <c r="E792" s="25" t="str">
        <f>IFERROR(__xludf.DUMMYFUNCTION("""COMPUTED_VALUE"""),"Website")</f>
        <v>Website</v>
      </c>
      <c r="F792" s="25" t="str">
        <f>IFERROR(__xludf.DUMMYFUNCTION("""COMPUTED_VALUE"""),"Leads Baru")</f>
        <v>Leads Baru</v>
      </c>
      <c r="G792" s="25" t="str">
        <f>IFERROR(__xludf.DUMMYFUNCTION("""COMPUTED_VALUE"""),"4h3m")</f>
        <v>4h3m</v>
      </c>
      <c r="H792" s="26"/>
      <c r="I792" s="89">
        <f>IFERROR(__xludf.DUMMYFUNCTION("""COMPUTED_VALUE"""),4.0)</f>
        <v>4</v>
      </c>
      <c r="J792" s="33"/>
      <c r="K792" s="30"/>
      <c r="L792" s="49"/>
      <c r="M792" s="20"/>
      <c r="N792" s="20"/>
      <c r="O792" s="20"/>
      <c r="P792" s="20"/>
    </row>
    <row r="793">
      <c r="A793" s="97">
        <f>IFERROR(__xludf.DUMMYFUNCTION("""COMPUTED_VALUE"""),46212.0)</f>
        <v>46212</v>
      </c>
      <c r="B793" s="97" t="str">
        <f>IFERROR(__xludf.DUMMYFUNCTION("""COMPUTED_VALUE"""),"2607A065")</f>
        <v>2607A065</v>
      </c>
      <c r="C793" s="76" t="str">
        <f>IFERROR(__xludf.DUMMYFUNCTION("""COMPUTED_VALUE"""),"SAP")</f>
        <v>SAP</v>
      </c>
      <c r="D793" s="99" t="str">
        <f>IFERROR(__xludf.DUMMYFUNCTION("""COMPUTED_VALUE"""),"088215224940")</f>
        <v>088215224940</v>
      </c>
      <c r="E793" s="25" t="str">
        <f>IFERROR(__xludf.DUMMYFUNCTION("""COMPUTED_VALUE"""),"Lainnya")</f>
        <v>Lainnya</v>
      </c>
      <c r="F793" s="25" t="str">
        <f>IFERROR(__xludf.DUMMYFUNCTION("""COMPUTED_VALUE"""),"Leads Baru")</f>
        <v>Leads Baru</v>
      </c>
      <c r="G793" s="25" t="str">
        <f>IFERROR(__xludf.DUMMYFUNCTION("""COMPUTED_VALUE"""),"ot 3h2m")</f>
        <v>ot 3h2m</v>
      </c>
      <c r="H793" s="92">
        <f>IFERROR(__xludf.DUMMYFUNCTION("""COMPUTED_VALUE"""),46216.0)</f>
        <v>46216</v>
      </c>
      <c r="I793" s="17">
        <f>IFERROR(__xludf.DUMMYFUNCTION("""COMPUTED_VALUE"""),1.0)</f>
        <v>1</v>
      </c>
      <c r="J793" s="93">
        <f>IFERROR(__xludf.DUMMYFUNCTION("""COMPUTED_VALUE"""),1600000.0)</f>
        <v>1600000</v>
      </c>
      <c r="K793" s="46" t="str">
        <f>IFERROR(__xludf.DUMMYFUNCTION("""COMPUTED_VALUE"""),"fu kalau ada ot 3h2m juli")</f>
        <v>fu kalau ada ot 3h2m juli</v>
      </c>
      <c r="L793" s="76"/>
      <c r="M793" s="20"/>
      <c r="N793" s="20"/>
      <c r="O793" s="20"/>
      <c r="P793" s="20"/>
    </row>
    <row r="794">
      <c r="A794" s="110">
        <f>IFERROR(__xludf.DUMMYFUNCTION("""COMPUTED_VALUE"""),46212.0)</f>
        <v>46212</v>
      </c>
      <c r="B794" s="110" t="str">
        <f>IFERROR(__xludf.DUMMYFUNCTION("""COMPUTED_VALUE"""),"2607A066")</f>
        <v>2607A066</v>
      </c>
      <c r="C794" s="49" t="str">
        <f>IFERROR(__xludf.DUMMYFUNCTION("""COMPUTED_VALUE"""),"E")</f>
        <v>E</v>
      </c>
      <c r="D794" s="102" t="str">
        <f>IFERROR(__xludf.DUMMYFUNCTION("""COMPUTED_VALUE"""),"081196911366")</f>
        <v>081196911366</v>
      </c>
      <c r="E794" s="25" t="str">
        <f>IFERROR(__xludf.DUMMYFUNCTION("""COMPUTED_VALUE"""),"Instagram")</f>
        <v>Instagram</v>
      </c>
      <c r="F794" s="25" t="str">
        <f>IFERROR(__xludf.DUMMYFUNCTION("""COMPUTED_VALUE"""),"Gagal")</f>
        <v>Gagal</v>
      </c>
      <c r="G794" s="25" t="str">
        <f>IFERROR(__xludf.DUMMYFUNCTION("""COMPUTED_VALUE"""),"1day trip gree island ")</f>
        <v>1day trip gree island </v>
      </c>
      <c r="H794" s="78">
        <f>IFERROR(__xludf.DUMMYFUNCTION("""COMPUTED_VALUE"""),46214.0)</f>
        <v>46214</v>
      </c>
      <c r="I794" s="89">
        <f>IFERROR(__xludf.DUMMYFUNCTION("""COMPUTED_VALUE"""),1.0)</f>
        <v>1</v>
      </c>
      <c r="J794" s="96"/>
      <c r="K794" s="30" t="str">
        <f>IFERROR(__xludf.DUMMYFUNCTION("""COMPUTED_VALUE"""),"gada balasan")</f>
        <v>gada balasan</v>
      </c>
      <c r="L794" s="49"/>
      <c r="M794" s="20"/>
      <c r="N794" s="20"/>
      <c r="O794" s="20"/>
      <c r="P794" s="20"/>
    </row>
    <row r="795">
      <c r="A795" s="97">
        <f>IFERROR(__xludf.DUMMYFUNCTION("""COMPUTED_VALUE"""),46212.0)</f>
        <v>46212</v>
      </c>
      <c r="B795" s="97" t="str">
        <f>IFERROR(__xludf.DUMMYFUNCTION("""COMPUTED_VALUE"""),"2607A067")</f>
        <v>2607A067</v>
      </c>
      <c r="C795" s="76" t="str">
        <f>IFERROR(__xludf.DUMMYFUNCTION("""COMPUTED_VALUE"""),"Ria")</f>
        <v>Ria</v>
      </c>
      <c r="D795" s="99" t="str">
        <f>IFERROR(__xludf.DUMMYFUNCTION("""COMPUTED_VALUE"""),"082160925717")</f>
        <v>082160925717</v>
      </c>
      <c r="E795" s="25" t="str">
        <f>IFERROR(__xludf.DUMMYFUNCTION("""COMPUTED_VALUE"""),"Tiktok")</f>
        <v>Tiktok</v>
      </c>
      <c r="F795" s="25" t="str">
        <f>IFERROR(__xludf.DUMMYFUNCTION("""COMPUTED_VALUE"""),"Leads Baru")</f>
        <v>Leads Baru</v>
      </c>
      <c r="G795" s="25" t="str">
        <f>IFERROR(__xludf.DUMMYFUNCTION("""COMPUTED_VALUE"""),"ot mt")</f>
        <v>ot mt</v>
      </c>
      <c r="H795" s="92">
        <f>IFERROR(__xludf.DUMMYFUNCTION("""COMPUTED_VALUE"""),46231.0)</f>
        <v>46231</v>
      </c>
      <c r="I795" s="80">
        <f>IFERROR(__xludf.DUMMYFUNCTION("""COMPUTED_VALUE"""),4.0)</f>
        <v>4</v>
      </c>
      <c r="J795" s="93">
        <f>IFERROR(__xludf.DUMMYFUNCTION("""COMPUTED_VALUE"""),1900000.0)</f>
        <v>1900000</v>
      </c>
      <c r="K795" s="19" t="str">
        <f>IFERROR(__xludf.DUMMYFUNCTION("""COMPUTED_VALUE"""),"belum ada jawaban. fu 27 juli")</f>
        <v>belum ada jawaban. fu 27 juli</v>
      </c>
      <c r="L795" s="76"/>
      <c r="M795" s="20"/>
      <c r="N795" s="20"/>
      <c r="O795" s="20"/>
      <c r="P795" s="20"/>
    </row>
    <row r="796">
      <c r="A796" s="110">
        <f>IFERROR(__xludf.DUMMYFUNCTION("""COMPUTED_VALUE"""),46212.0)</f>
        <v>46212</v>
      </c>
      <c r="B796" s="110" t="str">
        <f>IFERROR(__xludf.DUMMYFUNCTION("""COMPUTED_VALUE"""),"2607A068")</f>
        <v>2607A068</v>
      </c>
      <c r="C796" s="49" t="str">
        <f>IFERROR(__xludf.DUMMYFUNCTION("""COMPUTED_VALUE"""),"Ririn")</f>
        <v>Ririn</v>
      </c>
      <c r="D796" s="102" t="str">
        <f>IFERROR(__xludf.DUMMYFUNCTION("""COMPUTED_VALUE"""),"081395097278")</f>
        <v>081395097278</v>
      </c>
      <c r="E796" s="25" t="str">
        <f>IFERROR(__xludf.DUMMYFUNCTION("""COMPUTED_VALUE"""),"Instagram")</f>
        <v>Instagram</v>
      </c>
      <c r="F796" s="25" t="str">
        <f>IFERROR(__xludf.DUMMYFUNCTION("""COMPUTED_VALUE"""),"Leads Baru")</f>
        <v>Leads Baru</v>
      </c>
      <c r="G796" s="25" t="str">
        <f>IFERROR(__xludf.DUMMYFUNCTION("""COMPUTED_VALUE"""),"ot 3h2m")</f>
        <v>ot 3h2m</v>
      </c>
      <c r="H796" s="78"/>
      <c r="I796" s="89">
        <f>IFERROR(__xludf.DUMMYFUNCTION("""COMPUTED_VALUE"""),2.0)</f>
        <v>2</v>
      </c>
      <c r="J796" s="96"/>
      <c r="K796" s="30" t="str">
        <f>IFERROR(__xludf.DUMMYFUNCTION("""COMPUTED_VALUE"""),"fu 31 juli")</f>
        <v>fu 31 juli</v>
      </c>
      <c r="L796" s="49"/>
      <c r="M796" s="20"/>
      <c r="N796" s="20"/>
      <c r="O796" s="20"/>
      <c r="P796" s="20"/>
    </row>
    <row r="797">
      <c r="A797" s="97">
        <f>IFERROR(__xludf.DUMMYFUNCTION("""COMPUTED_VALUE"""),46209.0)</f>
        <v>46209</v>
      </c>
      <c r="B797" s="97" t="str">
        <f>IFERROR(__xludf.DUMMYFUNCTION("""COMPUTED_VALUE"""),"2607A069")</f>
        <v>2607A069</v>
      </c>
      <c r="C797" s="76" t="str">
        <f>IFERROR(__xludf.DUMMYFUNCTION("""COMPUTED_VALUE"""),"Ismi Anita Rukani")</f>
        <v>Ismi Anita Rukani</v>
      </c>
      <c r="D797" s="99" t="str">
        <f>IFERROR(__xludf.DUMMYFUNCTION("""COMPUTED_VALUE"""),"082371352381")</f>
        <v>082371352381</v>
      </c>
      <c r="E797" s="25" t="str">
        <f>IFERROR(__xludf.DUMMYFUNCTION("""COMPUTED_VALUE"""),"Instagram")</f>
        <v>Instagram</v>
      </c>
      <c r="F797" s="25" t="str">
        <f>IFERROR(__xludf.DUMMYFUNCTION("""COMPUTED_VALUE"""),"Closing")</f>
        <v>Closing</v>
      </c>
      <c r="G797" s="25" t="str">
        <f>IFERROR(__xludf.DUMMYFUNCTION("""COMPUTED_VALUE"""),"ot mt")</f>
        <v>ot mt</v>
      </c>
      <c r="H797" s="16">
        <f>IFERROR(__xludf.DUMMYFUNCTION("""COMPUTED_VALUE"""),46226.0)</f>
        <v>46226</v>
      </c>
      <c r="I797" s="80">
        <f>IFERROR(__xludf.DUMMYFUNCTION("""COMPUTED_VALUE"""),2.0)</f>
        <v>2</v>
      </c>
      <c r="J797" s="93">
        <f>IFERROR(__xludf.DUMMYFUNCTION("""COMPUTED_VALUE"""),800000.0)</f>
        <v>800000</v>
      </c>
      <c r="K797" s="46" t="str">
        <f>IFERROR(__xludf.DUMMYFUNCTION("""COMPUTED_VALUE"""),"alhamdulillah")</f>
        <v>alhamdulillah</v>
      </c>
      <c r="L797" s="76"/>
      <c r="M797" s="20"/>
      <c r="N797" s="20"/>
      <c r="O797" s="20"/>
      <c r="P797" s="20"/>
    </row>
    <row r="798">
      <c r="A798" s="110">
        <f>IFERROR(__xludf.DUMMYFUNCTION("""COMPUTED_VALUE"""),46212.0)</f>
        <v>46212</v>
      </c>
      <c r="B798" s="110" t="str">
        <f>IFERROR(__xludf.DUMMYFUNCTION("""COMPUTED_VALUE"""),"2607A070")</f>
        <v>2607A070</v>
      </c>
      <c r="C798" s="49" t="str">
        <f>IFERROR(__xludf.DUMMYFUNCTION("""COMPUTED_VALUE"""),"Yafi Diningrat")</f>
        <v>Yafi Diningrat</v>
      </c>
      <c r="D798" s="102" t="str">
        <f>IFERROR(__xludf.DUMMYFUNCTION("""COMPUTED_VALUE"""),"081461138919")</f>
        <v>081461138919</v>
      </c>
      <c r="E798" s="25" t="str">
        <f>IFERROR(__xludf.DUMMYFUNCTION("""COMPUTED_VALUE"""),"Instagram")</f>
        <v>Instagram</v>
      </c>
      <c r="F798" s="25" t="str">
        <f>IFERROR(__xludf.DUMMYFUNCTION("""COMPUTED_VALUE"""),"Leads Baru")</f>
        <v>Leads Baru</v>
      </c>
      <c r="G798" s="25" t="str">
        <f>IFERROR(__xludf.DUMMYFUNCTION("""COMPUTED_VALUE"""),"3h2m")</f>
        <v>3h2m</v>
      </c>
      <c r="H798" s="78"/>
      <c r="I798" s="89"/>
      <c r="J798" s="96"/>
      <c r="K798" s="30"/>
      <c r="L798" s="49"/>
      <c r="M798" s="20"/>
      <c r="N798" s="20"/>
      <c r="O798" s="20"/>
      <c r="P798" s="20"/>
    </row>
    <row r="799">
      <c r="A799" s="97">
        <f>IFERROR(__xludf.DUMMYFUNCTION("""COMPUTED_VALUE"""),46212.0)</f>
        <v>46212</v>
      </c>
      <c r="B799" s="97" t="str">
        <f>IFERROR(__xludf.DUMMYFUNCTION("""COMPUTED_VALUE"""),"2607A071")</f>
        <v>2607A071</v>
      </c>
      <c r="C799" s="76" t="str">
        <f>IFERROR(__xludf.DUMMYFUNCTION("""COMPUTED_VALUE"""),"Dindanh")</f>
        <v>Dindanh</v>
      </c>
      <c r="D799" s="99" t="str">
        <f>IFERROR(__xludf.DUMMYFUNCTION("""COMPUTED_VALUE"""),"0895611937365")</f>
        <v>0895611937365</v>
      </c>
      <c r="E799" s="25" t="str">
        <f>IFERROR(__xludf.DUMMYFUNCTION("""COMPUTED_VALUE"""),"Instagram")</f>
        <v>Instagram</v>
      </c>
      <c r="F799" s="25" t="str">
        <f>IFERROR(__xludf.DUMMYFUNCTION("""COMPUTED_VALUE"""),"Leads Baru")</f>
        <v>Leads Baru</v>
      </c>
      <c r="G799" s="25" t="str">
        <f>IFERROR(__xludf.DUMMYFUNCTION("""COMPUTED_VALUE"""),"ot mt")</f>
        <v>ot mt</v>
      </c>
      <c r="H799" s="16"/>
      <c r="I799" s="17"/>
      <c r="J799" s="54"/>
      <c r="K799" s="46"/>
      <c r="L799" s="76"/>
      <c r="M799" s="20"/>
      <c r="N799" s="20"/>
      <c r="O799" s="20"/>
      <c r="P799" s="20"/>
    </row>
    <row r="800">
      <c r="A800" s="110">
        <f>IFERROR(__xludf.DUMMYFUNCTION("""COMPUTED_VALUE"""),46212.0)</f>
        <v>46212</v>
      </c>
      <c r="B800" s="110" t="str">
        <f>IFERROR(__xludf.DUMMYFUNCTION("""COMPUTED_VALUE"""),"2607A072")</f>
        <v>2607A072</v>
      </c>
      <c r="C800" s="49" t="str">
        <f>IFERROR(__xludf.DUMMYFUNCTION("""COMPUTED_VALUE"""),"Kiki D Tamara")</f>
        <v>Kiki D Tamara</v>
      </c>
      <c r="D800" s="102" t="str">
        <f>IFERROR(__xludf.DUMMYFUNCTION("""COMPUTED_VALUE"""),"085280034034")</f>
        <v>085280034034</v>
      </c>
      <c r="E800" s="25" t="str">
        <f>IFERROR(__xludf.DUMMYFUNCTION("""COMPUTED_VALUE"""),"Instagram")</f>
        <v>Instagram</v>
      </c>
      <c r="F800" s="25" t="str">
        <f>IFERROR(__xludf.DUMMYFUNCTION("""COMPUTED_VALUE"""),"Leads Baru")</f>
        <v>Leads Baru</v>
      </c>
      <c r="G800" s="25" t="str">
        <f>IFERROR(__xludf.DUMMYFUNCTION("""COMPUTED_VALUE"""),"one day trip baluran")</f>
        <v>one day trip baluran</v>
      </c>
      <c r="H800" s="78"/>
      <c r="I800" s="89"/>
      <c r="J800" s="96"/>
      <c r="K800" s="36"/>
      <c r="L800" s="49"/>
      <c r="M800" s="20"/>
      <c r="N800" s="20"/>
      <c r="O800" s="20"/>
      <c r="P800" s="20"/>
    </row>
    <row r="801">
      <c r="A801" s="97">
        <f>IFERROR(__xludf.DUMMYFUNCTION("""COMPUTED_VALUE"""),46212.0)</f>
        <v>46212</v>
      </c>
      <c r="B801" s="97" t="str">
        <f>IFERROR(__xludf.DUMMYFUNCTION("""COMPUTED_VALUE"""),"2607A073")</f>
        <v>2607A073</v>
      </c>
      <c r="C801" s="76" t="str">
        <f>IFERROR(__xludf.DUMMYFUNCTION("""COMPUTED_VALUE"""),"Sahwa F")</f>
        <v>Sahwa F</v>
      </c>
      <c r="D801" s="99" t="str">
        <f>IFERROR(__xludf.DUMMYFUNCTION("""COMPUTED_VALUE"""),"087883257780")</f>
        <v>087883257780</v>
      </c>
      <c r="E801" s="25" t="str">
        <f>IFERROR(__xludf.DUMMYFUNCTION("""COMPUTED_VALUE"""),"Instagram")</f>
        <v>Instagram</v>
      </c>
      <c r="F801" s="25" t="str">
        <f>IFERROR(__xludf.DUMMYFUNCTION("""COMPUTED_VALUE"""),"Leads Baru")</f>
        <v>Leads Baru</v>
      </c>
      <c r="G801" s="25" t="str">
        <f>IFERROR(__xludf.DUMMYFUNCTION("""COMPUTED_VALUE"""),"ot 2h1m")</f>
        <v>ot 2h1m</v>
      </c>
      <c r="H801" s="92"/>
      <c r="I801" s="80"/>
      <c r="J801" s="93"/>
      <c r="K801" s="19"/>
      <c r="L801" s="76"/>
      <c r="M801" s="20"/>
      <c r="N801" s="20"/>
      <c r="O801" s="20"/>
      <c r="P801" s="20"/>
    </row>
    <row r="802">
      <c r="A802" s="110">
        <f>IFERROR(__xludf.DUMMYFUNCTION("""COMPUTED_VALUE"""),46212.0)</f>
        <v>46212</v>
      </c>
      <c r="B802" s="110" t="str">
        <f>IFERROR(__xludf.DUMMYFUNCTION("""COMPUTED_VALUE"""),"2607A074")</f>
        <v>2607A074</v>
      </c>
      <c r="C802" s="49" t="str">
        <f>IFERROR(__xludf.DUMMYFUNCTION("""COMPUTED_VALUE"""),"Alviona")</f>
        <v>Alviona</v>
      </c>
      <c r="D802" s="102" t="str">
        <f>IFERROR(__xludf.DUMMYFUNCTION("""COMPUTED_VALUE"""),"081360338914")</f>
        <v>081360338914</v>
      </c>
      <c r="E802" s="25" t="str">
        <f>IFERROR(__xludf.DUMMYFUNCTION("""COMPUTED_VALUE"""),"Instagram")</f>
        <v>Instagram</v>
      </c>
      <c r="F802" s="25" t="str">
        <f>IFERROR(__xludf.DUMMYFUNCTION("""COMPUTED_VALUE"""),"Leads Baru")</f>
        <v>Leads Baru</v>
      </c>
      <c r="G802" s="25" t="str">
        <f>IFERROR(__xludf.DUMMYFUNCTION("""COMPUTED_VALUE"""),"ot mt")</f>
        <v>ot mt</v>
      </c>
      <c r="H802" s="78">
        <f>IFERROR(__xludf.DUMMYFUNCTION("""COMPUTED_VALUE"""),46215.0)</f>
        <v>46215</v>
      </c>
      <c r="I802" s="89">
        <f>IFERROR(__xludf.DUMMYFUNCTION("""COMPUTED_VALUE"""),5.0)</f>
        <v>5</v>
      </c>
      <c r="J802" s="96"/>
      <c r="K802" s="36"/>
      <c r="L802" s="49"/>
      <c r="M802" s="20"/>
      <c r="N802" s="20"/>
      <c r="O802" s="20"/>
      <c r="P802" s="20"/>
    </row>
    <row r="803">
      <c r="A803" s="97">
        <f>IFERROR(__xludf.DUMMYFUNCTION("""COMPUTED_VALUE"""),46211.0)</f>
        <v>46211</v>
      </c>
      <c r="B803" s="97" t="str">
        <f>IFERROR(__xludf.DUMMYFUNCTION("""COMPUTED_VALUE"""),"2607A075")</f>
        <v>2607A075</v>
      </c>
      <c r="C803" s="76" t="str">
        <f>IFERROR(__xludf.DUMMYFUNCTION("""COMPUTED_VALUE"""),"Anggita")</f>
        <v>Anggita</v>
      </c>
      <c r="D803" s="99" t="str">
        <f>IFERROR(__xludf.DUMMYFUNCTION("""COMPUTED_VALUE"""),"089633806802")</f>
        <v>089633806802</v>
      </c>
      <c r="E803" s="25" t="str">
        <f>IFERROR(__xludf.DUMMYFUNCTION("""COMPUTED_VALUE"""),"Instagram")</f>
        <v>Instagram</v>
      </c>
      <c r="F803" s="25" t="str">
        <f>IFERROR(__xludf.DUMMYFUNCTION("""COMPUTED_VALUE"""),"Qualified")</f>
        <v>Qualified</v>
      </c>
      <c r="G803" s="25" t="str">
        <f>IFERROR(__xludf.DUMMYFUNCTION("""COMPUTED_VALUE"""),"ot 3h2m")</f>
        <v>ot 3h2m</v>
      </c>
      <c r="H803" s="92"/>
      <c r="I803" s="80">
        <f>IFERROR(__xludf.DUMMYFUNCTION("""COMPUTED_VALUE"""),2.0)</f>
        <v>2</v>
      </c>
      <c r="J803" s="93">
        <f>IFERROR(__xludf.DUMMYFUNCTION("""COMPUTED_VALUE"""),3200000.0)</f>
        <v>3200000</v>
      </c>
      <c r="K803" s="46" t="str">
        <f>IFERROR(__xludf.DUMMYFUNCTION("""COMPUTED_VALUE"""),"fu 1 november")</f>
        <v>fu 1 november</v>
      </c>
      <c r="L803" s="10"/>
      <c r="M803" s="20"/>
      <c r="N803" s="20"/>
      <c r="O803" s="20"/>
      <c r="P803" s="20"/>
    </row>
    <row r="804">
      <c r="A804" s="110">
        <f>IFERROR(__xludf.DUMMYFUNCTION("""COMPUTED_VALUE"""),46213.0)</f>
        <v>46213</v>
      </c>
      <c r="B804" s="110" t="str">
        <f>IFERROR(__xludf.DUMMYFUNCTION("""COMPUTED_VALUE"""),"2607A076")</f>
        <v>2607A076</v>
      </c>
      <c r="C804" s="102" t="str">
        <f>IFERROR(__xludf.DUMMYFUNCTION("""COMPUTED_VALUE"""),"Nita")</f>
        <v>Nita</v>
      </c>
      <c r="D804" s="102" t="str">
        <f>IFERROR(__xludf.DUMMYFUNCTION("""COMPUTED_VALUE"""),"0895810866664")</f>
        <v>0895810866664</v>
      </c>
      <c r="E804" s="25" t="str">
        <f>IFERROR(__xludf.DUMMYFUNCTION("""COMPUTED_VALUE"""),"Instagram")</f>
        <v>Instagram</v>
      </c>
      <c r="F804" s="25" t="str">
        <f>IFERROR(__xludf.DUMMYFUNCTION("""COMPUTED_VALUE"""),"Leads Baru")</f>
        <v>Leads Baru</v>
      </c>
      <c r="G804" s="25" t="str">
        <f>IFERROR(__xludf.DUMMYFUNCTION("""COMPUTED_VALUE"""),"2h1m")</f>
        <v>2h1m</v>
      </c>
      <c r="H804" s="78"/>
      <c r="I804" s="27"/>
      <c r="J804" s="33"/>
      <c r="K804" s="30"/>
      <c r="L804" s="23"/>
      <c r="M804" s="20"/>
      <c r="N804" s="20"/>
      <c r="O804" s="20"/>
      <c r="P804" s="20"/>
    </row>
    <row r="805">
      <c r="A805" s="97">
        <f>IFERROR(__xludf.DUMMYFUNCTION("""COMPUTED_VALUE"""),46213.0)</f>
        <v>46213</v>
      </c>
      <c r="B805" s="97" t="str">
        <f>IFERROR(__xludf.DUMMYFUNCTION("""COMPUTED_VALUE"""),"2607A077")</f>
        <v>2607A077</v>
      </c>
      <c r="C805" s="76" t="str">
        <f>IFERROR(__xludf.DUMMYFUNCTION("""COMPUTED_VALUE"""),"Assyifaa Haris")</f>
        <v>Assyifaa Haris</v>
      </c>
      <c r="D805" s="99" t="str">
        <f>IFERROR(__xludf.DUMMYFUNCTION("""COMPUTED_VALUE"""),"082110962526")</f>
        <v>082110962526</v>
      </c>
      <c r="E805" s="25" t="str">
        <f>IFERROR(__xludf.DUMMYFUNCTION("""COMPUTED_VALUE"""),"Website")</f>
        <v>Website</v>
      </c>
      <c r="F805" s="25" t="str">
        <f>IFERROR(__xludf.DUMMYFUNCTION("""COMPUTED_VALUE"""),"Gagal")</f>
        <v>Gagal</v>
      </c>
      <c r="G805" s="25" t="str">
        <f>IFERROR(__xludf.DUMMYFUNCTION("""COMPUTED_VALUE"""),"pvt mt")</f>
        <v>pvt mt</v>
      </c>
      <c r="H805" s="92">
        <f>IFERROR(__xludf.DUMMYFUNCTION("""COMPUTED_VALUE"""),46258.0)</f>
        <v>46258</v>
      </c>
      <c r="I805" s="17">
        <f>IFERROR(__xludf.DUMMYFUNCTION("""COMPUTED_VALUE"""),3.0)</f>
        <v>3</v>
      </c>
      <c r="J805" s="54">
        <f>IFERROR(__xludf.DUMMYFUNCTION("""COMPUTED_VALUE"""),1830000.0)</f>
        <v>1830000</v>
      </c>
      <c r="K805" s="46" t="str">
        <f>IFERROR(__xludf.DUMMYFUNCTION("""COMPUTED_VALUE"""),"ga jadi")</f>
        <v>ga jadi</v>
      </c>
      <c r="L805" s="10"/>
      <c r="M805" s="20"/>
      <c r="N805" s="20"/>
      <c r="O805" s="20"/>
      <c r="P805" s="20"/>
    </row>
    <row r="806">
      <c r="A806" s="110">
        <f>IFERROR(__xludf.DUMMYFUNCTION("""COMPUTED_VALUE"""),46213.0)</f>
        <v>46213</v>
      </c>
      <c r="B806" s="110" t="str">
        <f>IFERROR(__xludf.DUMMYFUNCTION("""COMPUTED_VALUE"""),"2607A078")</f>
        <v>2607A078</v>
      </c>
      <c r="C806" s="49" t="str">
        <f>IFERROR(__xludf.DUMMYFUNCTION("""COMPUTED_VALUE"""),"S")</f>
        <v>S</v>
      </c>
      <c r="D806" s="102" t="str">
        <f>IFERROR(__xludf.DUMMYFUNCTION("""COMPUTED_VALUE"""),"0816522962")</f>
        <v>0816522962</v>
      </c>
      <c r="E806" s="25" t="str">
        <f>IFERROR(__xludf.DUMMYFUNCTION("""COMPUTED_VALUE"""),"Lainnya")</f>
        <v>Lainnya</v>
      </c>
      <c r="F806" s="25" t="str">
        <f>IFERROR(__xludf.DUMMYFUNCTION("""COMPUTED_VALUE"""),"Leads Baru")</f>
        <v>Leads Baru</v>
      </c>
      <c r="G806" s="25"/>
      <c r="H806" s="26"/>
      <c r="I806" s="27"/>
      <c r="J806" s="33"/>
      <c r="K806" s="30"/>
      <c r="L806" s="49"/>
      <c r="M806" s="20"/>
      <c r="N806" s="20"/>
      <c r="O806" s="20"/>
      <c r="P806" s="20"/>
    </row>
    <row r="807">
      <c r="A807" s="97">
        <f>IFERROR(__xludf.DUMMYFUNCTION("""COMPUTED_VALUE"""),46213.0)</f>
        <v>46213</v>
      </c>
      <c r="B807" s="97" t="str">
        <f>IFERROR(__xludf.DUMMYFUNCTION("""COMPUTED_VALUE"""),"2607A079")</f>
        <v>2607A079</v>
      </c>
      <c r="C807" s="76" t="str">
        <f>IFERROR(__xludf.DUMMYFUNCTION("""COMPUTED_VALUE"""),"Weriyanti")</f>
        <v>Weriyanti</v>
      </c>
      <c r="D807" s="99" t="str">
        <f>IFERROR(__xludf.DUMMYFUNCTION("""COMPUTED_VALUE"""),"082130675113")</f>
        <v>082130675113</v>
      </c>
      <c r="E807" s="25" t="str">
        <f>IFERROR(__xludf.DUMMYFUNCTION("""COMPUTED_VALUE"""),"Instagram")</f>
        <v>Instagram</v>
      </c>
      <c r="F807" s="25" t="str">
        <f>IFERROR(__xludf.DUMMYFUNCTION("""COMPUTED_VALUE"""),"Leads Baru")</f>
        <v>Leads Baru</v>
      </c>
      <c r="G807" s="25"/>
      <c r="H807" s="92"/>
      <c r="I807" s="80"/>
      <c r="J807" s="129"/>
      <c r="K807" s="19"/>
      <c r="L807" s="76"/>
      <c r="M807" s="20"/>
      <c r="N807" s="20"/>
      <c r="O807" s="20"/>
      <c r="P807" s="20"/>
    </row>
    <row r="808">
      <c r="A808" s="110">
        <f>IFERROR(__xludf.DUMMYFUNCTION("""COMPUTED_VALUE"""),46214.0)</f>
        <v>46214</v>
      </c>
      <c r="B808" s="110" t="str">
        <f>IFERROR(__xludf.DUMMYFUNCTION("""COMPUTED_VALUE"""),"2607A080")</f>
        <v>2607A080</v>
      </c>
      <c r="C808" s="49" t="str">
        <f>IFERROR(__xludf.DUMMYFUNCTION("""COMPUTED_VALUE"""),"Ayut")</f>
        <v>Ayut</v>
      </c>
      <c r="D808" s="102" t="str">
        <f>IFERROR(__xludf.DUMMYFUNCTION("""COMPUTED_VALUE"""),"081328286644")</f>
        <v>081328286644</v>
      </c>
      <c r="E808" s="25" t="str">
        <f>IFERROR(__xludf.DUMMYFUNCTION("""COMPUTED_VALUE"""),"Instagram")</f>
        <v>Instagram</v>
      </c>
      <c r="F808" s="25" t="str">
        <f>IFERROR(__xludf.DUMMYFUNCTION("""COMPUTED_VALUE"""),"Leads Baru")</f>
        <v>Leads Baru</v>
      </c>
      <c r="G808" s="25" t="str">
        <f>IFERROR(__xludf.DUMMYFUNCTION("""COMPUTED_VALUE"""),"ot mt")</f>
        <v>ot mt</v>
      </c>
      <c r="H808" s="78">
        <f>IFERROR(__xludf.DUMMYFUNCTION("""COMPUTED_VALUE"""),46215.0)</f>
        <v>46215</v>
      </c>
      <c r="I808" s="89">
        <f>IFERROR(__xludf.DUMMYFUNCTION("""COMPUTED_VALUE"""),4.0)</f>
        <v>4</v>
      </c>
      <c r="J808" s="96"/>
      <c r="K808" s="36"/>
      <c r="L808" s="49"/>
      <c r="M808" s="20"/>
      <c r="N808" s="20"/>
      <c r="O808" s="20"/>
      <c r="P808" s="20"/>
    </row>
    <row r="809">
      <c r="A809" s="110">
        <f>IFERROR(__xludf.DUMMYFUNCTION("""COMPUTED_VALUE"""),46214.0)</f>
        <v>46214</v>
      </c>
      <c r="B809" s="110" t="str">
        <f>IFERROR(__xludf.DUMMYFUNCTION("""COMPUTED_VALUE"""),"2607A081")</f>
        <v>2607A081</v>
      </c>
      <c r="C809" s="49" t="str">
        <f>IFERROR(__xludf.DUMMYFUNCTION("""COMPUTED_VALUE"""),"Jovanka")</f>
        <v>Jovanka</v>
      </c>
      <c r="D809" s="102" t="str">
        <f>IFERROR(__xludf.DUMMYFUNCTION("""COMPUTED_VALUE"""),"085121509059")</f>
        <v>085121509059</v>
      </c>
      <c r="E809" s="25" t="str">
        <f>IFERROR(__xludf.DUMMYFUNCTION("""COMPUTED_VALUE"""),"Tiktok")</f>
        <v>Tiktok</v>
      </c>
      <c r="F809" s="25" t="str">
        <f>IFERROR(__xludf.DUMMYFUNCTION("""COMPUTED_VALUE"""),"Leads Baru")</f>
        <v>Leads Baru</v>
      </c>
      <c r="G809" s="25" t="str">
        <f>IFERROR(__xludf.DUMMYFUNCTION("""COMPUTED_VALUE"""),"ot djawatan baluran")</f>
        <v>ot djawatan baluran</v>
      </c>
      <c r="H809" s="78">
        <f>IFERROR(__xludf.DUMMYFUNCTION("""COMPUTED_VALUE"""),46225.0)</f>
        <v>46225</v>
      </c>
      <c r="I809" s="89">
        <f>IFERROR(__xludf.DUMMYFUNCTION("""COMPUTED_VALUE"""),1.0)</f>
        <v>1</v>
      </c>
      <c r="J809" s="96"/>
      <c r="K809" s="36"/>
      <c r="L809" s="49"/>
      <c r="M809" s="20"/>
      <c r="N809" s="20"/>
      <c r="O809" s="20"/>
      <c r="P809" s="20"/>
    </row>
    <row r="810">
      <c r="A810" s="97">
        <f>IFERROR(__xludf.DUMMYFUNCTION("""COMPUTED_VALUE"""),46214.0)</f>
        <v>46214</v>
      </c>
      <c r="B810" s="97" t="str">
        <f>IFERROR(__xludf.DUMMYFUNCTION("""COMPUTED_VALUE"""),"2607A082")</f>
        <v>2607A082</v>
      </c>
      <c r="C810" s="76" t="str">
        <f>IFERROR(__xludf.DUMMYFUNCTION("""COMPUTED_VALUE"""),"Angle")</f>
        <v>Angle</v>
      </c>
      <c r="D810" s="99" t="str">
        <f>IFERROR(__xludf.DUMMYFUNCTION("""COMPUTED_VALUE"""),"082199531598")</f>
        <v>082199531598</v>
      </c>
      <c r="E810" s="25" t="str">
        <f>IFERROR(__xludf.DUMMYFUNCTION("""COMPUTED_VALUE"""),"Instagram")</f>
        <v>Instagram</v>
      </c>
      <c r="F810" s="25" t="str">
        <f>IFERROR(__xludf.DUMMYFUNCTION("""COMPUTED_VALUE"""),"Qualified")</f>
        <v>Qualified</v>
      </c>
      <c r="G810" s="25" t="str">
        <f>IFERROR(__xludf.DUMMYFUNCTION("""COMPUTED_VALUE"""),"3h2m")</f>
        <v>3h2m</v>
      </c>
      <c r="H810" s="92">
        <f>IFERROR(__xludf.DUMMYFUNCTION("""COMPUTED_VALUE"""),46225.0)</f>
        <v>46225</v>
      </c>
      <c r="I810" s="80">
        <f>IFERROR(__xludf.DUMMYFUNCTION("""COMPUTED_VALUE"""),5.0)</f>
        <v>5</v>
      </c>
      <c r="J810" s="93"/>
      <c r="K810" s="46"/>
      <c r="L810" s="76"/>
      <c r="M810" s="20"/>
      <c r="N810" s="20"/>
      <c r="O810" s="20"/>
      <c r="P810" s="20"/>
    </row>
    <row r="811">
      <c r="A811" s="97">
        <f>IFERROR(__xludf.DUMMYFUNCTION("""COMPUTED_VALUE"""),46215.0)</f>
        <v>46215</v>
      </c>
      <c r="B811" s="97" t="str">
        <f>IFERROR(__xludf.DUMMYFUNCTION("""COMPUTED_VALUE"""),"2607A083")</f>
        <v>2607A083</v>
      </c>
      <c r="C811" s="76" t="str">
        <f>IFERROR(__xludf.DUMMYFUNCTION("""COMPUTED_VALUE"""),"Anna Jannah")</f>
        <v>Anna Jannah</v>
      </c>
      <c r="D811" s="99" t="str">
        <f>IFERROR(__xludf.DUMMYFUNCTION("""COMPUTED_VALUE"""),"081233420014")</f>
        <v>081233420014</v>
      </c>
      <c r="E811" s="25" t="str">
        <f>IFERROR(__xludf.DUMMYFUNCTION("""COMPUTED_VALUE"""),"Instagram")</f>
        <v>Instagram</v>
      </c>
      <c r="F811" s="25" t="str">
        <f>IFERROR(__xludf.DUMMYFUNCTION("""COMPUTED_VALUE"""),"Leads Baru")</f>
        <v>Leads Baru</v>
      </c>
      <c r="G811" s="25" t="str">
        <f>IFERROR(__xludf.DUMMYFUNCTION("""COMPUTED_VALUE"""),"3h2m")</f>
        <v>3h2m</v>
      </c>
      <c r="H811" s="92"/>
      <c r="I811" s="17"/>
      <c r="J811" s="93"/>
      <c r="K811" s="19"/>
      <c r="L811" s="76"/>
      <c r="M811" s="20"/>
      <c r="N811" s="20"/>
      <c r="O811" s="20"/>
      <c r="P811" s="20"/>
    </row>
    <row r="812">
      <c r="A812" s="110">
        <f>IFERROR(__xludf.DUMMYFUNCTION("""COMPUTED_VALUE"""),46215.0)</f>
        <v>46215</v>
      </c>
      <c r="B812" s="97" t="str">
        <f>IFERROR(__xludf.DUMMYFUNCTION("""COMPUTED_VALUE"""),"2607A084")</f>
        <v>2607A084</v>
      </c>
      <c r="C812" s="49" t="str">
        <f>IFERROR(__xludf.DUMMYFUNCTION("""COMPUTED_VALUE"""),"Tyas")</f>
        <v>Tyas</v>
      </c>
      <c r="D812" s="102" t="str">
        <f>IFERROR(__xludf.DUMMYFUNCTION("""COMPUTED_VALUE"""),"087815880399")</f>
        <v>087815880399</v>
      </c>
      <c r="E812" s="25" t="str">
        <f>IFERROR(__xludf.DUMMYFUNCTION("""COMPUTED_VALUE"""),"Lainnya")</f>
        <v>Lainnya</v>
      </c>
      <c r="F812" s="25" t="str">
        <f>IFERROR(__xludf.DUMMYFUNCTION("""COMPUTED_VALUE"""),"Gagal")</f>
        <v>Gagal</v>
      </c>
      <c r="G812" s="25" t="str">
        <f>IFERROR(__xludf.DUMMYFUNCTION("""COMPUTED_VALUE"""),"3h2m")</f>
        <v>3h2m</v>
      </c>
      <c r="H812" s="78"/>
      <c r="I812" s="89">
        <f>IFERROR(__xludf.DUMMYFUNCTION("""COMPUTED_VALUE"""),1.0)</f>
        <v>1</v>
      </c>
      <c r="J812" s="96"/>
      <c r="K812" s="36" t="str">
        <f>IFERROR(__xludf.DUMMYFUNCTION("""COMPUTED_VALUE"""),"ga dapat cuti")</f>
        <v>ga dapat cuti</v>
      </c>
      <c r="L812" s="49"/>
      <c r="M812" s="20"/>
      <c r="N812" s="20"/>
      <c r="O812" s="20"/>
      <c r="P812" s="20"/>
    </row>
    <row r="813">
      <c r="A813" s="97">
        <f>IFERROR(__xludf.DUMMYFUNCTION("""COMPUTED_VALUE"""),46227.0)</f>
        <v>46227</v>
      </c>
      <c r="B813" s="97" t="str">
        <f>IFERROR(__xludf.DUMMYFUNCTION("""COMPUTED_VALUE"""),"2607A085")</f>
        <v>2607A085</v>
      </c>
      <c r="C813" s="76" t="str">
        <f>IFERROR(__xludf.DUMMYFUNCTION("""COMPUTED_VALUE"""),"Azra Yasmin")</f>
        <v>Azra Yasmin</v>
      </c>
      <c r="D813" s="99" t="str">
        <f>IFERROR(__xludf.DUMMYFUNCTION("""COMPUTED_VALUE"""),"081370919897")</f>
        <v>081370919897</v>
      </c>
      <c r="E813" s="25" t="str">
        <f>IFERROR(__xludf.DUMMYFUNCTION("""COMPUTED_VALUE"""),"Instagram")</f>
        <v>Instagram</v>
      </c>
      <c r="F813" s="25" t="str">
        <f>IFERROR(__xludf.DUMMYFUNCTION("""COMPUTED_VALUE"""),"Leads Baru")</f>
        <v>Leads Baru</v>
      </c>
      <c r="G813" s="25" t="str">
        <f>IFERROR(__xludf.DUMMYFUNCTION("""COMPUTED_VALUE"""),"ot 3h2m")</f>
        <v>ot 3h2m</v>
      </c>
      <c r="H813" s="92">
        <f>IFERROR(__xludf.DUMMYFUNCTION("""COMPUTED_VALUE"""),46283.0)</f>
        <v>46283</v>
      </c>
      <c r="I813" s="80">
        <f>IFERROR(__xludf.DUMMYFUNCTION("""COMPUTED_VALUE"""),1.0)</f>
        <v>1</v>
      </c>
      <c r="J813" s="93">
        <f>IFERROR(__xludf.DUMMYFUNCTION("""COMPUTED_VALUE"""),1600000.0)</f>
        <v>1600000</v>
      </c>
      <c r="K813" s="19" t="str">
        <f>IFERROR(__xludf.DUMMYFUNCTION("""COMPUTED_VALUE"""),"fu 28 agustus")</f>
        <v>fu 28 agustus</v>
      </c>
      <c r="L813" s="10"/>
      <c r="M813" s="20"/>
      <c r="N813" s="20"/>
      <c r="O813" s="20"/>
      <c r="P813" s="20"/>
    </row>
    <row r="814">
      <c r="A814" s="110">
        <f>IFERROR(__xludf.DUMMYFUNCTION("""COMPUTED_VALUE"""),46216.0)</f>
        <v>46216</v>
      </c>
      <c r="B814" s="110" t="str">
        <f>IFERROR(__xludf.DUMMYFUNCTION("""COMPUTED_VALUE"""),"2607A086")</f>
        <v>2607A086</v>
      </c>
      <c r="C814" s="49" t="str">
        <f>IFERROR(__xludf.DUMMYFUNCTION("""COMPUTED_VALUE"""),"Novianti Nurniah")</f>
        <v>Novianti Nurniah</v>
      </c>
      <c r="D814" s="102" t="str">
        <f>IFERROR(__xludf.DUMMYFUNCTION("""COMPUTED_VALUE"""),"082112952018")</f>
        <v>082112952018</v>
      </c>
      <c r="E814" s="25" t="str">
        <f>IFERROR(__xludf.DUMMYFUNCTION("""COMPUTED_VALUE"""),"Instagram")</f>
        <v>Instagram</v>
      </c>
      <c r="F814" s="25" t="str">
        <f>IFERROR(__xludf.DUMMYFUNCTION("""COMPUTED_VALUE"""),"Leads Baru")</f>
        <v>Leads Baru</v>
      </c>
      <c r="G814" s="25" t="str">
        <f>IFERROR(__xludf.DUMMYFUNCTION("""COMPUTED_VALUE"""),"2h1m djabal mt")</f>
        <v>2h1m djabal mt</v>
      </c>
      <c r="H814" s="78"/>
      <c r="I814" s="89">
        <f>IFERROR(__xludf.DUMMYFUNCTION("""COMPUTED_VALUE"""),2.0)</f>
        <v>2</v>
      </c>
      <c r="J814" s="96">
        <f>IFERROR(__xludf.DUMMYFUNCTION("""COMPUTED_VALUE"""),5230000.0)</f>
        <v>5230000</v>
      </c>
      <c r="K814" s="30" t="str">
        <f>IFERROR(__xludf.DUMMYFUNCTION("""COMPUTED_VALUE"""),"fu 3 agustus")</f>
        <v>fu 3 agustus</v>
      </c>
      <c r="L814" s="49"/>
      <c r="M814" s="20"/>
      <c r="N814" s="20"/>
      <c r="O814" s="20"/>
      <c r="P814" s="20"/>
    </row>
    <row r="815">
      <c r="A815" s="97">
        <f>IFERROR(__xludf.DUMMYFUNCTION("""COMPUTED_VALUE"""),46216.0)</f>
        <v>46216</v>
      </c>
      <c r="B815" s="97" t="str">
        <f>IFERROR(__xludf.DUMMYFUNCTION("""COMPUTED_VALUE"""),"2607A087")</f>
        <v>2607A087</v>
      </c>
      <c r="C815" s="76" t="str">
        <f>IFERROR(__xludf.DUMMYFUNCTION("""COMPUTED_VALUE"""),"Comet")</f>
        <v>Comet</v>
      </c>
      <c r="D815" s="99" t="str">
        <f>IFERROR(__xludf.DUMMYFUNCTION("""COMPUTED_VALUE"""),"08118820096")</f>
        <v>08118820096</v>
      </c>
      <c r="E815" s="25" t="str">
        <f>IFERROR(__xludf.DUMMYFUNCTION("""COMPUTED_VALUE"""),"Website")</f>
        <v>Website</v>
      </c>
      <c r="F815" s="25" t="str">
        <f>IFERROR(__xludf.DUMMYFUNCTION("""COMPUTED_VALUE"""),"Gagal")</f>
        <v>Gagal</v>
      </c>
      <c r="G815" s="25" t="str">
        <f>IFERROR(__xludf.DUMMYFUNCTION("""COMPUTED_VALUE"""),"3h2m")</f>
        <v>3h2m</v>
      </c>
      <c r="H815" s="92">
        <f>IFERROR(__xludf.DUMMYFUNCTION("""COMPUTED_VALUE"""),46233.0)</f>
        <v>46233</v>
      </c>
      <c r="I815" s="80">
        <f>IFERROR(__xludf.DUMMYFUNCTION("""COMPUTED_VALUE"""),2.0)</f>
        <v>2</v>
      </c>
      <c r="J815" s="93"/>
      <c r="K815" s="46"/>
      <c r="L815" s="76"/>
      <c r="M815" s="20"/>
      <c r="N815" s="20"/>
      <c r="O815" s="20"/>
      <c r="P815" s="20"/>
    </row>
    <row r="816">
      <c r="A816" s="110">
        <f>IFERROR(__xludf.DUMMYFUNCTION("""COMPUTED_VALUE"""),46217.0)</f>
        <v>46217</v>
      </c>
      <c r="B816" s="97" t="str">
        <f>IFERROR(__xludf.DUMMYFUNCTION("""COMPUTED_VALUE"""),"2607A088")</f>
        <v>2607A088</v>
      </c>
      <c r="C816" s="49" t="str">
        <f>IFERROR(__xludf.DUMMYFUNCTION("""COMPUTED_VALUE"""),"Lindhuet")</f>
        <v>Lindhuet</v>
      </c>
      <c r="D816" s="102" t="str">
        <f>IFERROR(__xludf.DUMMYFUNCTION("""COMPUTED_VALUE"""),"082136993306")</f>
        <v>082136993306</v>
      </c>
      <c r="E816" s="25" t="str">
        <f>IFERROR(__xludf.DUMMYFUNCTION("""COMPUTED_VALUE"""),"Website")</f>
        <v>Website</v>
      </c>
      <c r="F816" s="25" t="str">
        <f>IFERROR(__xludf.DUMMYFUNCTION("""COMPUTED_VALUE"""),"Qualified")</f>
        <v>Qualified</v>
      </c>
      <c r="G816" s="25" t="str">
        <f>IFERROR(__xludf.DUMMYFUNCTION("""COMPUTED_VALUE"""),"3h2m")</f>
        <v>3h2m</v>
      </c>
      <c r="H816" s="78"/>
      <c r="I816" s="89">
        <f>IFERROR(__xludf.DUMMYFUNCTION("""COMPUTED_VALUE"""),4.0)</f>
        <v>4</v>
      </c>
      <c r="J816" s="96">
        <f>IFERROR(__xludf.DUMMYFUNCTION("""COMPUTED_VALUE"""),6808000.0)</f>
        <v>6808000</v>
      </c>
      <c r="K816" s="36" t="str">
        <f>IFERROR(__xludf.DUMMYFUNCTION("""COMPUTED_VALUE"""),"fu 5 november")</f>
        <v>fu 5 november</v>
      </c>
      <c r="L816" s="49"/>
      <c r="M816" s="20"/>
      <c r="N816" s="20"/>
      <c r="O816" s="20"/>
      <c r="P816" s="20"/>
    </row>
    <row r="817">
      <c r="A817" s="97">
        <f>IFERROR(__xludf.DUMMYFUNCTION("""COMPUTED_VALUE"""),46217.0)</f>
        <v>46217</v>
      </c>
      <c r="B817" s="97" t="str">
        <f>IFERROR(__xludf.DUMMYFUNCTION("""COMPUTED_VALUE"""),"2607A089")</f>
        <v>2607A089</v>
      </c>
      <c r="C817" s="76" t="str">
        <f>IFERROR(__xludf.DUMMYFUNCTION("""COMPUTED_VALUE"""),"louise nabila")</f>
        <v>louise nabila</v>
      </c>
      <c r="D817" s="99" t="str">
        <f>IFERROR(__xludf.DUMMYFUNCTION("""COMPUTED_VALUE"""),"085713686220")</f>
        <v>085713686220</v>
      </c>
      <c r="E817" s="25" t="str">
        <f>IFERROR(__xludf.DUMMYFUNCTION("""COMPUTED_VALUE"""),"Instagram")</f>
        <v>Instagram</v>
      </c>
      <c r="F817" s="25" t="str">
        <f>IFERROR(__xludf.DUMMYFUNCTION("""COMPUTED_VALUE"""),"Gagal")</f>
        <v>Gagal</v>
      </c>
      <c r="G817" s="25" t="str">
        <f>IFERROR(__xludf.DUMMYFUNCTION("""COMPUTED_VALUE"""),"kawah ijen")</f>
        <v>kawah ijen</v>
      </c>
      <c r="H817" s="92"/>
      <c r="I817" s="17">
        <f>IFERROR(__xludf.DUMMYFUNCTION("""COMPUTED_VALUE"""),2.0)</f>
        <v>2</v>
      </c>
      <c r="J817" s="93">
        <f>IFERROR(__xludf.DUMMYFUNCTION("""COMPUTED_VALUE"""),1228000.0)</f>
        <v>1228000</v>
      </c>
      <c r="K817" s="46" t="str">
        <f>IFERROR(__xludf.DUMMYFUNCTION("""COMPUTED_VALUE"""),"gada balasan")</f>
        <v>gada balasan</v>
      </c>
      <c r="L817" s="10"/>
      <c r="M817" s="20"/>
      <c r="N817" s="20"/>
      <c r="O817" s="20"/>
      <c r="P817" s="20"/>
    </row>
    <row r="818">
      <c r="A818" s="110">
        <f>IFERROR(__xludf.DUMMYFUNCTION("""COMPUTED_VALUE"""),46217.0)</f>
        <v>46217</v>
      </c>
      <c r="B818" s="110" t="str">
        <f>IFERROR(__xludf.DUMMYFUNCTION("""COMPUTED_VALUE"""),"2607A090")</f>
        <v>2607A090</v>
      </c>
      <c r="C818" s="49" t="str">
        <f>IFERROR(__xludf.DUMMYFUNCTION("""COMPUTED_VALUE"""),"elies")</f>
        <v>elies</v>
      </c>
      <c r="D818" s="102" t="str">
        <f>IFERROR(__xludf.DUMMYFUNCTION("""COMPUTED_VALUE"""),"082117699364")</f>
        <v>082117699364</v>
      </c>
      <c r="E818" s="25" t="str">
        <f>IFERROR(__xludf.DUMMYFUNCTION("""COMPUTED_VALUE"""),"Instagram")</f>
        <v>Instagram</v>
      </c>
      <c r="F818" s="25" t="str">
        <f>IFERROR(__xludf.DUMMYFUNCTION("""COMPUTED_VALUE"""),"Prospek")</f>
        <v>Prospek</v>
      </c>
      <c r="G818" s="25" t="str">
        <f>IFERROR(__xludf.DUMMYFUNCTION("""COMPUTED_VALUE"""),"2h1m custom")</f>
        <v>2h1m custom</v>
      </c>
      <c r="H818" s="78">
        <f>IFERROR(__xludf.DUMMYFUNCTION("""COMPUTED_VALUE"""),46260.0)</f>
        <v>46260</v>
      </c>
      <c r="I818" s="89">
        <f>IFERROR(__xludf.DUMMYFUNCTION("""COMPUTED_VALUE"""),2.0)</f>
        <v>2</v>
      </c>
      <c r="J818" s="96">
        <f>IFERROR(__xludf.DUMMYFUNCTION("""COMPUTED_VALUE"""),5740000.0)</f>
        <v>5740000</v>
      </c>
      <c r="K818" s="30" t="str">
        <f>IFERROR(__xludf.DUMMYFUNCTION("""COMPUTED_VALUE"""),"fu 27 Juli")</f>
        <v>fu 27 Juli</v>
      </c>
      <c r="L818" s="23"/>
      <c r="M818" s="20"/>
      <c r="N818" s="20"/>
      <c r="O818" s="20"/>
      <c r="P818" s="20"/>
    </row>
    <row r="819">
      <c r="A819" s="97">
        <f>IFERROR(__xludf.DUMMYFUNCTION("""COMPUTED_VALUE"""),46217.0)</f>
        <v>46217</v>
      </c>
      <c r="B819" s="97" t="str">
        <f>IFERROR(__xludf.DUMMYFUNCTION("""COMPUTED_VALUE"""),"2607A091")</f>
        <v>2607A091</v>
      </c>
      <c r="C819" s="76" t="str">
        <f>IFERROR(__xludf.DUMMYFUNCTION("""COMPUTED_VALUE"""),"Lina")</f>
        <v>Lina</v>
      </c>
      <c r="D819" s="99" t="str">
        <f>IFERROR(__xludf.DUMMYFUNCTION("""COMPUTED_VALUE"""),"08133635580")</f>
        <v>08133635580</v>
      </c>
      <c r="E819" s="25" t="str">
        <f>IFERROR(__xludf.DUMMYFUNCTION("""COMPUTED_VALUE"""),"Instagram")</f>
        <v>Instagram</v>
      </c>
      <c r="F819" s="25" t="str">
        <f>IFERROR(__xludf.DUMMYFUNCTION("""COMPUTED_VALUE"""),"Gagal")</f>
        <v>Gagal</v>
      </c>
      <c r="G819" s="25" t="str">
        <f>IFERROR(__xludf.DUMMYFUNCTION("""COMPUTED_VALUE"""),"3h2m ot atau private")</f>
        <v>3h2m ot atau private</v>
      </c>
      <c r="H819" s="92"/>
      <c r="I819" s="17">
        <f>IFERROR(__xludf.DUMMYFUNCTION("""COMPUTED_VALUE"""),1.0)</f>
        <v>1</v>
      </c>
      <c r="J819" s="93">
        <f>IFERROR(__xludf.DUMMYFUNCTION("""COMPUTED_VALUE"""),1200000.0)</f>
        <v>1200000</v>
      </c>
      <c r="K819" s="46" t="str">
        <f>IFERROR(__xludf.DUMMYFUNCTION("""COMPUTED_VALUE"""),"tidak ada balasan")</f>
        <v>tidak ada balasan</v>
      </c>
      <c r="L819" s="10"/>
      <c r="M819" s="20"/>
      <c r="N819" s="20"/>
      <c r="O819" s="20"/>
      <c r="P819" s="20"/>
    </row>
    <row r="820">
      <c r="A820" s="110">
        <f>IFERROR(__xludf.DUMMYFUNCTION("""COMPUTED_VALUE"""),46217.0)</f>
        <v>46217</v>
      </c>
      <c r="B820" s="110" t="str">
        <f>IFERROR(__xludf.DUMMYFUNCTION("""COMPUTED_VALUE"""),"2607A092")</f>
        <v>2607A092</v>
      </c>
      <c r="C820" s="49" t="str">
        <f>IFERROR(__xludf.DUMMYFUNCTION("""COMPUTED_VALUE"""),"Yohana Alfine")</f>
        <v>Yohana Alfine</v>
      </c>
      <c r="D820" s="102" t="str">
        <f>IFERROR(__xludf.DUMMYFUNCTION("""COMPUTED_VALUE"""),"085133290757")</f>
        <v>085133290757</v>
      </c>
      <c r="E820" s="25" t="str">
        <f>IFERROR(__xludf.DUMMYFUNCTION("""COMPUTED_VALUE"""),"Website")</f>
        <v>Website</v>
      </c>
      <c r="F820" s="25" t="str">
        <f>IFERROR(__xludf.DUMMYFUNCTION("""COMPUTED_VALUE"""),"Qualified")</f>
        <v>Qualified</v>
      </c>
      <c r="G820" s="25" t="str">
        <f>IFERROR(__xludf.DUMMYFUNCTION("""COMPUTED_VALUE"""),"2h1m custom")</f>
        <v>2h1m custom</v>
      </c>
      <c r="H820" s="78"/>
      <c r="I820" s="27">
        <f>IFERROR(__xludf.DUMMYFUNCTION("""COMPUTED_VALUE"""),6.0)</f>
        <v>6</v>
      </c>
      <c r="J820" s="96">
        <f>IFERROR(__xludf.DUMMYFUNCTION("""COMPUTED_VALUE"""),6120000.0)</f>
        <v>6120000</v>
      </c>
      <c r="K820" s="30" t="str">
        <f>IFERROR(__xludf.DUMMYFUNCTION("""COMPUTED_VALUE"""),"fu 18 Juli")</f>
        <v>fu 18 Juli</v>
      </c>
      <c r="L820" s="23"/>
      <c r="M820" s="20"/>
      <c r="N820" s="20"/>
      <c r="O820" s="20"/>
      <c r="P820" s="20"/>
    </row>
    <row r="821">
      <c r="A821" s="97">
        <f>IFERROR(__xludf.DUMMYFUNCTION("""COMPUTED_VALUE"""),46217.0)</f>
        <v>46217</v>
      </c>
      <c r="B821" s="97" t="str">
        <f>IFERROR(__xludf.DUMMYFUNCTION("""COMPUTED_VALUE"""),"2607A093")</f>
        <v>2607A093</v>
      </c>
      <c r="C821" s="76" t="str">
        <f>IFERROR(__xludf.DUMMYFUNCTION("""COMPUTED_VALUE"""),"Andre Sihombing")</f>
        <v>Andre Sihombing</v>
      </c>
      <c r="D821" s="99" t="str">
        <f>IFERROR(__xludf.DUMMYFUNCTION("""COMPUTED_VALUE"""),"081808432801")</f>
        <v>081808432801</v>
      </c>
      <c r="E821" s="25" t="str">
        <f>IFERROR(__xludf.DUMMYFUNCTION("""COMPUTED_VALUE"""),"Website")</f>
        <v>Website</v>
      </c>
      <c r="F821" s="25" t="str">
        <f>IFERROR(__xludf.DUMMYFUNCTION("""COMPUTED_VALUE"""),"Closing")</f>
        <v>Closing</v>
      </c>
      <c r="G821" s="25" t="str">
        <f>IFERROR(__xludf.DUMMYFUNCTION("""COMPUTED_VALUE"""),"2h1m custome")</f>
        <v>2h1m custome</v>
      </c>
      <c r="H821" s="92">
        <f>IFERROR(__xludf.DUMMYFUNCTION("""COMPUTED_VALUE"""),46223.0)</f>
        <v>46223</v>
      </c>
      <c r="I821" s="17">
        <f>IFERROR(__xludf.DUMMYFUNCTION("""COMPUTED_VALUE"""),2.0)</f>
        <v>2</v>
      </c>
      <c r="J821" s="54">
        <f>IFERROR(__xludf.DUMMYFUNCTION("""COMPUTED_VALUE"""),2800000.0)</f>
        <v>2800000</v>
      </c>
      <c r="K821" s="46" t="str">
        <f>IFERROR(__xludf.DUMMYFUNCTION("""COMPUTED_VALUE"""),"fu 18 juli")</f>
        <v>fu 18 juli</v>
      </c>
      <c r="L821" s="10"/>
      <c r="M821" s="20"/>
      <c r="N821" s="20"/>
      <c r="O821" s="20"/>
      <c r="P821" s="20"/>
    </row>
    <row r="822">
      <c r="A822" s="110">
        <f>IFERROR(__xludf.DUMMYFUNCTION("""COMPUTED_VALUE"""),46218.0)</f>
        <v>46218</v>
      </c>
      <c r="B822" s="110" t="str">
        <f>IFERROR(__xludf.DUMMYFUNCTION("""COMPUTED_VALUE"""),"2607A094")</f>
        <v>2607A094</v>
      </c>
      <c r="C822" s="49" t="str">
        <f>IFERROR(__xludf.DUMMYFUNCTION("""COMPUTED_VALUE"""),"Endah")</f>
        <v>Endah</v>
      </c>
      <c r="D822" s="102" t="str">
        <f>IFERROR(__xludf.DUMMYFUNCTION("""COMPUTED_VALUE"""),"081392172151")</f>
        <v>081392172151</v>
      </c>
      <c r="E822" s="25" t="str">
        <f>IFERROR(__xludf.DUMMYFUNCTION("""COMPUTED_VALUE"""),"Rekomendasi")</f>
        <v>Rekomendasi</v>
      </c>
      <c r="F822" s="25" t="str">
        <f>IFERROR(__xludf.DUMMYFUNCTION("""COMPUTED_VALUE"""),"Closing")</f>
        <v>Closing</v>
      </c>
      <c r="G822" s="25" t="str">
        <f>IFERROR(__xludf.DUMMYFUNCTION("""COMPUTED_VALUE"""),"2h1m custome")</f>
        <v>2h1m custome</v>
      </c>
      <c r="H822" s="78"/>
      <c r="I822" s="89">
        <f>IFERROR(__xludf.DUMMYFUNCTION("""COMPUTED_VALUE"""),2.0)</f>
        <v>2</v>
      </c>
      <c r="J822" s="96">
        <f>IFERROR(__xludf.DUMMYFUNCTION("""COMPUTED_VALUE"""),3560000.0)</f>
        <v>3560000</v>
      </c>
      <c r="K822" s="36" t="str">
        <f>IFERROR(__xludf.DUMMYFUNCTION("""COMPUTED_VALUE"""),"alhamdulillah closing")</f>
        <v>alhamdulillah closing</v>
      </c>
      <c r="L822" s="49"/>
      <c r="M822" s="20"/>
      <c r="N822" s="20"/>
      <c r="O822" s="20"/>
      <c r="P822" s="20"/>
    </row>
    <row r="823">
      <c r="A823" s="97">
        <f>IFERROR(__xludf.DUMMYFUNCTION("""COMPUTED_VALUE"""),46218.0)</f>
        <v>46218</v>
      </c>
      <c r="B823" s="97" t="str">
        <f>IFERROR(__xludf.DUMMYFUNCTION("""COMPUTED_VALUE"""),"2607A095")</f>
        <v>2607A095</v>
      </c>
      <c r="C823" s="49" t="str">
        <f>IFERROR(__xludf.DUMMYFUNCTION("""COMPUTED_VALUE"""),"Indri")</f>
        <v>Indri</v>
      </c>
      <c r="D823" s="102" t="str">
        <f>IFERROR(__xludf.DUMMYFUNCTION("""COMPUTED_VALUE"""),"081287471173")</f>
        <v>081287471173</v>
      </c>
      <c r="E823" s="25" t="str">
        <f>IFERROR(__xludf.DUMMYFUNCTION("""COMPUTED_VALUE"""),"Instagram")</f>
        <v>Instagram</v>
      </c>
      <c r="F823" s="25" t="str">
        <f>IFERROR(__xludf.DUMMYFUNCTION("""COMPUTED_VALUE"""),"Qualified")</f>
        <v>Qualified</v>
      </c>
      <c r="G823" s="25" t="str">
        <f>IFERROR(__xludf.DUMMYFUNCTION("""COMPUTED_VALUE"""),"2h1m custome")</f>
        <v>2h1m custome</v>
      </c>
      <c r="H823" s="92">
        <f>IFERROR(__xludf.DUMMYFUNCTION("""COMPUTED_VALUE"""),46260.0)</f>
        <v>46260</v>
      </c>
      <c r="I823" s="80">
        <f>IFERROR(__xludf.DUMMYFUNCTION("""COMPUTED_VALUE"""),4.0)</f>
        <v>4</v>
      </c>
      <c r="J823" s="93">
        <f>IFERROR(__xludf.DUMMYFUNCTION("""COMPUTED_VALUE"""),5000000.0)</f>
        <v>5000000</v>
      </c>
      <c r="K823" s="46" t="str">
        <f>IFERROR(__xludf.DUMMYFUNCTION("""COMPUTED_VALUE"""),"fu 1 agustus")</f>
        <v>fu 1 agustus</v>
      </c>
      <c r="L823" s="76"/>
      <c r="M823" s="20"/>
      <c r="N823" s="20"/>
      <c r="O823" s="20"/>
      <c r="P823" s="20"/>
    </row>
    <row r="824">
      <c r="A824" s="110">
        <f>IFERROR(__xludf.DUMMYFUNCTION("""COMPUTED_VALUE"""),46218.0)</f>
        <v>46218</v>
      </c>
      <c r="B824" s="97" t="str">
        <f>IFERROR(__xludf.DUMMYFUNCTION("""COMPUTED_VALUE"""),"2607A096")</f>
        <v>2607A096</v>
      </c>
      <c r="C824" s="49" t="str">
        <f>IFERROR(__xludf.DUMMYFUNCTION("""COMPUTED_VALUE"""),"Rahmawati.nurf")</f>
        <v>Rahmawati.nurf</v>
      </c>
      <c r="D824" s="102" t="str">
        <f>IFERROR(__xludf.DUMMYFUNCTION("""COMPUTED_VALUE"""),"085524477985")</f>
        <v>085524477985</v>
      </c>
      <c r="E824" s="25" t="str">
        <f>IFERROR(__xludf.DUMMYFUNCTION("""COMPUTED_VALUE"""),"Instagram")</f>
        <v>Instagram</v>
      </c>
      <c r="F824" s="25" t="str">
        <f>IFERROR(__xludf.DUMMYFUNCTION("""COMPUTED_VALUE"""),"Qualified")</f>
        <v>Qualified</v>
      </c>
      <c r="G824" s="25" t="str">
        <f>IFERROR(__xludf.DUMMYFUNCTION("""COMPUTED_VALUE"""),"3h2m opsi a")</f>
        <v>3h2m opsi a</v>
      </c>
      <c r="H824" s="78"/>
      <c r="I824" s="89">
        <f>IFERROR(__xludf.DUMMYFUNCTION("""COMPUTED_VALUE"""),2.0)</f>
        <v>2</v>
      </c>
      <c r="J824" s="96">
        <f>IFERROR(__xludf.DUMMYFUNCTION("""COMPUTED_VALUE"""),6128000.0)</f>
        <v>6128000</v>
      </c>
      <c r="K824" s="30" t="str">
        <f>IFERROR(__xludf.DUMMYFUNCTION("""COMPUTED_VALUE"""),"fu 25 november")</f>
        <v>fu 25 november</v>
      </c>
      <c r="L824" s="76"/>
      <c r="M824" s="20"/>
      <c r="N824" s="20"/>
      <c r="O824" s="20"/>
      <c r="P824" s="20"/>
    </row>
    <row r="825">
      <c r="A825" s="97">
        <f>IFERROR(__xludf.DUMMYFUNCTION("""COMPUTED_VALUE"""),46218.0)</f>
        <v>46218</v>
      </c>
      <c r="B825" s="97" t="str">
        <f>IFERROR(__xludf.DUMMYFUNCTION("""COMPUTED_VALUE"""),"2607A097")</f>
        <v>2607A097</v>
      </c>
      <c r="C825" s="49" t="str">
        <f>IFERROR(__xludf.DUMMYFUNCTION("""COMPUTED_VALUE"""),"Abang Hafiz")</f>
        <v>Abang Hafiz</v>
      </c>
      <c r="D825" s="102" t="str">
        <f>IFERROR(__xludf.DUMMYFUNCTION("""COMPUTED_VALUE"""),"082198990220")</f>
        <v>082198990220</v>
      </c>
      <c r="E825" s="25" t="str">
        <f>IFERROR(__xludf.DUMMYFUNCTION("""COMPUTED_VALUE"""),"Instagram")</f>
        <v>Instagram</v>
      </c>
      <c r="F825" s="25" t="str">
        <f>IFERROR(__xludf.DUMMYFUNCTION("""COMPUTED_VALUE"""),"Gagal")</f>
        <v>Gagal</v>
      </c>
      <c r="G825" s="25" t="str">
        <f>IFERROR(__xludf.DUMMYFUNCTION("""COMPUTED_VALUE"""),"2h1m opsi a")</f>
        <v>2h1m opsi a</v>
      </c>
      <c r="H825" s="92">
        <f>IFERROR(__xludf.DUMMYFUNCTION("""COMPUTED_VALUE"""),46227.0)</f>
        <v>46227</v>
      </c>
      <c r="I825" s="80">
        <f>IFERROR(__xludf.DUMMYFUNCTION("""COMPUTED_VALUE"""),2.0)</f>
        <v>2</v>
      </c>
      <c r="J825" s="93">
        <f>IFERROR(__xludf.DUMMYFUNCTION("""COMPUTED_VALUE"""),4680000.0)</f>
        <v>4680000</v>
      </c>
      <c r="K825" s="46" t="str">
        <f>IFERROR(__xludf.DUMMYFUNCTION("""COMPUTED_VALUE"""),"gada balasan, sdh fu")</f>
        <v>gada balasan, sdh fu</v>
      </c>
      <c r="L825" s="76"/>
      <c r="M825" s="20"/>
      <c r="N825" s="20"/>
      <c r="O825" s="20"/>
      <c r="P825" s="20"/>
    </row>
    <row r="826">
      <c r="A826" s="110">
        <f>IFERROR(__xludf.DUMMYFUNCTION("""COMPUTED_VALUE"""),46218.0)</f>
        <v>46218</v>
      </c>
      <c r="B826" s="110" t="str">
        <f>IFERROR(__xludf.DUMMYFUNCTION("""COMPUTED_VALUE"""),"2607A098")</f>
        <v>2607A098</v>
      </c>
      <c r="C826" s="49" t="str">
        <f>IFERROR(__xludf.DUMMYFUNCTION("""COMPUTED_VALUE"""),"Susy T")</f>
        <v>Susy T</v>
      </c>
      <c r="D826" s="102" t="str">
        <f>IFERROR(__xludf.DUMMYFUNCTION("""COMPUTED_VALUE"""),"085817439701")</f>
        <v>085817439701</v>
      </c>
      <c r="E826" s="25" t="str">
        <f>IFERROR(__xludf.DUMMYFUNCTION("""COMPUTED_VALUE"""),"Lainnya")</f>
        <v>Lainnya</v>
      </c>
      <c r="F826" s="25" t="str">
        <f>IFERROR(__xludf.DUMMYFUNCTION("""COMPUTED_VALUE"""),"Leads Baru")</f>
        <v>Leads Baru</v>
      </c>
      <c r="G826" s="25" t="str">
        <f>IFERROR(__xludf.DUMMYFUNCTION("""COMPUTED_VALUE"""),"ot ijen")</f>
        <v>ot ijen</v>
      </c>
      <c r="H826" s="78"/>
      <c r="I826" s="89">
        <f>IFERROR(__xludf.DUMMYFUNCTION("""COMPUTED_VALUE"""),3.0)</f>
        <v>3</v>
      </c>
      <c r="J826" s="96">
        <f>IFERROR(__xludf.DUMMYFUNCTION("""COMPUTED_VALUE"""),750000.0)</f>
        <v>750000</v>
      </c>
      <c r="K826" s="30" t="str">
        <f>IFERROR(__xludf.DUMMYFUNCTION("""COMPUTED_VALUE"""),"fu 18 juli")</f>
        <v>fu 18 juli</v>
      </c>
      <c r="L826" s="49"/>
      <c r="M826" s="20"/>
      <c r="N826" s="20"/>
      <c r="O826" s="20"/>
      <c r="P826" s="20"/>
    </row>
    <row r="827">
      <c r="A827" s="97">
        <f>IFERROR(__xludf.DUMMYFUNCTION("""COMPUTED_VALUE"""),46218.0)</f>
        <v>46218</v>
      </c>
      <c r="B827" s="97" t="str">
        <f>IFERROR(__xludf.DUMMYFUNCTION("""COMPUTED_VALUE"""),"2607A099")</f>
        <v>2607A099</v>
      </c>
      <c r="C827" s="49" t="str">
        <f>IFERROR(__xludf.DUMMYFUNCTION("""COMPUTED_VALUE"""),"Sabrina")</f>
        <v>Sabrina</v>
      </c>
      <c r="D827" s="102" t="str">
        <f>IFERROR(__xludf.DUMMYFUNCTION("""COMPUTED_VALUE"""),"085664539661")</f>
        <v>085664539661</v>
      </c>
      <c r="E827" s="25" t="str">
        <f>IFERROR(__xludf.DUMMYFUNCTION("""COMPUTED_VALUE"""),"Instagram")</f>
        <v>Instagram</v>
      </c>
      <c r="F827" s="25" t="str">
        <f>IFERROR(__xludf.DUMMYFUNCTION("""COMPUTED_VALUE"""),"Gagal")</f>
        <v>Gagal</v>
      </c>
      <c r="G827" s="25"/>
      <c r="H827" s="92">
        <f>IFERROR(__xludf.DUMMYFUNCTION("""COMPUTED_VALUE"""),46221.0)</f>
        <v>46221</v>
      </c>
      <c r="I827" s="17">
        <f>IFERROR(__xludf.DUMMYFUNCTION("""COMPUTED_VALUE"""),6.0)</f>
        <v>6</v>
      </c>
      <c r="J827" s="93">
        <f>IFERROR(__xludf.DUMMYFUNCTION("""COMPUTED_VALUE"""),1650000.0)</f>
        <v>1650000</v>
      </c>
      <c r="K827" s="19" t="str">
        <f>IFERROR(__xludf.DUMMYFUNCTION("""COMPUTED_VALUE"""),"ga jadi, tdk memberi alasan")</f>
        <v>ga jadi, tdk memberi alasan</v>
      </c>
      <c r="L827" s="76"/>
      <c r="M827" s="20"/>
      <c r="N827" s="20"/>
      <c r="O827" s="20"/>
      <c r="P827" s="20"/>
    </row>
    <row r="828">
      <c r="A828" s="110">
        <f>IFERROR(__xludf.DUMMYFUNCTION("""COMPUTED_VALUE"""),46218.0)</f>
        <v>46218</v>
      </c>
      <c r="B828" s="110" t="str">
        <f>IFERROR(__xludf.DUMMYFUNCTION("""COMPUTED_VALUE"""),"2607A100")</f>
        <v>2607A100</v>
      </c>
      <c r="C828" s="49" t="str">
        <f>IFERROR(__xludf.DUMMYFUNCTION("""COMPUTED_VALUE"""),"Suyati Edisun")</f>
        <v>Suyati Edisun</v>
      </c>
      <c r="D828" s="102" t="str">
        <f>IFERROR(__xludf.DUMMYFUNCTION("""COMPUTED_VALUE"""),"08158845650")</f>
        <v>08158845650</v>
      </c>
      <c r="E828" s="25" t="str">
        <f>IFERROR(__xludf.DUMMYFUNCTION("""COMPUTED_VALUE"""),"Lainnya")</f>
        <v>Lainnya</v>
      </c>
      <c r="F828" s="25" t="str">
        <f>IFERROR(__xludf.DUMMYFUNCTION("""COMPUTED_VALUE"""),"Qualified")</f>
        <v>Qualified</v>
      </c>
      <c r="G828" s="25" t="str">
        <f>IFERROR(__xludf.DUMMYFUNCTION("""COMPUTED_VALUE"""),"3h2m opsi a")</f>
        <v>3h2m opsi a</v>
      </c>
      <c r="H828" s="78"/>
      <c r="I828" s="89">
        <f>IFERROR(__xludf.DUMMYFUNCTION("""COMPUTED_VALUE"""),10.0)</f>
        <v>10</v>
      </c>
      <c r="J828" s="96">
        <f>IFERROR(__xludf.DUMMYFUNCTION("""COMPUTED_VALUE"""),1.132E7)</f>
        <v>11320000</v>
      </c>
      <c r="K828" s="36" t="str">
        <f>IFERROR(__xludf.DUMMYFUNCTION("""COMPUTED_VALUE"""),"fu 27 juli")</f>
        <v>fu 27 juli</v>
      </c>
      <c r="L828" s="49"/>
      <c r="M828" s="20"/>
      <c r="N828" s="20"/>
      <c r="O828" s="20"/>
      <c r="P828" s="20"/>
    </row>
    <row r="829">
      <c r="A829" s="97">
        <f>IFERROR(__xludf.DUMMYFUNCTION("""COMPUTED_VALUE"""),46219.0)</f>
        <v>46219</v>
      </c>
      <c r="B829" s="110" t="str">
        <f>IFERROR(__xludf.DUMMYFUNCTION("""COMPUTED_VALUE"""),"2607A101")</f>
        <v>2607A101</v>
      </c>
      <c r="C829" s="76" t="str">
        <f>IFERROR(__xludf.DUMMYFUNCTION("""COMPUTED_VALUE"""),"Liam Donohae")</f>
        <v>Liam Donohae</v>
      </c>
      <c r="D829" s="99" t="str">
        <f>IFERROR(__xludf.DUMMYFUNCTION("""COMPUTED_VALUE"""),"61417252421")</f>
        <v>61417252421</v>
      </c>
      <c r="E829" s="25" t="str">
        <f>IFERROR(__xludf.DUMMYFUNCTION("""COMPUTED_VALUE"""),"Lainnya")</f>
        <v>Lainnya</v>
      </c>
      <c r="F829" s="25" t="str">
        <f>IFERROR(__xludf.DUMMYFUNCTION("""COMPUTED_VALUE"""),"Review")</f>
        <v>Review</v>
      </c>
      <c r="G829" s="25" t="str">
        <f>IFERROR(__xludf.DUMMYFUNCTION("""COMPUTED_VALUE"""),"ot mt dan pvt ijen")</f>
        <v>ot mt dan pvt ijen</v>
      </c>
      <c r="H829" s="92"/>
      <c r="I829" s="80">
        <f>IFERROR(__xludf.DUMMYFUNCTION("""COMPUTED_VALUE"""),2.0)</f>
        <v>2</v>
      </c>
      <c r="J829" s="93">
        <f>IFERROR(__xludf.DUMMYFUNCTION("""COMPUTED_VALUE"""),2690000.0)</f>
        <v>2690000</v>
      </c>
      <c r="K829" s="19" t="str">
        <f>IFERROR(__xludf.DUMMYFUNCTION("""COMPUTED_VALUE"""),"alhamdulillah order")</f>
        <v>alhamdulillah order</v>
      </c>
      <c r="L829" s="10"/>
      <c r="M829" s="20"/>
      <c r="N829" s="20"/>
      <c r="O829" s="20"/>
      <c r="P829" s="20"/>
    </row>
    <row r="830">
      <c r="A830" s="110">
        <f>IFERROR(__xludf.DUMMYFUNCTION("""COMPUTED_VALUE"""),46219.0)</f>
        <v>46219</v>
      </c>
      <c r="B830" s="110" t="str">
        <f>IFERROR(__xludf.DUMMYFUNCTION("""COMPUTED_VALUE"""),"2607A102")</f>
        <v>2607A102</v>
      </c>
      <c r="C830" s="49" t="str">
        <f>IFERROR(__xludf.DUMMYFUNCTION("""COMPUTED_VALUE"""),"Melan")</f>
        <v>Melan</v>
      </c>
      <c r="D830" s="102" t="str">
        <f>IFERROR(__xludf.DUMMYFUNCTION("""COMPUTED_VALUE"""),"08111563390")</f>
        <v>08111563390</v>
      </c>
      <c r="E830" s="25" t="str">
        <f>IFERROR(__xludf.DUMMYFUNCTION("""COMPUTED_VALUE"""),"Website")</f>
        <v>Website</v>
      </c>
      <c r="F830" s="25" t="str">
        <f>IFERROR(__xludf.DUMMYFUNCTION("""COMPUTED_VALUE"""),"Prospek")</f>
        <v>Prospek</v>
      </c>
      <c r="G830" s="25" t="str">
        <f>IFERROR(__xludf.DUMMYFUNCTION("""COMPUTED_VALUE"""),"3h2m")</f>
        <v>3h2m</v>
      </c>
      <c r="H830" s="78"/>
      <c r="I830" s="89">
        <f>IFERROR(__xludf.DUMMYFUNCTION("""COMPUTED_VALUE"""),2.0)</f>
        <v>2</v>
      </c>
      <c r="J830" s="96">
        <f>IFERROR(__xludf.DUMMYFUNCTION("""COMPUTED_VALUE"""),6200000.0)</f>
        <v>6200000</v>
      </c>
      <c r="K830" s="30" t="str">
        <f>IFERROR(__xludf.DUMMYFUNCTION("""COMPUTED_VALUE"""),"fu 30 juli")</f>
        <v>fu 30 juli</v>
      </c>
      <c r="L830" s="49"/>
      <c r="M830" s="20"/>
      <c r="N830" s="20"/>
      <c r="O830" s="20"/>
      <c r="P830" s="20"/>
    </row>
    <row r="831">
      <c r="A831" s="97">
        <f>IFERROR(__xludf.DUMMYFUNCTION("""COMPUTED_VALUE"""),46219.0)</f>
        <v>46219</v>
      </c>
      <c r="B831" s="97" t="str">
        <f>IFERROR(__xludf.DUMMYFUNCTION("""COMPUTED_VALUE"""),"2607A103")</f>
        <v>2607A103</v>
      </c>
      <c r="C831" s="76" t="str">
        <f>IFERROR(__xludf.DUMMYFUNCTION("""COMPUTED_VALUE"""),"Jenny Susmita Susilo")</f>
        <v>Jenny Susmita Susilo</v>
      </c>
      <c r="D831" s="99" t="str">
        <f>IFERROR(__xludf.DUMMYFUNCTION("""COMPUTED_VALUE"""),"08126647030")</f>
        <v>08126647030</v>
      </c>
      <c r="E831" s="25" t="str">
        <f>IFERROR(__xludf.DUMMYFUNCTION("""COMPUTED_VALUE"""),"Instagram")</f>
        <v>Instagram</v>
      </c>
      <c r="F831" s="25" t="str">
        <f>IFERROR(__xludf.DUMMYFUNCTION("""COMPUTED_VALUE"""),"Gagal")</f>
        <v>Gagal</v>
      </c>
      <c r="G831" s="25" t="str">
        <f>IFERROR(__xludf.DUMMYFUNCTION("""COMPUTED_VALUE"""),"ot djabal")</f>
        <v>ot djabal</v>
      </c>
      <c r="H831" s="92"/>
      <c r="I831" s="80"/>
      <c r="J831" s="93"/>
      <c r="K831" s="46" t="str">
        <f>IFERROR(__xludf.DUMMYFUNCTION("""COMPUTED_VALUE"""),"gada balasan")</f>
        <v>gada balasan</v>
      </c>
      <c r="L831" s="76"/>
      <c r="M831" s="20"/>
      <c r="N831" s="20"/>
      <c r="O831" s="20"/>
      <c r="P831" s="20"/>
    </row>
    <row r="832">
      <c r="A832" s="110">
        <f>IFERROR(__xludf.DUMMYFUNCTION("""COMPUTED_VALUE"""),46219.0)</f>
        <v>46219</v>
      </c>
      <c r="B832" s="110" t="str">
        <f>IFERROR(__xludf.DUMMYFUNCTION("""COMPUTED_VALUE"""),"2607A104")</f>
        <v>2607A104</v>
      </c>
      <c r="C832" s="49" t="str">
        <f>IFERROR(__xludf.DUMMYFUNCTION("""COMPUTED_VALUE"""),"Del")</f>
        <v>Del</v>
      </c>
      <c r="D832" s="102" t="str">
        <f>IFERROR(__xludf.DUMMYFUNCTION("""COMPUTED_VALUE"""),"081324026657")</f>
        <v>081324026657</v>
      </c>
      <c r="E832" s="25" t="str">
        <f>IFERROR(__xludf.DUMMYFUNCTION("""COMPUTED_VALUE"""),"Instagram")</f>
        <v>Instagram</v>
      </c>
      <c r="F832" s="25" t="str">
        <f>IFERROR(__xludf.DUMMYFUNCTION("""COMPUTED_VALUE"""),"Gagal")</f>
        <v>Gagal</v>
      </c>
      <c r="G832" s="25"/>
      <c r="H832" s="26"/>
      <c r="I832" s="27"/>
      <c r="J832" s="96"/>
      <c r="K832" s="30" t="str">
        <f>IFERROR(__xludf.DUMMYFUNCTION("""COMPUTED_VALUE"""),"gada balasan")</f>
        <v>gada balasan</v>
      </c>
      <c r="L832" s="49"/>
      <c r="M832" s="20"/>
      <c r="N832" s="20"/>
      <c r="O832" s="20"/>
      <c r="P832" s="20"/>
    </row>
    <row r="833">
      <c r="A833" s="97">
        <f>IFERROR(__xludf.DUMMYFUNCTION("""COMPUTED_VALUE"""),46219.0)</f>
        <v>46219</v>
      </c>
      <c r="B833" s="97" t="str">
        <f>IFERROR(__xludf.DUMMYFUNCTION("""COMPUTED_VALUE"""),"2607A105")</f>
        <v>2607A105</v>
      </c>
      <c r="C833" s="76" t="str">
        <f>IFERROR(__xludf.DUMMYFUNCTION("""COMPUTED_VALUE"""),"Ali Juwaidi ABdullah")</f>
        <v>Ali Juwaidi ABdullah</v>
      </c>
      <c r="D833" s="99" t="str">
        <f>IFERROR(__xludf.DUMMYFUNCTION("""COMPUTED_VALUE"""),"081252217698")</f>
        <v>081252217698</v>
      </c>
      <c r="E833" s="25" t="str">
        <f>IFERROR(__xludf.DUMMYFUNCTION("""COMPUTED_VALUE"""),"Instagram")</f>
        <v>Instagram</v>
      </c>
      <c r="F833" s="25" t="str">
        <f>IFERROR(__xludf.DUMMYFUNCTION("""COMPUTED_VALUE"""),"Gagal")</f>
        <v>Gagal</v>
      </c>
      <c r="G833" s="25" t="str">
        <f>IFERROR(__xludf.DUMMYFUNCTION("""COMPUTED_VALUE"""),"2h1m")</f>
        <v>2h1m</v>
      </c>
      <c r="H833" s="16">
        <f>IFERROR(__xludf.DUMMYFUNCTION("""COMPUTED_VALUE"""),46237.0)</f>
        <v>46237</v>
      </c>
      <c r="I833" s="80">
        <f>IFERROR(__xludf.DUMMYFUNCTION("""COMPUTED_VALUE"""),2.0)</f>
        <v>2</v>
      </c>
      <c r="J833" s="93">
        <f>IFERROR(__xludf.DUMMYFUNCTION("""COMPUTED_VALUE"""),5740000.0)</f>
        <v>5740000</v>
      </c>
      <c r="K833" s="46" t="str">
        <f>IFERROR(__xludf.DUMMYFUNCTION("""COMPUTED_VALUE"""),"deal di mbak dela")</f>
        <v>deal di mbak dela</v>
      </c>
      <c r="L833" s="76"/>
      <c r="M833" s="20"/>
      <c r="N833" s="20"/>
      <c r="O833" s="20"/>
      <c r="P833" s="20"/>
    </row>
    <row r="834">
      <c r="A834" s="110">
        <f>IFERROR(__xludf.DUMMYFUNCTION("""COMPUTED_VALUE"""),46220.0)</f>
        <v>46220</v>
      </c>
      <c r="B834" s="110" t="str">
        <f>IFERROR(__xludf.DUMMYFUNCTION("""COMPUTED_VALUE"""),"2607A106")</f>
        <v>2607A106</v>
      </c>
      <c r="C834" s="49" t="str">
        <f>IFERROR(__xludf.DUMMYFUNCTION("""COMPUTED_VALUE"""),"Sindi Monica")</f>
        <v>Sindi Monica</v>
      </c>
      <c r="D834" s="102" t="str">
        <f>IFERROR(__xludf.DUMMYFUNCTION("""COMPUTED_VALUE"""),"081111815532")</f>
        <v>081111815532</v>
      </c>
      <c r="E834" s="25" t="str">
        <f>IFERROR(__xludf.DUMMYFUNCTION("""COMPUTED_VALUE"""),"Instagram")</f>
        <v>Instagram</v>
      </c>
      <c r="F834" s="25" t="str">
        <f>IFERROR(__xludf.DUMMYFUNCTION("""COMPUTED_VALUE"""),"Qualified")</f>
        <v>Qualified</v>
      </c>
      <c r="G834" s="25" t="str">
        <f>IFERROR(__xludf.DUMMYFUNCTION("""COMPUTED_VALUE"""),"Djawatan baluran")</f>
        <v>Djawatan baluran</v>
      </c>
      <c r="H834" s="78">
        <f>IFERROR(__xludf.DUMMYFUNCTION("""COMPUTED_VALUE"""),46257.0)</f>
        <v>46257</v>
      </c>
      <c r="I834" s="89">
        <f>IFERROR(__xludf.DUMMYFUNCTION("""COMPUTED_VALUE"""),2.0)</f>
        <v>2</v>
      </c>
      <c r="J834" s="96">
        <f>IFERROR(__xludf.DUMMYFUNCTION("""COMPUTED_VALUE"""),1100000.0)</f>
        <v>1100000</v>
      </c>
      <c r="K834" s="30" t="str">
        <f>IFERROR(__xludf.DUMMYFUNCTION("""COMPUTED_VALUE"""),"fu 4 agustus ")</f>
        <v>fu 4 agustus </v>
      </c>
      <c r="L834" s="49"/>
      <c r="M834" s="20"/>
      <c r="N834" s="20"/>
      <c r="O834" s="20"/>
      <c r="P834" s="20"/>
    </row>
    <row r="835">
      <c r="A835" s="97">
        <f>IFERROR(__xludf.DUMMYFUNCTION("""COMPUTED_VALUE"""),46215.0)</f>
        <v>46215</v>
      </c>
      <c r="B835" s="97" t="str">
        <f>IFERROR(__xludf.DUMMYFUNCTION("""COMPUTED_VALUE"""),"2607A107")</f>
        <v>2607A107</v>
      </c>
      <c r="C835" s="76" t="str">
        <f>IFERROR(__xludf.DUMMYFUNCTION("""COMPUTED_VALUE"""),"Dhevy Ayuningrum")</f>
        <v>Dhevy Ayuningrum</v>
      </c>
      <c r="D835" s="99" t="str">
        <f>IFERROR(__xludf.DUMMYFUNCTION("""COMPUTED_VALUE"""),"083832561912")</f>
        <v>083832561912</v>
      </c>
      <c r="E835" s="25" t="str">
        <f>IFERROR(__xludf.DUMMYFUNCTION("""COMPUTED_VALUE"""),"Instagram")</f>
        <v>Instagram</v>
      </c>
      <c r="F835" s="25" t="str">
        <f>IFERROR(__xludf.DUMMYFUNCTION("""COMPUTED_VALUE"""),"Qualified")</f>
        <v>Qualified</v>
      </c>
      <c r="G835" s="25" t="str">
        <f>IFERROR(__xludf.DUMMYFUNCTION("""COMPUTED_VALUE"""),"ot mt")</f>
        <v>ot mt</v>
      </c>
      <c r="H835" s="92">
        <f>IFERROR(__xludf.DUMMYFUNCTION("""COMPUTED_VALUE"""),46254.0)</f>
        <v>46254</v>
      </c>
      <c r="I835" s="17">
        <f>IFERROR(__xludf.DUMMYFUNCTION("""COMPUTED_VALUE"""),2.0)</f>
        <v>2</v>
      </c>
      <c r="J835" s="93">
        <f>IFERROR(__xludf.DUMMYFUNCTION("""COMPUTED_VALUE"""),800000.0)</f>
        <v>800000</v>
      </c>
      <c r="K835" s="46" t="str">
        <f>IFERROR(__xludf.DUMMYFUNCTION("""COMPUTED_VALUE"""),"fu 30 juli")</f>
        <v>fu 30 juli</v>
      </c>
      <c r="L835" s="10"/>
      <c r="M835" s="20"/>
      <c r="N835" s="20"/>
      <c r="O835" s="20"/>
      <c r="P835" s="20"/>
    </row>
    <row r="836">
      <c r="A836" s="110">
        <f>IFERROR(__xludf.DUMMYFUNCTION("""COMPUTED_VALUE"""),46220.0)</f>
        <v>46220</v>
      </c>
      <c r="B836" s="110" t="str">
        <f>IFERROR(__xludf.DUMMYFUNCTION("""COMPUTED_VALUE"""),"2607A108")</f>
        <v>2607A108</v>
      </c>
      <c r="C836" s="49" t="str">
        <f>IFERROR(__xludf.DUMMYFUNCTION("""COMPUTED_VALUE"""),"Estu Putri")</f>
        <v>Estu Putri</v>
      </c>
      <c r="D836" s="102" t="str">
        <f>IFERROR(__xludf.DUMMYFUNCTION("""COMPUTED_VALUE"""),"081395096244")</f>
        <v>081395096244</v>
      </c>
      <c r="E836" s="25" t="str">
        <f>IFERROR(__xludf.DUMMYFUNCTION("""COMPUTED_VALUE"""),"Instagram")</f>
        <v>Instagram</v>
      </c>
      <c r="F836" s="25" t="str">
        <f>IFERROR(__xludf.DUMMYFUNCTION("""COMPUTED_VALUE"""),"Gagal")</f>
        <v>Gagal</v>
      </c>
      <c r="G836" s="25" t="str">
        <f>IFERROR(__xludf.DUMMYFUNCTION("""COMPUTED_VALUE"""),"ot 3h2m")</f>
        <v>ot 3h2m</v>
      </c>
      <c r="H836" s="78"/>
      <c r="I836" s="89"/>
      <c r="J836" s="96"/>
      <c r="K836" s="30" t="str">
        <f>IFERROR(__xludf.DUMMYFUNCTION("""COMPUTED_VALUE"""),"gada balasan")</f>
        <v>gada balasan</v>
      </c>
      <c r="L836" s="49"/>
      <c r="M836" s="20"/>
      <c r="N836" s="20"/>
      <c r="O836" s="20"/>
      <c r="P836" s="20"/>
    </row>
    <row r="837">
      <c r="A837" s="97">
        <f>IFERROR(__xludf.DUMMYFUNCTION("""COMPUTED_VALUE"""),46220.0)</f>
        <v>46220</v>
      </c>
      <c r="B837" s="97" t="str">
        <f>IFERROR(__xludf.DUMMYFUNCTION("""COMPUTED_VALUE"""),"2607A109")</f>
        <v>2607A109</v>
      </c>
      <c r="C837" s="76" t="str">
        <f>IFERROR(__xludf.DUMMYFUNCTION("""COMPUTED_VALUE"""),"Tina")</f>
        <v>Tina</v>
      </c>
      <c r="D837" s="99" t="str">
        <f>IFERROR(__xludf.DUMMYFUNCTION("""COMPUTED_VALUE"""),"085249058336")</f>
        <v>085249058336</v>
      </c>
      <c r="E837" s="25" t="str">
        <f>IFERROR(__xludf.DUMMYFUNCTION("""COMPUTED_VALUE"""),"Website")</f>
        <v>Website</v>
      </c>
      <c r="F837" s="25" t="str">
        <f>IFERROR(__xludf.DUMMYFUNCTION("""COMPUTED_VALUE"""),"Leads Baru")</f>
        <v>Leads Baru</v>
      </c>
      <c r="G837" s="25" t="str">
        <f>IFERROR(__xludf.DUMMYFUNCTION("""COMPUTED_VALUE"""),"2h1m opsi b")</f>
        <v>2h1m opsi b</v>
      </c>
      <c r="H837" s="16"/>
      <c r="I837" s="17">
        <f>IFERROR(__xludf.DUMMYFUNCTION("""COMPUTED_VALUE"""),4.0)</f>
        <v>4</v>
      </c>
      <c r="J837" s="54"/>
      <c r="K837" s="46" t="str">
        <f>IFERROR(__xludf.DUMMYFUNCTION("""COMPUTED_VALUE"""),"fu 18 juli")</f>
        <v>fu 18 juli</v>
      </c>
      <c r="L837" s="76"/>
      <c r="M837" s="20"/>
      <c r="N837" s="20"/>
      <c r="O837" s="20"/>
      <c r="P837" s="20"/>
    </row>
    <row r="838">
      <c r="A838" s="110">
        <f>IFERROR(__xludf.DUMMYFUNCTION("""COMPUTED_VALUE"""),46220.0)</f>
        <v>46220</v>
      </c>
      <c r="B838" s="110" t="str">
        <f>IFERROR(__xludf.DUMMYFUNCTION("""COMPUTED_VALUE"""),"2607A110")</f>
        <v>2607A110</v>
      </c>
      <c r="C838" s="49" t="str">
        <f>IFERROR(__xludf.DUMMYFUNCTION("""COMPUTED_VALUE"""),"Pauline Leolopulisa")</f>
        <v>Pauline Leolopulisa</v>
      </c>
      <c r="D838" s="102" t="str">
        <f>IFERROR(__xludf.DUMMYFUNCTION("""COMPUTED_VALUE"""),"0818914220")</f>
        <v>0818914220</v>
      </c>
      <c r="E838" s="25" t="str">
        <f>IFERROR(__xludf.DUMMYFUNCTION("""COMPUTED_VALUE"""),"Lainnya")</f>
        <v>Lainnya</v>
      </c>
      <c r="F838" s="25" t="str">
        <f>IFERROR(__xludf.DUMMYFUNCTION("""COMPUTED_VALUE"""),"Gagal")</f>
        <v>Gagal</v>
      </c>
      <c r="G838" s="25" t="str">
        <f>IFERROR(__xludf.DUMMYFUNCTION("""COMPUTED_VALUE"""),"4h3m custome")</f>
        <v>4h3m custome</v>
      </c>
      <c r="H838" s="78">
        <f>IFERROR(__xludf.DUMMYFUNCTION("""COMPUTED_VALUE"""),46239.0)</f>
        <v>46239</v>
      </c>
      <c r="I838" s="89">
        <f>IFERROR(__xludf.DUMMYFUNCTION("""COMPUTED_VALUE"""),12.0)</f>
        <v>12</v>
      </c>
      <c r="J838" s="96">
        <f>IFERROR(__xludf.DUMMYFUNCTION("""COMPUTED_VALUE"""),2.88E7)</f>
        <v>28800000</v>
      </c>
      <c r="K838" s="30" t="str">
        <f>IFERROR(__xludf.DUMMYFUNCTION("""COMPUTED_VALUE"""),"ga jadi ke bwi")</f>
        <v>ga jadi ke bwi</v>
      </c>
      <c r="L838" s="49"/>
      <c r="M838" s="20"/>
      <c r="N838" s="20"/>
      <c r="O838" s="20"/>
      <c r="P838" s="20"/>
    </row>
    <row r="839">
      <c r="A839" s="97">
        <f>IFERROR(__xludf.DUMMYFUNCTION("""COMPUTED_VALUE"""),46220.0)</f>
        <v>46220</v>
      </c>
      <c r="B839" s="97" t="str">
        <f>IFERROR(__xludf.DUMMYFUNCTION("""COMPUTED_VALUE"""),"2607A111")</f>
        <v>2607A111</v>
      </c>
      <c r="C839" s="76" t="str">
        <f>IFERROR(__xludf.DUMMYFUNCTION("""COMPUTED_VALUE"""),"Aida S")</f>
        <v>Aida S</v>
      </c>
      <c r="D839" s="99" t="str">
        <f>IFERROR(__xludf.DUMMYFUNCTION("""COMPUTED_VALUE"""),"08992971712")</f>
        <v>08992971712</v>
      </c>
      <c r="E839" s="25" t="str">
        <f>IFERROR(__xludf.DUMMYFUNCTION("""COMPUTED_VALUE"""),"Instagram")</f>
        <v>Instagram</v>
      </c>
      <c r="F839" s="25" t="str">
        <f>IFERROR(__xludf.DUMMYFUNCTION("""COMPUTED_VALUE"""),"Leads Baru")</f>
        <v>Leads Baru</v>
      </c>
      <c r="G839" s="25" t="str">
        <f>IFERROR(__xludf.DUMMYFUNCTION("""COMPUTED_VALUE"""),"2h1m")</f>
        <v>2h1m</v>
      </c>
      <c r="H839" s="16"/>
      <c r="I839" s="17">
        <f>IFERROR(__xludf.DUMMYFUNCTION("""COMPUTED_VALUE"""),2.0)</f>
        <v>2</v>
      </c>
      <c r="J839" s="54">
        <f>IFERROR(__xludf.DUMMYFUNCTION("""COMPUTED_VALUE"""),4200000.0)</f>
        <v>4200000</v>
      </c>
      <c r="K839" s="46" t="str">
        <f>IFERROR(__xludf.DUMMYFUNCTION("""COMPUTED_VALUE"""),"fu 29 juli")</f>
        <v>fu 29 juli</v>
      </c>
      <c r="L839" s="76"/>
      <c r="M839" s="20"/>
      <c r="N839" s="20"/>
      <c r="O839" s="20"/>
      <c r="P839" s="20"/>
    </row>
    <row r="840">
      <c r="A840" s="110">
        <f>IFERROR(__xludf.DUMMYFUNCTION("""COMPUTED_VALUE"""),46221.0)</f>
        <v>46221</v>
      </c>
      <c r="B840" s="110" t="str">
        <f>IFERROR(__xludf.DUMMYFUNCTION("""COMPUTED_VALUE"""),"2607A112")</f>
        <v>2607A112</v>
      </c>
      <c r="C840" s="49" t="str">
        <f>IFERROR(__xludf.DUMMYFUNCTION("""COMPUTED_VALUE"""),"Rahma")</f>
        <v>Rahma</v>
      </c>
      <c r="D840" s="102" t="str">
        <f>IFERROR(__xludf.DUMMYFUNCTION("""COMPUTED_VALUE"""),"082216649126")</f>
        <v>082216649126</v>
      </c>
      <c r="E840" s="25" t="str">
        <f>IFERROR(__xludf.DUMMYFUNCTION("""COMPUTED_VALUE"""),"Instagram")</f>
        <v>Instagram</v>
      </c>
      <c r="F840" s="25" t="str">
        <f>IFERROR(__xludf.DUMMYFUNCTION("""COMPUTED_VALUE"""),"Leads Baru")</f>
        <v>Leads Baru</v>
      </c>
      <c r="G840" s="25" t="str">
        <f>IFERROR(__xludf.DUMMYFUNCTION("""COMPUTED_VALUE"""),"ot 3h2m")</f>
        <v>ot 3h2m</v>
      </c>
      <c r="H840" s="26"/>
      <c r="I840" s="27"/>
      <c r="J840" s="33"/>
      <c r="K840" s="30"/>
      <c r="L840" s="49"/>
      <c r="M840" s="20"/>
      <c r="N840" s="20"/>
      <c r="O840" s="20"/>
      <c r="P840" s="20"/>
    </row>
    <row r="841">
      <c r="A841" s="97">
        <f>IFERROR(__xludf.DUMMYFUNCTION("""COMPUTED_VALUE"""),46221.0)</f>
        <v>46221</v>
      </c>
      <c r="B841" s="97" t="str">
        <f>IFERROR(__xludf.DUMMYFUNCTION("""COMPUTED_VALUE"""),"2607A113")</f>
        <v>2607A113</v>
      </c>
      <c r="C841" s="76" t="str">
        <f>IFERROR(__xludf.DUMMYFUNCTION("""COMPUTED_VALUE"""),"Tabitha")</f>
        <v>Tabitha</v>
      </c>
      <c r="D841" s="99" t="str">
        <f>IFERROR(__xludf.DUMMYFUNCTION("""COMPUTED_VALUE"""),"087898652273")</f>
        <v>087898652273</v>
      </c>
      <c r="E841" s="25" t="str">
        <f>IFERROR(__xludf.DUMMYFUNCTION("""COMPUTED_VALUE"""),"Website")</f>
        <v>Website</v>
      </c>
      <c r="F841" s="25" t="str">
        <f>IFERROR(__xludf.DUMMYFUNCTION("""COMPUTED_VALUE"""),"Gagal")</f>
        <v>Gagal</v>
      </c>
      <c r="G841" s="25" t="str">
        <f>IFERROR(__xludf.DUMMYFUNCTION("""COMPUTED_VALUE"""),"Kawah Ijen")</f>
        <v>Kawah Ijen</v>
      </c>
      <c r="H841" s="16">
        <f>IFERROR(__xludf.DUMMYFUNCTION("""COMPUTED_VALUE"""),46225.0)</f>
        <v>46225</v>
      </c>
      <c r="I841" s="17">
        <f>IFERROR(__xludf.DUMMYFUNCTION("""COMPUTED_VALUE"""),2.0)</f>
        <v>2</v>
      </c>
      <c r="J841" s="54">
        <f>IFERROR(__xludf.DUMMYFUNCTION("""COMPUTED_VALUE"""),1228000.0)</f>
        <v>1228000</v>
      </c>
      <c r="K841" s="46" t="str">
        <f>IFERROR(__xludf.DUMMYFUNCTION("""COMPUTED_VALUE"""),"gada balasan")</f>
        <v>gada balasan</v>
      </c>
      <c r="L841" s="76"/>
      <c r="M841" s="20"/>
      <c r="N841" s="20"/>
      <c r="O841" s="20"/>
      <c r="P841" s="20"/>
    </row>
    <row r="842">
      <c r="A842" s="110">
        <f>IFERROR(__xludf.DUMMYFUNCTION("""COMPUTED_VALUE"""),46221.0)</f>
        <v>46221</v>
      </c>
      <c r="B842" s="110" t="str">
        <f>IFERROR(__xludf.DUMMYFUNCTION("""COMPUTED_VALUE"""),"2607A114")</f>
        <v>2607A114</v>
      </c>
      <c r="C842" s="49" t="str">
        <f>IFERROR(__xludf.DUMMYFUNCTION("""COMPUTED_VALUE"""),"Angel Ginting")</f>
        <v>Angel Ginting</v>
      </c>
      <c r="D842" s="102" t="str">
        <f>IFERROR(__xludf.DUMMYFUNCTION("""COMPUTED_VALUE"""),"081285924668")</f>
        <v>081285924668</v>
      </c>
      <c r="E842" s="25" t="str">
        <f>IFERROR(__xludf.DUMMYFUNCTION("""COMPUTED_VALUE"""),"Lainnya")</f>
        <v>Lainnya</v>
      </c>
      <c r="F842" s="25" t="str">
        <f>IFERROR(__xludf.DUMMYFUNCTION("""COMPUTED_VALUE"""),"Gagal")</f>
        <v>Gagal</v>
      </c>
      <c r="G842" s="25" t="str">
        <f>IFERROR(__xludf.DUMMYFUNCTION("""COMPUTED_VALUE"""),"3h2m opsi a")</f>
        <v>3h2m opsi a</v>
      </c>
      <c r="H842" s="78">
        <f>IFERROR(__xludf.DUMMYFUNCTION("""COMPUTED_VALUE"""),46255.0)</f>
        <v>46255</v>
      </c>
      <c r="I842" s="89">
        <f>IFERROR(__xludf.DUMMYFUNCTION("""COMPUTED_VALUE"""),3.0)</f>
        <v>3</v>
      </c>
      <c r="J842" s="96">
        <f>IFERROR(__xludf.DUMMYFUNCTION("""COMPUTED_VALUE"""),6402000.0)</f>
        <v>6402000</v>
      </c>
      <c r="K842" s="30" t="str">
        <f>IFERROR(__xludf.DUMMYFUNCTION("""COMPUTED_VALUE"""),"tdk sesuai budget dan rencana")</f>
        <v>tdk sesuai budget dan rencana</v>
      </c>
      <c r="L842" s="49"/>
      <c r="M842" s="20"/>
      <c r="N842" s="20"/>
      <c r="O842" s="20"/>
      <c r="P842" s="20"/>
    </row>
    <row r="843">
      <c r="A843" s="97">
        <f>IFERROR(__xludf.DUMMYFUNCTION("""COMPUTED_VALUE"""),46222.0)</f>
        <v>46222</v>
      </c>
      <c r="B843" s="97" t="str">
        <f>IFERROR(__xludf.DUMMYFUNCTION("""COMPUTED_VALUE"""),"2607A115")</f>
        <v>2607A115</v>
      </c>
      <c r="C843" s="76" t="str">
        <f>IFERROR(__xludf.DUMMYFUNCTION("""COMPUTED_VALUE"""),"Rani Advokat")</f>
        <v>Rani Advokat</v>
      </c>
      <c r="D843" s="99" t="str">
        <f>IFERROR(__xludf.DUMMYFUNCTION("""COMPUTED_VALUE"""),"082112809533")</f>
        <v>082112809533</v>
      </c>
      <c r="E843" s="25" t="str">
        <f>IFERROR(__xludf.DUMMYFUNCTION("""COMPUTED_VALUE"""),"Website")</f>
        <v>Website</v>
      </c>
      <c r="F843" s="25" t="str">
        <f>IFERROR(__xludf.DUMMYFUNCTION("""COMPUTED_VALUE"""),"Leads Baru")</f>
        <v>Leads Baru</v>
      </c>
      <c r="G843" s="25" t="str">
        <f>IFERROR(__xludf.DUMMYFUNCTION("""COMPUTED_VALUE"""),"one day trip")</f>
        <v>one day trip</v>
      </c>
      <c r="H843" s="92"/>
      <c r="I843" s="80">
        <f>IFERROR(__xludf.DUMMYFUNCTION("""COMPUTED_VALUE"""),4.0)</f>
        <v>4</v>
      </c>
      <c r="J843" s="93"/>
      <c r="K843" s="46" t="str">
        <f>IFERROR(__xludf.DUMMYFUNCTION("""COMPUTED_VALUE"""),"fu 30 Juli")</f>
        <v>fu 30 Juli</v>
      </c>
      <c r="L843" s="76"/>
      <c r="M843" s="20"/>
      <c r="N843" s="20"/>
      <c r="O843" s="20"/>
      <c r="P843" s="20"/>
    </row>
    <row r="844">
      <c r="A844" s="110">
        <f>IFERROR(__xludf.DUMMYFUNCTION("""COMPUTED_VALUE"""),46222.0)</f>
        <v>46222</v>
      </c>
      <c r="B844" s="110" t="str">
        <f>IFERROR(__xludf.DUMMYFUNCTION("""COMPUTED_VALUE"""),"2607A116")</f>
        <v>2607A116</v>
      </c>
      <c r="C844" s="49" t="str">
        <f>IFERROR(__xludf.DUMMYFUNCTION("""COMPUTED_VALUE"""),"Hani")</f>
        <v>Hani</v>
      </c>
      <c r="D844" s="102" t="str">
        <f>IFERROR(__xludf.DUMMYFUNCTION("""COMPUTED_VALUE"""),"081294961561")</f>
        <v>081294961561</v>
      </c>
      <c r="E844" s="25" t="str">
        <f>IFERROR(__xludf.DUMMYFUNCTION("""COMPUTED_VALUE"""),"Instagram")</f>
        <v>Instagram</v>
      </c>
      <c r="F844" s="25" t="str">
        <f>IFERROR(__xludf.DUMMYFUNCTION("""COMPUTED_VALUE"""),"Qualified")</f>
        <v>Qualified</v>
      </c>
      <c r="G844" s="25" t="str">
        <f>IFERROR(__xludf.DUMMYFUNCTION("""COMPUTED_VALUE"""),"4h3m custom")</f>
        <v>4h3m custom</v>
      </c>
      <c r="H844" s="78"/>
      <c r="I844" s="89">
        <f>IFERROR(__xludf.DUMMYFUNCTION("""COMPUTED_VALUE"""),18.0)</f>
        <v>18</v>
      </c>
      <c r="J844" s="96"/>
      <c r="K844" s="30" t="str">
        <f>IFERROR(__xludf.DUMMYFUNCTION("""COMPUTED_VALUE"""),"fu 1 Agustus")</f>
        <v>fu 1 Agustus</v>
      </c>
      <c r="L844" s="49"/>
      <c r="M844" s="20"/>
      <c r="N844" s="20"/>
      <c r="O844" s="20"/>
      <c r="P844" s="20"/>
    </row>
    <row r="845">
      <c r="A845" s="97">
        <f>IFERROR(__xludf.DUMMYFUNCTION("""COMPUTED_VALUE"""),46222.0)</f>
        <v>46222</v>
      </c>
      <c r="B845" s="97" t="str">
        <f>IFERROR(__xludf.DUMMYFUNCTION("""COMPUTED_VALUE"""),"2607A117")</f>
        <v>2607A117</v>
      </c>
      <c r="C845" s="76" t="str">
        <f>IFERROR(__xludf.DUMMYFUNCTION("""COMPUTED_VALUE"""),"Naufal")</f>
        <v>Naufal</v>
      </c>
      <c r="D845" s="99" t="str">
        <f>IFERROR(__xludf.DUMMYFUNCTION("""COMPUTED_VALUE"""),"082211161338")</f>
        <v>082211161338</v>
      </c>
      <c r="E845" s="25" t="str">
        <f>IFERROR(__xludf.DUMMYFUNCTION("""COMPUTED_VALUE"""),"Website")</f>
        <v>Website</v>
      </c>
      <c r="F845" s="25" t="str">
        <f>IFERROR(__xludf.DUMMYFUNCTION("""COMPUTED_VALUE"""),"Leads Baru")</f>
        <v>Leads Baru</v>
      </c>
      <c r="G845" s="25"/>
      <c r="H845" s="16"/>
      <c r="I845" s="17"/>
      <c r="J845" s="54"/>
      <c r="K845" s="46" t="str">
        <f>IFERROR(__xludf.DUMMYFUNCTION("""COMPUTED_VALUE"""),"fu 16 Oktobber")</f>
        <v>fu 16 Oktobber</v>
      </c>
      <c r="L845" s="76"/>
      <c r="M845" s="20"/>
      <c r="N845" s="20"/>
      <c r="O845" s="20"/>
      <c r="P845" s="20"/>
    </row>
    <row r="846">
      <c r="A846" s="110">
        <f>IFERROR(__xludf.DUMMYFUNCTION("""COMPUTED_VALUE"""),46223.0)</f>
        <v>46223</v>
      </c>
      <c r="B846" s="110" t="str">
        <f>IFERROR(__xludf.DUMMYFUNCTION("""COMPUTED_VALUE"""),"2607A118")</f>
        <v>2607A118</v>
      </c>
      <c r="C846" s="49" t="str">
        <f>IFERROR(__xludf.DUMMYFUNCTION("""COMPUTED_VALUE"""),"Dewi")</f>
        <v>Dewi</v>
      </c>
      <c r="D846" s="102" t="str">
        <f>IFERROR(__xludf.DUMMYFUNCTION("""COMPUTED_VALUE"""),"081314046102")</f>
        <v>081314046102</v>
      </c>
      <c r="E846" s="25" t="str">
        <f>IFERROR(__xludf.DUMMYFUNCTION("""COMPUTED_VALUE"""),"Website")</f>
        <v>Website</v>
      </c>
      <c r="F846" s="25" t="str">
        <f>IFERROR(__xludf.DUMMYFUNCTION("""COMPUTED_VALUE"""),"Leads Baru")</f>
        <v>Leads Baru</v>
      </c>
      <c r="G846" s="25" t="str">
        <f>IFERROR(__xludf.DUMMYFUNCTION("""COMPUTED_VALUE"""),"ot 3h2m")</f>
        <v>ot 3h2m</v>
      </c>
      <c r="H846" s="78"/>
      <c r="I846" s="89">
        <f>IFERROR(__xludf.DUMMYFUNCTION("""COMPUTED_VALUE"""),2.0)</f>
        <v>2</v>
      </c>
      <c r="J846" s="96"/>
      <c r="K846" s="36"/>
      <c r="L846" s="49"/>
      <c r="M846" s="20"/>
      <c r="N846" s="20"/>
      <c r="O846" s="20"/>
      <c r="P846" s="20"/>
    </row>
    <row r="847">
      <c r="A847" s="110">
        <f>IFERROR(__xludf.DUMMYFUNCTION("""COMPUTED_VALUE"""),46223.0)</f>
        <v>46223</v>
      </c>
      <c r="B847" s="110" t="str">
        <f>IFERROR(__xludf.DUMMYFUNCTION("""COMPUTED_VALUE"""),"2607A119")</f>
        <v>2607A119</v>
      </c>
      <c r="C847" s="49" t="str">
        <f>IFERROR(__xludf.DUMMYFUNCTION("""COMPUTED_VALUE"""),"Grasella")</f>
        <v>Grasella</v>
      </c>
      <c r="D847" s="102" t="str">
        <f>IFERROR(__xludf.DUMMYFUNCTION("""COMPUTED_VALUE"""),"081333539750")</f>
        <v>081333539750</v>
      </c>
      <c r="E847" s="25" t="str">
        <f>IFERROR(__xludf.DUMMYFUNCTION("""COMPUTED_VALUE"""),"Instagram")</f>
        <v>Instagram</v>
      </c>
      <c r="F847" s="25" t="str">
        <f>IFERROR(__xludf.DUMMYFUNCTION("""COMPUTED_VALUE"""),"Qualified")</f>
        <v>Qualified</v>
      </c>
      <c r="G847" s="25" t="str">
        <f>IFERROR(__xludf.DUMMYFUNCTION("""COMPUTED_VALUE"""),"ot menjangan tabuhan")</f>
        <v>ot menjangan tabuhan</v>
      </c>
      <c r="H847" s="78">
        <f>IFERROR(__xludf.DUMMYFUNCTION("""COMPUTED_VALUE"""),46250.0)</f>
        <v>46250</v>
      </c>
      <c r="I847" s="89">
        <f>IFERROR(__xludf.DUMMYFUNCTION("""COMPUTED_VALUE"""),3.0)</f>
        <v>3</v>
      </c>
      <c r="J847" s="96">
        <f>IFERROR(__xludf.DUMMYFUNCTION("""COMPUTED_VALUE"""),3510000.0)</f>
        <v>3510000</v>
      </c>
      <c r="K847" s="30" t="str">
        <f>IFERROR(__xludf.DUMMYFUNCTION("""COMPUTED_VALUE"""),"fu 3 agustus")</f>
        <v>fu 3 agustus</v>
      </c>
      <c r="L847" s="49"/>
      <c r="M847" s="20"/>
      <c r="N847" s="20"/>
      <c r="O847" s="20"/>
      <c r="P847" s="20"/>
    </row>
    <row r="848">
      <c r="A848" s="97">
        <f>IFERROR(__xludf.DUMMYFUNCTION("""COMPUTED_VALUE"""),46223.0)</f>
        <v>46223</v>
      </c>
      <c r="B848" s="97" t="str">
        <f>IFERROR(__xludf.DUMMYFUNCTION("""COMPUTED_VALUE"""),"2607A120")</f>
        <v>2607A120</v>
      </c>
      <c r="C848" s="76" t="str">
        <f>IFERROR(__xludf.DUMMYFUNCTION("""COMPUTED_VALUE"""),"Yudha")</f>
        <v>Yudha</v>
      </c>
      <c r="D848" s="99" t="str">
        <f>IFERROR(__xludf.DUMMYFUNCTION("""COMPUTED_VALUE"""),"081578704112")</f>
        <v>081578704112</v>
      </c>
      <c r="E848" s="25" t="str">
        <f>IFERROR(__xludf.DUMMYFUNCTION("""COMPUTED_VALUE"""),"Website")</f>
        <v>Website</v>
      </c>
      <c r="F848" s="25" t="str">
        <f>IFERROR(__xludf.DUMMYFUNCTION("""COMPUTED_VALUE"""),"Gagal")</f>
        <v>Gagal</v>
      </c>
      <c r="G848" s="25" t="str">
        <f>IFERROR(__xludf.DUMMYFUNCTION("""COMPUTED_VALUE"""),"2D1N")</f>
        <v>2D1N</v>
      </c>
      <c r="H848" s="16"/>
      <c r="I848" s="17">
        <f>IFERROR(__xludf.DUMMYFUNCTION("""COMPUTED_VALUE"""),4.0)</f>
        <v>4</v>
      </c>
      <c r="J848" s="54"/>
      <c r="K848" s="46" t="str">
        <f>IFERROR(__xludf.DUMMYFUNCTION("""COMPUTED_VALUE"""),"ga jadi")</f>
        <v>ga jadi</v>
      </c>
      <c r="L848" s="76"/>
      <c r="M848" s="20"/>
      <c r="N848" s="20"/>
      <c r="O848" s="20"/>
      <c r="P848" s="20"/>
    </row>
    <row r="849">
      <c r="A849" s="97">
        <f>IFERROR(__xludf.DUMMYFUNCTION("""COMPUTED_VALUE"""),46223.0)</f>
        <v>46223</v>
      </c>
      <c r="B849" s="97" t="str">
        <f>IFERROR(__xludf.DUMMYFUNCTION("""COMPUTED_VALUE"""),"2607A121")</f>
        <v>2607A121</v>
      </c>
      <c r="C849" s="76" t="str">
        <f>IFERROR(__xludf.DUMMYFUNCTION("""COMPUTED_VALUE"""),"Elsa")</f>
        <v>Elsa</v>
      </c>
      <c r="D849" s="99" t="str">
        <f>IFERROR(__xludf.DUMMYFUNCTION("""COMPUTED_VALUE"""),"087888218814")</f>
        <v>087888218814</v>
      </c>
      <c r="E849" s="25" t="str">
        <f>IFERROR(__xludf.DUMMYFUNCTION("""COMPUTED_VALUE"""),"Instagram")</f>
        <v>Instagram</v>
      </c>
      <c r="F849" s="25" t="str">
        <f>IFERROR(__xludf.DUMMYFUNCTION("""COMPUTED_VALUE"""),"Leads Baru")</f>
        <v>Leads Baru</v>
      </c>
      <c r="G849" s="25" t="str">
        <f>IFERROR(__xludf.DUMMYFUNCTION("""COMPUTED_VALUE"""),"2h1m opsi b")</f>
        <v>2h1m opsi b</v>
      </c>
      <c r="H849" s="92"/>
      <c r="I849" s="80">
        <f>IFERROR(__xludf.DUMMYFUNCTION("""COMPUTED_VALUE"""),2.0)</f>
        <v>2</v>
      </c>
      <c r="J849" s="93">
        <f>IFERROR(__xludf.DUMMYFUNCTION("""COMPUTED_VALUE"""),6128000.0)</f>
        <v>6128000</v>
      </c>
      <c r="K849" s="19" t="str">
        <f>IFERROR(__xludf.DUMMYFUNCTION("""COMPUTED_VALUE"""),"fu 28 juli")</f>
        <v>fu 28 juli</v>
      </c>
      <c r="L849" s="10"/>
      <c r="M849" s="20"/>
      <c r="N849" s="20"/>
      <c r="O849" s="20"/>
      <c r="P849" s="20"/>
    </row>
    <row r="850">
      <c r="A850" s="110">
        <f>IFERROR(__xludf.DUMMYFUNCTION("""COMPUTED_VALUE"""),46224.0)</f>
        <v>46224</v>
      </c>
      <c r="B850" s="110" t="str">
        <f>IFERROR(__xludf.DUMMYFUNCTION("""COMPUTED_VALUE"""),"2607A122")</f>
        <v>2607A122</v>
      </c>
      <c r="C850" s="49" t="str">
        <f>IFERROR(__xludf.DUMMYFUNCTION("""COMPUTED_VALUE"""),"Brian")</f>
        <v>Brian</v>
      </c>
      <c r="D850" s="102" t="str">
        <f>IFERROR(__xludf.DUMMYFUNCTION("""COMPUTED_VALUE"""),"081234544110")</f>
        <v>081234544110</v>
      </c>
      <c r="E850" s="25" t="str">
        <f>IFERROR(__xludf.DUMMYFUNCTION("""COMPUTED_VALUE"""),"Instagram")</f>
        <v>Instagram</v>
      </c>
      <c r="F850" s="25" t="str">
        <f>IFERROR(__xludf.DUMMYFUNCTION("""COMPUTED_VALUE"""),"Follow Up")</f>
        <v>Follow Up</v>
      </c>
      <c r="G850" s="25" t="str">
        <f>IFERROR(__xludf.DUMMYFUNCTION("""COMPUTED_VALUE"""),"2h1m paketan 1 day trip")</f>
        <v>2h1m paketan 1 day trip</v>
      </c>
      <c r="H850" s="78"/>
      <c r="I850" s="89">
        <f>IFERROR(__xludf.DUMMYFUNCTION("""COMPUTED_VALUE"""),2.0)</f>
        <v>2</v>
      </c>
      <c r="J850" s="96">
        <f>IFERROR(__xludf.DUMMYFUNCTION("""COMPUTED_VALUE"""),1700000.0)</f>
        <v>1700000</v>
      </c>
      <c r="K850" s="36" t="str">
        <f>IFERROR(__xludf.DUMMYFUNCTION("""COMPUTED_VALUE"""),"fu 30 juli")</f>
        <v>fu 30 juli</v>
      </c>
      <c r="L850" s="23"/>
      <c r="M850" s="20"/>
      <c r="N850" s="20"/>
      <c r="O850" s="20"/>
      <c r="P850" s="20"/>
    </row>
    <row r="851">
      <c r="A851" s="97">
        <f>IFERROR(__xludf.DUMMYFUNCTION("""COMPUTED_VALUE"""),46224.0)</f>
        <v>46224</v>
      </c>
      <c r="B851" s="97" t="str">
        <f>IFERROR(__xludf.DUMMYFUNCTION("""COMPUTED_VALUE"""),"2607A123")</f>
        <v>2607A123</v>
      </c>
      <c r="C851" s="76" t="str">
        <f>IFERROR(__xludf.DUMMYFUNCTION("""COMPUTED_VALUE"""),"Ria")</f>
        <v>Ria</v>
      </c>
      <c r="D851" s="99" t="str">
        <f>IFERROR(__xludf.DUMMYFUNCTION("""COMPUTED_VALUE"""),"089690908261")</f>
        <v>089690908261</v>
      </c>
      <c r="E851" s="25" t="str">
        <f>IFERROR(__xludf.DUMMYFUNCTION("""COMPUTED_VALUE"""),"Instagram")</f>
        <v>Instagram</v>
      </c>
      <c r="F851" s="25" t="str">
        <f>IFERROR(__xludf.DUMMYFUNCTION("""COMPUTED_VALUE"""),"Leads Baru")</f>
        <v>Leads Baru</v>
      </c>
      <c r="G851" s="25" t="str">
        <f>IFERROR(__xludf.DUMMYFUNCTION("""COMPUTED_VALUE"""),"1 day baluran")</f>
        <v>1 day baluran</v>
      </c>
      <c r="H851" s="92"/>
      <c r="I851" s="80">
        <f>IFERROR(__xludf.DUMMYFUNCTION("""COMPUTED_VALUE"""),2.0)</f>
        <v>2</v>
      </c>
      <c r="J851" s="93"/>
      <c r="K851" s="19" t="str">
        <f>IFERROR(__xludf.DUMMYFUNCTION("""COMPUTED_VALUE"""),"fu 27 juli")</f>
        <v>fu 27 juli</v>
      </c>
      <c r="L851" s="76"/>
      <c r="M851" s="20"/>
      <c r="N851" s="20"/>
      <c r="O851" s="20"/>
      <c r="P851" s="20"/>
    </row>
    <row r="852">
      <c r="A852" s="110">
        <f>IFERROR(__xludf.DUMMYFUNCTION("""COMPUTED_VALUE"""),46224.0)</f>
        <v>46224</v>
      </c>
      <c r="B852" s="110" t="str">
        <f>IFERROR(__xludf.DUMMYFUNCTION("""COMPUTED_VALUE"""),"2607A124")</f>
        <v>2607A124</v>
      </c>
      <c r="C852" s="49" t="str">
        <f>IFERROR(__xludf.DUMMYFUNCTION("""COMPUTED_VALUE"""),"Santoso")</f>
        <v>Santoso</v>
      </c>
      <c r="D852" s="102" t="str">
        <f>IFERROR(__xludf.DUMMYFUNCTION("""COMPUTED_VALUE"""),"082228987734")</f>
        <v>082228987734</v>
      </c>
      <c r="E852" s="25" t="str">
        <f>IFERROR(__xludf.DUMMYFUNCTION("""COMPUTED_VALUE"""),"Website")</f>
        <v>Website</v>
      </c>
      <c r="F852" s="25" t="str">
        <f>IFERROR(__xludf.DUMMYFUNCTION("""COMPUTED_VALUE"""),"Gagal")</f>
        <v>Gagal</v>
      </c>
      <c r="G852" s="25" t="str">
        <f>IFERROR(__xludf.DUMMYFUNCTION("""COMPUTED_VALUE"""),"green island, djawatan")</f>
        <v>green island, djawatan</v>
      </c>
      <c r="H852" s="78"/>
      <c r="I852" s="89">
        <f>IFERROR(__xludf.DUMMYFUNCTION("""COMPUTED_VALUE"""),3.0)</f>
        <v>3</v>
      </c>
      <c r="J852" s="96">
        <f>IFERROR(__xludf.DUMMYFUNCTION("""COMPUTED_VALUE"""),2460000.0)</f>
        <v>2460000</v>
      </c>
      <c r="K852" s="30" t="str">
        <f>IFERROR(__xludf.DUMMYFUNCTION("""COMPUTED_VALUE"""),"gada balasan")</f>
        <v>gada balasan</v>
      </c>
      <c r="L852" s="23"/>
      <c r="M852" s="20"/>
      <c r="N852" s="20"/>
      <c r="O852" s="20"/>
      <c r="P852" s="20"/>
    </row>
    <row r="853">
      <c r="A853" s="11">
        <f>IFERROR(__xludf.DUMMYFUNCTION("""COMPUTED_VALUE"""),46224.0)</f>
        <v>46224</v>
      </c>
      <c r="B853" s="11" t="str">
        <f>IFERROR(__xludf.DUMMYFUNCTION("""COMPUTED_VALUE"""),"2607A125")</f>
        <v>2607A125</v>
      </c>
      <c r="C853" s="10" t="str">
        <f>IFERROR(__xludf.DUMMYFUNCTION("""COMPUTED_VALUE"""),"Dewi Kumalasari")</f>
        <v>Dewi Kumalasari</v>
      </c>
      <c r="D853" s="13" t="str">
        <f>IFERROR(__xludf.DUMMYFUNCTION("""COMPUTED_VALUE"""),"081393048488")</f>
        <v>081393048488</v>
      </c>
      <c r="E853" s="14" t="str">
        <f>IFERROR(__xludf.DUMMYFUNCTION("""COMPUTED_VALUE"""),"Website")</f>
        <v>Website</v>
      </c>
      <c r="F853" s="14" t="str">
        <f>IFERROR(__xludf.DUMMYFUNCTION("""COMPUTED_VALUE"""),"Closing")</f>
        <v>Closing</v>
      </c>
      <c r="G853" s="14" t="str">
        <f>IFERROR(__xludf.DUMMYFUNCTION("""COMPUTED_VALUE"""),"2h1m custom")</f>
        <v>2h1m custom</v>
      </c>
      <c r="H853" s="16"/>
      <c r="I853" s="17">
        <f>IFERROR(__xludf.DUMMYFUNCTION("""COMPUTED_VALUE"""),1.0)</f>
        <v>1</v>
      </c>
      <c r="J853" s="54">
        <f>IFERROR(__xludf.DUMMYFUNCTION("""COMPUTED_VALUE"""),2620000.0)</f>
        <v>2620000</v>
      </c>
      <c r="K853" s="46" t="str">
        <f>IFERROR(__xludf.DUMMYFUNCTION("""COMPUTED_VALUE"""),"fu 23 juli")</f>
        <v>fu 23 juli</v>
      </c>
      <c r="L853" s="10"/>
      <c r="M853" s="20"/>
      <c r="N853" s="20"/>
      <c r="O853" s="20"/>
      <c r="P853" s="20"/>
    </row>
    <row r="854">
      <c r="A854" s="21">
        <f>IFERROR(__xludf.DUMMYFUNCTION("""COMPUTED_VALUE"""),46226.0)</f>
        <v>46226</v>
      </c>
      <c r="B854" s="21" t="str">
        <f>IFERROR(__xludf.DUMMYFUNCTION("""COMPUTED_VALUE"""),"2607A126")</f>
        <v>2607A126</v>
      </c>
      <c r="C854" s="23" t="str">
        <f>IFERROR(__xludf.DUMMYFUNCTION("""COMPUTED_VALUE"""),"Iqbal")</f>
        <v>Iqbal</v>
      </c>
      <c r="D854" s="24" t="str">
        <f>IFERROR(__xludf.DUMMYFUNCTION("""COMPUTED_VALUE"""),"085191202656")</f>
        <v>085191202656</v>
      </c>
      <c r="E854" s="14" t="str">
        <f>IFERROR(__xludf.DUMMYFUNCTION("""COMPUTED_VALUE"""),"Instagram")</f>
        <v>Instagram</v>
      </c>
      <c r="F854" s="14" t="str">
        <f>IFERROR(__xludf.DUMMYFUNCTION("""COMPUTED_VALUE"""),"Leads Baru")</f>
        <v>Leads Baru</v>
      </c>
      <c r="G854" s="14" t="str">
        <f>IFERROR(__xludf.DUMMYFUNCTION("""COMPUTED_VALUE"""),"private trip menjangan tabuhan")</f>
        <v>private trip menjangan tabuhan</v>
      </c>
      <c r="H854" s="26"/>
      <c r="I854" s="27">
        <f>IFERROR(__xludf.DUMMYFUNCTION("""COMPUTED_VALUE"""),2.0)</f>
        <v>2</v>
      </c>
      <c r="J854" s="33">
        <f>IFERROR(__xludf.DUMMYFUNCTION("""COMPUTED_VALUE"""),1700000.0)</f>
        <v>1700000</v>
      </c>
      <c r="K854" s="30" t="str">
        <f>IFERROR(__xludf.DUMMYFUNCTION("""COMPUTED_VALUE"""),"fu 28 Juli")</f>
        <v>fu 28 Juli</v>
      </c>
      <c r="L854" s="23"/>
      <c r="M854" s="20"/>
      <c r="N854" s="20"/>
      <c r="O854" s="20"/>
      <c r="P854" s="20"/>
    </row>
    <row r="855">
      <c r="A855" s="11">
        <f>IFERROR(__xludf.DUMMYFUNCTION("""COMPUTED_VALUE"""),46225.0)</f>
        <v>46225</v>
      </c>
      <c r="B855" s="11" t="str">
        <f>IFERROR(__xludf.DUMMYFUNCTION("""COMPUTED_VALUE"""),"2607A127")</f>
        <v>2607A127</v>
      </c>
      <c r="C855" s="10" t="str">
        <f>IFERROR(__xludf.DUMMYFUNCTION("""COMPUTED_VALUE"""),"Ulfah")</f>
        <v>Ulfah</v>
      </c>
      <c r="D855" s="13" t="str">
        <f>IFERROR(__xludf.DUMMYFUNCTION("""COMPUTED_VALUE"""),"085790757388")</f>
        <v>085790757388</v>
      </c>
      <c r="E855" s="14" t="str">
        <f>IFERROR(__xludf.DUMMYFUNCTION("""COMPUTED_VALUE"""),"Instagram")</f>
        <v>Instagram</v>
      </c>
      <c r="F855" s="14" t="str">
        <f>IFERROR(__xludf.DUMMYFUNCTION("""COMPUTED_VALUE"""),"Qualified")</f>
        <v>Qualified</v>
      </c>
      <c r="G855" s="14" t="str">
        <f>IFERROR(__xludf.DUMMYFUNCTION("""COMPUTED_VALUE"""),"ot djawatan baluran, ot kawah ijen")</f>
        <v>ot djawatan baluran, ot kawah ijen</v>
      </c>
      <c r="H855" s="16"/>
      <c r="I855" s="17">
        <f>IFERROR(__xludf.DUMMYFUNCTION("""COMPUTED_VALUE"""),2.0)</f>
        <v>2</v>
      </c>
      <c r="J855" s="54"/>
      <c r="K855" s="46"/>
      <c r="L855" s="10"/>
      <c r="M855" s="20"/>
      <c r="N855" s="20"/>
      <c r="O855" s="20"/>
      <c r="P855" s="20"/>
    </row>
    <row r="856">
      <c r="A856" s="21">
        <f>IFERROR(__xludf.DUMMYFUNCTION("""COMPUTED_VALUE"""),46225.0)</f>
        <v>46225</v>
      </c>
      <c r="B856" s="21" t="str">
        <f>IFERROR(__xludf.DUMMYFUNCTION("""COMPUTED_VALUE"""),"2607A128")</f>
        <v>2607A128</v>
      </c>
      <c r="C856" s="23" t="str">
        <f>IFERROR(__xludf.DUMMYFUNCTION("""COMPUTED_VALUE"""),"Rihma")</f>
        <v>Rihma</v>
      </c>
      <c r="D856" s="24" t="str">
        <f>IFERROR(__xludf.DUMMYFUNCTION("""COMPUTED_VALUE"""),"087873048893")</f>
        <v>087873048893</v>
      </c>
      <c r="E856" s="14" t="str">
        <f>IFERROR(__xludf.DUMMYFUNCTION("""COMPUTED_VALUE"""),"Instagram")</f>
        <v>Instagram</v>
      </c>
      <c r="F856" s="14" t="str">
        <f>IFERROR(__xludf.DUMMYFUNCTION("""COMPUTED_VALUE"""),"Leads Baru")</f>
        <v>Leads Baru</v>
      </c>
      <c r="G856" s="14" t="str">
        <f>IFERROR(__xludf.DUMMYFUNCTION("""COMPUTED_VALUE"""),"djawatan baluran")</f>
        <v>djawatan baluran</v>
      </c>
      <c r="H856" s="26">
        <f>IFERROR(__xludf.DUMMYFUNCTION("""COMPUTED_VALUE"""),46254.0)</f>
        <v>46254</v>
      </c>
      <c r="I856" s="27">
        <f>IFERROR(__xludf.DUMMYFUNCTION("""COMPUTED_VALUE"""),2.0)</f>
        <v>2</v>
      </c>
      <c r="J856" s="33"/>
      <c r="K856" s="30"/>
      <c r="L856" s="23"/>
      <c r="M856" s="20"/>
      <c r="N856" s="20"/>
      <c r="O856" s="20"/>
      <c r="P856" s="20"/>
    </row>
    <row r="857">
      <c r="A857" s="11">
        <f>IFERROR(__xludf.DUMMYFUNCTION("""COMPUTED_VALUE"""),46225.0)</f>
        <v>46225</v>
      </c>
      <c r="B857" s="11" t="str">
        <f>IFERROR(__xludf.DUMMYFUNCTION("""COMPUTED_VALUE"""),"2607A129")</f>
        <v>2607A129</v>
      </c>
      <c r="C857" s="10" t="str">
        <f>IFERROR(__xludf.DUMMYFUNCTION("""COMPUTED_VALUE"""),"Andy Regan")</f>
        <v>Andy Regan</v>
      </c>
      <c r="D857" s="13" t="str">
        <f>IFERROR(__xludf.DUMMYFUNCTION("""COMPUTED_VALUE"""),"085692676171")</f>
        <v>085692676171</v>
      </c>
      <c r="E857" s="14" t="str">
        <f>IFERROR(__xludf.DUMMYFUNCTION("""COMPUTED_VALUE"""),"Instagram")</f>
        <v>Instagram</v>
      </c>
      <c r="F857" s="14" t="str">
        <f>IFERROR(__xludf.DUMMYFUNCTION("""COMPUTED_VALUE"""),"Closing")</f>
        <v>Closing</v>
      </c>
      <c r="G857" s="14" t="str">
        <f>IFERROR(__xludf.DUMMYFUNCTION("""COMPUTED_VALUE"""),"ot menjangan tabuhan, ot ijen")</f>
        <v>ot menjangan tabuhan, ot ijen</v>
      </c>
      <c r="H857" s="16">
        <f>IFERROR(__xludf.DUMMYFUNCTION("""COMPUTED_VALUE"""),46227.0)</f>
        <v>46227</v>
      </c>
      <c r="I857" s="17">
        <f>IFERROR(__xludf.DUMMYFUNCTION("""COMPUTED_VALUE"""),1.0)</f>
        <v>1</v>
      </c>
      <c r="J857" s="54">
        <f>IFERROR(__xludf.DUMMYFUNCTION("""COMPUTED_VALUE"""),650000.0)</f>
        <v>650000</v>
      </c>
      <c r="K857" s="46" t="str">
        <f>IFERROR(__xludf.DUMMYFUNCTION("""COMPUTED_VALUE"""),"alhamdulillah order")</f>
        <v>alhamdulillah order</v>
      </c>
      <c r="L857" s="10"/>
      <c r="M857" s="20"/>
      <c r="N857" s="20"/>
      <c r="O857" s="20"/>
      <c r="P857" s="20"/>
    </row>
    <row r="858">
      <c r="A858" s="21">
        <f>IFERROR(__xludf.DUMMYFUNCTION("""COMPUTED_VALUE"""),46226.0)</f>
        <v>46226</v>
      </c>
      <c r="B858" s="21" t="str">
        <f>IFERROR(__xludf.DUMMYFUNCTION("""COMPUTED_VALUE"""),"2607A130")</f>
        <v>2607A130</v>
      </c>
      <c r="C858" s="23" t="str">
        <f>IFERROR(__xludf.DUMMYFUNCTION("""COMPUTED_VALUE"""),"Mochammad Rifqy")</f>
        <v>Mochammad Rifqy</v>
      </c>
      <c r="D858" s="24" t="str">
        <f>IFERROR(__xludf.DUMMYFUNCTION("""COMPUTED_VALUE"""),"081233361003")</f>
        <v>081233361003</v>
      </c>
      <c r="E858" s="14" t="str">
        <f>IFERROR(__xludf.DUMMYFUNCTION("""COMPUTED_VALUE"""),"Instagram")</f>
        <v>Instagram</v>
      </c>
      <c r="F858" s="14" t="str">
        <f>IFERROR(__xludf.DUMMYFUNCTION("""COMPUTED_VALUE"""),"Qualified")</f>
        <v>Qualified</v>
      </c>
      <c r="G858" s="14" t="str">
        <f>IFERROR(__xludf.DUMMYFUNCTION("""COMPUTED_VALUE"""),"ot mt ")</f>
        <v>ot mt </v>
      </c>
      <c r="H858" s="26">
        <f>IFERROR(__xludf.DUMMYFUNCTION("""COMPUTED_VALUE"""),46232.0)</f>
        <v>46232</v>
      </c>
      <c r="I858" s="27">
        <f>IFERROR(__xludf.DUMMYFUNCTION("""COMPUTED_VALUE"""),2.0)</f>
        <v>2</v>
      </c>
      <c r="J858" s="33">
        <f>IFERROR(__xludf.DUMMYFUNCTION("""COMPUTED_VALUE"""),800000.0)</f>
        <v>800000</v>
      </c>
      <c r="K858" s="30" t="str">
        <f>IFERROR(__xludf.DUMMYFUNCTION("""COMPUTED_VALUE"""),"fu 27 Juli")</f>
        <v>fu 27 Juli</v>
      </c>
      <c r="L858" s="23"/>
      <c r="M858" s="20"/>
      <c r="N858" s="20"/>
      <c r="O858" s="20"/>
      <c r="P858" s="20"/>
    </row>
    <row r="859">
      <c r="A859" s="11">
        <f>IFERROR(__xludf.DUMMYFUNCTION("""COMPUTED_VALUE"""),46227.0)</f>
        <v>46227</v>
      </c>
      <c r="B859" s="11" t="str">
        <f>IFERROR(__xludf.DUMMYFUNCTION("""COMPUTED_VALUE"""),"2607A131")</f>
        <v>2607A131</v>
      </c>
      <c r="C859" s="10" t="str">
        <f>IFERROR(__xludf.DUMMYFUNCTION("""COMPUTED_VALUE"""),"Dedy Simon")</f>
        <v>Dedy Simon</v>
      </c>
      <c r="D859" s="13" t="str">
        <f>IFERROR(__xludf.DUMMYFUNCTION("""COMPUTED_VALUE"""),"085865559424")</f>
        <v>085865559424</v>
      </c>
      <c r="E859" s="14" t="str">
        <f>IFERROR(__xludf.DUMMYFUNCTION("""COMPUTED_VALUE"""),"Website")</f>
        <v>Website</v>
      </c>
      <c r="F859" s="14" t="str">
        <f>IFERROR(__xludf.DUMMYFUNCTION("""COMPUTED_VALUE"""),"Qualified")</f>
        <v>Qualified</v>
      </c>
      <c r="G859" s="14" t="str">
        <f>IFERROR(__xludf.DUMMYFUNCTION("""COMPUTED_VALUE"""),"3h2m custom")</f>
        <v>3h2m custom</v>
      </c>
      <c r="H859" s="16"/>
      <c r="I859" s="17">
        <f>IFERROR(__xludf.DUMMYFUNCTION("""COMPUTED_VALUE"""),2.0)</f>
        <v>2</v>
      </c>
      <c r="J859" s="54">
        <f>IFERROR(__xludf.DUMMYFUNCTION("""COMPUTED_VALUE"""),6700000.0)</f>
        <v>6700000</v>
      </c>
      <c r="K859" s="46" t="str">
        <f>IFERROR(__xludf.DUMMYFUNCTION("""COMPUTED_VALUE"""),"fu 28 juli")</f>
        <v>fu 28 juli</v>
      </c>
      <c r="L859" s="10"/>
      <c r="M859" s="20"/>
      <c r="N859" s="20"/>
      <c r="O859" s="20"/>
      <c r="P859" s="20"/>
    </row>
    <row r="860">
      <c r="A860" s="21">
        <f>IFERROR(__xludf.DUMMYFUNCTION("""COMPUTED_VALUE"""),46215.0)</f>
        <v>46215</v>
      </c>
      <c r="B860" s="21" t="str">
        <f>IFERROR(__xludf.DUMMYFUNCTION("""COMPUTED_VALUE"""),"2607A132")</f>
        <v>2607A132</v>
      </c>
      <c r="C860" s="23" t="str">
        <f>IFERROR(__xludf.DUMMYFUNCTION("""COMPUTED_VALUE"""),"Susan")</f>
        <v>Susan</v>
      </c>
      <c r="D860" s="24" t="str">
        <f>IFERROR(__xludf.DUMMYFUNCTION("""COMPUTED_VALUE"""),"081211966196")</f>
        <v>081211966196</v>
      </c>
      <c r="E860" s="14" t="str">
        <f>IFERROR(__xludf.DUMMYFUNCTION("""COMPUTED_VALUE"""),"Lainnya")</f>
        <v>Lainnya</v>
      </c>
      <c r="F860" s="14" t="str">
        <f>IFERROR(__xludf.DUMMYFUNCTION("""COMPUTED_VALUE"""),"Leads Baru")</f>
        <v>Leads Baru</v>
      </c>
      <c r="G860" s="14" t="str">
        <f>IFERROR(__xludf.DUMMYFUNCTION("""COMPUTED_VALUE"""),"3H2M")</f>
        <v>3H2M</v>
      </c>
      <c r="H860" s="26"/>
      <c r="I860" s="27"/>
      <c r="J860" s="33"/>
      <c r="K860" s="30" t="str">
        <f>IFERROR(__xludf.DUMMYFUNCTION("""COMPUTED_VALUE"""),"fu 30 juli")</f>
        <v>fu 30 juli</v>
      </c>
      <c r="L860" s="23"/>
      <c r="M860" s="20"/>
      <c r="N860" s="20"/>
      <c r="O860" s="20"/>
      <c r="P860" s="20"/>
    </row>
    <row r="861">
      <c r="A861" s="11">
        <f>IFERROR(__xludf.DUMMYFUNCTION("""COMPUTED_VALUE"""),46227.0)</f>
        <v>46227</v>
      </c>
      <c r="B861" s="11" t="str">
        <f>IFERROR(__xludf.DUMMYFUNCTION("""COMPUTED_VALUE"""),"2607A133")</f>
        <v>2607A133</v>
      </c>
      <c r="C861" s="10" t="str">
        <f>IFERROR(__xludf.DUMMYFUNCTION("""COMPUTED_VALUE"""),"Yosef Julius Kevin")</f>
        <v>Yosef Julius Kevin</v>
      </c>
      <c r="D861" s="13" t="str">
        <f>IFERROR(__xludf.DUMMYFUNCTION("""COMPUTED_VALUE"""),"085924525225")</f>
        <v>085924525225</v>
      </c>
      <c r="E861" s="14" t="str">
        <f>IFERROR(__xludf.DUMMYFUNCTION("""COMPUTED_VALUE"""),"Instagram")</f>
        <v>Instagram</v>
      </c>
      <c r="F861" s="14" t="str">
        <f>IFERROR(__xludf.DUMMYFUNCTION("""COMPUTED_VALUE"""),"Closing")</f>
        <v>Closing</v>
      </c>
      <c r="G861" s="14" t="str">
        <f>IFERROR(__xludf.DUMMYFUNCTION("""COMPUTED_VALUE"""),"ot ijen")</f>
        <v>ot ijen</v>
      </c>
      <c r="H861" s="16">
        <f>IFERROR(__xludf.DUMMYFUNCTION("""COMPUTED_VALUE"""),46231.0)</f>
        <v>46231</v>
      </c>
      <c r="I861" s="17">
        <f>IFERROR(__xludf.DUMMYFUNCTION("""COMPUTED_VALUE"""),1.0)</f>
        <v>1</v>
      </c>
      <c r="J861" s="54">
        <f>IFERROR(__xludf.DUMMYFUNCTION("""COMPUTED_VALUE"""),250000.0)</f>
        <v>250000</v>
      </c>
      <c r="K861" s="46" t="str">
        <f>IFERROR(__xludf.DUMMYFUNCTION("""COMPUTED_VALUE"""),"alhamdulillah order")</f>
        <v>alhamdulillah order</v>
      </c>
      <c r="L861" s="10"/>
      <c r="M861" s="20"/>
      <c r="N861" s="20"/>
      <c r="O861" s="20"/>
      <c r="P861" s="20"/>
    </row>
    <row r="862">
      <c r="A862" s="21">
        <f>IFERROR(__xludf.DUMMYFUNCTION("""COMPUTED_VALUE"""),46227.0)</f>
        <v>46227</v>
      </c>
      <c r="B862" s="21" t="str">
        <f>IFERROR(__xludf.DUMMYFUNCTION("""COMPUTED_VALUE"""),"2607A134")</f>
        <v>2607A134</v>
      </c>
      <c r="C862" s="23" t="str">
        <f>IFERROR(__xludf.DUMMYFUNCTION("""COMPUTED_VALUE"""),"Astuti Istiningsih")</f>
        <v>Astuti Istiningsih</v>
      </c>
      <c r="D862" s="24" t="str">
        <f>IFERROR(__xludf.DUMMYFUNCTION("""COMPUTED_VALUE"""),"085865549483")</f>
        <v>085865549483</v>
      </c>
      <c r="E862" s="14" t="str">
        <f>IFERROR(__xludf.DUMMYFUNCTION("""COMPUTED_VALUE"""),"Instagram")</f>
        <v>Instagram</v>
      </c>
      <c r="F862" s="14" t="str">
        <f>IFERROR(__xludf.DUMMYFUNCTION("""COMPUTED_VALUE"""),"Leads Baru")</f>
        <v>Leads Baru</v>
      </c>
      <c r="G862" s="14" t="str">
        <f>IFERROR(__xludf.DUMMYFUNCTION("""COMPUTED_VALUE"""),"2H1M ")</f>
        <v>2H1M </v>
      </c>
      <c r="H862" s="26"/>
      <c r="I862" s="27"/>
      <c r="J862" s="33"/>
      <c r="K862" s="30"/>
      <c r="L862" s="23"/>
      <c r="M862" s="20"/>
      <c r="N862" s="20"/>
      <c r="O862" s="20"/>
      <c r="P862" s="20"/>
    </row>
    <row r="863">
      <c r="A863" s="11">
        <f>IFERROR(__xludf.DUMMYFUNCTION("""COMPUTED_VALUE"""),46228.0)</f>
        <v>46228</v>
      </c>
      <c r="B863" s="11" t="str">
        <f>IFERROR(__xludf.DUMMYFUNCTION("""COMPUTED_VALUE"""),"2607A135")</f>
        <v>2607A135</v>
      </c>
      <c r="C863" s="10" t="str">
        <f>IFERROR(__xludf.DUMMYFUNCTION("""COMPUTED_VALUE"""),"Wilo / Graciatri")</f>
        <v>Wilo / Graciatri</v>
      </c>
      <c r="D863" s="13" t="str">
        <f>IFERROR(__xludf.DUMMYFUNCTION("""COMPUTED_VALUE"""),"087871797151")</f>
        <v>087871797151</v>
      </c>
      <c r="E863" s="14" t="str">
        <f>IFERROR(__xludf.DUMMYFUNCTION("""COMPUTED_VALUE"""),"Instagram")</f>
        <v>Instagram</v>
      </c>
      <c r="F863" s="14" t="str">
        <f>IFERROR(__xludf.DUMMYFUNCTION("""COMPUTED_VALUE"""),"Leads Baru")</f>
        <v>Leads Baru</v>
      </c>
      <c r="G863" s="14" t="str">
        <f>IFERROR(__xludf.DUMMYFUNCTION("""COMPUTED_VALUE"""),"OT Baluran")</f>
        <v>OT Baluran</v>
      </c>
      <c r="H863" s="16">
        <f>IFERROR(__xludf.DUMMYFUNCTION("""COMPUTED_VALUE"""),46232.0)</f>
        <v>46232</v>
      </c>
      <c r="I863" s="17">
        <f>IFERROR(__xludf.DUMMYFUNCTION("""COMPUTED_VALUE"""),2.0)</f>
        <v>2</v>
      </c>
      <c r="J863" s="54">
        <f>IFERROR(__xludf.DUMMYFUNCTION("""COMPUTED_VALUE"""),700000.0)</f>
        <v>700000</v>
      </c>
      <c r="K863" s="46" t="str">
        <f>IFERROR(__xludf.DUMMYFUNCTION("""COMPUTED_VALUE"""),"orderr")</f>
        <v>orderr</v>
      </c>
      <c r="L863" s="10"/>
      <c r="M863" s="20"/>
      <c r="N863" s="20"/>
      <c r="O863" s="20"/>
      <c r="P863" s="20"/>
    </row>
    <row r="864">
      <c r="A864" s="21">
        <f>IFERROR(__xludf.DUMMYFUNCTION("""COMPUTED_VALUE"""),46229.0)</f>
        <v>46229</v>
      </c>
      <c r="B864" s="21" t="str">
        <f>IFERROR(__xludf.DUMMYFUNCTION("""COMPUTED_VALUE"""),"2607A136")</f>
        <v>2607A136</v>
      </c>
      <c r="C864" s="23" t="str">
        <f>IFERROR(__xludf.DUMMYFUNCTION("""COMPUTED_VALUE"""),"Ananda Akbar")</f>
        <v>Ananda Akbar</v>
      </c>
      <c r="D864" s="24" t="str">
        <f>IFERROR(__xludf.DUMMYFUNCTION("""COMPUTED_VALUE"""),"081313588468")</f>
        <v>081313588468</v>
      </c>
      <c r="E864" s="14" t="str">
        <f>IFERROR(__xludf.DUMMYFUNCTION("""COMPUTED_VALUE"""),"Website")</f>
        <v>Website</v>
      </c>
      <c r="F864" s="14" t="str">
        <f>IFERROR(__xludf.DUMMYFUNCTION("""COMPUTED_VALUE"""),"Qualified")</f>
        <v>Qualified</v>
      </c>
      <c r="G864" s="14" t="str">
        <f>IFERROR(__xludf.DUMMYFUNCTION("""COMPUTED_VALUE"""),"Menjangan Tabuhan")</f>
        <v>Menjangan Tabuhan</v>
      </c>
      <c r="H864" s="26">
        <f>IFERROR(__xludf.DUMMYFUNCTION("""COMPUTED_VALUE"""),46235.0)</f>
        <v>46235</v>
      </c>
      <c r="I864" s="27">
        <f>IFERROR(__xludf.DUMMYFUNCTION("""COMPUTED_VALUE"""),7.0)</f>
        <v>7</v>
      </c>
      <c r="J864" s="33"/>
      <c r="K864" s="30"/>
      <c r="L864" s="23"/>
      <c r="M864" s="20"/>
      <c r="N864" s="20"/>
      <c r="O864" s="20"/>
      <c r="P864" s="20"/>
    </row>
    <row r="865">
      <c r="A865" s="11">
        <f>IFERROR(__xludf.DUMMYFUNCTION("""COMPUTED_VALUE"""),46229.0)</f>
        <v>46229</v>
      </c>
      <c r="B865" s="11" t="str">
        <f>IFERROR(__xludf.DUMMYFUNCTION("""COMPUTED_VALUE"""),"2607A137")</f>
        <v>2607A137</v>
      </c>
      <c r="C865" s="10" t="str">
        <f>IFERROR(__xludf.DUMMYFUNCTION("""COMPUTED_VALUE"""),"Mita Septiani")</f>
        <v>Mita Septiani</v>
      </c>
      <c r="D865" s="13" t="str">
        <f>IFERROR(__xludf.DUMMYFUNCTION("""COMPUTED_VALUE"""),"085283226164")</f>
        <v>085283226164</v>
      </c>
      <c r="E865" s="14" t="str">
        <f>IFERROR(__xludf.DUMMYFUNCTION("""COMPUTED_VALUE"""),"Website")</f>
        <v>Website</v>
      </c>
      <c r="F865" s="14" t="str">
        <f>IFERROR(__xludf.DUMMYFUNCTION("""COMPUTED_VALUE"""),"Leads Baru")</f>
        <v>Leads Baru</v>
      </c>
      <c r="G865" s="14" t="str">
        <f>IFERROR(__xludf.DUMMYFUNCTION("""COMPUTED_VALUE"""),"OT Djawatan Baluran")</f>
        <v>OT Djawatan Baluran</v>
      </c>
      <c r="H865" s="16">
        <f>IFERROR(__xludf.DUMMYFUNCTION("""COMPUTED_VALUE"""),46238.0)</f>
        <v>46238</v>
      </c>
      <c r="I865" s="17">
        <f>IFERROR(__xludf.DUMMYFUNCTION("""COMPUTED_VALUE"""),2.0)</f>
        <v>2</v>
      </c>
      <c r="J865" s="54"/>
      <c r="K865" s="46"/>
      <c r="L865" s="10"/>
      <c r="M865" s="20"/>
      <c r="N865" s="20"/>
      <c r="O865" s="20"/>
      <c r="P865" s="20"/>
    </row>
    <row r="866">
      <c r="A866" s="21">
        <f>IFERROR(__xludf.DUMMYFUNCTION("""COMPUTED_VALUE"""),46229.0)</f>
        <v>46229</v>
      </c>
      <c r="B866" s="21" t="str">
        <f>IFERROR(__xludf.DUMMYFUNCTION("""COMPUTED_VALUE"""),"2607A138")</f>
        <v>2607A138</v>
      </c>
      <c r="C866" s="23" t="str">
        <f>IFERROR(__xludf.DUMMYFUNCTION("""COMPUTED_VALUE"""),"Eka Annisa")</f>
        <v>Eka Annisa</v>
      </c>
      <c r="D866" s="24" t="str">
        <f>IFERROR(__xludf.DUMMYFUNCTION("""COMPUTED_VALUE"""),"085814145826")</f>
        <v>085814145826</v>
      </c>
      <c r="E866" s="14" t="str">
        <f>IFERROR(__xludf.DUMMYFUNCTION("""COMPUTED_VALUE"""),"Instagram")</f>
        <v>Instagram</v>
      </c>
      <c r="F866" s="14" t="str">
        <f>IFERROR(__xludf.DUMMYFUNCTION("""COMPUTED_VALUE"""),"Leads Baru")</f>
        <v>Leads Baru</v>
      </c>
      <c r="G866" s="14" t="str">
        <f>IFERROR(__xludf.DUMMYFUNCTION("""COMPUTED_VALUE"""),"OT Djawatan Baluran")</f>
        <v>OT Djawatan Baluran</v>
      </c>
      <c r="H866" s="26"/>
      <c r="I866" s="27"/>
      <c r="J866" s="33"/>
      <c r="K866" s="30"/>
      <c r="L866" s="23"/>
      <c r="M866" s="20"/>
      <c r="N866" s="20"/>
      <c r="O866" s="20"/>
      <c r="P866" s="20"/>
    </row>
    <row r="867">
      <c r="A867" s="11">
        <f>IFERROR(__xludf.DUMMYFUNCTION("""COMPUTED_VALUE"""),46229.0)</f>
        <v>46229</v>
      </c>
      <c r="B867" s="11" t="str">
        <f>IFERROR(__xludf.DUMMYFUNCTION("""COMPUTED_VALUE"""),"2607A139")</f>
        <v>2607A139</v>
      </c>
      <c r="C867" s="10" t="str">
        <f>IFERROR(__xludf.DUMMYFUNCTION("""COMPUTED_VALUE"""),"Febrina Nanda Arviani")</f>
        <v>Febrina Nanda Arviani</v>
      </c>
      <c r="D867" s="13" t="str">
        <f>IFERROR(__xludf.DUMMYFUNCTION("""COMPUTED_VALUE"""),"085643364720")</f>
        <v>085643364720</v>
      </c>
      <c r="E867" s="14" t="str">
        <f>IFERROR(__xludf.DUMMYFUNCTION("""COMPUTED_VALUE"""),"Instagram")</f>
        <v>Instagram</v>
      </c>
      <c r="F867" s="14" t="str">
        <f>IFERROR(__xludf.DUMMYFUNCTION("""COMPUTED_VALUE"""),"Leads Baru")</f>
        <v>Leads Baru</v>
      </c>
      <c r="G867" s="14" t="str">
        <f>IFERROR(__xludf.DUMMYFUNCTION("""COMPUTED_VALUE"""),"2H1M")</f>
        <v>2H1M</v>
      </c>
      <c r="H867" s="16">
        <f>IFERROR(__xludf.DUMMYFUNCTION("""COMPUTED_VALUE"""),46375.0)</f>
        <v>46375</v>
      </c>
      <c r="I867" s="17">
        <f>IFERROR(__xludf.DUMMYFUNCTION("""COMPUTED_VALUE"""),14.0)</f>
        <v>14</v>
      </c>
      <c r="J867" s="54"/>
      <c r="K867" s="46"/>
      <c r="L867" s="10"/>
      <c r="M867" s="20"/>
      <c r="N867" s="20"/>
      <c r="O867" s="20"/>
      <c r="P867" s="20"/>
    </row>
    <row r="868">
      <c r="A868" s="21">
        <f>IFERROR(__xludf.DUMMYFUNCTION("""COMPUTED_VALUE"""),46230.0)</f>
        <v>46230</v>
      </c>
      <c r="B868" s="21" t="str">
        <f>IFERROR(__xludf.DUMMYFUNCTION("""COMPUTED_VALUE"""),"2607A140")</f>
        <v>2607A140</v>
      </c>
      <c r="C868" s="23" t="str">
        <f>IFERROR(__xludf.DUMMYFUNCTION("""COMPUTED_VALUE"""),"Elvi Dwi Yunitasari")</f>
        <v>Elvi Dwi Yunitasari</v>
      </c>
      <c r="D868" s="24" t="str">
        <f>IFERROR(__xludf.DUMMYFUNCTION("""COMPUTED_VALUE"""),"0895366571911")</f>
        <v>0895366571911</v>
      </c>
      <c r="E868" s="14" t="str">
        <f>IFERROR(__xludf.DUMMYFUNCTION("""COMPUTED_VALUE"""),"Instagram")</f>
        <v>Instagram</v>
      </c>
      <c r="F868" s="14" t="str">
        <f>IFERROR(__xludf.DUMMYFUNCTION("""COMPUTED_VALUE"""),"Leads Baru")</f>
        <v>Leads Baru</v>
      </c>
      <c r="G868" s="14" t="str">
        <f>IFERROR(__xludf.DUMMYFUNCTION("""COMPUTED_VALUE"""),"Menjangan Tabuhan")</f>
        <v>Menjangan Tabuhan</v>
      </c>
      <c r="H868" s="26"/>
      <c r="I868" s="27"/>
      <c r="J868" s="33"/>
      <c r="K868" s="30"/>
      <c r="L868" s="23"/>
      <c r="M868" s="20"/>
      <c r="N868" s="20"/>
      <c r="O868" s="20"/>
      <c r="P868" s="20"/>
    </row>
    <row r="869">
      <c r="A869" s="11">
        <f>IFERROR(__xludf.DUMMYFUNCTION("""COMPUTED_VALUE"""),46230.0)</f>
        <v>46230</v>
      </c>
      <c r="B869" s="11" t="str">
        <f>IFERROR(__xludf.DUMMYFUNCTION("""COMPUTED_VALUE"""),"2607A141")</f>
        <v>2607A141</v>
      </c>
      <c r="C869" s="10" t="str">
        <f>IFERROR(__xludf.DUMMYFUNCTION("""COMPUTED_VALUE"""),"Izmaa")</f>
        <v>Izmaa</v>
      </c>
      <c r="D869" s="13" t="str">
        <f>IFERROR(__xludf.DUMMYFUNCTION("""COMPUTED_VALUE"""),"081909392890")</f>
        <v>081909392890</v>
      </c>
      <c r="E869" s="14" t="str">
        <f>IFERROR(__xludf.DUMMYFUNCTION("""COMPUTED_VALUE"""),"Instagram")</f>
        <v>Instagram</v>
      </c>
      <c r="F869" s="14" t="str">
        <f>IFERROR(__xludf.DUMMYFUNCTION("""COMPUTED_VALUE"""),"Leads Baru")</f>
        <v>Leads Baru</v>
      </c>
      <c r="G869" s="14" t="str">
        <f>IFERROR(__xludf.DUMMYFUNCTION("""COMPUTED_VALUE"""),"2h1m")</f>
        <v>2h1m</v>
      </c>
      <c r="H869" s="16"/>
      <c r="I869" s="17"/>
      <c r="J869" s="54"/>
      <c r="K869" s="46"/>
      <c r="L869" s="10"/>
      <c r="M869" s="20"/>
      <c r="N869" s="20"/>
      <c r="O869" s="20"/>
      <c r="P869" s="20"/>
    </row>
    <row r="870">
      <c r="A870" s="21">
        <f>IFERROR(__xludf.DUMMYFUNCTION("""COMPUTED_VALUE"""),46230.0)</f>
        <v>46230</v>
      </c>
      <c r="B870" s="21" t="str">
        <f>IFERROR(__xludf.DUMMYFUNCTION("""COMPUTED_VALUE"""),"2607A142")</f>
        <v>2607A142</v>
      </c>
      <c r="C870" s="23" t="str">
        <f>IFERROR(__xludf.DUMMYFUNCTION("""COMPUTED_VALUE"""),"Ina")</f>
        <v>Ina</v>
      </c>
      <c r="D870" s="24" t="str">
        <f>IFERROR(__xludf.DUMMYFUNCTION("""COMPUTED_VALUE"""),"085921732936")</f>
        <v>085921732936</v>
      </c>
      <c r="E870" s="14" t="str">
        <f>IFERROR(__xludf.DUMMYFUNCTION("""COMPUTED_VALUE"""),"Instagram")</f>
        <v>Instagram</v>
      </c>
      <c r="F870" s="14" t="str">
        <f>IFERROR(__xludf.DUMMYFUNCTION("""COMPUTED_VALUE"""),"Leads Baru")</f>
        <v>Leads Baru</v>
      </c>
      <c r="G870" s="14" t="str">
        <f>IFERROR(__xludf.DUMMYFUNCTION("""COMPUTED_VALUE"""),"ot 3h2m")</f>
        <v>ot 3h2m</v>
      </c>
      <c r="H870" s="26"/>
      <c r="I870" s="27"/>
      <c r="J870" s="33"/>
      <c r="K870" s="30"/>
      <c r="L870" s="23"/>
      <c r="M870" s="20"/>
      <c r="N870" s="20"/>
      <c r="O870" s="20"/>
      <c r="P870" s="20"/>
    </row>
    <row r="871">
      <c r="A871" s="11">
        <f>IFERROR(__xludf.DUMMYFUNCTION("""COMPUTED_VALUE"""),46231.0)</f>
        <v>46231</v>
      </c>
      <c r="B871" s="11" t="str">
        <f>IFERROR(__xludf.DUMMYFUNCTION("""COMPUTED_VALUE"""),"2607A143")</f>
        <v>2607A143</v>
      </c>
      <c r="C871" s="10" t="str">
        <f>IFERROR(__xludf.DUMMYFUNCTION("""COMPUTED_VALUE"""),"Nadra")</f>
        <v>Nadra</v>
      </c>
      <c r="D871" s="13" t="str">
        <f>IFERROR(__xludf.DUMMYFUNCTION("""COMPUTED_VALUE"""),"081218670190")</f>
        <v>081218670190</v>
      </c>
      <c r="E871" s="14" t="str">
        <f>IFERROR(__xludf.DUMMYFUNCTION("""COMPUTED_VALUE"""),"Instagram")</f>
        <v>Instagram</v>
      </c>
      <c r="F871" s="14" t="str">
        <f>IFERROR(__xludf.DUMMYFUNCTION("""COMPUTED_VALUE"""),"Leads Baru")</f>
        <v>Leads Baru</v>
      </c>
      <c r="G871" s="14" t="str">
        <f>IFERROR(__xludf.DUMMYFUNCTION("""COMPUTED_VALUE"""),"ot 3h2m")</f>
        <v>ot 3h2m</v>
      </c>
      <c r="H871" s="16"/>
      <c r="I871" s="17"/>
      <c r="J871" s="54"/>
      <c r="K871" s="46"/>
      <c r="L871" s="10"/>
      <c r="M871" s="20"/>
      <c r="N871" s="20"/>
      <c r="O871" s="20"/>
      <c r="P871" s="20"/>
    </row>
    <row r="872">
      <c r="A872" s="21">
        <f>IFERROR(__xludf.DUMMYFUNCTION("""COMPUTED_VALUE"""),46231.0)</f>
        <v>46231</v>
      </c>
      <c r="B872" s="21" t="str">
        <f>IFERROR(__xludf.DUMMYFUNCTION("""COMPUTED_VALUE"""),"2607A144")</f>
        <v>2607A144</v>
      </c>
      <c r="C872" s="23" t="str">
        <f>IFERROR(__xludf.DUMMYFUNCTION("""COMPUTED_VALUE"""),"Ria Pradita")</f>
        <v>Ria Pradita</v>
      </c>
      <c r="D872" s="24" t="str">
        <f>IFERROR(__xludf.DUMMYFUNCTION("""COMPUTED_VALUE"""),"082210031502")</f>
        <v>082210031502</v>
      </c>
      <c r="E872" s="14" t="str">
        <f>IFERROR(__xludf.DUMMYFUNCTION("""COMPUTED_VALUE"""),"Instagram")</f>
        <v>Instagram</v>
      </c>
      <c r="F872" s="14" t="str">
        <f>IFERROR(__xludf.DUMMYFUNCTION("""COMPUTED_VALUE"""),"Hot Leads")</f>
        <v>Hot Leads</v>
      </c>
      <c r="G872" s="14" t="str">
        <f>IFERROR(__xludf.DUMMYFUNCTION("""COMPUTED_VALUE"""),"ot menjangan tabuhann")</f>
        <v>ot menjangan tabuhann</v>
      </c>
      <c r="H872" s="26">
        <f>IFERROR(__xludf.DUMMYFUNCTION("""COMPUTED_VALUE"""),46239.0)</f>
        <v>46239</v>
      </c>
      <c r="I872" s="27">
        <f>IFERROR(__xludf.DUMMYFUNCTION("""COMPUTED_VALUE"""),2.0)</f>
        <v>2</v>
      </c>
      <c r="J872" s="33">
        <f>IFERROR(__xludf.DUMMYFUNCTION("""COMPUTED_VALUE"""),800000.0)</f>
        <v>800000</v>
      </c>
      <c r="K872" s="30"/>
      <c r="L872" s="23"/>
      <c r="M872" s="20"/>
      <c r="N872" s="20"/>
      <c r="O872" s="20"/>
      <c r="P872" s="20"/>
    </row>
    <row r="873">
      <c r="A873" s="10"/>
      <c r="B873" s="11"/>
      <c r="C873" s="10"/>
      <c r="D873" s="13"/>
      <c r="E873" s="14"/>
      <c r="F873" s="14"/>
      <c r="G873" s="14"/>
      <c r="H873" s="10"/>
      <c r="I873" s="17"/>
      <c r="J873" s="10"/>
      <c r="K873" s="46"/>
      <c r="L873" s="10"/>
      <c r="M873" s="20"/>
      <c r="N873" s="20"/>
      <c r="O873" s="20"/>
      <c r="P873" s="20"/>
    </row>
    <row r="874">
      <c r="A874" s="23"/>
      <c r="B874" s="21"/>
      <c r="C874" s="23"/>
      <c r="D874" s="24"/>
      <c r="E874" s="14"/>
      <c r="F874" s="14"/>
      <c r="G874" s="14"/>
      <c r="H874" s="23"/>
      <c r="I874" s="27"/>
      <c r="J874" s="23"/>
      <c r="K874" s="30"/>
      <c r="L874" s="23"/>
      <c r="M874" s="20"/>
      <c r="N874" s="20"/>
      <c r="O874" s="20"/>
      <c r="P874" s="20"/>
    </row>
    <row r="875">
      <c r="A875" s="10"/>
      <c r="B875" s="11"/>
      <c r="C875" s="10"/>
      <c r="D875" s="13"/>
      <c r="E875" s="14"/>
      <c r="F875" s="14"/>
      <c r="G875" s="14"/>
      <c r="H875" s="10"/>
      <c r="I875" s="17"/>
      <c r="J875" s="10"/>
      <c r="K875" s="46"/>
      <c r="L875" s="10"/>
      <c r="M875" s="20"/>
      <c r="N875" s="20"/>
      <c r="O875" s="20"/>
      <c r="P875" s="20"/>
    </row>
    <row r="876">
      <c r="A876" s="23"/>
      <c r="B876" s="21"/>
      <c r="C876" s="23"/>
      <c r="D876" s="24"/>
      <c r="E876" s="14"/>
      <c r="F876" s="14"/>
      <c r="G876" s="14"/>
      <c r="H876" s="23"/>
      <c r="I876" s="27"/>
      <c r="J876" s="23"/>
      <c r="K876" s="30"/>
      <c r="L876" s="23"/>
      <c r="M876" s="20"/>
      <c r="N876" s="20"/>
      <c r="O876" s="20"/>
      <c r="P876" s="20"/>
    </row>
    <row r="877">
      <c r="A877" s="10"/>
      <c r="B877" s="11"/>
      <c r="C877" s="10"/>
      <c r="D877" s="13"/>
      <c r="E877" s="14"/>
      <c r="F877" s="14"/>
      <c r="G877" s="14"/>
      <c r="H877" s="10"/>
      <c r="I877" s="17"/>
      <c r="J877" s="10"/>
      <c r="K877" s="46"/>
      <c r="L877" s="10"/>
      <c r="M877" s="20"/>
      <c r="N877" s="20"/>
      <c r="O877" s="20"/>
      <c r="P877" s="20"/>
    </row>
    <row r="878">
      <c r="A878" s="23"/>
      <c r="B878" s="21"/>
      <c r="C878" s="23"/>
      <c r="D878" s="24"/>
      <c r="E878" s="14"/>
      <c r="F878" s="14"/>
      <c r="G878" s="14"/>
      <c r="H878" s="23"/>
      <c r="I878" s="27"/>
      <c r="J878" s="23"/>
      <c r="K878" s="30"/>
      <c r="L878" s="23"/>
      <c r="M878" s="20"/>
      <c r="N878" s="20"/>
      <c r="O878" s="20"/>
      <c r="P878" s="20"/>
    </row>
    <row r="879">
      <c r="A879" s="10"/>
      <c r="B879" s="11"/>
      <c r="C879" s="10"/>
      <c r="D879" s="13"/>
      <c r="E879" s="14"/>
      <c r="F879" s="14"/>
      <c r="G879" s="14"/>
      <c r="H879" s="10"/>
      <c r="I879" s="17"/>
      <c r="J879" s="10"/>
      <c r="K879" s="46"/>
      <c r="L879" s="10"/>
      <c r="M879" s="20"/>
      <c r="N879" s="20"/>
      <c r="O879" s="20"/>
      <c r="P879" s="20"/>
    </row>
    <row r="880">
      <c r="A880" s="23"/>
      <c r="B880" s="21"/>
      <c r="C880" s="23"/>
      <c r="D880" s="24"/>
      <c r="E880" s="14"/>
      <c r="F880" s="14"/>
      <c r="G880" s="14"/>
      <c r="H880" s="23"/>
      <c r="I880" s="27"/>
      <c r="J880" s="23"/>
      <c r="K880" s="30"/>
      <c r="L880" s="23"/>
      <c r="M880" s="20"/>
      <c r="N880" s="20"/>
      <c r="O880" s="20"/>
      <c r="P880" s="20"/>
    </row>
    <row r="881">
      <c r="A881" s="10"/>
      <c r="B881" s="11"/>
      <c r="C881" s="10"/>
      <c r="D881" s="13"/>
      <c r="E881" s="14"/>
      <c r="F881" s="14"/>
      <c r="G881" s="14"/>
      <c r="H881" s="10"/>
      <c r="I881" s="17"/>
      <c r="J881" s="10"/>
      <c r="K881" s="46"/>
      <c r="L881" s="10"/>
      <c r="M881" s="20"/>
      <c r="N881" s="20"/>
      <c r="O881" s="20"/>
      <c r="P881" s="20"/>
    </row>
    <row r="882">
      <c r="A882" s="23"/>
      <c r="B882" s="21"/>
      <c r="C882" s="23"/>
      <c r="D882" s="24"/>
      <c r="E882" s="14"/>
      <c r="F882" s="14"/>
      <c r="G882" s="14"/>
      <c r="H882" s="23"/>
      <c r="I882" s="27"/>
      <c r="J882" s="23"/>
      <c r="K882" s="30"/>
      <c r="L882" s="23"/>
      <c r="M882" s="20"/>
      <c r="N882" s="20"/>
      <c r="O882" s="20"/>
      <c r="P882" s="20"/>
    </row>
    <row r="883">
      <c r="A883" s="10"/>
      <c r="B883" s="11"/>
      <c r="C883" s="10"/>
      <c r="D883" s="13"/>
      <c r="E883" s="14"/>
      <c r="F883" s="14"/>
      <c r="G883" s="14"/>
      <c r="H883" s="10"/>
      <c r="I883" s="17"/>
      <c r="J883" s="10"/>
      <c r="K883" s="46"/>
      <c r="L883" s="10"/>
      <c r="M883" s="20"/>
      <c r="N883" s="20"/>
      <c r="O883" s="20"/>
      <c r="P883" s="20"/>
    </row>
    <row r="884">
      <c r="A884" s="23"/>
      <c r="B884" s="21"/>
      <c r="C884" s="23"/>
      <c r="D884" s="24"/>
      <c r="E884" s="14"/>
      <c r="F884" s="14"/>
      <c r="G884" s="14"/>
      <c r="H884" s="23"/>
      <c r="I884" s="27"/>
      <c r="J884" s="23"/>
      <c r="K884" s="30"/>
      <c r="L884" s="23"/>
      <c r="M884" s="20"/>
      <c r="N884" s="20"/>
      <c r="O884" s="20"/>
      <c r="P884" s="20"/>
    </row>
    <row r="885">
      <c r="A885" s="10"/>
      <c r="B885" s="11"/>
      <c r="C885" s="10"/>
      <c r="D885" s="13"/>
      <c r="E885" s="14"/>
      <c r="F885" s="14"/>
      <c r="G885" s="14"/>
      <c r="H885" s="10"/>
      <c r="I885" s="17"/>
      <c r="J885" s="10"/>
      <c r="K885" s="46"/>
      <c r="L885" s="10"/>
      <c r="M885" s="20"/>
      <c r="N885" s="20"/>
      <c r="O885" s="20"/>
      <c r="P885" s="20"/>
    </row>
    <row r="886">
      <c r="A886" s="23"/>
      <c r="B886" s="21"/>
      <c r="C886" s="23"/>
      <c r="D886" s="24"/>
      <c r="E886" s="14"/>
      <c r="F886" s="14"/>
      <c r="G886" s="14"/>
      <c r="H886" s="23"/>
      <c r="I886" s="27"/>
      <c r="J886" s="23"/>
      <c r="K886" s="30"/>
      <c r="L886" s="23"/>
      <c r="M886" s="20"/>
      <c r="N886" s="20"/>
      <c r="O886" s="20"/>
      <c r="P886" s="20"/>
    </row>
    <row r="887">
      <c r="A887" s="10"/>
      <c r="B887" s="11"/>
      <c r="C887" s="10"/>
      <c r="D887" s="13"/>
      <c r="E887" s="14"/>
      <c r="F887" s="14"/>
      <c r="G887" s="14"/>
      <c r="H887" s="10"/>
      <c r="I887" s="17"/>
      <c r="J887" s="10"/>
      <c r="K887" s="46"/>
      <c r="L887" s="10"/>
      <c r="M887" s="20"/>
      <c r="N887" s="20"/>
      <c r="O887" s="20"/>
      <c r="P887" s="20"/>
    </row>
    <row r="888">
      <c r="A888" s="23"/>
      <c r="B888" s="21"/>
      <c r="C888" s="23"/>
      <c r="D888" s="24"/>
      <c r="E888" s="14"/>
      <c r="F888" s="14"/>
      <c r="G888" s="14"/>
      <c r="H888" s="23"/>
      <c r="I888" s="27"/>
      <c r="J888" s="23"/>
      <c r="K888" s="30"/>
      <c r="L888" s="23"/>
      <c r="M888" s="20"/>
      <c r="N888" s="20"/>
      <c r="O888" s="20"/>
      <c r="P888" s="20"/>
    </row>
    <row r="889">
      <c r="A889" s="10"/>
      <c r="B889" s="11"/>
      <c r="C889" s="10"/>
      <c r="D889" s="13"/>
      <c r="E889" s="14"/>
      <c r="F889" s="14"/>
      <c r="G889" s="14"/>
      <c r="H889" s="10"/>
      <c r="I889" s="17"/>
      <c r="J889" s="10"/>
      <c r="K889" s="46"/>
      <c r="L889" s="10"/>
      <c r="M889" s="20"/>
      <c r="N889" s="20"/>
      <c r="O889" s="20"/>
      <c r="P889" s="20"/>
    </row>
    <row r="890">
      <c r="A890" s="23"/>
      <c r="B890" s="21"/>
      <c r="C890" s="23"/>
      <c r="D890" s="24"/>
      <c r="E890" s="14"/>
      <c r="F890" s="14"/>
      <c r="G890" s="14"/>
      <c r="H890" s="23"/>
      <c r="I890" s="27"/>
      <c r="J890" s="23"/>
      <c r="K890" s="30"/>
      <c r="L890" s="23"/>
      <c r="M890" s="20"/>
      <c r="N890" s="20"/>
      <c r="O890" s="20"/>
      <c r="P890" s="20"/>
    </row>
    <row r="891">
      <c r="A891" s="10"/>
      <c r="B891" s="11"/>
      <c r="C891" s="10"/>
      <c r="D891" s="13"/>
      <c r="E891" s="14"/>
      <c r="F891" s="14"/>
      <c r="G891" s="14"/>
      <c r="H891" s="10"/>
      <c r="I891" s="17"/>
      <c r="J891" s="10"/>
      <c r="K891" s="46"/>
      <c r="L891" s="10"/>
      <c r="M891" s="20"/>
      <c r="N891" s="20"/>
      <c r="O891" s="20"/>
      <c r="P891" s="20"/>
    </row>
    <row r="892">
      <c r="A892" s="23"/>
      <c r="B892" s="21"/>
      <c r="C892" s="23"/>
      <c r="D892" s="24"/>
      <c r="E892" s="14"/>
      <c r="F892" s="14"/>
      <c r="G892" s="14"/>
      <c r="H892" s="23"/>
      <c r="I892" s="27"/>
      <c r="J892" s="23"/>
      <c r="K892" s="30"/>
      <c r="L892" s="23"/>
      <c r="M892" s="20"/>
      <c r="N892" s="20"/>
      <c r="O892" s="20"/>
      <c r="P892" s="20"/>
    </row>
    <row r="893">
      <c r="A893" s="10"/>
      <c r="B893" s="11"/>
      <c r="C893" s="10"/>
      <c r="D893" s="13"/>
      <c r="E893" s="14"/>
      <c r="F893" s="14"/>
      <c r="G893" s="14"/>
      <c r="H893" s="10"/>
      <c r="I893" s="17"/>
      <c r="J893" s="10"/>
      <c r="K893" s="46"/>
      <c r="L893" s="10"/>
      <c r="M893" s="20"/>
      <c r="N893" s="20"/>
      <c r="O893" s="20"/>
      <c r="P893" s="20"/>
    </row>
    <row r="894">
      <c r="A894" s="23"/>
      <c r="B894" s="21"/>
      <c r="C894" s="23"/>
      <c r="D894" s="24"/>
      <c r="E894" s="14"/>
      <c r="F894" s="14"/>
      <c r="G894" s="14"/>
      <c r="H894" s="23"/>
      <c r="I894" s="27"/>
      <c r="J894" s="23"/>
      <c r="K894" s="30"/>
      <c r="L894" s="23"/>
      <c r="M894" s="20"/>
      <c r="N894" s="20"/>
      <c r="O894" s="20"/>
      <c r="P894" s="20"/>
    </row>
    <row r="895">
      <c r="A895" s="10"/>
      <c r="B895" s="11"/>
      <c r="C895" s="10"/>
      <c r="D895" s="13"/>
      <c r="E895" s="14"/>
      <c r="F895" s="14"/>
      <c r="G895" s="14"/>
      <c r="H895" s="10"/>
      <c r="I895" s="17"/>
      <c r="J895" s="10"/>
      <c r="K895" s="46"/>
      <c r="L895" s="10"/>
      <c r="M895" s="20"/>
      <c r="N895" s="20"/>
      <c r="O895" s="20"/>
      <c r="P895" s="20"/>
    </row>
    <row r="896">
      <c r="A896" s="23"/>
      <c r="B896" s="21"/>
      <c r="C896" s="23"/>
      <c r="D896" s="24"/>
      <c r="E896" s="14"/>
      <c r="F896" s="14"/>
      <c r="G896" s="14"/>
      <c r="H896" s="23"/>
      <c r="I896" s="27"/>
      <c r="J896" s="23"/>
      <c r="K896" s="30"/>
      <c r="L896" s="23"/>
      <c r="M896" s="20"/>
      <c r="N896" s="20"/>
      <c r="O896" s="20"/>
      <c r="P896" s="20"/>
    </row>
    <row r="897">
      <c r="A897" s="10"/>
      <c r="B897" s="11"/>
      <c r="C897" s="10"/>
      <c r="D897" s="13"/>
      <c r="E897" s="14"/>
      <c r="F897" s="14"/>
      <c r="G897" s="14"/>
      <c r="H897" s="10"/>
      <c r="I897" s="17"/>
      <c r="J897" s="10"/>
      <c r="K897" s="46"/>
      <c r="L897" s="10"/>
      <c r="M897" s="20"/>
      <c r="N897" s="20"/>
      <c r="O897" s="20"/>
      <c r="P897" s="20"/>
    </row>
    <row r="898">
      <c r="A898" s="23"/>
      <c r="B898" s="21"/>
      <c r="C898" s="23"/>
      <c r="D898" s="24"/>
      <c r="E898" s="14"/>
      <c r="F898" s="14"/>
      <c r="G898" s="14"/>
      <c r="H898" s="23"/>
      <c r="I898" s="27"/>
      <c r="J898" s="23"/>
      <c r="K898" s="30"/>
      <c r="L898" s="23"/>
      <c r="M898" s="20"/>
      <c r="N898" s="20"/>
      <c r="O898" s="20"/>
      <c r="P898" s="20"/>
    </row>
    <row r="899">
      <c r="A899" s="10"/>
      <c r="B899" s="11"/>
      <c r="C899" s="10"/>
      <c r="D899" s="13"/>
      <c r="E899" s="14"/>
      <c r="F899" s="14"/>
      <c r="G899" s="14"/>
      <c r="H899" s="10"/>
      <c r="I899" s="17"/>
      <c r="J899" s="10"/>
      <c r="K899" s="46"/>
      <c r="L899" s="10"/>
      <c r="M899" s="20"/>
      <c r="N899" s="20"/>
      <c r="O899" s="20"/>
      <c r="P899" s="20"/>
    </row>
    <row r="900">
      <c r="A900" s="23"/>
      <c r="B900" s="21"/>
      <c r="C900" s="23"/>
      <c r="D900" s="24"/>
      <c r="E900" s="14"/>
      <c r="F900" s="14"/>
      <c r="G900" s="14"/>
      <c r="H900" s="23"/>
      <c r="I900" s="27"/>
      <c r="J900" s="23"/>
      <c r="K900" s="30"/>
      <c r="L900" s="23"/>
      <c r="M900" s="20"/>
      <c r="N900" s="20"/>
      <c r="O900" s="20"/>
      <c r="P900" s="20"/>
    </row>
    <row r="901">
      <c r="A901" s="10"/>
      <c r="B901" s="11"/>
      <c r="C901" s="10"/>
      <c r="D901" s="13"/>
      <c r="E901" s="14"/>
      <c r="F901" s="14"/>
      <c r="G901" s="14"/>
      <c r="H901" s="10"/>
      <c r="I901" s="17"/>
      <c r="J901" s="10"/>
      <c r="K901" s="46"/>
      <c r="L901" s="10"/>
      <c r="M901" s="20"/>
      <c r="N901" s="20"/>
      <c r="O901" s="20"/>
      <c r="P901" s="20"/>
    </row>
    <row r="902">
      <c r="A902" s="23"/>
      <c r="B902" s="21"/>
      <c r="C902" s="23"/>
      <c r="D902" s="24"/>
      <c r="E902" s="14"/>
      <c r="F902" s="14"/>
      <c r="G902" s="14"/>
      <c r="H902" s="23"/>
      <c r="I902" s="27"/>
      <c r="J902" s="23"/>
      <c r="K902" s="30"/>
      <c r="L902" s="23"/>
      <c r="M902" s="20"/>
      <c r="N902" s="20"/>
      <c r="O902" s="20"/>
      <c r="P902" s="20"/>
    </row>
    <row r="903">
      <c r="A903" s="10"/>
      <c r="B903" s="11"/>
      <c r="C903" s="10"/>
      <c r="D903" s="13"/>
      <c r="E903" s="14"/>
      <c r="F903" s="14"/>
      <c r="G903" s="14"/>
      <c r="H903" s="10"/>
      <c r="I903" s="17"/>
      <c r="J903" s="10"/>
      <c r="K903" s="46"/>
      <c r="L903" s="10"/>
      <c r="M903" s="20"/>
      <c r="N903" s="20"/>
      <c r="O903" s="20"/>
      <c r="P903" s="20"/>
    </row>
    <row r="904">
      <c r="A904" s="23"/>
      <c r="B904" s="21"/>
      <c r="C904" s="23"/>
      <c r="D904" s="24"/>
      <c r="E904" s="14"/>
      <c r="F904" s="14"/>
      <c r="G904" s="14"/>
      <c r="H904" s="23"/>
      <c r="I904" s="27"/>
      <c r="J904" s="23"/>
      <c r="K904" s="30"/>
      <c r="L904" s="23"/>
      <c r="M904" s="20"/>
      <c r="N904" s="20"/>
      <c r="O904" s="20"/>
      <c r="P904" s="20"/>
    </row>
    <row r="905">
      <c r="A905" s="10"/>
      <c r="B905" s="11"/>
      <c r="C905" s="10"/>
      <c r="D905" s="13"/>
      <c r="E905" s="14"/>
      <c r="F905" s="14"/>
      <c r="G905" s="14"/>
      <c r="H905" s="10"/>
      <c r="I905" s="17"/>
      <c r="J905" s="10"/>
      <c r="K905" s="46"/>
      <c r="L905" s="10"/>
      <c r="M905" s="20"/>
      <c r="N905" s="20"/>
      <c r="O905" s="20"/>
      <c r="P905" s="20"/>
    </row>
    <row r="906">
      <c r="A906" s="23"/>
      <c r="B906" s="21"/>
      <c r="C906" s="23"/>
      <c r="D906" s="24"/>
      <c r="E906" s="14"/>
      <c r="F906" s="14"/>
      <c r="G906" s="14"/>
      <c r="H906" s="23"/>
      <c r="I906" s="27"/>
      <c r="J906" s="23"/>
      <c r="K906" s="30"/>
      <c r="L906" s="23"/>
      <c r="M906" s="20"/>
      <c r="N906" s="20"/>
      <c r="O906" s="20"/>
      <c r="P906" s="20"/>
    </row>
    <row r="907">
      <c r="A907" s="10"/>
      <c r="B907" s="11"/>
      <c r="C907" s="10"/>
      <c r="D907" s="13"/>
      <c r="E907" s="14"/>
      <c r="F907" s="14"/>
      <c r="G907" s="14"/>
      <c r="H907" s="10"/>
      <c r="I907" s="17"/>
      <c r="J907" s="10"/>
      <c r="K907" s="46"/>
      <c r="L907" s="10"/>
      <c r="M907" s="20"/>
      <c r="N907" s="20"/>
      <c r="O907" s="20"/>
      <c r="P907" s="20"/>
    </row>
    <row r="908">
      <c r="A908" s="23"/>
      <c r="B908" s="21"/>
      <c r="C908" s="23"/>
      <c r="D908" s="24"/>
      <c r="E908" s="14"/>
      <c r="F908" s="14"/>
      <c r="G908" s="14"/>
      <c r="H908" s="23"/>
      <c r="I908" s="27"/>
      <c r="J908" s="23"/>
      <c r="K908" s="30"/>
      <c r="L908" s="23"/>
      <c r="M908" s="20"/>
      <c r="N908" s="20"/>
      <c r="O908" s="20"/>
      <c r="P908" s="20"/>
    </row>
    <row r="909">
      <c r="A909" s="10"/>
      <c r="B909" s="11"/>
      <c r="C909" s="10"/>
      <c r="D909" s="13"/>
      <c r="E909" s="14"/>
      <c r="F909" s="14"/>
      <c r="G909" s="14"/>
      <c r="H909" s="10"/>
      <c r="I909" s="17"/>
      <c r="J909" s="10"/>
      <c r="K909" s="46"/>
      <c r="L909" s="10"/>
      <c r="M909" s="20"/>
      <c r="N909" s="20"/>
      <c r="O909" s="20"/>
      <c r="P909" s="20"/>
    </row>
    <row r="910">
      <c r="A910" s="23"/>
      <c r="B910" s="21"/>
      <c r="C910" s="23"/>
      <c r="D910" s="24"/>
      <c r="E910" s="14"/>
      <c r="F910" s="14"/>
      <c r="G910" s="14"/>
      <c r="H910" s="23"/>
      <c r="I910" s="27"/>
      <c r="J910" s="23"/>
      <c r="K910" s="30"/>
      <c r="L910" s="23"/>
      <c r="M910" s="20"/>
      <c r="N910" s="20"/>
      <c r="O910" s="20"/>
      <c r="P910" s="20"/>
    </row>
    <row r="911">
      <c r="A911" s="10"/>
      <c r="B911" s="11"/>
      <c r="C911" s="10"/>
      <c r="D911" s="13"/>
      <c r="E911" s="14"/>
      <c r="F911" s="14"/>
      <c r="G911" s="14"/>
      <c r="H911" s="10"/>
      <c r="I911" s="17"/>
      <c r="J911" s="10"/>
      <c r="K911" s="46"/>
      <c r="L911" s="10"/>
      <c r="M911" s="20"/>
      <c r="N911" s="20"/>
      <c r="O911" s="20"/>
      <c r="P911" s="20"/>
    </row>
    <row r="912">
      <c r="A912" s="23"/>
      <c r="B912" s="21"/>
      <c r="C912" s="23"/>
      <c r="D912" s="24"/>
      <c r="E912" s="14"/>
      <c r="F912" s="14"/>
      <c r="G912" s="14"/>
      <c r="H912" s="23"/>
      <c r="I912" s="27"/>
      <c r="J912" s="23"/>
      <c r="K912" s="30"/>
      <c r="L912" s="23"/>
      <c r="M912" s="20"/>
      <c r="N912" s="20"/>
      <c r="O912" s="20"/>
      <c r="P912" s="20"/>
    </row>
    <row r="913">
      <c r="A913" s="10"/>
      <c r="B913" s="11"/>
      <c r="C913" s="10"/>
      <c r="D913" s="13"/>
      <c r="E913" s="14"/>
      <c r="F913" s="14"/>
      <c r="G913" s="14"/>
      <c r="H913" s="10"/>
      <c r="I913" s="17"/>
      <c r="J913" s="10"/>
      <c r="K913" s="46"/>
      <c r="L913" s="10"/>
      <c r="M913" s="20"/>
      <c r="N913" s="20"/>
      <c r="O913" s="20"/>
      <c r="P913" s="20"/>
    </row>
    <row r="914">
      <c r="A914" s="23"/>
      <c r="B914" s="21"/>
      <c r="C914" s="23"/>
      <c r="D914" s="24"/>
      <c r="E914" s="14"/>
      <c r="F914" s="14"/>
      <c r="G914" s="14"/>
      <c r="H914" s="23"/>
      <c r="I914" s="27"/>
      <c r="J914" s="23"/>
      <c r="K914" s="30"/>
      <c r="L914" s="23"/>
      <c r="M914" s="20"/>
      <c r="N914" s="20"/>
      <c r="O914" s="20"/>
      <c r="P914" s="20"/>
    </row>
    <row r="915">
      <c r="A915" s="10"/>
      <c r="B915" s="11"/>
      <c r="C915" s="10"/>
      <c r="D915" s="13"/>
      <c r="E915" s="14"/>
      <c r="F915" s="14"/>
      <c r="G915" s="14"/>
      <c r="H915" s="10"/>
      <c r="I915" s="17"/>
      <c r="J915" s="10"/>
      <c r="K915" s="46"/>
      <c r="L915" s="10"/>
      <c r="M915" s="20"/>
      <c r="N915" s="20"/>
      <c r="O915" s="20"/>
      <c r="P915" s="20"/>
    </row>
    <row r="916">
      <c r="A916" s="23"/>
      <c r="B916" s="21"/>
      <c r="C916" s="23"/>
      <c r="D916" s="24"/>
      <c r="E916" s="14"/>
      <c r="F916" s="14"/>
      <c r="G916" s="14"/>
      <c r="H916" s="23"/>
      <c r="I916" s="27"/>
      <c r="J916" s="23"/>
      <c r="K916" s="30"/>
      <c r="L916" s="23"/>
      <c r="M916" s="20"/>
      <c r="N916" s="20"/>
      <c r="O916" s="20"/>
      <c r="P916" s="20"/>
    </row>
    <row r="917">
      <c r="A917" s="10"/>
      <c r="B917" s="11"/>
      <c r="C917" s="10"/>
      <c r="D917" s="13"/>
      <c r="E917" s="14"/>
      <c r="F917" s="14"/>
      <c r="G917" s="14"/>
      <c r="H917" s="10"/>
      <c r="I917" s="17"/>
      <c r="J917" s="10"/>
      <c r="K917" s="46"/>
      <c r="L917" s="10"/>
      <c r="M917" s="20"/>
      <c r="N917" s="20"/>
      <c r="O917" s="20"/>
      <c r="P917" s="20"/>
    </row>
    <row r="918">
      <c r="A918" s="23"/>
      <c r="B918" s="21"/>
      <c r="C918" s="23"/>
      <c r="D918" s="24"/>
      <c r="E918" s="14"/>
      <c r="F918" s="14"/>
      <c r="G918" s="14"/>
      <c r="H918" s="23"/>
      <c r="I918" s="27"/>
      <c r="J918" s="23"/>
      <c r="K918" s="30"/>
      <c r="L918" s="23"/>
      <c r="M918" s="20"/>
      <c r="N918" s="20"/>
      <c r="O918" s="20"/>
      <c r="P918" s="20"/>
    </row>
    <row r="919">
      <c r="A919" s="10"/>
      <c r="B919" s="11"/>
      <c r="C919" s="10"/>
      <c r="D919" s="13"/>
      <c r="E919" s="14"/>
      <c r="F919" s="14"/>
      <c r="G919" s="14"/>
      <c r="H919" s="10"/>
      <c r="I919" s="17"/>
      <c r="J919" s="10"/>
      <c r="K919" s="46"/>
      <c r="L919" s="10"/>
      <c r="M919" s="20"/>
      <c r="N919" s="20"/>
      <c r="O919" s="20"/>
      <c r="P919" s="20"/>
    </row>
    <row r="920">
      <c r="A920" s="23"/>
      <c r="B920" s="21"/>
      <c r="C920" s="23"/>
      <c r="D920" s="24"/>
      <c r="E920" s="14"/>
      <c r="F920" s="14"/>
      <c r="G920" s="14"/>
      <c r="H920" s="23"/>
      <c r="I920" s="27"/>
      <c r="J920" s="23"/>
      <c r="K920" s="30"/>
      <c r="L920" s="23"/>
      <c r="M920" s="20"/>
      <c r="N920" s="20"/>
      <c r="O920" s="20"/>
      <c r="P920" s="20"/>
    </row>
    <row r="921">
      <c r="A921" s="10"/>
      <c r="B921" s="11"/>
      <c r="C921" s="10"/>
      <c r="D921" s="13"/>
      <c r="E921" s="14"/>
      <c r="F921" s="14"/>
      <c r="G921" s="14"/>
      <c r="H921" s="10"/>
      <c r="I921" s="17"/>
      <c r="J921" s="10"/>
      <c r="K921" s="46"/>
      <c r="L921" s="10"/>
      <c r="M921" s="20"/>
      <c r="N921" s="20"/>
      <c r="O921" s="20"/>
      <c r="P921" s="20"/>
    </row>
    <row r="922">
      <c r="A922" s="23"/>
      <c r="B922" s="21"/>
      <c r="C922" s="23"/>
      <c r="D922" s="24"/>
      <c r="E922" s="14"/>
      <c r="F922" s="14"/>
      <c r="G922" s="14"/>
      <c r="H922" s="23"/>
      <c r="I922" s="27"/>
      <c r="J922" s="23"/>
      <c r="K922" s="30"/>
      <c r="L922" s="23"/>
      <c r="M922" s="20"/>
      <c r="N922" s="20"/>
      <c r="O922" s="20"/>
      <c r="P922" s="20"/>
    </row>
    <row r="923">
      <c r="A923" s="10"/>
      <c r="B923" s="11"/>
      <c r="C923" s="10"/>
      <c r="D923" s="13"/>
      <c r="E923" s="14"/>
      <c r="F923" s="14"/>
      <c r="G923" s="14"/>
      <c r="H923" s="10"/>
      <c r="I923" s="17"/>
      <c r="J923" s="10"/>
      <c r="K923" s="46"/>
      <c r="L923" s="10"/>
      <c r="M923" s="20"/>
      <c r="N923" s="20"/>
      <c r="O923" s="20"/>
      <c r="P923" s="20"/>
    </row>
    <row r="924">
      <c r="A924" s="23"/>
      <c r="B924" s="21"/>
      <c r="C924" s="23"/>
      <c r="D924" s="24"/>
      <c r="E924" s="14"/>
      <c r="F924" s="14"/>
      <c r="G924" s="14"/>
      <c r="H924" s="23"/>
      <c r="I924" s="27"/>
      <c r="J924" s="23"/>
      <c r="K924" s="30"/>
      <c r="L924" s="23"/>
      <c r="M924" s="20"/>
      <c r="N924" s="20"/>
      <c r="O924" s="20"/>
      <c r="P924" s="20"/>
    </row>
    <row r="925">
      <c r="A925" s="10"/>
      <c r="B925" s="11"/>
      <c r="C925" s="10"/>
      <c r="D925" s="13"/>
      <c r="E925" s="14"/>
      <c r="F925" s="14"/>
      <c r="G925" s="14"/>
      <c r="H925" s="10"/>
      <c r="I925" s="17"/>
      <c r="J925" s="10"/>
      <c r="K925" s="46"/>
      <c r="L925" s="10"/>
      <c r="M925" s="20"/>
      <c r="N925" s="20"/>
      <c r="O925" s="20"/>
      <c r="P925" s="20"/>
    </row>
    <row r="926">
      <c r="A926" s="23"/>
      <c r="B926" s="21"/>
      <c r="C926" s="23"/>
      <c r="D926" s="24"/>
      <c r="E926" s="14"/>
      <c r="F926" s="14"/>
      <c r="G926" s="14"/>
      <c r="H926" s="23"/>
      <c r="I926" s="27"/>
      <c r="J926" s="23"/>
      <c r="K926" s="30"/>
      <c r="L926" s="23"/>
      <c r="M926" s="20"/>
      <c r="N926" s="20"/>
      <c r="O926" s="20"/>
      <c r="P926" s="20"/>
    </row>
    <row r="927">
      <c r="A927" s="10"/>
      <c r="B927" s="11"/>
      <c r="C927" s="10"/>
      <c r="D927" s="13"/>
      <c r="E927" s="14"/>
      <c r="F927" s="14"/>
      <c r="G927" s="14"/>
      <c r="H927" s="10"/>
      <c r="I927" s="17"/>
      <c r="J927" s="10"/>
      <c r="K927" s="46"/>
      <c r="L927" s="10"/>
      <c r="M927" s="20"/>
      <c r="N927" s="20"/>
      <c r="O927" s="20"/>
      <c r="P927" s="20"/>
    </row>
    <row r="928">
      <c r="A928" s="23"/>
      <c r="B928" s="21"/>
      <c r="C928" s="23"/>
      <c r="D928" s="24"/>
      <c r="E928" s="14"/>
      <c r="F928" s="14"/>
      <c r="G928" s="14"/>
      <c r="H928" s="23"/>
      <c r="I928" s="27"/>
      <c r="J928" s="23"/>
      <c r="K928" s="30"/>
      <c r="L928" s="23"/>
      <c r="M928" s="20"/>
      <c r="N928" s="20"/>
      <c r="O928" s="20"/>
      <c r="P928" s="20"/>
    </row>
    <row r="929">
      <c r="A929" s="10"/>
      <c r="B929" s="11"/>
      <c r="C929" s="10"/>
      <c r="D929" s="13"/>
      <c r="E929" s="14"/>
      <c r="F929" s="14"/>
      <c r="G929" s="14"/>
      <c r="H929" s="10"/>
      <c r="I929" s="17"/>
      <c r="J929" s="10"/>
      <c r="K929" s="46"/>
      <c r="L929" s="10"/>
      <c r="M929" s="20"/>
      <c r="N929" s="20"/>
      <c r="O929" s="20"/>
      <c r="P929" s="20"/>
    </row>
    <row r="930">
      <c r="A930" s="23"/>
      <c r="B930" s="21"/>
      <c r="C930" s="23"/>
      <c r="D930" s="24"/>
      <c r="E930" s="14"/>
      <c r="F930" s="14"/>
      <c r="G930" s="14"/>
      <c r="H930" s="23"/>
      <c r="I930" s="27"/>
      <c r="J930" s="23"/>
      <c r="K930" s="30"/>
      <c r="L930" s="23"/>
      <c r="M930" s="20"/>
      <c r="N930" s="20"/>
      <c r="O930" s="20"/>
      <c r="P930" s="20"/>
    </row>
    <row r="931">
      <c r="A931" s="10"/>
      <c r="B931" s="11"/>
      <c r="C931" s="10"/>
      <c r="D931" s="13"/>
      <c r="E931" s="14"/>
      <c r="F931" s="14"/>
      <c r="G931" s="14"/>
      <c r="H931" s="10"/>
      <c r="I931" s="17"/>
      <c r="J931" s="10"/>
      <c r="K931" s="46"/>
      <c r="L931" s="10"/>
      <c r="M931" s="20"/>
      <c r="N931" s="20"/>
      <c r="O931" s="20"/>
      <c r="P931" s="20"/>
    </row>
    <row r="932">
      <c r="A932" s="23"/>
      <c r="B932" s="21"/>
      <c r="C932" s="23"/>
      <c r="D932" s="24"/>
      <c r="E932" s="14"/>
      <c r="F932" s="14"/>
      <c r="G932" s="14"/>
      <c r="H932" s="23"/>
      <c r="I932" s="27"/>
      <c r="J932" s="23"/>
      <c r="K932" s="30"/>
      <c r="L932" s="23"/>
      <c r="M932" s="20"/>
      <c r="N932" s="20"/>
      <c r="O932" s="20"/>
      <c r="P932" s="20"/>
    </row>
    <row r="933">
      <c r="A933" s="10"/>
      <c r="B933" s="11"/>
      <c r="C933" s="10"/>
      <c r="D933" s="13"/>
      <c r="E933" s="14"/>
      <c r="F933" s="14"/>
      <c r="G933" s="14"/>
      <c r="H933" s="10"/>
      <c r="I933" s="17"/>
      <c r="J933" s="10"/>
      <c r="K933" s="46"/>
      <c r="L933" s="10"/>
      <c r="M933" s="20"/>
      <c r="N933" s="20"/>
      <c r="O933" s="20"/>
      <c r="P933" s="20"/>
    </row>
    <row r="934">
      <c r="A934" s="23"/>
      <c r="B934" s="21"/>
      <c r="C934" s="23"/>
      <c r="D934" s="24"/>
      <c r="E934" s="14"/>
      <c r="F934" s="14"/>
      <c r="G934" s="14"/>
      <c r="H934" s="23"/>
      <c r="I934" s="27"/>
      <c r="J934" s="23"/>
      <c r="K934" s="30"/>
      <c r="L934" s="23"/>
      <c r="M934" s="20"/>
      <c r="N934" s="20"/>
      <c r="O934" s="20"/>
      <c r="P934" s="20"/>
    </row>
    <row r="935">
      <c r="A935" s="10"/>
      <c r="B935" s="11"/>
      <c r="C935" s="10"/>
      <c r="D935" s="13"/>
      <c r="E935" s="14"/>
      <c r="F935" s="14"/>
      <c r="G935" s="14"/>
      <c r="H935" s="10"/>
      <c r="I935" s="17"/>
      <c r="J935" s="10"/>
      <c r="K935" s="46"/>
      <c r="L935" s="10"/>
      <c r="M935" s="20"/>
      <c r="N935" s="20"/>
      <c r="O935" s="20"/>
      <c r="P935" s="20"/>
    </row>
    <row r="936">
      <c r="A936" s="23"/>
      <c r="B936" s="21"/>
      <c r="C936" s="23"/>
      <c r="D936" s="24"/>
      <c r="E936" s="14"/>
      <c r="F936" s="14"/>
      <c r="G936" s="14"/>
      <c r="H936" s="23"/>
      <c r="I936" s="27"/>
      <c r="J936" s="23"/>
      <c r="K936" s="30"/>
      <c r="L936" s="23"/>
      <c r="M936" s="20"/>
      <c r="N936" s="20"/>
      <c r="O936" s="20"/>
      <c r="P936" s="20"/>
    </row>
    <row r="937">
      <c r="A937" s="10"/>
      <c r="B937" s="11"/>
      <c r="C937" s="10"/>
      <c r="D937" s="13"/>
      <c r="E937" s="14"/>
      <c r="F937" s="14"/>
      <c r="G937" s="14"/>
      <c r="H937" s="10"/>
      <c r="I937" s="17"/>
      <c r="J937" s="10"/>
      <c r="K937" s="46"/>
      <c r="L937" s="10"/>
      <c r="M937" s="20"/>
      <c r="N937" s="20"/>
      <c r="O937" s="20"/>
      <c r="P937" s="20"/>
    </row>
    <row r="938">
      <c r="A938" s="23"/>
      <c r="B938" s="21"/>
      <c r="C938" s="23"/>
      <c r="D938" s="24"/>
      <c r="E938" s="14"/>
      <c r="F938" s="14"/>
      <c r="G938" s="14"/>
      <c r="H938" s="23"/>
      <c r="I938" s="27"/>
      <c r="J938" s="23"/>
      <c r="K938" s="30"/>
      <c r="L938" s="23"/>
      <c r="M938" s="20"/>
      <c r="N938" s="20"/>
      <c r="O938" s="20"/>
      <c r="P938" s="20"/>
    </row>
    <row r="939">
      <c r="A939" s="10"/>
      <c r="B939" s="11"/>
      <c r="C939" s="10"/>
      <c r="D939" s="13"/>
      <c r="E939" s="14"/>
      <c r="F939" s="14"/>
      <c r="G939" s="14"/>
      <c r="H939" s="10"/>
      <c r="I939" s="17"/>
      <c r="J939" s="10"/>
      <c r="K939" s="46"/>
      <c r="L939" s="10"/>
      <c r="M939" s="20"/>
      <c r="N939" s="20"/>
      <c r="O939" s="20"/>
      <c r="P939" s="20"/>
    </row>
    <row r="940">
      <c r="A940" s="23"/>
      <c r="B940" s="21"/>
      <c r="C940" s="23"/>
      <c r="D940" s="24"/>
      <c r="E940" s="14"/>
      <c r="F940" s="14"/>
      <c r="G940" s="14"/>
      <c r="H940" s="23"/>
      <c r="I940" s="27"/>
      <c r="J940" s="23"/>
      <c r="K940" s="30"/>
      <c r="L940" s="23"/>
      <c r="M940" s="20"/>
      <c r="N940" s="20"/>
      <c r="O940" s="20"/>
      <c r="P940" s="20"/>
    </row>
    <row r="941">
      <c r="A941" s="10"/>
      <c r="B941" s="11"/>
      <c r="C941" s="10"/>
      <c r="D941" s="13"/>
      <c r="E941" s="14"/>
      <c r="F941" s="14"/>
      <c r="G941" s="14"/>
      <c r="H941" s="10"/>
      <c r="I941" s="17"/>
      <c r="J941" s="10"/>
      <c r="K941" s="46"/>
      <c r="L941" s="10"/>
      <c r="M941" s="20"/>
      <c r="N941" s="20"/>
      <c r="O941" s="20"/>
      <c r="P941" s="20"/>
    </row>
    <row r="942">
      <c r="A942" s="23"/>
      <c r="B942" s="21"/>
      <c r="C942" s="23"/>
      <c r="D942" s="24"/>
      <c r="E942" s="14"/>
      <c r="F942" s="14"/>
      <c r="G942" s="14"/>
      <c r="H942" s="23"/>
      <c r="I942" s="27"/>
      <c r="J942" s="23"/>
      <c r="K942" s="30"/>
      <c r="L942" s="23"/>
      <c r="M942" s="20"/>
      <c r="N942" s="20"/>
      <c r="O942" s="20"/>
      <c r="P942" s="20"/>
    </row>
    <row r="943">
      <c r="A943" s="10"/>
      <c r="B943" s="11"/>
      <c r="C943" s="10"/>
      <c r="D943" s="13"/>
      <c r="E943" s="14"/>
      <c r="F943" s="14"/>
      <c r="G943" s="14"/>
      <c r="H943" s="10"/>
      <c r="I943" s="17"/>
      <c r="J943" s="10"/>
      <c r="K943" s="46"/>
      <c r="L943" s="10"/>
      <c r="M943" s="20"/>
      <c r="N943" s="20"/>
      <c r="O943" s="20"/>
      <c r="P943" s="20"/>
    </row>
    <row r="944">
      <c r="A944" s="23"/>
      <c r="B944" s="21"/>
      <c r="C944" s="23"/>
      <c r="D944" s="24"/>
      <c r="E944" s="14"/>
      <c r="F944" s="14"/>
      <c r="G944" s="14"/>
      <c r="H944" s="23"/>
      <c r="I944" s="27"/>
      <c r="J944" s="23"/>
      <c r="K944" s="30"/>
      <c r="L944" s="23"/>
      <c r="M944" s="20"/>
      <c r="N944" s="20"/>
      <c r="O944" s="20"/>
      <c r="P944" s="20"/>
    </row>
    <row r="945">
      <c r="A945" s="10"/>
      <c r="B945" s="11"/>
      <c r="C945" s="10"/>
      <c r="D945" s="13"/>
      <c r="E945" s="14"/>
      <c r="F945" s="14"/>
      <c r="G945" s="14"/>
      <c r="H945" s="10"/>
      <c r="I945" s="17"/>
      <c r="J945" s="10"/>
      <c r="K945" s="46"/>
      <c r="L945" s="10"/>
      <c r="M945" s="20"/>
      <c r="N945" s="20"/>
      <c r="O945" s="20"/>
      <c r="P945" s="20"/>
    </row>
    <row r="946">
      <c r="A946" s="23"/>
      <c r="B946" s="21"/>
      <c r="C946" s="23"/>
      <c r="D946" s="24"/>
      <c r="E946" s="14"/>
      <c r="F946" s="14"/>
      <c r="G946" s="14"/>
      <c r="H946" s="23"/>
      <c r="I946" s="27"/>
      <c r="J946" s="23"/>
      <c r="K946" s="30"/>
      <c r="L946" s="23"/>
      <c r="M946" s="20"/>
      <c r="N946" s="20"/>
      <c r="O946" s="20"/>
      <c r="P946" s="20"/>
    </row>
    <row r="947">
      <c r="A947" s="10"/>
      <c r="B947" s="11"/>
      <c r="C947" s="10"/>
      <c r="D947" s="13"/>
      <c r="E947" s="14"/>
      <c r="F947" s="14"/>
      <c r="G947" s="14"/>
      <c r="H947" s="10"/>
      <c r="I947" s="17"/>
      <c r="J947" s="10"/>
      <c r="K947" s="46"/>
      <c r="L947" s="10"/>
      <c r="M947" s="20"/>
      <c r="N947" s="20"/>
      <c r="O947" s="20"/>
      <c r="P947" s="20"/>
    </row>
    <row r="948">
      <c r="A948" s="23"/>
      <c r="B948" s="21"/>
      <c r="C948" s="23"/>
      <c r="D948" s="24"/>
      <c r="E948" s="14"/>
      <c r="F948" s="14"/>
      <c r="G948" s="14"/>
      <c r="H948" s="23"/>
      <c r="I948" s="27"/>
      <c r="J948" s="23"/>
      <c r="K948" s="30"/>
      <c r="L948" s="23"/>
      <c r="M948" s="20"/>
      <c r="N948" s="20"/>
      <c r="O948" s="20"/>
      <c r="P948" s="20"/>
    </row>
    <row r="949">
      <c r="A949" s="10"/>
      <c r="B949" s="11"/>
      <c r="C949" s="10"/>
      <c r="D949" s="13"/>
      <c r="E949" s="14"/>
      <c r="F949" s="14"/>
      <c r="G949" s="14"/>
      <c r="H949" s="10"/>
      <c r="I949" s="17"/>
      <c r="J949" s="10"/>
      <c r="K949" s="46"/>
      <c r="L949" s="10"/>
      <c r="M949" s="20"/>
      <c r="N949" s="20"/>
      <c r="O949" s="20"/>
      <c r="P949" s="20"/>
    </row>
    <row r="950">
      <c r="A950" s="23"/>
      <c r="B950" s="21"/>
      <c r="C950" s="23"/>
      <c r="D950" s="24"/>
      <c r="E950" s="14"/>
      <c r="F950" s="14"/>
      <c r="G950" s="14"/>
      <c r="H950" s="23"/>
      <c r="I950" s="27"/>
      <c r="J950" s="23"/>
      <c r="K950" s="30"/>
      <c r="L950" s="23"/>
      <c r="M950" s="20"/>
      <c r="N950" s="20"/>
      <c r="O950" s="20"/>
      <c r="P950" s="20"/>
    </row>
    <row r="951">
      <c r="A951" s="10"/>
      <c r="B951" s="11"/>
      <c r="C951" s="10"/>
      <c r="D951" s="13"/>
      <c r="E951" s="14"/>
      <c r="F951" s="14"/>
      <c r="G951" s="14"/>
      <c r="H951" s="10"/>
      <c r="I951" s="17"/>
      <c r="J951" s="10"/>
      <c r="K951" s="46"/>
      <c r="L951" s="10"/>
      <c r="M951" s="20"/>
      <c r="N951" s="20"/>
      <c r="O951" s="20"/>
      <c r="P951" s="20"/>
    </row>
    <row r="952">
      <c r="A952" s="23"/>
      <c r="B952" s="21"/>
      <c r="C952" s="23"/>
      <c r="D952" s="24"/>
      <c r="E952" s="14"/>
      <c r="F952" s="14"/>
      <c r="G952" s="14"/>
      <c r="H952" s="23"/>
      <c r="I952" s="27"/>
      <c r="J952" s="23"/>
      <c r="K952" s="30"/>
      <c r="L952" s="23"/>
      <c r="M952" s="20"/>
      <c r="N952" s="20"/>
      <c r="O952" s="20"/>
      <c r="P952" s="20"/>
    </row>
    <row r="953">
      <c r="A953" s="10"/>
      <c r="B953" s="11"/>
      <c r="C953" s="10"/>
      <c r="D953" s="13"/>
      <c r="E953" s="14"/>
      <c r="F953" s="14"/>
      <c r="G953" s="14"/>
      <c r="H953" s="10"/>
      <c r="I953" s="17"/>
      <c r="J953" s="10"/>
      <c r="K953" s="46"/>
      <c r="L953" s="10"/>
      <c r="M953" s="20"/>
      <c r="N953" s="20"/>
      <c r="O953" s="20"/>
      <c r="P953" s="20"/>
    </row>
    <row r="954">
      <c r="A954" s="23"/>
      <c r="B954" s="21"/>
      <c r="C954" s="23"/>
      <c r="D954" s="24"/>
      <c r="E954" s="14"/>
      <c r="F954" s="14"/>
      <c r="G954" s="14"/>
      <c r="H954" s="23"/>
      <c r="I954" s="27"/>
      <c r="J954" s="23"/>
      <c r="K954" s="30"/>
      <c r="L954" s="23"/>
      <c r="M954" s="20"/>
      <c r="N954" s="20"/>
      <c r="O954" s="20"/>
      <c r="P954" s="20"/>
    </row>
    <row r="955">
      <c r="A955" s="10"/>
      <c r="B955" s="11"/>
      <c r="C955" s="10"/>
      <c r="D955" s="13"/>
      <c r="E955" s="14"/>
      <c r="F955" s="14"/>
      <c r="G955" s="14"/>
      <c r="H955" s="10"/>
      <c r="I955" s="17"/>
      <c r="J955" s="10"/>
      <c r="K955" s="46"/>
      <c r="L955" s="10"/>
      <c r="M955" s="20"/>
      <c r="N955" s="20"/>
      <c r="O955" s="20"/>
      <c r="P955" s="20"/>
    </row>
    <row r="956">
      <c r="A956" s="23"/>
      <c r="B956" s="21"/>
      <c r="C956" s="23"/>
      <c r="D956" s="24"/>
      <c r="E956" s="14"/>
      <c r="F956" s="14"/>
      <c r="G956" s="14"/>
      <c r="H956" s="23"/>
      <c r="I956" s="27"/>
      <c r="J956" s="23"/>
      <c r="K956" s="30"/>
      <c r="L956" s="23"/>
      <c r="M956" s="20"/>
      <c r="N956" s="20"/>
      <c r="O956" s="20"/>
      <c r="P956" s="20"/>
    </row>
    <row r="957">
      <c r="A957" s="10"/>
      <c r="B957" s="11"/>
      <c r="C957" s="10"/>
      <c r="D957" s="13"/>
      <c r="E957" s="14"/>
      <c r="F957" s="14"/>
      <c r="G957" s="14"/>
      <c r="H957" s="10"/>
      <c r="I957" s="17"/>
      <c r="J957" s="10"/>
      <c r="K957" s="46"/>
      <c r="L957" s="10"/>
      <c r="M957" s="20"/>
      <c r="N957" s="20"/>
      <c r="O957" s="20"/>
      <c r="P957" s="20"/>
    </row>
    <row r="958">
      <c r="A958" s="23"/>
      <c r="B958" s="21"/>
      <c r="C958" s="23"/>
      <c r="D958" s="24"/>
      <c r="E958" s="14"/>
      <c r="F958" s="14"/>
      <c r="G958" s="14"/>
      <c r="H958" s="23"/>
      <c r="I958" s="27"/>
      <c r="J958" s="23"/>
      <c r="K958" s="30"/>
      <c r="L958" s="23"/>
      <c r="M958" s="20"/>
      <c r="N958" s="20"/>
      <c r="O958" s="20"/>
      <c r="P958" s="20"/>
    </row>
    <row r="959">
      <c r="A959" s="10"/>
      <c r="B959" s="11"/>
      <c r="C959" s="10"/>
      <c r="D959" s="13"/>
      <c r="E959" s="14"/>
      <c r="F959" s="14"/>
      <c r="G959" s="14"/>
      <c r="H959" s="10"/>
      <c r="I959" s="17"/>
      <c r="J959" s="10"/>
      <c r="K959" s="46"/>
      <c r="L959" s="10"/>
      <c r="M959" s="20"/>
      <c r="N959" s="20"/>
      <c r="O959" s="20"/>
      <c r="P959" s="20"/>
    </row>
    <row r="960">
      <c r="A960" s="23"/>
      <c r="B960" s="21"/>
      <c r="C960" s="23"/>
      <c r="D960" s="24"/>
      <c r="E960" s="14"/>
      <c r="F960" s="14"/>
      <c r="G960" s="14"/>
      <c r="H960" s="23"/>
      <c r="I960" s="27"/>
      <c r="J960" s="23"/>
      <c r="K960" s="30"/>
      <c r="L960" s="23"/>
      <c r="M960" s="20"/>
      <c r="N960" s="20"/>
      <c r="O960" s="20"/>
      <c r="P960" s="20"/>
    </row>
    <row r="961">
      <c r="A961" s="10"/>
      <c r="B961" s="11"/>
      <c r="C961" s="10"/>
      <c r="D961" s="13"/>
      <c r="E961" s="14"/>
      <c r="F961" s="14"/>
      <c r="G961" s="14"/>
      <c r="H961" s="10"/>
      <c r="I961" s="17"/>
      <c r="J961" s="10"/>
      <c r="K961" s="46"/>
      <c r="L961" s="10"/>
      <c r="M961" s="20"/>
      <c r="N961" s="20"/>
      <c r="O961" s="20"/>
      <c r="P961" s="20"/>
    </row>
    <row r="962">
      <c r="A962" s="23"/>
      <c r="B962" s="21"/>
      <c r="C962" s="23"/>
      <c r="D962" s="24"/>
      <c r="E962" s="14"/>
      <c r="F962" s="14"/>
      <c r="G962" s="14"/>
      <c r="H962" s="23"/>
      <c r="I962" s="27"/>
      <c r="J962" s="23"/>
      <c r="K962" s="30"/>
      <c r="L962" s="23"/>
      <c r="M962" s="20"/>
      <c r="N962" s="20"/>
      <c r="O962" s="20"/>
      <c r="P962" s="20"/>
    </row>
    <row r="963">
      <c r="A963" s="10"/>
      <c r="B963" s="11"/>
      <c r="C963" s="10"/>
      <c r="D963" s="13"/>
      <c r="E963" s="14"/>
      <c r="F963" s="14"/>
      <c r="G963" s="14"/>
      <c r="H963" s="10"/>
      <c r="I963" s="17"/>
      <c r="J963" s="10"/>
      <c r="K963" s="46"/>
      <c r="L963" s="10"/>
      <c r="M963" s="20"/>
      <c r="N963" s="20"/>
      <c r="O963" s="20"/>
      <c r="P963" s="20"/>
    </row>
    <row r="964">
      <c r="A964" s="23"/>
      <c r="B964" s="21"/>
      <c r="C964" s="23"/>
      <c r="D964" s="24"/>
      <c r="E964" s="14"/>
      <c r="F964" s="14"/>
      <c r="G964" s="14"/>
      <c r="H964" s="23"/>
      <c r="I964" s="27"/>
      <c r="J964" s="23"/>
      <c r="K964" s="30"/>
      <c r="L964" s="23"/>
      <c r="M964" s="20"/>
      <c r="N964" s="20"/>
      <c r="O964" s="20"/>
      <c r="P964" s="20"/>
    </row>
    <row r="965">
      <c r="A965" s="10"/>
      <c r="B965" s="11"/>
      <c r="C965" s="10"/>
      <c r="D965" s="13"/>
      <c r="E965" s="14"/>
      <c r="F965" s="14"/>
      <c r="G965" s="14"/>
      <c r="H965" s="10"/>
      <c r="I965" s="17"/>
      <c r="J965" s="10"/>
      <c r="K965" s="46"/>
      <c r="L965" s="10"/>
      <c r="M965" s="20"/>
      <c r="N965" s="20"/>
      <c r="O965" s="20"/>
      <c r="P965" s="20"/>
    </row>
    <row r="966">
      <c r="A966" s="23"/>
      <c r="B966" s="21"/>
      <c r="C966" s="23"/>
      <c r="D966" s="24"/>
      <c r="E966" s="14"/>
      <c r="F966" s="14"/>
      <c r="G966" s="14"/>
      <c r="H966" s="23"/>
      <c r="I966" s="27"/>
      <c r="J966" s="23"/>
      <c r="K966" s="30"/>
      <c r="L966" s="23"/>
      <c r="M966" s="20"/>
      <c r="N966" s="20"/>
      <c r="O966" s="20"/>
      <c r="P966" s="20"/>
    </row>
    <row r="967">
      <c r="A967" s="10"/>
      <c r="B967" s="11"/>
      <c r="C967" s="10"/>
      <c r="D967" s="13"/>
      <c r="E967" s="14"/>
      <c r="F967" s="14"/>
      <c r="G967" s="14"/>
      <c r="H967" s="10"/>
      <c r="I967" s="17"/>
      <c r="J967" s="10"/>
      <c r="K967" s="46"/>
      <c r="L967" s="10"/>
      <c r="M967" s="20"/>
      <c r="N967" s="20"/>
      <c r="O967" s="20"/>
      <c r="P967" s="20"/>
    </row>
    <row r="968">
      <c r="A968" s="23"/>
      <c r="B968" s="21"/>
      <c r="C968" s="23"/>
      <c r="D968" s="24"/>
      <c r="E968" s="14"/>
      <c r="F968" s="14"/>
      <c r="G968" s="14"/>
      <c r="H968" s="23"/>
      <c r="I968" s="27"/>
      <c r="J968" s="23"/>
      <c r="K968" s="30"/>
      <c r="L968" s="23"/>
      <c r="M968" s="20"/>
      <c r="N968" s="20"/>
      <c r="O968" s="20"/>
      <c r="P968" s="20"/>
    </row>
    <row r="969">
      <c r="A969" s="10"/>
      <c r="B969" s="11"/>
      <c r="C969" s="10"/>
      <c r="D969" s="13"/>
      <c r="E969" s="14"/>
      <c r="F969" s="14"/>
      <c r="G969" s="14"/>
      <c r="H969" s="10"/>
      <c r="I969" s="17"/>
      <c r="J969" s="10"/>
      <c r="K969" s="46"/>
      <c r="L969" s="10"/>
      <c r="M969" s="20"/>
      <c r="N969" s="20"/>
      <c r="O969" s="20"/>
      <c r="P969" s="20"/>
    </row>
    <row r="970">
      <c r="A970" s="23"/>
      <c r="B970" s="21"/>
      <c r="C970" s="23"/>
      <c r="D970" s="24"/>
      <c r="E970" s="14"/>
      <c r="F970" s="14"/>
      <c r="G970" s="14"/>
      <c r="H970" s="23"/>
      <c r="I970" s="27"/>
      <c r="J970" s="23"/>
      <c r="K970" s="30"/>
      <c r="L970" s="23"/>
      <c r="M970" s="20"/>
      <c r="N970" s="20"/>
      <c r="O970" s="20"/>
      <c r="P970" s="20"/>
    </row>
    <row r="971">
      <c r="A971" s="10"/>
      <c r="B971" s="11"/>
      <c r="C971" s="10"/>
      <c r="D971" s="13"/>
      <c r="E971" s="14"/>
      <c r="F971" s="14"/>
      <c r="G971" s="14"/>
      <c r="H971" s="10"/>
      <c r="I971" s="17"/>
      <c r="J971" s="10"/>
      <c r="K971" s="46"/>
      <c r="L971" s="10"/>
      <c r="M971" s="20"/>
      <c r="N971" s="20"/>
      <c r="O971" s="20"/>
      <c r="P971" s="20"/>
    </row>
    <row r="972">
      <c r="A972" s="23"/>
      <c r="B972" s="21"/>
      <c r="C972" s="23"/>
      <c r="D972" s="24"/>
      <c r="E972" s="14"/>
      <c r="F972" s="14"/>
      <c r="G972" s="14"/>
      <c r="H972" s="23"/>
      <c r="I972" s="27"/>
      <c r="J972" s="23"/>
      <c r="K972" s="30"/>
      <c r="L972" s="23"/>
      <c r="M972" s="20"/>
      <c r="N972" s="20"/>
      <c r="O972" s="20"/>
      <c r="P972" s="20"/>
    </row>
    <row r="973">
      <c r="A973" s="10"/>
      <c r="B973" s="11"/>
      <c r="C973" s="10"/>
      <c r="D973" s="13"/>
      <c r="E973" s="14"/>
      <c r="F973" s="14"/>
      <c r="G973" s="14"/>
      <c r="H973" s="10"/>
      <c r="I973" s="17"/>
      <c r="J973" s="10"/>
      <c r="K973" s="46"/>
      <c r="L973" s="10"/>
      <c r="M973" s="20"/>
      <c r="N973" s="20"/>
      <c r="O973" s="20"/>
      <c r="P973" s="20"/>
    </row>
    <row r="974">
      <c r="A974" s="23"/>
      <c r="B974" s="21"/>
      <c r="C974" s="23"/>
      <c r="D974" s="24"/>
      <c r="E974" s="14"/>
      <c r="F974" s="14"/>
      <c r="G974" s="14"/>
      <c r="H974" s="23"/>
      <c r="I974" s="27"/>
      <c r="J974" s="23"/>
      <c r="K974" s="30"/>
      <c r="L974" s="23"/>
      <c r="M974" s="20"/>
      <c r="N974" s="20"/>
      <c r="O974" s="20"/>
      <c r="P974" s="20"/>
    </row>
    <row r="975">
      <c r="A975" s="10"/>
      <c r="B975" s="11"/>
      <c r="C975" s="10"/>
      <c r="D975" s="13"/>
      <c r="E975" s="14"/>
      <c r="F975" s="14"/>
      <c r="G975" s="14"/>
      <c r="H975" s="10"/>
      <c r="I975" s="17"/>
      <c r="J975" s="10"/>
      <c r="K975" s="46"/>
      <c r="L975" s="10"/>
      <c r="M975" s="20"/>
      <c r="N975" s="20"/>
      <c r="O975" s="20"/>
      <c r="P975" s="20"/>
    </row>
    <row r="976">
      <c r="A976" s="23"/>
      <c r="B976" s="21"/>
      <c r="C976" s="23"/>
      <c r="D976" s="24"/>
      <c r="E976" s="14"/>
      <c r="F976" s="14"/>
      <c r="G976" s="14"/>
      <c r="H976" s="23"/>
      <c r="I976" s="27"/>
      <c r="J976" s="23"/>
      <c r="K976" s="30"/>
      <c r="L976" s="23"/>
      <c r="M976" s="20"/>
      <c r="N976" s="20"/>
      <c r="O976" s="20"/>
      <c r="P976" s="20"/>
    </row>
    <row r="977">
      <c r="A977" s="10"/>
      <c r="B977" s="11"/>
      <c r="C977" s="10"/>
      <c r="D977" s="13"/>
      <c r="E977" s="14"/>
      <c r="F977" s="14"/>
      <c r="G977" s="14"/>
      <c r="H977" s="10"/>
      <c r="I977" s="17"/>
      <c r="J977" s="10"/>
      <c r="K977" s="46"/>
      <c r="L977" s="10"/>
      <c r="M977" s="20"/>
      <c r="N977" s="20"/>
      <c r="O977" s="20"/>
      <c r="P977" s="20"/>
    </row>
    <row r="978">
      <c r="A978" s="23"/>
      <c r="B978" s="21"/>
      <c r="C978" s="23"/>
      <c r="D978" s="24"/>
      <c r="E978" s="14"/>
      <c r="F978" s="14"/>
      <c r="G978" s="14"/>
      <c r="H978" s="23"/>
      <c r="I978" s="27"/>
      <c r="J978" s="23"/>
      <c r="K978" s="30"/>
      <c r="L978" s="23"/>
      <c r="M978" s="20"/>
      <c r="N978" s="20"/>
      <c r="O978" s="20"/>
      <c r="P978" s="20"/>
    </row>
    <row r="979">
      <c r="A979" s="10"/>
      <c r="B979" s="11"/>
      <c r="C979" s="10"/>
      <c r="D979" s="13"/>
      <c r="E979" s="14"/>
      <c r="F979" s="14"/>
      <c r="G979" s="14"/>
      <c r="H979" s="10"/>
      <c r="I979" s="17"/>
      <c r="J979" s="10"/>
      <c r="K979" s="46"/>
      <c r="L979" s="10"/>
      <c r="M979" s="20"/>
      <c r="N979" s="20"/>
      <c r="O979" s="20"/>
      <c r="P979" s="20"/>
    </row>
    <row r="980">
      <c r="A980" s="23"/>
      <c r="B980" s="21"/>
      <c r="C980" s="23"/>
      <c r="D980" s="24"/>
      <c r="E980" s="14"/>
      <c r="F980" s="14"/>
      <c r="G980" s="14"/>
      <c r="H980" s="23"/>
      <c r="I980" s="27"/>
      <c r="J980" s="23"/>
      <c r="K980" s="30"/>
      <c r="L980" s="23"/>
      <c r="M980" s="20"/>
      <c r="N980" s="20"/>
      <c r="O980" s="20"/>
      <c r="P980" s="20"/>
    </row>
    <row r="981">
      <c r="A981" s="10"/>
      <c r="B981" s="11"/>
      <c r="C981" s="10"/>
      <c r="D981" s="13"/>
      <c r="E981" s="14"/>
      <c r="F981" s="14"/>
      <c r="G981" s="14"/>
      <c r="H981" s="10"/>
      <c r="I981" s="17"/>
      <c r="J981" s="10"/>
      <c r="K981" s="46"/>
      <c r="L981" s="10"/>
      <c r="M981" s="20"/>
      <c r="N981" s="20"/>
      <c r="O981" s="20"/>
      <c r="P981" s="20"/>
    </row>
    <row r="982">
      <c r="A982" s="23"/>
      <c r="B982" s="21"/>
      <c r="C982" s="23"/>
      <c r="D982" s="24"/>
      <c r="E982" s="14"/>
      <c r="F982" s="14"/>
      <c r="G982" s="14"/>
      <c r="H982" s="23"/>
      <c r="I982" s="27"/>
      <c r="J982" s="23"/>
      <c r="K982" s="30"/>
      <c r="L982" s="23"/>
      <c r="M982" s="20"/>
      <c r="N982" s="20"/>
      <c r="O982" s="20"/>
      <c r="P982" s="20"/>
    </row>
    <row r="983">
      <c r="A983" s="10"/>
      <c r="B983" s="11"/>
      <c r="C983" s="10"/>
      <c r="D983" s="13"/>
      <c r="E983" s="14"/>
      <c r="F983" s="14"/>
      <c r="G983" s="14"/>
      <c r="H983" s="10"/>
      <c r="I983" s="17"/>
      <c r="J983" s="10"/>
      <c r="K983" s="46"/>
      <c r="L983" s="10"/>
      <c r="M983" s="20"/>
      <c r="N983" s="20"/>
      <c r="O983" s="20"/>
      <c r="P983" s="20"/>
    </row>
    <row r="984">
      <c r="A984" s="23"/>
      <c r="B984" s="21"/>
      <c r="C984" s="23"/>
      <c r="D984" s="24"/>
      <c r="E984" s="14"/>
      <c r="F984" s="14"/>
      <c r="G984" s="14"/>
      <c r="H984" s="23"/>
      <c r="I984" s="27"/>
      <c r="J984" s="23"/>
      <c r="K984" s="30"/>
      <c r="L984" s="23"/>
      <c r="M984" s="20"/>
      <c r="N984" s="20"/>
      <c r="O984" s="20"/>
      <c r="P984" s="20"/>
    </row>
    <row r="985">
      <c r="A985" s="10"/>
      <c r="B985" s="11"/>
      <c r="C985" s="10"/>
      <c r="D985" s="13"/>
      <c r="E985" s="14"/>
      <c r="F985" s="14"/>
      <c r="G985" s="14"/>
      <c r="H985" s="10"/>
      <c r="I985" s="17"/>
      <c r="J985" s="10"/>
      <c r="K985" s="46"/>
      <c r="L985" s="10"/>
      <c r="M985" s="20"/>
      <c r="N985" s="20"/>
      <c r="O985" s="20"/>
      <c r="P985" s="20"/>
    </row>
    <row r="986">
      <c r="A986" s="23"/>
      <c r="B986" s="21"/>
      <c r="C986" s="23"/>
      <c r="D986" s="24"/>
      <c r="E986" s="14"/>
      <c r="F986" s="14"/>
      <c r="G986" s="14"/>
      <c r="H986" s="23"/>
      <c r="I986" s="27"/>
      <c r="J986" s="23"/>
      <c r="K986" s="30"/>
      <c r="L986" s="23"/>
      <c r="M986" s="20"/>
      <c r="N986" s="20"/>
      <c r="O986" s="20"/>
      <c r="P986" s="20"/>
    </row>
    <row r="987">
      <c r="A987" s="10"/>
      <c r="B987" s="11"/>
      <c r="C987" s="10"/>
      <c r="D987" s="13"/>
      <c r="E987" s="14"/>
      <c r="F987" s="14"/>
      <c r="G987" s="14"/>
      <c r="H987" s="10"/>
      <c r="I987" s="17"/>
      <c r="J987" s="10"/>
      <c r="K987" s="46"/>
      <c r="L987" s="10"/>
      <c r="M987" s="20"/>
      <c r="N987" s="20"/>
      <c r="O987" s="20"/>
      <c r="P987" s="20"/>
    </row>
    <row r="988">
      <c r="A988" s="23"/>
      <c r="B988" s="21"/>
      <c r="C988" s="23"/>
      <c r="D988" s="24"/>
      <c r="E988" s="14"/>
      <c r="F988" s="14"/>
      <c r="G988" s="14"/>
      <c r="H988" s="23"/>
      <c r="I988" s="27"/>
      <c r="J988" s="23"/>
      <c r="K988" s="30"/>
      <c r="L988" s="23"/>
      <c r="M988" s="20"/>
      <c r="N988" s="20"/>
      <c r="O988" s="20"/>
      <c r="P988" s="20"/>
    </row>
    <row r="989">
      <c r="A989" s="10"/>
      <c r="B989" s="11"/>
      <c r="C989" s="10"/>
      <c r="D989" s="13"/>
      <c r="E989" s="14"/>
      <c r="F989" s="14"/>
      <c r="G989" s="14"/>
      <c r="H989" s="10"/>
      <c r="I989" s="17"/>
      <c r="J989" s="10"/>
      <c r="K989" s="46"/>
      <c r="L989" s="10"/>
      <c r="M989" s="20"/>
      <c r="N989" s="20"/>
      <c r="O989" s="20"/>
      <c r="P989" s="20"/>
    </row>
    <row r="990">
      <c r="A990" s="23"/>
      <c r="B990" s="21"/>
      <c r="C990" s="23"/>
      <c r="D990" s="24"/>
      <c r="E990" s="14"/>
      <c r="F990" s="14"/>
      <c r="G990" s="14"/>
      <c r="H990" s="23"/>
      <c r="I990" s="27"/>
      <c r="J990" s="23"/>
      <c r="K990" s="30"/>
      <c r="L990" s="23"/>
      <c r="M990" s="20"/>
      <c r="N990" s="20"/>
      <c r="O990" s="20"/>
      <c r="P990" s="20"/>
    </row>
    <row r="991">
      <c r="A991" s="10"/>
      <c r="B991" s="11"/>
      <c r="C991" s="10"/>
      <c r="D991" s="13"/>
      <c r="E991" s="14"/>
      <c r="F991" s="14"/>
      <c r="G991" s="14"/>
      <c r="H991" s="10"/>
      <c r="I991" s="17"/>
      <c r="J991" s="10"/>
      <c r="K991" s="46"/>
      <c r="L991" s="10"/>
      <c r="M991" s="20"/>
      <c r="N991" s="20"/>
      <c r="O991" s="20"/>
      <c r="P991" s="20"/>
    </row>
    <row r="992">
      <c r="A992" s="23"/>
      <c r="B992" s="21"/>
      <c r="C992" s="23"/>
      <c r="D992" s="24"/>
      <c r="E992" s="14"/>
      <c r="F992" s="14"/>
      <c r="G992" s="14"/>
      <c r="H992" s="23"/>
      <c r="I992" s="27"/>
      <c r="J992" s="23"/>
      <c r="K992" s="30"/>
      <c r="L992" s="23"/>
      <c r="M992" s="20"/>
      <c r="N992" s="20"/>
      <c r="O992" s="20"/>
      <c r="P992" s="20"/>
    </row>
    <row r="993">
      <c r="A993" s="10"/>
      <c r="B993" s="11"/>
      <c r="C993" s="10"/>
      <c r="D993" s="13"/>
      <c r="E993" s="14"/>
      <c r="F993" s="14"/>
      <c r="G993" s="14"/>
      <c r="H993" s="10"/>
      <c r="I993" s="17"/>
      <c r="J993" s="10"/>
      <c r="K993" s="46"/>
      <c r="L993" s="10"/>
      <c r="M993" s="20"/>
      <c r="N993" s="20"/>
      <c r="O993" s="20"/>
      <c r="P993" s="20"/>
    </row>
    <row r="994">
      <c r="A994" s="23"/>
      <c r="B994" s="21"/>
      <c r="C994" s="23"/>
      <c r="D994" s="24"/>
      <c r="E994" s="14"/>
      <c r="F994" s="14"/>
      <c r="G994" s="14"/>
      <c r="H994" s="23"/>
      <c r="I994" s="27"/>
      <c r="J994" s="23"/>
      <c r="K994" s="30"/>
      <c r="L994" s="23"/>
      <c r="M994" s="20"/>
      <c r="N994" s="20"/>
      <c r="O994" s="20"/>
      <c r="P994" s="20"/>
    </row>
    <row r="995">
      <c r="A995" s="10"/>
      <c r="B995" s="11"/>
      <c r="C995" s="10"/>
      <c r="D995" s="13"/>
      <c r="E995" s="14"/>
      <c r="F995" s="14"/>
      <c r="G995" s="14"/>
      <c r="H995" s="10"/>
      <c r="I995" s="17"/>
      <c r="J995" s="10"/>
      <c r="K995" s="46"/>
      <c r="L995" s="10"/>
      <c r="M995" s="20"/>
      <c r="N995" s="20"/>
      <c r="O995" s="20"/>
      <c r="P995" s="20"/>
    </row>
    <row r="996">
      <c r="A996" s="23"/>
      <c r="B996" s="21"/>
      <c r="C996" s="23"/>
      <c r="D996" s="24"/>
      <c r="E996" s="14"/>
      <c r="F996" s="14"/>
      <c r="G996" s="14"/>
      <c r="H996" s="23"/>
      <c r="I996" s="27"/>
      <c r="J996" s="23"/>
      <c r="K996" s="30"/>
      <c r="L996" s="23"/>
      <c r="M996" s="20"/>
      <c r="N996" s="20"/>
      <c r="O996" s="20"/>
      <c r="P996" s="20"/>
    </row>
    <row r="997">
      <c r="A997" s="10"/>
      <c r="B997" s="11"/>
      <c r="C997" s="10"/>
      <c r="D997" s="13"/>
      <c r="E997" s="14"/>
      <c r="F997" s="14"/>
      <c r="G997" s="14"/>
      <c r="H997" s="10"/>
      <c r="I997" s="17"/>
      <c r="J997" s="10"/>
      <c r="K997" s="46"/>
      <c r="L997" s="10"/>
      <c r="M997" s="20"/>
      <c r="N997" s="20"/>
      <c r="O997" s="20"/>
      <c r="P997" s="20"/>
    </row>
    <row r="998">
      <c r="A998" s="23"/>
      <c r="B998" s="21"/>
      <c r="C998" s="23"/>
      <c r="D998" s="24"/>
      <c r="E998" s="14"/>
      <c r="F998" s="14"/>
      <c r="G998" s="14"/>
      <c r="H998" s="23"/>
      <c r="I998" s="27"/>
      <c r="J998" s="23"/>
      <c r="K998" s="30"/>
      <c r="L998" s="23"/>
      <c r="M998" s="20"/>
      <c r="N998" s="20"/>
      <c r="O998" s="20"/>
      <c r="P998" s="20"/>
    </row>
    <row r="999">
      <c r="A999" s="10"/>
      <c r="B999" s="11"/>
      <c r="C999" s="10"/>
      <c r="D999" s="13"/>
      <c r="E999" s="14"/>
      <c r="F999" s="14"/>
      <c r="G999" s="14"/>
      <c r="H999" s="10"/>
      <c r="I999" s="17"/>
      <c r="J999" s="10"/>
      <c r="K999" s="46"/>
      <c r="L999" s="10"/>
      <c r="M999" s="20"/>
      <c r="N999" s="20"/>
      <c r="O999" s="20"/>
      <c r="P999" s="20"/>
    </row>
    <row r="1000">
      <c r="A1000" s="23"/>
      <c r="B1000" s="21"/>
      <c r="C1000" s="23"/>
      <c r="D1000" s="24"/>
      <c r="E1000" s="14"/>
      <c r="F1000" s="14"/>
      <c r="G1000" s="14"/>
      <c r="H1000" s="23"/>
      <c r="I1000" s="27"/>
      <c r="J1000" s="23"/>
      <c r="K1000" s="30"/>
      <c r="L1000" s="23"/>
      <c r="M1000" s="20"/>
      <c r="N1000" s="20"/>
      <c r="O1000" s="20"/>
      <c r="P1000" s="20"/>
    </row>
    <row r="1001">
      <c r="A1001" s="10"/>
      <c r="B1001" s="11"/>
      <c r="C1001" s="10"/>
      <c r="D1001" s="13"/>
      <c r="E1001" s="14"/>
      <c r="F1001" s="14"/>
      <c r="G1001" s="14"/>
      <c r="H1001" s="10"/>
      <c r="I1001" s="17"/>
      <c r="J1001" s="10"/>
      <c r="K1001" s="46"/>
      <c r="L1001" s="10"/>
      <c r="M1001" s="20"/>
      <c r="N1001" s="20"/>
      <c r="O1001" s="20"/>
      <c r="P1001" s="20"/>
    </row>
    <row r="1002">
      <c r="A1002" s="23"/>
      <c r="B1002" s="21"/>
      <c r="C1002" s="23"/>
      <c r="D1002" s="24"/>
      <c r="E1002" s="14"/>
      <c r="F1002" s="14"/>
      <c r="G1002" s="14"/>
      <c r="H1002" s="23"/>
      <c r="I1002" s="27"/>
      <c r="J1002" s="23"/>
      <c r="K1002" s="30"/>
      <c r="L1002" s="23"/>
      <c r="M1002" s="20"/>
      <c r="N1002" s="20"/>
      <c r="O1002" s="20"/>
      <c r="P1002" s="20"/>
    </row>
    <row r="1003">
      <c r="A1003" s="10"/>
      <c r="B1003" s="11"/>
      <c r="C1003" s="10"/>
      <c r="D1003" s="13"/>
      <c r="E1003" s="14"/>
      <c r="F1003" s="14"/>
      <c r="G1003" s="14"/>
      <c r="H1003" s="10"/>
      <c r="I1003" s="17"/>
      <c r="J1003" s="10"/>
      <c r="K1003" s="46"/>
      <c r="L1003" s="10"/>
      <c r="M1003" s="20"/>
      <c r="N1003" s="20"/>
      <c r="O1003" s="20"/>
      <c r="P1003" s="20"/>
    </row>
    <row r="1004">
      <c r="A1004" s="23"/>
      <c r="B1004" s="21"/>
      <c r="C1004" s="23"/>
      <c r="D1004" s="24"/>
      <c r="E1004" s="14"/>
      <c r="F1004" s="14"/>
      <c r="G1004" s="14"/>
      <c r="H1004" s="23"/>
      <c r="I1004" s="27"/>
      <c r="J1004" s="23"/>
      <c r="K1004" s="30"/>
      <c r="L1004" s="23"/>
      <c r="M1004" s="20"/>
      <c r="N1004" s="20"/>
      <c r="O1004" s="20"/>
      <c r="P1004" s="20"/>
    </row>
    <row r="1005">
      <c r="A1005" s="10"/>
      <c r="B1005" s="11"/>
      <c r="C1005" s="10"/>
      <c r="D1005" s="13"/>
      <c r="E1005" s="14"/>
      <c r="F1005" s="14"/>
      <c r="G1005" s="14"/>
      <c r="H1005" s="10"/>
      <c r="I1005" s="17"/>
      <c r="J1005" s="10"/>
      <c r="K1005" s="46"/>
      <c r="L1005" s="10"/>
      <c r="M1005" s="20"/>
      <c r="N1005" s="20"/>
      <c r="O1005" s="20"/>
      <c r="P1005" s="20"/>
    </row>
    <row r="1006">
      <c r="A1006" s="23"/>
      <c r="B1006" s="21"/>
      <c r="C1006" s="23"/>
      <c r="D1006" s="24"/>
      <c r="E1006" s="14"/>
      <c r="F1006" s="14"/>
      <c r="G1006" s="14"/>
      <c r="H1006" s="23"/>
      <c r="I1006" s="27"/>
      <c r="J1006" s="23"/>
      <c r="K1006" s="30"/>
      <c r="L1006" s="23"/>
      <c r="M1006" s="20"/>
      <c r="N1006" s="20"/>
      <c r="O1006" s="20"/>
      <c r="P1006" s="20"/>
    </row>
    <row r="1007">
      <c r="A1007" s="10"/>
      <c r="B1007" s="11"/>
      <c r="C1007" s="10"/>
      <c r="D1007" s="13"/>
      <c r="E1007" s="14"/>
      <c r="F1007" s="14"/>
      <c r="G1007" s="14"/>
      <c r="H1007" s="10"/>
      <c r="I1007" s="17"/>
      <c r="J1007" s="10"/>
      <c r="K1007" s="46"/>
      <c r="L1007" s="10"/>
      <c r="M1007" s="20"/>
      <c r="N1007" s="20"/>
      <c r="O1007" s="20"/>
      <c r="P1007" s="20"/>
    </row>
    <row r="1008">
      <c r="A1008" s="23"/>
      <c r="B1008" s="21"/>
      <c r="C1008" s="23"/>
      <c r="D1008" s="24"/>
      <c r="E1008" s="14"/>
      <c r="F1008" s="14"/>
      <c r="G1008" s="14"/>
      <c r="H1008" s="23"/>
      <c r="I1008" s="27"/>
      <c r="J1008" s="23"/>
      <c r="K1008" s="30"/>
      <c r="L1008" s="23"/>
      <c r="M1008" s="20"/>
      <c r="N1008" s="20"/>
      <c r="O1008" s="20"/>
      <c r="P1008" s="20"/>
    </row>
    <row r="1009">
      <c r="A1009" s="10"/>
      <c r="B1009" s="11"/>
      <c r="C1009" s="10"/>
      <c r="D1009" s="13"/>
      <c r="E1009" s="14"/>
      <c r="F1009" s="14"/>
      <c r="G1009" s="14"/>
      <c r="H1009" s="10"/>
      <c r="I1009" s="17"/>
      <c r="J1009" s="10"/>
      <c r="K1009" s="46"/>
      <c r="L1009" s="10"/>
      <c r="M1009" s="20"/>
      <c r="N1009" s="20"/>
      <c r="O1009" s="20"/>
      <c r="P1009" s="20"/>
    </row>
    <row r="1010">
      <c r="A1010" s="23"/>
      <c r="B1010" s="21"/>
      <c r="C1010" s="23"/>
      <c r="D1010" s="24"/>
      <c r="E1010" s="14"/>
      <c r="F1010" s="14"/>
      <c r="G1010" s="14"/>
      <c r="H1010" s="23"/>
      <c r="I1010" s="27"/>
      <c r="J1010" s="23"/>
      <c r="K1010" s="30"/>
      <c r="L1010" s="23"/>
      <c r="M1010" s="20"/>
      <c r="N1010" s="20"/>
      <c r="O1010" s="20"/>
      <c r="P1010" s="20"/>
    </row>
    <row r="1011">
      <c r="A1011" s="10"/>
      <c r="B1011" s="11"/>
      <c r="C1011" s="10"/>
      <c r="D1011" s="13"/>
      <c r="E1011" s="14"/>
      <c r="F1011" s="14"/>
      <c r="G1011" s="14"/>
      <c r="H1011" s="10"/>
      <c r="I1011" s="17"/>
      <c r="J1011" s="10"/>
      <c r="K1011" s="46"/>
      <c r="L1011" s="10"/>
      <c r="M1011" s="20"/>
      <c r="N1011" s="20"/>
      <c r="O1011" s="20"/>
      <c r="P1011" s="20"/>
    </row>
    <row r="1012">
      <c r="A1012" s="23"/>
      <c r="B1012" s="21"/>
      <c r="C1012" s="23"/>
      <c r="D1012" s="24"/>
      <c r="E1012" s="14"/>
      <c r="F1012" s="14"/>
      <c r="G1012" s="14"/>
      <c r="H1012" s="23"/>
      <c r="I1012" s="27"/>
      <c r="J1012" s="23"/>
      <c r="K1012" s="30"/>
      <c r="L1012" s="23"/>
      <c r="M1012" s="20"/>
      <c r="N1012" s="20"/>
      <c r="O1012" s="20"/>
      <c r="P1012" s="20"/>
    </row>
    <row r="1013">
      <c r="A1013" s="10"/>
      <c r="B1013" s="11"/>
      <c r="C1013" s="10"/>
      <c r="D1013" s="13"/>
      <c r="E1013" s="14"/>
      <c r="F1013" s="14"/>
      <c r="G1013" s="14"/>
      <c r="H1013" s="10"/>
      <c r="I1013" s="17"/>
      <c r="J1013" s="10"/>
      <c r="K1013" s="46"/>
      <c r="L1013" s="10"/>
      <c r="M1013" s="20"/>
      <c r="N1013" s="20"/>
      <c r="O1013" s="20"/>
      <c r="P1013" s="20"/>
    </row>
    <row r="1014">
      <c r="A1014" s="23"/>
      <c r="B1014" s="21"/>
      <c r="C1014" s="23"/>
      <c r="D1014" s="24"/>
      <c r="E1014" s="14"/>
      <c r="F1014" s="14"/>
      <c r="G1014" s="14"/>
      <c r="H1014" s="23"/>
      <c r="I1014" s="27"/>
      <c r="J1014" s="23"/>
      <c r="K1014" s="30"/>
      <c r="L1014" s="23"/>
      <c r="M1014" s="20"/>
      <c r="N1014" s="20"/>
      <c r="O1014" s="20"/>
      <c r="P1014" s="20"/>
    </row>
    <row r="1015">
      <c r="A1015" s="10"/>
      <c r="B1015" s="11"/>
      <c r="C1015" s="10"/>
      <c r="D1015" s="13"/>
      <c r="E1015" s="14"/>
      <c r="F1015" s="14"/>
      <c r="G1015" s="14"/>
      <c r="H1015" s="10"/>
      <c r="I1015" s="17"/>
      <c r="J1015" s="10"/>
      <c r="K1015" s="46"/>
      <c r="L1015" s="10"/>
      <c r="M1015" s="20"/>
      <c r="N1015" s="20"/>
      <c r="O1015" s="20"/>
      <c r="P1015" s="20"/>
    </row>
    <row r="1016">
      <c r="A1016" s="23"/>
      <c r="B1016" s="21"/>
      <c r="C1016" s="23"/>
      <c r="D1016" s="24"/>
      <c r="E1016" s="14"/>
      <c r="F1016" s="14"/>
      <c r="G1016" s="14"/>
      <c r="H1016" s="23"/>
      <c r="I1016" s="27"/>
      <c r="J1016" s="23"/>
      <c r="K1016" s="30"/>
      <c r="L1016" s="23"/>
      <c r="M1016" s="20"/>
      <c r="N1016" s="20"/>
      <c r="O1016" s="20"/>
      <c r="P1016" s="20"/>
    </row>
    <row r="1017">
      <c r="A1017" s="10"/>
      <c r="B1017" s="11"/>
      <c r="C1017" s="10"/>
      <c r="D1017" s="13"/>
      <c r="E1017" s="14"/>
      <c r="F1017" s="14"/>
      <c r="G1017" s="14"/>
      <c r="H1017" s="10"/>
      <c r="I1017" s="17"/>
      <c r="J1017" s="10"/>
      <c r="K1017" s="46"/>
      <c r="L1017" s="10"/>
      <c r="M1017" s="20"/>
      <c r="N1017" s="20"/>
      <c r="O1017" s="20"/>
      <c r="P1017" s="20"/>
    </row>
    <row r="1018">
      <c r="A1018" s="23"/>
      <c r="B1018" s="21"/>
      <c r="C1018" s="23"/>
      <c r="D1018" s="24"/>
      <c r="E1018" s="14"/>
      <c r="F1018" s="14"/>
      <c r="G1018" s="14"/>
      <c r="H1018" s="23"/>
      <c r="I1018" s="27"/>
      <c r="J1018" s="23"/>
      <c r="K1018" s="30"/>
      <c r="L1018" s="23"/>
      <c r="M1018" s="20"/>
      <c r="N1018" s="20"/>
      <c r="O1018" s="20"/>
      <c r="P1018" s="20"/>
    </row>
    <row r="1019">
      <c r="A1019" s="10"/>
      <c r="B1019" s="11"/>
      <c r="C1019" s="10"/>
      <c r="D1019" s="13"/>
      <c r="E1019" s="14"/>
      <c r="F1019" s="14"/>
      <c r="G1019" s="14"/>
      <c r="H1019" s="10"/>
      <c r="I1019" s="17"/>
      <c r="J1019" s="10"/>
      <c r="K1019" s="46"/>
      <c r="L1019" s="10"/>
      <c r="M1019" s="20"/>
      <c r="N1019" s="20"/>
      <c r="O1019" s="20"/>
      <c r="P1019" s="20"/>
    </row>
    <row r="1020">
      <c r="A1020" s="23"/>
      <c r="B1020" s="21"/>
      <c r="C1020" s="23"/>
      <c r="D1020" s="24"/>
      <c r="E1020" s="14"/>
      <c r="F1020" s="14"/>
      <c r="G1020" s="14"/>
      <c r="H1020" s="23"/>
      <c r="I1020" s="27"/>
      <c r="J1020" s="23"/>
      <c r="K1020" s="30"/>
      <c r="L1020" s="23"/>
      <c r="M1020" s="20"/>
      <c r="N1020" s="20"/>
      <c r="O1020" s="20"/>
      <c r="P1020" s="20"/>
    </row>
    <row r="1021">
      <c r="A1021" s="10"/>
      <c r="B1021" s="11"/>
      <c r="C1021" s="10"/>
      <c r="D1021" s="13"/>
      <c r="E1021" s="14"/>
      <c r="F1021" s="14"/>
      <c r="G1021" s="14"/>
      <c r="H1021" s="10"/>
      <c r="I1021" s="17"/>
      <c r="J1021" s="10"/>
      <c r="K1021" s="46"/>
      <c r="L1021" s="10"/>
      <c r="M1021" s="20"/>
      <c r="N1021" s="20"/>
      <c r="O1021" s="20"/>
      <c r="P1021" s="20"/>
    </row>
    <row r="1022">
      <c r="A1022" s="23"/>
      <c r="B1022" s="21"/>
      <c r="C1022" s="23"/>
      <c r="D1022" s="24"/>
      <c r="E1022" s="14"/>
      <c r="F1022" s="14"/>
      <c r="G1022" s="14"/>
      <c r="H1022" s="23"/>
      <c r="I1022" s="27"/>
      <c r="J1022" s="23"/>
      <c r="K1022" s="30"/>
      <c r="L1022" s="23"/>
      <c r="M1022" s="20"/>
      <c r="N1022" s="20"/>
      <c r="O1022" s="20"/>
      <c r="P1022" s="20"/>
    </row>
    <row r="1023">
      <c r="A1023" s="10"/>
      <c r="B1023" s="11"/>
      <c r="C1023" s="10"/>
      <c r="D1023" s="13"/>
      <c r="E1023" s="14"/>
      <c r="F1023" s="14"/>
      <c r="G1023" s="14"/>
      <c r="H1023" s="10"/>
      <c r="I1023" s="17"/>
      <c r="J1023" s="10"/>
      <c r="K1023" s="46"/>
      <c r="L1023" s="10"/>
      <c r="M1023" s="20"/>
      <c r="N1023" s="20"/>
      <c r="O1023" s="20"/>
      <c r="P1023" s="20"/>
    </row>
    <row r="1024">
      <c r="A1024" s="23"/>
      <c r="B1024" s="21"/>
      <c r="C1024" s="23"/>
      <c r="D1024" s="24"/>
      <c r="E1024" s="14"/>
      <c r="F1024" s="14"/>
      <c r="G1024" s="14"/>
      <c r="H1024" s="23"/>
      <c r="I1024" s="27"/>
      <c r="J1024" s="23"/>
      <c r="K1024" s="30"/>
      <c r="L1024" s="23"/>
      <c r="M1024" s="20"/>
      <c r="N1024" s="20"/>
      <c r="O1024" s="20"/>
      <c r="P1024" s="20"/>
    </row>
    <row r="1025">
      <c r="A1025" s="10"/>
      <c r="B1025" s="11"/>
      <c r="C1025" s="10"/>
      <c r="D1025" s="13"/>
      <c r="E1025" s="14"/>
      <c r="F1025" s="14"/>
      <c r="G1025" s="14"/>
      <c r="H1025" s="10"/>
      <c r="I1025" s="17"/>
      <c r="J1025" s="10"/>
      <c r="K1025" s="46"/>
      <c r="L1025" s="10"/>
      <c r="M1025" s="20"/>
      <c r="N1025" s="20"/>
      <c r="O1025" s="20"/>
      <c r="P1025" s="20"/>
    </row>
    <row r="1026">
      <c r="A1026" s="23"/>
      <c r="B1026" s="21"/>
      <c r="C1026" s="23"/>
      <c r="D1026" s="24"/>
      <c r="E1026" s="14"/>
      <c r="F1026" s="14"/>
      <c r="G1026" s="14"/>
      <c r="H1026" s="23"/>
      <c r="I1026" s="27"/>
      <c r="J1026" s="23"/>
      <c r="K1026" s="30"/>
      <c r="L1026" s="23"/>
      <c r="M1026" s="20"/>
      <c r="N1026" s="20"/>
      <c r="O1026" s="20"/>
      <c r="P1026" s="20"/>
    </row>
    <row r="1027">
      <c r="A1027" s="10"/>
      <c r="B1027" s="11"/>
      <c r="C1027" s="10"/>
      <c r="D1027" s="13"/>
      <c r="E1027" s="14"/>
      <c r="F1027" s="14"/>
      <c r="G1027" s="14"/>
      <c r="H1027" s="10"/>
      <c r="I1027" s="17"/>
      <c r="J1027" s="10"/>
      <c r="K1027" s="46"/>
      <c r="L1027" s="10"/>
      <c r="M1027" s="20"/>
      <c r="N1027" s="20"/>
      <c r="O1027" s="20"/>
      <c r="P1027" s="20"/>
    </row>
    <row r="1028">
      <c r="A1028" s="23"/>
      <c r="B1028" s="21"/>
      <c r="C1028" s="23"/>
      <c r="D1028" s="24"/>
      <c r="E1028" s="14"/>
      <c r="F1028" s="14"/>
      <c r="G1028" s="14"/>
      <c r="H1028" s="23"/>
      <c r="I1028" s="27"/>
      <c r="J1028" s="23"/>
      <c r="K1028" s="30"/>
      <c r="L1028" s="23"/>
      <c r="M1028" s="20"/>
      <c r="N1028" s="20"/>
      <c r="O1028" s="20"/>
      <c r="P1028" s="20"/>
    </row>
    <row r="1029">
      <c r="A1029" s="10"/>
      <c r="B1029" s="11"/>
      <c r="C1029" s="10"/>
      <c r="D1029" s="13"/>
      <c r="E1029" s="14"/>
      <c r="F1029" s="14"/>
      <c r="G1029" s="14"/>
      <c r="H1029" s="10"/>
      <c r="I1029" s="17"/>
      <c r="J1029" s="10"/>
      <c r="K1029" s="46"/>
      <c r="L1029" s="10"/>
      <c r="M1029" s="20"/>
      <c r="N1029" s="20"/>
      <c r="O1029" s="20"/>
      <c r="P1029" s="20"/>
    </row>
    <row r="1030">
      <c r="A1030" s="23"/>
      <c r="B1030" s="21"/>
      <c r="C1030" s="23"/>
      <c r="D1030" s="24"/>
      <c r="E1030" s="14"/>
      <c r="F1030" s="14"/>
      <c r="G1030" s="14"/>
      <c r="H1030" s="23"/>
      <c r="I1030" s="27"/>
      <c r="J1030" s="23"/>
      <c r="K1030" s="30"/>
      <c r="L1030" s="23"/>
      <c r="M1030" s="20"/>
      <c r="N1030" s="20"/>
      <c r="O1030" s="20"/>
      <c r="P1030" s="20"/>
    </row>
    <row r="1031">
      <c r="A1031" s="10"/>
      <c r="B1031" s="11"/>
      <c r="C1031" s="10"/>
      <c r="D1031" s="13"/>
      <c r="E1031" s="14"/>
      <c r="F1031" s="14"/>
      <c r="G1031" s="14"/>
      <c r="H1031" s="10"/>
      <c r="I1031" s="17"/>
      <c r="J1031" s="10"/>
      <c r="K1031" s="46"/>
      <c r="L1031" s="10"/>
      <c r="M1031" s="20"/>
      <c r="N1031" s="20"/>
      <c r="O1031" s="20"/>
      <c r="P1031" s="20"/>
    </row>
    <row r="1032">
      <c r="A1032" s="23"/>
      <c r="B1032" s="21"/>
      <c r="C1032" s="23"/>
      <c r="D1032" s="24"/>
      <c r="E1032" s="14"/>
      <c r="F1032" s="14"/>
      <c r="G1032" s="14"/>
      <c r="H1032" s="23"/>
      <c r="I1032" s="27"/>
      <c r="J1032" s="23"/>
      <c r="K1032" s="30"/>
      <c r="L1032" s="23"/>
      <c r="M1032" s="20"/>
      <c r="N1032" s="20"/>
      <c r="O1032" s="20"/>
      <c r="P1032" s="20"/>
    </row>
    <row r="1033">
      <c r="A1033" s="10"/>
      <c r="B1033" s="11"/>
      <c r="C1033" s="10"/>
      <c r="D1033" s="13"/>
      <c r="E1033" s="14"/>
      <c r="F1033" s="14"/>
      <c r="G1033" s="14"/>
      <c r="H1033" s="10"/>
      <c r="I1033" s="17"/>
      <c r="J1033" s="10"/>
      <c r="K1033" s="46"/>
      <c r="L1033" s="10"/>
      <c r="M1033" s="20"/>
      <c r="N1033" s="20"/>
      <c r="O1033" s="20"/>
      <c r="P1033" s="20"/>
    </row>
    <row r="1034">
      <c r="A1034" s="23"/>
      <c r="B1034" s="21"/>
      <c r="C1034" s="23"/>
      <c r="D1034" s="24"/>
      <c r="E1034" s="14"/>
      <c r="F1034" s="14"/>
      <c r="G1034" s="14"/>
      <c r="H1034" s="23"/>
      <c r="I1034" s="27"/>
      <c r="J1034" s="23"/>
      <c r="K1034" s="30"/>
      <c r="L1034" s="23"/>
      <c r="M1034" s="20"/>
      <c r="N1034" s="20"/>
      <c r="O1034" s="20"/>
      <c r="P1034" s="20"/>
    </row>
    <row r="1035">
      <c r="A1035" s="10"/>
      <c r="B1035" s="11"/>
      <c r="C1035" s="10"/>
      <c r="D1035" s="13"/>
      <c r="E1035" s="14"/>
      <c r="F1035" s="14"/>
      <c r="G1035" s="14"/>
      <c r="H1035" s="10"/>
      <c r="I1035" s="17"/>
      <c r="J1035" s="10"/>
      <c r="K1035" s="46"/>
      <c r="L1035" s="10"/>
      <c r="M1035" s="20"/>
      <c r="N1035" s="20"/>
      <c r="O1035" s="20"/>
      <c r="P1035" s="20"/>
    </row>
    <row r="1036">
      <c r="A1036" s="23"/>
      <c r="B1036" s="21"/>
      <c r="C1036" s="23"/>
      <c r="D1036" s="24"/>
      <c r="E1036" s="14"/>
      <c r="F1036" s="14"/>
      <c r="G1036" s="14"/>
      <c r="H1036" s="23"/>
      <c r="I1036" s="27"/>
      <c r="J1036" s="23"/>
      <c r="K1036" s="30"/>
      <c r="L1036" s="23"/>
      <c r="M1036" s="20"/>
      <c r="N1036" s="20"/>
      <c r="O1036" s="20"/>
      <c r="P1036" s="20"/>
    </row>
    <row r="1037">
      <c r="A1037" s="10"/>
      <c r="B1037" s="11"/>
      <c r="C1037" s="10"/>
      <c r="D1037" s="13"/>
      <c r="E1037" s="14"/>
      <c r="F1037" s="14"/>
      <c r="G1037" s="14"/>
      <c r="H1037" s="10"/>
      <c r="I1037" s="17"/>
      <c r="J1037" s="10"/>
      <c r="K1037" s="46"/>
      <c r="L1037" s="10"/>
      <c r="M1037" s="20"/>
      <c r="N1037" s="20"/>
      <c r="O1037" s="20"/>
      <c r="P1037" s="20"/>
    </row>
    <row r="1038">
      <c r="A1038" s="23"/>
      <c r="B1038" s="21"/>
      <c r="C1038" s="23"/>
      <c r="D1038" s="24"/>
      <c r="E1038" s="14"/>
      <c r="F1038" s="14"/>
      <c r="G1038" s="14"/>
      <c r="H1038" s="23"/>
      <c r="I1038" s="27"/>
      <c r="J1038" s="23"/>
      <c r="K1038" s="30"/>
      <c r="L1038" s="23"/>
      <c r="M1038" s="20"/>
      <c r="N1038" s="20"/>
      <c r="O1038" s="20"/>
      <c r="P1038" s="20"/>
    </row>
    <row r="1039">
      <c r="A1039" s="10"/>
      <c r="B1039" s="11"/>
      <c r="C1039" s="10"/>
      <c r="D1039" s="13"/>
      <c r="E1039" s="14"/>
      <c r="F1039" s="14"/>
      <c r="G1039" s="14"/>
      <c r="H1039" s="10"/>
      <c r="I1039" s="17"/>
      <c r="J1039" s="10"/>
      <c r="K1039" s="46"/>
      <c r="L1039" s="10"/>
      <c r="M1039" s="20"/>
      <c r="N1039" s="20"/>
      <c r="O1039" s="20"/>
      <c r="P1039" s="20"/>
    </row>
    <row r="1040">
      <c r="A1040" s="23"/>
      <c r="B1040" s="21"/>
      <c r="C1040" s="23"/>
      <c r="D1040" s="24"/>
      <c r="E1040" s="14"/>
      <c r="F1040" s="14"/>
      <c r="G1040" s="14"/>
      <c r="H1040" s="23"/>
      <c r="I1040" s="27"/>
      <c r="J1040" s="23"/>
      <c r="K1040" s="30"/>
      <c r="L1040" s="23"/>
      <c r="M1040" s="20"/>
      <c r="N1040" s="20"/>
      <c r="O1040" s="20"/>
      <c r="P1040" s="20"/>
    </row>
    <row r="1041">
      <c r="A1041" s="10"/>
      <c r="B1041" s="11"/>
      <c r="C1041" s="10"/>
      <c r="D1041" s="13"/>
      <c r="E1041" s="14"/>
      <c r="F1041" s="14"/>
      <c r="G1041" s="14"/>
      <c r="H1041" s="10"/>
      <c r="I1041" s="17"/>
      <c r="J1041" s="10"/>
      <c r="K1041" s="46"/>
      <c r="L1041" s="10"/>
      <c r="M1041" s="20"/>
      <c r="N1041" s="20"/>
      <c r="O1041" s="20"/>
      <c r="P1041" s="20"/>
    </row>
    <row r="1042">
      <c r="A1042" s="23"/>
      <c r="B1042" s="21"/>
      <c r="C1042" s="23"/>
      <c r="D1042" s="24"/>
      <c r="E1042" s="14"/>
      <c r="F1042" s="14"/>
      <c r="G1042" s="14"/>
      <c r="H1042" s="23"/>
      <c r="I1042" s="27"/>
      <c r="J1042" s="23"/>
      <c r="K1042" s="30"/>
      <c r="L1042" s="23"/>
      <c r="M1042" s="20"/>
      <c r="N1042" s="20"/>
      <c r="O1042" s="20"/>
      <c r="P1042" s="20"/>
    </row>
    <row r="1043">
      <c r="A1043" s="10"/>
      <c r="B1043" s="11"/>
      <c r="C1043" s="10"/>
      <c r="D1043" s="13"/>
      <c r="E1043" s="14"/>
      <c r="F1043" s="14"/>
      <c r="G1043" s="14"/>
      <c r="H1043" s="10"/>
      <c r="I1043" s="17"/>
      <c r="J1043" s="10"/>
      <c r="K1043" s="46"/>
      <c r="L1043" s="10"/>
      <c r="M1043" s="20"/>
      <c r="N1043" s="20"/>
      <c r="O1043" s="20"/>
      <c r="P1043" s="20"/>
    </row>
    <row r="1044">
      <c r="A1044" s="23"/>
      <c r="B1044" s="21"/>
      <c r="C1044" s="23"/>
      <c r="D1044" s="24"/>
      <c r="E1044" s="14"/>
      <c r="F1044" s="14"/>
      <c r="G1044" s="14"/>
      <c r="H1044" s="23"/>
      <c r="I1044" s="27"/>
      <c r="J1044" s="23"/>
      <c r="K1044" s="30"/>
      <c r="L1044" s="23"/>
      <c r="M1044" s="20"/>
      <c r="N1044" s="20"/>
      <c r="O1044" s="20"/>
      <c r="P1044" s="20"/>
    </row>
    <row r="1045">
      <c r="A1045" s="10"/>
      <c r="B1045" s="11"/>
      <c r="C1045" s="10"/>
      <c r="D1045" s="13"/>
      <c r="E1045" s="14"/>
      <c r="F1045" s="14"/>
      <c r="G1045" s="14"/>
      <c r="H1045" s="10"/>
      <c r="I1045" s="17"/>
      <c r="J1045" s="10"/>
      <c r="K1045" s="46"/>
      <c r="L1045" s="10"/>
      <c r="M1045" s="20"/>
      <c r="N1045" s="20"/>
      <c r="O1045" s="20"/>
      <c r="P1045" s="20"/>
    </row>
    <row r="1046">
      <c r="A1046" s="23"/>
      <c r="B1046" s="21"/>
      <c r="C1046" s="23"/>
      <c r="D1046" s="24"/>
      <c r="E1046" s="14"/>
      <c r="F1046" s="14"/>
      <c r="G1046" s="14"/>
      <c r="H1046" s="23"/>
      <c r="I1046" s="27"/>
      <c r="J1046" s="23"/>
      <c r="K1046" s="30"/>
      <c r="L1046" s="23"/>
      <c r="M1046" s="20"/>
      <c r="N1046" s="20"/>
      <c r="O1046" s="20"/>
      <c r="P1046" s="20"/>
    </row>
    <row r="1047">
      <c r="A1047" s="10"/>
      <c r="B1047" s="11"/>
      <c r="C1047" s="10"/>
      <c r="D1047" s="13"/>
      <c r="E1047" s="14"/>
      <c r="F1047" s="14"/>
      <c r="G1047" s="14"/>
      <c r="H1047" s="10"/>
      <c r="I1047" s="17"/>
      <c r="J1047" s="10"/>
      <c r="K1047" s="46"/>
      <c r="L1047" s="10"/>
      <c r="M1047" s="20"/>
      <c r="N1047" s="20"/>
      <c r="O1047" s="20"/>
      <c r="P1047" s="20"/>
    </row>
    <row r="1048">
      <c r="A1048" s="23"/>
      <c r="B1048" s="21"/>
      <c r="C1048" s="23"/>
      <c r="D1048" s="24"/>
      <c r="E1048" s="14"/>
      <c r="F1048" s="14"/>
      <c r="G1048" s="14"/>
      <c r="H1048" s="23"/>
      <c r="I1048" s="27"/>
      <c r="J1048" s="23"/>
      <c r="K1048" s="30"/>
      <c r="L1048" s="23"/>
      <c r="M1048" s="20"/>
      <c r="N1048" s="20"/>
      <c r="O1048" s="20"/>
      <c r="P1048" s="20"/>
    </row>
    <row r="1049">
      <c r="A1049" s="10"/>
      <c r="B1049" s="11"/>
      <c r="C1049" s="10"/>
      <c r="D1049" s="13"/>
      <c r="E1049" s="14"/>
      <c r="F1049" s="14"/>
      <c r="G1049" s="14"/>
      <c r="H1049" s="10"/>
      <c r="I1049" s="17"/>
      <c r="J1049" s="10"/>
      <c r="K1049" s="46"/>
      <c r="L1049" s="10"/>
      <c r="M1049" s="20"/>
      <c r="N1049" s="20"/>
      <c r="O1049" s="20"/>
      <c r="P1049" s="20"/>
    </row>
    <row r="1050">
      <c r="A1050" s="23"/>
      <c r="B1050" s="21"/>
      <c r="C1050" s="23"/>
      <c r="D1050" s="24"/>
      <c r="E1050" s="14"/>
      <c r="F1050" s="14"/>
      <c r="G1050" s="14"/>
      <c r="H1050" s="23"/>
      <c r="I1050" s="27"/>
      <c r="J1050" s="23"/>
      <c r="K1050" s="30"/>
      <c r="L1050" s="23"/>
      <c r="M1050" s="20"/>
      <c r="N1050" s="20"/>
      <c r="O1050" s="20"/>
      <c r="P1050" s="20"/>
    </row>
    <row r="1051">
      <c r="A1051" s="10"/>
      <c r="B1051" s="11"/>
      <c r="C1051" s="10"/>
      <c r="D1051" s="13"/>
      <c r="E1051" s="14"/>
      <c r="F1051" s="14"/>
      <c r="G1051" s="14"/>
      <c r="H1051" s="10"/>
      <c r="I1051" s="17"/>
      <c r="J1051" s="10"/>
      <c r="K1051" s="46"/>
      <c r="L1051" s="10"/>
      <c r="M1051" s="20"/>
      <c r="N1051" s="20"/>
      <c r="O1051" s="20"/>
      <c r="P1051" s="20"/>
    </row>
    <row r="1052">
      <c r="A1052" s="23"/>
      <c r="B1052" s="21"/>
      <c r="C1052" s="23"/>
      <c r="D1052" s="24"/>
      <c r="E1052" s="14"/>
      <c r="F1052" s="14"/>
      <c r="G1052" s="14"/>
      <c r="H1052" s="23"/>
      <c r="I1052" s="27"/>
      <c r="J1052" s="23"/>
      <c r="K1052" s="30"/>
      <c r="L1052" s="23"/>
      <c r="M1052" s="20"/>
      <c r="N1052" s="20"/>
      <c r="O1052" s="20"/>
      <c r="P1052" s="20"/>
    </row>
    <row r="1053">
      <c r="A1053" s="10"/>
      <c r="B1053" s="11"/>
      <c r="C1053" s="10"/>
      <c r="D1053" s="13"/>
      <c r="E1053" s="14"/>
      <c r="F1053" s="14"/>
      <c r="G1053" s="14"/>
      <c r="H1053" s="10"/>
      <c r="I1053" s="17"/>
      <c r="J1053" s="10"/>
      <c r="K1053" s="46"/>
      <c r="L1053" s="10"/>
      <c r="M1053" s="20"/>
      <c r="N1053" s="20"/>
      <c r="O1053" s="20"/>
      <c r="P1053" s="20"/>
    </row>
    <row r="1054">
      <c r="A1054" s="23"/>
      <c r="B1054" s="21"/>
      <c r="C1054" s="23"/>
      <c r="D1054" s="24"/>
      <c r="E1054" s="14"/>
      <c r="F1054" s="14"/>
      <c r="G1054" s="14"/>
      <c r="H1054" s="23"/>
      <c r="I1054" s="27"/>
      <c r="J1054" s="23"/>
      <c r="K1054" s="30"/>
      <c r="L1054" s="23"/>
      <c r="M1054" s="20"/>
      <c r="N1054" s="20"/>
      <c r="O1054" s="20"/>
      <c r="P1054" s="20"/>
    </row>
    <row r="1055">
      <c r="A1055" s="10"/>
      <c r="B1055" s="11"/>
      <c r="C1055" s="10"/>
      <c r="D1055" s="13"/>
      <c r="E1055" s="14"/>
      <c r="F1055" s="14"/>
      <c r="G1055" s="14"/>
      <c r="H1055" s="10"/>
      <c r="I1055" s="17"/>
      <c r="J1055" s="10"/>
      <c r="K1055" s="46"/>
      <c r="L1055" s="10"/>
      <c r="M1055" s="20"/>
      <c r="N1055" s="20"/>
      <c r="O1055" s="20"/>
      <c r="P1055" s="20"/>
    </row>
    <row r="1056">
      <c r="A1056" s="23"/>
      <c r="B1056" s="21"/>
      <c r="C1056" s="23"/>
      <c r="D1056" s="24"/>
      <c r="E1056" s="14"/>
      <c r="F1056" s="14"/>
      <c r="G1056" s="14"/>
      <c r="H1056" s="23"/>
      <c r="I1056" s="27"/>
      <c r="J1056" s="23"/>
      <c r="K1056" s="30"/>
      <c r="L1056" s="23"/>
      <c r="M1056" s="20"/>
      <c r="N1056" s="20"/>
      <c r="O1056" s="20"/>
      <c r="P1056" s="20"/>
    </row>
    <row r="1057">
      <c r="A1057" s="10"/>
      <c r="B1057" s="11"/>
      <c r="C1057" s="10"/>
      <c r="D1057" s="13"/>
      <c r="E1057" s="14"/>
      <c r="F1057" s="14"/>
      <c r="G1057" s="14"/>
      <c r="H1057" s="10"/>
      <c r="I1057" s="17"/>
      <c r="J1057" s="10"/>
      <c r="K1057" s="46"/>
      <c r="L1057" s="10"/>
      <c r="M1057" s="20"/>
      <c r="N1057" s="20"/>
      <c r="O1057" s="20"/>
      <c r="P1057" s="20"/>
    </row>
    <row r="1058">
      <c r="A1058" s="23"/>
      <c r="B1058" s="21"/>
      <c r="C1058" s="23"/>
      <c r="D1058" s="24"/>
      <c r="E1058" s="14"/>
      <c r="F1058" s="14"/>
      <c r="G1058" s="14"/>
      <c r="H1058" s="23"/>
      <c r="I1058" s="27"/>
      <c r="J1058" s="23"/>
      <c r="K1058" s="30"/>
      <c r="L1058" s="23"/>
      <c r="M1058" s="20"/>
      <c r="N1058" s="20"/>
      <c r="O1058" s="20"/>
      <c r="P1058" s="20"/>
    </row>
    <row r="1059">
      <c r="A1059" s="10"/>
      <c r="B1059" s="11"/>
      <c r="C1059" s="10"/>
      <c r="D1059" s="13"/>
      <c r="E1059" s="14"/>
      <c r="F1059" s="14"/>
      <c r="G1059" s="14"/>
      <c r="H1059" s="10"/>
      <c r="I1059" s="17"/>
      <c r="J1059" s="10"/>
      <c r="K1059" s="46"/>
      <c r="L1059" s="10"/>
      <c r="M1059" s="20"/>
      <c r="N1059" s="20"/>
      <c r="O1059" s="20"/>
      <c r="P1059" s="20"/>
    </row>
    <row r="1060">
      <c r="A1060" s="23"/>
      <c r="B1060" s="21"/>
      <c r="C1060" s="23"/>
      <c r="D1060" s="24"/>
      <c r="E1060" s="14"/>
      <c r="F1060" s="14"/>
      <c r="G1060" s="14"/>
      <c r="H1060" s="23"/>
      <c r="I1060" s="27"/>
      <c r="J1060" s="23"/>
      <c r="K1060" s="30"/>
      <c r="L1060" s="23"/>
      <c r="M1060" s="20"/>
      <c r="N1060" s="20"/>
      <c r="O1060" s="20"/>
      <c r="P1060" s="20"/>
    </row>
    <row r="1061">
      <c r="A1061" s="10"/>
      <c r="B1061" s="11"/>
      <c r="C1061" s="10"/>
      <c r="D1061" s="13"/>
      <c r="E1061" s="14"/>
      <c r="F1061" s="14"/>
      <c r="G1061" s="14"/>
      <c r="H1061" s="10"/>
      <c r="I1061" s="17"/>
      <c r="J1061" s="10"/>
      <c r="K1061" s="46"/>
      <c r="L1061" s="10"/>
      <c r="M1061" s="20"/>
      <c r="N1061" s="20"/>
      <c r="O1061" s="20"/>
      <c r="P1061" s="20"/>
    </row>
    <row r="1062">
      <c r="A1062" s="23"/>
      <c r="B1062" s="21"/>
      <c r="C1062" s="23"/>
      <c r="D1062" s="24"/>
      <c r="E1062" s="14"/>
      <c r="F1062" s="14"/>
      <c r="G1062" s="14"/>
      <c r="H1062" s="23"/>
      <c r="I1062" s="27"/>
      <c r="J1062" s="23"/>
      <c r="K1062" s="30"/>
      <c r="L1062" s="23"/>
      <c r="M1062" s="20"/>
      <c r="N1062" s="20"/>
      <c r="O1062" s="20"/>
      <c r="P1062" s="20"/>
    </row>
    <row r="1063">
      <c r="A1063" s="10"/>
      <c r="B1063" s="11"/>
      <c r="C1063" s="10"/>
      <c r="D1063" s="13"/>
      <c r="E1063" s="14"/>
      <c r="F1063" s="14"/>
      <c r="G1063" s="14"/>
      <c r="H1063" s="10"/>
      <c r="I1063" s="17"/>
      <c r="J1063" s="10"/>
      <c r="K1063" s="46"/>
      <c r="L1063" s="10"/>
      <c r="M1063" s="20"/>
      <c r="N1063" s="20"/>
      <c r="O1063" s="20"/>
      <c r="P1063" s="20"/>
    </row>
    <row r="1064">
      <c r="A1064" s="23"/>
      <c r="B1064" s="21"/>
      <c r="C1064" s="23"/>
      <c r="D1064" s="24"/>
      <c r="E1064" s="14"/>
      <c r="F1064" s="14"/>
      <c r="G1064" s="14"/>
      <c r="H1064" s="23"/>
      <c r="I1064" s="27"/>
      <c r="J1064" s="23"/>
      <c r="K1064" s="30"/>
      <c r="L1064" s="23"/>
      <c r="M1064" s="20"/>
      <c r="N1064" s="20"/>
      <c r="O1064" s="20"/>
      <c r="P1064" s="20"/>
    </row>
    <row r="1065">
      <c r="A1065" s="10"/>
      <c r="B1065" s="11"/>
      <c r="C1065" s="10"/>
      <c r="D1065" s="13"/>
      <c r="E1065" s="14"/>
      <c r="F1065" s="14"/>
      <c r="G1065" s="14"/>
      <c r="H1065" s="10"/>
      <c r="I1065" s="17"/>
      <c r="J1065" s="10"/>
      <c r="K1065" s="46"/>
      <c r="L1065" s="10"/>
      <c r="M1065" s="20"/>
      <c r="N1065" s="20"/>
      <c r="O1065" s="20"/>
      <c r="P1065" s="20"/>
    </row>
    <row r="1066">
      <c r="A1066" s="23"/>
      <c r="B1066" s="21"/>
      <c r="C1066" s="23"/>
      <c r="D1066" s="24"/>
      <c r="E1066" s="14"/>
      <c r="F1066" s="14"/>
      <c r="G1066" s="14"/>
      <c r="H1066" s="23"/>
      <c r="I1066" s="27"/>
      <c r="J1066" s="23"/>
      <c r="K1066" s="30"/>
      <c r="L1066" s="23"/>
      <c r="M1066" s="20"/>
      <c r="N1066" s="20"/>
      <c r="O1066" s="20"/>
      <c r="P1066" s="20"/>
    </row>
    <row r="1067">
      <c r="A1067" s="10"/>
      <c r="B1067" s="11"/>
      <c r="C1067" s="10"/>
      <c r="D1067" s="13"/>
      <c r="E1067" s="14"/>
      <c r="F1067" s="14"/>
      <c r="G1067" s="14"/>
      <c r="H1067" s="10"/>
      <c r="I1067" s="17"/>
      <c r="J1067" s="10"/>
      <c r="K1067" s="46"/>
      <c r="L1067" s="10"/>
      <c r="M1067" s="20"/>
      <c r="N1067" s="20"/>
      <c r="O1067" s="20"/>
      <c r="P1067" s="20"/>
    </row>
    <row r="1068">
      <c r="A1068" s="23"/>
      <c r="B1068" s="21"/>
      <c r="C1068" s="23"/>
      <c r="D1068" s="24"/>
      <c r="E1068" s="14"/>
      <c r="F1068" s="14"/>
      <c r="G1068" s="14"/>
      <c r="H1068" s="23"/>
      <c r="I1068" s="27"/>
      <c r="J1068" s="23"/>
      <c r="K1068" s="30"/>
      <c r="L1068" s="23"/>
      <c r="M1068" s="20"/>
      <c r="N1068" s="20"/>
      <c r="O1068" s="20"/>
      <c r="P1068" s="20"/>
    </row>
    <row r="1069">
      <c r="A1069" s="10"/>
      <c r="B1069" s="11"/>
      <c r="C1069" s="10"/>
      <c r="D1069" s="13"/>
      <c r="E1069" s="14"/>
      <c r="F1069" s="14"/>
      <c r="G1069" s="14"/>
      <c r="H1069" s="10"/>
      <c r="I1069" s="17"/>
      <c r="J1069" s="10"/>
      <c r="K1069" s="46"/>
      <c r="L1069" s="10"/>
      <c r="M1069" s="20"/>
      <c r="N1069" s="20"/>
      <c r="O1069" s="20"/>
      <c r="P1069" s="20"/>
    </row>
    <row r="1070">
      <c r="A1070" s="23"/>
      <c r="B1070" s="21"/>
      <c r="C1070" s="23"/>
      <c r="D1070" s="24"/>
      <c r="E1070" s="14"/>
      <c r="F1070" s="14"/>
      <c r="G1070" s="14"/>
      <c r="H1070" s="23"/>
      <c r="I1070" s="27"/>
      <c r="J1070" s="23"/>
      <c r="K1070" s="30"/>
      <c r="L1070" s="23"/>
      <c r="M1070" s="20"/>
      <c r="N1070" s="20"/>
      <c r="O1070" s="20"/>
      <c r="P1070" s="20"/>
    </row>
    <row r="1071">
      <c r="A1071" s="10"/>
      <c r="B1071" s="11"/>
      <c r="C1071" s="10"/>
      <c r="D1071" s="13"/>
      <c r="E1071" s="14"/>
      <c r="F1071" s="14"/>
      <c r="G1071" s="14"/>
      <c r="H1071" s="10"/>
      <c r="I1071" s="17"/>
      <c r="J1071" s="10"/>
      <c r="K1071" s="46"/>
      <c r="L1071" s="10"/>
      <c r="M1071" s="20"/>
      <c r="N1071" s="20"/>
      <c r="O1071" s="20"/>
      <c r="P1071" s="20"/>
    </row>
    <row r="1072">
      <c r="A1072" s="23"/>
      <c r="B1072" s="21"/>
      <c r="C1072" s="23"/>
      <c r="D1072" s="24"/>
      <c r="E1072" s="14"/>
      <c r="F1072" s="14"/>
      <c r="G1072" s="14"/>
      <c r="H1072" s="23"/>
      <c r="I1072" s="27"/>
      <c r="J1072" s="23"/>
      <c r="K1072" s="30"/>
      <c r="L1072" s="23"/>
      <c r="M1072" s="20"/>
      <c r="N1072" s="20"/>
      <c r="O1072" s="20"/>
      <c r="P1072" s="20"/>
    </row>
    <row r="1073">
      <c r="A1073" s="10"/>
      <c r="B1073" s="11"/>
      <c r="C1073" s="10"/>
      <c r="D1073" s="13"/>
      <c r="E1073" s="14"/>
      <c r="F1073" s="14"/>
      <c r="G1073" s="14"/>
      <c r="H1073" s="10"/>
      <c r="I1073" s="17"/>
      <c r="J1073" s="10"/>
      <c r="K1073" s="46"/>
      <c r="L1073" s="10"/>
      <c r="M1073" s="20"/>
      <c r="N1073" s="20"/>
      <c r="O1073" s="20"/>
      <c r="P1073" s="20"/>
    </row>
    <row r="1074">
      <c r="A1074" s="23"/>
      <c r="B1074" s="21"/>
      <c r="C1074" s="23"/>
      <c r="D1074" s="24"/>
      <c r="E1074" s="14"/>
      <c r="F1074" s="14"/>
      <c r="G1074" s="14"/>
      <c r="H1074" s="23"/>
      <c r="I1074" s="27"/>
      <c r="J1074" s="23"/>
      <c r="K1074" s="30"/>
      <c r="L1074" s="23"/>
      <c r="M1074" s="20"/>
      <c r="N1074" s="20"/>
      <c r="O1074" s="20"/>
      <c r="P1074" s="20"/>
    </row>
    <row r="1075">
      <c r="A1075" s="10"/>
      <c r="B1075" s="11"/>
      <c r="C1075" s="10"/>
      <c r="D1075" s="13"/>
      <c r="E1075" s="14"/>
      <c r="F1075" s="14"/>
      <c r="G1075" s="14"/>
      <c r="H1075" s="10"/>
      <c r="I1075" s="17"/>
      <c r="J1075" s="10"/>
      <c r="K1075" s="46"/>
      <c r="L1075" s="10"/>
      <c r="M1075" s="20"/>
      <c r="N1075" s="20"/>
      <c r="O1075" s="20"/>
      <c r="P1075" s="20"/>
    </row>
    <row r="1076">
      <c r="A1076" s="23"/>
      <c r="B1076" s="21"/>
      <c r="C1076" s="23"/>
      <c r="D1076" s="24"/>
      <c r="E1076" s="14"/>
      <c r="F1076" s="14"/>
      <c r="G1076" s="14"/>
      <c r="H1076" s="23"/>
      <c r="I1076" s="27"/>
      <c r="J1076" s="23"/>
      <c r="K1076" s="30"/>
      <c r="L1076" s="23"/>
      <c r="M1076" s="20"/>
      <c r="N1076" s="20"/>
      <c r="O1076" s="20"/>
      <c r="P1076" s="20"/>
    </row>
    <row r="1077">
      <c r="A1077" s="10"/>
      <c r="B1077" s="11"/>
      <c r="C1077" s="10"/>
      <c r="D1077" s="13"/>
      <c r="E1077" s="14"/>
      <c r="F1077" s="14"/>
      <c r="G1077" s="14"/>
      <c r="H1077" s="10"/>
      <c r="I1077" s="17"/>
      <c r="J1077" s="10"/>
      <c r="K1077" s="46"/>
      <c r="L1077" s="10"/>
      <c r="M1077" s="20"/>
      <c r="N1077" s="20"/>
      <c r="O1077" s="20"/>
      <c r="P1077" s="20"/>
    </row>
    <row r="1078">
      <c r="A1078" s="23"/>
      <c r="B1078" s="21"/>
      <c r="C1078" s="23"/>
      <c r="D1078" s="24"/>
      <c r="E1078" s="14"/>
      <c r="F1078" s="14"/>
      <c r="G1078" s="14"/>
      <c r="H1078" s="23"/>
      <c r="I1078" s="27"/>
      <c r="J1078" s="23"/>
      <c r="K1078" s="30"/>
      <c r="L1078" s="23"/>
      <c r="M1078" s="20"/>
      <c r="N1078" s="20"/>
      <c r="O1078" s="20"/>
      <c r="P1078" s="20"/>
    </row>
    <row r="1079">
      <c r="A1079" s="10"/>
      <c r="B1079" s="11"/>
      <c r="C1079" s="10"/>
      <c r="D1079" s="13"/>
      <c r="E1079" s="14"/>
      <c r="F1079" s="14"/>
      <c r="G1079" s="14"/>
      <c r="H1079" s="10"/>
      <c r="I1079" s="17"/>
      <c r="J1079" s="10"/>
      <c r="K1079" s="46"/>
      <c r="L1079" s="10"/>
      <c r="M1079" s="20"/>
      <c r="N1079" s="20"/>
      <c r="O1079" s="20"/>
      <c r="P1079" s="20"/>
    </row>
    <row r="1080">
      <c r="A1080" s="23"/>
      <c r="B1080" s="21"/>
      <c r="C1080" s="23"/>
      <c r="D1080" s="24"/>
      <c r="E1080" s="14"/>
      <c r="F1080" s="14"/>
      <c r="G1080" s="14"/>
      <c r="H1080" s="23"/>
      <c r="I1080" s="27"/>
      <c r="J1080" s="23"/>
      <c r="K1080" s="30"/>
      <c r="L1080" s="23"/>
      <c r="M1080" s="20"/>
      <c r="N1080" s="20"/>
      <c r="O1080" s="20"/>
      <c r="P1080" s="20"/>
    </row>
    <row r="1081">
      <c r="A1081" s="10"/>
      <c r="B1081" s="11"/>
      <c r="C1081" s="10"/>
      <c r="D1081" s="13"/>
      <c r="E1081" s="14"/>
      <c r="F1081" s="14"/>
      <c r="G1081" s="14"/>
      <c r="H1081" s="10"/>
      <c r="I1081" s="17"/>
      <c r="J1081" s="10"/>
      <c r="K1081" s="46"/>
      <c r="L1081" s="10"/>
      <c r="M1081" s="20"/>
      <c r="N1081" s="20"/>
      <c r="O1081" s="20"/>
      <c r="P1081" s="20"/>
    </row>
    <row r="1082">
      <c r="A1082" s="23"/>
      <c r="B1082" s="21"/>
      <c r="C1082" s="23"/>
      <c r="D1082" s="24"/>
      <c r="E1082" s="14"/>
      <c r="F1082" s="14"/>
      <c r="G1082" s="14"/>
      <c r="H1082" s="23"/>
      <c r="I1082" s="27"/>
      <c r="J1082" s="23"/>
      <c r="K1082" s="30"/>
      <c r="L1082" s="23"/>
      <c r="M1082" s="20"/>
      <c r="N1082" s="20"/>
      <c r="O1082" s="20"/>
      <c r="P1082" s="20"/>
    </row>
    <row r="1083">
      <c r="A1083" s="10"/>
      <c r="B1083" s="11"/>
      <c r="C1083" s="10"/>
      <c r="D1083" s="13"/>
      <c r="E1083" s="14"/>
      <c r="F1083" s="14"/>
      <c r="G1083" s="14"/>
      <c r="H1083" s="10"/>
      <c r="I1083" s="17"/>
      <c r="J1083" s="10"/>
      <c r="K1083" s="46"/>
      <c r="L1083" s="10"/>
      <c r="M1083" s="20"/>
      <c r="N1083" s="20"/>
      <c r="O1083" s="20"/>
      <c r="P1083" s="20"/>
    </row>
    <row r="1084">
      <c r="A1084" s="23"/>
      <c r="B1084" s="21"/>
      <c r="C1084" s="23"/>
      <c r="D1084" s="24"/>
      <c r="E1084" s="14"/>
      <c r="F1084" s="14"/>
      <c r="G1084" s="14"/>
      <c r="H1084" s="23"/>
      <c r="I1084" s="27"/>
      <c r="J1084" s="23"/>
      <c r="K1084" s="30"/>
      <c r="L1084" s="23"/>
      <c r="M1084" s="20"/>
      <c r="N1084" s="20"/>
      <c r="O1084" s="20"/>
      <c r="P1084" s="20"/>
    </row>
    <row r="1085">
      <c r="A1085" s="10"/>
      <c r="B1085" s="11"/>
      <c r="C1085" s="10"/>
      <c r="D1085" s="13"/>
      <c r="E1085" s="14"/>
      <c r="F1085" s="14"/>
      <c r="G1085" s="14"/>
      <c r="H1085" s="10"/>
      <c r="I1085" s="17"/>
      <c r="J1085" s="10"/>
      <c r="K1085" s="46"/>
      <c r="L1085" s="10"/>
      <c r="M1085" s="20"/>
      <c r="N1085" s="20"/>
      <c r="O1085" s="20"/>
      <c r="P1085" s="20"/>
    </row>
    <row r="1086">
      <c r="A1086" s="23"/>
      <c r="B1086" s="21"/>
      <c r="C1086" s="23"/>
      <c r="D1086" s="24"/>
      <c r="E1086" s="14"/>
      <c r="F1086" s="14"/>
      <c r="G1086" s="14"/>
      <c r="H1086" s="23"/>
      <c r="I1086" s="27"/>
      <c r="J1086" s="23"/>
      <c r="K1086" s="30"/>
      <c r="L1086" s="23"/>
      <c r="M1086" s="20"/>
      <c r="N1086" s="20"/>
      <c r="O1086" s="20"/>
      <c r="P1086" s="20"/>
    </row>
    <row r="1087">
      <c r="A1087" s="10"/>
      <c r="B1087" s="11"/>
      <c r="C1087" s="10"/>
      <c r="D1087" s="13"/>
      <c r="E1087" s="14"/>
      <c r="F1087" s="14"/>
      <c r="G1087" s="14"/>
      <c r="H1087" s="10"/>
      <c r="I1087" s="17"/>
      <c r="J1087" s="10"/>
      <c r="K1087" s="46"/>
      <c r="L1087" s="10"/>
      <c r="M1087" s="20"/>
      <c r="N1087" s="20"/>
      <c r="O1087" s="20"/>
      <c r="P1087" s="20"/>
    </row>
    <row r="1088">
      <c r="A1088" s="23"/>
      <c r="B1088" s="21"/>
      <c r="C1088" s="23"/>
      <c r="D1088" s="24"/>
      <c r="E1088" s="14"/>
      <c r="F1088" s="14"/>
      <c r="G1088" s="14"/>
      <c r="H1088" s="23"/>
      <c r="I1088" s="27"/>
      <c r="J1088" s="23"/>
      <c r="K1088" s="30"/>
      <c r="L1088" s="23"/>
      <c r="M1088" s="20"/>
      <c r="N1088" s="20"/>
      <c r="O1088" s="20"/>
      <c r="P1088" s="20"/>
    </row>
    <row r="1089">
      <c r="A1089" s="10"/>
      <c r="B1089" s="11"/>
      <c r="C1089" s="10"/>
      <c r="D1089" s="13"/>
      <c r="E1089" s="14"/>
      <c r="F1089" s="14"/>
      <c r="G1089" s="14"/>
      <c r="H1089" s="10"/>
      <c r="I1089" s="17"/>
      <c r="J1089" s="10"/>
      <c r="K1089" s="46"/>
      <c r="L1089" s="10"/>
      <c r="M1089" s="20"/>
      <c r="N1089" s="20"/>
      <c r="O1089" s="20"/>
      <c r="P1089" s="20"/>
    </row>
    <row r="1090">
      <c r="A1090" s="23"/>
      <c r="B1090" s="21"/>
      <c r="C1090" s="23"/>
      <c r="D1090" s="24"/>
      <c r="E1090" s="14"/>
      <c r="F1090" s="14"/>
      <c r="G1090" s="14"/>
      <c r="H1090" s="23"/>
      <c r="I1090" s="27"/>
      <c r="J1090" s="23"/>
      <c r="K1090" s="30"/>
      <c r="L1090" s="23"/>
      <c r="M1090" s="20"/>
      <c r="N1090" s="20"/>
      <c r="O1090" s="20"/>
      <c r="P1090" s="20"/>
    </row>
    <row r="1091">
      <c r="A1091" s="10"/>
      <c r="B1091" s="11"/>
      <c r="C1091" s="10"/>
      <c r="D1091" s="13"/>
      <c r="E1091" s="14"/>
      <c r="F1091" s="14"/>
      <c r="G1091" s="14"/>
      <c r="H1091" s="10"/>
      <c r="I1091" s="17"/>
      <c r="J1091" s="10"/>
      <c r="K1091" s="46"/>
      <c r="L1091" s="10"/>
      <c r="M1091" s="20"/>
      <c r="N1091" s="20"/>
      <c r="O1091" s="20"/>
      <c r="P1091" s="20"/>
    </row>
    <row r="1092">
      <c r="A1092" s="23"/>
      <c r="B1092" s="21"/>
      <c r="C1092" s="23"/>
      <c r="D1092" s="24"/>
      <c r="E1092" s="14"/>
      <c r="F1092" s="14"/>
      <c r="G1092" s="14"/>
      <c r="H1092" s="23"/>
      <c r="I1092" s="27"/>
      <c r="J1092" s="23"/>
      <c r="K1092" s="30"/>
      <c r="L1092" s="23"/>
      <c r="M1092" s="20"/>
      <c r="N1092" s="20"/>
      <c r="O1092" s="20"/>
      <c r="P1092" s="20"/>
    </row>
    <row r="1093">
      <c r="A1093" s="10"/>
      <c r="B1093" s="11"/>
      <c r="C1093" s="10"/>
      <c r="D1093" s="13"/>
      <c r="E1093" s="14"/>
      <c r="F1093" s="14"/>
      <c r="G1093" s="14"/>
      <c r="H1093" s="10"/>
      <c r="I1093" s="17"/>
      <c r="J1093" s="10"/>
      <c r="K1093" s="46"/>
      <c r="L1093" s="10"/>
      <c r="M1093" s="20"/>
      <c r="N1093" s="20"/>
      <c r="O1093" s="20"/>
      <c r="P1093" s="20"/>
    </row>
    <row r="1094">
      <c r="A1094" s="23"/>
      <c r="B1094" s="21"/>
      <c r="C1094" s="23"/>
      <c r="D1094" s="24"/>
      <c r="E1094" s="14"/>
      <c r="F1094" s="14"/>
      <c r="G1094" s="14"/>
      <c r="H1094" s="23"/>
      <c r="I1094" s="27"/>
      <c r="J1094" s="23"/>
      <c r="K1094" s="30"/>
      <c r="L1094" s="23"/>
      <c r="M1094" s="20"/>
      <c r="N1094" s="20"/>
      <c r="O1094" s="20"/>
      <c r="P1094" s="20"/>
    </row>
    <row r="1095">
      <c r="A1095" s="10"/>
      <c r="B1095" s="11"/>
      <c r="C1095" s="10"/>
      <c r="D1095" s="13"/>
      <c r="E1095" s="14"/>
      <c r="F1095" s="14"/>
      <c r="G1095" s="14"/>
      <c r="H1095" s="10"/>
      <c r="I1095" s="17"/>
      <c r="J1095" s="10"/>
      <c r="K1095" s="46"/>
      <c r="L1095" s="10"/>
      <c r="M1095" s="20"/>
      <c r="N1095" s="20"/>
      <c r="O1095" s="20"/>
      <c r="P1095" s="20"/>
    </row>
    <row r="1096">
      <c r="A1096" s="23"/>
      <c r="B1096" s="21"/>
      <c r="C1096" s="23"/>
      <c r="D1096" s="24"/>
      <c r="E1096" s="14"/>
      <c r="F1096" s="14"/>
      <c r="G1096" s="14"/>
      <c r="H1096" s="23"/>
      <c r="I1096" s="27"/>
      <c r="J1096" s="23"/>
      <c r="K1096" s="30"/>
      <c r="L1096" s="23"/>
      <c r="M1096" s="20"/>
      <c r="N1096" s="20"/>
      <c r="O1096" s="20"/>
      <c r="P1096" s="20"/>
    </row>
    <row r="1097">
      <c r="A1097" s="10"/>
      <c r="B1097" s="11"/>
      <c r="C1097" s="10"/>
      <c r="D1097" s="13"/>
      <c r="E1097" s="14"/>
      <c r="F1097" s="14"/>
      <c r="G1097" s="14"/>
      <c r="H1097" s="10"/>
      <c r="I1097" s="17"/>
      <c r="J1097" s="10"/>
      <c r="K1097" s="46"/>
      <c r="L1097" s="10"/>
      <c r="M1097" s="20"/>
      <c r="N1097" s="20"/>
      <c r="O1097" s="20"/>
      <c r="P1097" s="20"/>
    </row>
    <row r="1098">
      <c r="A1098" s="23"/>
      <c r="B1098" s="21"/>
      <c r="C1098" s="23"/>
      <c r="D1098" s="24"/>
      <c r="E1098" s="14"/>
      <c r="F1098" s="14"/>
      <c r="G1098" s="14"/>
      <c r="H1098" s="23"/>
      <c r="I1098" s="27"/>
      <c r="J1098" s="23"/>
      <c r="K1098" s="30"/>
      <c r="L1098" s="23"/>
      <c r="M1098" s="20"/>
      <c r="N1098" s="20"/>
      <c r="O1098" s="20"/>
      <c r="P1098" s="20"/>
    </row>
    <row r="1099">
      <c r="A1099" s="10"/>
      <c r="B1099" s="11"/>
      <c r="C1099" s="10"/>
      <c r="D1099" s="13"/>
      <c r="E1099" s="14"/>
      <c r="F1099" s="14"/>
      <c r="G1099" s="14"/>
      <c r="H1099" s="10"/>
      <c r="I1099" s="17"/>
      <c r="J1099" s="10"/>
      <c r="K1099" s="46"/>
      <c r="L1099" s="10"/>
      <c r="M1099" s="20"/>
      <c r="N1099" s="20"/>
      <c r="O1099" s="20"/>
      <c r="P1099" s="20"/>
    </row>
    <row r="1100">
      <c r="A1100" s="23"/>
      <c r="B1100" s="21"/>
      <c r="C1100" s="23"/>
      <c r="D1100" s="24"/>
      <c r="E1100" s="14"/>
      <c r="F1100" s="14"/>
      <c r="G1100" s="14"/>
      <c r="H1100" s="23"/>
      <c r="I1100" s="27"/>
      <c r="J1100" s="23"/>
      <c r="K1100" s="30"/>
      <c r="L1100" s="23"/>
      <c r="M1100" s="20"/>
      <c r="N1100" s="20"/>
      <c r="O1100" s="20"/>
      <c r="P1100" s="20"/>
    </row>
    <row r="1101">
      <c r="A1101" s="10"/>
      <c r="B1101" s="11"/>
      <c r="C1101" s="10"/>
      <c r="D1101" s="13"/>
      <c r="E1101" s="14"/>
      <c r="F1101" s="14"/>
      <c r="G1101" s="14"/>
      <c r="H1101" s="10"/>
      <c r="I1101" s="17"/>
      <c r="J1101" s="10"/>
      <c r="K1101" s="46"/>
      <c r="L1101" s="10"/>
      <c r="M1101" s="20"/>
      <c r="N1101" s="20"/>
      <c r="O1101" s="20"/>
      <c r="P1101" s="20"/>
    </row>
    <row r="1102">
      <c r="A1102" s="23"/>
      <c r="B1102" s="21"/>
      <c r="C1102" s="23"/>
      <c r="D1102" s="24"/>
      <c r="E1102" s="14"/>
      <c r="F1102" s="14"/>
      <c r="G1102" s="14"/>
      <c r="H1102" s="23"/>
      <c r="I1102" s="27"/>
      <c r="J1102" s="23"/>
      <c r="K1102" s="30"/>
      <c r="L1102" s="23"/>
      <c r="M1102" s="20"/>
      <c r="N1102" s="20"/>
      <c r="O1102" s="20"/>
      <c r="P1102" s="20"/>
    </row>
    <row r="1103">
      <c r="A1103" s="10"/>
      <c r="B1103" s="11"/>
      <c r="C1103" s="10"/>
      <c r="D1103" s="13"/>
      <c r="E1103" s="14"/>
      <c r="F1103" s="14"/>
      <c r="G1103" s="14"/>
      <c r="H1103" s="10"/>
      <c r="I1103" s="17"/>
      <c r="J1103" s="10"/>
      <c r="K1103" s="46"/>
      <c r="L1103" s="10"/>
      <c r="M1103" s="20"/>
      <c r="N1103" s="20"/>
      <c r="O1103" s="20"/>
      <c r="P1103" s="20"/>
    </row>
    <row r="1104">
      <c r="A1104" s="23"/>
      <c r="B1104" s="21"/>
      <c r="C1104" s="23"/>
      <c r="D1104" s="24"/>
      <c r="E1104" s="14"/>
      <c r="F1104" s="14"/>
      <c r="G1104" s="14"/>
      <c r="H1104" s="23"/>
      <c r="I1104" s="27"/>
      <c r="J1104" s="23"/>
      <c r="K1104" s="30"/>
      <c r="L1104" s="23"/>
      <c r="M1104" s="20"/>
      <c r="N1104" s="20"/>
      <c r="O1104" s="20"/>
      <c r="P1104" s="20"/>
    </row>
    <row r="1105">
      <c r="A1105" s="10"/>
      <c r="B1105" s="11"/>
      <c r="C1105" s="10"/>
      <c r="D1105" s="13"/>
      <c r="E1105" s="14"/>
      <c r="F1105" s="14"/>
      <c r="G1105" s="14"/>
      <c r="H1105" s="10"/>
      <c r="I1105" s="17"/>
      <c r="J1105" s="10"/>
      <c r="K1105" s="46"/>
      <c r="L1105" s="10"/>
      <c r="M1105" s="20"/>
      <c r="N1105" s="20"/>
      <c r="O1105" s="20"/>
      <c r="P1105" s="20"/>
    </row>
    <row r="1106">
      <c r="A1106" s="23"/>
      <c r="B1106" s="21"/>
      <c r="C1106" s="23"/>
      <c r="D1106" s="24"/>
      <c r="E1106" s="14"/>
      <c r="F1106" s="14"/>
      <c r="G1106" s="14"/>
      <c r="H1106" s="23"/>
      <c r="I1106" s="27"/>
      <c r="J1106" s="23"/>
      <c r="K1106" s="30"/>
      <c r="L1106" s="23"/>
      <c r="M1106" s="20"/>
      <c r="N1106" s="20"/>
      <c r="O1106" s="20"/>
      <c r="P1106" s="20"/>
    </row>
    <row r="1107">
      <c r="A1107" s="10"/>
      <c r="B1107" s="11"/>
      <c r="C1107" s="10"/>
      <c r="D1107" s="13"/>
      <c r="E1107" s="14"/>
      <c r="F1107" s="14"/>
      <c r="G1107" s="14"/>
      <c r="H1107" s="10"/>
      <c r="I1107" s="17"/>
      <c r="J1107" s="10"/>
      <c r="K1107" s="46"/>
      <c r="L1107" s="10"/>
      <c r="M1107" s="20"/>
      <c r="N1107" s="20"/>
      <c r="O1107" s="20"/>
      <c r="P1107" s="20"/>
    </row>
    <row r="1108">
      <c r="A1108" s="23"/>
      <c r="B1108" s="21"/>
      <c r="C1108" s="23"/>
      <c r="D1108" s="24"/>
      <c r="E1108" s="14"/>
      <c r="F1108" s="14"/>
      <c r="G1108" s="14"/>
      <c r="H1108" s="23"/>
      <c r="I1108" s="27"/>
      <c r="J1108" s="23"/>
      <c r="K1108" s="30"/>
      <c r="L1108" s="23"/>
      <c r="M1108" s="20"/>
      <c r="N1108" s="20"/>
      <c r="O1108" s="20"/>
      <c r="P1108" s="20"/>
    </row>
    <row r="1109">
      <c r="A1109" s="10"/>
      <c r="B1109" s="11"/>
      <c r="C1109" s="10"/>
      <c r="D1109" s="13"/>
      <c r="E1109" s="14"/>
      <c r="F1109" s="14"/>
      <c r="G1109" s="14"/>
      <c r="H1109" s="10"/>
      <c r="I1109" s="17"/>
      <c r="J1109" s="10"/>
      <c r="K1109" s="46"/>
      <c r="L1109" s="10"/>
      <c r="M1109" s="20"/>
      <c r="N1109" s="20"/>
      <c r="O1109" s="20"/>
      <c r="P1109" s="20"/>
    </row>
    <row r="1110">
      <c r="A1110" s="23"/>
      <c r="B1110" s="21"/>
      <c r="C1110" s="23"/>
      <c r="D1110" s="24"/>
      <c r="E1110" s="14"/>
      <c r="F1110" s="14"/>
      <c r="G1110" s="14"/>
      <c r="H1110" s="23"/>
      <c r="I1110" s="27"/>
      <c r="J1110" s="23"/>
      <c r="K1110" s="30"/>
      <c r="L1110" s="23"/>
      <c r="M1110" s="20"/>
      <c r="N1110" s="20"/>
      <c r="O1110" s="20"/>
      <c r="P1110" s="20"/>
    </row>
    <row r="1111">
      <c r="A1111" s="10"/>
      <c r="B1111" s="11"/>
      <c r="C1111" s="10"/>
      <c r="D1111" s="13"/>
      <c r="E1111" s="14"/>
      <c r="F1111" s="14"/>
      <c r="G1111" s="14"/>
      <c r="H1111" s="10"/>
      <c r="I1111" s="17"/>
      <c r="J1111" s="10"/>
      <c r="K1111" s="46"/>
      <c r="L1111" s="10"/>
      <c r="M1111" s="20"/>
      <c r="N1111" s="20"/>
      <c r="O1111" s="20"/>
      <c r="P1111" s="20"/>
    </row>
    <row r="1112">
      <c r="A1112" s="23"/>
      <c r="B1112" s="21"/>
      <c r="C1112" s="23"/>
      <c r="D1112" s="24"/>
      <c r="E1112" s="14"/>
      <c r="F1112" s="14"/>
      <c r="G1112" s="14"/>
      <c r="H1112" s="23"/>
      <c r="I1112" s="27"/>
      <c r="J1112" s="23"/>
      <c r="K1112" s="30"/>
      <c r="L1112" s="23"/>
      <c r="M1112" s="20"/>
      <c r="N1112" s="20"/>
      <c r="O1112" s="20"/>
      <c r="P1112" s="20"/>
    </row>
    <row r="1113">
      <c r="A1113" s="10"/>
      <c r="B1113" s="11"/>
      <c r="C1113" s="10"/>
      <c r="D1113" s="13"/>
      <c r="E1113" s="14"/>
      <c r="F1113" s="14"/>
      <c r="G1113" s="14"/>
      <c r="H1113" s="10"/>
      <c r="I1113" s="17"/>
      <c r="J1113" s="10"/>
      <c r="K1113" s="46"/>
      <c r="L1113" s="10"/>
      <c r="M1113" s="20"/>
      <c r="N1113" s="20"/>
      <c r="O1113" s="20"/>
      <c r="P1113" s="20"/>
    </row>
    <row r="1114">
      <c r="A1114" s="23"/>
      <c r="B1114" s="21"/>
      <c r="C1114" s="23"/>
      <c r="D1114" s="24"/>
      <c r="E1114" s="14"/>
      <c r="F1114" s="14"/>
      <c r="G1114" s="14"/>
      <c r="H1114" s="23"/>
      <c r="I1114" s="27"/>
      <c r="J1114" s="23"/>
      <c r="K1114" s="30"/>
      <c r="L1114" s="23"/>
      <c r="M1114" s="20"/>
      <c r="N1114" s="20"/>
      <c r="O1114" s="20"/>
      <c r="P1114" s="20"/>
    </row>
    <row r="1115">
      <c r="A1115" s="10"/>
      <c r="B1115" s="11"/>
      <c r="C1115" s="10"/>
      <c r="D1115" s="13"/>
      <c r="E1115" s="14"/>
      <c r="F1115" s="14"/>
      <c r="G1115" s="14"/>
      <c r="H1115" s="10"/>
      <c r="I1115" s="17"/>
      <c r="J1115" s="10"/>
      <c r="K1115" s="46"/>
      <c r="L1115" s="10"/>
      <c r="M1115" s="20"/>
      <c r="N1115" s="20"/>
      <c r="O1115" s="20"/>
      <c r="P1115" s="20"/>
    </row>
    <row r="1116">
      <c r="A1116" s="23"/>
      <c r="B1116" s="21"/>
      <c r="C1116" s="23"/>
      <c r="D1116" s="24"/>
      <c r="E1116" s="14"/>
      <c r="F1116" s="14"/>
      <c r="G1116" s="14"/>
      <c r="H1116" s="23"/>
      <c r="I1116" s="27"/>
      <c r="J1116" s="23"/>
      <c r="K1116" s="30"/>
      <c r="L1116" s="23"/>
      <c r="M1116" s="20"/>
      <c r="N1116" s="20"/>
      <c r="O1116" s="20"/>
      <c r="P1116" s="20"/>
    </row>
    <row r="1117">
      <c r="A1117" s="10"/>
      <c r="B1117" s="11"/>
      <c r="C1117" s="10"/>
      <c r="D1117" s="13"/>
      <c r="E1117" s="14"/>
      <c r="F1117" s="14"/>
      <c r="G1117" s="14"/>
      <c r="H1117" s="10"/>
      <c r="I1117" s="17"/>
      <c r="J1117" s="10"/>
      <c r="K1117" s="46"/>
      <c r="L1117" s="10"/>
      <c r="M1117" s="20"/>
      <c r="N1117" s="20"/>
      <c r="O1117" s="20"/>
      <c r="P1117" s="20"/>
    </row>
    <row r="1118">
      <c r="A1118" s="23"/>
      <c r="B1118" s="21"/>
      <c r="C1118" s="23"/>
      <c r="D1118" s="24"/>
      <c r="E1118" s="14"/>
      <c r="F1118" s="14"/>
      <c r="G1118" s="14"/>
      <c r="H1118" s="23"/>
      <c r="I1118" s="27"/>
      <c r="J1118" s="23"/>
      <c r="K1118" s="30"/>
      <c r="L1118" s="23"/>
      <c r="M1118" s="20"/>
      <c r="N1118" s="20"/>
      <c r="O1118" s="20"/>
      <c r="P1118" s="20"/>
    </row>
    <row r="1119">
      <c r="A1119" s="10"/>
      <c r="B1119" s="11"/>
      <c r="C1119" s="10"/>
      <c r="D1119" s="13"/>
      <c r="E1119" s="14"/>
      <c r="F1119" s="14"/>
      <c r="G1119" s="14"/>
      <c r="H1119" s="10"/>
      <c r="I1119" s="17"/>
      <c r="J1119" s="10"/>
      <c r="K1119" s="46"/>
      <c r="L1119" s="10"/>
      <c r="M1119" s="20"/>
      <c r="N1119" s="20"/>
      <c r="O1119" s="20"/>
      <c r="P1119" s="20"/>
    </row>
    <row r="1120">
      <c r="A1120" s="23"/>
      <c r="B1120" s="21"/>
      <c r="C1120" s="23"/>
      <c r="D1120" s="24"/>
      <c r="E1120" s="14"/>
      <c r="F1120" s="14"/>
      <c r="G1120" s="14"/>
      <c r="H1120" s="23"/>
      <c r="I1120" s="27"/>
      <c r="J1120" s="23"/>
      <c r="K1120" s="30"/>
      <c r="L1120" s="23"/>
      <c r="M1120" s="20"/>
      <c r="N1120" s="20"/>
      <c r="O1120" s="20"/>
      <c r="P1120" s="20"/>
    </row>
    <row r="1121">
      <c r="A1121" s="10"/>
      <c r="B1121" s="11"/>
      <c r="C1121" s="10"/>
      <c r="D1121" s="13"/>
      <c r="E1121" s="14"/>
      <c r="F1121" s="14"/>
      <c r="G1121" s="14"/>
      <c r="H1121" s="10"/>
      <c r="I1121" s="17"/>
      <c r="J1121" s="10"/>
      <c r="K1121" s="46"/>
      <c r="L1121" s="10"/>
      <c r="M1121" s="20"/>
      <c r="N1121" s="20"/>
      <c r="O1121" s="20"/>
      <c r="P1121" s="20"/>
    </row>
    <row r="1122">
      <c r="A1122" s="23"/>
      <c r="B1122" s="21"/>
      <c r="C1122" s="23"/>
      <c r="D1122" s="24"/>
      <c r="E1122" s="14"/>
      <c r="F1122" s="14"/>
      <c r="G1122" s="14"/>
      <c r="H1122" s="23"/>
      <c r="I1122" s="27"/>
      <c r="J1122" s="23"/>
      <c r="K1122" s="30"/>
      <c r="L1122" s="23"/>
      <c r="M1122" s="20"/>
      <c r="N1122" s="20"/>
      <c r="O1122" s="20"/>
      <c r="P1122" s="20"/>
    </row>
    <row r="1123">
      <c r="A1123" s="10"/>
      <c r="B1123" s="11"/>
      <c r="C1123" s="10"/>
      <c r="D1123" s="13"/>
      <c r="E1123" s="14"/>
      <c r="F1123" s="14"/>
      <c r="G1123" s="14"/>
      <c r="H1123" s="10"/>
      <c r="I1123" s="17"/>
      <c r="J1123" s="10"/>
      <c r="K1123" s="46"/>
      <c r="L1123" s="10"/>
      <c r="M1123" s="20"/>
      <c r="N1123" s="20"/>
      <c r="O1123" s="20"/>
      <c r="P1123" s="20"/>
    </row>
    <row r="1124">
      <c r="A1124" s="23"/>
      <c r="B1124" s="21"/>
      <c r="C1124" s="23"/>
      <c r="D1124" s="24"/>
      <c r="E1124" s="14"/>
      <c r="F1124" s="14"/>
      <c r="G1124" s="14"/>
      <c r="H1124" s="23"/>
      <c r="I1124" s="27"/>
      <c r="J1124" s="23"/>
      <c r="K1124" s="30"/>
      <c r="L1124" s="23"/>
      <c r="M1124" s="20"/>
      <c r="N1124" s="20"/>
      <c r="O1124" s="20"/>
      <c r="P1124" s="20"/>
    </row>
    <row r="1125">
      <c r="A1125" s="10"/>
      <c r="B1125" s="11"/>
      <c r="C1125" s="10"/>
      <c r="D1125" s="13"/>
      <c r="E1125" s="14"/>
      <c r="F1125" s="14"/>
      <c r="G1125" s="14"/>
      <c r="H1125" s="10"/>
      <c r="I1125" s="17"/>
      <c r="J1125" s="10"/>
      <c r="K1125" s="46"/>
      <c r="L1125" s="10"/>
      <c r="M1125" s="20"/>
      <c r="N1125" s="20"/>
      <c r="O1125" s="20"/>
      <c r="P1125" s="20"/>
    </row>
    <row r="1126">
      <c r="A1126" s="23"/>
      <c r="B1126" s="21"/>
      <c r="C1126" s="23"/>
      <c r="D1126" s="24"/>
      <c r="E1126" s="14"/>
      <c r="F1126" s="14"/>
      <c r="G1126" s="14"/>
      <c r="H1126" s="23"/>
      <c r="I1126" s="27"/>
      <c r="J1126" s="23"/>
      <c r="K1126" s="30"/>
      <c r="L1126" s="23"/>
      <c r="M1126" s="20"/>
      <c r="N1126" s="20"/>
      <c r="O1126" s="20"/>
      <c r="P1126" s="20"/>
    </row>
    <row r="1127">
      <c r="A1127" s="10"/>
      <c r="B1127" s="11"/>
      <c r="C1127" s="10"/>
      <c r="D1127" s="13"/>
      <c r="E1127" s="14"/>
      <c r="F1127" s="14"/>
      <c r="G1127" s="14"/>
      <c r="H1127" s="10"/>
      <c r="I1127" s="17"/>
      <c r="J1127" s="10"/>
      <c r="K1127" s="46"/>
      <c r="L1127" s="10"/>
      <c r="M1127" s="20"/>
      <c r="N1127" s="20"/>
      <c r="O1127" s="20"/>
      <c r="P1127" s="20"/>
    </row>
    <row r="1128">
      <c r="A1128" s="23"/>
      <c r="B1128" s="21"/>
      <c r="C1128" s="23"/>
      <c r="D1128" s="24"/>
      <c r="E1128" s="14"/>
      <c r="F1128" s="14"/>
      <c r="G1128" s="14"/>
      <c r="H1128" s="23"/>
      <c r="I1128" s="27"/>
      <c r="J1128" s="23"/>
      <c r="K1128" s="30"/>
      <c r="L1128" s="23"/>
      <c r="M1128" s="20"/>
      <c r="N1128" s="20"/>
      <c r="O1128" s="20"/>
      <c r="P1128" s="20"/>
    </row>
    <row r="1129">
      <c r="A1129" s="10"/>
      <c r="B1129" s="11"/>
      <c r="C1129" s="10"/>
      <c r="D1129" s="13"/>
      <c r="E1129" s="14"/>
      <c r="F1129" s="14"/>
      <c r="G1129" s="14"/>
      <c r="H1129" s="10"/>
      <c r="I1129" s="17"/>
      <c r="J1129" s="10"/>
      <c r="K1129" s="46"/>
      <c r="L1129" s="10"/>
      <c r="M1129" s="20"/>
      <c r="N1129" s="20"/>
      <c r="O1129" s="20"/>
      <c r="P1129" s="20"/>
    </row>
    <row r="1130">
      <c r="A1130" s="23"/>
      <c r="B1130" s="21"/>
      <c r="C1130" s="23"/>
      <c r="D1130" s="24"/>
      <c r="E1130" s="14"/>
      <c r="F1130" s="14"/>
      <c r="G1130" s="14"/>
      <c r="H1130" s="23"/>
      <c r="I1130" s="27"/>
      <c r="J1130" s="23"/>
      <c r="K1130" s="30"/>
      <c r="L1130" s="23"/>
      <c r="M1130" s="20"/>
      <c r="N1130" s="20"/>
      <c r="O1130" s="20"/>
      <c r="P1130" s="20"/>
    </row>
    <row r="1131">
      <c r="A1131" s="10"/>
      <c r="B1131" s="11"/>
      <c r="C1131" s="10"/>
      <c r="D1131" s="13"/>
      <c r="E1131" s="14"/>
      <c r="F1131" s="14"/>
      <c r="G1131" s="14"/>
      <c r="H1131" s="10"/>
      <c r="I1131" s="17"/>
      <c r="J1131" s="10"/>
      <c r="K1131" s="46"/>
      <c r="L1131" s="10"/>
      <c r="M1131" s="20"/>
      <c r="N1131" s="20"/>
      <c r="O1131" s="20"/>
      <c r="P1131" s="20"/>
    </row>
    <row r="1132">
      <c r="A1132" s="23"/>
      <c r="B1132" s="21"/>
      <c r="C1132" s="23"/>
      <c r="D1132" s="24"/>
      <c r="E1132" s="14"/>
      <c r="F1132" s="14"/>
      <c r="G1132" s="14"/>
      <c r="H1132" s="23"/>
      <c r="I1132" s="27"/>
      <c r="J1132" s="23"/>
      <c r="K1132" s="30"/>
      <c r="L1132" s="23"/>
      <c r="M1132" s="20"/>
      <c r="N1132" s="20"/>
      <c r="O1132" s="20"/>
      <c r="P1132" s="20"/>
    </row>
    <row r="1133">
      <c r="A1133" s="10"/>
      <c r="B1133" s="11"/>
      <c r="C1133" s="10"/>
      <c r="D1133" s="13"/>
      <c r="E1133" s="14"/>
      <c r="F1133" s="14"/>
      <c r="G1133" s="14"/>
      <c r="H1133" s="10"/>
      <c r="I1133" s="17"/>
      <c r="J1133" s="10"/>
      <c r="K1133" s="46"/>
      <c r="L1133" s="10"/>
      <c r="M1133" s="20"/>
      <c r="N1133" s="20"/>
      <c r="O1133" s="20"/>
      <c r="P1133" s="20"/>
    </row>
    <row r="1134">
      <c r="A1134" s="23"/>
      <c r="B1134" s="21"/>
      <c r="C1134" s="23"/>
      <c r="D1134" s="24"/>
      <c r="E1134" s="14"/>
      <c r="F1134" s="14"/>
      <c r="G1134" s="14"/>
      <c r="H1134" s="23"/>
      <c r="I1134" s="27"/>
      <c r="J1134" s="23"/>
      <c r="K1134" s="30"/>
      <c r="L1134" s="23"/>
      <c r="M1134" s="20"/>
      <c r="N1134" s="20"/>
      <c r="O1134" s="20"/>
      <c r="P1134" s="20"/>
    </row>
    <row r="1135">
      <c r="A1135" s="10"/>
      <c r="B1135" s="11"/>
      <c r="C1135" s="10"/>
      <c r="D1135" s="13"/>
      <c r="E1135" s="14"/>
      <c r="F1135" s="14"/>
      <c r="G1135" s="14"/>
      <c r="H1135" s="10"/>
      <c r="I1135" s="17"/>
      <c r="J1135" s="10"/>
      <c r="K1135" s="46"/>
      <c r="L1135" s="10"/>
      <c r="M1135" s="20"/>
      <c r="N1135" s="20"/>
      <c r="O1135" s="20"/>
      <c r="P1135" s="20"/>
    </row>
    <row r="1136">
      <c r="A1136" s="23"/>
      <c r="B1136" s="21"/>
      <c r="C1136" s="23"/>
      <c r="D1136" s="24"/>
      <c r="E1136" s="14"/>
      <c r="F1136" s="14"/>
      <c r="G1136" s="14"/>
      <c r="H1136" s="23"/>
      <c r="I1136" s="27"/>
      <c r="J1136" s="23"/>
      <c r="K1136" s="30"/>
      <c r="L1136" s="23"/>
      <c r="M1136" s="20"/>
      <c r="N1136" s="20"/>
      <c r="O1136" s="20"/>
      <c r="P1136" s="20"/>
    </row>
    <row r="1137">
      <c r="A1137" s="10"/>
      <c r="B1137" s="11"/>
      <c r="C1137" s="10"/>
      <c r="D1137" s="13"/>
      <c r="E1137" s="14"/>
      <c r="F1137" s="14"/>
      <c r="G1137" s="14"/>
      <c r="H1137" s="10"/>
      <c r="I1137" s="17"/>
      <c r="J1137" s="10"/>
      <c r="K1137" s="46"/>
      <c r="L1137" s="10"/>
      <c r="M1137" s="20"/>
      <c r="N1137" s="20"/>
      <c r="O1137" s="20"/>
      <c r="P1137" s="20"/>
    </row>
    <row r="1138">
      <c r="A1138" s="23"/>
      <c r="B1138" s="21"/>
      <c r="C1138" s="23"/>
      <c r="D1138" s="24"/>
      <c r="E1138" s="14"/>
      <c r="F1138" s="14"/>
      <c r="G1138" s="14"/>
      <c r="H1138" s="23"/>
      <c r="I1138" s="27"/>
      <c r="J1138" s="23"/>
      <c r="K1138" s="30"/>
      <c r="L1138" s="23"/>
      <c r="M1138" s="20"/>
      <c r="N1138" s="20"/>
      <c r="O1138" s="20"/>
      <c r="P1138" s="20"/>
    </row>
    <row r="1139">
      <c r="A1139" s="10"/>
      <c r="B1139" s="11"/>
      <c r="C1139" s="10"/>
      <c r="D1139" s="13"/>
      <c r="E1139" s="14"/>
      <c r="F1139" s="14"/>
      <c r="G1139" s="14"/>
      <c r="H1139" s="10"/>
      <c r="I1139" s="17"/>
      <c r="J1139" s="10"/>
      <c r="K1139" s="46"/>
      <c r="L1139" s="10"/>
      <c r="M1139" s="20"/>
      <c r="N1139" s="20"/>
      <c r="O1139" s="20"/>
      <c r="P1139" s="20"/>
    </row>
    <row r="1140">
      <c r="A1140" s="23"/>
      <c r="B1140" s="21"/>
      <c r="C1140" s="23"/>
      <c r="D1140" s="24"/>
      <c r="E1140" s="14"/>
      <c r="F1140" s="14"/>
      <c r="G1140" s="14"/>
      <c r="H1140" s="23"/>
      <c r="I1140" s="27"/>
      <c r="J1140" s="23"/>
      <c r="K1140" s="30"/>
      <c r="L1140" s="23"/>
      <c r="M1140" s="20"/>
      <c r="N1140" s="20"/>
      <c r="O1140" s="20"/>
      <c r="P1140" s="20"/>
    </row>
    <row r="1141">
      <c r="A1141" s="10"/>
      <c r="B1141" s="11"/>
      <c r="C1141" s="10"/>
      <c r="D1141" s="13"/>
      <c r="E1141" s="14"/>
      <c r="F1141" s="14"/>
      <c r="G1141" s="14"/>
      <c r="H1141" s="10"/>
      <c r="I1141" s="17"/>
      <c r="J1141" s="10"/>
      <c r="K1141" s="46"/>
      <c r="L1141" s="10"/>
      <c r="M1141" s="20"/>
      <c r="N1141" s="20"/>
      <c r="O1141" s="20"/>
      <c r="P1141" s="20"/>
    </row>
    <row r="1142">
      <c r="A1142" s="23"/>
      <c r="B1142" s="21"/>
      <c r="C1142" s="23"/>
      <c r="D1142" s="24"/>
      <c r="E1142" s="14"/>
      <c r="F1142" s="14"/>
      <c r="G1142" s="14"/>
      <c r="H1142" s="23"/>
      <c r="I1142" s="27"/>
      <c r="J1142" s="23"/>
      <c r="K1142" s="30"/>
      <c r="L1142" s="23"/>
      <c r="M1142" s="20"/>
      <c r="N1142" s="20"/>
      <c r="O1142" s="20"/>
      <c r="P1142" s="20"/>
    </row>
    <row r="1143">
      <c r="A1143" s="10"/>
      <c r="B1143" s="11"/>
      <c r="C1143" s="10"/>
      <c r="D1143" s="13"/>
      <c r="E1143" s="14"/>
      <c r="F1143" s="14"/>
      <c r="G1143" s="14"/>
      <c r="H1143" s="10"/>
      <c r="I1143" s="17"/>
      <c r="J1143" s="10"/>
      <c r="K1143" s="46"/>
      <c r="L1143" s="10"/>
      <c r="M1143" s="20"/>
      <c r="N1143" s="20"/>
      <c r="O1143" s="20"/>
      <c r="P1143" s="20"/>
    </row>
    <row r="1144">
      <c r="A1144" s="23"/>
      <c r="B1144" s="21"/>
      <c r="C1144" s="23"/>
      <c r="D1144" s="24"/>
      <c r="E1144" s="14"/>
      <c r="F1144" s="14"/>
      <c r="G1144" s="14"/>
      <c r="H1144" s="23"/>
      <c r="I1144" s="27"/>
      <c r="J1144" s="23"/>
      <c r="K1144" s="30"/>
      <c r="L1144" s="23"/>
      <c r="M1144" s="20"/>
      <c r="N1144" s="20"/>
      <c r="O1144" s="20"/>
      <c r="P1144" s="20"/>
    </row>
    <row r="1145">
      <c r="A1145" s="10"/>
      <c r="B1145" s="11"/>
      <c r="C1145" s="10"/>
      <c r="D1145" s="13"/>
      <c r="E1145" s="14"/>
      <c r="F1145" s="14"/>
      <c r="G1145" s="14"/>
      <c r="H1145" s="10"/>
      <c r="I1145" s="17"/>
      <c r="J1145" s="10"/>
      <c r="K1145" s="46"/>
      <c r="L1145" s="10"/>
      <c r="M1145" s="20"/>
      <c r="N1145" s="20"/>
      <c r="O1145" s="20"/>
      <c r="P1145" s="20"/>
    </row>
    <row r="1146">
      <c r="A1146" s="23"/>
      <c r="B1146" s="21"/>
      <c r="C1146" s="23"/>
      <c r="D1146" s="24"/>
      <c r="E1146" s="14"/>
      <c r="F1146" s="14"/>
      <c r="G1146" s="14"/>
      <c r="H1146" s="23"/>
      <c r="I1146" s="27"/>
      <c r="J1146" s="23"/>
      <c r="K1146" s="30"/>
      <c r="L1146" s="23"/>
      <c r="M1146" s="20"/>
      <c r="N1146" s="20"/>
      <c r="O1146" s="20"/>
      <c r="P1146" s="20"/>
    </row>
    <row r="1147">
      <c r="A1147" s="10"/>
      <c r="B1147" s="11"/>
      <c r="C1147" s="10"/>
      <c r="D1147" s="13"/>
      <c r="E1147" s="14"/>
      <c r="F1147" s="14"/>
      <c r="G1147" s="14"/>
      <c r="H1147" s="10"/>
      <c r="I1147" s="17"/>
      <c r="J1147" s="10"/>
      <c r="K1147" s="46"/>
      <c r="L1147" s="10"/>
      <c r="M1147" s="20"/>
      <c r="N1147" s="20"/>
      <c r="O1147" s="20"/>
      <c r="P1147" s="20"/>
    </row>
    <row r="1148">
      <c r="A1148" s="23"/>
      <c r="B1148" s="21"/>
      <c r="C1148" s="23"/>
      <c r="D1148" s="24"/>
      <c r="E1148" s="14"/>
      <c r="F1148" s="14"/>
      <c r="G1148" s="14"/>
      <c r="H1148" s="23"/>
      <c r="I1148" s="27"/>
      <c r="J1148" s="23"/>
      <c r="K1148" s="30"/>
      <c r="L1148" s="23"/>
      <c r="M1148" s="20"/>
      <c r="N1148" s="20"/>
      <c r="O1148" s="20"/>
      <c r="P1148" s="20"/>
    </row>
    <row r="1149">
      <c r="A1149" s="10"/>
      <c r="B1149" s="11"/>
      <c r="C1149" s="10"/>
      <c r="D1149" s="13"/>
      <c r="E1149" s="14"/>
      <c r="F1149" s="14"/>
      <c r="G1149" s="14"/>
      <c r="H1149" s="10"/>
      <c r="I1149" s="17"/>
      <c r="J1149" s="10"/>
      <c r="K1149" s="46"/>
      <c r="L1149" s="10"/>
      <c r="M1149" s="20"/>
      <c r="N1149" s="20"/>
      <c r="O1149" s="20"/>
      <c r="P1149" s="20"/>
    </row>
    <row r="1150">
      <c r="A1150" s="23"/>
      <c r="B1150" s="21"/>
      <c r="C1150" s="23"/>
      <c r="D1150" s="24"/>
      <c r="E1150" s="14"/>
      <c r="F1150" s="14"/>
      <c r="G1150" s="14"/>
      <c r="H1150" s="23"/>
      <c r="I1150" s="27"/>
      <c r="J1150" s="23"/>
      <c r="K1150" s="30"/>
      <c r="L1150" s="23"/>
      <c r="M1150" s="20"/>
      <c r="N1150" s="20"/>
      <c r="O1150" s="20"/>
      <c r="P1150" s="20"/>
    </row>
    <row r="1151">
      <c r="A1151" s="10"/>
      <c r="B1151" s="11"/>
      <c r="C1151" s="10"/>
      <c r="D1151" s="13"/>
      <c r="E1151" s="14"/>
      <c r="F1151" s="14"/>
      <c r="G1151" s="14"/>
      <c r="H1151" s="10"/>
      <c r="I1151" s="17"/>
      <c r="J1151" s="10"/>
      <c r="K1151" s="46"/>
      <c r="L1151" s="10"/>
      <c r="M1151" s="20"/>
      <c r="N1151" s="20"/>
      <c r="O1151" s="20"/>
      <c r="P1151" s="20"/>
    </row>
    <row r="1152">
      <c r="A1152" s="23"/>
      <c r="B1152" s="21"/>
      <c r="C1152" s="23"/>
      <c r="D1152" s="24"/>
      <c r="E1152" s="14"/>
      <c r="F1152" s="14"/>
      <c r="G1152" s="14"/>
      <c r="H1152" s="23"/>
      <c r="I1152" s="27"/>
      <c r="J1152" s="23"/>
      <c r="K1152" s="30"/>
      <c r="L1152" s="23"/>
      <c r="M1152" s="20"/>
      <c r="N1152" s="20"/>
      <c r="O1152" s="20"/>
      <c r="P1152" s="20"/>
    </row>
    <row r="1153">
      <c r="A1153" s="10"/>
      <c r="B1153" s="11"/>
      <c r="C1153" s="10"/>
      <c r="D1153" s="13"/>
      <c r="E1153" s="14"/>
      <c r="F1153" s="14"/>
      <c r="G1153" s="14"/>
      <c r="H1153" s="10"/>
      <c r="I1153" s="17"/>
      <c r="J1153" s="10"/>
      <c r="K1153" s="46"/>
      <c r="L1153" s="10"/>
      <c r="M1153" s="20"/>
      <c r="N1153" s="20"/>
      <c r="O1153" s="20"/>
      <c r="P1153" s="20"/>
    </row>
    <row r="1154">
      <c r="A1154" s="23"/>
      <c r="B1154" s="21"/>
      <c r="C1154" s="23"/>
      <c r="D1154" s="24"/>
      <c r="E1154" s="14"/>
      <c r="F1154" s="14"/>
      <c r="G1154" s="14"/>
      <c r="H1154" s="23"/>
      <c r="I1154" s="27"/>
      <c r="J1154" s="23"/>
      <c r="K1154" s="30"/>
      <c r="L1154" s="23"/>
      <c r="M1154" s="20"/>
      <c r="N1154" s="20"/>
      <c r="O1154" s="20"/>
      <c r="P1154" s="20"/>
    </row>
    <row r="1155">
      <c r="A1155" s="10"/>
      <c r="B1155" s="11"/>
      <c r="C1155" s="10"/>
      <c r="D1155" s="13"/>
      <c r="E1155" s="14"/>
      <c r="F1155" s="14"/>
      <c r="G1155" s="14"/>
      <c r="H1155" s="10"/>
      <c r="I1155" s="17"/>
      <c r="J1155" s="10"/>
      <c r="K1155" s="46"/>
      <c r="L1155" s="10"/>
      <c r="M1155" s="20"/>
      <c r="N1155" s="20"/>
      <c r="O1155" s="20"/>
      <c r="P1155" s="20"/>
    </row>
    <row r="1156">
      <c r="A1156" s="23"/>
      <c r="B1156" s="21"/>
      <c r="C1156" s="23"/>
      <c r="D1156" s="24"/>
      <c r="E1156" s="14"/>
      <c r="F1156" s="14"/>
      <c r="G1156" s="14"/>
      <c r="H1156" s="23"/>
      <c r="I1156" s="27"/>
      <c r="J1156" s="23"/>
      <c r="K1156" s="30"/>
      <c r="L1156" s="23"/>
      <c r="M1156" s="20"/>
      <c r="N1156" s="20"/>
      <c r="O1156" s="20"/>
      <c r="P1156" s="20"/>
    </row>
    <row r="1157">
      <c r="A1157" s="10"/>
      <c r="B1157" s="11"/>
      <c r="C1157" s="10"/>
      <c r="D1157" s="13"/>
      <c r="E1157" s="14"/>
      <c r="F1157" s="14"/>
      <c r="G1157" s="14"/>
      <c r="H1157" s="10"/>
      <c r="I1157" s="17"/>
      <c r="J1157" s="10"/>
      <c r="K1157" s="46"/>
      <c r="L1157" s="10"/>
      <c r="M1157" s="20"/>
      <c r="N1157" s="20"/>
      <c r="O1157" s="20"/>
      <c r="P1157" s="20"/>
    </row>
    <row r="1158">
      <c r="A1158" s="23"/>
      <c r="B1158" s="21"/>
      <c r="C1158" s="23"/>
      <c r="D1158" s="24"/>
      <c r="E1158" s="14"/>
      <c r="F1158" s="14"/>
      <c r="G1158" s="14"/>
      <c r="H1158" s="23"/>
      <c r="I1158" s="27"/>
      <c r="J1158" s="23"/>
      <c r="K1158" s="30"/>
      <c r="L1158" s="23"/>
      <c r="M1158" s="20"/>
      <c r="N1158" s="20"/>
      <c r="O1158" s="20"/>
      <c r="P1158" s="20"/>
    </row>
    <row r="1159">
      <c r="A1159" s="10"/>
      <c r="B1159" s="11"/>
      <c r="C1159" s="10"/>
      <c r="D1159" s="13"/>
      <c r="E1159" s="14"/>
      <c r="F1159" s="14"/>
      <c r="G1159" s="14"/>
      <c r="H1159" s="10"/>
      <c r="I1159" s="17"/>
      <c r="J1159" s="10"/>
      <c r="K1159" s="46"/>
      <c r="L1159" s="10"/>
      <c r="M1159" s="20"/>
      <c r="N1159" s="20"/>
      <c r="O1159" s="20"/>
      <c r="P1159" s="20"/>
    </row>
    <row r="1160">
      <c r="A1160" s="23"/>
      <c r="B1160" s="21"/>
      <c r="C1160" s="23"/>
      <c r="D1160" s="24"/>
      <c r="E1160" s="14"/>
      <c r="F1160" s="14"/>
      <c r="G1160" s="14"/>
      <c r="H1160" s="23"/>
      <c r="I1160" s="27"/>
      <c r="J1160" s="23"/>
      <c r="K1160" s="30"/>
      <c r="L1160" s="23"/>
      <c r="M1160" s="20"/>
      <c r="N1160" s="20"/>
      <c r="O1160" s="20"/>
      <c r="P1160" s="20"/>
    </row>
    <row r="1161">
      <c r="A1161" s="10"/>
      <c r="B1161" s="11"/>
      <c r="C1161" s="10"/>
      <c r="D1161" s="13"/>
      <c r="E1161" s="14"/>
      <c r="F1161" s="14"/>
      <c r="G1161" s="14"/>
      <c r="H1161" s="10"/>
      <c r="I1161" s="17"/>
      <c r="J1161" s="10"/>
      <c r="K1161" s="46"/>
      <c r="L1161" s="10"/>
      <c r="M1161" s="20"/>
      <c r="N1161" s="20"/>
      <c r="O1161" s="20"/>
      <c r="P1161" s="20"/>
    </row>
    <row r="1162">
      <c r="A1162" s="23"/>
      <c r="B1162" s="21"/>
      <c r="C1162" s="23"/>
      <c r="D1162" s="24"/>
      <c r="E1162" s="14"/>
      <c r="F1162" s="14"/>
      <c r="G1162" s="14"/>
      <c r="H1162" s="23"/>
      <c r="I1162" s="27"/>
      <c r="J1162" s="23"/>
      <c r="K1162" s="30"/>
      <c r="L1162" s="23"/>
      <c r="M1162" s="20"/>
      <c r="N1162" s="20"/>
      <c r="O1162" s="20"/>
      <c r="P1162" s="20"/>
    </row>
    <row r="1163">
      <c r="A1163" s="10"/>
      <c r="B1163" s="11"/>
      <c r="C1163" s="10"/>
      <c r="D1163" s="13"/>
      <c r="E1163" s="14"/>
      <c r="F1163" s="14"/>
      <c r="G1163" s="14"/>
      <c r="H1163" s="10"/>
      <c r="I1163" s="17"/>
      <c r="J1163" s="10"/>
      <c r="K1163" s="46"/>
      <c r="L1163" s="10"/>
      <c r="M1163" s="20"/>
      <c r="N1163" s="20"/>
      <c r="O1163" s="20"/>
      <c r="P1163" s="20"/>
    </row>
    <row r="1164">
      <c r="A1164" s="23"/>
      <c r="B1164" s="21"/>
      <c r="C1164" s="23"/>
      <c r="D1164" s="24"/>
      <c r="E1164" s="14"/>
      <c r="F1164" s="14"/>
      <c r="G1164" s="14"/>
      <c r="H1164" s="23"/>
      <c r="I1164" s="27"/>
      <c r="J1164" s="23"/>
      <c r="K1164" s="30"/>
      <c r="L1164" s="23"/>
      <c r="M1164" s="20"/>
      <c r="N1164" s="20"/>
      <c r="O1164" s="20"/>
      <c r="P1164" s="20"/>
    </row>
    <row r="1165">
      <c r="A1165" s="10"/>
      <c r="B1165" s="11"/>
      <c r="C1165" s="10"/>
      <c r="D1165" s="13"/>
      <c r="E1165" s="14"/>
      <c r="F1165" s="14"/>
      <c r="G1165" s="14"/>
      <c r="H1165" s="10"/>
      <c r="I1165" s="17"/>
      <c r="J1165" s="10"/>
      <c r="K1165" s="46"/>
      <c r="L1165" s="10"/>
      <c r="M1165" s="20"/>
      <c r="N1165" s="20"/>
      <c r="O1165" s="20"/>
      <c r="P1165" s="20"/>
    </row>
    <row r="1166">
      <c r="A1166" s="23"/>
      <c r="B1166" s="21"/>
      <c r="C1166" s="23"/>
      <c r="D1166" s="24"/>
      <c r="E1166" s="14"/>
      <c r="F1166" s="14"/>
      <c r="G1166" s="14"/>
      <c r="H1166" s="23"/>
      <c r="I1166" s="27"/>
      <c r="J1166" s="23"/>
      <c r="K1166" s="30"/>
      <c r="L1166" s="23"/>
      <c r="M1166" s="20"/>
      <c r="N1166" s="20"/>
      <c r="O1166" s="20"/>
      <c r="P1166" s="20"/>
    </row>
    <row r="1167">
      <c r="A1167" s="10"/>
      <c r="B1167" s="11"/>
      <c r="C1167" s="10"/>
      <c r="D1167" s="13"/>
      <c r="E1167" s="14"/>
      <c r="F1167" s="14"/>
      <c r="G1167" s="14"/>
      <c r="H1167" s="10"/>
      <c r="I1167" s="17"/>
      <c r="J1167" s="10"/>
      <c r="K1167" s="46"/>
      <c r="L1167" s="10"/>
      <c r="M1167" s="20"/>
      <c r="N1167" s="20"/>
      <c r="O1167" s="20"/>
      <c r="P1167" s="20"/>
    </row>
    <row r="1168">
      <c r="A1168" s="23"/>
      <c r="B1168" s="21"/>
      <c r="C1168" s="23"/>
      <c r="D1168" s="24"/>
      <c r="E1168" s="14"/>
      <c r="F1168" s="14"/>
      <c r="G1168" s="14"/>
      <c r="H1168" s="23"/>
      <c r="I1168" s="27"/>
      <c r="J1168" s="23"/>
      <c r="K1168" s="30"/>
      <c r="L1168" s="23"/>
      <c r="M1168" s="20"/>
      <c r="N1168" s="20"/>
      <c r="O1168" s="20"/>
      <c r="P1168" s="20"/>
    </row>
    <row r="1169">
      <c r="A1169" s="10"/>
      <c r="B1169" s="11"/>
      <c r="C1169" s="10"/>
      <c r="D1169" s="13"/>
      <c r="E1169" s="14"/>
      <c r="F1169" s="14"/>
      <c r="G1169" s="14"/>
      <c r="H1169" s="10"/>
      <c r="I1169" s="17"/>
      <c r="J1169" s="10"/>
      <c r="K1169" s="46"/>
      <c r="L1169" s="10"/>
      <c r="M1169" s="20"/>
      <c r="N1169" s="20"/>
      <c r="O1169" s="20"/>
      <c r="P1169" s="20"/>
    </row>
    <row r="1170">
      <c r="A1170" s="23"/>
      <c r="B1170" s="21"/>
      <c r="C1170" s="23"/>
      <c r="D1170" s="24"/>
      <c r="E1170" s="14"/>
      <c r="F1170" s="14"/>
      <c r="G1170" s="14"/>
      <c r="H1170" s="23"/>
      <c r="I1170" s="27"/>
      <c r="J1170" s="23"/>
      <c r="K1170" s="30"/>
      <c r="L1170" s="23"/>
      <c r="M1170" s="20"/>
      <c r="N1170" s="20"/>
      <c r="O1170" s="20"/>
      <c r="P1170" s="20"/>
    </row>
    <row r="1171">
      <c r="A1171" s="10"/>
      <c r="B1171" s="11"/>
      <c r="C1171" s="10"/>
      <c r="D1171" s="13"/>
      <c r="E1171" s="14"/>
      <c r="F1171" s="14"/>
      <c r="G1171" s="14"/>
      <c r="H1171" s="10"/>
      <c r="I1171" s="17"/>
      <c r="J1171" s="10"/>
      <c r="K1171" s="46"/>
      <c r="L1171" s="10"/>
      <c r="M1171" s="20"/>
      <c r="N1171" s="20"/>
      <c r="O1171" s="20"/>
      <c r="P1171" s="20"/>
    </row>
    <row r="1172">
      <c r="A1172" s="23"/>
      <c r="B1172" s="21"/>
      <c r="C1172" s="23"/>
      <c r="D1172" s="24"/>
      <c r="E1172" s="14"/>
      <c r="F1172" s="14"/>
      <c r="G1172" s="14"/>
      <c r="H1172" s="23"/>
      <c r="I1172" s="27"/>
      <c r="J1172" s="23"/>
      <c r="K1172" s="30"/>
      <c r="L1172" s="23"/>
      <c r="M1172" s="20"/>
      <c r="N1172" s="20"/>
      <c r="O1172" s="20"/>
      <c r="P1172" s="20"/>
    </row>
    <row r="1173">
      <c r="A1173" s="10"/>
      <c r="B1173" s="11"/>
      <c r="C1173" s="10"/>
      <c r="D1173" s="13"/>
      <c r="E1173" s="14"/>
      <c r="F1173" s="14"/>
      <c r="G1173" s="14"/>
      <c r="H1173" s="10"/>
      <c r="I1173" s="17"/>
      <c r="J1173" s="10"/>
      <c r="K1173" s="46"/>
      <c r="L1173" s="10"/>
      <c r="M1173" s="20"/>
      <c r="N1173" s="20"/>
      <c r="O1173" s="20"/>
      <c r="P1173" s="20"/>
    </row>
    <row r="1174">
      <c r="A1174" s="23"/>
      <c r="B1174" s="21"/>
      <c r="C1174" s="23"/>
      <c r="D1174" s="24"/>
      <c r="E1174" s="14"/>
      <c r="F1174" s="14"/>
      <c r="G1174" s="14"/>
      <c r="H1174" s="23"/>
      <c r="I1174" s="27"/>
      <c r="J1174" s="23"/>
      <c r="K1174" s="30"/>
      <c r="L1174" s="23"/>
      <c r="M1174" s="20"/>
      <c r="N1174" s="20"/>
      <c r="O1174" s="20"/>
      <c r="P1174" s="20"/>
    </row>
    <row r="1175">
      <c r="A1175" s="10"/>
      <c r="B1175" s="11"/>
      <c r="C1175" s="10"/>
      <c r="D1175" s="13"/>
      <c r="E1175" s="14"/>
      <c r="F1175" s="14"/>
      <c r="G1175" s="14"/>
      <c r="H1175" s="10"/>
      <c r="I1175" s="17"/>
      <c r="J1175" s="10"/>
      <c r="K1175" s="46"/>
      <c r="L1175" s="10"/>
      <c r="M1175" s="20"/>
      <c r="N1175" s="20"/>
      <c r="O1175" s="20"/>
      <c r="P1175" s="20"/>
    </row>
    <row r="1176">
      <c r="A1176" s="23"/>
      <c r="B1176" s="21"/>
      <c r="C1176" s="23"/>
      <c r="D1176" s="24"/>
      <c r="E1176" s="14"/>
      <c r="F1176" s="14"/>
      <c r="G1176" s="14"/>
      <c r="H1176" s="23"/>
      <c r="I1176" s="27"/>
      <c r="J1176" s="23"/>
      <c r="K1176" s="30"/>
      <c r="L1176" s="23"/>
      <c r="M1176" s="20"/>
      <c r="N1176" s="20"/>
      <c r="O1176" s="20"/>
      <c r="P1176" s="20"/>
    </row>
    <row r="1177">
      <c r="A1177" s="10"/>
      <c r="B1177" s="11"/>
      <c r="C1177" s="10"/>
      <c r="D1177" s="13"/>
      <c r="E1177" s="14"/>
      <c r="F1177" s="14"/>
      <c r="G1177" s="14"/>
      <c r="H1177" s="10"/>
      <c r="I1177" s="17"/>
      <c r="J1177" s="10"/>
      <c r="K1177" s="46"/>
      <c r="L1177" s="10"/>
      <c r="M1177" s="20"/>
      <c r="N1177" s="20"/>
      <c r="O1177" s="20"/>
      <c r="P1177" s="20"/>
    </row>
    <row r="1178">
      <c r="A1178" s="23"/>
      <c r="B1178" s="21"/>
      <c r="C1178" s="23"/>
      <c r="D1178" s="24"/>
      <c r="E1178" s="14"/>
      <c r="F1178" s="14"/>
      <c r="G1178" s="14"/>
      <c r="H1178" s="23"/>
      <c r="I1178" s="27"/>
      <c r="J1178" s="23"/>
      <c r="K1178" s="30"/>
      <c r="L1178" s="23"/>
      <c r="M1178" s="20"/>
      <c r="N1178" s="20"/>
      <c r="O1178" s="20"/>
      <c r="P1178" s="20"/>
    </row>
    <row r="1179">
      <c r="A1179" s="10"/>
      <c r="B1179" s="11"/>
      <c r="C1179" s="10"/>
      <c r="D1179" s="13"/>
      <c r="E1179" s="14"/>
      <c r="F1179" s="14"/>
      <c r="G1179" s="14"/>
      <c r="H1179" s="10"/>
      <c r="I1179" s="17"/>
      <c r="J1179" s="10"/>
      <c r="K1179" s="46"/>
      <c r="L1179" s="10"/>
      <c r="M1179" s="20"/>
      <c r="N1179" s="20"/>
      <c r="O1179" s="20"/>
      <c r="P1179" s="20"/>
    </row>
    <row r="1180">
      <c r="A1180" s="23"/>
      <c r="B1180" s="21"/>
      <c r="C1180" s="23"/>
      <c r="D1180" s="24"/>
      <c r="E1180" s="14"/>
      <c r="F1180" s="14"/>
      <c r="G1180" s="14"/>
      <c r="H1180" s="23"/>
      <c r="I1180" s="27"/>
      <c r="J1180" s="23"/>
      <c r="K1180" s="30"/>
      <c r="L1180" s="23"/>
      <c r="M1180" s="20"/>
      <c r="N1180" s="20"/>
      <c r="O1180" s="20"/>
      <c r="P1180" s="20"/>
    </row>
    <row r="1181">
      <c r="A1181" s="10"/>
      <c r="B1181" s="11"/>
      <c r="C1181" s="10"/>
      <c r="D1181" s="13"/>
      <c r="E1181" s="14"/>
      <c r="F1181" s="14"/>
      <c r="G1181" s="14"/>
      <c r="H1181" s="10"/>
      <c r="I1181" s="17"/>
      <c r="J1181" s="10"/>
      <c r="K1181" s="46"/>
      <c r="L1181" s="10"/>
      <c r="M1181" s="20"/>
      <c r="N1181" s="20"/>
      <c r="O1181" s="20"/>
      <c r="P1181" s="20"/>
    </row>
    <row r="1182">
      <c r="A1182" s="23"/>
      <c r="B1182" s="21"/>
      <c r="C1182" s="23"/>
      <c r="D1182" s="24"/>
      <c r="E1182" s="14"/>
      <c r="F1182" s="14"/>
      <c r="G1182" s="14"/>
      <c r="H1182" s="23"/>
      <c r="I1182" s="27"/>
      <c r="J1182" s="23"/>
      <c r="K1182" s="30"/>
      <c r="L1182" s="23"/>
      <c r="M1182" s="20"/>
      <c r="N1182" s="20"/>
      <c r="O1182" s="20"/>
      <c r="P1182" s="20"/>
    </row>
    <row r="1183">
      <c r="A1183" s="10"/>
      <c r="B1183" s="11"/>
      <c r="C1183" s="10"/>
      <c r="D1183" s="13"/>
      <c r="E1183" s="14"/>
      <c r="F1183" s="14"/>
      <c r="G1183" s="14"/>
      <c r="H1183" s="10"/>
      <c r="I1183" s="17"/>
      <c r="J1183" s="10"/>
      <c r="K1183" s="46"/>
      <c r="L1183" s="10"/>
      <c r="M1183" s="20"/>
      <c r="N1183" s="20"/>
      <c r="O1183" s="20"/>
      <c r="P1183" s="20"/>
    </row>
    <row r="1184">
      <c r="A1184" s="23"/>
      <c r="B1184" s="21"/>
      <c r="C1184" s="23"/>
      <c r="D1184" s="24"/>
      <c r="E1184" s="14"/>
      <c r="F1184" s="14"/>
      <c r="G1184" s="14"/>
      <c r="H1184" s="23"/>
      <c r="I1184" s="27"/>
      <c r="J1184" s="23"/>
      <c r="K1184" s="30"/>
      <c r="L1184" s="23"/>
      <c r="M1184" s="20"/>
      <c r="N1184" s="20"/>
      <c r="O1184" s="20"/>
      <c r="P1184" s="20"/>
    </row>
    <row r="1185">
      <c r="A1185" s="10"/>
      <c r="B1185" s="11"/>
      <c r="C1185" s="10"/>
      <c r="D1185" s="13"/>
      <c r="E1185" s="14"/>
      <c r="F1185" s="14"/>
      <c r="G1185" s="14"/>
      <c r="H1185" s="10"/>
      <c r="I1185" s="17"/>
      <c r="J1185" s="10"/>
      <c r="K1185" s="46"/>
      <c r="L1185" s="10"/>
      <c r="M1185" s="20"/>
      <c r="N1185" s="20"/>
      <c r="O1185" s="20"/>
      <c r="P1185" s="20"/>
    </row>
    <row r="1186">
      <c r="A1186" s="23"/>
      <c r="B1186" s="21"/>
      <c r="C1186" s="23"/>
      <c r="D1186" s="24"/>
      <c r="E1186" s="14"/>
      <c r="F1186" s="14"/>
      <c r="G1186" s="14"/>
      <c r="H1186" s="23"/>
      <c r="I1186" s="27"/>
      <c r="J1186" s="23"/>
      <c r="K1186" s="30"/>
      <c r="L1186" s="23"/>
      <c r="M1186" s="20"/>
      <c r="N1186" s="20"/>
      <c r="O1186" s="20"/>
      <c r="P1186" s="20"/>
    </row>
    <row r="1187">
      <c r="A1187" s="10"/>
      <c r="B1187" s="11"/>
      <c r="C1187" s="10"/>
      <c r="D1187" s="13"/>
      <c r="E1187" s="14"/>
      <c r="F1187" s="14"/>
      <c r="G1187" s="14"/>
      <c r="H1187" s="10"/>
      <c r="I1187" s="17"/>
      <c r="J1187" s="10"/>
      <c r="K1187" s="46"/>
      <c r="L1187" s="10"/>
      <c r="M1187" s="20"/>
      <c r="N1187" s="20"/>
      <c r="O1187" s="20"/>
      <c r="P1187" s="20"/>
    </row>
    <row r="1188">
      <c r="A1188" s="23"/>
      <c r="B1188" s="21"/>
      <c r="C1188" s="23"/>
      <c r="D1188" s="24"/>
      <c r="E1188" s="14"/>
      <c r="F1188" s="14"/>
      <c r="G1188" s="14"/>
      <c r="H1188" s="23"/>
      <c r="I1188" s="27"/>
      <c r="J1188" s="23"/>
      <c r="K1188" s="30"/>
      <c r="L1188" s="23"/>
      <c r="M1188" s="20"/>
      <c r="N1188" s="20"/>
      <c r="O1188" s="20"/>
      <c r="P1188" s="20"/>
    </row>
    <row r="1189">
      <c r="A1189" s="10"/>
      <c r="B1189" s="11"/>
      <c r="C1189" s="10"/>
      <c r="D1189" s="13"/>
      <c r="E1189" s="14"/>
      <c r="F1189" s="14"/>
      <c r="G1189" s="14"/>
      <c r="H1189" s="10"/>
      <c r="I1189" s="17"/>
      <c r="J1189" s="10"/>
      <c r="K1189" s="46"/>
      <c r="L1189" s="10"/>
      <c r="M1189" s="20"/>
      <c r="N1189" s="20"/>
      <c r="O1189" s="20"/>
      <c r="P1189" s="20"/>
    </row>
    <row r="1190">
      <c r="A1190" s="23"/>
      <c r="B1190" s="21"/>
      <c r="C1190" s="23"/>
      <c r="D1190" s="24"/>
      <c r="E1190" s="14"/>
      <c r="F1190" s="14"/>
      <c r="G1190" s="14"/>
      <c r="H1190" s="23"/>
      <c r="I1190" s="27"/>
      <c r="J1190" s="23"/>
      <c r="K1190" s="30"/>
      <c r="L1190" s="23"/>
      <c r="M1190" s="20"/>
      <c r="N1190" s="20"/>
      <c r="O1190" s="20"/>
      <c r="P1190" s="20"/>
    </row>
    <row r="1191">
      <c r="A1191" s="10"/>
      <c r="B1191" s="11"/>
      <c r="C1191" s="10"/>
      <c r="D1191" s="13"/>
      <c r="E1191" s="14"/>
      <c r="F1191" s="14"/>
      <c r="G1191" s="14"/>
      <c r="H1191" s="10"/>
      <c r="I1191" s="17"/>
      <c r="J1191" s="10"/>
      <c r="K1191" s="46"/>
      <c r="L1191" s="10"/>
      <c r="M1191" s="20"/>
      <c r="N1191" s="20"/>
      <c r="O1191" s="20"/>
      <c r="P1191" s="20"/>
    </row>
    <row r="1192">
      <c r="A1192" s="23"/>
      <c r="B1192" s="21"/>
      <c r="C1192" s="23"/>
      <c r="D1192" s="24"/>
      <c r="E1192" s="14"/>
      <c r="F1192" s="14"/>
      <c r="G1192" s="14"/>
      <c r="H1192" s="23"/>
      <c r="I1192" s="27"/>
      <c r="J1192" s="23"/>
      <c r="K1192" s="30"/>
      <c r="L1192" s="23"/>
      <c r="M1192" s="20"/>
      <c r="N1192" s="20"/>
      <c r="O1192" s="20"/>
      <c r="P1192" s="20"/>
    </row>
    <row r="1193">
      <c r="A1193" s="10"/>
      <c r="B1193" s="11"/>
      <c r="C1193" s="10"/>
      <c r="D1193" s="13"/>
      <c r="E1193" s="14"/>
      <c r="F1193" s="14"/>
      <c r="G1193" s="14"/>
      <c r="H1193" s="10"/>
      <c r="I1193" s="17"/>
      <c r="J1193" s="10"/>
      <c r="K1193" s="46"/>
      <c r="L1193" s="10"/>
      <c r="M1193" s="20"/>
      <c r="N1193" s="20"/>
      <c r="O1193" s="20"/>
      <c r="P1193" s="20"/>
    </row>
    <row r="1194">
      <c r="A1194" s="23"/>
      <c r="B1194" s="21"/>
      <c r="C1194" s="23"/>
      <c r="D1194" s="24"/>
      <c r="E1194" s="14"/>
      <c r="F1194" s="14"/>
      <c r="G1194" s="14"/>
      <c r="H1194" s="23"/>
      <c r="I1194" s="27"/>
      <c r="J1194" s="23"/>
      <c r="K1194" s="30"/>
      <c r="L1194" s="23"/>
      <c r="M1194" s="20"/>
      <c r="N1194" s="20"/>
      <c r="O1194" s="20"/>
      <c r="P1194" s="20"/>
    </row>
    <row r="1195">
      <c r="A1195" s="10"/>
      <c r="B1195" s="11"/>
      <c r="C1195" s="10"/>
      <c r="D1195" s="13"/>
      <c r="E1195" s="14"/>
      <c r="F1195" s="14"/>
      <c r="G1195" s="14"/>
      <c r="H1195" s="10"/>
      <c r="I1195" s="17"/>
      <c r="J1195" s="10"/>
      <c r="K1195" s="46"/>
      <c r="L1195" s="10"/>
      <c r="M1195" s="20"/>
      <c r="N1195" s="20"/>
      <c r="O1195" s="20"/>
      <c r="P1195" s="20"/>
    </row>
    <row r="1196">
      <c r="A1196" s="23"/>
      <c r="B1196" s="21"/>
      <c r="C1196" s="23"/>
      <c r="D1196" s="24"/>
      <c r="E1196" s="14"/>
      <c r="F1196" s="14"/>
      <c r="G1196" s="14"/>
      <c r="H1196" s="23"/>
      <c r="I1196" s="27"/>
      <c r="J1196" s="23"/>
      <c r="K1196" s="30"/>
      <c r="L1196" s="23"/>
      <c r="M1196" s="20"/>
      <c r="N1196" s="20"/>
      <c r="O1196" s="20"/>
      <c r="P1196" s="20"/>
    </row>
    <row r="1197">
      <c r="A1197" s="10"/>
      <c r="B1197" s="11"/>
      <c r="C1197" s="10"/>
      <c r="D1197" s="13"/>
      <c r="E1197" s="14"/>
      <c r="F1197" s="14"/>
      <c r="G1197" s="14"/>
      <c r="H1197" s="10"/>
      <c r="I1197" s="17"/>
      <c r="J1197" s="10"/>
      <c r="K1197" s="46"/>
      <c r="L1197" s="10"/>
      <c r="M1197" s="20"/>
      <c r="N1197" s="20"/>
      <c r="O1197" s="20"/>
      <c r="P1197" s="20"/>
    </row>
    <row r="1198">
      <c r="A1198" s="23"/>
      <c r="B1198" s="21"/>
      <c r="C1198" s="23"/>
      <c r="D1198" s="24"/>
      <c r="E1198" s="14"/>
      <c r="F1198" s="14"/>
      <c r="G1198" s="14"/>
      <c r="H1198" s="23"/>
      <c r="I1198" s="27"/>
      <c r="J1198" s="23"/>
      <c r="K1198" s="30"/>
      <c r="L1198" s="23"/>
      <c r="M1198" s="20"/>
      <c r="N1198" s="20"/>
      <c r="O1198" s="20"/>
      <c r="P1198" s="20"/>
    </row>
    <row r="1199">
      <c r="A1199" s="10"/>
      <c r="B1199" s="11"/>
      <c r="C1199" s="10"/>
      <c r="D1199" s="13"/>
      <c r="E1199" s="14"/>
      <c r="F1199" s="14"/>
      <c r="G1199" s="14"/>
      <c r="H1199" s="10"/>
      <c r="I1199" s="17"/>
      <c r="J1199" s="10"/>
      <c r="K1199" s="46"/>
      <c r="L1199" s="10"/>
      <c r="M1199" s="20"/>
      <c r="N1199" s="20"/>
      <c r="O1199" s="20"/>
      <c r="P1199" s="20"/>
    </row>
    <row r="1200">
      <c r="A1200" s="23"/>
      <c r="B1200" s="21"/>
      <c r="C1200" s="23"/>
      <c r="D1200" s="24"/>
      <c r="E1200" s="14"/>
      <c r="F1200" s="14"/>
      <c r="G1200" s="14"/>
      <c r="H1200" s="23"/>
      <c r="I1200" s="27"/>
      <c r="J1200" s="23"/>
      <c r="K1200" s="30"/>
      <c r="L1200" s="23"/>
      <c r="M1200" s="20"/>
      <c r="N1200" s="20"/>
      <c r="O1200" s="20"/>
      <c r="P1200" s="20"/>
    </row>
    <row r="1201">
      <c r="A1201" s="10"/>
      <c r="B1201" s="11"/>
      <c r="C1201" s="10"/>
      <c r="D1201" s="13"/>
      <c r="E1201" s="14"/>
      <c r="F1201" s="14"/>
      <c r="G1201" s="14"/>
      <c r="H1201" s="10"/>
      <c r="I1201" s="17"/>
      <c r="J1201" s="10"/>
      <c r="K1201" s="46"/>
      <c r="L1201" s="10"/>
      <c r="M1201" s="20"/>
      <c r="N1201" s="20"/>
      <c r="O1201" s="20"/>
      <c r="P1201" s="20"/>
    </row>
    <row r="1202">
      <c r="A1202" s="23"/>
      <c r="B1202" s="21"/>
      <c r="C1202" s="23"/>
      <c r="D1202" s="24"/>
      <c r="E1202" s="14"/>
      <c r="F1202" s="14"/>
      <c r="G1202" s="14"/>
      <c r="H1202" s="23"/>
      <c r="I1202" s="27"/>
      <c r="J1202" s="23"/>
      <c r="K1202" s="30"/>
      <c r="L1202" s="23"/>
      <c r="M1202" s="20"/>
      <c r="N1202" s="20"/>
      <c r="O1202" s="20"/>
      <c r="P1202" s="20"/>
    </row>
    <row r="1203">
      <c r="A1203" s="10"/>
      <c r="B1203" s="11"/>
      <c r="C1203" s="10"/>
      <c r="D1203" s="13"/>
      <c r="E1203" s="14"/>
      <c r="F1203" s="14"/>
      <c r="G1203" s="14"/>
      <c r="H1203" s="10"/>
      <c r="I1203" s="17"/>
      <c r="J1203" s="10"/>
      <c r="K1203" s="46"/>
      <c r="L1203" s="10"/>
      <c r="M1203" s="20"/>
      <c r="N1203" s="20"/>
      <c r="O1203" s="20"/>
      <c r="P1203" s="20"/>
    </row>
    <row r="1204">
      <c r="A1204" s="23"/>
      <c r="B1204" s="21"/>
      <c r="C1204" s="23"/>
      <c r="D1204" s="24"/>
      <c r="E1204" s="14"/>
      <c r="F1204" s="14"/>
      <c r="G1204" s="14"/>
      <c r="H1204" s="23"/>
      <c r="I1204" s="27"/>
      <c r="J1204" s="23"/>
      <c r="K1204" s="30"/>
      <c r="L1204" s="23"/>
      <c r="M1204" s="20"/>
      <c r="N1204" s="20"/>
      <c r="O1204" s="20"/>
      <c r="P1204" s="20"/>
    </row>
    <row r="1205">
      <c r="A1205" s="10"/>
      <c r="B1205" s="11"/>
      <c r="C1205" s="10"/>
      <c r="D1205" s="13"/>
      <c r="E1205" s="14"/>
      <c r="F1205" s="14"/>
      <c r="G1205" s="14"/>
      <c r="H1205" s="10"/>
      <c r="I1205" s="17"/>
      <c r="J1205" s="10"/>
      <c r="K1205" s="46"/>
      <c r="L1205" s="10"/>
      <c r="M1205" s="20"/>
      <c r="N1205" s="20"/>
      <c r="O1205" s="20"/>
      <c r="P1205" s="20"/>
    </row>
    <row r="1206">
      <c r="A1206" s="23"/>
      <c r="B1206" s="21"/>
      <c r="C1206" s="23"/>
      <c r="D1206" s="24"/>
      <c r="E1206" s="14"/>
      <c r="F1206" s="14"/>
      <c r="G1206" s="14"/>
      <c r="H1206" s="23"/>
      <c r="I1206" s="27"/>
      <c r="J1206" s="23"/>
      <c r="K1206" s="30"/>
      <c r="L1206" s="23"/>
      <c r="M1206" s="20"/>
      <c r="N1206" s="20"/>
      <c r="O1206" s="20"/>
      <c r="P1206" s="20"/>
    </row>
    <row r="1207">
      <c r="A1207" s="10"/>
      <c r="B1207" s="11"/>
      <c r="C1207" s="10"/>
      <c r="D1207" s="13"/>
      <c r="E1207" s="14"/>
      <c r="F1207" s="14"/>
      <c r="G1207" s="14"/>
      <c r="H1207" s="10"/>
      <c r="I1207" s="17"/>
      <c r="J1207" s="10"/>
      <c r="K1207" s="46"/>
      <c r="L1207" s="10"/>
      <c r="M1207" s="20"/>
      <c r="N1207" s="20"/>
      <c r="O1207" s="20"/>
      <c r="P1207" s="20"/>
    </row>
    <row r="1208">
      <c r="A1208" s="23"/>
      <c r="B1208" s="21"/>
      <c r="C1208" s="23"/>
      <c r="D1208" s="24"/>
      <c r="E1208" s="14"/>
      <c r="F1208" s="14"/>
      <c r="G1208" s="14"/>
      <c r="H1208" s="23"/>
      <c r="I1208" s="27"/>
      <c r="J1208" s="23"/>
      <c r="K1208" s="30"/>
      <c r="L1208" s="23"/>
      <c r="M1208" s="20"/>
      <c r="N1208" s="20"/>
      <c r="O1208" s="20"/>
      <c r="P1208" s="20"/>
    </row>
    <row r="1209">
      <c r="A1209" s="10"/>
      <c r="B1209" s="11"/>
      <c r="C1209" s="10"/>
      <c r="D1209" s="13"/>
      <c r="E1209" s="14"/>
      <c r="F1209" s="14"/>
      <c r="G1209" s="14"/>
      <c r="H1209" s="10"/>
      <c r="I1209" s="17"/>
      <c r="J1209" s="10"/>
      <c r="K1209" s="46"/>
      <c r="L1209" s="10"/>
      <c r="M1209" s="20"/>
      <c r="N1209" s="20"/>
      <c r="O1209" s="20"/>
      <c r="P1209" s="20"/>
    </row>
    <row r="1210">
      <c r="A1210" s="23"/>
      <c r="B1210" s="21"/>
      <c r="C1210" s="23"/>
      <c r="D1210" s="24"/>
      <c r="E1210" s="14"/>
      <c r="F1210" s="14"/>
      <c r="G1210" s="14"/>
      <c r="H1210" s="23"/>
      <c r="I1210" s="27"/>
      <c r="J1210" s="23"/>
      <c r="K1210" s="30"/>
      <c r="L1210" s="23"/>
      <c r="M1210" s="20"/>
      <c r="N1210" s="20"/>
      <c r="O1210" s="20"/>
      <c r="P1210" s="20"/>
    </row>
    <row r="1211">
      <c r="A1211" s="10"/>
      <c r="B1211" s="11"/>
      <c r="C1211" s="10"/>
      <c r="D1211" s="13"/>
      <c r="E1211" s="14"/>
      <c r="F1211" s="14"/>
      <c r="G1211" s="14"/>
      <c r="H1211" s="10"/>
      <c r="I1211" s="17"/>
      <c r="J1211" s="10"/>
      <c r="K1211" s="46"/>
      <c r="L1211" s="10"/>
      <c r="M1211" s="20"/>
      <c r="N1211" s="20"/>
      <c r="O1211" s="20"/>
      <c r="P1211" s="20"/>
    </row>
    <row r="1212">
      <c r="A1212" s="23"/>
      <c r="B1212" s="21"/>
      <c r="C1212" s="23"/>
      <c r="D1212" s="24"/>
      <c r="E1212" s="14"/>
      <c r="F1212" s="14"/>
      <c r="G1212" s="14"/>
      <c r="H1212" s="23"/>
      <c r="I1212" s="27"/>
      <c r="J1212" s="23"/>
      <c r="K1212" s="30"/>
      <c r="L1212" s="23"/>
      <c r="M1212" s="20"/>
      <c r="N1212" s="20"/>
      <c r="O1212" s="20"/>
      <c r="P1212" s="20"/>
    </row>
    <row r="1213">
      <c r="A1213" s="10"/>
      <c r="B1213" s="11"/>
      <c r="C1213" s="10"/>
      <c r="D1213" s="13"/>
      <c r="E1213" s="14"/>
      <c r="F1213" s="14"/>
      <c r="G1213" s="14"/>
      <c r="H1213" s="10"/>
      <c r="I1213" s="17"/>
      <c r="J1213" s="10"/>
      <c r="K1213" s="46"/>
      <c r="L1213" s="10"/>
      <c r="M1213" s="20"/>
      <c r="N1213" s="20"/>
      <c r="O1213" s="20"/>
      <c r="P1213" s="20"/>
    </row>
    <row r="1214">
      <c r="A1214" s="23"/>
      <c r="B1214" s="21"/>
      <c r="C1214" s="23"/>
      <c r="D1214" s="24"/>
      <c r="E1214" s="14"/>
      <c r="F1214" s="14"/>
      <c r="G1214" s="14"/>
      <c r="H1214" s="23"/>
      <c r="I1214" s="27"/>
      <c r="J1214" s="23"/>
      <c r="K1214" s="30"/>
      <c r="L1214" s="23"/>
      <c r="M1214" s="20"/>
      <c r="N1214" s="20"/>
      <c r="O1214" s="20"/>
      <c r="P1214" s="20"/>
    </row>
    <row r="1215">
      <c r="A1215" s="10"/>
      <c r="B1215" s="11"/>
      <c r="C1215" s="10"/>
      <c r="D1215" s="13"/>
      <c r="E1215" s="14"/>
      <c r="F1215" s="14"/>
      <c r="G1215" s="14"/>
      <c r="H1215" s="10"/>
      <c r="I1215" s="17"/>
      <c r="J1215" s="10"/>
      <c r="K1215" s="46"/>
      <c r="L1215" s="10"/>
      <c r="M1215" s="20"/>
      <c r="N1215" s="20"/>
      <c r="O1215" s="20"/>
      <c r="P1215" s="20"/>
    </row>
    <row r="1216">
      <c r="A1216" s="23"/>
      <c r="B1216" s="21"/>
      <c r="C1216" s="23"/>
      <c r="D1216" s="24"/>
      <c r="E1216" s="14"/>
      <c r="F1216" s="14"/>
      <c r="G1216" s="14"/>
      <c r="H1216" s="23"/>
      <c r="I1216" s="27"/>
      <c r="J1216" s="23"/>
      <c r="K1216" s="30"/>
      <c r="L1216" s="23"/>
      <c r="M1216" s="20"/>
      <c r="N1216" s="20"/>
      <c r="O1216" s="20"/>
      <c r="P1216" s="20"/>
    </row>
    <row r="1217">
      <c r="A1217" s="10"/>
      <c r="B1217" s="11"/>
      <c r="C1217" s="10"/>
      <c r="D1217" s="13"/>
      <c r="E1217" s="14"/>
      <c r="F1217" s="14"/>
      <c r="G1217" s="14"/>
      <c r="H1217" s="10"/>
      <c r="I1217" s="17"/>
      <c r="J1217" s="10"/>
      <c r="K1217" s="46"/>
      <c r="L1217" s="10"/>
      <c r="M1217" s="20"/>
      <c r="N1217" s="20"/>
      <c r="O1217" s="20"/>
      <c r="P1217" s="20"/>
    </row>
    <row r="1218">
      <c r="A1218" s="23"/>
      <c r="B1218" s="21"/>
      <c r="C1218" s="23"/>
      <c r="D1218" s="24"/>
      <c r="E1218" s="14"/>
      <c r="F1218" s="14"/>
      <c r="G1218" s="14"/>
      <c r="H1218" s="23"/>
      <c r="I1218" s="27"/>
      <c r="J1218" s="23"/>
      <c r="K1218" s="30"/>
      <c r="L1218" s="23"/>
      <c r="M1218" s="20"/>
      <c r="N1218" s="20"/>
      <c r="O1218" s="20"/>
      <c r="P1218" s="20"/>
    </row>
    <row r="1219">
      <c r="A1219" s="10"/>
      <c r="B1219" s="11"/>
      <c r="C1219" s="10"/>
      <c r="D1219" s="13"/>
      <c r="E1219" s="14"/>
      <c r="F1219" s="14"/>
      <c r="G1219" s="14"/>
      <c r="H1219" s="10"/>
      <c r="I1219" s="17"/>
      <c r="J1219" s="10"/>
      <c r="K1219" s="46"/>
      <c r="L1219" s="10"/>
      <c r="M1219" s="20"/>
      <c r="N1219" s="20"/>
      <c r="O1219" s="20"/>
      <c r="P1219" s="20"/>
    </row>
    <row r="1220">
      <c r="A1220" s="23"/>
      <c r="B1220" s="21"/>
      <c r="C1220" s="23"/>
      <c r="D1220" s="24"/>
      <c r="E1220" s="14"/>
      <c r="F1220" s="14"/>
      <c r="G1220" s="14"/>
      <c r="H1220" s="23"/>
      <c r="I1220" s="27"/>
      <c r="J1220" s="23"/>
      <c r="K1220" s="30"/>
      <c r="L1220" s="23"/>
      <c r="M1220" s="20"/>
      <c r="N1220" s="20"/>
      <c r="O1220" s="20"/>
      <c r="P1220" s="20"/>
    </row>
    <row r="1221">
      <c r="A1221" s="10"/>
      <c r="B1221" s="11"/>
      <c r="C1221" s="10"/>
      <c r="D1221" s="13"/>
      <c r="E1221" s="14"/>
      <c r="F1221" s="14"/>
      <c r="G1221" s="14"/>
      <c r="H1221" s="10"/>
      <c r="I1221" s="17"/>
      <c r="J1221" s="10"/>
      <c r="K1221" s="46"/>
      <c r="L1221" s="10"/>
      <c r="M1221" s="20"/>
      <c r="N1221" s="20"/>
      <c r="O1221" s="20"/>
      <c r="P1221" s="20"/>
    </row>
    <row r="1222">
      <c r="A1222" s="23"/>
      <c r="B1222" s="21"/>
      <c r="C1222" s="23"/>
      <c r="D1222" s="24"/>
      <c r="E1222" s="14"/>
      <c r="F1222" s="14"/>
      <c r="G1222" s="14"/>
      <c r="H1222" s="23"/>
      <c r="I1222" s="27"/>
      <c r="J1222" s="23"/>
      <c r="K1222" s="30"/>
      <c r="L1222" s="23"/>
      <c r="M1222" s="20"/>
      <c r="N1222" s="20"/>
      <c r="O1222" s="20"/>
      <c r="P1222" s="20"/>
    </row>
    <row r="1223">
      <c r="A1223" s="10"/>
      <c r="B1223" s="11"/>
      <c r="C1223" s="10"/>
      <c r="D1223" s="13"/>
      <c r="E1223" s="14"/>
      <c r="F1223" s="14"/>
      <c r="G1223" s="14"/>
      <c r="H1223" s="10"/>
      <c r="I1223" s="17"/>
      <c r="J1223" s="10"/>
      <c r="K1223" s="46"/>
      <c r="L1223" s="10"/>
      <c r="M1223" s="20"/>
      <c r="N1223" s="20"/>
      <c r="O1223" s="20"/>
      <c r="P1223" s="20"/>
    </row>
    <row r="1224">
      <c r="A1224" s="23"/>
      <c r="B1224" s="21"/>
      <c r="C1224" s="23"/>
      <c r="D1224" s="24"/>
      <c r="E1224" s="14"/>
      <c r="F1224" s="14"/>
      <c r="G1224" s="14"/>
      <c r="H1224" s="23"/>
      <c r="I1224" s="27"/>
      <c r="J1224" s="23"/>
      <c r="K1224" s="30"/>
      <c r="L1224" s="23"/>
      <c r="M1224" s="20"/>
      <c r="N1224" s="20"/>
      <c r="O1224" s="20"/>
      <c r="P1224" s="20"/>
    </row>
    <row r="1225">
      <c r="A1225" s="10"/>
      <c r="B1225" s="11"/>
      <c r="C1225" s="10"/>
      <c r="D1225" s="13"/>
      <c r="E1225" s="14"/>
      <c r="F1225" s="14"/>
      <c r="G1225" s="14"/>
      <c r="H1225" s="10"/>
      <c r="I1225" s="17"/>
      <c r="J1225" s="10"/>
      <c r="K1225" s="46"/>
      <c r="L1225" s="10"/>
      <c r="M1225" s="20"/>
      <c r="N1225" s="20"/>
      <c r="O1225" s="20"/>
      <c r="P1225" s="20"/>
    </row>
    <row r="1226">
      <c r="A1226" s="23"/>
      <c r="B1226" s="21"/>
      <c r="C1226" s="23"/>
      <c r="D1226" s="24"/>
      <c r="E1226" s="14"/>
      <c r="F1226" s="14"/>
      <c r="G1226" s="14"/>
      <c r="H1226" s="23"/>
      <c r="I1226" s="27"/>
      <c r="J1226" s="23"/>
      <c r="K1226" s="30"/>
      <c r="L1226" s="23"/>
      <c r="M1226" s="20"/>
      <c r="N1226" s="20"/>
      <c r="O1226" s="20"/>
      <c r="P1226" s="20"/>
    </row>
    <row r="1227">
      <c r="A1227" s="10"/>
      <c r="B1227" s="11"/>
      <c r="C1227" s="10"/>
      <c r="D1227" s="13"/>
      <c r="E1227" s="14"/>
      <c r="F1227" s="14"/>
      <c r="G1227" s="14"/>
      <c r="H1227" s="10"/>
      <c r="I1227" s="17"/>
      <c r="J1227" s="10"/>
      <c r="K1227" s="46"/>
      <c r="L1227" s="10"/>
      <c r="M1227" s="20"/>
      <c r="N1227" s="20"/>
      <c r="O1227" s="20"/>
      <c r="P1227" s="20"/>
    </row>
    <row r="1228">
      <c r="A1228" s="23"/>
      <c r="B1228" s="21"/>
      <c r="C1228" s="23"/>
      <c r="D1228" s="24"/>
      <c r="E1228" s="14"/>
      <c r="F1228" s="14"/>
      <c r="G1228" s="14"/>
      <c r="H1228" s="23"/>
      <c r="I1228" s="27"/>
      <c r="J1228" s="23"/>
      <c r="K1228" s="30"/>
      <c r="L1228" s="23"/>
      <c r="M1228" s="20"/>
      <c r="N1228" s="20"/>
      <c r="O1228" s="20"/>
      <c r="P1228" s="20"/>
    </row>
    <row r="1229">
      <c r="A1229" s="10"/>
      <c r="B1229" s="11"/>
      <c r="C1229" s="10"/>
      <c r="D1229" s="13"/>
      <c r="E1229" s="14"/>
      <c r="F1229" s="14"/>
      <c r="G1229" s="14"/>
      <c r="H1229" s="10"/>
      <c r="I1229" s="17"/>
      <c r="J1229" s="10"/>
      <c r="K1229" s="46"/>
      <c r="L1229" s="10"/>
      <c r="M1229" s="20"/>
      <c r="N1229" s="20"/>
      <c r="O1229" s="20"/>
      <c r="P1229" s="20"/>
    </row>
    <row r="1230">
      <c r="A1230" s="23"/>
      <c r="B1230" s="21"/>
      <c r="C1230" s="23"/>
      <c r="D1230" s="24"/>
      <c r="E1230" s="14"/>
      <c r="F1230" s="14"/>
      <c r="G1230" s="14"/>
      <c r="H1230" s="23"/>
      <c r="I1230" s="27"/>
      <c r="J1230" s="23"/>
      <c r="K1230" s="30"/>
      <c r="L1230" s="23"/>
      <c r="M1230" s="20"/>
      <c r="N1230" s="20"/>
      <c r="O1230" s="20"/>
      <c r="P1230" s="20"/>
    </row>
    <row r="1231">
      <c r="A1231" s="10"/>
      <c r="B1231" s="11"/>
      <c r="C1231" s="10"/>
      <c r="D1231" s="13"/>
      <c r="E1231" s="14"/>
      <c r="F1231" s="14"/>
      <c r="G1231" s="14"/>
      <c r="H1231" s="10"/>
      <c r="I1231" s="17"/>
      <c r="J1231" s="10"/>
      <c r="K1231" s="46"/>
      <c r="L1231" s="10"/>
      <c r="M1231" s="20"/>
      <c r="N1231" s="20"/>
      <c r="O1231" s="20"/>
      <c r="P1231" s="20"/>
    </row>
    <row r="1232">
      <c r="A1232" s="23"/>
      <c r="B1232" s="21"/>
      <c r="C1232" s="23"/>
      <c r="D1232" s="24"/>
      <c r="E1232" s="14"/>
      <c r="F1232" s="14"/>
      <c r="G1232" s="14"/>
      <c r="H1232" s="23"/>
      <c r="I1232" s="27"/>
      <c r="J1232" s="23"/>
      <c r="K1232" s="30"/>
      <c r="L1232" s="23"/>
      <c r="M1232" s="20"/>
      <c r="N1232" s="20"/>
      <c r="O1232" s="20"/>
      <c r="P1232" s="20"/>
    </row>
    <row r="1233">
      <c r="A1233" s="10"/>
      <c r="B1233" s="11"/>
      <c r="C1233" s="10"/>
      <c r="D1233" s="13"/>
      <c r="E1233" s="14"/>
      <c r="F1233" s="14"/>
      <c r="G1233" s="14"/>
      <c r="H1233" s="10"/>
      <c r="I1233" s="17"/>
      <c r="J1233" s="10"/>
      <c r="K1233" s="46"/>
      <c r="L1233" s="10"/>
      <c r="M1233" s="20"/>
      <c r="N1233" s="20"/>
      <c r="O1233" s="20"/>
      <c r="P1233" s="20"/>
    </row>
    <row r="1234">
      <c r="A1234" s="23"/>
      <c r="B1234" s="21"/>
      <c r="C1234" s="23"/>
      <c r="D1234" s="24"/>
      <c r="E1234" s="14"/>
      <c r="F1234" s="14"/>
      <c r="G1234" s="14"/>
      <c r="H1234" s="23"/>
      <c r="I1234" s="27"/>
      <c r="J1234" s="23"/>
      <c r="K1234" s="30"/>
      <c r="L1234" s="23"/>
      <c r="M1234" s="20"/>
      <c r="N1234" s="20"/>
      <c r="O1234" s="20"/>
      <c r="P1234" s="20"/>
    </row>
    <row r="1235">
      <c r="A1235" s="10"/>
      <c r="B1235" s="11"/>
      <c r="C1235" s="10"/>
      <c r="D1235" s="13"/>
      <c r="E1235" s="14"/>
      <c r="F1235" s="14"/>
      <c r="G1235" s="14"/>
      <c r="H1235" s="10"/>
      <c r="I1235" s="17"/>
      <c r="J1235" s="10"/>
      <c r="K1235" s="46"/>
      <c r="L1235" s="10"/>
      <c r="M1235" s="20"/>
      <c r="N1235" s="20"/>
      <c r="O1235" s="20"/>
      <c r="P1235" s="20"/>
    </row>
    <row r="1236">
      <c r="A1236" s="23"/>
      <c r="B1236" s="21"/>
      <c r="C1236" s="23"/>
      <c r="D1236" s="24"/>
      <c r="E1236" s="14"/>
      <c r="F1236" s="14"/>
      <c r="G1236" s="14"/>
      <c r="H1236" s="23"/>
      <c r="I1236" s="27"/>
      <c r="J1236" s="23"/>
      <c r="K1236" s="30"/>
      <c r="L1236" s="23"/>
      <c r="M1236" s="20"/>
      <c r="N1236" s="20"/>
      <c r="O1236" s="20"/>
      <c r="P1236" s="20"/>
    </row>
    <row r="1237">
      <c r="A1237" s="10"/>
      <c r="B1237" s="11"/>
      <c r="C1237" s="10"/>
      <c r="D1237" s="13"/>
      <c r="E1237" s="14"/>
      <c r="F1237" s="14"/>
      <c r="G1237" s="14"/>
      <c r="H1237" s="10"/>
      <c r="I1237" s="17"/>
      <c r="J1237" s="10"/>
      <c r="K1237" s="46"/>
      <c r="L1237" s="10"/>
      <c r="M1237" s="20"/>
      <c r="N1237" s="20"/>
      <c r="O1237" s="20"/>
      <c r="P1237" s="20"/>
    </row>
    <row r="1238">
      <c r="A1238" s="23"/>
      <c r="B1238" s="21"/>
      <c r="C1238" s="23"/>
      <c r="D1238" s="24"/>
      <c r="E1238" s="14"/>
      <c r="F1238" s="14"/>
      <c r="G1238" s="14"/>
      <c r="H1238" s="23"/>
      <c r="I1238" s="27"/>
      <c r="J1238" s="23"/>
      <c r="K1238" s="30"/>
      <c r="L1238" s="23"/>
      <c r="M1238" s="20"/>
      <c r="N1238" s="20"/>
      <c r="O1238" s="20"/>
      <c r="P1238" s="20"/>
    </row>
    <row r="1239">
      <c r="A1239" s="10"/>
      <c r="B1239" s="11"/>
      <c r="C1239" s="10"/>
      <c r="D1239" s="13"/>
      <c r="E1239" s="14"/>
      <c r="F1239" s="14"/>
      <c r="G1239" s="14"/>
      <c r="H1239" s="10"/>
      <c r="I1239" s="17"/>
      <c r="J1239" s="10"/>
      <c r="K1239" s="46"/>
      <c r="L1239" s="10"/>
      <c r="M1239" s="20"/>
      <c r="N1239" s="20"/>
      <c r="O1239" s="20"/>
      <c r="P1239" s="20"/>
    </row>
    <row r="1240">
      <c r="A1240" s="23"/>
      <c r="B1240" s="21"/>
      <c r="C1240" s="23"/>
      <c r="D1240" s="24"/>
      <c r="E1240" s="14"/>
      <c r="F1240" s="14"/>
      <c r="G1240" s="14"/>
      <c r="H1240" s="23"/>
      <c r="I1240" s="27"/>
      <c r="J1240" s="23"/>
      <c r="K1240" s="30"/>
      <c r="L1240" s="23"/>
      <c r="M1240" s="20"/>
      <c r="N1240" s="20"/>
      <c r="O1240" s="20"/>
      <c r="P1240" s="20"/>
    </row>
    <row r="1241">
      <c r="A1241" s="10"/>
      <c r="B1241" s="11"/>
      <c r="C1241" s="10"/>
      <c r="D1241" s="13"/>
      <c r="E1241" s="14"/>
      <c r="F1241" s="14"/>
      <c r="G1241" s="14"/>
      <c r="H1241" s="10"/>
      <c r="I1241" s="17"/>
      <c r="J1241" s="10"/>
      <c r="K1241" s="46"/>
      <c r="L1241" s="10"/>
      <c r="M1241" s="20"/>
      <c r="N1241" s="20"/>
      <c r="O1241" s="20"/>
      <c r="P1241" s="20"/>
    </row>
    <row r="1242">
      <c r="A1242" s="23"/>
      <c r="B1242" s="21"/>
      <c r="C1242" s="23"/>
      <c r="D1242" s="24"/>
      <c r="E1242" s="14"/>
      <c r="F1242" s="14"/>
      <c r="G1242" s="14"/>
      <c r="H1242" s="23"/>
      <c r="I1242" s="27"/>
      <c r="J1242" s="23"/>
      <c r="K1242" s="30"/>
      <c r="L1242" s="23"/>
      <c r="M1242" s="20"/>
      <c r="N1242" s="20"/>
      <c r="O1242" s="20"/>
      <c r="P1242" s="20"/>
    </row>
    <row r="1243">
      <c r="A1243" s="10"/>
      <c r="B1243" s="11"/>
      <c r="C1243" s="10"/>
      <c r="D1243" s="13"/>
      <c r="E1243" s="14"/>
      <c r="F1243" s="14"/>
      <c r="G1243" s="14"/>
      <c r="H1243" s="10"/>
      <c r="I1243" s="17"/>
      <c r="J1243" s="10"/>
      <c r="K1243" s="46"/>
      <c r="L1243" s="10"/>
      <c r="M1243" s="20"/>
      <c r="N1243" s="20"/>
      <c r="O1243" s="20"/>
      <c r="P1243" s="20"/>
    </row>
    <row r="1244">
      <c r="A1244" s="23"/>
      <c r="B1244" s="21"/>
      <c r="C1244" s="23"/>
      <c r="D1244" s="24"/>
      <c r="E1244" s="14"/>
      <c r="F1244" s="14"/>
      <c r="G1244" s="14"/>
      <c r="H1244" s="23"/>
      <c r="I1244" s="27"/>
      <c r="J1244" s="23"/>
      <c r="K1244" s="30"/>
      <c r="L1244" s="23"/>
      <c r="M1244" s="20"/>
      <c r="N1244" s="20"/>
      <c r="O1244" s="20"/>
      <c r="P1244" s="20"/>
    </row>
    <row r="1245">
      <c r="A1245" s="10"/>
      <c r="B1245" s="11"/>
      <c r="C1245" s="10"/>
      <c r="D1245" s="13"/>
      <c r="E1245" s="14"/>
      <c r="F1245" s="14"/>
      <c r="G1245" s="14"/>
      <c r="H1245" s="10"/>
      <c r="I1245" s="17"/>
      <c r="J1245" s="10"/>
      <c r="K1245" s="46"/>
      <c r="L1245" s="10"/>
      <c r="M1245" s="20"/>
      <c r="N1245" s="20"/>
      <c r="O1245" s="20"/>
      <c r="P1245" s="20"/>
    </row>
    <row r="1246">
      <c r="A1246" s="23"/>
      <c r="B1246" s="21"/>
      <c r="C1246" s="23"/>
      <c r="D1246" s="24"/>
      <c r="E1246" s="14"/>
      <c r="F1246" s="14"/>
      <c r="G1246" s="14"/>
      <c r="H1246" s="23"/>
      <c r="I1246" s="27"/>
      <c r="J1246" s="23"/>
      <c r="K1246" s="30"/>
      <c r="L1246" s="23"/>
      <c r="M1246" s="20"/>
      <c r="N1246" s="20"/>
      <c r="O1246" s="20"/>
      <c r="P1246" s="20"/>
    </row>
    <row r="1247">
      <c r="A1247" s="10"/>
      <c r="B1247" s="11"/>
      <c r="C1247" s="10"/>
      <c r="D1247" s="13"/>
      <c r="E1247" s="14"/>
      <c r="F1247" s="14"/>
      <c r="G1247" s="14"/>
      <c r="H1247" s="10"/>
      <c r="I1247" s="17"/>
      <c r="J1247" s="10"/>
      <c r="K1247" s="46"/>
      <c r="L1247" s="10"/>
      <c r="M1247" s="20"/>
      <c r="N1247" s="20"/>
      <c r="O1247" s="20"/>
      <c r="P1247" s="20"/>
    </row>
    <row r="1248">
      <c r="A1248" s="23"/>
      <c r="B1248" s="21"/>
      <c r="C1248" s="23"/>
      <c r="D1248" s="24"/>
      <c r="E1248" s="14"/>
      <c r="F1248" s="14"/>
      <c r="G1248" s="14"/>
      <c r="H1248" s="23"/>
      <c r="I1248" s="27"/>
      <c r="J1248" s="23"/>
      <c r="K1248" s="30"/>
      <c r="L1248" s="23"/>
      <c r="M1248" s="20"/>
      <c r="N1248" s="20"/>
      <c r="O1248" s="20"/>
      <c r="P1248" s="20"/>
    </row>
    <row r="1249">
      <c r="A1249" s="10"/>
      <c r="B1249" s="11"/>
      <c r="C1249" s="10"/>
      <c r="D1249" s="13"/>
      <c r="E1249" s="14"/>
      <c r="F1249" s="14"/>
      <c r="G1249" s="14"/>
      <c r="H1249" s="10"/>
      <c r="I1249" s="17"/>
      <c r="J1249" s="10"/>
      <c r="K1249" s="46"/>
      <c r="L1249" s="10"/>
      <c r="M1249" s="20"/>
      <c r="N1249" s="20"/>
      <c r="O1249" s="20"/>
      <c r="P1249" s="20"/>
    </row>
    <row r="1250">
      <c r="A1250" s="23"/>
      <c r="B1250" s="21"/>
      <c r="C1250" s="23"/>
      <c r="D1250" s="24"/>
      <c r="E1250" s="14"/>
      <c r="F1250" s="14"/>
      <c r="G1250" s="14"/>
      <c r="H1250" s="23"/>
      <c r="I1250" s="27"/>
      <c r="J1250" s="23"/>
      <c r="K1250" s="30"/>
      <c r="L1250" s="23"/>
      <c r="M1250" s="20"/>
      <c r="N1250" s="20"/>
      <c r="O1250" s="20"/>
      <c r="P1250" s="20"/>
    </row>
    <row r="1251">
      <c r="A1251" s="10"/>
      <c r="B1251" s="11"/>
      <c r="C1251" s="10"/>
      <c r="D1251" s="13"/>
      <c r="E1251" s="14"/>
      <c r="F1251" s="14"/>
      <c r="G1251" s="14"/>
      <c r="H1251" s="10"/>
      <c r="I1251" s="17"/>
      <c r="J1251" s="10"/>
      <c r="K1251" s="46"/>
      <c r="L1251" s="10"/>
      <c r="M1251" s="20"/>
      <c r="N1251" s="20"/>
      <c r="O1251" s="20"/>
      <c r="P1251" s="20"/>
    </row>
    <row r="1252">
      <c r="A1252" s="23"/>
      <c r="B1252" s="21"/>
      <c r="C1252" s="23"/>
      <c r="D1252" s="24"/>
      <c r="E1252" s="14"/>
      <c r="F1252" s="14"/>
      <c r="G1252" s="14"/>
      <c r="H1252" s="23"/>
      <c r="I1252" s="27"/>
      <c r="J1252" s="23"/>
      <c r="K1252" s="30"/>
      <c r="L1252" s="23"/>
      <c r="M1252" s="20"/>
      <c r="N1252" s="20"/>
      <c r="O1252" s="20"/>
      <c r="P1252" s="20"/>
    </row>
    <row r="1253">
      <c r="A1253" s="10"/>
      <c r="B1253" s="11"/>
      <c r="C1253" s="10"/>
      <c r="D1253" s="13"/>
      <c r="E1253" s="14"/>
      <c r="F1253" s="14"/>
      <c r="G1253" s="14"/>
      <c r="H1253" s="10"/>
      <c r="I1253" s="17"/>
      <c r="J1253" s="10"/>
      <c r="K1253" s="46"/>
      <c r="L1253" s="10"/>
      <c r="M1253" s="20"/>
      <c r="N1253" s="20"/>
      <c r="O1253" s="20"/>
      <c r="P1253" s="20"/>
    </row>
    <row r="1254">
      <c r="A1254" s="23"/>
      <c r="B1254" s="21"/>
      <c r="C1254" s="23"/>
      <c r="D1254" s="24"/>
      <c r="E1254" s="14"/>
      <c r="F1254" s="14"/>
      <c r="G1254" s="14"/>
      <c r="H1254" s="23"/>
      <c r="I1254" s="27"/>
      <c r="J1254" s="23"/>
      <c r="K1254" s="30"/>
      <c r="L1254" s="23"/>
      <c r="M1254" s="20"/>
      <c r="N1254" s="20"/>
      <c r="O1254" s="20"/>
      <c r="P1254" s="20"/>
    </row>
    <row r="1255">
      <c r="A1255" s="10"/>
      <c r="B1255" s="11"/>
      <c r="C1255" s="10"/>
      <c r="D1255" s="13"/>
      <c r="E1255" s="14"/>
      <c r="F1255" s="14"/>
      <c r="G1255" s="14"/>
      <c r="H1255" s="10"/>
      <c r="I1255" s="17"/>
      <c r="J1255" s="10"/>
      <c r="K1255" s="46"/>
      <c r="L1255" s="10"/>
      <c r="M1255" s="20"/>
      <c r="N1255" s="20"/>
      <c r="O1255" s="20"/>
      <c r="P1255" s="20"/>
    </row>
    <row r="1256">
      <c r="A1256" s="23"/>
      <c r="B1256" s="21"/>
      <c r="C1256" s="23"/>
      <c r="D1256" s="24"/>
      <c r="E1256" s="14"/>
      <c r="F1256" s="14"/>
      <c r="G1256" s="14"/>
      <c r="H1256" s="23"/>
      <c r="I1256" s="27"/>
      <c r="J1256" s="23"/>
      <c r="K1256" s="30"/>
      <c r="L1256" s="23"/>
      <c r="M1256" s="20"/>
      <c r="N1256" s="20"/>
      <c r="O1256" s="20"/>
      <c r="P1256" s="20"/>
    </row>
    <row r="1257">
      <c r="A1257" s="10"/>
      <c r="B1257" s="11"/>
      <c r="C1257" s="10"/>
      <c r="D1257" s="13"/>
      <c r="E1257" s="14"/>
      <c r="F1257" s="14"/>
      <c r="G1257" s="14"/>
      <c r="H1257" s="10"/>
      <c r="I1257" s="17"/>
      <c r="J1257" s="10"/>
      <c r="K1257" s="46"/>
      <c r="L1257" s="10"/>
      <c r="M1257" s="20"/>
      <c r="N1257" s="20"/>
      <c r="O1257" s="20"/>
      <c r="P1257" s="20"/>
    </row>
    <row r="1258">
      <c r="A1258" s="23"/>
      <c r="B1258" s="21"/>
      <c r="C1258" s="23"/>
      <c r="D1258" s="24"/>
      <c r="E1258" s="14"/>
      <c r="F1258" s="14"/>
      <c r="G1258" s="14"/>
      <c r="H1258" s="23"/>
      <c r="I1258" s="27"/>
      <c r="J1258" s="23"/>
      <c r="K1258" s="30"/>
      <c r="L1258" s="23"/>
      <c r="M1258" s="20"/>
      <c r="N1258" s="20"/>
      <c r="O1258" s="20"/>
      <c r="P1258" s="20"/>
    </row>
    <row r="1259">
      <c r="A1259" s="10"/>
      <c r="B1259" s="11"/>
      <c r="C1259" s="10"/>
      <c r="D1259" s="13"/>
      <c r="E1259" s="14"/>
      <c r="F1259" s="14"/>
      <c r="G1259" s="14"/>
      <c r="H1259" s="10"/>
      <c r="I1259" s="17"/>
      <c r="J1259" s="10"/>
      <c r="K1259" s="46"/>
      <c r="L1259" s="10"/>
      <c r="M1259" s="20"/>
      <c r="N1259" s="20"/>
      <c r="O1259" s="20"/>
      <c r="P1259" s="20"/>
    </row>
    <row r="1260">
      <c r="A1260" s="23"/>
      <c r="B1260" s="21"/>
      <c r="C1260" s="23"/>
      <c r="D1260" s="24"/>
      <c r="E1260" s="14"/>
      <c r="F1260" s="14"/>
      <c r="G1260" s="14"/>
      <c r="H1260" s="23"/>
      <c r="I1260" s="27"/>
      <c r="J1260" s="23"/>
      <c r="K1260" s="30"/>
      <c r="L1260" s="23"/>
      <c r="M1260" s="20"/>
      <c r="N1260" s="20"/>
      <c r="O1260" s="20"/>
      <c r="P1260" s="20"/>
    </row>
    <row r="1261">
      <c r="A1261" s="10"/>
      <c r="B1261" s="11"/>
      <c r="C1261" s="10"/>
      <c r="D1261" s="13"/>
      <c r="E1261" s="14"/>
      <c r="F1261" s="14"/>
      <c r="G1261" s="14"/>
      <c r="H1261" s="10"/>
      <c r="I1261" s="17"/>
      <c r="J1261" s="10"/>
      <c r="K1261" s="46"/>
      <c r="L1261" s="10"/>
      <c r="M1261" s="20"/>
      <c r="N1261" s="20"/>
      <c r="O1261" s="20"/>
      <c r="P1261" s="20"/>
    </row>
    <row r="1262">
      <c r="A1262" s="23"/>
      <c r="B1262" s="21"/>
      <c r="C1262" s="23"/>
      <c r="D1262" s="24"/>
      <c r="E1262" s="14"/>
      <c r="F1262" s="14"/>
      <c r="G1262" s="14"/>
      <c r="H1262" s="23"/>
      <c r="I1262" s="27"/>
      <c r="J1262" s="23"/>
      <c r="K1262" s="30"/>
      <c r="L1262" s="23"/>
      <c r="M1262" s="20"/>
      <c r="N1262" s="20"/>
      <c r="O1262" s="20"/>
      <c r="P1262" s="20"/>
    </row>
    <row r="1263">
      <c r="A1263" s="10"/>
      <c r="B1263" s="11"/>
      <c r="C1263" s="10"/>
      <c r="D1263" s="13"/>
      <c r="E1263" s="14"/>
      <c r="F1263" s="14"/>
      <c r="G1263" s="14"/>
      <c r="H1263" s="10"/>
      <c r="I1263" s="17"/>
      <c r="J1263" s="10"/>
      <c r="K1263" s="46"/>
      <c r="L1263" s="10"/>
      <c r="M1263" s="20"/>
      <c r="N1263" s="20"/>
      <c r="O1263" s="20"/>
      <c r="P1263" s="20"/>
    </row>
    <row r="1264">
      <c r="A1264" s="23"/>
      <c r="B1264" s="21"/>
      <c r="C1264" s="23"/>
      <c r="D1264" s="24"/>
      <c r="E1264" s="14"/>
      <c r="F1264" s="14"/>
      <c r="G1264" s="14"/>
      <c r="H1264" s="23"/>
      <c r="I1264" s="27"/>
      <c r="J1264" s="23"/>
      <c r="K1264" s="30"/>
      <c r="L1264" s="23"/>
      <c r="M1264" s="20"/>
      <c r="N1264" s="20"/>
      <c r="O1264" s="20"/>
      <c r="P1264" s="20"/>
    </row>
    <row r="1265">
      <c r="A1265" s="10"/>
      <c r="B1265" s="11"/>
      <c r="C1265" s="10"/>
      <c r="D1265" s="13"/>
      <c r="E1265" s="14"/>
      <c r="F1265" s="14"/>
      <c r="G1265" s="14"/>
      <c r="H1265" s="10"/>
      <c r="I1265" s="17"/>
      <c r="J1265" s="10"/>
      <c r="K1265" s="46"/>
      <c r="L1265" s="10"/>
      <c r="M1265" s="20"/>
      <c r="N1265" s="20"/>
      <c r="O1265" s="20"/>
      <c r="P1265" s="20"/>
    </row>
    <row r="1266">
      <c r="A1266" s="23"/>
      <c r="B1266" s="21"/>
      <c r="C1266" s="23"/>
      <c r="D1266" s="24"/>
      <c r="E1266" s="14"/>
      <c r="F1266" s="14"/>
      <c r="G1266" s="14"/>
      <c r="H1266" s="23"/>
      <c r="I1266" s="27"/>
      <c r="J1266" s="23"/>
      <c r="K1266" s="30"/>
      <c r="L1266" s="23"/>
      <c r="M1266" s="20"/>
      <c r="N1266" s="20"/>
      <c r="O1266" s="20"/>
      <c r="P1266" s="20"/>
    </row>
    <row r="1267">
      <c r="A1267" s="10"/>
      <c r="B1267" s="11"/>
      <c r="C1267" s="10"/>
      <c r="D1267" s="13"/>
      <c r="E1267" s="14"/>
      <c r="F1267" s="14"/>
      <c r="G1267" s="14"/>
      <c r="H1267" s="10"/>
      <c r="I1267" s="17"/>
      <c r="J1267" s="10"/>
      <c r="K1267" s="46"/>
      <c r="L1267" s="10"/>
      <c r="M1267" s="20"/>
      <c r="N1267" s="20"/>
      <c r="O1267" s="20"/>
      <c r="P1267" s="20"/>
    </row>
    <row r="1268">
      <c r="A1268" s="23"/>
      <c r="B1268" s="21"/>
      <c r="C1268" s="23"/>
      <c r="D1268" s="24"/>
      <c r="E1268" s="14"/>
      <c r="F1268" s="14"/>
      <c r="G1268" s="14"/>
      <c r="H1268" s="23"/>
      <c r="I1268" s="27"/>
      <c r="J1268" s="23"/>
      <c r="K1268" s="30"/>
      <c r="L1268" s="23"/>
      <c r="M1268" s="20"/>
      <c r="N1268" s="20"/>
      <c r="O1268" s="20"/>
      <c r="P1268" s="20"/>
    </row>
    <row r="1269">
      <c r="A1269" s="10"/>
      <c r="B1269" s="11"/>
      <c r="C1269" s="10"/>
      <c r="D1269" s="13"/>
      <c r="E1269" s="14"/>
      <c r="F1269" s="14"/>
      <c r="G1269" s="14"/>
      <c r="H1269" s="10"/>
      <c r="I1269" s="17"/>
      <c r="J1269" s="10"/>
      <c r="K1269" s="46"/>
      <c r="L1269" s="10"/>
      <c r="M1269" s="20"/>
      <c r="N1269" s="20"/>
      <c r="O1269" s="20"/>
      <c r="P1269" s="20"/>
    </row>
    <row r="1270">
      <c r="A1270" s="23"/>
      <c r="B1270" s="21"/>
      <c r="C1270" s="23"/>
      <c r="D1270" s="24"/>
      <c r="E1270" s="14"/>
      <c r="F1270" s="14"/>
      <c r="G1270" s="14"/>
      <c r="H1270" s="23"/>
      <c r="I1270" s="27"/>
      <c r="J1270" s="23"/>
      <c r="K1270" s="30"/>
      <c r="L1270" s="23"/>
      <c r="M1270" s="20"/>
      <c r="N1270" s="20"/>
      <c r="O1270" s="20"/>
      <c r="P1270" s="20"/>
    </row>
    <row r="1271">
      <c r="A1271" s="10"/>
      <c r="B1271" s="11"/>
      <c r="C1271" s="10"/>
      <c r="D1271" s="13"/>
      <c r="E1271" s="14"/>
      <c r="F1271" s="14"/>
      <c r="G1271" s="14"/>
      <c r="H1271" s="10"/>
      <c r="I1271" s="17"/>
      <c r="J1271" s="10"/>
      <c r="K1271" s="46"/>
      <c r="L1271" s="10"/>
      <c r="M1271" s="20"/>
      <c r="N1271" s="20"/>
      <c r="O1271" s="20"/>
      <c r="P1271" s="20"/>
    </row>
    <row r="1272">
      <c r="A1272" s="23"/>
      <c r="B1272" s="21"/>
      <c r="C1272" s="23"/>
      <c r="D1272" s="24"/>
      <c r="E1272" s="14"/>
      <c r="F1272" s="14"/>
      <c r="G1272" s="14"/>
      <c r="H1272" s="23"/>
      <c r="I1272" s="27"/>
      <c r="J1272" s="23"/>
      <c r="K1272" s="30"/>
      <c r="L1272" s="23"/>
      <c r="M1272" s="20"/>
      <c r="N1272" s="20"/>
      <c r="O1272" s="20"/>
      <c r="P1272" s="20"/>
    </row>
    <row r="1273">
      <c r="A1273" s="10"/>
      <c r="B1273" s="11"/>
      <c r="C1273" s="10"/>
      <c r="D1273" s="13"/>
      <c r="E1273" s="14"/>
      <c r="F1273" s="14"/>
      <c r="G1273" s="14"/>
      <c r="H1273" s="10"/>
      <c r="I1273" s="17"/>
      <c r="J1273" s="10"/>
      <c r="K1273" s="46"/>
      <c r="L1273" s="10"/>
      <c r="M1273" s="20"/>
      <c r="N1273" s="20"/>
      <c r="O1273" s="20"/>
      <c r="P1273" s="20"/>
    </row>
    <row r="1274">
      <c r="A1274" s="23"/>
      <c r="B1274" s="21"/>
      <c r="C1274" s="23"/>
      <c r="D1274" s="24"/>
      <c r="E1274" s="14"/>
      <c r="F1274" s="14"/>
      <c r="G1274" s="14"/>
      <c r="H1274" s="23"/>
      <c r="I1274" s="27"/>
      <c r="J1274" s="23"/>
      <c r="K1274" s="30"/>
      <c r="L1274" s="23"/>
      <c r="M1274" s="20"/>
      <c r="N1274" s="20"/>
      <c r="O1274" s="20"/>
      <c r="P1274" s="20"/>
    </row>
    <row r="1275">
      <c r="A1275" s="10"/>
      <c r="B1275" s="11"/>
      <c r="C1275" s="10"/>
      <c r="D1275" s="13"/>
      <c r="E1275" s="14"/>
      <c r="F1275" s="14"/>
      <c r="G1275" s="14"/>
      <c r="H1275" s="10"/>
      <c r="I1275" s="17"/>
      <c r="J1275" s="10"/>
      <c r="K1275" s="46"/>
      <c r="L1275" s="10"/>
      <c r="M1275" s="20"/>
      <c r="N1275" s="20"/>
      <c r="O1275" s="20"/>
      <c r="P1275" s="20"/>
    </row>
    <row r="1276">
      <c r="A1276" s="23"/>
      <c r="B1276" s="21"/>
      <c r="C1276" s="23"/>
      <c r="D1276" s="24"/>
      <c r="E1276" s="14"/>
      <c r="F1276" s="14"/>
      <c r="G1276" s="14"/>
      <c r="H1276" s="23"/>
      <c r="I1276" s="27"/>
      <c r="J1276" s="23"/>
      <c r="K1276" s="30"/>
      <c r="L1276" s="23"/>
      <c r="M1276" s="20"/>
      <c r="N1276" s="20"/>
      <c r="O1276" s="20"/>
      <c r="P1276" s="20"/>
    </row>
    <row r="1277">
      <c r="A1277" s="10"/>
      <c r="B1277" s="11"/>
      <c r="C1277" s="10"/>
      <c r="D1277" s="13"/>
      <c r="E1277" s="14"/>
      <c r="F1277" s="14"/>
      <c r="G1277" s="14"/>
      <c r="H1277" s="10"/>
      <c r="I1277" s="17"/>
      <c r="J1277" s="10"/>
      <c r="K1277" s="46"/>
      <c r="L1277" s="10"/>
      <c r="M1277" s="20"/>
      <c r="N1277" s="20"/>
      <c r="O1277" s="20"/>
      <c r="P1277" s="20"/>
    </row>
    <row r="1278">
      <c r="A1278" s="23"/>
      <c r="B1278" s="21"/>
      <c r="C1278" s="23"/>
      <c r="D1278" s="24"/>
      <c r="E1278" s="14"/>
      <c r="F1278" s="14"/>
      <c r="G1278" s="14"/>
      <c r="H1278" s="23"/>
      <c r="I1278" s="27"/>
      <c r="J1278" s="23"/>
      <c r="K1278" s="30"/>
      <c r="L1278" s="23"/>
      <c r="M1278" s="20"/>
      <c r="N1278" s="20"/>
      <c r="O1278" s="20"/>
      <c r="P1278" s="20"/>
    </row>
    <row r="1279">
      <c r="A1279" s="10"/>
      <c r="B1279" s="11"/>
      <c r="C1279" s="10"/>
      <c r="D1279" s="13"/>
      <c r="E1279" s="14"/>
      <c r="F1279" s="14"/>
      <c r="G1279" s="14"/>
      <c r="H1279" s="10"/>
      <c r="I1279" s="17"/>
      <c r="J1279" s="10"/>
      <c r="K1279" s="46"/>
      <c r="L1279" s="10"/>
      <c r="M1279" s="20"/>
      <c r="N1279" s="20"/>
      <c r="O1279" s="20"/>
      <c r="P1279" s="20"/>
    </row>
    <row r="1280">
      <c r="A1280" s="23"/>
      <c r="B1280" s="21"/>
      <c r="C1280" s="23"/>
      <c r="D1280" s="24"/>
      <c r="E1280" s="14"/>
      <c r="F1280" s="14"/>
      <c r="G1280" s="14"/>
      <c r="H1280" s="23"/>
      <c r="I1280" s="27"/>
      <c r="J1280" s="23"/>
      <c r="K1280" s="30"/>
      <c r="L1280" s="23"/>
      <c r="M1280" s="20"/>
      <c r="N1280" s="20"/>
      <c r="O1280" s="20"/>
      <c r="P1280" s="20"/>
    </row>
    <row r="1281">
      <c r="A1281" s="10"/>
      <c r="B1281" s="11"/>
      <c r="C1281" s="10"/>
      <c r="D1281" s="13"/>
      <c r="E1281" s="14"/>
      <c r="F1281" s="14"/>
      <c r="G1281" s="14"/>
      <c r="H1281" s="10"/>
      <c r="I1281" s="17"/>
      <c r="J1281" s="10"/>
      <c r="K1281" s="46"/>
      <c r="L1281" s="10"/>
      <c r="M1281" s="20"/>
      <c r="N1281" s="20"/>
      <c r="O1281" s="20"/>
      <c r="P1281" s="20"/>
    </row>
    <row r="1282">
      <c r="A1282" s="23"/>
      <c r="B1282" s="21"/>
      <c r="C1282" s="23"/>
      <c r="D1282" s="24"/>
      <c r="E1282" s="14"/>
      <c r="F1282" s="14"/>
      <c r="G1282" s="14"/>
      <c r="H1282" s="23"/>
      <c r="I1282" s="27"/>
      <c r="J1282" s="23"/>
      <c r="K1282" s="30"/>
      <c r="L1282" s="23"/>
      <c r="M1282" s="20"/>
      <c r="N1282" s="20"/>
      <c r="O1282" s="20"/>
      <c r="P1282" s="20"/>
    </row>
    <row r="1283">
      <c r="A1283" s="10"/>
      <c r="B1283" s="11"/>
      <c r="C1283" s="10"/>
      <c r="D1283" s="13"/>
      <c r="E1283" s="14"/>
      <c r="F1283" s="14"/>
      <c r="G1283" s="14"/>
      <c r="H1283" s="10"/>
      <c r="I1283" s="17"/>
      <c r="J1283" s="10"/>
      <c r="K1283" s="46"/>
      <c r="L1283" s="10"/>
      <c r="M1283" s="20"/>
      <c r="N1283" s="20"/>
      <c r="O1283" s="20"/>
      <c r="P1283" s="20"/>
    </row>
    <row r="1284">
      <c r="A1284" s="23"/>
      <c r="B1284" s="21"/>
      <c r="C1284" s="23"/>
      <c r="D1284" s="24"/>
      <c r="E1284" s="14"/>
      <c r="F1284" s="14"/>
      <c r="G1284" s="14"/>
      <c r="H1284" s="23"/>
      <c r="I1284" s="27"/>
      <c r="J1284" s="23"/>
      <c r="K1284" s="30"/>
      <c r="L1284" s="23"/>
      <c r="M1284" s="20"/>
      <c r="N1284" s="20"/>
      <c r="O1284" s="20"/>
      <c r="P1284" s="20"/>
    </row>
    <row r="1285">
      <c r="A1285" s="10"/>
      <c r="B1285" s="11"/>
      <c r="C1285" s="10"/>
      <c r="D1285" s="13"/>
      <c r="E1285" s="14"/>
      <c r="F1285" s="14"/>
      <c r="G1285" s="14"/>
      <c r="H1285" s="10"/>
      <c r="I1285" s="17"/>
      <c r="J1285" s="10"/>
      <c r="K1285" s="46"/>
      <c r="L1285" s="10"/>
      <c r="M1285" s="20"/>
      <c r="N1285" s="20"/>
      <c r="O1285" s="20"/>
      <c r="P1285" s="20"/>
    </row>
    <row r="1286">
      <c r="A1286" s="23"/>
      <c r="B1286" s="21"/>
      <c r="C1286" s="23"/>
      <c r="D1286" s="24"/>
      <c r="E1286" s="14"/>
      <c r="F1286" s="14"/>
      <c r="G1286" s="14"/>
      <c r="H1286" s="23"/>
      <c r="I1286" s="27"/>
      <c r="J1286" s="23"/>
      <c r="K1286" s="30"/>
      <c r="L1286" s="23"/>
      <c r="M1286" s="20"/>
      <c r="N1286" s="20"/>
      <c r="O1286" s="20"/>
      <c r="P1286" s="20"/>
    </row>
    <row r="1287">
      <c r="A1287" s="10"/>
      <c r="B1287" s="11"/>
      <c r="C1287" s="10"/>
      <c r="D1287" s="13"/>
      <c r="E1287" s="14"/>
      <c r="F1287" s="14"/>
      <c r="G1287" s="14"/>
      <c r="H1287" s="10"/>
      <c r="I1287" s="17"/>
      <c r="J1287" s="10"/>
      <c r="K1287" s="46"/>
      <c r="L1287" s="10"/>
      <c r="M1287" s="20"/>
      <c r="N1287" s="20"/>
      <c r="O1287" s="20"/>
      <c r="P1287" s="20"/>
    </row>
    <row r="1288">
      <c r="A1288" s="23"/>
      <c r="B1288" s="21"/>
      <c r="C1288" s="23"/>
      <c r="D1288" s="24"/>
      <c r="E1288" s="14"/>
      <c r="F1288" s="14"/>
      <c r="G1288" s="14"/>
      <c r="H1288" s="23"/>
      <c r="I1288" s="27"/>
      <c r="J1288" s="23"/>
      <c r="K1288" s="30"/>
      <c r="L1288" s="23"/>
      <c r="M1288" s="20"/>
      <c r="N1288" s="20"/>
      <c r="O1288" s="20"/>
      <c r="P1288" s="20"/>
    </row>
    <row r="1289">
      <c r="A1289" s="10"/>
      <c r="B1289" s="11"/>
      <c r="C1289" s="10"/>
      <c r="D1289" s="13"/>
      <c r="E1289" s="14"/>
      <c r="F1289" s="14"/>
      <c r="G1289" s="14"/>
      <c r="H1289" s="10"/>
      <c r="I1289" s="17"/>
      <c r="J1289" s="10"/>
      <c r="K1289" s="46"/>
      <c r="L1289" s="10"/>
      <c r="M1289" s="20"/>
      <c r="N1289" s="20"/>
      <c r="O1289" s="20"/>
      <c r="P1289" s="20"/>
    </row>
    <row r="1290">
      <c r="A1290" s="23"/>
      <c r="B1290" s="21"/>
      <c r="C1290" s="23"/>
      <c r="D1290" s="24"/>
      <c r="E1290" s="14"/>
      <c r="F1290" s="14"/>
      <c r="G1290" s="14"/>
      <c r="H1290" s="23"/>
      <c r="I1290" s="27"/>
      <c r="J1290" s="23"/>
      <c r="K1290" s="30"/>
      <c r="L1290" s="23"/>
      <c r="M1290" s="20"/>
      <c r="N1290" s="20"/>
      <c r="O1290" s="20"/>
      <c r="P1290" s="20"/>
    </row>
    <row r="1291">
      <c r="A1291" s="10"/>
      <c r="B1291" s="11"/>
      <c r="C1291" s="10"/>
      <c r="D1291" s="13"/>
      <c r="E1291" s="14"/>
      <c r="F1291" s="14"/>
      <c r="G1291" s="14"/>
      <c r="H1291" s="10"/>
      <c r="I1291" s="17"/>
      <c r="J1291" s="10"/>
      <c r="K1291" s="46"/>
      <c r="L1291" s="10"/>
      <c r="M1291" s="20"/>
      <c r="N1291" s="20"/>
      <c r="O1291" s="20"/>
      <c r="P1291" s="20"/>
    </row>
    <row r="1292">
      <c r="A1292" s="23"/>
      <c r="B1292" s="21"/>
      <c r="C1292" s="23"/>
      <c r="D1292" s="24"/>
      <c r="E1292" s="14"/>
      <c r="F1292" s="14"/>
      <c r="G1292" s="14"/>
      <c r="H1292" s="23"/>
      <c r="I1292" s="27"/>
      <c r="J1292" s="23"/>
      <c r="K1292" s="30"/>
      <c r="L1292" s="23"/>
      <c r="M1292" s="20"/>
      <c r="N1292" s="20"/>
      <c r="O1292" s="20"/>
      <c r="P1292" s="20"/>
    </row>
    <row r="1293">
      <c r="A1293" s="10"/>
      <c r="B1293" s="11"/>
      <c r="C1293" s="10"/>
      <c r="D1293" s="13"/>
      <c r="E1293" s="14"/>
      <c r="F1293" s="14"/>
      <c r="G1293" s="14"/>
      <c r="H1293" s="10"/>
      <c r="I1293" s="17"/>
      <c r="J1293" s="10"/>
      <c r="K1293" s="46"/>
      <c r="L1293" s="10"/>
      <c r="M1293" s="20"/>
      <c r="N1293" s="20"/>
      <c r="O1293" s="20"/>
      <c r="P1293" s="20"/>
    </row>
    <row r="1294">
      <c r="A1294" s="23"/>
      <c r="B1294" s="21"/>
      <c r="C1294" s="23"/>
      <c r="D1294" s="24"/>
      <c r="E1294" s="14"/>
      <c r="F1294" s="14"/>
      <c r="G1294" s="14"/>
      <c r="H1294" s="23"/>
      <c r="I1294" s="27"/>
      <c r="J1294" s="23"/>
      <c r="K1294" s="30"/>
      <c r="L1294" s="23"/>
      <c r="M1294" s="20"/>
      <c r="N1294" s="20"/>
      <c r="O1294" s="20"/>
      <c r="P1294" s="20"/>
    </row>
    <row r="1295">
      <c r="A1295" s="10"/>
      <c r="B1295" s="11"/>
      <c r="C1295" s="10"/>
      <c r="D1295" s="13"/>
      <c r="E1295" s="14"/>
      <c r="F1295" s="14"/>
      <c r="G1295" s="14"/>
      <c r="H1295" s="10"/>
      <c r="I1295" s="17"/>
      <c r="J1295" s="10"/>
      <c r="K1295" s="46"/>
      <c r="L1295" s="10"/>
      <c r="M1295" s="20"/>
      <c r="N1295" s="20"/>
      <c r="O1295" s="20"/>
      <c r="P1295" s="20"/>
    </row>
    <row r="1296">
      <c r="A1296" s="23"/>
      <c r="B1296" s="21"/>
      <c r="C1296" s="23"/>
      <c r="D1296" s="24"/>
      <c r="E1296" s="14"/>
      <c r="F1296" s="14"/>
      <c r="G1296" s="14"/>
      <c r="H1296" s="23"/>
      <c r="I1296" s="27"/>
      <c r="J1296" s="23"/>
      <c r="K1296" s="30"/>
      <c r="L1296" s="23"/>
      <c r="M1296" s="20"/>
      <c r="N1296" s="20"/>
      <c r="O1296" s="20"/>
      <c r="P1296" s="20"/>
    </row>
    <row r="1297">
      <c r="A1297" s="10"/>
      <c r="B1297" s="11"/>
      <c r="C1297" s="10"/>
      <c r="D1297" s="13"/>
      <c r="E1297" s="14"/>
      <c r="F1297" s="14"/>
      <c r="G1297" s="14"/>
      <c r="H1297" s="10"/>
      <c r="I1297" s="17"/>
      <c r="J1297" s="10"/>
      <c r="K1297" s="46"/>
      <c r="L1297" s="10"/>
      <c r="M1297" s="20"/>
      <c r="N1297" s="20"/>
      <c r="O1297" s="20"/>
      <c r="P1297" s="20"/>
    </row>
    <row r="1298">
      <c r="A1298" s="23"/>
      <c r="B1298" s="21"/>
      <c r="C1298" s="23"/>
      <c r="D1298" s="24"/>
      <c r="E1298" s="14"/>
      <c r="F1298" s="14"/>
      <c r="G1298" s="14"/>
      <c r="H1298" s="23"/>
      <c r="I1298" s="27"/>
      <c r="J1298" s="23"/>
      <c r="K1298" s="30"/>
      <c r="L1298" s="23"/>
      <c r="M1298" s="20"/>
      <c r="N1298" s="20"/>
      <c r="O1298" s="20"/>
      <c r="P1298" s="20"/>
    </row>
    <row r="1299">
      <c r="A1299" s="10"/>
      <c r="B1299" s="11"/>
      <c r="C1299" s="10"/>
      <c r="D1299" s="13"/>
      <c r="E1299" s="14"/>
      <c r="F1299" s="14"/>
      <c r="G1299" s="14"/>
      <c r="H1299" s="10"/>
      <c r="I1299" s="17"/>
      <c r="J1299" s="10"/>
      <c r="K1299" s="46"/>
      <c r="L1299" s="10"/>
      <c r="M1299" s="20"/>
      <c r="N1299" s="20"/>
      <c r="O1299" s="20"/>
      <c r="P1299" s="20"/>
    </row>
    <row r="1300">
      <c r="A1300" s="23"/>
      <c r="B1300" s="21"/>
      <c r="C1300" s="23"/>
      <c r="D1300" s="24"/>
      <c r="E1300" s="14"/>
      <c r="F1300" s="14"/>
      <c r="G1300" s="14"/>
      <c r="H1300" s="23"/>
      <c r="I1300" s="27"/>
      <c r="J1300" s="23"/>
      <c r="K1300" s="30"/>
      <c r="L1300" s="23"/>
      <c r="M1300" s="20"/>
      <c r="N1300" s="20"/>
      <c r="O1300" s="20"/>
      <c r="P1300" s="20"/>
    </row>
    <row r="1301">
      <c r="A1301" s="10"/>
      <c r="B1301" s="11"/>
      <c r="C1301" s="10"/>
      <c r="D1301" s="13"/>
      <c r="E1301" s="14"/>
      <c r="F1301" s="14"/>
      <c r="G1301" s="14"/>
      <c r="H1301" s="10"/>
      <c r="I1301" s="17"/>
      <c r="J1301" s="10"/>
      <c r="K1301" s="46"/>
      <c r="L1301" s="10"/>
      <c r="M1301" s="20"/>
      <c r="N1301" s="20"/>
      <c r="O1301" s="20"/>
      <c r="P1301" s="20"/>
    </row>
    <row r="1302">
      <c r="A1302" s="23"/>
      <c r="B1302" s="21"/>
      <c r="C1302" s="23"/>
      <c r="D1302" s="24"/>
      <c r="E1302" s="14"/>
      <c r="F1302" s="14"/>
      <c r="G1302" s="14"/>
      <c r="H1302" s="23"/>
      <c r="I1302" s="27"/>
      <c r="J1302" s="23"/>
      <c r="K1302" s="30"/>
      <c r="L1302" s="23"/>
      <c r="M1302" s="20"/>
      <c r="N1302" s="20"/>
      <c r="O1302" s="20"/>
      <c r="P1302" s="20"/>
    </row>
    <row r="1303">
      <c r="A1303" s="10"/>
      <c r="B1303" s="11"/>
      <c r="C1303" s="10"/>
      <c r="D1303" s="13"/>
      <c r="E1303" s="14"/>
      <c r="F1303" s="14"/>
      <c r="G1303" s="14"/>
      <c r="H1303" s="10"/>
      <c r="I1303" s="17"/>
      <c r="J1303" s="10"/>
      <c r="K1303" s="46"/>
      <c r="L1303" s="10"/>
      <c r="M1303" s="20"/>
      <c r="N1303" s="20"/>
      <c r="O1303" s="20"/>
      <c r="P1303" s="20"/>
    </row>
    <row r="1304">
      <c r="A1304" s="23"/>
      <c r="B1304" s="21"/>
      <c r="C1304" s="23"/>
      <c r="D1304" s="24"/>
      <c r="E1304" s="14"/>
      <c r="F1304" s="14"/>
      <c r="G1304" s="14"/>
      <c r="H1304" s="23"/>
      <c r="I1304" s="27"/>
      <c r="J1304" s="23"/>
      <c r="K1304" s="30"/>
      <c r="L1304" s="23"/>
      <c r="M1304" s="20"/>
      <c r="N1304" s="20"/>
      <c r="O1304" s="20"/>
      <c r="P1304" s="20"/>
    </row>
    <row r="1305">
      <c r="A1305" s="10"/>
      <c r="B1305" s="11"/>
      <c r="C1305" s="10"/>
      <c r="D1305" s="13"/>
      <c r="E1305" s="14"/>
      <c r="F1305" s="14"/>
      <c r="G1305" s="14"/>
      <c r="H1305" s="10"/>
      <c r="I1305" s="17"/>
      <c r="J1305" s="10"/>
      <c r="K1305" s="46"/>
      <c r="L1305" s="10"/>
      <c r="M1305" s="20"/>
      <c r="N1305" s="20"/>
      <c r="O1305" s="20"/>
      <c r="P1305" s="20"/>
    </row>
    <row r="1306">
      <c r="A1306" s="23"/>
      <c r="B1306" s="21"/>
      <c r="C1306" s="23"/>
      <c r="D1306" s="24"/>
      <c r="E1306" s="14"/>
      <c r="F1306" s="14"/>
      <c r="G1306" s="14"/>
      <c r="H1306" s="23"/>
      <c r="I1306" s="27"/>
      <c r="J1306" s="23"/>
      <c r="K1306" s="30"/>
      <c r="L1306" s="23"/>
      <c r="M1306" s="20"/>
      <c r="N1306" s="20"/>
      <c r="O1306" s="20"/>
      <c r="P1306" s="20"/>
    </row>
    <row r="1307">
      <c r="A1307" s="10"/>
      <c r="B1307" s="11"/>
      <c r="C1307" s="10"/>
      <c r="D1307" s="13"/>
      <c r="E1307" s="14"/>
      <c r="F1307" s="14"/>
      <c r="G1307" s="14"/>
      <c r="H1307" s="10"/>
      <c r="I1307" s="17"/>
      <c r="J1307" s="10"/>
      <c r="K1307" s="46"/>
      <c r="L1307" s="10"/>
      <c r="M1307" s="20"/>
      <c r="N1307" s="20"/>
      <c r="O1307" s="20"/>
      <c r="P1307" s="20"/>
    </row>
    <row r="1308">
      <c r="A1308" s="23"/>
      <c r="B1308" s="21"/>
      <c r="C1308" s="23"/>
      <c r="D1308" s="24"/>
      <c r="E1308" s="14"/>
      <c r="F1308" s="14"/>
      <c r="G1308" s="14"/>
      <c r="H1308" s="23"/>
      <c r="I1308" s="27"/>
      <c r="J1308" s="23"/>
      <c r="K1308" s="30"/>
      <c r="L1308" s="23"/>
      <c r="M1308" s="20"/>
      <c r="N1308" s="20"/>
      <c r="O1308" s="20"/>
      <c r="P1308" s="20"/>
    </row>
    <row r="1309">
      <c r="A1309" s="10"/>
      <c r="B1309" s="11"/>
      <c r="C1309" s="10"/>
      <c r="D1309" s="13"/>
      <c r="E1309" s="14"/>
      <c r="F1309" s="14"/>
      <c r="G1309" s="14"/>
      <c r="H1309" s="10"/>
      <c r="I1309" s="17"/>
      <c r="J1309" s="10"/>
      <c r="K1309" s="46"/>
      <c r="L1309" s="10"/>
      <c r="M1309" s="20"/>
      <c r="N1309" s="20"/>
      <c r="O1309" s="20"/>
      <c r="P1309" s="20"/>
    </row>
    <row r="1310">
      <c r="A1310" s="23"/>
      <c r="B1310" s="21"/>
      <c r="C1310" s="23"/>
      <c r="D1310" s="24"/>
      <c r="E1310" s="14"/>
      <c r="F1310" s="14"/>
      <c r="G1310" s="14"/>
      <c r="H1310" s="23"/>
      <c r="I1310" s="27"/>
      <c r="J1310" s="23"/>
      <c r="K1310" s="30"/>
      <c r="L1310" s="23"/>
      <c r="M1310" s="20"/>
      <c r="N1310" s="20"/>
      <c r="O1310" s="20"/>
      <c r="P1310" s="20"/>
    </row>
    <row r="1311">
      <c r="A1311" s="10"/>
      <c r="B1311" s="11"/>
      <c r="C1311" s="10"/>
      <c r="D1311" s="13"/>
      <c r="E1311" s="14"/>
      <c r="F1311" s="14"/>
      <c r="G1311" s="14"/>
      <c r="H1311" s="10"/>
      <c r="I1311" s="17"/>
      <c r="J1311" s="10"/>
      <c r="K1311" s="46"/>
      <c r="L1311" s="10"/>
      <c r="M1311" s="20"/>
      <c r="N1311" s="20"/>
      <c r="O1311" s="20"/>
      <c r="P1311" s="20"/>
    </row>
    <row r="1312">
      <c r="A1312" s="23"/>
      <c r="B1312" s="21"/>
      <c r="C1312" s="23"/>
      <c r="D1312" s="24"/>
      <c r="E1312" s="14"/>
      <c r="F1312" s="14"/>
      <c r="G1312" s="14"/>
      <c r="H1312" s="23"/>
      <c r="I1312" s="27"/>
      <c r="J1312" s="23"/>
      <c r="K1312" s="30"/>
      <c r="L1312" s="23"/>
      <c r="M1312" s="20"/>
      <c r="N1312" s="20"/>
      <c r="O1312" s="20"/>
      <c r="P1312" s="20"/>
    </row>
    <row r="1313">
      <c r="A1313" s="10"/>
      <c r="B1313" s="11"/>
      <c r="C1313" s="10"/>
      <c r="D1313" s="13"/>
      <c r="E1313" s="14"/>
      <c r="F1313" s="14"/>
      <c r="G1313" s="14"/>
      <c r="H1313" s="10"/>
      <c r="I1313" s="17"/>
      <c r="J1313" s="10"/>
      <c r="K1313" s="46"/>
      <c r="L1313" s="10"/>
      <c r="M1313" s="20"/>
      <c r="N1313" s="20"/>
      <c r="O1313" s="20"/>
      <c r="P1313" s="20"/>
    </row>
    <row r="1314">
      <c r="A1314" s="23"/>
      <c r="B1314" s="21"/>
      <c r="C1314" s="23"/>
      <c r="D1314" s="24"/>
      <c r="E1314" s="14"/>
      <c r="F1314" s="14"/>
      <c r="G1314" s="14"/>
      <c r="H1314" s="23"/>
      <c r="I1314" s="27"/>
      <c r="J1314" s="23"/>
      <c r="K1314" s="30"/>
      <c r="L1314" s="23"/>
      <c r="M1314" s="20"/>
      <c r="N1314" s="20"/>
      <c r="O1314" s="20"/>
      <c r="P1314" s="20"/>
    </row>
    <row r="1315">
      <c r="A1315" s="10"/>
      <c r="B1315" s="11"/>
      <c r="C1315" s="10"/>
      <c r="D1315" s="13"/>
      <c r="E1315" s="14"/>
      <c r="F1315" s="14"/>
      <c r="G1315" s="14"/>
      <c r="H1315" s="10"/>
      <c r="I1315" s="17"/>
      <c r="J1315" s="10"/>
      <c r="K1315" s="46"/>
      <c r="L1315" s="10"/>
      <c r="M1315" s="20"/>
      <c r="N1315" s="20"/>
      <c r="O1315" s="20"/>
      <c r="P1315" s="20"/>
    </row>
    <row r="1316">
      <c r="A1316" s="23"/>
      <c r="B1316" s="21"/>
      <c r="C1316" s="23"/>
      <c r="D1316" s="24"/>
      <c r="E1316" s="14"/>
      <c r="F1316" s="14"/>
      <c r="G1316" s="14"/>
      <c r="H1316" s="23"/>
      <c r="I1316" s="27"/>
      <c r="J1316" s="23"/>
      <c r="K1316" s="30"/>
      <c r="L1316" s="23"/>
      <c r="M1316" s="20"/>
      <c r="N1316" s="20"/>
      <c r="O1316" s="20"/>
      <c r="P1316" s="20"/>
    </row>
    <row r="1317">
      <c r="A1317" s="10"/>
      <c r="B1317" s="11"/>
      <c r="C1317" s="10"/>
      <c r="D1317" s="13"/>
      <c r="E1317" s="14"/>
      <c r="F1317" s="14"/>
      <c r="G1317" s="14"/>
      <c r="H1317" s="10"/>
      <c r="I1317" s="17"/>
      <c r="J1317" s="10"/>
      <c r="K1317" s="46"/>
      <c r="L1317" s="10"/>
      <c r="M1317" s="20"/>
      <c r="N1317" s="20"/>
      <c r="O1317" s="20"/>
      <c r="P1317" s="20"/>
    </row>
    <row r="1318">
      <c r="A1318" s="23"/>
      <c r="B1318" s="21"/>
      <c r="C1318" s="23"/>
      <c r="D1318" s="24"/>
      <c r="E1318" s="14"/>
      <c r="F1318" s="14"/>
      <c r="G1318" s="14"/>
      <c r="H1318" s="23"/>
      <c r="I1318" s="27"/>
      <c r="J1318" s="23"/>
      <c r="K1318" s="30"/>
      <c r="L1318" s="23"/>
      <c r="M1318" s="20"/>
      <c r="N1318" s="20"/>
      <c r="O1318" s="20"/>
      <c r="P1318" s="20"/>
    </row>
    <row r="1319">
      <c r="A1319" s="10"/>
      <c r="B1319" s="11"/>
      <c r="C1319" s="10"/>
      <c r="D1319" s="13"/>
      <c r="E1319" s="14"/>
      <c r="F1319" s="14"/>
      <c r="G1319" s="14"/>
      <c r="H1319" s="10"/>
      <c r="I1319" s="17"/>
      <c r="J1319" s="10"/>
      <c r="K1319" s="46"/>
      <c r="L1319" s="10"/>
      <c r="M1319" s="20"/>
      <c r="N1319" s="20"/>
      <c r="O1319" s="20"/>
      <c r="P1319" s="20"/>
    </row>
    <row r="1320">
      <c r="A1320" s="23"/>
      <c r="B1320" s="21"/>
      <c r="C1320" s="23"/>
      <c r="D1320" s="24"/>
      <c r="E1320" s="14"/>
      <c r="F1320" s="14"/>
      <c r="G1320" s="14"/>
      <c r="H1320" s="23"/>
      <c r="I1320" s="27"/>
      <c r="J1320" s="23"/>
      <c r="K1320" s="30"/>
      <c r="L1320" s="23"/>
      <c r="M1320" s="20"/>
      <c r="N1320" s="20"/>
      <c r="O1320" s="20"/>
      <c r="P1320" s="20"/>
    </row>
    <row r="1321">
      <c r="A1321" s="10"/>
      <c r="B1321" s="11"/>
      <c r="C1321" s="10"/>
      <c r="D1321" s="13"/>
      <c r="E1321" s="14"/>
      <c r="F1321" s="14"/>
      <c r="G1321" s="14"/>
      <c r="H1321" s="10"/>
      <c r="I1321" s="17"/>
      <c r="J1321" s="10"/>
      <c r="K1321" s="46"/>
      <c r="L1321" s="10"/>
      <c r="M1321" s="20"/>
      <c r="N1321" s="20"/>
      <c r="O1321" s="20"/>
      <c r="P1321" s="20"/>
    </row>
    <row r="1322">
      <c r="A1322" s="23"/>
      <c r="B1322" s="21"/>
      <c r="C1322" s="23"/>
      <c r="D1322" s="24"/>
      <c r="E1322" s="14"/>
      <c r="F1322" s="14"/>
      <c r="G1322" s="14"/>
      <c r="H1322" s="23"/>
      <c r="I1322" s="27"/>
      <c r="J1322" s="23"/>
      <c r="K1322" s="30"/>
      <c r="L1322" s="23"/>
      <c r="M1322" s="20"/>
      <c r="N1322" s="20"/>
      <c r="O1322" s="20"/>
      <c r="P1322" s="20"/>
    </row>
    <row r="1323">
      <c r="A1323" s="10"/>
      <c r="B1323" s="11"/>
      <c r="C1323" s="10"/>
      <c r="D1323" s="13"/>
      <c r="E1323" s="14"/>
      <c r="F1323" s="14"/>
      <c r="G1323" s="14"/>
      <c r="H1323" s="10"/>
      <c r="I1323" s="17"/>
      <c r="J1323" s="10"/>
      <c r="K1323" s="46"/>
      <c r="L1323" s="10"/>
      <c r="M1323" s="20"/>
      <c r="N1323" s="20"/>
      <c r="O1323" s="20"/>
      <c r="P1323" s="20"/>
    </row>
    <row r="1324">
      <c r="A1324" s="23"/>
      <c r="B1324" s="21"/>
      <c r="C1324" s="23"/>
      <c r="D1324" s="24"/>
      <c r="E1324" s="14"/>
      <c r="F1324" s="14"/>
      <c r="G1324" s="14"/>
      <c r="H1324" s="23"/>
      <c r="I1324" s="27"/>
      <c r="J1324" s="23"/>
      <c r="K1324" s="30"/>
      <c r="L1324" s="23"/>
      <c r="M1324" s="20"/>
      <c r="N1324" s="20"/>
      <c r="O1324" s="20"/>
      <c r="P1324" s="20"/>
    </row>
    <row r="1325">
      <c r="A1325" s="10"/>
      <c r="B1325" s="11"/>
      <c r="C1325" s="10"/>
      <c r="D1325" s="13"/>
      <c r="E1325" s="14"/>
      <c r="F1325" s="14"/>
      <c r="G1325" s="14"/>
      <c r="H1325" s="10"/>
      <c r="I1325" s="17"/>
      <c r="J1325" s="10"/>
      <c r="K1325" s="46"/>
      <c r="L1325" s="10"/>
      <c r="M1325" s="20"/>
      <c r="N1325" s="20"/>
      <c r="O1325" s="20"/>
      <c r="P1325" s="20"/>
    </row>
    <row r="1326">
      <c r="A1326" s="23"/>
      <c r="B1326" s="21"/>
      <c r="C1326" s="23"/>
      <c r="D1326" s="24"/>
      <c r="E1326" s="14"/>
      <c r="F1326" s="14"/>
      <c r="G1326" s="14"/>
      <c r="H1326" s="23"/>
      <c r="I1326" s="27"/>
      <c r="J1326" s="23"/>
      <c r="K1326" s="30"/>
      <c r="L1326" s="23"/>
      <c r="M1326" s="20"/>
      <c r="N1326" s="20"/>
      <c r="O1326" s="20"/>
      <c r="P1326" s="20"/>
    </row>
    <row r="1327">
      <c r="A1327" s="10"/>
      <c r="B1327" s="11"/>
      <c r="C1327" s="10"/>
      <c r="D1327" s="13"/>
      <c r="E1327" s="14"/>
      <c r="F1327" s="14"/>
      <c r="G1327" s="14"/>
      <c r="H1327" s="10"/>
      <c r="I1327" s="17"/>
      <c r="J1327" s="10"/>
      <c r="K1327" s="46"/>
      <c r="L1327" s="10"/>
      <c r="M1327" s="20"/>
      <c r="N1327" s="20"/>
      <c r="O1327" s="20"/>
      <c r="P1327" s="20"/>
    </row>
    <row r="1328">
      <c r="A1328" s="23"/>
      <c r="B1328" s="21"/>
      <c r="C1328" s="23"/>
      <c r="D1328" s="24"/>
      <c r="E1328" s="14"/>
      <c r="F1328" s="14"/>
      <c r="G1328" s="14"/>
      <c r="H1328" s="23"/>
      <c r="I1328" s="27"/>
      <c r="J1328" s="23"/>
      <c r="K1328" s="30"/>
      <c r="L1328" s="23"/>
      <c r="M1328" s="20"/>
      <c r="N1328" s="20"/>
      <c r="O1328" s="20"/>
      <c r="P1328" s="20"/>
    </row>
    <row r="1329">
      <c r="A1329" s="10"/>
      <c r="B1329" s="11"/>
      <c r="C1329" s="10"/>
      <c r="D1329" s="13"/>
      <c r="E1329" s="14"/>
      <c r="F1329" s="14"/>
      <c r="G1329" s="14"/>
      <c r="H1329" s="10"/>
      <c r="I1329" s="17"/>
      <c r="J1329" s="10"/>
      <c r="K1329" s="46"/>
      <c r="L1329" s="10"/>
      <c r="M1329" s="20"/>
      <c r="N1329" s="20"/>
      <c r="O1329" s="20"/>
      <c r="P1329" s="20"/>
    </row>
    <row r="1330">
      <c r="A1330" s="23"/>
      <c r="B1330" s="21"/>
      <c r="C1330" s="23"/>
      <c r="D1330" s="24"/>
      <c r="E1330" s="14"/>
      <c r="F1330" s="14"/>
      <c r="G1330" s="14"/>
      <c r="H1330" s="23"/>
      <c r="I1330" s="27"/>
      <c r="J1330" s="23"/>
      <c r="K1330" s="30"/>
      <c r="L1330" s="23"/>
      <c r="M1330" s="20"/>
      <c r="N1330" s="20"/>
      <c r="O1330" s="20"/>
      <c r="P1330" s="20"/>
    </row>
    <row r="1331">
      <c r="A1331" s="10"/>
      <c r="B1331" s="11"/>
      <c r="C1331" s="10"/>
      <c r="D1331" s="13"/>
      <c r="E1331" s="14"/>
      <c r="F1331" s="14"/>
      <c r="G1331" s="14"/>
      <c r="H1331" s="10"/>
      <c r="I1331" s="17"/>
      <c r="J1331" s="10"/>
      <c r="K1331" s="46"/>
      <c r="L1331" s="10"/>
      <c r="M1331" s="20"/>
      <c r="N1331" s="20"/>
      <c r="O1331" s="20"/>
      <c r="P1331" s="20"/>
    </row>
    <row r="1332">
      <c r="A1332" s="23"/>
      <c r="B1332" s="21"/>
      <c r="C1332" s="23"/>
      <c r="D1332" s="24"/>
      <c r="E1332" s="14"/>
      <c r="F1332" s="14"/>
      <c r="G1332" s="14"/>
      <c r="H1332" s="23"/>
      <c r="I1332" s="27"/>
      <c r="J1332" s="23"/>
      <c r="K1332" s="30"/>
      <c r="L1332" s="23"/>
      <c r="M1332" s="20"/>
      <c r="N1332" s="20"/>
      <c r="O1332" s="20"/>
      <c r="P1332" s="20"/>
    </row>
    <row r="1333">
      <c r="A1333" s="10"/>
      <c r="B1333" s="11"/>
      <c r="C1333" s="10"/>
      <c r="D1333" s="13"/>
      <c r="E1333" s="14"/>
      <c r="F1333" s="14"/>
      <c r="G1333" s="14"/>
      <c r="H1333" s="10"/>
      <c r="I1333" s="17"/>
      <c r="J1333" s="10"/>
      <c r="K1333" s="46"/>
      <c r="L1333" s="10"/>
      <c r="M1333" s="20"/>
      <c r="N1333" s="20"/>
      <c r="O1333" s="20"/>
      <c r="P1333" s="20"/>
    </row>
    <row r="1334">
      <c r="A1334" s="23"/>
      <c r="B1334" s="21"/>
      <c r="C1334" s="23"/>
      <c r="D1334" s="24"/>
      <c r="E1334" s="14"/>
      <c r="F1334" s="14"/>
      <c r="G1334" s="14"/>
      <c r="H1334" s="23"/>
      <c r="I1334" s="27"/>
      <c r="J1334" s="23"/>
      <c r="K1334" s="30"/>
      <c r="L1334" s="23"/>
      <c r="M1334" s="20"/>
      <c r="N1334" s="20"/>
      <c r="O1334" s="20"/>
      <c r="P1334" s="20"/>
    </row>
    <row r="1335">
      <c r="A1335" s="10"/>
      <c r="B1335" s="11"/>
      <c r="C1335" s="10"/>
      <c r="D1335" s="13"/>
      <c r="E1335" s="14"/>
      <c r="F1335" s="14"/>
      <c r="G1335" s="14"/>
      <c r="H1335" s="10"/>
      <c r="I1335" s="17"/>
      <c r="J1335" s="10"/>
      <c r="K1335" s="46"/>
      <c r="L1335" s="10"/>
      <c r="M1335" s="20"/>
      <c r="N1335" s="20"/>
      <c r="O1335" s="20"/>
      <c r="P1335" s="20"/>
    </row>
    <row r="1336">
      <c r="A1336" s="23"/>
      <c r="B1336" s="21"/>
      <c r="C1336" s="23"/>
      <c r="D1336" s="24"/>
      <c r="E1336" s="14"/>
      <c r="F1336" s="14"/>
      <c r="G1336" s="14"/>
      <c r="H1336" s="23"/>
      <c r="I1336" s="27"/>
      <c r="J1336" s="23"/>
      <c r="K1336" s="30"/>
      <c r="L1336" s="23"/>
      <c r="M1336" s="20"/>
      <c r="N1336" s="20"/>
      <c r="O1336" s="20"/>
      <c r="P1336" s="20"/>
    </row>
    <row r="1337">
      <c r="A1337" s="10"/>
      <c r="B1337" s="11"/>
      <c r="C1337" s="10"/>
      <c r="D1337" s="13"/>
      <c r="E1337" s="14"/>
      <c r="F1337" s="14"/>
      <c r="G1337" s="14"/>
      <c r="H1337" s="10"/>
      <c r="I1337" s="17"/>
      <c r="J1337" s="10"/>
      <c r="K1337" s="46"/>
      <c r="L1337" s="10"/>
      <c r="M1337" s="20"/>
      <c r="N1337" s="20"/>
      <c r="O1337" s="20"/>
      <c r="P1337" s="20"/>
    </row>
    <row r="1338">
      <c r="A1338" s="23"/>
      <c r="B1338" s="21"/>
      <c r="C1338" s="23"/>
      <c r="D1338" s="24"/>
      <c r="E1338" s="14"/>
      <c r="F1338" s="14"/>
      <c r="G1338" s="14"/>
      <c r="H1338" s="23"/>
      <c r="I1338" s="27"/>
      <c r="J1338" s="23"/>
      <c r="K1338" s="30"/>
      <c r="L1338" s="23"/>
      <c r="M1338" s="20"/>
      <c r="N1338" s="20"/>
      <c r="O1338" s="20"/>
      <c r="P1338" s="20"/>
    </row>
    <row r="1339">
      <c r="A1339" s="10"/>
      <c r="B1339" s="11"/>
      <c r="C1339" s="10"/>
      <c r="D1339" s="13"/>
      <c r="E1339" s="14"/>
      <c r="F1339" s="14"/>
      <c r="G1339" s="14"/>
      <c r="H1339" s="10"/>
      <c r="I1339" s="17"/>
      <c r="J1339" s="10"/>
      <c r="K1339" s="46"/>
      <c r="L1339" s="10"/>
      <c r="M1339" s="20"/>
      <c r="N1339" s="20"/>
      <c r="O1339" s="20"/>
      <c r="P1339" s="20"/>
    </row>
    <row r="1340">
      <c r="A1340" s="23"/>
      <c r="B1340" s="21"/>
      <c r="C1340" s="23"/>
      <c r="D1340" s="24"/>
      <c r="E1340" s="14"/>
      <c r="F1340" s="14"/>
      <c r="G1340" s="14"/>
      <c r="H1340" s="23"/>
      <c r="I1340" s="27"/>
      <c r="J1340" s="23"/>
      <c r="K1340" s="30"/>
      <c r="L1340" s="23"/>
      <c r="M1340" s="20"/>
      <c r="N1340" s="20"/>
      <c r="O1340" s="20"/>
      <c r="P1340" s="20"/>
    </row>
    <row r="1341">
      <c r="A1341" s="10"/>
      <c r="B1341" s="11"/>
      <c r="C1341" s="10"/>
      <c r="D1341" s="13"/>
      <c r="E1341" s="14"/>
      <c r="F1341" s="14"/>
      <c r="G1341" s="14"/>
      <c r="H1341" s="10"/>
      <c r="I1341" s="17"/>
      <c r="J1341" s="10"/>
      <c r="K1341" s="46"/>
      <c r="L1341" s="10"/>
      <c r="M1341" s="20"/>
      <c r="N1341" s="20"/>
      <c r="O1341" s="20"/>
      <c r="P1341" s="20"/>
    </row>
    <row r="1342">
      <c r="A1342" s="23"/>
      <c r="B1342" s="21"/>
      <c r="C1342" s="23"/>
      <c r="D1342" s="24"/>
      <c r="E1342" s="14"/>
      <c r="F1342" s="14"/>
      <c r="G1342" s="14"/>
      <c r="H1342" s="23"/>
      <c r="I1342" s="27"/>
      <c r="J1342" s="23"/>
      <c r="K1342" s="30"/>
      <c r="L1342" s="23"/>
      <c r="M1342" s="20"/>
      <c r="N1342" s="20"/>
      <c r="O1342" s="20"/>
      <c r="P1342" s="20"/>
    </row>
    <row r="1343">
      <c r="A1343" s="10"/>
      <c r="B1343" s="11"/>
      <c r="C1343" s="10"/>
      <c r="D1343" s="13"/>
      <c r="E1343" s="14"/>
      <c r="F1343" s="14"/>
      <c r="G1343" s="14"/>
      <c r="H1343" s="10"/>
      <c r="I1343" s="17"/>
      <c r="J1343" s="10"/>
      <c r="K1343" s="46"/>
      <c r="L1343" s="10"/>
      <c r="M1343" s="20"/>
      <c r="N1343" s="20"/>
      <c r="O1343" s="20"/>
      <c r="P1343" s="20"/>
    </row>
    <row r="1344">
      <c r="A1344" s="23"/>
      <c r="B1344" s="21"/>
      <c r="C1344" s="23"/>
      <c r="D1344" s="24"/>
      <c r="E1344" s="14"/>
      <c r="F1344" s="14"/>
      <c r="G1344" s="14"/>
      <c r="H1344" s="23"/>
      <c r="I1344" s="27"/>
      <c r="J1344" s="23"/>
      <c r="K1344" s="30"/>
      <c r="L1344" s="23"/>
      <c r="M1344" s="20"/>
      <c r="N1344" s="20"/>
      <c r="O1344" s="20"/>
      <c r="P1344" s="20"/>
    </row>
    <row r="1345">
      <c r="A1345" s="10"/>
      <c r="B1345" s="11"/>
      <c r="C1345" s="10"/>
      <c r="D1345" s="13"/>
      <c r="E1345" s="14"/>
      <c r="F1345" s="14"/>
      <c r="G1345" s="14"/>
      <c r="H1345" s="10"/>
      <c r="I1345" s="17"/>
      <c r="J1345" s="10"/>
      <c r="K1345" s="46"/>
      <c r="L1345" s="10"/>
      <c r="M1345" s="20"/>
      <c r="N1345" s="20"/>
      <c r="O1345" s="20"/>
      <c r="P1345" s="20"/>
    </row>
    <row r="1346">
      <c r="A1346" s="23"/>
      <c r="B1346" s="21"/>
      <c r="C1346" s="23"/>
      <c r="D1346" s="24"/>
      <c r="E1346" s="14"/>
      <c r="F1346" s="14"/>
      <c r="G1346" s="14"/>
      <c r="H1346" s="23"/>
      <c r="I1346" s="27"/>
      <c r="J1346" s="23"/>
      <c r="K1346" s="30"/>
      <c r="L1346" s="23"/>
      <c r="M1346" s="20"/>
      <c r="N1346" s="20"/>
      <c r="O1346" s="20"/>
      <c r="P1346" s="20"/>
    </row>
    <row r="1347">
      <c r="A1347" s="10"/>
      <c r="B1347" s="11"/>
      <c r="C1347" s="10"/>
      <c r="D1347" s="13"/>
      <c r="E1347" s="14"/>
      <c r="F1347" s="14"/>
      <c r="G1347" s="14"/>
      <c r="H1347" s="10"/>
      <c r="I1347" s="17"/>
      <c r="J1347" s="10"/>
      <c r="K1347" s="46"/>
      <c r="L1347" s="10"/>
      <c r="M1347" s="20"/>
      <c r="N1347" s="20"/>
      <c r="O1347" s="20"/>
      <c r="P1347" s="20"/>
    </row>
    <row r="1348">
      <c r="A1348" s="23"/>
      <c r="B1348" s="21"/>
      <c r="C1348" s="23"/>
      <c r="D1348" s="24"/>
      <c r="E1348" s="14"/>
      <c r="F1348" s="14"/>
      <c r="G1348" s="14"/>
      <c r="H1348" s="23"/>
      <c r="I1348" s="27"/>
      <c r="J1348" s="23"/>
      <c r="K1348" s="30"/>
      <c r="L1348" s="23"/>
      <c r="M1348" s="20"/>
      <c r="N1348" s="20"/>
      <c r="O1348" s="20"/>
      <c r="P1348" s="20"/>
    </row>
    <row r="1349">
      <c r="A1349" s="10"/>
      <c r="B1349" s="11"/>
      <c r="C1349" s="10"/>
      <c r="D1349" s="13"/>
      <c r="E1349" s="14"/>
      <c r="F1349" s="14"/>
      <c r="G1349" s="14"/>
      <c r="H1349" s="10"/>
      <c r="I1349" s="17"/>
      <c r="J1349" s="10"/>
      <c r="K1349" s="46"/>
      <c r="L1349" s="10"/>
      <c r="M1349" s="20"/>
      <c r="N1349" s="20"/>
      <c r="O1349" s="20"/>
      <c r="P1349" s="20"/>
    </row>
    <row r="1350">
      <c r="A1350" s="23"/>
      <c r="B1350" s="21"/>
      <c r="C1350" s="23"/>
      <c r="D1350" s="24"/>
      <c r="E1350" s="14"/>
      <c r="F1350" s="14"/>
      <c r="G1350" s="14"/>
      <c r="H1350" s="23"/>
      <c r="I1350" s="27"/>
      <c r="J1350" s="23"/>
      <c r="K1350" s="30"/>
      <c r="L1350" s="23"/>
      <c r="M1350" s="20"/>
      <c r="N1350" s="20"/>
      <c r="O1350" s="20"/>
      <c r="P1350" s="20"/>
    </row>
    <row r="1351">
      <c r="A1351" s="10"/>
      <c r="B1351" s="11"/>
      <c r="C1351" s="10"/>
      <c r="D1351" s="13"/>
      <c r="E1351" s="14"/>
      <c r="F1351" s="14"/>
      <c r="G1351" s="14"/>
      <c r="H1351" s="10"/>
      <c r="I1351" s="17"/>
      <c r="J1351" s="10"/>
      <c r="K1351" s="46"/>
      <c r="L1351" s="10"/>
      <c r="M1351" s="20"/>
      <c r="N1351" s="20"/>
      <c r="O1351" s="20"/>
      <c r="P1351" s="20"/>
    </row>
    <row r="1352">
      <c r="A1352" s="23"/>
      <c r="B1352" s="21"/>
      <c r="C1352" s="23"/>
      <c r="D1352" s="24"/>
      <c r="E1352" s="14"/>
      <c r="F1352" s="14"/>
      <c r="G1352" s="14"/>
      <c r="H1352" s="23"/>
      <c r="I1352" s="27"/>
      <c r="J1352" s="23"/>
      <c r="K1352" s="30"/>
      <c r="L1352" s="23"/>
      <c r="M1352" s="20"/>
      <c r="N1352" s="20"/>
      <c r="O1352" s="20"/>
      <c r="P1352" s="20"/>
    </row>
    <row r="1353">
      <c r="A1353" s="10"/>
      <c r="B1353" s="11"/>
      <c r="C1353" s="10"/>
      <c r="D1353" s="13"/>
      <c r="E1353" s="14"/>
      <c r="F1353" s="14"/>
      <c r="G1353" s="14"/>
      <c r="H1353" s="10"/>
      <c r="I1353" s="17"/>
      <c r="J1353" s="10"/>
      <c r="K1353" s="46"/>
      <c r="L1353" s="10"/>
      <c r="M1353" s="20"/>
      <c r="N1353" s="20"/>
      <c r="O1353" s="20"/>
      <c r="P1353" s="20"/>
    </row>
    <row r="1354">
      <c r="A1354" s="23"/>
      <c r="B1354" s="21"/>
      <c r="C1354" s="23"/>
      <c r="D1354" s="24"/>
      <c r="E1354" s="14"/>
      <c r="F1354" s="14"/>
      <c r="G1354" s="14"/>
      <c r="H1354" s="23"/>
      <c r="I1354" s="27"/>
      <c r="J1354" s="23"/>
      <c r="K1354" s="30"/>
      <c r="L1354" s="23"/>
      <c r="M1354" s="20"/>
      <c r="N1354" s="20"/>
      <c r="O1354" s="20"/>
      <c r="P1354" s="20"/>
    </row>
    <row r="1355">
      <c r="A1355" s="10"/>
      <c r="B1355" s="11"/>
      <c r="C1355" s="10"/>
      <c r="D1355" s="13"/>
      <c r="E1355" s="14"/>
      <c r="F1355" s="14"/>
      <c r="G1355" s="14"/>
      <c r="H1355" s="10"/>
      <c r="I1355" s="17"/>
      <c r="J1355" s="10"/>
      <c r="K1355" s="46"/>
      <c r="L1355" s="10"/>
      <c r="M1355" s="20"/>
      <c r="N1355" s="20"/>
      <c r="O1355" s="20"/>
      <c r="P1355" s="20"/>
    </row>
    <row r="1356">
      <c r="A1356" s="23"/>
      <c r="B1356" s="21"/>
      <c r="C1356" s="23"/>
      <c r="D1356" s="24"/>
      <c r="E1356" s="14"/>
      <c r="F1356" s="14"/>
      <c r="G1356" s="14"/>
      <c r="H1356" s="23"/>
      <c r="I1356" s="27"/>
      <c r="J1356" s="23"/>
      <c r="K1356" s="30"/>
      <c r="L1356" s="23"/>
      <c r="M1356" s="20"/>
      <c r="N1356" s="20"/>
      <c r="O1356" s="20"/>
      <c r="P1356" s="20"/>
    </row>
    <row r="1357">
      <c r="A1357" s="10"/>
      <c r="B1357" s="11"/>
      <c r="C1357" s="10"/>
      <c r="D1357" s="13"/>
      <c r="E1357" s="14"/>
      <c r="F1357" s="14"/>
      <c r="G1357" s="14"/>
      <c r="H1357" s="10"/>
      <c r="I1357" s="17"/>
      <c r="J1357" s="10"/>
      <c r="K1357" s="46"/>
      <c r="L1357" s="10"/>
      <c r="M1357" s="20"/>
      <c r="N1357" s="20"/>
      <c r="O1357" s="20"/>
      <c r="P1357" s="20"/>
    </row>
    <row r="1358">
      <c r="A1358" s="23"/>
      <c r="B1358" s="21"/>
      <c r="C1358" s="23"/>
      <c r="D1358" s="24"/>
      <c r="E1358" s="14"/>
      <c r="F1358" s="14"/>
      <c r="G1358" s="14"/>
      <c r="H1358" s="23"/>
      <c r="I1358" s="27"/>
      <c r="J1358" s="23"/>
      <c r="K1358" s="30"/>
      <c r="L1358" s="23"/>
      <c r="M1358" s="20"/>
      <c r="N1358" s="20"/>
      <c r="O1358" s="20"/>
      <c r="P1358" s="20"/>
    </row>
    <row r="1359">
      <c r="A1359" s="10"/>
      <c r="B1359" s="11"/>
      <c r="C1359" s="10"/>
      <c r="D1359" s="13"/>
      <c r="E1359" s="14"/>
      <c r="F1359" s="14"/>
      <c r="G1359" s="14"/>
      <c r="H1359" s="10"/>
      <c r="I1359" s="17"/>
      <c r="J1359" s="10"/>
      <c r="K1359" s="46"/>
      <c r="L1359" s="10"/>
      <c r="M1359" s="20"/>
      <c r="N1359" s="20"/>
      <c r="O1359" s="20"/>
      <c r="P1359" s="20"/>
    </row>
    <row r="1360">
      <c r="A1360" s="23"/>
      <c r="B1360" s="21"/>
      <c r="C1360" s="23"/>
      <c r="D1360" s="24"/>
      <c r="E1360" s="14"/>
      <c r="F1360" s="14"/>
      <c r="G1360" s="14"/>
      <c r="H1360" s="23"/>
      <c r="I1360" s="27"/>
      <c r="J1360" s="23"/>
      <c r="K1360" s="30"/>
      <c r="L1360" s="23"/>
      <c r="M1360" s="20"/>
      <c r="N1360" s="20"/>
      <c r="O1360" s="20"/>
      <c r="P1360" s="20"/>
    </row>
    <row r="1361">
      <c r="A1361" s="10"/>
      <c r="B1361" s="11"/>
      <c r="C1361" s="10"/>
      <c r="D1361" s="13"/>
      <c r="E1361" s="14"/>
      <c r="F1361" s="14"/>
      <c r="G1361" s="14"/>
      <c r="H1361" s="10"/>
      <c r="I1361" s="17"/>
      <c r="J1361" s="10"/>
      <c r="K1361" s="46"/>
      <c r="L1361" s="10"/>
      <c r="M1361" s="20"/>
      <c r="N1361" s="20"/>
      <c r="O1361" s="20"/>
      <c r="P1361" s="20"/>
    </row>
    <row r="1362">
      <c r="A1362" s="23"/>
      <c r="B1362" s="21"/>
      <c r="C1362" s="23"/>
      <c r="D1362" s="24"/>
      <c r="E1362" s="14"/>
      <c r="F1362" s="14"/>
      <c r="G1362" s="14"/>
      <c r="H1362" s="23"/>
      <c r="I1362" s="27"/>
      <c r="J1362" s="23"/>
      <c r="K1362" s="30"/>
      <c r="L1362" s="23"/>
      <c r="M1362" s="20"/>
      <c r="N1362" s="20"/>
      <c r="O1362" s="20"/>
      <c r="P1362" s="20"/>
    </row>
    <row r="1363">
      <c r="A1363" s="10"/>
      <c r="B1363" s="11"/>
      <c r="C1363" s="10"/>
      <c r="D1363" s="13"/>
      <c r="E1363" s="14"/>
      <c r="F1363" s="14"/>
      <c r="G1363" s="14"/>
      <c r="H1363" s="10"/>
      <c r="I1363" s="17"/>
      <c r="J1363" s="10"/>
      <c r="K1363" s="46"/>
      <c r="L1363" s="10"/>
      <c r="M1363" s="20"/>
      <c r="N1363" s="20"/>
      <c r="O1363" s="20"/>
      <c r="P1363" s="20"/>
    </row>
    <row r="1364">
      <c r="A1364" s="23"/>
      <c r="B1364" s="21"/>
      <c r="C1364" s="23"/>
      <c r="D1364" s="24"/>
      <c r="E1364" s="14"/>
      <c r="F1364" s="14"/>
      <c r="G1364" s="14"/>
      <c r="H1364" s="23"/>
      <c r="I1364" s="27"/>
      <c r="J1364" s="23"/>
      <c r="K1364" s="30"/>
      <c r="L1364" s="23"/>
      <c r="M1364" s="20"/>
      <c r="N1364" s="20"/>
      <c r="O1364" s="20"/>
      <c r="P1364" s="20"/>
    </row>
    <row r="1365">
      <c r="A1365" s="10"/>
      <c r="B1365" s="11"/>
      <c r="C1365" s="10"/>
      <c r="D1365" s="13"/>
      <c r="E1365" s="14"/>
      <c r="F1365" s="14"/>
      <c r="G1365" s="14"/>
      <c r="H1365" s="10"/>
      <c r="I1365" s="17"/>
      <c r="J1365" s="10"/>
      <c r="K1365" s="46"/>
      <c r="L1365" s="10"/>
      <c r="M1365" s="20"/>
      <c r="N1365" s="20"/>
      <c r="O1365" s="20"/>
      <c r="P1365" s="20"/>
    </row>
    <row r="1366">
      <c r="A1366" s="23"/>
      <c r="B1366" s="21"/>
      <c r="C1366" s="23"/>
      <c r="D1366" s="24"/>
      <c r="E1366" s="14"/>
      <c r="F1366" s="14"/>
      <c r="G1366" s="14"/>
      <c r="H1366" s="23"/>
      <c r="I1366" s="27"/>
      <c r="J1366" s="23"/>
      <c r="K1366" s="30"/>
      <c r="L1366" s="23"/>
      <c r="M1366" s="20"/>
      <c r="N1366" s="20"/>
      <c r="O1366" s="20"/>
      <c r="P1366" s="20"/>
    </row>
    <row r="1367">
      <c r="A1367" s="10"/>
      <c r="B1367" s="11"/>
      <c r="C1367" s="10"/>
      <c r="D1367" s="13"/>
      <c r="E1367" s="14"/>
      <c r="F1367" s="14"/>
      <c r="G1367" s="14"/>
      <c r="H1367" s="10"/>
      <c r="I1367" s="17"/>
      <c r="J1367" s="10"/>
      <c r="K1367" s="46"/>
      <c r="L1367" s="10"/>
      <c r="M1367" s="20"/>
      <c r="N1367" s="20"/>
      <c r="O1367" s="20"/>
      <c r="P1367" s="20"/>
    </row>
    <row r="1368">
      <c r="A1368" s="23"/>
      <c r="B1368" s="21"/>
      <c r="C1368" s="23"/>
      <c r="D1368" s="24"/>
      <c r="E1368" s="14"/>
      <c r="F1368" s="14"/>
      <c r="G1368" s="14"/>
      <c r="H1368" s="23"/>
      <c r="I1368" s="27"/>
      <c r="J1368" s="23"/>
      <c r="K1368" s="30"/>
      <c r="L1368" s="23"/>
      <c r="M1368" s="20"/>
      <c r="N1368" s="20"/>
      <c r="O1368" s="20"/>
      <c r="P1368" s="20"/>
    </row>
    <row r="1369">
      <c r="A1369" s="10"/>
      <c r="B1369" s="11"/>
      <c r="C1369" s="10"/>
      <c r="D1369" s="13"/>
      <c r="E1369" s="14"/>
      <c r="F1369" s="14"/>
      <c r="G1369" s="14"/>
      <c r="H1369" s="10"/>
      <c r="I1369" s="17"/>
      <c r="J1369" s="10"/>
      <c r="K1369" s="46"/>
      <c r="L1369" s="10"/>
      <c r="M1369" s="20"/>
      <c r="N1369" s="20"/>
      <c r="O1369" s="20"/>
      <c r="P1369" s="20"/>
    </row>
    <row r="1370">
      <c r="A1370" s="23"/>
      <c r="B1370" s="21"/>
      <c r="C1370" s="23"/>
      <c r="D1370" s="24"/>
      <c r="E1370" s="14"/>
      <c r="F1370" s="14"/>
      <c r="G1370" s="14"/>
      <c r="H1370" s="23"/>
      <c r="I1370" s="27"/>
      <c r="J1370" s="23"/>
      <c r="K1370" s="30"/>
      <c r="L1370" s="23"/>
      <c r="M1370" s="20"/>
      <c r="N1370" s="20"/>
      <c r="O1370" s="20"/>
      <c r="P1370" s="20"/>
    </row>
    <row r="1371">
      <c r="A1371" s="10"/>
      <c r="B1371" s="11"/>
      <c r="C1371" s="10"/>
      <c r="D1371" s="13"/>
      <c r="E1371" s="14"/>
      <c r="F1371" s="14"/>
      <c r="G1371" s="14"/>
      <c r="H1371" s="10"/>
      <c r="I1371" s="17"/>
      <c r="J1371" s="10"/>
      <c r="K1371" s="46"/>
      <c r="L1371" s="10"/>
      <c r="M1371" s="20"/>
      <c r="N1371" s="20"/>
      <c r="O1371" s="20"/>
      <c r="P1371" s="20"/>
    </row>
    <row r="1372">
      <c r="A1372" s="23"/>
      <c r="B1372" s="21"/>
      <c r="C1372" s="23"/>
      <c r="D1372" s="24"/>
      <c r="E1372" s="14"/>
      <c r="F1372" s="14"/>
      <c r="G1372" s="14"/>
      <c r="H1372" s="23"/>
      <c r="I1372" s="27"/>
      <c r="J1372" s="23"/>
      <c r="K1372" s="30"/>
      <c r="L1372" s="23"/>
      <c r="M1372" s="20"/>
      <c r="N1372" s="20"/>
      <c r="O1372" s="20"/>
      <c r="P1372" s="20"/>
    </row>
    <row r="1373">
      <c r="A1373" s="10"/>
      <c r="B1373" s="11"/>
      <c r="C1373" s="10"/>
      <c r="D1373" s="13"/>
      <c r="E1373" s="14"/>
      <c r="F1373" s="14"/>
      <c r="G1373" s="14"/>
      <c r="H1373" s="10"/>
      <c r="I1373" s="17"/>
      <c r="J1373" s="10"/>
      <c r="K1373" s="46"/>
      <c r="L1373" s="10"/>
      <c r="M1373" s="20"/>
      <c r="N1373" s="20"/>
      <c r="O1373" s="20"/>
      <c r="P1373" s="20"/>
    </row>
    <row r="1374">
      <c r="A1374" s="23"/>
      <c r="B1374" s="21"/>
      <c r="C1374" s="23"/>
      <c r="D1374" s="24"/>
      <c r="E1374" s="14"/>
      <c r="F1374" s="14"/>
      <c r="G1374" s="14"/>
      <c r="H1374" s="23"/>
      <c r="I1374" s="27"/>
      <c r="J1374" s="23"/>
      <c r="K1374" s="30"/>
      <c r="L1374" s="23"/>
      <c r="M1374" s="20"/>
      <c r="N1374" s="20"/>
      <c r="O1374" s="20"/>
      <c r="P1374" s="20"/>
    </row>
    <row r="1375">
      <c r="A1375" s="10"/>
      <c r="B1375" s="11"/>
      <c r="C1375" s="10"/>
      <c r="D1375" s="13"/>
      <c r="E1375" s="14"/>
      <c r="F1375" s="14"/>
      <c r="G1375" s="14"/>
      <c r="H1375" s="10"/>
      <c r="I1375" s="17"/>
      <c r="J1375" s="10"/>
      <c r="K1375" s="46"/>
      <c r="L1375" s="10"/>
      <c r="M1375" s="20"/>
      <c r="N1375" s="20"/>
      <c r="O1375" s="20"/>
      <c r="P1375" s="20"/>
    </row>
    <row r="1376">
      <c r="A1376" s="23"/>
      <c r="B1376" s="21"/>
      <c r="C1376" s="23"/>
      <c r="D1376" s="24"/>
      <c r="E1376" s="14"/>
      <c r="F1376" s="14"/>
      <c r="G1376" s="14"/>
      <c r="H1376" s="23"/>
      <c r="I1376" s="27"/>
      <c r="J1376" s="23"/>
      <c r="K1376" s="30"/>
      <c r="L1376" s="23"/>
      <c r="M1376" s="20"/>
      <c r="N1376" s="20"/>
      <c r="O1376" s="20"/>
      <c r="P1376" s="20"/>
    </row>
    <row r="1377">
      <c r="A1377" s="10"/>
      <c r="B1377" s="11"/>
      <c r="C1377" s="10"/>
      <c r="D1377" s="13"/>
      <c r="E1377" s="14"/>
      <c r="F1377" s="14"/>
      <c r="G1377" s="14"/>
      <c r="H1377" s="10"/>
      <c r="I1377" s="17"/>
      <c r="J1377" s="10"/>
      <c r="K1377" s="46"/>
      <c r="L1377" s="10"/>
      <c r="M1377" s="20"/>
      <c r="N1377" s="20"/>
      <c r="O1377" s="20"/>
      <c r="P1377" s="20"/>
    </row>
    <row r="1378">
      <c r="A1378" s="23"/>
      <c r="B1378" s="21"/>
      <c r="C1378" s="23"/>
      <c r="D1378" s="24"/>
      <c r="E1378" s="14"/>
      <c r="F1378" s="14"/>
      <c r="G1378" s="14"/>
      <c r="H1378" s="23"/>
      <c r="I1378" s="27"/>
      <c r="J1378" s="23"/>
      <c r="K1378" s="30"/>
      <c r="L1378" s="23"/>
      <c r="M1378" s="20"/>
      <c r="N1378" s="20"/>
      <c r="O1378" s="20"/>
      <c r="P1378" s="20"/>
    </row>
    <row r="1379">
      <c r="A1379" s="10"/>
      <c r="B1379" s="11"/>
      <c r="C1379" s="10"/>
      <c r="D1379" s="13"/>
      <c r="E1379" s="14"/>
      <c r="F1379" s="14"/>
      <c r="G1379" s="14"/>
      <c r="H1379" s="10"/>
      <c r="I1379" s="17"/>
      <c r="J1379" s="10"/>
      <c r="K1379" s="46"/>
      <c r="L1379" s="10"/>
      <c r="M1379" s="20"/>
      <c r="N1379" s="20"/>
      <c r="O1379" s="20"/>
      <c r="P1379" s="20"/>
    </row>
    <row r="1380">
      <c r="A1380" s="23"/>
      <c r="B1380" s="21"/>
      <c r="C1380" s="23"/>
      <c r="D1380" s="24"/>
      <c r="E1380" s="14"/>
      <c r="F1380" s="14"/>
      <c r="G1380" s="14"/>
      <c r="H1380" s="23"/>
      <c r="I1380" s="27"/>
      <c r="J1380" s="23"/>
      <c r="K1380" s="30"/>
      <c r="L1380" s="23"/>
      <c r="M1380" s="20"/>
      <c r="N1380" s="20"/>
      <c r="O1380" s="20"/>
      <c r="P1380" s="20"/>
    </row>
    <row r="1381">
      <c r="A1381" s="10"/>
      <c r="B1381" s="11"/>
      <c r="C1381" s="10"/>
      <c r="D1381" s="13"/>
      <c r="E1381" s="14"/>
      <c r="F1381" s="14"/>
      <c r="G1381" s="14"/>
      <c r="H1381" s="10"/>
      <c r="I1381" s="17"/>
      <c r="J1381" s="10"/>
      <c r="K1381" s="46"/>
      <c r="L1381" s="10"/>
      <c r="M1381" s="20"/>
      <c r="N1381" s="20"/>
      <c r="O1381" s="20"/>
      <c r="P1381" s="20"/>
    </row>
    <row r="1382">
      <c r="A1382" s="23"/>
      <c r="B1382" s="21"/>
      <c r="C1382" s="23"/>
      <c r="D1382" s="24"/>
      <c r="E1382" s="14"/>
      <c r="F1382" s="14"/>
      <c r="G1382" s="14"/>
      <c r="H1382" s="23"/>
      <c r="I1382" s="27"/>
      <c r="J1382" s="23"/>
      <c r="K1382" s="30"/>
      <c r="L1382" s="23"/>
      <c r="M1382" s="20"/>
      <c r="N1382" s="20"/>
      <c r="O1382" s="20"/>
      <c r="P1382" s="20"/>
    </row>
    <row r="1383">
      <c r="A1383" s="10"/>
      <c r="B1383" s="11"/>
      <c r="C1383" s="10"/>
      <c r="D1383" s="13"/>
      <c r="E1383" s="14"/>
      <c r="F1383" s="14"/>
      <c r="G1383" s="14"/>
      <c r="H1383" s="10"/>
      <c r="I1383" s="17"/>
      <c r="J1383" s="10"/>
      <c r="K1383" s="46"/>
      <c r="L1383" s="10"/>
      <c r="M1383" s="20"/>
      <c r="N1383" s="20"/>
      <c r="O1383" s="20"/>
      <c r="P1383" s="20"/>
    </row>
    <row r="1384">
      <c r="A1384" s="23"/>
      <c r="B1384" s="21"/>
      <c r="C1384" s="23"/>
      <c r="D1384" s="24"/>
      <c r="E1384" s="14"/>
      <c r="F1384" s="14"/>
      <c r="G1384" s="14"/>
      <c r="H1384" s="23"/>
      <c r="I1384" s="27"/>
      <c r="J1384" s="23"/>
      <c r="K1384" s="30"/>
      <c r="L1384" s="23"/>
      <c r="M1384" s="20"/>
      <c r="N1384" s="20"/>
      <c r="O1384" s="20"/>
      <c r="P1384" s="20"/>
    </row>
    <row r="1385">
      <c r="A1385" s="10"/>
      <c r="B1385" s="11"/>
      <c r="C1385" s="10"/>
      <c r="D1385" s="13"/>
      <c r="E1385" s="14"/>
      <c r="F1385" s="14"/>
      <c r="G1385" s="14"/>
      <c r="H1385" s="10"/>
      <c r="I1385" s="17"/>
      <c r="J1385" s="10"/>
      <c r="K1385" s="46"/>
      <c r="L1385" s="10"/>
      <c r="M1385" s="20"/>
      <c r="N1385" s="20"/>
      <c r="O1385" s="20"/>
      <c r="P1385" s="20"/>
    </row>
    <row r="1386">
      <c r="A1386" s="23"/>
      <c r="B1386" s="21"/>
      <c r="C1386" s="23"/>
      <c r="D1386" s="24"/>
      <c r="E1386" s="14"/>
      <c r="F1386" s="14"/>
      <c r="G1386" s="14"/>
      <c r="H1386" s="23"/>
      <c r="I1386" s="27"/>
      <c r="J1386" s="23"/>
      <c r="K1386" s="30"/>
      <c r="L1386" s="23"/>
      <c r="M1386" s="20"/>
      <c r="N1386" s="20"/>
      <c r="O1386" s="20"/>
      <c r="P1386" s="20"/>
    </row>
    <row r="1387">
      <c r="A1387" s="10"/>
      <c r="B1387" s="11"/>
      <c r="C1387" s="10"/>
      <c r="D1387" s="13"/>
      <c r="E1387" s="14"/>
      <c r="F1387" s="14"/>
      <c r="G1387" s="14"/>
      <c r="H1387" s="10"/>
      <c r="I1387" s="17"/>
      <c r="J1387" s="10"/>
      <c r="K1387" s="46"/>
      <c r="L1387" s="10"/>
      <c r="M1387" s="20"/>
      <c r="N1387" s="20"/>
      <c r="O1387" s="20"/>
      <c r="P1387" s="20"/>
    </row>
    <row r="1388">
      <c r="A1388" s="23"/>
      <c r="B1388" s="21"/>
      <c r="C1388" s="23"/>
      <c r="D1388" s="24"/>
      <c r="E1388" s="14"/>
      <c r="F1388" s="14"/>
      <c r="G1388" s="14"/>
      <c r="H1388" s="23"/>
      <c r="I1388" s="27"/>
      <c r="J1388" s="23"/>
      <c r="K1388" s="30"/>
      <c r="L1388" s="23"/>
      <c r="M1388" s="20"/>
      <c r="N1388" s="20"/>
      <c r="O1388" s="20"/>
      <c r="P1388" s="20"/>
    </row>
    <row r="1389">
      <c r="A1389" s="10"/>
      <c r="B1389" s="11"/>
      <c r="C1389" s="10"/>
      <c r="D1389" s="13"/>
      <c r="E1389" s="14"/>
      <c r="F1389" s="14"/>
      <c r="G1389" s="14"/>
      <c r="H1389" s="10"/>
      <c r="I1389" s="17"/>
      <c r="J1389" s="10"/>
      <c r="K1389" s="46"/>
      <c r="L1389" s="10"/>
      <c r="M1389" s="20"/>
      <c r="N1389" s="20"/>
      <c r="O1389" s="20"/>
      <c r="P1389" s="20"/>
    </row>
    <row r="1390">
      <c r="A1390" s="23"/>
      <c r="B1390" s="21"/>
      <c r="C1390" s="23"/>
      <c r="D1390" s="24"/>
      <c r="E1390" s="14"/>
      <c r="F1390" s="14"/>
      <c r="G1390" s="14"/>
      <c r="H1390" s="23"/>
      <c r="I1390" s="27"/>
      <c r="J1390" s="23"/>
      <c r="K1390" s="30"/>
      <c r="L1390" s="23"/>
      <c r="M1390" s="20"/>
      <c r="N1390" s="20"/>
      <c r="O1390" s="20"/>
      <c r="P1390" s="20"/>
    </row>
    <row r="1391">
      <c r="A1391" s="10"/>
      <c r="B1391" s="11"/>
      <c r="C1391" s="10"/>
      <c r="D1391" s="13"/>
      <c r="E1391" s="14"/>
      <c r="F1391" s="14"/>
      <c r="G1391" s="14"/>
      <c r="H1391" s="10"/>
      <c r="I1391" s="17"/>
      <c r="J1391" s="10"/>
      <c r="K1391" s="46"/>
      <c r="L1391" s="10"/>
      <c r="M1391" s="20"/>
      <c r="N1391" s="20"/>
      <c r="O1391" s="20"/>
      <c r="P1391" s="20"/>
    </row>
    <row r="1392">
      <c r="A1392" s="23"/>
      <c r="B1392" s="21"/>
      <c r="C1392" s="23"/>
      <c r="D1392" s="24"/>
      <c r="E1392" s="14"/>
      <c r="F1392" s="14"/>
      <c r="G1392" s="14"/>
      <c r="H1392" s="23"/>
      <c r="I1392" s="27"/>
      <c r="J1392" s="23"/>
      <c r="K1392" s="30"/>
      <c r="L1392" s="23"/>
      <c r="M1392" s="20"/>
      <c r="N1392" s="20"/>
      <c r="O1392" s="20"/>
      <c r="P1392" s="20"/>
    </row>
    <row r="1393">
      <c r="A1393" s="10"/>
      <c r="B1393" s="11"/>
      <c r="C1393" s="10"/>
      <c r="D1393" s="13"/>
      <c r="E1393" s="14"/>
      <c r="F1393" s="14"/>
      <c r="G1393" s="14"/>
      <c r="H1393" s="10"/>
      <c r="I1393" s="17"/>
      <c r="J1393" s="10"/>
      <c r="K1393" s="46"/>
      <c r="L1393" s="10"/>
      <c r="M1393" s="20"/>
      <c r="N1393" s="20"/>
      <c r="O1393" s="20"/>
      <c r="P1393" s="20"/>
    </row>
    <row r="1394">
      <c r="A1394" s="23"/>
      <c r="B1394" s="21"/>
      <c r="C1394" s="23"/>
      <c r="D1394" s="24"/>
      <c r="E1394" s="14"/>
      <c r="F1394" s="14"/>
      <c r="G1394" s="14"/>
      <c r="H1394" s="23"/>
      <c r="I1394" s="27"/>
      <c r="J1394" s="23"/>
      <c r="K1394" s="30"/>
      <c r="L1394" s="23"/>
      <c r="M1394" s="20"/>
      <c r="N1394" s="20"/>
      <c r="O1394" s="20"/>
      <c r="P1394" s="20"/>
    </row>
    <row r="1395">
      <c r="A1395" s="10"/>
      <c r="B1395" s="11"/>
      <c r="C1395" s="10"/>
      <c r="D1395" s="13"/>
      <c r="E1395" s="14"/>
      <c r="F1395" s="14"/>
      <c r="G1395" s="14"/>
      <c r="H1395" s="10"/>
      <c r="I1395" s="17"/>
      <c r="J1395" s="10"/>
      <c r="K1395" s="46"/>
      <c r="L1395" s="10"/>
      <c r="M1395" s="20"/>
      <c r="N1395" s="20"/>
      <c r="O1395" s="20"/>
      <c r="P1395" s="20"/>
    </row>
    <row r="1396">
      <c r="A1396" s="23"/>
      <c r="B1396" s="21"/>
      <c r="C1396" s="23"/>
      <c r="D1396" s="24"/>
      <c r="E1396" s="14"/>
      <c r="F1396" s="14"/>
      <c r="G1396" s="14"/>
      <c r="H1396" s="23"/>
      <c r="I1396" s="27"/>
      <c r="J1396" s="23"/>
      <c r="K1396" s="30"/>
      <c r="L1396" s="23"/>
      <c r="M1396" s="20"/>
      <c r="N1396" s="20"/>
      <c r="O1396" s="20"/>
      <c r="P1396" s="20"/>
    </row>
    <row r="1397">
      <c r="A1397" s="10"/>
      <c r="B1397" s="11"/>
      <c r="C1397" s="10"/>
      <c r="D1397" s="13"/>
      <c r="E1397" s="14"/>
      <c r="F1397" s="14"/>
      <c r="G1397" s="14"/>
      <c r="H1397" s="10"/>
      <c r="I1397" s="17"/>
      <c r="J1397" s="10"/>
      <c r="K1397" s="46"/>
      <c r="L1397" s="10"/>
      <c r="M1397" s="20"/>
      <c r="N1397" s="20"/>
      <c r="O1397" s="20"/>
      <c r="P1397" s="20"/>
    </row>
    <row r="1398">
      <c r="A1398" s="23"/>
      <c r="B1398" s="21"/>
      <c r="C1398" s="23"/>
      <c r="D1398" s="24"/>
      <c r="E1398" s="14"/>
      <c r="F1398" s="14"/>
      <c r="G1398" s="14"/>
      <c r="H1398" s="23"/>
      <c r="I1398" s="27"/>
      <c r="J1398" s="23"/>
      <c r="K1398" s="30"/>
      <c r="L1398" s="23"/>
      <c r="M1398" s="20"/>
      <c r="N1398" s="20"/>
      <c r="O1398" s="20"/>
      <c r="P1398" s="20"/>
    </row>
    <row r="1399">
      <c r="A1399" s="10"/>
      <c r="B1399" s="11"/>
      <c r="C1399" s="10"/>
      <c r="D1399" s="13"/>
      <c r="E1399" s="14"/>
      <c r="F1399" s="14"/>
      <c r="G1399" s="14"/>
      <c r="H1399" s="10"/>
      <c r="I1399" s="17"/>
      <c r="J1399" s="10"/>
      <c r="K1399" s="46"/>
      <c r="L1399" s="10"/>
      <c r="M1399" s="20"/>
      <c r="N1399" s="20"/>
      <c r="O1399" s="20"/>
      <c r="P1399" s="20"/>
    </row>
    <row r="1400">
      <c r="A1400" s="23"/>
      <c r="B1400" s="21"/>
      <c r="C1400" s="23"/>
      <c r="D1400" s="24"/>
      <c r="E1400" s="14"/>
      <c r="F1400" s="14"/>
      <c r="G1400" s="14"/>
      <c r="H1400" s="23"/>
      <c r="I1400" s="27"/>
      <c r="J1400" s="23"/>
      <c r="K1400" s="30"/>
      <c r="L1400" s="23"/>
      <c r="M1400" s="20"/>
      <c r="N1400" s="20"/>
      <c r="O1400" s="20"/>
      <c r="P1400" s="20"/>
    </row>
    <row r="1401">
      <c r="A1401" s="10"/>
      <c r="B1401" s="11"/>
      <c r="C1401" s="10"/>
      <c r="D1401" s="13"/>
      <c r="E1401" s="14"/>
      <c r="F1401" s="14"/>
      <c r="G1401" s="14"/>
      <c r="H1401" s="10"/>
      <c r="I1401" s="17"/>
      <c r="J1401" s="10"/>
      <c r="K1401" s="46"/>
      <c r="L1401" s="10"/>
      <c r="M1401" s="20"/>
      <c r="N1401" s="20"/>
      <c r="O1401" s="20"/>
      <c r="P1401" s="20"/>
    </row>
    <row r="1402">
      <c r="A1402" s="23"/>
      <c r="B1402" s="21"/>
      <c r="C1402" s="23"/>
      <c r="D1402" s="24"/>
      <c r="E1402" s="14"/>
      <c r="F1402" s="14"/>
      <c r="G1402" s="14"/>
      <c r="H1402" s="23"/>
      <c r="I1402" s="27"/>
      <c r="J1402" s="23"/>
      <c r="K1402" s="30"/>
      <c r="L1402" s="23"/>
      <c r="M1402" s="20"/>
      <c r="N1402" s="20"/>
      <c r="O1402" s="20"/>
      <c r="P1402" s="20"/>
    </row>
    <row r="1403">
      <c r="A1403" s="10"/>
      <c r="B1403" s="11"/>
      <c r="C1403" s="10"/>
      <c r="D1403" s="13"/>
      <c r="E1403" s="14"/>
      <c r="F1403" s="14"/>
      <c r="G1403" s="14"/>
      <c r="H1403" s="10"/>
      <c r="I1403" s="17"/>
      <c r="J1403" s="10"/>
      <c r="K1403" s="46"/>
      <c r="L1403" s="10"/>
      <c r="M1403" s="20"/>
      <c r="N1403" s="20"/>
      <c r="O1403" s="20"/>
      <c r="P1403" s="20"/>
    </row>
    <row r="1404">
      <c r="A1404" s="23"/>
      <c r="B1404" s="21"/>
      <c r="C1404" s="23"/>
      <c r="D1404" s="24"/>
      <c r="E1404" s="14"/>
      <c r="F1404" s="14"/>
      <c r="G1404" s="14"/>
      <c r="H1404" s="23"/>
      <c r="I1404" s="27"/>
      <c r="J1404" s="23"/>
      <c r="K1404" s="30"/>
      <c r="L1404" s="23"/>
      <c r="M1404" s="20"/>
      <c r="N1404" s="20"/>
      <c r="O1404" s="20"/>
      <c r="P1404" s="20"/>
    </row>
    <row r="1405">
      <c r="A1405" s="10"/>
      <c r="B1405" s="11"/>
      <c r="C1405" s="10"/>
      <c r="D1405" s="13"/>
      <c r="E1405" s="14"/>
      <c r="F1405" s="14"/>
      <c r="G1405" s="14"/>
      <c r="H1405" s="10"/>
      <c r="I1405" s="17"/>
      <c r="J1405" s="10"/>
      <c r="K1405" s="46"/>
      <c r="L1405" s="10"/>
      <c r="M1405" s="20"/>
      <c r="N1405" s="20"/>
      <c r="O1405" s="20"/>
      <c r="P1405" s="20"/>
    </row>
    <row r="1406">
      <c r="A1406" s="23"/>
      <c r="B1406" s="21"/>
      <c r="C1406" s="23"/>
      <c r="D1406" s="24"/>
      <c r="E1406" s="14"/>
      <c r="F1406" s="14"/>
      <c r="G1406" s="14"/>
      <c r="H1406" s="23"/>
      <c r="I1406" s="27"/>
      <c r="J1406" s="23"/>
      <c r="K1406" s="30"/>
      <c r="L1406" s="23"/>
      <c r="M1406" s="20"/>
      <c r="N1406" s="20"/>
      <c r="O1406" s="20"/>
      <c r="P1406" s="20"/>
    </row>
    <row r="1407">
      <c r="A1407" s="10"/>
      <c r="B1407" s="11"/>
      <c r="C1407" s="10"/>
      <c r="D1407" s="13"/>
      <c r="E1407" s="14"/>
      <c r="F1407" s="14"/>
      <c r="G1407" s="14"/>
      <c r="H1407" s="10"/>
      <c r="I1407" s="17"/>
      <c r="J1407" s="10"/>
      <c r="K1407" s="46"/>
      <c r="L1407" s="10"/>
      <c r="M1407" s="20"/>
      <c r="N1407" s="20"/>
      <c r="O1407" s="20"/>
      <c r="P1407" s="20"/>
    </row>
    <row r="1408">
      <c r="A1408" s="23"/>
      <c r="B1408" s="21"/>
      <c r="C1408" s="23"/>
      <c r="D1408" s="24"/>
      <c r="E1408" s="14"/>
      <c r="F1408" s="14"/>
      <c r="G1408" s="14"/>
      <c r="H1408" s="23"/>
      <c r="I1408" s="27"/>
      <c r="J1408" s="23"/>
      <c r="K1408" s="30"/>
      <c r="L1408" s="23"/>
      <c r="M1408" s="20"/>
      <c r="N1408" s="20"/>
      <c r="O1408" s="20"/>
      <c r="P1408" s="20"/>
    </row>
    <row r="1409">
      <c r="A1409" s="10"/>
      <c r="B1409" s="11"/>
      <c r="C1409" s="10"/>
      <c r="D1409" s="13"/>
      <c r="E1409" s="14"/>
      <c r="F1409" s="14"/>
      <c r="G1409" s="14"/>
      <c r="H1409" s="10"/>
      <c r="I1409" s="17"/>
      <c r="J1409" s="10"/>
      <c r="K1409" s="46"/>
      <c r="L1409" s="10"/>
      <c r="M1409" s="20"/>
      <c r="N1409" s="20"/>
      <c r="O1409" s="20"/>
      <c r="P1409" s="20"/>
    </row>
    <row r="1410">
      <c r="A1410" s="23"/>
      <c r="B1410" s="21"/>
      <c r="C1410" s="23"/>
      <c r="D1410" s="24"/>
      <c r="E1410" s="14"/>
      <c r="F1410" s="14"/>
      <c r="G1410" s="14"/>
      <c r="H1410" s="23"/>
      <c r="I1410" s="27"/>
      <c r="J1410" s="23"/>
      <c r="K1410" s="30"/>
      <c r="L1410" s="23"/>
      <c r="M1410" s="20"/>
      <c r="N1410" s="20"/>
      <c r="O1410" s="20"/>
      <c r="P1410" s="20"/>
    </row>
    <row r="1411">
      <c r="A1411" s="10"/>
      <c r="B1411" s="11"/>
      <c r="C1411" s="10"/>
      <c r="D1411" s="13"/>
      <c r="E1411" s="14"/>
      <c r="F1411" s="14"/>
      <c r="G1411" s="14"/>
      <c r="H1411" s="10"/>
      <c r="I1411" s="17"/>
      <c r="J1411" s="10"/>
      <c r="K1411" s="46"/>
      <c r="L1411" s="10"/>
      <c r="M1411" s="20"/>
      <c r="N1411" s="20"/>
      <c r="O1411" s="20"/>
      <c r="P1411" s="20"/>
    </row>
    <row r="1412">
      <c r="A1412" s="23"/>
      <c r="B1412" s="21"/>
      <c r="C1412" s="23"/>
      <c r="D1412" s="24"/>
      <c r="E1412" s="14"/>
      <c r="F1412" s="14"/>
      <c r="G1412" s="14"/>
      <c r="H1412" s="23"/>
      <c r="I1412" s="27"/>
      <c r="J1412" s="23"/>
      <c r="K1412" s="30"/>
      <c r="L1412" s="23"/>
      <c r="M1412" s="20"/>
      <c r="N1412" s="20"/>
      <c r="O1412" s="20"/>
      <c r="P1412" s="20"/>
    </row>
    <row r="1413">
      <c r="A1413" s="10"/>
      <c r="B1413" s="11"/>
      <c r="C1413" s="10"/>
      <c r="D1413" s="13"/>
      <c r="E1413" s="14"/>
      <c r="F1413" s="14"/>
      <c r="G1413" s="14"/>
      <c r="H1413" s="10"/>
      <c r="I1413" s="17"/>
      <c r="J1413" s="10"/>
      <c r="K1413" s="46"/>
      <c r="L1413" s="10"/>
      <c r="M1413" s="20"/>
      <c r="N1413" s="20"/>
      <c r="O1413" s="20"/>
      <c r="P1413" s="20"/>
    </row>
    <row r="1414">
      <c r="A1414" s="23"/>
      <c r="B1414" s="21"/>
      <c r="C1414" s="23"/>
      <c r="D1414" s="24"/>
      <c r="E1414" s="14"/>
      <c r="F1414" s="14"/>
      <c r="G1414" s="14"/>
      <c r="H1414" s="23"/>
      <c r="I1414" s="27"/>
      <c r="J1414" s="23"/>
      <c r="K1414" s="30"/>
      <c r="L1414" s="23"/>
      <c r="M1414" s="20"/>
      <c r="N1414" s="20"/>
      <c r="O1414" s="20"/>
      <c r="P1414" s="20"/>
    </row>
    <row r="1415">
      <c r="A1415" s="10"/>
      <c r="B1415" s="11"/>
      <c r="C1415" s="10"/>
      <c r="D1415" s="13"/>
      <c r="E1415" s="14"/>
      <c r="F1415" s="14"/>
      <c r="G1415" s="14"/>
      <c r="H1415" s="10"/>
      <c r="I1415" s="17"/>
      <c r="J1415" s="10"/>
      <c r="K1415" s="46"/>
      <c r="L1415" s="10"/>
      <c r="M1415" s="20"/>
      <c r="N1415" s="20"/>
      <c r="O1415" s="20"/>
      <c r="P1415" s="20"/>
    </row>
    <row r="1416">
      <c r="A1416" s="23"/>
      <c r="B1416" s="21"/>
      <c r="C1416" s="23"/>
      <c r="D1416" s="24"/>
      <c r="E1416" s="14"/>
      <c r="F1416" s="14"/>
      <c r="G1416" s="14"/>
      <c r="H1416" s="23"/>
      <c r="I1416" s="27"/>
      <c r="J1416" s="23"/>
      <c r="K1416" s="30"/>
      <c r="L1416" s="23"/>
      <c r="M1416" s="20"/>
      <c r="N1416" s="20"/>
      <c r="O1416" s="20"/>
      <c r="P1416" s="20"/>
    </row>
    <row r="1417">
      <c r="A1417" s="10"/>
      <c r="B1417" s="11"/>
      <c r="C1417" s="10"/>
      <c r="D1417" s="13"/>
      <c r="E1417" s="14"/>
      <c r="F1417" s="14"/>
      <c r="G1417" s="14"/>
      <c r="H1417" s="10"/>
      <c r="I1417" s="17"/>
      <c r="J1417" s="10"/>
      <c r="K1417" s="46"/>
      <c r="L1417" s="10"/>
      <c r="M1417" s="20"/>
      <c r="N1417" s="20"/>
      <c r="O1417" s="20"/>
      <c r="P1417" s="20"/>
    </row>
    <row r="1418">
      <c r="A1418" s="23"/>
      <c r="B1418" s="21"/>
      <c r="C1418" s="23"/>
      <c r="D1418" s="24"/>
      <c r="E1418" s="14"/>
      <c r="F1418" s="14"/>
      <c r="G1418" s="14"/>
      <c r="H1418" s="23"/>
      <c r="I1418" s="27"/>
      <c r="J1418" s="23"/>
      <c r="K1418" s="30"/>
      <c r="L1418" s="23"/>
      <c r="M1418" s="20"/>
      <c r="N1418" s="20"/>
      <c r="O1418" s="20"/>
      <c r="P1418" s="20"/>
    </row>
    <row r="1419">
      <c r="A1419" s="10"/>
      <c r="B1419" s="11"/>
      <c r="C1419" s="10"/>
      <c r="D1419" s="13"/>
      <c r="E1419" s="14"/>
      <c r="F1419" s="14"/>
      <c r="G1419" s="14"/>
      <c r="H1419" s="10"/>
      <c r="I1419" s="17"/>
      <c r="J1419" s="10"/>
      <c r="K1419" s="46"/>
      <c r="L1419" s="10"/>
      <c r="M1419" s="20"/>
      <c r="N1419" s="20"/>
      <c r="O1419" s="20"/>
      <c r="P1419" s="20"/>
    </row>
    <row r="1420">
      <c r="A1420" s="23"/>
      <c r="B1420" s="21"/>
      <c r="C1420" s="23"/>
      <c r="D1420" s="24"/>
      <c r="E1420" s="14"/>
      <c r="F1420" s="14"/>
      <c r="G1420" s="14"/>
      <c r="H1420" s="23"/>
      <c r="I1420" s="27"/>
      <c r="J1420" s="23"/>
      <c r="K1420" s="30"/>
      <c r="L1420" s="23"/>
      <c r="M1420" s="20"/>
      <c r="N1420" s="20"/>
      <c r="O1420" s="20"/>
      <c r="P1420" s="20"/>
    </row>
    <row r="1421">
      <c r="A1421" s="10"/>
      <c r="B1421" s="11"/>
      <c r="C1421" s="10"/>
      <c r="D1421" s="13"/>
      <c r="E1421" s="14"/>
      <c r="F1421" s="14"/>
      <c r="G1421" s="14"/>
      <c r="H1421" s="10"/>
      <c r="I1421" s="17"/>
      <c r="J1421" s="10"/>
      <c r="K1421" s="46"/>
      <c r="L1421" s="10"/>
      <c r="M1421" s="20"/>
      <c r="N1421" s="20"/>
      <c r="O1421" s="20"/>
      <c r="P1421" s="20"/>
    </row>
    <row r="1422">
      <c r="A1422" s="23"/>
      <c r="B1422" s="21"/>
      <c r="C1422" s="23"/>
      <c r="D1422" s="24"/>
      <c r="E1422" s="14"/>
      <c r="F1422" s="14"/>
      <c r="G1422" s="14"/>
      <c r="H1422" s="23"/>
      <c r="I1422" s="27"/>
      <c r="J1422" s="23"/>
      <c r="K1422" s="30"/>
      <c r="L1422" s="23"/>
      <c r="M1422" s="20"/>
      <c r="N1422" s="20"/>
      <c r="O1422" s="20"/>
      <c r="P1422" s="20"/>
    </row>
    <row r="1423">
      <c r="A1423" s="10"/>
      <c r="B1423" s="11"/>
      <c r="C1423" s="10"/>
      <c r="D1423" s="13"/>
      <c r="E1423" s="14"/>
      <c r="F1423" s="14"/>
      <c r="G1423" s="14"/>
      <c r="H1423" s="10"/>
      <c r="I1423" s="17"/>
      <c r="J1423" s="10"/>
      <c r="K1423" s="46"/>
      <c r="L1423" s="10"/>
      <c r="M1423" s="20"/>
      <c r="N1423" s="20"/>
      <c r="O1423" s="20"/>
      <c r="P1423" s="20"/>
    </row>
    <row r="1424">
      <c r="A1424" s="23"/>
      <c r="B1424" s="21"/>
      <c r="C1424" s="23"/>
      <c r="D1424" s="24"/>
      <c r="E1424" s="14"/>
      <c r="F1424" s="14"/>
      <c r="G1424" s="14"/>
      <c r="H1424" s="23"/>
      <c r="I1424" s="27"/>
      <c r="J1424" s="23"/>
      <c r="K1424" s="30"/>
      <c r="L1424" s="23"/>
      <c r="M1424" s="20"/>
      <c r="N1424" s="20"/>
      <c r="O1424" s="20"/>
      <c r="P1424" s="20"/>
    </row>
    <row r="1425">
      <c r="A1425" s="10"/>
      <c r="B1425" s="11"/>
      <c r="C1425" s="10"/>
      <c r="D1425" s="13"/>
      <c r="E1425" s="14"/>
      <c r="F1425" s="14"/>
      <c r="G1425" s="14"/>
      <c r="H1425" s="10"/>
      <c r="I1425" s="17"/>
      <c r="J1425" s="10"/>
      <c r="K1425" s="46"/>
      <c r="L1425" s="10"/>
      <c r="M1425" s="20"/>
      <c r="N1425" s="20"/>
      <c r="O1425" s="20"/>
      <c r="P1425" s="20"/>
    </row>
    <row r="1426">
      <c r="A1426" s="23"/>
      <c r="B1426" s="21"/>
      <c r="C1426" s="23"/>
      <c r="D1426" s="24"/>
      <c r="E1426" s="14"/>
      <c r="F1426" s="14"/>
      <c r="G1426" s="14"/>
      <c r="H1426" s="23"/>
      <c r="I1426" s="27"/>
      <c r="J1426" s="23"/>
      <c r="K1426" s="30"/>
      <c r="L1426" s="23"/>
      <c r="M1426" s="20"/>
      <c r="N1426" s="20"/>
      <c r="O1426" s="20"/>
      <c r="P1426" s="20"/>
    </row>
    <row r="1427">
      <c r="A1427" s="10"/>
      <c r="B1427" s="11"/>
      <c r="C1427" s="10"/>
      <c r="D1427" s="13"/>
      <c r="E1427" s="14"/>
      <c r="F1427" s="14"/>
      <c r="G1427" s="14"/>
      <c r="H1427" s="10"/>
      <c r="I1427" s="17"/>
      <c r="J1427" s="10"/>
      <c r="K1427" s="46"/>
      <c r="L1427" s="10"/>
      <c r="M1427" s="20"/>
      <c r="N1427" s="20"/>
      <c r="O1427" s="20"/>
      <c r="P1427" s="20"/>
    </row>
    <row r="1428">
      <c r="A1428" s="23"/>
      <c r="B1428" s="21"/>
      <c r="C1428" s="23"/>
      <c r="D1428" s="24"/>
      <c r="E1428" s="14"/>
      <c r="F1428" s="14"/>
      <c r="G1428" s="14"/>
      <c r="H1428" s="23"/>
      <c r="I1428" s="27"/>
      <c r="J1428" s="23"/>
      <c r="K1428" s="30"/>
      <c r="L1428" s="23"/>
      <c r="M1428" s="20"/>
      <c r="N1428" s="20"/>
      <c r="O1428" s="20"/>
      <c r="P1428" s="20"/>
    </row>
    <row r="1429">
      <c r="A1429" s="10"/>
      <c r="B1429" s="11"/>
      <c r="C1429" s="10"/>
      <c r="D1429" s="13"/>
      <c r="E1429" s="14"/>
      <c r="F1429" s="14"/>
      <c r="G1429" s="14"/>
      <c r="H1429" s="10"/>
      <c r="I1429" s="17"/>
      <c r="J1429" s="10"/>
      <c r="K1429" s="46"/>
      <c r="L1429" s="10"/>
      <c r="M1429" s="20"/>
      <c r="N1429" s="20"/>
      <c r="O1429" s="20"/>
      <c r="P1429" s="20"/>
    </row>
    <row r="1430">
      <c r="A1430" s="23"/>
      <c r="B1430" s="21"/>
      <c r="C1430" s="23"/>
      <c r="D1430" s="24"/>
      <c r="E1430" s="14"/>
      <c r="F1430" s="14"/>
      <c r="G1430" s="14"/>
      <c r="H1430" s="23"/>
      <c r="I1430" s="27"/>
      <c r="J1430" s="23"/>
      <c r="K1430" s="30"/>
      <c r="L1430" s="23"/>
      <c r="M1430" s="20"/>
      <c r="N1430" s="20"/>
      <c r="O1430" s="20"/>
      <c r="P1430" s="20"/>
    </row>
    <row r="1431">
      <c r="A1431" s="10"/>
      <c r="B1431" s="11"/>
      <c r="C1431" s="10"/>
      <c r="D1431" s="13"/>
      <c r="E1431" s="14"/>
      <c r="F1431" s="14"/>
      <c r="G1431" s="14"/>
      <c r="H1431" s="10"/>
      <c r="I1431" s="17"/>
      <c r="J1431" s="10"/>
      <c r="K1431" s="46"/>
      <c r="L1431" s="10"/>
      <c r="M1431" s="20"/>
      <c r="N1431" s="20"/>
      <c r="O1431" s="20"/>
      <c r="P1431" s="20"/>
    </row>
    <row r="1432">
      <c r="A1432" s="23"/>
      <c r="B1432" s="21"/>
      <c r="C1432" s="23"/>
      <c r="D1432" s="24"/>
      <c r="E1432" s="14"/>
      <c r="F1432" s="14"/>
      <c r="G1432" s="14"/>
      <c r="H1432" s="23"/>
      <c r="I1432" s="27"/>
      <c r="J1432" s="23"/>
      <c r="K1432" s="30"/>
      <c r="L1432" s="23"/>
      <c r="M1432" s="20"/>
      <c r="N1432" s="20"/>
      <c r="O1432" s="20"/>
      <c r="P1432" s="20"/>
    </row>
    <row r="1433">
      <c r="A1433" s="10"/>
      <c r="B1433" s="11"/>
      <c r="C1433" s="10"/>
      <c r="D1433" s="13"/>
      <c r="E1433" s="14"/>
      <c r="F1433" s="14"/>
      <c r="G1433" s="14"/>
      <c r="H1433" s="10"/>
      <c r="I1433" s="17"/>
      <c r="J1433" s="10"/>
      <c r="K1433" s="46"/>
      <c r="L1433" s="10"/>
      <c r="M1433" s="20"/>
      <c r="N1433" s="20"/>
      <c r="O1433" s="20"/>
      <c r="P1433" s="20"/>
    </row>
    <row r="1434">
      <c r="A1434" s="23"/>
      <c r="B1434" s="21"/>
      <c r="C1434" s="23"/>
      <c r="D1434" s="24"/>
      <c r="E1434" s="14"/>
      <c r="F1434" s="14"/>
      <c r="G1434" s="14"/>
      <c r="H1434" s="23"/>
      <c r="I1434" s="27"/>
      <c r="J1434" s="23"/>
      <c r="K1434" s="30"/>
      <c r="L1434" s="23"/>
      <c r="M1434" s="20"/>
      <c r="N1434" s="20"/>
      <c r="O1434" s="20"/>
      <c r="P1434" s="20"/>
    </row>
    <row r="1435">
      <c r="A1435" s="10"/>
      <c r="B1435" s="11"/>
      <c r="C1435" s="10"/>
      <c r="D1435" s="13"/>
      <c r="E1435" s="14"/>
      <c r="F1435" s="14"/>
      <c r="G1435" s="14"/>
      <c r="H1435" s="10"/>
      <c r="I1435" s="17"/>
      <c r="J1435" s="10"/>
      <c r="K1435" s="46"/>
      <c r="L1435" s="10"/>
      <c r="M1435" s="20"/>
      <c r="N1435" s="20"/>
      <c r="O1435" s="20"/>
      <c r="P1435" s="20"/>
    </row>
    <row r="1436">
      <c r="A1436" s="23"/>
      <c r="B1436" s="21"/>
      <c r="C1436" s="23"/>
      <c r="D1436" s="24"/>
      <c r="E1436" s="14"/>
      <c r="F1436" s="14"/>
      <c r="G1436" s="14"/>
      <c r="H1436" s="23"/>
      <c r="I1436" s="27"/>
      <c r="J1436" s="23"/>
      <c r="K1436" s="30"/>
      <c r="L1436" s="23"/>
      <c r="M1436" s="20"/>
      <c r="N1436" s="20"/>
      <c r="O1436" s="20"/>
      <c r="P1436" s="20"/>
    </row>
    <row r="1437">
      <c r="A1437" s="10"/>
      <c r="B1437" s="11"/>
      <c r="C1437" s="10"/>
      <c r="D1437" s="13"/>
      <c r="E1437" s="14"/>
      <c r="F1437" s="14"/>
      <c r="G1437" s="14"/>
      <c r="H1437" s="10"/>
      <c r="I1437" s="17"/>
      <c r="J1437" s="10"/>
      <c r="K1437" s="46"/>
      <c r="L1437" s="10"/>
      <c r="M1437" s="20"/>
      <c r="N1437" s="20"/>
      <c r="O1437" s="20"/>
      <c r="P1437" s="20"/>
    </row>
    <row r="1438">
      <c r="A1438" s="23"/>
      <c r="B1438" s="21"/>
      <c r="C1438" s="23"/>
      <c r="D1438" s="24"/>
      <c r="E1438" s="14"/>
      <c r="F1438" s="14"/>
      <c r="G1438" s="14"/>
      <c r="H1438" s="23"/>
      <c r="I1438" s="27"/>
      <c r="J1438" s="23"/>
      <c r="K1438" s="30"/>
      <c r="L1438" s="23"/>
      <c r="M1438" s="20"/>
      <c r="N1438" s="20"/>
      <c r="O1438" s="20"/>
      <c r="P1438" s="20"/>
    </row>
    <row r="1439">
      <c r="A1439" s="10"/>
      <c r="B1439" s="11"/>
      <c r="C1439" s="10"/>
      <c r="D1439" s="13"/>
      <c r="E1439" s="14"/>
      <c r="F1439" s="14"/>
      <c r="G1439" s="14"/>
      <c r="H1439" s="10"/>
      <c r="I1439" s="17"/>
      <c r="J1439" s="10"/>
      <c r="K1439" s="46"/>
      <c r="L1439" s="10"/>
      <c r="M1439" s="20"/>
      <c r="N1439" s="20"/>
      <c r="O1439" s="20"/>
      <c r="P1439" s="20"/>
    </row>
    <row r="1440">
      <c r="A1440" s="23"/>
      <c r="B1440" s="21"/>
      <c r="C1440" s="23"/>
      <c r="D1440" s="24"/>
      <c r="E1440" s="14"/>
      <c r="F1440" s="14"/>
      <c r="G1440" s="14"/>
      <c r="H1440" s="23"/>
      <c r="I1440" s="27"/>
      <c r="J1440" s="23"/>
      <c r="K1440" s="30"/>
      <c r="L1440" s="23"/>
      <c r="M1440" s="20"/>
      <c r="N1440" s="20"/>
      <c r="O1440" s="20"/>
      <c r="P1440" s="20"/>
    </row>
    <row r="1441">
      <c r="A1441" s="10"/>
      <c r="B1441" s="11"/>
      <c r="C1441" s="10"/>
      <c r="D1441" s="13"/>
      <c r="E1441" s="14"/>
      <c r="F1441" s="14"/>
      <c r="G1441" s="14"/>
      <c r="H1441" s="10"/>
      <c r="I1441" s="17"/>
      <c r="J1441" s="10"/>
      <c r="K1441" s="46"/>
      <c r="L1441" s="10"/>
      <c r="M1441" s="20"/>
      <c r="N1441" s="20"/>
      <c r="O1441" s="20"/>
      <c r="P1441" s="20"/>
    </row>
    <row r="1442">
      <c r="A1442" s="23"/>
      <c r="B1442" s="21"/>
      <c r="C1442" s="23"/>
      <c r="D1442" s="24"/>
      <c r="E1442" s="14"/>
      <c r="F1442" s="14"/>
      <c r="G1442" s="14"/>
      <c r="H1442" s="23"/>
      <c r="I1442" s="27"/>
      <c r="J1442" s="23"/>
      <c r="K1442" s="30"/>
      <c r="L1442" s="23"/>
      <c r="M1442" s="20"/>
      <c r="N1442" s="20"/>
      <c r="O1442" s="20"/>
      <c r="P1442" s="20"/>
    </row>
    <row r="1443">
      <c r="A1443" s="10"/>
      <c r="B1443" s="11"/>
      <c r="C1443" s="10"/>
      <c r="D1443" s="13"/>
      <c r="E1443" s="14"/>
      <c r="F1443" s="14"/>
      <c r="G1443" s="14"/>
      <c r="H1443" s="10"/>
      <c r="I1443" s="17"/>
      <c r="J1443" s="10"/>
      <c r="K1443" s="46"/>
      <c r="L1443" s="10"/>
      <c r="M1443" s="20"/>
      <c r="N1443" s="20"/>
      <c r="O1443" s="20"/>
      <c r="P1443" s="20"/>
    </row>
    <row r="1444">
      <c r="A1444" s="23"/>
      <c r="B1444" s="21"/>
      <c r="C1444" s="23"/>
      <c r="D1444" s="24"/>
      <c r="E1444" s="14"/>
      <c r="F1444" s="14"/>
      <c r="G1444" s="14"/>
      <c r="H1444" s="23"/>
      <c r="I1444" s="27"/>
      <c r="J1444" s="23"/>
      <c r="K1444" s="30"/>
      <c r="L1444" s="23"/>
      <c r="M1444" s="20"/>
      <c r="N1444" s="20"/>
      <c r="O1444" s="20"/>
      <c r="P1444" s="20"/>
    </row>
    <row r="1445">
      <c r="A1445" s="10"/>
      <c r="B1445" s="11"/>
      <c r="C1445" s="10"/>
      <c r="D1445" s="13"/>
      <c r="E1445" s="14"/>
      <c r="F1445" s="14"/>
      <c r="G1445" s="14"/>
      <c r="H1445" s="10"/>
      <c r="I1445" s="17"/>
      <c r="J1445" s="10"/>
      <c r="K1445" s="46"/>
      <c r="L1445" s="10"/>
      <c r="M1445" s="20"/>
      <c r="N1445" s="20"/>
      <c r="O1445" s="20"/>
      <c r="P1445" s="20"/>
    </row>
    <row r="1446">
      <c r="A1446" s="23"/>
      <c r="B1446" s="21"/>
      <c r="C1446" s="23"/>
      <c r="D1446" s="24"/>
      <c r="E1446" s="14"/>
      <c r="F1446" s="14"/>
      <c r="G1446" s="14"/>
      <c r="H1446" s="23"/>
      <c r="I1446" s="27"/>
      <c r="J1446" s="23"/>
      <c r="K1446" s="30"/>
      <c r="L1446" s="23"/>
      <c r="M1446" s="20"/>
      <c r="N1446" s="20"/>
      <c r="O1446" s="20"/>
      <c r="P1446" s="20"/>
    </row>
    <row r="1447">
      <c r="A1447" s="10"/>
      <c r="B1447" s="11"/>
      <c r="C1447" s="10"/>
      <c r="D1447" s="13"/>
      <c r="E1447" s="14"/>
      <c r="F1447" s="14"/>
      <c r="G1447" s="14"/>
      <c r="H1447" s="10"/>
      <c r="I1447" s="17"/>
      <c r="J1447" s="10"/>
      <c r="K1447" s="46"/>
      <c r="L1447" s="10"/>
      <c r="M1447" s="20"/>
      <c r="N1447" s="20"/>
      <c r="O1447" s="20"/>
      <c r="P1447" s="20"/>
    </row>
    <row r="1448">
      <c r="A1448" s="23"/>
      <c r="B1448" s="21"/>
      <c r="C1448" s="23"/>
      <c r="D1448" s="24"/>
      <c r="E1448" s="14"/>
      <c r="F1448" s="14"/>
      <c r="G1448" s="14"/>
      <c r="H1448" s="23"/>
      <c r="I1448" s="27"/>
      <c r="J1448" s="23"/>
      <c r="K1448" s="30"/>
      <c r="L1448" s="23"/>
      <c r="M1448" s="20"/>
      <c r="N1448" s="20"/>
      <c r="O1448" s="20"/>
      <c r="P1448" s="20"/>
    </row>
    <row r="1449">
      <c r="A1449" s="10"/>
      <c r="B1449" s="11"/>
      <c r="C1449" s="10"/>
      <c r="D1449" s="13"/>
      <c r="E1449" s="14"/>
      <c r="F1449" s="14"/>
      <c r="G1449" s="14"/>
      <c r="H1449" s="10"/>
      <c r="I1449" s="17"/>
      <c r="J1449" s="10"/>
      <c r="K1449" s="46"/>
      <c r="L1449" s="10"/>
      <c r="M1449" s="20"/>
      <c r="N1449" s="20"/>
      <c r="O1449" s="20"/>
      <c r="P1449" s="20"/>
    </row>
    <row r="1450">
      <c r="A1450" s="23"/>
      <c r="B1450" s="21"/>
      <c r="C1450" s="23"/>
      <c r="D1450" s="24"/>
      <c r="E1450" s="14"/>
      <c r="F1450" s="14"/>
      <c r="G1450" s="14"/>
      <c r="H1450" s="23"/>
      <c r="I1450" s="27"/>
      <c r="J1450" s="23"/>
      <c r="K1450" s="30"/>
      <c r="L1450" s="23"/>
      <c r="M1450" s="20"/>
      <c r="N1450" s="20"/>
      <c r="O1450" s="20"/>
      <c r="P1450" s="20"/>
    </row>
    <row r="1451">
      <c r="A1451" s="10"/>
      <c r="B1451" s="11"/>
      <c r="C1451" s="10"/>
      <c r="D1451" s="13"/>
      <c r="E1451" s="14"/>
      <c r="F1451" s="14"/>
      <c r="G1451" s="14"/>
      <c r="H1451" s="10"/>
      <c r="I1451" s="17"/>
      <c r="J1451" s="10"/>
      <c r="K1451" s="46"/>
      <c r="L1451" s="10"/>
      <c r="M1451" s="20"/>
      <c r="N1451" s="20"/>
      <c r="O1451" s="20"/>
      <c r="P1451" s="20"/>
    </row>
    <row r="1452">
      <c r="A1452" s="23"/>
      <c r="B1452" s="21"/>
      <c r="C1452" s="23"/>
      <c r="D1452" s="24"/>
      <c r="E1452" s="14"/>
      <c r="F1452" s="14"/>
      <c r="G1452" s="14"/>
      <c r="H1452" s="23"/>
      <c r="I1452" s="27"/>
      <c r="J1452" s="23"/>
      <c r="K1452" s="30"/>
      <c r="L1452" s="23"/>
      <c r="M1452" s="20"/>
      <c r="N1452" s="20"/>
      <c r="O1452" s="20"/>
      <c r="P1452" s="20"/>
    </row>
    <row r="1453">
      <c r="A1453" s="10"/>
      <c r="B1453" s="11"/>
      <c r="C1453" s="10"/>
      <c r="D1453" s="13"/>
      <c r="E1453" s="14"/>
      <c r="F1453" s="14"/>
      <c r="G1453" s="14"/>
      <c r="H1453" s="10"/>
      <c r="I1453" s="17"/>
      <c r="J1453" s="10"/>
      <c r="K1453" s="46"/>
      <c r="L1453" s="10"/>
      <c r="M1453" s="20"/>
      <c r="N1453" s="20"/>
      <c r="O1453" s="20"/>
      <c r="P1453" s="20"/>
    </row>
    <row r="1454">
      <c r="A1454" s="23"/>
      <c r="B1454" s="21"/>
      <c r="C1454" s="23"/>
      <c r="D1454" s="24"/>
      <c r="E1454" s="14"/>
      <c r="F1454" s="14"/>
      <c r="G1454" s="14"/>
      <c r="H1454" s="23"/>
      <c r="I1454" s="27"/>
      <c r="J1454" s="23"/>
      <c r="K1454" s="30"/>
      <c r="L1454" s="23"/>
      <c r="M1454" s="20"/>
      <c r="N1454" s="20"/>
      <c r="O1454" s="20"/>
      <c r="P1454" s="20"/>
    </row>
    <row r="1455">
      <c r="A1455" s="10"/>
      <c r="B1455" s="11"/>
      <c r="C1455" s="10"/>
      <c r="D1455" s="13"/>
      <c r="E1455" s="14"/>
      <c r="F1455" s="14"/>
      <c r="G1455" s="14"/>
      <c r="H1455" s="10"/>
      <c r="I1455" s="17"/>
      <c r="J1455" s="10"/>
      <c r="K1455" s="46"/>
      <c r="L1455" s="10"/>
      <c r="M1455" s="20"/>
      <c r="N1455" s="20"/>
      <c r="O1455" s="20"/>
      <c r="P1455" s="20"/>
    </row>
    <row r="1456">
      <c r="A1456" s="23"/>
      <c r="B1456" s="21"/>
      <c r="C1456" s="23"/>
      <c r="D1456" s="24"/>
      <c r="E1456" s="14"/>
      <c r="F1456" s="14"/>
      <c r="G1456" s="14"/>
      <c r="H1456" s="23"/>
      <c r="I1456" s="27"/>
      <c r="J1456" s="23"/>
      <c r="K1456" s="30"/>
      <c r="L1456" s="23"/>
      <c r="M1456" s="20"/>
      <c r="N1456" s="20"/>
      <c r="O1456" s="20"/>
      <c r="P1456" s="20"/>
    </row>
    <row r="1457">
      <c r="A1457" s="10"/>
      <c r="B1457" s="11"/>
      <c r="C1457" s="10"/>
      <c r="D1457" s="13"/>
      <c r="E1457" s="14"/>
      <c r="F1457" s="14"/>
      <c r="G1457" s="14"/>
      <c r="H1457" s="10"/>
      <c r="I1457" s="17"/>
      <c r="J1457" s="10"/>
      <c r="K1457" s="46"/>
      <c r="L1457" s="10"/>
      <c r="M1457" s="20"/>
      <c r="N1457" s="20"/>
      <c r="O1457" s="20"/>
      <c r="P1457" s="20"/>
    </row>
    <row r="1458">
      <c r="A1458" s="23"/>
      <c r="B1458" s="21"/>
      <c r="C1458" s="23"/>
      <c r="D1458" s="24"/>
      <c r="E1458" s="14"/>
      <c r="F1458" s="14"/>
      <c r="G1458" s="14"/>
      <c r="H1458" s="23"/>
      <c r="I1458" s="27"/>
      <c r="J1458" s="23"/>
      <c r="K1458" s="30"/>
      <c r="L1458" s="23"/>
      <c r="M1458" s="20"/>
      <c r="N1458" s="20"/>
      <c r="O1458" s="20"/>
      <c r="P1458" s="20"/>
    </row>
    <row r="1459">
      <c r="A1459" s="10"/>
      <c r="B1459" s="11"/>
      <c r="C1459" s="10"/>
      <c r="D1459" s="13"/>
      <c r="E1459" s="14"/>
      <c r="F1459" s="14"/>
      <c r="G1459" s="14"/>
      <c r="H1459" s="10"/>
      <c r="I1459" s="17"/>
      <c r="J1459" s="10"/>
      <c r="K1459" s="46"/>
      <c r="L1459" s="10"/>
      <c r="M1459" s="20"/>
      <c r="N1459" s="20"/>
      <c r="O1459" s="20"/>
      <c r="P1459" s="20"/>
    </row>
    <row r="1460">
      <c r="A1460" s="23"/>
      <c r="B1460" s="21"/>
      <c r="C1460" s="23"/>
      <c r="D1460" s="24"/>
      <c r="E1460" s="14"/>
      <c r="F1460" s="14"/>
      <c r="G1460" s="14"/>
      <c r="H1460" s="23"/>
      <c r="I1460" s="27"/>
      <c r="J1460" s="23"/>
      <c r="K1460" s="30"/>
      <c r="L1460" s="23"/>
      <c r="M1460" s="20"/>
      <c r="N1460" s="20"/>
      <c r="O1460" s="20"/>
      <c r="P1460" s="20"/>
    </row>
    <row r="1461">
      <c r="A1461" s="10"/>
      <c r="B1461" s="11"/>
      <c r="C1461" s="10"/>
      <c r="D1461" s="13"/>
      <c r="E1461" s="14"/>
      <c r="F1461" s="14"/>
      <c r="G1461" s="14"/>
      <c r="H1461" s="10"/>
      <c r="I1461" s="17"/>
      <c r="J1461" s="10"/>
      <c r="K1461" s="46"/>
      <c r="L1461" s="10"/>
      <c r="M1461" s="20"/>
      <c r="N1461" s="20"/>
      <c r="O1461" s="20"/>
      <c r="P1461" s="20"/>
    </row>
    <row r="1462">
      <c r="A1462" s="23"/>
      <c r="B1462" s="21"/>
      <c r="C1462" s="23"/>
      <c r="D1462" s="24"/>
      <c r="E1462" s="14"/>
      <c r="F1462" s="14"/>
      <c r="G1462" s="14"/>
      <c r="H1462" s="23"/>
      <c r="I1462" s="27"/>
      <c r="J1462" s="23"/>
      <c r="K1462" s="30"/>
      <c r="L1462" s="23"/>
      <c r="M1462" s="20"/>
      <c r="N1462" s="20"/>
      <c r="O1462" s="20"/>
      <c r="P1462" s="20"/>
    </row>
    <row r="1463">
      <c r="A1463" s="10"/>
      <c r="B1463" s="11"/>
      <c r="C1463" s="10"/>
      <c r="D1463" s="13"/>
      <c r="E1463" s="14"/>
      <c r="F1463" s="14"/>
      <c r="G1463" s="14"/>
      <c r="H1463" s="10"/>
      <c r="I1463" s="17"/>
      <c r="J1463" s="10"/>
      <c r="K1463" s="46"/>
      <c r="L1463" s="10"/>
      <c r="M1463" s="20"/>
      <c r="N1463" s="20"/>
      <c r="O1463" s="20"/>
      <c r="P1463" s="20"/>
    </row>
    <row r="1464">
      <c r="A1464" s="23"/>
      <c r="B1464" s="21"/>
      <c r="C1464" s="23"/>
      <c r="D1464" s="24"/>
      <c r="E1464" s="14"/>
      <c r="F1464" s="14"/>
      <c r="G1464" s="14"/>
      <c r="H1464" s="23"/>
      <c r="I1464" s="27"/>
      <c r="J1464" s="23"/>
      <c r="K1464" s="30"/>
      <c r="L1464" s="23"/>
      <c r="M1464" s="20"/>
      <c r="N1464" s="20"/>
      <c r="O1464" s="20"/>
      <c r="P1464" s="20"/>
    </row>
    <row r="1465">
      <c r="A1465" s="10"/>
      <c r="B1465" s="11"/>
      <c r="C1465" s="10"/>
      <c r="D1465" s="13"/>
      <c r="E1465" s="14"/>
      <c r="F1465" s="14"/>
      <c r="G1465" s="14"/>
      <c r="H1465" s="10"/>
      <c r="I1465" s="17"/>
      <c r="J1465" s="10"/>
      <c r="K1465" s="46"/>
      <c r="L1465" s="10"/>
      <c r="M1465" s="20"/>
      <c r="N1465" s="20"/>
      <c r="O1465" s="20"/>
      <c r="P1465" s="20"/>
    </row>
    <row r="1466">
      <c r="A1466" s="23"/>
      <c r="B1466" s="21"/>
      <c r="C1466" s="23"/>
      <c r="D1466" s="24"/>
      <c r="E1466" s="14"/>
      <c r="F1466" s="14"/>
      <c r="G1466" s="14"/>
      <c r="H1466" s="23"/>
      <c r="I1466" s="27"/>
      <c r="J1466" s="23"/>
      <c r="K1466" s="30"/>
      <c r="L1466" s="23"/>
      <c r="M1466" s="20"/>
      <c r="N1466" s="20"/>
      <c r="O1466" s="20"/>
      <c r="P1466" s="20"/>
    </row>
    <row r="1467">
      <c r="A1467" s="10"/>
      <c r="B1467" s="11"/>
      <c r="C1467" s="10"/>
      <c r="D1467" s="13"/>
      <c r="E1467" s="14"/>
      <c r="F1467" s="14"/>
      <c r="G1467" s="14"/>
      <c r="H1467" s="10"/>
      <c r="I1467" s="17"/>
      <c r="J1467" s="10"/>
      <c r="K1467" s="46"/>
      <c r="L1467" s="10"/>
      <c r="M1467" s="20"/>
      <c r="N1467" s="20"/>
      <c r="O1467" s="20"/>
      <c r="P1467" s="20"/>
    </row>
    <row r="1468">
      <c r="A1468" s="23"/>
      <c r="B1468" s="21"/>
      <c r="C1468" s="23"/>
      <c r="D1468" s="24"/>
      <c r="E1468" s="14"/>
      <c r="F1468" s="14"/>
      <c r="G1468" s="14"/>
      <c r="H1468" s="23"/>
      <c r="I1468" s="27"/>
      <c r="J1468" s="23"/>
      <c r="K1468" s="30"/>
      <c r="L1468" s="23"/>
      <c r="M1468" s="20"/>
      <c r="N1468" s="20"/>
      <c r="O1468" s="20"/>
      <c r="P1468" s="20"/>
    </row>
    <row r="1469">
      <c r="A1469" s="10"/>
      <c r="B1469" s="11"/>
      <c r="C1469" s="10"/>
      <c r="D1469" s="13"/>
      <c r="E1469" s="14"/>
      <c r="F1469" s="14"/>
      <c r="G1469" s="14"/>
      <c r="H1469" s="10"/>
      <c r="I1469" s="17"/>
      <c r="J1469" s="10"/>
      <c r="K1469" s="46"/>
      <c r="L1469" s="10"/>
      <c r="M1469" s="20"/>
      <c r="N1469" s="20"/>
      <c r="O1469" s="20"/>
      <c r="P1469" s="20"/>
    </row>
    <row r="1470">
      <c r="A1470" s="23"/>
      <c r="B1470" s="21"/>
      <c r="C1470" s="23"/>
      <c r="D1470" s="24"/>
      <c r="E1470" s="14"/>
      <c r="F1470" s="14"/>
      <c r="G1470" s="14"/>
      <c r="H1470" s="23"/>
      <c r="I1470" s="27"/>
      <c r="J1470" s="23"/>
      <c r="K1470" s="30"/>
      <c r="L1470" s="23"/>
      <c r="M1470" s="20"/>
      <c r="N1470" s="20"/>
      <c r="O1470" s="20"/>
      <c r="P1470" s="20"/>
    </row>
    <row r="1471">
      <c r="A1471" s="10"/>
      <c r="B1471" s="11"/>
      <c r="C1471" s="10"/>
      <c r="D1471" s="13"/>
      <c r="E1471" s="14"/>
      <c r="F1471" s="14"/>
      <c r="G1471" s="14"/>
      <c r="H1471" s="10"/>
      <c r="I1471" s="17"/>
      <c r="J1471" s="10"/>
      <c r="K1471" s="46"/>
      <c r="L1471" s="10"/>
      <c r="M1471" s="20"/>
      <c r="N1471" s="20"/>
      <c r="O1471" s="20"/>
      <c r="P1471" s="20"/>
    </row>
    <row r="1472">
      <c r="A1472" s="23"/>
      <c r="B1472" s="21"/>
      <c r="C1472" s="23"/>
      <c r="D1472" s="24"/>
      <c r="E1472" s="14"/>
      <c r="F1472" s="14"/>
      <c r="G1472" s="14"/>
      <c r="H1472" s="23"/>
      <c r="I1472" s="27"/>
      <c r="J1472" s="23"/>
      <c r="K1472" s="30"/>
      <c r="L1472" s="23"/>
      <c r="M1472" s="20"/>
      <c r="N1472" s="20"/>
      <c r="O1472" s="20"/>
      <c r="P1472" s="20"/>
    </row>
    <row r="1473">
      <c r="A1473" s="10"/>
      <c r="B1473" s="11"/>
      <c r="C1473" s="10"/>
      <c r="D1473" s="13"/>
      <c r="E1473" s="14"/>
      <c r="F1473" s="14"/>
      <c r="G1473" s="14"/>
      <c r="H1473" s="10"/>
      <c r="I1473" s="17"/>
      <c r="J1473" s="10"/>
      <c r="K1473" s="46"/>
      <c r="L1473" s="10"/>
      <c r="M1473" s="20"/>
      <c r="N1473" s="20"/>
      <c r="O1473" s="20"/>
      <c r="P1473" s="20"/>
    </row>
    <row r="1474">
      <c r="A1474" s="23"/>
      <c r="B1474" s="21"/>
      <c r="C1474" s="23"/>
      <c r="D1474" s="24"/>
      <c r="E1474" s="14"/>
      <c r="F1474" s="14"/>
      <c r="G1474" s="14"/>
      <c r="H1474" s="23"/>
      <c r="I1474" s="27"/>
      <c r="J1474" s="23"/>
      <c r="K1474" s="30"/>
      <c r="L1474" s="23"/>
      <c r="M1474" s="20"/>
      <c r="N1474" s="20"/>
      <c r="O1474" s="20"/>
      <c r="P1474" s="20"/>
    </row>
    <row r="1475">
      <c r="A1475" s="10"/>
      <c r="B1475" s="11"/>
      <c r="C1475" s="10"/>
      <c r="D1475" s="13"/>
      <c r="E1475" s="14"/>
      <c r="F1475" s="14"/>
      <c r="G1475" s="14"/>
      <c r="H1475" s="10"/>
      <c r="I1475" s="17"/>
      <c r="J1475" s="10"/>
      <c r="K1475" s="46"/>
      <c r="L1475" s="10"/>
      <c r="M1475" s="20"/>
      <c r="N1475" s="20"/>
      <c r="O1475" s="20"/>
      <c r="P1475" s="20"/>
    </row>
    <row r="1476">
      <c r="A1476" s="23"/>
      <c r="B1476" s="21"/>
      <c r="C1476" s="23"/>
      <c r="D1476" s="24"/>
      <c r="E1476" s="14"/>
      <c r="F1476" s="14"/>
      <c r="G1476" s="14"/>
      <c r="H1476" s="23"/>
      <c r="I1476" s="27"/>
      <c r="J1476" s="23"/>
      <c r="K1476" s="30"/>
      <c r="L1476" s="23"/>
      <c r="M1476" s="20"/>
      <c r="N1476" s="20"/>
      <c r="O1476" s="20"/>
      <c r="P1476" s="20"/>
    </row>
    <row r="1477">
      <c r="A1477" s="10"/>
      <c r="B1477" s="11"/>
      <c r="C1477" s="10"/>
      <c r="D1477" s="13"/>
      <c r="E1477" s="14"/>
      <c r="F1477" s="14"/>
      <c r="G1477" s="14"/>
      <c r="H1477" s="10"/>
      <c r="I1477" s="17"/>
      <c r="J1477" s="10"/>
      <c r="K1477" s="46"/>
      <c r="L1477" s="10"/>
      <c r="M1477" s="20"/>
      <c r="N1477" s="20"/>
      <c r="O1477" s="20"/>
      <c r="P1477" s="20"/>
    </row>
    <row r="1478">
      <c r="A1478" s="23"/>
      <c r="B1478" s="21"/>
      <c r="C1478" s="23"/>
      <c r="D1478" s="24"/>
      <c r="E1478" s="14"/>
      <c r="F1478" s="14"/>
      <c r="G1478" s="14"/>
      <c r="H1478" s="23"/>
      <c r="I1478" s="27"/>
      <c r="J1478" s="23"/>
      <c r="K1478" s="30"/>
      <c r="L1478" s="23"/>
      <c r="M1478" s="20"/>
      <c r="N1478" s="20"/>
      <c r="O1478" s="20"/>
      <c r="P1478" s="20"/>
    </row>
    <row r="1479">
      <c r="A1479" s="10"/>
      <c r="B1479" s="11"/>
      <c r="C1479" s="10"/>
      <c r="D1479" s="13"/>
      <c r="E1479" s="14"/>
      <c r="F1479" s="14"/>
      <c r="G1479" s="14"/>
      <c r="H1479" s="10"/>
      <c r="I1479" s="17"/>
      <c r="J1479" s="10"/>
      <c r="K1479" s="46"/>
      <c r="L1479" s="10"/>
      <c r="M1479" s="20"/>
      <c r="N1479" s="20"/>
      <c r="O1479" s="20"/>
      <c r="P1479" s="20"/>
    </row>
    <row r="1480">
      <c r="A1480" s="23"/>
      <c r="B1480" s="21"/>
      <c r="C1480" s="23"/>
      <c r="D1480" s="24"/>
      <c r="E1480" s="14"/>
      <c r="F1480" s="14"/>
      <c r="G1480" s="14"/>
      <c r="H1480" s="23"/>
      <c r="I1480" s="27"/>
      <c r="J1480" s="23"/>
      <c r="K1480" s="30"/>
      <c r="L1480" s="23"/>
      <c r="M1480" s="20"/>
      <c r="N1480" s="20"/>
      <c r="O1480" s="20"/>
      <c r="P1480" s="20"/>
    </row>
    <row r="1481">
      <c r="A1481" s="10"/>
      <c r="B1481" s="11"/>
      <c r="C1481" s="10"/>
      <c r="D1481" s="13"/>
      <c r="E1481" s="14"/>
      <c r="F1481" s="14"/>
      <c r="G1481" s="14"/>
      <c r="H1481" s="10"/>
      <c r="I1481" s="17"/>
      <c r="J1481" s="10"/>
      <c r="K1481" s="46"/>
      <c r="L1481" s="10"/>
      <c r="M1481" s="20"/>
      <c r="N1481" s="20"/>
      <c r="O1481" s="20"/>
      <c r="P1481" s="20"/>
    </row>
    <row r="1482">
      <c r="A1482" s="23"/>
      <c r="B1482" s="21"/>
      <c r="C1482" s="23"/>
      <c r="D1482" s="24"/>
      <c r="E1482" s="14"/>
      <c r="F1482" s="14"/>
      <c r="G1482" s="14"/>
      <c r="H1482" s="23"/>
      <c r="I1482" s="27"/>
      <c r="J1482" s="23"/>
      <c r="K1482" s="30"/>
      <c r="L1482" s="23"/>
      <c r="M1482" s="20"/>
      <c r="N1482" s="20"/>
      <c r="O1482" s="20"/>
      <c r="P1482" s="20"/>
    </row>
    <row r="1483">
      <c r="A1483" s="10"/>
      <c r="B1483" s="11"/>
      <c r="C1483" s="10"/>
      <c r="D1483" s="13"/>
      <c r="E1483" s="14"/>
      <c r="F1483" s="14"/>
      <c r="G1483" s="14"/>
      <c r="H1483" s="10"/>
      <c r="I1483" s="17"/>
      <c r="J1483" s="10"/>
      <c r="K1483" s="46"/>
      <c r="L1483" s="10"/>
      <c r="M1483" s="20"/>
      <c r="N1483" s="20"/>
      <c r="O1483" s="20"/>
      <c r="P1483" s="20"/>
    </row>
    <row r="1484">
      <c r="A1484" s="23"/>
      <c r="B1484" s="21"/>
      <c r="C1484" s="23"/>
      <c r="D1484" s="24"/>
      <c r="E1484" s="14"/>
      <c r="F1484" s="14"/>
      <c r="G1484" s="14"/>
      <c r="H1484" s="23"/>
      <c r="I1484" s="27"/>
      <c r="J1484" s="23"/>
      <c r="K1484" s="30"/>
      <c r="L1484" s="23"/>
      <c r="M1484" s="20"/>
      <c r="N1484" s="20"/>
      <c r="O1484" s="20"/>
      <c r="P1484" s="20"/>
    </row>
    <row r="1485">
      <c r="A1485" s="10"/>
      <c r="B1485" s="11"/>
      <c r="C1485" s="10"/>
      <c r="D1485" s="13"/>
      <c r="E1485" s="14"/>
      <c r="F1485" s="14"/>
      <c r="G1485" s="14"/>
      <c r="H1485" s="10"/>
      <c r="I1485" s="17"/>
      <c r="J1485" s="10"/>
      <c r="K1485" s="46"/>
      <c r="L1485" s="10"/>
      <c r="M1485" s="20"/>
      <c r="N1485" s="20"/>
      <c r="O1485" s="20"/>
      <c r="P1485" s="20"/>
    </row>
    <row r="1486">
      <c r="A1486" s="23"/>
      <c r="B1486" s="21"/>
      <c r="C1486" s="23"/>
      <c r="D1486" s="24"/>
      <c r="E1486" s="14"/>
      <c r="F1486" s="14"/>
      <c r="G1486" s="14"/>
      <c r="H1486" s="23"/>
      <c r="I1486" s="27"/>
      <c r="J1486" s="23"/>
      <c r="K1486" s="30"/>
      <c r="L1486" s="23"/>
      <c r="M1486" s="20"/>
      <c r="N1486" s="20"/>
      <c r="O1486" s="20"/>
      <c r="P1486" s="20"/>
    </row>
    <row r="1487">
      <c r="A1487" s="10"/>
      <c r="B1487" s="11"/>
      <c r="C1487" s="10"/>
      <c r="D1487" s="13"/>
      <c r="E1487" s="14"/>
      <c r="F1487" s="14"/>
      <c r="G1487" s="14"/>
      <c r="H1487" s="10"/>
      <c r="I1487" s="17"/>
      <c r="J1487" s="10"/>
      <c r="K1487" s="46"/>
      <c r="L1487" s="10"/>
      <c r="M1487" s="20"/>
      <c r="N1487" s="20"/>
      <c r="O1487" s="20"/>
      <c r="P1487" s="20"/>
    </row>
    <row r="1488">
      <c r="A1488" s="23"/>
      <c r="B1488" s="21"/>
      <c r="C1488" s="23"/>
      <c r="D1488" s="24"/>
      <c r="E1488" s="14"/>
      <c r="F1488" s="14"/>
      <c r="G1488" s="14"/>
      <c r="H1488" s="23"/>
      <c r="I1488" s="27"/>
      <c r="J1488" s="23"/>
      <c r="K1488" s="30"/>
      <c r="L1488" s="23"/>
      <c r="M1488" s="20"/>
      <c r="N1488" s="20"/>
      <c r="O1488" s="20"/>
      <c r="P1488" s="20"/>
    </row>
    <row r="1489">
      <c r="A1489" s="10"/>
      <c r="B1489" s="11"/>
      <c r="C1489" s="10"/>
      <c r="D1489" s="13"/>
      <c r="E1489" s="14"/>
      <c r="F1489" s="14"/>
      <c r="G1489" s="14"/>
      <c r="H1489" s="10"/>
      <c r="I1489" s="17"/>
      <c r="J1489" s="10"/>
      <c r="K1489" s="46"/>
      <c r="L1489" s="10"/>
      <c r="M1489" s="20"/>
      <c r="N1489" s="20"/>
      <c r="O1489" s="20"/>
      <c r="P1489" s="20"/>
    </row>
    <row r="1490">
      <c r="A1490" s="23"/>
      <c r="B1490" s="21"/>
      <c r="C1490" s="23"/>
      <c r="D1490" s="24"/>
      <c r="E1490" s="14"/>
      <c r="F1490" s="14"/>
      <c r="G1490" s="14"/>
      <c r="H1490" s="23"/>
      <c r="I1490" s="27"/>
      <c r="J1490" s="23"/>
      <c r="K1490" s="30"/>
      <c r="L1490" s="23"/>
      <c r="M1490" s="20"/>
      <c r="N1490" s="20"/>
      <c r="O1490" s="20"/>
      <c r="P1490" s="20"/>
    </row>
    <row r="1491">
      <c r="A1491" s="10"/>
      <c r="B1491" s="11"/>
      <c r="C1491" s="10"/>
      <c r="D1491" s="13"/>
      <c r="E1491" s="14"/>
      <c r="F1491" s="14"/>
      <c r="G1491" s="14"/>
      <c r="H1491" s="10"/>
      <c r="I1491" s="17"/>
      <c r="J1491" s="10"/>
      <c r="K1491" s="46"/>
      <c r="L1491" s="10"/>
      <c r="M1491" s="20"/>
      <c r="N1491" s="20"/>
      <c r="O1491" s="20"/>
      <c r="P1491" s="20"/>
    </row>
    <row r="1492">
      <c r="A1492" s="23"/>
      <c r="B1492" s="21"/>
      <c r="C1492" s="23"/>
      <c r="D1492" s="24"/>
      <c r="E1492" s="14"/>
      <c r="F1492" s="14"/>
      <c r="G1492" s="14"/>
      <c r="H1492" s="23"/>
      <c r="I1492" s="27"/>
      <c r="J1492" s="23"/>
      <c r="K1492" s="30"/>
      <c r="L1492" s="23"/>
      <c r="M1492" s="20"/>
      <c r="N1492" s="20"/>
      <c r="O1492" s="20"/>
      <c r="P1492" s="20"/>
    </row>
    <row r="1493">
      <c r="A1493" s="10"/>
      <c r="B1493" s="11"/>
      <c r="C1493" s="10"/>
      <c r="D1493" s="13"/>
      <c r="E1493" s="14"/>
      <c r="F1493" s="14"/>
      <c r="G1493" s="14"/>
      <c r="H1493" s="10"/>
      <c r="I1493" s="17"/>
      <c r="J1493" s="10"/>
      <c r="K1493" s="46"/>
      <c r="L1493" s="10"/>
      <c r="M1493" s="20"/>
      <c r="N1493" s="20"/>
      <c r="O1493" s="20"/>
      <c r="P1493" s="20"/>
    </row>
    <row r="1494">
      <c r="A1494" s="23"/>
      <c r="B1494" s="21"/>
      <c r="C1494" s="23"/>
      <c r="D1494" s="24"/>
      <c r="E1494" s="14"/>
      <c r="F1494" s="14"/>
      <c r="G1494" s="14"/>
      <c r="H1494" s="23"/>
      <c r="I1494" s="27"/>
      <c r="J1494" s="23"/>
      <c r="K1494" s="30"/>
      <c r="L1494" s="23"/>
      <c r="M1494" s="20"/>
      <c r="N1494" s="20"/>
      <c r="O1494" s="20"/>
      <c r="P1494" s="20"/>
    </row>
    <row r="1495">
      <c r="A1495" s="10"/>
      <c r="B1495" s="11"/>
      <c r="C1495" s="10"/>
      <c r="D1495" s="13"/>
      <c r="E1495" s="14"/>
      <c r="F1495" s="14"/>
      <c r="G1495" s="14"/>
      <c r="H1495" s="10"/>
      <c r="I1495" s="17"/>
      <c r="J1495" s="10"/>
      <c r="K1495" s="46"/>
      <c r="L1495" s="10"/>
      <c r="M1495" s="20"/>
      <c r="N1495" s="20"/>
      <c r="O1495" s="20"/>
      <c r="P1495" s="20"/>
    </row>
    <row r="1496">
      <c r="A1496" s="23"/>
      <c r="B1496" s="21"/>
      <c r="C1496" s="23"/>
      <c r="D1496" s="24"/>
      <c r="E1496" s="14"/>
      <c r="F1496" s="14"/>
      <c r="G1496" s="14"/>
      <c r="H1496" s="23"/>
      <c r="I1496" s="27"/>
      <c r="J1496" s="23"/>
      <c r="K1496" s="30"/>
      <c r="L1496" s="23"/>
      <c r="M1496" s="20"/>
      <c r="N1496" s="20"/>
      <c r="O1496" s="20"/>
      <c r="P1496" s="20"/>
    </row>
    <row r="1497">
      <c r="A1497" s="10"/>
      <c r="B1497" s="11"/>
      <c r="C1497" s="10"/>
      <c r="D1497" s="13"/>
      <c r="E1497" s="14"/>
      <c r="F1497" s="14"/>
      <c r="G1497" s="14"/>
      <c r="H1497" s="10"/>
      <c r="I1497" s="17"/>
      <c r="J1497" s="10"/>
      <c r="K1497" s="46"/>
      <c r="L1497" s="10"/>
      <c r="M1497" s="20"/>
      <c r="N1497" s="20"/>
      <c r="O1497" s="20"/>
      <c r="P1497" s="20"/>
    </row>
    <row r="1498">
      <c r="A1498" s="23"/>
      <c r="B1498" s="21"/>
      <c r="C1498" s="23"/>
      <c r="D1498" s="24"/>
      <c r="E1498" s="14"/>
      <c r="F1498" s="14"/>
      <c r="G1498" s="14"/>
      <c r="H1498" s="23"/>
      <c r="I1498" s="27"/>
      <c r="J1498" s="23"/>
      <c r="K1498" s="30"/>
      <c r="L1498" s="23"/>
      <c r="M1498" s="20"/>
      <c r="N1498" s="20"/>
      <c r="O1498" s="20"/>
      <c r="P1498" s="20"/>
    </row>
    <row r="1499">
      <c r="A1499" s="10"/>
      <c r="B1499" s="11"/>
      <c r="C1499" s="10"/>
      <c r="D1499" s="13"/>
      <c r="E1499" s="14"/>
      <c r="F1499" s="14"/>
      <c r="G1499" s="14"/>
      <c r="H1499" s="10"/>
      <c r="I1499" s="17"/>
      <c r="J1499" s="10"/>
      <c r="K1499" s="46"/>
      <c r="L1499" s="10"/>
      <c r="M1499" s="20"/>
      <c r="N1499" s="20"/>
      <c r="O1499" s="20"/>
      <c r="P1499" s="20"/>
    </row>
    <row r="1500">
      <c r="A1500" s="23"/>
      <c r="B1500" s="21"/>
      <c r="C1500" s="23"/>
      <c r="D1500" s="24"/>
      <c r="E1500" s="14"/>
      <c r="F1500" s="14"/>
      <c r="G1500" s="14"/>
      <c r="H1500" s="23"/>
      <c r="I1500" s="27"/>
      <c r="J1500" s="23"/>
      <c r="K1500" s="30"/>
      <c r="L1500" s="23"/>
      <c r="M1500" s="20"/>
      <c r="N1500" s="20"/>
      <c r="O1500" s="20"/>
      <c r="P1500" s="20"/>
    </row>
    <row r="1501">
      <c r="A1501" s="10"/>
      <c r="B1501" s="11"/>
      <c r="C1501" s="10"/>
      <c r="D1501" s="13"/>
      <c r="E1501" s="14"/>
      <c r="F1501" s="14"/>
      <c r="G1501" s="14"/>
      <c r="H1501" s="10"/>
      <c r="I1501" s="17"/>
      <c r="J1501" s="10"/>
      <c r="K1501" s="46"/>
      <c r="L1501" s="10"/>
      <c r="M1501" s="20"/>
      <c r="N1501" s="20"/>
      <c r="O1501" s="20"/>
      <c r="P1501" s="20"/>
    </row>
    <row r="1502">
      <c r="A1502" s="23"/>
      <c r="B1502" s="21"/>
      <c r="C1502" s="23"/>
      <c r="D1502" s="24"/>
      <c r="E1502" s="14"/>
      <c r="F1502" s="14"/>
      <c r="G1502" s="14"/>
      <c r="H1502" s="23"/>
      <c r="I1502" s="27"/>
      <c r="J1502" s="23"/>
      <c r="K1502" s="30"/>
      <c r="L1502" s="23"/>
      <c r="M1502" s="20"/>
      <c r="N1502" s="20"/>
      <c r="O1502" s="20"/>
      <c r="P1502" s="20"/>
    </row>
    <row r="1503">
      <c r="A1503" s="10"/>
      <c r="B1503" s="11"/>
      <c r="C1503" s="10"/>
      <c r="D1503" s="13"/>
      <c r="E1503" s="14"/>
      <c r="F1503" s="14"/>
      <c r="G1503" s="14"/>
      <c r="H1503" s="10"/>
      <c r="I1503" s="17"/>
      <c r="J1503" s="10"/>
      <c r="K1503" s="46"/>
      <c r="L1503" s="10"/>
      <c r="M1503" s="20"/>
      <c r="N1503" s="20"/>
      <c r="O1503" s="20"/>
      <c r="P1503" s="20"/>
    </row>
    <row r="1504">
      <c r="A1504" s="23"/>
      <c r="B1504" s="21"/>
      <c r="C1504" s="23"/>
      <c r="D1504" s="24"/>
      <c r="E1504" s="14"/>
      <c r="F1504" s="14"/>
      <c r="G1504" s="14"/>
      <c r="H1504" s="23"/>
      <c r="I1504" s="27"/>
      <c r="J1504" s="23"/>
      <c r="K1504" s="30"/>
      <c r="L1504" s="23"/>
      <c r="M1504" s="20"/>
      <c r="N1504" s="20"/>
      <c r="O1504" s="20"/>
      <c r="P1504" s="20"/>
    </row>
    <row r="1505">
      <c r="A1505" s="10"/>
      <c r="B1505" s="11"/>
      <c r="C1505" s="10"/>
      <c r="D1505" s="13"/>
      <c r="E1505" s="14"/>
      <c r="F1505" s="14"/>
      <c r="G1505" s="14"/>
      <c r="H1505" s="10"/>
      <c r="I1505" s="17"/>
      <c r="J1505" s="10"/>
      <c r="K1505" s="46"/>
      <c r="L1505" s="10"/>
      <c r="M1505" s="20"/>
      <c r="N1505" s="20"/>
      <c r="O1505" s="20"/>
      <c r="P1505" s="20"/>
    </row>
    <row r="1506">
      <c r="A1506" s="23"/>
      <c r="B1506" s="21"/>
      <c r="C1506" s="23"/>
      <c r="D1506" s="24"/>
      <c r="E1506" s="14"/>
      <c r="F1506" s="14"/>
      <c r="G1506" s="14"/>
      <c r="H1506" s="23"/>
      <c r="I1506" s="27"/>
      <c r="J1506" s="23"/>
      <c r="K1506" s="30"/>
      <c r="L1506" s="23"/>
      <c r="M1506" s="20"/>
      <c r="N1506" s="20"/>
      <c r="O1506" s="20"/>
      <c r="P1506" s="20"/>
    </row>
    <row r="1507">
      <c r="A1507" s="10"/>
      <c r="B1507" s="11"/>
      <c r="C1507" s="10"/>
      <c r="D1507" s="13"/>
      <c r="E1507" s="14"/>
      <c r="F1507" s="14"/>
      <c r="G1507" s="14"/>
      <c r="H1507" s="10"/>
      <c r="I1507" s="17"/>
      <c r="J1507" s="10"/>
      <c r="K1507" s="46"/>
      <c r="L1507" s="10"/>
      <c r="M1507" s="20"/>
      <c r="N1507" s="20"/>
      <c r="O1507" s="20"/>
      <c r="P1507" s="20"/>
    </row>
    <row r="1508">
      <c r="A1508" s="23"/>
      <c r="B1508" s="21"/>
      <c r="C1508" s="23"/>
      <c r="D1508" s="24"/>
      <c r="E1508" s="14"/>
      <c r="F1508" s="14"/>
      <c r="G1508" s="14"/>
      <c r="H1508" s="23"/>
      <c r="I1508" s="27"/>
      <c r="J1508" s="23"/>
      <c r="K1508" s="30"/>
      <c r="L1508" s="23"/>
      <c r="M1508" s="20"/>
      <c r="N1508" s="20"/>
      <c r="O1508" s="20"/>
      <c r="P1508" s="20"/>
    </row>
    <row r="1509">
      <c r="A1509" s="10"/>
      <c r="B1509" s="11"/>
      <c r="C1509" s="10"/>
      <c r="D1509" s="13"/>
      <c r="E1509" s="14"/>
      <c r="F1509" s="14"/>
      <c r="G1509" s="14"/>
      <c r="H1509" s="10"/>
      <c r="I1509" s="17"/>
      <c r="J1509" s="10"/>
      <c r="K1509" s="46"/>
      <c r="L1509" s="10"/>
      <c r="M1509" s="20"/>
      <c r="N1509" s="20"/>
      <c r="O1509" s="20"/>
      <c r="P1509" s="20"/>
    </row>
    <row r="1510">
      <c r="A1510" s="23"/>
      <c r="B1510" s="21"/>
      <c r="C1510" s="23"/>
      <c r="D1510" s="24"/>
      <c r="E1510" s="14"/>
      <c r="F1510" s="14"/>
      <c r="G1510" s="14"/>
      <c r="H1510" s="23"/>
      <c r="I1510" s="27"/>
      <c r="J1510" s="23"/>
      <c r="K1510" s="30"/>
      <c r="L1510" s="23"/>
      <c r="M1510" s="20"/>
      <c r="N1510" s="20"/>
      <c r="O1510" s="20"/>
      <c r="P1510" s="20"/>
    </row>
    <row r="1511">
      <c r="A1511" s="10"/>
      <c r="B1511" s="11"/>
      <c r="C1511" s="10"/>
      <c r="D1511" s="13"/>
      <c r="E1511" s="14"/>
      <c r="F1511" s="14"/>
      <c r="G1511" s="14"/>
      <c r="H1511" s="10"/>
      <c r="I1511" s="17"/>
      <c r="J1511" s="10"/>
      <c r="K1511" s="46"/>
      <c r="L1511" s="10"/>
      <c r="M1511" s="20"/>
      <c r="N1511" s="20"/>
      <c r="O1511" s="20"/>
      <c r="P1511" s="20"/>
    </row>
    <row r="1512">
      <c r="A1512" s="23"/>
      <c r="B1512" s="21"/>
      <c r="C1512" s="23"/>
      <c r="D1512" s="24"/>
      <c r="E1512" s="14"/>
      <c r="F1512" s="14"/>
      <c r="G1512" s="14"/>
      <c r="H1512" s="23"/>
      <c r="I1512" s="27"/>
      <c r="J1512" s="23"/>
      <c r="K1512" s="30"/>
      <c r="L1512" s="23"/>
      <c r="M1512" s="20"/>
      <c r="N1512" s="20"/>
      <c r="O1512" s="20"/>
      <c r="P1512" s="20"/>
    </row>
    <row r="1513">
      <c r="A1513" s="10"/>
      <c r="B1513" s="11"/>
      <c r="C1513" s="10"/>
      <c r="D1513" s="13"/>
      <c r="E1513" s="14"/>
      <c r="F1513" s="14"/>
      <c r="G1513" s="14"/>
      <c r="H1513" s="10"/>
      <c r="I1513" s="17"/>
      <c r="J1513" s="10"/>
      <c r="K1513" s="46"/>
      <c r="L1513" s="10"/>
      <c r="M1513" s="20"/>
      <c r="N1513" s="20"/>
      <c r="O1513" s="20"/>
      <c r="P1513" s="20"/>
    </row>
    <row r="1514">
      <c r="A1514" s="23"/>
      <c r="B1514" s="21"/>
      <c r="C1514" s="23"/>
      <c r="D1514" s="24"/>
      <c r="E1514" s="14"/>
      <c r="F1514" s="14"/>
      <c r="G1514" s="14"/>
      <c r="H1514" s="23"/>
      <c r="I1514" s="27"/>
      <c r="J1514" s="23"/>
      <c r="K1514" s="30"/>
      <c r="L1514" s="23"/>
      <c r="M1514" s="20"/>
      <c r="N1514" s="20"/>
      <c r="O1514" s="20"/>
      <c r="P1514" s="20"/>
    </row>
    <row r="1515">
      <c r="A1515" s="10"/>
      <c r="B1515" s="11"/>
      <c r="C1515" s="10"/>
      <c r="D1515" s="13"/>
      <c r="E1515" s="14"/>
      <c r="F1515" s="14"/>
      <c r="G1515" s="14"/>
      <c r="H1515" s="10"/>
      <c r="I1515" s="17"/>
      <c r="J1515" s="10"/>
      <c r="K1515" s="46"/>
      <c r="L1515" s="10"/>
      <c r="M1515" s="20"/>
      <c r="N1515" s="20"/>
      <c r="O1515" s="20"/>
      <c r="P1515" s="20"/>
    </row>
    <row r="1516">
      <c r="A1516" s="23"/>
      <c r="B1516" s="21"/>
      <c r="C1516" s="23"/>
      <c r="D1516" s="24"/>
      <c r="E1516" s="14"/>
      <c r="F1516" s="14"/>
      <c r="G1516" s="14"/>
      <c r="H1516" s="23"/>
      <c r="I1516" s="27"/>
      <c r="J1516" s="23"/>
      <c r="K1516" s="30"/>
      <c r="L1516" s="23"/>
      <c r="M1516" s="20"/>
      <c r="N1516" s="20"/>
      <c r="O1516" s="20"/>
      <c r="P1516" s="20"/>
    </row>
    <row r="1517">
      <c r="A1517" s="10"/>
      <c r="B1517" s="11"/>
      <c r="C1517" s="10"/>
      <c r="D1517" s="13"/>
      <c r="E1517" s="14"/>
      <c r="F1517" s="14"/>
      <c r="G1517" s="14"/>
      <c r="H1517" s="10"/>
      <c r="I1517" s="17"/>
      <c r="J1517" s="10"/>
      <c r="K1517" s="46"/>
      <c r="L1517" s="10"/>
      <c r="M1517" s="20"/>
      <c r="N1517" s="20"/>
      <c r="O1517" s="20"/>
      <c r="P1517" s="20"/>
    </row>
    <row r="1518">
      <c r="A1518" s="23"/>
      <c r="B1518" s="21"/>
      <c r="C1518" s="23"/>
      <c r="D1518" s="24"/>
      <c r="E1518" s="14"/>
      <c r="F1518" s="14"/>
      <c r="G1518" s="14"/>
      <c r="H1518" s="23"/>
      <c r="I1518" s="27"/>
      <c r="J1518" s="23"/>
      <c r="K1518" s="30"/>
      <c r="L1518" s="23"/>
      <c r="M1518" s="20"/>
      <c r="N1518" s="20"/>
      <c r="O1518" s="20"/>
      <c r="P1518" s="20"/>
    </row>
    <row r="1519">
      <c r="A1519" s="10"/>
      <c r="B1519" s="11"/>
      <c r="C1519" s="10"/>
      <c r="D1519" s="13"/>
      <c r="E1519" s="14"/>
      <c r="F1519" s="14"/>
      <c r="G1519" s="14"/>
      <c r="H1519" s="10"/>
      <c r="I1519" s="17"/>
      <c r="J1519" s="10"/>
      <c r="K1519" s="46"/>
      <c r="L1519" s="10"/>
      <c r="M1519" s="20"/>
      <c r="N1519" s="20"/>
      <c r="O1519" s="20"/>
      <c r="P1519" s="20"/>
    </row>
    <row r="1520">
      <c r="A1520" s="23"/>
      <c r="B1520" s="21"/>
      <c r="C1520" s="23"/>
      <c r="D1520" s="24"/>
      <c r="E1520" s="14"/>
      <c r="F1520" s="14"/>
      <c r="G1520" s="14"/>
      <c r="H1520" s="23"/>
      <c r="I1520" s="27"/>
      <c r="J1520" s="23"/>
      <c r="K1520" s="30"/>
      <c r="L1520" s="23"/>
      <c r="M1520" s="20"/>
      <c r="N1520" s="20"/>
      <c r="O1520" s="20"/>
      <c r="P1520" s="20"/>
    </row>
    <row r="1521">
      <c r="A1521" s="10"/>
      <c r="B1521" s="11"/>
      <c r="C1521" s="10"/>
      <c r="D1521" s="13"/>
      <c r="E1521" s="14"/>
      <c r="F1521" s="14"/>
      <c r="G1521" s="14"/>
      <c r="H1521" s="10"/>
      <c r="I1521" s="17"/>
      <c r="J1521" s="10"/>
      <c r="K1521" s="46"/>
      <c r="L1521" s="10"/>
      <c r="M1521" s="20"/>
      <c r="N1521" s="20"/>
      <c r="O1521" s="20"/>
      <c r="P1521" s="20"/>
    </row>
    <row r="1522">
      <c r="A1522" s="23"/>
      <c r="B1522" s="21"/>
      <c r="C1522" s="23"/>
      <c r="D1522" s="24"/>
      <c r="E1522" s="14"/>
      <c r="F1522" s="14"/>
      <c r="G1522" s="14"/>
      <c r="H1522" s="23"/>
      <c r="I1522" s="27"/>
      <c r="J1522" s="23"/>
      <c r="K1522" s="30"/>
      <c r="L1522" s="23"/>
      <c r="M1522" s="20"/>
      <c r="N1522" s="20"/>
      <c r="O1522" s="20"/>
      <c r="P1522" s="20"/>
    </row>
    <row r="1523">
      <c r="A1523" s="10"/>
      <c r="B1523" s="11"/>
      <c r="C1523" s="10"/>
      <c r="D1523" s="13"/>
      <c r="E1523" s="14"/>
      <c r="F1523" s="14"/>
      <c r="G1523" s="14"/>
      <c r="H1523" s="10"/>
      <c r="I1523" s="17"/>
      <c r="J1523" s="10"/>
      <c r="K1523" s="46"/>
      <c r="L1523" s="10"/>
      <c r="M1523" s="20"/>
      <c r="N1523" s="20"/>
      <c r="O1523" s="20"/>
      <c r="P1523" s="20"/>
    </row>
    <row r="1524">
      <c r="A1524" s="23"/>
      <c r="B1524" s="21"/>
      <c r="C1524" s="23"/>
      <c r="D1524" s="24"/>
      <c r="E1524" s="14"/>
      <c r="F1524" s="14"/>
      <c r="G1524" s="14"/>
      <c r="H1524" s="23"/>
      <c r="I1524" s="27"/>
      <c r="J1524" s="23"/>
      <c r="K1524" s="30"/>
      <c r="L1524" s="23"/>
      <c r="M1524" s="20"/>
      <c r="N1524" s="20"/>
      <c r="O1524" s="20"/>
      <c r="P1524" s="20"/>
    </row>
    <row r="1525">
      <c r="A1525" s="10"/>
      <c r="B1525" s="11"/>
      <c r="C1525" s="10"/>
      <c r="D1525" s="13"/>
      <c r="E1525" s="14"/>
      <c r="F1525" s="14"/>
      <c r="G1525" s="14"/>
      <c r="H1525" s="10"/>
      <c r="I1525" s="17"/>
      <c r="J1525" s="10"/>
      <c r="K1525" s="46"/>
      <c r="L1525" s="10"/>
      <c r="M1525" s="20"/>
      <c r="N1525" s="20"/>
      <c r="O1525" s="20"/>
      <c r="P1525" s="20"/>
    </row>
    <row r="1526">
      <c r="A1526" s="23"/>
      <c r="B1526" s="21"/>
      <c r="C1526" s="23"/>
      <c r="D1526" s="24"/>
      <c r="E1526" s="14"/>
      <c r="F1526" s="14"/>
      <c r="G1526" s="14"/>
      <c r="H1526" s="23"/>
      <c r="I1526" s="27"/>
      <c r="J1526" s="23"/>
      <c r="K1526" s="30"/>
      <c r="L1526" s="23"/>
      <c r="M1526" s="20"/>
      <c r="N1526" s="20"/>
      <c r="O1526" s="20"/>
      <c r="P1526" s="20"/>
    </row>
    <row r="1527">
      <c r="A1527" s="10"/>
      <c r="B1527" s="11"/>
      <c r="C1527" s="10"/>
      <c r="D1527" s="13"/>
      <c r="E1527" s="14"/>
      <c r="F1527" s="14"/>
      <c r="G1527" s="14"/>
      <c r="H1527" s="10"/>
      <c r="I1527" s="17"/>
      <c r="J1527" s="10"/>
      <c r="K1527" s="46"/>
      <c r="L1527" s="10"/>
      <c r="M1527" s="20"/>
      <c r="N1527" s="20"/>
      <c r="O1527" s="20"/>
      <c r="P1527" s="20"/>
    </row>
    <row r="1528">
      <c r="A1528" s="23"/>
      <c r="B1528" s="21"/>
      <c r="C1528" s="23"/>
      <c r="D1528" s="24"/>
      <c r="E1528" s="14"/>
      <c r="F1528" s="14"/>
      <c r="G1528" s="14"/>
      <c r="H1528" s="23"/>
      <c r="I1528" s="27"/>
      <c r="J1528" s="23"/>
      <c r="K1528" s="30"/>
      <c r="L1528" s="23"/>
      <c r="M1528" s="20"/>
      <c r="N1528" s="20"/>
      <c r="O1528" s="20"/>
      <c r="P1528" s="20"/>
    </row>
    <row r="1529">
      <c r="A1529" s="10"/>
      <c r="B1529" s="11"/>
      <c r="C1529" s="10"/>
      <c r="D1529" s="13"/>
      <c r="E1529" s="14"/>
      <c r="F1529" s="14"/>
      <c r="G1529" s="14"/>
      <c r="H1529" s="10"/>
      <c r="I1529" s="17"/>
      <c r="J1529" s="10"/>
      <c r="K1529" s="46"/>
      <c r="L1529" s="10"/>
      <c r="M1529" s="20"/>
      <c r="N1529" s="20"/>
      <c r="O1529" s="20"/>
      <c r="P1529" s="20"/>
    </row>
    <row r="1530">
      <c r="A1530" s="23"/>
      <c r="B1530" s="21"/>
      <c r="C1530" s="23"/>
      <c r="D1530" s="24"/>
      <c r="E1530" s="14"/>
      <c r="F1530" s="14"/>
      <c r="G1530" s="14"/>
      <c r="H1530" s="23"/>
      <c r="I1530" s="27"/>
      <c r="J1530" s="23"/>
      <c r="K1530" s="30"/>
      <c r="L1530" s="23"/>
      <c r="M1530" s="20"/>
      <c r="N1530" s="20"/>
      <c r="O1530" s="20"/>
      <c r="P1530" s="20"/>
    </row>
    <row r="1531">
      <c r="A1531" s="10"/>
      <c r="B1531" s="11"/>
      <c r="C1531" s="10"/>
      <c r="D1531" s="13"/>
      <c r="E1531" s="14"/>
      <c r="F1531" s="14"/>
      <c r="G1531" s="14"/>
      <c r="H1531" s="10"/>
      <c r="I1531" s="17"/>
      <c r="J1531" s="10"/>
      <c r="K1531" s="46"/>
      <c r="L1531" s="10"/>
      <c r="M1531" s="20"/>
      <c r="N1531" s="20"/>
      <c r="O1531" s="20"/>
      <c r="P1531" s="20"/>
    </row>
    <row r="1532">
      <c r="A1532" s="23"/>
      <c r="B1532" s="21"/>
      <c r="C1532" s="23"/>
      <c r="D1532" s="24"/>
      <c r="E1532" s="14"/>
      <c r="F1532" s="14"/>
      <c r="G1532" s="14"/>
      <c r="H1532" s="23"/>
      <c r="I1532" s="27"/>
      <c r="J1532" s="23"/>
      <c r="K1532" s="30"/>
      <c r="L1532" s="23"/>
      <c r="M1532" s="20"/>
      <c r="N1532" s="20"/>
      <c r="O1532" s="20"/>
      <c r="P1532" s="20"/>
    </row>
    <row r="1533">
      <c r="A1533" s="10"/>
      <c r="B1533" s="11"/>
      <c r="C1533" s="10"/>
      <c r="D1533" s="13"/>
      <c r="E1533" s="14"/>
      <c r="F1533" s="14"/>
      <c r="G1533" s="14"/>
      <c r="H1533" s="10"/>
      <c r="I1533" s="17"/>
      <c r="J1533" s="10"/>
      <c r="K1533" s="46"/>
      <c r="L1533" s="10"/>
      <c r="M1533" s="20"/>
      <c r="N1533" s="20"/>
      <c r="O1533" s="20"/>
      <c r="P1533" s="20"/>
    </row>
    <row r="1534">
      <c r="A1534" s="23"/>
      <c r="B1534" s="21"/>
      <c r="C1534" s="23"/>
      <c r="D1534" s="24"/>
      <c r="E1534" s="14"/>
      <c r="F1534" s="14"/>
      <c r="G1534" s="14"/>
      <c r="H1534" s="23"/>
      <c r="I1534" s="27"/>
      <c r="J1534" s="23"/>
      <c r="K1534" s="30"/>
      <c r="L1534" s="23"/>
      <c r="M1534" s="20"/>
      <c r="N1534" s="20"/>
      <c r="O1534" s="20"/>
      <c r="P1534" s="20"/>
    </row>
    <row r="1535">
      <c r="A1535" s="10"/>
      <c r="B1535" s="11"/>
      <c r="C1535" s="10"/>
      <c r="D1535" s="13"/>
      <c r="E1535" s="14"/>
      <c r="F1535" s="14"/>
      <c r="G1535" s="14"/>
      <c r="H1535" s="10"/>
      <c r="I1535" s="17"/>
      <c r="J1535" s="10"/>
      <c r="K1535" s="46"/>
      <c r="L1535" s="10"/>
      <c r="M1535" s="20"/>
      <c r="N1535" s="20"/>
      <c r="O1535" s="20"/>
      <c r="P1535" s="20"/>
    </row>
    <row r="1536">
      <c r="A1536" s="23"/>
      <c r="B1536" s="21"/>
      <c r="C1536" s="23"/>
      <c r="D1536" s="24"/>
      <c r="E1536" s="14"/>
      <c r="F1536" s="14"/>
      <c r="G1536" s="14"/>
      <c r="H1536" s="23"/>
      <c r="I1536" s="27"/>
      <c r="J1536" s="23"/>
      <c r="K1536" s="30"/>
      <c r="L1536" s="23"/>
      <c r="M1536" s="20"/>
      <c r="N1536" s="20"/>
      <c r="O1536" s="20"/>
      <c r="P1536" s="20"/>
    </row>
    <row r="1537">
      <c r="A1537" s="10"/>
      <c r="B1537" s="11"/>
      <c r="C1537" s="10"/>
      <c r="D1537" s="13"/>
      <c r="E1537" s="14"/>
      <c r="F1537" s="14"/>
      <c r="G1537" s="14"/>
      <c r="H1537" s="10"/>
      <c r="I1537" s="17"/>
      <c r="J1537" s="10"/>
      <c r="K1537" s="46"/>
      <c r="L1537" s="10"/>
      <c r="M1537" s="20"/>
      <c r="N1537" s="20"/>
      <c r="O1537" s="20"/>
      <c r="P1537" s="20"/>
    </row>
    <row r="1538">
      <c r="A1538" s="23"/>
      <c r="B1538" s="21"/>
      <c r="C1538" s="23"/>
      <c r="D1538" s="24"/>
      <c r="E1538" s="14"/>
      <c r="F1538" s="14"/>
      <c r="G1538" s="14"/>
      <c r="H1538" s="23"/>
      <c r="I1538" s="27"/>
      <c r="J1538" s="23"/>
      <c r="K1538" s="30"/>
      <c r="L1538" s="23"/>
      <c r="M1538" s="20"/>
      <c r="N1538" s="20"/>
      <c r="O1538" s="20"/>
      <c r="P1538" s="20"/>
    </row>
    <row r="1539">
      <c r="A1539" s="10"/>
      <c r="B1539" s="11"/>
      <c r="C1539" s="10"/>
      <c r="D1539" s="13"/>
      <c r="E1539" s="14"/>
      <c r="F1539" s="14"/>
      <c r="G1539" s="14"/>
      <c r="H1539" s="10"/>
      <c r="I1539" s="17"/>
      <c r="J1539" s="10"/>
      <c r="K1539" s="46"/>
      <c r="L1539" s="10"/>
      <c r="M1539" s="20"/>
      <c r="N1539" s="20"/>
      <c r="O1539" s="20"/>
      <c r="P1539" s="20"/>
    </row>
    <row r="1540">
      <c r="A1540" s="23"/>
      <c r="B1540" s="21"/>
      <c r="C1540" s="23"/>
      <c r="D1540" s="24"/>
      <c r="E1540" s="14"/>
      <c r="F1540" s="14"/>
      <c r="G1540" s="14"/>
      <c r="H1540" s="23"/>
      <c r="I1540" s="27"/>
      <c r="J1540" s="23"/>
      <c r="K1540" s="30"/>
      <c r="L1540" s="23"/>
      <c r="M1540" s="20"/>
      <c r="N1540" s="20"/>
      <c r="O1540" s="20"/>
      <c r="P1540" s="20"/>
    </row>
    <row r="1541">
      <c r="A1541" s="10"/>
      <c r="B1541" s="11"/>
      <c r="C1541" s="10"/>
      <c r="D1541" s="13"/>
      <c r="E1541" s="14"/>
      <c r="F1541" s="14"/>
      <c r="G1541" s="14"/>
      <c r="H1541" s="10"/>
      <c r="I1541" s="17"/>
      <c r="J1541" s="10"/>
      <c r="K1541" s="46"/>
      <c r="L1541" s="10"/>
      <c r="M1541" s="20"/>
      <c r="N1541" s="20"/>
      <c r="O1541" s="20"/>
      <c r="P1541" s="20"/>
    </row>
    <row r="1542">
      <c r="A1542" s="23"/>
      <c r="B1542" s="21"/>
      <c r="C1542" s="23"/>
      <c r="D1542" s="24"/>
      <c r="E1542" s="14"/>
      <c r="F1542" s="14"/>
      <c r="G1542" s="14"/>
      <c r="H1542" s="23"/>
      <c r="I1542" s="27"/>
      <c r="J1542" s="23"/>
      <c r="K1542" s="30"/>
      <c r="L1542" s="23"/>
      <c r="M1542" s="20"/>
      <c r="N1542" s="20"/>
      <c r="O1542" s="20"/>
      <c r="P1542" s="20"/>
    </row>
    <row r="1543">
      <c r="A1543" s="10"/>
      <c r="B1543" s="11"/>
      <c r="C1543" s="10"/>
      <c r="D1543" s="13"/>
      <c r="E1543" s="14"/>
      <c r="F1543" s="14"/>
      <c r="G1543" s="14"/>
      <c r="H1543" s="10"/>
      <c r="I1543" s="17"/>
      <c r="J1543" s="10"/>
      <c r="K1543" s="46"/>
      <c r="L1543" s="10"/>
      <c r="M1543" s="20"/>
      <c r="N1543" s="20"/>
      <c r="O1543" s="20"/>
      <c r="P1543" s="20"/>
    </row>
    <row r="1544">
      <c r="A1544" s="23"/>
      <c r="B1544" s="21"/>
      <c r="C1544" s="23"/>
      <c r="D1544" s="24"/>
      <c r="E1544" s="14"/>
      <c r="F1544" s="14"/>
      <c r="G1544" s="14"/>
      <c r="H1544" s="23"/>
      <c r="I1544" s="27"/>
      <c r="J1544" s="23"/>
      <c r="K1544" s="30"/>
      <c r="L1544" s="23"/>
      <c r="M1544" s="20"/>
      <c r="N1544" s="20"/>
      <c r="O1544" s="20"/>
      <c r="P1544" s="20"/>
    </row>
    <row r="1545">
      <c r="A1545" s="10"/>
      <c r="B1545" s="11"/>
      <c r="C1545" s="10"/>
      <c r="D1545" s="13"/>
      <c r="E1545" s="14"/>
      <c r="F1545" s="14"/>
      <c r="G1545" s="14"/>
      <c r="H1545" s="10"/>
      <c r="I1545" s="17"/>
      <c r="J1545" s="10"/>
      <c r="K1545" s="46"/>
      <c r="L1545" s="10"/>
      <c r="M1545" s="20"/>
      <c r="N1545" s="20"/>
      <c r="O1545" s="20"/>
      <c r="P1545" s="20"/>
    </row>
    <row r="1546">
      <c r="A1546" s="23"/>
      <c r="B1546" s="21"/>
      <c r="C1546" s="23"/>
      <c r="D1546" s="24"/>
      <c r="E1546" s="14"/>
      <c r="F1546" s="14"/>
      <c r="G1546" s="14"/>
      <c r="H1546" s="23"/>
      <c r="I1546" s="27"/>
      <c r="J1546" s="23"/>
      <c r="K1546" s="30"/>
      <c r="L1546" s="23"/>
      <c r="M1546" s="20"/>
      <c r="N1546" s="20"/>
      <c r="O1546" s="20"/>
      <c r="P1546" s="20"/>
    </row>
    <row r="1547">
      <c r="A1547" s="10"/>
      <c r="B1547" s="11"/>
      <c r="C1547" s="10"/>
      <c r="D1547" s="13"/>
      <c r="E1547" s="14"/>
      <c r="F1547" s="14"/>
      <c r="G1547" s="14"/>
      <c r="H1547" s="10"/>
      <c r="I1547" s="17"/>
      <c r="J1547" s="10"/>
      <c r="K1547" s="46"/>
      <c r="L1547" s="10"/>
      <c r="M1547" s="20"/>
      <c r="N1547" s="20"/>
      <c r="O1547" s="20"/>
      <c r="P1547" s="20"/>
    </row>
    <row r="1548">
      <c r="A1548" s="23"/>
      <c r="B1548" s="21"/>
      <c r="C1548" s="23"/>
      <c r="D1548" s="24"/>
      <c r="E1548" s="14"/>
      <c r="F1548" s="14"/>
      <c r="G1548" s="14"/>
      <c r="H1548" s="23"/>
      <c r="I1548" s="27"/>
      <c r="J1548" s="23"/>
      <c r="K1548" s="30"/>
      <c r="L1548" s="23"/>
      <c r="M1548" s="20"/>
      <c r="N1548" s="20"/>
      <c r="O1548" s="20"/>
      <c r="P1548" s="20"/>
    </row>
    <row r="1549">
      <c r="A1549" s="10"/>
      <c r="B1549" s="11"/>
      <c r="C1549" s="10"/>
      <c r="D1549" s="13"/>
      <c r="E1549" s="14"/>
      <c r="F1549" s="14"/>
      <c r="G1549" s="14"/>
      <c r="H1549" s="10"/>
      <c r="I1549" s="17"/>
      <c r="J1549" s="10"/>
      <c r="K1549" s="46"/>
      <c r="L1549" s="10"/>
      <c r="M1549" s="20"/>
      <c r="N1549" s="20"/>
      <c r="O1549" s="20"/>
      <c r="P1549" s="20"/>
    </row>
    <row r="1550">
      <c r="A1550" s="23"/>
      <c r="B1550" s="21"/>
      <c r="C1550" s="23"/>
      <c r="D1550" s="24"/>
      <c r="E1550" s="14"/>
      <c r="F1550" s="14"/>
      <c r="G1550" s="14"/>
      <c r="H1550" s="23"/>
      <c r="I1550" s="27"/>
      <c r="J1550" s="23"/>
      <c r="K1550" s="30"/>
      <c r="L1550" s="23"/>
      <c r="M1550" s="20"/>
      <c r="N1550" s="20"/>
      <c r="O1550" s="20"/>
      <c r="P1550" s="20"/>
    </row>
    <row r="1551">
      <c r="A1551" s="10"/>
      <c r="B1551" s="11"/>
      <c r="C1551" s="10"/>
      <c r="D1551" s="13"/>
      <c r="E1551" s="14"/>
      <c r="F1551" s="14"/>
      <c r="G1551" s="14"/>
      <c r="H1551" s="10"/>
      <c r="I1551" s="17"/>
      <c r="J1551" s="10"/>
      <c r="K1551" s="46"/>
      <c r="L1551" s="10"/>
      <c r="M1551" s="20"/>
      <c r="N1551" s="20"/>
      <c r="O1551" s="20"/>
      <c r="P1551" s="20"/>
    </row>
    <row r="1552">
      <c r="A1552" s="23"/>
      <c r="B1552" s="21"/>
      <c r="C1552" s="23"/>
      <c r="D1552" s="24"/>
      <c r="E1552" s="14"/>
      <c r="F1552" s="14"/>
      <c r="G1552" s="14"/>
      <c r="H1552" s="23"/>
      <c r="I1552" s="27"/>
      <c r="J1552" s="23"/>
      <c r="K1552" s="30"/>
      <c r="L1552" s="23"/>
      <c r="M1552" s="20"/>
      <c r="N1552" s="20"/>
      <c r="O1552" s="20"/>
      <c r="P1552" s="20"/>
    </row>
    <row r="1553">
      <c r="A1553" s="10"/>
      <c r="B1553" s="11"/>
      <c r="C1553" s="10"/>
      <c r="D1553" s="13"/>
      <c r="E1553" s="14"/>
      <c r="F1553" s="14"/>
      <c r="G1553" s="14"/>
      <c r="H1553" s="10"/>
      <c r="I1553" s="17"/>
      <c r="J1553" s="10"/>
      <c r="K1553" s="46"/>
      <c r="L1553" s="10"/>
      <c r="M1553" s="20"/>
      <c r="N1553" s="20"/>
      <c r="O1553" s="20"/>
      <c r="P1553" s="20"/>
    </row>
    <row r="1554">
      <c r="A1554" s="23"/>
      <c r="B1554" s="21"/>
      <c r="C1554" s="23"/>
      <c r="D1554" s="24"/>
      <c r="E1554" s="14"/>
      <c r="F1554" s="14"/>
      <c r="G1554" s="14"/>
      <c r="H1554" s="23"/>
      <c r="I1554" s="27"/>
      <c r="J1554" s="23"/>
      <c r="K1554" s="30"/>
      <c r="L1554" s="23"/>
      <c r="M1554" s="20"/>
      <c r="N1554" s="20"/>
      <c r="O1554" s="20"/>
      <c r="P1554" s="20"/>
    </row>
    <row r="1555">
      <c r="A1555" s="10"/>
      <c r="B1555" s="11"/>
      <c r="C1555" s="10"/>
      <c r="D1555" s="13"/>
      <c r="E1555" s="14"/>
      <c r="F1555" s="14"/>
      <c r="G1555" s="14"/>
      <c r="H1555" s="10"/>
      <c r="I1555" s="17"/>
      <c r="J1555" s="10"/>
      <c r="K1555" s="46"/>
      <c r="L1555" s="10"/>
      <c r="M1555" s="20"/>
      <c r="N1555" s="20"/>
      <c r="O1555" s="20"/>
      <c r="P1555" s="20"/>
    </row>
    <row r="1556">
      <c r="A1556" s="23"/>
      <c r="B1556" s="21"/>
      <c r="C1556" s="23"/>
      <c r="D1556" s="24"/>
      <c r="E1556" s="14"/>
      <c r="F1556" s="14"/>
      <c r="G1556" s="14"/>
      <c r="H1556" s="23"/>
      <c r="I1556" s="27"/>
      <c r="J1556" s="23"/>
      <c r="K1556" s="30"/>
      <c r="L1556" s="23"/>
      <c r="M1556" s="20"/>
      <c r="N1556" s="20"/>
      <c r="O1556" s="20"/>
      <c r="P1556" s="20"/>
    </row>
    <row r="1557">
      <c r="A1557" s="10"/>
      <c r="B1557" s="11"/>
      <c r="C1557" s="10"/>
      <c r="D1557" s="13"/>
      <c r="E1557" s="14"/>
      <c r="F1557" s="14"/>
      <c r="G1557" s="14"/>
      <c r="H1557" s="10"/>
      <c r="I1557" s="17"/>
      <c r="J1557" s="10"/>
      <c r="K1557" s="46"/>
      <c r="L1557" s="10"/>
      <c r="M1557" s="20"/>
      <c r="N1557" s="20"/>
      <c r="O1557" s="20"/>
      <c r="P1557" s="20"/>
    </row>
    <row r="1558">
      <c r="A1558" s="23"/>
      <c r="B1558" s="21"/>
      <c r="C1558" s="23"/>
      <c r="D1558" s="24"/>
      <c r="E1558" s="14"/>
      <c r="F1558" s="14"/>
      <c r="G1558" s="14"/>
      <c r="H1558" s="23"/>
      <c r="I1558" s="27"/>
      <c r="J1558" s="23"/>
      <c r="K1558" s="30"/>
      <c r="L1558" s="23"/>
      <c r="M1558" s="20"/>
      <c r="N1558" s="20"/>
      <c r="O1558" s="20"/>
      <c r="P1558" s="20"/>
    </row>
    <row r="1559">
      <c r="A1559" s="10"/>
      <c r="B1559" s="11"/>
      <c r="C1559" s="10"/>
      <c r="D1559" s="13"/>
      <c r="E1559" s="14"/>
      <c r="F1559" s="14"/>
      <c r="G1559" s="14"/>
      <c r="H1559" s="10"/>
      <c r="I1559" s="17"/>
      <c r="J1559" s="10"/>
      <c r="K1559" s="46"/>
      <c r="L1559" s="10"/>
      <c r="M1559" s="20"/>
      <c r="N1559" s="20"/>
      <c r="O1559" s="20"/>
      <c r="P1559" s="20"/>
    </row>
    <row r="1560">
      <c r="A1560" s="23"/>
      <c r="B1560" s="21"/>
      <c r="C1560" s="23"/>
      <c r="D1560" s="24"/>
      <c r="E1560" s="14"/>
      <c r="F1560" s="14"/>
      <c r="G1560" s="14"/>
      <c r="H1560" s="23"/>
      <c r="I1560" s="27"/>
      <c r="J1560" s="23"/>
      <c r="K1560" s="30"/>
      <c r="L1560" s="23"/>
      <c r="M1560" s="20"/>
      <c r="N1560" s="20"/>
      <c r="O1560" s="20"/>
      <c r="P1560" s="20"/>
    </row>
    <row r="1561">
      <c r="A1561" s="10"/>
      <c r="B1561" s="11"/>
      <c r="C1561" s="10"/>
      <c r="D1561" s="13"/>
      <c r="E1561" s="14"/>
      <c r="F1561" s="14"/>
      <c r="G1561" s="14"/>
      <c r="H1561" s="10"/>
      <c r="I1561" s="17"/>
      <c r="J1561" s="10"/>
      <c r="K1561" s="46"/>
      <c r="L1561" s="10"/>
      <c r="M1561" s="20"/>
      <c r="N1561" s="20"/>
      <c r="O1561" s="20"/>
      <c r="P1561" s="20"/>
    </row>
    <row r="1562">
      <c r="A1562" s="23"/>
      <c r="B1562" s="21"/>
      <c r="C1562" s="23"/>
      <c r="D1562" s="24"/>
      <c r="E1562" s="14"/>
      <c r="F1562" s="14"/>
      <c r="G1562" s="14"/>
      <c r="H1562" s="23"/>
      <c r="I1562" s="27"/>
      <c r="J1562" s="23"/>
      <c r="K1562" s="30"/>
      <c r="L1562" s="23"/>
      <c r="M1562" s="20"/>
      <c r="N1562" s="20"/>
      <c r="O1562" s="20"/>
      <c r="P1562" s="20"/>
    </row>
    <row r="1563">
      <c r="A1563" s="10"/>
      <c r="B1563" s="11"/>
      <c r="C1563" s="10"/>
      <c r="D1563" s="13"/>
      <c r="E1563" s="14"/>
      <c r="F1563" s="14"/>
      <c r="G1563" s="14"/>
      <c r="H1563" s="10"/>
      <c r="I1563" s="17"/>
      <c r="J1563" s="10"/>
      <c r="K1563" s="46"/>
      <c r="L1563" s="10"/>
      <c r="M1563" s="20"/>
      <c r="N1563" s="20"/>
      <c r="O1563" s="20"/>
      <c r="P1563" s="20"/>
    </row>
    <row r="1564">
      <c r="A1564" s="23"/>
      <c r="B1564" s="21"/>
      <c r="C1564" s="23"/>
      <c r="D1564" s="24"/>
      <c r="E1564" s="14"/>
      <c r="F1564" s="14"/>
      <c r="G1564" s="14"/>
      <c r="H1564" s="23"/>
      <c r="I1564" s="27"/>
      <c r="J1564" s="23"/>
      <c r="K1564" s="30"/>
      <c r="L1564" s="23"/>
      <c r="M1564" s="20"/>
      <c r="N1564" s="20"/>
      <c r="O1564" s="20"/>
      <c r="P1564" s="20"/>
    </row>
    <row r="1565">
      <c r="A1565" s="10"/>
      <c r="B1565" s="11"/>
      <c r="C1565" s="10"/>
      <c r="D1565" s="13"/>
      <c r="E1565" s="14"/>
      <c r="F1565" s="14"/>
      <c r="G1565" s="14"/>
      <c r="H1565" s="10"/>
      <c r="I1565" s="17"/>
      <c r="J1565" s="10"/>
      <c r="K1565" s="46"/>
      <c r="L1565" s="10"/>
      <c r="M1565" s="20"/>
      <c r="N1565" s="20"/>
      <c r="O1565" s="20"/>
      <c r="P1565" s="20"/>
    </row>
    <row r="1566">
      <c r="A1566" s="23"/>
      <c r="B1566" s="21"/>
      <c r="C1566" s="23"/>
      <c r="D1566" s="24"/>
      <c r="E1566" s="14"/>
      <c r="F1566" s="14"/>
      <c r="G1566" s="14"/>
      <c r="H1566" s="23"/>
      <c r="I1566" s="27"/>
      <c r="J1566" s="23"/>
      <c r="K1566" s="30"/>
      <c r="L1566" s="23"/>
      <c r="M1566" s="20"/>
      <c r="N1566" s="20"/>
      <c r="O1566" s="20"/>
      <c r="P1566" s="20"/>
    </row>
    <row r="1567">
      <c r="A1567" s="10"/>
      <c r="B1567" s="11"/>
      <c r="C1567" s="10"/>
      <c r="D1567" s="13"/>
      <c r="E1567" s="14"/>
      <c r="F1567" s="14"/>
      <c r="G1567" s="14"/>
      <c r="H1567" s="10"/>
      <c r="I1567" s="17"/>
      <c r="J1567" s="10"/>
      <c r="K1567" s="46"/>
      <c r="L1567" s="10"/>
      <c r="M1567" s="20"/>
      <c r="N1567" s="20"/>
      <c r="O1567" s="20"/>
      <c r="P1567" s="20"/>
    </row>
    <row r="1568">
      <c r="A1568" s="23"/>
      <c r="B1568" s="21"/>
      <c r="C1568" s="23"/>
      <c r="D1568" s="24"/>
      <c r="E1568" s="14"/>
      <c r="F1568" s="14"/>
      <c r="G1568" s="14"/>
      <c r="H1568" s="23"/>
      <c r="I1568" s="27"/>
      <c r="J1568" s="23"/>
      <c r="K1568" s="30"/>
      <c r="L1568" s="23"/>
      <c r="M1568" s="20"/>
      <c r="N1568" s="20"/>
      <c r="O1568" s="20"/>
      <c r="P1568" s="20"/>
    </row>
    <row r="1569">
      <c r="A1569" s="10"/>
      <c r="B1569" s="11"/>
      <c r="C1569" s="10"/>
      <c r="D1569" s="13"/>
      <c r="E1569" s="14"/>
      <c r="F1569" s="14"/>
      <c r="G1569" s="14"/>
      <c r="H1569" s="10"/>
      <c r="I1569" s="17"/>
      <c r="J1569" s="10"/>
      <c r="K1569" s="46"/>
      <c r="L1569" s="10"/>
      <c r="M1569" s="20"/>
      <c r="N1569" s="20"/>
      <c r="O1569" s="20"/>
      <c r="P1569" s="20"/>
    </row>
    <row r="1570">
      <c r="A1570" s="23"/>
      <c r="B1570" s="21"/>
      <c r="C1570" s="23"/>
      <c r="D1570" s="24"/>
      <c r="E1570" s="14"/>
      <c r="F1570" s="14"/>
      <c r="G1570" s="14"/>
      <c r="H1570" s="23"/>
      <c r="I1570" s="27"/>
      <c r="J1570" s="23"/>
      <c r="K1570" s="30"/>
      <c r="L1570" s="23"/>
      <c r="M1570" s="20"/>
      <c r="N1570" s="20"/>
      <c r="O1570" s="20"/>
      <c r="P1570" s="20"/>
    </row>
    <row r="1571">
      <c r="A1571" s="10"/>
      <c r="B1571" s="11"/>
      <c r="C1571" s="10"/>
      <c r="D1571" s="13"/>
      <c r="E1571" s="14"/>
      <c r="F1571" s="14"/>
      <c r="G1571" s="14"/>
      <c r="H1571" s="10"/>
      <c r="I1571" s="17"/>
      <c r="J1571" s="10"/>
      <c r="K1571" s="46"/>
      <c r="L1571" s="10"/>
      <c r="M1571" s="20"/>
      <c r="N1571" s="20"/>
      <c r="O1571" s="20"/>
      <c r="P1571" s="20"/>
    </row>
    <row r="1572">
      <c r="A1572" s="23"/>
      <c r="B1572" s="21"/>
      <c r="C1572" s="23"/>
      <c r="D1572" s="24"/>
      <c r="E1572" s="14"/>
      <c r="F1572" s="14"/>
      <c r="G1572" s="14"/>
      <c r="H1572" s="23"/>
      <c r="I1572" s="27"/>
      <c r="J1572" s="23"/>
      <c r="K1572" s="30"/>
      <c r="L1572" s="23"/>
      <c r="M1572" s="20"/>
      <c r="N1572" s="20"/>
      <c r="O1572" s="20"/>
      <c r="P1572" s="20"/>
    </row>
    <row r="1573">
      <c r="A1573" s="10"/>
      <c r="B1573" s="11"/>
      <c r="C1573" s="10"/>
      <c r="D1573" s="13"/>
      <c r="E1573" s="14"/>
      <c r="F1573" s="14"/>
      <c r="G1573" s="14"/>
      <c r="H1573" s="10"/>
      <c r="I1573" s="17"/>
      <c r="J1573" s="10"/>
      <c r="K1573" s="46"/>
      <c r="L1573" s="10"/>
      <c r="M1573" s="20"/>
      <c r="N1573" s="20"/>
      <c r="O1573" s="20"/>
      <c r="P1573" s="20"/>
    </row>
    <row r="1574">
      <c r="A1574" s="23"/>
      <c r="B1574" s="21"/>
      <c r="C1574" s="23"/>
      <c r="D1574" s="24"/>
      <c r="E1574" s="14"/>
      <c r="F1574" s="14"/>
      <c r="G1574" s="14"/>
      <c r="H1574" s="23"/>
      <c r="I1574" s="27"/>
      <c r="J1574" s="23"/>
      <c r="K1574" s="30"/>
      <c r="L1574" s="23"/>
      <c r="M1574" s="20"/>
      <c r="N1574" s="20"/>
      <c r="O1574" s="20"/>
      <c r="P1574" s="20"/>
    </row>
    <row r="1575">
      <c r="A1575" s="10"/>
      <c r="B1575" s="11"/>
      <c r="C1575" s="10"/>
      <c r="D1575" s="13"/>
      <c r="E1575" s="14"/>
      <c r="F1575" s="14"/>
      <c r="G1575" s="14"/>
      <c r="H1575" s="10"/>
      <c r="I1575" s="17"/>
      <c r="J1575" s="10"/>
      <c r="K1575" s="46"/>
      <c r="L1575" s="10"/>
      <c r="M1575" s="20"/>
      <c r="N1575" s="20"/>
      <c r="O1575" s="20"/>
      <c r="P1575" s="20"/>
    </row>
    <row r="1576">
      <c r="A1576" s="23"/>
      <c r="B1576" s="21"/>
      <c r="C1576" s="23"/>
      <c r="D1576" s="24"/>
      <c r="E1576" s="14"/>
      <c r="F1576" s="14"/>
      <c r="G1576" s="14"/>
      <c r="H1576" s="23"/>
      <c r="I1576" s="27"/>
      <c r="J1576" s="23"/>
      <c r="K1576" s="30"/>
      <c r="L1576" s="23"/>
      <c r="M1576" s="20"/>
      <c r="N1576" s="20"/>
      <c r="O1576" s="20"/>
      <c r="P1576" s="20"/>
    </row>
    <row r="1577">
      <c r="A1577" s="10"/>
      <c r="B1577" s="11"/>
      <c r="C1577" s="10"/>
      <c r="D1577" s="13"/>
      <c r="E1577" s="14"/>
      <c r="F1577" s="14"/>
      <c r="G1577" s="14"/>
      <c r="H1577" s="10"/>
      <c r="I1577" s="17"/>
      <c r="J1577" s="10"/>
      <c r="K1577" s="46"/>
      <c r="L1577" s="10"/>
      <c r="M1577" s="20"/>
      <c r="N1577" s="20"/>
      <c r="O1577" s="20"/>
      <c r="P1577" s="20"/>
    </row>
    <row r="1578">
      <c r="A1578" s="23"/>
      <c r="B1578" s="21"/>
      <c r="C1578" s="23"/>
      <c r="D1578" s="24"/>
      <c r="E1578" s="14"/>
      <c r="F1578" s="14"/>
      <c r="G1578" s="14"/>
      <c r="H1578" s="23"/>
      <c r="I1578" s="27"/>
      <c r="J1578" s="23"/>
      <c r="K1578" s="30"/>
      <c r="L1578" s="23"/>
      <c r="M1578" s="20"/>
      <c r="N1578" s="20"/>
      <c r="O1578" s="20"/>
      <c r="P1578" s="20"/>
    </row>
    <row r="1579">
      <c r="A1579" s="10"/>
      <c r="B1579" s="11"/>
      <c r="C1579" s="10"/>
      <c r="D1579" s="13"/>
      <c r="E1579" s="14"/>
      <c r="F1579" s="14"/>
      <c r="G1579" s="14"/>
      <c r="H1579" s="10"/>
      <c r="I1579" s="17"/>
      <c r="J1579" s="10"/>
      <c r="K1579" s="46"/>
      <c r="L1579" s="10"/>
      <c r="M1579" s="20"/>
      <c r="N1579" s="20"/>
      <c r="O1579" s="20"/>
      <c r="P1579" s="20"/>
    </row>
    <row r="1580">
      <c r="A1580" s="23"/>
      <c r="B1580" s="21"/>
      <c r="C1580" s="23"/>
      <c r="D1580" s="24"/>
      <c r="E1580" s="14"/>
      <c r="F1580" s="14"/>
      <c r="G1580" s="14"/>
      <c r="H1580" s="23"/>
      <c r="I1580" s="27"/>
      <c r="J1580" s="23"/>
      <c r="K1580" s="30"/>
      <c r="L1580" s="23"/>
      <c r="M1580" s="20"/>
      <c r="N1580" s="20"/>
      <c r="O1580" s="20"/>
      <c r="P1580" s="20"/>
    </row>
    <row r="1581">
      <c r="A1581" s="10"/>
      <c r="B1581" s="11"/>
      <c r="C1581" s="10"/>
      <c r="D1581" s="13"/>
      <c r="E1581" s="14"/>
      <c r="F1581" s="14"/>
      <c r="G1581" s="14"/>
      <c r="H1581" s="10"/>
      <c r="I1581" s="17"/>
      <c r="J1581" s="10"/>
      <c r="K1581" s="46"/>
      <c r="L1581" s="10"/>
      <c r="M1581" s="20"/>
      <c r="N1581" s="20"/>
      <c r="O1581" s="20"/>
      <c r="P1581" s="20"/>
    </row>
    <row r="1582">
      <c r="A1582" s="23"/>
      <c r="B1582" s="21"/>
      <c r="C1582" s="23"/>
      <c r="D1582" s="24"/>
      <c r="E1582" s="14"/>
      <c r="F1582" s="14"/>
      <c r="G1582" s="14"/>
      <c r="H1582" s="23"/>
      <c r="I1582" s="27"/>
      <c r="J1582" s="23"/>
      <c r="K1582" s="30"/>
      <c r="L1582" s="23"/>
      <c r="M1582" s="20"/>
      <c r="N1582" s="20"/>
      <c r="O1582" s="20"/>
      <c r="P1582" s="20"/>
    </row>
    <row r="1583">
      <c r="A1583" s="10"/>
      <c r="B1583" s="11"/>
      <c r="C1583" s="10"/>
      <c r="D1583" s="13"/>
      <c r="E1583" s="14"/>
      <c r="F1583" s="14"/>
      <c r="G1583" s="14"/>
      <c r="H1583" s="10"/>
      <c r="I1583" s="17"/>
      <c r="J1583" s="10"/>
      <c r="K1583" s="46"/>
      <c r="L1583" s="10"/>
      <c r="M1583" s="20"/>
      <c r="N1583" s="20"/>
      <c r="O1583" s="20"/>
      <c r="P1583" s="20"/>
    </row>
    <row r="1584">
      <c r="A1584" s="23"/>
      <c r="B1584" s="21"/>
      <c r="C1584" s="23"/>
      <c r="D1584" s="24"/>
      <c r="E1584" s="14"/>
      <c r="F1584" s="14"/>
      <c r="G1584" s="14"/>
      <c r="H1584" s="23"/>
      <c r="I1584" s="27"/>
      <c r="J1584" s="23"/>
      <c r="K1584" s="30"/>
      <c r="L1584" s="23"/>
      <c r="M1584" s="20"/>
      <c r="N1584" s="20"/>
      <c r="O1584" s="20"/>
      <c r="P1584" s="20"/>
    </row>
    <row r="1585">
      <c r="A1585" s="10"/>
      <c r="B1585" s="11"/>
      <c r="C1585" s="10"/>
      <c r="D1585" s="13"/>
      <c r="E1585" s="14"/>
      <c r="F1585" s="14"/>
      <c r="G1585" s="14"/>
      <c r="H1585" s="10"/>
      <c r="I1585" s="17"/>
      <c r="J1585" s="10"/>
      <c r="K1585" s="46"/>
      <c r="L1585" s="10"/>
      <c r="M1585" s="20"/>
      <c r="N1585" s="20"/>
      <c r="O1585" s="20"/>
      <c r="P1585" s="20"/>
    </row>
    <row r="1586">
      <c r="A1586" s="23"/>
      <c r="B1586" s="21"/>
      <c r="C1586" s="23"/>
      <c r="D1586" s="24"/>
      <c r="E1586" s="14"/>
      <c r="F1586" s="14"/>
      <c r="G1586" s="14"/>
      <c r="H1586" s="23"/>
      <c r="I1586" s="27"/>
      <c r="J1586" s="23"/>
      <c r="K1586" s="30"/>
      <c r="L1586" s="23"/>
      <c r="M1586" s="20"/>
      <c r="N1586" s="20"/>
      <c r="O1586" s="20"/>
      <c r="P1586" s="20"/>
    </row>
    <row r="1587">
      <c r="A1587" s="10"/>
      <c r="B1587" s="11"/>
      <c r="C1587" s="10"/>
      <c r="D1587" s="13"/>
      <c r="E1587" s="14"/>
      <c r="F1587" s="14"/>
      <c r="G1587" s="14"/>
      <c r="H1587" s="10"/>
      <c r="I1587" s="17"/>
      <c r="J1587" s="10"/>
      <c r="K1587" s="46"/>
      <c r="L1587" s="10"/>
      <c r="M1587" s="20"/>
      <c r="N1587" s="20"/>
      <c r="O1587" s="20"/>
      <c r="P1587" s="20"/>
    </row>
    <row r="1588">
      <c r="A1588" s="23"/>
      <c r="B1588" s="21"/>
      <c r="C1588" s="23"/>
      <c r="D1588" s="24"/>
      <c r="E1588" s="14"/>
      <c r="F1588" s="14"/>
      <c r="G1588" s="14"/>
      <c r="H1588" s="23"/>
      <c r="I1588" s="27"/>
      <c r="J1588" s="23"/>
      <c r="K1588" s="30"/>
      <c r="L1588" s="23"/>
      <c r="M1588" s="20"/>
      <c r="N1588" s="20"/>
      <c r="O1588" s="20"/>
      <c r="P1588" s="20"/>
    </row>
    <row r="1589">
      <c r="A1589" s="10"/>
      <c r="B1589" s="11"/>
      <c r="C1589" s="10"/>
      <c r="D1589" s="13"/>
      <c r="E1589" s="14"/>
      <c r="F1589" s="14"/>
      <c r="G1589" s="14"/>
      <c r="H1589" s="10"/>
      <c r="I1589" s="17"/>
      <c r="J1589" s="10"/>
      <c r="K1589" s="46"/>
      <c r="L1589" s="10"/>
      <c r="M1589" s="20"/>
      <c r="N1589" s="20"/>
      <c r="O1589" s="20"/>
      <c r="P1589" s="20"/>
    </row>
    <row r="1590">
      <c r="A1590" s="23"/>
      <c r="B1590" s="21"/>
      <c r="C1590" s="23"/>
      <c r="D1590" s="24"/>
      <c r="E1590" s="14"/>
      <c r="F1590" s="14"/>
      <c r="G1590" s="14"/>
      <c r="H1590" s="23"/>
      <c r="I1590" s="27"/>
      <c r="J1590" s="23"/>
      <c r="K1590" s="30"/>
      <c r="L1590" s="23"/>
      <c r="M1590" s="20"/>
      <c r="N1590" s="20"/>
      <c r="O1590" s="20"/>
      <c r="P1590" s="20"/>
    </row>
    <row r="1591">
      <c r="A1591" s="10"/>
      <c r="B1591" s="11"/>
      <c r="C1591" s="10"/>
      <c r="D1591" s="13"/>
      <c r="E1591" s="14"/>
      <c r="F1591" s="14"/>
      <c r="G1591" s="14"/>
      <c r="H1591" s="10"/>
      <c r="I1591" s="17"/>
      <c r="J1591" s="10"/>
      <c r="K1591" s="46"/>
      <c r="L1591" s="10"/>
      <c r="M1591" s="20"/>
      <c r="N1591" s="20"/>
      <c r="O1591" s="20"/>
      <c r="P1591" s="20"/>
    </row>
    <row r="1592">
      <c r="A1592" s="23"/>
      <c r="B1592" s="21"/>
      <c r="C1592" s="23"/>
      <c r="D1592" s="24"/>
      <c r="E1592" s="14"/>
      <c r="F1592" s="14"/>
      <c r="G1592" s="14"/>
      <c r="H1592" s="23"/>
      <c r="I1592" s="27"/>
      <c r="J1592" s="23"/>
      <c r="K1592" s="30"/>
      <c r="L1592" s="23"/>
      <c r="M1592" s="20"/>
      <c r="N1592" s="20"/>
      <c r="O1592" s="20"/>
      <c r="P1592" s="20"/>
    </row>
    <row r="1593">
      <c r="A1593" s="10"/>
      <c r="B1593" s="11"/>
      <c r="C1593" s="10"/>
      <c r="D1593" s="13"/>
      <c r="E1593" s="14"/>
      <c r="F1593" s="14"/>
      <c r="G1593" s="14"/>
      <c r="H1593" s="10"/>
      <c r="I1593" s="17"/>
      <c r="J1593" s="10"/>
      <c r="K1593" s="46"/>
      <c r="L1593" s="10"/>
      <c r="M1593" s="20"/>
      <c r="N1593" s="20"/>
      <c r="O1593" s="20"/>
      <c r="P1593" s="20"/>
    </row>
    <row r="1594">
      <c r="A1594" s="23"/>
      <c r="B1594" s="21"/>
      <c r="C1594" s="23"/>
      <c r="D1594" s="24"/>
      <c r="E1594" s="14"/>
      <c r="F1594" s="14"/>
      <c r="G1594" s="14"/>
      <c r="H1594" s="23"/>
      <c r="I1594" s="27"/>
      <c r="J1594" s="23"/>
      <c r="K1594" s="30"/>
      <c r="L1594" s="23"/>
      <c r="M1594" s="20"/>
      <c r="N1594" s="20"/>
      <c r="O1594" s="20"/>
      <c r="P1594" s="20"/>
    </row>
    <row r="1595">
      <c r="A1595" s="10"/>
      <c r="B1595" s="11"/>
      <c r="C1595" s="10"/>
      <c r="D1595" s="13"/>
      <c r="E1595" s="14"/>
      <c r="F1595" s="14"/>
      <c r="G1595" s="14"/>
      <c r="H1595" s="10"/>
      <c r="I1595" s="17"/>
      <c r="J1595" s="10"/>
      <c r="K1595" s="46"/>
      <c r="L1595" s="10"/>
      <c r="M1595" s="20"/>
      <c r="N1595" s="20"/>
      <c r="O1595" s="20"/>
      <c r="P1595" s="20"/>
    </row>
    <row r="1596">
      <c r="A1596" s="23"/>
      <c r="B1596" s="21"/>
      <c r="C1596" s="23"/>
      <c r="D1596" s="24"/>
      <c r="E1596" s="14"/>
      <c r="F1596" s="14"/>
      <c r="G1596" s="14"/>
      <c r="H1596" s="23"/>
      <c r="I1596" s="27"/>
      <c r="J1596" s="23"/>
      <c r="K1596" s="30"/>
      <c r="L1596" s="23"/>
      <c r="M1596" s="20"/>
      <c r="N1596" s="20"/>
      <c r="O1596" s="20"/>
      <c r="P1596" s="20"/>
    </row>
    <row r="1597">
      <c r="A1597" s="10"/>
      <c r="B1597" s="11"/>
      <c r="C1597" s="10"/>
      <c r="D1597" s="13"/>
      <c r="E1597" s="14"/>
      <c r="F1597" s="14"/>
      <c r="G1597" s="14"/>
      <c r="H1597" s="10"/>
      <c r="I1597" s="17"/>
      <c r="J1597" s="10"/>
      <c r="K1597" s="46"/>
      <c r="L1597" s="10"/>
      <c r="M1597" s="20"/>
      <c r="N1597" s="20"/>
      <c r="O1597" s="20"/>
      <c r="P1597" s="20"/>
    </row>
    <row r="1598">
      <c r="A1598" s="23"/>
      <c r="B1598" s="21"/>
      <c r="C1598" s="23"/>
      <c r="D1598" s="24"/>
      <c r="E1598" s="14"/>
      <c r="F1598" s="14"/>
      <c r="G1598" s="14"/>
      <c r="H1598" s="23"/>
      <c r="I1598" s="27"/>
      <c r="J1598" s="23"/>
      <c r="K1598" s="30"/>
      <c r="L1598" s="23"/>
      <c r="M1598" s="20"/>
      <c r="N1598" s="20"/>
      <c r="O1598" s="20"/>
      <c r="P1598" s="20"/>
    </row>
    <row r="1599">
      <c r="A1599" s="10"/>
      <c r="B1599" s="11"/>
      <c r="C1599" s="10"/>
      <c r="D1599" s="13"/>
      <c r="E1599" s="14"/>
      <c r="F1599" s="14"/>
      <c r="G1599" s="14"/>
      <c r="H1599" s="10"/>
      <c r="I1599" s="17"/>
      <c r="J1599" s="10"/>
      <c r="K1599" s="46"/>
      <c r="L1599" s="10"/>
      <c r="M1599" s="20"/>
      <c r="N1599" s="20"/>
      <c r="O1599" s="20"/>
      <c r="P1599" s="20"/>
    </row>
    <row r="1600">
      <c r="A1600" s="23"/>
      <c r="B1600" s="21"/>
      <c r="C1600" s="23"/>
      <c r="D1600" s="24"/>
      <c r="E1600" s="14"/>
      <c r="F1600" s="14"/>
      <c r="G1600" s="14"/>
      <c r="H1600" s="23"/>
      <c r="I1600" s="27"/>
      <c r="J1600" s="23"/>
      <c r="K1600" s="30"/>
      <c r="L1600" s="23"/>
      <c r="M1600" s="20"/>
      <c r="N1600" s="20"/>
      <c r="O1600" s="20"/>
      <c r="P1600" s="20"/>
    </row>
    <row r="1601">
      <c r="A1601" s="10"/>
      <c r="B1601" s="11"/>
      <c r="C1601" s="10"/>
      <c r="D1601" s="13"/>
      <c r="E1601" s="14"/>
      <c r="F1601" s="14"/>
      <c r="G1601" s="14"/>
      <c r="H1601" s="10"/>
      <c r="I1601" s="17"/>
      <c r="J1601" s="10"/>
      <c r="K1601" s="46"/>
      <c r="L1601" s="10"/>
      <c r="M1601" s="20"/>
      <c r="N1601" s="20"/>
      <c r="O1601" s="20"/>
      <c r="P1601" s="20"/>
    </row>
    <row r="1602">
      <c r="A1602" s="23"/>
      <c r="B1602" s="21"/>
      <c r="C1602" s="23"/>
      <c r="D1602" s="24"/>
      <c r="E1602" s="14"/>
      <c r="F1602" s="14"/>
      <c r="G1602" s="14"/>
      <c r="H1602" s="23"/>
      <c r="I1602" s="27"/>
      <c r="J1602" s="23"/>
      <c r="K1602" s="30"/>
      <c r="L1602" s="23"/>
      <c r="M1602" s="20"/>
      <c r="N1602" s="20"/>
      <c r="O1602" s="20"/>
      <c r="P1602" s="20"/>
    </row>
    <row r="1603">
      <c r="A1603" s="10"/>
      <c r="B1603" s="11"/>
      <c r="C1603" s="10"/>
      <c r="D1603" s="13"/>
      <c r="E1603" s="14"/>
      <c r="F1603" s="14"/>
      <c r="G1603" s="14"/>
      <c r="H1603" s="10"/>
      <c r="I1603" s="17"/>
      <c r="J1603" s="10"/>
      <c r="K1603" s="46"/>
      <c r="L1603" s="10"/>
      <c r="M1603" s="20"/>
      <c r="N1603" s="20"/>
      <c r="O1603" s="20"/>
      <c r="P1603" s="20"/>
    </row>
    <row r="1604">
      <c r="A1604" s="23"/>
      <c r="B1604" s="21"/>
      <c r="C1604" s="23"/>
      <c r="D1604" s="24"/>
      <c r="E1604" s="14"/>
      <c r="F1604" s="14"/>
      <c r="G1604" s="14"/>
      <c r="H1604" s="23"/>
      <c r="I1604" s="27"/>
      <c r="J1604" s="23"/>
      <c r="K1604" s="30"/>
      <c r="L1604" s="23"/>
      <c r="M1604" s="20"/>
      <c r="N1604" s="20"/>
      <c r="O1604" s="20"/>
      <c r="P1604" s="20"/>
    </row>
    <row r="1605">
      <c r="A1605" s="10"/>
      <c r="B1605" s="11"/>
      <c r="C1605" s="10"/>
      <c r="D1605" s="13"/>
      <c r="E1605" s="14"/>
      <c r="F1605" s="14"/>
      <c r="G1605" s="14"/>
      <c r="H1605" s="10"/>
      <c r="I1605" s="17"/>
      <c r="J1605" s="10"/>
      <c r="K1605" s="46"/>
      <c r="L1605" s="10"/>
      <c r="M1605" s="20"/>
      <c r="N1605" s="20"/>
      <c r="O1605" s="20"/>
      <c r="P1605" s="20"/>
    </row>
    <row r="1606">
      <c r="A1606" s="23"/>
      <c r="B1606" s="21"/>
      <c r="C1606" s="23"/>
      <c r="D1606" s="24"/>
      <c r="E1606" s="14"/>
      <c r="F1606" s="14"/>
      <c r="G1606" s="14"/>
      <c r="H1606" s="23"/>
      <c r="I1606" s="27"/>
      <c r="J1606" s="23"/>
      <c r="K1606" s="30"/>
      <c r="L1606" s="23"/>
      <c r="M1606" s="20"/>
      <c r="N1606" s="20"/>
      <c r="O1606" s="20"/>
      <c r="P1606" s="20"/>
    </row>
    <row r="1607">
      <c r="A1607" s="10"/>
      <c r="B1607" s="11"/>
      <c r="C1607" s="10"/>
      <c r="D1607" s="13"/>
      <c r="E1607" s="14"/>
      <c r="F1607" s="14"/>
      <c r="G1607" s="14"/>
      <c r="H1607" s="10"/>
      <c r="I1607" s="17"/>
      <c r="J1607" s="10"/>
      <c r="K1607" s="46"/>
      <c r="L1607" s="10"/>
      <c r="M1607" s="20"/>
      <c r="N1607" s="20"/>
      <c r="O1607" s="20"/>
      <c r="P1607" s="20"/>
    </row>
    <row r="1608">
      <c r="A1608" s="23"/>
      <c r="B1608" s="21"/>
      <c r="C1608" s="23"/>
      <c r="D1608" s="24"/>
      <c r="E1608" s="14"/>
      <c r="F1608" s="14"/>
      <c r="G1608" s="14"/>
      <c r="H1608" s="23"/>
      <c r="I1608" s="27"/>
      <c r="J1608" s="23"/>
      <c r="K1608" s="30"/>
      <c r="L1608" s="23"/>
      <c r="M1608" s="20"/>
      <c r="N1608" s="20"/>
      <c r="O1608" s="20"/>
      <c r="P1608" s="20"/>
    </row>
    <row r="1609">
      <c r="A1609" s="10"/>
      <c r="B1609" s="11"/>
      <c r="C1609" s="10"/>
      <c r="D1609" s="13"/>
      <c r="E1609" s="14"/>
      <c r="F1609" s="14"/>
      <c r="G1609" s="14"/>
      <c r="H1609" s="10"/>
      <c r="I1609" s="17"/>
      <c r="J1609" s="10"/>
      <c r="K1609" s="46"/>
      <c r="L1609" s="10"/>
      <c r="M1609" s="20"/>
      <c r="N1609" s="20"/>
      <c r="O1609" s="20"/>
      <c r="P1609" s="20"/>
    </row>
    <row r="1610">
      <c r="A1610" s="23"/>
      <c r="B1610" s="21"/>
      <c r="C1610" s="23"/>
      <c r="D1610" s="24"/>
      <c r="E1610" s="14"/>
      <c r="F1610" s="14"/>
      <c r="G1610" s="14"/>
      <c r="H1610" s="23"/>
      <c r="I1610" s="27"/>
      <c r="J1610" s="23"/>
      <c r="K1610" s="30"/>
      <c r="L1610" s="23"/>
      <c r="M1610" s="20"/>
      <c r="N1610" s="20"/>
      <c r="O1610" s="20"/>
      <c r="P1610" s="20"/>
    </row>
    <row r="1611">
      <c r="A1611" s="10"/>
      <c r="B1611" s="11"/>
      <c r="C1611" s="10"/>
      <c r="D1611" s="13"/>
      <c r="E1611" s="14"/>
      <c r="F1611" s="14"/>
      <c r="G1611" s="14"/>
      <c r="H1611" s="10"/>
      <c r="I1611" s="17"/>
      <c r="J1611" s="10"/>
      <c r="K1611" s="46"/>
      <c r="L1611" s="10"/>
      <c r="M1611" s="20"/>
      <c r="N1611" s="20"/>
      <c r="O1611" s="20"/>
      <c r="P1611" s="20"/>
    </row>
    <row r="1612">
      <c r="A1612" s="23"/>
      <c r="B1612" s="21"/>
      <c r="C1612" s="23"/>
      <c r="D1612" s="24"/>
      <c r="E1612" s="14"/>
      <c r="F1612" s="14"/>
      <c r="G1612" s="14"/>
      <c r="H1612" s="23"/>
      <c r="I1612" s="27"/>
      <c r="J1612" s="23"/>
      <c r="K1612" s="30"/>
      <c r="L1612" s="23"/>
      <c r="M1612" s="20"/>
      <c r="N1612" s="20"/>
      <c r="O1612" s="20"/>
      <c r="P1612" s="20"/>
    </row>
    <row r="1613">
      <c r="A1613" s="10"/>
      <c r="B1613" s="11"/>
      <c r="C1613" s="10"/>
      <c r="D1613" s="13"/>
      <c r="E1613" s="14"/>
      <c r="F1613" s="14"/>
      <c r="G1613" s="14"/>
      <c r="H1613" s="10"/>
      <c r="I1613" s="17"/>
      <c r="J1613" s="10"/>
      <c r="K1613" s="46"/>
      <c r="L1613" s="10"/>
      <c r="M1613" s="20"/>
      <c r="N1613" s="20"/>
      <c r="O1613" s="20"/>
      <c r="P1613" s="20"/>
    </row>
    <row r="1614">
      <c r="A1614" s="23"/>
      <c r="B1614" s="21"/>
      <c r="C1614" s="23"/>
      <c r="D1614" s="24"/>
      <c r="E1614" s="14"/>
      <c r="F1614" s="14"/>
      <c r="G1614" s="14"/>
      <c r="H1614" s="23"/>
      <c r="I1614" s="27"/>
      <c r="J1614" s="23"/>
      <c r="K1614" s="30"/>
      <c r="L1614" s="23"/>
      <c r="M1614" s="20"/>
      <c r="N1614" s="20"/>
      <c r="O1614" s="20"/>
      <c r="P1614" s="20"/>
    </row>
    <row r="1615">
      <c r="A1615" s="10"/>
      <c r="B1615" s="11"/>
      <c r="C1615" s="10"/>
      <c r="D1615" s="13"/>
      <c r="E1615" s="14"/>
      <c r="F1615" s="14"/>
      <c r="G1615" s="14"/>
      <c r="H1615" s="10"/>
      <c r="I1615" s="17"/>
      <c r="J1615" s="10"/>
      <c r="K1615" s="46"/>
      <c r="L1615" s="10"/>
      <c r="M1615" s="20"/>
      <c r="N1615" s="20"/>
      <c r="O1615" s="20"/>
      <c r="P1615" s="20"/>
    </row>
    <row r="1616">
      <c r="A1616" s="23"/>
      <c r="B1616" s="21"/>
      <c r="C1616" s="23"/>
      <c r="D1616" s="24"/>
      <c r="E1616" s="14"/>
      <c r="F1616" s="14"/>
      <c r="G1616" s="14"/>
      <c r="H1616" s="23"/>
      <c r="I1616" s="27"/>
      <c r="J1616" s="23"/>
      <c r="K1616" s="30"/>
      <c r="L1616" s="23"/>
      <c r="M1616" s="20"/>
      <c r="N1616" s="20"/>
      <c r="O1616" s="20"/>
      <c r="P1616" s="20"/>
    </row>
    <row r="1617">
      <c r="A1617" s="10"/>
      <c r="B1617" s="11"/>
      <c r="C1617" s="10"/>
      <c r="D1617" s="13"/>
      <c r="E1617" s="14"/>
      <c r="F1617" s="14"/>
      <c r="G1617" s="14"/>
      <c r="H1617" s="10"/>
      <c r="I1617" s="17"/>
      <c r="J1617" s="10"/>
      <c r="K1617" s="46"/>
      <c r="L1617" s="10"/>
      <c r="M1617" s="20"/>
      <c r="N1617" s="20"/>
      <c r="O1617" s="20"/>
      <c r="P1617" s="20"/>
    </row>
    <row r="1618">
      <c r="A1618" s="23"/>
      <c r="B1618" s="21"/>
      <c r="C1618" s="23"/>
      <c r="D1618" s="24"/>
      <c r="E1618" s="14"/>
      <c r="F1618" s="14"/>
      <c r="G1618" s="14"/>
      <c r="H1618" s="23"/>
      <c r="I1618" s="27"/>
      <c r="J1618" s="23"/>
      <c r="K1618" s="30"/>
      <c r="L1618" s="23"/>
      <c r="M1618" s="20"/>
      <c r="N1618" s="20"/>
      <c r="O1618" s="20"/>
      <c r="P1618" s="20"/>
    </row>
    <row r="1619">
      <c r="A1619" s="10"/>
      <c r="B1619" s="11"/>
      <c r="C1619" s="10"/>
      <c r="D1619" s="13"/>
      <c r="E1619" s="14"/>
      <c r="F1619" s="14"/>
      <c r="G1619" s="14"/>
      <c r="H1619" s="10"/>
      <c r="I1619" s="17"/>
      <c r="J1619" s="10"/>
      <c r="K1619" s="46"/>
      <c r="L1619" s="10"/>
      <c r="M1619" s="20"/>
      <c r="N1619" s="20"/>
      <c r="O1619" s="20"/>
      <c r="P1619" s="20"/>
    </row>
    <row r="1620">
      <c r="A1620" s="23"/>
      <c r="B1620" s="21"/>
      <c r="C1620" s="23"/>
      <c r="D1620" s="24"/>
      <c r="E1620" s="14"/>
      <c r="F1620" s="14"/>
      <c r="G1620" s="14"/>
      <c r="H1620" s="23"/>
      <c r="I1620" s="27"/>
      <c r="J1620" s="23"/>
      <c r="K1620" s="30"/>
      <c r="L1620" s="23"/>
      <c r="M1620" s="20"/>
      <c r="N1620" s="20"/>
      <c r="O1620" s="20"/>
      <c r="P1620" s="20"/>
    </row>
    <row r="1621">
      <c r="A1621" s="10"/>
      <c r="B1621" s="11"/>
      <c r="C1621" s="10"/>
      <c r="D1621" s="13"/>
      <c r="E1621" s="14"/>
      <c r="F1621" s="14"/>
      <c r="G1621" s="14"/>
      <c r="H1621" s="10"/>
      <c r="I1621" s="17"/>
      <c r="J1621" s="10"/>
      <c r="K1621" s="46"/>
      <c r="L1621" s="10"/>
      <c r="M1621" s="20"/>
      <c r="N1621" s="20"/>
      <c r="O1621" s="20"/>
      <c r="P1621" s="20"/>
    </row>
    <row r="1622">
      <c r="A1622" s="23"/>
      <c r="B1622" s="21"/>
      <c r="C1622" s="23"/>
      <c r="D1622" s="24"/>
      <c r="E1622" s="14"/>
      <c r="F1622" s="14"/>
      <c r="G1622" s="14"/>
      <c r="H1622" s="23"/>
      <c r="I1622" s="27"/>
      <c r="J1622" s="23"/>
      <c r="K1622" s="30"/>
      <c r="L1622" s="23"/>
      <c r="M1622" s="20"/>
      <c r="N1622" s="20"/>
      <c r="O1622" s="20"/>
      <c r="P1622" s="20"/>
    </row>
    <row r="1623">
      <c r="A1623" s="10"/>
      <c r="B1623" s="11"/>
      <c r="C1623" s="10"/>
      <c r="D1623" s="13"/>
      <c r="E1623" s="14"/>
      <c r="F1623" s="14"/>
      <c r="G1623" s="14"/>
      <c r="H1623" s="10"/>
      <c r="I1623" s="17"/>
      <c r="J1623" s="10"/>
      <c r="K1623" s="46"/>
      <c r="L1623" s="10"/>
      <c r="M1623" s="20"/>
      <c r="N1623" s="20"/>
      <c r="O1623" s="20"/>
      <c r="P1623" s="20"/>
    </row>
    <row r="1624">
      <c r="A1624" s="23"/>
      <c r="B1624" s="21"/>
      <c r="C1624" s="23"/>
      <c r="D1624" s="24"/>
      <c r="E1624" s="14"/>
      <c r="F1624" s="14"/>
      <c r="G1624" s="14"/>
      <c r="H1624" s="23"/>
      <c r="I1624" s="27"/>
      <c r="J1624" s="23"/>
      <c r="K1624" s="30"/>
      <c r="L1624" s="23"/>
      <c r="M1624" s="20"/>
      <c r="N1624" s="20"/>
      <c r="O1624" s="20"/>
      <c r="P1624" s="20"/>
    </row>
    <row r="1625">
      <c r="A1625" s="10"/>
      <c r="B1625" s="11"/>
      <c r="C1625" s="10"/>
      <c r="D1625" s="13"/>
      <c r="E1625" s="14"/>
      <c r="F1625" s="14"/>
      <c r="G1625" s="14"/>
      <c r="H1625" s="10"/>
      <c r="I1625" s="17"/>
      <c r="J1625" s="10"/>
      <c r="K1625" s="46"/>
      <c r="L1625" s="10"/>
      <c r="M1625" s="20"/>
      <c r="N1625" s="20"/>
      <c r="O1625" s="20"/>
      <c r="P1625" s="20"/>
    </row>
    <row r="1626">
      <c r="A1626" s="23"/>
      <c r="B1626" s="21"/>
      <c r="C1626" s="23"/>
      <c r="D1626" s="24"/>
      <c r="E1626" s="14"/>
      <c r="F1626" s="14"/>
      <c r="G1626" s="14"/>
      <c r="H1626" s="23"/>
      <c r="I1626" s="27"/>
      <c r="J1626" s="23"/>
      <c r="K1626" s="30"/>
      <c r="L1626" s="23"/>
      <c r="M1626" s="20"/>
      <c r="N1626" s="20"/>
      <c r="O1626" s="20"/>
      <c r="P1626" s="20"/>
    </row>
    <row r="1627">
      <c r="A1627" s="10"/>
      <c r="B1627" s="11"/>
      <c r="C1627" s="10"/>
      <c r="D1627" s="13"/>
      <c r="E1627" s="14"/>
      <c r="F1627" s="14"/>
      <c r="G1627" s="14"/>
      <c r="H1627" s="10"/>
      <c r="I1627" s="17"/>
      <c r="J1627" s="10"/>
      <c r="K1627" s="46"/>
      <c r="L1627" s="10"/>
      <c r="M1627" s="20"/>
      <c r="N1627" s="20"/>
      <c r="O1627" s="20"/>
      <c r="P1627" s="20"/>
    </row>
    <row r="1628">
      <c r="A1628" s="23"/>
      <c r="B1628" s="21"/>
      <c r="C1628" s="23"/>
      <c r="D1628" s="24"/>
      <c r="E1628" s="14"/>
      <c r="F1628" s="14"/>
      <c r="G1628" s="14"/>
      <c r="H1628" s="23"/>
      <c r="I1628" s="27"/>
      <c r="J1628" s="23"/>
      <c r="K1628" s="30"/>
      <c r="L1628" s="23"/>
      <c r="M1628" s="20"/>
      <c r="N1628" s="20"/>
      <c r="O1628" s="20"/>
      <c r="P1628" s="20"/>
    </row>
    <row r="1629">
      <c r="A1629" s="10"/>
      <c r="B1629" s="11"/>
      <c r="C1629" s="10"/>
      <c r="D1629" s="13"/>
      <c r="E1629" s="14"/>
      <c r="F1629" s="14"/>
      <c r="G1629" s="14"/>
      <c r="H1629" s="10"/>
      <c r="I1629" s="17"/>
      <c r="J1629" s="10"/>
      <c r="K1629" s="46"/>
      <c r="L1629" s="10"/>
      <c r="M1629" s="20"/>
      <c r="N1629" s="20"/>
      <c r="O1629" s="20"/>
      <c r="P1629" s="20"/>
    </row>
    <row r="1630">
      <c r="A1630" s="23"/>
      <c r="B1630" s="21"/>
      <c r="C1630" s="23"/>
      <c r="D1630" s="24"/>
      <c r="E1630" s="14"/>
      <c r="F1630" s="14"/>
      <c r="G1630" s="14"/>
      <c r="H1630" s="23"/>
      <c r="I1630" s="27"/>
      <c r="J1630" s="23"/>
      <c r="K1630" s="30"/>
      <c r="L1630" s="23"/>
      <c r="M1630" s="20"/>
      <c r="N1630" s="20"/>
      <c r="O1630" s="20"/>
      <c r="P1630" s="20"/>
    </row>
    <row r="1631">
      <c r="A1631" s="10"/>
      <c r="B1631" s="11"/>
      <c r="C1631" s="10"/>
      <c r="D1631" s="13"/>
      <c r="E1631" s="14"/>
      <c r="F1631" s="14"/>
      <c r="G1631" s="14"/>
      <c r="H1631" s="10"/>
      <c r="I1631" s="17"/>
      <c r="J1631" s="10"/>
      <c r="K1631" s="46"/>
      <c r="L1631" s="10"/>
      <c r="M1631" s="20"/>
      <c r="N1631" s="20"/>
      <c r="O1631" s="20"/>
      <c r="P1631" s="20"/>
    </row>
    <row r="1632">
      <c r="A1632" s="23"/>
      <c r="B1632" s="21"/>
      <c r="C1632" s="23"/>
      <c r="D1632" s="24"/>
      <c r="E1632" s="14"/>
      <c r="F1632" s="14"/>
      <c r="G1632" s="14"/>
      <c r="H1632" s="23"/>
      <c r="I1632" s="27"/>
      <c r="J1632" s="23"/>
      <c r="K1632" s="30"/>
      <c r="L1632" s="23"/>
      <c r="M1632" s="20"/>
      <c r="N1632" s="20"/>
      <c r="O1632" s="20"/>
      <c r="P1632" s="20"/>
    </row>
    <row r="1633">
      <c r="A1633" s="10"/>
      <c r="B1633" s="11"/>
      <c r="C1633" s="10"/>
      <c r="D1633" s="13"/>
      <c r="E1633" s="14"/>
      <c r="F1633" s="14"/>
      <c r="G1633" s="14"/>
      <c r="H1633" s="10"/>
      <c r="I1633" s="17"/>
      <c r="J1633" s="10"/>
      <c r="K1633" s="46"/>
      <c r="L1633" s="10"/>
      <c r="M1633" s="20"/>
      <c r="N1633" s="20"/>
      <c r="O1633" s="20"/>
      <c r="P1633" s="20"/>
    </row>
    <row r="1634">
      <c r="A1634" s="23"/>
      <c r="B1634" s="21"/>
      <c r="C1634" s="23"/>
      <c r="D1634" s="24"/>
      <c r="E1634" s="14"/>
      <c r="F1634" s="14"/>
      <c r="G1634" s="14"/>
      <c r="H1634" s="23"/>
      <c r="I1634" s="27"/>
      <c r="J1634" s="23"/>
      <c r="K1634" s="30"/>
      <c r="L1634" s="23"/>
      <c r="M1634" s="20"/>
      <c r="N1634" s="20"/>
      <c r="O1634" s="20"/>
      <c r="P1634" s="20"/>
    </row>
    <row r="1635">
      <c r="A1635" s="10"/>
      <c r="B1635" s="11"/>
      <c r="C1635" s="10"/>
      <c r="D1635" s="13"/>
      <c r="E1635" s="14"/>
      <c r="F1635" s="14"/>
      <c r="G1635" s="14"/>
      <c r="H1635" s="10"/>
      <c r="I1635" s="17"/>
      <c r="J1635" s="10"/>
      <c r="K1635" s="46"/>
      <c r="L1635" s="10"/>
      <c r="M1635" s="20"/>
      <c r="N1635" s="20"/>
      <c r="O1635" s="20"/>
      <c r="P1635" s="20"/>
    </row>
    <row r="1636">
      <c r="A1636" s="23"/>
      <c r="B1636" s="21"/>
      <c r="C1636" s="23"/>
      <c r="D1636" s="24"/>
      <c r="E1636" s="14"/>
      <c r="F1636" s="14"/>
      <c r="G1636" s="14"/>
      <c r="H1636" s="23"/>
      <c r="I1636" s="27"/>
      <c r="J1636" s="23"/>
      <c r="K1636" s="30"/>
      <c r="L1636" s="23"/>
      <c r="M1636" s="20"/>
      <c r="N1636" s="20"/>
      <c r="O1636" s="20"/>
      <c r="P1636" s="20"/>
    </row>
    <row r="1637">
      <c r="A1637" s="10"/>
      <c r="B1637" s="11"/>
      <c r="C1637" s="10"/>
      <c r="D1637" s="13"/>
      <c r="E1637" s="14"/>
      <c r="F1637" s="14"/>
      <c r="G1637" s="14"/>
      <c r="H1637" s="10"/>
      <c r="I1637" s="17"/>
      <c r="J1637" s="10"/>
      <c r="K1637" s="46"/>
      <c r="L1637" s="10"/>
      <c r="M1637" s="20"/>
      <c r="N1637" s="20"/>
      <c r="O1637" s="20"/>
      <c r="P1637" s="20"/>
    </row>
    <row r="1638">
      <c r="A1638" s="23"/>
      <c r="B1638" s="21"/>
      <c r="C1638" s="23"/>
      <c r="D1638" s="24"/>
      <c r="E1638" s="14"/>
      <c r="F1638" s="14"/>
      <c r="G1638" s="14"/>
      <c r="H1638" s="23"/>
      <c r="I1638" s="27"/>
      <c r="J1638" s="23"/>
      <c r="K1638" s="30"/>
      <c r="L1638" s="23"/>
      <c r="M1638" s="20"/>
      <c r="N1638" s="20"/>
      <c r="O1638" s="20"/>
      <c r="P1638" s="20"/>
    </row>
    <row r="1639">
      <c r="A1639" s="10"/>
      <c r="B1639" s="11"/>
      <c r="C1639" s="10"/>
      <c r="D1639" s="13"/>
      <c r="E1639" s="14"/>
      <c r="F1639" s="14"/>
      <c r="G1639" s="14"/>
      <c r="H1639" s="10"/>
      <c r="I1639" s="17"/>
      <c r="J1639" s="10"/>
      <c r="K1639" s="46"/>
      <c r="L1639" s="10"/>
      <c r="M1639" s="20"/>
      <c r="N1639" s="20"/>
      <c r="O1639" s="20"/>
      <c r="P1639" s="20"/>
    </row>
    <row r="1640">
      <c r="A1640" s="23"/>
      <c r="B1640" s="21"/>
      <c r="C1640" s="23"/>
      <c r="D1640" s="24"/>
      <c r="E1640" s="14"/>
      <c r="F1640" s="14"/>
      <c r="G1640" s="14"/>
      <c r="H1640" s="23"/>
      <c r="I1640" s="27"/>
      <c r="J1640" s="23"/>
      <c r="K1640" s="30"/>
      <c r="L1640" s="23"/>
      <c r="M1640" s="20"/>
      <c r="N1640" s="20"/>
      <c r="O1640" s="20"/>
      <c r="P1640" s="20"/>
    </row>
    <row r="1641">
      <c r="A1641" s="10"/>
      <c r="B1641" s="11"/>
      <c r="C1641" s="10"/>
      <c r="D1641" s="13"/>
      <c r="E1641" s="14"/>
      <c r="F1641" s="14"/>
      <c r="G1641" s="14"/>
      <c r="H1641" s="10"/>
      <c r="I1641" s="17"/>
      <c r="J1641" s="10"/>
      <c r="K1641" s="46"/>
      <c r="L1641" s="10"/>
      <c r="M1641" s="20"/>
      <c r="N1641" s="20"/>
      <c r="O1641" s="20"/>
      <c r="P1641" s="20"/>
    </row>
    <row r="1642">
      <c r="A1642" s="23"/>
      <c r="B1642" s="21"/>
      <c r="C1642" s="23"/>
      <c r="D1642" s="24"/>
      <c r="E1642" s="14"/>
      <c r="F1642" s="14"/>
      <c r="G1642" s="14"/>
      <c r="H1642" s="23"/>
      <c r="I1642" s="27"/>
      <c r="J1642" s="23"/>
      <c r="K1642" s="30"/>
      <c r="L1642" s="23"/>
      <c r="M1642" s="20"/>
      <c r="N1642" s="20"/>
      <c r="O1642" s="20"/>
      <c r="P1642" s="20"/>
    </row>
    <row r="1643">
      <c r="A1643" s="10"/>
      <c r="B1643" s="11"/>
      <c r="C1643" s="10"/>
      <c r="D1643" s="13"/>
      <c r="E1643" s="14"/>
      <c r="F1643" s="14"/>
      <c r="G1643" s="14"/>
      <c r="H1643" s="10"/>
      <c r="I1643" s="17"/>
      <c r="J1643" s="10"/>
      <c r="K1643" s="46"/>
      <c r="L1643" s="10"/>
      <c r="M1643" s="20"/>
      <c r="N1643" s="20"/>
      <c r="O1643" s="20"/>
      <c r="P1643" s="20"/>
    </row>
    <row r="1644">
      <c r="A1644" s="23"/>
      <c r="B1644" s="21"/>
      <c r="C1644" s="23"/>
      <c r="D1644" s="24"/>
      <c r="E1644" s="14"/>
      <c r="F1644" s="14"/>
      <c r="G1644" s="14"/>
      <c r="H1644" s="23"/>
      <c r="I1644" s="27"/>
      <c r="J1644" s="23"/>
      <c r="K1644" s="30"/>
      <c r="L1644" s="23"/>
      <c r="M1644" s="20"/>
      <c r="N1644" s="20"/>
      <c r="O1644" s="20"/>
      <c r="P1644" s="20"/>
    </row>
    <row r="1645">
      <c r="A1645" s="10"/>
      <c r="B1645" s="11"/>
      <c r="C1645" s="10"/>
      <c r="D1645" s="13"/>
      <c r="E1645" s="14"/>
      <c r="F1645" s="14"/>
      <c r="G1645" s="14"/>
      <c r="H1645" s="10"/>
      <c r="I1645" s="17"/>
      <c r="J1645" s="10"/>
      <c r="K1645" s="46"/>
      <c r="L1645" s="10"/>
      <c r="M1645" s="20"/>
      <c r="N1645" s="20"/>
      <c r="O1645" s="20"/>
      <c r="P1645" s="20"/>
    </row>
    <row r="1646">
      <c r="A1646" s="23"/>
      <c r="B1646" s="21"/>
      <c r="C1646" s="23"/>
      <c r="D1646" s="24"/>
      <c r="E1646" s="14"/>
      <c r="F1646" s="14"/>
      <c r="G1646" s="14"/>
      <c r="H1646" s="23"/>
      <c r="I1646" s="27"/>
      <c r="J1646" s="23"/>
      <c r="K1646" s="30"/>
      <c r="L1646" s="23"/>
      <c r="M1646" s="20"/>
      <c r="N1646" s="20"/>
      <c r="O1646" s="20"/>
      <c r="P1646" s="20"/>
    </row>
    <row r="1647">
      <c r="A1647" s="10"/>
      <c r="B1647" s="11"/>
      <c r="C1647" s="10"/>
      <c r="D1647" s="13"/>
      <c r="E1647" s="14"/>
      <c r="F1647" s="14"/>
      <c r="G1647" s="14"/>
      <c r="H1647" s="10"/>
      <c r="I1647" s="17"/>
      <c r="J1647" s="10"/>
      <c r="K1647" s="46"/>
      <c r="L1647" s="10"/>
      <c r="M1647" s="20"/>
      <c r="N1647" s="20"/>
      <c r="O1647" s="20"/>
      <c r="P1647" s="20"/>
    </row>
    <row r="1648">
      <c r="A1648" s="23"/>
      <c r="B1648" s="21"/>
      <c r="C1648" s="23"/>
      <c r="D1648" s="24"/>
      <c r="E1648" s="14"/>
      <c r="F1648" s="14"/>
      <c r="G1648" s="14"/>
      <c r="H1648" s="23"/>
      <c r="I1648" s="27"/>
      <c r="J1648" s="23"/>
      <c r="K1648" s="30"/>
      <c r="L1648" s="23"/>
      <c r="M1648" s="20"/>
      <c r="N1648" s="20"/>
      <c r="O1648" s="20"/>
      <c r="P1648" s="20"/>
    </row>
    <row r="1649">
      <c r="A1649" s="10"/>
      <c r="B1649" s="11"/>
      <c r="C1649" s="10"/>
      <c r="D1649" s="13"/>
      <c r="E1649" s="14"/>
      <c r="F1649" s="14"/>
      <c r="G1649" s="14"/>
      <c r="H1649" s="10"/>
      <c r="I1649" s="17"/>
      <c r="J1649" s="10"/>
      <c r="K1649" s="46"/>
      <c r="L1649" s="10"/>
      <c r="M1649" s="20"/>
      <c r="N1649" s="20"/>
      <c r="O1649" s="20"/>
      <c r="P1649" s="20"/>
    </row>
    <row r="1650">
      <c r="A1650" s="23"/>
      <c r="B1650" s="21"/>
      <c r="C1650" s="23"/>
      <c r="D1650" s="24"/>
      <c r="E1650" s="14"/>
      <c r="F1650" s="14"/>
      <c r="G1650" s="14"/>
      <c r="H1650" s="23"/>
      <c r="I1650" s="27"/>
      <c r="J1650" s="23"/>
      <c r="K1650" s="30"/>
      <c r="L1650" s="23"/>
      <c r="M1650" s="20"/>
      <c r="N1650" s="20"/>
      <c r="O1650" s="20"/>
      <c r="P1650" s="20"/>
    </row>
    <row r="1651">
      <c r="A1651" s="10"/>
      <c r="B1651" s="11"/>
      <c r="C1651" s="10"/>
      <c r="D1651" s="13"/>
      <c r="E1651" s="14"/>
      <c r="F1651" s="14"/>
      <c r="G1651" s="14"/>
      <c r="H1651" s="10"/>
      <c r="I1651" s="17"/>
      <c r="J1651" s="10"/>
      <c r="K1651" s="46"/>
      <c r="L1651" s="10"/>
      <c r="M1651" s="20"/>
      <c r="N1651" s="20"/>
      <c r="O1651" s="20"/>
      <c r="P1651" s="20"/>
    </row>
    <row r="1652">
      <c r="A1652" s="23"/>
      <c r="B1652" s="21"/>
      <c r="C1652" s="23"/>
      <c r="D1652" s="24"/>
      <c r="E1652" s="14"/>
      <c r="F1652" s="14"/>
      <c r="G1652" s="14"/>
      <c r="H1652" s="23"/>
      <c r="I1652" s="27"/>
      <c r="J1652" s="23"/>
      <c r="K1652" s="30"/>
      <c r="L1652" s="23"/>
      <c r="M1652" s="20"/>
      <c r="N1652" s="20"/>
      <c r="O1652" s="20"/>
      <c r="P1652" s="20"/>
    </row>
    <row r="1653">
      <c r="A1653" s="10"/>
      <c r="B1653" s="11"/>
      <c r="C1653" s="10"/>
      <c r="D1653" s="13"/>
      <c r="E1653" s="14"/>
      <c r="F1653" s="14"/>
      <c r="G1653" s="14"/>
      <c r="H1653" s="10"/>
      <c r="I1653" s="17"/>
      <c r="J1653" s="10"/>
      <c r="K1653" s="46"/>
      <c r="L1653" s="10"/>
      <c r="M1653" s="20"/>
      <c r="N1653" s="20"/>
      <c r="O1653" s="20"/>
      <c r="P1653" s="20"/>
    </row>
    <row r="1654">
      <c r="A1654" s="23"/>
      <c r="B1654" s="21"/>
      <c r="C1654" s="23"/>
      <c r="D1654" s="24"/>
      <c r="E1654" s="14"/>
      <c r="F1654" s="14"/>
      <c r="G1654" s="14"/>
      <c r="H1654" s="23"/>
      <c r="I1654" s="27"/>
      <c r="J1654" s="23"/>
      <c r="K1654" s="30"/>
      <c r="L1654" s="23"/>
      <c r="M1654" s="20"/>
      <c r="N1654" s="20"/>
      <c r="O1654" s="20"/>
      <c r="P1654" s="20"/>
    </row>
    <row r="1655">
      <c r="A1655" s="10"/>
      <c r="B1655" s="11"/>
      <c r="C1655" s="10"/>
      <c r="D1655" s="13"/>
      <c r="E1655" s="14"/>
      <c r="F1655" s="14"/>
      <c r="G1655" s="14"/>
      <c r="H1655" s="10"/>
      <c r="I1655" s="17"/>
      <c r="J1655" s="10"/>
      <c r="K1655" s="46"/>
      <c r="L1655" s="10"/>
      <c r="M1655" s="20"/>
      <c r="N1655" s="20"/>
      <c r="O1655" s="20"/>
      <c r="P1655" s="20"/>
    </row>
    <row r="1656">
      <c r="A1656" s="23"/>
      <c r="B1656" s="21"/>
      <c r="C1656" s="23"/>
      <c r="D1656" s="24"/>
      <c r="E1656" s="14"/>
      <c r="F1656" s="14"/>
      <c r="G1656" s="14"/>
      <c r="H1656" s="23"/>
      <c r="I1656" s="27"/>
      <c r="J1656" s="23"/>
      <c r="K1656" s="30"/>
      <c r="L1656" s="23"/>
      <c r="M1656" s="20"/>
      <c r="N1656" s="20"/>
      <c r="O1656" s="20"/>
      <c r="P1656" s="20"/>
    </row>
    <row r="1657">
      <c r="A1657" s="10"/>
      <c r="B1657" s="11"/>
      <c r="C1657" s="10"/>
      <c r="D1657" s="13"/>
      <c r="E1657" s="14"/>
      <c r="F1657" s="14"/>
      <c r="G1657" s="14"/>
      <c r="H1657" s="10"/>
      <c r="I1657" s="17"/>
      <c r="J1657" s="10"/>
      <c r="K1657" s="46"/>
      <c r="L1657" s="10"/>
      <c r="M1657" s="20"/>
      <c r="N1657" s="20"/>
      <c r="O1657" s="20"/>
      <c r="P1657" s="20"/>
    </row>
    <row r="1658">
      <c r="A1658" s="23"/>
      <c r="B1658" s="21"/>
      <c r="C1658" s="23"/>
      <c r="D1658" s="24"/>
      <c r="E1658" s="14"/>
      <c r="F1658" s="14"/>
      <c r="G1658" s="14"/>
      <c r="H1658" s="23"/>
      <c r="I1658" s="27"/>
      <c r="J1658" s="23"/>
      <c r="K1658" s="30"/>
      <c r="L1658" s="23"/>
      <c r="M1658" s="20"/>
      <c r="N1658" s="20"/>
      <c r="O1658" s="20"/>
      <c r="P1658" s="20"/>
    </row>
    <row r="1659">
      <c r="A1659" s="10"/>
      <c r="B1659" s="11"/>
      <c r="C1659" s="10"/>
      <c r="D1659" s="13"/>
      <c r="E1659" s="14"/>
      <c r="F1659" s="14"/>
      <c r="G1659" s="14"/>
      <c r="H1659" s="10"/>
      <c r="I1659" s="17"/>
      <c r="J1659" s="10"/>
      <c r="K1659" s="46"/>
      <c r="L1659" s="10"/>
      <c r="M1659" s="20"/>
      <c r="N1659" s="20"/>
      <c r="O1659" s="20"/>
      <c r="P1659" s="20"/>
    </row>
    <row r="1660">
      <c r="A1660" s="23"/>
      <c r="B1660" s="21"/>
      <c r="C1660" s="23"/>
      <c r="D1660" s="24"/>
      <c r="E1660" s="14"/>
      <c r="F1660" s="14"/>
      <c r="G1660" s="14"/>
      <c r="H1660" s="23"/>
      <c r="I1660" s="27"/>
      <c r="J1660" s="23"/>
      <c r="K1660" s="30"/>
      <c r="L1660" s="23"/>
      <c r="M1660" s="20"/>
      <c r="N1660" s="20"/>
      <c r="O1660" s="20"/>
      <c r="P1660" s="20"/>
    </row>
    <row r="1661">
      <c r="A1661" s="10"/>
      <c r="B1661" s="11"/>
      <c r="C1661" s="10"/>
      <c r="D1661" s="13"/>
      <c r="E1661" s="14"/>
      <c r="F1661" s="14"/>
      <c r="G1661" s="14"/>
      <c r="H1661" s="10"/>
      <c r="I1661" s="17"/>
      <c r="J1661" s="10"/>
      <c r="K1661" s="46"/>
      <c r="L1661" s="10"/>
      <c r="M1661" s="20"/>
      <c r="N1661" s="20"/>
      <c r="O1661" s="20"/>
      <c r="P1661" s="20"/>
    </row>
    <row r="1662">
      <c r="A1662" s="23"/>
      <c r="B1662" s="21"/>
      <c r="C1662" s="23"/>
      <c r="D1662" s="24"/>
      <c r="E1662" s="14"/>
      <c r="F1662" s="14"/>
      <c r="G1662" s="14"/>
      <c r="H1662" s="23"/>
      <c r="I1662" s="27"/>
      <c r="J1662" s="23"/>
      <c r="K1662" s="30"/>
      <c r="L1662" s="23"/>
      <c r="M1662" s="20"/>
      <c r="N1662" s="20"/>
      <c r="O1662" s="20"/>
      <c r="P1662" s="20"/>
    </row>
    <row r="1663">
      <c r="A1663" s="10"/>
      <c r="B1663" s="11"/>
      <c r="C1663" s="10"/>
      <c r="D1663" s="13"/>
      <c r="E1663" s="14"/>
      <c r="F1663" s="14"/>
      <c r="G1663" s="14"/>
      <c r="H1663" s="10"/>
      <c r="I1663" s="17"/>
      <c r="J1663" s="10"/>
      <c r="K1663" s="46"/>
      <c r="L1663" s="10"/>
      <c r="M1663" s="20"/>
      <c r="N1663" s="20"/>
      <c r="O1663" s="20"/>
      <c r="P1663" s="20"/>
    </row>
    <row r="1664">
      <c r="A1664" s="23"/>
      <c r="B1664" s="21"/>
      <c r="C1664" s="23"/>
      <c r="D1664" s="24"/>
      <c r="E1664" s="14"/>
      <c r="F1664" s="14"/>
      <c r="G1664" s="14"/>
      <c r="H1664" s="23"/>
      <c r="I1664" s="27"/>
      <c r="J1664" s="23"/>
      <c r="K1664" s="30"/>
      <c r="L1664" s="23"/>
      <c r="M1664" s="20"/>
      <c r="N1664" s="20"/>
      <c r="O1664" s="20"/>
      <c r="P1664" s="20"/>
    </row>
    <row r="1665">
      <c r="A1665" s="10"/>
      <c r="B1665" s="11"/>
      <c r="C1665" s="10"/>
      <c r="D1665" s="13"/>
      <c r="E1665" s="14"/>
      <c r="F1665" s="14"/>
      <c r="G1665" s="14"/>
      <c r="H1665" s="10"/>
      <c r="I1665" s="17"/>
      <c r="J1665" s="10"/>
      <c r="K1665" s="46"/>
      <c r="L1665" s="10"/>
      <c r="M1665" s="20"/>
      <c r="N1665" s="20"/>
      <c r="O1665" s="20"/>
      <c r="P1665" s="20"/>
    </row>
    <row r="1666">
      <c r="A1666" s="23"/>
      <c r="B1666" s="21"/>
      <c r="C1666" s="23"/>
      <c r="D1666" s="24"/>
      <c r="E1666" s="14"/>
      <c r="F1666" s="14"/>
      <c r="G1666" s="14"/>
      <c r="H1666" s="23"/>
      <c r="I1666" s="27"/>
      <c r="J1666" s="23"/>
      <c r="K1666" s="30"/>
      <c r="L1666" s="23"/>
      <c r="M1666" s="20"/>
      <c r="N1666" s="20"/>
      <c r="O1666" s="20"/>
      <c r="P1666" s="20"/>
    </row>
    <row r="1667">
      <c r="A1667" s="10"/>
      <c r="B1667" s="11"/>
      <c r="C1667" s="10"/>
      <c r="D1667" s="13"/>
      <c r="E1667" s="14"/>
      <c r="F1667" s="14"/>
      <c r="G1667" s="14"/>
      <c r="H1667" s="10"/>
      <c r="I1667" s="17"/>
      <c r="J1667" s="10"/>
      <c r="K1667" s="46"/>
      <c r="L1667" s="10"/>
      <c r="M1667" s="20"/>
      <c r="N1667" s="20"/>
      <c r="O1667" s="20"/>
      <c r="P1667" s="20"/>
    </row>
    <row r="1668">
      <c r="A1668" s="23"/>
      <c r="B1668" s="21"/>
      <c r="C1668" s="23"/>
      <c r="D1668" s="24"/>
      <c r="E1668" s="14"/>
      <c r="F1668" s="14"/>
      <c r="G1668" s="14"/>
      <c r="H1668" s="23"/>
      <c r="I1668" s="27"/>
      <c r="J1668" s="23"/>
      <c r="K1668" s="30"/>
      <c r="L1668" s="23"/>
      <c r="M1668" s="20"/>
      <c r="N1668" s="20"/>
      <c r="O1668" s="20"/>
      <c r="P1668" s="20"/>
    </row>
    <row r="1669">
      <c r="A1669" s="10"/>
      <c r="B1669" s="11"/>
      <c r="C1669" s="10"/>
      <c r="D1669" s="13"/>
      <c r="E1669" s="14"/>
      <c r="F1669" s="14"/>
      <c r="G1669" s="14"/>
      <c r="H1669" s="10"/>
      <c r="I1669" s="17"/>
      <c r="J1669" s="10"/>
      <c r="K1669" s="46"/>
      <c r="L1669" s="10"/>
      <c r="M1669" s="20"/>
      <c r="N1669" s="20"/>
      <c r="O1669" s="20"/>
      <c r="P1669" s="20"/>
    </row>
    <row r="1670">
      <c r="A1670" s="23"/>
      <c r="B1670" s="21"/>
      <c r="C1670" s="23"/>
      <c r="D1670" s="24"/>
      <c r="E1670" s="14"/>
      <c r="F1670" s="14"/>
      <c r="G1670" s="14"/>
      <c r="H1670" s="23"/>
      <c r="I1670" s="27"/>
      <c r="J1670" s="23"/>
      <c r="K1670" s="30"/>
      <c r="L1670" s="23"/>
      <c r="M1670" s="20"/>
      <c r="N1670" s="20"/>
      <c r="O1670" s="20"/>
      <c r="P1670" s="20"/>
    </row>
    <row r="1671">
      <c r="A1671" s="10"/>
      <c r="B1671" s="11"/>
      <c r="C1671" s="10"/>
      <c r="D1671" s="13"/>
      <c r="E1671" s="14"/>
      <c r="F1671" s="14"/>
      <c r="G1671" s="14"/>
      <c r="H1671" s="10"/>
      <c r="I1671" s="17"/>
      <c r="J1671" s="10"/>
      <c r="K1671" s="46"/>
      <c r="L1671" s="10"/>
      <c r="M1671" s="20"/>
      <c r="N1671" s="20"/>
      <c r="O1671" s="20"/>
      <c r="P1671" s="20"/>
    </row>
    <row r="1672">
      <c r="A1672" s="23"/>
      <c r="B1672" s="21"/>
      <c r="C1672" s="23"/>
      <c r="D1672" s="24"/>
      <c r="E1672" s="14"/>
      <c r="F1672" s="14"/>
      <c r="G1672" s="14"/>
      <c r="H1672" s="23"/>
      <c r="I1672" s="27"/>
      <c r="J1672" s="23"/>
      <c r="K1672" s="30"/>
      <c r="L1672" s="23"/>
      <c r="M1672" s="20"/>
      <c r="N1672" s="20"/>
      <c r="O1672" s="20"/>
      <c r="P1672" s="20"/>
    </row>
    <row r="1673">
      <c r="A1673" s="10"/>
      <c r="B1673" s="11"/>
      <c r="C1673" s="10"/>
      <c r="D1673" s="13"/>
      <c r="E1673" s="14"/>
      <c r="F1673" s="14"/>
      <c r="G1673" s="14"/>
      <c r="H1673" s="10"/>
      <c r="I1673" s="17"/>
      <c r="J1673" s="10"/>
      <c r="K1673" s="46"/>
      <c r="L1673" s="10"/>
      <c r="M1673" s="20"/>
      <c r="N1673" s="20"/>
      <c r="O1673" s="20"/>
      <c r="P1673" s="20"/>
    </row>
    <row r="1674">
      <c r="A1674" s="23"/>
      <c r="B1674" s="21"/>
      <c r="C1674" s="23"/>
      <c r="D1674" s="24"/>
      <c r="E1674" s="14"/>
      <c r="F1674" s="14"/>
      <c r="G1674" s="14"/>
      <c r="H1674" s="23"/>
      <c r="I1674" s="27"/>
      <c r="J1674" s="23"/>
      <c r="K1674" s="30"/>
      <c r="L1674" s="23"/>
      <c r="M1674" s="20"/>
      <c r="N1674" s="20"/>
      <c r="O1674" s="20"/>
      <c r="P1674" s="20"/>
    </row>
    <row r="1675">
      <c r="A1675" s="10"/>
      <c r="B1675" s="11"/>
      <c r="C1675" s="10"/>
      <c r="D1675" s="13"/>
      <c r="E1675" s="14"/>
      <c r="F1675" s="14"/>
      <c r="G1675" s="14"/>
      <c r="H1675" s="10"/>
      <c r="I1675" s="17"/>
      <c r="J1675" s="10"/>
      <c r="K1675" s="46"/>
      <c r="L1675" s="10"/>
      <c r="M1675" s="20"/>
      <c r="N1675" s="20"/>
      <c r="O1675" s="20"/>
      <c r="P1675" s="20"/>
    </row>
    <row r="1676">
      <c r="A1676" s="23"/>
      <c r="B1676" s="21"/>
      <c r="C1676" s="23"/>
      <c r="D1676" s="24"/>
      <c r="E1676" s="14"/>
      <c r="F1676" s="14"/>
      <c r="G1676" s="14"/>
      <c r="H1676" s="23"/>
      <c r="I1676" s="27"/>
      <c r="J1676" s="23"/>
      <c r="K1676" s="30"/>
      <c r="L1676" s="23"/>
      <c r="M1676" s="20"/>
      <c r="N1676" s="20"/>
      <c r="O1676" s="20"/>
      <c r="P1676" s="20"/>
    </row>
    <row r="1677">
      <c r="A1677" s="10"/>
      <c r="B1677" s="11"/>
      <c r="C1677" s="10"/>
      <c r="D1677" s="13"/>
      <c r="E1677" s="14"/>
      <c r="F1677" s="14"/>
      <c r="G1677" s="14"/>
      <c r="H1677" s="10"/>
      <c r="I1677" s="17"/>
      <c r="J1677" s="10"/>
      <c r="K1677" s="46"/>
      <c r="L1677" s="10"/>
      <c r="M1677" s="20"/>
      <c r="N1677" s="20"/>
      <c r="O1677" s="20"/>
      <c r="P1677" s="20"/>
    </row>
    <row r="1678">
      <c r="A1678" s="23"/>
      <c r="B1678" s="21"/>
      <c r="C1678" s="23"/>
      <c r="D1678" s="24"/>
      <c r="E1678" s="14"/>
      <c r="F1678" s="14"/>
      <c r="G1678" s="14"/>
      <c r="H1678" s="23"/>
      <c r="I1678" s="27"/>
      <c r="J1678" s="23"/>
      <c r="K1678" s="30"/>
      <c r="L1678" s="23"/>
      <c r="M1678" s="20"/>
      <c r="N1678" s="20"/>
      <c r="O1678" s="20"/>
      <c r="P1678" s="20"/>
    </row>
    <row r="1679">
      <c r="A1679" s="10"/>
      <c r="B1679" s="11"/>
      <c r="C1679" s="10"/>
      <c r="D1679" s="13"/>
      <c r="E1679" s="14"/>
      <c r="F1679" s="14"/>
      <c r="G1679" s="14"/>
      <c r="H1679" s="10"/>
      <c r="I1679" s="17"/>
      <c r="J1679" s="10"/>
      <c r="K1679" s="46"/>
      <c r="L1679" s="10"/>
      <c r="M1679" s="20"/>
      <c r="N1679" s="20"/>
      <c r="O1679" s="20"/>
      <c r="P1679" s="20"/>
    </row>
    <row r="1680">
      <c r="A1680" s="23"/>
      <c r="B1680" s="21"/>
      <c r="C1680" s="23"/>
      <c r="D1680" s="24"/>
      <c r="E1680" s="14"/>
      <c r="F1680" s="14"/>
      <c r="G1680" s="14"/>
      <c r="H1680" s="23"/>
      <c r="I1680" s="27"/>
      <c r="J1680" s="23"/>
      <c r="K1680" s="30"/>
      <c r="L1680" s="23"/>
      <c r="M1680" s="20"/>
      <c r="N1680" s="20"/>
      <c r="O1680" s="20"/>
      <c r="P1680" s="20"/>
    </row>
    <row r="1681">
      <c r="A1681" s="10"/>
      <c r="B1681" s="11"/>
      <c r="C1681" s="10"/>
      <c r="D1681" s="13"/>
      <c r="E1681" s="14"/>
      <c r="F1681" s="14"/>
      <c r="G1681" s="14"/>
      <c r="H1681" s="10"/>
      <c r="I1681" s="17"/>
      <c r="J1681" s="10"/>
      <c r="K1681" s="46"/>
      <c r="L1681" s="10"/>
      <c r="M1681" s="20"/>
      <c r="N1681" s="20"/>
      <c r="O1681" s="20"/>
      <c r="P1681" s="20"/>
    </row>
    <row r="1682">
      <c r="A1682" s="23"/>
      <c r="B1682" s="21"/>
      <c r="C1682" s="23"/>
      <c r="D1682" s="24"/>
      <c r="E1682" s="14"/>
      <c r="F1682" s="14"/>
      <c r="G1682" s="14"/>
      <c r="H1682" s="23"/>
      <c r="I1682" s="27"/>
      <c r="J1682" s="23"/>
      <c r="K1682" s="30"/>
      <c r="L1682" s="23"/>
      <c r="M1682" s="20"/>
      <c r="N1682" s="20"/>
      <c r="O1682" s="20"/>
      <c r="P1682" s="20"/>
    </row>
    <row r="1683">
      <c r="A1683" s="10"/>
      <c r="B1683" s="11"/>
      <c r="C1683" s="10"/>
      <c r="D1683" s="13"/>
      <c r="E1683" s="14"/>
      <c r="F1683" s="14"/>
      <c r="G1683" s="14"/>
      <c r="H1683" s="10"/>
      <c r="I1683" s="17"/>
      <c r="J1683" s="10"/>
      <c r="K1683" s="46"/>
      <c r="L1683" s="10"/>
      <c r="M1683" s="20"/>
      <c r="N1683" s="20"/>
      <c r="O1683" s="20"/>
      <c r="P1683" s="20"/>
    </row>
    <row r="1684">
      <c r="A1684" s="23"/>
      <c r="B1684" s="21"/>
      <c r="C1684" s="23"/>
      <c r="D1684" s="24"/>
      <c r="E1684" s="14"/>
      <c r="F1684" s="14"/>
      <c r="G1684" s="14"/>
      <c r="H1684" s="23"/>
      <c r="I1684" s="27"/>
      <c r="J1684" s="23"/>
      <c r="K1684" s="30"/>
      <c r="L1684" s="23"/>
      <c r="M1684" s="20"/>
      <c r="N1684" s="20"/>
      <c r="O1684" s="20"/>
      <c r="P1684" s="20"/>
    </row>
    <row r="1685">
      <c r="A1685" s="10"/>
      <c r="B1685" s="11"/>
      <c r="C1685" s="10"/>
      <c r="D1685" s="13"/>
      <c r="E1685" s="14"/>
      <c r="F1685" s="14"/>
      <c r="G1685" s="14"/>
      <c r="H1685" s="10"/>
      <c r="I1685" s="17"/>
      <c r="J1685" s="10"/>
      <c r="K1685" s="46"/>
      <c r="L1685" s="10"/>
      <c r="M1685" s="20"/>
      <c r="N1685" s="20"/>
      <c r="O1685" s="20"/>
      <c r="P1685" s="20"/>
    </row>
    <row r="1686">
      <c r="A1686" s="23"/>
      <c r="B1686" s="21"/>
      <c r="C1686" s="23"/>
      <c r="D1686" s="24"/>
      <c r="E1686" s="14"/>
      <c r="F1686" s="14"/>
      <c r="G1686" s="14"/>
      <c r="H1686" s="23"/>
      <c r="I1686" s="27"/>
      <c r="J1686" s="23"/>
      <c r="K1686" s="30"/>
      <c r="L1686" s="23"/>
      <c r="M1686" s="20"/>
      <c r="N1686" s="20"/>
      <c r="O1686" s="20"/>
      <c r="P1686" s="20"/>
    </row>
    <row r="1687">
      <c r="A1687" s="10"/>
      <c r="B1687" s="11"/>
      <c r="C1687" s="10"/>
      <c r="D1687" s="13"/>
      <c r="E1687" s="14"/>
      <c r="F1687" s="14"/>
      <c r="G1687" s="14"/>
      <c r="H1687" s="10"/>
      <c r="I1687" s="17"/>
      <c r="J1687" s="10"/>
      <c r="K1687" s="46"/>
      <c r="L1687" s="10"/>
      <c r="M1687" s="20"/>
      <c r="N1687" s="20"/>
      <c r="O1687" s="20"/>
      <c r="P1687" s="20"/>
    </row>
    <row r="1688">
      <c r="A1688" s="23"/>
      <c r="B1688" s="21"/>
      <c r="C1688" s="23"/>
      <c r="D1688" s="24"/>
      <c r="E1688" s="14"/>
      <c r="F1688" s="14"/>
      <c r="G1688" s="14"/>
      <c r="H1688" s="23"/>
      <c r="I1688" s="27"/>
      <c r="J1688" s="23"/>
      <c r="K1688" s="30"/>
      <c r="L1688" s="23"/>
      <c r="M1688" s="20"/>
      <c r="N1688" s="20"/>
      <c r="O1688" s="20"/>
      <c r="P1688" s="20"/>
    </row>
    <row r="1689">
      <c r="A1689" s="10"/>
      <c r="B1689" s="11"/>
      <c r="C1689" s="10"/>
      <c r="D1689" s="13"/>
      <c r="E1689" s="14"/>
      <c r="F1689" s="14"/>
      <c r="G1689" s="14"/>
      <c r="H1689" s="10"/>
      <c r="I1689" s="17"/>
      <c r="J1689" s="10"/>
      <c r="K1689" s="46"/>
      <c r="L1689" s="10"/>
      <c r="M1689" s="20"/>
      <c r="N1689" s="20"/>
      <c r="O1689" s="20"/>
      <c r="P1689" s="20"/>
    </row>
    <row r="1690">
      <c r="A1690" s="23"/>
      <c r="B1690" s="21"/>
      <c r="C1690" s="23"/>
      <c r="D1690" s="24"/>
      <c r="E1690" s="14"/>
      <c r="F1690" s="14"/>
      <c r="G1690" s="14"/>
      <c r="H1690" s="23"/>
      <c r="I1690" s="27"/>
      <c r="J1690" s="23"/>
      <c r="K1690" s="30"/>
      <c r="L1690" s="23"/>
      <c r="M1690" s="20"/>
      <c r="N1690" s="20"/>
      <c r="O1690" s="20"/>
      <c r="P1690" s="20"/>
    </row>
    <row r="1691">
      <c r="A1691" s="10"/>
      <c r="B1691" s="11"/>
      <c r="C1691" s="10"/>
      <c r="D1691" s="13"/>
      <c r="E1691" s="14"/>
      <c r="F1691" s="14"/>
      <c r="G1691" s="14"/>
      <c r="H1691" s="10"/>
      <c r="I1691" s="17"/>
      <c r="J1691" s="10"/>
      <c r="K1691" s="46"/>
      <c r="L1691" s="10"/>
      <c r="M1691" s="20"/>
      <c r="N1691" s="20"/>
      <c r="O1691" s="20"/>
      <c r="P1691" s="20"/>
    </row>
    <row r="1692">
      <c r="A1692" s="23"/>
      <c r="B1692" s="21"/>
      <c r="C1692" s="23"/>
      <c r="D1692" s="24"/>
      <c r="E1692" s="14"/>
      <c r="F1692" s="14"/>
      <c r="G1692" s="14"/>
      <c r="H1692" s="23"/>
      <c r="I1692" s="27"/>
      <c r="J1692" s="23"/>
      <c r="K1692" s="30"/>
      <c r="L1692" s="23"/>
      <c r="M1692" s="20"/>
      <c r="N1692" s="20"/>
      <c r="O1692" s="20"/>
      <c r="P1692" s="20"/>
    </row>
    <row r="1693">
      <c r="A1693" s="10"/>
      <c r="B1693" s="11"/>
      <c r="C1693" s="10"/>
      <c r="D1693" s="13"/>
      <c r="E1693" s="14"/>
      <c r="F1693" s="14"/>
      <c r="G1693" s="14"/>
      <c r="H1693" s="10"/>
      <c r="I1693" s="17"/>
      <c r="J1693" s="10"/>
      <c r="K1693" s="46"/>
      <c r="L1693" s="10"/>
      <c r="M1693" s="20"/>
      <c r="N1693" s="20"/>
      <c r="O1693" s="20"/>
      <c r="P1693" s="20"/>
    </row>
    <row r="1694">
      <c r="A1694" s="23"/>
      <c r="B1694" s="21"/>
      <c r="C1694" s="23"/>
      <c r="D1694" s="24"/>
      <c r="E1694" s="14"/>
      <c r="F1694" s="14"/>
      <c r="G1694" s="14"/>
      <c r="H1694" s="23"/>
      <c r="I1694" s="27"/>
      <c r="J1694" s="23"/>
      <c r="K1694" s="30"/>
      <c r="L1694" s="23"/>
      <c r="M1694" s="20"/>
      <c r="N1694" s="20"/>
      <c r="O1694" s="20"/>
      <c r="P1694" s="20"/>
    </row>
    <row r="1695">
      <c r="A1695" s="10"/>
      <c r="B1695" s="11"/>
      <c r="C1695" s="10"/>
      <c r="D1695" s="13"/>
      <c r="E1695" s="14"/>
      <c r="F1695" s="14"/>
      <c r="G1695" s="14"/>
      <c r="H1695" s="10"/>
      <c r="I1695" s="17"/>
      <c r="J1695" s="10"/>
      <c r="K1695" s="46"/>
      <c r="L1695" s="10"/>
      <c r="M1695" s="20"/>
      <c r="N1695" s="20"/>
      <c r="O1695" s="20"/>
      <c r="P1695" s="20"/>
    </row>
    <row r="1696">
      <c r="A1696" s="23"/>
      <c r="B1696" s="21"/>
      <c r="C1696" s="23"/>
      <c r="D1696" s="24"/>
      <c r="E1696" s="14"/>
      <c r="F1696" s="14"/>
      <c r="G1696" s="14"/>
      <c r="H1696" s="23"/>
      <c r="I1696" s="27"/>
      <c r="J1696" s="23"/>
      <c r="K1696" s="30"/>
      <c r="L1696" s="23"/>
      <c r="M1696" s="20"/>
      <c r="N1696" s="20"/>
      <c r="O1696" s="20"/>
      <c r="P1696" s="20"/>
    </row>
    <row r="1697">
      <c r="A1697" s="10"/>
      <c r="B1697" s="11"/>
      <c r="C1697" s="10"/>
      <c r="D1697" s="13"/>
      <c r="E1697" s="14"/>
      <c r="F1697" s="14"/>
      <c r="G1697" s="14"/>
      <c r="H1697" s="10"/>
      <c r="I1697" s="17"/>
      <c r="J1697" s="10"/>
      <c r="K1697" s="46"/>
      <c r="L1697" s="10"/>
      <c r="M1697" s="20"/>
      <c r="N1697" s="20"/>
      <c r="O1697" s="20"/>
      <c r="P1697" s="20"/>
    </row>
    <row r="1698">
      <c r="A1698" s="23"/>
      <c r="B1698" s="21"/>
      <c r="C1698" s="23"/>
      <c r="D1698" s="24"/>
      <c r="E1698" s="14"/>
      <c r="F1698" s="14"/>
      <c r="G1698" s="14"/>
      <c r="H1698" s="23"/>
      <c r="I1698" s="27"/>
      <c r="J1698" s="23"/>
      <c r="K1698" s="30"/>
      <c r="L1698" s="23"/>
      <c r="M1698" s="20"/>
      <c r="N1698" s="20"/>
      <c r="O1698" s="20"/>
      <c r="P1698" s="20"/>
    </row>
    <row r="1699">
      <c r="A1699" s="10"/>
      <c r="B1699" s="11"/>
      <c r="C1699" s="10"/>
      <c r="D1699" s="13"/>
      <c r="E1699" s="14"/>
      <c r="F1699" s="14"/>
      <c r="G1699" s="14"/>
      <c r="H1699" s="10"/>
      <c r="I1699" s="17"/>
      <c r="J1699" s="10"/>
      <c r="K1699" s="46"/>
      <c r="L1699" s="10"/>
      <c r="M1699" s="20"/>
      <c r="N1699" s="20"/>
      <c r="O1699" s="20"/>
      <c r="P1699" s="20"/>
    </row>
    <row r="1700">
      <c r="A1700" s="23"/>
      <c r="B1700" s="21"/>
      <c r="C1700" s="23"/>
      <c r="D1700" s="24"/>
      <c r="E1700" s="14"/>
      <c r="F1700" s="14"/>
      <c r="G1700" s="14"/>
      <c r="H1700" s="23"/>
      <c r="I1700" s="27"/>
      <c r="J1700" s="23"/>
      <c r="K1700" s="30"/>
      <c r="L1700" s="23"/>
      <c r="M1700" s="20"/>
      <c r="N1700" s="20"/>
      <c r="O1700" s="20"/>
      <c r="P1700" s="20"/>
    </row>
    <row r="1701">
      <c r="A1701" s="10"/>
      <c r="B1701" s="11"/>
      <c r="C1701" s="10"/>
      <c r="D1701" s="13"/>
      <c r="E1701" s="14"/>
      <c r="F1701" s="14"/>
      <c r="G1701" s="14"/>
      <c r="H1701" s="10"/>
      <c r="I1701" s="17"/>
      <c r="J1701" s="10"/>
      <c r="K1701" s="46"/>
      <c r="L1701" s="10"/>
      <c r="M1701" s="20"/>
      <c r="N1701" s="20"/>
      <c r="O1701" s="20"/>
      <c r="P1701" s="20"/>
    </row>
    <row r="1702">
      <c r="A1702" s="23"/>
      <c r="B1702" s="21"/>
      <c r="C1702" s="23"/>
      <c r="D1702" s="24"/>
      <c r="E1702" s="14"/>
      <c r="F1702" s="14"/>
      <c r="G1702" s="14"/>
      <c r="H1702" s="23"/>
      <c r="I1702" s="27"/>
      <c r="J1702" s="23"/>
      <c r="K1702" s="30"/>
      <c r="L1702" s="23"/>
      <c r="M1702" s="20"/>
      <c r="N1702" s="20"/>
      <c r="O1702" s="20"/>
      <c r="P1702" s="20"/>
    </row>
    <row r="1703">
      <c r="A1703" s="10"/>
      <c r="B1703" s="11"/>
      <c r="C1703" s="10"/>
      <c r="D1703" s="13"/>
      <c r="E1703" s="14"/>
      <c r="F1703" s="14"/>
      <c r="G1703" s="14"/>
      <c r="H1703" s="10"/>
      <c r="I1703" s="17"/>
      <c r="J1703" s="10"/>
      <c r="K1703" s="46"/>
      <c r="L1703" s="10"/>
      <c r="M1703" s="20"/>
      <c r="N1703" s="20"/>
      <c r="O1703" s="20"/>
      <c r="P1703" s="20"/>
    </row>
    <row r="1704">
      <c r="A1704" s="23"/>
      <c r="B1704" s="21"/>
      <c r="C1704" s="23"/>
      <c r="D1704" s="24"/>
      <c r="E1704" s="14"/>
      <c r="F1704" s="14"/>
      <c r="G1704" s="14"/>
      <c r="H1704" s="23"/>
      <c r="I1704" s="27"/>
      <c r="J1704" s="23"/>
      <c r="K1704" s="30"/>
      <c r="L1704" s="23"/>
      <c r="M1704" s="20"/>
      <c r="N1704" s="20"/>
      <c r="O1704" s="20"/>
      <c r="P1704" s="20"/>
    </row>
    <row r="1705">
      <c r="A1705" s="10"/>
      <c r="B1705" s="11"/>
      <c r="C1705" s="10"/>
      <c r="D1705" s="13"/>
      <c r="E1705" s="14"/>
      <c r="F1705" s="14"/>
      <c r="G1705" s="14"/>
      <c r="H1705" s="10"/>
      <c r="I1705" s="17"/>
      <c r="J1705" s="10"/>
      <c r="K1705" s="46"/>
      <c r="L1705" s="10"/>
      <c r="M1705" s="20"/>
      <c r="N1705" s="20"/>
      <c r="O1705" s="20"/>
      <c r="P1705" s="20"/>
    </row>
    <row r="1706">
      <c r="A1706" s="23"/>
      <c r="B1706" s="21"/>
      <c r="C1706" s="23"/>
      <c r="D1706" s="24"/>
      <c r="E1706" s="14"/>
      <c r="F1706" s="14"/>
      <c r="G1706" s="14"/>
      <c r="H1706" s="23"/>
      <c r="I1706" s="27"/>
      <c r="J1706" s="23"/>
      <c r="K1706" s="30"/>
      <c r="L1706" s="23"/>
      <c r="M1706" s="20"/>
      <c r="N1706" s="20"/>
      <c r="O1706" s="20"/>
      <c r="P1706" s="20"/>
    </row>
    <row r="1707">
      <c r="A1707" s="10"/>
      <c r="B1707" s="11"/>
      <c r="C1707" s="10"/>
      <c r="D1707" s="13"/>
      <c r="E1707" s="14"/>
      <c r="F1707" s="14"/>
      <c r="G1707" s="14"/>
      <c r="H1707" s="10"/>
      <c r="I1707" s="17"/>
      <c r="J1707" s="10"/>
      <c r="K1707" s="46"/>
      <c r="L1707" s="10"/>
      <c r="M1707" s="20"/>
      <c r="N1707" s="20"/>
      <c r="O1707" s="20"/>
      <c r="P1707" s="20"/>
    </row>
    <row r="1708">
      <c r="A1708" s="23"/>
      <c r="B1708" s="21"/>
      <c r="C1708" s="23"/>
      <c r="D1708" s="24"/>
      <c r="E1708" s="14"/>
      <c r="F1708" s="14"/>
      <c r="G1708" s="14"/>
      <c r="H1708" s="23"/>
      <c r="I1708" s="27"/>
      <c r="J1708" s="23"/>
      <c r="K1708" s="30"/>
      <c r="L1708" s="23"/>
      <c r="M1708" s="20"/>
      <c r="N1708" s="20"/>
      <c r="O1708" s="20"/>
      <c r="P1708" s="20"/>
    </row>
    <row r="1709">
      <c r="A1709" s="10"/>
      <c r="B1709" s="11"/>
      <c r="C1709" s="10"/>
      <c r="D1709" s="13"/>
      <c r="E1709" s="14"/>
      <c r="F1709" s="14"/>
      <c r="G1709" s="14"/>
      <c r="H1709" s="10"/>
      <c r="I1709" s="17"/>
      <c r="J1709" s="10"/>
      <c r="K1709" s="46"/>
      <c r="L1709" s="10"/>
      <c r="M1709" s="20"/>
      <c r="N1709" s="20"/>
      <c r="O1709" s="20"/>
      <c r="P1709" s="20"/>
    </row>
    <row r="1710">
      <c r="A1710" s="23"/>
      <c r="B1710" s="21"/>
      <c r="C1710" s="23"/>
      <c r="D1710" s="24"/>
      <c r="E1710" s="14"/>
      <c r="F1710" s="14"/>
      <c r="G1710" s="14"/>
      <c r="H1710" s="23"/>
      <c r="I1710" s="27"/>
      <c r="J1710" s="23"/>
      <c r="K1710" s="30"/>
      <c r="L1710" s="23"/>
      <c r="M1710" s="20"/>
      <c r="N1710" s="20"/>
      <c r="O1710" s="20"/>
      <c r="P1710" s="20"/>
    </row>
    <row r="1711">
      <c r="A1711" s="10"/>
      <c r="B1711" s="11"/>
      <c r="C1711" s="10"/>
      <c r="D1711" s="13"/>
      <c r="E1711" s="14"/>
      <c r="F1711" s="14"/>
      <c r="G1711" s="14"/>
      <c r="H1711" s="10"/>
      <c r="I1711" s="17"/>
      <c r="J1711" s="10"/>
      <c r="K1711" s="46"/>
      <c r="L1711" s="10"/>
      <c r="M1711" s="20"/>
      <c r="N1711" s="20"/>
      <c r="O1711" s="20"/>
      <c r="P1711" s="20"/>
    </row>
    <row r="1712">
      <c r="A1712" s="23"/>
      <c r="B1712" s="21"/>
      <c r="C1712" s="23"/>
      <c r="D1712" s="24"/>
      <c r="E1712" s="14"/>
      <c r="F1712" s="14"/>
      <c r="G1712" s="14"/>
      <c r="H1712" s="23"/>
      <c r="I1712" s="27"/>
      <c r="J1712" s="23"/>
      <c r="K1712" s="30"/>
      <c r="L1712" s="23"/>
      <c r="M1712" s="20"/>
      <c r="N1712" s="20"/>
      <c r="O1712" s="20"/>
      <c r="P1712" s="20"/>
    </row>
    <row r="1713">
      <c r="A1713" s="10"/>
      <c r="B1713" s="11"/>
      <c r="C1713" s="10"/>
      <c r="D1713" s="13"/>
      <c r="E1713" s="14"/>
      <c r="F1713" s="14"/>
      <c r="G1713" s="14"/>
      <c r="H1713" s="10"/>
      <c r="I1713" s="17"/>
      <c r="J1713" s="10"/>
      <c r="K1713" s="46"/>
      <c r="L1713" s="10"/>
      <c r="M1713" s="20"/>
      <c r="N1713" s="20"/>
      <c r="O1713" s="20"/>
      <c r="P1713" s="20"/>
    </row>
    <row r="1714">
      <c r="A1714" s="23"/>
      <c r="B1714" s="21"/>
      <c r="C1714" s="23"/>
      <c r="D1714" s="24"/>
      <c r="E1714" s="14"/>
      <c r="F1714" s="14"/>
      <c r="G1714" s="14"/>
      <c r="H1714" s="23"/>
      <c r="I1714" s="27"/>
      <c r="J1714" s="23"/>
      <c r="K1714" s="30"/>
      <c r="L1714" s="23"/>
      <c r="M1714" s="20"/>
      <c r="N1714" s="20"/>
      <c r="O1714" s="20"/>
      <c r="P1714" s="20"/>
    </row>
    <row r="1715">
      <c r="A1715" s="10"/>
      <c r="B1715" s="11"/>
      <c r="C1715" s="10"/>
      <c r="D1715" s="13"/>
      <c r="E1715" s="14"/>
      <c r="F1715" s="14"/>
      <c r="G1715" s="14"/>
      <c r="H1715" s="10"/>
      <c r="I1715" s="17"/>
      <c r="J1715" s="10"/>
      <c r="K1715" s="46"/>
      <c r="L1715" s="10"/>
      <c r="M1715" s="20"/>
      <c r="N1715" s="20"/>
      <c r="O1715" s="20"/>
      <c r="P1715" s="20"/>
    </row>
    <row r="1716">
      <c r="A1716" s="23"/>
      <c r="B1716" s="21"/>
      <c r="C1716" s="23"/>
      <c r="D1716" s="24"/>
      <c r="E1716" s="14"/>
      <c r="F1716" s="14"/>
      <c r="G1716" s="14"/>
      <c r="H1716" s="23"/>
      <c r="I1716" s="27"/>
      <c r="J1716" s="23"/>
      <c r="K1716" s="30"/>
      <c r="L1716" s="23"/>
      <c r="M1716" s="20"/>
      <c r="N1716" s="20"/>
      <c r="O1716" s="20"/>
      <c r="P1716" s="20"/>
    </row>
    <row r="1717">
      <c r="A1717" s="10"/>
      <c r="B1717" s="11"/>
      <c r="C1717" s="10"/>
      <c r="D1717" s="13"/>
      <c r="E1717" s="14"/>
      <c r="F1717" s="14"/>
      <c r="G1717" s="14"/>
      <c r="H1717" s="10"/>
      <c r="I1717" s="17"/>
      <c r="J1717" s="10"/>
      <c r="K1717" s="46"/>
      <c r="L1717" s="10"/>
      <c r="M1717" s="20"/>
      <c r="N1717" s="20"/>
      <c r="O1717" s="20"/>
      <c r="P1717" s="20"/>
    </row>
    <row r="1718">
      <c r="A1718" s="23"/>
      <c r="B1718" s="21"/>
      <c r="C1718" s="23"/>
      <c r="D1718" s="24"/>
      <c r="E1718" s="14"/>
      <c r="F1718" s="14"/>
      <c r="G1718" s="14"/>
      <c r="H1718" s="23"/>
      <c r="I1718" s="27"/>
      <c r="J1718" s="23"/>
      <c r="K1718" s="30"/>
      <c r="L1718" s="23"/>
      <c r="M1718" s="20"/>
      <c r="N1718" s="20"/>
      <c r="O1718" s="20"/>
      <c r="P1718" s="20"/>
    </row>
    <row r="1719">
      <c r="A1719" s="10"/>
      <c r="B1719" s="11"/>
      <c r="C1719" s="10"/>
      <c r="D1719" s="13"/>
      <c r="E1719" s="14"/>
      <c r="F1719" s="14"/>
      <c r="G1719" s="14"/>
      <c r="H1719" s="10"/>
      <c r="I1719" s="17"/>
      <c r="J1719" s="10"/>
      <c r="K1719" s="46"/>
      <c r="L1719" s="10"/>
      <c r="M1719" s="20"/>
      <c r="N1719" s="20"/>
      <c r="O1719" s="20"/>
      <c r="P1719" s="20"/>
    </row>
    <row r="1720">
      <c r="A1720" s="23"/>
      <c r="B1720" s="21"/>
      <c r="C1720" s="23"/>
      <c r="D1720" s="24"/>
      <c r="E1720" s="14"/>
      <c r="F1720" s="14"/>
      <c r="G1720" s="14"/>
      <c r="H1720" s="23"/>
      <c r="I1720" s="27"/>
      <c r="J1720" s="23"/>
      <c r="K1720" s="30"/>
      <c r="L1720" s="23"/>
      <c r="M1720" s="20"/>
      <c r="N1720" s="20"/>
      <c r="O1720" s="20"/>
      <c r="P1720" s="20"/>
    </row>
    <row r="1721">
      <c r="A1721" s="10"/>
      <c r="B1721" s="11"/>
      <c r="C1721" s="10"/>
      <c r="D1721" s="13"/>
      <c r="E1721" s="14"/>
      <c r="F1721" s="14"/>
      <c r="G1721" s="14"/>
      <c r="H1721" s="10"/>
      <c r="I1721" s="17"/>
      <c r="J1721" s="10"/>
      <c r="K1721" s="46"/>
      <c r="L1721" s="10"/>
      <c r="M1721" s="20"/>
      <c r="N1721" s="20"/>
      <c r="O1721" s="20"/>
      <c r="P1721" s="20"/>
    </row>
    <row r="1722">
      <c r="A1722" s="23"/>
      <c r="B1722" s="21"/>
      <c r="C1722" s="23"/>
      <c r="D1722" s="24"/>
      <c r="E1722" s="14"/>
      <c r="F1722" s="14"/>
      <c r="G1722" s="14"/>
      <c r="H1722" s="23"/>
      <c r="I1722" s="27"/>
      <c r="J1722" s="23"/>
      <c r="K1722" s="30"/>
      <c r="L1722" s="23"/>
      <c r="M1722" s="20"/>
      <c r="N1722" s="20"/>
      <c r="O1722" s="20"/>
      <c r="P1722" s="20"/>
    </row>
    <row r="1723">
      <c r="A1723" s="10"/>
      <c r="B1723" s="11"/>
      <c r="C1723" s="10"/>
      <c r="D1723" s="13"/>
      <c r="E1723" s="14"/>
      <c r="F1723" s="14"/>
      <c r="G1723" s="14"/>
      <c r="H1723" s="10"/>
      <c r="I1723" s="17"/>
      <c r="J1723" s="10"/>
      <c r="K1723" s="46"/>
      <c r="L1723" s="10"/>
      <c r="M1723" s="20"/>
      <c r="N1723" s="20"/>
      <c r="O1723" s="20"/>
      <c r="P1723" s="20"/>
    </row>
    <row r="1724">
      <c r="A1724" s="23"/>
      <c r="B1724" s="21"/>
      <c r="C1724" s="23"/>
      <c r="D1724" s="24"/>
      <c r="E1724" s="14"/>
      <c r="F1724" s="14"/>
      <c r="G1724" s="14"/>
      <c r="H1724" s="23"/>
      <c r="I1724" s="27"/>
      <c r="J1724" s="23"/>
      <c r="K1724" s="30"/>
      <c r="L1724" s="23"/>
      <c r="M1724" s="20"/>
      <c r="N1724" s="20"/>
      <c r="O1724" s="20"/>
      <c r="P1724" s="20"/>
    </row>
    <row r="1725">
      <c r="A1725" s="10"/>
      <c r="B1725" s="11"/>
      <c r="C1725" s="10"/>
      <c r="D1725" s="13"/>
      <c r="E1725" s="14"/>
      <c r="F1725" s="14"/>
      <c r="G1725" s="14"/>
      <c r="H1725" s="10"/>
      <c r="I1725" s="17"/>
      <c r="J1725" s="10"/>
      <c r="K1725" s="46"/>
      <c r="L1725" s="10"/>
      <c r="M1725" s="20"/>
      <c r="N1725" s="20"/>
      <c r="O1725" s="20"/>
      <c r="P1725" s="20"/>
    </row>
    <row r="1726">
      <c r="A1726" s="23"/>
      <c r="B1726" s="21"/>
      <c r="C1726" s="23"/>
      <c r="D1726" s="24"/>
      <c r="E1726" s="14"/>
      <c r="F1726" s="14"/>
      <c r="G1726" s="14"/>
      <c r="H1726" s="23"/>
      <c r="I1726" s="27"/>
      <c r="J1726" s="23"/>
      <c r="K1726" s="30"/>
      <c r="L1726" s="23"/>
      <c r="M1726" s="20"/>
      <c r="N1726" s="20"/>
      <c r="O1726" s="20"/>
      <c r="P1726" s="20"/>
    </row>
    <row r="1727">
      <c r="A1727" s="10"/>
      <c r="B1727" s="11"/>
      <c r="C1727" s="10"/>
      <c r="D1727" s="13"/>
      <c r="E1727" s="14"/>
      <c r="F1727" s="14"/>
      <c r="G1727" s="14"/>
      <c r="H1727" s="10"/>
      <c r="I1727" s="17"/>
      <c r="J1727" s="10"/>
      <c r="K1727" s="46"/>
      <c r="L1727" s="10"/>
      <c r="M1727" s="20"/>
      <c r="N1727" s="20"/>
      <c r="O1727" s="20"/>
      <c r="P1727" s="20"/>
    </row>
    <row r="1728">
      <c r="A1728" s="23"/>
      <c r="B1728" s="21"/>
      <c r="C1728" s="23"/>
      <c r="D1728" s="24"/>
      <c r="E1728" s="14"/>
      <c r="F1728" s="14"/>
      <c r="G1728" s="14"/>
      <c r="H1728" s="23"/>
      <c r="I1728" s="27"/>
      <c r="J1728" s="23"/>
      <c r="K1728" s="30"/>
      <c r="L1728" s="23"/>
      <c r="M1728" s="20"/>
      <c r="N1728" s="20"/>
      <c r="O1728" s="20"/>
      <c r="P1728" s="20"/>
    </row>
    <row r="1729">
      <c r="A1729" s="10"/>
      <c r="B1729" s="11"/>
      <c r="C1729" s="10"/>
      <c r="D1729" s="13"/>
      <c r="E1729" s="14"/>
      <c r="F1729" s="14"/>
      <c r="G1729" s="14"/>
      <c r="H1729" s="10"/>
      <c r="I1729" s="17"/>
      <c r="J1729" s="10"/>
      <c r="K1729" s="46"/>
      <c r="L1729" s="10"/>
      <c r="M1729" s="20"/>
      <c r="N1729" s="20"/>
      <c r="O1729" s="20"/>
      <c r="P1729" s="20"/>
    </row>
    <row r="1730">
      <c r="A1730" s="23"/>
      <c r="B1730" s="21"/>
      <c r="C1730" s="23"/>
      <c r="D1730" s="24"/>
      <c r="E1730" s="14"/>
      <c r="F1730" s="14"/>
      <c r="G1730" s="14"/>
      <c r="H1730" s="23"/>
      <c r="I1730" s="27"/>
      <c r="J1730" s="23"/>
      <c r="K1730" s="30"/>
      <c r="L1730" s="23"/>
      <c r="M1730" s="20"/>
      <c r="N1730" s="20"/>
      <c r="O1730" s="20"/>
      <c r="P1730" s="20"/>
    </row>
    <row r="1731">
      <c r="A1731" s="10"/>
      <c r="B1731" s="11"/>
      <c r="C1731" s="10"/>
      <c r="D1731" s="13"/>
      <c r="E1731" s="14"/>
      <c r="F1731" s="14"/>
      <c r="G1731" s="14"/>
      <c r="H1731" s="10"/>
      <c r="I1731" s="17"/>
      <c r="J1731" s="10"/>
      <c r="K1731" s="46"/>
      <c r="L1731" s="10"/>
      <c r="M1731" s="20"/>
      <c r="N1731" s="20"/>
      <c r="O1731" s="20"/>
      <c r="P1731" s="20"/>
    </row>
    <row r="1732">
      <c r="A1732" s="23"/>
      <c r="B1732" s="21"/>
      <c r="C1732" s="23"/>
      <c r="D1732" s="24"/>
      <c r="E1732" s="14"/>
      <c r="F1732" s="14"/>
      <c r="G1732" s="14"/>
      <c r="H1732" s="23"/>
      <c r="I1732" s="27"/>
      <c r="J1732" s="23"/>
      <c r="K1732" s="30"/>
      <c r="L1732" s="23"/>
      <c r="M1732" s="20"/>
      <c r="N1732" s="20"/>
      <c r="O1732" s="20"/>
      <c r="P1732" s="20"/>
    </row>
    <row r="1733">
      <c r="A1733" s="10"/>
      <c r="B1733" s="11"/>
      <c r="C1733" s="10"/>
      <c r="D1733" s="13"/>
      <c r="E1733" s="14"/>
      <c r="F1733" s="14"/>
      <c r="G1733" s="14"/>
      <c r="H1733" s="10"/>
      <c r="I1733" s="17"/>
      <c r="J1733" s="10"/>
      <c r="K1733" s="46"/>
      <c r="L1733" s="10"/>
      <c r="M1733" s="20"/>
      <c r="N1733" s="20"/>
      <c r="O1733" s="20"/>
      <c r="P1733" s="20"/>
    </row>
    <row r="1734">
      <c r="A1734" s="23"/>
      <c r="B1734" s="21"/>
      <c r="C1734" s="23"/>
      <c r="D1734" s="24"/>
      <c r="E1734" s="14"/>
      <c r="F1734" s="14"/>
      <c r="G1734" s="14"/>
      <c r="H1734" s="23"/>
      <c r="I1734" s="27"/>
      <c r="J1734" s="23"/>
      <c r="K1734" s="30"/>
      <c r="L1734" s="23"/>
      <c r="M1734" s="20"/>
      <c r="N1734" s="20"/>
      <c r="O1734" s="20"/>
      <c r="P1734" s="20"/>
    </row>
    <row r="1735">
      <c r="A1735" s="10"/>
      <c r="B1735" s="11"/>
      <c r="C1735" s="10"/>
      <c r="D1735" s="13"/>
      <c r="E1735" s="14"/>
      <c r="F1735" s="14"/>
      <c r="G1735" s="14"/>
      <c r="H1735" s="10"/>
      <c r="I1735" s="17"/>
      <c r="J1735" s="10"/>
      <c r="K1735" s="46"/>
      <c r="L1735" s="10"/>
      <c r="M1735" s="20"/>
      <c r="N1735" s="20"/>
      <c r="O1735" s="20"/>
      <c r="P1735" s="20"/>
    </row>
    <row r="1736">
      <c r="A1736" s="23"/>
      <c r="B1736" s="21"/>
      <c r="C1736" s="23"/>
      <c r="D1736" s="24"/>
      <c r="E1736" s="14"/>
      <c r="F1736" s="14"/>
      <c r="G1736" s="14"/>
      <c r="H1736" s="23"/>
      <c r="I1736" s="27"/>
      <c r="J1736" s="23"/>
      <c r="K1736" s="30"/>
      <c r="L1736" s="23"/>
      <c r="M1736" s="20"/>
      <c r="N1736" s="20"/>
      <c r="O1736" s="20"/>
      <c r="P1736" s="20"/>
    </row>
    <row r="1737">
      <c r="A1737" s="10"/>
      <c r="B1737" s="11"/>
      <c r="C1737" s="10"/>
      <c r="D1737" s="13"/>
      <c r="E1737" s="14"/>
      <c r="F1737" s="14"/>
      <c r="G1737" s="14"/>
      <c r="H1737" s="10"/>
      <c r="I1737" s="17"/>
      <c r="J1737" s="10"/>
      <c r="K1737" s="46"/>
      <c r="L1737" s="10"/>
      <c r="M1737" s="20"/>
      <c r="N1737" s="20"/>
      <c r="O1737" s="20"/>
      <c r="P1737" s="20"/>
    </row>
    <row r="1738">
      <c r="A1738" s="23"/>
      <c r="B1738" s="21"/>
      <c r="C1738" s="23"/>
      <c r="D1738" s="24"/>
      <c r="E1738" s="14"/>
      <c r="F1738" s="14"/>
      <c r="G1738" s="14"/>
      <c r="H1738" s="23"/>
      <c r="I1738" s="27"/>
      <c r="J1738" s="23"/>
      <c r="K1738" s="30"/>
      <c r="L1738" s="23"/>
      <c r="M1738" s="20"/>
      <c r="N1738" s="20"/>
      <c r="O1738" s="20"/>
      <c r="P1738" s="20"/>
    </row>
    <row r="1739">
      <c r="A1739" s="10"/>
      <c r="B1739" s="11"/>
      <c r="C1739" s="10"/>
      <c r="D1739" s="13"/>
      <c r="E1739" s="14"/>
      <c r="F1739" s="14"/>
      <c r="G1739" s="14"/>
      <c r="H1739" s="10"/>
      <c r="I1739" s="17"/>
      <c r="J1739" s="10"/>
      <c r="K1739" s="46"/>
      <c r="L1739" s="10"/>
      <c r="M1739" s="20"/>
      <c r="N1739" s="20"/>
      <c r="O1739" s="20"/>
      <c r="P1739" s="20"/>
    </row>
    <row r="1740">
      <c r="A1740" s="23"/>
      <c r="B1740" s="21"/>
      <c r="C1740" s="23"/>
      <c r="D1740" s="24"/>
      <c r="E1740" s="14"/>
      <c r="F1740" s="14"/>
      <c r="G1740" s="14"/>
      <c r="H1740" s="23"/>
      <c r="I1740" s="27"/>
      <c r="J1740" s="23"/>
      <c r="K1740" s="30"/>
      <c r="L1740" s="23"/>
      <c r="M1740" s="20"/>
      <c r="N1740" s="20"/>
      <c r="O1740" s="20"/>
      <c r="P1740" s="20"/>
    </row>
    <row r="1741">
      <c r="A1741" s="10"/>
      <c r="B1741" s="11"/>
      <c r="C1741" s="10"/>
      <c r="D1741" s="13"/>
      <c r="E1741" s="14"/>
      <c r="F1741" s="14"/>
      <c r="G1741" s="14"/>
      <c r="H1741" s="10"/>
      <c r="I1741" s="17"/>
      <c r="J1741" s="10"/>
      <c r="K1741" s="46"/>
      <c r="L1741" s="10"/>
      <c r="M1741" s="20"/>
      <c r="N1741" s="20"/>
      <c r="O1741" s="20"/>
      <c r="P1741" s="20"/>
    </row>
    <row r="1742">
      <c r="A1742" s="23"/>
      <c r="B1742" s="21"/>
      <c r="C1742" s="23"/>
      <c r="D1742" s="24"/>
      <c r="E1742" s="14"/>
      <c r="F1742" s="14"/>
      <c r="G1742" s="14"/>
      <c r="H1742" s="23"/>
      <c r="I1742" s="27"/>
      <c r="J1742" s="23"/>
      <c r="K1742" s="30"/>
      <c r="L1742" s="23"/>
      <c r="M1742" s="20"/>
      <c r="N1742" s="20"/>
      <c r="O1742" s="20"/>
      <c r="P1742" s="20"/>
    </row>
    <row r="1743">
      <c r="A1743" s="10"/>
      <c r="B1743" s="11"/>
      <c r="C1743" s="10"/>
      <c r="D1743" s="13"/>
      <c r="E1743" s="14"/>
      <c r="F1743" s="14"/>
      <c r="G1743" s="14"/>
      <c r="H1743" s="10"/>
      <c r="I1743" s="17"/>
      <c r="J1743" s="10"/>
      <c r="K1743" s="46"/>
      <c r="L1743" s="10"/>
      <c r="M1743" s="20"/>
      <c r="N1743" s="20"/>
      <c r="O1743" s="20"/>
      <c r="P1743" s="20"/>
    </row>
    <row r="1744">
      <c r="A1744" s="23"/>
      <c r="B1744" s="21"/>
      <c r="C1744" s="23"/>
      <c r="D1744" s="24"/>
      <c r="E1744" s="14"/>
      <c r="F1744" s="14"/>
      <c r="G1744" s="14"/>
      <c r="H1744" s="23"/>
      <c r="I1744" s="27"/>
      <c r="J1744" s="23"/>
      <c r="K1744" s="30"/>
      <c r="L1744" s="23"/>
      <c r="M1744" s="20"/>
      <c r="N1744" s="20"/>
      <c r="O1744" s="20"/>
      <c r="P1744" s="20"/>
    </row>
    <row r="1745">
      <c r="A1745" s="10"/>
      <c r="B1745" s="11"/>
      <c r="C1745" s="10"/>
      <c r="D1745" s="13"/>
      <c r="E1745" s="14"/>
      <c r="F1745" s="14"/>
      <c r="G1745" s="14"/>
      <c r="H1745" s="10"/>
      <c r="I1745" s="17"/>
      <c r="J1745" s="10"/>
      <c r="K1745" s="46"/>
      <c r="L1745" s="10"/>
      <c r="M1745" s="20"/>
      <c r="N1745" s="20"/>
      <c r="O1745" s="20"/>
      <c r="P1745" s="20"/>
    </row>
    <row r="1746">
      <c r="A1746" s="23"/>
      <c r="B1746" s="21"/>
      <c r="C1746" s="23"/>
      <c r="D1746" s="24"/>
      <c r="E1746" s="14"/>
      <c r="F1746" s="14"/>
      <c r="G1746" s="14"/>
      <c r="H1746" s="23"/>
      <c r="I1746" s="27"/>
      <c r="J1746" s="23"/>
      <c r="K1746" s="30"/>
      <c r="L1746" s="23"/>
      <c r="M1746" s="20"/>
      <c r="N1746" s="20"/>
      <c r="O1746" s="20"/>
      <c r="P1746" s="20"/>
    </row>
    <row r="1747">
      <c r="A1747" s="10"/>
      <c r="B1747" s="11"/>
      <c r="C1747" s="10"/>
      <c r="D1747" s="13"/>
      <c r="E1747" s="14"/>
      <c r="F1747" s="14"/>
      <c r="G1747" s="14"/>
      <c r="H1747" s="10"/>
      <c r="I1747" s="17"/>
      <c r="J1747" s="10"/>
      <c r="K1747" s="46"/>
      <c r="L1747" s="10"/>
      <c r="M1747" s="20"/>
      <c r="N1747" s="20"/>
      <c r="O1747" s="20"/>
      <c r="P1747" s="20"/>
    </row>
    <row r="1748">
      <c r="A1748" s="23"/>
      <c r="B1748" s="21"/>
      <c r="C1748" s="23"/>
      <c r="D1748" s="24"/>
      <c r="E1748" s="14"/>
      <c r="F1748" s="14"/>
      <c r="G1748" s="14"/>
      <c r="H1748" s="23"/>
      <c r="I1748" s="27"/>
      <c r="J1748" s="23"/>
      <c r="K1748" s="30"/>
      <c r="L1748" s="23"/>
      <c r="M1748" s="20"/>
      <c r="N1748" s="20"/>
      <c r="O1748" s="20"/>
      <c r="P1748" s="20"/>
    </row>
    <row r="1749">
      <c r="A1749" s="10"/>
      <c r="B1749" s="11"/>
      <c r="C1749" s="10"/>
      <c r="D1749" s="13"/>
      <c r="E1749" s="14"/>
      <c r="F1749" s="14"/>
      <c r="G1749" s="14"/>
      <c r="H1749" s="10"/>
      <c r="I1749" s="17"/>
      <c r="J1749" s="10"/>
      <c r="K1749" s="46"/>
      <c r="L1749" s="10"/>
      <c r="M1749" s="20"/>
      <c r="N1749" s="20"/>
      <c r="O1749" s="20"/>
      <c r="P1749" s="20"/>
    </row>
    <row r="1750">
      <c r="A1750" s="23"/>
      <c r="B1750" s="21"/>
      <c r="C1750" s="23"/>
      <c r="D1750" s="24"/>
      <c r="E1750" s="14"/>
      <c r="F1750" s="14"/>
      <c r="G1750" s="14"/>
      <c r="H1750" s="23"/>
      <c r="I1750" s="27"/>
      <c r="J1750" s="23"/>
      <c r="K1750" s="30"/>
      <c r="L1750" s="23"/>
      <c r="M1750" s="20"/>
      <c r="N1750" s="20"/>
      <c r="O1750" s="20"/>
      <c r="P1750" s="20"/>
    </row>
    <row r="1751">
      <c r="A1751" s="10"/>
      <c r="B1751" s="11"/>
      <c r="C1751" s="10"/>
      <c r="D1751" s="13"/>
      <c r="E1751" s="14"/>
      <c r="F1751" s="14"/>
      <c r="G1751" s="14"/>
      <c r="H1751" s="10"/>
      <c r="I1751" s="17"/>
      <c r="J1751" s="10"/>
      <c r="K1751" s="46"/>
      <c r="L1751" s="10"/>
      <c r="M1751" s="20"/>
      <c r="N1751" s="20"/>
      <c r="O1751" s="20"/>
      <c r="P1751" s="20"/>
    </row>
    <row r="1752">
      <c r="A1752" s="23"/>
      <c r="B1752" s="21"/>
      <c r="C1752" s="23"/>
      <c r="D1752" s="24"/>
      <c r="E1752" s="14"/>
      <c r="F1752" s="14"/>
      <c r="G1752" s="14"/>
      <c r="H1752" s="23"/>
      <c r="I1752" s="27"/>
      <c r="J1752" s="23"/>
      <c r="K1752" s="30"/>
      <c r="L1752" s="23"/>
      <c r="M1752" s="20"/>
      <c r="N1752" s="20"/>
      <c r="O1752" s="20"/>
      <c r="P1752" s="20"/>
    </row>
    <row r="1753">
      <c r="A1753" s="10"/>
      <c r="B1753" s="11"/>
      <c r="C1753" s="10"/>
      <c r="D1753" s="13"/>
      <c r="E1753" s="14"/>
      <c r="F1753" s="14"/>
      <c r="G1753" s="14"/>
      <c r="H1753" s="10"/>
      <c r="I1753" s="17"/>
      <c r="J1753" s="10"/>
      <c r="K1753" s="46"/>
      <c r="L1753" s="10"/>
      <c r="M1753" s="20"/>
      <c r="N1753" s="20"/>
      <c r="O1753" s="20"/>
      <c r="P1753" s="20"/>
    </row>
    <row r="1754">
      <c r="A1754" s="23"/>
      <c r="B1754" s="21"/>
      <c r="C1754" s="23"/>
      <c r="D1754" s="24"/>
      <c r="E1754" s="14"/>
      <c r="F1754" s="14"/>
      <c r="G1754" s="14"/>
      <c r="H1754" s="23"/>
      <c r="I1754" s="27"/>
      <c r="J1754" s="23"/>
      <c r="K1754" s="30"/>
      <c r="L1754" s="23"/>
      <c r="M1754" s="20"/>
      <c r="N1754" s="20"/>
      <c r="O1754" s="20"/>
      <c r="P1754" s="20"/>
    </row>
    <row r="1755">
      <c r="A1755" s="10"/>
      <c r="B1755" s="11"/>
      <c r="C1755" s="10"/>
      <c r="D1755" s="13"/>
      <c r="E1755" s="14"/>
      <c r="F1755" s="14"/>
      <c r="G1755" s="14"/>
      <c r="H1755" s="10"/>
      <c r="I1755" s="17"/>
      <c r="J1755" s="10"/>
      <c r="K1755" s="46"/>
      <c r="L1755" s="10"/>
      <c r="M1755" s="20"/>
      <c r="N1755" s="20"/>
      <c r="O1755" s="20"/>
      <c r="P1755" s="20"/>
    </row>
    <row r="1756">
      <c r="A1756" s="23"/>
      <c r="B1756" s="21"/>
      <c r="C1756" s="23"/>
      <c r="D1756" s="24"/>
      <c r="E1756" s="14"/>
      <c r="F1756" s="14"/>
      <c r="G1756" s="14"/>
      <c r="H1756" s="23"/>
      <c r="I1756" s="27"/>
      <c r="J1756" s="23"/>
      <c r="K1756" s="30"/>
      <c r="L1756" s="23"/>
      <c r="M1756" s="20"/>
      <c r="N1756" s="20"/>
      <c r="O1756" s="20"/>
      <c r="P1756" s="20"/>
    </row>
    <row r="1757">
      <c r="A1757" s="10"/>
      <c r="B1757" s="11"/>
      <c r="C1757" s="10"/>
      <c r="D1757" s="13"/>
      <c r="E1757" s="14"/>
      <c r="F1757" s="14"/>
      <c r="G1757" s="14"/>
      <c r="H1757" s="10"/>
      <c r="I1757" s="17"/>
      <c r="J1757" s="10"/>
      <c r="K1757" s="46"/>
      <c r="L1757" s="10"/>
      <c r="M1757" s="20"/>
      <c r="N1757" s="20"/>
      <c r="O1757" s="20"/>
      <c r="P1757" s="20"/>
    </row>
    <row r="1758">
      <c r="A1758" s="23"/>
      <c r="B1758" s="21"/>
      <c r="C1758" s="23"/>
      <c r="D1758" s="24"/>
      <c r="E1758" s="14"/>
      <c r="F1758" s="14"/>
      <c r="G1758" s="14"/>
      <c r="H1758" s="23"/>
      <c r="I1758" s="27"/>
      <c r="J1758" s="23"/>
      <c r="K1758" s="30"/>
      <c r="L1758" s="23"/>
      <c r="M1758" s="20"/>
      <c r="N1758" s="20"/>
      <c r="O1758" s="20"/>
      <c r="P1758" s="20"/>
    </row>
    <row r="1759">
      <c r="A1759" s="10"/>
      <c r="B1759" s="11"/>
      <c r="C1759" s="10"/>
      <c r="D1759" s="13"/>
      <c r="E1759" s="14"/>
      <c r="F1759" s="14"/>
      <c r="G1759" s="14"/>
      <c r="H1759" s="10"/>
      <c r="I1759" s="17"/>
      <c r="J1759" s="10"/>
      <c r="K1759" s="46"/>
      <c r="L1759" s="10"/>
      <c r="M1759" s="20"/>
      <c r="N1759" s="20"/>
      <c r="O1759" s="20"/>
      <c r="P1759" s="20"/>
    </row>
    <row r="1760">
      <c r="A1760" s="23"/>
      <c r="B1760" s="21"/>
      <c r="C1760" s="23"/>
      <c r="D1760" s="24"/>
      <c r="E1760" s="14"/>
      <c r="F1760" s="14"/>
      <c r="G1760" s="14"/>
      <c r="H1760" s="23"/>
      <c r="I1760" s="27"/>
      <c r="J1760" s="23"/>
      <c r="K1760" s="30"/>
      <c r="L1760" s="23"/>
      <c r="M1760" s="20"/>
      <c r="N1760" s="20"/>
      <c r="O1760" s="20"/>
      <c r="P1760" s="20"/>
    </row>
    <row r="1761">
      <c r="A1761" s="10"/>
      <c r="B1761" s="11"/>
      <c r="C1761" s="10"/>
      <c r="D1761" s="13"/>
      <c r="E1761" s="14"/>
      <c r="F1761" s="14"/>
      <c r="G1761" s="14"/>
      <c r="H1761" s="10"/>
      <c r="I1761" s="17"/>
      <c r="J1761" s="10"/>
      <c r="K1761" s="46"/>
      <c r="L1761" s="10"/>
      <c r="M1761" s="20"/>
      <c r="N1761" s="20"/>
      <c r="O1761" s="20"/>
      <c r="P1761" s="20"/>
    </row>
    <row r="1762">
      <c r="A1762" s="23"/>
      <c r="B1762" s="21"/>
      <c r="C1762" s="23"/>
      <c r="D1762" s="24"/>
      <c r="E1762" s="14"/>
      <c r="F1762" s="14"/>
      <c r="G1762" s="14"/>
      <c r="H1762" s="23"/>
      <c r="I1762" s="27"/>
      <c r="J1762" s="23"/>
      <c r="K1762" s="30"/>
      <c r="L1762" s="23"/>
      <c r="M1762" s="20"/>
      <c r="N1762" s="20"/>
      <c r="O1762" s="20"/>
      <c r="P1762" s="20"/>
    </row>
    <row r="1763">
      <c r="A1763" s="10"/>
      <c r="B1763" s="11"/>
      <c r="C1763" s="10"/>
      <c r="D1763" s="13"/>
      <c r="E1763" s="14"/>
      <c r="F1763" s="14"/>
      <c r="G1763" s="14"/>
      <c r="H1763" s="10"/>
      <c r="I1763" s="17"/>
      <c r="J1763" s="10"/>
      <c r="K1763" s="46"/>
      <c r="L1763" s="10"/>
      <c r="M1763" s="20"/>
      <c r="N1763" s="20"/>
      <c r="O1763" s="20"/>
      <c r="P1763" s="20"/>
    </row>
    <row r="1764">
      <c r="A1764" s="23"/>
      <c r="B1764" s="21"/>
      <c r="C1764" s="23"/>
      <c r="D1764" s="24"/>
      <c r="E1764" s="14"/>
      <c r="F1764" s="14"/>
      <c r="G1764" s="14"/>
      <c r="H1764" s="23"/>
      <c r="I1764" s="27"/>
      <c r="J1764" s="23"/>
      <c r="K1764" s="30"/>
      <c r="L1764" s="23"/>
      <c r="M1764" s="20"/>
      <c r="N1764" s="20"/>
      <c r="O1764" s="20"/>
      <c r="P1764" s="20"/>
    </row>
    <row r="1765">
      <c r="A1765" s="10"/>
      <c r="B1765" s="11"/>
      <c r="C1765" s="10"/>
      <c r="D1765" s="13"/>
      <c r="E1765" s="14"/>
      <c r="F1765" s="14"/>
      <c r="G1765" s="14"/>
      <c r="H1765" s="10"/>
      <c r="I1765" s="17"/>
      <c r="J1765" s="10"/>
      <c r="K1765" s="46"/>
      <c r="L1765" s="10"/>
      <c r="M1765" s="20"/>
      <c r="N1765" s="20"/>
      <c r="O1765" s="20"/>
      <c r="P1765" s="20"/>
    </row>
    <row r="1766">
      <c r="A1766" s="23"/>
      <c r="B1766" s="21"/>
      <c r="C1766" s="23"/>
      <c r="D1766" s="24"/>
      <c r="E1766" s="14"/>
      <c r="F1766" s="14"/>
      <c r="G1766" s="14"/>
      <c r="H1766" s="23"/>
      <c r="I1766" s="27"/>
      <c r="J1766" s="23"/>
      <c r="K1766" s="30"/>
      <c r="L1766" s="23"/>
      <c r="M1766" s="20"/>
      <c r="N1766" s="20"/>
      <c r="O1766" s="20"/>
      <c r="P1766" s="20"/>
    </row>
    <row r="1767">
      <c r="A1767" s="10"/>
      <c r="B1767" s="11"/>
      <c r="C1767" s="10"/>
      <c r="D1767" s="13"/>
      <c r="E1767" s="14"/>
      <c r="F1767" s="14"/>
      <c r="G1767" s="14"/>
      <c r="H1767" s="10"/>
      <c r="I1767" s="17"/>
      <c r="J1767" s="10"/>
      <c r="K1767" s="46"/>
      <c r="L1767" s="10"/>
      <c r="M1767" s="20"/>
      <c r="N1767" s="20"/>
      <c r="O1767" s="20"/>
      <c r="P1767" s="20"/>
    </row>
    <row r="1768">
      <c r="A1768" s="23"/>
      <c r="B1768" s="21"/>
      <c r="C1768" s="23"/>
      <c r="D1768" s="24"/>
      <c r="E1768" s="14"/>
      <c r="F1768" s="14"/>
      <c r="G1768" s="14"/>
      <c r="H1768" s="23"/>
      <c r="I1768" s="27"/>
      <c r="J1768" s="23"/>
      <c r="K1768" s="30"/>
      <c r="L1768" s="23"/>
      <c r="M1768" s="20"/>
      <c r="N1768" s="20"/>
      <c r="O1768" s="20"/>
      <c r="P1768" s="20"/>
    </row>
    <row r="1769">
      <c r="A1769" s="10"/>
      <c r="B1769" s="11"/>
      <c r="C1769" s="10"/>
      <c r="D1769" s="13"/>
      <c r="E1769" s="14"/>
      <c r="F1769" s="14"/>
      <c r="G1769" s="14"/>
      <c r="H1769" s="10"/>
      <c r="I1769" s="17"/>
      <c r="J1769" s="10"/>
      <c r="K1769" s="46"/>
      <c r="L1769" s="10"/>
      <c r="M1769" s="20"/>
      <c r="N1769" s="20"/>
      <c r="O1769" s="20"/>
      <c r="P1769" s="20"/>
    </row>
    <row r="1770">
      <c r="A1770" s="23"/>
      <c r="B1770" s="21"/>
      <c r="C1770" s="23"/>
      <c r="D1770" s="24"/>
      <c r="E1770" s="14"/>
      <c r="F1770" s="14"/>
      <c r="G1770" s="14"/>
      <c r="H1770" s="23"/>
      <c r="I1770" s="27"/>
      <c r="J1770" s="23"/>
      <c r="K1770" s="30"/>
      <c r="L1770" s="23"/>
      <c r="M1770" s="20"/>
      <c r="N1770" s="20"/>
      <c r="O1770" s="20"/>
      <c r="P1770" s="20"/>
    </row>
    <row r="1771">
      <c r="A1771" s="10"/>
      <c r="B1771" s="11"/>
      <c r="C1771" s="10"/>
      <c r="D1771" s="13"/>
      <c r="E1771" s="14"/>
      <c r="F1771" s="14"/>
      <c r="G1771" s="14"/>
      <c r="H1771" s="10"/>
      <c r="I1771" s="17"/>
      <c r="J1771" s="10"/>
      <c r="K1771" s="46"/>
      <c r="L1771" s="10"/>
      <c r="M1771" s="20"/>
      <c r="N1771" s="20"/>
      <c r="O1771" s="20"/>
      <c r="P1771" s="20"/>
    </row>
    <row r="1772">
      <c r="A1772" s="23"/>
      <c r="B1772" s="21"/>
      <c r="C1772" s="23"/>
      <c r="D1772" s="24"/>
      <c r="E1772" s="14"/>
      <c r="F1772" s="14"/>
      <c r="G1772" s="14"/>
      <c r="H1772" s="23"/>
      <c r="I1772" s="27"/>
      <c r="J1772" s="23"/>
      <c r="K1772" s="30"/>
      <c r="L1772" s="23"/>
      <c r="M1772" s="20"/>
      <c r="N1772" s="20"/>
      <c r="O1772" s="20"/>
      <c r="P1772" s="20"/>
    </row>
    <row r="1773">
      <c r="A1773" s="10"/>
      <c r="B1773" s="11"/>
      <c r="C1773" s="10"/>
      <c r="D1773" s="13"/>
      <c r="E1773" s="14"/>
      <c r="F1773" s="14"/>
      <c r="G1773" s="14"/>
      <c r="H1773" s="10"/>
      <c r="I1773" s="17"/>
      <c r="J1773" s="10"/>
      <c r="K1773" s="46"/>
      <c r="L1773" s="10"/>
      <c r="M1773" s="20"/>
      <c r="N1773" s="20"/>
      <c r="O1773" s="20"/>
      <c r="P1773" s="20"/>
    </row>
    <row r="1774">
      <c r="A1774" s="23"/>
      <c r="B1774" s="21"/>
      <c r="C1774" s="23"/>
      <c r="D1774" s="24"/>
      <c r="E1774" s="14"/>
      <c r="F1774" s="14"/>
      <c r="G1774" s="14"/>
      <c r="H1774" s="23"/>
      <c r="I1774" s="27"/>
      <c r="J1774" s="23"/>
      <c r="K1774" s="30"/>
      <c r="L1774" s="23"/>
      <c r="M1774" s="20"/>
      <c r="N1774" s="20"/>
      <c r="O1774" s="20"/>
      <c r="P1774" s="20"/>
    </row>
    <row r="1775">
      <c r="A1775" s="10"/>
      <c r="B1775" s="11"/>
      <c r="C1775" s="10"/>
      <c r="D1775" s="13"/>
      <c r="E1775" s="14"/>
      <c r="F1775" s="14"/>
      <c r="G1775" s="14"/>
      <c r="H1775" s="10"/>
      <c r="I1775" s="17"/>
      <c r="J1775" s="10"/>
      <c r="K1775" s="46"/>
      <c r="L1775" s="10"/>
      <c r="M1775" s="20"/>
      <c r="N1775" s="20"/>
      <c r="O1775" s="20"/>
      <c r="P1775" s="20"/>
    </row>
    <row r="1776">
      <c r="A1776" s="23"/>
      <c r="B1776" s="21"/>
      <c r="C1776" s="23"/>
      <c r="D1776" s="24"/>
      <c r="E1776" s="14"/>
      <c r="F1776" s="14"/>
      <c r="G1776" s="14"/>
      <c r="H1776" s="23"/>
      <c r="I1776" s="27"/>
      <c r="J1776" s="23"/>
      <c r="K1776" s="30"/>
      <c r="L1776" s="23"/>
      <c r="M1776" s="20"/>
      <c r="N1776" s="20"/>
      <c r="O1776" s="20"/>
      <c r="P1776" s="20"/>
    </row>
    <row r="1777">
      <c r="A1777" s="10"/>
      <c r="B1777" s="11"/>
      <c r="C1777" s="10"/>
      <c r="D1777" s="13"/>
      <c r="E1777" s="14"/>
      <c r="F1777" s="14"/>
      <c r="G1777" s="14"/>
      <c r="H1777" s="10"/>
      <c r="I1777" s="17"/>
      <c r="J1777" s="10"/>
      <c r="K1777" s="46"/>
      <c r="L1777" s="10"/>
      <c r="M1777" s="20"/>
      <c r="N1777" s="20"/>
      <c r="O1777" s="20"/>
      <c r="P1777" s="20"/>
    </row>
    <row r="1778">
      <c r="A1778" s="23"/>
      <c r="B1778" s="21"/>
      <c r="C1778" s="23"/>
      <c r="D1778" s="24"/>
      <c r="E1778" s="14"/>
      <c r="F1778" s="14"/>
      <c r="G1778" s="14"/>
      <c r="H1778" s="23"/>
      <c r="I1778" s="27"/>
      <c r="J1778" s="23"/>
      <c r="K1778" s="30"/>
      <c r="L1778" s="23"/>
      <c r="M1778" s="20"/>
      <c r="N1778" s="20"/>
      <c r="O1778" s="20"/>
      <c r="P1778" s="20"/>
    </row>
    <row r="1779">
      <c r="A1779" s="10"/>
      <c r="B1779" s="11"/>
      <c r="C1779" s="10"/>
      <c r="D1779" s="13"/>
      <c r="E1779" s="14"/>
      <c r="F1779" s="14"/>
      <c r="G1779" s="14"/>
      <c r="H1779" s="10"/>
      <c r="I1779" s="17"/>
      <c r="J1779" s="10"/>
      <c r="K1779" s="46"/>
      <c r="L1779" s="10"/>
      <c r="M1779" s="20"/>
      <c r="N1779" s="20"/>
      <c r="O1779" s="20"/>
      <c r="P1779" s="20"/>
    </row>
    <row r="1780">
      <c r="A1780" s="23"/>
      <c r="B1780" s="21"/>
      <c r="C1780" s="23"/>
      <c r="D1780" s="24"/>
      <c r="E1780" s="14"/>
      <c r="F1780" s="14"/>
      <c r="G1780" s="14"/>
      <c r="H1780" s="23"/>
      <c r="I1780" s="27"/>
      <c r="J1780" s="23"/>
      <c r="K1780" s="30"/>
      <c r="L1780" s="23"/>
      <c r="M1780" s="20"/>
      <c r="N1780" s="20"/>
      <c r="O1780" s="20"/>
      <c r="P1780" s="20"/>
    </row>
    <row r="1781">
      <c r="A1781" s="10"/>
      <c r="B1781" s="11"/>
      <c r="C1781" s="10"/>
      <c r="D1781" s="13"/>
      <c r="E1781" s="14"/>
      <c r="F1781" s="14"/>
      <c r="G1781" s="14"/>
      <c r="H1781" s="10"/>
      <c r="I1781" s="17"/>
      <c r="J1781" s="10"/>
      <c r="K1781" s="46"/>
      <c r="L1781" s="10"/>
      <c r="M1781" s="20"/>
      <c r="N1781" s="20"/>
      <c r="O1781" s="20"/>
      <c r="P1781" s="20"/>
    </row>
    <row r="1782">
      <c r="A1782" s="23"/>
      <c r="B1782" s="21"/>
      <c r="C1782" s="23"/>
      <c r="D1782" s="24"/>
      <c r="E1782" s="14"/>
      <c r="F1782" s="14"/>
      <c r="G1782" s="14"/>
      <c r="H1782" s="23"/>
      <c r="I1782" s="27"/>
      <c r="J1782" s="23"/>
      <c r="K1782" s="30"/>
      <c r="L1782" s="23"/>
      <c r="M1782" s="20"/>
      <c r="N1782" s="20"/>
      <c r="O1782" s="20"/>
      <c r="P1782" s="20"/>
    </row>
    <row r="1783">
      <c r="A1783" s="10"/>
      <c r="B1783" s="11"/>
      <c r="C1783" s="10"/>
      <c r="D1783" s="13"/>
      <c r="E1783" s="14"/>
      <c r="F1783" s="14"/>
      <c r="G1783" s="14"/>
      <c r="H1783" s="10"/>
      <c r="I1783" s="17"/>
      <c r="J1783" s="10"/>
      <c r="K1783" s="46"/>
      <c r="L1783" s="10"/>
      <c r="M1783" s="20"/>
      <c r="N1783" s="20"/>
      <c r="O1783" s="20"/>
      <c r="P1783" s="20"/>
    </row>
    <row r="1784">
      <c r="A1784" s="23"/>
      <c r="B1784" s="21"/>
      <c r="C1784" s="23"/>
      <c r="D1784" s="24"/>
      <c r="E1784" s="14"/>
      <c r="F1784" s="14"/>
      <c r="G1784" s="14"/>
      <c r="H1784" s="23"/>
      <c r="I1784" s="27"/>
      <c r="J1784" s="23"/>
      <c r="K1784" s="30"/>
      <c r="L1784" s="23"/>
      <c r="M1784" s="20"/>
      <c r="N1784" s="20"/>
      <c r="O1784" s="20"/>
      <c r="P1784" s="20"/>
    </row>
    <row r="1785">
      <c r="A1785" s="10"/>
      <c r="B1785" s="11"/>
      <c r="C1785" s="10"/>
      <c r="D1785" s="13"/>
      <c r="E1785" s="14"/>
      <c r="F1785" s="14"/>
      <c r="G1785" s="14"/>
      <c r="H1785" s="10"/>
      <c r="I1785" s="17"/>
      <c r="J1785" s="10"/>
      <c r="K1785" s="46"/>
      <c r="L1785" s="10"/>
      <c r="M1785" s="20"/>
      <c r="N1785" s="20"/>
      <c r="O1785" s="20"/>
      <c r="P1785" s="20"/>
    </row>
    <row r="1786">
      <c r="A1786" s="23"/>
      <c r="B1786" s="21"/>
      <c r="C1786" s="23"/>
      <c r="D1786" s="24"/>
      <c r="E1786" s="14"/>
      <c r="F1786" s="14"/>
      <c r="G1786" s="14"/>
      <c r="H1786" s="23"/>
      <c r="I1786" s="27"/>
      <c r="J1786" s="23"/>
      <c r="K1786" s="30"/>
      <c r="L1786" s="23"/>
      <c r="M1786" s="20"/>
      <c r="N1786" s="20"/>
      <c r="O1786" s="20"/>
      <c r="P1786" s="20"/>
    </row>
    <row r="1787">
      <c r="A1787" s="10"/>
      <c r="B1787" s="11"/>
      <c r="C1787" s="10"/>
      <c r="D1787" s="13"/>
      <c r="E1787" s="14"/>
      <c r="F1787" s="14"/>
      <c r="G1787" s="14"/>
      <c r="H1787" s="10"/>
      <c r="I1787" s="17"/>
      <c r="J1787" s="10"/>
      <c r="K1787" s="46"/>
      <c r="L1787" s="10"/>
      <c r="M1787" s="20"/>
      <c r="N1787" s="20"/>
      <c r="O1787" s="20"/>
      <c r="P1787" s="20"/>
    </row>
    <row r="1788">
      <c r="A1788" s="23"/>
      <c r="B1788" s="21"/>
      <c r="C1788" s="23"/>
      <c r="D1788" s="24"/>
      <c r="E1788" s="14"/>
      <c r="F1788" s="14"/>
      <c r="G1788" s="14"/>
      <c r="H1788" s="23"/>
      <c r="I1788" s="27"/>
      <c r="J1788" s="23"/>
      <c r="K1788" s="30"/>
      <c r="L1788" s="23"/>
      <c r="M1788" s="20"/>
      <c r="N1788" s="20"/>
      <c r="O1788" s="20"/>
      <c r="P1788" s="20"/>
    </row>
    <row r="1789">
      <c r="A1789" s="10"/>
      <c r="B1789" s="11"/>
      <c r="C1789" s="10"/>
      <c r="D1789" s="13"/>
      <c r="E1789" s="14"/>
      <c r="F1789" s="14"/>
      <c r="G1789" s="14"/>
      <c r="H1789" s="10"/>
      <c r="I1789" s="17"/>
      <c r="J1789" s="10"/>
      <c r="K1789" s="46"/>
      <c r="L1789" s="10"/>
      <c r="M1789" s="20"/>
      <c r="N1789" s="20"/>
      <c r="O1789" s="20"/>
      <c r="P1789" s="20"/>
    </row>
    <row r="1790">
      <c r="A1790" s="23"/>
      <c r="B1790" s="21"/>
      <c r="C1790" s="23"/>
      <c r="D1790" s="24"/>
      <c r="E1790" s="14"/>
      <c r="F1790" s="14"/>
      <c r="G1790" s="14"/>
      <c r="H1790" s="23"/>
      <c r="I1790" s="27"/>
      <c r="J1790" s="23"/>
      <c r="K1790" s="30"/>
      <c r="L1790" s="23"/>
      <c r="M1790" s="20"/>
      <c r="N1790" s="20"/>
      <c r="O1790" s="20"/>
      <c r="P1790" s="20"/>
    </row>
    <row r="1791">
      <c r="A1791" s="10"/>
      <c r="B1791" s="11"/>
      <c r="C1791" s="10"/>
      <c r="D1791" s="13"/>
      <c r="E1791" s="14"/>
      <c r="F1791" s="14"/>
      <c r="G1791" s="14"/>
      <c r="H1791" s="10"/>
      <c r="I1791" s="17"/>
      <c r="J1791" s="10"/>
      <c r="K1791" s="46"/>
      <c r="L1791" s="10"/>
      <c r="M1791" s="20"/>
      <c r="N1791" s="20"/>
      <c r="O1791" s="20"/>
      <c r="P1791" s="20"/>
    </row>
    <row r="1792">
      <c r="A1792" s="23"/>
      <c r="B1792" s="21"/>
      <c r="C1792" s="23"/>
      <c r="D1792" s="24"/>
      <c r="E1792" s="14"/>
      <c r="F1792" s="14"/>
      <c r="G1792" s="14"/>
      <c r="H1792" s="23"/>
      <c r="I1792" s="27"/>
      <c r="J1792" s="23"/>
      <c r="K1792" s="30"/>
      <c r="L1792" s="23"/>
      <c r="M1792" s="20"/>
      <c r="N1792" s="20"/>
      <c r="O1792" s="20"/>
      <c r="P1792" s="20"/>
    </row>
    <row r="1793">
      <c r="A1793" s="10"/>
      <c r="B1793" s="11"/>
      <c r="C1793" s="10"/>
      <c r="D1793" s="13"/>
      <c r="E1793" s="14"/>
      <c r="F1793" s="14"/>
      <c r="G1793" s="14"/>
      <c r="H1793" s="10"/>
      <c r="I1793" s="17"/>
      <c r="J1793" s="10"/>
      <c r="K1793" s="46"/>
      <c r="L1793" s="10"/>
      <c r="M1793" s="20"/>
      <c r="N1793" s="20"/>
      <c r="O1793" s="20"/>
      <c r="P1793" s="20"/>
    </row>
    <row r="1794">
      <c r="A1794" s="23"/>
      <c r="B1794" s="21"/>
      <c r="C1794" s="23"/>
      <c r="D1794" s="24"/>
      <c r="E1794" s="14"/>
      <c r="F1794" s="14"/>
      <c r="G1794" s="14"/>
      <c r="H1794" s="23"/>
      <c r="I1794" s="27"/>
      <c r="J1794" s="23"/>
      <c r="K1794" s="30"/>
      <c r="L1794" s="23"/>
      <c r="M1794" s="20"/>
      <c r="N1794" s="20"/>
      <c r="O1794" s="20"/>
      <c r="P1794" s="20"/>
    </row>
    <row r="1795">
      <c r="A1795" s="10"/>
      <c r="B1795" s="11"/>
      <c r="C1795" s="10"/>
      <c r="D1795" s="13"/>
      <c r="E1795" s="14"/>
      <c r="F1795" s="14"/>
      <c r="G1795" s="14"/>
      <c r="H1795" s="10"/>
      <c r="I1795" s="17"/>
      <c r="J1795" s="10"/>
      <c r="K1795" s="46"/>
      <c r="L1795" s="10"/>
      <c r="M1795" s="20"/>
      <c r="N1795" s="20"/>
      <c r="O1795" s="20"/>
      <c r="P1795" s="20"/>
    </row>
    <row r="1796">
      <c r="A1796" s="23"/>
      <c r="B1796" s="21"/>
      <c r="C1796" s="23"/>
      <c r="D1796" s="24"/>
      <c r="E1796" s="14"/>
      <c r="F1796" s="14"/>
      <c r="G1796" s="14"/>
      <c r="H1796" s="23"/>
      <c r="I1796" s="27"/>
      <c r="J1796" s="23"/>
      <c r="K1796" s="30"/>
      <c r="L1796" s="23"/>
      <c r="M1796" s="20"/>
      <c r="N1796" s="20"/>
      <c r="O1796" s="20"/>
      <c r="P1796" s="20"/>
    </row>
    <row r="1797">
      <c r="A1797" s="10"/>
      <c r="B1797" s="11"/>
      <c r="C1797" s="10"/>
      <c r="D1797" s="13"/>
      <c r="E1797" s="14"/>
      <c r="F1797" s="14"/>
      <c r="G1797" s="14"/>
      <c r="H1797" s="10"/>
      <c r="I1797" s="17"/>
      <c r="J1797" s="10"/>
      <c r="K1797" s="46"/>
      <c r="L1797" s="10"/>
      <c r="M1797" s="20"/>
      <c r="N1797" s="20"/>
      <c r="O1797" s="20"/>
      <c r="P1797" s="20"/>
    </row>
    <row r="1798">
      <c r="A1798" s="23"/>
      <c r="B1798" s="21"/>
      <c r="C1798" s="23"/>
      <c r="D1798" s="24"/>
      <c r="E1798" s="14"/>
      <c r="F1798" s="14"/>
      <c r="G1798" s="14"/>
      <c r="H1798" s="23"/>
      <c r="I1798" s="27"/>
      <c r="J1798" s="23"/>
      <c r="K1798" s="30"/>
      <c r="L1798" s="23"/>
      <c r="M1798" s="20"/>
      <c r="N1798" s="20"/>
      <c r="O1798" s="20"/>
      <c r="P1798" s="20"/>
    </row>
    <row r="1799">
      <c r="A1799" s="10"/>
      <c r="B1799" s="11"/>
      <c r="C1799" s="10"/>
      <c r="D1799" s="13"/>
      <c r="E1799" s="14"/>
      <c r="F1799" s="14"/>
      <c r="G1799" s="14"/>
      <c r="H1799" s="10"/>
      <c r="I1799" s="17"/>
      <c r="J1799" s="10"/>
      <c r="K1799" s="46"/>
      <c r="L1799" s="10"/>
      <c r="M1799" s="20"/>
      <c r="N1799" s="20"/>
      <c r="O1799" s="20"/>
      <c r="P1799" s="20"/>
    </row>
    <row r="1800">
      <c r="A1800" s="23"/>
      <c r="B1800" s="21"/>
      <c r="C1800" s="23"/>
      <c r="D1800" s="24"/>
      <c r="E1800" s="14"/>
      <c r="F1800" s="14"/>
      <c r="G1800" s="14"/>
      <c r="H1800" s="23"/>
      <c r="I1800" s="27"/>
      <c r="J1800" s="23"/>
      <c r="K1800" s="30"/>
      <c r="L1800" s="23"/>
      <c r="M1800" s="20"/>
      <c r="N1800" s="20"/>
      <c r="O1800" s="20"/>
      <c r="P1800" s="20"/>
    </row>
    <row r="1801">
      <c r="A1801" s="10"/>
      <c r="B1801" s="11"/>
      <c r="C1801" s="10"/>
      <c r="D1801" s="13"/>
      <c r="E1801" s="14"/>
      <c r="F1801" s="14"/>
      <c r="G1801" s="14"/>
      <c r="H1801" s="10"/>
      <c r="I1801" s="17"/>
      <c r="J1801" s="10"/>
      <c r="K1801" s="46"/>
      <c r="L1801" s="10"/>
      <c r="M1801" s="20"/>
      <c r="N1801" s="20"/>
      <c r="O1801" s="20"/>
      <c r="P1801" s="20"/>
    </row>
    <row r="1802">
      <c r="A1802" s="23"/>
      <c r="B1802" s="21"/>
      <c r="C1802" s="23"/>
      <c r="D1802" s="24"/>
      <c r="E1802" s="14"/>
      <c r="F1802" s="14"/>
      <c r="G1802" s="14"/>
      <c r="H1802" s="23"/>
      <c r="I1802" s="27"/>
      <c r="J1802" s="23"/>
      <c r="K1802" s="30"/>
      <c r="L1802" s="23"/>
      <c r="M1802" s="20"/>
      <c r="N1802" s="20"/>
      <c r="O1802" s="20"/>
      <c r="P1802" s="20"/>
    </row>
    <row r="1803">
      <c r="A1803" s="10"/>
      <c r="B1803" s="11"/>
      <c r="C1803" s="10"/>
      <c r="D1803" s="13"/>
      <c r="E1803" s="14"/>
      <c r="F1803" s="14"/>
      <c r="G1803" s="14"/>
      <c r="H1803" s="10"/>
      <c r="I1803" s="17"/>
      <c r="J1803" s="10"/>
      <c r="K1803" s="46"/>
      <c r="L1803" s="10"/>
      <c r="M1803" s="20"/>
      <c r="N1803" s="20"/>
      <c r="O1803" s="20"/>
      <c r="P1803" s="20"/>
    </row>
    <row r="1804">
      <c r="A1804" s="23"/>
      <c r="B1804" s="21"/>
      <c r="C1804" s="23"/>
      <c r="D1804" s="24"/>
      <c r="E1804" s="14"/>
      <c r="F1804" s="14"/>
      <c r="G1804" s="14"/>
      <c r="H1804" s="23"/>
      <c r="I1804" s="27"/>
      <c r="J1804" s="23"/>
      <c r="K1804" s="30"/>
      <c r="L1804" s="23"/>
      <c r="M1804" s="20"/>
      <c r="N1804" s="20"/>
      <c r="O1804" s="20"/>
      <c r="P1804" s="20"/>
    </row>
    <row r="1805">
      <c r="A1805" s="10"/>
      <c r="B1805" s="11"/>
      <c r="C1805" s="10"/>
      <c r="D1805" s="13"/>
      <c r="E1805" s="14"/>
      <c r="F1805" s="14"/>
      <c r="G1805" s="14"/>
      <c r="H1805" s="10"/>
      <c r="I1805" s="17"/>
      <c r="J1805" s="10"/>
      <c r="K1805" s="46"/>
      <c r="L1805" s="10"/>
      <c r="M1805" s="20"/>
      <c r="N1805" s="20"/>
      <c r="O1805" s="20"/>
      <c r="P1805" s="20"/>
    </row>
    <row r="1806">
      <c r="A1806" s="23"/>
      <c r="B1806" s="21"/>
      <c r="C1806" s="23"/>
      <c r="D1806" s="24"/>
      <c r="E1806" s="14"/>
      <c r="F1806" s="14"/>
      <c r="G1806" s="14"/>
      <c r="H1806" s="23"/>
      <c r="I1806" s="27"/>
      <c r="J1806" s="23"/>
      <c r="K1806" s="30"/>
      <c r="L1806" s="23"/>
      <c r="M1806" s="20"/>
      <c r="N1806" s="20"/>
      <c r="O1806" s="20"/>
      <c r="P1806" s="20"/>
    </row>
    <row r="1807">
      <c r="A1807" s="10"/>
      <c r="B1807" s="11"/>
      <c r="C1807" s="10"/>
      <c r="D1807" s="13"/>
      <c r="E1807" s="14"/>
      <c r="F1807" s="14"/>
      <c r="G1807" s="14"/>
      <c r="H1807" s="10"/>
      <c r="I1807" s="17"/>
      <c r="J1807" s="10"/>
      <c r="K1807" s="46"/>
      <c r="L1807" s="10"/>
      <c r="M1807" s="20"/>
      <c r="N1807" s="20"/>
      <c r="O1807" s="20"/>
      <c r="P1807" s="20"/>
    </row>
    <row r="1808">
      <c r="A1808" s="23"/>
      <c r="B1808" s="21"/>
      <c r="C1808" s="23"/>
      <c r="D1808" s="24"/>
      <c r="E1808" s="14"/>
      <c r="F1808" s="14"/>
      <c r="G1808" s="14"/>
      <c r="H1808" s="23"/>
      <c r="I1808" s="27"/>
      <c r="J1808" s="23"/>
      <c r="K1808" s="30"/>
      <c r="L1808" s="23"/>
      <c r="M1808" s="20"/>
      <c r="N1808" s="20"/>
      <c r="O1808" s="20"/>
      <c r="P1808" s="20"/>
    </row>
    <row r="1809">
      <c r="A1809" s="10"/>
      <c r="B1809" s="11"/>
      <c r="C1809" s="10"/>
      <c r="D1809" s="13"/>
      <c r="E1809" s="14"/>
      <c r="F1809" s="14"/>
      <c r="G1809" s="14"/>
      <c r="H1809" s="10"/>
      <c r="I1809" s="17"/>
      <c r="J1809" s="10"/>
      <c r="K1809" s="46"/>
      <c r="L1809" s="10"/>
      <c r="M1809" s="20"/>
      <c r="N1809" s="20"/>
      <c r="O1809" s="20"/>
      <c r="P1809" s="20"/>
    </row>
    <row r="1810">
      <c r="A1810" s="23"/>
      <c r="B1810" s="21"/>
      <c r="C1810" s="23"/>
      <c r="D1810" s="24"/>
      <c r="E1810" s="14"/>
      <c r="F1810" s="14"/>
      <c r="G1810" s="14"/>
      <c r="H1810" s="23"/>
      <c r="I1810" s="27"/>
      <c r="J1810" s="23"/>
      <c r="K1810" s="30"/>
      <c r="L1810" s="23"/>
      <c r="M1810" s="20"/>
      <c r="N1810" s="20"/>
      <c r="O1810" s="20"/>
      <c r="P1810" s="20"/>
    </row>
    <row r="1811">
      <c r="A1811" s="10"/>
      <c r="B1811" s="11"/>
      <c r="C1811" s="10"/>
      <c r="D1811" s="13"/>
      <c r="E1811" s="14"/>
      <c r="F1811" s="14"/>
      <c r="G1811" s="14"/>
      <c r="H1811" s="10"/>
      <c r="I1811" s="17"/>
      <c r="J1811" s="10"/>
      <c r="K1811" s="46"/>
      <c r="L1811" s="10"/>
      <c r="M1811" s="20"/>
      <c r="N1811" s="20"/>
      <c r="O1811" s="20"/>
      <c r="P1811" s="20"/>
    </row>
    <row r="1812">
      <c r="A1812" s="23"/>
      <c r="B1812" s="21"/>
      <c r="C1812" s="23"/>
      <c r="D1812" s="24"/>
      <c r="E1812" s="14"/>
      <c r="F1812" s="14"/>
      <c r="G1812" s="14"/>
      <c r="H1812" s="23"/>
      <c r="I1812" s="27"/>
      <c r="J1812" s="23"/>
      <c r="K1812" s="30"/>
      <c r="L1812" s="23"/>
      <c r="M1812" s="20"/>
      <c r="N1812" s="20"/>
      <c r="O1812" s="20"/>
      <c r="P1812" s="20"/>
    </row>
    <row r="1813">
      <c r="A1813" s="10"/>
      <c r="B1813" s="11"/>
      <c r="C1813" s="10"/>
      <c r="D1813" s="13"/>
      <c r="E1813" s="14"/>
      <c r="F1813" s="14"/>
      <c r="G1813" s="14"/>
      <c r="H1813" s="10"/>
      <c r="I1813" s="17"/>
      <c r="J1813" s="10"/>
      <c r="K1813" s="46"/>
      <c r="L1813" s="10"/>
      <c r="M1813" s="20"/>
      <c r="N1813" s="20"/>
      <c r="O1813" s="20"/>
      <c r="P1813" s="20"/>
    </row>
    <row r="1814">
      <c r="A1814" s="23"/>
      <c r="B1814" s="21"/>
      <c r="C1814" s="23"/>
      <c r="D1814" s="24"/>
      <c r="E1814" s="14"/>
      <c r="F1814" s="14"/>
      <c r="G1814" s="14"/>
      <c r="H1814" s="23"/>
      <c r="I1814" s="27"/>
      <c r="J1814" s="23"/>
      <c r="K1814" s="30"/>
      <c r="L1814" s="23"/>
      <c r="M1814" s="20"/>
      <c r="N1814" s="20"/>
      <c r="O1814" s="20"/>
      <c r="P1814" s="20"/>
    </row>
    <row r="1815">
      <c r="A1815" s="10"/>
      <c r="B1815" s="11"/>
      <c r="C1815" s="10"/>
      <c r="D1815" s="13"/>
      <c r="E1815" s="14"/>
      <c r="F1815" s="14"/>
      <c r="G1815" s="14"/>
      <c r="H1815" s="10"/>
      <c r="I1815" s="17"/>
      <c r="J1815" s="10"/>
      <c r="K1815" s="46"/>
      <c r="L1815" s="10"/>
      <c r="M1815" s="20"/>
      <c r="N1815" s="20"/>
      <c r="O1815" s="20"/>
      <c r="P1815" s="20"/>
    </row>
    <row r="1816">
      <c r="A1816" s="23"/>
      <c r="B1816" s="21"/>
      <c r="C1816" s="23"/>
      <c r="D1816" s="24"/>
      <c r="E1816" s="14"/>
      <c r="F1816" s="14"/>
      <c r="G1816" s="14"/>
      <c r="H1816" s="23"/>
      <c r="I1816" s="27"/>
      <c r="J1816" s="23"/>
      <c r="K1816" s="30"/>
      <c r="L1816" s="23"/>
      <c r="M1816" s="20"/>
      <c r="N1816" s="20"/>
      <c r="O1816" s="20"/>
      <c r="P1816" s="20"/>
    </row>
    <row r="1817">
      <c r="A1817" s="10"/>
      <c r="B1817" s="11"/>
      <c r="C1817" s="10"/>
      <c r="D1817" s="13"/>
      <c r="E1817" s="14"/>
      <c r="F1817" s="14"/>
      <c r="G1817" s="14"/>
      <c r="H1817" s="10"/>
      <c r="I1817" s="17"/>
      <c r="J1817" s="10"/>
      <c r="K1817" s="46"/>
      <c r="L1817" s="10"/>
      <c r="M1817" s="20"/>
      <c r="N1817" s="20"/>
      <c r="O1817" s="20"/>
      <c r="P1817" s="20"/>
    </row>
    <row r="1818">
      <c r="A1818" s="23"/>
      <c r="B1818" s="21"/>
      <c r="C1818" s="23"/>
      <c r="D1818" s="24"/>
      <c r="E1818" s="14"/>
      <c r="F1818" s="14"/>
      <c r="G1818" s="14"/>
      <c r="H1818" s="23"/>
      <c r="I1818" s="27"/>
      <c r="J1818" s="23"/>
      <c r="K1818" s="30"/>
      <c r="L1818" s="23"/>
      <c r="M1818" s="20"/>
      <c r="N1818" s="20"/>
      <c r="O1818" s="20"/>
      <c r="P1818" s="20"/>
    </row>
    <row r="1819">
      <c r="A1819" s="10"/>
      <c r="B1819" s="11"/>
      <c r="C1819" s="10"/>
      <c r="D1819" s="13"/>
      <c r="E1819" s="14"/>
      <c r="F1819" s="14"/>
      <c r="G1819" s="14"/>
      <c r="H1819" s="10"/>
      <c r="I1819" s="17"/>
      <c r="J1819" s="10"/>
      <c r="K1819" s="46"/>
      <c r="L1819" s="10"/>
      <c r="M1819" s="20"/>
      <c r="N1819" s="20"/>
      <c r="O1819" s="20"/>
      <c r="P1819" s="20"/>
    </row>
    <row r="1820">
      <c r="A1820" s="23"/>
      <c r="B1820" s="21"/>
      <c r="C1820" s="23"/>
      <c r="D1820" s="24"/>
      <c r="E1820" s="14"/>
      <c r="F1820" s="14"/>
      <c r="G1820" s="14"/>
      <c r="H1820" s="23"/>
      <c r="I1820" s="27"/>
      <c r="J1820" s="23"/>
      <c r="K1820" s="30"/>
      <c r="L1820" s="23"/>
      <c r="M1820" s="20"/>
      <c r="N1820" s="20"/>
      <c r="O1820" s="20"/>
      <c r="P1820" s="20"/>
    </row>
    <row r="1821">
      <c r="A1821" s="10"/>
      <c r="B1821" s="11"/>
      <c r="C1821" s="10"/>
      <c r="D1821" s="13"/>
      <c r="E1821" s="14"/>
      <c r="F1821" s="14"/>
      <c r="G1821" s="14"/>
      <c r="H1821" s="10"/>
      <c r="I1821" s="17"/>
      <c r="J1821" s="10"/>
      <c r="K1821" s="46"/>
      <c r="L1821" s="10"/>
      <c r="M1821" s="20"/>
      <c r="N1821" s="20"/>
      <c r="O1821" s="20"/>
      <c r="P1821" s="20"/>
    </row>
    <row r="1822">
      <c r="A1822" s="23"/>
      <c r="B1822" s="21"/>
      <c r="C1822" s="23"/>
      <c r="D1822" s="24"/>
      <c r="E1822" s="14"/>
      <c r="F1822" s="14"/>
      <c r="G1822" s="14"/>
      <c r="H1822" s="23"/>
      <c r="I1822" s="27"/>
      <c r="J1822" s="23"/>
      <c r="K1822" s="30"/>
      <c r="L1822" s="23"/>
      <c r="M1822" s="20"/>
      <c r="N1822" s="20"/>
      <c r="O1822" s="20"/>
      <c r="P1822" s="20"/>
    </row>
    <row r="1823">
      <c r="A1823" s="10"/>
      <c r="B1823" s="11"/>
      <c r="C1823" s="10"/>
      <c r="D1823" s="13"/>
      <c r="E1823" s="14"/>
      <c r="F1823" s="14"/>
      <c r="G1823" s="14"/>
      <c r="H1823" s="10"/>
      <c r="I1823" s="17"/>
      <c r="J1823" s="10"/>
      <c r="K1823" s="46"/>
      <c r="L1823" s="10"/>
      <c r="M1823" s="20"/>
      <c r="N1823" s="20"/>
      <c r="O1823" s="20"/>
      <c r="P1823" s="20"/>
    </row>
    <row r="1824">
      <c r="A1824" s="23"/>
      <c r="B1824" s="21"/>
      <c r="C1824" s="23"/>
      <c r="D1824" s="24"/>
      <c r="E1824" s="14"/>
      <c r="F1824" s="14"/>
      <c r="G1824" s="14"/>
      <c r="H1824" s="23"/>
      <c r="I1824" s="27"/>
      <c r="J1824" s="23"/>
      <c r="K1824" s="30"/>
      <c r="L1824" s="23"/>
      <c r="M1824" s="20"/>
      <c r="N1824" s="20"/>
      <c r="O1824" s="20"/>
      <c r="P1824" s="20"/>
    </row>
    <row r="1825">
      <c r="A1825" s="10"/>
      <c r="B1825" s="11"/>
      <c r="C1825" s="10"/>
      <c r="D1825" s="13"/>
      <c r="E1825" s="14"/>
      <c r="F1825" s="14"/>
      <c r="G1825" s="14"/>
      <c r="H1825" s="10"/>
      <c r="I1825" s="17"/>
      <c r="J1825" s="10"/>
      <c r="K1825" s="46"/>
      <c r="L1825" s="10"/>
      <c r="M1825" s="20"/>
      <c r="N1825" s="20"/>
      <c r="O1825" s="20"/>
      <c r="P1825" s="20"/>
    </row>
    <row r="1826">
      <c r="A1826" s="23"/>
      <c r="B1826" s="21"/>
      <c r="C1826" s="23"/>
      <c r="D1826" s="24"/>
      <c r="E1826" s="14"/>
      <c r="F1826" s="14"/>
      <c r="G1826" s="14"/>
      <c r="H1826" s="23"/>
      <c r="I1826" s="27"/>
      <c r="J1826" s="23"/>
      <c r="K1826" s="30"/>
      <c r="L1826" s="23"/>
      <c r="M1826" s="20"/>
      <c r="N1826" s="20"/>
      <c r="O1826" s="20"/>
      <c r="P1826" s="20"/>
    </row>
    <row r="1827">
      <c r="A1827" s="10"/>
      <c r="B1827" s="11"/>
      <c r="C1827" s="10"/>
      <c r="D1827" s="13"/>
      <c r="E1827" s="14"/>
      <c r="F1827" s="14"/>
      <c r="G1827" s="14"/>
      <c r="H1827" s="10"/>
      <c r="I1827" s="17"/>
      <c r="J1827" s="10"/>
      <c r="K1827" s="46"/>
      <c r="L1827" s="10"/>
      <c r="M1827" s="20"/>
      <c r="N1827" s="20"/>
      <c r="O1827" s="20"/>
      <c r="P1827" s="20"/>
    </row>
    <row r="1828">
      <c r="A1828" s="23"/>
      <c r="B1828" s="21"/>
      <c r="C1828" s="23"/>
      <c r="D1828" s="24"/>
      <c r="E1828" s="14"/>
      <c r="F1828" s="14"/>
      <c r="G1828" s="14"/>
      <c r="H1828" s="23"/>
      <c r="I1828" s="27"/>
      <c r="J1828" s="23"/>
      <c r="K1828" s="30"/>
      <c r="L1828" s="23"/>
      <c r="M1828" s="20"/>
      <c r="N1828" s="20"/>
      <c r="O1828" s="20"/>
      <c r="P1828" s="20"/>
    </row>
    <row r="1829">
      <c r="A1829" s="10"/>
      <c r="B1829" s="11"/>
      <c r="C1829" s="10"/>
      <c r="D1829" s="13"/>
      <c r="E1829" s="14"/>
      <c r="F1829" s="14"/>
      <c r="G1829" s="14"/>
      <c r="H1829" s="10"/>
      <c r="I1829" s="17"/>
      <c r="J1829" s="10"/>
      <c r="K1829" s="46"/>
      <c r="L1829" s="10"/>
      <c r="M1829" s="20"/>
      <c r="N1829" s="20"/>
      <c r="O1829" s="20"/>
      <c r="P1829" s="20"/>
    </row>
    <row r="1830">
      <c r="A1830" s="23"/>
      <c r="B1830" s="21"/>
      <c r="C1830" s="23"/>
      <c r="D1830" s="24"/>
      <c r="E1830" s="14"/>
      <c r="F1830" s="14"/>
      <c r="G1830" s="14"/>
      <c r="H1830" s="23"/>
      <c r="I1830" s="27"/>
      <c r="J1830" s="23"/>
      <c r="K1830" s="30"/>
      <c r="L1830" s="23"/>
      <c r="M1830" s="20"/>
      <c r="N1830" s="20"/>
      <c r="O1830" s="20"/>
      <c r="P1830" s="20"/>
    </row>
    <row r="1831">
      <c r="A1831" s="10"/>
      <c r="B1831" s="11"/>
      <c r="C1831" s="10"/>
      <c r="D1831" s="13"/>
      <c r="E1831" s="14"/>
      <c r="F1831" s="14"/>
      <c r="G1831" s="14"/>
      <c r="H1831" s="10"/>
      <c r="I1831" s="17"/>
      <c r="J1831" s="10"/>
      <c r="K1831" s="46"/>
      <c r="L1831" s="10"/>
      <c r="M1831" s="20"/>
      <c r="N1831" s="20"/>
      <c r="O1831" s="20"/>
      <c r="P1831" s="20"/>
    </row>
    <row r="1832">
      <c r="A1832" s="23"/>
      <c r="B1832" s="21"/>
      <c r="C1832" s="23"/>
      <c r="D1832" s="24"/>
      <c r="E1832" s="14"/>
      <c r="F1832" s="14"/>
      <c r="G1832" s="14"/>
      <c r="H1832" s="23"/>
      <c r="I1832" s="27"/>
      <c r="J1832" s="23"/>
      <c r="K1832" s="30"/>
      <c r="L1832" s="23"/>
      <c r="M1832" s="20"/>
      <c r="N1832" s="20"/>
      <c r="O1832" s="20"/>
      <c r="P1832" s="20"/>
    </row>
    <row r="1833">
      <c r="A1833" s="10"/>
      <c r="B1833" s="11"/>
      <c r="C1833" s="10"/>
      <c r="D1833" s="13"/>
      <c r="E1833" s="14"/>
      <c r="F1833" s="14"/>
      <c r="G1833" s="14"/>
      <c r="H1833" s="10"/>
      <c r="I1833" s="17"/>
      <c r="J1833" s="10"/>
      <c r="K1833" s="46"/>
      <c r="L1833" s="10"/>
      <c r="M1833" s="20"/>
      <c r="N1833" s="20"/>
      <c r="O1833" s="20"/>
      <c r="P1833" s="20"/>
    </row>
    <row r="1834">
      <c r="A1834" s="23"/>
      <c r="B1834" s="21"/>
      <c r="C1834" s="23"/>
      <c r="D1834" s="24"/>
      <c r="E1834" s="14"/>
      <c r="F1834" s="14"/>
      <c r="G1834" s="14"/>
      <c r="H1834" s="23"/>
      <c r="I1834" s="27"/>
      <c r="J1834" s="23"/>
      <c r="K1834" s="30"/>
      <c r="L1834" s="23"/>
      <c r="M1834" s="20"/>
      <c r="N1834" s="20"/>
      <c r="O1834" s="20"/>
      <c r="P1834" s="20"/>
    </row>
    <row r="1835">
      <c r="A1835" s="10"/>
      <c r="B1835" s="11"/>
      <c r="C1835" s="10"/>
      <c r="D1835" s="13"/>
      <c r="E1835" s="14"/>
      <c r="F1835" s="14"/>
      <c r="G1835" s="14"/>
      <c r="H1835" s="10"/>
      <c r="I1835" s="17"/>
      <c r="J1835" s="10"/>
      <c r="K1835" s="46"/>
      <c r="L1835" s="10"/>
      <c r="M1835" s="20"/>
      <c r="N1835" s="20"/>
      <c r="O1835" s="20"/>
      <c r="P1835" s="20"/>
    </row>
    <row r="1836">
      <c r="A1836" s="23"/>
      <c r="B1836" s="21"/>
      <c r="C1836" s="23"/>
      <c r="D1836" s="24"/>
      <c r="E1836" s="14"/>
      <c r="F1836" s="14"/>
      <c r="G1836" s="14"/>
      <c r="H1836" s="23"/>
      <c r="I1836" s="27"/>
      <c r="J1836" s="23"/>
      <c r="K1836" s="30"/>
      <c r="L1836" s="23"/>
      <c r="M1836" s="20"/>
      <c r="N1836" s="20"/>
      <c r="O1836" s="20"/>
      <c r="P1836" s="20"/>
    </row>
    <row r="1837">
      <c r="A1837" s="10"/>
      <c r="B1837" s="11"/>
      <c r="C1837" s="10"/>
      <c r="D1837" s="13"/>
      <c r="E1837" s="14"/>
      <c r="F1837" s="14"/>
      <c r="G1837" s="14"/>
      <c r="H1837" s="10"/>
      <c r="I1837" s="17"/>
      <c r="J1837" s="10"/>
      <c r="K1837" s="46"/>
      <c r="L1837" s="10"/>
      <c r="M1837" s="20"/>
      <c r="N1837" s="20"/>
      <c r="O1837" s="20"/>
      <c r="P1837" s="20"/>
    </row>
    <row r="1838">
      <c r="A1838" s="23"/>
      <c r="B1838" s="21"/>
      <c r="C1838" s="23"/>
      <c r="D1838" s="24"/>
      <c r="E1838" s="14"/>
      <c r="F1838" s="14"/>
      <c r="G1838" s="14"/>
      <c r="H1838" s="23"/>
      <c r="I1838" s="27"/>
      <c r="J1838" s="23"/>
      <c r="K1838" s="30"/>
      <c r="L1838" s="23"/>
      <c r="M1838" s="20"/>
      <c r="N1838" s="20"/>
      <c r="O1838" s="20"/>
      <c r="P1838" s="20"/>
    </row>
    <row r="1839">
      <c r="A1839" s="10"/>
      <c r="B1839" s="11"/>
      <c r="C1839" s="10"/>
      <c r="D1839" s="13"/>
      <c r="E1839" s="14"/>
      <c r="F1839" s="14"/>
      <c r="G1839" s="14"/>
      <c r="H1839" s="10"/>
      <c r="I1839" s="17"/>
      <c r="J1839" s="10"/>
      <c r="K1839" s="46"/>
      <c r="L1839" s="10"/>
      <c r="M1839" s="20"/>
      <c r="N1839" s="20"/>
      <c r="O1839" s="20"/>
      <c r="P1839" s="20"/>
    </row>
    <row r="1840">
      <c r="A1840" s="23"/>
      <c r="B1840" s="21"/>
      <c r="C1840" s="23"/>
      <c r="D1840" s="24"/>
      <c r="E1840" s="14"/>
      <c r="F1840" s="14"/>
      <c r="G1840" s="14"/>
      <c r="H1840" s="23"/>
      <c r="I1840" s="27"/>
      <c r="J1840" s="23"/>
      <c r="K1840" s="30"/>
      <c r="L1840" s="23"/>
      <c r="M1840" s="20"/>
      <c r="N1840" s="20"/>
      <c r="O1840" s="20"/>
      <c r="P1840" s="20"/>
    </row>
    <row r="1841">
      <c r="A1841" s="10"/>
      <c r="B1841" s="11"/>
      <c r="C1841" s="10"/>
      <c r="D1841" s="13"/>
      <c r="E1841" s="14"/>
      <c r="F1841" s="14"/>
      <c r="G1841" s="14"/>
      <c r="H1841" s="10"/>
      <c r="I1841" s="17"/>
      <c r="J1841" s="10"/>
      <c r="K1841" s="46"/>
      <c r="L1841" s="10"/>
      <c r="M1841" s="20"/>
      <c r="N1841" s="20"/>
      <c r="O1841" s="20"/>
      <c r="P1841" s="20"/>
    </row>
    <row r="1842">
      <c r="A1842" s="23"/>
      <c r="B1842" s="21"/>
      <c r="C1842" s="23"/>
      <c r="D1842" s="24"/>
      <c r="E1842" s="14"/>
      <c r="F1842" s="14"/>
      <c r="G1842" s="14"/>
      <c r="H1842" s="23"/>
      <c r="I1842" s="27"/>
      <c r="J1842" s="23"/>
      <c r="K1842" s="30"/>
      <c r="L1842" s="23"/>
      <c r="M1842" s="20"/>
      <c r="N1842" s="20"/>
      <c r="O1842" s="20"/>
      <c r="P1842" s="20"/>
    </row>
    <row r="1843">
      <c r="A1843" s="10"/>
      <c r="B1843" s="11"/>
      <c r="C1843" s="10"/>
      <c r="D1843" s="13"/>
      <c r="E1843" s="14"/>
      <c r="F1843" s="14"/>
      <c r="G1843" s="14"/>
      <c r="H1843" s="10"/>
      <c r="I1843" s="17"/>
      <c r="J1843" s="10"/>
      <c r="K1843" s="46"/>
      <c r="L1843" s="10"/>
      <c r="M1843" s="20"/>
      <c r="N1843" s="20"/>
      <c r="O1843" s="20"/>
      <c r="P1843" s="20"/>
    </row>
    <row r="1844">
      <c r="A1844" s="23"/>
      <c r="B1844" s="21"/>
      <c r="C1844" s="23"/>
      <c r="D1844" s="24"/>
      <c r="E1844" s="14"/>
      <c r="F1844" s="14"/>
      <c r="G1844" s="14"/>
      <c r="H1844" s="23"/>
      <c r="I1844" s="27"/>
      <c r="J1844" s="23"/>
      <c r="K1844" s="30"/>
      <c r="L1844" s="23"/>
      <c r="M1844" s="20"/>
      <c r="N1844" s="20"/>
      <c r="O1844" s="20"/>
      <c r="P1844" s="20"/>
    </row>
    <row r="1845">
      <c r="A1845" s="10"/>
      <c r="B1845" s="11"/>
      <c r="C1845" s="10"/>
      <c r="D1845" s="13"/>
      <c r="E1845" s="14"/>
      <c r="F1845" s="14"/>
      <c r="G1845" s="14"/>
      <c r="H1845" s="10"/>
      <c r="I1845" s="17"/>
      <c r="J1845" s="10"/>
      <c r="K1845" s="46"/>
      <c r="L1845" s="10"/>
      <c r="M1845" s="20"/>
      <c r="N1845" s="20"/>
      <c r="O1845" s="20"/>
      <c r="P1845" s="20"/>
    </row>
    <row r="1846">
      <c r="A1846" s="23"/>
      <c r="B1846" s="21"/>
      <c r="C1846" s="23"/>
      <c r="D1846" s="24"/>
      <c r="E1846" s="14"/>
      <c r="F1846" s="14"/>
      <c r="G1846" s="14"/>
      <c r="H1846" s="23"/>
      <c r="I1846" s="27"/>
      <c r="J1846" s="23"/>
      <c r="K1846" s="30"/>
      <c r="L1846" s="23"/>
      <c r="M1846" s="20"/>
      <c r="N1846" s="20"/>
      <c r="O1846" s="20"/>
      <c r="P1846" s="20"/>
    </row>
    <row r="1847">
      <c r="A1847" s="10"/>
      <c r="B1847" s="11"/>
      <c r="C1847" s="10"/>
      <c r="D1847" s="13"/>
      <c r="E1847" s="14"/>
      <c r="F1847" s="14"/>
      <c r="G1847" s="14"/>
      <c r="H1847" s="10"/>
      <c r="I1847" s="17"/>
      <c r="J1847" s="10"/>
      <c r="K1847" s="46"/>
      <c r="L1847" s="10"/>
      <c r="M1847" s="20"/>
      <c r="N1847" s="20"/>
      <c r="O1847" s="20"/>
      <c r="P1847" s="20"/>
    </row>
    <row r="1848">
      <c r="A1848" s="23"/>
      <c r="B1848" s="21"/>
      <c r="C1848" s="23"/>
      <c r="D1848" s="24"/>
      <c r="E1848" s="14"/>
      <c r="F1848" s="14"/>
      <c r="G1848" s="14"/>
      <c r="H1848" s="23"/>
      <c r="I1848" s="27"/>
      <c r="J1848" s="23"/>
      <c r="K1848" s="30"/>
      <c r="L1848" s="23"/>
      <c r="M1848" s="20"/>
      <c r="N1848" s="20"/>
      <c r="O1848" s="20"/>
      <c r="P1848" s="20"/>
    </row>
    <row r="1849">
      <c r="A1849" s="10"/>
      <c r="B1849" s="11"/>
      <c r="C1849" s="10"/>
      <c r="D1849" s="13"/>
      <c r="E1849" s="14"/>
      <c r="F1849" s="14"/>
      <c r="G1849" s="14"/>
      <c r="H1849" s="10"/>
      <c r="I1849" s="17"/>
      <c r="J1849" s="10"/>
      <c r="K1849" s="46"/>
      <c r="L1849" s="10"/>
      <c r="M1849" s="20"/>
      <c r="N1849" s="20"/>
      <c r="O1849" s="20"/>
      <c r="P1849" s="20"/>
    </row>
    <row r="1850">
      <c r="A1850" s="23"/>
      <c r="B1850" s="21"/>
      <c r="C1850" s="23"/>
      <c r="D1850" s="24"/>
      <c r="E1850" s="14"/>
      <c r="F1850" s="14"/>
      <c r="G1850" s="14"/>
      <c r="H1850" s="23"/>
      <c r="I1850" s="27"/>
      <c r="J1850" s="23"/>
      <c r="K1850" s="30"/>
      <c r="L1850" s="23"/>
      <c r="M1850" s="20"/>
      <c r="N1850" s="20"/>
      <c r="O1850" s="20"/>
      <c r="P1850" s="20"/>
    </row>
    <row r="1851">
      <c r="A1851" s="10"/>
      <c r="B1851" s="11"/>
      <c r="C1851" s="10"/>
      <c r="D1851" s="13"/>
      <c r="E1851" s="14"/>
      <c r="F1851" s="14"/>
      <c r="G1851" s="14"/>
      <c r="H1851" s="10"/>
      <c r="I1851" s="17"/>
      <c r="J1851" s="10"/>
      <c r="K1851" s="46"/>
      <c r="L1851" s="10"/>
      <c r="M1851" s="20"/>
      <c r="N1851" s="20"/>
      <c r="O1851" s="20"/>
      <c r="P1851" s="20"/>
    </row>
    <row r="1852">
      <c r="A1852" s="23"/>
      <c r="B1852" s="21"/>
      <c r="C1852" s="23"/>
      <c r="D1852" s="24"/>
      <c r="E1852" s="14"/>
      <c r="F1852" s="14"/>
      <c r="G1852" s="14"/>
      <c r="H1852" s="23"/>
      <c r="I1852" s="27"/>
      <c r="J1852" s="23"/>
      <c r="K1852" s="30"/>
      <c r="L1852" s="23"/>
      <c r="M1852" s="20"/>
      <c r="N1852" s="20"/>
      <c r="O1852" s="20"/>
      <c r="P1852" s="20"/>
    </row>
    <row r="1853">
      <c r="A1853" s="10"/>
      <c r="B1853" s="11"/>
      <c r="C1853" s="10"/>
      <c r="D1853" s="13"/>
      <c r="E1853" s="14"/>
      <c r="F1853" s="14"/>
      <c r="G1853" s="14"/>
      <c r="H1853" s="10"/>
      <c r="I1853" s="17"/>
      <c r="J1853" s="10"/>
      <c r="K1853" s="46"/>
      <c r="L1853" s="10"/>
      <c r="M1853" s="20"/>
      <c r="N1853" s="20"/>
      <c r="O1853" s="20"/>
      <c r="P1853" s="20"/>
    </row>
    <row r="1854">
      <c r="A1854" s="23"/>
      <c r="B1854" s="21"/>
      <c r="C1854" s="23"/>
      <c r="D1854" s="24"/>
      <c r="E1854" s="14"/>
      <c r="F1854" s="14"/>
      <c r="G1854" s="14"/>
      <c r="H1854" s="23"/>
      <c r="I1854" s="27"/>
      <c r="J1854" s="23"/>
      <c r="K1854" s="30"/>
      <c r="L1854" s="23"/>
      <c r="M1854" s="20"/>
      <c r="N1854" s="20"/>
      <c r="O1854" s="20"/>
      <c r="P1854" s="20"/>
    </row>
    <row r="1855">
      <c r="A1855" s="10"/>
      <c r="B1855" s="11"/>
      <c r="C1855" s="10"/>
      <c r="D1855" s="13"/>
      <c r="E1855" s="14"/>
      <c r="F1855" s="14"/>
      <c r="G1855" s="14"/>
      <c r="H1855" s="10"/>
      <c r="I1855" s="17"/>
      <c r="J1855" s="10"/>
      <c r="K1855" s="46"/>
      <c r="L1855" s="10"/>
      <c r="M1855" s="20"/>
      <c r="N1855" s="20"/>
      <c r="O1855" s="20"/>
      <c r="P1855" s="20"/>
    </row>
    <row r="1856">
      <c r="A1856" s="23"/>
      <c r="B1856" s="21"/>
      <c r="C1856" s="23"/>
      <c r="D1856" s="24"/>
      <c r="E1856" s="14"/>
      <c r="F1856" s="14"/>
      <c r="G1856" s="14"/>
      <c r="H1856" s="23"/>
      <c r="I1856" s="27"/>
      <c r="J1856" s="23"/>
      <c r="K1856" s="30"/>
      <c r="L1856" s="23"/>
      <c r="M1856" s="20"/>
      <c r="N1856" s="20"/>
      <c r="O1856" s="20"/>
      <c r="P1856" s="20"/>
    </row>
    <row r="1857">
      <c r="A1857" s="10"/>
      <c r="B1857" s="11"/>
      <c r="C1857" s="10"/>
      <c r="D1857" s="13"/>
      <c r="E1857" s="14"/>
      <c r="F1857" s="14"/>
      <c r="G1857" s="14"/>
      <c r="H1857" s="10"/>
      <c r="I1857" s="17"/>
      <c r="J1857" s="10"/>
      <c r="K1857" s="46"/>
      <c r="L1857" s="10"/>
      <c r="M1857" s="20"/>
      <c r="N1857" s="20"/>
      <c r="O1857" s="20"/>
      <c r="P1857" s="20"/>
    </row>
    <row r="1858">
      <c r="A1858" s="23"/>
      <c r="B1858" s="21"/>
      <c r="C1858" s="23"/>
      <c r="D1858" s="24"/>
      <c r="E1858" s="14"/>
      <c r="F1858" s="14"/>
      <c r="G1858" s="14"/>
      <c r="H1858" s="23"/>
      <c r="I1858" s="27"/>
      <c r="J1858" s="23"/>
      <c r="K1858" s="30"/>
      <c r="L1858" s="23"/>
      <c r="M1858" s="20"/>
      <c r="N1858" s="20"/>
      <c r="O1858" s="20"/>
      <c r="P1858" s="20"/>
    </row>
    <row r="1859">
      <c r="A1859" s="10"/>
      <c r="B1859" s="11"/>
      <c r="C1859" s="10"/>
      <c r="D1859" s="13"/>
      <c r="E1859" s="14"/>
      <c r="F1859" s="14"/>
      <c r="G1859" s="14"/>
      <c r="H1859" s="10"/>
      <c r="I1859" s="17"/>
      <c r="J1859" s="10"/>
      <c r="K1859" s="46"/>
      <c r="L1859" s="10"/>
      <c r="M1859" s="20"/>
      <c r="N1859" s="20"/>
      <c r="O1859" s="20"/>
      <c r="P1859" s="20"/>
    </row>
    <row r="1860">
      <c r="A1860" s="23"/>
      <c r="B1860" s="21"/>
      <c r="C1860" s="23"/>
      <c r="D1860" s="24"/>
      <c r="E1860" s="14"/>
      <c r="F1860" s="14"/>
      <c r="G1860" s="14"/>
      <c r="H1860" s="23"/>
      <c r="I1860" s="27"/>
      <c r="J1860" s="23"/>
      <c r="K1860" s="30"/>
      <c r="L1860" s="23"/>
      <c r="M1860" s="20"/>
      <c r="N1860" s="20"/>
      <c r="O1860" s="20"/>
      <c r="P1860" s="20"/>
    </row>
    <row r="1861">
      <c r="A1861" s="10"/>
      <c r="B1861" s="11"/>
      <c r="C1861" s="10"/>
      <c r="D1861" s="13"/>
      <c r="E1861" s="14"/>
      <c r="F1861" s="14"/>
      <c r="G1861" s="14"/>
      <c r="H1861" s="10"/>
      <c r="I1861" s="17"/>
      <c r="J1861" s="10"/>
      <c r="K1861" s="46"/>
      <c r="L1861" s="10"/>
      <c r="M1861" s="20"/>
      <c r="N1861" s="20"/>
      <c r="O1861" s="20"/>
      <c r="P1861" s="20"/>
    </row>
    <row r="1862">
      <c r="A1862" s="23"/>
      <c r="B1862" s="21"/>
      <c r="C1862" s="23"/>
      <c r="D1862" s="24"/>
      <c r="E1862" s="14"/>
      <c r="F1862" s="14"/>
      <c r="G1862" s="14"/>
      <c r="H1862" s="23"/>
      <c r="I1862" s="27"/>
      <c r="J1862" s="23"/>
      <c r="K1862" s="30"/>
      <c r="L1862" s="23"/>
      <c r="M1862" s="20"/>
      <c r="N1862" s="20"/>
      <c r="O1862" s="20"/>
      <c r="P1862" s="20"/>
    </row>
    <row r="1863">
      <c r="A1863" s="10"/>
      <c r="B1863" s="11"/>
      <c r="C1863" s="10"/>
      <c r="D1863" s="13"/>
      <c r="E1863" s="14"/>
      <c r="F1863" s="14"/>
      <c r="G1863" s="14"/>
      <c r="H1863" s="10"/>
      <c r="I1863" s="17"/>
      <c r="J1863" s="10"/>
      <c r="K1863" s="46"/>
      <c r="L1863" s="10"/>
      <c r="M1863" s="20"/>
      <c r="N1863" s="20"/>
      <c r="O1863" s="20"/>
      <c r="P1863" s="20"/>
    </row>
    <row r="1864">
      <c r="A1864" s="23"/>
      <c r="B1864" s="21"/>
      <c r="C1864" s="23"/>
      <c r="D1864" s="24"/>
      <c r="E1864" s="14"/>
      <c r="F1864" s="14"/>
      <c r="G1864" s="14"/>
      <c r="H1864" s="23"/>
      <c r="I1864" s="27"/>
      <c r="J1864" s="23"/>
      <c r="K1864" s="30"/>
      <c r="L1864" s="23"/>
      <c r="M1864" s="20"/>
      <c r="N1864" s="20"/>
      <c r="O1864" s="20"/>
      <c r="P1864" s="20"/>
    </row>
    <row r="1865">
      <c r="A1865" s="10"/>
      <c r="B1865" s="11"/>
      <c r="C1865" s="10"/>
      <c r="D1865" s="13"/>
      <c r="E1865" s="14"/>
      <c r="F1865" s="14"/>
      <c r="G1865" s="14"/>
      <c r="H1865" s="10"/>
      <c r="I1865" s="17"/>
      <c r="J1865" s="10"/>
      <c r="K1865" s="46"/>
      <c r="L1865" s="10"/>
      <c r="M1865" s="20"/>
      <c r="N1865" s="20"/>
      <c r="O1865" s="20"/>
      <c r="P1865" s="20"/>
    </row>
    <row r="1866">
      <c r="A1866" s="23"/>
      <c r="B1866" s="21"/>
      <c r="C1866" s="23"/>
      <c r="D1866" s="24"/>
      <c r="E1866" s="14"/>
      <c r="F1866" s="14"/>
      <c r="G1866" s="14"/>
      <c r="H1866" s="23"/>
      <c r="I1866" s="27"/>
      <c r="J1866" s="23"/>
      <c r="K1866" s="30"/>
      <c r="L1866" s="23"/>
      <c r="M1866" s="20"/>
      <c r="N1866" s="20"/>
      <c r="O1866" s="20"/>
      <c r="P1866" s="20"/>
    </row>
    <row r="1867">
      <c r="A1867" s="10"/>
      <c r="B1867" s="11"/>
      <c r="C1867" s="10"/>
      <c r="D1867" s="13"/>
      <c r="E1867" s="14"/>
      <c r="F1867" s="14"/>
      <c r="G1867" s="14"/>
      <c r="H1867" s="10"/>
      <c r="I1867" s="17"/>
      <c r="J1867" s="10"/>
      <c r="K1867" s="46"/>
      <c r="L1867" s="10"/>
      <c r="M1867" s="20"/>
      <c r="N1867" s="20"/>
      <c r="O1867" s="20"/>
      <c r="P1867" s="20"/>
    </row>
    <row r="1868">
      <c r="A1868" s="23"/>
      <c r="B1868" s="21"/>
      <c r="C1868" s="23"/>
      <c r="D1868" s="24"/>
      <c r="E1868" s="14"/>
      <c r="F1868" s="14"/>
      <c r="G1868" s="14"/>
      <c r="H1868" s="23"/>
      <c r="I1868" s="27"/>
      <c r="J1868" s="23"/>
      <c r="K1868" s="30"/>
      <c r="L1868" s="23"/>
      <c r="M1868" s="20"/>
      <c r="N1868" s="20"/>
      <c r="O1868" s="20"/>
      <c r="P1868" s="20"/>
    </row>
    <row r="1869">
      <c r="A1869" s="10"/>
      <c r="B1869" s="11"/>
      <c r="C1869" s="10"/>
      <c r="D1869" s="13"/>
      <c r="E1869" s="14"/>
      <c r="F1869" s="14"/>
      <c r="G1869" s="14"/>
      <c r="H1869" s="10"/>
      <c r="I1869" s="17"/>
      <c r="J1869" s="10"/>
      <c r="K1869" s="46"/>
      <c r="L1869" s="10"/>
      <c r="M1869" s="20"/>
      <c r="N1869" s="20"/>
      <c r="O1869" s="20"/>
      <c r="P1869" s="20"/>
    </row>
    <row r="1870">
      <c r="A1870" s="23"/>
      <c r="B1870" s="21"/>
      <c r="C1870" s="23"/>
      <c r="D1870" s="24"/>
      <c r="E1870" s="14"/>
      <c r="F1870" s="14"/>
      <c r="G1870" s="14"/>
      <c r="H1870" s="23"/>
      <c r="I1870" s="27"/>
      <c r="J1870" s="23"/>
      <c r="K1870" s="30"/>
      <c r="L1870" s="23"/>
      <c r="M1870" s="20"/>
      <c r="N1870" s="20"/>
      <c r="O1870" s="20"/>
      <c r="P1870" s="20"/>
    </row>
    <row r="1871">
      <c r="A1871" s="10"/>
      <c r="B1871" s="11"/>
      <c r="C1871" s="10"/>
      <c r="D1871" s="13"/>
      <c r="E1871" s="14"/>
      <c r="F1871" s="14"/>
      <c r="G1871" s="14"/>
      <c r="H1871" s="10"/>
      <c r="I1871" s="17"/>
      <c r="J1871" s="10"/>
      <c r="K1871" s="46"/>
      <c r="L1871" s="10"/>
      <c r="M1871" s="20"/>
      <c r="N1871" s="20"/>
      <c r="O1871" s="20"/>
      <c r="P1871" s="20"/>
    </row>
    <row r="1872">
      <c r="A1872" s="23"/>
      <c r="B1872" s="21"/>
      <c r="C1872" s="23"/>
      <c r="D1872" s="24"/>
      <c r="E1872" s="14"/>
      <c r="F1872" s="14"/>
      <c r="G1872" s="14"/>
      <c r="H1872" s="23"/>
      <c r="I1872" s="27"/>
      <c r="J1872" s="23"/>
      <c r="K1872" s="30"/>
      <c r="L1872" s="23"/>
      <c r="M1872" s="20"/>
      <c r="N1872" s="20"/>
      <c r="O1872" s="20"/>
      <c r="P1872" s="20"/>
    </row>
    <row r="1873">
      <c r="A1873" s="10"/>
      <c r="B1873" s="11"/>
      <c r="C1873" s="10"/>
      <c r="D1873" s="13"/>
      <c r="E1873" s="14"/>
      <c r="F1873" s="14"/>
      <c r="G1873" s="14"/>
      <c r="H1873" s="10"/>
      <c r="I1873" s="17"/>
      <c r="J1873" s="10"/>
      <c r="K1873" s="46"/>
      <c r="L1873" s="10"/>
      <c r="M1873" s="20"/>
      <c r="N1873" s="20"/>
      <c r="O1873" s="20"/>
      <c r="P1873" s="20"/>
    </row>
    <row r="1874">
      <c r="A1874" s="23"/>
      <c r="B1874" s="21"/>
      <c r="C1874" s="23"/>
      <c r="D1874" s="24"/>
      <c r="E1874" s="14"/>
      <c r="F1874" s="14"/>
      <c r="G1874" s="14"/>
      <c r="H1874" s="23"/>
      <c r="I1874" s="27"/>
      <c r="J1874" s="23"/>
      <c r="K1874" s="30"/>
      <c r="L1874" s="23"/>
      <c r="M1874" s="20"/>
      <c r="N1874" s="20"/>
      <c r="O1874" s="20"/>
      <c r="P1874" s="20"/>
    </row>
    <row r="1875">
      <c r="A1875" s="10"/>
      <c r="B1875" s="11"/>
      <c r="C1875" s="10"/>
      <c r="D1875" s="13"/>
      <c r="E1875" s="14"/>
      <c r="F1875" s="14"/>
      <c r="G1875" s="14"/>
      <c r="H1875" s="10"/>
      <c r="I1875" s="17"/>
      <c r="J1875" s="10"/>
      <c r="K1875" s="46"/>
      <c r="L1875" s="10"/>
      <c r="M1875" s="20"/>
      <c r="N1875" s="20"/>
      <c r="O1875" s="20"/>
      <c r="P1875" s="20"/>
    </row>
    <row r="1876">
      <c r="A1876" s="23"/>
      <c r="B1876" s="21"/>
      <c r="C1876" s="23"/>
      <c r="D1876" s="24"/>
      <c r="E1876" s="14"/>
      <c r="F1876" s="14"/>
      <c r="G1876" s="14"/>
      <c r="H1876" s="23"/>
      <c r="I1876" s="27"/>
      <c r="J1876" s="23"/>
      <c r="K1876" s="30"/>
      <c r="L1876" s="23"/>
      <c r="M1876" s="20"/>
      <c r="N1876" s="20"/>
      <c r="O1876" s="20"/>
      <c r="P1876" s="20"/>
    </row>
    <row r="1877">
      <c r="A1877" s="10"/>
      <c r="B1877" s="11"/>
      <c r="C1877" s="10"/>
      <c r="D1877" s="13"/>
      <c r="E1877" s="14"/>
      <c r="F1877" s="14"/>
      <c r="G1877" s="14"/>
      <c r="H1877" s="10"/>
      <c r="I1877" s="17"/>
      <c r="J1877" s="10"/>
      <c r="K1877" s="46"/>
      <c r="L1877" s="10"/>
      <c r="M1877" s="20"/>
      <c r="N1877" s="20"/>
      <c r="O1877" s="20"/>
      <c r="P1877" s="20"/>
    </row>
    <row r="1878">
      <c r="A1878" s="23"/>
      <c r="B1878" s="21"/>
      <c r="C1878" s="23"/>
      <c r="D1878" s="24"/>
      <c r="E1878" s="14"/>
      <c r="F1878" s="14"/>
      <c r="G1878" s="14"/>
      <c r="H1878" s="23"/>
      <c r="I1878" s="27"/>
      <c r="J1878" s="23"/>
      <c r="K1878" s="30"/>
      <c r="L1878" s="23"/>
      <c r="M1878" s="20"/>
      <c r="N1878" s="20"/>
      <c r="O1878" s="20"/>
      <c r="P1878" s="20"/>
    </row>
    <row r="1879">
      <c r="A1879" s="10"/>
      <c r="B1879" s="11"/>
      <c r="C1879" s="10"/>
      <c r="D1879" s="13"/>
      <c r="E1879" s="14"/>
      <c r="F1879" s="14"/>
      <c r="G1879" s="14"/>
      <c r="H1879" s="10"/>
      <c r="I1879" s="17"/>
      <c r="J1879" s="10"/>
      <c r="K1879" s="46"/>
      <c r="L1879" s="10"/>
      <c r="M1879" s="20"/>
      <c r="N1879" s="20"/>
      <c r="O1879" s="20"/>
      <c r="P1879" s="20"/>
    </row>
    <row r="1880">
      <c r="A1880" s="23"/>
      <c r="B1880" s="21"/>
      <c r="C1880" s="23"/>
      <c r="D1880" s="24"/>
      <c r="E1880" s="14"/>
      <c r="F1880" s="14"/>
      <c r="G1880" s="14"/>
      <c r="H1880" s="23"/>
      <c r="I1880" s="27"/>
      <c r="J1880" s="23"/>
      <c r="K1880" s="30"/>
      <c r="L1880" s="23"/>
      <c r="M1880" s="20"/>
      <c r="N1880" s="20"/>
      <c r="O1880" s="20"/>
      <c r="P1880" s="20"/>
    </row>
    <row r="1881">
      <c r="A1881" s="10"/>
      <c r="B1881" s="11"/>
      <c r="C1881" s="10"/>
      <c r="D1881" s="13"/>
      <c r="E1881" s="14"/>
      <c r="F1881" s="14"/>
      <c r="G1881" s="14"/>
      <c r="H1881" s="10"/>
      <c r="I1881" s="17"/>
      <c r="J1881" s="10"/>
      <c r="K1881" s="46"/>
      <c r="L1881" s="10"/>
      <c r="M1881" s="20"/>
      <c r="N1881" s="20"/>
      <c r="O1881" s="20"/>
      <c r="P1881" s="20"/>
    </row>
    <row r="1882">
      <c r="A1882" s="23"/>
      <c r="B1882" s="21"/>
      <c r="C1882" s="23"/>
      <c r="D1882" s="24"/>
      <c r="E1882" s="14"/>
      <c r="F1882" s="14"/>
      <c r="G1882" s="14"/>
      <c r="H1882" s="23"/>
      <c r="I1882" s="27"/>
      <c r="J1882" s="23"/>
      <c r="K1882" s="30"/>
      <c r="L1882" s="23"/>
      <c r="M1882" s="20"/>
      <c r="N1882" s="20"/>
      <c r="O1882" s="20"/>
      <c r="P1882" s="20"/>
    </row>
    <row r="1883">
      <c r="A1883" s="10"/>
      <c r="B1883" s="11"/>
      <c r="C1883" s="10"/>
      <c r="D1883" s="13"/>
      <c r="E1883" s="14"/>
      <c r="F1883" s="14"/>
      <c r="G1883" s="14"/>
      <c r="H1883" s="10"/>
      <c r="I1883" s="17"/>
      <c r="J1883" s="10"/>
      <c r="K1883" s="46"/>
      <c r="L1883" s="10"/>
      <c r="M1883" s="20"/>
      <c r="N1883" s="20"/>
      <c r="O1883" s="20"/>
      <c r="P1883" s="20"/>
    </row>
    <row r="1884">
      <c r="A1884" s="23"/>
      <c r="B1884" s="21"/>
      <c r="C1884" s="23"/>
      <c r="D1884" s="24"/>
      <c r="E1884" s="14"/>
      <c r="F1884" s="14"/>
      <c r="G1884" s="14"/>
      <c r="H1884" s="23"/>
      <c r="I1884" s="27"/>
      <c r="J1884" s="23"/>
      <c r="K1884" s="30"/>
      <c r="L1884" s="23"/>
      <c r="M1884" s="20"/>
      <c r="N1884" s="20"/>
      <c r="O1884" s="20"/>
      <c r="P1884" s="20"/>
    </row>
    <row r="1885">
      <c r="A1885" s="10"/>
      <c r="B1885" s="11"/>
      <c r="C1885" s="10"/>
      <c r="D1885" s="13"/>
      <c r="E1885" s="14"/>
      <c r="F1885" s="14"/>
      <c r="G1885" s="14"/>
      <c r="H1885" s="10"/>
      <c r="I1885" s="17"/>
      <c r="J1885" s="10"/>
      <c r="K1885" s="46"/>
      <c r="L1885" s="10"/>
      <c r="M1885" s="20"/>
      <c r="N1885" s="20"/>
      <c r="O1885" s="20"/>
      <c r="P1885" s="20"/>
    </row>
    <row r="1886">
      <c r="A1886" s="23"/>
      <c r="B1886" s="21"/>
      <c r="C1886" s="23"/>
      <c r="D1886" s="24"/>
      <c r="E1886" s="14"/>
      <c r="F1886" s="14"/>
      <c r="G1886" s="14"/>
      <c r="H1886" s="23"/>
      <c r="I1886" s="27"/>
      <c r="J1886" s="23"/>
      <c r="K1886" s="30"/>
      <c r="L1886" s="23"/>
      <c r="M1886" s="20"/>
      <c r="N1886" s="20"/>
      <c r="O1886" s="20"/>
      <c r="P1886" s="20"/>
    </row>
    <row r="1887">
      <c r="A1887" s="10"/>
      <c r="B1887" s="11"/>
      <c r="C1887" s="10"/>
      <c r="D1887" s="13"/>
      <c r="E1887" s="14"/>
      <c r="F1887" s="14"/>
      <c r="G1887" s="14"/>
      <c r="H1887" s="10"/>
      <c r="I1887" s="17"/>
      <c r="J1887" s="10"/>
      <c r="K1887" s="46"/>
      <c r="L1887" s="10"/>
      <c r="M1887" s="20"/>
      <c r="N1887" s="20"/>
      <c r="O1887" s="20"/>
      <c r="P1887" s="20"/>
    </row>
    <row r="1888">
      <c r="A1888" s="23"/>
      <c r="B1888" s="21"/>
      <c r="C1888" s="23"/>
      <c r="D1888" s="24"/>
      <c r="E1888" s="14"/>
      <c r="F1888" s="14"/>
      <c r="G1888" s="14"/>
      <c r="H1888" s="23"/>
      <c r="I1888" s="27"/>
      <c r="J1888" s="23"/>
      <c r="K1888" s="30"/>
      <c r="L1888" s="23"/>
      <c r="M1888" s="20"/>
      <c r="N1888" s="20"/>
      <c r="O1888" s="20"/>
      <c r="P1888" s="20"/>
    </row>
    <row r="1889">
      <c r="A1889" s="10"/>
      <c r="B1889" s="11"/>
      <c r="C1889" s="10"/>
      <c r="D1889" s="13"/>
      <c r="E1889" s="14"/>
      <c r="F1889" s="14"/>
      <c r="G1889" s="14"/>
      <c r="H1889" s="10"/>
      <c r="I1889" s="17"/>
      <c r="J1889" s="10"/>
      <c r="K1889" s="46"/>
      <c r="L1889" s="10"/>
      <c r="M1889" s="20"/>
      <c r="N1889" s="20"/>
      <c r="O1889" s="20"/>
      <c r="P1889" s="20"/>
    </row>
    <row r="1890">
      <c r="A1890" s="23"/>
      <c r="B1890" s="21"/>
      <c r="C1890" s="23"/>
      <c r="D1890" s="24"/>
      <c r="E1890" s="14"/>
      <c r="F1890" s="14"/>
      <c r="G1890" s="14"/>
      <c r="H1890" s="23"/>
      <c r="I1890" s="27"/>
      <c r="J1890" s="23"/>
      <c r="K1890" s="30"/>
      <c r="L1890" s="23"/>
      <c r="M1890" s="20"/>
      <c r="N1890" s="20"/>
      <c r="O1890" s="20"/>
      <c r="P1890" s="20"/>
    </row>
    <row r="1891">
      <c r="A1891" s="10"/>
      <c r="B1891" s="11"/>
      <c r="C1891" s="10"/>
      <c r="D1891" s="13"/>
      <c r="E1891" s="14"/>
      <c r="F1891" s="14"/>
      <c r="G1891" s="14"/>
      <c r="H1891" s="10"/>
      <c r="I1891" s="17"/>
      <c r="J1891" s="10"/>
      <c r="K1891" s="46"/>
      <c r="L1891" s="10"/>
      <c r="M1891" s="20"/>
      <c r="N1891" s="20"/>
      <c r="O1891" s="20"/>
      <c r="P1891" s="20"/>
    </row>
    <row r="1892">
      <c r="A1892" s="23"/>
      <c r="B1892" s="21"/>
      <c r="C1892" s="23"/>
      <c r="D1892" s="24"/>
      <c r="E1892" s="14"/>
      <c r="F1892" s="14"/>
      <c r="G1892" s="14"/>
      <c r="H1892" s="23"/>
      <c r="I1892" s="27"/>
      <c r="J1892" s="23"/>
      <c r="K1892" s="30"/>
      <c r="L1892" s="23"/>
      <c r="M1892" s="20"/>
      <c r="N1892" s="20"/>
      <c r="O1892" s="20"/>
      <c r="P1892" s="20"/>
    </row>
    <row r="1893">
      <c r="A1893" s="10"/>
      <c r="B1893" s="11"/>
      <c r="C1893" s="10"/>
      <c r="D1893" s="13"/>
      <c r="E1893" s="14"/>
      <c r="F1893" s="14"/>
      <c r="G1893" s="14"/>
      <c r="H1893" s="10"/>
      <c r="I1893" s="17"/>
      <c r="J1893" s="10"/>
      <c r="K1893" s="46"/>
      <c r="L1893" s="10"/>
      <c r="M1893" s="20"/>
      <c r="N1893" s="20"/>
      <c r="O1893" s="20"/>
      <c r="P1893" s="20"/>
    </row>
    <row r="1894">
      <c r="A1894" s="23"/>
      <c r="B1894" s="21"/>
      <c r="C1894" s="23"/>
      <c r="D1894" s="24"/>
      <c r="E1894" s="14"/>
      <c r="F1894" s="14"/>
      <c r="G1894" s="14"/>
      <c r="H1894" s="23"/>
      <c r="I1894" s="27"/>
      <c r="J1894" s="23"/>
      <c r="K1894" s="30"/>
      <c r="L1894" s="23"/>
      <c r="M1894" s="20"/>
      <c r="N1894" s="20"/>
      <c r="O1894" s="20"/>
      <c r="P1894" s="20"/>
    </row>
    <row r="1895">
      <c r="A1895" s="10"/>
      <c r="B1895" s="11"/>
      <c r="C1895" s="10"/>
      <c r="D1895" s="13"/>
      <c r="E1895" s="14"/>
      <c r="F1895" s="14"/>
      <c r="G1895" s="14"/>
      <c r="H1895" s="10"/>
      <c r="I1895" s="17"/>
      <c r="J1895" s="10"/>
      <c r="K1895" s="46"/>
      <c r="L1895" s="10"/>
      <c r="M1895" s="20"/>
      <c r="N1895" s="20"/>
      <c r="O1895" s="20"/>
      <c r="P1895" s="20"/>
    </row>
    <row r="1896">
      <c r="A1896" s="23"/>
      <c r="B1896" s="21"/>
      <c r="C1896" s="23"/>
      <c r="D1896" s="24"/>
      <c r="E1896" s="14"/>
      <c r="F1896" s="14"/>
      <c r="G1896" s="14"/>
      <c r="H1896" s="23"/>
      <c r="I1896" s="27"/>
      <c r="J1896" s="23"/>
      <c r="K1896" s="30"/>
      <c r="L1896" s="23"/>
      <c r="M1896" s="20"/>
      <c r="N1896" s="20"/>
      <c r="O1896" s="20"/>
      <c r="P1896" s="20"/>
    </row>
    <row r="1897">
      <c r="A1897" s="10"/>
      <c r="B1897" s="11"/>
      <c r="C1897" s="10"/>
      <c r="D1897" s="13"/>
      <c r="E1897" s="14"/>
      <c r="F1897" s="14"/>
      <c r="G1897" s="14"/>
      <c r="H1897" s="10"/>
      <c r="I1897" s="17"/>
      <c r="J1897" s="10"/>
      <c r="K1897" s="46"/>
      <c r="L1897" s="10"/>
      <c r="M1897" s="20"/>
      <c r="N1897" s="20"/>
      <c r="O1897" s="20"/>
      <c r="P1897" s="20"/>
    </row>
    <row r="1898">
      <c r="A1898" s="23"/>
      <c r="B1898" s="21"/>
      <c r="C1898" s="23"/>
      <c r="D1898" s="24"/>
      <c r="E1898" s="14"/>
      <c r="F1898" s="14"/>
      <c r="G1898" s="14"/>
      <c r="H1898" s="23"/>
      <c r="I1898" s="27"/>
      <c r="J1898" s="23"/>
      <c r="K1898" s="30"/>
      <c r="L1898" s="23"/>
      <c r="M1898" s="20"/>
      <c r="N1898" s="20"/>
      <c r="O1898" s="20"/>
      <c r="P1898" s="20"/>
    </row>
    <row r="1899">
      <c r="A1899" s="10"/>
      <c r="B1899" s="11"/>
      <c r="C1899" s="10"/>
      <c r="D1899" s="13"/>
      <c r="E1899" s="14"/>
      <c r="F1899" s="14"/>
      <c r="G1899" s="14"/>
      <c r="H1899" s="10"/>
      <c r="I1899" s="17"/>
      <c r="J1899" s="10"/>
      <c r="K1899" s="46"/>
      <c r="L1899" s="10"/>
      <c r="M1899" s="20"/>
      <c r="N1899" s="20"/>
      <c r="O1899" s="20"/>
      <c r="P1899" s="20"/>
    </row>
    <row r="1900">
      <c r="A1900" s="23"/>
      <c r="B1900" s="21"/>
      <c r="C1900" s="23"/>
      <c r="D1900" s="24"/>
      <c r="E1900" s="14"/>
      <c r="F1900" s="14"/>
      <c r="G1900" s="14"/>
      <c r="H1900" s="23"/>
      <c r="I1900" s="27"/>
      <c r="J1900" s="23"/>
      <c r="K1900" s="30"/>
      <c r="L1900" s="23"/>
      <c r="M1900" s="20"/>
      <c r="N1900" s="20"/>
      <c r="O1900" s="20"/>
      <c r="P1900" s="20"/>
    </row>
    <row r="1901">
      <c r="A1901" s="10"/>
      <c r="B1901" s="11"/>
      <c r="C1901" s="10"/>
      <c r="D1901" s="13"/>
      <c r="E1901" s="14"/>
      <c r="F1901" s="14"/>
      <c r="G1901" s="14"/>
      <c r="H1901" s="10"/>
      <c r="I1901" s="17"/>
      <c r="J1901" s="10"/>
      <c r="K1901" s="46"/>
      <c r="L1901" s="10"/>
      <c r="M1901" s="20"/>
      <c r="N1901" s="20"/>
      <c r="O1901" s="20"/>
      <c r="P1901" s="20"/>
    </row>
    <row r="1902">
      <c r="A1902" s="23"/>
      <c r="B1902" s="21"/>
      <c r="C1902" s="23"/>
      <c r="D1902" s="24"/>
      <c r="E1902" s="14"/>
      <c r="F1902" s="14"/>
      <c r="G1902" s="14"/>
      <c r="H1902" s="23"/>
      <c r="I1902" s="27"/>
      <c r="J1902" s="23"/>
      <c r="K1902" s="30"/>
      <c r="L1902" s="23"/>
      <c r="M1902" s="20"/>
      <c r="N1902" s="20"/>
      <c r="O1902" s="20"/>
      <c r="P1902" s="20"/>
    </row>
    <row r="1903">
      <c r="A1903" s="10"/>
      <c r="B1903" s="11"/>
      <c r="C1903" s="10"/>
      <c r="D1903" s="13"/>
      <c r="E1903" s="14"/>
      <c r="F1903" s="14"/>
      <c r="G1903" s="14"/>
      <c r="H1903" s="10"/>
      <c r="I1903" s="17"/>
      <c r="J1903" s="10"/>
      <c r="K1903" s="46"/>
      <c r="L1903" s="10"/>
      <c r="M1903" s="20"/>
      <c r="N1903" s="20"/>
      <c r="O1903" s="20"/>
      <c r="P1903" s="20"/>
    </row>
    <row r="1904">
      <c r="A1904" s="23"/>
      <c r="B1904" s="21"/>
      <c r="C1904" s="23"/>
      <c r="D1904" s="24"/>
      <c r="E1904" s="14"/>
      <c r="F1904" s="14"/>
      <c r="G1904" s="14"/>
      <c r="H1904" s="23"/>
      <c r="I1904" s="27"/>
      <c r="J1904" s="23"/>
      <c r="K1904" s="30"/>
      <c r="L1904" s="23"/>
      <c r="M1904" s="20"/>
      <c r="N1904" s="20"/>
      <c r="O1904" s="20"/>
      <c r="P1904" s="20"/>
    </row>
    <row r="1905">
      <c r="A1905" s="10"/>
      <c r="B1905" s="11"/>
      <c r="C1905" s="10"/>
      <c r="D1905" s="13"/>
      <c r="E1905" s="14"/>
      <c r="F1905" s="14"/>
      <c r="G1905" s="14"/>
      <c r="H1905" s="10"/>
      <c r="I1905" s="17"/>
      <c r="J1905" s="10"/>
      <c r="K1905" s="46"/>
      <c r="L1905" s="10"/>
      <c r="M1905" s="20"/>
      <c r="N1905" s="20"/>
      <c r="O1905" s="20"/>
      <c r="P1905" s="20"/>
    </row>
    <row r="1906">
      <c r="A1906" s="23"/>
      <c r="B1906" s="21"/>
      <c r="C1906" s="23"/>
      <c r="D1906" s="24"/>
      <c r="E1906" s="14"/>
      <c r="F1906" s="14"/>
      <c r="G1906" s="14"/>
      <c r="H1906" s="23"/>
      <c r="I1906" s="27"/>
      <c r="J1906" s="23"/>
      <c r="K1906" s="30"/>
      <c r="L1906" s="23"/>
      <c r="M1906" s="20"/>
      <c r="N1906" s="20"/>
      <c r="O1906" s="20"/>
      <c r="P1906" s="20"/>
    </row>
    <row r="1907">
      <c r="A1907" s="10"/>
      <c r="B1907" s="11"/>
      <c r="C1907" s="10"/>
      <c r="D1907" s="13"/>
      <c r="E1907" s="14"/>
      <c r="F1907" s="14"/>
      <c r="G1907" s="14"/>
      <c r="H1907" s="10"/>
      <c r="I1907" s="17"/>
      <c r="J1907" s="10"/>
      <c r="K1907" s="46"/>
      <c r="L1907" s="10"/>
      <c r="M1907" s="20"/>
      <c r="N1907" s="20"/>
      <c r="O1907" s="20"/>
      <c r="P1907" s="20"/>
    </row>
    <row r="1908">
      <c r="A1908" s="23"/>
      <c r="B1908" s="21"/>
      <c r="C1908" s="23"/>
      <c r="D1908" s="24"/>
      <c r="E1908" s="14"/>
      <c r="F1908" s="14"/>
      <c r="G1908" s="14"/>
      <c r="H1908" s="23"/>
      <c r="I1908" s="27"/>
      <c r="J1908" s="23"/>
      <c r="K1908" s="30"/>
      <c r="L1908" s="23"/>
      <c r="M1908" s="20"/>
      <c r="N1908" s="20"/>
      <c r="O1908" s="20"/>
      <c r="P1908" s="20"/>
    </row>
    <row r="1909">
      <c r="A1909" s="10"/>
      <c r="B1909" s="11"/>
      <c r="C1909" s="10"/>
      <c r="D1909" s="13"/>
      <c r="E1909" s="14"/>
      <c r="F1909" s="14"/>
      <c r="G1909" s="14"/>
      <c r="H1909" s="10"/>
      <c r="I1909" s="17"/>
      <c r="J1909" s="10"/>
      <c r="K1909" s="46"/>
      <c r="L1909" s="10"/>
      <c r="M1909" s="20"/>
      <c r="N1909" s="20"/>
      <c r="O1909" s="20"/>
      <c r="P1909" s="20"/>
    </row>
    <row r="1910">
      <c r="A1910" s="23"/>
      <c r="B1910" s="21"/>
      <c r="C1910" s="23"/>
      <c r="D1910" s="24"/>
      <c r="E1910" s="14"/>
      <c r="F1910" s="14"/>
      <c r="G1910" s="14"/>
      <c r="H1910" s="23"/>
      <c r="I1910" s="27"/>
      <c r="J1910" s="23"/>
      <c r="K1910" s="30"/>
      <c r="L1910" s="23"/>
      <c r="M1910" s="20"/>
      <c r="N1910" s="20"/>
      <c r="O1910" s="20"/>
      <c r="P1910" s="20"/>
    </row>
    <row r="1911">
      <c r="A1911" s="10"/>
      <c r="B1911" s="11"/>
      <c r="C1911" s="10"/>
      <c r="D1911" s="13"/>
      <c r="E1911" s="14"/>
      <c r="F1911" s="14"/>
      <c r="G1911" s="14"/>
      <c r="H1911" s="10"/>
      <c r="I1911" s="17"/>
      <c r="J1911" s="10"/>
      <c r="K1911" s="46"/>
      <c r="L1911" s="10"/>
      <c r="M1911" s="20"/>
      <c r="N1911" s="20"/>
      <c r="O1911" s="20"/>
      <c r="P1911" s="20"/>
    </row>
    <row r="1912">
      <c r="A1912" s="23"/>
      <c r="B1912" s="21"/>
      <c r="C1912" s="23"/>
      <c r="D1912" s="24"/>
      <c r="E1912" s="14"/>
      <c r="F1912" s="14"/>
      <c r="G1912" s="14"/>
      <c r="H1912" s="23"/>
      <c r="I1912" s="27"/>
      <c r="J1912" s="23"/>
      <c r="K1912" s="30"/>
      <c r="L1912" s="23"/>
      <c r="M1912" s="20"/>
      <c r="N1912" s="20"/>
      <c r="O1912" s="20"/>
      <c r="P1912" s="20"/>
    </row>
    <row r="1913">
      <c r="A1913" s="10"/>
      <c r="B1913" s="11"/>
      <c r="C1913" s="10"/>
      <c r="D1913" s="13"/>
      <c r="E1913" s="14"/>
      <c r="F1913" s="14"/>
      <c r="G1913" s="14"/>
      <c r="H1913" s="10"/>
      <c r="I1913" s="17"/>
      <c r="J1913" s="10"/>
      <c r="K1913" s="46"/>
      <c r="L1913" s="10"/>
      <c r="M1913" s="20"/>
      <c r="N1913" s="20"/>
      <c r="O1913" s="20"/>
      <c r="P1913" s="20"/>
    </row>
    <row r="1914">
      <c r="A1914" s="23"/>
      <c r="B1914" s="21"/>
      <c r="C1914" s="23"/>
      <c r="D1914" s="24"/>
      <c r="E1914" s="14"/>
      <c r="F1914" s="14"/>
      <c r="G1914" s="14"/>
      <c r="H1914" s="23"/>
      <c r="I1914" s="27"/>
      <c r="J1914" s="23"/>
      <c r="K1914" s="30"/>
      <c r="L1914" s="23"/>
      <c r="M1914" s="20"/>
      <c r="N1914" s="20"/>
      <c r="O1914" s="20"/>
      <c r="P1914" s="20"/>
    </row>
    <row r="1915">
      <c r="A1915" s="10"/>
      <c r="B1915" s="11"/>
      <c r="C1915" s="10"/>
      <c r="D1915" s="13"/>
      <c r="E1915" s="14"/>
      <c r="F1915" s="14"/>
      <c r="G1915" s="14"/>
      <c r="H1915" s="10"/>
      <c r="I1915" s="17"/>
      <c r="J1915" s="10"/>
      <c r="K1915" s="46"/>
      <c r="L1915" s="10"/>
      <c r="M1915" s="20"/>
      <c r="N1915" s="20"/>
      <c r="O1915" s="20"/>
      <c r="P1915" s="20"/>
    </row>
    <row r="1916">
      <c r="A1916" s="23"/>
      <c r="B1916" s="21"/>
      <c r="C1916" s="23"/>
      <c r="D1916" s="24"/>
      <c r="E1916" s="14"/>
      <c r="F1916" s="14"/>
      <c r="G1916" s="14"/>
      <c r="H1916" s="23"/>
      <c r="I1916" s="27"/>
      <c r="J1916" s="23"/>
      <c r="K1916" s="30"/>
      <c r="L1916" s="23"/>
      <c r="M1916" s="20"/>
      <c r="N1916" s="20"/>
      <c r="O1916" s="20"/>
      <c r="P1916" s="20"/>
    </row>
    <row r="1917">
      <c r="A1917" s="10"/>
      <c r="B1917" s="11"/>
      <c r="C1917" s="10"/>
      <c r="D1917" s="13"/>
      <c r="E1917" s="14"/>
      <c r="F1917" s="14"/>
      <c r="G1917" s="14"/>
      <c r="H1917" s="10"/>
      <c r="I1917" s="17"/>
      <c r="J1917" s="10"/>
      <c r="K1917" s="46"/>
      <c r="L1917" s="10"/>
      <c r="M1917" s="20"/>
      <c r="N1917" s="20"/>
      <c r="O1917" s="20"/>
      <c r="P1917" s="20"/>
    </row>
    <row r="1918">
      <c r="A1918" s="23"/>
      <c r="B1918" s="21"/>
      <c r="C1918" s="23"/>
      <c r="D1918" s="24"/>
      <c r="E1918" s="14"/>
      <c r="F1918" s="14"/>
      <c r="G1918" s="14"/>
      <c r="H1918" s="23"/>
      <c r="I1918" s="27"/>
      <c r="J1918" s="23"/>
      <c r="K1918" s="30"/>
      <c r="L1918" s="23"/>
      <c r="M1918" s="20"/>
      <c r="N1918" s="20"/>
      <c r="O1918" s="20"/>
      <c r="P1918" s="20"/>
    </row>
    <row r="1919">
      <c r="A1919" s="10"/>
      <c r="B1919" s="11"/>
      <c r="C1919" s="10"/>
      <c r="D1919" s="13"/>
      <c r="E1919" s="14"/>
      <c r="F1919" s="14"/>
      <c r="G1919" s="14"/>
      <c r="H1919" s="10"/>
      <c r="I1919" s="17"/>
      <c r="J1919" s="10"/>
      <c r="K1919" s="46"/>
      <c r="L1919" s="10"/>
      <c r="M1919" s="20"/>
      <c r="N1919" s="20"/>
      <c r="O1919" s="20"/>
      <c r="P1919" s="20"/>
    </row>
    <row r="1920">
      <c r="A1920" s="23"/>
      <c r="B1920" s="21"/>
      <c r="C1920" s="23"/>
      <c r="D1920" s="24"/>
      <c r="E1920" s="14"/>
      <c r="F1920" s="14"/>
      <c r="G1920" s="14"/>
      <c r="H1920" s="23"/>
      <c r="I1920" s="27"/>
      <c r="J1920" s="23"/>
      <c r="K1920" s="30"/>
      <c r="L1920" s="23"/>
      <c r="M1920" s="20"/>
      <c r="N1920" s="20"/>
      <c r="O1920" s="20"/>
      <c r="P1920" s="20"/>
    </row>
    <row r="1921">
      <c r="A1921" s="10"/>
      <c r="B1921" s="11"/>
      <c r="C1921" s="10"/>
      <c r="D1921" s="13"/>
      <c r="E1921" s="14"/>
      <c r="F1921" s="14"/>
      <c r="G1921" s="14"/>
      <c r="H1921" s="10"/>
      <c r="I1921" s="17"/>
      <c r="J1921" s="10"/>
      <c r="K1921" s="46"/>
      <c r="L1921" s="10"/>
      <c r="M1921" s="20"/>
      <c r="N1921" s="20"/>
      <c r="O1921" s="20"/>
      <c r="P1921" s="20"/>
    </row>
    <row r="1922">
      <c r="A1922" s="23"/>
      <c r="B1922" s="21"/>
      <c r="C1922" s="23"/>
      <c r="D1922" s="24"/>
      <c r="E1922" s="14"/>
      <c r="F1922" s="14"/>
      <c r="G1922" s="14"/>
      <c r="H1922" s="23"/>
      <c r="I1922" s="27"/>
      <c r="J1922" s="23"/>
      <c r="K1922" s="30"/>
      <c r="L1922" s="23"/>
      <c r="M1922" s="20"/>
      <c r="N1922" s="20"/>
      <c r="O1922" s="20"/>
      <c r="P1922" s="20"/>
    </row>
    <row r="1923">
      <c r="A1923" s="10"/>
      <c r="B1923" s="11"/>
      <c r="C1923" s="10"/>
      <c r="D1923" s="13"/>
      <c r="E1923" s="14"/>
      <c r="F1923" s="14"/>
      <c r="G1923" s="14"/>
      <c r="H1923" s="10"/>
      <c r="I1923" s="17"/>
      <c r="J1923" s="10"/>
      <c r="K1923" s="46"/>
      <c r="L1923" s="10"/>
      <c r="M1923" s="20"/>
      <c r="N1923" s="20"/>
      <c r="O1923" s="20"/>
      <c r="P1923" s="20"/>
    </row>
    <row r="1924">
      <c r="A1924" s="23"/>
      <c r="B1924" s="21"/>
      <c r="C1924" s="23"/>
      <c r="D1924" s="24"/>
      <c r="E1924" s="14"/>
      <c r="F1924" s="14"/>
      <c r="G1924" s="14"/>
      <c r="H1924" s="23"/>
      <c r="I1924" s="27"/>
      <c r="J1924" s="23"/>
      <c r="K1924" s="30"/>
      <c r="L1924" s="23"/>
      <c r="M1924" s="20"/>
      <c r="N1924" s="20"/>
      <c r="O1924" s="20"/>
      <c r="P1924" s="20"/>
    </row>
    <row r="1925">
      <c r="A1925" s="10"/>
      <c r="B1925" s="11"/>
      <c r="C1925" s="10"/>
      <c r="D1925" s="13"/>
      <c r="E1925" s="14"/>
      <c r="F1925" s="14"/>
      <c r="G1925" s="14"/>
      <c r="H1925" s="10"/>
      <c r="I1925" s="17"/>
      <c r="J1925" s="10"/>
      <c r="K1925" s="46"/>
      <c r="L1925" s="10"/>
      <c r="M1925" s="20"/>
      <c r="N1925" s="20"/>
      <c r="O1925" s="20"/>
      <c r="P1925" s="20"/>
    </row>
    <row r="1926">
      <c r="A1926" s="23"/>
      <c r="B1926" s="21"/>
      <c r="C1926" s="23"/>
      <c r="D1926" s="24"/>
      <c r="E1926" s="14"/>
      <c r="F1926" s="14"/>
      <c r="G1926" s="14"/>
      <c r="H1926" s="23"/>
      <c r="I1926" s="27"/>
      <c r="J1926" s="23"/>
      <c r="K1926" s="30"/>
      <c r="L1926" s="23"/>
      <c r="M1926" s="20"/>
      <c r="N1926" s="20"/>
      <c r="O1926" s="20"/>
      <c r="P1926" s="20"/>
    </row>
    <row r="1927">
      <c r="A1927" s="10"/>
      <c r="B1927" s="11"/>
      <c r="C1927" s="10"/>
      <c r="D1927" s="13"/>
      <c r="E1927" s="14"/>
      <c r="F1927" s="14"/>
      <c r="G1927" s="14"/>
      <c r="H1927" s="10"/>
      <c r="I1927" s="17"/>
      <c r="J1927" s="10"/>
      <c r="K1927" s="46"/>
      <c r="L1927" s="10"/>
      <c r="M1927" s="20"/>
      <c r="N1927" s="20"/>
      <c r="O1927" s="20"/>
      <c r="P1927" s="20"/>
    </row>
    <row r="1928">
      <c r="A1928" s="23"/>
      <c r="B1928" s="21"/>
      <c r="C1928" s="23"/>
      <c r="D1928" s="24"/>
      <c r="E1928" s="14"/>
      <c r="F1928" s="14"/>
      <c r="G1928" s="14"/>
      <c r="H1928" s="23"/>
      <c r="I1928" s="27"/>
      <c r="J1928" s="23"/>
      <c r="K1928" s="30"/>
      <c r="L1928" s="23"/>
      <c r="M1928" s="20"/>
      <c r="N1928" s="20"/>
      <c r="O1928" s="20"/>
      <c r="P1928" s="20"/>
    </row>
    <row r="1929">
      <c r="A1929" s="10"/>
      <c r="B1929" s="11"/>
      <c r="C1929" s="10"/>
      <c r="D1929" s="13"/>
      <c r="E1929" s="14"/>
      <c r="F1929" s="14"/>
      <c r="G1929" s="14"/>
      <c r="H1929" s="10"/>
      <c r="I1929" s="17"/>
      <c r="J1929" s="10"/>
      <c r="K1929" s="46"/>
      <c r="L1929" s="10"/>
      <c r="M1929" s="20"/>
      <c r="N1929" s="20"/>
      <c r="O1929" s="20"/>
      <c r="P1929" s="20"/>
    </row>
    <row r="1930">
      <c r="A1930" s="23"/>
      <c r="B1930" s="21"/>
      <c r="C1930" s="23"/>
      <c r="D1930" s="24"/>
      <c r="E1930" s="14"/>
      <c r="F1930" s="14"/>
      <c r="G1930" s="14"/>
      <c r="H1930" s="23"/>
      <c r="I1930" s="27"/>
      <c r="J1930" s="23"/>
      <c r="K1930" s="30"/>
      <c r="L1930" s="23"/>
      <c r="M1930" s="20"/>
      <c r="N1930" s="20"/>
      <c r="O1930" s="20"/>
      <c r="P1930" s="20"/>
    </row>
    <row r="1931">
      <c r="A1931" s="10"/>
      <c r="B1931" s="11"/>
      <c r="C1931" s="10"/>
      <c r="D1931" s="13"/>
      <c r="E1931" s="14"/>
      <c r="F1931" s="14"/>
      <c r="G1931" s="14"/>
      <c r="H1931" s="10"/>
      <c r="I1931" s="17"/>
      <c r="J1931" s="10"/>
      <c r="K1931" s="46"/>
      <c r="L1931" s="10"/>
      <c r="M1931" s="20"/>
      <c r="N1931" s="20"/>
      <c r="O1931" s="20"/>
      <c r="P1931" s="20"/>
    </row>
    <row r="1932">
      <c r="A1932" s="23"/>
      <c r="B1932" s="21"/>
      <c r="C1932" s="23"/>
      <c r="D1932" s="24"/>
      <c r="E1932" s="14"/>
      <c r="F1932" s="14"/>
      <c r="G1932" s="14"/>
      <c r="H1932" s="23"/>
      <c r="I1932" s="27"/>
      <c r="J1932" s="23"/>
      <c r="K1932" s="30"/>
      <c r="L1932" s="23"/>
      <c r="M1932" s="20"/>
      <c r="N1932" s="20"/>
      <c r="O1932" s="20"/>
      <c r="P1932" s="20"/>
    </row>
    <row r="1933">
      <c r="A1933" s="10"/>
      <c r="B1933" s="11"/>
      <c r="C1933" s="10"/>
      <c r="D1933" s="13"/>
      <c r="E1933" s="14"/>
      <c r="F1933" s="14"/>
      <c r="G1933" s="14"/>
      <c r="H1933" s="10"/>
      <c r="I1933" s="17"/>
      <c r="J1933" s="10"/>
      <c r="K1933" s="46"/>
      <c r="L1933" s="10"/>
      <c r="M1933" s="20"/>
      <c r="N1933" s="20"/>
      <c r="O1933" s="20"/>
      <c r="P1933" s="20"/>
    </row>
    <row r="1934">
      <c r="A1934" s="23"/>
      <c r="B1934" s="21"/>
      <c r="C1934" s="23"/>
      <c r="D1934" s="24"/>
      <c r="E1934" s="14"/>
      <c r="F1934" s="14"/>
      <c r="G1934" s="14"/>
      <c r="H1934" s="23"/>
      <c r="I1934" s="27"/>
      <c r="J1934" s="23"/>
      <c r="K1934" s="30"/>
      <c r="L1934" s="23"/>
      <c r="M1934" s="20"/>
      <c r="N1934" s="20"/>
      <c r="O1934" s="20"/>
      <c r="P1934" s="20"/>
    </row>
    <row r="1935">
      <c r="A1935" s="10"/>
      <c r="B1935" s="11"/>
      <c r="C1935" s="10"/>
      <c r="D1935" s="13"/>
      <c r="E1935" s="14"/>
      <c r="F1935" s="14"/>
      <c r="G1935" s="14"/>
      <c r="H1935" s="10"/>
      <c r="I1935" s="17"/>
      <c r="J1935" s="10"/>
      <c r="K1935" s="46"/>
      <c r="L1935" s="10"/>
      <c r="M1935" s="20"/>
      <c r="N1935" s="20"/>
      <c r="O1935" s="20"/>
      <c r="P1935" s="20"/>
    </row>
    <row r="1936">
      <c r="A1936" s="23"/>
      <c r="B1936" s="21"/>
      <c r="C1936" s="23"/>
      <c r="D1936" s="24"/>
      <c r="E1936" s="14"/>
      <c r="F1936" s="14"/>
      <c r="G1936" s="14"/>
      <c r="H1936" s="23"/>
      <c r="I1936" s="27"/>
      <c r="J1936" s="23"/>
      <c r="K1936" s="30"/>
      <c r="L1936" s="23"/>
      <c r="M1936" s="20"/>
      <c r="N1936" s="20"/>
      <c r="O1936" s="20"/>
      <c r="P1936" s="20"/>
    </row>
    <row r="1937">
      <c r="A1937" s="10"/>
      <c r="B1937" s="11"/>
      <c r="C1937" s="10"/>
      <c r="D1937" s="13"/>
      <c r="E1937" s="14"/>
      <c r="F1937" s="14"/>
      <c r="G1937" s="14"/>
      <c r="H1937" s="10"/>
      <c r="I1937" s="17"/>
      <c r="J1937" s="10"/>
      <c r="K1937" s="46"/>
      <c r="L1937" s="10"/>
      <c r="M1937" s="20"/>
      <c r="N1937" s="20"/>
      <c r="O1937" s="20"/>
      <c r="P1937" s="20"/>
    </row>
    <row r="1938">
      <c r="A1938" s="23"/>
      <c r="B1938" s="21"/>
      <c r="C1938" s="23"/>
      <c r="D1938" s="24"/>
      <c r="E1938" s="14"/>
      <c r="F1938" s="14"/>
      <c r="G1938" s="14"/>
      <c r="H1938" s="23"/>
      <c r="I1938" s="27"/>
      <c r="J1938" s="23"/>
      <c r="K1938" s="30"/>
      <c r="L1938" s="23"/>
      <c r="M1938" s="20"/>
      <c r="N1938" s="20"/>
      <c r="O1938" s="20"/>
      <c r="P1938" s="20"/>
    </row>
    <row r="1939">
      <c r="A1939" s="10"/>
      <c r="B1939" s="11"/>
      <c r="C1939" s="10"/>
      <c r="D1939" s="13"/>
      <c r="E1939" s="14"/>
      <c r="F1939" s="14"/>
      <c r="G1939" s="14"/>
      <c r="H1939" s="10"/>
      <c r="I1939" s="17"/>
      <c r="J1939" s="10"/>
      <c r="K1939" s="46"/>
      <c r="L1939" s="10"/>
      <c r="M1939" s="20"/>
      <c r="N1939" s="20"/>
      <c r="O1939" s="20"/>
      <c r="P1939" s="20"/>
    </row>
    <row r="1940">
      <c r="A1940" s="23"/>
      <c r="B1940" s="21"/>
      <c r="C1940" s="23"/>
      <c r="D1940" s="24"/>
      <c r="E1940" s="14"/>
      <c r="F1940" s="14"/>
      <c r="G1940" s="14"/>
      <c r="H1940" s="23"/>
      <c r="I1940" s="27"/>
      <c r="J1940" s="23"/>
      <c r="K1940" s="30"/>
      <c r="L1940" s="23"/>
      <c r="M1940" s="20"/>
      <c r="N1940" s="20"/>
      <c r="O1940" s="20"/>
      <c r="P1940" s="20"/>
    </row>
    <row r="1941">
      <c r="A1941" s="10"/>
      <c r="B1941" s="11"/>
      <c r="C1941" s="10"/>
      <c r="D1941" s="13"/>
      <c r="E1941" s="14"/>
      <c r="F1941" s="14"/>
      <c r="G1941" s="14"/>
      <c r="H1941" s="10"/>
      <c r="I1941" s="17"/>
      <c r="J1941" s="10"/>
      <c r="K1941" s="46"/>
      <c r="L1941" s="10"/>
      <c r="M1941" s="20"/>
      <c r="N1941" s="20"/>
      <c r="O1941" s="20"/>
      <c r="P1941" s="20"/>
    </row>
    <row r="1942">
      <c r="A1942" s="23"/>
      <c r="B1942" s="21"/>
      <c r="C1942" s="23"/>
      <c r="D1942" s="24"/>
      <c r="E1942" s="14"/>
      <c r="F1942" s="14"/>
      <c r="G1942" s="14"/>
      <c r="H1942" s="23"/>
      <c r="I1942" s="27"/>
      <c r="J1942" s="23"/>
      <c r="K1942" s="30"/>
      <c r="L1942" s="23"/>
      <c r="M1942" s="20"/>
      <c r="N1942" s="20"/>
      <c r="O1942" s="20"/>
      <c r="P1942" s="20"/>
    </row>
    <row r="1943">
      <c r="A1943" s="10"/>
      <c r="B1943" s="11"/>
      <c r="C1943" s="10"/>
      <c r="D1943" s="13"/>
      <c r="E1943" s="14"/>
      <c r="F1943" s="14"/>
      <c r="G1943" s="14"/>
      <c r="H1943" s="10"/>
      <c r="I1943" s="17"/>
      <c r="J1943" s="10"/>
      <c r="K1943" s="46"/>
      <c r="L1943" s="10"/>
      <c r="M1943" s="20"/>
      <c r="N1943" s="20"/>
      <c r="O1943" s="20"/>
      <c r="P1943" s="20"/>
    </row>
    <row r="1944">
      <c r="A1944" s="23"/>
      <c r="B1944" s="21"/>
      <c r="C1944" s="23"/>
      <c r="D1944" s="24"/>
      <c r="E1944" s="14"/>
      <c r="F1944" s="14"/>
      <c r="G1944" s="14"/>
      <c r="H1944" s="23"/>
      <c r="I1944" s="27"/>
      <c r="J1944" s="23"/>
      <c r="K1944" s="30"/>
      <c r="L1944" s="23"/>
      <c r="M1944" s="20"/>
      <c r="N1944" s="20"/>
      <c r="O1944" s="20"/>
      <c r="P1944" s="20"/>
    </row>
    <row r="1945">
      <c r="A1945" s="10"/>
      <c r="B1945" s="11"/>
      <c r="C1945" s="10"/>
      <c r="D1945" s="13"/>
      <c r="E1945" s="14"/>
      <c r="F1945" s="14"/>
      <c r="G1945" s="14"/>
      <c r="H1945" s="10"/>
      <c r="I1945" s="17"/>
      <c r="J1945" s="10"/>
      <c r="K1945" s="46"/>
      <c r="L1945" s="10"/>
      <c r="M1945" s="20"/>
      <c r="N1945" s="20"/>
      <c r="O1945" s="20"/>
      <c r="P1945" s="20"/>
    </row>
    <row r="1946">
      <c r="A1946" s="23"/>
      <c r="B1946" s="21"/>
      <c r="C1946" s="23"/>
      <c r="D1946" s="24"/>
      <c r="E1946" s="14"/>
      <c r="F1946" s="14"/>
      <c r="G1946" s="14"/>
      <c r="H1946" s="23"/>
      <c r="I1946" s="27"/>
      <c r="J1946" s="23"/>
      <c r="K1946" s="30"/>
      <c r="L1946" s="23"/>
      <c r="M1946" s="20"/>
      <c r="N1946" s="20"/>
      <c r="O1946" s="20"/>
      <c r="P1946" s="20"/>
    </row>
    <row r="1947">
      <c r="A1947" s="10"/>
      <c r="B1947" s="11"/>
      <c r="C1947" s="10"/>
      <c r="D1947" s="13"/>
      <c r="E1947" s="14"/>
      <c r="F1947" s="14"/>
      <c r="G1947" s="14"/>
      <c r="H1947" s="10"/>
      <c r="I1947" s="17"/>
      <c r="J1947" s="10"/>
      <c r="K1947" s="46"/>
      <c r="L1947" s="10"/>
      <c r="M1947" s="20"/>
      <c r="N1947" s="20"/>
      <c r="O1947" s="20"/>
      <c r="P1947" s="20"/>
    </row>
    <row r="1948">
      <c r="A1948" s="23"/>
      <c r="B1948" s="21"/>
      <c r="C1948" s="23"/>
      <c r="D1948" s="24"/>
      <c r="E1948" s="14"/>
      <c r="F1948" s="14"/>
      <c r="G1948" s="14"/>
      <c r="H1948" s="23"/>
      <c r="I1948" s="27"/>
      <c r="J1948" s="23"/>
      <c r="K1948" s="30"/>
      <c r="L1948" s="23"/>
      <c r="M1948" s="20"/>
      <c r="N1948" s="20"/>
      <c r="O1948" s="20"/>
      <c r="P1948" s="20"/>
    </row>
    <row r="1949">
      <c r="A1949" s="10"/>
      <c r="B1949" s="11"/>
      <c r="C1949" s="10"/>
      <c r="D1949" s="13"/>
      <c r="E1949" s="14"/>
      <c r="F1949" s="14"/>
      <c r="G1949" s="14"/>
      <c r="H1949" s="10"/>
      <c r="I1949" s="17"/>
      <c r="J1949" s="10"/>
      <c r="K1949" s="46"/>
      <c r="L1949" s="10"/>
      <c r="M1949" s="20"/>
      <c r="N1949" s="20"/>
      <c r="O1949" s="20"/>
      <c r="P1949" s="20"/>
    </row>
    <row r="1950">
      <c r="A1950" s="23"/>
      <c r="B1950" s="21"/>
      <c r="C1950" s="23"/>
      <c r="D1950" s="24"/>
      <c r="E1950" s="14"/>
      <c r="F1950" s="14"/>
      <c r="G1950" s="14"/>
      <c r="H1950" s="23"/>
      <c r="I1950" s="27"/>
      <c r="J1950" s="23"/>
      <c r="K1950" s="30"/>
      <c r="L1950" s="23"/>
      <c r="M1950" s="20"/>
      <c r="N1950" s="20"/>
      <c r="O1950" s="20"/>
      <c r="P1950" s="20"/>
    </row>
    <row r="1951">
      <c r="A1951" s="10"/>
      <c r="B1951" s="11"/>
      <c r="C1951" s="10"/>
      <c r="D1951" s="13"/>
      <c r="E1951" s="14"/>
      <c r="F1951" s="14"/>
      <c r="G1951" s="14"/>
      <c r="H1951" s="10"/>
      <c r="I1951" s="17"/>
      <c r="J1951" s="10"/>
      <c r="K1951" s="46"/>
      <c r="L1951" s="10"/>
      <c r="M1951" s="20"/>
      <c r="N1951" s="20"/>
      <c r="O1951" s="20"/>
      <c r="P1951" s="20"/>
    </row>
    <row r="1952">
      <c r="A1952" s="23"/>
      <c r="B1952" s="21"/>
      <c r="C1952" s="23"/>
      <c r="D1952" s="24"/>
      <c r="E1952" s="14"/>
      <c r="F1952" s="14"/>
      <c r="G1952" s="14"/>
      <c r="H1952" s="23"/>
      <c r="I1952" s="27"/>
      <c r="J1952" s="23"/>
      <c r="K1952" s="30"/>
      <c r="L1952" s="23"/>
      <c r="M1952" s="20"/>
      <c r="N1952" s="20"/>
      <c r="O1952" s="20"/>
      <c r="P1952" s="20"/>
    </row>
    <row r="1953">
      <c r="A1953" s="10"/>
      <c r="B1953" s="11"/>
      <c r="C1953" s="10"/>
      <c r="D1953" s="13"/>
      <c r="E1953" s="14"/>
      <c r="F1953" s="14"/>
      <c r="G1953" s="14"/>
      <c r="H1953" s="10"/>
      <c r="I1953" s="17"/>
      <c r="J1953" s="10"/>
      <c r="K1953" s="46"/>
      <c r="L1953" s="10"/>
      <c r="M1953" s="20"/>
      <c r="N1953" s="20"/>
      <c r="O1953" s="20"/>
      <c r="P1953" s="20"/>
    </row>
    <row r="1954">
      <c r="A1954" s="23"/>
      <c r="B1954" s="21"/>
      <c r="C1954" s="23"/>
      <c r="D1954" s="24"/>
      <c r="E1954" s="14"/>
      <c r="F1954" s="14"/>
      <c r="G1954" s="14"/>
      <c r="H1954" s="23"/>
      <c r="I1954" s="27"/>
      <c r="J1954" s="23"/>
      <c r="K1954" s="30"/>
      <c r="L1954" s="23"/>
      <c r="M1954" s="20"/>
      <c r="N1954" s="20"/>
      <c r="O1954" s="20"/>
      <c r="P1954" s="20"/>
    </row>
    <row r="1955">
      <c r="A1955" s="10"/>
      <c r="B1955" s="11"/>
      <c r="C1955" s="10"/>
      <c r="D1955" s="13"/>
      <c r="E1955" s="14"/>
      <c r="F1955" s="14"/>
      <c r="G1955" s="14"/>
      <c r="H1955" s="10"/>
      <c r="I1955" s="17"/>
      <c r="J1955" s="10"/>
      <c r="K1955" s="46"/>
      <c r="L1955" s="10"/>
      <c r="M1955" s="20"/>
      <c r="N1955" s="20"/>
      <c r="O1955" s="20"/>
      <c r="P1955" s="20"/>
    </row>
    <row r="1956">
      <c r="A1956" s="23"/>
      <c r="B1956" s="21"/>
      <c r="C1956" s="23"/>
      <c r="D1956" s="24"/>
      <c r="E1956" s="14"/>
      <c r="F1956" s="14"/>
      <c r="G1956" s="14"/>
      <c r="H1956" s="23"/>
      <c r="I1956" s="27"/>
      <c r="J1956" s="23"/>
      <c r="K1956" s="30"/>
      <c r="L1956" s="23"/>
      <c r="M1956" s="20"/>
      <c r="N1956" s="20"/>
      <c r="O1956" s="20"/>
      <c r="P1956" s="20"/>
    </row>
    <row r="1957">
      <c r="A1957" s="10"/>
      <c r="B1957" s="11"/>
      <c r="C1957" s="10"/>
      <c r="D1957" s="13"/>
      <c r="E1957" s="14"/>
      <c r="F1957" s="14"/>
      <c r="G1957" s="14"/>
      <c r="H1957" s="10"/>
      <c r="I1957" s="17"/>
      <c r="J1957" s="10"/>
      <c r="K1957" s="46"/>
      <c r="L1957" s="10"/>
      <c r="M1957" s="20"/>
      <c r="N1957" s="20"/>
      <c r="O1957" s="20"/>
      <c r="P1957" s="20"/>
    </row>
    <row r="1958">
      <c r="A1958" s="23"/>
      <c r="B1958" s="21"/>
      <c r="C1958" s="23"/>
      <c r="D1958" s="24"/>
      <c r="E1958" s="14"/>
      <c r="F1958" s="14"/>
      <c r="G1958" s="14"/>
      <c r="H1958" s="23"/>
      <c r="I1958" s="27"/>
      <c r="J1958" s="23"/>
      <c r="K1958" s="30"/>
      <c r="L1958" s="23"/>
      <c r="M1958" s="20"/>
      <c r="N1958" s="20"/>
      <c r="O1958" s="20"/>
      <c r="P1958" s="20"/>
    </row>
    <row r="1959">
      <c r="A1959" s="10"/>
      <c r="B1959" s="11"/>
      <c r="C1959" s="10"/>
      <c r="D1959" s="13"/>
      <c r="E1959" s="14"/>
      <c r="F1959" s="14"/>
      <c r="G1959" s="14"/>
      <c r="H1959" s="10"/>
      <c r="I1959" s="17"/>
      <c r="J1959" s="10"/>
      <c r="K1959" s="46"/>
      <c r="L1959" s="10"/>
      <c r="M1959" s="20"/>
      <c r="N1959" s="20"/>
      <c r="O1959" s="20"/>
      <c r="P1959" s="20"/>
    </row>
    <row r="1960">
      <c r="A1960" s="23"/>
      <c r="B1960" s="21"/>
      <c r="C1960" s="23"/>
      <c r="D1960" s="24"/>
      <c r="E1960" s="14"/>
      <c r="F1960" s="14"/>
      <c r="G1960" s="14"/>
      <c r="H1960" s="23"/>
      <c r="I1960" s="27"/>
      <c r="J1960" s="23"/>
      <c r="K1960" s="30"/>
      <c r="L1960" s="23"/>
      <c r="M1960" s="20"/>
      <c r="N1960" s="20"/>
      <c r="O1960" s="20"/>
      <c r="P1960" s="20"/>
    </row>
    <row r="1961">
      <c r="A1961" s="10"/>
      <c r="B1961" s="11"/>
      <c r="C1961" s="10"/>
      <c r="D1961" s="13"/>
      <c r="E1961" s="14"/>
      <c r="F1961" s="14"/>
      <c r="G1961" s="14"/>
      <c r="H1961" s="10"/>
      <c r="I1961" s="17"/>
      <c r="J1961" s="10"/>
      <c r="K1961" s="46"/>
      <c r="L1961" s="10"/>
      <c r="M1961" s="20"/>
      <c r="N1961" s="20"/>
      <c r="O1961" s="20"/>
      <c r="P1961" s="20"/>
    </row>
    <row r="1962">
      <c r="A1962" s="23"/>
      <c r="B1962" s="21"/>
      <c r="C1962" s="23"/>
      <c r="D1962" s="24"/>
      <c r="E1962" s="14"/>
      <c r="F1962" s="14"/>
      <c r="G1962" s="14"/>
      <c r="H1962" s="23"/>
      <c r="I1962" s="27"/>
      <c r="J1962" s="23"/>
      <c r="K1962" s="30"/>
      <c r="L1962" s="23"/>
      <c r="M1962" s="20"/>
      <c r="N1962" s="20"/>
      <c r="O1962" s="20"/>
      <c r="P1962" s="20"/>
    </row>
    <row r="1963">
      <c r="A1963" s="10"/>
      <c r="B1963" s="11"/>
      <c r="C1963" s="10"/>
      <c r="D1963" s="13"/>
      <c r="E1963" s="14"/>
      <c r="F1963" s="14"/>
      <c r="G1963" s="14"/>
      <c r="H1963" s="10"/>
      <c r="I1963" s="17"/>
      <c r="J1963" s="10"/>
      <c r="K1963" s="46"/>
      <c r="L1963" s="10"/>
      <c r="M1963" s="20"/>
      <c r="N1963" s="20"/>
      <c r="O1963" s="20"/>
      <c r="P1963" s="20"/>
    </row>
    <row r="1964">
      <c r="A1964" s="23"/>
      <c r="B1964" s="21"/>
      <c r="C1964" s="23"/>
      <c r="D1964" s="24"/>
      <c r="E1964" s="14"/>
      <c r="F1964" s="14"/>
      <c r="G1964" s="14"/>
      <c r="H1964" s="23"/>
      <c r="I1964" s="27"/>
      <c r="J1964" s="23"/>
      <c r="K1964" s="30"/>
      <c r="L1964" s="23"/>
      <c r="M1964" s="20"/>
      <c r="N1964" s="20"/>
      <c r="O1964" s="20"/>
      <c r="P1964" s="20"/>
    </row>
    <row r="1965">
      <c r="A1965" s="10"/>
      <c r="B1965" s="11"/>
      <c r="C1965" s="10"/>
      <c r="D1965" s="13"/>
      <c r="E1965" s="14"/>
      <c r="F1965" s="14"/>
      <c r="G1965" s="14"/>
      <c r="H1965" s="10"/>
      <c r="I1965" s="17"/>
      <c r="J1965" s="10"/>
      <c r="K1965" s="46"/>
      <c r="L1965" s="10"/>
      <c r="M1965" s="20"/>
      <c r="N1965" s="20"/>
      <c r="O1965" s="20"/>
      <c r="P1965" s="20"/>
    </row>
    <row r="1966">
      <c r="A1966" s="23"/>
      <c r="B1966" s="21"/>
      <c r="C1966" s="23"/>
      <c r="D1966" s="24"/>
      <c r="E1966" s="14"/>
      <c r="F1966" s="14"/>
      <c r="G1966" s="14"/>
      <c r="H1966" s="23"/>
      <c r="I1966" s="27"/>
      <c r="J1966" s="23"/>
      <c r="K1966" s="30"/>
      <c r="L1966" s="23"/>
      <c r="M1966" s="20"/>
      <c r="N1966" s="20"/>
      <c r="O1966" s="20"/>
      <c r="P1966" s="20"/>
    </row>
    <row r="1967">
      <c r="A1967" s="10"/>
      <c r="B1967" s="11"/>
      <c r="C1967" s="10"/>
      <c r="D1967" s="13"/>
      <c r="E1967" s="14"/>
      <c r="F1967" s="14"/>
      <c r="G1967" s="14"/>
      <c r="H1967" s="10"/>
      <c r="I1967" s="17"/>
      <c r="J1967" s="10"/>
      <c r="K1967" s="46"/>
      <c r="L1967" s="10"/>
      <c r="M1967" s="20"/>
      <c r="N1967" s="20"/>
      <c r="O1967" s="20"/>
      <c r="P1967" s="20"/>
    </row>
    <row r="1968">
      <c r="A1968" s="23"/>
      <c r="B1968" s="21"/>
      <c r="C1968" s="23"/>
      <c r="D1968" s="24"/>
      <c r="E1968" s="14"/>
      <c r="F1968" s="14"/>
      <c r="G1968" s="14"/>
      <c r="H1968" s="23"/>
      <c r="I1968" s="27"/>
      <c r="J1968" s="23"/>
      <c r="K1968" s="30"/>
      <c r="L1968" s="23"/>
      <c r="M1968" s="20"/>
      <c r="N1968" s="20"/>
      <c r="O1968" s="20"/>
      <c r="P1968" s="20"/>
    </row>
    <row r="1969">
      <c r="A1969" s="10"/>
      <c r="B1969" s="11"/>
      <c r="C1969" s="10"/>
      <c r="D1969" s="13"/>
      <c r="E1969" s="14"/>
      <c r="F1969" s="14"/>
      <c r="G1969" s="14"/>
      <c r="H1969" s="10"/>
      <c r="I1969" s="17"/>
      <c r="J1969" s="10"/>
      <c r="K1969" s="46"/>
      <c r="L1969" s="10"/>
      <c r="M1969" s="20"/>
      <c r="N1969" s="20"/>
      <c r="O1969" s="20"/>
      <c r="P1969" s="20"/>
    </row>
    <row r="1970">
      <c r="A1970" s="23"/>
      <c r="B1970" s="21"/>
      <c r="C1970" s="23"/>
      <c r="D1970" s="24"/>
      <c r="E1970" s="14"/>
      <c r="F1970" s="14"/>
      <c r="G1970" s="14"/>
      <c r="H1970" s="23"/>
      <c r="I1970" s="27"/>
      <c r="J1970" s="23"/>
      <c r="K1970" s="30"/>
      <c r="L1970" s="23"/>
      <c r="M1970" s="20"/>
      <c r="N1970" s="20"/>
      <c r="O1970" s="20"/>
      <c r="P1970" s="20"/>
    </row>
    <row r="1971">
      <c r="A1971" s="10"/>
      <c r="B1971" s="11"/>
      <c r="C1971" s="10"/>
      <c r="D1971" s="13"/>
      <c r="E1971" s="14"/>
      <c r="F1971" s="14"/>
      <c r="G1971" s="14"/>
      <c r="H1971" s="10"/>
      <c r="I1971" s="17"/>
      <c r="J1971" s="10"/>
      <c r="K1971" s="46"/>
      <c r="L1971" s="10"/>
      <c r="M1971" s="20"/>
      <c r="N1971" s="20"/>
      <c r="O1971" s="20"/>
      <c r="P1971" s="20"/>
    </row>
    <row r="1972">
      <c r="A1972" s="23"/>
      <c r="B1972" s="21"/>
      <c r="C1972" s="23"/>
      <c r="D1972" s="24"/>
      <c r="E1972" s="14"/>
      <c r="F1972" s="14"/>
      <c r="G1972" s="14"/>
      <c r="H1972" s="23"/>
      <c r="I1972" s="27"/>
      <c r="J1972" s="23"/>
      <c r="K1972" s="30"/>
      <c r="L1972" s="23"/>
      <c r="M1972" s="20"/>
      <c r="N1972" s="20"/>
      <c r="O1972" s="20"/>
      <c r="P1972" s="20"/>
    </row>
    <row r="1973">
      <c r="A1973" s="10"/>
      <c r="B1973" s="11"/>
      <c r="C1973" s="10"/>
      <c r="D1973" s="13"/>
      <c r="E1973" s="14"/>
      <c r="F1973" s="14"/>
      <c r="G1973" s="14"/>
      <c r="H1973" s="10"/>
      <c r="I1973" s="17"/>
      <c r="J1973" s="10"/>
      <c r="K1973" s="46"/>
      <c r="L1973" s="10"/>
      <c r="M1973" s="20"/>
      <c r="N1973" s="20"/>
      <c r="O1973" s="20"/>
      <c r="P1973" s="20"/>
    </row>
    <row r="1974">
      <c r="A1974" s="23"/>
      <c r="B1974" s="21"/>
      <c r="C1974" s="23"/>
      <c r="D1974" s="24"/>
      <c r="E1974" s="14"/>
      <c r="F1974" s="14"/>
      <c r="G1974" s="14"/>
      <c r="H1974" s="23"/>
      <c r="I1974" s="27"/>
      <c r="J1974" s="23"/>
      <c r="K1974" s="30"/>
      <c r="L1974" s="23"/>
      <c r="M1974" s="20"/>
      <c r="N1974" s="20"/>
      <c r="O1974" s="20"/>
      <c r="P1974" s="20"/>
    </row>
    <row r="1975">
      <c r="A1975" s="10"/>
      <c r="B1975" s="11"/>
      <c r="C1975" s="10"/>
      <c r="D1975" s="13"/>
      <c r="E1975" s="14"/>
      <c r="F1975" s="14"/>
      <c r="G1975" s="14"/>
      <c r="H1975" s="10"/>
      <c r="I1975" s="17"/>
      <c r="J1975" s="10"/>
      <c r="K1975" s="46"/>
      <c r="L1975" s="10"/>
      <c r="M1975" s="20"/>
      <c r="N1975" s="20"/>
      <c r="O1975" s="20"/>
      <c r="P1975" s="20"/>
    </row>
    <row r="1976">
      <c r="A1976" s="23"/>
      <c r="B1976" s="21"/>
      <c r="C1976" s="23"/>
      <c r="D1976" s="24"/>
      <c r="E1976" s="14"/>
      <c r="F1976" s="14"/>
      <c r="G1976" s="14"/>
      <c r="H1976" s="23"/>
      <c r="I1976" s="27"/>
      <c r="J1976" s="23"/>
      <c r="K1976" s="30"/>
      <c r="L1976" s="23"/>
      <c r="M1976" s="20"/>
      <c r="N1976" s="20"/>
      <c r="O1976" s="20"/>
      <c r="P1976" s="20"/>
    </row>
    <row r="1977">
      <c r="A1977" s="10"/>
      <c r="B1977" s="11"/>
      <c r="C1977" s="10"/>
      <c r="D1977" s="13"/>
      <c r="E1977" s="14"/>
      <c r="F1977" s="14"/>
      <c r="G1977" s="14"/>
      <c r="H1977" s="10"/>
      <c r="I1977" s="17"/>
      <c r="J1977" s="10"/>
      <c r="K1977" s="46"/>
      <c r="L1977" s="10"/>
      <c r="M1977" s="20"/>
      <c r="N1977" s="20"/>
      <c r="O1977" s="20"/>
      <c r="P1977" s="20"/>
    </row>
    <row r="1978">
      <c r="A1978" s="23"/>
      <c r="B1978" s="21"/>
      <c r="C1978" s="23"/>
      <c r="D1978" s="24"/>
      <c r="E1978" s="14"/>
      <c r="F1978" s="14"/>
      <c r="G1978" s="14"/>
      <c r="H1978" s="23"/>
      <c r="I1978" s="27"/>
      <c r="J1978" s="23"/>
      <c r="K1978" s="30"/>
      <c r="L1978" s="23"/>
      <c r="M1978" s="20"/>
      <c r="N1978" s="20"/>
      <c r="O1978" s="20"/>
      <c r="P1978" s="20"/>
    </row>
    <row r="1979">
      <c r="A1979" s="10"/>
      <c r="B1979" s="11"/>
      <c r="C1979" s="10"/>
      <c r="D1979" s="13"/>
      <c r="E1979" s="14"/>
      <c r="F1979" s="14"/>
      <c r="G1979" s="14"/>
      <c r="H1979" s="10"/>
      <c r="I1979" s="17"/>
      <c r="J1979" s="10"/>
      <c r="K1979" s="46"/>
      <c r="L1979" s="10"/>
      <c r="M1979" s="20"/>
      <c r="N1979" s="20"/>
      <c r="O1979" s="20"/>
      <c r="P1979" s="20"/>
    </row>
    <row r="1980">
      <c r="A1980" s="23"/>
      <c r="B1980" s="21"/>
      <c r="C1980" s="23"/>
      <c r="D1980" s="24"/>
      <c r="E1980" s="14"/>
      <c r="F1980" s="14"/>
      <c r="G1980" s="14"/>
      <c r="H1980" s="23"/>
      <c r="I1980" s="27"/>
      <c r="J1980" s="23"/>
      <c r="K1980" s="30"/>
      <c r="L1980" s="23"/>
      <c r="M1980" s="20"/>
      <c r="N1980" s="20"/>
      <c r="O1980" s="20"/>
      <c r="P1980" s="20"/>
    </row>
    <row r="1981">
      <c r="A1981" s="10"/>
      <c r="B1981" s="11"/>
      <c r="C1981" s="10"/>
      <c r="D1981" s="13"/>
      <c r="E1981" s="14"/>
      <c r="F1981" s="14"/>
      <c r="G1981" s="14"/>
      <c r="H1981" s="10"/>
      <c r="I1981" s="17"/>
      <c r="J1981" s="10"/>
      <c r="K1981" s="46"/>
      <c r="L1981" s="10"/>
      <c r="M1981" s="20"/>
      <c r="N1981" s="20"/>
      <c r="O1981" s="20"/>
      <c r="P1981" s="20"/>
    </row>
    <row r="1982">
      <c r="A1982" s="23"/>
      <c r="B1982" s="21"/>
      <c r="C1982" s="23"/>
      <c r="D1982" s="24"/>
      <c r="E1982" s="14"/>
      <c r="F1982" s="14"/>
      <c r="G1982" s="14"/>
      <c r="H1982" s="23"/>
      <c r="I1982" s="27"/>
      <c r="J1982" s="23"/>
      <c r="K1982" s="30"/>
      <c r="L1982" s="23"/>
      <c r="M1982" s="20"/>
      <c r="N1982" s="20"/>
      <c r="O1982" s="20"/>
      <c r="P1982" s="20"/>
    </row>
    <row r="1983">
      <c r="A1983" s="10"/>
      <c r="B1983" s="11"/>
      <c r="C1983" s="10"/>
      <c r="D1983" s="13"/>
      <c r="E1983" s="14"/>
      <c r="F1983" s="14"/>
      <c r="G1983" s="14"/>
      <c r="H1983" s="10"/>
      <c r="I1983" s="17"/>
      <c r="J1983" s="10"/>
      <c r="K1983" s="46"/>
      <c r="L1983" s="10"/>
      <c r="M1983" s="20"/>
      <c r="N1983" s="20"/>
      <c r="O1983" s="20"/>
      <c r="P1983" s="20"/>
    </row>
    <row r="1984">
      <c r="A1984" s="23"/>
      <c r="B1984" s="21"/>
      <c r="C1984" s="23"/>
      <c r="D1984" s="24"/>
      <c r="E1984" s="14"/>
      <c r="F1984" s="14"/>
      <c r="G1984" s="14"/>
      <c r="H1984" s="23"/>
      <c r="I1984" s="27"/>
      <c r="J1984" s="23"/>
      <c r="K1984" s="30"/>
      <c r="L1984" s="23"/>
      <c r="M1984" s="20"/>
      <c r="N1984" s="20"/>
      <c r="O1984" s="20"/>
      <c r="P1984" s="20"/>
    </row>
    <row r="1985">
      <c r="A1985" s="10"/>
      <c r="B1985" s="11"/>
      <c r="C1985" s="10"/>
      <c r="D1985" s="13"/>
      <c r="E1985" s="14"/>
      <c r="F1985" s="14"/>
      <c r="G1985" s="14"/>
      <c r="H1985" s="10"/>
      <c r="I1985" s="17"/>
      <c r="J1985" s="10"/>
      <c r="K1985" s="46"/>
      <c r="L1985" s="10"/>
      <c r="M1985" s="20"/>
      <c r="N1985" s="20"/>
      <c r="O1985" s="20"/>
      <c r="P1985" s="20"/>
    </row>
    <row r="1986">
      <c r="A1986" s="23"/>
      <c r="B1986" s="21"/>
      <c r="C1986" s="23"/>
      <c r="D1986" s="24"/>
      <c r="E1986" s="14"/>
      <c r="F1986" s="14"/>
      <c r="G1986" s="14"/>
      <c r="H1986" s="23"/>
      <c r="I1986" s="27"/>
      <c r="J1986" s="23"/>
      <c r="K1986" s="30"/>
      <c r="L1986" s="23"/>
      <c r="M1986" s="20"/>
      <c r="N1986" s="20"/>
      <c r="O1986" s="20"/>
      <c r="P1986" s="20"/>
    </row>
    <row r="1987">
      <c r="A1987" s="10"/>
      <c r="B1987" s="11"/>
      <c r="C1987" s="10"/>
      <c r="D1987" s="13"/>
      <c r="E1987" s="14"/>
      <c r="F1987" s="14"/>
      <c r="G1987" s="14"/>
      <c r="H1987" s="10"/>
      <c r="I1987" s="17"/>
      <c r="J1987" s="10"/>
      <c r="K1987" s="46"/>
      <c r="L1987" s="10"/>
      <c r="M1987" s="20"/>
      <c r="N1987" s="20"/>
      <c r="O1987" s="20"/>
      <c r="P1987" s="20"/>
    </row>
    <row r="1988">
      <c r="A1988" s="23"/>
      <c r="B1988" s="21"/>
      <c r="C1988" s="23"/>
      <c r="D1988" s="24"/>
      <c r="E1988" s="14"/>
      <c r="F1988" s="14"/>
      <c r="G1988" s="14"/>
      <c r="H1988" s="23"/>
      <c r="I1988" s="27"/>
      <c r="J1988" s="23"/>
      <c r="K1988" s="30"/>
      <c r="L1988" s="23"/>
      <c r="M1988" s="20"/>
      <c r="N1988" s="20"/>
      <c r="O1988" s="20"/>
      <c r="P1988" s="20"/>
    </row>
    <row r="1989">
      <c r="A1989" s="10"/>
      <c r="B1989" s="11"/>
      <c r="C1989" s="10"/>
      <c r="D1989" s="13"/>
      <c r="E1989" s="14"/>
      <c r="F1989" s="14"/>
      <c r="G1989" s="14"/>
      <c r="H1989" s="10"/>
      <c r="I1989" s="17"/>
      <c r="J1989" s="10"/>
      <c r="K1989" s="46"/>
      <c r="L1989" s="10"/>
      <c r="M1989" s="20"/>
      <c r="N1989" s="20"/>
      <c r="O1989" s="20"/>
      <c r="P1989" s="20"/>
    </row>
    <row r="1990">
      <c r="A1990" s="23"/>
      <c r="B1990" s="21"/>
      <c r="C1990" s="23"/>
      <c r="D1990" s="24"/>
      <c r="E1990" s="14"/>
      <c r="F1990" s="14"/>
      <c r="G1990" s="14"/>
      <c r="H1990" s="23"/>
      <c r="I1990" s="27"/>
      <c r="J1990" s="23"/>
      <c r="K1990" s="30"/>
      <c r="L1990" s="23"/>
      <c r="M1990" s="20"/>
      <c r="N1990" s="20"/>
      <c r="O1990" s="20"/>
      <c r="P1990" s="20"/>
    </row>
    <row r="1991">
      <c r="A1991" s="10"/>
      <c r="B1991" s="11"/>
      <c r="C1991" s="10"/>
      <c r="D1991" s="13"/>
      <c r="E1991" s="14"/>
      <c r="F1991" s="14"/>
      <c r="G1991" s="14"/>
      <c r="H1991" s="10"/>
      <c r="I1991" s="17"/>
      <c r="J1991" s="10"/>
      <c r="K1991" s="46"/>
      <c r="L1991" s="10"/>
      <c r="M1991" s="20"/>
      <c r="N1991" s="20"/>
      <c r="O1991" s="20"/>
      <c r="P1991" s="20"/>
    </row>
    <row r="1992">
      <c r="A1992" s="23"/>
      <c r="B1992" s="21"/>
      <c r="C1992" s="23"/>
      <c r="D1992" s="24"/>
      <c r="E1992" s="14"/>
      <c r="F1992" s="14"/>
      <c r="G1992" s="14"/>
      <c r="H1992" s="23"/>
      <c r="I1992" s="27"/>
      <c r="J1992" s="23"/>
      <c r="K1992" s="30"/>
      <c r="L1992" s="23"/>
      <c r="M1992" s="20"/>
      <c r="N1992" s="20"/>
      <c r="O1992" s="20"/>
      <c r="P1992" s="20"/>
    </row>
    <row r="1993">
      <c r="A1993" s="10"/>
      <c r="B1993" s="11"/>
      <c r="C1993" s="10"/>
      <c r="D1993" s="13"/>
      <c r="E1993" s="14"/>
      <c r="F1993" s="14"/>
      <c r="G1993" s="14"/>
      <c r="H1993" s="10"/>
      <c r="I1993" s="17"/>
      <c r="J1993" s="10"/>
      <c r="K1993" s="46"/>
      <c r="L1993" s="10"/>
      <c r="M1993" s="20"/>
      <c r="N1993" s="20"/>
      <c r="O1993" s="20"/>
      <c r="P1993" s="20"/>
    </row>
    <row r="1994">
      <c r="A1994" s="23"/>
      <c r="B1994" s="21"/>
      <c r="C1994" s="23"/>
      <c r="D1994" s="24"/>
      <c r="E1994" s="14"/>
      <c r="F1994" s="14"/>
      <c r="G1994" s="14"/>
      <c r="H1994" s="23"/>
      <c r="I1994" s="27"/>
      <c r="J1994" s="23"/>
      <c r="K1994" s="30"/>
      <c r="L1994" s="23"/>
      <c r="M1994" s="20"/>
      <c r="N1994" s="20"/>
      <c r="O1994" s="20"/>
      <c r="P1994" s="20"/>
    </row>
    <row r="1995">
      <c r="A1995" s="10"/>
      <c r="B1995" s="11"/>
      <c r="C1995" s="10"/>
      <c r="D1995" s="13"/>
      <c r="E1995" s="14"/>
      <c r="F1995" s="14"/>
      <c r="G1995" s="14"/>
      <c r="H1995" s="10"/>
      <c r="I1995" s="17"/>
      <c r="J1995" s="10"/>
      <c r="K1995" s="46"/>
      <c r="L1995" s="10"/>
      <c r="M1995" s="20"/>
      <c r="N1995" s="20"/>
      <c r="O1995" s="20"/>
      <c r="P1995" s="20"/>
    </row>
    <row r="1996">
      <c r="A1996" s="23"/>
      <c r="B1996" s="21"/>
      <c r="C1996" s="23"/>
      <c r="D1996" s="24"/>
      <c r="E1996" s="14"/>
      <c r="F1996" s="14"/>
      <c r="G1996" s="14"/>
      <c r="H1996" s="23"/>
      <c r="I1996" s="27"/>
      <c r="J1996" s="23"/>
      <c r="K1996" s="30"/>
      <c r="L1996" s="23"/>
      <c r="M1996" s="20"/>
      <c r="N1996" s="20"/>
      <c r="O1996" s="20"/>
      <c r="P1996" s="20"/>
    </row>
    <row r="1997">
      <c r="A1997" s="10"/>
      <c r="B1997" s="11"/>
      <c r="C1997" s="10"/>
      <c r="D1997" s="13"/>
      <c r="E1997" s="14"/>
      <c r="F1997" s="14"/>
      <c r="G1997" s="14"/>
      <c r="H1997" s="10"/>
      <c r="I1997" s="17"/>
      <c r="J1997" s="10"/>
      <c r="K1997" s="46"/>
      <c r="L1997" s="10"/>
      <c r="M1997" s="20"/>
      <c r="N1997" s="20"/>
      <c r="O1997" s="20"/>
      <c r="P1997" s="20"/>
    </row>
    <row r="1998">
      <c r="A1998" s="23"/>
      <c r="B1998" s="21"/>
      <c r="C1998" s="23"/>
      <c r="D1998" s="24"/>
      <c r="E1998" s="14"/>
      <c r="F1998" s="14"/>
      <c r="G1998" s="14"/>
      <c r="H1998" s="23"/>
      <c r="I1998" s="27"/>
      <c r="J1998" s="23"/>
      <c r="K1998" s="30"/>
      <c r="L1998" s="23"/>
      <c r="M1998" s="20"/>
      <c r="N1998" s="20"/>
      <c r="O1998" s="20"/>
      <c r="P1998" s="20"/>
    </row>
    <row r="1999">
      <c r="A1999" s="10"/>
      <c r="B1999" s="11"/>
      <c r="C1999" s="10"/>
      <c r="D1999" s="13"/>
      <c r="E1999" s="14"/>
      <c r="F1999" s="14"/>
      <c r="G1999" s="14"/>
      <c r="H1999" s="10"/>
      <c r="I1999" s="17"/>
      <c r="J1999" s="10"/>
      <c r="K1999" s="46"/>
      <c r="L1999" s="10"/>
      <c r="M1999" s="20"/>
      <c r="N1999" s="20"/>
      <c r="O1999" s="20"/>
      <c r="P1999" s="20"/>
    </row>
    <row r="2000">
      <c r="A2000" s="23"/>
      <c r="B2000" s="21"/>
      <c r="C2000" s="23"/>
      <c r="D2000" s="24"/>
      <c r="E2000" s="14"/>
      <c r="F2000" s="14"/>
      <c r="G2000" s="14"/>
      <c r="H2000" s="23"/>
      <c r="I2000" s="27"/>
      <c r="J2000" s="23"/>
      <c r="K2000" s="30"/>
      <c r="L2000" s="23"/>
      <c r="M2000" s="20"/>
      <c r="N2000" s="20"/>
      <c r="O2000" s="20"/>
      <c r="P2000" s="20"/>
    </row>
    <row r="2001">
      <c r="A2001" s="10"/>
      <c r="B2001" s="11"/>
      <c r="C2001" s="10"/>
      <c r="D2001" s="13"/>
      <c r="E2001" s="14"/>
      <c r="F2001" s="14"/>
      <c r="G2001" s="14"/>
      <c r="H2001" s="10"/>
      <c r="I2001" s="17"/>
      <c r="J2001" s="10"/>
      <c r="K2001" s="46"/>
      <c r="L2001" s="10"/>
      <c r="M2001" s="20"/>
      <c r="N2001" s="20"/>
      <c r="O2001" s="20"/>
      <c r="P2001" s="20"/>
    </row>
    <row r="2002">
      <c r="A2002" s="23"/>
      <c r="B2002" s="21"/>
      <c r="C2002" s="23"/>
      <c r="D2002" s="24"/>
      <c r="E2002" s="14"/>
      <c r="F2002" s="14"/>
      <c r="G2002" s="14"/>
      <c r="H2002" s="23"/>
      <c r="I2002" s="27"/>
      <c r="J2002" s="23"/>
      <c r="K2002" s="30"/>
      <c r="L2002" s="23"/>
      <c r="M2002" s="20"/>
      <c r="N2002" s="20"/>
      <c r="O2002" s="20"/>
      <c r="P2002" s="20"/>
    </row>
    <row r="2003">
      <c r="A2003" s="10"/>
      <c r="B2003" s="11"/>
      <c r="C2003" s="10"/>
      <c r="D2003" s="13"/>
      <c r="E2003" s="14"/>
      <c r="F2003" s="14"/>
      <c r="G2003" s="14"/>
      <c r="H2003" s="10"/>
      <c r="I2003" s="17"/>
      <c r="J2003" s="10"/>
      <c r="K2003" s="46"/>
      <c r="L2003" s="10"/>
      <c r="M2003" s="20"/>
      <c r="N2003" s="20"/>
      <c r="O2003" s="20"/>
      <c r="P2003" s="20"/>
    </row>
    <row r="2004">
      <c r="A2004" s="23"/>
      <c r="B2004" s="21"/>
      <c r="C2004" s="23"/>
      <c r="D2004" s="24"/>
      <c r="E2004" s="14"/>
      <c r="F2004" s="14"/>
      <c r="G2004" s="14"/>
      <c r="H2004" s="23"/>
      <c r="I2004" s="27"/>
      <c r="J2004" s="23"/>
      <c r="K2004" s="30"/>
      <c r="L2004" s="23"/>
      <c r="M2004" s="20"/>
      <c r="N2004" s="20"/>
      <c r="O2004" s="20"/>
      <c r="P2004" s="20"/>
    </row>
    <row r="2005">
      <c r="A2005" s="10"/>
      <c r="B2005" s="11"/>
      <c r="C2005" s="10"/>
      <c r="D2005" s="13"/>
      <c r="E2005" s="14"/>
      <c r="F2005" s="14"/>
      <c r="G2005" s="14"/>
      <c r="H2005" s="10"/>
      <c r="I2005" s="17"/>
      <c r="J2005" s="10"/>
      <c r="K2005" s="46"/>
      <c r="L2005" s="10"/>
      <c r="M2005" s="20"/>
      <c r="N2005" s="20"/>
      <c r="O2005" s="20"/>
      <c r="P2005" s="20"/>
    </row>
    <row r="2006">
      <c r="A2006" s="23"/>
      <c r="B2006" s="21"/>
      <c r="C2006" s="23"/>
      <c r="D2006" s="24"/>
      <c r="E2006" s="14"/>
      <c r="F2006" s="14"/>
      <c r="G2006" s="14"/>
      <c r="H2006" s="23"/>
      <c r="I2006" s="27"/>
      <c r="J2006" s="23"/>
      <c r="K2006" s="30"/>
      <c r="L2006" s="23"/>
      <c r="M2006" s="20"/>
      <c r="N2006" s="20"/>
      <c r="O2006" s="20"/>
      <c r="P2006" s="20"/>
    </row>
    <row r="2007">
      <c r="A2007" s="10"/>
      <c r="B2007" s="11"/>
      <c r="C2007" s="10"/>
      <c r="D2007" s="13"/>
      <c r="E2007" s="14"/>
      <c r="F2007" s="14"/>
      <c r="G2007" s="14"/>
      <c r="H2007" s="10"/>
      <c r="I2007" s="17"/>
      <c r="J2007" s="10"/>
      <c r="K2007" s="46"/>
      <c r="L2007" s="10"/>
      <c r="M2007" s="20"/>
      <c r="N2007" s="20"/>
      <c r="O2007" s="20"/>
      <c r="P2007" s="20"/>
    </row>
    <row r="2008">
      <c r="A2008" s="23"/>
      <c r="B2008" s="21"/>
      <c r="C2008" s="23"/>
      <c r="D2008" s="24"/>
      <c r="E2008" s="14"/>
      <c r="F2008" s="14"/>
      <c r="G2008" s="14"/>
      <c r="H2008" s="23"/>
      <c r="I2008" s="27"/>
      <c r="J2008" s="23"/>
      <c r="K2008" s="30"/>
      <c r="L2008" s="23"/>
      <c r="M2008" s="20"/>
      <c r="N2008" s="20"/>
      <c r="O2008" s="20"/>
      <c r="P2008" s="20"/>
    </row>
    <row r="2009">
      <c r="A2009" s="10"/>
      <c r="B2009" s="11"/>
      <c r="C2009" s="10"/>
      <c r="D2009" s="13"/>
      <c r="E2009" s="14"/>
      <c r="F2009" s="14"/>
      <c r="G2009" s="14"/>
      <c r="H2009" s="10"/>
      <c r="I2009" s="17"/>
      <c r="J2009" s="10"/>
      <c r="K2009" s="46"/>
      <c r="L2009" s="10"/>
      <c r="M2009" s="20"/>
      <c r="N2009" s="20"/>
      <c r="O2009" s="20"/>
      <c r="P2009" s="20"/>
    </row>
    <row r="2010">
      <c r="A2010" s="23"/>
      <c r="B2010" s="21"/>
      <c r="C2010" s="23"/>
      <c r="D2010" s="24"/>
      <c r="E2010" s="14"/>
      <c r="F2010" s="14"/>
      <c r="G2010" s="14"/>
      <c r="H2010" s="23"/>
      <c r="I2010" s="27"/>
      <c r="J2010" s="23"/>
      <c r="K2010" s="30"/>
      <c r="L2010" s="23"/>
      <c r="M2010" s="20"/>
      <c r="N2010" s="20"/>
      <c r="O2010" s="20"/>
      <c r="P2010" s="20"/>
    </row>
    <row r="2011">
      <c r="A2011" s="10"/>
      <c r="B2011" s="11"/>
      <c r="C2011" s="10"/>
      <c r="D2011" s="13"/>
      <c r="E2011" s="14"/>
      <c r="F2011" s="14"/>
      <c r="G2011" s="14"/>
      <c r="H2011" s="10"/>
      <c r="I2011" s="17"/>
      <c r="J2011" s="10"/>
      <c r="K2011" s="46"/>
      <c r="L2011" s="10"/>
      <c r="M2011" s="20"/>
      <c r="N2011" s="20"/>
      <c r="O2011" s="20"/>
      <c r="P2011" s="20"/>
    </row>
    <row r="2012">
      <c r="A2012" s="23"/>
      <c r="B2012" s="21"/>
      <c r="C2012" s="23"/>
      <c r="D2012" s="24"/>
      <c r="E2012" s="14"/>
      <c r="F2012" s="14"/>
      <c r="G2012" s="14"/>
      <c r="H2012" s="23"/>
      <c r="I2012" s="27"/>
      <c r="J2012" s="23"/>
      <c r="K2012" s="30"/>
      <c r="L2012" s="23"/>
      <c r="M2012" s="20"/>
      <c r="N2012" s="20"/>
      <c r="O2012" s="20"/>
      <c r="P2012" s="20"/>
    </row>
    <row r="2013">
      <c r="A2013" s="10"/>
      <c r="B2013" s="11"/>
      <c r="C2013" s="10"/>
      <c r="D2013" s="13"/>
      <c r="E2013" s="14"/>
      <c r="F2013" s="14"/>
      <c r="G2013" s="14"/>
      <c r="H2013" s="10"/>
      <c r="I2013" s="17"/>
      <c r="J2013" s="10"/>
      <c r="K2013" s="46"/>
      <c r="L2013" s="10"/>
      <c r="M2013" s="20"/>
      <c r="N2013" s="20"/>
      <c r="O2013" s="20"/>
      <c r="P2013" s="20"/>
    </row>
    <row r="2014">
      <c r="A2014" s="23"/>
      <c r="B2014" s="21"/>
      <c r="C2014" s="23"/>
      <c r="D2014" s="24"/>
      <c r="E2014" s="14"/>
      <c r="F2014" s="14"/>
      <c r="G2014" s="14"/>
      <c r="H2014" s="23"/>
      <c r="I2014" s="27"/>
      <c r="J2014" s="23"/>
      <c r="K2014" s="30"/>
      <c r="L2014" s="23"/>
      <c r="M2014" s="20"/>
      <c r="N2014" s="20"/>
      <c r="O2014" s="20"/>
      <c r="P2014" s="20"/>
    </row>
    <row r="2015">
      <c r="A2015" s="10"/>
      <c r="B2015" s="11"/>
      <c r="C2015" s="10"/>
      <c r="D2015" s="13"/>
      <c r="E2015" s="14"/>
      <c r="F2015" s="14"/>
      <c r="G2015" s="14"/>
      <c r="H2015" s="10"/>
      <c r="I2015" s="17"/>
      <c r="J2015" s="10"/>
      <c r="K2015" s="46"/>
      <c r="L2015" s="10"/>
      <c r="M2015" s="20"/>
      <c r="N2015" s="20"/>
      <c r="O2015" s="20"/>
      <c r="P2015" s="20"/>
    </row>
    <row r="2016">
      <c r="A2016" s="23"/>
      <c r="B2016" s="21"/>
      <c r="C2016" s="23"/>
      <c r="D2016" s="24"/>
      <c r="E2016" s="14"/>
      <c r="F2016" s="14"/>
      <c r="G2016" s="14"/>
      <c r="H2016" s="23"/>
      <c r="I2016" s="27"/>
      <c r="J2016" s="23"/>
      <c r="K2016" s="30"/>
      <c r="L2016" s="23"/>
      <c r="M2016" s="20"/>
      <c r="N2016" s="20"/>
      <c r="O2016" s="20"/>
      <c r="P2016" s="20"/>
    </row>
    <row r="2017">
      <c r="A2017" s="10"/>
      <c r="B2017" s="11"/>
      <c r="C2017" s="10"/>
      <c r="D2017" s="13"/>
      <c r="E2017" s="14"/>
      <c r="F2017" s="14"/>
      <c r="G2017" s="14"/>
      <c r="H2017" s="10"/>
      <c r="I2017" s="17"/>
      <c r="J2017" s="10"/>
      <c r="K2017" s="46"/>
      <c r="L2017" s="10"/>
      <c r="M2017" s="20"/>
      <c r="N2017" s="20"/>
      <c r="O2017" s="20"/>
      <c r="P2017" s="20"/>
    </row>
    <row r="2018">
      <c r="A2018" s="23"/>
      <c r="B2018" s="21"/>
      <c r="C2018" s="23"/>
      <c r="D2018" s="24"/>
      <c r="E2018" s="14"/>
      <c r="F2018" s="14"/>
      <c r="G2018" s="14"/>
      <c r="H2018" s="23"/>
      <c r="I2018" s="27"/>
      <c r="J2018" s="23"/>
      <c r="K2018" s="30"/>
      <c r="L2018" s="23"/>
      <c r="M2018" s="20"/>
      <c r="N2018" s="20"/>
      <c r="O2018" s="20"/>
      <c r="P2018" s="20"/>
    </row>
    <row r="2019">
      <c r="A2019" s="10"/>
      <c r="B2019" s="11"/>
      <c r="C2019" s="10"/>
      <c r="D2019" s="13"/>
      <c r="E2019" s="14"/>
      <c r="F2019" s="14"/>
      <c r="G2019" s="14"/>
      <c r="H2019" s="10"/>
      <c r="I2019" s="17"/>
      <c r="J2019" s="10"/>
      <c r="K2019" s="46"/>
      <c r="L2019" s="10"/>
      <c r="M2019" s="20"/>
      <c r="N2019" s="20"/>
      <c r="O2019" s="20"/>
      <c r="P2019" s="20"/>
    </row>
    <row r="2020">
      <c r="A2020" s="23"/>
      <c r="B2020" s="21"/>
      <c r="C2020" s="23"/>
      <c r="D2020" s="24"/>
      <c r="E2020" s="14"/>
      <c r="F2020" s="14"/>
      <c r="G2020" s="14"/>
      <c r="H2020" s="23"/>
      <c r="I2020" s="27"/>
      <c r="J2020" s="23"/>
      <c r="K2020" s="30"/>
      <c r="L2020" s="23"/>
      <c r="M2020" s="20"/>
      <c r="N2020" s="20"/>
      <c r="O2020" s="20"/>
      <c r="P2020" s="20"/>
    </row>
    <row r="2021">
      <c r="A2021" s="10"/>
      <c r="B2021" s="11"/>
      <c r="C2021" s="10"/>
      <c r="D2021" s="13"/>
      <c r="E2021" s="14"/>
      <c r="F2021" s="14"/>
      <c r="G2021" s="14"/>
      <c r="H2021" s="10"/>
      <c r="I2021" s="17"/>
      <c r="J2021" s="10"/>
      <c r="K2021" s="46"/>
      <c r="L2021" s="10"/>
      <c r="M2021" s="20"/>
      <c r="N2021" s="20"/>
      <c r="O2021" s="20"/>
      <c r="P2021" s="20"/>
    </row>
    <row r="2022">
      <c r="A2022" s="23"/>
      <c r="B2022" s="21"/>
      <c r="C2022" s="23"/>
      <c r="D2022" s="24"/>
      <c r="E2022" s="14"/>
      <c r="F2022" s="14"/>
      <c r="G2022" s="14"/>
      <c r="H2022" s="23"/>
      <c r="I2022" s="27"/>
      <c r="J2022" s="23"/>
      <c r="K2022" s="30"/>
      <c r="L2022" s="23"/>
      <c r="M2022" s="20"/>
      <c r="N2022" s="20"/>
      <c r="O2022" s="20"/>
      <c r="P2022" s="20"/>
    </row>
    <row r="2023">
      <c r="A2023" s="10"/>
      <c r="B2023" s="11"/>
      <c r="C2023" s="10"/>
      <c r="D2023" s="13"/>
      <c r="E2023" s="14"/>
      <c r="F2023" s="14"/>
      <c r="G2023" s="14"/>
      <c r="H2023" s="10"/>
      <c r="I2023" s="17"/>
      <c r="J2023" s="10"/>
      <c r="K2023" s="46"/>
      <c r="L2023" s="10"/>
      <c r="M2023" s="20"/>
      <c r="N2023" s="20"/>
      <c r="O2023" s="20"/>
      <c r="P2023" s="20"/>
    </row>
    <row r="2024">
      <c r="A2024" s="23"/>
      <c r="B2024" s="21"/>
      <c r="C2024" s="23"/>
      <c r="D2024" s="24"/>
      <c r="E2024" s="14"/>
      <c r="F2024" s="14"/>
      <c r="G2024" s="14"/>
      <c r="H2024" s="23"/>
      <c r="I2024" s="27"/>
      <c r="J2024" s="23"/>
      <c r="K2024" s="30"/>
      <c r="L2024" s="23"/>
      <c r="M2024" s="20"/>
      <c r="N2024" s="20"/>
      <c r="O2024" s="20"/>
      <c r="P2024" s="20"/>
    </row>
    <row r="2025">
      <c r="A2025" s="10"/>
      <c r="B2025" s="11"/>
      <c r="C2025" s="10"/>
      <c r="D2025" s="13"/>
      <c r="E2025" s="14"/>
      <c r="F2025" s="14"/>
      <c r="G2025" s="14"/>
      <c r="H2025" s="10"/>
      <c r="I2025" s="17"/>
      <c r="J2025" s="10"/>
      <c r="K2025" s="46"/>
      <c r="L2025" s="10"/>
      <c r="M2025" s="20"/>
      <c r="N2025" s="20"/>
      <c r="O2025" s="20"/>
      <c r="P2025" s="20"/>
    </row>
    <row r="2026">
      <c r="A2026" s="23"/>
      <c r="B2026" s="21"/>
      <c r="C2026" s="23"/>
      <c r="D2026" s="24"/>
      <c r="E2026" s="14"/>
      <c r="F2026" s="14"/>
      <c r="G2026" s="14"/>
      <c r="H2026" s="23"/>
      <c r="I2026" s="27"/>
      <c r="J2026" s="23"/>
      <c r="K2026" s="30"/>
      <c r="L2026" s="23"/>
      <c r="M2026" s="20"/>
      <c r="N2026" s="20"/>
      <c r="O2026" s="20"/>
      <c r="P2026" s="20"/>
    </row>
    <row r="2027">
      <c r="A2027" s="10"/>
      <c r="B2027" s="11"/>
      <c r="C2027" s="10"/>
      <c r="D2027" s="13"/>
      <c r="E2027" s="14"/>
      <c r="F2027" s="14"/>
      <c r="G2027" s="14"/>
      <c r="H2027" s="10"/>
      <c r="I2027" s="17"/>
      <c r="J2027" s="10"/>
      <c r="K2027" s="46"/>
      <c r="L2027" s="10"/>
      <c r="M2027" s="20"/>
      <c r="N2027" s="20"/>
      <c r="O2027" s="20"/>
      <c r="P2027" s="20"/>
    </row>
    <row r="2028">
      <c r="A2028" s="23"/>
      <c r="B2028" s="21"/>
      <c r="C2028" s="23"/>
      <c r="D2028" s="24"/>
      <c r="E2028" s="14"/>
      <c r="F2028" s="14"/>
      <c r="G2028" s="14"/>
      <c r="H2028" s="23"/>
      <c r="I2028" s="27"/>
      <c r="J2028" s="23"/>
      <c r="K2028" s="30"/>
      <c r="L2028" s="23"/>
      <c r="M2028" s="20"/>
      <c r="N2028" s="20"/>
      <c r="O2028" s="20"/>
      <c r="P2028" s="20"/>
    </row>
    <row r="2029">
      <c r="A2029" s="10"/>
      <c r="B2029" s="11"/>
      <c r="C2029" s="10"/>
      <c r="D2029" s="13"/>
      <c r="E2029" s="14"/>
      <c r="F2029" s="14"/>
      <c r="G2029" s="14"/>
      <c r="H2029" s="10"/>
      <c r="I2029" s="17"/>
      <c r="J2029" s="10"/>
      <c r="K2029" s="46"/>
      <c r="L2029" s="10"/>
      <c r="M2029" s="20"/>
      <c r="N2029" s="20"/>
      <c r="O2029" s="20"/>
      <c r="P2029" s="20"/>
    </row>
    <row r="2030">
      <c r="A2030" s="23"/>
      <c r="B2030" s="21"/>
      <c r="C2030" s="23"/>
      <c r="D2030" s="24"/>
      <c r="E2030" s="14"/>
      <c r="F2030" s="14"/>
      <c r="G2030" s="14"/>
      <c r="H2030" s="23"/>
      <c r="I2030" s="27"/>
      <c r="J2030" s="23"/>
      <c r="K2030" s="30"/>
      <c r="L2030" s="23"/>
      <c r="M2030" s="20"/>
      <c r="N2030" s="20"/>
      <c r="O2030" s="20"/>
      <c r="P2030" s="20"/>
    </row>
    <row r="2031">
      <c r="A2031" s="10"/>
      <c r="B2031" s="11"/>
      <c r="C2031" s="10"/>
      <c r="D2031" s="13"/>
      <c r="E2031" s="14"/>
      <c r="F2031" s="14"/>
      <c r="G2031" s="14"/>
      <c r="H2031" s="10"/>
      <c r="I2031" s="17"/>
      <c r="J2031" s="10"/>
      <c r="K2031" s="46"/>
      <c r="L2031" s="10"/>
      <c r="M2031" s="20"/>
      <c r="N2031" s="20"/>
      <c r="O2031" s="20"/>
      <c r="P2031" s="20"/>
    </row>
    <row r="2032">
      <c r="A2032" s="23"/>
      <c r="B2032" s="21"/>
      <c r="C2032" s="23"/>
      <c r="D2032" s="24"/>
      <c r="E2032" s="14"/>
      <c r="F2032" s="14"/>
      <c r="G2032" s="14"/>
      <c r="H2032" s="23"/>
      <c r="I2032" s="27"/>
      <c r="J2032" s="23"/>
      <c r="K2032" s="30"/>
      <c r="L2032" s="23"/>
      <c r="M2032" s="20"/>
      <c r="N2032" s="20"/>
      <c r="O2032" s="20"/>
      <c r="P2032" s="20"/>
    </row>
    <row r="2033">
      <c r="A2033" s="10"/>
      <c r="B2033" s="11"/>
      <c r="C2033" s="10"/>
      <c r="D2033" s="13"/>
      <c r="E2033" s="14"/>
      <c r="F2033" s="14"/>
      <c r="G2033" s="14"/>
      <c r="H2033" s="10"/>
      <c r="I2033" s="17"/>
      <c r="J2033" s="10"/>
      <c r="K2033" s="46"/>
      <c r="L2033" s="10"/>
      <c r="M2033" s="20"/>
      <c r="N2033" s="20"/>
      <c r="O2033" s="20"/>
      <c r="P2033" s="20"/>
    </row>
    <row r="2034">
      <c r="A2034" s="23"/>
      <c r="B2034" s="21"/>
      <c r="C2034" s="23"/>
      <c r="D2034" s="24"/>
      <c r="E2034" s="14"/>
      <c r="F2034" s="14"/>
      <c r="G2034" s="14"/>
      <c r="H2034" s="23"/>
      <c r="I2034" s="27"/>
      <c r="J2034" s="23"/>
      <c r="K2034" s="30"/>
      <c r="L2034" s="23"/>
      <c r="M2034" s="20"/>
      <c r="N2034" s="20"/>
      <c r="O2034" s="20"/>
      <c r="P2034" s="20"/>
    </row>
    <row r="2035">
      <c r="A2035" s="10"/>
      <c r="B2035" s="11"/>
      <c r="C2035" s="10"/>
      <c r="D2035" s="13"/>
      <c r="E2035" s="14"/>
      <c r="F2035" s="14"/>
      <c r="G2035" s="14"/>
      <c r="H2035" s="10"/>
      <c r="I2035" s="17"/>
      <c r="J2035" s="10"/>
      <c r="K2035" s="46"/>
      <c r="L2035" s="10"/>
      <c r="M2035" s="20"/>
      <c r="N2035" s="20"/>
      <c r="O2035" s="20"/>
      <c r="P2035" s="20"/>
    </row>
    <row r="2036">
      <c r="A2036" s="23"/>
      <c r="B2036" s="21"/>
      <c r="C2036" s="23"/>
      <c r="D2036" s="24"/>
      <c r="E2036" s="14"/>
      <c r="F2036" s="14"/>
      <c r="G2036" s="14"/>
      <c r="H2036" s="23"/>
      <c r="I2036" s="27"/>
      <c r="J2036" s="23"/>
      <c r="K2036" s="30"/>
      <c r="L2036" s="23"/>
      <c r="M2036" s="20"/>
      <c r="N2036" s="20"/>
      <c r="O2036" s="20"/>
      <c r="P2036" s="20"/>
    </row>
    <row r="2037">
      <c r="A2037" s="10"/>
      <c r="B2037" s="11"/>
      <c r="C2037" s="10"/>
      <c r="D2037" s="13"/>
      <c r="E2037" s="14"/>
      <c r="F2037" s="14"/>
      <c r="G2037" s="14"/>
      <c r="H2037" s="10"/>
      <c r="I2037" s="17"/>
      <c r="J2037" s="10"/>
      <c r="K2037" s="46"/>
      <c r="L2037" s="10"/>
      <c r="M2037" s="20"/>
      <c r="N2037" s="20"/>
      <c r="O2037" s="20"/>
      <c r="P2037" s="20"/>
    </row>
    <row r="2038">
      <c r="A2038" s="23"/>
      <c r="B2038" s="21"/>
      <c r="C2038" s="23"/>
      <c r="D2038" s="24"/>
      <c r="E2038" s="14"/>
      <c r="F2038" s="14"/>
      <c r="G2038" s="14"/>
      <c r="H2038" s="23"/>
      <c r="I2038" s="27"/>
      <c r="J2038" s="23"/>
      <c r="K2038" s="30"/>
      <c r="L2038" s="23"/>
      <c r="M2038" s="20"/>
      <c r="N2038" s="20"/>
      <c r="O2038" s="20"/>
      <c r="P2038" s="20"/>
    </row>
    <row r="2039">
      <c r="A2039" s="10"/>
      <c r="B2039" s="11"/>
      <c r="C2039" s="10"/>
      <c r="D2039" s="13"/>
      <c r="E2039" s="14"/>
      <c r="F2039" s="14"/>
      <c r="G2039" s="14"/>
      <c r="H2039" s="10"/>
      <c r="I2039" s="17"/>
      <c r="J2039" s="10"/>
      <c r="K2039" s="46"/>
      <c r="L2039" s="10"/>
      <c r="M2039" s="20"/>
      <c r="N2039" s="20"/>
      <c r="O2039" s="20"/>
      <c r="P2039" s="20"/>
    </row>
    <row r="2040">
      <c r="A2040" s="23"/>
      <c r="B2040" s="21"/>
      <c r="C2040" s="23"/>
      <c r="D2040" s="24"/>
      <c r="E2040" s="14"/>
      <c r="F2040" s="14"/>
      <c r="G2040" s="14"/>
      <c r="H2040" s="23"/>
      <c r="I2040" s="27"/>
      <c r="J2040" s="23"/>
      <c r="K2040" s="30"/>
      <c r="L2040" s="23"/>
      <c r="M2040" s="20"/>
      <c r="N2040" s="20"/>
      <c r="O2040" s="20"/>
      <c r="P2040" s="20"/>
    </row>
    <row r="2041">
      <c r="A2041" s="10"/>
      <c r="B2041" s="11"/>
      <c r="C2041" s="10"/>
      <c r="D2041" s="13"/>
      <c r="E2041" s="14"/>
      <c r="F2041" s="14"/>
      <c r="G2041" s="14"/>
      <c r="H2041" s="10"/>
      <c r="I2041" s="17"/>
      <c r="J2041" s="10"/>
      <c r="K2041" s="46"/>
      <c r="L2041" s="10"/>
      <c r="M2041" s="20"/>
      <c r="N2041" s="20"/>
      <c r="O2041" s="20"/>
      <c r="P2041" s="20"/>
    </row>
    <row r="2042">
      <c r="A2042" s="23"/>
      <c r="B2042" s="21"/>
      <c r="C2042" s="23"/>
      <c r="D2042" s="24"/>
      <c r="E2042" s="14"/>
      <c r="F2042" s="14"/>
      <c r="G2042" s="14"/>
      <c r="H2042" s="23"/>
      <c r="I2042" s="27"/>
      <c r="J2042" s="23"/>
      <c r="K2042" s="30"/>
      <c r="L2042" s="23"/>
      <c r="M2042" s="20"/>
      <c r="N2042" s="20"/>
      <c r="O2042" s="20"/>
      <c r="P2042" s="20"/>
    </row>
    <row r="2043">
      <c r="A2043" s="10"/>
      <c r="B2043" s="11"/>
      <c r="C2043" s="10"/>
      <c r="D2043" s="13"/>
      <c r="E2043" s="14"/>
      <c r="F2043" s="14"/>
      <c r="G2043" s="14"/>
      <c r="H2043" s="10"/>
      <c r="I2043" s="17"/>
      <c r="J2043" s="10"/>
      <c r="K2043" s="46"/>
      <c r="L2043" s="10"/>
      <c r="M2043" s="20"/>
      <c r="N2043" s="20"/>
      <c r="O2043" s="20"/>
      <c r="P2043" s="20"/>
    </row>
    <row r="2044">
      <c r="A2044" s="23"/>
      <c r="B2044" s="21"/>
      <c r="C2044" s="23"/>
      <c r="D2044" s="24"/>
      <c r="E2044" s="14"/>
      <c r="F2044" s="14"/>
      <c r="G2044" s="14"/>
      <c r="H2044" s="23"/>
      <c r="I2044" s="27"/>
      <c r="J2044" s="23"/>
      <c r="K2044" s="30"/>
      <c r="L2044" s="23"/>
      <c r="M2044" s="20"/>
      <c r="N2044" s="20"/>
      <c r="O2044" s="20"/>
      <c r="P2044" s="20"/>
    </row>
    <row r="2045">
      <c r="A2045" s="10"/>
      <c r="B2045" s="11"/>
      <c r="C2045" s="10"/>
      <c r="D2045" s="13"/>
      <c r="E2045" s="14"/>
      <c r="F2045" s="14"/>
      <c r="G2045" s="14"/>
      <c r="H2045" s="10"/>
      <c r="I2045" s="17"/>
      <c r="J2045" s="10"/>
      <c r="K2045" s="46"/>
      <c r="L2045" s="10"/>
      <c r="M2045" s="20"/>
      <c r="N2045" s="20"/>
      <c r="O2045" s="20"/>
      <c r="P2045" s="20"/>
    </row>
    <row r="2046">
      <c r="A2046" s="23"/>
      <c r="B2046" s="21"/>
      <c r="C2046" s="23"/>
      <c r="D2046" s="24"/>
      <c r="E2046" s="14"/>
      <c r="F2046" s="14"/>
      <c r="G2046" s="14"/>
      <c r="H2046" s="23"/>
      <c r="I2046" s="27"/>
      <c r="J2046" s="23"/>
      <c r="K2046" s="30"/>
      <c r="L2046" s="23"/>
      <c r="M2046" s="20"/>
      <c r="N2046" s="20"/>
      <c r="O2046" s="20"/>
      <c r="P2046" s="20"/>
    </row>
    <row r="2047">
      <c r="A2047" s="10"/>
      <c r="B2047" s="11"/>
      <c r="C2047" s="10"/>
      <c r="D2047" s="13"/>
      <c r="E2047" s="14"/>
      <c r="F2047" s="14"/>
      <c r="G2047" s="14"/>
      <c r="H2047" s="10"/>
      <c r="I2047" s="17"/>
      <c r="J2047" s="10"/>
      <c r="K2047" s="46"/>
      <c r="L2047" s="10"/>
      <c r="M2047" s="20"/>
      <c r="N2047" s="20"/>
      <c r="O2047" s="20"/>
      <c r="P2047" s="20"/>
    </row>
    <row r="2048">
      <c r="A2048" s="23"/>
      <c r="B2048" s="21"/>
      <c r="C2048" s="23"/>
      <c r="D2048" s="24"/>
      <c r="E2048" s="14"/>
      <c r="F2048" s="14"/>
      <c r="G2048" s="14"/>
      <c r="H2048" s="23"/>
      <c r="I2048" s="27"/>
      <c r="J2048" s="23"/>
      <c r="K2048" s="30"/>
      <c r="L2048" s="23"/>
      <c r="M2048" s="20"/>
      <c r="N2048" s="20"/>
      <c r="O2048" s="20"/>
      <c r="P2048" s="20"/>
    </row>
    <row r="2049">
      <c r="A2049" s="10"/>
      <c r="B2049" s="11"/>
      <c r="C2049" s="10"/>
      <c r="D2049" s="13"/>
      <c r="E2049" s="14"/>
      <c r="F2049" s="14"/>
      <c r="G2049" s="14"/>
      <c r="H2049" s="10"/>
      <c r="I2049" s="17"/>
      <c r="J2049" s="10"/>
      <c r="K2049" s="46"/>
      <c r="L2049" s="10"/>
      <c r="M2049" s="20"/>
      <c r="N2049" s="20"/>
      <c r="O2049" s="20"/>
      <c r="P2049" s="20"/>
    </row>
    <row r="2050">
      <c r="A2050" s="23"/>
      <c r="B2050" s="21"/>
      <c r="C2050" s="23"/>
      <c r="D2050" s="24"/>
      <c r="E2050" s="14"/>
      <c r="F2050" s="14"/>
      <c r="G2050" s="14"/>
      <c r="H2050" s="23"/>
      <c r="I2050" s="27"/>
      <c r="J2050" s="23"/>
      <c r="K2050" s="30"/>
      <c r="L2050" s="23"/>
      <c r="M2050" s="20"/>
      <c r="N2050" s="20"/>
      <c r="O2050" s="20"/>
      <c r="P2050" s="20"/>
    </row>
    <row r="2051">
      <c r="A2051" s="10"/>
      <c r="B2051" s="11"/>
      <c r="C2051" s="10"/>
      <c r="D2051" s="13"/>
      <c r="E2051" s="14"/>
      <c r="F2051" s="14"/>
      <c r="G2051" s="14"/>
      <c r="H2051" s="10"/>
      <c r="I2051" s="17"/>
      <c r="J2051" s="10"/>
      <c r="K2051" s="46"/>
      <c r="L2051" s="10"/>
      <c r="M2051" s="20"/>
      <c r="N2051" s="20"/>
      <c r="O2051" s="20"/>
      <c r="P2051" s="20"/>
    </row>
    <row r="2052">
      <c r="A2052" s="23"/>
      <c r="B2052" s="21"/>
      <c r="C2052" s="23"/>
      <c r="D2052" s="24"/>
      <c r="E2052" s="14"/>
      <c r="F2052" s="14"/>
      <c r="G2052" s="14"/>
      <c r="H2052" s="23"/>
      <c r="I2052" s="27"/>
      <c r="J2052" s="23"/>
      <c r="K2052" s="30"/>
      <c r="L2052" s="23"/>
      <c r="M2052" s="20"/>
      <c r="N2052" s="20"/>
      <c r="O2052" s="20"/>
      <c r="P2052" s="20"/>
    </row>
    <row r="2053">
      <c r="A2053" s="10"/>
      <c r="B2053" s="11"/>
      <c r="C2053" s="10"/>
      <c r="D2053" s="13"/>
      <c r="E2053" s="14"/>
      <c r="F2053" s="14"/>
      <c r="G2053" s="14"/>
      <c r="H2053" s="10"/>
      <c r="I2053" s="17"/>
      <c r="J2053" s="10"/>
      <c r="K2053" s="46"/>
      <c r="L2053" s="10"/>
      <c r="M2053" s="20"/>
      <c r="N2053" s="20"/>
      <c r="O2053" s="20"/>
      <c r="P2053" s="20"/>
    </row>
    <row r="2054">
      <c r="A2054" s="23"/>
      <c r="B2054" s="21"/>
      <c r="C2054" s="23"/>
      <c r="D2054" s="24"/>
      <c r="E2054" s="14"/>
      <c r="F2054" s="14"/>
      <c r="G2054" s="14"/>
      <c r="H2054" s="23"/>
      <c r="I2054" s="27"/>
      <c r="J2054" s="23"/>
      <c r="K2054" s="30"/>
      <c r="L2054" s="23"/>
      <c r="M2054" s="20"/>
      <c r="N2054" s="20"/>
      <c r="O2054" s="20"/>
      <c r="P2054" s="20"/>
    </row>
    <row r="2055">
      <c r="A2055" s="10"/>
      <c r="B2055" s="11"/>
      <c r="C2055" s="10"/>
      <c r="D2055" s="13"/>
      <c r="E2055" s="14"/>
      <c r="F2055" s="14"/>
      <c r="G2055" s="14"/>
      <c r="H2055" s="10"/>
      <c r="I2055" s="17"/>
      <c r="J2055" s="10"/>
      <c r="K2055" s="46"/>
      <c r="L2055" s="10"/>
      <c r="M2055" s="20"/>
      <c r="N2055" s="20"/>
      <c r="O2055" s="20"/>
      <c r="P2055" s="20"/>
    </row>
    <row r="2056">
      <c r="A2056" s="23"/>
      <c r="B2056" s="21"/>
      <c r="C2056" s="23"/>
      <c r="D2056" s="24"/>
      <c r="E2056" s="14"/>
      <c r="F2056" s="14"/>
      <c r="G2056" s="14"/>
      <c r="H2056" s="23"/>
      <c r="I2056" s="27"/>
      <c r="J2056" s="23"/>
      <c r="K2056" s="30"/>
      <c r="L2056" s="23"/>
      <c r="M2056" s="20"/>
      <c r="N2056" s="20"/>
      <c r="O2056" s="20"/>
      <c r="P2056" s="20"/>
    </row>
    <row r="2057">
      <c r="A2057" s="10"/>
      <c r="B2057" s="11"/>
      <c r="C2057" s="10"/>
      <c r="D2057" s="13"/>
      <c r="E2057" s="14"/>
      <c r="F2057" s="14"/>
      <c r="G2057" s="14"/>
      <c r="H2057" s="10"/>
      <c r="I2057" s="17"/>
      <c r="J2057" s="10"/>
      <c r="K2057" s="46"/>
      <c r="L2057" s="10"/>
      <c r="M2057" s="20"/>
      <c r="N2057" s="20"/>
      <c r="O2057" s="20"/>
      <c r="P2057" s="20"/>
    </row>
    <row r="2058">
      <c r="A2058" s="23"/>
      <c r="B2058" s="21"/>
      <c r="C2058" s="23"/>
      <c r="D2058" s="24"/>
      <c r="E2058" s="14"/>
      <c r="F2058" s="14"/>
      <c r="G2058" s="14"/>
      <c r="H2058" s="23"/>
      <c r="I2058" s="27"/>
      <c r="J2058" s="23"/>
      <c r="K2058" s="30"/>
      <c r="L2058" s="23"/>
      <c r="M2058" s="20"/>
      <c r="N2058" s="20"/>
      <c r="O2058" s="20"/>
      <c r="P2058" s="20"/>
    </row>
    <row r="2059">
      <c r="A2059" s="10"/>
      <c r="B2059" s="11"/>
      <c r="C2059" s="10"/>
      <c r="D2059" s="13"/>
      <c r="E2059" s="14"/>
      <c r="F2059" s="14"/>
      <c r="G2059" s="14"/>
      <c r="H2059" s="10"/>
      <c r="I2059" s="17"/>
      <c r="J2059" s="10"/>
      <c r="K2059" s="46"/>
      <c r="L2059" s="10"/>
      <c r="M2059" s="20"/>
      <c r="N2059" s="20"/>
      <c r="O2059" s="20"/>
      <c r="P2059" s="20"/>
    </row>
    <row r="2060">
      <c r="A2060" s="23"/>
      <c r="B2060" s="21"/>
      <c r="C2060" s="23"/>
      <c r="D2060" s="24"/>
      <c r="E2060" s="14"/>
      <c r="F2060" s="14"/>
      <c r="G2060" s="14"/>
      <c r="H2060" s="23"/>
      <c r="I2060" s="27"/>
      <c r="J2060" s="23"/>
      <c r="K2060" s="30"/>
      <c r="L2060" s="23"/>
      <c r="M2060" s="20"/>
      <c r="N2060" s="20"/>
      <c r="O2060" s="20"/>
      <c r="P2060" s="20"/>
    </row>
    <row r="2061">
      <c r="A2061" s="10"/>
      <c r="B2061" s="11"/>
      <c r="C2061" s="10"/>
      <c r="D2061" s="13"/>
      <c r="E2061" s="14"/>
      <c r="F2061" s="14"/>
      <c r="G2061" s="14"/>
      <c r="H2061" s="10"/>
      <c r="I2061" s="17"/>
      <c r="J2061" s="10"/>
      <c r="K2061" s="46"/>
      <c r="L2061" s="10"/>
      <c r="M2061" s="20"/>
      <c r="N2061" s="20"/>
      <c r="O2061" s="20"/>
      <c r="P2061" s="20"/>
    </row>
    <row r="2062">
      <c r="A2062" s="23"/>
      <c r="B2062" s="21"/>
      <c r="C2062" s="23"/>
      <c r="D2062" s="24"/>
      <c r="E2062" s="14"/>
      <c r="F2062" s="14"/>
      <c r="G2062" s="14"/>
      <c r="H2062" s="23"/>
      <c r="I2062" s="27"/>
      <c r="J2062" s="23"/>
      <c r="K2062" s="30"/>
      <c r="L2062" s="23"/>
      <c r="M2062" s="20"/>
      <c r="N2062" s="20"/>
      <c r="O2062" s="20"/>
      <c r="P2062" s="20"/>
    </row>
    <row r="2063">
      <c r="A2063" s="10"/>
      <c r="B2063" s="11"/>
      <c r="C2063" s="10"/>
      <c r="D2063" s="13"/>
      <c r="E2063" s="14"/>
      <c r="F2063" s="14"/>
      <c r="G2063" s="14"/>
      <c r="H2063" s="10"/>
      <c r="I2063" s="17"/>
      <c r="J2063" s="10"/>
      <c r="K2063" s="46"/>
      <c r="L2063" s="10"/>
      <c r="M2063" s="20"/>
      <c r="N2063" s="20"/>
      <c r="O2063" s="20"/>
      <c r="P2063" s="20"/>
    </row>
    <row r="2064">
      <c r="A2064" s="23"/>
      <c r="B2064" s="21"/>
      <c r="C2064" s="23"/>
      <c r="D2064" s="24"/>
      <c r="E2064" s="14"/>
      <c r="F2064" s="14"/>
      <c r="G2064" s="14"/>
      <c r="H2064" s="23"/>
      <c r="I2064" s="27"/>
      <c r="J2064" s="23"/>
      <c r="K2064" s="30"/>
      <c r="L2064" s="23"/>
      <c r="M2064" s="20"/>
      <c r="N2064" s="20"/>
      <c r="O2064" s="20"/>
      <c r="P2064" s="20"/>
    </row>
    <row r="2065">
      <c r="A2065" s="10"/>
      <c r="B2065" s="11"/>
      <c r="C2065" s="10"/>
      <c r="D2065" s="13"/>
      <c r="E2065" s="14"/>
      <c r="F2065" s="14"/>
      <c r="G2065" s="14"/>
      <c r="H2065" s="10"/>
      <c r="I2065" s="17"/>
      <c r="J2065" s="10"/>
      <c r="K2065" s="46"/>
      <c r="L2065" s="10"/>
      <c r="M2065" s="20"/>
      <c r="N2065" s="20"/>
      <c r="O2065" s="20"/>
      <c r="P2065" s="20"/>
    </row>
    <row r="2066">
      <c r="A2066" s="23"/>
      <c r="B2066" s="21"/>
      <c r="C2066" s="23"/>
      <c r="D2066" s="24"/>
      <c r="E2066" s="14"/>
      <c r="F2066" s="14"/>
      <c r="G2066" s="14"/>
      <c r="H2066" s="23"/>
      <c r="I2066" s="27"/>
      <c r="J2066" s="23"/>
      <c r="K2066" s="30"/>
      <c r="L2066" s="23"/>
      <c r="M2066" s="20"/>
      <c r="N2066" s="20"/>
      <c r="O2066" s="20"/>
      <c r="P2066" s="20"/>
    </row>
    <row r="2067">
      <c r="A2067" s="10"/>
      <c r="B2067" s="11"/>
      <c r="C2067" s="10"/>
      <c r="D2067" s="13"/>
      <c r="E2067" s="14"/>
      <c r="F2067" s="14"/>
      <c r="G2067" s="14"/>
      <c r="H2067" s="10"/>
      <c r="I2067" s="17"/>
      <c r="J2067" s="10"/>
      <c r="K2067" s="46"/>
      <c r="L2067" s="10"/>
      <c r="M2067" s="20"/>
      <c r="N2067" s="20"/>
      <c r="O2067" s="20"/>
      <c r="P2067" s="20"/>
    </row>
    <row r="2068">
      <c r="A2068" s="23"/>
      <c r="B2068" s="21"/>
      <c r="C2068" s="23"/>
      <c r="D2068" s="24"/>
      <c r="E2068" s="14"/>
      <c r="F2068" s="14"/>
      <c r="G2068" s="14"/>
      <c r="H2068" s="23"/>
      <c r="I2068" s="27"/>
      <c r="J2068" s="23"/>
      <c r="K2068" s="30"/>
      <c r="L2068" s="23"/>
      <c r="M2068" s="20"/>
      <c r="N2068" s="20"/>
      <c r="O2068" s="20"/>
      <c r="P2068" s="20"/>
    </row>
    <row r="2069">
      <c r="A2069" s="10"/>
      <c r="B2069" s="11"/>
      <c r="C2069" s="10"/>
      <c r="D2069" s="13"/>
      <c r="E2069" s="14"/>
      <c r="F2069" s="14"/>
      <c r="G2069" s="14"/>
      <c r="H2069" s="10"/>
      <c r="I2069" s="17"/>
      <c r="J2069" s="10"/>
      <c r="K2069" s="46"/>
      <c r="L2069" s="10"/>
      <c r="M2069" s="20"/>
      <c r="N2069" s="20"/>
      <c r="O2069" s="20"/>
      <c r="P2069" s="20"/>
    </row>
    <row r="2070">
      <c r="A2070" s="23"/>
      <c r="B2070" s="21"/>
      <c r="C2070" s="23"/>
      <c r="D2070" s="24"/>
      <c r="E2070" s="14"/>
      <c r="F2070" s="14"/>
      <c r="G2070" s="14"/>
      <c r="H2070" s="23"/>
      <c r="I2070" s="27"/>
      <c r="J2070" s="23"/>
      <c r="K2070" s="30"/>
      <c r="L2070" s="23"/>
      <c r="M2070" s="20"/>
      <c r="N2070" s="20"/>
      <c r="O2070" s="20"/>
      <c r="P2070" s="20"/>
    </row>
    <row r="2071">
      <c r="A2071" s="10"/>
      <c r="B2071" s="11"/>
      <c r="C2071" s="10"/>
      <c r="D2071" s="13"/>
      <c r="E2071" s="14"/>
      <c r="F2071" s="14"/>
      <c r="G2071" s="14"/>
      <c r="H2071" s="10"/>
      <c r="I2071" s="17"/>
      <c r="J2071" s="10"/>
      <c r="K2071" s="46"/>
      <c r="L2071" s="10"/>
      <c r="M2071" s="20"/>
      <c r="N2071" s="20"/>
      <c r="O2071" s="20"/>
      <c r="P2071" s="20"/>
    </row>
    <row r="2072">
      <c r="A2072" s="23"/>
      <c r="B2072" s="21"/>
      <c r="C2072" s="23"/>
      <c r="D2072" s="24"/>
      <c r="E2072" s="14"/>
      <c r="F2072" s="14"/>
      <c r="G2072" s="14"/>
      <c r="H2072" s="23"/>
      <c r="I2072" s="27"/>
      <c r="J2072" s="23"/>
      <c r="K2072" s="30"/>
      <c r="L2072" s="23"/>
      <c r="M2072" s="20"/>
      <c r="N2072" s="20"/>
      <c r="O2072" s="20"/>
      <c r="P2072" s="20"/>
    </row>
    <row r="2073">
      <c r="A2073" s="10"/>
      <c r="B2073" s="11"/>
      <c r="C2073" s="10"/>
      <c r="D2073" s="13"/>
      <c r="E2073" s="14"/>
      <c r="F2073" s="14"/>
      <c r="G2073" s="14"/>
      <c r="H2073" s="10"/>
      <c r="I2073" s="17"/>
      <c r="J2073" s="10"/>
      <c r="K2073" s="46"/>
      <c r="L2073" s="10"/>
      <c r="M2073" s="20"/>
      <c r="N2073" s="20"/>
      <c r="O2073" s="20"/>
      <c r="P2073" s="20"/>
    </row>
    <row r="2074">
      <c r="A2074" s="23"/>
      <c r="B2074" s="21"/>
      <c r="C2074" s="23"/>
      <c r="D2074" s="24"/>
      <c r="E2074" s="14"/>
      <c r="F2074" s="14"/>
      <c r="G2074" s="14"/>
      <c r="H2074" s="23"/>
      <c r="I2074" s="27"/>
      <c r="J2074" s="23"/>
      <c r="K2074" s="30"/>
      <c r="L2074" s="23"/>
      <c r="M2074" s="20"/>
      <c r="N2074" s="20"/>
      <c r="O2074" s="20"/>
      <c r="P2074" s="20"/>
    </row>
    <row r="2075">
      <c r="A2075" s="10"/>
      <c r="B2075" s="11"/>
      <c r="C2075" s="10"/>
      <c r="D2075" s="13"/>
      <c r="E2075" s="14"/>
      <c r="F2075" s="14"/>
      <c r="G2075" s="14"/>
      <c r="H2075" s="10"/>
      <c r="I2075" s="17"/>
      <c r="J2075" s="10"/>
      <c r="K2075" s="46"/>
      <c r="L2075" s="10"/>
      <c r="M2075" s="20"/>
      <c r="N2075" s="20"/>
      <c r="O2075" s="20"/>
      <c r="P2075" s="20"/>
    </row>
    <row r="2076">
      <c r="A2076" s="23"/>
      <c r="B2076" s="21"/>
      <c r="C2076" s="23"/>
      <c r="D2076" s="24"/>
      <c r="E2076" s="14"/>
      <c r="F2076" s="14"/>
      <c r="G2076" s="14"/>
      <c r="H2076" s="23"/>
      <c r="I2076" s="27"/>
      <c r="J2076" s="23"/>
      <c r="K2076" s="30"/>
      <c r="L2076" s="23"/>
      <c r="M2076" s="20"/>
      <c r="N2076" s="20"/>
      <c r="O2076" s="20"/>
      <c r="P2076" s="20"/>
    </row>
    <row r="2077">
      <c r="A2077" s="10"/>
      <c r="B2077" s="11"/>
      <c r="C2077" s="10"/>
      <c r="D2077" s="13"/>
      <c r="E2077" s="14"/>
      <c r="F2077" s="14"/>
      <c r="G2077" s="14"/>
      <c r="H2077" s="10"/>
      <c r="I2077" s="17"/>
      <c r="J2077" s="10"/>
      <c r="K2077" s="46"/>
      <c r="L2077" s="10"/>
      <c r="M2077" s="20"/>
      <c r="N2077" s="20"/>
      <c r="O2077" s="20"/>
      <c r="P2077" s="20"/>
    </row>
    <row r="2078">
      <c r="A2078" s="23"/>
      <c r="B2078" s="21"/>
      <c r="C2078" s="23"/>
      <c r="D2078" s="24"/>
      <c r="E2078" s="14"/>
      <c r="F2078" s="14"/>
      <c r="G2078" s="14"/>
      <c r="H2078" s="23"/>
      <c r="I2078" s="27"/>
      <c r="J2078" s="23"/>
      <c r="K2078" s="30"/>
      <c r="L2078" s="23"/>
      <c r="M2078" s="20"/>
      <c r="N2078" s="20"/>
      <c r="O2078" s="20"/>
      <c r="P2078" s="20"/>
    </row>
    <row r="2079">
      <c r="A2079" s="10"/>
      <c r="B2079" s="11"/>
      <c r="C2079" s="10"/>
      <c r="D2079" s="13"/>
      <c r="E2079" s="14"/>
      <c r="F2079" s="14"/>
      <c r="G2079" s="14"/>
      <c r="H2079" s="10"/>
      <c r="I2079" s="17"/>
      <c r="J2079" s="10"/>
      <c r="K2079" s="46"/>
      <c r="L2079" s="10"/>
      <c r="M2079" s="20"/>
      <c r="N2079" s="20"/>
      <c r="O2079" s="20"/>
      <c r="P2079" s="20"/>
    </row>
    <row r="2080">
      <c r="A2080" s="23"/>
      <c r="B2080" s="21"/>
      <c r="C2080" s="23"/>
      <c r="D2080" s="24"/>
      <c r="E2080" s="14"/>
      <c r="F2080" s="14"/>
      <c r="G2080" s="14"/>
      <c r="H2080" s="23"/>
      <c r="I2080" s="27"/>
      <c r="J2080" s="23"/>
      <c r="K2080" s="30"/>
      <c r="L2080" s="23"/>
      <c r="M2080" s="20"/>
      <c r="N2080" s="20"/>
      <c r="O2080" s="20"/>
      <c r="P2080" s="20"/>
    </row>
    <row r="2081">
      <c r="A2081" s="10"/>
      <c r="B2081" s="11"/>
      <c r="C2081" s="10"/>
      <c r="D2081" s="13"/>
      <c r="E2081" s="14"/>
      <c r="F2081" s="14"/>
      <c r="G2081" s="14"/>
      <c r="H2081" s="10"/>
      <c r="I2081" s="17"/>
      <c r="J2081" s="10"/>
      <c r="K2081" s="46"/>
      <c r="L2081" s="10"/>
      <c r="M2081" s="20"/>
      <c r="N2081" s="20"/>
      <c r="O2081" s="20"/>
      <c r="P2081" s="20"/>
    </row>
    <row r="2082">
      <c r="A2082" s="23"/>
      <c r="B2082" s="21"/>
      <c r="C2082" s="23"/>
      <c r="D2082" s="24"/>
      <c r="E2082" s="14"/>
      <c r="F2082" s="14"/>
      <c r="G2082" s="14"/>
      <c r="H2082" s="23"/>
      <c r="I2082" s="27"/>
      <c r="J2082" s="23"/>
      <c r="K2082" s="30"/>
      <c r="L2082" s="23"/>
      <c r="M2082" s="20"/>
      <c r="N2082" s="20"/>
      <c r="O2082" s="20"/>
      <c r="P2082" s="20"/>
    </row>
    <row r="2083">
      <c r="A2083" s="10"/>
      <c r="B2083" s="11"/>
      <c r="C2083" s="10"/>
      <c r="D2083" s="13"/>
      <c r="E2083" s="14"/>
      <c r="F2083" s="14"/>
      <c r="G2083" s="14"/>
      <c r="H2083" s="10"/>
      <c r="I2083" s="17"/>
      <c r="J2083" s="10"/>
      <c r="K2083" s="46"/>
      <c r="L2083" s="10"/>
      <c r="M2083" s="20"/>
      <c r="N2083" s="20"/>
      <c r="O2083" s="20"/>
      <c r="P2083" s="20"/>
    </row>
    <row r="2084">
      <c r="A2084" s="23"/>
      <c r="B2084" s="21"/>
      <c r="C2084" s="23"/>
      <c r="D2084" s="24"/>
      <c r="E2084" s="14"/>
      <c r="F2084" s="14"/>
      <c r="G2084" s="14"/>
      <c r="H2084" s="23"/>
      <c r="I2084" s="27"/>
      <c r="J2084" s="23"/>
      <c r="K2084" s="30"/>
      <c r="L2084" s="23"/>
      <c r="M2084" s="20"/>
      <c r="N2084" s="20"/>
      <c r="O2084" s="20"/>
      <c r="P2084" s="20"/>
    </row>
    <row r="2085">
      <c r="A2085" s="10"/>
      <c r="B2085" s="11"/>
      <c r="C2085" s="10"/>
      <c r="D2085" s="13"/>
      <c r="E2085" s="14"/>
      <c r="F2085" s="14"/>
      <c r="G2085" s="14"/>
      <c r="H2085" s="10"/>
      <c r="I2085" s="17"/>
      <c r="J2085" s="10"/>
      <c r="K2085" s="46"/>
      <c r="L2085" s="10"/>
      <c r="M2085" s="20"/>
      <c r="N2085" s="20"/>
      <c r="O2085" s="20"/>
      <c r="P2085" s="20"/>
    </row>
    <row r="2086">
      <c r="A2086" s="23"/>
      <c r="B2086" s="21"/>
      <c r="C2086" s="23"/>
      <c r="D2086" s="24"/>
      <c r="E2086" s="14"/>
      <c r="F2086" s="14"/>
      <c r="G2086" s="14"/>
      <c r="H2086" s="23"/>
      <c r="I2086" s="27"/>
      <c r="J2086" s="23"/>
      <c r="K2086" s="30"/>
      <c r="L2086" s="23"/>
      <c r="M2086" s="20"/>
      <c r="N2086" s="20"/>
      <c r="O2086" s="20"/>
      <c r="P2086" s="20"/>
    </row>
    <row r="2087">
      <c r="A2087" s="10"/>
      <c r="B2087" s="11"/>
      <c r="C2087" s="10"/>
      <c r="D2087" s="13"/>
      <c r="E2087" s="14"/>
      <c r="F2087" s="14"/>
      <c r="G2087" s="14"/>
      <c r="H2087" s="10"/>
      <c r="I2087" s="17"/>
      <c r="J2087" s="10"/>
      <c r="K2087" s="46"/>
      <c r="L2087" s="10"/>
      <c r="M2087" s="20"/>
      <c r="N2087" s="20"/>
      <c r="O2087" s="20"/>
      <c r="P2087" s="20"/>
    </row>
    <row r="2088">
      <c r="A2088" s="23"/>
      <c r="B2088" s="21"/>
      <c r="C2088" s="23"/>
      <c r="D2088" s="24"/>
      <c r="E2088" s="14"/>
      <c r="F2088" s="14"/>
      <c r="G2088" s="14"/>
      <c r="H2088" s="23"/>
      <c r="I2088" s="27"/>
      <c r="J2088" s="23"/>
      <c r="K2088" s="30"/>
      <c r="L2088" s="23"/>
      <c r="M2088" s="20"/>
      <c r="N2088" s="20"/>
      <c r="O2088" s="20"/>
      <c r="P2088" s="20"/>
    </row>
    <row r="2089">
      <c r="A2089" s="10"/>
      <c r="B2089" s="11"/>
      <c r="C2089" s="10"/>
      <c r="D2089" s="13"/>
      <c r="E2089" s="14"/>
      <c r="F2089" s="14"/>
      <c r="G2089" s="14"/>
      <c r="H2089" s="10"/>
      <c r="I2089" s="17"/>
      <c r="J2089" s="10"/>
      <c r="K2089" s="46"/>
      <c r="L2089" s="10"/>
      <c r="M2089" s="20"/>
      <c r="N2089" s="20"/>
      <c r="O2089" s="20"/>
      <c r="P2089" s="20"/>
    </row>
    <row r="2090">
      <c r="A2090" s="23"/>
      <c r="B2090" s="21"/>
      <c r="C2090" s="23"/>
      <c r="D2090" s="24"/>
      <c r="E2090" s="14"/>
      <c r="F2090" s="14"/>
      <c r="G2090" s="14"/>
      <c r="H2090" s="23"/>
      <c r="I2090" s="27"/>
      <c r="J2090" s="23"/>
      <c r="K2090" s="30"/>
      <c r="L2090" s="23"/>
      <c r="M2090" s="20"/>
      <c r="N2090" s="20"/>
      <c r="O2090" s="20"/>
      <c r="P2090" s="20"/>
    </row>
    <row r="2091">
      <c r="A2091" s="10"/>
      <c r="B2091" s="11"/>
      <c r="C2091" s="10"/>
      <c r="D2091" s="13"/>
      <c r="E2091" s="14"/>
      <c r="F2091" s="14"/>
      <c r="G2091" s="14"/>
      <c r="H2091" s="10"/>
      <c r="I2091" s="17"/>
      <c r="J2091" s="10"/>
      <c r="K2091" s="46"/>
      <c r="L2091" s="10"/>
      <c r="M2091" s="20"/>
      <c r="N2091" s="20"/>
      <c r="O2091" s="20"/>
      <c r="P2091" s="20"/>
    </row>
    <row r="2092">
      <c r="A2092" s="23"/>
      <c r="B2092" s="21"/>
      <c r="C2092" s="23"/>
      <c r="D2092" s="24"/>
      <c r="E2092" s="14"/>
      <c r="F2092" s="14"/>
      <c r="G2092" s="14"/>
      <c r="H2092" s="23"/>
      <c r="I2092" s="27"/>
      <c r="J2092" s="23"/>
      <c r="K2092" s="30"/>
      <c r="L2092" s="23"/>
      <c r="M2092" s="20"/>
      <c r="N2092" s="20"/>
      <c r="O2092" s="20"/>
      <c r="P2092" s="20"/>
    </row>
    <row r="2093">
      <c r="A2093" s="10"/>
      <c r="B2093" s="11"/>
      <c r="C2093" s="10"/>
      <c r="D2093" s="13"/>
      <c r="E2093" s="14"/>
      <c r="F2093" s="14"/>
      <c r="G2093" s="14"/>
      <c r="H2093" s="10"/>
      <c r="I2093" s="17"/>
      <c r="J2093" s="10"/>
      <c r="K2093" s="46"/>
      <c r="L2093" s="10"/>
      <c r="M2093" s="20"/>
      <c r="N2093" s="20"/>
      <c r="O2093" s="20"/>
      <c r="P2093" s="20"/>
    </row>
    <row r="2094">
      <c r="A2094" s="23"/>
      <c r="B2094" s="21"/>
      <c r="C2094" s="23"/>
      <c r="D2094" s="24"/>
      <c r="E2094" s="14"/>
      <c r="F2094" s="14"/>
      <c r="G2094" s="14"/>
      <c r="H2094" s="23"/>
      <c r="I2094" s="27"/>
      <c r="J2094" s="23"/>
      <c r="K2094" s="30"/>
      <c r="L2094" s="23"/>
      <c r="M2094" s="20"/>
      <c r="N2094" s="20"/>
      <c r="O2094" s="20"/>
      <c r="P2094" s="20"/>
    </row>
    <row r="2095">
      <c r="A2095" s="10"/>
      <c r="B2095" s="11"/>
      <c r="C2095" s="10"/>
      <c r="D2095" s="13"/>
      <c r="E2095" s="14"/>
      <c r="F2095" s="14"/>
      <c r="G2095" s="14"/>
      <c r="H2095" s="10"/>
      <c r="I2095" s="17"/>
      <c r="J2095" s="10"/>
      <c r="K2095" s="46"/>
      <c r="L2095" s="10"/>
      <c r="M2095" s="20"/>
      <c r="N2095" s="20"/>
      <c r="O2095" s="20"/>
      <c r="P2095" s="20"/>
    </row>
    <row r="2096">
      <c r="A2096" s="23"/>
      <c r="B2096" s="21"/>
      <c r="C2096" s="23"/>
      <c r="D2096" s="24"/>
      <c r="E2096" s="14"/>
      <c r="F2096" s="14"/>
      <c r="G2096" s="14"/>
      <c r="H2096" s="23"/>
      <c r="I2096" s="27"/>
      <c r="J2096" s="23"/>
      <c r="K2096" s="30"/>
      <c r="L2096" s="23"/>
      <c r="M2096" s="20"/>
      <c r="N2096" s="20"/>
      <c r="O2096" s="20"/>
      <c r="P2096" s="20"/>
    </row>
    <row r="2097">
      <c r="A2097" s="10"/>
      <c r="B2097" s="11"/>
      <c r="C2097" s="10"/>
      <c r="D2097" s="13"/>
      <c r="E2097" s="14"/>
      <c r="F2097" s="14"/>
      <c r="G2097" s="14"/>
      <c r="H2097" s="10"/>
      <c r="I2097" s="17"/>
      <c r="J2097" s="10"/>
      <c r="K2097" s="46"/>
      <c r="L2097" s="10"/>
      <c r="M2097" s="20"/>
      <c r="N2097" s="20"/>
      <c r="O2097" s="20"/>
      <c r="P2097" s="20"/>
    </row>
    <row r="2098">
      <c r="A2098" s="23"/>
      <c r="B2098" s="21"/>
      <c r="C2098" s="23"/>
      <c r="D2098" s="24"/>
      <c r="E2098" s="14"/>
      <c r="F2098" s="14"/>
      <c r="G2098" s="14"/>
      <c r="H2098" s="23"/>
      <c r="I2098" s="27"/>
      <c r="J2098" s="23"/>
      <c r="K2098" s="30"/>
      <c r="L2098" s="23"/>
      <c r="M2098" s="20"/>
      <c r="N2098" s="20"/>
      <c r="O2098" s="20"/>
      <c r="P2098" s="20"/>
    </row>
    <row r="2099">
      <c r="A2099" s="10"/>
      <c r="B2099" s="11"/>
      <c r="C2099" s="10"/>
      <c r="D2099" s="13"/>
      <c r="E2099" s="14"/>
      <c r="F2099" s="14"/>
      <c r="G2099" s="14"/>
      <c r="H2099" s="10"/>
      <c r="I2099" s="17"/>
      <c r="J2099" s="10"/>
      <c r="K2099" s="46"/>
      <c r="L2099" s="10"/>
      <c r="M2099" s="20"/>
      <c r="N2099" s="20"/>
      <c r="O2099" s="20"/>
      <c r="P2099" s="20"/>
    </row>
    <row r="2100">
      <c r="A2100" s="23"/>
      <c r="B2100" s="21"/>
      <c r="C2100" s="23"/>
      <c r="D2100" s="24"/>
      <c r="E2100" s="14"/>
      <c r="F2100" s="14"/>
      <c r="G2100" s="14"/>
      <c r="H2100" s="23"/>
      <c r="I2100" s="27"/>
      <c r="J2100" s="23"/>
      <c r="K2100" s="30"/>
      <c r="L2100" s="23"/>
      <c r="M2100" s="20"/>
      <c r="N2100" s="20"/>
      <c r="O2100" s="20"/>
      <c r="P2100" s="20"/>
    </row>
    <row r="2101">
      <c r="A2101" s="10"/>
      <c r="B2101" s="11"/>
      <c r="C2101" s="10"/>
      <c r="D2101" s="13"/>
      <c r="E2101" s="14"/>
      <c r="F2101" s="14"/>
      <c r="G2101" s="14"/>
      <c r="H2101" s="10"/>
      <c r="I2101" s="17"/>
      <c r="J2101" s="10"/>
      <c r="K2101" s="46"/>
      <c r="L2101" s="10"/>
      <c r="M2101" s="20"/>
      <c r="N2101" s="20"/>
      <c r="O2101" s="20"/>
      <c r="P2101" s="20"/>
    </row>
    <row r="2102">
      <c r="A2102" s="23"/>
      <c r="B2102" s="21"/>
      <c r="C2102" s="23"/>
      <c r="D2102" s="24"/>
      <c r="E2102" s="14"/>
      <c r="F2102" s="14"/>
      <c r="G2102" s="14"/>
      <c r="H2102" s="23"/>
      <c r="I2102" s="27"/>
      <c r="J2102" s="23"/>
      <c r="K2102" s="30"/>
      <c r="L2102" s="23"/>
      <c r="M2102" s="20"/>
      <c r="N2102" s="20"/>
      <c r="O2102" s="20"/>
      <c r="P2102" s="20"/>
    </row>
    <row r="2103">
      <c r="A2103" s="10"/>
      <c r="B2103" s="11"/>
      <c r="C2103" s="10"/>
      <c r="D2103" s="13"/>
      <c r="E2103" s="14"/>
      <c r="F2103" s="14"/>
      <c r="G2103" s="14"/>
      <c r="H2103" s="10"/>
      <c r="I2103" s="17"/>
      <c r="J2103" s="10"/>
      <c r="K2103" s="46"/>
      <c r="L2103" s="10"/>
      <c r="M2103" s="20"/>
      <c r="N2103" s="20"/>
      <c r="O2103" s="20"/>
      <c r="P2103" s="20"/>
    </row>
    <row r="2104">
      <c r="A2104" s="23"/>
      <c r="B2104" s="21"/>
      <c r="C2104" s="23"/>
      <c r="D2104" s="24"/>
      <c r="E2104" s="14"/>
      <c r="F2104" s="14"/>
      <c r="G2104" s="14"/>
      <c r="H2104" s="23"/>
      <c r="I2104" s="27"/>
      <c r="J2104" s="23"/>
      <c r="K2104" s="30"/>
      <c r="L2104" s="23"/>
      <c r="M2104" s="20"/>
      <c r="N2104" s="20"/>
      <c r="O2104" s="20"/>
      <c r="P2104" s="20"/>
    </row>
    <row r="2105">
      <c r="A2105" s="10"/>
      <c r="B2105" s="11"/>
      <c r="C2105" s="10"/>
      <c r="D2105" s="13"/>
      <c r="E2105" s="14"/>
      <c r="F2105" s="14"/>
      <c r="G2105" s="14"/>
      <c r="H2105" s="10"/>
      <c r="I2105" s="17"/>
      <c r="J2105" s="10"/>
      <c r="K2105" s="46"/>
      <c r="L2105" s="10"/>
      <c r="M2105" s="20"/>
      <c r="N2105" s="20"/>
      <c r="O2105" s="20"/>
      <c r="P2105" s="20"/>
    </row>
    <row r="2106">
      <c r="A2106" s="23"/>
      <c r="B2106" s="21"/>
      <c r="C2106" s="23"/>
      <c r="D2106" s="24"/>
      <c r="E2106" s="14"/>
      <c r="F2106" s="14"/>
      <c r="G2106" s="14"/>
      <c r="H2106" s="23"/>
      <c r="I2106" s="27"/>
      <c r="J2106" s="23"/>
      <c r="K2106" s="30"/>
      <c r="L2106" s="23"/>
      <c r="M2106" s="20"/>
      <c r="N2106" s="20"/>
      <c r="O2106" s="20"/>
      <c r="P2106" s="20"/>
    </row>
    <row r="2107">
      <c r="A2107" s="10"/>
      <c r="B2107" s="11"/>
      <c r="C2107" s="10"/>
      <c r="D2107" s="13"/>
      <c r="E2107" s="14"/>
      <c r="F2107" s="14"/>
      <c r="G2107" s="14"/>
      <c r="H2107" s="10"/>
      <c r="I2107" s="17"/>
      <c r="J2107" s="10"/>
      <c r="K2107" s="46"/>
      <c r="L2107" s="10"/>
      <c r="M2107" s="20"/>
      <c r="N2107" s="20"/>
      <c r="O2107" s="20"/>
      <c r="P2107" s="20"/>
    </row>
    <row r="2108">
      <c r="A2108" s="23"/>
      <c r="B2108" s="21"/>
      <c r="C2108" s="23"/>
      <c r="D2108" s="24"/>
      <c r="E2108" s="14"/>
      <c r="F2108" s="14"/>
      <c r="G2108" s="14"/>
      <c r="H2108" s="23"/>
      <c r="I2108" s="27"/>
      <c r="J2108" s="23"/>
      <c r="K2108" s="30"/>
      <c r="L2108" s="23"/>
      <c r="M2108" s="20"/>
      <c r="N2108" s="20"/>
      <c r="O2108" s="20"/>
      <c r="P2108" s="20"/>
    </row>
    <row r="2109">
      <c r="A2109" s="10"/>
      <c r="B2109" s="11"/>
      <c r="C2109" s="10"/>
      <c r="D2109" s="13"/>
      <c r="E2109" s="14"/>
      <c r="F2109" s="14"/>
      <c r="G2109" s="14"/>
      <c r="H2109" s="10"/>
      <c r="I2109" s="17"/>
      <c r="J2109" s="10"/>
      <c r="K2109" s="46"/>
      <c r="L2109" s="10"/>
      <c r="M2109" s="20"/>
      <c r="N2109" s="20"/>
      <c r="O2109" s="20"/>
      <c r="P2109" s="20"/>
    </row>
    <row r="2110">
      <c r="A2110" s="23"/>
      <c r="B2110" s="21"/>
      <c r="C2110" s="23"/>
      <c r="D2110" s="24"/>
      <c r="E2110" s="14"/>
      <c r="F2110" s="14"/>
      <c r="G2110" s="14"/>
      <c r="H2110" s="23"/>
      <c r="I2110" s="27"/>
      <c r="J2110" s="23"/>
      <c r="K2110" s="30"/>
      <c r="L2110" s="23"/>
      <c r="M2110" s="20"/>
      <c r="N2110" s="20"/>
      <c r="O2110" s="20"/>
      <c r="P2110" s="20"/>
    </row>
    <row r="2111">
      <c r="A2111" s="10"/>
      <c r="B2111" s="11"/>
      <c r="C2111" s="10"/>
      <c r="D2111" s="13"/>
      <c r="E2111" s="14"/>
      <c r="F2111" s="14"/>
      <c r="G2111" s="14"/>
      <c r="H2111" s="10"/>
      <c r="I2111" s="17"/>
      <c r="J2111" s="10"/>
      <c r="K2111" s="46"/>
      <c r="L2111" s="10"/>
      <c r="M2111" s="20"/>
      <c r="N2111" s="20"/>
      <c r="O2111" s="20"/>
      <c r="P2111" s="20"/>
    </row>
    <row r="2112">
      <c r="A2112" s="23"/>
      <c r="B2112" s="21"/>
      <c r="C2112" s="23"/>
      <c r="D2112" s="24"/>
      <c r="E2112" s="14"/>
      <c r="F2112" s="14"/>
      <c r="G2112" s="14"/>
      <c r="H2112" s="23"/>
      <c r="I2112" s="27"/>
      <c r="J2112" s="23"/>
      <c r="K2112" s="30"/>
      <c r="L2112" s="23"/>
      <c r="M2112" s="20"/>
      <c r="N2112" s="20"/>
      <c r="O2112" s="20"/>
      <c r="P2112" s="20"/>
    </row>
    <row r="2113">
      <c r="A2113" s="10"/>
      <c r="B2113" s="11"/>
      <c r="C2113" s="10"/>
      <c r="D2113" s="13"/>
      <c r="E2113" s="14"/>
      <c r="F2113" s="14"/>
      <c r="G2113" s="14"/>
      <c r="H2113" s="10"/>
      <c r="I2113" s="17"/>
      <c r="J2113" s="10"/>
      <c r="K2113" s="46"/>
      <c r="L2113" s="10"/>
      <c r="M2113" s="20"/>
      <c r="N2113" s="20"/>
      <c r="O2113" s="20"/>
      <c r="P2113" s="20"/>
    </row>
    <row r="2114">
      <c r="A2114" s="23"/>
      <c r="B2114" s="21"/>
      <c r="C2114" s="23"/>
      <c r="D2114" s="24"/>
      <c r="E2114" s="14"/>
      <c r="F2114" s="14"/>
      <c r="G2114" s="14"/>
      <c r="H2114" s="23"/>
      <c r="I2114" s="27"/>
      <c r="J2114" s="23"/>
      <c r="K2114" s="30"/>
      <c r="L2114" s="23"/>
      <c r="M2114" s="20"/>
      <c r="N2114" s="20"/>
      <c r="O2114" s="20"/>
      <c r="P2114" s="20"/>
    </row>
    <row r="2115">
      <c r="A2115" s="10"/>
      <c r="B2115" s="11"/>
      <c r="C2115" s="10"/>
      <c r="D2115" s="13"/>
      <c r="E2115" s="14"/>
      <c r="F2115" s="14"/>
      <c r="G2115" s="14"/>
      <c r="H2115" s="10"/>
      <c r="I2115" s="17"/>
      <c r="J2115" s="10"/>
      <c r="K2115" s="46"/>
      <c r="L2115" s="10"/>
      <c r="M2115" s="20"/>
      <c r="N2115" s="20"/>
      <c r="O2115" s="20"/>
      <c r="P2115" s="20"/>
    </row>
    <row r="2116">
      <c r="A2116" s="23"/>
      <c r="B2116" s="21"/>
      <c r="C2116" s="23"/>
      <c r="D2116" s="24"/>
      <c r="E2116" s="14"/>
      <c r="F2116" s="14"/>
      <c r="G2116" s="14"/>
      <c r="H2116" s="23"/>
      <c r="I2116" s="27"/>
      <c r="J2116" s="23"/>
      <c r="K2116" s="30"/>
      <c r="L2116" s="23"/>
      <c r="M2116" s="20"/>
      <c r="N2116" s="20"/>
      <c r="O2116" s="20"/>
      <c r="P2116" s="20"/>
    </row>
    <row r="2117">
      <c r="A2117" s="10"/>
      <c r="B2117" s="11"/>
      <c r="C2117" s="10"/>
      <c r="D2117" s="13"/>
      <c r="E2117" s="14"/>
      <c r="F2117" s="14"/>
      <c r="G2117" s="14"/>
      <c r="H2117" s="10"/>
      <c r="I2117" s="17"/>
      <c r="J2117" s="10"/>
      <c r="K2117" s="46"/>
      <c r="L2117" s="10"/>
      <c r="M2117" s="20"/>
      <c r="N2117" s="20"/>
      <c r="O2117" s="20"/>
      <c r="P2117" s="20"/>
    </row>
    <row r="2118">
      <c r="A2118" s="23"/>
      <c r="B2118" s="21"/>
      <c r="C2118" s="23"/>
      <c r="D2118" s="24"/>
      <c r="E2118" s="14"/>
      <c r="F2118" s="14"/>
      <c r="G2118" s="14"/>
      <c r="H2118" s="23"/>
      <c r="I2118" s="27"/>
      <c r="J2118" s="23"/>
      <c r="K2118" s="30"/>
      <c r="L2118" s="23"/>
      <c r="M2118" s="20"/>
      <c r="N2118" s="20"/>
      <c r="O2118" s="20"/>
      <c r="P2118" s="20"/>
    </row>
    <row r="2119">
      <c r="A2119" s="10"/>
      <c r="B2119" s="11"/>
      <c r="C2119" s="10"/>
      <c r="D2119" s="13"/>
      <c r="E2119" s="14"/>
      <c r="F2119" s="14"/>
      <c r="G2119" s="14"/>
      <c r="H2119" s="10"/>
      <c r="I2119" s="17"/>
      <c r="J2119" s="10"/>
      <c r="K2119" s="46"/>
      <c r="L2119" s="10"/>
      <c r="M2119" s="20"/>
      <c r="N2119" s="20"/>
      <c r="O2119" s="20"/>
      <c r="P2119" s="20"/>
    </row>
    <row r="2120">
      <c r="A2120" s="23"/>
      <c r="B2120" s="21"/>
      <c r="C2120" s="23"/>
      <c r="D2120" s="24"/>
      <c r="E2120" s="14"/>
      <c r="F2120" s="14"/>
      <c r="G2120" s="14"/>
      <c r="H2120" s="23"/>
      <c r="I2120" s="27"/>
      <c r="J2120" s="23"/>
      <c r="K2120" s="30"/>
      <c r="L2120" s="23"/>
      <c r="M2120" s="20"/>
      <c r="N2120" s="20"/>
      <c r="O2120" s="20"/>
      <c r="P2120" s="20"/>
    </row>
    <row r="2121">
      <c r="A2121" s="10"/>
      <c r="B2121" s="11"/>
      <c r="C2121" s="10"/>
      <c r="D2121" s="13"/>
      <c r="E2121" s="14"/>
      <c r="F2121" s="14"/>
      <c r="G2121" s="14"/>
      <c r="H2121" s="10"/>
      <c r="I2121" s="17"/>
      <c r="J2121" s="10"/>
      <c r="K2121" s="46"/>
      <c r="L2121" s="10"/>
      <c r="M2121" s="20"/>
      <c r="N2121" s="20"/>
      <c r="O2121" s="20"/>
      <c r="P2121" s="20"/>
    </row>
    <row r="2122">
      <c r="A2122" s="23"/>
      <c r="B2122" s="21"/>
      <c r="C2122" s="23"/>
      <c r="D2122" s="24"/>
      <c r="E2122" s="14"/>
      <c r="F2122" s="14"/>
      <c r="G2122" s="14"/>
      <c r="H2122" s="23"/>
      <c r="I2122" s="27"/>
      <c r="J2122" s="23"/>
      <c r="K2122" s="30"/>
      <c r="L2122" s="23"/>
      <c r="M2122" s="20"/>
      <c r="N2122" s="20"/>
      <c r="O2122" s="20"/>
      <c r="P2122" s="20"/>
    </row>
    <row r="2123">
      <c r="A2123" s="10"/>
      <c r="B2123" s="11"/>
      <c r="C2123" s="10"/>
      <c r="D2123" s="13"/>
      <c r="E2123" s="14"/>
      <c r="F2123" s="14"/>
      <c r="G2123" s="14"/>
      <c r="H2123" s="10"/>
      <c r="I2123" s="17"/>
      <c r="J2123" s="10"/>
      <c r="K2123" s="46"/>
      <c r="L2123" s="10"/>
      <c r="M2123" s="20"/>
      <c r="N2123" s="20"/>
      <c r="O2123" s="20"/>
      <c r="P2123" s="20"/>
    </row>
    <row r="2124">
      <c r="A2124" s="23"/>
      <c r="B2124" s="21"/>
      <c r="C2124" s="23"/>
      <c r="D2124" s="24"/>
      <c r="E2124" s="14"/>
      <c r="F2124" s="14"/>
      <c r="G2124" s="14"/>
      <c r="H2124" s="23"/>
      <c r="I2124" s="27"/>
      <c r="J2124" s="23"/>
      <c r="K2124" s="30"/>
      <c r="L2124" s="23"/>
      <c r="M2124" s="20"/>
      <c r="N2124" s="20"/>
      <c r="O2124" s="20"/>
      <c r="P2124" s="20"/>
    </row>
    <row r="2125">
      <c r="A2125" s="10"/>
      <c r="B2125" s="11"/>
      <c r="C2125" s="10"/>
      <c r="D2125" s="13"/>
      <c r="E2125" s="14"/>
      <c r="F2125" s="14"/>
      <c r="G2125" s="14"/>
      <c r="H2125" s="10"/>
      <c r="I2125" s="17"/>
      <c r="J2125" s="10"/>
      <c r="K2125" s="46"/>
      <c r="L2125" s="10"/>
      <c r="M2125" s="20"/>
      <c r="N2125" s="20"/>
      <c r="O2125" s="20"/>
      <c r="P2125" s="20"/>
    </row>
    <row r="2126">
      <c r="A2126" s="23"/>
      <c r="B2126" s="21"/>
      <c r="C2126" s="23"/>
      <c r="D2126" s="24"/>
      <c r="E2126" s="14"/>
      <c r="F2126" s="14"/>
      <c r="G2126" s="14"/>
      <c r="H2126" s="23"/>
      <c r="I2126" s="27"/>
      <c r="J2126" s="23"/>
      <c r="K2126" s="30"/>
      <c r="L2126" s="23"/>
      <c r="M2126" s="20"/>
      <c r="N2126" s="20"/>
      <c r="O2126" s="20"/>
      <c r="P2126" s="20"/>
    </row>
    <row r="2127">
      <c r="A2127" s="10"/>
      <c r="B2127" s="11"/>
      <c r="C2127" s="10"/>
      <c r="D2127" s="13"/>
      <c r="E2127" s="14"/>
      <c r="F2127" s="14"/>
      <c r="G2127" s="14"/>
      <c r="H2127" s="10"/>
      <c r="I2127" s="17"/>
      <c r="J2127" s="10"/>
      <c r="K2127" s="46"/>
      <c r="L2127" s="10"/>
      <c r="M2127" s="20"/>
      <c r="N2127" s="20"/>
      <c r="O2127" s="20"/>
      <c r="P2127" s="20"/>
    </row>
    <row r="2128">
      <c r="A2128" s="23"/>
      <c r="B2128" s="21"/>
      <c r="C2128" s="23"/>
      <c r="D2128" s="24"/>
      <c r="E2128" s="14"/>
      <c r="F2128" s="14"/>
      <c r="G2128" s="14"/>
      <c r="H2128" s="23"/>
      <c r="I2128" s="27"/>
      <c r="J2128" s="23"/>
      <c r="K2128" s="30"/>
      <c r="L2128" s="23"/>
      <c r="M2128" s="20"/>
      <c r="N2128" s="20"/>
      <c r="O2128" s="20"/>
      <c r="P2128" s="20"/>
    </row>
    <row r="2129">
      <c r="A2129" s="10"/>
      <c r="B2129" s="11"/>
      <c r="C2129" s="10"/>
      <c r="D2129" s="13"/>
      <c r="E2129" s="14"/>
      <c r="F2129" s="14"/>
      <c r="G2129" s="14"/>
      <c r="H2129" s="10"/>
      <c r="I2129" s="17"/>
      <c r="J2129" s="10"/>
      <c r="K2129" s="46"/>
      <c r="L2129" s="10"/>
      <c r="M2129" s="20"/>
      <c r="N2129" s="20"/>
      <c r="O2129" s="20"/>
      <c r="P2129" s="20"/>
    </row>
    <row r="2130">
      <c r="A2130" s="23"/>
      <c r="B2130" s="21"/>
      <c r="C2130" s="23"/>
      <c r="D2130" s="24"/>
      <c r="E2130" s="14"/>
      <c r="F2130" s="14"/>
      <c r="G2130" s="14"/>
      <c r="H2130" s="23"/>
      <c r="I2130" s="27"/>
      <c r="J2130" s="23"/>
      <c r="K2130" s="30"/>
      <c r="L2130" s="23"/>
      <c r="M2130" s="20"/>
      <c r="N2130" s="20"/>
      <c r="O2130" s="20"/>
      <c r="P2130" s="20"/>
    </row>
    <row r="2131">
      <c r="A2131" s="10"/>
      <c r="B2131" s="11"/>
      <c r="C2131" s="10"/>
      <c r="D2131" s="13"/>
      <c r="E2131" s="14"/>
      <c r="F2131" s="14"/>
      <c r="G2131" s="14"/>
      <c r="H2131" s="10"/>
      <c r="I2131" s="17"/>
      <c r="J2131" s="10"/>
      <c r="K2131" s="46"/>
      <c r="L2131" s="10"/>
      <c r="M2131" s="20"/>
      <c r="N2131" s="20"/>
      <c r="O2131" s="20"/>
      <c r="P2131" s="20"/>
    </row>
    <row r="2132">
      <c r="A2132" s="23"/>
      <c r="B2132" s="21"/>
      <c r="C2132" s="23"/>
      <c r="D2132" s="24"/>
      <c r="E2132" s="14"/>
      <c r="F2132" s="14"/>
      <c r="G2132" s="14"/>
      <c r="H2132" s="23"/>
      <c r="I2132" s="27"/>
      <c r="J2132" s="23"/>
      <c r="K2132" s="30"/>
      <c r="L2132" s="23"/>
      <c r="M2132" s="20"/>
      <c r="N2132" s="20"/>
      <c r="O2132" s="20"/>
      <c r="P2132" s="20"/>
    </row>
    <row r="2133">
      <c r="A2133" s="10"/>
      <c r="B2133" s="11"/>
      <c r="C2133" s="10"/>
      <c r="D2133" s="13"/>
      <c r="E2133" s="14"/>
      <c r="F2133" s="14"/>
      <c r="G2133" s="14"/>
      <c r="H2133" s="10"/>
      <c r="I2133" s="17"/>
      <c r="J2133" s="10"/>
      <c r="K2133" s="46"/>
      <c r="L2133" s="10"/>
      <c r="M2133" s="20"/>
      <c r="N2133" s="20"/>
      <c r="O2133" s="20"/>
      <c r="P2133" s="20"/>
    </row>
    <row r="2134">
      <c r="A2134" s="23"/>
      <c r="B2134" s="21"/>
      <c r="C2134" s="23"/>
      <c r="D2134" s="24"/>
      <c r="E2134" s="14"/>
      <c r="F2134" s="14"/>
      <c r="G2134" s="14"/>
      <c r="H2134" s="23"/>
      <c r="I2134" s="27"/>
      <c r="J2134" s="23"/>
      <c r="K2134" s="30"/>
      <c r="L2134" s="23"/>
      <c r="M2134" s="20"/>
      <c r="N2134" s="20"/>
      <c r="O2134" s="20"/>
      <c r="P2134" s="20"/>
    </row>
    <row r="2135">
      <c r="A2135" s="10"/>
      <c r="B2135" s="11"/>
      <c r="C2135" s="10"/>
      <c r="D2135" s="13"/>
      <c r="E2135" s="14"/>
      <c r="F2135" s="14"/>
      <c r="G2135" s="14"/>
      <c r="H2135" s="10"/>
      <c r="I2135" s="17"/>
      <c r="J2135" s="10"/>
      <c r="K2135" s="46"/>
      <c r="L2135" s="10"/>
      <c r="M2135" s="20"/>
      <c r="N2135" s="20"/>
      <c r="O2135" s="20"/>
      <c r="P2135" s="20"/>
    </row>
    <row r="2136">
      <c r="A2136" s="23"/>
      <c r="B2136" s="21"/>
      <c r="C2136" s="23"/>
      <c r="D2136" s="24"/>
      <c r="E2136" s="14"/>
      <c r="F2136" s="14"/>
      <c r="G2136" s="14"/>
      <c r="H2136" s="23"/>
      <c r="I2136" s="27"/>
      <c r="J2136" s="23"/>
      <c r="K2136" s="30"/>
      <c r="L2136" s="23"/>
      <c r="M2136" s="20"/>
      <c r="N2136" s="20"/>
      <c r="O2136" s="20"/>
      <c r="P2136" s="20"/>
    </row>
    <row r="2137">
      <c r="A2137" s="10"/>
      <c r="B2137" s="11"/>
      <c r="C2137" s="10"/>
      <c r="D2137" s="13"/>
      <c r="E2137" s="14"/>
      <c r="F2137" s="14"/>
      <c r="G2137" s="14"/>
      <c r="H2137" s="10"/>
      <c r="I2137" s="17"/>
      <c r="J2137" s="10"/>
      <c r="K2137" s="46"/>
      <c r="L2137" s="10"/>
      <c r="M2137" s="20"/>
      <c r="N2137" s="20"/>
      <c r="O2137" s="20"/>
      <c r="P2137" s="20"/>
    </row>
    <row r="2138">
      <c r="A2138" s="23"/>
      <c r="B2138" s="21"/>
      <c r="C2138" s="23"/>
      <c r="D2138" s="24"/>
      <c r="E2138" s="14"/>
      <c r="F2138" s="14"/>
      <c r="G2138" s="14"/>
      <c r="H2138" s="23"/>
      <c r="I2138" s="27"/>
      <c r="J2138" s="23"/>
      <c r="K2138" s="30"/>
      <c r="L2138" s="23"/>
      <c r="M2138" s="20"/>
      <c r="N2138" s="20"/>
      <c r="O2138" s="20"/>
      <c r="P2138" s="20"/>
    </row>
    <row r="2139">
      <c r="A2139" s="10"/>
      <c r="B2139" s="11"/>
      <c r="C2139" s="10"/>
      <c r="D2139" s="13"/>
      <c r="E2139" s="14"/>
      <c r="F2139" s="14"/>
      <c r="G2139" s="14"/>
      <c r="H2139" s="10"/>
      <c r="I2139" s="17"/>
      <c r="J2139" s="10"/>
      <c r="K2139" s="46"/>
      <c r="L2139" s="10"/>
      <c r="M2139" s="20"/>
      <c r="N2139" s="20"/>
      <c r="O2139" s="20"/>
      <c r="P2139" s="20"/>
    </row>
    <row r="2140">
      <c r="A2140" s="23"/>
      <c r="B2140" s="21"/>
      <c r="C2140" s="23"/>
      <c r="D2140" s="24"/>
      <c r="E2140" s="14"/>
      <c r="F2140" s="14"/>
      <c r="G2140" s="14"/>
      <c r="H2140" s="23"/>
      <c r="I2140" s="27"/>
      <c r="J2140" s="23"/>
      <c r="K2140" s="30"/>
      <c r="L2140" s="23"/>
      <c r="M2140" s="20"/>
      <c r="N2140" s="20"/>
      <c r="O2140" s="20"/>
      <c r="P2140" s="20"/>
    </row>
    <row r="2141">
      <c r="A2141" s="10"/>
      <c r="B2141" s="11"/>
      <c r="C2141" s="10"/>
      <c r="D2141" s="13"/>
      <c r="E2141" s="14"/>
      <c r="F2141" s="14"/>
      <c r="G2141" s="14"/>
      <c r="H2141" s="10"/>
      <c r="I2141" s="17"/>
      <c r="J2141" s="10"/>
      <c r="K2141" s="46"/>
      <c r="L2141" s="10"/>
      <c r="M2141" s="20"/>
      <c r="N2141" s="20"/>
      <c r="O2141" s="20"/>
      <c r="P2141" s="20"/>
    </row>
    <row r="2142">
      <c r="A2142" s="23"/>
      <c r="B2142" s="21"/>
      <c r="C2142" s="23"/>
      <c r="D2142" s="24"/>
      <c r="E2142" s="14"/>
      <c r="F2142" s="14"/>
      <c r="G2142" s="14"/>
      <c r="H2142" s="23"/>
      <c r="I2142" s="27"/>
      <c r="J2142" s="23"/>
      <c r="K2142" s="30"/>
      <c r="L2142" s="23"/>
      <c r="M2142" s="20"/>
      <c r="N2142" s="20"/>
      <c r="O2142" s="20"/>
      <c r="P2142" s="20"/>
    </row>
    <row r="2143">
      <c r="A2143" s="10"/>
      <c r="B2143" s="11"/>
      <c r="C2143" s="10"/>
      <c r="D2143" s="13"/>
      <c r="E2143" s="14"/>
      <c r="F2143" s="14"/>
      <c r="G2143" s="14"/>
      <c r="H2143" s="10"/>
      <c r="I2143" s="17"/>
      <c r="J2143" s="10"/>
      <c r="K2143" s="46"/>
      <c r="L2143" s="10"/>
      <c r="M2143" s="20"/>
      <c r="N2143" s="20"/>
      <c r="O2143" s="20"/>
      <c r="P2143" s="20"/>
    </row>
    <row r="2144">
      <c r="A2144" s="23"/>
      <c r="B2144" s="21"/>
      <c r="C2144" s="23"/>
      <c r="D2144" s="24"/>
      <c r="E2144" s="14"/>
      <c r="F2144" s="14"/>
      <c r="G2144" s="14"/>
      <c r="H2144" s="23"/>
      <c r="I2144" s="27"/>
      <c r="J2144" s="23"/>
      <c r="K2144" s="30"/>
      <c r="L2144" s="23"/>
      <c r="M2144" s="20"/>
      <c r="N2144" s="20"/>
      <c r="O2144" s="20"/>
      <c r="P2144" s="20"/>
    </row>
    <row r="2145">
      <c r="A2145" s="10"/>
      <c r="B2145" s="11"/>
      <c r="C2145" s="10"/>
      <c r="D2145" s="13"/>
      <c r="E2145" s="14"/>
      <c r="F2145" s="14"/>
      <c r="G2145" s="14"/>
      <c r="H2145" s="10"/>
      <c r="I2145" s="17"/>
      <c r="J2145" s="10"/>
      <c r="K2145" s="46"/>
      <c r="L2145" s="10"/>
      <c r="M2145" s="20"/>
      <c r="N2145" s="20"/>
      <c r="O2145" s="20"/>
      <c r="P2145" s="20"/>
    </row>
    <row r="2146">
      <c r="A2146" s="23"/>
      <c r="B2146" s="21"/>
      <c r="C2146" s="23"/>
      <c r="D2146" s="24"/>
      <c r="E2146" s="14"/>
      <c r="F2146" s="14"/>
      <c r="G2146" s="14"/>
      <c r="H2146" s="23"/>
      <c r="I2146" s="27"/>
      <c r="J2146" s="23"/>
      <c r="K2146" s="30"/>
      <c r="L2146" s="23"/>
      <c r="M2146" s="20"/>
      <c r="N2146" s="20"/>
      <c r="O2146" s="20"/>
      <c r="P2146" s="20"/>
    </row>
    <row r="2147">
      <c r="A2147" s="10"/>
      <c r="B2147" s="11"/>
      <c r="C2147" s="10"/>
      <c r="D2147" s="13"/>
      <c r="E2147" s="14"/>
      <c r="F2147" s="14"/>
      <c r="G2147" s="14"/>
      <c r="H2147" s="10"/>
      <c r="I2147" s="17"/>
      <c r="J2147" s="10"/>
      <c r="K2147" s="46"/>
      <c r="L2147" s="10"/>
      <c r="M2147" s="20"/>
      <c r="N2147" s="20"/>
      <c r="O2147" s="20"/>
      <c r="P2147" s="20"/>
    </row>
    <row r="2148">
      <c r="A2148" s="23"/>
      <c r="B2148" s="21"/>
      <c r="C2148" s="23"/>
      <c r="D2148" s="24"/>
      <c r="E2148" s="14"/>
      <c r="F2148" s="14"/>
      <c r="G2148" s="14"/>
      <c r="H2148" s="23"/>
      <c r="I2148" s="27"/>
      <c r="J2148" s="23"/>
      <c r="K2148" s="30"/>
      <c r="L2148" s="23"/>
      <c r="M2148" s="20"/>
      <c r="N2148" s="20"/>
      <c r="O2148" s="20"/>
      <c r="P2148" s="20"/>
    </row>
    <row r="2149">
      <c r="A2149" s="10"/>
      <c r="B2149" s="11"/>
      <c r="C2149" s="10"/>
      <c r="D2149" s="13"/>
      <c r="E2149" s="14"/>
      <c r="F2149" s="14"/>
      <c r="G2149" s="14"/>
      <c r="H2149" s="10"/>
      <c r="I2149" s="17"/>
      <c r="J2149" s="10"/>
      <c r="K2149" s="46"/>
      <c r="L2149" s="10"/>
      <c r="M2149" s="20"/>
      <c r="N2149" s="20"/>
      <c r="O2149" s="20"/>
      <c r="P2149" s="20"/>
    </row>
    <row r="2150">
      <c r="A2150" s="23"/>
      <c r="B2150" s="21"/>
      <c r="C2150" s="23"/>
      <c r="D2150" s="24"/>
      <c r="E2150" s="14"/>
      <c r="F2150" s="14"/>
      <c r="G2150" s="14"/>
      <c r="H2150" s="23"/>
      <c r="I2150" s="27"/>
      <c r="J2150" s="23"/>
      <c r="K2150" s="30"/>
      <c r="L2150" s="23"/>
      <c r="M2150" s="20"/>
      <c r="N2150" s="20"/>
      <c r="O2150" s="20"/>
      <c r="P2150" s="20"/>
    </row>
    <row r="2151">
      <c r="A2151" s="10"/>
      <c r="B2151" s="11"/>
      <c r="C2151" s="10"/>
      <c r="D2151" s="13"/>
      <c r="E2151" s="14"/>
      <c r="F2151" s="14"/>
      <c r="G2151" s="14"/>
      <c r="H2151" s="10"/>
      <c r="I2151" s="17"/>
      <c r="J2151" s="10"/>
      <c r="K2151" s="46"/>
      <c r="L2151" s="10"/>
      <c r="M2151" s="20"/>
      <c r="N2151" s="20"/>
      <c r="O2151" s="20"/>
      <c r="P2151" s="20"/>
    </row>
    <row r="2152">
      <c r="A2152" s="23"/>
      <c r="B2152" s="21"/>
      <c r="C2152" s="23"/>
      <c r="D2152" s="24"/>
      <c r="E2152" s="14"/>
      <c r="F2152" s="14"/>
      <c r="G2152" s="14"/>
      <c r="H2152" s="23"/>
      <c r="I2152" s="27"/>
      <c r="J2152" s="23"/>
      <c r="K2152" s="30"/>
      <c r="L2152" s="23"/>
      <c r="M2152" s="20"/>
      <c r="N2152" s="20"/>
      <c r="O2152" s="20"/>
      <c r="P2152" s="20"/>
    </row>
    <row r="2153">
      <c r="A2153" s="10"/>
      <c r="B2153" s="11"/>
      <c r="C2153" s="10"/>
      <c r="D2153" s="13"/>
      <c r="E2153" s="14"/>
      <c r="F2153" s="14"/>
      <c r="G2153" s="14"/>
      <c r="H2153" s="10"/>
      <c r="I2153" s="17"/>
      <c r="J2153" s="10"/>
      <c r="K2153" s="46"/>
      <c r="L2153" s="10"/>
      <c r="M2153" s="20"/>
      <c r="N2153" s="20"/>
      <c r="O2153" s="20"/>
      <c r="P2153" s="20"/>
    </row>
    <row r="2154">
      <c r="A2154" s="23"/>
      <c r="B2154" s="21"/>
      <c r="C2154" s="23"/>
      <c r="D2154" s="24"/>
      <c r="E2154" s="14"/>
      <c r="F2154" s="14"/>
      <c r="G2154" s="14"/>
      <c r="H2154" s="23"/>
      <c r="I2154" s="27"/>
      <c r="J2154" s="23"/>
      <c r="K2154" s="30"/>
      <c r="L2154" s="23"/>
      <c r="M2154" s="20"/>
      <c r="N2154" s="20"/>
      <c r="O2154" s="20"/>
      <c r="P2154" s="20"/>
    </row>
    <row r="2155">
      <c r="A2155" s="10"/>
      <c r="B2155" s="11"/>
      <c r="C2155" s="10"/>
      <c r="D2155" s="13"/>
      <c r="E2155" s="14"/>
      <c r="F2155" s="14"/>
      <c r="G2155" s="14"/>
      <c r="H2155" s="10"/>
      <c r="I2155" s="17"/>
      <c r="J2155" s="10"/>
      <c r="K2155" s="46"/>
      <c r="L2155" s="10"/>
      <c r="M2155" s="20"/>
      <c r="N2155" s="20"/>
      <c r="O2155" s="20"/>
      <c r="P2155" s="20"/>
    </row>
    <row r="2156">
      <c r="A2156" s="23"/>
      <c r="B2156" s="21"/>
      <c r="C2156" s="23"/>
      <c r="D2156" s="24"/>
      <c r="E2156" s="14"/>
      <c r="F2156" s="14"/>
      <c r="G2156" s="14"/>
      <c r="H2156" s="23"/>
      <c r="I2156" s="27"/>
      <c r="J2156" s="23"/>
      <c r="K2156" s="30"/>
      <c r="L2156" s="23"/>
      <c r="M2156" s="20"/>
      <c r="N2156" s="20"/>
      <c r="O2156" s="20"/>
      <c r="P2156" s="20"/>
    </row>
    <row r="2157">
      <c r="A2157" s="10"/>
      <c r="B2157" s="11"/>
      <c r="C2157" s="10"/>
      <c r="D2157" s="13"/>
      <c r="E2157" s="14"/>
      <c r="F2157" s="14"/>
      <c r="G2157" s="14"/>
      <c r="H2157" s="10"/>
      <c r="I2157" s="17"/>
      <c r="J2157" s="10"/>
      <c r="K2157" s="46"/>
      <c r="L2157" s="10"/>
      <c r="M2157" s="20"/>
      <c r="N2157" s="20"/>
      <c r="O2157" s="20"/>
      <c r="P2157" s="20"/>
    </row>
    <row r="2158">
      <c r="A2158" s="23"/>
      <c r="B2158" s="21"/>
      <c r="C2158" s="23"/>
      <c r="D2158" s="24"/>
      <c r="E2158" s="14"/>
      <c r="F2158" s="14"/>
      <c r="G2158" s="14"/>
      <c r="H2158" s="23"/>
      <c r="I2158" s="27"/>
      <c r="J2158" s="23"/>
      <c r="K2158" s="30"/>
      <c r="L2158" s="23"/>
      <c r="M2158" s="20"/>
      <c r="N2158" s="20"/>
      <c r="O2158" s="20"/>
      <c r="P2158" s="20"/>
    </row>
    <row r="2159">
      <c r="A2159" s="10"/>
      <c r="B2159" s="11"/>
      <c r="C2159" s="10"/>
      <c r="D2159" s="13"/>
      <c r="E2159" s="14"/>
      <c r="F2159" s="14"/>
      <c r="G2159" s="14"/>
      <c r="H2159" s="10"/>
      <c r="I2159" s="17"/>
      <c r="J2159" s="10"/>
      <c r="K2159" s="46"/>
      <c r="L2159" s="10"/>
      <c r="M2159" s="20"/>
      <c r="N2159" s="20"/>
      <c r="O2159" s="20"/>
      <c r="P2159" s="20"/>
    </row>
    <row r="2160">
      <c r="A2160" s="23"/>
      <c r="B2160" s="21"/>
      <c r="C2160" s="23"/>
      <c r="D2160" s="24"/>
      <c r="E2160" s="14"/>
      <c r="F2160" s="14"/>
      <c r="G2160" s="14"/>
      <c r="H2160" s="23"/>
      <c r="I2160" s="27"/>
      <c r="J2160" s="23"/>
      <c r="K2160" s="30"/>
      <c r="L2160" s="23"/>
      <c r="M2160" s="20"/>
      <c r="N2160" s="20"/>
      <c r="O2160" s="20"/>
      <c r="P2160" s="20"/>
    </row>
    <row r="2161">
      <c r="A2161" s="10"/>
      <c r="B2161" s="11"/>
      <c r="C2161" s="10"/>
      <c r="D2161" s="13"/>
      <c r="E2161" s="14"/>
      <c r="F2161" s="14"/>
      <c r="G2161" s="14"/>
      <c r="H2161" s="10"/>
      <c r="I2161" s="17"/>
      <c r="J2161" s="10"/>
      <c r="K2161" s="46"/>
      <c r="L2161" s="10"/>
      <c r="M2161" s="20"/>
      <c r="N2161" s="20"/>
      <c r="O2161" s="20"/>
      <c r="P2161" s="20"/>
    </row>
    <row r="2162">
      <c r="A2162" s="23"/>
      <c r="B2162" s="21"/>
      <c r="C2162" s="23"/>
      <c r="D2162" s="24"/>
      <c r="E2162" s="14"/>
      <c r="F2162" s="14"/>
      <c r="G2162" s="14"/>
      <c r="H2162" s="23"/>
      <c r="I2162" s="27"/>
      <c r="J2162" s="23"/>
      <c r="K2162" s="30"/>
      <c r="L2162" s="23"/>
      <c r="M2162" s="20"/>
      <c r="N2162" s="20"/>
      <c r="O2162" s="20"/>
      <c r="P2162" s="20"/>
    </row>
    <row r="2163">
      <c r="A2163" s="10"/>
      <c r="B2163" s="11"/>
      <c r="C2163" s="10"/>
      <c r="D2163" s="13"/>
      <c r="E2163" s="14"/>
      <c r="F2163" s="14"/>
      <c r="G2163" s="14"/>
      <c r="H2163" s="10"/>
      <c r="I2163" s="17"/>
      <c r="J2163" s="10"/>
      <c r="K2163" s="46"/>
      <c r="L2163" s="10"/>
      <c r="M2163" s="20"/>
      <c r="N2163" s="20"/>
      <c r="O2163" s="20"/>
      <c r="P2163" s="20"/>
    </row>
    <row r="2164">
      <c r="A2164" s="23"/>
      <c r="B2164" s="21"/>
      <c r="C2164" s="23"/>
      <c r="D2164" s="24"/>
      <c r="E2164" s="14"/>
      <c r="F2164" s="14"/>
      <c r="G2164" s="14"/>
      <c r="H2164" s="23"/>
      <c r="I2164" s="27"/>
      <c r="J2164" s="23"/>
      <c r="K2164" s="30"/>
      <c r="L2164" s="23"/>
      <c r="M2164" s="20"/>
      <c r="N2164" s="20"/>
      <c r="O2164" s="20"/>
      <c r="P2164" s="20"/>
    </row>
    <row r="2165">
      <c r="A2165" s="10"/>
      <c r="B2165" s="11"/>
      <c r="C2165" s="10"/>
      <c r="D2165" s="13"/>
      <c r="E2165" s="14"/>
      <c r="F2165" s="14"/>
      <c r="G2165" s="14"/>
      <c r="H2165" s="10"/>
      <c r="I2165" s="17"/>
      <c r="J2165" s="10"/>
      <c r="K2165" s="46"/>
      <c r="L2165" s="10"/>
      <c r="M2165" s="20"/>
      <c r="N2165" s="20"/>
      <c r="O2165" s="20"/>
      <c r="P2165" s="20"/>
    </row>
    <row r="2166">
      <c r="A2166" s="23"/>
      <c r="B2166" s="21"/>
      <c r="C2166" s="23"/>
      <c r="D2166" s="24"/>
      <c r="E2166" s="14"/>
      <c r="F2166" s="14"/>
      <c r="G2166" s="14"/>
      <c r="H2166" s="23"/>
      <c r="I2166" s="27"/>
      <c r="J2166" s="23"/>
      <c r="K2166" s="30"/>
      <c r="L2166" s="23"/>
      <c r="M2166" s="20"/>
      <c r="N2166" s="20"/>
      <c r="O2166" s="20"/>
      <c r="P2166" s="20"/>
    </row>
    <row r="2167">
      <c r="A2167" s="10"/>
      <c r="B2167" s="11"/>
      <c r="C2167" s="10"/>
      <c r="D2167" s="13"/>
      <c r="E2167" s="14"/>
      <c r="F2167" s="14"/>
      <c r="G2167" s="14"/>
      <c r="H2167" s="10"/>
      <c r="I2167" s="17"/>
      <c r="J2167" s="10"/>
      <c r="K2167" s="46"/>
      <c r="L2167" s="10"/>
      <c r="M2167" s="20"/>
      <c r="N2167" s="20"/>
      <c r="O2167" s="20"/>
      <c r="P2167" s="20"/>
    </row>
    <row r="2168">
      <c r="A2168" s="23"/>
      <c r="B2168" s="21"/>
      <c r="C2168" s="23"/>
      <c r="D2168" s="24"/>
      <c r="E2168" s="14"/>
      <c r="F2168" s="14"/>
      <c r="G2168" s="14"/>
      <c r="H2168" s="23"/>
      <c r="I2168" s="27"/>
      <c r="J2168" s="23"/>
      <c r="K2168" s="30"/>
      <c r="L2168" s="23"/>
      <c r="M2168" s="20"/>
      <c r="N2168" s="20"/>
      <c r="O2168" s="20"/>
      <c r="P2168" s="20"/>
    </row>
    <row r="2169">
      <c r="A2169" s="10"/>
      <c r="B2169" s="11"/>
      <c r="C2169" s="10"/>
      <c r="D2169" s="13"/>
      <c r="E2169" s="14"/>
      <c r="F2169" s="14"/>
      <c r="G2169" s="14"/>
      <c r="H2169" s="10"/>
      <c r="I2169" s="17"/>
      <c r="J2169" s="10"/>
      <c r="K2169" s="46"/>
      <c r="L2169" s="10"/>
      <c r="M2169" s="20"/>
      <c r="N2169" s="20"/>
      <c r="O2169" s="20"/>
      <c r="P2169" s="20"/>
    </row>
    <row r="2170">
      <c r="A2170" s="23"/>
      <c r="B2170" s="21"/>
      <c r="C2170" s="23"/>
      <c r="D2170" s="24"/>
      <c r="E2170" s="14"/>
      <c r="F2170" s="14"/>
      <c r="G2170" s="14"/>
      <c r="H2170" s="23"/>
      <c r="I2170" s="27"/>
      <c r="J2170" s="23"/>
      <c r="K2170" s="30"/>
      <c r="L2170" s="23"/>
      <c r="M2170" s="20"/>
      <c r="N2170" s="20"/>
      <c r="O2170" s="20"/>
      <c r="P2170" s="20"/>
    </row>
    <row r="2171">
      <c r="A2171" s="10"/>
      <c r="B2171" s="11"/>
      <c r="C2171" s="10"/>
      <c r="D2171" s="13"/>
      <c r="E2171" s="14"/>
      <c r="F2171" s="14"/>
      <c r="G2171" s="14"/>
      <c r="H2171" s="10"/>
      <c r="I2171" s="17"/>
      <c r="J2171" s="10"/>
      <c r="K2171" s="46"/>
      <c r="L2171" s="10"/>
      <c r="M2171" s="20"/>
      <c r="N2171" s="20"/>
      <c r="O2171" s="20"/>
      <c r="P2171" s="20"/>
    </row>
    <row r="2172">
      <c r="A2172" s="23"/>
      <c r="B2172" s="21"/>
      <c r="C2172" s="23"/>
      <c r="D2172" s="24"/>
      <c r="E2172" s="14"/>
      <c r="F2172" s="14"/>
      <c r="G2172" s="14"/>
      <c r="H2172" s="23"/>
      <c r="I2172" s="27"/>
      <c r="J2172" s="23"/>
      <c r="K2172" s="30"/>
      <c r="L2172" s="23"/>
      <c r="M2172" s="20"/>
      <c r="N2172" s="20"/>
      <c r="O2172" s="20"/>
      <c r="P2172" s="20"/>
    </row>
    <row r="2173">
      <c r="A2173" s="10"/>
      <c r="B2173" s="11"/>
      <c r="C2173" s="10"/>
      <c r="D2173" s="13"/>
      <c r="E2173" s="14"/>
      <c r="F2173" s="14"/>
      <c r="G2173" s="14"/>
      <c r="H2173" s="10"/>
      <c r="I2173" s="17"/>
      <c r="J2173" s="10"/>
      <c r="K2173" s="46"/>
      <c r="L2173" s="10"/>
      <c r="M2173" s="20"/>
      <c r="N2173" s="20"/>
      <c r="O2173" s="20"/>
      <c r="P2173" s="20"/>
    </row>
    <row r="2174">
      <c r="A2174" s="23"/>
      <c r="B2174" s="21"/>
      <c r="C2174" s="23"/>
      <c r="D2174" s="24"/>
      <c r="E2174" s="14"/>
      <c r="F2174" s="14"/>
      <c r="G2174" s="14"/>
      <c r="H2174" s="23"/>
      <c r="I2174" s="27"/>
      <c r="J2174" s="23"/>
      <c r="K2174" s="30"/>
      <c r="L2174" s="23"/>
      <c r="M2174" s="20"/>
      <c r="N2174" s="20"/>
      <c r="O2174" s="20"/>
      <c r="P2174" s="20"/>
    </row>
    <row r="2175">
      <c r="A2175" s="10"/>
      <c r="B2175" s="11"/>
      <c r="C2175" s="10"/>
      <c r="D2175" s="13"/>
      <c r="E2175" s="14"/>
      <c r="F2175" s="14"/>
      <c r="G2175" s="14"/>
      <c r="H2175" s="10"/>
      <c r="I2175" s="17"/>
      <c r="J2175" s="10"/>
      <c r="K2175" s="46"/>
      <c r="L2175" s="10"/>
      <c r="M2175" s="20"/>
      <c r="N2175" s="20"/>
      <c r="O2175" s="20"/>
      <c r="P2175" s="20"/>
    </row>
    <row r="2176">
      <c r="A2176" s="23"/>
      <c r="B2176" s="21"/>
      <c r="C2176" s="23"/>
      <c r="D2176" s="24"/>
      <c r="E2176" s="14"/>
      <c r="F2176" s="14"/>
      <c r="G2176" s="14"/>
      <c r="H2176" s="23"/>
      <c r="I2176" s="27"/>
      <c r="J2176" s="23"/>
      <c r="K2176" s="30"/>
      <c r="L2176" s="23"/>
      <c r="M2176" s="20"/>
      <c r="N2176" s="20"/>
      <c r="O2176" s="20"/>
      <c r="P2176" s="20"/>
    </row>
    <row r="2177">
      <c r="A2177" s="10"/>
      <c r="B2177" s="11"/>
      <c r="C2177" s="10"/>
      <c r="D2177" s="13"/>
      <c r="E2177" s="14"/>
      <c r="F2177" s="14"/>
      <c r="G2177" s="14"/>
      <c r="H2177" s="10"/>
      <c r="I2177" s="17"/>
      <c r="J2177" s="10"/>
      <c r="K2177" s="46"/>
      <c r="L2177" s="10"/>
      <c r="M2177" s="20"/>
      <c r="N2177" s="20"/>
      <c r="O2177" s="20"/>
      <c r="P2177" s="20"/>
    </row>
    <row r="2178">
      <c r="A2178" s="23"/>
      <c r="B2178" s="21"/>
      <c r="C2178" s="23"/>
      <c r="D2178" s="24"/>
      <c r="E2178" s="14"/>
      <c r="F2178" s="14"/>
      <c r="G2178" s="14"/>
      <c r="H2178" s="23"/>
      <c r="I2178" s="27"/>
      <c r="J2178" s="23"/>
      <c r="K2178" s="30"/>
      <c r="L2178" s="23"/>
      <c r="M2178" s="20"/>
      <c r="N2178" s="20"/>
      <c r="O2178" s="20"/>
      <c r="P2178" s="20"/>
    </row>
    <row r="2179">
      <c r="A2179" s="10"/>
      <c r="B2179" s="11"/>
      <c r="C2179" s="10"/>
      <c r="D2179" s="13"/>
      <c r="E2179" s="14"/>
      <c r="F2179" s="14"/>
      <c r="G2179" s="14"/>
      <c r="H2179" s="10"/>
      <c r="I2179" s="17"/>
      <c r="J2179" s="10"/>
      <c r="K2179" s="46"/>
      <c r="L2179" s="10"/>
      <c r="M2179" s="20"/>
      <c r="N2179" s="20"/>
      <c r="O2179" s="20"/>
      <c r="P2179" s="20"/>
    </row>
    <row r="2180">
      <c r="A2180" s="23"/>
      <c r="B2180" s="21"/>
      <c r="C2180" s="23"/>
      <c r="D2180" s="24"/>
      <c r="E2180" s="14"/>
      <c r="F2180" s="14"/>
      <c r="G2180" s="14"/>
      <c r="H2180" s="23"/>
      <c r="I2180" s="27"/>
      <c r="J2180" s="23"/>
      <c r="K2180" s="30"/>
      <c r="L2180" s="23"/>
      <c r="M2180" s="20"/>
      <c r="N2180" s="20"/>
      <c r="O2180" s="20"/>
      <c r="P2180" s="20"/>
    </row>
    <row r="2181">
      <c r="A2181" s="10"/>
      <c r="B2181" s="11"/>
      <c r="C2181" s="10"/>
      <c r="D2181" s="13"/>
      <c r="E2181" s="14"/>
      <c r="F2181" s="14"/>
      <c r="G2181" s="14"/>
      <c r="H2181" s="10"/>
      <c r="I2181" s="17"/>
      <c r="J2181" s="10"/>
      <c r="K2181" s="46"/>
      <c r="L2181" s="10"/>
      <c r="M2181" s="20"/>
      <c r="N2181" s="20"/>
      <c r="O2181" s="20"/>
      <c r="P2181" s="20"/>
    </row>
    <row r="2182">
      <c r="A2182" s="23"/>
      <c r="B2182" s="21"/>
      <c r="C2182" s="23"/>
      <c r="D2182" s="24"/>
      <c r="E2182" s="14"/>
      <c r="F2182" s="14"/>
      <c r="G2182" s="14"/>
      <c r="H2182" s="23"/>
      <c r="I2182" s="27"/>
      <c r="J2182" s="23"/>
      <c r="K2182" s="30"/>
      <c r="L2182" s="23"/>
      <c r="M2182" s="20"/>
      <c r="N2182" s="20"/>
      <c r="O2182" s="20"/>
      <c r="P2182" s="20"/>
    </row>
    <row r="2183">
      <c r="A2183" s="10"/>
      <c r="B2183" s="11"/>
      <c r="C2183" s="10"/>
      <c r="D2183" s="13"/>
      <c r="E2183" s="14"/>
      <c r="F2183" s="14"/>
      <c r="G2183" s="14"/>
      <c r="H2183" s="10"/>
      <c r="I2183" s="17"/>
      <c r="J2183" s="10"/>
      <c r="K2183" s="46"/>
      <c r="L2183" s="10"/>
      <c r="M2183" s="20"/>
      <c r="N2183" s="20"/>
      <c r="O2183" s="20"/>
      <c r="P2183" s="20"/>
    </row>
    <row r="2184">
      <c r="A2184" s="23"/>
      <c r="B2184" s="21"/>
      <c r="C2184" s="23"/>
      <c r="D2184" s="24"/>
      <c r="E2184" s="14"/>
      <c r="F2184" s="14"/>
      <c r="G2184" s="14"/>
      <c r="H2184" s="23"/>
      <c r="I2184" s="27"/>
      <c r="J2184" s="23"/>
      <c r="K2184" s="30"/>
      <c r="L2184" s="23"/>
      <c r="M2184" s="20"/>
      <c r="N2184" s="20"/>
      <c r="O2184" s="20"/>
      <c r="P2184" s="20"/>
    </row>
    <row r="2185">
      <c r="A2185" s="10"/>
      <c r="B2185" s="11"/>
      <c r="C2185" s="10"/>
      <c r="D2185" s="13"/>
      <c r="E2185" s="14"/>
      <c r="F2185" s="14"/>
      <c r="G2185" s="14"/>
      <c r="H2185" s="10"/>
      <c r="I2185" s="17"/>
      <c r="J2185" s="10"/>
      <c r="K2185" s="46"/>
      <c r="L2185" s="10"/>
      <c r="M2185" s="20"/>
      <c r="N2185" s="20"/>
      <c r="O2185" s="20"/>
      <c r="P2185" s="20"/>
    </row>
    <row r="2186">
      <c r="A2186" s="23"/>
      <c r="B2186" s="21"/>
      <c r="C2186" s="23"/>
      <c r="D2186" s="24"/>
      <c r="E2186" s="14"/>
      <c r="F2186" s="14"/>
      <c r="G2186" s="14"/>
      <c r="H2186" s="23"/>
      <c r="I2186" s="27"/>
      <c r="J2186" s="23"/>
      <c r="K2186" s="30"/>
      <c r="L2186" s="23"/>
      <c r="M2186" s="20"/>
      <c r="N2186" s="20"/>
      <c r="O2186" s="20"/>
      <c r="P2186" s="20"/>
    </row>
    <row r="2187">
      <c r="A2187" s="10"/>
      <c r="B2187" s="11"/>
      <c r="C2187" s="10"/>
      <c r="D2187" s="13"/>
      <c r="E2187" s="14"/>
      <c r="F2187" s="14"/>
      <c r="G2187" s="14"/>
      <c r="H2187" s="10"/>
      <c r="I2187" s="17"/>
      <c r="J2187" s="10"/>
      <c r="K2187" s="46"/>
      <c r="L2187" s="10"/>
      <c r="M2187" s="20"/>
      <c r="N2187" s="20"/>
      <c r="O2187" s="20"/>
      <c r="P2187" s="20"/>
    </row>
    <row r="2188">
      <c r="A2188" s="23"/>
      <c r="B2188" s="21"/>
      <c r="C2188" s="23"/>
      <c r="D2188" s="24"/>
      <c r="E2188" s="14"/>
      <c r="F2188" s="14"/>
      <c r="G2188" s="14"/>
      <c r="H2188" s="23"/>
      <c r="I2188" s="27"/>
      <c r="J2188" s="23"/>
      <c r="K2188" s="30"/>
      <c r="L2188" s="23"/>
      <c r="M2188" s="20"/>
      <c r="N2188" s="20"/>
      <c r="O2188" s="20"/>
      <c r="P2188" s="20"/>
    </row>
    <row r="2189">
      <c r="A2189" s="10"/>
      <c r="B2189" s="11"/>
      <c r="C2189" s="10"/>
      <c r="D2189" s="13"/>
      <c r="E2189" s="14"/>
      <c r="F2189" s="14"/>
      <c r="G2189" s="14"/>
      <c r="H2189" s="10"/>
      <c r="I2189" s="17"/>
      <c r="J2189" s="10"/>
      <c r="K2189" s="46"/>
      <c r="L2189" s="10"/>
      <c r="M2189" s="20"/>
      <c r="N2189" s="20"/>
      <c r="O2189" s="20"/>
      <c r="P2189" s="20"/>
    </row>
    <row r="2190">
      <c r="A2190" s="23"/>
      <c r="B2190" s="21"/>
      <c r="C2190" s="23"/>
      <c r="D2190" s="24"/>
      <c r="E2190" s="14"/>
      <c r="F2190" s="14"/>
      <c r="G2190" s="14"/>
      <c r="H2190" s="23"/>
      <c r="I2190" s="27"/>
      <c r="J2190" s="23"/>
      <c r="K2190" s="30"/>
      <c r="L2190" s="23"/>
      <c r="M2190" s="20"/>
      <c r="N2190" s="20"/>
      <c r="O2190" s="20"/>
      <c r="P2190" s="20"/>
    </row>
    <row r="2191">
      <c r="A2191" s="10"/>
      <c r="B2191" s="11"/>
      <c r="C2191" s="10"/>
      <c r="D2191" s="13"/>
      <c r="E2191" s="14"/>
      <c r="F2191" s="14"/>
      <c r="G2191" s="14"/>
      <c r="H2191" s="10"/>
      <c r="I2191" s="17"/>
      <c r="J2191" s="10"/>
      <c r="K2191" s="46"/>
      <c r="L2191" s="10"/>
      <c r="M2191" s="20"/>
      <c r="N2191" s="20"/>
      <c r="O2191" s="20"/>
      <c r="P2191" s="20"/>
    </row>
    <row r="2192">
      <c r="A2192" s="23"/>
      <c r="B2192" s="21"/>
      <c r="C2192" s="23"/>
      <c r="D2192" s="24"/>
      <c r="E2192" s="14"/>
      <c r="F2192" s="14"/>
      <c r="G2192" s="14"/>
      <c r="H2192" s="23"/>
      <c r="I2192" s="27"/>
      <c r="J2192" s="23"/>
      <c r="K2192" s="30"/>
      <c r="L2192" s="23"/>
      <c r="M2192" s="20"/>
      <c r="N2192" s="20"/>
      <c r="O2192" s="20"/>
      <c r="P2192" s="20"/>
    </row>
    <row r="2193">
      <c r="A2193" s="10"/>
      <c r="B2193" s="11"/>
      <c r="C2193" s="10"/>
      <c r="D2193" s="13"/>
      <c r="E2193" s="14"/>
      <c r="F2193" s="14"/>
      <c r="G2193" s="14"/>
      <c r="H2193" s="10"/>
      <c r="I2193" s="17"/>
      <c r="J2193" s="10"/>
      <c r="K2193" s="46"/>
      <c r="L2193" s="10"/>
      <c r="M2193" s="20"/>
      <c r="N2193" s="20"/>
      <c r="O2193" s="20"/>
      <c r="P2193" s="20"/>
    </row>
    <row r="2194">
      <c r="A2194" s="23"/>
      <c r="B2194" s="21"/>
      <c r="C2194" s="23"/>
      <c r="D2194" s="24"/>
      <c r="E2194" s="14"/>
      <c r="F2194" s="14"/>
      <c r="G2194" s="14"/>
      <c r="H2194" s="23"/>
      <c r="I2194" s="27"/>
      <c r="J2194" s="23"/>
      <c r="K2194" s="30"/>
      <c r="L2194" s="23"/>
      <c r="M2194" s="20"/>
      <c r="N2194" s="20"/>
      <c r="O2194" s="20"/>
      <c r="P2194" s="20"/>
    </row>
    <row r="2195">
      <c r="A2195" s="10"/>
      <c r="B2195" s="11"/>
      <c r="C2195" s="10"/>
      <c r="D2195" s="13"/>
      <c r="E2195" s="14"/>
      <c r="F2195" s="14"/>
      <c r="G2195" s="14"/>
      <c r="H2195" s="10"/>
      <c r="I2195" s="17"/>
      <c r="J2195" s="10"/>
      <c r="K2195" s="46"/>
      <c r="L2195" s="10"/>
      <c r="M2195" s="20"/>
      <c r="N2195" s="20"/>
      <c r="O2195" s="20"/>
      <c r="P2195" s="20"/>
    </row>
    <row r="2196">
      <c r="A2196" s="23"/>
      <c r="B2196" s="21"/>
      <c r="C2196" s="23"/>
      <c r="D2196" s="24"/>
      <c r="E2196" s="14"/>
      <c r="F2196" s="14"/>
      <c r="G2196" s="14"/>
      <c r="H2196" s="23"/>
      <c r="I2196" s="27"/>
      <c r="J2196" s="23"/>
      <c r="K2196" s="30"/>
      <c r="L2196" s="23"/>
      <c r="M2196" s="20"/>
      <c r="N2196" s="20"/>
      <c r="O2196" s="20"/>
      <c r="P2196" s="20"/>
    </row>
    <row r="2197">
      <c r="A2197" s="10"/>
      <c r="B2197" s="11"/>
      <c r="C2197" s="10"/>
      <c r="D2197" s="13"/>
      <c r="E2197" s="14"/>
      <c r="F2197" s="14"/>
      <c r="G2197" s="14"/>
      <c r="H2197" s="10"/>
      <c r="I2197" s="17"/>
      <c r="J2197" s="10"/>
      <c r="K2197" s="46"/>
      <c r="L2197" s="10"/>
      <c r="M2197" s="20"/>
      <c r="N2197" s="20"/>
      <c r="O2197" s="20"/>
      <c r="P2197" s="20"/>
    </row>
    <row r="2198">
      <c r="A2198" s="23"/>
      <c r="B2198" s="21"/>
      <c r="C2198" s="23"/>
      <c r="D2198" s="24"/>
      <c r="E2198" s="14"/>
      <c r="F2198" s="14"/>
      <c r="G2198" s="14"/>
      <c r="H2198" s="23"/>
      <c r="I2198" s="27"/>
      <c r="J2198" s="23"/>
      <c r="K2198" s="30"/>
      <c r="L2198" s="23"/>
      <c r="M2198" s="20"/>
      <c r="N2198" s="20"/>
      <c r="O2198" s="20"/>
      <c r="P2198" s="20"/>
    </row>
    <row r="2199">
      <c r="A2199" s="10"/>
      <c r="B2199" s="11"/>
      <c r="C2199" s="10"/>
      <c r="D2199" s="13"/>
      <c r="E2199" s="14"/>
      <c r="F2199" s="14"/>
      <c r="G2199" s="14"/>
      <c r="H2199" s="10"/>
      <c r="I2199" s="17"/>
      <c r="J2199" s="10"/>
      <c r="K2199" s="46"/>
      <c r="L2199" s="10"/>
      <c r="M2199" s="20"/>
      <c r="N2199" s="20"/>
      <c r="O2199" s="20"/>
      <c r="P2199" s="20"/>
    </row>
    <row r="2200">
      <c r="A2200" s="23"/>
      <c r="B2200" s="21"/>
      <c r="C2200" s="23"/>
      <c r="D2200" s="24"/>
      <c r="E2200" s="14"/>
      <c r="F2200" s="14"/>
      <c r="G2200" s="14"/>
      <c r="H2200" s="23"/>
      <c r="I2200" s="27"/>
      <c r="J2200" s="23"/>
      <c r="K2200" s="30"/>
      <c r="L2200" s="23"/>
      <c r="M2200" s="20"/>
      <c r="N2200" s="20"/>
      <c r="O2200" s="20"/>
      <c r="P2200" s="20"/>
    </row>
    <row r="2201">
      <c r="A2201" s="10"/>
      <c r="B2201" s="11"/>
      <c r="C2201" s="10"/>
      <c r="D2201" s="13"/>
      <c r="E2201" s="14"/>
      <c r="F2201" s="14"/>
      <c r="G2201" s="14"/>
      <c r="H2201" s="10"/>
      <c r="I2201" s="17"/>
      <c r="J2201" s="10"/>
      <c r="K2201" s="46"/>
      <c r="L2201" s="10"/>
      <c r="M2201" s="20"/>
      <c r="N2201" s="20"/>
      <c r="O2201" s="20"/>
      <c r="P2201" s="20"/>
    </row>
    <row r="2202">
      <c r="A2202" s="23"/>
      <c r="B2202" s="21"/>
      <c r="C2202" s="23"/>
      <c r="D2202" s="24"/>
      <c r="E2202" s="14"/>
      <c r="F2202" s="14"/>
      <c r="G2202" s="14"/>
      <c r="H2202" s="23"/>
      <c r="I2202" s="27"/>
      <c r="J2202" s="23"/>
      <c r="K2202" s="30"/>
      <c r="L2202" s="23"/>
      <c r="M2202" s="20"/>
      <c r="N2202" s="20"/>
      <c r="O2202" s="20"/>
      <c r="P2202" s="20"/>
    </row>
    <row r="2203">
      <c r="A2203" s="10"/>
      <c r="B2203" s="11"/>
      <c r="C2203" s="10"/>
      <c r="D2203" s="13"/>
      <c r="E2203" s="14"/>
      <c r="F2203" s="14"/>
      <c r="G2203" s="14"/>
      <c r="H2203" s="10"/>
      <c r="I2203" s="17"/>
      <c r="J2203" s="10"/>
      <c r="K2203" s="46"/>
      <c r="L2203" s="10"/>
      <c r="M2203" s="20"/>
      <c r="N2203" s="20"/>
      <c r="O2203" s="20"/>
      <c r="P2203" s="20"/>
    </row>
    <row r="2204">
      <c r="A2204" s="23"/>
      <c r="B2204" s="21"/>
      <c r="C2204" s="23"/>
      <c r="D2204" s="24"/>
      <c r="E2204" s="14"/>
      <c r="F2204" s="14"/>
      <c r="G2204" s="14"/>
      <c r="H2204" s="23"/>
      <c r="I2204" s="27"/>
      <c r="J2204" s="23"/>
      <c r="K2204" s="30"/>
      <c r="L2204" s="23"/>
      <c r="M2204" s="20"/>
      <c r="N2204" s="20"/>
      <c r="O2204" s="20"/>
      <c r="P2204" s="20"/>
    </row>
    <row r="2205">
      <c r="A2205" s="10"/>
      <c r="B2205" s="11"/>
      <c r="C2205" s="10"/>
      <c r="D2205" s="13"/>
      <c r="E2205" s="14"/>
      <c r="F2205" s="14"/>
      <c r="G2205" s="14"/>
      <c r="H2205" s="10"/>
      <c r="I2205" s="17"/>
      <c r="J2205" s="10"/>
      <c r="K2205" s="46"/>
      <c r="L2205" s="10"/>
      <c r="M2205" s="20"/>
      <c r="N2205" s="20"/>
      <c r="O2205" s="20"/>
      <c r="P2205" s="20"/>
    </row>
    <row r="2206">
      <c r="A2206" s="23"/>
      <c r="B2206" s="21"/>
      <c r="C2206" s="23"/>
      <c r="D2206" s="24"/>
      <c r="E2206" s="14"/>
      <c r="F2206" s="14"/>
      <c r="G2206" s="14"/>
      <c r="H2206" s="23"/>
      <c r="I2206" s="27"/>
      <c r="J2206" s="23"/>
      <c r="K2206" s="30"/>
      <c r="L2206" s="23"/>
      <c r="M2206" s="20"/>
      <c r="N2206" s="20"/>
      <c r="O2206" s="20"/>
      <c r="P2206" s="20"/>
    </row>
    <row r="2207">
      <c r="A2207" s="10"/>
      <c r="B2207" s="11"/>
      <c r="C2207" s="10"/>
      <c r="D2207" s="13"/>
      <c r="E2207" s="14"/>
      <c r="F2207" s="14"/>
      <c r="G2207" s="14"/>
      <c r="H2207" s="10"/>
      <c r="I2207" s="17"/>
      <c r="J2207" s="10"/>
      <c r="K2207" s="46"/>
      <c r="L2207" s="10"/>
      <c r="M2207" s="20"/>
      <c r="N2207" s="20"/>
      <c r="O2207" s="20"/>
      <c r="P2207" s="20"/>
    </row>
    <row r="2208">
      <c r="A2208" s="23"/>
      <c r="B2208" s="21"/>
      <c r="C2208" s="23"/>
      <c r="D2208" s="24"/>
      <c r="E2208" s="14"/>
      <c r="F2208" s="14"/>
      <c r="G2208" s="14"/>
      <c r="H2208" s="23"/>
      <c r="I2208" s="27"/>
      <c r="J2208" s="23"/>
      <c r="K2208" s="30"/>
      <c r="L2208" s="23"/>
      <c r="M2208" s="20"/>
      <c r="N2208" s="20"/>
      <c r="O2208" s="20"/>
      <c r="P2208" s="20"/>
    </row>
    <row r="2209">
      <c r="A2209" s="10"/>
      <c r="B2209" s="11"/>
      <c r="C2209" s="10"/>
      <c r="D2209" s="13"/>
      <c r="E2209" s="14"/>
      <c r="F2209" s="14"/>
      <c r="G2209" s="14"/>
      <c r="H2209" s="10"/>
      <c r="I2209" s="17"/>
      <c r="J2209" s="10"/>
      <c r="K2209" s="46"/>
      <c r="L2209" s="10"/>
      <c r="M2209" s="20"/>
      <c r="N2209" s="20"/>
      <c r="O2209" s="20"/>
      <c r="P2209" s="20"/>
    </row>
    <row r="2210">
      <c r="A2210" s="23"/>
      <c r="B2210" s="21"/>
      <c r="C2210" s="23"/>
      <c r="D2210" s="24"/>
      <c r="E2210" s="14"/>
      <c r="F2210" s="14"/>
      <c r="G2210" s="14"/>
      <c r="H2210" s="23"/>
      <c r="I2210" s="27"/>
      <c r="J2210" s="23"/>
      <c r="K2210" s="30"/>
      <c r="L2210" s="23"/>
      <c r="M2210" s="20"/>
      <c r="N2210" s="20"/>
      <c r="O2210" s="20"/>
      <c r="P2210" s="20"/>
    </row>
    <row r="2211">
      <c r="A2211" s="10"/>
      <c r="B2211" s="11"/>
      <c r="C2211" s="10"/>
      <c r="D2211" s="13"/>
      <c r="E2211" s="14"/>
      <c r="F2211" s="14"/>
      <c r="G2211" s="14"/>
      <c r="H2211" s="10"/>
      <c r="I2211" s="17"/>
      <c r="J2211" s="10"/>
      <c r="K2211" s="46"/>
      <c r="L2211" s="10"/>
      <c r="M2211" s="20"/>
      <c r="N2211" s="20"/>
      <c r="O2211" s="20"/>
      <c r="P2211" s="20"/>
    </row>
    <row r="2212">
      <c r="A2212" s="23"/>
      <c r="B2212" s="21"/>
      <c r="C2212" s="23"/>
      <c r="D2212" s="24"/>
      <c r="E2212" s="14"/>
      <c r="F2212" s="14"/>
      <c r="G2212" s="14"/>
      <c r="H2212" s="23"/>
      <c r="I2212" s="27"/>
      <c r="J2212" s="23"/>
      <c r="K2212" s="30"/>
      <c r="L2212" s="23"/>
      <c r="M2212" s="20"/>
      <c r="N2212" s="20"/>
      <c r="O2212" s="20"/>
      <c r="P2212" s="20"/>
    </row>
    <row r="2213">
      <c r="A2213" s="10"/>
      <c r="B2213" s="11"/>
      <c r="C2213" s="10"/>
      <c r="D2213" s="13"/>
      <c r="E2213" s="14"/>
      <c r="F2213" s="14"/>
      <c r="G2213" s="14"/>
      <c r="H2213" s="10"/>
      <c r="I2213" s="17"/>
      <c r="J2213" s="10"/>
      <c r="K2213" s="46"/>
      <c r="L2213" s="10"/>
      <c r="M2213" s="20"/>
      <c r="N2213" s="20"/>
      <c r="O2213" s="20"/>
      <c r="P2213" s="20"/>
    </row>
    <row r="2214">
      <c r="A2214" s="23"/>
      <c r="B2214" s="21"/>
      <c r="C2214" s="23"/>
      <c r="D2214" s="24"/>
      <c r="E2214" s="14"/>
      <c r="F2214" s="14"/>
      <c r="G2214" s="14"/>
      <c r="H2214" s="23"/>
      <c r="I2214" s="27"/>
      <c r="J2214" s="23"/>
      <c r="K2214" s="30"/>
      <c r="L2214" s="23"/>
      <c r="M2214" s="20"/>
      <c r="N2214" s="20"/>
      <c r="O2214" s="20"/>
      <c r="P2214" s="20"/>
    </row>
    <row r="2215">
      <c r="A2215" s="10"/>
      <c r="B2215" s="11"/>
      <c r="C2215" s="10"/>
      <c r="D2215" s="13"/>
      <c r="E2215" s="14"/>
      <c r="F2215" s="14"/>
      <c r="G2215" s="14"/>
      <c r="H2215" s="10"/>
      <c r="I2215" s="17"/>
      <c r="J2215" s="10"/>
      <c r="K2215" s="46"/>
      <c r="L2215" s="10"/>
      <c r="M2215" s="20"/>
      <c r="N2215" s="20"/>
      <c r="O2215" s="20"/>
      <c r="P2215" s="20"/>
    </row>
    <row r="2216">
      <c r="A2216" s="23"/>
      <c r="B2216" s="21"/>
      <c r="C2216" s="23"/>
      <c r="D2216" s="24"/>
      <c r="E2216" s="14"/>
      <c r="F2216" s="14"/>
      <c r="G2216" s="14"/>
      <c r="H2216" s="23"/>
      <c r="I2216" s="27"/>
      <c r="J2216" s="23"/>
      <c r="K2216" s="30"/>
      <c r="L2216" s="23"/>
      <c r="M2216" s="20"/>
      <c r="N2216" s="20"/>
      <c r="O2216" s="20"/>
      <c r="P2216" s="20"/>
    </row>
    <row r="2217">
      <c r="A2217" s="10"/>
      <c r="B2217" s="11"/>
      <c r="C2217" s="10"/>
      <c r="D2217" s="13"/>
      <c r="E2217" s="14"/>
      <c r="F2217" s="14"/>
      <c r="G2217" s="14"/>
      <c r="H2217" s="10"/>
      <c r="I2217" s="17"/>
      <c r="J2217" s="10"/>
      <c r="K2217" s="46"/>
      <c r="L2217" s="10"/>
      <c r="M2217" s="20"/>
      <c r="N2217" s="20"/>
      <c r="O2217" s="20"/>
      <c r="P2217" s="20"/>
    </row>
    <row r="2218">
      <c r="A2218" s="23"/>
      <c r="B2218" s="21"/>
      <c r="C2218" s="23"/>
      <c r="D2218" s="24"/>
      <c r="E2218" s="14"/>
      <c r="F2218" s="14"/>
      <c r="G2218" s="14"/>
      <c r="H2218" s="23"/>
      <c r="I2218" s="27"/>
      <c r="J2218" s="23"/>
      <c r="K2218" s="30"/>
      <c r="L2218" s="23"/>
      <c r="M2218" s="20"/>
      <c r="N2218" s="20"/>
      <c r="O2218" s="20"/>
      <c r="P2218" s="20"/>
    </row>
    <row r="2219">
      <c r="A2219" s="10"/>
      <c r="B2219" s="11"/>
      <c r="C2219" s="10"/>
      <c r="D2219" s="13"/>
      <c r="E2219" s="14"/>
      <c r="F2219" s="14"/>
      <c r="G2219" s="14"/>
      <c r="H2219" s="10"/>
      <c r="I2219" s="17"/>
      <c r="J2219" s="10"/>
      <c r="K2219" s="46"/>
      <c r="L2219" s="10"/>
      <c r="M2219" s="20"/>
      <c r="N2219" s="20"/>
      <c r="O2219" s="20"/>
      <c r="P2219" s="20"/>
    </row>
    <row r="2220">
      <c r="A2220" s="23"/>
      <c r="B2220" s="21"/>
      <c r="C2220" s="23"/>
      <c r="D2220" s="24"/>
      <c r="E2220" s="14"/>
      <c r="F2220" s="14"/>
      <c r="G2220" s="14"/>
      <c r="H2220" s="23"/>
      <c r="I2220" s="27"/>
      <c r="J2220" s="23"/>
      <c r="K2220" s="30"/>
      <c r="L2220" s="23"/>
      <c r="M2220" s="20"/>
      <c r="N2220" s="20"/>
      <c r="O2220" s="20"/>
      <c r="P2220" s="20"/>
    </row>
    <row r="2221">
      <c r="A2221" s="10"/>
      <c r="B2221" s="11"/>
      <c r="C2221" s="10"/>
      <c r="D2221" s="13"/>
      <c r="E2221" s="14"/>
      <c r="F2221" s="14"/>
      <c r="G2221" s="14"/>
      <c r="H2221" s="10"/>
      <c r="I2221" s="17"/>
      <c r="J2221" s="10"/>
      <c r="K2221" s="46"/>
      <c r="L2221" s="10"/>
      <c r="M2221" s="20"/>
      <c r="N2221" s="20"/>
      <c r="O2221" s="20"/>
      <c r="P2221" s="20"/>
    </row>
    <row r="2222">
      <c r="A2222" s="23"/>
      <c r="B2222" s="21"/>
      <c r="C2222" s="23"/>
      <c r="D2222" s="24"/>
      <c r="E2222" s="14"/>
      <c r="F2222" s="14"/>
      <c r="G2222" s="14"/>
      <c r="H2222" s="23"/>
      <c r="I2222" s="27"/>
      <c r="J2222" s="23"/>
      <c r="K2222" s="30"/>
      <c r="L2222" s="23"/>
      <c r="M2222" s="20"/>
      <c r="N2222" s="20"/>
      <c r="O2222" s="20"/>
      <c r="P2222" s="20"/>
    </row>
    <row r="2223">
      <c r="A2223" s="10"/>
      <c r="B2223" s="11"/>
      <c r="C2223" s="10"/>
      <c r="D2223" s="13"/>
      <c r="E2223" s="14"/>
      <c r="F2223" s="14"/>
      <c r="G2223" s="14"/>
      <c r="H2223" s="10"/>
      <c r="I2223" s="17"/>
      <c r="J2223" s="10"/>
      <c r="K2223" s="46"/>
      <c r="L2223" s="10"/>
      <c r="M2223" s="20"/>
      <c r="N2223" s="20"/>
      <c r="O2223" s="20"/>
      <c r="P2223" s="20"/>
    </row>
    <row r="2224">
      <c r="A2224" s="23"/>
      <c r="B2224" s="21"/>
      <c r="C2224" s="23"/>
      <c r="D2224" s="24"/>
      <c r="E2224" s="14"/>
      <c r="F2224" s="14"/>
      <c r="G2224" s="14"/>
      <c r="H2224" s="23"/>
      <c r="I2224" s="27"/>
      <c r="J2224" s="23"/>
      <c r="K2224" s="30"/>
      <c r="L2224" s="23"/>
      <c r="M2224" s="20"/>
      <c r="N2224" s="20"/>
      <c r="O2224" s="20"/>
      <c r="P2224" s="20"/>
    </row>
    <row r="2225">
      <c r="A2225" s="10"/>
      <c r="B2225" s="11"/>
      <c r="C2225" s="10"/>
      <c r="D2225" s="13"/>
      <c r="E2225" s="14"/>
      <c r="F2225" s="14"/>
      <c r="G2225" s="14"/>
      <c r="H2225" s="10"/>
      <c r="I2225" s="17"/>
      <c r="J2225" s="10"/>
      <c r="K2225" s="46"/>
      <c r="L2225" s="10"/>
      <c r="M2225" s="20"/>
      <c r="N2225" s="20"/>
      <c r="O2225" s="20"/>
      <c r="P2225" s="20"/>
    </row>
    <row r="2226">
      <c r="A2226" s="23"/>
      <c r="B2226" s="21"/>
      <c r="C2226" s="23"/>
      <c r="D2226" s="24"/>
      <c r="E2226" s="14"/>
      <c r="F2226" s="14"/>
      <c r="G2226" s="14"/>
      <c r="H2226" s="23"/>
      <c r="I2226" s="27"/>
      <c r="J2226" s="23"/>
      <c r="K2226" s="30"/>
      <c r="L2226" s="23"/>
      <c r="M2226" s="20"/>
      <c r="N2226" s="20"/>
      <c r="O2226" s="20"/>
      <c r="P2226" s="20"/>
    </row>
    <row r="2227">
      <c r="A2227" s="10"/>
      <c r="B2227" s="11"/>
      <c r="C2227" s="10"/>
      <c r="D2227" s="13"/>
      <c r="E2227" s="14"/>
      <c r="F2227" s="14"/>
      <c r="G2227" s="14"/>
      <c r="H2227" s="10"/>
      <c r="I2227" s="17"/>
      <c r="J2227" s="10"/>
      <c r="K2227" s="46"/>
      <c r="L2227" s="10"/>
      <c r="M2227" s="20"/>
      <c r="N2227" s="20"/>
      <c r="O2227" s="20"/>
      <c r="P2227" s="20"/>
    </row>
    <row r="2228">
      <c r="A2228" s="23"/>
      <c r="B2228" s="21"/>
      <c r="C2228" s="23"/>
      <c r="D2228" s="24"/>
      <c r="E2228" s="14"/>
      <c r="F2228" s="14"/>
      <c r="G2228" s="14"/>
      <c r="H2228" s="23"/>
      <c r="I2228" s="27"/>
      <c r="J2228" s="23"/>
      <c r="K2228" s="30"/>
      <c r="L2228" s="23"/>
      <c r="M2228" s="20"/>
      <c r="N2228" s="20"/>
      <c r="O2228" s="20"/>
      <c r="P2228" s="20"/>
    </row>
    <row r="2229">
      <c r="A2229" s="10"/>
      <c r="B2229" s="11"/>
      <c r="C2229" s="10"/>
      <c r="D2229" s="13"/>
      <c r="E2229" s="14"/>
      <c r="F2229" s="14"/>
      <c r="G2229" s="14"/>
      <c r="H2229" s="10"/>
      <c r="I2229" s="17"/>
      <c r="J2229" s="10"/>
      <c r="K2229" s="46"/>
      <c r="L2229" s="10"/>
      <c r="M2229" s="20"/>
      <c r="N2229" s="20"/>
      <c r="O2229" s="20"/>
      <c r="P2229" s="20"/>
    </row>
    <row r="2230">
      <c r="A2230" s="23"/>
      <c r="B2230" s="21"/>
      <c r="C2230" s="23"/>
      <c r="D2230" s="24"/>
      <c r="E2230" s="14"/>
      <c r="F2230" s="14"/>
      <c r="G2230" s="14"/>
      <c r="H2230" s="23"/>
      <c r="I2230" s="27"/>
      <c r="J2230" s="23"/>
      <c r="K2230" s="30"/>
      <c r="L2230" s="23"/>
      <c r="M2230" s="20"/>
      <c r="N2230" s="20"/>
      <c r="O2230" s="20"/>
      <c r="P2230" s="20"/>
    </row>
    <row r="2231">
      <c r="A2231" s="10"/>
      <c r="B2231" s="11"/>
      <c r="C2231" s="10"/>
      <c r="D2231" s="13"/>
      <c r="E2231" s="14"/>
      <c r="F2231" s="14"/>
      <c r="G2231" s="14"/>
      <c r="H2231" s="10"/>
      <c r="I2231" s="17"/>
      <c r="J2231" s="10"/>
      <c r="K2231" s="46"/>
      <c r="L2231" s="10"/>
      <c r="M2231" s="20"/>
      <c r="N2231" s="20"/>
      <c r="O2231" s="20"/>
      <c r="P2231" s="20"/>
    </row>
    <row r="2232">
      <c r="A2232" s="23"/>
      <c r="B2232" s="21"/>
      <c r="C2232" s="23"/>
      <c r="D2232" s="24"/>
      <c r="E2232" s="14"/>
      <c r="F2232" s="14"/>
      <c r="G2232" s="14"/>
      <c r="H2232" s="23"/>
      <c r="I2232" s="27"/>
      <c r="J2232" s="23"/>
      <c r="K2232" s="30"/>
      <c r="L2232" s="23"/>
      <c r="M2232" s="20"/>
      <c r="N2232" s="20"/>
      <c r="O2232" s="20"/>
      <c r="P2232" s="20"/>
    </row>
    <row r="2233">
      <c r="A2233" s="10"/>
      <c r="B2233" s="11"/>
      <c r="C2233" s="10"/>
      <c r="D2233" s="13"/>
      <c r="E2233" s="14"/>
      <c r="F2233" s="14"/>
      <c r="G2233" s="14"/>
      <c r="H2233" s="10"/>
      <c r="I2233" s="17"/>
      <c r="J2233" s="10"/>
      <c r="K2233" s="46"/>
      <c r="L2233" s="10"/>
      <c r="M2233" s="20"/>
      <c r="N2233" s="20"/>
      <c r="O2233" s="20"/>
      <c r="P2233" s="20"/>
    </row>
    <row r="2234">
      <c r="A2234" s="23"/>
      <c r="B2234" s="21"/>
      <c r="C2234" s="23"/>
      <c r="D2234" s="24"/>
      <c r="E2234" s="14"/>
      <c r="F2234" s="14"/>
      <c r="G2234" s="14"/>
      <c r="H2234" s="23"/>
      <c r="I2234" s="27"/>
      <c r="J2234" s="23"/>
      <c r="K2234" s="30"/>
      <c r="L2234" s="23"/>
      <c r="M2234" s="20"/>
      <c r="N2234" s="20"/>
      <c r="O2234" s="20"/>
      <c r="P2234" s="20"/>
    </row>
    <row r="2235">
      <c r="A2235" s="10"/>
      <c r="B2235" s="11"/>
      <c r="C2235" s="10"/>
      <c r="D2235" s="13"/>
      <c r="E2235" s="14"/>
      <c r="F2235" s="14"/>
      <c r="G2235" s="14"/>
      <c r="H2235" s="10"/>
      <c r="I2235" s="17"/>
      <c r="J2235" s="10"/>
      <c r="K2235" s="46"/>
      <c r="L2235" s="10"/>
      <c r="M2235" s="20"/>
      <c r="N2235" s="20"/>
      <c r="O2235" s="20"/>
      <c r="P2235" s="20"/>
    </row>
    <row r="2236">
      <c r="A2236" s="23"/>
      <c r="B2236" s="21"/>
      <c r="C2236" s="23"/>
      <c r="D2236" s="24"/>
      <c r="E2236" s="14"/>
      <c r="F2236" s="14"/>
      <c r="G2236" s="14"/>
      <c r="H2236" s="23"/>
      <c r="I2236" s="27"/>
      <c r="J2236" s="23"/>
      <c r="K2236" s="30"/>
      <c r="L2236" s="23"/>
      <c r="M2236" s="20"/>
      <c r="N2236" s="20"/>
      <c r="O2236" s="20"/>
      <c r="P2236" s="20"/>
    </row>
    <row r="2237">
      <c r="A2237" s="10"/>
      <c r="B2237" s="11"/>
      <c r="C2237" s="10"/>
      <c r="D2237" s="13"/>
      <c r="E2237" s="14"/>
      <c r="F2237" s="14"/>
      <c r="G2237" s="14"/>
      <c r="H2237" s="10"/>
      <c r="I2237" s="17"/>
      <c r="J2237" s="10"/>
      <c r="K2237" s="46"/>
      <c r="L2237" s="10"/>
      <c r="M2237" s="20"/>
      <c r="N2237" s="20"/>
      <c r="O2237" s="20"/>
      <c r="P2237" s="20"/>
    </row>
    <row r="2238">
      <c r="A2238" s="23"/>
      <c r="B2238" s="21"/>
      <c r="C2238" s="23"/>
      <c r="D2238" s="24"/>
      <c r="E2238" s="14"/>
      <c r="F2238" s="14"/>
      <c r="G2238" s="14"/>
      <c r="H2238" s="23"/>
      <c r="I2238" s="27"/>
      <c r="J2238" s="23"/>
      <c r="K2238" s="30"/>
      <c r="L2238" s="23"/>
      <c r="M2238" s="20"/>
      <c r="N2238" s="20"/>
      <c r="O2238" s="20"/>
      <c r="P2238" s="20"/>
    </row>
    <row r="2239">
      <c r="A2239" s="10"/>
      <c r="B2239" s="11"/>
      <c r="C2239" s="10"/>
      <c r="D2239" s="13"/>
      <c r="E2239" s="14"/>
      <c r="F2239" s="14"/>
      <c r="G2239" s="14"/>
      <c r="H2239" s="10"/>
      <c r="I2239" s="17"/>
      <c r="J2239" s="10"/>
      <c r="K2239" s="46"/>
      <c r="L2239" s="10"/>
      <c r="M2239" s="20"/>
      <c r="N2239" s="20"/>
      <c r="O2239" s="20"/>
      <c r="P2239" s="20"/>
    </row>
    <row r="2240">
      <c r="A2240" s="23"/>
      <c r="B2240" s="21"/>
      <c r="C2240" s="23"/>
      <c r="D2240" s="24"/>
      <c r="E2240" s="14"/>
      <c r="F2240" s="14"/>
      <c r="G2240" s="14"/>
      <c r="H2240" s="23"/>
      <c r="I2240" s="27"/>
      <c r="J2240" s="23"/>
      <c r="K2240" s="30"/>
      <c r="L2240" s="23"/>
      <c r="M2240" s="20"/>
      <c r="N2240" s="20"/>
      <c r="O2240" s="20"/>
      <c r="P2240" s="20"/>
    </row>
    <row r="2241">
      <c r="A2241" s="10"/>
      <c r="B2241" s="11"/>
      <c r="C2241" s="10"/>
      <c r="D2241" s="13"/>
      <c r="E2241" s="14"/>
      <c r="F2241" s="14"/>
      <c r="G2241" s="14"/>
      <c r="H2241" s="10"/>
      <c r="I2241" s="17"/>
      <c r="J2241" s="10"/>
      <c r="K2241" s="46"/>
      <c r="L2241" s="10"/>
      <c r="M2241" s="20"/>
      <c r="N2241" s="20"/>
      <c r="O2241" s="20"/>
      <c r="P2241" s="20"/>
    </row>
    <row r="2242">
      <c r="A2242" s="23"/>
      <c r="B2242" s="21"/>
      <c r="C2242" s="23"/>
      <c r="D2242" s="24"/>
      <c r="E2242" s="14"/>
      <c r="F2242" s="14"/>
      <c r="G2242" s="14"/>
      <c r="H2242" s="23"/>
      <c r="I2242" s="27"/>
      <c r="J2242" s="23"/>
      <c r="K2242" s="30"/>
      <c r="L2242" s="23"/>
      <c r="M2242" s="20"/>
      <c r="N2242" s="20"/>
      <c r="O2242" s="20"/>
      <c r="P2242" s="20"/>
    </row>
    <row r="2243">
      <c r="A2243" s="10"/>
      <c r="B2243" s="11"/>
      <c r="C2243" s="10"/>
      <c r="D2243" s="13"/>
      <c r="E2243" s="14"/>
      <c r="F2243" s="14"/>
      <c r="G2243" s="14"/>
      <c r="H2243" s="10"/>
      <c r="I2243" s="17"/>
      <c r="J2243" s="10"/>
      <c r="K2243" s="46"/>
      <c r="L2243" s="10"/>
      <c r="M2243" s="20"/>
      <c r="N2243" s="20"/>
      <c r="O2243" s="20"/>
      <c r="P2243" s="20"/>
    </row>
    <row r="2244">
      <c r="A2244" s="23"/>
      <c r="B2244" s="21"/>
      <c r="C2244" s="23"/>
      <c r="D2244" s="24"/>
      <c r="E2244" s="14"/>
      <c r="F2244" s="14"/>
      <c r="G2244" s="14"/>
      <c r="H2244" s="23"/>
      <c r="I2244" s="27"/>
      <c r="J2244" s="23"/>
      <c r="K2244" s="30"/>
      <c r="L2244" s="23"/>
      <c r="M2244" s="20"/>
      <c r="N2244" s="20"/>
      <c r="O2244" s="20"/>
      <c r="P2244" s="20"/>
    </row>
    <row r="2245">
      <c r="A2245" s="10"/>
      <c r="B2245" s="11"/>
      <c r="C2245" s="10"/>
      <c r="D2245" s="13"/>
      <c r="E2245" s="14"/>
      <c r="F2245" s="14"/>
      <c r="G2245" s="14"/>
      <c r="H2245" s="10"/>
      <c r="I2245" s="17"/>
      <c r="J2245" s="10"/>
      <c r="K2245" s="46"/>
      <c r="L2245" s="10"/>
      <c r="M2245" s="20"/>
      <c r="N2245" s="20"/>
      <c r="O2245" s="20"/>
      <c r="P2245" s="20"/>
    </row>
    <row r="2246">
      <c r="A2246" s="23"/>
      <c r="B2246" s="21"/>
      <c r="C2246" s="23"/>
      <c r="D2246" s="24"/>
      <c r="E2246" s="14"/>
      <c r="F2246" s="14"/>
      <c r="G2246" s="14"/>
      <c r="H2246" s="23"/>
      <c r="I2246" s="27"/>
      <c r="J2246" s="23"/>
      <c r="K2246" s="30"/>
      <c r="L2246" s="23"/>
      <c r="M2246" s="20"/>
      <c r="N2246" s="20"/>
      <c r="O2246" s="20"/>
      <c r="P2246" s="20"/>
    </row>
    <row r="2247">
      <c r="A2247" s="10"/>
      <c r="B2247" s="11"/>
      <c r="C2247" s="10"/>
      <c r="D2247" s="13"/>
      <c r="E2247" s="14"/>
      <c r="F2247" s="14"/>
      <c r="G2247" s="14"/>
      <c r="H2247" s="10"/>
      <c r="I2247" s="17"/>
      <c r="J2247" s="10"/>
      <c r="K2247" s="46"/>
      <c r="L2247" s="10"/>
      <c r="M2247" s="20"/>
      <c r="N2247" s="20"/>
      <c r="O2247" s="20"/>
      <c r="P2247" s="20"/>
    </row>
    <row r="2248">
      <c r="A2248" s="23"/>
      <c r="B2248" s="21"/>
      <c r="C2248" s="23"/>
      <c r="D2248" s="24"/>
      <c r="E2248" s="14"/>
      <c r="F2248" s="14"/>
      <c r="G2248" s="14"/>
      <c r="H2248" s="23"/>
      <c r="I2248" s="27"/>
      <c r="J2248" s="23"/>
      <c r="K2248" s="30"/>
      <c r="L2248" s="23"/>
      <c r="M2248" s="20"/>
      <c r="N2248" s="20"/>
      <c r="O2248" s="20"/>
      <c r="P2248" s="20"/>
    </row>
    <row r="2249">
      <c r="A2249" s="10"/>
      <c r="B2249" s="11"/>
      <c r="C2249" s="10"/>
      <c r="D2249" s="13"/>
      <c r="E2249" s="14"/>
      <c r="F2249" s="14"/>
      <c r="G2249" s="14"/>
      <c r="H2249" s="10"/>
      <c r="I2249" s="17"/>
      <c r="J2249" s="10"/>
      <c r="K2249" s="46"/>
      <c r="L2249" s="10"/>
      <c r="M2249" s="20"/>
      <c r="N2249" s="20"/>
      <c r="O2249" s="20"/>
      <c r="P2249" s="20"/>
    </row>
    <row r="2250">
      <c r="A2250" s="23"/>
      <c r="B2250" s="21"/>
      <c r="C2250" s="23"/>
      <c r="D2250" s="24"/>
      <c r="E2250" s="14"/>
      <c r="F2250" s="14"/>
      <c r="G2250" s="14"/>
      <c r="H2250" s="23"/>
      <c r="I2250" s="27"/>
      <c r="J2250" s="23"/>
      <c r="K2250" s="30"/>
      <c r="L2250" s="23"/>
      <c r="M2250" s="20"/>
      <c r="N2250" s="20"/>
      <c r="O2250" s="20"/>
      <c r="P2250" s="20"/>
    </row>
    <row r="2251">
      <c r="A2251" s="10"/>
      <c r="B2251" s="11"/>
      <c r="C2251" s="10"/>
      <c r="D2251" s="13"/>
      <c r="E2251" s="14"/>
      <c r="F2251" s="14"/>
      <c r="G2251" s="14"/>
      <c r="H2251" s="10"/>
      <c r="I2251" s="17"/>
      <c r="J2251" s="10"/>
      <c r="K2251" s="46"/>
      <c r="L2251" s="10"/>
      <c r="M2251" s="20"/>
      <c r="N2251" s="20"/>
      <c r="O2251" s="20"/>
      <c r="P2251" s="20"/>
    </row>
    <row r="2252">
      <c r="A2252" s="23"/>
      <c r="B2252" s="21"/>
      <c r="C2252" s="23"/>
      <c r="D2252" s="24"/>
      <c r="E2252" s="14"/>
      <c r="F2252" s="14"/>
      <c r="G2252" s="14"/>
      <c r="H2252" s="23"/>
      <c r="I2252" s="27"/>
      <c r="J2252" s="23"/>
      <c r="K2252" s="30"/>
      <c r="L2252" s="23"/>
      <c r="M2252" s="20"/>
      <c r="N2252" s="20"/>
      <c r="O2252" s="20"/>
      <c r="P2252" s="20"/>
    </row>
    <row r="2253">
      <c r="A2253" s="10"/>
      <c r="B2253" s="11"/>
      <c r="C2253" s="10"/>
      <c r="D2253" s="13"/>
      <c r="E2253" s="14"/>
      <c r="F2253" s="14"/>
      <c r="G2253" s="14"/>
      <c r="H2253" s="10"/>
      <c r="I2253" s="17"/>
      <c r="J2253" s="10"/>
      <c r="K2253" s="46"/>
      <c r="L2253" s="10"/>
      <c r="M2253" s="20"/>
      <c r="N2253" s="20"/>
      <c r="O2253" s="20"/>
      <c r="P2253" s="20"/>
    </row>
    <row r="2254">
      <c r="A2254" s="23"/>
      <c r="B2254" s="21"/>
      <c r="C2254" s="23"/>
      <c r="D2254" s="24"/>
      <c r="E2254" s="14"/>
      <c r="F2254" s="14"/>
      <c r="G2254" s="14"/>
      <c r="H2254" s="23"/>
      <c r="I2254" s="27"/>
      <c r="J2254" s="23"/>
      <c r="K2254" s="30"/>
      <c r="L2254" s="23"/>
      <c r="M2254" s="20"/>
      <c r="N2254" s="20"/>
      <c r="O2254" s="20"/>
      <c r="P2254" s="20"/>
    </row>
    <row r="2255">
      <c r="A2255" s="10"/>
      <c r="B2255" s="11"/>
      <c r="C2255" s="10"/>
      <c r="D2255" s="13"/>
      <c r="E2255" s="14"/>
      <c r="F2255" s="14"/>
      <c r="G2255" s="14"/>
      <c r="H2255" s="10"/>
      <c r="I2255" s="17"/>
      <c r="J2255" s="10"/>
      <c r="K2255" s="46"/>
      <c r="L2255" s="10"/>
      <c r="M2255" s="20"/>
      <c r="N2255" s="20"/>
      <c r="O2255" s="20"/>
      <c r="P2255" s="20"/>
    </row>
    <row r="2256">
      <c r="A2256" s="23"/>
      <c r="B2256" s="21"/>
      <c r="C2256" s="23"/>
      <c r="D2256" s="24"/>
      <c r="E2256" s="14"/>
      <c r="F2256" s="14"/>
      <c r="G2256" s="14"/>
      <c r="H2256" s="23"/>
      <c r="I2256" s="27"/>
      <c r="J2256" s="23"/>
      <c r="K2256" s="30"/>
      <c r="L2256" s="23"/>
      <c r="M2256" s="20"/>
      <c r="N2256" s="20"/>
      <c r="O2256" s="20"/>
      <c r="P2256" s="20"/>
    </row>
    <row r="2257">
      <c r="A2257" s="10"/>
      <c r="B2257" s="11"/>
      <c r="C2257" s="10"/>
      <c r="D2257" s="13"/>
      <c r="E2257" s="14"/>
      <c r="F2257" s="14"/>
      <c r="G2257" s="14"/>
      <c r="H2257" s="10"/>
      <c r="I2257" s="17"/>
      <c r="J2257" s="10"/>
      <c r="K2257" s="46"/>
      <c r="L2257" s="10"/>
      <c r="M2257" s="20"/>
      <c r="N2257" s="20"/>
      <c r="O2257" s="20"/>
      <c r="P2257" s="20"/>
    </row>
    <row r="2258">
      <c r="A2258" s="23"/>
      <c r="B2258" s="21"/>
      <c r="C2258" s="23"/>
      <c r="D2258" s="24"/>
      <c r="E2258" s="14"/>
      <c r="F2258" s="14"/>
      <c r="G2258" s="14"/>
      <c r="H2258" s="23"/>
      <c r="I2258" s="27"/>
      <c r="J2258" s="23"/>
      <c r="K2258" s="30"/>
      <c r="L2258" s="23"/>
      <c r="M2258" s="20"/>
      <c r="N2258" s="20"/>
      <c r="O2258" s="20"/>
      <c r="P2258" s="20"/>
    </row>
    <row r="2259">
      <c r="A2259" s="10"/>
      <c r="B2259" s="11"/>
      <c r="C2259" s="10"/>
      <c r="D2259" s="13"/>
      <c r="E2259" s="14"/>
      <c r="F2259" s="14"/>
      <c r="G2259" s="14"/>
      <c r="H2259" s="10"/>
      <c r="I2259" s="17"/>
      <c r="J2259" s="10"/>
      <c r="K2259" s="46"/>
      <c r="L2259" s="10"/>
      <c r="M2259" s="20"/>
      <c r="N2259" s="20"/>
      <c r="O2259" s="20"/>
      <c r="P2259" s="20"/>
    </row>
    <row r="2260">
      <c r="A2260" s="23"/>
      <c r="B2260" s="21"/>
      <c r="C2260" s="23"/>
      <c r="D2260" s="24"/>
      <c r="E2260" s="14"/>
      <c r="F2260" s="14"/>
      <c r="G2260" s="14"/>
      <c r="H2260" s="23"/>
      <c r="I2260" s="27"/>
      <c r="J2260" s="23"/>
      <c r="K2260" s="30"/>
      <c r="L2260" s="23"/>
      <c r="M2260" s="20"/>
      <c r="N2260" s="20"/>
      <c r="O2260" s="20"/>
      <c r="P2260" s="20"/>
    </row>
    <row r="2261">
      <c r="A2261" s="10"/>
      <c r="B2261" s="11"/>
      <c r="C2261" s="10"/>
      <c r="D2261" s="13"/>
      <c r="E2261" s="14"/>
      <c r="F2261" s="14"/>
      <c r="G2261" s="14"/>
      <c r="H2261" s="10"/>
      <c r="I2261" s="17"/>
      <c r="J2261" s="10"/>
      <c r="K2261" s="46"/>
      <c r="L2261" s="10"/>
      <c r="M2261" s="20"/>
      <c r="N2261" s="20"/>
      <c r="O2261" s="20"/>
      <c r="P2261" s="20"/>
    </row>
    <row r="2262">
      <c r="A2262" s="23"/>
      <c r="B2262" s="21"/>
      <c r="C2262" s="23"/>
      <c r="D2262" s="24"/>
      <c r="E2262" s="14"/>
      <c r="F2262" s="14"/>
      <c r="G2262" s="14"/>
      <c r="H2262" s="23"/>
      <c r="I2262" s="27"/>
      <c r="J2262" s="23"/>
      <c r="K2262" s="30"/>
      <c r="L2262" s="23"/>
      <c r="M2262" s="20"/>
      <c r="N2262" s="20"/>
      <c r="O2262" s="20"/>
      <c r="P2262" s="20"/>
    </row>
    <row r="2263">
      <c r="A2263" s="10"/>
      <c r="B2263" s="11"/>
      <c r="C2263" s="10"/>
      <c r="D2263" s="13"/>
      <c r="E2263" s="14"/>
      <c r="F2263" s="14"/>
      <c r="G2263" s="14"/>
      <c r="H2263" s="10"/>
      <c r="I2263" s="17"/>
      <c r="J2263" s="10"/>
      <c r="K2263" s="46"/>
      <c r="L2263" s="10"/>
      <c r="M2263" s="20"/>
      <c r="N2263" s="20"/>
      <c r="O2263" s="20"/>
      <c r="P2263" s="20"/>
    </row>
    <row r="2264">
      <c r="A2264" s="23"/>
      <c r="B2264" s="21"/>
      <c r="C2264" s="23"/>
      <c r="D2264" s="24"/>
      <c r="E2264" s="14"/>
      <c r="F2264" s="14"/>
      <c r="G2264" s="14"/>
      <c r="H2264" s="23"/>
      <c r="I2264" s="27"/>
      <c r="J2264" s="23"/>
      <c r="K2264" s="30"/>
      <c r="L2264" s="23"/>
      <c r="M2264" s="20"/>
      <c r="N2264" s="20"/>
      <c r="O2264" s="20"/>
      <c r="P2264" s="20"/>
    </row>
    <row r="2265">
      <c r="A2265" s="10"/>
      <c r="B2265" s="11"/>
      <c r="C2265" s="10"/>
      <c r="D2265" s="13"/>
      <c r="E2265" s="14"/>
      <c r="F2265" s="14"/>
      <c r="G2265" s="14"/>
      <c r="H2265" s="10"/>
      <c r="I2265" s="17"/>
      <c r="J2265" s="10"/>
      <c r="K2265" s="46"/>
      <c r="L2265" s="10"/>
      <c r="M2265" s="20"/>
      <c r="N2265" s="20"/>
      <c r="O2265" s="20"/>
      <c r="P2265" s="20"/>
    </row>
    <row r="2266">
      <c r="A2266" s="23"/>
      <c r="B2266" s="21"/>
      <c r="C2266" s="23"/>
      <c r="D2266" s="24"/>
      <c r="E2266" s="14"/>
      <c r="F2266" s="14"/>
      <c r="G2266" s="14"/>
      <c r="H2266" s="23"/>
      <c r="I2266" s="27"/>
      <c r="J2266" s="23"/>
      <c r="K2266" s="30"/>
      <c r="L2266" s="23"/>
      <c r="M2266" s="20"/>
      <c r="N2266" s="20"/>
      <c r="O2266" s="20"/>
      <c r="P2266" s="20"/>
    </row>
    <row r="2267">
      <c r="A2267" s="10"/>
      <c r="B2267" s="11"/>
      <c r="C2267" s="10"/>
      <c r="D2267" s="13"/>
      <c r="E2267" s="14"/>
      <c r="F2267" s="14"/>
      <c r="G2267" s="14"/>
      <c r="H2267" s="10"/>
      <c r="I2267" s="17"/>
      <c r="J2267" s="10"/>
      <c r="K2267" s="46"/>
      <c r="L2267" s="10"/>
      <c r="M2267" s="20"/>
      <c r="N2267" s="20"/>
      <c r="O2267" s="20"/>
      <c r="P2267" s="20"/>
    </row>
    <row r="2268">
      <c r="A2268" s="23"/>
      <c r="B2268" s="21"/>
      <c r="C2268" s="23"/>
      <c r="D2268" s="24"/>
      <c r="E2268" s="14"/>
      <c r="F2268" s="14"/>
      <c r="G2268" s="14"/>
      <c r="H2268" s="23"/>
      <c r="I2268" s="27"/>
      <c r="J2268" s="23"/>
      <c r="K2268" s="30"/>
      <c r="L2268" s="23"/>
      <c r="M2268" s="20"/>
      <c r="N2268" s="20"/>
      <c r="O2268" s="20"/>
      <c r="P2268" s="20"/>
    </row>
    <row r="2269">
      <c r="A2269" s="10"/>
      <c r="B2269" s="11"/>
      <c r="C2269" s="10"/>
      <c r="D2269" s="13"/>
      <c r="E2269" s="14"/>
      <c r="F2269" s="14"/>
      <c r="G2269" s="14"/>
      <c r="H2269" s="10"/>
      <c r="I2269" s="17"/>
      <c r="J2269" s="10"/>
      <c r="K2269" s="46"/>
      <c r="L2269" s="10"/>
      <c r="M2269" s="20"/>
      <c r="N2269" s="20"/>
      <c r="O2269" s="20"/>
      <c r="P2269" s="20"/>
    </row>
    <row r="2270">
      <c r="A2270" s="23"/>
      <c r="B2270" s="21"/>
      <c r="C2270" s="23"/>
      <c r="D2270" s="24"/>
      <c r="E2270" s="14"/>
      <c r="F2270" s="14"/>
      <c r="G2270" s="14"/>
      <c r="H2270" s="23"/>
      <c r="I2270" s="27"/>
      <c r="J2270" s="23"/>
      <c r="K2270" s="30"/>
      <c r="L2270" s="23"/>
      <c r="M2270" s="20"/>
      <c r="N2270" s="20"/>
      <c r="O2270" s="20"/>
      <c r="P2270" s="20"/>
    </row>
    <row r="2271">
      <c r="A2271" s="10"/>
      <c r="B2271" s="11"/>
      <c r="C2271" s="10"/>
      <c r="D2271" s="13"/>
      <c r="E2271" s="14"/>
      <c r="F2271" s="14"/>
      <c r="G2271" s="14"/>
      <c r="H2271" s="10"/>
      <c r="I2271" s="17"/>
      <c r="J2271" s="10"/>
      <c r="K2271" s="46"/>
      <c r="L2271" s="10"/>
      <c r="M2271" s="20"/>
      <c r="N2271" s="20"/>
      <c r="O2271" s="20"/>
      <c r="P2271" s="20"/>
    </row>
    <row r="2272">
      <c r="A2272" s="23"/>
      <c r="B2272" s="21"/>
      <c r="C2272" s="23"/>
      <c r="D2272" s="24"/>
      <c r="E2272" s="14"/>
      <c r="F2272" s="14"/>
      <c r="G2272" s="14"/>
      <c r="H2272" s="23"/>
      <c r="I2272" s="27"/>
      <c r="J2272" s="23"/>
      <c r="K2272" s="30"/>
      <c r="L2272" s="23"/>
      <c r="M2272" s="20"/>
      <c r="N2272" s="20"/>
      <c r="O2272" s="20"/>
      <c r="P2272" s="20"/>
    </row>
    <row r="2273">
      <c r="A2273" s="10"/>
      <c r="B2273" s="11"/>
      <c r="C2273" s="10"/>
      <c r="D2273" s="13"/>
      <c r="E2273" s="14"/>
      <c r="F2273" s="14"/>
      <c r="G2273" s="14"/>
      <c r="H2273" s="10"/>
      <c r="I2273" s="17"/>
      <c r="J2273" s="10"/>
      <c r="K2273" s="46"/>
      <c r="L2273" s="10"/>
      <c r="M2273" s="20"/>
      <c r="N2273" s="20"/>
      <c r="O2273" s="20"/>
      <c r="P2273" s="20"/>
    </row>
    <row r="2274">
      <c r="A2274" s="23"/>
      <c r="B2274" s="21"/>
      <c r="C2274" s="23"/>
      <c r="D2274" s="24"/>
      <c r="E2274" s="14"/>
      <c r="F2274" s="14"/>
      <c r="G2274" s="14"/>
      <c r="H2274" s="23"/>
      <c r="I2274" s="27"/>
      <c r="J2274" s="23"/>
      <c r="K2274" s="30"/>
      <c r="L2274" s="23"/>
      <c r="M2274" s="20"/>
      <c r="N2274" s="20"/>
      <c r="O2274" s="20"/>
      <c r="P2274" s="20"/>
    </row>
    <row r="2275">
      <c r="A2275" s="10"/>
      <c r="B2275" s="11"/>
      <c r="C2275" s="10"/>
      <c r="D2275" s="13"/>
      <c r="E2275" s="14"/>
      <c r="F2275" s="14"/>
      <c r="G2275" s="14"/>
      <c r="H2275" s="10"/>
      <c r="I2275" s="17"/>
      <c r="J2275" s="10"/>
      <c r="K2275" s="46"/>
      <c r="L2275" s="10"/>
      <c r="M2275" s="20"/>
      <c r="N2275" s="20"/>
      <c r="O2275" s="20"/>
      <c r="P2275" s="20"/>
    </row>
    <row r="2276">
      <c r="A2276" s="23"/>
      <c r="B2276" s="21"/>
      <c r="C2276" s="23"/>
      <c r="D2276" s="24"/>
      <c r="E2276" s="14"/>
      <c r="F2276" s="14"/>
      <c r="G2276" s="14"/>
      <c r="H2276" s="23"/>
      <c r="I2276" s="27"/>
      <c r="J2276" s="23"/>
      <c r="K2276" s="30"/>
      <c r="L2276" s="23"/>
      <c r="M2276" s="20"/>
      <c r="N2276" s="20"/>
      <c r="O2276" s="20"/>
      <c r="P2276" s="20"/>
    </row>
    <row r="2277">
      <c r="A2277" s="10"/>
      <c r="B2277" s="11"/>
      <c r="C2277" s="10"/>
      <c r="D2277" s="13"/>
      <c r="E2277" s="14"/>
      <c r="F2277" s="14"/>
      <c r="G2277" s="14"/>
      <c r="H2277" s="10"/>
      <c r="I2277" s="17"/>
      <c r="J2277" s="10"/>
      <c r="K2277" s="46"/>
      <c r="L2277" s="10"/>
      <c r="M2277" s="20"/>
      <c r="N2277" s="20"/>
      <c r="O2277" s="20"/>
      <c r="P2277" s="20"/>
    </row>
    <row r="2278">
      <c r="A2278" s="23"/>
      <c r="B2278" s="21"/>
      <c r="C2278" s="23"/>
      <c r="D2278" s="24"/>
      <c r="E2278" s="14"/>
      <c r="F2278" s="14"/>
      <c r="G2278" s="14"/>
      <c r="H2278" s="23"/>
      <c r="I2278" s="27"/>
      <c r="J2278" s="23"/>
      <c r="K2278" s="30"/>
      <c r="L2278" s="23"/>
      <c r="M2278" s="20"/>
      <c r="N2278" s="20"/>
      <c r="O2278" s="20"/>
      <c r="P2278" s="20"/>
    </row>
    <row r="2279">
      <c r="A2279" s="10"/>
      <c r="B2279" s="11"/>
      <c r="C2279" s="10"/>
      <c r="D2279" s="13"/>
      <c r="E2279" s="14"/>
      <c r="F2279" s="14"/>
      <c r="G2279" s="14"/>
      <c r="H2279" s="10"/>
      <c r="I2279" s="17"/>
      <c r="J2279" s="10"/>
      <c r="K2279" s="46"/>
      <c r="L2279" s="10"/>
      <c r="M2279" s="20"/>
      <c r="N2279" s="20"/>
      <c r="O2279" s="20"/>
      <c r="P2279" s="20"/>
    </row>
    <row r="2280">
      <c r="A2280" s="23"/>
      <c r="B2280" s="21"/>
      <c r="C2280" s="23"/>
      <c r="D2280" s="24"/>
      <c r="E2280" s="14"/>
      <c r="F2280" s="14"/>
      <c r="G2280" s="14"/>
      <c r="H2280" s="23"/>
      <c r="I2280" s="27"/>
      <c r="J2280" s="23"/>
      <c r="K2280" s="30"/>
      <c r="L2280" s="23"/>
      <c r="M2280" s="20"/>
      <c r="N2280" s="20"/>
      <c r="O2280" s="20"/>
      <c r="P2280" s="20"/>
    </row>
    <row r="2281">
      <c r="A2281" s="10"/>
      <c r="B2281" s="11"/>
      <c r="C2281" s="10"/>
      <c r="D2281" s="13"/>
      <c r="E2281" s="14"/>
      <c r="F2281" s="14"/>
      <c r="G2281" s="14"/>
      <c r="H2281" s="10"/>
      <c r="I2281" s="17"/>
      <c r="J2281" s="10"/>
      <c r="K2281" s="46"/>
      <c r="L2281" s="10"/>
      <c r="M2281" s="20"/>
      <c r="N2281" s="20"/>
      <c r="O2281" s="20"/>
      <c r="P2281" s="20"/>
    </row>
    <row r="2282">
      <c r="A2282" s="23"/>
      <c r="B2282" s="21"/>
      <c r="C2282" s="23"/>
      <c r="D2282" s="24"/>
      <c r="E2282" s="14"/>
      <c r="F2282" s="14"/>
      <c r="G2282" s="14"/>
      <c r="H2282" s="23"/>
      <c r="I2282" s="27"/>
      <c r="J2282" s="23"/>
      <c r="K2282" s="30"/>
      <c r="L2282" s="23"/>
      <c r="M2282" s="20"/>
      <c r="N2282" s="20"/>
      <c r="O2282" s="20"/>
      <c r="P2282" s="20"/>
    </row>
    <row r="2283">
      <c r="A2283" s="10"/>
      <c r="B2283" s="11"/>
      <c r="C2283" s="10"/>
      <c r="D2283" s="13"/>
      <c r="E2283" s="14"/>
      <c r="F2283" s="14"/>
      <c r="G2283" s="14"/>
      <c r="H2283" s="10"/>
      <c r="I2283" s="17"/>
      <c r="J2283" s="10"/>
      <c r="K2283" s="46"/>
      <c r="L2283" s="10"/>
      <c r="M2283" s="20"/>
      <c r="N2283" s="20"/>
      <c r="O2283" s="20"/>
      <c r="P2283" s="20"/>
    </row>
    <row r="2284">
      <c r="A2284" s="23"/>
      <c r="B2284" s="21"/>
      <c r="C2284" s="23"/>
      <c r="D2284" s="24"/>
      <c r="E2284" s="14"/>
      <c r="F2284" s="14"/>
      <c r="G2284" s="14"/>
      <c r="H2284" s="23"/>
      <c r="I2284" s="27"/>
      <c r="J2284" s="23"/>
      <c r="K2284" s="30"/>
      <c r="L2284" s="23"/>
      <c r="M2284" s="20"/>
      <c r="N2284" s="20"/>
      <c r="O2284" s="20"/>
      <c r="P2284" s="20"/>
    </row>
    <row r="2285">
      <c r="A2285" s="10"/>
      <c r="B2285" s="11"/>
      <c r="C2285" s="10"/>
      <c r="D2285" s="13"/>
      <c r="E2285" s="14"/>
      <c r="F2285" s="14"/>
      <c r="G2285" s="14"/>
      <c r="H2285" s="10"/>
      <c r="I2285" s="17"/>
      <c r="J2285" s="10"/>
      <c r="K2285" s="46"/>
      <c r="L2285" s="10"/>
      <c r="M2285" s="20"/>
      <c r="N2285" s="20"/>
      <c r="O2285" s="20"/>
      <c r="P2285" s="20"/>
    </row>
    <row r="2286">
      <c r="A2286" s="23"/>
      <c r="B2286" s="21"/>
      <c r="C2286" s="23"/>
      <c r="D2286" s="24"/>
      <c r="E2286" s="14"/>
      <c r="F2286" s="14"/>
      <c r="G2286" s="14"/>
      <c r="H2286" s="23"/>
      <c r="I2286" s="27"/>
      <c r="J2286" s="23"/>
      <c r="K2286" s="30"/>
      <c r="L2286" s="23"/>
      <c r="M2286" s="20"/>
      <c r="N2286" s="20"/>
      <c r="O2286" s="20"/>
      <c r="P2286" s="20"/>
    </row>
    <row r="2287">
      <c r="A2287" s="10"/>
      <c r="B2287" s="11"/>
      <c r="C2287" s="10"/>
      <c r="D2287" s="13"/>
      <c r="E2287" s="14"/>
      <c r="F2287" s="14"/>
      <c r="G2287" s="14"/>
      <c r="H2287" s="10"/>
      <c r="I2287" s="17"/>
      <c r="J2287" s="10"/>
      <c r="K2287" s="46"/>
      <c r="L2287" s="10"/>
      <c r="M2287" s="20"/>
      <c r="N2287" s="20"/>
      <c r="O2287" s="20"/>
      <c r="P2287" s="20"/>
    </row>
    <row r="2288">
      <c r="A2288" s="23"/>
      <c r="B2288" s="21"/>
      <c r="C2288" s="23"/>
      <c r="D2288" s="24"/>
      <c r="E2288" s="14"/>
      <c r="F2288" s="14"/>
      <c r="G2288" s="14"/>
      <c r="H2288" s="23"/>
      <c r="I2288" s="27"/>
      <c r="J2288" s="23"/>
      <c r="K2288" s="30"/>
      <c r="L2288" s="23"/>
      <c r="M2288" s="20"/>
      <c r="N2288" s="20"/>
      <c r="O2288" s="20"/>
      <c r="P2288" s="20"/>
    </row>
    <row r="2289">
      <c r="A2289" s="10"/>
      <c r="B2289" s="11"/>
      <c r="C2289" s="10"/>
      <c r="D2289" s="13"/>
      <c r="E2289" s="14"/>
      <c r="F2289" s="14"/>
      <c r="G2289" s="14"/>
      <c r="H2289" s="10"/>
      <c r="I2289" s="17"/>
      <c r="J2289" s="10"/>
      <c r="K2289" s="46"/>
      <c r="L2289" s="10"/>
      <c r="M2289" s="20"/>
      <c r="N2289" s="20"/>
      <c r="O2289" s="20"/>
      <c r="P2289" s="20"/>
    </row>
    <row r="2290">
      <c r="A2290" s="23"/>
      <c r="B2290" s="21"/>
      <c r="C2290" s="23"/>
      <c r="D2290" s="24"/>
      <c r="E2290" s="14"/>
      <c r="F2290" s="14"/>
      <c r="G2290" s="14"/>
      <c r="H2290" s="23"/>
      <c r="I2290" s="27"/>
      <c r="J2290" s="23"/>
      <c r="K2290" s="30"/>
      <c r="L2290" s="23"/>
      <c r="M2290" s="20"/>
      <c r="N2290" s="20"/>
      <c r="O2290" s="20"/>
      <c r="P2290" s="20"/>
    </row>
    <row r="2291">
      <c r="A2291" s="10"/>
      <c r="B2291" s="11"/>
      <c r="C2291" s="10"/>
      <c r="D2291" s="13"/>
      <c r="E2291" s="14"/>
      <c r="F2291" s="14"/>
      <c r="G2291" s="14"/>
      <c r="H2291" s="10"/>
      <c r="I2291" s="17"/>
      <c r="J2291" s="10"/>
      <c r="K2291" s="46"/>
      <c r="L2291" s="10"/>
      <c r="M2291" s="20"/>
      <c r="N2291" s="20"/>
      <c r="O2291" s="20"/>
      <c r="P2291" s="20"/>
    </row>
    <row r="2292">
      <c r="A2292" s="23"/>
      <c r="B2292" s="21"/>
      <c r="C2292" s="23"/>
      <c r="D2292" s="24"/>
      <c r="E2292" s="14"/>
      <c r="F2292" s="14"/>
      <c r="G2292" s="14"/>
      <c r="H2292" s="23"/>
      <c r="I2292" s="27"/>
      <c r="J2292" s="23"/>
      <c r="K2292" s="30"/>
      <c r="L2292" s="23"/>
      <c r="M2292" s="20"/>
      <c r="N2292" s="20"/>
      <c r="O2292" s="20"/>
      <c r="P2292" s="20"/>
    </row>
    <row r="2293">
      <c r="A2293" s="10"/>
      <c r="B2293" s="11"/>
      <c r="C2293" s="10"/>
      <c r="D2293" s="13"/>
      <c r="E2293" s="14"/>
      <c r="F2293" s="14"/>
      <c r="G2293" s="14"/>
      <c r="H2293" s="10"/>
      <c r="I2293" s="17"/>
      <c r="J2293" s="10"/>
      <c r="K2293" s="46"/>
      <c r="L2293" s="10"/>
      <c r="M2293" s="20"/>
      <c r="N2293" s="20"/>
      <c r="O2293" s="20"/>
      <c r="P2293" s="20"/>
    </row>
    <row r="2294">
      <c r="A2294" s="23"/>
      <c r="B2294" s="21"/>
      <c r="C2294" s="23"/>
      <c r="D2294" s="24"/>
      <c r="E2294" s="14"/>
      <c r="F2294" s="14"/>
      <c r="G2294" s="14"/>
      <c r="H2294" s="23"/>
      <c r="I2294" s="27"/>
      <c r="J2294" s="23"/>
      <c r="K2294" s="30"/>
      <c r="L2294" s="23"/>
      <c r="M2294" s="20"/>
      <c r="N2294" s="20"/>
      <c r="O2294" s="20"/>
      <c r="P2294" s="20"/>
    </row>
    <row r="2295">
      <c r="A2295" s="10"/>
      <c r="B2295" s="11"/>
      <c r="C2295" s="10"/>
      <c r="D2295" s="13"/>
      <c r="E2295" s="14"/>
      <c r="F2295" s="14"/>
      <c r="G2295" s="14"/>
      <c r="H2295" s="10"/>
      <c r="I2295" s="17"/>
      <c r="J2295" s="10"/>
      <c r="K2295" s="46"/>
      <c r="L2295" s="10"/>
      <c r="M2295" s="20"/>
      <c r="N2295" s="20"/>
      <c r="O2295" s="20"/>
      <c r="P2295" s="20"/>
    </row>
    <row r="2296">
      <c r="A2296" s="23"/>
      <c r="B2296" s="21"/>
      <c r="C2296" s="23"/>
      <c r="D2296" s="24"/>
      <c r="E2296" s="14"/>
      <c r="F2296" s="14"/>
      <c r="G2296" s="14"/>
      <c r="H2296" s="23"/>
      <c r="I2296" s="27"/>
      <c r="J2296" s="23"/>
      <c r="K2296" s="30"/>
      <c r="L2296" s="23"/>
      <c r="M2296" s="20"/>
      <c r="N2296" s="20"/>
      <c r="O2296" s="20"/>
      <c r="P2296" s="20"/>
    </row>
    <row r="2297">
      <c r="A2297" s="10"/>
      <c r="B2297" s="11"/>
      <c r="C2297" s="10"/>
      <c r="D2297" s="13"/>
      <c r="E2297" s="14"/>
      <c r="F2297" s="14"/>
      <c r="G2297" s="14"/>
      <c r="H2297" s="10"/>
      <c r="I2297" s="17"/>
      <c r="J2297" s="10"/>
      <c r="K2297" s="46"/>
      <c r="L2297" s="10"/>
      <c r="M2297" s="20"/>
      <c r="N2297" s="20"/>
      <c r="O2297" s="20"/>
      <c r="P2297" s="20"/>
    </row>
    <row r="2298">
      <c r="A2298" s="23"/>
      <c r="B2298" s="21"/>
      <c r="C2298" s="23"/>
      <c r="D2298" s="24"/>
      <c r="E2298" s="14"/>
      <c r="F2298" s="14"/>
      <c r="G2298" s="14"/>
      <c r="H2298" s="23"/>
      <c r="I2298" s="27"/>
      <c r="J2298" s="23"/>
      <c r="K2298" s="30"/>
      <c r="L2298" s="23"/>
      <c r="M2298" s="20"/>
      <c r="N2298" s="20"/>
      <c r="O2298" s="20"/>
      <c r="P2298" s="20"/>
    </row>
    <row r="2299">
      <c r="A2299" s="10"/>
      <c r="B2299" s="11"/>
      <c r="C2299" s="10"/>
      <c r="D2299" s="13"/>
      <c r="E2299" s="14"/>
      <c r="F2299" s="14"/>
      <c r="G2299" s="14"/>
      <c r="H2299" s="10"/>
      <c r="I2299" s="17"/>
      <c r="J2299" s="10"/>
      <c r="K2299" s="46"/>
      <c r="L2299" s="10"/>
      <c r="M2299" s="20"/>
      <c r="N2299" s="20"/>
      <c r="O2299" s="20"/>
      <c r="P2299" s="20"/>
    </row>
    <row r="2300">
      <c r="A2300" s="23"/>
      <c r="B2300" s="21"/>
      <c r="C2300" s="23"/>
      <c r="D2300" s="24"/>
      <c r="E2300" s="14"/>
      <c r="F2300" s="14"/>
      <c r="G2300" s="14"/>
      <c r="H2300" s="23"/>
      <c r="I2300" s="27"/>
      <c r="J2300" s="23"/>
      <c r="K2300" s="30"/>
      <c r="L2300" s="23"/>
      <c r="M2300" s="20"/>
      <c r="N2300" s="20"/>
      <c r="O2300" s="20"/>
      <c r="P2300" s="20"/>
    </row>
    <row r="2301">
      <c r="A2301" s="10"/>
      <c r="B2301" s="11"/>
      <c r="C2301" s="10"/>
      <c r="D2301" s="13"/>
      <c r="E2301" s="14"/>
      <c r="F2301" s="14"/>
      <c r="G2301" s="14"/>
      <c r="H2301" s="10"/>
      <c r="I2301" s="17"/>
      <c r="J2301" s="10"/>
      <c r="K2301" s="46"/>
      <c r="L2301" s="10"/>
      <c r="M2301" s="20"/>
      <c r="N2301" s="20"/>
      <c r="O2301" s="20"/>
      <c r="P2301" s="20"/>
    </row>
    <row r="2302">
      <c r="A2302" s="23"/>
      <c r="B2302" s="21"/>
      <c r="C2302" s="23"/>
      <c r="D2302" s="24"/>
      <c r="E2302" s="14"/>
      <c r="F2302" s="14"/>
      <c r="G2302" s="14"/>
      <c r="H2302" s="23"/>
      <c r="I2302" s="27"/>
      <c r="J2302" s="23"/>
      <c r="K2302" s="30"/>
      <c r="L2302" s="23"/>
      <c r="M2302" s="20"/>
      <c r="N2302" s="20"/>
      <c r="O2302" s="20"/>
      <c r="P2302" s="20"/>
    </row>
    <row r="2303">
      <c r="A2303" s="10"/>
      <c r="B2303" s="11"/>
      <c r="C2303" s="10"/>
      <c r="D2303" s="13"/>
      <c r="E2303" s="14"/>
      <c r="F2303" s="14"/>
      <c r="G2303" s="14"/>
      <c r="H2303" s="10"/>
      <c r="I2303" s="17"/>
      <c r="J2303" s="10"/>
      <c r="K2303" s="46"/>
      <c r="L2303" s="10"/>
      <c r="M2303" s="20"/>
      <c r="N2303" s="20"/>
      <c r="O2303" s="20"/>
      <c r="P2303" s="20"/>
    </row>
    <row r="2304">
      <c r="A2304" s="23"/>
      <c r="B2304" s="21"/>
      <c r="C2304" s="23"/>
      <c r="D2304" s="24"/>
      <c r="E2304" s="14"/>
      <c r="F2304" s="14"/>
      <c r="G2304" s="14"/>
      <c r="H2304" s="23"/>
      <c r="I2304" s="27"/>
      <c r="J2304" s="23"/>
      <c r="K2304" s="30"/>
      <c r="L2304" s="23"/>
      <c r="M2304" s="20"/>
      <c r="N2304" s="20"/>
      <c r="O2304" s="20"/>
      <c r="P2304" s="20"/>
    </row>
    <row r="2305">
      <c r="A2305" s="10"/>
      <c r="B2305" s="11"/>
      <c r="C2305" s="10"/>
      <c r="D2305" s="13"/>
      <c r="E2305" s="14"/>
      <c r="F2305" s="14"/>
      <c r="G2305" s="14"/>
      <c r="H2305" s="10"/>
      <c r="I2305" s="17"/>
      <c r="J2305" s="10"/>
      <c r="K2305" s="46"/>
      <c r="L2305" s="10"/>
      <c r="M2305" s="20"/>
      <c r="N2305" s="20"/>
      <c r="O2305" s="20"/>
      <c r="P2305" s="20"/>
    </row>
    <row r="2306">
      <c r="A2306" s="23"/>
      <c r="B2306" s="21"/>
      <c r="C2306" s="23"/>
      <c r="D2306" s="24"/>
      <c r="E2306" s="14"/>
      <c r="F2306" s="14"/>
      <c r="G2306" s="14"/>
      <c r="H2306" s="23"/>
      <c r="I2306" s="27"/>
      <c r="J2306" s="23"/>
      <c r="K2306" s="30"/>
      <c r="L2306" s="23"/>
      <c r="M2306" s="20"/>
      <c r="N2306" s="20"/>
      <c r="O2306" s="20"/>
      <c r="P2306" s="20"/>
    </row>
    <row r="2307">
      <c r="A2307" s="10"/>
      <c r="B2307" s="11"/>
      <c r="C2307" s="10"/>
      <c r="D2307" s="13"/>
      <c r="E2307" s="14"/>
      <c r="F2307" s="14"/>
      <c r="G2307" s="14"/>
      <c r="H2307" s="10"/>
      <c r="I2307" s="17"/>
      <c r="J2307" s="10"/>
      <c r="K2307" s="46"/>
      <c r="L2307" s="10"/>
      <c r="M2307" s="20"/>
      <c r="N2307" s="20"/>
      <c r="O2307" s="20"/>
      <c r="P2307" s="20"/>
    </row>
    <row r="2308">
      <c r="A2308" s="23"/>
      <c r="B2308" s="21"/>
      <c r="C2308" s="23"/>
      <c r="D2308" s="24"/>
      <c r="E2308" s="14"/>
      <c r="F2308" s="14"/>
      <c r="G2308" s="14"/>
      <c r="H2308" s="23"/>
      <c r="I2308" s="27"/>
      <c r="J2308" s="23"/>
      <c r="K2308" s="30"/>
      <c r="L2308" s="23"/>
      <c r="M2308" s="20"/>
      <c r="N2308" s="20"/>
      <c r="O2308" s="20"/>
      <c r="P2308" s="20"/>
    </row>
    <row r="2309">
      <c r="A2309" s="10"/>
      <c r="B2309" s="11"/>
      <c r="C2309" s="10"/>
      <c r="D2309" s="13"/>
      <c r="E2309" s="14"/>
      <c r="F2309" s="14"/>
      <c r="G2309" s="14"/>
      <c r="H2309" s="10"/>
      <c r="I2309" s="17"/>
      <c r="J2309" s="10"/>
      <c r="K2309" s="46"/>
      <c r="L2309" s="10"/>
      <c r="M2309" s="20"/>
      <c r="N2309" s="20"/>
      <c r="O2309" s="20"/>
      <c r="P2309" s="20"/>
    </row>
    <row r="2310">
      <c r="A2310" s="23"/>
      <c r="B2310" s="21"/>
      <c r="C2310" s="23"/>
      <c r="D2310" s="24"/>
      <c r="E2310" s="14"/>
      <c r="F2310" s="14"/>
      <c r="G2310" s="14"/>
      <c r="H2310" s="23"/>
      <c r="I2310" s="27"/>
      <c r="J2310" s="23"/>
      <c r="K2310" s="30"/>
      <c r="L2310" s="23"/>
      <c r="M2310" s="20"/>
      <c r="N2310" s="20"/>
      <c r="O2310" s="20"/>
      <c r="P2310" s="20"/>
    </row>
    <row r="2311">
      <c r="A2311" s="10"/>
      <c r="B2311" s="11"/>
      <c r="C2311" s="10"/>
      <c r="D2311" s="13"/>
      <c r="E2311" s="14"/>
      <c r="F2311" s="14"/>
      <c r="G2311" s="14"/>
      <c r="H2311" s="10"/>
      <c r="I2311" s="17"/>
      <c r="J2311" s="10"/>
      <c r="K2311" s="46"/>
      <c r="L2311" s="10"/>
      <c r="M2311" s="20"/>
      <c r="N2311" s="20"/>
      <c r="O2311" s="20"/>
      <c r="P2311" s="20"/>
    </row>
    <row r="2312">
      <c r="A2312" s="23"/>
      <c r="B2312" s="21"/>
      <c r="C2312" s="23"/>
      <c r="D2312" s="24"/>
      <c r="E2312" s="14"/>
      <c r="F2312" s="14"/>
      <c r="G2312" s="14"/>
      <c r="H2312" s="23"/>
      <c r="I2312" s="27"/>
      <c r="J2312" s="23"/>
      <c r="K2312" s="30"/>
      <c r="L2312" s="23"/>
      <c r="M2312" s="20"/>
      <c r="N2312" s="20"/>
      <c r="O2312" s="20"/>
      <c r="P2312" s="20"/>
    </row>
    <row r="2313">
      <c r="A2313" s="10"/>
      <c r="B2313" s="11"/>
      <c r="C2313" s="10"/>
      <c r="D2313" s="13"/>
      <c r="E2313" s="14"/>
      <c r="F2313" s="14"/>
      <c r="G2313" s="14"/>
      <c r="H2313" s="10"/>
      <c r="I2313" s="17"/>
      <c r="J2313" s="10"/>
      <c r="K2313" s="46"/>
      <c r="L2313" s="10"/>
      <c r="M2313" s="20"/>
      <c r="N2313" s="20"/>
      <c r="O2313" s="20"/>
      <c r="P2313" s="20"/>
    </row>
    <row r="2314">
      <c r="A2314" s="23"/>
      <c r="B2314" s="21"/>
      <c r="C2314" s="23"/>
      <c r="D2314" s="24"/>
      <c r="E2314" s="14"/>
      <c r="F2314" s="14"/>
      <c r="G2314" s="14"/>
      <c r="H2314" s="23"/>
      <c r="I2314" s="27"/>
      <c r="J2314" s="23"/>
      <c r="K2314" s="30"/>
      <c r="L2314" s="23"/>
      <c r="M2314" s="20"/>
      <c r="N2314" s="20"/>
      <c r="O2314" s="20"/>
      <c r="P2314" s="20"/>
    </row>
    <row r="2315">
      <c r="A2315" s="10"/>
      <c r="B2315" s="11"/>
      <c r="C2315" s="10"/>
      <c r="D2315" s="13"/>
      <c r="E2315" s="14"/>
      <c r="F2315" s="14"/>
      <c r="G2315" s="14"/>
      <c r="H2315" s="10"/>
      <c r="I2315" s="17"/>
      <c r="J2315" s="10"/>
      <c r="K2315" s="46"/>
      <c r="L2315" s="10"/>
      <c r="M2315" s="20"/>
      <c r="N2315" s="20"/>
      <c r="O2315" s="20"/>
      <c r="P2315" s="20"/>
    </row>
    <row r="2316">
      <c r="A2316" s="23"/>
      <c r="B2316" s="21"/>
      <c r="C2316" s="23"/>
      <c r="D2316" s="24"/>
      <c r="E2316" s="14"/>
      <c r="F2316" s="14"/>
      <c r="G2316" s="14"/>
      <c r="H2316" s="23"/>
      <c r="I2316" s="27"/>
      <c r="J2316" s="23"/>
      <c r="K2316" s="30"/>
      <c r="L2316" s="23"/>
      <c r="M2316" s="20"/>
      <c r="N2316" s="20"/>
      <c r="O2316" s="20"/>
      <c r="P2316" s="20"/>
    </row>
    <row r="2317">
      <c r="A2317" s="10"/>
      <c r="B2317" s="11"/>
      <c r="C2317" s="10"/>
      <c r="D2317" s="13"/>
      <c r="E2317" s="14"/>
      <c r="F2317" s="14"/>
      <c r="G2317" s="14"/>
      <c r="H2317" s="10"/>
      <c r="I2317" s="17"/>
      <c r="J2317" s="10"/>
      <c r="K2317" s="46"/>
      <c r="L2317" s="10"/>
      <c r="M2317" s="20"/>
      <c r="N2317" s="20"/>
      <c r="O2317" s="20"/>
      <c r="P2317" s="20"/>
    </row>
    <row r="2318">
      <c r="A2318" s="23"/>
      <c r="B2318" s="21"/>
      <c r="C2318" s="23"/>
      <c r="D2318" s="24"/>
      <c r="E2318" s="14"/>
      <c r="F2318" s="14"/>
      <c r="G2318" s="14"/>
      <c r="H2318" s="23"/>
      <c r="I2318" s="27"/>
      <c r="J2318" s="23"/>
      <c r="K2318" s="30"/>
      <c r="L2318" s="23"/>
      <c r="M2318" s="20"/>
      <c r="N2318" s="20"/>
      <c r="O2318" s="20"/>
      <c r="P2318" s="20"/>
    </row>
    <row r="2319">
      <c r="A2319" s="10"/>
      <c r="B2319" s="11"/>
      <c r="C2319" s="10"/>
      <c r="D2319" s="13"/>
      <c r="E2319" s="14"/>
      <c r="F2319" s="14"/>
      <c r="G2319" s="14"/>
      <c r="H2319" s="10"/>
      <c r="I2319" s="17"/>
      <c r="J2319" s="10"/>
      <c r="K2319" s="46"/>
      <c r="L2319" s="10"/>
      <c r="M2319" s="20"/>
      <c r="N2319" s="20"/>
      <c r="O2319" s="20"/>
      <c r="P2319" s="20"/>
    </row>
    <row r="2320">
      <c r="A2320" s="23"/>
      <c r="B2320" s="21"/>
      <c r="C2320" s="23"/>
      <c r="D2320" s="24"/>
      <c r="E2320" s="14"/>
      <c r="F2320" s="14"/>
      <c r="G2320" s="14"/>
      <c r="H2320" s="23"/>
      <c r="I2320" s="27"/>
      <c r="J2320" s="23"/>
      <c r="K2320" s="30"/>
      <c r="L2320" s="23"/>
      <c r="M2320" s="20"/>
      <c r="N2320" s="20"/>
      <c r="O2320" s="20"/>
      <c r="P2320" s="20"/>
    </row>
    <row r="2321">
      <c r="A2321" s="10"/>
      <c r="B2321" s="11"/>
      <c r="C2321" s="10"/>
      <c r="D2321" s="13"/>
      <c r="E2321" s="14"/>
      <c r="F2321" s="14"/>
      <c r="G2321" s="14"/>
      <c r="H2321" s="10"/>
      <c r="I2321" s="17"/>
      <c r="J2321" s="10"/>
      <c r="K2321" s="46"/>
      <c r="L2321" s="10"/>
      <c r="M2321" s="20"/>
      <c r="N2321" s="20"/>
      <c r="O2321" s="20"/>
      <c r="P2321" s="20"/>
    </row>
    <row r="2322">
      <c r="A2322" s="23"/>
      <c r="B2322" s="21"/>
      <c r="C2322" s="23"/>
      <c r="D2322" s="24"/>
      <c r="E2322" s="14"/>
      <c r="F2322" s="14"/>
      <c r="G2322" s="14"/>
      <c r="H2322" s="23"/>
      <c r="I2322" s="27"/>
      <c r="J2322" s="23"/>
      <c r="K2322" s="30"/>
      <c r="L2322" s="23"/>
      <c r="M2322" s="20"/>
      <c r="N2322" s="20"/>
      <c r="O2322" s="20"/>
      <c r="P2322" s="20"/>
    </row>
    <row r="2323">
      <c r="A2323" s="10"/>
      <c r="B2323" s="11"/>
      <c r="C2323" s="10"/>
      <c r="D2323" s="13"/>
      <c r="E2323" s="14"/>
      <c r="F2323" s="14"/>
      <c r="G2323" s="14"/>
      <c r="H2323" s="10"/>
      <c r="I2323" s="17"/>
      <c r="J2323" s="10"/>
      <c r="K2323" s="46"/>
      <c r="L2323" s="10"/>
      <c r="M2323" s="20"/>
      <c r="N2323" s="20"/>
      <c r="O2323" s="20"/>
      <c r="P2323" s="20"/>
    </row>
    <row r="2324">
      <c r="A2324" s="23"/>
      <c r="B2324" s="21"/>
      <c r="C2324" s="23"/>
      <c r="D2324" s="24"/>
      <c r="E2324" s="14"/>
      <c r="F2324" s="14"/>
      <c r="G2324" s="14"/>
      <c r="H2324" s="23"/>
      <c r="I2324" s="27"/>
      <c r="J2324" s="23"/>
      <c r="K2324" s="30"/>
      <c r="L2324" s="23"/>
      <c r="M2324" s="20"/>
      <c r="N2324" s="20"/>
      <c r="O2324" s="20"/>
      <c r="P2324" s="20"/>
    </row>
    <row r="2325">
      <c r="A2325" s="10"/>
      <c r="B2325" s="11"/>
      <c r="C2325" s="10"/>
      <c r="D2325" s="13"/>
      <c r="E2325" s="14"/>
      <c r="F2325" s="14"/>
      <c r="G2325" s="14"/>
      <c r="H2325" s="10"/>
      <c r="I2325" s="17"/>
      <c r="J2325" s="10"/>
      <c r="K2325" s="46"/>
      <c r="L2325" s="10"/>
      <c r="M2325" s="20"/>
      <c r="N2325" s="20"/>
      <c r="O2325" s="20"/>
      <c r="P2325" s="20"/>
    </row>
    <row r="2326">
      <c r="A2326" s="23"/>
      <c r="B2326" s="21"/>
      <c r="C2326" s="23"/>
      <c r="D2326" s="24"/>
      <c r="E2326" s="14"/>
      <c r="F2326" s="14"/>
      <c r="G2326" s="14"/>
      <c r="H2326" s="23"/>
      <c r="I2326" s="27"/>
      <c r="J2326" s="23"/>
      <c r="K2326" s="30"/>
      <c r="L2326" s="23"/>
      <c r="M2326" s="20"/>
      <c r="N2326" s="20"/>
      <c r="O2326" s="20"/>
      <c r="P2326" s="20"/>
    </row>
    <row r="2327">
      <c r="A2327" s="10"/>
      <c r="B2327" s="11"/>
      <c r="C2327" s="10"/>
      <c r="D2327" s="13"/>
      <c r="E2327" s="14"/>
      <c r="F2327" s="14"/>
      <c r="G2327" s="14"/>
      <c r="H2327" s="10"/>
      <c r="I2327" s="17"/>
      <c r="J2327" s="10"/>
      <c r="K2327" s="46"/>
      <c r="L2327" s="10"/>
      <c r="M2327" s="20"/>
      <c r="N2327" s="20"/>
      <c r="O2327" s="20"/>
      <c r="P2327" s="20"/>
    </row>
    <row r="2328">
      <c r="A2328" s="23"/>
      <c r="B2328" s="21"/>
      <c r="C2328" s="23"/>
      <c r="D2328" s="24"/>
      <c r="E2328" s="14"/>
      <c r="F2328" s="14"/>
      <c r="G2328" s="14"/>
      <c r="H2328" s="23"/>
      <c r="I2328" s="27"/>
      <c r="J2328" s="23"/>
      <c r="K2328" s="30"/>
      <c r="L2328" s="23"/>
      <c r="M2328" s="20"/>
      <c r="N2328" s="20"/>
      <c r="O2328" s="20"/>
      <c r="P2328" s="20"/>
    </row>
    <row r="2329">
      <c r="A2329" s="10"/>
      <c r="B2329" s="11"/>
      <c r="C2329" s="10"/>
      <c r="D2329" s="13"/>
      <c r="E2329" s="14"/>
      <c r="F2329" s="14"/>
      <c r="G2329" s="14"/>
      <c r="H2329" s="10"/>
      <c r="I2329" s="17"/>
      <c r="J2329" s="10"/>
      <c r="K2329" s="46"/>
      <c r="L2329" s="10"/>
      <c r="M2329" s="20"/>
      <c r="N2329" s="20"/>
      <c r="O2329" s="20"/>
      <c r="P2329" s="20"/>
    </row>
    <row r="2330">
      <c r="A2330" s="23"/>
      <c r="B2330" s="21"/>
      <c r="C2330" s="23"/>
      <c r="D2330" s="24"/>
      <c r="E2330" s="14"/>
      <c r="F2330" s="14"/>
      <c r="G2330" s="14"/>
      <c r="H2330" s="23"/>
      <c r="I2330" s="27"/>
      <c r="J2330" s="23"/>
      <c r="K2330" s="30"/>
      <c r="L2330" s="23"/>
      <c r="M2330" s="20"/>
      <c r="N2330" s="20"/>
      <c r="O2330" s="20"/>
      <c r="P2330" s="20"/>
    </row>
    <row r="2331">
      <c r="A2331" s="10"/>
      <c r="B2331" s="11"/>
      <c r="C2331" s="10"/>
      <c r="D2331" s="13"/>
      <c r="E2331" s="14"/>
      <c r="F2331" s="14"/>
      <c r="G2331" s="14"/>
      <c r="H2331" s="10"/>
      <c r="I2331" s="17"/>
      <c r="J2331" s="10"/>
      <c r="K2331" s="46"/>
      <c r="L2331" s="10"/>
      <c r="M2331" s="20"/>
      <c r="N2331" s="20"/>
      <c r="O2331" s="20"/>
      <c r="P2331" s="20"/>
    </row>
    <row r="2332">
      <c r="A2332" s="23"/>
      <c r="B2332" s="21"/>
      <c r="C2332" s="23"/>
      <c r="D2332" s="24"/>
      <c r="E2332" s="14"/>
      <c r="F2332" s="14"/>
      <c r="G2332" s="14"/>
      <c r="H2332" s="23"/>
      <c r="I2332" s="27"/>
      <c r="J2332" s="23"/>
      <c r="K2332" s="30"/>
      <c r="L2332" s="23"/>
      <c r="M2332" s="20"/>
      <c r="N2332" s="20"/>
      <c r="O2332" s="20"/>
      <c r="P2332" s="20"/>
    </row>
    <row r="2333">
      <c r="A2333" s="10"/>
      <c r="B2333" s="11"/>
      <c r="C2333" s="10"/>
      <c r="D2333" s="13"/>
      <c r="E2333" s="14"/>
      <c r="F2333" s="14"/>
      <c r="G2333" s="14"/>
      <c r="H2333" s="10"/>
      <c r="I2333" s="17"/>
      <c r="J2333" s="10"/>
      <c r="K2333" s="46"/>
      <c r="L2333" s="10"/>
      <c r="M2333" s="20"/>
      <c r="N2333" s="20"/>
      <c r="O2333" s="20"/>
      <c r="P2333" s="20"/>
    </row>
    <row r="2334">
      <c r="A2334" s="23"/>
      <c r="B2334" s="21"/>
      <c r="C2334" s="23"/>
      <c r="D2334" s="24"/>
      <c r="E2334" s="14"/>
      <c r="F2334" s="14"/>
      <c r="G2334" s="14"/>
      <c r="H2334" s="23"/>
      <c r="I2334" s="27"/>
      <c r="J2334" s="23"/>
      <c r="K2334" s="30"/>
      <c r="L2334" s="23"/>
      <c r="M2334" s="20"/>
      <c r="N2334" s="20"/>
      <c r="O2334" s="20"/>
      <c r="P2334" s="20"/>
    </row>
    <row r="2335">
      <c r="A2335" s="10"/>
      <c r="B2335" s="11"/>
      <c r="C2335" s="10"/>
      <c r="D2335" s="13"/>
      <c r="E2335" s="14"/>
      <c r="F2335" s="14"/>
      <c r="G2335" s="14"/>
      <c r="H2335" s="10"/>
      <c r="I2335" s="17"/>
      <c r="J2335" s="10"/>
      <c r="K2335" s="46"/>
      <c r="L2335" s="10"/>
      <c r="M2335" s="20"/>
      <c r="N2335" s="20"/>
      <c r="O2335" s="20"/>
      <c r="P2335" s="20"/>
    </row>
    <row r="2336">
      <c r="A2336" s="23"/>
      <c r="B2336" s="21"/>
      <c r="C2336" s="23"/>
      <c r="D2336" s="24"/>
      <c r="E2336" s="14"/>
      <c r="F2336" s="14"/>
      <c r="G2336" s="14"/>
      <c r="H2336" s="23"/>
      <c r="I2336" s="27"/>
      <c r="J2336" s="23"/>
      <c r="K2336" s="30"/>
      <c r="L2336" s="23"/>
      <c r="M2336" s="20"/>
      <c r="N2336" s="20"/>
      <c r="O2336" s="20"/>
      <c r="P2336" s="20"/>
    </row>
    <row r="2337">
      <c r="A2337" s="10"/>
      <c r="B2337" s="11"/>
      <c r="C2337" s="10"/>
      <c r="D2337" s="13"/>
      <c r="E2337" s="14"/>
      <c r="F2337" s="14"/>
      <c r="G2337" s="14"/>
      <c r="H2337" s="10"/>
      <c r="I2337" s="17"/>
      <c r="J2337" s="10"/>
      <c r="K2337" s="46"/>
      <c r="L2337" s="10"/>
      <c r="M2337" s="20"/>
      <c r="N2337" s="20"/>
      <c r="O2337" s="20"/>
      <c r="P2337" s="20"/>
    </row>
    <row r="2338">
      <c r="A2338" s="23"/>
      <c r="B2338" s="21"/>
      <c r="C2338" s="23"/>
      <c r="D2338" s="24"/>
      <c r="E2338" s="14"/>
      <c r="F2338" s="14"/>
      <c r="G2338" s="14"/>
      <c r="H2338" s="23"/>
      <c r="I2338" s="27"/>
      <c r="J2338" s="23"/>
      <c r="K2338" s="30"/>
      <c r="L2338" s="23"/>
      <c r="M2338" s="20"/>
      <c r="N2338" s="20"/>
      <c r="O2338" s="20"/>
      <c r="P2338" s="20"/>
    </row>
    <row r="2339">
      <c r="A2339" s="10"/>
      <c r="B2339" s="11"/>
      <c r="C2339" s="10"/>
      <c r="D2339" s="13"/>
      <c r="E2339" s="14"/>
      <c r="F2339" s="14"/>
      <c r="G2339" s="14"/>
      <c r="H2339" s="10"/>
      <c r="I2339" s="17"/>
      <c r="J2339" s="10"/>
      <c r="K2339" s="46"/>
      <c r="L2339" s="10"/>
      <c r="M2339" s="20"/>
      <c r="N2339" s="20"/>
      <c r="O2339" s="20"/>
      <c r="P2339" s="20"/>
    </row>
    <row r="2340">
      <c r="A2340" s="23"/>
      <c r="B2340" s="21"/>
      <c r="C2340" s="23"/>
      <c r="D2340" s="24"/>
      <c r="E2340" s="14"/>
      <c r="F2340" s="14"/>
      <c r="G2340" s="14"/>
      <c r="H2340" s="23"/>
      <c r="I2340" s="27"/>
      <c r="J2340" s="23"/>
      <c r="K2340" s="30"/>
      <c r="L2340" s="23"/>
      <c r="M2340" s="20"/>
      <c r="N2340" s="20"/>
      <c r="O2340" s="20"/>
      <c r="P2340" s="20"/>
    </row>
    <row r="2341">
      <c r="A2341" s="10"/>
      <c r="B2341" s="11"/>
      <c r="C2341" s="10"/>
      <c r="D2341" s="13"/>
      <c r="E2341" s="14"/>
      <c r="F2341" s="14"/>
      <c r="G2341" s="14"/>
      <c r="H2341" s="10"/>
      <c r="I2341" s="17"/>
      <c r="J2341" s="10"/>
      <c r="K2341" s="46"/>
      <c r="L2341" s="10"/>
      <c r="M2341" s="20"/>
      <c r="N2341" s="20"/>
      <c r="O2341" s="20"/>
      <c r="P2341" s="20"/>
    </row>
    <row r="2342">
      <c r="A2342" s="23"/>
      <c r="B2342" s="21"/>
      <c r="C2342" s="23"/>
      <c r="D2342" s="24"/>
      <c r="E2342" s="14"/>
      <c r="F2342" s="14"/>
      <c r="G2342" s="14"/>
      <c r="H2342" s="23"/>
      <c r="I2342" s="27"/>
      <c r="J2342" s="23"/>
      <c r="K2342" s="30"/>
      <c r="L2342" s="23"/>
      <c r="M2342" s="20"/>
      <c r="N2342" s="20"/>
      <c r="O2342" s="20"/>
      <c r="P2342" s="20"/>
    </row>
    <row r="2343">
      <c r="A2343" s="10"/>
      <c r="B2343" s="11"/>
      <c r="C2343" s="10"/>
      <c r="D2343" s="13"/>
      <c r="E2343" s="14"/>
      <c r="F2343" s="14"/>
      <c r="G2343" s="14"/>
      <c r="H2343" s="10"/>
      <c r="I2343" s="17"/>
      <c r="J2343" s="10"/>
      <c r="K2343" s="46"/>
      <c r="L2343" s="10"/>
      <c r="M2343" s="20"/>
      <c r="N2343" s="20"/>
      <c r="O2343" s="20"/>
      <c r="P2343" s="20"/>
    </row>
    <row r="2344">
      <c r="A2344" s="23"/>
      <c r="B2344" s="21"/>
      <c r="C2344" s="23"/>
      <c r="D2344" s="24"/>
      <c r="E2344" s="14"/>
      <c r="F2344" s="14"/>
      <c r="G2344" s="14"/>
      <c r="H2344" s="23"/>
      <c r="I2344" s="27"/>
      <c r="J2344" s="23"/>
      <c r="K2344" s="30"/>
      <c r="L2344" s="23"/>
      <c r="M2344" s="20"/>
      <c r="N2344" s="20"/>
      <c r="O2344" s="20"/>
      <c r="P2344" s="20"/>
    </row>
    <row r="2345">
      <c r="A2345" s="10"/>
      <c r="B2345" s="11"/>
      <c r="C2345" s="10"/>
      <c r="D2345" s="13"/>
      <c r="E2345" s="14"/>
      <c r="F2345" s="14"/>
      <c r="G2345" s="14"/>
      <c r="H2345" s="10"/>
      <c r="I2345" s="17"/>
      <c r="J2345" s="10"/>
      <c r="K2345" s="46"/>
      <c r="L2345" s="10"/>
      <c r="M2345" s="20"/>
      <c r="N2345" s="20"/>
      <c r="O2345" s="20"/>
      <c r="P2345" s="20"/>
    </row>
    <row r="2346">
      <c r="A2346" s="23"/>
      <c r="B2346" s="21"/>
      <c r="C2346" s="23"/>
      <c r="D2346" s="24"/>
      <c r="E2346" s="14"/>
      <c r="F2346" s="14"/>
      <c r="G2346" s="14"/>
      <c r="H2346" s="23"/>
      <c r="I2346" s="27"/>
      <c r="J2346" s="23"/>
      <c r="K2346" s="30"/>
      <c r="L2346" s="23"/>
      <c r="M2346" s="20"/>
      <c r="N2346" s="20"/>
      <c r="O2346" s="20"/>
      <c r="P2346" s="20"/>
    </row>
    <row r="2347">
      <c r="A2347" s="10"/>
      <c r="B2347" s="11"/>
      <c r="C2347" s="10"/>
      <c r="D2347" s="13"/>
      <c r="E2347" s="14"/>
      <c r="F2347" s="14"/>
      <c r="G2347" s="14"/>
      <c r="H2347" s="10"/>
      <c r="I2347" s="17"/>
      <c r="J2347" s="10"/>
      <c r="K2347" s="46"/>
      <c r="L2347" s="10"/>
      <c r="M2347" s="20"/>
      <c r="N2347" s="20"/>
      <c r="O2347" s="20"/>
      <c r="P2347" s="20"/>
    </row>
    <row r="2348">
      <c r="A2348" s="23"/>
      <c r="B2348" s="21"/>
      <c r="C2348" s="23"/>
      <c r="D2348" s="24"/>
      <c r="E2348" s="14"/>
      <c r="F2348" s="14"/>
      <c r="G2348" s="14"/>
      <c r="H2348" s="23"/>
      <c r="I2348" s="27"/>
      <c r="J2348" s="23"/>
      <c r="K2348" s="30"/>
      <c r="L2348" s="23"/>
      <c r="M2348" s="20"/>
      <c r="N2348" s="20"/>
      <c r="O2348" s="20"/>
      <c r="P2348" s="20"/>
    </row>
    <row r="2349">
      <c r="A2349" s="10"/>
      <c r="B2349" s="11"/>
      <c r="C2349" s="10"/>
      <c r="D2349" s="13"/>
      <c r="E2349" s="14"/>
      <c r="F2349" s="14"/>
      <c r="G2349" s="14"/>
      <c r="H2349" s="10"/>
      <c r="I2349" s="17"/>
      <c r="J2349" s="10"/>
      <c r="K2349" s="46"/>
      <c r="L2349" s="10"/>
      <c r="M2349" s="20"/>
      <c r="N2349" s="20"/>
      <c r="O2349" s="20"/>
      <c r="P2349" s="20"/>
    </row>
    <row r="2350">
      <c r="A2350" s="23"/>
      <c r="B2350" s="21"/>
      <c r="C2350" s="23"/>
      <c r="D2350" s="24"/>
      <c r="E2350" s="14"/>
      <c r="F2350" s="14"/>
      <c r="G2350" s="14"/>
      <c r="H2350" s="23"/>
      <c r="I2350" s="27"/>
      <c r="J2350" s="23"/>
      <c r="K2350" s="30"/>
      <c r="L2350" s="23"/>
      <c r="M2350" s="20"/>
      <c r="N2350" s="20"/>
      <c r="O2350" s="20"/>
      <c r="P2350" s="20"/>
    </row>
    <row r="2351">
      <c r="A2351" s="10"/>
      <c r="B2351" s="11"/>
      <c r="C2351" s="10"/>
      <c r="D2351" s="13"/>
      <c r="E2351" s="14"/>
      <c r="F2351" s="14"/>
      <c r="G2351" s="14"/>
      <c r="H2351" s="10"/>
      <c r="I2351" s="17"/>
      <c r="J2351" s="10"/>
      <c r="K2351" s="46"/>
      <c r="L2351" s="10"/>
      <c r="M2351" s="20"/>
      <c r="N2351" s="20"/>
      <c r="O2351" s="20"/>
      <c r="P2351" s="20"/>
    </row>
    <row r="2352">
      <c r="A2352" s="23"/>
      <c r="B2352" s="21"/>
      <c r="C2352" s="23"/>
      <c r="D2352" s="24"/>
      <c r="E2352" s="14"/>
      <c r="F2352" s="14"/>
      <c r="G2352" s="14"/>
      <c r="H2352" s="23"/>
      <c r="I2352" s="27"/>
      <c r="J2352" s="23"/>
      <c r="K2352" s="30"/>
      <c r="L2352" s="23"/>
      <c r="M2352" s="20"/>
      <c r="N2352" s="20"/>
      <c r="O2352" s="20"/>
      <c r="P2352" s="20"/>
    </row>
    <row r="2353">
      <c r="A2353" s="10"/>
      <c r="B2353" s="11"/>
      <c r="C2353" s="10"/>
      <c r="D2353" s="13"/>
      <c r="E2353" s="14"/>
      <c r="F2353" s="14"/>
      <c r="G2353" s="14"/>
      <c r="H2353" s="10"/>
      <c r="I2353" s="17"/>
      <c r="J2353" s="10"/>
      <c r="K2353" s="46"/>
      <c r="L2353" s="10"/>
      <c r="M2353" s="20"/>
      <c r="N2353" s="20"/>
      <c r="O2353" s="20"/>
      <c r="P2353" s="20"/>
    </row>
    <row r="2354">
      <c r="A2354" s="23"/>
      <c r="B2354" s="21"/>
      <c r="C2354" s="23"/>
      <c r="D2354" s="24"/>
      <c r="E2354" s="14"/>
      <c r="F2354" s="14"/>
      <c r="G2354" s="14"/>
      <c r="H2354" s="23"/>
      <c r="I2354" s="27"/>
      <c r="J2354" s="23"/>
      <c r="K2354" s="30"/>
      <c r="L2354" s="23"/>
      <c r="M2354" s="20"/>
      <c r="N2354" s="20"/>
      <c r="O2354" s="20"/>
      <c r="P2354" s="20"/>
    </row>
    <row r="2355">
      <c r="A2355" s="10"/>
      <c r="B2355" s="11"/>
      <c r="C2355" s="10"/>
      <c r="D2355" s="13"/>
      <c r="E2355" s="14"/>
      <c r="F2355" s="14"/>
      <c r="G2355" s="14"/>
      <c r="H2355" s="10"/>
      <c r="I2355" s="17"/>
      <c r="J2355" s="10"/>
      <c r="K2355" s="46"/>
      <c r="L2355" s="10"/>
      <c r="M2355" s="20"/>
      <c r="N2355" s="20"/>
      <c r="O2355" s="20"/>
      <c r="P2355" s="20"/>
    </row>
    <row r="2356">
      <c r="A2356" s="23"/>
      <c r="B2356" s="21"/>
      <c r="C2356" s="23"/>
      <c r="D2356" s="24"/>
      <c r="E2356" s="14"/>
      <c r="F2356" s="14"/>
      <c r="G2356" s="14"/>
      <c r="H2356" s="23"/>
      <c r="I2356" s="27"/>
      <c r="J2356" s="23"/>
      <c r="K2356" s="30"/>
      <c r="L2356" s="23"/>
      <c r="M2356" s="20"/>
      <c r="N2356" s="20"/>
      <c r="O2356" s="20"/>
      <c r="P2356" s="20"/>
    </row>
    <row r="2357">
      <c r="A2357" s="10"/>
      <c r="B2357" s="11"/>
      <c r="C2357" s="10"/>
      <c r="D2357" s="13"/>
      <c r="E2357" s="14"/>
      <c r="F2357" s="14"/>
      <c r="G2357" s="14"/>
      <c r="H2357" s="10"/>
      <c r="I2357" s="17"/>
      <c r="J2357" s="10"/>
      <c r="K2357" s="46"/>
      <c r="L2357" s="10"/>
      <c r="M2357" s="20"/>
      <c r="N2357" s="20"/>
      <c r="O2357" s="20"/>
      <c r="P2357" s="20"/>
    </row>
    <row r="2358">
      <c r="A2358" s="23"/>
      <c r="B2358" s="21"/>
      <c r="C2358" s="23"/>
      <c r="D2358" s="24"/>
      <c r="E2358" s="14"/>
      <c r="F2358" s="14"/>
      <c r="G2358" s="14"/>
      <c r="H2358" s="23"/>
      <c r="I2358" s="27"/>
      <c r="J2358" s="23"/>
      <c r="K2358" s="30"/>
      <c r="L2358" s="23"/>
      <c r="M2358" s="20"/>
      <c r="N2358" s="20"/>
      <c r="O2358" s="20"/>
      <c r="P2358" s="20"/>
    </row>
    <row r="2359">
      <c r="A2359" s="10"/>
      <c r="B2359" s="11"/>
      <c r="C2359" s="10"/>
      <c r="D2359" s="13"/>
      <c r="E2359" s="14"/>
      <c r="F2359" s="14"/>
      <c r="G2359" s="14"/>
      <c r="H2359" s="10"/>
      <c r="I2359" s="17"/>
      <c r="J2359" s="10"/>
      <c r="K2359" s="46"/>
      <c r="L2359" s="10"/>
      <c r="M2359" s="20"/>
      <c r="N2359" s="20"/>
      <c r="O2359" s="20"/>
      <c r="P2359" s="20"/>
    </row>
    <row r="2360">
      <c r="A2360" s="23"/>
      <c r="B2360" s="21"/>
      <c r="C2360" s="23"/>
      <c r="D2360" s="24"/>
      <c r="E2360" s="14"/>
      <c r="F2360" s="14"/>
      <c r="G2360" s="14"/>
      <c r="H2360" s="23"/>
      <c r="I2360" s="27"/>
      <c r="J2360" s="23"/>
      <c r="K2360" s="30"/>
      <c r="L2360" s="23"/>
      <c r="M2360" s="20"/>
      <c r="N2360" s="20"/>
      <c r="O2360" s="20"/>
      <c r="P2360" s="20"/>
    </row>
    <row r="2361">
      <c r="A2361" s="10"/>
      <c r="B2361" s="11"/>
      <c r="C2361" s="10"/>
      <c r="D2361" s="13"/>
      <c r="E2361" s="14"/>
      <c r="F2361" s="14"/>
      <c r="G2361" s="14"/>
      <c r="H2361" s="10"/>
      <c r="I2361" s="17"/>
      <c r="J2361" s="10"/>
      <c r="K2361" s="46"/>
      <c r="L2361" s="10"/>
      <c r="M2361" s="20"/>
      <c r="N2361" s="20"/>
      <c r="O2361" s="20"/>
      <c r="P2361" s="20"/>
    </row>
    <row r="2362">
      <c r="A2362" s="23"/>
      <c r="B2362" s="21"/>
      <c r="C2362" s="23"/>
      <c r="D2362" s="24"/>
      <c r="E2362" s="14"/>
      <c r="F2362" s="14"/>
      <c r="G2362" s="14"/>
      <c r="H2362" s="23"/>
      <c r="I2362" s="27"/>
      <c r="J2362" s="23"/>
      <c r="K2362" s="30"/>
      <c r="L2362" s="23"/>
      <c r="M2362" s="20"/>
      <c r="N2362" s="20"/>
      <c r="O2362" s="20"/>
      <c r="P2362" s="20"/>
    </row>
    <row r="2363">
      <c r="A2363" s="10"/>
      <c r="B2363" s="11"/>
      <c r="C2363" s="10"/>
      <c r="D2363" s="13"/>
      <c r="E2363" s="14"/>
      <c r="F2363" s="14"/>
      <c r="G2363" s="14"/>
      <c r="H2363" s="10"/>
      <c r="I2363" s="17"/>
      <c r="J2363" s="10"/>
      <c r="K2363" s="46"/>
      <c r="L2363" s="10"/>
      <c r="M2363" s="20"/>
      <c r="N2363" s="20"/>
      <c r="O2363" s="20"/>
      <c r="P2363" s="20"/>
    </row>
    <row r="2364">
      <c r="A2364" s="23"/>
      <c r="B2364" s="21"/>
      <c r="C2364" s="23"/>
      <c r="D2364" s="24"/>
      <c r="E2364" s="14"/>
      <c r="F2364" s="14"/>
      <c r="G2364" s="14"/>
      <c r="H2364" s="23"/>
      <c r="I2364" s="27"/>
      <c r="J2364" s="23"/>
      <c r="K2364" s="30"/>
      <c r="L2364" s="23"/>
      <c r="M2364" s="20"/>
      <c r="N2364" s="20"/>
      <c r="O2364" s="20"/>
      <c r="P2364" s="20"/>
    </row>
    <row r="2365">
      <c r="A2365" s="10"/>
      <c r="B2365" s="11"/>
      <c r="C2365" s="10"/>
      <c r="D2365" s="13"/>
      <c r="E2365" s="14"/>
      <c r="F2365" s="14"/>
      <c r="G2365" s="14"/>
      <c r="H2365" s="10"/>
      <c r="I2365" s="17"/>
      <c r="J2365" s="10"/>
      <c r="K2365" s="46"/>
      <c r="L2365" s="10"/>
      <c r="M2365" s="20"/>
      <c r="N2365" s="20"/>
      <c r="O2365" s="20"/>
      <c r="P2365" s="20"/>
    </row>
    <row r="2366">
      <c r="A2366" s="23"/>
      <c r="B2366" s="21"/>
      <c r="C2366" s="23"/>
      <c r="D2366" s="24"/>
      <c r="E2366" s="14"/>
      <c r="F2366" s="14"/>
      <c r="G2366" s="14"/>
      <c r="H2366" s="23"/>
      <c r="I2366" s="27"/>
      <c r="J2366" s="23"/>
      <c r="K2366" s="30"/>
      <c r="L2366" s="23"/>
      <c r="M2366" s="20"/>
      <c r="N2366" s="20"/>
      <c r="O2366" s="20"/>
      <c r="P2366" s="20"/>
    </row>
    <row r="2367">
      <c r="A2367" s="10"/>
      <c r="B2367" s="11"/>
      <c r="C2367" s="10"/>
      <c r="D2367" s="13"/>
      <c r="E2367" s="14"/>
      <c r="F2367" s="14"/>
      <c r="G2367" s="14"/>
      <c r="H2367" s="10"/>
      <c r="I2367" s="17"/>
      <c r="J2367" s="10"/>
      <c r="K2367" s="46"/>
      <c r="L2367" s="10"/>
      <c r="M2367" s="20"/>
      <c r="N2367" s="20"/>
      <c r="O2367" s="20"/>
      <c r="P2367" s="20"/>
    </row>
    <row r="2368">
      <c r="A2368" s="23"/>
      <c r="B2368" s="21"/>
      <c r="C2368" s="23"/>
      <c r="D2368" s="24"/>
      <c r="E2368" s="14"/>
      <c r="F2368" s="14"/>
      <c r="G2368" s="14"/>
      <c r="H2368" s="23"/>
      <c r="I2368" s="27"/>
      <c r="J2368" s="23"/>
      <c r="K2368" s="30"/>
      <c r="L2368" s="23"/>
      <c r="M2368" s="20"/>
      <c r="N2368" s="20"/>
      <c r="O2368" s="20"/>
      <c r="P2368" s="20"/>
    </row>
    <row r="2369">
      <c r="A2369" s="10"/>
      <c r="B2369" s="11"/>
      <c r="C2369" s="10"/>
      <c r="D2369" s="13"/>
      <c r="E2369" s="14"/>
      <c r="F2369" s="14"/>
      <c r="G2369" s="14"/>
      <c r="H2369" s="10"/>
      <c r="I2369" s="17"/>
      <c r="J2369" s="10"/>
      <c r="K2369" s="46"/>
      <c r="L2369" s="10"/>
      <c r="M2369" s="20"/>
      <c r="N2369" s="20"/>
      <c r="O2369" s="20"/>
      <c r="P2369" s="20"/>
    </row>
    <row r="2370">
      <c r="A2370" s="23"/>
      <c r="B2370" s="21"/>
      <c r="C2370" s="23"/>
      <c r="D2370" s="24"/>
      <c r="E2370" s="14"/>
      <c r="F2370" s="14"/>
      <c r="G2370" s="14"/>
      <c r="H2370" s="23"/>
      <c r="I2370" s="27"/>
      <c r="J2370" s="23"/>
      <c r="K2370" s="30"/>
      <c r="L2370" s="23"/>
      <c r="M2370" s="20"/>
      <c r="N2370" s="20"/>
      <c r="O2370" s="20"/>
      <c r="P2370" s="20"/>
    </row>
    <row r="2371">
      <c r="A2371" s="10"/>
      <c r="B2371" s="11"/>
      <c r="C2371" s="10"/>
      <c r="D2371" s="13"/>
      <c r="E2371" s="14"/>
      <c r="F2371" s="14"/>
      <c r="G2371" s="14"/>
      <c r="H2371" s="10"/>
      <c r="I2371" s="17"/>
      <c r="J2371" s="10"/>
      <c r="K2371" s="46"/>
      <c r="L2371" s="10"/>
      <c r="M2371" s="20"/>
      <c r="N2371" s="20"/>
      <c r="O2371" s="20"/>
      <c r="P2371" s="20"/>
    </row>
    <row r="2372">
      <c r="A2372" s="23"/>
      <c r="B2372" s="21"/>
      <c r="C2372" s="23"/>
      <c r="D2372" s="24"/>
      <c r="E2372" s="14"/>
      <c r="F2372" s="14"/>
      <c r="G2372" s="14"/>
      <c r="H2372" s="23"/>
      <c r="I2372" s="27"/>
      <c r="J2372" s="23"/>
      <c r="K2372" s="30"/>
      <c r="L2372" s="23"/>
      <c r="M2372" s="20"/>
      <c r="N2372" s="20"/>
      <c r="O2372" s="20"/>
      <c r="P2372" s="20"/>
    </row>
    <row r="2373">
      <c r="A2373" s="10"/>
      <c r="B2373" s="11"/>
      <c r="C2373" s="10"/>
      <c r="D2373" s="13"/>
      <c r="E2373" s="14"/>
      <c r="F2373" s="14"/>
      <c r="G2373" s="14"/>
      <c r="H2373" s="10"/>
      <c r="I2373" s="17"/>
      <c r="J2373" s="10"/>
      <c r="K2373" s="46"/>
      <c r="L2373" s="10"/>
      <c r="M2373" s="20"/>
      <c r="N2373" s="20"/>
      <c r="O2373" s="20"/>
      <c r="P2373" s="20"/>
    </row>
    <row r="2374">
      <c r="A2374" s="23"/>
      <c r="B2374" s="21"/>
      <c r="C2374" s="23"/>
      <c r="D2374" s="24"/>
      <c r="E2374" s="14"/>
      <c r="F2374" s="14"/>
      <c r="G2374" s="14"/>
      <c r="H2374" s="23"/>
      <c r="I2374" s="27"/>
      <c r="J2374" s="23"/>
      <c r="K2374" s="30"/>
      <c r="L2374" s="23"/>
      <c r="M2374" s="20"/>
      <c r="N2374" s="20"/>
      <c r="O2374" s="20"/>
      <c r="P2374" s="20"/>
    </row>
    <row r="2375">
      <c r="A2375" s="10"/>
      <c r="B2375" s="11"/>
      <c r="C2375" s="10"/>
      <c r="D2375" s="13"/>
      <c r="E2375" s="14"/>
      <c r="F2375" s="14"/>
      <c r="G2375" s="14"/>
      <c r="H2375" s="10"/>
      <c r="I2375" s="17"/>
      <c r="J2375" s="10"/>
      <c r="K2375" s="46"/>
      <c r="L2375" s="10"/>
      <c r="M2375" s="20"/>
      <c r="N2375" s="20"/>
      <c r="O2375" s="20"/>
      <c r="P2375" s="20"/>
    </row>
    <row r="2376">
      <c r="A2376" s="23"/>
      <c r="B2376" s="21"/>
      <c r="C2376" s="23"/>
      <c r="D2376" s="24"/>
      <c r="E2376" s="14"/>
      <c r="F2376" s="14"/>
      <c r="G2376" s="14"/>
      <c r="H2376" s="23"/>
      <c r="I2376" s="27"/>
      <c r="J2376" s="23"/>
      <c r="K2376" s="30"/>
      <c r="L2376" s="23"/>
      <c r="M2376" s="20"/>
      <c r="N2376" s="20"/>
      <c r="O2376" s="20"/>
      <c r="P2376" s="20"/>
    </row>
    <row r="2377">
      <c r="A2377" s="10"/>
      <c r="B2377" s="11"/>
      <c r="C2377" s="10"/>
      <c r="D2377" s="13"/>
      <c r="E2377" s="14"/>
      <c r="F2377" s="14"/>
      <c r="G2377" s="14"/>
      <c r="H2377" s="10"/>
      <c r="I2377" s="17"/>
      <c r="J2377" s="10"/>
      <c r="K2377" s="46"/>
      <c r="L2377" s="10"/>
      <c r="M2377" s="20"/>
      <c r="N2377" s="20"/>
      <c r="O2377" s="20"/>
      <c r="P2377" s="20"/>
    </row>
    <row r="2378">
      <c r="A2378" s="23"/>
      <c r="B2378" s="21"/>
      <c r="C2378" s="23"/>
      <c r="D2378" s="24"/>
      <c r="E2378" s="14"/>
      <c r="F2378" s="14"/>
      <c r="G2378" s="14"/>
      <c r="H2378" s="23"/>
      <c r="I2378" s="27"/>
      <c r="J2378" s="23"/>
      <c r="K2378" s="30"/>
      <c r="L2378" s="23"/>
      <c r="M2378" s="20"/>
      <c r="N2378" s="20"/>
      <c r="O2378" s="20"/>
      <c r="P2378" s="20"/>
    </row>
    <row r="2379">
      <c r="A2379" s="10"/>
      <c r="B2379" s="11"/>
      <c r="C2379" s="10"/>
      <c r="D2379" s="13"/>
      <c r="E2379" s="14"/>
      <c r="F2379" s="14"/>
      <c r="G2379" s="14"/>
      <c r="H2379" s="10"/>
      <c r="I2379" s="17"/>
      <c r="J2379" s="10"/>
      <c r="K2379" s="46"/>
      <c r="L2379" s="10"/>
      <c r="M2379" s="20"/>
      <c r="N2379" s="20"/>
      <c r="O2379" s="20"/>
      <c r="P2379" s="20"/>
    </row>
    <row r="2380">
      <c r="A2380" s="23"/>
      <c r="B2380" s="21"/>
      <c r="C2380" s="23"/>
      <c r="D2380" s="24"/>
      <c r="E2380" s="14"/>
      <c r="F2380" s="14"/>
      <c r="G2380" s="14"/>
      <c r="H2380" s="23"/>
      <c r="I2380" s="27"/>
      <c r="J2380" s="23"/>
      <c r="K2380" s="30"/>
      <c r="L2380" s="23"/>
      <c r="M2380" s="20"/>
      <c r="N2380" s="20"/>
      <c r="O2380" s="20"/>
      <c r="P2380" s="20"/>
    </row>
    <row r="2381">
      <c r="A2381" s="10"/>
      <c r="B2381" s="11"/>
      <c r="C2381" s="10"/>
      <c r="D2381" s="13"/>
      <c r="E2381" s="14"/>
      <c r="F2381" s="14"/>
      <c r="G2381" s="14"/>
      <c r="H2381" s="10"/>
      <c r="I2381" s="17"/>
      <c r="J2381" s="10"/>
      <c r="K2381" s="46"/>
      <c r="L2381" s="10"/>
      <c r="M2381" s="20"/>
      <c r="N2381" s="20"/>
      <c r="O2381" s="20"/>
      <c r="P2381" s="20"/>
    </row>
    <row r="2382">
      <c r="A2382" s="23"/>
      <c r="B2382" s="21"/>
      <c r="C2382" s="23"/>
      <c r="D2382" s="24"/>
      <c r="E2382" s="14"/>
      <c r="F2382" s="14"/>
      <c r="G2382" s="14"/>
      <c r="H2382" s="23"/>
      <c r="I2382" s="27"/>
      <c r="J2382" s="23"/>
      <c r="K2382" s="30"/>
      <c r="L2382" s="23"/>
      <c r="M2382" s="20"/>
      <c r="N2382" s="20"/>
      <c r="O2382" s="20"/>
      <c r="P2382" s="20"/>
    </row>
    <row r="2383">
      <c r="A2383" s="10"/>
      <c r="B2383" s="11"/>
      <c r="C2383" s="10"/>
      <c r="D2383" s="13"/>
      <c r="E2383" s="14"/>
      <c r="F2383" s="14"/>
      <c r="G2383" s="14"/>
      <c r="H2383" s="10"/>
      <c r="I2383" s="17"/>
      <c r="J2383" s="10"/>
      <c r="K2383" s="46"/>
      <c r="L2383" s="10"/>
      <c r="M2383" s="20"/>
      <c r="N2383" s="20"/>
      <c r="O2383" s="20"/>
      <c r="P2383" s="20"/>
    </row>
    <row r="2384">
      <c r="A2384" s="23"/>
      <c r="B2384" s="21"/>
      <c r="C2384" s="23"/>
      <c r="D2384" s="24"/>
      <c r="E2384" s="14"/>
      <c r="F2384" s="14"/>
      <c r="G2384" s="14"/>
      <c r="H2384" s="23"/>
      <c r="I2384" s="27"/>
      <c r="J2384" s="23"/>
      <c r="K2384" s="30"/>
      <c r="L2384" s="23"/>
      <c r="M2384" s="20"/>
      <c r="N2384" s="20"/>
      <c r="O2384" s="20"/>
      <c r="P2384" s="20"/>
    </row>
    <row r="2385">
      <c r="A2385" s="10"/>
      <c r="B2385" s="11"/>
      <c r="C2385" s="10"/>
      <c r="D2385" s="13"/>
      <c r="E2385" s="14"/>
      <c r="F2385" s="14"/>
      <c r="G2385" s="14"/>
      <c r="H2385" s="10"/>
      <c r="I2385" s="17"/>
      <c r="J2385" s="10"/>
      <c r="K2385" s="46"/>
      <c r="L2385" s="10"/>
      <c r="M2385" s="20"/>
      <c r="N2385" s="20"/>
      <c r="O2385" s="20"/>
      <c r="P2385" s="20"/>
    </row>
    <row r="2386">
      <c r="A2386" s="23"/>
      <c r="B2386" s="21"/>
      <c r="C2386" s="23"/>
      <c r="D2386" s="24"/>
      <c r="E2386" s="14"/>
      <c r="F2386" s="14"/>
      <c r="G2386" s="14"/>
      <c r="H2386" s="23"/>
      <c r="I2386" s="27"/>
      <c r="J2386" s="23"/>
      <c r="K2386" s="30"/>
      <c r="L2386" s="23"/>
      <c r="M2386" s="20"/>
      <c r="N2386" s="20"/>
      <c r="O2386" s="20"/>
      <c r="P2386" s="20"/>
    </row>
    <row r="2387">
      <c r="A2387" s="10"/>
      <c r="B2387" s="11"/>
      <c r="C2387" s="10"/>
      <c r="D2387" s="13"/>
      <c r="E2387" s="14"/>
      <c r="F2387" s="14"/>
      <c r="G2387" s="14"/>
      <c r="H2387" s="10"/>
      <c r="I2387" s="17"/>
      <c r="J2387" s="10"/>
      <c r="K2387" s="46"/>
      <c r="L2387" s="10"/>
      <c r="M2387" s="20"/>
      <c r="N2387" s="20"/>
      <c r="O2387" s="20"/>
      <c r="P2387" s="20"/>
    </row>
    <row r="2388">
      <c r="A2388" s="23"/>
      <c r="B2388" s="21"/>
      <c r="C2388" s="23"/>
      <c r="D2388" s="24"/>
      <c r="E2388" s="14"/>
      <c r="F2388" s="14"/>
      <c r="G2388" s="14"/>
      <c r="H2388" s="23"/>
      <c r="I2388" s="27"/>
      <c r="J2388" s="23"/>
      <c r="K2388" s="30"/>
      <c r="L2388" s="23"/>
      <c r="M2388" s="20"/>
      <c r="N2388" s="20"/>
      <c r="O2388" s="20"/>
      <c r="P2388" s="20"/>
    </row>
    <row r="2389">
      <c r="A2389" s="10"/>
      <c r="B2389" s="11"/>
      <c r="C2389" s="10"/>
      <c r="D2389" s="13"/>
      <c r="E2389" s="14"/>
      <c r="F2389" s="14"/>
      <c r="G2389" s="14"/>
      <c r="H2389" s="10"/>
      <c r="I2389" s="17"/>
      <c r="J2389" s="10"/>
      <c r="K2389" s="46"/>
      <c r="L2389" s="10"/>
      <c r="M2389" s="20"/>
      <c r="N2389" s="20"/>
      <c r="O2389" s="20"/>
      <c r="P2389" s="20"/>
    </row>
    <row r="2390">
      <c r="A2390" s="23"/>
      <c r="B2390" s="21"/>
      <c r="C2390" s="23"/>
      <c r="D2390" s="24"/>
      <c r="E2390" s="14"/>
      <c r="F2390" s="14"/>
      <c r="G2390" s="14"/>
      <c r="H2390" s="23"/>
      <c r="I2390" s="27"/>
      <c r="J2390" s="23"/>
      <c r="K2390" s="30"/>
      <c r="L2390" s="23"/>
      <c r="M2390" s="20"/>
      <c r="N2390" s="20"/>
      <c r="O2390" s="20"/>
      <c r="P2390" s="20"/>
    </row>
    <row r="2391">
      <c r="A2391" s="10"/>
      <c r="B2391" s="11"/>
      <c r="C2391" s="10"/>
      <c r="D2391" s="13"/>
      <c r="E2391" s="14"/>
      <c r="F2391" s="14"/>
      <c r="G2391" s="14"/>
      <c r="H2391" s="10"/>
      <c r="I2391" s="17"/>
      <c r="J2391" s="10"/>
      <c r="K2391" s="46"/>
      <c r="L2391" s="10"/>
      <c r="M2391" s="20"/>
      <c r="N2391" s="20"/>
      <c r="O2391" s="20"/>
      <c r="P2391" s="20"/>
    </row>
    <row r="2392">
      <c r="A2392" s="23"/>
      <c r="B2392" s="21"/>
      <c r="C2392" s="23"/>
      <c r="D2392" s="24"/>
      <c r="E2392" s="14"/>
      <c r="F2392" s="14"/>
      <c r="G2392" s="14"/>
      <c r="H2392" s="23"/>
      <c r="I2392" s="27"/>
      <c r="J2392" s="23"/>
      <c r="K2392" s="30"/>
      <c r="L2392" s="23"/>
      <c r="M2392" s="20"/>
      <c r="N2392" s="20"/>
      <c r="O2392" s="20"/>
      <c r="P2392" s="20"/>
    </row>
    <row r="2393">
      <c r="A2393" s="10"/>
      <c r="B2393" s="11"/>
      <c r="C2393" s="10"/>
      <c r="D2393" s="13"/>
      <c r="E2393" s="14"/>
      <c r="F2393" s="14"/>
      <c r="G2393" s="14"/>
      <c r="H2393" s="10"/>
      <c r="I2393" s="17"/>
      <c r="J2393" s="10"/>
      <c r="K2393" s="46"/>
      <c r="L2393" s="10"/>
      <c r="M2393" s="20"/>
      <c r="N2393" s="20"/>
      <c r="O2393" s="20"/>
      <c r="P2393" s="20"/>
    </row>
    <row r="2394">
      <c r="A2394" s="23"/>
      <c r="B2394" s="21"/>
      <c r="C2394" s="23"/>
      <c r="D2394" s="24"/>
      <c r="E2394" s="14"/>
      <c r="F2394" s="14"/>
      <c r="G2394" s="14"/>
      <c r="H2394" s="23"/>
      <c r="I2394" s="27"/>
      <c r="J2394" s="23"/>
      <c r="K2394" s="30"/>
      <c r="L2394" s="23"/>
      <c r="M2394" s="20"/>
      <c r="N2394" s="20"/>
      <c r="O2394" s="20"/>
      <c r="P2394" s="20"/>
    </row>
    <row r="2395">
      <c r="A2395" s="10"/>
      <c r="B2395" s="11"/>
      <c r="C2395" s="10"/>
      <c r="D2395" s="13"/>
      <c r="E2395" s="14"/>
      <c r="F2395" s="14"/>
      <c r="G2395" s="14"/>
      <c r="H2395" s="10"/>
      <c r="I2395" s="17"/>
      <c r="J2395" s="10"/>
      <c r="K2395" s="46"/>
      <c r="L2395" s="10"/>
      <c r="M2395" s="20"/>
      <c r="N2395" s="20"/>
      <c r="O2395" s="20"/>
      <c r="P2395" s="20"/>
    </row>
    <row r="2396">
      <c r="A2396" s="23"/>
      <c r="B2396" s="21"/>
      <c r="C2396" s="23"/>
      <c r="D2396" s="24"/>
      <c r="E2396" s="14"/>
      <c r="F2396" s="14"/>
      <c r="G2396" s="14"/>
      <c r="H2396" s="23"/>
      <c r="I2396" s="27"/>
      <c r="J2396" s="23"/>
      <c r="K2396" s="30"/>
      <c r="L2396" s="23"/>
      <c r="M2396" s="20"/>
      <c r="N2396" s="20"/>
      <c r="O2396" s="20"/>
      <c r="P2396" s="20"/>
    </row>
    <row r="2397">
      <c r="A2397" s="10"/>
      <c r="B2397" s="11"/>
      <c r="C2397" s="10"/>
      <c r="D2397" s="13"/>
      <c r="E2397" s="14"/>
      <c r="F2397" s="14"/>
      <c r="G2397" s="14"/>
      <c r="H2397" s="10"/>
      <c r="I2397" s="17"/>
      <c r="J2397" s="10"/>
      <c r="K2397" s="46"/>
      <c r="L2397" s="10"/>
      <c r="M2397" s="20"/>
      <c r="N2397" s="20"/>
      <c r="O2397" s="20"/>
      <c r="P2397" s="20"/>
    </row>
    <row r="2398">
      <c r="A2398" s="23"/>
      <c r="B2398" s="21"/>
      <c r="C2398" s="23"/>
      <c r="D2398" s="24"/>
      <c r="E2398" s="14"/>
      <c r="F2398" s="14"/>
      <c r="G2398" s="14"/>
      <c r="H2398" s="23"/>
      <c r="I2398" s="27"/>
      <c r="J2398" s="23"/>
      <c r="K2398" s="30"/>
      <c r="L2398" s="23"/>
      <c r="M2398" s="20"/>
      <c r="N2398" s="20"/>
      <c r="O2398" s="20"/>
      <c r="P2398" s="20"/>
    </row>
    <row r="2399">
      <c r="A2399" s="10"/>
      <c r="B2399" s="11"/>
      <c r="C2399" s="10"/>
      <c r="D2399" s="13"/>
      <c r="E2399" s="14"/>
      <c r="F2399" s="14"/>
      <c r="G2399" s="14"/>
      <c r="H2399" s="10"/>
      <c r="I2399" s="17"/>
      <c r="J2399" s="10"/>
      <c r="K2399" s="46"/>
      <c r="L2399" s="10"/>
      <c r="M2399" s="20"/>
      <c r="N2399" s="20"/>
      <c r="O2399" s="20"/>
      <c r="P2399" s="20"/>
    </row>
    <row r="2400">
      <c r="A2400" s="23"/>
      <c r="B2400" s="21"/>
      <c r="C2400" s="23"/>
      <c r="D2400" s="24"/>
      <c r="E2400" s="14"/>
      <c r="F2400" s="14"/>
      <c r="G2400" s="14"/>
      <c r="H2400" s="23"/>
      <c r="I2400" s="27"/>
      <c r="J2400" s="23"/>
      <c r="K2400" s="30"/>
      <c r="L2400" s="23"/>
      <c r="M2400" s="20"/>
      <c r="N2400" s="20"/>
      <c r="O2400" s="20"/>
      <c r="P2400" s="20"/>
    </row>
    <row r="2401">
      <c r="A2401" s="10"/>
      <c r="B2401" s="11"/>
      <c r="C2401" s="10"/>
      <c r="D2401" s="13"/>
      <c r="E2401" s="14"/>
      <c r="F2401" s="14"/>
      <c r="G2401" s="14"/>
      <c r="H2401" s="10"/>
      <c r="I2401" s="17"/>
      <c r="J2401" s="10"/>
      <c r="K2401" s="46"/>
      <c r="L2401" s="10"/>
      <c r="M2401" s="20"/>
      <c r="N2401" s="20"/>
      <c r="O2401" s="20"/>
      <c r="P2401" s="20"/>
    </row>
    <row r="2402">
      <c r="A2402" s="23"/>
      <c r="B2402" s="21"/>
      <c r="C2402" s="23"/>
      <c r="D2402" s="24"/>
      <c r="E2402" s="14"/>
      <c r="F2402" s="14"/>
      <c r="G2402" s="14"/>
      <c r="H2402" s="23"/>
      <c r="I2402" s="27"/>
      <c r="J2402" s="23"/>
      <c r="K2402" s="30"/>
      <c r="L2402" s="23"/>
      <c r="M2402" s="20"/>
      <c r="N2402" s="20"/>
      <c r="O2402" s="20"/>
      <c r="P2402" s="20"/>
    </row>
    <row r="2403">
      <c r="A2403" s="10"/>
      <c r="B2403" s="11"/>
      <c r="C2403" s="10"/>
      <c r="D2403" s="13"/>
      <c r="E2403" s="14"/>
      <c r="F2403" s="14"/>
      <c r="G2403" s="14"/>
      <c r="H2403" s="10"/>
      <c r="I2403" s="17"/>
      <c r="J2403" s="10"/>
      <c r="K2403" s="46"/>
      <c r="L2403" s="10"/>
      <c r="M2403" s="20"/>
      <c r="N2403" s="20"/>
      <c r="O2403" s="20"/>
      <c r="P2403" s="20"/>
    </row>
    <row r="2404">
      <c r="A2404" s="23"/>
      <c r="B2404" s="21"/>
      <c r="C2404" s="23"/>
      <c r="D2404" s="24"/>
      <c r="E2404" s="14"/>
      <c r="F2404" s="14"/>
      <c r="G2404" s="14"/>
      <c r="H2404" s="23"/>
      <c r="I2404" s="27"/>
      <c r="J2404" s="23"/>
      <c r="K2404" s="30"/>
      <c r="L2404" s="23"/>
      <c r="M2404" s="20"/>
      <c r="N2404" s="20"/>
      <c r="O2404" s="20"/>
      <c r="P2404" s="20"/>
    </row>
    <row r="2405">
      <c r="A2405" s="10"/>
      <c r="B2405" s="11"/>
      <c r="C2405" s="10"/>
      <c r="D2405" s="13"/>
      <c r="E2405" s="14"/>
      <c r="F2405" s="14"/>
      <c r="G2405" s="14"/>
      <c r="H2405" s="10"/>
      <c r="I2405" s="17"/>
      <c r="J2405" s="10"/>
      <c r="K2405" s="46"/>
      <c r="L2405" s="10"/>
      <c r="M2405" s="20"/>
      <c r="N2405" s="20"/>
      <c r="O2405" s="20"/>
      <c r="P2405" s="20"/>
    </row>
    <row r="2406">
      <c r="A2406" s="23"/>
      <c r="B2406" s="21"/>
      <c r="C2406" s="23"/>
      <c r="D2406" s="24"/>
      <c r="E2406" s="14"/>
      <c r="F2406" s="14"/>
      <c r="G2406" s="14"/>
      <c r="H2406" s="23"/>
      <c r="I2406" s="27"/>
      <c r="J2406" s="23"/>
      <c r="K2406" s="30"/>
      <c r="L2406" s="23"/>
      <c r="M2406" s="20"/>
      <c r="N2406" s="20"/>
      <c r="O2406" s="20"/>
      <c r="P2406" s="20"/>
    </row>
    <row r="2407">
      <c r="A2407" s="10"/>
      <c r="B2407" s="11"/>
      <c r="C2407" s="10"/>
      <c r="D2407" s="13"/>
      <c r="E2407" s="14"/>
      <c r="F2407" s="14"/>
      <c r="G2407" s="14"/>
      <c r="H2407" s="10"/>
      <c r="I2407" s="17"/>
      <c r="J2407" s="10"/>
      <c r="K2407" s="46"/>
      <c r="L2407" s="10"/>
      <c r="M2407" s="20"/>
      <c r="N2407" s="20"/>
      <c r="O2407" s="20"/>
      <c r="P2407" s="20"/>
    </row>
    <row r="2408">
      <c r="A2408" s="23"/>
      <c r="B2408" s="21"/>
      <c r="C2408" s="23"/>
      <c r="D2408" s="24"/>
      <c r="E2408" s="14"/>
      <c r="F2408" s="14"/>
      <c r="G2408" s="14"/>
      <c r="H2408" s="23"/>
      <c r="I2408" s="27"/>
      <c r="J2408" s="23"/>
      <c r="K2408" s="30"/>
      <c r="L2408" s="23"/>
      <c r="M2408" s="20"/>
      <c r="N2408" s="20"/>
      <c r="O2408" s="20"/>
      <c r="P2408" s="20"/>
    </row>
    <row r="2409">
      <c r="A2409" s="10"/>
      <c r="B2409" s="11"/>
      <c r="C2409" s="10"/>
      <c r="D2409" s="13"/>
      <c r="E2409" s="14"/>
      <c r="F2409" s="14"/>
      <c r="G2409" s="14"/>
      <c r="H2409" s="10"/>
      <c r="I2409" s="17"/>
      <c r="J2409" s="10"/>
      <c r="K2409" s="46"/>
      <c r="L2409" s="10"/>
      <c r="M2409" s="20"/>
      <c r="N2409" s="20"/>
      <c r="O2409" s="20"/>
      <c r="P2409" s="20"/>
    </row>
    <row r="2410">
      <c r="A2410" s="23"/>
      <c r="B2410" s="21"/>
      <c r="C2410" s="23"/>
      <c r="D2410" s="24"/>
      <c r="E2410" s="14"/>
      <c r="F2410" s="14"/>
      <c r="G2410" s="14"/>
      <c r="H2410" s="23"/>
      <c r="I2410" s="27"/>
      <c r="J2410" s="23"/>
      <c r="K2410" s="30"/>
      <c r="L2410" s="23"/>
      <c r="M2410" s="20"/>
      <c r="N2410" s="20"/>
      <c r="O2410" s="20"/>
      <c r="P2410" s="20"/>
    </row>
    <row r="2411">
      <c r="A2411" s="10"/>
      <c r="B2411" s="11"/>
      <c r="C2411" s="10"/>
      <c r="D2411" s="13"/>
      <c r="E2411" s="14"/>
      <c r="F2411" s="14"/>
      <c r="G2411" s="14"/>
      <c r="H2411" s="10"/>
      <c r="I2411" s="17"/>
      <c r="J2411" s="10"/>
      <c r="K2411" s="46"/>
      <c r="L2411" s="10"/>
      <c r="M2411" s="20"/>
      <c r="N2411" s="20"/>
      <c r="O2411" s="20"/>
      <c r="P2411" s="20"/>
    </row>
    <row r="2412">
      <c r="A2412" s="23"/>
      <c r="B2412" s="21"/>
      <c r="C2412" s="23"/>
      <c r="D2412" s="24"/>
      <c r="E2412" s="14"/>
      <c r="F2412" s="14"/>
      <c r="G2412" s="14"/>
      <c r="H2412" s="23"/>
      <c r="I2412" s="27"/>
      <c r="J2412" s="23"/>
      <c r="K2412" s="30"/>
      <c r="L2412" s="23"/>
      <c r="M2412" s="20"/>
      <c r="N2412" s="20"/>
      <c r="O2412" s="20"/>
      <c r="P2412" s="20"/>
    </row>
    <row r="2413">
      <c r="A2413" s="10"/>
      <c r="B2413" s="11"/>
      <c r="C2413" s="10"/>
      <c r="D2413" s="13"/>
      <c r="E2413" s="14"/>
      <c r="F2413" s="14"/>
      <c r="G2413" s="14"/>
      <c r="H2413" s="10"/>
      <c r="I2413" s="17"/>
      <c r="J2413" s="10"/>
      <c r="K2413" s="46"/>
      <c r="L2413" s="10"/>
      <c r="M2413" s="20"/>
      <c r="N2413" s="20"/>
      <c r="O2413" s="20"/>
      <c r="P2413" s="20"/>
    </row>
    <row r="2414">
      <c r="A2414" s="23"/>
      <c r="B2414" s="21"/>
      <c r="C2414" s="23"/>
      <c r="D2414" s="24"/>
      <c r="E2414" s="14"/>
      <c r="F2414" s="14"/>
      <c r="G2414" s="14"/>
      <c r="H2414" s="23"/>
      <c r="I2414" s="27"/>
      <c r="J2414" s="23"/>
      <c r="K2414" s="30"/>
      <c r="L2414" s="23"/>
      <c r="M2414" s="20"/>
      <c r="N2414" s="20"/>
      <c r="O2414" s="20"/>
      <c r="P2414" s="20"/>
    </row>
    <row r="2415">
      <c r="A2415" s="10"/>
      <c r="B2415" s="11"/>
      <c r="C2415" s="10"/>
      <c r="D2415" s="13"/>
      <c r="E2415" s="14"/>
      <c r="F2415" s="14"/>
      <c r="G2415" s="14"/>
      <c r="H2415" s="10"/>
      <c r="I2415" s="17"/>
      <c r="J2415" s="10"/>
      <c r="K2415" s="46"/>
      <c r="L2415" s="10"/>
      <c r="M2415" s="20"/>
      <c r="N2415" s="20"/>
      <c r="O2415" s="20"/>
      <c r="P2415" s="20"/>
    </row>
    <row r="2416">
      <c r="A2416" s="23"/>
      <c r="B2416" s="21"/>
      <c r="C2416" s="23"/>
      <c r="D2416" s="24"/>
      <c r="E2416" s="14"/>
      <c r="F2416" s="14"/>
      <c r="G2416" s="14"/>
      <c r="H2416" s="23"/>
      <c r="I2416" s="27"/>
      <c r="J2416" s="23"/>
      <c r="K2416" s="30"/>
      <c r="L2416" s="23"/>
      <c r="M2416" s="20"/>
      <c r="N2416" s="20"/>
      <c r="O2416" s="20"/>
      <c r="P2416" s="20"/>
    </row>
    <row r="2417">
      <c r="A2417" s="10"/>
      <c r="B2417" s="11"/>
      <c r="C2417" s="10"/>
      <c r="D2417" s="13"/>
      <c r="E2417" s="14"/>
      <c r="F2417" s="14"/>
      <c r="G2417" s="14"/>
      <c r="H2417" s="10"/>
      <c r="I2417" s="17"/>
      <c r="J2417" s="10"/>
      <c r="K2417" s="46"/>
      <c r="L2417" s="10"/>
      <c r="M2417" s="20"/>
      <c r="N2417" s="20"/>
      <c r="O2417" s="20"/>
      <c r="P2417" s="20"/>
    </row>
    <row r="2418">
      <c r="A2418" s="23"/>
      <c r="B2418" s="21"/>
      <c r="C2418" s="23"/>
      <c r="D2418" s="24"/>
      <c r="E2418" s="14"/>
      <c r="F2418" s="14"/>
      <c r="G2418" s="14"/>
      <c r="H2418" s="23"/>
      <c r="I2418" s="27"/>
      <c r="J2418" s="23"/>
      <c r="K2418" s="30"/>
      <c r="L2418" s="23"/>
      <c r="M2418" s="20"/>
      <c r="N2418" s="20"/>
      <c r="O2418" s="20"/>
      <c r="P2418" s="20"/>
    </row>
    <row r="2419">
      <c r="A2419" s="10"/>
      <c r="B2419" s="11"/>
      <c r="C2419" s="10"/>
      <c r="D2419" s="13"/>
      <c r="E2419" s="14"/>
      <c r="F2419" s="14"/>
      <c r="G2419" s="14"/>
      <c r="H2419" s="10"/>
      <c r="I2419" s="17"/>
      <c r="J2419" s="10"/>
      <c r="K2419" s="46"/>
      <c r="L2419" s="10"/>
      <c r="M2419" s="20"/>
      <c r="N2419" s="20"/>
      <c r="O2419" s="20"/>
      <c r="P2419" s="20"/>
    </row>
    <row r="2420">
      <c r="A2420" s="23"/>
      <c r="B2420" s="21"/>
      <c r="C2420" s="23"/>
      <c r="D2420" s="24"/>
      <c r="E2420" s="14"/>
      <c r="F2420" s="14"/>
      <c r="G2420" s="14"/>
      <c r="H2420" s="23"/>
      <c r="I2420" s="27"/>
      <c r="J2420" s="23"/>
      <c r="K2420" s="30"/>
      <c r="L2420" s="23"/>
      <c r="M2420" s="20"/>
      <c r="N2420" s="20"/>
      <c r="O2420" s="20"/>
      <c r="P2420" s="20"/>
    </row>
    <row r="2421">
      <c r="A2421" s="10"/>
      <c r="B2421" s="11"/>
      <c r="C2421" s="10"/>
      <c r="D2421" s="13"/>
      <c r="E2421" s="14"/>
      <c r="F2421" s="14"/>
      <c r="G2421" s="14"/>
      <c r="H2421" s="10"/>
      <c r="I2421" s="17"/>
      <c r="J2421" s="10"/>
      <c r="K2421" s="46"/>
      <c r="L2421" s="10"/>
      <c r="M2421" s="20"/>
      <c r="N2421" s="20"/>
      <c r="O2421" s="20"/>
      <c r="P2421" s="20"/>
    </row>
    <row r="2422">
      <c r="A2422" s="23"/>
      <c r="B2422" s="21"/>
      <c r="C2422" s="23"/>
      <c r="D2422" s="24"/>
      <c r="E2422" s="14"/>
      <c r="F2422" s="14"/>
      <c r="G2422" s="14"/>
      <c r="H2422" s="23"/>
      <c r="I2422" s="27"/>
      <c r="J2422" s="23"/>
      <c r="K2422" s="30"/>
      <c r="L2422" s="23"/>
      <c r="M2422" s="20"/>
      <c r="N2422" s="20"/>
      <c r="O2422" s="20"/>
      <c r="P2422" s="20"/>
    </row>
    <row r="2423">
      <c r="A2423" s="10"/>
      <c r="B2423" s="11"/>
      <c r="C2423" s="10"/>
      <c r="D2423" s="13"/>
      <c r="E2423" s="14"/>
      <c r="F2423" s="14"/>
      <c r="G2423" s="14"/>
      <c r="H2423" s="10"/>
      <c r="I2423" s="17"/>
      <c r="J2423" s="10"/>
      <c r="K2423" s="46"/>
      <c r="L2423" s="10"/>
      <c r="M2423" s="20"/>
      <c r="N2423" s="20"/>
      <c r="O2423" s="20"/>
      <c r="P2423" s="20"/>
    </row>
    <row r="2424">
      <c r="A2424" s="23"/>
      <c r="B2424" s="21"/>
      <c r="C2424" s="23"/>
      <c r="D2424" s="24"/>
      <c r="E2424" s="14"/>
      <c r="F2424" s="14"/>
      <c r="G2424" s="14"/>
      <c r="H2424" s="23"/>
      <c r="I2424" s="27"/>
      <c r="J2424" s="23"/>
      <c r="K2424" s="30"/>
      <c r="L2424" s="23"/>
      <c r="M2424" s="20"/>
      <c r="N2424" s="20"/>
      <c r="O2424" s="20"/>
      <c r="P2424" s="20"/>
    </row>
    <row r="2425">
      <c r="A2425" s="10"/>
      <c r="B2425" s="11"/>
      <c r="C2425" s="10"/>
      <c r="D2425" s="13"/>
      <c r="E2425" s="14"/>
      <c r="F2425" s="14"/>
      <c r="G2425" s="14"/>
      <c r="H2425" s="10"/>
      <c r="I2425" s="17"/>
      <c r="J2425" s="10"/>
      <c r="K2425" s="46"/>
      <c r="L2425" s="10"/>
      <c r="M2425" s="20"/>
      <c r="N2425" s="20"/>
      <c r="O2425" s="20"/>
      <c r="P2425" s="20"/>
    </row>
    <row r="2426">
      <c r="A2426" s="23"/>
      <c r="B2426" s="21"/>
      <c r="C2426" s="23"/>
      <c r="D2426" s="24"/>
      <c r="E2426" s="14"/>
      <c r="F2426" s="14"/>
      <c r="G2426" s="14"/>
      <c r="H2426" s="23"/>
      <c r="I2426" s="27"/>
      <c r="J2426" s="23"/>
      <c r="K2426" s="30"/>
      <c r="L2426" s="23"/>
      <c r="M2426" s="20"/>
      <c r="N2426" s="20"/>
      <c r="O2426" s="20"/>
      <c r="P2426" s="20"/>
    </row>
    <row r="2427">
      <c r="A2427" s="10"/>
      <c r="B2427" s="11"/>
      <c r="C2427" s="10"/>
      <c r="D2427" s="13"/>
      <c r="E2427" s="14"/>
      <c r="F2427" s="14"/>
      <c r="G2427" s="14"/>
      <c r="H2427" s="10"/>
      <c r="I2427" s="17"/>
      <c r="J2427" s="10"/>
      <c r="K2427" s="46"/>
      <c r="L2427" s="10"/>
      <c r="M2427" s="20"/>
      <c r="N2427" s="20"/>
      <c r="O2427" s="20"/>
      <c r="P2427" s="20"/>
    </row>
    <row r="2428">
      <c r="A2428" s="23"/>
      <c r="B2428" s="21"/>
      <c r="C2428" s="23"/>
      <c r="D2428" s="24"/>
      <c r="E2428" s="14"/>
      <c r="F2428" s="14"/>
      <c r="G2428" s="14"/>
      <c r="H2428" s="23"/>
      <c r="I2428" s="27"/>
      <c r="J2428" s="23"/>
      <c r="K2428" s="30"/>
      <c r="L2428" s="23"/>
      <c r="M2428" s="20"/>
      <c r="N2428" s="20"/>
      <c r="O2428" s="20"/>
      <c r="P2428" s="20"/>
    </row>
    <row r="2429">
      <c r="A2429" s="10"/>
      <c r="B2429" s="11"/>
      <c r="C2429" s="10"/>
      <c r="D2429" s="13"/>
      <c r="E2429" s="14"/>
      <c r="F2429" s="14"/>
      <c r="G2429" s="14"/>
      <c r="H2429" s="10"/>
      <c r="I2429" s="17"/>
      <c r="J2429" s="10"/>
      <c r="K2429" s="46"/>
      <c r="L2429" s="10"/>
      <c r="M2429" s="20"/>
      <c r="N2429" s="20"/>
      <c r="O2429" s="20"/>
      <c r="P2429" s="20"/>
    </row>
    <row r="2430">
      <c r="A2430" s="23"/>
      <c r="B2430" s="21"/>
      <c r="C2430" s="23"/>
      <c r="D2430" s="24"/>
      <c r="E2430" s="14"/>
      <c r="F2430" s="14"/>
      <c r="G2430" s="14"/>
      <c r="H2430" s="23"/>
      <c r="I2430" s="27"/>
      <c r="J2430" s="23"/>
      <c r="K2430" s="30"/>
      <c r="L2430" s="23"/>
      <c r="M2430" s="20"/>
      <c r="N2430" s="20"/>
      <c r="O2430" s="20"/>
      <c r="P2430" s="20"/>
    </row>
    <row r="2431">
      <c r="A2431" s="10"/>
      <c r="B2431" s="11"/>
      <c r="C2431" s="10"/>
      <c r="D2431" s="13"/>
      <c r="E2431" s="14"/>
      <c r="F2431" s="14"/>
      <c r="G2431" s="14"/>
      <c r="H2431" s="10"/>
      <c r="I2431" s="17"/>
      <c r="J2431" s="10"/>
      <c r="K2431" s="46"/>
      <c r="L2431" s="10"/>
      <c r="M2431" s="20"/>
      <c r="N2431" s="20"/>
      <c r="O2431" s="20"/>
      <c r="P2431" s="20"/>
    </row>
    <row r="2432">
      <c r="A2432" s="23"/>
      <c r="B2432" s="21"/>
      <c r="C2432" s="23"/>
      <c r="D2432" s="24"/>
      <c r="E2432" s="14"/>
      <c r="F2432" s="14"/>
      <c r="G2432" s="14"/>
      <c r="H2432" s="23"/>
      <c r="I2432" s="27"/>
      <c r="J2432" s="23"/>
      <c r="K2432" s="30"/>
      <c r="L2432" s="23"/>
      <c r="M2432" s="20"/>
      <c r="N2432" s="20"/>
      <c r="O2432" s="20"/>
      <c r="P2432" s="20"/>
    </row>
    <row r="2433">
      <c r="A2433" s="10"/>
      <c r="B2433" s="11"/>
      <c r="C2433" s="10"/>
      <c r="D2433" s="13"/>
      <c r="E2433" s="14"/>
      <c r="F2433" s="14"/>
      <c r="G2433" s="14"/>
      <c r="H2433" s="10"/>
      <c r="I2433" s="17"/>
      <c r="J2433" s="10"/>
      <c r="K2433" s="46"/>
      <c r="L2433" s="10"/>
      <c r="M2433" s="20"/>
      <c r="N2433" s="20"/>
      <c r="O2433" s="20"/>
      <c r="P2433" s="20"/>
    </row>
    <row r="2434">
      <c r="A2434" s="23"/>
      <c r="B2434" s="21"/>
      <c r="C2434" s="23"/>
      <c r="D2434" s="24"/>
      <c r="E2434" s="14"/>
      <c r="F2434" s="14"/>
      <c r="G2434" s="14"/>
      <c r="H2434" s="23"/>
      <c r="I2434" s="27"/>
      <c r="J2434" s="23"/>
      <c r="K2434" s="30"/>
      <c r="L2434" s="23"/>
      <c r="M2434" s="20"/>
      <c r="N2434" s="20"/>
      <c r="O2434" s="20"/>
      <c r="P2434" s="20"/>
    </row>
    <row r="2435">
      <c r="A2435" s="10"/>
      <c r="B2435" s="11"/>
      <c r="C2435" s="10"/>
      <c r="D2435" s="13"/>
      <c r="E2435" s="14"/>
      <c r="F2435" s="14"/>
      <c r="G2435" s="14"/>
      <c r="H2435" s="10"/>
      <c r="I2435" s="17"/>
      <c r="J2435" s="10"/>
      <c r="K2435" s="46"/>
      <c r="L2435" s="10"/>
      <c r="M2435" s="20"/>
      <c r="N2435" s="20"/>
      <c r="O2435" s="20"/>
      <c r="P2435" s="20"/>
    </row>
    <row r="2436">
      <c r="A2436" s="23"/>
      <c r="B2436" s="21"/>
      <c r="C2436" s="23"/>
      <c r="D2436" s="24"/>
      <c r="E2436" s="14"/>
      <c r="F2436" s="14"/>
      <c r="G2436" s="14"/>
      <c r="H2436" s="23"/>
      <c r="I2436" s="27"/>
      <c r="J2436" s="23"/>
      <c r="K2436" s="30"/>
      <c r="L2436" s="23"/>
      <c r="M2436" s="20"/>
      <c r="N2436" s="20"/>
      <c r="O2436" s="20"/>
      <c r="P2436" s="20"/>
    </row>
    <row r="2437">
      <c r="A2437" s="10"/>
      <c r="B2437" s="11"/>
      <c r="C2437" s="10"/>
      <c r="D2437" s="13"/>
      <c r="E2437" s="14"/>
      <c r="F2437" s="14"/>
      <c r="G2437" s="14"/>
      <c r="H2437" s="10"/>
      <c r="I2437" s="17"/>
      <c r="J2437" s="10"/>
      <c r="K2437" s="46"/>
      <c r="L2437" s="10"/>
      <c r="M2437" s="20"/>
      <c r="N2437" s="20"/>
      <c r="O2437" s="20"/>
      <c r="P2437" s="20"/>
    </row>
    <row r="2438">
      <c r="A2438" s="23"/>
      <c r="B2438" s="21"/>
      <c r="C2438" s="23"/>
      <c r="D2438" s="24"/>
      <c r="E2438" s="14"/>
      <c r="F2438" s="14"/>
      <c r="G2438" s="14"/>
      <c r="H2438" s="23"/>
      <c r="I2438" s="27"/>
      <c r="J2438" s="23"/>
      <c r="K2438" s="30"/>
      <c r="L2438" s="23"/>
      <c r="M2438" s="20"/>
      <c r="N2438" s="20"/>
      <c r="O2438" s="20"/>
      <c r="P2438" s="20"/>
    </row>
    <row r="2439">
      <c r="A2439" s="10"/>
      <c r="B2439" s="11"/>
      <c r="C2439" s="10"/>
      <c r="D2439" s="13"/>
      <c r="E2439" s="14"/>
      <c r="F2439" s="14"/>
      <c r="G2439" s="14"/>
      <c r="H2439" s="10"/>
      <c r="I2439" s="17"/>
      <c r="J2439" s="10"/>
      <c r="K2439" s="46"/>
      <c r="L2439" s="10"/>
      <c r="M2439" s="20"/>
      <c r="N2439" s="20"/>
      <c r="O2439" s="20"/>
      <c r="P2439" s="20"/>
    </row>
    <row r="2440">
      <c r="A2440" s="23"/>
      <c r="B2440" s="21"/>
      <c r="C2440" s="23"/>
      <c r="D2440" s="24"/>
      <c r="E2440" s="14"/>
      <c r="F2440" s="14"/>
      <c r="G2440" s="14"/>
      <c r="H2440" s="23"/>
      <c r="I2440" s="27"/>
      <c r="J2440" s="23"/>
      <c r="K2440" s="30"/>
      <c r="L2440" s="23"/>
      <c r="M2440" s="20"/>
      <c r="N2440" s="20"/>
      <c r="O2440" s="20"/>
      <c r="P2440" s="20"/>
    </row>
    <row r="2441">
      <c r="A2441" s="10"/>
      <c r="B2441" s="11"/>
      <c r="C2441" s="10"/>
      <c r="D2441" s="13"/>
      <c r="E2441" s="14"/>
      <c r="F2441" s="14"/>
      <c r="G2441" s="14"/>
      <c r="H2441" s="10"/>
      <c r="I2441" s="17"/>
      <c r="J2441" s="10"/>
      <c r="K2441" s="46"/>
      <c r="L2441" s="10"/>
      <c r="M2441" s="20"/>
      <c r="N2441" s="20"/>
      <c r="O2441" s="20"/>
      <c r="P2441" s="20"/>
    </row>
    <row r="2442">
      <c r="A2442" s="23"/>
      <c r="B2442" s="21"/>
      <c r="C2442" s="23"/>
      <c r="D2442" s="24"/>
      <c r="E2442" s="14"/>
      <c r="F2442" s="14"/>
      <c r="G2442" s="14"/>
      <c r="H2442" s="23"/>
      <c r="I2442" s="27"/>
      <c r="J2442" s="23"/>
      <c r="K2442" s="30"/>
      <c r="L2442" s="23"/>
      <c r="M2442" s="20"/>
      <c r="N2442" s="20"/>
      <c r="O2442" s="20"/>
      <c r="P2442" s="20"/>
    </row>
    <row r="2443">
      <c r="A2443" s="10"/>
      <c r="B2443" s="11"/>
      <c r="C2443" s="10"/>
      <c r="D2443" s="13"/>
      <c r="E2443" s="14"/>
      <c r="F2443" s="14"/>
      <c r="G2443" s="14"/>
      <c r="H2443" s="10"/>
      <c r="I2443" s="17"/>
      <c r="J2443" s="10"/>
      <c r="K2443" s="46"/>
      <c r="L2443" s="10"/>
      <c r="M2443" s="20"/>
      <c r="N2443" s="20"/>
      <c r="O2443" s="20"/>
      <c r="P2443" s="20"/>
    </row>
    <row r="2444">
      <c r="A2444" s="23"/>
      <c r="B2444" s="21"/>
      <c r="C2444" s="23"/>
      <c r="D2444" s="24"/>
      <c r="E2444" s="14"/>
      <c r="F2444" s="14"/>
      <c r="G2444" s="14"/>
      <c r="H2444" s="23"/>
      <c r="I2444" s="27"/>
      <c r="J2444" s="23"/>
      <c r="K2444" s="30"/>
      <c r="L2444" s="23"/>
      <c r="M2444" s="20"/>
      <c r="N2444" s="20"/>
      <c r="O2444" s="20"/>
      <c r="P2444" s="20"/>
    </row>
    <row r="2445">
      <c r="A2445" s="10"/>
      <c r="B2445" s="11"/>
      <c r="C2445" s="10"/>
      <c r="D2445" s="13"/>
      <c r="E2445" s="14"/>
      <c r="F2445" s="14"/>
      <c r="G2445" s="14"/>
      <c r="H2445" s="10"/>
      <c r="I2445" s="17"/>
      <c r="J2445" s="10"/>
      <c r="K2445" s="46"/>
      <c r="L2445" s="10"/>
      <c r="M2445" s="20"/>
      <c r="N2445" s="20"/>
      <c r="O2445" s="20"/>
      <c r="P2445" s="20"/>
    </row>
    <row r="2446">
      <c r="A2446" s="23"/>
      <c r="B2446" s="21"/>
      <c r="C2446" s="23"/>
      <c r="D2446" s="24"/>
      <c r="E2446" s="14"/>
      <c r="F2446" s="14"/>
      <c r="G2446" s="14"/>
      <c r="H2446" s="23"/>
      <c r="I2446" s="27"/>
      <c r="J2446" s="23"/>
      <c r="K2446" s="30"/>
      <c r="L2446" s="23"/>
      <c r="M2446" s="20"/>
      <c r="N2446" s="20"/>
      <c r="O2446" s="20"/>
      <c r="P2446" s="20"/>
    </row>
    <row r="2447">
      <c r="A2447" s="10"/>
      <c r="B2447" s="11"/>
      <c r="C2447" s="10"/>
      <c r="D2447" s="13"/>
      <c r="E2447" s="14"/>
      <c r="F2447" s="14"/>
      <c r="G2447" s="14"/>
      <c r="H2447" s="10"/>
      <c r="I2447" s="17"/>
      <c r="J2447" s="10"/>
      <c r="K2447" s="46"/>
      <c r="L2447" s="10"/>
      <c r="M2447" s="20"/>
      <c r="N2447" s="20"/>
      <c r="O2447" s="20"/>
      <c r="P2447" s="20"/>
    </row>
    <row r="2448">
      <c r="A2448" s="23"/>
      <c r="B2448" s="21"/>
      <c r="C2448" s="23"/>
      <c r="D2448" s="24"/>
      <c r="E2448" s="14"/>
      <c r="F2448" s="14"/>
      <c r="G2448" s="14"/>
      <c r="H2448" s="23"/>
      <c r="I2448" s="27"/>
      <c r="J2448" s="23"/>
      <c r="K2448" s="30"/>
      <c r="L2448" s="23"/>
      <c r="M2448" s="20"/>
      <c r="N2448" s="20"/>
      <c r="O2448" s="20"/>
      <c r="P2448" s="20"/>
    </row>
    <row r="2449">
      <c r="A2449" s="10"/>
      <c r="B2449" s="11"/>
      <c r="C2449" s="10"/>
      <c r="D2449" s="13"/>
      <c r="E2449" s="14"/>
      <c r="F2449" s="14"/>
      <c r="G2449" s="14"/>
      <c r="H2449" s="10"/>
      <c r="I2449" s="17"/>
      <c r="J2449" s="10"/>
      <c r="K2449" s="46"/>
      <c r="L2449" s="10"/>
      <c r="M2449" s="20"/>
      <c r="N2449" s="20"/>
      <c r="O2449" s="20"/>
      <c r="P2449" s="20"/>
    </row>
    <row r="2450">
      <c r="A2450" s="23"/>
      <c r="B2450" s="21"/>
      <c r="C2450" s="23"/>
      <c r="D2450" s="24"/>
      <c r="E2450" s="14"/>
      <c r="F2450" s="14"/>
      <c r="G2450" s="14"/>
      <c r="H2450" s="23"/>
      <c r="I2450" s="27"/>
      <c r="J2450" s="23"/>
      <c r="K2450" s="30"/>
      <c r="L2450" s="23"/>
      <c r="M2450" s="20"/>
      <c r="N2450" s="20"/>
      <c r="O2450" s="20"/>
      <c r="P2450" s="20"/>
    </row>
    <row r="2451">
      <c r="A2451" s="10"/>
      <c r="B2451" s="11"/>
      <c r="C2451" s="10"/>
      <c r="D2451" s="13"/>
      <c r="E2451" s="14"/>
      <c r="F2451" s="14"/>
      <c r="G2451" s="14"/>
      <c r="H2451" s="10"/>
      <c r="I2451" s="17"/>
      <c r="J2451" s="10"/>
      <c r="K2451" s="46"/>
      <c r="L2451" s="10"/>
      <c r="M2451" s="20"/>
      <c r="N2451" s="20"/>
      <c r="O2451" s="20"/>
      <c r="P2451" s="20"/>
    </row>
    <row r="2452">
      <c r="A2452" s="23"/>
      <c r="B2452" s="21"/>
      <c r="C2452" s="23"/>
      <c r="D2452" s="24"/>
      <c r="E2452" s="14"/>
      <c r="F2452" s="14"/>
      <c r="G2452" s="14"/>
      <c r="H2452" s="23"/>
      <c r="I2452" s="27"/>
      <c r="J2452" s="23"/>
      <c r="K2452" s="30"/>
      <c r="L2452" s="23"/>
      <c r="M2452" s="20"/>
      <c r="N2452" s="20"/>
      <c r="O2452" s="20"/>
      <c r="P2452" s="20"/>
    </row>
    <row r="2453">
      <c r="A2453" s="10"/>
      <c r="B2453" s="11"/>
      <c r="C2453" s="10"/>
      <c r="D2453" s="13"/>
      <c r="E2453" s="14"/>
      <c r="F2453" s="14"/>
      <c r="G2453" s="14"/>
      <c r="H2453" s="10"/>
      <c r="I2453" s="17"/>
      <c r="J2453" s="10"/>
      <c r="K2453" s="46"/>
      <c r="L2453" s="10"/>
      <c r="M2453" s="20"/>
      <c r="N2453" s="20"/>
      <c r="O2453" s="20"/>
      <c r="P2453" s="20"/>
    </row>
    <row r="2454">
      <c r="A2454" s="23"/>
      <c r="B2454" s="21"/>
      <c r="C2454" s="23"/>
      <c r="D2454" s="24"/>
      <c r="E2454" s="14"/>
      <c r="F2454" s="14"/>
      <c r="G2454" s="14"/>
      <c r="H2454" s="23"/>
      <c r="I2454" s="27"/>
      <c r="J2454" s="23"/>
      <c r="K2454" s="30"/>
      <c r="L2454" s="23"/>
      <c r="M2454" s="20"/>
      <c r="N2454" s="20"/>
      <c r="O2454" s="20"/>
      <c r="P2454" s="20"/>
    </row>
    <row r="2455">
      <c r="A2455" s="10"/>
      <c r="B2455" s="11"/>
      <c r="C2455" s="10"/>
      <c r="D2455" s="13"/>
      <c r="E2455" s="14"/>
      <c r="F2455" s="14"/>
      <c r="G2455" s="14"/>
      <c r="H2455" s="10"/>
      <c r="I2455" s="17"/>
      <c r="J2455" s="10"/>
      <c r="K2455" s="46"/>
      <c r="L2455" s="10"/>
      <c r="M2455" s="20"/>
      <c r="N2455" s="20"/>
      <c r="O2455" s="20"/>
      <c r="P2455" s="20"/>
    </row>
    <row r="2456">
      <c r="A2456" s="23"/>
      <c r="B2456" s="21"/>
      <c r="C2456" s="23"/>
      <c r="D2456" s="24"/>
      <c r="E2456" s="14"/>
      <c r="F2456" s="14"/>
      <c r="G2456" s="14"/>
      <c r="H2456" s="23"/>
      <c r="I2456" s="27"/>
      <c r="J2456" s="23"/>
      <c r="K2456" s="30"/>
      <c r="L2456" s="23"/>
      <c r="M2456" s="20"/>
      <c r="N2456" s="20"/>
      <c r="O2456" s="20"/>
      <c r="P2456" s="20"/>
    </row>
    <row r="2457">
      <c r="A2457" s="10"/>
      <c r="B2457" s="11"/>
      <c r="C2457" s="10"/>
      <c r="D2457" s="13"/>
      <c r="E2457" s="14"/>
      <c r="F2457" s="14"/>
      <c r="G2457" s="14"/>
      <c r="H2457" s="10"/>
      <c r="I2457" s="17"/>
      <c r="J2457" s="10"/>
      <c r="K2457" s="46"/>
      <c r="L2457" s="10"/>
      <c r="M2457" s="20"/>
      <c r="N2457" s="20"/>
      <c r="O2457" s="20"/>
      <c r="P2457" s="20"/>
    </row>
    <row r="2458">
      <c r="A2458" s="23"/>
      <c r="B2458" s="21"/>
      <c r="C2458" s="23"/>
      <c r="D2458" s="24"/>
      <c r="E2458" s="14"/>
      <c r="F2458" s="14"/>
      <c r="G2458" s="14"/>
      <c r="H2458" s="23"/>
      <c r="I2458" s="27"/>
      <c r="J2458" s="23"/>
      <c r="K2458" s="30"/>
      <c r="L2458" s="23"/>
      <c r="M2458" s="20"/>
      <c r="N2458" s="20"/>
      <c r="O2458" s="20"/>
      <c r="P2458" s="20"/>
    </row>
    <row r="2459">
      <c r="A2459" s="10"/>
      <c r="B2459" s="11"/>
      <c r="C2459" s="10"/>
      <c r="D2459" s="13"/>
      <c r="E2459" s="14"/>
      <c r="F2459" s="14"/>
      <c r="G2459" s="14"/>
      <c r="H2459" s="10"/>
      <c r="I2459" s="17"/>
      <c r="J2459" s="10"/>
      <c r="K2459" s="46"/>
      <c r="L2459" s="10"/>
      <c r="M2459" s="20"/>
      <c r="N2459" s="20"/>
      <c r="O2459" s="20"/>
      <c r="P2459" s="20"/>
    </row>
    <row r="2460">
      <c r="A2460" s="23"/>
      <c r="B2460" s="21"/>
      <c r="C2460" s="23"/>
      <c r="D2460" s="24"/>
      <c r="E2460" s="14"/>
      <c r="F2460" s="14"/>
      <c r="G2460" s="14"/>
      <c r="H2460" s="23"/>
      <c r="I2460" s="27"/>
      <c r="J2460" s="23"/>
      <c r="K2460" s="30"/>
      <c r="L2460" s="23"/>
      <c r="M2460" s="20"/>
      <c r="N2460" s="20"/>
      <c r="O2460" s="20"/>
      <c r="P2460" s="20"/>
    </row>
    <row r="2461">
      <c r="A2461" s="10"/>
      <c r="B2461" s="11"/>
      <c r="C2461" s="10"/>
      <c r="D2461" s="13"/>
      <c r="E2461" s="14"/>
      <c r="F2461" s="14"/>
      <c r="G2461" s="14"/>
      <c r="H2461" s="10"/>
      <c r="I2461" s="17"/>
      <c r="J2461" s="10"/>
      <c r="K2461" s="46"/>
      <c r="L2461" s="10"/>
      <c r="M2461" s="20"/>
      <c r="N2461" s="20"/>
      <c r="O2461" s="20"/>
      <c r="P2461" s="20"/>
    </row>
    <row r="2462">
      <c r="A2462" s="23"/>
      <c r="B2462" s="21"/>
      <c r="C2462" s="23"/>
      <c r="D2462" s="24"/>
      <c r="E2462" s="14"/>
      <c r="F2462" s="14"/>
      <c r="G2462" s="14"/>
      <c r="H2462" s="23"/>
      <c r="I2462" s="27"/>
      <c r="J2462" s="23"/>
      <c r="K2462" s="30"/>
      <c r="L2462" s="23"/>
      <c r="M2462" s="20"/>
      <c r="N2462" s="20"/>
      <c r="O2462" s="20"/>
      <c r="P2462" s="20"/>
    </row>
    <row r="2463">
      <c r="A2463" s="10"/>
      <c r="B2463" s="11"/>
      <c r="C2463" s="10"/>
      <c r="D2463" s="13"/>
      <c r="E2463" s="14"/>
      <c r="F2463" s="14"/>
      <c r="G2463" s="14"/>
      <c r="H2463" s="10"/>
      <c r="I2463" s="17"/>
      <c r="J2463" s="10"/>
      <c r="K2463" s="46"/>
      <c r="L2463" s="10"/>
      <c r="M2463" s="20"/>
      <c r="N2463" s="20"/>
      <c r="O2463" s="20"/>
      <c r="P2463" s="20"/>
    </row>
    <row r="2464">
      <c r="A2464" s="23"/>
      <c r="B2464" s="21"/>
      <c r="C2464" s="23"/>
      <c r="D2464" s="24"/>
      <c r="E2464" s="14"/>
      <c r="F2464" s="14"/>
      <c r="G2464" s="14"/>
      <c r="H2464" s="23"/>
      <c r="I2464" s="27"/>
      <c r="J2464" s="23"/>
      <c r="K2464" s="30"/>
      <c r="L2464" s="23"/>
      <c r="M2464" s="20"/>
      <c r="N2464" s="20"/>
      <c r="O2464" s="20"/>
      <c r="P2464" s="20"/>
    </row>
    <row r="2465">
      <c r="A2465" s="10"/>
      <c r="B2465" s="11"/>
      <c r="C2465" s="10"/>
      <c r="D2465" s="13"/>
      <c r="E2465" s="14"/>
      <c r="F2465" s="14"/>
      <c r="G2465" s="14"/>
      <c r="H2465" s="10"/>
      <c r="I2465" s="17"/>
      <c r="J2465" s="10"/>
      <c r="K2465" s="46"/>
      <c r="L2465" s="10"/>
      <c r="M2465" s="20"/>
      <c r="N2465" s="20"/>
      <c r="O2465" s="20"/>
      <c r="P2465" s="20"/>
    </row>
    <row r="2466">
      <c r="A2466" s="23"/>
      <c r="B2466" s="21"/>
      <c r="C2466" s="23"/>
      <c r="D2466" s="24"/>
      <c r="E2466" s="14"/>
      <c r="F2466" s="14"/>
      <c r="G2466" s="14"/>
      <c r="H2466" s="23"/>
      <c r="I2466" s="27"/>
      <c r="J2466" s="23"/>
      <c r="K2466" s="30"/>
      <c r="L2466" s="23"/>
      <c r="M2466" s="20"/>
      <c r="N2466" s="20"/>
      <c r="O2466" s="20"/>
      <c r="P2466" s="20"/>
    </row>
    <row r="2467">
      <c r="A2467" s="10"/>
      <c r="B2467" s="11"/>
      <c r="C2467" s="10"/>
      <c r="D2467" s="13"/>
      <c r="E2467" s="14"/>
      <c r="F2467" s="14"/>
      <c r="G2467" s="14"/>
      <c r="H2467" s="10"/>
      <c r="I2467" s="17"/>
      <c r="J2467" s="10"/>
      <c r="K2467" s="46"/>
      <c r="L2467" s="10"/>
      <c r="M2467" s="20"/>
      <c r="N2467" s="20"/>
      <c r="O2467" s="20"/>
      <c r="P2467" s="20"/>
    </row>
    <row r="2468">
      <c r="A2468" s="23"/>
      <c r="B2468" s="21"/>
      <c r="C2468" s="23"/>
      <c r="D2468" s="24"/>
      <c r="E2468" s="14"/>
      <c r="F2468" s="14"/>
      <c r="G2468" s="14"/>
      <c r="H2468" s="23"/>
      <c r="I2468" s="27"/>
      <c r="J2468" s="23"/>
      <c r="K2468" s="30"/>
      <c r="L2468" s="23"/>
      <c r="M2468" s="20"/>
      <c r="N2468" s="20"/>
      <c r="O2468" s="20"/>
      <c r="P2468" s="20"/>
    </row>
    <row r="2469">
      <c r="A2469" s="10"/>
      <c r="B2469" s="11"/>
      <c r="C2469" s="10"/>
      <c r="D2469" s="13"/>
      <c r="E2469" s="14"/>
      <c r="F2469" s="14"/>
      <c r="G2469" s="14"/>
      <c r="H2469" s="10"/>
      <c r="I2469" s="17"/>
      <c r="J2469" s="10"/>
      <c r="K2469" s="46"/>
      <c r="L2469" s="10"/>
      <c r="M2469" s="20"/>
      <c r="N2469" s="20"/>
      <c r="O2469" s="20"/>
      <c r="P2469" s="20"/>
    </row>
    <row r="2470">
      <c r="A2470" s="23"/>
      <c r="B2470" s="21"/>
      <c r="C2470" s="23"/>
      <c r="D2470" s="24"/>
      <c r="E2470" s="14"/>
      <c r="F2470" s="14"/>
      <c r="G2470" s="14"/>
      <c r="H2470" s="23"/>
      <c r="I2470" s="27"/>
      <c r="J2470" s="23"/>
      <c r="K2470" s="30"/>
      <c r="L2470" s="23"/>
      <c r="M2470" s="20"/>
      <c r="N2470" s="20"/>
      <c r="O2470" s="20"/>
      <c r="P2470" s="20"/>
    </row>
    <row r="2471">
      <c r="A2471" s="10"/>
      <c r="B2471" s="11"/>
      <c r="C2471" s="10"/>
      <c r="D2471" s="13"/>
      <c r="E2471" s="14"/>
      <c r="F2471" s="14"/>
      <c r="G2471" s="14"/>
      <c r="H2471" s="10"/>
      <c r="I2471" s="17"/>
      <c r="J2471" s="10"/>
      <c r="K2471" s="46"/>
      <c r="L2471" s="10"/>
      <c r="M2471" s="20"/>
      <c r="N2471" s="20"/>
      <c r="O2471" s="20"/>
      <c r="P2471" s="20"/>
    </row>
    <row r="2472">
      <c r="A2472" s="23"/>
      <c r="B2472" s="21"/>
      <c r="C2472" s="23"/>
      <c r="D2472" s="24"/>
      <c r="E2472" s="14"/>
      <c r="F2472" s="14"/>
      <c r="G2472" s="14"/>
      <c r="H2472" s="23"/>
      <c r="I2472" s="27"/>
      <c r="J2472" s="23"/>
      <c r="K2472" s="30"/>
      <c r="L2472" s="23"/>
      <c r="M2472" s="20"/>
      <c r="N2472" s="20"/>
      <c r="O2472" s="20"/>
      <c r="P2472" s="20"/>
    </row>
    <row r="2473">
      <c r="A2473" s="10"/>
      <c r="B2473" s="11"/>
      <c r="C2473" s="10"/>
      <c r="D2473" s="13"/>
      <c r="E2473" s="14"/>
      <c r="F2473" s="14"/>
      <c r="G2473" s="14"/>
      <c r="H2473" s="10"/>
      <c r="I2473" s="17"/>
      <c r="J2473" s="10"/>
      <c r="K2473" s="46"/>
      <c r="L2473" s="10"/>
      <c r="M2473" s="20"/>
      <c r="N2473" s="20"/>
      <c r="O2473" s="20"/>
      <c r="P2473" s="20"/>
    </row>
    <row r="2474">
      <c r="A2474" s="23"/>
      <c r="B2474" s="21"/>
      <c r="C2474" s="23"/>
      <c r="D2474" s="24"/>
      <c r="E2474" s="14"/>
      <c r="F2474" s="14"/>
      <c r="G2474" s="14"/>
      <c r="H2474" s="23"/>
      <c r="I2474" s="27"/>
      <c r="J2474" s="23"/>
      <c r="K2474" s="30"/>
      <c r="L2474" s="23"/>
      <c r="M2474" s="20"/>
      <c r="N2474" s="20"/>
      <c r="O2474" s="20"/>
      <c r="P2474" s="20"/>
    </row>
    <row r="2475">
      <c r="A2475" s="10"/>
      <c r="B2475" s="11"/>
      <c r="C2475" s="10"/>
      <c r="D2475" s="13"/>
      <c r="E2475" s="14"/>
      <c r="F2475" s="14"/>
      <c r="G2475" s="14"/>
      <c r="H2475" s="10"/>
      <c r="I2475" s="17"/>
      <c r="J2475" s="10"/>
      <c r="K2475" s="46"/>
      <c r="L2475" s="10"/>
      <c r="M2475" s="20"/>
      <c r="N2475" s="20"/>
      <c r="O2475" s="20"/>
      <c r="P2475" s="20"/>
    </row>
    <row r="2476">
      <c r="A2476" s="23"/>
      <c r="B2476" s="21"/>
      <c r="C2476" s="23"/>
      <c r="D2476" s="24"/>
      <c r="E2476" s="14"/>
      <c r="F2476" s="14"/>
      <c r="G2476" s="14"/>
      <c r="H2476" s="23"/>
      <c r="I2476" s="27"/>
      <c r="J2476" s="23"/>
      <c r="K2476" s="30"/>
      <c r="L2476" s="23"/>
      <c r="M2476" s="20"/>
      <c r="N2476" s="20"/>
      <c r="O2476" s="20"/>
      <c r="P2476" s="20"/>
    </row>
    <row r="2477">
      <c r="A2477" s="10"/>
      <c r="B2477" s="11"/>
      <c r="C2477" s="10"/>
      <c r="D2477" s="13"/>
      <c r="E2477" s="14"/>
      <c r="F2477" s="14"/>
      <c r="G2477" s="14"/>
      <c r="H2477" s="10"/>
      <c r="I2477" s="17"/>
      <c r="J2477" s="10"/>
      <c r="K2477" s="46"/>
      <c r="L2477" s="10"/>
      <c r="M2477" s="20"/>
      <c r="N2477" s="20"/>
      <c r="O2477" s="20"/>
      <c r="P2477" s="20"/>
    </row>
    <row r="2478">
      <c r="A2478" s="23"/>
      <c r="B2478" s="21"/>
      <c r="C2478" s="23"/>
      <c r="D2478" s="24"/>
      <c r="E2478" s="14"/>
      <c r="F2478" s="14"/>
      <c r="G2478" s="14"/>
      <c r="H2478" s="23"/>
      <c r="I2478" s="27"/>
      <c r="J2478" s="23"/>
      <c r="K2478" s="30"/>
      <c r="L2478" s="23"/>
      <c r="M2478" s="20"/>
      <c r="N2478" s="20"/>
      <c r="O2478" s="20"/>
      <c r="P2478" s="20"/>
    </row>
    <row r="2479">
      <c r="A2479" s="10"/>
      <c r="B2479" s="11"/>
      <c r="C2479" s="10"/>
      <c r="D2479" s="13"/>
      <c r="E2479" s="14"/>
      <c r="F2479" s="14"/>
      <c r="G2479" s="14"/>
      <c r="H2479" s="10"/>
      <c r="I2479" s="17"/>
      <c r="J2479" s="10"/>
      <c r="K2479" s="46"/>
      <c r="L2479" s="10"/>
      <c r="M2479" s="20"/>
      <c r="N2479" s="20"/>
      <c r="O2479" s="20"/>
      <c r="P2479" s="20"/>
    </row>
    <row r="2480">
      <c r="A2480" s="23"/>
      <c r="B2480" s="21"/>
      <c r="C2480" s="23"/>
      <c r="D2480" s="24"/>
      <c r="E2480" s="14"/>
      <c r="F2480" s="14"/>
      <c r="G2480" s="14"/>
      <c r="H2480" s="23"/>
      <c r="I2480" s="27"/>
      <c r="J2480" s="23"/>
      <c r="K2480" s="30"/>
      <c r="L2480" s="23"/>
      <c r="M2480" s="20"/>
      <c r="N2480" s="20"/>
      <c r="O2480" s="20"/>
      <c r="P2480" s="20"/>
    </row>
    <row r="2481">
      <c r="A2481" s="10"/>
      <c r="B2481" s="11"/>
      <c r="C2481" s="10"/>
      <c r="D2481" s="13"/>
      <c r="E2481" s="14"/>
      <c r="F2481" s="14"/>
      <c r="G2481" s="14"/>
      <c r="H2481" s="10"/>
      <c r="I2481" s="17"/>
      <c r="J2481" s="10"/>
      <c r="K2481" s="46"/>
      <c r="L2481" s="10"/>
      <c r="M2481" s="20"/>
      <c r="N2481" s="20"/>
      <c r="O2481" s="20"/>
      <c r="P2481" s="20"/>
    </row>
    <row r="2482">
      <c r="A2482" s="23"/>
      <c r="B2482" s="21"/>
      <c r="C2482" s="23"/>
      <c r="D2482" s="24"/>
      <c r="E2482" s="14"/>
      <c r="F2482" s="14"/>
      <c r="G2482" s="14"/>
      <c r="H2482" s="23"/>
      <c r="I2482" s="27"/>
      <c r="J2482" s="23"/>
      <c r="K2482" s="30"/>
      <c r="L2482" s="23"/>
      <c r="M2482" s="20"/>
      <c r="N2482" s="20"/>
      <c r="O2482" s="20"/>
      <c r="P2482" s="20"/>
    </row>
    <row r="2483">
      <c r="A2483" s="10"/>
      <c r="B2483" s="11"/>
      <c r="C2483" s="10"/>
      <c r="D2483" s="13"/>
      <c r="E2483" s="14"/>
      <c r="F2483" s="14"/>
      <c r="G2483" s="14"/>
      <c r="H2483" s="10"/>
      <c r="I2483" s="17"/>
      <c r="J2483" s="10"/>
      <c r="K2483" s="46"/>
      <c r="L2483" s="10"/>
      <c r="M2483" s="20"/>
      <c r="N2483" s="20"/>
      <c r="O2483" s="20"/>
      <c r="P2483" s="20"/>
    </row>
    <row r="2484">
      <c r="A2484" s="23"/>
      <c r="B2484" s="21"/>
      <c r="C2484" s="23"/>
      <c r="D2484" s="24"/>
      <c r="E2484" s="14"/>
      <c r="F2484" s="14"/>
      <c r="G2484" s="14"/>
      <c r="H2484" s="23"/>
      <c r="I2484" s="27"/>
      <c r="J2484" s="23"/>
      <c r="K2484" s="30"/>
      <c r="L2484" s="23"/>
      <c r="M2484" s="20"/>
      <c r="N2484" s="20"/>
      <c r="O2484" s="20"/>
      <c r="P2484" s="20"/>
    </row>
    <row r="2485">
      <c r="A2485" s="10"/>
      <c r="B2485" s="11"/>
      <c r="C2485" s="10"/>
      <c r="D2485" s="13"/>
      <c r="E2485" s="14"/>
      <c r="F2485" s="14"/>
      <c r="G2485" s="14"/>
      <c r="H2485" s="10"/>
      <c r="I2485" s="17"/>
      <c r="J2485" s="10"/>
      <c r="K2485" s="46"/>
      <c r="L2485" s="10"/>
      <c r="M2485" s="20"/>
      <c r="N2485" s="20"/>
      <c r="O2485" s="20"/>
      <c r="P2485" s="20"/>
    </row>
    <row r="2486">
      <c r="A2486" s="23"/>
      <c r="B2486" s="21"/>
      <c r="C2486" s="23"/>
      <c r="D2486" s="24"/>
      <c r="E2486" s="14"/>
      <c r="F2486" s="14"/>
      <c r="G2486" s="14"/>
      <c r="H2486" s="23"/>
      <c r="I2486" s="27"/>
      <c r="J2486" s="23"/>
      <c r="K2486" s="30"/>
      <c r="L2486" s="23"/>
      <c r="M2486" s="20"/>
      <c r="N2486" s="20"/>
      <c r="O2486" s="20"/>
      <c r="P2486" s="20"/>
    </row>
    <row r="2487">
      <c r="A2487" s="10"/>
      <c r="B2487" s="11"/>
      <c r="C2487" s="10"/>
      <c r="D2487" s="13"/>
      <c r="E2487" s="14"/>
      <c r="F2487" s="14"/>
      <c r="G2487" s="14"/>
      <c r="H2487" s="10"/>
      <c r="I2487" s="17"/>
      <c r="J2487" s="10"/>
      <c r="K2487" s="46"/>
      <c r="L2487" s="10"/>
      <c r="M2487" s="20"/>
      <c r="N2487" s="20"/>
      <c r="O2487" s="20"/>
      <c r="P2487" s="20"/>
    </row>
    <row r="2488">
      <c r="A2488" s="23"/>
      <c r="B2488" s="21"/>
      <c r="C2488" s="23"/>
      <c r="D2488" s="24"/>
      <c r="E2488" s="14"/>
      <c r="F2488" s="14"/>
      <c r="G2488" s="14"/>
      <c r="H2488" s="23"/>
      <c r="I2488" s="27"/>
      <c r="J2488" s="23"/>
      <c r="K2488" s="30"/>
      <c r="L2488" s="23"/>
      <c r="M2488" s="20"/>
      <c r="N2488" s="20"/>
      <c r="O2488" s="20"/>
      <c r="P2488" s="20"/>
    </row>
    <row r="2489">
      <c r="A2489" s="10"/>
      <c r="B2489" s="11"/>
      <c r="C2489" s="10"/>
      <c r="D2489" s="13"/>
      <c r="E2489" s="14"/>
      <c r="F2489" s="14"/>
      <c r="G2489" s="14"/>
      <c r="H2489" s="10"/>
      <c r="I2489" s="17"/>
      <c r="J2489" s="10"/>
      <c r="K2489" s="46"/>
      <c r="L2489" s="10"/>
      <c r="M2489" s="20"/>
      <c r="N2489" s="20"/>
      <c r="O2489" s="20"/>
      <c r="P2489" s="20"/>
    </row>
    <row r="2490">
      <c r="A2490" s="23"/>
      <c r="B2490" s="21"/>
      <c r="C2490" s="23"/>
      <c r="D2490" s="24"/>
      <c r="E2490" s="14"/>
      <c r="F2490" s="14"/>
      <c r="G2490" s="14"/>
      <c r="H2490" s="23"/>
      <c r="I2490" s="27"/>
      <c r="J2490" s="23"/>
      <c r="K2490" s="30"/>
      <c r="L2490" s="23"/>
      <c r="M2490" s="20"/>
      <c r="N2490" s="20"/>
      <c r="O2490" s="20"/>
      <c r="P2490" s="20"/>
    </row>
    <row r="2491">
      <c r="A2491" s="10"/>
      <c r="B2491" s="11"/>
      <c r="C2491" s="10"/>
      <c r="D2491" s="13"/>
      <c r="E2491" s="14"/>
      <c r="F2491" s="14"/>
      <c r="G2491" s="14"/>
      <c r="H2491" s="10"/>
      <c r="I2491" s="17"/>
      <c r="J2491" s="10"/>
      <c r="K2491" s="46"/>
      <c r="L2491" s="10"/>
      <c r="M2491" s="20"/>
      <c r="N2491" s="20"/>
      <c r="O2491" s="20"/>
      <c r="P2491" s="20"/>
    </row>
    <row r="2492">
      <c r="A2492" s="23"/>
      <c r="B2492" s="21"/>
      <c r="C2492" s="23"/>
      <c r="D2492" s="24"/>
      <c r="E2492" s="14"/>
      <c r="F2492" s="14"/>
      <c r="G2492" s="14"/>
      <c r="H2492" s="23"/>
      <c r="I2492" s="27"/>
      <c r="J2492" s="23"/>
      <c r="K2492" s="30"/>
      <c r="L2492" s="23"/>
      <c r="M2492" s="20"/>
      <c r="N2492" s="20"/>
      <c r="O2492" s="20"/>
      <c r="P2492" s="20"/>
    </row>
    <row r="2493">
      <c r="A2493" s="10"/>
      <c r="B2493" s="11"/>
      <c r="C2493" s="10"/>
      <c r="D2493" s="13"/>
      <c r="E2493" s="14"/>
      <c r="F2493" s="14"/>
      <c r="G2493" s="14"/>
      <c r="H2493" s="10"/>
      <c r="I2493" s="17"/>
      <c r="J2493" s="10"/>
      <c r="K2493" s="46"/>
      <c r="L2493" s="10"/>
      <c r="M2493" s="20"/>
      <c r="N2493" s="20"/>
      <c r="O2493" s="20"/>
      <c r="P2493" s="20"/>
    </row>
    <row r="2494">
      <c r="A2494" s="23"/>
      <c r="B2494" s="21"/>
      <c r="C2494" s="23"/>
      <c r="D2494" s="24"/>
      <c r="E2494" s="14"/>
      <c r="F2494" s="14"/>
      <c r="G2494" s="14"/>
      <c r="H2494" s="23"/>
      <c r="I2494" s="27"/>
      <c r="J2494" s="23"/>
      <c r="K2494" s="30"/>
      <c r="L2494" s="23"/>
      <c r="M2494" s="20"/>
      <c r="N2494" s="20"/>
      <c r="O2494" s="20"/>
      <c r="P2494" s="20"/>
    </row>
    <row r="2495">
      <c r="A2495" s="10"/>
      <c r="B2495" s="11"/>
      <c r="C2495" s="10"/>
      <c r="D2495" s="13"/>
      <c r="E2495" s="14"/>
      <c r="F2495" s="14"/>
      <c r="G2495" s="14"/>
      <c r="H2495" s="10"/>
      <c r="I2495" s="17"/>
      <c r="J2495" s="10"/>
      <c r="K2495" s="46"/>
      <c r="L2495" s="10"/>
      <c r="M2495" s="20"/>
      <c r="N2495" s="20"/>
      <c r="O2495" s="20"/>
      <c r="P2495" s="20"/>
    </row>
    <row r="2496">
      <c r="A2496" s="23"/>
      <c r="B2496" s="21"/>
      <c r="C2496" s="23"/>
      <c r="D2496" s="24"/>
      <c r="E2496" s="14"/>
      <c r="F2496" s="14"/>
      <c r="G2496" s="14"/>
      <c r="H2496" s="23"/>
      <c r="I2496" s="27"/>
      <c r="J2496" s="23"/>
      <c r="K2496" s="30"/>
      <c r="L2496" s="23"/>
      <c r="M2496" s="20"/>
      <c r="N2496" s="20"/>
      <c r="O2496" s="20"/>
      <c r="P2496" s="20"/>
    </row>
    <row r="2497">
      <c r="A2497" s="10"/>
      <c r="B2497" s="11"/>
      <c r="C2497" s="10"/>
      <c r="D2497" s="13"/>
      <c r="E2497" s="14"/>
      <c r="F2497" s="14"/>
      <c r="G2497" s="14"/>
      <c r="H2497" s="10"/>
      <c r="I2497" s="17"/>
      <c r="J2497" s="10"/>
      <c r="K2497" s="46"/>
      <c r="L2497" s="10"/>
      <c r="M2497" s="20"/>
      <c r="N2497" s="20"/>
      <c r="O2497" s="20"/>
      <c r="P2497" s="20"/>
    </row>
    <row r="2498">
      <c r="A2498" s="23"/>
      <c r="B2498" s="21"/>
      <c r="C2498" s="23"/>
      <c r="D2498" s="24"/>
      <c r="E2498" s="14"/>
      <c r="F2498" s="14"/>
      <c r="G2498" s="14"/>
      <c r="H2498" s="23"/>
      <c r="I2498" s="27"/>
      <c r="J2498" s="23"/>
      <c r="K2498" s="30"/>
      <c r="L2498" s="23"/>
      <c r="M2498" s="20"/>
      <c r="N2498" s="20"/>
      <c r="O2498" s="20"/>
      <c r="P2498" s="20"/>
    </row>
    <row r="2499">
      <c r="A2499" s="10"/>
      <c r="B2499" s="11"/>
      <c r="C2499" s="10"/>
      <c r="D2499" s="13"/>
      <c r="E2499" s="14"/>
      <c r="F2499" s="14"/>
      <c r="G2499" s="14"/>
      <c r="H2499" s="10"/>
      <c r="I2499" s="17"/>
      <c r="J2499" s="10"/>
      <c r="K2499" s="46"/>
      <c r="L2499" s="10"/>
      <c r="M2499" s="20"/>
      <c r="N2499" s="20"/>
      <c r="O2499" s="20"/>
      <c r="P2499" s="20"/>
    </row>
    <row r="2500">
      <c r="A2500" s="23"/>
      <c r="B2500" s="21"/>
      <c r="C2500" s="23"/>
      <c r="D2500" s="24"/>
      <c r="E2500" s="14"/>
      <c r="F2500" s="14"/>
      <c r="G2500" s="14"/>
      <c r="H2500" s="23"/>
      <c r="I2500" s="27"/>
      <c r="J2500" s="23"/>
      <c r="K2500" s="30"/>
      <c r="L2500" s="23"/>
      <c r="M2500" s="20"/>
      <c r="N2500" s="20"/>
      <c r="O2500" s="20"/>
      <c r="P2500" s="20"/>
    </row>
    <row r="2501">
      <c r="A2501" s="10"/>
      <c r="B2501" s="11"/>
      <c r="C2501" s="10"/>
      <c r="D2501" s="13"/>
      <c r="E2501" s="14"/>
      <c r="F2501" s="14"/>
      <c r="G2501" s="14"/>
      <c r="H2501" s="10"/>
      <c r="I2501" s="17"/>
      <c r="J2501" s="10"/>
      <c r="K2501" s="46"/>
      <c r="L2501" s="10"/>
      <c r="M2501" s="20"/>
      <c r="N2501" s="20"/>
      <c r="O2501" s="20"/>
      <c r="P2501" s="20"/>
    </row>
    <row r="2502">
      <c r="A2502" s="23"/>
      <c r="B2502" s="21"/>
      <c r="C2502" s="23"/>
      <c r="D2502" s="24"/>
      <c r="E2502" s="14"/>
      <c r="F2502" s="14"/>
      <c r="G2502" s="14"/>
      <c r="H2502" s="23"/>
      <c r="I2502" s="27"/>
      <c r="J2502" s="23"/>
      <c r="K2502" s="30"/>
      <c r="L2502" s="23"/>
      <c r="M2502" s="20"/>
      <c r="N2502" s="20"/>
      <c r="O2502" s="20"/>
      <c r="P2502" s="20"/>
    </row>
    <row r="2503">
      <c r="A2503" s="10"/>
      <c r="B2503" s="11"/>
      <c r="C2503" s="10"/>
      <c r="D2503" s="13"/>
      <c r="E2503" s="14"/>
      <c r="F2503" s="14"/>
      <c r="G2503" s="14"/>
      <c r="H2503" s="10"/>
      <c r="I2503" s="17"/>
      <c r="J2503" s="10"/>
      <c r="K2503" s="46"/>
      <c r="L2503" s="10"/>
      <c r="M2503" s="20"/>
      <c r="N2503" s="20"/>
      <c r="O2503" s="20"/>
      <c r="P2503" s="20"/>
    </row>
    <row r="2504">
      <c r="A2504" s="23"/>
      <c r="B2504" s="21"/>
      <c r="C2504" s="23"/>
      <c r="D2504" s="24"/>
      <c r="E2504" s="14"/>
      <c r="F2504" s="14"/>
      <c r="G2504" s="14"/>
      <c r="H2504" s="23"/>
      <c r="I2504" s="27"/>
      <c r="J2504" s="23"/>
      <c r="K2504" s="30"/>
      <c r="L2504" s="23"/>
      <c r="M2504" s="20"/>
      <c r="N2504" s="20"/>
      <c r="O2504" s="20"/>
      <c r="P2504" s="20"/>
    </row>
    <row r="2505">
      <c r="A2505" s="10"/>
      <c r="B2505" s="11"/>
      <c r="C2505" s="10"/>
      <c r="D2505" s="13"/>
      <c r="E2505" s="14"/>
      <c r="F2505" s="14"/>
      <c r="G2505" s="14"/>
      <c r="H2505" s="10"/>
      <c r="I2505" s="17"/>
      <c r="J2505" s="10"/>
      <c r="K2505" s="46"/>
      <c r="L2505" s="10"/>
      <c r="M2505" s="20"/>
      <c r="N2505" s="20"/>
      <c r="O2505" s="20"/>
      <c r="P2505" s="20"/>
    </row>
    <row r="2506">
      <c r="A2506" s="23"/>
      <c r="B2506" s="21"/>
      <c r="C2506" s="23"/>
      <c r="D2506" s="24"/>
      <c r="E2506" s="14"/>
      <c r="F2506" s="14"/>
      <c r="G2506" s="14"/>
      <c r="H2506" s="23"/>
      <c r="I2506" s="27"/>
      <c r="J2506" s="23"/>
      <c r="K2506" s="30"/>
      <c r="L2506" s="23"/>
      <c r="M2506" s="20"/>
      <c r="N2506" s="20"/>
      <c r="O2506" s="20"/>
      <c r="P2506" s="20"/>
    </row>
    <row r="2507">
      <c r="A2507" s="10"/>
      <c r="B2507" s="11"/>
      <c r="C2507" s="10"/>
      <c r="D2507" s="13"/>
      <c r="E2507" s="14"/>
      <c r="F2507" s="14"/>
      <c r="G2507" s="14"/>
      <c r="H2507" s="10"/>
      <c r="I2507" s="17"/>
      <c r="J2507" s="10"/>
      <c r="K2507" s="46"/>
      <c r="L2507" s="10"/>
      <c r="M2507" s="20"/>
      <c r="N2507" s="20"/>
      <c r="O2507" s="20"/>
      <c r="P2507" s="20"/>
    </row>
    <row r="2508">
      <c r="A2508" s="23"/>
      <c r="B2508" s="21"/>
      <c r="C2508" s="23"/>
      <c r="D2508" s="24"/>
      <c r="E2508" s="14"/>
      <c r="F2508" s="14"/>
      <c r="G2508" s="14"/>
      <c r="H2508" s="23"/>
      <c r="I2508" s="27"/>
      <c r="J2508" s="23"/>
      <c r="K2508" s="30"/>
      <c r="L2508" s="23"/>
      <c r="M2508" s="20"/>
      <c r="N2508" s="20"/>
      <c r="O2508" s="20"/>
      <c r="P2508" s="20"/>
    </row>
    <row r="2509">
      <c r="A2509" s="10"/>
      <c r="B2509" s="11"/>
      <c r="C2509" s="10"/>
      <c r="D2509" s="13"/>
      <c r="E2509" s="14"/>
      <c r="F2509" s="14"/>
      <c r="G2509" s="14"/>
      <c r="H2509" s="10"/>
      <c r="I2509" s="17"/>
      <c r="J2509" s="10"/>
      <c r="K2509" s="46"/>
      <c r="L2509" s="10"/>
      <c r="M2509" s="20"/>
      <c r="N2509" s="20"/>
      <c r="O2509" s="20"/>
      <c r="P2509" s="20"/>
    </row>
    <row r="2510">
      <c r="A2510" s="23"/>
      <c r="B2510" s="21"/>
      <c r="C2510" s="23"/>
      <c r="D2510" s="24"/>
      <c r="E2510" s="14"/>
      <c r="F2510" s="14"/>
      <c r="G2510" s="14"/>
      <c r="H2510" s="23"/>
      <c r="I2510" s="27"/>
      <c r="J2510" s="23"/>
      <c r="K2510" s="30"/>
      <c r="L2510" s="23"/>
      <c r="M2510" s="20"/>
      <c r="N2510" s="20"/>
      <c r="O2510" s="20"/>
      <c r="P2510" s="20"/>
    </row>
    <row r="2511">
      <c r="A2511" s="10"/>
      <c r="B2511" s="11"/>
      <c r="C2511" s="10"/>
      <c r="D2511" s="13"/>
      <c r="E2511" s="14"/>
      <c r="F2511" s="14"/>
      <c r="G2511" s="14"/>
      <c r="H2511" s="10"/>
      <c r="I2511" s="17"/>
      <c r="J2511" s="10"/>
      <c r="K2511" s="46"/>
      <c r="L2511" s="10"/>
      <c r="M2511" s="20"/>
      <c r="N2511" s="20"/>
      <c r="O2511" s="20"/>
      <c r="P2511" s="20"/>
    </row>
    <row r="2512">
      <c r="A2512" s="23"/>
      <c r="B2512" s="21"/>
      <c r="C2512" s="23"/>
      <c r="D2512" s="24"/>
      <c r="E2512" s="14"/>
      <c r="F2512" s="14"/>
      <c r="G2512" s="14"/>
      <c r="H2512" s="23"/>
      <c r="I2512" s="27"/>
      <c r="J2512" s="23"/>
      <c r="K2512" s="30"/>
      <c r="L2512" s="23"/>
      <c r="M2512" s="20"/>
      <c r="N2512" s="20"/>
      <c r="O2512" s="20"/>
      <c r="P2512" s="20"/>
    </row>
    <row r="2513">
      <c r="A2513" s="10"/>
      <c r="B2513" s="11"/>
      <c r="C2513" s="10"/>
      <c r="D2513" s="13"/>
      <c r="E2513" s="14"/>
      <c r="F2513" s="14"/>
      <c r="G2513" s="14"/>
      <c r="H2513" s="10"/>
      <c r="I2513" s="17"/>
      <c r="J2513" s="10"/>
      <c r="K2513" s="46"/>
      <c r="L2513" s="10"/>
      <c r="M2513" s="20"/>
      <c r="N2513" s="20"/>
      <c r="O2513" s="20"/>
      <c r="P2513" s="20"/>
    </row>
    <row r="2514">
      <c r="A2514" s="23"/>
      <c r="B2514" s="21"/>
      <c r="C2514" s="23"/>
      <c r="D2514" s="24"/>
      <c r="E2514" s="14"/>
      <c r="F2514" s="14"/>
      <c r="G2514" s="14"/>
      <c r="H2514" s="23"/>
      <c r="I2514" s="27"/>
      <c r="J2514" s="23"/>
      <c r="K2514" s="30"/>
      <c r="L2514" s="23"/>
      <c r="M2514" s="20"/>
      <c r="N2514" s="20"/>
      <c r="O2514" s="20"/>
      <c r="P2514" s="20"/>
    </row>
    <row r="2515">
      <c r="A2515" s="10"/>
      <c r="B2515" s="11"/>
      <c r="C2515" s="10"/>
      <c r="D2515" s="13"/>
      <c r="E2515" s="14"/>
      <c r="F2515" s="14"/>
      <c r="G2515" s="14"/>
      <c r="H2515" s="10"/>
      <c r="I2515" s="17"/>
      <c r="J2515" s="10"/>
      <c r="K2515" s="46"/>
      <c r="L2515" s="10"/>
      <c r="M2515" s="20"/>
      <c r="N2515" s="20"/>
      <c r="O2515" s="20"/>
      <c r="P2515" s="20"/>
    </row>
    <row r="2516">
      <c r="A2516" s="23"/>
      <c r="B2516" s="21"/>
      <c r="C2516" s="23"/>
      <c r="D2516" s="24"/>
      <c r="E2516" s="14"/>
      <c r="F2516" s="14"/>
      <c r="G2516" s="14"/>
      <c r="H2516" s="23"/>
      <c r="I2516" s="27"/>
      <c r="J2516" s="23"/>
      <c r="K2516" s="30"/>
      <c r="L2516" s="23"/>
      <c r="M2516" s="20"/>
      <c r="N2516" s="20"/>
      <c r="O2516" s="20"/>
      <c r="P2516" s="20"/>
    </row>
    <row r="2517">
      <c r="A2517" s="10"/>
      <c r="B2517" s="11"/>
      <c r="C2517" s="10"/>
      <c r="D2517" s="13"/>
      <c r="E2517" s="14"/>
      <c r="F2517" s="14"/>
      <c r="G2517" s="14"/>
      <c r="H2517" s="10"/>
      <c r="I2517" s="17"/>
      <c r="J2517" s="10"/>
      <c r="K2517" s="46"/>
      <c r="L2517" s="10"/>
      <c r="M2517" s="20"/>
      <c r="N2517" s="20"/>
      <c r="O2517" s="20"/>
      <c r="P2517" s="20"/>
    </row>
    <row r="2518">
      <c r="A2518" s="23"/>
      <c r="B2518" s="21"/>
      <c r="C2518" s="23"/>
      <c r="D2518" s="24"/>
      <c r="E2518" s="14"/>
      <c r="F2518" s="14"/>
      <c r="G2518" s="14"/>
      <c r="H2518" s="23"/>
      <c r="I2518" s="27"/>
      <c r="J2518" s="23"/>
      <c r="K2518" s="30"/>
      <c r="L2518" s="23"/>
      <c r="M2518" s="20"/>
      <c r="N2518" s="20"/>
      <c r="O2518" s="20"/>
      <c r="P2518" s="20"/>
    </row>
    <row r="2519">
      <c r="A2519" s="10"/>
      <c r="B2519" s="11"/>
      <c r="C2519" s="10"/>
      <c r="D2519" s="13"/>
      <c r="E2519" s="14"/>
      <c r="F2519" s="14"/>
      <c r="G2519" s="14"/>
      <c r="H2519" s="10"/>
      <c r="I2519" s="17"/>
      <c r="J2519" s="10"/>
      <c r="K2519" s="46"/>
      <c r="L2519" s="10"/>
      <c r="M2519" s="20"/>
      <c r="N2519" s="20"/>
      <c r="O2519" s="20"/>
      <c r="P2519" s="20"/>
    </row>
    <row r="2520">
      <c r="A2520" s="23"/>
      <c r="B2520" s="21"/>
      <c r="C2520" s="23"/>
      <c r="D2520" s="24"/>
      <c r="E2520" s="14"/>
      <c r="F2520" s="14"/>
      <c r="G2520" s="14"/>
      <c r="H2520" s="23"/>
      <c r="I2520" s="27"/>
      <c r="J2520" s="23"/>
      <c r="K2520" s="30"/>
      <c r="L2520" s="23"/>
      <c r="M2520" s="20"/>
      <c r="N2520" s="20"/>
      <c r="O2520" s="20"/>
      <c r="P2520" s="20"/>
    </row>
    <row r="2521">
      <c r="A2521" s="10"/>
      <c r="B2521" s="11"/>
      <c r="C2521" s="10"/>
      <c r="D2521" s="13"/>
      <c r="E2521" s="14"/>
      <c r="F2521" s="14"/>
      <c r="G2521" s="14"/>
      <c r="H2521" s="10"/>
      <c r="I2521" s="17"/>
      <c r="J2521" s="10"/>
      <c r="K2521" s="46"/>
      <c r="L2521" s="10"/>
      <c r="M2521" s="20"/>
      <c r="N2521" s="20"/>
      <c r="O2521" s="20"/>
      <c r="P2521" s="20"/>
    </row>
    <row r="2522">
      <c r="A2522" s="23"/>
      <c r="B2522" s="21"/>
      <c r="C2522" s="23"/>
      <c r="D2522" s="24"/>
      <c r="E2522" s="14"/>
      <c r="F2522" s="14"/>
      <c r="G2522" s="14"/>
      <c r="H2522" s="23"/>
      <c r="I2522" s="27"/>
      <c r="J2522" s="23"/>
      <c r="K2522" s="30"/>
      <c r="L2522" s="23"/>
      <c r="M2522" s="20"/>
      <c r="N2522" s="20"/>
      <c r="O2522" s="20"/>
      <c r="P2522" s="20"/>
    </row>
    <row r="2523">
      <c r="A2523" s="10"/>
      <c r="B2523" s="11"/>
      <c r="C2523" s="10"/>
      <c r="D2523" s="13"/>
      <c r="E2523" s="14"/>
      <c r="F2523" s="14"/>
      <c r="G2523" s="14"/>
      <c r="H2523" s="10"/>
      <c r="I2523" s="17"/>
      <c r="J2523" s="10"/>
      <c r="K2523" s="46"/>
      <c r="L2523" s="10"/>
      <c r="M2523" s="20"/>
      <c r="N2523" s="20"/>
      <c r="O2523" s="20"/>
      <c r="P2523" s="20"/>
    </row>
    <row r="2524">
      <c r="A2524" s="23"/>
      <c r="B2524" s="21"/>
      <c r="C2524" s="23"/>
      <c r="D2524" s="24"/>
      <c r="E2524" s="14"/>
      <c r="F2524" s="14"/>
      <c r="G2524" s="14"/>
      <c r="H2524" s="23"/>
      <c r="I2524" s="27"/>
      <c r="J2524" s="23"/>
      <c r="K2524" s="30"/>
      <c r="L2524" s="23"/>
      <c r="M2524" s="20"/>
      <c r="N2524" s="20"/>
      <c r="O2524" s="20"/>
      <c r="P2524" s="20"/>
    </row>
    <row r="2525">
      <c r="A2525" s="10"/>
      <c r="B2525" s="11"/>
      <c r="C2525" s="10"/>
      <c r="D2525" s="13"/>
      <c r="E2525" s="14"/>
      <c r="F2525" s="14"/>
      <c r="G2525" s="14"/>
      <c r="H2525" s="10"/>
      <c r="I2525" s="17"/>
      <c r="J2525" s="10"/>
      <c r="K2525" s="46"/>
      <c r="L2525" s="10"/>
      <c r="M2525" s="20"/>
      <c r="N2525" s="20"/>
      <c r="O2525" s="20"/>
      <c r="P2525" s="20"/>
    </row>
    <row r="2526">
      <c r="A2526" s="23"/>
      <c r="B2526" s="21"/>
      <c r="C2526" s="23"/>
      <c r="D2526" s="24"/>
      <c r="E2526" s="14"/>
      <c r="F2526" s="14"/>
      <c r="G2526" s="14"/>
      <c r="H2526" s="23"/>
      <c r="I2526" s="27"/>
      <c r="J2526" s="23"/>
      <c r="K2526" s="30"/>
      <c r="L2526" s="23"/>
      <c r="M2526" s="20"/>
      <c r="N2526" s="20"/>
      <c r="O2526" s="20"/>
      <c r="P2526" s="20"/>
    </row>
    <row r="2527">
      <c r="A2527" s="10"/>
      <c r="B2527" s="11"/>
      <c r="C2527" s="10"/>
      <c r="D2527" s="13"/>
      <c r="E2527" s="14"/>
      <c r="F2527" s="14"/>
      <c r="G2527" s="14"/>
      <c r="H2527" s="10"/>
      <c r="I2527" s="17"/>
      <c r="J2527" s="10"/>
      <c r="K2527" s="46"/>
      <c r="L2527" s="10"/>
      <c r="M2527" s="20"/>
      <c r="N2527" s="20"/>
      <c r="O2527" s="20"/>
      <c r="P2527" s="20"/>
    </row>
    <row r="2528">
      <c r="A2528" s="23"/>
      <c r="B2528" s="21"/>
      <c r="C2528" s="23"/>
      <c r="D2528" s="24"/>
      <c r="E2528" s="14"/>
      <c r="F2528" s="14"/>
      <c r="G2528" s="14"/>
      <c r="H2528" s="23"/>
      <c r="I2528" s="27"/>
      <c r="J2528" s="23"/>
      <c r="K2528" s="30"/>
      <c r="L2528" s="23"/>
      <c r="M2528" s="20"/>
      <c r="N2528" s="20"/>
      <c r="O2528" s="20"/>
      <c r="P2528" s="20"/>
    </row>
    <row r="2529">
      <c r="A2529" s="10"/>
      <c r="B2529" s="11"/>
      <c r="C2529" s="10"/>
      <c r="D2529" s="13"/>
      <c r="E2529" s="14"/>
      <c r="F2529" s="14"/>
      <c r="G2529" s="14"/>
      <c r="H2529" s="10"/>
      <c r="I2529" s="17"/>
      <c r="J2529" s="10"/>
      <c r="K2529" s="46"/>
      <c r="L2529" s="10"/>
      <c r="M2529" s="20"/>
      <c r="N2529" s="20"/>
      <c r="O2529" s="20"/>
      <c r="P2529" s="20"/>
    </row>
    <row r="2530">
      <c r="A2530" s="23"/>
      <c r="B2530" s="21"/>
      <c r="C2530" s="23"/>
      <c r="D2530" s="24"/>
      <c r="E2530" s="14"/>
      <c r="F2530" s="14"/>
      <c r="G2530" s="14"/>
      <c r="H2530" s="23"/>
      <c r="I2530" s="27"/>
      <c r="J2530" s="23"/>
      <c r="K2530" s="30"/>
      <c r="L2530" s="23"/>
      <c r="M2530" s="20"/>
      <c r="N2530" s="20"/>
      <c r="O2530" s="20"/>
      <c r="P2530" s="20"/>
    </row>
    <row r="2531">
      <c r="A2531" s="10"/>
      <c r="B2531" s="11"/>
      <c r="C2531" s="10"/>
      <c r="D2531" s="13"/>
      <c r="E2531" s="14"/>
      <c r="F2531" s="14"/>
      <c r="G2531" s="14"/>
      <c r="H2531" s="10"/>
      <c r="I2531" s="17"/>
      <c r="J2531" s="10"/>
      <c r="K2531" s="46"/>
      <c r="L2531" s="10"/>
      <c r="M2531" s="20"/>
      <c r="N2531" s="20"/>
      <c r="O2531" s="20"/>
      <c r="P2531" s="20"/>
    </row>
    <row r="2532">
      <c r="A2532" s="23"/>
      <c r="B2532" s="21"/>
      <c r="C2532" s="23"/>
      <c r="D2532" s="24"/>
      <c r="E2532" s="14"/>
      <c r="F2532" s="14"/>
      <c r="G2532" s="14"/>
      <c r="H2532" s="23"/>
      <c r="I2532" s="27"/>
      <c r="J2532" s="23"/>
      <c r="K2532" s="30"/>
      <c r="L2532" s="23"/>
      <c r="M2532" s="20"/>
      <c r="N2532" s="20"/>
      <c r="O2532" s="20"/>
      <c r="P2532" s="20"/>
    </row>
    <row r="2533">
      <c r="A2533" s="10"/>
      <c r="B2533" s="11"/>
      <c r="C2533" s="10"/>
      <c r="D2533" s="13"/>
      <c r="E2533" s="14"/>
      <c r="F2533" s="14"/>
      <c r="G2533" s="14"/>
      <c r="H2533" s="10"/>
      <c r="I2533" s="17"/>
      <c r="J2533" s="10"/>
      <c r="K2533" s="46"/>
      <c r="L2533" s="10"/>
      <c r="M2533" s="20"/>
      <c r="N2533" s="20"/>
      <c r="O2533" s="20"/>
      <c r="P2533" s="20"/>
    </row>
    <row r="2534">
      <c r="A2534" s="23"/>
      <c r="B2534" s="21"/>
      <c r="C2534" s="23"/>
      <c r="D2534" s="24"/>
      <c r="E2534" s="14"/>
      <c r="F2534" s="14"/>
      <c r="G2534" s="14"/>
      <c r="H2534" s="23"/>
      <c r="I2534" s="27"/>
      <c r="J2534" s="23"/>
      <c r="K2534" s="30"/>
      <c r="L2534" s="23"/>
      <c r="M2534" s="20"/>
      <c r="N2534" s="20"/>
      <c r="O2534" s="20"/>
      <c r="P2534" s="20"/>
    </row>
    <row r="2535">
      <c r="A2535" s="10"/>
      <c r="B2535" s="11"/>
      <c r="C2535" s="10"/>
      <c r="D2535" s="13"/>
      <c r="E2535" s="14"/>
      <c r="F2535" s="14"/>
      <c r="G2535" s="14"/>
      <c r="H2535" s="10"/>
      <c r="I2535" s="17"/>
      <c r="J2535" s="10"/>
      <c r="K2535" s="46"/>
      <c r="L2535" s="10"/>
      <c r="M2535" s="20"/>
      <c r="N2535" s="20"/>
      <c r="O2535" s="20"/>
      <c r="P2535" s="20"/>
    </row>
    <row r="2536">
      <c r="A2536" s="23"/>
      <c r="B2536" s="21"/>
      <c r="C2536" s="23"/>
      <c r="D2536" s="24"/>
      <c r="E2536" s="14"/>
      <c r="F2536" s="14"/>
      <c r="G2536" s="14"/>
      <c r="H2536" s="23"/>
      <c r="I2536" s="27"/>
      <c r="J2536" s="23"/>
      <c r="K2536" s="30"/>
      <c r="L2536" s="23"/>
      <c r="M2536" s="20"/>
      <c r="N2536" s="20"/>
      <c r="O2536" s="20"/>
      <c r="P2536" s="20"/>
    </row>
    <row r="2537">
      <c r="A2537" s="10"/>
      <c r="B2537" s="11"/>
      <c r="C2537" s="10"/>
      <c r="D2537" s="13"/>
      <c r="E2537" s="14"/>
      <c r="F2537" s="14"/>
      <c r="G2537" s="14"/>
      <c r="H2537" s="10"/>
      <c r="I2537" s="17"/>
      <c r="J2537" s="10"/>
      <c r="K2537" s="46"/>
      <c r="L2537" s="10"/>
      <c r="M2537" s="20"/>
      <c r="N2537" s="20"/>
      <c r="O2537" s="20"/>
      <c r="P2537" s="20"/>
    </row>
    <row r="2538">
      <c r="A2538" s="23"/>
      <c r="B2538" s="21"/>
      <c r="C2538" s="23"/>
      <c r="D2538" s="24"/>
      <c r="E2538" s="14"/>
      <c r="F2538" s="14"/>
      <c r="G2538" s="14"/>
      <c r="H2538" s="23"/>
      <c r="I2538" s="27"/>
      <c r="J2538" s="23"/>
      <c r="K2538" s="30"/>
      <c r="L2538" s="23"/>
      <c r="M2538" s="20"/>
      <c r="N2538" s="20"/>
      <c r="O2538" s="20"/>
      <c r="P2538" s="20"/>
    </row>
    <row r="2539">
      <c r="A2539" s="10"/>
      <c r="B2539" s="11"/>
      <c r="C2539" s="10"/>
      <c r="D2539" s="13"/>
      <c r="E2539" s="14"/>
      <c r="F2539" s="14"/>
      <c r="G2539" s="14"/>
      <c r="H2539" s="10"/>
      <c r="I2539" s="17"/>
      <c r="J2539" s="10"/>
      <c r="K2539" s="46"/>
      <c r="L2539" s="10"/>
      <c r="M2539" s="20"/>
      <c r="N2539" s="20"/>
      <c r="O2539" s="20"/>
      <c r="P2539" s="20"/>
    </row>
    <row r="2540">
      <c r="A2540" s="23"/>
      <c r="B2540" s="21"/>
      <c r="C2540" s="23"/>
      <c r="D2540" s="24"/>
      <c r="E2540" s="14"/>
      <c r="F2540" s="14"/>
      <c r="G2540" s="14"/>
      <c r="H2540" s="23"/>
      <c r="I2540" s="27"/>
      <c r="J2540" s="23"/>
      <c r="K2540" s="30"/>
      <c r="L2540" s="23"/>
      <c r="M2540" s="20"/>
      <c r="N2540" s="20"/>
      <c r="O2540" s="20"/>
      <c r="P2540" s="20"/>
    </row>
    <row r="2541">
      <c r="A2541" s="10"/>
      <c r="B2541" s="11"/>
      <c r="C2541" s="10"/>
      <c r="D2541" s="13"/>
      <c r="E2541" s="14"/>
      <c r="F2541" s="14"/>
      <c r="G2541" s="14"/>
      <c r="H2541" s="10"/>
      <c r="I2541" s="17"/>
      <c r="J2541" s="10"/>
      <c r="K2541" s="46"/>
      <c r="L2541" s="10"/>
      <c r="M2541" s="20"/>
      <c r="N2541" s="20"/>
      <c r="O2541" s="20"/>
      <c r="P2541" s="20"/>
    </row>
    <row r="2542">
      <c r="A2542" s="23"/>
      <c r="B2542" s="21"/>
      <c r="C2542" s="23"/>
      <c r="D2542" s="24"/>
      <c r="E2542" s="14"/>
      <c r="F2542" s="14"/>
      <c r="G2542" s="14"/>
      <c r="H2542" s="23"/>
      <c r="I2542" s="27"/>
      <c r="J2542" s="23"/>
      <c r="K2542" s="30"/>
      <c r="L2542" s="23"/>
      <c r="M2542" s="20"/>
      <c r="N2542" s="20"/>
      <c r="O2542" s="20"/>
      <c r="P2542" s="20"/>
    </row>
    <row r="2543">
      <c r="A2543" s="10"/>
      <c r="B2543" s="11"/>
      <c r="C2543" s="10"/>
      <c r="D2543" s="13"/>
      <c r="E2543" s="14"/>
      <c r="F2543" s="14"/>
      <c r="G2543" s="14"/>
      <c r="H2543" s="10"/>
      <c r="I2543" s="17"/>
      <c r="J2543" s="10"/>
      <c r="K2543" s="46"/>
      <c r="L2543" s="10"/>
      <c r="M2543" s="20"/>
      <c r="N2543" s="20"/>
      <c r="O2543" s="20"/>
      <c r="P2543" s="20"/>
    </row>
    <row r="2544">
      <c r="A2544" s="23"/>
      <c r="B2544" s="21"/>
      <c r="C2544" s="23"/>
      <c r="D2544" s="24"/>
      <c r="E2544" s="14"/>
      <c r="F2544" s="14"/>
      <c r="G2544" s="14"/>
      <c r="H2544" s="23"/>
      <c r="I2544" s="27"/>
      <c r="J2544" s="23"/>
      <c r="K2544" s="30"/>
      <c r="L2544" s="23"/>
      <c r="M2544" s="20"/>
      <c r="N2544" s="20"/>
      <c r="O2544" s="20"/>
      <c r="P2544" s="20"/>
    </row>
    <row r="2545">
      <c r="A2545" s="10"/>
      <c r="B2545" s="11"/>
      <c r="C2545" s="10"/>
      <c r="D2545" s="13"/>
      <c r="E2545" s="14"/>
      <c r="F2545" s="14"/>
      <c r="G2545" s="14"/>
      <c r="H2545" s="10"/>
      <c r="I2545" s="17"/>
      <c r="J2545" s="10"/>
      <c r="K2545" s="46"/>
      <c r="L2545" s="10"/>
      <c r="M2545" s="20"/>
      <c r="N2545" s="20"/>
      <c r="O2545" s="20"/>
      <c r="P2545" s="20"/>
    </row>
    <row r="2546">
      <c r="A2546" s="23"/>
      <c r="B2546" s="21"/>
      <c r="C2546" s="23"/>
      <c r="D2546" s="24"/>
      <c r="E2546" s="14"/>
      <c r="F2546" s="14"/>
      <c r="G2546" s="14"/>
      <c r="H2546" s="23"/>
      <c r="I2546" s="27"/>
      <c r="J2546" s="23"/>
      <c r="K2546" s="30"/>
      <c r="L2546" s="23"/>
      <c r="M2546" s="20"/>
      <c r="N2546" s="20"/>
      <c r="O2546" s="20"/>
      <c r="P2546" s="20"/>
    </row>
    <row r="2547">
      <c r="A2547" s="10"/>
      <c r="B2547" s="11"/>
      <c r="C2547" s="10"/>
      <c r="D2547" s="13"/>
      <c r="E2547" s="14"/>
      <c r="F2547" s="14"/>
      <c r="G2547" s="14"/>
      <c r="H2547" s="10"/>
      <c r="I2547" s="17"/>
      <c r="J2547" s="10"/>
      <c r="K2547" s="46"/>
      <c r="L2547" s="10"/>
      <c r="M2547" s="20"/>
      <c r="N2547" s="20"/>
      <c r="O2547" s="20"/>
      <c r="P2547" s="20"/>
    </row>
    <row r="2548">
      <c r="A2548" s="23"/>
      <c r="B2548" s="21"/>
      <c r="C2548" s="23"/>
      <c r="D2548" s="24"/>
      <c r="E2548" s="14"/>
      <c r="F2548" s="14"/>
      <c r="G2548" s="14"/>
      <c r="H2548" s="23"/>
      <c r="I2548" s="27"/>
      <c r="J2548" s="23"/>
      <c r="K2548" s="30"/>
      <c r="L2548" s="23"/>
      <c r="M2548" s="20"/>
      <c r="N2548" s="20"/>
      <c r="O2548" s="20"/>
      <c r="P2548" s="20"/>
    </row>
    <row r="2549">
      <c r="A2549" s="10"/>
      <c r="B2549" s="11"/>
      <c r="C2549" s="10"/>
      <c r="D2549" s="13"/>
      <c r="E2549" s="14"/>
      <c r="F2549" s="14"/>
      <c r="G2549" s="14"/>
      <c r="H2549" s="10"/>
      <c r="I2549" s="17"/>
      <c r="J2549" s="10"/>
      <c r="K2549" s="46"/>
      <c r="L2549" s="10"/>
      <c r="M2549" s="20"/>
      <c r="N2549" s="20"/>
      <c r="O2549" s="20"/>
      <c r="P2549" s="20"/>
    </row>
    <row r="2550">
      <c r="A2550" s="23"/>
      <c r="B2550" s="21"/>
      <c r="C2550" s="23"/>
      <c r="D2550" s="24"/>
      <c r="E2550" s="14"/>
      <c r="F2550" s="14"/>
      <c r="G2550" s="14"/>
      <c r="H2550" s="23"/>
      <c r="I2550" s="27"/>
      <c r="J2550" s="23"/>
      <c r="K2550" s="30"/>
      <c r="L2550" s="23"/>
      <c r="M2550" s="20"/>
      <c r="N2550" s="20"/>
      <c r="O2550" s="20"/>
      <c r="P2550" s="20"/>
    </row>
    <row r="2551">
      <c r="A2551" s="10"/>
      <c r="B2551" s="11"/>
      <c r="C2551" s="10"/>
      <c r="D2551" s="13"/>
      <c r="E2551" s="14"/>
      <c r="F2551" s="14"/>
      <c r="G2551" s="14"/>
      <c r="H2551" s="10"/>
      <c r="I2551" s="17"/>
      <c r="J2551" s="10"/>
      <c r="K2551" s="46"/>
      <c r="L2551" s="10"/>
      <c r="M2551" s="20"/>
      <c r="N2551" s="20"/>
      <c r="O2551" s="20"/>
      <c r="P2551" s="20"/>
    </row>
    <row r="2552">
      <c r="A2552" s="23"/>
      <c r="B2552" s="21"/>
      <c r="C2552" s="23"/>
      <c r="D2552" s="24"/>
      <c r="E2552" s="14"/>
      <c r="F2552" s="14"/>
      <c r="G2552" s="14"/>
      <c r="H2552" s="23"/>
      <c r="I2552" s="27"/>
      <c r="J2552" s="23"/>
      <c r="K2552" s="30"/>
      <c r="L2552" s="23"/>
      <c r="M2552" s="20"/>
      <c r="N2552" s="20"/>
      <c r="O2552" s="20"/>
      <c r="P2552" s="20"/>
    </row>
    <row r="2553">
      <c r="A2553" s="10"/>
      <c r="B2553" s="11"/>
      <c r="C2553" s="10"/>
      <c r="D2553" s="13"/>
      <c r="E2553" s="14"/>
      <c r="F2553" s="14"/>
      <c r="G2553" s="14"/>
      <c r="H2553" s="10"/>
      <c r="I2553" s="17"/>
      <c r="J2553" s="10"/>
      <c r="K2553" s="46"/>
      <c r="L2553" s="10"/>
      <c r="M2553" s="20"/>
      <c r="N2553" s="20"/>
      <c r="O2553" s="20"/>
      <c r="P2553" s="20"/>
    </row>
    <row r="2554">
      <c r="A2554" s="23"/>
      <c r="B2554" s="21"/>
      <c r="C2554" s="23"/>
      <c r="D2554" s="24"/>
      <c r="E2554" s="14"/>
      <c r="F2554" s="14"/>
      <c r="G2554" s="14"/>
      <c r="H2554" s="23"/>
      <c r="I2554" s="27"/>
      <c r="J2554" s="23"/>
      <c r="K2554" s="30"/>
      <c r="L2554" s="23"/>
      <c r="M2554" s="20"/>
      <c r="N2554" s="20"/>
      <c r="O2554" s="20"/>
      <c r="P2554" s="20"/>
    </row>
    <row r="2555">
      <c r="A2555" s="10"/>
      <c r="B2555" s="11"/>
      <c r="C2555" s="10"/>
      <c r="D2555" s="13"/>
      <c r="E2555" s="14"/>
      <c r="F2555" s="14"/>
      <c r="G2555" s="14"/>
      <c r="H2555" s="10"/>
      <c r="I2555" s="17"/>
      <c r="J2555" s="10"/>
      <c r="K2555" s="46"/>
      <c r="L2555" s="10"/>
      <c r="M2555" s="20"/>
      <c r="N2555" s="20"/>
      <c r="O2555" s="20"/>
      <c r="P2555" s="20"/>
    </row>
    <row r="2556">
      <c r="A2556" s="23"/>
      <c r="B2556" s="21"/>
      <c r="C2556" s="23"/>
      <c r="D2556" s="24"/>
      <c r="E2556" s="14"/>
      <c r="F2556" s="14"/>
      <c r="G2556" s="14"/>
      <c r="H2556" s="23"/>
      <c r="I2556" s="27"/>
      <c r="J2556" s="23"/>
      <c r="K2556" s="30"/>
      <c r="L2556" s="23"/>
      <c r="M2556" s="20"/>
      <c r="N2556" s="20"/>
      <c r="O2556" s="20"/>
      <c r="P2556" s="20"/>
    </row>
    <row r="2557">
      <c r="A2557" s="10"/>
      <c r="B2557" s="11"/>
      <c r="C2557" s="10"/>
      <c r="D2557" s="13"/>
      <c r="E2557" s="14"/>
      <c r="F2557" s="14"/>
      <c r="G2557" s="14"/>
      <c r="H2557" s="10"/>
      <c r="I2557" s="17"/>
      <c r="J2557" s="10"/>
      <c r="K2557" s="46"/>
      <c r="L2557" s="10"/>
      <c r="M2557" s="20"/>
      <c r="N2557" s="20"/>
      <c r="O2557" s="20"/>
      <c r="P2557" s="20"/>
    </row>
    <row r="2558">
      <c r="A2558" s="23"/>
      <c r="B2558" s="21"/>
      <c r="C2558" s="23"/>
      <c r="D2558" s="24"/>
      <c r="E2558" s="14"/>
      <c r="F2558" s="14"/>
      <c r="G2558" s="14"/>
      <c r="H2558" s="23"/>
      <c r="I2558" s="27"/>
      <c r="J2558" s="23"/>
      <c r="K2558" s="30"/>
      <c r="L2558" s="23"/>
      <c r="M2558" s="20"/>
      <c r="N2558" s="20"/>
      <c r="O2558" s="20"/>
      <c r="P2558" s="20"/>
    </row>
    <row r="2559">
      <c r="A2559" s="10"/>
      <c r="B2559" s="11"/>
      <c r="C2559" s="10"/>
      <c r="D2559" s="13"/>
      <c r="E2559" s="14"/>
      <c r="F2559" s="14"/>
      <c r="G2559" s="14"/>
      <c r="H2559" s="10"/>
      <c r="I2559" s="17"/>
      <c r="J2559" s="10"/>
      <c r="K2559" s="46"/>
      <c r="L2559" s="10"/>
      <c r="M2559" s="20"/>
      <c r="N2559" s="20"/>
      <c r="O2559" s="20"/>
      <c r="P2559" s="20"/>
    </row>
    <row r="2560">
      <c r="A2560" s="23"/>
      <c r="B2560" s="21"/>
      <c r="C2560" s="23"/>
      <c r="D2560" s="24"/>
      <c r="E2560" s="14"/>
      <c r="F2560" s="14"/>
      <c r="G2560" s="14"/>
      <c r="H2560" s="23"/>
      <c r="I2560" s="27"/>
      <c r="J2560" s="23"/>
      <c r="K2560" s="30"/>
      <c r="L2560" s="23"/>
      <c r="M2560" s="20"/>
      <c r="N2560" s="20"/>
      <c r="O2560" s="20"/>
      <c r="P2560" s="20"/>
    </row>
    <row r="2561">
      <c r="A2561" s="10"/>
      <c r="B2561" s="11"/>
      <c r="C2561" s="10"/>
      <c r="D2561" s="13"/>
      <c r="E2561" s="14"/>
      <c r="F2561" s="14"/>
      <c r="G2561" s="14"/>
      <c r="H2561" s="10"/>
      <c r="I2561" s="17"/>
      <c r="J2561" s="10"/>
      <c r="K2561" s="46"/>
      <c r="L2561" s="10"/>
      <c r="M2561" s="20"/>
      <c r="N2561" s="20"/>
      <c r="O2561" s="20"/>
      <c r="P2561" s="20"/>
    </row>
    <row r="2562">
      <c r="A2562" s="23"/>
      <c r="B2562" s="21"/>
      <c r="C2562" s="23"/>
      <c r="D2562" s="24"/>
      <c r="E2562" s="14"/>
      <c r="F2562" s="14"/>
      <c r="G2562" s="14"/>
      <c r="H2562" s="23"/>
      <c r="I2562" s="27"/>
      <c r="J2562" s="23"/>
      <c r="K2562" s="30"/>
      <c r="L2562" s="23"/>
      <c r="M2562" s="20"/>
      <c r="N2562" s="20"/>
      <c r="O2562" s="20"/>
      <c r="P2562" s="20"/>
    </row>
    <row r="2563">
      <c r="A2563" s="10"/>
      <c r="B2563" s="11"/>
      <c r="C2563" s="10"/>
      <c r="D2563" s="13"/>
      <c r="E2563" s="14"/>
      <c r="F2563" s="14"/>
      <c r="G2563" s="14"/>
      <c r="H2563" s="10"/>
      <c r="I2563" s="17"/>
      <c r="J2563" s="10"/>
      <c r="K2563" s="46"/>
      <c r="L2563" s="10"/>
      <c r="M2563" s="20"/>
      <c r="N2563" s="20"/>
      <c r="O2563" s="20"/>
      <c r="P2563" s="20"/>
    </row>
    <row r="2564">
      <c r="A2564" s="23"/>
      <c r="B2564" s="21"/>
      <c r="C2564" s="23"/>
      <c r="D2564" s="24"/>
      <c r="E2564" s="14"/>
      <c r="F2564" s="14"/>
      <c r="G2564" s="14"/>
      <c r="H2564" s="23"/>
      <c r="I2564" s="27"/>
      <c r="J2564" s="23"/>
      <c r="K2564" s="30"/>
      <c r="L2564" s="23"/>
      <c r="M2564" s="20"/>
      <c r="N2564" s="20"/>
      <c r="O2564" s="20"/>
      <c r="P2564" s="20"/>
    </row>
    <row r="2565">
      <c r="A2565" s="10"/>
      <c r="B2565" s="11"/>
      <c r="C2565" s="10"/>
      <c r="D2565" s="13"/>
      <c r="E2565" s="14"/>
      <c r="F2565" s="14"/>
      <c r="G2565" s="14"/>
      <c r="H2565" s="10"/>
      <c r="I2565" s="17"/>
      <c r="J2565" s="10"/>
      <c r="K2565" s="46"/>
      <c r="L2565" s="10"/>
      <c r="M2565" s="20"/>
      <c r="N2565" s="20"/>
      <c r="O2565" s="20"/>
      <c r="P2565" s="20"/>
    </row>
    <row r="2566">
      <c r="A2566" s="23"/>
      <c r="B2566" s="21"/>
      <c r="C2566" s="23"/>
      <c r="D2566" s="24"/>
      <c r="E2566" s="14"/>
      <c r="F2566" s="14"/>
      <c r="G2566" s="14"/>
      <c r="H2566" s="23"/>
      <c r="I2566" s="27"/>
      <c r="J2566" s="23"/>
      <c r="K2566" s="30"/>
      <c r="L2566" s="23"/>
      <c r="M2566" s="20"/>
      <c r="N2566" s="20"/>
      <c r="O2566" s="20"/>
      <c r="P2566" s="20"/>
    </row>
    <row r="2567">
      <c r="A2567" s="10"/>
      <c r="B2567" s="11"/>
      <c r="C2567" s="10"/>
      <c r="D2567" s="13"/>
      <c r="E2567" s="14"/>
      <c r="F2567" s="14"/>
      <c r="G2567" s="14"/>
      <c r="H2567" s="10"/>
      <c r="I2567" s="17"/>
      <c r="J2567" s="10"/>
      <c r="K2567" s="46"/>
      <c r="L2567" s="10"/>
      <c r="M2567" s="20"/>
      <c r="N2567" s="20"/>
      <c r="O2567" s="20"/>
      <c r="P2567" s="20"/>
    </row>
    <row r="2568">
      <c r="A2568" s="23"/>
      <c r="B2568" s="21"/>
      <c r="C2568" s="23"/>
      <c r="D2568" s="24"/>
      <c r="E2568" s="14"/>
      <c r="F2568" s="14"/>
      <c r="G2568" s="14"/>
      <c r="H2568" s="23"/>
      <c r="I2568" s="27"/>
      <c r="J2568" s="23"/>
      <c r="K2568" s="30"/>
      <c r="L2568" s="23"/>
      <c r="M2568" s="20"/>
      <c r="N2568" s="20"/>
      <c r="O2568" s="20"/>
      <c r="P2568" s="20"/>
    </row>
    <row r="2569">
      <c r="A2569" s="10"/>
      <c r="B2569" s="11"/>
      <c r="C2569" s="10"/>
      <c r="D2569" s="13"/>
      <c r="E2569" s="14"/>
      <c r="F2569" s="14"/>
      <c r="G2569" s="14"/>
      <c r="H2569" s="10"/>
      <c r="I2569" s="17"/>
      <c r="J2569" s="10"/>
      <c r="K2569" s="46"/>
      <c r="L2569" s="10"/>
      <c r="M2569" s="20"/>
      <c r="N2569" s="20"/>
      <c r="O2569" s="20"/>
      <c r="P2569" s="20"/>
    </row>
    <row r="2570">
      <c r="A2570" s="23"/>
      <c r="B2570" s="21"/>
      <c r="C2570" s="23"/>
      <c r="D2570" s="24"/>
      <c r="E2570" s="14"/>
      <c r="F2570" s="14"/>
      <c r="G2570" s="14"/>
      <c r="H2570" s="23"/>
      <c r="I2570" s="27"/>
      <c r="J2570" s="23"/>
      <c r="K2570" s="30"/>
      <c r="L2570" s="23"/>
      <c r="M2570" s="20"/>
      <c r="N2570" s="20"/>
      <c r="O2570" s="20"/>
      <c r="P2570" s="20"/>
    </row>
    <row r="2571">
      <c r="A2571" s="10"/>
      <c r="B2571" s="11"/>
      <c r="C2571" s="10"/>
      <c r="D2571" s="13"/>
      <c r="E2571" s="14"/>
      <c r="F2571" s="14"/>
      <c r="G2571" s="14"/>
      <c r="H2571" s="10"/>
      <c r="I2571" s="17"/>
      <c r="J2571" s="10"/>
      <c r="K2571" s="46"/>
      <c r="L2571" s="10"/>
      <c r="M2571" s="20"/>
      <c r="N2571" s="20"/>
      <c r="O2571" s="20"/>
      <c r="P2571" s="20"/>
    </row>
    <row r="2572">
      <c r="A2572" s="23"/>
      <c r="B2572" s="21"/>
      <c r="C2572" s="23"/>
      <c r="D2572" s="24"/>
      <c r="E2572" s="14"/>
      <c r="F2572" s="14"/>
      <c r="G2572" s="14"/>
      <c r="H2572" s="23"/>
      <c r="I2572" s="27"/>
      <c r="J2572" s="23"/>
      <c r="K2572" s="30"/>
      <c r="L2572" s="23"/>
      <c r="M2572" s="20"/>
      <c r="N2572" s="20"/>
      <c r="O2572" s="20"/>
      <c r="P2572" s="20"/>
    </row>
    <row r="2573">
      <c r="A2573" s="10"/>
      <c r="B2573" s="11"/>
      <c r="C2573" s="10"/>
      <c r="D2573" s="13"/>
      <c r="E2573" s="14"/>
      <c r="F2573" s="14"/>
      <c r="G2573" s="14"/>
      <c r="H2573" s="10"/>
      <c r="I2573" s="17"/>
      <c r="J2573" s="10"/>
      <c r="K2573" s="46"/>
      <c r="L2573" s="10"/>
      <c r="M2573" s="20"/>
      <c r="N2573" s="20"/>
      <c r="O2573" s="20"/>
      <c r="P2573" s="20"/>
    </row>
    <row r="2574">
      <c r="A2574" s="23"/>
      <c r="B2574" s="21"/>
      <c r="C2574" s="23"/>
      <c r="D2574" s="24"/>
      <c r="E2574" s="14"/>
      <c r="F2574" s="14"/>
      <c r="G2574" s="14"/>
      <c r="H2574" s="23"/>
      <c r="I2574" s="27"/>
      <c r="J2574" s="23"/>
      <c r="K2574" s="30"/>
      <c r="L2574" s="23"/>
      <c r="M2574" s="20"/>
      <c r="N2574" s="20"/>
      <c r="O2574" s="20"/>
      <c r="P2574" s="20"/>
    </row>
    <row r="2575">
      <c r="A2575" s="10"/>
      <c r="B2575" s="11"/>
      <c r="C2575" s="10"/>
      <c r="D2575" s="13"/>
      <c r="E2575" s="14"/>
      <c r="F2575" s="14"/>
      <c r="G2575" s="14"/>
      <c r="H2575" s="10"/>
      <c r="I2575" s="17"/>
      <c r="J2575" s="10"/>
      <c r="K2575" s="46"/>
      <c r="L2575" s="10"/>
      <c r="M2575" s="20"/>
      <c r="N2575" s="20"/>
      <c r="O2575" s="20"/>
      <c r="P2575" s="20"/>
    </row>
    <row r="2576">
      <c r="A2576" s="23"/>
      <c r="B2576" s="21"/>
      <c r="C2576" s="23"/>
      <c r="D2576" s="24"/>
      <c r="E2576" s="14"/>
      <c r="F2576" s="14"/>
      <c r="G2576" s="14"/>
      <c r="H2576" s="23"/>
      <c r="I2576" s="27"/>
      <c r="J2576" s="23"/>
      <c r="K2576" s="30"/>
      <c r="L2576" s="23"/>
      <c r="M2576" s="20"/>
      <c r="N2576" s="20"/>
      <c r="O2576" s="20"/>
      <c r="P2576" s="20"/>
    </row>
    <row r="2577">
      <c r="A2577" s="10"/>
      <c r="B2577" s="11"/>
      <c r="C2577" s="10"/>
      <c r="D2577" s="13"/>
      <c r="E2577" s="14"/>
      <c r="F2577" s="14"/>
      <c r="G2577" s="14"/>
      <c r="H2577" s="10"/>
      <c r="I2577" s="17"/>
      <c r="J2577" s="10"/>
      <c r="K2577" s="46"/>
      <c r="L2577" s="10"/>
      <c r="M2577" s="20"/>
      <c r="N2577" s="20"/>
      <c r="O2577" s="20"/>
      <c r="P2577" s="20"/>
    </row>
    <row r="2578">
      <c r="A2578" s="23"/>
      <c r="B2578" s="21"/>
      <c r="C2578" s="23"/>
      <c r="D2578" s="24"/>
      <c r="E2578" s="14"/>
      <c r="F2578" s="14"/>
      <c r="G2578" s="14"/>
      <c r="H2578" s="23"/>
      <c r="I2578" s="27"/>
      <c r="J2578" s="23"/>
      <c r="K2578" s="30"/>
      <c r="L2578" s="23"/>
      <c r="M2578" s="20"/>
      <c r="N2578" s="20"/>
      <c r="O2578" s="20"/>
      <c r="P2578" s="20"/>
    </row>
    <row r="2579">
      <c r="A2579" s="10"/>
      <c r="B2579" s="11"/>
      <c r="C2579" s="10"/>
      <c r="D2579" s="13"/>
      <c r="E2579" s="14"/>
      <c r="F2579" s="14"/>
      <c r="G2579" s="14"/>
      <c r="H2579" s="10"/>
      <c r="I2579" s="17"/>
      <c r="J2579" s="10"/>
      <c r="K2579" s="46"/>
      <c r="L2579" s="10"/>
      <c r="M2579" s="20"/>
      <c r="N2579" s="20"/>
      <c r="O2579" s="20"/>
      <c r="P2579" s="20"/>
    </row>
    <row r="2580">
      <c r="A2580" s="23"/>
      <c r="B2580" s="21"/>
      <c r="C2580" s="23"/>
      <c r="D2580" s="24"/>
      <c r="E2580" s="14"/>
      <c r="F2580" s="14"/>
      <c r="G2580" s="14"/>
      <c r="H2580" s="23"/>
      <c r="I2580" s="27"/>
      <c r="J2580" s="23"/>
      <c r="K2580" s="30"/>
      <c r="L2580" s="23"/>
      <c r="M2580" s="20"/>
      <c r="N2580" s="20"/>
      <c r="O2580" s="20"/>
      <c r="P2580" s="20"/>
    </row>
    <row r="2581">
      <c r="A2581" s="10"/>
      <c r="B2581" s="11"/>
      <c r="C2581" s="10"/>
      <c r="D2581" s="13"/>
      <c r="E2581" s="14"/>
      <c r="F2581" s="14"/>
      <c r="G2581" s="14"/>
      <c r="H2581" s="10"/>
      <c r="I2581" s="17"/>
      <c r="J2581" s="10"/>
      <c r="K2581" s="46"/>
      <c r="L2581" s="10"/>
      <c r="M2581" s="20"/>
      <c r="N2581" s="20"/>
      <c r="O2581" s="20"/>
      <c r="P2581" s="20"/>
    </row>
    <row r="2582">
      <c r="A2582" s="23"/>
      <c r="B2582" s="21"/>
      <c r="C2582" s="23"/>
      <c r="D2582" s="24"/>
      <c r="E2582" s="14"/>
      <c r="F2582" s="14"/>
      <c r="G2582" s="14"/>
      <c r="H2582" s="23"/>
      <c r="I2582" s="27"/>
      <c r="J2582" s="23"/>
      <c r="K2582" s="30"/>
      <c r="L2582" s="23"/>
      <c r="M2582" s="20"/>
      <c r="N2582" s="20"/>
      <c r="O2582" s="20"/>
      <c r="P2582" s="20"/>
    </row>
    <row r="2583">
      <c r="A2583" s="10"/>
      <c r="B2583" s="11"/>
      <c r="C2583" s="10"/>
      <c r="D2583" s="13"/>
      <c r="E2583" s="14"/>
      <c r="F2583" s="14"/>
      <c r="G2583" s="14"/>
      <c r="H2583" s="10"/>
      <c r="I2583" s="17"/>
      <c r="J2583" s="10"/>
      <c r="K2583" s="46"/>
      <c r="L2583" s="10"/>
      <c r="M2583" s="20"/>
      <c r="N2583" s="20"/>
      <c r="O2583" s="20"/>
      <c r="P2583" s="20"/>
    </row>
    <row r="2584">
      <c r="A2584" s="23"/>
      <c r="B2584" s="21"/>
      <c r="C2584" s="23"/>
      <c r="D2584" s="24"/>
      <c r="E2584" s="14"/>
      <c r="F2584" s="14"/>
      <c r="G2584" s="14"/>
      <c r="H2584" s="23"/>
      <c r="I2584" s="27"/>
      <c r="J2584" s="23"/>
      <c r="K2584" s="30"/>
      <c r="L2584" s="23"/>
      <c r="M2584" s="20"/>
      <c r="N2584" s="20"/>
      <c r="O2584" s="20"/>
      <c r="P2584" s="20"/>
    </row>
    <row r="2585">
      <c r="A2585" s="10"/>
      <c r="B2585" s="11"/>
      <c r="C2585" s="10"/>
      <c r="D2585" s="13"/>
      <c r="E2585" s="14"/>
      <c r="F2585" s="14"/>
      <c r="G2585" s="14"/>
      <c r="H2585" s="10"/>
      <c r="I2585" s="17"/>
      <c r="J2585" s="10"/>
      <c r="K2585" s="46"/>
      <c r="L2585" s="10"/>
      <c r="M2585" s="20"/>
      <c r="N2585" s="20"/>
      <c r="O2585" s="20"/>
      <c r="P2585" s="20"/>
    </row>
    <row r="2586">
      <c r="A2586" s="23"/>
      <c r="B2586" s="21"/>
      <c r="C2586" s="23"/>
      <c r="D2586" s="24"/>
      <c r="E2586" s="14"/>
      <c r="F2586" s="14"/>
      <c r="G2586" s="14"/>
      <c r="H2586" s="23"/>
      <c r="I2586" s="27"/>
      <c r="J2586" s="23"/>
      <c r="K2586" s="30"/>
      <c r="L2586" s="23"/>
      <c r="M2586" s="20"/>
      <c r="N2586" s="20"/>
      <c r="O2586" s="20"/>
      <c r="P2586" s="20"/>
    </row>
    <row r="2587">
      <c r="A2587" s="10"/>
      <c r="B2587" s="11"/>
      <c r="C2587" s="10"/>
      <c r="D2587" s="13"/>
      <c r="E2587" s="14"/>
      <c r="F2587" s="14"/>
      <c r="G2587" s="14"/>
      <c r="H2587" s="10"/>
      <c r="I2587" s="17"/>
      <c r="J2587" s="10"/>
      <c r="K2587" s="46"/>
      <c r="L2587" s="10"/>
      <c r="M2587" s="20"/>
      <c r="N2587" s="20"/>
      <c r="O2587" s="20"/>
      <c r="P2587" s="20"/>
    </row>
    <row r="2588">
      <c r="A2588" s="23"/>
      <c r="B2588" s="21"/>
      <c r="C2588" s="23"/>
      <c r="D2588" s="24"/>
      <c r="E2588" s="14"/>
      <c r="F2588" s="14"/>
      <c r="G2588" s="14"/>
      <c r="H2588" s="23"/>
      <c r="I2588" s="27"/>
      <c r="J2588" s="23"/>
      <c r="K2588" s="30"/>
      <c r="L2588" s="23"/>
      <c r="M2588" s="20"/>
      <c r="N2588" s="20"/>
      <c r="O2588" s="20"/>
      <c r="P2588" s="20"/>
    </row>
    <row r="2589">
      <c r="A2589" s="10"/>
      <c r="B2589" s="11"/>
      <c r="C2589" s="10"/>
      <c r="D2589" s="13"/>
      <c r="E2589" s="14"/>
      <c r="F2589" s="14"/>
      <c r="G2589" s="14"/>
      <c r="H2589" s="10"/>
      <c r="I2589" s="17"/>
      <c r="J2589" s="10"/>
      <c r="K2589" s="46"/>
      <c r="L2589" s="10"/>
      <c r="M2589" s="20"/>
      <c r="N2589" s="20"/>
      <c r="O2589" s="20"/>
      <c r="P2589" s="20"/>
    </row>
    <row r="2590">
      <c r="A2590" s="23"/>
      <c r="B2590" s="21"/>
      <c r="C2590" s="23"/>
      <c r="D2590" s="24"/>
      <c r="E2590" s="14"/>
      <c r="F2590" s="14"/>
      <c r="G2590" s="14"/>
      <c r="H2590" s="23"/>
      <c r="I2590" s="27"/>
      <c r="J2590" s="23"/>
      <c r="K2590" s="30"/>
      <c r="L2590" s="23"/>
      <c r="M2590" s="20"/>
      <c r="N2590" s="20"/>
      <c r="O2590" s="20"/>
      <c r="P2590" s="20"/>
    </row>
    <row r="2591">
      <c r="A2591" s="10"/>
      <c r="B2591" s="11"/>
      <c r="C2591" s="10"/>
      <c r="D2591" s="13"/>
      <c r="E2591" s="14"/>
      <c r="F2591" s="14"/>
      <c r="G2591" s="14"/>
      <c r="H2591" s="10"/>
      <c r="I2591" s="17"/>
      <c r="J2591" s="10"/>
      <c r="K2591" s="46"/>
      <c r="L2591" s="10"/>
      <c r="M2591" s="20"/>
      <c r="N2591" s="20"/>
      <c r="O2591" s="20"/>
      <c r="P2591" s="20"/>
    </row>
    <row r="2592">
      <c r="A2592" s="23"/>
      <c r="B2592" s="21"/>
      <c r="C2592" s="23"/>
      <c r="D2592" s="24"/>
      <c r="E2592" s="14"/>
      <c r="F2592" s="14"/>
      <c r="G2592" s="14"/>
      <c r="H2592" s="23"/>
      <c r="I2592" s="27"/>
      <c r="J2592" s="23"/>
      <c r="K2592" s="30"/>
      <c r="L2592" s="23"/>
      <c r="M2592" s="20"/>
      <c r="N2592" s="20"/>
      <c r="O2592" s="20"/>
      <c r="P2592" s="20"/>
    </row>
    <row r="2593">
      <c r="A2593" s="10"/>
      <c r="B2593" s="11"/>
      <c r="C2593" s="10"/>
      <c r="D2593" s="13"/>
      <c r="E2593" s="14"/>
      <c r="F2593" s="14"/>
      <c r="G2593" s="14"/>
      <c r="H2593" s="10"/>
      <c r="I2593" s="17"/>
      <c r="J2593" s="10"/>
      <c r="K2593" s="46"/>
      <c r="L2593" s="10"/>
      <c r="M2593" s="20"/>
      <c r="N2593" s="20"/>
      <c r="O2593" s="20"/>
      <c r="P2593" s="20"/>
    </row>
    <row r="2594">
      <c r="A2594" s="23"/>
      <c r="B2594" s="21"/>
      <c r="C2594" s="23"/>
      <c r="D2594" s="24"/>
      <c r="E2594" s="14"/>
      <c r="F2594" s="14"/>
      <c r="G2594" s="14"/>
      <c r="H2594" s="23"/>
      <c r="I2594" s="27"/>
      <c r="J2594" s="23"/>
      <c r="K2594" s="30"/>
      <c r="L2594" s="23"/>
      <c r="M2594" s="20"/>
      <c r="N2594" s="20"/>
      <c r="O2594" s="20"/>
      <c r="P2594" s="20"/>
    </row>
    <row r="2595">
      <c r="A2595" s="10"/>
      <c r="B2595" s="11"/>
      <c r="C2595" s="10"/>
      <c r="D2595" s="13"/>
      <c r="E2595" s="14"/>
      <c r="F2595" s="14"/>
      <c r="G2595" s="14"/>
      <c r="H2595" s="10"/>
      <c r="I2595" s="17"/>
      <c r="J2595" s="10"/>
      <c r="K2595" s="46"/>
      <c r="L2595" s="10"/>
      <c r="M2595" s="20"/>
      <c r="N2595" s="20"/>
      <c r="O2595" s="20"/>
      <c r="P2595" s="20"/>
    </row>
    <row r="2596">
      <c r="A2596" s="23"/>
      <c r="B2596" s="21"/>
      <c r="C2596" s="23"/>
      <c r="D2596" s="24"/>
      <c r="E2596" s="14"/>
      <c r="F2596" s="14"/>
      <c r="G2596" s="14"/>
      <c r="H2596" s="23"/>
      <c r="I2596" s="27"/>
      <c r="J2596" s="23"/>
      <c r="K2596" s="30"/>
      <c r="L2596" s="23"/>
      <c r="M2596" s="20"/>
      <c r="N2596" s="20"/>
      <c r="O2596" s="20"/>
      <c r="P2596" s="20"/>
    </row>
    <row r="2597">
      <c r="A2597" s="10"/>
      <c r="B2597" s="11"/>
      <c r="C2597" s="10"/>
      <c r="D2597" s="13"/>
      <c r="E2597" s="14"/>
      <c r="F2597" s="14"/>
      <c r="G2597" s="14"/>
      <c r="H2597" s="10"/>
      <c r="I2597" s="17"/>
      <c r="J2597" s="10"/>
      <c r="K2597" s="46"/>
      <c r="L2597" s="10"/>
      <c r="M2597" s="20"/>
      <c r="N2597" s="20"/>
      <c r="O2597" s="20"/>
      <c r="P2597" s="20"/>
    </row>
    <row r="2598">
      <c r="A2598" s="23"/>
      <c r="B2598" s="21"/>
      <c r="C2598" s="23"/>
      <c r="D2598" s="24"/>
      <c r="E2598" s="14"/>
      <c r="F2598" s="14"/>
      <c r="G2598" s="14"/>
      <c r="H2598" s="23"/>
      <c r="I2598" s="27"/>
      <c r="J2598" s="23"/>
      <c r="K2598" s="30"/>
      <c r="L2598" s="23"/>
      <c r="M2598" s="20"/>
      <c r="N2598" s="20"/>
      <c r="O2598" s="20"/>
      <c r="P2598" s="20"/>
    </row>
    <row r="2599">
      <c r="A2599" s="10"/>
      <c r="B2599" s="11"/>
      <c r="C2599" s="10"/>
      <c r="D2599" s="13"/>
      <c r="E2599" s="14"/>
      <c r="F2599" s="14"/>
      <c r="G2599" s="14"/>
      <c r="H2599" s="10"/>
      <c r="I2599" s="17"/>
      <c r="J2599" s="10"/>
      <c r="K2599" s="46"/>
      <c r="L2599" s="10"/>
      <c r="M2599" s="20"/>
      <c r="N2599" s="20"/>
      <c r="O2599" s="20"/>
      <c r="P2599" s="20"/>
    </row>
    <row r="2600">
      <c r="A2600" s="23"/>
      <c r="B2600" s="21"/>
      <c r="C2600" s="23"/>
      <c r="D2600" s="24"/>
      <c r="E2600" s="14"/>
      <c r="F2600" s="14"/>
      <c r="G2600" s="14"/>
      <c r="H2600" s="23"/>
      <c r="I2600" s="27"/>
      <c r="J2600" s="23"/>
      <c r="K2600" s="30"/>
      <c r="L2600" s="23"/>
      <c r="M2600" s="20"/>
      <c r="N2600" s="20"/>
      <c r="O2600" s="20"/>
      <c r="P2600" s="20"/>
    </row>
    <row r="2601">
      <c r="A2601" s="10"/>
      <c r="B2601" s="11"/>
      <c r="C2601" s="10"/>
      <c r="D2601" s="13"/>
      <c r="E2601" s="14"/>
      <c r="F2601" s="14"/>
      <c r="G2601" s="14"/>
      <c r="H2601" s="10"/>
      <c r="I2601" s="17"/>
      <c r="J2601" s="10"/>
      <c r="K2601" s="46"/>
      <c r="L2601" s="10"/>
      <c r="M2601" s="20"/>
      <c r="N2601" s="20"/>
      <c r="O2601" s="20"/>
      <c r="P2601" s="20"/>
    </row>
    <row r="2602">
      <c r="A2602" s="23"/>
      <c r="B2602" s="21"/>
      <c r="C2602" s="23"/>
      <c r="D2602" s="24"/>
      <c r="E2602" s="14"/>
      <c r="F2602" s="14"/>
      <c r="G2602" s="14"/>
      <c r="H2602" s="23"/>
      <c r="I2602" s="27"/>
      <c r="J2602" s="23"/>
      <c r="K2602" s="30"/>
      <c r="L2602" s="23"/>
      <c r="M2602" s="20"/>
      <c r="N2602" s="20"/>
      <c r="O2602" s="20"/>
      <c r="P2602" s="20"/>
    </row>
    <row r="2603">
      <c r="A2603" s="10"/>
      <c r="B2603" s="11"/>
      <c r="C2603" s="10"/>
      <c r="D2603" s="13"/>
      <c r="E2603" s="14"/>
      <c r="F2603" s="14"/>
      <c r="G2603" s="14"/>
      <c r="H2603" s="10"/>
      <c r="I2603" s="17"/>
      <c r="J2603" s="10"/>
      <c r="K2603" s="46"/>
      <c r="L2603" s="10"/>
      <c r="M2603" s="20"/>
      <c r="N2603" s="20"/>
      <c r="O2603" s="20"/>
      <c r="P2603" s="20"/>
    </row>
    <row r="2604">
      <c r="A2604" s="23"/>
      <c r="B2604" s="21"/>
      <c r="C2604" s="23"/>
      <c r="D2604" s="24"/>
      <c r="E2604" s="14"/>
      <c r="F2604" s="14"/>
      <c r="G2604" s="14"/>
      <c r="H2604" s="23"/>
      <c r="I2604" s="27"/>
      <c r="J2604" s="23"/>
      <c r="K2604" s="30"/>
      <c r="L2604" s="23"/>
      <c r="M2604" s="20"/>
      <c r="N2604" s="20"/>
      <c r="O2604" s="20"/>
      <c r="P2604" s="20"/>
    </row>
    <row r="2605">
      <c r="A2605" s="10"/>
      <c r="B2605" s="11"/>
      <c r="C2605" s="10"/>
      <c r="D2605" s="13"/>
      <c r="E2605" s="14"/>
      <c r="F2605" s="14"/>
      <c r="G2605" s="14"/>
      <c r="H2605" s="10"/>
      <c r="I2605" s="17"/>
      <c r="J2605" s="10"/>
      <c r="K2605" s="46"/>
      <c r="L2605" s="10"/>
      <c r="M2605" s="20"/>
      <c r="N2605" s="20"/>
      <c r="O2605" s="20"/>
      <c r="P2605" s="20"/>
    </row>
    <row r="2606">
      <c r="A2606" s="23"/>
      <c r="B2606" s="21"/>
      <c r="C2606" s="23"/>
      <c r="D2606" s="24"/>
      <c r="E2606" s="14"/>
      <c r="F2606" s="14"/>
      <c r="G2606" s="14"/>
      <c r="H2606" s="23"/>
      <c r="I2606" s="27"/>
      <c r="J2606" s="23"/>
      <c r="K2606" s="30"/>
      <c r="L2606" s="23"/>
      <c r="M2606" s="20"/>
      <c r="N2606" s="20"/>
      <c r="O2606" s="20"/>
      <c r="P2606" s="20"/>
    </row>
    <row r="2607">
      <c r="A2607" s="10"/>
      <c r="B2607" s="11"/>
      <c r="C2607" s="10"/>
      <c r="D2607" s="13"/>
      <c r="E2607" s="14"/>
      <c r="F2607" s="14"/>
      <c r="G2607" s="14"/>
      <c r="H2607" s="10"/>
      <c r="I2607" s="17"/>
      <c r="J2607" s="10"/>
      <c r="K2607" s="46"/>
      <c r="L2607" s="10"/>
      <c r="M2607" s="20"/>
      <c r="N2607" s="20"/>
      <c r="O2607" s="20"/>
      <c r="P2607" s="20"/>
    </row>
    <row r="2608">
      <c r="A2608" s="23"/>
      <c r="B2608" s="21"/>
      <c r="C2608" s="23"/>
      <c r="D2608" s="24"/>
      <c r="E2608" s="14"/>
      <c r="F2608" s="14"/>
      <c r="G2608" s="14"/>
      <c r="H2608" s="23"/>
      <c r="I2608" s="27"/>
      <c r="J2608" s="23"/>
      <c r="K2608" s="30"/>
      <c r="L2608" s="23"/>
      <c r="M2608" s="20"/>
      <c r="N2608" s="20"/>
      <c r="O2608" s="20"/>
      <c r="P2608" s="20"/>
    </row>
    <row r="2609">
      <c r="A2609" s="10"/>
      <c r="B2609" s="11"/>
      <c r="C2609" s="10"/>
      <c r="D2609" s="13"/>
      <c r="E2609" s="14"/>
      <c r="F2609" s="14"/>
      <c r="G2609" s="14"/>
      <c r="H2609" s="10"/>
      <c r="I2609" s="17"/>
      <c r="J2609" s="10"/>
      <c r="K2609" s="46"/>
      <c r="L2609" s="10"/>
      <c r="M2609" s="20"/>
      <c r="N2609" s="20"/>
      <c r="O2609" s="20"/>
      <c r="P2609" s="20"/>
    </row>
    <row r="2610">
      <c r="A2610" s="23"/>
      <c r="B2610" s="21"/>
      <c r="C2610" s="23"/>
      <c r="D2610" s="24"/>
      <c r="E2610" s="14"/>
      <c r="F2610" s="14"/>
      <c r="G2610" s="14"/>
      <c r="H2610" s="23"/>
      <c r="I2610" s="27"/>
      <c r="J2610" s="23"/>
      <c r="K2610" s="30"/>
      <c r="L2610" s="23"/>
      <c r="M2610" s="20"/>
      <c r="N2610" s="20"/>
      <c r="O2610" s="20"/>
      <c r="P2610" s="20"/>
    </row>
    <row r="2611">
      <c r="A2611" s="10"/>
      <c r="B2611" s="11"/>
      <c r="C2611" s="10"/>
      <c r="D2611" s="13"/>
      <c r="E2611" s="14"/>
      <c r="F2611" s="14"/>
      <c r="G2611" s="14"/>
      <c r="H2611" s="10"/>
      <c r="I2611" s="17"/>
      <c r="J2611" s="10"/>
      <c r="K2611" s="46"/>
      <c r="L2611" s="10"/>
      <c r="M2611" s="20"/>
      <c r="N2611" s="20"/>
      <c r="O2611" s="20"/>
      <c r="P2611" s="20"/>
    </row>
    <row r="2612">
      <c r="A2612" s="23"/>
      <c r="B2612" s="21"/>
      <c r="C2612" s="23"/>
      <c r="D2612" s="24"/>
      <c r="E2612" s="14"/>
      <c r="F2612" s="14"/>
      <c r="G2612" s="14"/>
      <c r="H2612" s="23"/>
      <c r="I2612" s="27"/>
      <c r="J2612" s="23"/>
      <c r="K2612" s="30"/>
      <c r="L2612" s="23"/>
      <c r="M2612" s="20"/>
      <c r="N2612" s="20"/>
      <c r="O2612" s="20"/>
      <c r="P2612" s="20"/>
    </row>
    <row r="2613">
      <c r="A2613" s="10"/>
      <c r="B2613" s="11"/>
      <c r="C2613" s="10"/>
      <c r="D2613" s="13"/>
      <c r="E2613" s="14"/>
      <c r="F2613" s="14"/>
      <c r="G2613" s="14"/>
      <c r="H2613" s="10"/>
      <c r="I2613" s="17"/>
      <c r="J2613" s="10"/>
      <c r="K2613" s="46"/>
      <c r="L2613" s="10"/>
      <c r="M2613" s="20"/>
      <c r="N2613" s="20"/>
      <c r="O2613" s="20"/>
      <c r="P2613" s="20"/>
    </row>
    <row r="2614">
      <c r="A2614" s="23"/>
      <c r="B2614" s="21"/>
      <c r="C2614" s="23"/>
      <c r="D2614" s="24"/>
      <c r="E2614" s="14"/>
      <c r="F2614" s="14"/>
      <c r="G2614" s="14"/>
      <c r="H2614" s="23"/>
      <c r="I2614" s="27"/>
      <c r="J2614" s="23"/>
      <c r="K2614" s="30"/>
      <c r="L2614" s="23"/>
      <c r="M2614" s="20"/>
      <c r="N2614" s="20"/>
      <c r="O2614" s="20"/>
      <c r="P2614" s="20"/>
    </row>
    <row r="2615">
      <c r="A2615" s="10"/>
      <c r="B2615" s="11"/>
      <c r="C2615" s="10"/>
      <c r="D2615" s="13"/>
      <c r="E2615" s="14"/>
      <c r="F2615" s="14"/>
      <c r="G2615" s="14"/>
      <c r="H2615" s="10"/>
      <c r="I2615" s="17"/>
      <c r="J2615" s="10"/>
      <c r="K2615" s="46"/>
      <c r="L2615" s="10"/>
      <c r="M2615" s="20"/>
      <c r="N2615" s="20"/>
      <c r="O2615" s="20"/>
      <c r="P2615" s="20"/>
    </row>
    <row r="2616">
      <c r="A2616" s="23"/>
      <c r="B2616" s="21"/>
      <c r="C2616" s="23"/>
      <c r="D2616" s="24"/>
      <c r="E2616" s="14"/>
      <c r="F2616" s="14"/>
      <c r="G2616" s="14"/>
      <c r="H2616" s="23"/>
      <c r="I2616" s="27"/>
      <c r="J2616" s="23"/>
      <c r="K2616" s="30"/>
      <c r="L2616" s="23"/>
      <c r="M2616" s="20"/>
      <c r="N2616" s="20"/>
      <c r="O2616" s="20"/>
      <c r="P2616" s="20"/>
    </row>
    <row r="2617">
      <c r="A2617" s="10"/>
      <c r="B2617" s="11"/>
      <c r="C2617" s="10"/>
      <c r="D2617" s="13"/>
      <c r="E2617" s="14"/>
      <c r="F2617" s="14"/>
      <c r="G2617" s="14"/>
      <c r="H2617" s="10"/>
      <c r="I2617" s="17"/>
      <c r="J2617" s="10"/>
      <c r="K2617" s="46"/>
      <c r="L2617" s="10"/>
      <c r="M2617" s="20"/>
      <c r="N2617" s="20"/>
      <c r="O2617" s="20"/>
      <c r="P2617" s="20"/>
    </row>
    <row r="2618">
      <c r="A2618" s="23"/>
      <c r="B2618" s="21"/>
      <c r="C2618" s="23"/>
      <c r="D2618" s="24"/>
      <c r="E2618" s="14"/>
      <c r="F2618" s="14"/>
      <c r="G2618" s="14"/>
      <c r="H2618" s="23"/>
      <c r="I2618" s="27"/>
      <c r="J2618" s="23"/>
      <c r="K2618" s="30"/>
      <c r="L2618" s="23"/>
      <c r="M2618" s="20"/>
      <c r="N2618" s="20"/>
      <c r="O2618" s="20"/>
      <c r="P2618" s="20"/>
    </row>
    <row r="2619">
      <c r="A2619" s="10"/>
      <c r="B2619" s="11"/>
      <c r="C2619" s="10"/>
      <c r="D2619" s="13"/>
      <c r="E2619" s="14"/>
      <c r="F2619" s="14"/>
      <c r="G2619" s="14"/>
      <c r="H2619" s="10"/>
      <c r="I2619" s="17"/>
      <c r="J2619" s="10"/>
      <c r="K2619" s="46"/>
      <c r="L2619" s="10"/>
      <c r="M2619" s="20"/>
      <c r="N2619" s="20"/>
      <c r="O2619" s="20"/>
      <c r="P2619" s="20"/>
    </row>
    <row r="2620">
      <c r="A2620" s="23"/>
      <c r="B2620" s="21"/>
      <c r="C2620" s="23"/>
      <c r="D2620" s="24"/>
      <c r="E2620" s="14"/>
      <c r="F2620" s="14"/>
      <c r="G2620" s="14"/>
      <c r="H2620" s="23"/>
      <c r="I2620" s="27"/>
      <c r="J2620" s="23"/>
      <c r="K2620" s="30"/>
      <c r="L2620" s="23"/>
      <c r="M2620" s="20"/>
      <c r="N2620" s="20"/>
      <c r="O2620" s="20"/>
      <c r="P2620" s="20"/>
    </row>
    <row r="2621">
      <c r="A2621" s="10"/>
      <c r="B2621" s="11"/>
      <c r="C2621" s="10"/>
      <c r="D2621" s="13"/>
      <c r="E2621" s="14"/>
      <c r="F2621" s="14"/>
      <c r="G2621" s="14"/>
      <c r="H2621" s="10"/>
      <c r="I2621" s="17"/>
      <c r="J2621" s="10"/>
      <c r="K2621" s="46"/>
      <c r="L2621" s="10"/>
      <c r="M2621" s="20"/>
      <c r="N2621" s="20"/>
      <c r="O2621" s="20"/>
      <c r="P2621" s="20"/>
    </row>
    <row r="2622">
      <c r="A2622" s="23"/>
      <c r="B2622" s="21"/>
      <c r="C2622" s="23"/>
      <c r="D2622" s="24"/>
      <c r="E2622" s="14"/>
      <c r="F2622" s="14"/>
      <c r="G2622" s="14"/>
      <c r="H2622" s="23"/>
      <c r="I2622" s="27"/>
      <c r="J2622" s="23"/>
      <c r="K2622" s="30"/>
      <c r="L2622" s="23"/>
      <c r="M2622" s="20"/>
      <c r="N2622" s="20"/>
      <c r="O2622" s="20"/>
      <c r="P2622" s="20"/>
    </row>
    <row r="2623">
      <c r="A2623" s="10"/>
      <c r="B2623" s="11"/>
      <c r="C2623" s="10"/>
      <c r="D2623" s="13"/>
      <c r="E2623" s="14"/>
      <c r="F2623" s="14"/>
      <c r="G2623" s="14"/>
      <c r="H2623" s="10"/>
      <c r="I2623" s="17"/>
      <c r="J2623" s="10"/>
      <c r="K2623" s="46"/>
      <c r="L2623" s="10"/>
      <c r="M2623" s="20"/>
      <c r="N2623" s="20"/>
      <c r="O2623" s="20"/>
      <c r="P2623" s="20"/>
    </row>
    <row r="2624">
      <c r="A2624" s="23"/>
      <c r="B2624" s="21"/>
      <c r="C2624" s="23"/>
      <c r="D2624" s="24"/>
      <c r="E2624" s="14"/>
      <c r="F2624" s="14"/>
      <c r="G2624" s="14"/>
      <c r="H2624" s="23"/>
      <c r="I2624" s="27"/>
      <c r="J2624" s="23"/>
      <c r="K2624" s="30"/>
      <c r="L2624" s="23"/>
      <c r="M2624" s="20"/>
      <c r="N2624" s="20"/>
      <c r="O2624" s="20"/>
      <c r="P2624" s="20"/>
    </row>
    <row r="2625">
      <c r="A2625" s="10"/>
      <c r="B2625" s="11"/>
      <c r="C2625" s="10"/>
      <c r="D2625" s="13"/>
      <c r="E2625" s="14"/>
      <c r="F2625" s="14"/>
      <c r="G2625" s="14"/>
      <c r="H2625" s="10"/>
      <c r="I2625" s="17"/>
      <c r="J2625" s="10"/>
      <c r="K2625" s="46"/>
      <c r="L2625" s="10"/>
      <c r="M2625" s="20"/>
      <c r="N2625" s="20"/>
      <c r="O2625" s="20"/>
      <c r="P2625" s="20"/>
    </row>
    <row r="2626">
      <c r="A2626" s="23"/>
      <c r="B2626" s="21"/>
      <c r="C2626" s="23"/>
      <c r="D2626" s="24"/>
      <c r="E2626" s="14"/>
      <c r="F2626" s="14"/>
      <c r="G2626" s="14"/>
      <c r="H2626" s="23"/>
      <c r="I2626" s="27"/>
      <c r="J2626" s="23"/>
      <c r="K2626" s="30"/>
      <c r="L2626" s="23"/>
      <c r="M2626" s="20"/>
      <c r="N2626" s="20"/>
      <c r="O2626" s="20"/>
      <c r="P2626" s="20"/>
    </row>
    <row r="2627">
      <c r="A2627" s="10"/>
      <c r="B2627" s="11"/>
      <c r="C2627" s="10"/>
      <c r="D2627" s="13"/>
      <c r="E2627" s="14"/>
      <c r="F2627" s="14"/>
      <c r="G2627" s="14"/>
      <c r="H2627" s="10"/>
      <c r="I2627" s="17"/>
      <c r="J2627" s="10"/>
      <c r="K2627" s="46"/>
      <c r="L2627" s="10"/>
      <c r="M2627" s="20"/>
      <c r="N2627" s="20"/>
      <c r="O2627" s="20"/>
      <c r="P2627" s="20"/>
    </row>
    <row r="2628">
      <c r="A2628" s="23"/>
      <c r="B2628" s="21"/>
      <c r="C2628" s="23"/>
      <c r="D2628" s="24"/>
      <c r="E2628" s="14"/>
      <c r="F2628" s="14"/>
      <c r="G2628" s="14"/>
      <c r="H2628" s="23"/>
      <c r="I2628" s="27"/>
      <c r="J2628" s="23"/>
      <c r="K2628" s="30"/>
      <c r="L2628" s="23"/>
      <c r="M2628" s="20"/>
      <c r="N2628" s="20"/>
      <c r="O2628" s="20"/>
      <c r="P2628" s="20"/>
    </row>
    <row r="2629">
      <c r="A2629" s="10"/>
      <c r="B2629" s="11"/>
      <c r="C2629" s="10"/>
      <c r="D2629" s="13"/>
      <c r="E2629" s="14"/>
      <c r="F2629" s="14"/>
      <c r="G2629" s="14"/>
      <c r="H2629" s="10"/>
      <c r="I2629" s="17"/>
      <c r="J2629" s="10"/>
      <c r="K2629" s="46"/>
      <c r="L2629" s="10"/>
      <c r="M2629" s="20"/>
      <c r="N2629" s="20"/>
      <c r="O2629" s="20"/>
      <c r="P2629" s="20"/>
    </row>
    <row r="2630">
      <c r="A2630" s="23"/>
      <c r="B2630" s="21"/>
      <c r="C2630" s="23"/>
      <c r="D2630" s="24"/>
      <c r="E2630" s="14"/>
      <c r="F2630" s="14"/>
      <c r="G2630" s="14"/>
      <c r="H2630" s="23"/>
      <c r="I2630" s="27"/>
      <c r="J2630" s="23"/>
      <c r="K2630" s="30"/>
      <c r="L2630" s="23"/>
      <c r="M2630" s="20"/>
      <c r="N2630" s="20"/>
      <c r="O2630" s="20"/>
      <c r="P2630" s="20"/>
    </row>
    <row r="2631">
      <c r="A2631" s="10"/>
      <c r="B2631" s="11"/>
      <c r="C2631" s="10"/>
      <c r="D2631" s="13"/>
      <c r="E2631" s="14"/>
      <c r="F2631" s="14"/>
      <c r="G2631" s="14"/>
      <c r="H2631" s="10"/>
      <c r="I2631" s="17"/>
      <c r="J2631" s="10"/>
      <c r="K2631" s="46"/>
      <c r="L2631" s="10"/>
      <c r="M2631" s="20"/>
      <c r="N2631" s="20"/>
      <c r="O2631" s="20"/>
      <c r="P2631" s="20"/>
    </row>
    <row r="2632">
      <c r="A2632" s="23"/>
      <c r="B2632" s="21"/>
      <c r="C2632" s="23"/>
      <c r="D2632" s="24"/>
      <c r="E2632" s="14"/>
      <c r="F2632" s="14"/>
      <c r="G2632" s="14"/>
      <c r="H2632" s="23"/>
      <c r="I2632" s="27"/>
      <c r="J2632" s="23"/>
      <c r="K2632" s="30"/>
      <c r="L2632" s="23"/>
      <c r="M2632" s="20"/>
      <c r="N2632" s="20"/>
      <c r="O2632" s="20"/>
      <c r="P2632" s="20"/>
    </row>
    <row r="2633">
      <c r="A2633" s="10"/>
      <c r="B2633" s="11"/>
      <c r="C2633" s="10"/>
      <c r="D2633" s="13"/>
      <c r="E2633" s="14"/>
      <c r="F2633" s="14"/>
      <c r="G2633" s="14"/>
      <c r="H2633" s="10"/>
      <c r="I2633" s="17"/>
      <c r="J2633" s="10"/>
      <c r="K2633" s="46"/>
      <c r="L2633" s="10"/>
      <c r="M2633" s="20"/>
      <c r="N2633" s="20"/>
      <c r="O2633" s="20"/>
      <c r="P2633" s="20"/>
    </row>
    <row r="2634">
      <c r="A2634" s="23"/>
      <c r="B2634" s="21"/>
      <c r="C2634" s="23"/>
      <c r="D2634" s="24"/>
      <c r="E2634" s="14"/>
      <c r="F2634" s="14"/>
      <c r="G2634" s="14"/>
      <c r="H2634" s="23"/>
      <c r="I2634" s="27"/>
      <c r="J2634" s="23"/>
      <c r="K2634" s="30"/>
      <c r="L2634" s="23"/>
      <c r="M2634" s="20"/>
      <c r="N2634" s="20"/>
      <c r="O2634" s="20"/>
      <c r="P2634" s="20"/>
    </row>
    <row r="2635">
      <c r="A2635" s="10"/>
      <c r="B2635" s="11"/>
      <c r="C2635" s="10"/>
      <c r="D2635" s="13"/>
      <c r="E2635" s="14"/>
      <c r="F2635" s="14"/>
      <c r="G2635" s="14"/>
      <c r="H2635" s="10"/>
      <c r="I2635" s="17"/>
      <c r="J2635" s="10"/>
      <c r="K2635" s="46"/>
      <c r="L2635" s="10"/>
      <c r="M2635" s="20"/>
      <c r="N2635" s="20"/>
      <c r="O2635" s="20"/>
      <c r="P2635" s="20"/>
    </row>
    <row r="2636">
      <c r="A2636" s="23"/>
      <c r="B2636" s="21"/>
      <c r="C2636" s="23"/>
      <c r="D2636" s="24"/>
      <c r="E2636" s="14"/>
      <c r="F2636" s="14"/>
      <c r="G2636" s="14"/>
      <c r="H2636" s="23"/>
      <c r="I2636" s="27"/>
      <c r="J2636" s="23"/>
      <c r="K2636" s="30"/>
      <c r="L2636" s="23"/>
      <c r="M2636" s="20"/>
      <c r="N2636" s="20"/>
      <c r="O2636" s="20"/>
      <c r="P2636" s="20"/>
    </row>
    <row r="2637">
      <c r="A2637" s="10"/>
      <c r="B2637" s="11"/>
      <c r="C2637" s="10"/>
      <c r="D2637" s="13"/>
      <c r="E2637" s="14"/>
      <c r="F2637" s="14"/>
      <c r="G2637" s="14"/>
      <c r="H2637" s="10"/>
      <c r="I2637" s="17"/>
      <c r="J2637" s="10"/>
      <c r="K2637" s="46"/>
      <c r="L2637" s="10"/>
      <c r="M2637" s="20"/>
      <c r="N2637" s="20"/>
      <c r="O2637" s="20"/>
      <c r="P2637" s="20"/>
    </row>
    <row r="2638">
      <c r="A2638" s="23"/>
      <c r="B2638" s="21"/>
      <c r="C2638" s="23"/>
      <c r="D2638" s="24"/>
      <c r="E2638" s="14"/>
      <c r="F2638" s="14"/>
      <c r="G2638" s="14"/>
      <c r="H2638" s="23"/>
      <c r="I2638" s="27"/>
      <c r="J2638" s="23"/>
      <c r="K2638" s="30"/>
      <c r="L2638" s="23"/>
      <c r="M2638" s="20"/>
      <c r="N2638" s="20"/>
      <c r="O2638" s="20"/>
      <c r="P2638" s="20"/>
    </row>
    <row r="2639">
      <c r="A2639" s="10"/>
      <c r="B2639" s="11"/>
      <c r="C2639" s="10"/>
      <c r="D2639" s="13"/>
      <c r="E2639" s="14"/>
      <c r="F2639" s="14"/>
      <c r="G2639" s="14"/>
      <c r="H2639" s="10"/>
      <c r="I2639" s="17"/>
      <c r="J2639" s="10"/>
      <c r="K2639" s="46"/>
      <c r="L2639" s="10"/>
      <c r="M2639" s="20"/>
      <c r="N2639" s="20"/>
      <c r="O2639" s="20"/>
      <c r="P2639" s="20"/>
    </row>
    <row r="2640">
      <c r="A2640" s="23"/>
      <c r="B2640" s="21"/>
      <c r="C2640" s="23"/>
      <c r="D2640" s="24"/>
      <c r="E2640" s="14"/>
      <c r="F2640" s="14"/>
      <c r="G2640" s="14"/>
      <c r="H2640" s="23"/>
      <c r="I2640" s="27"/>
      <c r="J2640" s="23"/>
      <c r="K2640" s="30"/>
      <c r="L2640" s="23"/>
      <c r="M2640" s="20"/>
      <c r="N2640" s="20"/>
      <c r="O2640" s="20"/>
      <c r="P2640" s="20"/>
    </row>
    <row r="2641">
      <c r="A2641" s="10"/>
      <c r="B2641" s="11"/>
      <c r="C2641" s="10"/>
      <c r="D2641" s="13"/>
      <c r="E2641" s="14"/>
      <c r="F2641" s="14"/>
      <c r="G2641" s="14"/>
      <c r="H2641" s="10"/>
      <c r="I2641" s="17"/>
      <c r="J2641" s="10"/>
      <c r="K2641" s="46"/>
      <c r="L2641" s="10"/>
      <c r="M2641" s="20"/>
      <c r="N2641" s="20"/>
      <c r="O2641" s="20"/>
      <c r="P2641" s="20"/>
    </row>
    <row r="2642">
      <c r="A2642" s="23"/>
      <c r="B2642" s="21"/>
      <c r="C2642" s="23"/>
      <c r="D2642" s="24"/>
      <c r="E2642" s="14"/>
      <c r="F2642" s="14"/>
      <c r="G2642" s="14"/>
      <c r="H2642" s="23"/>
      <c r="I2642" s="27"/>
      <c r="J2642" s="23"/>
      <c r="K2642" s="30"/>
      <c r="L2642" s="23"/>
      <c r="M2642" s="20"/>
      <c r="N2642" s="20"/>
      <c r="O2642" s="20"/>
      <c r="P2642" s="20"/>
    </row>
    <row r="2643">
      <c r="A2643" s="10"/>
      <c r="B2643" s="11"/>
      <c r="C2643" s="10"/>
      <c r="D2643" s="13"/>
      <c r="E2643" s="14"/>
      <c r="F2643" s="14"/>
      <c r="G2643" s="14"/>
      <c r="H2643" s="10"/>
      <c r="I2643" s="17"/>
      <c r="J2643" s="10"/>
      <c r="K2643" s="46"/>
      <c r="L2643" s="10"/>
      <c r="M2643" s="20"/>
      <c r="N2643" s="20"/>
      <c r="O2643" s="20"/>
      <c r="P2643" s="20"/>
    </row>
    <row r="2644">
      <c r="A2644" s="23"/>
      <c r="B2644" s="21"/>
      <c r="C2644" s="23"/>
      <c r="D2644" s="24"/>
      <c r="E2644" s="14"/>
      <c r="F2644" s="14"/>
      <c r="G2644" s="14"/>
      <c r="H2644" s="23"/>
      <c r="I2644" s="27"/>
      <c r="J2644" s="23"/>
      <c r="K2644" s="30"/>
      <c r="L2644" s="23"/>
      <c r="M2644" s="20"/>
      <c r="N2644" s="20"/>
      <c r="O2644" s="20"/>
      <c r="P2644" s="20"/>
    </row>
    <row r="2645">
      <c r="A2645" s="10"/>
      <c r="B2645" s="11"/>
      <c r="C2645" s="10"/>
      <c r="D2645" s="13"/>
      <c r="E2645" s="14"/>
      <c r="F2645" s="14"/>
      <c r="G2645" s="14"/>
      <c r="H2645" s="10"/>
      <c r="I2645" s="17"/>
      <c r="J2645" s="10"/>
      <c r="K2645" s="46"/>
      <c r="L2645" s="10"/>
      <c r="M2645" s="20"/>
      <c r="N2645" s="20"/>
      <c r="O2645" s="20"/>
      <c r="P2645" s="20"/>
    </row>
    <row r="2646">
      <c r="A2646" s="23"/>
      <c r="B2646" s="21"/>
      <c r="C2646" s="23"/>
      <c r="D2646" s="24"/>
      <c r="E2646" s="14"/>
      <c r="F2646" s="14"/>
      <c r="G2646" s="14"/>
      <c r="H2646" s="23"/>
      <c r="I2646" s="27"/>
      <c r="J2646" s="23"/>
      <c r="K2646" s="30"/>
      <c r="L2646" s="23"/>
      <c r="M2646" s="20"/>
      <c r="N2646" s="20"/>
      <c r="O2646" s="20"/>
      <c r="P2646" s="20"/>
    </row>
    <row r="2647">
      <c r="A2647" s="10"/>
      <c r="B2647" s="11"/>
      <c r="C2647" s="10"/>
      <c r="D2647" s="13"/>
      <c r="E2647" s="14"/>
      <c r="F2647" s="14"/>
      <c r="G2647" s="14"/>
      <c r="H2647" s="10"/>
      <c r="I2647" s="17"/>
      <c r="J2647" s="10"/>
      <c r="K2647" s="46"/>
      <c r="L2647" s="10"/>
      <c r="M2647" s="20"/>
      <c r="N2647" s="20"/>
      <c r="O2647" s="20"/>
      <c r="P2647" s="20"/>
    </row>
    <row r="2648">
      <c r="A2648" s="23"/>
      <c r="B2648" s="21"/>
      <c r="C2648" s="23"/>
      <c r="D2648" s="24"/>
      <c r="E2648" s="14"/>
      <c r="F2648" s="14"/>
      <c r="G2648" s="14"/>
      <c r="H2648" s="23"/>
      <c r="I2648" s="27"/>
      <c r="J2648" s="23"/>
      <c r="K2648" s="30"/>
      <c r="L2648" s="23"/>
      <c r="M2648" s="20"/>
      <c r="N2648" s="20"/>
      <c r="O2648" s="20"/>
      <c r="P2648" s="20"/>
    </row>
    <row r="2649">
      <c r="A2649" s="10"/>
      <c r="B2649" s="11"/>
      <c r="C2649" s="10"/>
      <c r="D2649" s="13"/>
      <c r="E2649" s="14"/>
      <c r="F2649" s="14"/>
      <c r="G2649" s="14"/>
      <c r="H2649" s="10"/>
      <c r="I2649" s="17"/>
      <c r="J2649" s="10"/>
      <c r="K2649" s="46"/>
      <c r="L2649" s="10"/>
      <c r="M2649" s="20"/>
      <c r="N2649" s="20"/>
      <c r="O2649" s="20"/>
      <c r="P2649" s="20"/>
    </row>
    <row r="2650">
      <c r="A2650" s="23"/>
      <c r="B2650" s="21"/>
      <c r="C2650" s="23"/>
      <c r="D2650" s="24"/>
      <c r="E2650" s="14"/>
      <c r="F2650" s="14"/>
      <c r="G2650" s="14"/>
      <c r="H2650" s="23"/>
      <c r="I2650" s="27"/>
      <c r="J2650" s="23"/>
      <c r="K2650" s="30"/>
      <c r="L2650" s="23"/>
      <c r="M2650" s="20"/>
      <c r="N2650" s="20"/>
      <c r="O2650" s="20"/>
      <c r="P2650" s="20"/>
    </row>
    <row r="2651">
      <c r="A2651" s="10"/>
      <c r="B2651" s="11"/>
      <c r="C2651" s="10"/>
      <c r="D2651" s="13"/>
      <c r="E2651" s="14"/>
      <c r="F2651" s="14"/>
      <c r="G2651" s="14"/>
      <c r="H2651" s="10"/>
      <c r="I2651" s="17"/>
      <c r="J2651" s="10"/>
      <c r="K2651" s="46"/>
      <c r="L2651" s="10"/>
      <c r="M2651" s="20"/>
      <c r="N2651" s="20"/>
      <c r="O2651" s="20"/>
      <c r="P2651" s="20"/>
    </row>
    <row r="2652">
      <c r="A2652" s="23"/>
      <c r="B2652" s="21"/>
      <c r="C2652" s="23"/>
      <c r="D2652" s="24"/>
      <c r="E2652" s="14"/>
      <c r="F2652" s="14"/>
      <c r="G2652" s="14"/>
      <c r="H2652" s="23"/>
      <c r="I2652" s="27"/>
      <c r="J2652" s="23"/>
      <c r="K2652" s="30"/>
      <c r="L2652" s="23"/>
      <c r="M2652" s="20"/>
      <c r="N2652" s="20"/>
      <c r="O2652" s="20"/>
      <c r="P2652" s="20"/>
    </row>
    <row r="2653">
      <c r="A2653" s="10"/>
      <c r="B2653" s="11"/>
      <c r="C2653" s="10"/>
      <c r="D2653" s="13"/>
      <c r="E2653" s="14"/>
      <c r="F2653" s="14"/>
      <c r="G2653" s="14"/>
      <c r="H2653" s="10"/>
      <c r="I2653" s="17"/>
      <c r="J2653" s="10"/>
      <c r="K2653" s="46"/>
      <c r="L2653" s="10"/>
      <c r="M2653" s="20"/>
      <c r="N2653" s="20"/>
      <c r="O2653" s="20"/>
      <c r="P2653" s="20"/>
    </row>
    <row r="2654">
      <c r="A2654" s="23"/>
      <c r="B2654" s="21"/>
      <c r="C2654" s="23"/>
      <c r="D2654" s="24"/>
      <c r="E2654" s="14"/>
      <c r="F2654" s="14"/>
      <c r="G2654" s="14"/>
      <c r="H2654" s="23"/>
      <c r="I2654" s="27"/>
      <c r="J2654" s="23"/>
      <c r="K2654" s="30"/>
      <c r="L2654" s="23"/>
      <c r="M2654" s="20"/>
      <c r="N2654" s="20"/>
      <c r="O2654" s="20"/>
      <c r="P2654" s="20"/>
    </row>
    <row r="2655">
      <c r="A2655" s="10"/>
      <c r="B2655" s="11"/>
      <c r="C2655" s="10"/>
      <c r="D2655" s="13"/>
      <c r="E2655" s="14"/>
      <c r="F2655" s="14"/>
      <c r="G2655" s="14"/>
      <c r="H2655" s="10"/>
      <c r="I2655" s="17"/>
      <c r="J2655" s="10"/>
      <c r="K2655" s="46"/>
      <c r="L2655" s="10"/>
      <c r="M2655" s="20"/>
      <c r="N2655" s="20"/>
      <c r="O2655" s="20"/>
      <c r="P2655" s="20"/>
    </row>
    <row r="2656">
      <c r="A2656" s="23"/>
      <c r="B2656" s="21"/>
      <c r="C2656" s="23"/>
      <c r="D2656" s="24"/>
      <c r="E2656" s="14"/>
      <c r="F2656" s="14"/>
      <c r="G2656" s="14"/>
      <c r="H2656" s="23"/>
      <c r="I2656" s="27"/>
      <c r="J2656" s="23"/>
      <c r="K2656" s="30"/>
      <c r="L2656" s="23"/>
      <c r="M2656" s="20"/>
      <c r="N2656" s="20"/>
      <c r="O2656" s="20"/>
      <c r="P2656" s="20"/>
    </row>
    <row r="2657">
      <c r="A2657" s="10"/>
      <c r="B2657" s="11"/>
      <c r="C2657" s="10"/>
      <c r="D2657" s="13"/>
      <c r="E2657" s="14"/>
      <c r="F2657" s="14"/>
      <c r="G2657" s="14"/>
      <c r="H2657" s="10"/>
      <c r="I2657" s="17"/>
      <c r="J2657" s="10"/>
      <c r="K2657" s="46"/>
      <c r="L2657" s="10"/>
      <c r="M2657" s="20"/>
      <c r="N2657" s="20"/>
      <c r="O2657" s="20"/>
      <c r="P2657" s="20"/>
    </row>
    <row r="2658">
      <c r="A2658" s="23"/>
      <c r="B2658" s="21"/>
      <c r="C2658" s="23"/>
      <c r="D2658" s="24"/>
      <c r="E2658" s="14"/>
      <c r="F2658" s="14"/>
      <c r="G2658" s="14"/>
      <c r="H2658" s="23"/>
      <c r="I2658" s="27"/>
      <c r="J2658" s="23"/>
      <c r="K2658" s="30"/>
      <c r="L2658" s="23"/>
      <c r="M2658" s="20"/>
      <c r="N2658" s="20"/>
      <c r="O2658" s="20"/>
      <c r="P2658" s="20"/>
    </row>
    <row r="2659">
      <c r="A2659" s="10"/>
      <c r="B2659" s="11"/>
      <c r="C2659" s="10"/>
      <c r="D2659" s="13"/>
      <c r="E2659" s="14"/>
      <c r="F2659" s="14"/>
      <c r="G2659" s="14"/>
      <c r="H2659" s="10"/>
      <c r="I2659" s="17"/>
      <c r="J2659" s="10"/>
      <c r="K2659" s="46"/>
      <c r="L2659" s="10"/>
      <c r="M2659" s="20"/>
      <c r="N2659" s="20"/>
      <c r="O2659" s="20"/>
      <c r="P2659" s="20"/>
    </row>
    <row r="2660">
      <c r="A2660" s="23"/>
      <c r="B2660" s="21"/>
      <c r="C2660" s="23"/>
      <c r="D2660" s="24"/>
      <c r="E2660" s="14"/>
      <c r="F2660" s="14"/>
      <c r="G2660" s="14"/>
      <c r="H2660" s="23"/>
      <c r="I2660" s="27"/>
      <c r="J2660" s="23"/>
      <c r="K2660" s="30"/>
      <c r="L2660" s="23"/>
      <c r="M2660" s="20"/>
      <c r="N2660" s="20"/>
      <c r="O2660" s="20"/>
      <c r="P2660" s="20"/>
    </row>
    <row r="2661">
      <c r="A2661" s="10"/>
      <c r="B2661" s="11"/>
      <c r="C2661" s="10"/>
      <c r="D2661" s="13"/>
      <c r="E2661" s="14"/>
      <c r="F2661" s="14"/>
      <c r="G2661" s="14"/>
      <c r="H2661" s="10"/>
      <c r="I2661" s="17"/>
      <c r="J2661" s="10"/>
      <c r="K2661" s="46"/>
      <c r="L2661" s="10"/>
      <c r="M2661" s="20"/>
      <c r="N2661" s="20"/>
      <c r="O2661" s="20"/>
      <c r="P2661" s="20"/>
    </row>
    <row r="2662">
      <c r="A2662" s="23"/>
      <c r="B2662" s="21"/>
      <c r="C2662" s="23"/>
      <c r="D2662" s="24"/>
      <c r="E2662" s="14"/>
      <c r="F2662" s="14"/>
      <c r="G2662" s="14"/>
      <c r="H2662" s="23"/>
      <c r="I2662" s="27"/>
      <c r="J2662" s="23"/>
      <c r="K2662" s="30"/>
      <c r="L2662" s="23"/>
      <c r="M2662" s="20"/>
      <c r="N2662" s="20"/>
      <c r="O2662" s="20"/>
      <c r="P2662" s="20"/>
    </row>
    <row r="2663">
      <c r="A2663" s="10"/>
      <c r="B2663" s="11"/>
      <c r="C2663" s="10"/>
      <c r="D2663" s="13"/>
      <c r="E2663" s="14"/>
      <c r="F2663" s="14"/>
      <c r="G2663" s="14"/>
      <c r="H2663" s="10"/>
      <c r="I2663" s="17"/>
      <c r="J2663" s="10"/>
      <c r="K2663" s="46"/>
      <c r="L2663" s="10"/>
      <c r="M2663" s="20"/>
      <c r="N2663" s="20"/>
      <c r="O2663" s="20"/>
      <c r="P2663" s="20"/>
    </row>
    <row r="2664">
      <c r="A2664" s="23"/>
      <c r="B2664" s="21"/>
      <c r="C2664" s="23"/>
      <c r="D2664" s="24"/>
      <c r="E2664" s="14"/>
      <c r="F2664" s="14"/>
      <c r="G2664" s="14"/>
      <c r="H2664" s="23"/>
      <c r="I2664" s="27"/>
      <c r="J2664" s="23"/>
      <c r="K2664" s="30"/>
      <c r="L2664" s="23"/>
      <c r="M2664" s="20"/>
      <c r="N2664" s="20"/>
      <c r="O2664" s="20"/>
      <c r="P2664" s="20"/>
    </row>
    <row r="2665">
      <c r="A2665" s="10"/>
      <c r="B2665" s="11"/>
      <c r="C2665" s="10"/>
      <c r="D2665" s="13"/>
      <c r="E2665" s="14"/>
      <c r="F2665" s="14"/>
      <c r="G2665" s="14"/>
      <c r="H2665" s="10"/>
      <c r="I2665" s="17"/>
      <c r="J2665" s="10"/>
      <c r="K2665" s="46"/>
      <c r="L2665" s="10"/>
      <c r="M2665" s="20"/>
      <c r="N2665" s="20"/>
      <c r="O2665" s="20"/>
      <c r="P2665" s="20"/>
    </row>
    <row r="2666">
      <c r="A2666" s="23"/>
      <c r="B2666" s="21"/>
      <c r="C2666" s="23"/>
      <c r="D2666" s="24"/>
      <c r="E2666" s="14"/>
      <c r="F2666" s="14"/>
      <c r="G2666" s="14"/>
      <c r="H2666" s="23"/>
      <c r="I2666" s="27"/>
      <c r="J2666" s="23"/>
      <c r="K2666" s="30"/>
      <c r="L2666" s="23"/>
      <c r="M2666" s="20"/>
      <c r="N2666" s="20"/>
      <c r="O2666" s="20"/>
      <c r="P2666" s="20"/>
    </row>
    <row r="2667">
      <c r="A2667" s="10"/>
      <c r="B2667" s="11"/>
      <c r="C2667" s="10"/>
      <c r="D2667" s="13"/>
      <c r="E2667" s="14"/>
      <c r="F2667" s="14"/>
      <c r="G2667" s="14"/>
      <c r="H2667" s="10"/>
      <c r="I2667" s="17"/>
      <c r="J2667" s="10"/>
      <c r="K2667" s="46"/>
      <c r="L2667" s="10"/>
      <c r="M2667" s="20"/>
      <c r="N2667" s="20"/>
      <c r="O2667" s="20"/>
      <c r="P2667" s="20"/>
    </row>
    <row r="2668">
      <c r="A2668" s="23"/>
      <c r="B2668" s="21"/>
      <c r="C2668" s="23"/>
      <c r="D2668" s="24"/>
      <c r="E2668" s="14"/>
      <c r="F2668" s="14"/>
      <c r="G2668" s="14"/>
      <c r="H2668" s="23"/>
      <c r="I2668" s="27"/>
      <c r="J2668" s="23"/>
      <c r="K2668" s="30"/>
      <c r="L2668" s="23"/>
      <c r="M2668" s="20"/>
      <c r="N2668" s="20"/>
      <c r="O2668" s="20"/>
      <c r="P2668" s="20"/>
    </row>
    <row r="2669">
      <c r="A2669" s="10"/>
      <c r="B2669" s="11"/>
      <c r="C2669" s="10"/>
      <c r="D2669" s="13"/>
      <c r="E2669" s="14"/>
      <c r="F2669" s="14"/>
      <c r="G2669" s="14"/>
      <c r="H2669" s="10"/>
      <c r="I2669" s="17"/>
      <c r="J2669" s="10"/>
      <c r="K2669" s="46"/>
      <c r="L2669" s="10"/>
      <c r="M2669" s="20"/>
      <c r="N2669" s="20"/>
      <c r="O2669" s="20"/>
      <c r="P2669" s="20"/>
    </row>
    <row r="2670">
      <c r="A2670" s="23"/>
      <c r="B2670" s="21"/>
      <c r="C2670" s="23"/>
      <c r="D2670" s="24"/>
      <c r="E2670" s="14"/>
      <c r="F2670" s="14"/>
      <c r="G2670" s="14"/>
      <c r="H2670" s="23"/>
      <c r="I2670" s="27"/>
      <c r="J2670" s="23"/>
      <c r="K2670" s="30"/>
      <c r="L2670" s="23"/>
      <c r="M2670" s="20"/>
      <c r="N2670" s="20"/>
      <c r="O2670" s="20"/>
      <c r="P2670" s="20"/>
    </row>
    <row r="2671">
      <c r="A2671" s="10"/>
      <c r="B2671" s="11"/>
      <c r="C2671" s="10"/>
      <c r="D2671" s="13"/>
      <c r="E2671" s="14"/>
      <c r="F2671" s="14"/>
      <c r="G2671" s="14"/>
      <c r="H2671" s="10"/>
      <c r="I2671" s="17"/>
      <c r="J2671" s="10"/>
      <c r="K2671" s="46"/>
      <c r="L2671" s="10"/>
      <c r="M2671" s="20"/>
      <c r="N2671" s="20"/>
      <c r="O2671" s="20"/>
      <c r="P2671" s="20"/>
    </row>
    <row r="2672">
      <c r="A2672" s="23"/>
      <c r="B2672" s="21"/>
      <c r="C2672" s="23"/>
      <c r="D2672" s="24"/>
      <c r="E2672" s="14"/>
      <c r="F2672" s="14"/>
      <c r="G2672" s="14"/>
      <c r="H2672" s="23"/>
      <c r="I2672" s="27"/>
      <c r="J2672" s="23"/>
      <c r="K2672" s="30"/>
      <c r="L2672" s="23"/>
      <c r="M2672" s="20"/>
      <c r="N2672" s="20"/>
      <c r="O2672" s="20"/>
      <c r="P2672" s="20"/>
    </row>
    <row r="2673">
      <c r="A2673" s="10"/>
      <c r="B2673" s="11"/>
      <c r="C2673" s="10"/>
      <c r="D2673" s="13"/>
      <c r="E2673" s="14"/>
      <c r="F2673" s="14"/>
      <c r="G2673" s="14"/>
      <c r="H2673" s="10"/>
      <c r="I2673" s="17"/>
      <c r="J2673" s="10"/>
      <c r="K2673" s="46"/>
      <c r="L2673" s="10"/>
      <c r="M2673" s="20"/>
      <c r="N2673" s="20"/>
      <c r="O2673" s="20"/>
      <c r="P2673" s="20"/>
    </row>
    <row r="2674">
      <c r="A2674" s="23"/>
      <c r="B2674" s="21"/>
      <c r="C2674" s="23"/>
      <c r="D2674" s="24"/>
      <c r="E2674" s="14"/>
      <c r="F2674" s="14"/>
      <c r="G2674" s="14"/>
      <c r="H2674" s="23"/>
      <c r="I2674" s="27"/>
      <c r="J2674" s="23"/>
      <c r="K2674" s="30"/>
      <c r="L2674" s="23"/>
      <c r="M2674" s="20"/>
      <c r="N2674" s="20"/>
      <c r="O2674" s="20"/>
      <c r="P2674" s="20"/>
    </row>
    <row r="2675">
      <c r="A2675" s="10"/>
      <c r="B2675" s="11"/>
      <c r="C2675" s="10"/>
      <c r="D2675" s="13"/>
      <c r="E2675" s="14"/>
      <c r="F2675" s="14"/>
      <c r="G2675" s="14"/>
      <c r="H2675" s="10"/>
      <c r="I2675" s="17"/>
      <c r="J2675" s="10"/>
      <c r="K2675" s="46"/>
      <c r="L2675" s="10"/>
      <c r="M2675" s="20"/>
      <c r="N2675" s="20"/>
      <c r="O2675" s="20"/>
      <c r="P2675" s="20"/>
    </row>
    <row r="2676">
      <c r="A2676" s="23"/>
      <c r="B2676" s="21"/>
      <c r="C2676" s="23"/>
      <c r="D2676" s="24"/>
      <c r="E2676" s="14"/>
      <c r="F2676" s="14"/>
      <c r="G2676" s="14"/>
      <c r="H2676" s="23"/>
      <c r="I2676" s="27"/>
      <c r="J2676" s="23"/>
      <c r="K2676" s="30"/>
      <c r="L2676" s="23"/>
      <c r="M2676" s="20"/>
      <c r="N2676" s="20"/>
      <c r="O2676" s="20"/>
      <c r="P2676" s="20"/>
    </row>
    <row r="2677">
      <c r="A2677" s="10"/>
      <c r="B2677" s="11"/>
      <c r="C2677" s="10"/>
      <c r="D2677" s="13"/>
      <c r="E2677" s="14"/>
      <c r="F2677" s="14"/>
      <c r="G2677" s="14"/>
      <c r="H2677" s="10"/>
      <c r="I2677" s="17"/>
      <c r="J2677" s="10"/>
      <c r="K2677" s="46"/>
      <c r="L2677" s="10"/>
      <c r="M2677" s="20"/>
      <c r="N2677" s="20"/>
      <c r="O2677" s="20"/>
      <c r="P2677" s="20"/>
    </row>
    <row r="2678">
      <c r="A2678" s="23"/>
      <c r="B2678" s="21"/>
      <c r="C2678" s="23"/>
      <c r="D2678" s="24"/>
      <c r="E2678" s="14"/>
      <c r="F2678" s="14"/>
      <c r="G2678" s="14"/>
      <c r="H2678" s="23"/>
      <c r="I2678" s="27"/>
      <c r="J2678" s="23"/>
      <c r="K2678" s="30"/>
      <c r="L2678" s="23"/>
      <c r="M2678" s="20"/>
      <c r="N2678" s="20"/>
      <c r="O2678" s="20"/>
      <c r="P2678" s="20"/>
    </row>
    <row r="2679">
      <c r="A2679" s="10"/>
      <c r="B2679" s="11"/>
      <c r="C2679" s="10"/>
      <c r="D2679" s="13"/>
      <c r="E2679" s="14"/>
      <c r="F2679" s="14"/>
      <c r="G2679" s="14"/>
      <c r="H2679" s="10"/>
      <c r="I2679" s="17"/>
      <c r="J2679" s="10"/>
      <c r="K2679" s="46"/>
      <c r="L2679" s="10"/>
      <c r="M2679" s="20"/>
      <c r="N2679" s="20"/>
      <c r="O2679" s="20"/>
      <c r="P2679" s="20"/>
    </row>
    <row r="2680">
      <c r="A2680" s="23"/>
      <c r="B2680" s="21"/>
      <c r="C2680" s="23"/>
      <c r="D2680" s="24"/>
      <c r="E2680" s="14"/>
      <c r="F2680" s="14"/>
      <c r="G2680" s="14"/>
      <c r="H2680" s="23"/>
      <c r="I2680" s="27"/>
      <c r="J2680" s="23"/>
      <c r="K2680" s="30"/>
      <c r="L2680" s="23"/>
      <c r="M2680" s="20"/>
      <c r="N2680" s="20"/>
      <c r="O2680" s="20"/>
      <c r="P2680" s="20"/>
    </row>
    <row r="2681">
      <c r="A2681" s="10"/>
      <c r="B2681" s="11"/>
      <c r="C2681" s="10"/>
      <c r="D2681" s="13"/>
      <c r="E2681" s="14"/>
      <c r="F2681" s="14"/>
      <c r="G2681" s="14"/>
      <c r="H2681" s="10"/>
      <c r="I2681" s="17"/>
      <c r="J2681" s="10"/>
      <c r="K2681" s="46"/>
      <c r="L2681" s="10"/>
      <c r="M2681" s="20"/>
      <c r="N2681" s="20"/>
      <c r="O2681" s="20"/>
      <c r="P2681" s="20"/>
    </row>
    <row r="2682">
      <c r="A2682" s="23"/>
      <c r="B2682" s="21"/>
      <c r="C2682" s="23"/>
      <c r="D2682" s="24"/>
      <c r="E2682" s="14"/>
      <c r="F2682" s="14"/>
      <c r="G2682" s="14"/>
      <c r="H2682" s="23"/>
      <c r="I2682" s="27"/>
      <c r="J2682" s="23"/>
      <c r="K2682" s="30"/>
      <c r="L2682" s="23"/>
      <c r="M2682" s="20"/>
      <c r="N2682" s="20"/>
      <c r="O2682" s="20"/>
      <c r="P2682" s="20"/>
    </row>
    <row r="2683">
      <c r="A2683" s="10"/>
      <c r="B2683" s="11"/>
      <c r="C2683" s="10"/>
      <c r="D2683" s="13"/>
      <c r="E2683" s="14"/>
      <c r="F2683" s="14"/>
      <c r="G2683" s="14"/>
      <c r="H2683" s="10"/>
      <c r="I2683" s="17"/>
      <c r="J2683" s="10"/>
      <c r="K2683" s="46"/>
      <c r="L2683" s="10"/>
      <c r="M2683" s="20"/>
      <c r="N2683" s="20"/>
      <c r="O2683" s="20"/>
      <c r="P2683" s="20"/>
    </row>
    <row r="2684">
      <c r="A2684" s="23"/>
      <c r="B2684" s="21"/>
      <c r="C2684" s="23"/>
      <c r="D2684" s="24"/>
      <c r="E2684" s="14"/>
      <c r="F2684" s="14"/>
      <c r="G2684" s="14"/>
      <c r="H2684" s="23"/>
      <c r="I2684" s="27"/>
      <c r="J2684" s="23"/>
      <c r="K2684" s="30"/>
      <c r="L2684" s="23"/>
      <c r="M2684" s="20"/>
      <c r="N2684" s="20"/>
      <c r="O2684" s="20"/>
      <c r="P2684" s="20"/>
    </row>
    <row r="2685">
      <c r="A2685" s="10"/>
      <c r="B2685" s="11"/>
      <c r="C2685" s="10"/>
      <c r="D2685" s="13"/>
      <c r="E2685" s="14"/>
      <c r="F2685" s="14"/>
      <c r="G2685" s="14"/>
      <c r="H2685" s="10"/>
      <c r="I2685" s="17"/>
      <c r="J2685" s="10"/>
      <c r="K2685" s="46"/>
      <c r="L2685" s="10"/>
      <c r="M2685" s="20"/>
      <c r="N2685" s="20"/>
      <c r="O2685" s="20"/>
      <c r="P2685" s="20"/>
    </row>
    <row r="2686">
      <c r="A2686" s="23"/>
      <c r="B2686" s="21"/>
      <c r="C2686" s="23"/>
      <c r="D2686" s="24"/>
      <c r="E2686" s="14"/>
      <c r="F2686" s="14"/>
      <c r="G2686" s="14"/>
      <c r="H2686" s="23"/>
      <c r="I2686" s="27"/>
      <c r="J2686" s="23"/>
      <c r="K2686" s="30"/>
      <c r="L2686" s="23"/>
      <c r="M2686" s="20"/>
      <c r="N2686" s="20"/>
      <c r="O2686" s="20"/>
      <c r="P2686" s="20"/>
    </row>
    <row r="2687">
      <c r="A2687" s="10"/>
      <c r="B2687" s="11"/>
      <c r="C2687" s="10"/>
      <c r="D2687" s="13"/>
      <c r="E2687" s="14"/>
      <c r="F2687" s="14"/>
      <c r="G2687" s="14"/>
      <c r="H2687" s="10"/>
      <c r="I2687" s="17"/>
      <c r="J2687" s="10"/>
      <c r="K2687" s="46"/>
      <c r="L2687" s="10"/>
      <c r="M2687" s="20"/>
      <c r="N2687" s="20"/>
      <c r="O2687" s="20"/>
      <c r="P2687" s="20"/>
    </row>
    <row r="2688">
      <c r="A2688" s="23"/>
      <c r="B2688" s="21"/>
      <c r="C2688" s="23"/>
      <c r="D2688" s="24"/>
      <c r="E2688" s="14"/>
      <c r="F2688" s="14"/>
      <c r="G2688" s="14"/>
      <c r="H2688" s="23"/>
      <c r="I2688" s="27"/>
      <c r="J2688" s="23"/>
      <c r="K2688" s="30"/>
      <c r="L2688" s="23"/>
      <c r="M2688" s="20"/>
      <c r="N2688" s="20"/>
      <c r="O2688" s="20"/>
      <c r="P2688" s="20"/>
    </row>
    <row r="2689">
      <c r="A2689" s="10"/>
      <c r="B2689" s="11"/>
      <c r="C2689" s="10"/>
      <c r="D2689" s="13"/>
      <c r="E2689" s="14"/>
      <c r="F2689" s="14"/>
      <c r="G2689" s="14"/>
      <c r="H2689" s="10"/>
      <c r="I2689" s="17"/>
      <c r="J2689" s="10"/>
      <c r="K2689" s="46"/>
      <c r="L2689" s="10"/>
      <c r="M2689" s="20"/>
      <c r="N2689" s="20"/>
      <c r="O2689" s="20"/>
      <c r="P2689" s="20"/>
    </row>
    <row r="2690">
      <c r="A2690" s="23"/>
      <c r="B2690" s="21"/>
      <c r="C2690" s="23"/>
      <c r="D2690" s="24"/>
      <c r="E2690" s="14"/>
      <c r="F2690" s="14"/>
      <c r="G2690" s="14"/>
      <c r="H2690" s="23"/>
      <c r="I2690" s="27"/>
      <c r="J2690" s="23"/>
      <c r="K2690" s="30"/>
      <c r="L2690" s="23"/>
      <c r="M2690" s="20"/>
      <c r="N2690" s="20"/>
      <c r="O2690" s="20"/>
      <c r="P2690" s="20"/>
    </row>
    <row r="2691">
      <c r="A2691" s="10"/>
      <c r="B2691" s="11"/>
      <c r="C2691" s="10"/>
      <c r="D2691" s="13"/>
      <c r="E2691" s="14"/>
      <c r="F2691" s="14"/>
      <c r="G2691" s="14"/>
      <c r="H2691" s="10"/>
      <c r="I2691" s="17"/>
      <c r="J2691" s="10"/>
      <c r="K2691" s="46"/>
      <c r="L2691" s="10"/>
      <c r="M2691" s="20"/>
      <c r="N2691" s="20"/>
      <c r="O2691" s="20"/>
      <c r="P2691" s="20"/>
    </row>
    <row r="2692">
      <c r="A2692" s="23"/>
      <c r="B2692" s="21"/>
      <c r="C2692" s="23"/>
      <c r="D2692" s="24"/>
      <c r="E2692" s="14"/>
      <c r="F2692" s="14"/>
      <c r="G2692" s="14"/>
      <c r="H2692" s="23"/>
      <c r="I2692" s="27"/>
      <c r="J2692" s="23"/>
      <c r="K2692" s="30"/>
      <c r="L2692" s="23"/>
      <c r="M2692" s="20"/>
      <c r="N2692" s="20"/>
      <c r="O2692" s="20"/>
      <c r="P2692" s="20"/>
    </row>
    <row r="2693">
      <c r="A2693" s="10"/>
      <c r="B2693" s="11"/>
      <c r="C2693" s="10"/>
      <c r="D2693" s="13"/>
      <c r="E2693" s="14"/>
      <c r="F2693" s="14"/>
      <c r="G2693" s="14"/>
      <c r="H2693" s="10"/>
      <c r="I2693" s="17"/>
      <c r="J2693" s="10"/>
      <c r="K2693" s="46"/>
      <c r="L2693" s="10"/>
      <c r="M2693" s="20"/>
      <c r="N2693" s="20"/>
      <c r="O2693" s="20"/>
      <c r="P2693" s="20"/>
    </row>
    <row r="2694">
      <c r="A2694" s="23"/>
      <c r="B2694" s="21"/>
      <c r="C2694" s="23"/>
      <c r="D2694" s="24"/>
      <c r="E2694" s="14"/>
      <c r="F2694" s="14"/>
      <c r="G2694" s="14"/>
      <c r="H2694" s="23"/>
      <c r="I2694" s="27"/>
      <c r="J2694" s="23"/>
      <c r="K2694" s="30"/>
      <c r="L2694" s="23"/>
      <c r="M2694" s="20"/>
      <c r="N2694" s="20"/>
      <c r="O2694" s="20"/>
      <c r="P2694" s="20"/>
    </row>
    <row r="2695">
      <c r="A2695" s="10"/>
      <c r="B2695" s="11"/>
      <c r="C2695" s="10"/>
      <c r="D2695" s="13"/>
      <c r="E2695" s="14"/>
      <c r="F2695" s="14"/>
      <c r="G2695" s="14"/>
      <c r="H2695" s="10"/>
      <c r="I2695" s="17"/>
      <c r="J2695" s="10"/>
      <c r="K2695" s="46"/>
      <c r="L2695" s="10"/>
      <c r="M2695" s="20"/>
      <c r="N2695" s="20"/>
      <c r="O2695" s="20"/>
      <c r="P2695" s="20"/>
    </row>
    <row r="2696">
      <c r="A2696" s="23"/>
      <c r="B2696" s="21"/>
      <c r="C2696" s="23"/>
      <c r="D2696" s="24"/>
      <c r="E2696" s="14"/>
      <c r="F2696" s="14"/>
      <c r="G2696" s="14"/>
      <c r="H2696" s="23"/>
      <c r="I2696" s="27"/>
      <c r="J2696" s="23"/>
      <c r="K2696" s="30"/>
      <c r="L2696" s="23"/>
      <c r="M2696" s="20"/>
      <c r="N2696" s="20"/>
      <c r="O2696" s="20"/>
      <c r="P2696" s="20"/>
    </row>
    <row r="2697">
      <c r="A2697" s="10"/>
      <c r="B2697" s="11"/>
      <c r="C2697" s="10"/>
      <c r="D2697" s="13"/>
      <c r="E2697" s="14"/>
      <c r="F2697" s="14"/>
      <c r="G2697" s="14"/>
      <c r="H2697" s="10"/>
      <c r="I2697" s="17"/>
      <c r="J2697" s="10"/>
      <c r="K2697" s="46"/>
      <c r="L2697" s="10"/>
      <c r="M2697" s="20"/>
      <c r="N2697" s="20"/>
      <c r="O2697" s="20"/>
      <c r="P2697" s="20"/>
    </row>
    <row r="2698">
      <c r="A2698" s="23"/>
      <c r="B2698" s="21"/>
      <c r="C2698" s="23"/>
      <c r="D2698" s="24"/>
      <c r="E2698" s="14"/>
      <c r="F2698" s="14"/>
      <c r="G2698" s="14"/>
      <c r="H2698" s="23"/>
      <c r="I2698" s="27"/>
      <c r="J2698" s="23"/>
      <c r="K2698" s="30"/>
      <c r="L2698" s="23"/>
      <c r="M2698" s="20"/>
      <c r="N2698" s="20"/>
      <c r="O2698" s="20"/>
      <c r="P2698" s="20"/>
    </row>
    <row r="2699">
      <c r="A2699" s="10"/>
      <c r="B2699" s="11"/>
      <c r="C2699" s="10"/>
      <c r="D2699" s="13"/>
      <c r="E2699" s="14"/>
      <c r="F2699" s="14"/>
      <c r="G2699" s="14"/>
      <c r="H2699" s="10"/>
      <c r="I2699" s="17"/>
      <c r="J2699" s="10"/>
      <c r="K2699" s="46"/>
      <c r="L2699" s="10"/>
      <c r="M2699" s="20"/>
      <c r="N2699" s="20"/>
      <c r="O2699" s="20"/>
      <c r="P2699" s="20"/>
    </row>
    <row r="2700">
      <c r="A2700" s="23"/>
      <c r="B2700" s="21"/>
      <c r="C2700" s="23"/>
      <c r="D2700" s="24"/>
      <c r="E2700" s="14"/>
      <c r="F2700" s="14"/>
      <c r="G2700" s="14"/>
      <c r="H2700" s="23"/>
      <c r="I2700" s="27"/>
      <c r="J2700" s="23"/>
      <c r="K2700" s="30"/>
      <c r="L2700" s="23"/>
      <c r="M2700" s="20"/>
      <c r="N2700" s="20"/>
      <c r="O2700" s="20"/>
      <c r="P2700" s="20"/>
    </row>
    <row r="2701">
      <c r="A2701" s="10"/>
      <c r="B2701" s="11"/>
      <c r="C2701" s="10"/>
      <c r="D2701" s="13"/>
      <c r="E2701" s="14"/>
      <c r="F2701" s="14"/>
      <c r="G2701" s="14"/>
      <c r="H2701" s="10"/>
      <c r="I2701" s="17"/>
      <c r="J2701" s="10"/>
      <c r="K2701" s="46"/>
      <c r="L2701" s="10"/>
      <c r="M2701" s="20"/>
      <c r="N2701" s="20"/>
      <c r="O2701" s="20"/>
      <c r="P2701" s="20"/>
    </row>
    <row r="2702">
      <c r="A2702" s="23"/>
      <c r="B2702" s="21"/>
      <c r="C2702" s="23"/>
      <c r="D2702" s="24"/>
      <c r="E2702" s="14"/>
      <c r="F2702" s="14"/>
      <c r="G2702" s="14"/>
      <c r="H2702" s="23"/>
      <c r="I2702" s="27"/>
      <c r="J2702" s="23"/>
      <c r="K2702" s="30"/>
      <c r="L2702" s="23"/>
      <c r="M2702" s="20"/>
      <c r="N2702" s="20"/>
      <c r="O2702" s="20"/>
      <c r="P2702" s="20"/>
    </row>
    <row r="2703">
      <c r="A2703" s="10"/>
      <c r="B2703" s="11"/>
      <c r="C2703" s="10"/>
      <c r="D2703" s="13"/>
      <c r="E2703" s="14"/>
      <c r="F2703" s="14"/>
      <c r="G2703" s="14"/>
      <c r="H2703" s="10"/>
      <c r="I2703" s="17"/>
      <c r="J2703" s="10"/>
      <c r="K2703" s="46"/>
      <c r="L2703" s="10"/>
      <c r="M2703" s="20"/>
      <c r="N2703" s="20"/>
      <c r="O2703" s="20"/>
      <c r="P2703" s="20"/>
    </row>
    <row r="2704">
      <c r="A2704" s="23"/>
      <c r="B2704" s="21"/>
      <c r="C2704" s="23"/>
      <c r="D2704" s="24"/>
      <c r="E2704" s="14"/>
      <c r="F2704" s="14"/>
      <c r="G2704" s="14"/>
      <c r="H2704" s="23"/>
      <c r="I2704" s="27"/>
      <c r="J2704" s="23"/>
      <c r="K2704" s="30"/>
      <c r="L2704" s="23"/>
      <c r="M2704" s="20"/>
      <c r="N2704" s="20"/>
      <c r="O2704" s="20"/>
      <c r="P2704" s="20"/>
    </row>
    <row r="2705">
      <c r="A2705" s="10"/>
      <c r="B2705" s="11"/>
      <c r="C2705" s="10"/>
      <c r="D2705" s="13"/>
      <c r="E2705" s="14"/>
      <c r="F2705" s="14"/>
      <c r="G2705" s="14"/>
      <c r="H2705" s="10"/>
      <c r="I2705" s="17"/>
      <c r="J2705" s="10"/>
      <c r="K2705" s="46"/>
      <c r="L2705" s="10"/>
      <c r="M2705" s="20"/>
      <c r="N2705" s="20"/>
      <c r="O2705" s="20"/>
      <c r="P2705" s="20"/>
    </row>
    <row r="2706">
      <c r="A2706" s="23"/>
      <c r="B2706" s="21"/>
      <c r="C2706" s="23"/>
      <c r="D2706" s="24"/>
      <c r="E2706" s="14"/>
      <c r="F2706" s="14"/>
      <c r="G2706" s="14"/>
      <c r="H2706" s="23"/>
      <c r="I2706" s="27"/>
      <c r="J2706" s="23"/>
      <c r="K2706" s="30"/>
      <c r="L2706" s="23"/>
      <c r="M2706" s="20"/>
      <c r="N2706" s="20"/>
      <c r="O2706" s="20"/>
      <c r="P2706" s="20"/>
    </row>
    <row r="2707">
      <c r="A2707" s="10"/>
      <c r="B2707" s="11"/>
      <c r="C2707" s="10"/>
      <c r="D2707" s="13"/>
      <c r="E2707" s="14"/>
      <c r="F2707" s="14"/>
      <c r="G2707" s="14"/>
      <c r="H2707" s="10"/>
      <c r="I2707" s="17"/>
      <c r="J2707" s="10"/>
      <c r="K2707" s="46"/>
      <c r="L2707" s="10"/>
      <c r="M2707" s="20"/>
      <c r="N2707" s="20"/>
      <c r="O2707" s="20"/>
      <c r="P2707" s="20"/>
    </row>
    <row r="2708">
      <c r="A2708" s="23"/>
      <c r="B2708" s="21"/>
      <c r="C2708" s="23"/>
      <c r="D2708" s="24"/>
      <c r="E2708" s="14"/>
      <c r="F2708" s="14"/>
      <c r="G2708" s="14"/>
      <c r="H2708" s="23"/>
      <c r="I2708" s="27"/>
      <c r="J2708" s="23"/>
      <c r="K2708" s="30"/>
      <c r="L2708" s="23"/>
      <c r="M2708" s="20"/>
      <c r="N2708" s="20"/>
      <c r="O2708" s="20"/>
      <c r="P2708" s="20"/>
    </row>
    <row r="2709">
      <c r="A2709" s="10"/>
      <c r="B2709" s="11"/>
      <c r="C2709" s="10"/>
      <c r="D2709" s="13"/>
      <c r="E2709" s="14"/>
      <c r="F2709" s="14"/>
      <c r="G2709" s="14"/>
      <c r="H2709" s="10"/>
      <c r="I2709" s="17"/>
      <c r="J2709" s="10"/>
      <c r="K2709" s="46"/>
      <c r="L2709" s="10"/>
      <c r="M2709" s="20"/>
      <c r="N2709" s="20"/>
      <c r="O2709" s="20"/>
      <c r="P2709" s="20"/>
    </row>
    <row r="2710">
      <c r="A2710" s="23"/>
      <c r="B2710" s="21"/>
      <c r="C2710" s="23"/>
      <c r="D2710" s="24"/>
      <c r="E2710" s="14"/>
      <c r="F2710" s="14"/>
      <c r="G2710" s="14"/>
      <c r="H2710" s="23"/>
      <c r="I2710" s="27"/>
      <c r="J2710" s="23"/>
      <c r="K2710" s="30"/>
      <c r="L2710" s="23"/>
      <c r="M2710" s="20"/>
      <c r="N2710" s="20"/>
      <c r="O2710" s="20"/>
      <c r="P2710" s="20"/>
    </row>
    <row r="2711">
      <c r="A2711" s="10"/>
      <c r="B2711" s="11"/>
      <c r="C2711" s="10"/>
      <c r="D2711" s="13"/>
      <c r="E2711" s="14"/>
      <c r="F2711" s="14"/>
      <c r="G2711" s="14"/>
      <c r="H2711" s="10"/>
      <c r="I2711" s="17"/>
      <c r="J2711" s="10"/>
      <c r="K2711" s="46"/>
      <c r="L2711" s="10"/>
      <c r="M2711" s="20"/>
      <c r="N2711" s="20"/>
      <c r="O2711" s="20"/>
      <c r="P2711" s="20"/>
    </row>
    <row r="2712">
      <c r="A2712" s="23"/>
      <c r="B2712" s="21"/>
      <c r="C2712" s="23"/>
      <c r="D2712" s="24"/>
      <c r="E2712" s="14"/>
      <c r="F2712" s="14"/>
      <c r="G2712" s="14"/>
      <c r="H2712" s="23"/>
      <c r="I2712" s="27"/>
      <c r="J2712" s="23"/>
      <c r="K2712" s="30"/>
      <c r="L2712" s="23"/>
      <c r="M2712" s="20"/>
      <c r="N2712" s="20"/>
      <c r="O2712" s="20"/>
      <c r="P2712" s="20"/>
    </row>
    <row r="2713">
      <c r="A2713" s="10"/>
      <c r="B2713" s="11"/>
      <c r="C2713" s="10"/>
      <c r="D2713" s="13"/>
      <c r="E2713" s="14"/>
      <c r="F2713" s="14"/>
      <c r="G2713" s="14"/>
      <c r="H2713" s="10"/>
      <c r="I2713" s="17"/>
      <c r="J2713" s="10"/>
      <c r="K2713" s="46"/>
      <c r="L2713" s="10"/>
      <c r="M2713" s="20"/>
      <c r="N2713" s="20"/>
      <c r="O2713" s="20"/>
      <c r="P2713" s="20"/>
    </row>
    <row r="2714">
      <c r="A2714" s="23"/>
      <c r="B2714" s="21"/>
      <c r="C2714" s="23"/>
      <c r="D2714" s="24"/>
      <c r="E2714" s="14"/>
      <c r="F2714" s="14"/>
      <c r="G2714" s="14"/>
      <c r="H2714" s="23"/>
      <c r="I2714" s="27"/>
      <c r="J2714" s="23"/>
      <c r="K2714" s="30"/>
      <c r="L2714" s="23"/>
      <c r="M2714" s="20"/>
      <c r="N2714" s="20"/>
      <c r="O2714" s="20"/>
      <c r="P2714" s="20"/>
    </row>
    <row r="2715">
      <c r="A2715" s="10"/>
      <c r="B2715" s="11"/>
      <c r="C2715" s="10"/>
      <c r="D2715" s="13"/>
      <c r="E2715" s="14"/>
      <c r="F2715" s="14"/>
      <c r="G2715" s="14"/>
      <c r="H2715" s="10"/>
      <c r="I2715" s="17"/>
      <c r="J2715" s="10"/>
      <c r="K2715" s="46"/>
      <c r="L2715" s="10"/>
      <c r="M2715" s="20"/>
      <c r="N2715" s="20"/>
      <c r="O2715" s="20"/>
      <c r="P2715" s="20"/>
    </row>
    <row r="2716">
      <c r="A2716" s="23"/>
      <c r="B2716" s="21"/>
      <c r="C2716" s="23"/>
      <c r="D2716" s="24"/>
      <c r="E2716" s="14"/>
      <c r="F2716" s="14"/>
      <c r="G2716" s="14"/>
      <c r="H2716" s="23"/>
      <c r="I2716" s="27"/>
      <c r="J2716" s="23"/>
      <c r="K2716" s="30"/>
      <c r="L2716" s="23"/>
      <c r="M2716" s="20"/>
      <c r="N2716" s="20"/>
      <c r="O2716" s="20"/>
      <c r="P2716" s="20"/>
    </row>
    <row r="2717">
      <c r="A2717" s="10"/>
      <c r="B2717" s="11"/>
      <c r="C2717" s="10"/>
      <c r="D2717" s="13"/>
      <c r="E2717" s="14"/>
      <c r="F2717" s="14"/>
      <c r="G2717" s="14"/>
      <c r="H2717" s="10"/>
      <c r="I2717" s="17"/>
      <c r="J2717" s="10"/>
      <c r="K2717" s="46"/>
      <c r="L2717" s="10"/>
      <c r="M2717" s="20"/>
      <c r="N2717" s="20"/>
      <c r="O2717" s="20"/>
      <c r="P2717" s="20"/>
    </row>
    <row r="2718">
      <c r="A2718" s="23"/>
      <c r="B2718" s="21"/>
      <c r="C2718" s="23"/>
      <c r="D2718" s="24"/>
      <c r="E2718" s="14"/>
      <c r="F2718" s="14"/>
      <c r="G2718" s="14"/>
      <c r="H2718" s="23"/>
      <c r="I2718" s="27"/>
      <c r="J2718" s="23"/>
      <c r="K2718" s="30"/>
      <c r="L2718" s="23"/>
      <c r="M2718" s="20"/>
      <c r="N2718" s="20"/>
      <c r="O2718" s="20"/>
      <c r="P2718" s="20"/>
    </row>
    <row r="2719">
      <c r="A2719" s="10"/>
      <c r="B2719" s="11"/>
      <c r="C2719" s="10"/>
      <c r="D2719" s="13"/>
      <c r="E2719" s="14"/>
      <c r="F2719" s="14"/>
      <c r="G2719" s="14"/>
      <c r="H2719" s="10"/>
      <c r="I2719" s="17"/>
      <c r="J2719" s="10"/>
      <c r="K2719" s="46"/>
      <c r="L2719" s="10"/>
      <c r="M2719" s="20"/>
      <c r="N2719" s="20"/>
      <c r="O2719" s="20"/>
      <c r="P2719" s="20"/>
    </row>
    <row r="2720">
      <c r="A2720" s="23"/>
      <c r="B2720" s="21"/>
      <c r="C2720" s="23"/>
      <c r="D2720" s="24"/>
      <c r="E2720" s="14"/>
      <c r="F2720" s="14"/>
      <c r="G2720" s="14"/>
      <c r="H2720" s="23"/>
      <c r="I2720" s="27"/>
      <c r="J2720" s="23"/>
      <c r="K2720" s="30"/>
      <c r="L2720" s="23"/>
      <c r="M2720" s="20"/>
      <c r="N2720" s="20"/>
      <c r="O2720" s="20"/>
      <c r="P2720" s="20"/>
    </row>
    <row r="2721">
      <c r="A2721" s="10"/>
      <c r="B2721" s="11"/>
      <c r="C2721" s="10"/>
      <c r="D2721" s="13"/>
      <c r="E2721" s="14"/>
      <c r="F2721" s="14"/>
      <c r="G2721" s="14"/>
      <c r="H2721" s="10"/>
      <c r="I2721" s="17"/>
      <c r="J2721" s="10"/>
      <c r="K2721" s="46"/>
      <c r="L2721" s="10"/>
      <c r="M2721" s="20"/>
      <c r="N2721" s="20"/>
      <c r="O2721" s="20"/>
      <c r="P2721" s="20"/>
    </row>
    <row r="2722">
      <c r="A2722" s="23"/>
      <c r="B2722" s="21"/>
      <c r="C2722" s="23"/>
      <c r="D2722" s="24"/>
      <c r="E2722" s="14"/>
      <c r="F2722" s="14"/>
      <c r="G2722" s="14"/>
      <c r="H2722" s="23"/>
      <c r="I2722" s="27"/>
      <c r="J2722" s="23"/>
      <c r="K2722" s="30"/>
      <c r="L2722" s="23"/>
      <c r="M2722" s="20"/>
      <c r="N2722" s="20"/>
      <c r="O2722" s="20"/>
      <c r="P2722" s="20"/>
    </row>
    <row r="2723">
      <c r="A2723" s="10"/>
      <c r="B2723" s="11"/>
      <c r="C2723" s="10"/>
      <c r="D2723" s="13"/>
      <c r="E2723" s="14"/>
      <c r="F2723" s="14"/>
      <c r="G2723" s="14"/>
      <c r="H2723" s="10"/>
      <c r="I2723" s="17"/>
      <c r="J2723" s="10"/>
      <c r="K2723" s="46"/>
      <c r="L2723" s="10"/>
      <c r="M2723" s="20"/>
      <c r="N2723" s="20"/>
      <c r="O2723" s="20"/>
      <c r="P2723" s="20"/>
    </row>
    <row r="2724">
      <c r="A2724" s="23"/>
      <c r="B2724" s="21"/>
      <c r="C2724" s="23"/>
      <c r="D2724" s="24"/>
      <c r="E2724" s="14"/>
      <c r="F2724" s="14"/>
      <c r="G2724" s="14"/>
      <c r="H2724" s="23"/>
      <c r="I2724" s="27"/>
      <c r="J2724" s="23"/>
      <c r="K2724" s="30"/>
      <c r="L2724" s="23"/>
      <c r="M2724" s="20"/>
      <c r="N2724" s="20"/>
      <c r="O2724" s="20"/>
      <c r="P2724" s="20"/>
    </row>
    <row r="2725">
      <c r="A2725" s="10"/>
      <c r="B2725" s="11"/>
      <c r="C2725" s="10"/>
      <c r="D2725" s="13"/>
      <c r="E2725" s="14"/>
      <c r="F2725" s="14"/>
      <c r="G2725" s="14"/>
      <c r="H2725" s="10"/>
      <c r="I2725" s="17"/>
      <c r="J2725" s="10"/>
      <c r="K2725" s="46"/>
      <c r="L2725" s="10"/>
      <c r="M2725" s="20"/>
      <c r="N2725" s="20"/>
      <c r="O2725" s="20"/>
      <c r="P2725" s="20"/>
    </row>
    <row r="2726">
      <c r="A2726" s="23"/>
      <c r="B2726" s="21"/>
      <c r="C2726" s="23"/>
      <c r="D2726" s="24"/>
      <c r="E2726" s="14"/>
      <c r="F2726" s="14"/>
      <c r="G2726" s="14"/>
      <c r="H2726" s="23"/>
      <c r="I2726" s="27"/>
      <c r="J2726" s="23"/>
      <c r="K2726" s="30"/>
      <c r="L2726" s="23"/>
      <c r="M2726" s="20"/>
      <c r="N2726" s="20"/>
      <c r="O2726" s="20"/>
      <c r="P2726" s="20"/>
    </row>
    <row r="2727">
      <c r="A2727" s="10"/>
      <c r="B2727" s="11"/>
      <c r="C2727" s="10"/>
      <c r="D2727" s="13"/>
      <c r="E2727" s="14"/>
      <c r="F2727" s="14"/>
      <c r="G2727" s="14"/>
      <c r="H2727" s="10"/>
      <c r="I2727" s="17"/>
      <c r="J2727" s="10"/>
      <c r="K2727" s="46"/>
      <c r="L2727" s="10"/>
      <c r="M2727" s="20"/>
      <c r="N2727" s="20"/>
      <c r="O2727" s="20"/>
      <c r="P2727" s="20"/>
    </row>
    <row r="2728">
      <c r="A2728" s="23"/>
      <c r="B2728" s="21"/>
      <c r="C2728" s="23"/>
      <c r="D2728" s="24"/>
      <c r="E2728" s="14"/>
      <c r="F2728" s="14"/>
      <c r="G2728" s="14"/>
      <c r="H2728" s="23"/>
      <c r="I2728" s="27"/>
      <c r="J2728" s="23"/>
      <c r="K2728" s="30"/>
      <c r="L2728" s="23"/>
      <c r="M2728" s="20"/>
      <c r="N2728" s="20"/>
      <c r="O2728" s="20"/>
      <c r="P2728" s="20"/>
    </row>
    <row r="2729">
      <c r="A2729" s="10"/>
      <c r="B2729" s="11"/>
      <c r="C2729" s="10"/>
      <c r="D2729" s="13"/>
      <c r="E2729" s="14"/>
      <c r="F2729" s="14"/>
      <c r="G2729" s="14"/>
      <c r="H2729" s="10"/>
      <c r="I2729" s="17"/>
      <c r="J2729" s="10"/>
      <c r="K2729" s="46"/>
      <c r="L2729" s="10"/>
      <c r="M2729" s="20"/>
      <c r="N2729" s="20"/>
      <c r="O2729" s="20"/>
      <c r="P2729" s="20"/>
    </row>
    <row r="2730">
      <c r="A2730" s="23"/>
      <c r="B2730" s="21"/>
      <c r="C2730" s="23"/>
      <c r="D2730" s="24"/>
      <c r="E2730" s="14"/>
      <c r="F2730" s="14"/>
      <c r="G2730" s="14"/>
      <c r="H2730" s="23"/>
      <c r="I2730" s="27"/>
      <c r="J2730" s="23"/>
      <c r="K2730" s="30"/>
      <c r="L2730" s="23"/>
      <c r="M2730" s="20"/>
      <c r="N2730" s="20"/>
      <c r="O2730" s="20"/>
      <c r="P2730" s="20"/>
    </row>
    <row r="2731">
      <c r="A2731" s="10"/>
      <c r="B2731" s="11"/>
      <c r="C2731" s="10"/>
      <c r="D2731" s="13"/>
      <c r="E2731" s="14"/>
      <c r="F2731" s="14"/>
      <c r="G2731" s="14"/>
      <c r="H2731" s="10"/>
      <c r="I2731" s="17"/>
      <c r="J2731" s="10"/>
      <c r="K2731" s="46"/>
      <c r="L2731" s="10"/>
      <c r="M2731" s="20"/>
      <c r="N2731" s="20"/>
      <c r="O2731" s="20"/>
      <c r="P2731" s="20"/>
    </row>
    <row r="2732">
      <c r="A2732" s="23"/>
      <c r="B2732" s="21"/>
      <c r="C2732" s="23"/>
      <c r="D2732" s="24"/>
      <c r="E2732" s="14"/>
      <c r="F2732" s="14"/>
      <c r="G2732" s="14"/>
      <c r="H2732" s="23"/>
      <c r="I2732" s="27"/>
      <c r="J2732" s="23"/>
      <c r="K2732" s="30"/>
      <c r="L2732" s="23"/>
      <c r="M2732" s="20"/>
      <c r="N2732" s="20"/>
      <c r="O2732" s="20"/>
      <c r="P2732" s="20"/>
    </row>
    <row r="2733">
      <c r="A2733" s="10"/>
      <c r="B2733" s="11"/>
      <c r="C2733" s="10"/>
      <c r="D2733" s="13"/>
      <c r="E2733" s="14"/>
      <c r="F2733" s="14"/>
      <c r="G2733" s="14"/>
      <c r="H2733" s="10"/>
      <c r="I2733" s="17"/>
      <c r="J2733" s="10"/>
      <c r="K2733" s="46"/>
      <c r="L2733" s="10"/>
      <c r="M2733" s="20"/>
      <c r="N2733" s="20"/>
      <c r="O2733" s="20"/>
      <c r="P2733" s="20"/>
    </row>
    <row r="2734">
      <c r="A2734" s="23"/>
      <c r="B2734" s="21"/>
      <c r="C2734" s="23"/>
      <c r="D2734" s="24"/>
      <c r="E2734" s="14"/>
      <c r="F2734" s="14"/>
      <c r="G2734" s="14"/>
      <c r="H2734" s="23"/>
      <c r="I2734" s="27"/>
      <c r="J2734" s="23"/>
      <c r="K2734" s="30"/>
      <c r="L2734" s="23"/>
      <c r="M2734" s="20"/>
      <c r="N2734" s="20"/>
      <c r="O2734" s="20"/>
      <c r="P2734" s="20"/>
    </row>
    <row r="2735">
      <c r="A2735" s="10"/>
      <c r="B2735" s="11"/>
      <c r="C2735" s="10"/>
      <c r="D2735" s="13"/>
      <c r="E2735" s="14"/>
      <c r="F2735" s="14"/>
      <c r="G2735" s="14"/>
      <c r="H2735" s="10"/>
      <c r="I2735" s="17"/>
      <c r="J2735" s="10"/>
      <c r="K2735" s="46"/>
      <c r="L2735" s="10"/>
      <c r="M2735" s="20"/>
      <c r="N2735" s="20"/>
      <c r="O2735" s="20"/>
      <c r="P2735" s="20"/>
    </row>
    <row r="2736">
      <c r="A2736" s="23"/>
      <c r="B2736" s="21"/>
      <c r="C2736" s="23"/>
      <c r="D2736" s="24"/>
      <c r="E2736" s="14"/>
      <c r="F2736" s="14"/>
      <c r="G2736" s="14"/>
      <c r="H2736" s="23"/>
      <c r="I2736" s="27"/>
      <c r="J2736" s="23"/>
      <c r="K2736" s="30"/>
      <c r="L2736" s="23"/>
      <c r="M2736" s="20"/>
      <c r="N2736" s="20"/>
      <c r="O2736" s="20"/>
      <c r="P2736" s="20"/>
    </row>
    <row r="2737">
      <c r="A2737" s="10"/>
      <c r="B2737" s="11"/>
      <c r="C2737" s="10"/>
      <c r="D2737" s="13"/>
      <c r="E2737" s="14"/>
      <c r="F2737" s="14"/>
      <c r="G2737" s="14"/>
      <c r="H2737" s="10"/>
      <c r="I2737" s="17"/>
      <c r="J2737" s="10"/>
      <c r="K2737" s="46"/>
      <c r="L2737" s="10"/>
      <c r="M2737" s="20"/>
      <c r="N2737" s="20"/>
      <c r="O2737" s="20"/>
      <c r="P2737" s="20"/>
    </row>
    <row r="2738">
      <c r="A2738" s="23"/>
      <c r="B2738" s="21"/>
      <c r="C2738" s="23"/>
      <c r="D2738" s="24"/>
      <c r="E2738" s="14"/>
      <c r="F2738" s="14"/>
      <c r="G2738" s="14"/>
      <c r="H2738" s="23"/>
      <c r="I2738" s="27"/>
      <c r="J2738" s="23"/>
      <c r="K2738" s="30"/>
      <c r="L2738" s="23"/>
      <c r="M2738" s="20"/>
      <c r="N2738" s="20"/>
      <c r="O2738" s="20"/>
      <c r="P2738" s="20"/>
    </row>
    <row r="2739">
      <c r="A2739" s="10"/>
      <c r="B2739" s="11"/>
      <c r="C2739" s="10"/>
      <c r="D2739" s="13"/>
      <c r="E2739" s="14"/>
      <c r="F2739" s="14"/>
      <c r="G2739" s="14"/>
      <c r="H2739" s="10"/>
      <c r="I2739" s="17"/>
      <c r="J2739" s="10"/>
      <c r="K2739" s="46"/>
      <c r="L2739" s="10"/>
      <c r="M2739" s="20"/>
      <c r="N2739" s="20"/>
      <c r="O2739" s="20"/>
      <c r="P2739" s="20"/>
    </row>
    <row r="2740">
      <c r="A2740" s="23"/>
      <c r="B2740" s="21"/>
      <c r="C2740" s="23"/>
      <c r="D2740" s="24"/>
      <c r="E2740" s="14"/>
      <c r="F2740" s="14"/>
      <c r="G2740" s="14"/>
      <c r="H2740" s="23"/>
      <c r="I2740" s="27"/>
      <c r="J2740" s="23"/>
      <c r="K2740" s="30"/>
      <c r="L2740" s="23"/>
      <c r="M2740" s="20"/>
      <c r="N2740" s="20"/>
      <c r="O2740" s="20"/>
      <c r="P2740" s="20"/>
    </row>
    <row r="2741">
      <c r="A2741" s="10"/>
      <c r="B2741" s="11"/>
      <c r="C2741" s="10"/>
      <c r="D2741" s="13"/>
      <c r="E2741" s="14"/>
      <c r="F2741" s="14"/>
      <c r="G2741" s="14"/>
      <c r="H2741" s="10"/>
      <c r="I2741" s="17"/>
      <c r="J2741" s="10"/>
      <c r="K2741" s="46"/>
      <c r="L2741" s="10"/>
      <c r="M2741" s="20"/>
      <c r="N2741" s="20"/>
      <c r="O2741" s="20"/>
      <c r="P2741" s="20"/>
    </row>
    <row r="2742">
      <c r="A2742" s="23"/>
      <c r="B2742" s="21"/>
      <c r="C2742" s="23"/>
      <c r="D2742" s="24"/>
      <c r="E2742" s="14"/>
      <c r="F2742" s="14"/>
      <c r="G2742" s="14"/>
      <c r="H2742" s="23"/>
      <c r="I2742" s="27"/>
      <c r="J2742" s="23"/>
      <c r="K2742" s="30"/>
      <c r="L2742" s="23"/>
      <c r="M2742" s="20"/>
      <c r="N2742" s="20"/>
      <c r="O2742" s="20"/>
      <c r="P2742" s="20"/>
    </row>
    <row r="2743">
      <c r="A2743" s="10"/>
      <c r="B2743" s="11"/>
      <c r="C2743" s="10"/>
      <c r="D2743" s="13"/>
      <c r="E2743" s="14"/>
      <c r="F2743" s="14"/>
      <c r="G2743" s="14"/>
      <c r="H2743" s="10"/>
      <c r="I2743" s="17"/>
      <c r="J2743" s="10"/>
      <c r="K2743" s="46"/>
      <c r="L2743" s="10"/>
      <c r="M2743" s="20"/>
      <c r="N2743" s="20"/>
      <c r="O2743" s="20"/>
      <c r="P2743" s="20"/>
    </row>
    <row r="2744">
      <c r="A2744" s="23"/>
      <c r="B2744" s="21"/>
      <c r="C2744" s="23"/>
      <c r="D2744" s="24"/>
      <c r="E2744" s="14"/>
      <c r="F2744" s="14"/>
      <c r="G2744" s="14"/>
      <c r="H2744" s="23"/>
      <c r="I2744" s="27"/>
      <c r="J2744" s="23"/>
      <c r="K2744" s="30"/>
      <c r="L2744" s="23"/>
      <c r="M2744" s="20"/>
      <c r="N2744" s="20"/>
      <c r="O2744" s="20"/>
      <c r="P2744" s="20"/>
    </row>
    <row r="2745">
      <c r="A2745" s="10"/>
      <c r="B2745" s="11"/>
      <c r="C2745" s="10"/>
      <c r="D2745" s="13"/>
      <c r="E2745" s="14"/>
      <c r="F2745" s="14"/>
      <c r="G2745" s="14"/>
      <c r="H2745" s="10"/>
      <c r="I2745" s="17"/>
      <c r="J2745" s="10"/>
      <c r="K2745" s="46"/>
      <c r="L2745" s="10"/>
      <c r="M2745" s="20"/>
      <c r="N2745" s="20"/>
      <c r="O2745" s="20"/>
      <c r="P2745" s="20"/>
    </row>
    <row r="2746">
      <c r="A2746" s="23"/>
      <c r="B2746" s="21"/>
      <c r="C2746" s="23"/>
      <c r="D2746" s="24"/>
      <c r="E2746" s="14"/>
      <c r="F2746" s="14"/>
      <c r="G2746" s="14"/>
      <c r="H2746" s="23"/>
      <c r="I2746" s="27"/>
      <c r="J2746" s="23"/>
      <c r="K2746" s="30"/>
      <c r="L2746" s="23"/>
      <c r="M2746" s="20"/>
      <c r="N2746" s="20"/>
      <c r="O2746" s="20"/>
      <c r="P2746" s="20"/>
    </row>
    <row r="2747">
      <c r="A2747" s="10"/>
      <c r="B2747" s="11"/>
      <c r="C2747" s="10"/>
      <c r="D2747" s="13"/>
      <c r="E2747" s="14"/>
      <c r="F2747" s="14"/>
      <c r="G2747" s="14"/>
      <c r="H2747" s="10"/>
      <c r="I2747" s="17"/>
      <c r="J2747" s="10"/>
      <c r="K2747" s="46"/>
      <c r="L2747" s="10"/>
      <c r="M2747" s="20"/>
      <c r="N2747" s="20"/>
      <c r="O2747" s="20"/>
      <c r="P2747" s="20"/>
    </row>
    <row r="2748">
      <c r="A2748" s="23"/>
      <c r="B2748" s="21"/>
      <c r="C2748" s="23"/>
      <c r="D2748" s="24"/>
      <c r="E2748" s="14"/>
      <c r="F2748" s="14"/>
      <c r="G2748" s="14"/>
      <c r="H2748" s="23"/>
      <c r="I2748" s="27"/>
      <c r="J2748" s="23"/>
      <c r="K2748" s="30"/>
      <c r="L2748" s="23"/>
      <c r="M2748" s="20"/>
      <c r="N2748" s="20"/>
      <c r="O2748" s="20"/>
      <c r="P2748" s="20"/>
    </row>
    <row r="2749">
      <c r="A2749" s="10"/>
      <c r="B2749" s="11"/>
      <c r="C2749" s="10"/>
      <c r="D2749" s="13"/>
      <c r="E2749" s="14"/>
      <c r="F2749" s="14"/>
      <c r="G2749" s="14"/>
      <c r="H2749" s="10"/>
      <c r="I2749" s="17"/>
      <c r="J2749" s="10"/>
      <c r="K2749" s="46"/>
      <c r="L2749" s="10"/>
      <c r="M2749" s="20"/>
      <c r="N2749" s="20"/>
      <c r="O2749" s="20"/>
      <c r="P2749" s="20"/>
    </row>
    <row r="2750">
      <c r="A2750" s="23"/>
      <c r="B2750" s="21"/>
      <c r="C2750" s="23"/>
      <c r="D2750" s="24"/>
      <c r="E2750" s="14"/>
      <c r="F2750" s="14"/>
      <c r="G2750" s="14"/>
      <c r="H2750" s="23"/>
      <c r="I2750" s="27"/>
      <c r="J2750" s="23"/>
      <c r="K2750" s="30"/>
      <c r="L2750" s="23"/>
      <c r="M2750" s="20"/>
      <c r="N2750" s="20"/>
      <c r="O2750" s="20"/>
      <c r="P2750" s="20"/>
    </row>
    <row r="2751">
      <c r="A2751" s="10"/>
      <c r="B2751" s="11"/>
      <c r="C2751" s="10"/>
      <c r="D2751" s="13"/>
      <c r="E2751" s="14"/>
      <c r="F2751" s="14"/>
      <c r="G2751" s="14"/>
      <c r="H2751" s="10"/>
      <c r="I2751" s="17"/>
      <c r="J2751" s="10"/>
      <c r="K2751" s="46"/>
      <c r="L2751" s="10"/>
      <c r="M2751" s="20"/>
      <c r="N2751" s="20"/>
      <c r="O2751" s="20"/>
      <c r="P2751" s="20"/>
    </row>
    <row r="2752">
      <c r="A2752" s="23"/>
      <c r="B2752" s="21"/>
      <c r="C2752" s="23"/>
      <c r="D2752" s="24"/>
      <c r="E2752" s="14"/>
      <c r="F2752" s="14"/>
      <c r="G2752" s="14"/>
      <c r="H2752" s="23"/>
      <c r="I2752" s="27"/>
      <c r="J2752" s="23"/>
      <c r="K2752" s="30"/>
      <c r="L2752" s="23"/>
      <c r="M2752" s="20"/>
      <c r="N2752" s="20"/>
      <c r="O2752" s="20"/>
      <c r="P2752" s="20"/>
    </row>
    <row r="2753">
      <c r="A2753" s="10"/>
      <c r="B2753" s="11"/>
      <c r="C2753" s="10"/>
      <c r="D2753" s="13"/>
      <c r="E2753" s="14"/>
      <c r="F2753" s="14"/>
      <c r="G2753" s="14"/>
      <c r="H2753" s="10"/>
      <c r="I2753" s="17"/>
      <c r="J2753" s="10"/>
      <c r="K2753" s="46"/>
      <c r="L2753" s="10"/>
      <c r="M2753" s="20"/>
      <c r="N2753" s="20"/>
      <c r="O2753" s="20"/>
      <c r="P2753" s="20"/>
    </row>
    <row r="2754">
      <c r="A2754" s="23"/>
      <c r="B2754" s="21"/>
      <c r="C2754" s="23"/>
      <c r="D2754" s="24"/>
      <c r="E2754" s="14"/>
      <c r="F2754" s="14"/>
      <c r="G2754" s="14"/>
      <c r="H2754" s="23"/>
      <c r="I2754" s="27"/>
      <c r="J2754" s="23"/>
      <c r="K2754" s="30"/>
      <c r="L2754" s="23"/>
      <c r="M2754" s="20"/>
      <c r="N2754" s="20"/>
      <c r="O2754" s="20"/>
      <c r="P2754" s="20"/>
    </row>
    <row r="2755">
      <c r="A2755" s="10"/>
      <c r="B2755" s="11"/>
      <c r="C2755" s="10"/>
      <c r="D2755" s="13"/>
      <c r="E2755" s="14"/>
      <c r="F2755" s="14"/>
      <c r="G2755" s="14"/>
      <c r="H2755" s="10"/>
      <c r="I2755" s="17"/>
      <c r="J2755" s="10"/>
      <c r="K2755" s="46"/>
      <c r="L2755" s="10"/>
      <c r="M2755" s="20"/>
      <c r="N2755" s="20"/>
      <c r="O2755" s="20"/>
      <c r="P2755" s="20"/>
    </row>
    <row r="2756">
      <c r="A2756" s="23"/>
      <c r="B2756" s="21"/>
      <c r="C2756" s="23"/>
      <c r="D2756" s="24"/>
      <c r="E2756" s="14"/>
      <c r="F2756" s="14"/>
      <c r="G2756" s="14"/>
      <c r="H2756" s="23"/>
      <c r="I2756" s="27"/>
      <c r="J2756" s="23"/>
      <c r="K2756" s="30"/>
      <c r="L2756" s="23"/>
      <c r="M2756" s="20"/>
      <c r="N2756" s="20"/>
      <c r="O2756" s="20"/>
      <c r="P2756" s="20"/>
    </row>
    <row r="2757">
      <c r="A2757" s="10"/>
      <c r="B2757" s="11"/>
      <c r="C2757" s="10"/>
      <c r="D2757" s="13"/>
      <c r="E2757" s="14"/>
      <c r="F2757" s="14"/>
      <c r="G2757" s="14"/>
      <c r="H2757" s="10"/>
      <c r="I2757" s="17"/>
      <c r="J2757" s="10"/>
      <c r="K2757" s="46"/>
      <c r="L2757" s="10"/>
      <c r="M2757" s="20"/>
      <c r="N2757" s="20"/>
      <c r="O2757" s="20"/>
      <c r="P2757" s="20"/>
    </row>
    <row r="2758">
      <c r="A2758" s="23"/>
      <c r="B2758" s="21"/>
      <c r="C2758" s="23"/>
      <c r="D2758" s="24"/>
      <c r="E2758" s="14"/>
      <c r="F2758" s="14"/>
      <c r="G2758" s="14"/>
      <c r="H2758" s="23"/>
      <c r="I2758" s="27"/>
      <c r="J2758" s="23"/>
      <c r="K2758" s="30"/>
      <c r="L2758" s="23"/>
      <c r="M2758" s="20"/>
      <c r="N2758" s="20"/>
      <c r="O2758" s="20"/>
      <c r="P2758" s="20"/>
    </row>
    <row r="2759">
      <c r="A2759" s="10"/>
      <c r="B2759" s="11"/>
      <c r="C2759" s="10"/>
      <c r="D2759" s="13"/>
      <c r="E2759" s="14"/>
      <c r="F2759" s="14"/>
      <c r="G2759" s="14"/>
      <c r="H2759" s="10"/>
      <c r="I2759" s="17"/>
      <c r="J2759" s="10"/>
      <c r="K2759" s="46"/>
      <c r="L2759" s="10"/>
      <c r="M2759" s="20"/>
      <c r="N2759" s="20"/>
      <c r="O2759" s="20"/>
      <c r="P2759" s="20"/>
    </row>
    <row r="2760">
      <c r="A2760" s="23"/>
      <c r="B2760" s="21"/>
      <c r="C2760" s="23"/>
      <c r="D2760" s="24"/>
      <c r="E2760" s="14"/>
      <c r="F2760" s="14"/>
      <c r="G2760" s="14"/>
      <c r="H2760" s="23"/>
      <c r="I2760" s="27"/>
      <c r="J2760" s="23"/>
      <c r="K2760" s="30"/>
      <c r="L2760" s="23"/>
      <c r="M2760" s="20"/>
      <c r="N2760" s="20"/>
      <c r="O2760" s="20"/>
      <c r="P2760" s="20"/>
    </row>
    <row r="2761">
      <c r="A2761" s="10"/>
      <c r="B2761" s="11"/>
      <c r="C2761" s="10"/>
      <c r="D2761" s="13"/>
      <c r="E2761" s="14"/>
      <c r="F2761" s="14"/>
      <c r="G2761" s="14"/>
      <c r="H2761" s="10"/>
      <c r="I2761" s="17"/>
      <c r="J2761" s="10"/>
      <c r="K2761" s="46"/>
      <c r="L2761" s="10"/>
      <c r="M2761" s="20"/>
      <c r="N2761" s="20"/>
      <c r="O2761" s="20"/>
      <c r="P2761" s="20"/>
    </row>
    <row r="2762">
      <c r="A2762" s="23"/>
      <c r="B2762" s="21"/>
      <c r="C2762" s="23"/>
      <c r="D2762" s="24"/>
      <c r="E2762" s="14"/>
      <c r="F2762" s="14"/>
      <c r="G2762" s="14"/>
      <c r="H2762" s="23"/>
      <c r="I2762" s="27"/>
      <c r="J2762" s="23"/>
      <c r="K2762" s="30"/>
      <c r="L2762" s="23"/>
      <c r="M2762" s="20"/>
      <c r="N2762" s="20"/>
      <c r="O2762" s="20"/>
      <c r="P2762" s="20"/>
    </row>
    <row r="2763">
      <c r="A2763" s="10"/>
      <c r="B2763" s="11"/>
      <c r="C2763" s="10"/>
      <c r="D2763" s="13"/>
      <c r="E2763" s="14"/>
      <c r="F2763" s="14"/>
      <c r="G2763" s="14"/>
      <c r="H2763" s="10"/>
      <c r="I2763" s="17"/>
      <c r="J2763" s="10"/>
      <c r="K2763" s="46"/>
      <c r="L2763" s="10"/>
      <c r="M2763" s="20"/>
      <c r="N2763" s="20"/>
      <c r="O2763" s="20"/>
      <c r="P2763" s="20"/>
    </row>
    <row r="2764">
      <c r="A2764" s="23"/>
      <c r="B2764" s="21"/>
      <c r="C2764" s="23"/>
      <c r="D2764" s="24"/>
      <c r="E2764" s="14"/>
      <c r="F2764" s="14"/>
      <c r="G2764" s="14"/>
      <c r="H2764" s="23"/>
      <c r="I2764" s="27"/>
      <c r="J2764" s="23"/>
      <c r="K2764" s="30"/>
      <c r="L2764" s="23"/>
      <c r="M2764" s="20"/>
      <c r="N2764" s="20"/>
      <c r="O2764" s="20"/>
      <c r="P2764" s="20"/>
    </row>
    <row r="2765">
      <c r="A2765" s="10"/>
      <c r="B2765" s="11"/>
      <c r="C2765" s="10"/>
      <c r="D2765" s="13"/>
      <c r="E2765" s="14"/>
      <c r="F2765" s="14"/>
      <c r="G2765" s="14"/>
      <c r="H2765" s="10"/>
      <c r="I2765" s="17"/>
      <c r="J2765" s="10"/>
      <c r="K2765" s="46"/>
      <c r="L2765" s="10"/>
      <c r="M2765" s="20"/>
      <c r="N2765" s="20"/>
      <c r="O2765" s="20"/>
      <c r="P2765" s="20"/>
    </row>
    <row r="2766">
      <c r="A2766" s="23"/>
      <c r="B2766" s="21"/>
      <c r="C2766" s="23"/>
      <c r="D2766" s="24"/>
      <c r="E2766" s="14"/>
      <c r="F2766" s="14"/>
      <c r="G2766" s="14"/>
      <c r="H2766" s="23"/>
      <c r="I2766" s="27"/>
      <c r="J2766" s="23"/>
      <c r="K2766" s="30"/>
      <c r="L2766" s="23"/>
      <c r="M2766" s="20"/>
      <c r="N2766" s="20"/>
      <c r="O2766" s="20"/>
      <c r="P2766" s="20"/>
    </row>
    <row r="2767">
      <c r="A2767" s="10"/>
      <c r="B2767" s="11"/>
      <c r="C2767" s="10"/>
      <c r="D2767" s="13"/>
      <c r="E2767" s="14"/>
      <c r="F2767" s="14"/>
      <c r="G2767" s="14"/>
      <c r="H2767" s="10"/>
      <c r="I2767" s="17"/>
      <c r="J2767" s="10"/>
      <c r="K2767" s="46"/>
      <c r="L2767" s="10"/>
      <c r="M2767" s="20"/>
      <c r="N2767" s="20"/>
      <c r="O2767" s="20"/>
      <c r="P2767" s="20"/>
    </row>
    <row r="2768">
      <c r="A2768" s="23"/>
      <c r="B2768" s="21"/>
      <c r="C2768" s="23"/>
      <c r="D2768" s="24"/>
      <c r="E2768" s="14"/>
      <c r="F2768" s="14"/>
      <c r="G2768" s="14"/>
      <c r="H2768" s="23"/>
      <c r="I2768" s="27"/>
      <c r="J2768" s="23"/>
      <c r="K2768" s="30"/>
      <c r="L2768" s="23"/>
      <c r="M2768" s="20"/>
      <c r="N2768" s="20"/>
      <c r="O2768" s="20"/>
      <c r="P2768" s="20"/>
    </row>
    <row r="2769">
      <c r="A2769" s="10"/>
      <c r="B2769" s="11"/>
      <c r="C2769" s="10"/>
      <c r="D2769" s="13"/>
      <c r="E2769" s="14"/>
      <c r="F2769" s="14"/>
      <c r="G2769" s="14"/>
      <c r="H2769" s="10"/>
      <c r="I2769" s="17"/>
      <c r="J2769" s="10"/>
      <c r="K2769" s="46"/>
      <c r="L2769" s="10"/>
      <c r="M2769" s="20"/>
      <c r="N2769" s="20"/>
      <c r="O2769" s="20"/>
      <c r="P2769" s="20"/>
    </row>
    <row r="2770">
      <c r="A2770" s="23"/>
      <c r="B2770" s="21"/>
      <c r="C2770" s="23"/>
      <c r="D2770" s="24"/>
      <c r="E2770" s="14"/>
      <c r="F2770" s="14"/>
      <c r="G2770" s="14"/>
      <c r="H2770" s="23"/>
      <c r="I2770" s="27"/>
      <c r="J2770" s="23"/>
      <c r="K2770" s="30"/>
      <c r="L2770" s="23"/>
      <c r="M2770" s="20"/>
      <c r="N2770" s="20"/>
      <c r="O2770" s="20"/>
      <c r="P2770" s="20"/>
    </row>
    <row r="2771">
      <c r="A2771" s="10"/>
      <c r="B2771" s="11"/>
      <c r="C2771" s="10"/>
      <c r="D2771" s="13"/>
      <c r="E2771" s="14"/>
      <c r="F2771" s="14"/>
      <c r="G2771" s="14"/>
      <c r="H2771" s="10"/>
      <c r="I2771" s="17"/>
      <c r="J2771" s="10"/>
      <c r="K2771" s="46"/>
      <c r="L2771" s="10"/>
      <c r="M2771" s="20"/>
      <c r="N2771" s="20"/>
      <c r="O2771" s="20"/>
      <c r="P2771" s="20"/>
    </row>
    <row r="2772">
      <c r="A2772" s="23"/>
      <c r="B2772" s="21"/>
      <c r="C2772" s="23"/>
      <c r="D2772" s="24"/>
      <c r="E2772" s="14"/>
      <c r="F2772" s="14"/>
      <c r="G2772" s="14"/>
      <c r="H2772" s="23"/>
      <c r="I2772" s="27"/>
      <c r="J2772" s="23"/>
      <c r="K2772" s="30"/>
      <c r="L2772" s="23"/>
      <c r="M2772" s="20"/>
      <c r="N2772" s="20"/>
      <c r="O2772" s="20"/>
      <c r="P2772" s="20"/>
    </row>
    <row r="2773">
      <c r="A2773" s="10"/>
      <c r="B2773" s="11"/>
      <c r="C2773" s="10"/>
      <c r="D2773" s="13"/>
      <c r="E2773" s="14"/>
      <c r="F2773" s="14"/>
      <c r="G2773" s="14"/>
      <c r="H2773" s="10"/>
      <c r="I2773" s="17"/>
      <c r="J2773" s="10"/>
      <c r="K2773" s="46"/>
      <c r="L2773" s="10"/>
      <c r="M2773" s="20"/>
      <c r="N2773" s="20"/>
      <c r="O2773" s="20"/>
      <c r="P2773" s="20"/>
    </row>
    <row r="2774">
      <c r="A2774" s="23"/>
      <c r="B2774" s="21"/>
      <c r="C2774" s="23"/>
      <c r="D2774" s="24"/>
      <c r="E2774" s="14"/>
      <c r="F2774" s="14"/>
      <c r="G2774" s="14"/>
      <c r="H2774" s="23"/>
      <c r="I2774" s="27"/>
      <c r="J2774" s="23"/>
      <c r="K2774" s="30"/>
      <c r="L2774" s="23"/>
      <c r="M2774" s="20"/>
      <c r="N2774" s="20"/>
      <c r="O2774" s="20"/>
      <c r="P2774" s="20"/>
    </row>
    <row r="2775">
      <c r="A2775" s="10"/>
      <c r="B2775" s="11"/>
      <c r="C2775" s="10"/>
      <c r="D2775" s="13"/>
      <c r="E2775" s="14"/>
      <c r="F2775" s="14"/>
      <c r="G2775" s="14"/>
      <c r="H2775" s="10"/>
      <c r="I2775" s="17"/>
      <c r="J2775" s="10"/>
      <c r="K2775" s="46"/>
      <c r="L2775" s="10"/>
      <c r="M2775" s="20"/>
      <c r="N2775" s="20"/>
      <c r="O2775" s="20"/>
      <c r="P2775" s="20"/>
    </row>
    <row r="2776">
      <c r="A2776" s="23"/>
      <c r="B2776" s="21"/>
      <c r="C2776" s="23"/>
      <c r="D2776" s="24"/>
      <c r="E2776" s="14"/>
      <c r="F2776" s="14"/>
      <c r="G2776" s="14"/>
      <c r="H2776" s="23"/>
      <c r="I2776" s="27"/>
      <c r="J2776" s="23"/>
      <c r="K2776" s="30"/>
      <c r="L2776" s="23"/>
      <c r="M2776" s="20"/>
      <c r="N2776" s="20"/>
      <c r="O2776" s="20"/>
      <c r="P2776" s="20"/>
    </row>
    <row r="2777">
      <c r="A2777" s="10"/>
      <c r="B2777" s="11"/>
      <c r="C2777" s="10"/>
      <c r="D2777" s="13"/>
      <c r="E2777" s="14"/>
      <c r="F2777" s="14"/>
      <c r="G2777" s="14"/>
      <c r="H2777" s="10"/>
      <c r="I2777" s="17"/>
      <c r="J2777" s="10"/>
      <c r="K2777" s="46"/>
      <c r="L2777" s="10"/>
      <c r="M2777" s="20"/>
      <c r="N2777" s="20"/>
      <c r="O2777" s="20"/>
      <c r="P2777" s="20"/>
    </row>
    <row r="2778">
      <c r="A2778" s="23"/>
      <c r="B2778" s="21"/>
      <c r="C2778" s="23"/>
      <c r="D2778" s="24"/>
      <c r="E2778" s="14"/>
      <c r="F2778" s="14"/>
      <c r="G2778" s="14"/>
      <c r="H2778" s="23"/>
      <c r="I2778" s="27"/>
      <c r="J2778" s="23"/>
      <c r="K2778" s="30"/>
      <c r="L2778" s="23"/>
      <c r="M2778" s="20"/>
      <c r="N2778" s="20"/>
      <c r="O2778" s="20"/>
      <c r="P2778" s="20"/>
    </row>
    <row r="2779">
      <c r="A2779" s="10"/>
      <c r="B2779" s="11"/>
      <c r="C2779" s="10"/>
      <c r="D2779" s="13"/>
      <c r="E2779" s="14"/>
      <c r="F2779" s="14"/>
      <c r="G2779" s="14"/>
      <c r="H2779" s="10"/>
      <c r="I2779" s="17"/>
      <c r="J2779" s="10"/>
      <c r="K2779" s="46"/>
      <c r="L2779" s="10"/>
      <c r="M2779" s="20"/>
      <c r="N2779" s="20"/>
      <c r="O2779" s="20"/>
      <c r="P2779" s="20"/>
    </row>
    <row r="2780">
      <c r="A2780" s="23"/>
      <c r="B2780" s="21"/>
      <c r="C2780" s="23"/>
      <c r="D2780" s="24"/>
      <c r="E2780" s="14"/>
      <c r="F2780" s="14"/>
      <c r="G2780" s="14"/>
      <c r="H2780" s="23"/>
      <c r="I2780" s="27"/>
      <c r="J2780" s="23"/>
      <c r="K2780" s="30"/>
      <c r="L2780" s="23"/>
      <c r="M2780" s="20"/>
      <c r="N2780" s="20"/>
      <c r="O2780" s="20"/>
      <c r="P2780" s="20"/>
    </row>
    <row r="2781">
      <c r="A2781" s="10"/>
      <c r="B2781" s="11"/>
      <c r="C2781" s="10"/>
      <c r="D2781" s="13"/>
      <c r="E2781" s="14"/>
      <c r="F2781" s="14"/>
      <c r="G2781" s="14"/>
      <c r="H2781" s="10"/>
      <c r="I2781" s="17"/>
      <c r="J2781" s="10"/>
      <c r="K2781" s="46"/>
      <c r="L2781" s="10"/>
      <c r="M2781" s="20"/>
      <c r="N2781" s="20"/>
      <c r="O2781" s="20"/>
      <c r="P2781" s="20"/>
    </row>
    <row r="2782">
      <c r="A2782" s="23"/>
      <c r="B2782" s="21"/>
      <c r="C2782" s="23"/>
      <c r="D2782" s="24"/>
      <c r="E2782" s="14"/>
      <c r="F2782" s="14"/>
      <c r="G2782" s="14"/>
      <c r="H2782" s="23"/>
      <c r="I2782" s="27"/>
      <c r="J2782" s="23"/>
      <c r="K2782" s="30"/>
      <c r="L2782" s="23"/>
      <c r="M2782" s="20"/>
      <c r="N2782" s="20"/>
      <c r="O2782" s="20"/>
      <c r="P2782" s="20"/>
    </row>
    <row r="2783">
      <c r="A2783" s="10"/>
      <c r="B2783" s="11"/>
      <c r="C2783" s="10"/>
      <c r="D2783" s="13"/>
      <c r="E2783" s="14"/>
      <c r="F2783" s="14"/>
      <c r="G2783" s="14"/>
      <c r="H2783" s="10"/>
      <c r="I2783" s="17"/>
      <c r="J2783" s="10"/>
      <c r="K2783" s="46"/>
      <c r="L2783" s="10"/>
      <c r="M2783" s="20"/>
      <c r="N2783" s="20"/>
      <c r="O2783" s="20"/>
      <c r="P2783" s="20"/>
    </row>
    <row r="2784">
      <c r="A2784" s="23"/>
      <c r="B2784" s="21"/>
      <c r="C2784" s="23"/>
      <c r="D2784" s="24"/>
      <c r="E2784" s="14"/>
      <c r="F2784" s="14"/>
      <c r="G2784" s="14"/>
      <c r="H2784" s="23"/>
      <c r="I2784" s="27"/>
      <c r="J2784" s="23"/>
      <c r="K2784" s="30"/>
      <c r="L2784" s="23"/>
      <c r="M2784" s="20"/>
      <c r="N2784" s="20"/>
      <c r="O2784" s="20"/>
      <c r="P2784" s="20"/>
    </row>
    <row r="2785">
      <c r="A2785" s="10"/>
      <c r="B2785" s="11"/>
      <c r="C2785" s="10"/>
      <c r="D2785" s="13"/>
      <c r="E2785" s="14"/>
      <c r="F2785" s="14"/>
      <c r="G2785" s="14"/>
      <c r="H2785" s="10"/>
      <c r="I2785" s="17"/>
      <c r="J2785" s="10"/>
      <c r="K2785" s="46"/>
      <c r="L2785" s="10"/>
      <c r="M2785" s="20"/>
      <c r="N2785" s="20"/>
      <c r="O2785" s="20"/>
      <c r="P2785" s="20"/>
    </row>
    <row r="2786">
      <c r="A2786" s="23"/>
      <c r="B2786" s="21"/>
      <c r="C2786" s="23"/>
      <c r="D2786" s="24"/>
      <c r="E2786" s="14"/>
      <c r="F2786" s="14"/>
      <c r="G2786" s="14"/>
      <c r="H2786" s="23"/>
      <c r="I2786" s="27"/>
      <c r="J2786" s="23"/>
      <c r="K2786" s="30"/>
      <c r="L2786" s="23"/>
      <c r="M2786" s="20"/>
      <c r="N2786" s="20"/>
      <c r="O2786" s="20"/>
      <c r="P2786" s="20"/>
    </row>
    <row r="2787">
      <c r="A2787" s="10"/>
      <c r="B2787" s="11"/>
      <c r="C2787" s="10"/>
      <c r="D2787" s="13"/>
      <c r="E2787" s="14"/>
      <c r="F2787" s="14"/>
      <c r="G2787" s="14"/>
      <c r="H2787" s="10"/>
      <c r="I2787" s="17"/>
      <c r="J2787" s="10"/>
      <c r="K2787" s="46"/>
      <c r="L2787" s="10"/>
      <c r="M2787" s="20"/>
      <c r="N2787" s="20"/>
      <c r="O2787" s="20"/>
      <c r="P2787" s="20"/>
    </row>
    <row r="2788">
      <c r="A2788" s="23"/>
      <c r="B2788" s="21"/>
      <c r="C2788" s="23"/>
      <c r="D2788" s="24"/>
      <c r="E2788" s="14"/>
      <c r="F2788" s="14"/>
      <c r="G2788" s="14"/>
      <c r="H2788" s="23"/>
      <c r="I2788" s="27"/>
      <c r="J2788" s="23"/>
      <c r="K2788" s="30"/>
      <c r="L2788" s="23"/>
      <c r="M2788" s="20"/>
      <c r="N2788" s="20"/>
      <c r="O2788" s="20"/>
      <c r="P2788" s="20"/>
    </row>
    <row r="2789">
      <c r="A2789" s="10"/>
      <c r="B2789" s="11"/>
      <c r="C2789" s="10"/>
      <c r="D2789" s="13"/>
      <c r="E2789" s="14"/>
      <c r="F2789" s="14"/>
      <c r="G2789" s="14"/>
      <c r="H2789" s="10"/>
      <c r="I2789" s="17"/>
      <c r="J2789" s="10"/>
      <c r="K2789" s="46"/>
      <c r="L2789" s="10"/>
      <c r="M2789" s="20"/>
      <c r="N2789" s="20"/>
      <c r="O2789" s="20"/>
      <c r="P2789" s="20"/>
    </row>
    <row r="2790">
      <c r="A2790" s="23"/>
      <c r="B2790" s="21"/>
      <c r="C2790" s="23"/>
      <c r="D2790" s="24"/>
      <c r="E2790" s="14"/>
      <c r="F2790" s="14"/>
      <c r="G2790" s="14"/>
      <c r="H2790" s="23"/>
      <c r="I2790" s="27"/>
      <c r="J2790" s="23"/>
      <c r="K2790" s="30"/>
      <c r="L2790" s="23"/>
      <c r="M2790" s="20"/>
      <c r="N2790" s="20"/>
      <c r="O2790" s="20"/>
      <c r="P2790" s="20"/>
    </row>
    <row r="2791">
      <c r="A2791" s="10"/>
      <c r="B2791" s="11"/>
      <c r="C2791" s="10"/>
      <c r="D2791" s="13"/>
      <c r="E2791" s="14"/>
      <c r="F2791" s="14"/>
      <c r="G2791" s="14"/>
      <c r="H2791" s="10"/>
      <c r="I2791" s="17"/>
      <c r="J2791" s="10"/>
      <c r="K2791" s="46"/>
      <c r="L2791" s="10"/>
      <c r="M2791" s="20"/>
      <c r="N2791" s="20"/>
      <c r="O2791" s="20"/>
      <c r="P2791" s="20"/>
    </row>
    <row r="2792">
      <c r="A2792" s="23"/>
      <c r="B2792" s="21"/>
      <c r="C2792" s="23"/>
      <c r="D2792" s="24"/>
      <c r="E2792" s="14"/>
      <c r="F2792" s="14"/>
      <c r="G2792" s="14"/>
      <c r="H2792" s="23"/>
      <c r="I2792" s="27"/>
      <c r="J2792" s="23"/>
      <c r="K2792" s="30"/>
      <c r="L2792" s="23"/>
      <c r="M2792" s="20"/>
      <c r="N2792" s="20"/>
      <c r="O2792" s="20"/>
      <c r="P2792" s="20"/>
    </row>
    <row r="2793">
      <c r="A2793" s="10"/>
      <c r="B2793" s="11"/>
      <c r="C2793" s="10"/>
      <c r="D2793" s="13"/>
      <c r="E2793" s="14"/>
      <c r="F2793" s="14"/>
      <c r="G2793" s="14"/>
      <c r="H2793" s="10"/>
      <c r="I2793" s="17"/>
      <c r="J2793" s="10"/>
      <c r="K2793" s="46"/>
      <c r="L2793" s="10"/>
      <c r="M2793" s="20"/>
      <c r="N2793" s="20"/>
      <c r="O2793" s="20"/>
      <c r="P2793" s="20"/>
    </row>
    <row r="2794">
      <c r="A2794" s="23"/>
      <c r="B2794" s="21"/>
      <c r="C2794" s="23"/>
      <c r="D2794" s="24"/>
      <c r="E2794" s="14"/>
      <c r="F2794" s="14"/>
      <c r="G2794" s="14"/>
      <c r="H2794" s="23"/>
      <c r="I2794" s="27"/>
      <c r="J2794" s="23"/>
      <c r="K2794" s="30"/>
      <c r="L2794" s="23"/>
      <c r="M2794" s="20"/>
      <c r="N2794" s="20"/>
      <c r="O2794" s="20"/>
      <c r="P2794" s="20"/>
    </row>
    <row r="2795">
      <c r="A2795" s="10"/>
      <c r="B2795" s="11"/>
      <c r="C2795" s="10"/>
      <c r="D2795" s="13"/>
      <c r="E2795" s="14"/>
      <c r="F2795" s="14"/>
      <c r="G2795" s="14"/>
      <c r="H2795" s="10"/>
      <c r="I2795" s="17"/>
      <c r="J2795" s="10"/>
      <c r="K2795" s="46"/>
      <c r="L2795" s="10"/>
      <c r="M2795" s="20"/>
      <c r="N2795" s="20"/>
      <c r="O2795" s="20"/>
      <c r="P2795" s="20"/>
    </row>
    <row r="2796">
      <c r="A2796" s="23"/>
      <c r="B2796" s="21"/>
      <c r="C2796" s="23"/>
      <c r="D2796" s="24"/>
      <c r="E2796" s="14"/>
      <c r="F2796" s="14"/>
      <c r="G2796" s="14"/>
      <c r="H2796" s="23"/>
      <c r="I2796" s="27"/>
      <c r="J2796" s="23"/>
      <c r="K2796" s="30"/>
      <c r="L2796" s="23"/>
      <c r="M2796" s="20"/>
      <c r="N2796" s="20"/>
      <c r="O2796" s="20"/>
      <c r="P2796" s="20"/>
    </row>
    <row r="2797">
      <c r="A2797" s="10"/>
      <c r="B2797" s="11"/>
      <c r="C2797" s="10"/>
      <c r="D2797" s="13"/>
      <c r="E2797" s="14"/>
      <c r="F2797" s="14"/>
      <c r="G2797" s="14"/>
      <c r="H2797" s="10"/>
      <c r="I2797" s="17"/>
      <c r="J2797" s="10"/>
      <c r="K2797" s="46"/>
      <c r="L2797" s="10"/>
      <c r="M2797" s="20"/>
      <c r="N2797" s="20"/>
      <c r="O2797" s="20"/>
      <c r="P2797" s="20"/>
    </row>
    <row r="2798">
      <c r="A2798" s="23"/>
      <c r="B2798" s="21"/>
      <c r="C2798" s="23"/>
      <c r="D2798" s="24"/>
      <c r="E2798" s="14"/>
      <c r="F2798" s="14"/>
      <c r="G2798" s="14"/>
      <c r="H2798" s="23"/>
      <c r="I2798" s="27"/>
      <c r="J2798" s="23"/>
      <c r="K2798" s="30"/>
      <c r="L2798" s="23"/>
      <c r="M2798" s="20"/>
      <c r="N2798" s="20"/>
      <c r="O2798" s="20"/>
      <c r="P2798" s="20"/>
    </row>
    <row r="2799">
      <c r="A2799" s="10"/>
      <c r="B2799" s="11"/>
      <c r="C2799" s="10"/>
      <c r="D2799" s="13"/>
      <c r="E2799" s="14"/>
      <c r="F2799" s="14"/>
      <c r="G2799" s="14"/>
      <c r="H2799" s="10"/>
      <c r="I2799" s="17"/>
      <c r="J2799" s="10"/>
      <c r="K2799" s="46"/>
      <c r="L2799" s="10"/>
      <c r="M2799" s="20"/>
      <c r="N2799" s="20"/>
      <c r="O2799" s="20"/>
      <c r="P2799" s="20"/>
    </row>
    <row r="2800">
      <c r="A2800" s="23"/>
      <c r="B2800" s="21"/>
      <c r="C2800" s="23"/>
      <c r="D2800" s="24"/>
      <c r="E2800" s="14"/>
      <c r="F2800" s="14"/>
      <c r="G2800" s="14"/>
      <c r="H2800" s="23"/>
      <c r="I2800" s="27"/>
      <c r="J2800" s="23"/>
      <c r="K2800" s="30"/>
      <c r="L2800" s="23"/>
      <c r="M2800" s="20"/>
      <c r="N2800" s="20"/>
      <c r="O2800" s="20"/>
      <c r="P2800" s="20"/>
    </row>
    <row r="2801">
      <c r="A2801" s="10"/>
      <c r="B2801" s="11"/>
      <c r="C2801" s="10"/>
      <c r="D2801" s="13"/>
      <c r="E2801" s="14"/>
      <c r="F2801" s="14"/>
      <c r="G2801" s="14"/>
      <c r="H2801" s="10"/>
      <c r="I2801" s="17"/>
      <c r="J2801" s="10"/>
      <c r="K2801" s="46"/>
      <c r="L2801" s="10"/>
      <c r="M2801" s="20"/>
      <c r="N2801" s="20"/>
      <c r="O2801" s="20"/>
      <c r="P2801" s="20"/>
    </row>
    <row r="2802">
      <c r="A2802" s="23"/>
      <c r="B2802" s="21"/>
      <c r="C2802" s="23"/>
      <c r="D2802" s="24"/>
      <c r="E2802" s="14"/>
      <c r="F2802" s="14"/>
      <c r="G2802" s="14"/>
      <c r="H2802" s="23"/>
      <c r="I2802" s="27"/>
      <c r="J2802" s="23"/>
      <c r="K2802" s="30"/>
      <c r="L2802" s="23"/>
      <c r="M2802" s="20"/>
      <c r="N2802" s="20"/>
      <c r="O2802" s="20"/>
      <c r="P2802" s="20"/>
    </row>
    <row r="2803">
      <c r="A2803" s="10"/>
      <c r="B2803" s="11"/>
      <c r="C2803" s="10"/>
      <c r="D2803" s="13"/>
      <c r="E2803" s="14"/>
      <c r="F2803" s="14"/>
      <c r="G2803" s="14"/>
      <c r="H2803" s="10"/>
      <c r="I2803" s="17"/>
      <c r="J2803" s="10"/>
      <c r="K2803" s="46"/>
      <c r="L2803" s="10"/>
      <c r="M2803" s="20"/>
      <c r="N2803" s="20"/>
      <c r="O2803" s="20"/>
      <c r="P2803" s="20"/>
    </row>
    <row r="2804">
      <c r="A2804" s="23"/>
      <c r="B2804" s="21"/>
      <c r="C2804" s="23"/>
      <c r="D2804" s="24"/>
      <c r="E2804" s="14"/>
      <c r="F2804" s="14"/>
      <c r="G2804" s="14"/>
      <c r="H2804" s="23"/>
      <c r="I2804" s="27"/>
      <c r="J2804" s="23"/>
      <c r="K2804" s="30"/>
      <c r="L2804" s="23"/>
      <c r="M2804" s="20"/>
      <c r="N2804" s="20"/>
      <c r="O2804" s="20"/>
      <c r="P2804" s="20"/>
    </row>
    <row r="2805">
      <c r="A2805" s="10"/>
      <c r="B2805" s="11"/>
      <c r="C2805" s="10"/>
      <c r="D2805" s="13"/>
      <c r="E2805" s="14"/>
      <c r="F2805" s="14"/>
      <c r="G2805" s="14"/>
      <c r="H2805" s="10"/>
      <c r="I2805" s="17"/>
      <c r="J2805" s="10"/>
      <c r="K2805" s="46"/>
      <c r="L2805" s="10"/>
      <c r="M2805" s="20"/>
      <c r="N2805" s="20"/>
      <c r="O2805" s="20"/>
      <c r="P2805" s="20"/>
    </row>
    <row r="2806">
      <c r="A2806" s="23"/>
      <c r="B2806" s="21"/>
      <c r="C2806" s="23"/>
      <c r="D2806" s="24"/>
      <c r="E2806" s="14"/>
      <c r="F2806" s="14"/>
      <c r="G2806" s="14"/>
      <c r="H2806" s="23"/>
      <c r="I2806" s="27"/>
      <c r="J2806" s="23"/>
      <c r="K2806" s="30"/>
      <c r="L2806" s="23"/>
      <c r="M2806" s="20"/>
      <c r="N2806" s="20"/>
      <c r="O2806" s="20"/>
      <c r="P2806" s="20"/>
    </row>
    <row r="2807">
      <c r="A2807" s="10"/>
      <c r="B2807" s="11"/>
      <c r="C2807" s="10"/>
      <c r="D2807" s="13"/>
      <c r="E2807" s="14"/>
      <c r="F2807" s="14"/>
      <c r="G2807" s="14"/>
      <c r="H2807" s="10"/>
      <c r="I2807" s="17"/>
      <c r="J2807" s="10"/>
      <c r="K2807" s="46"/>
      <c r="L2807" s="10"/>
      <c r="M2807" s="20"/>
      <c r="N2807" s="20"/>
      <c r="O2807" s="20"/>
      <c r="P2807" s="20"/>
    </row>
    <row r="2808">
      <c r="A2808" s="23"/>
      <c r="B2808" s="21"/>
      <c r="C2808" s="23"/>
      <c r="D2808" s="24"/>
      <c r="E2808" s="14"/>
      <c r="F2808" s="14"/>
      <c r="G2808" s="14"/>
      <c r="H2808" s="23"/>
      <c r="I2808" s="27"/>
      <c r="J2808" s="23"/>
      <c r="K2808" s="30"/>
      <c r="L2808" s="23"/>
      <c r="M2808" s="20"/>
      <c r="N2808" s="20"/>
      <c r="O2808" s="20"/>
      <c r="P2808" s="20"/>
    </row>
    <row r="2809">
      <c r="A2809" s="10"/>
      <c r="B2809" s="11"/>
      <c r="C2809" s="10"/>
      <c r="D2809" s="13"/>
      <c r="E2809" s="14"/>
      <c r="F2809" s="14"/>
      <c r="G2809" s="14"/>
      <c r="H2809" s="10"/>
      <c r="I2809" s="17"/>
      <c r="J2809" s="10"/>
      <c r="K2809" s="46"/>
      <c r="L2809" s="10"/>
      <c r="M2809" s="20"/>
      <c r="N2809" s="20"/>
      <c r="O2809" s="20"/>
      <c r="P2809" s="20"/>
    </row>
    <row r="2810">
      <c r="A2810" s="23"/>
      <c r="B2810" s="21"/>
      <c r="C2810" s="23"/>
      <c r="D2810" s="24"/>
      <c r="E2810" s="14"/>
      <c r="F2810" s="14"/>
      <c r="G2810" s="14"/>
      <c r="H2810" s="23"/>
      <c r="I2810" s="27"/>
      <c r="J2810" s="23"/>
      <c r="K2810" s="30"/>
      <c r="L2810" s="23"/>
      <c r="M2810" s="20"/>
      <c r="N2810" s="20"/>
      <c r="O2810" s="20"/>
      <c r="P2810" s="20"/>
    </row>
    <row r="2811">
      <c r="A2811" s="10"/>
      <c r="B2811" s="11"/>
      <c r="C2811" s="10"/>
      <c r="D2811" s="13"/>
      <c r="E2811" s="14"/>
      <c r="F2811" s="14"/>
      <c r="G2811" s="14"/>
      <c r="H2811" s="10"/>
      <c r="I2811" s="17"/>
      <c r="J2811" s="10"/>
      <c r="K2811" s="46"/>
      <c r="L2811" s="10"/>
      <c r="M2811" s="20"/>
      <c r="N2811" s="20"/>
      <c r="O2811" s="20"/>
      <c r="P2811" s="20"/>
    </row>
    <row r="2812">
      <c r="A2812" s="23"/>
      <c r="B2812" s="21"/>
      <c r="C2812" s="23"/>
      <c r="D2812" s="24"/>
      <c r="E2812" s="14"/>
      <c r="F2812" s="14"/>
      <c r="G2812" s="14"/>
      <c r="H2812" s="23"/>
      <c r="I2812" s="27"/>
      <c r="J2812" s="23"/>
      <c r="K2812" s="30"/>
      <c r="L2812" s="23"/>
      <c r="M2812" s="20"/>
      <c r="N2812" s="20"/>
      <c r="O2812" s="20"/>
      <c r="P2812" s="20"/>
    </row>
    <row r="2813">
      <c r="A2813" s="10"/>
      <c r="B2813" s="11"/>
      <c r="C2813" s="10"/>
      <c r="D2813" s="13"/>
      <c r="E2813" s="14"/>
      <c r="F2813" s="14"/>
      <c r="G2813" s="14"/>
      <c r="H2813" s="10"/>
      <c r="I2813" s="17"/>
      <c r="J2813" s="10"/>
      <c r="K2813" s="46"/>
      <c r="L2813" s="10"/>
      <c r="M2813" s="20"/>
      <c r="N2813" s="20"/>
      <c r="O2813" s="20"/>
      <c r="P2813" s="20"/>
    </row>
    <row r="2814">
      <c r="A2814" s="23"/>
      <c r="B2814" s="21"/>
      <c r="C2814" s="23"/>
      <c r="D2814" s="24"/>
      <c r="E2814" s="14"/>
      <c r="F2814" s="14"/>
      <c r="G2814" s="14"/>
      <c r="H2814" s="23"/>
      <c r="I2814" s="27"/>
      <c r="J2814" s="23"/>
      <c r="K2814" s="30"/>
      <c r="L2814" s="23"/>
      <c r="M2814" s="20"/>
      <c r="N2814" s="20"/>
      <c r="O2814" s="20"/>
      <c r="P2814" s="20"/>
    </row>
    <row r="2815">
      <c r="A2815" s="10"/>
      <c r="B2815" s="11"/>
      <c r="C2815" s="10"/>
      <c r="D2815" s="13"/>
      <c r="E2815" s="14"/>
      <c r="F2815" s="14"/>
      <c r="G2815" s="14"/>
      <c r="H2815" s="10"/>
      <c r="I2815" s="17"/>
      <c r="J2815" s="10"/>
      <c r="K2815" s="46"/>
      <c r="L2815" s="10"/>
      <c r="M2815" s="20"/>
      <c r="N2815" s="20"/>
      <c r="O2815" s="20"/>
      <c r="P2815" s="20"/>
    </row>
    <row r="2816">
      <c r="A2816" s="23"/>
      <c r="B2816" s="21"/>
      <c r="C2816" s="23"/>
      <c r="D2816" s="24"/>
      <c r="E2816" s="14"/>
      <c r="F2816" s="14"/>
      <c r="G2816" s="14"/>
      <c r="H2816" s="23"/>
      <c r="I2816" s="27"/>
      <c r="J2816" s="23"/>
      <c r="K2816" s="30"/>
      <c r="L2816" s="23"/>
      <c r="M2816" s="20"/>
      <c r="N2816" s="20"/>
      <c r="O2816" s="20"/>
      <c r="P2816" s="20"/>
    </row>
    <row r="2817">
      <c r="A2817" s="10"/>
      <c r="B2817" s="11"/>
      <c r="C2817" s="10"/>
      <c r="D2817" s="13"/>
      <c r="E2817" s="14"/>
      <c r="F2817" s="14"/>
      <c r="G2817" s="14"/>
      <c r="H2817" s="10"/>
      <c r="I2817" s="17"/>
      <c r="J2817" s="10"/>
      <c r="K2817" s="46"/>
      <c r="L2817" s="10"/>
      <c r="M2817" s="20"/>
      <c r="N2817" s="20"/>
      <c r="O2817" s="20"/>
      <c r="P2817" s="20"/>
    </row>
    <row r="2818">
      <c r="A2818" s="23"/>
      <c r="B2818" s="21"/>
      <c r="C2818" s="23"/>
      <c r="D2818" s="24"/>
      <c r="E2818" s="14"/>
      <c r="F2818" s="14"/>
      <c r="G2818" s="14"/>
      <c r="H2818" s="23"/>
      <c r="I2818" s="27"/>
      <c r="J2818" s="23"/>
      <c r="K2818" s="30"/>
      <c r="L2818" s="23"/>
      <c r="M2818" s="20"/>
      <c r="N2818" s="20"/>
      <c r="O2818" s="20"/>
      <c r="P2818" s="20"/>
    </row>
    <row r="2819">
      <c r="A2819" s="10"/>
      <c r="B2819" s="11"/>
      <c r="C2819" s="10"/>
      <c r="D2819" s="13"/>
      <c r="E2819" s="14"/>
      <c r="F2819" s="14"/>
      <c r="G2819" s="14"/>
      <c r="H2819" s="10"/>
      <c r="I2819" s="17"/>
      <c r="J2819" s="10"/>
      <c r="K2819" s="46"/>
      <c r="L2819" s="10"/>
      <c r="M2819" s="20"/>
      <c r="N2819" s="20"/>
      <c r="O2819" s="20"/>
      <c r="P2819" s="20"/>
    </row>
    <row r="2820">
      <c r="A2820" s="23"/>
      <c r="B2820" s="21"/>
      <c r="C2820" s="23"/>
      <c r="D2820" s="24"/>
      <c r="E2820" s="14"/>
      <c r="F2820" s="14"/>
      <c r="G2820" s="14"/>
      <c r="H2820" s="23"/>
      <c r="I2820" s="27"/>
      <c r="J2820" s="23"/>
      <c r="K2820" s="30"/>
      <c r="L2820" s="23"/>
      <c r="M2820" s="20"/>
      <c r="N2820" s="20"/>
      <c r="O2820" s="20"/>
      <c r="P2820" s="20"/>
    </row>
    <row r="2821">
      <c r="A2821" s="10"/>
      <c r="B2821" s="11"/>
      <c r="C2821" s="10"/>
      <c r="D2821" s="13"/>
      <c r="E2821" s="14"/>
      <c r="F2821" s="14"/>
      <c r="G2821" s="14"/>
      <c r="H2821" s="10"/>
      <c r="I2821" s="17"/>
      <c r="J2821" s="10"/>
      <c r="K2821" s="46"/>
      <c r="L2821" s="10"/>
      <c r="M2821" s="20"/>
      <c r="N2821" s="20"/>
      <c r="O2821" s="20"/>
      <c r="P2821" s="20"/>
    </row>
    <row r="2822">
      <c r="A2822" s="23"/>
      <c r="B2822" s="21"/>
      <c r="C2822" s="23"/>
      <c r="D2822" s="24"/>
      <c r="E2822" s="14"/>
      <c r="F2822" s="14"/>
      <c r="G2822" s="14"/>
      <c r="H2822" s="23"/>
      <c r="I2822" s="27"/>
      <c r="J2822" s="23"/>
      <c r="K2822" s="30"/>
      <c r="L2822" s="23"/>
      <c r="M2822" s="20"/>
      <c r="N2822" s="20"/>
      <c r="O2822" s="20"/>
      <c r="P2822" s="20"/>
    </row>
    <row r="2823">
      <c r="A2823" s="10"/>
      <c r="B2823" s="11"/>
      <c r="C2823" s="10"/>
      <c r="D2823" s="13"/>
      <c r="E2823" s="14"/>
      <c r="F2823" s="14"/>
      <c r="G2823" s="14"/>
      <c r="H2823" s="10"/>
      <c r="I2823" s="17"/>
      <c r="J2823" s="10"/>
      <c r="K2823" s="46"/>
      <c r="L2823" s="10"/>
      <c r="M2823" s="20"/>
      <c r="N2823" s="20"/>
      <c r="O2823" s="20"/>
      <c r="P2823" s="20"/>
    </row>
    <row r="2824">
      <c r="A2824" s="23"/>
      <c r="B2824" s="21"/>
      <c r="C2824" s="23"/>
      <c r="D2824" s="24"/>
      <c r="E2824" s="14"/>
      <c r="F2824" s="14"/>
      <c r="G2824" s="14"/>
      <c r="H2824" s="23"/>
      <c r="I2824" s="27"/>
      <c r="J2824" s="23"/>
      <c r="K2824" s="30"/>
      <c r="L2824" s="23"/>
      <c r="M2824" s="20"/>
      <c r="N2824" s="20"/>
      <c r="O2824" s="20"/>
      <c r="P2824" s="20"/>
    </row>
    <row r="2825">
      <c r="A2825" s="10"/>
      <c r="B2825" s="11"/>
      <c r="C2825" s="10"/>
      <c r="D2825" s="13"/>
      <c r="E2825" s="14"/>
      <c r="F2825" s="14"/>
      <c r="G2825" s="14"/>
      <c r="H2825" s="10"/>
      <c r="I2825" s="17"/>
      <c r="J2825" s="10"/>
      <c r="K2825" s="46"/>
      <c r="L2825" s="10"/>
      <c r="M2825" s="20"/>
      <c r="N2825" s="20"/>
      <c r="O2825" s="20"/>
      <c r="P2825" s="20"/>
    </row>
    <row r="2826">
      <c r="A2826" s="23"/>
      <c r="B2826" s="21"/>
      <c r="C2826" s="23"/>
      <c r="D2826" s="24"/>
      <c r="E2826" s="14"/>
      <c r="F2826" s="14"/>
      <c r="G2826" s="14"/>
      <c r="H2826" s="23"/>
      <c r="I2826" s="27"/>
      <c r="J2826" s="23"/>
      <c r="K2826" s="30"/>
      <c r="L2826" s="23"/>
      <c r="M2826" s="20"/>
      <c r="N2826" s="20"/>
      <c r="O2826" s="20"/>
      <c r="P2826" s="20"/>
    </row>
    <row r="2827">
      <c r="A2827" s="10"/>
      <c r="B2827" s="11"/>
      <c r="C2827" s="10"/>
      <c r="D2827" s="13"/>
      <c r="E2827" s="14"/>
      <c r="F2827" s="14"/>
      <c r="G2827" s="14"/>
      <c r="H2827" s="10"/>
      <c r="I2827" s="17"/>
      <c r="J2827" s="10"/>
      <c r="K2827" s="46"/>
      <c r="L2827" s="10"/>
      <c r="M2827" s="20"/>
      <c r="N2827" s="20"/>
      <c r="O2827" s="20"/>
      <c r="P2827" s="20"/>
    </row>
    <row r="2828">
      <c r="A2828" s="23"/>
      <c r="B2828" s="21"/>
      <c r="C2828" s="23"/>
      <c r="D2828" s="24"/>
      <c r="E2828" s="14"/>
      <c r="F2828" s="14"/>
      <c r="G2828" s="14"/>
      <c r="H2828" s="23"/>
      <c r="I2828" s="27"/>
      <c r="J2828" s="23"/>
      <c r="K2828" s="30"/>
      <c r="L2828" s="23"/>
      <c r="M2828" s="20"/>
      <c r="N2828" s="20"/>
      <c r="O2828" s="20"/>
      <c r="P2828" s="20"/>
    </row>
    <row r="2829">
      <c r="A2829" s="10"/>
      <c r="B2829" s="11"/>
      <c r="C2829" s="10"/>
      <c r="D2829" s="13"/>
      <c r="E2829" s="14"/>
      <c r="F2829" s="14"/>
      <c r="G2829" s="14"/>
      <c r="H2829" s="10"/>
      <c r="I2829" s="17"/>
      <c r="J2829" s="10"/>
      <c r="K2829" s="46"/>
      <c r="L2829" s="10"/>
      <c r="M2829" s="20"/>
      <c r="N2829" s="20"/>
      <c r="O2829" s="20"/>
      <c r="P2829" s="20"/>
    </row>
    <row r="2830">
      <c r="A2830" s="23"/>
      <c r="B2830" s="21"/>
      <c r="C2830" s="23"/>
      <c r="D2830" s="24"/>
      <c r="E2830" s="14"/>
      <c r="F2830" s="14"/>
      <c r="G2830" s="14"/>
      <c r="H2830" s="23"/>
      <c r="I2830" s="27"/>
      <c r="J2830" s="23"/>
      <c r="K2830" s="30"/>
      <c r="L2830" s="23"/>
      <c r="M2830" s="20"/>
      <c r="N2830" s="20"/>
      <c r="O2830" s="20"/>
      <c r="P2830" s="20"/>
    </row>
    <row r="2831">
      <c r="A2831" s="10"/>
      <c r="B2831" s="11"/>
      <c r="C2831" s="10"/>
      <c r="D2831" s="13"/>
      <c r="E2831" s="14"/>
      <c r="F2831" s="14"/>
      <c r="G2831" s="14"/>
      <c r="H2831" s="10"/>
      <c r="I2831" s="17"/>
      <c r="J2831" s="10"/>
      <c r="K2831" s="46"/>
      <c r="L2831" s="10"/>
      <c r="M2831" s="20"/>
      <c r="N2831" s="20"/>
      <c r="O2831" s="20"/>
      <c r="P2831" s="20"/>
    </row>
    <row r="2832">
      <c r="A2832" s="23"/>
      <c r="B2832" s="21"/>
      <c r="C2832" s="23"/>
      <c r="D2832" s="24"/>
      <c r="E2832" s="14"/>
      <c r="F2832" s="14"/>
      <c r="G2832" s="14"/>
      <c r="H2832" s="23"/>
      <c r="I2832" s="27"/>
      <c r="J2832" s="23"/>
      <c r="K2832" s="30"/>
      <c r="L2832" s="23"/>
      <c r="M2832" s="20"/>
      <c r="N2832" s="20"/>
      <c r="O2832" s="20"/>
      <c r="P2832" s="20"/>
    </row>
    <row r="2833">
      <c r="A2833" s="10"/>
      <c r="B2833" s="11"/>
      <c r="C2833" s="10"/>
      <c r="D2833" s="13"/>
      <c r="E2833" s="14"/>
      <c r="F2833" s="14"/>
      <c r="G2833" s="14"/>
      <c r="H2833" s="10"/>
      <c r="I2833" s="17"/>
      <c r="J2833" s="10"/>
      <c r="K2833" s="46"/>
      <c r="L2833" s="10"/>
      <c r="M2833" s="20"/>
      <c r="N2833" s="20"/>
      <c r="O2833" s="20"/>
      <c r="P2833" s="20"/>
    </row>
    <row r="2834">
      <c r="A2834" s="23"/>
      <c r="B2834" s="21"/>
      <c r="C2834" s="23"/>
      <c r="D2834" s="24"/>
      <c r="E2834" s="14"/>
      <c r="F2834" s="14"/>
      <c r="G2834" s="14"/>
      <c r="H2834" s="23"/>
      <c r="I2834" s="27"/>
      <c r="J2834" s="23"/>
      <c r="K2834" s="30"/>
      <c r="L2834" s="23"/>
      <c r="M2834" s="20"/>
      <c r="N2834" s="20"/>
      <c r="O2834" s="20"/>
      <c r="P2834" s="20"/>
    </row>
    <row r="2835">
      <c r="A2835" s="10"/>
      <c r="B2835" s="11"/>
      <c r="C2835" s="10"/>
      <c r="D2835" s="13"/>
      <c r="E2835" s="14"/>
      <c r="F2835" s="14"/>
      <c r="G2835" s="14"/>
      <c r="H2835" s="10"/>
      <c r="I2835" s="17"/>
      <c r="J2835" s="10"/>
      <c r="K2835" s="46"/>
      <c r="L2835" s="10"/>
      <c r="M2835" s="20"/>
      <c r="N2835" s="20"/>
      <c r="O2835" s="20"/>
      <c r="P2835" s="20"/>
    </row>
    <row r="2836">
      <c r="A2836" s="23"/>
      <c r="B2836" s="21"/>
      <c r="C2836" s="23"/>
      <c r="D2836" s="24"/>
      <c r="E2836" s="14"/>
      <c r="F2836" s="14"/>
      <c r="G2836" s="14"/>
      <c r="H2836" s="23"/>
      <c r="I2836" s="27"/>
      <c r="J2836" s="23"/>
      <c r="K2836" s="30"/>
      <c r="L2836" s="23"/>
      <c r="M2836" s="20"/>
      <c r="N2836" s="20"/>
      <c r="O2836" s="20"/>
      <c r="P2836" s="20"/>
    </row>
    <row r="2837">
      <c r="A2837" s="10"/>
      <c r="B2837" s="11"/>
      <c r="C2837" s="10"/>
      <c r="D2837" s="13"/>
      <c r="E2837" s="14"/>
      <c r="F2837" s="14"/>
      <c r="G2837" s="14"/>
      <c r="H2837" s="10"/>
      <c r="I2837" s="17"/>
      <c r="J2837" s="10"/>
      <c r="K2837" s="46"/>
      <c r="L2837" s="10"/>
      <c r="M2837" s="20"/>
      <c r="N2837" s="20"/>
      <c r="O2837" s="20"/>
      <c r="P2837" s="20"/>
    </row>
    <row r="2838">
      <c r="A2838" s="23"/>
      <c r="B2838" s="21"/>
      <c r="C2838" s="23"/>
      <c r="D2838" s="24"/>
      <c r="E2838" s="14"/>
      <c r="F2838" s="14"/>
      <c r="G2838" s="14"/>
      <c r="H2838" s="23"/>
      <c r="I2838" s="27"/>
      <c r="J2838" s="23"/>
      <c r="K2838" s="30"/>
      <c r="L2838" s="23"/>
      <c r="M2838" s="20"/>
      <c r="N2838" s="20"/>
      <c r="O2838" s="20"/>
      <c r="P2838" s="20"/>
    </row>
    <row r="2839">
      <c r="A2839" s="10"/>
      <c r="B2839" s="11"/>
      <c r="C2839" s="10"/>
      <c r="D2839" s="13"/>
      <c r="E2839" s="14"/>
      <c r="F2839" s="14"/>
      <c r="G2839" s="14"/>
      <c r="H2839" s="10"/>
      <c r="I2839" s="17"/>
      <c r="J2839" s="10"/>
      <c r="K2839" s="46"/>
      <c r="L2839" s="10"/>
      <c r="M2839" s="20"/>
      <c r="N2839" s="20"/>
      <c r="O2839" s="20"/>
      <c r="P2839" s="20"/>
    </row>
    <row r="2840">
      <c r="A2840" s="23"/>
      <c r="B2840" s="21"/>
      <c r="C2840" s="23"/>
      <c r="D2840" s="24"/>
      <c r="E2840" s="14"/>
      <c r="F2840" s="14"/>
      <c r="G2840" s="14"/>
      <c r="H2840" s="23"/>
      <c r="I2840" s="27"/>
      <c r="J2840" s="23"/>
      <c r="K2840" s="30"/>
      <c r="L2840" s="23"/>
      <c r="M2840" s="20"/>
      <c r="N2840" s="20"/>
      <c r="O2840" s="20"/>
      <c r="P2840" s="20"/>
    </row>
    <row r="2841">
      <c r="A2841" s="10"/>
      <c r="B2841" s="11"/>
      <c r="C2841" s="10"/>
      <c r="D2841" s="13"/>
      <c r="E2841" s="14"/>
      <c r="F2841" s="14"/>
      <c r="G2841" s="14"/>
      <c r="H2841" s="10"/>
      <c r="I2841" s="17"/>
      <c r="J2841" s="10"/>
      <c r="K2841" s="46"/>
      <c r="L2841" s="10"/>
      <c r="M2841" s="20"/>
      <c r="N2841" s="20"/>
      <c r="O2841" s="20"/>
      <c r="P2841" s="20"/>
    </row>
    <row r="2842">
      <c r="A2842" s="23"/>
      <c r="B2842" s="21"/>
      <c r="C2842" s="23"/>
      <c r="D2842" s="24"/>
      <c r="E2842" s="14"/>
      <c r="F2842" s="14"/>
      <c r="G2842" s="14"/>
      <c r="H2842" s="23"/>
      <c r="I2842" s="27"/>
      <c r="J2842" s="23"/>
      <c r="K2842" s="30"/>
      <c r="L2842" s="23"/>
      <c r="M2842" s="20"/>
      <c r="N2842" s="20"/>
      <c r="O2842" s="20"/>
      <c r="P2842" s="20"/>
    </row>
    <row r="2843">
      <c r="A2843" s="10"/>
      <c r="B2843" s="11"/>
      <c r="C2843" s="10"/>
      <c r="D2843" s="13"/>
      <c r="E2843" s="14"/>
      <c r="F2843" s="14"/>
      <c r="G2843" s="14"/>
      <c r="H2843" s="10"/>
      <c r="I2843" s="17"/>
      <c r="J2843" s="10"/>
      <c r="K2843" s="46"/>
      <c r="L2843" s="10"/>
      <c r="M2843" s="20"/>
      <c r="N2843" s="20"/>
      <c r="O2843" s="20"/>
      <c r="P2843" s="20"/>
    </row>
    <row r="2844">
      <c r="A2844" s="23"/>
      <c r="B2844" s="21"/>
      <c r="C2844" s="23"/>
      <c r="D2844" s="24"/>
      <c r="E2844" s="14"/>
      <c r="F2844" s="14"/>
      <c r="G2844" s="14"/>
      <c r="H2844" s="23"/>
      <c r="I2844" s="27"/>
      <c r="J2844" s="23"/>
      <c r="K2844" s="30"/>
      <c r="L2844" s="23"/>
      <c r="M2844" s="20"/>
      <c r="N2844" s="20"/>
      <c r="O2844" s="20"/>
      <c r="P2844" s="20"/>
    </row>
    <row r="2845">
      <c r="A2845" s="10"/>
      <c r="B2845" s="11"/>
      <c r="C2845" s="10"/>
      <c r="D2845" s="13"/>
      <c r="E2845" s="14"/>
      <c r="F2845" s="14"/>
      <c r="G2845" s="14"/>
      <c r="H2845" s="10"/>
      <c r="I2845" s="17"/>
      <c r="J2845" s="10"/>
      <c r="K2845" s="46"/>
      <c r="L2845" s="10"/>
      <c r="M2845" s="20"/>
      <c r="N2845" s="20"/>
      <c r="O2845" s="20"/>
      <c r="P2845" s="20"/>
    </row>
    <row r="2846">
      <c r="A2846" s="23"/>
      <c r="B2846" s="21"/>
      <c r="C2846" s="23"/>
      <c r="D2846" s="24"/>
      <c r="E2846" s="14"/>
      <c r="F2846" s="14"/>
      <c r="G2846" s="14"/>
      <c r="H2846" s="23"/>
      <c r="I2846" s="27"/>
      <c r="J2846" s="23"/>
      <c r="K2846" s="30"/>
      <c r="L2846" s="23"/>
      <c r="M2846" s="20"/>
      <c r="N2846" s="20"/>
      <c r="O2846" s="20"/>
      <c r="P2846" s="20"/>
    </row>
    <row r="2847">
      <c r="A2847" s="10"/>
      <c r="B2847" s="11"/>
      <c r="C2847" s="10"/>
      <c r="D2847" s="13"/>
      <c r="E2847" s="14"/>
      <c r="F2847" s="14"/>
      <c r="G2847" s="14"/>
      <c r="H2847" s="10"/>
      <c r="I2847" s="17"/>
      <c r="J2847" s="10"/>
      <c r="K2847" s="46"/>
      <c r="L2847" s="10"/>
      <c r="M2847" s="20"/>
      <c r="N2847" s="20"/>
      <c r="O2847" s="20"/>
      <c r="P2847" s="20"/>
    </row>
    <row r="2848">
      <c r="A2848" s="23"/>
      <c r="B2848" s="21"/>
      <c r="C2848" s="23"/>
      <c r="D2848" s="24"/>
      <c r="E2848" s="14"/>
      <c r="F2848" s="14"/>
      <c r="G2848" s="14"/>
      <c r="H2848" s="23"/>
      <c r="I2848" s="27"/>
      <c r="J2848" s="23"/>
      <c r="K2848" s="30"/>
      <c r="L2848" s="23"/>
      <c r="M2848" s="20"/>
      <c r="N2848" s="20"/>
      <c r="O2848" s="20"/>
      <c r="P2848" s="20"/>
    </row>
    <row r="2849">
      <c r="A2849" s="10"/>
      <c r="B2849" s="11"/>
      <c r="C2849" s="10"/>
      <c r="D2849" s="13"/>
      <c r="E2849" s="14"/>
      <c r="F2849" s="14"/>
      <c r="G2849" s="14"/>
      <c r="H2849" s="10"/>
      <c r="I2849" s="17"/>
      <c r="J2849" s="10"/>
      <c r="K2849" s="46"/>
      <c r="L2849" s="10"/>
      <c r="M2849" s="20"/>
      <c r="N2849" s="20"/>
      <c r="O2849" s="20"/>
      <c r="P2849" s="20"/>
    </row>
    <row r="2850">
      <c r="A2850" s="23"/>
      <c r="B2850" s="21"/>
      <c r="C2850" s="23"/>
      <c r="D2850" s="24"/>
      <c r="E2850" s="14"/>
      <c r="F2850" s="14"/>
      <c r="G2850" s="14"/>
      <c r="H2850" s="23"/>
      <c r="I2850" s="27"/>
      <c r="J2850" s="23"/>
      <c r="K2850" s="30"/>
      <c r="L2850" s="23"/>
      <c r="M2850" s="20"/>
      <c r="N2850" s="20"/>
      <c r="O2850" s="20"/>
      <c r="P2850" s="20"/>
    </row>
    <row r="2851">
      <c r="A2851" s="10"/>
      <c r="B2851" s="11"/>
      <c r="C2851" s="10"/>
      <c r="D2851" s="13"/>
      <c r="E2851" s="14"/>
      <c r="F2851" s="14"/>
      <c r="G2851" s="14"/>
      <c r="H2851" s="10"/>
      <c r="I2851" s="17"/>
      <c r="J2851" s="10"/>
      <c r="K2851" s="46"/>
      <c r="L2851" s="10"/>
      <c r="M2851" s="20"/>
      <c r="N2851" s="20"/>
      <c r="O2851" s="20"/>
      <c r="P2851" s="20"/>
    </row>
    <row r="2852">
      <c r="A2852" s="23"/>
      <c r="B2852" s="21"/>
      <c r="C2852" s="23"/>
      <c r="D2852" s="24"/>
      <c r="E2852" s="14"/>
      <c r="F2852" s="14"/>
      <c r="G2852" s="14"/>
      <c r="H2852" s="23"/>
      <c r="I2852" s="27"/>
      <c r="J2852" s="23"/>
      <c r="K2852" s="30"/>
      <c r="L2852" s="23"/>
      <c r="M2852" s="20"/>
      <c r="N2852" s="20"/>
      <c r="O2852" s="20"/>
      <c r="P2852" s="20"/>
    </row>
    <row r="2853">
      <c r="A2853" s="10"/>
      <c r="B2853" s="11"/>
      <c r="C2853" s="10"/>
      <c r="D2853" s="13"/>
      <c r="E2853" s="14"/>
      <c r="F2853" s="14"/>
      <c r="G2853" s="14"/>
      <c r="H2853" s="10"/>
      <c r="I2853" s="17"/>
      <c r="J2853" s="10"/>
      <c r="K2853" s="46"/>
      <c r="L2853" s="10"/>
      <c r="M2853" s="20"/>
      <c r="N2853" s="20"/>
      <c r="O2853" s="20"/>
      <c r="P2853" s="20"/>
    </row>
    <row r="2854">
      <c r="A2854" s="23"/>
      <c r="B2854" s="21"/>
      <c r="C2854" s="23"/>
      <c r="D2854" s="24"/>
      <c r="E2854" s="14"/>
      <c r="F2854" s="14"/>
      <c r="G2854" s="14"/>
      <c r="H2854" s="23"/>
      <c r="I2854" s="27"/>
      <c r="J2854" s="23"/>
      <c r="K2854" s="30"/>
      <c r="L2854" s="23"/>
      <c r="M2854" s="20"/>
      <c r="N2854" s="20"/>
      <c r="O2854" s="20"/>
      <c r="P2854" s="20"/>
    </row>
    <row r="2855">
      <c r="A2855" s="10"/>
      <c r="B2855" s="11"/>
      <c r="C2855" s="10"/>
      <c r="D2855" s="13"/>
      <c r="E2855" s="14"/>
      <c r="F2855" s="14"/>
      <c r="G2855" s="14"/>
      <c r="H2855" s="10"/>
      <c r="I2855" s="17"/>
      <c r="J2855" s="10"/>
      <c r="K2855" s="46"/>
      <c r="L2855" s="10"/>
      <c r="M2855" s="20"/>
      <c r="N2855" s="20"/>
      <c r="O2855" s="20"/>
      <c r="P2855" s="20"/>
    </row>
    <row r="2856">
      <c r="A2856" s="23"/>
      <c r="B2856" s="21"/>
      <c r="C2856" s="23"/>
      <c r="D2856" s="24"/>
      <c r="E2856" s="14"/>
      <c r="F2856" s="14"/>
      <c r="G2856" s="14"/>
      <c r="H2856" s="23"/>
      <c r="I2856" s="27"/>
      <c r="J2856" s="23"/>
      <c r="K2856" s="30"/>
      <c r="L2856" s="23"/>
      <c r="M2856" s="20"/>
      <c r="N2856" s="20"/>
      <c r="O2856" s="20"/>
      <c r="P2856" s="20"/>
    </row>
    <row r="2857">
      <c r="A2857" s="10"/>
      <c r="B2857" s="11"/>
      <c r="C2857" s="10"/>
      <c r="D2857" s="13"/>
      <c r="E2857" s="14"/>
      <c r="F2857" s="14"/>
      <c r="G2857" s="14"/>
      <c r="H2857" s="10"/>
      <c r="I2857" s="17"/>
      <c r="J2857" s="10"/>
      <c r="K2857" s="46"/>
      <c r="L2857" s="10"/>
      <c r="M2857" s="20"/>
      <c r="N2857" s="20"/>
      <c r="O2857" s="20"/>
      <c r="P2857" s="20"/>
    </row>
    <row r="2858">
      <c r="A2858" s="23"/>
      <c r="B2858" s="21"/>
      <c r="C2858" s="23"/>
      <c r="D2858" s="24"/>
      <c r="E2858" s="14"/>
      <c r="F2858" s="14"/>
      <c r="G2858" s="14"/>
      <c r="H2858" s="23"/>
      <c r="I2858" s="27"/>
      <c r="J2858" s="23"/>
      <c r="K2858" s="30"/>
      <c r="L2858" s="23"/>
      <c r="M2858" s="20"/>
      <c r="N2858" s="20"/>
      <c r="O2858" s="20"/>
      <c r="P2858" s="20"/>
    </row>
    <row r="2859">
      <c r="A2859" s="10"/>
      <c r="B2859" s="11"/>
      <c r="C2859" s="10"/>
      <c r="D2859" s="13"/>
      <c r="E2859" s="14"/>
      <c r="F2859" s="14"/>
      <c r="G2859" s="14"/>
      <c r="H2859" s="10"/>
      <c r="I2859" s="17"/>
      <c r="J2859" s="10"/>
      <c r="K2859" s="46"/>
      <c r="L2859" s="10"/>
      <c r="M2859" s="20"/>
      <c r="N2859" s="20"/>
      <c r="O2859" s="20"/>
      <c r="P2859" s="20"/>
    </row>
    <row r="2860">
      <c r="A2860" s="23"/>
      <c r="B2860" s="21"/>
      <c r="C2860" s="23"/>
      <c r="D2860" s="24"/>
      <c r="E2860" s="14"/>
      <c r="F2860" s="14"/>
      <c r="G2860" s="14"/>
      <c r="H2860" s="23"/>
      <c r="I2860" s="27"/>
      <c r="J2860" s="23"/>
      <c r="K2860" s="30"/>
      <c r="L2860" s="23"/>
      <c r="M2860" s="20"/>
      <c r="N2860" s="20"/>
      <c r="O2860" s="20"/>
      <c r="P2860" s="20"/>
    </row>
    <row r="2861">
      <c r="A2861" s="10"/>
      <c r="B2861" s="11"/>
      <c r="C2861" s="10"/>
      <c r="D2861" s="13"/>
      <c r="E2861" s="14"/>
      <c r="F2861" s="14"/>
      <c r="G2861" s="14"/>
      <c r="H2861" s="10"/>
      <c r="I2861" s="17"/>
      <c r="J2861" s="10"/>
      <c r="K2861" s="46"/>
      <c r="L2861" s="10"/>
      <c r="M2861" s="20"/>
      <c r="N2861" s="20"/>
      <c r="O2861" s="20"/>
      <c r="P2861" s="20"/>
    </row>
    <row r="2862">
      <c r="A2862" s="23"/>
      <c r="B2862" s="21"/>
      <c r="C2862" s="23"/>
      <c r="D2862" s="24"/>
      <c r="E2862" s="14"/>
      <c r="F2862" s="14"/>
      <c r="G2862" s="14"/>
      <c r="H2862" s="23"/>
      <c r="I2862" s="27"/>
      <c r="J2862" s="23"/>
      <c r="K2862" s="30"/>
      <c r="L2862" s="23"/>
      <c r="M2862" s="20"/>
      <c r="N2862" s="20"/>
      <c r="O2862" s="20"/>
      <c r="P2862" s="20"/>
    </row>
    <row r="2863">
      <c r="A2863" s="10"/>
      <c r="B2863" s="11"/>
      <c r="C2863" s="10"/>
      <c r="D2863" s="13"/>
      <c r="E2863" s="14"/>
      <c r="F2863" s="14"/>
      <c r="G2863" s="14"/>
      <c r="H2863" s="10"/>
      <c r="I2863" s="17"/>
      <c r="J2863" s="10"/>
      <c r="K2863" s="46"/>
      <c r="L2863" s="10"/>
      <c r="M2863" s="20"/>
      <c r="N2863" s="20"/>
      <c r="O2863" s="20"/>
      <c r="P2863" s="20"/>
    </row>
    <row r="2864">
      <c r="A2864" s="23"/>
      <c r="B2864" s="21"/>
      <c r="C2864" s="23"/>
      <c r="D2864" s="24"/>
      <c r="E2864" s="14"/>
      <c r="F2864" s="14"/>
      <c r="G2864" s="14"/>
      <c r="H2864" s="23"/>
      <c r="I2864" s="27"/>
      <c r="J2864" s="23"/>
      <c r="K2864" s="30"/>
      <c r="L2864" s="23"/>
      <c r="M2864" s="20"/>
      <c r="N2864" s="20"/>
      <c r="O2864" s="20"/>
      <c r="P2864" s="20"/>
    </row>
    <row r="2865">
      <c r="A2865" s="10"/>
      <c r="B2865" s="11"/>
      <c r="C2865" s="10"/>
      <c r="D2865" s="13"/>
      <c r="E2865" s="14"/>
      <c r="F2865" s="14"/>
      <c r="G2865" s="14"/>
      <c r="H2865" s="10"/>
      <c r="I2865" s="17"/>
      <c r="J2865" s="10"/>
      <c r="K2865" s="46"/>
      <c r="L2865" s="10"/>
      <c r="M2865" s="20"/>
      <c r="N2865" s="20"/>
      <c r="O2865" s="20"/>
      <c r="P2865" s="20"/>
    </row>
    <row r="2866">
      <c r="A2866" s="23"/>
      <c r="B2866" s="21"/>
      <c r="C2866" s="23"/>
      <c r="D2866" s="24"/>
      <c r="E2866" s="14"/>
      <c r="F2866" s="14"/>
      <c r="G2866" s="14"/>
      <c r="H2866" s="23"/>
      <c r="I2866" s="27"/>
      <c r="J2866" s="23"/>
      <c r="K2866" s="30"/>
      <c r="L2866" s="23"/>
      <c r="M2866" s="20"/>
      <c r="N2866" s="20"/>
      <c r="O2866" s="20"/>
      <c r="P2866" s="20"/>
    </row>
    <row r="2867">
      <c r="A2867" s="10"/>
      <c r="B2867" s="11"/>
      <c r="C2867" s="10"/>
      <c r="D2867" s="13"/>
      <c r="E2867" s="14"/>
      <c r="F2867" s="14"/>
      <c r="G2867" s="14"/>
      <c r="H2867" s="10"/>
      <c r="I2867" s="17"/>
      <c r="J2867" s="10"/>
      <c r="K2867" s="46"/>
      <c r="L2867" s="10"/>
      <c r="M2867" s="20"/>
      <c r="N2867" s="20"/>
      <c r="O2867" s="20"/>
      <c r="P2867" s="20"/>
    </row>
    <row r="2868">
      <c r="A2868" s="23"/>
      <c r="B2868" s="21"/>
      <c r="C2868" s="23"/>
      <c r="D2868" s="24"/>
      <c r="E2868" s="14"/>
      <c r="F2868" s="14"/>
      <c r="G2868" s="14"/>
      <c r="H2868" s="23"/>
      <c r="I2868" s="27"/>
      <c r="J2868" s="23"/>
      <c r="K2868" s="30"/>
      <c r="L2868" s="23"/>
      <c r="M2868" s="20"/>
      <c r="N2868" s="20"/>
      <c r="O2868" s="20"/>
      <c r="P2868" s="20"/>
    </row>
    <row r="2869">
      <c r="A2869" s="10"/>
      <c r="B2869" s="11"/>
      <c r="C2869" s="10"/>
      <c r="D2869" s="13"/>
      <c r="E2869" s="14"/>
      <c r="F2869" s="14"/>
      <c r="G2869" s="14"/>
      <c r="H2869" s="10"/>
      <c r="I2869" s="17"/>
      <c r="J2869" s="10"/>
      <c r="K2869" s="46"/>
      <c r="L2869" s="10"/>
      <c r="M2869" s="20"/>
      <c r="N2869" s="20"/>
      <c r="O2869" s="20"/>
      <c r="P2869" s="20"/>
    </row>
    <row r="2870">
      <c r="A2870" s="23"/>
      <c r="B2870" s="21"/>
      <c r="C2870" s="23"/>
      <c r="D2870" s="24"/>
      <c r="E2870" s="14"/>
      <c r="F2870" s="14"/>
      <c r="G2870" s="14"/>
      <c r="H2870" s="23"/>
      <c r="I2870" s="27"/>
      <c r="J2870" s="23"/>
      <c r="K2870" s="30"/>
      <c r="L2870" s="23"/>
      <c r="M2870" s="20"/>
      <c r="N2870" s="20"/>
      <c r="O2870" s="20"/>
      <c r="P2870" s="20"/>
    </row>
    <row r="2871">
      <c r="A2871" s="10"/>
      <c r="B2871" s="11"/>
      <c r="C2871" s="10"/>
      <c r="D2871" s="13"/>
      <c r="E2871" s="14"/>
      <c r="F2871" s="14"/>
      <c r="G2871" s="14"/>
      <c r="H2871" s="10"/>
      <c r="I2871" s="17"/>
      <c r="J2871" s="10"/>
      <c r="K2871" s="46"/>
      <c r="L2871" s="10"/>
      <c r="M2871" s="20"/>
      <c r="N2871" s="20"/>
      <c r="O2871" s="20"/>
      <c r="P2871" s="20"/>
    </row>
    <row r="2872">
      <c r="A2872" s="23"/>
      <c r="B2872" s="21"/>
      <c r="C2872" s="23"/>
      <c r="D2872" s="24"/>
      <c r="E2872" s="14"/>
      <c r="F2872" s="14"/>
      <c r="G2872" s="14"/>
      <c r="H2872" s="23"/>
      <c r="I2872" s="27"/>
      <c r="J2872" s="23"/>
      <c r="K2872" s="30"/>
      <c r="L2872" s="23"/>
      <c r="M2872" s="20"/>
      <c r="N2872" s="20"/>
      <c r="O2872" s="20"/>
      <c r="P2872" s="20"/>
    </row>
    <row r="2873">
      <c r="A2873" s="10"/>
      <c r="B2873" s="11"/>
      <c r="C2873" s="10"/>
      <c r="D2873" s="13"/>
      <c r="E2873" s="14"/>
      <c r="F2873" s="14"/>
      <c r="G2873" s="14"/>
      <c r="H2873" s="10"/>
      <c r="I2873" s="17"/>
      <c r="J2873" s="10"/>
      <c r="K2873" s="46"/>
      <c r="L2873" s="10"/>
      <c r="M2873" s="20"/>
      <c r="N2873" s="20"/>
      <c r="O2873" s="20"/>
      <c r="P2873" s="20"/>
    </row>
    <row r="2874">
      <c r="A2874" s="23"/>
      <c r="B2874" s="21"/>
      <c r="C2874" s="23"/>
      <c r="D2874" s="24"/>
      <c r="E2874" s="14"/>
      <c r="F2874" s="14"/>
      <c r="G2874" s="14"/>
      <c r="H2874" s="23"/>
      <c r="I2874" s="27"/>
      <c r="J2874" s="23"/>
      <c r="K2874" s="30"/>
      <c r="L2874" s="23"/>
      <c r="M2874" s="20"/>
      <c r="N2874" s="20"/>
      <c r="O2874" s="20"/>
      <c r="P2874" s="20"/>
    </row>
    <row r="2875">
      <c r="A2875" s="10"/>
      <c r="B2875" s="11"/>
      <c r="C2875" s="10"/>
      <c r="D2875" s="13"/>
      <c r="E2875" s="14"/>
      <c r="F2875" s="14"/>
      <c r="G2875" s="14"/>
      <c r="H2875" s="10"/>
      <c r="I2875" s="17"/>
      <c r="J2875" s="10"/>
      <c r="K2875" s="46"/>
      <c r="L2875" s="10"/>
      <c r="M2875" s="20"/>
      <c r="N2875" s="20"/>
      <c r="O2875" s="20"/>
      <c r="P2875" s="20"/>
    </row>
    <row r="2876">
      <c r="A2876" s="23"/>
      <c r="B2876" s="21"/>
      <c r="C2876" s="23"/>
      <c r="D2876" s="24"/>
      <c r="E2876" s="14"/>
      <c r="F2876" s="14"/>
      <c r="G2876" s="14"/>
      <c r="H2876" s="23"/>
      <c r="I2876" s="27"/>
      <c r="J2876" s="23"/>
      <c r="K2876" s="30"/>
      <c r="L2876" s="23"/>
      <c r="M2876" s="20"/>
      <c r="N2876" s="20"/>
      <c r="O2876" s="20"/>
      <c r="P2876" s="20"/>
    </row>
    <row r="2877">
      <c r="A2877" s="10"/>
      <c r="B2877" s="11"/>
      <c r="C2877" s="10"/>
      <c r="D2877" s="13"/>
      <c r="E2877" s="14"/>
      <c r="F2877" s="14"/>
      <c r="G2877" s="14"/>
      <c r="H2877" s="10"/>
      <c r="I2877" s="17"/>
      <c r="J2877" s="10"/>
      <c r="K2877" s="46"/>
      <c r="L2877" s="10"/>
      <c r="M2877" s="20"/>
      <c r="N2877" s="20"/>
      <c r="O2877" s="20"/>
      <c r="P2877" s="20"/>
    </row>
    <row r="2878">
      <c r="A2878" s="23"/>
      <c r="B2878" s="21"/>
      <c r="C2878" s="23"/>
      <c r="D2878" s="24"/>
      <c r="E2878" s="14"/>
      <c r="F2878" s="14"/>
      <c r="G2878" s="14"/>
      <c r="H2878" s="23"/>
      <c r="I2878" s="27"/>
      <c r="J2878" s="23"/>
      <c r="K2878" s="30"/>
      <c r="L2878" s="23"/>
      <c r="M2878" s="20"/>
      <c r="N2878" s="20"/>
      <c r="O2878" s="20"/>
      <c r="P2878" s="20"/>
    </row>
    <row r="2879">
      <c r="A2879" s="10"/>
      <c r="B2879" s="11"/>
      <c r="C2879" s="10"/>
      <c r="D2879" s="13"/>
      <c r="E2879" s="14"/>
      <c r="F2879" s="14"/>
      <c r="G2879" s="14"/>
      <c r="H2879" s="10"/>
      <c r="I2879" s="17"/>
      <c r="J2879" s="10"/>
      <c r="K2879" s="46"/>
      <c r="L2879" s="10"/>
      <c r="M2879" s="20"/>
      <c r="N2879" s="20"/>
      <c r="O2879" s="20"/>
      <c r="P2879" s="20"/>
    </row>
    <row r="2880">
      <c r="A2880" s="23"/>
      <c r="B2880" s="21"/>
      <c r="C2880" s="23"/>
      <c r="D2880" s="24"/>
      <c r="E2880" s="14"/>
      <c r="F2880" s="14"/>
      <c r="G2880" s="14"/>
      <c r="H2880" s="23"/>
      <c r="I2880" s="27"/>
      <c r="J2880" s="23"/>
      <c r="K2880" s="30"/>
      <c r="L2880" s="23"/>
      <c r="M2880" s="20"/>
      <c r="N2880" s="20"/>
      <c r="O2880" s="20"/>
      <c r="P2880" s="20"/>
    </row>
    <row r="2881">
      <c r="A2881" s="10"/>
      <c r="B2881" s="11"/>
      <c r="C2881" s="10"/>
      <c r="D2881" s="13"/>
      <c r="E2881" s="14"/>
      <c r="F2881" s="14"/>
      <c r="G2881" s="14"/>
      <c r="H2881" s="10"/>
      <c r="I2881" s="17"/>
      <c r="J2881" s="10"/>
      <c r="K2881" s="46"/>
      <c r="L2881" s="10"/>
      <c r="M2881" s="20"/>
      <c r="N2881" s="20"/>
      <c r="O2881" s="20"/>
      <c r="P2881" s="20"/>
    </row>
    <row r="2882">
      <c r="A2882" s="23"/>
      <c r="B2882" s="21"/>
      <c r="C2882" s="23"/>
      <c r="D2882" s="24"/>
      <c r="E2882" s="14"/>
      <c r="F2882" s="14"/>
      <c r="G2882" s="14"/>
      <c r="H2882" s="23"/>
      <c r="I2882" s="27"/>
      <c r="J2882" s="23"/>
      <c r="K2882" s="30"/>
      <c r="L2882" s="23"/>
      <c r="M2882" s="20"/>
      <c r="N2882" s="20"/>
      <c r="O2882" s="20"/>
      <c r="P2882" s="20"/>
    </row>
    <row r="2883">
      <c r="A2883" s="10"/>
      <c r="B2883" s="11"/>
      <c r="C2883" s="10"/>
      <c r="D2883" s="13"/>
      <c r="E2883" s="14"/>
      <c r="F2883" s="14"/>
      <c r="G2883" s="14"/>
      <c r="H2883" s="10"/>
      <c r="I2883" s="17"/>
      <c r="J2883" s="10"/>
      <c r="K2883" s="46"/>
      <c r="L2883" s="10"/>
      <c r="M2883" s="20"/>
      <c r="N2883" s="20"/>
      <c r="O2883" s="20"/>
      <c r="P2883" s="20"/>
    </row>
    <row r="2884">
      <c r="A2884" s="23"/>
      <c r="B2884" s="21"/>
      <c r="C2884" s="23"/>
      <c r="D2884" s="24"/>
      <c r="E2884" s="14"/>
      <c r="F2884" s="14"/>
      <c r="G2884" s="14"/>
      <c r="H2884" s="23"/>
      <c r="I2884" s="27"/>
      <c r="J2884" s="23"/>
      <c r="K2884" s="30"/>
      <c r="L2884" s="23"/>
      <c r="M2884" s="20"/>
      <c r="N2884" s="20"/>
      <c r="O2884" s="20"/>
      <c r="P2884" s="20"/>
    </row>
    <row r="2885">
      <c r="A2885" s="10"/>
      <c r="B2885" s="11"/>
      <c r="C2885" s="10"/>
      <c r="D2885" s="13"/>
      <c r="E2885" s="14"/>
      <c r="F2885" s="14"/>
      <c r="G2885" s="14"/>
      <c r="H2885" s="10"/>
      <c r="I2885" s="17"/>
      <c r="J2885" s="10"/>
      <c r="K2885" s="46"/>
      <c r="L2885" s="10"/>
      <c r="M2885" s="20"/>
      <c r="N2885" s="20"/>
      <c r="O2885" s="20"/>
      <c r="P2885" s="20"/>
    </row>
    <row r="2886">
      <c r="A2886" s="23"/>
      <c r="B2886" s="21"/>
      <c r="C2886" s="23"/>
      <c r="D2886" s="24"/>
      <c r="E2886" s="14"/>
      <c r="F2886" s="14"/>
      <c r="G2886" s="14"/>
      <c r="H2886" s="23"/>
      <c r="I2886" s="27"/>
      <c r="J2886" s="23"/>
      <c r="K2886" s="30"/>
      <c r="L2886" s="23"/>
      <c r="M2886" s="20"/>
      <c r="N2886" s="20"/>
      <c r="O2886" s="20"/>
      <c r="P2886" s="20"/>
    </row>
    <row r="2887">
      <c r="A2887" s="10"/>
      <c r="B2887" s="11"/>
      <c r="C2887" s="10"/>
      <c r="D2887" s="13"/>
      <c r="E2887" s="14"/>
      <c r="F2887" s="14"/>
      <c r="G2887" s="14"/>
      <c r="H2887" s="10"/>
      <c r="I2887" s="17"/>
      <c r="J2887" s="10"/>
      <c r="K2887" s="46"/>
      <c r="L2887" s="10"/>
      <c r="M2887" s="20"/>
      <c r="N2887" s="20"/>
      <c r="O2887" s="20"/>
      <c r="P2887" s="20"/>
    </row>
    <row r="2888">
      <c r="A2888" s="23"/>
      <c r="B2888" s="21"/>
      <c r="C2888" s="23"/>
      <c r="D2888" s="24"/>
      <c r="E2888" s="14"/>
      <c r="F2888" s="14"/>
      <c r="G2888" s="14"/>
      <c r="H2888" s="23"/>
      <c r="I2888" s="27"/>
      <c r="J2888" s="23"/>
      <c r="K2888" s="30"/>
      <c r="L2888" s="23"/>
      <c r="M2888" s="20"/>
      <c r="N2888" s="20"/>
      <c r="O2888" s="20"/>
      <c r="P2888" s="20"/>
    </row>
    <row r="2889">
      <c r="A2889" s="10"/>
      <c r="B2889" s="11"/>
      <c r="C2889" s="10"/>
      <c r="D2889" s="13"/>
      <c r="E2889" s="14"/>
      <c r="F2889" s="14"/>
      <c r="G2889" s="14"/>
      <c r="H2889" s="10"/>
      <c r="I2889" s="17"/>
      <c r="J2889" s="10"/>
      <c r="K2889" s="46"/>
      <c r="L2889" s="10"/>
      <c r="M2889" s="20"/>
      <c r="N2889" s="20"/>
      <c r="O2889" s="20"/>
      <c r="P2889" s="20"/>
    </row>
    <row r="2890">
      <c r="A2890" s="23"/>
      <c r="B2890" s="21"/>
      <c r="C2890" s="23"/>
      <c r="D2890" s="24"/>
      <c r="E2890" s="14"/>
      <c r="F2890" s="14"/>
      <c r="G2890" s="14"/>
      <c r="H2890" s="23"/>
      <c r="I2890" s="27"/>
      <c r="J2890" s="23"/>
      <c r="K2890" s="30"/>
      <c r="L2890" s="23"/>
      <c r="M2890" s="20"/>
      <c r="N2890" s="20"/>
      <c r="O2890" s="20"/>
      <c r="P2890" s="20"/>
    </row>
    <row r="2891">
      <c r="A2891" s="10"/>
      <c r="B2891" s="11"/>
      <c r="C2891" s="10"/>
      <c r="D2891" s="13"/>
      <c r="E2891" s="14"/>
      <c r="F2891" s="14"/>
      <c r="G2891" s="14"/>
      <c r="H2891" s="10"/>
      <c r="I2891" s="17"/>
      <c r="J2891" s="10"/>
      <c r="K2891" s="46"/>
      <c r="L2891" s="10"/>
      <c r="M2891" s="20"/>
      <c r="N2891" s="20"/>
      <c r="O2891" s="20"/>
      <c r="P2891" s="20"/>
    </row>
    <row r="2892">
      <c r="A2892" s="23"/>
      <c r="B2892" s="21"/>
      <c r="C2892" s="23"/>
      <c r="D2892" s="24"/>
      <c r="E2892" s="14"/>
      <c r="F2892" s="14"/>
      <c r="G2892" s="14"/>
      <c r="H2892" s="23"/>
      <c r="I2892" s="27"/>
      <c r="J2892" s="23"/>
      <c r="K2892" s="30"/>
      <c r="L2892" s="23"/>
      <c r="M2892" s="20"/>
      <c r="N2892" s="20"/>
      <c r="O2892" s="20"/>
      <c r="P2892" s="20"/>
    </row>
    <row r="2893">
      <c r="A2893" s="10"/>
      <c r="B2893" s="11"/>
      <c r="C2893" s="10"/>
      <c r="D2893" s="13"/>
      <c r="E2893" s="14"/>
      <c r="F2893" s="14"/>
      <c r="G2893" s="14"/>
      <c r="H2893" s="10"/>
      <c r="I2893" s="17"/>
      <c r="J2893" s="10"/>
      <c r="K2893" s="46"/>
      <c r="L2893" s="10"/>
      <c r="M2893" s="20"/>
      <c r="N2893" s="20"/>
      <c r="O2893" s="20"/>
      <c r="P2893" s="20"/>
    </row>
    <row r="2894">
      <c r="A2894" s="23"/>
      <c r="B2894" s="21"/>
      <c r="C2894" s="23"/>
      <c r="D2894" s="24"/>
      <c r="E2894" s="14"/>
      <c r="F2894" s="14"/>
      <c r="G2894" s="14"/>
      <c r="H2894" s="23"/>
      <c r="I2894" s="27"/>
      <c r="J2894" s="23"/>
      <c r="K2894" s="30"/>
      <c r="L2894" s="23"/>
      <c r="M2894" s="20"/>
      <c r="N2894" s="20"/>
      <c r="O2894" s="20"/>
      <c r="P2894" s="20"/>
    </row>
    <row r="2895">
      <c r="A2895" s="10"/>
      <c r="B2895" s="11"/>
      <c r="C2895" s="10"/>
      <c r="D2895" s="13"/>
      <c r="E2895" s="14"/>
      <c r="F2895" s="14"/>
      <c r="G2895" s="14"/>
      <c r="H2895" s="10"/>
      <c r="I2895" s="17"/>
      <c r="J2895" s="10"/>
      <c r="K2895" s="46"/>
      <c r="L2895" s="10"/>
      <c r="M2895" s="20"/>
      <c r="N2895" s="20"/>
      <c r="O2895" s="20"/>
      <c r="P2895" s="20"/>
    </row>
    <row r="2896">
      <c r="A2896" s="23"/>
      <c r="B2896" s="21"/>
      <c r="C2896" s="23"/>
      <c r="D2896" s="24"/>
      <c r="E2896" s="14"/>
      <c r="F2896" s="14"/>
      <c r="G2896" s="14"/>
      <c r="H2896" s="23"/>
      <c r="I2896" s="27"/>
      <c r="J2896" s="23"/>
      <c r="K2896" s="30"/>
      <c r="L2896" s="23"/>
      <c r="M2896" s="20"/>
      <c r="N2896" s="20"/>
      <c r="O2896" s="20"/>
      <c r="P2896" s="20"/>
    </row>
    <row r="2897">
      <c r="A2897" s="10"/>
      <c r="B2897" s="11"/>
      <c r="C2897" s="10"/>
      <c r="D2897" s="13"/>
      <c r="E2897" s="14"/>
      <c r="F2897" s="14"/>
      <c r="G2897" s="14"/>
      <c r="H2897" s="10"/>
      <c r="I2897" s="17"/>
      <c r="J2897" s="10"/>
      <c r="K2897" s="46"/>
      <c r="L2897" s="10"/>
      <c r="M2897" s="20"/>
      <c r="N2897" s="20"/>
      <c r="O2897" s="20"/>
      <c r="P2897" s="20"/>
    </row>
    <row r="2898">
      <c r="A2898" s="23"/>
      <c r="B2898" s="21"/>
      <c r="C2898" s="23"/>
      <c r="D2898" s="24"/>
      <c r="E2898" s="14"/>
      <c r="F2898" s="14"/>
      <c r="G2898" s="14"/>
      <c r="H2898" s="23"/>
      <c r="I2898" s="27"/>
      <c r="J2898" s="23"/>
      <c r="K2898" s="30"/>
      <c r="L2898" s="23"/>
      <c r="M2898" s="20"/>
      <c r="N2898" s="20"/>
      <c r="O2898" s="20"/>
      <c r="P2898" s="20"/>
    </row>
    <row r="2899">
      <c r="A2899" s="10"/>
      <c r="B2899" s="11"/>
      <c r="C2899" s="10"/>
      <c r="D2899" s="13"/>
      <c r="E2899" s="14"/>
      <c r="F2899" s="14"/>
      <c r="G2899" s="14"/>
      <c r="H2899" s="10"/>
      <c r="I2899" s="17"/>
      <c r="J2899" s="10"/>
      <c r="K2899" s="46"/>
      <c r="L2899" s="10"/>
      <c r="M2899" s="20"/>
      <c r="N2899" s="20"/>
      <c r="O2899" s="20"/>
      <c r="P2899" s="20"/>
    </row>
    <row r="2900">
      <c r="A2900" s="23"/>
      <c r="B2900" s="21"/>
      <c r="C2900" s="23"/>
      <c r="D2900" s="24"/>
      <c r="E2900" s="14"/>
      <c r="F2900" s="14"/>
      <c r="G2900" s="14"/>
      <c r="H2900" s="23"/>
      <c r="I2900" s="27"/>
      <c r="J2900" s="23"/>
      <c r="K2900" s="30"/>
      <c r="L2900" s="23"/>
      <c r="M2900" s="20"/>
      <c r="N2900" s="20"/>
      <c r="O2900" s="20"/>
      <c r="P2900" s="20"/>
    </row>
    <row r="2901">
      <c r="A2901" s="10"/>
      <c r="B2901" s="11"/>
      <c r="C2901" s="10"/>
      <c r="D2901" s="13"/>
      <c r="E2901" s="14"/>
      <c r="F2901" s="14"/>
      <c r="G2901" s="14"/>
      <c r="H2901" s="10"/>
      <c r="I2901" s="17"/>
      <c r="J2901" s="10"/>
      <c r="K2901" s="46"/>
      <c r="L2901" s="10"/>
      <c r="M2901" s="20"/>
      <c r="N2901" s="20"/>
      <c r="O2901" s="20"/>
      <c r="P2901" s="20"/>
    </row>
    <row r="2902">
      <c r="A2902" s="23"/>
      <c r="B2902" s="21"/>
      <c r="C2902" s="23"/>
      <c r="D2902" s="24"/>
      <c r="E2902" s="14"/>
      <c r="F2902" s="14"/>
      <c r="G2902" s="14"/>
      <c r="H2902" s="23"/>
      <c r="I2902" s="27"/>
      <c r="J2902" s="23"/>
      <c r="K2902" s="30"/>
      <c r="L2902" s="23"/>
      <c r="M2902" s="20"/>
      <c r="N2902" s="20"/>
      <c r="O2902" s="20"/>
      <c r="P2902" s="20"/>
    </row>
    <row r="2903">
      <c r="A2903" s="10"/>
      <c r="B2903" s="11"/>
      <c r="C2903" s="10"/>
      <c r="D2903" s="13"/>
      <c r="E2903" s="14"/>
      <c r="F2903" s="14"/>
      <c r="G2903" s="14"/>
      <c r="H2903" s="10"/>
      <c r="I2903" s="17"/>
      <c r="J2903" s="10"/>
      <c r="K2903" s="46"/>
      <c r="L2903" s="10"/>
      <c r="M2903" s="20"/>
      <c r="N2903" s="20"/>
      <c r="O2903" s="20"/>
      <c r="P2903" s="20"/>
    </row>
    <row r="2904">
      <c r="A2904" s="23"/>
      <c r="B2904" s="21"/>
      <c r="C2904" s="23"/>
      <c r="D2904" s="24"/>
      <c r="E2904" s="14"/>
      <c r="F2904" s="14"/>
      <c r="G2904" s="14"/>
      <c r="H2904" s="23"/>
      <c r="I2904" s="27"/>
      <c r="J2904" s="23"/>
      <c r="K2904" s="30"/>
      <c r="L2904" s="23"/>
      <c r="M2904" s="20"/>
      <c r="N2904" s="20"/>
      <c r="O2904" s="20"/>
      <c r="P2904" s="20"/>
    </row>
    <row r="2905">
      <c r="A2905" s="10"/>
      <c r="B2905" s="11"/>
      <c r="C2905" s="10"/>
      <c r="D2905" s="13"/>
      <c r="E2905" s="14"/>
      <c r="F2905" s="14"/>
      <c r="G2905" s="14"/>
      <c r="H2905" s="10"/>
      <c r="I2905" s="17"/>
      <c r="J2905" s="10"/>
      <c r="K2905" s="46"/>
      <c r="L2905" s="10"/>
      <c r="M2905" s="20"/>
      <c r="N2905" s="20"/>
      <c r="O2905" s="20"/>
      <c r="P2905" s="20"/>
    </row>
    <row r="2906">
      <c r="A2906" s="23"/>
      <c r="B2906" s="21"/>
      <c r="C2906" s="23"/>
      <c r="D2906" s="24"/>
      <c r="E2906" s="14"/>
      <c r="F2906" s="14"/>
      <c r="G2906" s="14"/>
      <c r="H2906" s="23"/>
      <c r="I2906" s="27"/>
      <c r="J2906" s="23"/>
      <c r="K2906" s="30"/>
      <c r="L2906" s="23"/>
      <c r="M2906" s="20"/>
      <c r="N2906" s="20"/>
      <c r="O2906" s="20"/>
      <c r="P2906" s="20"/>
    </row>
    <row r="2907">
      <c r="A2907" s="10"/>
      <c r="B2907" s="11"/>
      <c r="C2907" s="10"/>
      <c r="D2907" s="13"/>
      <c r="E2907" s="14"/>
      <c r="F2907" s="14"/>
      <c r="G2907" s="14"/>
      <c r="H2907" s="10"/>
      <c r="I2907" s="17"/>
      <c r="J2907" s="10"/>
      <c r="K2907" s="46"/>
      <c r="L2907" s="10"/>
      <c r="M2907" s="20"/>
      <c r="N2907" s="20"/>
      <c r="O2907" s="20"/>
      <c r="P2907" s="20"/>
    </row>
    <row r="2908">
      <c r="A2908" s="23"/>
      <c r="B2908" s="21"/>
      <c r="C2908" s="23"/>
      <c r="D2908" s="24"/>
      <c r="E2908" s="14"/>
      <c r="F2908" s="14"/>
      <c r="G2908" s="14"/>
      <c r="H2908" s="23"/>
      <c r="I2908" s="27"/>
      <c r="J2908" s="23"/>
      <c r="K2908" s="30"/>
      <c r="L2908" s="23"/>
      <c r="M2908" s="20"/>
      <c r="N2908" s="20"/>
      <c r="O2908" s="20"/>
      <c r="P2908" s="20"/>
    </row>
    <row r="2909">
      <c r="A2909" s="10"/>
      <c r="B2909" s="11"/>
      <c r="C2909" s="10"/>
      <c r="D2909" s="13"/>
      <c r="E2909" s="14"/>
      <c r="F2909" s="14"/>
      <c r="G2909" s="14"/>
      <c r="H2909" s="10"/>
      <c r="I2909" s="17"/>
      <c r="J2909" s="10"/>
      <c r="K2909" s="46"/>
      <c r="L2909" s="10"/>
      <c r="M2909" s="20"/>
      <c r="N2909" s="20"/>
      <c r="O2909" s="20"/>
      <c r="P2909" s="20"/>
    </row>
    <row r="2910">
      <c r="A2910" s="23"/>
      <c r="B2910" s="21"/>
      <c r="C2910" s="23"/>
      <c r="D2910" s="24"/>
      <c r="E2910" s="14"/>
      <c r="F2910" s="14"/>
      <c r="G2910" s="14"/>
      <c r="H2910" s="23"/>
      <c r="I2910" s="27"/>
      <c r="J2910" s="23"/>
      <c r="K2910" s="30"/>
      <c r="L2910" s="23"/>
      <c r="M2910" s="20"/>
      <c r="N2910" s="20"/>
      <c r="O2910" s="20"/>
      <c r="P2910" s="20"/>
    </row>
    <row r="2911">
      <c r="A2911" s="10"/>
      <c r="B2911" s="11"/>
      <c r="C2911" s="10"/>
      <c r="D2911" s="13"/>
      <c r="E2911" s="14"/>
      <c r="F2911" s="14"/>
      <c r="G2911" s="14"/>
      <c r="H2911" s="10"/>
      <c r="I2911" s="17"/>
      <c r="J2911" s="10"/>
      <c r="K2911" s="46"/>
      <c r="L2911" s="10"/>
      <c r="M2911" s="20"/>
      <c r="N2911" s="20"/>
      <c r="O2911" s="20"/>
      <c r="P2911" s="20"/>
    </row>
    <row r="2912">
      <c r="A2912" s="23"/>
      <c r="B2912" s="21"/>
      <c r="C2912" s="23"/>
      <c r="D2912" s="24"/>
      <c r="E2912" s="14"/>
      <c r="F2912" s="14"/>
      <c r="G2912" s="14"/>
      <c r="H2912" s="23"/>
      <c r="I2912" s="27"/>
      <c r="J2912" s="23"/>
      <c r="K2912" s="30"/>
      <c r="L2912" s="23"/>
      <c r="M2912" s="20"/>
      <c r="N2912" s="20"/>
      <c r="O2912" s="20"/>
      <c r="P2912" s="20"/>
    </row>
    <row r="2913">
      <c r="A2913" s="10"/>
      <c r="B2913" s="11"/>
      <c r="C2913" s="10"/>
      <c r="D2913" s="13"/>
      <c r="E2913" s="14"/>
      <c r="F2913" s="14"/>
      <c r="G2913" s="14"/>
      <c r="H2913" s="10"/>
      <c r="I2913" s="17"/>
      <c r="J2913" s="10"/>
      <c r="K2913" s="46"/>
      <c r="L2913" s="10"/>
      <c r="M2913" s="20"/>
      <c r="N2913" s="20"/>
      <c r="O2913" s="20"/>
      <c r="P2913" s="20"/>
    </row>
    <row r="2914">
      <c r="A2914" s="23"/>
      <c r="B2914" s="21"/>
      <c r="C2914" s="23"/>
      <c r="D2914" s="24"/>
      <c r="E2914" s="14"/>
      <c r="F2914" s="14"/>
      <c r="G2914" s="14"/>
      <c r="H2914" s="23"/>
      <c r="I2914" s="27"/>
      <c r="J2914" s="23"/>
      <c r="K2914" s="30"/>
      <c r="L2914" s="23"/>
      <c r="M2914" s="20"/>
      <c r="N2914" s="20"/>
      <c r="O2914" s="20"/>
      <c r="P2914" s="20"/>
    </row>
    <row r="2915">
      <c r="A2915" s="10"/>
      <c r="B2915" s="11"/>
      <c r="C2915" s="10"/>
      <c r="D2915" s="13"/>
      <c r="E2915" s="14"/>
      <c r="F2915" s="14"/>
      <c r="G2915" s="14"/>
      <c r="H2915" s="10"/>
      <c r="I2915" s="17"/>
      <c r="J2915" s="10"/>
      <c r="K2915" s="46"/>
      <c r="L2915" s="10"/>
      <c r="M2915" s="20"/>
      <c r="N2915" s="20"/>
      <c r="O2915" s="20"/>
      <c r="P2915" s="20"/>
    </row>
    <row r="2916">
      <c r="A2916" s="23"/>
      <c r="B2916" s="21"/>
      <c r="C2916" s="23"/>
      <c r="D2916" s="24"/>
      <c r="E2916" s="14"/>
      <c r="F2916" s="14"/>
      <c r="G2916" s="14"/>
      <c r="H2916" s="23"/>
      <c r="I2916" s="27"/>
      <c r="J2916" s="23"/>
      <c r="K2916" s="30"/>
      <c r="L2916" s="23"/>
      <c r="M2916" s="20"/>
      <c r="N2916" s="20"/>
      <c r="O2916" s="20"/>
      <c r="P2916" s="20"/>
    </row>
    <row r="2917">
      <c r="A2917" s="10"/>
      <c r="B2917" s="11"/>
      <c r="C2917" s="10"/>
      <c r="D2917" s="13"/>
      <c r="E2917" s="14"/>
      <c r="F2917" s="14"/>
      <c r="G2917" s="14"/>
      <c r="H2917" s="10"/>
      <c r="I2917" s="17"/>
      <c r="J2917" s="10"/>
      <c r="K2917" s="46"/>
      <c r="L2917" s="10"/>
      <c r="M2917" s="20"/>
      <c r="N2917" s="20"/>
      <c r="O2917" s="20"/>
      <c r="P2917" s="20"/>
    </row>
    <row r="2918">
      <c r="A2918" s="23"/>
      <c r="B2918" s="21"/>
      <c r="C2918" s="23"/>
      <c r="D2918" s="24"/>
      <c r="E2918" s="14"/>
      <c r="F2918" s="14"/>
      <c r="G2918" s="14"/>
      <c r="H2918" s="23"/>
      <c r="I2918" s="27"/>
      <c r="J2918" s="23"/>
      <c r="K2918" s="30"/>
      <c r="L2918" s="23"/>
      <c r="M2918" s="20"/>
      <c r="N2918" s="20"/>
      <c r="O2918" s="20"/>
      <c r="P2918" s="20"/>
    </row>
    <row r="2919">
      <c r="A2919" s="10"/>
      <c r="B2919" s="11"/>
      <c r="C2919" s="10"/>
      <c r="D2919" s="13"/>
      <c r="E2919" s="14"/>
      <c r="F2919" s="14"/>
      <c r="G2919" s="14"/>
      <c r="H2919" s="10"/>
      <c r="I2919" s="17"/>
      <c r="J2919" s="10"/>
      <c r="K2919" s="46"/>
      <c r="L2919" s="10"/>
      <c r="M2919" s="20"/>
      <c r="N2919" s="20"/>
      <c r="O2919" s="20"/>
      <c r="P2919" s="20"/>
    </row>
    <row r="2920">
      <c r="A2920" s="23"/>
      <c r="B2920" s="21"/>
      <c r="C2920" s="23"/>
      <c r="D2920" s="24"/>
      <c r="E2920" s="14"/>
      <c r="F2920" s="14"/>
      <c r="G2920" s="14"/>
      <c r="H2920" s="23"/>
      <c r="I2920" s="27"/>
      <c r="J2920" s="23"/>
      <c r="K2920" s="30"/>
      <c r="L2920" s="23"/>
      <c r="M2920" s="20"/>
      <c r="N2920" s="20"/>
      <c r="O2920" s="20"/>
      <c r="P2920" s="20"/>
    </row>
    <row r="2921">
      <c r="A2921" s="10"/>
      <c r="B2921" s="11"/>
      <c r="C2921" s="10"/>
      <c r="D2921" s="13"/>
      <c r="E2921" s="14"/>
      <c r="F2921" s="14"/>
      <c r="G2921" s="14"/>
      <c r="H2921" s="10"/>
      <c r="I2921" s="17"/>
      <c r="J2921" s="10"/>
      <c r="K2921" s="46"/>
      <c r="L2921" s="10"/>
      <c r="M2921" s="20"/>
      <c r="N2921" s="20"/>
      <c r="O2921" s="20"/>
      <c r="P2921" s="20"/>
    </row>
    <row r="2922">
      <c r="A2922" s="23"/>
      <c r="B2922" s="21"/>
      <c r="C2922" s="23"/>
      <c r="D2922" s="24"/>
      <c r="E2922" s="14"/>
      <c r="F2922" s="14"/>
      <c r="G2922" s="14"/>
      <c r="H2922" s="23"/>
      <c r="I2922" s="27"/>
      <c r="J2922" s="23"/>
      <c r="K2922" s="30"/>
      <c r="L2922" s="23"/>
      <c r="M2922" s="20"/>
      <c r="N2922" s="20"/>
      <c r="O2922" s="20"/>
      <c r="P2922" s="20"/>
    </row>
    <row r="2923">
      <c r="A2923" s="10"/>
      <c r="B2923" s="11"/>
      <c r="C2923" s="10"/>
      <c r="D2923" s="13"/>
      <c r="E2923" s="14"/>
      <c r="F2923" s="14"/>
      <c r="G2923" s="14"/>
      <c r="H2923" s="10"/>
      <c r="I2923" s="17"/>
      <c r="J2923" s="10"/>
      <c r="K2923" s="46"/>
      <c r="L2923" s="10"/>
      <c r="M2923" s="20"/>
      <c r="N2923" s="20"/>
      <c r="O2923" s="20"/>
      <c r="P2923" s="20"/>
    </row>
    <row r="2924">
      <c r="A2924" s="23"/>
      <c r="B2924" s="21"/>
      <c r="C2924" s="23"/>
      <c r="D2924" s="24"/>
      <c r="E2924" s="14"/>
      <c r="F2924" s="14"/>
      <c r="G2924" s="14"/>
      <c r="H2924" s="23"/>
      <c r="I2924" s="27"/>
      <c r="J2924" s="23"/>
      <c r="K2924" s="30"/>
      <c r="L2924" s="23"/>
      <c r="M2924" s="20"/>
      <c r="N2924" s="20"/>
      <c r="O2924" s="20"/>
      <c r="P2924" s="20"/>
    </row>
    <row r="2925">
      <c r="A2925" s="10"/>
      <c r="B2925" s="11"/>
      <c r="C2925" s="10"/>
      <c r="D2925" s="13"/>
      <c r="E2925" s="14"/>
      <c r="F2925" s="14"/>
      <c r="G2925" s="14"/>
      <c r="H2925" s="10"/>
      <c r="I2925" s="17"/>
      <c r="J2925" s="10"/>
      <c r="K2925" s="46"/>
      <c r="L2925" s="10"/>
      <c r="M2925" s="20"/>
      <c r="N2925" s="20"/>
      <c r="O2925" s="20"/>
      <c r="P2925" s="20"/>
    </row>
    <row r="2926">
      <c r="A2926" s="23"/>
      <c r="B2926" s="21"/>
      <c r="C2926" s="23"/>
      <c r="D2926" s="24"/>
      <c r="E2926" s="14"/>
      <c r="F2926" s="14"/>
      <c r="G2926" s="14"/>
      <c r="H2926" s="23"/>
      <c r="I2926" s="27"/>
      <c r="J2926" s="23"/>
      <c r="K2926" s="30"/>
      <c r="L2926" s="23"/>
      <c r="M2926" s="20"/>
      <c r="N2926" s="20"/>
      <c r="O2926" s="20"/>
      <c r="P2926" s="20"/>
    </row>
    <row r="2927">
      <c r="A2927" s="10"/>
      <c r="B2927" s="11"/>
      <c r="C2927" s="10"/>
      <c r="D2927" s="13"/>
      <c r="E2927" s="14"/>
      <c r="F2927" s="14"/>
      <c r="G2927" s="14"/>
      <c r="H2927" s="10"/>
      <c r="I2927" s="17"/>
      <c r="J2927" s="10"/>
      <c r="K2927" s="46"/>
      <c r="L2927" s="10"/>
      <c r="M2927" s="20"/>
      <c r="N2927" s="20"/>
      <c r="O2927" s="20"/>
      <c r="P2927" s="20"/>
    </row>
    <row r="2928">
      <c r="A2928" s="23"/>
      <c r="B2928" s="21"/>
      <c r="C2928" s="23"/>
      <c r="D2928" s="24"/>
      <c r="E2928" s="14"/>
      <c r="F2928" s="14"/>
      <c r="G2928" s="14"/>
      <c r="H2928" s="23"/>
      <c r="I2928" s="27"/>
      <c r="J2928" s="23"/>
      <c r="K2928" s="30"/>
      <c r="L2928" s="23"/>
      <c r="M2928" s="20"/>
      <c r="N2928" s="20"/>
      <c r="O2928" s="20"/>
      <c r="P2928" s="20"/>
    </row>
    <row r="2929">
      <c r="A2929" s="10"/>
      <c r="B2929" s="11"/>
      <c r="C2929" s="10"/>
      <c r="D2929" s="13"/>
      <c r="E2929" s="14"/>
      <c r="F2929" s="14"/>
      <c r="G2929" s="14"/>
      <c r="H2929" s="10"/>
      <c r="I2929" s="17"/>
      <c r="J2929" s="10"/>
      <c r="K2929" s="46"/>
      <c r="L2929" s="10"/>
      <c r="M2929" s="20"/>
      <c r="N2929" s="20"/>
      <c r="O2929" s="20"/>
      <c r="P2929" s="20"/>
    </row>
    <row r="2930">
      <c r="A2930" s="23"/>
      <c r="B2930" s="21"/>
      <c r="C2930" s="23"/>
      <c r="D2930" s="24"/>
      <c r="E2930" s="14"/>
      <c r="F2930" s="14"/>
      <c r="G2930" s="14"/>
      <c r="H2930" s="23"/>
      <c r="I2930" s="27"/>
      <c r="J2930" s="23"/>
      <c r="K2930" s="30"/>
      <c r="L2930" s="23"/>
      <c r="M2930" s="20"/>
      <c r="N2930" s="20"/>
      <c r="O2930" s="20"/>
      <c r="P2930" s="20"/>
    </row>
    <row r="2931">
      <c r="A2931" s="10"/>
      <c r="B2931" s="11"/>
      <c r="C2931" s="10"/>
      <c r="D2931" s="13"/>
      <c r="E2931" s="14"/>
      <c r="F2931" s="14"/>
      <c r="G2931" s="14"/>
      <c r="H2931" s="10"/>
      <c r="I2931" s="17"/>
      <c r="J2931" s="10"/>
      <c r="K2931" s="46"/>
      <c r="L2931" s="10"/>
      <c r="M2931" s="20"/>
      <c r="N2931" s="20"/>
      <c r="O2931" s="20"/>
      <c r="P2931" s="20"/>
    </row>
    <row r="2932">
      <c r="A2932" s="23"/>
      <c r="B2932" s="21"/>
      <c r="C2932" s="23"/>
      <c r="D2932" s="24"/>
      <c r="E2932" s="14"/>
      <c r="F2932" s="14"/>
      <c r="G2932" s="14"/>
      <c r="H2932" s="23"/>
      <c r="I2932" s="27"/>
      <c r="J2932" s="23"/>
      <c r="K2932" s="30"/>
      <c r="L2932" s="23"/>
      <c r="M2932" s="20"/>
      <c r="N2932" s="20"/>
      <c r="O2932" s="20"/>
      <c r="P2932" s="20"/>
    </row>
    <row r="2933">
      <c r="A2933" s="10"/>
      <c r="B2933" s="11"/>
      <c r="C2933" s="10"/>
      <c r="D2933" s="13"/>
      <c r="E2933" s="14"/>
      <c r="F2933" s="14"/>
      <c r="G2933" s="14"/>
      <c r="H2933" s="10"/>
      <c r="I2933" s="17"/>
      <c r="J2933" s="10"/>
      <c r="K2933" s="46"/>
      <c r="L2933" s="10"/>
      <c r="M2933" s="20"/>
      <c r="N2933" s="20"/>
      <c r="O2933" s="20"/>
      <c r="P2933" s="20"/>
    </row>
    <row r="2934">
      <c r="A2934" s="23"/>
      <c r="B2934" s="21"/>
      <c r="C2934" s="23"/>
      <c r="D2934" s="24"/>
      <c r="E2934" s="14"/>
      <c r="F2934" s="14"/>
      <c r="G2934" s="14"/>
      <c r="H2934" s="23"/>
      <c r="I2934" s="27"/>
      <c r="J2934" s="23"/>
      <c r="K2934" s="30"/>
      <c r="L2934" s="23"/>
      <c r="M2934" s="20"/>
      <c r="N2934" s="20"/>
      <c r="O2934" s="20"/>
      <c r="P2934" s="20"/>
    </row>
    <row r="2935">
      <c r="A2935" s="10"/>
      <c r="B2935" s="11"/>
      <c r="C2935" s="10"/>
      <c r="D2935" s="13"/>
      <c r="E2935" s="14"/>
      <c r="F2935" s="14"/>
      <c r="G2935" s="14"/>
      <c r="H2935" s="10"/>
      <c r="I2935" s="17"/>
      <c r="J2935" s="10"/>
      <c r="K2935" s="46"/>
      <c r="L2935" s="10"/>
      <c r="M2935" s="20"/>
      <c r="N2935" s="20"/>
      <c r="O2935" s="20"/>
      <c r="P2935" s="20"/>
    </row>
    <row r="2936">
      <c r="A2936" s="23"/>
      <c r="B2936" s="21"/>
      <c r="C2936" s="23"/>
      <c r="D2936" s="24"/>
      <c r="E2936" s="14"/>
      <c r="F2936" s="14"/>
      <c r="G2936" s="14"/>
      <c r="H2936" s="23"/>
      <c r="I2936" s="27"/>
      <c r="J2936" s="23"/>
      <c r="K2936" s="30"/>
      <c r="L2936" s="23"/>
      <c r="M2936" s="20"/>
      <c r="N2936" s="20"/>
      <c r="O2936" s="20"/>
      <c r="P2936" s="20"/>
    </row>
    <row r="2937">
      <c r="A2937" s="10"/>
      <c r="B2937" s="11"/>
      <c r="C2937" s="10"/>
      <c r="D2937" s="13"/>
      <c r="E2937" s="14"/>
      <c r="F2937" s="14"/>
      <c r="G2937" s="14"/>
      <c r="H2937" s="10"/>
      <c r="I2937" s="17"/>
      <c r="J2937" s="10"/>
      <c r="K2937" s="46"/>
      <c r="L2937" s="10"/>
      <c r="M2937" s="20"/>
      <c r="N2937" s="20"/>
      <c r="O2937" s="20"/>
      <c r="P2937" s="20"/>
    </row>
    <row r="2938">
      <c r="A2938" s="23"/>
      <c r="B2938" s="21"/>
      <c r="C2938" s="23"/>
      <c r="D2938" s="24"/>
      <c r="E2938" s="14"/>
      <c r="F2938" s="14"/>
      <c r="G2938" s="14"/>
      <c r="H2938" s="23"/>
      <c r="I2938" s="27"/>
      <c r="J2938" s="23"/>
      <c r="K2938" s="30"/>
      <c r="L2938" s="23"/>
      <c r="M2938" s="20"/>
      <c r="N2938" s="20"/>
      <c r="O2938" s="20"/>
      <c r="P2938" s="20"/>
    </row>
    <row r="2939">
      <c r="A2939" s="10"/>
      <c r="B2939" s="11"/>
      <c r="C2939" s="10"/>
      <c r="D2939" s="13"/>
      <c r="E2939" s="14"/>
      <c r="F2939" s="14"/>
      <c r="G2939" s="14"/>
      <c r="H2939" s="10"/>
      <c r="I2939" s="17"/>
      <c r="J2939" s="10"/>
      <c r="K2939" s="46"/>
      <c r="L2939" s="10"/>
      <c r="M2939" s="20"/>
      <c r="N2939" s="20"/>
      <c r="O2939" s="20"/>
      <c r="P2939" s="20"/>
    </row>
    <row r="2940">
      <c r="A2940" s="23"/>
      <c r="B2940" s="21"/>
      <c r="C2940" s="23"/>
      <c r="D2940" s="24"/>
      <c r="E2940" s="14"/>
      <c r="F2940" s="14"/>
      <c r="G2940" s="14"/>
      <c r="H2940" s="23"/>
      <c r="I2940" s="27"/>
      <c r="J2940" s="23"/>
      <c r="K2940" s="30"/>
      <c r="L2940" s="23"/>
      <c r="M2940" s="20"/>
      <c r="N2940" s="20"/>
      <c r="O2940" s="20"/>
      <c r="P2940" s="20"/>
    </row>
    <row r="2941">
      <c r="A2941" s="10"/>
      <c r="B2941" s="11"/>
      <c r="C2941" s="10"/>
      <c r="D2941" s="13"/>
      <c r="E2941" s="14"/>
      <c r="F2941" s="14"/>
      <c r="G2941" s="14"/>
      <c r="H2941" s="10"/>
      <c r="I2941" s="17"/>
      <c r="J2941" s="10"/>
      <c r="K2941" s="46"/>
      <c r="L2941" s="10"/>
      <c r="M2941" s="20"/>
      <c r="N2941" s="20"/>
      <c r="O2941" s="20"/>
      <c r="P2941" s="20"/>
    </row>
    <row r="2942">
      <c r="A2942" s="23"/>
      <c r="B2942" s="21"/>
      <c r="C2942" s="23"/>
      <c r="D2942" s="24"/>
      <c r="E2942" s="14"/>
      <c r="F2942" s="14"/>
      <c r="G2942" s="14"/>
      <c r="H2942" s="23"/>
      <c r="I2942" s="27"/>
      <c r="J2942" s="23"/>
      <c r="K2942" s="30"/>
      <c r="L2942" s="23"/>
      <c r="M2942" s="20"/>
      <c r="N2942" s="20"/>
      <c r="O2942" s="20"/>
      <c r="P2942" s="20"/>
    </row>
    <row r="2943">
      <c r="A2943" s="10"/>
      <c r="B2943" s="11"/>
      <c r="C2943" s="10"/>
      <c r="D2943" s="13"/>
      <c r="E2943" s="14"/>
      <c r="F2943" s="14"/>
      <c r="G2943" s="14"/>
      <c r="H2943" s="10"/>
      <c r="I2943" s="17"/>
      <c r="J2943" s="10"/>
      <c r="K2943" s="46"/>
      <c r="L2943" s="10"/>
      <c r="M2943" s="20"/>
      <c r="N2943" s="20"/>
      <c r="O2943" s="20"/>
      <c r="P2943" s="20"/>
    </row>
    <row r="2944">
      <c r="A2944" s="23"/>
      <c r="B2944" s="21"/>
      <c r="C2944" s="23"/>
      <c r="D2944" s="24"/>
      <c r="E2944" s="14"/>
      <c r="F2944" s="14"/>
      <c r="G2944" s="14"/>
      <c r="H2944" s="23"/>
      <c r="I2944" s="27"/>
      <c r="J2944" s="23"/>
      <c r="K2944" s="30"/>
      <c r="L2944" s="23"/>
      <c r="M2944" s="20"/>
      <c r="N2944" s="20"/>
      <c r="O2944" s="20"/>
      <c r="P2944" s="20"/>
    </row>
    <row r="2945">
      <c r="A2945" s="10"/>
      <c r="B2945" s="11"/>
      <c r="C2945" s="10"/>
      <c r="D2945" s="13"/>
      <c r="E2945" s="14"/>
      <c r="F2945" s="14"/>
      <c r="G2945" s="14"/>
      <c r="H2945" s="10"/>
      <c r="I2945" s="17"/>
      <c r="J2945" s="10"/>
      <c r="K2945" s="46"/>
      <c r="L2945" s="10"/>
      <c r="M2945" s="20"/>
      <c r="N2945" s="20"/>
      <c r="O2945" s="20"/>
      <c r="P2945" s="20"/>
    </row>
    <row r="2946">
      <c r="A2946" s="23"/>
      <c r="B2946" s="21"/>
      <c r="C2946" s="23"/>
      <c r="D2946" s="24"/>
      <c r="E2946" s="14"/>
      <c r="F2946" s="14"/>
      <c r="G2946" s="14"/>
      <c r="H2946" s="23"/>
      <c r="I2946" s="27"/>
      <c r="J2946" s="23"/>
      <c r="K2946" s="30"/>
      <c r="L2946" s="23"/>
      <c r="M2946" s="20"/>
      <c r="N2946" s="20"/>
      <c r="O2946" s="20"/>
      <c r="P2946" s="20"/>
    </row>
    <row r="2947">
      <c r="A2947" s="10"/>
      <c r="B2947" s="11"/>
      <c r="C2947" s="10"/>
      <c r="D2947" s="13"/>
      <c r="E2947" s="14"/>
      <c r="F2947" s="14"/>
      <c r="G2947" s="14"/>
      <c r="H2947" s="10"/>
      <c r="I2947" s="17"/>
      <c r="J2947" s="10"/>
      <c r="K2947" s="46"/>
      <c r="L2947" s="10"/>
      <c r="M2947" s="20"/>
      <c r="N2947" s="20"/>
      <c r="O2947" s="20"/>
      <c r="P2947" s="20"/>
    </row>
    <row r="2948">
      <c r="A2948" s="23"/>
      <c r="B2948" s="21"/>
      <c r="C2948" s="23"/>
      <c r="D2948" s="24"/>
      <c r="E2948" s="14"/>
      <c r="F2948" s="14"/>
      <c r="G2948" s="14"/>
      <c r="H2948" s="23"/>
      <c r="I2948" s="27"/>
      <c r="J2948" s="23"/>
      <c r="K2948" s="30"/>
      <c r="L2948" s="23"/>
      <c r="M2948" s="20"/>
      <c r="N2948" s="20"/>
      <c r="O2948" s="20"/>
      <c r="P2948" s="20"/>
    </row>
    <row r="2949">
      <c r="A2949" s="10"/>
      <c r="B2949" s="11"/>
      <c r="C2949" s="10"/>
      <c r="D2949" s="13"/>
      <c r="E2949" s="14"/>
      <c r="F2949" s="14"/>
      <c r="G2949" s="14"/>
      <c r="H2949" s="10"/>
      <c r="I2949" s="17"/>
      <c r="J2949" s="10"/>
      <c r="K2949" s="46"/>
      <c r="L2949" s="10"/>
      <c r="M2949" s="20"/>
      <c r="N2949" s="20"/>
      <c r="O2949" s="20"/>
      <c r="P2949" s="20"/>
    </row>
    <row r="2950">
      <c r="A2950" s="23"/>
      <c r="B2950" s="21"/>
      <c r="C2950" s="23"/>
      <c r="D2950" s="24"/>
      <c r="E2950" s="14"/>
      <c r="F2950" s="14"/>
      <c r="G2950" s="14"/>
      <c r="H2950" s="23"/>
      <c r="I2950" s="27"/>
      <c r="J2950" s="23"/>
      <c r="K2950" s="30"/>
      <c r="L2950" s="23"/>
      <c r="M2950" s="20"/>
      <c r="N2950" s="20"/>
      <c r="O2950" s="20"/>
      <c r="P2950" s="20"/>
    </row>
    <row r="2951">
      <c r="A2951" s="10"/>
      <c r="B2951" s="11"/>
      <c r="C2951" s="10"/>
      <c r="D2951" s="13"/>
      <c r="E2951" s="14"/>
      <c r="F2951" s="14"/>
      <c r="G2951" s="14"/>
      <c r="H2951" s="10"/>
      <c r="I2951" s="17"/>
      <c r="J2951" s="10"/>
      <c r="K2951" s="46"/>
      <c r="L2951" s="10"/>
      <c r="M2951" s="20"/>
      <c r="N2951" s="20"/>
      <c r="O2951" s="20"/>
      <c r="P2951" s="20"/>
    </row>
    <row r="2952">
      <c r="A2952" s="23"/>
      <c r="B2952" s="21"/>
      <c r="C2952" s="23"/>
      <c r="D2952" s="24"/>
      <c r="E2952" s="14"/>
      <c r="F2952" s="14"/>
      <c r="G2952" s="14"/>
      <c r="H2952" s="23"/>
      <c r="I2952" s="27"/>
      <c r="J2952" s="23"/>
      <c r="K2952" s="30"/>
      <c r="L2952" s="23"/>
      <c r="M2952" s="20"/>
      <c r="N2952" s="20"/>
      <c r="O2952" s="20"/>
      <c r="P2952" s="20"/>
    </row>
    <row r="2953">
      <c r="A2953" s="10"/>
      <c r="B2953" s="11"/>
      <c r="C2953" s="10"/>
      <c r="D2953" s="13"/>
      <c r="E2953" s="14"/>
      <c r="F2953" s="14"/>
      <c r="G2953" s="14"/>
      <c r="H2953" s="10"/>
      <c r="I2953" s="17"/>
      <c r="J2953" s="10"/>
      <c r="K2953" s="46"/>
      <c r="L2953" s="10"/>
      <c r="M2953" s="20"/>
      <c r="N2953" s="20"/>
      <c r="O2953" s="20"/>
      <c r="P2953" s="20"/>
    </row>
    <row r="2954">
      <c r="A2954" s="23"/>
      <c r="B2954" s="21"/>
      <c r="C2954" s="23"/>
      <c r="D2954" s="24"/>
      <c r="E2954" s="14"/>
      <c r="F2954" s="14"/>
      <c r="G2954" s="14"/>
      <c r="H2954" s="23"/>
      <c r="I2954" s="27"/>
      <c r="J2954" s="23"/>
      <c r="K2954" s="30"/>
      <c r="L2954" s="23"/>
      <c r="M2954" s="20"/>
      <c r="N2954" s="20"/>
      <c r="O2954" s="20"/>
      <c r="P2954" s="20"/>
    </row>
    <row r="2955">
      <c r="A2955" s="10"/>
      <c r="B2955" s="11"/>
      <c r="C2955" s="10"/>
      <c r="D2955" s="13"/>
      <c r="E2955" s="14"/>
      <c r="F2955" s="14"/>
      <c r="G2955" s="14"/>
      <c r="H2955" s="10"/>
      <c r="I2955" s="17"/>
      <c r="J2955" s="10"/>
      <c r="K2955" s="46"/>
      <c r="L2955" s="10"/>
      <c r="M2955" s="20"/>
      <c r="N2955" s="20"/>
      <c r="O2955" s="20"/>
      <c r="P2955" s="20"/>
    </row>
    <row r="2956">
      <c r="A2956" s="23"/>
      <c r="B2956" s="21"/>
      <c r="C2956" s="23"/>
      <c r="D2956" s="24"/>
      <c r="E2956" s="14"/>
      <c r="F2956" s="14"/>
      <c r="G2956" s="14"/>
      <c r="H2956" s="23"/>
      <c r="I2956" s="27"/>
      <c r="J2956" s="23"/>
      <c r="K2956" s="30"/>
      <c r="L2956" s="23"/>
      <c r="M2956" s="20"/>
      <c r="N2956" s="20"/>
      <c r="O2956" s="20"/>
      <c r="P2956" s="20"/>
    </row>
    <row r="2957">
      <c r="A2957" s="10"/>
      <c r="B2957" s="11"/>
      <c r="C2957" s="10"/>
      <c r="D2957" s="13"/>
      <c r="E2957" s="14"/>
      <c r="F2957" s="14"/>
      <c r="G2957" s="14"/>
      <c r="H2957" s="10"/>
      <c r="I2957" s="17"/>
      <c r="J2957" s="10"/>
      <c r="K2957" s="46"/>
      <c r="L2957" s="10"/>
      <c r="M2957" s="20"/>
      <c r="N2957" s="20"/>
      <c r="O2957" s="20"/>
      <c r="P2957" s="20"/>
    </row>
    <row r="2958">
      <c r="A2958" s="23"/>
      <c r="B2958" s="21"/>
      <c r="C2958" s="23"/>
      <c r="D2958" s="24"/>
      <c r="E2958" s="14"/>
      <c r="F2958" s="14"/>
      <c r="G2958" s="14"/>
      <c r="H2958" s="23"/>
      <c r="I2958" s="27"/>
      <c r="J2958" s="23"/>
      <c r="K2958" s="30"/>
      <c r="L2958" s="23"/>
      <c r="M2958" s="20"/>
      <c r="N2958" s="20"/>
      <c r="O2958" s="20"/>
      <c r="P2958" s="20"/>
    </row>
    <row r="2959">
      <c r="A2959" s="10"/>
      <c r="B2959" s="11"/>
      <c r="C2959" s="10"/>
      <c r="D2959" s="13"/>
      <c r="E2959" s="14"/>
      <c r="F2959" s="14"/>
      <c r="G2959" s="14"/>
      <c r="H2959" s="10"/>
      <c r="I2959" s="17"/>
      <c r="J2959" s="10"/>
      <c r="K2959" s="46"/>
      <c r="L2959" s="10"/>
      <c r="M2959" s="20"/>
      <c r="N2959" s="20"/>
      <c r="O2959" s="20"/>
      <c r="P2959" s="20"/>
    </row>
    <row r="2960">
      <c r="A2960" s="23"/>
      <c r="B2960" s="21"/>
      <c r="C2960" s="23"/>
      <c r="D2960" s="24"/>
      <c r="E2960" s="14"/>
      <c r="F2960" s="14"/>
      <c r="G2960" s="14"/>
      <c r="H2960" s="23"/>
      <c r="I2960" s="27"/>
      <c r="J2960" s="23"/>
      <c r="K2960" s="30"/>
      <c r="L2960" s="23"/>
      <c r="M2960" s="20"/>
      <c r="N2960" s="20"/>
      <c r="O2960" s="20"/>
      <c r="P2960" s="20"/>
    </row>
    <row r="2961">
      <c r="A2961" s="10"/>
      <c r="B2961" s="11"/>
      <c r="C2961" s="10"/>
      <c r="D2961" s="13"/>
      <c r="E2961" s="14"/>
      <c r="F2961" s="14"/>
      <c r="G2961" s="14"/>
      <c r="H2961" s="10"/>
      <c r="I2961" s="17"/>
      <c r="J2961" s="10"/>
      <c r="K2961" s="46"/>
      <c r="L2961" s="10"/>
      <c r="M2961" s="20"/>
      <c r="N2961" s="20"/>
      <c r="O2961" s="20"/>
      <c r="P2961" s="20"/>
    </row>
    <row r="2962">
      <c r="A2962" s="23"/>
      <c r="B2962" s="21"/>
      <c r="C2962" s="23"/>
      <c r="D2962" s="24"/>
      <c r="E2962" s="14"/>
      <c r="F2962" s="14"/>
      <c r="G2962" s="14"/>
      <c r="H2962" s="23"/>
      <c r="I2962" s="27"/>
      <c r="J2962" s="23"/>
      <c r="K2962" s="30"/>
      <c r="L2962" s="23"/>
      <c r="M2962" s="20"/>
      <c r="N2962" s="20"/>
      <c r="O2962" s="20"/>
      <c r="P2962" s="20"/>
    </row>
    <row r="2963">
      <c r="A2963" s="10"/>
      <c r="B2963" s="11"/>
      <c r="C2963" s="10"/>
      <c r="D2963" s="13"/>
      <c r="E2963" s="14"/>
      <c r="F2963" s="14"/>
      <c r="G2963" s="14"/>
      <c r="H2963" s="10"/>
      <c r="I2963" s="17"/>
      <c r="J2963" s="10"/>
      <c r="K2963" s="46"/>
      <c r="L2963" s="10"/>
      <c r="M2963" s="20"/>
      <c r="N2963" s="20"/>
      <c r="O2963" s="20"/>
      <c r="P2963" s="20"/>
    </row>
    <row r="2964">
      <c r="A2964" s="23"/>
      <c r="B2964" s="21"/>
      <c r="C2964" s="23"/>
      <c r="D2964" s="24"/>
      <c r="E2964" s="14"/>
      <c r="F2964" s="14"/>
      <c r="G2964" s="14"/>
      <c r="H2964" s="23"/>
      <c r="I2964" s="27"/>
      <c r="J2964" s="23"/>
      <c r="K2964" s="30"/>
      <c r="L2964" s="23"/>
      <c r="M2964" s="20"/>
      <c r="N2964" s="20"/>
      <c r="O2964" s="20"/>
      <c r="P2964" s="20"/>
    </row>
    <row r="2965">
      <c r="A2965" s="10"/>
      <c r="B2965" s="11"/>
      <c r="C2965" s="10"/>
      <c r="D2965" s="13"/>
      <c r="E2965" s="14"/>
      <c r="F2965" s="14"/>
      <c r="G2965" s="14"/>
      <c r="H2965" s="10"/>
      <c r="I2965" s="17"/>
      <c r="J2965" s="10"/>
      <c r="K2965" s="46"/>
      <c r="L2965" s="10"/>
      <c r="M2965" s="20"/>
      <c r="N2965" s="20"/>
      <c r="O2965" s="20"/>
      <c r="P2965" s="20"/>
    </row>
    <row r="2966">
      <c r="A2966" s="23"/>
      <c r="B2966" s="21"/>
      <c r="C2966" s="23"/>
      <c r="D2966" s="24"/>
      <c r="E2966" s="14"/>
      <c r="F2966" s="14"/>
      <c r="G2966" s="14"/>
      <c r="H2966" s="23"/>
      <c r="I2966" s="27"/>
      <c r="J2966" s="23"/>
      <c r="K2966" s="30"/>
      <c r="L2966" s="23"/>
      <c r="M2966" s="20"/>
      <c r="N2966" s="20"/>
      <c r="O2966" s="20"/>
      <c r="P2966" s="20"/>
    </row>
    <row r="2967">
      <c r="A2967" s="10"/>
      <c r="B2967" s="11"/>
      <c r="C2967" s="10"/>
      <c r="D2967" s="13"/>
      <c r="E2967" s="14"/>
      <c r="F2967" s="14"/>
      <c r="G2967" s="14"/>
      <c r="H2967" s="10"/>
      <c r="I2967" s="17"/>
      <c r="J2967" s="10"/>
      <c r="K2967" s="46"/>
      <c r="L2967" s="10"/>
      <c r="M2967" s="20"/>
      <c r="N2967" s="20"/>
      <c r="O2967" s="20"/>
      <c r="P2967" s="20"/>
    </row>
    <row r="2968">
      <c r="A2968" s="23"/>
      <c r="B2968" s="21"/>
      <c r="C2968" s="23"/>
      <c r="D2968" s="24"/>
      <c r="E2968" s="14"/>
      <c r="F2968" s="14"/>
      <c r="G2968" s="14"/>
      <c r="H2968" s="23"/>
      <c r="I2968" s="27"/>
      <c r="J2968" s="23"/>
      <c r="K2968" s="30"/>
      <c r="L2968" s="23"/>
      <c r="M2968" s="20"/>
      <c r="N2968" s="20"/>
      <c r="O2968" s="20"/>
      <c r="P2968" s="20"/>
    </row>
    <row r="2969">
      <c r="A2969" s="10"/>
      <c r="B2969" s="11"/>
      <c r="C2969" s="10"/>
      <c r="D2969" s="13"/>
      <c r="E2969" s="14"/>
      <c r="F2969" s="14"/>
      <c r="G2969" s="14"/>
      <c r="H2969" s="10"/>
      <c r="I2969" s="17"/>
      <c r="J2969" s="10"/>
      <c r="K2969" s="46"/>
      <c r="L2969" s="10"/>
      <c r="M2969" s="20"/>
      <c r="N2969" s="20"/>
      <c r="O2969" s="20"/>
      <c r="P2969" s="20"/>
    </row>
    <row r="2970">
      <c r="A2970" s="23"/>
      <c r="B2970" s="21"/>
      <c r="C2970" s="23"/>
      <c r="D2970" s="24"/>
      <c r="E2970" s="14"/>
      <c r="F2970" s="14"/>
      <c r="G2970" s="14"/>
      <c r="H2970" s="23"/>
      <c r="I2970" s="27"/>
      <c r="J2970" s="23"/>
      <c r="K2970" s="30"/>
      <c r="L2970" s="23"/>
      <c r="M2970" s="20"/>
      <c r="N2970" s="20"/>
      <c r="O2970" s="20"/>
      <c r="P2970" s="20"/>
    </row>
    <row r="2971">
      <c r="A2971" s="10"/>
      <c r="B2971" s="11"/>
      <c r="C2971" s="10"/>
      <c r="D2971" s="13"/>
      <c r="E2971" s="14"/>
      <c r="F2971" s="14"/>
      <c r="G2971" s="14"/>
      <c r="H2971" s="10"/>
      <c r="I2971" s="17"/>
      <c r="J2971" s="10"/>
      <c r="K2971" s="46"/>
      <c r="L2971" s="10"/>
      <c r="M2971" s="20"/>
      <c r="N2971" s="20"/>
      <c r="O2971" s="20"/>
      <c r="P2971" s="20"/>
    </row>
    <row r="2972">
      <c r="A2972" s="23"/>
      <c r="B2972" s="21"/>
      <c r="C2972" s="23"/>
      <c r="D2972" s="24"/>
      <c r="E2972" s="14"/>
      <c r="F2972" s="14"/>
      <c r="G2972" s="14"/>
      <c r="H2972" s="23"/>
      <c r="I2972" s="27"/>
      <c r="J2972" s="23"/>
      <c r="K2972" s="30"/>
      <c r="L2972" s="23"/>
      <c r="M2972" s="20"/>
      <c r="N2972" s="20"/>
      <c r="O2972" s="20"/>
      <c r="P2972" s="20"/>
    </row>
    <row r="2973">
      <c r="A2973" s="10"/>
      <c r="B2973" s="11"/>
      <c r="C2973" s="10"/>
      <c r="D2973" s="13"/>
      <c r="E2973" s="14"/>
      <c r="F2973" s="14"/>
      <c r="G2973" s="14"/>
      <c r="H2973" s="10"/>
      <c r="I2973" s="17"/>
      <c r="J2973" s="10"/>
      <c r="K2973" s="46"/>
      <c r="L2973" s="10"/>
      <c r="M2973" s="20"/>
      <c r="N2973" s="20"/>
      <c r="O2973" s="20"/>
      <c r="P2973" s="20"/>
    </row>
    <row r="2974">
      <c r="A2974" s="23"/>
      <c r="B2974" s="21"/>
      <c r="C2974" s="23"/>
      <c r="D2974" s="24"/>
      <c r="E2974" s="14"/>
      <c r="F2974" s="14"/>
      <c r="G2974" s="14"/>
      <c r="H2974" s="23"/>
      <c r="I2974" s="27"/>
      <c r="J2974" s="23"/>
      <c r="K2974" s="30"/>
      <c r="L2974" s="23"/>
      <c r="M2974" s="20"/>
      <c r="N2974" s="20"/>
      <c r="O2974" s="20"/>
      <c r="P2974" s="20"/>
    </row>
    <row r="2975">
      <c r="A2975" s="10"/>
      <c r="B2975" s="11"/>
      <c r="C2975" s="10"/>
      <c r="D2975" s="13"/>
      <c r="E2975" s="14"/>
      <c r="F2975" s="14"/>
      <c r="G2975" s="14"/>
      <c r="H2975" s="10"/>
      <c r="I2975" s="17"/>
      <c r="J2975" s="10"/>
      <c r="K2975" s="46"/>
      <c r="L2975" s="10"/>
      <c r="M2975" s="20"/>
      <c r="N2975" s="20"/>
      <c r="O2975" s="20"/>
      <c r="P2975" s="20"/>
    </row>
    <row r="2976">
      <c r="A2976" s="23"/>
      <c r="B2976" s="21"/>
      <c r="C2976" s="23"/>
      <c r="D2976" s="24"/>
      <c r="E2976" s="14"/>
      <c r="F2976" s="14"/>
      <c r="G2976" s="14"/>
      <c r="H2976" s="23"/>
      <c r="I2976" s="27"/>
      <c r="J2976" s="23"/>
      <c r="K2976" s="30"/>
      <c r="L2976" s="23"/>
      <c r="M2976" s="20"/>
      <c r="N2976" s="20"/>
      <c r="O2976" s="20"/>
      <c r="P2976" s="20"/>
    </row>
    <row r="2977">
      <c r="A2977" s="10"/>
      <c r="B2977" s="11"/>
      <c r="C2977" s="10"/>
      <c r="D2977" s="13"/>
      <c r="E2977" s="14"/>
      <c r="F2977" s="14"/>
      <c r="G2977" s="14"/>
      <c r="H2977" s="10"/>
      <c r="I2977" s="17"/>
      <c r="J2977" s="10"/>
      <c r="K2977" s="46"/>
      <c r="L2977" s="10"/>
      <c r="M2977" s="20"/>
      <c r="N2977" s="20"/>
      <c r="O2977" s="20"/>
      <c r="P2977" s="20"/>
    </row>
    <row r="2978">
      <c r="A2978" s="23"/>
      <c r="B2978" s="21"/>
      <c r="C2978" s="23"/>
      <c r="D2978" s="24"/>
      <c r="E2978" s="14"/>
      <c r="F2978" s="14"/>
      <c r="G2978" s="14"/>
      <c r="H2978" s="23"/>
      <c r="I2978" s="27"/>
      <c r="J2978" s="23"/>
      <c r="K2978" s="30"/>
      <c r="L2978" s="23"/>
      <c r="M2978" s="20"/>
      <c r="N2978" s="20"/>
      <c r="O2978" s="20"/>
      <c r="P2978" s="20"/>
    </row>
    <row r="2979">
      <c r="A2979" s="10"/>
      <c r="B2979" s="11"/>
      <c r="C2979" s="10"/>
      <c r="D2979" s="13"/>
      <c r="E2979" s="14"/>
      <c r="F2979" s="14"/>
      <c r="G2979" s="14"/>
      <c r="H2979" s="10"/>
      <c r="I2979" s="17"/>
      <c r="J2979" s="10"/>
      <c r="K2979" s="46"/>
      <c r="L2979" s="10"/>
      <c r="M2979" s="20"/>
      <c r="N2979" s="20"/>
      <c r="O2979" s="20"/>
      <c r="P2979" s="20"/>
    </row>
    <row r="2980">
      <c r="A2980" s="23"/>
      <c r="B2980" s="21"/>
      <c r="C2980" s="23"/>
      <c r="D2980" s="24"/>
      <c r="E2980" s="14"/>
      <c r="F2980" s="14"/>
      <c r="G2980" s="14"/>
      <c r="H2980" s="23"/>
      <c r="I2980" s="27"/>
      <c r="J2980" s="23"/>
      <c r="K2980" s="30"/>
      <c r="L2980" s="23"/>
      <c r="M2980" s="20"/>
      <c r="N2980" s="20"/>
      <c r="O2980" s="20"/>
      <c r="P2980" s="20"/>
    </row>
    <row r="2981">
      <c r="A2981" s="10"/>
      <c r="B2981" s="11"/>
      <c r="C2981" s="10"/>
      <c r="D2981" s="13"/>
      <c r="E2981" s="14"/>
      <c r="F2981" s="14"/>
      <c r="G2981" s="14"/>
      <c r="H2981" s="10"/>
      <c r="I2981" s="17"/>
      <c r="J2981" s="10"/>
      <c r="K2981" s="46"/>
      <c r="L2981" s="10"/>
      <c r="M2981" s="20"/>
      <c r="N2981" s="20"/>
      <c r="O2981" s="20"/>
      <c r="P2981" s="20"/>
    </row>
    <row r="2982">
      <c r="A2982" s="23"/>
      <c r="B2982" s="21"/>
      <c r="C2982" s="23"/>
      <c r="D2982" s="24"/>
      <c r="E2982" s="14"/>
      <c r="F2982" s="14"/>
      <c r="G2982" s="14"/>
      <c r="H2982" s="23"/>
      <c r="I2982" s="27"/>
      <c r="J2982" s="23"/>
      <c r="K2982" s="30"/>
      <c r="L2982" s="23"/>
      <c r="M2982" s="20"/>
      <c r="N2982" s="20"/>
      <c r="O2982" s="20"/>
      <c r="P2982" s="20"/>
    </row>
    <row r="2983">
      <c r="A2983" s="10"/>
      <c r="B2983" s="11"/>
      <c r="C2983" s="10"/>
      <c r="D2983" s="13"/>
      <c r="E2983" s="14"/>
      <c r="F2983" s="14"/>
      <c r="G2983" s="14"/>
      <c r="H2983" s="10"/>
      <c r="I2983" s="17"/>
      <c r="J2983" s="10"/>
      <c r="K2983" s="46"/>
      <c r="L2983" s="10"/>
      <c r="M2983" s="20"/>
      <c r="N2983" s="20"/>
      <c r="O2983" s="20"/>
      <c r="P2983" s="20"/>
    </row>
    <row r="2984">
      <c r="A2984" s="23"/>
      <c r="B2984" s="21"/>
      <c r="C2984" s="23"/>
      <c r="D2984" s="24"/>
      <c r="E2984" s="14"/>
      <c r="F2984" s="14"/>
      <c r="G2984" s="14"/>
      <c r="H2984" s="23"/>
      <c r="I2984" s="27"/>
      <c r="J2984" s="23"/>
      <c r="K2984" s="30"/>
      <c r="L2984" s="23"/>
      <c r="M2984" s="20"/>
      <c r="N2984" s="20"/>
      <c r="O2984" s="20"/>
      <c r="P2984" s="20"/>
    </row>
    <row r="2985">
      <c r="A2985" s="10"/>
      <c r="B2985" s="11"/>
      <c r="C2985" s="10"/>
      <c r="D2985" s="13"/>
      <c r="E2985" s="14"/>
      <c r="F2985" s="14"/>
      <c r="G2985" s="14"/>
      <c r="H2985" s="10"/>
      <c r="I2985" s="17"/>
      <c r="J2985" s="10"/>
      <c r="K2985" s="46"/>
      <c r="L2985" s="10"/>
      <c r="M2985" s="20"/>
      <c r="N2985" s="20"/>
      <c r="O2985" s="20"/>
      <c r="P2985" s="20"/>
    </row>
    <row r="2986">
      <c r="A2986" s="23"/>
      <c r="B2986" s="21"/>
      <c r="C2986" s="23"/>
      <c r="D2986" s="24"/>
      <c r="E2986" s="14"/>
      <c r="F2986" s="14"/>
      <c r="G2986" s="14"/>
      <c r="H2986" s="23"/>
      <c r="I2986" s="27"/>
      <c r="J2986" s="23"/>
      <c r="K2986" s="30"/>
      <c r="L2986" s="23"/>
      <c r="M2986" s="20"/>
      <c r="N2986" s="20"/>
      <c r="O2986" s="20"/>
      <c r="P2986" s="20"/>
    </row>
    <row r="2987">
      <c r="A2987" s="10"/>
      <c r="B2987" s="11"/>
      <c r="C2987" s="10"/>
      <c r="D2987" s="13"/>
      <c r="E2987" s="14"/>
      <c r="F2987" s="14"/>
      <c r="G2987" s="14"/>
      <c r="H2987" s="10"/>
      <c r="I2987" s="17"/>
      <c r="J2987" s="10"/>
      <c r="K2987" s="46"/>
      <c r="L2987" s="10"/>
      <c r="M2987" s="20"/>
      <c r="N2987" s="20"/>
      <c r="O2987" s="20"/>
      <c r="P2987" s="20"/>
    </row>
    <row r="2988">
      <c r="A2988" s="23"/>
      <c r="B2988" s="21"/>
      <c r="C2988" s="23"/>
      <c r="D2988" s="24"/>
      <c r="E2988" s="14"/>
      <c r="F2988" s="14"/>
      <c r="G2988" s="14"/>
      <c r="H2988" s="23"/>
      <c r="I2988" s="27"/>
      <c r="J2988" s="23"/>
      <c r="K2988" s="30"/>
      <c r="L2988" s="23"/>
      <c r="M2988" s="20"/>
      <c r="N2988" s="20"/>
      <c r="O2988" s="20"/>
      <c r="P2988" s="20"/>
    </row>
    <row r="2989">
      <c r="A2989" s="10"/>
      <c r="B2989" s="11"/>
      <c r="C2989" s="10"/>
      <c r="D2989" s="13"/>
      <c r="E2989" s="14"/>
      <c r="F2989" s="14"/>
      <c r="G2989" s="14"/>
      <c r="H2989" s="10"/>
      <c r="I2989" s="17"/>
      <c r="J2989" s="10"/>
      <c r="K2989" s="46"/>
      <c r="L2989" s="10"/>
      <c r="M2989" s="20"/>
      <c r="N2989" s="20"/>
      <c r="O2989" s="20"/>
      <c r="P2989" s="20"/>
    </row>
    <row r="2990">
      <c r="A2990" s="23"/>
      <c r="B2990" s="21"/>
      <c r="C2990" s="23"/>
      <c r="D2990" s="24"/>
      <c r="E2990" s="14"/>
      <c r="F2990" s="14"/>
      <c r="G2990" s="14"/>
      <c r="H2990" s="23"/>
      <c r="I2990" s="27"/>
      <c r="J2990" s="23"/>
      <c r="K2990" s="30"/>
      <c r="L2990" s="23"/>
      <c r="M2990" s="20"/>
      <c r="N2990" s="20"/>
      <c r="O2990" s="20"/>
      <c r="P2990" s="20"/>
    </row>
    <row r="2991">
      <c r="A2991" s="10"/>
      <c r="B2991" s="11"/>
      <c r="C2991" s="10"/>
      <c r="D2991" s="13"/>
      <c r="E2991" s="14"/>
      <c r="F2991" s="14"/>
      <c r="G2991" s="14"/>
      <c r="H2991" s="10"/>
      <c r="I2991" s="17"/>
      <c r="J2991" s="10"/>
      <c r="K2991" s="46"/>
      <c r="L2991" s="10"/>
      <c r="M2991" s="20"/>
      <c r="N2991" s="20"/>
      <c r="O2991" s="20"/>
      <c r="P2991" s="20"/>
    </row>
    <row r="2992">
      <c r="A2992" s="23"/>
      <c r="B2992" s="21"/>
      <c r="C2992" s="23"/>
      <c r="D2992" s="24"/>
      <c r="E2992" s="14"/>
      <c r="F2992" s="14"/>
      <c r="G2992" s="14"/>
      <c r="H2992" s="23"/>
      <c r="I2992" s="27"/>
      <c r="J2992" s="23"/>
      <c r="K2992" s="30"/>
      <c r="L2992" s="23"/>
      <c r="M2992" s="20"/>
      <c r="N2992" s="20"/>
      <c r="O2992" s="20"/>
      <c r="P2992" s="20"/>
    </row>
    <row r="2993">
      <c r="A2993" s="10"/>
      <c r="B2993" s="11"/>
      <c r="C2993" s="10"/>
      <c r="D2993" s="13"/>
      <c r="E2993" s="14"/>
      <c r="F2993" s="14"/>
      <c r="G2993" s="14"/>
      <c r="H2993" s="10"/>
      <c r="I2993" s="17"/>
      <c r="J2993" s="10"/>
      <c r="K2993" s="46"/>
      <c r="L2993" s="10"/>
      <c r="M2993" s="20"/>
      <c r="N2993" s="20"/>
      <c r="O2993" s="20"/>
      <c r="P2993" s="20"/>
    </row>
    <row r="2994">
      <c r="A2994" s="23"/>
      <c r="B2994" s="21"/>
      <c r="C2994" s="23"/>
      <c r="D2994" s="24"/>
      <c r="E2994" s="14"/>
      <c r="F2994" s="14"/>
      <c r="G2994" s="14"/>
      <c r="H2994" s="23"/>
      <c r="I2994" s="27"/>
      <c r="J2994" s="23"/>
      <c r="K2994" s="30"/>
      <c r="L2994" s="23"/>
      <c r="M2994" s="20"/>
      <c r="N2994" s="20"/>
      <c r="O2994" s="20"/>
      <c r="P2994" s="20"/>
    </row>
    <row r="2995">
      <c r="A2995" s="10"/>
      <c r="B2995" s="11"/>
      <c r="C2995" s="10"/>
      <c r="D2995" s="13"/>
      <c r="E2995" s="14"/>
      <c r="F2995" s="14"/>
      <c r="G2995" s="14"/>
      <c r="H2995" s="10"/>
      <c r="I2995" s="17"/>
      <c r="J2995" s="10"/>
      <c r="K2995" s="46"/>
      <c r="L2995" s="10"/>
      <c r="M2995" s="20"/>
      <c r="N2995" s="20"/>
      <c r="O2995" s="20"/>
      <c r="P2995" s="20"/>
    </row>
    <row r="2996">
      <c r="A2996" s="23"/>
      <c r="B2996" s="21"/>
      <c r="C2996" s="23"/>
      <c r="D2996" s="24"/>
      <c r="E2996" s="14"/>
      <c r="F2996" s="14"/>
      <c r="G2996" s="14"/>
      <c r="H2996" s="23"/>
      <c r="I2996" s="27"/>
      <c r="J2996" s="23"/>
      <c r="K2996" s="30"/>
      <c r="L2996" s="23"/>
      <c r="M2996" s="20"/>
      <c r="N2996" s="20"/>
      <c r="O2996" s="20"/>
      <c r="P2996" s="20"/>
    </row>
    <row r="2997">
      <c r="A2997" s="10"/>
      <c r="B2997" s="11"/>
      <c r="C2997" s="10"/>
      <c r="D2997" s="13"/>
      <c r="E2997" s="14"/>
      <c r="F2997" s="14"/>
      <c r="G2997" s="14"/>
      <c r="H2997" s="10"/>
      <c r="I2997" s="17"/>
      <c r="J2997" s="10"/>
      <c r="K2997" s="46"/>
      <c r="L2997" s="10"/>
      <c r="M2997" s="20"/>
      <c r="N2997" s="20"/>
      <c r="O2997" s="20"/>
      <c r="P2997" s="20"/>
    </row>
    <row r="2998">
      <c r="A2998" s="23"/>
      <c r="B2998" s="21"/>
      <c r="C2998" s="23"/>
      <c r="D2998" s="24"/>
      <c r="E2998" s="14"/>
      <c r="F2998" s="14"/>
      <c r="G2998" s="14"/>
      <c r="H2998" s="23"/>
      <c r="I2998" s="27"/>
      <c r="J2998" s="23"/>
      <c r="K2998" s="30"/>
      <c r="L2998" s="23"/>
      <c r="M2998" s="20"/>
      <c r="N2998" s="20"/>
      <c r="O2998" s="20"/>
      <c r="P2998" s="20"/>
    </row>
    <row r="2999">
      <c r="A2999" s="10"/>
      <c r="B2999" s="11"/>
      <c r="C2999" s="10"/>
      <c r="D2999" s="13"/>
      <c r="E2999" s="14"/>
      <c r="F2999" s="14"/>
      <c r="G2999" s="14"/>
      <c r="H2999" s="10"/>
      <c r="I2999" s="17"/>
      <c r="J2999" s="10"/>
      <c r="K2999" s="46"/>
      <c r="L2999" s="10"/>
      <c r="M2999" s="20"/>
      <c r="N2999" s="20"/>
      <c r="O2999" s="20"/>
      <c r="P2999" s="20"/>
    </row>
    <row r="3000">
      <c r="A3000" s="23"/>
      <c r="B3000" s="21"/>
      <c r="C3000" s="23"/>
      <c r="D3000" s="24"/>
      <c r="E3000" s="14"/>
      <c r="F3000" s="14"/>
      <c r="G3000" s="14"/>
      <c r="H3000" s="23"/>
      <c r="I3000" s="27"/>
      <c r="J3000" s="23"/>
      <c r="K3000" s="30"/>
      <c r="L3000" s="23"/>
      <c r="M3000" s="20"/>
      <c r="N3000" s="20"/>
      <c r="O3000" s="20"/>
      <c r="P3000" s="20"/>
    </row>
    <row r="3001">
      <c r="A3001" s="10"/>
      <c r="B3001" s="11"/>
      <c r="C3001" s="10"/>
      <c r="D3001" s="13"/>
      <c r="E3001" s="14"/>
      <c r="F3001" s="14"/>
      <c r="G3001" s="14"/>
      <c r="H3001" s="10"/>
      <c r="I3001" s="17"/>
      <c r="J3001" s="10"/>
      <c r="K3001" s="46"/>
      <c r="L3001" s="10"/>
      <c r="M3001" s="20"/>
      <c r="N3001" s="20"/>
      <c r="O3001" s="20"/>
      <c r="P3001" s="20"/>
    </row>
    <row r="3002">
      <c r="A3002" s="23"/>
      <c r="B3002" s="21"/>
      <c r="C3002" s="23"/>
      <c r="D3002" s="24"/>
      <c r="E3002" s="14"/>
      <c r="F3002" s="14"/>
      <c r="G3002" s="14"/>
      <c r="H3002" s="23"/>
      <c r="I3002" s="27"/>
      <c r="J3002" s="23"/>
      <c r="K3002" s="30"/>
      <c r="L3002" s="23"/>
      <c r="M3002" s="20"/>
      <c r="N3002" s="20"/>
      <c r="O3002" s="20"/>
      <c r="P3002" s="20"/>
    </row>
    <row r="3003">
      <c r="A3003" s="10"/>
      <c r="B3003" s="11"/>
      <c r="C3003" s="10"/>
      <c r="D3003" s="13"/>
      <c r="E3003" s="14"/>
      <c r="F3003" s="14"/>
      <c r="G3003" s="14"/>
      <c r="H3003" s="10"/>
      <c r="I3003" s="17"/>
      <c r="J3003" s="10"/>
      <c r="K3003" s="46"/>
      <c r="L3003" s="10"/>
      <c r="M3003" s="20"/>
      <c r="N3003" s="20"/>
      <c r="O3003" s="20"/>
      <c r="P3003" s="20"/>
    </row>
    <row r="3004">
      <c r="A3004" s="23"/>
      <c r="B3004" s="21"/>
      <c r="C3004" s="23"/>
      <c r="D3004" s="24"/>
      <c r="E3004" s="14"/>
      <c r="F3004" s="14"/>
      <c r="G3004" s="14"/>
      <c r="H3004" s="23"/>
      <c r="I3004" s="27"/>
      <c r="J3004" s="23"/>
      <c r="K3004" s="30"/>
      <c r="L3004" s="23"/>
      <c r="M3004" s="20"/>
      <c r="N3004" s="20"/>
      <c r="O3004" s="20"/>
      <c r="P3004" s="20"/>
    </row>
    <row r="3005">
      <c r="A3005" s="10"/>
      <c r="B3005" s="11"/>
      <c r="C3005" s="10"/>
      <c r="D3005" s="13"/>
      <c r="E3005" s="14"/>
      <c r="F3005" s="14"/>
      <c r="G3005" s="14"/>
      <c r="H3005" s="10"/>
      <c r="I3005" s="17"/>
      <c r="J3005" s="10"/>
      <c r="K3005" s="46"/>
      <c r="L3005" s="10"/>
      <c r="M3005" s="20"/>
      <c r="N3005" s="20"/>
      <c r="O3005" s="20"/>
      <c r="P3005" s="20"/>
    </row>
    <row r="3006">
      <c r="A3006" s="23"/>
      <c r="B3006" s="21"/>
      <c r="C3006" s="23"/>
      <c r="D3006" s="24"/>
      <c r="E3006" s="14"/>
      <c r="F3006" s="14"/>
      <c r="G3006" s="14"/>
      <c r="H3006" s="23"/>
      <c r="I3006" s="27"/>
      <c r="J3006" s="23"/>
      <c r="K3006" s="30"/>
      <c r="L3006" s="23"/>
      <c r="M3006" s="20"/>
      <c r="N3006" s="20"/>
      <c r="O3006" s="20"/>
      <c r="P3006" s="20"/>
    </row>
    <row r="3007">
      <c r="A3007" s="10"/>
      <c r="B3007" s="11"/>
      <c r="C3007" s="10"/>
      <c r="D3007" s="13"/>
      <c r="E3007" s="14"/>
      <c r="F3007" s="14"/>
      <c r="G3007" s="14"/>
      <c r="H3007" s="10"/>
      <c r="I3007" s="17"/>
      <c r="J3007" s="10"/>
      <c r="K3007" s="46"/>
      <c r="L3007" s="10"/>
      <c r="M3007" s="20"/>
      <c r="N3007" s="20"/>
      <c r="O3007" s="20"/>
      <c r="P3007" s="20"/>
    </row>
    <row r="3008">
      <c r="A3008" s="23"/>
      <c r="B3008" s="21"/>
      <c r="C3008" s="23"/>
      <c r="D3008" s="24"/>
      <c r="E3008" s="14"/>
      <c r="F3008" s="14"/>
      <c r="G3008" s="14"/>
      <c r="H3008" s="23"/>
      <c r="I3008" s="27"/>
      <c r="J3008" s="23"/>
      <c r="K3008" s="30"/>
      <c r="L3008" s="23"/>
      <c r="M3008" s="20"/>
      <c r="N3008" s="20"/>
      <c r="O3008" s="20"/>
      <c r="P3008" s="20"/>
    </row>
    <row r="3009">
      <c r="A3009" s="10"/>
      <c r="B3009" s="11"/>
      <c r="C3009" s="10"/>
      <c r="D3009" s="13"/>
      <c r="E3009" s="14"/>
      <c r="F3009" s="14"/>
      <c r="G3009" s="14"/>
      <c r="H3009" s="10"/>
      <c r="I3009" s="17"/>
      <c r="J3009" s="10"/>
      <c r="K3009" s="46"/>
      <c r="L3009" s="10"/>
      <c r="M3009" s="20"/>
      <c r="N3009" s="20"/>
      <c r="O3009" s="20"/>
      <c r="P3009" s="20"/>
    </row>
    <row r="3010">
      <c r="A3010" s="23"/>
      <c r="B3010" s="21"/>
      <c r="C3010" s="23"/>
      <c r="D3010" s="24"/>
      <c r="E3010" s="14"/>
      <c r="F3010" s="14"/>
      <c r="G3010" s="14"/>
      <c r="H3010" s="23"/>
      <c r="I3010" s="27"/>
      <c r="J3010" s="23"/>
      <c r="K3010" s="30"/>
      <c r="L3010" s="23"/>
      <c r="M3010" s="20"/>
      <c r="N3010" s="20"/>
      <c r="O3010" s="20"/>
      <c r="P3010" s="20"/>
    </row>
    <row r="3011">
      <c r="A3011" s="10"/>
      <c r="B3011" s="11"/>
      <c r="C3011" s="10"/>
      <c r="D3011" s="13"/>
      <c r="E3011" s="14"/>
      <c r="F3011" s="14"/>
      <c r="G3011" s="14"/>
      <c r="H3011" s="10"/>
      <c r="I3011" s="17"/>
      <c r="J3011" s="10"/>
      <c r="K3011" s="46"/>
      <c r="L3011" s="10"/>
      <c r="M3011" s="20"/>
      <c r="N3011" s="20"/>
      <c r="O3011" s="20"/>
      <c r="P3011" s="20"/>
    </row>
    <row r="3012">
      <c r="A3012" s="23"/>
      <c r="B3012" s="21"/>
      <c r="C3012" s="23"/>
      <c r="D3012" s="24"/>
      <c r="E3012" s="14"/>
      <c r="F3012" s="14"/>
      <c r="G3012" s="14"/>
      <c r="H3012" s="23"/>
      <c r="I3012" s="27"/>
      <c r="J3012" s="23"/>
      <c r="K3012" s="30"/>
      <c r="L3012" s="23"/>
      <c r="M3012" s="20"/>
      <c r="N3012" s="20"/>
      <c r="O3012" s="20"/>
      <c r="P3012" s="20"/>
    </row>
    <row r="3013">
      <c r="A3013" s="10"/>
      <c r="B3013" s="11"/>
      <c r="C3013" s="10"/>
      <c r="D3013" s="13"/>
      <c r="E3013" s="14"/>
      <c r="F3013" s="14"/>
      <c r="G3013" s="14"/>
      <c r="H3013" s="10"/>
      <c r="I3013" s="17"/>
      <c r="J3013" s="10"/>
      <c r="K3013" s="46"/>
      <c r="L3013" s="10"/>
      <c r="M3013" s="20"/>
      <c r="N3013" s="20"/>
      <c r="O3013" s="20"/>
      <c r="P3013" s="20"/>
    </row>
    <row r="3014">
      <c r="A3014" s="23"/>
      <c r="B3014" s="21"/>
      <c r="C3014" s="23"/>
      <c r="D3014" s="24"/>
      <c r="E3014" s="14"/>
      <c r="F3014" s="14"/>
      <c r="G3014" s="14"/>
      <c r="H3014" s="23"/>
      <c r="I3014" s="27"/>
      <c r="J3014" s="23"/>
      <c r="K3014" s="30"/>
      <c r="L3014" s="23"/>
      <c r="M3014" s="20"/>
      <c r="N3014" s="20"/>
      <c r="O3014" s="20"/>
      <c r="P3014" s="20"/>
    </row>
    <row r="3015">
      <c r="A3015" s="10"/>
      <c r="B3015" s="11"/>
      <c r="C3015" s="10"/>
      <c r="D3015" s="13"/>
      <c r="E3015" s="14"/>
      <c r="F3015" s="14"/>
      <c r="G3015" s="14"/>
      <c r="H3015" s="10"/>
      <c r="I3015" s="17"/>
      <c r="J3015" s="10"/>
      <c r="K3015" s="46"/>
      <c r="L3015" s="10"/>
      <c r="M3015" s="20"/>
      <c r="N3015" s="20"/>
      <c r="O3015" s="20"/>
      <c r="P3015" s="20"/>
    </row>
    <row r="3016">
      <c r="A3016" s="23"/>
      <c r="B3016" s="21"/>
      <c r="C3016" s="23"/>
      <c r="D3016" s="24"/>
      <c r="E3016" s="14"/>
      <c r="F3016" s="14"/>
      <c r="G3016" s="14"/>
      <c r="H3016" s="23"/>
      <c r="I3016" s="27"/>
      <c r="J3016" s="23"/>
      <c r="K3016" s="30"/>
      <c r="L3016" s="23"/>
      <c r="M3016" s="20"/>
      <c r="N3016" s="20"/>
      <c r="O3016" s="20"/>
      <c r="P3016" s="20"/>
    </row>
    <row r="3017">
      <c r="A3017" s="10"/>
      <c r="B3017" s="11"/>
      <c r="C3017" s="10"/>
      <c r="D3017" s="13"/>
      <c r="E3017" s="14"/>
      <c r="F3017" s="14"/>
      <c r="G3017" s="14"/>
      <c r="H3017" s="10"/>
      <c r="I3017" s="17"/>
      <c r="J3017" s="10"/>
      <c r="K3017" s="46"/>
      <c r="L3017" s="10"/>
      <c r="M3017" s="20"/>
      <c r="N3017" s="20"/>
      <c r="O3017" s="20"/>
      <c r="P3017" s="20"/>
    </row>
    <row r="3018">
      <c r="A3018" s="23"/>
      <c r="B3018" s="21"/>
      <c r="C3018" s="23"/>
      <c r="D3018" s="24"/>
      <c r="E3018" s="14"/>
      <c r="F3018" s="14"/>
      <c r="G3018" s="14"/>
      <c r="H3018" s="23"/>
      <c r="I3018" s="27"/>
      <c r="J3018" s="23"/>
      <c r="K3018" s="30"/>
      <c r="L3018" s="23"/>
      <c r="M3018" s="20"/>
      <c r="N3018" s="20"/>
      <c r="O3018" s="20"/>
      <c r="P3018" s="20"/>
    </row>
    <row r="3019">
      <c r="A3019" s="10"/>
      <c r="B3019" s="11"/>
      <c r="C3019" s="10"/>
      <c r="D3019" s="13"/>
      <c r="E3019" s="14"/>
      <c r="F3019" s="14"/>
      <c r="G3019" s="14"/>
      <c r="H3019" s="10"/>
      <c r="I3019" s="17"/>
      <c r="J3019" s="10"/>
      <c r="K3019" s="46"/>
      <c r="L3019" s="10"/>
      <c r="M3019" s="20"/>
      <c r="N3019" s="20"/>
      <c r="O3019" s="20"/>
      <c r="P3019" s="20"/>
    </row>
    <row r="3020">
      <c r="A3020" s="23"/>
      <c r="B3020" s="21"/>
      <c r="C3020" s="23"/>
      <c r="D3020" s="24"/>
      <c r="E3020" s="14"/>
      <c r="F3020" s="14"/>
      <c r="G3020" s="14"/>
      <c r="H3020" s="23"/>
      <c r="I3020" s="27"/>
      <c r="J3020" s="23"/>
      <c r="K3020" s="30"/>
      <c r="L3020" s="23"/>
      <c r="M3020" s="20"/>
      <c r="N3020" s="20"/>
      <c r="O3020" s="20"/>
      <c r="P3020" s="20"/>
    </row>
    <row r="3021">
      <c r="A3021" s="10"/>
      <c r="B3021" s="11"/>
      <c r="C3021" s="10"/>
      <c r="D3021" s="13"/>
      <c r="E3021" s="14"/>
      <c r="F3021" s="14"/>
      <c r="G3021" s="14"/>
      <c r="H3021" s="10"/>
      <c r="I3021" s="17"/>
      <c r="J3021" s="10"/>
      <c r="K3021" s="46"/>
      <c r="L3021" s="10"/>
      <c r="M3021" s="20"/>
      <c r="N3021" s="20"/>
      <c r="O3021" s="20"/>
      <c r="P3021" s="20"/>
    </row>
    <row r="3022">
      <c r="A3022" s="23"/>
      <c r="B3022" s="21"/>
      <c r="C3022" s="23"/>
      <c r="D3022" s="24"/>
      <c r="E3022" s="14"/>
      <c r="F3022" s="14"/>
      <c r="G3022" s="14"/>
      <c r="H3022" s="23"/>
      <c r="I3022" s="27"/>
      <c r="J3022" s="23"/>
      <c r="K3022" s="30"/>
      <c r="L3022" s="23"/>
      <c r="M3022" s="20"/>
      <c r="N3022" s="20"/>
      <c r="O3022" s="20"/>
      <c r="P3022" s="20"/>
    </row>
    <row r="3023">
      <c r="A3023" s="10"/>
      <c r="B3023" s="11"/>
      <c r="C3023" s="10"/>
      <c r="D3023" s="13"/>
      <c r="E3023" s="14"/>
      <c r="F3023" s="14"/>
      <c r="G3023" s="14"/>
      <c r="H3023" s="10"/>
      <c r="I3023" s="17"/>
      <c r="J3023" s="10"/>
      <c r="K3023" s="46"/>
      <c r="L3023" s="10"/>
      <c r="M3023" s="20"/>
      <c r="N3023" s="20"/>
      <c r="O3023" s="20"/>
      <c r="P3023" s="20"/>
    </row>
    <row r="3024">
      <c r="A3024" s="23"/>
      <c r="B3024" s="21"/>
      <c r="C3024" s="23"/>
      <c r="D3024" s="24"/>
      <c r="E3024" s="14"/>
      <c r="F3024" s="14"/>
      <c r="G3024" s="14"/>
      <c r="H3024" s="23"/>
      <c r="I3024" s="27"/>
      <c r="J3024" s="23"/>
      <c r="K3024" s="30"/>
      <c r="L3024" s="23"/>
      <c r="M3024" s="20"/>
      <c r="N3024" s="20"/>
      <c r="O3024" s="20"/>
      <c r="P3024" s="20"/>
    </row>
    <row r="3025">
      <c r="A3025" s="10"/>
      <c r="B3025" s="11"/>
      <c r="C3025" s="10"/>
      <c r="D3025" s="13"/>
      <c r="E3025" s="14"/>
      <c r="F3025" s="14"/>
      <c r="G3025" s="14"/>
      <c r="H3025" s="10"/>
      <c r="I3025" s="17"/>
      <c r="J3025" s="10"/>
      <c r="K3025" s="46"/>
      <c r="L3025" s="10"/>
      <c r="M3025" s="20"/>
      <c r="N3025" s="20"/>
      <c r="O3025" s="20"/>
      <c r="P3025" s="20"/>
    </row>
    <row r="3026">
      <c r="A3026" s="23"/>
      <c r="B3026" s="21"/>
      <c r="C3026" s="23"/>
      <c r="D3026" s="24"/>
      <c r="E3026" s="14"/>
      <c r="F3026" s="14"/>
      <c r="G3026" s="14"/>
      <c r="H3026" s="23"/>
      <c r="I3026" s="27"/>
      <c r="J3026" s="23"/>
      <c r="K3026" s="30"/>
      <c r="L3026" s="23"/>
      <c r="M3026" s="20"/>
      <c r="N3026" s="20"/>
      <c r="O3026" s="20"/>
      <c r="P3026" s="20"/>
    </row>
    <row r="3027">
      <c r="A3027" s="10"/>
      <c r="B3027" s="11"/>
      <c r="C3027" s="10"/>
      <c r="D3027" s="13"/>
      <c r="E3027" s="14"/>
      <c r="F3027" s="14"/>
      <c r="G3027" s="14"/>
      <c r="H3027" s="10"/>
      <c r="I3027" s="17"/>
      <c r="J3027" s="10"/>
      <c r="K3027" s="46"/>
      <c r="L3027" s="10"/>
      <c r="M3027" s="20"/>
      <c r="N3027" s="20"/>
      <c r="O3027" s="20"/>
      <c r="P3027" s="20"/>
    </row>
    <row r="3028">
      <c r="A3028" s="23"/>
      <c r="B3028" s="21"/>
      <c r="C3028" s="23"/>
      <c r="D3028" s="24"/>
      <c r="E3028" s="14"/>
      <c r="F3028" s="14"/>
      <c r="G3028" s="14"/>
      <c r="H3028" s="23"/>
      <c r="I3028" s="27"/>
      <c r="J3028" s="23"/>
      <c r="K3028" s="30"/>
      <c r="L3028" s="23"/>
      <c r="M3028" s="20"/>
      <c r="N3028" s="20"/>
      <c r="O3028" s="20"/>
      <c r="P3028" s="20"/>
    </row>
    <row r="3029">
      <c r="A3029" s="10"/>
      <c r="B3029" s="11"/>
      <c r="C3029" s="10"/>
      <c r="D3029" s="13"/>
      <c r="E3029" s="14"/>
      <c r="F3029" s="14"/>
      <c r="G3029" s="14"/>
      <c r="H3029" s="10"/>
      <c r="I3029" s="17"/>
      <c r="J3029" s="10"/>
      <c r="K3029" s="46"/>
      <c r="L3029" s="10"/>
      <c r="M3029" s="20"/>
      <c r="N3029" s="20"/>
      <c r="O3029" s="20"/>
      <c r="P3029" s="20"/>
    </row>
    <row r="3030">
      <c r="A3030" s="23"/>
      <c r="B3030" s="21"/>
      <c r="C3030" s="23"/>
      <c r="D3030" s="24"/>
      <c r="E3030" s="14"/>
      <c r="F3030" s="14"/>
      <c r="G3030" s="14"/>
      <c r="H3030" s="23"/>
      <c r="I3030" s="27"/>
      <c r="J3030" s="23"/>
      <c r="K3030" s="30"/>
      <c r="L3030" s="23"/>
      <c r="M3030" s="20"/>
      <c r="N3030" s="20"/>
      <c r="O3030" s="20"/>
      <c r="P3030" s="20"/>
    </row>
    <row r="3031">
      <c r="A3031" s="10"/>
      <c r="B3031" s="11"/>
      <c r="C3031" s="10"/>
      <c r="D3031" s="13"/>
      <c r="E3031" s="14"/>
      <c r="F3031" s="14"/>
      <c r="G3031" s="14"/>
      <c r="H3031" s="10"/>
      <c r="I3031" s="17"/>
      <c r="J3031" s="10"/>
      <c r="K3031" s="46"/>
      <c r="L3031" s="10"/>
      <c r="M3031" s="20"/>
      <c r="N3031" s="20"/>
      <c r="O3031" s="20"/>
      <c r="P3031" s="20"/>
    </row>
    <row r="3032">
      <c r="A3032" s="23"/>
      <c r="B3032" s="21"/>
      <c r="C3032" s="23"/>
      <c r="D3032" s="24"/>
      <c r="E3032" s="14"/>
      <c r="F3032" s="14"/>
      <c r="G3032" s="14"/>
      <c r="H3032" s="23"/>
      <c r="I3032" s="27"/>
      <c r="J3032" s="23"/>
      <c r="K3032" s="30"/>
      <c r="L3032" s="23"/>
      <c r="M3032" s="20"/>
      <c r="N3032" s="20"/>
      <c r="O3032" s="20"/>
      <c r="P3032" s="20"/>
    </row>
    <row r="3033">
      <c r="A3033" s="10"/>
      <c r="B3033" s="11"/>
      <c r="C3033" s="10"/>
      <c r="D3033" s="13"/>
      <c r="E3033" s="14"/>
      <c r="F3033" s="14"/>
      <c r="G3033" s="14"/>
      <c r="H3033" s="10"/>
      <c r="I3033" s="17"/>
      <c r="J3033" s="10"/>
      <c r="K3033" s="46"/>
      <c r="L3033" s="10"/>
      <c r="M3033" s="20"/>
      <c r="N3033" s="20"/>
      <c r="O3033" s="20"/>
      <c r="P3033" s="20"/>
    </row>
    <row r="3034">
      <c r="A3034" s="23"/>
      <c r="B3034" s="21"/>
      <c r="C3034" s="23"/>
      <c r="D3034" s="24"/>
      <c r="E3034" s="14"/>
      <c r="F3034" s="14"/>
      <c r="G3034" s="14"/>
      <c r="H3034" s="23"/>
      <c r="I3034" s="27"/>
      <c r="J3034" s="23"/>
      <c r="K3034" s="30"/>
      <c r="L3034" s="23"/>
      <c r="M3034" s="20"/>
      <c r="N3034" s="20"/>
      <c r="O3034" s="20"/>
      <c r="P3034" s="20"/>
    </row>
    <row r="3035">
      <c r="A3035" s="10"/>
      <c r="B3035" s="11"/>
      <c r="C3035" s="10"/>
      <c r="D3035" s="13"/>
      <c r="E3035" s="14"/>
      <c r="F3035" s="14"/>
      <c r="G3035" s="14"/>
      <c r="H3035" s="10"/>
      <c r="I3035" s="17"/>
      <c r="J3035" s="10"/>
      <c r="K3035" s="46"/>
      <c r="L3035" s="10"/>
      <c r="M3035" s="20"/>
      <c r="N3035" s="20"/>
      <c r="O3035" s="20"/>
      <c r="P3035" s="20"/>
    </row>
    <row r="3036">
      <c r="A3036" s="23"/>
      <c r="B3036" s="21"/>
      <c r="C3036" s="23"/>
      <c r="D3036" s="24"/>
      <c r="E3036" s="14"/>
      <c r="F3036" s="14"/>
      <c r="G3036" s="14"/>
      <c r="H3036" s="23"/>
      <c r="I3036" s="27"/>
      <c r="J3036" s="23"/>
      <c r="K3036" s="30"/>
      <c r="L3036" s="23"/>
      <c r="M3036" s="20"/>
      <c r="N3036" s="20"/>
      <c r="O3036" s="20"/>
      <c r="P3036" s="20"/>
    </row>
    <row r="3037">
      <c r="A3037" s="10"/>
      <c r="B3037" s="11"/>
      <c r="C3037" s="10"/>
      <c r="D3037" s="13"/>
      <c r="E3037" s="14"/>
      <c r="F3037" s="14"/>
      <c r="G3037" s="14"/>
      <c r="H3037" s="10"/>
      <c r="I3037" s="17"/>
      <c r="J3037" s="10"/>
      <c r="K3037" s="46"/>
      <c r="L3037" s="10"/>
      <c r="M3037" s="20"/>
      <c r="N3037" s="20"/>
      <c r="O3037" s="20"/>
      <c r="P3037" s="20"/>
    </row>
    <row r="3038">
      <c r="A3038" s="23"/>
      <c r="B3038" s="21"/>
      <c r="C3038" s="23"/>
      <c r="D3038" s="24"/>
      <c r="E3038" s="14"/>
      <c r="F3038" s="14"/>
      <c r="G3038" s="14"/>
      <c r="H3038" s="23"/>
      <c r="I3038" s="27"/>
      <c r="J3038" s="23"/>
      <c r="K3038" s="30"/>
      <c r="L3038" s="23"/>
      <c r="M3038" s="20"/>
      <c r="N3038" s="20"/>
      <c r="O3038" s="20"/>
      <c r="P3038" s="20"/>
    </row>
    <row r="3039">
      <c r="A3039" s="10"/>
      <c r="B3039" s="11"/>
      <c r="C3039" s="10"/>
      <c r="D3039" s="13"/>
      <c r="E3039" s="14"/>
      <c r="F3039" s="14"/>
      <c r="G3039" s="14"/>
      <c r="H3039" s="10"/>
      <c r="I3039" s="17"/>
      <c r="J3039" s="10"/>
      <c r="K3039" s="46"/>
      <c r="L3039" s="10"/>
      <c r="M3039" s="20"/>
      <c r="N3039" s="20"/>
      <c r="O3039" s="20"/>
      <c r="P3039" s="20"/>
    </row>
    <row r="3040">
      <c r="A3040" s="23"/>
      <c r="B3040" s="21"/>
      <c r="C3040" s="23"/>
      <c r="D3040" s="24"/>
      <c r="E3040" s="14"/>
      <c r="F3040" s="14"/>
      <c r="G3040" s="14"/>
      <c r="H3040" s="23"/>
      <c r="I3040" s="27"/>
      <c r="J3040" s="23"/>
      <c r="K3040" s="30"/>
      <c r="L3040" s="23"/>
      <c r="M3040" s="20"/>
      <c r="N3040" s="20"/>
      <c r="O3040" s="20"/>
      <c r="P3040" s="20"/>
    </row>
    <row r="3041">
      <c r="A3041" s="10"/>
      <c r="B3041" s="11"/>
      <c r="C3041" s="10"/>
      <c r="D3041" s="13"/>
      <c r="E3041" s="14"/>
      <c r="F3041" s="14"/>
      <c r="G3041" s="14"/>
      <c r="H3041" s="10"/>
      <c r="I3041" s="17"/>
      <c r="J3041" s="10"/>
      <c r="K3041" s="46"/>
      <c r="L3041" s="10"/>
      <c r="M3041" s="20"/>
      <c r="N3041" s="20"/>
      <c r="O3041" s="20"/>
      <c r="P3041" s="20"/>
    </row>
    <row r="3042">
      <c r="A3042" s="23"/>
      <c r="B3042" s="21"/>
      <c r="C3042" s="23"/>
      <c r="D3042" s="24"/>
      <c r="E3042" s="14"/>
      <c r="F3042" s="14"/>
      <c r="G3042" s="14"/>
      <c r="H3042" s="23"/>
      <c r="I3042" s="27"/>
      <c r="J3042" s="23"/>
      <c r="K3042" s="30"/>
      <c r="L3042" s="23"/>
      <c r="M3042" s="20"/>
      <c r="N3042" s="20"/>
      <c r="O3042" s="20"/>
      <c r="P3042" s="20"/>
    </row>
    <row r="3043">
      <c r="A3043" s="10"/>
      <c r="B3043" s="11"/>
      <c r="C3043" s="10"/>
      <c r="D3043" s="13"/>
      <c r="E3043" s="14"/>
      <c r="F3043" s="14"/>
      <c r="G3043" s="14"/>
      <c r="H3043" s="10"/>
      <c r="I3043" s="17"/>
      <c r="J3043" s="10"/>
      <c r="K3043" s="46"/>
      <c r="L3043" s="10"/>
      <c r="M3043" s="20"/>
      <c r="N3043" s="20"/>
      <c r="O3043" s="20"/>
      <c r="P3043" s="20"/>
    </row>
    <row r="3044">
      <c r="A3044" s="23"/>
      <c r="B3044" s="21"/>
      <c r="C3044" s="23"/>
      <c r="D3044" s="24"/>
      <c r="E3044" s="14"/>
      <c r="F3044" s="14"/>
      <c r="G3044" s="14"/>
      <c r="H3044" s="23"/>
      <c r="I3044" s="27"/>
      <c r="J3044" s="23"/>
      <c r="K3044" s="30"/>
      <c r="L3044" s="23"/>
      <c r="M3044" s="20"/>
      <c r="N3044" s="20"/>
      <c r="O3044" s="20"/>
      <c r="P3044" s="20"/>
    </row>
    <row r="3045">
      <c r="A3045" s="10"/>
      <c r="B3045" s="11"/>
      <c r="C3045" s="10"/>
      <c r="D3045" s="13"/>
      <c r="E3045" s="14"/>
      <c r="F3045" s="14"/>
      <c r="G3045" s="14"/>
      <c r="H3045" s="10"/>
      <c r="I3045" s="17"/>
      <c r="J3045" s="10"/>
      <c r="K3045" s="46"/>
      <c r="L3045" s="10"/>
      <c r="M3045" s="20"/>
      <c r="N3045" s="20"/>
      <c r="O3045" s="20"/>
      <c r="P3045" s="20"/>
    </row>
    <row r="3046">
      <c r="A3046" s="23"/>
      <c r="B3046" s="21"/>
      <c r="C3046" s="23"/>
      <c r="D3046" s="24"/>
      <c r="E3046" s="14"/>
      <c r="F3046" s="14"/>
      <c r="G3046" s="14"/>
      <c r="H3046" s="23"/>
      <c r="I3046" s="27"/>
      <c r="J3046" s="23"/>
      <c r="K3046" s="30"/>
      <c r="L3046" s="23"/>
      <c r="M3046" s="20"/>
      <c r="N3046" s="20"/>
      <c r="O3046" s="20"/>
      <c r="P3046" s="20"/>
    </row>
    <row r="3047">
      <c r="A3047" s="10"/>
      <c r="B3047" s="11"/>
      <c r="C3047" s="10"/>
      <c r="D3047" s="13"/>
      <c r="E3047" s="14"/>
      <c r="F3047" s="14"/>
      <c r="G3047" s="14"/>
      <c r="H3047" s="10"/>
      <c r="I3047" s="17"/>
      <c r="J3047" s="10"/>
      <c r="K3047" s="46"/>
      <c r="L3047" s="10"/>
      <c r="M3047" s="20"/>
      <c r="N3047" s="20"/>
      <c r="O3047" s="20"/>
      <c r="P3047" s="20"/>
    </row>
    <row r="3048">
      <c r="A3048" s="23"/>
      <c r="B3048" s="21"/>
      <c r="C3048" s="23"/>
      <c r="D3048" s="24"/>
      <c r="E3048" s="14"/>
      <c r="F3048" s="14"/>
      <c r="G3048" s="14"/>
      <c r="H3048" s="23"/>
      <c r="I3048" s="27"/>
      <c r="J3048" s="23"/>
      <c r="K3048" s="30"/>
      <c r="L3048" s="23"/>
      <c r="M3048" s="20"/>
      <c r="N3048" s="20"/>
      <c r="O3048" s="20"/>
      <c r="P3048" s="20"/>
    </row>
    <row r="3049">
      <c r="A3049" s="10"/>
      <c r="B3049" s="11"/>
      <c r="C3049" s="10"/>
      <c r="D3049" s="13"/>
      <c r="E3049" s="14"/>
      <c r="F3049" s="14"/>
      <c r="G3049" s="14"/>
      <c r="H3049" s="10"/>
      <c r="I3049" s="17"/>
      <c r="J3049" s="10"/>
      <c r="K3049" s="46"/>
      <c r="L3049" s="10"/>
      <c r="M3049" s="20"/>
      <c r="N3049" s="20"/>
      <c r="O3049" s="20"/>
      <c r="P3049" s="20"/>
    </row>
    <row r="3050">
      <c r="A3050" s="23"/>
      <c r="B3050" s="21"/>
      <c r="C3050" s="23"/>
      <c r="D3050" s="24"/>
      <c r="E3050" s="14"/>
      <c r="F3050" s="14"/>
      <c r="G3050" s="14"/>
      <c r="H3050" s="23"/>
      <c r="I3050" s="27"/>
      <c r="J3050" s="23"/>
      <c r="K3050" s="30"/>
      <c r="L3050" s="23"/>
      <c r="M3050" s="20"/>
      <c r="N3050" s="20"/>
      <c r="O3050" s="20"/>
      <c r="P3050" s="20"/>
    </row>
    <row r="3051">
      <c r="A3051" s="10"/>
      <c r="B3051" s="11"/>
      <c r="C3051" s="10"/>
      <c r="D3051" s="13"/>
      <c r="E3051" s="14"/>
      <c r="F3051" s="14"/>
      <c r="G3051" s="14"/>
      <c r="H3051" s="10"/>
      <c r="I3051" s="17"/>
      <c r="J3051" s="10"/>
      <c r="K3051" s="46"/>
      <c r="L3051" s="10"/>
      <c r="M3051" s="20"/>
      <c r="N3051" s="20"/>
      <c r="O3051" s="20"/>
      <c r="P3051" s="20"/>
    </row>
    <row r="3052">
      <c r="A3052" s="23"/>
      <c r="B3052" s="21"/>
      <c r="C3052" s="23"/>
      <c r="D3052" s="24"/>
      <c r="E3052" s="14"/>
      <c r="F3052" s="14"/>
      <c r="G3052" s="14"/>
      <c r="H3052" s="23"/>
      <c r="I3052" s="27"/>
      <c r="J3052" s="23"/>
      <c r="K3052" s="30"/>
      <c r="L3052" s="23"/>
      <c r="M3052" s="20"/>
      <c r="N3052" s="20"/>
      <c r="O3052" s="20"/>
      <c r="P3052" s="20"/>
    </row>
    <row r="3053">
      <c r="A3053" s="10"/>
      <c r="B3053" s="11"/>
      <c r="C3053" s="10"/>
      <c r="D3053" s="13"/>
      <c r="E3053" s="14"/>
      <c r="F3053" s="14"/>
      <c r="G3053" s="14"/>
      <c r="H3053" s="10"/>
      <c r="I3053" s="17"/>
      <c r="J3053" s="10"/>
      <c r="K3053" s="46"/>
      <c r="L3053" s="10"/>
      <c r="M3053" s="20"/>
      <c r="N3053" s="20"/>
      <c r="O3053" s="20"/>
      <c r="P3053" s="20"/>
    </row>
    <row r="3054">
      <c r="A3054" s="23"/>
      <c r="B3054" s="21"/>
      <c r="C3054" s="23"/>
      <c r="D3054" s="24"/>
      <c r="E3054" s="14"/>
      <c r="F3054" s="14"/>
      <c r="G3054" s="14"/>
      <c r="H3054" s="23"/>
      <c r="I3054" s="27"/>
      <c r="J3054" s="23"/>
      <c r="K3054" s="30"/>
      <c r="L3054" s="23"/>
      <c r="M3054" s="20"/>
      <c r="N3054" s="20"/>
      <c r="O3054" s="20"/>
      <c r="P3054" s="20"/>
    </row>
    <row r="3055">
      <c r="A3055" s="10"/>
      <c r="B3055" s="11"/>
      <c r="C3055" s="10"/>
      <c r="D3055" s="13"/>
      <c r="E3055" s="14"/>
      <c r="F3055" s="14"/>
      <c r="G3055" s="14"/>
      <c r="H3055" s="10"/>
      <c r="I3055" s="17"/>
      <c r="J3055" s="10"/>
      <c r="K3055" s="46"/>
      <c r="L3055" s="10"/>
      <c r="M3055" s="20"/>
      <c r="N3055" s="20"/>
      <c r="O3055" s="20"/>
      <c r="P3055" s="20"/>
    </row>
    <row r="3056">
      <c r="A3056" s="23"/>
      <c r="B3056" s="21"/>
      <c r="C3056" s="23"/>
      <c r="D3056" s="24"/>
      <c r="E3056" s="14"/>
      <c r="F3056" s="14"/>
      <c r="G3056" s="14"/>
      <c r="H3056" s="23"/>
      <c r="I3056" s="27"/>
      <c r="J3056" s="23"/>
      <c r="K3056" s="30"/>
      <c r="L3056" s="23"/>
      <c r="M3056" s="20"/>
      <c r="N3056" s="20"/>
      <c r="O3056" s="20"/>
      <c r="P3056" s="20"/>
    </row>
    <row r="3057">
      <c r="A3057" s="10"/>
      <c r="B3057" s="11"/>
      <c r="C3057" s="10"/>
      <c r="D3057" s="13"/>
      <c r="E3057" s="14"/>
      <c r="F3057" s="14"/>
      <c r="G3057" s="14"/>
      <c r="H3057" s="10"/>
      <c r="I3057" s="17"/>
      <c r="J3057" s="10"/>
      <c r="K3057" s="46"/>
      <c r="L3057" s="10"/>
      <c r="M3057" s="20"/>
      <c r="N3057" s="20"/>
      <c r="O3057" s="20"/>
      <c r="P3057" s="20"/>
    </row>
    <row r="3058">
      <c r="A3058" s="23"/>
      <c r="B3058" s="21"/>
      <c r="C3058" s="23"/>
      <c r="D3058" s="24"/>
      <c r="E3058" s="14"/>
      <c r="F3058" s="14"/>
      <c r="G3058" s="14"/>
      <c r="H3058" s="23"/>
      <c r="I3058" s="27"/>
      <c r="J3058" s="23"/>
      <c r="K3058" s="30"/>
      <c r="L3058" s="23"/>
      <c r="M3058" s="20"/>
      <c r="N3058" s="20"/>
      <c r="O3058" s="20"/>
      <c r="P3058" s="20"/>
    </row>
    <row r="3059">
      <c r="A3059" s="10"/>
      <c r="B3059" s="11"/>
      <c r="C3059" s="10"/>
      <c r="D3059" s="13"/>
      <c r="E3059" s="14"/>
      <c r="F3059" s="14"/>
      <c r="G3059" s="14"/>
      <c r="H3059" s="10"/>
      <c r="I3059" s="17"/>
      <c r="J3059" s="10"/>
      <c r="K3059" s="46"/>
      <c r="L3059" s="10"/>
      <c r="M3059" s="20"/>
      <c r="N3059" s="20"/>
      <c r="O3059" s="20"/>
      <c r="P3059" s="20"/>
    </row>
    <row r="3060">
      <c r="A3060" s="23"/>
      <c r="B3060" s="21"/>
      <c r="C3060" s="23"/>
      <c r="D3060" s="24"/>
      <c r="E3060" s="14"/>
      <c r="F3060" s="14"/>
      <c r="G3060" s="14"/>
      <c r="H3060" s="23"/>
      <c r="I3060" s="27"/>
      <c r="J3060" s="23"/>
      <c r="K3060" s="30"/>
      <c r="L3060" s="23"/>
      <c r="M3060" s="20"/>
      <c r="N3060" s="20"/>
      <c r="O3060" s="20"/>
      <c r="P3060" s="20"/>
    </row>
    <row r="3061">
      <c r="A3061" s="10"/>
      <c r="B3061" s="11"/>
      <c r="C3061" s="10"/>
      <c r="D3061" s="13"/>
      <c r="E3061" s="14"/>
      <c r="F3061" s="14"/>
      <c r="G3061" s="14"/>
      <c r="H3061" s="10"/>
      <c r="I3061" s="17"/>
      <c r="J3061" s="10"/>
      <c r="K3061" s="46"/>
      <c r="L3061" s="10"/>
      <c r="M3061" s="20"/>
      <c r="N3061" s="20"/>
      <c r="O3061" s="20"/>
      <c r="P3061" s="20"/>
    </row>
    <row r="3062">
      <c r="A3062" s="23"/>
      <c r="B3062" s="21"/>
      <c r="C3062" s="23"/>
      <c r="D3062" s="24"/>
      <c r="E3062" s="14"/>
      <c r="F3062" s="14"/>
      <c r="G3062" s="14"/>
      <c r="H3062" s="23"/>
      <c r="I3062" s="27"/>
      <c r="J3062" s="23"/>
      <c r="K3062" s="30"/>
      <c r="L3062" s="23"/>
      <c r="M3062" s="20"/>
      <c r="N3062" s="20"/>
      <c r="O3062" s="20"/>
      <c r="P3062" s="20"/>
    </row>
    <row r="3063">
      <c r="A3063" s="10"/>
      <c r="B3063" s="11"/>
      <c r="C3063" s="10"/>
      <c r="D3063" s="13"/>
      <c r="E3063" s="14"/>
      <c r="F3063" s="14"/>
      <c r="G3063" s="14"/>
      <c r="H3063" s="10"/>
      <c r="I3063" s="17"/>
      <c r="J3063" s="10"/>
      <c r="K3063" s="46"/>
      <c r="L3063" s="10"/>
      <c r="M3063" s="20"/>
      <c r="N3063" s="20"/>
      <c r="O3063" s="20"/>
      <c r="P3063" s="20"/>
    </row>
    <row r="3064">
      <c r="A3064" s="23"/>
      <c r="B3064" s="21"/>
      <c r="C3064" s="23"/>
      <c r="D3064" s="24"/>
      <c r="E3064" s="14"/>
      <c r="F3064" s="14"/>
      <c r="G3064" s="14"/>
      <c r="H3064" s="23"/>
      <c r="I3064" s="27"/>
      <c r="J3064" s="23"/>
      <c r="K3064" s="30"/>
      <c r="L3064" s="23"/>
      <c r="M3064" s="20"/>
      <c r="N3064" s="20"/>
      <c r="O3064" s="20"/>
      <c r="P3064" s="20"/>
    </row>
    <row r="3065">
      <c r="A3065" s="10"/>
      <c r="B3065" s="11"/>
      <c r="C3065" s="10"/>
      <c r="D3065" s="13"/>
      <c r="E3065" s="14"/>
      <c r="F3065" s="14"/>
      <c r="G3065" s="14"/>
      <c r="H3065" s="10"/>
      <c r="I3065" s="17"/>
      <c r="J3065" s="10"/>
      <c r="K3065" s="46"/>
      <c r="L3065" s="10"/>
      <c r="M3065" s="20"/>
      <c r="N3065" s="20"/>
      <c r="O3065" s="20"/>
      <c r="P3065" s="20"/>
    </row>
    <row r="3066">
      <c r="A3066" s="23"/>
      <c r="B3066" s="21"/>
      <c r="C3066" s="23"/>
      <c r="D3066" s="24"/>
      <c r="E3066" s="14"/>
      <c r="F3066" s="14"/>
      <c r="G3066" s="14"/>
      <c r="H3066" s="23"/>
      <c r="I3066" s="27"/>
      <c r="J3066" s="23"/>
      <c r="K3066" s="30"/>
      <c r="L3066" s="23"/>
      <c r="M3066" s="20"/>
      <c r="N3066" s="20"/>
      <c r="O3066" s="20"/>
      <c r="P3066" s="20"/>
    </row>
    <row r="3067">
      <c r="A3067" s="10"/>
      <c r="B3067" s="11"/>
      <c r="C3067" s="10"/>
      <c r="D3067" s="13"/>
      <c r="E3067" s="14"/>
      <c r="F3067" s="14"/>
      <c r="G3067" s="14"/>
      <c r="H3067" s="10"/>
      <c r="I3067" s="17"/>
      <c r="J3067" s="10"/>
      <c r="K3067" s="46"/>
      <c r="L3067" s="10"/>
      <c r="M3067" s="20"/>
      <c r="N3067" s="20"/>
      <c r="O3067" s="20"/>
      <c r="P3067" s="20"/>
    </row>
    <row r="3068">
      <c r="A3068" s="23"/>
      <c r="B3068" s="21"/>
      <c r="C3068" s="23"/>
      <c r="D3068" s="24"/>
      <c r="E3068" s="14"/>
      <c r="F3068" s="14"/>
      <c r="G3068" s="14"/>
      <c r="H3068" s="23"/>
      <c r="I3068" s="27"/>
      <c r="J3068" s="23"/>
      <c r="K3068" s="30"/>
      <c r="L3068" s="23"/>
      <c r="M3068" s="20"/>
      <c r="N3068" s="20"/>
      <c r="O3068" s="20"/>
      <c r="P3068" s="20"/>
    </row>
    <row r="3069">
      <c r="A3069" s="10"/>
      <c r="B3069" s="11"/>
      <c r="C3069" s="10"/>
      <c r="D3069" s="13"/>
      <c r="E3069" s="14"/>
      <c r="F3069" s="14"/>
      <c r="G3069" s="14"/>
      <c r="H3069" s="10"/>
      <c r="I3069" s="17"/>
      <c r="J3069" s="10"/>
      <c r="K3069" s="46"/>
      <c r="L3069" s="10"/>
      <c r="M3069" s="20"/>
      <c r="N3069" s="20"/>
      <c r="O3069" s="20"/>
      <c r="P3069" s="20"/>
    </row>
    <row r="3070">
      <c r="A3070" s="23"/>
      <c r="B3070" s="21"/>
      <c r="C3070" s="23"/>
      <c r="D3070" s="24"/>
      <c r="E3070" s="14"/>
      <c r="F3070" s="14"/>
      <c r="G3070" s="14"/>
      <c r="H3070" s="23"/>
      <c r="I3070" s="27"/>
      <c r="J3070" s="23"/>
      <c r="K3070" s="30"/>
      <c r="L3070" s="23"/>
      <c r="M3070" s="20"/>
      <c r="N3070" s="20"/>
      <c r="O3070" s="20"/>
      <c r="P3070" s="20"/>
    </row>
    <row r="3071">
      <c r="A3071" s="10"/>
      <c r="B3071" s="11"/>
      <c r="C3071" s="10"/>
      <c r="D3071" s="13"/>
      <c r="E3071" s="14"/>
      <c r="F3071" s="14"/>
      <c r="G3071" s="14"/>
      <c r="H3071" s="10"/>
      <c r="I3071" s="17"/>
      <c r="J3071" s="10"/>
      <c r="K3071" s="46"/>
      <c r="L3071" s="10"/>
      <c r="M3071" s="20"/>
      <c r="N3071" s="20"/>
      <c r="O3071" s="20"/>
      <c r="P3071" s="20"/>
    </row>
    <row r="3072">
      <c r="A3072" s="23"/>
      <c r="B3072" s="21"/>
      <c r="C3072" s="23"/>
      <c r="D3072" s="24"/>
      <c r="E3072" s="14"/>
      <c r="F3072" s="14"/>
      <c r="G3072" s="14"/>
      <c r="H3072" s="23"/>
      <c r="I3072" s="27"/>
      <c r="J3072" s="23"/>
      <c r="K3072" s="30"/>
      <c r="L3072" s="23"/>
      <c r="M3072" s="20"/>
      <c r="N3072" s="20"/>
      <c r="O3072" s="20"/>
      <c r="P3072" s="20"/>
    </row>
    <row r="3073">
      <c r="A3073" s="10"/>
      <c r="B3073" s="11"/>
      <c r="C3073" s="10"/>
      <c r="D3073" s="13"/>
      <c r="E3073" s="14"/>
      <c r="F3073" s="14"/>
      <c r="G3073" s="14"/>
      <c r="H3073" s="10"/>
      <c r="I3073" s="17"/>
      <c r="J3073" s="10"/>
      <c r="K3073" s="46"/>
      <c r="L3073" s="10"/>
      <c r="M3073" s="20"/>
      <c r="N3073" s="20"/>
      <c r="O3073" s="20"/>
      <c r="P3073" s="20"/>
    </row>
    <row r="3074">
      <c r="A3074" s="23"/>
      <c r="B3074" s="21"/>
      <c r="C3074" s="23"/>
      <c r="D3074" s="24"/>
      <c r="E3074" s="14"/>
      <c r="F3074" s="14"/>
      <c r="G3074" s="14"/>
      <c r="H3074" s="23"/>
      <c r="I3074" s="27"/>
      <c r="J3074" s="23"/>
      <c r="K3074" s="30"/>
      <c r="L3074" s="23"/>
      <c r="M3074" s="20"/>
      <c r="N3074" s="20"/>
      <c r="O3074" s="20"/>
      <c r="P3074" s="20"/>
    </row>
    <row r="3075">
      <c r="A3075" s="10"/>
      <c r="B3075" s="11"/>
      <c r="C3075" s="10"/>
      <c r="D3075" s="13"/>
      <c r="E3075" s="14"/>
      <c r="F3075" s="14"/>
      <c r="G3075" s="14"/>
      <c r="H3075" s="10"/>
      <c r="I3075" s="17"/>
      <c r="J3075" s="10"/>
      <c r="K3075" s="46"/>
      <c r="L3075" s="10"/>
      <c r="M3075" s="20"/>
      <c r="N3075" s="20"/>
      <c r="O3075" s="20"/>
      <c r="P3075" s="20"/>
    </row>
    <row r="3076">
      <c r="A3076" s="23"/>
      <c r="B3076" s="21"/>
      <c r="C3076" s="23"/>
      <c r="D3076" s="24"/>
      <c r="E3076" s="14"/>
      <c r="F3076" s="14"/>
      <c r="G3076" s="14"/>
      <c r="H3076" s="23"/>
      <c r="I3076" s="27"/>
      <c r="J3076" s="23"/>
      <c r="K3076" s="30"/>
      <c r="L3076" s="23"/>
      <c r="M3076" s="20"/>
      <c r="N3076" s="20"/>
      <c r="O3076" s="20"/>
      <c r="P3076" s="20"/>
    </row>
    <row r="3077">
      <c r="A3077" s="10"/>
      <c r="B3077" s="11"/>
      <c r="C3077" s="10"/>
      <c r="D3077" s="13"/>
      <c r="E3077" s="14"/>
      <c r="F3077" s="14"/>
      <c r="G3077" s="14"/>
      <c r="H3077" s="10"/>
      <c r="I3077" s="17"/>
      <c r="J3077" s="10"/>
      <c r="K3077" s="46"/>
      <c r="L3077" s="10"/>
      <c r="M3077" s="20"/>
      <c r="N3077" s="20"/>
      <c r="O3077" s="20"/>
      <c r="P3077" s="20"/>
    </row>
    <row r="3078">
      <c r="A3078" s="23"/>
      <c r="B3078" s="21"/>
      <c r="C3078" s="23"/>
      <c r="D3078" s="24"/>
      <c r="E3078" s="14"/>
      <c r="F3078" s="14"/>
      <c r="G3078" s="14"/>
      <c r="H3078" s="23"/>
      <c r="I3078" s="27"/>
      <c r="J3078" s="23"/>
      <c r="K3078" s="30"/>
      <c r="L3078" s="23"/>
      <c r="M3078" s="20"/>
      <c r="N3078" s="20"/>
      <c r="O3078" s="20"/>
      <c r="P3078" s="20"/>
    </row>
    <row r="3079">
      <c r="A3079" s="10"/>
      <c r="B3079" s="11"/>
      <c r="C3079" s="10"/>
      <c r="D3079" s="13"/>
      <c r="E3079" s="14"/>
      <c r="F3079" s="14"/>
      <c r="G3079" s="14"/>
      <c r="H3079" s="10"/>
      <c r="I3079" s="17"/>
      <c r="J3079" s="10"/>
      <c r="K3079" s="46"/>
      <c r="L3079" s="10"/>
      <c r="M3079" s="20"/>
      <c r="N3079" s="20"/>
      <c r="O3079" s="20"/>
      <c r="P3079" s="20"/>
    </row>
    <row r="3080">
      <c r="A3080" s="23"/>
      <c r="B3080" s="21"/>
      <c r="C3080" s="23"/>
      <c r="D3080" s="24"/>
      <c r="E3080" s="14"/>
      <c r="F3080" s="14"/>
      <c r="G3080" s="14"/>
      <c r="H3080" s="23"/>
      <c r="I3080" s="27"/>
      <c r="J3080" s="23"/>
      <c r="K3080" s="30"/>
      <c r="L3080" s="23"/>
      <c r="M3080" s="20"/>
      <c r="N3080" s="20"/>
      <c r="O3080" s="20"/>
      <c r="P3080" s="20"/>
    </row>
    <row r="3081">
      <c r="A3081" s="10"/>
      <c r="B3081" s="11"/>
      <c r="C3081" s="10"/>
      <c r="D3081" s="13"/>
      <c r="E3081" s="14"/>
      <c r="F3081" s="14"/>
      <c r="G3081" s="14"/>
      <c r="H3081" s="10"/>
      <c r="I3081" s="17"/>
      <c r="J3081" s="10"/>
      <c r="K3081" s="46"/>
      <c r="L3081" s="10"/>
      <c r="M3081" s="20"/>
      <c r="N3081" s="20"/>
      <c r="O3081" s="20"/>
      <c r="P3081" s="20"/>
    </row>
    <row r="3082">
      <c r="A3082" s="23"/>
      <c r="B3082" s="21"/>
      <c r="C3082" s="23"/>
      <c r="D3082" s="24"/>
      <c r="E3082" s="14"/>
      <c r="F3082" s="14"/>
      <c r="G3082" s="14"/>
      <c r="H3082" s="23"/>
      <c r="I3082" s="27"/>
      <c r="J3082" s="23"/>
      <c r="K3082" s="30"/>
      <c r="L3082" s="23"/>
      <c r="M3082" s="20"/>
      <c r="N3082" s="20"/>
      <c r="O3082" s="20"/>
      <c r="P3082" s="20"/>
    </row>
    <row r="3083">
      <c r="A3083" s="10"/>
      <c r="B3083" s="11"/>
      <c r="C3083" s="10"/>
      <c r="D3083" s="13"/>
      <c r="E3083" s="14"/>
      <c r="F3083" s="14"/>
      <c r="G3083" s="14"/>
      <c r="H3083" s="10"/>
      <c r="I3083" s="17"/>
      <c r="J3083" s="10"/>
      <c r="K3083" s="46"/>
      <c r="L3083" s="10"/>
      <c r="M3083" s="20"/>
      <c r="N3083" s="20"/>
      <c r="O3083" s="20"/>
      <c r="P3083" s="20"/>
    </row>
    <row r="3084">
      <c r="A3084" s="23"/>
      <c r="B3084" s="21"/>
      <c r="C3084" s="23"/>
      <c r="D3084" s="24"/>
      <c r="E3084" s="14"/>
      <c r="F3084" s="14"/>
      <c r="G3084" s="14"/>
      <c r="H3084" s="23"/>
      <c r="I3084" s="27"/>
      <c r="J3084" s="23"/>
      <c r="K3084" s="30"/>
      <c r="L3084" s="23"/>
      <c r="M3084" s="20"/>
      <c r="N3084" s="20"/>
      <c r="O3084" s="20"/>
      <c r="P3084" s="20"/>
    </row>
    <row r="3085">
      <c r="A3085" s="10"/>
      <c r="B3085" s="11"/>
      <c r="C3085" s="10"/>
      <c r="D3085" s="13"/>
      <c r="E3085" s="14"/>
      <c r="F3085" s="14"/>
      <c r="G3085" s="14"/>
      <c r="H3085" s="10"/>
      <c r="I3085" s="17"/>
      <c r="J3085" s="10"/>
      <c r="K3085" s="46"/>
      <c r="L3085" s="10"/>
      <c r="M3085" s="20"/>
      <c r="N3085" s="20"/>
      <c r="O3085" s="20"/>
      <c r="P3085" s="20"/>
    </row>
    <row r="3086">
      <c r="A3086" s="23"/>
      <c r="B3086" s="21"/>
      <c r="C3086" s="23"/>
      <c r="D3086" s="24"/>
      <c r="E3086" s="14"/>
      <c r="F3086" s="14"/>
      <c r="G3086" s="14"/>
      <c r="H3086" s="23"/>
      <c r="I3086" s="27"/>
      <c r="J3086" s="23"/>
      <c r="K3086" s="30"/>
      <c r="L3086" s="23"/>
      <c r="M3086" s="20"/>
      <c r="N3086" s="20"/>
      <c r="O3086" s="20"/>
      <c r="P3086" s="20"/>
    </row>
    <row r="3087">
      <c r="A3087" s="10"/>
      <c r="B3087" s="11"/>
      <c r="C3087" s="10"/>
      <c r="D3087" s="13"/>
      <c r="E3087" s="14"/>
      <c r="F3087" s="14"/>
      <c r="G3087" s="14"/>
      <c r="H3087" s="10"/>
      <c r="I3087" s="17"/>
      <c r="J3087" s="10"/>
      <c r="K3087" s="46"/>
      <c r="L3087" s="10"/>
      <c r="M3087" s="20"/>
      <c r="N3087" s="20"/>
      <c r="O3087" s="20"/>
      <c r="P3087" s="20"/>
    </row>
    <row r="3088">
      <c r="A3088" s="23"/>
      <c r="B3088" s="21"/>
      <c r="C3088" s="23"/>
      <c r="D3088" s="24"/>
      <c r="E3088" s="14"/>
      <c r="F3088" s="14"/>
      <c r="G3088" s="14"/>
      <c r="H3088" s="23"/>
      <c r="I3088" s="27"/>
      <c r="J3088" s="23"/>
      <c r="K3088" s="30"/>
      <c r="L3088" s="23"/>
      <c r="M3088" s="20"/>
      <c r="N3088" s="20"/>
      <c r="O3088" s="20"/>
      <c r="P3088" s="20"/>
    </row>
    <row r="3089">
      <c r="A3089" s="10"/>
      <c r="B3089" s="11"/>
      <c r="C3089" s="10"/>
      <c r="D3089" s="13"/>
      <c r="E3089" s="14"/>
      <c r="F3089" s="14"/>
      <c r="G3089" s="14"/>
      <c r="H3089" s="10"/>
      <c r="I3089" s="17"/>
      <c r="J3089" s="10"/>
      <c r="K3089" s="46"/>
      <c r="L3089" s="10"/>
      <c r="M3089" s="20"/>
      <c r="N3089" s="20"/>
      <c r="O3089" s="20"/>
      <c r="P3089" s="20"/>
    </row>
    <row r="3090">
      <c r="A3090" s="23"/>
      <c r="B3090" s="21"/>
      <c r="C3090" s="23"/>
      <c r="D3090" s="24"/>
      <c r="E3090" s="14"/>
      <c r="F3090" s="14"/>
      <c r="G3090" s="14"/>
      <c r="H3090" s="23"/>
      <c r="I3090" s="27"/>
      <c r="J3090" s="23"/>
      <c r="K3090" s="30"/>
      <c r="L3090" s="23"/>
      <c r="M3090" s="20"/>
      <c r="N3090" s="20"/>
      <c r="O3090" s="20"/>
      <c r="P3090" s="20"/>
    </row>
    <row r="3091">
      <c r="A3091" s="10"/>
      <c r="B3091" s="11"/>
      <c r="C3091" s="10"/>
      <c r="D3091" s="13"/>
      <c r="E3091" s="14"/>
      <c r="F3091" s="14"/>
      <c r="G3091" s="14"/>
      <c r="H3091" s="10"/>
      <c r="I3091" s="17"/>
      <c r="J3091" s="10"/>
      <c r="K3091" s="46"/>
      <c r="L3091" s="10"/>
      <c r="M3091" s="20"/>
      <c r="N3091" s="20"/>
      <c r="O3091" s="20"/>
      <c r="P3091" s="20"/>
    </row>
    <row r="3092">
      <c r="A3092" s="23"/>
      <c r="B3092" s="21"/>
      <c r="C3092" s="23"/>
      <c r="D3092" s="24"/>
      <c r="E3092" s="14"/>
      <c r="F3092" s="14"/>
      <c r="G3092" s="14"/>
      <c r="H3092" s="23"/>
      <c r="I3092" s="27"/>
      <c r="J3092" s="23"/>
      <c r="K3092" s="30"/>
      <c r="L3092" s="23"/>
      <c r="M3092" s="20"/>
      <c r="N3092" s="20"/>
      <c r="O3092" s="20"/>
      <c r="P3092" s="20"/>
    </row>
    <row r="3093">
      <c r="A3093" s="10"/>
      <c r="B3093" s="11"/>
      <c r="C3093" s="10"/>
      <c r="D3093" s="13"/>
      <c r="E3093" s="14"/>
      <c r="F3093" s="14"/>
      <c r="G3093" s="14"/>
      <c r="H3093" s="10"/>
      <c r="I3093" s="17"/>
      <c r="J3093" s="10"/>
      <c r="K3093" s="46"/>
      <c r="L3093" s="10"/>
      <c r="M3093" s="20"/>
      <c r="N3093" s="20"/>
      <c r="O3093" s="20"/>
      <c r="P3093" s="20"/>
    </row>
    <row r="3094">
      <c r="A3094" s="23"/>
      <c r="B3094" s="21"/>
      <c r="C3094" s="23"/>
      <c r="D3094" s="24"/>
      <c r="E3094" s="14"/>
      <c r="F3094" s="14"/>
      <c r="G3094" s="14"/>
      <c r="H3094" s="23"/>
      <c r="I3094" s="27"/>
      <c r="J3094" s="23"/>
      <c r="K3094" s="30"/>
      <c r="L3094" s="23"/>
      <c r="M3094" s="20"/>
      <c r="N3094" s="20"/>
      <c r="O3094" s="20"/>
      <c r="P3094" s="20"/>
    </row>
    <row r="3095">
      <c r="A3095" s="10"/>
      <c r="B3095" s="11"/>
      <c r="C3095" s="10"/>
      <c r="D3095" s="13"/>
      <c r="E3095" s="14"/>
      <c r="F3095" s="14"/>
      <c r="G3095" s="14"/>
      <c r="H3095" s="10"/>
      <c r="I3095" s="17"/>
      <c r="J3095" s="10"/>
      <c r="K3095" s="46"/>
      <c r="L3095" s="10"/>
      <c r="M3095" s="20"/>
      <c r="N3095" s="20"/>
      <c r="O3095" s="20"/>
      <c r="P3095" s="20"/>
    </row>
    <row r="3096">
      <c r="A3096" s="23"/>
      <c r="B3096" s="21"/>
      <c r="C3096" s="23"/>
      <c r="D3096" s="24"/>
      <c r="E3096" s="14"/>
      <c r="F3096" s="14"/>
      <c r="G3096" s="14"/>
      <c r="H3096" s="23"/>
      <c r="I3096" s="27"/>
      <c r="J3096" s="23"/>
      <c r="K3096" s="30"/>
      <c r="L3096" s="23"/>
      <c r="M3096" s="20"/>
      <c r="N3096" s="20"/>
      <c r="O3096" s="20"/>
      <c r="P3096" s="20"/>
    </row>
    <row r="3097">
      <c r="A3097" s="10"/>
      <c r="B3097" s="11"/>
      <c r="C3097" s="10"/>
      <c r="D3097" s="13"/>
      <c r="E3097" s="14"/>
      <c r="F3097" s="14"/>
      <c r="G3097" s="14"/>
      <c r="H3097" s="10"/>
      <c r="I3097" s="17"/>
      <c r="J3097" s="10"/>
      <c r="K3097" s="46"/>
      <c r="L3097" s="10"/>
      <c r="M3097" s="20"/>
      <c r="N3097" s="20"/>
      <c r="O3097" s="20"/>
      <c r="P3097" s="20"/>
    </row>
    <row r="3098">
      <c r="A3098" s="23"/>
      <c r="B3098" s="21"/>
      <c r="C3098" s="23"/>
      <c r="D3098" s="24"/>
      <c r="E3098" s="14"/>
      <c r="F3098" s="14"/>
      <c r="G3098" s="14"/>
      <c r="H3098" s="23"/>
      <c r="I3098" s="27"/>
      <c r="J3098" s="23"/>
      <c r="K3098" s="30"/>
      <c r="L3098" s="23"/>
      <c r="M3098" s="20"/>
      <c r="N3098" s="20"/>
      <c r="O3098" s="20"/>
      <c r="P3098" s="20"/>
    </row>
    <row r="3099">
      <c r="A3099" s="10"/>
      <c r="B3099" s="11"/>
      <c r="C3099" s="10"/>
      <c r="D3099" s="13"/>
      <c r="E3099" s="14"/>
      <c r="F3099" s="14"/>
      <c r="G3099" s="14"/>
      <c r="H3099" s="10"/>
      <c r="I3099" s="17"/>
      <c r="J3099" s="10"/>
      <c r="K3099" s="46"/>
      <c r="L3099" s="10"/>
      <c r="M3099" s="20"/>
      <c r="N3099" s="20"/>
      <c r="O3099" s="20"/>
      <c r="P3099" s="20"/>
    </row>
    <row r="3100">
      <c r="A3100" s="23"/>
      <c r="B3100" s="21"/>
      <c r="C3100" s="23"/>
      <c r="D3100" s="24"/>
      <c r="E3100" s="14"/>
      <c r="F3100" s="14"/>
      <c r="G3100" s="14"/>
      <c r="H3100" s="23"/>
      <c r="I3100" s="27"/>
      <c r="J3100" s="23"/>
      <c r="K3100" s="30"/>
      <c r="L3100" s="23"/>
      <c r="M3100" s="20"/>
      <c r="N3100" s="20"/>
      <c r="O3100" s="20"/>
      <c r="P3100" s="20"/>
    </row>
    <row r="3101">
      <c r="A3101" s="10"/>
      <c r="B3101" s="11"/>
      <c r="C3101" s="10"/>
      <c r="D3101" s="13"/>
      <c r="E3101" s="14"/>
      <c r="F3101" s="14"/>
      <c r="G3101" s="14"/>
      <c r="H3101" s="10"/>
      <c r="I3101" s="17"/>
      <c r="J3101" s="10"/>
      <c r="K3101" s="46"/>
      <c r="L3101" s="10"/>
      <c r="M3101" s="20"/>
      <c r="N3101" s="20"/>
      <c r="O3101" s="20"/>
      <c r="P3101" s="20"/>
    </row>
    <row r="3102">
      <c r="A3102" s="23"/>
      <c r="B3102" s="21"/>
      <c r="C3102" s="23"/>
      <c r="D3102" s="24"/>
      <c r="E3102" s="14"/>
      <c r="F3102" s="14"/>
      <c r="G3102" s="14"/>
      <c r="H3102" s="23"/>
      <c r="I3102" s="27"/>
      <c r="J3102" s="23"/>
      <c r="K3102" s="30"/>
      <c r="L3102" s="23"/>
      <c r="M3102" s="20"/>
      <c r="N3102" s="20"/>
      <c r="O3102" s="20"/>
      <c r="P3102" s="20"/>
    </row>
    <row r="3103">
      <c r="A3103" s="10"/>
      <c r="B3103" s="11"/>
      <c r="C3103" s="10"/>
      <c r="D3103" s="13"/>
      <c r="E3103" s="14"/>
      <c r="F3103" s="14"/>
      <c r="G3103" s="14"/>
      <c r="H3103" s="10"/>
      <c r="I3103" s="17"/>
      <c r="J3103" s="10"/>
      <c r="K3103" s="46"/>
      <c r="L3103" s="10"/>
      <c r="M3103" s="20"/>
      <c r="N3103" s="20"/>
      <c r="O3103" s="20"/>
      <c r="P3103" s="20"/>
    </row>
    <row r="3104">
      <c r="A3104" s="23"/>
      <c r="B3104" s="21"/>
      <c r="C3104" s="23"/>
      <c r="D3104" s="24"/>
      <c r="E3104" s="14"/>
      <c r="F3104" s="14"/>
      <c r="G3104" s="14"/>
      <c r="H3104" s="23"/>
      <c r="I3104" s="27"/>
      <c r="J3104" s="23"/>
      <c r="K3104" s="30"/>
      <c r="L3104" s="23"/>
      <c r="M3104" s="20"/>
      <c r="N3104" s="20"/>
      <c r="O3104" s="20"/>
      <c r="P3104" s="20"/>
    </row>
    <row r="3105">
      <c r="A3105" s="10"/>
      <c r="B3105" s="11"/>
      <c r="C3105" s="10"/>
      <c r="D3105" s="13"/>
      <c r="E3105" s="14"/>
      <c r="F3105" s="14"/>
      <c r="G3105" s="14"/>
      <c r="H3105" s="10"/>
      <c r="I3105" s="17"/>
      <c r="J3105" s="10"/>
      <c r="K3105" s="46"/>
      <c r="L3105" s="10"/>
      <c r="M3105" s="20"/>
      <c r="N3105" s="20"/>
      <c r="O3105" s="20"/>
      <c r="P3105" s="20"/>
    </row>
    <row r="3106">
      <c r="A3106" s="23"/>
      <c r="B3106" s="21"/>
      <c r="C3106" s="23"/>
      <c r="D3106" s="24"/>
      <c r="E3106" s="14"/>
      <c r="F3106" s="14"/>
      <c r="G3106" s="14"/>
      <c r="H3106" s="23"/>
      <c r="I3106" s="27"/>
      <c r="J3106" s="23"/>
      <c r="K3106" s="30"/>
      <c r="L3106" s="23"/>
      <c r="M3106" s="20"/>
      <c r="N3106" s="20"/>
      <c r="O3106" s="20"/>
      <c r="P3106" s="20"/>
    </row>
    <row r="3107">
      <c r="A3107" s="10"/>
      <c r="B3107" s="11"/>
      <c r="C3107" s="10"/>
      <c r="D3107" s="13"/>
      <c r="E3107" s="14"/>
      <c r="F3107" s="14"/>
      <c r="G3107" s="14"/>
      <c r="H3107" s="10"/>
      <c r="I3107" s="17"/>
      <c r="J3107" s="10"/>
      <c r="K3107" s="46"/>
      <c r="L3107" s="10"/>
      <c r="M3107" s="20"/>
      <c r="N3107" s="20"/>
      <c r="O3107" s="20"/>
      <c r="P3107" s="20"/>
    </row>
    <row r="3108">
      <c r="A3108" s="23"/>
      <c r="B3108" s="21"/>
      <c r="C3108" s="23"/>
      <c r="D3108" s="24"/>
      <c r="E3108" s="14"/>
      <c r="F3108" s="14"/>
      <c r="G3108" s="14"/>
      <c r="H3108" s="23"/>
      <c r="I3108" s="27"/>
      <c r="J3108" s="23"/>
      <c r="K3108" s="30"/>
      <c r="L3108" s="23"/>
      <c r="M3108" s="20"/>
      <c r="N3108" s="20"/>
      <c r="O3108" s="20"/>
      <c r="P3108" s="20"/>
    </row>
    <row r="3109">
      <c r="A3109" s="10"/>
      <c r="B3109" s="11"/>
      <c r="C3109" s="10"/>
      <c r="D3109" s="13"/>
      <c r="E3109" s="14"/>
      <c r="F3109" s="14"/>
      <c r="G3109" s="14"/>
      <c r="H3109" s="10"/>
      <c r="I3109" s="17"/>
      <c r="J3109" s="10"/>
      <c r="K3109" s="46"/>
      <c r="L3109" s="10"/>
      <c r="M3109" s="20"/>
      <c r="N3109" s="20"/>
      <c r="O3109" s="20"/>
      <c r="P3109" s="20"/>
    </row>
    <row r="3110">
      <c r="A3110" s="23"/>
      <c r="B3110" s="21"/>
      <c r="C3110" s="23"/>
      <c r="D3110" s="24"/>
      <c r="E3110" s="14"/>
      <c r="F3110" s="14"/>
      <c r="G3110" s="14"/>
      <c r="H3110" s="23"/>
      <c r="I3110" s="27"/>
      <c r="J3110" s="23"/>
      <c r="K3110" s="30"/>
      <c r="L3110" s="23"/>
      <c r="M3110" s="20"/>
      <c r="N3110" s="20"/>
      <c r="O3110" s="20"/>
      <c r="P3110" s="20"/>
    </row>
    <row r="3111">
      <c r="A3111" s="10"/>
      <c r="B3111" s="11"/>
      <c r="C3111" s="10"/>
      <c r="D3111" s="13"/>
      <c r="E3111" s="14"/>
      <c r="F3111" s="14"/>
      <c r="G3111" s="14"/>
      <c r="H3111" s="10"/>
      <c r="I3111" s="17"/>
      <c r="J3111" s="10"/>
      <c r="K3111" s="46"/>
      <c r="L3111" s="10"/>
      <c r="M3111" s="20"/>
      <c r="N3111" s="20"/>
      <c r="O3111" s="20"/>
      <c r="P3111" s="20"/>
    </row>
    <row r="3112">
      <c r="A3112" s="23"/>
      <c r="B3112" s="21"/>
      <c r="C3112" s="23"/>
      <c r="D3112" s="24"/>
      <c r="E3112" s="14"/>
      <c r="F3112" s="14"/>
      <c r="G3112" s="14"/>
      <c r="H3112" s="23"/>
      <c r="I3112" s="27"/>
      <c r="J3112" s="23"/>
      <c r="K3112" s="30"/>
      <c r="L3112" s="23"/>
      <c r="M3112" s="20"/>
      <c r="N3112" s="20"/>
      <c r="O3112" s="20"/>
      <c r="P3112" s="20"/>
    </row>
    <row r="3113">
      <c r="A3113" s="10"/>
      <c r="B3113" s="11"/>
      <c r="C3113" s="10"/>
      <c r="D3113" s="13"/>
      <c r="E3113" s="14"/>
      <c r="F3113" s="14"/>
      <c r="G3113" s="14"/>
      <c r="H3113" s="10"/>
      <c r="I3113" s="17"/>
      <c r="J3113" s="10"/>
      <c r="K3113" s="46"/>
      <c r="L3113" s="10"/>
      <c r="M3113" s="20"/>
      <c r="N3113" s="20"/>
      <c r="O3113" s="20"/>
      <c r="P3113" s="20"/>
    </row>
    <row r="3114">
      <c r="A3114" s="23"/>
      <c r="B3114" s="21"/>
      <c r="C3114" s="23"/>
      <c r="D3114" s="24"/>
      <c r="E3114" s="14"/>
      <c r="F3114" s="14"/>
      <c r="G3114" s="14"/>
      <c r="H3114" s="23"/>
      <c r="I3114" s="27"/>
      <c r="J3114" s="23"/>
      <c r="K3114" s="30"/>
      <c r="L3114" s="23"/>
      <c r="M3114" s="20"/>
      <c r="N3114" s="20"/>
      <c r="O3114" s="20"/>
      <c r="P3114" s="20"/>
    </row>
    <row r="3115">
      <c r="A3115" s="10"/>
      <c r="B3115" s="11"/>
      <c r="C3115" s="10"/>
      <c r="D3115" s="13"/>
      <c r="E3115" s="14"/>
      <c r="F3115" s="14"/>
      <c r="G3115" s="14"/>
      <c r="H3115" s="10"/>
      <c r="I3115" s="17"/>
      <c r="J3115" s="10"/>
      <c r="K3115" s="46"/>
      <c r="L3115" s="10"/>
      <c r="M3115" s="20"/>
      <c r="N3115" s="20"/>
      <c r="O3115" s="20"/>
      <c r="P3115" s="20"/>
    </row>
    <row r="3116">
      <c r="A3116" s="23"/>
      <c r="B3116" s="21"/>
      <c r="C3116" s="23"/>
      <c r="D3116" s="24"/>
      <c r="E3116" s="14"/>
      <c r="F3116" s="14"/>
      <c r="G3116" s="14"/>
      <c r="H3116" s="23"/>
      <c r="I3116" s="27"/>
      <c r="J3116" s="23"/>
      <c r="K3116" s="30"/>
      <c r="L3116" s="23"/>
      <c r="M3116" s="20"/>
      <c r="N3116" s="20"/>
      <c r="O3116" s="20"/>
      <c r="P3116" s="20"/>
    </row>
    <row r="3117">
      <c r="A3117" s="10"/>
      <c r="B3117" s="11"/>
      <c r="C3117" s="10"/>
      <c r="D3117" s="13"/>
      <c r="E3117" s="14"/>
      <c r="F3117" s="14"/>
      <c r="G3117" s="14"/>
      <c r="H3117" s="10"/>
      <c r="I3117" s="17"/>
      <c r="J3117" s="10"/>
      <c r="K3117" s="46"/>
      <c r="L3117" s="10"/>
      <c r="M3117" s="20"/>
      <c r="N3117" s="20"/>
      <c r="O3117" s="20"/>
      <c r="P3117" s="20"/>
    </row>
    <row r="3118">
      <c r="A3118" s="23"/>
      <c r="B3118" s="21"/>
      <c r="C3118" s="23"/>
      <c r="D3118" s="24"/>
      <c r="E3118" s="14"/>
      <c r="F3118" s="14"/>
      <c r="G3118" s="14"/>
      <c r="H3118" s="23"/>
      <c r="I3118" s="27"/>
      <c r="J3118" s="23"/>
      <c r="K3118" s="30"/>
      <c r="L3118" s="23"/>
      <c r="M3118" s="20"/>
      <c r="N3118" s="20"/>
      <c r="O3118" s="20"/>
      <c r="P3118" s="20"/>
    </row>
    <row r="3119">
      <c r="A3119" s="10"/>
      <c r="B3119" s="11"/>
      <c r="C3119" s="10"/>
      <c r="D3119" s="13"/>
      <c r="E3119" s="14"/>
      <c r="F3119" s="14"/>
      <c r="G3119" s="14"/>
      <c r="H3119" s="10"/>
      <c r="I3119" s="17"/>
      <c r="J3119" s="10"/>
      <c r="K3119" s="46"/>
      <c r="L3119" s="10"/>
      <c r="M3119" s="20"/>
      <c r="N3119" s="20"/>
      <c r="O3119" s="20"/>
      <c r="P3119" s="20"/>
    </row>
    <row r="3120">
      <c r="A3120" s="23"/>
      <c r="B3120" s="21"/>
      <c r="C3120" s="23"/>
      <c r="D3120" s="24"/>
      <c r="E3120" s="14"/>
      <c r="F3120" s="14"/>
      <c r="G3120" s="14"/>
      <c r="H3120" s="23"/>
      <c r="I3120" s="27"/>
      <c r="J3120" s="23"/>
      <c r="K3120" s="30"/>
      <c r="L3120" s="23"/>
      <c r="M3120" s="20"/>
      <c r="N3120" s="20"/>
      <c r="O3120" s="20"/>
      <c r="P3120" s="20"/>
    </row>
    <row r="3121">
      <c r="A3121" s="10"/>
      <c r="B3121" s="11"/>
      <c r="C3121" s="10"/>
      <c r="D3121" s="13"/>
      <c r="E3121" s="14"/>
      <c r="F3121" s="14"/>
      <c r="G3121" s="14"/>
      <c r="H3121" s="10"/>
      <c r="I3121" s="17"/>
      <c r="J3121" s="10"/>
      <c r="K3121" s="46"/>
      <c r="L3121" s="10"/>
      <c r="M3121" s="20"/>
      <c r="N3121" s="20"/>
      <c r="O3121" s="20"/>
      <c r="P3121" s="20"/>
    </row>
    <row r="3122">
      <c r="A3122" s="23"/>
      <c r="B3122" s="21"/>
      <c r="C3122" s="23"/>
      <c r="D3122" s="24"/>
      <c r="E3122" s="14"/>
      <c r="F3122" s="14"/>
      <c r="G3122" s="14"/>
      <c r="H3122" s="23"/>
      <c r="I3122" s="27"/>
      <c r="J3122" s="23"/>
      <c r="K3122" s="30"/>
      <c r="L3122" s="23"/>
      <c r="M3122" s="20"/>
      <c r="N3122" s="20"/>
      <c r="O3122" s="20"/>
      <c r="P3122" s="20"/>
    </row>
    <row r="3123">
      <c r="A3123" s="10"/>
      <c r="B3123" s="11"/>
      <c r="C3123" s="10"/>
      <c r="D3123" s="13"/>
      <c r="E3123" s="14"/>
      <c r="F3123" s="14"/>
      <c r="G3123" s="14"/>
      <c r="H3123" s="10"/>
      <c r="I3123" s="17"/>
      <c r="J3123" s="10"/>
      <c r="K3123" s="46"/>
      <c r="L3123" s="10"/>
      <c r="M3123" s="20"/>
      <c r="N3123" s="20"/>
      <c r="O3123" s="20"/>
      <c r="P3123" s="20"/>
    </row>
    <row r="3124">
      <c r="A3124" s="23"/>
      <c r="B3124" s="21"/>
      <c r="C3124" s="23"/>
      <c r="D3124" s="24"/>
      <c r="E3124" s="14"/>
      <c r="F3124" s="14"/>
      <c r="G3124" s="14"/>
      <c r="H3124" s="23"/>
      <c r="I3124" s="27"/>
      <c r="J3124" s="23"/>
      <c r="K3124" s="30"/>
      <c r="L3124" s="23"/>
      <c r="M3124" s="20"/>
      <c r="N3124" s="20"/>
      <c r="O3124" s="20"/>
      <c r="P3124" s="20"/>
    </row>
    <row r="3125">
      <c r="A3125" s="10"/>
      <c r="B3125" s="11"/>
      <c r="C3125" s="10"/>
      <c r="D3125" s="13"/>
      <c r="E3125" s="14"/>
      <c r="F3125" s="14"/>
      <c r="G3125" s="14"/>
      <c r="H3125" s="10"/>
      <c r="I3125" s="17"/>
      <c r="J3125" s="10"/>
      <c r="K3125" s="46"/>
      <c r="L3125" s="10"/>
      <c r="M3125" s="20"/>
      <c r="N3125" s="20"/>
      <c r="O3125" s="20"/>
      <c r="P3125" s="20"/>
    </row>
    <row r="3126">
      <c r="A3126" s="23"/>
      <c r="B3126" s="21"/>
      <c r="C3126" s="23"/>
      <c r="D3126" s="24"/>
      <c r="E3126" s="14"/>
      <c r="F3126" s="14"/>
      <c r="G3126" s="14"/>
      <c r="H3126" s="23"/>
      <c r="I3126" s="27"/>
      <c r="J3126" s="23"/>
      <c r="K3126" s="30"/>
      <c r="L3126" s="23"/>
      <c r="M3126" s="20"/>
      <c r="N3126" s="20"/>
      <c r="O3126" s="20"/>
      <c r="P3126" s="20"/>
    </row>
    <row r="3127">
      <c r="A3127" s="10"/>
      <c r="B3127" s="11"/>
      <c r="C3127" s="10"/>
      <c r="D3127" s="13"/>
      <c r="E3127" s="14"/>
      <c r="F3127" s="14"/>
      <c r="G3127" s="14"/>
      <c r="H3127" s="10"/>
      <c r="I3127" s="17"/>
      <c r="J3127" s="10"/>
      <c r="K3127" s="46"/>
      <c r="L3127" s="10"/>
      <c r="M3127" s="20"/>
      <c r="N3127" s="20"/>
      <c r="O3127" s="20"/>
      <c r="P3127" s="20"/>
    </row>
    <row r="3128">
      <c r="A3128" s="23"/>
      <c r="B3128" s="21"/>
      <c r="C3128" s="23"/>
      <c r="D3128" s="24"/>
      <c r="E3128" s="14"/>
      <c r="F3128" s="14"/>
      <c r="G3128" s="14"/>
      <c r="H3128" s="23"/>
      <c r="I3128" s="27"/>
      <c r="J3128" s="23"/>
      <c r="K3128" s="30"/>
      <c r="L3128" s="23"/>
      <c r="M3128" s="20"/>
      <c r="N3128" s="20"/>
      <c r="O3128" s="20"/>
      <c r="P3128" s="20"/>
    </row>
    <row r="3129">
      <c r="A3129" s="10"/>
      <c r="B3129" s="11"/>
      <c r="C3129" s="10"/>
      <c r="D3129" s="13"/>
      <c r="E3129" s="14"/>
      <c r="F3129" s="14"/>
      <c r="G3129" s="14"/>
      <c r="H3129" s="10"/>
      <c r="I3129" s="17"/>
      <c r="J3129" s="10"/>
      <c r="K3129" s="46"/>
      <c r="L3129" s="10"/>
      <c r="M3129" s="20"/>
      <c r="N3129" s="20"/>
      <c r="O3129" s="20"/>
      <c r="P3129" s="20"/>
    </row>
    <row r="3130">
      <c r="A3130" s="23"/>
      <c r="B3130" s="21"/>
      <c r="C3130" s="23"/>
      <c r="D3130" s="24"/>
      <c r="E3130" s="14"/>
      <c r="F3130" s="14"/>
      <c r="G3130" s="14"/>
      <c r="H3130" s="23"/>
      <c r="I3130" s="27"/>
      <c r="J3130" s="23"/>
      <c r="K3130" s="30"/>
      <c r="L3130" s="23"/>
      <c r="M3130" s="20"/>
      <c r="N3130" s="20"/>
      <c r="O3130" s="20"/>
      <c r="P3130" s="20"/>
    </row>
    <row r="3131">
      <c r="A3131" s="10"/>
      <c r="B3131" s="11"/>
      <c r="C3131" s="10"/>
      <c r="D3131" s="13"/>
      <c r="E3131" s="14"/>
      <c r="F3131" s="14"/>
      <c r="G3131" s="14"/>
      <c r="H3131" s="10"/>
      <c r="I3131" s="17"/>
      <c r="J3131" s="10"/>
      <c r="K3131" s="46"/>
      <c r="L3131" s="10"/>
      <c r="M3131" s="20"/>
      <c r="N3131" s="20"/>
      <c r="O3131" s="20"/>
      <c r="P3131" s="20"/>
    </row>
    <row r="3132">
      <c r="A3132" s="23"/>
      <c r="B3132" s="21"/>
      <c r="C3132" s="23"/>
      <c r="D3132" s="24"/>
      <c r="E3132" s="14"/>
      <c r="F3132" s="14"/>
      <c r="G3132" s="14"/>
      <c r="H3132" s="23"/>
      <c r="I3132" s="27"/>
      <c r="J3132" s="23"/>
      <c r="K3132" s="30"/>
      <c r="L3132" s="23"/>
      <c r="M3132" s="20"/>
      <c r="N3132" s="20"/>
      <c r="O3132" s="20"/>
      <c r="P3132" s="20"/>
    </row>
    <row r="3133">
      <c r="A3133" s="10"/>
      <c r="B3133" s="11"/>
      <c r="C3133" s="10"/>
      <c r="D3133" s="13"/>
      <c r="E3133" s="14"/>
      <c r="F3133" s="14"/>
      <c r="G3133" s="14"/>
      <c r="H3133" s="10"/>
      <c r="I3133" s="17"/>
      <c r="J3133" s="10"/>
      <c r="K3133" s="46"/>
      <c r="L3133" s="10"/>
      <c r="M3133" s="20"/>
      <c r="N3133" s="20"/>
      <c r="O3133" s="20"/>
      <c r="P3133" s="20"/>
    </row>
    <row r="3134">
      <c r="A3134" s="23"/>
      <c r="B3134" s="21"/>
      <c r="C3134" s="23"/>
      <c r="D3134" s="24"/>
      <c r="E3134" s="14"/>
      <c r="F3134" s="14"/>
      <c r="G3134" s="14"/>
      <c r="H3134" s="23"/>
      <c r="I3134" s="27"/>
      <c r="J3134" s="23"/>
      <c r="K3134" s="30"/>
      <c r="L3134" s="23"/>
      <c r="M3134" s="20"/>
      <c r="N3134" s="20"/>
      <c r="O3134" s="20"/>
      <c r="P3134" s="20"/>
    </row>
    <row r="3135">
      <c r="A3135" s="10"/>
      <c r="B3135" s="11"/>
      <c r="C3135" s="10"/>
      <c r="D3135" s="13"/>
      <c r="E3135" s="14"/>
      <c r="F3135" s="14"/>
      <c r="G3135" s="14"/>
      <c r="H3135" s="10"/>
      <c r="I3135" s="17"/>
      <c r="J3135" s="10"/>
      <c r="K3135" s="46"/>
      <c r="L3135" s="10"/>
      <c r="M3135" s="20"/>
      <c r="N3135" s="20"/>
      <c r="O3135" s="20"/>
      <c r="P3135" s="20"/>
    </row>
    <row r="3136">
      <c r="A3136" s="23"/>
      <c r="B3136" s="21"/>
      <c r="C3136" s="23"/>
      <c r="D3136" s="24"/>
      <c r="E3136" s="14"/>
      <c r="F3136" s="14"/>
      <c r="G3136" s="14"/>
      <c r="H3136" s="23"/>
      <c r="I3136" s="27"/>
      <c r="J3136" s="23"/>
      <c r="K3136" s="30"/>
      <c r="L3136" s="23"/>
      <c r="M3136" s="20"/>
      <c r="N3136" s="20"/>
      <c r="O3136" s="20"/>
      <c r="P3136" s="20"/>
    </row>
    <row r="3137">
      <c r="A3137" s="10"/>
      <c r="B3137" s="11"/>
      <c r="C3137" s="10"/>
      <c r="D3137" s="13"/>
      <c r="E3137" s="14"/>
      <c r="F3137" s="14"/>
      <c r="G3137" s="14"/>
      <c r="H3137" s="10"/>
      <c r="I3137" s="17"/>
      <c r="J3137" s="10"/>
      <c r="K3137" s="46"/>
      <c r="L3137" s="10"/>
      <c r="M3137" s="20"/>
      <c r="N3137" s="20"/>
      <c r="O3137" s="20"/>
      <c r="P3137" s="20"/>
    </row>
    <row r="3138">
      <c r="A3138" s="23"/>
      <c r="B3138" s="21"/>
      <c r="C3138" s="23"/>
      <c r="D3138" s="24"/>
      <c r="E3138" s="14"/>
      <c r="F3138" s="14"/>
      <c r="G3138" s="14"/>
      <c r="H3138" s="23"/>
      <c r="I3138" s="27"/>
      <c r="J3138" s="23"/>
      <c r="K3138" s="30"/>
      <c r="L3138" s="23"/>
      <c r="M3138" s="20"/>
      <c r="N3138" s="20"/>
      <c r="O3138" s="20"/>
      <c r="P3138" s="20"/>
    </row>
    <row r="3139">
      <c r="A3139" s="10"/>
      <c r="B3139" s="11"/>
      <c r="C3139" s="10"/>
      <c r="D3139" s="13"/>
      <c r="E3139" s="14"/>
      <c r="F3139" s="14"/>
      <c r="G3139" s="14"/>
      <c r="H3139" s="10"/>
      <c r="I3139" s="17"/>
      <c r="J3139" s="10"/>
      <c r="K3139" s="46"/>
      <c r="L3139" s="10"/>
      <c r="M3139" s="20"/>
      <c r="N3139" s="20"/>
      <c r="O3139" s="20"/>
      <c r="P3139" s="20"/>
    </row>
    <row r="3140">
      <c r="A3140" s="23"/>
      <c r="B3140" s="21"/>
      <c r="C3140" s="23"/>
      <c r="D3140" s="24"/>
      <c r="E3140" s="14"/>
      <c r="F3140" s="14"/>
      <c r="G3140" s="14"/>
      <c r="H3140" s="23"/>
      <c r="I3140" s="27"/>
      <c r="J3140" s="23"/>
      <c r="K3140" s="30"/>
      <c r="L3140" s="23"/>
      <c r="M3140" s="20"/>
      <c r="N3140" s="20"/>
      <c r="O3140" s="20"/>
      <c r="P3140" s="20"/>
    </row>
    <row r="3141">
      <c r="A3141" s="10"/>
      <c r="B3141" s="11"/>
      <c r="C3141" s="10"/>
      <c r="D3141" s="13"/>
      <c r="E3141" s="14"/>
      <c r="F3141" s="14"/>
      <c r="G3141" s="14"/>
      <c r="H3141" s="10"/>
      <c r="I3141" s="17"/>
      <c r="J3141" s="10"/>
      <c r="K3141" s="46"/>
      <c r="L3141" s="10"/>
      <c r="M3141" s="20"/>
      <c r="N3141" s="20"/>
      <c r="O3141" s="20"/>
      <c r="P3141" s="20"/>
    </row>
    <row r="3142">
      <c r="A3142" s="23"/>
      <c r="B3142" s="21"/>
      <c r="C3142" s="23"/>
      <c r="D3142" s="24"/>
      <c r="E3142" s="14"/>
      <c r="F3142" s="14"/>
      <c r="G3142" s="14"/>
      <c r="H3142" s="23"/>
      <c r="I3142" s="27"/>
      <c r="J3142" s="23"/>
      <c r="K3142" s="30"/>
      <c r="L3142" s="23"/>
      <c r="M3142" s="20"/>
      <c r="N3142" s="20"/>
      <c r="O3142" s="20"/>
      <c r="P3142" s="20"/>
    </row>
    <row r="3143">
      <c r="A3143" s="10"/>
      <c r="B3143" s="11"/>
      <c r="C3143" s="10"/>
      <c r="D3143" s="13"/>
      <c r="E3143" s="14"/>
      <c r="F3143" s="14"/>
      <c r="G3143" s="14"/>
      <c r="H3143" s="10"/>
      <c r="I3143" s="17"/>
      <c r="J3143" s="10"/>
      <c r="K3143" s="46"/>
      <c r="L3143" s="10"/>
      <c r="M3143" s="20"/>
      <c r="N3143" s="20"/>
      <c r="O3143" s="20"/>
      <c r="P3143" s="20"/>
    </row>
    <row r="3144">
      <c r="A3144" s="23"/>
      <c r="B3144" s="21"/>
      <c r="C3144" s="23"/>
      <c r="D3144" s="24"/>
      <c r="E3144" s="14"/>
      <c r="F3144" s="14"/>
      <c r="G3144" s="14"/>
      <c r="H3144" s="23"/>
      <c r="I3144" s="27"/>
      <c r="J3144" s="23"/>
      <c r="K3144" s="30"/>
      <c r="L3144" s="23"/>
      <c r="M3144" s="20"/>
      <c r="N3144" s="20"/>
      <c r="O3144" s="20"/>
      <c r="P3144" s="20"/>
    </row>
    <row r="3145">
      <c r="A3145" s="10"/>
      <c r="B3145" s="11"/>
      <c r="C3145" s="10"/>
      <c r="D3145" s="13"/>
      <c r="E3145" s="14"/>
      <c r="F3145" s="14"/>
      <c r="G3145" s="14"/>
      <c r="H3145" s="10"/>
      <c r="I3145" s="17"/>
      <c r="J3145" s="10"/>
      <c r="K3145" s="46"/>
      <c r="L3145" s="10"/>
      <c r="M3145" s="20"/>
      <c r="N3145" s="20"/>
      <c r="O3145" s="20"/>
      <c r="P3145" s="20"/>
    </row>
    <row r="3146">
      <c r="A3146" s="23"/>
      <c r="B3146" s="21"/>
      <c r="C3146" s="23"/>
      <c r="D3146" s="24"/>
      <c r="E3146" s="14"/>
      <c r="F3146" s="14"/>
      <c r="G3146" s="14"/>
      <c r="H3146" s="23"/>
      <c r="I3146" s="27"/>
      <c r="J3146" s="23"/>
      <c r="K3146" s="30"/>
      <c r="L3146" s="23"/>
      <c r="M3146" s="20"/>
      <c r="N3146" s="20"/>
      <c r="O3146" s="20"/>
      <c r="P3146" s="20"/>
    </row>
    <row r="3147">
      <c r="A3147" s="10"/>
      <c r="B3147" s="11"/>
      <c r="C3147" s="10"/>
      <c r="D3147" s="13"/>
      <c r="E3147" s="14"/>
      <c r="F3147" s="14"/>
      <c r="G3147" s="14"/>
      <c r="H3147" s="10"/>
      <c r="I3147" s="17"/>
      <c r="J3147" s="10"/>
      <c r="K3147" s="46"/>
      <c r="L3147" s="10"/>
      <c r="M3147" s="20"/>
      <c r="N3147" s="20"/>
      <c r="O3147" s="20"/>
      <c r="P3147" s="20"/>
    </row>
    <row r="3148">
      <c r="A3148" s="23"/>
      <c r="B3148" s="21"/>
      <c r="C3148" s="23"/>
      <c r="D3148" s="24"/>
      <c r="E3148" s="14"/>
      <c r="F3148" s="14"/>
      <c r="G3148" s="14"/>
      <c r="H3148" s="23"/>
      <c r="I3148" s="27"/>
      <c r="J3148" s="23"/>
      <c r="K3148" s="30"/>
      <c r="L3148" s="23"/>
      <c r="M3148" s="20"/>
      <c r="N3148" s="20"/>
      <c r="O3148" s="20"/>
      <c r="P3148" s="20"/>
    </row>
    <row r="3149">
      <c r="A3149" s="10"/>
      <c r="B3149" s="11"/>
      <c r="C3149" s="10"/>
      <c r="D3149" s="13"/>
      <c r="E3149" s="14"/>
      <c r="F3149" s="14"/>
      <c r="G3149" s="14"/>
      <c r="H3149" s="10"/>
      <c r="I3149" s="17"/>
      <c r="J3149" s="10"/>
      <c r="K3149" s="46"/>
      <c r="L3149" s="10"/>
      <c r="M3149" s="20"/>
      <c r="N3149" s="20"/>
      <c r="O3149" s="20"/>
      <c r="P3149" s="20"/>
    </row>
    <row r="3150">
      <c r="A3150" s="23"/>
      <c r="B3150" s="21"/>
      <c r="C3150" s="23"/>
      <c r="D3150" s="24"/>
      <c r="E3150" s="14"/>
      <c r="F3150" s="14"/>
      <c r="G3150" s="14"/>
      <c r="H3150" s="23"/>
      <c r="I3150" s="27"/>
      <c r="J3150" s="23"/>
      <c r="K3150" s="30"/>
      <c r="L3150" s="23"/>
      <c r="M3150" s="20"/>
      <c r="N3150" s="20"/>
      <c r="O3150" s="20"/>
      <c r="P3150" s="20"/>
    </row>
    <row r="3151">
      <c r="A3151" s="10"/>
      <c r="B3151" s="11"/>
      <c r="C3151" s="10"/>
      <c r="D3151" s="13"/>
      <c r="E3151" s="14"/>
      <c r="F3151" s="14"/>
      <c r="G3151" s="14"/>
      <c r="H3151" s="10"/>
      <c r="I3151" s="17"/>
      <c r="J3151" s="10"/>
      <c r="K3151" s="46"/>
      <c r="L3151" s="10"/>
      <c r="M3151" s="20"/>
      <c r="N3151" s="20"/>
      <c r="O3151" s="20"/>
      <c r="P3151" s="20"/>
    </row>
    <row r="3152">
      <c r="A3152" s="23"/>
      <c r="B3152" s="21"/>
      <c r="C3152" s="23"/>
      <c r="D3152" s="24"/>
      <c r="E3152" s="14"/>
      <c r="F3152" s="14"/>
      <c r="G3152" s="14"/>
      <c r="H3152" s="23"/>
      <c r="I3152" s="27"/>
      <c r="J3152" s="23"/>
      <c r="K3152" s="30"/>
      <c r="L3152" s="23"/>
      <c r="M3152" s="20"/>
      <c r="N3152" s="20"/>
      <c r="O3152" s="20"/>
      <c r="P3152" s="20"/>
    </row>
    <row r="3153">
      <c r="A3153" s="10"/>
      <c r="B3153" s="11"/>
      <c r="C3153" s="10"/>
      <c r="D3153" s="13"/>
      <c r="E3153" s="14"/>
      <c r="F3153" s="14"/>
      <c r="G3153" s="14"/>
      <c r="H3153" s="10"/>
      <c r="I3153" s="17"/>
      <c r="J3153" s="10"/>
      <c r="K3153" s="46"/>
      <c r="L3153" s="10"/>
      <c r="M3153" s="20"/>
      <c r="N3153" s="20"/>
      <c r="O3153" s="20"/>
      <c r="P3153" s="20"/>
    </row>
    <row r="3154">
      <c r="A3154" s="23"/>
      <c r="B3154" s="21"/>
      <c r="C3154" s="23"/>
      <c r="D3154" s="24"/>
      <c r="E3154" s="14"/>
      <c r="F3154" s="14"/>
      <c r="G3154" s="14"/>
      <c r="H3154" s="23"/>
      <c r="I3154" s="27"/>
      <c r="J3154" s="23"/>
      <c r="K3154" s="30"/>
      <c r="L3154" s="23"/>
      <c r="M3154" s="20"/>
      <c r="N3154" s="20"/>
      <c r="O3154" s="20"/>
      <c r="P3154" s="20"/>
    </row>
    <row r="3155">
      <c r="A3155" s="10"/>
      <c r="B3155" s="11"/>
      <c r="C3155" s="10"/>
      <c r="D3155" s="13"/>
      <c r="E3155" s="14"/>
      <c r="F3155" s="14"/>
      <c r="G3155" s="14"/>
      <c r="H3155" s="10"/>
      <c r="I3155" s="17"/>
      <c r="J3155" s="10"/>
      <c r="K3155" s="46"/>
      <c r="L3155" s="10"/>
      <c r="M3155" s="20"/>
      <c r="N3155" s="20"/>
      <c r="O3155" s="20"/>
      <c r="P3155" s="20"/>
    </row>
    <row r="3156">
      <c r="A3156" s="23"/>
      <c r="B3156" s="21"/>
      <c r="C3156" s="23"/>
      <c r="D3156" s="24"/>
      <c r="E3156" s="14"/>
      <c r="F3156" s="14"/>
      <c r="G3156" s="14"/>
      <c r="H3156" s="23"/>
      <c r="I3156" s="27"/>
      <c r="J3156" s="23"/>
      <c r="K3156" s="30"/>
      <c r="L3156" s="23"/>
      <c r="M3156" s="20"/>
      <c r="N3156" s="20"/>
      <c r="O3156" s="20"/>
      <c r="P3156" s="20"/>
    </row>
    <row r="3157">
      <c r="A3157" s="10"/>
      <c r="B3157" s="11"/>
      <c r="C3157" s="10"/>
      <c r="D3157" s="13"/>
      <c r="E3157" s="14"/>
      <c r="F3157" s="14"/>
      <c r="G3157" s="14"/>
      <c r="H3157" s="10"/>
      <c r="I3157" s="17"/>
      <c r="J3157" s="10"/>
      <c r="K3157" s="46"/>
      <c r="L3157" s="10"/>
      <c r="M3157" s="20"/>
      <c r="N3157" s="20"/>
      <c r="O3157" s="20"/>
      <c r="P3157" s="20"/>
    </row>
    <row r="3158">
      <c r="A3158" s="23"/>
      <c r="B3158" s="21"/>
      <c r="C3158" s="23"/>
      <c r="D3158" s="24"/>
      <c r="E3158" s="14"/>
      <c r="F3158" s="14"/>
      <c r="G3158" s="14"/>
      <c r="H3158" s="23"/>
      <c r="I3158" s="27"/>
      <c r="J3158" s="23"/>
      <c r="K3158" s="30"/>
      <c r="L3158" s="23"/>
      <c r="M3158" s="20"/>
      <c r="N3158" s="20"/>
      <c r="O3158" s="20"/>
      <c r="P3158" s="20"/>
    </row>
    <row r="3159">
      <c r="A3159" s="10"/>
      <c r="B3159" s="11"/>
      <c r="C3159" s="10"/>
      <c r="D3159" s="13"/>
      <c r="E3159" s="14"/>
      <c r="F3159" s="14"/>
      <c r="G3159" s="14"/>
      <c r="H3159" s="10"/>
      <c r="I3159" s="17"/>
      <c r="J3159" s="10"/>
      <c r="K3159" s="46"/>
      <c r="L3159" s="10"/>
      <c r="M3159" s="20"/>
      <c r="N3159" s="20"/>
      <c r="O3159" s="20"/>
      <c r="P3159" s="20"/>
    </row>
    <row r="3160">
      <c r="A3160" s="23"/>
      <c r="B3160" s="21"/>
      <c r="C3160" s="23"/>
      <c r="D3160" s="24"/>
      <c r="E3160" s="14"/>
      <c r="F3160" s="14"/>
      <c r="G3160" s="14"/>
      <c r="H3160" s="23"/>
      <c r="I3160" s="27"/>
      <c r="J3160" s="23"/>
      <c r="K3160" s="30"/>
      <c r="L3160" s="23"/>
      <c r="M3160" s="20"/>
      <c r="N3160" s="20"/>
      <c r="O3160" s="20"/>
      <c r="P3160" s="20"/>
    </row>
    <row r="3161">
      <c r="A3161" s="10"/>
      <c r="B3161" s="11"/>
      <c r="C3161" s="10"/>
      <c r="D3161" s="13"/>
      <c r="E3161" s="14"/>
      <c r="F3161" s="14"/>
      <c r="G3161" s="14"/>
      <c r="H3161" s="10"/>
      <c r="I3161" s="17"/>
      <c r="J3161" s="10"/>
      <c r="K3161" s="46"/>
      <c r="L3161" s="10"/>
      <c r="M3161" s="20"/>
      <c r="N3161" s="20"/>
      <c r="O3161" s="20"/>
      <c r="P3161" s="20"/>
    </row>
    <row r="3162">
      <c r="A3162" s="23"/>
      <c r="B3162" s="21"/>
      <c r="C3162" s="23"/>
      <c r="D3162" s="24"/>
      <c r="E3162" s="14"/>
      <c r="F3162" s="14"/>
      <c r="G3162" s="14"/>
      <c r="H3162" s="23"/>
      <c r="I3162" s="27"/>
      <c r="J3162" s="23"/>
      <c r="K3162" s="30"/>
      <c r="L3162" s="23"/>
      <c r="M3162" s="20"/>
      <c r="N3162" s="20"/>
      <c r="O3162" s="20"/>
      <c r="P3162" s="20"/>
    </row>
    <row r="3163">
      <c r="A3163" s="10"/>
      <c r="B3163" s="11"/>
      <c r="C3163" s="10"/>
      <c r="D3163" s="13"/>
      <c r="E3163" s="14"/>
      <c r="F3163" s="14"/>
      <c r="G3163" s="14"/>
      <c r="H3163" s="10"/>
      <c r="I3163" s="17"/>
      <c r="J3163" s="10"/>
      <c r="K3163" s="46"/>
      <c r="L3163" s="10"/>
      <c r="M3163" s="20"/>
      <c r="N3163" s="20"/>
      <c r="O3163" s="20"/>
      <c r="P3163" s="20"/>
    </row>
    <row r="3164">
      <c r="A3164" s="23"/>
      <c r="B3164" s="21"/>
      <c r="C3164" s="23"/>
      <c r="D3164" s="24"/>
      <c r="E3164" s="14"/>
      <c r="F3164" s="14"/>
      <c r="G3164" s="14"/>
      <c r="H3164" s="23"/>
      <c r="I3164" s="27"/>
      <c r="J3164" s="23"/>
      <c r="K3164" s="30"/>
      <c r="L3164" s="23"/>
      <c r="M3164" s="20"/>
      <c r="N3164" s="20"/>
      <c r="O3164" s="20"/>
      <c r="P3164" s="20"/>
    </row>
    <row r="3165">
      <c r="A3165" s="10"/>
      <c r="B3165" s="11"/>
      <c r="C3165" s="10"/>
      <c r="D3165" s="13"/>
      <c r="E3165" s="14"/>
      <c r="F3165" s="14"/>
      <c r="G3165" s="14"/>
      <c r="H3165" s="10"/>
      <c r="I3165" s="17"/>
      <c r="J3165" s="10"/>
      <c r="K3165" s="46"/>
      <c r="L3165" s="10"/>
      <c r="M3165" s="20"/>
      <c r="N3165" s="20"/>
      <c r="O3165" s="20"/>
      <c r="P3165" s="20"/>
    </row>
    <row r="3166">
      <c r="A3166" s="23"/>
      <c r="B3166" s="21"/>
      <c r="C3166" s="23"/>
      <c r="D3166" s="24"/>
      <c r="E3166" s="14"/>
      <c r="F3166" s="14"/>
      <c r="G3166" s="14"/>
      <c r="H3166" s="23"/>
      <c r="I3166" s="27"/>
      <c r="J3166" s="23"/>
      <c r="K3166" s="30"/>
      <c r="L3166" s="23"/>
      <c r="M3166" s="20"/>
      <c r="N3166" s="20"/>
      <c r="O3166" s="20"/>
      <c r="P3166" s="20"/>
    </row>
    <row r="3167">
      <c r="A3167" s="10"/>
      <c r="B3167" s="11"/>
      <c r="C3167" s="10"/>
      <c r="D3167" s="13"/>
      <c r="E3167" s="14"/>
      <c r="F3167" s="14"/>
      <c r="G3167" s="14"/>
      <c r="H3167" s="10"/>
      <c r="I3167" s="17"/>
      <c r="J3167" s="10"/>
      <c r="K3167" s="46"/>
      <c r="L3167" s="10"/>
      <c r="M3167" s="20"/>
      <c r="N3167" s="20"/>
      <c r="O3167" s="20"/>
      <c r="P3167" s="20"/>
    </row>
    <row r="3168">
      <c r="A3168" s="23"/>
      <c r="B3168" s="21"/>
      <c r="C3168" s="23"/>
      <c r="D3168" s="24"/>
      <c r="E3168" s="14"/>
      <c r="F3168" s="14"/>
      <c r="G3168" s="14"/>
      <c r="H3168" s="23"/>
      <c r="I3168" s="27"/>
      <c r="J3168" s="23"/>
      <c r="K3168" s="30"/>
      <c r="L3168" s="23"/>
      <c r="M3168" s="20"/>
      <c r="N3168" s="20"/>
      <c r="O3168" s="20"/>
      <c r="P3168" s="20"/>
    </row>
    <row r="3169">
      <c r="A3169" s="10"/>
      <c r="B3169" s="11"/>
      <c r="C3169" s="10"/>
      <c r="D3169" s="13"/>
      <c r="E3169" s="14"/>
      <c r="F3169" s="14"/>
      <c r="G3169" s="14"/>
      <c r="H3169" s="10"/>
      <c r="I3169" s="17"/>
      <c r="J3169" s="10"/>
      <c r="K3169" s="46"/>
      <c r="L3169" s="10"/>
      <c r="M3169" s="20"/>
      <c r="N3169" s="20"/>
      <c r="O3169" s="20"/>
      <c r="P3169" s="20"/>
    </row>
    <row r="3170">
      <c r="A3170" s="23"/>
      <c r="B3170" s="21"/>
      <c r="C3170" s="23"/>
      <c r="D3170" s="24"/>
      <c r="E3170" s="14"/>
      <c r="F3170" s="14"/>
      <c r="G3170" s="14"/>
      <c r="H3170" s="23"/>
      <c r="I3170" s="27"/>
      <c r="J3170" s="23"/>
      <c r="K3170" s="30"/>
      <c r="L3170" s="23"/>
      <c r="M3170" s="20"/>
      <c r="N3170" s="20"/>
      <c r="O3170" s="20"/>
      <c r="P3170" s="20"/>
    </row>
    <row r="3171">
      <c r="A3171" s="10"/>
      <c r="B3171" s="11"/>
      <c r="C3171" s="10"/>
      <c r="D3171" s="13"/>
      <c r="E3171" s="14"/>
      <c r="F3171" s="14"/>
      <c r="G3171" s="14"/>
      <c r="H3171" s="10"/>
      <c r="I3171" s="17"/>
      <c r="J3171" s="10"/>
      <c r="K3171" s="46"/>
      <c r="L3171" s="10"/>
      <c r="M3171" s="20"/>
      <c r="N3171" s="20"/>
      <c r="O3171" s="20"/>
      <c r="P3171" s="20"/>
    </row>
    <row r="3172">
      <c r="A3172" s="23"/>
      <c r="B3172" s="21"/>
      <c r="C3172" s="23"/>
      <c r="D3172" s="24"/>
      <c r="E3172" s="14"/>
      <c r="F3172" s="14"/>
      <c r="G3172" s="14"/>
      <c r="H3172" s="23"/>
      <c r="I3172" s="27"/>
      <c r="J3172" s="23"/>
      <c r="K3172" s="30"/>
      <c r="L3172" s="23"/>
      <c r="M3172" s="20"/>
      <c r="N3172" s="20"/>
      <c r="O3172" s="20"/>
      <c r="P3172" s="20"/>
    </row>
    <row r="3173">
      <c r="A3173" s="10"/>
      <c r="B3173" s="11"/>
      <c r="C3173" s="10"/>
      <c r="D3173" s="13"/>
      <c r="E3173" s="14"/>
      <c r="F3173" s="14"/>
      <c r="G3173" s="14"/>
      <c r="H3173" s="10"/>
      <c r="I3173" s="17"/>
      <c r="J3173" s="10"/>
      <c r="K3173" s="46"/>
      <c r="L3173" s="10"/>
      <c r="M3173" s="20"/>
      <c r="N3173" s="20"/>
      <c r="O3173" s="20"/>
      <c r="P3173" s="20"/>
    </row>
    <row r="3174">
      <c r="A3174" s="23"/>
      <c r="B3174" s="21"/>
      <c r="C3174" s="23"/>
      <c r="D3174" s="24"/>
      <c r="E3174" s="14"/>
      <c r="F3174" s="14"/>
      <c r="G3174" s="14"/>
      <c r="H3174" s="23"/>
      <c r="I3174" s="27"/>
      <c r="J3174" s="23"/>
      <c r="K3174" s="30"/>
      <c r="L3174" s="23"/>
      <c r="M3174" s="20"/>
      <c r="N3174" s="20"/>
      <c r="O3174" s="20"/>
      <c r="P3174" s="20"/>
    </row>
    <row r="3175">
      <c r="A3175" s="10"/>
      <c r="B3175" s="11"/>
      <c r="C3175" s="10"/>
      <c r="D3175" s="13"/>
      <c r="E3175" s="14"/>
      <c r="F3175" s="14"/>
      <c r="G3175" s="14"/>
      <c r="H3175" s="10"/>
      <c r="I3175" s="17"/>
      <c r="J3175" s="10"/>
      <c r="K3175" s="46"/>
      <c r="L3175" s="10"/>
      <c r="M3175" s="20"/>
      <c r="N3175" s="20"/>
      <c r="O3175" s="20"/>
      <c r="P3175" s="20"/>
    </row>
    <row r="3176">
      <c r="A3176" s="23"/>
      <c r="B3176" s="21"/>
      <c r="C3176" s="23"/>
      <c r="D3176" s="24"/>
      <c r="E3176" s="14"/>
      <c r="F3176" s="14"/>
      <c r="G3176" s="14"/>
      <c r="H3176" s="23"/>
      <c r="I3176" s="27"/>
      <c r="J3176" s="23"/>
      <c r="K3176" s="30"/>
      <c r="L3176" s="23"/>
      <c r="M3176" s="20"/>
      <c r="N3176" s="20"/>
      <c r="O3176" s="20"/>
      <c r="P3176" s="20"/>
    </row>
    <row r="3177">
      <c r="A3177" s="10"/>
      <c r="B3177" s="11"/>
      <c r="C3177" s="10"/>
      <c r="D3177" s="13"/>
      <c r="E3177" s="14"/>
      <c r="F3177" s="14"/>
      <c r="G3177" s="14"/>
      <c r="H3177" s="10"/>
      <c r="I3177" s="17"/>
      <c r="J3177" s="10"/>
      <c r="K3177" s="46"/>
      <c r="L3177" s="10"/>
      <c r="M3177" s="20"/>
      <c r="N3177" s="20"/>
      <c r="O3177" s="20"/>
      <c r="P3177" s="20"/>
    </row>
    <row r="3178">
      <c r="A3178" s="23"/>
      <c r="B3178" s="21"/>
      <c r="C3178" s="23"/>
      <c r="D3178" s="24"/>
      <c r="E3178" s="14"/>
      <c r="F3178" s="14"/>
      <c r="G3178" s="14"/>
      <c r="H3178" s="23"/>
      <c r="I3178" s="27"/>
      <c r="J3178" s="23"/>
      <c r="K3178" s="30"/>
      <c r="L3178" s="23"/>
      <c r="M3178" s="20"/>
      <c r="N3178" s="20"/>
      <c r="O3178" s="20"/>
      <c r="P3178" s="20"/>
    </row>
    <row r="3179">
      <c r="A3179" s="10"/>
      <c r="B3179" s="11"/>
      <c r="C3179" s="10"/>
      <c r="D3179" s="13"/>
      <c r="E3179" s="14"/>
      <c r="F3179" s="14"/>
      <c r="G3179" s="14"/>
      <c r="H3179" s="10"/>
      <c r="I3179" s="17"/>
      <c r="J3179" s="10"/>
      <c r="K3179" s="46"/>
      <c r="L3179" s="10"/>
      <c r="M3179" s="20"/>
      <c r="N3179" s="20"/>
      <c r="O3179" s="20"/>
      <c r="P3179" s="20"/>
    </row>
    <row r="3180">
      <c r="A3180" s="23"/>
      <c r="B3180" s="21"/>
      <c r="C3180" s="23"/>
      <c r="D3180" s="24"/>
      <c r="E3180" s="14"/>
      <c r="F3180" s="14"/>
      <c r="G3180" s="14"/>
      <c r="H3180" s="23"/>
      <c r="I3180" s="27"/>
      <c r="J3180" s="23"/>
      <c r="K3180" s="30"/>
      <c r="L3180" s="23"/>
      <c r="M3180" s="20"/>
      <c r="N3180" s="20"/>
      <c r="O3180" s="20"/>
      <c r="P3180" s="20"/>
    </row>
    <row r="3181">
      <c r="A3181" s="10"/>
      <c r="B3181" s="11"/>
      <c r="C3181" s="10"/>
      <c r="D3181" s="13"/>
      <c r="E3181" s="14"/>
      <c r="F3181" s="14"/>
      <c r="G3181" s="14"/>
      <c r="H3181" s="10"/>
      <c r="I3181" s="17"/>
      <c r="J3181" s="10"/>
      <c r="K3181" s="46"/>
      <c r="L3181" s="10"/>
      <c r="M3181" s="20"/>
      <c r="N3181" s="20"/>
      <c r="O3181" s="20"/>
      <c r="P3181" s="20"/>
    </row>
    <row r="3182">
      <c r="A3182" s="23"/>
      <c r="B3182" s="21"/>
      <c r="C3182" s="23"/>
      <c r="D3182" s="24"/>
      <c r="E3182" s="14"/>
      <c r="F3182" s="14"/>
      <c r="G3182" s="14"/>
      <c r="H3182" s="23"/>
      <c r="I3182" s="27"/>
      <c r="J3182" s="23"/>
      <c r="K3182" s="30"/>
      <c r="L3182" s="23"/>
      <c r="M3182" s="20"/>
      <c r="N3182" s="20"/>
      <c r="O3182" s="20"/>
      <c r="P3182" s="20"/>
    </row>
    <row r="3183">
      <c r="A3183" s="10"/>
      <c r="B3183" s="11"/>
      <c r="C3183" s="10"/>
      <c r="D3183" s="13"/>
      <c r="E3183" s="14"/>
      <c r="F3183" s="14"/>
      <c r="G3183" s="14"/>
      <c r="H3183" s="10"/>
      <c r="I3183" s="17"/>
      <c r="J3183" s="10"/>
      <c r="K3183" s="46"/>
      <c r="L3183" s="10"/>
      <c r="M3183" s="20"/>
      <c r="N3183" s="20"/>
      <c r="O3183" s="20"/>
      <c r="P3183" s="20"/>
    </row>
    <row r="3184">
      <c r="A3184" s="23"/>
      <c r="B3184" s="21"/>
      <c r="C3184" s="23"/>
      <c r="D3184" s="24"/>
      <c r="E3184" s="14"/>
      <c r="F3184" s="14"/>
      <c r="G3184" s="14"/>
      <c r="H3184" s="23"/>
      <c r="I3184" s="27"/>
      <c r="J3184" s="23"/>
      <c r="K3184" s="30"/>
      <c r="L3184" s="23"/>
      <c r="M3184" s="20"/>
      <c r="N3184" s="20"/>
      <c r="O3184" s="20"/>
      <c r="P3184" s="20"/>
    </row>
    <row r="3185">
      <c r="A3185" s="10"/>
      <c r="B3185" s="11"/>
      <c r="C3185" s="10"/>
      <c r="D3185" s="13"/>
      <c r="E3185" s="14"/>
      <c r="F3185" s="14"/>
      <c r="G3185" s="14"/>
      <c r="H3185" s="10"/>
      <c r="I3185" s="17"/>
      <c r="J3185" s="10"/>
      <c r="K3185" s="46"/>
      <c r="L3185" s="10"/>
      <c r="M3185" s="20"/>
      <c r="N3185" s="20"/>
      <c r="O3185" s="20"/>
      <c r="P3185" s="20"/>
    </row>
    <row r="3186">
      <c r="A3186" s="23"/>
      <c r="B3186" s="21"/>
      <c r="C3186" s="23"/>
      <c r="D3186" s="24"/>
      <c r="E3186" s="14"/>
      <c r="F3186" s="14"/>
      <c r="G3186" s="14"/>
      <c r="H3186" s="23"/>
      <c r="I3186" s="27"/>
      <c r="J3186" s="23"/>
      <c r="K3186" s="30"/>
      <c r="L3186" s="23"/>
      <c r="M3186" s="20"/>
      <c r="N3186" s="20"/>
      <c r="O3186" s="20"/>
      <c r="P3186" s="20"/>
    </row>
    <row r="3187">
      <c r="A3187" s="10"/>
      <c r="B3187" s="11"/>
      <c r="C3187" s="10"/>
      <c r="D3187" s="13"/>
      <c r="E3187" s="14"/>
      <c r="F3187" s="14"/>
      <c r="G3187" s="14"/>
      <c r="H3187" s="10"/>
      <c r="I3187" s="17"/>
      <c r="J3187" s="10"/>
      <c r="K3187" s="46"/>
      <c r="L3187" s="10"/>
      <c r="M3187" s="20"/>
      <c r="N3187" s="20"/>
      <c r="O3187" s="20"/>
      <c r="P3187" s="20"/>
    </row>
    <row r="3188">
      <c r="A3188" s="23"/>
      <c r="B3188" s="21"/>
      <c r="C3188" s="23"/>
      <c r="D3188" s="24"/>
      <c r="E3188" s="14"/>
      <c r="F3188" s="14"/>
      <c r="G3188" s="14"/>
      <c r="H3188" s="23"/>
      <c r="I3188" s="27"/>
      <c r="J3188" s="23"/>
      <c r="K3188" s="30"/>
      <c r="L3188" s="23"/>
      <c r="M3188" s="20"/>
      <c r="N3188" s="20"/>
      <c r="O3188" s="20"/>
      <c r="P3188" s="20"/>
    </row>
    <row r="3189">
      <c r="A3189" s="10"/>
      <c r="B3189" s="11"/>
      <c r="C3189" s="10"/>
      <c r="D3189" s="13"/>
      <c r="E3189" s="14"/>
      <c r="F3189" s="14"/>
      <c r="G3189" s="14"/>
      <c r="H3189" s="10"/>
      <c r="I3189" s="17"/>
      <c r="J3189" s="10"/>
      <c r="K3189" s="46"/>
      <c r="L3189" s="10"/>
      <c r="M3189" s="20"/>
      <c r="N3189" s="20"/>
      <c r="O3189" s="20"/>
      <c r="P3189" s="20"/>
    </row>
    <row r="3190">
      <c r="A3190" s="23"/>
      <c r="B3190" s="21"/>
      <c r="C3190" s="23"/>
      <c r="D3190" s="24"/>
      <c r="E3190" s="14"/>
      <c r="F3190" s="14"/>
      <c r="G3190" s="14"/>
      <c r="H3190" s="23"/>
      <c r="I3190" s="27"/>
      <c r="J3190" s="23"/>
      <c r="K3190" s="30"/>
      <c r="L3190" s="23"/>
      <c r="M3190" s="20"/>
      <c r="N3190" s="20"/>
      <c r="O3190" s="20"/>
      <c r="P3190" s="20"/>
    </row>
    <row r="3191">
      <c r="A3191" s="10"/>
      <c r="B3191" s="11"/>
      <c r="C3191" s="10"/>
      <c r="D3191" s="13"/>
      <c r="E3191" s="14"/>
      <c r="F3191" s="14"/>
      <c r="G3191" s="14"/>
      <c r="H3191" s="10"/>
      <c r="I3191" s="17"/>
      <c r="J3191" s="10"/>
      <c r="K3191" s="46"/>
      <c r="L3191" s="10"/>
      <c r="M3191" s="20"/>
      <c r="N3191" s="20"/>
      <c r="O3191" s="20"/>
      <c r="P3191" s="20"/>
    </row>
    <row r="3192">
      <c r="A3192" s="23"/>
      <c r="B3192" s="21"/>
      <c r="C3192" s="23"/>
      <c r="D3192" s="24"/>
      <c r="E3192" s="14"/>
      <c r="F3192" s="14"/>
      <c r="G3192" s="14"/>
      <c r="H3192" s="23"/>
      <c r="I3192" s="27"/>
      <c r="J3192" s="23"/>
      <c r="K3192" s="30"/>
      <c r="L3192" s="23"/>
      <c r="M3192" s="20"/>
      <c r="N3192" s="20"/>
      <c r="O3192" s="20"/>
      <c r="P3192" s="20"/>
    </row>
    <row r="3193">
      <c r="A3193" s="10"/>
      <c r="B3193" s="11"/>
      <c r="C3193" s="10"/>
      <c r="D3193" s="13"/>
      <c r="E3193" s="14"/>
      <c r="F3193" s="14"/>
      <c r="G3193" s="14"/>
      <c r="H3193" s="10"/>
      <c r="I3193" s="17"/>
      <c r="J3193" s="10"/>
      <c r="K3193" s="46"/>
      <c r="L3193" s="10"/>
      <c r="M3193" s="20"/>
      <c r="N3193" s="20"/>
      <c r="O3193" s="20"/>
      <c r="P3193" s="20"/>
    </row>
    <row r="3194">
      <c r="A3194" s="23"/>
      <c r="B3194" s="21"/>
      <c r="C3194" s="23"/>
      <c r="D3194" s="24"/>
      <c r="E3194" s="14"/>
      <c r="F3194" s="14"/>
      <c r="G3194" s="14"/>
      <c r="H3194" s="23"/>
      <c r="I3194" s="27"/>
      <c r="J3194" s="23"/>
      <c r="K3194" s="30"/>
      <c r="L3194" s="23"/>
      <c r="M3194" s="20"/>
      <c r="N3194" s="20"/>
      <c r="O3194" s="20"/>
      <c r="P3194" s="20"/>
    </row>
    <row r="3195">
      <c r="A3195" s="10"/>
      <c r="B3195" s="11"/>
      <c r="C3195" s="10"/>
      <c r="D3195" s="13"/>
      <c r="E3195" s="14"/>
      <c r="F3195" s="14"/>
      <c r="G3195" s="14"/>
      <c r="H3195" s="10"/>
      <c r="I3195" s="17"/>
      <c r="J3195" s="10"/>
      <c r="K3195" s="46"/>
      <c r="L3195" s="10"/>
      <c r="M3195" s="20"/>
      <c r="N3195" s="20"/>
      <c r="O3195" s="20"/>
      <c r="P3195" s="20"/>
    </row>
    <row r="3196">
      <c r="A3196" s="23"/>
      <c r="B3196" s="21"/>
      <c r="C3196" s="23"/>
      <c r="D3196" s="24"/>
      <c r="E3196" s="14"/>
      <c r="F3196" s="14"/>
      <c r="G3196" s="14"/>
      <c r="H3196" s="23"/>
      <c r="I3196" s="27"/>
      <c r="J3196" s="23"/>
      <c r="K3196" s="30"/>
      <c r="L3196" s="23"/>
      <c r="M3196" s="20"/>
      <c r="N3196" s="20"/>
      <c r="O3196" s="20"/>
      <c r="P3196" s="20"/>
    </row>
    <row r="3197">
      <c r="A3197" s="10"/>
      <c r="B3197" s="11"/>
      <c r="C3197" s="10"/>
      <c r="D3197" s="13"/>
      <c r="E3197" s="14"/>
      <c r="F3197" s="14"/>
      <c r="G3197" s="14"/>
      <c r="H3197" s="10"/>
      <c r="I3197" s="17"/>
      <c r="J3197" s="10"/>
      <c r="K3197" s="46"/>
      <c r="L3197" s="10"/>
      <c r="M3197" s="20"/>
      <c r="N3197" s="20"/>
      <c r="O3197" s="20"/>
      <c r="P3197" s="20"/>
    </row>
    <row r="3198">
      <c r="A3198" s="23"/>
      <c r="B3198" s="21"/>
      <c r="C3198" s="23"/>
      <c r="D3198" s="24"/>
      <c r="E3198" s="14"/>
      <c r="F3198" s="14"/>
      <c r="G3198" s="14"/>
      <c r="H3198" s="23"/>
      <c r="I3198" s="27"/>
      <c r="J3198" s="23"/>
      <c r="K3198" s="30"/>
      <c r="L3198" s="23"/>
      <c r="M3198" s="20"/>
      <c r="N3198" s="20"/>
      <c r="O3198" s="20"/>
      <c r="P3198" s="20"/>
    </row>
    <row r="3199">
      <c r="A3199" s="10"/>
      <c r="B3199" s="11"/>
      <c r="C3199" s="10"/>
      <c r="D3199" s="13"/>
      <c r="E3199" s="14"/>
      <c r="F3199" s="14"/>
      <c r="G3199" s="14"/>
      <c r="H3199" s="10"/>
      <c r="I3199" s="17"/>
      <c r="J3199" s="10"/>
      <c r="K3199" s="46"/>
      <c r="L3199" s="10"/>
      <c r="M3199" s="20"/>
      <c r="N3199" s="20"/>
      <c r="O3199" s="20"/>
      <c r="P3199" s="20"/>
    </row>
    <row r="3200">
      <c r="A3200" s="23"/>
      <c r="B3200" s="21"/>
      <c r="C3200" s="23"/>
      <c r="D3200" s="24"/>
      <c r="E3200" s="14"/>
      <c r="F3200" s="14"/>
      <c r="G3200" s="14"/>
      <c r="H3200" s="23"/>
      <c r="I3200" s="27"/>
      <c r="J3200" s="23"/>
      <c r="K3200" s="30"/>
      <c r="L3200" s="23"/>
      <c r="M3200" s="20"/>
      <c r="N3200" s="20"/>
      <c r="O3200" s="20"/>
      <c r="P3200" s="20"/>
    </row>
    <row r="3201">
      <c r="A3201" s="10"/>
      <c r="B3201" s="11"/>
      <c r="C3201" s="10"/>
      <c r="D3201" s="13"/>
      <c r="E3201" s="14"/>
      <c r="F3201" s="14"/>
      <c r="G3201" s="14"/>
      <c r="H3201" s="10"/>
      <c r="I3201" s="17"/>
      <c r="J3201" s="10"/>
      <c r="K3201" s="46"/>
      <c r="L3201" s="10"/>
      <c r="M3201" s="20"/>
      <c r="N3201" s="20"/>
      <c r="O3201" s="20"/>
      <c r="P3201" s="20"/>
    </row>
    <row r="3202">
      <c r="A3202" s="23"/>
      <c r="B3202" s="21"/>
      <c r="C3202" s="23"/>
      <c r="D3202" s="24"/>
      <c r="E3202" s="14"/>
      <c r="F3202" s="14"/>
      <c r="G3202" s="14"/>
      <c r="H3202" s="23"/>
      <c r="I3202" s="27"/>
      <c r="J3202" s="23"/>
      <c r="K3202" s="30"/>
      <c r="L3202" s="23"/>
      <c r="M3202" s="20"/>
      <c r="N3202" s="20"/>
      <c r="O3202" s="20"/>
      <c r="P3202" s="20"/>
    </row>
    <row r="3203">
      <c r="A3203" s="10"/>
      <c r="B3203" s="11"/>
      <c r="C3203" s="10"/>
      <c r="D3203" s="13"/>
      <c r="E3203" s="14"/>
      <c r="F3203" s="14"/>
      <c r="G3203" s="14"/>
      <c r="H3203" s="10"/>
      <c r="I3203" s="17"/>
      <c r="J3203" s="10"/>
      <c r="K3203" s="46"/>
      <c r="L3203" s="10"/>
      <c r="M3203" s="20"/>
      <c r="N3203" s="20"/>
      <c r="O3203" s="20"/>
      <c r="P3203" s="20"/>
    </row>
    <row r="3204">
      <c r="A3204" s="23"/>
      <c r="B3204" s="21"/>
      <c r="C3204" s="23"/>
      <c r="D3204" s="24"/>
      <c r="E3204" s="14"/>
      <c r="F3204" s="14"/>
      <c r="G3204" s="14"/>
      <c r="H3204" s="23"/>
      <c r="I3204" s="27"/>
      <c r="J3204" s="23"/>
      <c r="K3204" s="30"/>
      <c r="L3204" s="23"/>
      <c r="M3204" s="20"/>
      <c r="N3204" s="20"/>
      <c r="O3204" s="20"/>
      <c r="P3204" s="20"/>
    </row>
    <row r="3205">
      <c r="A3205" s="10"/>
      <c r="B3205" s="11"/>
      <c r="C3205" s="10"/>
      <c r="D3205" s="13"/>
      <c r="E3205" s="14"/>
      <c r="F3205" s="14"/>
      <c r="G3205" s="14"/>
      <c r="H3205" s="10"/>
      <c r="I3205" s="17"/>
      <c r="J3205" s="10"/>
      <c r="K3205" s="46"/>
      <c r="L3205" s="10"/>
      <c r="M3205" s="20"/>
      <c r="N3205" s="20"/>
      <c r="O3205" s="20"/>
      <c r="P3205" s="20"/>
    </row>
    <row r="3206">
      <c r="A3206" s="23"/>
      <c r="B3206" s="21"/>
      <c r="C3206" s="23"/>
      <c r="D3206" s="24"/>
      <c r="E3206" s="14"/>
      <c r="F3206" s="14"/>
      <c r="G3206" s="14"/>
      <c r="H3206" s="23"/>
      <c r="I3206" s="27"/>
      <c r="J3206" s="23"/>
      <c r="K3206" s="30"/>
      <c r="L3206" s="23"/>
      <c r="M3206" s="20"/>
      <c r="N3206" s="20"/>
      <c r="O3206" s="20"/>
      <c r="P3206" s="20"/>
    </row>
    <row r="3207">
      <c r="A3207" s="10"/>
      <c r="B3207" s="11"/>
      <c r="C3207" s="10"/>
      <c r="D3207" s="13"/>
      <c r="E3207" s="14"/>
      <c r="F3207" s="14"/>
      <c r="G3207" s="14"/>
      <c r="H3207" s="10"/>
      <c r="I3207" s="17"/>
      <c r="J3207" s="10"/>
      <c r="K3207" s="46"/>
      <c r="L3207" s="10"/>
      <c r="M3207" s="20"/>
      <c r="N3207" s="20"/>
      <c r="O3207" s="20"/>
      <c r="P3207" s="20"/>
    </row>
    <row r="3208">
      <c r="A3208" s="23"/>
      <c r="B3208" s="21"/>
      <c r="C3208" s="23"/>
      <c r="D3208" s="24"/>
      <c r="E3208" s="14"/>
      <c r="F3208" s="14"/>
      <c r="G3208" s="14"/>
      <c r="H3208" s="23"/>
      <c r="I3208" s="27"/>
      <c r="J3208" s="23"/>
      <c r="K3208" s="30"/>
      <c r="L3208" s="23"/>
      <c r="M3208" s="20"/>
      <c r="N3208" s="20"/>
      <c r="O3208" s="20"/>
      <c r="P3208" s="20"/>
    </row>
    <row r="3209">
      <c r="A3209" s="10"/>
      <c r="B3209" s="11"/>
      <c r="C3209" s="10"/>
      <c r="D3209" s="13"/>
      <c r="E3209" s="14"/>
      <c r="F3209" s="14"/>
      <c r="G3209" s="14"/>
      <c r="H3209" s="10"/>
      <c r="I3209" s="17"/>
      <c r="J3209" s="10"/>
      <c r="K3209" s="46"/>
      <c r="L3209" s="10"/>
      <c r="M3209" s="20"/>
      <c r="N3209" s="20"/>
      <c r="O3209" s="20"/>
      <c r="P3209" s="20"/>
    </row>
    <row r="3210">
      <c r="A3210" s="23"/>
      <c r="B3210" s="21"/>
      <c r="C3210" s="23"/>
      <c r="D3210" s="24"/>
      <c r="E3210" s="14"/>
      <c r="F3210" s="14"/>
      <c r="G3210" s="14"/>
      <c r="H3210" s="23"/>
      <c r="I3210" s="27"/>
      <c r="J3210" s="23"/>
      <c r="K3210" s="30"/>
      <c r="L3210" s="23"/>
      <c r="M3210" s="20"/>
      <c r="N3210" s="20"/>
      <c r="O3210" s="20"/>
      <c r="P3210" s="20"/>
    </row>
    <row r="3211">
      <c r="A3211" s="10"/>
      <c r="B3211" s="11"/>
      <c r="C3211" s="10"/>
      <c r="D3211" s="13"/>
      <c r="E3211" s="14"/>
      <c r="F3211" s="14"/>
      <c r="G3211" s="14"/>
      <c r="H3211" s="10"/>
      <c r="I3211" s="17"/>
      <c r="J3211" s="10"/>
      <c r="K3211" s="46"/>
      <c r="L3211" s="10"/>
      <c r="M3211" s="20"/>
      <c r="N3211" s="20"/>
      <c r="O3211" s="20"/>
      <c r="P3211" s="20"/>
    </row>
    <row r="3212">
      <c r="A3212" s="23"/>
      <c r="B3212" s="21"/>
      <c r="C3212" s="23"/>
      <c r="D3212" s="24"/>
      <c r="E3212" s="14"/>
      <c r="F3212" s="14"/>
      <c r="G3212" s="14"/>
      <c r="H3212" s="23"/>
      <c r="I3212" s="27"/>
      <c r="J3212" s="23"/>
      <c r="K3212" s="30"/>
      <c r="L3212" s="23"/>
      <c r="M3212" s="20"/>
      <c r="N3212" s="20"/>
      <c r="O3212" s="20"/>
      <c r="P3212" s="20"/>
    </row>
    <row r="3213">
      <c r="A3213" s="10"/>
      <c r="B3213" s="11"/>
      <c r="C3213" s="10"/>
      <c r="D3213" s="13"/>
      <c r="E3213" s="14"/>
      <c r="F3213" s="14"/>
      <c r="G3213" s="14"/>
      <c r="H3213" s="10"/>
      <c r="I3213" s="17"/>
      <c r="J3213" s="10"/>
      <c r="K3213" s="46"/>
      <c r="L3213" s="10"/>
      <c r="M3213" s="20"/>
      <c r="N3213" s="20"/>
      <c r="O3213" s="20"/>
      <c r="P3213" s="20"/>
    </row>
    <row r="3214">
      <c r="A3214" s="23"/>
      <c r="B3214" s="21"/>
      <c r="C3214" s="23"/>
      <c r="D3214" s="24"/>
      <c r="E3214" s="14"/>
      <c r="F3214" s="14"/>
      <c r="G3214" s="14"/>
      <c r="H3214" s="23"/>
      <c r="I3214" s="27"/>
      <c r="J3214" s="23"/>
      <c r="K3214" s="30"/>
      <c r="L3214" s="23"/>
      <c r="M3214" s="20"/>
      <c r="N3214" s="20"/>
      <c r="O3214" s="20"/>
      <c r="P3214" s="20"/>
    </row>
    <row r="3215">
      <c r="A3215" s="10"/>
      <c r="B3215" s="11"/>
      <c r="C3215" s="10"/>
      <c r="D3215" s="13"/>
      <c r="E3215" s="14"/>
      <c r="F3215" s="14"/>
      <c r="G3215" s="14"/>
      <c r="H3215" s="10"/>
      <c r="I3215" s="17"/>
      <c r="J3215" s="10"/>
      <c r="K3215" s="46"/>
      <c r="L3215" s="10"/>
      <c r="M3215" s="20"/>
      <c r="N3215" s="20"/>
      <c r="O3215" s="20"/>
      <c r="P3215" s="20"/>
    </row>
    <row r="3216">
      <c r="A3216" s="23"/>
      <c r="B3216" s="21"/>
      <c r="C3216" s="23"/>
      <c r="D3216" s="24"/>
      <c r="E3216" s="14"/>
      <c r="F3216" s="14"/>
      <c r="G3216" s="14"/>
      <c r="H3216" s="23"/>
      <c r="I3216" s="27"/>
      <c r="J3216" s="23"/>
      <c r="K3216" s="30"/>
      <c r="L3216" s="23"/>
      <c r="M3216" s="20"/>
      <c r="N3216" s="20"/>
      <c r="O3216" s="20"/>
      <c r="P3216" s="20"/>
    </row>
    <row r="3217">
      <c r="A3217" s="10"/>
      <c r="B3217" s="11"/>
      <c r="C3217" s="10"/>
      <c r="D3217" s="13"/>
      <c r="E3217" s="14"/>
      <c r="F3217" s="14"/>
      <c r="G3217" s="14"/>
      <c r="H3217" s="10"/>
      <c r="I3217" s="17"/>
      <c r="J3217" s="10"/>
      <c r="K3217" s="46"/>
      <c r="L3217" s="10"/>
      <c r="M3217" s="20"/>
      <c r="N3217" s="20"/>
      <c r="O3217" s="20"/>
      <c r="P3217" s="20"/>
    </row>
    <row r="3218">
      <c r="A3218" s="23"/>
      <c r="B3218" s="21"/>
      <c r="C3218" s="23"/>
      <c r="D3218" s="24"/>
      <c r="E3218" s="14"/>
      <c r="F3218" s="14"/>
      <c r="G3218" s="14"/>
      <c r="H3218" s="23"/>
      <c r="I3218" s="27"/>
      <c r="J3218" s="23"/>
      <c r="K3218" s="30"/>
      <c r="L3218" s="23"/>
      <c r="M3218" s="20"/>
      <c r="N3218" s="20"/>
      <c r="O3218" s="20"/>
      <c r="P3218" s="20"/>
    </row>
    <row r="3219">
      <c r="A3219" s="10"/>
      <c r="B3219" s="11"/>
      <c r="C3219" s="10"/>
      <c r="D3219" s="13"/>
      <c r="E3219" s="14"/>
      <c r="F3219" s="14"/>
      <c r="G3219" s="14"/>
      <c r="H3219" s="10"/>
      <c r="I3219" s="17"/>
      <c r="J3219" s="10"/>
      <c r="K3219" s="46"/>
      <c r="L3219" s="10"/>
      <c r="M3219" s="20"/>
      <c r="N3219" s="20"/>
      <c r="O3219" s="20"/>
      <c r="P3219" s="20"/>
    </row>
    <row r="3220">
      <c r="A3220" s="23"/>
      <c r="B3220" s="21"/>
      <c r="C3220" s="23"/>
      <c r="D3220" s="24"/>
      <c r="E3220" s="14"/>
      <c r="F3220" s="14"/>
      <c r="G3220" s="14"/>
      <c r="H3220" s="23"/>
      <c r="I3220" s="27"/>
      <c r="J3220" s="23"/>
      <c r="K3220" s="30"/>
      <c r="L3220" s="23"/>
      <c r="M3220" s="20"/>
      <c r="N3220" s="20"/>
      <c r="O3220" s="20"/>
      <c r="P3220" s="20"/>
    </row>
    <row r="3221">
      <c r="A3221" s="10"/>
      <c r="B3221" s="11"/>
      <c r="C3221" s="10"/>
      <c r="D3221" s="13"/>
      <c r="E3221" s="14"/>
      <c r="F3221" s="14"/>
      <c r="G3221" s="14"/>
      <c r="H3221" s="10"/>
      <c r="I3221" s="17"/>
      <c r="J3221" s="10"/>
      <c r="K3221" s="46"/>
      <c r="L3221" s="10"/>
      <c r="M3221" s="20"/>
      <c r="N3221" s="20"/>
      <c r="O3221" s="20"/>
      <c r="P3221" s="20"/>
    </row>
    <row r="3222">
      <c r="A3222" s="23"/>
      <c r="B3222" s="21"/>
      <c r="C3222" s="23"/>
      <c r="D3222" s="24"/>
      <c r="E3222" s="14"/>
      <c r="F3222" s="14"/>
      <c r="G3222" s="14"/>
      <c r="H3222" s="23"/>
      <c r="I3222" s="27"/>
      <c r="J3222" s="23"/>
      <c r="K3222" s="30"/>
      <c r="L3222" s="23"/>
      <c r="M3222" s="20"/>
      <c r="N3222" s="20"/>
      <c r="O3222" s="20"/>
      <c r="P3222" s="20"/>
    </row>
    <row r="3223">
      <c r="A3223" s="10"/>
      <c r="B3223" s="11"/>
      <c r="C3223" s="10"/>
      <c r="D3223" s="13"/>
      <c r="E3223" s="14"/>
      <c r="F3223" s="14"/>
      <c r="G3223" s="14"/>
      <c r="H3223" s="10"/>
      <c r="I3223" s="17"/>
      <c r="J3223" s="10"/>
      <c r="K3223" s="46"/>
      <c r="L3223" s="10"/>
      <c r="M3223" s="20"/>
      <c r="N3223" s="20"/>
      <c r="O3223" s="20"/>
      <c r="P3223" s="20"/>
    </row>
    <row r="3224">
      <c r="A3224" s="23"/>
      <c r="B3224" s="21"/>
      <c r="C3224" s="23"/>
      <c r="D3224" s="24"/>
      <c r="E3224" s="14"/>
      <c r="F3224" s="14"/>
      <c r="G3224" s="14"/>
      <c r="H3224" s="23"/>
      <c r="I3224" s="27"/>
      <c r="J3224" s="23"/>
      <c r="K3224" s="30"/>
      <c r="L3224" s="23"/>
      <c r="M3224" s="20"/>
      <c r="N3224" s="20"/>
      <c r="O3224" s="20"/>
      <c r="P3224" s="20"/>
    </row>
    <row r="3225">
      <c r="A3225" s="10"/>
      <c r="B3225" s="11"/>
      <c r="C3225" s="10"/>
      <c r="D3225" s="13"/>
      <c r="E3225" s="14"/>
      <c r="F3225" s="14"/>
      <c r="G3225" s="14"/>
      <c r="H3225" s="10"/>
      <c r="I3225" s="17"/>
      <c r="J3225" s="10"/>
      <c r="K3225" s="46"/>
      <c r="L3225" s="10"/>
      <c r="M3225" s="20"/>
      <c r="N3225" s="20"/>
      <c r="O3225" s="20"/>
      <c r="P3225" s="20"/>
    </row>
    <row r="3226">
      <c r="A3226" s="23"/>
      <c r="B3226" s="21"/>
      <c r="C3226" s="23"/>
      <c r="D3226" s="24"/>
      <c r="E3226" s="14"/>
      <c r="F3226" s="14"/>
      <c r="G3226" s="14"/>
      <c r="H3226" s="23"/>
      <c r="I3226" s="27"/>
      <c r="J3226" s="23"/>
      <c r="K3226" s="30"/>
      <c r="L3226" s="23"/>
      <c r="M3226" s="20"/>
      <c r="N3226" s="20"/>
      <c r="O3226" s="20"/>
      <c r="P3226" s="20"/>
    </row>
    <row r="3227">
      <c r="A3227" s="10"/>
      <c r="B3227" s="11"/>
      <c r="C3227" s="10"/>
      <c r="D3227" s="13"/>
      <c r="E3227" s="14"/>
      <c r="F3227" s="14"/>
      <c r="G3227" s="14"/>
      <c r="H3227" s="10"/>
      <c r="I3227" s="17"/>
      <c r="J3227" s="10"/>
      <c r="K3227" s="46"/>
      <c r="L3227" s="10"/>
      <c r="M3227" s="20"/>
      <c r="N3227" s="20"/>
      <c r="O3227" s="20"/>
      <c r="P3227" s="20"/>
    </row>
    <row r="3228">
      <c r="A3228" s="23"/>
      <c r="B3228" s="21"/>
      <c r="C3228" s="23"/>
      <c r="D3228" s="24"/>
      <c r="E3228" s="14"/>
      <c r="F3228" s="14"/>
      <c r="G3228" s="14"/>
      <c r="H3228" s="23"/>
      <c r="I3228" s="27"/>
      <c r="J3228" s="23"/>
      <c r="K3228" s="30"/>
      <c r="L3228" s="23"/>
      <c r="M3228" s="20"/>
      <c r="N3228" s="20"/>
      <c r="O3228" s="20"/>
      <c r="P3228" s="20"/>
    </row>
    <row r="3229">
      <c r="A3229" s="10"/>
      <c r="B3229" s="11"/>
      <c r="C3229" s="10"/>
      <c r="D3229" s="13"/>
      <c r="E3229" s="14"/>
      <c r="F3229" s="14"/>
      <c r="G3229" s="14"/>
      <c r="H3229" s="10"/>
      <c r="I3229" s="17"/>
      <c r="J3229" s="10"/>
      <c r="K3229" s="46"/>
      <c r="L3229" s="10"/>
      <c r="M3229" s="20"/>
      <c r="N3229" s="20"/>
      <c r="O3229" s="20"/>
      <c r="P3229" s="20"/>
    </row>
    <row r="3230">
      <c r="A3230" s="23"/>
      <c r="B3230" s="21"/>
      <c r="C3230" s="23"/>
      <c r="D3230" s="24"/>
      <c r="E3230" s="14"/>
      <c r="F3230" s="14"/>
      <c r="G3230" s="14"/>
      <c r="H3230" s="23"/>
      <c r="I3230" s="27"/>
      <c r="J3230" s="23"/>
      <c r="K3230" s="30"/>
      <c r="L3230" s="23"/>
      <c r="M3230" s="20"/>
      <c r="N3230" s="20"/>
      <c r="O3230" s="20"/>
      <c r="P3230" s="20"/>
    </row>
    <row r="3231">
      <c r="A3231" s="10"/>
      <c r="B3231" s="11"/>
      <c r="C3231" s="10"/>
      <c r="D3231" s="13"/>
      <c r="E3231" s="14"/>
      <c r="F3231" s="14"/>
      <c r="G3231" s="14"/>
      <c r="H3231" s="10"/>
      <c r="I3231" s="17"/>
      <c r="J3231" s="10"/>
      <c r="K3231" s="46"/>
      <c r="L3231" s="10"/>
      <c r="M3231" s="20"/>
      <c r="N3231" s="20"/>
      <c r="O3231" s="20"/>
      <c r="P3231" s="20"/>
    </row>
    <row r="3232">
      <c r="A3232" s="23"/>
      <c r="B3232" s="21"/>
      <c r="C3232" s="23"/>
      <c r="D3232" s="24"/>
      <c r="E3232" s="14"/>
      <c r="F3232" s="14"/>
      <c r="G3232" s="14"/>
      <c r="H3232" s="23"/>
      <c r="I3232" s="27"/>
      <c r="J3232" s="23"/>
      <c r="K3232" s="30"/>
      <c r="L3232" s="23"/>
      <c r="M3232" s="20"/>
      <c r="N3232" s="20"/>
      <c r="O3232" s="20"/>
      <c r="P3232" s="20"/>
    </row>
    <row r="3233">
      <c r="A3233" s="10"/>
      <c r="B3233" s="11"/>
      <c r="C3233" s="10"/>
      <c r="D3233" s="13"/>
      <c r="E3233" s="14"/>
      <c r="F3233" s="14"/>
      <c r="G3233" s="14"/>
      <c r="H3233" s="10"/>
      <c r="I3233" s="17"/>
      <c r="J3233" s="10"/>
      <c r="K3233" s="46"/>
      <c r="L3233" s="10"/>
      <c r="M3233" s="20"/>
      <c r="N3233" s="20"/>
      <c r="O3233" s="20"/>
      <c r="P3233" s="20"/>
    </row>
    <row r="3234">
      <c r="A3234" s="23"/>
      <c r="B3234" s="21"/>
      <c r="C3234" s="23"/>
      <c r="D3234" s="24"/>
      <c r="E3234" s="14"/>
      <c r="F3234" s="14"/>
      <c r="G3234" s="14"/>
      <c r="H3234" s="23"/>
      <c r="I3234" s="27"/>
      <c r="J3234" s="23"/>
      <c r="K3234" s="30"/>
      <c r="L3234" s="23"/>
      <c r="M3234" s="20"/>
      <c r="N3234" s="20"/>
      <c r="O3234" s="20"/>
      <c r="P3234" s="20"/>
    </row>
    <row r="3235">
      <c r="A3235" s="10"/>
      <c r="B3235" s="11"/>
      <c r="C3235" s="10"/>
      <c r="D3235" s="13"/>
      <c r="E3235" s="14"/>
      <c r="F3235" s="14"/>
      <c r="G3235" s="14"/>
      <c r="H3235" s="10"/>
      <c r="I3235" s="17"/>
      <c r="J3235" s="10"/>
      <c r="K3235" s="46"/>
      <c r="L3235" s="10"/>
      <c r="M3235" s="20"/>
      <c r="N3235" s="20"/>
      <c r="O3235" s="20"/>
      <c r="P3235" s="20"/>
    </row>
    <row r="3236">
      <c r="A3236" s="23"/>
      <c r="B3236" s="21"/>
      <c r="C3236" s="23"/>
      <c r="D3236" s="24"/>
      <c r="E3236" s="14"/>
      <c r="F3236" s="14"/>
      <c r="G3236" s="14"/>
      <c r="H3236" s="23"/>
      <c r="I3236" s="27"/>
      <c r="J3236" s="23"/>
      <c r="K3236" s="30"/>
      <c r="L3236" s="23"/>
      <c r="M3236" s="20"/>
      <c r="N3236" s="20"/>
      <c r="O3236" s="20"/>
      <c r="P3236" s="20"/>
    </row>
    <row r="3237">
      <c r="A3237" s="10"/>
      <c r="B3237" s="11"/>
      <c r="C3237" s="10"/>
      <c r="D3237" s="13"/>
      <c r="E3237" s="14"/>
      <c r="F3237" s="14"/>
      <c r="G3237" s="14"/>
      <c r="H3237" s="10"/>
      <c r="I3237" s="17"/>
      <c r="J3237" s="10"/>
      <c r="K3237" s="46"/>
      <c r="L3237" s="10"/>
      <c r="M3237" s="20"/>
      <c r="N3237" s="20"/>
      <c r="O3237" s="20"/>
      <c r="P3237" s="20"/>
    </row>
    <row r="3238">
      <c r="A3238" s="23"/>
      <c r="B3238" s="21"/>
      <c r="C3238" s="23"/>
      <c r="D3238" s="24"/>
      <c r="E3238" s="14"/>
      <c r="F3238" s="14"/>
      <c r="G3238" s="14"/>
      <c r="H3238" s="23"/>
      <c r="I3238" s="27"/>
      <c r="J3238" s="23"/>
      <c r="K3238" s="30"/>
      <c r="L3238" s="23"/>
      <c r="M3238" s="20"/>
      <c r="N3238" s="20"/>
      <c r="O3238" s="20"/>
      <c r="P3238" s="20"/>
    </row>
    <row r="3239">
      <c r="A3239" s="10"/>
      <c r="B3239" s="11"/>
      <c r="C3239" s="10"/>
      <c r="D3239" s="13"/>
      <c r="E3239" s="14"/>
      <c r="F3239" s="14"/>
      <c r="G3239" s="14"/>
      <c r="H3239" s="10"/>
      <c r="I3239" s="17"/>
      <c r="J3239" s="10"/>
      <c r="K3239" s="46"/>
      <c r="L3239" s="10"/>
      <c r="M3239" s="20"/>
      <c r="N3239" s="20"/>
      <c r="O3239" s="20"/>
      <c r="P3239" s="20"/>
    </row>
    <row r="3240">
      <c r="A3240" s="23"/>
      <c r="B3240" s="21"/>
      <c r="C3240" s="23"/>
      <c r="D3240" s="24"/>
      <c r="E3240" s="14"/>
      <c r="F3240" s="14"/>
      <c r="G3240" s="14"/>
      <c r="H3240" s="23"/>
      <c r="I3240" s="27"/>
      <c r="J3240" s="23"/>
      <c r="K3240" s="30"/>
      <c r="L3240" s="23"/>
      <c r="M3240" s="20"/>
      <c r="N3240" s="20"/>
      <c r="O3240" s="20"/>
      <c r="P3240" s="20"/>
    </row>
    <row r="3241">
      <c r="A3241" s="10"/>
      <c r="B3241" s="11"/>
      <c r="C3241" s="10"/>
      <c r="D3241" s="13"/>
      <c r="E3241" s="14"/>
      <c r="F3241" s="14"/>
      <c r="G3241" s="14"/>
      <c r="H3241" s="10"/>
      <c r="I3241" s="17"/>
      <c r="J3241" s="10"/>
      <c r="K3241" s="46"/>
      <c r="L3241" s="10"/>
      <c r="M3241" s="20"/>
      <c r="N3241" s="20"/>
      <c r="O3241" s="20"/>
      <c r="P3241" s="20"/>
    </row>
    <row r="3242">
      <c r="A3242" s="23"/>
      <c r="B3242" s="21"/>
      <c r="C3242" s="23"/>
      <c r="D3242" s="24"/>
      <c r="E3242" s="14"/>
      <c r="F3242" s="14"/>
      <c r="G3242" s="14"/>
      <c r="H3242" s="23"/>
      <c r="I3242" s="27"/>
      <c r="J3242" s="23"/>
      <c r="K3242" s="30"/>
      <c r="L3242" s="23"/>
      <c r="M3242" s="20"/>
      <c r="N3242" s="20"/>
      <c r="O3242" s="20"/>
      <c r="P3242" s="20"/>
    </row>
    <row r="3243">
      <c r="A3243" s="10"/>
      <c r="B3243" s="11"/>
      <c r="C3243" s="10"/>
      <c r="D3243" s="13"/>
      <c r="E3243" s="14"/>
      <c r="F3243" s="14"/>
      <c r="G3243" s="14"/>
      <c r="H3243" s="10"/>
      <c r="I3243" s="17"/>
      <c r="J3243" s="10"/>
      <c r="K3243" s="46"/>
      <c r="L3243" s="10"/>
      <c r="M3243" s="20"/>
      <c r="N3243" s="20"/>
      <c r="O3243" s="20"/>
      <c r="P3243" s="20"/>
    </row>
    <row r="3244">
      <c r="A3244" s="23"/>
      <c r="B3244" s="21"/>
      <c r="C3244" s="23"/>
      <c r="D3244" s="24"/>
      <c r="E3244" s="14"/>
      <c r="F3244" s="14"/>
      <c r="G3244" s="14"/>
      <c r="H3244" s="23"/>
      <c r="I3244" s="27"/>
      <c r="J3244" s="23"/>
      <c r="K3244" s="30"/>
      <c r="L3244" s="23"/>
      <c r="M3244" s="20"/>
      <c r="N3244" s="20"/>
      <c r="O3244" s="20"/>
      <c r="P3244" s="20"/>
    </row>
    <row r="3245">
      <c r="A3245" s="10"/>
      <c r="B3245" s="11"/>
      <c r="C3245" s="10"/>
      <c r="D3245" s="13"/>
      <c r="E3245" s="14"/>
      <c r="F3245" s="14"/>
      <c r="G3245" s="14"/>
      <c r="H3245" s="10"/>
      <c r="I3245" s="17"/>
      <c r="J3245" s="10"/>
      <c r="K3245" s="46"/>
      <c r="L3245" s="10"/>
      <c r="M3245" s="20"/>
      <c r="N3245" s="20"/>
      <c r="O3245" s="20"/>
      <c r="P3245" s="20"/>
    </row>
    <row r="3246">
      <c r="A3246" s="23"/>
      <c r="B3246" s="21"/>
      <c r="C3246" s="23"/>
      <c r="D3246" s="24"/>
      <c r="E3246" s="14"/>
      <c r="F3246" s="14"/>
      <c r="G3246" s="14"/>
      <c r="H3246" s="23"/>
      <c r="I3246" s="27"/>
      <c r="J3246" s="23"/>
      <c r="K3246" s="30"/>
      <c r="L3246" s="23"/>
      <c r="M3246" s="20"/>
      <c r="N3246" s="20"/>
      <c r="O3246" s="20"/>
      <c r="P3246" s="20"/>
    </row>
    <row r="3247">
      <c r="A3247" s="10"/>
      <c r="B3247" s="11"/>
      <c r="C3247" s="10"/>
      <c r="D3247" s="13"/>
      <c r="E3247" s="14"/>
      <c r="F3247" s="14"/>
      <c r="G3247" s="14"/>
      <c r="H3247" s="10"/>
      <c r="I3247" s="17"/>
      <c r="J3247" s="10"/>
      <c r="K3247" s="46"/>
      <c r="L3247" s="10"/>
      <c r="M3247" s="20"/>
      <c r="N3247" s="20"/>
      <c r="O3247" s="20"/>
      <c r="P3247" s="20"/>
    </row>
    <row r="3248">
      <c r="A3248" s="23"/>
      <c r="B3248" s="21"/>
      <c r="C3248" s="23"/>
      <c r="D3248" s="24"/>
      <c r="E3248" s="14"/>
      <c r="F3248" s="14"/>
      <c r="G3248" s="14"/>
      <c r="H3248" s="23"/>
      <c r="I3248" s="27"/>
      <c r="J3248" s="23"/>
      <c r="K3248" s="30"/>
      <c r="L3248" s="23"/>
      <c r="M3248" s="20"/>
      <c r="N3248" s="20"/>
      <c r="O3248" s="20"/>
      <c r="P3248" s="20"/>
    </row>
    <row r="3249">
      <c r="A3249" s="10"/>
      <c r="B3249" s="11"/>
      <c r="C3249" s="10"/>
      <c r="D3249" s="13"/>
      <c r="E3249" s="14"/>
      <c r="F3249" s="14"/>
      <c r="G3249" s="14"/>
      <c r="H3249" s="10"/>
      <c r="I3249" s="17"/>
      <c r="J3249" s="10"/>
      <c r="K3249" s="46"/>
      <c r="L3249" s="10"/>
      <c r="M3249" s="20"/>
      <c r="N3249" s="20"/>
      <c r="O3249" s="20"/>
      <c r="P3249" s="20"/>
    </row>
    <row r="3250">
      <c r="A3250" s="23"/>
      <c r="B3250" s="21"/>
      <c r="C3250" s="23"/>
      <c r="D3250" s="24"/>
      <c r="E3250" s="14"/>
      <c r="F3250" s="14"/>
      <c r="G3250" s="14"/>
      <c r="H3250" s="23"/>
      <c r="I3250" s="27"/>
      <c r="J3250" s="23"/>
      <c r="K3250" s="30"/>
      <c r="L3250" s="23"/>
      <c r="M3250" s="20"/>
      <c r="N3250" s="20"/>
      <c r="O3250" s="20"/>
      <c r="P3250" s="20"/>
    </row>
    <row r="3251">
      <c r="A3251" s="10"/>
      <c r="B3251" s="11"/>
      <c r="C3251" s="10"/>
      <c r="D3251" s="13"/>
      <c r="E3251" s="14"/>
      <c r="F3251" s="14"/>
      <c r="G3251" s="14"/>
      <c r="H3251" s="10"/>
      <c r="I3251" s="17"/>
      <c r="J3251" s="10"/>
      <c r="K3251" s="46"/>
      <c r="L3251" s="10"/>
      <c r="M3251" s="20"/>
      <c r="N3251" s="20"/>
      <c r="O3251" s="20"/>
      <c r="P3251" s="20"/>
    </row>
    <row r="3252">
      <c r="A3252" s="23"/>
      <c r="B3252" s="21"/>
      <c r="C3252" s="23"/>
      <c r="D3252" s="24"/>
      <c r="E3252" s="14"/>
      <c r="F3252" s="14"/>
      <c r="G3252" s="14"/>
      <c r="H3252" s="23"/>
      <c r="I3252" s="27"/>
      <c r="J3252" s="23"/>
      <c r="K3252" s="30"/>
      <c r="L3252" s="23"/>
      <c r="M3252" s="20"/>
      <c r="N3252" s="20"/>
      <c r="O3252" s="20"/>
      <c r="P3252" s="20"/>
    </row>
    <row r="3253">
      <c r="A3253" s="10"/>
      <c r="B3253" s="11"/>
      <c r="C3253" s="10"/>
      <c r="D3253" s="13"/>
      <c r="E3253" s="14"/>
      <c r="F3253" s="14"/>
      <c r="G3253" s="14"/>
      <c r="H3253" s="10"/>
      <c r="I3253" s="17"/>
      <c r="J3253" s="10"/>
      <c r="K3253" s="46"/>
      <c r="L3253" s="10"/>
      <c r="M3253" s="20"/>
      <c r="N3253" s="20"/>
      <c r="O3253" s="20"/>
      <c r="P3253" s="20"/>
    </row>
    <row r="3254">
      <c r="A3254" s="23"/>
      <c r="B3254" s="21"/>
      <c r="C3254" s="23"/>
      <c r="D3254" s="24"/>
      <c r="E3254" s="14"/>
      <c r="F3254" s="14"/>
      <c r="G3254" s="14"/>
      <c r="H3254" s="23"/>
      <c r="I3254" s="27"/>
      <c r="J3254" s="23"/>
      <c r="K3254" s="30"/>
      <c r="L3254" s="23"/>
      <c r="M3254" s="20"/>
      <c r="N3254" s="20"/>
      <c r="O3254" s="20"/>
      <c r="P3254" s="20"/>
    </row>
    <row r="3255">
      <c r="A3255" s="10"/>
      <c r="B3255" s="11"/>
      <c r="C3255" s="10"/>
      <c r="D3255" s="13"/>
      <c r="E3255" s="14"/>
      <c r="F3255" s="14"/>
      <c r="G3255" s="14"/>
      <c r="H3255" s="10"/>
      <c r="I3255" s="17"/>
      <c r="J3255" s="10"/>
      <c r="K3255" s="46"/>
      <c r="L3255" s="10"/>
      <c r="M3255" s="20"/>
      <c r="N3255" s="20"/>
      <c r="O3255" s="20"/>
      <c r="P3255" s="20"/>
    </row>
    <row r="3256">
      <c r="A3256" s="23"/>
      <c r="B3256" s="21"/>
      <c r="C3256" s="23"/>
      <c r="D3256" s="24"/>
      <c r="E3256" s="14"/>
      <c r="F3256" s="14"/>
      <c r="G3256" s="14"/>
      <c r="H3256" s="23"/>
      <c r="I3256" s="27"/>
      <c r="J3256" s="23"/>
      <c r="K3256" s="30"/>
      <c r="L3256" s="23"/>
      <c r="M3256" s="20"/>
      <c r="N3256" s="20"/>
      <c r="O3256" s="20"/>
      <c r="P3256" s="20"/>
    </row>
    <row r="3257">
      <c r="A3257" s="10"/>
      <c r="B3257" s="11"/>
      <c r="C3257" s="10"/>
      <c r="D3257" s="13"/>
      <c r="E3257" s="14"/>
      <c r="F3257" s="14"/>
      <c r="G3257" s="14"/>
      <c r="H3257" s="10"/>
      <c r="I3257" s="17"/>
      <c r="J3257" s="10"/>
      <c r="K3257" s="46"/>
      <c r="L3257" s="10"/>
      <c r="M3257" s="20"/>
      <c r="N3257" s="20"/>
      <c r="O3257" s="20"/>
      <c r="P3257" s="20"/>
    </row>
    <row r="3258">
      <c r="A3258" s="23"/>
      <c r="B3258" s="21"/>
      <c r="C3258" s="23"/>
      <c r="D3258" s="24"/>
      <c r="E3258" s="14"/>
      <c r="F3258" s="14"/>
      <c r="G3258" s="14"/>
      <c r="H3258" s="23"/>
      <c r="I3258" s="27"/>
      <c r="J3258" s="23"/>
      <c r="K3258" s="30"/>
      <c r="L3258" s="23"/>
      <c r="M3258" s="20"/>
      <c r="N3258" s="20"/>
      <c r="O3258" s="20"/>
      <c r="P3258" s="20"/>
    </row>
    <row r="3259">
      <c r="A3259" s="10"/>
      <c r="B3259" s="11"/>
      <c r="C3259" s="10"/>
      <c r="D3259" s="13"/>
      <c r="E3259" s="14"/>
      <c r="F3259" s="14"/>
      <c r="G3259" s="14"/>
      <c r="H3259" s="10"/>
      <c r="I3259" s="17"/>
      <c r="J3259" s="10"/>
      <c r="K3259" s="46"/>
      <c r="L3259" s="10"/>
      <c r="M3259" s="20"/>
      <c r="N3259" s="20"/>
      <c r="O3259" s="20"/>
      <c r="P3259" s="20"/>
    </row>
    <row r="3260">
      <c r="A3260" s="23"/>
      <c r="B3260" s="21"/>
      <c r="C3260" s="23"/>
      <c r="D3260" s="24"/>
      <c r="E3260" s="14"/>
      <c r="F3260" s="14"/>
      <c r="G3260" s="14"/>
      <c r="H3260" s="23"/>
      <c r="I3260" s="27"/>
      <c r="J3260" s="23"/>
      <c r="K3260" s="30"/>
      <c r="L3260" s="23"/>
      <c r="M3260" s="20"/>
      <c r="N3260" s="20"/>
      <c r="O3260" s="20"/>
      <c r="P3260" s="20"/>
    </row>
    <row r="3261">
      <c r="A3261" s="10"/>
      <c r="B3261" s="11"/>
      <c r="C3261" s="10"/>
      <c r="D3261" s="13"/>
      <c r="E3261" s="14"/>
      <c r="F3261" s="14"/>
      <c r="G3261" s="14"/>
      <c r="H3261" s="10"/>
      <c r="I3261" s="17"/>
      <c r="J3261" s="10"/>
      <c r="K3261" s="46"/>
      <c r="L3261" s="10"/>
      <c r="M3261" s="20"/>
      <c r="N3261" s="20"/>
      <c r="O3261" s="20"/>
      <c r="P3261" s="20"/>
    </row>
    <row r="3262">
      <c r="A3262" s="23"/>
      <c r="B3262" s="21"/>
      <c r="C3262" s="23"/>
      <c r="D3262" s="24"/>
      <c r="E3262" s="14"/>
      <c r="F3262" s="14"/>
      <c r="G3262" s="14"/>
      <c r="H3262" s="23"/>
      <c r="I3262" s="27"/>
      <c r="J3262" s="23"/>
      <c r="K3262" s="30"/>
      <c r="L3262" s="23"/>
      <c r="M3262" s="20"/>
      <c r="N3262" s="20"/>
      <c r="O3262" s="20"/>
      <c r="P3262" s="20"/>
    </row>
    <row r="3263">
      <c r="A3263" s="10"/>
      <c r="B3263" s="11"/>
      <c r="C3263" s="10"/>
      <c r="D3263" s="13"/>
      <c r="E3263" s="14"/>
      <c r="F3263" s="14"/>
      <c r="G3263" s="14"/>
      <c r="H3263" s="10"/>
      <c r="I3263" s="17"/>
      <c r="J3263" s="10"/>
      <c r="K3263" s="46"/>
      <c r="L3263" s="10"/>
      <c r="M3263" s="20"/>
      <c r="N3263" s="20"/>
      <c r="O3263" s="20"/>
      <c r="P3263" s="20"/>
    </row>
    <row r="3264">
      <c r="A3264" s="23"/>
      <c r="B3264" s="21"/>
      <c r="C3264" s="23"/>
      <c r="D3264" s="24"/>
      <c r="E3264" s="14"/>
      <c r="F3264" s="14"/>
      <c r="G3264" s="14"/>
      <c r="H3264" s="23"/>
      <c r="I3264" s="27"/>
      <c r="J3264" s="23"/>
      <c r="K3264" s="30"/>
      <c r="L3264" s="23"/>
      <c r="M3264" s="20"/>
      <c r="N3264" s="20"/>
      <c r="O3264" s="20"/>
      <c r="P3264" s="20"/>
    </row>
    <row r="3265">
      <c r="A3265" s="10"/>
      <c r="B3265" s="11"/>
      <c r="C3265" s="10"/>
      <c r="D3265" s="13"/>
      <c r="E3265" s="14"/>
      <c r="F3265" s="14"/>
      <c r="G3265" s="14"/>
      <c r="H3265" s="10"/>
      <c r="I3265" s="17"/>
      <c r="J3265" s="10"/>
      <c r="K3265" s="46"/>
      <c r="L3265" s="10"/>
      <c r="M3265" s="20"/>
      <c r="N3265" s="20"/>
      <c r="O3265" s="20"/>
      <c r="P3265" s="20"/>
    </row>
    <row r="3266">
      <c r="A3266" s="23"/>
      <c r="B3266" s="21"/>
      <c r="C3266" s="23"/>
      <c r="D3266" s="24"/>
      <c r="E3266" s="14"/>
      <c r="F3266" s="14"/>
      <c r="G3266" s="14"/>
      <c r="H3266" s="23"/>
      <c r="I3266" s="27"/>
      <c r="J3266" s="23"/>
      <c r="K3266" s="30"/>
      <c r="L3266" s="23"/>
      <c r="M3266" s="20"/>
      <c r="N3266" s="20"/>
      <c r="O3266" s="20"/>
      <c r="P3266" s="20"/>
    </row>
    <row r="3267">
      <c r="A3267" s="10"/>
      <c r="B3267" s="11"/>
      <c r="C3267" s="10"/>
      <c r="D3267" s="13"/>
      <c r="E3267" s="14"/>
      <c r="F3267" s="14"/>
      <c r="G3267" s="14"/>
      <c r="H3267" s="10"/>
      <c r="I3267" s="17"/>
      <c r="J3267" s="10"/>
      <c r="K3267" s="46"/>
      <c r="L3267" s="10"/>
      <c r="M3267" s="20"/>
      <c r="N3267" s="20"/>
      <c r="O3267" s="20"/>
      <c r="P3267" s="20"/>
    </row>
    <row r="3268">
      <c r="A3268" s="23"/>
      <c r="B3268" s="21"/>
      <c r="C3268" s="23"/>
      <c r="D3268" s="24"/>
      <c r="E3268" s="14"/>
      <c r="F3268" s="14"/>
      <c r="G3268" s="14"/>
      <c r="H3268" s="23"/>
      <c r="I3268" s="27"/>
      <c r="J3268" s="23"/>
      <c r="K3268" s="30"/>
      <c r="L3268" s="23"/>
      <c r="M3268" s="20"/>
      <c r="N3268" s="20"/>
      <c r="O3268" s="20"/>
      <c r="P3268" s="20"/>
    </row>
    <row r="3269">
      <c r="A3269" s="10"/>
      <c r="B3269" s="11"/>
      <c r="C3269" s="10"/>
      <c r="D3269" s="13"/>
      <c r="E3269" s="14"/>
      <c r="F3269" s="14"/>
      <c r="G3269" s="14"/>
      <c r="H3269" s="10"/>
      <c r="I3269" s="17"/>
      <c r="J3269" s="10"/>
      <c r="K3269" s="46"/>
      <c r="L3269" s="10"/>
      <c r="M3269" s="20"/>
      <c r="N3269" s="20"/>
      <c r="O3269" s="20"/>
      <c r="P3269" s="20"/>
    </row>
    <row r="3270">
      <c r="A3270" s="23"/>
      <c r="B3270" s="21"/>
      <c r="C3270" s="23"/>
      <c r="D3270" s="24"/>
      <c r="E3270" s="14"/>
      <c r="F3270" s="14"/>
      <c r="G3270" s="14"/>
      <c r="H3270" s="23"/>
      <c r="I3270" s="27"/>
      <c r="J3270" s="23"/>
      <c r="K3270" s="30"/>
      <c r="L3270" s="23"/>
      <c r="M3270" s="20"/>
      <c r="N3270" s="20"/>
      <c r="O3270" s="20"/>
      <c r="P3270" s="20"/>
    </row>
    <row r="3271">
      <c r="A3271" s="10"/>
      <c r="B3271" s="11"/>
      <c r="C3271" s="10"/>
      <c r="D3271" s="13"/>
      <c r="E3271" s="14"/>
      <c r="F3271" s="14"/>
      <c r="G3271" s="14"/>
      <c r="H3271" s="10"/>
      <c r="I3271" s="17"/>
      <c r="J3271" s="10"/>
      <c r="K3271" s="46"/>
      <c r="L3271" s="10"/>
      <c r="M3271" s="20"/>
      <c r="N3271" s="20"/>
      <c r="O3271" s="20"/>
      <c r="P3271" s="20"/>
    </row>
    <row r="3272">
      <c r="A3272" s="23"/>
      <c r="B3272" s="21"/>
      <c r="C3272" s="23"/>
      <c r="D3272" s="24"/>
      <c r="E3272" s="14"/>
      <c r="F3272" s="14"/>
      <c r="G3272" s="14"/>
      <c r="H3272" s="23"/>
      <c r="I3272" s="27"/>
      <c r="J3272" s="23"/>
      <c r="K3272" s="30"/>
      <c r="L3272" s="23"/>
      <c r="M3272" s="20"/>
      <c r="N3272" s="20"/>
      <c r="O3272" s="20"/>
      <c r="P3272" s="20"/>
    </row>
    <row r="3273">
      <c r="A3273" s="10"/>
      <c r="B3273" s="11"/>
      <c r="C3273" s="10"/>
      <c r="D3273" s="13"/>
      <c r="E3273" s="14"/>
      <c r="F3273" s="14"/>
      <c r="G3273" s="14"/>
      <c r="H3273" s="10"/>
      <c r="I3273" s="17"/>
      <c r="J3273" s="10"/>
      <c r="K3273" s="46"/>
      <c r="L3273" s="10"/>
      <c r="M3273" s="20"/>
      <c r="N3273" s="20"/>
      <c r="O3273" s="20"/>
      <c r="P3273" s="20"/>
    </row>
    <row r="3274">
      <c r="A3274" s="23"/>
      <c r="B3274" s="21"/>
      <c r="C3274" s="23"/>
      <c r="D3274" s="24"/>
      <c r="E3274" s="14"/>
      <c r="F3274" s="14"/>
      <c r="G3274" s="14"/>
      <c r="H3274" s="23"/>
      <c r="I3274" s="27"/>
      <c r="J3274" s="23"/>
      <c r="K3274" s="30"/>
      <c r="L3274" s="23"/>
      <c r="M3274" s="20"/>
      <c r="N3274" s="20"/>
      <c r="O3274" s="20"/>
      <c r="P3274" s="20"/>
    </row>
    <row r="3275">
      <c r="A3275" s="10"/>
      <c r="B3275" s="11"/>
      <c r="C3275" s="10"/>
      <c r="D3275" s="13"/>
      <c r="E3275" s="14"/>
      <c r="F3275" s="14"/>
      <c r="G3275" s="14"/>
      <c r="H3275" s="10"/>
      <c r="I3275" s="17"/>
      <c r="J3275" s="10"/>
      <c r="K3275" s="46"/>
      <c r="L3275" s="10"/>
      <c r="M3275" s="20"/>
      <c r="N3275" s="20"/>
      <c r="O3275" s="20"/>
      <c r="P3275" s="20"/>
    </row>
    <row r="3276">
      <c r="A3276" s="23"/>
      <c r="B3276" s="21"/>
      <c r="C3276" s="23"/>
      <c r="D3276" s="24"/>
      <c r="E3276" s="14"/>
      <c r="F3276" s="14"/>
      <c r="G3276" s="14"/>
      <c r="H3276" s="23"/>
      <c r="I3276" s="27"/>
      <c r="J3276" s="23"/>
      <c r="K3276" s="30"/>
      <c r="L3276" s="23"/>
      <c r="M3276" s="20"/>
      <c r="N3276" s="20"/>
      <c r="O3276" s="20"/>
      <c r="P3276" s="20"/>
    </row>
    <row r="3277">
      <c r="A3277" s="10"/>
      <c r="B3277" s="11"/>
      <c r="C3277" s="10"/>
      <c r="D3277" s="13"/>
      <c r="E3277" s="14"/>
      <c r="F3277" s="14"/>
      <c r="G3277" s="14"/>
      <c r="H3277" s="10"/>
      <c r="I3277" s="17"/>
      <c r="J3277" s="10"/>
      <c r="K3277" s="46"/>
      <c r="L3277" s="10"/>
      <c r="M3277" s="20"/>
      <c r="N3277" s="20"/>
      <c r="O3277" s="20"/>
      <c r="P3277" s="20"/>
    </row>
    <row r="3278">
      <c r="A3278" s="23"/>
      <c r="B3278" s="21"/>
      <c r="C3278" s="23"/>
      <c r="D3278" s="24"/>
      <c r="E3278" s="14"/>
      <c r="F3278" s="14"/>
      <c r="G3278" s="14"/>
      <c r="H3278" s="23"/>
      <c r="I3278" s="27"/>
      <c r="J3278" s="23"/>
      <c r="K3278" s="30"/>
      <c r="L3278" s="23"/>
      <c r="M3278" s="20"/>
      <c r="N3278" s="20"/>
      <c r="O3278" s="20"/>
      <c r="P3278" s="20"/>
    </row>
    <row r="3279">
      <c r="A3279" s="10"/>
      <c r="B3279" s="11"/>
      <c r="C3279" s="10"/>
      <c r="D3279" s="13"/>
      <c r="E3279" s="14"/>
      <c r="F3279" s="14"/>
      <c r="G3279" s="14"/>
      <c r="H3279" s="10"/>
      <c r="I3279" s="17"/>
      <c r="J3279" s="10"/>
      <c r="K3279" s="46"/>
      <c r="L3279" s="10"/>
      <c r="M3279" s="20"/>
      <c r="N3279" s="20"/>
      <c r="O3279" s="20"/>
      <c r="P3279" s="20"/>
    </row>
    <row r="3280">
      <c r="A3280" s="23"/>
      <c r="B3280" s="21"/>
      <c r="C3280" s="23"/>
      <c r="D3280" s="24"/>
      <c r="E3280" s="14"/>
      <c r="F3280" s="14"/>
      <c r="G3280" s="14"/>
      <c r="H3280" s="23"/>
      <c r="I3280" s="27"/>
      <c r="J3280" s="23"/>
      <c r="K3280" s="30"/>
      <c r="L3280" s="23"/>
      <c r="M3280" s="20"/>
      <c r="N3280" s="20"/>
      <c r="O3280" s="20"/>
      <c r="P3280" s="20"/>
    </row>
    <row r="3281">
      <c r="A3281" s="10"/>
      <c r="B3281" s="11"/>
      <c r="C3281" s="10"/>
      <c r="D3281" s="13"/>
      <c r="E3281" s="14"/>
      <c r="F3281" s="14"/>
      <c r="G3281" s="14"/>
      <c r="H3281" s="10"/>
      <c r="I3281" s="17"/>
      <c r="J3281" s="10"/>
      <c r="K3281" s="46"/>
      <c r="L3281" s="10"/>
      <c r="M3281" s="20"/>
      <c r="N3281" s="20"/>
      <c r="O3281" s="20"/>
      <c r="P3281" s="20"/>
    </row>
    <row r="3282">
      <c r="A3282" s="23"/>
      <c r="B3282" s="21"/>
      <c r="C3282" s="23"/>
      <c r="D3282" s="24"/>
      <c r="E3282" s="14"/>
      <c r="F3282" s="14"/>
      <c r="G3282" s="14"/>
      <c r="H3282" s="23"/>
      <c r="I3282" s="27"/>
      <c r="J3282" s="23"/>
      <c r="K3282" s="30"/>
      <c r="L3282" s="23"/>
      <c r="M3282" s="20"/>
      <c r="N3282" s="20"/>
      <c r="O3282" s="20"/>
      <c r="P3282" s="20"/>
    </row>
    <row r="3283">
      <c r="A3283" s="10"/>
      <c r="B3283" s="11"/>
      <c r="C3283" s="10"/>
      <c r="D3283" s="13"/>
      <c r="E3283" s="14"/>
      <c r="F3283" s="14"/>
      <c r="G3283" s="14"/>
      <c r="H3283" s="10"/>
      <c r="I3283" s="17"/>
      <c r="J3283" s="10"/>
      <c r="K3283" s="46"/>
      <c r="L3283" s="10"/>
      <c r="M3283" s="20"/>
      <c r="N3283" s="20"/>
      <c r="O3283" s="20"/>
      <c r="P3283" s="20"/>
    </row>
    <row r="3284">
      <c r="A3284" s="23"/>
      <c r="B3284" s="21"/>
      <c r="C3284" s="23"/>
      <c r="D3284" s="24"/>
      <c r="E3284" s="14"/>
      <c r="F3284" s="14"/>
      <c r="G3284" s="14"/>
      <c r="H3284" s="23"/>
      <c r="I3284" s="27"/>
      <c r="J3284" s="23"/>
      <c r="K3284" s="30"/>
      <c r="L3284" s="23"/>
      <c r="M3284" s="20"/>
      <c r="N3284" s="20"/>
      <c r="O3284" s="20"/>
      <c r="P3284" s="20"/>
    </row>
    <row r="3285">
      <c r="A3285" s="10"/>
      <c r="B3285" s="11"/>
      <c r="C3285" s="10"/>
      <c r="D3285" s="13"/>
      <c r="E3285" s="14"/>
      <c r="F3285" s="14"/>
      <c r="G3285" s="14"/>
      <c r="H3285" s="10"/>
      <c r="I3285" s="17"/>
      <c r="J3285" s="10"/>
      <c r="K3285" s="46"/>
      <c r="L3285" s="10"/>
      <c r="M3285" s="20"/>
      <c r="N3285" s="20"/>
      <c r="O3285" s="20"/>
      <c r="P3285" s="20"/>
    </row>
    <row r="3286">
      <c r="A3286" s="23"/>
      <c r="B3286" s="21"/>
      <c r="C3286" s="23"/>
      <c r="D3286" s="24"/>
      <c r="E3286" s="14"/>
      <c r="F3286" s="14"/>
      <c r="G3286" s="14"/>
      <c r="H3286" s="23"/>
      <c r="I3286" s="27"/>
      <c r="J3286" s="23"/>
      <c r="K3286" s="30"/>
      <c r="L3286" s="23"/>
      <c r="M3286" s="20"/>
      <c r="N3286" s="20"/>
      <c r="O3286" s="20"/>
      <c r="P3286" s="20"/>
    </row>
    <row r="3287">
      <c r="A3287" s="10"/>
      <c r="B3287" s="11"/>
      <c r="C3287" s="10"/>
      <c r="D3287" s="13"/>
      <c r="E3287" s="14"/>
      <c r="F3287" s="14"/>
      <c r="G3287" s="14"/>
      <c r="H3287" s="10"/>
      <c r="I3287" s="17"/>
      <c r="J3287" s="10"/>
      <c r="K3287" s="46"/>
      <c r="L3287" s="10"/>
      <c r="M3287" s="20"/>
      <c r="N3287" s="20"/>
      <c r="O3287" s="20"/>
      <c r="P3287" s="20"/>
    </row>
    <row r="3288">
      <c r="A3288" s="23"/>
      <c r="B3288" s="21"/>
      <c r="C3288" s="23"/>
      <c r="D3288" s="24"/>
      <c r="E3288" s="14"/>
      <c r="F3288" s="14"/>
      <c r="G3288" s="14"/>
      <c r="H3288" s="23"/>
      <c r="I3288" s="27"/>
      <c r="J3288" s="23"/>
      <c r="K3288" s="30"/>
      <c r="L3288" s="23"/>
      <c r="M3288" s="20"/>
      <c r="N3288" s="20"/>
      <c r="O3288" s="20"/>
      <c r="P3288" s="20"/>
    </row>
    <row r="3289">
      <c r="A3289" s="10"/>
      <c r="B3289" s="11"/>
      <c r="C3289" s="10"/>
      <c r="D3289" s="13"/>
      <c r="E3289" s="14"/>
      <c r="F3289" s="14"/>
      <c r="G3289" s="14"/>
      <c r="H3289" s="10"/>
      <c r="I3289" s="17"/>
      <c r="J3289" s="10"/>
      <c r="K3289" s="46"/>
      <c r="L3289" s="10"/>
      <c r="M3289" s="20"/>
      <c r="N3289" s="20"/>
      <c r="O3289" s="20"/>
      <c r="P3289" s="20"/>
    </row>
    <row r="3290">
      <c r="A3290" s="23"/>
      <c r="B3290" s="21"/>
      <c r="C3290" s="23"/>
      <c r="D3290" s="24"/>
      <c r="E3290" s="14"/>
      <c r="F3290" s="14"/>
      <c r="G3290" s="14"/>
      <c r="H3290" s="23"/>
      <c r="I3290" s="27"/>
      <c r="J3290" s="23"/>
      <c r="K3290" s="30"/>
      <c r="L3290" s="23"/>
      <c r="M3290" s="20"/>
      <c r="N3290" s="20"/>
      <c r="O3290" s="20"/>
      <c r="P3290" s="20"/>
    </row>
    <row r="3291">
      <c r="A3291" s="10"/>
      <c r="B3291" s="11"/>
      <c r="C3291" s="10"/>
      <c r="D3291" s="13"/>
      <c r="E3291" s="14"/>
      <c r="F3291" s="14"/>
      <c r="G3291" s="14"/>
      <c r="H3291" s="10"/>
      <c r="I3291" s="17"/>
      <c r="J3291" s="10"/>
      <c r="K3291" s="46"/>
      <c r="L3291" s="10"/>
      <c r="M3291" s="20"/>
      <c r="N3291" s="20"/>
      <c r="O3291" s="20"/>
      <c r="P3291" s="20"/>
    </row>
    <row r="3292">
      <c r="A3292" s="23"/>
      <c r="B3292" s="21"/>
      <c r="C3292" s="23"/>
      <c r="D3292" s="24"/>
      <c r="E3292" s="14"/>
      <c r="F3292" s="14"/>
      <c r="G3292" s="14"/>
      <c r="H3292" s="23"/>
      <c r="I3292" s="27"/>
      <c r="J3292" s="23"/>
      <c r="K3292" s="30"/>
      <c r="L3292" s="23"/>
      <c r="M3292" s="20"/>
      <c r="N3292" s="20"/>
      <c r="O3292" s="20"/>
      <c r="P3292" s="20"/>
    </row>
    <row r="3293">
      <c r="A3293" s="10"/>
      <c r="B3293" s="11"/>
      <c r="C3293" s="10"/>
      <c r="D3293" s="13"/>
      <c r="E3293" s="14"/>
      <c r="F3293" s="14"/>
      <c r="G3293" s="14"/>
      <c r="H3293" s="10"/>
      <c r="I3293" s="17"/>
      <c r="J3293" s="10"/>
      <c r="K3293" s="46"/>
      <c r="L3293" s="10"/>
      <c r="M3293" s="20"/>
      <c r="N3293" s="20"/>
      <c r="O3293" s="20"/>
      <c r="P3293" s="20"/>
    </row>
    <row r="3294">
      <c r="A3294" s="23"/>
      <c r="B3294" s="21"/>
      <c r="C3294" s="23"/>
      <c r="D3294" s="24"/>
      <c r="E3294" s="14"/>
      <c r="F3294" s="14"/>
      <c r="G3294" s="14"/>
      <c r="H3294" s="23"/>
      <c r="I3294" s="27"/>
      <c r="J3294" s="23"/>
      <c r="K3294" s="30"/>
      <c r="L3294" s="23"/>
      <c r="M3294" s="20"/>
      <c r="N3294" s="20"/>
      <c r="O3294" s="20"/>
      <c r="P3294" s="20"/>
    </row>
    <row r="3295">
      <c r="A3295" s="10"/>
      <c r="B3295" s="11"/>
      <c r="C3295" s="10"/>
      <c r="D3295" s="13"/>
      <c r="E3295" s="14"/>
      <c r="F3295" s="14"/>
      <c r="G3295" s="14"/>
      <c r="H3295" s="10"/>
      <c r="I3295" s="17"/>
      <c r="J3295" s="10"/>
      <c r="K3295" s="46"/>
      <c r="L3295" s="10"/>
      <c r="M3295" s="20"/>
      <c r="N3295" s="20"/>
      <c r="O3295" s="20"/>
      <c r="P3295" s="20"/>
    </row>
    <row r="3296">
      <c r="A3296" s="23"/>
      <c r="B3296" s="21"/>
      <c r="C3296" s="23"/>
      <c r="D3296" s="24"/>
      <c r="E3296" s="14"/>
      <c r="F3296" s="14"/>
      <c r="G3296" s="14"/>
      <c r="H3296" s="23"/>
      <c r="I3296" s="27"/>
      <c r="J3296" s="23"/>
      <c r="K3296" s="30"/>
      <c r="L3296" s="23"/>
      <c r="M3296" s="20"/>
      <c r="N3296" s="20"/>
      <c r="O3296" s="20"/>
      <c r="P3296" s="20"/>
    </row>
    <row r="3297">
      <c r="A3297" s="10"/>
      <c r="B3297" s="11"/>
      <c r="C3297" s="10"/>
      <c r="D3297" s="13"/>
      <c r="E3297" s="14"/>
      <c r="F3297" s="14"/>
      <c r="G3297" s="14"/>
      <c r="H3297" s="10"/>
      <c r="I3297" s="17"/>
      <c r="J3297" s="10"/>
      <c r="K3297" s="46"/>
      <c r="L3297" s="10"/>
      <c r="M3297" s="20"/>
      <c r="N3297" s="20"/>
      <c r="O3297" s="20"/>
      <c r="P3297" s="20"/>
    </row>
    <row r="3298">
      <c r="A3298" s="23"/>
      <c r="B3298" s="21"/>
      <c r="C3298" s="23"/>
      <c r="D3298" s="24"/>
      <c r="E3298" s="14"/>
      <c r="F3298" s="14"/>
      <c r="G3298" s="14"/>
      <c r="H3298" s="23"/>
      <c r="I3298" s="27"/>
      <c r="J3298" s="23"/>
      <c r="K3298" s="30"/>
      <c r="L3298" s="23"/>
      <c r="M3298" s="20"/>
      <c r="N3298" s="20"/>
      <c r="O3298" s="20"/>
      <c r="P3298" s="20"/>
    </row>
    <row r="3299">
      <c r="A3299" s="10"/>
      <c r="B3299" s="11"/>
      <c r="C3299" s="10"/>
      <c r="D3299" s="13"/>
      <c r="E3299" s="14"/>
      <c r="F3299" s="14"/>
      <c r="G3299" s="14"/>
      <c r="H3299" s="10"/>
      <c r="I3299" s="17"/>
      <c r="J3299" s="10"/>
      <c r="K3299" s="46"/>
      <c r="L3299" s="10"/>
      <c r="M3299" s="20"/>
      <c r="N3299" s="20"/>
      <c r="O3299" s="20"/>
      <c r="P3299" s="20"/>
    </row>
    <row r="3300">
      <c r="A3300" s="23"/>
      <c r="B3300" s="21"/>
      <c r="C3300" s="23"/>
      <c r="D3300" s="24"/>
      <c r="E3300" s="14"/>
      <c r="F3300" s="14"/>
      <c r="G3300" s="14"/>
      <c r="H3300" s="23"/>
      <c r="I3300" s="27"/>
      <c r="J3300" s="23"/>
      <c r="K3300" s="30"/>
      <c r="L3300" s="23"/>
      <c r="M3300" s="20"/>
      <c r="N3300" s="20"/>
      <c r="O3300" s="20"/>
      <c r="P3300" s="20"/>
    </row>
    <row r="3301">
      <c r="A3301" s="10"/>
      <c r="B3301" s="11"/>
      <c r="C3301" s="10"/>
      <c r="D3301" s="13"/>
      <c r="E3301" s="14"/>
      <c r="F3301" s="14"/>
      <c r="G3301" s="14"/>
      <c r="H3301" s="10"/>
      <c r="I3301" s="17"/>
      <c r="J3301" s="10"/>
      <c r="K3301" s="46"/>
      <c r="L3301" s="10"/>
      <c r="M3301" s="20"/>
      <c r="N3301" s="20"/>
      <c r="O3301" s="20"/>
      <c r="P3301" s="20"/>
    </row>
    <row r="3302">
      <c r="A3302" s="23"/>
      <c r="B3302" s="21"/>
      <c r="C3302" s="23"/>
      <c r="D3302" s="24"/>
      <c r="E3302" s="14"/>
      <c r="F3302" s="14"/>
      <c r="G3302" s="14"/>
      <c r="H3302" s="23"/>
      <c r="I3302" s="27"/>
      <c r="J3302" s="23"/>
      <c r="K3302" s="30"/>
      <c r="L3302" s="23"/>
      <c r="M3302" s="20"/>
      <c r="N3302" s="20"/>
      <c r="O3302" s="20"/>
      <c r="P3302" s="20"/>
    </row>
    <row r="3303">
      <c r="A3303" s="10"/>
      <c r="B3303" s="11"/>
      <c r="C3303" s="10"/>
      <c r="D3303" s="13"/>
      <c r="E3303" s="14"/>
      <c r="F3303" s="14"/>
      <c r="G3303" s="14"/>
      <c r="H3303" s="10"/>
      <c r="I3303" s="17"/>
      <c r="J3303" s="10"/>
      <c r="K3303" s="46"/>
      <c r="L3303" s="10"/>
      <c r="M3303" s="20"/>
      <c r="N3303" s="20"/>
      <c r="O3303" s="20"/>
      <c r="P3303" s="20"/>
    </row>
    <row r="3304">
      <c r="A3304" s="23"/>
      <c r="B3304" s="21"/>
      <c r="C3304" s="23"/>
      <c r="D3304" s="24"/>
      <c r="E3304" s="14"/>
      <c r="F3304" s="14"/>
      <c r="G3304" s="14"/>
      <c r="H3304" s="23"/>
      <c r="I3304" s="27"/>
      <c r="J3304" s="23"/>
      <c r="K3304" s="30"/>
      <c r="L3304" s="23"/>
      <c r="M3304" s="20"/>
      <c r="N3304" s="20"/>
      <c r="O3304" s="20"/>
      <c r="P3304" s="20"/>
    </row>
    <row r="3305">
      <c r="A3305" s="10"/>
      <c r="B3305" s="11"/>
      <c r="C3305" s="10"/>
      <c r="D3305" s="13"/>
      <c r="E3305" s="14"/>
      <c r="F3305" s="14"/>
      <c r="G3305" s="14"/>
      <c r="H3305" s="10"/>
      <c r="I3305" s="17"/>
      <c r="J3305" s="10"/>
      <c r="K3305" s="46"/>
      <c r="L3305" s="10"/>
      <c r="M3305" s="20"/>
      <c r="N3305" s="20"/>
      <c r="O3305" s="20"/>
      <c r="P3305" s="20"/>
    </row>
    <row r="3306">
      <c r="A3306" s="23"/>
      <c r="B3306" s="21"/>
      <c r="C3306" s="23"/>
      <c r="D3306" s="24"/>
      <c r="E3306" s="14"/>
      <c r="F3306" s="14"/>
      <c r="G3306" s="14"/>
      <c r="H3306" s="23"/>
      <c r="I3306" s="27"/>
      <c r="J3306" s="23"/>
      <c r="K3306" s="30"/>
      <c r="L3306" s="23"/>
      <c r="M3306" s="20"/>
      <c r="N3306" s="20"/>
      <c r="O3306" s="20"/>
      <c r="P3306" s="20"/>
    </row>
    <row r="3307">
      <c r="A3307" s="10"/>
      <c r="B3307" s="11"/>
      <c r="C3307" s="10"/>
      <c r="D3307" s="13"/>
      <c r="E3307" s="14"/>
      <c r="F3307" s="14"/>
      <c r="G3307" s="14"/>
      <c r="H3307" s="10"/>
      <c r="I3307" s="17"/>
      <c r="J3307" s="10"/>
      <c r="K3307" s="46"/>
      <c r="L3307" s="10"/>
      <c r="M3307" s="20"/>
      <c r="N3307" s="20"/>
      <c r="O3307" s="20"/>
      <c r="P3307" s="20"/>
    </row>
    <row r="3308">
      <c r="A3308" s="23"/>
      <c r="B3308" s="21"/>
      <c r="C3308" s="23"/>
      <c r="D3308" s="24"/>
      <c r="E3308" s="14"/>
      <c r="F3308" s="14"/>
      <c r="G3308" s="14"/>
      <c r="H3308" s="23"/>
      <c r="I3308" s="27"/>
      <c r="J3308" s="23"/>
      <c r="K3308" s="30"/>
      <c r="L3308" s="23"/>
      <c r="M3308" s="20"/>
      <c r="N3308" s="20"/>
      <c r="O3308" s="20"/>
      <c r="P3308" s="20"/>
    </row>
    <row r="3309">
      <c r="A3309" s="10"/>
      <c r="B3309" s="11"/>
      <c r="C3309" s="10"/>
      <c r="D3309" s="13"/>
      <c r="E3309" s="14"/>
      <c r="F3309" s="14"/>
      <c r="G3309" s="14"/>
      <c r="H3309" s="10"/>
      <c r="I3309" s="17"/>
      <c r="J3309" s="10"/>
      <c r="K3309" s="46"/>
      <c r="L3309" s="10"/>
      <c r="M3309" s="20"/>
      <c r="N3309" s="20"/>
      <c r="O3309" s="20"/>
      <c r="P3309" s="20"/>
    </row>
    <row r="3310">
      <c r="A3310" s="23"/>
      <c r="B3310" s="21"/>
      <c r="C3310" s="23"/>
      <c r="D3310" s="24"/>
      <c r="E3310" s="14"/>
      <c r="F3310" s="14"/>
      <c r="G3310" s="14"/>
      <c r="H3310" s="23"/>
      <c r="I3310" s="27"/>
      <c r="J3310" s="23"/>
      <c r="K3310" s="30"/>
      <c r="L3310" s="23"/>
      <c r="M3310" s="20"/>
      <c r="N3310" s="20"/>
      <c r="O3310" s="20"/>
      <c r="P3310" s="20"/>
    </row>
    <row r="3311">
      <c r="A3311" s="10"/>
      <c r="B3311" s="11"/>
      <c r="C3311" s="10"/>
      <c r="D3311" s="13"/>
      <c r="E3311" s="14"/>
      <c r="F3311" s="14"/>
      <c r="G3311" s="14"/>
      <c r="H3311" s="10"/>
      <c r="I3311" s="17"/>
      <c r="J3311" s="10"/>
      <c r="K3311" s="46"/>
      <c r="L3311" s="10"/>
      <c r="M3311" s="20"/>
      <c r="N3311" s="20"/>
      <c r="O3311" s="20"/>
      <c r="P3311" s="20"/>
    </row>
    <row r="3312">
      <c r="A3312" s="23"/>
      <c r="B3312" s="21"/>
      <c r="C3312" s="23"/>
      <c r="D3312" s="24"/>
      <c r="E3312" s="14"/>
      <c r="F3312" s="14"/>
      <c r="G3312" s="14"/>
      <c r="H3312" s="23"/>
      <c r="I3312" s="27"/>
      <c r="J3312" s="23"/>
      <c r="K3312" s="30"/>
      <c r="L3312" s="23"/>
      <c r="M3312" s="20"/>
      <c r="N3312" s="20"/>
      <c r="O3312" s="20"/>
      <c r="P3312" s="20"/>
    </row>
    <row r="3313">
      <c r="A3313" s="10"/>
      <c r="B3313" s="11"/>
      <c r="C3313" s="10"/>
      <c r="D3313" s="13"/>
      <c r="E3313" s="14"/>
      <c r="F3313" s="14"/>
      <c r="G3313" s="14"/>
      <c r="H3313" s="10"/>
      <c r="I3313" s="17"/>
      <c r="J3313" s="10"/>
      <c r="K3313" s="46"/>
      <c r="L3313" s="10"/>
      <c r="M3313" s="20"/>
      <c r="N3313" s="20"/>
      <c r="O3313" s="20"/>
      <c r="P3313" s="20"/>
    </row>
    <row r="3314">
      <c r="A3314" s="23"/>
      <c r="B3314" s="21"/>
      <c r="C3314" s="23"/>
      <c r="D3314" s="24"/>
      <c r="E3314" s="14"/>
      <c r="F3314" s="14"/>
      <c r="G3314" s="14"/>
      <c r="H3314" s="23"/>
      <c r="I3314" s="27"/>
      <c r="J3314" s="23"/>
      <c r="K3314" s="30"/>
      <c r="L3314" s="23"/>
      <c r="M3314" s="20"/>
      <c r="N3314" s="20"/>
      <c r="O3314" s="20"/>
      <c r="P3314" s="20"/>
    </row>
    <row r="3315">
      <c r="A3315" s="10"/>
      <c r="B3315" s="11"/>
      <c r="C3315" s="10"/>
      <c r="D3315" s="13"/>
      <c r="E3315" s="14"/>
      <c r="F3315" s="14"/>
      <c r="G3315" s="14"/>
      <c r="H3315" s="10"/>
      <c r="I3315" s="17"/>
      <c r="J3315" s="10"/>
      <c r="K3315" s="46"/>
      <c r="L3315" s="10"/>
      <c r="M3315" s="20"/>
      <c r="N3315" s="20"/>
      <c r="O3315" s="20"/>
      <c r="P3315" s="20"/>
    </row>
    <row r="3316">
      <c r="A3316" s="23"/>
      <c r="B3316" s="21"/>
      <c r="C3316" s="23"/>
      <c r="D3316" s="24"/>
      <c r="E3316" s="14"/>
      <c r="F3316" s="14"/>
      <c r="G3316" s="14"/>
      <c r="H3316" s="23"/>
      <c r="I3316" s="27"/>
      <c r="J3316" s="23"/>
      <c r="K3316" s="30"/>
      <c r="L3316" s="23"/>
      <c r="M3316" s="20"/>
      <c r="N3316" s="20"/>
      <c r="O3316" s="20"/>
      <c r="P3316" s="20"/>
    </row>
    <row r="3317">
      <c r="A3317" s="10"/>
      <c r="B3317" s="11"/>
      <c r="C3317" s="10"/>
      <c r="D3317" s="13"/>
      <c r="E3317" s="14"/>
      <c r="F3317" s="14"/>
      <c r="G3317" s="14"/>
      <c r="H3317" s="10"/>
      <c r="I3317" s="17"/>
      <c r="J3317" s="10"/>
      <c r="K3317" s="46"/>
      <c r="L3317" s="10"/>
      <c r="M3317" s="20"/>
      <c r="N3317" s="20"/>
      <c r="O3317" s="20"/>
      <c r="P3317" s="20"/>
    </row>
    <row r="3318">
      <c r="A3318" s="23"/>
      <c r="B3318" s="21"/>
      <c r="C3318" s="23"/>
      <c r="D3318" s="24"/>
      <c r="E3318" s="14"/>
      <c r="F3318" s="14"/>
      <c r="G3318" s="14"/>
      <c r="H3318" s="23"/>
      <c r="I3318" s="27"/>
      <c r="J3318" s="23"/>
      <c r="K3318" s="30"/>
      <c r="L3318" s="23"/>
      <c r="M3318" s="20"/>
      <c r="N3318" s="20"/>
      <c r="O3318" s="20"/>
      <c r="P3318" s="20"/>
    </row>
    <row r="3319">
      <c r="A3319" s="10"/>
      <c r="B3319" s="11"/>
      <c r="C3319" s="10"/>
      <c r="D3319" s="13"/>
      <c r="E3319" s="14"/>
      <c r="F3319" s="14"/>
      <c r="G3319" s="14"/>
      <c r="H3319" s="10"/>
      <c r="I3319" s="17"/>
      <c r="J3319" s="10"/>
      <c r="K3319" s="46"/>
      <c r="L3319" s="10"/>
      <c r="M3319" s="20"/>
      <c r="N3319" s="20"/>
      <c r="O3319" s="20"/>
      <c r="P3319" s="20"/>
    </row>
    <row r="3320">
      <c r="A3320" s="23"/>
      <c r="B3320" s="21"/>
      <c r="C3320" s="23"/>
      <c r="D3320" s="24"/>
      <c r="E3320" s="14"/>
      <c r="F3320" s="14"/>
      <c r="G3320" s="14"/>
      <c r="H3320" s="23"/>
      <c r="I3320" s="27"/>
      <c r="J3320" s="23"/>
      <c r="K3320" s="30"/>
      <c r="L3320" s="23"/>
      <c r="M3320" s="20"/>
      <c r="N3320" s="20"/>
      <c r="O3320" s="20"/>
      <c r="P3320" s="20"/>
    </row>
    <row r="3321">
      <c r="A3321" s="10"/>
      <c r="B3321" s="11"/>
      <c r="C3321" s="10"/>
      <c r="D3321" s="13"/>
      <c r="E3321" s="14"/>
      <c r="F3321" s="14"/>
      <c r="G3321" s="14"/>
      <c r="H3321" s="10"/>
      <c r="I3321" s="17"/>
      <c r="J3321" s="10"/>
      <c r="K3321" s="46"/>
      <c r="L3321" s="10"/>
      <c r="M3321" s="20"/>
      <c r="N3321" s="20"/>
      <c r="O3321" s="20"/>
      <c r="P3321" s="20"/>
    </row>
    <row r="3322">
      <c r="A3322" s="23"/>
      <c r="B3322" s="21"/>
      <c r="C3322" s="23"/>
      <c r="D3322" s="24"/>
      <c r="E3322" s="14"/>
      <c r="F3322" s="14"/>
      <c r="G3322" s="14"/>
      <c r="H3322" s="23"/>
      <c r="I3322" s="27"/>
      <c r="J3322" s="23"/>
      <c r="K3322" s="30"/>
      <c r="L3322" s="23"/>
      <c r="M3322" s="20"/>
      <c r="N3322" s="20"/>
      <c r="O3322" s="20"/>
      <c r="P3322" s="20"/>
    </row>
    <row r="3323">
      <c r="A3323" s="10"/>
      <c r="B3323" s="11"/>
      <c r="C3323" s="10"/>
      <c r="D3323" s="13"/>
      <c r="E3323" s="14"/>
      <c r="F3323" s="14"/>
      <c r="G3323" s="14"/>
      <c r="H3323" s="10"/>
      <c r="I3323" s="17"/>
      <c r="J3323" s="10"/>
      <c r="K3323" s="46"/>
      <c r="L3323" s="10"/>
      <c r="M3323" s="20"/>
      <c r="N3323" s="20"/>
      <c r="O3323" s="20"/>
      <c r="P3323" s="20"/>
    </row>
    <row r="3324">
      <c r="A3324" s="23"/>
      <c r="B3324" s="21"/>
      <c r="C3324" s="23"/>
      <c r="D3324" s="24"/>
      <c r="E3324" s="14"/>
      <c r="F3324" s="14"/>
      <c r="G3324" s="14"/>
      <c r="H3324" s="23"/>
      <c r="I3324" s="27"/>
      <c r="J3324" s="23"/>
      <c r="K3324" s="30"/>
      <c r="L3324" s="23"/>
      <c r="M3324" s="20"/>
      <c r="N3324" s="20"/>
      <c r="O3324" s="20"/>
      <c r="P3324" s="20"/>
    </row>
    <row r="3325">
      <c r="A3325" s="10"/>
      <c r="B3325" s="11"/>
      <c r="C3325" s="10"/>
      <c r="D3325" s="13"/>
      <c r="E3325" s="14"/>
      <c r="F3325" s="14"/>
      <c r="G3325" s="14"/>
      <c r="H3325" s="10"/>
      <c r="I3325" s="17"/>
      <c r="J3325" s="10"/>
      <c r="K3325" s="46"/>
      <c r="L3325" s="10"/>
      <c r="M3325" s="20"/>
      <c r="N3325" s="20"/>
      <c r="O3325" s="20"/>
      <c r="P3325" s="20"/>
    </row>
    <row r="3326">
      <c r="A3326" s="23"/>
      <c r="B3326" s="21"/>
      <c r="C3326" s="23"/>
      <c r="D3326" s="24"/>
      <c r="E3326" s="14"/>
      <c r="F3326" s="14"/>
      <c r="G3326" s="14"/>
      <c r="H3326" s="23"/>
      <c r="I3326" s="27"/>
      <c r="J3326" s="23"/>
      <c r="K3326" s="30"/>
      <c r="L3326" s="23"/>
      <c r="M3326" s="20"/>
      <c r="N3326" s="20"/>
      <c r="O3326" s="20"/>
      <c r="P3326" s="20"/>
    </row>
    <row r="3327">
      <c r="A3327" s="10"/>
      <c r="B3327" s="11"/>
      <c r="C3327" s="10"/>
      <c r="D3327" s="13"/>
      <c r="E3327" s="14"/>
      <c r="F3327" s="14"/>
      <c r="G3327" s="14"/>
      <c r="H3327" s="10"/>
      <c r="I3327" s="17"/>
      <c r="J3327" s="10"/>
      <c r="K3327" s="46"/>
      <c r="L3327" s="10"/>
      <c r="M3327" s="20"/>
      <c r="N3327" s="20"/>
      <c r="O3327" s="20"/>
      <c r="P3327" s="20"/>
    </row>
    <row r="3328">
      <c r="A3328" s="23"/>
      <c r="B3328" s="21"/>
      <c r="C3328" s="23"/>
      <c r="D3328" s="24"/>
      <c r="E3328" s="14"/>
      <c r="F3328" s="14"/>
      <c r="G3328" s="14"/>
      <c r="H3328" s="23"/>
      <c r="I3328" s="27"/>
      <c r="J3328" s="23"/>
      <c r="K3328" s="30"/>
      <c r="L3328" s="23"/>
      <c r="M3328" s="20"/>
      <c r="N3328" s="20"/>
      <c r="O3328" s="20"/>
      <c r="P3328" s="20"/>
    </row>
    <row r="3329">
      <c r="A3329" s="10"/>
      <c r="B3329" s="11"/>
      <c r="C3329" s="10"/>
      <c r="D3329" s="13"/>
      <c r="E3329" s="14"/>
      <c r="F3329" s="14"/>
      <c r="G3329" s="14"/>
      <c r="H3329" s="10"/>
      <c r="I3329" s="17"/>
      <c r="J3329" s="10"/>
      <c r="K3329" s="46"/>
      <c r="L3329" s="10"/>
      <c r="M3329" s="20"/>
      <c r="N3329" s="20"/>
      <c r="O3329" s="20"/>
      <c r="P3329" s="20"/>
    </row>
    <row r="3330">
      <c r="A3330" s="23"/>
      <c r="B3330" s="21"/>
      <c r="C3330" s="23"/>
      <c r="D3330" s="24"/>
      <c r="E3330" s="14"/>
      <c r="F3330" s="14"/>
      <c r="G3330" s="14"/>
      <c r="H3330" s="23"/>
      <c r="I3330" s="27"/>
      <c r="J3330" s="23"/>
      <c r="K3330" s="30"/>
      <c r="L3330" s="23"/>
      <c r="M3330" s="20"/>
      <c r="N3330" s="20"/>
      <c r="O3330" s="20"/>
      <c r="P3330" s="20"/>
    </row>
    <row r="3331">
      <c r="A3331" s="10"/>
      <c r="B3331" s="11"/>
      <c r="C3331" s="10"/>
      <c r="D3331" s="13"/>
      <c r="E3331" s="14"/>
      <c r="F3331" s="14"/>
      <c r="G3331" s="14"/>
      <c r="H3331" s="10"/>
      <c r="I3331" s="17"/>
      <c r="J3331" s="10"/>
      <c r="K3331" s="46"/>
      <c r="L3331" s="10"/>
      <c r="M3331" s="20"/>
      <c r="N3331" s="20"/>
      <c r="O3331" s="20"/>
      <c r="P3331" s="20"/>
    </row>
    <row r="3332">
      <c r="A3332" s="23"/>
      <c r="B3332" s="21"/>
      <c r="C3332" s="23"/>
      <c r="D3332" s="24"/>
      <c r="E3332" s="14"/>
      <c r="F3332" s="14"/>
      <c r="G3332" s="14"/>
      <c r="H3332" s="23"/>
      <c r="I3332" s="27"/>
      <c r="J3332" s="23"/>
      <c r="K3332" s="30"/>
      <c r="L3332" s="23"/>
      <c r="M3332" s="20"/>
      <c r="N3332" s="20"/>
      <c r="O3332" s="20"/>
      <c r="P3332" s="20"/>
    </row>
    <row r="3333">
      <c r="A3333" s="10"/>
      <c r="B3333" s="11"/>
      <c r="C3333" s="10"/>
      <c r="D3333" s="13"/>
      <c r="E3333" s="14"/>
      <c r="F3333" s="14"/>
      <c r="G3333" s="14"/>
      <c r="H3333" s="10"/>
      <c r="I3333" s="17"/>
      <c r="J3333" s="10"/>
      <c r="K3333" s="46"/>
      <c r="L3333" s="10"/>
      <c r="M3333" s="20"/>
      <c r="N3333" s="20"/>
      <c r="O3333" s="20"/>
      <c r="P3333" s="20"/>
    </row>
    <row r="3334">
      <c r="A3334" s="23"/>
      <c r="B3334" s="21"/>
      <c r="C3334" s="23"/>
      <c r="D3334" s="24"/>
      <c r="E3334" s="14"/>
      <c r="F3334" s="14"/>
      <c r="G3334" s="14"/>
      <c r="H3334" s="23"/>
      <c r="I3334" s="27"/>
      <c r="J3334" s="23"/>
      <c r="K3334" s="30"/>
      <c r="L3334" s="23"/>
      <c r="M3334" s="20"/>
      <c r="N3334" s="20"/>
      <c r="O3334" s="20"/>
      <c r="P3334" s="20"/>
    </row>
    <row r="3335">
      <c r="A3335" s="10"/>
      <c r="B3335" s="11"/>
      <c r="C3335" s="10"/>
      <c r="D3335" s="13"/>
      <c r="E3335" s="14"/>
      <c r="F3335" s="14"/>
      <c r="G3335" s="14"/>
      <c r="H3335" s="10"/>
      <c r="I3335" s="17"/>
      <c r="J3335" s="10"/>
      <c r="K3335" s="46"/>
      <c r="L3335" s="10"/>
      <c r="M3335" s="20"/>
      <c r="N3335" s="20"/>
      <c r="O3335" s="20"/>
      <c r="P3335" s="20"/>
    </row>
    <row r="3336">
      <c r="A3336" s="23"/>
      <c r="B3336" s="21"/>
      <c r="C3336" s="23"/>
      <c r="D3336" s="24"/>
      <c r="E3336" s="14"/>
      <c r="F3336" s="14"/>
      <c r="G3336" s="14"/>
      <c r="H3336" s="23"/>
      <c r="I3336" s="27"/>
      <c r="J3336" s="23"/>
      <c r="K3336" s="30"/>
      <c r="L3336" s="23"/>
      <c r="M3336" s="20"/>
      <c r="N3336" s="20"/>
      <c r="O3336" s="20"/>
      <c r="P3336" s="20"/>
    </row>
    <row r="3337">
      <c r="A3337" s="10"/>
      <c r="B3337" s="11"/>
      <c r="C3337" s="10"/>
      <c r="D3337" s="13"/>
      <c r="E3337" s="14"/>
      <c r="F3337" s="14"/>
      <c r="G3337" s="14"/>
      <c r="H3337" s="10"/>
      <c r="I3337" s="17"/>
      <c r="J3337" s="10"/>
      <c r="K3337" s="46"/>
      <c r="L3337" s="10"/>
      <c r="M3337" s="20"/>
      <c r="N3337" s="20"/>
      <c r="O3337" s="20"/>
      <c r="P3337" s="20"/>
    </row>
    <row r="3338">
      <c r="A3338" s="23"/>
      <c r="B3338" s="21"/>
      <c r="C3338" s="23"/>
      <c r="D3338" s="24"/>
      <c r="E3338" s="14"/>
      <c r="F3338" s="14"/>
      <c r="G3338" s="14"/>
      <c r="H3338" s="23"/>
      <c r="I3338" s="27"/>
      <c r="J3338" s="23"/>
      <c r="K3338" s="30"/>
      <c r="L3338" s="23"/>
      <c r="M3338" s="20"/>
      <c r="N3338" s="20"/>
      <c r="O3338" s="20"/>
      <c r="P3338" s="20"/>
    </row>
    <row r="3339">
      <c r="A3339" s="10"/>
      <c r="B3339" s="11"/>
      <c r="C3339" s="10"/>
      <c r="D3339" s="13"/>
      <c r="E3339" s="14"/>
      <c r="F3339" s="14"/>
      <c r="G3339" s="14"/>
      <c r="H3339" s="10"/>
      <c r="I3339" s="17"/>
      <c r="J3339" s="10"/>
      <c r="K3339" s="46"/>
      <c r="L3339" s="10"/>
      <c r="M3339" s="20"/>
      <c r="N3339" s="20"/>
      <c r="O3339" s="20"/>
      <c r="P3339" s="20"/>
    </row>
    <row r="3340">
      <c r="A3340" s="23"/>
      <c r="B3340" s="21"/>
      <c r="C3340" s="23"/>
      <c r="D3340" s="24"/>
      <c r="E3340" s="14"/>
      <c r="F3340" s="14"/>
      <c r="G3340" s="14"/>
      <c r="H3340" s="23"/>
      <c r="I3340" s="27"/>
      <c r="J3340" s="23"/>
      <c r="K3340" s="30"/>
      <c r="L3340" s="23"/>
      <c r="M3340" s="20"/>
      <c r="N3340" s="20"/>
      <c r="O3340" s="20"/>
      <c r="P3340" s="20"/>
    </row>
    <row r="3341">
      <c r="A3341" s="10"/>
      <c r="B3341" s="11"/>
      <c r="C3341" s="10"/>
      <c r="D3341" s="13"/>
      <c r="E3341" s="14"/>
      <c r="F3341" s="14"/>
      <c r="G3341" s="14"/>
      <c r="H3341" s="10"/>
      <c r="I3341" s="17"/>
      <c r="J3341" s="10"/>
      <c r="K3341" s="46"/>
      <c r="L3341" s="10"/>
      <c r="M3341" s="20"/>
      <c r="N3341" s="20"/>
      <c r="O3341" s="20"/>
      <c r="P3341" s="20"/>
    </row>
    <row r="3342">
      <c r="A3342" s="23"/>
      <c r="B3342" s="21"/>
      <c r="C3342" s="23"/>
      <c r="D3342" s="24"/>
      <c r="E3342" s="14"/>
      <c r="F3342" s="14"/>
      <c r="G3342" s="14"/>
      <c r="H3342" s="23"/>
      <c r="I3342" s="27"/>
      <c r="J3342" s="23"/>
      <c r="K3342" s="30"/>
      <c r="L3342" s="23"/>
      <c r="M3342" s="20"/>
      <c r="N3342" s="20"/>
      <c r="O3342" s="20"/>
      <c r="P3342" s="20"/>
    </row>
    <row r="3343">
      <c r="A3343" s="10"/>
      <c r="B3343" s="11"/>
      <c r="C3343" s="10"/>
      <c r="D3343" s="13"/>
      <c r="E3343" s="14"/>
      <c r="F3343" s="14"/>
      <c r="G3343" s="14"/>
      <c r="H3343" s="10"/>
      <c r="I3343" s="17"/>
      <c r="J3343" s="10"/>
      <c r="K3343" s="46"/>
      <c r="L3343" s="10"/>
      <c r="M3343" s="20"/>
      <c r="N3343" s="20"/>
      <c r="O3343" s="20"/>
      <c r="P3343" s="20"/>
    </row>
    <row r="3344">
      <c r="A3344" s="23"/>
      <c r="B3344" s="21"/>
      <c r="C3344" s="23"/>
      <c r="D3344" s="24"/>
      <c r="E3344" s="14"/>
      <c r="F3344" s="14"/>
      <c r="G3344" s="14"/>
      <c r="H3344" s="23"/>
      <c r="I3344" s="27"/>
      <c r="J3344" s="23"/>
      <c r="K3344" s="30"/>
      <c r="L3344" s="23"/>
      <c r="M3344" s="20"/>
      <c r="N3344" s="20"/>
      <c r="O3344" s="20"/>
      <c r="P3344" s="20"/>
    </row>
    <row r="3345">
      <c r="A3345" s="10"/>
      <c r="B3345" s="11"/>
      <c r="C3345" s="10"/>
      <c r="D3345" s="13"/>
      <c r="E3345" s="14"/>
      <c r="F3345" s="14"/>
      <c r="G3345" s="14"/>
      <c r="H3345" s="10"/>
      <c r="I3345" s="17"/>
      <c r="J3345" s="10"/>
      <c r="K3345" s="46"/>
      <c r="L3345" s="10"/>
      <c r="M3345" s="20"/>
      <c r="N3345" s="20"/>
      <c r="O3345" s="20"/>
      <c r="P3345" s="20"/>
    </row>
    <row r="3346">
      <c r="A3346" s="23"/>
      <c r="B3346" s="21"/>
      <c r="C3346" s="23"/>
      <c r="D3346" s="24"/>
      <c r="E3346" s="14"/>
      <c r="F3346" s="14"/>
      <c r="G3346" s="14"/>
      <c r="H3346" s="23"/>
      <c r="I3346" s="27"/>
      <c r="J3346" s="23"/>
      <c r="K3346" s="30"/>
      <c r="L3346" s="23"/>
      <c r="M3346" s="20"/>
      <c r="N3346" s="20"/>
      <c r="O3346" s="20"/>
      <c r="P3346" s="20"/>
    </row>
    <row r="3347">
      <c r="A3347" s="10"/>
      <c r="B3347" s="11"/>
      <c r="C3347" s="10"/>
      <c r="D3347" s="13"/>
      <c r="E3347" s="14"/>
      <c r="F3347" s="14"/>
      <c r="G3347" s="14"/>
      <c r="H3347" s="10"/>
      <c r="I3347" s="17"/>
      <c r="J3347" s="10"/>
      <c r="K3347" s="46"/>
      <c r="L3347" s="10"/>
      <c r="M3347" s="20"/>
      <c r="N3347" s="20"/>
      <c r="O3347" s="20"/>
      <c r="P3347" s="20"/>
    </row>
    <row r="3348">
      <c r="A3348" s="23"/>
      <c r="B3348" s="21"/>
      <c r="C3348" s="23"/>
      <c r="D3348" s="24"/>
      <c r="E3348" s="14"/>
      <c r="F3348" s="14"/>
      <c r="G3348" s="14"/>
      <c r="H3348" s="23"/>
      <c r="I3348" s="27"/>
      <c r="J3348" s="23"/>
      <c r="K3348" s="30"/>
      <c r="L3348" s="23"/>
      <c r="M3348" s="20"/>
      <c r="N3348" s="20"/>
      <c r="O3348" s="20"/>
      <c r="P3348" s="20"/>
    </row>
    <row r="3349">
      <c r="A3349" s="10"/>
      <c r="B3349" s="11"/>
      <c r="C3349" s="10"/>
      <c r="D3349" s="13"/>
      <c r="E3349" s="14"/>
      <c r="F3349" s="14"/>
      <c r="G3349" s="14"/>
      <c r="H3349" s="10"/>
      <c r="I3349" s="17"/>
      <c r="J3349" s="10"/>
      <c r="K3349" s="46"/>
      <c r="L3349" s="10"/>
      <c r="M3349" s="20"/>
      <c r="N3349" s="20"/>
      <c r="O3349" s="20"/>
      <c r="P3349" s="20"/>
    </row>
    <row r="3350">
      <c r="A3350" s="23"/>
      <c r="B3350" s="21"/>
      <c r="C3350" s="23"/>
      <c r="D3350" s="24"/>
      <c r="E3350" s="14"/>
      <c r="F3350" s="14"/>
      <c r="G3350" s="14"/>
      <c r="H3350" s="23"/>
      <c r="I3350" s="27"/>
      <c r="J3350" s="23"/>
      <c r="K3350" s="30"/>
      <c r="L3350" s="23"/>
      <c r="M3350" s="20"/>
      <c r="N3350" s="20"/>
      <c r="O3350" s="20"/>
      <c r="P3350" s="20"/>
    </row>
    <row r="3351">
      <c r="A3351" s="10"/>
      <c r="B3351" s="11"/>
      <c r="C3351" s="10"/>
      <c r="D3351" s="13"/>
      <c r="E3351" s="14"/>
      <c r="F3351" s="14"/>
      <c r="G3351" s="14"/>
      <c r="H3351" s="10"/>
      <c r="I3351" s="17"/>
      <c r="J3351" s="10"/>
      <c r="K3351" s="46"/>
      <c r="L3351" s="10"/>
      <c r="M3351" s="20"/>
      <c r="N3351" s="20"/>
      <c r="O3351" s="20"/>
      <c r="P3351" s="20"/>
    </row>
    <row r="3352">
      <c r="A3352" s="23"/>
      <c r="B3352" s="21"/>
      <c r="C3352" s="23"/>
      <c r="D3352" s="24"/>
      <c r="E3352" s="14"/>
      <c r="F3352" s="14"/>
      <c r="G3352" s="14"/>
      <c r="H3352" s="23"/>
      <c r="I3352" s="27"/>
      <c r="J3352" s="23"/>
      <c r="K3352" s="30"/>
      <c r="L3352" s="23"/>
      <c r="M3352" s="20"/>
      <c r="N3352" s="20"/>
      <c r="O3352" s="20"/>
      <c r="P3352" s="20"/>
    </row>
    <row r="3353">
      <c r="A3353" s="10"/>
      <c r="B3353" s="11"/>
      <c r="C3353" s="10"/>
      <c r="D3353" s="13"/>
      <c r="E3353" s="14"/>
      <c r="F3353" s="14"/>
      <c r="G3353" s="14"/>
      <c r="H3353" s="10"/>
      <c r="I3353" s="17"/>
      <c r="J3353" s="10"/>
      <c r="K3353" s="46"/>
      <c r="L3353" s="10"/>
      <c r="M3353" s="20"/>
      <c r="N3353" s="20"/>
      <c r="O3353" s="20"/>
      <c r="P3353" s="20"/>
    </row>
    <row r="3354">
      <c r="A3354" s="23"/>
      <c r="B3354" s="21"/>
      <c r="C3354" s="23"/>
      <c r="D3354" s="24"/>
      <c r="E3354" s="14"/>
      <c r="F3354" s="14"/>
      <c r="G3354" s="14"/>
      <c r="H3354" s="23"/>
      <c r="I3354" s="27"/>
      <c r="J3354" s="23"/>
      <c r="K3354" s="30"/>
      <c r="L3354" s="23"/>
      <c r="M3354" s="20"/>
      <c r="N3354" s="20"/>
      <c r="O3354" s="20"/>
      <c r="P3354" s="20"/>
    </row>
    <row r="3355">
      <c r="A3355" s="10"/>
      <c r="B3355" s="11"/>
      <c r="C3355" s="10"/>
      <c r="D3355" s="13"/>
      <c r="E3355" s="14"/>
      <c r="F3355" s="14"/>
      <c r="G3355" s="14"/>
      <c r="H3355" s="10"/>
      <c r="I3355" s="17"/>
      <c r="J3355" s="10"/>
      <c r="K3355" s="46"/>
      <c r="L3355" s="10"/>
      <c r="M3355" s="20"/>
      <c r="N3355" s="20"/>
      <c r="O3355" s="20"/>
      <c r="P3355" s="20"/>
    </row>
    <row r="3356">
      <c r="A3356" s="23"/>
      <c r="B3356" s="21"/>
      <c r="C3356" s="23"/>
      <c r="D3356" s="24"/>
      <c r="E3356" s="14"/>
      <c r="F3356" s="14"/>
      <c r="G3356" s="14"/>
      <c r="H3356" s="23"/>
      <c r="I3356" s="27"/>
      <c r="J3356" s="23"/>
      <c r="K3356" s="30"/>
      <c r="L3356" s="23"/>
      <c r="M3356" s="20"/>
      <c r="N3356" s="20"/>
      <c r="O3356" s="20"/>
      <c r="P3356" s="20"/>
    </row>
    <row r="3357">
      <c r="A3357" s="10"/>
      <c r="B3357" s="11"/>
      <c r="C3357" s="10"/>
      <c r="D3357" s="13"/>
      <c r="E3357" s="14"/>
      <c r="F3357" s="14"/>
      <c r="G3357" s="14"/>
      <c r="H3357" s="10"/>
      <c r="I3357" s="17"/>
      <c r="J3357" s="10"/>
      <c r="K3357" s="46"/>
      <c r="L3357" s="10"/>
      <c r="M3357" s="20"/>
      <c r="N3357" s="20"/>
      <c r="O3357" s="20"/>
      <c r="P3357" s="20"/>
    </row>
    <row r="3358">
      <c r="A3358" s="23"/>
      <c r="B3358" s="21"/>
      <c r="C3358" s="23"/>
      <c r="D3358" s="24"/>
      <c r="E3358" s="14"/>
      <c r="F3358" s="14"/>
      <c r="G3358" s="14"/>
      <c r="H3358" s="23"/>
      <c r="I3358" s="27"/>
      <c r="J3358" s="23"/>
      <c r="K3358" s="30"/>
      <c r="L3358" s="23"/>
      <c r="M3358" s="20"/>
      <c r="N3358" s="20"/>
      <c r="O3358" s="20"/>
      <c r="P3358" s="20"/>
    </row>
    <row r="3359">
      <c r="A3359" s="10"/>
      <c r="B3359" s="11"/>
      <c r="C3359" s="10"/>
      <c r="D3359" s="13"/>
      <c r="E3359" s="14"/>
      <c r="F3359" s="14"/>
      <c r="G3359" s="14"/>
      <c r="H3359" s="10"/>
      <c r="I3359" s="17"/>
      <c r="J3359" s="10"/>
      <c r="K3359" s="46"/>
      <c r="L3359" s="10"/>
      <c r="M3359" s="20"/>
      <c r="N3359" s="20"/>
      <c r="O3359" s="20"/>
      <c r="P3359" s="20"/>
    </row>
    <row r="3360">
      <c r="A3360" s="23"/>
      <c r="B3360" s="21"/>
      <c r="C3360" s="23"/>
      <c r="D3360" s="24"/>
      <c r="E3360" s="14"/>
      <c r="F3360" s="14"/>
      <c r="G3360" s="14"/>
      <c r="H3360" s="23"/>
      <c r="I3360" s="27"/>
      <c r="J3360" s="23"/>
      <c r="K3360" s="30"/>
      <c r="L3360" s="23"/>
      <c r="M3360" s="20"/>
      <c r="N3360" s="20"/>
      <c r="O3360" s="20"/>
      <c r="P3360" s="20"/>
    </row>
    <row r="3361">
      <c r="A3361" s="10"/>
      <c r="B3361" s="11"/>
      <c r="C3361" s="10"/>
      <c r="D3361" s="13"/>
      <c r="E3361" s="14"/>
      <c r="F3361" s="14"/>
      <c r="G3361" s="14"/>
      <c r="H3361" s="10"/>
      <c r="I3361" s="17"/>
      <c r="J3361" s="10"/>
      <c r="K3361" s="46"/>
      <c r="L3361" s="10"/>
      <c r="M3361" s="20"/>
      <c r="N3361" s="20"/>
      <c r="O3361" s="20"/>
      <c r="P3361" s="20"/>
    </row>
    <row r="3362">
      <c r="A3362" s="23"/>
      <c r="B3362" s="21"/>
      <c r="C3362" s="23"/>
      <c r="D3362" s="24"/>
      <c r="E3362" s="14"/>
      <c r="F3362" s="14"/>
      <c r="G3362" s="14"/>
      <c r="H3362" s="23"/>
      <c r="I3362" s="27"/>
      <c r="J3362" s="23"/>
      <c r="K3362" s="30"/>
      <c r="L3362" s="23"/>
      <c r="M3362" s="20"/>
      <c r="N3362" s="20"/>
      <c r="O3362" s="20"/>
      <c r="P3362" s="20"/>
    </row>
    <row r="3363">
      <c r="A3363" s="10"/>
      <c r="B3363" s="11"/>
      <c r="C3363" s="10"/>
      <c r="D3363" s="13"/>
      <c r="E3363" s="14"/>
      <c r="F3363" s="14"/>
      <c r="G3363" s="14"/>
      <c r="H3363" s="10"/>
      <c r="I3363" s="17"/>
      <c r="J3363" s="10"/>
      <c r="K3363" s="46"/>
      <c r="L3363" s="10"/>
      <c r="M3363" s="20"/>
      <c r="N3363" s="20"/>
      <c r="O3363" s="20"/>
      <c r="P3363" s="20"/>
    </row>
    <row r="3364">
      <c r="A3364" s="23"/>
      <c r="B3364" s="21"/>
      <c r="C3364" s="23"/>
      <c r="D3364" s="24"/>
      <c r="E3364" s="14"/>
      <c r="F3364" s="14"/>
      <c r="G3364" s="14"/>
      <c r="H3364" s="23"/>
      <c r="I3364" s="27"/>
      <c r="J3364" s="23"/>
      <c r="K3364" s="30"/>
      <c r="L3364" s="23"/>
      <c r="M3364" s="20"/>
      <c r="N3364" s="20"/>
      <c r="O3364" s="20"/>
      <c r="P3364" s="20"/>
    </row>
    <row r="3365">
      <c r="A3365" s="10"/>
      <c r="B3365" s="11"/>
      <c r="C3365" s="10"/>
      <c r="D3365" s="13"/>
      <c r="E3365" s="14"/>
      <c r="F3365" s="14"/>
      <c r="G3365" s="14"/>
      <c r="H3365" s="10"/>
      <c r="I3365" s="17"/>
      <c r="J3365" s="10"/>
      <c r="K3365" s="46"/>
      <c r="L3365" s="10"/>
      <c r="M3365" s="20"/>
      <c r="N3365" s="20"/>
      <c r="O3365" s="20"/>
      <c r="P3365" s="20"/>
    </row>
    <row r="3366">
      <c r="A3366" s="23"/>
      <c r="B3366" s="21"/>
      <c r="C3366" s="23"/>
      <c r="D3366" s="24"/>
      <c r="E3366" s="14"/>
      <c r="F3366" s="14"/>
      <c r="G3366" s="14"/>
      <c r="H3366" s="23"/>
      <c r="I3366" s="27"/>
      <c r="J3366" s="23"/>
      <c r="K3366" s="30"/>
      <c r="L3366" s="23"/>
      <c r="M3366" s="20"/>
      <c r="N3366" s="20"/>
      <c r="O3366" s="20"/>
      <c r="P3366" s="20"/>
    </row>
    <row r="3367">
      <c r="A3367" s="10"/>
      <c r="B3367" s="11"/>
      <c r="C3367" s="10"/>
      <c r="D3367" s="13"/>
      <c r="E3367" s="14"/>
      <c r="F3367" s="14"/>
      <c r="G3367" s="14"/>
      <c r="H3367" s="10"/>
      <c r="I3367" s="17"/>
      <c r="J3367" s="10"/>
      <c r="K3367" s="46"/>
      <c r="L3367" s="10"/>
      <c r="M3367" s="20"/>
      <c r="N3367" s="20"/>
      <c r="O3367" s="20"/>
      <c r="P3367" s="20"/>
    </row>
    <row r="3368">
      <c r="A3368" s="23"/>
      <c r="B3368" s="21"/>
      <c r="C3368" s="23"/>
      <c r="D3368" s="24"/>
      <c r="E3368" s="14"/>
      <c r="F3368" s="14"/>
      <c r="G3368" s="14"/>
      <c r="H3368" s="23"/>
      <c r="I3368" s="27"/>
      <c r="J3368" s="23"/>
      <c r="K3368" s="30"/>
      <c r="L3368" s="23"/>
      <c r="M3368" s="20"/>
      <c r="N3368" s="20"/>
      <c r="O3368" s="20"/>
      <c r="P3368" s="20"/>
    </row>
    <row r="3369">
      <c r="A3369" s="10"/>
      <c r="B3369" s="11"/>
      <c r="C3369" s="10"/>
      <c r="D3369" s="13"/>
      <c r="E3369" s="14"/>
      <c r="F3369" s="14"/>
      <c r="G3369" s="14"/>
      <c r="H3369" s="10"/>
      <c r="I3369" s="17"/>
      <c r="J3369" s="10"/>
      <c r="K3369" s="46"/>
      <c r="L3369" s="10"/>
      <c r="M3369" s="20"/>
      <c r="N3369" s="20"/>
      <c r="O3369" s="20"/>
      <c r="P3369" s="20"/>
    </row>
    <row r="3370">
      <c r="A3370" s="23"/>
      <c r="B3370" s="21"/>
      <c r="C3370" s="23"/>
      <c r="D3370" s="24"/>
      <c r="E3370" s="14"/>
      <c r="F3370" s="14"/>
      <c r="G3370" s="14"/>
      <c r="H3370" s="23"/>
      <c r="I3370" s="27"/>
      <c r="J3370" s="23"/>
      <c r="K3370" s="30"/>
      <c r="L3370" s="23"/>
      <c r="M3370" s="20"/>
      <c r="N3370" s="20"/>
      <c r="O3370" s="20"/>
      <c r="P3370" s="20"/>
    </row>
    <row r="3371">
      <c r="A3371" s="10"/>
      <c r="B3371" s="11"/>
      <c r="C3371" s="10"/>
      <c r="D3371" s="13"/>
      <c r="E3371" s="14"/>
      <c r="F3371" s="14"/>
      <c r="G3371" s="14"/>
      <c r="H3371" s="10"/>
      <c r="I3371" s="17"/>
      <c r="J3371" s="10"/>
      <c r="K3371" s="46"/>
      <c r="L3371" s="10"/>
      <c r="M3371" s="20"/>
      <c r="N3371" s="20"/>
      <c r="O3371" s="20"/>
      <c r="P3371" s="20"/>
    </row>
    <row r="3372">
      <c r="A3372" s="23"/>
      <c r="B3372" s="21"/>
      <c r="C3372" s="23"/>
      <c r="D3372" s="24"/>
      <c r="E3372" s="14"/>
      <c r="F3372" s="14"/>
      <c r="G3372" s="14"/>
      <c r="H3372" s="23"/>
      <c r="I3372" s="27"/>
      <c r="J3372" s="23"/>
      <c r="K3372" s="30"/>
      <c r="L3372" s="23"/>
      <c r="M3372" s="20"/>
      <c r="N3372" s="20"/>
      <c r="O3372" s="20"/>
      <c r="P3372" s="20"/>
    </row>
    <row r="3373">
      <c r="A3373" s="10"/>
      <c r="B3373" s="11"/>
      <c r="C3373" s="10"/>
      <c r="D3373" s="13"/>
      <c r="E3373" s="14"/>
      <c r="F3373" s="14"/>
      <c r="G3373" s="14"/>
      <c r="H3373" s="10"/>
      <c r="I3373" s="17"/>
      <c r="J3373" s="10"/>
      <c r="K3373" s="46"/>
      <c r="L3373" s="10"/>
      <c r="M3373" s="20"/>
      <c r="N3373" s="20"/>
      <c r="O3373" s="20"/>
      <c r="P3373" s="20"/>
    </row>
    <row r="3374">
      <c r="A3374" s="23"/>
      <c r="B3374" s="21"/>
      <c r="C3374" s="23"/>
      <c r="D3374" s="24"/>
      <c r="E3374" s="14"/>
      <c r="F3374" s="14"/>
      <c r="G3374" s="14"/>
      <c r="H3374" s="23"/>
      <c r="I3374" s="27"/>
      <c r="J3374" s="23"/>
      <c r="K3374" s="30"/>
      <c r="L3374" s="23"/>
      <c r="M3374" s="20"/>
      <c r="N3374" s="20"/>
      <c r="O3374" s="20"/>
      <c r="P3374" s="20"/>
    </row>
    <row r="3375">
      <c r="A3375" s="10"/>
      <c r="B3375" s="11"/>
      <c r="C3375" s="10"/>
      <c r="D3375" s="13"/>
      <c r="E3375" s="14"/>
      <c r="F3375" s="14"/>
      <c r="G3375" s="14"/>
      <c r="H3375" s="10"/>
      <c r="I3375" s="17"/>
      <c r="J3375" s="10"/>
      <c r="K3375" s="46"/>
      <c r="L3375" s="10"/>
      <c r="M3375" s="20"/>
      <c r="N3375" s="20"/>
      <c r="O3375" s="20"/>
      <c r="P3375" s="20"/>
    </row>
    <row r="3376">
      <c r="A3376" s="23"/>
      <c r="B3376" s="21"/>
      <c r="C3376" s="23"/>
      <c r="D3376" s="24"/>
      <c r="E3376" s="14"/>
      <c r="F3376" s="14"/>
      <c r="G3376" s="14"/>
      <c r="H3376" s="23"/>
      <c r="I3376" s="27"/>
      <c r="J3376" s="23"/>
      <c r="K3376" s="30"/>
      <c r="L3376" s="23"/>
      <c r="M3376" s="20"/>
      <c r="N3376" s="20"/>
      <c r="O3376" s="20"/>
      <c r="P3376" s="20"/>
    </row>
    <row r="3377">
      <c r="A3377" s="10"/>
      <c r="B3377" s="11"/>
      <c r="C3377" s="10"/>
      <c r="D3377" s="13"/>
      <c r="E3377" s="14"/>
      <c r="F3377" s="14"/>
      <c r="G3377" s="14"/>
      <c r="H3377" s="10"/>
      <c r="I3377" s="17"/>
      <c r="J3377" s="10"/>
      <c r="K3377" s="46"/>
      <c r="L3377" s="10"/>
      <c r="M3377" s="20"/>
      <c r="N3377" s="20"/>
      <c r="O3377" s="20"/>
      <c r="P3377" s="20"/>
    </row>
    <row r="3378">
      <c r="A3378" s="23"/>
      <c r="B3378" s="21"/>
      <c r="C3378" s="23"/>
      <c r="D3378" s="24"/>
      <c r="E3378" s="14"/>
      <c r="F3378" s="14"/>
      <c r="G3378" s="14"/>
      <c r="H3378" s="23"/>
      <c r="I3378" s="27"/>
      <c r="J3378" s="23"/>
      <c r="K3378" s="30"/>
      <c r="L3378" s="23"/>
      <c r="M3378" s="20"/>
      <c r="N3378" s="20"/>
      <c r="O3378" s="20"/>
      <c r="P3378" s="20"/>
    </row>
    <row r="3379">
      <c r="A3379" s="10"/>
      <c r="B3379" s="11"/>
      <c r="C3379" s="10"/>
      <c r="D3379" s="13"/>
      <c r="E3379" s="14"/>
      <c r="F3379" s="14"/>
      <c r="G3379" s="14"/>
      <c r="H3379" s="10"/>
      <c r="I3379" s="17"/>
      <c r="J3379" s="10"/>
      <c r="K3379" s="46"/>
      <c r="L3379" s="10"/>
      <c r="M3379" s="20"/>
      <c r="N3379" s="20"/>
      <c r="O3379" s="20"/>
      <c r="P3379" s="20"/>
    </row>
    <row r="3380">
      <c r="A3380" s="23"/>
      <c r="B3380" s="21"/>
      <c r="C3380" s="23"/>
      <c r="D3380" s="24"/>
      <c r="E3380" s="14"/>
      <c r="F3380" s="14"/>
      <c r="G3380" s="14"/>
      <c r="H3380" s="23"/>
      <c r="I3380" s="27"/>
      <c r="J3380" s="23"/>
      <c r="K3380" s="30"/>
      <c r="L3380" s="23"/>
      <c r="M3380" s="20"/>
      <c r="N3380" s="20"/>
      <c r="O3380" s="20"/>
      <c r="P3380" s="20"/>
    </row>
    <row r="3381">
      <c r="A3381" s="10"/>
      <c r="B3381" s="11"/>
      <c r="C3381" s="10"/>
      <c r="D3381" s="13"/>
      <c r="E3381" s="14"/>
      <c r="F3381" s="14"/>
      <c r="G3381" s="14"/>
      <c r="H3381" s="10"/>
      <c r="I3381" s="17"/>
      <c r="J3381" s="10"/>
      <c r="K3381" s="46"/>
      <c r="L3381" s="10"/>
      <c r="M3381" s="20"/>
      <c r="N3381" s="20"/>
      <c r="O3381" s="20"/>
      <c r="P3381" s="20"/>
    </row>
    <row r="3382">
      <c r="A3382" s="23"/>
      <c r="B3382" s="21"/>
      <c r="C3382" s="23"/>
      <c r="D3382" s="24"/>
      <c r="E3382" s="14"/>
      <c r="F3382" s="14"/>
      <c r="G3382" s="14"/>
      <c r="H3382" s="23"/>
      <c r="I3382" s="27"/>
      <c r="J3382" s="23"/>
      <c r="K3382" s="30"/>
      <c r="L3382" s="23"/>
      <c r="M3382" s="20"/>
      <c r="N3382" s="20"/>
      <c r="O3382" s="20"/>
      <c r="P3382" s="20"/>
    </row>
    <row r="3383">
      <c r="A3383" s="10"/>
      <c r="B3383" s="11"/>
      <c r="C3383" s="10"/>
      <c r="D3383" s="13"/>
      <c r="E3383" s="14"/>
      <c r="F3383" s="14"/>
      <c r="G3383" s="14"/>
      <c r="H3383" s="10"/>
      <c r="I3383" s="17"/>
      <c r="J3383" s="10"/>
      <c r="K3383" s="46"/>
      <c r="L3383" s="10"/>
      <c r="M3383" s="20"/>
      <c r="N3383" s="20"/>
      <c r="O3383" s="20"/>
      <c r="P3383" s="20"/>
    </row>
    <row r="3384">
      <c r="A3384" s="23"/>
      <c r="B3384" s="21"/>
      <c r="C3384" s="23"/>
      <c r="D3384" s="24"/>
      <c r="E3384" s="14"/>
      <c r="F3384" s="14"/>
      <c r="G3384" s="14"/>
      <c r="H3384" s="23"/>
      <c r="I3384" s="27"/>
      <c r="J3384" s="23"/>
      <c r="K3384" s="30"/>
      <c r="L3384" s="23"/>
      <c r="M3384" s="20"/>
      <c r="N3384" s="20"/>
      <c r="O3384" s="20"/>
      <c r="P3384" s="20"/>
    </row>
    <row r="3385">
      <c r="A3385" s="10"/>
      <c r="B3385" s="11"/>
      <c r="C3385" s="10"/>
      <c r="D3385" s="13"/>
      <c r="E3385" s="14"/>
      <c r="F3385" s="14"/>
      <c r="G3385" s="14"/>
      <c r="H3385" s="10"/>
      <c r="I3385" s="17"/>
      <c r="J3385" s="10"/>
      <c r="K3385" s="46"/>
      <c r="L3385" s="10"/>
      <c r="M3385" s="20"/>
      <c r="N3385" s="20"/>
      <c r="O3385" s="20"/>
      <c r="P3385" s="20"/>
    </row>
    <row r="3386">
      <c r="A3386" s="23"/>
      <c r="B3386" s="21"/>
      <c r="C3386" s="23"/>
      <c r="D3386" s="24"/>
      <c r="E3386" s="14"/>
      <c r="F3386" s="14"/>
      <c r="G3386" s="14"/>
      <c r="H3386" s="23"/>
      <c r="I3386" s="27"/>
      <c r="J3386" s="23"/>
      <c r="K3386" s="30"/>
      <c r="L3386" s="23"/>
      <c r="M3386" s="20"/>
      <c r="N3386" s="20"/>
      <c r="O3386" s="20"/>
      <c r="P3386" s="20"/>
    </row>
    <row r="3387">
      <c r="A3387" s="10"/>
      <c r="B3387" s="11"/>
      <c r="C3387" s="10"/>
      <c r="D3387" s="13"/>
      <c r="E3387" s="14"/>
      <c r="F3387" s="14"/>
      <c r="G3387" s="14"/>
      <c r="H3387" s="10"/>
      <c r="I3387" s="17"/>
      <c r="J3387" s="10"/>
      <c r="K3387" s="46"/>
      <c r="L3387" s="10"/>
      <c r="M3387" s="20"/>
      <c r="N3387" s="20"/>
      <c r="O3387" s="20"/>
      <c r="P3387" s="20"/>
    </row>
    <row r="3388">
      <c r="A3388" s="23"/>
      <c r="B3388" s="21"/>
      <c r="C3388" s="23"/>
      <c r="D3388" s="24"/>
      <c r="E3388" s="14"/>
      <c r="F3388" s="14"/>
      <c r="G3388" s="14"/>
      <c r="H3388" s="23"/>
      <c r="I3388" s="27"/>
      <c r="J3388" s="23"/>
      <c r="K3388" s="30"/>
      <c r="L3388" s="23"/>
      <c r="M3388" s="20"/>
      <c r="N3388" s="20"/>
      <c r="O3388" s="20"/>
      <c r="P3388" s="20"/>
    </row>
    <row r="3389">
      <c r="A3389" s="10"/>
      <c r="B3389" s="11"/>
      <c r="C3389" s="10"/>
      <c r="D3389" s="13"/>
      <c r="E3389" s="14"/>
      <c r="F3389" s="14"/>
      <c r="G3389" s="14"/>
      <c r="H3389" s="10"/>
      <c r="I3389" s="17"/>
      <c r="J3389" s="10"/>
      <c r="K3389" s="46"/>
      <c r="L3389" s="10"/>
      <c r="M3389" s="20"/>
      <c r="N3389" s="20"/>
      <c r="O3389" s="20"/>
      <c r="P3389" s="20"/>
    </row>
    <row r="3390">
      <c r="A3390" s="23"/>
      <c r="B3390" s="21"/>
      <c r="C3390" s="23"/>
      <c r="D3390" s="24"/>
      <c r="E3390" s="14"/>
      <c r="F3390" s="14"/>
      <c r="G3390" s="14"/>
      <c r="H3390" s="23"/>
      <c r="I3390" s="27"/>
      <c r="J3390" s="23"/>
      <c r="K3390" s="30"/>
      <c r="L3390" s="23"/>
      <c r="M3390" s="20"/>
      <c r="N3390" s="20"/>
      <c r="O3390" s="20"/>
      <c r="P3390" s="20"/>
    </row>
    <row r="3391">
      <c r="A3391" s="10"/>
      <c r="B3391" s="11"/>
      <c r="C3391" s="10"/>
      <c r="D3391" s="13"/>
      <c r="E3391" s="14"/>
      <c r="F3391" s="14"/>
      <c r="G3391" s="14"/>
      <c r="H3391" s="10"/>
      <c r="I3391" s="17"/>
      <c r="J3391" s="10"/>
      <c r="K3391" s="46"/>
      <c r="L3391" s="10"/>
      <c r="M3391" s="20"/>
      <c r="N3391" s="20"/>
      <c r="O3391" s="20"/>
      <c r="P3391" s="20"/>
    </row>
    <row r="3392">
      <c r="A3392" s="23"/>
      <c r="B3392" s="21"/>
      <c r="C3392" s="23"/>
      <c r="D3392" s="24"/>
      <c r="E3392" s="14"/>
      <c r="F3392" s="14"/>
      <c r="G3392" s="14"/>
      <c r="H3392" s="23"/>
      <c r="I3392" s="27"/>
      <c r="J3392" s="23"/>
      <c r="K3392" s="30"/>
      <c r="L3392" s="23"/>
      <c r="M3392" s="20"/>
      <c r="N3392" s="20"/>
      <c r="O3392" s="20"/>
      <c r="P3392" s="20"/>
    </row>
    <row r="3393">
      <c r="A3393" s="10"/>
      <c r="B3393" s="11"/>
      <c r="C3393" s="10"/>
      <c r="D3393" s="13"/>
      <c r="E3393" s="14"/>
      <c r="F3393" s="14"/>
      <c r="G3393" s="14"/>
      <c r="H3393" s="10"/>
      <c r="I3393" s="17"/>
      <c r="J3393" s="10"/>
      <c r="K3393" s="46"/>
      <c r="L3393" s="10"/>
      <c r="M3393" s="20"/>
      <c r="N3393" s="20"/>
      <c r="O3393" s="20"/>
      <c r="P3393" s="20"/>
    </row>
    <row r="3394">
      <c r="A3394" s="23"/>
      <c r="B3394" s="21"/>
      <c r="C3394" s="23"/>
      <c r="D3394" s="24"/>
      <c r="E3394" s="14"/>
      <c r="F3394" s="14"/>
      <c r="G3394" s="14"/>
      <c r="H3394" s="23"/>
      <c r="I3394" s="27"/>
      <c r="J3394" s="23"/>
      <c r="K3394" s="30"/>
      <c r="L3394" s="23"/>
      <c r="M3394" s="20"/>
      <c r="N3394" s="20"/>
      <c r="O3394" s="20"/>
      <c r="P3394" s="20"/>
    </row>
    <row r="3395">
      <c r="A3395" s="10"/>
      <c r="B3395" s="11"/>
      <c r="C3395" s="10"/>
      <c r="D3395" s="13"/>
      <c r="E3395" s="14"/>
      <c r="F3395" s="14"/>
      <c r="G3395" s="14"/>
      <c r="H3395" s="10"/>
      <c r="I3395" s="17"/>
      <c r="J3395" s="10"/>
      <c r="K3395" s="46"/>
      <c r="L3395" s="10"/>
      <c r="M3395" s="20"/>
      <c r="N3395" s="20"/>
      <c r="O3395" s="20"/>
      <c r="P3395" s="20"/>
    </row>
    <row r="3396">
      <c r="A3396" s="23"/>
      <c r="B3396" s="21"/>
      <c r="C3396" s="23"/>
      <c r="D3396" s="24"/>
      <c r="E3396" s="14"/>
      <c r="F3396" s="14"/>
      <c r="G3396" s="14"/>
      <c r="H3396" s="23"/>
      <c r="I3396" s="27"/>
      <c r="J3396" s="23"/>
      <c r="K3396" s="30"/>
      <c r="L3396" s="23"/>
      <c r="M3396" s="20"/>
      <c r="N3396" s="20"/>
      <c r="O3396" s="20"/>
      <c r="P3396" s="20"/>
    </row>
    <row r="3397">
      <c r="A3397" s="10"/>
      <c r="B3397" s="11"/>
      <c r="C3397" s="10"/>
      <c r="D3397" s="13"/>
      <c r="E3397" s="14"/>
      <c r="F3397" s="14"/>
      <c r="G3397" s="14"/>
      <c r="H3397" s="10"/>
      <c r="I3397" s="17"/>
      <c r="J3397" s="10"/>
      <c r="K3397" s="46"/>
      <c r="L3397" s="10"/>
      <c r="M3397" s="20"/>
      <c r="N3397" s="20"/>
      <c r="O3397" s="20"/>
      <c r="P3397" s="20"/>
    </row>
    <row r="3398">
      <c r="A3398" s="23"/>
      <c r="B3398" s="21"/>
      <c r="C3398" s="23"/>
      <c r="D3398" s="24"/>
      <c r="E3398" s="14"/>
      <c r="F3398" s="14"/>
      <c r="G3398" s="14"/>
      <c r="H3398" s="23"/>
      <c r="I3398" s="27"/>
      <c r="J3398" s="23"/>
      <c r="K3398" s="30"/>
      <c r="L3398" s="23"/>
      <c r="M3398" s="20"/>
      <c r="N3398" s="20"/>
      <c r="O3398" s="20"/>
      <c r="P3398" s="20"/>
    </row>
    <row r="3399">
      <c r="A3399" s="10"/>
      <c r="B3399" s="11"/>
      <c r="C3399" s="10"/>
      <c r="D3399" s="13"/>
      <c r="E3399" s="14"/>
      <c r="F3399" s="14"/>
      <c r="G3399" s="14"/>
      <c r="H3399" s="10"/>
      <c r="I3399" s="17"/>
      <c r="J3399" s="10"/>
      <c r="K3399" s="46"/>
      <c r="L3399" s="10"/>
      <c r="M3399" s="20"/>
      <c r="N3399" s="20"/>
      <c r="O3399" s="20"/>
      <c r="P3399" s="20"/>
    </row>
    <row r="3400">
      <c r="A3400" s="23"/>
      <c r="B3400" s="21"/>
      <c r="C3400" s="23"/>
      <c r="D3400" s="24"/>
      <c r="E3400" s="14"/>
      <c r="F3400" s="14"/>
      <c r="G3400" s="14"/>
      <c r="H3400" s="23"/>
      <c r="I3400" s="27"/>
      <c r="J3400" s="23"/>
      <c r="K3400" s="30"/>
      <c r="L3400" s="23"/>
      <c r="M3400" s="20"/>
      <c r="N3400" s="20"/>
      <c r="O3400" s="20"/>
      <c r="P3400" s="20"/>
    </row>
    <row r="3401">
      <c r="A3401" s="10"/>
      <c r="B3401" s="11"/>
      <c r="C3401" s="10"/>
      <c r="D3401" s="13"/>
      <c r="E3401" s="14"/>
      <c r="F3401" s="14"/>
      <c r="G3401" s="14"/>
      <c r="H3401" s="10"/>
      <c r="I3401" s="17"/>
      <c r="J3401" s="10"/>
      <c r="K3401" s="46"/>
      <c r="L3401" s="10"/>
      <c r="M3401" s="20"/>
      <c r="N3401" s="20"/>
      <c r="O3401" s="20"/>
      <c r="P3401" s="20"/>
    </row>
    <row r="3402">
      <c r="A3402" s="23"/>
      <c r="B3402" s="21"/>
      <c r="C3402" s="23"/>
      <c r="D3402" s="24"/>
      <c r="E3402" s="14"/>
      <c r="F3402" s="14"/>
      <c r="G3402" s="14"/>
      <c r="H3402" s="23"/>
      <c r="I3402" s="27"/>
      <c r="J3402" s="23"/>
      <c r="K3402" s="30"/>
      <c r="L3402" s="23"/>
      <c r="M3402" s="20"/>
      <c r="N3402" s="20"/>
      <c r="O3402" s="20"/>
      <c r="P3402" s="20"/>
    </row>
    <row r="3403">
      <c r="A3403" s="10"/>
      <c r="B3403" s="11"/>
      <c r="C3403" s="10"/>
      <c r="D3403" s="13"/>
      <c r="E3403" s="14"/>
      <c r="F3403" s="14"/>
      <c r="G3403" s="14"/>
      <c r="H3403" s="10"/>
      <c r="I3403" s="17"/>
      <c r="J3403" s="10"/>
      <c r="K3403" s="46"/>
      <c r="L3403" s="10"/>
      <c r="M3403" s="20"/>
      <c r="N3403" s="20"/>
      <c r="O3403" s="20"/>
      <c r="P3403" s="20"/>
    </row>
    <row r="3404">
      <c r="A3404" s="23"/>
      <c r="B3404" s="21"/>
      <c r="C3404" s="23"/>
      <c r="D3404" s="24"/>
      <c r="E3404" s="14"/>
      <c r="F3404" s="14"/>
      <c r="G3404" s="14"/>
      <c r="H3404" s="23"/>
      <c r="I3404" s="27"/>
      <c r="J3404" s="23"/>
      <c r="K3404" s="30"/>
      <c r="L3404" s="23"/>
      <c r="M3404" s="20"/>
      <c r="N3404" s="20"/>
      <c r="O3404" s="20"/>
      <c r="P3404" s="20"/>
    </row>
    <row r="3405">
      <c r="A3405" s="10"/>
      <c r="B3405" s="11"/>
      <c r="C3405" s="10"/>
      <c r="D3405" s="13"/>
      <c r="E3405" s="14"/>
      <c r="F3405" s="14"/>
      <c r="G3405" s="14"/>
      <c r="H3405" s="10"/>
      <c r="I3405" s="17"/>
      <c r="J3405" s="10"/>
      <c r="K3405" s="46"/>
      <c r="L3405" s="10"/>
      <c r="M3405" s="20"/>
      <c r="N3405" s="20"/>
      <c r="O3405" s="20"/>
      <c r="P3405" s="20"/>
    </row>
    <row r="3406">
      <c r="A3406" s="23"/>
      <c r="B3406" s="21"/>
      <c r="C3406" s="23"/>
      <c r="D3406" s="24"/>
      <c r="E3406" s="14"/>
      <c r="F3406" s="14"/>
      <c r="G3406" s="14"/>
      <c r="H3406" s="23"/>
      <c r="I3406" s="27"/>
      <c r="J3406" s="23"/>
      <c r="K3406" s="30"/>
      <c r="L3406" s="23"/>
      <c r="M3406" s="20"/>
      <c r="N3406" s="20"/>
      <c r="O3406" s="20"/>
      <c r="P3406" s="20"/>
    </row>
    <row r="3407">
      <c r="A3407" s="10"/>
      <c r="B3407" s="11"/>
      <c r="C3407" s="10"/>
      <c r="D3407" s="13"/>
      <c r="E3407" s="14"/>
      <c r="F3407" s="14"/>
      <c r="G3407" s="14"/>
      <c r="H3407" s="10"/>
      <c r="I3407" s="17"/>
      <c r="J3407" s="10"/>
      <c r="K3407" s="46"/>
      <c r="L3407" s="10"/>
      <c r="M3407" s="20"/>
      <c r="N3407" s="20"/>
      <c r="O3407" s="20"/>
      <c r="P3407" s="20"/>
    </row>
    <row r="3408">
      <c r="A3408" s="23"/>
      <c r="B3408" s="21"/>
      <c r="C3408" s="23"/>
      <c r="D3408" s="24"/>
      <c r="E3408" s="14"/>
      <c r="F3408" s="14"/>
      <c r="G3408" s="14"/>
      <c r="H3408" s="23"/>
      <c r="I3408" s="27"/>
      <c r="J3408" s="23"/>
      <c r="K3408" s="30"/>
      <c r="L3408" s="23"/>
      <c r="M3408" s="20"/>
      <c r="N3408" s="20"/>
      <c r="O3408" s="20"/>
      <c r="P3408" s="20"/>
    </row>
    <row r="3409">
      <c r="A3409" s="10"/>
      <c r="B3409" s="11"/>
      <c r="C3409" s="10"/>
      <c r="D3409" s="13"/>
      <c r="E3409" s="14"/>
      <c r="F3409" s="14"/>
      <c r="G3409" s="14"/>
      <c r="H3409" s="10"/>
      <c r="I3409" s="17"/>
      <c r="J3409" s="10"/>
      <c r="K3409" s="46"/>
      <c r="L3409" s="10"/>
      <c r="M3409" s="20"/>
      <c r="N3409" s="20"/>
      <c r="O3409" s="20"/>
      <c r="P3409" s="20"/>
    </row>
    <row r="3410">
      <c r="A3410" s="23"/>
      <c r="B3410" s="21"/>
      <c r="C3410" s="23"/>
      <c r="D3410" s="24"/>
      <c r="E3410" s="14"/>
      <c r="F3410" s="14"/>
      <c r="G3410" s="14"/>
      <c r="H3410" s="23"/>
      <c r="I3410" s="27"/>
      <c r="J3410" s="23"/>
      <c r="K3410" s="30"/>
      <c r="L3410" s="23"/>
      <c r="M3410" s="20"/>
      <c r="N3410" s="20"/>
      <c r="O3410" s="20"/>
      <c r="P3410" s="20"/>
    </row>
    <row r="3411">
      <c r="A3411" s="10"/>
      <c r="B3411" s="11"/>
      <c r="C3411" s="10"/>
      <c r="D3411" s="13"/>
      <c r="E3411" s="14"/>
      <c r="F3411" s="14"/>
      <c r="G3411" s="14"/>
      <c r="H3411" s="10"/>
      <c r="I3411" s="17"/>
      <c r="J3411" s="10"/>
      <c r="K3411" s="46"/>
      <c r="L3411" s="10"/>
      <c r="M3411" s="20"/>
      <c r="N3411" s="20"/>
      <c r="O3411" s="20"/>
      <c r="P3411" s="20"/>
    </row>
    <row r="3412">
      <c r="A3412" s="23"/>
      <c r="B3412" s="21"/>
      <c r="C3412" s="23"/>
      <c r="D3412" s="24"/>
      <c r="E3412" s="14"/>
      <c r="F3412" s="14"/>
      <c r="G3412" s="14"/>
      <c r="H3412" s="23"/>
      <c r="I3412" s="27"/>
      <c r="J3412" s="23"/>
      <c r="K3412" s="30"/>
      <c r="L3412" s="23"/>
      <c r="M3412" s="20"/>
      <c r="N3412" s="20"/>
      <c r="O3412" s="20"/>
      <c r="P3412" s="20"/>
    </row>
    <row r="3413">
      <c r="A3413" s="10"/>
      <c r="B3413" s="11"/>
      <c r="C3413" s="10"/>
      <c r="D3413" s="13"/>
      <c r="E3413" s="14"/>
      <c r="F3413" s="14"/>
      <c r="G3413" s="14"/>
      <c r="H3413" s="10"/>
      <c r="I3413" s="17"/>
      <c r="J3413" s="10"/>
      <c r="K3413" s="46"/>
      <c r="L3413" s="10"/>
      <c r="M3413" s="20"/>
      <c r="N3413" s="20"/>
      <c r="O3413" s="20"/>
      <c r="P3413" s="20"/>
    </row>
    <row r="3414">
      <c r="A3414" s="23"/>
      <c r="B3414" s="21"/>
      <c r="C3414" s="23"/>
      <c r="D3414" s="24"/>
      <c r="E3414" s="14"/>
      <c r="F3414" s="14"/>
      <c r="G3414" s="14"/>
      <c r="H3414" s="23"/>
      <c r="I3414" s="27"/>
      <c r="J3414" s="23"/>
      <c r="K3414" s="30"/>
      <c r="L3414" s="23"/>
      <c r="M3414" s="20"/>
      <c r="N3414" s="20"/>
      <c r="O3414" s="20"/>
      <c r="P3414" s="20"/>
    </row>
    <row r="3415">
      <c r="A3415" s="10"/>
      <c r="B3415" s="11"/>
      <c r="C3415" s="10"/>
      <c r="D3415" s="13"/>
      <c r="E3415" s="14"/>
      <c r="F3415" s="14"/>
      <c r="G3415" s="14"/>
      <c r="H3415" s="10"/>
      <c r="I3415" s="17"/>
      <c r="J3415" s="10"/>
      <c r="K3415" s="46"/>
      <c r="L3415" s="10"/>
      <c r="M3415" s="20"/>
      <c r="N3415" s="20"/>
      <c r="O3415" s="20"/>
      <c r="P3415" s="20"/>
    </row>
    <row r="3416">
      <c r="A3416" s="23"/>
      <c r="B3416" s="21"/>
      <c r="C3416" s="23"/>
      <c r="D3416" s="24"/>
      <c r="E3416" s="14"/>
      <c r="F3416" s="14"/>
      <c r="G3416" s="14"/>
      <c r="H3416" s="23"/>
      <c r="I3416" s="27"/>
      <c r="J3416" s="23"/>
      <c r="K3416" s="30"/>
      <c r="L3416" s="23"/>
      <c r="M3416" s="20"/>
      <c r="N3416" s="20"/>
      <c r="O3416" s="20"/>
      <c r="P3416" s="20"/>
    </row>
    <row r="3417">
      <c r="A3417" s="10"/>
      <c r="B3417" s="11"/>
      <c r="C3417" s="10"/>
      <c r="D3417" s="13"/>
      <c r="E3417" s="14"/>
      <c r="F3417" s="14"/>
      <c r="G3417" s="14"/>
      <c r="H3417" s="10"/>
      <c r="I3417" s="17"/>
      <c r="J3417" s="10"/>
      <c r="K3417" s="46"/>
      <c r="L3417" s="10"/>
      <c r="M3417" s="20"/>
      <c r="N3417" s="20"/>
      <c r="O3417" s="20"/>
      <c r="P3417" s="20"/>
    </row>
    <row r="3418">
      <c r="A3418" s="23"/>
      <c r="B3418" s="21"/>
      <c r="C3418" s="23"/>
      <c r="D3418" s="24"/>
      <c r="E3418" s="14"/>
      <c r="F3418" s="14"/>
      <c r="G3418" s="14"/>
      <c r="H3418" s="23"/>
      <c r="I3418" s="27"/>
      <c r="J3418" s="23"/>
      <c r="K3418" s="30"/>
      <c r="L3418" s="23"/>
      <c r="M3418" s="20"/>
      <c r="N3418" s="20"/>
      <c r="O3418" s="20"/>
      <c r="P3418" s="20"/>
    </row>
    <row r="3419">
      <c r="A3419" s="10"/>
      <c r="B3419" s="11"/>
      <c r="C3419" s="10"/>
      <c r="D3419" s="13"/>
      <c r="E3419" s="14"/>
      <c r="F3419" s="14"/>
      <c r="G3419" s="14"/>
      <c r="H3419" s="10"/>
      <c r="I3419" s="17"/>
      <c r="J3419" s="10"/>
      <c r="K3419" s="46"/>
      <c r="L3419" s="10"/>
      <c r="M3419" s="20"/>
      <c r="N3419" s="20"/>
      <c r="O3419" s="20"/>
      <c r="P3419" s="20"/>
    </row>
    <row r="3420">
      <c r="A3420" s="23"/>
      <c r="B3420" s="21"/>
      <c r="C3420" s="23"/>
      <c r="D3420" s="24"/>
      <c r="E3420" s="14"/>
      <c r="F3420" s="14"/>
      <c r="G3420" s="14"/>
      <c r="H3420" s="23"/>
      <c r="I3420" s="27"/>
      <c r="J3420" s="23"/>
      <c r="K3420" s="30"/>
      <c r="L3420" s="23"/>
      <c r="M3420" s="20"/>
      <c r="N3420" s="20"/>
      <c r="O3420" s="20"/>
      <c r="P3420" s="20"/>
    </row>
    <row r="3421">
      <c r="A3421" s="10"/>
      <c r="B3421" s="11"/>
      <c r="C3421" s="10"/>
      <c r="D3421" s="13"/>
      <c r="E3421" s="14"/>
      <c r="F3421" s="14"/>
      <c r="G3421" s="14"/>
      <c r="H3421" s="10"/>
      <c r="I3421" s="17"/>
      <c r="J3421" s="10"/>
      <c r="K3421" s="46"/>
      <c r="L3421" s="10"/>
      <c r="M3421" s="20"/>
      <c r="N3421" s="20"/>
      <c r="O3421" s="20"/>
      <c r="P3421" s="20"/>
    </row>
    <row r="3422">
      <c r="A3422" s="23"/>
      <c r="B3422" s="21"/>
      <c r="C3422" s="23"/>
      <c r="D3422" s="24"/>
      <c r="E3422" s="14"/>
      <c r="F3422" s="14"/>
      <c r="G3422" s="14"/>
      <c r="H3422" s="23"/>
      <c r="I3422" s="27"/>
      <c r="J3422" s="23"/>
      <c r="K3422" s="30"/>
      <c r="L3422" s="23"/>
      <c r="M3422" s="20"/>
      <c r="N3422" s="20"/>
      <c r="O3422" s="20"/>
      <c r="P3422" s="20"/>
    </row>
    <row r="3423">
      <c r="A3423" s="10"/>
      <c r="B3423" s="11"/>
      <c r="C3423" s="10"/>
      <c r="D3423" s="13"/>
      <c r="E3423" s="14"/>
      <c r="F3423" s="14"/>
      <c r="G3423" s="14"/>
      <c r="H3423" s="10"/>
      <c r="I3423" s="17"/>
      <c r="J3423" s="10"/>
      <c r="K3423" s="46"/>
      <c r="L3423" s="10"/>
      <c r="M3423" s="20"/>
      <c r="N3423" s="20"/>
      <c r="O3423" s="20"/>
      <c r="P3423" s="20"/>
    </row>
    <row r="3424">
      <c r="A3424" s="23"/>
      <c r="B3424" s="21"/>
      <c r="C3424" s="23"/>
      <c r="D3424" s="24"/>
      <c r="E3424" s="14"/>
      <c r="F3424" s="14"/>
      <c r="G3424" s="14"/>
      <c r="H3424" s="23"/>
      <c r="I3424" s="27"/>
      <c r="J3424" s="23"/>
      <c r="K3424" s="30"/>
      <c r="L3424" s="23"/>
      <c r="M3424" s="20"/>
      <c r="N3424" s="20"/>
      <c r="O3424" s="20"/>
      <c r="P3424" s="20"/>
    </row>
    <row r="3425">
      <c r="A3425" s="10"/>
      <c r="B3425" s="11"/>
      <c r="C3425" s="10"/>
      <c r="D3425" s="13"/>
      <c r="E3425" s="14"/>
      <c r="F3425" s="14"/>
      <c r="G3425" s="14"/>
      <c r="H3425" s="10"/>
      <c r="I3425" s="17"/>
      <c r="J3425" s="10"/>
      <c r="K3425" s="46"/>
      <c r="L3425" s="10"/>
      <c r="M3425" s="20"/>
      <c r="N3425" s="20"/>
      <c r="O3425" s="20"/>
      <c r="P3425" s="20"/>
    </row>
    <row r="3426">
      <c r="A3426" s="23"/>
      <c r="B3426" s="21"/>
      <c r="C3426" s="23"/>
      <c r="D3426" s="24"/>
      <c r="E3426" s="14"/>
      <c r="F3426" s="14"/>
      <c r="G3426" s="14"/>
      <c r="H3426" s="23"/>
      <c r="I3426" s="27"/>
      <c r="J3426" s="23"/>
      <c r="K3426" s="30"/>
      <c r="L3426" s="23"/>
      <c r="M3426" s="20"/>
      <c r="N3426" s="20"/>
      <c r="O3426" s="20"/>
      <c r="P3426" s="20"/>
    </row>
    <row r="3427">
      <c r="A3427" s="10"/>
      <c r="B3427" s="11"/>
      <c r="C3427" s="10"/>
      <c r="D3427" s="13"/>
      <c r="E3427" s="14"/>
      <c r="F3427" s="14"/>
      <c r="G3427" s="14"/>
      <c r="H3427" s="10"/>
      <c r="I3427" s="17"/>
      <c r="J3427" s="10"/>
      <c r="K3427" s="46"/>
      <c r="L3427" s="10"/>
      <c r="M3427" s="20"/>
      <c r="N3427" s="20"/>
      <c r="O3427" s="20"/>
      <c r="P3427" s="20"/>
    </row>
    <row r="3428">
      <c r="A3428" s="23"/>
      <c r="B3428" s="21"/>
      <c r="C3428" s="23"/>
      <c r="D3428" s="24"/>
      <c r="E3428" s="14"/>
      <c r="F3428" s="14"/>
      <c r="G3428" s="14"/>
      <c r="H3428" s="23"/>
      <c r="I3428" s="27"/>
      <c r="J3428" s="23"/>
      <c r="K3428" s="30"/>
      <c r="L3428" s="23"/>
      <c r="M3428" s="20"/>
      <c r="N3428" s="20"/>
      <c r="O3428" s="20"/>
      <c r="P3428" s="20"/>
    </row>
    <row r="3429">
      <c r="A3429" s="10"/>
      <c r="B3429" s="11"/>
      <c r="C3429" s="10"/>
      <c r="D3429" s="13"/>
      <c r="E3429" s="14"/>
      <c r="F3429" s="14"/>
      <c r="G3429" s="14"/>
      <c r="H3429" s="10"/>
      <c r="I3429" s="17"/>
      <c r="J3429" s="10"/>
      <c r="K3429" s="46"/>
      <c r="L3429" s="10"/>
      <c r="M3429" s="20"/>
      <c r="N3429" s="20"/>
      <c r="O3429" s="20"/>
      <c r="P3429" s="20"/>
    </row>
    <row r="3430">
      <c r="A3430" s="23"/>
      <c r="B3430" s="21"/>
      <c r="C3430" s="23"/>
      <c r="D3430" s="24"/>
      <c r="E3430" s="14"/>
      <c r="F3430" s="14"/>
      <c r="G3430" s="14"/>
      <c r="H3430" s="23"/>
      <c r="I3430" s="27"/>
      <c r="J3430" s="23"/>
      <c r="K3430" s="30"/>
      <c r="L3430" s="23"/>
      <c r="M3430" s="20"/>
      <c r="N3430" s="20"/>
      <c r="O3430" s="20"/>
      <c r="P3430" s="20"/>
    </row>
    <row r="3431">
      <c r="A3431" s="10"/>
      <c r="B3431" s="11"/>
      <c r="C3431" s="10"/>
      <c r="D3431" s="13"/>
      <c r="E3431" s="14"/>
      <c r="F3431" s="14"/>
      <c r="G3431" s="14"/>
      <c r="H3431" s="10"/>
      <c r="I3431" s="17"/>
      <c r="J3431" s="10"/>
      <c r="K3431" s="46"/>
      <c r="L3431" s="10"/>
      <c r="M3431" s="20"/>
      <c r="N3431" s="20"/>
      <c r="O3431" s="20"/>
      <c r="P3431" s="20"/>
    </row>
    <row r="3432">
      <c r="A3432" s="23"/>
      <c r="B3432" s="21"/>
      <c r="C3432" s="23"/>
      <c r="D3432" s="24"/>
      <c r="E3432" s="14"/>
      <c r="F3432" s="14"/>
      <c r="G3432" s="14"/>
      <c r="H3432" s="23"/>
      <c r="I3432" s="27"/>
      <c r="J3432" s="23"/>
      <c r="K3432" s="30"/>
      <c r="L3432" s="23"/>
      <c r="M3432" s="20"/>
      <c r="N3432" s="20"/>
      <c r="O3432" s="20"/>
      <c r="P3432" s="20"/>
    </row>
    <row r="3433">
      <c r="A3433" s="10"/>
      <c r="B3433" s="11"/>
      <c r="C3433" s="10"/>
      <c r="D3433" s="13"/>
      <c r="E3433" s="14"/>
      <c r="F3433" s="14"/>
      <c r="G3433" s="14"/>
      <c r="H3433" s="10"/>
      <c r="I3433" s="17"/>
      <c r="J3433" s="10"/>
      <c r="K3433" s="46"/>
      <c r="L3433" s="10"/>
      <c r="M3433" s="20"/>
      <c r="N3433" s="20"/>
      <c r="O3433" s="20"/>
      <c r="P3433" s="20"/>
    </row>
    <row r="3434">
      <c r="A3434" s="23"/>
      <c r="B3434" s="21"/>
      <c r="C3434" s="23"/>
      <c r="D3434" s="24"/>
      <c r="E3434" s="14"/>
      <c r="F3434" s="14"/>
      <c r="G3434" s="14"/>
      <c r="H3434" s="23"/>
      <c r="I3434" s="27"/>
      <c r="J3434" s="23"/>
      <c r="K3434" s="30"/>
      <c r="L3434" s="23"/>
      <c r="M3434" s="20"/>
      <c r="N3434" s="20"/>
      <c r="O3434" s="20"/>
      <c r="P3434" s="20"/>
    </row>
    <row r="3435">
      <c r="A3435" s="10"/>
      <c r="B3435" s="11"/>
      <c r="C3435" s="10"/>
      <c r="D3435" s="13"/>
      <c r="E3435" s="14"/>
      <c r="F3435" s="14"/>
      <c r="G3435" s="14"/>
      <c r="H3435" s="10"/>
      <c r="I3435" s="17"/>
      <c r="J3435" s="10"/>
      <c r="K3435" s="46"/>
      <c r="L3435" s="10"/>
      <c r="M3435" s="20"/>
      <c r="N3435" s="20"/>
      <c r="O3435" s="20"/>
      <c r="P3435" s="20"/>
    </row>
    <row r="3436">
      <c r="A3436" s="23"/>
      <c r="B3436" s="21"/>
      <c r="C3436" s="23"/>
      <c r="D3436" s="24"/>
      <c r="E3436" s="14"/>
      <c r="F3436" s="14"/>
      <c r="G3436" s="14"/>
      <c r="H3436" s="23"/>
      <c r="I3436" s="27"/>
      <c r="J3436" s="23"/>
      <c r="K3436" s="30"/>
      <c r="L3436" s="23"/>
      <c r="M3436" s="20"/>
      <c r="N3436" s="20"/>
      <c r="O3436" s="20"/>
      <c r="P3436" s="20"/>
    </row>
    <row r="3437">
      <c r="A3437" s="10"/>
      <c r="B3437" s="11"/>
      <c r="C3437" s="10"/>
      <c r="D3437" s="13"/>
      <c r="E3437" s="14"/>
      <c r="F3437" s="14"/>
      <c r="G3437" s="14"/>
      <c r="H3437" s="10"/>
      <c r="I3437" s="17"/>
      <c r="J3437" s="10"/>
      <c r="K3437" s="46"/>
      <c r="L3437" s="10"/>
      <c r="M3437" s="20"/>
      <c r="N3437" s="20"/>
      <c r="O3437" s="20"/>
      <c r="P3437" s="20"/>
    </row>
    <row r="3438">
      <c r="A3438" s="23"/>
      <c r="B3438" s="21"/>
      <c r="C3438" s="23"/>
      <c r="D3438" s="24"/>
      <c r="E3438" s="14"/>
      <c r="F3438" s="14"/>
      <c r="G3438" s="14"/>
      <c r="H3438" s="23"/>
      <c r="I3438" s="27"/>
      <c r="J3438" s="23"/>
      <c r="K3438" s="30"/>
      <c r="L3438" s="23"/>
      <c r="M3438" s="20"/>
      <c r="N3438" s="20"/>
      <c r="O3438" s="20"/>
      <c r="P3438" s="20"/>
    </row>
    <row r="3439">
      <c r="A3439" s="10"/>
      <c r="B3439" s="11"/>
      <c r="C3439" s="10"/>
      <c r="D3439" s="13"/>
      <c r="E3439" s="14"/>
      <c r="F3439" s="14"/>
      <c r="G3439" s="14"/>
      <c r="H3439" s="10"/>
      <c r="I3439" s="17"/>
      <c r="J3439" s="10"/>
      <c r="K3439" s="46"/>
      <c r="L3439" s="10"/>
      <c r="M3439" s="20"/>
      <c r="N3439" s="20"/>
      <c r="O3439" s="20"/>
      <c r="P3439" s="20"/>
    </row>
    <row r="3440">
      <c r="A3440" s="23"/>
      <c r="B3440" s="21"/>
      <c r="C3440" s="23"/>
      <c r="D3440" s="24"/>
      <c r="E3440" s="14"/>
      <c r="F3440" s="14"/>
      <c r="G3440" s="14"/>
      <c r="H3440" s="23"/>
      <c r="I3440" s="27"/>
      <c r="J3440" s="23"/>
      <c r="K3440" s="30"/>
      <c r="L3440" s="23"/>
      <c r="M3440" s="20"/>
      <c r="N3440" s="20"/>
      <c r="O3440" s="20"/>
      <c r="P3440" s="20"/>
    </row>
    <row r="3441">
      <c r="A3441" s="10"/>
      <c r="B3441" s="11"/>
      <c r="C3441" s="10"/>
      <c r="D3441" s="13"/>
      <c r="E3441" s="14"/>
      <c r="F3441" s="14"/>
      <c r="G3441" s="14"/>
      <c r="H3441" s="10"/>
      <c r="I3441" s="17"/>
      <c r="J3441" s="10"/>
      <c r="K3441" s="46"/>
      <c r="L3441" s="10"/>
      <c r="M3441" s="20"/>
      <c r="N3441" s="20"/>
      <c r="O3441" s="20"/>
      <c r="P3441" s="20"/>
    </row>
    <row r="3442">
      <c r="A3442" s="23"/>
      <c r="B3442" s="21"/>
      <c r="C3442" s="23"/>
      <c r="D3442" s="24"/>
      <c r="E3442" s="14"/>
      <c r="F3442" s="14"/>
      <c r="G3442" s="14"/>
      <c r="H3442" s="23"/>
      <c r="I3442" s="27"/>
      <c r="J3442" s="23"/>
      <c r="K3442" s="30"/>
      <c r="L3442" s="23"/>
      <c r="M3442" s="20"/>
      <c r="N3442" s="20"/>
      <c r="O3442" s="20"/>
      <c r="P3442" s="20"/>
    </row>
    <row r="3443">
      <c r="A3443" s="10"/>
      <c r="B3443" s="11"/>
      <c r="C3443" s="10"/>
      <c r="D3443" s="13"/>
      <c r="E3443" s="14"/>
      <c r="F3443" s="14"/>
      <c r="G3443" s="14"/>
      <c r="H3443" s="10"/>
      <c r="I3443" s="17"/>
      <c r="J3443" s="10"/>
      <c r="K3443" s="46"/>
      <c r="L3443" s="10"/>
      <c r="M3443" s="20"/>
      <c r="N3443" s="20"/>
      <c r="O3443" s="20"/>
      <c r="P3443" s="20"/>
    </row>
    <row r="3444">
      <c r="A3444" s="23"/>
      <c r="B3444" s="21"/>
      <c r="C3444" s="23"/>
      <c r="D3444" s="24"/>
      <c r="E3444" s="14"/>
      <c r="F3444" s="14"/>
      <c r="G3444" s="14"/>
      <c r="H3444" s="23"/>
      <c r="I3444" s="27"/>
      <c r="J3444" s="23"/>
      <c r="K3444" s="30"/>
      <c r="L3444" s="23"/>
      <c r="M3444" s="20"/>
      <c r="N3444" s="20"/>
      <c r="O3444" s="20"/>
      <c r="P3444" s="20"/>
    </row>
    <row r="3445">
      <c r="A3445" s="10"/>
      <c r="B3445" s="11"/>
      <c r="C3445" s="10"/>
      <c r="D3445" s="13"/>
      <c r="E3445" s="14"/>
      <c r="F3445" s="14"/>
      <c r="G3445" s="14"/>
      <c r="H3445" s="10"/>
      <c r="I3445" s="17"/>
      <c r="J3445" s="10"/>
      <c r="K3445" s="46"/>
      <c r="L3445" s="10"/>
      <c r="M3445" s="20"/>
      <c r="N3445" s="20"/>
      <c r="O3445" s="20"/>
      <c r="P3445" s="20"/>
    </row>
    <row r="3446">
      <c r="A3446" s="23"/>
      <c r="B3446" s="21"/>
      <c r="C3446" s="23"/>
      <c r="D3446" s="24"/>
      <c r="E3446" s="14"/>
      <c r="F3446" s="14"/>
      <c r="G3446" s="14"/>
      <c r="H3446" s="23"/>
      <c r="I3446" s="27"/>
      <c r="J3446" s="23"/>
      <c r="K3446" s="30"/>
      <c r="L3446" s="23"/>
      <c r="M3446" s="20"/>
      <c r="N3446" s="20"/>
      <c r="O3446" s="20"/>
      <c r="P3446" s="20"/>
    </row>
    <row r="3447">
      <c r="A3447" s="10"/>
      <c r="B3447" s="11"/>
      <c r="C3447" s="10"/>
      <c r="D3447" s="13"/>
      <c r="E3447" s="14"/>
      <c r="F3447" s="14"/>
      <c r="G3447" s="14"/>
      <c r="H3447" s="10"/>
      <c r="I3447" s="17"/>
      <c r="J3447" s="10"/>
      <c r="K3447" s="46"/>
      <c r="L3447" s="10"/>
      <c r="M3447" s="20"/>
      <c r="N3447" s="20"/>
      <c r="O3447" s="20"/>
      <c r="P3447" s="20"/>
    </row>
    <row r="3448">
      <c r="A3448" s="23"/>
      <c r="B3448" s="21"/>
      <c r="C3448" s="23"/>
      <c r="D3448" s="24"/>
      <c r="E3448" s="14"/>
      <c r="F3448" s="14"/>
      <c r="G3448" s="14"/>
      <c r="H3448" s="23"/>
      <c r="I3448" s="27"/>
      <c r="J3448" s="23"/>
      <c r="K3448" s="30"/>
      <c r="L3448" s="23"/>
      <c r="M3448" s="20"/>
      <c r="N3448" s="20"/>
      <c r="O3448" s="20"/>
      <c r="P3448" s="20"/>
    </row>
    <row r="3449">
      <c r="A3449" s="10"/>
      <c r="B3449" s="11"/>
      <c r="C3449" s="10"/>
      <c r="D3449" s="13"/>
      <c r="E3449" s="14"/>
      <c r="F3449" s="14"/>
      <c r="G3449" s="14"/>
      <c r="H3449" s="10"/>
      <c r="I3449" s="17"/>
      <c r="J3449" s="10"/>
      <c r="K3449" s="46"/>
      <c r="L3449" s="10"/>
      <c r="M3449" s="20"/>
      <c r="N3449" s="20"/>
      <c r="O3449" s="20"/>
      <c r="P3449" s="20"/>
    </row>
    <row r="3450">
      <c r="A3450" s="23"/>
      <c r="B3450" s="21"/>
      <c r="C3450" s="23"/>
      <c r="D3450" s="24"/>
      <c r="E3450" s="14"/>
      <c r="F3450" s="14"/>
      <c r="G3450" s="14"/>
      <c r="H3450" s="23"/>
      <c r="I3450" s="27"/>
      <c r="J3450" s="23"/>
      <c r="K3450" s="30"/>
      <c r="L3450" s="23"/>
      <c r="M3450" s="20"/>
      <c r="N3450" s="20"/>
      <c r="O3450" s="20"/>
      <c r="P3450" s="20"/>
    </row>
    <row r="3451">
      <c r="A3451" s="10"/>
      <c r="B3451" s="11"/>
      <c r="C3451" s="10"/>
      <c r="D3451" s="13"/>
      <c r="E3451" s="14"/>
      <c r="F3451" s="14"/>
      <c r="G3451" s="14"/>
      <c r="H3451" s="10"/>
      <c r="I3451" s="17"/>
      <c r="J3451" s="10"/>
      <c r="K3451" s="46"/>
      <c r="L3451" s="10"/>
      <c r="M3451" s="20"/>
      <c r="N3451" s="20"/>
      <c r="O3451" s="20"/>
      <c r="P3451" s="20"/>
    </row>
    <row r="3452">
      <c r="A3452" s="23"/>
      <c r="B3452" s="21"/>
      <c r="C3452" s="23"/>
      <c r="D3452" s="24"/>
      <c r="E3452" s="14"/>
      <c r="F3452" s="14"/>
      <c r="G3452" s="14"/>
      <c r="H3452" s="23"/>
      <c r="I3452" s="27"/>
      <c r="J3452" s="23"/>
      <c r="K3452" s="30"/>
      <c r="L3452" s="23"/>
      <c r="M3452" s="20"/>
      <c r="N3452" s="20"/>
      <c r="O3452" s="20"/>
      <c r="P3452" s="20"/>
    </row>
    <row r="3453">
      <c r="A3453" s="10"/>
      <c r="B3453" s="11"/>
      <c r="C3453" s="10"/>
      <c r="D3453" s="13"/>
      <c r="E3453" s="14"/>
      <c r="F3453" s="14"/>
      <c r="G3453" s="14"/>
      <c r="H3453" s="10"/>
      <c r="I3453" s="17"/>
      <c r="J3453" s="10"/>
      <c r="K3453" s="46"/>
      <c r="L3453" s="10"/>
      <c r="M3453" s="20"/>
      <c r="N3453" s="20"/>
      <c r="O3453" s="20"/>
      <c r="P3453" s="20"/>
    </row>
    <row r="3454">
      <c r="A3454" s="23"/>
      <c r="B3454" s="21"/>
      <c r="C3454" s="23"/>
      <c r="D3454" s="24"/>
      <c r="E3454" s="14"/>
      <c r="F3454" s="14"/>
      <c r="G3454" s="14"/>
      <c r="H3454" s="23"/>
      <c r="I3454" s="27"/>
      <c r="J3454" s="23"/>
      <c r="K3454" s="30"/>
      <c r="L3454" s="23"/>
      <c r="M3454" s="20"/>
      <c r="N3454" s="20"/>
      <c r="O3454" s="20"/>
      <c r="P3454" s="20"/>
    </row>
    <row r="3455">
      <c r="A3455" s="10"/>
      <c r="B3455" s="11"/>
      <c r="C3455" s="10"/>
      <c r="D3455" s="13"/>
      <c r="E3455" s="14"/>
      <c r="F3455" s="14"/>
      <c r="G3455" s="14"/>
      <c r="H3455" s="10"/>
      <c r="I3455" s="17"/>
      <c r="J3455" s="10"/>
      <c r="K3455" s="46"/>
      <c r="L3455" s="10"/>
      <c r="M3455" s="20"/>
      <c r="N3455" s="20"/>
      <c r="O3455" s="20"/>
      <c r="P3455" s="20"/>
    </row>
    <row r="3456">
      <c r="A3456" s="23"/>
      <c r="B3456" s="21"/>
      <c r="C3456" s="23"/>
      <c r="D3456" s="24"/>
      <c r="E3456" s="14"/>
      <c r="F3456" s="14"/>
      <c r="G3456" s="14"/>
      <c r="H3456" s="23"/>
      <c r="I3456" s="27"/>
      <c r="J3456" s="23"/>
      <c r="K3456" s="30"/>
      <c r="L3456" s="23"/>
      <c r="M3456" s="20"/>
      <c r="N3456" s="20"/>
      <c r="O3456" s="20"/>
      <c r="P3456" s="20"/>
    </row>
    <row r="3457">
      <c r="A3457" s="10"/>
      <c r="B3457" s="11"/>
      <c r="C3457" s="10"/>
      <c r="D3457" s="13"/>
      <c r="E3457" s="14"/>
      <c r="F3457" s="14"/>
      <c r="G3457" s="14"/>
      <c r="H3457" s="10"/>
      <c r="I3457" s="17"/>
      <c r="J3457" s="10"/>
      <c r="K3457" s="46"/>
      <c r="L3457" s="10"/>
      <c r="M3457" s="20"/>
      <c r="N3457" s="20"/>
      <c r="O3457" s="20"/>
      <c r="P3457" s="20"/>
    </row>
    <row r="3458">
      <c r="A3458" s="23"/>
      <c r="B3458" s="21"/>
      <c r="C3458" s="23"/>
      <c r="D3458" s="24"/>
      <c r="E3458" s="14"/>
      <c r="F3458" s="14"/>
      <c r="G3458" s="14"/>
      <c r="H3458" s="23"/>
      <c r="I3458" s="27"/>
      <c r="J3458" s="23"/>
      <c r="K3458" s="30"/>
      <c r="L3458" s="23"/>
      <c r="M3458" s="20"/>
      <c r="N3458" s="20"/>
      <c r="O3458" s="20"/>
      <c r="P3458" s="20"/>
    </row>
    <row r="3459">
      <c r="A3459" s="10"/>
      <c r="B3459" s="11"/>
      <c r="C3459" s="10"/>
      <c r="D3459" s="13"/>
      <c r="E3459" s="14"/>
      <c r="F3459" s="14"/>
      <c r="G3459" s="14"/>
      <c r="H3459" s="10"/>
      <c r="I3459" s="17"/>
      <c r="J3459" s="10"/>
      <c r="K3459" s="46"/>
      <c r="L3459" s="10"/>
      <c r="M3459" s="20"/>
      <c r="N3459" s="20"/>
      <c r="O3459" s="20"/>
      <c r="P3459" s="20"/>
    </row>
    <row r="3460">
      <c r="A3460" s="23"/>
      <c r="B3460" s="21"/>
      <c r="C3460" s="23"/>
      <c r="D3460" s="24"/>
      <c r="E3460" s="14"/>
      <c r="F3460" s="14"/>
      <c r="G3460" s="14"/>
      <c r="H3460" s="23"/>
      <c r="I3460" s="27"/>
      <c r="J3460" s="23"/>
      <c r="K3460" s="30"/>
      <c r="L3460" s="23"/>
      <c r="M3460" s="20"/>
      <c r="N3460" s="20"/>
      <c r="O3460" s="20"/>
      <c r="P3460" s="20"/>
    </row>
    <row r="3461">
      <c r="A3461" s="10"/>
      <c r="B3461" s="11"/>
      <c r="C3461" s="10"/>
      <c r="D3461" s="13"/>
      <c r="E3461" s="14"/>
      <c r="F3461" s="14"/>
      <c r="G3461" s="14"/>
      <c r="H3461" s="10"/>
      <c r="I3461" s="17"/>
      <c r="J3461" s="10"/>
      <c r="K3461" s="46"/>
      <c r="L3461" s="10"/>
      <c r="M3461" s="20"/>
      <c r="N3461" s="20"/>
      <c r="O3461" s="20"/>
      <c r="P3461" s="20"/>
    </row>
    <row r="3462">
      <c r="A3462" s="23"/>
      <c r="B3462" s="21"/>
      <c r="C3462" s="23"/>
      <c r="D3462" s="24"/>
      <c r="E3462" s="14"/>
      <c r="F3462" s="14"/>
      <c r="G3462" s="14"/>
      <c r="H3462" s="23"/>
      <c r="I3462" s="27"/>
      <c r="J3462" s="23"/>
      <c r="K3462" s="30"/>
      <c r="L3462" s="23"/>
      <c r="M3462" s="20"/>
      <c r="N3462" s="20"/>
      <c r="O3462" s="20"/>
      <c r="P3462" s="20"/>
    </row>
    <row r="3463">
      <c r="A3463" s="10"/>
      <c r="B3463" s="11"/>
      <c r="C3463" s="10"/>
      <c r="D3463" s="13"/>
      <c r="E3463" s="14"/>
      <c r="F3463" s="14"/>
      <c r="G3463" s="14"/>
      <c r="H3463" s="10"/>
      <c r="I3463" s="17"/>
      <c r="J3463" s="10"/>
      <c r="K3463" s="46"/>
      <c r="L3463" s="10"/>
      <c r="M3463" s="20"/>
      <c r="N3463" s="20"/>
      <c r="O3463" s="20"/>
      <c r="P3463" s="20"/>
    </row>
    <row r="3464">
      <c r="A3464" s="23"/>
      <c r="B3464" s="21"/>
      <c r="C3464" s="23"/>
      <c r="D3464" s="24"/>
      <c r="E3464" s="14"/>
      <c r="F3464" s="14"/>
      <c r="G3464" s="14"/>
      <c r="H3464" s="23"/>
      <c r="I3464" s="27"/>
      <c r="J3464" s="23"/>
      <c r="K3464" s="30"/>
      <c r="L3464" s="23"/>
      <c r="M3464" s="20"/>
      <c r="N3464" s="20"/>
      <c r="O3464" s="20"/>
      <c r="P3464" s="20"/>
    </row>
    <row r="3465">
      <c r="A3465" s="10"/>
      <c r="B3465" s="11"/>
      <c r="C3465" s="10"/>
      <c r="D3465" s="13"/>
      <c r="E3465" s="14"/>
      <c r="F3465" s="14"/>
      <c r="G3465" s="14"/>
      <c r="H3465" s="10"/>
      <c r="I3465" s="17"/>
      <c r="J3465" s="10"/>
      <c r="K3465" s="46"/>
      <c r="L3465" s="10"/>
      <c r="M3465" s="20"/>
      <c r="N3465" s="20"/>
      <c r="O3465" s="20"/>
      <c r="P3465" s="20"/>
    </row>
    <row r="3466">
      <c r="A3466" s="23"/>
      <c r="B3466" s="21"/>
      <c r="C3466" s="23"/>
      <c r="D3466" s="24"/>
      <c r="E3466" s="14"/>
      <c r="F3466" s="14"/>
      <c r="G3466" s="14"/>
      <c r="H3466" s="23"/>
      <c r="I3466" s="27"/>
      <c r="J3466" s="23"/>
      <c r="K3466" s="30"/>
      <c r="L3466" s="23"/>
      <c r="M3466" s="20"/>
      <c r="N3466" s="20"/>
      <c r="O3466" s="20"/>
      <c r="P3466" s="20"/>
    </row>
    <row r="3467">
      <c r="A3467" s="10"/>
      <c r="B3467" s="11"/>
      <c r="C3467" s="10"/>
      <c r="D3467" s="13"/>
      <c r="E3467" s="14"/>
      <c r="F3467" s="14"/>
      <c r="G3467" s="14"/>
      <c r="H3467" s="10"/>
      <c r="I3467" s="17"/>
      <c r="J3467" s="10"/>
      <c r="K3467" s="46"/>
      <c r="L3467" s="10"/>
      <c r="M3467" s="20"/>
      <c r="N3467" s="20"/>
      <c r="O3467" s="20"/>
      <c r="P3467" s="20"/>
    </row>
    <row r="3468">
      <c r="A3468" s="23"/>
      <c r="B3468" s="21"/>
      <c r="C3468" s="23"/>
      <c r="D3468" s="24"/>
      <c r="E3468" s="14"/>
      <c r="F3468" s="14"/>
      <c r="G3468" s="14"/>
      <c r="H3468" s="23"/>
      <c r="I3468" s="27"/>
      <c r="J3468" s="23"/>
      <c r="K3468" s="30"/>
      <c r="L3468" s="23"/>
      <c r="M3468" s="20"/>
      <c r="N3468" s="20"/>
      <c r="O3468" s="20"/>
      <c r="P3468" s="20"/>
    </row>
    <row r="3469">
      <c r="A3469" s="10"/>
      <c r="B3469" s="11"/>
      <c r="C3469" s="10"/>
      <c r="D3469" s="13"/>
      <c r="E3469" s="14"/>
      <c r="F3469" s="14"/>
      <c r="G3469" s="14"/>
      <c r="H3469" s="10"/>
      <c r="I3469" s="17"/>
      <c r="J3469" s="10"/>
      <c r="K3469" s="46"/>
      <c r="L3469" s="10"/>
      <c r="M3469" s="20"/>
      <c r="N3469" s="20"/>
      <c r="O3469" s="20"/>
      <c r="P3469" s="20"/>
    </row>
    <row r="3470">
      <c r="A3470" s="23"/>
      <c r="B3470" s="21"/>
      <c r="C3470" s="23"/>
      <c r="D3470" s="24"/>
      <c r="E3470" s="14"/>
      <c r="F3470" s="14"/>
      <c r="G3470" s="14"/>
      <c r="H3470" s="23"/>
      <c r="I3470" s="27"/>
      <c r="J3470" s="23"/>
      <c r="K3470" s="30"/>
      <c r="L3470" s="23"/>
      <c r="M3470" s="20"/>
      <c r="N3470" s="20"/>
      <c r="O3470" s="20"/>
      <c r="P3470" s="20"/>
    </row>
    <row r="3471">
      <c r="A3471" s="10"/>
      <c r="B3471" s="11"/>
      <c r="C3471" s="10"/>
      <c r="D3471" s="13"/>
      <c r="E3471" s="14"/>
      <c r="F3471" s="14"/>
      <c r="G3471" s="14"/>
      <c r="H3471" s="10"/>
      <c r="I3471" s="17"/>
      <c r="J3471" s="10"/>
      <c r="K3471" s="46"/>
      <c r="L3471" s="10"/>
      <c r="M3471" s="20"/>
      <c r="N3471" s="20"/>
      <c r="O3471" s="20"/>
      <c r="P3471" s="20"/>
    </row>
    <row r="3472">
      <c r="A3472" s="23"/>
      <c r="B3472" s="21"/>
      <c r="C3472" s="23"/>
      <c r="D3472" s="24"/>
      <c r="E3472" s="14"/>
      <c r="F3472" s="14"/>
      <c r="G3472" s="14"/>
      <c r="H3472" s="23"/>
      <c r="I3472" s="27"/>
      <c r="J3472" s="23"/>
      <c r="K3472" s="30"/>
      <c r="L3472" s="23"/>
      <c r="M3472" s="20"/>
      <c r="N3472" s="20"/>
      <c r="O3472" s="20"/>
      <c r="P3472" s="20"/>
    </row>
    <row r="3473">
      <c r="A3473" s="10"/>
      <c r="B3473" s="11"/>
      <c r="C3473" s="10"/>
      <c r="D3473" s="13"/>
      <c r="E3473" s="14"/>
      <c r="F3473" s="14"/>
      <c r="G3473" s="14"/>
      <c r="H3473" s="10"/>
      <c r="I3473" s="17"/>
      <c r="J3473" s="10"/>
      <c r="K3473" s="46"/>
      <c r="L3473" s="10"/>
      <c r="M3473" s="20"/>
      <c r="N3473" s="20"/>
      <c r="O3473" s="20"/>
      <c r="P3473" s="20"/>
    </row>
    <row r="3474">
      <c r="A3474" s="23"/>
      <c r="B3474" s="21"/>
      <c r="C3474" s="23"/>
      <c r="D3474" s="24"/>
      <c r="E3474" s="14"/>
      <c r="F3474" s="14"/>
      <c r="G3474" s="14"/>
      <c r="H3474" s="23"/>
      <c r="I3474" s="27"/>
      <c r="J3474" s="23"/>
      <c r="K3474" s="30"/>
      <c r="L3474" s="23"/>
      <c r="M3474" s="20"/>
      <c r="N3474" s="20"/>
      <c r="O3474" s="20"/>
      <c r="P3474" s="20"/>
    </row>
    <row r="3475">
      <c r="A3475" s="10"/>
      <c r="B3475" s="11"/>
      <c r="C3475" s="10"/>
      <c r="D3475" s="13"/>
      <c r="E3475" s="14"/>
      <c r="F3475" s="14"/>
      <c r="G3475" s="14"/>
      <c r="H3475" s="10"/>
      <c r="I3475" s="17"/>
      <c r="J3475" s="10"/>
      <c r="K3475" s="46"/>
      <c r="L3475" s="10"/>
      <c r="M3475" s="20"/>
      <c r="N3475" s="20"/>
      <c r="O3475" s="20"/>
      <c r="P3475" s="20"/>
    </row>
    <row r="3476">
      <c r="A3476" s="23"/>
      <c r="B3476" s="21"/>
      <c r="C3476" s="23"/>
      <c r="D3476" s="24"/>
      <c r="E3476" s="14"/>
      <c r="F3476" s="14"/>
      <c r="G3476" s="14"/>
      <c r="H3476" s="23"/>
      <c r="I3476" s="27"/>
      <c r="J3476" s="23"/>
      <c r="K3476" s="30"/>
      <c r="L3476" s="23"/>
      <c r="M3476" s="20"/>
      <c r="N3476" s="20"/>
      <c r="O3476" s="20"/>
      <c r="P3476" s="20"/>
    </row>
    <row r="3477">
      <c r="A3477" s="10"/>
      <c r="B3477" s="11"/>
      <c r="C3477" s="10"/>
      <c r="D3477" s="13"/>
      <c r="E3477" s="14"/>
      <c r="F3477" s="14"/>
      <c r="G3477" s="14"/>
      <c r="H3477" s="10"/>
      <c r="I3477" s="17"/>
      <c r="J3477" s="10"/>
      <c r="K3477" s="46"/>
      <c r="L3477" s="10"/>
      <c r="M3477" s="20"/>
      <c r="N3477" s="20"/>
      <c r="O3477" s="20"/>
      <c r="P3477" s="20"/>
    </row>
    <row r="3478">
      <c r="A3478" s="23"/>
      <c r="B3478" s="21"/>
      <c r="C3478" s="23"/>
      <c r="D3478" s="24"/>
      <c r="E3478" s="14"/>
      <c r="F3478" s="14"/>
      <c r="G3478" s="14"/>
      <c r="H3478" s="23"/>
      <c r="I3478" s="27"/>
      <c r="J3478" s="23"/>
      <c r="K3478" s="30"/>
      <c r="L3478" s="23"/>
      <c r="M3478" s="20"/>
      <c r="N3478" s="20"/>
      <c r="O3478" s="20"/>
      <c r="P3478" s="20"/>
    </row>
    <row r="3479">
      <c r="A3479" s="10"/>
      <c r="B3479" s="11"/>
      <c r="C3479" s="10"/>
      <c r="D3479" s="13"/>
      <c r="E3479" s="14"/>
      <c r="F3479" s="14"/>
      <c r="G3479" s="14"/>
      <c r="H3479" s="10"/>
      <c r="I3479" s="17"/>
      <c r="J3479" s="10"/>
      <c r="K3479" s="46"/>
      <c r="L3479" s="10"/>
      <c r="M3479" s="20"/>
      <c r="N3479" s="20"/>
      <c r="O3479" s="20"/>
      <c r="P3479" s="20"/>
    </row>
    <row r="3480">
      <c r="A3480" s="23"/>
      <c r="B3480" s="21"/>
      <c r="C3480" s="23"/>
      <c r="D3480" s="24"/>
      <c r="E3480" s="14"/>
      <c r="F3480" s="14"/>
      <c r="G3480" s="14"/>
      <c r="H3480" s="23"/>
      <c r="I3480" s="27"/>
      <c r="J3480" s="23"/>
      <c r="K3480" s="30"/>
      <c r="L3480" s="23"/>
      <c r="M3480" s="20"/>
      <c r="N3480" s="20"/>
      <c r="O3480" s="20"/>
      <c r="P3480" s="20"/>
    </row>
    <row r="3481">
      <c r="A3481" s="10"/>
      <c r="B3481" s="11"/>
      <c r="C3481" s="10"/>
      <c r="D3481" s="13"/>
      <c r="E3481" s="14"/>
      <c r="F3481" s="14"/>
      <c r="G3481" s="14"/>
      <c r="H3481" s="10"/>
      <c r="I3481" s="17"/>
      <c r="J3481" s="10"/>
      <c r="K3481" s="46"/>
      <c r="L3481" s="10"/>
      <c r="M3481" s="20"/>
      <c r="N3481" s="20"/>
      <c r="O3481" s="20"/>
      <c r="P3481" s="20"/>
    </row>
    <row r="3482">
      <c r="A3482" s="23"/>
      <c r="B3482" s="21"/>
      <c r="C3482" s="23"/>
      <c r="D3482" s="24"/>
      <c r="E3482" s="14"/>
      <c r="F3482" s="14"/>
      <c r="G3482" s="14"/>
      <c r="H3482" s="23"/>
      <c r="I3482" s="27"/>
      <c r="J3482" s="23"/>
      <c r="K3482" s="30"/>
      <c r="L3482" s="23"/>
      <c r="M3482" s="20"/>
      <c r="N3482" s="20"/>
      <c r="O3482" s="20"/>
      <c r="P3482" s="20"/>
    </row>
    <row r="3483">
      <c r="A3483" s="10"/>
      <c r="B3483" s="11"/>
      <c r="C3483" s="10"/>
      <c r="D3483" s="13"/>
      <c r="E3483" s="14"/>
      <c r="F3483" s="14"/>
      <c r="G3483" s="14"/>
      <c r="H3483" s="10"/>
      <c r="I3483" s="17"/>
      <c r="J3483" s="10"/>
      <c r="K3483" s="46"/>
      <c r="L3483" s="10"/>
      <c r="M3483" s="20"/>
      <c r="N3483" s="20"/>
      <c r="O3483" s="20"/>
      <c r="P3483" s="20"/>
    </row>
    <row r="3484">
      <c r="A3484" s="23"/>
      <c r="B3484" s="21"/>
      <c r="C3484" s="23"/>
      <c r="D3484" s="24"/>
      <c r="E3484" s="14"/>
      <c r="F3484" s="14"/>
      <c r="G3484" s="14"/>
      <c r="H3484" s="23"/>
      <c r="I3484" s="27"/>
      <c r="J3484" s="23"/>
      <c r="K3484" s="30"/>
      <c r="L3484" s="23"/>
      <c r="M3484" s="20"/>
      <c r="N3484" s="20"/>
      <c r="O3484" s="20"/>
      <c r="P3484" s="20"/>
    </row>
    <row r="3485">
      <c r="A3485" s="10"/>
      <c r="B3485" s="11"/>
      <c r="C3485" s="10"/>
      <c r="D3485" s="13"/>
      <c r="E3485" s="14"/>
      <c r="F3485" s="14"/>
      <c r="G3485" s="14"/>
      <c r="H3485" s="10"/>
      <c r="I3485" s="17"/>
      <c r="J3485" s="10"/>
      <c r="K3485" s="46"/>
      <c r="L3485" s="10"/>
      <c r="M3485" s="20"/>
      <c r="N3485" s="20"/>
      <c r="O3485" s="20"/>
      <c r="P3485" s="20"/>
    </row>
    <row r="3486">
      <c r="A3486" s="23"/>
      <c r="B3486" s="21"/>
      <c r="C3486" s="23"/>
      <c r="D3486" s="24"/>
      <c r="E3486" s="14"/>
      <c r="F3486" s="14"/>
      <c r="G3486" s="14"/>
      <c r="H3486" s="23"/>
      <c r="I3486" s="27"/>
      <c r="J3486" s="23"/>
      <c r="K3486" s="30"/>
      <c r="L3486" s="23"/>
      <c r="M3486" s="20"/>
      <c r="N3486" s="20"/>
      <c r="O3486" s="20"/>
      <c r="P3486" s="20"/>
    </row>
    <row r="3487">
      <c r="A3487" s="10"/>
      <c r="B3487" s="11"/>
      <c r="C3487" s="10"/>
      <c r="D3487" s="13"/>
      <c r="E3487" s="14"/>
      <c r="F3487" s="14"/>
      <c r="G3487" s="14"/>
      <c r="H3487" s="10"/>
      <c r="I3487" s="17"/>
      <c r="J3487" s="10"/>
      <c r="K3487" s="46"/>
      <c r="L3487" s="10"/>
      <c r="M3487" s="20"/>
      <c r="N3487" s="20"/>
      <c r="O3487" s="20"/>
      <c r="P3487" s="20"/>
    </row>
    <row r="3488">
      <c r="A3488" s="23"/>
      <c r="B3488" s="21"/>
      <c r="C3488" s="23"/>
      <c r="D3488" s="24"/>
      <c r="E3488" s="14"/>
      <c r="F3488" s="14"/>
      <c r="G3488" s="14"/>
      <c r="H3488" s="23"/>
      <c r="I3488" s="27"/>
      <c r="J3488" s="23"/>
      <c r="K3488" s="30"/>
      <c r="L3488" s="23"/>
      <c r="M3488" s="20"/>
      <c r="N3488" s="20"/>
      <c r="O3488" s="20"/>
      <c r="P3488" s="20"/>
    </row>
    <row r="3489">
      <c r="A3489" s="10"/>
      <c r="B3489" s="11"/>
      <c r="C3489" s="10"/>
      <c r="D3489" s="13"/>
      <c r="E3489" s="14"/>
      <c r="F3489" s="14"/>
      <c r="G3489" s="14"/>
      <c r="H3489" s="10"/>
      <c r="I3489" s="17"/>
      <c r="J3489" s="10"/>
      <c r="K3489" s="46"/>
      <c r="L3489" s="10"/>
      <c r="M3489" s="20"/>
      <c r="N3489" s="20"/>
      <c r="O3489" s="20"/>
      <c r="P3489" s="20"/>
    </row>
    <row r="3490">
      <c r="A3490" s="23"/>
      <c r="B3490" s="21"/>
      <c r="C3490" s="23"/>
      <c r="D3490" s="24"/>
      <c r="E3490" s="14"/>
      <c r="F3490" s="14"/>
      <c r="G3490" s="14"/>
      <c r="H3490" s="23"/>
      <c r="I3490" s="27"/>
      <c r="J3490" s="23"/>
      <c r="K3490" s="30"/>
      <c r="L3490" s="23"/>
      <c r="M3490" s="20"/>
      <c r="N3490" s="20"/>
      <c r="O3490" s="20"/>
      <c r="P3490" s="20"/>
    </row>
    <row r="3491">
      <c r="A3491" s="10"/>
      <c r="B3491" s="11"/>
      <c r="C3491" s="10"/>
      <c r="D3491" s="13"/>
      <c r="E3491" s="14"/>
      <c r="F3491" s="14"/>
      <c r="G3491" s="14"/>
      <c r="H3491" s="10"/>
      <c r="I3491" s="17"/>
      <c r="J3491" s="10"/>
      <c r="K3491" s="46"/>
      <c r="L3491" s="10"/>
      <c r="M3491" s="20"/>
      <c r="N3491" s="20"/>
      <c r="O3491" s="20"/>
      <c r="P3491" s="20"/>
    </row>
    <row r="3492">
      <c r="A3492" s="23"/>
      <c r="B3492" s="21"/>
      <c r="C3492" s="23"/>
      <c r="D3492" s="24"/>
      <c r="E3492" s="14"/>
      <c r="F3492" s="14"/>
      <c r="G3492" s="14"/>
      <c r="H3492" s="23"/>
      <c r="I3492" s="27"/>
      <c r="J3492" s="23"/>
      <c r="K3492" s="30"/>
      <c r="L3492" s="23"/>
      <c r="M3492" s="20"/>
      <c r="N3492" s="20"/>
      <c r="O3492" s="20"/>
      <c r="P3492" s="20"/>
    </row>
    <row r="3493">
      <c r="A3493" s="10"/>
      <c r="B3493" s="11"/>
      <c r="C3493" s="10"/>
      <c r="D3493" s="13"/>
      <c r="E3493" s="14"/>
      <c r="F3493" s="14"/>
      <c r="G3493" s="14"/>
      <c r="H3493" s="10"/>
      <c r="I3493" s="17"/>
      <c r="J3493" s="10"/>
      <c r="K3493" s="46"/>
      <c r="L3493" s="10"/>
      <c r="M3493" s="20"/>
      <c r="N3493" s="20"/>
      <c r="O3493" s="20"/>
      <c r="P3493" s="20"/>
    </row>
    <row r="3494">
      <c r="A3494" s="23"/>
      <c r="B3494" s="21"/>
      <c r="C3494" s="23"/>
      <c r="D3494" s="24"/>
      <c r="E3494" s="14"/>
      <c r="F3494" s="14"/>
      <c r="G3494" s="14"/>
      <c r="H3494" s="23"/>
      <c r="I3494" s="27"/>
      <c r="J3494" s="23"/>
      <c r="K3494" s="30"/>
      <c r="L3494" s="23"/>
      <c r="M3494" s="20"/>
      <c r="N3494" s="20"/>
      <c r="O3494" s="20"/>
      <c r="P3494" s="20"/>
    </row>
    <row r="3495">
      <c r="A3495" s="10"/>
      <c r="B3495" s="11"/>
      <c r="C3495" s="10"/>
      <c r="D3495" s="13"/>
      <c r="E3495" s="14"/>
      <c r="F3495" s="14"/>
      <c r="G3495" s="14"/>
      <c r="H3495" s="10"/>
      <c r="I3495" s="17"/>
      <c r="J3495" s="10"/>
      <c r="K3495" s="46"/>
      <c r="L3495" s="10"/>
      <c r="M3495" s="20"/>
      <c r="N3495" s="20"/>
      <c r="O3495" s="20"/>
      <c r="P3495" s="20"/>
    </row>
    <row r="3496">
      <c r="A3496" s="23"/>
      <c r="B3496" s="21"/>
      <c r="C3496" s="23"/>
      <c r="D3496" s="24"/>
      <c r="E3496" s="14"/>
      <c r="F3496" s="14"/>
      <c r="G3496" s="14"/>
      <c r="H3496" s="23"/>
      <c r="I3496" s="27"/>
      <c r="J3496" s="23"/>
      <c r="K3496" s="30"/>
      <c r="L3496" s="23"/>
      <c r="M3496" s="20"/>
      <c r="N3496" s="20"/>
      <c r="O3496" s="20"/>
      <c r="P3496" s="20"/>
    </row>
    <row r="3497">
      <c r="A3497" s="10"/>
      <c r="B3497" s="11"/>
      <c r="C3497" s="10"/>
      <c r="D3497" s="13"/>
      <c r="E3497" s="14"/>
      <c r="F3497" s="14"/>
      <c r="G3497" s="14"/>
      <c r="H3497" s="10"/>
      <c r="I3497" s="17"/>
      <c r="J3497" s="10"/>
      <c r="K3497" s="46"/>
      <c r="L3497" s="10"/>
      <c r="M3497" s="20"/>
      <c r="N3497" s="20"/>
      <c r="O3497" s="20"/>
      <c r="P3497" s="20"/>
    </row>
    <row r="3498">
      <c r="A3498" s="23"/>
      <c r="B3498" s="21"/>
      <c r="C3498" s="23"/>
      <c r="D3498" s="24"/>
      <c r="E3498" s="14"/>
      <c r="F3498" s="14"/>
      <c r="G3498" s="14"/>
      <c r="H3498" s="23"/>
      <c r="I3498" s="27"/>
      <c r="J3498" s="23"/>
      <c r="K3498" s="30"/>
      <c r="L3498" s="23"/>
      <c r="M3498" s="20"/>
      <c r="N3498" s="20"/>
      <c r="O3498" s="20"/>
      <c r="P3498" s="20"/>
    </row>
    <row r="3499">
      <c r="A3499" s="10"/>
      <c r="B3499" s="11"/>
      <c r="C3499" s="10"/>
      <c r="D3499" s="13"/>
      <c r="E3499" s="14"/>
      <c r="F3499" s="14"/>
      <c r="G3499" s="14"/>
      <c r="H3499" s="10"/>
      <c r="I3499" s="17"/>
      <c r="J3499" s="10"/>
      <c r="K3499" s="46"/>
      <c r="L3499" s="10"/>
      <c r="M3499" s="20"/>
      <c r="N3499" s="20"/>
      <c r="O3499" s="20"/>
      <c r="P3499" s="20"/>
    </row>
    <row r="3500">
      <c r="A3500" s="23"/>
      <c r="B3500" s="21"/>
      <c r="C3500" s="23"/>
      <c r="D3500" s="24"/>
      <c r="E3500" s="14"/>
      <c r="F3500" s="14"/>
      <c r="G3500" s="14"/>
      <c r="H3500" s="23"/>
      <c r="I3500" s="27"/>
      <c r="J3500" s="23"/>
      <c r="K3500" s="30"/>
      <c r="L3500" s="23"/>
      <c r="M3500" s="20"/>
      <c r="N3500" s="20"/>
      <c r="O3500" s="20"/>
      <c r="P3500" s="20"/>
    </row>
    <row r="3501">
      <c r="A3501" s="10"/>
      <c r="B3501" s="11"/>
      <c r="C3501" s="10"/>
      <c r="D3501" s="13"/>
      <c r="E3501" s="14"/>
      <c r="F3501" s="14"/>
      <c r="G3501" s="14"/>
      <c r="H3501" s="10"/>
      <c r="I3501" s="17"/>
      <c r="J3501" s="10"/>
      <c r="K3501" s="46"/>
      <c r="L3501" s="10"/>
      <c r="M3501" s="20"/>
      <c r="N3501" s="20"/>
      <c r="O3501" s="20"/>
      <c r="P3501" s="20"/>
    </row>
    <row r="3502">
      <c r="A3502" s="23"/>
      <c r="B3502" s="21"/>
      <c r="C3502" s="23"/>
      <c r="D3502" s="24"/>
      <c r="E3502" s="14"/>
      <c r="F3502" s="14"/>
      <c r="G3502" s="14"/>
      <c r="H3502" s="23"/>
      <c r="I3502" s="27"/>
      <c r="J3502" s="23"/>
      <c r="K3502" s="30"/>
      <c r="L3502" s="23"/>
      <c r="M3502" s="20"/>
      <c r="N3502" s="20"/>
      <c r="O3502" s="20"/>
      <c r="P3502" s="20"/>
    </row>
    <row r="3503">
      <c r="A3503" s="10"/>
      <c r="B3503" s="11"/>
      <c r="C3503" s="10"/>
      <c r="D3503" s="13"/>
      <c r="E3503" s="14"/>
      <c r="F3503" s="14"/>
      <c r="G3503" s="14"/>
      <c r="H3503" s="10"/>
      <c r="I3503" s="17"/>
      <c r="J3503" s="10"/>
      <c r="K3503" s="46"/>
      <c r="L3503" s="10"/>
      <c r="M3503" s="20"/>
      <c r="N3503" s="20"/>
      <c r="O3503" s="20"/>
      <c r="P3503" s="20"/>
    </row>
    <row r="3504">
      <c r="A3504" s="23"/>
      <c r="B3504" s="21"/>
      <c r="C3504" s="23"/>
      <c r="D3504" s="24"/>
      <c r="E3504" s="14"/>
      <c r="F3504" s="14"/>
      <c r="G3504" s="14"/>
      <c r="H3504" s="23"/>
      <c r="I3504" s="27"/>
      <c r="J3504" s="23"/>
      <c r="K3504" s="30"/>
      <c r="L3504" s="23"/>
      <c r="M3504" s="20"/>
      <c r="N3504" s="20"/>
      <c r="O3504" s="20"/>
      <c r="P3504" s="20"/>
    </row>
    <row r="3505">
      <c r="A3505" s="10"/>
      <c r="B3505" s="11"/>
      <c r="C3505" s="10"/>
      <c r="D3505" s="13"/>
      <c r="E3505" s="14"/>
      <c r="F3505" s="14"/>
      <c r="G3505" s="14"/>
      <c r="H3505" s="10"/>
      <c r="I3505" s="17"/>
      <c r="J3505" s="10"/>
      <c r="K3505" s="46"/>
      <c r="L3505" s="10"/>
      <c r="M3505" s="20"/>
      <c r="N3505" s="20"/>
      <c r="O3505" s="20"/>
      <c r="P3505" s="20"/>
    </row>
    <row r="3506">
      <c r="A3506" s="23"/>
      <c r="B3506" s="21"/>
      <c r="C3506" s="23"/>
      <c r="D3506" s="24"/>
      <c r="E3506" s="14"/>
      <c r="F3506" s="14"/>
      <c r="G3506" s="14"/>
      <c r="H3506" s="23"/>
      <c r="I3506" s="27"/>
      <c r="J3506" s="23"/>
      <c r="K3506" s="30"/>
      <c r="L3506" s="23"/>
      <c r="M3506" s="20"/>
      <c r="N3506" s="20"/>
      <c r="O3506" s="20"/>
      <c r="P3506" s="20"/>
    </row>
    <row r="3507">
      <c r="A3507" s="10"/>
      <c r="B3507" s="11"/>
      <c r="C3507" s="10"/>
      <c r="D3507" s="13"/>
      <c r="E3507" s="14"/>
      <c r="F3507" s="14"/>
      <c r="G3507" s="14"/>
      <c r="H3507" s="10"/>
      <c r="I3507" s="17"/>
      <c r="J3507" s="10"/>
      <c r="K3507" s="46"/>
      <c r="L3507" s="10"/>
      <c r="M3507" s="20"/>
      <c r="N3507" s="20"/>
      <c r="O3507" s="20"/>
      <c r="P3507" s="20"/>
    </row>
    <row r="3508">
      <c r="A3508" s="23"/>
      <c r="B3508" s="21"/>
      <c r="C3508" s="23"/>
      <c r="D3508" s="24"/>
      <c r="E3508" s="14"/>
      <c r="F3508" s="14"/>
      <c r="G3508" s="14"/>
      <c r="H3508" s="23"/>
      <c r="I3508" s="27"/>
      <c r="J3508" s="23"/>
      <c r="K3508" s="30"/>
      <c r="L3508" s="23"/>
      <c r="M3508" s="20"/>
      <c r="N3508" s="20"/>
      <c r="O3508" s="20"/>
      <c r="P3508" s="20"/>
    </row>
    <row r="3509">
      <c r="A3509" s="10"/>
      <c r="B3509" s="11"/>
      <c r="C3509" s="10"/>
      <c r="D3509" s="13"/>
      <c r="E3509" s="14"/>
      <c r="F3509" s="14"/>
      <c r="G3509" s="14"/>
      <c r="H3509" s="10"/>
      <c r="I3509" s="17"/>
      <c r="J3509" s="10"/>
      <c r="K3509" s="46"/>
      <c r="L3509" s="10"/>
      <c r="M3509" s="20"/>
      <c r="N3509" s="20"/>
      <c r="O3509" s="20"/>
      <c r="P3509" s="20"/>
    </row>
    <row r="3510">
      <c r="A3510" s="23"/>
      <c r="B3510" s="21"/>
      <c r="C3510" s="23"/>
      <c r="D3510" s="24"/>
      <c r="E3510" s="14"/>
      <c r="F3510" s="14"/>
      <c r="G3510" s="14"/>
      <c r="H3510" s="23"/>
      <c r="I3510" s="27"/>
      <c r="J3510" s="23"/>
      <c r="K3510" s="30"/>
      <c r="L3510" s="23"/>
      <c r="M3510" s="20"/>
      <c r="N3510" s="20"/>
      <c r="O3510" s="20"/>
      <c r="P3510" s="20"/>
    </row>
    <row r="3511">
      <c r="A3511" s="10"/>
      <c r="B3511" s="11"/>
      <c r="C3511" s="10"/>
      <c r="D3511" s="13"/>
      <c r="E3511" s="14"/>
      <c r="F3511" s="14"/>
      <c r="G3511" s="14"/>
      <c r="H3511" s="10"/>
      <c r="I3511" s="17"/>
      <c r="J3511" s="10"/>
      <c r="K3511" s="46"/>
      <c r="L3511" s="10"/>
      <c r="M3511" s="20"/>
      <c r="N3511" s="20"/>
      <c r="O3511" s="20"/>
      <c r="P3511" s="20"/>
    </row>
    <row r="3512">
      <c r="A3512" s="23"/>
      <c r="B3512" s="21"/>
      <c r="C3512" s="23"/>
      <c r="D3512" s="24"/>
      <c r="E3512" s="14"/>
      <c r="F3512" s="14"/>
      <c r="G3512" s="14"/>
      <c r="H3512" s="23"/>
      <c r="I3512" s="27"/>
      <c r="J3512" s="23"/>
      <c r="K3512" s="30"/>
      <c r="L3512" s="23"/>
      <c r="M3512" s="20"/>
      <c r="N3512" s="20"/>
      <c r="O3512" s="20"/>
      <c r="P3512" s="20"/>
    </row>
    <row r="3513">
      <c r="A3513" s="10"/>
      <c r="B3513" s="11"/>
      <c r="C3513" s="10"/>
      <c r="D3513" s="13"/>
      <c r="E3513" s="14"/>
      <c r="F3513" s="14"/>
      <c r="G3513" s="14"/>
      <c r="H3513" s="10"/>
      <c r="I3513" s="17"/>
      <c r="J3513" s="10"/>
      <c r="K3513" s="46"/>
      <c r="L3513" s="10"/>
      <c r="M3513" s="20"/>
      <c r="N3513" s="20"/>
      <c r="O3513" s="20"/>
      <c r="P3513" s="20"/>
    </row>
    <row r="3514">
      <c r="A3514" s="23"/>
      <c r="B3514" s="21"/>
      <c r="C3514" s="23"/>
      <c r="D3514" s="24"/>
      <c r="E3514" s="14"/>
      <c r="F3514" s="14"/>
      <c r="G3514" s="14"/>
      <c r="H3514" s="23"/>
      <c r="I3514" s="27"/>
      <c r="J3514" s="23"/>
      <c r="K3514" s="30"/>
      <c r="L3514" s="23"/>
      <c r="M3514" s="20"/>
      <c r="N3514" s="20"/>
      <c r="O3514" s="20"/>
      <c r="P3514" s="20"/>
    </row>
    <row r="3515">
      <c r="A3515" s="10"/>
      <c r="B3515" s="11"/>
      <c r="C3515" s="10"/>
      <c r="D3515" s="13"/>
      <c r="E3515" s="14"/>
      <c r="F3515" s="14"/>
      <c r="G3515" s="14"/>
      <c r="H3515" s="10"/>
      <c r="I3515" s="17"/>
      <c r="J3515" s="10"/>
      <c r="K3515" s="46"/>
      <c r="L3515" s="10"/>
      <c r="M3515" s="20"/>
      <c r="N3515" s="20"/>
      <c r="O3515" s="20"/>
      <c r="P3515" s="20"/>
    </row>
    <row r="3516">
      <c r="A3516" s="23"/>
      <c r="B3516" s="21"/>
      <c r="C3516" s="23"/>
      <c r="D3516" s="24"/>
      <c r="E3516" s="14"/>
      <c r="F3516" s="14"/>
      <c r="G3516" s="14"/>
      <c r="H3516" s="23"/>
      <c r="I3516" s="27"/>
      <c r="J3516" s="23"/>
      <c r="K3516" s="30"/>
      <c r="L3516" s="23"/>
      <c r="M3516" s="20"/>
      <c r="N3516" s="20"/>
      <c r="O3516" s="20"/>
      <c r="P3516" s="20"/>
    </row>
    <row r="3517">
      <c r="A3517" s="10"/>
      <c r="B3517" s="11"/>
      <c r="C3517" s="10"/>
      <c r="D3517" s="13"/>
      <c r="E3517" s="14"/>
      <c r="F3517" s="14"/>
      <c r="G3517" s="14"/>
      <c r="H3517" s="10"/>
      <c r="I3517" s="17"/>
      <c r="J3517" s="10"/>
      <c r="K3517" s="46"/>
      <c r="L3517" s="10"/>
      <c r="M3517" s="20"/>
      <c r="N3517" s="20"/>
      <c r="O3517" s="20"/>
      <c r="P3517" s="20"/>
    </row>
    <row r="3518">
      <c r="A3518" s="23"/>
      <c r="B3518" s="21"/>
      <c r="C3518" s="23"/>
      <c r="D3518" s="24"/>
      <c r="E3518" s="14"/>
      <c r="F3518" s="14"/>
      <c r="G3518" s="14"/>
      <c r="H3518" s="23"/>
      <c r="I3518" s="27"/>
      <c r="J3518" s="23"/>
      <c r="K3518" s="30"/>
      <c r="L3518" s="23"/>
      <c r="M3518" s="20"/>
      <c r="N3518" s="20"/>
      <c r="O3518" s="20"/>
      <c r="P3518" s="20"/>
    </row>
    <row r="3519">
      <c r="A3519" s="10"/>
      <c r="B3519" s="11"/>
      <c r="C3519" s="10"/>
      <c r="D3519" s="13"/>
      <c r="E3519" s="14"/>
      <c r="F3519" s="14"/>
      <c r="G3519" s="14"/>
      <c r="H3519" s="10"/>
      <c r="I3519" s="17"/>
      <c r="J3519" s="10"/>
      <c r="K3519" s="46"/>
      <c r="L3519" s="10"/>
      <c r="M3519" s="20"/>
      <c r="N3519" s="20"/>
      <c r="O3519" s="20"/>
      <c r="P3519" s="20"/>
    </row>
    <row r="3520">
      <c r="A3520" s="23"/>
      <c r="B3520" s="21"/>
      <c r="C3520" s="23"/>
      <c r="D3520" s="24"/>
      <c r="E3520" s="14"/>
      <c r="F3520" s="14"/>
      <c r="G3520" s="14"/>
      <c r="H3520" s="23"/>
      <c r="I3520" s="27"/>
      <c r="J3520" s="23"/>
      <c r="K3520" s="30"/>
      <c r="L3520" s="23"/>
      <c r="M3520" s="20"/>
      <c r="N3520" s="20"/>
      <c r="O3520" s="20"/>
      <c r="P3520" s="20"/>
    </row>
    <row r="3521">
      <c r="A3521" s="10"/>
      <c r="B3521" s="11"/>
      <c r="C3521" s="10"/>
      <c r="D3521" s="13"/>
      <c r="E3521" s="14"/>
      <c r="F3521" s="14"/>
      <c r="G3521" s="14"/>
      <c r="H3521" s="10"/>
      <c r="I3521" s="17"/>
      <c r="J3521" s="10"/>
      <c r="K3521" s="46"/>
      <c r="L3521" s="10"/>
      <c r="M3521" s="20"/>
      <c r="N3521" s="20"/>
      <c r="O3521" s="20"/>
      <c r="P3521" s="20"/>
    </row>
    <row r="3522">
      <c r="A3522" s="23"/>
      <c r="B3522" s="21"/>
      <c r="C3522" s="23"/>
      <c r="D3522" s="24"/>
      <c r="E3522" s="14"/>
      <c r="F3522" s="14"/>
      <c r="G3522" s="14"/>
      <c r="H3522" s="23"/>
      <c r="I3522" s="27"/>
      <c r="J3522" s="23"/>
      <c r="K3522" s="30"/>
      <c r="L3522" s="23"/>
      <c r="M3522" s="20"/>
      <c r="N3522" s="20"/>
      <c r="O3522" s="20"/>
      <c r="P3522" s="20"/>
    </row>
    <row r="3523">
      <c r="A3523" s="10"/>
      <c r="B3523" s="11"/>
      <c r="C3523" s="10"/>
      <c r="D3523" s="13"/>
      <c r="E3523" s="14"/>
      <c r="F3523" s="14"/>
      <c r="G3523" s="14"/>
      <c r="H3523" s="10"/>
      <c r="I3523" s="17"/>
      <c r="J3523" s="10"/>
      <c r="K3523" s="46"/>
      <c r="L3523" s="10"/>
      <c r="M3523" s="20"/>
      <c r="N3523" s="20"/>
      <c r="O3523" s="20"/>
      <c r="P3523" s="20"/>
    </row>
    <row r="3524">
      <c r="A3524" s="23"/>
      <c r="B3524" s="21"/>
      <c r="C3524" s="23"/>
      <c r="D3524" s="24"/>
      <c r="E3524" s="14"/>
      <c r="F3524" s="14"/>
      <c r="G3524" s="14"/>
      <c r="H3524" s="23"/>
      <c r="I3524" s="27"/>
      <c r="J3524" s="23"/>
      <c r="K3524" s="30"/>
      <c r="L3524" s="23"/>
      <c r="M3524" s="20"/>
      <c r="N3524" s="20"/>
      <c r="O3524" s="20"/>
      <c r="P3524" s="20"/>
    </row>
    <row r="3525">
      <c r="A3525" s="10"/>
      <c r="B3525" s="11"/>
      <c r="C3525" s="10"/>
      <c r="D3525" s="13"/>
      <c r="E3525" s="14"/>
      <c r="F3525" s="14"/>
      <c r="G3525" s="14"/>
      <c r="H3525" s="10"/>
      <c r="I3525" s="17"/>
      <c r="J3525" s="10"/>
      <c r="K3525" s="46"/>
      <c r="L3525" s="10"/>
      <c r="M3525" s="20"/>
      <c r="N3525" s="20"/>
      <c r="O3525" s="20"/>
      <c r="P3525" s="20"/>
    </row>
    <row r="3526">
      <c r="A3526" s="23"/>
      <c r="B3526" s="21"/>
      <c r="C3526" s="23"/>
      <c r="D3526" s="24"/>
      <c r="E3526" s="14"/>
      <c r="F3526" s="14"/>
      <c r="G3526" s="14"/>
      <c r="H3526" s="23"/>
      <c r="I3526" s="27"/>
      <c r="J3526" s="23"/>
      <c r="K3526" s="30"/>
      <c r="L3526" s="23"/>
      <c r="M3526" s="20"/>
      <c r="N3526" s="20"/>
      <c r="O3526" s="20"/>
      <c r="P3526" s="20"/>
    </row>
    <row r="3527">
      <c r="A3527" s="10"/>
      <c r="B3527" s="11"/>
      <c r="C3527" s="10"/>
      <c r="D3527" s="13"/>
      <c r="E3527" s="14"/>
      <c r="F3527" s="14"/>
      <c r="G3527" s="14"/>
      <c r="H3527" s="10"/>
      <c r="I3527" s="17"/>
      <c r="J3527" s="10"/>
      <c r="K3527" s="46"/>
      <c r="L3527" s="10"/>
      <c r="M3527" s="20"/>
      <c r="N3527" s="20"/>
      <c r="O3527" s="20"/>
      <c r="P3527" s="20"/>
    </row>
    <row r="3528">
      <c r="A3528" s="23"/>
      <c r="B3528" s="21"/>
      <c r="C3528" s="23"/>
      <c r="D3528" s="24"/>
      <c r="E3528" s="14"/>
      <c r="F3528" s="14"/>
      <c r="G3528" s="14"/>
      <c r="H3528" s="23"/>
      <c r="I3528" s="27"/>
      <c r="J3528" s="23"/>
      <c r="K3528" s="30"/>
      <c r="L3528" s="23"/>
      <c r="M3528" s="20"/>
      <c r="N3528" s="20"/>
      <c r="O3528" s="20"/>
      <c r="P3528" s="20"/>
    </row>
    <row r="3529">
      <c r="A3529" s="10"/>
      <c r="B3529" s="11"/>
      <c r="C3529" s="10"/>
      <c r="D3529" s="13"/>
      <c r="E3529" s="14"/>
      <c r="F3529" s="14"/>
      <c r="G3529" s="14"/>
      <c r="H3529" s="10"/>
      <c r="I3529" s="17"/>
      <c r="J3529" s="10"/>
      <c r="K3529" s="46"/>
      <c r="L3529" s="10"/>
      <c r="M3529" s="20"/>
      <c r="N3529" s="20"/>
      <c r="O3529" s="20"/>
      <c r="P3529" s="20"/>
    </row>
    <row r="3530">
      <c r="A3530" s="23"/>
      <c r="B3530" s="21"/>
      <c r="C3530" s="23"/>
      <c r="D3530" s="24"/>
      <c r="E3530" s="14"/>
      <c r="F3530" s="14"/>
      <c r="G3530" s="14"/>
      <c r="H3530" s="23"/>
      <c r="I3530" s="27"/>
      <c r="J3530" s="23"/>
      <c r="K3530" s="30"/>
      <c r="L3530" s="23"/>
      <c r="M3530" s="20"/>
      <c r="N3530" s="20"/>
      <c r="O3530" s="20"/>
      <c r="P3530" s="20"/>
    </row>
    <row r="3531">
      <c r="A3531" s="10"/>
      <c r="B3531" s="11"/>
      <c r="C3531" s="10"/>
      <c r="D3531" s="13"/>
      <c r="E3531" s="14"/>
      <c r="F3531" s="14"/>
      <c r="G3531" s="14"/>
      <c r="H3531" s="10"/>
      <c r="I3531" s="17"/>
      <c r="J3531" s="10"/>
      <c r="K3531" s="46"/>
      <c r="L3531" s="10"/>
      <c r="M3531" s="20"/>
      <c r="N3531" s="20"/>
      <c r="O3531" s="20"/>
      <c r="P3531" s="20"/>
    </row>
    <row r="3532">
      <c r="A3532" s="23"/>
      <c r="B3532" s="21"/>
      <c r="C3532" s="23"/>
      <c r="D3532" s="24"/>
      <c r="E3532" s="14"/>
      <c r="F3532" s="14"/>
      <c r="G3532" s="14"/>
      <c r="H3532" s="23"/>
      <c r="I3532" s="27"/>
      <c r="J3532" s="23"/>
      <c r="K3532" s="30"/>
      <c r="L3532" s="23"/>
      <c r="M3532" s="20"/>
      <c r="N3532" s="20"/>
      <c r="O3532" s="20"/>
      <c r="P3532" s="20"/>
    </row>
    <row r="3533">
      <c r="A3533" s="10"/>
      <c r="B3533" s="11"/>
      <c r="C3533" s="10"/>
      <c r="D3533" s="13"/>
      <c r="E3533" s="14"/>
      <c r="F3533" s="14"/>
      <c r="G3533" s="14"/>
      <c r="H3533" s="10"/>
      <c r="I3533" s="17"/>
      <c r="J3533" s="10"/>
      <c r="K3533" s="46"/>
      <c r="L3533" s="10"/>
      <c r="M3533" s="20"/>
      <c r="N3533" s="20"/>
      <c r="O3533" s="20"/>
      <c r="P3533" s="20"/>
    </row>
    <row r="3534">
      <c r="A3534" s="23"/>
      <c r="B3534" s="21"/>
      <c r="C3534" s="23"/>
      <c r="D3534" s="24"/>
      <c r="E3534" s="14"/>
      <c r="F3534" s="14"/>
      <c r="G3534" s="14"/>
      <c r="H3534" s="23"/>
      <c r="I3534" s="27"/>
      <c r="J3534" s="23"/>
      <c r="K3534" s="30"/>
      <c r="L3534" s="23"/>
      <c r="M3534" s="20"/>
      <c r="N3534" s="20"/>
      <c r="O3534" s="20"/>
      <c r="P3534" s="20"/>
    </row>
    <row r="3535">
      <c r="A3535" s="10"/>
      <c r="B3535" s="11"/>
      <c r="C3535" s="10"/>
      <c r="D3535" s="13"/>
      <c r="E3535" s="14"/>
      <c r="F3535" s="14"/>
      <c r="G3535" s="14"/>
      <c r="H3535" s="10"/>
      <c r="I3535" s="17"/>
      <c r="J3535" s="10"/>
      <c r="K3535" s="46"/>
      <c r="L3535" s="10"/>
      <c r="M3535" s="20"/>
      <c r="N3535" s="20"/>
      <c r="O3535" s="20"/>
      <c r="P3535" s="20"/>
    </row>
    <row r="3536">
      <c r="A3536" s="23"/>
      <c r="B3536" s="21"/>
      <c r="C3536" s="23"/>
      <c r="D3536" s="24"/>
      <c r="E3536" s="14"/>
      <c r="F3536" s="14"/>
      <c r="G3536" s="14"/>
      <c r="H3536" s="23"/>
      <c r="I3536" s="27"/>
      <c r="J3536" s="23"/>
      <c r="K3536" s="30"/>
      <c r="L3536" s="23"/>
      <c r="M3536" s="20"/>
      <c r="N3536" s="20"/>
      <c r="O3536" s="20"/>
      <c r="P3536" s="20"/>
    </row>
    <row r="3537">
      <c r="A3537" s="10"/>
      <c r="B3537" s="11"/>
      <c r="C3537" s="10"/>
      <c r="D3537" s="13"/>
      <c r="E3537" s="14"/>
      <c r="F3537" s="14"/>
      <c r="G3537" s="14"/>
      <c r="H3537" s="10"/>
      <c r="I3537" s="17"/>
      <c r="J3537" s="10"/>
      <c r="K3537" s="46"/>
      <c r="L3537" s="10"/>
      <c r="M3537" s="20"/>
      <c r="N3537" s="20"/>
      <c r="O3537" s="20"/>
      <c r="P3537" s="20"/>
    </row>
    <row r="3538">
      <c r="A3538" s="23"/>
      <c r="B3538" s="21"/>
      <c r="C3538" s="23"/>
      <c r="D3538" s="24"/>
      <c r="E3538" s="14"/>
      <c r="F3538" s="14"/>
      <c r="G3538" s="14"/>
      <c r="H3538" s="23"/>
      <c r="I3538" s="27"/>
      <c r="J3538" s="23"/>
      <c r="K3538" s="30"/>
      <c r="L3538" s="23"/>
      <c r="M3538" s="20"/>
      <c r="N3538" s="20"/>
      <c r="O3538" s="20"/>
      <c r="P3538" s="20"/>
    </row>
    <row r="3539">
      <c r="A3539" s="10"/>
      <c r="B3539" s="11"/>
      <c r="C3539" s="10"/>
      <c r="D3539" s="13"/>
      <c r="E3539" s="14"/>
      <c r="F3539" s="14"/>
      <c r="G3539" s="14"/>
      <c r="H3539" s="10"/>
      <c r="I3539" s="17"/>
      <c r="J3539" s="10"/>
      <c r="K3539" s="46"/>
      <c r="L3539" s="10"/>
      <c r="M3539" s="20"/>
      <c r="N3539" s="20"/>
      <c r="O3539" s="20"/>
      <c r="P3539" s="20"/>
    </row>
    <row r="3540">
      <c r="A3540" s="23"/>
      <c r="B3540" s="21"/>
      <c r="C3540" s="23"/>
      <c r="D3540" s="24"/>
      <c r="E3540" s="14"/>
      <c r="F3540" s="14"/>
      <c r="G3540" s="14"/>
      <c r="H3540" s="23"/>
      <c r="I3540" s="27"/>
      <c r="J3540" s="23"/>
      <c r="K3540" s="30"/>
      <c r="L3540" s="23"/>
      <c r="M3540" s="20"/>
      <c r="N3540" s="20"/>
      <c r="O3540" s="20"/>
      <c r="P3540" s="20"/>
    </row>
    <row r="3541">
      <c r="A3541" s="10"/>
      <c r="B3541" s="11"/>
      <c r="C3541" s="10"/>
      <c r="D3541" s="13"/>
      <c r="E3541" s="14"/>
      <c r="F3541" s="14"/>
      <c r="G3541" s="14"/>
      <c r="H3541" s="10"/>
      <c r="I3541" s="17"/>
      <c r="J3541" s="10"/>
      <c r="K3541" s="46"/>
      <c r="L3541" s="10"/>
      <c r="M3541" s="20"/>
      <c r="N3541" s="20"/>
      <c r="O3541" s="20"/>
      <c r="P3541" s="20"/>
    </row>
    <row r="3542">
      <c r="A3542" s="23"/>
      <c r="B3542" s="21"/>
      <c r="C3542" s="23"/>
      <c r="D3542" s="24"/>
      <c r="E3542" s="14"/>
      <c r="F3542" s="14"/>
      <c r="G3542" s="14"/>
      <c r="H3542" s="23"/>
      <c r="I3542" s="27"/>
      <c r="J3542" s="23"/>
      <c r="K3542" s="30"/>
      <c r="L3542" s="23"/>
      <c r="M3542" s="20"/>
      <c r="N3542" s="20"/>
      <c r="O3542" s="20"/>
      <c r="P3542" s="20"/>
    </row>
    <row r="3543">
      <c r="A3543" s="10"/>
      <c r="B3543" s="11"/>
      <c r="C3543" s="10"/>
      <c r="D3543" s="13"/>
      <c r="E3543" s="14"/>
      <c r="F3543" s="14"/>
      <c r="G3543" s="14"/>
      <c r="H3543" s="10"/>
      <c r="I3543" s="17"/>
      <c r="J3543" s="10"/>
      <c r="K3543" s="46"/>
      <c r="L3543" s="10"/>
      <c r="M3543" s="20"/>
      <c r="N3543" s="20"/>
      <c r="O3543" s="20"/>
      <c r="P3543" s="20"/>
    </row>
    <row r="3544">
      <c r="A3544" s="23"/>
      <c r="B3544" s="21"/>
      <c r="C3544" s="23"/>
      <c r="D3544" s="24"/>
      <c r="E3544" s="14"/>
      <c r="F3544" s="14"/>
      <c r="G3544" s="14"/>
      <c r="H3544" s="23"/>
      <c r="I3544" s="27"/>
      <c r="J3544" s="23"/>
      <c r="K3544" s="30"/>
      <c r="L3544" s="23"/>
      <c r="M3544" s="20"/>
      <c r="N3544" s="20"/>
      <c r="O3544" s="20"/>
      <c r="P3544" s="20"/>
    </row>
    <row r="3545">
      <c r="A3545" s="10"/>
      <c r="B3545" s="11"/>
      <c r="C3545" s="10"/>
      <c r="D3545" s="13"/>
      <c r="E3545" s="14"/>
      <c r="F3545" s="14"/>
      <c r="G3545" s="14"/>
      <c r="H3545" s="10"/>
      <c r="I3545" s="17"/>
      <c r="J3545" s="10"/>
      <c r="K3545" s="46"/>
      <c r="L3545" s="10"/>
      <c r="M3545" s="20"/>
      <c r="N3545" s="20"/>
      <c r="O3545" s="20"/>
      <c r="P3545" s="20"/>
    </row>
    <row r="3546">
      <c r="A3546" s="23"/>
      <c r="B3546" s="21"/>
      <c r="C3546" s="23"/>
      <c r="D3546" s="24"/>
      <c r="E3546" s="14"/>
      <c r="F3546" s="14"/>
      <c r="G3546" s="14"/>
      <c r="H3546" s="23"/>
      <c r="I3546" s="27"/>
      <c r="J3546" s="23"/>
      <c r="K3546" s="30"/>
      <c r="L3546" s="23"/>
      <c r="M3546" s="20"/>
      <c r="N3546" s="20"/>
      <c r="O3546" s="20"/>
      <c r="P3546" s="20"/>
    </row>
    <row r="3547">
      <c r="A3547" s="10"/>
      <c r="B3547" s="11"/>
      <c r="C3547" s="10"/>
      <c r="D3547" s="13"/>
      <c r="E3547" s="14"/>
      <c r="F3547" s="14"/>
      <c r="G3547" s="14"/>
      <c r="H3547" s="10"/>
      <c r="I3547" s="17"/>
      <c r="J3547" s="10"/>
      <c r="K3547" s="46"/>
      <c r="L3547" s="10"/>
      <c r="M3547" s="20"/>
      <c r="N3547" s="20"/>
      <c r="O3547" s="20"/>
      <c r="P3547" s="20"/>
    </row>
    <row r="3548">
      <c r="A3548" s="23"/>
      <c r="B3548" s="21"/>
      <c r="C3548" s="23"/>
      <c r="D3548" s="24"/>
      <c r="E3548" s="14"/>
      <c r="F3548" s="14"/>
      <c r="G3548" s="14"/>
      <c r="H3548" s="23"/>
      <c r="I3548" s="27"/>
      <c r="J3548" s="23"/>
      <c r="K3548" s="30"/>
      <c r="L3548" s="23"/>
      <c r="M3548" s="20"/>
      <c r="N3548" s="20"/>
      <c r="O3548" s="20"/>
      <c r="P3548" s="20"/>
    </row>
    <row r="3549">
      <c r="A3549" s="10"/>
      <c r="B3549" s="11"/>
      <c r="C3549" s="10"/>
      <c r="D3549" s="13"/>
      <c r="E3549" s="14"/>
      <c r="F3549" s="14"/>
      <c r="G3549" s="14"/>
      <c r="H3549" s="10"/>
      <c r="I3549" s="17"/>
      <c r="J3549" s="10"/>
      <c r="K3549" s="46"/>
      <c r="L3549" s="10"/>
      <c r="M3549" s="20"/>
      <c r="N3549" s="20"/>
      <c r="O3549" s="20"/>
      <c r="P3549" s="20"/>
    </row>
    <row r="3550">
      <c r="A3550" s="23"/>
      <c r="B3550" s="21"/>
      <c r="C3550" s="23"/>
      <c r="D3550" s="24"/>
      <c r="E3550" s="14"/>
      <c r="F3550" s="14"/>
      <c r="G3550" s="14"/>
      <c r="H3550" s="23"/>
      <c r="I3550" s="27"/>
      <c r="J3550" s="23"/>
      <c r="K3550" s="30"/>
      <c r="L3550" s="23"/>
      <c r="M3550" s="20"/>
      <c r="N3550" s="20"/>
      <c r="O3550" s="20"/>
      <c r="P3550" s="20"/>
    </row>
    <row r="3551">
      <c r="A3551" s="10"/>
      <c r="B3551" s="11"/>
      <c r="C3551" s="10"/>
      <c r="D3551" s="13"/>
      <c r="E3551" s="14"/>
      <c r="F3551" s="14"/>
      <c r="G3551" s="14"/>
      <c r="H3551" s="10"/>
      <c r="I3551" s="17"/>
      <c r="J3551" s="10"/>
      <c r="K3551" s="46"/>
      <c r="L3551" s="10"/>
      <c r="M3551" s="20"/>
      <c r="N3551" s="20"/>
      <c r="O3551" s="20"/>
      <c r="P3551" s="20"/>
    </row>
    <row r="3552">
      <c r="A3552" s="23"/>
      <c r="B3552" s="21"/>
      <c r="C3552" s="23"/>
      <c r="D3552" s="24"/>
      <c r="E3552" s="14"/>
      <c r="F3552" s="14"/>
      <c r="G3552" s="14"/>
      <c r="H3552" s="23"/>
      <c r="I3552" s="27"/>
      <c r="J3552" s="23"/>
      <c r="K3552" s="30"/>
      <c r="L3552" s="23"/>
      <c r="M3552" s="20"/>
      <c r="N3552" s="20"/>
      <c r="O3552" s="20"/>
      <c r="P3552" s="20"/>
    </row>
    <row r="3553">
      <c r="A3553" s="10"/>
      <c r="B3553" s="11"/>
      <c r="C3553" s="10"/>
      <c r="D3553" s="13"/>
      <c r="E3553" s="14"/>
      <c r="F3553" s="14"/>
      <c r="G3553" s="14"/>
      <c r="H3553" s="10"/>
      <c r="I3553" s="17"/>
      <c r="J3553" s="10"/>
      <c r="K3553" s="46"/>
      <c r="L3553" s="10"/>
      <c r="M3553" s="20"/>
      <c r="N3553" s="20"/>
      <c r="O3553" s="20"/>
      <c r="P3553" s="20"/>
    </row>
    <row r="3554">
      <c r="A3554" s="23"/>
      <c r="B3554" s="21"/>
      <c r="C3554" s="23"/>
      <c r="D3554" s="24"/>
      <c r="E3554" s="14"/>
      <c r="F3554" s="14"/>
      <c r="G3554" s="14"/>
      <c r="H3554" s="23"/>
      <c r="I3554" s="27"/>
      <c r="J3554" s="23"/>
      <c r="K3554" s="30"/>
      <c r="L3554" s="23"/>
      <c r="M3554" s="20"/>
      <c r="N3554" s="20"/>
      <c r="O3554" s="20"/>
      <c r="P3554" s="20"/>
    </row>
    <row r="3555">
      <c r="A3555" s="10"/>
      <c r="B3555" s="11"/>
      <c r="C3555" s="10"/>
      <c r="D3555" s="13"/>
      <c r="E3555" s="14"/>
      <c r="F3555" s="14"/>
      <c r="G3555" s="14"/>
      <c r="H3555" s="10"/>
      <c r="I3555" s="17"/>
      <c r="J3555" s="10"/>
      <c r="K3555" s="46"/>
      <c r="L3555" s="10"/>
      <c r="M3555" s="20"/>
      <c r="N3555" s="20"/>
      <c r="O3555" s="20"/>
      <c r="P3555" s="20"/>
    </row>
    <row r="3556">
      <c r="A3556" s="23"/>
      <c r="B3556" s="21"/>
      <c r="C3556" s="23"/>
      <c r="D3556" s="24"/>
      <c r="E3556" s="14"/>
      <c r="F3556" s="14"/>
      <c r="G3556" s="14"/>
      <c r="H3556" s="23"/>
      <c r="I3556" s="27"/>
      <c r="J3556" s="23"/>
      <c r="K3556" s="30"/>
      <c r="L3556" s="23"/>
      <c r="M3556" s="20"/>
      <c r="N3556" s="20"/>
      <c r="O3556" s="20"/>
      <c r="P3556" s="20"/>
    </row>
    <row r="3557">
      <c r="A3557" s="10"/>
      <c r="B3557" s="11"/>
      <c r="C3557" s="10"/>
      <c r="D3557" s="13"/>
      <c r="E3557" s="14"/>
      <c r="F3557" s="14"/>
      <c r="G3557" s="14"/>
      <c r="H3557" s="10"/>
      <c r="I3557" s="17"/>
      <c r="J3557" s="10"/>
      <c r="K3557" s="46"/>
      <c r="L3557" s="10"/>
      <c r="M3557" s="20"/>
      <c r="N3557" s="20"/>
      <c r="O3557" s="20"/>
      <c r="P3557" s="20"/>
    </row>
    <row r="3558">
      <c r="A3558" s="23"/>
      <c r="B3558" s="21"/>
      <c r="C3558" s="23"/>
      <c r="D3558" s="24"/>
      <c r="E3558" s="14"/>
      <c r="F3558" s="14"/>
      <c r="G3558" s="14"/>
      <c r="H3558" s="23"/>
      <c r="I3558" s="27"/>
      <c r="J3558" s="23"/>
      <c r="K3558" s="30"/>
      <c r="L3558" s="23"/>
      <c r="M3558" s="20"/>
      <c r="N3558" s="20"/>
      <c r="O3558" s="20"/>
      <c r="P3558" s="20"/>
    </row>
    <row r="3559">
      <c r="A3559" s="10"/>
      <c r="B3559" s="11"/>
      <c r="C3559" s="10"/>
      <c r="D3559" s="13"/>
      <c r="E3559" s="14"/>
      <c r="F3559" s="14"/>
      <c r="G3559" s="14"/>
      <c r="H3559" s="10"/>
      <c r="I3559" s="17"/>
      <c r="J3559" s="10"/>
      <c r="K3559" s="46"/>
      <c r="L3559" s="10"/>
      <c r="M3559" s="20"/>
      <c r="N3559" s="20"/>
      <c r="O3559" s="20"/>
      <c r="P3559" s="20"/>
    </row>
    <row r="3560">
      <c r="A3560" s="23"/>
      <c r="B3560" s="21"/>
      <c r="C3560" s="23"/>
      <c r="D3560" s="24"/>
      <c r="E3560" s="14"/>
      <c r="F3560" s="14"/>
      <c r="G3560" s="14"/>
      <c r="H3560" s="23"/>
      <c r="I3560" s="27"/>
      <c r="J3560" s="23"/>
      <c r="K3560" s="30"/>
      <c r="L3560" s="23"/>
      <c r="M3560" s="20"/>
      <c r="N3560" s="20"/>
      <c r="O3560" s="20"/>
      <c r="P3560" s="20"/>
    </row>
    <row r="3561">
      <c r="A3561" s="10"/>
      <c r="B3561" s="11"/>
      <c r="C3561" s="10"/>
      <c r="D3561" s="13"/>
      <c r="E3561" s="14"/>
      <c r="F3561" s="14"/>
      <c r="G3561" s="14"/>
      <c r="H3561" s="10"/>
      <c r="I3561" s="17"/>
      <c r="J3561" s="10"/>
      <c r="K3561" s="46"/>
      <c r="L3561" s="10"/>
      <c r="M3561" s="20"/>
      <c r="N3561" s="20"/>
      <c r="O3561" s="20"/>
      <c r="P3561" s="20"/>
    </row>
    <row r="3562">
      <c r="A3562" s="23"/>
      <c r="B3562" s="21"/>
      <c r="C3562" s="23"/>
      <c r="D3562" s="24"/>
      <c r="E3562" s="14"/>
      <c r="F3562" s="14"/>
      <c r="G3562" s="14"/>
      <c r="H3562" s="23"/>
      <c r="I3562" s="27"/>
      <c r="J3562" s="23"/>
      <c r="K3562" s="30"/>
      <c r="L3562" s="23"/>
      <c r="M3562" s="20"/>
      <c r="N3562" s="20"/>
      <c r="O3562" s="20"/>
      <c r="P3562" s="20"/>
    </row>
    <row r="3563">
      <c r="A3563" s="10"/>
      <c r="B3563" s="11"/>
      <c r="C3563" s="10"/>
      <c r="D3563" s="13"/>
      <c r="E3563" s="14"/>
      <c r="F3563" s="14"/>
      <c r="G3563" s="14"/>
      <c r="H3563" s="10"/>
      <c r="I3563" s="17"/>
      <c r="J3563" s="10"/>
      <c r="K3563" s="46"/>
      <c r="L3563" s="10"/>
      <c r="M3563" s="20"/>
      <c r="N3563" s="20"/>
      <c r="O3563" s="20"/>
      <c r="P3563" s="20"/>
    </row>
    <row r="3564">
      <c r="A3564" s="23"/>
      <c r="B3564" s="21"/>
      <c r="C3564" s="23"/>
      <c r="D3564" s="24"/>
      <c r="E3564" s="14"/>
      <c r="F3564" s="14"/>
      <c r="G3564" s="14"/>
      <c r="H3564" s="23"/>
      <c r="I3564" s="27"/>
      <c r="J3564" s="23"/>
      <c r="K3564" s="30"/>
      <c r="L3564" s="23"/>
      <c r="M3564" s="20"/>
      <c r="N3564" s="20"/>
      <c r="O3564" s="20"/>
      <c r="P3564" s="20"/>
    </row>
    <row r="3565">
      <c r="A3565" s="10"/>
      <c r="B3565" s="11"/>
      <c r="C3565" s="10"/>
      <c r="D3565" s="13"/>
      <c r="E3565" s="14"/>
      <c r="F3565" s="14"/>
      <c r="G3565" s="14"/>
      <c r="H3565" s="10"/>
      <c r="I3565" s="17"/>
      <c r="J3565" s="10"/>
      <c r="K3565" s="46"/>
      <c r="L3565" s="10"/>
      <c r="M3565" s="20"/>
      <c r="N3565" s="20"/>
      <c r="O3565" s="20"/>
      <c r="P3565" s="20"/>
    </row>
    <row r="3566">
      <c r="A3566" s="23"/>
      <c r="B3566" s="21"/>
      <c r="C3566" s="23"/>
      <c r="D3566" s="24"/>
      <c r="E3566" s="14"/>
      <c r="F3566" s="14"/>
      <c r="G3566" s="14"/>
      <c r="H3566" s="23"/>
      <c r="I3566" s="27"/>
      <c r="J3566" s="23"/>
      <c r="K3566" s="30"/>
      <c r="L3566" s="23"/>
      <c r="M3566" s="20"/>
      <c r="N3566" s="20"/>
      <c r="O3566" s="20"/>
      <c r="P3566" s="20"/>
    </row>
    <row r="3567">
      <c r="A3567" s="10"/>
      <c r="B3567" s="11"/>
      <c r="C3567" s="10"/>
      <c r="D3567" s="13"/>
      <c r="E3567" s="14"/>
      <c r="F3567" s="14"/>
      <c r="G3567" s="14"/>
      <c r="H3567" s="10"/>
      <c r="I3567" s="17"/>
      <c r="J3567" s="10"/>
      <c r="K3567" s="46"/>
      <c r="L3567" s="10"/>
      <c r="M3567" s="20"/>
      <c r="N3567" s="20"/>
      <c r="O3567" s="20"/>
      <c r="P3567" s="20"/>
    </row>
    <row r="3568">
      <c r="A3568" s="23"/>
      <c r="B3568" s="21"/>
      <c r="C3568" s="23"/>
      <c r="D3568" s="24"/>
      <c r="E3568" s="14"/>
      <c r="F3568" s="14"/>
      <c r="G3568" s="14"/>
      <c r="H3568" s="23"/>
      <c r="I3568" s="27"/>
      <c r="J3568" s="23"/>
      <c r="K3568" s="30"/>
      <c r="L3568" s="23"/>
      <c r="M3568" s="20"/>
      <c r="N3568" s="20"/>
      <c r="O3568" s="20"/>
      <c r="P3568" s="20"/>
    </row>
    <row r="3569">
      <c r="A3569" s="10"/>
      <c r="B3569" s="11"/>
      <c r="C3569" s="10"/>
      <c r="D3569" s="13"/>
      <c r="E3569" s="14"/>
      <c r="F3569" s="14"/>
      <c r="G3569" s="14"/>
      <c r="H3569" s="10"/>
      <c r="I3569" s="17"/>
      <c r="J3569" s="10"/>
      <c r="K3569" s="46"/>
      <c r="L3569" s="10"/>
      <c r="M3569" s="20"/>
      <c r="N3569" s="20"/>
      <c r="O3569" s="20"/>
      <c r="P3569" s="20"/>
    </row>
    <row r="3570">
      <c r="A3570" s="23"/>
      <c r="B3570" s="21"/>
      <c r="C3570" s="23"/>
      <c r="D3570" s="24"/>
      <c r="E3570" s="14"/>
      <c r="F3570" s="14"/>
      <c r="G3570" s="14"/>
      <c r="H3570" s="23"/>
      <c r="I3570" s="27"/>
      <c r="J3570" s="23"/>
      <c r="K3570" s="30"/>
      <c r="L3570" s="23"/>
      <c r="M3570" s="20"/>
      <c r="N3570" s="20"/>
      <c r="O3570" s="20"/>
      <c r="P3570" s="20"/>
    </row>
    <row r="3571">
      <c r="A3571" s="10"/>
      <c r="B3571" s="11"/>
      <c r="C3571" s="10"/>
      <c r="D3571" s="13"/>
      <c r="E3571" s="14"/>
      <c r="F3571" s="14"/>
      <c r="G3571" s="14"/>
      <c r="H3571" s="10"/>
      <c r="I3571" s="17"/>
      <c r="J3571" s="10"/>
      <c r="K3571" s="46"/>
      <c r="L3571" s="10"/>
      <c r="M3571" s="20"/>
      <c r="N3571" s="20"/>
      <c r="O3571" s="20"/>
      <c r="P3571" s="20"/>
    </row>
    <row r="3572">
      <c r="A3572" s="23"/>
      <c r="B3572" s="21"/>
      <c r="C3572" s="23"/>
      <c r="D3572" s="24"/>
      <c r="E3572" s="14"/>
      <c r="F3572" s="14"/>
      <c r="G3572" s="14"/>
      <c r="H3572" s="23"/>
      <c r="I3572" s="27"/>
      <c r="J3572" s="23"/>
      <c r="K3572" s="30"/>
      <c r="L3572" s="23"/>
      <c r="M3572" s="20"/>
      <c r="N3572" s="20"/>
      <c r="O3572" s="20"/>
      <c r="P3572" s="20"/>
    </row>
    <row r="3573">
      <c r="A3573" s="10"/>
      <c r="B3573" s="11"/>
      <c r="C3573" s="10"/>
      <c r="D3573" s="13"/>
      <c r="E3573" s="14"/>
      <c r="F3573" s="14"/>
      <c r="G3573" s="14"/>
      <c r="H3573" s="10"/>
      <c r="I3573" s="17"/>
      <c r="J3573" s="10"/>
      <c r="K3573" s="46"/>
      <c r="L3573" s="10"/>
      <c r="M3573" s="20"/>
      <c r="N3573" s="20"/>
      <c r="O3573" s="20"/>
      <c r="P3573" s="20"/>
    </row>
    <row r="3574">
      <c r="A3574" s="23"/>
      <c r="B3574" s="21"/>
      <c r="C3574" s="23"/>
      <c r="D3574" s="24"/>
      <c r="E3574" s="14"/>
      <c r="F3574" s="14"/>
      <c r="G3574" s="14"/>
      <c r="H3574" s="23"/>
      <c r="I3574" s="27"/>
      <c r="J3574" s="23"/>
      <c r="K3574" s="30"/>
      <c r="L3574" s="23"/>
      <c r="M3574" s="20"/>
      <c r="N3574" s="20"/>
      <c r="O3574" s="20"/>
      <c r="P3574" s="20"/>
    </row>
    <row r="3575">
      <c r="A3575" s="10"/>
      <c r="B3575" s="11"/>
      <c r="C3575" s="10"/>
      <c r="D3575" s="13"/>
      <c r="E3575" s="14"/>
      <c r="F3575" s="14"/>
      <c r="G3575" s="14"/>
      <c r="H3575" s="10"/>
      <c r="I3575" s="17"/>
      <c r="J3575" s="10"/>
      <c r="K3575" s="46"/>
      <c r="L3575" s="10"/>
      <c r="M3575" s="20"/>
      <c r="N3575" s="20"/>
      <c r="O3575" s="20"/>
      <c r="P3575" s="20"/>
    </row>
    <row r="3576">
      <c r="A3576" s="23"/>
      <c r="B3576" s="21"/>
      <c r="C3576" s="23"/>
      <c r="D3576" s="24"/>
      <c r="E3576" s="14"/>
      <c r="F3576" s="14"/>
      <c r="G3576" s="14"/>
      <c r="H3576" s="23"/>
      <c r="I3576" s="27"/>
      <c r="J3576" s="23"/>
      <c r="K3576" s="30"/>
      <c r="L3576" s="23"/>
      <c r="M3576" s="20"/>
      <c r="N3576" s="20"/>
      <c r="O3576" s="20"/>
      <c r="P3576" s="20"/>
    </row>
    <row r="3577">
      <c r="A3577" s="10"/>
      <c r="B3577" s="11"/>
      <c r="C3577" s="10"/>
      <c r="D3577" s="13"/>
      <c r="E3577" s="14"/>
      <c r="F3577" s="14"/>
      <c r="G3577" s="14"/>
      <c r="H3577" s="10"/>
      <c r="I3577" s="17"/>
      <c r="J3577" s="10"/>
      <c r="K3577" s="46"/>
      <c r="L3577" s="10"/>
      <c r="M3577" s="20"/>
      <c r="N3577" s="20"/>
      <c r="O3577" s="20"/>
      <c r="P3577" s="20"/>
    </row>
    <row r="3578">
      <c r="A3578" s="23"/>
      <c r="B3578" s="21"/>
      <c r="C3578" s="23"/>
      <c r="D3578" s="24"/>
      <c r="E3578" s="14"/>
      <c r="F3578" s="14"/>
      <c r="G3578" s="14"/>
      <c r="H3578" s="23"/>
      <c r="I3578" s="27"/>
      <c r="J3578" s="23"/>
      <c r="K3578" s="30"/>
      <c r="L3578" s="23"/>
      <c r="M3578" s="20"/>
      <c r="N3578" s="20"/>
      <c r="O3578" s="20"/>
      <c r="P3578" s="20"/>
    </row>
    <row r="3579">
      <c r="A3579" s="10"/>
      <c r="B3579" s="11"/>
      <c r="C3579" s="10"/>
      <c r="D3579" s="13"/>
      <c r="E3579" s="14"/>
      <c r="F3579" s="14"/>
      <c r="G3579" s="14"/>
      <c r="H3579" s="10"/>
      <c r="I3579" s="17"/>
      <c r="J3579" s="10"/>
      <c r="K3579" s="46"/>
      <c r="L3579" s="10"/>
      <c r="M3579" s="20"/>
      <c r="N3579" s="20"/>
      <c r="O3579" s="20"/>
      <c r="P3579" s="20"/>
    </row>
    <row r="3580">
      <c r="A3580" s="23"/>
      <c r="B3580" s="21"/>
      <c r="C3580" s="23"/>
      <c r="D3580" s="24"/>
      <c r="E3580" s="14"/>
      <c r="F3580" s="14"/>
      <c r="G3580" s="14"/>
      <c r="H3580" s="23"/>
      <c r="I3580" s="27"/>
      <c r="J3580" s="23"/>
      <c r="K3580" s="30"/>
      <c r="L3580" s="23"/>
      <c r="M3580" s="20"/>
      <c r="N3580" s="20"/>
      <c r="O3580" s="20"/>
      <c r="P3580" s="20"/>
    </row>
    <row r="3581">
      <c r="A3581" s="10"/>
      <c r="B3581" s="11"/>
      <c r="C3581" s="10"/>
      <c r="D3581" s="13"/>
      <c r="E3581" s="14"/>
      <c r="F3581" s="14"/>
      <c r="G3581" s="14"/>
      <c r="H3581" s="10"/>
      <c r="I3581" s="17"/>
      <c r="J3581" s="10"/>
      <c r="K3581" s="46"/>
      <c r="L3581" s="10"/>
      <c r="M3581" s="20"/>
      <c r="N3581" s="20"/>
      <c r="O3581" s="20"/>
      <c r="P3581" s="20"/>
    </row>
    <row r="3582">
      <c r="A3582" s="23"/>
      <c r="B3582" s="21"/>
      <c r="C3582" s="23"/>
      <c r="D3582" s="24"/>
      <c r="E3582" s="14"/>
      <c r="F3582" s="14"/>
      <c r="G3582" s="14"/>
      <c r="H3582" s="23"/>
      <c r="I3582" s="27"/>
      <c r="J3582" s="23"/>
      <c r="K3582" s="30"/>
      <c r="L3582" s="23"/>
      <c r="M3582" s="20"/>
      <c r="N3582" s="20"/>
      <c r="O3582" s="20"/>
      <c r="P3582" s="20"/>
    </row>
    <row r="3583">
      <c r="A3583" s="10"/>
      <c r="B3583" s="11"/>
      <c r="C3583" s="10"/>
      <c r="D3583" s="13"/>
      <c r="E3583" s="14"/>
      <c r="F3583" s="14"/>
      <c r="G3583" s="14"/>
      <c r="H3583" s="10"/>
      <c r="I3583" s="17"/>
      <c r="J3583" s="10"/>
      <c r="K3583" s="46"/>
      <c r="L3583" s="10"/>
      <c r="M3583" s="20"/>
      <c r="N3583" s="20"/>
      <c r="O3583" s="20"/>
      <c r="P3583" s="20"/>
    </row>
    <row r="3584">
      <c r="A3584" s="23"/>
      <c r="B3584" s="21"/>
      <c r="C3584" s="23"/>
      <c r="D3584" s="24"/>
      <c r="E3584" s="14"/>
      <c r="F3584" s="14"/>
      <c r="G3584" s="14"/>
      <c r="H3584" s="23"/>
      <c r="I3584" s="27"/>
      <c r="J3584" s="23"/>
      <c r="K3584" s="30"/>
      <c r="L3584" s="23"/>
      <c r="M3584" s="20"/>
      <c r="N3584" s="20"/>
      <c r="O3584" s="20"/>
      <c r="P3584" s="20"/>
    </row>
    <row r="3585">
      <c r="A3585" s="10"/>
      <c r="B3585" s="11"/>
      <c r="C3585" s="10"/>
      <c r="D3585" s="13"/>
      <c r="E3585" s="14"/>
      <c r="F3585" s="14"/>
      <c r="G3585" s="14"/>
      <c r="H3585" s="10"/>
      <c r="I3585" s="17"/>
      <c r="J3585" s="10"/>
      <c r="K3585" s="46"/>
      <c r="L3585" s="10"/>
      <c r="M3585" s="20"/>
      <c r="N3585" s="20"/>
      <c r="O3585" s="20"/>
      <c r="P3585" s="20"/>
    </row>
    <row r="3586">
      <c r="A3586" s="23"/>
      <c r="B3586" s="21"/>
      <c r="C3586" s="23"/>
      <c r="D3586" s="24"/>
      <c r="E3586" s="14"/>
      <c r="F3586" s="14"/>
      <c r="G3586" s="14"/>
      <c r="H3586" s="23"/>
      <c r="I3586" s="27"/>
      <c r="J3586" s="23"/>
      <c r="K3586" s="30"/>
      <c r="L3586" s="23"/>
      <c r="M3586" s="20"/>
      <c r="N3586" s="20"/>
      <c r="O3586" s="20"/>
      <c r="P3586" s="20"/>
    </row>
    <row r="3587">
      <c r="A3587" s="10"/>
      <c r="B3587" s="11"/>
      <c r="C3587" s="10"/>
      <c r="D3587" s="13"/>
      <c r="E3587" s="14"/>
      <c r="F3587" s="14"/>
      <c r="G3587" s="14"/>
      <c r="H3587" s="10"/>
      <c r="I3587" s="17"/>
      <c r="J3587" s="10"/>
      <c r="K3587" s="46"/>
      <c r="L3587" s="10"/>
      <c r="M3587" s="20"/>
      <c r="N3587" s="20"/>
      <c r="O3587" s="20"/>
      <c r="P3587" s="20"/>
    </row>
    <row r="3588">
      <c r="A3588" s="23"/>
      <c r="B3588" s="21"/>
      <c r="C3588" s="23"/>
      <c r="D3588" s="24"/>
      <c r="E3588" s="14"/>
      <c r="F3588" s="14"/>
      <c r="G3588" s="14"/>
      <c r="H3588" s="23"/>
      <c r="I3588" s="27"/>
      <c r="J3588" s="23"/>
      <c r="K3588" s="30"/>
      <c r="L3588" s="23"/>
      <c r="M3588" s="20"/>
      <c r="N3588" s="20"/>
      <c r="O3588" s="20"/>
      <c r="P3588" s="20"/>
    </row>
    <row r="3589">
      <c r="A3589" s="10"/>
      <c r="B3589" s="11"/>
      <c r="C3589" s="10"/>
      <c r="D3589" s="13"/>
      <c r="E3589" s="14"/>
      <c r="F3589" s="14"/>
      <c r="G3589" s="14"/>
      <c r="H3589" s="10"/>
      <c r="I3589" s="17"/>
      <c r="J3589" s="10"/>
      <c r="K3589" s="46"/>
      <c r="L3589" s="10"/>
      <c r="M3589" s="20"/>
      <c r="N3589" s="20"/>
      <c r="O3589" s="20"/>
      <c r="P3589" s="20"/>
    </row>
    <row r="3590">
      <c r="A3590" s="23"/>
      <c r="B3590" s="21"/>
      <c r="C3590" s="23"/>
      <c r="D3590" s="24"/>
      <c r="E3590" s="14"/>
      <c r="F3590" s="14"/>
      <c r="G3590" s="14"/>
      <c r="H3590" s="23"/>
      <c r="I3590" s="27"/>
      <c r="J3590" s="23"/>
      <c r="K3590" s="30"/>
      <c r="L3590" s="23"/>
      <c r="M3590" s="20"/>
      <c r="N3590" s="20"/>
      <c r="O3590" s="20"/>
      <c r="P3590" s="20"/>
    </row>
    <row r="3591">
      <c r="A3591" s="10"/>
      <c r="B3591" s="11"/>
      <c r="C3591" s="10"/>
      <c r="D3591" s="13"/>
      <c r="E3591" s="14"/>
      <c r="F3591" s="14"/>
      <c r="G3591" s="14"/>
      <c r="H3591" s="10"/>
      <c r="I3591" s="17"/>
      <c r="J3591" s="10"/>
      <c r="K3591" s="46"/>
      <c r="L3591" s="10"/>
      <c r="M3591" s="20"/>
      <c r="N3591" s="20"/>
      <c r="O3591" s="20"/>
      <c r="P3591" s="20"/>
    </row>
    <row r="3592">
      <c r="A3592" s="23"/>
      <c r="B3592" s="21"/>
      <c r="C3592" s="23"/>
      <c r="D3592" s="24"/>
      <c r="E3592" s="14"/>
      <c r="F3592" s="14"/>
      <c r="G3592" s="14"/>
      <c r="H3592" s="23"/>
      <c r="I3592" s="27"/>
      <c r="J3592" s="23"/>
      <c r="K3592" s="30"/>
      <c r="L3592" s="23"/>
      <c r="M3592" s="20"/>
      <c r="N3592" s="20"/>
      <c r="O3592" s="20"/>
      <c r="P3592" s="20"/>
    </row>
    <row r="3593">
      <c r="A3593" s="10"/>
      <c r="B3593" s="11"/>
      <c r="C3593" s="10"/>
      <c r="D3593" s="13"/>
      <c r="E3593" s="14"/>
      <c r="F3593" s="14"/>
      <c r="G3593" s="14"/>
      <c r="H3593" s="10"/>
      <c r="I3593" s="17"/>
      <c r="J3593" s="10"/>
      <c r="K3593" s="46"/>
      <c r="L3593" s="10"/>
      <c r="M3593" s="20"/>
      <c r="N3593" s="20"/>
      <c r="O3593" s="20"/>
      <c r="P3593" s="20"/>
    </row>
    <row r="3594">
      <c r="A3594" s="23"/>
      <c r="B3594" s="21"/>
      <c r="C3594" s="23"/>
      <c r="D3594" s="24"/>
      <c r="E3594" s="14"/>
      <c r="F3594" s="14"/>
      <c r="G3594" s="14"/>
      <c r="H3594" s="23"/>
      <c r="I3594" s="27"/>
      <c r="J3594" s="23"/>
      <c r="K3594" s="30"/>
      <c r="L3594" s="23"/>
      <c r="M3594" s="20"/>
      <c r="N3594" s="20"/>
      <c r="O3594" s="20"/>
      <c r="P3594" s="20"/>
    </row>
    <row r="3595">
      <c r="A3595" s="10"/>
      <c r="B3595" s="11"/>
      <c r="C3595" s="10"/>
      <c r="D3595" s="13"/>
      <c r="E3595" s="14"/>
      <c r="F3595" s="14"/>
      <c r="G3595" s="14"/>
      <c r="H3595" s="10"/>
      <c r="I3595" s="17"/>
      <c r="J3595" s="10"/>
      <c r="K3595" s="46"/>
      <c r="L3595" s="10"/>
      <c r="M3595" s="20"/>
      <c r="N3595" s="20"/>
      <c r="O3595" s="20"/>
      <c r="P3595" s="20"/>
    </row>
    <row r="3596">
      <c r="A3596" s="23"/>
      <c r="B3596" s="21"/>
      <c r="C3596" s="23"/>
      <c r="D3596" s="24"/>
      <c r="E3596" s="14"/>
      <c r="F3596" s="14"/>
      <c r="G3596" s="14"/>
      <c r="H3596" s="23"/>
      <c r="I3596" s="27"/>
      <c r="J3596" s="23"/>
      <c r="K3596" s="30"/>
      <c r="L3596" s="23"/>
      <c r="M3596" s="20"/>
      <c r="N3596" s="20"/>
      <c r="O3596" s="20"/>
      <c r="P3596" s="20"/>
    </row>
    <row r="3597">
      <c r="A3597" s="10"/>
      <c r="B3597" s="11"/>
      <c r="C3597" s="10"/>
      <c r="D3597" s="13"/>
      <c r="E3597" s="14"/>
      <c r="F3597" s="14"/>
      <c r="G3597" s="14"/>
      <c r="H3597" s="10"/>
      <c r="I3597" s="17"/>
      <c r="J3597" s="10"/>
      <c r="K3597" s="46"/>
      <c r="L3597" s="10"/>
      <c r="M3597" s="20"/>
      <c r="N3597" s="20"/>
      <c r="O3597" s="20"/>
      <c r="P3597" s="20"/>
    </row>
    <row r="3598">
      <c r="A3598" s="23"/>
      <c r="B3598" s="21"/>
      <c r="C3598" s="23"/>
      <c r="D3598" s="24"/>
      <c r="E3598" s="14"/>
      <c r="F3598" s="14"/>
      <c r="G3598" s="14"/>
      <c r="H3598" s="23"/>
      <c r="I3598" s="27"/>
      <c r="J3598" s="23"/>
      <c r="K3598" s="30"/>
      <c r="L3598" s="23"/>
      <c r="M3598" s="20"/>
      <c r="N3598" s="20"/>
      <c r="O3598" s="20"/>
      <c r="P3598" s="20"/>
    </row>
    <row r="3599">
      <c r="A3599" s="10"/>
      <c r="B3599" s="11"/>
      <c r="C3599" s="10"/>
      <c r="D3599" s="13"/>
      <c r="E3599" s="14"/>
      <c r="F3599" s="14"/>
      <c r="G3599" s="14"/>
      <c r="H3599" s="10"/>
      <c r="I3599" s="17"/>
      <c r="J3599" s="10"/>
      <c r="K3599" s="46"/>
      <c r="L3599" s="10"/>
      <c r="M3599" s="20"/>
      <c r="N3599" s="20"/>
      <c r="O3599" s="20"/>
      <c r="P3599" s="20"/>
    </row>
    <row r="3600">
      <c r="A3600" s="23"/>
      <c r="B3600" s="21"/>
      <c r="C3600" s="23"/>
      <c r="D3600" s="24"/>
      <c r="E3600" s="14"/>
      <c r="F3600" s="14"/>
      <c r="G3600" s="14"/>
      <c r="H3600" s="23"/>
      <c r="I3600" s="27"/>
      <c r="J3600" s="23"/>
      <c r="K3600" s="30"/>
      <c r="L3600" s="23"/>
      <c r="M3600" s="20"/>
      <c r="N3600" s="20"/>
      <c r="O3600" s="20"/>
      <c r="P3600" s="20"/>
    </row>
    <row r="3601">
      <c r="A3601" s="10"/>
      <c r="B3601" s="11"/>
      <c r="C3601" s="10"/>
      <c r="D3601" s="13"/>
      <c r="E3601" s="14"/>
      <c r="F3601" s="14"/>
      <c r="G3601" s="14"/>
      <c r="H3601" s="10"/>
      <c r="I3601" s="17"/>
      <c r="J3601" s="10"/>
      <c r="K3601" s="46"/>
      <c r="L3601" s="10"/>
      <c r="M3601" s="20"/>
      <c r="N3601" s="20"/>
      <c r="O3601" s="20"/>
      <c r="P3601" s="20"/>
    </row>
    <row r="3602">
      <c r="A3602" s="23"/>
      <c r="B3602" s="21"/>
      <c r="C3602" s="23"/>
      <c r="D3602" s="24"/>
      <c r="E3602" s="14"/>
      <c r="F3602" s="14"/>
      <c r="G3602" s="14"/>
      <c r="H3602" s="23"/>
      <c r="I3602" s="27"/>
      <c r="J3602" s="23"/>
      <c r="K3602" s="30"/>
      <c r="L3602" s="23"/>
      <c r="M3602" s="20"/>
      <c r="N3602" s="20"/>
      <c r="O3602" s="20"/>
      <c r="P3602" s="20"/>
    </row>
    <row r="3603">
      <c r="A3603" s="10"/>
      <c r="B3603" s="11"/>
      <c r="C3603" s="10"/>
      <c r="D3603" s="13"/>
      <c r="E3603" s="14"/>
      <c r="F3603" s="14"/>
      <c r="G3603" s="14"/>
      <c r="H3603" s="10"/>
      <c r="I3603" s="17"/>
      <c r="J3603" s="10"/>
      <c r="K3603" s="46"/>
      <c r="L3603" s="10"/>
      <c r="M3603" s="20"/>
      <c r="N3603" s="20"/>
      <c r="O3603" s="20"/>
      <c r="P3603" s="20"/>
    </row>
    <row r="3604">
      <c r="A3604" s="23"/>
      <c r="B3604" s="21"/>
      <c r="C3604" s="23"/>
      <c r="D3604" s="24"/>
      <c r="E3604" s="14"/>
      <c r="F3604" s="14"/>
      <c r="G3604" s="14"/>
      <c r="H3604" s="23"/>
      <c r="I3604" s="27"/>
      <c r="J3604" s="23"/>
      <c r="K3604" s="30"/>
      <c r="L3604" s="23"/>
      <c r="M3604" s="20"/>
      <c r="N3604" s="20"/>
      <c r="O3604" s="20"/>
      <c r="P3604" s="20"/>
    </row>
    <row r="3605">
      <c r="A3605" s="10"/>
      <c r="B3605" s="11"/>
      <c r="C3605" s="10"/>
      <c r="D3605" s="13"/>
      <c r="E3605" s="14"/>
      <c r="F3605" s="14"/>
      <c r="G3605" s="14"/>
      <c r="H3605" s="10"/>
      <c r="I3605" s="17"/>
      <c r="J3605" s="10"/>
      <c r="K3605" s="46"/>
      <c r="L3605" s="10"/>
      <c r="M3605" s="20"/>
      <c r="N3605" s="20"/>
      <c r="O3605" s="20"/>
      <c r="P3605" s="20"/>
    </row>
    <row r="3606">
      <c r="A3606" s="23"/>
      <c r="B3606" s="21"/>
      <c r="C3606" s="23"/>
      <c r="D3606" s="24"/>
      <c r="E3606" s="14"/>
      <c r="F3606" s="14"/>
      <c r="G3606" s="14"/>
      <c r="H3606" s="23"/>
      <c r="I3606" s="27"/>
      <c r="J3606" s="23"/>
      <c r="K3606" s="30"/>
      <c r="L3606" s="23"/>
      <c r="M3606" s="20"/>
      <c r="N3606" s="20"/>
      <c r="O3606" s="20"/>
      <c r="P3606" s="20"/>
    </row>
    <row r="3607">
      <c r="A3607" s="10"/>
      <c r="B3607" s="11"/>
      <c r="C3607" s="10"/>
      <c r="D3607" s="13"/>
      <c r="E3607" s="14"/>
      <c r="F3607" s="14"/>
      <c r="G3607" s="14"/>
      <c r="H3607" s="10"/>
      <c r="I3607" s="17"/>
      <c r="J3607" s="10"/>
      <c r="K3607" s="46"/>
      <c r="L3607" s="10"/>
      <c r="M3607" s="20"/>
      <c r="N3607" s="20"/>
      <c r="O3607" s="20"/>
      <c r="P3607" s="20"/>
    </row>
    <row r="3608">
      <c r="A3608" s="23"/>
      <c r="B3608" s="21"/>
      <c r="C3608" s="23"/>
      <c r="D3608" s="24"/>
      <c r="E3608" s="14"/>
      <c r="F3608" s="14"/>
      <c r="G3608" s="14"/>
      <c r="H3608" s="23"/>
      <c r="I3608" s="27"/>
      <c r="J3608" s="23"/>
      <c r="K3608" s="30"/>
      <c r="L3608" s="23"/>
      <c r="M3608" s="20"/>
      <c r="N3608" s="20"/>
      <c r="O3608" s="20"/>
      <c r="P3608" s="20"/>
    </row>
    <row r="3609">
      <c r="A3609" s="10"/>
      <c r="B3609" s="11"/>
      <c r="C3609" s="10"/>
      <c r="D3609" s="13"/>
      <c r="E3609" s="14"/>
      <c r="F3609" s="14"/>
      <c r="G3609" s="14"/>
      <c r="H3609" s="10"/>
      <c r="I3609" s="17"/>
      <c r="J3609" s="10"/>
      <c r="K3609" s="46"/>
      <c r="L3609" s="10"/>
      <c r="M3609" s="20"/>
      <c r="N3609" s="20"/>
      <c r="O3609" s="20"/>
      <c r="P3609" s="20"/>
    </row>
    <row r="3610">
      <c r="A3610" s="23"/>
      <c r="B3610" s="21"/>
      <c r="C3610" s="23"/>
      <c r="D3610" s="24"/>
      <c r="E3610" s="14"/>
      <c r="F3610" s="14"/>
      <c r="G3610" s="14"/>
      <c r="H3610" s="23"/>
      <c r="I3610" s="27"/>
      <c r="J3610" s="23"/>
      <c r="K3610" s="30"/>
      <c r="L3610" s="23"/>
      <c r="M3610" s="20"/>
      <c r="N3610" s="20"/>
      <c r="O3610" s="20"/>
      <c r="P3610" s="20"/>
    </row>
    <row r="3611">
      <c r="A3611" s="10"/>
      <c r="B3611" s="11"/>
      <c r="C3611" s="10"/>
      <c r="D3611" s="13"/>
      <c r="E3611" s="14"/>
      <c r="F3611" s="14"/>
      <c r="G3611" s="14"/>
      <c r="H3611" s="10"/>
      <c r="I3611" s="17"/>
      <c r="J3611" s="10"/>
      <c r="K3611" s="46"/>
      <c r="L3611" s="10"/>
      <c r="M3611" s="20"/>
      <c r="N3611" s="20"/>
      <c r="O3611" s="20"/>
      <c r="P3611" s="20"/>
    </row>
    <row r="3612">
      <c r="A3612" s="23"/>
      <c r="B3612" s="21"/>
      <c r="C3612" s="23"/>
      <c r="D3612" s="24"/>
      <c r="E3612" s="14"/>
      <c r="F3612" s="14"/>
      <c r="G3612" s="14"/>
      <c r="H3612" s="23"/>
      <c r="I3612" s="27"/>
      <c r="J3612" s="23"/>
      <c r="K3612" s="30"/>
      <c r="L3612" s="23"/>
      <c r="M3612" s="20"/>
      <c r="N3612" s="20"/>
      <c r="O3612" s="20"/>
      <c r="P3612" s="20"/>
    </row>
    <row r="3613">
      <c r="A3613" s="10"/>
      <c r="B3613" s="11"/>
      <c r="C3613" s="10"/>
      <c r="D3613" s="13"/>
      <c r="E3613" s="14"/>
      <c r="F3613" s="14"/>
      <c r="G3613" s="14"/>
      <c r="H3613" s="10"/>
      <c r="I3613" s="17"/>
      <c r="J3613" s="10"/>
      <c r="K3613" s="46"/>
      <c r="L3613" s="10"/>
      <c r="M3613" s="20"/>
      <c r="N3613" s="20"/>
      <c r="O3613" s="20"/>
      <c r="P3613" s="20"/>
    </row>
    <row r="3614">
      <c r="A3614" s="23"/>
      <c r="B3614" s="21"/>
      <c r="C3614" s="23"/>
      <c r="D3614" s="24"/>
      <c r="E3614" s="14"/>
      <c r="F3614" s="14"/>
      <c r="G3614" s="14"/>
      <c r="H3614" s="23"/>
      <c r="I3614" s="27"/>
      <c r="J3614" s="23"/>
      <c r="K3614" s="30"/>
      <c r="L3614" s="23"/>
      <c r="M3614" s="20"/>
      <c r="N3614" s="20"/>
      <c r="O3614" s="20"/>
      <c r="P3614" s="20"/>
    </row>
    <row r="3615">
      <c r="A3615" s="10"/>
      <c r="B3615" s="11"/>
      <c r="C3615" s="10"/>
      <c r="D3615" s="13"/>
      <c r="E3615" s="14"/>
      <c r="F3615" s="14"/>
      <c r="G3615" s="14"/>
      <c r="H3615" s="10"/>
      <c r="I3615" s="17"/>
      <c r="J3615" s="10"/>
      <c r="K3615" s="46"/>
      <c r="L3615" s="10"/>
      <c r="M3615" s="20"/>
      <c r="N3615" s="20"/>
      <c r="O3615" s="20"/>
      <c r="P3615" s="20"/>
    </row>
    <row r="3616">
      <c r="A3616" s="23"/>
      <c r="B3616" s="21"/>
      <c r="C3616" s="23"/>
      <c r="D3616" s="24"/>
      <c r="E3616" s="14"/>
      <c r="F3616" s="14"/>
      <c r="G3616" s="14"/>
      <c r="H3616" s="23"/>
      <c r="I3616" s="27"/>
      <c r="J3616" s="23"/>
      <c r="K3616" s="30"/>
      <c r="L3616" s="23"/>
      <c r="M3616" s="20"/>
      <c r="N3616" s="20"/>
      <c r="O3616" s="20"/>
      <c r="P3616" s="20"/>
    </row>
    <row r="3617">
      <c r="A3617" s="10"/>
      <c r="B3617" s="11"/>
      <c r="C3617" s="10"/>
      <c r="D3617" s="13"/>
      <c r="E3617" s="14"/>
      <c r="F3617" s="14"/>
      <c r="G3617" s="14"/>
      <c r="H3617" s="10"/>
      <c r="I3617" s="17"/>
      <c r="J3617" s="10"/>
      <c r="K3617" s="46"/>
      <c r="L3617" s="10"/>
      <c r="M3617" s="20"/>
      <c r="N3617" s="20"/>
      <c r="O3617" s="20"/>
      <c r="P3617" s="20"/>
    </row>
    <row r="3618">
      <c r="A3618" s="23"/>
      <c r="B3618" s="21"/>
      <c r="C3618" s="23"/>
      <c r="D3618" s="24"/>
      <c r="E3618" s="14"/>
      <c r="F3618" s="14"/>
      <c r="G3618" s="14"/>
      <c r="H3618" s="23"/>
      <c r="I3618" s="27"/>
      <c r="J3618" s="23"/>
      <c r="K3618" s="30"/>
      <c r="L3618" s="23"/>
      <c r="M3618" s="20"/>
      <c r="N3618" s="20"/>
      <c r="O3618" s="20"/>
      <c r="P3618" s="20"/>
    </row>
    <row r="3619">
      <c r="A3619" s="10"/>
      <c r="B3619" s="11"/>
      <c r="C3619" s="10"/>
      <c r="D3619" s="13"/>
      <c r="E3619" s="14"/>
      <c r="F3619" s="14"/>
      <c r="G3619" s="14"/>
      <c r="H3619" s="10"/>
      <c r="I3619" s="17"/>
      <c r="J3619" s="10"/>
      <c r="K3619" s="46"/>
      <c r="L3619" s="10"/>
      <c r="M3619" s="20"/>
      <c r="N3619" s="20"/>
      <c r="O3619" s="20"/>
      <c r="P3619" s="20"/>
    </row>
    <row r="3620">
      <c r="A3620" s="23"/>
      <c r="B3620" s="21"/>
      <c r="C3620" s="23"/>
      <c r="D3620" s="24"/>
      <c r="E3620" s="14"/>
      <c r="F3620" s="14"/>
      <c r="G3620" s="14"/>
      <c r="H3620" s="23"/>
      <c r="I3620" s="27"/>
      <c r="J3620" s="23"/>
      <c r="K3620" s="30"/>
      <c r="L3620" s="23"/>
      <c r="M3620" s="20"/>
      <c r="N3620" s="20"/>
      <c r="O3620" s="20"/>
      <c r="P3620" s="20"/>
    </row>
    <row r="3621">
      <c r="A3621" s="10"/>
      <c r="B3621" s="11"/>
      <c r="C3621" s="10"/>
      <c r="D3621" s="13"/>
      <c r="E3621" s="14"/>
      <c r="F3621" s="14"/>
      <c r="G3621" s="14"/>
      <c r="H3621" s="10"/>
      <c r="I3621" s="17"/>
      <c r="J3621" s="10"/>
      <c r="K3621" s="46"/>
      <c r="L3621" s="10"/>
      <c r="M3621" s="20"/>
      <c r="N3621" s="20"/>
      <c r="O3621" s="20"/>
      <c r="P3621" s="20"/>
    </row>
    <row r="3622">
      <c r="A3622" s="23"/>
      <c r="B3622" s="21"/>
      <c r="C3622" s="23"/>
      <c r="D3622" s="24"/>
      <c r="E3622" s="14"/>
      <c r="F3622" s="14"/>
      <c r="G3622" s="14"/>
      <c r="H3622" s="23"/>
      <c r="I3622" s="27"/>
      <c r="J3622" s="23"/>
      <c r="K3622" s="30"/>
      <c r="L3622" s="23"/>
      <c r="M3622" s="20"/>
      <c r="N3622" s="20"/>
      <c r="O3622" s="20"/>
      <c r="P3622" s="20"/>
    </row>
    <row r="3623">
      <c r="A3623" s="10"/>
      <c r="B3623" s="11"/>
      <c r="C3623" s="10"/>
      <c r="D3623" s="13"/>
      <c r="E3623" s="14"/>
      <c r="F3623" s="14"/>
      <c r="G3623" s="14"/>
      <c r="H3623" s="10"/>
      <c r="I3623" s="17"/>
      <c r="J3623" s="10"/>
      <c r="K3623" s="46"/>
      <c r="L3623" s="10"/>
      <c r="M3623" s="20"/>
      <c r="N3623" s="20"/>
      <c r="O3623" s="20"/>
      <c r="P3623" s="20"/>
    </row>
    <row r="3624">
      <c r="A3624" s="23"/>
      <c r="B3624" s="21"/>
      <c r="C3624" s="23"/>
      <c r="D3624" s="24"/>
      <c r="E3624" s="14"/>
      <c r="F3624" s="14"/>
      <c r="G3624" s="14"/>
      <c r="H3624" s="23"/>
      <c r="I3624" s="27"/>
      <c r="J3624" s="23"/>
      <c r="K3624" s="30"/>
      <c r="L3624" s="23"/>
      <c r="M3624" s="20"/>
      <c r="N3624" s="20"/>
      <c r="O3624" s="20"/>
      <c r="P3624" s="20"/>
    </row>
    <row r="3625">
      <c r="A3625" s="10"/>
      <c r="B3625" s="11"/>
      <c r="C3625" s="10"/>
      <c r="D3625" s="13"/>
      <c r="E3625" s="14"/>
      <c r="F3625" s="14"/>
      <c r="G3625" s="14"/>
      <c r="H3625" s="10"/>
      <c r="I3625" s="17"/>
      <c r="J3625" s="10"/>
      <c r="K3625" s="46"/>
      <c r="L3625" s="10"/>
      <c r="M3625" s="20"/>
      <c r="N3625" s="20"/>
      <c r="O3625" s="20"/>
      <c r="P3625" s="20"/>
    </row>
    <row r="3626">
      <c r="A3626" s="23"/>
      <c r="B3626" s="21"/>
      <c r="C3626" s="23"/>
      <c r="D3626" s="24"/>
      <c r="E3626" s="14"/>
      <c r="F3626" s="14"/>
      <c r="G3626" s="14"/>
      <c r="H3626" s="23"/>
      <c r="I3626" s="27"/>
      <c r="J3626" s="23"/>
      <c r="K3626" s="30"/>
      <c r="L3626" s="23"/>
      <c r="M3626" s="20"/>
      <c r="N3626" s="20"/>
      <c r="O3626" s="20"/>
      <c r="P3626" s="20"/>
    </row>
    <row r="3627">
      <c r="A3627" s="10"/>
      <c r="B3627" s="11"/>
      <c r="C3627" s="10"/>
      <c r="D3627" s="13"/>
      <c r="E3627" s="14"/>
      <c r="F3627" s="14"/>
      <c r="G3627" s="14"/>
      <c r="H3627" s="10"/>
      <c r="I3627" s="17"/>
      <c r="J3627" s="10"/>
      <c r="K3627" s="46"/>
      <c r="L3627" s="10"/>
      <c r="M3627" s="20"/>
      <c r="N3627" s="20"/>
      <c r="O3627" s="20"/>
      <c r="P3627" s="20"/>
    </row>
    <row r="3628">
      <c r="A3628" s="23"/>
      <c r="B3628" s="21"/>
      <c r="C3628" s="23"/>
      <c r="D3628" s="24"/>
      <c r="E3628" s="14"/>
      <c r="F3628" s="14"/>
      <c r="G3628" s="14"/>
      <c r="H3628" s="23"/>
      <c r="I3628" s="27"/>
      <c r="J3628" s="23"/>
      <c r="K3628" s="30"/>
      <c r="L3628" s="23"/>
      <c r="M3628" s="20"/>
      <c r="N3628" s="20"/>
      <c r="O3628" s="20"/>
      <c r="P3628" s="20"/>
    </row>
    <row r="3629">
      <c r="A3629" s="10"/>
      <c r="B3629" s="11"/>
      <c r="C3629" s="10"/>
      <c r="D3629" s="13"/>
      <c r="E3629" s="14"/>
      <c r="F3629" s="14"/>
      <c r="G3629" s="14"/>
      <c r="H3629" s="10"/>
      <c r="I3629" s="17"/>
      <c r="J3629" s="10"/>
      <c r="K3629" s="46"/>
      <c r="L3629" s="10"/>
      <c r="M3629" s="20"/>
      <c r="N3629" s="20"/>
      <c r="O3629" s="20"/>
      <c r="P3629" s="20"/>
    </row>
    <row r="3630">
      <c r="A3630" s="23"/>
      <c r="B3630" s="21"/>
      <c r="C3630" s="23"/>
      <c r="D3630" s="24"/>
      <c r="E3630" s="14"/>
      <c r="F3630" s="14"/>
      <c r="G3630" s="14"/>
      <c r="H3630" s="23"/>
      <c r="I3630" s="27"/>
      <c r="J3630" s="23"/>
      <c r="K3630" s="30"/>
      <c r="L3630" s="23"/>
      <c r="M3630" s="20"/>
      <c r="N3630" s="20"/>
      <c r="O3630" s="20"/>
      <c r="P3630" s="20"/>
    </row>
    <row r="3631">
      <c r="A3631" s="10"/>
      <c r="B3631" s="11"/>
      <c r="C3631" s="10"/>
      <c r="D3631" s="13"/>
      <c r="E3631" s="14"/>
      <c r="F3631" s="14"/>
      <c r="G3631" s="14"/>
      <c r="H3631" s="10"/>
      <c r="I3631" s="17"/>
      <c r="J3631" s="10"/>
      <c r="K3631" s="46"/>
      <c r="L3631" s="10"/>
      <c r="M3631" s="20"/>
      <c r="N3631" s="20"/>
      <c r="O3631" s="20"/>
      <c r="P3631" s="20"/>
    </row>
    <row r="3632">
      <c r="A3632" s="23"/>
      <c r="B3632" s="21"/>
      <c r="C3632" s="23"/>
      <c r="D3632" s="24"/>
      <c r="E3632" s="14"/>
      <c r="F3632" s="14"/>
      <c r="G3632" s="14"/>
      <c r="H3632" s="23"/>
      <c r="I3632" s="27"/>
      <c r="J3632" s="23"/>
      <c r="K3632" s="30"/>
      <c r="L3632" s="23"/>
      <c r="M3632" s="20"/>
      <c r="N3632" s="20"/>
      <c r="O3632" s="20"/>
      <c r="P3632" s="20"/>
    </row>
    <row r="3633">
      <c r="A3633" s="10"/>
      <c r="B3633" s="11"/>
      <c r="C3633" s="10"/>
      <c r="D3633" s="13"/>
      <c r="E3633" s="14"/>
      <c r="F3633" s="14"/>
      <c r="G3633" s="14"/>
      <c r="H3633" s="10"/>
      <c r="I3633" s="17"/>
      <c r="J3633" s="10"/>
      <c r="K3633" s="46"/>
      <c r="L3633" s="10"/>
      <c r="M3633" s="20"/>
      <c r="N3633" s="20"/>
      <c r="O3633" s="20"/>
      <c r="P3633" s="20"/>
    </row>
    <row r="3634">
      <c r="A3634" s="23"/>
      <c r="B3634" s="21"/>
      <c r="C3634" s="23"/>
      <c r="D3634" s="24"/>
      <c r="E3634" s="14"/>
      <c r="F3634" s="14"/>
      <c r="G3634" s="14"/>
      <c r="H3634" s="23"/>
      <c r="I3634" s="27"/>
      <c r="J3634" s="23"/>
      <c r="K3634" s="30"/>
      <c r="L3634" s="23"/>
      <c r="M3634" s="20"/>
      <c r="N3634" s="20"/>
      <c r="O3634" s="20"/>
      <c r="P3634" s="20"/>
    </row>
    <row r="3635">
      <c r="A3635" s="10"/>
      <c r="B3635" s="11"/>
      <c r="C3635" s="10"/>
      <c r="D3635" s="13"/>
      <c r="E3635" s="14"/>
      <c r="F3635" s="14"/>
      <c r="G3635" s="14"/>
      <c r="H3635" s="10"/>
      <c r="I3635" s="17"/>
      <c r="J3635" s="10"/>
      <c r="K3635" s="46"/>
      <c r="L3635" s="10"/>
      <c r="M3635" s="20"/>
      <c r="N3635" s="20"/>
      <c r="O3635" s="20"/>
      <c r="P3635" s="20"/>
    </row>
    <row r="3636">
      <c r="A3636" s="23"/>
      <c r="B3636" s="21"/>
      <c r="C3636" s="23"/>
      <c r="D3636" s="24"/>
      <c r="E3636" s="14"/>
      <c r="F3636" s="14"/>
      <c r="G3636" s="14"/>
      <c r="H3636" s="23"/>
      <c r="I3636" s="27"/>
      <c r="J3636" s="23"/>
      <c r="K3636" s="30"/>
      <c r="L3636" s="23"/>
      <c r="M3636" s="20"/>
      <c r="N3636" s="20"/>
      <c r="O3636" s="20"/>
      <c r="P3636" s="20"/>
    </row>
    <row r="3637">
      <c r="A3637" s="10"/>
      <c r="B3637" s="11"/>
      <c r="C3637" s="10"/>
      <c r="D3637" s="13"/>
      <c r="E3637" s="14"/>
      <c r="F3637" s="14"/>
      <c r="G3637" s="14"/>
      <c r="H3637" s="10"/>
      <c r="I3637" s="17"/>
      <c r="J3637" s="10"/>
      <c r="K3637" s="46"/>
      <c r="L3637" s="10"/>
      <c r="M3637" s="20"/>
      <c r="N3637" s="20"/>
      <c r="O3637" s="20"/>
      <c r="P3637" s="20"/>
    </row>
    <row r="3638">
      <c r="A3638" s="23"/>
      <c r="B3638" s="21"/>
      <c r="C3638" s="23"/>
      <c r="D3638" s="24"/>
      <c r="E3638" s="14"/>
      <c r="F3638" s="14"/>
      <c r="G3638" s="14"/>
      <c r="H3638" s="23"/>
      <c r="I3638" s="27"/>
      <c r="J3638" s="23"/>
      <c r="K3638" s="30"/>
      <c r="L3638" s="23"/>
      <c r="M3638" s="20"/>
      <c r="N3638" s="20"/>
      <c r="O3638" s="20"/>
      <c r="P3638" s="20"/>
    </row>
    <row r="3639">
      <c r="A3639" s="10"/>
      <c r="B3639" s="11"/>
      <c r="C3639" s="10"/>
      <c r="D3639" s="13"/>
      <c r="E3639" s="14"/>
      <c r="F3639" s="14"/>
      <c r="G3639" s="14"/>
      <c r="H3639" s="10"/>
      <c r="I3639" s="17"/>
      <c r="J3639" s="10"/>
      <c r="K3639" s="46"/>
      <c r="L3639" s="10"/>
      <c r="M3639" s="20"/>
      <c r="N3639" s="20"/>
      <c r="O3639" s="20"/>
      <c r="P3639" s="20"/>
    </row>
    <row r="3640">
      <c r="A3640" s="23"/>
      <c r="B3640" s="21"/>
      <c r="C3640" s="23"/>
      <c r="D3640" s="24"/>
      <c r="E3640" s="14"/>
      <c r="F3640" s="14"/>
      <c r="G3640" s="14"/>
      <c r="H3640" s="23"/>
      <c r="I3640" s="27"/>
      <c r="J3640" s="23"/>
      <c r="K3640" s="30"/>
      <c r="L3640" s="23"/>
      <c r="M3640" s="20"/>
      <c r="N3640" s="20"/>
      <c r="O3640" s="20"/>
      <c r="P3640" s="20"/>
    </row>
    <row r="3641">
      <c r="A3641" s="10"/>
      <c r="B3641" s="11"/>
      <c r="C3641" s="10"/>
      <c r="D3641" s="13"/>
      <c r="E3641" s="14"/>
      <c r="F3641" s="14"/>
      <c r="G3641" s="14"/>
      <c r="H3641" s="10"/>
      <c r="I3641" s="17"/>
      <c r="J3641" s="10"/>
      <c r="K3641" s="46"/>
      <c r="L3641" s="10"/>
      <c r="M3641" s="20"/>
      <c r="N3641" s="20"/>
      <c r="O3641" s="20"/>
      <c r="P3641" s="20"/>
    </row>
    <row r="3642">
      <c r="A3642" s="23"/>
      <c r="B3642" s="21"/>
      <c r="C3642" s="23"/>
      <c r="D3642" s="24"/>
      <c r="E3642" s="14"/>
      <c r="F3642" s="14"/>
      <c r="G3642" s="14"/>
      <c r="H3642" s="23"/>
      <c r="I3642" s="27"/>
      <c r="J3642" s="23"/>
      <c r="K3642" s="30"/>
      <c r="L3642" s="23"/>
      <c r="M3642" s="20"/>
      <c r="N3642" s="20"/>
      <c r="O3642" s="20"/>
      <c r="P3642" s="20"/>
    </row>
    <row r="3643">
      <c r="A3643" s="10"/>
      <c r="B3643" s="11"/>
      <c r="C3643" s="10"/>
      <c r="D3643" s="13"/>
      <c r="E3643" s="14"/>
      <c r="F3643" s="14"/>
      <c r="G3643" s="14"/>
      <c r="H3643" s="10"/>
      <c r="I3643" s="17"/>
      <c r="J3643" s="10"/>
      <c r="K3643" s="46"/>
      <c r="L3643" s="10"/>
      <c r="M3643" s="20"/>
      <c r="N3643" s="20"/>
      <c r="O3643" s="20"/>
      <c r="P3643" s="20"/>
    </row>
    <row r="3644">
      <c r="A3644" s="23"/>
      <c r="B3644" s="21"/>
      <c r="C3644" s="23"/>
      <c r="D3644" s="24"/>
      <c r="E3644" s="14"/>
      <c r="F3644" s="14"/>
      <c r="G3644" s="14"/>
      <c r="H3644" s="23"/>
      <c r="I3644" s="27"/>
      <c r="J3644" s="23"/>
      <c r="K3644" s="30"/>
      <c r="L3644" s="23"/>
      <c r="M3644" s="20"/>
      <c r="N3644" s="20"/>
      <c r="O3644" s="20"/>
      <c r="P3644" s="20"/>
    </row>
    <row r="3645">
      <c r="A3645" s="10"/>
      <c r="B3645" s="11"/>
      <c r="C3645" s="10"/>
      <c r="D3645" s="13"/>
      <c r="E3645" s="14"/>
      <c r="F3645" s="14"/>
      <c r="G3645" s="14"/>
      <c r="H3645" s="10"/>
      <c r="I3645" s="17"/>
      <c r="J3645" s="10"/>
      <c r="K3645" s="46"/>
      <c r="L3645" s="10"/>
      <c r="M3645" s="20"/>
      <c r="N3645" s="20"/>
      <c r="O3645" s="20"/>
      <c r="P3645" s="20"/>
    </row>
    <row r="3646">
      <c r="A3646" s="23"/>
      <c r="B3646" s="21"/>
      <c r="C3646" s="23"/>
      <c r="D3646" s="24"/>
      <c r="E3646" s="14"/>
      <c r="F3646" s="14"/>
      <c r="G3646" s="14"/>
      <c r="H3646" s="23"/>
      <c r="I3646" s="27"/>
      <c r="J3646" s="23"/>
      <c r="K3646" s="30"/>
      <c r="L3646" s="23"/>
      <c r="M3646" s="20"/>
      <c r="N3646" s="20"/>
      <c r="O3646" s="20"/>
      <c r="P3646" s="20"/>
    </row>
    <row r="3647">
      <c r="A3647" s="10"/>
      <c r="B3647" s="11"/>
      <c r="C3647" s="10"/>
      <c r="D3647" s="13"/>
      <c r="E3647" s="14"/>
      <c r="F3647" s="14"/>
      <c r="G3647" s="14"/>
      <c r="H3647" s="10"/>
      <c r="I3647" s="17"/>
      <c r="J3647" s="10"/>
      <c r="K3647" s="46"/>
      <c r="L3647" s="10"/>
      <c r="M3647" s="20"/>
      <c r="N3647" s="20"/>
      <c r="O3647" s="20"/>
      <c r="P3647" s="20"/>
    </row>
    <row r="3648">
      <c r="A3648" s="23"/>
      <c r="B3648" s="21"/>
      <c r="C3648" s="23"/>
      <c r="D3648" s="24"/>
      <c r="E3648" s="14"/>
      <c r="F3648" s="14"/>
      <c r="G3648" s="14"/>
      <c r="H3648" s="23"/>
      <c r="I3648" s="27"/>
      <c r="J3648" s="23"/>
      <c r="K3648" s="30"/>
      <c r="L3648" s="23"/>
      <c r="M3648" s="20"/>
      <c r="N3648" s="20"/>
      <c r="O3648" s="20"/>
      <c r="P3648" s="20"/>
    </row>
    <row r="3649">
      <c r="A3649" s="10"/>
      <c r="B3649" s="11"/>
      <c r="C3649" s="10"/>
      <c r="D3649" s="13"/>
      <c r="E3649" s="14"/>
      <c r="F3649" s="14"/>
      <c r="G3649" s="14"/>
      <c r="H3649" s="10"/>
      <c r="I3649" s="17"/>
      <c r="J3649" s="10"/>
      <c r="K3649" s="46"/>
      <c r="L3649" s="10"/>
      <c r="M3649" s="20"/>
      <c r="N3649" s="20"/>
      <c r="O3649" s="20"/>
      <c r="P3649" s="20"/>
    </row>
    <row r="3650">
      <c r="A3650" s="23"/>
      <c r="B3650" s="21"/>
      <c r="C3650" s="23"/>
      <c r="D3650" s="24"/>
      <c r="E3650" s="14"/>
      <c r="F3650" s="14"/>
      <c r="G3650" s="14"/>
      <c r="H3650" s="23"/>
      <c r="I3650" s="27"/>
      <c r="J3650" s="23"/>
      <c r="K3650" s="30"/>
      <c r="L3650" s="23"/>
      <c r="M3650" s="20"/>
      <c r="N3650" s="20"/>
      <c r="O3650" s="20"/>
      <c r="P3650" s="20"/>
    </row>
    <row r="3651">
      <c r="A3651" s="10"/>
      <c r="B3651" s="11"/>
      <c r="C3651" s="10"/>
      <c r="D3651" s="13"/>
      <c r="E3651" s="14"/>
      <c r="F3651" s="14"/>
      <c r="G3651" s="14"/>
      <c r="H3651" s="10"/>
      <c r="I3651" s="17"/>
      <c r="J3651" s="10"/>
      <c r="K3651" s="46"/>
      <c r="L3651" s="10"/>
      <c r="M3651" s="20"/>
      <c r="N3651" s="20"/>
      <c r="O3651" s="20"/>
      <c r="P3651" s="20"/>
    </row>
    <row r="3652">
      <c r="A3652" s="23"/>
      <c r="B3652" s="21"/>
      <c r="C3652" s="23"/>
      <c r="D3652" s="24"/>
      <c r="E3652" s="14"/>
      <c r="F3652" s="14"/>
      <c r="G3652" s="14"/>
      <c r="H3652" s="23"/>
      <c r="I3652" s="27"/>
      <c r="J3652" s="23"/>
      <c r="K3652" s="30"/>
      <c r="L3652" s="23"/>
      <c r="M3652" s="20"/>
      <c r="N3652" s="20"/>
      <c r="O3652" s="20"/>
      <c r="P3652" s="20"/>
    </row>
    <row r="3653">
      <c r="A3653" s="10"/>
      <c r="B3653" s="11"/>
      <c r="C3653" s="10"/>
      <c r="D3653" s="13"/>
      <c r="E3653" s="14"/>
      <c r="F3653" s="14"/>
      <c r="G3653" s="14"/>
      <c r="H3653" s="10"/>
      <c r="I3653" s="17"/>
      <c r="J3653" s="10"/>
      <c r="K3653" s="46"/>
      <c r="L3653" s="10"/>
      <c r="M3653" s="20"/>
      <c r="N3653" s="20"/>
      <c r="O3653" s="20"/>
      <c r="P3653" s="20"/>
    </row>
    <row r="3654">
      <c r="A3654" s="23"/>
      <c r="B3654" s="21"/>
      <c r="C3654" s="23"/>
      <c r="D3654" s="24"/>
      <c r="E3654" s="14"/>
      <c r="F3654" s="14"/>
      <c r="G3654" s="14"/>
      <c r="H3654" s="23"/>
      <c r="I3654" s="27"/>
      <c r="J3654" s="23"/>
      <c r="K3654" s="30"/>
      <c r="L3654" s="23"/>
      <c r="M3654" s="20"/>
      <c r="N3654" s="20"/>
      <c r="O3654" s="20"/>
      <c r="P3654" s="20"/>
    </row>
    <row r="3655">
      <c r="A3655" s="10"/>
      <c r="B3655" s="11"/>
      <c r="C3655" s="10"/>
      <c r="D3655" s="13"/>
      <c r="E3655" s="14"/>
      <c r="F3655" s="14"/>
      <c r="G3655" s="14"/>
      <c r="H3655" s="10"/>
      <c r="I3655" s="17"/>
      <c r="J3655" s="10"/>
      <c r="K3655" s="46"/>
      <c r="L3655" s="10"/>
      <c r="M3655" s="20"/>
      <c r="N3655" s="20"/>
      <c r="O3655" s="20"/>
      <c r="P3655" s="20"/>
    </row>
    <row r="3656">
      <c r="A3656" s="23"/>
      <c r="B3656" s="21"/>
      <c r="C3656" s="23"/>
      <c r="D3656" s="24"/>
      <c r="E3656" s="14"/>
      <c r="F3656" s="14"/>
      <c r="G3656" s="14"/>
      <c r="H3656" s="23"/>
      <c r="I3656" s="27"/>
      <c r="J3656" s="23"/>
      <c r="K3656" s="30"/>
      <c r="L3656" s="23"/>
      <c r="M3656" s="20"/>
      <c r="N3656" s="20"/>
      <c r="O3656" s="20"/>
      <c r="P3656" s="20"/>
    </row>
    <row r="3657">
      <c r="A3657" s="10"/>
      <c r="B3657" s="11"/>
      <c r="C3657" s="10"/>
      <c r="D3657" s="13"/>
      <c r="E3657" s="14"/>
      <c r="F3657" s="14"/>
      <c r="G3657" s="14"/>
      <c r="H3657" s="10"/>
      <c r="I3657" s="17"/>
      <c r="J3657" s="10"/>
      <c r="K3657" s="46"/>
      <c r="L3657" s="10"/>
      <c r="M3657" s="20"/>
      <c r="N3657" s="20"/>
      <c r="O3657" s="20"/>
      <c r="P3657" s="20"/>
    </row>
    <row r="3658">
      <c r="A3658" s="23"/>
      <c r="B3658" s="21"/>
      <c r="C3658" s="23"/>
      <c r="D3658" s="24"/>
      <c r="E3658" s="14"/>
      <c r="F3658" s="14"/>
      <c r="G3658" s="14"/>
      <c r="H3658" s="23"/>
      <c r="I3658" s="27"/>
      <c r="J3658" s="23"/>
      <c r="K3658" s="30"/>
      <c r="L3658" s="23"/>
      <c r="M3658" s="20"/>
      <c r="N3658" s="20"/>
      <c r="O3658" s="20"/>
      <c r="P3658" s="20"/>
    </row>
    <row r="3659">
      <c r="A3659" s="10"/>
      <c r="B3659" s="11"/>
      <c r="C3659" s="10"/>
      <c r="D3659" s="13"/>
      <c r="E3659" s="14"/>
      <c r="F3659" s="14"/>
      <c r="G3659" s="14"/>
      <c r="H3659" s="10"/>
      <c r="I3659" s="17"/>
      <c r="J3659" s="10"/>
      <c r="K3659" s="46"/>
      <c r="L3659" s="10"/>
      <c r="M3659" s="20"/>
      <c r="N3659" s="20"/>
      <c r="O3659" s="20"/>
      <c r="P3659" s="20"/>
    </row>
    <row r="3660">
      <c r="A3660" s="23"/>
      <c r="B3660" s="21"/>
      <c r="C3660" s="23"/>
      <c r="D3660" s="24"/>
      <c r="E3660" s="14"/>
      <c r="F3660" s="14"/>
      <c r="G3660" s="14"/>
      <c r="H3660" s="23"/>
      <c r="I3660" s="27"/>
      <c r="J3660" s="23"/>
      <c r="K3660" s="30"/>
      <c r="L3660" s="23"/>
      <c r="M3660" s="20"/>
      <c r="N3660" s="20"/>
      <c r="O3660" s="20"/>
      <c r="P3660" s="20"/>
    </row>
    <row r="3661">
      <c r="A3661" s="10"/>
      <c r="B3661" s="11"/>
      <c r="C3661" s="10"/>
      <c r="D3661" s="13"/>
      <c r="E3661" s="14"/>
      <c r="F3661" s="14"/>
      <c r="G3661" s="14"/>
      <c r="H3661" s="10"/>
      <c r="I3661" s="17"/>
      <c r="J3661" s="10"/>
      <c r="K3661" s="46"/>
      <c r="L3661" s="10"/>
      <c r="M3661" s="20"/>
      <c r="N3661" s="20"/>
      <c r="O3661" s="20"/>
      <c r="P3661" s="20"/>
    </row>
    <row r="3662">
      <c r="A3662" s="23"/>
      <c r="B3662" s="21"/>
      <c r="C3662" s="23"/>
      <c r="D3662" s="24"/>
      <c r="E3662" s="14"/>
      <c r="F3662" s="14"/>
      <c r="G3662" s="14"/>
      <c r="H3662" s="23"/>
      <c r="I3662" s="27"/>
      <c r="J3662" s="23"/>
      <c r="K3662" s="30"/>
      <c r="L3662" s="23"/>
      <c r="M3662" s="20"/>
      <c r="N3662" s="20"/>
      <c r="O3662" s="20"/>
      <c r="P3662" s="20"/>
    </row>
    <row r="3663">
      <c r="A3663" s="10"/>
      <c r="B3663" s="11"/>
      <c r="C3663" s="10"/>
      <c r="D3663" s="13"/>
      <c r="E3663" s="14"/>
      <c r="F3663" s="14"/>
      <c r="G3663" s="14"/>
      <c r="H3663" s="10"/>
      <c r="I3663" s="17"/>
      <c r="J3663" s="10"/>
      <c r="K3663" s="46"/>
      <c r="L3663" s="10"/>
      <c r="M3663" s="20"/>
      <c r="N3663" s="20"/>
      <c r="O3663" s="20"/>
      <c r="P3663" s="20"/>
    </row>
    <row r="3664">
      <c r="A3664" s="23"/>
      <c r="B3664" s="21"/>
      <c r="C3664" s="23"/>
      <c r="D3664" s="24"/>
      <c r="E3664" s="14"/>
      <c r="F3664" s="14"/>
      <c r="G3664" s="14"/>
      <c r="H3664" s="23"/>
      <c r="I3664" s="27"/>
      <c r="J3664" s="23"/>
      <c r="K3664" s="30"/>
      <c r="L3664" s="23"/>
      <c r="M3664" s="20"/>
      <c r="N3664" s="20"/>
      <c r="O3664" s="20"/>
      <c r="P3664" s="20"/>
    </row>
    <row r="3665">
      <c r="A3665" s="10"/>
      <c r="B3665" s="11"/>
      <c r="C3665" s="10"/>
      <c r="D3665" s="13"/>
      <c r="E3665" s="14"/>
      <c r="F3665" s="14"/>
      <c r="G3665" s="14"/>
      <c r="H3665" s="10"/>
      <c r="I3665" s="17"/>
      <c r="J3665" s="10"/>
      <c r="K3665" s="46"/>
      <c r="L3665" s="10"/>
      <c r="M3665" s="20"/>
      <c r="N3665" s="20"/>
      <c r="O3665" s="20"/>
      <c r="P3665" s="20"/>
    </row>
    <row r="3666">
      <c r="A3666" s="23"/>
      <c r="B3666" s="21"/>
      <c r="C3666" s="23"/>
      <c r="D3666" s="24"/>
      <c r="E3666" s="14"/>
      <c r="F3666" s="14"/>
      <c r="G3666" s="14"/>
      <c r="H3666" s="23"/>
      <c r="I3666" s="27"/>
      <c r="J3666" s="23"/>
      <c r="K3666" s="30"/>
      <c r="L3666" s="23"/>
      <c r="M3666" s="20"/>
      <c r="N3666" s="20"/>
      <c r="O3666" s="20"/>
      <c r="P3666" s="20"/>
    </row>
    <row r="3667">
      <c r="A3667" s="10"/>
      <c r="B3667" s="11"/>
      <c r="C3667" s="10"/>
      <c r="D3667" s="13"/>
      <c r="E3667" s="14"/>
      <c r="F3667" s="14"/>
      <c r="G3667" s="14"/>
      <c r="H3667" s="10"/>
      <c r="I3667" s="17"/>
      <c r="J3667" s="10"/>
      <c r="K3667" s="46"/>
      <c r="L3667" s="10"/>
      <c r="M3667" s="20"/>
      <c r="N3667" s="20"/>
      <c r="O3667" s="20"/>
      <c r="P3667" s="20"/>
    </row>
    <row r="3668">
      <c r="A3668" s="23"/>
      <c r="B3668" s="21"/>
      <c r="C3668" s="23"/>
      <c r="D3668" s="24"/>
      <c r="E3668" s="14"/>
      <c r="F3668" s="14"/>
      <c r="G3668" s="14"/>
      <c r="H3668" s="23"/>
      <c r="I3668" s="27"/>
      <c r="J3668" s="23"/>
      <c r="K3668" s="30"/>
      <c r="L3668" s="23"/>
      <c r="M3668" s="20"/>
      <c r="N3668" s="20"/>
      <c r="O3668" s="20"/>
      <c r="P3668" s="20"/>
    </row>
    <row r="3669">
      <c r="A3669" s="10"/>
      <c r="B3669" s="11"/>
      <c r="C3669" s="10"/>
      <c r="D3669" s="13"/>
      <c r="E3669" s="14"/>
      <c r="F3669" s="14"/>
      <c r="G3669" s="14"/>
      <c r="H3669" s="10"/>
      <c r="I3669" s="17"/>
      <c r="J3669" s="10"/>
      <c r="K3669" s="46"/>
      <c r="L3669" s="10"/>
      <c r="M3669" s="20"/>
      <c r="N3669" s="20"/>
      <c r="O3669" s="20"/>
      <c r="P3669" s="20"/>
    </row>
    <row r="3670">
      <c r="A3670" s="23"/>
      <c r="B3670" s="21"/>
      <c r="C3670" s="23"/>
      <c r="D3670" s="24"/>
      <c r="E3670" s="14"/>
      <c r="F3670" s="14"/>
      <c r="G3670" s="14"/>
      <c r="H3670" s="23"/>
      <c r="I3670" s="27"/>
      <c r="J3670" s="23"/>
      <c r="K3670" s="30"/>
      <c r="L3670" s="23"/>
      <c r="M3670" s="20"/>
      <c r="N3670" s="20"/>
      <c r="O3670" s="20"/>
      <c r="P3670" s="20"/>
    </row>
    <row r="3671">
      <c r="A3671" s="10"/>
      <c r="B3671" s="11"/>
      <c r="C3671" s="10"/>
      <c r="D3671" s="13"/>
      <c r="E3671" s="14"/>
      <c r="F3671" s="14"/>
      <c r="G3671" s="14"/>
      <c r="H3671" s="10"/>
      <c r="I3671" s="17"/>
      <c r="J3671" s="10"/>
      <c r="K3671" s="46"/>
      <c r="L3671" s="10"/>
      <c r="M3671" s="20"/>
      <c r="N3671" s="20"/>
      <c r="O3671" s="20"/>
      <c r="P3671" s="20"/>
    </row>
    <row r="3672">
      <c r="A3672" s="23"/>
      <c r="B3672" s="21"/>
      <c r="C3672" s="23"/>
      <c r="D3672" s="24"/>
      <c r="E3672" s="14"/>
      <c r="F3672" s="14"/>
      <c r="G3672" s="14"/>
      <c r="H3672" s="23"/>
      <c r="I3672" s="27"/>
      <c r="J3672" s="23"/>
      <c r="K3672" s="30"/>
      <c r="L3672" s="23"/>
      <c r="M3672" s="20"/>
      <c r="N3672" s="20"/>
      <c r="O3672" s="20"/>
      <c r="P3672" s="20"/>
    </row>
    <row r="3673">
      <c r="A3673" s="10"/>
      <c r="B3673" s="11"/>
      <c r="C3673" s="10"/>
      <c r="D3673" s="13"/>
      <c r="E3673" s="14"/>
      <c r="F3673" s="14"/>
      <c r="G3673" s="14"/>
      <c r="H3673" s="10"/>
      <c r="I3673" s="17"/>
      <c r="J3673" s="10"/>
      <c r="K3673" s="46"/>
      <c r="L3673" s="10"/>
      <c r="M3673" s="20"/>
      <c r="N3673" s="20"/>
      <c r="O3673" s="20"/>
      <c r="P3673" s="20"/>
    </row>
    <row r="3674">
      <c r="A3674" s="23"/>
      <c r="B3674" s="21"/>
      <c r="C3674" s="23"/>
      <c r="D3674" s="24"/>
      <c r="E3674" s="14"/>
      <c r="F3674" s="14"/>
      <c r="G3674" s="14"/>
      <c r="H3674" s="23"/>
      <c r="I3674" s="27"/>
      <c r="J3674" s="23"/>
      <c r="K3674" s="30"/>
      <c r="L3674" s="23"/>
      <c r="M3674" s="20"/>
      <c r="N3674" s="20"/>
      <c r="O3674" s="20"/>
      <c r="P3674" s="20"/>
    </row>
    <row r="3675">
      <c r="A3675" s="10"/>
      <c r="B3675" s="11"/>
      <c r="C3675" s="10"/>
      <c r="D3675" s="13"/>
      <c r="E3675" s="14"/>
      <c r="F3675" s="14"/>
      <c r="G3675" s="14"/>
      <c r="H3675" s="10"/>
      <c r="I3675" s="17"/>
      <c r="J3675" s="10"/>
      <c r="K3675" s="46"/>
      <c r="L3675" s="10"/>
      <c r="M3675" s="20"/>
      <c r="N3675" s="20"/>
      <c r="O3675" s="20"/>
      <c r="P3675" s="20"/>
    </row>
    <row r="3676">
      <c r="A3676" s="23"/>
      <c r="B3676" s="21"/>
      <c r="C3676" s="23"/>
      <c r="D3676" s="24"/>
      <c r="E3676" s="14"/>
      <c r="F3676" s="14"/>
      <c r="G3676" s="14"/>
      <c r="H3676" s="23"/>
      <c r="I3676" s="27"/>
      <c r="J3676" s="23"/>
      <c r="K3676" s="30"/>
      <c r="L3676" s="23"/>
      <c r="M3676" s="20"/>
      <c r="N3676" s="20"/>
      <c r="O3676" s="20"/>
      <c r="P3676" s="20"/>
    </row>
    <row r="3677">
      <c r="A3677" s="10"/>
      <c r="B3677" s="11"/>
      <c r="C3677" s="10"/>
      <c r="D3677" s="13"/>
      <c r="E3677" s="14"/>
      <c r="F3677" s="14"/>
      <c r="G3677" s="14"/>
      <c r="H3677" s="10"/>
      <c r="I3677" s="17"/>
      <c r="J3677" s="10"/>
      <c r="K3677" s="46"/>
      <c r="L3677" s="10"/>
      <c r="M3677" s="20"/>
      <c r="N3677" s="20"/>
      <c r="O3677" s="20"/>
      <c r="P3677" s="20"/>
    </row>
    <row r="3678">
      <c r="A3678" s="23"/>
      <c r="B3678" s="21"/>
      <c r="C3678" s="23"/>
      <c r="D3678" s="24"/>
      <c r="E3678" s="14"/>
      <c r="F3678" s="14"/>
      <c r="G3678" s="14"/>
      <c r="H3678" s="23"/>
      <c r="I3678" s="27"/>
      <c r="J3678" s="23"/>
      <c r="K3678" s="30"/>
      <c r="L3678" s="23"/>
      <c r="M3678" s="20"/>
      <c r="N3678" s="20"/>
      <c r="O3678" s="20"/>
      <c r="P3678" s="20"/>
    </row>
    <row r="3679">
      <c r="A3679" s="10"/>
      <c r="B3679" s="11"/>
      <c r="C3679" s="10"/>
      <c r="D3679" s="13"/>
      <c r="E3679" s="14"/>
      <c r="F3679" s="14"/>
      <c r="G3679" s="14"/>
      <c r="H3679" s="10"/>
      <c r="I3679" s="17"/>
      <c r="J3679" s="10"/>
      <c r="K3679" s="46"/>
      <c r="L3679" s="10"/>
      <c r="M3679" s="20"/>
      <c r="N3679" s="20"/>
      <c r="O3679" s="20"/>
      <c r="P3679" s="20"/>
    </row>
    <row r="3680">
      <c r="A3680" s="23"/>
      <c r="B3680" s="21"/>
      <c r="C3680" s="23"/>
      <c r="D3680" s="24"/>
      <c r="E3680" s="14"/>
      <c r="F3680" s="14"/>
      <c r="G3680" s="14"/>
      <c r="H3680" s="23"/>
      <c r="I3680" s="27"/>
      <c r="J3680" s="23"/>
      <c r="K3680" s="30"/>
      <c r="L3680" s="23"/>
      <c r="M3680" s="20"/>
      <c r="N3680" s="20"/>
      <c r="O3680" s="20"/>
      <c r="P3680" s="20"/>
    </row>
    <row r="3681">
      <c r="A3681" s="10"/>
      <c r="B3681" s="11"/>
      <c r="C3681" s="10"/>
      <c r="D3681" s="13"/>
      <c r="E3681" s="14"/>
      <c r="F3681" s="14"/>
      <c r="G3681" s="14"/>
      <c r="H3681" s="10"/>
      <c r="I3681" s="17"/>
      <c r="J3681" s="10"/>
      <c r="K3681" s="46"/>
      <c r="L3681" s="10"/>
      <c r="M3681" s="20"/>
      <c r="N3681" s="20"/>
      <c r="O3681" s="20"/>
      <c r="P3681" s="20"/>
    </row>
    <row r="3682">
      <c r="A3682" s="23"/>
      <c r="B3682" s="21"/>
      <c r="C3682" s="23"/>
      <c r="D3682" s="24"/>
      <c r="E3682" s="14"/>
      <c r="F3682" s="14"/>
      <c r="G3682" s="14"/>
      <c r="H3682" s="23"/>
      <c r="I3682" s="27"/>
      <c r="J3682" s="23"/>
      <c r="K3682" s="30"/>
      <c r="L3682" s="23"/>
      <c r="M3682" s="20"/>
      <c r="N3682" s="20"/>
      <c r="O3682" s="20"/>
      <c r="P3682" s="20"/>
    </row>
    <row r="3683">
      <c r="A3683" s="10"/>
      <c r="B3683" s="11"/>
      <c r="C3683" s="10"/>
      <c r="D3683" s="13"/>
      <c r="E3683" s="14"/>
      <c r="F3683" s="14"/>
      <c r="G3683" s="14"/>
      <c r="H3683" s="10"/>
      <c r="I3683" s="17"/>
      <c r="J3683" s="10"/>
      <c r="K3683" s="46"/>
      <c r="L3683" s="10"/>
      <c r="M3683" s="20"/>
      <c r="N3683" s="20"/>
      <c r="O3683" s="20"/>
      <c r="P3683" s="20"/>
    </row>
    <row r="3684">
      <c r="A3684" s="23"/>
      <c r="B3684" s="21"/>
      <c r="C3684" s="23"/>
      <c r="D3684" s="24"/>
      <c r="E3684" s="14"/>
      <c r="F3684" s="14"/>
      <c r="G3684" s="14"/>
      <c r="H3684" s="23"/>
      <c r="I3684" s="27"/>
      <c r="J3684" s="23"/>
      <c r="K3684" s="30"/>
      <c r="L3684" s="23"/>
      <c r="M3684" s="20"/>
      <c r="N3684" s="20"/>
      <c r="O3684" s="20"/>
      <c r="P3684" s="20"/>
    </row>
    <row r="3685">
      <c r="A3685" s="10"/>
      <c r="B3685" s="11"/>
      <c r="C3685" s="10"/>
      <c r="D3685" s="13"/>
      <c r="E3685" s="14"/>
      <c r="F3685" s="14"/>
      <c r="G3685" s="14"/>
      <c r="H3685" s="10"/>
      <c r="I3685" s="17"/>
      <c r="J3685" s="10"/>
      <c r="K3685" s="46"/>
      <c r="L3685" s="10"/>
      <c r="M3685" s="20"/>
      <c r="N3685" s="20"/>
      <c r="O3685" s="20"/>
      <c r="P3685" s="20"/>
    </row>
    <row r="3686">
      <c r="A3686" s="23"/>
      <c r="B3686" s="21"/>
      <c r="C3686" s="23"/>
      <c r="D3686" s="24"/>
      <c r="E3686" s="14"/>
      <c r="F3686" s="14"/>
      <c r="G3686" s="14"/>
      <c r="H3686" s="23"/>
      <c r="I3686" s="27"/>
      <c r="J3686" s="23"/>
      <c r="K3686" s="30"/>
      <c r="L3686" s="23"/>
      <c r="M3686" s="20"/>
      <c r="N3686" s="20"/>
      <c r="O3686" s="20"/>
      <c r="P3686" s="20"/>
    </row>
    <row r="3687">
      <c r="A3687" s="10"/>
      <c r="B3687" s="11"/>
      <c r="C3687" s="10"/>
      <c r="D3687" s="13"/>
      <c r="E3687" s="14"/>
      <c r="F3687" s="14"/>
      <c r="G3687" s="14"/>
      <c r="H3687" s="10"/>
      <c r="I3687" s="17"/>
      <c r="J3687" s="10"/>
      <c r="K3687" s="46"/>
      <c r="L3687" s="10"/>
      <c r="M3687" s="20"/>
      <c r="N3687" s="20"/>
      <c r="O3687" s="20"/>
      <c r="P3687" s="20"/>
    </row>
    <row r="3688">
      <c r="A3688" s="23"/>
      <c r="B3688" s="21"/>
      <c r="C3688" s="23"/>
      <c r="D3688" s="24"/>
      <c r="E3688" s="14"/>
      <c r="F3688" s="14"/>
      <c r="G3688" s="14"/>
      <c r="H3688" s="23"/>
      <c r="I3688" s="27"/>
      <c r="J3688" s="23"/>
      <c r="K3688" s="30"/>
      <c r="L3688" s="23"/>
      <c r="M3688" s="20"/>
      <c r="N3688" s="20"/>
      <c r="O3688" s="20"/>
      <c r="P3688" s="20"/>
    </row>
    <row r="3689">
      <c r="A3689" s="10"/>
      <c r="B3689" s="11"/>
      <c r="C3689" s="10"/>
      <c r="D3689" s="13"/>
      <c r="E3689" s="14"/>
      <c r="F3689" s="14"/>
      <c r="G3689" s="14"/>
      <c r="H3689" s="10"/>
      <c r="I3689" s="17"/>
      <c r="J3689" s="10"/>
      <c r="K3689" s="46"/>
      <c r="L3689" s="10"/>
      <c r="M3689" s="20"/>
      <c r="N3689" s="20"/>
      <c r="O3689" s="20"/>
      <c r="P3689" s="20"/>
    </row>
    <row r="3690">
      <c r="A3690" s="23"/>
      <c r="B3690" s="21"/>
      <c r="C3690" s="23"/>
      <c r="D3690" s="24"/>
      <c r="E3690" s="14"/>
      <c r="F3690" s="14"/>
      <c r="G3690" s="14"/>
      <c r="H3690" s="23"/>
      <c r="I3690" s="27"/>
      <c r="J3690" s="23"/>
      <c r="K3690" s="30"/>
      <c r="L3690" s="23"/>
      <c r="M3690" s="20"/>
      <c r="N3690" s="20"/>
      <c r="O3690" s="20"/>
      <c r="P3690" s="20"/>
    </row>
    <row r="3691">
      <c r="A3691" s="10"/>
      <c r="B3691" s="11"/>
      <c r="C3691" s="10"/>
      <c r="D3691" s="13"/>
      <c r="E3691" s="14"/>
      <c r="F3691" s="14"/>
      <c r="G3691" s="14"/>
      <c r="H3691" s="10"/>
      <c r="I3691" s="17"/>
      <c r="J3691" s="10"/>
      <c r="K3691" s="46"/>
      <c r="L3691" s="10"/>
      <c r="M3691" s="20"/>
      <c r="N3691" s="20"/>
      <c r="O3691" s="20"/>
      <c r="P3691" s="20"/>
    </row>
    <row r="3692">
      <c r="A3692" s="23"/>
      <c r="B3692" s="21"/>
      <c r="C3692" s="23"/>
      <c r="D3692" s="24"/>
      <c r="E3692" s="14"/>
      <c r="F3692" s="14"/>
      <c r="G3692" s="14"/>
      <c r="H3692" s="23"/>
      <c r="I3692" s="27"/>
      <c r="J3692" s="23"/>
      <c r="K3692" s="30"/>
      <c r="L3692" s="23"/>
      <c r="M3692" s="20"/>
      <c r="N3692" s="20"/>
      <c r="O3692" s="20"/>
      <c r="P3692" s="20"/>
    </row>
    <row r="3693">
      <c r="A3693" s="10"/>
      <c r="B3693" s="11"/>
      <c r="C3693" s="10"/>
      <c r="D3693" s="13"/>
      <c r="E3693" s="14"/>
      <c r="F3693" s="14"/>
      <c r="G3693" s="14"/>
      <c r="H3693" s="10"/>
      <c r="I3693" s="17"/>
      <c r="J3693" s="10"/>
      <c r="K3693" s="46"/>
      <c r="L3693" s="10"/>
      <c r="M3693" s="20"/>
      <c r="N3693" s="20"/>
      <c r="O3693" s="20"/>
      <c r="P3693" s="20"/>
    </row>
    <row r="3694">
      <c r="A3694" s="23"/>
      <c r="B3694" s="21"/>
      <c r="C3694" s="23"/>
      <c r="D3694" s="24"/>
      <c r="E3694" s="14"/>
      <c r="F3694" s="14"/>
      <c r="G3694" s="14"/>
      <c r="H3694" s="23"/>
      <c r="I3694" s="27"/>
      <c r="J3694" s="23"/>
      <c r="K3694" s="30"/>
      <c r="L3694" s="23"/>
      <c r="M3694" s="20"/>
      <c r="N3694" s="20"/>
      <c r="O3694" s="20"/>
      <c r="P3694" s="20"/>
    </row>
    <row r="3695">
      <c r="A3695" s="10"/>
      <c r="B3695" s="11"/>
      <c r="C3695" s="10"/>
      <c r="D3695" s="13"/>
      <c r="E3695" s="14"/>
      <c r="F3695" s="14"/>
      <c r="G3695" s="14"/>
      <c r="H3695" s="10"/>
      <c r="I3695" s="17"/>
      <c r="J3695" s="10"/>
      <c r="K3695" s="46"/>
      <c r="L3695" s="10"/>
      <c r="M3695" s="20"/>
      <c r="N3695" s="20"/>
      <c r="O3695" s="20"/>
      <c r="P3695" s="20"/>
    </row>
    <row r="3696">
      <c r="A3696" s="23"/>
      <c r="B3696" s="21"/>
      <c r="C3696" s="23"/>
      <c r="D3696" s="24"/>
      <c r="E3696" s="14"/>
      <c r="F3696" s="14"/>
      <c r="G3696" s="14"/>
      <c r="H3696" s="23"/>
      <c r="I3696" s="27"/>
      <c r="J3696" s="23"/>
      <c r="K3696" s="30"/>
      <c r="L3696" s="23"/>
      <c r="M3696" s="20"/>
      <c r="N3696" s="20"/>
      <c r="O3696" s="20"/>
      <c r="P3696" s="20"/>
    </row>
    <row r="3697">
      <c r="A3697" s="10"/>
      <c r="B3697" s="11"/>
      <c r="C3697" s="10"/>
      <c r="D3697" s="13"/>
      <c r="E3697" s="14"/>
      <c r="F3697" s="14"/>
      <c r="G3697" s="14"/>
      <c r="H3697" s="10"/>
      <c r="I3697" s="17"/>
      <c r="J3697" s="10"/>
      <c r="K3697" s="46"/>
      <c r="L3697" s="10"/>
      <c r="M3697" s="20"/>
      <c r="N3697" s="20"/>
      <c r="O3697" s="20"/>
      <c r="P3697" s="20"/>
    </row>
    <row r="3698">
      <c r="A3698" s="23"/>
      <c r="B3698" s="21"/>
      <c r="C3698" s="23"/>
      <c r="D3698" s="24"/>
      <c r="E3698" s="14"/>
      <c r="F3698" s="14"/>
      <c r="G3698" s="14"/>
      <c r="H3698" s="23"/>
      <c r="I3698" s="27"/>
      <c r="J3698" s="23"/>
      <c r="K3698" s="30"/>
      <c r="L3698" s="23"/>
      <c r="M3698" s="20"/>
      <c r="N3698" s="20"/>
      <c r="O3698" s="20"/>
      <c r="P3698" s="20"/>
    </row>
    <row r="3699">
      <c r="A3699" s="10"/>
      <c r="B3699" s="11"/>
      <c r="C3699" s="10"/>
      <c r="D3699" s="13"/>
      <c r="E3699" s="14"/>
      <c r="F3699" s="14"/>
      <c r="G3699" s="14"/>
      <c r="H3699" s="10"/>
      <c r="I3699" s="17"/>
      <c r="J3699" s="10"/>
      <c r="K3699" s="46"/>
      <c r="L3699" s="10"/>
      <c r="M3699" s="20"/>
      <c r="N3699" s="20"/>
      <c r="O3699" s="20"/>
      <c r="P3699" s="20"/>
    </row>
    <row r="3700">
      <c r="A3700" s="23"/>
      <c r="B3700" s="21"/>
      <c r="C3700" s="23"/>
      <c r="D3700" s="24"/>
      <c r="E3700" s="14"/>
      <c r="F3700" s="14"/>
      <c r="G3700" s="14"/>
      <c r="H3700" s="23"/>
      <c r="I3700" s="27"/>
      <c r="J3700" s="23"/>
      <c r="K3700" s="30"/>
      <c r="L3700" s="23"/>
      <c r="M3700" s="20"/>
      <c r="N3700" s="20"/>
      <c r="O3700" s="20"/>
      <c r="P3700" s="20"/>
    </row>
    <row r="3701">
      <c r="A3701" s="10"/>
      <c r="B3701" s="11"/>
      <c r="C3701" s="10"/>
      <c r="D3701" s="13"/>
      <c r="E3701" s="14"/>
      <c r="F3701" s="14"/>
      <c r="G3701" s="14"/>
      <c r="H3701" s="10"/>
      <c r="I3701" s="17"/>
      <c r="J3701" s="10"/>
      <c r="K3701" s="46"/>
      <c r="L3701" s="10"/>
      <c r="M3701" s="20"/>
      <c r="N3701" s="20"/>
      <c r="O3701" s="20"/>
      <c r="P3701" s="20"/>
    </row>
    <row r="3702">
      <c r="A3702" s="23"/>
      <c r="B3702" s="21"/>
      <c r="C3702" s="23"/>
      <c r="D3702" s="24"/>
      <c r="E3702" s="14"/>
      <c r="F3702" s="14"/>
      <c r="G3702" s="14"/>
      <c r="H3702" s="23"/>
      <c r="I3702" s="27"/>
      <c r="J3702" s="23"/>
      <c r="K3702" s="30"/>
      <c r="L3702" s="23"/>
      <c r="M3702" s="20"/>
      <c r="N3702" s="20"/>
      <c r="O3702" s="20"/>
      <c r="P3702" s="20"/>
    </row>
    <row r="3703">
      <c r="A3703" s="10"/>
      <c r="B3703" s="11"/>
      <c r="C3703" s="10"/>
      <c r="D3703" s="13"/>
      <c r="E3703" s="14"/>
      <c r="F3703" s="14"/>
      <c r="G3703" s="14"/>
      <c r="H3703" s="10"/>
      <c r="I3703" s="17"/>
      <c r="J3703" s="10"/>
      <c r="K3703" s="46"/>
      <c r="L3703" s="10"/>
      <c r="M3703" s="20"/>
      <c r="N3703" s="20"/>
      <c r="O3703" s="20"/>
      <c r="P3703" s="20"/>
    </row>
    <row r="3704">
      <c r="A3704" s="23"/>
      <c r="B3704" s="21"/>
      <c r="C3704" s="23"/>
      <c r="D3704" s="24"/>
      <c r="E3704" s="14"/>
      <c r="F3704" s="14"/>
      <c r="G3704" s="14"/>
      <c r="H3704" s="23"/>
      <c r="I3704" s="27"/>
      <c r="J3704" s="23"/>
      <c r="K3704" s="30"/>
      <c r="L3704" s="23"/>
      <c r="M3704" s="20"/>
      <c r="N3704" s="20"/>
      <c r="O3704" s="20"/>
      <c r="P3704" s="20"/>
    </row>
    <row r="3705">
      <c r="A3705" s="10"/>
      <c r="B3705" s="11"/>
      <c r="C3705" s="10"/>
      <c r="D3705" s="13"/>
      <c r="E3705" s="14"/>
      <c r="F3705" s="14"/>
      <c r="G3705" s="14"/>
      <c r="H3705" s="10"/>
      <c r="I3705" s="17"/>
      <c r="J3705" s="10"/>
      <c r="K3705" s="46"/>
      <c r="L3705" s="10"/>
      <c r="M3705" s="20"/>
      <c r="N3705" s="20"/>
      <c r="O3705" s="20"/>
      <c r="P3705" s="20"/>
    </row>
    <row r="3706">
      <c r="A3706" s="23"/>
      <c r="B3706" s="21"/>
      <c r="C3706" s="23"/>
      <c r="D3706" s="24"/>
      <c r="E3706" s="14"/>
      <c r="F3706" s="14"/>
      <c r="G3706" s="14"/>
      <c r="H3706" s="23"/>
      <c r="I3706" s="27"/>
      <c r="J3706" s="23"/>
      <c r="K3706" s="30"/>
      <c r="L3706" s="23"/>
      <c r="M3706" s="20"/>
      <c r="N3706" s="20"/>
      <c r="O3706" s="20"/>
      <c r="P3706" s="20"/>
    </row>
    <row r="3707">
      <c r="A3707" s="10"/>
      <c r="B3707" s="11"/>
      <c r="C3707" s="10"/>
      <c r="D3707" s="13"/>
      <c r="E3707" s="14"/>
      <c r="F3707" s="14"/>
      <c r="G3707" s="14"/>
      <c r="H3707" s="10"/>
      <c r="I3707" s="17"/>
      <c r="J3707" s="10"/>
      <c r="K3707" s="46"/>
      <c r="L3707" s="10"/>
      <c r="M3707" s="20"/>
      <c r="N3707" s="20"/>
      <c r="O3707" s="20"/>
      <c r="P3707" s="20"/>
    </row>
    <row r="3708">
      <c r="A3708" s="23"/>
      <c r="B3708" s="21"/>
      <c r="C3708" s="23"/>
      <c r="D3708" s="24"/>
      <c r="E3708" s="14"/>
      <c r="F3708" s="14"/>
      <c r="G3708" s="14"/>
      <c r="H3708" s="23"/>
      <c r="I3708" s="27"/>
      <c r="J3708" s="23"/>
      <c r="K3708" s="30"/>
      <c r="L3708" s="23"/>
      <c r="M3708" s="20"/>
      <c r="N3708" s="20"/>
      <c r="O3708" s="20"/>
      <c r="P3708" s="20"/>
    </row>
    <row r="3709">
      <c r="A3709" s="10"/>
      <c r="B3709" s="11"/>
      <c r="C3709" s="10"/>
      <c r="D3709" s="13"/>
      <c r="E3709" s="14"/>
      <c r="F3709" s="14"/>
      <c r="G3709" s="14"/>
      <c r="H3709" s="10"/>
      <c r="I3709" s="17"/>
      <c r="J3709" s="10"/>
      <c r="K3709" s="46"/>
      <c r="L3709" s="10"/>
      <c r="M3709" s="20"/>
      <c r="N3709" s="20"/>
      <c r="O3709" s="20"/>
      <c r="P3709" s="20"/>
    </row>
    <row r="3710">
      <c r="A3710" s="23"/>
      <c r="B3710" s="21"/>
      <c r="C3710" s="23"/>
      <c r="D3710" s="24"/>
      <c r="E3710" s="14"/>
      <c r="F3710" s="14"/>
      <c r="G3710" s="14"/>
      <c r="H3710" s="23"/>
      <c r="I3710" s="27"/>
      <c r="J3710" s="23"/>
      <c r="K3710" s="30"/>
      <c r="L3710" s="23"/>
      <c r="M3710" s="20"/>
      <c r="N3710" s="20"/>
      <c r="O3710" s="20"/>
      <c r="P3710" s="20"/>
    </row>
    <row r="3711">
      <c r="A3711" s="10"/>
      <c r="B3711" s="11"/>
      <c r="C3711" s="10"/>
      <c r="D3711" s="13"/>
      <c r="E3711" s="14"/>
      <c r="F3711" s="14"/>
      <c r="G3711" s="14"/>
      <c r="H3711" s="10"/>
      <c r="I3711" s="17"/>
      <c r="J3711" s="10"/>
      <c r="K3711" s="46"/>
      <c r="L3711" s="10"/>
      <c r="M3711" s="20"/>
      <c r="N3711" s="20"/>
      <c r="O3711" s="20"/>
      <c r="P3711" s="20"/>
    </row>
    <row r="3712">
      <c r="A3712" s="23"/>
      <c r="B3712" s="21"/>
      <c r="C3712" s="23"/>
      <c r="D3712" s="24"/>
      <c r="E3712" s="14"/>
      <c r="F3712" s="14"/>
      <c r="G3712" s="14"/>
      <c r="H3712" s="23"/>
      <c r="I3712" s="27"/>
      <c r="J3712" s="23"/>
      <c r="K3712" s="30"/>
      <c r="L3712" s="23"/>
      <c r="M3712" s="20"/>
      <c r="N3712" s="20"/>
      <c r="O3712" s="20"/>
      <c r="P3712" s="20"/>
    </row>
    <row r="3713">
      <c r="A3713" s="10"/>
      <c r="B3713" s="11"/>
      <c r="C3713" s="10"/>
      <c r="D3713" s="13"/>
      <c r="E3713" s="14"/>
      <c r="F3713" s="14"/>
      <c r="G3713" s="14"/>
      <c r="H3713" s="10"/>
      <c r="I3713" s="17"/>
      <c r="J3713" s="10"/>
      <c r="K3713" s="46"/>
      <c r="L3713" s="10"/>
      <c r="M3713" s="20"/>
      <c r="N3713" s="20"/>
      <c r="O3713" s="20"/>
      <c r="P3713" s="20"/>
    </row>
    <row r="3714">
      <c r="A3714" s="23"/>
      <c r="B3714" s="21"/>
      <c r="C3714" s="23"/>
      <c r="D3714" s="24"/>
      <c r="E3714" s="14"/>
      <c r="F3714" s="14"/>
      <c r="G3714" s="14"/>
      <c r="H3714" s="23"/>
      <c r="I3714" s="27"/>
      <c r="J3714" s="23"/>
      <c r="K3714" s="30"/>
      <c r="L3714" s="23"/>
      <c r="M3714" s="20"/>
      <c r="N3714" s="20"/>
      <c r="O3714" s="20"/>
      <c r="P3714" s="20"/>
    </row>
    <row r="3715">
      <c r="A3715" s="10"/>
      <c r="B3715" s="11"/>
      <c r="C3715" s="10"/>
      <c r="D3715" s="13"/>
      <c r="E3715" s="14"/>
      <c r="F3715" s="14"/>
      <c r="G3715" s="14"/>
      <c r="H3715" s="10"/>
      <c r="I3715" s="17"/>
      <c r="J3715" s="10"/>
      <c r="K3715" s="46"/>
      <c r="L3715" s="10"/>
      <c r="M3715" s="20"/>
      <c r="N3715" s="20"/>
      <c r="O3715" s="20"/>
      <c r="P3715" s="20"/>
    </row>
    <row r="3716">
      <c r="A3716" s="23"/>
      <c r="B3716" s="21"/>
      <c r="C3716" s="23"/>
      <c r="D3716" s="24"/>
      <c r="E3716" s="14"/>
      <c r="F3716" s="14"/>
      <c r="G3716" s="14"/>
      <c r="H3716" s="23"/>
      <c r="I3716" s="27"/>
      <c r="J3716" s="23"/>
      <c r="K3716" s="30"/>
      <c r="L3716" s="23"/>
      <c r="M3716" s="20"/>
      <c r="N3716" s="20"/>
      <c r="O3716" s="20"/>
      <c r="P3716" s="20"/>
    </row>
    <row r="3717">
      <c r="A3717" s="10"/>
      <c r="B3717" s="11"/>
      <c r="C3717" s="10"/>
      <c r="D3717" s="13"/>
      <c r="E3717" s="14"/>
      <c r="F3717" s="14"/>
      <c r="G3717" s="14"/>
      <c r="H3717" s="10"/>
      <c r="I3717" s="17"/>
      <c r="J3717" s="10"/>
      <c r="K3717" s="46"/>
      <c r="L3717" s="10"/>
      <c r="M3717" s="20"/>
      <c r="N3717" s="20"/>
      <c r="O3717" s="20"/>
      <c r="P3717" s="20"/>
    </row>
    <row r="3718">
      <c r="A3718" s="23"/>
      <c r="B3718" s="21"/>
      <c r="C3718" s="23"/>
      <c r="D3718" s="24"/>
      <c r="E3718" s="14"/>
      <c r="F3718" s="14"/>
      <c r="G3718" s="14"/>
      <c r="H3718" s="23"/>
      <c r="I3718" s="27"/>
      <c r="J3718" s="23"/>
      <c r="K3718" s="30"/>
      <c r="L3718" s="23"/>
      <c r="M3718" s="20"/>
      <c r="N3718" s="20"/>
      <c r="O3718" s="20"/>
      <c r="P3718" s="20"/>
    </row>
    <row r="3719">
      <c r="A3719" s="10"/>
      <c r="B3719" s="11"/>
      <c r="C3719" s="10"/>
      <c r="D3719" s="13"/>
      <c r="E3719" s="14"/>
      <c r="F3719" s="14"/>
      <c r="G3719" s="14"/>
      <c r="H3719" s="10"/>
      <c r="I3719" s="17"/>
      <c r="J3719" s="10"/>
      <c r="K3719" s="46"/>
      <c r="L3719" s="10"/>
      <c r="M3719" s="20"/>
      <c r="N3719" s="20"/>
      <c r="O3719" s="20"/>
      <c r="P3719" s="20"/>
    </row>
    <row r="3720">
      <c r="A3720" s="23"/>
      <c r="B3720" s="21"/>
      <c r="C3720" s="23"/>
      <c r="D3720" s="24"/>
      <c r="E3720" s="14"/>
      <c r="F3720" s="14"/>
      <c r="G3720" s="14"/>
      <c r="H3720" s="23"/>
      <c r="I3720" s="27"/>
      <c r="J3720" s="23"/>
      <c r="K3720" s="30"/>
      <c r="L3720" s="23"/>
      <c r="M3720" s="20"/>
      <c r="N3720" s="20"/>
      <c r="O3720" s="20"/>
      <c r="P3720" s="20"/>
    </row>
    <row r="3721">
      <c r="A3721" s="10"/>
      <c r="B3721" s="11"/>
      <c r="C3721" s="10"/>
      <c r="D3721" s="13"/>
      <c r="E3721" s="14"/>
      <c r="F3721" s="14"/>
      <c r="G3721" s="14"/>
      <c r="H3721" s="10"/>
      <c r="I3721" s="17"/>
      <c r="J3721" s="10"/>
      <c r="K3721" s="46"/>
      <c r="L3721" s="10"/>
      <c r="M3721" s="20"/>
      <c r="N3721" s="20"/>
      <c r="O3721" s="20"/>
      <c r="P3721" s="20"/>
    </row>
    <row r="3722">
      <c r="A3722" s="23"/>
      <c r="B3722" s="21"/>
      <c r="C3722" s="23"/>
      <c r="D3722" s="24"/>
      <c r="E3722" s="14"/>
      <c r="F3722" s="14"/>
      <c r="G3722" s="14"/>
      <c r="H3722" s="23"/>
      <c r="I3722" s="27"/>
      <c r="J3722" s="23"/>
      <c r="K3722" s="30"/>
      <c r="L3722" s="23"/>
      <c r="M3722" s="20"/>
      <c r="N3722" s="20"/>
      <c r="O3722" s="20"/>
      <c r="P3722" s="20"/>
    </row>
    <row r="3723">
      <c r="A3723" s="10"/>
      <c r="B3723" s="11"/>
      <c r="C3723" s="10"/>
      <c r="D3723" s="13"/>
      <c r="E3723" s="14"/>
      <c r="F3723" s="14"/>
      <c r="G3723" s="14"/>
      <c r="H3723" s="10"/>
      <c r="I3723" s="17"/>
      <c r="J3723" s="10"/>
      <c r="K3723" s="46"/>
      <c r="L3723" s="10"/>
      <c r="M3723" s="20"/>
      <c r="N3723" s="20"/>
      <c r="O3723" s="20"/>
      <c r="P3723" s="20"/>
    </row>
    <row r="3724">
      <c r="A3724" s="23"/>
      <c r="B3724" s="21"/>
      <c r="C3724" s="23"/>
      <c r="D3724" s="24"/>
      <c r="E3724" s="14"/>
      <c r="F3724" s="14"/>
      <c r="G3724" s="14"/>
      <c r="H3724" s="23"/>
      <c r="I3724" s="27"/>
      <c r="J3724" s="23"/>
      <c r="K3724" s="30"/>
      <c r="L3724" s="23"/>
      <c r="M3724" s="20"/>
      <c r="N3724" s="20"/>
      <c r="O3724" s="20"/>
      <c r="P3724" s="20"/>
    </row>
    <row r="3725">
      <c r="A3725" s="10"/>
      <c r="B3725" s="11"/>
      <c r="C3725" s="10"/>
      <c r="D3725" s="13"/>
      <c r="E3725" s="14"/>
      <c r="F3725" s="14"/>
      <c r="G3725" s="14"/>
      <c r="H3725" s="10"/>
      <c r="I3725" s="17"/>
      <c r="J3725" s="10"/>
      <c r="K3725" s="46"/>
      <c r="L3725" s="10"/>
      <c r="M3725" s="20"/>
      <c r="N3725" s="20"/>
      <c r="O3725" s="20"/>
      <c r="P3725" s="20"/>
    </row>
    <row r="3726">
      <c r="A3726" s="23"/>
      <c r="B3726" s="21"/>
      <c r="C3726" s="23"/>
      <c r="D3726" s="24"/>
      <c r="E3726" s="14"/>
      <c r="F3726" s="14"/>
      <c r="G3726" s="14"/>
      <c r="H3726" s="23"/>
      <c r="I3726" s="27"/>
      <c r="J3726" s="23"/>
      <c r="K3726" s="30"/>
      <c r="L3726" s="23"/>
      <c r="M3726" s="20"/>
      <c r="N3726" s="20"/>
      <c r="O3726" s="20"/>
      <c r="P3726" s="20"/>
    </row>
    <row r="3727">
      <c r="A3727" s="10"/>
      <c r="B3727" s="11"/>
      <c r="C3727" s="10"/>
      <c r="D3727" s="13"/>
      <c r="E3727" s="14"/>
      <c r="F3727" s="14"/>
      <c r="G3727" s="14"/>
      <c r="H3727" s="10"/>
      <c r="I3727" s="17"/>
      <c r="J3727" s="10"/>
      <c r="K3727" s="46"/>
      <c r="L3727" s="10"/>
      <c r="M3727" s="20"/>
      <c r="N3727" s="20"/>
      <c r="O3727" s="20"/>
      <c r="P3727" s="20"/>
    </row>
    <row r="3728">
      <c r="A3728" s="23"/>
      <c r="B3728" s="21"/>
      <c r="C3728" s="23"/>
      <c r="D3728" s="24"/>
      <c r="E3728" s="14"/>
      <c r="F3728" s="14"/>
      <c r="G3728" s="14"/>
      <c r="H3728" s="23"/>
      <c r="I3728" s="27"/>
      <c r="J3728" s="23"/>
      <c r="K3728" s="30"/>
      <c r="L3728" s="23"/>
      <c r="M3728" s="20"/>
      <c r="N3728" s="20"/>
      <c r="O3728" s="20"/>
      <c r="P3728" s="20"/>
    </row>
    <row r="3729">
      <c r="A3729" s="10"/>
      <c r="B3729" s="11"/>
      <c r="C3729" s="10"/>
      <c r="D3729" s="13"/>
      <c r="E3729" s="14"/>
      <c r="F3729" s="14"/>
      <c r="G3729" s="14"/>
      <c r="H3729" s="10"/>
      <c r="I3729" s="17"/>
      <c r="J3729" s="10"/>
      <c r="K3729" s="46"/>
      <c r="L3729" s="10"/>
      <c r="M3729" s="20"/>
      <c r="N3729" s="20"/>
      <c r="O3729" s="20"/>
      <c r="P3729" s="20"/>
    </row>
    <row r="3730">
      <c r="A3730" s="23"/>
      <c r="B3730" s="21"/>
      <c r="C3730" s="23"/>
      <c r="D3730" s="24"/>
      <c r="E3730" s="14"/>
      <c r="F3730" s="14"/>
      <c r="G3730" s="14"/>
      <c r="H3730" s="23"/>
      <c r="I3730" s="27"/>
      <c r="J3730" s="23"/>
      <c r="K3730" s="30"/>
      <c r="L3730" s="23"/>
      <c r="M3730" s="20"/>
      <c r="N3730" s="20"/>
      <c r="O3730" s="20"/>
      <c r="P3730" s="20"/>
    </row>
    <row r="3731">
      <c r="A3731" s="10"/>
      <c r="B3731" s="11"/>
      <c r="C3731" s="10"/>
      <c r="D3731" s="13"/>
      <c r="E3731" s="14"/>
      <c r="F3731" s="14"/>
      <c r="G3731" s="14"/>
      <c r="H3731" s="10"/>
      <c r="I3731" s="17"/>
      <c r="J3731" s="10"/>
      <c r="K3731" s="46"/>
      <c r="L3731" s="10"/>
      <c r="M3731" s="20"/>
      <c r="N3731" s="20"/>
      <c r="O3731" s="20"/>
      <c r="P3731" s="20"/>
    </row>
    <row r="3732">
      <c r="A3732" s="23"/>
      <c r="B3732" s="21"/>
      <c r="C3732" s="23"/>
      <c r="D3732" s="24"/>
      <c r="E3732" s="14"/>
      <c r="F3732" s="14"/>
      <c r="G3732" s="14"/>
      <c r="H3732" s="23"/>
      <c r="I3732" s="27"/>
      <c r="J3732" s="23"/>
      <c r="K3732" s="30"/>
      <c r="L3732" s="23"/>
      <c r="M3732" s="20"/>
      <c r="N3732" s="20"/>
      <c r="O3732" s="20"/>
      <c r="P3732" s="20"/>
    </row>
    <row r="3733">
      <c r="A3733" s="10"/>
      <c r="B3733" s="11"/>
      <c r="C3733" s="10"/>
      <c r="D3733" s="13"/>
      <c r="E3733" s="14"/>
      <c r="F3733" s="14"/>
      <c r="G3733" s="14"/>
      <c r="H3733" s="10"/>
      <c r="I3733" s="17"/>
      <c r="J3733" s="10"/>
      <c r="K3733" s="46"/>
      <c r="L3733" s="10"/>
      <c r="M3733" s="20"/>
      <c r="N3733" s="20"/>
      <c r="O3733" s="20"/>
      <c r="P3733" s="20"/>
    </row>
    <row r="3734">
      <c r="A3734" s="23"/>
      <c r="B3734" s="21"/>
      <c r="C3734" s="23"/>
      <c r="D3734" s="24"/>
      <c r="E3734" s="14"/>
      <c r="F3734" s="14"/>
      <c r="G3734" s="14"/>
      <c r="H3734" s="23"/>
      <c r="I3734" s="27"/>
      <c r="J3734" s="23"/>
      <c r="K3734" s="30"/>
      <c r="L3734" s="23"/>
      <c r="M3734" s="20"/>
      <c r="N3734" s="20"/>
      <c r="O3734" s="20"/>
      <c r="P3734" s="20"/>
    </row>
    <row r="3735">
      <c r="A3735" s="10"/>
      <c r="B3735" s="11"/>
      <c r="C3735" s="10"/>
      <c r="D3735" s="13"/>
      <c r="E3735" s="14"/>
      <c r="F3735" s="14"/>
      <c r="G3735" s="14"/>
      <c r="H3735" s="10"/>
      <c r="I3735" s="17"/>
      <c r="J3735" s="10"/>
      <c r="K3735" s="46"/>
      <c r="L3735" s="10"/>
      <c r="M3735" s="20"/>
      <c r="N3735" s="20"/>
      <c r="O3735" s="20"/>
      <c r="P3735" s="20"/>
    </row>
    <row r="3736">
      <c r="A3736" s="23"/>
      <c r="B3736" s="21"/>
      <c r="C3736" s="23"/>
      <c r="D3736" s="24"/>
      <c r="E3736" s="14"/>
      <c r="F3736" s="14"/>
      <c r="G3736" s="14"/>
      <c r="H3736" s="23"/>
      <c r="I3736" s="27"/>
      <c r="J3736" s="23"/>
      <c r="K3736" s="30"/>
      <c r="L3736" s="23"/>
      <c r="M3736" s="20"/>
      <c r="N3736" s="20"/>
      <c r="O3736" s="20"/>
      <c r="P3736" s="20"/>
    </row>
    <row r="3737">
      <c r="A3737" s="10"/>
      <c r="B3737" s="11"/>
      <c r="C3737" s="10"/>
      <c r="D3737" s="13"/>
      <c r="E3737" s="14"/>
      <c r="F3737" s="14"/>
      <c r="G3737" s="14"/>
      <c r="H3737" s="10"/>
      <c r="I3737" s="17"/>
      <c r="J3737" s="10"/>
      <c r="K3737" s="46"/>
      <c r="L3737" s="10"/>
      <c r="M3737" s="20"/>
      <c r="N3737" s="20"/>
      <c r="O3737" s="20"/>
      <c r="P3737" s="20"/>
    </row>
    <row r="3738">
      <c r="A3738" s="23"/>
      <c r="B3738" s="21"/>
      <c r="C3738" s="23"/>
      <c r="D3738" s="24"/>
      <c r="E3738" s="14"/>
      <c r="F3738" s="14"/>
      <c r="G3738" s="14"/>
      <c r="H3738" s="23"/>
      <c r="I3738" s="27"/>
      <c r="J3738" s="23"/>
      <c r="K3738" s="30"/>
      <c r="L3738" s="23"/>
      <c r="M3738" s="20"/>
      <c r="N3738" s="20"/>
      <c r="O3738" s="20"/>
      <c r="P3738" s="20"/>
    </row>
    <row r="3739">
      <c r="A3739" s="10"/>
      <c r="B3739" s="11"/>
      <c r="C3739" s="10"/>
      <c r="D3739" s="13"/>
      <c r="E3739" s="14"/>
      <c r="F3739" s="14"/>
      <c r="G3739" s="14"/>
      <c r="H3739" s="10"/>
      <c r="I3739" s="17"/>
      <c r="J3739" s="10"/>
      <c r="K3739" s="46"/>
      <c r="L3739" s="10"/>
      <c r="M3739" s="20"/>
      <c r="N3739" s="20"/>
      <c r="O3739" s="20"/>
      <c r="P3739" s="20"/>
    </row>
    <row r="3740">
      <c r="A3740" s="23"/>
      <c r="B3740" s="21"/>
      <c r="C3740" s="23"/>
      <c r="D3740" s="24"/>
      <c r="E3740" s="14"/>
      <c r="F3740" s="14"/>
      <c r="G3740" s="14"/>
      <c r="H3740" s="23"/>
      <c r="I3740" s="27"/>
      <c r="J3740" s="23"/>
      <c r="K3740" s="30"/>
      <c r="L3740" s="23"/>
      <c r="M3740" s="20"/>
      <c r="N3740" s="20"/>
      <c r="O3740" s="20"/>
      <c r="P3740" s="20"/>
    </row>
    <row r="3741">
      <c r="A3741" s="10"/>
      <c r="B3741" s="11"/>
      <c r="C3741" s="10"/>
      <c r="D3741" s="13"/>
      <c r="E3741" s="14"/>
      <c r="F3741" s="14"/>
      <c r="G3741" s="14"/>
      <c r="H3741" s="10"/>
      <c r="I3741" s="17"/>
      <c r="J3741" s="10"/>
      <c r="K3741" s="46"/>
      <c r="L3741" s="10"/>
      <c r="M3741" s="20"/>
      <c r="N3741" s="20"/>
      <c r="O3741" s="20"/>
      <c r="P3741" s="20"/>
    </row>
    <row r="3742">
      <c r="A3742" s="23"/>
      <c r="B3742" s="21"/>
      <c r="C3742" s="23"/>
      <c r="D3742" s="24"/>
      <c r="E3742" s="14"/>
      <c r="F3742" s="14"/>
      <c r="G3742" s="14"/>
      <c r="H3742" s="23"/>
      <c r="I3742" s="27"/>
      <c r="J3742" s="23"/>
      <c r="K3742" s="30"/>
      <c r="L3742" s="23"/>
      <c r="M3742" s="20"/>
      <c r="N3742" s="20"/>
      <c r="O3742" s="20"/>
      <c r="P3742" s="20"/>
    </row>
    <row r="3743">
      <c r="A3743" s="10"/>
      <c r="B3743" s="11"/>
      <c r="C3743" s="10"/>
      <c r="D3743" s="13"/>
      <c r="E3743" s="14"/>
      <c r="F3743" s="14"/>
      <c r="G3743" s="14"/>
      <c r="H3743" s="10"/>
      <c r="I3743" s="17"/>
      <c r="J3743" s="10"/>
      <c r="K3743" s="46"/>
      <c r="L3743" s="10"/>
      <c r="M3743" s="20"/>
      <c r="N3743" s="20"/>
      <c r="O3743" s="20"/>
      <c r="P3743" s="20"/>
    </row>
    <row r="3744">
      <c r="A3744" s="23"/>
      <c r="B3744" s="21"/>
      <c r="C3744" s="23"/>
      <c r="D3744" s="24"/>
      <c r="E3744" s="14"/>
      <c r="F3744" s="14"/>
      <c r="G3744" s="14"/>
      <c r="H3744" s="23"/>
      <c r="I3744" s="27"/>
      <c r="J3744" s="23"/>
      <c r="K3744" s="30"/>
      <c r="L3744" s="23"/>
      <c r="M3744" s="20"/>
      <c r="N3744" s="20"/>
      <c r="O3744" s="20"/>
      <c r="P3744" s="20"/>
    </row>
    <row r="3745">
      <c r="A3745" s="10"/>
      <c r="B3745" s="11"/>
      <c r="C3745" s="10"/>
      <c r="D3745" s="13"/>
      <c r="E3745" s="14"/>
      <c r="F3745" s="14"/>
      <c r="G3745" s="14"/>
      <c r="H3745" s="10"/>
      <c r="I3745" s="17"/>
      <c r="J3745" s="10"/>
      <c r="K3745" s="46"/>
      <c r="L3745" s="10"/>
      <c r="M3745" s="20"/>
      <c r="N3745" s="20"/>
      <c r="O3745" s="20"/>
      <c r="P3745" s="20"/>
    </row>
    <row r="3746">
      <c r="A3746" s="23"/>
      <c r="B3746" s="21"/>
      <c r="C3746" s="23"/>
      <c r="D3746" s="24"/>
      <c r="E3746" s="14"/>
      <c r="F3746" s="14"/>
      <c r="G3746" s="14"/>
      <c r="H3746" s="23"/>
      <c r="I3746" s="27"/>
      <c r="J3746" s="23"/>
      <c r="K3746" s="30"/>
      <c r="L3746" s="23"/>
      <c r="M3746" s="20"/>
      <c r="N3746" s="20"/>
      <c r="O3746" s="20"/>
      <c r="P3746" s="20"/>
    </row>
    <row r="3747">
      <c r="A3747" s="10"/>
      <c r="B3747" s="11"/>
      <c r="C3747" s="10"/>
      <c r="D3747" s="13"/>
      <c r="E3747" s="14"/>
      <c r="F3747" s="14"/>
      <c r="G3747" s="14"/>
      <c r="H3747" s="10"/>
      <c r="I3747" s="17"/>
      <c r="J3747" s="10"/>
      <c r="K3747" s="46"/>
      <c r="L3747" s="10"/>
      <c r="M3747" s="20"/>
      <c r="N3747" s="20"/>
      <c r="O3747" s="20"/>
      <c r="P3747" s="20"/>
    </row>
    <row r="3748">
      <c r="A3748" s="23"/>
      <c r="B3748" s="21"/>
      <c r="C3748" s="23"/>
      <c r="D3748" s="24"/>
      <c r="E3748" s="14"/>
      <c r="F3748" s="14"/>
      <c r="G3748" s="14"/>
      <c r="H3748" s="23"/>
      <c r="I3748" s="27"/>
      <c r="J3748" s="23"/>
      <c r="K3748" s="30"/>
      <c r="L3748" s="23"/>
      <c r="M3748" s="20"/>
      <c r="N3748" s="20"/>
      <c r="O3748" s="20"/>
      <c r="P3748" s="20"/>
    </row>
    <row r="3749">
      <c r="A3749" s="10"/>
      <c r="B3749" s="11"/>
      <c r="C3749" s="10"/>
      <c r="D3749" s="13"/>
      <c r="E3749" s="14"/>
      <c r="F3749" s="14"/>
      <c r="G3749" s="14"/>
      <c r="H3749" s="10"/>
      <c r="I3749" s="17"/>
      <c r="J3749" s="10"/>
      <c r="K3749" s="46"/>
      <c r="L3749" s="10"/>
      <c r="M3749" s="20"/>
      <c r="N3749" s="20"/>
      <c r="O3749" s="20"/>
      <c r="P3749" s="20"/>
    </row>
    <row r="3750">
      <c r="A3750" s="23"/>
      <c r="B3750" s="21"/>
      <c r="C3750" s="23"/>
      <c r="D3750" s="24"/>
      <c r="E3750" s="14"/>
      <c r="F3750" s="14"/>
      <c r="G3750" s="14"/>
      <c r="H3750" s="23"/>
      <c r="I3750" s="27"/>
      <c r="J3750" s="23"/>
      <c r="K3750" s="30"/>
      <c r="L3750" s="23"/>
      <c r="M3750" s="20"/>
      <c r="N3750" s="20"/>
      <c r="O3750" s="20"/>
      <c r="P3750" s="20"/>
    </row>
    <row r="3751">
      <c r="A3751" s="10"/>
      <c r="B3751" s="11"/>
      <c r="C3751" s="10"/>
      <c r="D3751" s="13"/>
      <c r="E3751" s="14"/>
      <c r="F3751" s="14"/>
      <c r="G3751" s="14"/>
      <c r="H3751" s="10"/>
      <c r="I3751" s="17"/>
      <c r="J3751" s="10"/>
      <c r="K3751" s="46"/>
      <c r="L3751" s="10"/>
      <c r="M3751" s="20"/>
      <c r="N3751" s="20"/>
      <c r="O3751" s="20"/>
      <c r="P3751" s="20"/>
    </row>
    <row r="3752">
      <c r="A3752" s="23"/>
      <c r="B3752" s="21"/>
      <c r="C3752" s="23"/>
      <c r="D3752" s="24"/>
      <c r="E3752" s="14"/>
      <c r="F3752" s="14"/>
      <c r="G3752" s="14"/>
      <c r="H3752" s="23"/>
      <c r="I3752" s="27"/>
      <c r="J3752" s="23"/>
      <c r="K3752" s="30"/>
      <c r="L3752" s="23"/>
      <c r="M3752" s="20"/>
      <c r="N3752" s="20"/>
      <c r="O3752" s="20"/>
      <c r="P3752" s="20"/>
    </row>
    <row r="3753">
      <c r="A3753" s="10"/>
      <c r="B3753" s="11"/>
      <c r="C3753" s="10"/>
      <c r="D3753" s="13"/>
      <c r="E3753" s="14"/>
      <c r="F3753" s="14"/>
      <c r="G3753" s="14"/>
      <c r="H3753" s="10"/>
      <c r="I3753" s="17"/>
      <c r="J3753" s="10"/>
      <c r="K3753" s="46"/>
      <c r="L3753" s="10"/>
      <c r="M3753" s="20"/>
      <c r="N3753" s="20"/>
      <c r="O3753" s="20"/>
      <c r="P3753" s="20"/>
    </row>
    <row r="3754">
      <c r="A3754" s="23"/>
      <c r="B3754" s="21"/>
      <c r="C3754" s="23"/>
      <c r="D3754" s="24"/>
      <c r="E3754" s="14"/>
      <c r="F3754" s="14"/>
      <c r="G3754" s="14"/>
      <c r="H3754" s="23"/>
      <c r="I3754" s="27"/>
      <c r="J3754" s="23"/>
      <c r="K3754" s="30"/>
      <c r="L3754" s="23"/>
      <c r="M3754" s="20"/>
      <c r="N3754" s="20"/>
      <c r="O3754" s="20"/>
      <c r="P3754" s="20"/>
    </row>
    <row r="3755">
      <c r="A3755" s="10"/>
      <c r="B3755" s="11"/>
      <c r="C3755" s="10"/>
      <c r="D3755" s="13"/>
      <c r="E3755" s="14"/>
      <c r="F3755" s="14"/>
      <c r="G3755" s="14"/>
      <c r="H3755" s="10"/>
      <c r="I3755" s="17"/>
      <c r="J3755" s="10"/>
      <c r="K3755" s="46"/>
      <c r="L3755" s="10"/>
      <c r="M3755" s="20"/>
      <c r="N3755" s="20"/>
      <c r="O3755" s="20"/>
      <c r="P3755" s="20"/>
    </row>
    <row r="3756">
      <c r="A3756" s="23"/>
      <c r="B3756" s="21"/>
      <c r="C3756" s="23"/>
      <c r="D3756" s="24"/>
      <c r="E3756" s="14"/>
      <c r="F3756" s="14"/>
      <c r="G3756" s="14"/>
      <c r="H3756" s="23"/>
      <c r="I3756" s="27"/>
      <c r="J3756" s="23"/>
      <c r="K3756" s="30"/>
      <c r="L3756" s="23"/>
      <c r="M3756" s="20"/>
      <c r="N3756" s="20"/>
      <c r="O3756" s="20"/>
      <c r="P3756" s="20"/>
    </row>
    <row r="3757">
      <c r="A3757" s="10"/>
      <c r="B3757" s="11"/>
      <c r="C3757" s="10"/>
      <c r="D3757" s="13"/>
      <c r="E3757" s="14"/>
      <c r="F3757" s="14"/>
      <c r="G3757" s="14"/>
      <c r="H3757" s="10"/>
      <c r="I3757" s="17"/>
      <c r="J3757" s="10"/>
      <c r="K3757" s="46"/>
      <c r="L3757" s="10"/>
      <c r="M3757" s="20"/>
      <c r="N3757" s="20"/>
      <c r="O3757" s="20"/>
      <c r="P3757" s="20"/>
    </row>
    <row r="3758">
      <c r="A3758" s="23"/>
      <c r="B3758" s="21"/>
      <c r="C3758" s="23"/>
      <c r="D3758" s="24"/>
      <c r="E3758" s="14"/>
      <c r="F3758" s="14"/>
      <c r="G3758" s="14"/>
      <c r="H3758" s="23"/>
      <c r="I3758" s="27"/>
      <c r="J3758" s="23"/>
      <c r="K3758" s="30"/>
      <c r="L3758" s="23"/>
      <c r="M3758" s="20"/>
      <c r="N3758" s="20"/>
      <c r="O3758" s="20"/>
      <c r="P3758" s="20"/>
    </row>
    <row r="3759">
      <c r="A3759" s="10"/>
      <c r="B3759" s="11"/>
      <c r="C3759" s="10"/>
      <c r="D3759" s="13"/>
      <c r="E3759" s="14"/>
      <c r="F3759" s="14"/>
      <c r="G3759" s="14"/>
      <c r="H3759" s="10"/>
      <c r="I3759" s="17"/>
      <c r="J3759" s="10"/>
      <c r="K3759" s="46"/>
      <c r="L3759" s="10"/>
      <c r="M3759" s="20"/>
      <c r="N3759" s="20"/>
      <c r="O3759" s="20"/>
      <c r="P3759" s="20"/>
    </row>
    <row r="3760">
      <c r="A3760" s="23"/>
      <c r="B3760" s="21"/>
      <c r="C3760" s="23"/>
      <c r="D3760" s="24"/>
      <c r="E3760" s="14"/>
      <c r="F3760" s="14"/>
      <c r="G3760" s="14"/>
      <c r="H3760" s="23"/>
      <c r="I3760" s="27"/>
      <c r="J3760" s="23"/>
      <c r="K3760" s="30"/>
      <c r="L3760" s="23"/>
      <c r="M3760" s="20"/>
      <c r="N3760" s="20"/>
      <c r="O3760" s="20"/>
      <c r="P3760" s="20"/>
    </row>
    <row r="3761">
      <c r="A3761" s="10"/>
      <c r="B3761" s="11"/>
      <c r="C3761" s="10"/>
      <c r="D3761" s="13"/>
      <c r="E3761" s="14"/>
      <c r="F3761" s="14"/>
      <c r="G3761" s="14"/>
      <c r="H3761" s="10"/>
      <c r="I3761" s="17"/>
      <c r="J3761" s="10"/>
      <c r="K3761" s="46"/>
      <c r="L3761" s="10"/>
      <c r="M3761" s="20"/>
      <c r="N3761" s="20"/>
      <c r="O3761" s="20"/>
      <c r="P3761" s="20"/>
    </row>
    <row r="3762">
      <c r="A3762" s="23"/>
      <c r="B3762" s="21"/>
      <c r="C3762" s="23"/>
      <c r="D3762" s="24"/>
      <c r="E3762" s="14"/>
      <c r="F3762" s="14"/>
      <c r="G3762" s="14"/>
      <c r="H3762" s="23"/>
      <c r="I3762" s="27"/>
      <c r="J3762" s="23"/>
      <c r="K3762" s="30"/>
      <c r="L3762" s="23"/>
      <c r="M3762" s="20"/>
      <c r="N3762" s="20"/>
      <c r="O3762" s="20"/>
      <c r="P3762" s="20"/>
    </row>
    <row r="3763">
      <c r="A3763" s="10"/>
      <c r="B3763" s="11"/>
      <c r="C3763" s="10"/>
      <c r="D3763" s="13"/>
      <c r="E3763" s="14"/>
      <c r="F3763" s="14"/>
      <c r="G3763" s="14"/>
      <c r="H3763" s="10"/>
      <c r="I3763" s="17"/>
      <c r="J3763" s="10"/>
      <c r="K3763" s="46"/>
      <c r="L3763" s="10"/>
      <c r="M3763" s="20"/>
      <c r="N3763" s="20"/>
      <c r="O3763" s="20"/>
      <c r="P3763" s="20"/>
    </row>
    <row r="3764">
      <c r="A3764" s="23"/>
      <c r="B3764" s="21"/>
      <c r="C3764" s="23"/>
      <c r="D3764" s="24"/>
      <c r="E3764" s="14"/>
      <c r="F3764" s="14"/>
      <c r="G3764" s="14"/>
      <c r="H3764" s="23"/>
      <c r="I3764" s="27"/>
      <c r="J3764" s="23"/>
      <c r="K3764" s="30"/>
      <c r="L3764" s="23"/>
      <c r="M3764" s="20"/>
      <c r="N3764" s="20"/>
      <c r="O3764" s="20"/>
      <c r="P3764" s="20"/>
    </row>
    <row r="3765">
      <c r="A3765" s="10"/>
      <c r="B3765" s="11"/>
      <c r="C3765" s="10"/>
      <c r="D3765" s="13"/>
      <c r="E3765" s="14"/>
      <c r="F3765" s="14"/>
      <c r="G3765" s="14"/>
      <c r="H3765" s="10"/>
      <c r="I3765" s="17"/>
      <c r="J3765" s="10"/>
      <c r="K3765" s="46"/>
      <c r="L3765" s="10"/>
      <c r="M3765" s="20"/>
      <c r="N3765" s="20"/>
      <c r="O3765" s="20"/>
      <c r="P3765" s="20"/>
    </row>
    <row r="3766">
      <c r="A3766" s="23"/>
      <c r="B3766" s="21"/>
      <c r="C3766" s="23"/>
      <c r="D3766" s="24"/>
      <c r="E3766" s="14"/>
      <c r="F3766" s="14"/>
      <c r="G3766" s="14"/>
      <c r="H3766" s="23"/>
      <c r="I3766" s="27"/>
      <c r="J3766" s="23"/>
      <c r="K3766" s="30"/>
      <c r="L3766" s="23"/>
      <c r="M3766" s="20"/>
      <c r="N3766" s="20"/>
      <c r="O3766" s="20"/>
      <c r="P3766" s="20"/>
    </row>
    <row r="3767">
      <c r="A3767" s="10"/>
      <c r="B3767" s="11"/>
      <c r="C3767" s="10"/>
      <c r="D3767" s="13"/>
      <c r="E3767" s="14"/>
      <c r="F3767" s="14"/>
      <c r="G3767" s="14"/>
      <c r="H3767" s="10"/>
      <c r="I3767" s="17"/>
      <c r="J3767" s="10"/>
      <c r="K3767" s="46"/>
      <c r="L3767" s="10"/>
      <c r="M3767" s="20"/>
      <c r="N3767" s="20"/>
      <c r="O3767" s="20"/>
      <c r="P3767" s="20"/>
    </row>
    <row r="3768">
      <c r="A3768" s="23"/>
      <c r="B3768" s="21"/>
      <c r="C3768" s="23"/>
      <c r="D3768" s="24"/>
      <c r="E3768" s="14"/>
      <c r="F3768" s="14"/>
      <c r="G3768" s="14"/>
      <c r="H3768" s="23"/>
      <c r="I3768" s="27"/>
      <c r="J3768" s="23"/>
      <c r="K3768" s="30"/>
      <c r="L3768" s="23"/>
      <c r="M3768" s="20"/>
      <c r="N3768" s="20"/>
      <c r="O3768" s="20"/>
      <c r="P3768" s="20"/>
    </row>
    <row r="3769">
      <c r="A3769" s="10"/>
      <c r="B3769" s="11"/>
      <c r="C3769" s="10"/>
      <c r="D3769" s="13"/>
      <c r="E3769" s="14"/>
      <c r="F3769" s="14"/>
      <c r="G3769" s="14"/>
      <c r="H3769" s="10"/>
      <c r="I3769" s="17"/>
      <c r="J3769" s="10"/>
      <c r="K3769" s="46"/>
      <c r="L3769" s="10"/>
      <c r="M3769" s="20"/>
      <c r="N3769" s="20"/>
      <c r="O3769" s="20"/>
      <c r="P3769" s="20"/>
    </row>
    <row r="3770">
      <c r="A3770" s="23"/>
      <c r="B3770" s="21"/>
      <c r="C3770" s="23"/>
      <c r="D3770" s="24"/>
      <c r="E3770" s="14"/>
      <c r="F3770" s="14"/>
      <c r="G3770" s="14"/>
      <c r="H3770" s="23"/>
      <c r="I3770" s="27"/>
      <c r="J3770" s="23"/>
      <c r="K3770" s="30"/>
      <c r="L3770" s="23"/>
      <c r="M3770" s="20"/>
      <c r="N3770" s="20"/>
      <c r="O3770" s="20"/>
      <c r="P3770" s="20"/>
    </row>
    <row r="3771">
      <c r="A3771" s="10"/>
      <c r="B3771" s="11"/>
      <c r="C3771" s="10"/>
      <c r="D3771" s="13"/>
      <c r="E3771" s="14"/>
      <c r="F3771" s="14"/>
      <c r="G3771" s="14"/>
      <c r="H3771" s="10"/>
      <c r="I3771" s="17"/>
      <c r="J3771" s="10"/>
      <c r="K3771" s="46"/>
      <c r="L3771" s="10"/>
      <c r="M3771" s="20"/>
      <c r="N3771" s="20"/>
      <c r="O3771" s="20"/>
      <c r="P3771" s="20"/>
    </row>
    <row r="3772">
      <c r="A3772" s="23"/>
      <c r="B3772" s="21"/>
      <c r="C3772" s="23"/>
      <c r="D3772" s="24"/>
      <c r="E3772" s="14"/>
      <c r="F3772" s="14"/>
      <c r="G3772" s="14"/>
      <c r="H3772" s="23"/>
      <c r="I3772" s="27"/>
      <c r="J3772" s="23"/>
      <c r="K3772" s="30"/>
      <c r="L3772" s="23"/>
      <c r="M3772" s="20"/>
      <c r="N3772" s="20"/>
      <c r="O3772" s="20"/>
      <c r="P3772" s="20"/>
    </row>
    <row r="3773">
      <c r="A3773" s="10"/>
      <c r="B3773" s="11"/>
      <c r="C3773" s="10"/>
      <c r="D3773" s="13"/>
      <c r="E3773" s="14"/>
      <c r="F3773" s="14"/>
      <c r="G3773" s="14"/>
      <c r="H3773" s="10"/>
      <c r="I3773" s="17"/>
      <c r="J3773" s="10"/>
      <c r="K3773" s="46"/>
      <c r="L3773" s="10"/>
      <c r="M3773" s="20"/>
      <c r="N3773" s="20"/>
      <c r="O3773" s="20"/>
      <c r="P3773" s="20"/>
    </row>
    <row r="3774">
      <c r="A3774" s="23"/>
      <c r="B3774" s="21"/>
      <c r="C3774" s="23"/>
      <c r="D3774" s="24"/>
      <c r="E3774" s="14"/>
      <c r="F3774" s="14"/>
      <c r="G3774" s="14"/>
      <c r="H3774" s="23"/>
      <c r="I3774" s="27"/>
      <c r="J3774" s="23"/>
      <c r="K3774" s="30"/>
      <c r="L3774" s="23"/>
      <c r="M3774" s="20"/>
      <c r="N3774" s="20"/>
      <c r="O3774" s="20"/>
      <c r="P3774" s="20"/>
    </row>
    <row r="3775">
      <c r="A3775" s="10"/>
      <c r="B3775" s="11"/>
      <c r="C3775" s="10"/>
      <c r="D3775" s="13"/>
      <c r="E3775" s="14"/>
      <c r="F3775" s="14"/>
      <c r="G3775" s="14"/>
      <c r="H3775" s="10"/>
      <c r="I3775" s="17"/>
      <c r="J3775" s="10"/>
      <c r="K3775" s="46"/>
      <c r="L3775" s="10"/>
      <c r="M3775" s="20"/>
      <c r="N3775" s="20"/>
      <c r="O3775" s="20"/>
      <c r="P3775" s="20"/>
    </row>
    <row r="3776">
      <c r="A3776" s="23"/>
      <c r="B3776" s="21"/>
      <c r="C3776" s="23"/>
      <c r="D3776" s="24"/>
      <c r="E3776" s="14"/>
      <c r="F3776" s="14"/>
      <c r="G3776" s="14"/>
      <c r="H3776" s="23"/>
      <c r="I3776" s="27"/>
      <c r="J3776" s="23"/>
      <c r="K3776" s="30"/>
      <c r="L3776" s="23"/>
      <c r="M3776" s="20"/>
      <c r="N3776" s="20"/>
      <c r="O3776" s="20"/>
      <c r="P3776" s="20"/>
    </row>
    <row r="3777">
      <c r="A3777" s="10"/>
      <c r="B3777" s="11"/>
      <c r="C3777" s="10"/>
      <c r="D3777" s="13"/>
      <c r="E3777" s="14"/>
      <c r="F3777" s="14"/>
      <c r="G3777" s="14"/>
      <c r="H3777" s="10"/>
      <c r="I3777" s="17"/>
      <c r="J3777" s="10"/>
      <c r="K3777" s="46"/>
      <c r="L3777" s="10"/>
      <c r="M3777" s="20"/>
      <c r="N3777" s="20"/>
      <c r="O3777" s="20"/>
      <c r="P3777" s="20"/>
    </row>
    <row r="3778">
      <c r="A3778" s="23"/>
      <c r="B3778" s="21"/>
      <c r="C3778" s="23"/>
      <c r="D3778" s="24"/>
      <c r="E3778" s="14"/>
      <c r="F3778" s="14"/>
      <c r="G3778" s="14"/>
      <c r="H3778" s="23"/>
      <c r="I3778" s="27"/>
      <c r="J3778" s="23"/>
      <c r="K3778" s="30"/>
      <c r="L3778" s="23"/>
      <c r="M3778" s="20"/>
      <c r="N3778" s="20"/>
      <c r="O3778" s="20"/>
      <c r="P3778" s="20"/>
    </row>
    <row r="3779">
      <c r="A3779" s="10"/>
      <c r="B3779" s="11"/>
      <c r="C3779" s="10"/>
      <c r="D3779" s="13"/>
      <c r="E3779" s="14"/>
      <c r="F3779" s="14"/>
      <c r="G3779" s="14"/>
      <c r="H3779" s="10"/>
      <c r="I3779" s="17"/>
      <c r="J3779" s="10"/>
      <c r="K3779" s="46"/>
      <c r="L3779" s="10"/>
      <c r="M3779" s="20"/>
      <c r="N3779" s="20"/>
      <c r="O3779" s="20"/>
      <c r="P3779" s="20"/>
    </row>
    <row r="3780">
      <c r="A3780" s="23"/>
      <c r="B3780" s="21"/>
      <c r="C3780" s="23"/>
      <c r="D3780" s="24"/>
      <c r="E3780" s="14"/>
      <c r="F3780" s="14"/>
      <c r="G3780" s="14"/>
      <c r="H3780" s="23"/>
      <c r="I3780" s="27"/>
      <c r="J3780" s="23"/>
      <c r="K3780" s="30"/>
      <c r="L3780" s="23"/>
      <c r="M3780" s="20"/>
      <c r="N3780" s="20"/>
      <c r="O3780" s="20"/>
      <c r="P3780" s="20"/>
    </row>
    <row r="3781">
      <c r="A3781" s="10"/>
      <c r="B3781" s="11"/>
      <c r="C3781" s="10"/>
      <c r="D3781" s="13"/>
      <c r="E3781" s="14"/>
      <c r="F3781" s="14"/>
      <c r="G3781" s="14"/>
      <c r="H3781" s="10"/>
      <c r="I3781" s="17"/>
      <c r="J3781" s="10"/>
      <c r="K3781" s="46"/>
      <c r="L3781" s="10"/>
      <c r="M3781" s="20"/>
      <c r="N3781" s="20"/>
      <c r="O3781" s="20"/>
      <c r="P3781" s="20"/>
    </row>
    <row r="3782">
      <c r="A3782" s="23"/>
      <c r="B3782" s="21"/>
      <c r="C3782" s="23"/>
      <c r="D3782" s="24"/>
      <c r="E3782" s="14"/>
      <c r="F3782" s="14"/>
      <c r="G3782" s="14"/>
      <c r="H3782" s="23"/>
      <c r="I3782" s="27"/>
      <c r="J3782" s="23"/>
      <c r="K3782" s="30"/>
      <c r="L3782" s="23"/>
      <c r="M3782" s="20"/>
      <c r="N3782" s="20"/>
      <c r="O3782" s="20"/>
      <c r="P3782" s="20"/>
    </row>
    <row r="3783">
      <c r="A3783" s="10"/>
      <c r="B3783" s="11"/>
      <c r="C3783" s="10"/>
      <c r="D3783" s="13"/>
      <c r="E3783" s="14"/>
      <c r="F3783" s="14"/>
      <c r="G3783" s="14"/>
      <c r="H3783" s="10"/>
      <c r="I3783" s="17"/>
      <c r="J3783" s="10"/>
      <c r="K3783" s="46"/>
      <c r="L3783" s="10"/>
      <c r="M3783" s="20"/>
      <c r="N3783" s="20"/>
      <c r="O3783" s="20"/>
      <c r="P3783" s="20"/>
    </row>
    <row r="3784">
      <c r="A3784" s="23"/>
      <c r="B3784" s="21"/>
      <c r="C3784" s="23"/>
      <c r="D3784" s="24"/>
      <c r="E3784" s="14"/>
      <c r="F3784" s="14"/>
      <c r="G3784" s="14"/>
      <c r="H3784" s="23"/>
      <c r="I3784" s="27"/>
      <c r="J3784" s="23"/>
      <c r="K3784" s="30"/>
      <c r="L3784" s="23"/>
      <c r="M3784" s="20"/>
      <c r="N3784" s="20"/>
      <c r="O3784" s="20"/>
      <c r="P3784" s="20"/>
    </row>
    <row r="3785">
      <c r="A3785" s="10"/>
      <c r="B3785" s="11"/>
      <c r="C3785" s="10"/>
      <c r="D3785" s="13"/>
      <c r="E3785" s="14"/>
      <c r="F3785" s="14"/>
      <c r="G3785" s="14"/>
      <c r="H3785" s="10"/>
      <c r="I3785" s="17"/>
      <c r="J3785" s="10"/>
      <c r="K3785" s="46"/>
      <c r="L3785" s="10"/>
      <c r="M3785" s="20"/>
      <c r="N3785" s="20"/>
      <c r="O3785" s="20"/>
      <c r="P3785" s="20"/>
    </row>
    <row r="3786">
      <c r="A3786" s="23"/>
      <c r="B3786" s="21"/>
      <c r="C3786" s="23"/>
      <c r="D3786" s="24"/>
      <c r="E3786" s="14"/>
      <c r="F3786" s="14"/>
      <c r="G3786" s="14"/>
      <c r="H3786" s="23"/>
      <c r="I3786" s="27"/>
      <c r="J3786" s="23"/>
      <c r="K3786" s="30"/>
      <c r="L3786" s="23"/>
      <c r="M3786" s="20"/>
      <c r="N3786" s="20"/>
      <c r="O3786" s="20"/>
      <c r="P3786" s="20"/>
    </row>
    <row r="3787">
      <c r="A3787" s="10"/>
      <c r="B3787" s="11"/>
      <c r="C3787" s="10"/>
      <c r="D3787" s="13"/>
      <c r="E3787" s="14"/>
      <c r="F3787" s="14"/>
      <c r="G3787" s="14"/>
      <c r="H3787" s="10"/>
      <c r="I3787" s="17"/>
      <c r="J3787" s="10"/>
      <c r="K3787" s="46"/>
      <c r="L3787" s="10"/>
      <c r="M3787" s="20"/>
      <c r="N3787" s="20"/>
      <c r="O3787" s="20"/>
      <c r="P3787" s="20"/>
    </row>
    <row r="3788">
      <c r="A3788" s="23"/>
      <c r="B3788" s="21"/>
      <c r="C3788" s="23"/>
      <c r="D3788" s="24"/>
      <c r="E3788" s="14"/>
      <c r="F3788" s="14"/>
      <c r="G3788" s="14"/>
      <c r="H3788" s="23"/>
      <c r="I3788" s="27"/>
      <c r="J3788" s="23"/>
      <c r="K3788" s="30"/>
      <c r="L3788" s="23"/>
      <c r="M3788" s="20"/>
      <c r="N3788" s="20"/>
      <c r="O3788" s="20"/>
      <c r="P3788" s="20"/>
    </row>
    <row r="3789">
      <c r="A3789" s="10"/>
      <c r="B3789" s="11"/>
      <c r="C3789" s="10"/>
      <c r="D3789" s="13"/>
      <c r="E3789" s="14"/>
      <c r="F3789" s="14"/>
      <c r="G3789" s="14"/>
      <c r="H3789" s="10"/>
      <c r="I3789" s="17"/>
      <c r="J3789" s="10"/>
      <c r="K3789" s="46"/>
      <c r="L3789" s="10"/>
      <c r="M3789" s="20"/>
      <c r="N3789" s="20"/>
      <c r="O3789" s="20"/>
      <c r="P3789" s="20"/>
    </row>
    <row r="3790">
      <c r="A3790" s="23"/>
      <c r="B3790" s="21"/>
      <c r="C3790" s="23"/>
      <c r="D3790" s="24"/>
      <c r="E3790" s="14"/>
      <c r="F3790" s="14"/>
      <c r="G3790" s="14"/>
      <c r="H3790" s="23"/>
      <c r="I3790" s="27"/>
      <c r="J3790" s="23"/>
      <c r="K3790" s="30"/>
      <c r="L3790" s="23"/>
      <c r="M3790" s="20"/>
      <c r="N3790" s="20"/>
      <c r="O3790" s="20"/>
      <c r="P3790" s="20"/>
    </row>
    <row r="3791">
      <c r="A3791" s="10"/>
      <c r="B3791" s="11"/>
      <c r="C3791" s="10"/>
      <c r="D3791" s="13"/>
      <c r="E3791" s="14"/>
      <c r="F3791" s="14"/>
      <c r="G3791" s="14"/>
      <c r="H3791" s="10"/>
      <c r="I3791" s="17"/>
      <c r="J3791" s="10"/>
      <c r="K3791" s="46"/>
      <c r="L3791" s="10"/>
      <c r="M3791" s="20"/>
      <c r="N3791" s="20"/>
      <c r="O3791" s="20"/>
      <c r="P3791" s="20"/>
    </row>
    <row r="3792">
      <c r="A3792" s="23"/>
      <c r="B3792" s="21"/>
      <c r="C3792" s="23"/>
      <c r="D3792" s="24"/>
      <c r="E3792" s="14"/>
      <c r="F3792" s="14"/>
      <c r="G3792" s="14"/>
      <c r="H3792" s="23"/>
      <c r="I3792" s="27"/>
      <c r="J3792" s="23"/>
      <c r="K3792" s="30"/>
      <c r="L3792" s="23"/>
      <c r="M3792" s="20"/>
      <c r="N3792" s="20"/>
      <c r="O3792" s="20"/>
      <c r="P3792" s="20"/>
    </row>
    <row r="3793">
      <c r="A3793" s="10"/>
      <c r="B3793" s="11"/>
      <c r="C3793" s="10"/>
      <c r="D3793" s="13"/>
      <c r="E3793" s="14"/>
      <c r="F3793" s="14"/>
      <c r="G3793" s="14"/>
      <c r="H3793" s="10"/>
      <c r="I3793" s="17"/>
      <c r="J3793" s="10"/>
      <c r="K3793" s="46"/>
      <c r="L3793" s="10"/>
      <c r="M3793" s="20"/>
      <c r="N3793" s="20"/>
      <c r="O3793" s="20"/>
      <c r="P3793" s="20"/>
    </row>
    <row r="3794">
      <c r="A3794" s="23"/>
      <c r="B3794" s="21"/>
      <c r="C3794" s="23"/>
      <c r="D3794" s="24"/>
      <c r="E3794" s="14"/>
      <c r="F3794" s="14"/>
      <c r="G3794" s="14"/>
      <c r="H3794" s="23"/>
      <c r="I3794" s="27"/>
      <c r="J3794" s="23"/>
      <c r="K3794" s="30"/>
      <c r="L3794" s="23"/>
      <c r="M3794" s="20"/>
      <c r="N3794" s="20"/>
      <c r="O3794" s="20"/>
      <c r="P3794" s="20"/>
    </row>
    <row r="3795">
      <c r="A3795" s="10"/>
      <c r="B3795" s="11"/>
      <c r="C3795" s="10"/>
      <c r="D3795" s="13"/>
      <c r="E3795" s="14"/>
      <c r="F3795" s="14"/>
      <c r="G3795" s="14"/>
      <c r="H3795" s="10"/>
      <c r="I3795" s="17"/>
      <c r="J3795" s="10"/>
      <c r="K3795" s="46"/>
      <c r="L3795" s="10"/>
      <c r="M3795" s="20"/>
      <c r="N3795" s="20"/>
      <c r="O3795" s="20"/>
      <c r="P3795" s="20"/>
    </row>
    <row r="3796">
      <c r="A3796" s="23"/>
      <c r="B3796" s="21"/>
      <c r="C3796" s="23"/>
      <c r="D3796" s="24"/>
      <c r="E3796" s="14"/>
      <c r="F3796" s="14"/>
      <c r="G3796" s="14"/>
      <c r="H3796" s="23"/>
      <c r="I3796" s="27"/>
      <c r="J3796" s="23"/>
      <c r="K3796" s="30"/>
      <c r="L3796" s="23"/>
      <c r="M3796" s="20"/>
      <c r="N3796" s="20"/>
      <c r="O3796" s="20"/>
      <c r="P3796" s="20"/>
    </row>
    <row r="3797">
      <c r="A3797" s="10"/>
      <c r="B3797" s="11"/>
      <c r="C3797" s="10"/>
      <c r="D3797" s="13"/>
      <c r="E3797" s="14"/>
      <c r="F3797" s="14"/>
      <c r="G3797" s="14"/>
      <c r="H3797" s="10"/>
      <c r="I3797" s="17"/>
      <c r="J3797" s="10"/>
      <c r="K3797" s="46"/>
      <c r="L3797" s="10"/>
      <c r="M3797" s="20"/>
      <c r="N3797" s="20"/>
      <c r="O3797" s="20"/>
      <c r="P3797" s="20"/>
    </row>
    <row r="3798">
      <c r="A3798" s="23"/>
      <c r="B3798" s="21"/>
      <c r="C3798" s="23"/>
      <c r="D3798" s="24"/>
      <c r="E3798" s="14"/>
      <c r="F3798" s="14"/>
      <c r="G3798" s="14"/>
      <c r="H3798" s="23"/>
      <c r="I3798" s="27"/>
      <c r="J3798" s="23"/>
      <c r="K3798" s="30"/>
      <c r="L3798" s="23"/>
      <c r="M3798" s="20"/>
      <c r="N3798" s="20"/>
      <c r="O3798" s="20"/>
      <c r="P3798" s="20"/>
    </row>
    <row r="3799">
      <c r="A3799" s="10"/>
      <c r="B3799" s="11"/>
      <c r="C3799" s="10"/>
      <c r="D3799" s="13"/>
      <c r="E3799" s="14"/>
      <c r="F3799" s="14"/>
      <c r="G3799" s="14"/>
      <c r="H3799" s="10"/>
      <c r="I3799" s="17"/>
      <c r="J3799" s="10"/>
      <c r="K3799" s="46"/>
      <c r="L3799" s="10"/>
      <c r="M3799" s="20"/>
      <c r="N3799" s="20"/>
      <c r="O3799" s="20"/>
      <c r="P3799" s="20"/>
    </row>
    <row r="3800">
      <c r="A3800" s="23"/>
      <c r="B3800" s="21"/>
      <c r="C3800" s="23"/>
      <c r="D3800" s="24"/>
      <c r="E3800" s="14"/>
      <c r="F3800" s="14"/>
      <c r="G3800" s="14"/>
      <c r="H3800" s="23"/>
      <c r="I3800" s="27"/>
      <c r="J3800" s="23"/>
      <c r="K3800" s="30"/>
      <c r="L3800" s="23"/>
      <c r="M3800" s="20"/>
      <c r="N3800" s="20"/>
      <c r="O3800" s="20"/>
      <c r="P3800" s="20"/>
    </row>
    <row r="3801">
      <c r="A3801" s="10"/>
      <c r="B3801" s="11"/>
      <c r="C3801" s="10"/>
      <c r="D3801" s="13"/>
      <c r="E3801" s="14"/>
      <c r="F3801" s="14"/>
      <c r="G3801" s="14"/>
      <c r="H3801" s="10"/>
      <c r="I3801" s="17"/>
      <c r="J3801" s="10"/>
      <c r="K3801" s="46"/>
      <c r="L3801" s="10"/>
      <c r="M3801" s="20"/>
      <c r="N3801" s="20"/>
      <c r="O3801" s="20"/>
      <c r="P3801" s="20"/>
    </row>
    <row r="3802">
      <c r="A3802" s="23"/>
      <c r="B3802" s="21"/>
      <c r="C3802" s="23"/>
      <c r="D3802" s="24"/>
      <c r="E3802" s="14"/>
      <c r="F3802" s="14"/>
      <c r="G3802" s="14"/>
      <c r="H3802" s="23"/>
      <c r="I3802" s="27"/>
      <c r="J3802" s="23"/>
      <c r="K3802" s="30"/>
      <c r="L3802" s="23"/>
      <c r="M3802" s="20"/>
      <c r="N3802" s="20"/>
      <c r="O3802" s="20"/>
      <c r="P3802" s="20"/>
    </row>
    <row r="3803">
      <c r="A3803" s="10"/>
      <c r="B3803" s="11"/>
      <c r="C3803" s="10"/>
      <c r="D3803" s="13"/>
      <c r="E3803" s="14"/>
      <c r="F3803" s="14"/>
      <c r="G3803" s="14"/>
      <c r="H3803" s="10"/>
      <c r="I3803" s="17"/>
      <c r="J3803" s="10"/>
      <c r="K3803" s="46"/>
      <c r="L3803" s="10"/>
      <c r="M3803" s="20"/>
      <c r="N3803" s="20"/>
      <c r="O3803" s="20"/>
      <c r="P3803" s="20"/>
    </row>
    <row r="3804">
      <c r="A3804" s="23"/>
      <c r="B3804" s="21"/>
      <c r="C3804" s="23"/>
      <c r="D3804" s="24"/>
      <c r="E3804" s="14"/>
      <c r="F3804" s="14"/>
      <c r="G3804" s="14"/>
      <c r="H3804" s="23"/>
      <c r="I3804" s="27"/>
      <c r="J3804" s="23"/>
      <c r="K3804" s="30"/>
      <c r="L3804" s="23"/>
      <c r="M3804" s="20"/>
      <c r="N3804" s="20"/>
      <c r="O3804" s="20"/>
      <c r="P3804" s="20"/>
    </row>
    <row r="3805">
      <c r="A3805" s="10"/>
      <c r="B3805" s="11"/>
      <c r="C3805" s="10"/>
      <c r="D3805" s="13"/>
      <c r="E3805" s="14"/>
      <c r="F3805" s="14"/>
      <c r="G3805" s="14"/>
      <c r="H3805" s="10"/>
      <c r="I3805" s="17"/>
      <c r="J3805" s="10"/>
      <c r="K3805" s="46"/>
      <c r="L3805" s="10"/>
      <c r="M3805" s="20"/>
      <c r="N3805" s="20"/>
      <c r="O3805" s="20"/>
      <c r="P3805" s="20"/>
    </row>
    <row r="3806">
      <c r="A3806" s="23"/>
      <c r="B3806" s="21"/>
      <c r="C3806" s="23"/>
      <c r="D3806" s="24"/>
      <c r="E3806" s="14"/>
      <c r="F3806" s="14"/>
      <c r="G3806" s="14"/>
      <c r="H3806" s="23"/>
      <c r="I3806" s="27"/>
      <c r="J3806" s="23"/>
      <c r="K3806" s="30"/>
      <c r="L3806" s="23"/>
      <c r="M3806" s="20"/>
      <c r="N3806" s="20"/>
      <c r="O3806" s="20"/>
      <c r="P3806" s="20"/>
    </row>
    <row r="3807">
      <c r="A3807" s="10"/>
      <c r="B3807" s="11"/>
      <c r="C3807" s="10"/>
      <c r="D3807" s="13"/>
      <c r="E3807" s="14"/>
      <c r="F3807" s="14"/>
      <c r="G3807" s="14"/>
      <c r="H3807" s="10"/>
      <c r="I3807" s="17"/>
      <c r="J3807" s="10"/>
      <c r="K3807" s="46"/>
      <c r="L3807" s="10"/>
      <c r="M3807" s="20"/>
      <c r="N3807" s="20"/>
      <c r="O3807" s="20"/>
      <c r="P3807" s="20"/>
    </row>
    <row r="3808">
      <c r="A3808" s="23"/>
      <c r="B3808" s="21"/>
      <c r="C3808" s="23"/>
      <c r="D3808" s="24"/>
      <c r="E3808" s="14"/>
      <c r="F3808" s="14"/>
      <c r="G3808" s="14"/>
      <c r="H3808" s="23"/>
      <c r="I3808" s="27"/>
      <c r="J3808" s="23"/>
      <c r="K3808" s="30"/>
      <c r="L3808" s="23"/>
      <c r="M3808" s="20"/>
      <c r="N3808" s="20"/>
      <c r="O3808" s="20"/>
      <c r="P3808" s="20"/>
    </row>
    <row r="3809">
      <c r="A3809" s="10"/>
      <c r="B3809" s="11"/>
      <c r="C3809" s="10"/>
      <c r="D3809" s="13"/>
      <c r="E3809" s="14"/>
      <c r="F3809" s="14"/>
      <c r="G3809" s="14"/>
      <c r="H3809" s="10"/>
      <c r="I3809" s="17"/>
      <c r="J3809" s="10"/>
      <c r="K3809" s="46"/>
      <c r="L3809" s="10"/>
      <c r="M3809" s="20"/>
      <c r="N3809" s="20"/>
      <c r="O3809" s="20"/>
      <c r="P3809" s="20"/>
    </row>
    <row r="3810">
      <c r="A3810" s="23"/>
      <c r="B3810" s="21"/>
      <c r="C3810" s="23"/>
      <c r="D3810" s="24"/>
      <c r="E3810" s="14"/>
      <c r="F3810" s="14"/>
      <c r="G3810" s="14"/>
      <c r="H3810" s="23"/>
      <c r="I3810" s="27"/>
      <c r="J3810" s="23"/>
      <c r="K3810" s="30"/>
      <c r="L3810" s="23"/>
      <c r="M3810" s="20"/>
      <c r="N3810" s="20"/>
      <c r="O3810" s="20"/>
      <c r="P3810" s="20"/>
    </row>
    <row r="3811">
      <c r="A3811" s="10"/>
      <c r="B3811" s="11"/>
      <c r="C3811" s="10"/>
      <c r="D3811" s="13"/>
      <c r="E3811" s="14"/>
      <c r="F3811" s="14"/>
      <c r="G3811" s="14"/>
      <c r="H3811" s="10"/>
      <c r="I3811" s="17"/>
      <c r="J3811" s="10"/>
      <c r="K3811" s="46"/>
      <c r="L3811" s="10"/>
      <c r="M3811" s="20"/>
      <c r="N3811" s="20"/>
      <c r="O3811" s="20"/>
      <c r="P3811" s="20"/>
    </row>
    <row r="3812">
      <c r="A3812" s="23"/>
      <c r="B3812" s="21"/>
      <c r="C3812" s="23"/>
      <c r="D3812" s="24"/>
      <c r="E3812" s="14"/>
      <c r="F3812" s="14"/>
      <c r="G3812" s="14"/>
      <c r="H3812" s="23"/>
      <c r="I3812" s="27"/>
      <c r="J3812" s="23"/>
      <c r="K3812" s="30"/>
      <c r="L3812" s="23"/>
      <c r="M3812" s="20"/>
      <c r="N3812" s="20"/>
      <c r="O3812" s="20"/>
      <c r="P3812" s="20"/>
    </row>
    <row r="3813">
      <c r="A3813" s="10"/>
      <c r="B3813" s="11"/>
      <c r="C3813" s="10"/>
      <c r="D3813" s="13"/>
      <c r="E3813" s="14"/>
      <c r="F3813" s="14"/>
      <c r="G3813" s="14"/>
      <c r="H3813" s="10"/>
      <c r="I3813" s="17"/>
      <c r="J3813" s="10"/>
      <c r="K3813" s="46"/>
      <c r="L3813" s="10"/>
      <c r="M3813" s="20"/>
      <c r="N3813" s="20"/>
      <c r="O3813" s="20"/>
      <c r="P3813" s="20"/>
    </row>
    <row r="3814">
      <c r="A3814" s="23"/>
      <c r="B3814" s="21"/>
      <c r="C3814" s="23"/>
      <c r="D3814" s="24"/>
      <c r="E3814" s="14"/>
      <c r="F3814" s="14"/>
      <c r="G3814" s="14"/>
      <c r="H3814" s="23"/>
      <c r="I3814" s="27"/>
      <c r="J3814" s="23"/>
      <c r="K3814" s="30"/>
      <c r="L3814" s="23"/>
      <c r="M3814" s="20"/>
      <c r="N3814" s="20"/>
      <c r="O3814" s="20"/>
      <c r="P3814" s="20"/>
    </row>
    <row r="3815">
      <c r="A3815" s="10"/>
      <c r="B3815" s="11"/>
      <c r="C3815" s="10"/>
      <c r="D3815" s="13"/>
      <c r="E3815" s="14"/>
      <c r="F3815" s="14"/>
      <c r="G3815" s="14"/>
      <c r="H3815" s="10"/>
      <c r="I3815" s="17"/>
      <c r="J3815" s="10"/>
      <c r="K3815" s="46"/>
      <c r="L3815" s="10"/>
      <c r="M3815" s="20"/>
      <c r="N3815" s="20"/>
      <c r="O3815" s="20"/>
      <c r="P3815" s="20"/>
    </row>
    <row r="3816">
      <c r="A3816" s="23"/>
      <c r="B3816" s="21"/>
      <c r="C3816" s="23"/>
      <c r="D3816" s="24"/>
      <c r="E3816" s="14"/>
      <c r="F3816" s="14"/>
      <c r="G3816" s="14"/>
      <c r="H3816" s="23"/>
      <c r="I3816" s="27"/>
      <c r="J3816" s="23"/>
      <c r="K3816" s="30"/>
      <c r="L3816" s="23"/>
      <c r="M3816" s="20"/>
      <c r="N3816" s="20"/>
      <c r="O3816" s="20"/>
      <c r="P3816" s="20"/>
    </row>
    <row r="3817">
      <c r="A3817" s="10"/>
      <c r="B3817" s="11"/>
      <c r="C3817" s="10"/>
      <c r="D3817" s="13"/>
      <c r="E3817" s="14"/>
      <c r="F3817" s="14"/>
      <c r="G3817" s="14"/>
      <c r="H3817" s="10"/>
      <c r="I3817" s="17"/>
      <c r="J3817" s="10"/>
      <c r="K3817" s="46"/>
      <c r="L3817" s="10"/>
      <c r="M3817" s="20"/>
      <c r="N3817" s="20"/>
      <c r="O3817" s="20"/>
      <c r="P3817" s="20"/>
    </row>
    <row r="3818">
      <c r="A3818" s="23"/>
      <c r="B3818" s="21"/>
      <c r="C3818" s="23"/>
      <c r="D3818" s="24"/>
      <c r="E3818" s="14"/>
      <c r="F3818" s="14"/>
      <c r="G3818" s="14"/>
      <c r="H3818" s="23"/>
      <c r="I3818" s="27"/>
      <c r="J3818" s="23"/>
      <c r="K3818" s="30"/>
      <c r="L3818" s="23"/>
      <c r="M3818" s="20"/>
      <c r="N3818" s="20"/>
      <c r="O3818" s="20"/>
      <c r="P3818" s="20"/>
    </row>
    <row r="3819">
      <c r="A3819" s="10"/>
      <c r="B3819" s="11"/>
      <c r="C3819" s="10"/>
      <c r="D3819" s="13"/>
      <c r="E3819" s="14"/>
      <c r="F3819" s="14"/>
      <c r="G3819" s="14"/>
      <c r="H3819" s="10"/>
      <c r="I3819" s="17"/>
      <c r="J3819" s="10"/>
      <c r="K3819" s="46"/>
      <c r="L3819" s="10"/>
      <c r="M3819" s="20"/>
      <c r="N3819" s="20"/>
      <c r="O3819" s="20"/>
      <c r="P3819" s="20"/>
    </row>
    <row r="3820">
      <c r="A3820" s="23"/>
      <c r="B3820" s="21"/>
      <c r="C3820" s="23"/>
      <c r="D3820" s="24"/>
      <c r="E3820" s="14"/>
      <c r="F3820" s="14"/>
      <c r="G3820" s="14"/>
      <c r="H3820" s="23"/>
      <c r="I3820" s="27"/>
      <c r="J3820" s="23"/>
      <c r="K3820" s="30"/>
      <c r="L3820" s="23"/>
      <c r="M3820" s="20"/>
      <c r="N3820" s="20"/>
      <c r="O3820" s="20"/>
      <c r="P3820" s="20"/>
    </row>
    <row r="3821">
      <c r="A3821" s="10"/>
      <c r="B3821" s="11"/>
      <c r="C3821" s="10"/>
      <c r="D3821" s="13"/>
      <c r="E3821" s="14"/>
      <c r="F3821" s="14"/>
      <c r="G3821" s="14"/>
      <c r="H3821" s="10"/>
      <c r="I3821" s="17"/>
      <c r="J3821" s="10"/>
      <c r="K3821" s="46"/>
      <c r="L3821" s="10"/>
      <c r="M3821" s="20"/>
      <c r="N3821" s="20"/>
      <c r="O3821" s="20"/>
      <c r="P3821" s="20"/>
    </row>
    <row r="3822">
      <c r="A3822" s="23"/>
      <c r="B3822" s="21"/>
      <c r="C3822" s="23"/>
      <c r="D3822" s="24"/>
      <c r="E3822" s="14"/>
      <c r="F3822" s="14"/>
      <c r="G3822" s="14"/>
      <c r="H3822" s="23"/>
      <c r="I3822" s="27"/>
      <c r="J3822" s="23"/>
      <c r="K3822" s="30"/>
      <c r="L3822" s="23"/>
      <c r="M3822" s="20"/>
      <c r="N3822" s="20"/>
      <c r="O3822" s="20"/>
      <c r="P3822" s="20"/>
    </row>
    <row r="3823">
      <c r="A3823" s="10"/>
      <c r="B3823" s="11"/>
      <c r="C3823" s="10"/>
      <c r="D3823" s="13"/>
      <c r="E3823" s="14"/>
      <c r="F3823" s="14"/>
      <c r="G3823" s="14"/>
      <c r="H3823" s="10"/>
      <c r="I3823" s="17"/>
      <c r="J3823" s="10"/>
      <c r="K3823" s="46"/>
      <c r="L3823" s="10"/>
      <c r="M3823" s="20"/>
      <c r="N3823" s="20"/>
      <c r="O3823" s="20"/>
      <c r="P3823" s="20"/>
    </row>
    <row r="3824">
      <c r="A3824" s="23"/>
      <c r="B3824" s="21"/>
      <c r="C3824" s="23"/>
      <c r="D3824" s="24"/>
      <c r="E3824" s="14"/>
      <c r="F3824" s="14"/>
      <c r="G3824" s="14"/>
      <c r="H3824" s="23"/>
      <c r="I3824" s="27"/>
      <c r="J3824" s="23"/>
      <c r="K3824" s="30"/>
      <c r="L3824" s="23"/>
      <c r="M3824" s="20"/>
      <c r="N3824" s="20"/>
      <c r="O3824" s="20"/>
      <c r="P3824" s="20"/>
    </row>
    <row r="3825">
      <c r="A3825" s="10"/>
      <c r="B3825" s="11"/>
      <c r="C3825" s="10"/>
      <c r="D3825" s="13"/>
      <c r="E3825" s="14"/>
      <c r="F3825" s="14"/>
      <c r="G3825" s="14"/>
      <c r="H3825" s="10"/>
      <c r="I3825" s="17"/>
      <c r="J3825" s="10"/>
      <c r="K3825" s="46"/>
      <c r="L3825" s="10"/>
      <c r="M3825" s="20"/>
      <c r="N3825" s="20"/>
      <c r="O3825" s="20"/>
      <c r="P3825" s="20"/>
    </row>
    <row r="3826">
      <c r="A3826" s="23"/>
      <c r="B3826" s="21"/>
      <c r="C3826" s="23"/>
      <c r="D3826" s="24"/>
      <c r="E3826" s="14"/>
      <c r="F3826" s="14"/>
      <c r="G3826" s="14"/>
      <c r="H3826" s="23"/>
      <c r="I3826" s="27"/>
      <c r="J3826" s="23"/>
      <c r="K3826" s="30"/>
      <c r="L3826" s="23"/>
      <c r="M3826" s="20"/>
      <c r="N3826" s="20"/>
      <c r="O3826" s="20"/>
      <c r="P3826" s="20"/>
    </row>
    <row r="3827">
      <c r="A3827" s="10"/>
      <c r="B3827" s="11"/>
      <c r="C3827" s="10"/>
      <c r="D3827" s="13"/>
      <c r="E3827" s="14"/>
      <c r="F3827" s="14"/>
      <c r="G3827" s="14"/>
      <c r="H3827" s="10"/>
      <c r="I3827" s="17"/>
      <c r="J3827" s="10"/>
      <c r="K3827" s="46"/>
      <c r="L3827" s="10"/>
      <c r="M3827" s="20"/>
      <c r="N3827" s="20"/>
      <c r="O3827" s="20"/>
      <c r="P3827" s="20"/>
    </row>
    <row r="3828">
      <c r="A3828" s="23"/>
      <c r="B3828" s="21"/>
      <c r="C3828" s="23"/>
      <c r="D3828" s="24"/>
      <c r="E3828" s="14"/>
      <c r="F3828" s="14"/>
      <c r="G3828" s="14"/>
      <c r="H3828" s="23"/>
      <c r="I3828" s="27"/>
      <c r="J3828" s="23"/>
      <c r="K3828" s="30"/>
      <c r="L3828" s="23"/>
      <c r="M3828" s="20"/>
      <c r="N3828" s="20"/>
      <c r="O3828" s="20"/>
      <c r="P3828" s="20"/>
    </row>
    <row r="3829">
      <c r="A3829" s="10"/>
      <c r="B3829" s="11"/>
      <c r="C3829" s="10"/>
      <c r="D3829" s="13"/>
      <c r="E3829" s="14"/>
      <c r="F3829" s="14"/>
      <c r="G3829" s="14"/>
      <c r="H3829" s="10"/>
      <c r="I3829" s="17"/>
      <c r="J3829" s="10"/>
      <c r="K3829" s="46"/>
      <c r="L3829" s="10"/>
      <c r="M3829" s="20"/>
      <c r="N3829" s="20"/>
      <c r="O3829" s="20"/>
      <c r="P3829" s="20"/>
    </row>
    <row r="3830">
      <c r="A3830" s="23"/>
      <c r="B3830" s="21"/>
      <c r="C3830" s="23"/>
      <c r="D3830" s="24"/>
      <c r="E3830" s="14"/>
      <c r="F3830" s="14"/>
      <c r="G3830" s="14"/>
      <c r="H3830" s="23"/>
      <c r="I3830" s="27"/>
      <c r="J3830" s="23"/>
      <c r="K3830" s="30"/>
      <c r="L3830" s="23"/>
      <c r="M3830" s="20"/>
      <c r="N3830" s="20"/>
      <c r="O3830" s="20"/>
      <c r="P3830" s="20"/>
    </row>
    <row r="3831">
      <c r="A3831" s="10"/>
      <c r="B3831" s="11"/>
      <c r="C3831" s="10"/>
      <c r="D3831" s="13"/>
      <c r="E3831" s="14"/>
      <c r="F3831" s="14"/>
      <c r="G3831" s="14"/>
      <c r="H3831" s="10"/>
      <c r="I3831" s="17"/>
      <c r="J3831" s="10"/>
      <c r="K3831" s="46"/>
      <c r="L3831" s="10"/>
      <c r="M3831" s="20"/>
      <c r="N3831" s="20"/>
      <c r="O3831" s="20"/>
      <c r="P3831" s="20"/>
    </row>
    <row r="3832">
      <c r="A3832" s="23"/>
      <c r="B3832" s="21"/>
      <c r="C3832" s="23"/>
      <c r="D3832" s="24"/>
      <c r="E3832" s="14"/>
      <c r="F3832" s="14"/>
      <c r="G3832" s="14"/>
      <c r="H3832" s="23"/>
      <c r="I3832" s="27"/>
      <c r="J3832" s="23"/>
      <c r="K3832" s="30"/>
      <c r="L3832" s="23"/>
      <c r="M3832" s="20"/>
      <c r="N3832" s="20"/>
      <c r="O3832" s="20"/>
      <c r="P3832" s="20"/>
    </row>
    <row r="3833">
      <c r="A3833" s="10"/>
      <c r="B3833" s="11"/>
      <c r="C3833" s="10"/>
      <c r="D3833" s="13"/>
      <c r="E3833" s="14"/>
      <c r="F3833" s="14"/>
      <c r="G3833" s="14"/>
      <c r="H3833" s="10"/>
      <c r="I3833" s="17"/>
      <c r="J3833" s="10"/>
      <c r="K3833" s="46"/>
      <c r="L3833" s="10"/>
      <c r="M3833" s="20"/>
      <c r="N3833" s="20"/>
      <c r="O3833" s="20"/>
      <c r="P3833" s="20"/>
    </row>
    <row r="3834">
      <c r="A3834" s="23"/>
      <c r="B3834" s="21"/>
      <c r="C3834" s="23"/>
      <c r="D3834" s="24"/>
      <c r="E3834" s="14"/>
      <c r="F3834" s="14"/>
      <c r="G3834" s="14"/>
      <c r="H3834" s="23"/>
      <c r="I3834" s="27"/>
      <c r="J3834" s="23"/>
      <c r="K3834" s="30"/>
      <c r="L3834" s="23"/>
      <c r="M3834" s="20"/>
      <c r="N3834" s="20"/>
      <c r="O3834" s="20"/>
      <c r="P3834" s="20"/>
    </row>
    <row r="3835">
      <c r="A3835" s="10"/>
      <c r="B3835" s="11"/>
      <c r="C3835" s="10"/>
      <c r="D3835" s="13"/>
      <c r="E3835" s="14"/>
      <c r="F3835" s="14"/>
      <c r="G3835" s="14"/>
      <c r="H3835" s="10"/>
      <c r="I3835" s="17"/>
      <c r="J3835" s="10"/>
      <c r="K3835" s="46"/>
      <c r="L3835" s="10"/>
      <c r="M3835" s="20"/>
      <c r="N3835" s="20"/>
      <c r="O3835" s="20"/>
      <c r="P3835" s="20"/>
    </row>
    <row r="3836">
      <c r="A3836" s="23"/>
      <c r="B3836" s="21"/>
      <c r="C3836" s="23"/>
      <c r="D3836" s="24"/>
      <c r="E3836" s="14"/>
      <c r="F3836" s="14"/>
      <c r="G3836" s="14"/>
      <c r="H3836" s="23"/>
      <c r="I3836" s="27"/>
      <c r="J3836" s="23"/>
      <c r="K3836" s="30"/>
      <c r="L3836" s="23"/>
      <c r="M3836" s="20"/>
      <c r="N3836" s="20"/>
      <c r="O3836" s="20"/>
      <c r="P3836" s="20"/>
    </row>
    <row r="3837">
      <c r="A3837" s="10"/>
      <c r="B3837" s="11"/>
      <c r="C3837" s="10"/>
      <c r="D3837" s="13"/>
      <c r="E3837" s="14"/>
      <c r="F3837" s="14"/>
      <c r="G3837" s="14"/>
      <c r="H3837" s="10"/>
      <c r="I3837" s="17"/>
      <c r="J3837" s="10"/>
      <c r="K3837" s="46"/>
      <c r="L3837" s="10"/>
      <c r="M3837" s="20"/>
      <c r="N3837" s="20"/>
      <c r="O3837" s="20"/>
      <c r="P3837" s="20"/>
    </row>
    <row r="3838">
      <c r="A3838" s="23"/>
      <c r="B3838" s="21"/>
      <c r="C3838" s="23"/>
      <c r="D3838" s="24"/>
      <c r="E3838" s="14"/>
      <c r="F3838" s="14"/>
      <c r="G3838" s="14"/>
      <c r="H3838" s="23"/>
      <c r="I3838" s="27"/>
      <c r="J3838" s="23"/>
      <c r="K3838" s="30"/>
      <c r="L3838" s="23"/>
      <c r="M3838" s="20"/>
      <c r="N3838" s="20"/>
      <c r="O3838" s="20"/>
      <c r="P3838" s="20"/>
    </row>
    <row r="3839">
      <c r="A3839" s="10"/>
      <c r="B3839" s="11"/>
      <c r="C3839" s="10"/>
      <c r="D3839" s="13"/>
      <c r="E3839" s="14"/>
      <c r="F3839" s="14"/>
      <c r="G3839" s="14"/>
      <c r="H3839" s="10"/>
      <c r="I3839" s="17"/>
      <c r="J3839" s="10"/>
      <c r="K3839" s="46"/>
      <c r="L3839" s="10"/>
      <c r="M3839" s="20"/>
      <c r="N3839" s="20"/>
      <c r="O3839" s="20"/>
      <c r="P3839" s="20"/>
    </row>
    <row r="3840">
      <c r="A3840" s="23"/>
      <c r="B3840" s="21"/>
      <c r="C3840" s="23"/>
      <c r="D3840" s="24"/>
      <c r="E3840" s="14"/>
      <c r="F3840" s="14"/>
      <c r="G3840" s="14"/>
      <c r="H3840" s="23"/>
      <c r="I3840" s="27"/>
      <c r="J3840" s="23"/>
      <c r="K3840" s="30"/>
      <c r="L3840" s="23"/>
      <c r="M3840" s="20"/>
      <c r="N3840" s="20"/>
      <c r="O3840" s="20"/>
      <c r="P3840" s="20"/>
    </row>
    <row r="3841">
      <c r="A3841" s="10"/>
      <c r="B3841" s="11"/>
      <c r="C3841" s="10"/>
      <c r="D3841" s="13"/>
      <c r="E3841" s="14"/>
      <c r="F3841" s="14"/>
      <c r="G3841" s="14"/>
      <c r="H3841" s="10"/>
      <c r="I3841" s="17"/>
      <c r="J3841" s="10"/>
      <c r="K3841" s="46"/>
      <c r="L3841" s="10"/>
      <c r="M3841" s="20"/>
      <c r="N3841" s="20"/>
      <c r="O3841" s="20"/>
      <c r="P3841" s="20"/>
    </row>
    <row r="3842">
      <c r="A3842" s="23"/>
      <c r="B3842" s="21"/>
      <c r="C3842" s="23"/>
      <c r="D3842" s="24"/>
      <c r="E3842" s="14"/>
      <c r="F3842" s="14"/>
      <c r="G3842" s="14"/>
      <c r="H3842" s="23"/>
      <c r="I3842" s="27"/>
      <c r="J3842" s="23"/>
      <c r="K3842" s="30"/>
      <c r="L3842" s="23"/>
      <c r="M3842" s="20"/>
      <c r="N3842" s="20"/>
      <c r="O3842" s="20"/>
      <c r="P3842" s="20"/>
    </row>
    <row r="3843">
      <c r="A3843" s="10"/>
      <c r="B3843" s="11"/>
      <c r="C3843" s="10"/>
      <c r="D3843" s="13"/>
      <c r="E3843" s="14"/>
      <c r="F3843" s="14"/>
      <c r="G3843" s="14"/>
      <c r="H3843" s="10"/>
      <c r="I3843" s="17"/>
      <c r="J3843" s="10"/>
      <c r="K3843" s="46"/>
      <c r="L3843" s="10"/>
      <c r="M3843" s="20"/>
      <c r="N3843" s="20"/>
      <c r="O3843" s="20"/>
      <c r="P3843" s="20"/>
    </row>
    <row r="3844">
      <c r="A3844" s="23"/>
      <c r="B3844" s="21"/>
      <c r="C3844" s="23"/>
      <c r="D3844" s="24"/>
      <c r="E3844" s="14"/>
      <c r="F3844" s="14"/>
      <c r="G3844" s="14"/>
      <c r="H3844" s="23"/>
      <c r="I3844" s="27"/>
      <c r="J3844" s="23"/>
      <c r="K3844" s="30"/>
      <c r="L3844" s="23"/>
      <c r="M3844" s="20"/>
      <c r="N3844" s="20"/>
      <c r="O3844" s="20"/>
      <c r="P3844" s="20"/>
    </row>
    <row r="3845">
      <c r="A3845" s="10"/>
      <c r="B3845" s="11"/>
      <c r="C3845" s="10"/>
      <c r="D3845" s="13"/>
      <c r="E3845" s="14"/>
      <c r="F3845" s="14"/>
      <c r="G3845" s="14"/>
      <c r="H3845" s="10"/>
      <c r="I3845" s="17"/>
      <c r="J3845" s="10"/>
      <c r="K3845" s="46"/>
      <c r="L3845" s="10"/>
      <c r="M3845" s="20"/>
      <c r="N3845" s="20"/>
      <c r="O3845" s="20"/>
      <c r="P3845" s="20"/>
    </row>
    <row r="3846">
      <c r="A3846" s="23"/>
      <c r="B3846" s="21"/>
      <c r="C3846" s="23"/>
      <c r="D3846" s="24"/>
      <c r="E3846" s="14"/>
      <c r="F3846" s="14"/>
      <c r="G3846" s="14"/>
      <c r="H3846" s="23"/>
      <c r="I3846" s="27"/>
      <c r="J3846" s="23"/>
      <c r="K3846" s="30"/>
      <c r="L3846" s="23"/>
      <c r="M3846" s="20"/>
      <c r="N3846" s="20"/>
      <c r="O3846" s="20"/>
      <c r="P3846" s="20"/>
    </row>
    <row r="3847">
      <c r="A3847" s="10"/>
      <c r="B3847" s="11"/>
      <c r="C3847" s="10"/>
      <c r="D3847" s="13"/>
      <c r="E3847" s="14"/>
      <c r="F3847" s="14"/>
      <c r="G3847" s="14"/>
      <c r="H3847" s="10"/>
      <c r="I3847" s="17"/>
      <c r="J3847" s="10"/>
      <c r="K3847" s="46"/>
      <c r="L3847" s="10"/>
      <c r="M3847" s="20"/>
      <c r="N3847" s="20"/>
      <c r="O3847" s="20"/>
      <c r="P3847" s="20"/>
    </row>
    <row r="3848">
      <c r="A3848" s="23"/>
      <c r="B3848" s="21"/>
      <c r="C3848" s="23"/>
      <c r="D3848" s="24"/>
      <c r="E3848" s="14"/>
      <c r="F3848" s="14"/>
      <c r="G3848" s="14"/>
      <c r="H3848" s="23"/>
      <c r="I3848" s="27"/>
      <c r="J3848" s="23"/>
      <c r="K3848" s="30"/>
      <c r="L3848" s="23"/>
      <c r="M3848" s="20"/>
      <c r="N3848" s="20"/>
      <c r="O3848" s="20"/>
      <c r="P3848" s="20"/>
    </row>
    <row r="3849">
      <c r="A3849" s="10"/>
      <c r="B3849" s="11"/>
      <c r="C3849" s="10"/>
      <c r="D3849" s="13"/>
      <c r="E3849" s="14"/>
      <c r="F3849" s="14"/>
      <c r="G3849" s="14"/>
      <c r="H3849" s="10"/>
      <c r="I3849" s="17"/>
      <c r="J3849" s="10"/>
      <c r="K3849" s="46"/>
      <c r="L3849" s="10"/>
      <c r="M3849" s="20"/>
      <c r="N3849" s="20"/>
      <c r="O3849" s="20"/>
      <c r="P3849" s="20"/>
    </row>
    <row r="3850">
      <c r="A3850" s="23"/>
      <c r="B3850" s="21"/>
      <c r="C3850" s="23"/>
      <c r="D3850" s="24"/>
      <c r="E3850" s="14"/>
      <c r="F3850" s="14"/>
      <c r="G3850" s="14"/>
      <c r="H3850" s="23"/>
      <c r="I3850" s="27"/>
      <c r="J3850" s="23"/>
      <c r="K3850" s="30"/>
      <c r="L3850" s="23"/>
      <c r="M3850" s="20"/>
      <c r="N3850" s="20"/>
      <c r="O3850" s="20"/>
      <c r="P3850" s="20"/>
    </row>
    <row r="3851">
      <c r="A3851" s="10"/>
      <c r="B3851" s="11"/>
      <c r="C3851" s="10"/>
      <c r="D3851" s="13"/>
      <c r="E3851" s="14"/>
      <c r="F3851" s="14"/>
      <c r="G3851" s="14"/>
      <c r="H3851" s="10"/>
      <c r="I3851" s="17"/>
      <c r="J3851" s="10"/>
      <c r="K3851" s="46"/>
      <c r="L3851" s="10"/>
      <c r="M3851" s="20"/>
      <c r="N3851" s="20"/>
      <c r="O3851" s="20"/>
      <c r="P3851" s="20"/>
    </row>
    <row r="3852">
      <c r="A3852" s="23"/>
      <c r="B3852" s="21"/>
      <c r="C3852" s="23"/>
      <c r="D3852" s="24"/>
      <c r="E3852" s="14"/>
      <c r="F3852" s="14"/>
      <c r="G3852" s="14"/>
      <c r="H3852" s="23"/>
      <c r="I3852" s="27"/>
      <c r="J3852" s="23"/>
      <c r="K3852" s="30"/>
      <c r="L3852" s="23"/>
      <c r="M3852" s="20"/>
      <c r="N3852" s="20"/>
      <c r="O3852" s="20"/>
      <c r="P3852" s="20"/>
    </row>
    <row r="3853">
      <c r="A3853" s="10"/>
      <c r="B3853" s="11"/>
      <c r="C3853" s="10"/>
      <c r="D3853" s="13"/>
      <c r="E3853" s="14"/>
      <c r="F3853" s="14"/>
      <c r="G3853" s="14"/>
      <c r="H3853" s="10"/>
      <c r="I3853" s="17"/>
      <c r="J3853" s="10"/>
      <c r="K3853" s="46"/>
      <c r="L3853" s="10"/>
      <c r="M3853" s="20"/>
      <c r="N3853" s="20"/>
      <c r="O3853" s="20"/>
      <c r="P3853" s="20"/>
    </row>
    <row r="3854">
      <c r="A3854" s="23"/>
      <c r="B3854" s="21"/>
      <c r="C3854" s="23"/>
      <c r="D3854" s="24"/>
      <c r="E3854" s="14"/>
      <c r="F3854" s="14"/>
      <c r="G3854" s="14"/>
      <c r="H3854" s="23"/>
      <c r="I3854" s="27"/>
      <c r="J3854" s="23"/>
      <c r="K3854" s="30"/>
      <c r="L3854" s="23"/>
      <c r="M3854" s="20"/>
      <c r="N3854" s="20"/>
      <c r="O3854" s="20"/>
      <c r="P3854" s="20"/>
    </row>
    <row r="3855">
      <c r="A3855" s="10"/>
      <c r="B3855" s="11"/>
      <c r="C3855" s="10"/>
      <c r="D3855" s="13"/>
      <c r="E3855" s="14"/>
      <c r="F3855" s="14"/>
      <c r="G3855" s="14"/>
      <c r="H3855" s="10"/>
      <c r="I3855" s="17"/>
      <c r="J3855" s="10"/>
      <c r="K3855" s="46"/>
      <c r="L3855" s="10"/>
      <c r="M3855" s="20"/>
      <c r="N3855" s="20"/>
      <c r="O3855" s="20"/>
      <c r="P3855" s="20"/>
    </row>
    <row r="3856">
      <c r="A3856" s="23"/>
      <c r="B3856" s="21"/>
      <c r="C3856" s="23"/>
      <c r="D3856" s="24"/>
      <c r="E3856" s="14"/>
      <c r="F3856" s="14"/>
      <c r="G3856" s="14"/>
      <c r="H3856" s="23"/>
      <c r="I3856" s="27"/>
      <c r="J3856" s="23"/>
      <c r="K3856" s="30"/>
      <c r="L3856" s="23"/>
      <c r="M3856" s="20"/>
      <c r="N3856" s="20"/>
      <c r="O3856" s="20"/>
      <c r="P3856" s="20"/>
    </row>
    <row r="3857">
      <c r="A3857" s="10"/>
      <c r="B3857" s="11"/>
      <c r="C3857" s="10"/>
      <c r="D3857" s="13"/>
      <c r="E3857" s="14"/>
      <c r="F3857" s="14"/>
      <c r="G3857" s="14"/>
      <c r="H3857" s="10"/>
      <c r="I3857" s="17"/>
      <c r="J3857" s="10"/>
      <c r="K3857" s="46"/>
      <c r="L3857" s="10"/>
      <c r="M3857" s="20"/>
      <c r="N3857" s="20"/>
      <c r="O3857" s="20"/>
      <c r="P3857" s="20"/>
    </row>
    <row r="3858">
      <c r="A3858" s="23"/>
      <c r="B3858" s="21"/>
      <c r="C3858" s="23"/>
      <c r="D3858" s="24"/>
      <c r="E3858" s="14"/>
      <c r="F3858" s="14"/>
      <c r="G3858" s="14"/>
      <c r="H3858" s="23"/>
      <c r="I3858" s="27"/>
      <c r="J3858" s="23"/>
      <c r="K3858" s="30"/>
      <c r="L3858" s="23"/>
      <c r="M3858" s="20"/>
      <c r="N3858" s="20"/>
      <c r="O3858" s="20"/>
      <c r="P3858" s="20"/>
    </row>
    <row r="3859">
      <c r="A3859" s="10"/>
      <c r="B3859" s="11"/>
      <c r="C3859" s="10"/>
      <c r="D3859" s="13"/>
      <c r="E3859" s="14"/>
      <c r="F3859" s="14"/>
      <c r="G3859" s="14"/>
      <c r="H3859" s="10"/>
      <c r="I3859" s="17"/>
      <c r="J3859" s="10"/>
      <c r="K3859" s="46"/>
      <c r="L3859" s="10"/>
      <c r="M3859" s="20"/>
      <c r="N3859" s="20"/>
      <c r="O3859" s="20"/>
      <c r="P3859" s="20"/>
    </row>
    <row r="3860">
      <c r="A3860" s="23"/>
      <c r="B3860" s="21"/>
      <c r="C3860" s="23"/>
      <c r="D3860" s="24"/>
      <c r="E3860" s="14"/>
      <c r="F3860" s="14"/>
      <c r="G3860" s="14"/>
      <c r="H3860" s="23"/>
      <c r="I3860" s="27"/>
      <c r="J3860" s="23"/>
      <c r="K3860" s="30"/>
      <c r="L3860" s="23"/>
      <c r="M3860" s="20"/>
      <c r="N3860" s="20"/>
      <c r="O3860" s="20"/>
      <c r="P3860" s="20"/>
    </row>
    <row r="3861">
      <c r="A3861" s="10"/>
      <c r="B3861" s="11"/>
      <c r="C3861" s="10"/>
      <c r="D3861" s="13"/>
      <c r="E3861" s="14"/>
      <c r="F3861" s="14"/>
      <c r="G3861" s="14"/>
      <c r="H3861" s="10"/>
      <c r="I3861" s="17"/>
      <c r="J3861" s="10"/>
      <c r="K3861" s="46"/>
      <c r="L3861" s="10"/>
      <c r="M3861" s="20"/>
      <c r="N3861" s="20"/>
      <c r="O3861" s="20"/>
      <c r="P3861" s="20"/>
    </row>
    <row r="3862">
      <c r="A3862" s="23"/>
      <c r="B3862" s="21"/>
      <c r="C3862" s="23"/>
      <c r="D3862" s="24"/>
      <c r="E3862" s="14"/>
      <c r="F3862" s="14"/>
      <c r="G3862" s="14"/>
      <c r="H3862" s="23"/>
      <c r="I3862" s="27"/>
      <c r="J3862" s="23"/>
      <c r="K3862" s="30"/>
      <c r="L3862" s="23"/>
      <c r="M3862" s="20"/>
      <c r="N3862" s="20"/>
      <c r="O3862" s="20"/>
      <c r="P3862" s="20"/>
    </row>
    <row r="3863">
      <c r="A3863" s="10"/>
      <c r="B3863" s="11"/>
      <c r="C3863" s="10"/>
      <c r="D3863" s="13"/>
      <c r="E3863" s="14"/>
      <c r="F3863" s="14"/>
      <c r="G3863" s="14"/>
      <c r="H3863" s="10"/>
      <c r="I3863" s="17"/>
      <c r="J3863" s="10"/>
      <c r="K3863" s="46"/>
      <c r="L3863" s="10"/>
      <c r="M3863" s="20"/>
      <c r="N3863" s="20"/>
      <c r="O3863" s="20"/>
      <c r="P3863" s="20"/>
    </row>
    <row r="3864">
      <c r="A3864" s="23"/>
      <c r="B3864" s="21"/>
      <c r="C3864" s="23"/>
      <c r="D3864" s="24"/>
      <c r="E3864" s="14"/>
      <c r="F3864" s="14"/>
      <c r="G3864" s="14"/>
      <c r="H3864" s="23"/>
      <c r="I3864" s="27"/>
      <c r="J3864" s="23"/>
      <c r="K3864" s="30"/>
      <c r="L3864" s="23"/>
      <c r="M3864" s="20"/>
      <c r="N3864" s="20"/>
      <c r="O3864" s="20"/>
      <c r="P3864" s="20"/>
    </row>
    <row r="3865">
      <c r="A3865" s="10"/>
      <c r="B3865" s="11"/>
      <c r="C3865" s="10"/>
      <c r="D3865" s="13"/>
      <c r="E3865" s="14"/>
      <c r="F3865" s="14"/>
      <c r="G3865" s="14"/>
      <c r="H3865" s="10"/>
      <c r="I3865" s="17"/>
      <c r="J3865" s="10"/>
      <c r="K3865" s="46"/>
      <c r="L3865" s="10"/>
      <c r="M3865" s="20"/>
      <c r="N3865" s="20"/>
      <c r="O3865" s="20"/>
      <c r="P3865" s="20"/>
    </row>
    <row r="3866">
      <c r="A3866" s="23"/>
      <c r="B3866" s="21"/>
      <c r="C3866" s="23"/>
      <c r="D3866" s="24"/>
      <c r="E3866" s="14"/>
      <c r="F3866" s="14"/>
      <c r="G3866" s="14"/>
      <c r="H3866" s="23"/>
      <c r="I3866" s="27"/>
      <c r="J3866" s="23"/>
      <c r="K3866" s="30"/>
      <c r="L3866" s="23"/>
      <c r="M3866" s="20"/>
      <c r="N3866" s="20"/>
      <c r="O3866" s="20"/>
      <c r="P3866" s="20"/>
    </row>
    <row r="3867">
      <c r="A3867" s="10"/>
      <c r="B3867" s="11"/>
      <c r="C3867" s="10"/>
      <c r="D3867" s="13"/>
      <c r="E3867" s="14"/>
      <c r="F3867" s="14"/>
      <c r="G3867" s="14"/>
      <c r="H3867" s="10"/>
      <c r="I3867" s="17"/>
      <c r="J3867" s="10"/>
      <c r="K3867" s="46"/>
      <c r="L3867" s="10"/>
      <c r="M3867" s="20"/>
      <c r="N3867" s="20"/>
      <c r="O3867" s="20"/>
      <c r="P3867" s="20"/>
    </row>
    <row r="3868">
      <c r="A3868" s="23"/>
      <c r="B3868" s="21"/>
      <c r="C3868" s="23"/>
      <c r="D3868" s="24"/>
      <c r="E3868" s="14"/>
      <c r="F3868" s="14"/>
      <c r="G3868" s="14"/>
      <c r="H3868" s="23"/>
      <c r="I3868" s="27"/>
      <c r="J3868" s="23"/>
      <c r="K3868" s="30"/>
      <c r="L3868" s="23"/>
      <c r="M3868" s="20"/>
      <c r="N3868" s="20"/>
      <c r="O3868" s="20"/>
      <c r="P3868" s="20"/>
    </row>
    <row r="3869">
      <c r="A3869" s="10"/>
      <c r="B3869" s="11"/>
      <c r="C3869" s="10"/>
      <c r="D3869" s="13"/>
      <c r="E3869" s="14"/>
      <c r="F3869" s="14"/>
      <c r="G3869" s="14"/>
      <c r="H3869" s="10"/>
      <c r="I3869" s="17"/>
      <c r="J3869" s="10"/>
      <c r="K3869" s="46"/>
      <c r="L3869" s="10"/>
      <c r="M3869" s="20"/>
      <c r="N3869" s="20"/>
      <c r="O3869" s="20"/>
      <c r="P3869" s="20"/>
    </row>
    <row r="3870">
      <c r="A3870" s="23"/>
      <c r="B3870" s="21"/>
      <c r="C3870" s="23"/>
      <c r="D3870" s="24"/>
      <c r="E3870" s="14"/>
      <c r="F3870" s="14"/>
      <c r="G3870" s="14"/>
      <c r="H3870" s="23"/>
      <c r="I3870" s="27"/>
      <c r="J3870" s="23"/>
      <c r="K3870" s="30"/>
      <c r="L3870" s="23"/>
      <c r="M3870" s="20"/>
      <c r="N3870" s="20"/>
      <c r="O3870" s="20"/>
      <c r="P3870" s="20"/>
    </row>
    <row r="3871">
      <c r="A3871" s="10"/>
      <c r="B3871" s="11"/>
      <c r="C3871" s="10"/>
      <c r="D3871" s="13"/>
      <c r="E3871" s="14"/>
      <c r="F3871" s="14"/>
      <c r="G3871" s="14"/>
      <c r="H3871" s="10"/>
      <c r="I3871" s="17"/>
      <c r="J3871" s="10"/>
      <c r="K3871" s="46"/>
      <c r="L3871" s="10"/>
      <c r="M3871" s="20"/>
      <c r="N3871" s="20"/>
      <c r="O3871" s="20"/>
      <c r="P3871" s="20"/>
    </row>
    <row r="3872">
      <c r="A3872" s="23"/>
      <c r="B3872" s="21"/>
      <c r="C3872" s="23"/>
      <c r="D3872" s="24"/>
      <c r="E3872" s="14"/>
      <c r="F3872" s="14"/>
      <c r="G3872" s="14"/>
      <c r="H3872" s="23"/>
      <c r="I3872" s="27"/>
      <c r="J3872" s="23"/>
      <c r="K3872" s="30"/>
      <c r="L3872" s="23"/>
      <c r="M3872" s="20"/>
      <c r="N3872" s="20"/>
      <c r="O3872" s="20"/>
      <c r="P3872" s="20"/>
    </row>
    <row r="3873">
      <c r="A3873" s="10"/>
      <c r="B3873" s="11"/>
      <c r="C3873" s="10"/>
      <c r="D3873" s="13"/>
      <c r="E3873" s="14"/>
      <c r="F3873" s="14"/>
      <c r="G3873" s="14"/>
      <c r="H3873" s="10"/>
      <c r="I3873" s="17"/>
      <c r="J3873" s="10"/>
      <c r="K3873" s="46"/>
      <c r="L3873" s="10"/>
      <c r="M3873" s="20"/>
      <c r="N3873" s="20"/>
      <c r="O3873" s="20"/>
      <c r="P3873" s="20"/>
    </row>
    <row r="3874">
      <c r="A3874" s="23"/>
      <c r="B3874" s="21"/>
      <c r="C3874" s="23"/>
      <c r="D3874" s="24"/>
      <c r="E3874" s="14"/>
      <c r="F3874" s="14"/>
      <c r="G3874" s="14"/>
      <c r="H3874" s="23"/>
      <c r="I3874" s="27"/>
      <c r="J3874" s="23"/>
      <c r="K3874" s="30"/>
      <c r="L3874" s="23"/>
      <c r="M3874" s="20"/>
      <c r="N3874" s="20"/>
      <c r="O3874" s="20"/>
      <c r="P3874" s="20"/>
    </row>
    <row r="3875">
      <c r="A3875" s="10"/>
      <c r="B3875" s="11"/>
      <c r="C3875" s="10"/>
      <c r="D3875" s="13"/>
      <c r="E3875" s="14"/>
      <c r="F3875" s="14"/>
      <c r="G3875" s="14"/>
      <c r="H3875" s="10"/>
      <c r="I3875" s="17"/>
      <c r="J3875" s="10"/>
      <c r="K3875" s="46"/>
      <c r="L3875" s="10"/>
      <c r="M3875" s="20"/>
      <c r="N3875" s="20"/>
      <c r="O3875" s="20"/>
      <c r="P3875" s="20"/>
    </row>
    <row r="3876">
      <c r="A3876" s="23"/>
      <c r="B3876" s="21"/>
      <c r="C3876" s="23"/>
      <c r="D3876" s="24"/>
      <c r="E3876" s="14"/>
      <c r="F3876" s="14"/>
      <c r="G3876" s="14"/>
      <c r="H3876" s="23"/>
      <c r="I3876" s="27"/>
      <c r="J3876" s="23"/>
      <c r="K3876" s="30"/>
      <c r="L3876" s="23"/>
      <c r="M3876" s="20"/>
      <c r="N3876" s="20"/>
      <c r="O3876" s="20"/>
      <c r="P3876" s="20"/>
    </row>
    <row r="3877">
      <c r="A3877" s="10"/>
      <c r="B3877" s="11"/>
      <c r="C3877" s="10"/>
      <c r="D3877" s="13"/>
      <c r="E3877" s="14"/>
      <c r="F3877" s="14"/>
      <c r="G3877" s="14"/>
      <c r="H3877" s="10"/>
      <c r="I3877" s="17"/>
      <c r="J3877" s="10"/>
      <c r="K3877" s="46"/>
      <c r="L3877" s="10"/>
      <c r="M3877" s="20"/>
      <c r="N3877" s="20"/>
      <c r="O3877" s="20"/>
      <c r="P3877" s="20"/>
    </row>
    <row r="3878">
      <c r="A3878" s="23"/>
      <c r="B3878" s="21"/>
      <c r="C3878" s="23"/>
      <c r="D3878" s="24"/>
      <c r="E3878" s="14"/>
      <c r="F3878" s="14"/>
      <c r="G3878" s="14"/>
      <c r="H3878" s="23"/>
      <c r="I3878" s="27"/>
      <c r="J3878" s="23"/>
      <c r="K3878" s="30"/>
      <c r="L3878" s="23"/>
      <c r="M3878" s="20"/>
      <c r="N3878" s="20"/>
      <c r="O3878" s="20"/>
      <c r="P3878" s="20"/>
    </row>
    <row r="3879">
      <c r="A3879" s="10"/>
      <c r="B3879" s="11"/>
      <c r="C3879" s="10"/>
      <c r="D3879" s="13"/>
      <c r="E3879" s="14"/>
      <c r="F3879" s="14"/>
      <c r="G3879" s="14"/>
      <c r="H3879" s="10"/>
      <c r="I3879" s="17"/>
      <c r="J3879" s="10"/>
      <c r="K3879" s="46"/>
      <c r="L3879" s="10"/>
      <c r="M3879" s="20"/>
      <c r="N3879" s="20"/>
      <c r="O3879" s="20"/>
      <c r="P3879" s="20"/>
    </row>
    <row r="3880">
      <c r="A3880" s="23"/>
      <c r="B3880" s="21"/>
      <c r="C3880" s="23"/>
      <c r="D3880" s="24"/>
      <c r="E3880" s="14"/>
      <c r="F3880" s="14"/>
      <c r="G3880" s="14"/>
      <c r="H3880" s="23"/>
      <c r="I3880" s="27"/>
      <c r="J3880" s="23"/>
      <c r="K3880" s="30"/>
      <c r="L3880" s="23"/>
      <c r="M3880" s="20"/>
      <c r="N3880" s="20"/>
      <c r="O3880" s="20"/>
      <c r="P3880" s="20"/>
    </row>
    <row r="3881">
      <c r="A3881" s="10"/>
      <c r="B3881" s="11"/>
      <c r="C3881" s="10"/>
      <c r="D3881" s="13"/>
      <c r="E3881" s="14"/>
      <c r="F3881" s="14"/>
      <c r="G3881" s="14"/>
      <c r="H3881" s="10"/>
      <c r="I3881" s="17"/>
      <c r="J3881" s="10"/>
      <c r="K3881" s="46"/>
      <c r="L3881" s="10"/>
      <c r="M3881" s="20"/>
      <c r="N3881" s="20"/>
      <c r="O3881" s="20"/>
      <c r="P3881" s="20"/>
    </row>
    <row r="3882">
      <c r="A3882" s="23"/>
      <c r="B3882" s="21"/>
      <c r="C3882" s="23"/>
      <c r="D3882" s="24"/>
      <c r="E3882" s="14"/>
      <c r="F3882" s="14"/>
      <c r="G3882" s="14"/>
      <c r="H3882" s="23"/>
      <c r="I3882" s="27"/>
      <c r="J3882" s="23"/>
      <c r="K3882" s="30"/>
      <c r="L3882" s="23"/>
      <c r="M3882" s="20"/>
      <c r="N3882" s="20"/>
      <c r="O3882" s="20"/>
      <c r="P3882" s="20"/>
    </row>
    <row r="3883">
      <c r="A3883" s="10"/>
      <c r="B3883" s="11"/>
      <c r="C3883" s="10"/>
      <c r="D3883" s="13"/>
      <c r="E3883" s="14"/>
      <c r="F3883" s="14"/>
      <c r="G3883" s="14"/>
      <c r="H3883" s="10"/>
      <c r="I3883" s="17"/>
      <c r="J3883" s="10"/>
      <c r="K3883" s="46"/>
      <c r="L3883" s="10"/>
      <c r="M3883" s="20"/>
      <c r="N3883" s="20"/>
      <c r="O3883" s="20"/>
      <c r="P3883" s="20"/>
    </row>
    <row r="3884">
      <c r="A3884" s="23"/>
      <c r="B3884" s="21"/>
      <c r="C3884" s="23"/>
      <c r="D3884" s="24"/>
      <c r="E3884" s="14"/>
      <c r="F3884" s="14"/>
      <c r="G3884" s="14"/>
      <c r="H3884" s="23"/>
      <c r="I3884" s="27"/>
      <c r="J3884" s="23"/>
      <c r="K3884" s="30"/>
      <c r="L3884" s="23"/>
      <c r="M3884" s="20"/>
      <c r="N3884" s="20"/>
      <c r="O3884" s="20"/>
      <c r="P3884" s="20"/>
    </row>
    <row r="3885">
      <c r="A3885" s="10"/>
      <c r="B3885" s="11"/>
      <c r="C3885" s="10"/>
      <c r="D3885" s="13"/>
      <c r="E3885" s="14"/>
      <c r="F3885" s="14"/>
      <c r="G3885" s="14"/>
      <c r="H3885" s="10"/>
      <c r="I3885" s="17"/>
      <c r="J3885" s="10"/>
      <c r="K3885" s="46"/>
      <c r="L3885" s="10"/>
      <c r="M3885" s="20"/>
      <c r="N3885" s="20"/>
      <c r="O3885" s="20"/>
      <c r="P3885" s="20"/>
    </row>
    <row r="3886">
      <c r="A3886" s="23"/>
      <c r="B3886" s="21"/>
      <c r="C3886" s="23"/>
      <c r="D3886" s="24"/>
      <c r="E3886" s="14"/>
      <c r="F3886" s="14"/>
      <c r="G3886" s="14"/>
      <c r="H3886" s="23"/>
      <c r="I3886" s="27"/>
      <c r="J3886" s="23"/>
      <c r="K3886" s="30"/>
      <c r="L3886" s="23"/>
      <c r="M3886" s="20"/>
      <c r="N3886" s="20"/>
      <c r="O3886" s="20"/>
      <c r="P3886" s="20"/>
    </row>
    <row r="3887">
      <c r="A3887" s="10"/>
      <c r="B3887" s="11"/>
      <c r="C3887" s="10"/>
      <c r="D3887" s="13"/>
      <c r="E3887" s="14"/>
      <c r="F3887" s="14"/>
      <c r="G3887" s="14"/>
      <c r="H3887" s="10"/>
      <c r="I3887" s="17"/>
      <c r="J3887" s="10"/>
      <c r="K3887" s="46"/>
      <c r="L3887" s="10"/>
      <c r="M3887" s="20"/>
      <c r="N3887" s="20"/>
      <c r="O3887" s="20"/>
      <c r="P3887" s="20"/>
    </row>
    <row r="3888">
      <c r="A3888" s="23"/>
      <c r="B3888" s="21"/>
      <c r="C3888" s="23"/>
      <c r="D3888" s="24"/>
      <c r="E3888" s="14"/>
      <c r="F3888" s="14"/>
      <c r="G3888" s="14"/>
      <c r="H3888" s="23"/>
      <c r="I3888" s="27"/>
      <c r="J3888" s="23"/>
      <c r="K3888" s="30"/>
      <c r="L3888" s="23"/>
      <c r="M3888" s="20"/>
      <c r="N3888" s="20"/>
      <c r="O3888" s="20"/>
      <c r="P3888" s="20"/>
    </row>
    <row r="3889">
      <c r="A3889" s="10"/>
      <c r="B3889" s="11"/>
      <c r="C3889" s="10"/>
      <c r="D3889" s="13"/>
      <c r="E3889" s="14"/>
      <c r="F3889" s="14"/>
      <c r="G3889" s="14"/>
      <c r="H3889" s="10"/>
      <c r="I3889" s="17"/>
      <c r="J3889" s="10"/>
      <c r="K3889" s="46"/>
      <c r="L3889" s="10"/>
      <c r="M3889" s="20"/>
      <c r="N3889" s="20"/>
      <c r="O3889" s="20"/>
      <c r="P3889" s="20"/>
    </row>
    <row r="3890">
      <c r="A3890" s="23"/>
      <c r="B3890" s="21"/>
      <c r="C3890" s="23"/>
      <c r="D3890" s="24"/>
      <c r="E3890" s="14"/>
      <c r="F3890" s="14"/>
      <c r="G3890" s="14"/>
      <c r="H3890" s="23"/>
      <c r="I3890" s="27"/>
      <c r="J3890" s="23"/>
      <c r="K3890" s="30"/>
      <c r="L3890" s="23"/>
      <c r="M3890" s="20"/>
      <c r="N3890" s="20"/>
      <c r="O3890" s="20"/>
      <c r="P3890" s="20"/>
    </row>
    <row r="3891">
      <c r="A3891" s="10"/>
      <c r="B3891" s="11"/>
      <c r="C3891" s="10"/>
      <c r="D3891" s="13"/>
      <c r="E3891" s="14"/>
      <c r="F3891" s="14"/>
      <c r="G3891" s="14"/>
      <c r="H3891" s="10"/>
      <c r="I3891" s="17"/>
      <c r="J3891" s="10"/>
      <c r="K3891" s="46"/>
      <c r="L3891" s="10"/>
      <c r="M3891" s="20"/>
      <c r="N3891" s="20"/>
      <c r="O3891" s="20"/>
      <c r="P3891" s="20"/>
    </row>
    <row r="3892">
      <c r="A3892" s="23"/>
      <c r="B3892" s="21"/>
      <c r="C3892" s="23"/>
      <c r="D3892" s="24"/>
      <c r="E3892" s="14"/>
      <c r="F3892" s="14"/>
      <c r="G3892" s="14"/>
      <c r="H3892" s="23"/>
      <c r="I3892" s="27"/>
      <c r="J3892" s="23"/>
      <c r="K3892" s="30"/>
      <c r="L3892" s="23"/>
      <c r="M3892" s="20"/>
      <c r="N3892" s="20"/>
      <c r="O3892" s="20"/>
      <c r="P3892" s="20"/>
    </row>
    <row r="3893">
      <c r="A3893" s="10"/>
      <c r="B3893" s="11"/>
      <c r="C3893" s="10"/>
      <c r="D3893" s="13"/>
      <c r="E3893" s="14"/>
      <c r="F3893" s="14"/>
      <c r="G3893" s="14"/>
      <c r="H3893" s="10"/>
      <c r="I3893" s="17"/>
      <c r="J3893" s="10"/>
      <c r="K3893" s="46"/>
      <c r="L3893" s="10"/>
      <c r="M3893" s="20"/>
      <c r="N3893" s="20"/>
      <c r="O3893" s="20"/>
      <c r="P3893" s="20"/>
    </row>
    <row r="3894">
      <c r="A3894" s="23"/>
      <c r="B3894" s="21"/>
      <c r="C3894" s="23"/>
      <c r="D3894" s="24"/>
      <c r="E3894" s="14"/>
      <c r="F3894" s="14"/>
      <c r="G3894" s="14"/>
      <c r="H3894" s="23"/>
      <c r="I3894" s="27"/>
      <c r="J3894" s="23"/>
      <c r="K3894" s="30"/>
      <c r="L3894" s="23"/>
      <c r="M3894" s="20"/>
      <c r="N3894" s="20"/>
      <c r="O3894" s="20"/>
      <c r="P3894" s="20"/>
    </row>
    <row r="3895">
      <c r="A3895" s="10"/>
      <c r="B3895" s="11"/>
      <c r="C3895" s="10"/>
      <c r="D3895" s="13"/>
      <c r="E3895" s="14"/>
      <c r="F3895" s="14"/>
      <c r="G3895" s="14"/>
      <c r="H3895" s="10"/>
      <c r="I3895" s="17"/>
      <c r="J3895" s="10"/>
      <c r="K3895" s="46"/>
      <c r="L3895" s="10"/>
      <c r="M3895" s="20"/>
      <c r="N3895" s="20"/>
      <c r="O3895" s="20"/>
      <c r="P3895" s="20"/>
    </row>
    <row r="3896">
      <c r="A3896" s="23"/>
      <c r="B3896" s="21"/>
      <c r="C3896" s="23"/>
      <c r="D3896" s="24"/>
      <c r="E3896" s="14"/>
      <c r="F3896" s="14"/>
      <c r="G3896" s="14"/>
      <c r="H3896" s="23"/>
      <c r="I3896" s="27"/>
      <c r="J3896" s="23"/>
      <c r="K3896" s="30"/>
      <c r="L3896" s="23"/>
      <c r="M3896" s="20"/>
      <c r="N3896" s="20"/>
      <c r="O3896" s="20"/>
      <c r="P3896" s="20"/>
    </row>
    <row r="3897">
      <c r="A3897" s="10"/>
      <c r="B3897" s="11"/>
      <c r="C3897" s="10"/>
      <c r="D3897" s="13"/>
      <c r="E3897" s="14"/>
      <c r="F3897" s="14"/>
      <c r="G3897" s="14"/>
      <c r="H3897" s="10"/>
      <c r="I3897" s="17"/>
      <c r="J3897" s="10"/>
      <c r="K3897" s="46"/>
      <c r="L3897" s="10"/>
      <c r="M3897" s="20"/>
      <c r="N3897" s="20"/>
      <c r="O3897" s="20"/>
      <c r="P3897" s="20"/>
    </row>
    <row r="3898">
      <c r="A3898" s="23"/>
      <c r="B3898" s="21"/>
      <c r="C3898" s="23"/>
      <c r="D3898" s="24"/>
      <c r="E3898" s="14"/>
      <c r="F3898" s="14"/>
      <c r="G3898" s="14"/>
      <c r="H3898" s="23"/>
      <c r="I3898" s="27"/>
      <c r="J3898" s="23"/>
      <c r="K3898" s="30"/>
      <c r="L3898" s="23"/>
      <c r="M3898" s="20"/>
      <c r="N3898" s="20"/>
      <c r="O3898" s="20"/>
      <c r="P3898" s="20"/>
    </row>
    <row r="3899">
      <c r="A3899" s="10"/>
      <c r="B3899" s="11"/>
      <c r="C3899" s="10"/>
      <c r="D3899" s="13"/>
      <c r="E3899" s="14"/>
      <c r="F3899" s="14"/>
      <c r="G3899" s="14"/>
      <c r="H3899" s="10"/>
      <c r="I3899" s="17"/>
      <c r="J3899" s="10"/>
      <c r="K3899" s="46"/>
      <c r="L3899" s="10"/>
      <c r="M3899" s="20"/>
      <c r="N3899" s="20"/>
      <c r="O3899" s="20"/>
      <c r="P3899" s="20"/>
    </row>
    <row r="3900">
      <c r="A3900" s="23"/>
      <c r="B3900" s="21"/>
      <c r="C3900" s="23"/>
      <c r="D3900" s="24"/>
      <c r="E3900" s="14"/>
      <c r="F3900" s="14"/>
      <c r="G3900" s="14"/>
      <c r="H3900" s="23"/>
      <c r="I3900" s="27"/>
      <c r="J3900" s="23"/>
      <c r="K3900" s="30"/>
      <c r="L3900" s="23"/>
      <c r="M3900" s="20"/>
      <c r="N3900" s="20"/>
      <c r="O3900" s="20"/>
      <c r="P3900" s="20"/>
    </row>
    <row r="3901">
      <c r="A3901" s="10"/>
      <c r="B3901" s="11"/>
      <c r="C3901" s="10"/>
      <c r="D3901" s="13"/>
      <c r="E3901" s="14"/>
      <c r="F3901" s="14"/>
      <c r="G3901" s="14"/>
      <c r="H3901" s="10"/>
      <c r="I3901" s="17"/>
      <c r="J3901" s="10"/>
      <c r="K3901" s="46"/>
      <c r="L3901" s="10"/>
      <c r="M3901" s="20"/>
      <c r="N3901" s="20"/>
      <c r="O3901" s="20"/>
      <c r="P3901" s="20"/>
    </row>
    <row r="3902">
      <c r="A3902" s="23"/>
      <c r="B3902" s="21"/>
      <c r="C3902" s="23"/>
      <c r="D3902" s="24"/>
      <c r="E3902" s="14"/>
      <c r="F3902" s="14"/>
      <c r="G3902" s="14"/>
      <c r="H3902" s="23"/>
      <c r="I3902" s="27"/>
      <c r="J3902" s="23"/>
      <c r="K3902" s="30"/>
      <c r="L3902" s="23"/>
      <c r="M3902" s="20"/>
      <c r="N3902" s="20"/>
      <c r="O3902" s="20"/>
      <c r="P3902" s="20"/>
    </row>
    <row r="3903">
      <c r="A3903" s="10"/>
      <c r="B3903" s="11"/>
      <c r="C3903" s="10"/>
      <c r="D3903" s="13"/>
      <c r="E3903" s="14"/>
      <c r="F3903" s="14"/>
      <c r="G3903" s="14"/>
      <c r="H3903" s="10"/>
      <c r="I3903" s="17"/>
      <c r="J3903" s="10"/>
      <c r="K3903" s="46"/>
      <c r="L3903" s="10"/>
      <c r="M3903" s="20"/>
      <c r="N3903" s="20"/>
      <c r="O3903" s="20"/>
      <c r="P3903" s="20"/>
    </row>
    <row r="3904">
      <c r="A3904" s="23"/>
      <c r="B3904" s="21"/>
      <c r="C3904" s="23"/>
      <c r="D3904" s="24"/>
      <c r="E3904" s="14"/>
      <c r="F3904" s="14"/>
      <c r="G3904" s="14"/>
      <c r="H3904" s="23"/>
      <c r="I3904" s="27"/>
      <c r="J3904" s="23"/>
      <c r="K3904" s="30"/>
      <c r="L3904" s="23"/>
      <c r="M3904" s="20"/>
      <c r="N3904" s="20"/>
      <c r="O3904" s="20"/>
      <c r="P3904" s="20"/>
    </row>
    <row r="3905">
      <c r="A3905" s="10"/>
      <c r="B3905" s="11"/>
      <c r="C3905" s="10"/>
      <c r="D3905" s="13"/>
      <c r="E3905" s="14"/>
      <c r="F3905" s="14"/>
      <c r="G3905" s="14"/>
      <c r="H3905" s="10"/>
      <c r="I3905" s="17"/>
      <c r="J3905" s="10"/>
      <c r="K3905" s="46"/>
      <c r="L3905" s="10"/>
      <c r="M3905" s="20"/>
      <c r="N3905" s="20"/>
      <c r="O3905" s="20"/>
      <c r="P3905" s="20"/>
    </row>
    <row r="3906">
      <c r="A3906" s="23"/>
      <c r="B3906" s="21"/>
      <c r="C3906" s="23"/>
      <c r="D3906" s="24"/>
      <c r="E3906" s="14"/>
      <c r="F3906" s="14"/>
      <c r="G3906" s="14"/>
      <c r="H3906" s="23"/>
      <c r="I3906" s="27"/>
      <c r="J3906" s="23"/>
      <c r="K3906" s="30"/>
      <c r="L3906" s="23"/>
      <c r="M3906" s="20"/>
      <c r="N3906" s="20"/>
      <c r="O3906" s="20"/>
      <c r="P3906" s="20"/>
    </row>
    <row r="3907">
      <c r="A3907" s="10"/>
      <c r="B3907" s="11"/>
      <c r="C3907" s="10"/>
      <c r="D3907" s="13"/>
      <c r="E3907" s="14"/>
      <c r="F3907" s="14"/>
      <c r="G3907" s="14"/>
      <c r="H3907" s="10"/>
      <c r="I3907" s="17"/>
      <c r="J3907" s="10"/>
      <c r="K3907" s="46"/>
      <c r="L3907" s="10"/>
      <c r="M3907" s="20"/>
      <c r="N3907" s="20"/>
      <c r="O3907" s="20"/>
      <c r="P3907" s="20"/>
    </row>
    <row r="3908">
      <c r="A3908" s="23"/>
      <c r="B3908" s="21"/>
      <c r="C3908" s="23"/>
      <c r="D3908" s="24"/>
      <c r="E3908" s="14"/>
      <c r="F3908" s="14"/>
      <c r="G3908" s="14"/>
      <c r="H3908" s="23"/>
      <c r="I3908" s="27"/>
      <c r="J3908" s="23"/>
      <c r="K3908" s="30"/>
      <c r="L3908" s="23"/>
      <c r="M3908" s="20"/>
      <c r="N3908" s="20"/>
      <c r="O3908" s="20"/>
      <c r="P3908" s="20"/>
    </row>
    <row r="3909">
      <c r="A3909" s="10"/>
      <c r="B3909" s="11"/>
      <c r="C3909" s="10"/>
      <c r="D3909" s="13"/>
      <c r="E3909" s="14"/>
      <c r="F3909" s="14"/>
      <c r="G3909" s="14"/>
      <c r="H3909" s="10"/>
      <c r="I3909" s="17"/>
      <c r="J3909" s="10"/>
      <c r="K3909" s="46"/>
      <c r="L3909" s="10"/>
      <c r="M3909" s="20"/>
      <c r="N3909" s="20"/>
      <c r="O3909" s="20"/>
      <c r="P3909" s="20"/>
    </row>
    <row r="3910">
      <c r="A3910" s="23"/>
      <c r="B3910" s="21"/>
      <c r="C3910" s="23"/>
      <c r="D3910" s="24"/>
      <c r="E3910" s="14"/>
      <c r="F3910" s="14"/>
      <c r="G3910" s="14"/>
      <c r="H3910" s="23"/>
      <c r="I3910" s="27"/>
      <c r="J3910" s="23"/>
      <c r="K3910" s="30"/>
      <c r="L3910" s="23"/>
      <c r="M3910" s="20"/>
      <c r="N3910" s="20"/>
      <c r="O3910" s="20"/>
      <c r="P3910" s="20"/>
    </row>
    <row r="3911">
      <c r="A3911" s="10"/>
      <c r="B3911" s="11"/>
      <c r="C3911" s="10"/>
      <c r="D3911" s="13"/>
      <c r="E3911" s="14"/>
      <c r="F3911" s="14"/>
      <c r="G3911" s="14"/>
      <c r="H3911" s="10"/>
      <c r="I3911" s="17"/>
      <c r="J3911" s="10"/>
      <c r="K3911" s="46"/>
      <c r="L3911" s="10"/>
      <c r="M3911" s="20"/>
      <c r="N3911" s="20"/>
      <c r="O3911" s="20"/>
      <c r="P3911" s="20"/>
    </row>
    <row r="3912">
      <c r="A3912" s="23"/>
      <c r="B3912" s="21"/>
      <c r="C3912" s="23"/>
      <c r="D3912" s="24"/>
      <c r="E3912" s="14"/>
      <c r="F3912" s="14"/>
      <c r="G3912" s="14"/>
      <c r="H3912" s="23"/>
      <c r="I3912" s="27"/>
      <c r="J3912" s="23"/>
      <c r="K3912" s="30"/>
      <c r="L3912" s="23"/>
      <c r="M3912" s="20"/>
      <c r="N3912" s="20"/>
      <c r="O3912" s="20"/>
      <c r="P3912" s="20"/>
    </row>
    <row r="3913">
      <c r="A3913" s="10"/>
      <c r="B3913" s="11"/>
      <c r="C3913" s="10"/>
      <c r="D3913" s="13"/>
      <c r="E3913" s="14"/>
      <c r="F3913" s="14"/>
      <c r="G3913" s="14"/>
      <c r="H3913" s="10"/>
      <c r="I3913" s="17"/>
      <c r="J3913" s="10"/>
      <c r="K3913" s="46"/>
      <c r="L3913" s="10"/>
      <c r="M3913" s="20"/>
      <c r="N3913" s="20"/>
      <c r="O3913" s="20"/>
      <c r="P3913" s="20"/>
    </row>
    <row r="3914">
      <c r="A3914" s="23"/>
      <c r="B3914" s="21"/>
      <c r="C3914" s="23"/>
      <c r="D3914" s="24"/>
      <c r="E3914" s="14"/>
      <c r="F3914" s="14"/>
      <c r="G3914" s="14"/>
      <c r="H3914" s="23"/>
      <c r="I3914" s="27"/>
      <c r="J3914" s="23"/>
      <c r="K3914" s="30"/>
      <c r="L3914" s="23"/>
      <c r="M3914" s="20"/>
      <c r="N3914" s="20"/>
      <c r="O3914" s="20"/>
      <c r="P3914" s="20"/>
    </row>
    <row r="3915">
      <c r="A3915" s="10"/>
      <c r="B3915" s="11"/>
      <c r="C3915" s="10"/>
      <c r="D3915" s="13"/>
      <c r="E3915" s="14"/>
      <c r="F3915" s="14"/>
      <c r="G3915" s="14"/>
      <c r="H3915" s="10"/>
      <c r="I3915" s="17"/>
      <c r="J3915" s="10"/>
      <c r="K3915" s="46"/>
      <c r="L3915" s="10"/>
      <c r="M3915" s="20"/>
      <c r="N3915" s="20"/>
      <c r="O3915" s="20"/>
      <c r="P3915" s="20"/>
    </row>
    <row r="3916">
      <c r="A3916" s="23"/>
      <c r="B3916" s="21"/>
      <c r="C3916" s="23"/>
      <c r="D3916" s="24"/>
      <c r="E3916" s="14"/>
      <c r="F3916" s="14"/>
      <c r="G3916" s="14"/>
      <c r="H3916" s="23"/>
      <c r="I3916" s="27"/>
      <c r="J3916" s="23"/>
      <c r="K3916" s="30"/>
      <c r="L3916" s="23"/>
      <c r="M3916" s="20"/>
      <c r="N3916" s="20"/>
      <c r="O3916" s="20"/>
      <c r="P3916" s="20"/>
    </row>
    <row r="3917">
      <c r="A3917" s="10"/>
      <c r="B3917" s="11"/>
      <c r="C3917" s="10"/>
      <c r="D3917" s="13"/>
      <c r="E3917" s="14"/>
      <c r="F3917" s="14"/>
      <c r="G3917" s="14"/>
      <c r="H3917" s="10"/>
      <c r="I3917" s="17"/>
      <c r="J3917" s="10"/>
      <c r="K3917" s="46"/>
      <c r="L3917" s="10"/>
      <c r="M3917" s="20"/>
      <c r="N3917" s="20"/>
      <c r="O3917" s="20"/>
      <c r="P3917" s="20"/>
    </row>
    <row r="3918">
      <c r="A3918" s="23"/>
      <c r="B3918" s="21"/>
      <c r="C3918" s="23"/>
      <c r="D3918" s="24"/>
      <c r="E3918" s="14"/>
      <c r="F3918" s="14"/>
      <c r="G3918" s="14"/>
      <c r="H3918" s="23"/>
      <c r="I3918" s="27"/>
      <c r="J3918" s="23"/>
      <c r="K3918" s="30"/>
      <c r="L3918" s="23"/>
      <c r="M3918" s="20"/>
      <c r="N3918" s="20"/>
      <c r="O3918" s="20"/>
      <c r="P3918" s="20"/>
    </row>
    <row r="3919">
      <c r="A3919" s="10"/>
      <c r="B3919" s="11"/>
      <c r="C3919" s="10"/>
      <c r="D3919" s="13"/>
      <c r="E3919" s="14"/>
      <c r="F3919" s="14"/>
      <c r="G3919" s="14"/>
      <c r="H3919" s="10"/>
      <c r="I3919" s="17"/>
      <c r="J3919" s="10"/>
      <c r="K3919" s="46"/>
      <c r="L3919" s="10"/>
      <c r="M3919" s="20"/>
      <c r="N3919" s="20"/>
      <c r="O3919" s="20"/>
      <c r="P3919" s="20"/>
    </row>
    <row r="3920">
      <c r="A3920" s="23"/>
      <c r="B3920" s="21"/>
      <c r="C3920" s="23"/>
      <c r="D3920" s="24"/>
      <c r="E3920" s="14"/>
      <c r="F3920" s="14"/>
      <c r="G3920" s="14"/>
      <c r="H3920" s="23"/>
      <c r="I3920" s="27"/>
      <c r="J3920" s="23"/>
      <c r="K3920" s="30"/>
      <c r="L3920" s="23"/>
      <c r="M3920" s="20"/>
      <c r="N3920" s="20"/>
      <c r="O3920" s="20"/>
      <c r="P3920" s="20"/>
    </row>
    <row r="3921">
      <c r="A3921" s="10"/>
      <c r="B3921" s="11"/>
      <c r="C3921" s="10"/>
      <c r="D3921" s="13"/>
      <c r="E3921" s="14"/>
      <c r="F3921" s="14"/>
      <c r="G3921" s="14"/>
      <c r="H3921" s="10"/>
      <c r="I3921" s="17"/>
      <c r="J3921" s="10"/>
      <c r="K3921" s="46"/>
      <c r="L3921" s="10"/>
      <c r="M3921" s="20"/>
      <c r="N3921" s="20"/>
      <c r="O3921" s="20"/>
      <c r="P3921" s="20"/>
    </row>
    <row r="3922">
      <c r="A3922" s="23"/>
      <c r="B3922" s="21"/>
      <c r="C3922" s="23"/>
      <c r="D3922" s="24"/>
      <c r="E3922" s="14"/>
      <c r="F3922" s="14"/>
      <c r="G3922" s="14"/>
      <c r="H3922" s="23"/>
      <c r="I3922" s="27"/>
      <c r="J3922" s="23"/>
      <c r="K3922" s="30"/>
      <c r="L3922" s="23"/>
      <c r="M3922" s="20"/>
      <c r="N3922" s="20"/>
      <c r="O3922" s="20"/>
      <c r="P3922" s="20"/>
    </row>
    <row r="3923">
      <c r="A3923" s="10"/>
      <c r="B3923" s="11"/>
      <c r="C3923" s="10"/>
      <c r="D3923" s="13"/>
      <c r="E3923" s="14"/>
      <c r="F3923" s="14"/>
      <c r="G3923" s="14"/>
      <c r="H3923" s="10"/>
      <c r="I3923" s="17"/>
      <c r="J3923" s="10"/>
      <c r="K3923" s="46"/>
      <c r="L3923" s="10"/>
      <c r="M3923" s="20"/>
      <c r="N3923" s="20"/>
      <c r="O3923" s="20"/>
      <c r="P3923" s="20"/>
    </row>
    <row r="3924">
      <c r="A3924" s="23"/>
      <c r="B3924" s="21"/>
      <c r="C3924" s="23"/>
      <c r="D3924" s="24"/>
      <c r="E3924" s="14"/>
      <c r="F3924" s="14"/>
      <c r="G3924" s="14"/>
      <c r="H3924" s="23"/>
      <c r="I3924" s="27"/>
      <c r="J3924" s="23"/>
      <c r="K3924" s="30"/>
      <c r="L3924" s="23"/>
      <c r="M3924" s="20"/>
      <c r="N3924" s="20"/>
      <c r="O3924" s="20"/>
      <c r="P3924" s="20"/>
    </row>
    <row r="3925">
      <c r="A3925" s="10"/>
      <c r="B3925" s="11"/>
      <c r="C3925" s="10"/>
      <c r="D3925" s="13"/>
      <c r="E3925" s="14"/>
      <c r="F3925" s="14"/>
      <c r="G3925" s="14"/>
      <c r="H3925" s="10"/>
      <c r="I3925" s="17"/>
      <c r="J3925" s="10"/>
      <c r="K3925" s="46"/>
      <c r="L3925" s="10"/>
      <c r="M3925" s="20"/>
      <c r="N3925" s="20"/>
      <c r="O3925" s="20"/>
      <c r="P3925" s="20"/>
    </row>
    <row r="3926">
      <c r="A3926" s="23"/>
      <c r="B3926" s="21"/>
      <c r="C3926" s="23"/>
      <c r="D3926" s="24"/>
      <c r="E3926" s="14"/>
      <c r="F3926" s="14"/>
      <c r="G3926" s="14"/>
      <c r="H3926" s="23"/>
      <c r="I3926" s="27"/>
      <c r="J3926" s="23"/>
      <c r="K3926" s="30"/>
      <c r="L3926" s="23"/>
      <c r="M3926" s="20"/>
      <c r="N3926" s="20"/>
      <c r="O3926" s="20"/>
      <c r="P3926" s="20"/>
    </row>
    <row r="3927">
      <c r="A3927" s="10"/>
      <c r="B3927" s="11"/>
      <c r="C3927" s="10"/>
      <c r="D3927" s="13"/>
      <c r="E3927" s="14"/>
      <c r="F3927" s="14"/>
      <c r="G3927" s="14"/>
      <c r="H3927" s="10"/>
      <c r="I3927" s="17"/>
      <c r="J3927" s="10"/>
      <c r="K3927" s="46"/>
      <c r="L3927" s="10"/>
      <c r="M3927" s="20"/>
      <c r="N3927" s="20"/>
      <c r="O3927" s="20"/>
      <c r="P3927" s="20"/>
    </row>
    <row r="3928">
      <c r="A3928" s="23"/>
      <c r="B3928" s="21"/>
      <c r="C3928" s="23"/>
      <c r="D3928" s="24"/>
      <c r="E3928" s="14"/>
      <c r="F3928" s="14"/>
      <c r="G3928" s="14"/>
      <c r="H3928" s="23"/>
      <c r="I3928" s="27"/>
      <c r="J3928" s="23"/>
      <c r="K3928" s="30"/>
      <c r="L3928" s="23"/>
      <c r="M3928" s="20"/>
      <c r="N3928" s="20"/>
      <c r="O3928" s="20"/>
      <c r="P3928" s="20"/>
    </row>
    <row r="3929">
      <c r="A3929" s="10"/>
      <c r="B3929" s="11"/>
      <c r="C3929" s="10"/>
      <c r="D3929" s="13"/>
      <c r="E3929" s="14"/>
      <c r="F3929" s="14"/>
      <c r="G3929" s="14"/>
      <c r="H3929" s="10"/>
      <c r="I3929" s="17"/>
      <c r="J3929" s="10"/>
      <c r="K3929" s="46"/>
      <c r="L3929" s="10"/>
      <c r="M3929" s="20"/>
      <c r="N3929" s="20"/>
      <c r="O3929" s="20"/>
      <c r="P3929" s="20"/>
    </row>
    <row r="3930">
      <c r="A3930" s="23"/>
      <c r="B3930" s="21"/>
      <c r="C3930" s="23"/>
      <c r="D3930" s="24"/>
      <c r="E3930" s="14"/>
      <c r="F3930" s="14"/>
      <c r="G3930" s="14"/>
      <c r="H3930" s="23"/>
      <c r="I3930" s="27"/>
      <c r="J3930" s="23"/>
      <c r="K3930" s="30"/>
      <c r="L3930" s="23"/>
      <c r="M3930" s="20"/>
      <c r="N3930" s="20"/>
      <c r="O3930" s="20"/>
      <c r="P3930" s="20"/>
    </row>
    <row r="3931">
      <c r="A3931" s="10"/>
      <c r="B3931" s="11"/>
      <c r="C3931" s="10"/>
      <c r="D3931" s="13"/>
      <c r="E3931" s="14"/>
      <c r="F3931" s="14"/>
      <c r="G3931" s="14"/>
      <c r="H3931" s="10"/>
      <c r="I3931" s="17"/>
      <c r="J3931" s="10"/>
      <c r="K3931" s="46"/>
      <c r="L3931" s="10"/>
      <c r="M3931" s="20"/>
      <c r="N3931" s="20"/>
      <c r="O3931" s="20"/>
      <c r="P3931" s="20"/>
    </row>
    <row r="3932">
      <c r="A3932" s="23"/>
      <c r="B3932" s="21"/>
      <c r="C3932" s="23"/>
      <c r="D3932" s="24"/>
      <c r="E3932" s="14"/>
      <c r="F3932" s="14"/>
      <c r="G3932" s="14"/>
      <c r="H3932" s="23"/>
      <c r="I3932" s="27"/>
      <c r="J3932" s="23"/>
      <c r="K3932" s="30"/>
      <c r="L3932" s="23"/>
      <c r="M3932" s="20"/>
      <c r="N3932" s="20"/>
      <c r="O3932" s="20"/>
      <c r="P3932" s="20"/>
    </row>
    <row r="3933">
      <c r="A3933" s="10"/>
      <c r="B3933" s="11"/>
      <c r="C3933" s="10"/>
      <c r="D3933" s="13"/>
      <c r="E3933" s="14"/>
      <c r="F3933" s="14"/>
      <c r="G3933" s="14"/>
      <c r="H3933" s="10"/>
      <c r="I3933" s="17"/>
      <c r="J3933" s="10"/>
      <c r="K3933" s="46"/>
      <c r="L3933" s="10"/>
      <c r="M3933" s="20"/>
      <c r="N3933" s="20"/>
      <c r="O3933" s="20"/>
      <c r="P3933" s="20"/>
    </row>
    <row r="3934">
      <c r="A3934" s="23"/>
      <c r="B3934" s="21"/>
      <c r="C3934" s="23"/>
      <c r="D3934" s="24"/>
      <c r="E3934" s="14"/>
      <c r="F3934" s="14"/>
      <c r="G3934" s="14"/>
      <c r="H3934" s="23"/>
      <c r="I3934" s="27"/>
      <c r="J3934" s="23"/>
      <c r="K3934" s="30"/>
      <c r="L3934" s="23"/>
      <c r="M3934" s="20"/>
      <c r="N3934" s="20"/>
      <c r="O3934" s="20"/>
      <c r="P3934" s="20"/>
    </row>
    <row r="3935">
      <c r="A3935" s="10"/>
      <c r="B3935" s="11"/>
      <c r="C3935" s="10"/>
      <c r="D3935" s="13"/>
      <c r="E3935" s="14"/>
      <c r="F3935" s="14"/>
      <c r="G3935" s="14"/>
      <c r="H3935" s="10"/>
      <c r="I3935" s="17"/>
      <c r="J3935" s="10"/>
      <c r="K3935" s="46"/>
      <c r="L3935" s="10"/>
      <c r="M3935" s="20"/>
      <c r="N3935" s="20"/>
      <c r="O3935" s="20"/>
      <c r="P3935" s="20"/>
    </row>
    <row r="3936">
      <c r="A3936" s="23"/>
      <c r="B3936" s="21"/>
      <c r="C3936" s="23"/>
      <c r="D3936" s="24"/>
      <c r="E3936" s="14"/>
      <c r="F3936" s="14"/>
      <c r="G3936" s="14"/>
      <c r="H3936" s="23"/>
      <c r="I3936" s="27"/>
      <c r="J3936" s="23"/>
      <c r="K3936" s="30"/>
      <c r="L3936" s="23"/>
      <c r="M3936" s="20"/>
      <c r="N3936" s="20"/>
      <c r="O3936" s="20"/>
      <c r="P3936" s="20"/>
    </row>
    <row r="3937">
      <c r="A3937" s="10"/>
      <c r="B3937" s="11"/>
      <c r="C3937" s="10"/>
      <c r="D3937" s="13"/>
      <c r="E3937" s="14"/>
      <c r="F3937" s="14"/>
      <c r="G3937" s="14"/>
      <c r="H3937" s="10"/>
      <c r="I3937" s="17"/>
      <c r="J3937" s="10"/>
      <c r="K3937" s="46"/>
      <c r="L3937" s="10"/>
      <c r="M3937" s="20"/>
      <c r="N3937" s="20"/>
      <c r="O3937" s="20"/>
      <c r="P3937" s="20"/>
    </row>
    <row r="3938">
      <c r="A3938" s="23"/>
      <c r="B3938" s="21"/>
      <c r="C3938" s="23"/>
      <c r="D3938" s="24"/>
      <c r="E3938" s="14"/>
      <c r="F3938" s="14"/>
      <c r="G3938" s="14"/>
      <c r="H3938" s="23"/>
      <c r="I3938" s="27"/>
      <c r="J3938" s="23"/>
      <c r="K3938" s="30"/>
      <c r="L3938" s="23"/>
      <c r="M3938" s="20"/>
      <c r="N3938" s="20"/>
      <c r="O3938" s="20"/>
      <c r="P3938" s="20"/>
    </row>
    <row r="3939">
      <c r="A3939" s="10"/>
      <c r="B3939" s="11"/>
      <c r="C3939" s="10"/>
      <c r="D3939" s="13"/>
      <c r="E3939" s="14"/>
      <c r="F3939" s="14"/>
      <c r="G3939" s="14"/>
      <c r="H3939" s="10"/>
      <c r="I3939" s="17"/>
      <c r="J3939" s="10"/>
      <c r="K3939" s="46"/>
      <c r="L3939" s="10"/>
      <c r="M3939" s="20"/>
      <c r="N3939" s="20"/>
      <c r="O3939" s="20"/>
      <c r="P3939" s="20"/>
    </row>
    <row r="3940">
      <c r="A3940" s="23"/>
      <c r="B3940" s="21"/>
      <c r="C3940" s="23"/>
      <c r="D3940" s="24"/>
      <c r="E3940" s="14"/>
      <c r="F3940" s="14"/>
      <c r="G3940" s="14"/>
      <c r="H3940" s="23"/>
      <c r="I3940" s="27"/>
      <c r="J3940" s="23"/>
      <c r="K3940" s="30"/>
      <c r="L3940" s="23"/>
      <c r="M3940" s="20"/>
      <c r="N3940" s="20"/>
      <c r="O3940" s="20"/>
      <c r="P3940" s="20"/>
    </row>
    <row r="3941">
      <c r="A3941" s="10"/>
      <c r="B3941" s="11"/>
      <c r="C3941" s="10"/>
      <c r="D3941" s="13"/>
      <c r="E3941" s="14"/>
      <c r="F3941" s="14"/>
      <c r="G3941" s="14"/>
      <c r="H3941" s="10"/>
      <c r="I3941" s="17"/>
      <c r="J3941" s="10"/>
      <c r="K3941" s="46"/>
      <c r="L3941" s="10"/>
      <c r="M3941" s="20"/>
      <c r="N3941" s="20"/>
      <c r="O3941" s="20"/>
      <c r="P3941" s="20"/>
    </row>
    <row r="3942">
      <c r="A3942" s="23"/>
      <c r="B3942" s="21"/>
      <c r="C3942" s="23"/>
      <c r="D3942" s="24"/>
      <c r="E3942" s="14"/>
      <c r="F3942" s="14"/>
      <c r="G3942" s="14"/>
      <c r="H3942" s="23"/>
      <c r="I3942" s="27"/>
      <c r="J3942" s="23"/>
      <c r="K3942" s="30"/>
      <c r="L3942" s="23"/>
      <c r="M3942" s="20"/>
      <c r="N3942" s="20"/>
      <c r="O3942" s="20"/>
      <c r="P3942" s="20"/>
    </row>
    <row r="3943">
      <c r="A3943" s="10"/>
      <c r="B3943" s="11"/>
      <c r="C3943" s="10"/>
      <c r="D3943" s="13"/>
      <c r="E3943" s="14"/>
      <c r="F3943" s="14"/>
      <c r="G3943" s="14"/>
      <c r="H3943" s="10"/>
      <c r="I3943" s="17"/>
      <c r="J3943" s="10"/>
      <c r="K3943" s="46"/>
      <c r="L3943" s="10"/>
      <c r="M3943" s="20"/>
      <c r="N3943" s="20"/>
      <c r="O3943" s="20"/>
      <c r="P3943" s="20"/>
    </row>
    <row r="3944">
      <c r="A3944" s="23"/>
      <c r="B3944" s="21"/>
      <c r="C3944" s="23"/>
      <c r="D3944" s="24"/>
      <c r="E3944" s="14"/>
      <c r="F3944" s="14"/>
      <c r="G3944" s="14"/>
      <c r="H3944" s="23"/>
      <c r="I3944" s="27"/>
      <c r="J3944" s="23"/>
      <c r="K3944" s="30"/>
      <c r="L3944" s="23"/>
      <c r="M3944" s="20"/>
      <c r="N3944" s="20"/>
      <c r="O3944" s="20"/>
      <c r="P3944" s="20"/>
    </row>
    <row r="3945">
      <c r="A3945" s="10"/>
      <c r="B3945" s="11"/>
      <c r="C3945" s="10"/>
      <c r="D3945" s="13"/>
      <c r="E3945" s="14"/>
      <c r="F3945" s="14"/>
      <c r="G3945" s="14"/>
      <c r="H3945" s="10"/>
      <c r="I3945" s="17"/>
      <c r="J3945" s="10"/>
      <c r="K3945" s="46"/>
      <c r="L3945" s="10"/>
      <c r="M3945" s="20"/>
      <c r="N3945" s="20"/>
      <c r="O3945" s="20"/>
      <c r="P3945" s="20"/>
    </row>
    <row r="3946">
      <c r="A3946" s="23"/>
      <c r="B3946" s="21"/>
      <c r="C3946" s="23"/>
      <c r="D3946" s="24"/>
      <c r="E3946" s="14"/>
      <c r="F3946" s="14"/>
      <c r="G3946" s="14"/>
      <c r="H3946" s="23"/>
      <c r="I3946" s="27"/>
      <c r="J3946" s="23"/>
      <c r="K3946" s="30"/>
      <c r="L3946" s="23"/>
      <c r="M3946" s="20"/>
      <c r="N3946" s="20"/>
      <c r="O3946" s="20"/>
      <c r="P3946" s="20"/>
    </row>
    <row r="3947">
      <c r="A3947" s="10"/>
      <c r="B3947" s="11"/>
      <c r="C3947" s="10"/>
      <c r="D3947" s="13"/>
      <c r="E3947" s="14"/>
      <c r="F3947" s="14"/>
      <c r="G3947" s="14"/>
      <c r="H3947" s="10"/>
      <c r="I3947" s="17"/>
      <c r="J3947" s="10"/>
      <c r="K3947" s="46"/>
      <c r="L3947" s="10"/>
      <c r="M3947" s="20"/>
      <c r="N3947" s="20"/>
      <c r="O3947" s="20"/>
      <c r="P3947" s="20"/>
    </row>
    <row r="3948">
      <c r="A3948" s="23"/>
      <c r="B3948" s="21"/>
      <c r="C3948" s="23"/>
      <c r="D3948" s="24"/>
      <c r="E3948" s="14"/>
      <c r="F3948" s="14"/>
      <c r="G3948" s="14"/>
      <c r="H3948" s="23"/>
      <c r="I3948" s="27"/>
      <c r="J3948" s="23"/>
      <c r="K3948" s="30"/>
      <c r="L3948" s="23"/>
      <c r="M3948" s="20"/>
      <c r="N3948" s="20"/>
      <c r="O3948" s="20"/>
      <c r="P3948" s="20"/>
    </row>
    <row r="3949">
      <c r="A3949" s="10"/>
      <c r="B3949" s="11"/>
      <c r="C3949" s="10"/>
      <c r="D3949" s="13"/>
      <c r="E3949" s="14"/>
      <c r="F3949" s="14"/>
      <c r="G3949" s="14"/>
      <c r="H3949" s="10"/>
      <c r="I3949" s="17"/>
      <c r="J3949" s="10"/>
      <c r="K3949" s="46"/>
      <c r="L3949" s="10"/>
      <c r="M3949" s="20"/>
      <c r="N3949" s="20"/>
      <c r="O3949" s="20"/>
      <c r="P3949" s="20"/>
    </row>
    <row r="3950">
      <c r="A3950" s="23"/>
      <c r="B3950" s="21"/>
      <c r="C3950" s="23"/>
      <c r="D3950" s="24"/>
      <c r="E3950" s="14"/>
      <c r="F3950" s="14"/>
      <c r="G3950" s="14"/>
      <c r="H3950" s="23"/>
      <c r="I3950" s="27"/>
      <c r="J3950" s="23"/>
      <c r="K3950" s="30"/>
      <c r="L3950" s="23"/>
      <c r="M3950" s="20"/>
      <c r="N3950" s="20"/>
      <c r="O3950" s="20"/>
      <c r="P3950" s="20"/>
    </row>
    <row r="3951">
      <c r="A3951" s="10"/>
      <c r="B3951" s="11"/>
      <c r="C3951" s="10"/>
      <c r="D3951" s="13"/>
      <c r="E3951" s="14"/>
      <c r="F3951" s="14"/>
      <c r="G3951" s="14"/>
      <c r="H3951" s="10"/>
      <c r="I3951" s="17"/>
      <c r="J3951" s="10"/>
      <c r="K3951" s="46"/>
      <c r="L3951" s="10"/>
      <c r="M3951" s="20"/>
      <c r="N3951" s="20"/>
      <c r="O3951" s="20"/>
      <c r="P3951" s="20"/>
    </row>
    <row r="3952">
      <c r="A3952" s="23"/>
      <c r="B3952" s="21"/>
      <c r="C3952" s="23"/>
      <c r="D3952" s="24"/>
      <c r="E3952" s="14"/>
      <c r="F3952" s="14"/>
      <c r="G3952" s="14"/>
      <c r="H3952" s="23"/>
      <c r="I3952" s="27"/>
      <c r="J3952" s="23"/>
      <c r="K3952" s="30"/>
      <c r="L3952" s="23"/>
      <c r="M3952" s="20"/>
      <c r="N3952" s="20"/>
      <c r="O3952" s="20"/>
      <c r="P3952" s="20"/>
    </row>
    <row r="3953">
      <c r="A3953" s="10"/>
      <c r="B3953" s="11"/>
      <c r="C3953" s="10"/>
      <c r="D3953" s="13"/>
      <c r="E3953" s="14"/>
      <c r="F3953" s="14"/>
      <c r="G3953" s="14"/>
      <c r="H3953" s="10"/>
      <c r="I3953" s="17"/>
      <c r="J3953" s="10"/>
      <c r="K3953" s="46"/>
      <c r="L3953" s="10"/>
      <c r="M3953" s="20"/>
      <c r="N3953" s="20"/>
      <c r="O3953" s="20"/>
      <c r="P3953" s="20"/>
    </row>
    <row r="3954">
      <c r="A3954" s="23"/>
      <c r="B3954" s="21"/>
      <c r="C3954" s="23"/>
      <c r="D3954" s="24"/>
      <c r="E3954" s="14"/>
      <c r="F3954" s="14"/>
      <c r="G3954" s="14"/>
      <c r="H3954" s="23"/>
      <c r="I3954" s="27"/>
      <c r="J3954" s="23"/>
      <c r="K3954" s="30"/>
      <c r="L3954" s="23"/>
      <c r="M3954" s="20"/>
      <c r="N3954" s="20"/>
      <c r="O3954" s="20"/>
      <c r="P3954" s="20"/>
    </row>
    <row r="3955">
      <c r="A3955" s="10"/>
      <c r="B3955" s="11"/>
      <c r="C3955" s="10"/>
      <c r="D3955" s="13"/>
      <c r="E3955" s="14"/>
      <c r="F3955" s="14"/>
      <c r="G3955" s="14"/>
      <c r="H3955" s="10"/>
      <c r="I3955" s="17"/>
      <c r="J3955" s="10"/>
      <c r="K3955" s="46"/>
      <c r="L3955" s="10"/>
      <c r="M3955" s="20"/>
      <c r="N3955" s="20"/>
      <c r="O3955" s="20"/>
      <c r="P3955" s="20"/>
    </row>
    <row r="3956">
      <c r="A3956" s="23"/>
      <c r="B3956" s="21"/>
      <c r="C3956" s="23"/>
      <c r="D3956" s="24"/>
      <c r="E3956" s="14"/>
      <c r="F3956" s="14"/>
      <c r="G3956" s="14"/>
      <c r="H3956" s="23"/>
      <c r="I3956" s="27"/>
      <c r="J3956" s="23"/>
      <c r="K3956" s="30"/>
      <c r="L3956" s="23"/>
      <c r="M3956" s="20"/>
      <c r="N3956" s="20"/>
      <c r="O3956" s="20"/>
      <c r="P3956" s="20"/>
    </row>
    <row r="3957">
      <c r="A3957" s="10"/>
      <c r="B3957" s="11"/>
      <c r="C3957" s="10"/>
      <c r="D3957" s="13"/>
      <c r="E3957" s="14"/>
      <c r="F3957" s="14"/>
      <c r="G3957" s="14"/>
      <c r="H3957" s="10"/>
      <c r="I3957" s="17"/>
      <c r="J3957" s="10"/>
      <c r="K3957" s="46"/>
      <c r="L3957" s="10"/>
      <c r="M3957" s="20"/>
      <c r="N3957" s="20"/>
      <c r="O3957" s="20"/>
      <c r="P3957" s="20"/>
    </row>
    <row r="3958">
      <c r="A3958" s="23"/>
      <c r="B3958" s="21"/>
      <c r="C3958" s="23"/>
      <c r="D3958" s="24"/>
      <c r="E3958" s="14"/>
      <c r="F3958" s="14"/>
      <c r="G3958" s="14"/>
      <c r="H3958" s="23"/>
      <c r="I3958" s="27"/>
      <c r="J3958" s="23"/>
      <c r="K3958" s="30"/>
      <c r="L3958" s="23"/>
      <c r="M3958" s="20"/>
      <c r="N3958" s="20"/>
      <c r="O3958" s="20"/>
      <c r="P3958" s="20"/>
    </row>
    <row r="3959">
      <c r="A3959" s="10"/>
      <c r="B3959" s="11"/>
      <c r="C3959" s="10"/>
      <c r="D3959" s="13"/>
      <c r="E3959" s="14"/>
      <c r="F3959" s="14"/>
      <c r="G3959" s="14"/>
      <c r="H3959" s="10"/>
      <c r="I3959" s="17"/>
      <c r="J3959" s="10"/>
      <c r="K3959" s="46"/>
      <c r="L3959" s="10"/>
      <c r="M3959" s="20"/>
      <c r="N3959" s="20"/>
      <c r="O3959" s="20"/>
      <c r="P3959" s="20"/>
    </row>
    <row r="3960">
      <c r="A3960" s="23"/>
      <c r="B3960" s="21"/>
      <c r="C3960" s="23"/>
      <c r="D3960" s="24"/>
      <c r="E3960" s="14"/>
      <c r="F3960" s="14"/>
      <c r="G3960" s="14"/>
      <c r="H3960" s="23"/>
      <c r="I3960" s="27"/>
      <c r="J3960" s="23"/>
      <c r="K3960" s="30"/>
      <c r="L3960" s="23"/>
      <c r="M3960" s="20"/>
      <c r="N3960" s="20"/>
      <c r="O3960" s="20"/>
      <c r="P3960" s="20"/>
    </row>
    <row r="3961">
      <c r="A3961" s="10"/>
      <c r="B3961" s="11"/>
      <c r="C3961" s="10"/>
      <c r="D3961" s="13"/>
      <c r="E3961" s="14"/>
      <c r="F3961" s="14"/>
      <c r="G3961" s="14"/>
      <c r="H3961" s="10"/>
      <c r="I3961" s="17"/>
      <c r="J3961" s="10"/>
      <c r="K3961" s="46"/>
      <c r="L3961" s="10"/>
      <c r="M3961" s="20"/>
      <c r="N3961" s="20"/>
      <c r="O3961" s="20"/>
      <c r="P3961" s="20"/>
    </row>
    <row r="3962">
      <c r="A3962" s="23"/>
      <c r="B3962" s="21"/>
      <c r="C3962" s="23"/>
      <c r="D3962" s="24"/>
      <c r="E3962" s="14"/>
      <c r="F3962" s="14"/>
      <c r="G3962" s="14"/>
      <c r="H3962" s="23"/>
      <c r="I3962" s="27"/>
      <c r="J3962" s="23"/>
      <c r="K3962" s="30"/>
      <c r="L3962" s="23"/>
      <c r="M3962" s="20"/>
      <c r="N3962" s="20"/>
      <c r="O3962" s="20"/>
      <c r="P3962" s="20"/>
    </row>
    <row r="3963">
      <c r="A3963" s="10"/>
      <c r="B3963" s="11"/>
      <c r="C3963" s="10"/>
      <c r="D3963" s="13"/>
      <c r="E3963" s="14"/>
      <c r="F3963" s="14"/>
      <c r="G3963" s="14"/>
      <c r="H3963" s="10"/>
      <c r="I3963" s="17"/>
      <c r="J3963" s="10"/>
      <c r="K3963" s="46"/>
      <c r="L3963" s="10"/>
      <c r="M3963" s="20"/>
      <c r="N3963" s="20"/>
      <c r="O3963" s="20"/>
      <c r="P3963" s="20"/>
    </row>
    <row r="3964">
      <c r="A3964" s="23"/>
      <c r="B3964" s="21"/>
      <c r="C3964" s="23"/>
      <c r="D3964" s="24"/>
      <c r="E3964" s="14"/>
      <c r="F3964" s="14"/>
      <c r="G3964" s="14"/>
      <c r="H3964" s="23"/>
      <c r="I3964" s="27"/>
      <c r="J3964" s="23"/>
      <c r="K3964" s="30"/>
      <c r="L3964" s="23"/>
      <c r="M3964" s="20"/>
      <c r="N3964" s="20"/>
      <c r="O3964" s="20"/>
      <c r="P3964" s="20"/>
    </row>
    <row r="3965">
      <c r="A3965" s="10"/>
      <c r="B3965" s="11"/>
      <c r="C3965" s="10"/>
      <c r="D3965" s="13"/>
      <c r="E3965" s="14"/>
      <c r="F3965" s="14"/>
      <c r="G3965" s="14"/>
      <c r="H3965" s="10"/>
      <c r="I3965" s="17"/>
      <c r="J3965" s="10"/>
      <c r="K3965" s="46"/>
      <c r="L3965" s="10"/>
      <c r="M3965" s="20"/>
      <c r="N3965" s="20"/>
      <c r="O3965" s="20"/>
      <c r="P3965" s="20"/>
    </row>
    <row r="3966">
      <c r="A3966" s="23"/>
      <c r="B3966" s="21"/>
      <c r="C3966" s="23"/>
      <c r="D3966" s="24"/>
      <c r="E3966" s="14"/>
      <c r="F3966" s="14"/>
      <c r="G3966" s="14"/>
      <c r="H3966" s="23"/>
      <c r="I3966" s="27"/>
      <c r="J3966" s="23"/>
      <c r="K3966" s="30"/>
      <c r="L3966" s="23"/>
      <c r="M3966" s="20"/>
      <c r="N3966" s="20"/>
      <c r="O3966" s="20"/>
      <c r="P3966" s="20"/>
    </row>
    <row r="3967">
      <c r="A3967" s="10"/>
      <c r="B3967" s="11"/>
      <c r="C3967" s="10"/>
      <c r="D3967" s="13"/>
      <c r="E3967" s="14"/>
      <c r="F3967" s="14"/>
      <c r="G3967" s="14"/>
      <c r="H3967" s="10"/>
      <c r="I3967" s="17"/>
      <c r="J3967" s="10"/>
      <c r="K3967" s="46"/>
      <c r="L3967" s="10"/>
      <c r="M3967" s="20"/>
      <c r="N3967" s="20"/>
      <c r="O3967" s="20"/>
      <c r="P3967" s="20"/>
    </row>
    <row r="3968">
      <c r="A3968" s="23"/>
      <c r="B3968" s="21"/>
      <c r="C3968" s="23"/>
      <c r="D3968" s="24"/>
      <c r="E3968" s="14"/>
      <c r="F3968" s="14"/>
      <c r="G3968" s="14"/>
      <c r="H3968" s="23"/>
      <c r="I3968" s="27"/>
      <c r="J3968" s="23"/>
      <c r="K3968" s="30"/>
      <c r="L3968" s="23"/>
      <c r="M3968" s="20"/>
      <c r="N3968" s="20"/>
      <c r="O3968" s="20"/>
      <c r="P3968" s="20"/>
    </row>
    <row r="3969">
      <c r="A3969" s="10"/>
      <c r="B3969" s="11"/>
      <c r="C3969" s="10"/>
      <c r="D3969" s="13"/>
      <c r="E3969" s="14"/>
      <c r="F3969" s="14"/>
      <c r="G3969" s="14"/>
      <c r="H3969" s="10"/>
      <c r="I3969" s="17"/>
      <c r="J3969" s="10"/>
      <c r="K3969" s="46"/>
      <c r="L3969" s="10"/>
      <c r="M3969" s="20"/>
      <c r="N3969" s="20"/>
      <c r="O3969" s="20"/>
      <c r="P3969" s="20"/>
    </row>
    <row r="3970">
      <c r="A3970" s="23"/>
      <c r="B3970" s="21"/>
      <c r="C3970" s="23"/>
      <c r="D3970" s="24"/>
      <c r="E3970" s="14"/>
      <c r="F3970" s="14"/>
      <c r="G3970" s="14"/>
      <c r="H3970" s="23"/>
      <c r="I3970" s="27"/>
      <c r="J3970" s="23"/>
      <c r="K3970" s="30"/>
      <c r="L3970" s="23"/>
      <c r="M3970" s="20"/>
      <c r="N3970" s="20"/>
      <c r="O3970" s="20"/>
      <c r="P3970" s="20"/>
    </row>
    <row r="3971">
      <c r="A3971" s="10"/>
      <c r="B3971" s="11"/>
      <c r="C3971" s="10"/>
      <c r="D3971" s="13"/>
      <c r="E3971" s="14"/>
      <c r="F3971" s="14"/>
      <c r="G3971" s="14"/>
      <c r="H3971" s="10"/>
      <c r="I3971" s="17"/>
      <c r="J3971" s="10"/>
      <c r="K3971" s="46"/>
      <c r="L3971" s="10"/>
      <c r="M3971" s="20"/>
      <c r="N3971" s="20"/>
      <c r="O3971" s="20"/>
      <c r="P3971" s="20"/>
    </row>
    <row r="3972">
      <c r="A3972" s="23"/>
      <c r="B3972" s="21"/>
      <c r="C3972" s="23"/>
      <c r="D3972" s="24"/>
      <c r="E3972" s="14"/>
      <c r="F3972" s="14"/>
      <c r="G3972" s="14"/>
      <c r="H3972" s="23"/>
      <c r="I3972" s="27"/>
      <c r="J3972" s="23"/>
      <c r="K3972" s="30"/>
      <c r="L3972" s="23"/>
      <c r="M3972" s="20"/>
      <c r="N3972" s="20"/>
      <c r="O3972" s="20"/>
      <c r="P3972" s="20"/>
    </row>
    <row r="3973">
      <c r="A3973" s="10"/>
      <c r="B3973" s="11"/>
      <c r="C3973" s="10"/>
      <c r="D3973" s="13"/>
      <c r="E3973" s="14"/>
      <c r="F3973" s="14"/>
      <c r="G3973" s="14"/>
      <c r="H3973" s="10"/>
      <c r="I3973" s="17"/>
      <c r="J3973" s="10"/>
      <c r="K3973" s="46"/>
      <c r="L3973" s="10"/>
      <c r="M3973" s="20"/>
      <c r="N3973" s="20"/>
      <c r="O3973" s="20"/>
      <c r="P3973" s="20"/>
    </row>
    <row r="3974">
      <c r="A3974" s="23"/>
      <c r="B3974" s="21"/>
      <c r="C3974" s="23"/>
      <c r="D3974" s="24"/>
      <c r="E3974" s="14"/>
      <c r="F3974" s="14"/>
      <c r="G3974" s="14"/>
      <c r="H3974" s="23"/>
      <c r="I3974" s="27"/>
      <c r="J3974" s="23"/>
      <c r="K3974" s="30"/>
      <c r="L3974" s="23"/>
      <c r="M3974" s="20"/>
      <c r="N3974" s="20"/>
      <c r="O3974" s="20"/>
      <c r="P3974" s="20"/>
    </row>
    <row r="3975">
      <c r="A3975" s="10"/>
      <c r="B3975" s="11"/>
      <c r="C3975" s="10"/>
      <c r="D3975" s="13"/>
      <c r="E3975" s="14"/>
      <c r="F3975" s="14"/>
      <c r="G3975" s="14"/>
      <c r="H3975" s="10"/>
      <c r="I3975" s="17"/>
      <c r="J3975" s="10"/>
      <c r="K3975" s="46"/>
      <c r="L3975" s="10"/>
      <c r="M3975" s="20"/>
      <c r="N3975" s="20"/>
      <c r="O3975" s="20"/>
      <c r="P3975" s="20"/>
    </row>
    <row r="3976">
      <c r="A3976" s="23"/>
      <c r="B3976" s="21"/>
      <c r="C3976" s="23"/>
      <c r="D3976" s="24"/>
      <c r="E3976" s="14"/>
      <c r="F3976" s="14"/>
      <c r="G3976" s="14"/>
      <c r="H3976" s="23"/>
      <c r="I3976" s="27"/>
      <c r="J3976" s="23"/>
      <c r="K3976" s="30"/>
      <c r="L3976" s="23"/>
      <c r="M3976" s="20"/>
      <c r="N3976" s="20"/>
      <c r="O3976" s="20"/>
      <c r="P3976" s="20"/>
    </row>
    <row r="3977">
      <c r="A3977" s="10"/>
      <c r="B3977" s="11"/>
      <c r="C3977" s="10"/>
      <c r="D3977" s="13"/>
      <c r="E3977" s="14"/>
      <c r="F3977" s="14"/>
      <c r="G3977" s="14"/>
      <c r="H3977" s="10"/>
      <c r="I3977" s="17"/>
      <c r="J3977" s="10"/>
      <c r="K3977" s="46"/>
      <c r="L3977" s="10"/>
      <c r="M3977" s="20"/>
      <c r="N3977" s="20"/>
      <c r="O3977" s="20"/>
      <c r="P3977" s="20"/>
    </row>
    <row r="3978">
      <c r="A3978" s="23"/>
      <c r="B3978" s="21"/>
      <c r="C3978" s="23"/>
      <c r="D3978" s="24"/>
      <c r="E3978" s="14"/>
      <c r="F3978" s="14"/>
      <c r="G3978" s="14"/>
      <c r="H3978" s="23"/>
      <c r="I3978" s="27"/>
      <c r="J3978" s="23"/>
      <c r="K3978" s="30"/>
      <c r="L3978" s="23"/>
      <c r="M3978" s="20"/>
      <c r="N3978" s="20"/>
      <c r="O3978" s="20"/>
      <c r="P3978" s="20"/>
    </row>
    <row r="3979">
      <c r="A3979" s="10"/>
      <c r="B3979" s="11"/>
      <c r="C3979" s="10"/>
      <c r="D3979" s="13"/>
      <c r="E3979" s="14"/>
      <c r="F3979" s="14"/>
      <c r="G3979" s="14"/>
      <c r="H3979" s="10"/>
      <c r="I3979" s="17"/>
      <c r="J3979" s="10"/>
      <c r="K3979" s="46"/>
      <c r="L3979" s="10"/>
      <c r="M3979" s="20"/>
      <c r="N3979" s="20"/>
      <c r="O3979" s="20"/>
      <c r="P3979" s="20"/>
    </row>
    <row r="3980">
      <c r="A3980" s="23"/>
      <c r="B3980" s="21"/>
      <c r="C3980" s="23"/>
      <c r="D3980" s="24"/>
      <c r="E3980" s="14"/>
      <c r="F3980" s="14"/>
      <c r="G3980" s="14"/>
      <c r="H3980" s="23"/>
      <c r="I3980" s="27"/>
      <c r="J3980" s="23"/>
      <c r="K3980" s="30"/>
      <c r="L3980" s="23"/>
      <c r="M3980" s="20"/>
      <c r="N3980" s="20"/>
      <c r="O3980" s="20"/>
      <c r="P3980" s="20"/>
    </row>
    <row r="3981">
      <c r="A3981" s="10"/>
      <c r="B3981" s="11"/>
      <c r="C3981" s="10"/>
      <c r="D3981" s="13"/>
      <c r="E3981" s="14"/>
      <c r="F3981" s="14"/>
      <c r="G3981" s="14"/>
      <c r="H3981" s="10"/>
      <c r="I3981" s="17"/>
      <c r="J3981" s="10"/>
      <c r="K3981" s="46"/>
      <c r="L3981" s="10"/>
      <c r="M3981" s="20"/>
      <c r="N3981" s="20"/>
      <c r="O3981" s="20"/>
      <c r="P3981" s="20"/>
    </row>
    <row r="3982">
      <c r="A3982" s="23"/>
      <c r="B3982" s="21"/>
      <c r="C3982" s="23"/>
      <c r="D3982" s="24"/>
      <c r="E3982" s="14"/>
      <c r="F3982" s="14"/>
      <c r="G3982" s="14"/>
      <c r="H3982" s="23"/>
      <c r="I3982" s="27"/>
      <c r="J3982" s="23"/>
      <c r="K3982" s="30"/>
      <c r="L3982" s="23"/>
      <c r="M3982" s="20"/>
      <c r="N3982" s="20"/>
      <c r="O3982" s="20"/>
      <c r="P3982" s="20"/>
    </row>
    <row r="3983">
      <c r="A3983" s="10"/>
      <c r="B3983" s="11"/>
      <c r="C3983" s="10"/>
      <c r="D3983" s="13"/>
      <c r="E3983" s="14"/>
      <c r="F3983" s="14"/>
      <c r="G3983" s="14"/>
      <c r="H3983" s="10"/>
      <c r="I3983" s="17"/>
      <c r="J3983" s="10"/>
      <c r="K3983" s="46"/>
      <c r="L3983" s="10"/>
      <c r="M3983" s="20"/>
      <c r="N3983" s="20"/>
      <c r="O3983" s="20"/>
      <c r="P3983" s="20"/>
    </row>
    <row r="3984">
      <c r="A3984" s="23"/>
      <c r="B3984" s="21"/>
      <c r="C3984" s="23"/>
      <c r="D3984" s="24"/>
      <c r="E3984" s="14"/>
      <c r="F3984" s="14"/>
      <c r="G3984" s="14"/>
      <c r="H3984" s="23"/>
      <c r="I3984" s="27"/>
      <c r="J3984" s="23"/>
      <c r="K3984" s="30"/>
      <c r="L3984" s="23"/>
      <c r="M3984" s="20"/>
      <c r="N3984" s="20"/>
      <c r="O3984" s="20"/>
      <c r="P3984" s="20"/>
    </row>
    <row r="3985">
      <c r="A3985" s="10"/>
      <c r="B3985" s="11"/>
      <c r="C3985" s="10"/>
      <c r="D3985" s="13"/>
      <c r="E3985" s="14"/>
      <c r="F3985" s="14"/>
      <c r="G3985" s="14"/>
      <c r="H3985" s="10"/>
      <c r="I3985" s="17"/>
      <c r="J3985" s="10"/>
      <c r="K3985" s="46"/>
      <c r="L3985" s="10"/>
      <c r="M3985" s="20"/>
      <c r="N3985" s="20"/>
      <c r="O3985" s="20"/>
      <c r="P3985" s="20"/>
    </row>
    <row r="3986">
      <c r="A3986" s="23"/>
      <c r="B3986" s="21"/>
      <c r="C3986" s="23"/>
      <c r="D3986" s="24"/>
      <c r="E3986" s="14"/>
      <c r="F3986" s="14"/>
      <c r="G3986" s="14"/>
      <c r="H3986" s="23"/>
      <c r="I3986" s="27"/>
      <c r="J3986" s="23"/>
      <c r="K3986" s="30"/>
      <c r="L3986" s="23"/>
      <c r="M3986" s="20"/>
      <c r="N3986" s="20"/>
      <c r="O3986" s="20"/>
      <c r="P3986" s="20"/>
    </row>
    <row r="3987">
      <c r="A3987" s="10"/>
      <c r="B3987" s="11"/>
      <c r="C3987" s="10"/>
      <c r="D3987" s="13"/>
      <c r="E3987" s="14"/>
      <c r="F3987" s="14"/>
      <c r="G3987" s="14"/>
      <c r="H3987" s="10"/>
      <c r="I3987" s="17"/>
      <c r="J3987" s="10"/>
      <c r="K3987" s="46"/>
      <c r="L3987" s="10"/>
      <c r="M3987" s="20"/>
      <c r="N3987" s="20"/>
      <c r="O3987" s="20"/>
      <c r="P3987" s="20"/>
    </row>
    <row r="3988">
      <c r="A3988" s="23"/>
      <c r="B3988" s="21"/>
      <c r="C3988" s="23"/>
      <c r="D3988" s="24"/>
      <c r="E3988" s="14"/>
      <c r="F3988" s="14"/>
      <c r="G3988" s="14"/>
      <c r="H3988" s="23"/>
      <c r="I3988" s="27"/>
      <c r="J3988" s="23"/>
      <c r="K3988" s="30"/>
      <c r="L3988" s="23"/>
      <c r="M3988" s="20"/>
      <c r="N3988" s="20"/>
      <c r="O3988" s="20"/>
      <c r="P3988" s="20"/>
    </row>
    <row r="3989">
      <c r="A3989" s="10"/>
      <c r="B3989" s="11"/>
      <c r="C3989" s="10"/>
      <c r="D3989" s="13"/>
      <c r="E3989" s="14"/>
      <c r="F3989" s="14"/>
      <c r="G3989" s="14"/>
      <c r="H3989" s="10"/>
      <c r="I3989" s="17"/>
      <c r="J3989" s="10"/>
      <c r="K3989" s="46"/>
      <c r="L3989" s="10"/>
      <c r="M3989" s="20"/>
      <c r="N3989" s="20"/>
      <c r="O3989" s="20"/>
      <c r="P3989" s="20"/>
    </row>
    <row r="3990">
      <c r="A3990" s="23"/>
      <c r="B3990" s="21"/>
      <c r="C3990" s="23"/>
      <c r="D3990" s="24"/>
      <c r="E3990" s="14"/>
      <c r="F3990" s="14"/>
      <c r="G3990" s="14"/>
      <c r="H3990" s="23"/>
      <c r="I3990" s="27"/>
      <c r="J3990" s="23"/>
      <c r="K3990" s="30"/>
      <c r="L3990" s="23"/>
      <c r="M3990" s="20"/>
      <c r="N3990" s="20"/>
      <c r="O3990" s="20"/>
      <c r="P3990" s="20"/>
    </row>
    <row r="3991">
      <c r="A3991" s="10"/>
      <c r="B3991" s="11"/>
      <c r="C3991" s="10"/>
      <c r="D3991" s="13"/>
      <c r="E3991" s="14"/>
      <c r="F3991" s="14"/>
      <c r="G3991" s="14"/>
      <c r="H3991" s="10"/>
      <c r="I3991" s="17"/>
      <c r="J3991" s="10"/>
      <c r="K3991" s="46"/>
      <c r="L3991" s="10"/>
      <c r="M3991" s="20"/>
      <c r="N3991" s="20"/>
      <c r="O3991" s="20"/>
      <c r="P3991" s="20"/>
    </row>
    <row r="3992">
      <c r="A3992" s="23"/>
      <c r="B3992" s="21"/>
      <c r="C3992" s="23"/>
      <c r="D3992" s="24"/>
      <c r="E3992" s="14"/>
      <c r="F3992" s="14"/>
      <c r="G3992" s="14"/>
      <c r="H3992" s="23"/>
      <c r="I3992" s="27"/>
      <c r="J3992" s="23"/>
      <c r="K3992" s="30"/>
      <c r="L3992" s="23"/>
      <c r="M3992" s="20"/>
      <c r="N3992" s="20"/>
      <c r="O3992" s="20"/>
      <c r="P3992" s="20"/>
    </row>
    <row r="3993">
      <c r="A3993" s="10"/>
      <c r="B3993" s="11"/>
      <c r="C3993" s="10"/>
      <c r="D3993" s="13"/>
      <c r="E3993" s="14"/>
      <c r="F3993" s="14"/>
      <c r="G3993" s="14"/>
      <c r="H3993" s="10"/>
      <c r="I3993" s="17"/>
      <c r="J3993" s="10"/>
      <c r="K3993" s="46"/>
      <c r="L3993" s="10"/>
      <c r="M3993" s="20"/>
      <c r="N3993" s="20"/>
      <c r="O3993" s="20"/>
      <c r="P3993" s="20"/>
    </row>
    <row r="3994">
      <c r="A3994" s="23"/>
      <c r="B3994" s="21"/>
      <c r="C3994" s="23"/>
      <c r="D3994" s="24"/>
      <c r="E3994" s="14"/>
      <c r="F3994" s="14"/>
      <c r="G3994" s="14"/>
      <c r="H3994" s="23"/>
      <c r="I3994" s="27"/>
      <c r="J3994" s="23"/>
      <c r="K3994" s="30"/>
      <c r="L3994" s="23"/>
      <c r="M3994" s="20"/>
      <c r="N3994" s="20"/>
      <c r="O3994" s="20"/>
      <c r="P3994" s="20"/>
    </row>
    <row r="3995">
      <c r="A3995" s="10"/>
      <c r="B3995" s="11"/>
      <c r="C3995" s="10"/>
      <c r="D3995" s="13"/>
      <c r="E3995" s="14"/>
      <c r="F3995" s="14"/>
      <c r="G3995" s="14"/>
      <c r="H3995" s="10"/>
      <c r="I3995" s="17"/>
      <c r="J3995" s="10"/>
      <c r="K3995" s="46"/>
      <c r="L3995" s="10"/>
      <c r="M3995" s="20"/>
      <c r="N3995" s="20"/>
      <c r="O3995" s="20"/>
      <c r="P3995" s="20"/>
    </row>
    <row r="3996">
      <c r="A3996" s="23"/>
      <c r="B3996" s="21"/>
      <c r="C3996" s="23"/>
      <c r="D3996" s="24"/>
      <c r="E3996" s="14"/>
      <c r="F3996" s="14"/>
      <c r="G3996" s="14"/>
      <c r="H3996" s="23"/>
      <c r="I3996" s="27"/>
      <c r="J3996" s="23"/>
      <c r="K3996" s="30"/>
      <c r="L3996" s="23"/>
      <c r="M3996" s="20"/>
      <c r="N3996" s="20"/>
      <c r="O3996" s="20"/>
      <c r="P3996" s="20"/>
    </row>
    <row r="3997">
      <c r="A3997" s="10"/>
      <c r="B3997" s="11"/>
      <c r="C3997" s="10"/>
      <c r="D3997" s="13"/>
      <c r="E3997" s="14"/>
      <c r="F3997" s="14"/>
      <c r="G3997" s="14"/>
      <c r="H3997" s="10"/>
      <c r="I3997" s="17"/>
      <c r="J3997" s="10"/>
      <c r="K3997" s="46"/>
      <c r="L3997" s="10"/>
      <c r="M3997" s="20"/>
      <c r="N3997" s="20"/>
      <c r="O3997" s="20"/>
      <c r="P3997" s="20"/>
    </row>
    <row r="3998">
      <c r="A3998" s="23"/>
      <c r="B3998" s="21"/>
      <c r="C3998" s="23"/>
      <c r="D3998" s="24"/>
      <c r="E3998" s="14"/>
      <c r="F3998" s="14"/>
      <c r="G3998" s="14"/>
      <c r="H3998" s="23"/>
      <c r="I3998" s="27"/>
      <c r="J3998" s="23"/>
      <c r="K3998" s="30"/>
      <c r="L3998" s="23"/>
      <c r="M3998" s="20"/>
      <c r="N3998" s="20"/>
      <c r="O3998" s="20"/>
      <c r="P3998" s="20"/>
    </row>
    <row r="3999">
      <c r="A3999" s="10"/>
      <c r="B3999" s="11"/>
      <c r="C3999" s="10"/>
      <c r="D3999" s="13"/>
      <c r="E3999" s="14"/>
      <c r="F3999" s="14"/>
      <c r="G3999" s="14"/>
      <c r="H3999" s="10"/>
      <c r="I3999" s="17"/>
      <c r="J3999" s="10"/>
      <c r="K3999" s="46"/>
      <c r="L3999" s="10"/>
      <c r="M3999" s="20"/>
      <c r="N3999" s="20"/>
      <c r="O3999" s="20"/>
      <c r="P3999" s="20"/>
    </row>
    <row r="4000">
      <c r="A4000" s="23"/>
      <c r="B4000" s="21"/>
      <c r="C4000" s="23"/>
      <c r="D4000" s="24"/>
      <c r="E4000" s="14"/>
      <c r="F4000" s="14"/>
      <c r="G4000" s="14"/>
      <c r="H4000" s="23"/>
      <c r="I4000" s="27"/>
      <c r="J4000" s="23"/>
      <c r="K4000" s="30"/>
      <c r="L4000" s="23"/>
      <c r="M4000" s="20"/>
      <c r="N4000" s="20"/>
      <c r="O4000" s="20"/>
      <c r="P4000" s="20"/>
    </row>
    <row r="4001">
      <c r="A4001" s="10"/>
      <c r="B4001" s="11"/>
      <c r="C4001" s="10"/>
      <c r="D4001" s="13"/>
      <c r="E4001" s="14"/>
      <c r="F4001" s="14"/>
      <c r="G4001" s="14"/>
      <c r="H4001" s="10"/>
      <c r="I4001" s="17"/>
      <c r="J4001" s="10"/>
      <c r="K4001" s="46"/>
      <c r="L4001" s="10"/>
      <c r="M4001" s="20"/>
      <c r="N4001" s="20"/>
      <c r="O4001" s="20"/>
      <c r="P4001" s="20"/>
    </row>
    <row r="4002">
      <c r="A4002" s="23"/>
      <c r="B4002" s="21"/>
      <c r="C4002" s="23"/>
      <c r="D4002" s="24"/>
      <c r="E4002" s="14"/>
      <c r="F4002" s="14"/>
      <c r="G4002" s="14"/>
      <c r="H4002" s="23"/>
      <c r="I4002" s="27"/>
      <c r="J4002" s="23"/>
      <c r="K4002" s="30"/>
      <c r="L4002" s="23"/>
      <c r="M4002" s="20"/>
      <c r="N4002" s="20"/>
      <c r="O4002" s="20"/>
      <c r="P4002" s="20"/>
    </row>
    <row r="4003">
      <c r="A4003" s="10"/>
      <c r="B4003" s="11"/>
      <c r="C4003" s="10"/>
      <c r="D4003" s="13"/>
      <c r="E4003" s="14"/>
      <c r="F4003" s="14"/>
      <c r="G4003" s="14"/>
      <c r="H4003" s="10"/>
      <c r="I4003" s="17"/>
      <c r="J4003" s="10"/>
      <c r="K4003" s="46"/>
      <c r="L4003" s="10"/>
      <c r="M4003" s="20"/>
      <c r="N4003" s="20"/>
      <c r="O4003" s="20"/>
      <c r="P4003" s="20"/>
    </row>
    <row r="4004">
      <c r="A4004" s="23"/>
      <c r="B4004" s="21"/>
      <c r="C4004" s="23"/>
      <c r="D4004" s="24"/>
      <c r="E4004" s="14"/>
      <c r="F4004" s="14"/>
      <c r="G4004" s="14"/>
      <c r="H4004" s="23"/>
      <c r="I4004" s="27"/>
      <c r="J4004" s="23"/>
      <c r="K4004" s="30"/>
      <c r="L4004" s="23"/>
      <c r="M4004" s="20"/>
      <c r="N4004" s="20"/>
      <c r="O4004" s="20"/>
      <c r="P4004" s="20"/>
    </row>
    <row r="4005">
      <c r="A4005" s="10"/>
      <c r="B4005" s="11"/>
      <c r="C4005" s="10"/>
      <c r="D4005" s="13"/>
      <c r="E4005" s="14"/>
      <c r="F4005" s="14"/>
      <c r="G4005" s="14"/>
      <c r="H4005" s="10"/>
      <c r="I4005" s="17"/>
      <c r="J4005" s="10"/>
      <c r="K4005" s="46"/>
      <c r="L4005" s="10"/>
      <c r="M4005" s="20"/>
      <c r="N4005" s="20"/>
      <c r="O4005" s="20"/>
      <c r="P4005" s="20"/>
    </row>
    <row r="4006">
      <c r="A4006" s="23"/>
      <c r="B4006" s="21"/>
      <c r="C4006" s="23"/>
      <c r="D4006" s="24"/>
      <c r="E4006" s="14"/>
      <c r="F4006" s="14"/>
      <c r="G4006" s="14"/>
      <c r="H4006" s="23"/>
      <c r="I4006" s="27"/>
      <c r="J4006" s="23"/>
      <c r="K4006" s="30"/>
      <c r="L4006" s="23"/>
      <c r="M4006" s="20"/>
      <c r="N4006" s="20"/>
      <c r="O4006" s="20"/>
      <c r="P4006" s="20"/>
    </row>
    <row r="4007">
      <c r="A4007" s="10"/>
      <c r="B4007" s="11"/>
      <c r="C4007" s="10"/>
      <c r="D4007" s="13"/>
      <c r="E4007" s="14"/>
      <c r="F4007" s="14"/>
      <c r="G4007" s="14"/>
      <c r="H4007" s="10"/>
      <c r="I4007" s="17"/>
      <c r="J4007" s="10"/>
      <c r="K4007" s="46"/>
      <c r="L4007" s="10"/>
      <c r="M4007" s="20"/>
      <c r="N4007" s="20"/>
      <c r="O4007" s="20"/>
      <c r="P4007" s="20"/>
    </row>
    <row r="4008">
      <c r="A4008" s="23"/>
      <c r="B4008" s="21"/>
      <c r="C4008" s="23"/>
      <c r="D4008" s="24"/>
      <c r="E4008" s="14"/>
      <c r="F4008" s="14"/>
      <c r="G4008" s="14"/>
      <c r="H4008" s="23"/>
      <c r="I4008" s="27"/>
      <c r="J4008" s="23"/>
      <c r="K4008" s="30"/>
      <c r="L4008" s="23"/>
      <c r="M4008" s="20"/>
      <c r="N4008" s="20"/>
      <c r="O4008" s="20"/>
      <c r="P4008" s="20"/>
    </row>
    <row r="4009">
      <c r="A4009" s="10"/>
      <c r="B4009" s="11"/>
      <c r="C4009" s="10"/>
      <c r="D4009" s="13"/>
      <c r="E4009" s="14"/>
      <c r="F4009" s="14"/>
      <c r="G4009" s="14"/>
      <c r="H4009" s="10"/>
      <c r="I4009" s="17"/>
      <c r="J4009" s="10"/>
      <c r="K4009" s="46"/>
      <c r="L4009" s="10"/>
      <c r="M4009" s="20"/>
      <c r="N4009" s="20"/>
      <c r="O4009" s="20"/>
      <c r="P4009" s="20"/>
    </row>
    <row r="4010">
      <c r="A4010" s="23"/>
      <c r="B4010" s="21"/>
      <c r="C4010" s="23"/>
      <c r="D4010" s="24"/>
      <c r="E4010" s="14"/>
      <c r="F4010" s="14"/>
      <c r="G4010" s="14"/>
      <c r="H4010" s="23"/>
      <c r="I4010" s="27"/>
      <c r="J4010" s="23"/>
      <c r="K4010" s="30"/>
      <c r="L4010" s="23"/>
      <c r="M4010" s="20"/>
      <c r="N4010" s="20"/>
      <c r="O4010" s="20"/>
      <c r="P4010" s="20"/>
    </row>
    <row r="4011">
      <c r="A4011" s="10"/>
      <c r="B4011" s="11"/>
      <c r="C4011" s="10"/>
      <c r="D4011" s="13"/>
      <c r="E4011" s="14"/>
      <c r="F4011" s="14"/>
      <c r="G4011" s="14"/>
      <c r="H4011" s="10"/>
      <c r="I4011" s="17"/>
      <c r="J4011" s="10"/>
      <c r="K4011" s="46"/>
      <c r="L4011" s="10"/>
      <c r="M4011" s="20"/>
      <c r="N4011" s="20"/>
      <c r="O4011" s="20"/>
      <c r="P4011" s="20"/>
    </row>
    <row r="4012">
      <c r="A4012" s="23"/>
      <c r="B4012" s="21"/>
      <c r="C4012" s="23"/>
      <c r="D4012" s="24"/>
      <c r="E4012" s="14"/>
      <c r="F4012" s="14"/>
      <c r="G4012" s="14"/>
      <c r="H4012" s="23"/>
      <c r="I4012" s="27"/>
      <c r="J4012" s="23"/>
      <c r="K4012" s="30"/>
      <c r="L4012" s="23"/>
      <c r="M4012" s="20"/>
      <c r="N4012" s="20"/>
      <c r="O4012" s="20"/>
      <c r="P4012" s="20"/>
    </row>
    <row r="4013">
      <c r="A4013" s="10"/>
      <c r="B4013" s="11"/>
      <c r="C4013" s="10"/>
      <c r="D4013" s="13"/>
      <c r="E4013" s="14"/>
      <c r="F4013" s="14"/>
      <c r="G4013" s="14"/>
      <c r="H4013" s="10"/>
      <c r="I4013" s="17"/>
      <c r="J4013" s="10"/>
      <c r="K4013" s="46"/>
      <c r="L4013" s="10"/>
      <c r="M4013" s="20"/>
      <c r="N4013" s="20"/>
      <c r="O4013" s="20"/>
      <c r="P4013" s="20"/>
    </row>
    <row r="4014">
      <c r="A4014" s="23"/>
      <c r="B4014" s="21"/>
      <c r="C4014" s="23"/>
      <c r="D4014" s="24"/>
      <c r="E4014" s="14"/>
      <c r="F4014" s="14"/>
      <c r="G4014" s="14"/>
      <c r="H4014" s="23"/>
      <c r="I4014" s="27"/>
      <c r="J4014" s="23"/>
      <c r="K4014" s="30"/>
      <c r="L4014" s="23"/>
      <c r="M4014" s="20"/>
      <c r="N4014" s="20"/>
      <c r="O4014" s="20"/>
      <c r="P4014" s="20"/>
    </row>
    <row r="4015">
      <c r="A4015" s="10"/>
      <c r="B4015" s="11"/>
      <c r="C4015" s="10"/>
      <c r="D4015" s="13"/>
      <c r="E4015" s="14"/>
      <c r="F4015" s="14"/>
      <c r="G4015" s="14"/>
      <c r="H4015" s="10"/>
      <c r="I4015" s="17"/>
      <c r="J4015" s="10"/>
      <c r="K4015" s="46"/>
      <c r="L4015" s="10"/>
      <c r="M4015" s="20"/>
      <c r="N4015" s="20"/>
      <c r="O4015" s="20"/>
      <c r="P4015" s="20"/>
    </row>
    <row r="4016">
      <c r="A4016" s="23"/>
      <c r="B4016" s="21"/>
      <c r="C4016" s="23"/>
      <c r="D4016" s="24"/>
      <c r="E4016" s="14"/>
      <c r="F4016" s="14"/>
      <c r="G4016" s="14"/>
      <c r="H4016" s="23"/>
      <c r="I4016" s="27"/>
      <c r="J4016" s="23"/>
      <c r="K4016" s="30"/>
      <c r="L4016" s="23"/>
      <c r="M4016" s="20"/>
      <c r="N4016" s="20"/>
      <c r="O4016" s="20"/>
      <c r="P4016" s="20"/>
    </row>
    <row r="4017">
      <c r="A4017" s="10"/>
      <c r="B4017" s="11"/>
      <c r="C4017" s="10"/>
      <c r="D4017" s="13"/>
      <c r="E4017" s="14"/>
      <c r="F4017" s="14"/>
      <c r="G4017" s="14"/>
      <c r="H4017" s="10"/>
      <c r="I4017" s="17"/>
      <c r="J4017" s="10"/>
      <c r="K4017" s="46"/>
      <c r="L4017" s="10"/>
      <c r="M4017" s="20"/>
      <c r="N4017" s="20"/>
      <c r="O4017" s="20"/>
      <c r="P4017" s="20"/>
    </row>
    <row r="4018">
      <c r="A4018" s="23"/>
      <c r="B4018" s="21"/>
      <c r="C4018" s="23"/>
      <c r="D4018" s="24"/>
      <c r="E4018" s="14"/>
      <c r="F4018" s="14"/>
      <c r="G4018" s="14"/>
      <c r="H4018" s="23"/>
      <c r="I4018" s="27"/>
      <c r="J4018" s="23"/>
      <c r="K4018" s="30"/>
      <c r="L4018" s="23"/>
      <c r="M4018" s="20"/>
      <c r="N4018" s="20"/>
      <c r="O4018" s="20"/>
      <c r="P4018" s="20"/>
    </row>
    <row r="4019">
      <c r="A4019" s="10"/>
      <c r="B4019" s="11"/>
      <c r="C4019" s="10"/>
      <c r="D4019" s="13"/>
      <c r="E4019" s="14"/>
      <c r="F4019" s="14"/>
      <c r="G4019" s="14"/>
      <c r="H4019" s="10"/>
      <c r="I4019" s="17"/>
      <c r="J4019" s="10"/>
      <c r="K4019" s="46"/>
      <c r="L4019" s="10"/>
      <c r="M4019" s="20"/>
      <c r="N4019" s="20"/>
      <c r="O4019" s="20"/>
      <c r="P4019" s="20"/>
    </row>
    <row r="4020">
      <c r="A4020" s="23"/>
      <c r="B4020" s="21"/>
      <c r="C4020" s="23"/>
      <c r="D4020" s="24"/>
      <c r="E4020" s="14"/>
      <c r="F4020" s="14"/>
      <c r="G4020" s="14"/>
      <c r="H4020" s="23"/>
      <c r="I4020" s="27"/>
      <c r="J4020" s="23"/>
      <c r="K4020" s="30"/>
      <c r="L4020" s="23"/>
      <c r="M4020" s="20"/>
      <c r="N4020" s="20"/>
      <c r="O4020" s="20"/>
      <c r="P4020" s="20"/>
    </row>
    <row r="4021">
      <c r="A4021" s="10"/>
      <c r="B4021" s="11"/>
      <c r="C4021" s="10"/>
      <c r="D4021" s="13"/>
      <c r="E4021" s="14"/>
      <c r="F4021" s="14"/>
      <c r="G4021" s="14"/>
      <c r="H4021" s="10"/>
      <c r="I4021" s="17"/>
      <c r="J4021" s="10"/>
      <c r="K4021" s="46"/>
      <c r="L4021" s="10"/>
      <c r="M4021" s="20"/>
      <c r="N4021" s="20"/>
      <c r="O4021" s="20"/>
      <c r="P4021" s="20"/>
    </row>
    <row r="4022">
      <c r="A4022" s="23"/>
      <c r="B4022" s="21"/>
      <c r="C4022" s="23"/>
      <c r="D4022" s="24"/>
      <c r="E4022" s="14"/>
      <c r="F4022" s="14"/>
      <c r="G4022" s="14"/>
      <c r="H4022" s="23"/>
      <c r="I4022" s="27"/>
      <c r="J4022" s="23"/>
      <c r="K4022" s="30"/>
      <c r="L4022" s="23"/>
      <c r="M4022" s="20"/>
      <c r="N4022" s="20"/>
      <c r="O4022" s="20"/>
      <c r="P4022" s="20"/>
    </row>
    <row r="4023">
      <c r="A4023" s="10"/>
      <c r="B4023" s="11"/>
      <c r="C4023" s="10"/>
      <c r="D4023" s="13"/>
      <c r="E4023" s="14"/>
      <c r="F4023" s="14"/>
      <c r="G4023" s="14"/>
      <c r="H4023" s="10"/>
      <c r="I4023" s="17"/>
      <c r="J4023" s="10"/>
      <c r="K4023" s="46"/>
      <c r="L4023" s="10"/>
      <c r="M4023" s="20"/>
      <c r="N4023" s="20"/>
      <c r="O4023" s="20"/>
      <c r="P4023" s="20"/>
    </row>
    <row r="4024">
      <c r="A4024" s="23"/>
      <c r="B4024" s="21"/>
      <c r="C4024" s="23"/>
      <c r="D4024" s="24"/>
      <c r="E4024" s="14"/>
      <c r="F4024" s="14"/>
      <c r="G4024" s="14"/>
      <c r="H4024" s="23"/>
      <c r="I4024" s="27"/>
      <c r="J4024" s="23"/>
      <c r="K4024" s="30"/>
      <c r="L4024" s="23"/>
      <c r="M4024" s="20"/>
      <c r="N4024" s="20"/>
      <c r="O4024" s="20"/>
      <c r="P4024" s="20"/>
    </row>
    <row r="4025">
      <c r="A4025" s="10"/>
      <c r="B4025" s="11"/>
      <c r="C4025" s="10"/>
      <c r="D4025" s="13"/>
      <c r="E4025" s="14"/>
      <c r="F4025" s="14"/>
      <c r="G4025" s="14"/>
      <c r="H4025" s="10"/>
      <c r="I4025" s="17"/>
      <c r="J4025" s="10"/>
      <c r="K4025" s="46"/>
      <c r="L4025" s="10"/>
      <c r="M4025" s="20"/>
      <c r="N4025" s="20"/>
      <c r="O4025" s="20"/>
      <c r="P4025" s="20"/>
    </row>
    <row r="4026">
      <c r="A4026" s="23"/>
      <c r="B4026" s="21"/>
      <c r="C4026" s="23"/>
      <c r="D4026" s="24"/>
      <c r="E4026" s="14"/>
      <c r="F4026" s="14"/>
      <c r="G4026" s="14"/>
      <c r="H4026" s="23"/>
      <c r="I4026" s="27"/>
      <c r="J4026" s="23"/>
      <c r="K4026" s="30"/>
      <c r="L4026" s="23"/>
      <c r="M4026" s="20"/>
      <c r="N4026" s="20"/>
      <c r="O4026" s="20"/>
      <c r="P4026" s="20"/>
    </row>
    <row r="4027">
      <c r="A4027" s="10"/>
      <c r="B4027" s="11"/>
      <c r="C4027" s="10"/>
      <c r="D4027" s="13"/>
      <c r="E4027" s="14"/>
      <c r="F4027" s="14"/>
      <c r="G4027" s="14"/>
      <c r="H4027" s="10"/>
      <c r="I4027" s="17"/>
      <c r="J4027" s="10"/>
      <c r="K4027" s="46"/>
      <c r="L4027" s="10"/>
      <c r="M4027" s="20"/>
      <c r="N4027" s="20"/>
      <c r="O4027" s="20"/>
      <c r="P4027" s="20"/>
    </row>
    <row r="4028">
      <c r="A4028" s="23"/>
      <c r="B4028" s="21"/>
      <c r="C4028" s="23"/>
      <c r="D4028" s="24"/>
      <c r="E4028" s="14"/>
      <c r="F4028" s="14"/>
      <c r="G4028" s="14"/>
      <c r="H4028" s="23"/>
      <c r="I4028" s="27"/>
      <c r="J4028" s="23"/>
      <c r="K4028" s="30"/>
      <c r="L4028" s="23"/>
      <c r="M4028" s="20"/>
      <c r="N4028" s="20"/>
      <c r="O4028" s="20"/>
      <c r="P4028" s="20"/>
    </row>
    <row r="4029">
      <c r="A4029" s="10"/>
      <c r="B4029" s="11"/>
      <c r="C4029" s="10"/>
      <c r="D4029" s="13"/>
      <c r="E4029" s="14"/>
      <c r="F4029" s="14"/>
      <c r="G4029" s="14"/>
      <c r="H4029" s="10"/>
      <c r="I4029" s="17"/>
      <c r="J4029" s="10"/>
      <c r="K4029" s="46"/>
      <c r="L4029" s="10"/>
      <c r="M4029" s="20"/>
      <c r="N4029" s="20"/>
      <c r="O4029" s="20"/>
      <c r="P4029" s="20"/>
    </row>
    <row r="4030">
      <c r="A4030" s="23"/>
      <c r="B4030" s="21"/>
      <c r="C4030" s="23"/>
      <c r="D4030" s="24"/>
      <c r="E4030" s="14"/>
      <c r="F4030" s="14"/>
      <c r="G4030" s="14"/>
      <c r="H4030" s="23"/>
      <c r="I4030" s="27"/>
      <c r="J4030" s="23"/>
      <c r="K4030" s="30"/>
      <c r="L4030" s="23"/>
      <c r="M4030" s="20"/>
      <c r="N4030" s="20"/>
      <c r="O4030" s="20"/>
      <c r="P4030" s="20"/>
    </row>
    <row r="4031">
      <c r="A4031" s="10"/>
      <c r="B4031" s="11"/>
      <c r="C4031" s="10"/>
      <c r="D4031" s="13"/>
      <c r="E4031" s="14"/>
      <c r="F4031" s="14"/>
      <c r="G4031" s="14"/>
      <c r="H4031" s="10"/>
      <c r="I4031" s="17"/>
      <c r="J4031" s="10"/>
      <c r="K4031" s="46"/>
      <c r="L4031" s="10"/>
      <c r="M4031" s="20"/>
      <c r="N4031" s="20"/>
      <c r="O4031" s="20"/>
      <c r="P4031" s="20"/>
    </row>
    <row r="4032">
      <c r="A4032" s="23"/>
      <c r="B4032" s="21"/>
      <c r="C4032" s="23"/>
      <c r="D4032" s="24"/>
      <c r="E4032" s="14"/>
      <c r="F4032" s="14"/>
      <c r="G4032" s="14"/>
      <c r="H4032" s="23"/>
      <c r="I4032" s="27"/>
      <c r="J4032" s="23"/>
      <c r="K4032" s="30"/>
      <c r="L4032" s="23"/>
      <c r="M4032" s="20"/>
      <c r="N4032" s="20"/>
      <c r="O4032" s="20"/>
      <c r="P4032" s="20"/>
    </row>
    <row r="4033">
      <c r="A4033" s="10"/>
      <c r="B4033" s="11"/>
      <c r="C4033" s="10"/>
      <c r="D4033" s="13"/>
      <c r="E4033" s="14"/>
      <c r="F4033" s="14"/>
      <c r="G4033" s="14"/>
      <c r="H4033" s="10"/>
      <c r="I4033" s="17"/>
      <c r="J4033" s="10"/>
      <c r="K4033" s="46"/>
      <c r="L4033" s="10"/>
      <c r="M4033" s="20"/>
      <c r="N4033" s="20"/>
      <c r="O4033" s="20"/>
      <c r="P4033" s="20"/>
    </row>
    <row r="4034">
      <c r="A4034" s="23"/>
      <c r="B4034" s="21"/>
      <c r="C4034" s="23"/>
      <c r="D4034" s="24"/>
      <c r="E4034" s="14"/>
      <c r="F4034" s="14"/>
      <c r="G4034" s="14"/>
      <c r="H4034" s="23"/>
      <c r="I4034" s="27"/>
      <c r="J4034" s="23"/>
      <c r="K4034" s="30"/>
      <c r="L4034" s="23"/>
      <c r="M4034" s="20"/>
      <c r="N4034" s="20"/>
      <c r="O4034" s="20"/>
      <c r="P4034" s="20"/>
    </row>
    <row r="4035">
      <c r="A4035" s="10"/>
      <c r="B4035" s="11"/>
      <c r="C4035" s="10"/>
      <c r="D4035" s="13"/>
      <c r="E4035" s="14"/>
      <c r="F4035" s="14"/>
      <c r="G4035" s="14"/>
      <c r="H4035" s="10"/>
      <c r="I4035" s="17"/>
      <c r="J4035" s="10"/>
      <c r="K4035" s="46"/>
      <c r="L4035" s="10"/>
      <c r="M4035" s="20"/>
      <c r="N4035" s="20"/>
      <c r="O4035" s="20"/>
      <c r="P4035" s="20"/>
    </row>
    <row r="4036">
      <c r="A4036" s="23"/>
      <c r="B4036" s="21"/>
      <c r="C4036" s="23"/>
      <c r="D4036" s="24"/>
      <c r="E4036" s="14"/>
      <c r="F4036" s="14"/>
      <c r="G4036" s="14"/>
      <c r="H4036" s="23"/>
      <c r="I4036" s="27"/>
      <c r="J4036" s="23"/>
      <c r="K4036" s="30"/>
      <c r="L4036" s="23"/>
      <c r="M4036" s="20"/>
      <c r="N4036" s="20"/>
      <c r="O4036" s="20"/>
      <c r="P4036" s="20"/>
    </row>
    <row r="4037">
      <c r="A4037" s="10"/>
      <c r="B4037" s="11"/>
      <c r="C4037" s="10"/>
      <c r="D4037" s="13"/>
      <c r="E4037" s="14"/>
      <c r="F4037" s="14"/>
      <c r="G4037" s="14"/>
      <c r="H4037" s="10"/>
      <c r="I4037" s="17"/>
      <c r="J4037" s="10"/>
      <c r="K4037" s="46"/>
      <c r="L4037" s="10"/>
      <c r="M4037" s="20"/>
      <c r="N4037" s="20"/>
      <c r="O4037" s="20"/>
      <c r="P4037" s="20"/>
    </row>
    <row r="4038">
      <c r="A4038" s="23"/>
      <c r="B4038" s="21"/>
      <c r="C4038" s="23"/>
      <c r="D4038" s="24"/>
      <c r="E4038" s="14"/>
      <c r="F4038" s="14"/>
      <c r="G4038" s="14"/>
      <c r="H4038" s="23"/>
      <c r="I4038" s="27"/>
      <c r="J4038" s="23"/>
      <c r="K4038" s="30"/>
      <c r="L4038" s="23"/>
      <c r="M4038" s="20"/>
      <c r="N4038" s="20"/>
      <c r="O4038" s="20"/>
      <c r="P4038" s="20"/>
    </row>
    <row r="4039">
      <c r="A4039" s="10"/>
      <c r="B4039" s="11"/>
      <c r="C4039" s="10"/>
      <c r="D4039" s="13"/>
      <c r="E4039" s="14"/>
      <c r="F4039" s="14"/>
      <c r="G4039" s="14"/>
      <c r="H4039" s="10"/>
      <c r="I4039" s="17"/>
      <c r="J4039" s="10"/>
      <c r="K4039" s="46"/>
      <c r="L4039" s="10"/>
      <c r="M4039" s="20"/>
      <c r="N4039" s="20"/>
      <c r="O4039" s="20"/>
      <c r="P4039" s="20"/>
    </row>
    <row r="4040">
      <c r="A4040" s="23"/>
      <c r="B4040" s="21"/>
      <c r="C4040" s="23"/>
      <c r="D4040" s="24"/>
      <c r="E4040" s="14"/>
      <c r="F4040" s="14"/>
      <c r="G4040" s="14"/>
      <c r="H4040" s="23"/>
      <c r="I4040" s="27"/>
      <c r="J4040" s="23"/>
      <c r="K4040" s="30"/>
      <c r="L4040" s="23"/>
      <c r="M4040" s="20"/>
      <c r="N4040" s="20"/>
      <c r="O4040" s="20"/>
      <c r="P4040" s="20"/>
    </row>
    <row r="4041">
      <c r="A4041" s="10"/>
      <c r="B4041" s="11"/>
      <c r="C4041" s="10"/>
      <c r="D4041" s="13"/>
      <c r="E4041" s="14"/>
      <c r="F4041" s="14"/>
      <c r="G4041" s="14"/>
      <c r="H4041" s="10"/>
      <c r="I4041" s="17"/>
      <c r="J4041" s="10"/>
      <c r="K4041" s="46"/>
      <c r="L4041" s="10"/>
      <c r="M4041" s="20"/>
      <c r="N4041" s="20"/>
      <c r="O4041" s="20"/>
      <c r="P4041" s="20"/>
    </row>
    <row r="4042">
      <c r="A4042" s="23"/>
      <c r="B4042" s="21"/>
      <c r="C4042" s="23"/>
      <c r="D4042" s="24"/>
      <c r="E4042" s="14"/>
      <c r="F4042" s="14"/>
      <c r="G4042" s="14"/>
      <c r="H4042" s="23"/>
      <c r="I4042" s="27"/>
      <c r="J4042" s="23"/>
      <c r="K4042" s="30"/>
      <c r="L4042" s="23"/>
      <c r="M4042" s="20"/>
      <c r="N4042" s="20"/>
      <c r="O4042" s="20"/>
      <c r="P4042" s="20"/>
    </row>
    <row r="4043">
      <c r="A4043" s="10"/>
      <c r="B4043" s="11"/>
      <c r="C4043" s="10"/>
      <c r="D4043" s="13"/>
      <c r="E4043" s="14"/>
      <c r="F4043" s="14"/>
      <c r="G4043" s="14"/>
      <c r="H4043" s="10"/>
      <c r="I4043" s="17"/>
      <c r="J4043" s="10"/>
      <c r="K4043" s="46"/>
      <c r="L4043" s="10"/>
      <c r="M4043" s="20"/>
      <c r="N4043" s="20"/>
      <c r="O4043" s="20"/>
      <c r="P4043" s="20"/>
    </row>
    <row r="4044">
      <c r="A4044" s="23"/>
      <c r="B4044" s="21"/>
      <c r="C4044" s="23"/>
      <c r="D4044" s="24"/>
      <c r="E4044" s="14"/>
      <c r="F4044" s="14"/>
      <c r="G4044" s="14"/>
      <c r="H4044" s="23"/>
      <c r="I4044" s="27"/>
      <c r="J4044" s="23"/>
      <c r="K4044" s="30"/>
      <c r="L4044" s="23"/>
      <c r="M4044" s="20"/>
      <c r="N4044" s="20"/>
      <c r="O4044" s="20"/>
      <c r="P4044" s="20"/>
    </row>
    <row r="4045">
      <c r="A4045" s="10"/>
      <c r="B4045" s="11"/>
      <c r="C4045" s="10"/>
      <c r="D4045" s="13"/>
      <c r="E4045" s="14"/>
      <c r="F4045" s="14"/>
      <c r="G4045" s="14"/>
      <c r="H4045" s="10"/>
      <c r="I4045" s="17"/>
      <c r="J4045" s="10"/>
      <c r="K4045" s="46"/>
      <c r="L4045" s="10"/>
      <c r="M4045" s="20"/>
      <c r="N4045" s="20"/>
      <c r="O4045" s="20"/>
      <c r="P4045" s="20"/>
    </row>
    <row r="4046">
      <c r="A4046" s="23"/>
      <c r="B4046" s="21"/>
      <c r="C4046" s="23"/>
      <c r="D4046" s="24"/>
      <c r="E4046" s="14"/>
      <c r="F4046" s="14"/>
      <c r="G4046" s="14"/>
      <c r="H4046" s="23"/>
      <c r="I4046" s="27"/>
      <c r="J4046" s="23"/>
      <c r="K4046" s="30"/>
      <c r="L4046" s="23"/>
      <c r="M4046" s="20"/>
      <c r="N4046" s="20"/>
      <c r="O4046" s="20"/>
      <c r="P4046" s="20"/>
    </row>
    <row r="4047">
      <c r="A4047" s="10"/>
      <c r="B4047" s="11"/>
      <c r="C4047" s="10"/>
      <c r="D4047" s="13"/>
      <c r="E4047" s="14"/>
      <c r="F4047" s="14"/>
      <c r="G4047" s="14"/>
      <c r="H4047" s="10"/>
      <c r="I4047" s="17"/>
      <c r="J4047" s="10"/>
      <c r="K4047" s="46"/>
      <c r="L4047" s="10"/>
      <c r="M4047" s="20"/>
      <c r="N4047" s="20"/>
      <c r="O4047" s="20"/>
      <c r="P4047" s="20"/>
    </row>
    <row r="4048">
      <c r="A4048" s="23"/>
      <c r="B4048" s="21"/>
      <c r="C4048" s="23"/>
      <c r="D4048" s="24"/>
      <c r="E4048" s="14"/>
      <c r="F4048" s="14"/>
      <c r="G4048" s="14"/>
      <c r="H4048" s="23"/>
      <c r="I4048" s="27"/>
      <c r="J4048" s="23"/>
      <c r="K4048" s="30"/>
      <c r="L4048" s="23"/>
      <c r="M4048" s="20"/>
      <c r="N4048" s="20"/>
      <c r="O4048" s="20"/>
      <c r="P4048" s="20"/>
    </row>
    <row r="4049">
      <c r="A4049" s="10"/>
      <c r="B4049" s="11"/>
      <c r="C4049" s="10"/>
      <c r="D4049" s="13"/>
      <c r="E4049" s="14"/>
      <c r="F4049" s="14"/>
      <c r="G4049" s="14"/>
      <c r="H4049" s="10"/>
      <c r="I4049" s="17"/>
      <c r="J4049" s="10"/>
      <c r="K4049" s="46"/>
      <c r="L4049" s="10"/>
      <c r="M4049" s="20"/>
      <c r="N4049" s="20"/>
      <c r="O4049" s="20"/>
      <c r="P4049" s="20"/>
    </row>
    <row r="4050">
      <c r="A4050" s="23"/>
      <c r="B4050" s="21"/>
      <c r="C4050" s="23"/>
      <c r="D4050" s="24"/>
      <c r="E4050" s="14"/>
      <c r="F4050" s="14"/>
      <c r="G4050" s="14"/>
      <c r="H4050" s="23"/>
      <c r="I4050" s="27"/>
      <c r="J4050" s="23"/>
      <c r="K4050" s="30"/>
      <c r="L4050" s="23"/>
      <c r="M4050" s="20"/>
      <c r="N4050" s="20"/>
      <c r="O4050" s="20"/>
      <c r="P4050" s="20"/>
    </row>
    <row r="4051">
      <c r="A4051" s="10"/>
      <c r="B4051" s="11"/>
      <c r="C4051" s="10"/>
      <c r="D4051" s="13"/>
      <c r="E4051" s="14"/>
      <c r="F4051" s="14"/>
      <c r="G4051" s="14"/>
      <c r="H4051" s="10"/>
      <c r="I4051" s="17"/>
      <c r="J4051" s="10"/>
      <c r="K4051" s="46"/>
      <c r="L4051" s="10"/>
      <c r="M4051" s="20"/>
      <c r="N4051" s="20"/>
      <c r="O4051" s="20"/>
      <c r="P4051" s="20"/>
    </row>
    <row r="4052">
      <c r="A4052" s="23"/>
      <c r="B4052" s="21"/>
      <c r="C4052" s="23"/>
      <c r="D4052" s="24"/>
      <c r="E4052" s="14"/>
      <c r="F4052" s="14"/>
      <c r="G4052" s="14"/>
      <c r="H4052" s="23"/>
      <c r="I4052" s="27"/>
      <c r="J4052" s="23"/>
      <c r="K4052" s="30"/>
      <c r="L4052" s="23"/>
      <c r="M4052" s="20"/>
      <c r="N4052" s="20"/>
      <c r="O4052" s="20"/>
      <c r="P4052" s="20"/>
    </row>
    <row r="4053">
      <c r="A4053" s="10"/>
      <c r="B4053" s="11"/>
      <c r="C4053" s="10"/>
      <c r="D4053" s="13"/>
      <c r="E4053" s="14"/>
      <c r="F4053" s="14"/>
      <c r="G4053" s="14"/>
      <c r="H4053" s="10"/>
      <c r="I4053" s="17"/>
      <c r="J4053" s="10"/>
      <c r="K4053" s="46"/>
      <c r="L4053" s="10"/>
      <c r="M4053" s="20"/>
      <c r="N4053" s="20"/>
      <c r="O4053" s="20"/>
      <c r="P4053" s="20"/>
    </row>
    <row r="4054">
      <c r="A4054" s="23"/>
      <c r="B4054" s="21"/>
      <c r="C4054" s="23"/>
      <c r="D4054" s="24"/>
      <c r="E4054" s="14"/>
      <c r="F4054" s="14"/>
      <c r="G4054" s="14"/>
      <c r="H4054" s="23"/>
      <c r="I4054" s="27"/>
      <c r="J4054" s="23"/>
      <c r="K4054" s="30"/>
      <c r="L4054" s="23"/>
      <c r="M4054" s="20"/>
      <c r="N4054" s="20"/>
      <c r="O4054" s="20"/>
      <c r="P4054" s="20"/>
    </row>
    <row r="4055">
      <c r="A4055" s="10"/>
      <c r="B4055" s="11"/>
      <c r="C4055" s="10"/>
      <c r="D4055" s="13"/>
      <c r="E4055" s="14"/>
      <c r="F4055" s="14"/>
      <c r="G4055" s="14"/>
      <c r="H4055" s="10"/>
      <c r="I4055" s="17"/>
      <c r="J4055" s="10"/>
      <c r="K4055" s="46"/>
      <c r="L4055" s="10"/>
      <c r="M4055" s="20"/>
      <c r="N4055" s="20"/>
      <c r="O4055" s="20"/>
      <c r="P4055" s="20"/>
    </row>
    <row r="4056">
      <c r="A4056" s="23"/>
      <c r="B4056" s="21"/>
      <c r="C4056" s="23"/>
      <c r="D4056" s="24"/>
      <c r="E4056" s="14"/>
      <c r="F4056" s="14"/>
      <c r="G4056" s="14"/>
      <c r="H4056" s="23"/>
      <c r="I4056" s="27"/>
      <c r="J4056" s="23"/>
      <c r="K4056" s="30"/>
      <c r="L4056" s="23"/>
      <c r="M4056" s="20"/>
      <c r="N4056" s="20"/>
      <c r="O4056" s="20"/>
      <c r="P4056" s="20"/>
    </row>
    <row r="4057">
      <c r="A4057" s="10"/>
      <c r="B4057" s="11"/>
      <c r="C4057" s="10"/>
      <c r="D4057" s="13"/>
      <c r="E4057" s="14"/>
      <c r="F4057" s="14"/>
      <c r="G4057" s="14"/>
      <c r="H4057" s="10"/>
      <c r="I4057" s="17"/>
      <c r="J4057" s="10"/>
      <c r="K4057" s="46"/>
      <c r="L4057" s="10"/>
      <c r="M4057" s="20"/>
      <c r="N4057" s="20"/>
      <c r="O4057" s="20"/>
      <c r="P4057" s="20"/>
    </row>
    <row r="4058">
      <c r="A4058" s="23"/>
      <c r="B4058" s="21"/>
      <c r="C4058" s="23"/>
      <c r="D4058" s="24"/>
      <c r="E4058" s="14"/>
      <c r="F4058" s="14"/>
      <c r="G4058" s="14"/>
      <c r="H4058" s="23"/>
      <c r="I4058" s="27"/>
      <c r="J4058" s="23"/>
      <c r="K4058" s="30"/>
      <c r="L4058" s="23"/>
      <c r="M4058" s="20"/>
      <c r="N4058" s="20"/>
      <c r="O4058" s="20"/>
      <c r="P4058" s="20"/>
    </row>
    <row r="4059">
      <c r="A4059" s="10"/>
      <c r="B4059" s="11"/>
      <c r="C4059" s="10"/>
      <c r="D4059" s="13"/>
      <c r="E4059" s="14"/>
      <c r="F4059" s="14"/>
      <c r="G4059" s="14"/>
      <c r="H4059" s="10"/>
      <c r="I4059" s="17"/>
      <c r="J4059" s="10"/>
      <c r="K4059" s="46"/>
      <c r="L4059" s="10"/>
      <c r="M4059" s="20"/>
      <c r="N4059" s="20"/>
      <c r="O4059" s="20"/>
      <c r="P4059" s="20"/>
    </row>
    <row r="4060">
      <c r="A4060" s="23"/>
      <c r="B4060" s="21"/>
      <c r="C4060" s="23"/>
      <c r="D4060" s="24"/>
      <c r="E4060" s="14"/>
      <c r="F4060" s="14"/>
      <c r="G4060" s="14"/>
      <c r="H4060" s="23"/>
      <c r="I4060" s="27"/>
      <c r="J4060" s="23"/>
      <c r="K4060" s="30"/>
      <c r="L4060" s="23"/>
      <c r="M4060" s="20"/>
      <c r="N4060" s="20"/>
      <c r="O4060" s="20"/>
      <c r="P4060" s="20"/>
    </row>
    <row r="4061">
      <c r="A4061" s="10"/>
      <c r="B4061" s="11"/>
      <c r="C4061" s="10"/>
      <c r="D4061" s="13"/>
      <c r="E4061" s="14"/>
      <c r="F4061" s="14"/>
      <c r="G4061" s="14"/>
      <c r="H4061" s="10"/>
      <c r="I4061" s="17"/>
      <c r="J4061" s="10"/>
      <c r="K4061" s="46"/>
      <c r="L4061" s="10"/>
      <c r="M4061" s="20"/>
      <c r="N4061" s="20"/>
      <c r="O4061" s="20"/>
      <c r="P4061" s="20"/>
    </row>
    <row r="4062">
      <c r="A4062" s="23"/>
      <c r="B4062" s="21"/>
      <c r="C4062" s="23"/>
      <c r="D4062" s="24"/>
      <c r="E4062" s="14"/>
      <c r="F4062" s="14"/>
      <c r="G4062" s="14"/>
      <c r="H4062" s="23"/>
      <c r="I4062" s="27"/>
      <c r="J4062" s="23"/>
      <c r="K4062" s="30"/>
      <c r="L4062" s="23"/>
      <c r="M4062" s="20"/>
      <c r="N4062" s="20"/>
      <c r="O4062" s="20"/>
      <c r="P4062" s="20"/>
    </row>
    <row r="4063">
      <c r="A4063" s="10"/>
      <c r="B4063" s="11"/>
      <c r="C4063" s="10"/>
      <c r="D4063" s="13"/>
      <c r="E4063" s="14"/>
      <c r="F4063" s="14"/>
      <c r="G4063" s="14"/>
      <c r="H4063" s="10"/>
      <c r="I4063" s="17"/>
      <c r="J4063" s="10"/>
      <c r="K4063" s="46"/>
      <c r="L4063" s="10"/>
      <c r="M4063" s="20"/>
      <c r="N4063" s="20"/>
      <c r="O4063" s="20"/>
      <c r="P4063" s="20"/>
    </row>
    <row r="4064">
      <c r="A4064" s="23"/>
      <c r="B4064" s="21"/>
      <c r="C4064" s="23"/>
      <c r="D4064" s="24"/>
      <c r="E4064" s="14"/>
      <c r="F4064" s="14"/>
      <c r="G4064" s="14"/>
      <c r="H4064" s="23"/>
      <c r="I4064" s="27"/>
      <c r="J4064" s="23"/>
      <c r="K4064" s="30"/>
      <c r="L4064" s="23"/>
      <c r="M4064" s="20"/>
      <c r="N4064" s="20"/>
      <c r="O4064" s="20"/>
      <c r="P4064" s="20"/>
    </row>
    <row r="4065">
      <c r="A4065" s="10"/>
      <c r="B4065" s="11"/>
      <c r="C4065" s="10"/>
      <c r="D4065" s="13"/>
      <c r="E4065" s="14"/>
      <c r="F4065" s="14"/>
      <c r="G4065" s="14"/>
      <c r="H4065" s="10"/>
      <c r="I4065" s="17"/>
      <c r="J4065" s="10"/>
      <c r="K4065" s="46"/>
      <c r="L4065" s="10"/>
      <c r="M4065" s="20"/>
      <c r="N4065" s="20"/>
      <c r="O4065" s="20"/>
      <c r="P4065" s="20"/>
    </row>
    <row r="4066">
      <c r="A4066" s="23"/>
      <c r="B4066" s="21"/>
      <c r="C4066" s="23"/>
      <c r="D4066" s="24"/>
      <c r="E4066" s="14"/>
      <c r="F4066" s="14"/>
      <c r="G4066" s="14"/>
      <c r="H4066" s="23"/>
      <c r="I4066" s="27"/>
      <c r="J4066" s="23"/>
      <c r="K4066" s="30"/>
      <c r="L4066" s="23"/>
      <c r="M4066" s="20"/>
      <c r="N4066" s="20"/>
      <c r="O4066" s="20"/>
      <c r="P4066" s="20"/>
    </row>
    <row r="4067">
      <c r="A4067" s="10"/>
      <c r="B4067" s="11"/>
      <c r="C4067" s="10"/>
      <c r="D4067" s="13"/>
      <c r="E4067" s="14"/>
      <c r="F4067" s="14"/>
      <c r="G4067" s="14"/>
      <c r="H4067" s="10"/>
      <c r="I4067" s="17"/>
      <c r="J4067" s="10"/>
      <c r="K4067" s="46"/>
      <c r="L4067" s="10"/>
      <c r="M4067" s="20"/>
      <c r="N4067" s="20"/>
      <c r="O4067" s="20"/>
      <c r="P4067" s="20"/>
    </row>
    <row r="4068">
      <c r="A4068" s="23"/>
      <c r="B4068" s="21"/>
      <c r="C4068" s="23"/>
      <c r="D4068" s="24"/>
      <c r="E4068" s="14"/>
      <c r="F4068" s="14"/>
      <c r="G4068" s="14"/>
      <c r="H4068" s="23"/>
      <c r="I4068" s="27"/>
      <c r="J4068" s="23"/>
      <c r="K4068" s="30"/>
      <c r="L4068" s="23"/>
      <c r="M4068" s="20"/>
      <c r="N4068" s="20"/>
      <c r="O4068" s="20"/>
      <c r="P4068" s="20"/>
    </row>
    <row r="4069">
      <c r="A4069" s="10"/>
      <c r="B4069" s="11"/>
      <c r="C4069" s="10"/>
      <c r="D4069" s="13"/>
      <c r="E4069" s="14"/>
      <c r="F4069" s="14"/>
      <c r="G4069" s="14"/>
      <c r="H4069" s="10"/>
      <c r="I4069" s="17"/>
      <c r="J4069" s="10"/>
      <c r="K4069" s="46"/>
      <c r="L4069" s="10"/>
      <c r="M4069" s="20"/>
      <c r="N4069" s="20"/>
      <c r="O4069" s="20"/>
      <c r="P4069" s="20"/>
    </row>
    <row r="4070">
      <c r="A4070" s="23"/>
      <c r="B4070" s="21"/>
      <c r="C4070" s="23"/>
      <c r="D4070" s="24"/>
      <c r="E4070" s="14"/>
      <c r="F4070" s="14"/>
      <c r="G4070" s="14"/>
      <c r="H4070" s="23"/>
      <c r="I4070" s="27"/>
      <c r="J4070" s="23"/>
      <c r="K4070" s="30"/>
      <c r="L4070" s="23"/>
      <c r="M4070" s="20"/>
      <c r="N4070" s="20"/>
      <c r="O4070" s="20"/>
      <c r="P4070" s="20"/>
    </row>
    <row r="4071">
      <c r="A4071" s="10"/>
      <c r="B4071" s="11"/>
      <c r="C4071" s="10"/>
      <c r="D4071" s="13"/>
      <c r="E4071" s="14"/>
      <c r="F4071" s="14"/>
      <c r="G4071" s="14"/>
      <c r="H4071" s="10"/>
      <c r="I4071" s="17"/>
      <c r="J4071" s="10"/>
      <c r="K4071" s="46"/>
      <c r="L4071" s="10"/>
      <c r="M4071" s="20"/>
      <c r="N4071" s="20"/>
      <c r="O4071" s="20"/>
      <c r="P4071" s="20"/>
    </row>
    <row r="4072">
      <c r="A4072" s="23"/>
      <c r="B4072" s="21"/>
      <c r="C4072" s="23"/>
      <c r="D4072" s="24"/>
      <c r="E4072" s="14"/>
      <c r="F4072" s="14"/>
      <c r="G4072" s="14"/>
      <c r="H4072" s="23"/>
      <c r="I4072" s="27"/>
      <c r="J4072" s="23"/>
      <c r="K4072" s="30"/>
      <c r="L4072" s="23"/>
      <c r="M4072" s="20"/>
      <c r="N4072" s="20"/>
      <c r="O4072" s="20"/>
      <c r="P4072" s="20"/>
    </row>
    <row r="4073">
      <c r="A4073" s="10"/>
      <c r="B4073" s="11"/>
      <c r="C4073" s="10"/>
      <c r="D4073" s="13"/>
      <c r="E4073" s="14"/>
      <c r="F4073" s="14"/>
      <c r="G4073" s="14"/>
      <c r="H4073" s="10"/>
      <c r="I4073" s="17"/>
      <c r="J4073" s="10"/>
      <c r="K4073" s="46"/>
      <c r="L4073" s="10"/>
      <c r="M4073" s="20"/>
      <c r="N4073" s="20"/>
      <c r="O4073" s="20"/>
      <c r="P4073" s="20"/>
    </row>
    <row r="4074">
      <c r="A4074" s="23"/>
      <c r="B4074" s="21"/>
      <c r="C4074" s="23"/>
      <c r="D4074" s="24"/>
      <c r="E4074" s="14"/>
      <c r="F4074" s="14"/>
      <c r="G4074" s="14"/>
      <c r="H4074" s="23"/>
      <c r="I4074" s="27"/>
      <c r="J4074" s="23"/>
      <c r="K4074" s="30"/>
      <c r="L4074" s="23"/>
      <c r="M4074" s="20"/>
      <c r="N4074" s="20"/>
      <c r="O4074" s="20"/>
      <c r="P4074" s="20"/>
    </row>
    <row r="4075">
      <c r="A4075" s="10"/>
      <c r="B4075" s="11"/>
      <c r="C4075" s="10"/>
      <c r="D4075" s="13"/>
      <c r="E4075" s="14"/>
      <c r="F4075" s="14"/>
      <c r="G4075" s="14"/>
      <c r="H4075" s="10"/>
      <c r="I4075" s="17"/>
      <c r="J4075" s="10"/>
      <c r="K4075" s="46"/>
      <c r="L4075" s="10"/>
      <c r="M4075" s="20"/>
      <c r="N4075" s="20"/>
      <c r="O4075" s="20"/>
      <c r="P4075" s="20"/>
    </row>
    <row r="4076">
      <c r="A4076" s="23"/>
      <c r="B4076" s="21"/>
      <c r="C4076" s="23"/>
      <c r="D4076" s="24"/>
      <c r="E4076" s="14"/>
      <c r="F4076" s="14"/>
      <c r="G4076" s="14"/>
      <c r="H4076" s="23"/>
      <c r="I4076" s="27"/>
      <c r="J4076" s="23"/>
      <c r="K4076" s="30"/>
      <c r="L4076" s="23"/>
      <c r="M4076" s="20"/>
      <c r="N4076" s="20"/>
      <c r="O4076" s="20"/>
      <c r="P4076" s="20"/>
    </row>
    <row r="4077">
      <c r="A4077" s="10"/>
      <c r="B4077" s="11"/>
      <c r="C4077" s="10"/>
      <c r="D4077" s="13"/>
      <c r="E4077" s="14"/>
      <c r="F4077" s="14"/>
      <c r="G4077" s="14"/>
      <c r="H4077" s="10"/>
      <c r="I4077" s="17"/>
      <c r="J4077" s="10"/>
      <c r="K4077" s="46"/>
      <c r="L4077" s="10"/>
      <c r="M4077" s="20"/>
      <c r="N4077" s="20"/>
      <c r="O4077" s="20"/>
      <c r="P4077" s="20"/>
    </row>
    <row r="4078">
      <c r="A4078" s="23"/>
      <c r="B4078" s="21"/>
      <c r="C4078" s="23"/>
      <c r="D4078" s="24"/>
      <c r="E4078" s="14"/>
      <c r="F4078" s="14"/>
      <c r="G4078" s="14"/>
      <c r="H4078" s="23"/>
      <c r="I4078" s="27"/>
      <c r="J4078" s="23"/>
      <c r="K4078" s="30"/>
      <c r="L4078" s="23"/>
      <c r="M4078" s="20"/>
      <c r="N4078" s="20"/>
      <c r="O4078" s="20"/>
      <c r="P4078" s="20"/>
    </row>
    <row r="4079">
      <c r="A4079" s="10"/>
      <c r="B4079" s="11"/>
      <c r="C4079" s="10"/>
      <c r="D4079" s="13"/>
      <c r="E4079" s="14"/>
      <c r="F4079" s="14"/>
      <c r="G4079" s="14"/>
      <c r="H4079" s="10"/>
      <c r="I4079" s="17"/>
      <c r="J4079" s="10"/>
      <c r="K4079" s="46"/>
      <c r="L4079" s="10"/>
      <c r="M4079" s="20"/>
      <c r="N4079" s="20"/>
      <c r="O4079" s="20"/>
      <c r="P4079" s="20"/>
    </row>
    <row r="4080">
      <c r="A4080" s="23"/>
      <c r="B4080" s="21"/>
      <c r="C4080" s="23"/>
      <c r="D4080" s="24"/>
      <c r="E4080" s="14"/>
      <c r="F4080" s="14"/>
      <c r="G4080" s="14"/>
      <c r="H4080" s="23"/>
      <c r="I4080" s="27"/>
      <c r="J4080" s="23"/>
      <c r="K4080" s="30"/>
      <c r="L4080" s="23"/>
      <c r="M4080" s="20"/>
      <c r="N4080" s="20"/>
      <c r="O4080" s="20"/>
      <c r="P4080" s="20"/>
    </row>
    <row r="4081">
      <c r="A4081" s="10"/>
      <c r="B4081" s="11"/>
      <c r="C4081" s="10"/>
      <c r="D4081" s="13"/>
      <c r="E4081" s="14"/>
      <c r="F4081" s="14"/>
      <c r="G4081" s="14"/>
      <c r="H4081" s="10"/>
      <c r="I4081" s="17"/>
      <c r="J4081" s="10"/>
      <c r="K4081" s="46"/>
      <c r="L4081" s="10"/>
      <c r="M4081" s="20"/>
      <c r="N4081" s="20"/>
      <c r="O4081" s="20"/>
      <c r="P4081" s="20"/>
    </row>
    <row r="4082">
      <c r="A4082" s="23"/>
      <c r="B4082" s="21"/>
      <c r="C4082" s="23"/>
      <c r="D4082" s="24"/>
      <c r="E4082" s="14"/>
      <c r="F4082" s="14"/>
      <c r="G4082" s="14"/>
      <c r="H4082" s="23"/>
      <c r="I4082" s="27"/>
      <c r="J4082" s="23"/>
      <c r="K4082" s="30"/>
      <c r="L4082" s="23"/>
      <c r="M4082" s="20"/>
      <c r="N4082" s="20"/>
      <c r="O4082" s="20"/>
      <c r="P4082" s="20"/>
    </row>
    <row r="4083">
      <c r="A4083" s="10"/>
      <c r="B4083" s="11"/>
      <c r="C4083" s="10"/>
      <c r="D4083" s="13"/>
      <c r="E4083" s="14"/>
      <c r="F4083" s="14"/>
      <c r="G4083" s="14"/>
      <c r="H4083" s="10"/>
      <c r="I4083" s="17"/>
      <c r="J4083" s="10"/>
      <c r="K4083" s="46"/>
      <c r="L4083" s="10"/>
      <c r="M4083" s="20"/>
      <c r="N4083" s="20"/>
      <c r="O4083" s="20"/>
      <c r="P4083" s="20"/>
    </row>
    <row r="4084">
      <c r="A4084" s="23"/>
      <c r="B4084" s="21"/>
      <c r="C4084" s="23"/>
      <c r="D4084" s="24"/>
      <c r="E4084" s="14"/>
      <c r="F4084" s="14"/>
      <c r="G4084" s="14"/>
      <c r="H4084" s="23"/>
      <c r="I4084" s="27"/>
      <c r="J4084" s="23"/>
      <c r="K4084" s="30"/>
      <c r="L4084" s="23"/>
      <c r="M4084" s="20"/>
      <c r="N4084" s="20"/>
      <c r="O4084" s="20"/>
      <c r="P4084" s="20"/>
    </row>
    <row r="4085">
      <c r="A4085" s="10"/>
      <c r="B4085" s="11"/>
      <c r="C4085" s="10"/>
      <c r="D4085" s="13"/>
      <c r="E4085" s="14"/>
      <c r="F4085" s="14"/>
      <c r="G4085" s="14"/>
      <c r="H4085" s="10"/>
      <c r="I4085" s="17"/>
      <c r="J4085" s="10"/>
      <c r="K4085" s="46"/>
      <c r="L4085" s="10"/>
      <c r="M4085" s="20"/>
      <c r="N4085" s="20"/>
      <c r="O4085" s="20"/>
      <c r="P4085" s="20"/>
    </row>
    <row r="4086">
      <c r="A4086" s="23"/>
      <c r="B4086" s="21"/>
      <c r="C4086" s="23"/>
      <c r="D4086" s="24"/>
      <c r="E4086" s="14"/>
      <c r="F4086" s="14"/>
      <c r="G4086" s="14"/>
      <c r="H4086" s="23"/>
      <c r="I4086" s="27"/>
      <c r="J4086" s="23"/>
      <c r="K4086" s="30"/>
      <c r="L4086" s="23"/>
      <c r="M4086" s="20"/>
      <c r="N4086" s="20"/>
      <c r="O4086" s="20"/>
      <c r="P4086" s="20"/>
    </row>
    <row r="4087">
      <c r="A4087" s="10"/>
      <c r="B4087" s="11"/>
      <c r="C4087" s="10"/>
      <c r="D4087" s="13"/>
      <c r="E4087" s="14"/>
      <c r="F4087" s="14"/>
      <c r="G4087" s="14"/>
      <c r="H4087" s="10"/>
      <c r="I4087" s="17"/>
      <c r="J4087" s="10"/>
      <c r="K4087" s="46"/>
      <c r="L4087" s="10"/>
      <c r="M4087" s="20"/>
      <c r="N4087" s="20"/>
      <c r="O4087" s="20"/>
      <c r="P4087" s="20"/>
    </row>
    <row r="4088">
      <c r="A4088" s="23"/>
      <c r="B4088" s="21"/>
      <c r="C4088" s="23"/>
      <c r="D4088" s="24"/>
      <c r="E4088" s="14"/>
      <c r="F4088" s="14"/>
      <c r="G4088" s="14"/>
      <c r="H4088" s="23"/>
      <c r="I4088" s="27"/>
      <c r="J4088" s="23"/>
      <c r="K4088" s="30"/>
      <c r="L4088" s="23"/>
      <c r="M4088" s="20"/>
      <c r="N4088" s="20"/>
      <c r="O4088" s="20"/>
      <c r="P4088" s="20"/>
    </row>
    <row r="4089">
      <c r="A4089" s="10"/>
      <c r="B4089" s="11"/>
      <c r="C4089" s="10"/>
      <c r="D4089" s="13"/>
      <c r="E4089" s="14"/>
      <c r="F4089" s="14"/>
      <c r="G4089" s="14"/>
      <c r="H4089" s="10"/>
      <c r="I4089" s="17"/>
      <c r="J4089" s="10"/>
      <c r="K4089" s="46"/>
      <c r="L4089" s="10"/>
      <c r="M4089" s="20"/>
      <c r="N4089" s="20"/>
      <c r="O4089" s="20"/>
      <c r="P4089" s="20"/>
    </row>
    <row r="4090">
      <c r="A4090" s="23"/>
      <c r="B4090" s="21"/>
      <c r="C4090" s="23"/>
      <c r="D4090" s="24"/>
      <c r="E4090" s="14"/>
      <c r="F4090" s="14"/>
      <c r="G4090" s="14"/>
      <c r="H4090" s="23"/>
      <c r="I4090" s="27"/>
      <c r="J4090" s="23"/>
      <c r="K4090" s="30"/>
      <c r="L4090" s="23"/>
      <c r="M4090" s="20"/>
      <c r="N4090" s="20"/>
      <c r="O4090" s="20"/>
      <c r="P4090" s="20"/>
    </row>
    <row r="4091">
      <c r="A4091" s="10"/>
      <c r="B4091" s="11"/>
      <c r="C4091" s="10"/>
      <c r="D4091" s="13"/>
      <c r="E4091" s="14"/>
      <c r="F4091" s="14"/>
      <c r="G4091" s="14"/>
      <c r="H4091" s="10"/>
      <c r="I4091" s="17"/>
      <c r="J4091" s="10"/>
      <c r="K4091" s="46"/>
      <c r="L4091" s="10"/>
      <c r="M4091" s="20"/>
      <c r="N4091" s="20"/>
      <c r="O4091" s="20"/>
      <c r="P4091" s="20"/>
    </row>
    <row r="4092">
      <c r="A4092" s="23"/>
      <c r="B4092" s="21"/>
      <c r="C4092" s="23"/>
      <c r="D4092" s="24"/>
      <c r="E4092" s="14"/>
      <c r="F4092" s="14"/>
      <c r="G4092" s="14"/>
      <c r="H4092" s="23"/>
      <c r="I4092" s="27"/>
      <c r="J4092" s="23"/>
      <c r="K4092" s="30"/>
      <c r="L4092" s="23"/>
      <c r="M4092" s="20"/>
      <c r="N4092" s="20"/>
      <c r="O4092" s="20"/>
      <c r="P4092" s="20"/>
    </row>
    <row r="4093">
      <c r="A4093" s="10"/>
      <c r="B4093" s="11"/>
      <c r="C4093" s="10"/>
      <c r="D4093" s="13"/>
      <c r="E4093" s="14"/>
      <c r="F4093" s="14"/>
      <c r="G4093" s="14"/>
      <c r="H4093" s="10"/>
      <c r="I4093" s="17"/>
      <c r="J4093" s="10"/>
      <c r="K4093" s="46"/>
      <c r="L4093" s="10"/>
      <c r="M4093" s="20"/>
      <c r="N4093" s="20"/>
      <c r="O4093" s="20"/>
      <c r="P4093" s="20"/>
    </row>
    <row r="4094">
      <c r="A4094" s="23"/>
      <c r="B4094" s="21"/>
      <c r="C4094" s="23"/>
      <c r="D4094" s="24"/>
      <c r="E4094" s="14"/>
      <c r="F4094" s="14"/>
      <c r="G4094" s="14"/>
      <c r="H4094" s="23"/>
      <c r="I4094" s="27"/>
      <c r="J4094" s="23"/>
      <c r="K4094" s="30"/>
      <c r="L4094" s="23"/>
      <c r="M4094" s="20"/>
      <c r="N4094" s="20"/>
      <c r="O4094" s="20"/>
      <c r="P4094" s="20"/>
    </row>
    <row r="4095">
      <c r="A4095" s="10"/>
      <c r="B4095" s="11"/>
      <c r="C4095" s="10"/>
      <c r="D4095" s="13"/>
      <c r="E4095" s="14"/>
      <c r="F4095" s="14"/>
      <c r="G4095" s="14"/>
      <c r="H4095" s="10"/>
      <c r="I4095" s="17"/>
      <c r="J4095" s="10"/>
      <c r="K4095" s="46"/>
      <c r="L4095" s="10"/>
      <c r="M4095" s="20"/>
      <c r="N4095" s="20"/>
      <c r="O4095" s="20"/>
      <c r="P4095" s="20"/>
    </row>
    <row r="4096">
      <c r="A4096" s="23"/>
      <c r="B4096" s="21"/>
      <c r="C4096" s="23"/>
      <c r="D4096" s="24"/>
      <c r="E4096" s="14"/>
      <c r="F4096" s="14"/>
      <c r="G4096" s="14"/>
      <c r="H4096" s="23"/>
      <c r="I4096" s="27"/>
      <c r="J4096" s="23"/>
      <c r="K4096" s="30"/>
      <c r="L4096" s="23"/>
      <c r="M4096" s="20"/>
      <c r="N4096" s="20"/>
      <c r="O4096" s="20"/>
      <c r="P4096" s="20"/>
    </row>
    <row r="4097">
      <c r="A4097" s="10"/>
      <c r="B4097" s="11"/>
      <c r="C4097" s="10"/>
      <c r="D4097" s="13"/>
      <c r="E4097" s="14"/>
      <c r="F4097" s="14"/>
      <c r="G4097" s="14"/>
      <c r="H4097" s="10"/>
      <c r="I4097" s="17"/>
      <c r="J4097" s="10"/>
      <c r="K4097" s="46"/>
      <c r="L4097" s="10"/>
      <c r="M4097" s="20"/>
      <c r="N4097" s="20"/>
      <c r="O4097" s="20"/>
      <c r="P4097" s="20"/>
    </row>
    <row r="4098">
      <c r="A4098" s="23"/>
      <c r="B4098" s="21"/>
      <c r="C4098" s="23"/>
      <c r="D4098" s="24"/>
      <c r="E4098" s="14"/>
      <c r="F4098" s="14"/>
      <c r="G4098" s="14"/>
      <c r="H4098" s="23"/>
      <c r="I4098" s="27"/>
      <c r="J4098" s="23"/>
      <c r="K4098" s="30"/>
      <c r="L4098" s="23"/>
      <c r="M4098" s="20"/>
      <c r="N4098" s="20"/>
      <c r="O4098" s="20"/>
      <c r="P4098" s="20"/>
    </row>
    <row r="4099">
      <c r="A4099" s="10"/>
      <c r="B4099" s="11"/>
      <c r="C4099" s="10"/>
      <c r="D4099" s="13"/>
      <c r="E4099" s="14"/>
      <c r="F4099" s="14"/>
      <c r="G4099" s="14"/>
      <c r="H4099" s="10"/>
      <c r="I4099" s="17"/>
      <c r="J4099" s="10"/>
      <c r="K4099" s="46"/>
      <c r="L4099" s="10"/>
      <c r="M4099" s="20"/>
      <c r="N4099" s="20"/>
      <c r="O4099" s="20"/>
      <c r="P4099" s="20"/>
    </row>
    <row r="4100">
      <c r="A4100" s="23"/>
      <c r="B4100" s="21"/>
      <c r="C4100" s="23"/>
      <c r="D4100" s="24"/>
      <c r="E4100" s="14"/>
      <c r="F4100" s="14"/>
      <c r="G4100" s="14"/>
      <c r="H4100" s="23"/>
      <c r="I4100" s="27"/>
      <c r="J4100" s="23"/>
      <c r="K4100" s="30"/>
      <c r="L4100" s="23"/>
      <c r="M4100" s="20"/>
      <c r="N4100" s="20"/>
      <c r="O4100" s="20"/>
      <c r="P4100" s="20"/>
    </row>
    <row r="4101">
      <c r="A4101" s="10"/>
      <c r="B4101" s="11"/>
      <c r="C4101" s="10"/>
      <c r="D4101" s="13"/>
      <c r="E4101" s="14"/>
      <c r="F4101" s="14"/>
      <c r="G4101" s="14"/>
      <c r="H4101" s="10"/>
      <c r="I4101" s="17"/>
      <c r="J4101" s="10"/>
      <c r="K4101" s="46"/>
      <c r="L4101" s="10"/>
      <c r="M4101" s="20"/>
      <c r="N4101" s="20"/>
      <c r="O4101" s="20"/>
      <c r="P4101" s="20"/>
    </row>
    <row r="4102">
      <c r="A4102" s="23"/>
      <c r="B4102" s="21"/>
      <c r="C4102" s="23"/>
      <c r="D4102" s="24"/>
      <c r="E4102" s="14"/>
      <c r="F4102" s="14"/>
      <c r="G4102" s="14"/>
      <c r="H4102" s="23"/>
      <c r="I4102" s="27"/>
      <c r="J4102" s="23"/>
      <c r="K4102" s="30"/>
      <c r="L4102" s="23"/>
      <c r="M4102" s="20"/>
      <c r="N4102" s="20"/>
      <c r="O4102" s="20"/>
      <c r="P4102" s="20"/>
    </row>
    <row r="4103">
      <c r="A4103" s="10"/>
      <c r="B4103" s="11"/>
      <c r="C4103" s="10"/>
      <c r="D4103" s="13"/>
      <c r="E4103" s="14"/>
      <c r="F4103" s="14"/>
      <c r="G4103" s="14"/>
      <c r="H4103" s="10"/>
      <c r="I4103" s="17"/>
      <c r="J4103" s="10"/>
      <c r="K4103" s="46"/>
      <c r="L4103" s="10"/>
      <c r="M4103" s="20"/>
      <c r="N4103" s="20"/>
      <c r="O4103" s="20"/>
      <c r="P4103" s="20"/>
    </row>
    <row r="4104">
      <c r="A4104" s="23"/>
      <c r="B4104" s="21"/>
      <c r="C4104" s="23"/>
      <c r="D4104" s="24"/>
      <c r="E4104" s="14"/>
      <c r="F4104" s="14"/>
      <c r="G4104" s="14"/>
      <c r="H4104" s="23"/>
      <c r="I4104" s="27"/>
      <c r="J4104" s="23"/>
      <c r="K4104" s="30"/>
      <c r="L4104" s="23"/>
      <c r="M4104" s="20"/>
      <c r="N4104" s="20"/>
      <c r="O4104" s="20"/>
      <c r="P4104" s="20"/>
    </row>
    <row r="4105">
      <c r="A4105" s="10"/>
      <c r="B4105" s="11"/>
      <c r="C4105" s="10"/>
      <c r="D4105" s="13"/>
      <c r="E4105" s="14"/>
      <c r="F4105" s="14"/>
      <c r="G4105" s="14"/>
      <c r="H4105" s="10"/>
      <c r="I4105" s="17"/>
      <c r="J4105" s="10"/>
      <c r="K4105" s="46"/>
      <c r="L4105" s="10"/>
      <c r="M4105" s="20"/>
      <c r="N4105" s="20"/>
      <c r="O4105" s="20"/>
      <c r="P4105" s="20"/>
    </row>
    <row r="4106">
      <c r="A4106" s="23"/>
      <c r="B4106" s="21"/>
      <c r="C4106" s="23"/>
      <c r="D4106" s="24"/>
      <c r="E4106" s="14"/>
      <c r="F4106" s="14"/>
      <c r="G4106" s="14"/>
      <c r="H4106" s="23"/>
      <c r="I4106" s="27"/>
      <c r="J4106" s="23"/>
      <c r="K4106" s="30"/>
      <c r="L4106" s="23"/>
      <c r="M4106" s="20"/>
      <c r="N4106" s="20"/>
      <c r="O4106" s="20"/>
      <c r="P4106" s="20"/>
    </row>
    <row r="4107">
      <c r="A4107" s="10"/>
      <c r="B4107" s="11"/>
      <c r="C4107" s="10"/>
      <c r="D4107" s="13"/>
      <c r="E4107" s="14"/>
      <c r="F4107" s="14"/>
      <c r="G4107" s="14"/>
      <c r="H4107" s="10"/>
      <c r="I4107" s="17"/>
      <c r="J4107" s="10"/>
      <c r="K4107" s="46"/>
      <c r="L4107" s="10"/>
      <c r="M4107" s="20"/>
      <c r="N4107" s="20"/>
      <c r="O4107" s="20"/>
      <c r="P4107" s="20"/>
    </row>
    <row r="4108">
      <c r="A4108" s="23"/>
      <c r="B4108" s="21"/>
      <c r="C4108" s="23"/>
      <c r="D4108" s="24"/>
      <c r="E4108" s="14"/>
      <c r="F4108" s="14"/>
      <c r="G4108" s="14"/>
      <c r="H4108" s="23"/>
      <c r="I4108" s="27"/>
      <c r="J4108" s="23"/>
      <c r="K4108" s="30"/>
      <c r="L4108" s="23"/>
      <c r="M4108" s="20"/>
      <c r="N4108" s="20"/>
      <c r="O4108" s="20"/>
      <c r="P4108" s="20"/>
    </row>
    <row r="4109">
      <c r="A4109" s="10"/>
      <c r="B4109" s="11"/>
      <c r="C4109" s="10"/>
      <c r="D4109" s="13"/>
      <c r="E4109" s="14"/>
      <c r="F4109" s="14"/>
      <c r="G4109" s="14"/>
      <c r="H4109" s="10"/>
      <c r="I4109" s="17"/>
      <c r="J4109" s="10"/>
      <c r="K4109" s="46"/>
      <c r="L4109" s="10"/>
      <c r="M4109" s="20"/>
      <c r="N4109" s="20"/>
      <c r="O4109" s="20"/>
      <c r="P4109" s="20"/>
    </row>
    <row r="4110">
      <c r="A4110" s="23"/>
      <c r="B4110" s="21"/>
      <c r="C4110" s="23"/>
      <c r="D4110" s="24"/>
      <c r="E4110" s="14"/>
      <c r="F4110" s="14"/>
      <c r="G4110" s="14"/>
      <c r="H4110" s="23"/>
      <c r="I4110" s="27"/>
      <c r="J4110" s="23"/>
      <c r="K4110" s="30"/>
      <c r="L4110" s="23"/>
      <c r="M4110" s="20"/>
      <c r="N4110" s="20"/>
      <c r="O4110" s="20"/>
      <c r="P4110" s="20"/>
    </row>
    <row r="4111">
      <c r="A4111" s="10"/>
      <c r="B4111" s="11"/>
      <c r="C4111" s="10"/>
      <c r="D4111" s="13"/>
      <c r="E4111" s="14"/>
      <c r="F4111" s="14"/>
      <c r="G4111" s="14"/>
      <c r="H4111" s="10"/>
      <c r="I4111" s="17"/>
      <c r="J4111" s="10"/>
      <c r="K4111" s="46"/>
      <c r="L4111" s="10"/>
      <c r="M4111" s="20"/>
      <c r="N4111" s="20"/>
      <c r="O4111" s="20"/>
      <c r="P4111" s="20"/>
    </row>
    <row r="4112">
      <c r="A4112" s="23"/>
      <c r="B4112" s="21"/>
      <c r="C4112" s="23"/>
      <c r="D4112" s="24"/>
      <c r="E4112" s="14"/>
      <c r="F4112" s="14"/>
      <c r="G4112" s="14"/>
      <c r="H4112" s="23"/>
      <c r="I4112" s="27"/>
      <c r="J4112" s="23"/>
      <c r="K4112" s="30"/>
      <c r="L4112" s="23"/>
      <c r="M4112" s="20"/>
      <c r="N4112" s="20"/>
      <c r="O4112" s="20"/>
      <c r="P4112" s="20"/>
    </row>
    <row r="4113">
      <c r="A4113" s="10"/>
      <c r="B4113" s="11"/>
      <c r="C4113" s="10"/>
      <c r="D4113" s="13"/>
      <c r="E4113" s="14"/>
      <c r="F4113" s="14"/>
      <c r="G4113" s="14"/>
      <c r="H4113" s="10"/>
      <c r="I4113" s="17"/>
      <c r="J4113" s="10"/>
      <c r="K4113" s="46"/>
      <c r="L4113" s="10"/>
      <c r="M4113" s="20"/>
      <c r="N4113" s="20"/>
      <c r="O4113" s="20"/>
      <c r="P4113" s="20"/>
    </row>
    <row r="4114">
      <c r="A4114" s="23"/>
      <c r="B4114" s="21"/>
      <c r="C4114" s="23"/>
      <c r="D4114" s="24"/>
      <c r="E4114" s="14"/>
      <c r="F4114" s="14"/>
      <c r="G4114" s="14"/>
      <c r="H4114" s="23"/>
      <c r="I4114" s="27"/>
      <c r="J4114" s="23"/>
      <c r="K4114" s="30"/>
      <c r="L4114" s="23"/>
      <c r="M4114" s="20"/>
      <c r="N4114" s="20"/>
      <c r="O4114" s="20"/>
      <c r="P4114" s="20"/>
    </row>
    <row r="4115">
      <c r="A4115" s="10"/>
      <c r="B4115" s="11"/>
      <c r="C4115" s="10"/>
      <c r="D4115" s="13"/>
      <c r="E4115" s="14"/>
      <c r="F4115" s="14"/>
      <c r="G4115" s="14"/>
      <c r="H4115" s="10"/>
      <c r="I4115" s="17"/>
      <c r="J4115" s="10"/>
      <c r="K4115" s="46"/>
      <c r="L4115" s="10"/>
      <c r="M4115" s="20"/>
      <c r="N4115" s="20"/>
      <c r="O4115" s="20"/>
      <c r="P4115" s="20"/>
    </row>
    <row r="4116">
      <c r="A4116" s="23"/>
      <c r="B4116" s="21"/>
      <c r="C4116" s="23"/>
      <c r="D4116" s="24"/>
      <c r="E4116" s="14"/>
      <c r="F4116" s="14"/>
      <c r="G4116" s="14"/>
      <c r="H4116" s="23"/>
      <c r="I4116" s="27"/>
      <c r="J4116" s="23"/>
      <c r="K4116" s="30"/>
      <c r="L4116" s="23"/>
      <c r="M4116" s="20"/>
      <c r="N4116" s="20"/>
      <c r="O4116" s="20"/>
      <c r="P4116" s="20"/>
    </row>
    <row r="4117">
      <c r="A4117" s="10"/>
      <c r="B4117" s="11"/>
      <c r="C4117" s="10"/>
      <c r="D4117" s="13"/>
      <c r="E4117" s="14"/>
      <c r="F4117" s="14"/>
      <c r="G4117" s="14"/>
      <c r="H4117" s="10"/>
      <c r="I4117" s="17"/>
      <c r="J4117" s="10"/>
      <c r="K4117" s="46"/>
      <c r="L4117" s="10"/>
      <c r="M4117" s="20"/>
      <c r="N4117" s="20"/>
      <c r="O4117" s="20"/>
      <c r="P4117" s="20"/>
    </row>
    <row r="4118">
      <c r="A4118" s="23"/>
      <c r="B4118" s="21"/>
      <c r="C4118" s="23"/>
      <c r="D4118" s="24"/>
      <c r="E4118" s="14"/>
      <c r="F4118" s="14"/>
      <c r="G4118" s="14"/>
      <c r="H4118" s="23"/>
      <c r="I4118" s="27"/>
      <c r="J4118" s="23"/>
      <c r="K4118" s="30"/>
      <c r="L4118" s="23"/>
      <c r="M4118" s="20"/>
      <c r="N4118" s="20"/>
      <c r="O4118" s="20"/>
      <c r="P4118" s="20"/>
    </row>
    <row r="4119">
      <c r="A4119" s="10"/>
      <c r="B4119" s="11"/>
      <c r="C4119" s="10"/>
      <c r="D4119" s="13"/>
      <c r="E4119" s="14"/>
      <c r="F4119" s="14"/>
      <c r="G4119" s="14"/>
      <c r="H4119" s="10"/>
      <c r="I4119" s="17"/>
      <c r="J4119" s="10"/>
      <c r="K4119" s="46"/>
      <c r="L4119" s="10"/>
      <c r="M4119" s="20"/>
      <c r="N4119" s="20"/>
      <c r="O4119" s="20"/>
      <c r="P4119" s="20"/>
    </row>
    <row r="4120">
      <c r="A4120" s="23"/>
      <c r="B4120" s="21"/>
      <c r="C4120" s="23"/>
      <c r="D4120" s="24"/>
      <c r="E4120" s="14"/>
      <c r="F4120" s="14"/>
      <c r="G4120" s="14"/>
      <c r="H4120" s="23"/>
      <c r="I4120" s="27"/>
      <c r="J4120" s="23"/>
      <c r="K4120" s="30"/>
      <c r="L4120" s="23"/>
      <c r="M4120" s="20"/>
      <c r="N4120" s="20"/>
      <c r="O4120" s="20"/>
      <c r="P4120" s="20"/>
    </row>
    <row r="4121">
      <c r="A4121" s="10"/>
      <c r="B4121" s="11"/>
      <c r="C4121" s="10"/>
      <c r="D4121" s="13"/>
      <c r="E4121" s="14"/>
      <c r="F4121" s="14"/>
      <c r="G4121" s="14"/>
      <c r="H4121" s="10"/>
      <c r="I4121" s="17"/>
      <c r="J4121" s="10"/>
      <c r="K4121" s="46"/>
      <c r="L4121" s="10"/>
      <c r="M4121" s="20"/>
      <c r="N4121" s="20"/>
      <c r="O4121" s="20"/>
      <c r="P4121" s="20"/>
    </row>
    <row r="4122">
      <c r="A4122" s="23"/>
      <c r="B4122" s="21"/>
      <c r="C4122" s="23"/>
      <c r="D4122" s="24"/>
      <c r="E4122" s="14"/>
      <c r="F4122" s="14"/>
      <c r="G4122" s="14"/>
      <c r="H4122" s="23"/>
      <c r="I4122" s="27"/>
      <c r="J4122" s="23"/>
      <c r="K4122" s="30"/>
      <c r="L4122" s="23"/>
      <c r="M4122" s="20"/>
      <c r="N4122" s="20"/>
      <c r="O4122" s="20"/>
      <c r="P4122" s="20"/>
    </row>
    <row r="4123">
      <c r="A4123" s="10"/>
      <c r="B4123" s="11"/>
      <c r="C4123" s="10"/>
      <c r="D4123" s="13"/>
      <c r="E4123" s="14"/>
      <c r="F4123" s="14"/>
      <c r="G4123" s="14"/>
      <c r="H4123" s="10"/>
      <c r="I4123" s="17"/>
      <c r="J4123" s="10"/>
      <c r="K4123" s="46"/>
      <c r="L4123" s="10"/>
      <c r="M4123" s="20"/>
      <c r="N4123" s="20"/>
      <c r="O4123" s="20"/>
      <c r="P4123" s="20"/>
    </row>
    <row r="4124">
      <c r="A4124" s="23"/>
      <c r="B4124" s="21"/>
      <c r="C4124" s="23"/>
      <c r="D4124" s="24"/>
      <c r="E4124" s="14"/>
      <c r="F4124" s="14"/>
      <c r="G4124" s="14"/>
      <c r="H4124" s="23"/>
      <c r="I4124" s="27"/>
      <c r="J4124" s="23"/>
      <c r="K4124" s="30"/>
      <c r="L4124" s="23"/>
      <c r="M4124" s="20"/>
      <c r="N4124" s="20"/>
      <c r="O4124" s="20"/>
      <c r="P4124" s="20"/>
    </row>
    <row r="4125">
      <c r="A4125" s="10"/>
      <c r="B4125" s="11"/>
      <c r="C4125" s="10"/>
      <c r="D4125" s="13"/>
      <c r="E4125" s="14"/>
      <c r="F4125" s="14"/>
      <c r="G4125" s="14"/>
      <c r="H4125" s="10"/>
      <c r="I4125" s="17"/>
      <c r="J4125" s="10"/>
      <c r="K4125" s="46"/>
      <c r="L4125" s="10"/>
      <c r="M4125" s="20"/>
      <c r="N4125" s="20"/>
      <c r="O4125" s="20"/>
      <c r="P4125" s="20"/>
    </row>
    <row r="4126">
      <c r="A4126" s="23"/>
      <c r="B4126" s="21"/>
      <c r="C4126" s="23"/>
      <c r="D4126" s="24"/>
      <c r="E4126" s="14"/>
      <c r="F4126" s="14"/>
      <c r="G4126" s="14"/>
      <c r="H4126" s="23"/>
      <c r="I4126" s="27"/>
      <c r="J4126" s="23"/>
      <c r="K4126" s="30"/>
      <c r="L4126" s="23"/>
      <c r="M4126" s="20"/>
      <c r="N4126" s="20"/>
      <c r="O4126" s="20"/>
      <c r="P4126" s="20"/>
    </row>
    <row r="4127">
      <c r="A4127" s="10"/>
      <c r="B4127" s="11"/>
      <c r="C4127" s="10"/>
      <c r="D4127" s="13"/>
      <c r="E4127" s="14"/>
      <c r="F4127" s="14"/>
      <c r="G4127" s="14"/>
      <c r="H4127" s="10"/>
      <c r="I4127" s="17"/>
      <c r="J4127" s="10"/>
      <c r="K4127" s="46"/>
      <c r="L4127" s="10"/>
      <c r="M4127" s="20"/>
      <c r="N4127" s="20"/>
      <c r="O4127" s="20"/>
      <c r="P4127" s="20"/>
    </row>
    <row r="4128">
      <c r="A4128" s="23"/>
      <c r="B4128" s="21"/>
      <c r="C4128" s="23"/>
      <c r="D4128" s="24"/>
      <c r="E4128" s="14"/>
      <c r="F4128" s="14"/>
      <c r="G4128" s="14"/>
      <c r="H4128" s="23"/>
      <c r="I4128" s="27"/>
      <c r="J4128" s="23"/>
      <c r="K4128" s="30"/>
      <c r="L4128" s="23"/>
      <c r="M4128" s="20"/>
      <c r="N4128" s="20"/>
      <c r="O4128" s="20"/>
      <c r="P4128" s="20"/>
    </row>
    <row r="4129">
      <c r="A4129" s="10"/>
      <c r="B4129" s="11"/>
      <c r="C4129" s="10"/>
      <c r="D4129" s="13"/>
      <c r="E4129" s="14"/>
      <c r="F4129" s="14"/>
      <c r="G4129" s="14"/>
      <c r="H4129" s="10"/>
      <c r="I4129" s="17"/>
      <c r="J4129" s="10"/>
      <c r="K4129" s="46"/>
      <c r="L4129" s="10"/>
      <c r="M4129" s="20"/>
      <c r="N4129" s="20"/>
      <c r="O4129" s="20"/>
      <c r="P4129" s="20"/>
    </row>
    <row r="4130">
      <c r="A4130" s="23"/>
      <c r="B4130" s="21"/>
      <c r="C4130" s="23"/>
      <c r="D4130" s="24"/>
      <c r="E4130" s="14"/>
      <c r="F4130" s="14"/>
      <c r="G4130" s="14"/>
      <c r="H4130" s="23"/>
      <c r="I4130" s="27"/>
      <c r="J4130" s="23"/>
      <c r="K4130" s="30"/>
      <c r="L4130" s="23"/>
      <c r="M4130" s="20"/>
      <c r="N4130" s="20"/>
      <c r="O4130" s="20"/>
      <c r="P4130" s="20"/>
    </row>
    <row r="4131">
      <c r="A4131" s="10"/>
      <c r="B4131" s="11"/>
      <c r="C4131" s="10"/>
      <c r="D4131" s="13"/>
      <c r="E4131" s="14"/>
      <c r="F4131" s="14"/>
      <c r="G4131" s="14"/>
      <c r="H4131" s="10"/>
      <c r="I4131" s="17"/>
      <c r="J4131" s="10"/>
      <c r="K4131" s="46"/>
      <c r="L4131" s="10"/>
      <c r="M4131" s="20"/>
      <c r="N4131" s="20"/>
      <c r="O4131" s="20"/>
      <c r="P4131" s="20"/>
    </row>
    <row r="4132">
      <c r="A4132" s="23"/>
      <c r="B4132" s="21"/>
      <c r="C4132" s="23"/>
      <c r="D4132" s="24"/>
      <c r="E4132" s="14"/>
      <c r="F4132" s="14"/>
      <c r="G4132" s="14"/>
      <c r="H4132" s="23"/>
      <c r="I4132" s="27"/>
      <c r="J4132" s="23"/>
      <c r="K4132" s="30"/>
      <c r="L4132" s="23"/>
      <c r="M4132" s="20"/>
      <c r="N4132" s="20"/>
      <c r="O4132" s="20"/>
      <c r="P4132" s="20"/>
    </row>
    <row r="4133">
      <c r="A4133" s="10"/>
      <c r="B4133" s="11"/>
      <c r="C4133" s="10"/>
      <c r="D4133" s="13"/>
      <c r="E4133" s="14"/>
      <c r="F4133" s="14"/>
      <c r="G4133" s="14"/>
      <c r="H4133" s="10"/>
      <c r="I4133" s="17"/>
      <c r="J4133" s="10"/>
      <c r="K4133" s="46"/>
      <c r="L4133" s="10"/>
      <c r="M4133" s="20"/>
      <c r="N4133" s="20"/>
      <c r="O4133" s="20"/>
      <c r="P4133" s="20"/>
    </row>
    <row r="4134">
      <c r="A4134" s="23"/>
      <c r="B4134" s="21"/>
      <c r="C4134" s="23"/>
      <c r="D4134" s="24"/>
      <c r="E4134" s="14"/>
      <c r="F4134" s="14"/>
      <c r="G4134" s="14"/>
      <c r="H4134" s="23"/>
      <c r="I4134" s="27"/>
      <c r="J4134" s="23"/>
      <c r="K4134" s="30"/>
      <c r="L4134" s="23"/>
      <c r="M4134" s="20"/>
      <c r="N4134" s="20"/>
      <c r="O4134" s="20"/>
      <c r="P4134" s="20"/>
    </row>
    <row r="4135">
      <c r="A4135" s="10"/>
      <c r="B4135" s="11"/>
      <c r="C4135" s="10"/>
      <c r="D4135" s="13"/>
      <c r="E4135" s="14"/>
      <c r="F4135" s="14"/>
      <c r="G4135" s="14"/>
      <c r="H4135" s="10"/>
      <c r="I4135" s="17"/>
      <c r="J4135" s="10"/>
      <c r="K4135" s="46"/>
      <c r="L4135" s="10"/>
      <c r="M4135" s="20"/>
      <c r="N4135" s="20"/>
      <c r="O4135" s="20"/>
      <c r="P4135" s="20"/>
    </row>
    <row r="4136">
      <c r="A4136" s="23"/>
      <c r="B4136" s="21"/>
      <c r="C4136" s="23"/>
      <c r="D4136" s="24"/>
      <c r="E4136" s="14"/>
      <c r="F4136" s="14"/>
      <c r="G4136" s="14"/>
      <c r="H4136" s="23"/>
      <c r="I4136" s="27"/>
      <c r="J4136" s="23"/>
      <c r="K4136" s="30"/>
      <c r="L4136" s="23"/>
      <c r="M4136" s="20"/>
      <c r="N4136" s="20"/>
      <c r="O4136" s="20"/>
      <c r="P4136" s="20"/>
    </row>
    <row r="4137">
      <c r="A4137" s="10"/>
      <c r="B4137" s="11"/>
      <c r="C4137" s="10"/>
      <c r="D4137" s="13"/>
      <c r="E4137" s="14"/>
      <c r="F4137" s="14"/>
      <c r="G4137" s="14"/>
      <c r="H4137" s="10"/>
      <c r="I4137" s="17"/>
      <c r="J4137" s="10"/>
      <c r="K4137" s="46"/>
      <c r="L4137" s="10"/>
      <c r="M4137" s="20"/>
      <c r="N4137" s="20"/>
      <c r="O4137" s="20"/>
      <c r="P4137" s="20"/>
    </row>
    <row r="4138">
      <c r="A4138" s="23"/>
      <c r="B4138" s="21"/>
      <c r="C4138" s="23"/>
      <c r="D4138" s="24"/>
      <c r="E4138" s="14"/>
      <c r="F4138" s="14"/>
      <c r="G4138" s="14"/>
      <c r="H4138" s="23"/>
      <c r="I4138" s="27"/>
      <c r="J4138" s="23"/>
      <c r="K4138" s="30"/>
      <c r="L4138" s="23"/>
      <c r="M4138" s="20"/>
      <c r="N4138" s="20"/>
      <c r="O4138" s="20"/>
      <c r="P4138" s="20"/>
    </row>
    <row r="4139">
      <c r="A4139" s="10"/>
      <c r="B4139" s="11"/>
      <c r="C4139" s="10"/>
      <c r="D4139" s="13"/>
      <c r="E4139" s="14"/>
      <c r="F4139" s="14"/>
      <c r="G4139" s="14"/>
      <c r="H4139" s="10"/>
      <c r="I4139" s="17"/>
      <c r="J4139" s="10"/>
      <c r="K4139" s="46"/>
      <c r="L4139" s="10"/>
      <c r="M4139" s="20"/>
      <c r="N4139" s="20"/>
      <c r="O4139" s="20"/>
      <c r="P4139" s="20"/>
    </row>
    <row r="4140">
      <c r="A4140" s="23"/>
      <c r="B4140" s="21"/>
      <c r="C4140" s="23"/>
      <c r="D4140" s="24"/>
      <c r="E4140" s="14"/>
      <c r="F4140" s="14"/>
      <c r="G4140" s="14"/>
      <c r="H4140" s="23"/>
      <c r="I4140" s="27"/>
      <c r="J4140" s="23"/>
      <c r="K4140" s="30"/>
      <c r="L4140" s="23"/>
      <c r="M4140" s="20"/>
      <c r="N4140" s="20"/>
      <c r="O4140" s="20"/>
      <c r="P4140" s="20"/>
    </row>
    <row r="4141">
      <c r="A4141" s="10"/>
      <c r="B4141" s="11"/>
      <c r="C4141" s="10"/>
      <c r="D4141" s="13"/>
      <c r="E4141" s="14"/>
      <c r="F4141" s="14"/>
      <c r="G4141" s="14"/>
      <c r="H4141" s="10"/>
      <c r="I4141" s="17"/>
      <c r="J4141" s="10"/>
      <c r="K4141" s="46"/>
      <c r="L4141" s="10"/>
      <c r="M4141" s="20"/>
      <c r="N4141" s="20"/>
      <c r="O4141" s="20"/>
      <c r="P4141" s="20"/>
    </row>
    <row r="4142">
      <c r="A4142" s="23"/>
      <c r="B4142" s="21"/>
      <c r="C4142" s="23"/>
      <c r="D4142" s="24"/>
      <c r="E4142" s="14"/>
      <c r="F4142" s="14"/>
      <c r="G4142" s="14"/>
      <c r="H4142" s="23"/>
      <c r="I4142" s="27"/>
      <c r="J4142" s="23"/>
      <c r="K4142" s="30"/>
      <c r="L4142" s="23"/>
      <c r="M4142" s="20"/>
      <c r="N4142" s="20"/>
      <c r="O4142" s="20"/>
      <c r="P4142" s="20"/>
    </row>
    <row r="4143">
      <c r="A4143" s="10"/>
      <c r="B4143" s="11"/>
      <c r="C4143" s="10"/>
      <c r="D4143" s="13"/>
      <c r="E4143" s="14"/>
      <c r="F4143" s="14"/>
      <c r="G4143" s="14"/>
      <c r="H4143" s="10"/>
      <c r="I4143" s="17"/>
      <c r="J4143" s="10"/>
      <c r="K4143" s="46"/>
      <c r="L4143" s="10"/>
      <c r="M4143" s="20"/>
      <c r="N4143" s="20"/>
      <c r="O4143" s="20"/>
      <c r="P4143" s="20"/>
    </row>
    <row r="4144">
      <c r="A4144" s="23"/>
      <c r="B4144" s="21"/>
      <c r="C4144" s="23"/>
      <c r="D4144" s="24"/>
      <c r="E4144" s="14"/>
      <c r="F4144" s="14"/>
      <c r="G4144" s="14"/>
      <c r="H4144" s="23"/>
      <c r="I4144" s="27"/>
      <c r="J4144" s="23"/>
      <c r="K4144" s="30"/>
      <c r="L4144" s="23"/>
      <c r="M4144" s="20"/>
      <c r="N4144" s="20"/>
      <c r="O4144" s="20"/>
      <c r="P4144" s="20"/>
    </row>
    <row r="4145">
      <c r="A4145" s="10"/>
      <c r="B4145" s="11"/>
      <c r="C4145" s="10"/>
      <c r="D4145" s="13"/>
      <c r="E4145" s="14"/>
      <c r="F4145" s="14"/>
      <c r="G4145" s="14"/>
      <c r="H4145" s="10"/>
      <c r="I4145" s="17"/>
      <c r="J4145" s="10"/>
      <c r="K4145" s="46"/>
      <c r="L4145" s="10"/>
      <c r="M4145" s="20"/>
      <c r="N4145" s="20"/>
      <c r="O4145" s="20"/>
      <c r="P4145" s="20"/>
    </row>
    <row r="4146">
      <c r="A4146" s="23"/>
      <c r="B4146" s="21"/>
      <c r="C4146" s="23"/>
      <c r="D4146" s="24"/>
      <c r="E4146" s="14"/>
      <c r="F4146" s="14"/>
      <c r="G4146" s="14"/>
      <c r="H4146" s="23"/>
      <c r="I4146" s="27"/>
      <c r="J4146" s="23"/>
      <c r="K4146" s="30"/>
      <c r="L4146" s="23"/>
      <c r="M4146" s="20"/>
      <c r="N4146" s="20"/>
      <c r="O4146" s="20"/>
      <c r="P4146" s="20"/>
    </row>
    <row r="4147">
      <c r="A4147" s="10"/>
      <c r="B4147" s="11"/>
      <c r="C4147" s="10"/>
      <c r="D4147" s="13"/>
      <c r="E4147" s="14"/>
      <c r="F4147" s="14"/>
      <c r="G4147" s="14"/>
      <c r="H4147" s="10"/>
      <c r="I4147" s="17"/>
      <c r="J4147" s="10"/>
      <c r="K4147" s="46"/>
      <c r="L4147" s="10"/>
      <c r="M4147" s="20"/>
      <c r="N4147" s="20"/>
      <c r="O4147" s="20"/>
      <c r="P4147" s="20"/>
    </row>
    <row r="4148">
      <c r="A4148" s="23"/>
      <c r="B4148" s="21"/>
      <c r="C4148" s="23"/>
      <c r="D4148" s="24"/>
      <c r="E4148" s="14"/>
      <c r="F4148" s="14"/>
      <c r="G4148" s="14"/>
      <c r="H4148" s="23"/>
      <c r="I4148" s="27"/>
      <c r="J4148" s="23"/>
      <c r="K4148" s="30"/>
      <c r="L4148" s="23"/>
      <c r="M4148" s="20"/>
      <c r="N4148" s="20"/>
      <c r="O4148" s="20"/>
      <c r="P4148" s="20"/>
    </row>
    <row r="4149">
      <c r="A4149" s="10"/>
      <c r="B4149" s="11"/>
      <c r="C4149" s="10"/>
      <c r="D4149" s="13"/>
      <c r="E4149" s="14"/>
      <c r="F4149" s="14"/>
      <c r="G4149" s="14"/>
      <c r="H4149" s="10"/>
      <c r="I4149" s="17"/>
      <c r="J4149" s="10"/>
      <c r="K4149" s="46"/>
      <c r="L4149" s="10"/>
      <c r="M4149" s="20"/>
      <c r="N4149" s="20"/>
      <c r="O4149" s="20"/>
      <c r="P4149" s="20"/>
    </row>
    <row r="4150">
      <c r="A4150" s="23"/>
      <c r="B4150" s="21"/>
      <c r="C4150" s="23"/>
      <c r="D4150" s="24"/>
      <c r="E4150" s="14"/>
      <c r="F4150" s="14"/>
      <c r="G4150" s="14"/>
      <c r="H4150" s="23"/>
      <c r="I4150" s="27"/>
      <c r="J4150" s="23"/>
      <c r="K4150" s="30"/>
      <c r="L4150" s="23"/>
      <c r="M4150" s="20"/>
      <c r="N4150" s="20"/>
      <c r="O4150" s="20"/>
      <c r="P4150" s="20"/>
    </row>
    <row r="4151">
      <c r="A4151" s="10"/>
      <c r="B4151" s="11"/>
      <c r="C4151" s="10"/>
      <c r="D4151" s="13"/>
      <c r="E4151" s="14"/>
      <c r="F4151" s="14"/>
      <c r="G4151" s="14"/>
      <c r="H4151" s="10"/>
      <c r="I4151" s="17"/>
      <c r="J4151" s="10"/>
      <c r="K4151" s="46"/>
      <c r="L4151" s="10"/>
      <c r="M4151" s="20"/>
      <c r="N4151" s="20"/>
      <c r="O4151" s="20"/>
      <c r="P4151" s="20"/>
    </row>
    <row r="4152">
      <c r="A4152" s="23"/>
      <c r="B4152" s="21"/>
      <c r="C4152" s="23"/>
      <c r="D4152" s="24"/>
      <c r="E4152" s="14"/>
      <c r="F4152" s="14"/>
      <c r="G4152" s="14"/>
      <c r="H4152" s="23"/>
      <c r="I4152" s="27"/>
      <c r="J4152" s="23"/>
      <c r="K4152" s="30"/>
      <c r="L4152" s="23"/>
      <c r="M4152" s="20"/>
      <c r="N4152" s="20"/>
      <c r="O4152" s="20"/>
      <c r="P4152" s="20"/>
    </row>
    <row r="4153">
      <c r="A4153" s="10"/>
      <c r="B4153" s="11"/>
      <c r="C4153" s="10"/>
      <c r="D4153" s="13"/>
      <c r="E4153" s="14"/>
      <c r="F4153" s="14"/>
      <c r="G4153" s="14"/>
      <c r="H4153" s="10"/>
      <c r="I4153" s="17"/>
      <c r="J4153" s="10"/>
      <c r="K4153" s="46"/>
      <c r="L4153" s="10"/>
      <c r="M4153" s="20"/>
      <c r="N4153" s="20"/>
      <c r="O4153" s="20"/>
      <c r="P4153" s="20"/>
    </row>
    <row r="4154">
      <c r="A4154" s="23"/>
      <c r="B4154" s="21"/>
      <c r="C4154" s="23"/>
      <c r="D4154" s="24"/>
      <c r="E4154" s="14"/>
      <c r="F4154" s="14"/>
      <c r="G4154" s="14"/>
      <c r="H4154" s="23"/>
      <c r="I4154" s="27"/>
      <c r="J4154" s="23"/>
      <c r="K4154" s="30"/>
      <c r="L4154" s="23"/>
      <c r="M4154" s="20"/>
      <c r="N4154" s="20"/>
      <c r="O4154" s="20"/>
      <c r="P4154" s="20"/>
    </row>
    <row r="4155">
      <c r="A4155" s="10"/>
      <c r="B4155" s="11"/>
      <c r="C4155" s="10"/>
      <c r="D4155" s="13"/>
      <c r="E4155" s="14"/>
      <c r="F4155" s="14"/>
      <c r="G4155" s="14"/>
      <c r="H4155" s="10"/>
      <c r="I4155" s="17"/>
      <c r="J4155" s="10"/>
      <c r="K4155" s="46"/>
      <c r="L4155" s="10"/>
      <c r="M4155" s="20"/>
      <c r="N4155" s="20"/>
      <c r="O4155" s="20"/>
      <c r="P4155" s="20"/>
    </row>
    <row r="4156">
      <c r="A4156" s="23"/>
      <c r="B4156" s="21"/>
      <c r="C4156" s="23"/>
      <c r="D4156" s="24"/>
      <c r="E4156" s="14"/>
      <c r="F4156" s="14"/>
      <c r="G4156" s="14"/>
      <c r="H4156" s="23"/>
      <c r="I4156" s="27"/>
      <c r="J4156" s="23"/>
      <c r="K4156" s="30"/>
      <c r="L4156" s="23"/>
      <c r="M4156" s="20"/>
      <c r="N4156" s="20"/>
      <c r="O4156" s="20"/>
      <c r="P4156" s="20"/>
    </row>
    <row r="4157">
      <c r="A4157" s="10"/>
      <c r="B4157" s="11"/>
      <c r="C4157" s="10"/>
      <c r="D4157" s="13"/>
      <c r="E4157" s="14"/>
      <c r="F4157" s="14"/>
      <c r="G4157" s="14"/>
      <c r="H4157" s="10"/>
      <c r="I4157" s="17"/>
      <c r="J4157" s="10"/>
      <c r="K4157" s="46"/>
      <c r="L4157" s="10"/>
      <c r="M4157" s="20"/>
      <c r="N4157" s="20"/>
      <c r="O4157" s="20"/>
      <c r="P4157" s="20"/>
    </row>
    <row r="4158">
      <c r="A4158" s="23"/>
      <c r="B4158" s="21"/>
      <c r="C4158" s="23"/>
      <c r="D4158" s="24"/>
      <c r="E4158" s="14"/>
      <c r="F4158" s="14"/>
      <c r="G4158" s="14"/>
      <c r="H4158" s="23"/>
      <c r="I4158" s="27"/>
      <c r="J4158" s="23"/>
      <c r="K4158" s="30"/>
      <c r="L4158" s="23"/>
      <c r="M4158" s="20"/>
      <c r="N4158" s="20"/>
      <c r="O4158" s="20"/>
      <c r="P4158" s="20"/>
    </row>
    <row r="4159">
      <c r="A4159" s="10"/>
      <c r="B4159" s="11"/>
      <c r="C4159" s="10"/>
      <c r="D4159" s="13"/>
      <c r="E4159" s="14"/>
      <c r="F4159" s="14"/>
      <c r="G4159" s="14"/>
      <c r="H4159" s="10"/>
      <c r="I4159" s="17"/>
      <c r="J4159" s="10"/>
      <c r="K4159" s="46"/>
      <c r="L4159" s="10"/>
      <c r="M4159" s="20"/>
      <c r="N4159" s="20"/>
      <c r="O4159" s="20"/>
      <c r="P4159" s="20"/>
    </row>
    <row r="4160">
      <c r="A4160" s="23"/>
      <c r="B4160" s="21"/>
      <c r="C4160" s="23"/>
      <c r="D4160" s="24"/>
      <c r="E4160" s="14"/>
      <c r="F4160" s="14"/>
      <c r="G4160" s="14"/>
      <c r="H4160" s="23"/>
      <c r="I4160" s="27"/>
      <c r="J4160" s="23"/>
      <c r="K4160" s="30"/>
      <c r="L4160" s="23"/>
      <c r="M4160" s="20"/>
      <c r="N4160" s="20"/>
      <c r="O4160" s="20"/>
      <c r="P4160" s="20"/>
    </row>
    <row r="4161">
      <c r="A4161" s="10"/>
      <c r="B4161" s="11"/>
      <c r="C4161" s="10"/>
      <c r="D4161" s="13"/>
      <c r="E4161" s="14"/>
      <c r="F4161" s="14"/>
      <c r="G4161" s="14"/>
      <c r="H4161" s="10"/>
      <c r="I4161" s="17"/>
      <c r="J4161" s="10"/>
      <c r="K4161" s="46"/>
      <c r="L4161" s="10"/>
      <c r="M4161" s="20"/>
      <c r="N4161" s="20"/>
      <c r="O4161" s="20"/>
      <c r="P4161" s="20"/>
    </row>
    <row r="4162">
      <c r="A4162" s="23"/>
      <c r="B4162" s="21"/>
      <c r="C4162" s="23"/>
      <c r="D4162" s="24"/>
      <c r="E4162" s="14"/>
      <c r="F4162" s="14"/>
      <c r="G4162" s="14"/>
      <c r="H4162" s="23"/>
      <c r="I4162" s="27"/>
      <c r="J4162" s="23"/>
      <c r="K4162" s="30"/>
      <c r="L4162" s="23"/>
      <c r="M4162" s="20"/>
      <c r="N4162" s="20"/>
      <c r="O4162" s="20"/>
      <c r="P4162" s="20"/>
    </row>
    <row r="4163">
      <c r="A4163" s="10"/>
      <c r="B4163" s="11"/>
      <c r="C4163" s="10"/>
      <c r="D4163" s="13"/>
      <c r="E4163" s="14"/>
      <c r="F4163" s="14"/>
      <c r="G4163" s="14"/>
      <c r="H4163" s="10"/>
      <c r="I4163" s="17"/>
      <c r="J4163" s="10"/>
      <c r="K4163" s="46"/>
      <c r="L4163" s="10"/>
      <c r="M4163" s="20"/>
      <c r="N4163" s="20"/>
      <c r="O4163" s="20"/>
      <c r="P4163" s="20"/>
    </row>
    <row r="4164">
      <c r="A4164" s="23"/>
      <c r="B4164" s="21"/>
      <c r="C4164" s="23"/>
      <c r="D4164" s="24"/>
      <c r="E4164" s="14"/>
      <c r="F4164" s="14"/>
      <c r="G4164" s="14"/>
      <c r="H4164" s="23"/>
      <c r="I4164" s="27"/>
      <c r="J4164" s="23"/>
      <c r="K4164" s="30"/>
      <c r="L4164" s="23"/>
      <c r="M4164" s="20"/>
      <c r="N4164" s="20"/>
      <c r="O4164" s="20"/>
      <c r="P4164" s="20"/>
    </row>
    <row r="4165">
      <c r="A4165" s="10"/>
      <c r="B4165" s="11"/>
      <c r="C4165" s="10"/>
      <c r="D4165" s="13"/>
      <c r="E4165" s="14"/>
      <c r="F4165" s="14"/>
      <c r="G4165" s="14"/>
      <c r="H4165" s="10"/>
      <c r="I4165" s="17"/>
      <c r="J4165" s="10"/>
      <c r="K4165" s="46"/>
      <c r="L4165" s="10"/>
      <c r="M4165" s="20"/>
      <c r="N4165" s="20"/>
      <c r="O4165" s="20"/>
      <c r="P4165" s="20"/>
    </row>
    <row r="4166">
      <c r="A4166" s="23"/>
      <c r="B4166" s="21"/>
      <c r="C4166" s="23"/>
      <c r="D4166" s="24"/>
      <c r="E4166" s="14"/>
      <c r="F4166" s="14"/>
      <c r="G4166" s="14"/>
      <c r="H4166" s="23"/>
      <c r="I4166" s="27"/>
      <c r="J4166" s="23"/>
      <c r="K4166" s="30"/>
      <c r="L4166" s="23"/>
      <c r="M4166" s="20"/>
      <c r="N4166" s="20"/>
      <c r="O4166" s="20"/>
      <c r="P4166" s="20"/>
    </row>
    <row r="4167">
      <c r="A4167" s="10"/>
      <c r="B4167" s="11"/>
      <c r="C4167" s="10"/>
      <c r="D4167" s="13"/>
      <c r="E4167" s="14"/>
      <c r="F4167" s="14"/>
      <c r="G4167" s="14"/>
      <c r="H4167" s="10"/>
      <c r="I4167" s="17"/>
      <c r="J4167" s="10"/>
      <c r="K4167" s="46"/>
      <c r="L4167" s="10"/>
      <c r="M4167" s="20"/>
      <c r="N4167" s="20"/>
      <c r="O4167" s="20"/>
      <c r="P4167" s="20"/>
    </row>
    <row r="4168">
      <c r="A4168" s="23"/>
      <c r="B4168" s="21"/>
      <c r="C4168" s="23"/>
      <c r="D4168" s="24"/>
      <c r="E4168" s="14"/>
      <c r="F4168" s="14"/>
      <c r="G4168" s="14"/>
      <c r="H4168" s="23"/>
      <c r="I4168" s="27"/>
      <c r="J4168" s="23"/>
      <c r="K4168" s="30"/>
      <c r="L4168" s="23"/>
      <c r="M4168" s="20"/>
      <c r="N4168" s="20"/>
      <c r="O4168" s="20"/>
      <c r="P4168" s="20"/>
    </row>
    <row r="4169">
      <c r="A4169" s="10"/>
      <c r="B4169" s="11"/>
      <c r="C4169" s="10"/>
      <c r="D4169" s="13"/>
      <c r="E4169" s="14"/>
      <c r="F4169" s="14"/>
      <c r="G4169" s="14"/>
      <c r="H4169" s="10"/>
      <c r="I4169" s="17"/>
      <c r="J4169" s="10"/>
      <c r="K4169" s="46"/>
      <c r="L4169" s="10"/>
      <c r="M4169" s="20"/>
      <c r="N4169" s="20"/>
      <c r="O4169" s="20"/>
      <c r="P4169" s="20"/>
    </row>
    <row r="4170">
      <c r="A4170" s="23"/>
      <c r="B4170" s="21"/>
      <c r="C4170" s="23"/>
      <c r="D4170" s="24"/>
      <c r="E4170" s="14"/>
      <c r="F4170" s="14"/>
      <c r="G4170" s="14"/>
      <c r="H4170" s="23"/>
      <c r="I4170" s="27"/>
      <c r="J4170" s="23"/>
      <c r="K4170" s="30"/>
      <c r="L4170" s="23"/>
      <c r="M4170" s="20"/>
      <c r="N4170" s="20"/>
      <c r="O4170" s="20"/>
      <c r="P4170" s="20"/>
    </row>
    <row r="4171">
      <c r="A4171" s="10"/>
      <c r="B4171" s="11"/>
      <c r="C4171" s="10"/>
      <c r="D4171" s="13"/>
      <c r="E4171" s="14"/>
      <c r="F4171" s="14"/>
      <c r="G4171" s="14"/>
      <c r="H4171" s="10"/>
      <c r="I4171" s="17"/>
      <c r="J4171" s="10"/>
      <c r="K4171" s="46"/>
      <c r="L4171" s="10"/>
      <c r="M4171" s="20"/>
      <c r="N4171" s="20"/>
      <c r="O4171" s="20"/>
      <c r="P4171" s="20"/>
    </row>
    <row r="4172">
      <c r="A4172" s="23"/>
      <c r="B4172" s="21"/>
      <c r="C4172" s="23"/>
      <c r="D4172" s="24"/>
      <c r="E4172" s="14"/>
      <c r="F4172" s="14"/>
      <c r="G4172" s="14"/>
      <c r="H4172" s="23"/>
      <c r="I4172" s="27"/>
      <c r="J4172" s="23"/>
      <c r="K4172" s="30"/>
      <c r="L4172" s="23"/>
      <c r="M4172" s="20"/>
      <c r="N4172" s="20"/>
      <c r="O4172" s="20"/>
      <c r="P4172" s="20"/>
    </row>
    <row r="4173">
      <c r="A4173" s="10"/>
      <c r="B4173" s="11"/>
      <c r="C4173" s="10"/>
      <c r="D4173" s="13"/>
      <c r="E4173" s="14"/>
      <c r="F4173" s="14"/>
      <c r="G4173" s="14"/>
      <c r="H4173" s="10"/>
      <c r="I4173" s="17"/>
      <c r="J4173" s="10"/>
      <c r="K4173" s="46"/>
      <c r="L4173" s="10"/>
      <c r="M4173" s="20"/>
      <c r="N4173" s="20"/>
      <c r="O4173" s="20"/>
      <c r="P4173" s="20"/>
    </row>
    <row r="4174">
      <c r="A4174" s="23"/>
      <c r="B4174" s="21"/>
      <c r="C4174" s="23"/>
      <c r="D4174" s="24"/>
      <c r="E4174" s="14"/>
      <c r="F4174" s="14"/>
      <c r="G4174" s="14"/>
      <c r="H4174" s="23"/>
      <c r="I4174" s="27"/>
      <c r="J4174" s="23"/>
      <c r="K4174" s="30"/>
      <c r="L4174" s="23"/>
      <c r="M4174" s="20"/>
      <c r="N4174" s="20"/>
      <c r="O4174" s="20"/>
      <c r="P4174" s="20"/>
    </row>
    <row r="4175">
      <c r="A4175" s="10"/>
      <c r="B4175" s="11"/>
      <c r="C4175" s="10"/>
      <c r="D4175" s="13"/>
      <c r="E4175" s="14"/>
      <c r="F4175" s="14"/>
      <c r="G4175" s="14"/>
      <c r="H4175" s="10"/>
      <c r="I4175" s="17"/>
      <c r="J4175" s="10"/>
      <c r="K4175" s="46"/>
      <c r="L4175" s="10"/>
      <c r="M4175" s="20"/>
      <c r="N4175" s="20"/>
      <c r="O4175" s="20"/>
      <c r="P4175" s="20"/>
    </row>
    <row r="4176">
      <c r="A4176" s="23"/>
      <c r="B4176" s="21"/>
      <c r="C4176" s="23"/>
      <c r="D4176" s="24"/>
      <c r="E4176" s="14"/>
      <c r="F4176" s="14"/>
      <c r="G4176" s="14"/>
      <c r="H4176" s="23"/>
      <c r="I4176" s="27"/>
      <c r="J4176" s="23"/>
      <c r="K4176" s="30"/>
      <c r="L4176" s="23"/>
      <c r="M4176" s="20"/>
      <c r="N4176" s="20"/>
      <c r="O4176" s="20"/>
      <c r="P4176" s="20"/>
    </row>
    <row r="4177">
      <c r="A4177" s="10"/>
      <c r="B4177" s="11"/>
      <c r="C4177" s="10"/>
      <c r="D4177" s="13"/>
      <c r="E4177" s="14"/>
      <c r="F4177" s="14"/>
      <c r="G4177" s="14"/>
      <c r="H4177" s="10"/>
      <c r="I4177" s="17"/>
      <c r="J4177" s="10"/>
      <c r="K4177" s="46"/>
      <c r="L4177" s="10"/>
      <c r="M4177" s="20"/>
      <c r="N4177" s="20"/>
      <c r="O4177" s="20"/>
      <c r="P4177" s="20"/>
    </row>
    <row r="4178">
      <c r="A4178" s="23"/>
      <c r="B4178" s="21"/>
      <c r="C4178" s="23"/>
      <c r="D4178" s="24"/>
      <c r="E4178" s="14"/>
      <c r="F4178" s="14"/>
      <c r="G4178" s="14"/>
      <c r="H4178" s="23"/>
      <c r="I4178" s="27"/>
      <c r="J4178" s="23"/>
      <c r="K4178" s="30"/>
      <c r="L4178" s="23"/>
      <c r="M4178" s="20"/>
      <c r="N4178" s="20"/>
      <c r="O4178" s="20"/>
      <c r="P4178" s="20"/>
    </row>
    <row r="4179">
      <c r="A4179" s="10"/>
      <c r="B4179" s="11"/>
      <c r="C4179" s="10"/>
      <c r="D4179" s="13"/>
      <c r="E4179" s="14"/>
      <c r="F4179" s="14"/>
      <c r="G4179" s="14"/>
      <c r="H4179" s="10"/>
      <c r="I4179" s="17"/>
      <c r="J4179" s="10"/>
      <c r="K4179" s="46"/>
      <c r="L4179" s="10"/>
      <c r="M4179" s="20"/>
      <c r="N4179" s="20"/>
      <c r="O4179" s="20"/>
      <c r="P4179" s="20"/>
    </row>
    <row r="4180">
      <c r="A4180" s="23"/>
      <c r="B4180" s="21"/>
      <c r="C4180" s="23"/>
      <c r="D4180" s="24"/>
      <c r="E4180" s="14"/>
      <c r="F4180" s="14"/>
      <c r="G4180" s="14"/>
      <c r="H4180" s="23"/>
      <c r="I4180" s="27"/>
      <c r="J4180" s="23"/>
      <c r="K4180" s="30"/>
      <c r="L4180" s="23"/>
      <c r="M4180" s="20"/>
      <c r="N4180" s="20"/>
      <c r="O4180" s="20"/>
      <c r="P4180" s="20"/>
    </row>
    <row r="4181">
      <c r="A4181" s="10"/>
      <c r="B4181" s="11"/>
      <c r="C4181" s="10"/>
      <c r="D4181" s="13"/>
      <c r="E4181" s="14"/>
      <c r="F4181" s="14"/>
      <c r="G4181" s="14"/>
      <c r="H4181" s="10"/>
      <c r="I4181" s="17"/>
      <c r="J4181" s="10"/>
      <c r="K4181" s="46"/>
      <c r="L4181" s="10"/>
      <c r="M4181" s="20"/>
      <c r="N4181" s="20"/>
      <c r="O4181" s="20"/>
      <c r="P4181" s="20"/>
    </row>
    <row r="4182">
      <c r="A4182" s="23"/>
      <c r="B4182" s="21"/>
      <c r="C4182" s="23"/>
      <c r="D4182" s="24"/>
      <c r="E4182" s="14"/>
      <c r="F4182" s="14"/>
      <c r="G4182" s="14"/>
      <c r="H4182" s="23"/>
      <c r="I4182" s="27"/>
      <c r="J4182" s="23"/>
      <c r="K4182" s="30"/>
      <c r="L4182" s="23"/>
      <c r="M4182" s="20"/>
      <c r="N4182" s="20"/>
      <c r="O4182" s="20"/>
      <c r="P4182" s="20"/>
    </row>
    <row r="4183">
      <c r="A4183" s="10"/>
      <c r="B4183" s="11"/>
      <c r="C4183" s="10"/>
      <c r="D4183" s="13"/>
      <c r="E4183" s="14"/>
      <c r="F4183" s="14"/>
      <c r="G4183" s="14"/>
      <c r="H4183" s="10"/>
      <c r="I4183" s="17"/>
      <c r="J4183" s="10"/>
      <c r="K4183" s="46"/>
      <c r="L4183" s="10"/>
      <c r="M4183" s="20"/>
      <c r="N4183" s="20"/>
      <c r="O4183" s="20"/>
      <c r="P4183" s="20"/>
    </row>
    <row r="4184">
      <c r="A4184" s="23"/>
      <c r="B4184" s="21"/>
      <c r="C4184" s="23"/>
      <c r="D4184" s="24"/>
      <c r="E4184" s="14"/>
      <c r="F4184" s="14"/>
      <c r="G4184" s="14"/>
      <c r="H4184" s="23"/>
      <c r="I4184" s="27"/>
      <c r="J4184" s="23"/>
      <c r="K4184" s="30"/>
      <c r="L4184" s="23"/>
      <c r="M4184" s="20"/>
      <c r="N4184" s="20"/>
      <c r="O4184" s="20"/>
      <c r="P4184" s="20"/>
    </row>
    <row r="4185">
      <c r="A4185" s="10"/>
      <c r="B4185" s="11"/>
      <c r="C4185" s="10"/>
      <c r="D4185" s="13"/>
      <c r="E4185" s="14"/>
      <c r="F4185" s="14"/>
      <c r="G4185" s="14"/>
      <c r="H4185" s="10"/>
      <c r="I4185" s="17"/>
      <c r="J4185" s="10"/>
      <c r="K4185" s="46"/>
      <c r="L4185" s="10"/>
      <c r="M4185" s="20"/>
      <c r="N4185" s="20"/>
      <c r="O4185" s="20"/>
      <c r="P4185" s="20"/>
    </row>
    <row r="4186">
      <c r="A4186" s="23"/>
      <c r="B4186" s="21"/>
      <c r="C4186" s="23"/>
      <c r="D4186" s="24"/>
      <c r="E4186" s="14"/>
      <c r="F4186" s="14"/>
      <c r="G4186" s="14"/>
      <c r="H4186" s="23"/>
      <c r="I4186" s="27"/>
      <c r="J4186" s="23"/>
      <c r="K4186" s="30"/>
      <c r="L4186" s="23"/>
      <c r="M4186" s="20"/>
      <c r="N4186" s="20"/>
      <c r="O4186" s="20"/>
      <c r="P4186" s="20"/>
    </row>
    <row r="4187">
      <c r="A4187" s="10"/>
      <c r="B4187" s="11"/>
      <c r="C4187" s="10"/>
      <c r="D4187" s="13"/>
      <c r="E4187" s="14"/>
      <c r="F4187" s="14"/>
      <c r="G4187" s="14"/>
      <c r="H4187" s="10"/>
      <c r="I4187" s="17"/>
      <c r="J4187" s="10"/>
      <c r="K4187" s="46"/>
      <c r="L4187" s="10"/>
      <c r="M4187" s="20"/>
      <c r="N4187" s="20"/>
      <c r="O4187" s="20"/>
      <c r="P4187" s="20"/>
    </row>
    <row r="4188">
      <c r="A4188" s="23"/>
      <c r="B4188" s="21"/>
      <c r="C4188" s="23"/>
      <c r="D4188" s="24"/>
      <c r="E4188" s="14"/>
      <c r="F4188" s="14"/>
      <c r="G4188" s="14"/>
      <c r="H4188" s="23"/>
      <c r="I4188" s="27"/>
      <c r="J4188" s="23"/>
      <c r="K4188" s="30"/>
      <c r="L4188" s="23"/>
      <c r="M4188" s="20"/>
      <c r="N4188" s="20"/>
      <c r="O4188" s="20"/>
      <c r="P4188" s="20"/>
    </row>
    <row r="4189">
      <c r="A4189" s="10"/>
      <c r="B4189" s="11"/>
      <c r="C4189" s="10"/>
      <c r="D4189" s="13"/>
      <c r="E4189" s="14"/>
      <c r="F4189" s="14"/>
      <c r="G4189" s="14"/>
      <c r="H4189" s="10"/>
      <c r="I4189" s="17"/>
      <c r="J4189" s="10"/>
      <c r="K4189" s="46"/>
      <c r="L4189" s="10"/>
      <c r="M4189" s="20"/>
      <c r="N4189" s="20"/>
      <c r="O4189" s="20"/>
      <c r="P4189" s="20"/>
    </row>
    <row r="4190">
      <c r="A4190" s="23"/>
      <c r="B4190" s="21"/>
      <c r="C4190" s="23"/>
      <c r="D4190" s="24"/>
      <c r="E4190" s="14"/>
      <c r="F4190" s="14"/>
      <c r="G4190" s="14"/>
      <c r="H4190" s="23"/>
      <c r="I4190" s="27"/>
      <c r="J4190" s="23"/>
      <c r="K4190" s="30"/>
      <c r="L4190" s="23"/>
      <c r="M4190" s="20"/>
      <c r="N4190" s="20"/>
      <c r="O4190" s="20"/>
      <c r="P4190" s="20"/>
    </row>
    <row r="4191">
      <c r="A4191" s="10"/>
      <c r="B4191" s="11"/>
      <c r="C4191" s="10"/>
      <c r="D4191" s="13"/>
      <c r="E4191" s="14"/>
      <c r="F4191" s="14"/>
      <c r="G4191" s="14"/>
      <c r="H4191" s="10"/>
      <c r="I4191" s="17"/>
      <c r="J4191" s="10"/>
      <c r="K4191" s="46"/>
      <c r="L4191" s="10"/>
      <c r="M4191" s="20"/>
      <c r="N4191" s="20"/>
      <c r="O4191" s="20"/>
      <c r="P4191" s="20"/>
    </row>
    <row r="4192">
      <c r="A4192" s="23"/>
      <c r="B4192" s="21"/>
      <c r="C4192" s="23"/>
      <c r="D4192" s="24"/>
      <c r="E4192" s="14"/>
      <c r="F4192" s="14"/>
      <c r="G4192" s="14"/>
      <c r="H4192" s="23"/>
      <c r="I4192" s="27"/>
      <c r="J4192" s="23"/>
      <c r="K4192" s="30"/>
      <c r="L4192" s="23"/>
      <c r="M4192" s="20"/>
      <c r="N4192" s="20"/>
      <c r="O4192" s="20"/>
      <c r="P4192" s="20"/>
    </row>
    <row r="4193">
      <c r="A4193" s="10"/>
      <c r="B4193" s="11"/>
      <c r="C4193" s="10"/>
      <c r="D4193" s="13"/>
      <c r="E4193" s="14"/>
      <c r="F4193" s="14"/>
      <c r="G4193" s="14"/>
      <c r="H4193" s="10"/>
      <c r="I4193" s="17"/>
      <c r="J4193" s="10"/>
      <c r="K4193" s="46"/>
      <c r="L4193" s="10"/>
      <c r="M4193" s="20"/>
      <c r="N4193" s="20"/>
      <c r="O4193" s="20"/>
      <c r="P4193" s="20"/>
    </row>
    <row r="4194">
      <c r="A4194" s="23"/>
      <c r="B4194" s="21"/>
      <c r="C4194" s="23"/>
      <c r="D4194" s="24"/>
      <c r="E4194" s="14"/>
      <c r="F4194" s="14"/>
      <c r="G4194" s="14"/>
      <c r="H4194" s="23"/>
      <c r="I4194" s="27"/>
      <c r="J4194" s="23"/>
      <c r="K4194" s="30"/>
      <c r="L4194" s="23"/>
      <c r="M4194" s="20"/>
      <c r="N4194" s="20"/>
      <c r="O4194" s="20"/>
      <c r="P4194" s="20"/>
    </row>
    <row r="4195">
      <c r="A4195" s="10"/>
      <c r="B4195" s="11"/>
      <c r="C4195" s="10"/>
      <c r="D4195" s="13"/>
      <c r="E4195" s="14"/>
      <c r="F4195" s="14"/>
      <c r="G4195" s="14"/>
      <c r="H4195" s="10"/>
      <c r="I4195" s="17"/>
      <c r="J4195" s="10"/>
      <c r="K4195" s="46"/>
      <c r="L4195" s="10"/>
      <c r="M4195" s="20"/>
      <c r="N4195" s="20"/>
      <c r="O4195" s="20"/>
      <c r="P4195" s="20"/>
    </row>
    <row r="4196">
      <c r="A4196" s="23"/>
      <c r="B4196" s="21"/>
      <c r="C4196" s="23"/>
      <c r="D4196" s="24"/>
      <c r="E4196" s="14"/>
      <c r="F4196" s="14"/>
      <c r="G4196" s="14"/>
      <c r="H4196" s="23"/>
      <c r="I4196" s="27"/>
      <c r="J4196" s="23"/>
      <c r="K4196" s="30"/>
      <c r="L4196" s="23"/>
      <c r="M4196" s="20"/>
      <c r="N4196" s="20"/>
      <c r="O4196" s="20"/>
      <c r="P4196" s="20"/>
    </row>
    <row r="4197">
      <c r="A4197" s="10"/>
      <c r="B4197" s="11"/>
      <c r="C4197" s="10"/>
      <c r="D4197" s="13"/>
      <c r="E4197" s="14"/>
      <c r="F4197" s="14"/>
      <c r="G4197" s="14"/>
      <c r="H4197" s="10"/>
      <c r="I4197" s="17"/>
      <c r="J4197" s="10"/>
      <c r="K4197" s="46"/>
      <c r="L4197" s="10"/>
      <c r="M4197" s="20"/>
      <c r="N4197" s="20"/>
      <c r="O4197" s="20"/>
      <c r="P4197" s="20"/>
    </row>
    <row r="4198">
      <c r="A4198" s="23"/>
      <c r="B4198" s="21"/>
      <c r="C4198" s="23"/>
      <c r="D4198" s="24"/>
      <c r="E4198" s="14"/>
      <c r="F4198" s="14"/>
      <c r="G4198" s="14"/>
      <c r="H4198" s="23"/>
      <c r="I4198" s="27"/>
      <c r="J4198" s="23"/>
      <c r="K4198" s="30"/>
      <c r="L4198" s="23"/>
      <c r="M4198" s="20"/>
      <c r="N4198" s="20"/>
      <c r="O4198" s="20"/>
      <c r="P4198" s="20"/>
    </row>
    <row r="4199">
      <c r="A4199" s="10"/>
      <c r="B4199" s="11"/>
      <c r="C4199" s="10"/>
      <c r="D4199" s="13"/>
      <c r="E4199" s="14"/>
      <c r="F4199" s="14"/>
      <c r="G4199" s="14"/>
      <c r="H4199" s="10"/>
      <c r="I4199" s="17"/>
      <c r="J4199" s="10"/>
      <c r="K4199" s="46"/>
      <c r="L4199" s="10"/>
      <c r="M4199" s="20"/>
      <c r="N4199" s="20"/>
      <c r="O4199" s="20"/>
      <c r="P4199" s="20"/>
    </row>
    <row r="4200">
      <c r="A4200" s="23"/>
      <c r="B4200" s="21"/>
      <c r="C4200" s="23"/>
      <c r="D4200" s="24"/>
      <c r="E4200" s="14"/>
      <c r="F4200" s="14"/>
      <c r="G4200" s="14"/>
      <c r="H4200" s="23"/>
      <c r="I4200" s="27"/>
      <c r="J4200" s="23"/>
      <c r="K4200" s="30"/>
      <c r="L4200" s="23"/>
      <c r="M4200" s="20"/>
      <c r="N4200" s="20"/>
      <c r="O4200" s="20"/>
      <c r="P4200" s="20"/>
    </row>
    <row r="4201">
      <c r="A4201" s="10"/>
      <c r="B4201" s="11"/>
      <c r="C4201" s="10"/>
      <c r="D4201" s="13"/>
      <c r="E4201" s="14"/>
      <c r="F4201" s="14"/>
      <c r="G4201" s="14"/>
      <c r="H4201" s="10"/>
      <c r="I4201" s="17"/>
      <c r="J4201" s="10"/>
      <c r="K4201" s="46"/>
      <c r="L4201" s="10"/>
      <c r="M4201" s="20"/>
      <c r="N4201" s="20"/>
      <c r="O4201" s="20"/>
      <c r="P4201" s="20"/>
    </row>
    <row r="4202">
      <c r="A4202" s="23"/>
      <c r="B4202" s="21"/>
      <c r="C4202" s="23"/>
      <c r="D4202" s="24"/>
      <c r="E4202" s="14"/>
      <c r="F4202" s="14"/>
      <c r="G4202" s="14"/>
      <c r="H4202" s="23"/>
      <c r="I4202" s="27"/>
      <c r="J4202" s="23"/>
      <c r="K4202" s="30"/>
      <c r="L4202" s="23"/>
      <c r="M4202" s="20"/>
      <c r="N4202" s="20"/>
      <c r="O4202" s="20"/>
      <c r="P4202" s="20"/>
    </row>
    <row r="4203">
      <c r="A4203" s="10"/>
      <c r="B4203" s="11"/>
      <c r="C4203" s="10"/>
      <c r="D4203" s="13"/>
      <c r="E4203" s="14"/>
      <c r="F4203" s="14"/>
      <c r="G4203" s="14"/>
      <c r="H4203" s="10"/>
      <c r="I4203" s="17"/>
      <c r="J4203" s="10"/>
      <c r="K4203" s="46"/>
      <c r="L4203" s="10"/>
      <c r="M4203" s="20"/>
      <c r="N4203" s="20"/>
      <c r="O4203" s="20"/>
      <c r="P4203" s="20"/>
    </row>
    <row r="4204">
      <c r="A4204" s="23"/>
      <c r="B4204" s="21"/>
      <c r="C4204" s="23"/>
      <c r="D4204" s="24"/>
      <c r="E4204" s="14"/>
      <c r="F4204" s="14"/>
      <c r="G4204" s="14"/>
      <c r="H4204" s="23"/>
      <c r="I4204" s="27"/>
      <c r="J4204" s="23"/>
      <c r="K4204" s="30"/>
      <c r="L4204" s="23"/>
      <c r="M4204" s="20"/>
      <c r="N4204" s="20"/>
      <c r="O4204" s="20"/>
      <c r="P4204" s="20"/>
    </row>
    <row r="4205">
      <c r="A4205" s="10"/>
      <c r="B4205" s="11"/>
      <c r="C4205" s="10"/>
      <c r="D4205" s="13"/>
      <c r="E4205" s="14"/>
      <c r="F4205" s="14"/>
      <c r="G4205" s="14"/>
      <c r="H4205" s="10"/>
      <c r="I4205" s="17"/>
      <c r="J4205" s="10"/>
      <c r="K4205" s="46"/>
      <c r="L4205" s="10"/>
      <c r="M4205" s="20"/>
      <c r="N4205" s="20"/>
      <c r="O4205" s="20"/>
      <c r="P4205" s="20"/>
    </row>
    <row r="4206">
      <c r="A4206" s="23"/>
      <c r="B4206" s="21"/>
      <c r="C4206" s="23"/>
      <c r="D4206" s="24"/>
      <c r="E4206" s="14"/>
      <c r="F4206" s="14"/>
      <c r="G4206" s="14"/>
      <c r="H4206" s="23"/>
      <c r="I4206" s="27"/>
      <c r="J4206" s="23"/>
      <c r="K4206" s="30"/>
      <c r="L4206" s="23"/>
      <c r="M4206" s="20"/>
      <c r="N4206" s="20"/>
      <c r="O4206" s="20"/>
      <c r="P4206" s="20"/>
    </row>
    <row r="4207">
      <c r="A4207" s="10"/>
      <c r="B4207" s="11"/>
      <c r="C4207" s="10"/>
      <c r="D4207" s="13"/>
      <c r="E4207" s="14"/>
      <c r="F4207" s="14"/>
      <c r="G4207" s="14"/>
      <c r="H4207" s="10"/>
      <c r="I4207" s="17"/>
      <c r="J4207" s="10"/>
      <c r="K4207" s="46"/>
      <c r="L4207" s="10"/>
      <c r="M4207" s="20"/>
      <c r="N4207" s="20"/>
      <c r="O4207" s="20"/>
      <c r="P4207" s="20"/>
    </row>
    <row r="4208">
      <c r="A4208" s="23"/>
      <c r="B4208" s="21"/>
      <c r="C4208" s="23"/>
      <c r="D4208" s="24"/>
      <c r="E4208" s="14"/>
      <c r="F4208" s="14"/>
      <c r="G4208" s="14"/>
      <c r="H4208" s="23"/>
      <c r="I4208" s="27"/>
      <c r="J4208" s="23"/>
      <c r="K4208" s="30"/>
      <c r="L4208" s="23"/>
      <c r="M4208" s="20"/>
      <c r="N4208" s="20"/>
      <c r="O4208" s="20"/>
      <c r="P4208" s="20"/>
    </row>
    <row r="4209">
      <c r="A4209" s="10"/>
      <c r="B4209" s="11"/>
      <c r="C4209" s="10"/>
      <c r="D4209" s="13"/>
      <c r="E4209" s="14"/>
      <c r="F4209" s="14"/>
      <c r="G4209" s="14"/>
      <c r="H4209" s="10"/>
      <c r="I4209" s="17"/>
      <c r="J4209" s="10"/>
      <c r="K4209" s="46"/>
      <c r="L4209" s="10"/>
      <c r="M4209" s="20"/>
      <c r="N4209" s="20"/>
      <c r="O4209" s="20"/>
      <c r="P4209" s="20"/>
    </row>
    <row r="4210">
      <c r="A4210" s="23"/>
      <c r="B4210" s="21"/>
      <c r="C4210" s="23"/>
      <c r="D4210" s="24"/>
      <c r="E4210" s="14"/>
      <c r="F4210" s="14"/>
      <c r="G4210" s="14"/>
      <c r="H4210" s="23"/>
      <c r="I4210" s="27"/>
      <c r="J4210" s="23"/>
      <c r="K4210" s="30"/>
      <c r="L4210" s="23"/>
      <c r="M4210" s="20"/>
      <c r="N4210" s="20"/>
      <c r="O4210" s="20"/>
      <c r="P4210" s="20"/>
    </row>
    <row r="4211">
      <c r="A4211" s="10"/>
      <c r="B4211" s="11"/>
      <c r="C4211" s="10"/>
      <c r="D4211" s="13"/>
      <c r="E4211" s="14"/>
      <c r="F4211" s="14"/>
      <c r="G4211" s="14"/>
      <c r="H4211" s="10"/>
      <c r="I4211" s="17"/>
      <c r="J4211" s="10"/>
      <c r="K4211" s="46"/>
      <c r="L4211" s="10"/>
      <c r="M4211" s="20"/>
      <c r="N4211" s="20"/>
      <c r="O4211" s="20"/>
      <c r="P4211" s="20"/>
    </row>
    <row r="4212">
      <c r="A4212" s="23"/>
      <c r="B4212" s="21"/>
      <c r="C4212" s="23"/>
      <c r="D4212" s="24"/>
      <c r="E4212" s="14"/>
      <c r="F4212" s="14"/>
      <c r="G4212" s="14"/>
      <c r="H4212" s="23"/>
      <c r="I4212" s="27"/>
      <c r="J4212" s="23"/>
      <c r="K4212" s="30"/>
      <c r="L4212" s="23"/>
      <c r="M4212" s="20"/>
      <c r="N4212" s="20"/>
      <c r="O4212" s="20"/>
      <c r="P4212" s="20"/>
    </row>
    <row r="4213">
      <c r="A4213" s="10"/>
      <c r="B4213" s="11"/>
      <c r="C4213" s="10"/>
      <c r="D4213" s="13"/>
      <c r="E4213" s="14"/>
      <c r="F4213" s="14"/>
      <c r="G4213" s="14"/>
      <c r="H4213" s="10"/>
      <c r="I4213" s="17"/>
      <c r="J4213" s="10"/>
      <c r="K4213" s="46"/>
      <c r="L4213" s="10"/>
      <c r="M4213" s="20"/>
      <c r="N4213" s="20"/>
      <c r="O4213" s="20"/>
      <c r="P4213" s="20"/>
    </row>
    <row r="4214">
      <c r="A4214" s="23"/>
      <c r="B4214" s="21"/>
      <c r="C4214" s="23"/>
      <c r="D4214" s="24"/>
      <c r="E4214" s="14"/>
      <c r="F4214" s="14"/>
      <c r="G4214" s="14"/>
      <c r="H4214" s="23"/>
      <c r="I4214" s="27"/>
      <c r="J4214" s="23"/>
      <c r="K4214" s="30"/>
      <c r="L4214" s="23"/>
      <c r="M4214" s="20"/>
      <c r="N4214" s="20"/>
      <c r="O4214" s="20"/>
      <c r="P4214" s="20"/>
    </row>
    <row r="4215">
      <c r="A4215" s="10"/>
      <c r="B4215" s="11"/>
      <c r="C4215" s="10"/>
      <c r="D4215" s="13"/>
      <c r="E4215" s="14"/>
      <c r="F4215" s="14"/>
      <c r="G4215" s="14"/>
      <c r="H4215" s="10"/>
      <c r="I4215" s="17"/>
      <c r="J4215" s="10"/>
      <c r="K4215" s="46"/>
      <c r="L4215" s="10"/>
      <c r="M4215" s="20"/>
      <c r="N4215" s="20"/>
      <c r="O4215" s="20"/>
      <c r="P4215" s="20"/>
    </row>
    <row r="4216">
      <c r="A4216" s="23"/>
      <c r="B4216" s="21"/>
      <c r="C4216" s="23"/>
      <c r="D4216" s="24"/>
      <c r="E4216" s="14"/>
      <c r="F4216" s="14"/>
      <c r="G4216" s="14"/>
      <c r="H4216" s="23"/>
      <c r="I4216" s="27"/>
      <c r="J4216" s="23"/>
      <c r="K4216" s="30"/>
      <c r="L4216" s="23"/>
      <c r="M4216" s="20"/>
      <c r="N4216" s="20"/>
      <c r="O4216" s="20"/>
      <c r="P4216" s="20"/>
    </row>
    <row r="4217">
      <c r="A4217" s="10"/>
      <c r="B4217" s="11"/>
      <c r="C4217" s="10"/>
      <c r="D4217" s="13"/>
      <c r="E4217" s="14"/>
      <c r="F4217" s="14"/>
      <c r="G4217" s="14"/>
      <c r="H4217" s="10"/>
      <c r="I4217" s="17"/>
      <c r="J4217" s="10"/>
      <c r="K4217" s="46"/>
      <c r="L4217" s="10"/>
      <c r="M4217" s="20"/>
      <c r="N4217" s="20"/>
      <c r="O4217" s="20"/>
      <c r="P4217" s="20"/>
    </row>
    <row r="4218">
      <c r="A4218" s="23"/>
      <c r="B4218" s="21"/>
      <c r="C4218" s="23"/>
      <c r="D4218" s="24"/>
      <c r="E4218" s="14"/>
      <c r="F4218" s="14"/>
      <c r="G4218" s="14"/>
      <c r="H4218" s="23"/>
      <c r="I4218" s="27"/>
      <c r="J4218" s="23"/>
      <c r="K4218" s="30"/>
      <c r="L4218" s="23"/>
      <c r="M4218" s="20"/>
      <c r="N4218" s="20"/>
      <c r="O4218" s="20"/>
      <c r="P4218" s="20"/>
    </row>
    <row r="4219">
      <c r="A4219" s="10"/>
      <c r="B4219" s="11"/>
      <c r="C4219" s="10"/>
      <c r="D4219" s="13"/>
      <c r="E4219" s="14"/>
      <c r="F4219" s="14"/>
      <c r="G4219" s="14"/>
      <c r="H4219" s="10"/>
      <c r="I4219" s="17"/>
      <c r="J4219" s="10"/>
      <c r="K4219" s="46"/>
      <c r="L4219" s="10"/>
      <c r="M4219" s="20"/>
      <c r="N4219" s="20"/>
      <c r="O4219" s="20"/>
      <c r="P4219" s="20"/>
    </row>
    <row r="4220">
      <c r="A4220" s="23"/>
      <c r="B4220" s="21"/>
      <c r="C4220" s="23"/>
      <c r="D4220" s="24"/>
      <c r="E4220" s="14"/>
      <c r="F4220" s="14"/>
      <c r="G4220" s="14"/>
      <c r="H4220" s="23"/>
      <c r="I4220" s="27"/>
      <c r="J4220" s="23"/>
      <c r="K4220" s="30"/>
      <c r="L4220" s="23"/>
      <c r="M4220" s="20"/>
      <c r="N4220" s="20"/>
      <c r="O4220" s="20"/>
      <c r="P4220" s="20"/>
    </row>
    <row r="4221">
      <c r="A4221" s="10"/>
      <c r="B4221" s="11"/>
      <c r="C4221" s="10"/>
      <c r="D4221" s="13"/>
      <c r="E4221" s="14"/>
      <c r="F4221" s="14"/>
      <c r="G4221" s="14"/>
      <c r="H4221" s="10"/>
      <c r="I4221" s="17"/>
      <c r="J4221" s="10"/>
      <c r="K4221" s="46"/>
      <c r="L4221" s="10"/>
      <c r="M4221" s="20"/>
      <c r="N4221" s="20"/>
      <c r="O4221" s="20"/>
      <c r="P4221" s="20"/>
    </row>
    <row r="4222">
      <c r="A4222" s="23"/>
      <c r="B4222" s="21"/>
      <c r="C4222" s="23"/>
      <c r="D4222" s="24"/>
      <c r="E4222" s="14"/>
      <c r="F4222" s="14"/>
      <c r="G4222" s="14"/>
      <c r="H4222" s="23"/>
      <c r="I4222" s="27"/>
      <c r="J4222" s="23"/>
      <c r="K4222" s="30"/>
      <c r="L4222" s="23"/>
      <c r="M4222" s="20"/>
      <c r="N4222" s="20"/>
      <c r="O4222" s="20"/>
      <c r="P4222" s="20"/>
    </row>
    <row r="4223">
      <c r="A4223" s="10"/>
      <c r="B4223" s="11"/>
      <c r="C4223" s="10"/>
      <c r="D4223" s="13"/>
      <c r="E4223" s="14"/>
      <c r="F4223" s="14"/>
      <c r="G4223" s="14"/>
      <c r="H4223" s="10"/>
      <c r="I4223" s="17"/>
      <c r="J4223" s="10"/>
      <c r="K4223" s="46"/>
      <c r="L4223" s="10"/>
      <c r="M4223" s="20"/>
      <c r="N4223" s="20"/>
      <c r="O4223" s="20"/>
      <c r="P4223" s="20"/>
    </row>
    <row r="4224">
      <c r="A4224" s="23"/>
      <c r="B4224" s="21"/>
      <c r="C4224" s="23"/>
      <c r="D4224" s="24"/>
      <c r="E4224" s="14"/>
      <c r="F4224" s="14"/>
      <c r="G4224" s="14"/>
      <c r="H4224" s="23"/>
      <c r="I4224" s="27"/>
      <c r="J4224" s="23"/>
      <c r="K4224" s="30"/>
      <c r="L4224" s="23"/>
      <c r="M4224" s="20"/>
      <c r="N4224" s="20"/>
      <c r="O4224" s="20"/>
      <c r="P4224" s="20"/>
    </row>
    <row r="4225">
      <c r="A4225" s="10"/>
      <c r="B4225" s="11"/>
      <c r="C4225" s="10"/>
      <c r="D4225" s="13"/>
      <c r="E4225" s="14"/>
      <c r="F4225" s="14"/>
      <c r="G4225" s="14"/>
      <c r="H4225" s="10"/>
      <c r="I4225" s="17"/>
      <c r="J4225" s="10"/>
      <c r="K4225" s="46"/>
      <c r="L4225" s="10"/>
      <c r="M4225" s="20"/>
      <c r="N4225" s="20"/>
      <c r="O4225" s="20"/>
      <c r="P4225" s="20"/>
    </row>
    <row r="4226">
      <c r="A4226" s="23"/>
      <c r="B4226" s="21"/>
      <c r="C4226" s="23"/>
      <c r="D4226" s="24"/>
      <c r="E4226" s="14"/>
      <c r="F4226" s="14"/>
      <c r="G4226" s="14"/>
      <c r="H4226" s="23"/>
      <c r="I4226" s="27"/>
      <c r="J4226" s="23"/>
      <c r="K4226" s="30"/>
      <c r="L4226" s="23"/>
      <c r="M4226" s="20"/>
      <c r="N4226" s="20"/>
      <c r="O4226" s="20"/>
      <c r="P4226" s="20"/>
    </row>
    <row r="4227">
      <c r="A4227" s="10"/>
      <c r="B4227" s="11"/>
      <c r="C4227" s="10"/>
      <c r="D4227" s="13"/>
      <c r="E4227" s="14"/>
      <c r="F4227" s="14"/>
      <c r="G4227" s="14"/>
      <c r="H4227" s="10"/>
      <c r="I4227" s="17"/>
      <c r="J4227" s="10"/>
      <c r="K4227" s="46"/>
      <c r="L4227" s="10"/>
      <c r="M4227" s="20"/>
      <c r="N4227" s="20"/>
      <c r="O4227" s="20"/>
      <c r="P4227" s="20"/>
    </row>
    <row r="4228">
      <c r="A4228" s="23"/>
      <c r="B4228" s="21"/>
      <c r="C4228" s="23"/>
      <c r="D4228" s="24"/>
      <c r="E4228" s="14"/>
      <c r="F4228" s="14"/>
      <c r="G4228" s="14"/>
      <c r="H4228" s="23"/>
      <c r="I4228" s="27"/>
      <c r="J4228" s="23"/>
      <c r="K4228" s="30"/>
      <c r="L4228" s="23"/>
      <c r="M4228" s="20"/>
      <c r="N4228" s="20"/>
      <c r="O4228" s="20"/>
      <c r="P4228" s="20"/>
    </row>
    <row r="4229">
      <c r="A4229" s="10"/>
      <c r="B4229" s="11"/>
      <c r="C4229" s="10"/>
      <c r="D4229" s="13"/>
      <c r="E4229" s="14"/>
      <c r="F4229" s="14"/>
      <c r="G4229" s="14"/>
      <c r="H4229" s="10"/>
      <c r="I4229" s="17"/>
      <c r="J4229" s="10"/>
      <c r="K4229" s="46"/>
      <c r="L4229" s="10"/>
      <c r="M4229" s="20"/>
      <c r="N4229" s="20"/>
      <c r="O4229" s="20"/>
      <c r="P4229" s="20"/>
    </row>
    <row r="4230">
      <c r="A4230" s="23"/>
      <c r="B4230" s="21"/>
      <c r="C4230" s="23"/>
      <c r="D4230" s="24"/>
      <c r="E4230" s="14"/>
      <c r="F4230" s="14"/>
      <c r="G4230" s="14"/>
      <c r="H4230" s="23"/>
      <c r="I4230" s="27"/>
      <c r="J4230" s="23"/>
      <c r="K4230" s="30"/>
      <c r="L4230" s="23"/>
      <c r="M4230" s="20"/>
      <c r="N4230" s="20"/>
      <c r="O4230" s="20"/>
      <c r="P4230" s="20"/>
    </row>
    <row r="4231">
      <c r="A4231" s="10"/>
      <c r="B4231" s="11"/>
      <c r="C4231" s="10"/>
      <c r="D4231" s="13"/>
      <c r="E4231" s="14"/>
      <c r="F4231" s="14"/>
      <c r="G4231" s="14"/>
      <c r="H4231" s="10"/>
      <c r="I4231" s="17"/>
      <c r="J4231" s="10"/>
      <c r="K4231" s="46"/>
      <c r="L4231" s="10"/>
      <c r="M4231" s="20"/>
      <c r="N4231" s="20"/>
      <c r="O4231" s="20"/>
      <c r="P4231" s="20"/>
    </row>
    <row r="4232">
      <c r="A4232" s="23"/>
      <c r="B4232" s="21"/>
      <c r="C4232" s="23"/>
      <c r="D4232" s="24"/>
      <c r="E4232" s="14"/>
      <c r="F4232" s="14"/>
      <c r="G4232" s="14"/>
      <c r="H4232" s="23"/>
      <c r="I4232" s="27"/>
      <c r="J4232" s="23"/>
      <c r="K4232" s="30"/>
      <c r="L4232" s="23"/>
      <c r="M4232" s="20"/>
      <c r="N4232" s="20"/>
      <c r="O4232" s="20"/>
      <c r="P4232" s="20"/>
    </row>
    <row r="4233">
      <c r="A4233" s="10"/>
      <c r="B4233" s="11"/>
      <c r="C4233" s="10"/>
      <c r="D4233" s="13"/>
      <c r="E4233" s="14"/>
      <c r="F4233" s="14"/>
      <c r="G4233" s="14"/>
      <c r="H4233" s="10"/>
      <c r="I4233" s="17"/>
      <c r="J4233" s="10"/>
      <c r="K4233" s="46"/>
      <c r="L4233" s="10"/>
      <c r="M4233" s="20"/>
      <c r="N4233" s="20"/>
      <c r="O4233" s="20"/>
      <c r="P4233" s="20"/>
    </row>
    <row r="4234">
      <c r="A4234" s="23"/>
      <c r="B4234" s="21"/>
      <c r="C4234" s="23"/>
      <c r="D4234" s="24"/>
      <c r="E4234" s="14"/>
      <c r="F4234" s="14"/>
      <c r="G4234" s="14"/>
      <c r="H4234" s="23"/>
      <c r="I4234" s="27"/>
      <c r="J4234" s="23"/>
      <c r="K4234" s="30"/>
      <c r="L4234" s="23"/>
      <c r="M4234" s="20"/>
      <c r="N4234" s="20"/>
      <c r="O4234" s="20"/>
      <c r="P4234" s="20"/>
    </row>
    <row r="4235">
      <c r="A4235" s="10"/>
      <c r="B4235" s="11"/>
      <c r="C4235" s="10"/>
      <c r="D4235" s="13"/>
      <c r="E4235" s="14"/>
      <c r="F4235" s="14"/>
      <c r="G4235" s="14"/>
      <c r="H4235" s="10"/>
      <c r="I4235" s="17"/>
      <c r="J4235" s="10"/>
      <c r="K4235" s="46"/>
      <c r="L4235" s="10"/>
      <c r="M4235" s="20"/>
      <c r="N4235" s="20"/>
      <c r="O4235" s="20"/>
      <c r="P4235" s="20"/>
    </row>
    <row r="4236">
      <c r="A4236" s="23"/>
      <c r="B4236" s="21"/>
      <c r="C4236" s="23"/>
      <c r="D4236" s="24"/>
      <c r="E4236" s="14"/>
      <c r="F4236" s="14"/>
      <c r="G4236" s="14"/>
      <c r="H4236" s="23"/>
      <c r="I4236" s="27"/>
      <c r="J4236" s="23"/>
      <c r="K4236" s="30"/>
      <c r="L4236" s="23"/>
      <c r="M4236" s="20"/>
      <c r="N4236" s="20"/>
      <c r="O4236" s="20"/>
      <c r="P4236" s="20"/>
    </row>
    <row r="4237">
      <c r="A4237" s="10"/>
      <c r="B4237" s="11"/>
      <c r="C4237" s="10"/>
      <c r="D4237" s="13"/>
      <c r="E4237" s="14"/>
      <c r="F4237" s="14"/>
      <c r="G4237" s="14"/>
      <c r="H4237" s="10"/>
      <c r="I4237" s="17"/>
      <c r="J4237" s="10"/>
      <c r="K4237" s="46"/>
      <c r="L4237" s="10"/>
      <c r="M4237" s="20"/>
      <c r="N4237" s="20"/>
      <c r="O4237" s="20"/>
      <c r="P4237" s="20"/>
    </row>
    <row r="4238">
      <c r="A4238" s="23"/>
      <c r="B4238" s="21"/>
      <c r="C4238" s="23"/>
      <c r="D4238" s="24"/>
      <c r="E4238" s="14"/>
      <c r="F4238" s="14"/>
      <c r="G4238" s="14"/>
      <c r="H4238" s="23"/>
      <c r="I4238" s="27"/>
      <c r="J4238" s="23"/>
      <c r="K4238" s="30"/>
      <c r="L4238" s="23"/>
      <c r="M4238" s="20"/>
      <c r="N4238" s="20"/>
      <c r="O4238" s="20"/>
      <c r="P4238" s="20"/>
    </row>
    <row r="4239">
      <c r="A4239" s="10"/>
      <c r="B4239" s="11"/>
      <c r="C4239" s="10"/>
      <c r="D4239" s="13"/>
      <c r="E4239" s="14"/>
      <c r="F4239" s="14"/>
      <c r="G4239" s="14"/>
      <c r="H4239" s="10"/>
      <c r="I4239" s="17"/>
      <c r="J4239" s="10"/>
      <c r="K4239" s="46"/>
      <c r="L4239" s="10"/>
      <c r="M4239" s="20"/>
      <c r="N4239" s="20"/>
      <c r="O4239" s="20"/>
      <c r="P4239" s="20"/>
    </row>
    <row r="4240">
      <c r="A4240" s="23"/>
      <c r="B4240" s="21"/>
      <c r="C4240" s="23"/>
      <c r="D4240" s="24"/>
      <c r="E4240" s="14"/>
      <c r="F4240" s="14"/>
      <c r="G4240" s="14"/>
      <c r="H4240" s="23"/>
      <c r="I4240" s="27"/>
      <c r="J4240" s="23"/>
      <c r="K4240" s="30"/>
      <c r="L4240" s="23"/>
      <c r="M4240" s="20"/>
      <c r="N4240" s="20"/>
      <c r="O4240" s="20"/>
      <c r="P4240" s="20"/>
    </row>
    <row r="4241">
      <c r="A4241" s="10"/>
      <c r="B4241" s="11"/>
      <c r="C4241" s="10"/>
      <c r="D4241" s="13"/>
      <c r="E4241" s="14"/>
      <c r="F4241" s="14"/>
      <c r="G4241" s="14"/>
      <c r="H4241" s="10"/>
      <c r="I4241" s="17"/>
      <c r="J4241" s="10"/>
      <c r="K4241" s="46"/>
      <c r="L4241" s="10"/>
      <c r="M4241" s="20"/>
      <c r="N4241" s="20"/>
      <c r="O4241" s="20"/>
      <c r="P4241" s="20"/>
    </row>
    <row r="4242">
      <c r="A4242" s="23"/>
      <c r="B4242" s="21"/>
      <c r="C4242" s="23"/>
      <c r="D4242" s="24"/>
      <c r="E4242" s="14"/>
      <c r="F4242" s="14"/>
      <c r="G4242" s="14"/>
      <c r="H4242" s="23"/>
      <c r="I4242" s="27"/>
      <c r="J4242" s="23"/>
      <c r="K4242" s="30"/>
      <c r="L4242" s="23"/>
      <c r="M4242" s="20"/>
      <c r="N4242" s="20"/>
      <c r="O4242" s="20"/>
      <c r="P4242" s="20"/>
    </row>
    <row r="4243">
      <c r="A4243" s="10"/>
      <c r="B4243" s="11"/>
      <c r="C4243" s="10"/>
      <c r="D4243" s="13"/>
      <c r="E4243" s="14"/>
      <c r="F4243" s="14"/>
      <c r="G4243" s="14"/>
      <c r="H4243" s="10"/>
      <c r="I4243" s="17"/>
      <c r="J4243" s="10"/>
      <c r="K4243" s="46"/>
      <c r="L4243" s="10"/>
      <c r="M4243" s="20"/>
      <c r="N4243" s="20"/>
      <c r="O4243" s="20"/>
      <c r="P4243" s="20"/>
    </row>
    <row r="4244">
      <c r="A4244" s="23"/>
      <c r="B4244" s="21"/>
      <c r="C4244" s="23"/>
      <c r="D4244" s="24"/>
      <c r="E4244" s="14"/>
      <c r="F4244" s="14"/>
      <c r="G4244" s="14"/>
      <c r="H4244" s="23"/>
      <c r="I4244" s="27"/>
      <c r="J4244" s="23"/>
      <c r="K4244" s="30"/>
      <c r="L4244" s="23"/>
      <c r="M4244" s="20"/>
      <c r="N4244" s="20"/>
      <c r="O4244" s="20"/>
      <c r="P4244" s="20"/>
    </row>
    <row r="4245">
      <c r="A4245" s="10"/>
      <c r="B4245" s="11"/>
      <c r="C4245" s="10"/>
      <c r="D4245" s="13"/>
      <c r="E4245" s="14"/>
      <c r="F4245" s="14"/>
      <c r="G4245" s="14"/>
      <c r="H4245" s="10"/>
      <c r="I4245" s="17"/>
      <c r="J4245" s="10"/>
      <c r="K4245" s="46"/>
      <c r="L4245" s="10"/>
      <c r="M4245" s="20"/>
      <c r="N4245" s="20"/>
      <c r="O4245" s="20"/>
      <c r="P4245" s="20"/>
    </row>
    <row r="4246">
      <c r="A4246" s="23"/>
      <c r="B4246" s="21"/>
      <c r="C4246" s="23"/>
      <c r="D4246" s="24"/>
      <c r="E4246" s="14"/>
      <c r="F4246" s="14"/>
      <c r="G4246" s="14"/>
      <c r="H4246" s="23"/>
      <c r="I4246" s="27"/>
      <c r="J4246" s="23"/>
      <c r="K4246" s="30"/>
      <c r="L4246" s="23"/>
      <c r="M4246" s="20"/>
      <c r="N4246" s="20"/>
      <c r="O4246" s="20"/>
      <c r="P4246" s="20"/>
    </row>
    <row r="4247">
      <c r="A4247" s="10"/>
      <c r="B4247" s="11"/>
      <c r="C4247" s="10"/>
      <c r="D4247" s="13"/>
      <c r="E4247" s="14"/>
      <c r="F4247" s="14"/>
      <c r="G4247" s="14"/>
      <c r="H4247" s="10"/>
      <c r="I4247" s="17"/>
      <c r="J4247" s="10"/>
      <c r="K4247" s="46"/>
      <c r="L4247" s="10"/>
      <c r="M4247" s="20"/>
      <c r="N4247" s="20"/>
      <c r="O4247" s="20"/>
      <c r="P4247" s="20"/>
    </row>
    <row r="4248">
      <c r="A4248" s="23"/>
      <c r="B4248" s="21"/>
      <c r="C4248" s="23"/>
      <c r="D4248" s="24"/>
      <c r="E4248" s="14"/>
      <c r="F4248" s="14"/>
      <c r="G4248" s="14"/>
      <c r="H4248" s="23"/>
      <c r="I4248" s="27"/>
      <c r="J4248" s="23"/>
      <c r="K4248" s="30"/>
      <c r="L4248" s="23"/>
      <c r="M4248" s="20"/>
      <c r="N4248" s="20"/>
      <c r="O4248" s="20"/>
      <c r="P4248" s="20"/>
    </row>
    <row r="4249">
      <c r="A4249" s="10"/>
      <c r="B4249" s="11"/>
      <c r="C4249" s="10"/>
      <c r="D4249" s="13"/>
      <c r="E4249" s="14"/>
      <c r="F4249" s="14"/>
      <c r="G4249" s="14"/>
      <c r="H4249" s="10"/>
      <c r="I4249" s="17"/>
      <c r="J4249" s="10"/>
      <c r="K4249" s="46"/>
      <c r="L4249" s="10"/>
      <c r="M4249" s="20"/>
      <c r="N4249" s="20"/>
      <c r="O4249" s="20"/>
      <c r="P4249" s="20"/>
    </row>
    <row r="4250">
      <c r="A4250" s="23"/>
      <c r="B4250" s="21"/>
      <c r="C4250" s="23"/>
      <c r="D4250" s="24"/>
      <c r="E4250" s="14"/>
      <c r="F4250" s="14"/>
      <c r="G4250" s="14"/>
      <c r="H4250" s="23"/>
      <c r="I4250" s="27"/>
      <c r="J4250" s="23"/>
      <c r="K4250" s="30"/>
      <c r="L4250" s="23"/>
      <c r="M4250" s="20"/>
      <c r="N4250" s="20"/>
      <c r="O4250" s="20"/>
      <c r="P4250" s="20"/>
    </row>
    <row r="4251">
      <c r="A4251" s="10"/>
      <c r="B4251" s="11"/>
      <c r="C4251" s="10"/>
      <c r="D4251" s="13"/>
      <c r="E4251" s="14"/>
      <c r="F4251" s="14"/>
      <c r="G4251" s="14"/>
      <c r="H4251" s="10"/>
      <c r="I4251" s="17"/>
      <c r="J4251" s="10"/>
      <c r="K4251" s="46"/>
      <c r="L4251" s="10"/>
      <c r="M4251" s="20"/>
      <c r="N4251" s="20"/>
      <c r="O4251" s="20"/>
      <c r="P4251" s="20"/>
    </row>
    <row r="4252">
      <c r="A4252" s="23"/>
      <c r="B4252" s="21"/>
      <c r="C4252" s="23"/>
      <c r="D4252" s="24"/>
      <c r="E4252" s="14"/>
      <c r="F4252" s="14"/>
      <c r="G4252" s="14"/>
      <c r="H4252" s="23"/>
      <c r="I4252" s="27"/>
      <c r="J4252" s="23"/>
      <c r="K4252" s="30"/>
      <c r="L4252" s="23"/>
      <c r="M4252" s="20"/>
      <c r="N4252" s="20"/>
      <c r="O4252" s="20"/>
      <c r="P4252" s="20"/>
    </row>
    <row r="4253">
      <c r="A4253" s="10"/>
      <c r="B4253" s="11"/>
      <c r="C4253" s="10"/>
      <c r="D4253" s="13"/>
      <c r="E4253" s="14"/>
      <c r="F4253" s="14"/>
      <c r="G4253" s="14"/>
      <c r="H4253" s="10"/>
      <c r="I4253" s="17"/>
      <c r="J4253" s="10"/>
      <c r="K4253" s="46"/>
      <c r="L4253" s="10"/>
      <c r="M4253" s="20"/>
      <c r="N4253" s="20"/>
      <c r="O4253" s="20"/>
      <c r="P4253" s="20"/>
    </row>
    <row r="4254">
      <c r="A4254" s="23"/>
      <c r="B4254" s="21"/>
      <c r="C4254" s="23"/>
      <c r="D4254" s="24"/>
      <c r="E4254" s="14"/>
      <c r="F4254" s="14"/>
      <c r="G4254" s="14"/>
      <c r="H4254" s="23"/>
      <c r="I4254" s="27"/>
      <c r="J4254" s="23"/>
      <c r="K4254" s="30"/>
      <c r="L4254" s="23"/>
      <c r="M4254" s="20"/>
      <c r="N4254" s="20"/>
      <c r="O4254" s="20"/>
      <c r="P4254" s="20"/>
    </row>
    <row r="4255">
      <c r="A4255" s="10"/>
      <c r="B4255" s="11"/>
      <c r="C4255" s="10"/>
      <c r="D4255" s="13"/>
      <c r="E4255" s="14"/>
      <c r="F4255" s="14"/>
      <c r="G4255" s="14"/>
      <c r="H4255" s="10"/>
      <c r="I4255" s="17"/>
      <c r="J4255" s="10"/>
      <c r="K4255" s="46"/>
      <c r="L4255" s="10"/>
      <c r="M4255" s="20"/>
      <c r="N4255" s="20"/>
      <c r="O4255" s="20"/>
      <c r="P4255" s="20"/>
    </row>
    <row r="4256">
      <c r="A4256" s="23"/>
      <c r="B4256" s="21"/>
      <c r="C4256" s="23"/>
      <c r="D4256" s="24"/>
      <c r="E4256" s="14"/>
      <c r="F4256" s="14"/>
      <c r="G4256" s="14"/>
      <c r="H4256" s="23"/>
      <c r="I4256" s="27"/>
      <c r="J4256" s="23"/>
      <c r="K4256" s="30"/>
      <c r="L4256" s="23"/>
      <c r="M4256" s="20"/>
      <c r="N4256" s="20"/>
      <c r="O4256" s="20"/>
      <c r="P4256" s="20"/>
    </row>
    <row r="4257">
      <c r="A4257" s="10"/>
      <c r="B4257" s="11"/>
      <c r="C4257" s="10"/>
      <c r="D4257" s="13"/>
      <c r="E4257" s="14"/>
      <c r="F4257" s="14"/>
      <c r="G4257" s="14"/>
      <c r="H4257" s="10"/>
      <c r="I4257" s="17"/>
      <c r="J4257" s="10"/>
      <c r="K4257" s="46"/>
      <c r="L4257" s="10"/>
      <c r="M4257" s="20"/>
      <c r="N4257" s="20"/>
      <c r="O4257" s="20"/>
      <c r="P4257" s="20"/>
    </row>
    <row r="4258">
      <c r="A4258" s="23"/>
      <c r="B4258" s="21"/>
      <c r="C4258" s="23"/>
      <c r="D4258" s="24"/>
      <c r="E4258" s="14"/>
      <c r="F4258" s="14"/>
      <c r="G4258" s="14"/>
      <c r="H4258" s="23"/>
      <c r="I4258" s="27"/>
      <c r="J4258" s="23"/>
      <c r="K4258" s="30"/>
      <c r="L4258" s="23"/>
      <c r="M4258" s="20"/>
      <c r="N4258" s="20"/>
      <c r="O4258" s="20"/>
      <c r="P4258" s="20"/>
    </row>
    <row r="4259">
      <c r="A4259" s="10"/>
      <c r="B4259" s="11"/>
      <c r="C4259" s="10"/>
      <c r="D4259" s="13"/>
      <c r="E4259" s="14"/>
      <c r="F4259" s="14"/>
      <c r="G4259" s="14"/>
      <c r="H4259" s="10"/>
      <c r="I4259" s="17"/>
      <c r="J4259" s="10"/>
      <c r="K4259" s="46"/>
      <c r="L4259" s="10"/>
      <c r="M4259" s="20"/>
      <c r="N4259" s="20"/>
      <c r="O4259" s="20"/>
      <c r="P4259" s="20"/>
    </row>
    <row r="4260">
      <c r="A4260" s="23"/>
      <c r="B4260" s="21"/>
      <c r="C4260" s="23"/>
      <c r="D4260" s="24"/>
      <c r="E4260" s="14"/>
      <c r="F4260" s="14"/>
      <c r="G4260" s="14"/>
      <c r="H4260" s="23"/>
      <c r="I4260" s="27"/>
      <c r="J4260" s="23"/>
      <c r="K4260" s="30"/>
      <c r="L4260" s="23"/>
      <c r="M4260" s="20"/>
      <c r="N4260" s="20"/>
      <c r="O4260" s="20"/>
      <c r="P4260" s="20"/>
    </row>
    <row r="4261">
      <c r="A4261" s="10"/>
      <c r="B4261" s="11"/>
      <c r="C4261" s="10"/>
      <c r="D4261" s="13"/>
      <c r="E4261" s="14"/>
      <c r="F4261" s="14"/>
      <c r="G4261" s="14"/>
      <c r="H4261" s="10"/>
      <c r="I4261" s="17"/>
      <c r="J4261" s="10"/>
      <c r="K4261" s="46"/>
      <c r="L4261" s="10"/>
      <c r="M4261" s="20"/>
      <c r="N4261" s="20"/>
      <c r="O4261" s="20"/>
      <c r="P4261" s="20"/>
    </row>
    <row r="4262">
      <c r="A4262" s="23"/>
      <c r="B4262" s="21"/>
      <c r="C4262" s="23"/>
      <c r="D4262" s="24"/>
      <c r="E4262" s="14"/>
      <c r="F4262" s="14"/>
      <c r="G4262" s="14"/>
      <c r="H4262" s="23"/>
      <c r="I4262" s="27"/>
      <c r="J4262" s="23"/>
      <c r="K4262" s="30"/>
      <c r="L4262" s="23"/>
      <c r="M4262" s="20"/>
      <c r="N4262" s="20"/>
      <c r="O4262" s="20"/>
      <c r="P4262" s="20"/>
    </row>
    <row r="4263">
      <c r="A4263" s="10"/>
      <c r="B4263" s="11"/>
      <c r="C4263" s="10"/>
      <c r="D4263" s="13"/>
      <c r="E4263" s="14"/>
      <c r="F4263" s="14"/>
      <c r="G4263" s="14"/>
      <c r="H4263" s="10"/>
      <c r="I4263" s="17"/>
      <c r="J4263" s="10"/>
      <c r="K4263" s="46"/>
      <c r="L4263" s="10"/>
      <c r="M4263" s="20"/>
      <c r="N4263" s="20"/>
      <c r="O4263" s="20"/>
      <c r="P4263" s="20"/>
    </row>
    <row r="4264">
      <c r="A4264" s="23"/>
      <c r="B4264" s="21"/>
      <c r="C4264" s="23"/>
      <c r="D4264" s="24"/>
      <c r="E4264" s="14"/>
      <c r="F4264" s="14"/>
      <c r="G4264" s="14"/>
      <c r="H4264" s="23"/>
      <c r="I4264" s="27"/>
      <c r="J4264" s="23"/>
      <c r="K4264" s="30"/>
      <c r="L4264" s="23"/>
      <c r="M4264" s="20"/>
      <c r="N4264" s="20"/>
      <c r="O4264" s="20"/>
      <c r="P4264" s="20"/>
    </row>
    <row r="4265">
      <c r="A4265" s="10"/>
      <c r="B4265" s="11"/>
      <c r="C4265" s="10"/>
      <c r="D4265" s="13"/>
      <c r="E4265" s="14"/>
      <c r="F4265" s="14"/>
      <c r="G4265" s="14"/>
      <c r="H4265" s="10"/>
      <c r="I4265" s="17"/>
      <c r="J4265" s="10"/>
      <c r="K4265" s="46"/>
      <c r="L4265" s="10"/>
      <c r="M4265" s="20"/>
      <c r="N4265" s="20"/>
      <c r="O4265" s="20"/>
      <c r="P4265" s="20"/>
    </row>
    <row r="4266">
      <c r="A4266" s="23"/>
      <c r="B4266" s="21"/>
      <c r="C4266" s="23"/>
      <c r="D4266" s="24"/>
      <c r="E4266" s="14"/>
      <c r="F4266" s="14"/>
      <c r="G4266" s="14"/>
      <c r="H4266" s="23"/>
      <c r="I4266" s="27"/>
      <c r="J4266" s="23"/>
      <c r="K4266" s="30"/>
      <c r="L4266" s="23"/>
      <c r="M4266" s="20"/>
      <c r="N4266" s="20"/>
      <c r="O4266" s="20"/>
      <c r="P4266" s="20"/>
    </row>
    <row r="4267">
      <c r="A4267" s="10"/>
      <c r="B4267" s="11"/>
      <c r="C4267" s="10"/>
      <c r="D4267" s="13"/>
      <c r="E4267" s="14"/>
      <c r="F4267" s="14"/>
      <c r="G4267" s="14"/>
      <c r="H4267" s="10"/>
      <c r="I4267" s="17"/>
      <c r="J4267" s="10"/>
      <c r="K4267" s="46"/>
      <c r="L4267" s="10"/>
      <c r="M4267" s="20"/>
      <c r="N4267" s="20"/>
      <c r="O4267" s="20"/>
      <c r="P4267" s="20"/>
    </row>
    <row r="4268">
      <c r="A4268" s="23"/>
      <c r="B4268" s="21"/>
      <c r="C4268" s="23"/>
      <c r="D4268" s="24"/>
      <c r="E4268" s="14"/>
      <c r="F4268" s="14"/>
      <c r="G4268" s="14"/>
      <c r="H4268" s="23"/>
      <c r="I4268" s="27"/>
      <c r="J4268" s="23"/>
      <c r="K4268" s="30"/>
      <c r="L4268" s="23"/>
      <c r="M4268" s="20"/>
      <c r="N4268" s="20"/>
      <c r="O4268" s="20"/>
      <c r="P4268" s="20"/>
    </row>
    <row r="4269">
      <c r="A4269" s="10"/>
      <c r="B4269" s="11"/>
      <c r="C4269" s="10"/>
      <c r="D4269" s="13"/>
      <c r="E4269" s="14"/>
      <c r="F4269" s="14"/>
      <c r="G4269" s="14"/>
      <c r="H4269" s="10"/>
      <c r="I4269" s="17"/>
      <c r="J4269" s="10"/>
      <c r="K4269" s="46"/>
      <c r="L4269" s="10"/>
      <c r="M4269" s="20"/>
      <c r="N4269" s="20"/>
      <c r="O4269" s="20"/>
      <c r="P4269" s="20"/>
    </row>
    <row r="4270">
      <c r="A4270" s="23"/>
      <c r="B4270" s="21"/>
      <c r="C4270" s="23"/>
      <c r="D4270" s="24"/>
      <c r="E4270" s="14"/>
      <c r="F4270" s="14"/>
      <c r="G4270" s="14"/>
      <c r="H4270" s="23"/>
      <c r="I4270" s="27"/>
      <c r="J4270" s="23"/>
      <c r="K4270" s="30"/>
      <c r="L4270" s="23"/>
      <c r="M4270" s="20"/>
      <c r="N4270" s="20"/>
      <c r="O4270" s="20"/>
      <c r="P4270" s="20"/>
    </row>
    <row r="4271">
      <c r="A4271" s="10"/>
      <c r="B4271" s="11"/>
      <c r="C4271" s="10"/>
      <c r="D4271" s="13"/>
      <c r="E4271" s="14"/>
      <c r="F4271" s="14"/>
      <c r="G4271" s="14"/>
      <c r="H4271" s="10"/>
      <c r="I4271" s="17"/>
      <c r="J4271" s="10"/>
      <c r="K4271" s="46"/>
      <c r="L4271" s="10"/>
      <c r="M4271" s="20"/>
      <c r="N4271" s="20"/>
      <c r="O4271" s="20"/>
      <c r="P4271" s="20"/>
    </row>
    <row r="4272">
      <c r="A4272" s="23"/>
      <c r="B4272" s="21"/>
      <c r="C4272" s="23"/>
      <c r="D4272" s="24"/>
      <c r="E4272" s="14"/>
      <c r="F4272" s="14"/>
      <c r="G4272" s="14"/>
      <c r="H4272" s="23"/>
      <c r="I4272" s="27"/>
      <c r="J4272" s="23"/>
      <c r="K4272" s="30"/>
      <c r="L4272" s="23"/>
      <c r="M4272" s="20"/>
      <c r="N4272" s="20"/>
      <c r="O4272" s="20"/>
      <c r="P4272" s="20"/>
    </row>
    <row r="4273">
      <c r="A4273" s="10"/>
      <c r="B4273" s="11"/>
      <c r="C4273" s="10"/>
      <c r="D4273" s="13"/>
      <c r="E4273" s="14"/>
      <c r="F4273" s="14"/>
      <c r="G4273" s="14"/>
      <c r="H4273" s="10"/>
      <c r="I4273" s="17"/>
      <c r="J4273" s="10"/>
      <c r="K4273" s="46"/>
      <c r="L4273" s="10"/>
      <c r="M4273" s="20"/>
      <c r="N4273" s="20"/>
      <c r="O4273" s="20"/>
      <c r="P4273" s="20"/>
    </row>
    <row r="4274">
      <c r="A4274" s="23"/>
      <c r="B4274" s="21"/>
      <c r="C4274" s="23"/>
      <c r="D4274" s="24"/>
      <c r="E4274" s="14"/>
      <c r="F4274" s="14"/>
      <c r="G4274" s="14"/>
      <c r="H4274" s="23"/>
      <c r="I4274" s="27"/>
      <c r="J4274" s="23"/>
      <c r="K4274" s="30"/>
      <c r="L4274" s="23"/>
      <c r="M4274" s="20"/>
      <c r="N4274" s="20"/>
      <c r="O4274" s="20"/>
      <c r="P4274" s="20"/>
    </row>
    <row r="4275">
      <c r="A4275" s="10"/>
      <c r="B4275" s="11"/>
      <c r="C4275" s="10"/>
      <c r="D4275" s="13"/>
      <c r="E4275" s="14"/>
      <c r="F4275" s="14"/>
      <c r="G4275" s="14"/>
      <c r="H4275" s="10"/>
      <c r="I4275" s="17"/>
      <c r="J4275" s="10"/>
      <c r="K4275" s="46"/>
      <c r="L4275" s="10"/>
      <c r="M4275" s="20"/>
      <c r="N4275" s="20"/>
      <c r="O4275" s="20"/>
      <c r="P4275" s="20"/>
    </row>
    <row r="4276">
      <c r="A4276" s="23"/>
      <c r="B4276" s="21"/>
      <c r="C4276" s="23"/>
      <c r="D4276" s="24"/>
      <c r="E4276" s="14"/>
      <c r="F4276" s="14"/>
      <c r="G4276" s="14"/>
      <c r="H4276" s="23"/>
      <c r="I4276" s="27"/>
      <c r="J4276" s="23"/>
      <c r="K4276" s="30"/>
      <c r="L4276" s="23"/>
      <c r="M4276" s="20"/>
      <c r="N4276" s="20"/>
      <c r="O4276" s="20"/>
      <c r="P4276" s="20"/>
    </row>
    <row r="4277">
      <c r="A4277" s="10"/>
      <c r="B4277" s="11"/>
      <c r="C4277" s="10"/>
      <c r="D4277" s="13"/>
      <c r="E4277" s="14"/>
      <c r="F4277" s="14"/>
      <c r="G4277" s="14"/>
      <c r="H4277" s="10"/>
      <c r="I4277" s="17"/>
      <c r="J4277" s="10"/>
      <c r="K4277" s="46"/>
      <c r="L4277" s="10"/>
      <c r="M4277" s="20"/>
      <c r="N4277" s="20"/>
      <c r="O4277" s="20"/>
      <c r="P4277" s="20"/>
    </row>
    <row r="4278">
      <c r="A4278" s="23"/>
      <c r="B4278" s="21"/>
      <c r="C4278" s="23"/>
      <c r="D4278" s="24"/>
      <c r="E4278" s="14"/>
      <c r="F4278" s="14"/>
      <c r="G4278" s="14"/>
      <c r="H4278" s="23"/>
      <c r="I4278" s="27"/>
      <c r="J4278" s="23"/>
      <c r="K4278" s="30"/>
      <c r="L4278" s="23"/>
      <c r="M4278" s="20"/>
      <c r="N4278" s="20"/>
      <c r="O4278" s="20"/>
      <c r="P4278" s="20"/>
    </row>
    <row r="4279">
      <c r="A4279" s="10"/>
      <c r="B4279" s="11"/>
      <c r="C4279" s="10"/>
      <c r="D4279" s="13"/>
      <c r="E4279" s="14"/>
      <c r="F4279" s="14"/>
      <c r="G4279" s="14"/>
      <c r="H4279" s="10"/>
      <c r="I4279" s="17"/>
      <c r="J4279" s="10"/>
      <c r="K4279" s="46"/>
      <c r="L4279" s="10"/>
      <c r="M4279" s="20"/>
      <c r="N4279" s="20"/>
      <c r="O4279" s="20"/>
      <c r="P4279" s="20"/>
    </row>
    <row r="4280">
      <c r="A4280" s="23"/>
      <c r="B4280" s="21"/>
      <c r="C4280" s="23"/>
      <c r="D4280" s="24"/>
      <c r="E4280" s="14"/>
      <c r="F4280" s="14"/>
      <c r="G4280" s="14"/>
      <c r="H4280" s="23"/>
      <c r="I4280" s="27"/>
      <c r="J4280" s="23"/>
      <c r="K4280" s="30"/>
      <c r="L4280" s="23"/>
      <c r="M4280" s="20"/>
      <c r="N4280" s="20"/>
      <c r="O4280" s="20"/>
      <c r="P4280" s="20"/>
    </row>
    <row r="4281">
      <c r="A4281" s="10"/>
      <c r="B4281" s="11"/>
      <c r="C4281" s="10"/>
      <c r="D4281" s="13"/>
      <c r="E4281" s="14"/>
      <c r="F4281" s="14"/>
      <c r="G4281" s="14"/>
      <c r="H4281" s="10"/>
      <c r="I4281" s="17"/>
      <c r="J4281" s="10"/>
      <c r="K4281" s="46"/>
      <c r="L4281" s="10"/>
      <c r="M4281" s="20"/>
      <c r="N4281" s="20"/>
      <c r="O4281" s="20"/>
      <c r="P4281" s="20"/>
    </row>
    <row r="4282">
      <c r="A4282" s="23"/>
      <c r="B4282" s="21"/>
      <c r="C4282" s="23"/>
      <c r="D4282" s="24"/>
      <c r="E4282" s="14"/>
      <c r="F4282" s="14"/>
      <c r="G4282" s="14"/>
      <c r="H4282" s="23"/>
      <c r="I4282" s="27"/>
      <c r="J4282" s="23"/>
      <c r="K4282" s="30"/>
      <c r="L4282" s="23"/>
      <c r="M4282" s="20"/>
      <c r="N4282" s="20"/>
      <c r="O4282" s="20"/>
      <c r="P4282" s="20"/>
    </row>
    <row r="4283">
      <c r="A4283" s="10"/>
      <c r="B4283" s="11"/>
      <c r="C4283" s="10"/>
      <c r="D4283" s="13"/>
      <c r="E4283" s="14"/>
      <c r="F4283" s="14"/>
      <c r="G4283" s="14"/>
      <c r="H4283" s="10"/>
      <c r="I4283" s="17"/>
      <c r="J4283" s="10"/>
      <c r="K4283" s="46"/>
      <c r="L4283" s="10"/>
      <c r="M4283" s="20"/>
      <c r="N4283" s="20"/>
      <c r="O4283" s="20"/>
      <c r="P4283" s="20"/>
    </row>
    <row r="4284">
      <c r="A4284" s="23"/>
      <c r="B4284" s="21"/>
      <c r="C4284" s="23"/>
      <c r="D4284" s="24"/>
      <c r="E4284" s="14"/>
      <c r="F4284" s="14"/>
      <c r="G4284" s="14"/>
      <c r="H4284" s="23"/>
      <c r="I4284" s="27"/>
      <c r="J4284" s="23"/>
      <c r="K4284" s="30"/>
      <c r="L4284" s="23"/>
      <c r="M4284" s="20"/>
      <c r="N4284" s="20"/>
      <c r="O4284" s="20"/>
      <c r="P4284" s="20"/>
    </row>
    <row r="4285">
      <c r="A4285" s="10"/>
      <c r="B4285" s="11"/>
      <c r="C4285" s="10"/>
      <c r="D4285" s="13"/>
      <c r="E4285" s="14"/>
      <c r="F4285" s="14"/>
      <c r="G4285" s="14"/>
      <c r="H4285" s="10"/>
      <c r="I4285" s="17"/>
      <c r="J4285" s="10"/>
      <c r="K4285" s="46"/>
      <c r="L4285" s="10"/>
      <c r="M4285" s="20"/>
      <c r="N4285" s="20"/>
      <c r="O4285" s="20"/>
      <c r="P4285" s="20"/>
    </row>
    <row r="4286">
      <c r="A4286" s="23"/>
      <c r="B4286" s="21"/>
      <c r="C4286" s="23"/>
      <c r="D4286" s="24"/>
      <c r="E4286" s="14"/>
      <c r="F4286" s="14"/>
      <c r="G4286" s="14"/>
      <c r="H4286" s="23"/>
      <c r="I4286" s="27"/>
      <c r="J4286" s="23"/>
      <c r="K4286" s="30"/>
      <c r="L4286" s="23"/>
      <c r="M4286" s="20"/>
      <c r="N4286" s="20"/>
      <c r="O4286" s="20"/>
      <c r="P4286" s="20"/>
    </row>
    <row r="4287">
      <c r="A4287" s="10"/>
      <c r="B4287" s="11"/>
      <c r="C4287" s="10"/>
      <c r="D4287" s="13"/>
      <c r="E4287" s="14"/>
      <c r="F4287" s="14"/>
      <c r="G4287" s="14"/>
      <c r="H4287" s="10"/>
      <c r="I4287" s="17"/>
      <c r="J4287" s="10"/>
      <c r="K4287" s="46"/>
      <c r="L4287" s="10"/>
      <c r="M4287" s="20"/>
      <c r="N4287" s="20"/>
      <c r="O4287" s="20"/>
      <c r="P4287" s="20"/>
    </row>
    <row r="4288">
      <c r="A4288" s="23"/>
      <c r="B4288" s="21"/>
      <c r="C4288" s="23"/>
      <c r="D4288" s="24"/>
      <c r="E4288" s="14"/>
      <c r="F4288" s="14"/>
      <c r="G4288" s="14"/>
      <c r="H4288" s="23"/>
      <c r="I4288" s="27"/>
      <c r="J4288" s="23"/>
      <c r="K4288" s="30"/>
      <c r="L4288" s="23"/>
      <c r="M4288" s="20"/>
      <c r="N4288" s="20"/>
      <c r="O4288" s="20"/>
      <c r="P4288" s="20"/>
    </row>
    <row r="4289">
      <c r="A4289" s="10"/>
      <c r="B4289" s="11"/>
      <c r="C4289" s="10"/>
      <c r="D4289" s="13"/>
      <c r="E4289" s="14"/>
      <c r="F4289" s="14"/>
      <c r="G4289" s="14"/>
      <c r="H4289" s="10"/>
      <c r="I4289" s="17"/>
      <c r="J4289" s="10"/>
      <c r="K4289" s="46"/>
      <c r="L4289" s="10"/>
      <c r="M4289" s="20"/>
      <c r="N4289" s="20"/>
      <c r="O4289" s="20"/>
      <c r="P4289" s="20"/>
    </row>
    <row r="4290">
      <c r="A4290" s="23"/>
      <c r="B4290" s="21"/>
      <c r="C4290" s="23"/>
      <c r="D4290" s="24"/>
      <c r="E4290" s="14"/>
      <c r="F4290" s="14"/>
      <c r="G4290" s="14"/>
      <c r="H4290" s="23"/>
      <c r="I4290" s="27"/>
      <c r="J4290" s="23"/>
      <c r="K4290" s="30"/>
      <c r="L4290" s="23"/>
      <c r="M4290" s="20"/>
      <c r="N4290" s="20"/>
      <c r="O4290" s="20"/>
      <c r="P4290" s="20"/>
    </row>
    <row r="4291">
      <c r="A4291" s="10"/>
      <c r="B4291" s="11"/>
      <c r="C4291" s="10"/>
      <c r="D4291" s="13"/>
      <c r="E4291" s="14"/>
      <c r="F4291" s="14"/>
      <c r="G4291" s="14"/>
      <c r="H4291" s="10"/>
      <c r="I4291" s="17"/>
      <c r="J4291" s="10"/>
      <c r="K4291" s="46"/>
      <c r="L4291" s="10"/>
      <c r="M4291" s="20"/>
      <c r="N4291" s="20"/>
      <c r="O4291" s="20"/>
      <c r="P4291" s="20"/>
    </row>
    <row r="4292">
      <c r="A4292" s="23"/>
      <c r="B4292" s="21"/>
      <c r="C4292" s="23"/>
      <c r="D4292" s="24"/>
      <c r="E4292" s="14"/>
      <c r="F4292" s="14"/>
      <c r="G4292" s="14"/>
      <c r="H4292" s="23"/>
      <c r="I4292" s="27"/>
      <c r="J4292" s="23"/>
      <c r="K4292" s="30"/>
      <c r="L4292" s="23"/>
      <c r="M4292" s="20"/>
      <c r="N4292" s="20"/>
      <c r="O4292" s="20"/>
      <c r="P4292" s="20"/>
    </row>
    <row r="4293">
      <c r="A4293" s="10"/>
      <c r="B4293" s="11"/>
      <c r="C4293" s="10"/>
      <c r="D4293" s="13"/>
      <c r="E4293" s="14"/>
      <c r="F4293" s="14"/>
      <c r="G4293" s="14"/>
      <c r="H4293" s="10"/>
      <c r="I4293" s="17"/>
      <c r="J4293" s="10"/>
      <c r="K4293" s="46"/>
      <c r="L4293" s="10"/>
      <c r="M4293" s="20"/>
      <c r="N4293" s="20"/>
      <c r="O4293" s="20"/>
      <c r="P4293" s="20"/>
    </row>
    <row r="4294">
      <c r="A4294" s="23"/>
      <c r="B4294" s="21"/>
      <c r="C4294" s="23"/>
      <c r="D4294" s="24"/>
      <c r="E4294" s="14"/>
      <c r="F4294" s="14"/>
      <c r="G4294" s="14"/>
      <c r="H4294" s="23"/>
      <c r="I4294" s="27"/>
      <c r="J4294" s="23"/>
      <c r="K4294" s="30"/>
      <c r="L4294" s="23"/>
      <c r="M4294" s="20"/>
      <c r="N4294" s="20"/>
      <c r="O4294" s="20"/>
      <c r="P4294" s="20"/>
    </row>
    <row r="4295">
      <c r="A4295" s="10"/>
      <c r="B4295" s="11"/>
      <c r="C4295" s="10"/>
      <c r="D4295" s="13"/>
      <c r="E4295" s="14"/>
      <c r="F4295" s="14"/>
      <c r="G4295" s="14"/>
      <c r="H4295" s="10"/>
      <c r="I4295" s="17"/>
      <c r="J4295" s="10"/>
      <c r="K4295" s="46"/>
      <c r="L4295" s="10"/>
      <c r="M4295" s="20"/>
      <c r="N4295" s="20"/>
      <c r="O4295" s="20"/>
      <c r="P4295" s="20"/>
    </row>
    <row r="4296">
      <c r="A4296" s="23"/>
      <c r="B4296" s="21"/>
      <c r="C4296" s="23"/>
      <c r="D4296" s="24"/>
      <c r="E4296" s="14"/>
      <c r="F4296" s="14"/>
      <c r="G4296" s="14"/>
      <c r="H4296" s="23"/>
      <c r="I4296" s="27"/>
      <c r="J4296" s="23"/>
      <c r="K4296" s="30"/>
      <c r="L4296" s="23"/>
      <c r="M4296" s="20"/>
      <c r="N4296" s="20"/>
      <c r="O4296" s="20"/>
      <c r="P4296" s="20"/>
    </row>
    <row r="4297">
      <c r="A4297" s="10"/>
      <c r="B4297" s="11"/>
      <c r="C4297" s="10"/>
      <c r="D4297" s="13"/>
      <c r="E4297" s="14"/>
      <c r="F4297" s="14"/>
      <c r="G4297" s="14"/>
      <c r="H4297" s="10"/>
      <c r="I4297" s="17"/>
      <c r="J4297" s="10"/>
      <c r="K4297" s="46"/>
      <c r="L4297" s="10"/>
      <c r="M4297" s="20"/>
      <c r="N4297" s="20"/>
      <c r="O4297" s="20"/>
      <c r="P4297" s="20"/>
    </row>
    <row r="4298">
      <c r="A4298" s="23"/>
      <c r="B4298" s="21"/>
      <c r="C4298" s="23"/>
      <c r="D4298" s="24"/>
      <c r="E4298" s="14"/>
      <c r="F4298" s="14"/>
      <c r="G4298" s="14"/>
      <c r="H4298" s="23"/>
      <c r="I4298" s="27"/>
      <c r="J4298" s="23"/>
      <c r="K4298" s="30"/>
      <c r="L4298" s="23"/>
      <c r="M4298" s="20"/>
      <c r="N4298" s="20"/>
      <c r="O4298" s="20"/>
      <c r="P4298" s="20"/>
    </row>
    <row r="4299">
      <c r="A4299" s="10"/>
      <c r="B4299" s="11"/>
      <c r="C4299" s="10"/>
      <c r="D4299" s="13"/>
      <c r="E4299" s="14"/>
      <c r="F4299" s="14"/>
      <c r="G4299" s="14"/>
      <c r="H4299" s="10"/>
      <c r="I4299" s="17"/>
      <c r="J4299" s="10"/>
      <c r="K4299" s="46"/>
      <c r="L4299" s="10"/>
      <c r="M4299" s="20"/>
      <c r="N4299" s="20"/>
      <c r="O4299" s="20"/>
      <c r="P4299" s="20"/>
    </row>
    <row r="4300">
      <c r="A4300" s="23"/>
      <c r="B4300" s="21"/>
      <c r="C4300" s="23"/>
      <c r="D4300" s="24"/>
      <c r="E4300" s="14"/>
      <c r="F4300" s="14"/>
      <c r="G4300" s="14"/>
      <c r="H4300" s="23"/>
      <c r="I4300" s="27"/>
      <c r="J4300" s="23"/>
      <c r="K4300" s="30"/>
      <c r="L4300" s="23"/>
      <c r="M4300" s="20"/>
      <c r="N4300" s="20"/>
      <c r="O4300" s="20"/>
      <c r="P4300" s="20"/>
    </row>
    <row r="4301">
      <c r="A4301" s="10"/>
      <c r="B4301" s="11"/>
      <c r="C4301" s="10"/>
      <c r="D4301" s="13"/>
      <c r="E4301" s="14"/>
      <c r="F4301" s="14"/>
      <c r="G4301" s="14"/>
      <c r="H4301" s="10"/>
      <c r="I4301" s="17"/>
      <c r="J4301" s="10"/>
      <c r="K4301" s="46"/>
      <c r="L4301" s="10"/>
      <c r="M4301" s="20"/>
      <c r="N4301" s="20"/>
      <c r="O4301" s="20"/>
      <c r="P4301" s="20"/>
    </row>
    <row r="4302">
      <c r="A4302" s="23"/>
      <c r="B4302" s="21"/>
      <c r="C4302" s="23"/>
      <c r="D4302" s="24"/>
      <c r="E4302" s="14"/>
      <c r="F4302" s="14"/>
      <c r="G4302" s="14"/>
      <c r="H4302" s="23"/>
      <c r="I4302" s="27"/>
      <c r="J4302" s="23"/>
      <c r="K4302" s="30"/>
      <c r="L4302" s="23"/>
      <c r="M4302" s="20"/>
      <c r="N4302" s="20"/>
      <c r="O4302" s="20"/>
      <c r="P4302" s="20"/>
    </row>
    <row r="4303">
      <c r="A4303" s="10"/>
      <c r="B4303" s="11"/>
      <c r="C4303" s="10"/>
      <c r="D4303" s="13"/>
      <c r="E4303" s="14"/>
      <c r="F4303" s="14"/>
      <c r="G4303" s="14"/>
      <c r="H4303" s="10"/>
      <c r="I4303" s="17"/>
      <c r="J4303" s="10"/>
      <c r="K4303" s="46"/>
      <c r="L4303" s="10"/>
      <c r="M4303" s="20"/>
      <c r="N4303" s="20"/>
      <c r="O4303" s="20"/>
      <c r="P4303" s="20"/>
    </row>
    <row r="4304">
      <c r="A4304" s="23"/>
      <c r="B4304" s="21"/>
      <c r="C4304" s="23"/>
      <c r="D4304" s="24"/>
      <c r="E4304" s="14"/>
      <c r="F4304" s="14"/>
      <c r="G4304" s="14"/>
      <c r="H4304" s="23"/>
      <c r="I4304" s="27"/>
      <c r="J4304" s="23"/>
      <c r="K4304" s="30"/>
      <c r="L4304" s="23"/>
      <c r="M4304" s="20"/>
      <c r="N4304" s="20"/>
      <c r="O4304" s="20"/>
      <c r="P4304" s="20"/>
    </row>
    <row r="4305">
      <c r="A4305" s="10"/>
      <c r="B4305" s="11"/>
      <c r="C4305" s="10"/>
      <c r="D4305" s="13"/>
      <c r="E4305" s="14"/>
      <c r="F4305" s="14"/>
      <c r="G4305" s="14"/>
      <c r="H4305" s="10"/>
      <c r="I4305" s="17"/>
      <c r="J4305" s="10"/>
      <c r="K4305" s="46"/>
      <c r="L4305" s="10"/>
      <c r="M4305" s="20"/>
      <c r="N4305" s="20"/>
      <c r="O4305" s="20"/>
      <c r="P4305" s="20"/>
    </row>
    <row r="4306">
      <c r="A4306" s="23"/>
      <c r="B4306" s="21"/>
      <c r="C4306" s="23"/>
      <c r="D4306" s="24"/>
      <c r="E4306" s="14"/>
      <c r="F4306" s="14"/>
      <c r="G4306" s="14"/>
      <c r="H4306" s="23"/>
      <c r="I4306" s="27"/>
      <c r="J4306" s="23"/>
      <c r="K4306" s="30"/>
      <c r="L4306" s="23"/>
      <c r="M4306" s="20"/>
      <c r="N4306" s="20"/>
      <c r="O4306" s="20"/>
      <c r="P4306" s="20"/>
    </row>
    <row r="4307">
      <c r="A4307" s="10"/>
      <c r="B4307" s="11"/>
      <c r="C4307" s="10"/>
      <c r="D4307" s="13"/>
      <c r="E4307" s="14"/>
      <c r="F4307" s="14"/>
      <c r="G4307" s="14"/>
      <c r="H4307" s="10"/>
      <c r="I4307" s="17"/>
      <c r="J4307" s="10"/>
      <c r="K4307" s="46"/>
      <c r="L4307" s="10"/>
      <c r="M4307" s="20"/>
      <c r="N4307" s="20"/>
      <c r="O4307" s="20"/>
      <c r="P4307" s="20"/>
    </row>
    <row r="4308">
      <c r="A4308" s="23"/>
      <c r="B4308" s="21"/>
      <c r="C4308" s="23"/>
      <c r="D4308" s="24"/>
      <c r="E4308" s="14"/>
      <c r="F4308" s="14"/>
      <c r="G4308" s="14"/>
      <c r="H4308" s="23"/>
      <c r="I4308" s="27"/>
      <c r="J4308" s="23"/>
      <c r="K4308" s="30"/>
      <c r="L4308" s="23"/>
      <c r="M4308" s="20"/>
      <c r="N4308" s="20"/>
      <c r="O4308" s="20"/>
      <c r="P4308" s="20"/>
    </row>
    <row r="4309">
      <c r="A4309" s="10"/>
      <c r="B4309" s="11"/>
      <c r="C4309" s="10"/>
      <c r="D4309" s="13"/>
      <c r="E4309" s="14"/>
      <c r="F4309" s="14"/>
      <c r="G4309" s="14"/>
      <c r="H4309" s="10"/>
      <c r="I4309" s="17"/>
      <c r="J4309" s="10"/>
      <c r="K4309" s="46"/>
      <c r="L4309" s="10"/>
      <c r="M4309" s="20"/>
      <c r="N4309" s="20"/>
      <c r="O4309" s="20"/>
      <c r="P4309" s="20"/>
    </row>
    <row r="4310">
      <c r="A4310" s="23"/>
      <c r="B4310" s="21"/>
      <c r="C4310" s="23"/>
      <c r="D4310" s="24"/>
      <c r="E4310" s="14"/>
      <c r="F4310" s="14"/>
      <c r="G4310" s="14"/>
      <c r="H4310" s="23"/>
      <c r="I4310" s="27"/>
      <c r="J4310" s="23"/>
      <c r="K4310" s="30"/>
      <c r="L4310" s="23"/>
      <c r="M4310" s="20"/>
      <c r="N4310" s="20"/>
      <c r="O4310" s="20"/>
      <c r="P4310" s="20"/>
    </row>
    <row r="4311">
      <c r="A4311" s="10"/>
      <c r="B4311" s="11"/>
      <c r="C4311" s="10"/>
      <c r="D4311" s="13"/>
      <c r="E4311" s="14"/>
      <c r="F4311" s="14"/>
      <c r="G4311" s="14"/>
      <c r="H4311" s="10"/>
      <c r="I4311" s="17"/>
      <c r="J4311" s="10"/>
      <c r="K4311" s="46"/>
      <c r="L4311" s="10"/>
      <c r="M4311" s="20"/>
      <c r="N4311" s="20"/>
      <c r="O4311" s="20"/>
      <c r="P4311" s="20"/>
    </row>
    <row r="4312">
      <c r="A4312" s="23"/>
      <c r="B4312" s="21"/>
      <c r="C4312" s="23"/>
      <c r="D4312" s="24"/>
      <c r="E4312" s="14"/>
      <c r="F4312" s="14"/>
      <c r="G4312" s="14"/>
      <c r="H4312" s="23"/>
      <c r="I4312" s="27"/>
      <c r="J4312" s="23"/>
      <c r="K4312" s="30"/>
      <c r="L4312" s="23"/>
      <c r="M4312" s="20"/>
      <c r="N4312" s="20"/>
      <c r="O4312" s="20"/>
      <c r="P4312" s="20"/>
    </row>
    <row r="4313">
      <c r="A4313" s="10"/>
      <c r="B4313" s="11"/>
      <c r="C4313" s="10"/>
      <c r="D4313" s="13"/>
      <c r="E4313" s="14"/>
      <c r="F4313" s="14"/>
      <c r="G4313" s="14"/>
      <c r="H4313" s="10"/>
      <c r="I4313" s="17"/>
      <c r="J4313" s="10"/>
      <c r="K4313" s="46"/>
      <c r="L4313" s="10"/>
      <c r="M4313" s="20"/>
      <c r="N4313" s="20"/>
      <c r="O4313" s="20"/>
      <c r="P4313" s="20"/>
    </row>
    <row r="4314">
      <c r="A4314" s="23"/>
      <c r="B4314" s="21"/>
      <c r="C4314" s="23"/>
      <c r="D4314" s="24"/>
      <c r="E4314" s="14"/>
      <c r="F4314" s="14"/>
      <c r="G4314" s="14"/>
      <c r="H4314" s="23"/>
      <c r="I4314" s="27"/>
      <c r="J4314" s="23"/>
      <c r="K4314" s="30"/>
      <c r="L4314" s="23"/>
      <c r="M4314" s="20"/>
      <c r="N4314" s="20"/>
      <c r="O4314" s="20"/>
      <c r="P4314" s="20"/>
    </row>
    <row r="4315">
      <c r="A4315" s="10"/>
      <c r="B4315" s="11"/>
      <c r="C4315" s="10"/>
      <c r="D4315" s="13"/>
      <c r="E4315" s="14"/>
      <c r="F4315" s="14"/>
      <c r="G4315" s="14"/>
      <c r="H4315" s="10"/>
      <c r="I4315" s="17"/>
      <c r="J4315" s="10"/>
      <c r="K4315" s="46"/>
      <c r="L4315" s="10"/>
      <c r="M4315" s="20"/>
      <c r="N4315" s="20"/>
      <c r="O4315" s="20"/>
      <c r="P4315" s="20"/>
    </row>
    <row r="4316">
      <c r="A4316" s="23"/>
      <c r="B4316" s="21"/>
      <c r="C4316" s="23"/>
      <c r="D4316" s="24"/>
      <c r="E4316" s="14"/>
      <c r="F4316" s="14"/>
      <c r="G4316" s="14"/>
      <c r="H4316" s="23"/>
      <c r="I4316" s="27"/>
      <c r="J4316" s="23"/>
      <c r="K4316" s="30"/>
      <c r="L4316" s="23"/>
      <c r="M4316" s="20"/>
      <c r="N4316" s="20"/>
      <c r="O4316" s="20"/>
      <c r="P4316" s="20"/>
    </row>
    <row r="4317">
      <c r="A4317" s="10"/>
      <c r="B4317" s="11"/>
      <c r="C4317" s="10"/>
      <c r="D4317" s="13"/>
      <c r="E4317" s="14"/>
      <c r="F4317" s="14"/>
      <c r="G4317" s="14"/>
      <c r="H4317" s="10"/>
      <c r="I4317" s="17"/>
      <c r="J4317" s="10"/>
      <c r="K4317" s="46"/>
      <c r="L4317" s="10"/>
      <c r="M4317" s="20"/>
      <c r="N4317" s="20"/>
      <c r="O4317" s="20"/>
      <c r="P4317" s="20"/>
    </row>
    <row r="4318">
      <c r="A4318" s="23"/>
      <c r="B4318" s="21"/>
      <c r="C4318" s="23"/>
      <c r="D4318" s="24"/>
      <c r="E4318" s="14"/>
      <c r="F4318" s="14"/>
      <c r="G4318" s="14"/>
      <c r="H4318" s="23"/>
      <c r="I4318" s="27"/>
      <c r="J4318" s="23"/>
      <c r="K4318" s="30"/>
      <c r="L4318" s="23"/>
      <c r="M4318" s="20"/>
      <c r="N4318" s="20"/>
      <c r="O4318" s="20"/>
      <c r="P4318" s="20"/>
    </row>
    <row r="4319">
      <c r="A4319" s="10"/>
      <c r="B4319" s="11"/>
      <c r="C4319" s="10"/>
      <c r="D4319" s="13"/>
      <c r="E4319" s="14"/>
      <c r="F4319" s="14"/>
      <c r="G4319" s="14"/>
      <c r="H4319" s="10"/>
      <c r="I4319" s="17"/>
      <c r="J4319" s="10"/>
      <c r="K4319" s="46"/>
      <c r="L4319" s="10"/>
      <c r="M4319" s="20"/>
      <c r="N4319" s="20"/>
      <c r="O4319" s="20"/>
      <c r="P4319" s="20"/>
    </row>
    <row r="4320">
      <c r="A4320" s="23"/>
      <c r="B4320" s="21"/>
      <c r="C4320" s="23"/>
      <c r="D4320" s="24"/>
      <c r="E4320" s="14"/>
      <c r="F4320" s="14"/>
      <c r="G4320" s="14"/>
      <c r="H4320" s="23"/>
      <c r="I4320" s="27"/>
      <c r="J4320" s="23"/>
      <c r="K4320" s="30"/>
      <c r="L4320" s="23"/>
      <c r="M4320" s="20"/>
      <c r="N4320" s="20"/>
      <c r="O4320" s="20"/>
      <c r="P4320" s="20"/>
    </row>
    <row r="4321">
      <c r="A4321" s="10"/>
      <c r="B4321" s="11"/>
      <c r="C4321" s="10"/>
      <c r="D4321" s="13"/>
      <c r="E4321" s="14"/>
      <c r="F4321" s="14"/>
      <c r="G4321" s="14"/>
      <c r="H4321" s="10"/>
      <c r="I4321" s="17"/>
      <c r="J4321" s="10"/>
      <c r="K4321" s="46"/>
      <c r="L4321" s="10"/>
      <c r="M4321" s="20"/>
      <c r="N4321" s="20"/>
      <c r="O4321" s="20"/>
      <c r="P4321" s="20"/>
    </row>
    <row r="4322">
      <c r="A4322" s="23"/>
      <c r="B4322" s="21"/>
      <c r="C4322" s="23"/>
      <c r="D4322" s="24"/>
      <c r="E4322" s="14"/>
      <c r="F4322" s="14"/>
      <c r="G4322" s="14"/>
      <c r="H4322" s="23"/>
      <c r="I4322" s="27"/>
      <c r="J4322" s="23"/>
      <c r="K4322" s="30"/>
      <c r="L4322" s="23"/>
      <c r="M4322" s="20"/>
      <c r="N4322" s="20"/>
      <c r="O4322" s="20"/>
      <c r="P4322" s="20"/>
    </row>
    <row r="4323">
      <c r="A4323" s="10"/>
      <c r="B4323" s="11"/>
      <c r="C4323" s="10"/>
      <c r="D4323" s="13"/>
      <c r="E4323" s="14"/>
      <c r="F4323" s="14"/>
      <c r="G4323" s="14"/>
      <c r="H4323" s="10"/>
      <c r="I4323" s="17"/>
      <c r="J4323" s="10"/>
      <c r="K4323" s="46"/>
      <c r="L4323" s="10"/>
      <c r="M4323" s="20"/>
      <c r="N4323" s="20"/>
      <c r="O4323" s="20"/>
      <c r="P4323" s="20"/>
    </row>
    <row r="4324">
      <c r="A4324" s="23"/>
      <c r="B4324" s="21"/>
      <c r="C4324" s="23"/>
      <c r="D4324" s="24"/>
      <c r="E4324" s="14"/>
      <c r="F4324" s="14"/>
      <c r="G4324" s="14"/>
      <c r="H4324" s="23"/>
      <c r="I4324" s="27"/>
      <c r="J4324" s="23"/>
      <c r="K4324" s="30"/>
      <c r="L4324" s="23"/>
      <c r="M4324" s="20"/>
      <c r="N4324" s="20"/>
      <c r="O4324" s="20"/>
      <c r="P4324" s="20"/>
    </row>
    <row r="4325">
      <c r="A4325" s="10"/>
      <c r="B4325" s="11"/>
      <c r="C4325" s="10"/>
      <c r="D4325" s="13"/>
      <c r="E4325" s="14"/>
      <c r="F4325" s="14"/>
      <c r="G4325" s="14"/>
      <c r="H4325" s="10"/>
      <c r="I4325" s="17"/>
      <c r="J4325" s="10"/>
      <c r="K4325" s="46"/>
      <c r="L4325" s="10"/>
      <c r="M4325" s="20"/>
      <c r="N4325" s="20"/>
      <c r="O4325" s="20"/>
      <c r="P4325" s="20"/>
    </row>
    <row r="4326">
      <c r="A4326" s="23"/>
      <c r="B4326" s="21"/>
      <c r="C4326" s="23"/>
      <c r="D4326" s="24"/>
      <c r="E4326" s="14"/>
      <c r="F4326" s="14"/>
      <c r="G4326" s="14"/>
      <c r="H4326" s="23"/>
      <c r="I4326" s="27"/>
      <c r="J4326" s="23"/>
      <c r="K4326" s="30"/>
      <c r="L4326" s="23"/>
      <c r="M4326" s="20"/>
      <c r="N4326" s="20"/>
      <c r="O4326" s="20"/>
      <c r="P4326" s="20"/>
    </row>
    <row r="4327">
      <c r="A4327" s="10"/>
      <c r="B4327" s="11"/>
      <c r="C4327" s="10"/>
      <c r="D4327" s="13"/>
      <c r="E4327" s="14"/>
      <c r="F4327" s="14"/>
      <c r="G4327" s="14"/>
      <c r="H4327" s="10"/>
      <c r="I4327" s="17"/>
      <c r="J4327" s="10"/>
      <c r="K4327" s="46"/>
      <c r="L4327" s="10"/>
      <c r="M4327" s="20"/>
      <c r="N4327" s="20"/>
      <c r="O4327" s="20"/>
      <c r="P4327" s="20"/>
    </row>
    <row r="4328">
      <c r="A4328" s="23"/>
      <c r="B4328" s="21"/>
      <c r="C4328" s="23"/>
      <c r="D4328" s="24"/>
      <c r="E4328" s="14"/>
      <c r="F4328" s="14"/>
      <c r="G4328" s="14"/>
      <c r="H4328" s="23"/>
      <c r="I4328" s="27"/>
      <c r="J4328" s="23"/>
      <c r="K4328" s="30"/>
      <c r="L4328" s="23"/>
      <c r="M4328" s="20"/>
      <c r="N4328" s="20"/>
      <c r="O4328" s="20"/>
      <c r="P4328" s="20"/>
    </row>
    <row r="4329">
      <c r="A4329" s="10"/>
      <c r="B4329" s="11"/>
      <c r="C4329" s="10"/>
      <c r="D4329" s="13"/>
      <c r="E4329" s="14"/>
      <c r="F4329" s="14"/>
      <c r="G4329" s="14"/>
      <c r="H4329" s="10"/>
      <c r="I4329" s="17"/>
      <c r="J4329" s="10"/>
      <c r="K4329" s="46"/>
      <c r="L4329" s="10"/>
      <c r="M4329" s="20"/>
      <c r="N4329" s="20"/>
      <c r="O4329" s="20"/>
      <c r="P4329" s="20"/>
    </row>
    <row r="4330">
      <c r="A4330" s="23"/>
      <c r="B4330" s="21"/>
      <c r="C4330" s="23"/>
      <c r="D4330" s="24"/>
      <c r="E4330" s="14"/>
      <c r="F4330" s="14"/>
      <c r="G4330" s="14"/>
      <c r="H4330" s="23"/>
      <c r="I4330" s="27"/>
      <c r="J4330" s="23"/>
      <c r="K4330" s="30"/>
      <c r="L4330" s="23"/>
      <c r="M4330" s="20"/>
      <c r="N4330" s="20"/>
      <c r="O4330" s="20"/>
      <c r="P4330" s="20"/>
    </row>
    <row r="4331">
      <c r="A4331" s="10"/>
      <c r="B4331" s="11"/>
      <c r="C4331" s="10"/>
      <c r="D4331" s="13"/>
      <c r="E4331" s="14"/>
      <c r="F4331" s="14"/>
      <c r="G4331" s="14"/>
      <c r="H4331" s="10"/>
      <c r="I4331" s="17"/>
      <c r="J4331" s="10"/>
      <c r="K4331" s="46"/>
      <c r="L4331" s="10"/>
      <c r="M4331" s="20"/>
      <c r="N4331" s="20"/>
      <c r="O4331" s="20"/>
      <c r="P4331" s="20"/>
    </row>
    <row r="4332">
      <c r="A4332" s="23"/>
      <c r="B4332" s="21"/>
      <c r="C4332" s="23"/>
      <c r="D4332" s="24"/>
      <c r="E4332" s="14"/>
      <c r="F4332" s="14"/>
      <c r="G4332" s="14"/>
      <c r="H4332" s="23"/>
      <c r="I4332" s="27"/>
      <c r="J4332" s="23"/>
      <c r="K4332" s="30"/>
      <c r="L4332" s="23"/>
      <c r="M4332" s="20"/>
      <c r="N4332" s="20"/>
      <c r="O4332" s="20"/>
      <c r="P4332" s="20"/>
    </row>
    <row r="4333">
      <c r="A4333" s="10"/>
      <c r="B4333" s="11"/>
      <c r="C4333" s="10"/>
      <c r="D4333" s="13"/>
      <c r="E4333" s="14"/>
      <c r="F4333" s="14"/>
      <c r="G4333" s="14"/>
      <c r="H4333" s="10"/>
      <c r="I4333" s="17"/>
      <c r="J4333" s="10"/>
      <c r="K4333" s="46"/>
      <c r="L4333" s="10"/>
      <c r="M4333" s="20"/>
      <c r="N4333" s="20"/>
      <c r="O4333" s="20"/>
      <c r="P4333" s="20"/>
    </row>
    <row r="4334">
      <c r="A4334" s="23"/>
      <c r="B4334" s="21"/>
      <c r="C4334" s="23"/>
      <c r="D4334" s="24"/>
      <c r="E4334" s="14"/>
      <c r="F4334" s="14"/>
      <c r="G4334" s="14"/>
      <c r="H4334" s="23"/>
      <c r="I4334" s="27"/>
      <c r="J4334" s="23"/>
      <c r="K4334" s="30"/>
      <c r="L4334" s="23"/>
      <c r="M4334" s="20"/>
      <c r="N4334" s="20"/>
      <c r="O4334" s="20"/>
      <c r="P4334" s="20"/>
    </row>
    <row r="4335">
      <c r="A4335" s="10"/>
      <c r="B4335" s="11"/>
      <c r="C4335" s="10"/>
      <c r="D4335" s="13"/>
      <c r="E4335" s="14"/>
      <c r="F4335" s="14"/>
      <c r="G4335" s="14"/>
      <c r="H4335" s="10"/>
      <c r="I4335" s="17"/>
      <c r="J4335" s="10"/>
      <c r="K4335" s="46"/>
      <c r="L4335" s="10"/>
      <c r="M4335" s="20"/>
      <c r="N4335" s="20"/>
      <c r="O4335" s="20"/>
      <c r="P4335" s="20"/>
    </row>
    <row r="4336">
      <c r="A4336" s="23"/>
      <c r="B4336" s="21"/>
      <c r="C4336" s="23"/>
      <c r="D4336" s="24"/>
      <c r="E4336" s="14"/>
      <c r="F4336" s="14"/>
      <c r="G4336" s="14"/>
      <c r="H4336" s="23"/>
      <c r="I4336" s="27"/>
      <c r="J4336" s="23"/>
      <c r="K4336" s="30"/>
      <c r="L4336" s="23"/>
      <c r="M4336" s="20"/>
      <c r="N4336" s="20"/>
      <c r="O4336" s="20"/>
      <c r="P4336" s="20"/>
    </row>
    <row r="4337">
      <c r="A4337" s="10"/>
      <c r="B4337" s="11"/>
      <c r="C4337" s="10"/>
      <c r="D4337" s="13"/>
      <c r="E4337" s="14"/>
      <c r="F4337" s="14"/>
      <c r="G4337" s="14"/>
      <c r="H4337" s="10"/>
      <c r="I4337" s="17"/>
      <c r="J4337" s="10"/>
      <c r="K4337" s="46"/>
      <c r="L4337" s="10"/>
      <c r="M4337" s="20"/>
      <c r="N4337" s="20"/>
      <c r="O4337" s="20"/>
      <c r="P4337" s="20"/>
    </row>
    <row r="4338">
      <c r="A4338" s="23"/>
      <c r="B4338" s="21"/>
      <c r="C4338" s="23"/>
      <c r="D4338" s="24"/>
      <c r="E4338" s="14"/>
      <c r="F4338" s="14"/>
      <c r="G4338" s="14"/>
      <c r="H4338" s="23"/>
      <c r="I4338" s="27"/>
      <c r="J4338" s="23"/>
      <c r="K4338" s="30"/>
      <c r="L4338" s="23"/>
      <c r="M4338" s="20"/>
      <c r="N4338" s="20"/>
      <c r="O4338" s="20"/>
      <c r="P4338" s="20"/>
    </row>
    <row r="4339">
      <c r="A4339" s="10"/>
      <c r="B4339" s="11"/>
      <c r="C4339" s="10"/>
      <c r="D4339" s="13"/>
      <c r="E4339" s="14"/>
      <c r="F4339" s="14"/>
      <c r="G4339" s="14"/>
      <c r="H4339" s="10"/>
      <c r="I4339" s="17"/>
      <c r="J4339" s="10"/>
      <c r="K4339" s="46"/>
      <c r="L4339" s="10"/>
      <c r="M4339" s="20"/>
      <c r="N4339" s="20"/>
      <c r="O4339" s="20"/>
      <c r="P4339" s="20"/>
    </row>
    <row r="4340">
      <c r="A4340" s="23"/>
      <c r="B4340" s="21"/>
      <c r="C4340" s="23"/>
      <c r="D4340" s="24"/>
      <c r="E4340" s="14"/>
      <c r="F4340" s="14"/>
      <c r="G4340" s="14"/>
      <c r="H4340" s="23"/>
      <c r="I4340" s="27"/>
      <c r="J4340" s="23"/>
      <c r="K4340" s="30"/>
      <c r="L4340" s="23"/>
      <c r="M4340" s="20"/>
      <c r="N4340" s="20"/>
      <c r="O4340" s="20"/>
      <c r="P4340" s="20"/>
    </row>
    <row r="4341">
      <c r="A4341" s="10"/>
      <c r="B4341" s="11"/>
      <c r="C4341" s="10"/>
      <c r="D4341" s="13"/>
      <c r="E4341" s="14"/>
      <c r="F4341" s="14"/>
      <c r="G4341" s="14"/>
      <c r="H4341" s="10"/>
      <c r="I4341" s="17"/>
      <c r="J4341" s="10"/>
      <c r="K4341" s="46"/>
      <c r="L4341" s="10"/>
      <c r="M4341" s="20"/>
      <c r="N4341" s="20"/>
      <c r="O4341" s="20"/>
      <c r="P4341" s="20"/>
    </row>
    <row r="4342">
      <c r="A4342" s="23"/>
      <c r="B4342" s="21"/>
      <c r="C4342" s="23"/>
      <c r="D4342" s="24"/>
      <c r="E4342" s="14"/>
      <c r="F4342" s="14"/>
      <c r="G4342" s="14"/>
      <c r="H4342" s="23"/>
      <c r="I4342" s="27"/>
      <c r="J4342" s="23"/>
      <c r="K4342" s="30"/>
      <c r="L4342" s="23"/>
      <c r="M4342" s="20"/>
      <c r="N4342" s="20"/>
      <c r="O4342" s="20"/>
      <c r="P4342" s="20"/>
    </row>
    <row r="4343">
      <c r="A4343" s="10"/>
      <c r="B4343" s="11"/>
      <c r="C4343" s="10"/>
      <c r="D4343" s="13"/>
      <c r="E4343" s="14"/>
      <c r="F4343" s="14"/>
      <c r="G4343" s="14"/>
      <c r="H4343" s="10"/>
      <c r="I4343" s="17"/>
      <c r="J4343" s="10"/>
      <c r="K4343" s="46"/>
      <c r="L4343" s="10"/>
      <c r="M4343" s="20"/>
      <c r="N4343" s="20"/>
      <c r="O4343" s="20"/>
      <c r="P4343" s="20"/>
    </row>
    <row r="4344">
      <c r="A4344" s="23"/>
      <c r="B4344" s="21"/>
      <c r="C4344" s="23"/>
      <c r="D4344" s="24"/>
      <c r="E4344" s="14"/>
      <c r="F4344" s="14"/>
      <c r="G4344" s="14"/>
      <c r="H4344" s="23"/>
      <c r="I4344" s="27"/>
      <c r="J4344" s="23"/>
      <c r="K4344" s="30"/>
      <c r="L4344" s="23"/>
      <c r="M4344" s="20"/>
      <c r="N4344" s="20"/>
      <c r="O4344" s="20"/>
      <c r="P4344" s="20"/>
    </row>
    <row r="4345">
      <c r="A4345" s="10"/>
      <c r="B4345" s="11"/>
      <c r="C4345" s="10"/>
      <c r="D4345" s="13"/>
      <c r="E4345" s="14"/>
      <c r="F4345" s="14"/>
      <c r="G4345" s="14"/>
      <c r="H4345" s="10"/>
      <c r="I4345" s="17"/>
      <c r="J4345" s="10"/>
      <c r="K4345" s="46"/>
      <c r="L4345" s="10"/>
      <c r="M4345" s="20"/>
      <c r="N4345" s="20"/>
      <c r="O4345" s="20"/>
      <c r="P4345" s="20"/>
    </row>
    <row r="4346">
      <c r="A4346" s="23"/>
      <c r="B4346" s="21"/>
      <c r="C4346" s="23"/>
      <c r="D4346" s="24"/>
      <c r="E4346" s="14"/>
      <c r="F4346" s="14"/>
      <c r="G4346" s="14"/>
      <c r="H4346" s="23"/>
      <c r="I4346" s="27"/>
      <c r="J4346" s="23"/>
      <c r="K4346" s="30"/>
      <c r="L4346" s="23"/>
      <c r="M4346" s="20"/>
      <c r="N4346" s="20"/>
      <c r="O4346" s="20"/>
      <c r="P4346" s="20"/>
    </row>
    <row r="4347">
      <c r="A4347" s="10"/>
      <c r="B4347" s="11"/>
      <c r="C4347" s="10"/>
      <c r="D4347" s="13"/>
      <c r="E4347" s="14"/>
      <c r="F4347" s="14"/>
      <c r="G4347" s="14"/>
      <c r="H4347" s="10"/>
      <c r="I4347" s="17"/>
      <c r="J4347" s="10"/>
      <c r="K4347" s="46"/>
      <c r="L4347" s="10"/>
      <c r="M4347" s="20"/>
      <c r="N4347" s="20"/>
      <c r="O4347" s="20"/>
      <c r="P4347" s="20"/>
    </row>
    <row r="4348">
      <c r="A4348" s="23"/>
      <c r="B4348" s="21"/>
      <c r="C4348" s="23"/>
      <c r="D4348" s="24"/>
      <c r="E4348" s="14"/>
      <c r="F4348" s="14"/>
      <c r="G4348" s="14"/>
      <c r="H4348" s="23"/>
      <c r="I4348" s="27"/>
      <c r="J4348" s="23"/>
      <c r="K4348" s="30"/>
      <c r="L4348" s="23"/>
      <c r="M4348" s="20"/>
      <c r="N4348" s="20"/>
      <c r="O4348" s="20"/>
      <c r="P4348" s="20"/>
    </row>
    <row r="4349">
      <c r="A4349" s="10"/>
      <c r="B4349" s="11"/>
      <c r="C4349" s="10"/>
      <c r="D4349" s="13"/>
      <c r="E4349" s="14"/>
      <c r="F4349" s="14"/>
      <c r="G4349" s="14"/>
      <c r="H4349" s="10"/>
      <c r="I4349" s="17"/>
      <c r="J4349" s="10"/>
      <c r="K4349" s="46"/>
      <c r="L4349" s="10"/>
      <c r="M4349" s="20"/>
      <c r="N4349" s="20"/>
      <c r="O4349" s="20"/>
      <c r="P4349" s="20"/>
    </row>
    <row r="4350">
      <c r="A4350" s="23"/>
      <c r="B4350" s="21"/>
      <c r="C4350" s="23"/>
      <c r="D4350" s="24"/>
      <c r="E4350" s="14"/>
      <c r="F4350" s="14"/>
      <c r="G4350" s="14"/>
      <c r="H4350" s="23"/>
      <c r="I4350" s="27"/>
      <c r="J4350" s="23"/>
      <c r="K4350" s="30"/>
      <c r="L4350" s="23"/>
      <c r="M4350" s="20"/>
      <c r="N4350" s="20"/>
      <c r="O4350" s="20"/>
      <c r="P4350" s="20"/>
    </row>
    <row r="4351">
      <c r="A4351" s="10"/>
      <c r="B4351" s="11"/>
      <c r="C4351" s="10"/>
      <c r="D4351" s="13"/>
      <c r="E4351" s="14"/>
      <c r="F4351" s="14"/>
      <c r="G4351" s="14"/>
      <c r="H4351" s="10"/>
      <c r="I4351" s="17"/>
      <c r="J4351" s="10"/>
      <c r="K4351" s="46"/>
      <c r="L4351" s="10"/>
      <c r="M4351" s="20"/>
      <c r="N4351" s="20"/>
      <c r="O4351" s="20"/>
      <c r="P4351" s="20"/>
    </row>
    <row r="4352">
      <c r="A4352" s="23"/>
      <c r="B4352" s="21"/>
      <c r="C4352" s="23"/>
      <c r="D4352" s="24"/>
      <c r="E4352" s="14"/>
      <c r="F4352" s="14"/>
      <c r="G4352" s="14"/>
      <c r="H4352" s="23"/>
      <c r="I4352" s="27"/>
      <c r="J4352" s="23"/>
      <c r="K4352" s="30"/>
      <c r="L4352" s="23"/>
      <c r="M4352" s="20"/>
      <c r="N4352" s="20"/>
      <c r="O4352" s="20"/>
      <c r="P4352" s="20"/>
    </row>
    <row r="4353">
      <c r="A4353" s="10"/>
      <c r="B4353" s="11"/>
      <c r="C4353" s="10"/>
      <c r="D4353" s="13"/>
      <c r="E4353" s="14"/>
      <c r="F4353" s="14"/>
      <c r="G4353" s="14"/>
      <c r="H4353" s="10"/>
      <c r="I4353" s="17"/>
      <c r="J4353" s="10"/>
      <c r="K4353" s="46"/>
      <c r="L4353" s="10"/>
      <c r="M4353" s="20"/>
      <c r="N4353" s="20"/>
      <c r="O4353" s="20"/>
      <c r="P4353" s="20"/>
    </row>
    <row r="4354">
      <c r="A4354" s="23"/>
      <c r="B4354" s="21"/>
      <c r="C4354" s="23"/>
      <c r="D4354" s="24"/>
      <c r="E4354" s="14"/>
      <c r="F4354" s="14"/>
      <c r="G4354" s="14"/>
      <c r="H4354" s="23"/>
      <c r="I4354" s="27"/>
      <c r="J4354" s="23"/>
      <c r="K4354" s="30"/>
      <c r="L4354" s="23"/>
      <c r="M4354" s="20"/>
      <c r="N4354" s="20"/>
      <c r="O4354" s="20"/>
      <c r="P4354" s="20"/>
    </row>
    <row r="4355">
      <c r="A4355" s="10"/>
      <c r="B4355" s="11"/>
      <c r="C4355" s="10"/>
      <c r="D4355" s="13"/>
      <c r="E4355" s="14"/>
      <c r="F4355" s="14"/>
      <c r="G4355" s="14"/>
      <c r="H4355" s="10"/>
      <c r="I4355" s="17"/>
      <c r="J4355" s="10"/>
      <c r="K4355" s="46"/>
      <c r="L4355" s="10"/>
      <c r="M4355" s="20"/>
      <c r="N4355" s="20"/>
      <c r="O4355" s="20"/>
      <c r="P4355" s="20"/>
    </row>
    <row r="4356">
      <c r="A4356" s="23"/>
      <c r="B4356" s="21"/>
      <c r="C4356" s="23"/>
      <c r="D4356" s="24"/>
      <c r="E4356" s="14"/>
      <c r="F4356" s="14"/>
      <c r="G4356" s="14"/>
      <c r="H4356" s="23"/>
      <c r="I4356" s="27"/>
      <c r="J4356" s="23"/>
      <c r="K4356" s="30"/>
      <c r="L4356" s="23"/>
      <c r="M4356" s="20"/>
      <c r="N4356" s="20"/>
      <c r="O4356" s="20"/>
      <c r="P4356" s="20"/>
    </row>
    <row r="4357">
      <c r="A4357" s="10"/>
      <c r="B4357" s="11"/>
      <c r="C4357" s="10"/>
      <c r="D4357" s="13"/>
      <c r="E4357" s="14"/>
      <c r="F4357" s="14"/>
      <c r="G4357" s="14"/>
      <c r="H4357" s="10"/>
      <c r="I4357" s="17"/>
      <c r="J4357" s="10"/>
      <c r="K4357" s="46"/>
      <c r="L4357" s="10"/>
      <c r="M4357" s="20"/>
      <c r="N4357" s="20"/>
      <c r="O4357" s="20"/>
      <c r="P4357" s="20"/>
    </row>
    <row r="4358">
      <c r="A4358" s="23"/>
      <c r="B4358" s="21"/>
      <c r="C4358" s="23"/>
      <c r="D4358" s="24"/>
      <c r="E4358" s="14"/>
      <c r="F4358" s="14"/>
      <c r="G4358" s="14"/>
      <c r="H4358" s="23"/>
      <c r="I4358" s="27"/>
      <c r="J4358" s="23"/>
      <c r="K4358" s="30"/>
      <c r="L4358" s="23"/>
      <c r="M4358" s="20"/>
      <c r="N4358" s="20"/>
      <c r="O4358" s="20"/>
      <c r="P4358" s="20"/>
    </row>
    <row r="4359">
      <c r="A4359" s="10"/>
      <c r="B4359" s="11"/>
      <c r="C4359" s="10"/>
      <c r="D4359" s="13"/>
      <c r="E4359" s="14"/>
      <c r="F4359" s="14"/>
      <c r="G4359" s="14"/>
      <c r="H4359" s="10"/>
      <c r="I4359" s="17"/>
      <c r="J4359" s="10"/>
      <c r="K4359" s="46"/>
      <c r="L4359" s="10"/>
      <c r="M4359" s="20"/>
      <c r="N4359" s="20"/>
      <c r="O4359" s="20"/>
      <c r="P4359" s="20"/>
    </row>
    <row r="4360">
      <c r="A4360" s="23"/>
      <c r="B4360" s="21"/>
      <c r="C4360" s="23"/>
      <c r="D4360" s="24"/>
      <c r="E4360" s="14"/>
      <c r="F4360" s="14"/>
      <c r="G4360" s="14"/>
      <c r="H4360" s="23"/>
      <c r="I4360" s="27"/>
      <c r="J4360" s="23"/>
      <c r="K4360" s="30"/>
      <c r="L4360" s="23"/>
      <c r="M4360" s="20"/>
      <c r="N4360" s="20"/>
      <c r="O4360" s="20"/>
      <c r="P4360" s="20"/>
    </row>
    <row r="4361">
      <c r="A4361" s="10"/>
      <c r="B4361" s="11"/>
      <c r="C4361" s="10"/>
      <c r="D4361" s="13"/>
      <c r="E4361" s="14"/>
      <c r="F4361" s="14"/>
      <c r="G4361" s="14"/>
      <c r="H4361" s="10"/>
      <c r="I4361" s="17"/>
      <c r="J4361" s="10"/>
      <c r="K4361" s="46"/>
      <c r="L4361" s="10"/>
      <c r="M4361" s="20"/>
      <c r="N4361" s="20"/>
      <c r="O4361" s="20"/>
      <c r="P4361" s="20"/>
    </row>
    <row r="4362">
      <c r="A4362" s="23"/>
      <c r="B4362" s="21"/>
      <c r="C4362" s="23"/>
      <c r="D4362" s="24"/>
      <c r="E4362" s="14"/>
      <c r="F4362" s="14"/>
      <c r="G4362" s="14"/>
      <c r="H4362" s="23"/>
      <c r="I4362" s="27"/>
      <c r="J4362" s="23"/>
      <c r="K4362" s="30"/>
      <c r="L4362" s="23"/>
      <c r="M4362" s="20"/>
      <c r="N4362" s="20"/>
      <c r="O4362" s="20"/>
      <c r="P4362" s="20"/>
    </row>
    <row r="4363">
      <c r="A4363" s="10"/>
      <c r="B4363" s="11"/>
      <c r="C4363" s="10"/>
      <c r="D4363" s="13"/>
      <c r="E4363" s="14"/>
      <c r="F4363" s="14"/>
      <c r="G4363" s="14"/>
      <c r="H4363" s="10"/>
      <c r="I4363" s="17"/>
      <c r="J4363" s="10"/>
      <c r="K4363" s="46"/>
      <c r="L4363" s="10"/>
      <c r="M4363" s="20"/>
      <c r="N4363" s="20"/>
      <c r="O4363" s="20"/>
      <c r="P4363" s="20"/>
    </row>
    <row r="4364">
      <c r="A4364" s="23"/>
      <c r="B4364" s="21"/>
      <c r="C4364" s="23"/>
      <c r="D4364" s="24"/>
      <c r="E4364" s="14"/>
      <c r="F4364" s="14"/>
      <c r="G4364" s="14"/>
      <c r="H4364" s="23"/>
      <c r="I4364" s="27"/>
      <c r="J4364" s="23"/>
      <c r="K4364" s="30"/>
      <c r="L4364" s="23"/>
      <c r="M4364" s="20"/>
      <c r="N4364" s="20"/>
      <c r="O4364" s="20"/>
      <c r="P4364" s="20"/>
    </row>
    <row r="4365">
      <c r="A4365" s="10"/>
      <c r="B4365" s="11"/>
      <c r="C4365" s="10"/>
      <c r="D4365" s="13"/>
      <c r="E4365" s="14"/>
      <c r="F4365" s="14"/>
      <c r="G4365" s="14"/>
      <c r="H4365" s="10"/>
      <c r="I4365" s="17"/>
      <c r="J4365" s="10"/>
      <c r="K4365" s="46"/>
      <c r="L4365" s="10"/>
      <c r="M4365" s="20"/>
      <c r="N4365" s="20"/>
      <c r="O4365" s="20"/>
      <c r="P4365" s="20"/>
    </row>
    <row r="4366">
      <c r="A4366" s="23"/>
      <c r="B4366" s="21"/>
      <c r="C4366" s="23"/>
      <c r="D4366" s="24"/>
      <c r="E4366" s="14"/>
      <c r="F4366" s="14"/>
      <c r="G4366" s="14"/>
      <c r="H4366" s="23"/>
      <c r="I4366" s="27"/>
      <c r="J4366" s="23"/>
      <c r="K4366" s="30"/>
      <c r="L4366" s="23"/>
      <c r="M4366" s="20"/>
      <c r="N4366" s="20"/>
      <c r="O4366" s="20"/>
      <c r="P4366" s="20"/>
    </row>
    <row r="4367">
      <c r="A4367" s="10"/>
      <c r="B4367" s="11"/>
      <c r="C4367" s="10"/>
      <c r="D4367" s="13"/>
      <c r="E4367" s="14"/>
      <c r="F4367" s="14"/>
      <c r="G4367" s="14"/>
      <c r="H4367" s="10"/>
      <c r="I4367" s="17"/>
      <c r="J4367" s="10"/>
      <c r="K4367" s="46"/>
      <c r="L4367" s="10"/>
      <c r="M4367" s="20"/>
      <c r="N4367" s="20"/>
      <c r="O4367" s="20"/>
      <c r="P4367" s="20"/>
    </row>
    <row r="4368">
      <c r="A4368" s="23"/>
      <c r="B4368" s="21"/>
      <c r="C4368" s="23"/>
      <c r="D4368" s="24"/>
      <c r="E4368" s="14"/>
      <c r="F4368" s="14"/>
      <c r="G4368" s="14"/>
      <c r="H4368" s="23"/>
      <c r="I4368" s="27"/>
      <c r="J4368" s="23"/>
      <c r="K4368" s="30"/>
      <c r="L4368" s="23"/>
      <c r="M4368" s="20"/>
      <c r="N4368" s="20"/>
      <c r="O4368" s="20"/>
      <c r="P4368" s="20"/>
    </row>
    <row r="4369">
      <c r="A4369" s="10"/>
      <c r="B4369" s="11"/>
      <c r="C4369" s="10"/>
      <c r="D4369" s="13"/>
      <c r="E4369" s="14"/>
      <c r="F4369" s="14"/>
      <c r="G4369" s="14"/>
      <c r="H4369" s="10"/>
      <c r="I4369" s="17"/>
      <c r="J4369" s="10"/>
      <c r="K4369" s="46"/>
      <c r="L4369" s="10"/>
      <c r="M4369" s="20"/>
      <c r="N4369" s="20"/>
      <c r="O4369" s="20"/>
      <c r="P4369" s="20"/>
    </row>
    <row r="4370">
      <c r="A4370" s="23"/>
      <c r="B4370" s="21"/>
      <c r="C4370" s="23"/>
      <c r="D4370" s="24"/>
      <c r="E4370" s="14"/>
      <c r="F4370" s="14"/>
      <c r="G4370" s="14"/>
      <c r="H4370" s="23"/>
      <c r="I4370" s="27"/>
      <c r="J4370" s="23"/>
      <c r="K4370" s="30"/>
      <c r="L4370" s="23"/>
      <c r="M4370" s="20"/>
      <c r="N4370" s="20"/>
      <c r="O4370" s="20"/>
      <c r="P4370" s="20"/>
    </row>
    <row r="4371">
      <c r="A4371" s="10"/>
      <c r="B4371" s="11"/>
      <c r="C4371" s="10"/>
      <c r="D4371" s="13"/>
      <c r="E4371" s="14"/>
      <c r="F4371" s="14"/>
      <c r="G4371" s="14"/>
      <c r="H4371" s="10"/>
      <c r="I4371" s="17"/>
      <c r="J4371" s="10"/>
      <c r="K4371" s="46"/>
      <c r="L4371" s="10"/>
      <c r="M4371" s="20"/>
      <c r="N4371" s="20"/>
      <c r="O4371" s="20"/>
      <c r="P4371" s="20"/>
    </row>
    <row r="4372">
      <c r="A4372" s="23"/>
      <c r="B4372" s="21"/>
      <c r="C4372" s="23"/>
      <c r="D4372" s="24"/>
      <c r="E4372" s="14"/>
      <c r="F4372" s="14"/>
      <c r="G4372" s="14"/>
      <c r="H4372" s="23"/>
      <c r="I4372" s="27"/>
      <c r="J4372" s="23"/>
      <c r="K4372" s="30"/>
      <c r="L4372" s="23"/>
      <c r="M4372" s="20"/>
      <c r="N4372" s="20"/>
      <c r="O4372" s="20"/>
      <c r="P4372" s="20"/>
    </row>
    <row r="4373">
      <c r="A4373" s="10"/>
      <c r="B4373" s="11"/>
      <c r="C4373" s="10"/>
      <c r="D4373" s="13"/>
      <c r="E4373" s="14"/>
      <c r="F4373" s="14"/>
      <c r="G4373" s="14"/>
      <c r="H4373" s="10"/>
      <c r="I4373" s="17"/>
      <c r="J4373" s="10"/>
      <c r="K4373" s="46"/>
      <c r="L4373" s="10"/>
      <c r="M4373" s="20"/>
      <c r="N4373" s="20"/>
      <c r="O4373" s="20"/>
      <c r="P4373" s="20"/>
    </row>
    <row r="4374">
      <c r="A4374" s="23"/>
      <c r="B4374" s="21"/>
      <c r="C4374" s="23"/>
      <c r="D4374" s="24"/>
      <c r="E4374" s="14"/>
      <c r="F4374" s="14"/>
      <c r="G4374" s="14"/>
      <c r="H4374" s="23"/>
      <c r="I4374" s="27"/>
      <c r="J4374" s="23"/>
      <c r="K4374" s="30"/>
      <c r="L4374" s="23"/>
      <c r="M4374" s="20"/>
      <c r="N4374" s="20"/>
      <c r="O4374" s="20"/>
      <c r="P4374" s="20"/>
    </row>
    <row r="4375">
      <c r="A4375" s="10"/>
      <c r="B4375" s="11"/>
      <c r="C4375" s="10"/>
      <c r="D4375" s="13"/>
      <c r="E4375" s="14"/>
      <c r="F4375" s="14"/>
      <c r="G4375" s="14"/>
      <c r="H4375" s="10"/>
      <c r="I4375" s="17"/>
      <c r="J4375" s="10"/>
      <c r="K4375" s="46"/>
      <c r="L4375" s="10"/>
      <c r="M4375" s="20"/>
      <c r="N4375" s="20"/>
      <c r="O4375" s="20"/>
      <c r="P4375" s="20"/>
    </row>
    <row r="4376">
      <c r="A4376" s="23"/>
      <c r="B4376" s="21"/>
      <c r="C4376" s="23"/>
      <c r="D4376" s="24"/>
      <c r="E4376" s="14"/>
      <c r="F4376" s="14"/>
      <c r="G4376" s="14"/>
      <c r="H4376" s="23"/>
      <c r="I4376" s="27"/>
      <c r="J4376" s="23"/>
      <c r="K4376" s="30"/>
      <c r="L4376" s="23"/>
      <c r="M4376" s="20"/>
      <c r="N4376" s="20"/>
      <c r="O4376" s="20"/>
      <c r="P4376" s="20"/>
    </row>
    <row r="4377">
      <c r="A4377" s="10"/>
      <c r="B4377" s="11"/>
      <c r="C4377" s="10"/>
      <c r="D4377" s="13"/>
      <c r="E4377" s="14"/>
      <c r="F4377" s="14"/>
      <c r="G4377" s="14"/>
      <c r="H4377" s="10"/>
      <c r="I4377" s="17"/>
      <c r="J4377" s="10"/>
      <c r="K4377" s="46"/>
      <c r="L4377" s="10"/>
      <c r="M4377" s="20"/>
      <c r="N4377" s="20"/>
      <c r="O4377" s="20"/>
      <c r="P4377" s="20"/>
    </row>
    <row r="4378">
      <c r="A4378" s="23"/>
      <c r="B4378" s="21"/>
      <c r="C4378" s="23"/>
      <c r="D4378" s="24"/>
      <c r="E4378" s="14"/>
      <c r="F4378" s="14"/>
      <c r="G4378" s="14"/>
      <c r="H4378" s="23"/>
      <c r="I4378" s="27"/>
      <c r="J4378" s="23"/>
      <c r="K4378" s="30"/>
      <c r="L4378" s="23"/>
      <c r="M4378" s="20"/>
      <c r="N4378" s="20"/>
      <c r="O4378" s="20"/>
      <c r="P4378" s="20"/>
    </row>
    <row r="4379">
      <c r="A4379" s="10"/>
      <c r="B4379" s="11"/>
      <c r="C4379" s="10"/>
      <c r="D4379" s="13"/>
      <c r="E4379" s="14"/>
      <c r="F4379" s="14"/>
      <c r="G4379" s="14"/>
      <c r="H4379" s="10"/>
      <c r="I4379" s="17"/>
      <c r="J4379" s="10"/>
      <c r="K4379" s="46"/>
      <c r="L4379" s="10"/>
      <c r="M4379" s="20"/>
      <c r="N4379" s="20"/>
      <c r="O4379" s="20"/>
      <c r="P4379" s="20"/>
    </row>
    <row r="4380">
      <c r="A4380" s="23"/>
      <c r="B4380" s="21"/>
      <c r="C4380" s="23"/>
      <c r="D4380" s="24"/>
      <c r="E4380" s="14"/>
      <c r="F4380" s="14"/>
      <c r="G4380" s="14"/>
      <c r="H4380" s="23"/>
      <c r="I4380" s="27"/>
      <c r="J4380" s="23"/>
      <c r="K4380" s="30"/>
      <c r="L4380" s="23"/>
      <c r="M4380" s="20"/>
      <c r="N4380" s="20"/>
      <c r="O4380" s="20"/>
      <c r="P4380" s="20"/>
    </row>
    <row r="4381">
      <c r="A4381" s="10"/>
      <c r="B4381" s="11"/>
      <c r="C4381" s="10"/>
      <c r="D4381" s="13"/>
      <c r="E4381" s="14"/>
      <c r="F4381" s="14"/>
      <c r="G4381" s="14"/>
      <c r="H4381" s="10"/>
      <c r="I4381" s="17"/>
      <c r="J4381" s="10"/>
      <c r="K4381" s="46"/>
      <c r="L4381" s="10"/>
      <c r="M4381" s="20"/>
      <c r="N4381" s="20"/>
      <c r="O4381" s="20"/>
      <c r="P4381" s="20"/>
    </row>
    <row r="4382">
      <c r="A4382" s="23"/>
      <c r="B4382" s="21"/>
      <c r="C4382" s="23"/>
      <c r="D4382" s="24"/>
      <c r="E4382" s="14"/>
      <c r="F4382" s="14"/>
      <c r="G4382" s="14"/>
      <c r="H4382" s="23"/>
      <c r="I4382" s="27"/>
      <c r="J4382" s="23"/>
      <c r="K4382" s="30"/>
      <c r="L4382" s="23"/>
      <c r="M4382" s="20"/>
      <c r="N4382" s="20"/>
      <c r="O4382" s="20"/>
      <c r="P4382" s="20"/>
    </row>
    <row r="4383">
      <c r="A4383" s="10"/>
      <c r="B4383" s="11"/>
      <c r="C4383" s="10"/>
      <c r="D4383" s="13"/>
      <c r="E4383" s="14"/>
      <c r="F4383" s="14"/>
      <c r="G4383" s="14"/>
      <c r="H4383" s="10"/>
      <c r="I4383" s="17"/>
      <c r="J4383" s="10"/>
      <c r="K4383" s="46"/>
      <c r="L4383" s="10"/>
      <c r="M4383" s="20"/>
      <c r="N4383" s="20"/>
      <c r="O4383" s="20"/>
      <c r="P4383" s="20"/>
    </row>
    <row r="4384">
      <c r="A4384" s="23"/>
      <c r="B4384" s="21"/>
      <c r="C4384" s="23"/>
      <c r="D4384" s="24"/>
      <c r="E4384" s="14"/>
      <c r="F4384" s="14"/>
      <c r="G4384" s="14"/>
      <c r="H4384" s="23"/>
      <c r="I4384" s="27"/>
      <c r="J4384" s="23"/>
      <c r="K4384" s="30"/>
      <c r="L4384" s="23"/>
      <c r="M4384" s="20"/>
      <c r="N4384" s="20"/>
      <c r="O4384" s="20"/>
      <c r="P4384" s="20"/>
    </row>
    <row r="4385">
      <c r="A4385" s="10"/>
      <c r="B4385" s="11"/>
      <c r="C4385" s="10"/>
      <c r="D4385" s="13"/>
      <c r="E4385" s="14"/>
      <c r="F4385" s="14"/>
      <c r="G4385" s="14"/>
      <c r="H4385" s="10"/>
      <c r="I4385" s="17"/>
      <c r="J4385" s="10"/>
      <c r="K4385" s="46"/>
      <c r="L4385" s="10"/>
      <c r="M4385" s="20"/>
      <c r="N4385" s="20"/>
      <c r="O4385" s="20"/>
      <c r="P4385" s="20"/>
    </row>
    <row r="4386">
      <c r="A4386" s="23"/>
      <c r="B4386" s="21"/>
      <c r="C4386" s="23"/>
      <c r="D4386" s="24"/>
      <c r="E4386" s="14"/>
      <c r="F4386" s="14"/>
      <c r="G4386" s="14"/>
      <c r="H4386" s="23"/>
      <c r="I4386" s="27"/>
      <c r="J4386" s="23"/>
      <c r="K4386" s="30"/>
      <c r="L4386" s="23"/>
      <c r="M4386" s="20"/>
      <c r="N4386" s="20"/>
      <c r="O4386" s="20"/>
      <c r="P4386" s="20"/>
    </row>
    <row r="4387">
      <c r="A4387" s="10"/>
      <c r="B4387" s="11"/>
      <c r="C4387" s="10"/>
      <c r="D4387" s="13"/>
      <c r="E4387" s="14"/>
      <c r="F4387" s="14"/>
      <c r="G4387" s="14"/>
      <c r="H4387" s="10"/>
      <c r="I4387" s="17"/>
      <c r="J4387" s="10"/>
      <c r="K4387" s="46"/>
      <c r="L4387" s="10"/>
      <c r="M4387" s="20"/>
      <c r="N4387" s="20"/>
      <c r="O4387" s="20"/>
      <c r="P4387" s="20"/>
    </row>
    <row r="4388">
      <c r="A4388" s="23"/>
      <c r="B4388" s="21"/>
      <c r="C4388" s="23"/>
      <c r="D4388" s="24"/>
      <c r="E4388" s="14"/>
      <c r="F4388" s="14"/>
      <c r="G4388" s="14"/>
      <c r="H4388" s="23"/>
      <c r="I4388" s="27"/>
      <c r="J4388" s="23"/>
      <c r="K4388" s="30"/>
      <c r="L4388" s="23"/>
      <c r="M4388" s="20"/>
      <c r="N4388" s="20"/>
      <c r="O4388" s="20"/>
      <c r="P4388" s="20"/>
    </row>
    <row r="4389">
      <c r="A4389" s="10"/>
      <c r="B4389" s="11"/>
      <c r="C4389" s="10"/>
      <c r="D4389" s="13"/>
      <c r="E4389" s="14"/>
      <c r="F4389" s="14"/>
      <c r="G4389" s="14"/>
      <c r="H4389" s="10"/>
      <c r="I4389" s="17"/>
      <c r="J4389" s="10"/>
      <c r="K4389" s="46"/>
      <c r="L4389" s="10"/>
      <c r="M4389" s="20"/>
      <c r="N4389" s="20"/>
      <c r="O4389" s="20"/>
      <c r="P4389" s="20"/>
    </row>
    <row r="4390">
      <c r="A4390" s="23"/>
      <c r="B4390" s="21"/>
      <c r="C4390" s="23"/>
      <c r="D4390" s="24"/>
      <c r="E4390" s="14"/>
      <c r="F4390" s="14"/>
      <c r="G4390" s="14"/>
      <c r="H4390" s="23"/>
      <c r="I4390" s="27"/>
      <c r="J4390" s="23"/>
      <c r="K4390" s="30"/>
      <c r="L4390" s="23"/>
      <c r="M4390" s="20"/>
      <c r="N4390" s="20"/>
      <c r="O4390" s="20"/>
      <c r="P4390" s="20"/>
    </row>
    <row r="4391">
      <c r="A4391" s="10"/>
      <c r="B4391" s="11"/>
      <c r="C4391" s="10"/>
      <c r="D4391" s="13"/>
      <c r="E4391" s="14"/>
      <c r="F4391" s="14"/>
      <c r="G4391" s="14"/>
      <c r="H4391" s="10"/>
      <c r="I4391" s="17"/>
      <c r="J4391" s="10"/>
      <c r="K4391" s="46"/>
      <c r="L4391" s="10"/>
      <c r="M4391" s="20"/>
      <c r="N4391" s="20"/>
      <c r="O4391" s="20"/>
      <c r="P4391" s="20"/>
    </row>
    <row r="4392">
      <c r="A4392" s="23"/>
      <c r="B4392" s="21"/>
      <c r="C4392" s="23"/>
      <c r="D4392" s="24"/>
      <c r="E4392" s="14"/>
      <c r="F4392" s="14"/>
      <c r="G4392" s="14"/>
      <c r="H4392" s="23"/>
      <c r="I4392" s="27"/>
      <c r="J4392" s="23"/>
      <c r="K4392" s="30"/>
      <c r="L4392" s="23"/>
      <c r="M4392" s="20"/>
      <c r="N4392" s="20"/>
      <c r="O4392" s="20"/>
      <c r="P4392" s="20"/>
    </row>
    <row r="4393">
      <c r="A4393" s="10"/>
      <c r="B4393" s="11"/>
      <c r="C4393" s="10"/>
      <c r="D4393" s="13"/>
      <c r="E4393" s="14"/>
      <c r="F4393" s="14"/>
      <c r="G4393" s="14"/>
      <c r="H4393" s="10"/>
      <c r="I4393" s="17"/>
      <c r="J4393" s="10"/>
      <c r="K4393" s="46"/>
      <c r="L4393" s="10"/>
      <c r="M4393" s="20"/>
      <c r="N4393" s="20"/>
      <c r="O4393" s="20"/>
      <c r="P4393" s="20"/>
    </row>
    <row r="4394">
      <c r="A4394" s="23"/>
      <c r="B4394" s="21"/>
      <c r="C4394" s="23"/>
      <c r="D4394" s="24"/>
      <c r="E4394" s="14"/>
      <c r="F4394" s="14"/>
      <c r="G4394" s="14"/>
      <c r="H4394" s="23"/>
      <c r="I4394" s="27"/>
      <c r="J4394" s="23"/>
      <c r="K4394" s="30"/>
      <c r="L4394" s="23"/>
      <c r="M4394" s="20"/>
      <c r="N4394" s="20"/>
      <c r="O4394" s="20"/>
      <c r="P4394" s="20"/>
    </row>
    <row r="4395">
      <c r="A4395" s="10"/>
      <c r="B4395" s="11"/>
      <c r="C4395" s="10"/>
      <c r="D4395" s="13"/>
      <c r="E4395" s="14"/>
      <c r="F4395" s="14"/>
      <c r="G4395" s="14"/>
      <c r="H4395" s="10"/>
      <c r="I4395" s="17"/>
      <c r="J4395" s="10"/>
      <c r="K4395" s="46"/>
      <c r="L4395" s="10"/>
      <c r="M4395" s="20"/>
      <c r="N4395" s="20"/>
      <c r="O4395" s="20"/>
      <c r="P4395" s="20"/>
    </row>
    <row r="4396">
      <c r="A4396" s="23"/>
      <c r="B4396" s="21"/>
      <c r="C4396" s="23"/>
      <c r="D4396" s="24"/>
      <c r="E4396" s="14"/>
      <c r="F4396" s="14"/>
      <c r="G4396" s="14"/>
      <c r="H4396" s="23"/>
      <c r="I4396" s="27"/>
      <c r="J4396" s="23"/>
      <c r="K4396" s="30"/>
      <c r="L4396" s="23"/>
      <c r="M4396" s="20"/>
      <c r="N4396" s="20"/>
      <c r="O4396" s="20"/>
      <c r="P4396" s="20"/>
    </row>
    <row r="4397">
      <c r="A4397" s="10"/>
      <c r="B4397" s="11"/>
      <c r="C4397" s="10"/>
      <c r="D4397" s="13"/>
      <c r="E4397" s="14"/>
      <c r="F4397" s="14"/>
      <c r="G4397" s="14"/>
      <c r="H4397" s="10"/>
      <c r="I4397" s="17"/>
      <c r="J4397" s="10"/>
      <c r="K4397" s="46"/>
      <c r="L4397" s="10"/>
      <c r="M4397" s="20"/>
      <c r="N4397" s="20"/>
      <c r="O4397" s="20"/>
      <c r="P4397" s="20"/>
    </row>
    <row r="4398">
      <c r="A4398" s="23"/>
      <c r="B4398" s="21"/>
      <c r="C4398" s="23"/>
      <c r="D4398" s="24"/>
      <c r="E4398" s="14"/>
      <c r="F4398" s="14"/>
      <c r="G4398" s="14"/>
      <c r="H4398" s="23"/>
      <c r="I4398" s="27"/>
      <c r="J4398" s="23"/>
      <c r="K4398" s="30"/>
      <c r="L4398" s="23"/>
      <c r="M4398" s="20"/>
      <c r="N4398" s="20"/>
      <c r="O4398" s="20"/>
      <c r="P4398" s="20"/>
    </row>
    <row r="4399">
      <c r="A4399" s="10"/>
      <c r="B4399" s="11"/>
      <c r="C4399" s="10"/>
      <c r="D4399" s="13"/>
      <c r="E4399" s="14"/>
      <c r="F4399" s="14"/>
      <c r="G4399" s="14"/>
      <c r="H4399" s="10"/>
      <c r="I4399" s="17"/>
      <c r="J4399" s="10"/>
      <c r="K4399" s="46"/>
      <c r="L4399" s="10"/>
      <c r="M4399" s="20"/>
      <c r="N4399" s="20"/>
      <c r="O4399" s="20"/>
      <c r="P4399" s="20"/>
    </row>
    <row r="4400">
      <c r="A4400" s="23"/>
      <c r="B4400" s="21"/>
      <c r="C4400" s="23"/>
      <c r="D4400" s="24"/>
      <c r="E4400" s="14"/>
      <c r="F4400" s="14"/>
      <c r="G4400" s="14"/>
      <c r="H4400" s="23"/>
      <c r="I4400" s="27"/>
      <c r="J4400" s="23"/>
      <c r="K4400" s="30"/>
      <c r="L4400" s="23"/>
      <c r="M4400" s="20"/>
      <c r="N4400" s="20"/>
      <c r="O4400" s="20"/>
      <c r="P4400" s="20"/>
    </row>
    <row r="4401">
      <c r="A4401" s="10"/>
      <c r="B4401" s="11"/>
      <c r="C4401" s="10"/>
      <c r="D4401" s="13"/>
      <c r="E4401" s="14"/>
      <c r="F4401" s="14"/>
      <c r="G4401" s="14"/>
      <c r="H4401" s="10"/>
      <c r="I4401" s="17"/>
      <c r="J4401" s="10"/>
      <c r="K4401" s="46"/>
      <c r="L4401" s="10"/>
      <c r="M4401" s="20"/>
      <c r="N4401" s="20"/>
      <c r="O4401" s="20"/>
      <c r="P4401" s="20"/>
    </row>
    <row r="4402">
      <c r="A4402" s="23"/>
      <c r="B4402" s="21"/>
      <c r="C4402" s="23"/>
      <c r="D4402" s="24"/>
      <c r="E4402" s="14"/>
      <c r="F4402" s="14"/>
      <c r="G4402" s="14"/>
      <c r="H4402" s="23"/>
      <c r="I4402" s="27"/>
      <c r="J4402" s="23"/>
      <c r="K4402" s="30"/>
      <c r="L4402" s="23"/>
      <c r="M4402" s="20"/>
      <c r="N4402" s="20"/>
      <c r="O4402" s="20"/>
      <c r="P4402" s="20"/>
    </row>
    <row r="4403">
      <c r="A4403" s="10"/>
      <c r="B4403" s="11"/>
      <c r="C4403" s="10"/>
      <c r="D4403" s="13"/>
      <c r="E4403" s="14"/>
      <c r="F4403" s="14"/>
      <c r="G4403" s="14"/>
      <c r="H4403" s="10"/>
      <c r="I4403" s="17"/>
      <c r="J4403" s="10"/>
      <c r="K4403" s="46"/>
      <c r="L4403" s="10"/>
      <c r="M4403" s="20"/>
      <c r="N4403" s="20"/>
      <c r="O4403" s="20"/>
      <c r="P4403" s="20"/>
    </row>
    <row r="4404">
      <c r="A4404" s="23"/>
      <c r="B4404" s="21"/>
      <c r="C4404" s="23"/>
      <c r="D4404" s="24"/>
      <c r="E4404" s="14"/>
      <c r="F4404" s="14"/>
      <c r="G4404" s="14"/>
      <c r="H4404" s="23"/>
      <c r="I4404" s="27"/>
      <c r="J4404" s="23"/>
      <c r="K4404" s="30"/>
      <c r="L4404" s="23"/>
      <c r="M4404" s="20"/>
      <c r="N4404" s="20"/>
      <c r="O4404" s="20"/>
      <c r="P4404" s="20"/>
    </row>
    <row r="4405">
      <c r="A4405" s="10"/>
      <c r="B4405" s="11"/>
      <c r="C4405" s="10"/>
      <c r="D4405" s="13"/>
      <c r="E4405" s="14"/>
      <c r="F4405" s="14"/>
      <c r="G4405" s="14"/>
      <c r="H4405" s="10"/>
      <c r="I4405" s="17"/>
      <c r="J4405" s="10"/>
      <c r="K4405" s="46"/>
      <c r="L4405" s="10"/>
      <c r="M4405" s="20"/>
      <c r="N4405" s="20"/>
      <c r="O4405" s="20"/>
      <c r="P4405" s="20"/>
    </row>
    <row r="4406">
      <c r="A4406" s="23"/>
      <c r="B4406" s="21"/>
      <c r="C4406" s="23"/>
      <c r="D4406" s="24"/>
      <c r="E4406" s="14"/>
      <c r="F4406" s="14"/>
      <c r="G4406" s="14"/>
      <c r="H4406" s="23"/>
      <c r="I4406" s="27"/>
      <c r="J4406" s="23"/>
      <c r="K4406" s="30"/>
      <c r="L4406" s="23"/>
      <c r="M4406" s="20"/>
      <c r="N4406" s="20"/>
      <c r="O4406" s="20"/>
      <c r="P4406" s="20"/>
    </row>
    <row r="4407">
      <c r="A4407" s="10"/>
      <c r="B4407" s="11"/>
      <c r="C4407" s="10"/>
      <c r="D4407" s="13"/>
      <c r="E4407" s="14"/>
      <c r="F4407" s="14"/>
      <c r="G4407" s="14"/>
      <c r="H4407" s="10"/>
      <c r="I4407" s="17"/>
      <c r="J4407" s="10"/>
      <c r="K4407" s="46"/>
      <c r="L4407" s="10"/>
      <c r="M4407" s="20"/>
      <c r="N4407" s="20"/>
      <c r="O4407" s="20"/>
      <c r="P4407" s="20"/>
    </row>
    <row r="4408">
      <c r="A4408" s="23"/>
      <c r="B4408" s="21"/>
      <c r="C4408" s="23"/>
      <c r="D4408" s="24"/>
      <c r="E4408" s="14"/>
      <c r="F4408" s="14"/>
      <c r="G4408" s="14"/>
      <c r="H4408" s="23"/>
      <c r="I4408" s="27"/>
      <c r="J4408" s="23"/>
      <c r="K4408" s="30"/>
      <c r="L4408" s="23"/>
      <c r="M4408" s="20"/>
      <c r="N4408" s="20"/>
      <c r="O4408" s="20"/>
      <c r="P4408" s="20"/>
    </row>
    <row r="4409">
      <c r="A4409" s="10"/>
      <c r="B4409" s="11"/>
      <c r="C4409" s="10"/>
      <c r="D4409" s="13"/>
      <c r="E4409" s="14"/>
      <c r="F4409" s="14"/>
      <c r="G4409" s="14"/>
      <c r="H4409" s="10"/>
      <c r="I4409" s="17"/>
      <c r="J4409" s="10"/>
      <c r="K4409" s="46"/>
      <c r="L4409" s="10"/>
      <c r="M4409" s="20"/>
      <c r="N4409" s="20"/>
      <c r="O4409" s="20"/>
      <c r="P4409" s="20"/>
    </row>
    <row r="4410">
      <c r="A4410" s="23"/>
      <c r="B4410" s="21"/>
      <c r="C4410" s="23"/>
      <c r="D4410" s="24"/>
      <c r="E4410" s="14"/>
      <c r="F4410" s="14"/>
      <c r="G4410" s="14"/>
      <c r="H4410" s="23"/>
      <c r="I4410" s="27"/>
      <c r="J4410" s="23"/>
      <c r="K4410" s="30"/>
      <c r="L4410" s="23"/>
      <c r="M4410" s="20"/>
      <c r="N4410" s="20"/>
      <c r="O4410" s="20"/>
      <c r="P4410" s="20"/>
    </row>
    <row r="4411">
      <c r="A4411" s="10"/>
      <c r="B4411" s="11"/>
      <c r="C4411" s="10"/>
      <c r="D4411" s="13"/>
      <c r="E4411" s="14"/>
      <c r="F4411" s="14"/>
      <c r="G4411" s="14"/>
      <c r="H4411" s="10"/>
      <c r="I4411" s="17"/>
      <c r="J4411" s="10"/>
      <c r="K4411" s="46"/>
      <c r="L4411" s="10"/>
      <c r="M4411" s="20"/>
      <c r="N4411" s="20"/>
      <c r="O4411" s="20"/>
      <c r="P4411" s="20"/>
    </row>
    <row r="4412">
      <c r="A4412" s="23"/>
      <c r="B4412" s="21"/>
      <c r="C4412" s="23"/>
      <c r="D4412" s="24"/>
      <c r="E4412" s="14"/>
      <c r="F4412" s="14"/>
      <c r="G4412" s="14"/>
      <c r="H4412" s="23"/>
      <c r="I4412" s="27"/>
      <c r="J4412" s="23"/>
      <c r="K4412" s="30"/>
      <c r="L4412" s="23"/>
      <c r="M4412" s="20"/>
      <c r="N4412" s="20"/>
      <c r="O4412" s="20"/>
      <c r="P4412" s="20"/>
    </row>
    <row r="4413">
      <c r="A4413" s="10"/>
      <c r="B4413" s="11"/>
      <c r="C4413" s="10"/>
      <c r="D4413" s="13"/>
      <c r="E4413" s="14"/>
      <c r="F4413" s="14"/>
      <c r="G4413" s="14"/>
      <c r="H4413" s="10"/>
      <c r="I4413" s="17"/>
      <c r="J4413" s="10"/>
      <c r="K4413" s="46"/>
      <c r="L4413" s="10"/>
      <c r="M4413" s="20"/>
      <c r="N4413" s="20"/>
      <c r="O4413" s="20"/>
      <c r="P4413" s="20"/>
    </row>
    <row r="4414">
      <c r="A4414" s="23"/>
      <c r="B4414" s="21"/>
      <c r="C4414" s="23"/>
      <c r="D4414" s="24"/>
      <c r="E4414" s="14"/>
      <c r="F4414" s="14"/>
      <c r="G4414" s="14"/>
      <c r="H4414" s="23"/>
      <c r="I4414" s="27"/>
      <c r="J4414" s="23"/>
      <c r="K4414" s="30"/>
      <c r="L4414" s="23"/>
      <c r="M4414" s="20"/>
      <c r="N4414" s="20"/>
      <c r="O4414" s="20"/>
      <c r="P4414" s="20"/>
    </row>
    <row r="4415">
      <c r="A4415" s="10"/>
      <c r="B4415" s="11"/>
      <c r="C4415" s="10"/>
      <c r="D4415" s="13"/>
      <c r="E4415" s="14"/>
      <c r="F4415" s="14"/>
      <c r="G4415" s="14"/>
      <c r="H4415" s="10"/>
      <c r="I4415" s="17"/>
      <c r="J4415" s="10"/>
      <c r="K4415" s="46"/>
      <c r="L4415" s="10"/>
      <c r="M4415" s="20"/>
      <c r="N4415" s="20"/>
      <c r="O4415" s="20"/>
      <c r="P4415" s="20"/>
    </row>
    <row r="4416">
      <c r="A4416" s="23"/>
      <c r="B4416" s="21"/>
      <c r="C4416" s="23"/>
      <c r="D4416" s="24"/>
      <c r="E4416" s="14"/>
      <c r="F4416" s="14"/>
      <c r="G4416" s="14"/>
      <c r="H4416" s="23"/>
      <c r="I4416" s="27"/>
      <c r="J4416" s="23"/>
      <c r="K4416" s="30"/>
      <c r="L4416" s="23"/>
      <c r="M4416" s="20"/>
      <c r="N4416" s="20"/>
      <c r="O4416" s="20"/>
      <c r="P4416" s="20"/>
    </row>
    <row r="4417">
      <c r="A4417" s="10"/>
      <c r="B4417" s="11"/>
      <c r="C4417" s="10"/>
      <c r="D4417" s="13"/>
      <c r="E4417" s="14"/>
      <c r="F4417" s="14"/>
      <c r="G4417" s="14"/>
      <c r="H4417" s="10"/>
      <c r="I4417" s="17"/>
      <c r="J4417" s="10"/>
      <c r="K4417" s="46"/>
      <c r="L4417" s="10"/>
      <c r="M4417" s="20"/>
      <c r="N4417" s="20"/>
      <c r="O4417" s="20"/>
      <c r="P4417" s="20"/>
    </row>
    <row r="4418">
      <c r="A4418" s="23"/>
      <c r="B4418" s="21"/>
      <c r="C4418" s="23"/>
      <c r="D4418" s="24"/>
      <c r="E4418" s="14"/>
      <c r="F4418" s="14"/>
      <c r="G4418" s="14"/>
      <c r="H4418" s="23"/>
      <c r="I4418" s="27"/>
      <c r="J4418" s="23"/>
      <c r="K4418" s="30"/>
      <c r="L4418" s="23"/>
      <c r="M4418" s="20"/>
      <c r="N4418" s="20"/>
      <c r="O4418" s="20"/>
      <c r="P4418" s="20"/>
    </row>
    <row r="4419">
      <c r="A4419" s="10"/>
      <c r="B4419" s="11"/>
      <c r="C4419" s="10"/>
      <c r="D4419" s="13"/>
      <c r="E4419" s="14"/>
      <c r="F4419" s="14"/>
      <c r="G4419" s="14"/>
      <c r="H4419" s="10"/>
      <c r="I4419" s="17"/>
      <c r="J4419" s="10"/>
      <c r="K4419" s="46"/>
      <c r="L4419" s="10"/>
      <c r="M4419" s="20"/>
      <c r="N4419" s="20"/>
      <c r="O4419" s="20"/>
      <c r="P4419" s="20"/>
    </row>
    <row r="4420">
      <c r="A4420" s="23"/>
      <c r="B4420" s="21"/>
      <c r="C4420" s="23"/>
      <c r="D4420" s="24"/>
      <c r="E4420" s="14"/>
      <c r="F4420" s="14"/>
      <c r="G4420" s="14"/>
      <c r="H4420" s="23"/>
      <c r="I4420" s="27"/>
      <c r="J4420" s="23"/>
      <c r="K4420" s="30"/>
      <c r="L4420" s="23"/>
      <c r="M4420" s="20"/>
      <c r="N4420" s="20"/>
      <c r="O4420" s="20"/>
      <c r="P4420" s="20"/>
    </row>
    <row r="4421">
      <c r="A4421" s="10"/>
      <c r="B4421" s="11"/>
      <c r="C4421" s="10"/>
      <c r="D4421" s="13"/>
      <c r="E4421" s="14"/>
      <c r="F4421" s="14"/>
      <c r="G4421" s="14"/>
      <c r="H4421" s="10"/>
      <c r="I4421" s="17"/>
      <c r="J4421" s="10"/>
      <c r="K4421" s="46"/>
      <c r="L4421" s="10"/>
      <c r="M4421" s="20"/>
      <c r="N4421" s="20"/>
      <c r="O4421" s="20"/>
      <c r="P4421" s="20"/>
    </row>
    <row r="4422">
      <c r="A4422" s="23"/>
      <c r="B4422" s="21"/>
      <c r="C4422" s="23"/>
      <c r="D4422" s="24"/>
      <c r="E4422" s="14"/>
      <c r="F4422" s="14"/>
      <c r="G4422" s="14"/>
      <c r="H4422" s="23"/>
      <c r="I4422" s="27"/>
      <c r="J4422" s="23"/>
      <c r="K4422" s="30"/>
      <c r="L4422" s="23"/>
      <c r="M4422" s="20"/>
      <c r="N4422" s="20"/>
      <c r="O4422" s="20"/>
      <c r="P4422" s="20"/>
    </row>
    <row r="4423">
      <c r="A4423" s="10"/>
      <c r="B4423" s="11"/>
      <c r="C4423" s="10"/>
      <c r="D4423" s="13"/>
      <c r="E4423" s="14"/>
      <c r="F4423" s="14"/>
      <c r="G4423" s="14"/>
      <c r="H4423" s="10"/>
      <c r="I4423" s="17"/>
      <c r="J4423" s="10"/>
      <c r="K4423" s="46"/>
      <c r="L4423" s="10"/>
      <c r="M4423" s="20"/>
      <c r="N4423" s="20"/>
      <c r="O4423" s="20"/>
      <c r="P4423" s="20"/>
    </row>
    <row r="4424">
      <c r="A4424" s="23"/>
      <c r="B4424" s="21"/>
      <c r="C4424" s="23"/>
      <c r="D4424" s="24"/>
      <c r="E4424" s="14"/>
      <c r="F4424" s="14"/>
      <c r="G4424" s="14"/>
      <c r="H4424" s="23"/>
      <c r="I4424" s="27"/>
      <c r="J4424" s="23"/>
      <c r="K4424" s="30"/>
      <c r="L4424" s="23"/>
      <c r="M4424" s="20"/>
      <c r="N4424" s="20"/>
      <c r="O4424" s="20"/>
      <c r="P4424" s="20"/>
    </row>
    <row r="4425">
      <c r="A4425" s="10"/>
      <c r="B4425" s="11"/>
      <c r="C4425" s="10"/>
      <c r="D4425" s="13"/>
      <c r="E4425" s="14"/>
      <c r="F4425" s="14"/>
      <c r="G4425" s="14"/>
      <c r="H4425" s="10"/>
      <c r="I4425" s="17"/>
      <c r="J4425" s="10"/>
      <c r="K4425" s="46"/>
      <c r="L4425" s="10"/>
      <c r="M4425" s="20"/>
      <c r="N4425" s="20"/>
      <c r="O4425" s="20"/>
      <c r="P4425" s="20"/>
    </row>
    <row r="4426">
      <c r="A4426" s="23"/>
      <c r="B4426" s="21"/>
      <c r="C4426" s="23"/>
      <c r="D4426" s="24"/>
      <c r="E4426" s="14"/>
      <c r="F4426" s="14"/>
      <c r="G4426" s="14"/>
      <c r="H4426" s="23"/>
      <c r="I4426" s="27"/>
      <c r="J4426" s="23"/>
      <c r="K4426" s="30"/>
      <c r="L4426" s="23"/>
      <c r="M4426" s="20"/>
      <c r="N4426" s="20"/>
      <c r="O4426" s="20"/>
      <c r="P4426" s="20"/>
    </row>
    <row r="4427">
      <c r="A4427" s="10"/>
      <c r="B4427" s="11"/>
      <c r="C4427" s="10"/>
      <c r="D4427" s="13"/>
      <c r="E4427" s="14"/>
      <c r="F4427" s="14"/>
      <c r="G4427" s="14"/>
      <c r="H4427" s="10"/>
      <c r="I4427" s="17"/>
      <c r="J4427" s="10"/>
      <c r="K4427" s="46"/>
      <c r="L4427" s="10"/>
      <c r="M4427" s="20"/>
      <c r="N4427" s="20"/>
      <c r="O4427" s="20"/>
      <c r="P4427" s="20"/>
    </row>
    <row r="4428">
      <c r="A4428" s="23"/>
      <c r="B4428" s="21"/>
      <c r="C4428" s="23"/>
      <c r="D4428" s="24"/>
      <c r="E4428" s="14"/>
      <c r="F4428" s="14"/>
      <c r="G4428" s="14"/>
      <c r="H4428" s="23"/>
      <c r="I4428" s="27"/>
      <c r="J4428" s="23"/>
      <c r="K4428" s="30"/>
      <c r="L4428" s="23"/>
      <c r="M4428" s="20"/>
      <c r="N4428" s="20"/>
      <c r="O4428" s="20"/>
      <c r="P4428" s="20"/>
    </row>
    <row r="4429">
      <c r="A4429" s="10"/>
      <c r="B4429" s="11"/>
      <c r="C4429" s="10"/>
      <c r="D4429" s="13"/>
      <c r="E4429" s="14"/>
      <c r="F4429" s="14"/>
      <c r="G4429" s="14"/>
      <c r="H4429" s="10"/>
      <c r="I4429" s="17"/>
      <c r="J4429" s="10"/>
      <c r="K4429" s="46"/>
      <c r="L4429" s="10"/>
      <c r="M4429" s="20"/>
      <c r="N4429" s="20"/>
      <c r="O4429" s="20"/>
      <c r="P4429" s="20"/>
    </row>
    <row r="4430">
      <c r="A4430" s="23"/>
      <c r="B4430" s="21"/>
      <c r="C4430" s="23"/>
      <c r="D4430" s="24"/>
      <c r="E4430" s="14"/>
      <c r="F4430" s="14"/>
      <c r="G4430" s="14"/>
      <c r="H4430" s="23"/>
      <c r="I4430" s="27"/>
      <c r="J4430" s="23"/>
      <c r="K4430" s="30"/>
      <c r="L4430" s="23"/>
      <c r="M4430" s="20"/>
      <c r="N4430" s="20"/>
      <c r="O4430" s="20"/>
      <c r="P4430" s="20"/>
    </row>
    <row r="4431">
      <c r="A4431" s="10"/>
      <c r="B4431" s="11"/>
      <c r="C4431" s="10"/>
      <c r="D4431" s="13"/>
      <c r="E4431" s="14"/>
      <c r="F4431" s="14"/>
      <c r="G4431" s="14"/>
      <c r="H4431" s="10"/>
      <c r="I4431" s="17"/>
      <c r="J4431" s="10"/>
      <c r="K4431" s="46"/>
      <c r="L4431" s="10"/>
      <c r="M4431" s="20"/>
      <c r="N4431" s="20"/>
      <c r="O4431" s="20"/>
      <c r="P4431" s="20"/>
    </row>
    <row r="4432">
      <c r="A4432" s="23"/>
      <c r="B4432" s="21"/>
      <c r="C4432" s="23"/>
      <c r="D4432" s="24"/>
      <c r="E4432" s="14"/>
      <c r="F4432" s="14"/>
      <c r="G4432" s="14"/>
      <c r="H4432" s="23"/>
      <c r="I4432" s="27"/>
      <c r="J4432" s="23"/>
      <c r="K4432" s="30"/>
      <c r="L4432" s="23"/>
      <c r="M4432" s="20"/>
      <c r="N4432" s="20"/>
      <c r="O4432" s="20"/>
      <c r="P4432" s="20"/>
    </row>
    <row r="4433">
      <c r="A4433" s="10"/>
      <c r="B4433" s="11"/>
      <c r="C4433" s="10"/>
      <c r="D4433" s="13"/>
      <c r="E4433" s="14"/>
      <c r="F4433" s="14"/>
      <c r="G4433" s="14"/>
      <c r="H4433" s="10"/>
      <c r="I4433" s="17"/>
      <c r="J4433" s="10"/>
      <c r="K4433" s="46"/>
      <c r="L4433" s="10"/>
      <c r="M4433" s="20"/>
      <c r="N4433" s="20"/>
      <c r="O4433" s="20"/>
      <c r="P4433" s="20"/>
    </row>
    <row r="4434">
      <c r="A4434" s="23"/>
      <c r="B4434" s="21"/>
      <c r="C4434" s="23"/>
      <c r="D4434" s="24"/>
      <c r="E4434" s="14"/>
      <c r="F4434" s="14"/>
      <c r="G4434" s="14"/>
      <c r="H4434" s="23"/>
      <c r="I4434" s="27"/>
      <c r="J4434" s="23"/>
      <c r="K4434" s="30"/>
      <c r="L4434" s="23"/>
      <c r="M4434" s="20"/>
      <c r="N4434" s="20"/>
      <c r="O4434" s="20"/>
      <c r="P4434" s="20"/>
    </row>
    <row r="4435">
      <c r="A4435" s="10"/>
      <c r="B4435" s="11"/>
      <c r="C4435" s="10"/>
      <c r="D4435" s="13"/>
      <c r="E4435" s="14"/>
      <c r="F4435" s="14"/>
      <c r="G4435" s="14"/>
      <c r="H4435" s="10"/>
      <c r="I4435" s="17"/>
      <c r="J4435" s="10"/>
      <c r="K4435" s="46"/>
      <c r="L4435" s="10"/>
      <c r="M4435" s="20"/>
      <c r="N4435" s="20"/>
      <c r="O4435" s="20"/>
      <c r="P4435" s="20"/>
    </row>
    <row r="4436">
      <c r="A4436" s="23"/>
      <c r="B4436" s="21"/>
      <c r="C4436" s="23"/>
      <c r="D4436" s="24"/>
      <c r="E4436" s="14"/>
      <c r="F4436" s="14"/>
      <c r="G4436" s="14"/>
      <c r="H4436" s="23"/>
      <c r="I4436" s="27"/>
      <c r="J4436" s="23"/>
      <c r="K4436" s="30"/>
      <c r="L4436" s="23"/>
      <c r="M4436" s="20"/>
      <c r="N4436" s="20"/>
      <c r="O4436" s="20"/>
      <c r="P4436" s="20"/>
    </row>
    <row r="4437">
      <c r="A4437" s="10"/>
      <c r="B4437" s="11"/>
      <c r="C4437" s="10"/>
      <c r="D4437" s="13"/>
      <c r="E4437" s="14"/>
      <c r="F4437" s="14"/>
      <c r="G4437" s="14"/>
      <c r="H4437" s="10"/>
      <c r="I4437" s="17"/>
      <c r="J4437" s="10"/>
      <c r="K4437" s="46"/>
      <c r="L4437" s="10"/>
      <c r="M4437" s="20"/>
      <c r="N4437" s="20"/>
      <c r="O4437" s="20"/>
      <c r="P4437" s="20"/>
    </row>
    <row r="4438">
      <c r="A4438" s="23"/>
      <c r="B4438" s="21"/>
      <c r="C4438" s="23"/>
      <c r="D4438" s="24"/>
      <c r="E4438" s="14"/>
      <c r="F4438" s="14"/>
      <c r="G4438" s="14"/>
      <c r="H4438" s="23"/>
      <c r="I4438" s="27"/>
      <c r="J4438" s="23"/>
      <c r="K4438" s="30"/>
      <c r="L4438" s="23"/>
      <c r="M4438" s="20"/>
      <c r="N4438" s="20"/>
      <c r="O4438" s="20"/>
      <c r="P4438" s="20"/>
    </row>
    <row r="4439">
      <c r="A4439" s="10"/>
      <c r="B4439" s="11"/>
      <c r="C4439" s="10"/>
      <c r="D4439" s="13"/>
      <c r="E4439" s="14"/>
      <c r="F4439" s="14"/>
      <c r="G4439" s="14"/>
      <c r="H4439" s="10"/>
      <c r="I4439" s="17"/>
      <c r="J4439" s="10"/>
      <c r="K4439" s="46"/>
      <c r="L4439" s="10"/>
      <c r="M4439" s="20"/>
      <c r="N4439" s="20"/>
      <c r="O4439" s="20"/>
      <c r="P4439" s="20"/>
    </row>
    <row r="4440">
      <c r="A4440" s="23"/>
      <c r="B4440" s="21"/>
      <c r="C4440" s="23"/>
      <c r="D4440" s="24"/>
      <c r="E4440" s="14"/>
      <c r="F4440" s="14"/>
      <c r="G4440" s="14"/>
      <c r="H4440" s="23"/>
      <c r="I4440" s="27"/>
      <c r="J4440" s="23"/>
      <c r="K4440" s="30"/>
      <c r="L4440" s="23"/>
      <c r="M4440" s="20"/>
      <c r="N4440" s="20"/>
      <c r="O4440" s="20"/>
      <c r="P4440" s="20"/>
    </row>
    <row r="4441">
      <c r="A4441" s="10"/>
      <c r="B4441" s="11"/>
      <c r="C4441" s="10"/>
      <c r="D4441" s="13"/>
      <c r="E4441" s="14"/>
      <c r="F4441" s="14"/>
      <c r="G4441" s="14"/>
      <c r="H4441" s="10"/>
      <c r="I4441" s="17"/>
      <c r="J4441" s="10"/>
      <c r="K4441" s="46"/>
      <c r="L4441" s="10"/>
      <c r="M4441" s="20"/>
      <c r="N4441" s="20"/>
      <c r="O4441" s="20"/>
      <c r="P4441" s="20"/>
    </row>
    <row r="4442">
      <c r="A4442" s="23"/>
      <c r="B4442" s="21"/>
      <c r="C4442" s="23"/>
      <c r="D4442" s="24"/>
      <c r="E4442" s="14"/>
      <c r="F4442" s="14"/>
      <c r="G4442" s="14"/>
      <c r="H4442" s="23"/>
      <c r="I4442" s="27"/>
      <c r="J4442" s="23"/>
      <c r="K4442" s="30"/>
      <c r="L4442" s="23"/>
      <c r="M4442" s="20"/>
      <c r="N4442" s="20"/>
      <c r="O4442" s="20"/>
      <c r="P4442" s="20"/>
    </row>
    <row r="4443">
      <c r="A4443" s="10"/>
      <c r="B4443" s="11"/>
      <c r="C4443" s="10"/>
      <c r="D4443" s="13"/>
      <c r="E4443" s="14"/>
      <c r="F4443" s="14"/>
      <c r="G4443" s="14"/>
      <c r="H4443" s="10"/>
      <c r="I4443" s="17"/>
      <c r="J4443" s="10"/>
      <c r="K4443" s="46"/>
      <c r="L4443" s="10"/>
      <c r="M4443" s="20"/>
      <c r="N4443" s="20"/>
      <c r="O4443" s="20"/>
      <c r="P4443" s="20"/>
    </row>
    <row r="4444">
      <c r="A4444" s="23"/>
      <c r="B4444" s="21"/>
      <c r="C4444" s="23"/>
      <c r="D4444" s="24"/>
      <c r="E4444" s="14"/>
      <c r="F4444" s="14"/>
      <c r="G4444" s="14"/>
      <c r="H4444" s="23"/>
      <c r="I4444" s="27"/>
      <c r="J4444" s="23"/>
      <c r="K4444" s="30"/>
      <c r="L4444" s="23"/>
      <c r="M4444" s="20"/>
      <c r="N4444" s="20"/>
      <c r="O4444" s="20"/>
      <c r="P4444" s="20"/>
    </row>
    <row r="4445">
      <c r="A4445" s="10"/>
      <c r="B4445" s="11"/>
      <c r="C4445" s="10"/>
      <c r="D4445" s="13"/>
      <c r="E4445" s="14"/>
      <c r="F4445" s="14"/>
      <c r="G4445" s="14"/>
      <c r="H4445" s="10"/>
      <c r="I4445" s="17"/>
      <c r="J4445" s="10"/>
      <c r="K4445" s="46"/>
      <c r="L4445" s="10"/>
      <c r="M4445" s="20"/>
      <c r="N4445" s="20"/>
      <c r="O4445" s="20"/>
      <c r="P4445" s="20"/>
    </row>
    <row r="4446">
      <c r="A4446" s="23"/>
      <c r="B4446" s="21"/>
      <c r="C4446" s="23"/>
      <c r="D4446" s="24"/>
      <c r="E4446" s="14"/>
      <c r="F4446" s="14"/>
      <c r="G4446" s="14"/>
      <c r="H4446" s="23"/>
      <c r="I4446" s="27"/>
      <c r="J4446" s="23"/>
      <c r="K4446" s="30"/>
      <c r="L4446" s="23"/>
      <c r="M4446" s="20"/>
      <c r="N4446" s="20"/>
      <c r="O4446" s="20"/>
      <c r="P4446" s="20"/>
    </row>
    <row r="4447">
      <c r="A4447" s="10"/>
      <c r="B4447" s="11"/>
      <c r="C4447" s="10"/>
      <c r="D4447" s="13"/>
      <c r="E4447" s="14"/>
      <c r="F4447" s="14"/>
      <c r="G4447" s="14"/>
      <c r="H4447" s="10"/>
      <c r="I4447" s="17"/>
      <c r="J4447" s="10"/>
      <c r="K4447" s="46"/>
      <c r="L4447" s="10"/>
      <c r="M4447" s="20"/>
      <c r="N4447" s="20"/>
      <c r="O4447" s="20"/>
      <c r="P4447" s="20"/>
    </row>
    <row r="4448">
      <c r="A4448" s="23"/>
      <c r="B4448" s="21"/>
      <c r="C4448" s="23"/>
      <c r="D4448" s="24"/>
      <c r="E4448" s="14"/>
      <c r="F4448" s="14"/>
      <c r="G4448" s="14"/>
      <c r="H4448" s="23"/>
      <c r="I4448" s="27"/>
      <c r="J4448" s="23"/>
      <c r="K4448" s="30"/>
      <c r="L4448" s="23"/>
      <c r="M4448" s="20"/>
      <c r="N4448" s="20"/>
      <c r="O4448" s="20"/>
      <c r="P4448" s="20"/>
    </row>
    <row r="4449">
      <c r="A4449" s="10"/>
      <c r="B4449" s="11"/>
      <c r="C4449" s="10"/>
      <c r="D4449" s="13"/>
      <c r="E4449" s="14"/>
      <c r="F4449" s="14"/>
      <c r="G4449" s="14"/>
      <c r="H4449" s="10"/>
      <c r="I4449" s="17"/>
      <c r="J4449" s="10"/>
      <c r="K4449" s="46"/>
      <c r="L4449" s="10"/>
      <c r="M4449" s="20"/>
      <c r="N4449" s="20"/>
      <c r="O4449" s="20"/>
      <c r="P4449" s="20"/>
    </row>
    <row r="4450">
      <c r="A4450" s="23"/>
      <c r="B4450" s="21"/>
      <c r="C4450" s="23"/>
      <c r="D4450" s="24"/>
      <c r="E4450" s="14"/>
      <c r="F4450" s="14"/>
      <c r="G4450" s="14"/>
      <c r="H4450" s="23"/>
      <c r="I4450" s="27"/>
      <c r="J4450" s="23"/>
      <c r="K4450" s="30"/>
      <c r="L4450" s="23"/>
      <c r="M4450" s="20"/>
      <c r="N4450" s="20"/>
      <c r="O4450" s="20"/>
      <c r="P4450" s="20"/>
    </row>
    <row r="4451">
      <c r="A4451" s="10"/>
      <c r="B4451" s="11"/>
      <c r="C4451" s="10"/>
      <c r="D4451" s="13"/>
      <c r="E4451" s="14"/>
      <c r="F4451" s="14"/>
      <c r="G4451" s="14"/>
      <c r="H4451" s="10"/>
      <c r="I4451" s="17"/>
      <c r="J4451" s="10"/>
      <c r="K4451" s="46"/>
      <c r="L4451" s="10"/>
      <c r="M4451" s="20"/>
      <c r="N4451" s="20"/>
      <c r="O4451" s="20"/>
      <c r="P4451" s="20"/>
    </row>
    <row r="4452">
      <c r="A4452" s="23"/>
      <c r="B4452" s="21"/>
      <c r="C4452" s="23"/>
      <c r="D4452" s="24"/>
      <c r="E4452" s="14"/>
      <c r="F4452" s="14"/>
      <c r="G4452" s="14"/>
      <c r="H4452" s="23"/>
      <c r="I4452" s="27"/>
      <c r="J4452" s="23"/>
      <c r="K4452" s="30"/>
      <c r="L4452" s="23"/>
      <c r="M4452" s="20"/>
      <c r="N4452" s="20"/>
      <c r="O4452" s="20"/>
      <c r="P4452" s="20"/>
    </row>
    <row r="4453">
      <c r="A4453" s="10"/>
      <c r="B4453" s="11"/>
      <c r="C4453" s="10"/>
      <c r="D4453" s="13"/>
      <c r="E4453" s="14"/>
      <c r="F4453" s="14"/>
      <c r="G4453" s="14"/>
      <c r="H4453" s="10"/>
      <c r="I4453" s="17"/>
      <c r="J4453" s="10"/>
      <c r="K4453" s="46"/>
      <c r="L4453" s="10"/>
      <c r="M4453" s="20"/>
      <c r="N4453" s="20"/>
      <c r="O4453" s="20"/>
      <c r="P4453" s="20"/>
    </row>
    <row r="4454">
      <c r="A4454" s="23"/>
      <c r="B4454" s="21"/>
      <c r="C4454" s="23"/>
      <c r="D4454" s="24"/>
      <c r="E4454" s="14"/>
      <c r="F4454" s="14"/>
      <c r="G4454" s="14"/>
      <c r="H4454" s="23"/>
      <c r="I4454" s="27"/>
      <c r="J4454" s="23"/>
      <c r="K4454" s="30"/>
      <c r="L4454" s="23"/>
      <c r="M4454" s="20"/>
      <c r="N4454" s="20"/>
      <c r="O4454" s="20"/>
      <c r="P4454" s="20"/>
    </row>
    <row r="4455">
      <c r="A4455" s="10"/>
      <c r="B4455" s="11"/>
      <c r="C4455" s="10"/>
      <c r="D4455" s="13"/>
      <c r="E4455" s="14"/>
      <c r="F4455" s="14"/>
      <c r="G4455" s="14"/>
      <c r="H4455" s="10"/>
      <c r="I4455" s="17"/>
      <c r="J4455" s="10"/>
      <c r="K4455" s="46"/>
      <c r="L4455" s="10"/>
      <c r="M4455" s="20"/>
      <c r="N4455" s="20"/>
      <c r="O4455" s="20"/>
      <c r="P4455" s="20"/>
    </row>
    <row r="4456">
      <c r="A4456" s="23"/>
      <c r="B4456" s="21"/>
      <c r="C4456" s="23"/>
      <c r="D4456" s="24"/>
      <c r="E4456" s="14"/>
      <c r="F4456" s="14"/>
      <c r="G4456" s="14"/>
      <c r="H4456" s="23"/>
      <c r="I4456" s="27"/>
      <c r="J4456" s="23"/>
      <c r="K4456" s="30"/>
      <c r="L4456" s="23"/>
      <c r="M4456" s="20"/>
      <c r="N4456" s="20"/>
      <c r="O4456" s="20"/>
      <c r="P4456" s="20"/>
    </row>
    <row r="4457">
      <c r="A4457" s="10"/>
      <c r="B4457" s="11"/>
      <c r="C4457" s="10"/>
      <c r="D4457" s="13"/>
      <c r="E4457" s="14"/>
      <c r="F4457" s="14"/>
      <c r="G4457" s="14"/>
      <c r="H4457" s="10"/>
      <c r="I4457" s="17"/>
      <c r="J4457" s="10"/>
      <c r="K4457" s="46"/>
      <c r="L4457" s="10"/>
      <c r="M4457" s="20"/>
      <c r="N4457" s="20"/>
      <c r="O4457" s="20"/>
      <c r="P4457" s="20"/>
    </row>
    <row r="4458">
      <c r="A4458" s="23"/>
      <c r="B4458" s="21"/>
      <c r="C4458" s="23"/>
      <c r="D4458" s="24"/>
      <c r="E4458" s="14"/>
      <c r="F4458" s="14"/>
      <c r="G4458" s="14"/>
      <c r="H4458" s="23"/>
      <c r="I4458" s="27"/>
      <c r="J4458" s="23"/>
      <c r="K4458" s="30"/>
      <c r="L4458" s="23"/>
      <c r="M4458" s="20"/>
      <c r="N4458" s="20"/>
      <c r="O4458" s="20"/>
      <c r="P4458" s="20"/>
    </row>
    <row r="4459">
      <c r="A4459" s="10"/>
      <c r="B4459" s="11"/>
      <c r="C4459" s="10"/>
      <c r="D4459" s="13"/>
      <c r="E4459" s="14"/>
      <c r="F4459" s="14"/>
      <c r="G4459" s="14"/>
      <c r="H4459" s="10"/>
      <c r="I4459" s="17"/>
      <c r="J4459" s="10"/>
      <c r="K4459" s="46"/>
      <c r="L4459" s="10"/>
      <c r="M4459" s="20"/>
      <c r="N4459" s="20"/>
      <c r="O4459" s="20"/>
      <c r="P4459" s="20"/>
    </row>
    <row r="4460">
      <c r="A4460" s="23"/>
      <c r="B4460" s="21"/>
      <c r="C4460" s="23"/>
      <c r="D4460" s="24"/>
      <c r="E4460" s="14"/>
      <c r="F4460" s="14"/>
      <c r="G4460" s="14"/>
      <c r="H4460" s="23"/>
      <c r="I4460" s="27"/>
      <c r="J4460" s="23"/>
      <c r="K4460" s="30"/>
      <c r="L4460" s="23"/>
      <c r="M4460" s="20"/>
      <c r="N4460" s="20"/>
      <c r="O4460" s="20"/>
      <c r="P4460" s="20"/>
    </row>
    <row r="4461">
      <c r="A4461" s="10"/>
      <c r="B4461" s="11"/>
      <c r="C4461" s="10"/>
      <c r="D4461" s="13"/>
      <c r="E4461" s="14"/>
      <c r="F4461" s="14"/>
      <c r="G4461" s="14"/>
      <c r="H4461" s="10"/>
      <c r="I4461" s="17"/>
      <c r="J4461" s="10"/>
      <c r="K4461" s="46"/>
      <c r="L4461" s="10"/>
      <c r="M4461" s="20"/>
      <c r="N4461" s="20"/>
      <c r="O4461" s="20"/>
      <c r="P4461" s="20"/>
    </row>
    <row r="4462">
      <c r="A4462" s="23"/>
      <c r="B4462" s="21"/>
      <c r="C4462" s="23"/>
      <c r="D4462" s="24"/>
      <c r="E4462" s="14"/>
      <c r="F4462" s="14"/>
      <c r="G4462" s="14"/>
      <c r="H4462" s="23"/>
      <c r="I4462" s="27"/>
      <c r="J4462" s="23"/>
      <c r="K4462" s="30"/>
      <c r="L4462" s="23"/>
      <c r="M4462" s="20"/>
      <c r="N4462" s="20"/>
      <c r="O4462" s="20"/>
      <c r="P4462" s="20"/>
    </row>
    <row r="4463">
      <c r="A4463" s="10"/>
      <c r="B4463" s="11"/>
      <c r="C4463" s="10"/>
      <c r="D4463" s="13"/>
      <c r="E4463" s="14"/>
      <c r="F4463" s="14"/>
      <c r="G4463" s="14"/>
      <c r="H4463" s="10"/>
      <c r="I4463" s="17"/>
      <c r="J4463" s="10"/>
      <c r="K4463" s="46"/>
      <c r="L4463" s="10"/>
      <c r="M4463" s="20"/>
      <c r="N4463" s="20"/>
      <c r="O4463" s="20"/>
      <c r="P4463" s="20"/>
    </row>
    <row r="4464">
      <c r="A4464" s="23"/>
      <c r="B4464" s="21"/>
      <c r="C4464" s="23"/>
      <c r="D4464" s="24"/>
      <c r="E4464" s="14"/>
      <c r="F4464" s="14"/>
      <c r="G4464" s="14"/>
      <c r="H4464" s="23"/>
      <c r="I4464" s="27"/>
      <c r="J4464" s="23"/>
      <c r="K4464" s="30"/>
      <c r="L4464" s="23"/>
      <c r="M4464" s="20"/>
      <c r="N4464" s="20"/>
      <c r="O4464" s="20"/>
      <c r="P4464" s="20"/>
    </row>
    <row r="4465">
      <c r="A4465" s="10"/>
      <c r="B4465" s="11"/>
      <c r="C4465" s="10"/>
      <c r="D4465" s="13"/>
      <c r="E4465" s="14"/>
      <c r="F4465" s="14"/>
      <c r="G4465" s="14"/>
      <c r="H4465" s="10"/>
      <c r="I4465" s="17"/>
      <c r="J4465" s="10"/>
      <c r="K4465" s="46"/>
      <c r="L4465" s="10"/>
      <c r="M4465" s="20"/>
      <c r="N4465" s="20"/>
      <c r="O4465" s="20"/>
      <c r="P4465" s="20"/>
    </row>
    <row r="4466">
      <c r="A4466" s="23"/>
      <c r="B4466" s="21"/>
      <c r="C4466" s="23"/>
      <c r="D4466" s="24"/>
      <c r="E4466" s="14"/>
      <c r="F4466" s="14"/>
      <c r="G4466" s="14"/>
      <c r="H4466" s="23"/>
      <c r="I4466" s="27"/>
      <c r="J4466" s="23"/>
      <c r="K4466" s="30"/>
      <c r="L4466" s="23"/>
      <c r="M4466" s="20"/>
      <c r="N4466" s="20"/>
      <c r="O4466" s="20"/>
      <c r="P4466" s="20"/>
    </row>
    <row r="4467">
      <c r="A4467" s="10"/>
      <c r="B4467" s="11"/>
      <c r="C4467" s="10"/>
      <c r="D4467" s="13"/>
      <c r="E4467" s="14"/>
      <c r="F4467" s="14"/>
      <c r="G4467" s="14"/>
      <c r="H4467" s="10"/>
      <c r="I4467" s="17"/>
      <c r="J4467" s="10"/>
      <c r="K4467" s="46"/>
      <c r="L4467" s="10"/>
      <c r="M4467" s="20"/>
      <c r="N4467" s="20"/>
      <c r="O4467" s="20"/>
      <c r="P4467" s="20"/>
    </row>
    <row r="4468">
      <c r="A4468" s="23"/>
      <c r="B4468" s="21"/>
      <c r="C4468" s="23"/>
      <c r="D4468" s="24"/>
      <c r="E4468" s="14"/>
      <c r="F4468" s="14"/>
      <c r="G4468" s="14"/>
      <c r="H4468" s="23"/>
      <c r="I4468" s="27"/>
      <c r="J4468" s="23"/>
      <c r="K4468" s="30"/>
      <c r="L4468" s="23"/>
      <c r="M4468" s="20"/>
      <c r="N4468" s="20"/>
      <c r="O4468" s="20"/>
      <c r="P4468" s="20"/>
    </row>
    <row r="4469">
      <c r="A4469" s="10"/>
      <c r="B4469" s="11"/>
      <c r="C4469" s="10"/>
      <c r="D4469" s="13"/>
      <c r="E4469" s="14"/>
      <c r="F4469" s="14"/>
      <c r="G4469" s="14"/>
      <c r="H4469" s="10"/>
      <c r="I4469" s="17"/>
      <c r="J4469" s="10"/>
      <c r="K4469" s="46"/>
      <c r="L4469" s="10"/>
      <c r="M4469" s="20"/>
      <c r="N4469" s="20"/>
      <c r="O4469" s="20"/>
      <c r="P4469" s="20"/>
    </row>
    <row r="4470">
      <c r="A4470" s="23"/>
      <c r="B4470" s="21"/>
      <c r="C4470" s="23"/>
      <c r="D4470" s="24"/>
      <c r="E4470" s="14"/>
      <c r="F4470" s="14"/>
      <c r="G4470" s="14"/>
      <c r="H4470" s="23"/>
      <c r="I4470" s="27"/>
      <c r="J4470" s="23"/>
      <c r="K4470" s="30"/>
      <c r="L4470" s="23"/>
      <c r="M4470" s="20"/>
      <c r="N4470" s="20"/>
      <c r="O4470" s="20"/>
      <c r="P4470" s="20"/>
    </row>
    <row r="4471">
      <c r="A4471" s="10"/>
      <c r="B4471" s="11"/>
      <c r="C4471" s="10"/>
      <c r="D4471" s="13"/>
      <c r="E4471" s="14"/>
      <c r="F4471" s="14"/>
      <c r="G4471" s="14"/>
      <c r="H4471" s="10"/>
      <c r="I4471" s="17"/>
      <c r="J4471" s="10"/>
      <c r="K4471" s="46"/>
      <c r="L4471" s="10"/>
      <c r="M4471" s="20"/>
      <c r="N4471" s="20"/>
      <c r="O4471" s="20"/>
      <c r="P4471" s="20"/>
    </row>
    <row r="4472">
      <c r="A4472" s="23"/>
      <c r="B4472" s="21"/>
      <c r="C4472" s="23"/>
      <c r="D4472" s="24"/>
      <c r="E4472" s="14"/>
      <c r="F4472" s="14"/>
      <c r="G4472" s="14"/>
      <c r="H4472" s="23"/>
      <c r="I4472" s="27"/>
      <c r="J4472" s="23"/>
      <c r="K4472" s="30"/>
      <c r="L4472" s="23"/>
      <c r="M4472" s="20"/>
      <c r="N4472" s="20"/>
      <c r="O4472" s="20"/>
      <c r="P4472" s="20"/>
    </row>
    <row r="4473">
      <c r="A4473" s="10"/>
      <c r="B4473" s="11"/>
      <c r="C4473" s="10"/>
      <c r="D4473" s="13"/>
      <c r="E4473" s="14"/>
      <c r="F4473" s="14"/>
      <c r="G4473" s="14"/>
      <c r="H4473" s="10"/>
      <c r="I4473" s="17"/>
      <c r="J4473" s="10"/>
      <c r="K4473" s="46"/>
      <c r="L4473" s="10"/>
      <c r="M4473" s="20"/>
      <c r="N4473" s="20"/>
      <c r="O4473" s="20"/>
      <c r="P4473" s="20"/>
    </row>
    <row r="4474">
      <c r="A4474" s="23"/>
      <c r="B4474" s="21"/>
      <c r="C4474" s="23"/>
      <c r="D4474" s="24"/>
      <c r="E4474" s="14"/>
      <c r="F4474" s="14"/>
      <c r="G4474" s="14"/>
      <c r="H4474" s="23"/>
      <c r="I4474" s="27"/>
      <c r="J4474" s="23"/>
      <c r="K4474" s="30"/>
      <c r="L4474" s="23"/>
      <c r="M4474" s="20"/>
      <c r="N4474" s="20"/>
      <c r="O4474" s="20"/>
      <c r="P4474" s="20"/>
    </row>
    <row r="4475">
      <c r="A4475" s="10"/>
      <c r="B4475" s="11"/>
      <c r="C4475" s="10"/>
      <c r="D4475" s="13"/>
      <c r="E4475" s="14"/>
      <c r="F4475" s="14"/>
      <c r="G4475" s="14"/>
      <c r="H4475" s="10"/>
      <c r="I4475" s="17"/>
      <c r="J4475" s="10"/>
      <c r="K4475" s="46"/>
      <c r="L4475" s="10"/>
      <c r="M4475" s="20"/>
      <c r="N4475" s="20"/>
      <c r="O4475" s="20"/>
      <c r="P4475" s="20"/>
    </row>
    <row r="4476">
      <c r="A4476" s="23"/>
      <c r="B4476" s="21"/>
      <c r="C4476" s="23"/>
      <c r="D4476" s="24"/>
      <c r="E4476" s="14"/>
      <c r="F4476" s="14"/>
      <c r="G4476" s="14"/>
      <c r="H4476" s="23"/>
      <c r="I4476" s="27"/>
      <c r="J4476" s="23"/>
      <c r="K4476" s="30"/>
      <c r="L4476" s="23"/>
      <c r="M4476" s="20"/>
      <c r="N4476" s="20"/>
      <c r="O4476" s="20"/>
      <c r="P4476" s="20"/>
    </row>
    <row r="4477">
      <c r="A4477" s="10"/>
      <c r="B4477" s="11"/>
      <c r="C4477" s="10"/>
      <c r="D4477" s="13"/>
      <c r="E4477" s="14"/>
      <c r="F4477" s="14"/>
      <c r="G4477" s="14"/>
      <c r="H4477" s="10"/>
      <c r="I4477" s="17"/>
      <c r="J4477" s="10"/>
      <c r="K4477" s="46"/>
      <c r="L4477" s="10"/>
      <c r="M4477" s="20"/>
      <c r="N4477" s="20"/>
      <c r="O4477" s="20"/>
      <c r="P4477" s="20"/>
    </row>
    <row r="4478">
      <c r="A4478" s="23"/>
      <c r="B4478" s="21"/>
      <c r="C4478" s="23"/>
      <c r="D4478" s="24"/>
      <c r="E4478" s="14"/>
      <c r="F4478" s="14"/>
      <c r="G4478" s="14"/>
      <c r="H4478" s="23"/>
      <c r="I4478" s="27"/>
      <c r="J4478" s="23"/>
      <c r="K4478" s="30"/>
      <c r="L4478" s="23"/>
      <c r="M4478" s="20"/>
      <c r="N4478" s="20"/>
      <c r="O4478" s="20"/>
      <c r="P4478" s="20"/>
    </row>
    <row r="4479">
      <c r="A4479" s="10"/>
      <c r="B4479" s="11"/>
      <c r="C4479" s="10"/>
      <c r="D4479" s="13"/>
      <c r="E4479" s="14"/>
      <c r="F4479" s="14"/>
      <c r="G4479" s="14"/>
      <c r="H4479" s="10"/>
      <c r="I4479" s="17"/>
      <c r="J4479" s="10"/>
      <c r="K4479" s="46"/>
      <c r="L4479" s="10"/>
      <c r="M4479" s="20"/>
      <c r="N4479" s="20"/>
      <c r="O4479" s="20"/>
      <c r="P4479" s="20"/>
    </row>
    <row r="4480">
      <c r="A4480" s="23"/>
      <c r="B4480" s="21"/>
      <c r="C4480" s="23"/>
      <c r="D4480" s="24"/>
      <c r="E4480" s="14"/>
      <c r="F4480" s="14"/>
      <c r="G4480" s="14"/>
      <c r="H4480" s="23"/>
      <c r="I4480" s="27"/>
      <c r="J4480" s="23"/>
      <c r="K4480" s="30"/>
      <c r="L4480" s="23"/>
      <c r="M4480" s="20"/>
      <c r="N4480" s="20"/>
      <c r="O4480" s="20"/>
      <c r="P4480" s="20"/>
    </row>
    <row r="4481">
      <c r="A4481" s="10"/>
      <c r="B4481" s="11"/>
      <c r="C4481" s="10"/>
      <c r="D4481" s="13"/>
      <c r="E4481" s="14"/>
      <c r="F4481" s="14"/>
      <c r="G4481" s="14"/>
      <c r="H4481" s="10"/>
      <c r="I4481" s="17"/>
      <c r="J4481" s="10"/>
      <c r="K4481" s="46"/>
      <c r="L4481" s="10"/>
      <c r="M4481" s="20"/>
      <c r="N4481" s="20"/>
      <c r="O4481" s="20"/>
      <c r="P4481" s="20"/>
    </row>
    <row r="4482">
      <c r="A4482" s="23"/>
      <c r="B4482" s="21"/>
      <c r="C4482" s="23"/>
      <c r="D4482" s="24"/>
      <c r="E4482" s="14"/>
      <c r="F4482" s="14"/>
      <c r="G4482" s="14"/>
      <c r="H4482" s="23"/>
      <c r="I4482" s="27"/>
      <c r="J4482" s="23"/>
      <c r="K4482" s="30"/>
      <c r="L4482" s="23"/>
      <c r="M4482" s="20"/>
      <c r="N4482" s="20"/>
      <c r="O4482" s="20"/>
      <c r="P4482" s="20"/>
    </row>
    <row r="4483">
      <c r="A4483" s="10"/>
      <c r="B4483" s="11"/>
      <c r="C4483" s="10"/>
      <c r="D4483" s="13"/>
      <c r="E4483" s="14"/>
      <c r="F4483" s="14"/>
      <c r="G4483" s="14"/>
      <c r="H4483" s="10"/>
      <c r="I4483" s="17"/>
      <c r="J4483" s="10"/>
      <c r="K4483" s="46"/>
      <c r="L4483" s="10"/>
      <c r="M4483" s="20"/>
      <c r="N4483" s="20"/>
      <c r="O4483" s="20"/>
      <c r="P4483" s="20"/>
    </row>
    <row r="4484">
      <c r="A4484" s="23"/>
      <c r="B4484" s="21"/>
      <c r="C4484" s="23"/>
      <c r="D4484" s="24"/>
      <c r="E4484" s="14"/>
      <c r="F4484" s="14"/>
      <c r="G4484" s="14"/>
      <c r="H4484" s="23"/>
      <c r="I4484" s="27"/>
      <c r="J4484" s="23"/>
      <c r="K4484" s="30"/>
      <c r="L4484" s="23"/>
      <c r="M4484" s="20"/>
      <c r="N4484" s="20"/>
      <c r="O4484" s="20"/>
      <c r="P4484" s="20"/>
    </row>
    <row r="4485">
      <c r="A4485" s="10"/>
      <c r="B4485" s="11"/>
      <c r="C4485" s="10"/>
      <c r="D4485" s="13"/>
      <c r="E4485" s="14"/>
      <c r="F4485" s="14"/>
      <c r="G4485" s="14"/>
      <c r="H4485" s="10"/>
      <c r="I4485" s="17"/>
      <c r="J4485" s="10"/>
      <c r="K4485" s="46"/>
      <c r="L4485" s="10"/>
      <c r="M4485" s="20"/>
      <c r="N4485" s="20"/>
      <c r="O4485" s="20"/>
      <c r="P4485" s="20"/>
    </row>
    <row r="4486">
      <c r="A4486" s="23"/>
      <c r="B4486" s="21"/>
      <c r="C4486" s="23"/>
      <c r="D4486" s="24"/>
      <c r="E4486" s="14"/>
      <c r="F4486" s="14"/>
      <c r="G4486" s="14"/>
      <c r="H4486" s="23"/>
      <c r="I4486" s="27"/>
      <c r="J4486" s="23"/>
      <c r="K4486" s="30"/>
      <c r="L4486" s="23"/>
      <c r="M4486" s="20"/>
      <c r="N4486" s="20"/>
      <c r="O4486" s="20"/>
      <c r="P4486" s="20"/>
    </row>
    <row r="4487">
      <c r="A4487" s="10"/>
      <c r="B4487" s="11"/>
      <c r="C4487" s="10"/>
      <c r="D4487" s="13"/>
      <c r="E4487" s="14"/>
      <c r="F4487" s="14"/>
      <c r="G4487" s="14"/>
      <c r="H4487" s="10"/>
      <c r="I4487" s="17"/>
      <c r="J4487" s="10"/>
      <c r="K4487" s="46"/>
      <c r="L4487" s="10"/>
      <c r="M4487" s="20"/>
      <c r="N4487" s="20"/>
      <c r="O4487" s="20"/>
      <c r="P4487" s="20"/>
    </row>
    <row r="4488">
      <c r="A4488" s="23"/>
      <c r="B4488" s="21"/>
      <c r="C4488" s="23"/>
      <c r="D4488" s="24"/>
      <c r="E4488" s="14"/>
      <c r="F4488" s="14"/>
      <c r="G4488" s="14"/>
      <c r="H4488" s="23"/>
      <c r="I4488" s="27"/>
      <c r="J4488" s="23"/>
      <c r="K4488" s="30"/>
      <c r="L4488" s="23"/>
      <c r="M4488" s="20"/>
      <c r="N4488" s="20"/>
      <c r="O4488" s="20"/>
      <c r="P4488" s="20"/>
    </row>
    <row r="4489">
      <c r="A4489" s="10"/>
      <c r="B4489" s="11"/>
      <c r="C4489" s="10"/>
      <c r="D4489" s="13"/>
      <c r="E4489" s="14"/>
      <c r="F4489" s="14"/>
      <c r="G4489" s="14"/>
      <c r="H4489" s="10"/>
      <c r="I4489" s="17"/>
      <c r="J4489" s="10"/>
      <c r="K4489" s="46"/>
      <c r="L4489" s="10"/>
      <c r="M4489" s="20"/>
      <c r="N4489" s="20"/>
      <c r="O4489" s="20"/>
      <c r="P4489" s="20"/>
    </row>
    <row r="4490">
      <c r="A4490" s="23"/>
      <c r="B4490" s="21"/>
      <c r="C4490" s="23"/>
      <c r="D4490" s="24"/>
      <c r="E4490" s="14"/>
      <c r="F4490" s="14"/>
      <c r="G4490" s="14"/>
      <c r="H4490" s="23"/>
      <c r="I4490" s="27"/>
      <c r="J4490" s="23"/>
      <c r="K4490" s="30"/>
      <c r="L4490" s="23"/>
      <c r="M4490" s="20"/>
      <c r="N4490" s="20"/>
      <c r="O4490" s="20"/>
      <c r="P4490" s="20"/>
    </row>
    <row r="4491">
      <c r="A4491" s="10"/>
      <c r="B4491" s="11"/>
      <c r="C4491" s="10"/>
      <c r="D4491" s="13"/>
      <c r="E4491" s="14"/>
      <c r="F4491" s="14"/>
      <c r="G4491" s="14"/>
      <c r="H4491" s="10"/>
      <c r="I4491" s="17"/>
      <c r="J4491" s="10"/>
      <c r="K4491" s="46"/>
      <c r="L4491" s="10"/>
      <c r="M4491" s="20"/>
      <c r="N4491" s="20"/>
      <c r="O4491" s="20"/>
      <c r="P4491" s="20"/>
    </row>
    <row r="4492">
      <c r="A4492" s="23"/>
      <c r="B4492" s="21"/>
      <c r="C4492" s="23"/>
      <c r="D4492" s="24"/>
      <c r="E4492" s="14"/>
      <c r="F4492" s="14"/>
      <c r="G4492" s="14"/>
      <c r="H4492" s="23"/>
      <c r="I4492" s="27"/>
      <c r="J4492" s="23"/>
      <c r="K4492" s="30"/>
      <c r="L4492" s="23"/>
      <c r="M4492" s="20"/>
      <c r="N4492" s="20"/>
      <c r="O4492" s="20"/>
      <c r="P4492" s="20"/>
    </row>
    <row r="4493">
      <c r="A4493" s="10"/>
      <c r="B4493" s="11"/>
      <c r="C4493" s="10"/>
      <c r="D4493" s="13"/>
      <c r="E4493" s="14"/>
      <c r="F4493" s="14"/>
      <c r="G4493" s="14"/>
      <c r="H4493" s="10"/>
      <c r="I4493" s="17"/>
      <c r="J4493" s="10"/>
      <c r="K4493" s="46"/>
      <c r="L4493" s="10"/>
      <c r="M4493" s="20"/>
      <c r="N4493" s="20"/>
      <c r="O4493" s="20"/>
      <c r="P4493" s="20"/>
    </row>
    <row r="4494">
      <c r="A4494" s="23"/>
      <c r="B4494" s="21"/>
      <c r="C4494" s="23"/>
      <c r="D4494" s="24"/>
      <c r="E4494" s="14"/>
      <c r="F4494" s="14"/>
      <c r="G4494" s="14"/>
      <c r="H4494" s="23"/>
      <c r="I4494" s="27"/>
      <c r="J4494" s="23"/>
      <c r="K4494" s="30"/>
      <c r="L4494" s="23"/>
      <c r="M4494" s="20"/>
      <c r="N4494" s="20"/>
      <c r="O4494" s="20"/>
      <c r="P4494" s="20"/>
    </row>
    <row r="4495">
      <c r="A4495" s="10"/>
      <c r="B4495" s="11"/>
      <c r="C4495" s="10"/>
      <c r="D4495" s="13"/>
      <c r="E4495" s="14"/>
      <c r="F4495" s="14"/>
      <c r="G4495" s="14"/>
      <c r="H4495" s="10"/>
      <c r="I4495" s="17"/>
      <c r="J4495" s="10"/>
      <c r="K4495" s="46"/>
      <c r="L4495" s="10"/>
      <c r="M4495" s="20"/>
      <c r="N4495" s="20"/>
      <c r="O4495" s="20"/>
      <c r="P4495" s="20"/>
    </row>
    <row r="4496">
      <c r="A4496" s="23"/>
      <c r="B4496" s="21"/>
      <c r="C4496" s="23"/>
      <c r="D4496" s="24"/>
      <c r="E4496" s="14"/>
      <c r="F4496" s="14"/>
      <c r="G4496" s="14"/>
      <c r="H4496" s="23"/>
      <c r="I4496" s="27"/>
      <c r="J4496" s="23"/>
      <c r="K4496" s="30"/>
      <c r="L4496" s="23"/>
      <c r="M4496" s="20"/>
      <c r="N4496" s="20"/>
      <c r="O4496" s="20"/>
      <c r="P4496" s="20"/>
    </row>
    <row r="4497">
      <c r="A4497" s="10"/>
      <c r="B4497" s="11"/>
      <c r="C4497" s="10"/>
      <c r="D4497" s="13"/>
      <c r="E4497" s="14"/>
      <c r="F4497" s="14"/>
      <c r="G4497" s="14"/>
      <c r="H4497" s="10"/>
      <c r="I4497" s="17"/>
      <c r="J4497" s="10"/>
      <c r="K4497" s="46"/>
      <c r="L4497" s="10"/>
      <c r="M4497" s="20"/>
      <c r="N4497" s="20"/>
      <c r="O4497" s="20"/>
      <c r="P4497" s="20"/>
    </row>
    <row r="4498">
      <c r="A4498" s="23"/>
      <c r="B4498" s="21"/>
      <c r="C4498" s="23"/>
      <c r="D4498" s="24"/>
      <c r="E4498" s="14"/>
      <c r="F4498" s="14"/>
      <c r="G4498" s="14"/>
      <c r="H4498" s="23"/>
      <c r="I4498" s="27"/>
      <c r="J4498" s="23"/>
      <c r="K4498" s="30"/>
      <c r="L4498" s="23"/>
      <c r="M4498" s="20"/>
      <c r="N4498" s="20"/>
      <c r="O4498" s="20"/>
      <c r="P4498" s="20"/>
    </row>
    <row r="4499">
      <c r="A4499" s="10"/>
      <c r="B4499" s="11"/>
      <c r="C4499" s="10"/>
      <c r="D4499" s="13"/>
      <c r="E4499" s="14"/>
      <c r="F4499" s="14"/>
      <c r="G4499" s="14"/>
      <c r="H4499" s="10"/>
      <c r="I4499" s="17"/>
      <c r="J4499" s="10"/>
      <c r="K4499" s="46"/>
      <c r="L4499" s="10"/>
      <c r="M4499" s="20"/>
      <c r="N4499" s="20"/>
      <c r="O4499" s="20"/>
      <c r="P4499" s="20"/>
    </row>
    <row r="4500">
      <c r="A4500" s="23"/>
      <c r="B4500" s="21"/>
      <c r="C4500" s="23"/>
      <c r="D4500" s="24"/>
      <c r="E4500" s="14"/>
      <c r="F4500" s="14"/>
      <c r="G4500" s="14"/>
      <c r="H4500" s="23"/>
      <c r="I4500" s="27"/>
      <c r="J4500" s="23"/>
      <c r="K4500" s="30"/>
      <c r="L4500" s="23"/>
      <c r="M4500" s="20"/>
      <c r="N4500" s="20"/>
      <c r="O4500" s="20"/>
      <c r="P4500" s="20"/>
    </row>
    <row r="4501">
      <c r="A4501" s="10"/>
      <c r="B4501" s="11"/>
      <c r="C4501" s="10"/>
      <c r="D4501" s="13"/>
      <c r="E4501" s="14"/>
      <c r="F4501" s="14"/>
      <c r="G4501" s="14"/>
      <c r="H4501" s="10"/>
      <c r="I4501" s="17"/>
      <c r="J4501" s="10"/>
      <c r="K4501" s="46"/>
      <c r="L4501" s="10"/>
      <c r="M4501" s="20"/>
      <c r="N4501" s="20"/>
      <c r="O4501" s="20"/>
      <c r="P4501" s="20"/>
    </row>
    <row r="4502">
      <c r="A4502" s="23"/>
      <c r="B4502" s="21"/>
      <c r="C4502" s="23"/>
      <c r="D4502" s="24"/>
      <c r="E4502" s="14"/>
      <c r="F4502" s="14"/>
      <c r="G4502" s="14"/>
      <c r="H4502" s="23"/>
      <c r="I4502" s="27"/>
      <c r="J4502" s="23"/>
      <c r="K4502" s="30"/>
      <c r="L4502" s="23"/>
      <c r="M4502" s="20"/>
      <c r="N4502" s="20"/>
      <c r="O4502" s="20"/>
      <c r="P4502" s="20"/>
    </row>
    <row r="4503">
      <c r="A4503" s="10"/>
      <c r="B4503" s="11"/>
      <c r="C4503" s="10"/>
      <c r="D4503" s="13"/>
      <c r="E4503" s="14"/>
      <c r="F4503" s="14"/>
      <c r="G4503" s="14"/>
      <c r="H4503" s="10"/>
      <c r="I4503" s="17"/>
      <c r="J4503" s="10"/>
      <c r="K4503" s="46"/>
      <c r="L4503" s="10"/>
      <c r="M4503" s="20"/>
      <c r="N4503" s="20"/>
      <c r="O4503" s="20"/>
      <c r="P4503" s="20"/>
    </row>
    <row r="4504">
      <c r="A4504" s="23"/>
      <c r="B4504" s="21"/>
      <c r="C4504" s="23"/>
      <c r="D4504" s="24"/>
      <c r="E4504" s="14"/>
      <c r="F4504" s="14"/>
      <c r="G4504" s="14"/>
      <c r="H4504" s="23"/>
      <c r="I4504" s="27"/>
      <c r="J4504" s="23"/>
      <c r="K4504" s="30"/>
      <c r="L4504" s="23"/>
      <c r="M4504" s="20"/>
      <c r="N4504" s="20"/>
      <c r="O4504" s="20"/>
      <c r="P4504" s="20"/>
    </row>
    <row r="4505">
      <c r="A4505" s="10"/>
      <c r="B4505" s="11"/>
      <c r="C4505" s="10"/>
      <c r="D4505" s="13"/>
      <c r="E4505" s="14"/>
      <c r="F4505" s="14"/>
      <c r="G4505" s="14"/>
      <c r="H4505" s="10"/>
      <c r="I4505" s="17"/>
      <c r="J4505" s="10"/>
      <c r="K4505" s="46"/>
      <c r="L4505" s="10"/>
      <c r="M4505" s="20"/>
      <c r="N4505" s="20"/>
      <c r="O4505" s="20"/>
      <c r="P4505" s="20"/>
    </row>
    <row r="4506">
      <c r="A4506" s="23"/>
      <c r="B4506" s="21"/>
      <c r="C4506" s="23"/>
      <c r="D4506" s="24"/>
      <c r="E4506" s="14"/>
      <c r="F4506" s="14"/>
      <c r="G4506" s="14"/>
      <c r="H4506" s="23"/>
      <c r="I4506" s="27"/>
      <c r="J4506" s="23"/>
      <c r="K4506" s="30"/>
      <c r="L4506" s="23"/>
      <c r="M4506" s="20"/>
      <c r="N4506" s="20"/>
      <c r="O4506" s="20"/>
      <c r="P4506" s="20"/>
    </row>
    <row r="4507">
      <c r="A4507" s="10"/>
      <c r="B4507" s="11"/>
      <c r="C4507" s="10"/>
      <c r="D4507" s="13"/>
      <c r="E4507" s="14"/>
      <c r="F4507" s="14"/>
      <c r="G4507" s="14"/>
      <c r="H4507" s="10"/>
      <c r="I4507" s="17"/>
      <c r="J4507" s="10"/>
      <c r="K4507" s="46"/>
      <c r="L4507" s="10"/>
      <c r="M4507" s="20"/>
      <c r="N4507" s="20"/>
      <c r="O4507" s="20"/>
      <c r="P4507" s="20"/>
    </row>
    <row r="4508">
      <c r="A4508" s="23"/>
      <c r="B4508" s="21"/>
      <c r="C4508" s="23"/>
      <c r="D4508" s="24"/>
      <c r="E4508" s="14"/>
      <c r="F4508" s="14"/>
      <c r="G4508" s="14"/>
      <c r="H4508" s="23"/>
      <c r="I4508" s="27"/>
      <c r="J4508" s="23"/>
      <c r="K4508" s="30"/>
      <c r="L4508" s="23"/>
      <c r="M4508" s="20"/>
      <c r="N4508" s="20"/>
      <c r="O4508" s="20"/>
      <c r="P4508" s="20"/>
    </row>
    <row r="4509">
      <c r="A4509" s="10"/>
      <c r="B4509" s="11"/>
      <c r="C4509" s="10"/>
      <c r="D4509" s="13"/>
      <c r="E4509" s="14"/>
      <c r="F4509" s="14"/>
      <c r="G4509" s="14"/>
      <c r="H4509" s="10"/>
      <c r="I4509" s="17"/>
      <c r="J4509" s="10"/>
      <c r="K4509" s="46"/>
      <c r="L4509" s="10"/>
      <c r="M4509" s="20"/>
      <c r="N4509" s="20"/>
      <c r="O4509" s="20"/>
      <c r="P4509" s="20"/>
    </row>
    <row r="4510">
      <c r="A4510" s="23"/>
      <c r="B4510" s="21"/>
      <c r="C4510" s="23"/>
      <c r="D4510" s="24"/>
      <c r="E4510" s="14"/>
      <c r="F4510" s="14"/>
      <c r="G4510" s="14"/>
      <c r="H4510" s="23"/>
      <c r="I4510" s="27"/>
      <c r="J4510" s="23"/>
      <c r="K4510" s="30"/>
      <c r="L4510" s="23"/>
      <c r="M4510" s="20"/>
      <c r="N4510" s="20"/>
      <c r="O4510" s="20"/>
      <c r="P4510" s="20"/>
    </row>
    <row r="4511">
      <c r="A4511" s="10"/>
      <c r="B4511" s="11"/>
      <c r="C4511" s="10"/>
      <c r="D4511" s="13"/>
      <c r="E4511" s="14"/>
      <c r="F4511" s="14"/>
      <c r="G4511" s="14"/>
      <c r="H4511" s="10"/>
      <c r="I4511" s="17"/>
      <c r="J4511" s="10"/>
      <c r="K4511" s="46"/>
      <c r="L4511" s="10"/>
      <c r="M4511" s="20"/>
      <c r="N4511" s="20"/>
      <c r="O4511" s="20"/>
      <c r="P4511" s="20"/>
    </row>
    <row r="4512">
      <c r="A4512" s="23"/>
      <c r="B4512" s="21"/>
      <c r="C4512" s="23"/>
      <c r="D4512" s="24"/>
      <c r="E4512" s="14"/>
      <c r="F4512" s="14"/>
      <c r="G4512" s="14"/>
      <c r="H4512" s="23"/>
      <c r="I4512" s="27"/>
      <c r="J4512" s="23"/>
      <c r="K4512" s="30"/>
      <c r="L4512" s="23"/>
      <c r="M4512" s="20"/>
      <c r="N4512" s="20"/>
      <c r="O4512" s="20"/>
      <c r="P4512" s="20"/>
    </row>
    <row r="4513">
      <c r="A4513" s="10"/>
      <c r="B4513" s="11"/>
      <c r="C4513" s="10"/>
      <c r="D4513" s="13"/>
      <c r="E4513" s="14"/>
      <c r="F4513" s="14"/>
      <c r="G4513" s="14"/>
      <c r="H4513" s="10"/>
      <c r="I4513" s="17"/>
      <c r="J4513" s="10"/>
      <c r="K4513" s="46"/>
      <c r="L4513" s="10"/>
      <c r="M4513" s="20"/>
      <c r="N4513" s="20"/>
      <c r="O4513" s="20"/>
      <c r="P4513" s="20"/>
    </row>
    <row r="4514">
      <c r="A4514" s="23"/>
      <c r="B4514" s="21"/>
      <c r="C4514" s="23"/>
      <c r="D4514" s="24"/>
      <c r="E4514" s="14"/>
      <c r="F4514" s="14"/>
      <c r="G4514" s="14"/>
      <c r="H4514" s="23"/>
      <c r="I4514" s="27"/>
      <c r="J4514" s="23"/>
      <c r="K4514" s="30"/>
      <c r="L4514" s="23"/>
      <c r="M4514" s="20"/>
      <c r="N4514" s="20"/>
      <c r="O4514" s="20"/>
      <c r="P4514" s="20"/>
    </row>
    <row r="4515">
      <c r="A4515" s="10"/>
      <c r="B4515" s="11"/>
      <c r="C4515" s="10"/>
      <c r="D4515" s="13"/>
      <c r="E4515" s="14"/>
      <c r="F4515" s="14"/>
      <c r="G4515" s="14"/>
      <c r="H4515" s="10"/>
      <c r="I4515" s="17"/>
      <c r="J4515" s="10"/>
      <c r="K4515" s="46"/>
      <c r="L4515" s="10"/>
      <c r="M4515" s="20"/>
      <c r="N4515" s="20"/>
      <c r="O4515" s="20"/>
      <c r="P4515" s="20"/>
    </row>
    <row r="4516">
      <c r="A4516" s="23"/>
      <c r="B4516" s="21"/>
      <c r="C4516" s="23"/>
      <c r="D4516" s="24"/>
      <c r="E4516" s="14"/>
      <c r="F4516" s="14"/>
      <c r="G4516" s="14"/>
      <c r="H4516" s="23"/>
      <c r="I4516" s="27"/>
      <c r="J4516" s="23"/>
      <c r="K4516" s="30"/>
      <c r="L4516" s="23"/>
      <c r="M4516" s="20"/>
      <c r="N4516" s="20"/>
      <c r="O4516" s="20"/>
      <c r="P4516" s="20"/>
    </row>
    <row r="4517">
      <c r="A4517" s="10"/>
      <c r="B4517" s="11"/>
      <c r="C4517" s="10"/>
      <c r="D4517" s="13"/>
      <c r="E4517" s="14"/>
      <c r="F4517" s="14"/>
      <c r="G4517" s="14"/>
      <c r="H4517" s="10"/>
      <c r="I4517" s="17"/>
      <c r="J4517" s="10"/>
      <c r="K4517" s="46"/>
      <c r="L4517" s="10"/>
      <c r="M4517" s="20"/>
      <c r="N4517" s="20"/>
      <c r="O4517" s="20"/>
      <c r="P4517" s="20"/>
    </row>
    <row r="4518">
      <c r="A4518" s="23"/>
      <c r="B4518" s="21"/>
      <c r="C4518" s="23"/>
      <c r="D4518" s="24"/>
      <c r="E4518" s="14"/>
      <c r="F4518" s="14"/>
      <c r="G4518" s="14"/>
      <c r="H4518" s="23"/>
      <c r="I4518" s="27"/>
      <c r="J4518" s="23"/>
      <c r="K4518" s="30"/>
      <c r="L4518" s="23"/>
      <c r="M4518" s="20"/>
      <c r="N4518" s="20"/>
      <c r="O4518" s="20"/>
      <c r="P4518" s="20"/>
    </row>
    <row r="4519">
      <c r="A4519" s="10"/>
      <c r="B4519" s="11"/>
      <c r="C4519" s="10"/>
      <c r="D4519" s="13"/>
      <c r="E4519" s="14"/>
      <c r="F4519" s="14"/>
      <c r="G4519" s="14"/>
      <c r="H4519" s="10"/>
      <c r="I4519" s="17"/>
      <c r="J4519" s="10"/>
      <c r="K4519" s="46"/>
      <c r="L4519" s="10"/>
      <c r="M4519" s="20"/>
      <c r="N4519" s="20"/>
      <c r="O4519" s="20"/>
      <c r="P4519" s="20"/>
    </row>
    <row r="4520">
      <c r="A4520" s="23"/>
      <c r="B4520" s="21"/>
      <c r="C4520" s="23"/>
      <c r="D4520" s="24"/>
      <c r="E4520" s="14"/>
      <c r="F4520" s="14"/>
      <c r="G4520" s="14"/>
      <c r="H4520" s="23"/>
      <c r="I4520" s="27"/>
      <c r="J4520" s="23"/>
      <c r="K4520" s="30"/>
      <c r="L4520" s="23"/>
      <c r="M4520" s="20"/>
      <c r="N4520" s="20"/>
      <c r="O4520" s="20"/>
      <c r="P4520" s="20"/>
    </row>
    <row r="4521">
      <c r="A4521" s="10"/>
      <c r="B4521" s="11"/>
      <c r="C4521" s="10"/>
      <c r="D4521" s="13"/>
      <c r="E4521" s="14"/>
      <c r="F4521" s="14"/>
      <c r="G4521" s="14"/>
      <c r="H4521" s="10"/>
      <c r="I4521" s="17"/>
      <c r="J4521" s="10"/>
      <c r="K4521" s="46"/>
      <c r="L4521" s="10"/>
      <c r="M4521" s="20"/>
      <c r="N4521" s="20"/>
      <c r="O4521" s="20"/>
      <c r="P4521" s="20"/>
    </row>
    <row r="4522">
      <c r="A4522" s="23"/>
      <c r="B4522" s="21"/>
      <c r="C4522" s="23"/>
      <c r="D4522" s="24"/>
      <c r="E4522" s="14"/>
      <c r="F4522" s="14"/>
      <c r="G4522" s="14"/>
      <c r="H4522" s="23"/>
      <c r="I4522" s="27"/>
      <c r="J4522" s="23"/>
      <c r="K4522" s="30"/>
      <c r="L4522" s="23"/>
      <c r="M4522" s="20"/>
      <c r="N4522" s="20"/>
      <c r="O4522" s="20"/>
      <c r="P4522" s="20"/>
    </row>
    <row r="4523">
      <c r="A4523" s="10"/>
      <c r="B4523" s="11"/>
      <c r="C4523" s="10"/>
      <c r="D4523" s="13"/>
      <c r="E4523" s="14"/>
      <c r="F4523" s="14"/>
      <c r="G4523" s="14"/>
      <c r="H4523" s="10"/>
      <c r="I4523" s="17"/>
      <c r="J4523" s="10"/>
      <c r="K4523" s="46"/>
      <c r="L4523" s="10"/>
      <c r="M4523" s="20"/>
      <c r="N4523" s="20"/>
      <c r="O4523" s="20"/>
      <c r="P4523" s="20"/>
    </row>
    <row r="4524">
      <c r="A4524" s="23"/>
      <c r="B4524" s="21"/>
      <c r="C4524" s="23"/>
      <c r="D4524" s="24"/>
      <c r="E4524" s="14"/>
      <c r="F4524" s="14"/>
      <c r="G4524" s="14"/>
      <c r="H4524" s="23"/>
      <c r="I4524" s="27"/>
      <c r="J4524" s="23"/>
      <c r="K4524" s="30"/>
      <c r="L4524" s="23"/>
      <c r="M4524" s="20"/>
      <c r="N4524" s="20"/>
      <c r="O4524" s="20"/>
      <c r="P4524" s="20"/>
    </row>
    <row r="4525">
      <c r="A4525" s="10"/>
      <c r="B4525" s="11"/>
      <c r="C4525" s="10"/>
      <c r="D4525" s="13"/>
      <c r="E4525" s="14"/>
      <c r="F4525" s="14"/>
      <c r="G4525" s="14"/>
      <c r="H4525" s="10"/>
      <c r="I4525" s="17"/>
      <c r="J4525" s="10"/>
      <c r="K4525" s="46"/>
      <c r="L4525" s="10"/>
      <c r="M4525" s="20"/>
      <c r="N4525" s="20"/>
      <c r="O4525" s="20"/>
      <c r="P4525" s="20"/>
    </row>
    <row r="4526">
      <c r="A4526" s="23"/>
      <c r="B4526" s="21"/>
      <c r="C4526" s="23"/>
      <c r="D4526" s="24"/>
      <c r="E4526" s="14"/>
      <c r="F4526" s="14"/>
      <c r="G4526" s="14"/>
      <c r="H4526" s="23"/>
      <c r="I4526" s="27"/>
      <c r="J4526" s="23"/>
      <c r="K4526" s="30"/>
      <c r="L4526" s="23"/>
      <c r="M4526" s="20"/>
      <c r="N4526" s="20"/>
      <c r="O4526" s="20"/>
      <c r="P4526" s="20"/>
    </row>
    <row r="4527">
      <c r="A4527" s="10"/>
      <c r="B4527" s="11"/>
      <c r="C4527" s="10"/>
      <c r="D4527" s="13"/>
      <c r="E4527" s="14"/>
      <c r="F4527" s="14"/>
      <c r="G4527" s="14"/>
      <c r="H4527" s="10"/>
      <c r="I4527" s="17"/>
      <c r="J4527" s="10"/>
      <c r="K4527" s="46"/>
      <c r="L4527" s="10"/>
      <c r="M4527" s="20"/>
      <c r="N4527" s="20"/>
      <c r="O4527" s="20"/>
      <c r="P4527" s="20"/>
    </row>
    <row r="4528">
      <c r="A4528" s="23"/>
      <c r="B4528" s="21"/>
      <c r="C4528" s="23"/>
      <c r="D4528" s="24"/>
      <c r="E4528" s="14"/>
      <c r="F4528" s="14"/>
      <c r="G4528" s="14"/>
      <c r="H4528" s="23"/>
      <c r="I4528" s="27"/>
      <c r="J4528" s="23"/>
      <c r="K4528" s="30"/>
      <c r="L4528" s="23"/>
      <c r="M4528" s="20"/>
      <c r="N4528" s="20"/>
      <c r="O4528" s="20"/>
      <c r="P4528" s="20"/>
    </row>
    <row r="4529">
      <c r="A4529" s="10"/>
      <c r="B4529" s="11"/>
      <c r="C4529" s="10"/>
      <c r="D4529" s="13"/>
      <c r="E4529" s="14"/>
      <c r="F4529" s="14"/>
      <c r="G4529" s="14"/>
      <c r="H4529" s="10"/>
      <c r="I4529" s="17"/>
      <c r="J4529" s="10"/>
      <c r="K4529" s="46"/>
      <c r="L4529" s="10"/>
      <c r="M4529" s="20"/>
      <c r="N4529" s="20"/>
      <c r="O4529" s="20"/>
      <c r="P4529" s="20"/>
    </row>
    <row r="4530">
      <c r="A4530" s="23"/>
      <c r="B4530" s="21"/>
      <c r="C4530" s="23"/>
      <c r="D4530" s="24"/>
      <c r="E4530" s="14"/>
      <c r="F4530" s="14"/>
      <c r="G4530" s="14"/>
      <c r="H4530" s="23"/>
      <c r="I4530" s="27"/>
      <c r="J4530" s="23"/>
      <c r="K4530" s="30"/>
      <c r="L4530" s="23"/>
      <c r="M4530" s="20"/>
      <c r="N4530" s="20"/>
      <c r="O4530" s="20"/>
      <c r="P4530" s="20"/>
    </row>
    <row r="4531">
      <c r="A4531" s="10"/>
      <c r="B4531" s="11"/>
      <c r="C4531" s="10"/>
      <c r="D4531" s="13"/>
      <c r="E4531" s="14"/>
      <c r="F4531" s="14"/>
      <c r="G4531" s="14"/>
      <c r="H4531" s="10"/>
      <c r="I4531" s="17"/>
      <c r="J4531" s="10"/>
      <c r="K4531" s="46"/>
      <c r="L4531" s="10"/>
      <c r="M4531" s="20"/>
      <c r="N4531" s="20"/>
      <c r="O4531" s="20"/>
      <c r="P4531" s="20"/>
    </row>
    <row r="4532">
      <c r="A4532" s="23"/>
      <c r="B4532" s="21"/>
      <c r="C4532" s="23"/>
      <c r="D4532" s="24"/>
      <c r="E4532" s="14"/>
      <c r="F4532" s="14"/>
      <c r="G4532" s="14"/>
      <c r="H4532" s="23"/>
      <c r="I4532" s="27"/>
      <c r="J4532" s="23"/>
      <c r="K4532" s="30"/>
      <c r="L4532" s="23"/>
      <c r="M4532" s="20"/>
      <c r="N4532" s="20"/>
      <c r="O4532" s="20"/>
      <c r="P4532" s="20"/>
    </row>
    <row r="4533">
      <c r="A4533" s="10"/>
      <c r="B4533" s="11"/>
      <c r="C4533" s="10"/>
      <c r="D4533" s="13"/>
      <c r="E4533" s="14"/>
      <c r="F4533" s="14"/>
      <c r="G4533" s="14"/>
      <c r="H4533" s="10"/>
      <c r="I4533" s="17"/>
      <c r="J4533" s="10"/>
      <c r="K4533" s="46"/>
      <c r="L4533" s="10"/>
      <c r="M4533" s="20"/>
      <c r="N4533" s="20"/>
      <c r="O4533" s="20"/>
      <c r="P4533" s="20"/>
    </row>
    <row r="4534">
      <c r="A4534" s="23"/>
      <c r="B4534" s="21"/>
      <c r="C4534" s="23"/>
      <c r="D4534" s="24"/>
      <c r="E4534" s="14"/>
      <c r="F4534" s="14"/>
      <c r="G4534" s="14"/>
      <c r="H4534" s="23"/>
      <c r="I4534" s="27"/>
      <c r="J4534" s="23"/>
      <c r="K4534" s="30"/>
      <c r="L4534" s="23"/>
      <c r="M4534" s="20"/>
      <c r="N4534" s="20"/>
      <c r="O4534" s="20"/>
      <c r="P4534" s="20"/>
    </row>
    <row r="4535">
      <c r="A4535" s="10"/>
      <c r="B4535" s="11"/>
      <c r="C4535" s="10"/>
      <c r="D4535" s="13"/>
      <c r="E4535" s="14"/>
      <c r="F4535" s="14"/>
      <c r="G4535" s="14"/>
      <c r="H4535" s="10"/>
      <c r="I4535" s="17"/>
      <c r="J4535" s="10"/>
      <c r="K4535" s="46"/>
      <c r="L4535" s="10"/>
      <c r="M4535" s="20"/>
      <c r="N4535" s="20"/>
      <c r="O4535" s="20"/>
      <c r="P4535" s="20"/>
    </row>
    <row r="4536">
      <c r="A4536" s="23"/>
      <c r="B4536" s="21"/>
      <c r="C4536" s="23"/>
      <c r="D4536" s="24"/>
      <c r="E4536" s="14"/>
      <c r="F4536" s="14"/>
      <c r="G4536" s="14"/>
      <c r="H4536" s="23"/>
      <c r="I4536" s="27"/>
      <c r="J4536" s="23"/>
      <c r="K4536" s="30"/>
      <c r="L4536" s="23"/>
      <c r="M4536" s="20"/>
      <c r="N4536" s="20"/>
      <c r="O4536" s="20"/>
      <c r="P4536" s="20"/>
    </row>
    <row r="4537">
      <c r="A4537" s="10"/>
      <c r="B4537" s="11"/>
      <c r="C4537" s="10"/>
      <c r="D4537" s="13"/>
      <c r="E4537" s="14"/>
      <c r="F4537" s="14"/>
      <c r="G4537" s="14"/>
      <c r="H4537" s="10"/>
      <c r="I4537" s="17"/>
      <c r="J4537" s="10"/>
      <c r="K4537" s="46"/>
      <c r="L4537" s="10"/>
      <c r="M4537" s="20"/>
      <c r="N4537" s="20"/>
      <c r="O4537" s="20"/>
      <c r="P4537" s="20"/>
    </row>
    <row r="4538">
      <c r="A4538" s="23"/>
      <c r="B4538" s="21"/>
      <c r="C4538" s="23"/>
      <c r="D4538" s="24"/>
      <c r="E4538" s="14"/>
      <c r="F4538" s="14"/>
      <c r="G4538" s="14"/>
      <c r="H4538" s="23"/>
      <c r="I4538" s="27"/>
      <c r="J4538" s="23"/>
      <c r="K4538" s="30"/>
      <c r="L4538" s="23"/>
      <c r="M4538" s="20"/>
      <c r="N4538" s="20"/>
      <c r="O4538" s="20"/>
      <c r="P4538" s="20"/>
    </row>
    <row r="4539">
      <c r="A4539" s="10"/>
      <c r="B4539" s="11"/>
      <c r="C4539" s="10"/>
      <c r="D4539" s="13"/>
      <c r="E4539" s="14"/>
      <c r="F4539" s="14"/>
      <c r="G4539" s="14"/>
      <c r="H4539" s="10"/>
      <c r="I4539" s="17"/>
      <c r="J4539" s="10"/>
      <c r="K4539" s="46"/>
      <c r="L4539" s="10"/>
      <c r="M4539" s="20"/>
      <c r="N4539" s="20"/>
      <c r="O4539" s="20"/>
      <c r="P4539" s="20"/>
    </row>
    <row r="4540">
      <c r="A4540" s="23"/>
      <c r="B4540" s="21"/>
      <c r="C4540" s="23"/>
      <c r="D4540" s="24"/>
      <c r="E4540" s="14"/>
      <c r="F4540" s="14"/>
      <c r="G4540" s="14"/>
      <c r="H4540" s="23"/>
      <c r="I4540" s="27"/>
      <c r="J4540" s="23"/>
      <c r="K4540" s="30"/>
      <c r="L4540" s="23"/>
      <c r="M4540" s="20"/>
      <c r="N4540" s="20"/>
      <c r="O4540" s="20"/>
      <c r="P4540" s="20"/>
    </row>
    <row r="4541">
      <c r="A4541" s="10"/>
      <c r="B4541" s="11"/>
      <c r="C4541" s="10"/>
      <c r="D4541" s="13"/>
      <c r="E4541" s="14"/>
      <c r="F4541" s="14"/>
      <c r="G4541" s="14"/>
      <c r="H4541" s="10"/>
      <c r="I4541" s="17"/>
      <c r="J4541" s="10"/>
      <c r="K4541" s="46"/>
      <c r="L4541" s="10"/>
      <c r="M4541" s="20"/>
      <c r="N4541" s="20"/>
      <c r="O4541" s="20"/>
      <c r="P4541" s="20"/>
    </row>
    <row r="4542">
      <c r="A4542" s="23"/>
      <c r="B4542" s="21"/>
      <c r="C4542" s="23"/>
      <c r="D4542" s="24"/>
      <c r="E4542" s="14"/>
      <c r="F4542" s="14"/>
      <c r="G4542" s="14"/>
      <c r="H4542" s="23"/>
      <c r="I4542" s="27"/>
      <c r="J4542" s="23"/>
      <c r="K4542" s="30"/>
      <c r="L4542" s="23"/>
      <c r="M4542" s="20"/>
      <c r="N4542" s="20"/>
      <c r="O4542" s="20"/>
      <c r="P4542" s="20"/>
    </row>
    <row r="4543">
      <c r="A4543" s="10"/>
      <c r="B4543" s="11"/>
      <c r="C4543" s="10"/>
      <c r="D4543" s="13"/>
      <c r="E4543" s="14"/>
      <c r="F4543" s="14"/>
      <c r="G4543" s="14"/>
      <c r="H4543" s="10"/>
      <c r="I4543" s="17"/>
      <c r="J4543" s="10"/>
      <c r="K4543" s="46"/>
      <c r="L4543" s="10"/>
      <c r="M4543" s="20"/>
      <c r="N4543" s="20"/>
      <c r="O4543" s="20"/>
      <c r="P4543" s="20"/>
    </row>
    <row r="4544">
      <c r="A4544" s="23"/>
      <c r="B4544" s="21"/>
      <c r="C4544" s="23"/>
      <c r="D4544" s="24"/>
      <c r="E4544" s="14"/>
      <c r="F4544" s="14"/>
      <c r="G4544" s="14"/>
      <c r="H4544" s="23"/>
      <c r="I4544" s="27"/>
      <c r="J4544" s="23"/>
      <c r="K4544" s="30"/>
      <c r="L4544" s="23"/>
      <c r="M4544" s="20"/>
      <c r="N4544" s="20"/>
      <c r="O4544" s="20"/>
      <c r="P4544" s="20"/>
    </row>
    <row r="4545">
      <c r="A4545" s="10"/>
      <c r="B4545" s="11"/>
      <c r="C4545" s="10"/>
      <c r="D4545" s="13"/>
      <c r="E4545" s="14"/>
      <c r="F4545" s="14"/>
      <c r="G4545" s="14"/>
      <c r="H4545" s="10"/>
      <c r="I4545" s="17"/>
      <c r="J4545" s="10"/>
      <c r="K4545" s="46"/>
      <c r="L4545" s="10"/>
      <c r="M4545" s="20"/>
      <c r="N4545" s="20"/>
      <c r="O4545" s="20"/>
      <c r="P4545" s="20"/>
    </row>
    <row r="4546">
      <c r="A4546" s="23"/>
      <c r="B4546" s="21"/>
      <c r="C4546" s="23"/>
      <c r="D4546" s="24"/>
      <c r="E4546" s="14"/>
      <c r="F4546" s="14"/>
      <c r="G4546" s="14"/>
      <c r="H4546" s="23"/>
      <c r="I4546" s="27"/>
      <c r="J4546" s="23"/>
      <c r="K4546" s="30"/>
      <c r="L4546" s="23"/>
      <c r="M4546" s="20"/>
      <c r="N4546" s="20"/>
      <c r="O4546" s="20"/>
      <c r="P4546" s="20"/>
    </row>
    <row r="4547">
      <c r="A4547" s="10"/>
      <c r="B4547" s="11"/>
      <c r="C4547" s="10"/>
      <c r="D4547" s="13"/>
      <c r="E4547" s="14"/>
      <c r="F4547" s="14"/>
      <c r="G4547" s="14"/>
      <c r="H4547" s="10"/>
      <c r="I4547" s="17"/>
      <c r="J4547" s="10"/>
      <c r="K4547" s="46"/>
      <c r="L4547" s="10"/>
      <c r="M4547" s="20"/>
      <c r="N4547" s="20"/>
      <c r="O4547" s="20"/>
      <c r="P4547" s="20"/>
    </row>
    <row r="4548">
      <c r="A4548" s="23"/>
      <c r="B4548" s="21"/>
      <c r="C4548" s="23"/>
      <c r="D4548" s="24"/>
      <c r="E4548" s="14"/>
      <c r="F4548" s="14"/>
      <c r="G4548" s="14"/>
      <c r="H4548" s="23"/>
      <c r="I4548" s="27"/>
      <c r="J4548" s="23"/>
      <c r="K4548" s="30"/>
      <c r="L4548" s="23"/>
      <c r="M4548" s="20"/>
      <c r="N4548" s="20"/>
      <c r="O4548" s="20"/>
      <c r="P4548" s="20"/>
    </row>
    <row r="4549">
      <c r="A4549" s="10"/>
      <c r="B4549" s="11"/>
      <c r="C4549" s="10"/>
      <c r="D4549" s="13"/>
      <c r="E4549" s="14"/>
      <c r="F4549" s="14"/>
      <c r="G4549" s="14"/>
      <c r="H4549" s="10"/>
      <c r="I4549" s="17"/>
      <c r="J4549" s="10"/>
      <c r="K4549" s="46"/>
      <c r="L4549" s="10"/>
      <c r="M4549" s="20"/>
      <c r="N4549" s="20"/>
      <c r="O4549" s="20"/>
      <c r="P4549" s="20"/>
    </row>
    <row r="4550">
      <c r="A4550" s="23"/>
      <c r="B4550" s="21"/>
      <c r="C4550" s="23"/>
      <c r="D4550" s="24"/>
      <c r="E4550" s="14"/>
      <c r="F4550" s="14"/>
      <c r="G4550" s="14"/>
      <c r="H4550" s="23"/>
      <c r="I4550" s="27"/>
      <c r="J4550" s="23"/>
      <c r="K4550" s="30"/>
      <c r="L4550" s="23"/>
      <c r="M4550" s="20"/>
      <c r="N4550" s="20"/>
      <c r="O4550" s="20"/>
      <c r="P4550" s="20"/>
    </row>
    <row r="4551">
      <c r="A4551" s="10"/>
      <c r="B4551" s="11"/>
      <c r="C4551" s="10"/>
      <c r="D4551" s="13"/>
      <c r="E4551" s="14"/>
      <c r="F4551" s="14"/>
      <c r="G4551" s="14"/>
      <c r="H4551" s="10"/>
      <c r="I4551" s="17"/>
      <c r="J4551" s="10"/>
      <c r="K4551" s="46"/>
      <c r="L4551" s="10"/>
      <c r="M4551" s="20"/>
      <c r="N4551" s="20"/>
      <c r="O4551" s="20"/>
      <c r="P4551" s="20"/>
    </row>
    <row r="4552">
      <c r="A4552" s="23"/>
      <c r="B4552" s="21"/>
      <c r="C4552" s="23"/>
      <c r="D4552" s="24"/>
      <c r="E4552" s="14"/>
      <c r="F4552" s="14"/>
      <c r="G4552" s="14"/>
      <c r="H4552" s="23"/>
      <c r="I4552" s="27"/>
      <c r="J4552" s="23"/>
      <c r="K4552" s="30"/>
      <c r="L4552" s="23"/>
      <c r="M4552" s="20"/>
      <c r="N4552" s="20"/>
      <c r="O4552" s="20"/>
      <c r="P4552" s="20"/>
    </row>
    <row r="4553">
      <c r="A4553" s="10"/>
      <c r="B4553" s="11"/>
      <c r="C4553" s="10"/>
      <c r="D4553" s="13"/>
      <c r="E4553" s="14"/>
      <c r="F4553" s="14"/>
      <c r="G4553" s="14"/>
      <c r="H4553" s="10"/>
      <c r="I4553" s="17"/>
      <c r="J4553" s="10"/>
      <c r="K4553" s="46"/>
      <c r="L4553" s="10"/>
      <c r="M4553" s="20"/>
      <c r="N4553" s="20"/>
      <c r="O4553" s="20"/>
      <c r="P4553" s="20"/>
    </row>
    <row r="4554">
      <c r="A4554" s="23"/>
      <c r="B4554" s="21"/>
      <c r="C4554" s="23"/>
      <c r="D4554" s="24"/>
      <c r="E4554" s="14"/>
      <c r="F4554" s="14"/>
      <c r="G4554" s="14"/>
      <c r="H4554" s="23"/>
      <c r="I4554" s="27"/>
      <c r="J4554" s="23"/>
      <c r="K4554" s="30"/>
      <c r="L4554" s="23"/>
      <c r="M4554" s="20"/>
      <c r="N4554" s="20"/>
      <c r="O4554" s="20"/>
      <c r="P4554" s="20"/>
    </row>
    <row r="4555">
      <c r="A4555" s="10"/>
      <c r="B4555" s="11"/>
      <c r="C4555" s="10"/>
      <c r="D4555" s="13"/>
      <c r="E4555" s="14"/>
      <c r="F4555" s="14"/>
      <c r="G4555" s="14"/>
      <c r="H4555" s="10"/>
      <c r="I4555" s="17"/>
      <c r="J4555" s="10"/>
      <c r="K4555" s="46"/>
      <c r="L4555" s="10"/>
      <c r="M4555" s="20"/>
      <c r="N4555" s="20"/>
      <c r="O4555" s="20"/>
      <c r="P4555" s="20"/>
    </row>
    <row r="4556">
      <c r="A4556" s="23"/>
      <c r="B4556" s="21"/>
      <c r="C4556" s="23"/>
      <c r="D4556" s="24"/>
      <c r="E4556" s="14"/>
      <c r="F4556" s="14"/>
      <c r="G4556" s="14"/>
      <c r="H4556" s="23"/>
      <c r="I4556" s="27"/>
      <c r="J4556" s="23"/>
      <c r="K4556" s="30"/>
      <c r="L4556" s="23"/>
      <c r="M4556" s="20"/>
      <c r="N4556" s="20"/>
      <c r="O4556" s="20"/>
      <c r="P4556" s="20"/>
    </row>
    <row r="4557">
      <c r="A4557" s="10"/>
      <c r="B4557" s="11"/>
      <c r="C4557" s="10"/>
      <c r="D4557" s="13"/>
      <c r="E4557" s="14"/>
      <c r="F4557" s="14"/>
      <c r="G4557" s="14"/>
      <c r="H4557" s="10"/>
      <c r="I4557" s="17"/>
      <c r="J4557" s="10"/>
      <c r="K4557" s="46"/>
      <c r="L4557" s="10"/>
      <c r="M4557" s="20"/>
      <c r="N4557" s="20"/>
      <c r="O4557" s="20"/>
      <c r="P4557" s="20"/>
    </row>
    <row r="4558">
      <c r="A4558" s="23"/>
      <c r="B4558" s="21"/>
      <c r="C4558" s="23"/>
      <c r="D4558" s="24"/>
      <c r="E4558" s="14"/>
      <c r="F4558" s="14"/>
      <c r="G4558" s="14"/>
      <c r="H4558" s="23"/>
      <c r="I4558" s="27"/>
      <c r="J4558" s="23"/>
      <c r="K4558" s="30"/>
      <c r="L4558" s="23"/>
      <c r="M4558" s="20"/>
      <c r="N4558" s="20"/>
      <c r="O4558" s="20"/>
      <c r="P4558" s="20"/>
    </row>
    <row r="4559">
      <c r="A4559" s="10"/>
      <c r="B4559" s="11"/>
      <c r="C4559" s="10"/>
      <c r="D4559" s="13"/>
      <c r="E4559" s="14"/>
      <c r="F4559" s="14"/>
      <c r="G4559" s="14"/>
      <c r="H4559" s="10"/>
      <c r="I4559" s="17"/>
      <c r="J4559" s="10"/>
      <c r="K4559" s="46"/>
      <c r="L4559" s="10"/>
      <c r="M4559" s="20"/>
      <c r="N4559" s="20"/>
      <c r="O4559" s="20"/>
      <c r="P4559" s="20"/>
    </row>
    <row r="4560">
      <c r="A4560" s="23"/>
      <c r="B4560" s="21"/>
      <c r="C4560" s="23"/>
      <c r="D4560" s="24"/>
      <c r="E4560" s="14"/>
      <c r="F4560" s="14"/>
      <c r="G4560" s="14"/>
      <c r="H4560" s="23"/>
      <c r="I4560" s="27"/>
      <c r="J4560" s="23"/>
      <c r="K4560" s="30"/>
      <c r="L4560" s="23"/>
      <c r="M4560" s="20"/>
      <c r="N4560" s="20"/>
      <c r="O4560" s="20"/>
      <c r="P4560" s="20"/>
    </row>
    <row r="4561">
      <c r="A4561" s="10"/>
      <c r="B4561" s="11"/>
      <c r="C4561" s="10"/>
      <c r="D4561" s="13"/>
      <c r="E4561" s="14"/>
      <c r="F4561" s="14"/>
      <c r="G4561" s="14"/>
      <c r="H4561" s="10"/>
      <c r="I4561" s="17"/>
      <c r="J4561" s="10"/>
      <c r="K4561" s="46"/>
      <c r="L4561" s="10"/>
      <c r="M4561" s="20"/>
      <c r="N4561" s="20"/>
      <c r="O4561" s="20"/>
      <c r="P4561" s="20"/>
    </row>
    <row r="4562">
      <c r="A4562" s="23"/>
      <c r="B4562" s="21"/>
      <c r="C4562" s="23"/>
      <c r="D4562" s="24"/>
      <c r="E4562" s="14"/>
      <c r="F4562" s="14"/>
      <c r="G4562" s="14"/>
      <c r="H4562" s="23"/>
      <c r="I4562" s="27"/>
      <c r="J4562" s="23"/>
      <c r="K4562" s="30"/>
      <c r="L4562" s="23"/>
      <c r="M4562" s="20"/>
      <c r="N4562" s="20"/>
      <c r="O4562" s="20"/>
      <c r="P4562" s="20"/>
    </row>
    <row r="4563">
      <c r="A4563" s="10"/>
      <c r="B4563" s="11"/>
      <c r="C4563" s="10"/>
      <c r="D4563" s="13"/>
      <c r="E4563" s="14"/>
      <c r="F4563" s="14"/>
      <c r="G4563" s="14"/>
      <c r="H4563" s="10"/>
      <c r="I4563" s="17"/>
      <c r="J4563" s="10"/>
      <c r="K4563" s="46"/>
      <c r="L4563" s="10"/>
      <c r="M4563" s="20"/>
      <c r="N4563" s="20"/>
      <c r="O4563" s="20"/>
      <c r="P4563" s="20"/>
    </row>
    <row r="4564">
      <c r="A4564" s="23"/>
      <c r="B4564" s="21"/>
      <c r="C4564" s="23"/>
      <c r="D4564" s="24"/>
      <c r="E4564" s="14"/>
      <c r="F4564" s="14"/>
      <c r="G4564" s="14"/>
      <c r="H4564" s="23"/>
      <c r="I4564" s="27"/>
      <c r="J4564" s="23"/>
      <c r="K4564" s="30"/>
      <c r="L4564" s="23"/>
      <c r="M4564" s="20"/>
      <c r="N4564" s="20"/>
      <c r="O4564" s="20"/>
      <c r="P4564" s="20"/>
    </row>
    <row r="4565">
      <c r="A4565" s="10"/>
      <c r="B4565" s="11"/>
      <c r="C4565" s="10"/>
      <c r="D4565" s="13"/>
      <c r="E4565" s="14"/>
      <c r="F4565" s="14"/>
      <c r="G4565" s="14"/>
      <c r="H4565" s="10"/>
      <c r="I4565" s="17"/>
      <c r="J4565" s="10"/>
      <c r="K4565" s="46"/>
      <c r="L4565" s="10"/>
      <c r="M4565" s="20"/>
      <c r="N4565" s="20"/>
      <c r="O4565" s="20"/>
      <c r="P4565" s="20"/>
    </row>
    <row r="4566">
      <c r="A4566" s="23"/>
      <c r="B4566" s="21"/>
      <c r="C4566" s="23"/>
      <c r="D4566" s="24"/>
      <c r="E4566" s="14"/>
      <c r="F4566" s="14"/>
      <c r="G4566" s="14"/>
      <c r="H4566" s="23"/>
      <c r="I4566" s="27"/>
      <c r="J4566" s="23"/>
      <c r="K4566" s="30"/>
      <c r="L4566" s="23"/>
      <c r="M4566" s="20"/>
      <c r="N4566" s="20"/>
      <c r="O4566" s="20"/>
      <c r="P4566" s="20"/>
    </row>
    <row r="4567">
      <c r="A4567" s="10"/>
      <c r="B4567" s="11"/>
      <c r="C4567" s="10"/>
      <c r="D4567" s="13"/>
      <c r="E4567" s="14"/>
      <c r="F4567" s="14"/>
      <c r="G4567" s="14"/>
      <c r="H4567" s="10"/>
      <c r="I4567" s="17"/>
      <c r="J4567" s="10"/>
      <c r="K4567" s="46"/>
      <c r="L4567" s="10"/>
      <c r="M4567" s="20"/>
      <c r="N4567" s="20"/>
      <c r="O4567" s="20"/>
      <c r="P4567" s="20"/>
    </row>
    <row r="4568">
      <c r="A4568" s="23"/>
      <c r="B4568" s="21"/>
      <c r="C4568" s="23"/>
      <c r="D4568" s="24"/>
      <c r="E4568" s="14"/>
      <c r="F4568" s="14"/>
      <c r="G4568" s="14"/>
      <c r="H4568" s="23"/>
      <c r="I4568" s="27"/>
      <c r="J4568" s="23"/>
      <c r="K4568" s="30"/>
      <c r="L4568" s="23"/>
      <c r="M4568" s="20"/>
      <c r="N4568" s="20"/>
      <c r="O4568" s="20"/>
      <c r="P4568" s="20"/>
    </row>
    <row r="4569">
      <c r="A4569" s="10"/>
      <c r="B4569" s="11"/>
      <c r="C4569" s="10"/>
      <c r="D4569" s="13"/>
      <c r="E4569" s="14"/>
      <c r="F4569" s="14"/>
      <c r="G4569" s="14"/>
      <c r="H4569" s="10"/>
      <c r="I4569" s="17"/>
      <c r="J4569" s="10"/>
      <c r="K4569" s="46"/>
      <c r="L4569" s="10"/>
      <c r="M4569" s="20"/>
      <c r="N4569" s="20"/>
      <c r="O4569" s="20"/>
      <c r="P4569" s="20"/>
    </row>
    <row r="4570">
      <c r="A4570" s="23"/>
      <c r="B4570" s="21"/>
      <c r="C4570" s="23"/>
      <c r="D4570" s="24"/>
      <c r="E4570" s="14"/>
      <c r="F4570" s="14"/>
      <c r="G4570" s="14"/>
      <c r="H4570" s="23"/>
      <c r="I4570" s="27"/>
      <c r="J4570" s="23"/>
      <c r="K4570" s="30"/>
      <c r="L4570" s="23"/>
      <c r="M4570" s="20"/>
      <c r="N4570" s="20"/>
      <c r="O4570" s="20"/>
      <c r="P4570" s="20"/>
    </row>
    <row r="4571">
      <c r="A4571" s="10"/>
      <c r="B4571" s="11"/>
      <c r="C4571" s="10"/>
      <c r="D4571" s="13"/>
      <c r="E4571" s="14"/>
      <c r="F4571" s="14"/>
      <c r="G4571" s="14"/>
      <c r="H4571" s="10"/>
      <c r="I4571" s="17"/>
      <c r="J4571" s="10"/>
      <c r="K4571" s="46"/>
      <c r="L4571" s="10"/>
      <c r="M4571" s="20"/>
      <c r="N4571" s="20"/>
      <c r="O4571" s="20"/>
      <c r="P4571" s="20"/>
    </row>
    <row r="4572">
      <c r="A4572" s="23"/>
      <c r="B4572" s="21"/>
      <c r="C4572" s="23"/>
      <c r="D4572" s="24"/>
      <c r="E4572" s="14"/>
      <c r="F4572" s="14"/>
      <c r="G4572" s="14"/>
      <c r="H4572" s="23"/>
      <c r="I4572" s="27"/>
      <c r="J4572" s="23"/>
      <c r="K4572" s="30"/>
      <c r="L4572" s="23"/>
      <c r="M4572" s="20"/>
      <c r="N4572" s="20"/>
      <c r="O4572" s="20"/>
      <c r="P4572" s="20"/>
    </row>
    <row r="4573">
      <c r="A4573" s="10"/>
      <c r="B4573" s="11"/>
      <c r="C4573" s="10"/>
      <c r="D4573" s="13"/>
      <c r="E4573" s="14"/>
      <c r="F4573" s="14"/>
      <c r="G4573" s="14"/>
      <c r="H4573" s="10"/>
      <c r="I4573" s="17"/>
      <c r="J4573" s="10"/>
      <c r="K4573" s="46"/>
      <c r="L4573" s="10"/>
      <c r="M4573" s="20"/>
      <c r="N4573" s="20"/>
      <c r="O4573" s="20"/>
      <c r="P4573" s="20"/>
    </row>
    <row r="4574">
      <c r="A4574" s="23"/>
      <c r="B4574" s="21"/>
      <c r="C4574" s="23"/>
      <c r="D4574" s="24"/>
      <c r="E4574" s="14"/>
      <c r="F4574" s="14"/>
      <c r="G4574" s="14"/>
      <c r="H4574" s="23"/>
      <c r="I4574" s="27"/>
      <c r="J4574" s="23"/>
      <c r="K4574" s="30"/>
      <c r="L4574" s="23"/>
      <c r="M4574" s="20"/>
      <c r="N4574" s="20"/>
      <c r="O4574" s="20"/>
      <c r="P4574" s="20"/>
    </row>
    <row r="4575">
      <c r="A4575" s="10"/>
      <c r="B4575" s="11"/>
      <c r="C4575" s="10"/>
      <c r="D4575" s="13"/>
      <c r="E4575" s="14"/>
      <c r="F4575" s="14"/>
      <c r="G4575" s="14"/>
      <c r="H4575" s="10"/>
      <c r="I4575" s="17"/>
      <c r="J4575" s="10"/>
      <c r="K4575" s="46"/>
      <c r="L4575" s="10"/>
      <c r="M4575" s="20"/>
      <c r="N4575" s="20"/>
      <c r="O4575" s="20"/>
      <c r="P4575" s="20"/>
    </row>
    <row r="4576">
      <c r="A4576" s="23"/>
      <c r="B4576" s="21"/>
      <c r="C4576" s="23"/>
      <c r="D4576" s="24"/>
      <c r="E4576" s="14"/>
      <c r="F4576" s="14"/>
      <c r="G4576" s="14"/>
      <c r="H4576" s="23"/>
      <c r="I4576" s="27"/>
      <c r="J4576" s="23"/>
      <c r="K4576" s="30"/>
      <c r="L4576" s="23"/>
      <c r="M4576" s="20"/>
      <c r="N4576" s="20"/>
      <c r="O4576" s="20"/>
      <c r="P4576" s="20"/>
    </row>
    <row r="4577">
      <c r="A4577" s="10"/>
      <c r="B4577" s="11"/>
      <c r="C4577" s="10"/>
      <c r="D4577" s="13"/>
      <c r="E4577" s="14"/>
      <c r="F4577" s="14"/>
      <c r="G4577" s="14"/>
      <c r="H4577" s="10"/>
      <c r="I4577" s="17"/>
      <c r="J4577" s="10"/>
      <c r="K4577" s="46"/>
      <c r="L4577" s="10"/>
      <c r="M4577" s="20"/>
      <c r="N4577" s="20"/>
      <c r="O4577" s="20"/>
      <c r="P4577" s="20"/>
    </row>
    <row r="4578">
      <c r="A4578" s="23"/>
      <c r="B4578" s="21"/>
      <c r="C4578" s="23"/>
      <c r="D4578" s="24"/>
      <c r="E4578" s="14"/>
      <c r="F4578" s="14"/>
      <c r="G4578" s="14"/>
      <c r="H4578" s="23"/>
      <c r="I4578" s="27"/>
      <c r="J4578" s="23"/>
      <c r="K4578" s="30"/>
      <c r="L4578" s="23"/>
      <c r="M4578" s="20"/>
      <c r="N4578" s="20"/>
      <c r="O4578" s="20"/>
      <c r="P4578" s="20"/>
    </row>
    <row r="4579">
      <c r="A4579" s="10"/>
      <c r="B4579" s="11"/>
      <c r="C4579" s="10"/>
      <c r="D4579" s="13"/>
      <c r="E4579" s="14"/>
      <c r="F4579" s="14"/>
      <c r="G4579" s="14"/>
      <c r="H4579" s="10"/>
      <c r="I4579" s="17"/>
      <c r="J4579" s="10"/>
      <c r="K4579" s="46"/>
      <c r="L4579" s="10"/>
      <c r="M4579" s="20"/>
      <c r="N4579" s="20"/>
      <c r="O4579" s="20"/>
      <c r="P4579" s="20"/>
    </row>
    <row r="4580">
      <c r="A4580" s="23"/>
      <c r="B4580" s="21"/>
      <c r="C4580" s="23"/>
      <c r="D4580" s="24"/>
      <c r="E4580" s="14"/>
      <c r="F4580" s="14"/>
      <c r="G4580" s="14"/>
      <c r="H4580" s="23"/>
      <c r="I4580" s="27"/>
      <c r="J4580" s="23"/>
      <c r="K4580" s="30"/>
      <c r="L4580" s="23"/>
      <c r="M4580" s="20"/>
      <c r="N4580" s="20"/>
      <c r="O4580" s="20"/>
      <c r="P4580" s="20"/>
    </row>
    <row r="4581">
      <c r="A4581" s="10"/>
      <c r="B4581" s="11"/>
      <c r="C4581" s="10"/>
      <c r="D4581" s="13"/>
      <c r="E4581" s="14"/>
      <c r="F4581" s="14"/>
      <c r="G4581" s="14"/>
      <c r="H4581" s="10"/>
      <c r="I4581" s="17"/>
      <c r="J4581" s="10"/>
      <c r="K4581" s="46"/>
      <c r="L4581" s="10"/>
      <c r="M4581" s="20"/>
      <c r="N4581" s="20"/>
      <c r="O4581" s="20"/>
      <c r="P4581" s="20"/>
    </row>
    <row r="4582">
      <c r="A4582" s="23"/>
      <c r="B4582" s="21"/>
      <c r="C4582" s="23"/>
      <c r="D4582" s="24"/>
      <c r="E4582" s="14"/>
      <c r="F4582" s="14"/>
      <c r="G4582" s="14"/>
      <c r="H4582" s="23"/>
      <c r="I4582" s="27"/>
      <c r="J4582" s="23"/>
      <c r="K4582" s="30"/>
      <c r="L4582" s="23"/>
      <c r="M4582" s="20"/>
      <c r="N4582" s="20"/>
      <c r="O4582" s="20"/>
      <c r="P4582" s="20"/>
    </row>
    <row r="4583">
      <c r="A4583" s="10"/>
      <c r="B4583" s="11"/>
      <c r="C4583" s="10"/>
      <c r="D4583" s="13"/>
      <c r="E4583" s="14"/>
      <c r="F4583" s="14"/>
      <c r="G4583" s="14"/>
      <c r="H4583" s="10"/>
      <c r="I4583" s="17"/>
      <c r="J4583" s="10"/>
      <c r="K4583" s="46"/>
      <c r="L4583" s="10"/>
      <c r="M4583" s="20"/>
      <c r="N4583" s="20"/>
      <c r="O4583" s="20"/>
      <c r="P4583" s="20"/>
    </row>
    <row r="4584">
      <c r="A4584" s="23"/>
      <c r="B4584" s="21"/>
      <c r="C4584" s="23"/>
      <c r="D4584" s="24"/>
      <c r="E4584" s="14"/>
      <c r="F4584" s="14"/>
      <c r="G4584" s="14"/>
      <c r="H4584" s="23"/>
      <c r="I4584" s="27"/>
      <c r="J4584" s="23"/>
      <c r="K4584" s="30"/>
      <c r="L4584" s="23"/>
      <c r="M4584" s="20"/>
      <c r="N4584" s="20"/>
      <c r="O4584" s="20"/>
      <c r="P4584" s="20"/>
    </row>
    <row r="4585">
      <c r="A4585" s="10"/>
      <c r="B4585" s="11"/>
      <c r="C4585" s="10"/>
      <c r="D4585" s="13"/>
      <c r="E4585" s="14"/>
      <c r="F4585" s="14"/>
      <c r="G4585" s="14"/>
      <c r="H4585" s="10"/>
      <c r="I4585" s="17"/>
      <c r="J4585" s="10"/>
      <c r="K4585" s="46"/>
      <c r="L4585" s="10"/>
      <c r="M4585" s="20"/>
      <c r="N4585" s="20"/>
      <c r="O4585" s="20"/>
      <c r="P4585" s="20"/>
    </row>
    <row r="4586">
      <c r="A4586" s="23"/>
      <c r="B4586" s="21"/>
      <c r="C4586" s="23"/>
      <c r="D4586" s="24"/>
      <c r="E4586" s="14"/>
      <c r="F4586" s="14"/>
      <c r="G4586" s="14"/>
      <c r="H4586" s="23"/>
      <c r="I4586" s="27"/>
      <c r="J4586" s="23"/>
      <c r="K4586" s="30"/>
      <c r="L4586" s="23"/>
      <c r="M4586" s="20"/>
      <c r="N4586" s="20"/>
      <c r="O4586" s="20"/>
      <c r="P4586" s="20"/>
    </row>
    <row r="4587">
      <c r="A4587" s="10"/>
      <c r="B4587" s="11"/>
      <c r="C4587" s="10"/>
      <c r="D4587" s="13"/>
      <c r="E4587" s="14"/>
      <c r="F4587" s="14"/>
      <c r="G4587" s="14"/>
      <c r="H4587" s="10"/>
      <c r="I4587" s="17"/>
      <c r="J4587" s="10"/>
      <c r="K4587" s="46"/>
      <c r="L4587" s="10"/>
      <c r="M4587" s="20"/>
      <c r="N4587" s="20"/>
      <c r="O4587" s="20"/>
      <c r="P4587" s="20"/>
    </row>
    <row r="4588">
      <c r="A4588" s="23"/>
      <c r="B4588" s="21"/>
      <c r="C4588" s="23"/>
      <c r="D4588" s="24"/>
      <c r="E4588" s="14"/>
      <c r="F4588" s="14"/>
      <c r="G4588" s="14"/>
      <c r="H4588" s="23"/>
      <c r="I4588" s="27"/>
      <c r="J4588" s="23"/>
      <c r="K4588" s="30"/>
      <c r="L4588" s="23"/>
      <c r="M4588" s="20"/>
      <c r="N4588" s="20"/>
      <c r="O4588" s="20"/>
      <c r="P4588" s="20"/>
    </row>
    <row r="4589">
      <c r="A4589" s="10"/>
      <c r="B4589" s="11"/>
      <c r="C4589" s="10"/>
      <c r="D4589" s="13"/>
      <c r="E4589" s="14"/>
      <c r="F4589" s="14"/>
      <c r="G4589" s="14"/>
      <c r="H4589" s="10"/>
      <c r="I4589" s="17"/>
      <c r="J4589" s="10"/>
      <c r="K4589" s="46"/>
      <c r="L4589" s="10"/>
      <c r="M4589" s="20"/>
      <c r="N4589" s="20"/>
      <c r="O4589" s="20"/>
      <c r="P4589" s="20"/>
    </row>
    <row r="4590">
      <c r="A4590" s="23"/>
      <c r="B4590" s="21"/>
      <c r="C4590" s="23"/>
      <c r="D4590" s="24"/>
      <c r="E4590" s="14"/>
      <c r="F4590" s="14"/>
      <c r="G4590" s="14"/>
      <c r="H4590" s="23"/>
      <c r="I4590" s="27"/>
      <c r="J4590" s="23"/>
      <c r="K4590" s="30"/>
      <c r="L4590" s="23"/>
      <c r="M4590" s="20"/>
      <c r="N4590" s="20"/>
      <c r="O4590" s="20"/>
      <c r="P4590" s="20"/>
    </row>
    <row r="4591">
      <c r="A4591" s="10"/>
      <c r="B4591" s="11"/>
      <c r="C4591" s="10"/>
      <c r="D4591" s="13"/>
      <c r="E4591" s="14"/>
      <c r="F4591" s="14"/>
      <c r="G4591" s="14"/>
      <c r="H4591" s="10"/>
      <c r="I4591" s="17"/>
      <c r="J4591" s="10"/>
      <c r="K4591" s="46"/>
      <c r="L4591" s="10"/>
      <c r="M4591" s="20"/>
      <c r="N4591" s="20"/>
      <c r="O4591" s="20"/>
      <c r="P4591" s="20"/>
    </row>
    <row r="4592">
      <c r="A4592" s="23"/>
      <c r="B4592" s="21"/>
      <c r="C4592" s="23"/>
      <c r="D4592" s="24"/>
      <c r="E4592" s="14"/>
      <c r="F4592" s="14"/>
      <c r="G4592" s="14"/>
      <c r="H4592" s="23"/>
      <c r="I4592" s="27"/>
      <c r="J4592" s="23"/>
      <c r="K4592" s="30"/>
      <c r="L4592" s="23"/>
      <c r="M4592" s="20"/>
      <c r="N4592" s="20"/>
      <c r="O4592" s="20"/>
      <c r="P4592" s="20"/>
    </row>
    <row r="4593">
      <c r="A4593" s="10"/>
      <c r="B4593" s="11"/>
      <c r="C4593" s="10"/>
      <c r="D4593" s="13"/>
      <c r="E4593" s="14"/>
      <c r="F4593" s="14"/>
      <c r="G4593" s="14"/>
      <c r="H4593" s="10"/>
      <c r="I4593" s="17"/>
      <c r="J4593" s="10"/>
      <c r="K4593" s="46"/>
      <c r="L4593" s="10"/>
      <c r="M4593" s="20"/>
      <c r="N4593" s="20"/>
      <c r="O4593" s="20"/>
      <c r="P4593" s="20"/>
    </row>
    <row r="4594">
      <c r="A4594" s="23"/>
      <c r="B4594" s="21"/>
      <c r="C4594" s="23"/>
      <c r="D4594" s="24"/>
      <c r="E4594" s="14"/>
      <c r="F4594" s="14"/>
      <c r="G4594" s="14"/>
      <c r="H4594" s="23"/>
      <c r="I4594" s="27"/>
      <c r="J4594" s="23"/>
      <c r="K4594" s="30"/>
      <c r="L4594" s="23"/>
      <c r="M4594" s="20"/>
      <c r="N4594" s="20"/>
      <c r="O4594" s="20"/>
      <c r="P4594" s="20"/>
    </row>
    <row r="4595">
      <c r="A4595" s="10"/>
      <c r="B4595" s="11"/>
      <c r="C4595" s="10"/>
      <c r="D4595" s="13"/>
      <c r="E4595" s="14"/>
      <c r="F4595" s="14"/>
      <c r="G4595" s="14"/>
      <c r="H4595" s="10"/>
      <c r="I4595" s="17"/>
      <c r="J4595" s="10"/>
      <c r="K4595" s="46"/>
      <c r="L4595" s="10"/>
      <c r="M4595" s="20"/>
      <c r="N4595" s="20"/>
      <c r="O4595" s="20"/>
      <c r="P4595" s="20"/>
    </row>
    <row r="4596">
      <c r="A4596" s="23"/>
      <c r="B4596" s="21"/>
      <c r="C4596" s="23"/>
      <c r="D4596" s="24"/>
      <c r="E4596" s="14"/>
      <c r="F4596" s="14"/>
      <c r="G4596" s="14"/>
      <c r="H4596" s="23"/>
      <c r="I4596" s="27"/>
      <c r="J4596" s="23"/>
      <c r="K4596" s="30"/>
      <c r="L4596" s="23"/>
      <c r="M4596" s="20"/>
      <c r="N4596" s="20"/>
      <c r="O4596" s="20"/>
      <c r="P4596" s="20"/>
    </row>
    <row r="4597">
      <c r="A4597" s="10"/>
      <c r="B4597" s="11"/>
      <c r="C4597" s="10"/>
      <c r="D4597" s="13"/>
      <c r="E4597" s="14"/>
      <c r="F4597" s="14"/>
      <c r="G4597" s="14"/>
      <c r="H4597" s="10"/>
      <c r="I4597" s="17"/>
      <c r="J4597" s="10"/>
      <c r="K4597" s="46"/>
      <c r="L4597" s="10"/>
      <c r="M4597" s="20"/>
      <c r="N4597" s="20"/>
      <c r="O4597" s="20"/>
      <c r="P4597" s="20"/>
    </row>
    <row r="4598">
      <c r="A4598" s="23"/>
      <c r="B4598" s="21"/>
      <c r="C4598" s="23"/>
      <c r="D4598" s="24"/>
      <c r="E4598" s="14"/>
      <c r="F4598" s="14"/>
      <c r="G4598" s="14"/>
      <c r="H4598" s="23"/>
      <c r="I4598" s="27"/>
      <c r="J4598" s="23"/>
      <c r="K4598" s="30"/>
      <c r="L4598" s="23"/>
      <c r="M4598" s="20"/>
      <c r="N4598" s="20"/>
      <c r="O4598" s="20"/>
      <c r="P4598" s="20"/>
    </row>
    <row r="4599">
      <c r="A4599" s="10"/>
      <c r="B4599" s="11"/>
      <c r="C4599" s="10"/>
      <c r="D4599" s="13"/>
      <c r="E4599" s="14"/>
      <c r="F4599" s="14"/>
      <c r="G4599" s="14"/>
      <c r="H4599" s="10"/>
      <c r="I4599" s="17"/>
      <c r="J4599" s="10"/>
      <c r="K4599" s="46"/>
      <c r="L4599" s="10"/>
      <c r="M4599" s="20"/>
      <c r="N4599" s="20"/>
      <c r="O4599" s="20"/>
      <c r="P4599" s="20"/>
    </row>
    <row r="4600">
      <c r="A4600" s="23"/>
      <c r="B4600" s="21"/>
      <c r="C4600" s="23"/>
      <c r="D4600" s="24"/>
      <c r="E4600" s="14"/>
      <c r="F4600" s="14"/>
      <c r="G4600" s="14"/>
      <c r="H4600" s="23"/>
      <c r="I4600" s="27"/>
      <c r="J4600" s="23"/>
      <c r="K4600" s="30"/>
      <c r="L4600" s="23"/>
      <c r="M4600" s="20"/>
      <c r="N4600" s="20"/>
      <c r="O4600" s="20"/>
      <c r="P4600" s="20"/>
    </row>
    <row r="4601">
      <c r="A4601" s="10"/>
      <c r="B4601" s="11"/>
      <c r="C4601" s="10"/>
      <c r="D4601" s="13"/>
      <c r="E4601" s="14"/>
      <c r="F4601" s="14"/>
      <c r="G4601" s="14"/>
      <c r="H4601" s="10"/>
      <c r="I4601" s="17"/>
      <c r="J4601" s="10"/>
      <c r="K4601" s="46"/>
      <c r="L4601" s="10"/>
      <c r="M4601" s="20"/>
      <c r="N4601" s="20"/>
      <c r="O4601" s="20"/>
      <c r="P4601" s="20"/>
    </row>
    <row r="4602">
      <c r="A4602" s="23"/>
      <c r="B4602" s="21"/>
      <c r="C4602" s="23"/>
      <c r="D4602" s="24"/>
      <c r="E4602" s="14"/>
      <c r="F4602" s="14"/>
      <c r="G4602" s="14"/>
      <c r="H4602" s="23"/>
      <c r="I4602" s="27"/>
      <c r="J4602" s="23"/>
      <c r="K4602" s="30"/>
      <c r="L4602" s="23"/>
      <c r="M4602" s="20"/>
      <c r="N4602" s="20"/>
      <c r="O4602" s="20"/>
      <c r="P4602" s="20"/>
    </row>
    <row r="4603">
      <c r="A4603" s="10"/>
      <c r="B4603" s="11"/>
      <c r="C4603" s="10"/>
      <c r="D4603" s="13"/>
      <c r="E4603" s="14"/>
      <c r="F4603" s="14"/>
      <c r="G4603" s="14"/>
      <c r="H4603" s="10"/>
      <c r="I4603" s="17"/>
      <c r="J4603" s="10"/>
      <c r="K4603" s="46"/>
      <c r="L4603" s="10"/>
      <c r="M4603" s="20"/>
      <c r="N4603" s="20"/>
      <c r="O4603" s="20"/>
      <c r="P4603" s="20"/>
    </row>
    <row r="4604">
      <c r="A4604" s="23"/>
      <c r="B4604" s="21"/>
      <c r="C4604" s="23"/>
      <c r="D4604" s="24"/>
      <c r="E4604" s="14"/>
      <c r="F4604" s="14"/>
      <c r="G4604" s="14"/>
      <c r="H4604" s="23"/>
      <c r="I4604" s="27"/>
      <c r="J4604" s="23"/>
      <c r="K4604" s="30"/>
      <c r="L4604" s="23"/>
      <c r="M4604" s="20"/>
      <c r="N4604" s="20"/>
      <c r="O4604" s="20"/>
      <c r="P4604" s="20"/>
    </row>
    <row r="4605">
      <c r="A4605" s="10"/>
      <c r="B4605" s="11"/>
      <c r="C4605" s="10"/>
      <c r="D4605" s="13"/>
      <c r="E4605" s="14"/>
      <c r="F4605" s="14"/>
      <c r="G4605" s="14"/>
      <c r="H4605" s="10"/>
      <c r="I4605" s="17"/>
      <c r="J4605" s="10"/>
      <c r="K4605" s="46"/>
      <c r="L4605" s="10"/>
      <c r="M4605" s="20"/>
      <c r="N4605" s="20"/>
      <c r="O4605" s="20"/>
      <c r="P4605" s="20"/>
    </row>
    <row r="4606">
      <c r="A4606" s="23"/>
      <c r="B4606" s="21"/>
      <c r="C4606" s="23"/>
      <c r="D4606" s="24"/>
      <c r="E4606" s="14"/>
      <c r="F4606" s="14"/>
      <c r="G4606" s="14"/>
      <c r="H4606" s="23"/>
      <c r="I4606" s="27"/>
      <c r="J4606" s="23"/>
      <c r="K4606" s="30"/>
      <c r="L4606" s="23"/>
      <c r="M4606" s="20"/>
      <c r="N4606" s="20"/>
      <c r="O4606" s="20"/>
      <c r="P4606" s="20"/>
    </row>
    <row r="4607">
      <c r="A4607" s="10"/>
      <c r="B4607" s="11"/>
      <c r="C4607" s="10"/>
      <c r="D4607" s="13"/>
      <c r="E4607" s="14"/>
      <c r="F4607" s="14"/>
      <c r="G4607" s="14"/>
      <c r="H4607" s="10"/>
      <c r="I4607" s="17"/>
      <c r="J4607" s="10"/>
      <c r="K4607" s="46"/>
      <c r="L4607" s="10"/>
      <c r="M4607" s="20"/>
      <c r="N4607" s="20"/>
      <c r="O4607" s="20"/>
      <c r="P4607" s="20"/>
    </row>
    <row r="4608">
      <c r="A4608" s="23"/>
      <c r="B4608" s="21"/>
      <c r="C4608" s="23"/>
      <c r="D4608" s="24"/>
      <c r="E4608" s="14"/>
      <c r="F4608" s="14"/>
      <c r="G4608" s="14"/>
      <c r="H4608" s="23"/>
      <c r="I4608" s="27"/>
      <c r="J4608" s="23"/>
      <c r="K4608" s="30"/>
      <c r="L4608" s="23"/>
      <c r="M4608" s="20"/>
      <c r="N4608" s="20"/>
      <c r="O4608" s="20"/>
      <c r="P4608" s="20"/>
    </row>
    <row r="4609">
      <c r="A4609" s="10"/>
      <c r="B4609" s="11"/>
      <c r="C4609" s="10"/>
      <c r="D4609" s="13"/>
      <c r="E4609" s="14"/>
      <c r="F4609" s="14"/>
      <c r="G4609" s="14"/>
      <c r="H4609" s="10"/>
      <c r="I4609" s="17"/>
      <c r="J4609" s="10"/>
      <c r="K4609" s="46"/>
      <c r="L4609" s="10"/>
      <c r="M4609" s="20"/>
      <c r="N4609" s="20"/>
      <c r="O4609" s="20"/>
      <c r="P4609" s="20"/>
    </row>
    <row r="4610">
      <c r="A4610" s="23"/>
      <c r="B4610" s="21"/>
      <c r="C4610" s="23"/>
      <c r="D4610" s="24"/>
      <c r="E4610" s="14"/>
      <c r="F4610" s="14"/>
      <c r="G4610" s="14"/>
      <c r="H4610" s="23"/>
      <c r="I4610" s="27"/>
      <c r="J4610" s="23"/>
      <c r="K4610" s="30"/>
      <c r="L4610" s="23"/>
      <c r="M4610" s="20"/>
      <c r="N4610" s="20"/>
      <c r="O4610" s="20"/>
      <c r="P4610" s="20"/>
    </row>
    <row r="4611">
      <c r="A4611" s="10"/>
      <c r="B4611" s="11"/>
      <c r="C4611" s="10"/>
      <c r="D4611" s="13"/>
      <c r="E4611" s="14"/>
      <c r="F4611" s="14"/>
      <c r="G4611" s="14"/>
      <c r="H4611" s="10"/>
      <c r="I4611" s="17"/>
      <c r="J4611" s="10"/>
      <c r="K4611" s="46"/>
      <c r="L4611" s="10"/>
      <c r="M4611" s="20"/>
      <c r="N4611" s="20"/>
      <c r="O4611" s="20"/>
      <c r="P4611" s="20"/>
    </row>
    <row r="4612">
      <c r="A4612" s="23"/>
      <c r="B4612" s="21"/>
      <c r="C4612" s="23"/>
      <c r="D4612" s="24"/>
      <c r="E4612" s="14"/>
      <c r="F4612" s="14"/>
      <c r="G4612" s="14"/>
      <c r="H4612" s="23"/>
      <c r="I4612" s="27"/>
      <c r="J4612" s="23"/>
      <c r="K4612" s="30"/>
      <c r="L4612" s="23"/>
      <c r="M4612" s="20"/>
      <c r="N4612" s="20"/>
      <c r="O4612" s="20"/>
      <c r="P4612" s="20"/>
    </row>
    <row r="4613">
      <c r="A4613" s="10"/>
      <c r="B4613" s="11"/>
      <c r="C4613" s="10"/>
      <c r="D4613" s="13"/>
      <c r="E4613" s="14"/>
      <c r="F4613" s="14"/>
      <c r="G4613" s="14"/>
      <c r="H4613" s="10"/>
      <c r="I4613" s="17"/>
      <c r="J4613" s="10"/>
      <c r="K4613" s="46"/>
      <c r="L4613" s="10"/>
      <c r="M4613" s="20"/>
      <c r="N4613" s="20"/>
      <c r="O4613" s="20"/>
      <c r="P4613" s="20"/>
    </row>
    <row r="4614">
      <c r="A4614" s="23"/>
      <c r="B4614" s="21"/>
      <c r="C4614" s="23"/>
      <c r="D4614" s="24"/>
      <c r="E4614" s="14"/>
      <c r="F4614" s="14"/>
      <c r="G4614" s="14"/>
      <c r="H4614" s="23"/>
      <c r="I4614" s="27"/>
      <c r="J4614" s="23"/>
      <c r="K4614" s="30"/>
      <c r="L4614" s="23"/>
      <c r="M4614" s="20"/>
      <c r="N4614" s="20"/>
      <c r="O4614" s="20"/>
      <c r="P4614" s="20"/>
    </row>
    <row r="4615">
      <c r="A4615" s="10"/>
      <c r="B4615" s="11"/>
      <c r="C4615" s="10"/>
      <c r="D4615" s="13"/>
      <c r="E4615" s="14"/>
      <c r="F4615" s="14"/>
      <c r="G4615" s="14"/>
      <c r="H4615" s="10"/>
      <c r="I4615" s="17"/>
      <c r="J4615" s="10"/>
      <c r="K4615" s="46"/>
      <c r="L4615" s="10"/>
      <c r="M4615" s="20"/>
      <c r="N4615" s="20"/>
      <c r="O4615" s="20"/>
      <c r="P4615" s="20"/>
    </row>
    <row r="4616">
      <c r="A4616" s="23"/>
      <c r="B4616" s="21"/>
      <c r="C4616" s="23"/>
      <c r="D4616" s="24"/>
      <c r="E4616" s="14"/>
      <c r="F4616" s="14"/>
      <c r="G4616" s="14"/>
      <c r="H4616" s="23"/>
      <c r="I4616" s="27"/>
      <c r="J4616" s="23"/>
      <c r="K4616" s="30"/>
      <c r="L4616" s="23"/>
      <c r="M4616" s="20"/>
      <c r="N4616" s="20"/>
      <c r="O4616" s="20"/>
      <c r="P4616" s="20"/>
    </row>
    <row r="4617">
      <c r="A4617" s="10"/>
      <c r="B4617" s="11"/>
      <c r="C4617" s="10"/>
      <c r="D4617" s="13"/>
      <c r="E4617" s="14"/>
      <c r="F4617" s="14"/>
      <c r="G4617" s="14"/>
      <c r="H4617" s="10"/>
      <c r="I4617" s="17"/>
      <c r="J4617" s="10"/>
      <c r="K4617" s="46"/>
      <c r="L4617" s="10"/>
      <c r="M4617" s="20"/>
      <c r="N4617" s="20"/>
      <c r="O4617" s="20"/>
      <c r="P4617" s="20"/>
    </row>
    <row r="4618">
      <c r="A4618" s="23"/>
      <c r="B4618" s="21"/>
      <c r="C4618" s="23"/>
      <c r="D4618" s="24"/>
      <c r="E4618" s="14"/>
      <c r="F4618" s="14"/>
      <c r="G4618" s="14"/>
      <c r="H4618" s="23"/>
      <c r="I4618" s="27"/>
      <c r="J4618" s="23"/>
      <c r="K4618" s="30"/>
      <c r="L4618" s="23"/>
      <c r="M4618" s="20"/>
      <c r="N4618" s="20"/>
      <c r="O4618" s="20"/>
      <c r="P4618" s="20"/>
    </row>
    <row r="4619">
      <c r="A4619" s="10"/>
      <c r="B4619" s="11"/>
      <c r="C4619" s="10"/>
      <c r="D4619" s="13"/>
      <c r="E4619" s="14"/>
      <c r="F4619" s="14"/>
      <c r="G4619" s="14"/>
      <c r="H4619" s="10"/>
      <c r="I4619" s="17"/>
      <c r="J4619" s="10"/>
      <c r="K4619" s="46"/>
      <c r="L4619" s="10"/>
      <c r="M4619" s="20"/>
      <c r="N4619" s="20"/>
      <c r="O4619" s="20"/>
      <c r="P4619" s="20"/>
    </row>
    <row r="4620">
      <c r="A4620" s="23"/>
      <c r="B4620" s="21"/>
      <c r="C4620" s="23"/>
      <c r="D4620" s="24"/>
      <c r="E4620" s="14"/>
      <c r="F4620" s="14"/>
      <c r="G4620" s="14"/>
      <c r="H4620" s="23"/>
      <c r="I4620" s="27"/>
      <c r="J4620" s="23"/>
      <c r="K4620" s="30"/>
      <c r="L4620" s="23"/>
      <c r="M4620" s="20"/>
      <c r="N4620" s="20"/>
      <c r="O4620" s="20"/>
      <c r="P4620" s="20"/>
    </row>
    <row r="4621">
      <c r="A4621" s="10"/>
      <c r="B4621" s="11"/>
      <c r="C4621" s="10"/>
      <c r="D4621" s="13"/>
      <c r="E4621" s="14"/>
      <c r="F4621" s="14"/>
      <c r="G4621" s="14"/>
      <c r="H4621" s="10"/>
      <c r="I4621" s="17"/>
      <c r="J4621" s="10"/>
      <c r="K4621" s="46"/>
      <c r="L4621" s="10"/>
      <c r="M4621" s="20"/>
      <c r="N4621" s="20"/>
      <c r="O4621" s="20"/>
      <c r="P4621" s="20"/>
    </row>
    <row r="4622">
      <c r="A4622" s="23"/>
      <c r="B4622" s="21"/>
      <c r="C4622" s="23"/>
      <c r="D4622" s="24"/>
      <c r="E4622" s="14"/>
      <c r="F4622" s="14"/>
      <c r="G4622" s="14"/>
      <c r="H4622" s="23"/>
      <c r="I4622" s="27"/>
      <c r="J4622" s="23"/>
      <c r="K4622" s="30"/>
      <c r="L4622" s="23"/>
      <c r="M4622" s="20"/>
      <c r="N4622" s="20"/>
      <c r="O4622" s="20"/>
      <c r="P4622" s="20"/>
    </row>
    <row r="4623">
      <c r="A4623" s="10"/>
      <c r="B4623" s="11"/>
      <c r="C4623" s="10"/>
      <c r="D4623" s="13"/>
      <c r="E4623" s="14"/>
      <c r="F4623" s="14"/>
      <c r="G4623" s="14"/>
      <c r="H4623" s="10"/>
      <c r="I4623" s="17"/>
      <c r="J4623" s="10"/>
      <c r="K4623" s="46"/>
      <c r="L4623" s="10"/>
      <c r="M4623" s="20"/>
      <c r="N4623" s="20"/>
      <c r="O4623" s="20"/>
      <c r="P4623" s="20"/>
    </row>
    <row r="4624">
      <c r="A4624" s="23"/>
      <c r="B4624" s="21"/>
      <c r="C4624" s="23"/>
      <c r="D4624" s="24"/>
      <c r="E4624" s="14"/>
      <c r="F4624" s="14"/>
      <c r="G4624" s="14"/>
      <c r="H4624" s="23"/>
      <c r="I4624" s="27"/>
      <c r="J4624" s="23"/>
      <c r="K4624" s="30"/>
      <c r="L4624" s="23"/>
      <c r="M4624" s="20"/>
      <c r="N4624" s="20"/>
      <c r="O4624" s="20"/>
      <c r="P4624" s="20"/>
    </row>
    <row r="4625">
      <c r="A4625" s="10"/>
      <c r="B4625" s="11"/>
      <c r="C4625" s="10"/>
      <c r="D4625" s="13"/>
      <c r="E4625" s="14"/>
      <c r="F4625" s="14"/>
      <c r="G4625" s="14"/>
      <c r="H4625" s="10"/>
      <c r="I4625" s="17"/>
      <c r="J4625" s="10"/>
      <c r="K4625" s="46"/>
      <c r="L4625" s="10"/>
      <c r="M4625" s="20"/>
      <c r="N4625" s="20"/>
      <c r="O4625" s="20"/>
      <c r="P4625" s="20"/>
    </row>
    <row r="4626">
      <c r="A4626" s="23"/>
      <c r="B4626" s="21"/>
      <c r="C4626" s="23"/>
      <c r="D4626" s="24"/>
      <c r="E4626" s="14"/>
      <c r="F4626" s="14"/>
      <c r="G4626" s="14"/>
      <c r="H4626" s="23"/>
      <c r="I4626" s="27"/>
      <c r="J4626" s="23"/>
      <c r="K4626" s="30"/>
      <c r="L4626" s="23"/>
      <c r="M4626" s="20"/>
      <c r="N4626" s="20"/>
      <c r="O4626" s="20"/>
      <c r="P4626" s="20"/>
    </row>
    <row r="4627">
      <c r="A4627" s="10"/>
      <c r="B4627" s="11"/>
      <c r="C4627" s="10"/>
      <c r="D4627" s="13"/>
      <c r="E4627" s="14"/>
      <c r="F4627" s="14"/>
      <c r="G4627" s="14"/>
      <c r="H4627" s="10"/>
      <c r="I4627" s="17"/>
      <c r="J4627" s="10"/>
      <c r="K4627" s="46"/>
      <c r="L4627" s="10"/>
      <c r="M4627" s="20"/>
      <c r="N4627" s="20"/>
      <c r="O4627" s="20"/>
      <c r="P4627" s="20"/>
    </row>
    <row r="4628">
      <c r="A4628" s="23"/>
      <c r="B4628" s="21"/>
      <c r="C4628" s="23"/>
      <c r="D4628" s="24"/>
      <c r="E4628" s="14"/>
      <c r="F4628" s="14"/>
      <c r="G4628" s="14"/>
      <c r="H4628" s="23"/>
      <c r="I4628" s="27"/>
      <c r="J4628" s="23"/>
      <c r="K4628" s="30"/>
      <c r="L4628" s="23"/>
      <c r="M4628" s="20"/>
      <c r="N4628" s="20"/>
      <c r="O4628" s="20"/>
      <c r="P4628" s="20"/>
    </row>
    <row r="4629">
      <c r="A4629" s="10"/>
      <c r="B4629" s="11"/>
      <c r="C4629" s="10"/>
      <c r="D4629" s="13"/>
      <c r="E4629" s="14"/>
      <c r="F4629" s="14"/>
      <c r="G4629" s="14"/>
      <c r="H4629" s="10"/>
      <c r="I4629" s="17"/>
      <c r="J4629" s="10"/>
      <c r="K4629" s="46"/>
      <c r="L4629" s="10"/>
      <c r="M4629" s="20"/>
      <c r="N4629" s="20"/>
      <c r="O4629" s="20"/>
      <c r="P4629" s="20"/>
    </row>
    <row r="4630">
      <c r="A4630" s="23"/>
      <c r="B4630" s="21"/>
      <c r="C4630" s="23"/>
      <c r="D4630" s="24"/>
      <c r="E4630" s="14"/>
      <c r="F4630" s="14"/>
      <c r="G4630" s="14"/>
      <c r="H4630" s="23"/>
      <c r="I4630" s="27"/>
      <c r="J4630" s="23"/>
      <c r="K4630" s="30"/>
      <c r="L4630" s="23"/>
      <c r="M4630" s="20"/>
      <c r="N4630" s="20"/>
      <c r="O4630" s="20"/>
      <c r="P4630" s="20"/>
    </row>
    <row r="4631">
      <c r="A4631" s="10"/>
      <c r="B4631" s="11"/>
      <c r="C4631" s="10"/>
      <c r="D4631" s="13"/>
      <c r="E4631" s="14"/>
      <c r="F4631" s="14"/>
      <c r="G4631" s="14"/>
      <c r="H4631" s="10"/>
      <c r="I4631" s="17"/>
      <c r="J4631" s="10"/>
      <c r="K4631" s="46"/>
      <c r="L4631" s="10"/>
      <c r="M4631" s="20"/>
      <c r="N4631" s="20"/>
      <c r="O4631" s="20"/>
      <c r="P4631" s="20"/>
    </row>
    <row r="4632">
      <c r="A4632" s="23"/>
      <c r="B4632" s="21"/>
      <c r="C4632" s="23"/>
      <c r="D4632" s="24"/>
      <c r="E4632" s="14"/>
      <c r="F4632" s="14"/>
      <c r="G4632" s="14"/>
      <c r="H4632" s="23"/>
      <c r="I4632" s="27"/>
      <c r="J4632" s="23"/>
      <c r="K4632" s="30"/>
      <c r="L4632" s="23"/>
      <c r="M4632" s="20"/>
      <c r="N4632" s="20"/>
      <c r="O4632" s="20"/>
      <c r="P4632" s="20"/>
    </row>
    <row r="4633">
      <c r="A4633" s="10"/>
      <c r="B4633" s="11"/>
      <c r="C4633" s="10"/>
      <c r="D4633" s="13"/>
      <c r="E4633" s="14"/>
      <c r="F4633" s="14"/>
      <c r="G4633" s="14"/>
      <c r="H4633" s="10"/>
      <c r="I4633" s="17"/>
      <c r="J4633" s="10"/>
      <c r="K4633" s="46"/>
      <c r="L4633" s="10"/>
      <c r="M4633" s="20"/>
      <c r="N4633" s="20"/>
      <c r="O4633" s="20"/>
      <c r="P4633" s="20"/>
    </row>
    <row r="4634">
      <c r="A4634" s="23"/>
      <c r="B4634" s="21"/>
      <c r="C4634" s="23"/>
      <c r="D4634" s="24"/>
      <c r="E4634" s="14"/>
      <c r="F4634" s="14"/>
      <c r="G4634" s="14"/>
      <c r="H4634" s="23"/>
      <c r="I4634" s="27"/>
      <c r="J4634" s="23"/>
      <c r="K4634" s="30"/>
      <c r="L4634" s="23"/>
      <c r="M4634" s="20"/>
      <c r="N4634" s="20"/>
      <c r="O4634" s="20"/>
      <c r="P4634" s="20"/>
    </row>
    <row r="4635">
      <c r="A4635" s="10"/>
      <c r="B4635" s="11"/>
      <c r="C4635" s="10"/>
      <c r="D4635" s="13"/>
      <c r="E4635" s="14"/>
      <c r="F4635" s="14"/>
      <c r="G4635" s="14"/>
      <c r="H4635" s="10"/>
      <c r="I4635" s="17"/>
      <c r="J4635" s="10"/>
      <c r="K4635" s="46"/>
      <c r="L4635" s="10"/>
      <c r="M4635" s="20"/>
      <c r="N4635" s="20"/>
      <c r="O4635" s="20"/>
      <c r="P4635" s="20"/>
    </row>
    <row r="4636">
      <c r="A4636" s="23"/>
      <c r="B4636" s="21"/>
      <c r="C4636" s="23"/>
      <c r="D4636" s="24"/>
      <c r="E4636" s="14"/>
      <c r="F4636" s="14"/>
      <c r="G4636" s="14"/>
      <c r="H4636" s="23"/>
      <c r="I4636" s="27"/>
      <c r="J4636" s="23"/>
      <c r="K4636" s="30"/>
      <c r="L4636" s="23"/>
      <c r="M4636" s="20"/>
      <c r="N4636" s="20"/>
      <c r="O4636" s="20"/>
      <c r="P4636" s="20"/>
    </row>
    <row r="4637">
      <c r="A4637" s="10"/>
      <c r="B4637" s="11"/>
      <c r="C4637" s="10"/>
      <c r="D4637" s="13"/>
      <c r="E4637" s="14"/>
      <c r="F4637" s="14"/>
      <c r="G4637" s="14"/>
      <c r="H4637" s="10"/>
      <c r="I4637" s="17"/>
      <c r="J4637" s="10"/>
      <c r="K4637" s="46"/>
      <c r="L4637" s="10"/>
      <c r="M4637" s="20"/>
      <c r="N4637" s="20"/>
      <c r="O4637" s="20"/>
      <c r="P4637" s="20"/>
    </row>
    <row r="4638">
      <c r="A4638" s="23"/>
      <c r="B4638" s="21"/>
      <c r="C4638" s="23"/>
      <c r="D4638" s="24"/>
      <c r="E4638" s="14"/>
      <c r="F4638" s="14"/>
      <c r="G4638" s="14"/>
      <c r="H4638" s="23"/>
      <c r="I4638" s="27"/>
      <c r="J4638" s="23"/>
      <c r="K4638" s="30"/>
      <c r="L4638" s="23"/>
      <c r="M4638" s="20"/>
      <c r="N4638" s="20"/>
      <c r="O4638" s="20"/>
      <c r="P4638" s="20"/>
    </row>
    <row r="4639">
      <c r="A4639" s="10"/>
      <c r="B4639" s="11"/>
      <c r="C4639" s="10"/>
      <c r="D4639" s="13"/>
      <c r="E4639" s="14"/>
      <c r="F4639" s="14"/>
      <c r="G4639" s="14"/>
      <c r="H4639" s="10"/>
      <c r="I4639" s="17"/>
      <c r="J4639" s="10"/>
      <c r="K4639" s="46"/>
      <c r="L4639" s="10"/>
      <c r="M4639" s="20"/>
      <c r="N4639" s="20"/>
      <c r="O4639" s="20"/>
      <c r="P4639" s="20"/>
    </row>
    <row r="4640">
      <c r="A4640" s="23"/>
      <c r="B4640" s="21"/>
      <c r="C4640" s="23"/>
      <c r="D4640" s="24"/>
      <c r="E4640" s="14"/>
      <c r="F4640" s="14"/>
      <c r="G4640" s="14"/>
      <c r="H4640" s="23"/>
      <c r="I4640" s="27"/>
      <c r="J4640" s="23"/>
      <c r="K4640" s="30"/>
      <c r="L4640" s="23"/>
      <c r="M4640" s="20"/>
      <c r="N4640" s="20"/>
      <c r="O4640" s="20"/>
      <c r="P4640" s="20"/>
    </row>
    <row r="4641">
      <c r="A4641" s="10"/>
      <c r="B4641" s="11"/>
      <c r="C4641" s="10"/>
      <c r="D4641" s="13"/>
      <c r="E4641" s="14"/>
      <c r="F4641" s="14"/>
      <c r="G4641" s="14"/>
      <c r="H4641" s="10"/>
      <c r="I4641" s="17"/>
      <c r="J4641" s="10"/>
      <c r="K4641" s="46"/>
      <c r="L4641" s="10"/>
      <c r="M4641" s="20"/>
      <c r="N4641" s="20"/>
      <c r="O4641" s="20"/>
      <c r="P4641" s="20"/>
    </row>
    <row r="4642">
      <c r="A4642" s="23"/>
      <c r="B4642" s="21"/>
      <c r="C4642" s="23"/>
      <c r="D4642" s="24"/>
      <c r="E4642" s="14"/>
      <c r="F4642" s="14"/>
      <c r="G4642" s="14"/>
      <c r="H4642" s="23"/>
      <c r="I4642" s="27"/>
      <c r="J4642" s="23"/>
      <c r="K4642" s="30"/>
      <c r="L4642" s="23"/>
      <c r="M4642" s="20"/>
      <c r="N4642" s="20"/>
      <c r="O4642" s="20"/>
      <c r="P4642" s="20"/>
    </row>
    <row r="4643">
      <c r="A4643" s="10"/>
      <c r="B4643" s="11"/>
      <c r="C4643" s="10"/>
      <c r="D4643" s="13"/>
      <c r="E4643" s="14"/>
      <c r="F4643" s="14"/>
      <c r="G4643" s="14"/>
      <c r="H4643" s="10"/>
      <c r="I4643" s="17"/>
      <c r="J4643" s="10"/>
      <c r="K4643" s="46"/>
      <c r="L4643" s="10"/>
      <c r="M4643" s="20"/>
      <c r="N4643" s="20"/>
      <c r="O4643" s="20"/>
      <c r="P4643" s="20"/>
    </row>
    <row r="4644">
      <c r="A4644" s="23"/>
      <c r="B4644" s="21"/>
      <c r="C4644" s="23"/>
      <c r="D4644" s="24"/>
      <c r="E4644" s="14"/>
      <c r="F4644" s="14"/>
      <c r="G4644" s="14"/>
      <c r="H4644" s="23"/>
      <c r="I4644" s="27"/>
      <c r="J4644" s="23"/>
      <c r="K4644" s="30"/>
      <c r="L4644" s="23"/>
      <c r="M4644" s="20"/>
      <c r="N4644" s="20"/>
      <c r="O4644" s="20"/>
      <c r="P4644" s="20"/>
    </row>
    <row r="4645">
      <c r="A4645" s="10"/>
      <c r="B4645" s="11"/>
      <c r="C4645" s="10"/>
      <c r="D4645" s="13"/>
      <c r="E4645" s="14"/>
      <c r="F4645" s="14"/>
      <c r="G4645" s="14"/>
      <c r="H4645" s="10"/>
      <c r="I4645" s="17"/>
      <c r="J4645" s="10"/>
      <c r="K4645" s="46"/>
      <c r="L4645" s="10"/>
      <c r="M4645" s="20"/>
      <c r="N4645" s="20"/>
      <c r="O4645" s="20"/>
      <c r="P4645" s="20"/>
    </row>
    <row r="4646">
      <c r="A4646" s="23"/>
      <c r="B4646" s="21"/>
      <c r="C4646" s="23"/>
      <c r="D4646" s="24"/>
      <c r="E4646" s="14"/>
      <c r="F4646" s="14"/>
      <c r="G4646" s="14"/>
      <c r="H4646" s="23"/>
      <c r="I4646" s="27"/>
      <c r="J4646" s="23"/>
      <c r="K4646" s="30"/>
      <c r="L4646" s="23"/>
      <c r="M4646" s="20"/>
      <c r="N4646" s="20"/>
      <c r="O4646" s="20"/>
      <c r="P4646" s="20"/>
    </row>
    <row r="4647">
      <c r="A4647" s="10"/>
      <c r="B4647" s="11"/>
      <c r="C4647" s="10"/>
      <c r="D4647" s="13"/>
      <c r="E4647" s="14"/>
      <c r="F4647" s="14"/>
      <c r="G4647" s="14"/>
      <c r="H4647" s="10"/>
      <c r="I4647" s="17"/>
      <c r="J4647" s="10"/>
      <c r="K4647" s="46"/>
      <c r="L4647" s="10"/>
      <c r="M4647" s="20"/>
      <c r="N4647" s="20"/>
      <c r="O4647" s="20"/>
      <c r="P4647" s="20"/>
    </row>
    <row r="4648">
      <c r="A4648" s="23"/>
      <c r="B4648" s="21"/>
      <c r="C4648" s="23"/>
      <c r="D4648" s="24"/>
      <c r="E4648" s="14"/>
      <c r="F4648" s="14"/>
      <c r="G4648" s="14"/>
      <c r="H4648" s="23"/>
      <c r="I4648" s="27"/>
      <c r="J4648" s="23"/>
      <c r="K4648" s="30"/>
      <c r="L4648" s="23"/>
      <c r="M4648" s="20"/>
      <c r="N4648" s="20"/>
      <c r="O4648" s="20"/>
      <c r="P4648" s="20"/>
    </row>
    <row r="4649">
      <c r="A4649" s="10"/>
      <c r="B4649" s="11"/>
      <c r="C4649" s="10"/>
      <c r="D4649" s="13"/>
      <c r="E4649" s="14"/>
      <c r="F4649" s="14"/>
      <c r="G4649" s="14"/>
      <c r="H4649" s="10"/>
      <c r="I4649" s="17"/>
      <c r="J4649" s="10"/>
      <c r="K4649" s="46"/>
      <c r="L4649" s="10"/>
      <c r="M4649" s="20"/>
      <c r="N4649" s="20"/>
      <c r="O4649" s="20"/>
      <c r="P4649" s="20"/>
    </row>
    <row r="4650">
      <c r="A4650" s="23"/>
      <c r="B4650" s="21"/>
      <c r="C4650" s="23"/>
      <c r="D4650" s="24"/>
      <c r="E4650" s="14"/>
      <c r="F4650" s="14"/>
      <c r="G4650" s="14"/>
      <c r="H4650" s="23"/>
      <c r="I4650" s="27"/>
      <c r="J4650" s="23"/>
      <c r="K4650" s="30"/>
      <c r="L4650" s="23"/>
      <c r="M4650" s="20"/>
      <c r="N4650" s="20"/>
      <c r="O4650" s="20"/>
      <c r="P4650" s="20"/>
    </row>
    <row r="4651">
      <c r="A4651" s="10"/>
      <c r="B4651" s="11"/>
      <c r="C4651" s="10"/>
      <c r="D4651" s="13"/>
      <c r="E4651" s="14"/>
      <c r="F4651" s="14"/>
      <c r="G4651" s="14"/>
      <c r="H4651" s="10"/>
      <c r="I4651" s="17"/>
      <c r="J4651" s="10"/>
      <c r="K4651" s="46"/>
      <c r="L4651" s="10"/>
      <c r="M4651" s="20"/>
      <c r="N4651" s="20"/>
      <c r="O4651" s="20"/>
      <c r="P4651" s="20"/>
    </row>
    <row r="4652">
      <c r="A4652" s="23"/>
      <c r="B4652" s="21"/>
      <c r="C4652" s="23"/>
      <c r="D4652" s="24"/>
      <c r="E4652" s="14"/>
      <c r="F4652" s="14"/>
      <c r="G4652" s="14"/>
      <c r="H4652" s="23"/>
      <c r="I4652" s="27"/>
      <c r="J4652" s="23"/>
      <c r="K4652" s="30"/>
      <c r="L4652" s="23"/>
      <c r="M4652" s="20"/>
      <c r="N4652" s="20"/>
      <c r="O4652" s="20"/>
      <c r="P4652" s="20"/>
    </row>
    <row r="4653">
      <c r="A4653" s="10"/>
      <c r="B4653" s="11"/>
      <c r="C4653" s="10"/>
      <c r="D4653" s="13"/>
      <c r="E4653" s="14"/>
      <c r="F4653" s="14"/>
      <c r="G4653" s="14"/>
      <c r="H4653" s="10"/>
      <c r="I4653" s="17"/>
      <c r="J4653" s="10"/>
      <c r="K4653" s="46"/>
      <c r="L4653" s="10"/>
      <c r="M4653" s="20"/>
      <c r="N4653" s="20"/>
      <c r="O4653" s="20"/>
      <c r="P4653" s="20"/>
    </row>
    <row r="4654">
      <c r="A4654" s="23"/>
      <c r="B4654" s="21"/>
      <c r="C4654" s="23"/>
      <c r="D4654" s="24"/>
      <c r="E4654" s="14"/>
      <c r="F4654" s="14"/>
      <c r="G4654" s="14"/>
      <c r="H4654" s="23"/>
      <c r="I4654" s="27"/>
      <c r="J4654" s="23"/>
      <c r="K4654" s="30"/>
      <c r="L4654" s="23"/>
      <c r="M4654" s="20"/>
      <c r="N4654" s="20"/>
      <c r="O4654" s="20"/>
      <c r="P4654" s="20"/>
    </row>
    <row r="4655">
      <c r="A4655" s="10"/>
      <c r="B4655" s="11"/>
      <c r="C4655" s="10"/>
      <c r="D4655" s="13"/>
      <c r="E4655" s="14"/>
      <c r="F4655" s="14"/>
      <c r="G4655" s="14"/>
      <c r="H4655" s="10"/>
      <c r="I4655" s="17"/>
      <c r="J4655" s="10"/>
      <c r="K4655" s="46"/>
      <c r="L4655" s="10"/>
      <c r="M4655" s="20"/>
      <c r="N4655" s="20"/>
      <c r="O4655" s="20"/>
      <c r="P4655" s="20"/>
    </row>
    <row r="4656">
      <c r="A4656" s="23"/>
      <c r="B4656" s="21"/>
      <c r="C4656" s="23"/>
      <c r="D4656" s="24"/>
      <c r="E4656" s="14"/>
      <c r="F4656" s="14"/>
      <c r="G4656" s="14"/>
      <c r="H4656" s="23"/>
      <c r="I4656" s="27"/>
      <c r="J4656" s="23"/>
      <c r="K4656" s="30"/>
      <c r="L4656" s="23"/>
      <c r="M4656" s="20"/>
      <c r="N4656" s="20"/>
      <c r="O4656" s="20"/>
      <c r="P4656" s="20"/>
    </row>
    <row r="4657">
      <c r="A4657" s="10"/>
      <c r="B4657" s="11"/>
      <c r="C4657" s="10"/>
      <c r="D4657" s="13"/>
      <c r="E4657" s="14"/>
      <c r="F4657" s="14"/>
      <c r="G4657" s="14"/>
      <c r="H4657" s="10"/>
      <c r="I4657" s="17"/>
      <c r="J4657" s="10"/>
      <c r="K4657" s="46"/>
      <c r="L4657" s="10"/>
      <c r="M4657" s="20"/>
      <c r="N4657" s="20"/>
      <c r="O4657" s="20"/>
      <c r="P4657" s="20"/>
    </row>
    <row r="4658">
      <c r="A4658" s="23"/>
      <c r="B4658" s="21"/>
      <c r="C4658" s="23"/>
      <c r="D4658" s="24"/>
      <c r="E4658" s="14"/>
      <c r="F4658" s="14"/>
      <c r="G4658" s="14"/>
      <c r="H4658" s="23"/>
      <c r="I4658" s="27"/>
      <c r="J4658" s="23"/>
      <c r="K4658" s="30"/>
      <c r="L4658" s="23"/>
      <c r="M4658" s="20"/>
      <c r="N4658" s="20"/>
      <c r="O4658" s="20"/>
      <c r="P4658" s="20"/>
    </row>
    <row r="4659">
      <c r="A4659" s="10"/>
      <c r="B4659" s="11"/>
      <c r="C4659" s="10"/>
      <c r="D4659" s="13"/>
      <c r="E4659" s="14"/>
      <c r="F4659" s="14"/>
      <c r="G4659" s="14"/>
      <c r="H4659" s="10"/>
      <c r="I4659" s="17"/>
      <c r="J4659" s="10"/>
      <c r="K4659" s="46"/>
      <c r="L4659" s="10"/>
      <c r="M4659" s="20"/>
      <c r="N4659" s="20"/>
      <c r="O4659" s="20"/>
      <c r="P4659" s="20"/>
    </row>
    <row r="4660">
      <c r="A4660" s="23"/>
      <c r="B4660" s="21"/>
      <c r="C4660" s="23"/>
      <c r="D4660" s="24"/>
      <c r="E4660" s="14"/>
      <c r="F4660" s="14"/>
      <c r="G4660" s="14"/>
      <c r="H4660" s="23"/>
      <c r="I4660" s="27"/>
      <c r="J4660" s="23"/>
      <c r="K4660" s="30"/>
      <c r="L4660" s="23"/>
      <c r="M4660" s="20"/>
      <c r="N4660" s="20"/>
      <c r="O4660" s="20"/>
      <c r="P4660" s="20"/>
    </row>
    <row r="4661">
      <c r="A4661" s="10"/>
      <c r="B4661" s="11"/>
      <c r="C4661" s="10"/>
      <c r="D4661" s="13"/>
      <c r="E4661" s="14"/>
      <c r="F4661" s="14"/>
      <c r="G4661" s="14"/>
      <c r="H4661" s="10"/>
      <c r="I4661" s="17"/>
      <c r="J4661" s="10"/>
      <c r="K4661" s="46"/>
      <c r="L4661" s="10"/>
      <c r="M4661" s="20"/>
      <c r="N4661" s="20"/>
      <c r="O4661" s="20"/>
      <c r="P4661" s="20"/>
    </row>
    <row r="4662">
      <c r="A4662" s="23"/>
      <c r="B4662" s="21"/>
      <c r="C4662" s="23"/>
      <c r="D4662" s="24"/>
      <c r="E4662" s="14"/>
      <c r="F4662" s="14"/>
      <c r="G4662" s="14"/>
      <c r="H4662" s="23"/>
      <c r="I4662" s="27"/>
      <c r="J4662" s="23"/>
      <c r="K4662" s="30"/>
      <c r="L4662" s="23"/>
      <c r="M4662" s="20"/>
      <c r="N4662" s="20"/>
      <c r="O4662" s="20"/>
      <c r="P4662" s="20"/>
    </row>
    <row r="4663">
      <c r="A4663" s="10"/>
      <c r="B4663" s="11"/>
      <c r="C4663" s="10"/>
      <c r="D4663" s="13"/>
      <c r="E4663" s="14"/>
      <c r="F4663" s="14"/>
      <c r="G4663" s="14"/>
      <c r="H4663" s="10"/>
      <c r="I4663" s="17"/>
      <c r="J4663" s="10"/>
      <c r="K4663" s="46"/>
      <c r="L4663" s="10"/>
      <c r="M4663" s="20"/>
      <c r="N4663" s="20"/>
      <c r="O4663" s="20"/>
      <c r="P4663" s="20"/>
    </row>
    <row r="4664">
      <c r="A4664" s="23"/>
      <c r="B4664" s="21"/>
      <c r="C4664" s="23"/>
      <c r="D4664" s="24"/>
      <c r="E4664" s="14"/>
      <c r="F4664" s="14"/>
      <c r="G4664" s="14"/>
      <c r="H4664" s="23"/>
      <c r="I4664" s="27"/>
      <c r="J4664" s="23"/>
      <c r="K4664" s="30"/>
      <c r="L4664" s="23"/>
      <c r="M4664" s="20"/>
      <c r="N4664" s="20"/>
      <c r="O4664" s="20"/>
      <c r="P4664" s="20"/>
    </row>
    <row r="4665">
      <c r="A4665" s="10"/>
      <c r="B4665" s="11"/>
      <c r="C4665" s="10"/>
      <c r="D4665" s="13"/>
      <c r="E4665" s="14"/>
      <c r="F4665" s="14"/>
      <c r="G4665" s="14"/>
      <c r="H4665" s="10"/>
      <c r="I4665" s="17"/>
      <c r="J4665" s="10"/>
      <c r="K4665" s="46"/>
      <c r="L4665" s="10"/>
      <c r="M4665" s="20"/>
      <c r="N4665" s="20"/>
      <c r="O4665" s="20"/>
      <c r="P4665" s="20"/>
    </row>
    <row r="4666">
      <c r="A4666" s="23"/>
      <c r="B4666" s="21"/>
      <c r="C4666" s="23"/>
      <c r="D4666" s="24"/>
      <c r="E4666" s="14"/>
      <c r="F4666" s="14"/>
      <c r="G4666" s="14"/>
      <c r="H4666" s="23"/>
      <c r="I4666" s="27"/>
      <c r="J4666" s="23"/>
      <c r="K4666" s="30"/>
      <c r="L4666" s="23"/>
      <c r="M4666" s="20"/>
      <c r="N4666" s="20"/>
      <c r="O4666" s="20"/>
      <c r="P4666" s="20"/>
    </row>
    <row r="4667">
      <c r="A4667" s="10"/>
      <c r="B4667" s="11"/>
      <c r="C4667" s="10"/>
      <c r="D4667" s="13"/>
      <c r="E4667" s="14"/>
      <c r="F4667" s="14"/>
      <c r="G4667" s="14"/>
      <c r="H4667" s="10"/>
      <c r="I4667" s="17"/>
      <c r="J4667" s="10"/>
      <c r="K4667" s="46"/>
      <c r="L4667" s="10"/>
      <c r="M4667" s="20"/>
      <c r="N4667" s="20"/>
      <c r="O4667" s="20"/>
      <c r="P4667" s="20"/>
    </row>
    <row r="4668">
      <c r="A4668" s="23"/>
      <c r="B4668" s="21"/>
      <c r="C4668" s="23"/>
      <c r="D4668" s="24"/>
      <c r="E4668" s="14"/>
      <c r="F4668" s="14"/>
      <c r="G4668" s="14"/>
      <c r="H4668" s="23"/>
      <c r="I4668" s="27"/>
      <c r="J4668" s="23"/>
      <c r="K4668" s="30"/>
      <c r="L4668" s="23"/>
      <c r="M4668" s="20"/>
      <c r="N4668" s="20"/>
      <c r="O4668" s="20"/>
      <c r="P4668" s="20"/>
    </row>
    <row r="4669">
      <c r="A4669" s="10"/>
      <c r="B4669" s="11"/>
      <c r="C4669" s="10"/>
      <c r="D4669" s="13"/>
      <c r="E4669" s="14"/>
      <c r="F4669" s="14"/>
      <c r="G4669" s="14"/>
      <c r="H4669" s="10"/>
      <c r="I4669" s="17"/>
      <c r="J4669" s="10"/>
      <c r="K4669" s="46"/>
      <c r="L4669" s="10"/>
      <c r="M4669" s="20"/>
      <c r="N4669" s="20"/>
      <c r="O4669" s="20"/>
      <c r="P4669" s="20"/>
    </row>
    <row r="4670">
      <c r="A4670" s="23"/>
      <c r="B4670" s="21"/>
      <c r="C4670" s="23"/>
      <c r="D4670" s="24"/>
      <c r="E4670" s="14"/>
      <c r="F4670" s="14"/>
      <c r="G4670" s="14"/>
      <c r="H4670" s="23"/>
      <c r="I4670" s="27"/>
      <c r="J4670" s="23"/>
      <c r="K4670" s="30"/>
      <c r="L4670" s="23"/>
      <c r="M4670" s="20"/>
      <c r="N4670" s="20"/>
      <c r="O4670" s="20"/>
      <c r="P4670" s="20"/>
    </row>
    <row r="4671">
      <c r="A4671" s="10"/>
      <c r="B4671" s="11"/>
      <c r="C4671" s="10"/>
      <c r="D4671" s="13"/>
      <c r="E4671" s="14"/>
      <c r="F4671" s="14"/>
      <c r="G4671" s="14"/>
      <c r="H4671" s="10"/>
      <c r="I4671" s="17"/>
      <c r="J4671" s="10"/>
      <c r="K4671" s="46"/>
      <c r="L4671" s="10"/>
      <c r="M4671" s="20"/>
      <c r="N4671" s="20"/>
      <c r="O4671" s="20"/>
      <c r="P4671" s="20"/>
    </row>
    <row r="4672">
      <c r="A4672" s="23"/>
      <c r="B4672" s="21"/>
      <c r="C4672" s="23"/>
      <c r="D4672" s="24"/>
      <c r="E4672" s="14"/>
      <c r="F4672" s="14"/>
      <c r="G4672" s="14"/>
      <c r="H4672" s="23"/>
      <c r="I4672" s="27"/>
      <c r="J4672" s="23"/>
      <c r="K4672" s="30"/>
      <c r="L4672" s="23"/>
      <c r="M4672" s="20"/>
      <c r="N4672" s="20"/>
      <c r="O4672" s="20"/>
      <c r="P4672" s="20"/>
    </row>
    <row r="4673">
      <c r="A4673" s="10"/>
      <c r="B4673" s="11"/>
      <c r="C4673" s="10"/>
      <c r="D4673" s="13"/>
      <c r="E4673" s="14"/>
      <c r="F4673" s="14"/>
      <c r="G4673" s="14"/>
      <c r="H4673" s="10"/>
      <c r="I4673" s="17"/>
      <c r="J4673" s="10"/>
      <c r="K4673" s="46"/>
      <c r="L4673" s="10"/>
      <c r="M4673" s="20"/>
      <c r="N4673" s="20"/>
      <c r="O4673" s="20"/>
      <c r="P4673" s="20"/>
    </row>
    <row r="4674">
      <c r="A4674" s="23"/>
      <c r="B4674" s="21"/>
      <c r="C4674" s="23"/>
      <c r="D4674" s="24"/>
      <c r="E4674" s="14"/>
      <c r="F4674" s="14"/>
      <c r="G4674" s="14"/>
      <c r="H4674" s="23"/>
      <c r="I4674" s="27"/>
      <c r="J4674" s="23"/>
      <c r="K4674" s="30"/>
      <c r="L4674" s="23"/>
      <c r="M4674" s="20"/>
      <c r="N4674" s="20"/>
      <c r="O4674" s="20"/>
      <c r="P4674" s="20"/>
    </row>
    <row r="4675">
      <c r="A4675" s="10"/>
      <c r="B4675" s="11"/>
      <c r="C4675" s="10"/>
      <c r="D4675" s="13"/>
      <c r="E4675" s="14"/>
      <c r="F4675" s="14"/>
      <c r="G4675" s="14"/>
      <c r="H4675" s="10"/>
      <c r="I4675" s="17"/>
      <c r="J4675" s="10"/>
      <c r="K4675" s="46"/>
      <c r="L4675" s="10"/>
      <c r="M4675" s="20"/>
      <c r="N4675" s="20"/>
      <c r="O4675" s="20"/>
      <c r="P4675" s="20"/>
    </row>
    <row r="4676">
      <c r="A4676" s="23"/>
      <c r="B4676" s="21"/>
      <c r="C4676" s="23"/>
      <c r="D4676" s="24"/>
      <c r="E4676" s="14"/>
      <c r="F4676" s="14"/>
      <c r="G4676" s="14"/>
      <c r="H4676" s="23"/>
      <c r="I4676" s="27"/>
      <c r="J4676" s="23"/>
      <c r="K4676" s="30"/>
      <c r="L4676" s="23"/>
      <c r="M4676" s="20"/>
      <c r="N4676" s="20"/>
      <c r="O4676" s="20"/>
      <c r="P4676" s="20"/>
    </row>
    <row r="4677">
      <c r="A4677" s="10"/>
      <c r="B4677" s="11"/>
      <c r="C4677" s="10"/>
      <c r="D4677" s="13"/>
      <c r="E4677" s="14"/>
      <c r="F4677" s="14"/>
      <c r="G4677" s="14"/>
      <c r="H4677" s="10"/>
      <c r="I4677" s="17"/>
      <c r="J4677" s="10"/>
      <c r="K4677" s="46"/>
      <c r="L4677" s="10"/>
      <c r="M4677" s="20"/>
      <c r="N4677" s="20"/>
      <c r="O4677" s="20"/>
      <c r="P4677" s="20"/>
    </row>
    <row r="4678">
      <c r="A4678" s="23"/>
      <c r="B4678" s="21"/>
      <c r="C4678" s="23"/>
      <c r="D4678" s="24"/>
      <c r="E4678" s="14"/>
      <c r="F4678" s="14"/>
      <c r="G4678" s="14"/>
      <c r="H4678" s="23"/>
      <c r="I4678" s="27"/>
      <c r="J4678" s="23"/>
      <c r="K4678" s="30"/>
      <c r="L4678" s="23"/>
      <c r="M4678" s="20"/>
      <c r="N4678" s="20"/>
      <c r="O4678" s="20"/>
      <c r="P4678" s="20"/>
    </row>
    <row r="4679">
      <c r="A4679" s="10"/>
      <c r="B4679" s="11"/>
      <c r="C4679" s="10"/>
      <c r="D4679" s="13"/>
      <c r="E4679" s="14"/>
      <c r="F4679" s="14"/>
      <c r="G4679" s="14"/>
      <c r="H4679" s="10"/>
      <c r="I4679" s="17"/>
      <c r="J4679" s="10"/>
      <c r="K4679" s="46"/>
      <c r="L4679" s="10"/>
      <c r="M4679" s="20"/>
      <c r="N4679" s="20"/>
      <c r="O4679" s="20"/>
      <c r="P4679" s="20"/>
    </row>
    <row r="4680">
      <c r="A4680" s="23"/>
      <c r="B4680" s="21"/>
      <c r="C4680" s="23"/>
      <c r="D4680" s="24"/>
      <c r="E4680" s="14"/>
      <c r="F4680" s="14"/>
      <c r="G4680" s="14"/>
      <c r="H4680" s="23"/>
      <c r="I4680" s="27"/>
      <c r="J4680" s="23"/>
      <c r="K4680" s="30"/>
      <c r="L4680" s="23"/>
      <c r="M4680" s="20"/>
      <c r="N4680" s="20"/>
      <c r="O4680" s="20"/>
      <c r="P4680" s="20"/>
    </row>
    <row r="4681">
      <c r="A4681" s="10"/>
      <c r="B4681" s="11"/>
      <c r="C4681" s="10"/>
      <c r="D4681" s="13"/>
      <c r="E4681" s="14"/>
      <c r="F4681" s="14"/>
      <c r="G4681" s="14"/>
      <c r="H4681" s="10"/>
      <c r="I4681" s="17"/>
      <c r="J4681" s="10"/>
      <c r="K4681" s="46"/>
      <c r="L4681" s="10"/>
      <c r="M4681" s="20"/>
      <c r="N4681" s="20"/>
      <c r="O4681" s="20"/>
      <c r="P4681" s="20"/>
    </row>
    <row r="4682">
      <c r="A4682" s="23"/>
      <c r="B4682" s="21"/>
      <c r="C4682" s="23"/>
      <c r="D4682" s="24"/>
      <c r="E4682" s="14"/>
      <c r="F4682" s="14"/>
      <c r="G4682" s="14"/>
      <c r="H4682" s="23"/>
      <c r="I4682" s="27"/>
      <c r="J4682" s="23"/>
      <c r="K4682" s="30"/>
      <c r="L4682" s="23"/>
      <c r="M4682" s="20"/>
      <c r="N4682" s="20"/>
      <c r="O4682" s="20"/>
      <c r="P4682" s="20"/>
    </row>
    <row r="4683">
      <c r="A4683" s="10"/>
      <c r="B4683" s="11"/>
      <c r="C4683" s="10"/>
      <c r="D4683" s="13"/>
      <c r="E4683" s="14"/>
      <c r="F4683" s="14"/>
      <c r="G4683" s="14"/>
      <c r="H4683" s="10"/>
      <c r="I4683" s="17"/>
      <c r="J4683" s="10"/>
      <c r="K4683" s="46"/>
      <c r="L4683" s="10"/>
      <c r="M4683" s="20"/>
      <c r="N4683" s="20"/>
      <c r="O4683" s="20"/>
      <c r="P4683" s="20"/>
    </row>
    <row r="4684">
      <c r="A4684" s="23"/>
      <c r="B4684" s="21"/>
      <c r="C4684" s="23"/>
      <c r="D4684" s="24"/>
      <c r="E4684" s="14"/>
      <c r="F4684" s="14"/>
      <c r="G4684" s="14"/>
      <c r="H4684" s="23"/>
      <c r="I4684" s="27"/>
      <c r="J4684" s="23"/>
      <c r="K4684" s="30"/>
      <c r="L4684" s="23"/>
      <c r="M4684" s="20"/>
      <c r="N4684" s="20"/>
      <c r="O4684" s="20"/>
      <c r="P4684" s="20"/>
    </row>
    <row r="4685">
      <c r="A4685" s="10"/>
      <c r="B4685" s="11"/>
      <c r="C4685" s="10"/>
      <c r="D4685" s="13"/>
      <c r="E4685" s="14"/>
      <c r="F4685" s="14"/>
      <c r="G4685" s="14"/>
      <c r="H4685" s="10"/>
      <c r="I4685" s="17"/>
      <c r="J4685" s="10"/>
      <c r="K4685" s="46"/>
      <c r="L4685" s="10"/>
      <c r="M4685" s="20"/>
      <c r="N4685" s="20"/>
      <c r="O4685" s="20"/>
      <c r="P4685" s="20"/>
    </row>
    <row r="4686">
      <c r="A4686" s="23"/>
      <c r="B4686" s="21"/>
      <c r="C4686" s="23"/>
      <c r="D4686" s="24"/>
      <c r="E4686" s="14"/>
      <c r="F4686" s="14"/>
      <c r="G4686" s="14"/>
      <c r="H4686" s="23"/>
      <c r="I4686" s="27"/>
      <c r="J4686" s="23"/>
      <c r="K4686" s="30"/>
      <c r="L4686" s="23"/>
      <c r="M4686" s="20"/>
      <c r="N4686" s="20"/>
      <c r="O4686" s="20"/>
      <c r="P4686" s="20"/>
    </row>
    <row r="4687">
      <c r="A4687" s="10"/>
      <c r="B4687" s="11"/>
      <c r="C4687" s="10"/>
      <c r="D4687" s="13"/>
      <c r="E4687" s="14"/>
      <c r="F4687" s="14"/>
      <c r="G4687" s="14"/>
      <c r="H4687" s="10"/>
      <c r="I4687" s="17"/>
      <c r="J4687" s="10"/>
      <c r="K4687" s="46"/>
      <c r="L4687" s="10"/>
      <c r="M4687" s="20"/>
      <c r="N4687" s="20"/>
      <c r="O4687" s="20"/>
      <c r="P4687" s="20"/>
    </row>
    <row r="4688">
      <c r="A4688" s="23"/>
      <c r="B4688" s="21"/>
      <c r="C4688" s="23"/>
      <c r="D4688" s="24"/>
      <c r="E4688" s="14"/>
      <c r="F4688" s="14"/>
      <c r="G4688" s="14"/>
      <c r="H4688" s="23"/>
      <c r="I4688" s="27"/>
      <c r="J4688" s="23"/>
      <c r="K4688" s="30"/>
      <c r="L4688" s="23"/>
      <c r="M4688" s="20"/>
      <c r="N4688" s="20"/>
      <c r="O4688" s="20"/>
      <c r="P4688" s="20"/>
    </row>
    <row r="4689">
      <c r="A4689" s="10"/>
      <c r="B4689" s="11"/>
      <c r="C4689" s="10"/>
      <c r="D4689" s="13"/>
      <c r="E4689" s="14"/>
      <c r="F4689" s="14"/>
      <c r="G4689" s="14"/>
      <c r="H4689" s="10"/>
      <c r="I4689" s="17"/>
      <c r="J4689" s="10"/>
      <c r="K4689" s="46"/>
      <c r="L4689" s="10"/>
      <c r="M4689" s="20"/>
      <c r="N4689" s="20"/>
      <c r="O4689" s="20"/>
      <c r="P4689" s="20"/>
    </row>
    <row r="4690">
      <c r="A4690" s="23"/>
      <c r="B4690" s="21"/>
      <c r="C4690" s="23"/>
      <c r="D4690" s="24"/>
      <c r="E4690" s="14"/>
      <c r="F4690" s="14"/>
      <c r="G4690" s="14"/>
      <c r="H4690" s="23"/>
      <c r="I4690" s="27"/>
      <c r="J4690" s="23"/>
      <c r="K4690" s="30"/>
      <c r="L4690" s="23"/>
      <c r="M4690" s="20"/>
      <c r="N4690" s="20"/>
      <c r="O4690" s="20"/>
      <c r="P4690" s="20"/>
    </row>
    <row r="4691">
      <c r="A4691" s="10"/>
      <c r="B4691" s="11"/>
      <c r="C4691" s="10"/>
      <c r="D4691" s="13"/>
      <c r="E4691" s="14"/>
      <c r="F4691" s="14"/>
      <c r="G4691" s="14"/>
      <c r="H4691" s="10"/>
      <c r="I4691" s="17"/>
      <c r="J4691" s="10"/>
      <c r="K4691" s="46"/>
      <c r="L4691" s="10"/>
      <c r="M4691" s="20"/>
      <c r="N4691" s="20"/>
      <c r="O4691" s="20"/>
      <c r="P4691" s="20"/>
    </row>
    <row r="4692">
      <c r="A4692" s="23"/>
      <c r="B4692" s="21"/>
      <c r="C4692" s="23"/>
      <c r="D4692" s="24"/>
      <c r="E4692" s="14"/>
      <c r="F4692" s="14"/>
      <c r="G4692" s="14"/>
      <c r="H4692" s="23"/>
      <c r="I4692" s="27"/>
      <c r="J4692" s="23"/>
      <c r="K4692" s="30"/>
      <c r="L4692" s="23"/>
      <c r="M4692" s="20"/>
      <c r="N4692" s="20"/>
      <c r="O4692" s="20"/>
      <c r="P4692" s="20"/>
    </row>
    <row r="4693">
      <c r="A4693" s="10"/>
      <c r="B4693" s="11"/>
      <c r="C4693" s="10"/>
      <c r="D4693" s="13"/>
      <c r="E4693" s="14"/>
      <c r="F4693" s="14"/>
      <c r="G4693" s="14"/>
      <c r="H4693" s="10"/>
      <c r="I4693" s="17"/>
      <c r="J4693" s="10"/>
      <c r="K4693" s="46"/>
      <c r="L4693" s="10"/>
      <c r="M4693" s="20"/>
      <c r="N4693" s="20"/>
      <c r="O4693" s="20"/>
      <c r="P4693" s="20"/>
    </row>
    <row r="4694">
      <c r="A4694" s="23"/>
      <c r="B4694" s="21"/>
      <c r="C4694" s="23"/>
      <c r="D4694" s="24"/>
      <c r="E4694" s="14"/>
      <c r="F4694" s="14"/>
      <c r="G4694" s="14"/>
      <c r="H4694" s="23"/>
      <c r="I4694" s="27"/>
      <c r="J4694" s="23"/>
      <c r="K4694" s="30"/>
      <c r="L4694" s="23"/>
      <c r="M4694" s="20"/>
      <c r="N4694" s="20"/>
      <c r="O4694" s="20"/>
      <c r="P4694" s="20"/>
    </row>
    <row r="4695">
      <c r="A4695" s="10"/>
      <c r="B4695" s="11"/>
      <c r="C4695" s="10"/>
      <c r="D4695" s="13"/>
      <c r="E4695" s="14"/>
      <c r="F4695" s="14"/>
      <c r="G4695" s="14"/>
      <c r="H4695" s="10"/>
      <c r="I4695" s="17"/>
      <c r="J4695" s="10"/>
      <c r="K4695" s="46"/>
      <c r="L4695" s="10"/>
      <c r="M4695" s="20"/>
      <c r="N4695" s="20"/>
      <c r="O4695" s="20"/>
      <c r="P4695" s="20"/>
    </row>
    <row r="4696">
      <c r="A4696" s="23"/>
      <c r="B4696" s="21"/>
      <c r="C4696" s="23"/>
      <c r="D4696" s="24"/>
      <c r="E4696" s="14"/>
      <c r="F4696" s="14"/>
      <c r="G4696" s="14"/>
      <c r="H4696" s="23"/>
      <c r="I4696" s="27"/>
      <c r="J4696" s="23"/>
      <c r="K4696" s="30"/>
      <c r="L4696" s="23"/>
      <c r="M4696" s="20"/>
      <c r="N4696" s="20"/>
      <c r="O4696" s="20"/>
      <c r="P4696" s="20"/>
    </row>
    <row r="4697">
      <c r="A4697" s="10"/>
      <c r="B4697" s="11"/>
      <c r="C4697" s="10"/>
      <c r="D4697" s="13"/>
      <c r="E4697" s="14"/>
      <c r="F4697" s="14"/>
      <c r="G4697" s="14"/>
      <c r="H4697" s="10"/>
      <c r="I4697" s="17"/>
      <c r="J4697" s="10"/>
      <c r="K4697" s="46"/>
      <c r="L4697" s="10"/>
      <c r="M4697" s="20"/>
      <c r="N4697" s="20"/>
      <c r="O4697" s="20"/>
      <c r="P4697" s="20"/>
    </row>
    <row r="4698">
      <c r="A4698" s="23"/>
      <c r="B4698" s="21"/>
      <c r="C4698" s="23"/>
      <c r="D4698" s="24"/>
      <c r="E4698" s="14"/>
      <c r="F4698" s="14"/>
      <c r="G4698" s="14"/>
      <c r="H4698" s="23"/>
      <c r="I4698" s="27"/>
      <c r="J4698" s="23"/>
      <c r="K4698" s="30"/>
      <c r="L4698" s="23"/>
      <c r="M4698" s="20"/>
      <c r="N4698" s="20"/>
      <c r="O4698" s="20"/>
      <c r="P4698" s="20"/>
    </row>
    <row r="4699">
      <c r="A4699" s="10"/>
      <c r="B4699" s="11"/>
      <c r="C4699" s="10"/>
      <c r="D4699" s="13"/>
      <c r="E4699" s="14"/>
      <c r="F4699" s="14"/>
      <c r="G4699" s="14"/>
      <c r="H4699" s="10"/>
      <c r="I4699" s="17"/>
      <c r="J4699" s="10"/>
      <c r="K4699" s="46"/>
      <c r="L4699" s="10"/>
      <c r="M4699" s="20"/>
      <c r="N4699" s="20"/>
      <c r="O4699" s="20"/>
      <c r="P4699" s="20"/>
    </row>
    <row r="4700">
      <c r="A4700" s="23"/>
      <c r="B4700" s="21"/>
      <c r="C4700" s="23"/>
      <c r="D4700" s="24"/>
      <c r="E4700" s="14"/>
      <c r="F4700" s="14"/>
      <c r="G4700" s="14"/>
      <c r="H4700" s="23"/>
      <c r="I4700" s="27"/>
      <c r="J4700" s="23"/>
      <c r="K4700" s="30"/>
      <c r="L4700" s="23"/>
      <c r="M4700" s="20"/>
      <c r="N4700" s="20"/>
      <c r="O4700" s="20"/>
      <c r="P4700" s="20"/>
    </row>
    <row r="4701">
      <c r="A4701" s="10"/>
      <c r="B4701" s="11"/>
      <c r="C4701" s="10"/>
      <c r="D4701" s="13"/>
      <c r="E4701" s="14"/>
      <c r="F4701" s="14"/>
      <c r="G4701" s="14"/>
      <c r="H4701" s="10"/>
      <c r="I4701" s="17"/>
      <c r="J4701" s="10"/>
      <c r="K4701" s="46"/>
      <c r="L4701" s="10"/>
      <c r="M4701" s="20"/>
      <c r="N4701" s="20"/>
      <c r="O4701" s="20"/>
      <c r="P4701" s="20"/>
    </row>
    <row r="4702">
      <c r="A4702" s="23"/>
      <c r="B4702" s="21"/>
      <c r="C4702" s="23"/>
      <c r="D4702" s="24"/>
      <c r="E4702" s="14"/>
      <c r="F4702" s="14"/>
      <c r="G4702" s="14"/>
      <c r="H4702" s="23"/>
      <c r="I4702" s="27"/>
      <c r="J4702" s="23"/>
      <c r="K4702" s="30"/>
      <c r="L4702" s="23"/>
      <c r="M4702" s="20"/>
      <c r="N4702" s="20"/>
      <c r="O4702" s="20"/>
      <c r="P4702" s="20"/>
    </row>
    <row r="4703">
      <c r="A4703" s="10"/>
      <c r="B4703" s="11"/>
      <c r="C4703" s="10"/>
      <c r="D4703" s="13"/>
      <c r="E4703" s="14"/>
      <c r="F4703" s="14"/>
      <c r="G4703" s="14"/>
      <c r="H4703" s="10"/>
      <c r="I4703" s="17"/>
      <c r="J4703" s="10"/>
      <c r="K4703" s="46"/>
      <c r="L4703" s="10"/>
      <c r="M4703" s="20"/>
      <c r="N4703" s="20"/>
      <c r="O4703" s="20"/>
      <c r="P4703" s="20"/>
    </row>
    <row r="4704">
      <c r="A4704" s="23"/>
      <c r="B4704" s="21"/>
      <c r="C4704" s="23"/>
      <c r="D4704" s="24"/>
      <c r="E4704" s="14"/>
      <c r="F4704" s="14"/>
      <c r="G4704" s="14"/>
      <c r="H4704" s="23"/>
      <c r="I4704" s="27"/>
      <c r="J4704" s="23"/>
      <c r="K4704" s="30"/>
      <c r="L4704" s="23"/>
      <c r="M4704" s="20"/>
      <c r="N4704" s="20"/>
      <c r="O4704" s="20"/>
      <c r="P4704" s="20"/>
    </row>
    <row r="4705">
      <c r="A4705" s="10"/>
      <c r="B4705" s="11"/>
      <c r="C4705" s="10"/>
      <c r="D4705" s="13"/>
      <c r="E4705" s="14"/>
      <c r="F4705" s="14"/>
      <c r="G4705" s="14"/>
      <c r="H4705" s="10"/>
      <c r="I4705" s="17"/>
      <c r="J4705" s="10"/>
      <c r="K4705" s="46"/>
      <c r="L4705" s="10"/>
      <c r="M4705" s="20"/>
      <c r="N4705" s="20"/>
      <c r="O4705" s="20"/>
      <c r="P4705" s="20"/>
    </row>
    <row r="4706">
      <c r="A4706" s="23"/>
      <c r="B4706" s="21"/>
      <c r="C4706" s="23"/>
      <c r="D4706" s="24"/>
      <c r="E4706" s="14"/>
      <c r="F4706" s="14"/>
      <c r="G4706" s="14"/>
      <c r="H4706" s="23"/>
      <c r="I4706" s="27"/>
      <c r="J4706" s="23"/>
      <c r="K4706" s="30"/>
      <c r="L4706" s="23"/>
      <c r="M4706" s="20"/>
      <c r="N4706" s="20"/>
      <c r="O4706" s="20"/>
      <c r="P4706" s="20"/>
    </row>
    <row r="4707">
      <c r="A4707" s="10"/>
      <c r="B4707" s="11"/>
      <c r="C4707" s="10"/>
      <c r="D4707" s="13"/>
      <c r="E4707" s="14"/>
      <c r="F4707" s="14"/>
      <c r="G4707" s="14"/>
      <c r="H4707" s="10"/>
      <c r="I4707" s="17"/>
      <c r="J4707" s="10"/>
      <c r="K4707" s="46"/>
      <c r="L4707" s="10"/>
      <c r="M4707" s="20"/>
      <c r="N4707" s="20"/>
      <c r="O4707" s="20"/>
      <c r="P4707" s="20"/>
    </row>
    <row r="4708">
      <c r="A4708" s="23"/>
      <c r="B4708" s="21"/>
      <c r="C4708" s="23"/>
      <c r="D4708" s="24"/>
      <c r="E4708" s="14"/>
      <c r="F4708" s="14"/>
      <c r="G4708" s="14"/>
      <c r="H4708" s="23"/>
      <c r="I4708" s="27"/>
      <c r="J4708" s="23"/>
      <c r="K4708" s="30"/>
      <c r="L4708" s="23"/>
      <c r="M4708" s="20"/>
      <c r="N4708" s="20"/>
      <c r="O4708" s="20"/>
      <c r="P4708" s="20"/>
    </row>
    <row r="4709">
      <c r="A4709" s="10"/>
      <c r="B4709" s="11"/>
      <c r="C4709" s="10"/>
      <c r="D4709" s="13"/>
      <c r="E4709" s="14"/>
      <c r="F4709" s="14"/>
      <c r="G4709" s="14"/>
      <c r="H4709" s="10"/>
      <c r="I4709" s="17"/>
      <c r="J4709" s="10"/>
      <c r="K4709" s="46"/>
      <c r="L4709" s="10"/>
      <c r="M4709" s="20"/>
      <c r="N4709" s="20"/>
      <c r="O4709" s="20"/>
      <c r="P4709" s="20"/>
    </row>
    <row r="4710">
      <c r="A4710" s="23"/>
      <c r="B4710" s="21"/>
      <c r="C4710" s="23"/>
      <c r="D4710" s="24"/>
      <c r="E4710" s="14"/>
      <c r="F4710" s="14"/>
      <c r="G4710" s="14"/>
      <c r="H4710" s="23"/>
      <c r="I4710" s="27"/>
      <c r="J4710" s="23"/>
      <c r="K4710" s="30"/>
      <c r="L4710" s="23"/>
      <c r="M4710" s="20"/>
      <c r="N4710" s="20"/>
      <c r="O4710" s="20"/>
      <c r="P4710" s="20"/>
    </row>
    <row r="4711">
      <c r="A4711" s="10"/>
      <c r="B4711" s="11"/>
      <c r="C4711" s="10"/>
      <c r="D4711" s="13"/>
      <c r="E4711" s="14"/>
      <c r="F4711" s="14"/>
      <c r="G4711" s="14"/>
      <c r="H4711" s="10"/>
      <c r="I4711" s="17"/>
      <c r="J4711" s="10"/>
      <c r="K4711" s="46"/>
      <c r="L4711" s="10"/>
      <c r="M4711" s="20"/>
      <c r="N4711" s="20"/>
      <c r="O4711" s="20"/>
      <c r="P4711" s="20"/>
    </row>
    <row r="4712">
      <c r="A4712" s="23"/>
      <c r="B4712" s="21"/>
      <c r="C4712" s="23"/>
      <c r="D4712" s="24"/>
      <c r="E4712" s="14"/>
      <c r="F4712" s="14"/>
      <c r="G4712" s="14"/>
      <c r="H4712" s="23"/>
      <c r="I4712" s="27"/>
      <c r="J4712" s="23"/>
      <c r="K4712" s="30"/>
      <c r="L4712" s="23"/>
      <c r="M4712" s="20"/>
      <c r="N4712" s="20"/>
      <c r="O4712" s="20"/>
      <c r="P4712" s="20"/>
    </row>
    <row r="4713">
      <c r="A4713" s="10"/>
      <c r="B4713" s="11"/>
      <c r="C4713" s="10"/>
      <c r="D4713" s="13"/>
      <c r="E4713" s="14"/>
      <c r="F4713" s="14"/>
      <c r="G4713" s="14"/>
      <c r="H4713" s="10"/>
      <c r="I4713" s="17"/>
      <c r="J4713" s="10"/>
      <c r="K4713" s="46"/>
      <c r="L4713" s="10"/>
      <c r="M4713" s="20"/>
      <c r="N4713" s="20"/>
      <c r="O4713" s="20"/>
      <c r="P4713" s="20"/>
    </row>
    <row r="4714">
      <c r="A4714" s="23"/>
      <c r="B4714" s="21"/>
      <c r="C4714" s="23"/>
      <c r="D4714" s="24"/>
      <c r="E4714" s="14"/>
      <c r="F4714" s="14"/>
      <c r="G4714" s="14"/>
      <c r="H4714" s="23"/>
      <c r="I4714" s="27"/>
      <c r="J4714" s="23"/>
      <c r="K4714" s="30"/>
      <c r="L4714" s="23"/>
      <c r="M4714" s="20"/>
      <c r="N4714" s="20"/>
      <c r="O4714" s="20"/>
      <c r="P4714" s="20"/>
    </row>
    <row r="4715">
      <c r="A4715" s="10"/>
      <c r="B4715" s="11"/>
      <c r="C4715" s="10"/>
      <c r="D4715" s="13"/>
      <c r="E4715" s="14"/>
      <c r="F4715" s="14"/>
      <c r="G4715" s="14"/>
      <c r="H4715" s="10"/>
      <c r="I4715" s="17"/>
      <c r="J4715" s="10"/>
      <c r="K4715" s="46"/>
      <c r="L4715" s="10"/>
      <c r="M4715" s="20"/>
      <c r="N4715" s="20"/>
      <c r="O4715" s="20"/>
      <c r="P4715" s="20"/>
    </row>
    <row r="4716">
      <c r="A4716" s="23"/>
      <c r="B4716" s="21"/>
      <c r="C4716" s="23"/>
      <c r="D4716" s="24"/>
      <c r="E4716" s="14"/>
      <c r="F4716" s="14"/>
      <c r="G4716" s="14"/>
      <c r="H4716" s="23"/>
      <c r="I4716" s="27"/>
      <c r="J4716" s="23"/>
      <c r="K4716" s="30"/>
      <c r="L4716" s="23"/>
      <c r="M4716" s="20"/>
      <c r="N4716" s="20"/>
      <c r="O4716" s="20"/>
      <c r="P4716" s="20"/>
    </row>
    <row r="4717">
      <c r="A4717" s="10"/>
      <c r="B4717" s="11"/>
      <c r="C4717" s="10"/>
      <c r="D4717" s="13"/>
      <c r="E4717" s="14"/>
      <c r="F4717" s="14"/>
      <c r="G4717" s="14"/>
      <c r="H4717" s="10"/>
      <c r="I4717" s="17"/>
      <c r="J4717" s="10"/>
      <c r="K4717" s="46"/>
      <c r="L4717" s="10"/>
      <c r="M4717" s="20"/>
      <c r="N4717" s="20"/>
      <c r="O4717" s="20"/>
      <c r="P4717" s="20"/>
    </row>
    <row r="4718">
      <c r="A4718" s="23"/>
      <c r="B4718" s="21"/>
      <c r="C4718" s="23"/>
      <c r="D4718" s="24"/>
      <c r="E4718" s="14"/>
      <c r="F4718" s="14"/>
      <c r="G4718" s="14"/>
      <c r="H4718" s="23"/>
      <c r="I4718" s="27"/>
      <c r="J4718" s="23"/>
      <c r="K4718" s="30"/>
      <c r="L4718" s="23"/>
      <c r="M4718" s="20"/>
      <c r="N4718" s="20"/>
      <c r="O4718" s="20"/>
      <c r="P4718" s="20"/>
    </row>
    <row r="4719">
      <c r="A4719" s="10"/>
      <c r="B4719" s="11"/>
      <c r="C4719" s="10"/>
      <c r="D4719" s="13"/>
      <c r="E4719" s="14"/>
      <c r="F4719" s="14"/>
      <c r="G4719" s="14"/>
      <c r="H4719" s="10"/>
      <c r="I4719" s="17"/>
      <c r="J4719" s="10"/>
      <c r="K4719" s="46"/>
      <c r="L4719" s="10"/>
      <c r="M4719" s="20"/>
      <c r="N4719" s="20"/>
      <c r="O4719" s="20"/>
      <c r="P4719" s="20"/>
    </row>
    <row r="4720">
      <c r="A4720" s="23"/>
      <c r="B4720" s="21"/>
      <c r="C4720" s="23"/>
      <c r="D4720" s="24"/>
      <c r="E4720" s="14"/>
      <c r="F4720" s="14"/>
      <c r="G4720" s="14"/>
      <c r="H4720" s="23"/>
      <c r="I4720" s="27"/>
      <c r="J4720" s="23"/>
      <c r="K4720" s="30"/>
      <c r="L4720" s="23"/>
      <c r="M4720" s="20"/>
      <c r="N4720" s="20"/>
      <c r="O4720" s="20"/>
      <c r="P4720" s="20"/>
    </row>
    <row r="4721">
      <c r="A4721" s="10"/>
      <c r="B4721" s="11"/>
      <c r="C4721" s="10"/>
      <c r="D4721" s="13"/>
      <c r="E4721" s="14"/>
      <c r="F4721" s="14"/>
      <c r="G4721" s="14"/>
      <c r="H4721" s="10"/>
      <c r="I4721" s="17"/>
      <c r="J4721" s="10"/>
      <c r="K4721" s="46"/>
      <c r="L4721" s="10"/>
      <c r="M4721" s="20"/>
      <c r="N4721" s="20"/>
      <c r="O4721" s="20"/>
      <c r="P4721" s="20"/>
    </row>
    <row r="4722">
      <c r="A4722" s="23"/>
      <c r="B4722" s="21"/>
      <c r="C4722" s="23"/>
      <c r="D4722" s="24"/>
      <c r="E4722" s="14"/>
      <c r="F4722" s="14"/>
      <c r="G4722" s="14"/>
      <c r="H4722" s="23"/>
      <c r="I4722" s="27"/>
      <c r="J4722" s="23"/>
      <c r="K4722" s="30"/>
      <c r="L4722" s="23"/>
      <c r="M4722" s="20"/>
      <c r="N4722" s="20"/>
      <c r="O4722" s="20"/>
      <c r="P4722" s="20"/>
    </row>
    <row r="4723">
      <c r="A4723" s="10"/>
      <c r="B4723" s="11"/>
      <c r="C4723" s="10"/>
      <c r="D4723" s="13"/>
      <c r="E4723" s="14"/>
      <c r="F4723" s="14"/>
      <c r="G4723" s="14"/>
      <c r="H4723" s="10"/>
      <c r="I4723" s="17"/>
      <c r="J4723" s="10"/>
      <c r="K4723" s="46"/>
      <c r="L4723" s="10"/>
      <c r="M4723" s="20"/>
      <c r="N4723" s="20"/>
      <c r="O4723" s="20"/>
      <c r="P4723" s="20"/>
    </row>
    <row r="4724">
      <c r="A4724" s="23"/>
      <c r="B4724" s="21"/>
      <c r="C4724" s="23"/>
      <c r="D4724" s="24"/>
      <c r="E4724" s="14"/>
      <c r="F4724" s="14"/>
      <c r="G4724" s="14"/>
      <c r="H4724" s="23"/>
      <c r="I4724" s="27"/>
      <c r="J4724" s="23"/>
      <c r="K4724" s="30"/>
      <c r="L4724" s="23"/>
      <c r="M4724" s="20"/>
      <c r="N4724" s="20"/>
      <c r="O4724" s="20"/>
      <c r="P4724" s="20"/>
    </row>
    <row r="4725">
      <c r="A4725" s="10"/>
      <c r="B4725" s="11"/>
      <c r="C4725" s="10"/>
      <c r="D4725" s="13"/>
      <c r="E4725" s="14"/>
      <c r="F4725" s="14"/>
      <c r="G4725" s="14"/>
      <c r="H4725" s="10"/>
      <c r="I4725" s="17"/>
      <c r="J4725" s="10"/>
      <c r="K4725" s="46"/>
      <c r="L4725" s="10"/>
      <c r="M4725" s="20"/>
      <c r="N4725" s="20"/>
      <c r="O4725" s="20"/>
      <c r="P4725" s="20"/>
    </row>
    <row r="4726">
      <c r="A4726" s="23"/>
      <c r="B4726" s="21"/>
      <c r="C4726" s="23"/>
      <c r="D4726" s="24"/>
      <c r="E4726" s="14"/>
      <c r="F4726" s="14"/>
      <c r="G4726" s="14"/>
      <c r="H4726" s="23"/>
      <c r="I4726" s="27"/>
      <c r="J4726" s="23"/>
      <c r="K4726" s="30"/>
      <c r="L4726" s="23"/>
      <c r="M4726" s="20"/>
      <c r="N4726" s="20"/>
      <c r="O4726" s="20"/>
      <c r="P4726" s="20"/>
    </row>
    <row r="4727">
      <c r="A4727" s="10"/>
      <c r="B4727" s="11"/>
      <c r="C4727" s="10"/>
      <c r="D4727" s="13"/>
      <c r="E4727" s="14"/>
      <c r="F4727" s="14"/>
      <c r="G4727" s="14"/>
      <c r="H4727" s="10"/>
      <c r="I4727" s="17"/>
      <c r="J4727" s="10"/>
      <c r="K4727" s="46"/>
      <c r="L4727" s="10"/>
      <c r="M4727" s="20"/>
      <c r="N4727" s="20"/>
      <c r="O4727" s="20"/>
      <c r="P4727" s="20"/>
    </row>
    <row r="4728">
      <c r="A4728" s="23"/>
      <c r="B4728" s="21"/>
      <c r="C4728" s="23"/>
      <c r="D4728" s="24"/>
      <c r="E4728" s="14"/>
      <c r="F4728" s="14"/>
      <c r="G4728" s="14"/>
      <c r="H4728" s="23"/>
      <c r="I4728" s="27"/>
      <c r="J4728" s="23"/>
      <c r="K4728" s="30"/>
      <c r="L4728" s="23"/>
      <c r="M4728" s="20"/>
      <c r="N4728" s="20"/>
      <c r="O4728" s="20"/>
      <c r="P4728" s="20"/>
    </row>
    <row r="4729">
      <c r="A4729" s="10"/>
      <c r="B4729" s="11"/>
      <c r="C4729" s="10"/>
      <c r="D4729" s="13"/>
      <c r="E4729" s="14"/>
      <c r="F4729" s="14"/>
      <c r="G4729" s="14"/>
      <c r="H4729" s="10"/>
      <c r="I4729" s="17"/>
      <c r="J4729" s="10"/>
      <c r="K4729" s="46"/>
      <c r="L4729" s="10"/>
      <c r="M4729" s="20"/>
      <c r="N4729" s="20"/>
      <c r="O4729" s="20"/>
      <c r="P4729" s="20"/>
    </row>
    <row r="4730">
      <c r="A4730" s="23"/>
      <c r="B4730" s="21"/>
      <c r="C4730" s="23"/>
      <c r="D4730" s="24"/>
      <c r="E4730" s="14"/>
      <c r="F4730" s="14"/>
      <c r="G4730" s="14"/>
      <c r="H4730" s="23"/>
      <c r="I4730" s="27"/>
      <c r="J4730" s="23"/>
      <c r="K4730" s="30"/>
      <c r="L4730" s="23"/>
      <c r="M4730" s="20"/>
      <c r="N4730" s="20"/>
      <c r="O4730" s="20"/>
      <c r="P4730" s="20"/>
    </row>
    <row r="4731">
      <c r="A4731" s="10"/>
      <c r="B4731" s="11"/>
      <c r="C4731" s="10"/>
      <c r="D4731" s="13"/>
      <c r="E4731" s="14"/>
      <c r="F4731" s="14"/>
      <c r="G4731" s="14"/>
      <c r="H4731" s="10"/>
      <c r="I4731" s="17"/>
      <c r="J4731" s="10"/>
      <c r="K4731" s="46"/>
      <c r="L4731" s="10"/>
      <c r="M4731" s="20"/>
      <c r="N4731" s="20"/>
      <c r="O4731" s="20"/>
      <c r="P4731" s="20"/>
    </row>
    <row r="4732">
      <c r="A4732" s="23"/>
      <c r="B4732" s="21"/>
      <c r="C4732" s="23"/>
      <c r="D4732" s="24"/>
      <c r="E4732" s="14"/>
      <c r="F4732" s="14"/>
      <c r="G4732" s="14"/>
      <c r="H4732" s="23"/>
      <c r="I4732" s="27"/>
      <c r="J4732" s="23"/>
      <c r="K4732" s="30"/>
      <c r="L4732" s="23"/>
      <c r="M4732" s="20"/>
      <c r="N4732" s="20"/>
      <c r="O4732" s="20"/>
      <c r="P4732" s="20"/>
    </row>
    <row r="4733">
      <c r="A4733" s="10"/>
      <c r="B4733" s="11"/>
      <c r="C4733" s="10"/>
      <c r="D4733" s="13"/>
      <c r="E4733" s="14"/>
      <c r="F4733" s="14"/>
      <c r="G4733" s="14"/>
      <c r="H4733" s="10"/>
      <c r="I4733" s="17"/>
      <c r="J4733" s="10"/>
      <c r="K4733" s="46"/>
      <c r="L4733" s="10"/>
      <c r="M4733" s="20"/>
      <c r="N4733" s="20"/>
      <c r="O4733" s="20"/>
      <c r="P4733" s="20"/>
    </row>
    <row r="4734">
      <c r="A4734" s="23"/>
      <c r="B4734" s="21"/>
      <c r="C4734" s="23"/>
      <c r="D4734" s="24"/>
      <c r="E4734" s="14"/>
      <c r="F4734" s="14"/>
      <c r="G4734" s="14"/>
      <c r="H4734" s="23"/>
      <c r="I4734" s="27"/>
      <c r="J4734" s="23"/>
      <c r="K4734" s="30"/>
      <c r="L4734" s="23"/>
      <c r="M4734" s="20"/>
      <c r="N4734" s="20"/>
      <c r="O4734" s="20"/>
      <c r="P4734" s="20"/>
    </row>
    <row r="4735">
      <c r="A4735" s="10"/>
      <c r="B4735" s="11"/>
      <c r="C4735" s="10"/>
      <c r="D4735" s="13"/>
      <c r="E4735" s="14"/>
      <c r="F4735" s="14"/>
      <c r="G4735" s="14"/>
      <c r="H4735" s="10"/>
      <c r="I4735" s="17"/>
      <c r="J4735" s="10"/>
      <c r="K4735" s="46"/>
      <c r="L4735" s="10"/>
      <c r="M4735" s="20"/>
      <c r="N4735" s="20"/>
      <c r="O4735" s="20"/>
      <c r="P4735" s="20"/>
    </row>
    <row r="4736">
      <c r="A4736" s="23"/>
      <c r="B4736" s="21"/>
      <c r="C4736" s="23"/>
      <c r="D4736" s="24"/>
      <c r="E4736" s="14"/>
      <c r="F4736" s="14"/>
      <c r="G4736" s="14"/>
      <c r="H4736" s="23"/>
      <c r="I4736" s="27"/>
      <c r="J4736" s="23"/>
      <c r="K4736" s="30"/>
      <c r="L4736" s="23"/>
      <c r="M4736" s="20"/>
      <c r="N4736" s="20"/>
      <c r="O4736" s="20"/>
      <c r="P4736" s="20"/>
    </row>
    <row r="4737">
      <c r="A4737" s="10"/>
      <c r="B4737" s="11"/>
      <c r="C4737" s="10"/>
      <c r="D4737" s="13"/>
      <c r="E4737" s="14"/>
      <c r="F4737" s="14"/>
      <c r="G4737" s="14"/>
      <c r="H4737" s="10"/>
      <c r="I4737" s="17"/>
      <c r="J4737" s="10"/>
      <c r="K4737" s="46"/>
      <c r="L4737" s="10"/>
      <c r="M4737" s="20"/>
      <c r="N4737" s="20"/>
      <c r="O4737" s="20"/>
      <c r="P4737" s="20"/>
    </row>
    <row r="4738">
      <c r="A4738" s="23"/>
      <c r="B4738" s="21"/>
      <c r="C4738" s="23"/>
      <c r="D4738" s="24"/>
      <c r="E4738" s="14"/>
      <c r="F4738" s="14"/>
      <c r="G4738" s="14"/>
      <c r="H4738" s="23"/>
      <c r="I4738" s="27"/>
      <c r="J4738" s="23"/>
      <c r="K4738" s="30"/>
      <c r="L4738" s="23"/>
      <c r="M4738" s="20"/>
      <c r="N4738" s="20"/>
      <c r="O4738" s="20"/>
      <c r="P4738" s="20"/>
    </row>
    <row r="4739">
      <c r="A4739" s="10"/>
      <c r="B4739" s="11"/>
      <c r="C4739" s="10"/>
      <c r="D4739" s="13"/>
      <c r="E4739" s="14"/>
      <c r="F4739" s="14"/>
      <c r="G4739" s="14"/>
      <c r="H4739" s="10"/>
      <c r="I4739" s="17"/>
      <c r="J4739" s="10"/>
      <c r="K4739" s="46"/>
      <c r="L4739" s="10"/>
      <c r="M4739" s="20"/>
      <c r="N4739" s="20"/>
      <c r="O4739" s="20"/>
      <c r="P4739" s="20"/>
    </row>
    <row r="4740">
      <c r="A4740" s="23"/>
      <c r="B4740" s="21"/>
      <c r="C4740" s="23"/>
      <c r="D4740" s="24"/>
      <c r="E4740" s="14"/>
      <c r="F4740" s="14"/>
      <c r="G4740" s="14"/>
      <c r="H4740" s="23"/>
      <c r="I4740" s="27"/>
      <c r="J4740" s="23"/>
      <c r="K4740" s="30"/>
      <c r="L4740" s="23"/>
      <c r="M4740" s="20"/>
      <c r="N4740" s="20"/>
      <c r="O4740" s="20"/>
      <c r="P4740" s="20"/>
    </row>
    <row r="4741">
      <c r="A4741" s="10"/>
      <c r="B4741" s="11"/>
      <c r="C4741" s="10"/>
      <c r="D4741" s="13"/>
      <c r="E4741" s="14"/>
      <c r="F4741" s="14"/>
      <c r="G4741" s="14"/>
      <c r="H4741" s="10"/>
      <c r="I4741" s="17"/>
      <c r="J4741" s="10"/>
      <c r="K4741" s="46"/>
      <c r="L4741" s="10"/>
      <c r="M4741" s="20"/>
      <c r="N4741" s="20"/>
      <c r="O4741" s="20"/>
      <c r="P4741" s="20"/>
    </row>
    <row r="4742">
      <c r="A4742" s="23"/>
      <c r="B4742" s="21"/>
      <c r="C4742" s="23"/>
      <c r="D4742" s="24"/>
      <c r="E4742" s="14"/>
      <c r="F4742" s="14"/>
      <c r="G4742" s="14"/>
      <c r="H4742" s="23"/>
      <c r="I4742" s="27"/>
      <c r="J4742" s="23"/>
      <c r="K4742" s="30"/>
      <c r="L4742" s="23"/>
      <c r="M4742" s="20"/>
      <c r="N4742" s="20"/>
      <c r="O4742" s="20"/>
      <c r="P4742" s="20"/>
    </row>
    <row r="4743">
      <c r="A4743" s="10"/>
      <c r="B4743" s="11"/>
      <c r="C4743" s="10"/>
      <c r="D4743" s="13"/>
      <c r="E4743" s="14"/>
      <c r="F4743" s="14"/>
      <c r="G4743" s="14"/>
      <c r="H4743" s="10"/>
      <c r="I4743" s="17"/>
      <c r="J4743" s="10"/>
      <c r="K4743" s="46"/>
      <c r="L4743" s="10"/>
      <c r="M4743" s="20"/>
      <c r="N4743" s="20"/>
      <c r="O4743" s="20"/>
      <c r="P4743" s="20"/>
    </row>
    <row r="4744">
      <c r="A4744" s="23"/>
      <c r="B4744" s="21"/>
      <c r="C4744" s="23"/>
      <c r="D4744" s="24"/>
      <c r="E4744" s="14"/>
      <c r="F4744" s="14"/>
      <c r="G4744" s="14"/>
      <c r="H4744" s="23"/>
      <c r="I4744" s="27"/>
      <c r="J4744" s="23"/>
      <c r="K4744" s="30"/>
      <c r="L4744" s="23"/>
      <c r="M4744" s="20"/>
      <c r="N4744" s="20"/>
      <c r="O4744" s="20"/>
      <c r="P4744" s="20"/>
    </row>
    <row r="4745">
      <c r="A4745" s="10"/>
      <c r="B4745" s="11"/>
      <c r="C4745" s="10"/>
      <c r="D4745" s="13"/>
      <c r="E4745" s="14"/>
      <c r="F4745" s="14"/>
      <c r="G4745" s="14"/>
      <c r="H4745" s="10"/>
      <c r="I4745" s="17"/>
      <c r="J4745" s="10"/>
      <c r="K4745" s="46"/>
      <c r="L4745" s="10"/>
      <c r="M4745" s="20"/>
      <c r="N4745" s="20"/>
      <c r="O4745" s="20"/>
      <c r="P4745" s="20"/>
    </row>
    <row r="4746">
      <c r="A4746" s="23"/>
      <c r="B4746" s="21"/>
      <c r="C4746" s="23"/>
      <c r="D4746" s="24"/>
      <c r="E4746" s="14"/>
      <c r="F4746" s="14"/>
      <c r="G4746" s="14"/>
      <c r="H4746" s="23"/>
      <c r="I4746" s="27"/>
      <c r="J4746" s="23"/>
      <c r="K4746" s="30"/>
      <c r="L4746" s="23"/>
      <c r="M4746" s="20"/>
      <c r="N4746" s="20"/>
      <c r="O4746" s="20"/>
      <c r="P4746" s="20"/>
    </row>
    <row r="4747">
      <c r="A4747" s="10"/>
      <c r="B4747" s="11"/>
      <c r="C4747" s="10"/>
      <c r="D4747" s="13"/>
      <c r="E4747" s="14"/>
      <c r="F4747" s="14"/>
      <c r="G4747" s="14"/>
      <c r="H4747" s="10"/>
      <c r="I4747" s="17"/>
      <c r="J4747" s="10"/>
      <c r="K4747" s="46"/>
      <c r="L4747" s="10"/>
      <c r="M4747" s="20"/>
      <c r="N4747" s="20"/>
      <c r="O4747" s="20"/>
      <c r="P4747" s="20"/>
    </row>
    <row r="4748">
      <c r="A4748" s="23"/>
      <c r="B4748" s="21"/>
      <c r="C4748" s="23"/>
      <c r="D4748" s="24"/>
      <c r="E4748" s="14"/>
      <c r="F4748" s="14"/>
      <c r="G4748" s="14"/>
      <c r="H4748" s="23"/>
      <c r="I4748" s="27"/>
      <c r="J4748" s="23"/>
      <c r="K4748" s="30"/>
      <c r="L4748" s="23"/>
      <c r="M4748" s="20"/>
      <c r="N4748" s="20"/>
      <c r="O4748" s="20"/>
      <c r="P4748" s="20"/>
    </row>
    <row r="4749">
      <c r="A4749" s="10"/>
      <c r="B4749" s="11"/>
      <c r="C4749" s="10"/>
      <c r="D4749" s="13"/>
      <c r="E4749" s="14"/>
      <c r="F4749" s="14"/>
      <c r="G4749" s="14"/>
      <c r="H4749" s="10"/>
      <c r="I4749" s="17"/>
      <c r="J4749" s="10"/>
      <c r="K4749" s="46"/>
      <c r="L4749" s="10"/>
      <c r="M4749" s="20"/>
      <c r="N4749" s="20"/>
      <c r="O4749" s="20"/>
      <c r="P4749" s="20"/>
    </row>
    <row r="4750">
      <c r="A4750" s="23"/>
      <c r="B4750" s="21"/>
      <c r="C4750" s="23"/>
      <c r="D4750" s="24"/>
      <c r="E4750" s="14"/>
      <c r="F4750" s="14"/>
      <c r="G4750" s="14"/>
      <c r="H4750" s="23"/>
      <c r="I4750" s="27"/>
      <c r="J4750" s="23"/>
      <c r="K4750" s="30"/>
      <c r="L4750" s="23"/>
      <c r="M4750" s="20"/>
      <c r="N4750" s="20"/>
      <c r="O4750" s="20"/>
      <c r="P4750" s="20"/>
    </row>
    <row r="4751">
      <c r="A4751" s="10"/>
      <c r="B4751" s="11"/>
      <c r="C4751" s="10"/>
      <c r="D4751" s="13"/>
      <c r="E4751" s="14"/>
      <c r="F4751" s="14"/>
      <c r="G4751" s="14"/>
      <c r="H4751" s="10"/>
      <c r="I4751" s="17"/>
      <c r="J4751" s="10"/>
      <c r="K4751" s="46"/>
      <c r="L4751" s="10"/>
      <c r="M4751" s="20"/>
      <c r="N4751" s="20"/>
      <c r="O4751" s="20"/>
      <c r="P4751" s="20"/>
    </row>
    <row r="4752">
      <c r="A4752" s="23"/>
      <c r="B4752" s="21"/>
      <c r="C4752" s="23"/>
      <c r="D4752" s="24"/>
      <c r="E4752" s="14"/>
      <c r="F4752" s="14"/>
      <c r="G4752" s="14"/>
      <c r="H4752" s="23"/>
      <c r="I4752" s="27"/>
      <c r="J4752" s="23"/>
      <c r="K4752" s="30"/>
      <c r="L4752" s="23"/>
      <c r="M4752" s="20"/>
      <c r="N4752" s="20"/>
      <c r="O4752" s="20"/>
      <c r="P4752" s="20"/>
    </row>
    <row r="4753">
      <c r="A4753" s="10"/>
      <c r="B4753" s="11"/>
      <c r="C4753" s="10"/>
      <c r="D4753" s="13"/>
      <c r="E4753" s="14"/>
      <c r="F4753" s="14"/>
      <c r="G4753" s="14"/>
      <c r="H4753" s="10"/>
      <c r="I4753" s="17"/>
      <c r="J4753" s="10"/>
      <c r="K4753" s="46"/>
      <c r="L4753" s="10"/>
      <c r="M4753" s="20"/>
      <c r="N4753" s="20"/>
      <c r="O4753" s="20"/>
      <c r="P4753" s="20"/>
    </row>
    <row r="4754">
      <c r="A4754" s="23"/>
      <c r="B4754" s="21"/>
      <c r="C4754" s="23"/>
      <c r="D4754" s="24"/>
      <c r="E4754" s="14"/>
      <c r="F4754" s="14"/>
      <c r="G4754" s="14"/>
      <c r="H4754" s="23"/>
      <c r="I4754" s="27"/>
      <c r="J4754" s="23"/>
      <c r="K4754" s="30"/>
      <c r="L4754" s="23"/>
      <c r="M4754" s="20"/>
      <c r="N4754" s="20"/>
      <c r="O4754" s="20"/>
      <c r="P4754" s="20"/>
    </row>
    <row r="4755">
      <c r="A4755" s="10"/>
      <c r="B4755" s="11"/>
      <c r="C4755" s="10"/>
      <c r="D4755" s="13"/>
      <c r="E4755" s="14"/>
      <c r="F4755" s="14"/>
      <c r="G4755" s="14"/>
      <c r="H4755" s="10"/>
      <c r="I4755" s="17"/>
      <c r="J4755" s="10"/>
      <c r="K4755" s="46"/>
      <c r="L4755" s="10"/>
      <c r="M4755" s="20"/>
      <c r="N4755" s="20"/>
      <c r="O4755" s="20"/>
      <c r="P4755" s="20"/>
    </row>
    <row r="4756">
      <c r="A4756" s="23"/>
      <c r="B4756" s="21"/>
      <c r="C4756" s="23"/>
      <c r="D4756" s="24"/>
      <c r="E4756" s="14"/>
      <c r="F4756" s="14"/>
      <c r="G4756" s="14"/>
      <c r="H4756" s="23"/>
      <c r="I4756" s="27"/>
      <c r="J4756" s="23"/>
      <c r="K4756" s="30"/>
      <c r="L4756" s="23"/>
      <c r="M4756" s="20"/>
      <c r="N4756" s="20"/>
      <c r="O4756" s="20"/>
      <c r="P4756" s="20"/>
    </row>
    <row r="4757">
      <c r="A4757" s="10"/>
      <c r="B4757" s="11"/>
      <c r="C4757" s="10"/>
      <c r="D4757" s="13"/>
      <c r="E4757" s="14"/>
      <c r="F4757" s="14"/>
      <c r="G4757" s="14"/>
      <c r="H4757" s="10"/>
      <c r="I4757" s="17"/>
      <c r="J4757" s="10"/>
      <c r="K4757" s="46"/>
      <c r="L4757" s="10"/>
      <c r="M4757" s="20"/>
      <c r="N4757" s="20"/>
      <c r="O4757" s="20"/>
      <c r="P4757" s="20"/>
    </row>
    <row r="4758">
      <c r="A4758" s="23"/>
      <c r="B4758" s="21"/>
      <c r="C4758" s="23"/>
      <c r="D4758" s="24"/>
      <c r="E4758" s="14"/>
      <c r="F4758" s="14"/>
      <c r="G4758" s="14"/>
      <c r="H4758" s="23"/>
      <c r="I4758" s="27"/>
      <c r="J4758" s="23"/>
      <c r="K4758" s="30"/>
      <c r="L4758" s="23"/>
      <c r="M4758" s="20"/>
      <c r="N4758" s="20"/>
      <c r="O4758" s="20"/>
      <c r="P4758" s="20"/>
    </row>
    <row r="4759">
      <c r="A4759" s="10"/>
      <c r="B4759" s="11"/>
      <c r="C4759" s="10"/>
      <c r="D4759" s="13"/>
      <c r="E4759" s="14"/>
      <c r="F4759" s="14"/>
      <c r="G4759" s="14"/>
      <c r="H4759" s="10"/>
      <c r="I4759" s="17"/>
      <c r="J4759" s="10"/>
      <c r="K4759" s="46"/>
      <c r="L4759" s="10"/>
      <c r="M4759" s="20"/>
      <c r="N4759" s="20"/>
      <c r="O4759" s="20"/>
      <c r="P4759" s="20"/>
    </row>
    <row r="4760">
      <c r="A4760" s="23"/>
      <c r="B4760" s="21"/>
      <c r="C4760" s="23"/>
      <c r="D4760" s="24"/>
      <c r="E4760" s="14"/>
      <c r="F4760" s="14"/>
      <c r="G4760" s="14"/>
      <c r="H4760" s="23"/>
      <c r="I4760" s="27"/>
      <c r="J4760" s="23"/>
      <c r="K4760" s="30"/>
      <c r="L4760" s="23"/>
      <c r="M4760" s="20"/>
      <c r="N4760" s="20"/>
      <c r="O4760" s="20"/>
      <c r="P4760" s="20"/>
    </row>
    <row r="4761">
      <c r="A4761" s="10"/>
      <c r="B4761" s="11"/>
      <c r="C4761" s="10"/>
      <c r="D4761" s="13"/>
      <c r="E4761" s="14"/>
      <c r="F4761" s="14"/>
      <c r="G4761" s="14"/>
      <c r="H4761" s="10"/>
      <c r="I4761" s="17"/>
      <c r="J4761" s="10"/>
      <c r="K4761" s="46"/>
      <c r="L4761" s="10"/>
      <c r="M4761" s="20"/>
      <c r="N4761" s="20"/>
      <c r="O4761" s="20"/>
      <c r="P4761" s="20"/>
    </row>
    <row r="4762">
      <c r="A4762" s="23"/>
      <c r="B4762" s="21"/>
      <c r="C4762" s="23"/>
      <c r="D4762" s="24"/>
      <c r="E4762" s="14"/>
      <c r="F4762" s="14"/>
      <c r="G4762" s="14"/>
      <c r="H4762" s="23"/>
      <c r="I4762" s="27"/>
      <c r="J4762" s="23"/>
      <c r="K4762" s="30"/>
      <c r="L4762" s="23"/>
      <c r="M4762" s="20"/>
      <c r="N4762" s="20"/>
      <c r="O4762" s="20"/>
      <c r="P4762" s="20"/>
    </row>
    <row r="4763">
      <c r="A4763" s="10"/>
      <c r="B4763" s="11"/>
      <c r="C4763" s="10"/>
      <c r="D4763" s="13"/>
      <c r="E4763" s="14"/>
      <c r="F4763" s="14"/>
      <c r="G4763" s="14"/>
      <c r="H4763" s="10"/>
      <c r="I4763" s="17"/>
      <c r="J4763" s="10"/>
      <c r="K4763" s="46"/>
      <c r="L4763" s="10"/>
      <c r="M4763" s="20"/>
      <c r="N4763" s="20"/>
      <c r="O4763" s="20"/>
      <c r="P4763" s="20"/>
    </row>
    <row r="4764">
      <c r="A4764" s="23"/>
      <c r="B4764" s="21"/>
      <c r="C4764" s="23"/>
      <c r="D4764" s="24"/>
      <c r="E4764" s="14"/>
      <c r="F4764" s="14"/>
      <c r="G4764" s="14"/>
      <c r="H4764" s="23"/>
      <c r="I4764" s="27"/>
      <c r="J4764" s="23"/>
      <c r="K4764" s="30"/>
      <c r="L4764" s="23"/>
      <c r="M4764" s="20"/>
      <c r="N4764" s="20"/>
      <c r="O4764" s="20"/>
      <c r="P4764" s="20"/>
    </row>
    <row r="4765">
      <c r="A4765" s="10"/>
      <c r="B4765" s="11"/>
      <c r="C4765" s="10"/>
      <c r="D4765" s="13"/>
      <c r="E4765" s="14"/>
      <c r="F4765" s="14"/>
      <c r="G4765" s="14"/>
      <c r="H4765" s="10"/>
      <c r="I4765" s="17"/>
      <c r="J4765" s="10"/>
      <c r="K4765" s="46"/>
      <c r="L4765" s="10"/>
      <c r="M4765" s="20"/>
      <c r="N4765" s="20"/>
      <c r="O4765" s="20"/>
      <c r="P4765" s="20"/>
    </row>
    <row r="4766">
      <c r="A4766" s="23"/>
      <c r="B4766" s="21"/>
      <c r="C4766" s="23"/>
      <c r="D4766" s="24"/>
      <c r="E4766" s="14"/>
      <c r="F4766" s="14"/>
      <c r="G4766" s="14"/>
      <c r="H4766" s="23"/>
      <c r="I4766" s="27"/>
      <c r="J4766" s="23"/>
      <c r="K4766" s="30"/>
      <c r="L4766" s="23"/>
      <c r="M4766" s="20"/>
      <c r="N4766" s="20"/>
      <c r="O4766" s="20"/>
      <c r="P4766" s="20"/>
    </row>
    <row r="4767">
      <c r="A4767" s="10"/>
      <c r="B4767" s="11"/>
      <c r="C4767" s="10"/>
      <c r="D4767" s="13"/>
      <c r="E4767" s="14"/>
      <c r="F4767" s="14"/>
      <c r="G4767" s="14"/>
      <c r="H4767" s="10"/>
      <c r="I4767" s="17"/>
      <c r="J4767" s="10"/>
      <c r="K4767" s="46"/>
      <c r="L4767" s="10"/>
      <c r="M4767" s="20"/>
      <c r="N4767" s="20"/>
      <c r="O4767" s="20"/>
      <c r="P4767" s="20"/>
    </row>
    <row r="4768">
      <c r="A4768" s="23"/>
      <c r="B4768" s="21"/>
      <c r="C4768" s="23"/>
      <c r="D4768" s="24"/>
      <c r="E4768" s="14"/>
      <c r="F4768" s="14"/>
      <c r="G4768" s="14"/>
      <c r="H4768" s="23"/>
      <c r="I4768" s="27"/>
      <c r="J4768" s="23"/>
      <c r="K4768" s="30"/>
      <c r="L4768" s="23"/>
      <c r="M4768" s="20"/>
      <c r="N4768" s="20"/>
      <c r="O4768" s="20"/>
      <c r="P4768" s="20"/>
    </row>
    <row r="4769">
      <c r="A4769" s="10"/>
      <c r="B4769" s="11"/>
      <c r="C4769" s="10"/>
      <c r="D4769" s="13"/>
      <c r="E4769" s="14"/>
      <c r="F4769" s="14"/>
      <c r="G4769" s="14"/>
      <c r="H4769" s="10"/>
      <c r="I4769" s="17"/>
      <c r="J4769" s="10"/>
      <c r="K4769" s="46"/>
      <c r="L4769" s="10"/>
      <c r="M4769" s="20"/>
      <c r="N4769" s="20"/>
      <c r="O4769" s="20"/>
      <c r="P4769" s="20"/>
    </row>
    <row r="4770">
      <c r="A4770" s="23"/>
      <c r="B4770" s="21"/>
      <c r="C4770" s="23"/>
      <c r="D4770" s="24"/>
      <c r="E4770" s="14"/>
      <c r="F4770" s="14"/>
      <c r="G4770" s="14"/>
      <c r="H4770" s="23"/>
      <c r="I4770" s="27"/>
      <c r="J4770" s="23"/>
      <c r="K4770" s="30"/>
      <c r="L4770" s="23"/>
      <c r="M4770" s="20"/>
      <c r="N4770" s="20"/>
      <c r="O4770" s="20"/>
      <c r="P4770" s="20"/>
    </row>
    <row r="4771">
      <c r="A4771" s="10"/>
      <c r="B4771" s="11"/>
      <c r="C4771" s="10"/>
      <c r="D4771" s="13"/>
      <c r="E4771" s="14"/>
      <c r="F4771" s="14"/>
      <c r="G4771" s="14"/>
      <c r="H4771" s="10"/>
      <c r="I4771" s="17"/>
      <c r="J4771" s="10"/>
      <c r="K4771" s="46"/>
      <c r="L4771" s="10"/>
      <c r="M4771" s="20"/>
      <c r="N4771" s="20"/>
      <c r="O4771" s="20"/>
      <c r="P4771" s="20"/>
    </row>
    <row r="4772">
      <c r="A4772" s="23"/>
      <c r="B4772" s="21"/>
      <c r="C4772" s="23"/>
      <c r="D4772" s="24"/>
      <c r="E4772" s="14"/>
      <c r="F4772" s="14"/>
      <c r="G4772" s="14"/>
      <c r="H4772" s="23"/>
      <c r="I4772" s="27"/>
      <c r="J4772" s="23"/>
      <c r="K4772" s="30"/>
      <c r="L4772" s="23"/>
      <c r="M4772" s="20"/>
      <c r="N4772" s="20"/>
      <c r="O4772" s="20"/>
      <c r="P4772" s="20"/>
    </row>
    <row r="4773">
      <c r="A4773" s="10"/>
      <c r="B4773" s="11"/>
      <c r="C4773" s="10"/>
      <c r="D4773" s="13"/>
      <c r="E4773" s="14"/>
      <c r="F4773" s="14"/>
      <c r="G4773" s="14"/>
      <c r="H4773" s="10"/>
      <c r="I4773" s="17"/>
      <c r="J4773" s="10"/>
      <c r="K4773" s="46"/>
      <c r="L4773" s="10"/>
      <c r="M4773" s="20"/>
      <c r="N4773" s="20"/>
      <c r="O4773" s="20"/>
      <c r="P4773" s="20"/>
    </row>
    <row r="4774">
      <c r="A4774" s="23"/>
      <c r="B4774" s="21"/>
      <c r="C4774" s="23"/>
      <c r="D4774" s="24"/>
      <c r="E4774" s="14"/>
      <c r="F4774" s="14"/>
      <c r="G4774" s="14"/>
      <c r="H4774" s="23"/>
      <c r="I4774" s="27"/>
      <c r="J4774" s="23"/>
      <c r="K4774" s="30"/>
      <c r="L4774" s="23"/>
      <c r="M4774" s="20"/>
      <c r="N4774" s="20"/>
      <c r="O4774" s="20"/>
      <c r="P4774" s="20"/>
    </row>
    <row r="4775">
      <c r="A4775" s="10"/>
      <c r="B4775" s="11"/>
      <c r="C4775" s="10"/>
      <c r="D4775" s="13"/>
      <c r="E4775" s="14"/>
      <c r="F4775" s="14"/>
      <c r="G4775" s="14"/>
      <c r="H4775" s="10"/>
      <c r="I4775" s="17"/>
      <c r="J4775" s="10"/>
      <c r="K4775" s="46"/>
      <c r="L4775" s="10"/>
      <c r="M4775" s="20"/>
      <c r="N4775" s="20"/>
      <c r="O4775" s="20"/>
      <c r="P4775" s="20"/>
    </row>
    <row r="4776">
      <c r="A4776" s="23"/>
      <c r="B4776" s="21"/>
      <c r="C4776" s="23"/>
      <c r="D4776" s="24"/>
      <c r="E4776" s="14"/>
      <c r="F4776" s="14"/>
      <c r="G4776" s="14"/>
      <c r="H4776" s="23"/>
      <c r="I4776" s="27"/>
      <c r="J4776" s="23"/>
      <c r="K4776" s="30"/>
      <c r="L4776" s="23"/>
      <c r="M4776" s="20"/>
      <c r="N4776" s="20"/>
      <c r="O4776" s="20"/>
      <c r="P4776" s="20"/>
    </row>
    <row r="4777">
      <c r="A4777" s="10"/>
      <c r="B4777" s="11"/>
      <c r="C4777" s="10"/>
      <c r="D4777" s="13"/>
      <c r="E4777" s="14"/>
      <c r="F4777" s="14"/>
      <c r="G4777" s="14"/>
      <c r="H4777" s="10"/>
      <c r="I4777" s="17"/>
      <c r="J4777" s="10"/>
      <c r="K4777" s="46"/>
      <c r="L4777" s="10"/>
      <c r="M4777" s="20"/>
      <c r="N4777" s="20"/>
      <c r="O4777" s="20"/>
      <c r="P4777" s="20"/>
    </row>
    <row r="4778">
      <c r="A4778" s="23"/>
      <c r="B4778" s="21"/>
      <c r="C4778" s="23"/>
      <c r="D4778" s="24"/>
      <c r="E4778" s="14"/>
      <c r="F4778" s="14"/>
      <c r="G4778" s="14"/>
      <c r="H4778" s="23"/>
      <c r="I4778" s="27"/>
      <c r="J4778" s="23"/>
      <c r="K4778" s="30"/>
      <c r="L4778" s="23"/>
      <c r="M4778" s="20"/>
      <c r="N4778" s="20"/>
      <c r="O4778" s="20"/>
      <c r="P4778" s="20"/>
    </row>
    <row r="4779">
      <c r="A4779" s="10"/>
      <c r="B4779" s="11"/>
      <c r="C4779" s="10"/>
      <c r="D4779" s="13"/>
      <c r="E4779" s="14"/>
      <c r="F4779" s="14"/>
      <c r="G4779" s="14"/>
      <c r="H4779" s="10"/>
      <c r="I4779" s="17"/>
      <c r="J4779" s="10"/>
      <c r="K4779" s="46"/>
      <c r="L4779" s="10"/>
      <c r="M4779" s="20"/>
      <c r="N4779" s="20"/>
      <c r="O4779" s="20"/>
      <c r="P4779" s="20"/>
    </row>
    <row r="4780">
      <c r="A4780" s="23"/>
      <c r="B4780" s="21"/>
      <c r="C4780" s="23"/>
      <c r="D4780" s="24"/>
      <c r="E4780" s="14"/>
      <c r="F4780" s="14"/>
      <c r="G4780" s="14"/>
      <c r="H4780" s="23"/>
      <c r="I4780" s="27"/>
      <c r="J4780" s="23"/>
      <c r="K4780" s="30"/>
      <c r="L4780" s="23"/>
      <c r="M4780" s="20"/>
      <c r="N4780" s="20"/>
      <c r="O4780" s="20"/>
      <c r="P4780" s="20"/>
    </row>
    <row r="4781">
      <c r="A4781" s="10"/>
      <c r="B4781" s="11"/>
      <c r="C4781" s="10"/>
      <c r="D4781" s="13"/>
      <c r="E4781" s="14"/>
      <c r="F4781" s="14"/>
      <c r="G4781" s="14"/>
      <c r="H4781" s="10"/>
      <c r="I4781" s="17"/>
      <c r="J4781" s="10"/>
      <c r="K4781" s="46"/>
      <c r="L4781" s="10"/>
      <c r="M4781" s="20"/>
      <c r="N4781" s="20"/>
      <c r="O4781" s="20"/>
      <c r="P4781" s="20"/>
    </row>
    <row r="4782">
      <c r="A4782" s="23"/>
      <c r="B4782" s="21"/>
      <c r="C4782" s="23"/>
      <c r="D4782" s="24"/>
      <c r="E4782" s="14"/>
      <c r="F4782" s="14"/>
      <c r="G4782" s="14"/>
      <c r="H4782" s="23"/>
      <c r="I4782" s="27"/>
      <c r="J4782" s="23"/>
      <c r="K4782" s="30"/>
      <c r="L4782" s="23"/>
      <c r="M4782" s="20"/>
      <c r="N4782" s="20"/>
      <c r="O4782" s="20"/>
      <c r="P4782" s="20"/>
    </row>
    <row r="4783">
      <c r="A4783" s="10"/>
      <c r="B4783" s="11"/>
      <c r="C4783" s="10"/>
      <c r="D4783" s="13"/>
      <c r="E4783" s="14"/>
      <c r="F4783" s="14"/>
      <c r="G4783" s="14"/>
      <c r="H4783" s="10"/>
      <c r="I4783" s="17"/>
      <c r="J4783" s="10"/>
      <c r="K4783" s="46"/>
      <c r="L4783" s="10"/>
      <c r="M4783" s="20"/>
      <c r="N4783" s="20"/>
      <c r="O4783" s="20"/>
      <c r="P4783" s="20"/>
    </row>
    <row r="4784">
      <c r="A4784" s="23"/>
      <c r="B4784" s="21"/>
      <c r="C4784" s="23"/>
      <c r="D4784" s="24"/>
      <c r="E4784" s="14"/>
      <c r="F4784" s="14"/>
      <c r="G4784" s="14"/>
      <c r="H4784" s="23"/>
      <c r="I4784" s="27"/>
      <c r="J4784" s="23"/>
      <c r="K4784" s="30"/>
      <c r="L4784" s="23"/>
      <c r="M4784" s="20"/>
      <c r="N4784" s="20"/>
      <c r="O4784" s="20"/>
      <c r="P4784" s="20"/>
    </row>
    <row r="4785">
      <c r="A4785" s="10"/>
      <c r="B4785" s="11"/>
      <c r="C4785" s="10"/>
      <c r="D4785" s="13"/>
      <c r="E4785" s="14"/>
      <c r="F4785" s="14"/>
      <c r="G4785" s="14"/>
      <c r="H4785" s="10"/>
      <c r="I4785" s="17"/>
      <c r="J4785" s="10"/>
      <c r="K4785" s="46"/>
      <c r="L4785" s="10"/>
      <c r="M4785" s="20"/>
      <c r="N4785" s="20"/>
      <c r="O4785" s="20"/>
      <c r="P4785" s="20"/>
    </row>
    <row r="4786">
      <c r="A4786" s="23"/>
      <c r="B4786" s="21"/>
      <c r="C4786" s="23"/>
      <c r="D4786" s="24"/>
      <c r="E4786" s="14"/>
      <c r="F4786" s="14"/>
      <c r="G4786" s="14"/>
      <c r="H4786" s="23"/>
      <c r="I4786" s="27"/>
      <c r="J4786" s="23"/>
      <c r="K4786" s="30"/>
      <c r="L4786" s="23"/>
      <c r="M4786" s="20"/>
      <c r="N4786" s="20"/>
      <c r="O4786" s="20"/>
      <c r="P4786" s="20"/>
    </row>
    <row r="4787">
      <c r="A4787" s="10"/>
      <c r="B4787" s="11"/>
      <c r="C4787" s="10"/>
      <c r="D4787" s="13"/>
      <c r="E4787" s="14"/>
      <c r="F4787" s="14"/>
      <c r="G4787" s="14"/>
      <c r="H4787" s="10"/>
      <c r="I4787" s="17"/>
      <c r="J4787" s="10"/>
      <c r="K4787" s="46"/>
      <c r="L4787" s="10"/>
      <c r="M4787" s="20"/>
      <c r="N4787" s="20"/>
      <c r="O4787" s="20"/>
      <c r="P4787" s="20"/>
    </row>
    <row r="4788">
      <c r="A4788" s="23"/>
      <c r="B4788" s="21"/>
      <c r="C4788" s="23"/>
      <c r="D4788" s="24"/>
      <c r="E4788" s="14"/>
      <c r="F4788" s="14"/>
      <c r="G4788" s="14"/>
      <c r="H4788" s="23"/>
      <c r="I4788" s="27"/>
      <c r="J4788" s="23"/>
      <c r="K4788" s="30"/>
      <c r="L4788" s="23"/>
      <c r="M4788" s="20"/>
      <c r="N4788" s="20"/>
      <c r="O4788" s="20"/>
      <c r="P4788" s="20"/>
    </row>
    <row r="4789">
      <c r="A4789" s="10"/>
      <c r="B4789" s="11"/>
      <c r="C4789" s="10"/>
      <c r="D4789" s="13"/>
      <c r="E4789" s="14"/>
      <c r="F4789" s="14"/>
      <c r="G4789" s="14"/>
      <c r="H4789" s="10"/>
      <c r="I4789" s="17"/>
      <c r="J4789" s="10"/>
      <c r="K4789" s="46"/>
      <c r="L4789" s="10"/>
      <c r="M4789" s="20"/>
      <c r="N4789" s="20"/>
      <c r="O4789" s="20"/>
      <c r="P4789" s="20"/>
    </row>
    <row r="4790">
      <c r="A4790" s="23"/>
      <c r="B4790" s="21"/>
      <c r="C4790" s="23"/>
      <c r="D4790" s="24"/>
      <c r="E4790" s="14"/>
      <c r="F4790" s="14"/>
      <c r="G4790" s="14"/>
      <c r="H4790" s="23"/>
      <c r="I4790" s="27"/>
      <c r="J4790" s="23"/>
      <c r="K4790" s="30"/>
      <c r="L4790" s="23"/>
      <c r="M4790" s="20"/>
      <c r="N4790" s="20"/>
      <c r="O4790" s="20"/>
      <c r="P4790" s="20"/>
    </row>
    <row r="4791">
      <c r="A4791" s="10"/>
      <c r="B4791" s="11"/>
      <c r="C4791" s="10"/>
      <c r="D4791" s="13"/>
      <c r="E4791" s="14"/>
      <c r="F4791" s="14"/>
      <c r="G4791" s="14"/>
      <c r="H4791" s="10"/>
      <c r="I4791" s="17"/>
      <c r="J4791" s="10"/>
      <c r="K4791" s="46"/>
      <c r="L4791" s="10"/>
      <c r="M4791" s="20"/>
      <c r="N4791" s="20"/>
      <c r="O4791" s="20"/>
      <c r="P4791" s="20"/>
    </row>
    <row r="4792">
      <c r="A4792" s="23"/>
      <c r="B4792" s="21"/>
      <c r="C4792" s="23"/>
      <c r="D4792" s="24"/>
      <c r="E4792" s="14"/>
      <c r="F4792" s="14"/>
      <c r="G4792" s="14"/>
      <c r="H4792" s="23"/>
      <c r="I4792" s="27"/>
      <c r="J4792" s="23"/>
      <c r="K4792" s="30"/>
      <c r="L4792" s="23"/>
      <c r="M4792" s="20"/>
      <c r="N4792" s="20"/>
      <c r="O4792" s="20"/>
      <c r="P4792" s="20"/>
    </row>
    <row r="4793">
      <c r="A4793" s="10"/>
      <c r="B4793" s="11"/>
      <c r="C4793" s="10"/>
      <c r="D4793" s="13"/>
      <c r="E4793" s="14"/>
      <c r="F4793" s="14"/>
      <c r="G4793" s="14"/>
      <c r="H4793" s="10"/>
      <c r="I4793" s="17"/>
      <c r="J4793" s="10"/>
      <c r="K4793" s="46"/>
      <c r="L4793" s="10"/>
      <c r="M4793" s="20"/>
      <c r="N4793" s="20"/>
      <c r="O4793" s="20"/>
      <c r="P4793" s="20"/>
    </row>
    <row r="4794">
      <c r="A4794" s="23"/>
      <c r="B4794" s="21"/>
      <c r="C4794" s="23"/>
      <c r="D4794" s="24"/>
      <c r="E4794" s="14"/>
      <c r="F4794" s="14"/>
      <c r="G4794" s="14"/>
      <c r="H4794" s="23"/>
      <c r="I4794" s="27"/>
      <c r="J4794" s="23"/>
      <c r="K4794" s="30"/>
      <c r="L4794" s="23"/>
      <c r="M4794" s="20"/>
      <c r="N4794" s="20"/>
      <c r="O4794" s="20"/>
      <c r="P4794" s="20"/>
    </row>
    <row r="4795">
      <c r="A4795" s="10"/>
      <c r="B4795" s="11"/>
      <c r="C4795" s="10"/>
      <c r="D4795" s="13"/>
      <c r="E4795" s="14"/>
      <c r="F4795" s="14"/>
      <c r="G4795" s="14"/>
      <c r="H4795" s="10"/>
      <c r="I4795" s="17"/>
      <c r="J4795" s="10"/>
      <c r="K4795" s="46"/>
      <c r="L4795" s="10"/>
      <c r="M4795" s="20"/>
      <c r="N4795" s="20"/>
      <c r="O4795" s="20"/>
      <c r="P4795" s="20"/>
    </row>
    <row r="4796">
      <c r="A4796" s="23"/>
      <c r="B4796" s="21"/>
      <c r="C4796" s="23"/>
      <c r="D4796" s="24"/>
      <c r="E4796" s="14"/>
      <c r="F4796" s="14"/>
      <c r="G4796" s="14"/>
      <c r="H4796" s="23"/>
      <c r="I4796" s="27"/>
      <c r="J4796" s="23"/>
      <c r="K4796" s="30"/>
      <c r="L4796" s="23"/>
      <c r="M4796" s="20"/>
      <c r="N4796" s="20"/>
      <c r="O4796" s="20"/>
      <c r="P4796" s="20"/>
    </row>
    <row r="4797">
      <c r="A4797" s="10"/>
      <c r="B4797" s="11"/>
      <c r="C4797" s="10"/>
      <c r="D4797" s="13"/>
      <c r="E4797" s="14"/>
      <c r="F4797" s="14"/>
      <c r="G4797" s="14"/>
      <c r="H4797" s="10"/>
      <c r="I4797" s="17"/>
      <c r="J4797" s="10"/>
      <c r="K4797" s="46"/>
      <c r="L4797" s="10"/>
      <c r="M4797" s="20"/>
      <c r="N4797" s="20"/>
      <c r="O4797" s="20"/>
      <c r="P4797" s="20"/>
    </row>
    <row r="4798">
      <c r="A4798" s="23"/>
      <c r="B4798" s="21"/>
      <c r="C4798" s="23"/>
      <c r="D4798" s="24"/>
      <c r="E4798" s="14"/>
      <c r="F4798" s="14"/>
      <c r="G4798" s="14"/>
      <c r="H4798" s="23"/>
      <c r="I4798" s="27"/>
      <c r="J4798" s="23"/>
      <c r="K4798" s="30"/>
      <c r="L4798" s="23"/>
      <c r="M4798" s="20"/>
      <c r="N4798" s="20"/>
      <c r="O4798" s="20"/>
      <c r="P4798" s="20"/>
    </row>
    <row r="4799">
      <c r="A4799" s="10"/>
      <c r="B4799" s="11"/>
      <c r="C4799" s="10"/>
      <c r="D4799" s="13"/>
      <c r="E4799" s="14"/>
      <c r="F4799" s="14"/>
      <c r="G4799" s="14"/>
      <c r="H4799" s="10"/>
      <c r="I4799" s="17"/>
      <c r="J4799" s="10"/>
      <c r="K4799" s="46"/>
      <c r="L4799" s="10"/>
      <c r="M4799" s="20"/>
      <c r="N4799" s="20"/>
      <c r="O4799" s="20"/>
      <c r="P4799" s="20"/>
    </row>
    <row r="4800">
      <c r="A4800" s="23"/>
      <c r="B4800" s="21"/>
      <c r="C4800" s="23"/>
      <c r="D4800" s="24"/>
      <c r="E4800" s="14"/>
      <c r="F4800" s="14"/>
      <c r="G4800" s="14"/>
      <c r="H4800" s="23"/>
      <c r="I4800" s="27"/>
      <c r="J4800" s="23"/>
      <c r="K4800" s="30"/>
      <c r="L4800" s="23"/>
      <c r="M4800" s="20"/>
      <c r="N4800" s="20"/>
      <c r="O4800" s="20"/>
      <c r="P4800" s="20"/>
    </row>
    <row r="4801">
      <c r="A4801" s="10"/>
      <c r="B4801" s="11"/>
      <c r="C4801" s="10"/>
      <c r="D4801" s="13"/>
      <c r="E4801" s="14"/>
      <c r="F4801" s="14"/>
      <c r="G4801" s="14"/>
      <c r="H4801" s="10"/>
      <c r="I4801" s="17"/>
      <c r="J4801" s="10"/>
      <c r="K4801" s="46"/>
      <c r="L4801" s="10"/>
      <c r="M4801" s="20"/>
      <c r="N4801" s="20"/>
      <c r="O4801" s="20"/>
      <c r="P4801" s="20"/>
    </row>
    <row r="4802">
      <c r="A4802" s="23"/>
      <c r="B4802" s="21"/>
      <c r="C4802" s="23"/>
      <c r="D4802" s="24"/>
      <c r="E4802" s="14"/>
      <c r="F4802" s="14"/>
      <c r="G4802" s="14"/>
      <c r="H4802" s="23"/>
      <c r="I4802" s="27"/>
      <c r="J4802" s="23"/>
      <c r="K4802" s="30"/>
      <c r="L4802" s="23"/>
      <c r="M4802" s="20"/>
      <c r="N4802" s="20"/>
      <c r="O4802" s="20"/>
      <c r="P4802" s="20"/>
    </row>
    <row r="4803">
      <c r="A4803" s="10"/>
      <c r="B4803" s="11"/>
      <c r="C4803" s="10"/>
      <c r="D4803" s="13"/>
      <c r="E4803" s="14"/>
      <c r="F4803" s="14"/>
      <c r="G4803" s="14"/>
      <c r="H4803" s="10"/>
      <c r="I4803" s="17"/>
      <c r="J4803" s="10"/>
      <c r="K4803" s="46"/>
      <c r="L4803" s="10"/>
      <c r="M4803" s="20"/>
      <c r="N4803" s="20"/>
      <c r="O4803" s="20"/>
      <c r="P4803" s="20"/>
    </row>
    <row r="4804">
      <c r="A4804" s="23"/>
      <c r="B4804" s="21"/>
      <c r="C4804" s="23"/>
      <c r="D4804" s="24"/>
      <c r="E4804" s="14"/>
      <c r="F4804" s="14"/>
      <c r="G4804" s="14"/>
      <c r="H4804" s="23"/>
      <c r="I4804" s="27"/>
      <c r="J4804" s="23"/>
      <c r="K4804" s="30"/>
      <c r="L4804" s="23"/>
      <c r="M4804" s="20"/>
      <c r="N4804" s="20"/>
      <c r="O4804" s="20"/>
      <c r="P4804" s="20"/>
    </row>
    <row r="4805">
      <c r="A4805" s="10"/>
      <c r="B4805" s="11"/>
      <c r="C4805" s="10"/>
      <c r="D4805" s="13"/>
      <c r="E4805" s="14"/>
      <c r="F4805" s="14"/>
      <c r="G4805" s="14"/>
      <c r="H4805" s="10"/>
      <c r="I4805" s="17"/>
      <c r="J4805" s="10"/>
      <c r="K4805" s="46"/>
      <c r="L4805" s="10"/>
      <c r="M4805" s="20"/>
      <c r="N4805" s="20"/>
      <c r="O4805" s="20"/>
      <c r="P4805" s="20"/>
    </row>
    <row r="4806">
      <c r="A4806" s="23"/>
      <c r="B4806" s="21"/>
      <c r="C4806" s="23"/>
      <c r="D4806" s="24"/>
      <c r="E4806" s="14"/>
      <c r="F4806" s="14"/>
      <c r="G4806" s="14"/>
      <c r="H4806" s="23"/>
      <c r="I4806" s="27"/>
      <c r="J4806" s="23"/>
      <c r="K4806" s="30"/>
      <c r="L4806" s="23"/>
      <c r="M4806" s="20"/>
      <c r="N4806" s="20"/>
      <c r="O4806" s="20"/>
      <c r="P4806" s="20"/>
    </row>
    <row r="4807">
      <c r="A4807" s="10"/>
      <c r="B4807" s="11"/>
      <c r="C4807" s="10"/>
      <c r="D4807" s="13"/>
      <c r="E4807" s="14"/>
      <c r="F4807" s="14"/>
      <c r="G4807" s="14"/>
      <c r="H4807" s="10"/>
      <c r="I4807" s="17"/>
      <c r="J4807" s="10"/>
      <c r="K4807" s="46"/>
      <c r="L4807" s="10"/>
      <c r="M4807" s="20"/>
      <c r="N4807" s="20"/>
      <c r="O4807" s="20"/>
      <c r="P4807" s="20"/>
    </row>
    <row r="4808">
      <c r="A4808" s="23"/>
      <c r="B4808" s="21"/>
      <c r="C4808" s="23"/>
      <c r="D4808" s="24"/>
      <c r="E4808" s="14"/>
      <c r="F4808" s="14"/>
      <c r="G4808" s="14"/>
      <c r="H4808" s="23"/>
      <c r="I4808" s="27"/>
      <c r="J4808" s="23"/>
      <c r="K4808" s="30"/>
      <c r="L4808" s="23"/>
      <c r="M4808" s="20"/>
      <c r="N4808" s="20"/>
      <c r="O4808" s="20"/>
      <c r="P4808" s="20"/>
    </row>
    <row r="4809">
      <c r="A4809" s="10"/>
      <c r="B4809" s="11"/>
      <c r="C4809" s="10"/>
      <c r="D4809" s="13"/>
      <c r="E4809" s="14"/>
      <c r="F4809" s="14"/>
      <c r="G4809" s="14"/>
      <c r="H4809" s="10"/>
      <c r="I4809" s="17"/>
      <c r="J4809" s="10"/>
      <c r="K4809" s="46"/>
      <c r="L4809" s="10"/>
      <c r="M4809" s="20"/>
      <c r="N4809" s="20"/>
      <c r="O4809" s="20"/>
      <c r="P4809" s="20"/>
    </row>
    <row r="4810">
      <c r="A4810" s="23"/>
      <c r="B4810" s="21"/>
      <c r="C4810" s="23"/>
      <c r="D4810" s="24"/>
      <c r="E4810" s="14"/>
      <c r="F4810" s="14"/>
      <c r="G4810" s="14"/>
      <c r="H4810" s="23"/>
      <c r="I4810" s="27"/>
      <c r="J4810" s="23"/>
      <c r="K4810" s="30"/>
      <c r="L4810" s="23"/>
      <c r="M4810" s="20"/>
      <c r="N4810" s="20"/>
      <c r="O4810" s="20"/>
      <c r="P4810" s="20"/>
    </row>
    <row r="4811">
      <c r="A4811" s="10"/>
      <c r="B4811" s="11"/>
      <c r="C4811" s="10"/>
      <c r="D4811" s="13"/>
      <c r="E4811" s="14"/>
      <c r="F4811" s="14"/>
      <c r="G4811" s="14"/>
      <c r="H4811" s="10"/>
      <c r="I4811" s="17"/>
      <c r="J4811" s="10"/>
      <c r="K4811" s="46"/>
      <c r="L4811" s="10"/>
      <c r="M4811" s="20"/>
      <c r="N4811" s="20"/>
      <c r="O4811" s="20"/>
      <c r="P4811" s="20"/>
    </row>
    <row r="4812">
      <c r="A4812" s="23"/>
      <c r="B4812" s="21"/>
      <c r="C4812" s="23"/>
      <c r="D4812" s="24"/>
      <c r="E4812" s="14"/>
      <c r="F4812" s="14"/>
      <c r="G4812" s="14"/>
      <c r="H4812" s="23"/>
      <c r="I4812" s="27"/>
      <c r="J4812" s="23"/>
      <c r="K4812" s="30"/>
      <c r="L4812" s="23"/>
      <c r="M4812" s="20"/>
      <c r="N4812" s="20"/>
      <c r="O4812" s="20"/>
      <c r="P4812" s="20"/>
    </row>
    <row r="4813">
      <c r="A4813" s="10"/>
      <c r="B4813" s="11"/>
      <c r="C4813" s="10"/>
      <c r="D4813" s="13"/>
      <c r="E4813" s="14"/>
      <c r="F4813" s="14"/>
      <c r="G4813" s="14"/>
      <c r="H4813" s="10"/>
      <c r="I4813" s="17"/>
      <c r="J4813" s="10"/>
      <c r="K4813" s="46"/>
      <c r="L4813" s="10"/>
      <c r="M4813" s="20"/>
      <c r="N4813" s="20"/>
      <c r="O4813" s="20"/>
      <c r="P4813" s="20"/>
    </row>
    <row r="4814">
      <c r="A4814" s="23"/>
      <c r="B4814" s="21"/>
      <c r="C4814" s="23"/>
      <c r="D4814" s="24"/>
      <c r="E4814" s="14"/>
      <c r="F4814" s="14"/>
      <c r="G4814" s="14"/>
      <c r="H4814" s="23"/>
      <c r="I4814" s="27"/>
      <c r="J4814" s="23"/>
      <c r="K4814" s="30"/>
      <c r="L4814" s="23"/>
      <c r="M4814" s="20"/>
      <c r="N4814" s="20"/>
      <c r="O4814" s="20"/>
      <c r="P4814" s="20"/>
    </row>
    <row r="4815">
      <c r="A4815" s="10"/>
      <c r="B4815" s="11"/>
      <c r="C4815" s="10"/>
      <c r="D4815" s="13"/>
      <c r="E4815" s="14"/>
      <c r="F4815" s="14"/>
      <c r="G4815" s="14"/>
      <c r="H4815" s="10"/>
      <c r="I4815" s="17"/>
      <c r="J4815" s="10"/>
      <c r="K4815" s="46"/>
      <c r="L4815" s="10"/>
      <c r="M4815" s="20"/>
      <c r="N4815" s="20"/>
      <c r="O4815" s="20"/>
      <c r="P4815" s="20"/>
    </row>
    <row r="4816">
      <c r="A4816" s="23"/>
      <c r="B4816" s="21"/>
      <c r="C4816" s="23"/>
      <c r="D4816" s="24"/>
      <c r="E4816" s="14"/>
      <c r="F4816" s="14"/>
      <c r="G4816" s="14"/>
      <c r="H4816" s="23"/>
      <c r="I4816" s="27"/>
      <c r="J4816" s="23"/>
      <c r="K4816" s="30"/>
      <c r="L4816" s="23"/>
      <c r="M4816" s="20"/>
      <c r="N4816" s="20"/>
      <c r="O4816" s="20"/>
      <c r="P4816" s="20"/>
    </row>
    <row r="4817">
      <c r="A4817" s="10"/>
      <c r="B4817" s="11"/>
      <c r="C4817" s="10"/>
      <c r="D4817" s="13"/>
      <c r="E4817" s="14"/>
      <c r="F4817" s="14"/>
      <c r="G4817" s="14"/>
      <c r="H4817" s="10"/>
      <c r="I4817" s="17"/>
      <c r="J4817" s="10"/>
      <c r="K4817" s="46"/>
      <c r="L4817" s="10"/>
      <c r="M4817" s="20"/>
      <c r="N4817" s="20"/>
      <c r="O4817" s="20"/>
      <c r="P4817" s="20"/>
    </row>
    <row r="4818">
      <c r="A4818" s="23"/>
      <c r="B4818" s="21"/>
      <c r="C4818" s="23"/>
      <c r="D4818" s="24"/>
      <c r="E4818" s="14"/>
      <c r="F4818" s="14"/>
      <c r="G4818" s="14"/>
      <c r="H4818" s="23"/>
      <c r="I4818" s="27"/>
      <c r="J4818" s="23"/>
      <c r="K4818" s="30"/>
      <c r="L4818" s="23"/>
      <c r="M4818" s="20"/>
      <c r="N4818" s="20"/>
      <c r="O4818" s="20"/>
      <c r="P4818" s="20"/>
    </row>
    <row r="4819">
      <c r="A4819" s="10"/>
      <c r="B4819" s="11"/>
      <c r="C4819" s="10"/>
      <c r="D4819" s="13"/>
      <c r="E4819" s="14"/>
      <c r="F4819" s="14"/>
      <c r="G4819" s="14"/>
      <c r="H4819" s="10"/>
      <c r="I4819" s="17"/>
      <c r="J4819" s="10"/>
      <c r="K4819" s="46"/>
      <c r="L4819" s="10"/>
      <c r="M4819" s="20"/>
      <c r="N4819" s="20"/>
      <c r="O4819" s="20"/>
      <c r="P4819" s="20"/>
    </row>
    <row r="4820">
      <c r="A4820" s="23"/>
      <c r="B4820" s="21"/>
      <c r="C4820" s="23"/>
      <c r="D4820" s="24"/>
      <c r="E4820" s="14"/>
      <c r="F4820" s="14"/>
      <c r="G4820" s="14"/>
      <c r="H4820" s="23"/>
      <c r="I4820" s="27"/>
      <c r="J4820" s="23"/>
      <c r="K4820" s="30"/>
      <c r="L4820" s="23"/>
      <c r="M4820" s="20"/>
      <c r="N4820" s="20"/>
      <c r="O4820" s="20"/>
      <c r="P4820" s="20"/>
    </row>
    <row r="4821">
      <c r="A4821" s="10"/>
      <c r="B4821" s="11"/>
      <c r="C4821" s="10"/>
      <c r="D4821" s="13"/>
      <c r="E4821" s="14"/>
      <c r="F4821" s="14"/>
      <c r="G4821" s="14"/>
      <c r="H4821" s="10"/>
      <c r="I4821" s="17"/>
      <c r="J4821" s="10"/>
      <c r="K4821" s="46"/>
      <c r="L4821" s="10"/>
      <c r="M4821" s="20"/>
      <c r="N4821" s="20"/>
      <c r="O4821" s="20"/>
      <c r="P4821" s="20"/>
    </row>
    <row r="4822">
      <c r="A4822" s="23"/>
      <c r="B4822" s="21"/>
      <c r="C4822" s="23"/>
      <c r="D4822" s="24"/>
      <c r="E4822" s="14"/>
      <c r="F4822" s="14"/>
      <c r="G4822" s="14"/>
      <c r="H4822" s="23"/>
      <c r="I4822" s="27"/>
      <c r="J4822" s="23"/>
      <c r="K4822" s="30"/>
      <c r="L4822" s="23"/>
      <c r="M4822" s="20"/>
      <c r="N4822" s="20"/>
      <c r="O4822" s="20"/>
      <c r="P4822" s="20"/>
    </row>
    <row r="4823">
      <c r="A4823" s="10"/>
      <c r="B4823" s="11"/>
      <c r="C4823" s="10"/>
      <c r="D4823" s="13"/>
      <c r="E4823" s="14"/>
      <c r="F4823" s="14"/>
      <c r="G4823" s="14"/>
      <c r="H4823" s="10"/>
      <c r="I4823" s="17"/>
      <c r="J4823" s="10"/>
      <c r="K4823" s="46"/>
      <c r="L4823" s="10"/>
      <c r="M4823" s="20"/>
      <c r="N4823" s="20"/>
      <c r="O4823" s="20"/>
      <c r="P4823" s="20"/>
    </row>
    <row r="4824">
      <c r="A4824" s="23"/>
      <c r="B4824" s="21"/>
      <c r="C4824" s="23"/>
      <c r="D4824" s="24"/>
      <c r="E4824" s="14"/>
      <c r="F4824" s="14"/>
      <c r="G4824" s="14"/>
      <c r="H4824" s="23"/>
      <c r="I4824" s="27"/>
      <c r="J4824" s="23"/>
      <c r="K4824" s="30"/>
      <c r="L4824" s="23"/>
      <c r="M4824" s="20"/>
      <c r="N4824" s="20"/>
      <c r="O4824" s="20"/>
      <c r="P4824" s="20"/>
    </row>
    <row r="4825">
      <c r="A4825" s="10"/>
      <c r="B4825" s="11"/>
      <c r="C4825" s="10"/>
      <c r="D4825" s="13"/>
      <c r="E4825" s="14"/>
      <c r="F4825" s="14"/>
      <c r="G4825" s="14"/>
      <c r="H4825" s="10"/>
      <c r="I4825" s="17"/>
      <c r="J4825" s="10"/>
      <c r="K4825" s="46"/>
      <c r="L4825" s="10"/>
      <c r="M4825" s="20"/>
      <c r="N4825" s="20"/>
      <c r="O4825" s="20"/>
      <c r="P4825" s="20"/>
    </row>
    <row r="4826">
      <c r="A4826" s="23"/>
      <c r="B4826" s="21"/>
      <c r="C4826" s="23"/>
      <c r="D4826" s="24"/>
      <c r="E4826" s="14"/>
      <c r="F4826" s="14"/>
      <c r="G4826" s="14"/>
      <c r="H4826" s="23"/>
      <c r="I4826" s="27"/>
      <c r="J4826" s="23"/>
      <c r="K4826" s="30"/>
      <c r="L4826" s="23"/>
      <c r="M4826" s="20"/>
      <c r="N4826" s="20"/>
      <c r="O4826" s="20"/>
      <c r="P4826" s="20"/>
    </row>
    <row r="4827">
      <c r="A4827" s="10"/>
      <c r="B4827" s="11"/>
      <c r="C4827" s="10"/>
      <c r="D4827" s="13"/>
      <c r="E4827" s="14"/>
      <c r="F4827" s="14"/>
      <c r="G4827" s="14"/>
      <c r="H4827" s="10"/>
      <c r="I4827" s="17"/>
      <c r="J4827" s="10"/>
      <c r="K4827" s="46"/>
      <c r="L4827" s="10"/>
      <c r="M4827" s="20"/>
      <c r="N4827" s="20"/>
      <c r="O4827" s="20"/>
      <c r="P4827" s="20"/>
    </row>
    <row r="4828">
      <c r="A4828" s="23"/>
      <c r="B4828" s="21"/>
      <c r="C4828" s="23"/>
      <c r="D4828" s="24"/>
      <c r="E4828" s="14"/>
      <c r="F4828" s="14"/>
      <c r="G4828" s="14"/>
      <c r="H4828" s="23"/>
      <c r="I4828" s="27"/>
      <c r="J4828" s="23"/>
      <c r="K4828" s="30"/>
      <c r="L4828" s="23"/>
      <c r="M4828" s="20"/>
      <c r="N4828" s="20"/>
      <c r="O4828" s="20"/>
      <c r="P4828" s="20"/>
    </row>
    <row r="4829">
      <c r="A4829" s="10"/>
      <c r="B4829" s="11"/>
      <c r="C4829" s="10"/>
      <c r="D4829" s="13"/>
      <c r="E4829" s="14"/>
      <c r="F4829" s="14"/>
      <c r="G4829" s="14"/>
      <c r="H4829" s="10"/>
      <c r="I4829" s="17"/>
      <c r="J4829" s="10"/>
      <c r="K4829" s="46"/>
      <c r="L4829" s="10"/>
      <c r="M4829" s="20"/>
      <c r="N4829" s="20"/>
      <c r="O4829" s="20"/>
      <c r="P4829" s="20"/>
    </row>
    <row r="4830">
      <c r="A4830" s="23"/>
      <c r="B4830" s="21"/>
      <c r="C4830" s="23"/>
      <c r="D4830" s="24"/>
      <c r="E4830" s="14"/>
      <c r="F4830" s="14"/>
      <c r="G4830" s="14"/>
      <c r="H4830" s="23"/>
      <c r="I4830" s="27"/>
      <c r="J4830" s="23"/>
      <c r="K4830" s="30"/>
      <c r="L4830" s="23"/>
      <c r="M4830" s="20"/>
      <c r="N4830" s="20"/>
      <c r="O4830" s="20"/>
      <c r="P4830" s="20"/>
    </row>
    <row r="4831">
      <c r="A4831" s="10"/>
      <c r="B4831" s="11"/>
      <c r="C4831" s="10"/>
      <c r="D4831" s="13"/>
      <c r="E4831" s="14"/>
      <c r="F4831" s="14"/>
      <c r="G4831" s="14"/>
      <c r="H4831" s="10"/>
      <c r="I4831" s="17"/>
      <c r="J4831" s="10"/>
      <c r="K4831" s="46"/>
      <c r="L4831" s="10"/>
      <c r="M4831" s="20"/>
      <c r="N4831" s="20"/>
      <c r="O4831" s="20"/>
      <c r="P4831" s="20"/>
    </row>
    <row r="4832">
      <c r="A4832" s="23"/>
      <c r="B4832" s="21"/>
      <c r="C4832" s="23"/>
      <c r="D4832" s="24"/>
      <c r="E4832" s="14"/>
      <c r="F4832" s="14"/>
      <c r="G4832" s="14"/>
      <c r="H4832" s="23"/>
      <c r="I4832" s="27"/>
      <c r="J4832" s="23"/>
      <c r="K4832" s="30"/>
      <c r="L4832" s="23"/>
      <c r="M4832" s="20"/>
      <c r="N4832" s="20"/>
      <c r="O4832" s="20"/>
      <c r="P4832" s="20"/>
    </row>
    <row r="4833">
      <c r="A4833" s="10"/>
      <c r="B4833" s="11"/>
      <c r="C4833" s="10"/>
      <c r="D4833" s="13"/>
      <c r="E4833" s="14"/>
      <c r="F4833" s="14"/>
      <c r="G4833" s="14"/>
      <c r="H4833" s="10"/>
      <c r="I4833" s="17"/>
      <c r="J4833" s="10"/>
      <c r="K4833" s="46"/>
      <c r="L4833" s="10"/>
      <c r="M4833" s="20"/>
      <c r="N4833" s="20"/>
      <c r="O4833" s="20"/>
      <c r="P4833" s="20"/>
    </row>
    <row r="4834">
      <c r="A4834" s="23"/>
      <c r="B4834" s="21"/>
      <c r="C4834" s="23"/>
      <c r="D4834" s="24"/>
      <c r="E4834" s="14"/>
      <c r="F4834" s="14"/>
      <c r="G4834" s="14"/>
      <c r="H4834" s="23"/>
      <c r="I4834" s="27"/>
      <c r="J4834" s="23"/>
      <c r="K4834" s="30"/>
      <c r="L4834" s="23"/>
      <c r="M4834" s="20"/>
      <c r="N4834" s="20"/>
      <c r="O4834" s="20"/>
      <c r="P4834" s="20"/>
    </row>
    <row r="4835">
      <c r="A4835" s="10"/>
      <c r="B4835" s="11"/>
      <c r="C4835" s="10"/>
      <c r="D4835" s="13"/>
      <c r="E4835" s="14"/>
      <c r="F4835" s="14"/>
      <c r="G4835" s="14"/>
      <c r="H4835" s="10"/>
      <c r="I4835" s="17"/>
      <c r="J4835" s="10"/>
      <c r="K4835" s="46"/>
      <c r="L4835" s="10"/>
      <c r="M4835" s="20"/>
      <c r="N4835" s="20"/>
      <c r="O4835" s="20"/>
      <c r="P4835" s="20"/>
    </row>
    <row r="4836">
      <c r="A4836" s="23"/>
      <c r="B4836" s="21"/>
      <c r="C4836" s="23"/>
      <c r="D4836" s="24"/>
      <c r="E4836" s="14"/>
      <c r="F4836" s="14"/>
      <c r="G4836" s="14"/>
      <c r="H4836" s="23"/>
      <c r="I4836" s="27"/>
      <c r="J4836" s="23"/>
      <c r="K4836" s="30"/>
      <c r="L4836" s="23"/>
      <c r="M4836" s="20"/>
      <c r="N4836" s="20"/>
      <c r="O4836" s="20"/>
      <c r="P4836" s="20"/>
    </row>
    <row r="4837">
      <c r="A4837" s="10"/>
      <c r="B4837" s="11"/>
      <c r="C4837" s="10"/>
      <c r="D4837" s="13"/>
      <c r="E4837" s="14"/>
      <c r="F4837" s="14"/>
      <c r="G4837" s="14"/>
      <c r="H4837" s="10"/>
      <c r="I4837" s="17"/>
      <c r="J4837" s="10"/>
      <c r="K4837" s="46"/>
      <c r="L4837" s="10"/>
      <c r="M4837" s="20"/>
      <c r="N4837" s="20"/>
      <c r="O4837" s="20"/>
      <c r="P4837" s="20"/>
    </row>
    <row r="4838">
      <c r="A4838" s="23"/>
      <c r="B4838" s="21"/>
      <c r="C4838" s="23"/>
      <c r="D4838" s="24"/>
      <c r="E4838" s="14"/>
      <c r="F4838" s="14"/>
      <c r="G4838" s="14"/>
      <c r="H4838" s="23"/>
      <c r="I4838" s="27"/>
      <c r="J4838" s="23"/>
      <c r="K4838" s="30"/>
      <c r="L4838" s="23"/>
      <c r="M4838" s="20"/>
      <c r="N4838" s="20"/>
      <c r="O4838" s="20"/>
      <c r="P4838" s="20"/>
    </row>
    <row r="4839">
      <c r="A4839" s="10"/>
      <c r="B4839" s="11"/>
      <c r="C4839" s="10"/>
      <c r="D4839" s="13"/>
      <c r="E4839" s="14"/>
      <c r="F4839" s="14"/>
      <c r="G4839" s="14"/>
      <c r="H4839" s="10"/>
      <c r="I4839" s="17"/>
      <c r="J4839" s="10"/>
      <c r="K4839" s="46"/>
      <c r="L4839" s="10"/>
      <c r="M4839" s="20"/>
      <c r="N4839" s="20"/>
      <c r="O4839" s="20"/>
      <c r="P4839" s="20"/>
    </row>
    <row r="4840">
      <c r="A4840" s="23"/>
      <c r="B4840" s="21"/>
      <c r="C4840" s="23"/>
      <c r="D4840" s="24"/>
      <c r="E4840" s="14"/>
      <c r="F4840" s="14"/>
      <c r="G4840" s="14"/>
      <c r="H4840" s="23"/>
      <c r="I4840" s="27"/>
      <c r="J4840" s="23"/>
      <c r="K4840" s="30"/>
      <c r="L4840" s="23"/>
      <c r="M4840" s="20"/>
      <c r="N4840" s="20"/>
      <c r="O4840" s="20"/>
      <c r="P4840" s="20"/>
    </row>
    <row r="4841">
      <c r="A4841" s="10"/>
      <c r="B4841" s="11"/>
      <c r="C4841" s="10"/>
      <c r="D4841" s="13"/>
      <c r="E4841" s="14"/>
      <c r="F4841" s="14"/>
      <c r="G4841" s="14"/>
      <c r="H4841" s="10"/>
      <c r="I4841" s="17"/>
      <c r="J4841" s="10"/>
      <c r="K4841" s="46"/>
      <c r="L4841" s="10"/>
      <c r="M4841" s="20"/>
      <c r="N4841" s="20"/>
      <c r="O4841" s="20"/>
      <c r="P4841" s="20"/>
    </row>
    <row r="4842">
      <c r="A4842" s="23"/>
      <c r="B4842" s="21"/>
      <c r="C4842" s="23"/>
      <c r="D4842" s="24"/>
      <c r="E4842" s="14"/>
      <c r="F4842" s="14"/>
      <c r="G4842" s="14"/>
      <c r="H4842" s="23"/>
      <c r="I4842" s="27"/>
      <c r="J4842" s="23"/>
      <c r="K4842" s="30"/>
      <c r="L4842" s="23"/>
      <c r="M4842" s="20"/>
      <c r="N4842" s="20"/>
      <c r="O4842" s="20"/>
      <c r="P4842" s="20"/>
    </row>
    <row r="4843">
      <c r="A4843" s="10"/>
      <c r="B4843" s="11"/>
      <c r="C4843" s="10"/>
      <c r="D4843" s="13"/>
      <c r="E4843" s="14"/>
      <c r="F4843" s="14"/>
      <c r="G4843" s="14"/>
      <c r="H4843" s="10"/>
      <c r="I4843" s="17"/>
      <c r="J4843" s="10"/>
      <c r="K4843" s="46"/>
      <c r="L4843" s="10"/>
      <c r="M4843" s="20"/>
      <c r="N4843" s="20"/>
      <c r="O4843" s="20"/>
      <c r="P4843" s="20"/>
    </row>
    <row r="4844">
      <c r="A4844" s="23"/>
      <c r="B4844" s="21"/>
      <c r="C4844" s="23"/>
      <c r="D4844" s="24"/>
      <c r="E4844" s="14"/>
      <c r="F4844" s="14"/>
      <c r="G4844" s="14"/>
      <c r="H4844" s="23"/>
      <c r="I4844" s="27"/>
      <c r="J4844" s="23"/>
      <c r="K4844" s="30"/>
      <c r="L4844" s="23"/>
      <c r="M4844" s="20"/>
      <c r="N4844" s="20"/>
      <c r="O4844" s="20"/>
      <c r="P4844" s="20"/>
    </row>
    <row r="4845">
      <c r="A4845" s="10"/>
      <c r="B4845" s="11"/>
      <c r="C4845" s="10"/>
      <c r="D4845" s="13"/>
      <c r="E4845" s="14"/>
      <c r="F4845" s="14"/>
      <c r="G4845" s="14"/>
      <c r="H4845" s="10"/>
      <c r="I4845" s="17"/>
      <c r="J4845" s="10"/>
      <c r="K4845" s="46"/>
      <c r="L4845" s="10"/>
      <c r="M4845" s="20"/>
      <c r="N4845" s="20"/>
      <c r="O4845" s="20"/>
      <c r="P4845" s="20"/>
    </row>
    <row r="4846">
      <c r="A4846" s="23"/>
      <c r="B4846" s="21"/>
      <c r="C4846" s="23"/>
      <c r="D4846" s="24"/>
      <c r="E4846" s="14"/>
      <c r="F4846" s="14"/>
      <c r="G4846" s="14"/>
      <c r="H4846" s="23"/>
      <c r="I4846" s="27"/>
      <c r="J4846" s="23"/>
      <c r="K4846" s="30"/>
      <c r="L4846" s="23"/>
      <c r="M4846" s="20"/>
      <c r="N4846" s="20"/>
      <c r="O4846" s="20"/>
      <c r="P4846" s="20"/>
    </row>
    <row r="4847">
      <c r="A4847" s="10"/>
      <c r="B4847" s="11"/>
      <c r="C4847" s="10"/>
      <c r="D4847" s="13"/>
      <c r="E4847" s="14"/>
      <c r="F4847" s="14"/>
      <c r="G4847" s="14"/>
      <c r="H4847" s="10"/>
      <c r="I4847" s="17"/>
      <c r="J4847" s="10"/>
      <c r="K4847" s="46"/>
      <c r="L4847" s="10"/>
      <c r="M4847" s="20"/>
      <c r="N4847" s="20"/>
      <c r="O4847" s="20"/>
      <c r="P4847" s="20"/>
    </row>
    <row r="4848">
      <c r="A4848" s="23"/>
      <c r="B4848" s="21"/>
      <c r="C4848" s="23"/>
      <c r="D4848" s="24"/>
      <c r="E4848" s="14"/>
      <c r="F4848" s="14"/>
      <c r="G4848" s="14"/>
      <c r="H4848" s="23"/>
      <c r="I4848" s="27"/>
      <c r="J4848" s="23"/>
      <c r="K4848" s="30"/>
      <c r="L4848" s="23"/>
      <c r="M4848" s="20"/>
      <c r="N4848" s="20"/>
      <c r="O4848" s="20"/>
      <c r="P4848" s="20"/>
    </row>
    <row r="4849">
      <c r="A4849" s="10"/>
      <c r="B4849" s="11"/>
      <c r="C4849" s="10"/>
      <c r="D4849" s="13"/>
      <c r="E4849" s="14"/>
      <c r="F4849" s="14"/>
      <c r="G4849" s="14"/>
      <c r="H4849" s="10"/>
      <c r="I4849" s="17"/>
      <c r="J4849" s="10"/>
      <c r="K4849" s="46"/>
      <c r="L4849" s="10"/>
      <c r="M4849" s="20"/>
      <c r="N4849" s="20"/>
      <c r="O4849" s="20"/>
      <c r="P4849" s="20"/>
    </row>
    <row r="4850">
      <c r="A4850" s="23"/>
      <c r="B4850" s="21"/>
      <c r="C4850" s="23"/>
      <c r="D4850" s="24"/>
      <c r="E4850" s="14"/>
      <c r="F4850" s="14"/>
      <c r="G4850" s="14"/>
      <c r="H4850" s="23"/>
      <c r="I4850" s="27"/>
      <c r="J4850" s="23"/>
      <c r="K4850" s="30"/>
      <c r="L4850" s="23"/>
      <c r="M4850" s="20"/>
      <c r="N4850" s="20"/>
      <c r="O4850" s="20"/>
      <c r="P4850" s="20"/>
    </row>
    <row r="4851">
      <c r="A4851" s="10"/>
      <c r="B4851" s="11"/>
      <c r="C4851" s="10"/>
      <c r="D4851" s="13"/>
      <c r="E4851" s="14"/>
      <c r="F4851" s="14"/>
      <c r="G4851" s="14"/>
      <c r="H4851" s="10"/>
      <c r="I4851" s="17"/>
      <c r="J4851" s="10"/>
      <c r="K4851" s="46"/>
      <c r="L4851" s="10"/>
      <c r="M4851" s="20"/>
      <c r="N4851" s="20"/>
      <c r="O4851" s="20"/>
      <c r="P4851" s="20"/>
    </row>
    <row r="4852">
      <c r="A4852" s="23"/>
      <c r="B4852" s="21"/>
      <c r="C4852" s="23"/>
      <c r="D4852" s="24"/>
      <c r="E4852" s="14"/>
      <c r="F4852" s="14"/>
      <c r="G4852" s="14"/>
      <c r="H4852" s="23"/>
      <c r="I4852" s="27"/>
      <c r="J4852" s="23"/>
      <c r="K4852" s="30"/>
      <c r="L4852" s="23"/>
      <c r="M4852" s="20"/>
      <c r="N4852" s="20"/>
      <c r="O4852" s="20"/>
      <c r="P4852" s="20"/>
    </row>
    <row r="4853">
      <c r="A4853" s="10"/>
      <c r="B4853" s="11"/>
      <c r="C4853" s="10"/>
      <c r="D4853" s="13"/>
      <c r="E4853" s="14"/>
      <c r="F4853" s="14"/>
      <c r="G4853" s="14"/>
      <c r="H4853" s="10"/>
      <c r="I4853" s="17"/>
      <c r="J4853" s="10"/>
      <c r="K4853" s="46"/>
      <c r="L4853" s="10"/>
      <c r="M4853" s="20"/>
      <c r="N4853" s="20"/>
      <c r="O4853" s="20"/>
      <c r="P4853" s="20"/>
    </row>
    <row r="4854">
      <c r="A4854" s="23"/>
      <c r="B4854" s="21"/>
      <c r="C4854" s="23"/>
      <c r="D4854" s="24"/>
      <c r="E4854" s="14"/>
      <c r="F4854" s="14"/>
      <c r="G4854" s="14"/>
      <c r="H4854" s="23"/>
      <c r="I4854" s="27"/>
      <c r="J4854" s="23"/>
      <c r="K4854" s="30"/>
      <c r="L4854" s="23"/>
      <c r="M4854" s="20"/>
      <c r="N4854" s="20"/>
      <c r="O4854" s="20"/>
      <c r="P4854" s="20"/>
    </row>
    <row r="4855">
      <c r="A4855" s="10"/>
      <c r="B4855" s="11"/>
      <c r="C4855" s="10"/>
      <c r="D4855" s="13"/>
      <c r="E4855" s="14"/>
      <c r="F4855" s="14"/>
      <c r="G4855" s="14"/>
      <c r="H4855" s="10"/>
      <c r="I4855" s="17"/>
      <c r="J4855" s="10"/>
      <c r="K4855" s="46"/>
      <c r="L4855" s="10"/>
      <c r="M4855" s="20"/>
      <c r="N4855" s="20"/>
      <c r="O4855" s="20"/>
      <c r="P4855" s="20"/>
    </row>
    <row r="4856">
      <c r="A4856" s="23"/>
      <c r="B4856" s="21"/>
      <c r="C4856" s="23"/>
      <c r="D4856" s="24"/>
      <c r="E4856" s="14"/>
      <c r="F4856" s="14"/>
      <c r="G4856" s="14"/>
      <c r="H4856" s="23"/>
      <c r="I4856" s="27"/>
      <c r="J4856" s="23"/>
      <c r="K4856" s="30"/>
      <c r="L4856" s="23"/>
      <c r="M4856" s="20"/>
      <c r="N4856" s="20"/>
      <c r="O4856" s="20"/>
      <c r="P4856" s="20"/>
    </row>
    <row r="4857">
      <c r="A4857" s="10"/>
      <c r="B4857" s="11"/>
      <c r="C4857" s="10"/>
      <c r="D4857" s="13"/>
      <c r="E4857" s="14"/>
      <c r="F4857" s="14"/>
      <c r="G4857" s="14"/>
      <c r="H4857" s="10"/>
      <c r="I4857" s="17"/>
      <c r="J4857" s="10"/>
      <c r="K4857" s="46"/>
      <c r="L4857" s="10"/>
      <c r="M4857" s="20"/>
      <c r="N4857" s="20"/>
      <c r="O4857" s="20"/>
      <c r="P4857" s="20"/>
    </row>
    <row r="4858">
      <c r="A4858" s="23"/>
      <c r="B4858" s="21"/>
      <c r="C4858" s="23"/>
      <c r="D4858" s="24"/>
      <c r="E4858" s="14"/>
      <c r="F4858" s="14"/>
      <c r="G4858" s="14"/>
      <c r="H4858" s="23"/>
      <c r="I4858" s="27"/>
      <c r="J4858" s="23"/>
      <c r="K4858" s="30"/>
      <c r="L4858" s="23"/>
      <c r="M4858" s="20"/>
      <c r="N4858" s="20"/>
      <c r="O4858" s="20"/>
      <c r="P4858" s="20"/>
    </row>
    <row r="4859">
      <c r="A4859" s="10"/>
      <c r="B4859" s="11"/>
      <c r="C4859" s="10"/>
      <c r="D4859" s="13"/>
      <c r="E4859" s="14"/>
      <c r="F4859" s="14"/>
      <c r="G4859" s="14"/>
      <c r="H4859" s="10"/>
      <c r="I4859" s="17"/>
      <c r="J4859" s="10"/>
      <c r="K4859" s="46"/>
      <c r="L4859" s="10"/>
      <c r="M4859" s="20"/>
      <c r="N4859" s="20"/>
      <c r="O4859" s="20"/>
      <c r="P4859" s="20"/>
    </row>
    <row r="4860">
      <c r="A4860" s="23"/>
      <c r="B4860" s="21"/>
      <c r="C4860" s="23"/>
      <c r="D4860" s="24"/>
      <c r="E4860" s="14"/>
      <c r="F4860" s="14"/>
      <c r="G4860" s="14"/>
      <c r="H4860" s="23"/>
      <c r="I4860" s="27"/>
      <c r="J4860" s="23"/>
      <c r="K4860" s="30"/>
      <c r="L4860" s="23"/>
      <c r="M4860" s="20"/>
      <c r="N4860" s="20"/>
      <c r="O4860" s="20"/>
      <c r="P4860" s="20"/>
    </row>
    <row r="4861">
      <c r="A4861" s="10"/>
      <c r="B4861" s="11"/>
      <c r="C4861" s="10"/>
      <c r="D4861" s="13"/>
      <c r="E4861" s="14"/>
      <c r="F4861" s="14"/>
      <c r="G4861" s="14"/>
      <c r="H4861" s="10"/>
      <c r="I4861" s="17"/>
      <c r="J4861" s="10"/>
      <c r="K4861" s="46"/>
      <c r="L4861" s="10"/>
      <c r="M4861" s="20"/>
      <c r="N4861" s="20"/>
      <c r="O4861" s="20"/>
      <c r="P4861" s="20"/>
    </row>
    <row r="4862">
      <c r="A4862" s="23"/>
      <c r="B4862" s="21"/>
      <c r="C4862" s="23"/>
      <c r="D4862" s="24"/>
      <c r="E4862" s="14"/>
      <c r="F4862" s="14"/>
      <c r="G4862" s="14"/>
      <c r="H4862" s="23"/>
      <c r="I4862" s="27"/>
      <c r="J4862" s="23"/>
      <c r="K4862" s="30"/>
      <c r="L4862" s="23"/>
      <c r="M4862" s="20"/>
      <c r="N4862" s="20"/>
      <c r="O4862" s="20"/>
      <c r="P4862" s="20"/>
    </row>
    <row r="4863">
      <c r="A4863" s="10"/>
      <c r="B4863" s="11"/>
      <c r="C4863" s="10"/>
      <c r="D4863" s="13"/>
      <c r="E4863" s="14"/>
      <c r="F4863" s="14"/>
      <c r="G4863" s="14"/>
      <c r="H4863" s="10"/>
      <c r="I4863" s="17"/>
      <c r="J4863" s="10"/>
      <c r="K4863" s="46"/>
      <c r="L4863" s="10"/>
      <c r="M4863" s="20"/>
      <c r="N4863" s="20"/>
      <c r="O4863" s="20"/>
      <c r="P4863" s="20"/>
    </row>
    <row r="4864">
      <c r="A4864" s="23"/>
      <c r="B4864" s="21"/>
      <c r="C4864" s="23"/>
      <c r="D4864" s="24"/>
      <c r="E4864" s="14"/>
      <c r="F4864" s="14"/>
      <c r="G4864" s="14"/>
      <c r="H4864" s="23"/>
      <c r="I4864" s="27"/>
      <c r="J4864" s="23"/>
      <c r="K4864" s="30"/>
      <c r="L4864" s="23"/>
      <c r="M4864" s="20"/>
      <c r="N4864" s="20"/>
      <c r="O4864" s="20"/>
      <c r="P4864" s="20"/>
    </row>
    <row r="4865">
      <c r="A4865" s="10"/>
      <c r="B4865" s="11"/>
      <c r="C4865" s="10"/>
      <c r="D4865" s="13"/>
      <c r="E4865" s="14"/>
      <c r="F4865" s="14"/>
      <c r="G4865" s="14"/>
      <c r="H4865" s="10"/>
      <c r="I4865" s="17"/>
      <c r="J4865" s="10"/>
      <c r="K4865" s="46"/>
      <c r="L4865" s="10"/>
      <c r="M4865" s="20"/>
      <c r="N4865" s="20"/>
      <c r="O4865" s="20"/>
      <c r="P4865" s="20"/>
    </row>
    <row r="4866">
      <c r="A4866" s="23"/>
      <c r="B4866" s="21"/>
      <c r="C4866" s="23"/>
      <c r="D4866" s="24"/>
      <c r="E4866" s="14"/>
      <c r="F4866" s="14"/>
      <c r="G4866" s="14"/>
      <c r="H4866" s="23"/>
      <c r="I4866" s="27"/>
      <c r="J4866" s="23"/>
      <c r="K4866" s="30"/>
      <c r="L4866" s="23"/>
      <c r="M4866" s="20"/>
      <c r="N4866" s="20"/>
      <c r="O4866" s="20"/>
      <c r="P4866" s="20"/>
    </row>
    <row r="4867">
      <c r="A4867" s="10"/>
      <c r="B4867" s="11"/>
      <c r="C4867" s="10"/>
      <c r="D4867" s="13"/>
      <c r="E4867" s="14"/>
      <c r="F4867" s="14"/>
      <c r="G4867" s="14"/>
      <c r="H4867" s="10"/>
      <c r="I4867" s="17"/>
      <c r="J4867" s="10"/>
      <c r="K4867" s="46"/>
      <c r="L4867" s="10"/>
      <c r="M4867" s="20"/>
      <c r="N4867" s="20"/>
      <c r="O4867" s="20"/>
      <c r="P4867" s="20"/>
    </row>
    <row r="4868">
      <c r="A4868" s="23"/>
      <c r="B4868" s="21"/>
      <c r="C4868" s="23"/>
      <c r="D4868" s="24"/>
      <c r="E4868" s="14"/>
      <c r="F4868" s="14"/>
      <c r="G4868" s="14"/>
      <c r="H4868" s="23"/>
      <c r="I4868" s="27"/>
      <c r="J4868" s="23"/>
      <c r="K4868" s="30"/>
      <c r="L4868" s="23"/>
      <c r="M4868" s="20"/>
      <c r="N4868" s="20"/>
      <c r="O4868" s="20"/>
      <c r="P4868" s="20"/>
    </row>
    <row r="4869">
      <c r="A4869" s="10"/>
      <c r="B4869" s="11"/>
      <c r="C4869" s="10"/>
      <c r="D4869" s="13"/>
      <c r="E4869" s="14"/>
      <c r="F4869" s="14"/>
      <c r="G4869" s="14"/>
      <c r="H4869" s="10"/>
      <c r="I4869" s="17"/>
      <c r="J4869" s="10"/>
      <c r="K4869" s="46"/>
      <c r="L4869" s="10"/>
      <c r="M4869" s="20"/>
      <c r="N4869" s="20"/>
      <c r="O4869" s="20"/>
      <c r="P4869" s="20"/>
    </row>
    <row r="4870">
      <c r="A4870" s="23"/>
      <c r="B4870" s="21"/>
      <c r="C4870" s="23"/>
      <c r="D4870" s="24"/>
      <c r="E4870" s="14"/>
      <c r="F4870" s="14"/>
      <c r="G4870" s="14"/>
      <c r="H4870" s="23"/>
      <c r="I4870" s="27"/>
      <c r="J4870" s="23"/>
      <c r="K4870" s="30"/>
      <c r="L4870" s="23"/>
      <c r="M4870" s="20"/>
      <c r="N4870" s="20"/>
      <c r="O4870" s="20"/>
      <c r="P4870" s="20"/>
    </row>
    <row r="4871">
      <c r="A4871" s="10"/>
      <c r="B4871" s="11"/>
      <c r="C4871" s="10"/>
      <c r="D4871" s="13"/>
      <c r="E4871" s="14"/>
      <c r="F4871" s="14"/>
      <c r="G4871" s="14"/>
      <c r="H4871" s="10"/>
      <c r="I4871" s="17"/>
      <c r="J4871" s="10"/>
      <c r="K4871" s="46"/>
      <c r="L4871" s="10"/>
      <c r="M4871" s="20"/>
      <c r="N4871" s="20"/>
      <c r="O4871" s="20"/>
      <c r="P4871" s="20"/>
    </row>
    <row r="4872">
      <c r="A4872" s="23"/>
      <c r="B4872" s="21"/>
      <c r="C4872" s="23"/>
      <c r="D4872" s="24"/>
      <c r="E4872" s="14"/>
      <c r="F4872" s="14"/>
      <c r="G4872" s="14"/>
      <c r="H4872" s="23"/>
      <c r="I4872" s="27"/>
      <c r="J4872" s="23"/>
      <c r="K4872" s="30"/>
      <c r="L4872" s="23"/>
      <c r="M4872" s="20"/>
      <c r="N4872" s="20"/>
      <c r="O4872" s="20"/>
      <c r="P4872" s="20"/>
    </row>
    <row r="4873">
      <c r="A4873" s="10"/>
      <c r="B4873" s="11"/>
      <c r="C4873" s="10"/>
      <c r="D4873" s="13"/>
      <c r="E4873" s="14"/>
      <c r="F4873" s="14"/>
      <c r="G4873" s="14"/>
      <c r="H4873" s="10"/>
      <c r="I4873" s="17"/>
      <c r="J4873" s="10"/>
      <c r="K4873" s="46"/>
      <c r="L4873" s="10"/>
      <c r="M4873" s="20"/>
      <c r="N4873" s="20"/>
      <c r="O4873" s="20"/>
      <c r="P4873" s="20"/>
    </row>
    <row r="4874">
      <c r="A4874" s="23"/>
      <c r="B4874" s="21"/>
      <c r="C4874" s="23"/>
      <c r="D4874" s="24"/>
      <c r="E4874" s="14"/>
      <c r="F4874" s="14"/>
      <c r="G4874" s="14"/>
      <c r="H4874" s="23"/>
      <c r="I4874" s="27"/>
      <c r="J4874" s="23"/>
      <c r="K4874" s="30"/>
      <c r="L4874" s="23"/>
      <c r="M4874" s="20"/>
      <c r="N4874" s="20"/>
      <c r="O4874" s="20"/>
      <c r="P4874" s="20"/>
    </row>
    <row r="4875">
      <c r="A4875" s="10"/>
      <c r="B4875" s="11"/>
      <c r="C4875" s="10"/>
      <c r="D4875" s="13"/>
      <c r="E4875" s="14"/>
      <c r="F4875" s="14"/>
      <c r="G4875" s="14"/>
      <c r="H4875" s="10"/>
      <c r="I4875" s="17"/>
      <c r="J4875" s="10"/>
      <c r="K4875" s="46"/>
      <c r="L4875" s="10"/>
      <c r="M4875" s="20"/>
      <c r="N4875" s="20"/>
      <c r="O4875" s="20"/>
      <c r="P4875" s="20"/>
    </row>
    <row r="4876">
      <c r="A4876" s="23"/>
      <c r="B4876" s="21"/>
      <c r="C4876" s="23"/>
      <c r="D4876" s="24"/>
      <c r="E4876" s="14"/>
      <c r="F4876" s="14"/>
      <c r="G4876" s="14"/>
      <c r="H4876" s="23"/>
      <c r="I4876" s="27"/>
      <c r="J4876" s="23"/>
      <c r="K4876" s="30"/>
      <c r="L4876" s="23"/>
      <c r="M4876" s="20"/>
      <c r="N4876" s="20"/>
      <c r="O4876" s="20"/>
      <c r="P4876" s="20"/>
    </row>
    <row r="4877">
      <c r="A4877" s="10"/>
      <c r="B4877" s="11"/>
      <c r="C4877" s="10"/>
      <c r="D4877" s="13"/>
      <c r="E4877" s="14"/>
      <c r="F4877" s="14"/>
      <c r="G4877" s="14"/>
      <c r="H4877" s="10"/>
      <c r="I4877" s="17"/>
      <c r="J4877" s="10"/>
      <c r="K4877" s="46"/>
      <c r="L4877" s="10"/>
      <c r="M4877" s="20"/>
      <c r="N4877" s="20"/>
      <c r="O4877" s="20"/>
      <c r="P4877" s="20"/>
    </row>
    <row r="4878">
      <c r="A4878" s="23"/>
      <c r="B4878" s="21"/>
      <c r="C4878" s="23"/>
      <c r="D4878" s="24"/>
      <c r="E4878" s="14"/>
      <c r="F4878" s="14"/>
      <c r="G4878" s="14"/>
      <c r="H4878" s="23"/>
      <c r="I4878" s="27"/>
      <c r="J4878" s="23"/>
      <c r="K4878" s="30"/>
      <c r="L4878" s="23"/>
      <c r="M4878" s="20"/>
      <c r="N4878" s="20"/>
      <c r="O4878" s="20"/>
      <c r="P4878" s="20"/>
    </row>
    <row r="4879">
      <c r="A4879" s="10"/>
      <c r="B4879" s="11"/>
      <c r="C4879" s="10"/>
      <c r="D4879" s="13"/>
      <c r="E4879" s="14"/>
      <c r="F4879" s="14"/>
      <c r="G4879" s="14"/>
      <c r="H4879" s="10"/>
      <c r="I4879" s="17"/>
      <c r="J4879" s="10"/>
      <c r="K4879" s="46"/>
      <c r="L4879" s="10"/>
      <c r="M4879" s="20"/>
      <c r="N4879" s="20"/>
      <c r="O4879" s="20"/>
      <c r="P4879" s="20"/>
    </row>
    <row r="4880">
      <c r="A4880" s="23"/>
      <c r="B4880" s="21"/>
      <c r="C4880" s="23"/>
      <c r="D4880" s="24"/>
      <c r="E4880" s="14"/>
      <c r="F4880" s="14"/>
      <c r="G4880" s="14"/>
      <c r="H4880" s="23"/>
      <c r="I4880" s="27"/>
      <c r="J4880" s="23"/>
      <c r="K4880" s="30"/>
      <c r="L4880" s="23"/>
      <c r="M4880" s="20"/>
      <c r="N4880" s="20"/>
      <c r="O4880" s="20"/>
      <c r="P4880" s="20"/>
    </row>
    <row r="4881">
      <c r="A4881" s="10"/>
      <c r="B4881" s="11"/>
      <c r="C4881" s="10"/>
      <c r="D4881" s="13"/>
      <c r="E4881" s="14"/>
      <c r="F4881" s="14"/>
      <c r="G4881" s="14"/>
      <c r="H4881" s="10"/>
      <c r="I4881" s="17"/>
      <c r="J4881" s="10"/>
      <c r="K4881" s="46"/>
      <c r="L4881" s="10"/>
      <c r="M4881" s="20"/>
      <c r="N4881" s="20"/>
      <c r="O4881" s="20"/>
      <c r="P4881" s="20"/>
    </row>
    <row r="4882">
      <c r="A4882" s="23"/>
      <c r="B4882" s="21"/>
      <c r="C4882" s="23"/>
      <c r="D4882" s="24"/>
      <c r="E4882" s="14"/>
      <c r="F4882" s="14"/>
      <c r="G4882" s="14"/>
      <c r="H4882" s="23"/>
      <c r="I4882" s="27"/>
      <c r="J4882" s="23"/>
      <c r="K4882" s="30"/>
      <c r="L4882" s="23"/>
      <c r="M4882" s="20"/>
      <c r="N4882" s="20"/>
      <c r="O4882" s="20"/>
      <c r="P4882" s="20"/>
    </row>
    <row r="4883">
      <c r="A4883" s="10"/>
      <c r="B4883" s="11"/>
      <c r="C4883" s="10"/>
      <c r="D4883" s="13"/>
      <c r="E4883" s="14"/>
      <c r="F4883" s="14"/>
      <c r="G4883" s="14"/>
      <c r="H4883" s="10"/>
      <c r="I4883" s="17"/>
      <c r="J4883" s="10"/>
      <c r="K4883" s="46"/>
      <c r="L4883" s="10"/>
      <c r="M4883" s="20"/>
      <c r="N4883" s="20"/>
      <c r="O4883" s="20"/>
      <c r="P4883" s="20"/>
    </row>
    <row r="4884">
      <c r="A4884" s="23"/>
      <c r="B4884" s="21"/>
      <c r="C4884" s="23"/>
      <c r="D4884" s="24"/>
      <c r="E4884" s="14"/>
      <c r="F4884" s="14"/>
      <c r="G4884" s="14"/>
      <c r="H4884" s="23"/>
      <c r="I4884" s="27"/>
      <c r="J4884" s="23"/>
      <c r="K4884" s="30"/>
      <c r="L4884" s="23"/>
      <c r="M4884" s="20"/>
      <c r="N4884" s="20"/>
      <c r="O4884" s="20"/>
      <c r="P4884" s="20"/>
    </row>
    <row r="4885">
      <c r="A4885" s="10"/>
      <c r="B4885" s="11"/>
      <c r="C4885" s="10"/>
      <c r="D4885" s="13"/>
      <c r="E4885" s="14"/>
      <c r="F4885" s="14"/>
      <c r="G4885" s="14"/>
      <c r="H4885" s="10"/>
      <c r="I4885" s="17"/>
      <c r="J4885" s="10"/>
      <c r="K4885" s="46"/>
      <c r="L4885" s="10"/>
      <c r="M4885" s="20"/>
      <c r="N4885" s="20"/>
      <c r="O4885" s="20"/>
      <c r="P4885" s="20"/>
    </row>
    <row r="4886">
      <c r="A4886" s="23"/>
      <c r="B4886" s="21"/>
      <c r="C4886" s="23"/>
      <c r="D4886" s="24"/>
      <c r="E4886" s="14"/>
      <c r="F4886" s="14"/>
      <c r="G4886" s="14"/>
      <c r="H4886" s="23"/>
      <c r="I4886" s="27"/>
      <c r="J4886" s="23"/>
      <c r="K4886" s="30"/>
      <c r="L4886" s="23"/>
      <c r="M4886" s="20"/>
      <c r="N4886" s="20"/>
      <c r="O4886" s="20"/>
      <c r="P4886" s="20"/>
    </row>
    <row r="4887">
      <c r="A4887" s="10"/>
      <c r="B4887" s="11"/>
      <c r="C4887" s="10"/>
      <c r="D4887" s="13"/>
      <c r="E4887" s="14"/>
      <c r="F4887" s="14"/>
      <c r="G4887" s="14"/>
      <c r="H4887" s="10"/>
      <c r="I4887" s="17"/>
      <c r="J4887" s="10"/>
      <c r="K4887" s="46"/>
      <c r="L4887" s="10"/>
      <c r="M4887" s="20"/>
      <c r="N4887" s="20"/>
      <c r="O4887" s="20"/>
      <c r="P4887" s="20"/>
    </row>
    <row r="4888">
      <c r="A4888" s="23"/>
      <c r="B4888" s="21"/>
      <c r="C4888" s="23"/>
      <c r="D4888" s="24"/>
      <c r="E4888" s="14"/>
      <c r="F4888" s="14"/>
      <c r="G4888" s="14"/>
      <c r="H4888" s="23"/>
      <c r="I4888" s="27"/>
      <c r="J4888" s="23"/>
      <c r="K4888" s="30"/>
      <c r="L4888" s="23"/>
      <c r="M4888" s="20"/>
      <c r="N4888" s="20"/>
      <c r="O4888" s="20"/>
      <c r="P4888" s="20"/>
    </row>
    <row r="4889">
      <c r="A4889" s="10"/>
      <c r="B4889" s="11"/>
      <c r="C4889" s="10"/>
      <c r="D4889" s="13"/>
      <c r="E4889" s="14"/>
      <c r="F4889" s="14"/>
      <c r="G4889" s="14"/>
      <c r="H4889" s="10"/>
      <c r="I4889" s="17"/>
      <c r="J4889" s="10"/>
      <c r="K4889" s="46"/>
      <c r="L4889" s="10"/>
      <c r="M4889" s="20"/>
      <c r="N4889" s="20"/>
      <c r="O4889" s="20"/>
      <c r="P4889" s="20"/>
    </row>
    <row r="4890">
      <c r="A4890" s="23"/>
      <c r="B4890" s="21"/>
      <c r="C4890" s="23"/>
      <c r="D4890" s="24"/>
      <c r="E4890" s="14"/>
      <c r="F4890" s="14"/>
      <c r="G4890" s="14"/>
      <c r="H4890" s="23"/>
      <c r="I4890" s="27"/>
      <c r="J4890" s="23"/>
      <c r="K4890" s="30"/>
      <c r="L4890" s="23"/>
      <c r="M4890" s="20"/>
      <c r="N4890" s="20"/>
      <c r="O4890" s="20"/>
      <c r="P4890" s="20"/>
    </row>
    <row r="4891">
      <c r="A4891" s="10"/>
      <c r="B4891" s="11"/>
      <c r="C4891" s="10"/>
      <c r="D4891" s="13"/>
      <c r="E4891" s="14"/>
      <c r="F4891" s="14"/>
      <c r="G4891" s="14"/>
      <c r="H4891" s="10"/>
      <c r="I4891" s="17"/>
      <c r="J4891" s="10"/>
      <c r="K4891" s="46"/>
      <c r="L4891" s="10"/>
      <c r="M4891" s="20"/>
      <c r="N4891" s="20"/>
      <c r="O4891" s="20"/>
      <c r="P4891" s="20"/>
    </row>
    <row r="4892">
      <c r="A4892" s="23"/>
      <c r="B4892" s="21"/>
      <c r="C4892" s="23"/>
      <c r="D4892" s="24"/>
      <c r="E4892" s="14"/>
      <c r="F4892" s="14"/>
      <c r="G4892" s="14"/>
      <c r="H4892" s="23"/>
      <c r="I4892" s="27"/>
      <c r="J4892" s="23"/>
      <c r="K4892" s="30"/>
      <c r="L4892" s="23"/>
      <c r="M4892" s="20"/>
      <c r="N4892" s="20"/>
      <c r="O4892" s="20"/>
      <c r="P4892" s="20"/>
    </row>
    <row r="4893">
      <c r="A4893" s="10"/>
      <c r="B4893" s="11"/>
      <c r="C4893" s="10"/>
      <c r="D4893" s="13"/>
      <c r="E4893" s="14"/>
      <c r="F4893" s="14"/>
      <c r="G4893" s="14"/>
      <c r="H4893" s="10"/>
      <c r="I4893" s="17"/>
      <c r="J4893" s="10"/>
      <c r="K4893" s="46"/>
      <c r="L4893" s="10"/>
      <c r="M4893" s="20"/>
      <c r="N4893" s="20"/>
      <c r="O4893" s="20"/>
      <c r="P4893" s="20"/>
    </row>
    <row r="4894">
      <c r="A4894" s="23"/>
      <c r="B4894" s="21"/>
      <c r="C4894" s="23"/>
      <c r="D4894" s="24"/>
      <c r="E4894" s="14"/>
      <c r="F4894" s="14"/>
      <c r="G4894" s="14"/>
      <c r="H4894" s="23"/>
      <c r="I4894" s="27"/>
      <c r="J4894" s="23"/>
      <c r="K4894" s="30"/>
      <c r="L4894" s="23"/>
      <c r="M4894" s="20"/>
      <c r="N4894" s="20"/>
      <c r="O4894" s="20"/>
      <c r="P4894" s="20"/>
    </row>
    <row r="4895">
      <c r="A4895" s="10"/>
      <c r="B4895" s="11"/>
      <c r="C4895" s="10"/>
      <c r="D4895" s="13"/>
      <c r="E4895" s="14"/>
      <c r="F4895" s="14"/>
      <c r="G4895" s="14"/>
      <c r="H4895" s="10"/>
      <c r="I4895" s="17"/>
      <c r="J4895" s="10"/>
      <c r="K4895" s="46"/>
      <c r="L4895" s="10"/>
      <c r="M4895" s="20"/>
      <c r="N4895" s="20"/>
      <c r="O4895" s="20"/>
      <c r="P4895" s="20"/>
    </row>
    <row r="4896">
      <c r="A4896" s="23"/>
      <c r="B4896" s="21"/>
      <c r="C4896" s="23"/>
      <c r="D4896" s="24"/>
      <c r="E4896" s="14"/>
      <c r="F4896" s="14"/>
      <c r="G4896" s="14"/>
      <c r="H4896" s="23"/>
      <c r="I4896" s="27"/>
      <c r="J4896" s="23"/>
      <c r="K4896" s="30"/>
      <c r="L4896" s="23"/>
      <c r="M4896" s="20"/>
      <c r="N4896" s="20"/>
      <c r="O4896" s="20"/>
      <c r="P4896" s="20"/>
    </row>
    <row r="4897">
      <c r="A4897" s="10"/>
      <c r="B4897" s="11"/>
      <c r="C4897" s="10"/>
      <c r="D4897" s="13"/>
      <c r="E4897" s="14"/>
      <c r="F4897" s="14"/>
      <c r="G4897" s="14"/>
      <c r="H4897" s="10"/>
      <c r="I4897" s="17"/>
      <c r="J4897" s="10"/>
      <c r="K4897" s="46"/>
      <c r="L4897" s="10"/>
      <c r="M4897" s="20"/>
      <c r="N4897" s="20"/>
      <c r="O4897" s="20"/>
      <c r="P4897" s="20"/>
    </row>
    <row r="4898">
      <c r="A4898" s="23"/>
      <c r="B4898" s="21"/>
      <c r="C4898" s="23"/>
      <c r="D4898" s="24"/>
      <c r="E4898" s="14"/>
      <c r="F4898" s="14"/>
      <c r="G4898" s="14"/>
      <c r="H4898" s="23"/>
      <c r="I4898" s="27"/>
      <c r="J4898" s="23"/>
      <c r="K4898" s="30"/>
      <c r="L4898" s="23"/>
      <c r="M4898" s="20"/>
      <c r="N4898" s="20"/>
      <c r="O4898" s="20"/>
      <c r="P4898" s="20"/>
    </row>
    <row r="4899">
      <c r="A4899" s="10"/>
      <c r="B4899" s="11"/>
      <c r="C4899" s="10"/>
      <c r="D4899" s="13"/>
      <c r="E4899" s="14"/>
      <c r="F4899" s="14"/>
      <c r="G4899" s="14"/>
      <c r="H4899" s="10"/>
      <c r="I4899" s="17"/>
      <c r="J4899" s="10"/>
      <c r="K4899" s="46"/>
      <c r="L4899" s="10"/>
      <c r="M4899" s="20"/>
      <c r="N4899" s="20"/>
      <c r="O4899" s="20"/>
      <c r="P4899" s="20"/>
    </row>
    <row r="4900">
      <c r="A4900" s="23"/>
      <c r="B4900" s="21"/>
      <c r="C4900" s="23"/>
      <c r="D4900" s="24"/>
      <c r="E4900" s="14"/>
      <c r="F4900" s="14"/>
      <c r="G4900" s="14"/>
      <c r="H4900" s="23"/>
      <c r="I4900" s="27"/>
      <c r="J4900" s="23"/>
      <c r="K4900" s="30"/>
      <c r="L4900" s="23"/>
      <c r="M4900" s="20"/>
      <c r="N4900" s="20"/>
      <c r="O4900" s="20"/>
      <c r="P4900" s="20"/>
    </row>
    <row r="4901">
      <c r="A4901" s="10"/>
      <c r="B4901" s="11"/>
      <c r="C4901" s="10"/>
      <c r="D4901" s="13"/>
      <c r="E4901" s="14"/>
      <c r="F4901" s="14"/>
      <c r="G4901" s="14"/>
      <c r="H4901" s="10"/>
      <c r="I4901" s="17"/>
      <c r="J4901" s="10"/>
      <c r="K4901" s="46"/>
      <c r="L4901" s="10"/>
      <c r="M4901" s="20"/>
      <c r="N4901" s="20"/>
      <c r="O4901" s="20"/>
      <c r="P4901" s="20"/>
    </row>
    <row r="4902">
      <c r="A4902" s="23"/>
      <c r="B4902" s="21"/>
      <c r="C4902" s="23"/>
      <c r="D4902" s="24"/>
      <c r="E4902" s="14"/>
      <c r="F4902" s="14"/>
      <c r="G4902" s="14"/>
      <c r="H4902" s="23"/>
      <c r="I4902" s="27"/>
      <c r="J4902" s="23"/>
      <c r="K4902" s="30"/>
      <c r="L4902" s="23"/>
      <c r="M4902" s="20"/>
      <c r="N4902" s="20"/>
      <c r="O4902" s="20"/>
      <c r="P4902" s="20"/>
    </row>
    <row r="4903">
      <c r="A4903" s="10"/>
      <c r="B4903" s="11"/>
      <c r="C4903" s="10"/>
      <c r="D4903" s="13"/>
      <c r="E4903" s="14"/>
      <c r="F4903" s="14"/>
      <c r="G4903" s="14"/>
      <c r="H4903" s="10"/>
      <c r="I4903" s="17"/>
      <c r="J4903" s="10"/>
      <c r="K4903" s="46"/>
      <c r="L4903" s="10"/>
      <c r="M4903" s="20"/>
      <c r="N4903" s="20"/>
      <c r="O4903" s="20"/>
      <c r="P4903" s="20"/>
    </row>
    <row r="4904">
      <c r="A4904" s="23"/>
      <c r="B4904" s="21"/>
      <c r="C4904" s="23"/>
      <c r="D4904" s="24"/>
      <c r="E4904" s="14"/>
      <c r="F4904" s="14"/>
      <c r="G4904" s="14"/>
      <c r="H4904" s="23"/>
      <c r="I4904" s="27"/>
      <c r="J4904" s="23"/>
      <c r="K4904" s="30"/>
      <c r="L4904" s="23"/>
      <c r="M4904" s="20"/>
      <c r="N4904" s="20"/>
      <c r="O4904" s="20"/>
      <c r="P4904" s="20"/>
    </row>
    <row r="4905">
      <c r="A4905" s="10"/>
      <c r="B4905" s="11"/>
      <c r="C4905" s="10"/>
      <c r="D4905" s="13"/>
      <c r="E4905" s="14"/>
      <c r="F4905" s="14"/>
      <c r="G4905" s="14"/>
      <c r="H4905" s="10"/>
      <c r="I4905" s="17"/>
      <c r="J4905" s="10"/>
      <c r="K4905" s="46"/>
      <c r="L4905" s="10"/>
      <c r="M4905" s="20"/>
      <c r="N4905" s="20"/>
      <c r="O4905" s="20"/>
      <c r="P4905" s="20"/>
    </row>
    <row r="4906">
      <c r="A4906" s="23"/>
      <c r="B4906" s="21"/>
      <c r="C4906" s="23"/>
      <c r="D4906" s="24"/>
      <c r="E4906" s="14"/>
      <c r="F4906" s="14"/>
      <c r="G4906" s="14"/>
      <c r="H4906" s="23"/>
      <c r="I4906" s="27"/>
      <c r="J4906" s="23"/>
      <c r="K4906" s="30"/>
      <c r="L4906" s="23"/>
      <c r="M4906" s="20"/>
      <c r="N4906" s="20"/>
      <c r="O4906" s="20"/>
      <c r="P4906" s="20"/>
    </row>
    <row r="4907">
      <c r="A4907" s="10"/>
      <c r="B4907" s="11"/>
      <c r="C4907" s="10"/>
      <c r="D4907" s="13"/>
      <c r="E4907" s="14"/>
      <c r="F4907" s="14"/>
      <c r="G4907" s="14"/>
      <c r="H4907" s="10"/>
      <c r="I4907" s="17"/>
      <c r="J4907" s="10"/>
      <c r="K4907" s="46"/>
      <c r="L4907" s="10"/>
      <c r="M4907" s="20"/>
      <c r="N4907" s="20"/>
      <c r="O4907" s="20"/>
      <c r="P4907" s="20"/>
    </row>
    <row r="4908">
      <c r="A4908" s="23"/>
      <c r="B4908" s="21"/>
      <c r="C4908" s="23"/>
      <c r="D4908" s="24"/>
      <c r="E4908" s="14"/>
      <c r="F4908" s="14"/>
      <c r="G4908" s="14"/>
      <c r="H4908" s="23"/>
      <c r="I4908" s="27"/>
      <c r="J4908" s="23"/>
      <c r="K4908" s="30"/>
      <c r="L4908" s="23"/>
      <c r="M4908" s="20"/>
      <c r="N4908" s="20"/>
      <c r="O4908" s="20"/>
      <c r="P4908" s="20"/>
    </row>
    <row r="4909">
      <c r="A4909" s="10"/>
      <c r="B4909" s="11"/>
      <c r="C4909" s="10"/>
      <c r="D4909" s="13"/>
      <c r="E4909" s="14"/>
      <c r="F4909" s="14"/>
      <c r="G4909" s="14"/>
      <c r="H4909" s="10"/>
      <c r="I4909" s="17"/>
      <c r="J4909" s="10"/>
      <c r="K4909" s="46"/>
      <c r="L4909" s="10"/>
      <c r="M4909" s="20"/>
      <c r="N4909" s="20"/>
      <c r="O4909" s="20"/>
      <c r="P4909" s="20"/>
    </row>
    <row r="4910">
      <c r="A4910" s="23"/>
      <c r="B4910" s="21"/>
      <c r="C4910" s="23"/>
      <c r="D4910" s="24"/>
      <c r="E4910" s="14"/>
      <c r="F4910" s="14"/>
      <c r="G4910" s="14"/>
      <c r="H4910" s="23"/>
      <c r="I4910" s="27"/>
      <c r="J4910" s="23"/>
      <c r="K4910" s="30"/>
      <c r="L4910" s="23"/>
      <c r="M4910" s="20"/>
      <c r="N4910" s="20"/>
      <c r="O4910" s="20"/>
      <c r="P4910" s="20"/>
    </row>
    <row r="4911">
      <c r="A4911" s="10"/>
      <c r="B4911" s="11"/>
      <c r="C4911" s="10"/>
      <c r="D4911" s="13"/>
      <c r="E4911" s="14"/>
      <c r="F4911" s="14"/>
      <c r="G4911" s="14"/>
      <c r="H4911" s="10"/>
      <c r="I4911" s="17"/>
      <c r="J4911" s="10"/>
      <c r="K4911" s="46"/>
      <c r="L4911" s="10"/>
      <c r="M4911" s="20"/>
      <c r="N4911" s="20"/>
      <c r="O4911" s="20"/>
      <c r="P4911" s="20"/>
    </row>
    <row r="4912">
      <c r="A4912" s="23"/>
      <c r="B4912" s="21"/>
      <c r="C4912" s="23"/>
      <c r="D4912" s="24"/>
      <c r="E4912" s="14"/>
      <c r="F4912" s="14"/>
      <c r="G4912" s="14"/>
      <c r="H4912" s="23"/>
      <c r="I4912" s="27"/>
      <c r="J4912" s="23"/>
      <c r="K4912" s="30"/>
      <c r="L4912" s="23"/>
      <c r="M4912" s="20"/>
      <c r="N4912" s="20"/>
      <c r="O4912" s="20"/>
      <c r="P4912" s="20"/>
    </row>
    <row r="4913">
      <c r="A4913" s="10"/>
      <c r="B4913" s="11"/>
      <c r="C4913" s="10"/>
      <c r="D4913" s="13"/>
      <c r="E4913" s="14"/>
      <c r="F4913" s="14"/>
      <c r="G4913" s="14"/>
      <c r="H4913" s="10"/>
      <c r="I4913" s="17"/>
      <c r="J4913" s="10"/>
      <c r="K4913" s="46"/>
      <c r="L4913" s="10"/>
      <c r="M4913" s="20"/>
      <c r="N4913" s="20"/>
      <c r="O4913" s="20"/>
      <c r="P4913" s="20"/>
    </row>
    <row r="4914">
      <c r="A4914" s="23"/>
      <c r="B4914" s="21"/>
      <c r="C4914" s="23"/>
      <c r="D4914" s="24"/>
      <c r="E4914" s="14"/>
      <c r="F4914" s="14"/>
      <c r="G4914" s="14"/>
      <c r="H4914" s="23"/>
      <c r="I4914" s="27"/>
      <c r="J4914" s="23"/>
      <c r="K4914" s="30"/>
      <c r="L4914" s="23"/>
      <c r="M4914" s="20"/>
      <c r="N4914" s="20"/>
      <c r="O4914" s="20"/>
      <c r="P4914" s="20"/>
    </row>
    <row r="4915">
      <c r="A4915" s="10"/>
      <c r="B4915" s="11"/>
      <c r="C4915" s="10"/>
      <c r="D4915" s="13"/>
      <c r="E4915" s="14"/>
      <c r="F4915" s="14"/>
      <c r="G4915" s="14"/>
      <c r="H4915" s="10"/>
      <c r="I4915" s="17"/>
      <c r="J4915" s="10"/>
      <c r="K4915" s="46"/>
      <c r="L4915" s="10"/>
      <c r="M4915" s="20"/>
      <c r="N4915" s="20"/>
      <c r="O4915" s="20"/>
      <c r="P4915" s="20"/>
    </row>
    <row r="4916">
      <c r="A4916" s="23"/>
      <c r="B4916" s="21"/>
      <c r="C4916" s="23"/>
      <c r="D4916" s="24"/>
      <c r="E4916" s="14"/>
      <c r="F4916" s="14"/>
      <c r="G4916" s="14"/>
      <c r="H4916" s="23"/>
      <c r="I4916" s="27"/>
      <c r="J4916" s="23"/>
      <c r="K4916" s="30"/>
      <c r="L4916" s="23"/>
      <c r="M4916" s="20"/>
      <c r="N4916" s="20"/>
      <c r="O4916" s="20"/>
      <c r="P4916" s="20"/>
    </row>
    <row r="4917">
      <c r="A4917" s="10"/>
      <c r="B4917" s="11"/>
      <c r="C4917" s="10"/>
      <c r="D4917" s="13"/>
      <c r="E4917" s="14"/>
      <c r="F4917" s="14"/>
      <c r="G4917" s="14"/>
      <c r="H4917" s="10"/>
      <c r="I4917" s="17"/>
      <c r="J4917" s="10"/>
      <c r="K4917" s="46"/>
      <c r="L4917" s="10"/>
      <c r="M4917" s="20"/>
      <c r="N4917" s="20"/>
      <c r="O4917" s="20"/>
      <c r="P4917" s="20"/>
    </row>
    <row r="4918">
      <c r="A4918" s="23"/>
      <c r="B4918" s="21"/>
      <c r="C4918" s="23"/>
      <c r="D4918" s="24"/>
      <c r="E4918" s="14"/>
      <c r="F4918" s="14"/>
      <c r="G4918" s="14"/>
      <c r="H4918" s="23"/>
      <c r="I4918" s="27"/>
      <c r="J4918" s="23"/>
      <c r="K4918" s="30"/>
      <c r="L4918" s="23"/>
      <c r="M4918" s="20"/>
      <c r="N4918" s="20"/>
      <c r="O4918" s="20"/>
      <c r="P4918" s="20"/>
    </row>
    <row r="4919">
      <c r="A4919" s="10"/>
      <c r="B4919" s="11"/>
      <c r="C4919" s="10"/>
      <c r="D4919" s="13"/>
      <c r="E4919" s="14"/>
      <c r="F4919" s="14"/>
      <c r="G4919" s="14"/>
      <c r="H4919" s="10"/>
      <c r="I4919" s="17"/>
      <c r="J4919" s="10"/>
      <c r="K4919" s="46"/>
      <c r="L4919" s="10"/>
      <c r="M4919" s="20"/>
      <c r="N4919" s="20"/>
      <c r="O4919" s="20"/>
      <c r="P4919" s="20"/>
    </row>
    <row r="4920">
      <c r="A4920" s="23"/>
      <c r="B4920" s="21"/>
      <c r="C4920" s="23"/>
      <c r="D4920" s="24"/>
      <c r="E4920" s="14"/>
      <c r="F4920" s="14"/>
      <c r="G4920" s="14"/>
      <c r="H4920" s="23"/>
      <c r="I4920" s="27"/>
      <c r="J4920" s="23"/>
      <c r="K4920" s="30"/>
      <c r="L4920" s="23"/>
      <c r="M4920" s="20"/>
      <c r="N4920" s="20"/>
      <c r="O4920" s="20"/>
      <c r="P4920" s="20"/>
    </row>
    <row r="4921">
      <c r="A4921" s="10"/>
      <c r="B4921" s="11"/>
      <c r="C4921" s="10"/>
      <c r="D4921" s="13"/>
      <c r="E4921" s="14"/>
      <c r="F4921" s="14"/>
      <c r="G4921" s="14"/>
      <c r="H4921" s="10"/>
      <c r="I4921" s="17"/>
      <c r="J4921" s="10"/>
      <c r="K4921" s="46"/>
      <c r="L4921" s="10"/>
      <c r="M4921" s="20"/>
      <c r="N4921" s="20"/>
      <c r="O4921" s="20"/>
      <c r="P4921" s="20"/>
    </row>
    <row r="4922">
      <c r="A4922" s="23"/>
      <c r="B4922" s="21"/>
      <c r="C4922" s="23"/>
      <c r="D4922" s="24"/>
      <c r="E4922" s="14"/>
      <c r="F4922" s="14"/>
      <c r="G4922" s="14"/>
      <c r="H4922" s="23"/>
      <c r="I4922" s="27"/>
      <c r="J4922" s="23"/>
      <c r="K4922" s="30"/>
      <c r="L4922" s="23"/>
      <c r="M4922" s="20"/>
      <c r="N4922" s="20"/>
      <c r="O4922" s="20"/>
      <c r="P4922" s="20"/>
    </row>
    <row r="4923">
      <c r="A4923" s="10"/>
      <c r="B4923" s="11"/>
      <c r="C4923" s="10"/>
      <c r="D4923" s="13"/>
      <c r="E4923" s="14"/>
      <c r="F4923" s="14"/>
      <c r="G4923" s="14"/>
      <c r="H4923" s="10"/>
      <c r="I4923" s="17"/>
      <c r="J4923" s="10"/>
      <c r="K4923" s="46"/>
      <c r="L4923" s="10"/>
      <c r="M4923" s="20"/>
      <c r="N4923" s="20"/>
      <c r="O4923" s="20"/>
      <c r="P4923" s="20"/>
    </row>
    <row r="4924">
      <c r="A4924" s="23"/>
      <c r="B4924" s="21"/>
      <c r="C4924" s="23"/>
      <c r="D4924" s="24"/>
      <c r="E4924" s="14"/>
      <c r="F4924" s="14"/>
      <c r="G4924" s="14"/>
      <c r="H4924" s="23"/>
      <c r="I4924" s="27"/>
      <c r="J4924" s="23"/>
      <c r="K4924" s="30"/>
      <c r="L4924" s="23"/>
      <c r="M4924" s="20"/>
      <c r="N4924" s="20"/>
      <c r="O4924" s="20"/>
      <c r="P4924" s="20"/>
    </row>
    <row r="4925">
      <c r="A4925" s="10"/>
      <c r="B4925" s="11"/>
      <c r="C4925" s="10"/>
      <c r="D4925" s="13"/>
      <c r="E4925" s="14"/>
      <c r="F4925" s="14"/>
      <c r="G4925" s="14"/>
      <c r="H4925" s="10"/>
      <c r="I4925" s="17"/>
      <c r="J4925" s="10"/>
      <c r="K4925" s="46"/>
      <c r="L4925" s="10"/>
      <c r="M4925" s="20"/>
      <c r="N4925" s="20"/>
      <c r="O4925" s="20"/>
      <c r="P4925" s="20"/>
    </row>
    <row r="4926">
      <c r="A4926" s="23"/>
      <c r="B4926" s="21"/>
      <c r="C4926" s="23"/>
      <c r="D4926" s="24"/>
      <c r="E4926" s="14"/>
      <c r="F4926" s="14"/>
      <c r="G4926" s="14"/>
      <c r="H4926" s="23"/>
      <c r="I4926" s="27"/>
      <c r="J4926" s="23"/>
      <c r="K4926" s="30"/>
      <c r="L4926" s="23"/>
      <c r="M4926" s="20"/>
      <c r="N4926" s="20"/>
      <c r="O4926" s="20"/>
      <c r="P4926" s="20"/>
    </row>
    <row r="4927">
      <c r="A4927" s="10"/>
      <c r="B4927" s="11"/>
      <c r="C4927" s="10"/>
      <c r="D4927" s="13"/>
      <c r="E4927" s="14"/>
      <c r="F4927" s="14"/>
      <c r="G4927" s="14"/>
      <c r="H4927" s="10"/>
      <c r="I4927" s="17"/>
      <c r="J4927" s="10"/>
      <c r="K4927" s="46"/>
      <c r="L4927" s="10"/>
      <c r="M4927" s="20"/>
      <c r="N4927" s="20"/>
      <c r="O4927" s="20"/>
      <c r="P4927" s="20"/>
    </row>
    <row r="4928">
      <c r="A4928" s="23"/>
      <c r="B4928" s="21"/>
      <c r="C4928" s="23"/>
      <c r="D4928" s="24"/>
      <c r="E4928" s="14"/>
      <c r="F4928" s="14"/>
      <c r="G4928" s="14"/>
      <c r="H4928" s="23"/>
      <c r="I4928" s="27"/>
      <c r="J4928" s="23"/>
      <c r="K4928" s="30"/>
      <c r="L4928" s="23"/>
      <c r="M4928" s="20"/>
      <c r="N4928" s="20"/>
      <c r="O4928" s="20"/>
      <c r="P4928" s="20"/>
    </row>
    <row r="4929">
      <c r="A4929" s="10"/>
      <c r="B4929" s="11"/>
      <c r="C4929" s="10"/>
      <c r="D4929" s="13"/>
      <c r="E4929" s="14"/>
      <c r="F4929" s="14"/>
      <c r="G4929" s="14"/>
      <c r="H4929" s="10"/>
      <c r="I4929" s="17"/>
      <c r="J4929" s="10"/>
      <c r="K4929" s="46"/>
      <c r="L4929" s="10"/>
      <c r="M4929" s="20"/>
      <c r="N4929" s="20"/>
      <c r="O4929" s="20"/>
      <c r="P4929" s="20"/>
    </row>
    <row r="4930">
      <c r="A4930" s="23"/>
      <c r="B4930" s="21"/>
      <c r="C4930" s="23"/>
      <c r="D4930" s="24"/>
      <c r="E4930" s="14"/>
      <c r="F4930" s="14"/>
      <c r="G4930" s="14"/>
      <c r="H4930" s="23"/>
      <c r="I4930" s="27"/>
      <c r="J4930" s="23"/>
      <c r="K4930" s="30"/>
      <c r="L4930" s="23"/>
      <c r="M4930" s="20"/>
      <c r="N4930" s="20"/>
      <c r="O4930" s="20"/>
      <c r="P4930" s="20"/>
    </row>
    <row r="4931">
      <c r="A4931" s="10"/>
      <c r="B4931" s="11"/>
      <c r="C4931" s="10"/>
      <c r="D4931" s="13"/>
      <c r="E4931" s="14"/>
      <c r="F4931" s="14"/>
      <c r="G4931" s="14"/>
      <c r="H4931" s="10"/>
      <c r="I4931" s="17"/>
      <c r="J4931" s="10"/>
      <c r="K4931" s="46"/>
      <c r="L4931" s="10"/>
      <c r="M4931" s="20"/>
      <c r="N4931" s="20"/>
      <c r="O4931" s="20"/>
      <c r="P4931" s="20"/>
    </row>
    <row r="4932">
      <c r="A4932" s="23"/>
      <c r="B4932" s="21"/>
      <c r="C4932" s="23"/>
      <c r="D4932" s="24"/>
      <c r="E4932" s="14"/>
      <c r="F4932" s="14"/>
      <c r="G4932" s="14"/>
      <c r="H4932" s="23"/>
      <c r="I4932" s="27"/>
      <c r="J4932" s="23"/>
      <c r="K4932" s="30"/>
      <c r="L4932" s="23"/>
      <c r="M4932" s="20"/>
      <c r="N4932" s="20"/>
      <c r="O4932" s="20"/>
      <c r="P4932" s="20"/>
    </row>
    <row r="4933">
      <c r="A4933" s="10"/>
      <c r="B4933" s="11"/>
      <c r="C4933" s="10"/>
      <c r="D4933" s="13"/>
      <c r="E4933" s="14"/>
      <c r="F4933" s="14"/>
      <c r="G4933" s="14"/>
      <c r="H4933" s="10"/>
      <c r="I4933" s="17"/>
      <c r="J4933" s="10"/>
      <c r="K4933" s="46"/>
      <c r="L4933" s="10"/>
      <c r="M4933" s="20"/>
      <c r="N4933" s="20"/>
      <c r="O4933" s="20"/>
      <c r="P4933" s="20"/>
    </row>
    <row r="4934">
      <c r="A4934" s="23"/>
      <c r="B4934" s="21"/>
      <c r="C4934" s="23"/>
      <c r="D4934" s="24"/>
      <c r="E4934" s="14"/>
      <c r="F4934" s="14"/>
      <c r="G4934" s="14"/>
      <c r="H4934" s="23"/>
      <c r="I4934" s="27"/>
      <c r="J4934" s="23"/>
      <c r="K4934" s="30"/>
      <c r="L4934" s="23"/>
      <c r="M4934" s="20"/>
      <c r="N4934" s="20"/>
      <c r="O4934" s="20"/>
      <c r="P4934" s="20"/>
    </row>
    <row r="4935">
      <c r="A4935" s="10"/>
      <c r="B4935" s="11"/>
      <c r="C4935" s="10"/>
      <c r="D4935" s="13"/>
      <c r="E4935" s="14"/>
      <c r="F4935" s="14"/>
      <c r="G4935" s="14"/>
      <c r="H4935" s="10"/>
      <c r="I4935" s="17"/>
      <c r="J4935" s="10"/>
      <c r="K4935" s="46"/>
      <c r="L4935" s="10"/>
      <c r="M4935" s="20"/>
      <c r="N4935" s="20"/>
      <c r="O4935" s="20"/>
      <c r="P4935" s="20"/>
    </row>
    <row r="4936">
      <c r="A4936" s="23"/>
      <c r="B4936" s="21"/>
      <c r="C4936" s="23"/>
      <c r="D4936" s="24"/>
      <c r="E4936" s="14"/>
      <c r="F4936" s="14"/>
      <c r="G4936" s="14"/>
      <c r="H4936" s="23"/>
      <c r="I4936" s="27"/>
      <c r="J4936" s="23"/>
      <c r="K4936" s="30"/>
      <c r="L4936" s="23"/>
      <c r="M4936" s="20"/>
      <c r="N4936" s="20"/>
      <c r="O4936" s="20"/>
      <c r="P4936" s="20"/>
    </row>
    <row r="4937">
      <c r="A4937" s="10"/>
      <c r="B4937" s="11"/>
      <c r="C4937" s="10"/>
      <c r="D4937" s="13"/>
      <c r="E4937" s="14"/>
      <c r="F4937" s="14"/>
      <c r="G4937" s="14"/>
      <c r="H4937" s="10"/>
      <c r="I4937" s="17"/>
      <c r="J4937" s="10"/>
      <c r="K4937" s="46"/>
      <c r="L4937" s="10"/>
      <c r="M4937" s="20"/>
      <c r="N4937" s="20"/>
      <c r="O4937" s="20"/>
      <c r="P4937" s="20"/>
    </row>
    <row r="4938">
      <c r="A4938" s="23"/>
      <c r="B4938" s="21"/>
      <c r="C4938" s="23"/>
      <c r="D4938" s="24"/>
      <c r="E4938" s="14"/>
      <c r="F4938" s="14"/>
      <c r="G4938" s="14"/>
      <c r="H4938" s="23"/>
      <c r="I4938" s="27"/>
      <c r="J4938" s="23"/>
      <c r="K4938" s="30"/>
      <c r="L4938" s="23"/>
      <c r="M4938" s="20"/>
      <c r="N4938" s="20"/>
      <c r="O4938" s="20"/>
      <c r="P4938" s="20"/>
    </row>
    <row r="4939">
      <c r="A4939" s="10"/>
      <c r="B4939" s="11"/>
      <c r="C4939" s="10"/>
      <c r="D4939" s="13"/>
      <c r="E4939" s="14"/>
      <c r="F4939" s="14"/>
      <c r="G4939" s="14"/>
      <c r="H4939" s="10"/>
      <c r="I4939" s="17"/>
      <c r="J4939" s="10"/>
      <c r="K4939" s="46"/>
      <c r="L4939" s="10"/>
      <c r="M4939" s="20"/>
      <c r="N4939" s="20"/>
      <c r="O4939" s="20"/>
      <c r="P4939" s="20"/>
    </row>
    <row r="4940">
      <c r="A4940" s="23"/>
      <c r="B4940" s="21"/>
      <c r="C4940" s="23"/>
      <c r="D4940" s="24"/>
      <c r="E4940" s="14"/>
      <c r="F4940" s="14"/>
      <c r="G4940" s="14"/>
      <c r="H4940" s="23"/>
      <c r="I4940" s="27"/>
      <c r="J4940" s="23"/>
      <c r="K4940" s="30"/>
      <c r="L4940" s="23"/>
      <c r="M4940" s="20"/>
      <c r="N4940" s="20"/>
      <c r="O4940" s="20"/>
      <c r="P4940" s="20"/>
    </row>
    <row r="4941">
      <c r="A4941" s="10"/>
      <c r="B4941" s="11"/>
      <c r="C4941" s="10"/>
      <c r="D4941" s="13"/>
      <c r="E4941" s="14"/>
      <c r="F4941" s="14"/>
      <c r="G4941" s="14"/>
      <c r="H4941" s="10"/>
      <c r="I4941" s="17"/>
      <c r="J4941" s="10"/>
      <c r="K4941" s="46"/>
      <c r="L4941" s="10"/>
      <c r="M4941" s="20"/>
      <c r="N4941" s="20"/>
      <c r="O4941" s="20"/>
      <c r="P4941" s="20"/>
    </row>
    <row r="4942">
      <c r="A4942" s="23"/>
      <c r="B4942" s="21"/>
      <c r="C4942" s="23"/>
      <c r="D4942" s="24"/>
      <c r="E4942" s="14"/>
      <c r="F4942" s="14"/>
      <c r="G4942" s="14"/>
      <c r="H4942" s="23"/>
      <c r="I4942" s="27"/>
      <c r="J4942" s="23"/>
      <c r="K4942" s="30"/>
      <c r="L4942" s="23"/>
      <c r="M4942" s="20"/>
      <c r="N4942" s="20"/>
      <c r="O4942" s="20"/>
      <c r="P4942" s="20"/>
    </row>
    <row r="4943">
      <c r="A4943" s="10"/>
      <c r="B4943" s="11"/>
      <c r="C4943" s="10"/>
      <c r="D4943" s="13"/>
      <c r="E4943" s="14"/>
      <c r="F4943" s="14"/>
      <c r="G4943" s="14"/>
      <c r="H4943" s="10"/>
      <c r="I4943" s="17"/>
      <c r="J4943" s="10"/>
      <c r="K4943" s="46"/>
      <c r="L4943" s="10"/>
      <c r="M4943" s="20"/>
      <c r="N4943" s="20"/>
      <c r="O4943" s="20"/>
      <c r="P4943" s="20"/>
    </row>
    <row r="4944">
      <c r="A4944" s="23"/>
      <c r="B4944" s="21"/>
      <c r="C4944" s="23"/>
      <c r="D4944" s="24"/>
      <c r="E4944" s="14"/>
      <c r="F4944" s="14"/>
      <c r="G4944" s="14"/>
      <c r="H4944" s="23"/>
      <c r="I4944" s="27"/>
      <c r="J4944" s="23"/>
      <c r="K4944" s="30"/>
      <c r="L4944" s="23"/>
      <c r="M4944" s="20"/>
      <c r="N4944" s="20"/>
      <c r="O4944" s="20"/>
      <c r="P4944" s="20"/>
    </row>
    <row r="4945">
      <c r="A4945" s="10"/>
      <c r="B4945" s="11"/>
      <c r="C4945" s="10"/>
      <c r="D4945" s="13"/>
      <c r="E4945" s="14"/>
      <c r="F4945" s="14"/>
      <c r="G4945" s="14"/>
      <c r="H4945" s="10"/>
      <c r="I4945" s="17"/>
      <c r="J4945" s="10"/>
      <c r="K4945" s="46"/>
      <c r="L4945" s="10"/>
      <c r="M4945" s="20"/>
      <c r="N4945" s="20"/>
      <c r="O4945" s="20"/>
      <c r="P4945" s="20"/>
    </row>
    <row r="4946">
      <c r="A4946" s="23"/>
      <c r="B4946" s="21"/>
      <c r="C4946" s="23"/>
      <c r="D4946" s="24"/>
      <c r="E4946" s="14"/>
      <c r="F4946" s="14"/>
      <c r="G4946" s="14"/>
      <c r="H4946" s="23"/>
      <c r="I4946" s="27"/>
      <c r="J4946" s="23"/>
      <c r="K4946" s="30"/>
      <c r="L4946" s="23"/>
      <c r="M4946" s="20"/>
      <c r="N4946" s="20"/>
      <c r="O4946" s="20"/>
      <c r="P4946" s="20"/>
    </row>
    <row r="4947">
      <c r="A4947" s="10"/>
      <c r="B4947" s="11"/>
      <c r="C4947" s="10"/>
      <c r="D4947" s="13"/>
      <c r="E4947" s="14"/>
      <c r="F4947" s="14"/>
      <c r="G4947" s="14"/>
      <c r="H4947" s="10"/>
      <c r="I4947" s="17"/>
      <c r="J4947" s="10"/>
      <c r="K4947" s="46"/>
      <c r="L4947" s="10"/>
      <c r="M4947" s="20"/>
      <c r="N4947" s="20"/>
      <c r="O4947" s="20"/>
      <c r="P4947" s="20"/>
    </row>
    <row r="4948">
      <c r="A4948" s="23"/>
      <c r="B4948" s="21"/>
      <c r="C4948" s="23"/>
      <c r="D4948" s="24"/>
      <c r="E4948" s="14"/>
      <c r="F4948" s="14"/>
      <c r="G4948" s="14"/>
      <c r="H4948" s="23"/>
      <c r="I4948" s="27"/>
      <c r="J4948" s="23"/>
      <c r="K4948" s="30"/>
      <c r="L4948" s="23"/>
      <c r="M4948" s="20"/>
      <c r="N4948" s="20"/>
      <c r="O4948" s="20"/>
      <c r="P4948" s="20"/>
    </row>
    <row r="4949">
      <c r="A4949" s="10"/>
      <c r="B4949" s="11"/>
      <c r="C4949" s="10"/>
      <c r="D4949" s="13"/>
      <c r="E4949" s="14"/>
      <c r="F4949" s="14"/>
      <c r="G4949" s="14"/>
      <c r="H4949" s="10"/>
      <c r="I4949" s="17"/>
      <c r="J4949" s="10"/>
      <c r="K4949" s="46"/>
      <c r="L4949" s="10"/>
      <c r="M4949" s="20"/>
      <c r="N4949" s="20"/>
      <c r="O4949" s="20"/>
      <c r="P4949" s="20"/>
    </row>
    <row r="4950">
      <c r="A4950" s="23"/>
      <c r="B4950" s="21"/>
      <c r="C4950" s="23"/>
      <c r="D4950" s="24"/>
      <c r="E4950" s="14"/>
      <c r="F4950" s="14"/>
      <c r="G4950" s="14"/>
      <c r="H4950" s="23"/>
      <c r="I4950" s="27"/>
      <c r="J4950" s="23"/>
      <c r="K4950" s="30"/>
      <c r="L4950" s="23"/>
      <c r="M4950" s="20"/>
      <c r="N4950" s="20"/>
      <c r="O4950" s="20"/>
      <c r="P4950" s="20"/>
    </row>
    <row r="4951">
      <c r="A4951" s="10"/>
      <c r="B4951" s="11"/>
      <c r="C4951" s="10"/>
      <c r="D4951" s="13"/>
      <c r="E4951" s="14"/>
      <c r="F4951" s="14"/>
      <c r="G4951" s="14"/>
      <c r="H4951" s="10"/>
      <c r="I4951" s="17"/>
      <c r="J4951" s="10"/>
      <c r="K4951" s="46"/>
      <c r="L4951" s="10"/>
      <c r="M4951" s="20"/>
      <c r="N4951" s="20"/>
      <c r="O4951" s="20"/>
      <c r="P4951" s="20"/>
    </row>
    <row r="4952">
      <c r="A4952" s="23"/>
      <c r="B4952" s="21"/>
      <c r="C4952" s="23"/>
      <c r="D4952" s="24"/>
      <c r="E4952" s="14"/>
      <c r="F4952" s="14"/>
      <c r="G4952" s="14"/>
      <c r="H4952" s="23"/>
      <c r="I4952" s="27"/>
      <c r="J4952" s="23"/>
      <c r="K4952" s="30"/>
      <c r="L4952" s="23"/>
      <c r="M4952" s="20"/>
      <c r="N4952" s="20"/>
      <c r="O4952" s="20"/>
      <c r="P4952" s="20"/>
    </row>
    <row r="4953">
      <c r="A4953" s="10"/>
      <c r="B4953" s="11"/>
      <c r="C4953" s="10"/>
      <c r="D4953" s="13"/>
      <c r="E4953" s="14"/>
      <c r="F4953" s="14"/>
      <c r="G4953" s="14"/>
      <c r="H4953" s="10"/>
      <c r="I4953" s="17"/>
      <c r="J4953" s="10"/>
      <c r="K4953" s="46"/>
      <c r="L4953" s="10"/>
      <c r="M4953" s="20"/>
      <c r="N4953" s="20"/>
      <c r="O4953" s="20"/>
      <c r="P4953" s="20"/>
    </row>
    <row r="4954">
      <c r="A4954" s="23"/>
      <c r="B4954" s="21"/>
      <c r="C4954" s="23"/>
      <c r="D4954" s="24"/>
      <c r="E4954" s="14"/>
      <c r="F4954" s="14"/>
      <c r="G4954" s="14"/>
      <c r="H4954" s="23"/>
      <c r="I4954" s="27"/>
      <c r="J4954" s="23"/>
      <c r="K4954" s="30"/>
      <c r="L4954" s="23"/>
      <c r="M4954" s="20"/>
      <c r="N4954" s="20"/>
      <c r="O4954" s="20"/>
      <c r="P4954" s="20"/>
    </row>
    <row r="4955">
      <c r="A4955" s="10"/>
      <c r="B4955" s="11"/>
      <c r="C4955" s="10"/>
      <c r="D4955" s="13"/>
      <c r="E4955" s="14"/>
      <c r="F4955" s="14"/>
      <c r="G4955" s="14"/>
      <c r="H4955" s="10"/>
      <c r="I4955" s="17"/>
      <c r="J4955" s="10"/>
      <c r="K4955" s="46"/>
      <c r="L4955" s="10"/>
      <c r="M4955" s="20"/>
      <c r="N4955" s="20"/>
      <c r="O4955" s="20"/>
      <c r="P4955" s="20"/>
    </row>
    <row r="4956">
      <c r="A4956" s="23"/>
      <c r="B4956" s="21"/>
      <c r="C4956" s="23"/>
      <c r="D4956" s="24"/>
      <c r="E4956" s="14"/>
      <c r="F4956" s="14"/>
      <c r="G4956" s="14"/>
      <c r="H4956" s="23"/>
      <c r="I4956" s="27"/>
      <c r="J4956" s="23"/>
      <c r="K4956" s="30"/>
      <c r="L4956" s="23"/>
      <c r="M4956" s="20"/>
      <c r="N4956" s="20"/>
      <c r="O4956" s="20"/>
      <c r="P4956" s="20"/>
    </row>
    <row r="4957">
      <c r="A4957" s="10"/>
      <c r="B4957" s="11"/>
      <c r="C4957" s="10"/>
      <c r="D4957" s="13"/>
      <c r="E4957" s="14"/>
      <c r="F4957" s="14"/>
      <c r="G4957" s="14"/>
      <c r="H4957" s="10"/>
      <c r="I4957" s="17"/>
      <c r="J4957" s="10"/>
      <c r="K4957" s="46"/>
      <c r="L4957" s="10"/>
      <c r="M4957" s="20"/>
      <c r="N4957" s="20"/>
      <c r="O4957" s="20"/>
      <c r="P4957" s="20"/>
    </row>
    <row r="4958">
      <c r="A4958" s="23"/>
      <c r="B4958" s="21"/>
      <c r="C4958" s="23"/>
      <c r="D4958" s="24"/>
      <c r="E4958" s="14"/>
      <c r="F4958" s="14"/>
      <c r="G4958" s="14"/>
      <c r="H4958" s="23"/>
      <c r="I4958" s="27"/>
      <c r="J4958" s="23"/>
      <c r="K4958" s="30"/>
      <c r="L4958" s="23"/>
      <c r="M4958" s="20"/>
      <c r="N4958" s="20"/>
      <c r="O4958" s="20"/>
      <c r="P4958" s="20"/>
    </row>
    <row r="4959">
      <c r="A4959" s="10"/>
      <c r="B4959" s="11"/>
      <c r="C4959" s="10"/>
      <c r="D4959" s="13"/>
      <c r="E4959" s="14"/>
      <c r="F4959" s="14"/>
      <c r="G4959" s="14"/>
      <c r="H4959" s="10"/>
      <c r="I4959" s="17"/>
      <c r="J4959" s="10"/>
      <c r="K4959" s="46"/>
      <c r="L4959" s="10"/>
      <c r="M4959" s="20"/>
      <c r="N4959" s="20"/>
      <c r="O4959" s="20"/>
      <c r="P4959" s="20"/>
    </row>
    <row r="4960">
      <c r="A4960" s="23"/>
      <c r="B4960" s="21"/>
      <c r="C4960" s="23"/>
      <c r="D4960" s="24"/>
      <c r="E4960" s="14"/>
      <c r="F4960" s="14"/>
      <c r="G4960" s="14"/>
      <c r="H4960" s="23"/>
      <c r="I4960" s="27"/>
      <c r="J4960" s="23"/>
      <c r="K4960" s="30"/>
      <c r="L4960" s="23"/>
      <c r="M4960" s="20"/>
      <c r="N4960" s="20"/>
      <c r="O4960" s="20"/>
      <c r="P4960" s="20"/>
    </row>
    <row r="4961">
      <c r="A4961" s="10"/>
      <c r="B4961" s="11"/>
      <c r="C4961" s="10"/>
      <c r="D4961" s="13"/>
      <c r="E4961" s="14"/>
      <c r="F4961" s="14"/>
      <c r="G4961" s="14"/>
      <c r="H4961" s="10"/>
      <c r="I4961" s="17"/>
      <c r="J4961" s="10"/>
      <c r="K4961" s="46"/>
      <c r="L4961" s="10"/>
      <c r="M4961" s="20"/>
      <c r="N4961" s="20"/>
      <c r="O4961" s="20"/>
      <c r="P4961" s="20"/>
    </row>
    <row r="4962">
      <c r="A4962" s="23"/>
      <c r="B4962" s="21"/>
      <c r="C4962" s="23"/>
      <c r="D4962" s="24"/>
      <c r="E4962" s="14"/>
      <c r="F4962" s="14"/>
      <c r="G4962" s="14"/>
      <c r="H4962" s="23"/>
      <c r="I4962" s="27"/>
      <c r="J4962" s="23"/>
      <c r="K4962" s="30"/>
      <c r="L4962" s="23"/>
      <c r="M4962" s="20"/>
      <c r="N4962" s="20"/>
      <c r="O4962" s="20"/>
      <c r="P4962" s="20"/>
    </row>
    <row r="4963">
      <c r="A4963" s="10"/>
      <c r="B4963" s="11"/>
      <c r="C4963" s="10"/>
      <c r="D4963" s="13"/>
      <c r="E4963" s="14"/>
      <c r="F4963" s="14"/>
      <c r="G4963" s="14"/>
      <c r="H4963" s="10"/>
      <c r="I4963" s="17"/>
      <c r="J4963" s="10"/>
      <c r="K4963" s="46"/>
      <c r="L4963" s="10"/>
      <c r="M4963" s="20"/>
      <c r="N4963" s="20"/>
      <c r="O4963" s="20"/>
      <c r="P4963" s="20"/>
    </row>
    <row r="4964">
      <c r="A4964" s="23"/>
      <c r="B4964" s="21"/>
      <c r="C4964" s="23"/>
      <c r="D4964" s="24"/>
      <c r="E4964" s="14"/>
      <c r="F4964" s="14"/>
      <c r="G4964" s="14"/>
      <c r="H4964" s="23"/>
      <c r="I4964" s="27"/>
      <c r="J4964" s="23"/>
      <c r="K4964" s="30"/>
      <c r="L4964" s="23"/>
      <c r="M4964" s="20"/>
      <c r="N4964" s="20"/>
      <c r="O4964" s="20"/>
      <c r="P4964" s="20"/>
    </row>
    <row r="4965">
      <c r="A4965" s="10"/>
      <c r="B4965" s="11"/>
      <c r="C4965" s="10"/>
      <c r="D4965" s="13"/>
      <c r="E4965" s="14"/>
      <c r="F4965" s="14"/>
      <c r="G4965" s="14"/>
      <c r="H4965" s="10"/>
      <c r="I4965" s="17"/>
      <c r="J4965" s="10"/>
      <c r="K4965" s="46"/>
      <c r="L4965" s="10"/>
      <c r="M4965" s="20"/>
      <c r="N4965" s="20"/>
      <c r="O4965" s="20"/>
      <c r="P4965" s="20"/>
    </row>
    <row r="4966">
      <c r="A4966" s="23"/>
      <c r="B4966" s="21"/>
      <c r="C4966" s="23"/>
      <c r="D4966" s="24"/>
      <c r="E4966" s="14"/>
      <c r="F4966" s="14"/>
      <c r="G4966" s="14"/>
      <c r="H4966" s="23"/>
      <c r="I4966" s="27"/>
      <c r="J4966" s="23"/>
      <c r="K4966" s="30"/>
      <c r="L4966" s="23"/>
      <c r="M4966" s="20"/>
      <c r="N4966" s="20"/>
      <c r="O4966" s="20"/>
      <c r="P4966" s="20"/>
    </row>
    <row r="4967">
      <c r="A4967" s="10"/>
      <c r="B4967" s="11"/>
      <c r="C4967" s="10"/>
      <c r="D4967" s="13"/>
      <c r="E4967" s="14"/>
      <c r="F4967" s="14"/>
      <c r="G4967" s="14"/>
      <c r="H4967" s="10"/>
      <c r="I4967" s="17"/>
      <c r="J4967" s="10"/>
      <c r="K4967" s="46"/>
      <c r="L4967" s="10"/>
      <c r="M4967" s="20"/>
      <c r="N4967" s="20"/>
      <c r="O4967" s="20"/>
      <c r="P4967" s="20"/>
    </row>
    <row r="4968">
      <c r="A4968" s="23"/>
      <c r="B4968" s="21"/>
      <c r="C4968" s="23"/>
      <c r="D4968" s="24"/>
      <c r="E4968" s="14"/>
      <c r="F4968" s="14"/>
      <c r="G4968" s="14"/>
      <c r="H4968" s="23"/>
      <c r="I4968" s="27"/>
      <c r="J4968" s="23"/>
      <c r="K4968" s="30"/>
      <c r="L4968" s="23"/>
      <c r="M4968" s="20"/>
      <c r="N4968" s="20"/>
      <c r="O4968" s="20"/>
      <c r="P4968" s="20"/>
    </row>
    <row r="4969">
      <c r="A4969" s="10"/>
      <c r="B4969" s="11"/>
      <c r="C4969" s="10"/>
      <c r="D4969" s="13"/>
      <c r="E4969" s="14"/>
      <c r="F4969" s="14"/>
      <c r="G4969" s="14"/>
      <c r="H4969" s="10"/>
      <c r="I4969" s="17"/>
      <c r="J4969" s="10"/>
      <c r="K4969" s="46"/>
      <c r="L4969" s="10"/>
      <c r="M4969" s="20"/>
      <c r="N4969" s="20"/>
      <c r="O4969" s="20"/>
      <c r="P4969" s="20"/>
    </row>
    <row r="4970">
      <c r="A4970" s="23"/>
      <c r="B4970" s="21"/>
      <c r="C4970" s="23"/>
      <c r="D4970" s="24"/>
      <c r="E4970" s="14"/>
      <c r="F4970" s="14"/>
      <c r="G4970" s="14"/>
      <c r="H4970" s="23"/>
      <c r="I4970" s="27"/>
      <c r="J4970" s="23"/>
      <c r="K4970" s="30"/>
      <c r="L4970" s="23"/>
      <c r="M4970" s="20"/>
      <c r="N4970" s="20"/>
      <c r="O4970" s="20"/>
      <c r="P4970" s="20"/>
    </row>
    <row r="4971">
      <c r="A4971" s="10"/>
      <c r="B4971" s="11"/>
      <c r="C4971" s="10"/>
      <c r="D4971" s="13"/>
      <c r="E4971" s="14"/>
      <c r="F4971" s="14"/>
      <c r="G4971" s="14"/>
      <c r="H4971" s="10"/>
      <c r="I4971" s="17"/>
      <c r="J4971" s="10"/>
      <c r="K4971" s="46"/>
      <c r="L4971" s="10"/>
      <c r="M4971" s="20"/>
      <c r="N4971" s="20"/>
      <c r="O4971" s="20"/>
      <c r="P4971" s="20"/>
    </row>
    <row r="4972">
      <c r="A4972" s="23"/>
      <c r="B4972" s="21"/>
      <c r="C4972" s="23"/>
      <c r="D4972" s="24"/>
      <c r="E4972" s="14"/>
      <c r="F4972" s="14"/>
      <c r="G4972" s="14"/>
      <c r="H4972" s="23"/>
      <c r="I4972" s="27"/>
      <c r="J4972" s="23"/>
      <c r="K4972" s="30"/>
      <c r="L4972" s="23"/>
      <c r="M4972" s="20"/>
      <c r="N4972" s="20"/>
      <c r="O4972" s="20"/>
      <c r="P4972" s="20"/>
    </row>
    <row r="4973">
      <c r="A4973" s="10"/>
      <c r="B4973" s="11"/>
      <c r="C4973" s="10"/>
      <c r="D4973" s="13"/>
      <c r="E4973" s="14"/>
      <c r="F4973" s="14"/>
      <c r="G4973" s="14"/>
      <c r="H4973" s="10"/>
      <c r="I4973" s="17"/>
      <c r="J4973" s="10"/>
      <c r="K4973" s="46"/>
      <c r="L4973" s="10"/>
      <c r="M4973" s="20"/>
      <c r="N4973" s="20"/>
      <c r="O4973" s="20"/>
      <c r="P4973" s="20"/>
    </row>
    <row r="4974">
      <c r="A4974" s="23"/>
      <c r="B4974" s="21"/>
      <c r="C4974" s="23"/>
      <c r="D4974" s="24"/>
      <c r="E4974" s="14"/>
      <c r="F4974" s="14"/>
      <c r="G4974" s="14"/>
      <c r="H4974" s="23"/>
      <c r="I4974" s="27"/>
      <c r="J4974" s="23"/>
      <c r="K4974" s="30"/>
      <c r="L4974" s="23"/>
      <c r="M4974" s="20"/>
      <c r="N4974" s="20"/>
      <c r="O4974" s="20"/>
      <c r="P4974" s="20"/>
    </row>
    <row r="4975">
      <c r="A4975" s="10"/>
      <c r="B4975" s="11"/>
      <c r="C4975" s="10"/>
      <c r="D4975" s="13"/>
      <c r="E4975" s="14"/>
      <c r="F4975" s="14"/>
      <c r="G4975" s="14"/>
      <c r="H4975" s="10"/>
      <c r="I4975" s="17"/>
      <c r="J4975" s="10"/>
      <c r="K4975" s="46"/>
      <c r="L4975" s="10"/>
      <c r="M4975" s="20"/>
      <c r="N4975" s="20"/>
      <c r="O4975" s="20"/>
      <c r="P4975" s="20"/>
    </row>
    <row r="4976">
      <c r="A4976" s="23"/>
      <c r="B4976" s="21"/>
      <c r="C4976" s="23"/>
      <c r="D4976" s="24"/>
      <c r="E4976" s="14"/>
      <c r="F4976" s="14"/>
      <c r="G4976" s="14"/>
      <c r="H4976" s="23"/>
      <c r="I4976" s="27"/>
      <c r="J4976" s="23"/>
      <c r="K4976" s="30"/>
      <c r="L4976" s="23"/>
      <c r="M4976" s="20"/>
      <c r="N4976" s="20"/>
      <c r="O4976" s="20"/>
      <c r="P4976" s="20"/>
    </row>
    <row r="4977">
      <c r="A4977" s="10"/>
      <c r="B4977" s="11"/>
      <c r="C4977" s="10"/>
      <c r="D4977" s="13"/>
      <c r="E4977" s="14"/>
      <c r="F4977" s="14"/>
      <c r="G4977" s="14"/>
      <c r="H4977" s="10"/>
      <c r="I4977" s="17"/>
      <c r="J4977" s="10"/>
      <c r="K4977" s="46"/>
      <c r="L4977" s="10"/>
      <c r="M4977" s="20"/>
      <c r="N4977" s="20"/>
      <c r="O4977" s="20"/>
      <c r="P4977" s="20"/>
    </row>
    <row r="4978">
      <c r="A4978" s="23"/>
      <c r="B4978" s="21"/>
      <c r="C4978" s="23"/>
      <c r="D4978" s="24"/>
      <c r="E4978" s="14"/>
      <c r="F4978" s="14"/>
      <c r="G4978" s="14"/>
      <c r="H4978" s="23"/>
      <c r="I4978" s="27"/>
      <c r="J4978" s="23"/>
      <c r="K4978" s="30"/>
      <c r="L4978" s="23"/>
      <c r="M4978" s="20"/>
      <c r="N4978" s="20"/>
      <c r="O4978" s="20"/>
      <c r="P4978" s="20"/>
    </row>
    <row r="4979">
      <c r="A4979" s="10"/>
      <c r="B4979" s="11"/>
      <c r="C4979" s="10"/>
      <c r="D4979" s="13"/>
      <c r="E4979" s="14"/>
      <c r="F4979" s="14"/>
      <c r="G4979" s="14"/>
      <c r="H4979" s="10"/>
      <c r="I4979" s="17"/>
      <c r="J4979" s="10"/>
      <c r="K4979" s="46"/>
      <c r="L4979" s="10"/>
      <c r="M4979" s="20"/>
      <c r="N4979" s="20"/>
      <c r="O4979" s="20"/>
      <c r="P4979" s="20"/>
    </row>
    <row r="4980">
      <c r="A4980" s="23"/>
      <c r="B4980" s="21"/>
      <c r="C4980" s="23"/>
      <c r="D4980" s="24"/>
      <c r="E4980" s="14"/>
      <c r="F4980" s="14"/>
      <c r="G4980" s="14"/>
      <c r="H4980" s="23"/>
      <c r="I4980" s="27"/>
      <c r="J4980" s="23"/>
      <c r="K4980" s="30"/>
      <c r="L4980" s="23"/>
      <c r="M4980" s="20"/>
      <c r="N4980" s="20"/>
      <c r="O4980" s="20"/>
      <c r="P4980" s="20"/>
    </row>
    <row r="4981">
      <c r="A4981" s="10"/>
      <c r="B4981" s="11"/>
      <c r="C4981" s="10"/>
      <c r="D4981" s="13"/>
      <c r="E4981" s="14"/>
      <c r="F4981" s="14"/>
      <c r="G4981" s="14"/>
      <c r="H4981" s="10"/>
      <c r="I4981" s="17"/>
      <c r="J4981" s="10"/>
      <c r="K4981" s="46"/>
      <c r="L4981" s="10"/>
      <c r="M4981" s="20"/>
      <c r="N4981" s="20"/>
      <c r="O4981" s="20"/>
      <c r="P4981" s="20"/>
    </row>
    <row r="4982">
      <c r="A4982" s="23"/>
      <c r="B4982" s="21"/>
      <c r="C4982" s="23"/>
      <c r="D4982" s="24"/>
      <c r="E4982" s="14"/>
      <c r="F4982" s="14"/>
      <c r="G4982" s="14"/>
      <c r="H4982" s="23"/>
      <c r="I4982" s="27"/>
      <c r="J4982" s="23"/>
      <c r="K4982" s="30"/>
      <c r="L4982" s="23"/>
      <c r="M4982" s="20"/>
      <c r="N4982" s="20"/>
      <c r="O4982" s="20"/>
      <c r="P4982" s="20"/>
    </row>
    <row r="4983">
      <c r="A4983" s="10"/>
      <c r="B4983" s="11"/>
      <c r="C4983" s="10"/>
      <c r="D4983" s="13"/>
      <c r="E4983" s="14"/>
      <c r="F4983" s="14"/>
      <c r="G4983" s="14"/>
      <c r="H4983" s="10"/>
      <c r="I4983" s="17"/>
      <c r="J4983" s="10"/>
      <c r="K4983" s="46"/>
      <c r="L4983" s="10"/>
      <c r="M4983" s="20"/>
      <c r="N4983" s="20"/>
      <c r="O4983" s="20"/>
      <c r="P4983" s="20"/>
    </row>
    <row r="4984">
      <c r="A4984" s="23"/>
      <c r="B4984" s="21"/>
      <c r="C4984" s="23"/>
      <c r="D4984" s="24"/>
      <c r="E4984" s="14"/>
      <c r="F4984" s="14"/>
      <c r="G4984" s="14"/>
      <c r="H4984" s="23"/>
      <c r="I4984" s="27"/>
      <c r="J4984" s="23"/>
      <c r="K4984" s="30"/>
      <c r="L4984" s="23"/>
      <c r="M4984" s="20"/>
      <c r="N4984" s="20"/>
      <c r="O4984" s="20"/>
      <c r="P4984" s="20"/>
    </row>
    <row r="4985">
      <c r="A4985" s="10"/>
      <c r="B4985" s="11"/>
      <c r="C4985" s="10"/>
      <c r="D4985" s="13"/>
      <c r="E4985" s="14"/>
      <c r="F4985" s="14"/>
      <c r="G4985" s="14"/>
      <c r="H4985" s="10"/>
      <c r="I4985" s="17"/>
      <c r="J4985" s="10"/>
      <c r="K4985" s="46"/>
      <c r="L4985" s="10"/>
      <c r="M4985" s="20"/>
      <c r="N4985" s="20"/>
      <c r="O4985" s="20"/>
      <c r="P4985" s="20"/>
    </row>
    <row r="4986">
      <c r="A4986" s="23"/>
      <c r="B4986" s="21"/>
      <c r="C4986" s="23"/>
      <c r="D4986" s="24"/>
      <c r="E4986" s="14"/>
      <c r="F4986" s="14"/>
      <c r="G4986" s="14"/>
      <c r="H4986" s="23"/>
      <c r="I4986" s="27"/>
      <c r="J4986" s="23"/>
      <c r="K4986" s="30"/>
      <c r="L4986" s="23"/>
      <c r="M4986" s="20"/>
      <c r="N4986" s="20"/>
      <c r="O4986" s="20"/>
      <c r="P4986" s="20"/>
    </row>
    <row r="4987">
      <c r="A4987" s="10"/>
      <c r="B4987" s="11"/>
      <c r="C4987" s="10"/>
      <c r="D4987" s="13"/>
      <c r="E4987" s="14"/>
      <c r="F4987" s="14"/>
      <c r="G4987" s="14"/>
      <c r="H4987" s="10"/>
      <c r="I4987" s="17"/>
      <c r="J4987" s="10"/>
      <c r="K4987" s="46"/>
      <c r="L4987" s="10"/>
      <c r="M4987" s="20"/>
      <c r="N4987" s="20"/>
      <c r="O4987" s="20"/>
      <c r="P4987" s="20"/>
    </row>
    <row r="4988">
      <c r="A4988" s="23"/>
      <c r="B4988" s="21"/>
      <c r="C4988" s="23"/>
      <c r="D4988" s="24"/>
      <c r="E4988" s="14"/>
      <c r="F4988" s="14"/>
      <c r="G4988" s="14"/>
      <c r="H4988" s="23"/>
      <c r="I4988" s="27"/>
      <c r="J4988" s="23"/>
      <c r="K4988" s="30"/>
      <c r="L4988" s="23"/>
      <c r="M4988" s="20"/>
      <c r="N4988" s="20"/>
      <c r="O4988" s="20"/>
      <c r="P4988" s="20"/>
    </row>
    <row r="4989">
      <c r="A4989" s="10"/>
      <c r="B4989" s="11"/>
      <c r="C4989" s="10"/>
      <c r="D4989" s="13"/>
      <c r="E4989" s="14"/>
      <c r="F4989" s="14"/>
      <c r="G4989" s="14"/>
      <c r="H4989" s="10"/>
      <c r="I4989" s="17"/>
      <c r="J4989" s="10"/>
      <c r="K4989" s="46"/>
      <c r="L4989" s="10"/>
      <c r="M4989" s="20"/>
      <c r="N4989" s="20"/>
      <c r="O4989" s="20"/>
      <c r="P4989" s="20"/>
    </row>
    <row r="4990">
      <c r="A4990" s="23"/>
      <c r="B4990" s="21"/>
      <c r="C4990" s="23"/>
      <c r="D4990" s="24"/>
      <c r="E4990" s="14"/>
      <c r="F4990" s="14"/>
      <c r="G4990" s="14"/>
      <c r="H4990" s="23"/>
      <c r="I4990" s="27"/>
      <c r="J4990" s="23"/>
      <c r="K4990" s="30"/>
      <c r="L4990" s="23"/>
      <c r="M4990" s="20"/>
      <c r="N4990" s="20"/>
      <c r="O4990" s="20"/>
      <c r="P4990" s="20"/>
    </row>
    <row r="4991">
      <c r="A4991" s="10"/>
      <c r="B4991" s="11"/>
      <c r="C4991" s="10"/>
      <c r="D4991" s="13"/>
      <c r="E4991" s="14"/>
      <c r="F4991" s="14"/>
      <c r="G4991" s="14"/>
      <c r="H4991" s="10"/>
      <c r="I4991" s="17"/>
      <c r="J4991" s="10"/>
      <c r="K4991" s="46"/>
      <c r="L4991" s="10"/>
      <c r="M4991" s="20"/>
      <c r="N4991" s="20"/>
      <c r="O4991" s="20"/>
      <c r="P4991" s="20"/>
    </row>
    <row r="4992">
      <c r="A4992" s="23"/>
      <c r="B4992" s="21"/>
      <c r="C4992" s="23"/>
      <c r="D4992" s="24"/>
      <c r="E4992" s="14"/>
      <c r="F4992" s="14"/>
      <c r="G4992" s="14"/>
      <c r="H4992" s="23"/>
      <c r="I4992" s="27"/>
      <c r="J4992" s="23"/>
      <c r="K4992" s="30"/>
      <c r="L4992" s="23"/>
      <c r="M4992" s="20"/>
      <c r="N4992" s="20"/>
      <c r="O4992" s="20"/>
      <c r="P4992" s="20"/>
    </row>
    <row r="4993">
      <c r="A4993" s="10"/>
      <c r="B4993" s="11"/>
      <c r="C4993" s="10"/>
      <c r="D4993" s="13"/>
      <c r="E4993" s="14"/>
      <c r="F4993" s="14"/>
      <c r="G4993" s="14"/>
      <c r="H4993" s="10"/>
      <c r="I4993" s="17"/>
      <c r="J4993" s="10"/>
      <c r="K4993" s="46"/>
      <c r="L4993" s="10"/>
      <c r="M4993" s="20"/>
      <c r="N4993" s="20"/>
      <c r="O4993" s="20"/>
      <c r="P4993" s="20"/>
    </row>
    <row r="4994">
      <c r="A4994" s="23"/>
      <c r="B4994" s="21"/>
      <c r="C4994" s="23"/>
      <c r="D4994" s="24"/>
      <c r="E4994" s="14"/>
      <c r="F4994" s="14"/>
      <c r="G4994" s="14"/>
      <c r="H4994" s="23"/>
      <c r="I4994" s="27"/>
      <c r="J4994" s="23"/>
      <c r="K4994" s="30"/>
      <c r="L4994" s="23"/>
      <c r="M4994" s="20"/>
      <c r="N4994" s="20"/>
      <c r="O4994" s="20"/>
      <c r="P4994" s="20"/>
    </row>
    <row r="4995">
      <c r="A4995" s="10"/>
      <c r="B4995" s="11"/>
      <c r="C4995" s="10"/>
      <c r="D4995" s="13"/>
      <c r="E4995" s="14"/>
      <c r="F4995" s="14"/>
      <c r="G4995" s="14"/>
      <c r="H4995" s="10"/>
      <c r="I4995" s="17"/>
      <c r="J4995" s="10"/>
      <c r="K4995" s="46"/>
      <c r="L4995" s="10"/>
      <c r="M4995" s="20"/>
      <c r="N4995" s="20"/>
      <c r="O4995" s="20"/>
      <c r="P4995" s="20"/>
    </row>
    <row r="4996">
      <c r="A4996" s="23"/>
      <c r="B4996" s="21"/>
      <c r="C4996" s="23"/>
      <c r="D4996" s="24"/>
      <c r="E4996" s="14"/>
      <c r="F4996" s="14"/>
      <c r="G4996" s="14"/>
      <c r="H4996" s="23"/>
      <c r="I4996" s="27"/>
      <c r="J4996" s="23"/>
      <c r="K4996" s="30"/>
      <c r="L4996" s="23"/>
      <c r="M4996" s="20"/>
      <c r="N4996" s="20"/>
      <c r="O4996" s="20"/>
      <c r="P4996" s="20"/>
    </row>
    <row r="4997">
      <c r="A4997" s="10"/>
      <c r="B4997" s="11"/>
      <c r="C4997" s="10"/>
      <c r="D4997" s="13"/>
      <c r="E4997" s="14"/>
      <c r="F4997" s="14"/>
      <c r="G4997" s="14"/>
      <c r="H4997" s="10"/>
      <c r="I4997" s="17"/>
      <c r="J4997" s="10"/>
      <c r="K4997" s="46"/>
      <c r="L4997" s="10"/>
      <c r="M4997" s="20"/>
      <c r="N4997" s="20"/>
      <c r="O4997" s="20"/>
      <c r="P4997" s="20"/>
    </row>
    <row r="4998">
      <c r="A4998" s="23"/>
      <c r="B4998" s="21"/>
      <c r="C4998" s="23"/>
      <c r="D4998" s="24"/>
      <c r="E4998" s="14"/>
      <c r="F4998" s="14"/>
      <c r="G4998" s="14"/>
      <c r="H4998" s="23"/>
      <c r="I4998" s="27"/>
      <c r="J4998" s="23"/>
      <c r="K4998" s="30"/>
      <c r="L4998" s="23"/>
      <c r="M4998" s="20"/>
      <c r="N4998" s="20"/>
      <c r="O4998" s="20"/>
      <c r="P4998" s="20"/>
    </row>
    <row r="4999">
      <c r="A4999" s="10"/>
      <c r="B4999" s="11"/>
      <c r="C4999" s="10"/>
      <c r="D4999" s="13"/>
      <c r="E4999" s="14"/>
      <c r="F4999" s="14"/>
      <c r="G4999" s="14"/>
      <c r="H4999" s="10"/>
      <c r="I4999" s="17"/>
      <c r="J4999" s="10"/>
      <c r="K4999" s="46"/>
      <c r="L4999" s="10"/>
      <c r="M4999" s="20"/>
      <c r="N4999" s="20"/>
      <c r="O4999" s="20"/>
      <c r="P4999" s="20"/>
    </row>
    <row r="5000">
      <c r="A5000" s="23"/>
      <c r="B5000" s="21"/>
      <c r="C5000" s="23"/>
      <c r="D5000" s="24"/>
      <c r="E5000" s="14"/>
      <c r="F5000" s="14"/>
      <c r="G5000" s="14"/>
      <c r="H5000" s="23"/>
      <c r="I5000" s="27"/>
      <c r="J5000" s="23"/>
      <c r="K5000" s="30"/>
      <c r="L5000" s="23"/>
      <c r="M5000" s="20"/>
      <c r="N5000" s="20"/>
      <c r="O5000" s="20"/>
      <c r="P5000" s="20"/>
    </row>
    <row r="5001">
      <c r="A5001" s="10"/>
      <c r="B5001" s="11"/>
      <c r="C5001" s="10"/>
      <c r="D5001" s="13"/>
      <c r="E5001" s="14"/>
      <c r="F5001" s="14"/>
      <c r="G5001" s="14"/>
      <c r="H5001" s="10"/>
      <c r="I5001" s="17"/>
      <c r="J5001" s="10"/>
      <c r="K5001" s="46"/>
      <c r="L5001" s="10"/>
      <c r="M5001" s="20"/>
      <c r="N5001" s="20"/>
      <c r="O5001" s="20"/>
      <c r="P5001" s="20"/>
    </row>
    <row r="5002">
      <c r="A5002" s="23"/>
      <c r="B5002" s="21"/>
      <c r="C5002" s="23"/>
      <c r="D5002" s="24"/>
      <c r="E5002" s="14"/>
      <c r="F5002" s="14"/>
      <c r="G5002" s="14"/>
      <c r="H5002" s="23"/>
      <c r="I5002" s="27"/>
      <c r="J5002" s="23"/>
      <c r="K5002" s="30"/>
      <c r="L5002" s="23"/>
      <c r="M5002" s="20"/>
      <c r="N5002" s="20"/>
      <c r="O5002" s="20"/>
      <c r="P5002" s="20"/>
    </row>
    <row r="5003">
      <c r="A5003" s="10"/>
      <c r="B5003" s="11"/>
      <c r="C5003" s="10"/>
      <c r="D5003" s="13"/>
      <c r="E5003" s="14"/>
      <c r="F5003" s="14"/>
      <c r="G5003" s="14"/>
      <c r="H5003" s="10"/>
      <c r="I5003" s="17"/>
      <c r="J5003" s="10"/>
      <c r="K5003" s="46"/>
      <c r="L5003" s="10"/>
      <c r="M5003" s="20"/>
      <c r="N5003" s="20"/>
      <c r="O5003" s="20"/>
      <c r="P5003" s="20"/>
    </row>
    <row r="5004">
      <c r="A5004" s="23"/>
      <c r="B5004" s="21"/>
      <c r="C5004" s="23"/>
      <c r="D5004" s="24"/>
      <c r="E5004" s="14"/>
      <c r="F5004" s="14"/>
      <c r="G5004" s="14"/>
      <c r="H5004" s="23"/>
      <c r="I5004" s="27"/>
      <c r="J5004" s="23"/>
      <c r="K5004" s="30"/>
      <c r="L5004" s="23"/>
      <c r="M5004" s="20"/>
      <c r="N5004" s="20"/>
      <c r="O5004" s="20"/>
      <c r="P5004" s="20"/>
    </row>
    <row r="5005">
      <c r="A5005" s="10"/>
      <c r="B5005" s="11"/>
      <c r="C5005" s="10"/>
      <c r="D5005" s="13"/>
      <c r="E5005" s="14"/>
      <c r="F5005" s="14"/>
      <c r="G5005" s="14"/>
      <c r="H5005" s="10"/>
      <c r="I5005" s="17"/>
      <c r="J5005" s="10"/>
      <c r="K5005" s="46"/>
      <c r="L5005" s="10"/>
      <c r="M5005" s="20"/>
      <c r="N5005" s="20"/>
      <c r="O5005" s="20"/>
      <c r="P5005" s="20"/>
    </row>
    <row r="5006">
      <c r="A5006" s="23"/>
      <c r="B5006" s="21"/>
      <c r="C5006" s="23"/>
      <c r="D5006" s="24"/>
      <c r="E5006" s="14"/>
      <c r="F5006" s="14"/>
      <c r="G5006" s="14"/>
      <c r="H5006" s="23"/>
      <c r="I5006" s="27"/>
      <c r="J5006" s="23"/>
      <c r="K5006" s="30"/>
      <c r="L5006" s="23"/>
      <c r="M5006" s="20"/>
      <c r="N5006" s="20"/>
      <c r="O5006" s="20"/>
      <c r="P5006" s="20"/>
    </row>
    <row r="5007">
      <c r="A5007" s="10"/>
      <c r="B5007" s="11"/>
      <c r="C5007" s="10"/>
      <c r="D5007" s="13"/>
      <c r="E5007" s="14"/>
      <c r="F5007" s="14"/>
      <c r="G5007" s="14"/>
      <c r="H5007" s="10"/>
      <c r="I5007" s="17"/>
      <c r="J5007" s="10"/>
      <c r="K5007" s="46"/>
      <c r="L5007" s="10"/>
      <c r="M5007" s="20"/>
      <c r="N5007" s="20"/>
      <c r="O5007" s="20"/>
      <c r="P5007" s="20"/>
    </row>
    <row r="5008">
      <c r="A5008" s="23"/>
      <c r="B5008" s="21"/>
      <c r="C5008" s="23"/>
      <c r="D5008" s="24"/>
      <c r="E5008" s="14"/>
      <c r="F5008" s="14"/>
      <c r="G5008" s="14"/>
      <c r="H5008" s="23"/>
      <c r="I5008" s="27"/>
      <c r="J5008" s="23"/>
      <c r="K5008" s="30"/>
      <c r="L5008" s="23"/>
      <c r="M5008" s="20"/>
      <c r="N5008" s="20"/>
      <c r="O5008" s="20"/>
      <c r="P5008" s="20"/>
    </row>
    <row r="5009">
      <c r="A5009" s="10"/>
      <c r="B5009" s="11"/>
      <c r="C5009" s="10"/>
      <c r="D5009" s="13"/>
      <c r="E5009" s="14"/>
      <c r="F5009" s="14"/>
      <c r="G5009" s="14"/>
      <c r="H5009" s="10"/>
      <c r="I5009" s="17"/>
      <c r="J5009" s="10"/>
      <c r="K5009" s="46"/>
      <c r="L5009" s="10"/>
      <c r="M5009" s="20"/>
      <c r="N5009" s="20"/>
      <c r="O5009" s="20"/>
      <c r="P5009" s="20"/>
    </row>
    <row r="5010">
      <c r="A5010" s="23"/>
      <c r="B5010" s="21"/>
      <c r="C5010" s="23"/>
      <c r="D5010" s="24"/>
      <c r="E5010" s="14"/>
      <c r="F5010" s="14"/>
      <c r="G5010" s="14"/>
      <c r="H5010" s="23"/>
      <c r="I5010" s="27"/>
      <c r="J5010" s="23"/>
      <c r="K5010" s="30"/>
      <c r="L5010" s="23"/>
      <c r="M5010" s="20"/>
      <c r="N5010" s="20"/>
      <c r="O5010" s="20"/>
      <c r="P5010" s="20"/>
    </row>
    <row r="5011">
      <c r="A5011" s="10"/>
      <c r="B5011" s="11"/>
      <c r="C5011" s="10"/>
      <c r="D5011" s="13"/>
      <c r="E5011" s="14"/>
      <c r="F5011" s="14"/>
      <c r="G5011" s="14"/>
      <c r="H5011" s="10"/>
      <c r="I5011" s="17"/>
      <c r="J5011" s="10"/>
      <c r="K5011" s="46"/>
      <c r="L5011" s="10"/>
      <c r="M5011" s="20"/>
      <c r="N5011" s="20"/>
      <c r="O5011" s="20"/>
      <c r="P5011" s="20"/>
    </row>
    <row r="5012">
      <c r="A5012" s="23"/>
      <c r="B5012" s="21"/>
      <c r="C5012" s="23"/>
      <c r="D5012" s="24"/>
      <c r="E5012" s="14"/>
      <c r="F5012" s="14"/>
      <c r="G5012" s="14"/>
      <c r="H5012" s="23"/>
      <c r="I5012" s="27"/>
      <c r="J5012" s="23"/>
      <c r="K5012" s="30"/>
      <c r="L5012" s="23"/>
      <c r="M5012" s="20"/>
      <c r="N5012" s="20"/>
      <c r="O5012" s="20"/>
      <c r="P5012" s="20"/>
    </row>
    <row r="5013">
      <c r="A5013" s="10"/>
      <c r="B5013" s="11"/>
      <c r="C5013" s="10"/>
      <c r="D5013" s="13"/>
      <c r="E5013" s="14"/>
      <c r="F5013" s="14"/>
      <c r="G5013" s="14"/>
      <c r="H5013" s="10"/>
      <c r="I5013" s="17"/>
      <c r="J5013" s="10"/>
      <c r="K5013" s="46"/>
      <c r="L5013" s="10"/>
      <c r="M5013" s="20"/>
      <c r="N5013" s="20"/>
      <c r="O5013" s="20"/>
      <c r="P5013" s="20"/>
    </row>
    <row r="5014">
      <c r="A5014" s="23"/>
      <c r="B5014" s="21"/>
      <c r="C5014" s="23"/>
      <c r="D5014" s="24"/>
      <c r="E5014" s="14"/>
      <c r="F5014" s="14"/>
      <c r="G5014" s="14"/>
      <c r="H5014" s="23"/>
      <c r="I5014" s="27"/>
      <c r="J5014" s="23"/>
      <c r="K5014" s="30"/>
      <c r="L5014" s="23"/>
      <c r="M5014" s="20"/>
      <c r="N5014" s="20"/>
      <c r="O5014" s="20"/>
      <c r="P5014" s="20"/>
    </row>
    <row r="5015">
      <c r="A5015" s="10"/>
      <c r="B5015" s="11"/>
      <c r="C5015" s="10"/>
      <c r="D5015" s="13"/>
      <c r="E5015" s="14"/>
      <c r="F5015" s="14"/>
      <c r="G5015" s="14"/>
      <c r="H5015" s="10"/>
      <c r="I5015" s="17"/>
      <c r="J5015" s="10"/>
      <c r="K5015" s="46"/>
      <c r="L5015" s="10"/>
      <c r="M5015" s="20"/>
      <c r="N5015" s="20"/>
      <c r="O5015" s="20"/>
      <c r="P5015" s="20"/>
    </row>
    <row r="5016">
      <c r="A5016" s="23"/>
      <c r="B5016" s="21"/>
      <c r="C5016" s="23"/>
      <c r="D5016" s="24"/>
      <c r="E5016" s="14"/>
      <c r="F5016" s="14"/>
      <c r="G5016" s="14"/>
      <c r="H5016" s="23"/>
      <c r="I5016" s="27"/>
      <c r="J5016" s="23"/>
      <c r="K5016" s="30"/>
      <c r="L5016" s="23"/>
      <c r="M5016" s="20"/>
      <c r="N5016" s="20"/>
      <c r="O5016" s="20"/>
      <c r="P5016" s="20"/>
    </row>
    <row r="5017">
      <c r="A5017" s="10"/>
      <c r="B5017" s="11"/>
      <c r="C5017" s="10"/>
      <c r="D5017" s="13"/>
      <c r="E5017" s="14"/>
      <c r="F5017" s="14"/>
      <c r="G5017" s="14"/>
      <c r="H5017" s="10"/>
      <c r="I5017" s="17"/>
      <c r="J5017" s="10"/>
      <c r="K5017" s="46"/>
      <c r="L5017" s="10"/>
      <c r="M5017" s="20"/>
      <c r="N5017" s="20"/>
      <c r="O5017" s="20"/>
      <c r="P5017" s="20"/>
    </row>
    <row r="5018">
      <c r="A5018" s="23"/>
      <c r="B5018" s="21"/>
      <c r="C5018" s="23"/>
      <c r="D5018" s="24"/>
      <c r="E5018" s="14"/>
      <c r="F5018" s="14"/>
      <c r="G5018" s="14"/>
      <c r="H5018" s="23"/>
      <c r="I5018" s="27"/>
      <c r="J5018" s="23"/>
      <c r="K5018" s="30"/>
      <c r="L5018" s="23"/>
      <c r="M5018" s="20"/>
      <c r="N5018" s="20"/>
      <c r="O5018" s="20"/>
      <c r="P5018" s="20"/>
    </row>
    <row r="5019">
      <c r="A5019" s="10"/>
      <c r="B5019" s="11"/>
      <c r="C5019" s="10"/>
      <c r="D5019" s="13"/>
      <c r="E5019" s="14"/>
      <c r="F5019" s="14"/>
      <c r="G5019" s="14"/>
      <c r="H5019" s="10"/>
      <c r="I5019" s="17"/>
      <c r="J5019" s="10"/>
      <c r="K5019" s="46"/>
      <c r="L5019" s="10"/>
      <c r="M5019" s="20"/>
      <c r="N5019" s="20"/>
      <c r="O5019" s="20"/>
      <c r="P5019" s="20"/>
    </row>
    <row r="5020">
      <c r="A5020" s="23"/>
      <c r="B5020" s="21"/>
      <c r="C5020" s="23"/>
      <c r="D5020" s="24"/>
      <c r="E5020" s="14"/>
      <c r="F5020" s="14"/>
      <c r="G5020" s="14"/>
      <c r="H5020" s="23"/>
      <c r="I5020" s="27"/>
      <c r="J5020" s="23"/>
      <c r="K5020" s="30"/>
      <c r="L5020" s="23"/>
      <c r="M5020" s="20"/>
      <c r="N5020" s="20"/>
      <c r="O5020" s="20"/>
      <c r="P5020" s="20"/>
    </row>
    <row r="5021">
      <c r="A5021" s="10"/>
      <c r="B5021" s="11"/>
      <c r="C5021" s="10"/>
      <c r="D5021" s="13"/>
      <c r="E5021" s="14"/>
      <c r="F5021" s="14"/>
      <c r="G5021" s="14"/>
      <c r="H5021" s="10"/>
      <c r="I5021" s="17"/>
      <c r="J5021" s="10"/>
      <c r="K5021" s="46"/>
      <c r="L5021" s="10"/>
      <c r="M5021" s="20"/>
      <c r="N5021" s="20"/>
      <c r="O5021" s="20"/>
      <c r="P5021" s="20"/>
    </row>
    <row r="5022">
      <c r="A5022" s="23"/>
      <c r="B5022" s="21"/>
      <c r="C5022" s="23"/>
      <c r="D5022" s="24"/>
      <c r="E5022" s="14"/>
      <c r="F5022" s="14"/>
      <c r="G5022" s="14"/>
      <c r="H5022" s="23"/>
      <c r="I5022" s="27"/>
      <c r="J5022" s="23"/>
      <c r="K5022" s="30"/>
      <c r="L5022" s="23"/>
      <c r="M5022" s="20"/>
      <c r="N5022" s="20"/>
      <c r="O5022" s="20"/>
      <c r="P5022" s="20"/>
    </row>
    <row r="5023">
      <c r="A5023" s="10"/>
      <c r="B5023" s="11"/>
      <c r="C5023" s="10"/>
      <c r="D5023" s="13"/>
      <c r="E5023" s="14"/>
      <c r="F5023" s="14"/>
      <c r="G5023" s="14"/>
      <c r="H5023" s="10"/>
      <c r="I5023" s="17"/>
      <c r="J5023" s="10"/>
      <c r="K5023" s="46"/>
      <c r="L5023" s="10"/>
      <c r="M5023" s="20"/>
      <c r="N5023" s="20"/>
      <c r="O5023" s="20"/>
      <c r="P5023" s="20"/>
    </row>
    <row r="5024">
      <c r="A5024" s="23"/>
      <c r="B5024" s="21"/>
      <c r="C5024" s="23"/>
      <c r="D5024" s="24"/>
      <c r="E5024" s="14"/>
      <c r="F5024" s="14"/>
      <c r="G5024" s="14"/>
      <c r="H5024" s="23"/>
      <c r="I5024" s="27"/>
      <c r="J5024" s="23"/>
      <c r="K5024" s="30"/>
      <c r="L5024" s="23"/>
      <c r="M5024" s="20"/>
      <c r="N5024" s="20"/>
      <c r="O5024" s="20"/>
      <c r="P5024" s="20"/>
    </row>
    <row r="5025">
      <c r="A5025" s="10"/>
      <c r="B5025" s="11"/>
      <c r="C5025" s="10"/>
      <c r="D5025" s="13"/>
      <c r="E5025" s="14"/>
      <c r="F5025" s="14"/>
      <c r="G5025" s="14"/>
      <c r="H5025" s="10"/>
      <c r="I5025" s="17"/>
      <c r="J5025" s="10"/>
      <c r="K5025" s="46"/>
      <c r="L5025" s="10"/>
      <c r="M5025" s="20"/>
      <c r="N5025" s="20"/>
      <c r="O5025" s="20"/>
      <c r="P5025" s="20"/>
    </row>
    <row r="5026">
      <c r="A5026" s="23"/>
      <c r="B5026" s="21"/>
      <c r="C5026" s="23"/>
      <c r="D5026" s="24"/>
      <c r="E5026" s="14"/>
      <c r="F5026" s="14"/>
      <c r="G5026" s="14"/>
      <c r="H5026" s="23"/>
      <c r="I5026" s="27"/>
      <c r="J5026" s="23"/>
      <c r="K5026" s="30"/>
      <c r="L5026" s="23"/>
      <c r="M5026" s="20"/>
      <c r="N5026" s="20"/>
      <c r="O5026" s="20"/>
      <c r="P5026" s="20"/>
    </row>
    <row r="5027">
      <c r="A5027" s="10"/>
      <c r="B5027" s="11"/>
      <c r="C5027" s="10"/>
      <c r="D5027" s="13"/>
      <c r="E5027" s="14"/>
      <c r="F5027" s="14"/>
      <c r="G5027" s="14"/>
      <c r="H5027" s="10"/>
      <c r="I5027" s="17"/>
      <c r="J5027" s="10"/>
      <c r="K5027" s="46"/>
      <c r="L5027" s="10"/>
      <c r="M5027" s="20"/>
      <c r="N5027" s="20"/>
      <c r="O5027" s="20"/>
      <c r="P5027" s="20"/>
    </row>
    <row r="5028">
      <c r="A5028" s="23"/>
      <c r="B5028" s="21"/>
      <c r="C5028" s="23"/>
      <c r="D5028" s="24"/>
      <c r="E5028" s="14"/>
      <c r="F5028" s="14"/>
      <c r="G5028" s="14"/>
      <c r="H5028" s="23"/>
      <c r="I5028" s="27"/>
      <c r="J5028" s="23"/>
      <c r="K5028" s="30"/>
      <c r="L5028" s="23"/>
      <c r="M5028" s="20"/>
      <c r="N5028" s="20"/>
      <c r="O5028" s="20"/>
      <c r="P5028" s="20"/>
    </row>
    <row r="5029">
      <c r="A5029" s="10"/>
      <c r="B5029" s="11"/>
      <c r="C5029" s="10"/>
      <c r="D5029" s="13"/>
      <c r="E5029" s="14"/>
      <c r="F5029" s="14"/>
      <c r="G5029" s="14"/>
      <c r="H5029" s="10"/>
      <c r="I5029" s="17"/>
      <c r="J5029" s="10"/>
      <c r="K5029" s="46"/>
      <c r="L5029" s="10"/>
      <c r="M5029" s="20"/>
      <c r="N5029" s="20"/>
      <c r="O5029" s="20"/>
      <c r="P5029" s="20"/>
    </row>
    <row r="5030">
      <c r="A5030" s="23"/>
      <c r="B5030" s="21"/>
      <c r="C5030" s="23"/>
      <c r="D5030" s="24"/>
      <c r="E5030" s="14"/>
      <c r="F5030" s="14"/>
      <c r="G5030" s="14"/>
      <c r="H5030" s="23"/>
      <c r="I5030" s="27"/>
      <c r="J5030" s="23"/>
      <c r="K5030" s="30"/>
      <c r="L5030" s="23"/>
      <c r="M5030" s="20"/>
      <c r="N5030" s="20"/>
      <c r="O5030" s="20"/>
      <c r="P5030" s="20"/>
    </row>
    <row r="5031">
      <c r="A5031" s="10"/>
      <c r="B5031" s="11"/>
      <c r="C5031" s="10"/>
      <c r="D5031" s="13"/>
      <c r="E5031" s="14"/>
      <c r="F5031" s="14"/>
      <c r="G5031" s="14"/>
      <c r="H5031" s="10"/>
      <c r="I5031" s="17"/>
      <c r="J5031" s="10"/>
      <c r="K5031" s="46"/>
      <c r="L5031" s="10"/>
      <c r="M5031" s="20"/>
      <c r="N5031" s="20"/>
      <c r="O5031" s="20"/>
      <c r="P5031" s="20"/>
    </row>
    <row r="5032">
      <c r="A5032" s="23"/>
      <c r="B5032" s="21"/>
      <c r="C5032" s="23"/>
      <c r="D5032" s="24"/>
      <c r="E5032" s="14"/>
      <c r="F5032" s="14"/>
      <c r="G5032" s="14"/>
      <c r="H5032" s="23"/>
      <c r="I5032" s="27"/>
      <c r="J5032" s="23"/>
      <c r="K5032" s="30"/>
      <c r="L5032" s="23"/>
      <c r="M5032" s="20"/>
      <c r="N5032" s="20"/>
      <c r="O5032" s="20"/>
      <c r="P5032" s="20"/>
    </row>
    <row r="5033">
      <c r="A5033" s="10"/>
      <c r="B5033" s="11"/>
      <c r="C5033" s="10"/>
      <c r="D5033" s="13"/>
      <c r="E5033" s="14"/>
      <c r="F5033" s="14"/>
      <c r="G5033" s="14"/>
      <c r="H5033" s="10"/>
      <c r="I5033" s="17"/>
      <c r="J5033" s="10"/>
      <c r="K5033" s="46"/>
      <c r="L5033" s="10"/>
      <c r="M5033" s="20"/>
      <c r="N5033" s="20"/>
      <c r="O5033" s="20"/>
      <c r="P5033" s="20"/>
    </row>
    <row r="5034">
      <c r="A5034" s="23"/>
      <c r="B5034" s="21"/>
      <c r="C5034" s="23"/>
      <c r="D5034" s="24"/>
      <c r="E5034" s="14"/>
      <c r="F5034" s="14"/>
      <c r="G5034" s="14"/>
      <c r="H5034" s="23"/>
      <c r="I5034" s="27"/>
      <c r="J5034" s="23"/>
      <c r="K5034" s="30"/>
      <c r="L5034" s="23"/>
      <c r="M5034" s="20"/>
      <c r="N5034" s="20"/>
      <c r="O5034" s="20"/>
      <c r="P5034" s="20"/>
    </row>
    <row r="5035">
      <c r="A5035" s="10"/>
      <c r="B5035" s="11"/>
      <c r="C5035" s="10"/>
      <c r="D5035" s="13"/>
      <c r="E5035" s="14"/>
      <c r="F5035" s="14"/>
      <c r="G5035" s="14"/>
      <c r="H5035" s="10"/>
      <c r="I5035" s="17"/>
      <c r="J5035" s="10"/>
      <c r="K5035" s="46"/>
      <c r="L5035" s="10"/>
      <c r="M5035" s="20"/>
      <c r="N5035" s="20"/>
      <c r="O5035" s="20"/>
      <c r="P5035" s="20"/>
    </row>
    <row r="5036">
      <c r="A5036" s="23"/>
      <c r="B5036" s="21"/>
      <c r="C5036" s="23"/>
      <c r="D5036" s="24"/>
      <c r="E5036" s="14"/>
      <c r="F5036" s="14"/>
      <c r="G5036" s="14"/>
      <c r="H5036" s="23"/>
      <c r="I5036" s="27"/>
      <c r="J5036" s="23"/>
      <c r="K5036" s="30"/>
      <c r="L5036" s="23"/>
      <c r="M5036" s="20"/>
      <c r="N5036" s="20"/>
      <c r="O5036" s="20"/>
      <c r="P5036" s="20"/>
    </row>
    <row r="5037">
      <c r="A5037" s="10"/>
      <c r="B5037" s="11"/>
      <c r="C5037" s="10"/>
      <c r="D5037" s="13"/>
      <c r="E5037" s="14"/>
      <c r="F5037" s="14"/>
      <c r="G5037" s="14"/>
      <c r="H5037" s="10"/>
      <c r="I5037" s="17"/>
      <c r="J5037" s="10"/>
      <c r="K5037" s="46"/>
      <c r="L5037" s="10"/>
      <c r="M5037" s="20"/>
      <c r="N5037" s="20"/>
      <c r="O5037" s="20"/>
      <c r="P5037" s="20"/>
    </row>
    <row r="5038">
      <c r="A5038" s="23"/>
      <c r="B5038" s="21"/>
      <c r="C5038" s="23"/>
      <c r="D5038" s="24"/>
      <c r="E5038" s="14"/>
      <c r="F5038" s="14"/>
      <c r="G5038" s="14"/>
      <c r="H5038" s="23"/>
      <c r="I5038" s="27"/>
      <c r="J5038" s="23"/>
      <c r="K5038" s="30"/>
      <c r="L5038" s="23"/>
      <c r="M5038" s="20"/>
      <c r="N5038" s="20"/>
      <c r="O5038" s="20"/>
      <c r="P5038" s="20"/>
    </row>
    <row r="5039">
      <c r="A5039" s="10"/>
      <c r="B5039" s="11"/>
      <c r="C5039" s="10"/>
      <c r="D5039" s="13"/>
      <c r="E5039" s="14"/>
      <c r="F5039" s="14"/>
      <c r="G5039" s="14"/>
      <c r="H5039" s="10"/>
      <c r="I5039" s="17"/>
      <c r="J5039" s="10"/>
      <c r="K5039" s="46"/>
      <c r="L5039" s="10"/>
      <c r="M5039" s="20"/>
      <c r="N5039" s="20"/>
      <c r="O5039" s="20"/>
      <c r="P5039" s="20"/>
    </row>
    <row r="5040">
      <c r="A5040" s="23"/>
      <c r="B5040" s="21"/>
      <c r="C5040" s="23"/>
      <c r="D5040" s="24"/>
      <c r="E5040" s="14"/>
      <c r="F5040" s="14"/>
      <c r="G5040" s="14"/>
      <c r="H5040" s="23"/>
      <c r="I5040" s="27"/>
      <c r="J5040" s="23"/>
      <c r="K5040" s="30"/>
      <c r="L5040" s="23"/>
      <c r="M5040" s="20"/>
      <c r="N5040" s="20"/>
      <c r="O5040" s="20"/>
      <c r="P5040" s="20"/>
    </row>
    <row r="5041">
      <c r="A5041" s="10"/>
      <c r="B5041" s="11"/>
      <c r="C5041" s="10"/>
      <c r="D5041" s="13"/>
      <c r="E5041" s="14"/>
      <c r="F5041" s="14"/>
      <c r="G5041" s="14"/>
      <c r="H5041" s="10"/>
      <c r="I5041" s="17"/>
      <c r="J5041" s="10"/>
      <c r="K5041" s="46"/>
      <c r="L5041" s="10"/>
      <c r="M5041" s="20"/>
      <c r="N5041" s="20"/>
      <c r="O5041" s="20"/>
      <c r="P5041" s="20"/>
    </row>
    <row r="5042">
      <c r="A5042" s="23"/>
      <c r="B5042" s="21"/>
      <c r="C5042" s="23"/>
      <c r="D5042" s="24"/>
      <c r="E5042" s="14"/>
      <c r="F5042" s="14"/>
      <c r="G5042" s="14"/>
      <c r="H5042" s="23"/>
      <c r="I5042" s="27"/>
      <c r="J5042" s="23"/>
      <c r="K5042" s="30"/>
      <c r="L5042" s="23"/>
      <c r="M5042" s="20"/>
      <c r="N5042" s="20"/>
      <c r="O5042" s="20"/>
      <c r="P5042" s="20"/>
    </row>
    <row r="5043">
      <c r="A5043" s="10"/>
      <c r="B5043" s="11"/>
      <c r="C5043" s="10"/>
      <c r="D5043" s="13"/>
      <c r="E5043" s="14"/>
      <c r="F5043" s="14"/>
      <c r="G5043" s="14"/>
      <c r="H5043" s="10"/>
      <c r="I5043" s="17"/>
      <c r="J5043" s="10"/>
      <c r="K5043" s="46"/>
      <c r="L5043" s="10"/>
      <c r="M5043" s="20"/>
      <c r="N5043" s="20"/>
      <c r="O5043" s="20"/>
      <c r="P5043" s="20"/>
    </row>
    <row r="5044">
      <c r="A5044" s="23"/>
      <c r="B5044" s="21"/>
      <c r="C5044" s="23"/>
      <c r="D5044" s="24"/>
      <c r="E5044" s="14"/>
      <c r="F5044" s="14"/>
      <c r="G5044" s="14"/>
      <c r="H5044" s="23"/>
      <c r="I5044" s="27"/>
      <c r="J5044" s="23"/>
      <c r="K5044" s="30"/>
      <c r="L5044" s="23"/>
      <c r="M5044" s="20"/>
      <c r="N5044" s="20"/>
      <c r="O5044" s="20"/>
      <c r="P5044" s="20"/>
    </row>
    <row r="5045">
      <c r="A5045" s="10"/>
      <c r="B5045" s="11"/>
      <c r="C5045" s="10"/>
      <c r="D5045" s="13"/>
      <c r="E5045" s="14"/>
      <c r="F5045" s="14"/>
      <c r="G5045" s="14"/>
      <c r="H5045" s="10"/>
      <c r="I5045" s="17"/>
      <c r="J5045" s="10"/>
      <c r="K5045" s="46"/>
      <c r="L5045" s="10"/>
      <c r="M5045" s="20"/>
      <c r="N5045" s="20"/>
      <c r="O5045" s="20"/>
      <c r="P5045" s="20"/>
    </row>
    <row r="5046">
      <c r="A5046" s="23"/>
      <c r="B5046" s="21"/>
      <c r="C5046" s="23"/>
      <c r="D5046" s="24"/>
      <c r="E5046" s="14"/>
      <c r="F5046" s="14"/>
      <c r="G5046" s="14"/>
      <c r="H5046" s="23"/>
      <c r="I5046" s="27"/>
      <c r="J5046" s="23"/>
      <c r="K5046" s="30"/>
      <c r="L5046" s="23"/>
      <c r="M5046" s="20"/>
      <c r="N5046" s="20"/>
      <c r="O5046" s="20"/>
      <c r="P5046" s="20"/>
    </row>
    <row r="5047">
      <c r="A5047" s="10"/>
      <c r="B5047" s="11"/>
      <c r="C5047" s="10"/>
      <c r="D5047" s="13"/>
      <c r="E5047" s="14"/>
      <c r="F5047" s="14"/>
      <c r="G5047" s="14"/>
      <c r="H5047" s="10"/>
      <c r="I5047" s="17"/>
      <c r="J5047" s="10"/>
      <c r="K5047" s="46"/>
      <c r="L5047" s="10"/>
      <c r="M5047" s="20"/>
      <c r="N5047" s="20"/>
      <c r="O5047" s="20"/>
      <c r="P5047" s="20"/>
    </row>
    <row r="5048">
      <c r="A5048" s="23"/>
      <c r="B5048" s="21"/>
      <c r="C5048" s="23"/>
      <c r="D5048" s="24"/>
      <c r="E5048" s="14"/>
      <c r="F5048" s="14"/>
      <c r="G5048" s="14"/>
      <c r="H5048" s="23"/>
      <c r="I5048" s="27"/>
      <c r="J5048" s="23"/>
      <c r="K5048" s="30"/>
      <c r="L5048" s="23"/>
      <c r="M5048" s="20"/>
      <c r="N5048" s="20"/>
      <c r="O5048" s="20"/>
      <c r="P5048" s="20"/>
    </row>
    <row r="5049">
      <c r="A5049" s="10"/>
      <c r="B5049" s="11"/>
      <c r="C5049" s="10"/>
      <c r="D5049" s="13"/>
      <c r="E5049" s="14"/>
      <c r="F5049" s="14"/>
      <c r="G5049" s="14"/>
      <c r="H5049" s="10"/>
      <c r="I5049" s="17"/>
      <c r="J5049" s="10"/>
      <c r="K5049" s="46"/>
      <c r="L5049" s="10"/>
      <c r="M5049" s="20"/>
      <c r="N5049" s="20"/>
      <c r="O5049" s="20"/>
      <c r="P5049" s="20"/>
    </row>
    <row r="5050">
      <c r="A5050" s="23"/>
      <c r="B5050" s="21"/>
      <c r="C5050" s="23"/>
      <c r="D5050" s="24"/>
      <c r="E5050" s="14"/>
      <c r="F5050" s="14"/>
      <c r="G5050" s="14"/>
      <c r="H5050" s="23"/>
      <c r="I5050" s="27"/>
      <c r="J5050" s="23"/>
      <c r="K5050" s="30"/>
      <c r="L5050" s="23"/>
      <c r="M5050" s="20"/>
      <c r="N5050" s="20"/>
      <c r="O5050" s="20"/>
      <c r="P5050" s="20"/>
    </row>
    <row r="5051">
      <c r="A5051" s="10"/>
      <c r="B5051" s="11"/>
      <c r="C5051" s="10"/>
      <c r="D5051" s="13"/>
      <c r="E5051" s="14"/>
      <c r="F5051" s="14"/>
      <c r="G5051" s="14"/>
      <c r="H5051" s="10"/>
      <c r="I5051" s="17"/>
      <c r="J5051" s="10"/>
      <c r="K5051" s="46"/>
      <c r="L5051" s="10"/>
      <c r="M5051" s="20"/>
      <c r="N5051" s="20"/>
      <c r="O5051" s="20"/>
      <c r="P5051" s="20"/>
    </row>
    <row r="5052">
      <c r="A5052" s="23"/>
      <c r="B5052" s="21"/>
      <c r="C5052" s="23"/>
      <c r="D5052" s="24"/>
      <c r="E5052" s="14"/>
      <c r="F5052" s="14"/>
      <c r="G5052" s="14"/>
      <c r="H5052" s="23"/>
      <c r="I5052" s="27"/>
      <c r="J5052" s="23"/>
      <c r="K5052" s="30"/>
      <c r="L5052" s="23"/>
      <c r="M5052" s="20"/>
      <c r="N5052" s="20"/>
      <c r="O5052" s="20"/>
      <c r="P5052" s="20"/>
    </row>
    <row r="5053">
      <c r="A5053" s="10"/>
      <c r="B5053" s="11"/>
      <c r="C5053" s="10"/>
      <c r="D5053" s="13"/>
      <c r="E5053" s="14"/>
      <c r="F5053" s="14"/>
      <c r="G5053" s="14"/>
      <c r="H5053" s="10"/>
      <c r="I5053" s="17"/>
      <c r="J5053" s="10"/>
      <c r="K5053" s="46"/>
      <c r="L5053" s="10"/>
      <c r="M5053" s="20"/>
      <c r="N5053" s="20"/>
      <c r="O5053" s="20"/>
      <c r="P5053" s="20"/>
    </row>
    <row r="5054">
      <c r="A5054" s="23"/>
      <c r="B5054" s="21"/>
      <c r="C5054" s="23"/>
      <c r="D5054" s="24"/>
      <c r="E5054" s="14"/>
      <c r="F5054" s="14"/>
      <c r="G5054" s="14"/>
      <c r="H5054" s="23"/>
      <c r="I5054" s="27"/>
      <c r="J5054" s="23"/>
      <c r="K5054" s="30"/>
      <c r="L5054" s="23"/>
      <c r="M5054" s="20"/>
      <c r="N5054" s="20"/>
      <c r="O5054" s="20"/>
      <c r="P5054" s="20"/>
    </row>
    <row r="5055">
      <c r="A5055" s="10"/>
      <c r="B5055" s="11"/>
      <c r="C5055" s="10"/>
      <c r="D5055" s="13"/>
      <c r="E5055" s="14"/>
      <c r="F5055" s="14"/>
      <c r="G5055" s="14"/>
      <c r="H5055" s="10"/>
      <c r="I5055" s="17"/>
      <c r="J5055" s="10"/>
      <c r="K5055" s="46"/>
      <c r="L5055" s="10"/>
      <c r="M5055" s="20"/>
      <c r="N5055" s="20"/>
      <c r="O5055" s="20"/>
      <c r="P5055" s="20"/>
    </row>
    <row r="5056">
      <c r="A5056" s="23"/>
      <c r="B5056" s="21"/>
      <c r="C5056" s="23"/>
      <c r="D5056" s="24"/>
      <c r="E5056" s="14"/>
      <c r="F5056" s="14"/>
      <c r="G5056" s="14"/>
      <c r="H5056" s="23"/>
      <c r="I5056" s="27"/>
      <c r="J5056" s="23"/>
      <c r="K5056" s="30"/>
      <c r="L5056" s="23"/>
      <c r="M5056" s="20"/>
      <c r="N5056" s="20"/>
      <c r="O5056" s="20"/>
      <c r="P5056" s="20"/>
    </row>
    <row r="5057">
      <c r="A5057" s="10"/>
      <c r="B5057" s="11"/>
      <c r="C5057" s="10"/>
      <c r="D5057" s="13"/>
      <c r="E5057" s="14"/>
      <c r="F5057" s="14"/>
      <c r="G5057" s="14"/>
      <c r="H5057" s="10"/>
      <c r="I5057" s="17"/>
      <c r="J5057" s="10"/>
      <c r="K5057" s="46"/>
      <c r="L5057" s="10"/>
      <c r="M5057" s="20"/>
      <c r="N5057" s="20"/>
      <c r="O5057" s="20"/>
      <c r="P5057" s="20"/>
    </row>
    <row r="5058">
      <c r="A5058" s="23"/>
      <c r="B5058" s="21"/>
      <c r="C5058" s="23"/>
      <c r="D5058" s="24"/>
      <c r="E5058" s="14"/>
      <c r="F5058" s="14"/>
      <c r="G5058" s="14"/>
      <c r="H5058" s="23"/>
      <c r="I5058" s="27"/>
      <c r="J5058" s="23"/>
      <c r="K5058" s="30"/>
      <c r="L5058" s="23"/>
      <c r="M5058" s="20"/>
      <c r="N5058" s="20"/>
      <c r="O5058" s="20"/>
      <c r="P5058" s="20"/>
    </row>
    <row r="5059">
      <c r="A5059" s="10"/>
      <c r="B5059" s="11"/>
      <c r="C5059" s="10"/>
      <c r="D5059" s="13"/>
      <c r="E5059" s="14"/>
      <c r="F5059" s="14"/>
      <c r="G5059" s="14"/>
      <c r="H5059" s="10"/>
      <c r="I5059" s="17"/>
      <c r="J5059" s="10"/>
      <c r="K5059" s="46"/>
      <c r="L5059" s="10"/>
      <c r="M5059" s="20"/>
      <c r="N5059" s="20"/>
      <c r="O5059" s="20"/>
      <c r="P5059" s="20"/>
    </row>
    <row r="5060">
      <c r="A5060" s="23"/>
      <c r="B5060" s="21"/>
      <c r="C5060" s="23"/>
      <c r="D5060" s="24"/>
      <c r="E5060" s="14"/>
      <c r="F5060" s="14"/>
      <c r="G5060" s="14"/>
      <c r="H5060" s="23"/>
      <c r="I5060" s="27"/>
      <c r="J5060" s="23"/>
      <c r="K5060" s="30"/>
      <c r="L5060" s="23"/>
      <c r="M5060" s="20"/>
      <c r="N5060" s="20"/>
      <c r="O5060" s="20"/>
      <c r="P5060" s="20"/>
    </row>
    <row r="5061">
      <c r="A5061" s="10"/>
      <c r="B5061" s="11"/>
      <c r="C5061" s="10"/>
      <c r="D5061" s="13"/>
      <c r="E5061" s="14"/>
      <c r="F5061" s="14"/>
      <c r="G5061" s="14"/>
      <c r="H5061" s="10"/>
      <c r="I5061" s="17"/>
      <c r="J5061" s="10"/>
      <c r="K5061" s="46"/>
      <c r="L5061" s="10"/>
      <c r="M5061" s="20"/>
      <c r="N5061" s="20"/>
      <c r="O5061" s="20"/>
      <c r="P5061" s="20"/>
    </row>
    <row r="5062">
      <c r="A5062" s="23"/>
      <c r="B5062" s="21"/>
      <c r="C5062" s="23"/>
      <c r="D5062" s="24"/>
      <c r="E5062" s="14"/>
      <c r="F5062" s="14"/>
      <c r="G5062" s="14"/>
      <c r="H5062" s="23"/>
      <c r="I5062" s="27"/>
      <c r="J5062" s="23"/>
      <c r="K5062" s="30"/>
      <c r="L5062" s="23"/>
      <c r="M5062" s="20"/>
      <c r="N5062" s="20"/>
      <c r="O5062" s="20"/>
      <c r="P5062" s="20"/>
    </row>
    <row r="5063">
      <c r="A5063" s="10"/>
      <c r="B5063" s="11"/>
      <c r="C5063" s="10"/>
      <c r="D5063" s="13"/>
      <c r="E5063" s="14"/>
      <c r="F5063" s="14"/>
      <c r="G5063" s="14"/>
      <c r="H5063" s="10"/>
      <c r="I5063" s="17"/>
      <c r="J5063" s="10"/>
      <c r="K5063" s="46"/>
      <c r="L5063" s="10"/>
      <c r="M5063" s="20"/>
      <c r="N5063" s="20"/>
      <c r="O5063" s="20"/>
      <c r="P5063" s="20"/>
    </row>
    <row r="5064">
      <c r="A5064" s="23"/>
      <c r="B5064" s="21"/>
      <c r="C5064" s="23"/>
      <c r="D5064" s="24"/>
      <c r="E5064" s="14"/>
      <c r="F5064" s="14"/>
      <c r="G5064" s="14"/>
      <c r="H5064" s="23"/>
      <c r="I5064" s="27"/>
      <c r="J5064" s="23"/>
      <c r="K5064" s="30"/>
      <c r="L5064" s="23"/>
      <c r="M5064" s="20"/>
      <c r="N5064" s="20"/>
      <c r="O5064" s="20"/>
      <c r="P5064" s="20"/>
    </row>
    <row r="5065">
      <c r="A5065" s="10"/>
      <c r="B5065" s="11"/>
      <c r="C5065" s="10"/>
      <c r="D5065" s="13"/>
      <c r="E5065" s="14"/>
      <c r="F5065" s="14"/>
      <c r="G5065" s="14"/>
      <c r="H5065" s="10"/>
      <c r="I5065" s="17"/>
      <c r="J5065" s="10"/>
      <c r="K5065" s="46"/>
      <c r="L5065" s="10"/>
      <c r="M5065" s="20"/>
      <c r="N5065" s="20"/>
      <c r="O5065" s="20"/>
      <c r="P5065" s="20"/>
    </row>
    <row r="5066">
      <c r="A5066" s="23"/>
      <c r="B5066" s="21"/>
      <c r="C5066" s="23"/>
      <c r="D5066" s="24"/>
      <c r="E5066" s="14"/>
      <c r="F5066" s="14"/>
      <c r="G5066" s="14"/>
      <c r="H5066" s="23"/>
      <c r="I5066" s="27"/>
      <c r="J5066" s="23"/>
      <c r="K5066" s="30"/>
      <c r="L5066" s="23"/>
      <c r="M5066" s="20"/>
      <c r="N5066" s="20"/>
      <c r="O5066" s="20"/>
      <c r="P5066" s="20"/>
    </row>
    <row r="5067">
      <c r="A5067" s="10"/>
      <c r="B5067" s="11"/>
      <c r="C5067" s="10"/>
      <c r="D5067" s="13"/>
      <c r="E5067" s="14"/>
      <c r="F5067" s="14"/>
      <c r="G5067" s="14"/>
      <c r="H5067" s="10"/>
      <c r="I5067" s="17"/>
      <c r="J5067" s="10"/>
      <c r="K5067" s="46"/>
      <c r="L5067" s="10"/>
      <c r="M5067" s="20"/>
      <c r="N5067" s="20"/>
      <c r="O5067" s="20"/>
      <c r="P5067" s="20"/>
    </row>
    <row r="5068">
      <c r="A5068" s="23"/>
      <c r="B5068" s="21"/>
      <c r="C5068" s="23"/>
      <c r="D5068" s="24"/>
      <c r="E5068" s="14"/>
      <c r="F5068" s="14"/>
      <c r="G5068" s="14"/>
      <c r="H5068" s="23"/>
      <c r="I5068" s="27"/>
      <c r="J5068" s="23"/>
      <c r="K5068" s="30"/>
      <c r="L5068" s="23"/>
      <c r="M5068" s="20"/>
      <c r="N5068" s="20"/>
      <c r="O5068" s="20"/>
      <c r="P5068" s="20"/>
    </row>
    <row r="5069">
      <c r="A5069" s="10"/>
      <c r="B5069" s="11"/>
      <c r="C5069" s="10"/>
      <c r="D5069" s="13"/>
      <c r="E5069" s="14"/>
      <c r="F5069" s="14"/>
      <c r="G5069" s="14"/>
      <c r="H5069" s="10"/>
      <c r="I5069" s="17"/>
      <c r="J5069" s="10"/>
      <c r="K5069" s="46"/>
      <c r="L5069" s="10"/>
      <c r="M5069" s="20"/>
      <c r="N5069" s="20"/>
      <c r="O5069" s="20"/>
      <c r="P5069" s="20"/>
    </row>
    <row r="5070">
      <c r="A5070" s="23"/>
      <c r="B5070" s="21"/>
      <c r="C5070" s="23"/>
      <c r="D5070" s="24"/>
      <c r="E5070" s="14"/>
      <c r="F5070" s="14"/>
      <c r="G5070" s="14"/>
      <c r="H5070" s="23"/>
      <c r="I5070" s="27"/>
      <c r="J5070" s="23"/>
      <c r="K5070" s="30"/>
      <c r="L5070" s="23"/>
      <c r="M5070" s="20"/>
      <c r="N5070" s="20"/>
      <c r="O5070" s="20"/>
      <c r="P5070" s="20"/>
    </row>
    <row r="5071">
      <c r="A5071" s="10"/>
      <c r="B5071" s="11"/>
      <c r="C5071" s="10"/>
      <c r="D5071" s="13"/>
      <c r="E5071" s="14"/>
      <c r="F5071" s="14"/>
      <c r="G5071" s="14"/>
      <c r="H5071" s="10"/>
      <c r="I5071" s="17"/>
      <c r="J5071" s="10"/>
      <c r="K5071" s="46"/>
      <c r="L5071" s="10"/>
      <c r="M5071" s="20"/>
      <c r="N5071" s="20"/>
      <c r="O5071" s="20"/>
      <c r="P5071" s="20"/>
    </row>
    <row r="5072">
      <c r="A5072" s="23"/>
      <c r="B5072" s="21"/>
      <c r="C5072" s="23"/>
      <c r="D5072" s="24"/>
      <c r="E5072" s="14"/>
      <c r="F5072" s="14"/>
      <c r="G5072" s="14"/>
      <c r="H5072" s="23"/>
      <c r="I5072" s="27"/>
      <c r="J5072" s="23"/>
      <c r="K5072" s="30"/>
      <c r="L5072" s="23"/>
      <c r="M5072" s="20"/>
      <c r="N5072" s="20"/>
      <c r="O5072" s="20"/>
      <c r="P5072" s="20"/>
    </row>
    <row r="5073">
      <c r="A5073" s="10"/>
      <c r="B5073" s="11"/>
      <c r="C5073" s="10"/>
      <c r="D5073" s="13"/>
      <c r="E5073" s="14"/>
      <c r="F5073" s="14"/>
      <c r="G5073" s="14"/>
      <c r="H5073" s="10"/>
      <c r="I5073" s="17"/>
      <c r="J5073" s="10"/>
      <c r="K5073" s="46"/>
      <c r="L5073" s="10"/>
      <c r="M5073" s="20"/>
      <c r="N5073" s="20"/>
      <c r="O5073" s="20"/>
      <c r="P5073" s="20"/>
    </row>
    <row r="5074">
      <c r="A5074" s="23"/>
      <c r="B5074" s="21"/>
      <c r="C5074" s="23"/>
      <c r="D5074" s="24"/>
      <c r="E5074" s="14"/>
      <c r="F5074" s="14"/>
      <c r="G5074" s="14"/>
      <c r="H5074" s="23"/>
      <c r="I5074" s="27"/>
      <c r="J5074" s="23"/>
      <c r="K5074" s="30"/>
      <c r="L5074" s="23"/>
      <c r="M5074" s="20"/>
      <c r="N5074" s="20"/>
      <c r="O5074" s="20"/>
      <c r="P5074" s="20"/>
    </row>
    <row r="5075">
      <c r="A5075" s="10"/>
      <c r="B5075" s="11"/>
      <c r="C5075" s="10"/>
      <c r="D5075" s="13"/>
      <c r="E5075" s="14"/>
      <c r="F5075" s="14"/>
      <c r="G5075" s="14"/>
      <c r="H5075" s="10"/>
      <c r="I5075" s="17"/>
      <c r="J5075" s="10"/>
      <c r="K5075" s="46"/>
      <c r="L5075" s="10"/>
      <c r="M5075" s="20"/>
      <c r="N5075" s="20"/>
      <c r="O5075" s="20"/>
      <c r="P5075" s="20"/>
    </row>
    <row r="5076">
      <c r="A5076" s="23"/>
      <c r="B5076" s="21"/>
      <c r="C5076" s="23"/>
      <c r="D5076" s="24"/>
      <c r="E5076" s="14"/>
      <c r="F5076" s="14"/>
      <c r="G5076" s="14"/>
      <c r="H5076" s="23"/>
      <c r="I5076" s="27"/>
      <c r="J5076" s="23"/>
      <c r="K5076" s="30"/>
      <c r="L5076" s="23"/>
      <c r="M5076" s="20"/>
      <c r="N5076" s="20"/>
      <c r="O5076" s="20"/>
      <c r="P5076" s="20"/>
    </row>
    <row r="5077">
      <c r="A5077" s="10"/>
      <c r="B5077" s="11"/>
      <c r="C5077" s="10"/>
      <c r="D5077" s="13"/>
      <c r="E5077" s="14"/>
      <c r="F5077" s="14"/>
      <c r="G5077" s="14"/>
      <c r="H5077" s="10"/>
      <c r="I5077" s="17"/>
      <c r="J5077" s="10"/>
      <c r="K5077" s="46"/>
      <c r="L5077" s="10"/>
      <c r="M5077" s="20"/>
      <c r="N5077" s="20"/>
      <c r="O5077" s="20"/>
      <c r="P5077" s="20"/>
    </row>
    <row r="5078">
      <c r="A5078" s="23"/>
      <c r="B5078" s="21"/>
      <c r="C5078" s="23"/>
      <c r="D5078" s="24"/>
      <c r="E5078" s="14"/>
      <c r="F5078" s="14"/>
      <c r="G5078" s="14"/>
      <c r="H5078" s="23"/>
      <c r="I5078" s="27"/>
      <c r="J5078" s="23"/>
      <c r="K5078" s="30"/>
      <c r="L5078" s="23"/>
      <c r="M5078" s="20"/>
      <c r="N5078" s="20"/>
      <c r="O5078" s="20"/>
      <c r="P5078" s="20"/>
    </row>
    <row r="5079">
      <c r="A5079" s="10"/>
      <c r="B5079" s="11"/>
      <c r="C5079" s="10"/>
      <c r="D5079" s="13"/>
      <c r="E5079" s="14"/>
      <c r="F5079" s="14"/>
      <c r="G5079" s="14"/>
      <c r="H5079" s="10"/>
      <c r="I5079" s="17"/>
      <c r="J5079" s="10"/>
      <c r="K5079" s="46"/>
      <c r="L5079" s="10"/>
      <c r="M5079" s="20"/>
      <c r="N5079" s="20"/>
      <c r="O5079" s="20"/>
      <c r="P5079" s="20"/>
    </row>
    <row r="5080">
      <c r="A5080" s="23"/>
      <c r="B5080" s="21"/>
      <c r="C5080" s="23"/>
      <c r="D5080" s="24"/>
      <c r="E5080" s="14"/>
      <c r="F5080" s="14"/>
      <c r="G5080" s="14"/>
      <c r="H5080" s="23"/>
      <c r="I5080" s="27"/>
      <c r="J5080" s="23"/>
      <c r="K5080" s="30"/>
      <c r="L5080" s="23"/>
      <c r="M5080" s="20"/>
      <c r="N5080" s="20"/>
      <c r="O5080" s="20"/>
      <c r="P5080" s="20"/>
    </row>
    <row r="5081">
      <c r="A5081" s="10"/>
      <c r="B5081" s="11"/>
      <c r="C5081" s="10"/>
      <c r="D5081" s="13"/>
      <c r="E5081" s="14"/>
      <c r="F5081" s="14"/>
      <c r="G5081" s="14"/>
      <c r="H5081" s="10"/>
      <c r="I5081" s="17"/>
      <c r="J5081" s="10"/>
      <c r="K5081" s="46"/>
      <c r="L5081" s="10"/>
      <c r="M5081" s="20"/>
      <c r="N5081" s="20"/>
      <c r="O5081" s="20"/>
      <c r="P5081" s="20"/>
    </row>
    <row r="5082">
      <c r="A5082" s="23"/>
      <c r="B5082" s="21"/>
      <c r="C5082" s="23"/>
      <c r="D5082" s="24"/>
      <c r="E5082" s="14"/>
      <c r="F5082" s="14"/>
      <c r="G5082" s="14"/>
      <c r="H5082" s="23"/>
      <c r="I5082" s="27"/>
      <c r="J5082" s="23"/>
      <c r="K5082" s="30"/>
      <c r="L5082" s="23"/>
      <c r="M5082" s="20"/>
      <c r="N5082" s="20"/>
      <c r="O5082" s="20"/>
      <c r="P5082" s="20"/>
    </row>
    <row r="5083">
      <c r="A5083" s="10"/>
      <c r="B5083" s="11"/>
      <c r="C5083" s="10"/>
      <c r="D5083" s="13"/>
      <c r="E5083" s="14"/>
      <c r="F5083" s="14"/>
      <c r="G5083" s="14"/>
      <c r="H5083" s="10"/>
      <c r="I5083" s="17"/>
      <c r="J5083" s="10"/>
      <c r="K5083" s="46"/>
      <c r="L5083" s="10"/>
      <c r="M5083" s="20"/>
      <c r="N5083" s="20"/>
      <c r="O5083" s="20"/>
      <c r="P5083" s="20"/>
    </row>
    <row r="5084">
      <c r="A5084" s="23"/>
      <c r="B5084" s="21"/>
      <c r="C5084" s="23"/>
      <c r="D5084" s="24"/>
      <c r="E5084" s="14"/>
      <c r="F5084" s="14"/>
      <c r="G5084" s="14"/>
      <c r="H5084" s="23"/>
      <c r="I5084" s="27"/>
      <c r="J5084" s="23"/>
      <c r="K5084" s="30"/>
      <c r="L5084" s="23"/>
      <c r="M5084" s="20"/>
      <c r="N5084" s="20"/>
      <c r="O5084" s="20"/>
      <c r="P5084" s="20"/>
    </row>
    <row r="5085">
      <c r="A5085" s="10"/>
      <c r="B5085" s="11"/>
      <c r="C5085" s="10"/>
      <c r="D5085" s="13"/>
      <c r="E5085" s="14"/>
      <c r="F5085" s="14"/>
      <c r="G5085" s="14"/>
      <c r="H5085" s="10"/>
      <c r="I5085" s="17"/>
      <c r="J5085" s="10"/>
      <c r="K5085" s="46"/>
      <c r="L5085" s="10"/>
      <c r="M5085" s="20"/>
      <c r="N5085" s="20"/>
      <c r="O5085" s="20"/>
      <c r="P5085" s="20"/>
    </row>
    <row r="5086">
      <c r="A5086" s="23"/>
      <c r="B5086" s="21"/>
      <c r="C5086" s="23"/>
      <c r="D5086" s="24"/>
      <c r="E5086" s="14"/>
      <c r="F5086" s="14"/>
      <c r="G5086" s="14"/>
      <c r="H5086" s="23"/>
      <c r="I5086" s="27"/>
      <c r="J5086" s="23"/>
      <c r="K5086" s="30"/>
      <c r="L5086" s="23"/>
      <c r="M5086" s="20"/>
      <c r="N5086" s="20"/>
      <c r="O5086" s="20"/>
      <c r="P5086" s="20"/>
    </row>
    <row r="5087">
      <c r="A5087" s="10"/>
      <c r="B5087" s="11"/>
      <c r="C5087" s="10"/>
      <c r="D5087" s="13"/>
      <c r="E5087" s="14"/>
      <c r="F5087" s="14"/>
      <c r="G5087" s="14"/>
      <c r="H5087" s="10"/>
      <c r="I5087" s="17"/>
      <c r="J5087" s="10"/>
      <c r="K5087" s="46"/>
      <c r="L5087" s="10"/>
      <c r="M5087" s="20"/>
      <c r="N5087" s="20"/>
      <c r="O5087" s="20"/>
      <c r="P5087" s="20"/>
    </row>
    <row r="5088">
      <c r="A5088" s="23"/>
      <c r="B5088" s="21"/>
      <c r="C5088" s="23"/>
      <c r="D5088" s="24"/>
      <c r="E5088" s="14"/>
      <c r="F5088" s="14"/>
      <c r="G5088" s="14"/>
      <c r="H5088" s="23"/>
      <c r="I5088" s="27"/>
      <c r="J5088" s="23"/>
      <c r="K5088" s="30"/>
      <c r="L5088" s="23"/>
      <c r="M5088" s="20"/>
      <c r="N5088" s="20"/>
      <c r="O5088" s="20"/>
      <c r="P5088" s="20"/>
    </row>
    <row r="5089">
      <c r="A5089" s="10"/>
      <c r="B5089" s="11"/>
      <c r="C5089" s="10"/>
      <c r="D5089" s="13"/>
      <c r="E5089" s="14"/>
      <c r="F5089" s="14"/>
      <c r="G5089" s="14"/>
      <c r="H5089" s="10"/>
      <c r="I5089" s="17"/>
      <c r="J5089" s="10"/>
      <c r="K5089" s="46"/>
      <c r="L5089" s="10"/>
      <c r="M5089" s="20"/>
      <c r="N5089" s="20"/>
      <c r="O5089" s="20"/>
      <c r="P5089" s="20"/>
    </row>
    <row r="5090">
      <c r="A5090" s="23"/>
      <c r="B5090" s="21"/>
      <c r="C5090" s="23"/>
      <c r="D5090" s="24"/>
      <c r="E5090" s="14"/>
      <c r="F5090" s="14"/>
      <c r="G5090" s="14"/>
      <c r="H5090" s="23"/>
      <c r="I5090" s="27"/>
      <c r="J5090" s="23"/>
      <c r="K5090" s="30"/>
      <c r="L5090" s="23"/>
      <c r="M5090" s="20"/>
      <c r="N5090" s="20"/>
      <c r="O5090" s="20"/>
      <c r="P5090" s="20"/>
    </row>
    <row r="5091">
      <c r="A5091" s="10"/>
      <c r="B5091" s="11"/>
      <c r="C5091" s="10"/>
      <c r="D5091" s="13"/>
      <c r="E5091" s="14"/>
      <c r="F5091" s="14"/>
      <c r="G5091" s="14"/>
      <c r="H5091" s="10"/>
      <c r="I5091" s="17"/>
      <c r="J5091" s="10"/>
      <c r="K5091" s="46"/>
      <c r="L5091" s="10"/>
      <c r="M5091" s="20"/>
      <c r="N5091" s="20"/>
      <c r="O5091" s="20"/>
      <c r="P5091" s="20"/>
    </row>
    <row r="5092">
      <c r="A5092" s="23"/>
      <c r="B5092" s="21"/>
      <c r="C5092" s="23"/>
      <c r="D5092" s="24"/>
      <c r="E5092" s="14"/>
      <c r="F5092" s="14"/>
      <c r="G5092" s="14"/>
      <c r="H5092" s="23"/>
      <c r="I5092" s="27"/>
      <c r="J5092" s="23"/>
      <c r="K5092" s="30"/>
      <c r="L5092" s="23"/>
      <c r="M5092" s="20"/>
      <c r="N5092" s="20"/>
      <c r="O5092" s="20"/>
      <c r="P5092" s="20"/>
    </row>
    <row r="5093">
      <c r="A5093" s="10"/>
      <c r="B5093" s="11"/>
      <c r="C5093" s="10"/>
      <c r="D5093" s="13"/>
      <c r="E5093" s="14"/>
      <c r="F5093" s="14"/>
      <c r="G5093" s="14"/>
      <c r="H5093" s="10"/>
      <c r="I5093" s="17"/>
      <c r="J5093" s="10"/>
      <c r="K5093" s="46"/>
      <c r="L5093" s="10"/>
      <c r="M5093" s="20"/>
      <c r="N5093" s="20"/>
      <c r="O5093" s="20"/>
      <c r="P5093" s="20"/>
    </row>
    <row r="5094">
      <c r="A5094" s="23"/>
      <c r="B5094" s="21"/>
      <c r="C5094" s="23"/>
      <c r="D5094" s="24"/>
      <c r="E5094" s="14"/>
      <c r="F5094" s="14"/>
      <c r="G5094" s="14"/>
      <c r="H5094" s="23"/>
      <c r="I5094" s="27"/>
      <c r="J5094" s="23"/>
      <c r="K5094" s="30"/>
      <c r="L5094" s="23"/>
      <c r="M5094" s="20"/>
      <c r="N5094" s="20"/>
      <c r="O5094" s="20"/>
      <c r="P5094" s="20"/>
    </row>
    <row r="5095">
      <c r="A5095" s="10"/>
      <c r="B5095" s="11"/>
      <c r="C5095" s="10"/>
      <c r="D5095" s="13"/>
      <c r="E5095" s="14"/>
      <c r="F5095" s="14"/>
      <c r="G5095" s="14"/>
      <c r="H5095" s="10"/>
      <c r="I5095" s="17"/>
      <c r="J5095" s="10"/>
      <c r="K5095" s="46"/>
      <c r="L5095" s="10"/>
      <c r="M5095" s="20"/>
      <c r="N5095" s="20"/>
      <c r="O5095" s="20"/>
      <c r="P5095" s="20"/>
    </row>
    <row r="5096">
      <c r="A5096" s="23"/>
      <c r="B5096" s="21"/>
      <c r="C5096" s="23"/>
      <c r="D5096" s="24"/>
      <c r="E5096" s="14"/>
      <c r="F5096" s="14"/>
      <c r="G5096" s="14"/>
      <c r="H5096" s="23"/>
      <c r="I5096" s="27"/>
      <c r="J5096" s="23"/>
      <c r="K5096" s="30"/>
      <c r="L5096" s="23"/>
      <c r="M5096" s="20"/>
      <c r="N5096" s="20"/>
      <c r="O5096" s="20"/>
      <c r="P5096" s="20"/>
    </row>
    <row r="5097">
      <c r="A5097" s="10"/>
      <c r="B5097" s="11"/>
      <c r="C5097" s="10"/>
      <c r="D5097" s="13"/>
      <c r="E5097" s="14"/>
      <c r="F5097" s="14"/>
      <c r="G5097" s="14"/>
      <c r="H5097" s="10"/>
      <c r="I5097" s="17"/>
      <c r="J5097" s="10"/>
      <c r="K5097" s="46"/>
      <c r="L5097" s="10"/>
      <c r="M5097" s="20"/>
      <c r="N5097" s="20"/>
      <c r="O5097" s="20"/>
      <c r="P5097" s="20"/>
    </row>
    <row r="5098">
      <c r="A5098" s="23"/>
      <c r="B5098" s="21"/>
      <c r="C5098" s="23"/>
      <c r="D5098" s="24"/>
      <c r="E5098" s="14"/>
      <c r="F5098" s="14"/>
      <c r="G5098" s="14"/>
      <c r="H5098" s="23"/>
      <c r="I5098" s="27"/>
      <c r="J5098" s="23"/>
      <c r="K5098" s="30"/>
      <c r="L5098" s="23"/>
      <c r="M5098" s="20"/>
      <c r="N5098" s="20"/>
      <c r="O5098" s="20"/>
      <c r="P5098" s="20"/>
    </row>
    <row r="5099">
      <c r="A5099" s="10"/>
      <c r="B5099" s="11"/>
      <c r="C5099" s="10"/>
      <c r="D5099" s="13"/>
      <c r="E5099" s="14"/>
      <c r="F5099" s="14"/>
      <c r="G5099" s="14"/>
      <c r="H5099" s="10"/>
      <c r="I5099" s="17"/>
      <c r="J5099" s="10"/>
      <c r="K5099" s="46"/>
      <c r="L5099" s="10"/>
      <c r="M5099" s="20"/>
      <c r="N5099" s="20"/>
      <c r="O5099" s="20"/>
      <c r="P5099" s="20"/>
    </row>
    <row r="5100">
      <c r="A5100" s="23"/>
      <c r="B5100" s="21"/>
      <c r="C5100" s="23"/>
      <c r="D5100" s="24"/>
      <c r="E5100" s="14"/>
      <c r="F5100" s="14"/>
      <c r="G5100" s="14"/>
      <c r="H5100" s="23"/>
      <c r="I5100" s="27"/>
      <c r="J5100" s="23"/>
      <c r="K5100" s="30"/>
      <c r="L5100" s="23"/>
      <c r="M5100" s="20"/>
      <c r="N5100" s="20"/>
      <c r="O5100" s="20"/>
      <c r="P5100" s="20"/>
    </row>
    <row r="5101">
      <c r="A5101" s="10"/>
      <c r="B5101" s="11"/>
      <c r="C5101" s="10"/>
      <c r="D5101" s="13"/>
      <c r="E5101" s="14"/>
      <c r="F5101" s="14"/>
      <c r="G5101" s="14"/>
      <c r="H5101" s="10"/>
      <c r="I5101" s="17"/>
      <c r="J5101" s="10"/>
      <c r="K5101" s="46"/>
      <c r="L5101" s="10"/>
      <c r="M5101" s="20"/>
      <c r="N5101" s="20"/>
      <c r="O5101" s="20"/>
      <c r="P5101" s="20"/>
    </row>
    <row r="5102">
      <c r="A5102" s="23"/>
      <c r="B5102" s="21"/>
      <c r="C5102" s="23"/>
      <c r="D5102" s="24"/>
      <c r="E5102" s="14"/>
      <c r="F5102" s="14"/>
      <c r="G5102" s="14"/>
      <c r="H5102" s="23"/>
      <c r="I5102" s="27"/>
      <c r="J5102" s="23"/>
      <c r="K5102" s="30"/>
      <c r="L5102" s="23"/>
      <c r="M5102" s="20"/>
      <c r="N5102" s="20"/>
      <c r="O5102" s="20"/>
      <c r="P5102" s="20"/>
    </row>
    <row r="5103">
      <c r="A5103" s="10"/>
      <c r="B5103" s="11"/>
      <c r="C5103" s="10"/>
      <c r="D5103" s="13"/>
      <c r="E5103" s="14"/>
      <c r="F5103" s="14"/>
      <c r="G5103" s="14"/>
      <c r="H5103" s="10"/>
      <c r="I5103" s="17"/>
      <c r="J5103" s="10"/>
      <c r="K5103" s="46"/>
      <c r="L5103" s="10"/>
      <c r="M5103" s="20"/>
      <c r="N5103" s="20"/>
      <c r="O5103" s="20"/>
      <c r="P5103" s="20"/>
    </row>
    <row r="5104">
      <c r="A5104" s="23"/>
      <c r="B5104" s="21"/>
      <c r="C5104" s="23"/>
      <c r="D5104" s="24"/>
      <c r="E5104" s="14"/>
      <c r="F5104" s="14"/>
      <c r="G5104" s="14"/>
      <c r="H5104" s="23"/>
      <c r="I5104" s="27"/>
      <c r="J5104" s="23"/>
      <c r="K5104" s="30"/>
      <c r="L5104" s="23"/>
      <c r="M5104" s="20"/>
      <c r="N5104" s="20"/>
      <c r="O5104" s="20"/>
      <c r="P5104" s="20"/>
    </row>
    <row r="5105">
      <c r="A5105" s="10"/>
      <c r="B5105" s="11"/>
      <c r="C5105" s="10"/>
      <c r="D5105" s="13"/>
      <c r="E5105" s="14"/>
      <c r="F5105" s="14"/>
      <c r="G5105" s="14"/>
      <c r="H5105" s="10"/>
      <c r="I5105" s="17"/>
      <c r="J5105" s="10"/>
      <c r="K5105" s="46"/>
      <c r="L5105" s="10"/>
      <c r="M5105" s="20"/>
      <c r="N5105" s="20"/>
      <c r="O5105" s="20"/>
      <c r="P5105" s="20"/>
    </row>
    <row r="5106">
      <c r="A5106" s="23"/>
      <c r="B5106" s="21"/>
      <c r="C5106" s="23"/>
      <c r="D5106" s="24"/>
      <c r="E5106" s="14"/>
      <c r="F5106" s="14"/>
      <c r="G5106" s="14"/>
      <c r="H5106" s="23"/>
      <c r="I5106" s="27"/>
      <c r="J5106" s="23"/>
      <c r="K5106" s="30"/>
      <c r="L5106" s="23"/>
      <c r="M5106" s="20"/>
      <c r="N5106" s="20"/>
      <c r="O5106" s="20"/>
      <c r="P5106" s="20"/>
    </row>
    <row r="5107">
      <c r="A5107" s="10"/>
      <c r="B5107" s="11"/>
      <c r="C5107" s="10"/>
      <c r="D5107" s="13"/>
      <c r="E5107" s="14"/>
      <c r="F5107" s="14"/>
      <c r="G5107" s="14"/>
      <c r="H5107" s="10"/>
      <c r="I5107" s="17"/>
      <c r="J5107" s="10"/>
      <c r="K5107" s="46"/>
      <c r="L5107" s="10"/>
      <c r="M5107" s="20"/>
      <c r="N5107" s="20"/>
      <c r="O5107" s="20"/>
      <c r="P5107" s="20"/>
    </row>
    <row r="5108">
      <c r="A5108" s="23"/>
      <c r="B5108" s="21"/>
      <c r="C5108" s="23"/>
      <c r="D5108" s="24"/>
      <c r="E5108" s="14"/>
      <c r="F5108" s="14"/>
      <c r="G5108" s="14"/>
      <c r="H5108" s="23"/>
      <c r="I5108" s="27"/>
      <c r="J5108" s="23"/>
      <c r="K5108" s="30"/>
      <c r="L5108" s="23"/>
      <c r="M5108" s="20"/>
      <c r="N5108" s="20"/>
      <c r="O5108" s="20"/>
      <c r="P5108" s="20"/>
    </row>
    <row r="5109">
      <c r="A5109" s="10"/>
      <c r="B5109" s="11"/>
      <c r="C5109" s="10"/>
      <c r="D5109" s="13"/>
      <c r="E5109" s="14"/>
      <c r="F5109" s="14"/>
      <c r="G5109" s="14"/>
      <c r="H5109" s="10"/>
      <c r="I5109" s="17"/>
      <c r="J5109" s="10"/>
      <c r="K5109" s="46"/>
      <c r="L5109" s="10"/>
      <c r="M5109" s="20"/>
      <c r="N5109" s="20"/>
      <c r="O5109" s="20"/>
      <c r="P5109" s="20"/>
    </row>
    <row r="5110">
      <c r="A5110" s="23"/>
      <c r="B5110" s="21"/>
      <c r="C5110" s="23"/>
      <c r="D5110" s="24"/>
      <c r="E5110" s="14"/>
      <c r="F5110" s="14"/>
      <c r="G5110" s="14"/>
      <c r="H5110" s="23"/>
      <c r="I5110" s="27"/>
      <c r="J5110" s="23"/>
      <c r="K5110" s="30"/>
      <c r="L5110" s="23"/>
      <c r="M5110" s="20"/>
      <c r="N5110" s="20"/>
      <c r="O5110" s="20"/>
      <c r="P5110" s="20"/>
    </row>
    <row r="5111">
      <c r="A5111" s="10"/>
      <c r="B5111" s="11"/>
      <c r="C5111" s="10"/>
      <c r="D5111" s="13"/>
      <c r="E5111" s="14"/>
      <c r="F5111" s="14"/>
      <c r="G5111" s="14"/>
      <c r="H5111" s="10"/>
      <c r="I5111" s="17"/>
      <c r="J5111" s="10"/>
      <c r="K5111" s="46"/>
      <c r="L5111" s="10"/>
      <c r="M5111" s="20"/>
      <c r="N5111" s="20"/>
      <c r="O5111" s="20"/>
      <c r="P5111" s="20"/>
    </row>
    <row r="5112">
      <c r="A5112" s="23"/>
      <c r="B5112" s="21"/>
      <c r="C5112" s="23"/>
      <c r="D5112" s="24"/>
      <c r="E5112" s="14"/>
      <c r="F5112" s="14"/>
      <c r="G5112" s="14"/>
      <c r="H5112" s="23"/>
      <c r="I5112" s="27"/>
      <c r="J5112" s="23"/>
      <c r="K5112" s="30"/>
      <c r="L5112" s="23"/>
      <c r="M5112" s="20"/>
      <c r="N5112" s="20"/>
      <c r="O5112" s="20"/>
      <c r="P5112" s="20"/>
    </row>
    <row r="5113">
      <c r="A5113" s="10"/>
      <c r="B5113" s="11"/>
      <c r="C5113" s="10"/>
      <c r="D5113" s="13"/>
      <c r="E5113" s="14"/>
      <c r="F5113" s="14"/>
      <c r="G5113" s="14"/>
      <c r="H5113" s="10"/>
      <c r="I5113" s="17"/>
      <c r="J5113" s="10"/>
      <c r="K5113" s="46"/>
      <c r="L5113" s="10"/>
      <c r="M5113" s="20"/>
      <c r="N5113" s="20"/>
      <c r="O5113" s="20"/>
      <c r="P5113" s="20"/>
    </row>
    <row r="5114">
      <c r="A5114" s="23"/>
      <c r="B5114" s="21"/>
      <c r="C5114" s="23"/>
      <c r="D5114" s="24"/>
      <c r="E5114" s="14"/>
      <c r="F5114" s="14"/>
      <c r="G5114" s="14"/>
      <c r="H5114" s="23"/>
      <c r="I5114" s="27"/>
      <c r="J5114" s="23"/>
      <c r="K5114" s="30"/>
      <c r="L5114" s="23"/>
      <c r="M5114" s="20"/>
      <c r="N5114" s="20"/>
      <c r="O5114" s="20"/>
      <c r="P5114" s="20"/>
    </row>
    <row r="5115">
      <c r="A5115" s="10"/>
      <c r="B5115" s="11"/>
      <c r="C5115" s="10"/>
      <c r="D5115" s="13"/>
      <c r="E5115" s="14"/>
      <c r="F5115" s="14"/>
      <c r="G5115" s="14"/>
      <c r="H5115" s="10"/>
      <c r="I5115" s="17"/>
      <c r="J5115" s="10"/>
      <c r="K5115" s="46"/>
      <c r="L5115" s="10"/>
      <c r="M5115" s="20"/>
      <c r="N5115" s="20"/>
      <c r="O5115" s="20"/>
      <c r="P5115" s="20"/>
    </row>
    <row r="5116">
      <c r="A5116" s="23"/>
      <c r="B5116" s="21"/>
      <c r="C5116" s="23"/>
      <c r="D5116" s="24"/>
      <c r="E5116" s="14"/>
      <c r="F5116" s="14"/>
      <c r="G5116" s="14"/>
      <c r="H5116" s="23"/>
      <c r="I5116" s="27"/>
      <c r="J5116" s="23"/>
      <c r="K5116" s="30"/>
      <c r="L5116" s="23"/>
      <c r="M5116" s="20"/>
      <c r="N5116" s="20"/>
      <c r="O5116" s="20"/>
      <c r="P5116" s="20"/>
    </row>
    <row r="5117">
      <c r="A5117" s="10"/>
      <c r="B5117" s="11"/>
      <c r="C5117" s="10"/>
      <c r="D5117" s="13"/>
      <c r="E5117" s="14"/>
      <c r="F5117" s="14"/>
      <c r="G5117" s="14"/>
      <c r="H5117" s="10"/>
      <c r="I5117" s="17"/>
      <c r="J5117" s="10"/>
      <c r="K5117" s="46"/>
      <c r="L5117" s="10"/>
      <c r="M5117" s="20"/>
      <c r="N5117" s="20"/>
      <c r="O5117" s="20"/>
      <c r="P5117" s="20"/>
    </row>
    <row r="5118">
      <c r="A5118" s="23"/>
      <c r="B5118" s="21"/>
      <c r="C5118" s="23"/>
      <c r="D5118" s="24"/>
      <c r="E5118" s="14"/>
      <c r="F5118" s="14"/>
      <c r="G5118" s="14"/>
      <c r="H5118" s="23"/>
      <c r="I5118" s="27"/>
      <c r="J5118" s="23"/>
      <c r="K5118" s="30"/>
      <c r="L5118" s="23"/>
      <c r="M5118" s="20"/>
      <c r="N5118" s="20"/>
      <c r="O5118" s="20"/>
      <c r="P5118" s="20"/>
    </row>
    <row r="5119">
      <c r="A5119" s="10"/>
      <c r="B5119" s="11"/>
      <c r="C5119" s="10"/>
      <c r="D5119" s="13"/>
      <c r="E5119" s="14"/>
      <c r="F5119" s="14"/>
      <c r="G5119" s="14"/>
      <c r="H5119" s="10"/>
      <c r="I5119" s="17"/>
      <c r="J5119" s="10"/>
      <c r="K5119" s="46"/>
      <c r="L5119" s="10"/>
      <c r="M5119" s="20"/>
      <c r="N5119" s="20"/>
      <c r="O5119" s="20"/>
      <c r="P5119" s="20"/>
    </row>
    <row r="5120">
      <c r="A5120" s="23"/>
      <c r="B5120" s="21"/>
      <c r="C5120" s="23"/>
      <c r="D5120" s="24"/>
      <c r="E5120" s="14"/>
      <c r="F5120" s="14"/>
      <c r="G5120" s="14"/>
      <c r="H5120" s="23"/>
      <c r="I5120" s="27"/>
      <c r="J5120" s="23"/>
      <c r="K5120" s="30"/>
      <c r="L5120" s="23"/>
      <c r="M5120" s="20"/>
      <c r="N5120" s="20"/>
      <c r="O5120" s="20"/>
      <c r="P5120" s="20"/>
    </row>
    <row r="5121">
      <c r="A5121" s="10"/>
      <c r="B5121" s="11"/>
      <c r="C5121" s="10"/>
      <c r="D5121" s="13"/>
      <c r="E5121" s="14"/>
      <c r="F5121" s="14"/>
      <c r="G5121" s="14"/>
      <c r="H5121" s="10"/>
      <c r="I5121" s="17"/>
      <c r="J5121" s="10"/>
      <c r="K5121" s="46"/>
      <c r="L5121" s="10"/>
      <c r="M5121" s="20"/>
      <c r="N5121" s="20"/>
      <c r="O5121" s="20"/>
      <c r="P5121" s="20"/>
    </row>
    <row r="5122">
      <c r="A5122" s="23"/>
      <c r="B5122" s="21"/>
      <c r="C5122" s="23"/>
      <c r="D5122" s="24"/>
      <c r="E5122" s="14"/>
      <c r="F5122" s="14"/>
      <c r="G5122" s="14"/>
      <c r="H5122" s="23"/>
      <c r="I5122" s="27"/>
      <c r="J5122" s="23"/>
      <c r="K5122" s="30"/>
      <c r="L5122" s="23"/>
      <c r="M5122" s="20"/>
      <c r="N5122" s="20"/>
      <c r="O5122" s="20"/>
      <c r="P5122" s="20"/>
    </row>
    <row r="5123">
      <c r="A5123" s="10"/>
      <c r="B5123" s="11"/>
      <c r="C5123" s="10"/>
      <c r="D5123" s="13"/>
      <c r="E5123" s="14"/>
      <c r="F5123" s="14"/>
      <c r="G5123" s="14"/>
      <c r="H5123" s="10"/>
      <c r="I5123" s="17"/>
      <c r="J5123" s="10"/>
      <c r="K5123" s="46"/>
      <c r="L5123" s="10"/>
      <c r="M5123" s="20"/>
      <c r="N5123" s="20"/>
      <c r="O5123" s="20"/>
      <c r="P5123" s="20"/>
    </row>
    <row r="5124">
      <c r="A5124" s="23"/>
      <c r="B5124" s="21"/>
      <c r="C5124" s="23"/>
      <c r="D5124" s="24"/>
      <c r="E5124" s="14"/>
      <c r="F5124" s="14"/>
      <c r="G5124" s="14"/>
      <c r="H5124" s="23"/>
      <c r="I5124" s="27"/>
      <c r="J5124" s="23"/>
      <c r="K5124" s="30"/>
      <c r="L5124" s="23"/>
      <c r="M5124" s="20"/>
      <c r="N5124" s="20"/>
      <c r="O5124" s="20"/>
      <c r="P5124" s="20"/>
    </row>
    <row r="5125">
      <c r="A5125" s="10"/>
      <c r="B5125" s="11"/>
      <c r="C5125" s="10"/>
      <c r="D5125" s="13"/>
      <c r="E5125" s="14"/>
      <c r="F5125" s="14"/>
      <c r="G5125" s="14"/>
      <c r="H5125" s="10"/>
      <c r="I5125" s="17"/>
      <c r="J5125" s="10"/>
      <c r="K5125" s="46"/>
      <c r="L5125" s="10"/>
      <c r="M5125" s="20"/>
      <c r="N5125" s="20"/>
      <c r="O5125" s="20"/>
      <c r="P5125" s="20"/>
    </row>
    <row r="5126">
      <c r="A5126" s="23"/>
      <c r="B5126" s="21"/>
      <c r="C5126" s="23"/>
      <c r="D5126" s="24"/>
      <c r="E5126" s="14"/>
      <c r="F5126" s="14"/>
      <c r="G5126" s="14"/>
      <c r="H5126" s="23"/>
      <c r="I5126" s="27"/>
      <c r="J5126" s="23"/>
      <c r="K5126" s="30"/>
      <c r="L5126" s="23"/>
      <c r="M5126" s="20"/>
      <c r="N5126" s="20"/>
      <c r="O5126" s="20"/>
      <c r="P5126" s="20"/>
    </row>
    <row r="5127">
      <c r="A5127" s="10"/>
      <c r="B5127" s="11"/>
      <c r="C5127" s="10"/>
      <c r="D5127" s="13"/>
      <c r="E5127" s="14"/>
      <c r="F5127" s="14"/>
      <c r="G5127" s="14"/>
      <c r="H5127" s="10"/>
      <c r="I5127" s="17"/>
      <c r="J5127" s="10"/>
      <c r="K5127" s="46"/>
      <c r="L5127" s="10"/>
      <c r="M5127" s="20"/>
      <c r="N5127" s="20"/>
      <c r="O5127" s="20"/>
      <c r="P5127" s="20"/>
    </row>
    <row r="5128">
      <c r="A5128" s="23"/>
      <c r="B5128" s="21"/>
      <c r="C5128" s="23"/>
      <c r="D5128" s="24"/>
      <c r="E5128" s="14"/>
      <c r="F5128" s="14"/>
      <c r="G5128" s="14"/>
      <c r="H5128" s="23"/>
      <c r="I5128" s="27"/>
      <c r="J5128" s="23"/>
      <c r="K5128" s="30"/>
      <c r="L5128" s="23"/>
      <c r="M5128" s="20"/>
      <c r="N5128" s="20"/>
      <c r="O5128" s="20"/>
      <c r="P5128" s="20"/>
    </row>
    <row r="5129">
      <c r="A5129" s="10"/>
      <c r="B5129" s="11"/>
      <c r="C5129" s="10"/>
      <c r="D5129" s="13"/>
      <c r="E5129" s="14"/>
      <c r="F5129" s="14"/>
      <c r="G5129" s="14"/>
      <c r="H5129" s="10"/>
      <c r="I5129" s="17"/>
      <c r="J5129" s="10"/>
      <c r="K5129" s="46"/>
      <c r="L5129" s="10"/>
      <c r="M5129" s="20"/>
      <c r="N5129" s="20"/>
      <c r="O5129" s="20"/>
      <c r="P5129" s="20"/>
    </row>
    <row r="5130">
      <c r="A5130" s="23"/>
      <c r="B5130" s="21"/>
      <c r="C5130" s="23"/>
      <c r="D5130" s="24"/>
      <c r="E5130" s="14"/>
      <c r="F5130" s="14"/>
      <c r="G5130" s="14"/>
      <c r="H5130" s="23"/>
      <c r="I5130" s="27"/>
      <c r="J5130" s="23"/>
      <c r="K5130" s="30"/>
      <c r="L5130" s="23"/>
      <c r="M5130" s="20"/>
      <c r="N5130" s="20"/>
      <c r="O5130" s="20"/>
      <c r="P5130" s="20"/>
    </row>
    <row r="5131">
      <c r="A5131" s="10"/>
      <c r="B5131" s="11"/>
      <c r="C5131" s="10"/>
      <c r="D5131" s="13"/>
      <c r="E5131" s="14"/>
      <c r="F5131" s="14"/>
      <c r="G5131" s="14"/>
      <c r="H5131" s="10"/>
      <c r="I5131" s="17"/>
      <c r="J5131" s="10"/>
      <c r="K5131" s="46"/>
      <c r="L5131" s="10"/>
      <c r="M5131" s="20"/>
      <c r="N5131" s="20"/>
      <c r="O5131" s="20"/>
      <c r="P5131" s="20"/>
    </row>
    <row r="5132">
      <c r="A5132" s="23"/>
      <c r="B5132" s="21"/>
      <c r="C5132" s="23"/>
      <c r="D5132" s="24"/>
      <c r="E5132" s="14"/>
      <c r="F5132" s="14"/>
      <c r="G5132" s="14"/>
      <c r="H5132" s="23"/>
      <c r="I5132" s="27"/>
      <c r="J5132" s="23"/>
      <c r="K5132" s="30"/>
      <c r="L5132" s="23"/>
      <c r="M5132" s="20"/>
      <c r="N5132" s="20"/>
      <c r="O5132" s="20"/>
      <c r="P5132" s="20"/>
    </row>
    <row r="5133">
      <c r="A5133" s="10"/>
      <c r="B5133" s="11"/>
      <c r="C5133" s="10"/>
      <c r="D5133" s="13"/>
      <c r="E5133" s="14"/>
      <c r="F5133" s="14"/>
      <c r="G5133" s="14"/>
      <c r="H5133" s="10"/>
      <c r="I5133" s="17"/>
      <c r="J5133" s="10"/>
      <c r="K5133" s="46"/>
      <c r="L5133" s="10"/>
      <c r="M5133" s="20"/>
      <c r="N5133" s="20"/>
      <c r="O5133" s="20"/>
      <c r="P5133" s="20"/>
    </row>
    <row r="5134">
      <c r="A5134" s="23"/>
      <c r="B5134" s="21"/>
      <c r="C5134" s="23"/>
      <c r="D5134" s="24"/>
      <c r="E5134" s="14"/>
      <c r="F5134" s="14"/>
      <c r="G5134" s="14"/>
      <c r="H5134" s="23"/>
      <c r="I5134" s="27"/>
      <c r="J5134" s="23"/>
      <c r="K5134" s="30"/>
      <c r="L5134" s="23"/>
      <c r="M5134" s="20"/>
      <c r="N5134" s="20"/>
      <c r="O5134" s="20"/>
      <c r="P5134" s="20"/>
    </row>
    <row r="5135">
      <c r="A5135" s="10"/>
      <c r="B5135" s="11"/>
      <c r="C5135" s="10"/>
      <c r="D5135" s="13"/>
      <c r="E5135" s="14"/>
      <c r="F5135" s="14"/>
      <c r="G5135" s="14"/>
      <c r="H5135" s="10"/>
      <c r="I5135" s="17"/>
      <c r="J5135" s="10"/>
      <c r="K5135" s="46"/>
      <c r="L5135" s="10"/>
      <c r="M5135" s="20"/>
      <c r="N5135" s="20"/>
      <c r="O5135" s="20"/>
      <c r="P5135" s="20"/>
    </row>
    <row r="5136">
      <c r="A5136" s="23"/>
      <c r="B5136" s="21"/>
      <c r="C5136" s="23"/>
      <c r="D5136" s="24"/>
      <c r="E5136" s="14"/>
      <c r="F5136" s="14"/>
      <c r="G5136" s="14"/>
      <c r="H5136" s="23"/>
      <c r="I5136" s="27"/>
      <c r="J5136" s="23"/>
      <c r="K5136" s="30"/>
      <c r="L5136" s="23"/>
      <c r="M5136" s="20"/>
      <c r="N5136" s="20"/>
      <c r="O5136" s="20"/>
      <c r="P5136" s="20"/>
    </row>
    <row r="5137">
      <c r="A5137" s="10"/>
      <c r="B5137" s="11"/>
      <c r="C5137" s="10"/>
      <c r="D5137" s="13"/>
      <c r="E5137" s="14"/>
      <c r="F5137" s="14"/>
      <c r="G5137" s="14"/>
      <c r="H5137" s="10"/>
      <c r="I5137" s="17"/>
      <c r="J5137" s="10"/>
      <c r="K5137" s="46"/>
      <c r="L5137" s="10"/>
      <c r="M5137" s="20"/>
      <c r="N5137" s="20"/>
      <c r="O5137" s="20"/>
      <c r="P5137" s="20"/>
    </row>
    <row r="5138">
      <c r="A5138" s="23"/>
      <c r="B5138" s="21"/>
      <c r="C5138" s="23"/>
      <c r="D5138" s="24"/>
      <c r="E5138" s="14"/>
      <c r="F5138" s="14"/>
      <c r="G5138" s="14"/>
      <c r="H5138" s="23"/>
      <c r="I5138" s="27"/>
      <c r="J5138" s="23"/>
      <c r="K5138" s="30"/>
      <c r="L5138" s="23"/>
      <c r="M5138" s="20"/>
      <c r="N5138" s="20"/>
      <c r="O5138" s="20"/>
      <c r="P5138" s="20"/>
    </row>
    <row r="5139">
      <c r="A5139" s="10"/>
      <c r="B5139" s="11"/>
      <c r="C5139" s="10"/>
      <c r="D5139" s="13"/>
      <c r="E5139" s="14"/>
      <c r="F5139" s="14"/>
      <c r="G5139" s="14"/>
      <c r="H5139" s="10"/>
      <c r="I5139" s="17"/>
      <c r="J5139" s="10"/>
      <c r="K5139" s="46"/>
      <c r="L5139" s="10"/>
      <c r="M5139" s="20"/>
      <c r="N5139" s="20"/>
      <c r="O5139" s="20"/>
      <c r="P5139" s="20"/>
    </row>
    <row r="5140">
      <c r="A5140" s="23"/>
      <c r="B5140" s="21"/>
      <c r="C5140" s="23"/>
      <c r="D5140" s="24"/>
      <c r="E5140" s="14"/>
      <c r="F5140" s="14"/>
      <c r="G5140" s="14"/>
      <c r="H5140" s="23"/>
      <c r="I5140" s="27"/>
      <c r="J5140" s="23"/>
      <c r="K5140" s="30"/>
      <c r="L5140" s="23"/>
      <c r="M5140" s="20"/>
      <c r="N5140" s="20"/>
      <c r="O5140" s="20"/>
      <c r="P5140" s="20"/>
    </row>
    <row r="5141">
      <c r="A5141" s="10"/>
      <c r="B5141" s="11"/>
      <c r="C5141" s="10"/>
      <c r="D5141" s="13"/>
      <c r="E5141" s="14"/>
      <c r="F5141" s="14"/>
      <c r="G5141" s="14"/>
      <c r="H5141" s="10"/>
      <c r="I5141" s="17"/>
      <c r="J5141" s="10"/>
      <c r="K5141" s="46"/>
      <c r="L5141" s="10"/>
      <c r="M5141" s="20"/>
      <c r="N5141" s="20"/>
      <c r="O5141" s="20"/>
      <c r="P5141" s="20"/>
    </row>
    <row r="5142">
      <c r="A5142" s="23"/>
      <c r="B5142" s="21"/>
      <c r="C5142" s="23"/>
      <c r="D5142" s="24"/>
      <c r="E5142" s="14"/>
      <c r="F5142" s="14"/>
      <c r="G5142" s="14"/>
      <c r="H5142" s="23"/>
      <c r="I5142" s="27"/>
      <c r="J5142" s="23"/>
      <c r="K5142" s="30"/>
      <c r="L5142" s="23"/>
      <c r="M5142" s="20"/>
      <c r="N5142" s="20"/>
      <c r="O5142" s="20"/>
      <c r="P5142" s="20"/>
    </row>
    <row r="5143">
      <c r="A5143" s="10"/>
      <c r="B5143" s="11"/>
      <c r="C5143" s="10"/>
      <c r="D5143" s="13"/>
      <c r="E5143" s="14"/>
      <c r="F5143" s="14"/>
      <c r="G5143" s="14"/>
      <c r="H5143" s="10"/>
      <c r="I5143" s="17"/>
      <c r="J5143" s="10"/>
      <c r="K5143" s="46"/>
      <c r="L5143" s="10"/>
      <c r="M5143" s="20"/>
      <c r="N5143" s="20"/>
      <c r="O5143" s="20"/>
      <c r="P5143" s="20"/>
    </row>
    <row r="5144">
      <c r="A5144" s="23"/>
      <c r="B5144" s="21"/>
      <c r="C5144" s="23"/>
      <c r="D5144" s="24"/>
      <c r="E5144" s="14"/>
      <c r="F5144" s="14"/>
      <c r="G5144" s="14"/>
      <c r="H5144" s="23"/>
      <c r="I5144" s="27"/>
      <c r="J5144" s="23"/>
      <c r="K5144" s="30"/>
      <c r="L5144" s="23"/>
      <c r="M5144" s="20"/>
      <c r="N5144" s="20"/>
      <c r="O5144" s="20"/>
      <c r="P5144" s="20"/>
    </row>
    <row r="5145">
      <c r="A5145" s="10"/>
      <c r="B5145" s="11"/>
      <c r="C5145" s="10"/>
      <c r="D5145" s="13"/>
      <c r="E5145" s="14"/>
      <c r="F5145" s="14"/>
      <c r="G5145" s="14"/>
      <c r="H5145" s="10"/>
      <c r="I5145" s="17"/>
      <c r="J5145" s="10"/>
      <c r="K5145" s="46"/>
      <c r="L5145" s="10"/>
      <c r="M5145" s="20"/>
      <c r="N5145" s="20"/>
      <c r="O5145" s="20"/>
      <c r="P5145" s="20"/>
    </row>
    <row r="5146">
      <c r="A5146" s="23"/>
      <c r="B5146" s="21"/>
      <c r="C5146" s="23"/>
      <c r="D5146" s="24"/>
      <c r="E5146" s="14"/>
      <c r="F5146" s="14"/>
      <c r="G5146" s="14"/>
      <c r="H5146" s="23"/>
      <c r="I5146" s="27"/>
      <c r="J5146" s="23"/>
      <c r="K5146" s="30"/>
      <c r="L5146" s="23"/>
      <c r="M5146" s="20"/>
      <c r="N5146" s="20"/>
      <c r="O5146" s="20"/>
      <c r="P5146" s="20"/>
    </row>
    <row r="5147">
      <c r="A5147" s="10"/>
      <c r="B5147" s="11"/>
      <c r="C5147" s="10"/>
      <c r="D5147" s="13"/>
      <c r="E5147" s="14"/>
      <c r="F5147" s="14"/>
      <c r="G5147" s="14"/>
      <c r="H5147" s="10"/>
      <c r="I5147" s="17"/>
      <c r="J5147" s="10"/>
      <c r="K5147" s="46"/>
      <c r="L5147" s="10"/>
      <c r="M5147" s="20"/>
      <c r="N5147" s="20"/>
      <c r="O5147" s="20"/>
      <c r="P5147" s="20"/>
    </row>
    <row r="5148">
      <c r="A5148" s="23"/>
      <c r="B5148" s="21"/>
      <c r="C5148" s="23"/>
      <c r="D5148" s="24"/>
      <c r="E5148" s="14"/>
      <c r="F5148" s="14"/>
      <c r="G5148" s="14"/>
      <c r="H5148" s="23"/>
      <c r="I5148" s="27"/>
      <c r="J5148" s="23"/>
      <c r="K5148" s="30"/>
      <c r="L5148" s="23"/>
      <c r="M5148" s="20"/>
      <c r="N5148" s="20"/>
      <c r="O5148" s="20"/>
      <c r="P5148" s="20"/>
    </row>
    <row r="5149">
      <c r="A5149" s="10"/>
      <c r="B5149" s="11"/>
      <c r="C5149" s="10"/>
      <c r="D5149" s="13"/>
      <c r="E5149" s="14"/>
      <c r="F5149" s="14"/>
      <c r="G5149" s="14"/>
      <c r="H5149" s="10"/>
      <c r="I5149" s="17"/>
      <c r="J5149" s="10"/>
      <c r="K5149" s="46"/>
      <c r="L5149" s="10"/>
      <c r="M5149" s="20"/>
      <c r="N5149" s="20"/>
      <c r="O5149" s="20"/>
      <c r="P5149" s="20"/>
    </row>
    <row r="5150">
      <c r="A5150" s="23"/>
      <c r="B5150" s="21"/>
      <c r="C5150" s="23"/>
      <c r="D5150" s="24"/>
      <c r="E5150" s="14"/>
      <c r="F5150" s="14"/>
      <c r="G5150" s="14"/>
      <c r="H5150" s="23"/>
      <c r="I5150" s="27"/>
      <c r="J5150" s="23"/>
      <c r="K5150" s="30"/>
      <c r="L5150" s="23"/>
      <c r="M5150" s="20"/>
      <c r="N5150" s="20"/>
      <c r="O5150" s="20"/>
      <c r="P5150" s="20"/>
    </row>
    <row r="5151">
      <c r="A5151" s="10"/>
      <c r="B5151" s="11"/>
      <c r="C5151" s="10"/>
      <c r="D5151" s="13"/>
      <c r="E5151" s="14"/>
      <c r="F5151" s="14"/>
      <c r="G5151" s="14"/>
      <c r="H5151" s="10"/>
      <c r="I5151" s="17"/>
      <c r="J5151" s="10"/>
      <c r="K5151" s="46"/>
      <c r="L5151" s="10"/>
      <c r="M5151" s="20"/>
      <c r="N5151" s="20"/>
      <c r="O5151" s="20"/>
      <c r="P5151" s="20"/>
    </row>
    <row r="5152">
      <c r="A5152" s="23"/>
      <c r="B5152" s="21"/>
      <c r="C5152" s="23"/>
      <c r="D5152" s="24"/>
      <c r="E5152" s="14"/>
      <c r="F5152" s="14"/>
      <c r="G5152" s="14"/>
      <c r="H5152" s="23"/>
      <c r="I5152" s="27"/>
      <c r="J5152" s="23"/>
      <c r="K5152" s="30"/>
      <c r="L5152" s="23"/>
      <c r="M5152" s="20"/>
      <c r="N5152" s="20"/>
      <c r="O5152" s="20"/>
      <c r="P5152" s="20"/>
    </row>
    <row r="5153">
      <c r="A5153" s="10"/>
      <c r="B5153" s="11"/>
      <c r="C5153" s="10"/>
      <c r="D5153" s="13"/>
      <c r="E5153" s="14"/>
      <c r="F5153" s="14"/>
      <c r="G5153" s="14"/>
      <c r="H5153" s="10"/>
      <c r="I5153" s="17"/>
      <c r="J5153" s="10"/>
      <c r="K5153" s="46"/>
      <c r="L5153" s="10"/>
      <c r="M5153" s="20"/>
      <c r="N5153" s="20"/>
      <c r="O5153" s="20"/>
      <c r="P5153" s="20"/>
    </row>
    <row r="5154">
      <c r="A5154" s="23"/>
      <c r="B5154" s="21"/>
      <c r="C5154" s="23"/>
      <c r="D5154" s="24"/>
      <c r="E5154" s="14"/>
      <c r="F5154" s="14"/>
      <c r="G5154" s="14"/>
      <c r="H5154" s="23"/>
      <c r="I5154" s="27"/>
      <c r="J5154" s="23"/>
      <c r="K5154" s="30"/>
      <c r="L5154" s="23"/>
      <c r="M5154" s="20"/>
      <c r="N5154" s="20"/>
      <c r="O5154" s="20"/>
      <c r="P5154" s="20"/>
    </row>
    <row r="5155">
      <c r="A5155" s="10"/>
      <c r="B5155" s="11"/>
      <c r="C5155" s="10"/>
      <c r="D5155" s="13"/>
      <c r="E5155" s="14"/>
      <c r="F5155" s="14"/>
      <c r="G5155" s="14"/>
      <c r="H5155" s="10"/>
      <c r="I5155" s="17"/>
      <c r="J5155" s="10"/>
      <c r="K5155" s="46"/>
      <c r="L5155" s="10"/>
      <c r="M5155" s="20"/>
      <c r="N5155" s="20"/>
      <c r="O5155" s="20"/>
      <c r="P5155" s="20"/>
    </row>
    <row r="5156">
      <c r="A5156" s="23"/>
      <c r="B5156" s="21"/>
      <c r="C5156" s="23"/>
      <c r="D5156" s="24"/>
      <c r="E5156" s="14"/>
      <c r="F5156" s="14"/>
      <c r="G5156" s="14"/>
      <c r="H5156" s="23"/>
      <c r="I5156" s="27"/>
      <c r="J5156" s="23"/>
      <c r="K5156" s="30"/>
      <c r="L5156" s="23"/>
      <c r="M5156" s="20"/>
      <c r="N5156" s="20"/>
      <c r="O5156" s="20"/>
      <c r="P5156" s="20"/>
    </row>
    <row r="5157">
      <c r="A5157" s="10"/>
      <c r="B5157" s="11"/>
      <c r="C5157" s="10"/>
      <c r="D5157" s="13"/>
      <c r="E5157" s="14"/>
      <c r="F5157" s="14"/>
      <c r="G5157" s="14"/>
      <c r="H5157" s="10"/>
      <c r="I5157" s="17"/>
      <c r="J5157" s="10"/>
      <c r="K5157" s="46"/>
      <c r="L5157" s="10"/>
      <c r="M5157" s="20"/>
      <c r="N5157" s="20"/>
      <c r="O5157" s="20"/>
      <c r="P5157" s="20"/>
    </row>
    <row r="5158">
      <c r="A5158" s="23"/>
      <c r="B5158" s="21"/>
      <c r="C5158" s="23"/>
      <c r="D5158" s="24"/>
      <c r="E5158" s="14"/>
      <c r="F5158" s="14"/>
      <c r="G5158" s="14"/>
      <c r="H5158" s="23"/>
      <c r="I5158" s="27"/>
      <c r="J5158" s="23"/>
      <c r="K5158" s="30"/>
      <c r="L5158" s="23"/>
      <c r="M5158" s="20"/>
      <c r="N5158" s="20"/>
      <c r="O5158" s="20"/>
      <c r="P5158" s="20"/>
    </row>
    <row r="5159">
      <c r="A5159" s="10"/>
      <c r="B5159" s="11"/>
      <c r="C5159" s="10"/>
      <c r="D5159" s="13"/>
      <c r="E5159" s="14"/>
      <c r="F5159" s="14"/>
      <c r="G5159" s="14"/>
      <c r="H5159" s="10"/>
      <c r="I5159" s="17"/>
      <c r="J5159" s="10"/>
      <c r="K5159" s="46"/>
      <c r="L5159" s="10"/>
      <c r="M5159" s="20"/>
      <c r="N5159" s="20"/>
      <c r="O5159" s="20"/>
      <c r="P5159" s="20"/>
    </row>
    <row r="5160">
      <c r="A5160" s="23"/>
      <c r="B5160" s="21"/>
      <c r="C5160" s="23"/>
      <c r="D5160" s="24"/>
      <c r="E5160" s="14"/>
      <c r="F5160" s="14"/>
      <c r="G5160" s="14"/>
      <c r="H5160" s="23"/>
      <c r="I5160" s="27"/>
      <c r="J5160" s="23"/>
      <c r="K5160" s="30"/>
      <c r="L5160" s="23"/>
      <c r="M5160" s="20"/>
      <c r="N5160" s="20"/>
      <c r="O5160" s="20"/>
      <c r="P5160" s="20"/>
    </row>
    <row r="5161">
      <c r="A5161" s="10"/>
      <c r="B5161" s="11"/>
      <c r="C5161" s="10"/>
      <c r="D5161" s="13"/>
      <c r="E5161" s="14"/>
      <c r="F5161" s="14"/>
      <c r="G5161" s="14"/>
      <c r="H5161" s="10"/>
      <c r="I5161" s="17"/>
      <c r="J5161" s="10"/>
      <c r="K5161" s="46"/>
      <c r="L5161" s="10"/>
      <c r="M5161" s="20"/>
      <c r="N5161" s="20"/>
      <c r="O5161" s="20"/>
      <c r="P5161" s="20"/>
    </row>
    <row r="5162">
      <c r="A5162" s="23"/>
      <c r="B5162" s="21"/>
      <c r="C5162" s="23"/>
      <c r="D5162" s="24"/>
      <c r="E5162" s="14"/>
      <c r="F5162" s="14"/>
      <c r="G5162" s="14"/>
      <c r="H5162" s="23"/>
      <c r="I5162" s="27"/>
      <c r="J5162" s="23"/>
      <c r="K5162" s="30"/>
      <c r="L5162" s="23"/>
      <c r="M5162" s="20"/>
      <c r="N5162" s="20"/>
      <c r="O5162" s="20"/>
      <c r="P5162" s="20"/>
    </row>
    <row r="5163">
      <c r="A5163" s="10"/>
      <c r="B5163" s="11"/>
      <c r="C5163" s="10"/>
      <c r="D5163" s="13"/>
      <c r="E5163" s="14"/>
      <c r="F5163" s="14"/>
      <c r="G5163" s="14"/>
      <c r="H5163" s="10"/>
      <c r="I5163" s="17"/>
      <c r="J5163" s="10"/>
      <c r="K5163" s="46"/>
      <c r="L5163" s="10"/>
      <c r="M5163" s="20"/>
      <c r="N5163" s="20"/>
      <c r="O5163" s="20"/>
      <c r="P5163" s="20"/>
    </row>
    <row r="5164">
      <c r="A5164" s="23"/>
      <c r="B5164" s="21"/>
      <c r="C5164" s="23"/>
      <c r="D5164" s="24"/>
      <c r="E5164" s="14"/>
      <c r="F5164" s="14"/>
      <c r="G5164" s="14"/>
      <c r="H5164" s="23"/>
      <c r="I5164" s="27"/>
      <c r="J5164" s="23"/>
      <c r="K5164" s="30"/>
      <c r="L5164" s="23"/>
      <c r="M5164" s="20"/>
      <c r="N5164" s="20"/>
      <c r="O5164" s="20"/>
      <c r="P5164" s="20"/>
    </row>
    <row r="5165">
      <c r="A5165" s="10"/>
      <c r="B5165" s="11"/>
      <c r="C5165" s="10"/>
      <c r="D5165" s="13"/>
      <c r="E5165" s="14"/>
      <c r="F5165" s="14"/>
      <c r="G5165" s="14"/>
      <c r="H5165" s="10"/>
      <c r="I5165" s="17"/>
      <c r="J5165" s="10"/>
      <c r="K5165" s="46"/>
      <c r="L5165" s="10"/>
      <c r="M5165" s="20"/>
      <c r="N5165" s="20"/>
      <c r="O5165" s="20"/>
      <c r="P5165" s="20"/>
    </row>
    <row r="5166">
      <c r="A5166" s="23"/>
      <c r="B5166" s="21"/>
      <c r="C5166" s="23"/>
      <c r="D5166" s="24"/>
      <c r="E5166" s="14"/>
      <c r="F5166" s="14"/>
      <c r="G5166" s="14"/>
      <c r="H5166" s="23"/>
      <c r="I5166" s="27"/>
      <c r="J5166" s="23"/>
      <c r="K5166" s="30"/>
      <c r="L5166" s="23"/>
      <c r="M5166" s="20"/>
      <c r="N5166" s="20"/>
      <c r="O5166" s="20"/>
      <c r="P5166" s="20"/>
    </row>
    <row r="5167">
      <c r="A5167" s="10"/>
      <c r="B5167" s="11"/>
      <c r="C5167" s="10"/>
      <c r="D5167" s="13"/>
      <c r="E5167" s="14"/>
      <c r="F5167" s="14"/>
      <c r="G5167" s="14"/>
      <c r="H5167" s="10"/>
      <c r="I5167" s="17"/>
      <c r="J5167" s="10"/>
      <c r="K5167" s="46"/>
      <c r="L5167" s="10"/>
      <c r="M5167" s="20"/>
      <c r="N5167" s="20"/>
      <c r="O5167" s="20"/>
      <c r="P5167" s="20"/>
    </row>
    <row r="5168">
      <c r="A5168" s="23"/>
      <c r="B5168" s="21"/>
      <c r="C5168" s="23"/>
      <c r="D5168" s="24"/>
      <c r="E5168" s="14"/>
      <c r="F5168" s="14"/>
      <c r="G5168" s="14"/>
      <c r="H5168" s="23"/>
      <c r="I5168" s="27"/>
      <c r="J5168" s="23"/>
      <c r="K5168" s="30"/>
      <c r="L5168" s="23"/>
      <c r="M5168" s="20"/>
      <c r="N5168" s="20"/>
      <c r="O5168" s="20"/>
      <c r="P5168" s="20"/>
    </row>
    <row r="5169">
      <c r="A5169" s="10"/>
      <c r="B5169" s="11"/>
      <c r="C5169" s="10"/>
      <c r="D5169" s="13"/>
      <c r="E5169" s="14"/>
      <c r="F5169" s="14"/>
      <c r="G5169" s="14"/>
      <c r="H5169" s="10"/>
      <c r="I5169" s="17"/>
      <c r="J5169" s="10"/>
      <c r="K5169" s="46"/>
      <c r="L5169" s="10"/>
      <c r="M5169" s="20"/>
      <c r="N5169" s="20"/>
      <c r="O5169" s="20"/>
      <c r="P5169" s="20"/>
    </row>
    <row r="5170">
      <c r="A5170" s="23"/>
      <c r="B5170" s="21"/>
      <c r="C5170" s="23"/>
      <c r="D5170" s="24"/>
      <c r="E5170" s="14"/>
      <c r="F5170" s="14"/>
      <c r="G5170" s="14"/>
      <c r="H5170" s="23"/>
      <c r="I5170" s="27"/>
      <c r="J5170" s="23"/>
      <c r="K5170" s="30"/>
      <c r="L5170" s="23"/>
      <c r="M5170" s="20"/>
      <c r="N5170" s="20"/>
      <c r="O5170" s="20"/>
      <c r="P5170" s="20"/>
    </row>
    <row r="5171">
      <c r="A5171" s="10"/>
      <c r="B5171" s="11"/>
      <c r="C5171" s="10"/>
      <c r="D5171" s="13"/>
      <c r="E5171" s="14"/>
      <c r="F5171" s="14"/>
      <c r="G5171" s="14"/>
      <c r="H5171" s="10"/>
      <c r="I5171" s="17"/>
      <c r="J5171" s="10"/>
      <c r="K5171" s="46"/>
      <c r="L5171" s="10"/>
      <c r="M5171" s="20"/>
      <c r="N5171" s="20"/>
      <c r="O5171" s="20"/>
      <c r="P5171" s="20"/>
    </row>
    <row r="5172">
      <c r="A5172" s="23"/>
      <c r="B5172" s="21"/>
      <c r="C5172" s="23"/>
      <c r="D5172" s="24"/>
      <c r="E5172" s="14"/>
      <c r="F5172" s="14"/>
      <c r="G5172" s="14"/>
      <c r="H5172" s="23"/>
      <c r="I5172" s="27"/>
      <c r="J5172" s="23"/>
      <c r="K5172" s="30"/>
      <c r="L5172" s="23"/>
      <c r="M5172" s="20"/>
      <c r="N5172" s="20"/>
      <c r="O5172" s="20"/>
      <c r="P5172" s="20"/>
    </row>
    <row r="5173">
      <c r="A5173" s="10"/>
      <c r="B5173" s="11"/>
      <c r="C5173" s="10"/>
      <c r="D5173" s="13"/>
      <c r="E5173" s="14"/>
      <c r="F5173" s="14"/>
      <c r="G5173" s="14"/>
      <c r="H5173" s="10"/>
      <c r="I5173" s="17"/>
      <c r="J5173" s="10"/>
      <c r="K5173" s="46"/>
      <c r="L5173" s="10"/>
      <c r="M5173" s="20"/>
      <c r="N5173" s="20"/>
      <c r="O5173" s="20"/>
      <c r="P5173" s="20"/>
    </row>
    <row r="5174">
      <c r="A5174" s="23"/>
      <c r="B5174" s="21"/>
      <c r="C5174" s="23"/>
      <c r="D5174" s="24"/>
      <c r="E5174" s="14"/>
      <c r="F5174" s="14"/>
      <c r="G5174" s="14"/>
      <c r="H5174" s="23"/>
      <c r="I5174" s="27"/>
      <c r="J5174" s="23"/>
      <c r="K5174" s="30"/>
      <c r="L5174" s="23"/>
      <c r="M5174" s="20"/>
      <c r="N5174" s="20"/>
      <c r="O5174" s="20"/>
      <c r="P5174" s="20"/>
    </row>
    <row r="5175">
      <c r="A5175" s="10"/>
      <c r="B5175" s="11"/>
      <c r="C5175" s="10"/>
      <c r="D5175" s="13"/>
      <c r="E5175" s="14"/>
      <c r="F5175" s="14"/>
      <c r="G5175" s="14"/>
      <c r="H5175" s="10"/>
      <c r="I5175" s="17"/>
      <c r="J5175" s="10"/>
      <c r="K5175" s="46"/>
      <c r="L5175" s="10"/>
      <c r="M5175" s="20"/>
      <c r="N5175" s="20"/>
      <c r="O5175" s="20"/>
      <c r="P5175" s="20"/>
    </row>
    <row r="5176">
      <c r="A5176" s="23"/>
      <c r="B5176" s="21"/>
      <c r="C5176" s="23"/>
      <c r="D5176" s="24"/>
      <c r="E5176" s="14"/>
      <c r="F5176" s="14"/>
      <c r="G5176" s="14"/>
      <c r="H5176" s="23"/>
      <c r="I5176" s="27"/>
      <c r="J5176" s="23"/>
      <c r="K5176" s="30"/>
      <c r="L5176" s="23"/>
      <c r="M5176" s="20"/>
      <c r="N5176" s="20"/>
      <c r="O5176" s="20"/>
      <c r="P5176" s="20"/>
    </row>
    <row r="5177">
      <c r="A5177" s="10"/>
      <c r="B5177" s="11"/>
      <c r="C5177" s="10"/>
      <c r="D5177" s="13"/>
      <c r="E5177" s="14"/>
      <c r="F5177" s="14"/>
      <c r="G5177" s="14"/>
      <c r="H5177" s="10"/>
      <c r="I5177" s="17"/>
      <c r="J5177" s="10"/>
      <c r="K5177" s="46"/>
      <c r="L5177" s="10"/>
      <c r="M5177" s="20"/>
      <c r="N5177" s="20"/>
      <c r="O5177" s="20"/>
      <c r="P5177" s="20"/>
    </row>
    <row r="5178">
      <c r="A5178" s="23"/>
      <c r="B5178" s="21"/>
      <c r="C5178" s="23"/>
      <c r="D5178" s="24"/>
      <c r="E5178" s="14"/>
      <c r="F5178" s="14"/>
      <c r="G5178" s="14"/>
      <c r="H5178" s="23"/>
      <c r="I5178" s="27"/>
      <c r="J5178" s="23"/>
      <c r="K5178" s="30"/>
      <c r="L5178" s="23"/>
      <c r="M5178" s="20"/>
      <c r="N5178" s="20"/>
      <c r="O5178" s="20"/>
      <c r="P5178" s="20"/>
    </row>
    <row r="5179">
      <c r="A5179" s="10"/>
      <c r="B5179" s="11"/>
      <c r="C5179" s="10"/>
      <c r="D5179" s="13"/>
      <c r="E5179" s="14"/>
      <c r="F5179" s="14"/>
      <c r="G5179" s="14"/>
      <c r="H5179" s="10"/>
      <c r="I5179" s="17"/>
      <c r="J5179" s="10"/>
      <c r="K5179" s="46"/>
      <c r="L5179" s="10"/>
      <c r="M5179" s="20"/>
      <c r="N5179" s="20"/>
      <c r="O5179" s="20"/>
      <c r="P5179" s="20"/>
    </row>
    <row r="5180">
      <c r="A5180" s="23"/>
      <c r="B5180" s="21"/>
      <c r="C5180" s="23"/>
      <c r="D5180" s="24"/>
      <c r="E5180" s="14"/>
      <c r="F5180" s="14"/>
      <c r="G5180" s="14"/>
      <c r="H5180" s="23"/>
      <c r="I5180" s="27"/>
      <c r="J5180" s="23"/>
      <c r="K5180" s="30"/>
      <c r="L5180" s="23"/>
      <c r="M5180" s="20"/>
      <c r="N5180" s="20"/>
      <c r="O5180" s="20"/>
      <c r="P5180" s="20"/>
    </row>
    <row r="5181">
      <c r="A5181" s="10"/>
      <c r="B5181" s="11"/>
      <c r="C5181" s="10"/>
      <c r="D5181" s="13"/>
      <c r="E5181" s="14"/>
      <c r="F5181" s="14"/>
      <c r="G5181" s="14"/>
      <c r="H5181" s="10"/>
      <c r="I5181" s="17"/>
      <c r="J5181" s="10"/>
      <c r="K5181" s="46"/>
      <c r="L5181" s="10"/>
      <c r="M5181" s="20"/>
      <c r="N5181" s="20"/>
      <c r="O5181" s="20"/>
      <c r="P5181" s="20"/>
    </row>
    <row r="5182">
      <c r="A5182" s="23"/>
      <c r="B5182" s="21"/>
      <c r="C5182" s="23"/>
      <c r="D5182" s="24"/>
      <c r="E5182" s="14"/>
      <c r="F5182" s="14"/>
      <c r="G5182" s="14"/>
      <c r="H5182" s="23"/>
      <c r="I5182" s="27"/>
      <c r="J5182" s="23"/>
      <c r="K5182" s="30"/>
      <c r="L5182" s="23"/>
      <c r="M5182" s="20"/>
      <c r="N5182" s="20"/>
      <c r="O5182" s="20"/>
      <c r="P5182" s="20"/>
    </row>
    <row r="5183">
      <c r="A5183" s="10"/>
      <c r="B5183" s="11"/>
      <c r="C5183" s="10"/>
      <c r="D5183" s="13"/>
      <c r="E5183" s="14"/>
      <c r="F5183" s="14"/>
      <c r="G5183" s="14"/>
      <c r="H5183" s="10"/>
      <c r="I5183" s="17"/>
      <c r="J5183" s="10"/>
      <c r="K5183" s="46"/>
      <c r="L5183" s="10"/>
      <c r="M5183" s="20"/>
      <c r="N5183" s="20"/>
      <c r="O5183" s="20"/>
      <c r="P5183" s="20"/>
    </row>
    <row r="5184">
      <c r="A5184" s="23"/>
      <c r="B5184" s="21"/>
      <c r="C5184" s="23"/>
      <c r="D5184" s="24"/>
      <c r="E5184" s="14"/>
      <c r="F5184" s="14"/>
      <c r="G5184" s="14"/>
      <c r="H5184" s="23"/>
      <c r="I5184" s="27"/>
      <c r="J5184" s="23"/>
      <c r="K5184" s="30"/>
      <c r="L5184" s="23"/>
      <c r="M5184" s="20"/>
      <c r="N5184" s="20"/>
      <c r="O5184" s="20"/>
      <c r="P5184" s="20"/>
    </row>
    <row r="5185">
      <c r="A5185" s="10"/>
      <c r="B5185" s="11"/>
      <c r="C5185" s="10"/>
      <c r="D5185" s="13"/>
      <c r="E5185" s="14"/>
      <c r="F5185" s="14"/>
      <c r="G5185" s="14"/>
      <c r="H5185" s="10"/>
      <c r="I5185" s="17"/>
      <c r="J5185" s="10"/>
      <c r="K5185" s="46"/>
      <c r="L5185" s="10"/>
      <c r="M5185" s="20"/>
      <c r="N5185" s="20"/>
      <c r="O5185" s="20"/>
      <c r="P5185" s="20"/>
    </row>
    <row r="5186">
      <c r="A5186" s="23"/>
      <c r="B5186" s="21"/>
      <c r="C5186" s="23"/>
      <c r="D5186" s="24"/>
      <c r="E5186" s="14"/>
      <c r="F5186" s="14"/>
      <c r="G5186" s="14"/>
      <c r="H5186" s="23"/>
      <c r="I5186" s="27"/>
      <c r="J5186" s="23"/>
      <c r="K5186" s="30"/>
      <c r="L5186" s="23"/>
      <c r="M5186" s="20"/>
      <c r="N5186" s="20"/>
      <c r="O5186" s="20"/>
      <c r="P5186" s="20"/>
    </row>
    <row r="5187">
      <c r="A5187" s="10"/>
      <c r="B5187" s="11"/>
      <c r="C5187" s="10"/>
      <c r="D5187" s="13"/>
      <c r="E5187" s="14"/>
      <c r="F5187" s="14"/>
      <c r="G5187" s="14"/>
      <c r="H5187" s="10"/>
      <c r="I5187" s="17"/>
      <c r="J5187" s="10"/>
      <c r="K5187" s="46"/>
      <c r="L5187" s="10"/>
      <c r="M5187" s="20"/>
      <c r="N5187" s="20"/>
      <c r="O5187" s="20"/>
      <c r="P5187" s="20"/>
    </row>
    <row r="5188">
      <c r="A5188" s="23"/>
      <c r="B5188" s="21"/>
      <c r="C5188" s="23"/>
      <c r="D5188" s="24"/>
      <c r="E5188" s="14"/>
      <c r="F5188" s="14"/>
      <c r="G5188" s="14"/>
      <c r="H5188" s="23"/>
      <c r="I5188" s="27"/>
      <c r="J5188" s="23"/>
      <c r="K5188" s="30"/>
      <c r="L5188" s="23"/>
      <c r="M5188" s="20"/>
      <c r="N5188" s="20"/>
      <c r="O5188" s="20"/>
      <c r="P5188" s="20"/>
    </row>
    <row r="5189">
      <c r="A5189" s="10"/>
      <c r="B5189" s="11"/>
      <c r="C5189" s="10"/>
      <c r="D5189" s="13"/>
      <c r="E5189" s="14"/>
      <c r="F5189" s="14"/>
      <c r="G5189" s="14"/>
      <c r="H5189" s="10"/>
      <c r="I5189" s="17"/>
      <c r="J5189" s="10"/>
      <c r="K5189" s="46"/>
      <c r="L5189" s="10"/>
      <c r="M5189" s="20"/>
      <c r="N5189" s="20"/>
      <c r="O5189" s="20"/>
      <c r="P5189" s="20"/>
    </row>
    <row r="5190">
      <c r="A5190" s="23"/>
      <c r="B5190" s="21"/>
      <c r="C5190" s="23"/>
      <c r="D5190" s="24"/>
      <c r="E5190" s="14"/>
      <c r="F5190" s="14"/>
      <c r="G5190" s="14"/>
      <c r="H5190" s="23"/>
      <c r="I5190" s="27"/>
      <c r="J5190" s="23"/>
      <c r="K5190" s="30"/>
      <c r="L5190" s="23"/>
      <c r="M5190" s="20"/>
      <c r="N5190" s="20"/>
      <c r="O5190" s="20"/>
      <c r="P5190" s="20"/>
    </row>
    <row r="5191">
      <c r="A5191" s="10"/>
      <c r="B5191" s="11"/>
      <c r="C5191" s="10"/>
      <c r="D5191" s="13"/>
      <c r="E5191" s="14"/>
      <c r="F5191" s="14"/>
      <c r="G5191" s="14"/>
      <c r="H5191" s="10"/>
      <c r="I5191" s="17"/>
      <c r="J5191" s="10"/>
      <c r="K5191" s="46"/>
      <c r="L5191" s="10"/>
      <c r="M5191" s="20"/>
      <c r="N5191" s="20"/>
      <c r="O5191" s="20"/>
      <c r="P5191" s="20"/>
    </row>
    <row r="5192">
      <c r="A5192" s="23"/>
      <c r="B5192" s="21"/>
      <c r="C5192" s="23"/>
      <c r="D5192" s="24"/>
      <c r="E5192" s="14"/>
      <c r="F5192" s="14"/>
      <c r="G5192" s="14"/>
      <c r="H5192" s="23"/>
      <c r="I5192" s="27"/>
      <c r="J5192" s="23"/>
      <c r="K5192" s="30"/>
      <c r="L5192" s="23"/>
      <c r="M5192" s="20"/>
      <c r="N5192" s="20"/>
      <c r="O5192" s="20"/>
      <c r="P5192" s="20"/>
    </row>
    <row r="5193">
      <c r="A5193" s="10"/>
      <c r="B5193" s="11"/>
      <c r="C5193" s="10"/>
      <c r="D5193" s="13"/>
      <c r="E5193" s="14"/>
      <c r="F5193" s="14"/>
      <c r="G5193" s="14"/>
      <c r="H5193" s="10"/>
      <c r="I5193" s="17"/>
      <c r="J5193" s="10"/>
      <c r="K5193" s="46"/>
      <c r="L5193" s="10"/>
      <c r="M5193" s="20"/>
      <c r="N5193" s="20"/>
      <c r="O5193" s="20"/>
      <c r="P5193" s="20"/>
    </row>
    <row r="5194">
      <c r="A5194" s="23"/>
      <c r="B5194" s="21"/>
      <c r="C5194" s="23"/>
      <c r="D5194" s="24"/>
      <c r="E5194" s="14"/>
      <c r="F5194" s="14"/>
      <c r="G5194" s="14"/>
      <c r="H5194" s="23"/>
      <c r="I5194" s="27"/>
      <c r="J5194" s="23"/>
      <c r="K5194" s="30"/>
      <c r="L5194" s="23"/>
      <c r="M5194" s="20"/>
      <c r="N5194" s="20"/>
      <c r="O5194" s="20"/>
      <c r="P5194" s="20"/>
    </row>
    <row r="5195">
      <c r="A5195" s="10"/>
      <c r="B5195" s="11"/>
      <c r="C5195" s="10"/>
      <c r="D5195" s="13"/>
      <c r="E5195" s="14"/>
      <c r="F5195" s="14"/>
      <c r="G5195" s="14"/>
      <c r="H5195" s="10"/>
      <c r="I5195" s="17"/>
      <c r="J5195" s="10"/>
      <c r="K5195" s="46"/>
      <c r="L5195" s="10"/>
      <c r="M5195" s="20"/>
      <c r="N5195" s="20"/>
      <c r="O5195" s="20"/>
      <c r="P5195" s="20"/>
    </row>
    <row r="5196">
      <c r="A5196" s="23"/>
      <c r="B5196" s="21"/>
      <c r="C5196" s="23"/>
      <c r="D5196" s="24"/>
      <c r="E5196" s="14"/>
      <c r="F5196" s="14"/>
      <c r="G5196" s="14"/>
      <c r="H5196" s="23"/>
      <c r="I5196" s="27"/>
      <c r="J5196" s="23"/>
      <c r="K5196" s="30"/>
      <c r="L5196" s="23"/>
      <c r="M5196" s="20"/>
      <c r="N5196" s="20"/>
      <c r="O5196" s="20"/>
      <c r="P5196" s="20"/>
    </row>
    <row r="5197">
      <c r="A5197" s="10"/>
      <c r="B5197" s="11"/>
      <c r="C5197" s="10"/>
      <c r="D5197" s="13"/>
      <c r="E5197" s="14"/>
      <c r="F5197" s="14"/>
      <c r="G5197" s="14"/>
      <c r="H5197" s="10"/>
      <c r="I5197" s="17"/>
      <c r="J5197" s="10"/>
      <c r="K5197" s="46"/>
      <c r="L5197" s="10"/>
      <c r="M5197" s="20"/>
      <c r="N5197" s="20"/>
      <c r="O5197" s="20"/>
      <c r="P5197" s="20"/>
    </row>
    <row r="5198">
      <c r="A5198" s="23"/>
      <c r="B5198" s="21"/>
      <c r="C5198" s="23"/>
      <c r="D5198" s="24"/>
      <c r="E5198" s="14"/>
      <c r="F5198" s="14"/>
      <c r="G5198" s="14"/>
      <c r="H5198" s="23"/>
      <c r="I5198" s="27"/>
      <c r="J5198" s="23"/>
      <c r="K5198" s="30"/>
      <c r="L5198" s="23"/>
      <c r="M5198" s="20"/>
      <c r="N5198" s="20"/>
      <c r="O5198" s="20"/>
      <c r="P5198" s="20"/>
    </row>
    <row r="5199">
      <c r="A5199" s="10"/>
      <c r="B5199" s="11"/>
      <c r="C5199" s="10"/>
      <c r="D5199" s="13"/>
      <c r="E5199" s="14"/>
      <c r="F5199" s="14"/>
      <c r="G5199" s="14"/>
      <c r="H5199" s="10"/>
      <c r="I5199" s="17"/>
      <c r="J5199" s="10"/>
      <c r="K5199" s="46"/>
      <c r="L5199" s="10"/>
      <c r="M5199" s="20"/>
      <c r="N5199" s="20"/>
      <c r="O5199" s="20"/>
      <c r="P5199" s="20"/>
    </row>
    <row r="5200">
      <c r="A5200" s="23"/>
      <c r="B5200" s="21"/>
      <c r="C5200" s="23"/>
      <c r="D5200" s="24"/>
      <c r="E5200" s="14"/>
      <c r="F5200" s="14"/>
      <c r="G5200" s="14"/>
      <c r="H5200" s="23"/>
      <c r="I5200" s="27"/>
      <c r="J5200" s="23"/>
      <c r="K5200" s="30"/>
      <c r="L5200" s="23"/>
      <c r="M5200" s="20"/>
      <c r="N5200" s="20"/>
      <c r="O5200" s="20"/>
      <c r="P5200" s="20"/>
    </row>
    <row r="5201">
      <c r="A5201" s="10"/>
      <c r="B5201" s="11"/>
      <c r="C5201" s="10"/>
      <c r="D5201" s="13"/>
      <c r="E5201" s="14"/>
      <c r="F5201" s="14"/>
      <c r="G5201" s="14"/>
      <c r="H5201" s="10"/>
      <c r="I5201" s="17"/>
      <c r="J5201" s="10"/>
      <c r="K5201" s="46"/>
      <c r="L5201" s="10"/>
      <c r="M5201" s="20"/>
      <c r="N5201" s="20"/>
      <c r="O5201" s="20"/>
      <c r="P5201" s="20"/>
    </row>
    <row r="5202">
      <c r="A5202" s="23"/>
      <c r="B5202" s="21"/>
      <c r="C5202" s="23"/>
      <c r="D5202" s="24"/>
      <c r="E5202" s="14"/>
      <c r="F5202" s="14"/>
      <c r="G5202" s="14"/>
      <c r="H5202" s="23"/>
      <c r="I5202" s="27"/>
      <c r="J5202" s="23"/>
      <c r="K5202" s="30"/>
      <c r="L5202" s="23"/>
      <c r="M5202" s="20"/>
      <c r="N5202" s="20"/>
      <c r="O5202" s="20"/>
      <c r="P5202" s="20"/>
    </row>
    <row r="5203">
      <c r="A5203" s="10"/>
      <c r="B5203" s="11"/>
      <c r="C5203" s="10"/>
      <c r="D5203" s="13"/>
      <c r="E5203" s="14"/>
      <c r="F5203" s="14"/>
      <c r="G5203" s="14"/>
      <c r="H5203" s="10"/>
      <c r="I5203" s="17"/>
      <c r="J5203" s="10"/>
      <c r="K5203" s="46"/>
      <c r="L5203" s="10"/>
      <c r="M5203" s="20"/>
      <c r="N5203" s="20"/>
      <c r="O5203" s="20"/>
      <c r="P5203" s="20"/>
    </row>
    <row r="5204">
      <c r="A5204" s="23"/>
      <c r="B5204" s="21"/>
      <c r="C5204" s="23"/>
      <c r="D5204" s="24"/>
      <c r="E5204" s="14"/>
      <c r="F5204" s="14"/>
      <c r="G5204" s="14"/>
      <c r="H5204" s="23"/>
      <c r="I5204" s="27"/>
      <c r="J5204" s="23"/>
      <c r="K5204" s="30"/>
      <c r="L5204" s="23"/>
      <c r="M5204" s="20"/>
      <c r="N5204" s="20"/>
      <c r="O5204" s="20"/>
      <c r="P5204" s="20"/>
    </row>
    <row r="5205">
      <c r="A5205" s="10"/>
      <c r="B5205" s="11"/>
      <c r="C5205" s="10"/>
      <c r="D5205" s="13"/>
      <c r="E5205" s="14"/>
      <c r="F5205" s="14"/>
      <c r="G5205" s="14"/>
      <c r="H5205" s="10"/>
      <c r="I5205" s="17"/>
      <c r="J5205" s="10"/>
      <c r="K5205" s="46"/>
      <c r="L5205" s="10"/>
      <c r="M5205" s="20"/>
      <c r="N5205" s="20"/>
      <c r="O5205" s="20"/>
      <c r="P5205" s="20"/>
    </row>
    <row r="5206">
      <c r="A5206" s="23"/>
      <c r="B5206" s="21"/>
      <c r="C5206" s="23"/>
      <c r="D5206" s="24"/>
      <c r="E5206" s="14"/>
      <c r="F5206" s="14"/>
      <c r="G5206" s="14"/>
      <c r="H5206" s="23"/>
      <c r="I5206" s="27"/>
      <c r="J5206" s="23"/>
      <c r="K5206" s="30"/>
      <c r="L5206" s="23"/>
      <c r="M5206" s="20"/>
      <c r="N5206" s="20"/>
      <c r="O5206" s="20"/>
      <c r="P5206" s="20"/>
    </row>
    <row r="5207">
      <c r="A5207" s="10"/>
      <c r="B5207" s="11"/>
      <c r="C5207" s="10"/>
      <c r="D5207" s="13"/>
      <c r="E5207" s="14"/>
      <c r="F5207" s="14"/>
      <c r="G5207" s="14"/>
      <c r="H5207" s="10"/>
      <c r="I5207" s="17"/>
      <c r="J5207" s="10"/>
      <c r="K5207" s="46"/>
      <c r="L5207" s="10"/>
      <c r="M5207" s="20"/>
      <c r="N5207" s="20"/>
      <c r="O5207" s="20"/>
      <c r="P5207" s="20"/>
    </row>
    <row r="5208">
      <c r="A5208" s="23"/>
      <c r="B5208" s="21"/>
      <c r="C5208" s="23"/>
      <c r="D5208" s="24"/>
      <c r="E5208" s="14"/>
      <c r="F5208" s="14"/>
      <c r="G5208" s="14"/>
      <c r="H5208" s="23"/>
      <c r="I5208" s="27"/>
      <c r="J5208" s="23"/>
      <c r="K5208" s="30"/>
      <c r="L5208" s="23"/>
      <c r="M5208" s="20"/>
      <c r="N5208" s="20"/>
      <c r="O5208" s="20"/>
      <c r="P5208" s="20"/>
    </row>
    <row r="5209">
      <c r="A5209" s="10"/>
      <c r="B5209" s="11"/>
      <c r="C5209" s="10"/>
      <c r="D5209" s="13"/>
      <c r="E5209" s="14"/>
      <c r="F5209" s="14"/>
      <c r="G5209" s="14"/>
      <c r="H5209" s="10"/>
      <c r="I5209" s="17"/>
      <c r="J5209" s="10"/>
      <c r="K5209" s="46"/>
      <c r="L5209" s="10"/>
      <c r="M5209" s="20"/>
      <c r="N5209" s="20"/>
      <c r="O5209" s="20"/>
      <c r="P5209" s="20"/>
    </row>
    <row r="5210">
      <c r="A5210" s="23"/>
      <c r="B5210" s="21"/>
      <c r="C5210" s="23"/>
      <c r="D5210" s="24"/>
      <c r="E5210" s="14"/>
      <c r="F5210" s="14"/>
      <c r="G5210" s="14"/>
      <c r="H5210" s="23"/>
      <c r="I5210" s="27"/>
      <c r="J5210" s="23"/>
      <c r="K5210" s="30"/>
      <c r="L5210" s="23"/>
      <c r="M5210" s="20"/>
      <c r="N5210" s="20"/>
      <c r="O5210" s="20"/>
      <c r="P5210" s="20"/>
    </row>
    <row r="5211">
      <c r="A5211" s="10"/>
      <c r="B5211" s="11"/>
      <c r="C5211" s="10"/>
      <c r="D5211" s="13"/>
      <c r="E5211" s="14"/>
      <c r="F5211" s="14"/>
      <c r="G5211" s="14"/>
      <c r="H5211" s="10"/>
      <c r="I5211" s="17"/>
      <c r="J5211" s="10"/>
      <c r="K5211" s="46"/>
      <c r="L5211" s="10"/>
      <c r="M5211" s="20"/>
      <c r="N5211" s="20"/>
      <c r="O5211" s="20"/>
      <c r="P5211" s="20"/>
    </row>
    <row r="5212">
      <c r="A5212" s="23"/>
      <c r="B5212" s="21"/>
      <c r="C5212" s="23"/>
      <c r="D5212" s="24"/>
      <c r="E5212" s="14"/>
      <c r="F5212" s="14"/>
      <c r="G5212" s="14"/>
      <c r="H5212" s="23"/>
      <c r="I5212" s="27"/>
      <c r="J5212" s="23"/>
      <c r="K5212" s="30"/>
      <c r="L5212" s="23"/>
      <c r="M5212" s="20"/>
      <c r="N5212" s="20"/>
      <c r="O5212" s="20"/>
      <c r="P5212" s="20"/>
    </row>
    <row r="5213">
      <c r="A5213" s="10"/>
      <c r="B5213" s="11"/>
      <c r="C5213" s="10"/>
      <c r="D5213" s="13"/>
      <c r="E5213" s="14"/>
      <c r="F5213" s="14"/>
      <c r="G5213" s="14"/>
      <c r="H5213" s="10"/>
      <c r="I5213" s="17"/>
      <c r="J5213" s="10"/>
      <c r="K5213" s="46"/>
      <c r="L5213" s="10"/>
      <c r="M5213" s="20"/>
      <c r="N5213" s="20"/>
      <c r="O5213" s="20"/>
      <c r="P5213" s="20"/>
    </row>
    <row r="5214">
      <c r="A5214" s="23"/>
      <c r="B5214" s="21"/>
      <c r="C5214" s="23"/>
      <c r="D5214" s="24"/>
      <c r="E5214" s="14"/>
      <c r="F5214" s="14"/>
      <c r="G5214" s="14"/>
      <c r="H5214" s="23"/>
      <c r="I5214" s="27"/>
      <c r="J5214" s="23"/>
      <c r="K5214" s="30"/>
      <c r="L5214" s="23"/>
      <c r="M5214" s="20"/>
      <c r="N5214" s="20"/>
      <c r="O5214" s="20"/>
      <c r="P5214" s="20"/>
    </row>
    <row r="5215">
      <c r="A5215" s="10"/>
      <c r="B5215" s="11"/>
      <c r="C5215" s="10"/>
      <c r="D5215" s="13"/>
      <c r="E5215" s="14"/>
      <c r="F5215" s="14"/>
      <c r="G5215" s="14"/>
      <c r="H5215" s="10"/>
      <c r="I5215" s="17"/>
      <c r="J5215" s="10"/>
      <c r="K5215" s="46"/>
      <c r="L5215" s="10"/>
      <c r="M5215" s="20"/>
      <c r="N5215" s="20"/>
      <c r="O5215" s="20"/>
      <c r="P5215" s="20"/>
    </row>
    <row r="5216">
      <c r="A5216" s="23"/>
      <c r="B5216" s="21"/>
      <c r="C5216" s="23"/>
      <c r="D5216" s="24"/>
      <c r="E5216" s="14"/>
      <c r="F5216" s="14"/>
      <c r="G5216" s="14"/>
      <c r="H5216" s="23"/>
      <c r="I5216" s="27"/>
      <c r="J5216" s="23"/>
      <c r="K5216" s="30"/>
      <c r="L5216" s="23"/>
      <c r="M5216" s="20"/>
      <c r="N5216" s="20"/>
      <c r="O5216" s="20"/>
      <c r="P5216" s="20"/>
    </row>
    <row r="5217">
      <c r="A5217" s="10"/>
      <c r="B5217" s="11"/>
      <c r="C5217" s="10"/>
      <c r="D5217" s="13"/>
      <c r="E5217" s="14"/>
      <c r="F5217" s="14"/>
      <c r="G5217" s="14"/>
      <c r="H5217" s="10"/>
      <c r="I5217" s="17"/>
      <c r="J5217" s="10"/>
      <c r="K5217" s="46"/>
      <c r="L5217" s="10"/>
      <c r="M5217" s="20"/>
      <c r="N5217" s="20"/>
      <c r="O5217" s="20"/>
      <c r="P5217" s="20"/>
    </row>
    <row r="5218">
      <c r="A5218" s="23"/>
      <c r="B5218" s="21"/>
      <c r="C5218" s="23"/>
      <c r="D5218" s="24"/>
      <c r="E5218" s="14"/>
      <c r="F5218" s="14"/>
      <c r="G5218" s="14"/>
      <c r="H5218" s="23"/>
      <c r="I5218" s="27"/>
      <c r="J5218" s="23"/>
      <c r="K5218" s="30"/>
      <c r="L5218" s="23"/>
      <c r="M5218" s="20"/>
      <c r="N5218" s="20"/>
      <c r="O5218" s="20"/>
      <c r="P5218" s="20"/>
    </row>
    <row r="5219">
      <c r="A5219" s="10"/>
      <c r="B5219" s="11"/>
      <c r="C5219" s="10"/>
      <c r="D5219" s="13"/>
      <c r="E5219" s="14"/>
      <c r="F5219" s="14"/>
      <c r="G5219" s="14"/>
      <c r="H5219" s="10"/>
      <c r="I5219" s="17"/>
      <c r="J5219" s="10"/>
      <c r="K5219" s="46"/>
      <c r="L5219" s="10"/>
      <c r="M5219" s="20"/>
      <c r="N5219" s="20"/>
      <c r="O5219" s="20"/>
      <c r="P5219" s="20"/>
    </row>
    <row r="5220">
      <c r="A5220" s="23"/>
      <c r="B5220" s="21"/>
      <c r="C5220" s="23"/>
      <c r="D5220" s="24"/>
      <c r="E5220" s="14"/>
      <c r="F5220" s="14"/>
      <c r="G5220" s="14"/>
      <c r="H5220" s="23"/>
      <c r="I5220" s="27"/>
      <c r="J5220" s="23"/>
      <c r="K5220" s="30"/>
      <c r="L5220" s="23"/>
      <c r="M5220" s="20"/>
      <c r="N5220" s="20"/>
      <c r="O5220" s="20"/>
      <c r="P5220" s="20"/>
    </row>
    <row r="5221">
      <c r="A5221" s="10"/>
      <c r="B5221" s="11"/>
      <c r="C5221" s="10"/>
      <c r="D5221" s="13"/>
      <c r="E5221" s="14"/>
      <c r="F5221" s="14"/>
      <c r="G5221" s="14"/>
      <c r="H5221" s="10"/>
      <c r="I5221" s="17"/>
      <c r="J5221" s="10"/>
      <c r="K5221" s="46"/>
      <c r="L5221" s="10"/>
      <c r="M5221" s="20"/>
      <c r="N5221" s="20"/>
      <c r="O5221" s="20"/>
      <c r="P5221" s="20"/>
    </row>
    <row r="5222">
      <c r="A5222" s="23"/>
      <c r="B5222" s="21"/>
      <c r="C5222" s="23"/>
      <c r="D5222" s="24"/>
      <c r="E5222" s="14"/>
      <c r="F5222" s="14"/>
      <c r="G5222" s="14"/>
      <c r="H5222" s="23"/>
      <c r="I5222" s="27"/>
      <c r="J5222" s="23"/>
      <c r="K5222" s="30"/>
      <c r="L5222" s="23"/>
      <c r="M5222" s="20"/>
      <c r="N5222" s="20"/>
      <c r="O5222" s="20"/>
      <c r="P5222" s="20"/>
    </row>
    <row r="5223">
      <c r="A5223" s="10"/>
      <c r="B5223" s="11"/>
      <c r="C5223" s="10"/>
      <c r="D5223" s="13"/>
      <c r="E5223" s="14"/>
      <c r="F5223" s="14"/>
      <c r="G5223" s="14"/>
      <c r="H5223" s="10"/>
      <c r="I5223" s="17"/>
      <c r="J5223" s="10"/>
      <c r="K5223" s="46"/>
      <c r="L5223" s="10"/>
      <c r="M5223" s="20"/>
      <c r="N5223" s="20"/>
      <c r="O5223" s="20"/>
      <c r="P5223" s="20"/>
    </row>
    <row r="5224">
      <c r="A5224" s="23"/>
      <c r="B5224" s="21"/>
      <c r="C5224" s="23"/>
      <c r="D5224" s="24"/>
      <c r="E5224" s="14"/>
      <c r="F5224" s="14"/>
      <c r="G5224" s="14"/>
      <c r="H5224" s="23"/>
      <c r="I5224" s="27"/>
      <c r="J5224" s="23"/>
      <c r="K5224" s="30"/>
      <c r="L5224" s="23"/>
      <c r="M5224" s="20"/>
      <c r="N5224" s="20"/>
      <c r="O5224" s="20"/>
      <c r="P5224" s="20"/>
    </row>
    <row r="5225">
      <c r="A5225" s="10"/>
      <c r="B5225" s="11"/>
      <c r="C5225" s="10"/>
      <c r="D5225" s="13"/>
      <c r="E5225" s="14"/>
      <c r="F5225" s="14"/>
      <c r="G5225" s="14"/>
      <c r="H5225" s="10"/>
      <c r="I5225" s="17"/>
      <c r="J5225" s="10"/>
      <c r="K5225" s="46"/>
      <c r="L5225" s="10"/>
      <c r="M5225" s="20"/>
      <c r="N5225" s="20"/>
      <c r="O5225" s="20"/>
      <c r="P5225" s="20"/>
    </row>
    <row r="5226">
      <c r="A5226" s="23"/>
      <c r="B5226" s="21"/>
      <c r="C5226" s="23"/>
      <c r="D5226" s="24"/>
      <c r="E5226" s="14"/>
      <c r="F5226" s="14"/>
      <c r="G5226" s="14"/>
      <c r="H5226" s="23"/>
      <c r="I5226" s="27"/>
      <c r="J5226" s="23"/>
      <c r="K5226" s="30"/>
      <c r="L5226" s="23"/>
      <c r="M5226" s="20"/>
      <c r="N5226" s="20"/>
      <c r="O5226" s="20"/>
      <c r="P5226" s="20"/>
    </row>
    <row r="5227">
      <c r="A5227" s="10"/>
      <c r="B5227" s="11"/>
      <c r="C5227" s="10"/>
      <c r="D5227" s="13"/>
      <c r="E5227" s="14"/>
      <c r="F5227" s="14"/>
      <c r="G5227" s="14"/>
      <c r="H5227" s="10"/>
      <c r="I5227" s="17"/>
      <c r="J5227" s="10"/>
      <c r="K5227" s="46"/>
      <c r="L5227" s="10"/>
      <c r="M5227" s="20"/>
      <c r="N5227" s="20"/>
      <c r="O5227" s="20"/>
      <c r="P5227" s="20"/>
    </row>
    <row r="5228">
      <c r="A5228" s="23"/>
      <c r="B5228" s="21"/>
      <c r="C5228" s="23"/>
      <c r="D5228" s="24"/>
      <c r="E5228" s="14"/>
      <c r="F5228" s="14"/>
      <c r="G5228" s="14"/>
      <c r="H5228" s="23"/>
      <c r="I5228" s="27"/>
      <c r="J5228" s="23"/>
      <c r="K5228" s="30"/>
      <c r="L5228" s="23"/>
      <c r="M5228" s="20"/>
      <c r="N5228" s="20"/>
      <c r="O5228" s="20"/>
      <c r="P5228" s="20"/>
    </row>
    <row r="5229">
      <c r="A5229" s="10"/>
      <c r="B5229" s="11"/>
      <c r="C5229" s="10"/>
      <c r="D5229" s="13"/>
      <c r="E5229" s="14"/>
      <c r="F5229" s="14"/>
      <c r="G5229" s="14"/>
      <c r="H5229" s="10"/>
      <c r="I5229" s="17"/>
      <c r="J5229" s="10"/>
      <c r="K5229" s="46"/>
      <c r="L5229" s="10"/>
      <c r="M5229" s="20"/>
      <c r="N5229" s="20"/>
      <c r="O5229" s="20"/>
      <c r="P5229" s="20"/>
    </row>
    <row r="5230">
      <c r="A5230" s="23"/>
      <c r="B5230" s="21"/>
      <c r="C5230" s="23"/>
      <c r="D5230" s="24"/>
      <c r="E5230" s="14"/>
      <c r="F5230" s="14"/>
      <c r="G5230" s="14"/>
      <c r="H5230" s="23"/>
      <c r="I5230" s="27"/>
      <c r="J5230" s="23"/>
      <c r="K5230" s="30"/>
      <c r="L5230" s="23"/>
      <c r="M5230" s="20"/>
      <c r="N5230" s="20"/>
      <c r="O5230" s="20"/>
      <c r="P5230" s="20"/>
    </row>
    <row r="5231">
      <c r="A5231" s="10"/>
      <c r="B5231" s="11"/>
      <c r="C5231" s="10"/>
      <c r="D5231" s="13"/>
      <c r="E5231" s="14"/>
      <c r="F5231" s="14"/>
      <c r="G5231" s="14"/>
      <c r="H5231" s="10"/>
      <c r="I5231" s="17"/>
      <c r="J5231" s="10"/>
      <c r="K5231" s="46"/>
      <c r="L5231" s="10"/>
      <c r="M5231" s="20"/>
      <c r="N5231" s="20"/>
      <c r="O5231" s="20"/>
      <c r="P5231" s="20"/>
    </row>
    <row r="5232">
      <c r="A5232" s="23"/>
      <c r="B5232" s="21"/>
      <c r="C5232" s="23"/>
      <c r="D5232" s="24"/>
      <c r="E5232" s="14"/>
      <c r="F5232" s="14"/>
      <c r="G5232" s="14"/>
      <c r="H5232" s="23"/>
      <c r="I5232" s="27"/>
      <c r="J5232" s="23"/>
      <c r="K5232" s="30"/>
      <c r="L5232" s="23"/>
      <c r="M5232" s="20"/>
      <c r="N5232" s="20"/>
      <c r="O5232" s="20"/>
      <c r="P5232" s="20"/>
    </row>
    <row r="5233">
      <c r="A5233" s="10"/>
      <c r="B5233" s="11"/>
      <c r="C5233" s="10"/>
      <c r="D5233" s="13"/>
      <c r="E5233" s="14"/>
      <c r="F5233" s="14"/>
      <c r="G5233" s="14"/>
      <c r="H5233" s="10"/>
      <c r="I5233" s="17"/>
      <c r="J5233" s="10"/>
      <c r="K5233" s="46"/>
      <c r="L5233" s="10"/>
      <c r="M5233" s="20"/>
      <c r="N5233" s="20"/>
      <c r="O5233" s="20"/>
      <c r="P5233" s="20"/>
    </row>
    <row r="5234">
      <c r="A5234" s="23"/>
      <c r="B5234" s="21"/>
      <c r="C5234" s="23"/>
      <c r="D5234" s="24"/>
      <c r="E5234" s="14"/>
      <c r="F5234" s="14"/>
      <c r="G5234" s="14"/>
      <c r="H5234" s="23"/>
      <c r="I5234" s="27"/>
      <c r="J5234" s="23"/>
      <c r="K5234" s="30"/>
      <c r="L5234" s="23"/>
      <c r="M5234" s="20"/>
      <c r="N5234" s="20"/>
      <c r="O5234" s="20"/>
      <c r="P5234" s="20"/>
    </row>
    <row r="5235">
      <c r="A5235" s="10"/>
      <c r="B5235" s="11"/>
      <c r="C5235" s="10"/>
      <c r="D5235" s="13"/>
      <c r="E5235" s="14"/>
      <c r="F5235" s="14"/>
      <c r="G5235" s="14"/>
      <c r="H5235" s="10"/>
      <c r="I5235" s="17"/>
      <c r="J5235" s="10"/>
      <c r="K5235" s="46"/>
      <c r="L5235" s="10"/>
      <c r="M5235" s="20"/>
      <c r="N5235" s="20"/>
      <c r="O5235" s="20"/>
      <c r="P5235" s="20"/>
    </row>
    <row r="5236">
      <c r="A5236" s="23"/>
      <c r="B5236" s="21"/>
      <c r="C5236" s="23"/>
      <c r="D5236" s="24"/>
      <c r="E5236" s="14"/>
      <c r="F5236" s="14"/>
      <c r="G5236" s="14"/>
      <c r="H5236" s="23"/>
      <c r="I5236" s="27"/>
      <c r="J5236" s="23"/>
      <c r="K5236" s="30"/>
      <c r="L5236" s="23"/>
      <c r="M5236" s="20"/>
      <c r="N5236" s="20"/>
      <c r="O5236" s="20"/>
      <c r="P5236" s="20"/>
    </row>
    <row r="5237">
      <c r="A5237" s="10"/>
      <c r="B5237" s="11"/>
      <c r="C5237" s="10"/>
      <c r="D5237" s="13"/>
      <c r="E5237" s="14"/>
      <c r="F5237" s="14"/>
      <c r="G5237" s="14"/>
      <c r="H5237" s="10"/>
      <c r="I5237" s="17"/>
      <c r="J5237" s="10"/>
      <c r="K5237" s="46"/>
      <c r="L5237" s="10"/>
      <c r="M5237" s="20"/>
      <c r="N5237" s="20"/>
      <c r="O5237" s="20"/>
      <c r="P5237" s="20"/>
    </row>
    <row r="5238">
      <c r="A5238" s="23"/>
      <c r="B5238" s="21"/>
      <c r="C5238" s="23"/>
      <c r="D5238" s="24"/>
      <c r="E5238" s="14"/>
      <c r="F5238" s="14"/>
      <c r="G5238" s="14"/>
      <c r="H5238" s="23"/>
      <c r="I5238" s="27"/>
      <c r="J5238" s="23"/>
      <c r="K5238" s="30"/>
      <c r="L5238" s="23"/>
      <c r="M5238" s="20"/>
      <c r="N5238" s="20"/>
      <c r="O5238" s="20"/>
      <c r="P5238" s="20"/>
    </row>
    <row r="5239">
      <c r="A5239" s="10"/>
      <c r="B5239" s="11"/>
      <c r="C5239" s="10"/>
      <c r="D5239" s="13"/>
      <c r="E5239" s="14"/>
      <c r="F5239" s="14"/>
      <c r="G5239" s="14"/>
      <c r="H5239" s="10"/>
      <c r="I5239" s="17"/>
      <c r="J5239" s="10"/>
      <c r="K5239" s="46"/>
      <c r="L5239" s="10"/>
      <c r="M5239" s="20"/>
      <c r="N5239" s="20"/>
      <c r="O5239" s="20"/>
      <c r="P5239" s="20"/>
    </row>
    <row r="5240">
      <c r="A5240" s="23"/>
      <c r="B5240" s="21"/>
      <c r="C5240" s="23"/>
      <c r="D5240" s="24"/>
      <c r="E5240" s="14"/>
      <c r="F5240" s="14"/>
      <c r="G5240" s="14"/>
      <c r="H5240" s="23"/>
      <c r="I5240" s="27"/>
      <c r="J5240" s="23"/>
      <c r="K5240" s="30"/>
      <c r="L5240" s="23"/>
      <c r="M5240" s="20"/>
      <c r="N5240" s="20"/>
      <c r="O5240" s="20"/>
      <c r="P5240" s="20"/>
    </row>
    <row r="5241">
      <c r="A5241" s="10"/>
      <c r="B5241" s="11"/>
      <c r="C5241" s="10"/>
      <c r="D5241" s="13"/>
      <c r="E5241" s="14"/>
      <c r="F5241" s="14"/>
      <c r="G5241" s="14"/>
      <c r="H5241" s="10"/>
      <c r="I5241" s="17"/>
      <c r="J5241" s="10"/>
      <c r="K5241" s="46"/>
      <c r="L5241" s="10"/>
      <c r="M5241" s="20"/>
      <c r="N5241" s="20"/>
      <c r="O5241" s="20"/>
      <c r="P5241" s="20"/>
    </row>
    <row r="5242">
      <c r="A5242" s="23"/>
      <c r="B5242" s="21"/>
      <c r="C5242" s="23"/>
      <c r="D5242" s="24"/>
      <c r="E5242" s="14"/>
      <c r="F5242" s="14"/>
      <c r="G5242" s="14"/>
      <c r="H5242" s="23"/>
      <c r="I5242" s="27"/>
      <c r="J5242" s="23"/>
      <c r="K5242" s="30"/>
      <c r="L5242" s="23"/>
      <c r="M5242" s="20"/>
      <c r="N5242" s="20"/>
      <c r="O5242" s="20"/>
      <c r="P5242" s="20"/>
    </row>
    <row r="5243">
      <c r="A5243" s="10"/>
      <c r="B5243" s="11"/>
      <c r="C5243" s="10"/>
      <c r="D5243" s="13"/>
      <c r="E5243" s="14"/>
      <c r="F5243" s="14"/>
      <c r="G5243" s="14"/>
      <c r="H5243" s="10"/>
      <c r="I5243" s="17"/>
      <c r="J5243" s="10"/>
      <c r="K5243" s="46"/>
      <c r="L5243" s="10"/>
      <c r="M5243" s="20"/>
      <c r="N5243" s="20"/>
      <c r="O5243" s="20"/>
      <c r="P5243" s="20"/>
    </row>
    <row r="5244">
      <c r="A5244" s="23"/>
      <c r="B5244" s="21"/>
      <c r="C5244" s="23"/>
      <c r="D5244" s="24"/>
      <c r="E5244" s="14"/>
      <c r="F5244" s="14"/>
      <c r="G5244" s="14"/>
      <c r="H5244" s="23"/>
      <c r="I5244" s="27"/>
      <c r="J5244" s="23"/>
      <c r="K5244" s="30"/>
      <c r="L5244" s="23"/>
      <c r="M5244" s="20"/>
      <c r="N5244" s="20"/>
      <c r="O5244" s="20"/>
      <c r="P5244" s="20"/>
    </row>
    <row r="5245">
      <c r="A5245" s="10"/>
      <c r="B5245" s="11"/>
      <c r="C5245" s="10"/>
      <c r="D5245" s="13"/>
      <c r="E5245" s="14"/>
      <c r="F5245" s="14"/>
      <c r="G5245" s="14"/>
      <c r="H5245" s="10"/>
      <c r="I5245" s="17"/>
      <c r="J5245" s="10"/>
      <c r="K5245" s="46"/>
      <c r="L5245" s="10"/>
      <c r="M5245" s="20"/>
      <c r="N5245" s="20"/>
      <c r="O5245" s="20"/>
      <c r="P5245" s="20"/>
    </row>
    <row r="5246">
      <c r="A5246" s="23"/>
      <c r="B5246" s="21"/>
      <c r="C5246" s="23"/>
      <c r="D5246" s="24"/>
      <c r="E5246" s="14"/>
      <c r="F5246" s="14"/>
      <c r="G5246" s="14"/>
      <c r="H5246" s="23"/>
      <c r="I5246" s="27"/>
      <c r="J5246" s="23"/>
      <c r="K5246" s="30"/>
      <c r="L5246" s="23"/>
      <c r="M5246" s="20"/>
      <c r="N5246" s="20"/>
      <c r="O5246" s="20"/>
      <c r="P5246" s="20"/>
    </row>
    <row r="5247">
      <c r="A5247" s="10"/>
      <c r="B5247" s="11"/>
      <c r="C5247" s="10"/>
      <c r="D5247" s="13"/>
      <c r="E5247" s="14"/>
      <c r="F5247" s="14"/>
      <c r="G5247" s="14"/>
      <c r="H5247" s="10"/>
      <c r="I5247" s="17"/>
      <c r="J5247" s="10"/>
      <c r="K5247" s="46"/>
      <c r="L5247" s="10"/>
      <c r="M5247" s="20"/>
      <c r="N5247" s="20"/>
      <c r="O5247" s="20"/>
      <c r="P5247" s="20"/>
    </row>
    <row r="5248">
      <c r="A5248" s="23"/>
      <c r="B5248" s="21"/>
      <c r="C5248" s="23"/>
      <c r="D5248" s="24"/>
      <c r="E5248" s="14"/>
      <c r="F5248" s="14"/>
      <c r="G5248" s="14"/>
      <c r="H5248" s="23"/>
      <c r="I5248" s="27"/>
      <c r="J5248" s="23"/>
      <c r="K5248" s="30"/>
      <c r="L5248" s="23"/>
      <c r="M5248" s="20"/>
      <c r="N5248" s="20"/>
      <c r="O5248" s="20"/>
      <c r="P5248" s="20"/>
    </row>
    <row r="5249">
      <c r="A5249" s="10"/>
      <c r="B5249" s="11"/>
      <c r="C5249" s="10"/>
      <c r="D5249" s="13"/>
      <c r="E5249" s="14"/>
      <c r="F5249" s="14"/>
      <c r="G5249" s="14"/>
      <c r="H5249" s="10"/>
      <c r="I5249" s="17"/>
      <c r="J5249" s="10"/>
      <c r="K5249" s="46"/>
      <c r="L5249" s="10"/>
      <c r="M5249" s="20"/>
      <c r="N5249" s="20"/>
      <c r="O5249" s="20"/>
      <c r="P5249" s="20"/>
    </row>
    <row r="5250">
      <c r="A5250" s="23"/>
      <c r="B5250" s="21"/>
      <c r="C5250" s="23"/>
      <c r="D5250" s="24"/>
      <c r="E5250" s="14"/>
      <c r="F5250" s="14"/>
      <c r="G5250" s="14"/>
      <c r="H5250" s="23"/>
      <c r="I5250" s="27"/>
      <c r="J5250" s="23"/>
      <c r="K5250" s="30"/>
      <c r="L5250" s="23"/>
      <c r="M5250" s="20"/>
      <c r="N5250" s="20"/>
      <c r="O5250" s="20"/>
      <c r="P5250" s="20"/>
    </row>
    <row r="5251">
      <c r="A5251" s="10"/>
      <c r="B5251" s="11"/>
      <c r="C5251" s="10"/>
      <c r="D5251" s="13"/>
      <c r="E5251" s="14"/>
      <c r="F5251" s="14"/>
      <c r="G5251" s="14"/>
      <c r="H5251" s="10"/>
      <c r="I5251" s="17"/>
      <c r="J5251" s="10"/>
      <c r="K5251" s="46"/>
      <c r="L5251" s="10"/>
      <c r="M5251" s="20"/>
      <c r="N5251" s="20"/>
      <c r="O5251" s="20"/>
      <c r="P5251" s="20"/>
    </row>
    <row r="5252">
      <c r="A5252" s="23"/>
      <c r="B5252" s="21"/>
      <c r="C5252" s="23"/>
      <c r="D5252" s="24"/>
      <c r="E5252" s="14"/>
      <c r="F5252" s="14"/>
      <c r="G5252" s="14"/>
      <c r="H5252" s="23"/>
      <c r="I5252" s="27"/>
      <c r="J5252" s="23"/>
      <c r="K5252" s="30"/>
      <c r="L5252" s="23"/>
      <c r="M5252" s="20"/>
      <c r="N5252" s="20"/>
      <c r="O5252" s="20"/>
      <c r="P5252" s="20"/>
    </row>
    <row r="5253">
      <c r="A5253" s="10"/>
      <c r="B5253" s="11"/>
      <c r="C5253" s="10"/>
      <c r="D5253" s="13"/>
      <c r="E5253" s="14"/>
      <c r="F5253" s="14"/>
      <c r="G5253" s="14"/>
      <c r="H5253" s="10"/>
      <c r="I5253" s="17"/>
      <c r="J5253" s="10"/>
      <c r="K5253" s="46"/>
      <c r="L5253" s="10"/>
      <c r="M5253" s="20"/>
      <c r="N5253" s="20"/>
      <c r="O5253" s="20"/>
      <c r="P5253" s="20"/>
    </row>
    <row r="5254">
      <c r="A5254" s="23"/>
      <c r="B5254" s="21"/>
      <c r="C5254" s="23"/>
      <c r="D5254" s="24"/>
      <c r="E5254" s="14"/>
      <c r="F5254" s="14"/>
      <c r="G5254" s="14"/>
      <c r="H5254" s="23"/>
      <c r="I5254" s="27"/>
      <c r="J5254" s="23"/>
      <c r="K5254" s="30"/>
      <c r="L5254" s="23"/>
      <c r="M5254" s="20"/>
      <c r="N5254" s="20"/>
      <c r="O5254" s="20"/>
      <c r="P5254" s="20"/>
    </row>
    <row r="5255">
      <c r="A5255" s="10"/>
      <c r="B5255" s="11"/>
      <c r="C5255" s="10"/>
      <c r="D5255" s="13"/>
      <c r="E5255" s="14"/>
      <c r="F5255" s="14"/>
      <c r="G5255" s="14"/>
      <c r="H5255" s="10"/>
      <c r="I5255" s="17"/>
      <c r="J5255" s="10"/>
      <c r="K5255" s="46"/>
      <c r="L5255" s="10"/>
      <c r="M5255" s="20"/>
      <c r="N5255" s="20"/>
      <c r="O5255" s="20"/>
      <c r="P5255" s="20"/>
    </row>
    <row r="5256">
      <c r="A5256" s="23"/>
      <c r="B5256" s="21"/>
      <c r="C5256" s="23"/>
      <c r="D5256" s="24"/>
      <c r="E5256" s="14"/>
      <c r="F5256" s="14"/>
      <c r="G5256" s="14"/>
      <c r="H5256" s="23"/>
      <c r="I5256" s="27"/>
      <c r="J5256" s="23"/>
      <c r="K5256" s="30"/>
      <c r="L5256" s="23"/>
      <c r="M5256" s="20"/>
      <c r="N5256" s="20"/>
      <c r="O5256" s="20"/>
      <c r="P5256" s="20"/>
    </row>
    <row r="5257">
      <c r="A5257" s="10"/>
      <c r="B5257" s="11"/>
      <c r="C5257" s="10"/>
      <c r="D5257" s="13"/>
      <c r="E5257" s="14"/>
      <c r="F5257" s="14"/>
      <c r="G5257" s="14"/>
      <c r="H5257" s="10"/>
      <c r="I5257" s="17"/>
      <c r="J5257" s="10"/>
      <c r="K5257" s="46"/>
      <c r="L5257" s="10"/>
      <c r="M5257" s="20"/>
      <c r="N5257" s="20"/>
      <c r="O5257" s="20"/>
      <c r="P5257" s="20"/>
    </row>
    <row r="5258">
      <c r="A5258" s="23"/>
      <c r="B5258" s="21"/>
      <c r="C5258" s="23"/>
      <c r="D5258" s="24"/>
      <c r="E5258" s="14"/>
      <c r="F5258" s="14"/>
      <c r="G5258" s="14"/>
      <c r="H5258" s="23"/>
      <c r="I5258" s="27"/>
      <c r="J5258" s="23"/>
      <c r="K5258" s="30"/>
      <c r="L5258" s="23"/>
      <c r="M5258" s="20"/>
      <c r="N5258" s="20"/>
      <c r="O5258" s="20"/>
      <c r="P5258" s="20"/>
    </row>
    <row r="5259">
      <c r="A5259" s="10"/>
      <c r="B5259" s="11"/>
      <c r="C5259" s="10"/>
      <c r="D5259" s="13"/>
      <c r="E5259" s="14"/>
      <c r="F5259" s="14"/>
      <c r="G5259" s="14"/>
      <c r="H5259" s="10"/>
      <c r="I5259" s="17"/>
      <c r="J5259" s="10"/>
      <c r="K5259" s="46"/>
      <c r="L5259" s="10"/>
      <c r="M5259" s="20"/>
      <c r="N5259" s="20"/>
      <c r="O5259" s="20"/>
      <c r="P5259" s="20"/>
    </row>
    <row r="5260">
      <c r="A5260" s="23"/>
      <c r="B5260" s="21"/>
      <c r="C5260" s="23"/>
      <c r="D5260" s="24"/>
      <c r="E5260" s="14"/>
      <c r="F5260" s="14"/>
      <c r="G5260" s="14"/>
      <c r="H5260" s="23"/>
      <c r="I5260" s="27"/>
      <c r="J5260" s="23"/>
      <c r="K5260" s="30"/>
      <c r="L5260" s="23"/>
      <c r="M5260" s="20"/>
      <c r="N5260" s="20"/>
      <c r="O5260" s="20"/>
      <c r="P5260" s="20"/>
    </row>
    <row r="5261">
      <c r="A5261" s="10"/>
      <c r="B5261" s="11"/>
      <c r="C5261" s="10"/>
      <c r="D5261" s="13"/>
      <c r="E5261" s="14"/>
      <c r="F5261" s="14"/>
      <c r="G5261" s="14"/>
      <c r="H5261" s="10"/>
      <c r="I5261" s="17"/>
      <c r="J5261" s="10"/>
      <c r="K5261" s="46"/>
      <c r="L5261" s="10"/>
      <c r="M5261" s="20"/>
      <c r="N5261" s="20"/>
      <c r="O5261" s="20"/>
      <c r="P5261" s="20"/>
    </row>
    <row r="5262">
      <c r="A5262" s="23"/>
      <c r="B5262" s="21"/>
      <c r="C5262" s="23"/>
      <c r="D5262" s="24"/>
      <c r="E5262" s="14"/>
      <c r="F5262" s="14"/>
      <c r="G5262" s="14"/>
      <c r="H5262" s="23"/>
      <c r="I5262" s="27"/>
      <c r="J5262" s="23"/>
      <c r="K5262" s="30"/>
      <c r="L5262" s="23"/>
      <c r="M5262" s="20"/>
      <c r="N5262" s="20"/>
      <c r="O5262" s="20"/>
      <c r="P5262" s="20"/>
    </row>
    <row r="5263">
      <c r="A5263" s="10"/>
      <c r="B5263" s="11"/>
      <c r="C5263" s="10"/>
      <c r="D5263" s="13"/>
      <c r="E5263" s="14"/>
      <c r="F5263" s="14"/>
      <c r="G5263" s="14"/>
      <c r="H5263" s="10"/>
      <c r="I5263" s="17"/>
      <c r="J5263" s="10"/>
      <c r="K5263" s="46"/>
      <c r="L5263" s="10"/>
      <c r="M5263" s="20"/>
      <c r="N5263" s="20"/>
      <c r="O5263" s="20"/>
      <c r="P5263" s="20"/>
    </row>
    <row r="5264">
      <c r="A5264" s="23"/>
      <c r="B5264" s="21"/>
      <c r="C5264" s="23"/>
      <c r="D5264" s="24"/>
      <c r="E5264" s="14"/>
      <c r="F5264" s="14"/>
      <c r="G5264" s="14"/>
      <c r="H5264" s="23"/>
      <c r="I5264" s="27"/>
      <c r="J5264" s="23"/>
      <c r="K5264" s="30"/>
      <c r="L5264" s="23"/>
      <c r="M5264" s="20"/>
      <c r="N5264" s="20"/>
      <c r="O5264" s="20"/>
      <c r="P5264" s="20"/>
    </row>
    <row r="5265">
      <c r="A5265" s="10"/>
      <c r="B5265" s="11"/>
      <c r="C5265" s="10"/>
      <c r="D5265" s="13"/>
      <c r="E5265" s="14"/>
      <c r="F5265" s="14"/>
      <c r="G5265" s="14"/>
      <c r="H5265" s="10"/>
      <c r="I5265" s="17"/>
      <c r="J5265" s="10"/>
      <c r="K5265" s="46"/>
      <c r="L5265" s="10"/>
      <c r="M5265" s="20"/>
      <c r="N5265" s="20"/>
      <c r="O5265" s="20"/>
      <c r="P5265" s="20"/>
    </row>
    <row r="5266">
      <c r="A5266" s="23"/>
      <c r="B5266" s="21"/>
      <c r="C5266" s="23"/>
      <c r="D5266" s="24"/>
      <c r="E5266" s="14"/>
      <c r="F5266" s="14"/>
      <c r="G5266" s="14"/>
      <c r="H5266" s="23"/>
      <c r="I5266" s="27"/>
      <c r="J5266" s="23"/>
      <c r="K5266" s="30"/>
      <c r="L5266" s="23"/>
      <c r="M5266" s="20"/>
      <c r="N5266" s="20"/>
      <c r="O5266" s="20"/>
      <c r="P5266" s="20"/>
    </row>
    <row r="5267">
      <c r="A5267" s="10"/>
      <c r="B5267" s="11"/>
      <c r="C5267" s="10"/>
      <c r="D5267" s="13"/>
      <c r="E5267" s="14"/>
      <c r="F5267" s="14"/>
      <c r="G5267" s="14"/>
      <c r="H5267" s="10"/>
      <c r="I5267" s="17"/>
      <c r="J5267" s="10"/>
      <c r="K5267" s="46"/>
      <c r="L5267" s="10"/>
      <c r="M5267" s="20"/>
      <c r="N5267" s="20"/>
      <c r="O5267" s="20"/>
      <c r="P5267" s="20"/>
    </row>
    <row r="5268">
      <c r="A5268" s="23"/>
      <c r="B5268" s="21"/>
      <c r="C5268" s="23"/>
      <c r="D5268" s="24"/>
      <c r="E5268" s="14"/>
      <c r="F5268" s="14"/>
      <c r="G5268" s="14"/>
      <c r="H5268" s="23"/>
      <c r="I5268" s="27"/>
      <c r="J5268" s="23"/>
      <c r="K5268" s="30"/>
      <c r="L5268" s="23"/>
      <c r="M5268" s="20"/>
      <c r="N5268" s="20"/>
      <c r="O5268" s="20"/>
      <c r="P5268" s="20"/>
    </row>
    <row r="5269">
      <c r="A5269" s="10"/>
      <c r="B5269" s="11"/>
      <c r="C5269" s="10"/>
      <c r="D5269" s="13"/>
      <c r="E5269" s="14"/>
      <c r="F5269" s="14"/>
      <c r="G5269" s="14"/>
      <c r="H5269" s="10"/>
      <c r="I5269" s="17"/>
      <c r="J5269" s="10"/>
      <c r="K5269" s="46"/>
      <c r="L5269" s="10"/>
      <c r="M5269" s="20"/>
      <c r="N5269" s="20"/>
      <c r="O5269" s="20"/>
      <c r="P5269" s="20"/>
    </row>
    <row r="5270">
      <c r="A5270" s="23"/>
      <c r="B5270" s="21"/>
      <c r="C5270" s="23"/>
      <c r="D5270" s="24"/>
      <c r="E5270" s="14"/>
      <c r="F5270" s="14"/>
      <c r="G5270" s="14"/>
      <c r="H5270" s="23"/>
      <c r="I5270" s="27"/>
      <c r="J5270" s="23"/>
      <c r="K5270" s="30"/>
      <c r="L5270" s="23"/>
      <c r="M5270" s="20"/>
      <c r="N5270" s="20"/>
      <c r="O5270" s="20"/>
      <c r="P5270" s="20"/>
    </row>
    <row r="5271">
      <c r="A5271" s="10"/>
      <c r="B5271" s="11"/>
      <c r="C5271" s="10"/>
      <c r="D5271" s="13"/>
      <c r="E5271" s="14"/>
      <c r="F5271" s="14"/>
      <c r="G5271" s="14"/>
      <c r="H5271" s="10"/>
      <c r="I5271" s="17"/>
      <c r="J5271" s="10"/>
      <c r="K5271" s="46"/>
      <c r="L5271" s="10"/>
      <c r="M5271" s="20"/>
      <c r="N5271" s="20"/>
      <c r="O5271" s="20"/>
      <c r="P5271" s="20"/>
    </row>
    <row r="5272">
      <c r="A5272" s="23"/>
      <c r="B5272" s="21"/>
      <c r="C5272" s="23"/>
      <c r="D5272" s="24"/>
      <c r="E5272" s="14"/>
      <c r="F5272" s="14"/>
      <c r="G5272" s="14"/>
      <c r="H5272" s="23"/>
      <c r="I5272" s="27"/>
      <c r="J5272" s="23"/>
      <c r="K5272" s="30"/>
      <c r="L5272" s="23"/>
      <c r="M5272" s="20"/>
      <c r="N5272" s="20"/>
      <c r="O5272" s="20"/>
      <c r="P5272" s="20"/>
    </row>
    <row r="5273">
      <c r="A5273" s="10"/>
      <c r="B5273" s="11"/>
      <c r="C5273" s="10"/>
      <c r="D5273" s="13"/>
      <c r="E5273" s="14"/>
      <c r="F5273" s="14"/>
      <c r="G5273" s="14"/>
      <c r="H5273" s="10"/>
      <c r="I5273" s="17"/>
      <c r="J5273" s="10"/>
      <c r="K5273" s="46"/>
      <c r="L5273" s="10"/>
      <c r="M5273" s="20"/>
      <c r="N5273" s="20"/>
      <c r="O5273" s="20"/>
      <c r="P5273" s="20"/>
    </row>
    <row r="5274">
      <c r="A5274" s="23"/>
      <c r="B5274" s="21"/>
      <c r="C5274" s="23"/>
      <c r="D5274" s="24"/>
      <c r="E5274" s="14"/>
      <c r="F5274" s="14"/>
      <c r="G5274" s="14"/>
      <c r="H5274" s="23"/>
      <c r="I5274" s="27"/>
      <c r="J5274" s="23"/>
      <c r="K5274" s="30"/>
      <c r="L5274" s="23"/>
      <c r="M5274" s="20"/>
      <c r="N5274" s="20"/>
      <c r="O5274" s="20"/>
      <c r="P5274" s="20"/>
    </row>
    <row r="5275">
      <c r="A5275" s="10"/>
      <c r="B5275" s="11"/>
      <c r="C5275" s="10"/>
      <c r="D5275" s="13"/>
      <c r="E5275" s="14"/>
      <c r="F5275" s="14"/>
      <c r="G5275" s="14"/>
      <c r="H5275" s="10"/>
      <c r="I5275" s="17"/>
      <c r="J5275" s="10"/>
      <c r="K5275" s="46"/>
      <c r="L5275" s="10"/>
      <c r="M5275" s="20"/>
      <c r="N5275" s="20"/>
      <c r="O5275" s="20"/>
      <c r="P5275" s="20"/>
    </row>
    <row r="5276">
      <c r="A5276" s="23"/>
      <c r="B5276" s="21"/>
      <c r="C5276" s="23"/>
      <c r="D5276" s="24"/>
      <c r="E5276" s="14"/>
      <c r="F5276" s="14"/>
      <c r="G5276" s="14"/>
      <c r="H5276" s="23"/>
      <c r="I5276" s="27"/>
      <c r="J5276" s="23"/>
      <c r="K5276" s="30"/>
      <c r="L5276" s="23"/>
      <c r="M5276" s="20"/>
      <c r="N5276" s="20"/>
      <c r="O5276" s="20"/>
      <c r="P5276" s="20"/>
    </row>
    <row r="5277">
      <c r="A5277" s="10"/>
      <c r="B5277" s="11"/>
      <c r="C5277" s="10"/>
      <c r="D5277" s="13"/>
      <c r="E5277" s="14"/>
      <c r="F5277" s="14"/>
      <c r="G5277" s="14"/>
      <c r="H5277" s="10"/>
      <c r="I5277" s="17"/>
      <c r="J5277" s="10"/>
      <c r="K5277" s="46"/>
      <c r="L5277" s="10"/>
      <c r="M5277" s="20"/>
      <c r="N5277" s="20"/>
      <c r="O5277" s="20"/>
      <c r="P5277" s="20"/>
    </row>
    <row r="5278">
      <c r="A5278" s="23"/>
      <c r="B5278" s="21"/>
      <c r="C5278" s="23"/>
      <c r="D5278" s="24"/>
      <c r="E5278" s="14"/>
      <c r="F5278" s="14"/>
      <c r="G5278" s="14"/>
      <c r="H5278" s="23"/>
      <c r="I5278" s="27"/>
      <c r="J5278" s="23"/>
      <c r="K5278" s="30"/>
      <c r="L5278" s="23"/>
      <c r="M5278" s="20"/>
      <c r="N5278" s="20"/>
      <c r="O5278" s="20"/>
      <c r="P5278" s="20"/>
    </row>
    <row r="5279">
      <c r="A5279" s="10"/>
      <c r="B5279" s="11"/>
      <c r="C5279" s="10"/>
      <c r="D5279" s="13"/>
      <c r="E5279" s="14"/>
      <c r="F5279" s="14"/>
      <c r="G5279" s="14"/>
      <c r="H5279" s="10"/>
      <c r="I5279" s="17"/>
      <c r="J5279" s="10"/>
      <c r="K5279" s="46"/>
      <c r="L5279" s="10"/>
      <c r="M5279" s="20"/>
      <c r="N5279" s="20"/>
      <c r="O5279" s="20"/>
      <c r="P5279" s="20"/>
    </row>
    <row r="5280">
      <c r="A5280" s="23"/>
      <c r="B5280" s="21"/>
      <c r="C5280" s="23"/>
      <c r="D5280" s="24"/>
      <c r="E5280" s="14"/>
      <c r="F5280" s="14"/>
      <c r="G5280" s="14"/>
      <c r="H5280" s="23"/>
      <c r="I5280" s="27"/>
      <c r="J5280" s="23"/>
      <c r="K5280" s="30"/>
      <c r="L5280" s="23"/>
      <c r="M5280" s="20"/>
      <c r="N5280" s="20"/>
      <c r="O5280" s="20"/>
      <c r="P5280" s="20"/>
    </row>
    <row r="5281">
      <c r="A5281" s="10"/>
      <c r="B5281" s="11"/>
      <c r="C5281" s="10"/>
      <c r="D5281" s="13"/>
      <c r="E5281" s="14"/>
      <c r="F5281" s="14"/>
      <c r="G5281" s="14"/>
      <c r="H5281" s="10"/>
      <c r="I5281" s="17"/>
      <c r="J5281" s="10"/>
      <c r="K5281" s="46"/>
      <c r="L5281" s="10"/>
      <c r="M5281" s="20"/>
      <c r="N5281" s="20"/>
      <c r="O5281" s="20"/>
      <c r="P5281" s="20"/>
    </row>
    <row r="5282">
      <c r="A5282" s="23"/>
      <c r="B5282" s="21"/>
      <c r="C5282" s="23"/>
      <c r="D5282" s="24"/>
      <c r="E5282" s="14"/>
      <c r="F5282" s="14"/>
      <c r="G5282" s="14"/>
      <c r="H5282" s="23"/>
      <c r="I5282" s="27"/>
      <c r="J5282" s="23"/>
      <c r="K5282" s="30"/>
      <c r="L5282" s="23"/>
      <c r="M5282" s="20"/>
      <c r="N5282" s="20"/>
      <c r="O5282" s="20"/>
      <c r="P5282" s="20"/>
    </row>
    <row r="5283">
      <c r="A5283" s="10"/>
      <c r="B5283" s="11"/>
      <c r="C5283" s="10"/>
      <c r="D5283" s="13"/>
      <c r="E5283" s="14"/>
      <c r="F5283" s="14"/>
      <c r="G5283" s="14"/>
      <c r="H5283" s="10"/>
      <c r="I5283" s="17"/>
      <c r="J5283" s="10"/>
      <c r="K5283" s="46"/>
      <c r="L5283" s="10"/>
      <c r="M5283" s="20"/>
      <c r="N5283" s="20"/>
      <c r="O5283" s="20"/>
      <c r="P5283" s="20"/>
    </row>
    <row r="5284">
      <c r="A5284" s="23"/>
      <c r="B5284" s="21"/>
      <c r="C5284" s="23"/>
      <c r="D5284" s="24"/>
      <c r="E5284" s="14"/>
      <c r="F5284" s="14"/>
      <c r="G5284" s="14"/>
      <c r="H5284" s="23"/>
      <c r="I5284" s="27"/>
      <c r="J5284" s="23"/>
      <c r="K5284" s="30"/>
      <c r="L5284" s="23"/>
      <c r="M5284" s="20"/>
      <c r="N5284" s="20"/>
      <c r="O5284" s="20"/>
      <c r="P5284" s="20"/>
    </row>
    <row r="5285">
      <c r="A5285" s="10"/>
      <c r="B5285" s="11"/>
      <c r="C5285" s="10"/>
      <c r="D5285" s="13"/>
      <c r="E5285" s="14"/>
      <c r="F5285" s="14"/>
      <c r="G5285" s="14"/>
      <c r="H5285" s="10"/>
      <c r="I5285" s="17"/>
      <c r="J5285" s="10"/>
      <c r="K5285" s="46"/>
      <c r="L5285" s="10"/>
      <c r="M5285" s="20"/>
      <c r="N5285" s="20"/>
      <c r="O5285" s="20"/>
      <c r="P5285" s="20"/>
    </row>
    <row r="5286">
      <c r="A5286" s="23"/>
      <c r="B5286" s="21"/>
      <c r="C5286" s="23"/>
      <c r="D5286" s="24"/>
      <c r="E5286" s="14"/>
      <c r="F5286" s="14"/>
      <c r="G5286" s="14"/>
      <c r="H5286" s="23"/>
      <c r="I5286" s="27"/>
      <c r="J5286" s="23"/>
      <c r="K5286" s="30"/>
      <c r="L5286" s="23"/>
      <c r="M5286" s="20"/>
      <c r="N5286" s="20"/>
      <c r="O5286" s="20"/>
      <c r="P5286" s="20"/>
    </row>
    <row r="5287">
      <c r="A5287" s="10"/>
      <c r="B5287" s="11"/>
      <c r="C5287" s="10"/>
      <c r="D5287" s="13"/>
      <c r="E5287" s="14"/>
      <c r="F5287" s="14"/>
      <c r="G5287" s="14"/>
      <c r="H5287" s="10"/>
      <c r="I5287" s="17"/>
      <c r="J5287" s="10"/>
      <c r="K5287" s="46"/>
      <c r="L5287" s="10"/>
      <c r="M5287" s="20"/>
      <c r="N5287" s="20"/>
      <c r="O5287" s="20"/>
      <c r="P5287" s="20"/>
    </row>
    <row r="5288">
      <c r="A5288" s="23"/>
      <c r="B5288" s="21"/>
      <c r="C5288" s="23"/>
      <c r="D5288" s="24"/>
      <c r="E5288" s="14"/>
      <c r="F5288" s="14"/>
      <c r="G5288" s="14"/>
      <c r="H5288" s="23"/>
      <c r="I5288" s="27"/>
      <c r="J5288" s="23"/>
      <c r="K5288" s="30"/>
      <c r="L5288" s="23"/>
      <c r="M5288" s="20"/>
      <c r="N5288" s="20"/>
      <c r="O5288" s="20"/>
      <c r="P5288" s="20"/>
    </row>
    <row r="5289">
      <c r="A5289" s="10"/>
      <c r="B5289" s="11"/>
      <c r="C5289" s="10"/>
      <c r="D5289" s="13"/>
      <c r="E5289" s="14"/>
      <c r="F5289" s="14"/>
      <c r="G5289" s="14"/>
      <c r="H5289" s="10"/>
      <c r="I5289" s="17"/>
      <c r="J5289" s="10"/>
      <c r="K5289" s="46"/>
      <c r="L5289" s="10"/>
      <c r="M5289" s="20"/>
      <c r="N5289" s="20"/>
      <c r="O5289" s="20"/>
      <c r="P5289" s="20"/>
    </row>
    <row r="5290">
      <c r="A5290" s="23"/>
      <c r="B5290" s="21"/>
      <c r="C5290" s="23"/>
      <c r="D5290" s="24"/>
      <c r="E5290" s="14"/>
      <c r="F5290" s="14"/>
      <c r="G5290" s="14"/>
      <c r="H5290" s="23"/>
      <c r="I5290" s="27"/>
      <c r="J5290" s="23"/>
      <c r="K5290" s="30"/>
      <c r="L5290" s="23"/>
      <c r="M5290" s="20"/>
      <c r="N5290" s="20"/>
      <c r="O5290" s="20"/>
      <c r="P5290" s="20"/>
    </row>
    <row r="5291">
      <c r="A5291" s="10"/>
      <c r="B5291" s="11"/>
      <c r="C5291" s="10"/>
      <c r="D5291" s="13"/>
      <c r="E5291" s="14"/>
      <c r="F5291" s="14"/>
      <c r="G5291" s="14"/>
      <c r="H5291" s="10"/>
      <c r="I5291" s="17"/>
      <c r="J5291" s="10"/>
      <c r="K5291" s="46"/>
      <c r="L5291" s="10"/>
      <c r="M5291" s="20"/>
      <c r="N5291" s="20"/>
      <c r="O5291" s="20"/>
      <c r="P5291" s="20"/>
    </row>
    <row r="5292">
      <c r="A5292" s="23"/>
      <c r="B5292" s="21"/>
      <c r="C5292" s="23"/>
      <c r="D5292" s="24"/>
      <c r="E5292" s="14"/>
      <c r="F5292" s="14"/>
      <c r="G5292" s="14"/>
      <c r="H5292" s="23"/>
      <c r="I5292" s="27"/>
      <c r="J5292" s="23"/>
      <c r="K5292" s="30"/>
      <c r="L5292" s="23"/>
      <c r="M5292" s="20"/>
      <c r="N5292" s="20"/>
      <c r="O5292" s="20"/>
      <c r="P5292" s="20"/>
    </row>
    <row r="5293">
      <c r="A5293" s="10"/>
      <c r="B5293" s="11"/>
      <c r="C5293" s="10"/>
      <c r="D5293" s="13"/>
      <c r="E5293" s="14"/>
      <c r="F5293" s="14"/>
      <c r="G5293" s="14"/>
      <c r="H5293" s="10"/>
      <c r="I5293" s="17"/>
      <c r="J5293" s="10"/>
      <c r="K5293" s="46"/>
      <c r="L5293" s="10"/>
      <c r="M5293" s="20"/>
      <c r="N5293" s="20"/>
      <c r="O5293" s="20"/>
      <c r="P5293" s="20"/>
    </row>
    <row r="5294">
      <c r="A5294" s="23"/>
      <c r="B5294" s="21"/>
      <c r="C5294" s="23"/>
      <c r="D5294" s="24"/>
      <c r="E5294" s="14"/>
      <c r="F5294" s="14"/>
      <c r="G5294" s="14"/>
      <c r="H5294" s="23"/>
      <c r="I5294" s="27"/>
      <c r="J5294" s="23"/>
      <c r="K5294" s="30"/>
      <c r="L5294" s="23"/>
      <c r="M5294" s="20"/>
      <c r="N5294" s="20"/>
      <c r="O5294" s="20"/>
      <c r="P5294" s="20"/>
    </row>
    <row r="5295">
      <c r="A5295" s="10"/>
      <c r="B5295" s="11"/>
      <c r="C5295" s="10"/>
      <c r="D5295" s="13"/>
      <c r="E5295" s="14"/>
      <c r="F5295" s="14"/>
      <c r="G5295" s="14"/>
      <c r="H5295" s="10"/>
      <c r="I5295" s="17"/>
      <c r="J5295" s="10"/>
      <c r="K5295" s="46"/>
      <c r="L5295" s="10"/>
      <c r="M5295" s="20"/>
      <c r="N5295" s="20"/>
      <c r="O5295" s="20"/>
      <c r="P5295" s="20"/>
    </row>
    <row r="5296">
      <c r="A5296" s="23"/>
      <c r="B5296" s="21"/>
      <c r="C5296" s="23"/>
      <c r="D5296" s="24"/>
      <c r="E5296" s="14"/>
      <c r="F5296" s="14"/>
      <c r="G5296" s="14"/>
      <c r="H5296" s="23"/>
      <c r="I5296" s="27"/>
      <c r="J5296" s="23"/>
      <c r="K5296" s="30"/>
      <c r="L5296" s="23"/>
      <c r="M5296" s="20"/>
      <c r="N5296" s="20"/>
      <c r="O5296" s="20"/>
      <c r="P5296" s="20"/>
    </row>
    <row r="5297">
      <c r="A5297" s="10"/>
      <c r="B5297" s="11"/>
      <c r="C5297" s="10"/>
      <c r="D5297" s="13"/>
      <c r="E5297" s="14"/>
      <c r="F5297" s="14"/>
      <c r="G5297" s="14"/>
      <c r="H5297" s="10"/>
      <c r="I5297" s="17"/>
      <c r="J5297" s="10"/>
      <c r="K5297" s="46"/>
      <c r="L5297" s="10"/>
      <c r="M5297" s="20"/>
      <c r="N5297" s="20"/>
      <c r="O5297" s="20"/>
      <c r="P5297" s="20"/>
    </row>
    <row r="5298">
      <c r="A5298" s="23"/>
      <c r="B5298" s="21"/>
      <c r="C5298" s="23"/>
      <c r="D5298" s="24"/>
      <c r="E5298" s="14"/>
      <c r="F5298" s="14"/>
      <c r="G5298" s="14"/>
      <c r="H5298" s="23"/>
      <c r="I5298" s="27"/>
      <c r="J5298" s="23"/>
      <c r="K5298" s="30"/>
      <c r="L5298" s="23"/>
      <c r="M5298" s="20"/>
      <c r="N5298" s="20"/>
      <c r="O5298" s="20"/>
      <c r="P5298" s="20"/>
    </row>
    <row r="5299">
      <c r="A5299" s="10"/>
      <c r="B5299" s="11"/>
      <c r="C5299" s="10"/>
      <c r="D5299" s="13"/>
      <c r="E5299" s="14"/>
      <c r="F5299" s="14"/>
      <c r="G5299" s="14"/>
      <c r="H5299" s="10"/>
      <c r="I5299" s="17"/>
      <c r="J5299" s="10"/>
      <c r="K5299" s="46"/>
      <c r="L5299" s="10"/>
      <c r="M5299" s="20"/>
      <c r="N5299" s="20"/>
      <c r="O5299" s="20"/>
      <c r="P5299" s="20"/>
    </row>
    <row r="5300">
      <c r="A5300" s="23"/>
      <c r="B5300" s="21"/>
      <c r="C5300" s="23"/>
      <c r="D5300" s="24"/>
      <c r="E5300" s="14"/>
      <c r="F5300" s="14"/>
      <c r="G5300" s="14"/>
      <c r="H5300" s="23"/>
      <c r="I5300" s="27"/>
      <c r="J5300" s="23"/>
      <c r="K5300" s="30"/>
      <c r="L5300" s="23"/>
      <c r="M5300" s="20"/>
      <c r="N5300" s="20"/>
      <c r="O5300" s="20"/>
      <c r="P5300" s="20"/>
    </row>
    <row r="5301">
      <c r="A5301" s="10"/>
      <c r="B5301" s="11"/>
      <c r="C5301" s="10"/>
      <c r="D5301" s="13"/>
      <c r="E5301" s="14"/>
      <c r="F5301" s="14"/>
      <c r="G5301" s="14"/>
      <c r="H5301" s="10"/>
      <c r="I5301" s="17"/>
      <c r="J5301" s="10"/>
      <c r="K5301" s="46"/>
      <c r="L5301" s="10"/>
      <c r="M5301" s="20"/>
      <c r="N5301" s="20"/>
      <c r="O5301" s="20"/>
      <c r="P5301" s="20"/>
    </row>
    <row r="5302">
      <c r="A5302" s="23"/>
      <c r="B5302" s="21"/>
      <c r="C5302" s="23"/>
      <c r="D5302" s="24"/>
      <c r="E5302" s="14"/>
      <c r="F5302" s="14"/>
      <c r="G5302" s="14"/>
      <c r="H5302" s="23"/>
      <c r="I5302" s="27"/>
      <c r="J5302" s="23"/>
      <c r="K5302" s="30"/>
      <c r="L5302" s="23"/>
      <c r="M5302" s="20"/>
      <c r="N5302" s="20"/>
      <c r="O5302" s="20"/>
      <c r="P5302" s="20"/>
    </row>
    <row r="5303">
      <c r="A5303" s="10"/>
      <c r="B5303" s="11"/>
      <c r="C5303" s="10"/>
      <c r="D5303" s="13"/>
      <c r="E5303" s="14"/>
      <c r="F5303" s="14"/>
      <c r="G5303" s="14"/>
      <c r="H5303" s="10"/>
      <c r="I5303" s="17"/>
      <c r="J5303" s="10"/>
      <c r="K5303" s="46"/>
      <c r="L5303" s="10"/>
      <c r="M5303" s="20"/>
      <c r="N5303" s="20"/>
      <c r="O5303" s="20"/>
      <c r="P5303" s="20"/>
    </row>
    <row r="5304">
      <c r="A5304" s="23"/>
      <c r="B5304" s="21"/>
      <c r="C5304" s="23"/>
      <c r="D5304" s="24"/>
      <c r="E5304" s="14"/>
      <c r="F5304" s="14"/>
      <c r="G5304" s="14"/>
      <c r="H5304" s="23"/>
      <c r="I5304" s="27"/>
      <c r="J5304" s="23"/>
      <c r="K5304" s="30"/>
      <c r="L5304" s="23"/>
      <c r="M5304" s="20"/>
      <c r="N5304" s="20"/>
      <c r="O5304" s="20"/>
      <c r="P5304" s="20"/>
    </row>
    <row r="5305">
      <c r="A5305" s="10"/>
      <c r="B5305" s="11"/>
      <c r="C5305" s="10"/>
      <c r="D5305" s="13"/>
      <c r="E5305" s="14"/>
      <c r="F5305" s="14"/>
      <c r="G5305" s="14"/>
      <c r="H5305" s="10"/>
      <c r="I5305" s="17"/>
      <c r="J5305" s="10"/>
      <c r="K5305" s="46"/>
      <c r="L5305" s="10"/>
      <c r="M5305" s="20"/>
      <c r="N5305" s="20"/>
      <c r="O5305" s="20"/>
      <c r="P5305" s="20"/>
    </row>
    <row r="5306">
      <c r="A5306" s="23"/>
      <c r="B5306" s="21"/>
      <c r="C5306" s="23"/>
      <c r="D5306" s="24"/>
      <c r="E5306" s="14"/>
      <c r="F5306" s="14"/>
      <c r="G5306" s="14"/>
      <c r="H5306" s="23"/>
      <c r="I5306" s="27"/>
      <c r="J5306" s="23"/>
      <c r="K5306" s="30"/>
      <c r="L5306" s="23"/>
      <c r="M5306" s="20"/>
      <c r="N5306" s="20"/>
      <c r="O5306" s="20"/>
      <c r="P5306" s="20"/>
    </row>
    <row r="5307">
      <c r="A5307" s="10"/>
      <c r="B5307" s="11"/>
      <c r="C5307" s="10"/>
      <c r="D5307" s="13"/>
      <c r="E5307" s="14"/>
      <c r="F5307" s="14"/>
      <c r="G5307" s="14"/>
      <c r="H5307" s="10"/>
      <c r="I5307" s="17"/>
      <c r="J5307" s="10"/>
      <c r="K5307" s="46"/>
      <c r="L5307" s="10"/>
      <c r="M5307" s="20"/>
      <c r="N5307" s="20"/>
      <c r="O5307" s="20"/>
      <c r="P5307" s="20"/>
    </row>
    <row r="5308">
      <c r="A5308" s="23"/>
      <c r="B5308" s="21"/>
      <c r="C5308" s="23"/>
      <c r="D5308" s="24"/>
      <c r="E5308" s="14"/>
      <c r="F5308" s="14"/>
      <c r="G5308" s="14"/>
      <c r="H5308" s="23"/>
      <c r="I5308" s="27"/>
      <c r="J5308" s="23"/>
      <c r="K5308" s="30"/>
      <c r="L5308" s="23"/>
      <c r="M5308" s="20"/>
      <c r="N5308" s="20"/>
      <c r="O5308" s="20"/>
      <c r="P5308" s="20"/>
    </row>
    <row r="5309">
      <c r="A5309" s="10"/>
      <c r="B5309" s="11"/>
      <c r="C5309" s="10"/>
      <c r="D5309" s="13"/>
      <c r="E5309" s="14"/>
      <c r="F5309" s="14"/>
      <c r="G5309" s="14"/>
      <c r="H5309" s="10"/>
      <c r="I5309" s="17"/>
      <c r="J5309" s="10"/>
      <c r="K5309" s="46"/>
      <c r="L5309" s="10"/>
      <c r="M5309" s="20"/>
      <c r="N5309" s="20"/>
      <c r="O5309" s="20"/>
      <c r="P5309" s="20"/>
    </row>
    <row r="5310">
      <c r="A5310" s="23"/>
      <c r="B5310" s="21"/>
      <c r="C5310" s="23"/>
      <c r="D5310" s="24"/>
      <c r="E5310" s="14"/>
      <c r="F5310" s="14"/>
      <c r="G5310" s="14"/>
      <c r="H5310" s="23"/>
      <c r="I5310" s="27"/>
      <c r="J5310" s="23"/>
      <c r="K5310" s="30"/>
      <c r="L5310" s="23"/>
      <c r="M5310" s="20"/>
      <c r="N5310" s="20"/>
      <c r="O5310" s="20"/>
      <c r="P5310" s="20"/>
    </row>
    <row r="5311">
      <c r="A5311" s="10"/>
      <c r="B5311" s="11"/>
      <c r="C5311" s="10"/>
      <c r="D5311" s="13"/>
      <c r="E5311" s="14"/>
      <c r="F5311" s="14"/>
      <c r="G5311" s="14"/>
      <c r="H5311" s="10"/>
      <c r="I5311" s="17"/>
      <c r="J5311" s="10"/>
      <c r="K5311" s="46"/>
      <c r="L5311" s="10"/>
      <c r="M5311" s="20"/>
      <c r="N5311" s="20"/>
      <c r="O5311" s="20"/>
      <c r="P5311" s="20"/>
    </row>
    <row r="5312">
      <c r="A5312" s="23"/>
      <c r="B5312" s="21"/>
      <c r="C5312" s="23"/>
      <c r="D5312" s="24"/>
      <c r="E5312" s="14"/>
      <c r="F5312" s="14"/>
      <c r="G5312" s="14"/>
      <c r="H5312" s="23"/>
      <c r="I5312" s="27"/>
      <c r="J5312" s="23"/>
      <c r="K5312" s="30"/>
      <c r="L5312" s="23"/>
      <c r="M5312" s="20"/>
      <c r="N5312" s="20"/>
      <c r="O5312" s="20"/>
      <c r="P5312" s="20"/>
    </row>
    <row r="5313">
      <c r="A5313" s="10"/>
      <c r="B5313" s="11"/>
      <c r="C5313" s="10"/>
      <c r="D5313" s="13"/>
      <c r="E5313" s="14"/>
      <c r="F5313" s="14"/>
      <c r="G5313" s="14"/>
      <c r="H5313" s="10"/>
      <c r="I5313" s="17"/>
      <c r="J5313" s="10"/>
      <c r="K5313" s="46"/>
      <c r="L5313" s="10"/>
      <c r="M5313" s="20"/>
      <c r="N5313" s="20"/>
      <c r="O5313" s="20"/>
      <c r="P5313" s="20"/>
    </row>
    <row r="5314">
      <c r="A5314" s="23"/>
      <c r="B5314" s="21"/>
      <c r="C5314" s="23"/>
      <c r="D5314" s="24"/>
      <c r="E5314" s="14"/>
      <c r="F5314" s="14"/>
      <c r="G5314" s="14"/>
      <c r="H5314" s="23"/>
      <c r="I5314" s="27"/>
      <c r="J5314" s="23"/>
      <c r="K5314" s="30"/>
      <c r="L5314" s="23"/>
      <c r="M5314" s="20"/>
      <c r="N5314" s="20"/>
      <c r="O5314" s="20"/>
      <c r="P5314" s="20"/>
    </row>
    <row r="5315">
      <c r="A5315" s="10"/>
      <c r="B5315" s="11"/>
      <c r="C5315" s="10"/>
      <c r="D5315" s="13"/>
      <c r="E5315" s="14"/>
      <c r="F5315" s="14"/>
      <c r="G5315" s="14"/>
      <c r="H5315" s="10"/>
      <c r="I5315" s="17"/>
      <c r="J5315" s="10"/>
      <c r="K5315" s="46"/>
      <c r="L5315" s="10"/>
      <c r="M5315" s="20"/>
      <c r="N5315" s="20"/>
      <c r="O5315" s="20"/>
      <c r="P5315" s="20"/>
    </row>
    <row r="5316">
      <c r="A5316" s="23"/>
      <c r="B5316" s="21"/>
      <c r="C5316" s="23"/>
      <c r="D5316" s="24"/>
      <c r="E5316" s="14"/>
      <c r="F5316" s="14"/>
      <c r="G5316" s="14"/>
      <c r="H5316" s="23"/>
      <c r="I5316" s="27"/>
      <c r="J5316" s="23"/>
      <c r="K5316" s="30"/>
      <c r="L5316" s="23"/>
      <c r="M5316" s="20"/>
      <c r="N5316" s="20"/>
      <c r="O5316" s="20"/>
      <c r="P5316" s="20"/>
    </row>
    <row r="5317">
      <c r="A5317" s="10"/>
      <c r="B5317" s="11"/>
      <c r="C5317" s="10"/>
      <c r="D5317" s="13"/>
      <c r="E5317" s="14"/>
      <c r="F5317" s="14"/>
      <c r="G5317" s="14"/>
      <c r="H5317" s="10"/>
      <c r="I5317" s="17"/>
      <c r="J5317" s="10"/>
      <c r="K5317" s="46"/>
      <c r="L5317" s="10"/>
      <c r="M5317" s="20"/>
      <c r="N5317" s="20"/>
      <c r="O5317" s="20"/>
      <c r="P5317" s="20"/>
    </row>
    <row r="5318">
      <c r="A5318" s="23"/>
      <c r="B5318" s="21"/>
      <c r="C5318" s="23"/>
      <c r="D5318" s="24"/>
      <c r="E5318" s="14"/>
      <c r="F5318" s="14"/>
      <c r="G5318" s="14"/>
      <c r="H5318" s="23"/>
      <c r="I5318" s="27"/>
      <c r="J5318" s="23"/>
      <c r="K5318" s="30"/>
      <c r="L5318" s="23"/>
      <c r="M5318" s="20"/>
      <c r="N5318" s="20"/>
      <c r="O5318" s="20"/>
      <c r="P5318" s="20"/>
    </row>
    <row r="5319">
      <c r="A5319" s="10"/>
      <c r="B5319" s="11"/>
      <c r="C5319" s="10"/>
      <c r="D5319" s="13"/>
      <c r="E5319" s="14"/>
      <c r="F5319" s="14"/>
      <c r="G5319" s="14"/>
      <c r="H5319" s="10"/>
      <c r="I5319" s="17"/>
      <c r="J5319" s="10"/>
      <c r="K5319" s="46"/>
      <c r="L5319" s="10"/>
      <c r="M5319" s="20"/>
      <c r="N5319" s="20"/>
      <c r="O5319" s="20"/>
      <c r="P5319" s="20"/>
    </row>
    <row r="5320">
      <c r="A5320" s="23"/>
      <c r="B5320" s="21"/>
      <c r="C5320" s="23"/>
      <c r="D5320" s="24"/>
      <c r="E5320" s="14"/>
      <c r="F5320" s="14"/>
      <c r="G5320" s="14"/>
      <c r="H5320" s="23"/>
      <c r="I5320" s="27"/>
      <c r="J5320" s="23"/>
      <c r="K5320" s="30"/>
      <c r="L5320" s="23"/>
      <c r="M5320" s="20"/>
      <c r="N5320" s="20"/>
      <c r="O5320" s="20"/>
      <c r="P5320" s="20"/>
    </row>
    <row r="5321">
      <c r="A5321" s="10"/>
      <c r="B5321" s="11"/>
      <c r="C5321" s="10"/>
      <c r="D5321" s="13"/>
      <c r="E5321" s="14"/>
      <c r="F5321" s="14"/>
      <c r="G5321" s="14"/>
      <c r="H5321" s="10"/>
      <c r="I5321" s="17"/>
      <c r="J5321" s="10"/>
      <c r="K5321" s="46"/>
      <c r="L5321" s="10"/>
      <c r="M5321" s="20"/>
      <c r="N5321" s="20"/>
      <c r="O5321" s="20"/>
      <c r="P5321" s="20"/>
    </row>
    <row r="5322">
      <c r="A5322" s="23"/>
      <c r="B5322" s="21"/>
      <c r="C5322" s="23"/>
      <c r="D5322" s="24"/>
      <c r="E5322" s="14"/>
      <c r="F5322" s="14"/>
      <c r="G5322" s="14"/>
      <c r="H5322" s="23"/>
      <c r="I5322" s="27"/>
      <c r="J5322" s="23"/>
      <c r="K5322" s="30"/>
      <c r="L5322" s="23"/>
      <c r="M5322" s="20"/>
      <c r="N5322" s="20"/>
      <c r="O5322" s="20"/>
      <c r="P5322" s="20"/>
    </row>
    <row r="5323">
      <c r="A5323" s="10"/>
      <c r="B5323" s="11"/>
      <c r="C5323" s="10"/>
      <c r="D5323" s="13"/>
      <c r="E5323" s="14"/>
      <c r="F5323" s="14"/>
      <c r="G5323" s="14"/>
      <c r="H5323" s="10"/>
      <c r="I5323" s="17"/>
      <c r="J5323" s="10"/>
      <c r="K5323" s="46"/>
      <c r="L5323" s="10"/>
      <c r="M5323" s="20"/>
      <c r="N5323" s="20"/>
      <c r="O5323" s="20"/>
      <c r="P5323" s="20"/>
    </row>
    <row r="5324">
      <c r="A5324" s="23"/>
      <c r="B5324" s="21"/>
      <c r="C5324" s="23"/>
      <c r="D5324" s="24"/>
      <c r="E5324" s="14"/>
      <c r="F5324" s="14"/>
      <c r="G5324" s="14"/>
      <c r="H5324" s="23"/>
      <c r="I5324" s="27"/>
      <c r="J5324" s="23"/>
      <c r="K5324" s="30"/>
      <c r="L5324" s="23"/>
      <c r="M5324" s="20"/>
      <c r="N5324" s="20"/>
      <c r="O5324" s="20"/>
      <c r="P5324" s="20"/>
    </row>
    <row r="5325">
      <c r="A5325" s="10"/>
      <c r="B5325" s="11"/>
      <c r="C5325" s="10"/>
      <c r="D5325" s="13"/>
      <c r="E5325" s="14"/>
      <c r="F5325" s="14"/>
      <c r="G5325" s="14"/>
      <c r="H5325" s="10"/>
      <c r="I5325" s="17"/>
      <c r="J5325" s="10"/>
      <c r="K5325" s="46"/>
      <c r="L5325" s="10"/>
      <c r="M5325" s="20"/>
      <c r="N5325" s="20"/>
      <c r="O5325" s="20"/>
      <c r="P5325" s="20"/>
    </row>
    <row r="5326">
      <c r="A5326" s="23"/>
      <c r="B5326" s="21"/>
      <c r="C5326" s="23"/>
      <c r="D5326" s="24"/>
      <c r="E5326" s="14"/>
      <c r="F5326" s="14"/>
      <c r="G5326" s="14"/>
      <c r="H5326" s="23"/>
      <c r="I5326" s="27"/>
      <c r="J5326" s="23"/>
      <c r="K5326" s="30"/>
      <c r="L5326" s="23"/>
      <c r="M5326" s="20"/>
      <c r="N5326" s="20"/>
      <c r="O5326" s="20"/>
      <c r="P5326" s="20"/>
    </row>
    <row r="5327">
      <c r="A5327" s="10"/>
      <c r="B5327" s="11"/>
      <c r="C5327" s="10"/>
      <c r="D5327" s="13"/>
      <c r="E5327" s="14"/>
      <c r="F5327" s="14"/>
      <c r="G5327" s="14"/>
      <c r="H5327" s="10"/>
      <c r="I5327" s="17"/>
      <c r="J5327" s="10"/>
      <c r="K5327" s="46"/>
      <c r="L5327" s="10"/>
      <c r="M5327" s="20"/>
      <c r="N5327" s="20"/>
      <c r="O5327" s="20"/>
      <c r="P5327" s="20"/>
    </row>
    <row r="5328">
      <c r="A5328" s="23"/>
      <c r="B5328" s="21"/>
      <c r="C5328" s="23"/>
      <c r="D5328" s="24"/>
      <c r="E5328" s="14"/>
      <c r="F5328" s="14"/>
      <c r="G5328" s="14"/>
      <c r="H5328" s="23"/>
      <c r="I5328" s="27"/>
      <c r="J5328" s="23"/>
      <c r="K5328" s="30"/>
      <c r="L5328" s="23"/>
      <c r="M5328" s="20"/>
      <c r="N5328" s="20"/>
      <c r="O5328" s="20"/>
      <c r="P5328" s="20"/>
    </row>
    <row r="5329">
      <c r="A5329" s="10"/>
      <c r="B5329" s="11"/>
      <c r="C5329" s="10"/>
      <c r="D5329" s="13"/>
      <c r="E5329" s="14"/>
      <c r="F5329" s="14"/>
      <c r="G5329" s="14"/>
      <c r="H5329" s="10"/>
      <c r="I5329" s="17"/>
      <c r="J5329" s="10"/>
      <c r="K5329" s="46"/>
      <c r="L5329" s="10"/>
      <c r="M5329" s="20"/>
      <c r="N5329" s="20"/>
      <c r="O5329" s="20"/>
      <c r="P5329" s="20"/>
    </row>
    <row r="5330">
      <c r="A5330" s="23"/>
      <c r="B5330" s="21"/>
      <c r="C5330" s="23"/>
      <c r="D5330" s="24"/>
      <c r="E5330" s="14"/>
      <c r="F5330" s="14"/>
      <c r="G5330" s="14"/>
      <c r="H5330" s="23"/>
      <c r="I5330" s="27"/>
      <c r="J5330" s="23"/>
      <c r="K5330" s="30"/>
      <c r="L5330" s="23"/>
      <c r="M5330" s="20"/>
      <c r="N5330" s="20"/>
      <c r="O5330" s="20"/>
      <c r="P5330" s="20"/>
    </row>
    <row r="5331">
      <c r="A5331" s="10"/>
      <c r="B5331" s="11"/>
      <c r="C5331" s="10"/>
      <c r="D5331" s="13"/>
      <c r="E5331" s="14"/>
      <c r="F5331" s="14"/>
      <c r="G5331" s="14"/>
      <c r="H5331" s="10"/>
      <c r="I5331" s="17"/>
      <c r="J5331" s="10"/>
      <c r="K5331" s="46"/>
      <c r="L5331" s="10"/>
      <c r="M5331" s="20"/>
      <c r="N5331" s="20"/>
      <c r="O5331" s="20"/>
      <c r="P5331" s="20"/>
    </row>
    <row r="5332">
      <c r="A5332" s="23"/>
      <c r="B5332" s="21"/>
      <c r="C5332" s="23"/>
      <c r="D5332" s="24"/>
      <c r="E5332" s="14"/>
      <c r="F5332" s="14"/>
      <c r="G5332" s="14"/>
      <c r="H5332" s="23"/>
      <c r="I5332" s="27"/>
      <c r="J5332" s="23"/>
      <c r="K5332" s="30"/>
      <c r="L5332" s="23"/>
      <c r="M5332" s="20"/>
      <c r="N5332" s="20"/>
      <c r="O5332" s="20"/>
      <c r="P5332" s="20"/>
    </row>
    <row r="5333">
      <c r="A5333" s="10"/>
      <c r="B5333" s="11"/>
      <c r="C5333" s="10"/>
      <c r="D5333" s="13"/>
      <c r="E5333" s="14"/>
      <c r="F5333" s="14"/>
      <c r="G5333" s="14"/>
      <c r="H5333" s="10"/>
      <c r="I5333" s="17"/>
      <c r="J5333" s="10"/>
      <c r="K5333" s="46"/>
      <c r="L5333" s="10"/>
      <c r="M5333" s="20"/>
      <c r="N5333" s="20"/>
      <c r="O5333" s="20"/>
      <c r="P5333" s="20"/>
    </row>
    <row r="5334">
      <c r="A5334" s="23"/>
      <c r="B5334" s="21"/>
      <c r="C5334" s="23"/>
      <c r="D5334" s="24"/>
      <c r="E5334" s="14"/>
      <c r="F5334" s="14"/>
      <c r="G5334" s="14"/>
      <c r="H5334" s="23"/>
      <c r="I5334" s="27"/>
      <c r="J5334" s="23"/>
      <c r="K5334" s="30"/>
      <c r="L5334" s="23"/>
      <c r="M5334" s="20"/>
      <c r="N5334" s="20"/>
      <c r="O5334" s="20"/>
      <c r="P5334" s="20"/>
    </row>
    <row r="5335">
      <c r="A5335" s="10"/>
      <c r="B5335" s="11"/>
      <c r="C5335" s="10"/>
      <c r="D5335" s="13"/>
      <c r="E5335" s="14"/>
      <c r="F5335" s="14"/>
      <c r="G5335" s="14"/>
      <c r="H5335" s="10"/>
      <c r="I5335" s="17"/>
      <c r="J5335" s="10"/>
      <c r="K5335" s="46"/>
      <c r="L5335" s="10"/>
      <c r="M5335" s="20"/>
      <c r="N5335" s="20"/>
      <c r="O5335" s="20"/>
      <c r="P5335" s="20"/>
    </row>
    <row r="5336">
      <c r="A5336" s="23"/>
      <c r="B5336" s="21"/>
      <c r="C5336" s="23"/>
      <c r="D5336" s="24"/>
      <c r="E5336" s="14"/>
      <c r="F5336" s="14"/>
      <c r="G5336" s="14"/>
      <c r="H5336" s="23"/>
      <c r="I5336" s="27"/>
      <c r="J5336" s="23"/>
      <c r="K5336" s="30"/>
      <c r="L5336" s="23"/>
      <c r="M5336" s="20"/>
      <c r="N5336" s="20"/>
      <c r="O5336" s="20"/>
      <c r="P5336" s="20"/>
    </row>
    <row r="5337">
      <c r="A5337" s="10"/>
      <c r="B5337" s="11"/>
      <c r="C5337" s="10"/>
      <c r="D5337" s="13"/>
      <c r="E5337" s="14"/>
      <c r="F5337" s="14"/>
      <c r="G5337" s="14"/>
      <c r="H5337" s="10"/>
      <c r="I5337" s="17"/>
      <c r="J5337" s="10"/>
      <c r="K5337" s="46"/>
      <c r="L5337" s="10"/>
      <c r="M5337" s="20"/>
      <c r="N5337" s="20"/>
      <c r="O5337" s="20"/>
      <c r="P5337" s="20"/>
    </row>
    <row r="5338">
      <c r="A5338" s="23"/>
      <c r="B5338" s="21"/>
      <c r="C5338" s="23"/>
      <c r="D5338" s="24"/>
      <c r="E5338" s="14"/>
      <c r="F5338" s="14"/>
      <c r="G5338" s="14"/>
      <c r="H5338" s="23"/>
      <c r="I5338" s="27"/>
      <c r="J5338" s="23"/>
      <c r="K5338" s="30"/>
      <c r="L5338" s="23"/>
      <c r="M5338" s="20"/>
      <c r="N5338" s="20"/>
      <c r="O5338" s="20"/>
      <c r="P5338" s="20"/>
    </row>
    <row r="5339">
      <c r="A5339" s="10"/>
      <c r="B5339" s="11"/>
      <c r="C5339" s="10"/>
      <c r="D5339" s="13"/>
      <c r="E5339" s="14"/>
      <c r="F5339" s="14"/>
      <c r="G5339" s="14"/>
      <c r="H5339" s="10"/>
      <c r="I5339" s="17"/>
      <c r="J5339" s="10"/>
      <c r="K5339" s="46"/>
      <c r="L5339" s="10"/>
      <c r="M5339" s="20"/>
      <c r="N5339" s="20"/>
      <c r="O5339" s="20"/>
      <c r="P5339" s="20"/>
    </row>
    <row r="5340">
      <c r="A5340" s="23"/>
      <c r="B5340" s="21"/>
      <c r="C5340" s="23"/>
      <c r="D5340" s="24"/>
      <c r="E5340" s="14"/>
      <c r="F5340" s="14"/>
      <c r="G5340" s="14"/>
      <c r="H5340" s="23"/>
      <c r="I5340" s="27"/>
      <c r="J5340" s="23"/>
      <c r="K5340" s="30"/>
      <c r="L5340" s="23"/>
      <c r="M5340" s="20"/>
      <c r="N5340" s="20"/>
      <c r="O5340" s="20"/>
      <c r="P5340" s="20"/>
    </row>
    <row r="5341">
      <c r="A5341" s="10"/>
      <c r="B5341" s="11"/>
      <c r="C5341" s="10"/>
      <c r="D5341" s="13"/>
      <c r="E5341" s="14"/>
      <c r="F5341" s="14"/>
      <c r="G5341" s="14"/>
      <c r="H5341" s="10"/>
      <c r="I5341" s="17"/>
      <c r="J5341" s="10"/>
      <c r="K5341" s="46"/>
      <c r="L5341" s="10"/>
      <c r="M5341" s="20"/>
      <c r="N5341" s="20"/>
      <c r="O5341" s="20"/>
      <c r="P5341" s="20"/>
    </row>
    <row r="5342">
      <c r="A5342" s="23"/>
      <c r="B5342" s="21"/>
      <c r="C5342" s="23"/>
      <c r="D5342" s="24"/>
      <c r="E5342" s="14"/>
      <c r="F5342" s="14"/>
      <c r="G5342" s="14"/>
      <c r="H5342" s="23"/>
      <c r="I5342" s="27"/>
      <c r="J5342" s="23"/>
      <c r="K5342" s="30"/>
      <c r="L5342" s="23"/>
      <c r="M5342" s="20"/>
      <c r="N5342" s="20"/>
      <c r="O5342" s="20"/>
      <c r="P5342" s="20"/>
    </row>
    <row r="5343">
      <c r="A5343" s="10"/>
      <c r="B5343" s="11"/>
      <c r="C5343" s="10"/>
      <c r="D5343" s="13"/>
      <c r="E5343" s="14"/>
      <c r="F5343" s="14"/>
      <c r="G5343" s="14"/>
      <c r="H5343" s="10"/>
      <c r="I5343" s="17"/>
      <c r="J5343" s="10"/>
      <c r="K5343" s="46"/>
      <c r="L5343" s="10"/>
      <c r="M5343" s="20"/>
      <c r="N5343" s="20"/>
      <c r="O5343" s="20"/>
      <c r="P5343" s="20"/>
    </row>
    <row r="5344">
      <c r="A5344" s="23"/>
      <c r="B5344" s="21"/>
      <c r="C5344" s="23"/>
      <c r="D5344" s="24"/>
      <c r="E5344" s="14"/>
      <c r="F5344" s="14"/>
      <c r="G5344" s="14"/>
      <c r="H5344" s="23"/>
      <c r="I5344" s="27"/>
      <c r="J5344" s="23"/>
      <c r="K5344" s="30"/>
      <c r="L5344" s="23"/>
      <c r="M5344" s="20"/>
      <c r="N5344" s="20"/>
      <c r="O5344" s="20"/>
      <c r="P5344" s="20"/>
    </row>
    <row r="5345">
      <c r="A5345" s="10"/>
      <c r="B5345" s="11"/>
      <c r="C5345" s="10"/>
      <c r="D5345" s="13"/>
      <c r="E5345" s="14"/>
      <c r="F5345" s="14"/>
      <c r="G5345" s="14"/>
      <c r="H5345" s="10"/>
      <c r="I5345" s="17"/>
      <c r="J5345" s="10"/>
      <c r="K5345" s="46"/>
      <c r="L5345" s="10"/>
      <c r="M5345" s="20"/>
      <c r="N5345" s="20"/>
      <c r="O5345" s="20"/>
      <c r="P5345" s="20"/>
    </row>
    <row r="5346">
      <c r="A5346" s="23"/>
      <c r="B5346" s="21"/>
      <c r="C5346" s="23"/>
      <c r="D5346" s="24"/>
      <c r="E5346" s="14"/>
      <c r="F5346" s="14"/>
      <c r="G5346" s="14"/>
      <c r="H5346" s="23"/>
      <c r="I5346" s="27"/>
      <c r="J5346" s="23"/>
      <c r="K5346" s="30"/>
      <c r="L5346" s="23"/>
      <c r="M5346" s="20"/>
      <c r="N5346" s="20"/>
      <c r="O5346" s="20"/>
      <c r="P5346" s="20"/>
    </row>
    <row r="5347">
      <c r="A5347" s="10"/>
      <c r="B5347" s="11"/>
      <c r="C5347" s="10"/>
      <c r="D5347" s="13"/>
      <c r="E5347" s="14"/>
      <c r="F5347" s="14"/>
      <c r="G5347" s="14"/>
      <c r="H5347" s="10"/>
      <c r="I5347" s="17"/>
      <c r="J5347" s="10"/>
      <c r="K5347" s="46"/>
      <c r="L5347" s="10"/>
      <c r="M5347" s="20"/>
      <c r="N5347" s="20"/>
      <c r="O5347" s="20"/>
      <c r="P5347" s="20"/>
    </row>
    <row r="5348">
      <c r="A5348" s="23"/>
      <c r="B5348" s="21"/>
      <c r="C5348" s="23"/>
      <c r="D5348" s="24"/>
      <c r="E5348" s="14"/>
      <c r="F5348" s="14"/>
      <c r="G5348" s="14"/>
      <c r="H5348" s="23"/>
      <c r="I5348" s="27"/>
      <c r="J5348" s="23"/>
      <c r="K5348" s="30"/>
      <c r="L5348" s="23"/>
      <c r="M5348" s="20"/>
      <c r="N5348" s="20"/>
      <c r="O5348" s="20"/>
      <c r="P5348" s="20"/>
    </row>
    <row r="5349">
      <c r="A5349" s="10"/>
      <c r="B5349" s="11"/>
      <c r="C5349" s="10"/>
      <c r="D5349" s="13"/>
      <c r="E5349" s="14"/>
      <c r="F5349" s="14"/>
      <c r="G5349" s="14"/>
      <c r="H5349" s="10"/>
      <c r="I5349" s="17"/>
      <c r="J5349" s="10"/>
      <c r="K5349" s="46"/>
      <c r="L5349" s="10"/>
      <c r="M5349" s="20"/>
      <c r="N5349" s="20"/>
      <c r="O5349" s="20"/>
      <c r="P5349" s="20"/>
    </row>
    <row r="5350">
      <c r="A5350" s="23"/>
      <c r="B5350" s="21"/>
      <c r="C5350" s="23"/>
      <c r="D5350" s="24"/>
      <c r="E5350" s="14"/>
      <c r="F5350" s="14"/>
      <c r="G5350" s="14"/>
      <c r="H5350" s="23"/>
      <c r="I5350" s="27"/>
      <c r="J5350" s="23"/>
      <c r="K5350" s="30"/>
      <c r="L5350" s="23"/>
      <c r="M5350" s="20"/>
      <c r="N5350" s="20"/>
      <c r="O5350" s="20"/>
      <c r="P5350" s="20"/>
    </row>
    <row r="5351">
      <c r="A5351" s="10"/>
      <c r="B5351" s="11"/>
      <c r="C5351" s="10"/>
      <c r="D5351" s="13"/>
      <c r="E5351" s="14"/>
      <c r="F5351" s="14"/>
      <c r="G5351" s="14"/>
      <c r="H5351" s="10"/>
      <c r="I5351" s="17"/>
      <c r="J5351" s="10"/>
      <c r="K5351" s="46"/>
      <c r="L5351" s="10"/>
      <c r="M5351" s="20"/>
      <c r="N5351" s="20"/>
      <c r="O5351" s="20"/>
      <c r="P5351" s="20"/>
    </row>
    <row r="5352">
      <c r="A5352" s="23"/>
      <c r="B5352" s="21"/>
      <c r="C5352" s="23"/>
      <c r="D5352" s="24"/>
      <c r="E5352" s="14"/>
      <c r="F5352" s="14"/>
      <c r="G5352" s="14"/>
      <c r="H5352" s="23"/>
      <c r="I5352" s="27"/>
      <c r="J5352" s="23"/>
      <c r="K5352" s="30"/>
      <c r="L5352" s="23"/>
      <c r="M5352" s="20"/>
      <c r="N5352" s="20"/>
      <c r="O5352" s="20"/>
      <c r="P5352" s="20"/>
    </row>
    <row r="5353">
      <c r="A5353" s="10"/>
      <c r="B5353" s="11"/>
      <c r="C5353" s="10"/>
      <c r="D5353" s="13"/>
      <c r="E5353" s="14"/>
      <c r="F5353" s="14"/>
      <c r="G5353" s="14"/>
      <c r="H5353" s="10"/>
      <c r="I5353" s="17"/>
      <c r="J5353" s="10"/>
      <c r="K5353" s="46"/>
      <c r="L5353" s="10"/>
      <c r="M5353" s="20"/>
      <c r="N5353" s="20"/>
      <c r="O5353" s="20"/>
      <c r="P5353" s="20"/>
    </row>
    <row r="5354">
      <c r="A5354" s="23"/>
      <c r="B5354" s="21"/>
      <c r="C5354" s="23"/>
      <c r="D5354" s="24"/>
      <c r="E5354" s="14"/>
      <c r="F5354" s="14"/>
      <c r="G5354" s="14"/>
      <c r="H5354" s="23"/>
      <c r="I5354" s="27"/>
      <c r="J5354" s="23"/>
      <c r="K5354" s="30"/>
      <c r="L5354" s="23"/>
      <c r="M5354" s="20"/>
      <c r="N5354" s="20"/>
      <c r="O5354" s="20"/>
      <c r="P5354" s="20"/>
    </row>
    <row r="5355">
      <c r="A5355" s="10"/>
      <c r="B5355" s="11"/>
      <c r="C5355" s="10"/>
      <c r="D5355" s="13"/>
      <c r="E5355" s="14"/>
      <c r="F5355" s="14"/>
      <c r="G5355" s="14"/>
      <c r="H5355" s="10"/>
      <c r="I5355" s="17"/>
      <c r="J5355" s="10"/>
      <c r="K5355" s="46"/>
      <c r="L5355" s="10"/>
      <c r="M5355" s="20"/>
      <c r="N5355" s="20"/>
      <c r="O5355" s="20"/>
      <c r="P5355" s="20"/>
    </row>
    <row r="5356">
      <c r="A5356" s="23"/>
      <c r="B5356" s="21"/>
      <c r="C5356" s="23"/>
      <c r="D5356" s="24"/>
      <c r="E5356" s="14"/>
      <c r="F5356" s="14"/>
      <c r="G5356" s="14"/>
      <c r="H5356" s="23"/>
      <c r="I5356" s="27"/>
      <c r="J5356" s="23"/>
      <c r="K5356" s="30"/>
      <c r="L5356" s="23"/>
      <c r="M5356" s="20"/>
      <c r="N5356" s="20"/>
      <c r="O5356" s="20"/>
      <c r="P5356" s="20"/>
    </row>
    <row r="5357">
      <c r="A5357" s="10"/>
      <c r="B5357" s="11"/>
      <c r="C5357" s="10"/>
      <c r="D5357" s="13"/>
      <c r="E5357" s="14"/>
      <c r="F5357" s="14"/>
      <c r="G5357" s="14"/>
      <c r="H5357" s="10"/>
      <c r="I5357" s="17"/>
      <c r="J5357" s="10"/>
      <c r="K5357" s="46"/>
      <c r="L5357" s="10"/>
      <c r="M5357" s="20"/>
      <c r="N5357" s="20"/>
      <c r="O5357" s="20"/>
      <c r="P5357" s="20"/>
    </row>
    <row r="5358">
      <c r="A5358" s="23"/>
      <c r="B5358" s="21"/>
      <c r="C5358" s="23"/>
      <c r="D5358" s="24"/>
      <c r="E5358" s="14"/>
      <c r="F5358" s="14"/>
      <c r="G5358" s="14"/>
      <c r="H5358" s="23"/>
      <c r="I5358" s="27"/>
      <c r="J5358" s="23"/>
      <c r="K5358" s="30"/>
      <c r="L5358" s="23"/>
      <c r="M5358" s="20"/>
      <c r="N5358" s="20"/>
      <c r="O5358" s="20"/>
      <c r="P5358" s="20"/>
    </row>
    <row r="5359">
      <c r="A5359" s="10"/>
      <c r="B5359" s="11"/>
      <c r="C5359" s="10"/>
      <c r="D5359" s="13"/>
      <c r="E5359" s="14"/>
      <c r="F5359" s="14"/>
      <c r="G5359" s="14"/>
      <c r="H5359" s="10"/>
      <c r="I5359" s="17"/>
      <c r="J5359" s="10"/>
      <c r="K5359" s="46"/>
      <c r="L5359" s="10"/>
      <c r="M5359" s="20"/>
      <c r="N5359" s="20"/>
      <c r="O5359" s="20"/>
      <c r="P5359" s="20"/>
    </row>
    <row r="5360">
      <c r="A5360" s="23"/>
      <c r="B5360" s="21"/>
      <c r="C5360" s="23"/>
      <c r="D5360" s="24"/>
      <c r="E5360" s="14"/>
      <c r="F5360" s="14"/>
      <c r="G5360" s="14"/>
      <c r="H5360" s="23"/>
      <c r="I5360" s="27"/>
      <c r="J5360" s="23"/>
      <c r="K5360" s="30"/>
      <c r="L5360" s="23"/>
      <c r="M5360" s="20"/>
      <c r="N5360" s="20"/>
      <c r="O5360" s="20"/>
      <c r="P5360" s="20"/>
    </row>
    <row r="5361">
      <c r="A5361" s="10"/>
      <c r="B5361" s="11"/>
      <c r="C5361" s="10"/>
      <c r="D5361" s="13"/>
      <c r="E5361" s="14"/>
      <c r="F5361" s="14"/>
      <c r="G5361" s="14"/>
      <c r="H5361" s="10"/>
      <c r="I5361" s="17"/>
      <c r="J5361" s="10"/>
      <c r="K5361" s="46"/>
      <c r="L5361" s="10"/>
      <c r="M5361" s="20"/>
      <c r="N5361" s="20"/>
      <c r="O5361" s="20"/>
      <c r="P5361" s="20"/>
    </row>
    <row r="5362">
      <c r="A5362" s="23"/>
      <c r="B5362" s="21"/>
      <c r="C5362" s="23"/>
      <c r="D5362" s="24"/>
      <c r="E5362" s="14"/>
      <c r="F5362" s="14"/>
      <c r="G5362" s="14"/>
      <c r="H5362" s="23"/>
      <c r="I5362" s="27"/>
      <c r="J5362" s="23"/>
      <c r="K5362" s="30"/>
      <c r="L5362" s="23"/>
      <c r="M5362" s="20"/>
      <c r="N5362" s="20"/>
      <c r="O5362" s="20"/>
      <c r="P5362" s="20"/>
    </row>
    <row r="5363">
      <c r="A5363" s="10"/>
      <c r="B5363" s="11"/>
      <c r="C5363" s="10"/>
      <c r="D5363" s="13"/>
      <c r="E5363" s="14"/>
      <c r="F5363" s="14"/>
      <c r="G5363" s="14"/>
      <c r="H5363" s="10"/>
      <c r="I5363" s="17"/>
      <c r="J5363" s="10"/>
      <c r="K5363" s="46"/>
      <c r="L5363" s="10"/>
      <c r="M5363" s="20"/>
      <c r="N5363" s="20"/>
      <c r="O5363" s="20"/>
      <c r="P5363" s="20"/>
    </row>
    <row r="5364">
      <c r="A5364" s="23"/>
      <c r="B5364" s="21"/>
      <c r="C5364" s="23"/>
      <c r="D5364" s="24"/>
      <c r="E5364" s="14"/>
      <c r="F5364" s="14"/>
      <c r="G5364" s="14"/>
      <c r="H5364" s="23"/>
      <c r="I5364" s="27"/>
      <c r="J5364" s="23"/>
      <c r="K5364" s="30"/>
      <c r="L5364" s="23"/>
      <c r="M5364" s="20"/>
      <c r="N5364" s="20"/>
      <c r="O5364" s="20"/>
      <c r="P5364" s="20"/>
    </row>
    <row r="5365">
      <c r="A5365" s="10"/>
      <c r="B5365" s="11"/>
      <c r="C5365" s="10"/>
      <c r="D5365" s="13"/>
      <c r="E5365" s="14"/>
      <c r="F5365" s="14"/>
      <c r="G5365" s="14"/>
      <c r="H5365" s="10"/>
      <c r="I5365" s="17"/>
      <c r="J5365" s="10"/>
      <c r="K5365" s="46"/>
      <c r="L5365" s="10"/>
      <c r="M5365" s="20"/>
      <c r="N5365" s="20"/>
      <c r="O5365" s="20"/>
      <c r="P5365" s="20"/>
    </row>
    <row r="5366">
      <c r="A5366" s="23"/>
      <c r="B5366" s="21"/>
      <c r="C5366" s="23"/>
      <c r="D5366" s="24"/>
      <c r="E5366" s="14"/>
      <c r="F5366" s="14"/>
      <c r="G5366" s="14"/>
      <c r="H5366" s="23"/>
      <c r="I5366" s="27"/>
      <c r="J5366" s="23"/>
      <c r="K5366" s="30"/>
      <c r="L5366" s="23"/>
      <c r="M5366" s="20"/>
      <c r="N5366" s="20"/>
      <c r="O5366" s="20"/>
      <c r="P5366" s="20"/>
    </row>
    <row r="5367">
      <c r="A5367" s="10"/>
      <c r="B5367" s="11"/>
      <c r="C5367" s="10"/>
      <c r="D5367" s="13"/>
      <c r="E5367" s="14"/>
      <c r="F5367" s="14"/>
      <c r="G5367" s="14"/>
      <c r="H5367" s="10"/>
      <c r="I5367" s="17"/>
      <c r="J5367" s="10"/>
      <c r="K5367" s="46"/>
      <c r="L5367" s="10"/>
      <c r="M5367" s="20"/>
      <c r="N5367" s="20"/>
      <c r="O5367" s="20"/>
      <c r="P5367" s="20"/>
    </row>
    <row r="5368">
      <c r="A5368" s="23"/>
      <c r="B5368" s="21"/>
      <c r="C5368" s="23"/>
      <c r="D5368" s="24"/>
      <c r="E5368" s="14"/>
      <c r="F5368" s="14"/>
      <c r="G5368" s="14"/>
      <c r="H5368" s="23"/>
      <c r="I5368" s="27"/>
      <c r="J5368" s="23"/>
      <c r="K5368" s="30"/>
      <c r="L5368" s="23"/>
      <c r="M5368" s="20"/>
      <c r="N5368" s="20"/>
      <c r="O5368" s="20"/>
      <c r="P5368" s="20"/>
    </row>
    <row r="5369">
      <c r="A5369" s="10"/>
      <c r="B5369" s="11"/>
      <c r="C5369" s="10"/>
      <c r="D5369" s="13"/>
      <c r="E5369" s="14"/>
      <c r="F5369" s="14"/>
      <c r="G5369" s="14"/>
      <c r="H5369" s="10"/>
      <c r="I5369" s="17"/>
      <c r="J5369" s="10"/>
      <c r="K5369" s="46"/>
      <c r="L5369" s="10"/>
      <c r="M5369" s="20"/>
      <c r="N5369" s="20"/>
      <c r="O5369" s="20"/>
      <c r="P5369" s="20"/>
    </row>
    <row r="5370">
      <c r="A5370" s="23"/>
      <c r="B5370" s="21"/>
      <c r="C5370" s="23"/>
      <c r="D5370" s="24"/>
      <c r="E5370" s="14"/>
      <c r="F5370" s="14"/>
      <c r="G5370" s="14"/>
      <c r="H5370" s="23"/>
      <c r="I5370" s="27"/>
      <c r="J5370" s="23"/>
      <c r="K5370" s="30"/>
      <c r="L5370" s="23"/>
      <c r="M5370" s="20"/>
      <c r="N5370" s="20"/>
      <c r="O5370" s="20"/>
      <c r="P5370" s="20"/>
    </row>
    <row r="5371">
      <c r="A5371" s="10"/>
      <c r="B5371" s="11"/>
      <c r="C5371" s="10"/>
      <c r="D5371" s="13"/>
      <c r="E5371" s="14"/>
      <c r="F5371" s="14"/>
      <c r="G5371" s="14"/>
      <c r="H5371" s="10"/>
      <c r="I5371" s="17"/>
      <c r="J5371" s="10"/>
      <c r="K5371" s="46"/>
      <c r="L5371" s="10"/>
      <c r="M5371" s="20"/>
      <c r="N5371" s="20"/>
      <c r="O5371" s="20"/>
      <c r="P5371" s="20"/>
    </row>
    <row r="5372">
      <c r="A5372" s="23"/>
      <c r="B5372" s="21"/>
      <c r="C5372" s="23"/>
      <c r="D5372" s="24"/>
      <c r="E5372" s="14"/>
      <c r="F5372" s="14"/>
      <c r="G5372" s="14"/>
      <c r="H5372" s="23"/>
      <c r="I5372" s="27"/>
      <c r="J5372" s="23"/>
      <c r="K5372" s="30"/>
      <c r="L5372" s="23"/>
      <c r="M5372" s="20"/>
      <c r="N5372" s="20"/>
      <c r="O5372" s="20"/>
      <c r="P5372" s="20"/>
    </row>
    <row r="5373">
      <c r="A5373" s="10"/>
      <c r="B5373" s="11"/>
      <c r="C5373" s="10"/>
      <c r="D5373" s="13"/>
      <c r="E5373" s="14"/>
      <c r="F5373" s="14"/>
      <c r="G5373" s="14"/>
      <c r="H5373" s="10"/>
      <c r="I5373" s="17"/>
      <c r="J5373" s="10"/>
      <c r="K5373" s="46"/>
      <c r="L5373" s="10"/>
      <c r="M5373" s="20"/>
      <c r="N5373" s="20"/>
      <c r="O5373" s="20"/>
      <c r="P5373" s="20"/>
    </row>
    <row r="5374">
      <c r="A5374" s="23"/>
      <c r="B5374" s="21"/>
      <c r="C5374" s="23"/>
      <c r="D5374" s="24"/>
      <c r="E5374" s="14"/>
      <c r="F5374" s="14"/>
      <c r="G5374" s="14"/>
      <c r="H5374" s="23"/>
      <c r="I5374" s="27"/>
      <c r="J5374" s="23"/>
      <c r="K5374" s="30"/>
      <c r="L5374" s="23"/>
      <c r="M5374" s="20"/>
      <c r="N5374" s="20"/>
      <c r="O5374" s="20"/>
      <c r="P5374" s="20"/>
    </row>
    <row r="5375">
      <c r="A5375" s="10"/>
      <c r="B5375" s="11"/>
      <c r="C5375" s="10"/>
      <c r="D5375" s="13"/>
      <c r="E5375" s="14"/>
      <c r="F5375" s="14"/>
      <c r="G5375" s="14"/>
      <c r="H5375" s="10"/>
      <c r="I5375" s="17"/>
      <c r="J5375" s="10"/>
      <c r="K5375" s="46"/>
      <c r="L5375" s="10"/>
      <c r="M5375" s="20"/>
      <c r="N5375" s="20"/>
      <c r="O5375" s="20"/>
      <c r="P5375" s="20"/>
    </row>
    <row r="5376">
      <c r="A5376" s="23"/>
      <c r="B5376" s="21"/>
      <c r="C5376" s="23"/>
      <c r="D5376" s="24"/>
      <c r="E5376" s="14"/>
      <c r="F5376" s="14"/>
      <c r="G5376" s="14"/>
      <c r="H5376" s="23"/>
      <c r="I5376" s="27"/>
      <c r="J5376" s="23"/>
      <c r="K5376" s="30"/>
      <c r="L5376" s="23"/>
      <c r="M5376" s="20"/>
      <c r="N5376" s="20"/>
      <c r="O5376" s="20"/>
      <c r="P5376" s="20"/>
    </row>
    <row r="5377">
      <c r="A5377" s="10"/>
      <c r="B5377" s="11"/>
      <c r="C5377" s="10"/>
      <c r="D5377" s="13"/>
      <c r="E5377" s="14"/>
      <c r="F5377" s="14"/>
      <c r="G5377" s="14"/>
      <c r="H5377" s="10"/>
      <c r="I5377" s="17"/>
      <c r="J5377" s="10"/>
      <c r="K5377" s="46"/>
      <c r="L5377" s="10"/>
      <c r="M5377" s="20"/>
      <c r="N5377" s="20"/>
      <c r="O5377" s="20"/>
      <c r="P5377" s="20"/>
    </row>
    <row r="5378">
      <c r="A5378" s="23"/>
      <c r="B5378" s="21"/>
      <c r="C5378" s="23"/>
      <c r="D5378" s="24"/>
      <c r="E5378" s="14"/>
      <c r="F5378" s="14"/>
      <c r="G5378" s="14"/>
      <c r="H5378" s="23"/>
      <c r="I5378" s="27"/>
      <c r="J5378" s="23"/>
      <c r="K5378" s="30"/>
      <c r="L5378" s="23"/>
      <c r="M5378" s="20"/>
      <c r="N5378" s="20"/>
      <c r="O5378" s="20"/>
      <c r="P5378" s="20"/>
    </row>
    <row r="5379">
      <c r="A5379" s="10"/>
      <c r="B5379" s="11"/>
      <c r="C5379" s="10"/>
      <c r="D5379" s="13"/>
      <c r="E5379" s="14"/>
      <c r="F5379" s="14"/>
      <c r="G5379" s="14"/>
      <c r="H5379" s="10"/>
      <c r="I5379" s="17"/>
      <c r="J5379" s="10"/>
      <c r="K5379" s="46"/>
      <c r="L5379" s="10"/>
      <c r="M5379" s="20"/>
      <c r="N5379" s="20"/>
      <c r="O5379" s="20"/>
      <c r="P5379" s="20"/>
    </row>
    <row r="5380">
      <c r="A5380" s="23"/>
      <c r="B5380" s="21"/>
      <c r="C5380" s="23"/>
      <c r="D5380" s="24"/>
      <c r="E5380" s="14"/>
      <c r="F5380" s="14"/>
      <c r="G5380" s="14"/>
      <c r="H5380" s="23"/>
      <c r="I5380" s="27"/>
      <c r="J5380" s="23"/>
      <c r="K5380" s="30"/>
      <c r="L5380" s="23"/>
      <c r="M5380" s="20"/>
      <c r="N5380" s="20"/>
      <c r="O5380" s="20"/>
      <c r="P5380" s="20"/>
    </row>
    <row r="5381">
      <c r="A5381" s="10"/>
      <c r="B5381" s="11"/>
      <c r="C5381" s="10"/>
      <c r="D5381" s="13"/>
      <c r="E5381" s="14"/>
      <c r="F5381" s="14"/>
      <c r="G5381" s="14"/>
      <c r="H5381" s="10"/>
      <c r="I5381" s="17"/>
      <c r="J5381" s="10"/>
      <c r="K5381" s="46"/>
      <c r="L5381" s="10"/>
      <c r="M5381" s="20"/>
      <c r="N5381" s="20"/>
      <c r="O5381" s="20"/>
      <c r="P5381" s="20"/>
    </row>
    <row r="5382">
      <c r="A5382" s="23"/>
      <c r="B5382" s="21"/>
      <c r="C5382" s="23"/>
      <c r="D5382" s="24"/>
      <c r="E5382" s="14"/>
      <c r="F5382" s="14"/>
      <c r="G5382" s="14"/>
      <c r="H5382" s="23"/>
      <c r="I5382" s="27"/>
      <c r="J5382" s="23"/>
      <c r="K5382" s="30"/>
      <c r="L5382" s="23"/>
      <c r="M5382" s="20"/>
      <c r="N5382" s="20"/>
      <c r="O5382" s="20"/>
      <c r="P5382" s="20"/>
    </row>
    <row r="5383">
      <c r="A5383" s="10"/>
      <c r="B5383" s="11"/>
      <c r="C5383" s="10"/>
      <c r="D5383" s="13"/>
      <c r="E5383" s="14"/>
      <c r="F5383" s="14"/>
      <c r="G5383" s="14"/>
      <c r="H5383" s="10"/>
      <c r="I5383" s="17"/>
      <c r="J5383" s="10"/>
      <c r="K5383" s="46"/>
      <c r="L5383" s="10"/>
      <c r="M5383" s="20"/>
      <c r="N5383" s="20"/>
      <c r="O5383" s="20"/>
      <c r="P5383" s="20"/>
    </row>
    <row r="5384">
      <c r="A5384" s="23"/>
      <c r="B5384" s="21"/>
      <c r="C5384" s="23"/>
      <c r="D5384" s="24"/>
      <c r="E5384" s="14"/>
      <c r="F5384" s="14"/>
      <c r="G5384" s="14"/>
      <c r="H5384" s="23"/>
      <c r="I5384" s="27"/>
      <c r="J5384" s="23"/>
      <c r="K5384" s="30"/>
      <c r="L5384" s="23"/>
      <c r="M5384" s="20"/>
      <c r="N5384" s="20"/>
      <c r="O5384" s="20"/>
      <c r="P5384" s="20"/>
    </row>
    <row r="5385">
      <c r="A5385" s="10"/>
      <c r="B5385" s="11"/>
      <c r="C5385" s="10"/>
      <c r="D5385" s="13"/>
      <c r="E5385" s="14"/>
      <c r="F5385" s="14"/>
      <c r="G5385" s="14"/>
      <c r="H5385" s="10"/>
      <c r="I5385" s="17"/>
      <c r="J5385" s="10"/>
      <c r="K5385" s="46"/>
      <c r="L5385" s="10"/>
      <c r="M5385" s="20"/>
      <c r="N5385" s="20"/>
      <c r="O5385" s="20"/>
      <c r="P5385" s="20"/>
    </row>
    <row r="5386">
      <c r="A5386" s="23"/>
      <c r="B5386" s="21"/>
      <c r="C5386" s="23"/>
      <c r="D5386" s="24"/>
      <c r="E5386" s="14"/>
      <c r="F5386" s="14"/>
      <c r="G5386" s="14"/>
      <c r="H5386" s="23"/>
      <c r="I5386" s="27"/>
      <c r="J5386" s="23"/>
      <c r="K5386" s="30"/>
      <c r="L5386" s="23"/>
      <c r="M5386" s="20"/>
      <c r="N5386" s="20"/>
      <c r="O5386" s="20"/>
      <c r="P5386" s="20"/>
    </row>
    <row r="5387">
      <c r="A5387" s="10"/>
      <c r="B5387" s="11"/>
      <c r="C5387" s="10"/>
      <c r="D5387" s="13"/>
      <c r="E5387" s="14"/>
      <c r="F5387" s="14"/>
      <c r="G5387" s="14"/>
      <c r="H5387" s="10"/>
      <c r="I5387" s="17"/>
      <c r="J5387" s="10"/>
      <c r="K5387" s="46"/>
      <c r="L5387" s="10"/>
      <c r="M5387" s="20"/>
      <c r="N5387" s="20"/>
      <c r="O5387" s="20"/>
      <c r="P5387" s="20"/>
    </row>
    <row r="5388">
      <c r="A5388" s="23"/>
      <c r="B5388" s="21"/>
      <c r="C5388" s="23"/>
      <c r="D5388" s="24"/>
      <c r="E5388" s="14"/>
      <c r="F5388" s="14"/>
      <c r="G5388" s="14"/>
      <c r="H5388" s="23"/>
      <c r="I5388" s="27"/>
      <c r="J5388" s="23"/>
      <c r="K5388" s="30"/>
      <c r="L5388" s="23"/>
      <c r="M5388" s="20"/>
      <c r="N5388" s="20"/>
      <c r="O5388" s="20"/>
      <c r="P5388" s="20"/>
    </row>
    <row r="5389">
      <c r="A5389" s="10"/>
      <c r="B5389" s="11"/>
      <c r="C5389" s="10"/>
      <c r="D5389" s="13"/>
      <c r="E5389" s="14"/>
      <c r="F5389" s="14"/>
      <c r="G5389" s="14"/>
      <c r="H5389" s="10"/>
      <c r="I5389" s="17"/>
      <c r="J5389" s="10"/>
      <c r="K5389" s="46"/>
      <c r="L5389" s="10"/>
      <c r="M5389" s="20"/>
      <c r="N5389" s="20"/>
      <c r="O5389" s="20"/>
      <c r="P5389" s="20"/>
    </row>
    <row r="5390">
      <c r="A5390" s="23"/>
      <c r="B5390" s="21"/>
      <c r="C5390" s="23"/>
      <c r="D5390" s="24"/>
      <c r="E5390" s="14"/>
      <c r="F5390" s="14"/>
      <c r="G5390" s="14"/>
      <c r="H5390" s="23"/>
      <c r="I5390" s="27"/>
      <c r="J5390" s="23"/>
      <c r="K5390" s="30"/>
      <c r="L5390" s="23"/>
      <c r="M5390" s="20"/>
      <c r="N5390" s="20"/>
      <c r="O5390" s="20"/>
      <c r="P5390" s="20"/>
    </row>
    <row r="5391">
      <c r="A5391" s="10"/>
      <c r="B5391" s="11"/>
      <c r="C5391" s="10"/>
      <c r="D5391" s="13"/>
      <c r="E5391" s="14"/>
      <c r="F5391" s="14"/>
      <c r="G5391" s="14"/>
      <c r="H5391" s="10"/>
      <c r="I5391" s="17"/>
      <c r="J5391" s="10"/>
      <c r="K5391" s="46"/>
      <c r="L5391" s="10"/>
      <c r="M5391" s="20"/>
      <c r="N5391" s="20"/>
      <c r="O5391" s="20"/>
      <c r="P5391" s="20"/>
    </row>
    <row r="5392">
      <c r="A5392" s="23"/>
      <c r="B5392" s="21"/>
      <c r="C5392" s="23"/>
      <c r="D5392" s="24"/>
      <c r="E5392" s="14"/>
      <c r="F5392" s="14"/>
      <c r="G5392" s="14"/>
      <c r="H5392" s="23"/>
      <c r="I5392" s="27"/>
      <c r="J5392" s="23"/>
      <c r="K5392" s="30"/>
      <c r="L5392" s="23"/>
      <c r="M5392" s="20"/>
      <c r="N5392" s="20"/>
      <c r="O5392" s="20"/>
      <c r="P5392" s="20"/>
    </row>
    <row r="5393">
      <c r="A5393" s="10"/>
      <c r="B5393" s="11"/>
      <c r="C5393" s="10"/>
      <c r="D5393" s="13"/>
      <c r="E5393" s="14"/>
      <c r="F5393" s="14"/>
      <c r="G5393" s="14"/>
      <c r="H5393" s="10"/>
      <c r="I5393" s="17"/>
      <c r="J5393" s="10"/>
      <c r="K5393" s="46"/>
      <c r="L5393" s="10"/>
      <c r="M5393" s="20"/>
      <c r="N5393" s="20"/>
      <c r="O5393" s="20"/>
      <c r="P5393" s="20"/>
    </row>
    <row r="5394">
      <c r="A5394" s="23"/>
      <c r="B5394" s="21"/>
      <c r="C5394" s="23"/>
      <c r="D5394" s="24"/>
      <c r="E5394" s="14"/>
      <c r="F5394" s="14"/>
      <c r="G5394" s="14"/>
      <c r="H5394" s="23"/>
      <c r="I5394" s="27"/>
      <c r="J5394" s="23"/>
      <c r="K5394" s="30"/>
      <c r="L5394" s="23"/>
      <c r="M5394" s="20"/>
      <c r="N5394" s="20"/>
      <c r="O5394" s="20"/>
      <c r="P5394" s="20"/>
    </row>
    <row r="5395">
      <c r="A5395" s="10"/>
      <c r="B5395" s="11"/>
      <c r="C5395" s="10"/>
      <c r="D5395" s="13"/>
      <c r="E5395" s="14"/>
      <c r="F5395" s="14"/>
      <c r="G5395" s="14"/>
      <c r="H5395" s="10"/>
      <c r="I5395" s="17"/>
      <c r="J5395" s="10"/>
      <c r="K5395" s="46"/>
      <c r="L5395" s="10"/>
      <c r="M5395" s="20"/>
      <c r="N5395" s="20"/>
      <c r="O5395" s="20"/>
      <c r="P5395" s="20"/>
    </row>
    <row r="5396">
      <c r="A5396" s="23"/>
      <c r="B5396" s="21"/>
      <c r="C5396" s="23"/>
      <c r="D5396" s="24"/>
      <c r="E5396" s="14"/>
      <c r="F5396" s="14"/>
      <c r="G5396" s="14"/>
      <c r="H5396" s="23"/>
      <c r="I5396" s="27"/>
      <c r="J5396" s="23"/>
      <c r="K5396" s="30"/>
      <c r="L5396" s="23"/>
      <c r="M5396" s="20"/>
      <c r="N5396" s="20"/>
      <c r="O5396" s="20"/>
      <c r="P5396" s="20"/>
    </row>
    <row r="5397">
      <c r="A5397" s="10"/>
      <c r="B5397" s="11"/>
      <c r="C5397" s="10"/>
      <c r="D5397" s="13"/>
      <c r="E5397" s="14"/>
      <c r="F5397" s="14"/>
      <c r="G5397" s="14"/>
      <c r="H5397" s="10"/>
      <c r="I5397" s="17"/>
      <c r="J5397" s="10"/>
      <c r="K5397" s="46"/>
      <c r="L5397" s="10"/>
      <c r="M5397" s="20"/>
      <c r="N5397" s="20"/>
      <c r="O5397" s="20"/>
      <c r="P5397" s="20"/>
    </row>
    <row r="5398">
      <c r="A5398" s="23"/>
      <c r="B5398" s="21"/>
      <c r="C5398" s="23"/>
      <c r="D5398" s="24"/>
      <c r="E5398" s="14"/>
      <c r="F5398" s="14"/>
      <c r="G5398" s="14"/>
      <c r="H5398" s="23"/>
      <c r="I5398" s="27"/>
      <c r="J5398" s="23"/>
      <c r="K5398" s="30"/>
      <c r="L5398" s="23"/>
      <c r="M5398" s="20"/>
      <c r="N5398" s="20"/>
      <c r="O5398" s="20"/>
      <c r="P5398" s="20"/>
    </row>
    <row r="5399">
      <c r="A5399" s="10"/>
      <c r="B5399" s="11"/>
      <c r="C5399" s="10"/>
      <c r="D5399" s="13"/>
      <c r="E5399" s="14"/>
      <c r="F5399" s="14"/>
      <c r="G5399" s="14"/>
      <c r="H5399" s="10"/>
      <c r="I5399" s="17"/>
      <c r="J5399" s="10"/>
      <c r="K5399" s="46"/>
      <c r="L5399" s="10"/>
      <c r="M5399" s="20"/>
      <c r="N5399" s="20"/>
      <c r="O5399" s="20"/>
      <c r="P5399" s="20"/>
    </row>
    <row r="5400">
      <c r="A5400" s="23"/>
      <c r="B5400" s="21"/>
      <c r="C5400" s="23"/>
      <c r="D5400" s="24"/>
      <c r="E5400" s="14"/>
      <c r="F5400" s="14"/>
      <c r="G5400" s="14"/>
      <c r="H5400" s="23"/>
      <c r="I5400" s="27"/>
      <c r="J5400" s="23"/>
      <c r="K5400" s="30"/>
      <c r="L5400" s="23"/>
      <c r="M5400" s="20"/>
      <c r="N5400" s="20"/>
      <c r="O5400" s="20"/>
      <c r="P5400" s="20"/>
    </row>
    <row r="5401">
      <c r="A5401" s="10"/>
      <c r="B5401" s="11"/>
      <c r="C5401" s="10"/>
      <c r="D5401" s="13"/>
      <c r="E5401" s="14"/>
      <c r="F5401" s="14"/>
      <c r="G5401" s="14"/>
      <c r="H5401" s="10"/>
      <c r="I5401" s="17"/>
      <c r="J5401" s="10"/>
      <c r="K5401" s="46"/>
      <c r="L5401" s="10"/>
      <c r="M5401" s="20"/>
      <c r="N5401" s="20"/>
      <c r="O5401" s="20"/>
      <c r="P5401" s="20"/>
    </row>
    <row r="5402">
      <c r="A5402" s="23"/>
      <c r="B5402" s="21"/>
      <c r="C5402" s="23"/>
      <c r="D5402" s="24"/>
      <c r="E5402" s="14"/>
      <c r="F5402" s="14"/>
      <c r="G5402" s="14"/>
      <c r="H5402" s="23"/>
      <c r="I5402" s="27"/>
      <c r="J5402" s="23"/>
      <c r="K5402" s="30"/>
      <c r="L5402" s="23"/>
      <c r="M5402" s="20"/>
      <c r="N5402" s="20"/>
      <c r="O5402" s="20"/>
      <c r="P5402" s="20"/>
    </row>
    <row r="5403">
      <c r="A5403" s="10"/>
      <c r="B5403" s="11"/>
      <c r="C5403" s="10"/>
      <c r="D5403" s="13"/>
      <c r="E5403" s="14"/>
      <c r="F5403" s="14"/>
      <c r="G5403" s="14"/>
      <c r="H5403" s="10"/>
      <c r="I5403" s="17"/>
      <c r="J5403" s="10"/>
      <c r="K5403" s="46"/>
      <c r="L5403" s="10"/>
      <c r="M5403" s="20"/>
      <c r="N5403" s="20"/>
      <c r="O5403" s="20"/>
      <c r="P5403" s="20"/>
    </row>
    <row r="5404">
      <c r="A5404" s="23"/>
      <c r="B5404" s="21"/>
      <c r="C5404" s="23"/>
      <c r="D5404" s="24"/>
      <c r="E5404" s="14"/>
      <c r="F5404" s="14"/>
      <c r="G5404" s="14"/>
      <c r="H5404" s="23"/>
      <c r="I5404" s="27"/>
      <c r="J5404" s="23"/>
      <c r="K5404" s="30"/>
      <c r="L5404" s="23"/>
      <c r="M5404" s="20"/>
      <c r="N5404" s="20"/>
      <c r="O5404" s="20"/>
      <c r="P5404" s="20"/>
    </row>
    <row r="5405">
      <c r="A5405" s="10"/>
      <c r="B5405" s="11"/>
      <c r="C5405" s="10"/>
      <c r="D5405" s="13"/>
      <c r="E5405" s="14"/>
      <c r="F5405" s="14"/>
      <c r="G5405" s="14"/>
      <c r="H5405" s="10"/>
      <c r="I5405" s="17"/>
      <c r="J5405" s="10"/>
      <c r="K5405" s="46"/>
      <c r="L5405" s="10"/>
      <c r="M5405" s="20"/>
      <c r="N5405" s="20"/>
      <c r="O5405" s="20"/>
      <c r="P5405" s="20"/>
    </row>
    <row r="5406">
      <c r="A5406" s="23"/>
      <c r="B5406" s="21"/>
      <c r="C5406" s="23"/>
      <c r="D5406" s="24"/>
      <c r="E5406" s="14"/>
      <c r="F5406" s="14"/>
      <c r="G5406" s="14"/>
      <c r="H5406" s="23"/>
      <c r="I5406" s="27"/>
      <c r="J5406" s="23"/>
      <c r="K5406" s="30"/>
      <c r="L5406" s="23"/>
      <c r="M5406" s="20"/>
      <c r="N5406" s="20"/>
      <c r="O5406" s="20"/>
      <c r="P5406" s="20"/>
    </row>
    <row r="5407">
      <c r="A5407" s="10"/>
      <c r="B5407" s="11"/>
      <c r="C5407" s="10"/>
      <c r="D5407" s="13"/>
      <c r="E5407" s="14"/>
      <c r="F5407" s="14"/>
      <c r="G5407" s="14"/>
      <c r="H5407" s="10"/>
      <c r="I5407" s="17"/>
      <c r="J5407" s="10"/>
      <c r="K5407" s="46"/>
      <c r="L5407" s="10"/>
      <c r="M5407" s="20"/>
      <c r="N5407" s="20"/>
      <c r="O5407" s="20"/>
      <c r="P5407" s="20"/>
    </row>
    <row r="5408">
      <c r="A5408" s="23"/>
      <c r="B5408" s="21"/>
      <c r="C5408" s="23"/>
      <c r="D5408" s="24"/>
      <c r="E5408" s="14"/>
      <c r="F5408" s="14"/>
      <c r="G5408" s="14"/>
      <c r="H5408" s="23"/>
      <c r="I5408" s="27"/>
      <c r="J5408" s="23"/>
      <c r="K5408" s="30"/>
      <c r="L5408" s="23"/>
      <c r="M5408" s="20"/>
      <c r="N5408" s="20"/>
      <c r="O5408" s="20"/>
      <c r="P5408" s="20"/>
    </row>
    <row r="5409">
      <c r="A5409" s="10"/>
      <c r="B5409" s="11"/>
      <c r="C5409" s="10"/>
      <c r="D5409" s="13"/>
      <c r="E5409" s="14"/>
      <c r="F5409" s="14"/>
      <c r="G5409" s="14"/>
      <c r="H5409" s="10"/>
      <c r="I5409" s="17"/>
      <c r="J5409" s="10"/>
      <c r="K5409" s="46"/>
      <c r="L5409" s="10"/>
      <c r="M5409" s="20"/>
      <c r="N5409" s="20"/>
      <c r="O5409" s="20"/>
      <c r="P5409" s="20"/>
    </row>
    <row r="5410">
      <c r="A5410" s="23"/>
      <c r="B5410" s="21"/>
      <c r="C5410" s="23"/>
      <c r="D5410" s="24"/>
      <c r="E5410" s="14"/>
      <c r="F5410" s="14"/>
      <c r="G5410" s="14"/>
      <c r="H5410" s="23"/>
      <c r="I5410" s="27"/>
      <c r="J5410" s="23"/>
      <c r="K5410" s="30"/>
      <c r="L5410" s="23"/>
      <c r="M5410" s="20"/>
      <c r="N5410" s="20"/>
      <c r="O5410" s="20"/>
      <c r="P5410" s="20"/>
    </row>
    <row r="5411">
      <c r="A5411" s="10"/>
      <c r="B5411" s="11"/>
      <c r="C5411" s="10"/>
      <c r="D5411" s="13"/>
      <c r="E5411" s="14"/>
      <c r="F5411" s="14"/>
      <c r="G5411" s="14"/>
      <c r="H5411" s="10"/>
      <c r="I5411" s="17"/>
      <c r="J5411" s="10"/>
      <c r="K5411" s="46"/>
      <c r="L5411" s="10"/>
      <c r="M5411" s="20"/>
      <c r="N5411" s="20"/>
      <c r="O5411" s="20"/>
      <c r="P5411" s="20"/>
    </row>
    <row r="5412">
      <c r="A5412" s="23"/>
      <c r="B5412" s="21"/>
      <c r="C5412" s="23"/>
      <c r="D5412" s="24"/>
      <c r="E5412" s="14"/>
      <c r="F5412" s="14"/>
      <c r="G5412" s="14"/>
      <c r="H5412" s="23"/>
      <c r="I5412" s="27"/>
      <c r="J5412" s="23"/>
      <c r="K5412" s="30"/>
      <c r="L5412" s="23"/>
      <c r="M5412" s="20"/>
      <c r="N5412" s="20"/>
      <c r="O5412" s="20"/>
      <c r="P5412" s="20"/>
    </row>
    <row r="5413">
      <c r="A5413" s="10"/>
      <c r="B5413" s="11"/>
      <c r="C5413" s="10"/>
      <c r="D5413" s="13"/>
      <c r="E5413" s="14"/>
      <c r="F5413" s="14"/>
      <c r="G5413" s="14"/>
      <c r="H5413" s="10"/>
      <c r="I5413" s="17"/>
      <c r="J5413" s="10"/>
      <c r="K5413" s="46"/>
      <c r="L5413" s="10"/>
      <c r="M5413" s="20"/>
      <c r="N5413" s="20"/>
      <c r="O5413" s="20"/>
      <c r="P5413" s="20"/>
    </row>
    <row r="5414">
      <c r="A5414" s="23"/>
      <c r="B5414" s="21"/>
      <c r="C5414" s="23"/>
      <c r="D5414" s="24"/>
      <c r="E5414" s="14"/>
      <c r="F5414" s="14"/>
      <c r="G5414" s="14"/>
      <c r="H5414" s="23"/>
      <c r="I5414" s="27"/>
      <c r="J5414" s="23"/>
      <c r="K5414" s="30"/>
      <c r="L5414" s="23"/>
      <c r="M5414" s="20"/>
      <c r="N5414" s="20"/>
      <c r="O5414" s="20"/>
      <c r="P5414" s="20"/>
    </row>
    <row r="5415">
      <c r="A5415" s="10"/>
      <c r="B5415" s="11"/>
      <c r="C5415" s="10"/>
      <c r="D5415" s="13"/>
      <c r="E5415" s="14"/>
      <c r="F5415" s="14"/>
      <c r="G5415" s="14"/>
      <c r="H5415" s="10"/>
      <c r="I5415" s="17"/>
      <c r="J5415" s="10"/>
      <c r="K5415" s="46"/>
      <c r="L5415" s="10"/>
      <c r="M5415" s="20"/>
      <c r="N5415" s="20"/>
      <c r="O5415" s="20"/>
      <c r="P5415" s="20"/>
    </row>
    <row r="5416">
      <c r="A5416" s="23"/>
      <c r="B5416" s="21"/>
      <c r="C5416" s="23"/>
      <c r="D5416" s="24"/>
      <c r="E5416" s="14"/>
      <c r="F5416" s="14"/>
      <c r="G5416" s="14"/>
      <c r="H5416" s="23"/>
      <c r="I5416" s="27"/>
      <c r="J5416" s="23"/>
      <c r="K5416" s="30"/>
      <c r="L5416" s="23"/>
      <c r="M5416" s="20"/>
      <c r="N5416" s="20"/>
      <c r="O5416" s="20"/>
      <c r="P5416" s="20"/>
    </row>
    <row r="5417">
      <c r="A5417" s="10"/>
      <c r="B5417" s="11"/>
      <c r="C5417" s="10"/>
      <c r="D5417" s="13"/>
      <c r="E5417" s="14"/>
      <c r="F5417" s="14"/>
      <c r="G5417" s="14"/>
      <c r="H5417" s="10"/>
      <c r="I5417" s="17"/>
      <c r="J5417" s="10"/>
      <c r="K5417" s="46"/>
      <c r="L5417" s="10"/>
      <c r="M5417" s="20"/>
      <c r="N5417" s="20"/>
      <c r="O5417" s="20"/>
      <c r="P5417" s="20"/>
    </row>
    <row r="5418">
      <c r="A5418" s="23"/>
      <c r="B5418" s="21"/>
      <c r="C5418" s="23"/>
      <c r="D5418" s="24"/>
      <c r="E5418" s="14"/>
      <c r="F5418" s="14"/>
      <c r="G5418" s="14"/>
      <c r="H5418" s="23"/>
      <c r="I5418" s="27"/>
      <c r="J5418" s="23"/>
      <c r="K5418" s="30"/>
      <c r="L5418" s="23"/>
      <c r="M5418" s="20"/>
      <c r="N5418" s="20"/>
      <c r="O5418" s="20"/>
      <c r="P5418" s="20"/>
    </row>
    <row r="5419">
      <c r="A5419" s="10"/>
      <c r="B5419" s="11"/>
      <c r="C5419" s="10"/>
      <c r="D5419" s="13"/>
      <c r="E5419" s="14"/>
      <c r="F5419" s="14"/>
      <c r="G5419" s="14"/>
      <c r="H5419" s="10"/>
      <c r="I5419" s="17"/>
      <c r="J5419" s="10"/>
      <c r="K5419" s="46"/>
      <c r="L5419" s="10"/>
      <c r="M5419" s="20"/>
      <c r="N5419" s="20"/>
      <c r="O5419" s="20"/>
      <c r="P5419" s="20"/>
    </row>
    <row r="5420">
      <c r="A5420" s="23"/>
      <c r="B5420" s="21"/>
      <c r="C5420" s="23"/>
      <c r="D5420" s="24"/>
      <c r="E5420" s="14"/>
      <c r="F5420" s="14"/>
      <c r="G5420" s="14"/>
      <c r="H5420" s="23"/>
      <c r="I5420" s="27"/>
      <c r="J5420" s="23"/>
      <c r="K5420" s="30"/>
      <c r="L5420" s="23"/>
      <c r="M5420" s="20"/>
      <c r="N5420" s="20"/>
      <c r="O5420" s="20"/>
      <c r="P5420" s="20"/>
    </row>
    <row r="5421">
      <c r="A5421" s="10"/>
      <c r="B5421" s="11"/>
      <c r="C5421" s="10"/>
      <c r="D5421" s="13"/>
      <c r="E5421" s="14"/>
      <c r="F5421" s="14"/>
      <c r="G5421" s="14"/>
      <c r="H5421" s="10"/>
      <c r="I5421" s="17"/>
      <c r="J5421" s="10"/>
      <c r="K5421" s="46"/>
      <c r="L5421" s="10"/>
      <c r="M5421" s="20"/>
      <c r="N5421" s="20"/>
      <c r="O5421" s="20"/>
      <c r="P5421" s="20"/>
    </row>
    <row r="5422">
      <c r="A5422" s="23"/>
      <c r="B5422" s="21"/>
      <c r="C5422" s="23"/>
      <c r="D5422" s="24"/>
      <c r="E5422" s="14"/>
      <c r="F5422" s="14"/>
      <c r="G5422" s="14"/>
      <c r="H5422" s="23"/>
      <c r="I5422" s="27"/>
      <c r="J5422" s="23"/>
      <c r="K5422" s="30"/>
      <c r="L5422" s="23"/>
      <c r="M5422" s="20"/>
      <c r="N5422" s="20"/>
      <c r="O5422" s="20"/>
      <c r="P5422" s="20"/>
    </row>
    <row r="5423">
      <c r="A5423" s="10"/>
      <c r="B5423" s="11"/>
      <c r="C5423" s="10"/>
      <c r="D5423" s="13"/>
      <c r="E5423" s="14"/>
      <c r="F5423" s="14"/>
      <c r="G5423" s="14"/>
      <c r="H5423" s="10"/>
      <c r="I5423" s="17"/>
      <c r="J5423" s="10"/>
      <c r="K5423" s="46"/>
      <c r="L5423" s="10"/>
      <c r="M5423" s="20"/>
      <c r="N5423" s="20"/>
      <c r="O5423" s="20"/>
      <c r="P5423" s="20"/>
    </row>
    <row r="5424">
      <c r="A5424" s="23"/>
      <c r="B5424" s="21"/>
      <c r="C5424" s="23"/>
      <c r="D5424" s="24"/>
      <c r="E5424" s="14"/>
      <c r="F5424" s="14"/>
      <c r="G5424" s="14"/>
      <c r="H5424" s="23"/>
      <c r="I5424" s="27"/>
      <c r="J5424" s="23"/>
      <c r="K5424" s="30"/>
      <c r="L5424" s="23"/>
      <c r="M5424" s="20"/>
      <c r="N5424" s="20"/>
      <c r="O5424" s="20"/>
      <c r="P5424" s="20"/>
    </row>
    <row r="5425">
      <c r="A5425" s="10"/>
      <c r="B5425" s="11"/>
      <c r="C5425" s="10"/>
      <c r="D5425" s="13"/>
      <c r="E5425" s="14"/>
      <c r="F5425" s="14"/>
      <c r="G5425" s="14"/>
      <c r="H5425" s="10"/>
      <c r="I5425" s="17"/>
      <c r="J5425" s="10"/>
      <c r="K5425" s="46"/>
      <c r="L5425" s="10"/>
      <c r="M5425" s="20"/>
      <c r="N5425" s="20"/>
      <c r="O5425" s="20"/>
      <c r="P5425" s="20"/>
    </row>
    <row r="5426">
      <c r="A5426" s="23"/>
      <c r="B5426" s="21"/>
      <c r="C5426" s="23"/>
      <c r="D5426" s="24"/>
      <c r="E5426" s="14"/>
      <c r="F5426" s="14"/>
      <c r="G5426" s="14"/>
      <c r="H5426" s="23"/>
      <c r="I5426" s="27"/>
      <c r="J5426" s="23"/>
      <c r="K5426" s="30"/>
      <c r="L5426" s="23"/>
      <c r="M5426" s="20"/>
      <c r="N5426" s="20"/>
      <c r="O5426" s="20"/>
      <c r="P5426" s="20"/>
    </row>
    <row r="5427">
      <c r="A5427" s="10"/>
      <c r="B5427" s="11"/>
      <c r="C5427" s="10"/>
      <c r="D5427" s="13"/>
      <c r="E5427" s="14"/>
      <c r="F5427" s="14"/>
      <c r="G5427" s="14"/>
      <c r="H5427" s="10"/>
      <c r="I5427" s="17"/>
      <c r="J5427" s="10"/>
      <c r="K5427" s="46"/>
      <c r="L5427" s="10"/>
      <c r="M5427" s="20"/>
      <c r="N5427" s="20"/>
      <c r="O5427" s="20"/>
      <c r="P5427" s="20"/>
    </row>
    <row r="5428">
      <c r="A5428" s="23"/>
      <c r="B5428" s="21"/>
      <c r="C5428" s="23"/>
      <c r="D5428" s="24"/>
      <c r="E5428" s="14"/>
      <c r="F5428" s="14"/>
      <c r="G5428" s="14"/>
      <c r="H5428" s="23"/>
      <c r="I5428" s="27"/>
      <c r="J5428" s="23"/>
      <c r="K5428" s="30"/>
      <c r="L5428" s="23"/>
      <c r="M5428" s="20"/>
      <c r="N5428" s="20"/>
      <c r="O5428" s="20"/>
      <c r="P5428" s="20"/>
    </row>
    <row r="5429">
      <c r="A5429" s="10"/>
      <c r="B5429" s="11"/>
      <c r="C5429" s="10"/>
      <c r="D5429" s="13"/>
      <c r="E5429" s="14"/>
      <c r="F5429" s="14"/>
      <c r="G5429" s="14"/>
      <c r="H5429" s="10"/>
      <c r="I5429" s="17"/>
      <c r="J5429" s="10"/>
      <c r="K5429" s="46"/>
      <c r="L5429" s="10"/>
      <c r="M5429" s="20"/>
      <c r="N5429" s="20"/>
      <c r="O5429" s="20"/>
      <c r="P5429" s="20"/>
    </row>
    <row r="5430">
      <c r="A5430" s="23"/>
      <c r="B5430" s="21"/>
      <c r="C5430" s="23"/>
      <c r="D5430" s="24"/>
      <c r="E5430" s="14"/>
      <c r="F5430" s="14"/>
      <c r="G5430" s="14"/>
      <c r="H5430" s="23"/>
      <c r="I5430" s="27"/>
      <c r="J5430" s="23"/>
      <c r="K5430" s="30"/>
      <c r="L5430" s="23"/>
      <c r="M5430" s="20"/>
      <c r="N5430" s="20"/>
      <c r="O5430" s="20"/>
      <c r="P5430" s="20"/>
    </row>
    <row r="5431">
      <c r="A5431" s="10"/>
      <c r="B5431" s="11"/>
      <c r="C5431" s="10"/>
      <c r="D5431" s="13"/>
      <c r="E5431" s="14"/>
      <c r="F5431" s="14"/>
      <c r="G5431" s="14"/>
      <c r="H5431" s="10"/>
      <c r="I5431" s="17"/>
      <c r="J5431" s="10"/>
      <c r="K5431" s="46"/>
      <c r="L5431" s="10"/>
      <c r="M5431" s="20"/>
      <c r="N5431" s="20"/>
      <c r="O5431" s="20"/>
      <c r="P5431" s="20"/>
    </row>
    <row r="5432">
      <c r="A5432" s="23"/>
      <c r="B5432" s="21"/>
      <c r="C5432" s="23"/>
      <c r="D5432" s="24"/>
      <c r="E5432" s="14"/>
      <c r="F5432" s="14"/>
      <c r="G5432" s="14"/>
      <c r="H5432" s="23"/>
      <c r="I5432" s="27"/>
      <c r="J5432" s="23"/>
      <c r="K5432" s="30"/>
      <c r="L5432" s="23"/>
      <c r="M5432" s="20"/>
      <c r="N5432" s="20"/>
      <c r="O5432" s="20"/>
      <c r="P5432" s="20"/>
    </row>
    <row r="5433">
      <c r="A5433" s="10"/>
      <c r="B5433" s="11"/>
      <c r="C5433" s="10"/>
      <c r="D5433" s="13"/>
      <c r="E5433" s="14"/>
      <c r="F5433" s="14"/>
      <c r="G5433" s="14"/>
      <c r="H5433" s="10"/>
      <c r="I5433" s="17"/>
      <c r="J5433" s="10"/>
      <c r="K5433" s="46"/>
      <c r="L5433" s="10"/>
      <c r="M5433" s="20"/>
      <c r="N5433" s="20"/>
      <c r="O5433" s="20"/>
      <c r="P5433" s="20"/>
    </row>
    <row r="5434">
      <c r="A5434" s="23"/>
      <c r="B5434" s="21"/>
      <c r="C5434" s="23"/>
      <c r="D5434" s="24"/>
      <c r="E5434" s="14"/>
      <c r="F5434" s="14"/>
      <c r="G5434" s="14"/>
      <c r="H5434" s="23"/>
      <c r="I5434" s="27"/>
      <c r="J5434" s="23"/>
      <c r="K5434" s="30"/>
      <c r="L5434" s="23"/>
      <c r="M5434" s="20"/>
      <c r="N5434" s="20"/>
      <c r="O5434" s="20"/>
      <c r="P5434" s="20"/>
    </row>
    <row r="5435">
      <c r="A5435" s="10"/>
      <c r="B5435" s="11"/>
      <c r="C5435" s="10"/>
      <c r="D5435" s="13"/>
      <c r="E5435" s="14"/>
      <c r="F5435" s="14"/>
      <c r="G5435" s="14"/>
      <c r="H5435" s="10"/>
      <c r="I5435" s="17"/>
      <c r="J5435" s="10"/>
      <c r="K5435" s="46"/>
      <c r="L5435" s="10"/>
      <c r="M5435" s="20"/>
      <c r="N5435" s="20"/>
      <c r="O5435" s="20"/>
      <c r="P5435" s="20"/>
    </row>
    <row r="5436">
      <c r="A5436" s="23"/>
      <c r="B5436" s="21"/>
      <c r="C5436" s="23"/>
      <c r="D5436" s="24"/>
      <c r="E5436" s="14"/>
      <c r="F5436" s="14"/>
      <c r="G5436" s="14"/>
      <c r="H5436" s="23"/>
      <c r="I5436" s="27"/>
      <c r="J5436" s="23"/>
      <c r="K5436" s="30"/>
      <c r="L5436" s="23"/>
      <c r="M5436" s="20"/>
      <c r="N5436" s="20"/>
      <c r="O5436" s="20"/>
      <c r="P5436" s="20"/>
    </row>
    <row r="5437">
      <c r="A5437" s="10"/>
      <c r="B5437" s="11"/>
      <c r="C5437" s="10"/>
      <c r="D5437" s="13"/>
      <c r="E5437" s="14"/>
      <c r="F5437" s="14"/>
      <c r="G5437" s="14"/>
      <c r="H5437" s="10"/>
      <c r="I5437" s="17"/>
      <c r="J5437" s="10"/>
      <c r="K5437" s="46"/>
      <c r="L5437" s="10"/>
      <c r="M5437" s="20"/>
      <c r="N5437" s="20"/>
      <c r="O5437" s="20"/>
      <c r="P5437" s="20"/>
    </row>
    <row r="5438">
      <c r="A5438" s="23"/>
      <c r="B5438" s="21"/>
      <c r="C5438" s="23"/>
      <c r="D5438" s="24"/>
      <c r="E5438" s="14"/>
      <c r="F5438" s="14"/>
      <c r="G5438" s="14"/>
      <c r="H5438" s="23"/>
      <c r="I5438" s="27"/>
      <c r="J5438" s="23"/>
      <c r="K5438" s="30"/>
      <c r="L5438" s="23"/>
      <c r="M5438" s="20"/>
      <c r="N5438" s="20"/>
      <c r="O5438" s="20"/>
      <c r="P5438" s="20"/>
    </row>
    <row r="5439">
      <c r="A5439" s="10"/>
      <c r="B5439" s="11"/>
      <c r="C5439" s="10"/>
      <c r="D5439" s="13"/>
      <c r="E5439" s="14"/>
      <c r="F5439" s="14"/>
      <c r="G5439" s="14"/>
      <c r="H5439" s="10"/>
      <c r="I5439" s="17"/>
      <c r="J5439" s="10"/>
      <c r="K5439" s="46"/>
      <c r="L5439" s="10"/>
      <c r="M5439" s="20"/>
      <c r="N5439" s="20"/>
      <c r="O5439" s="20"/>
      <c r="P5439" s="20"/>
    </row>
    <row r="5440">
      <c r="A5440" s="23"/>
      <c r="B5440" s="21"/>
      <c r="C5440" s="23"/>
      <c r="D5440" s="24"/>
      <c r="E5440" s="14"/>
      <c r="F5440" s="14"/>
      <c r="G5440" s="14"/>
      <c r="H5440" s="23"/>
      <c r="I5440" s="27"/>
      <c r="J5440" s="23"/>
      <c r="K5440" s="30"/>
      <c r="L5440" s="23"/>
      <c r="M5440" s="20"/>
      <c r="N5440" s="20"/>
      <c r="O5440" s="20"/>
      <c r="P5440" s="20"/>
    </row>
    <row r="5441">
      <c r="A5441" s="10"/>
      <c r="B5441" s="11"/>
      <c r="C5441" s="10"/>
      <c r="D5441" s="13"/>
      <c r="E5441" s="14"/>
      <c r="F5441" s="14"/>
      <c r="G5441" s="14"/>
      <c r="H5441" s="10"/>
      <c r="I5441" s="17"/>
      <c r="J5441" s="10"/>
      <c r="K5441" s="46"/>
      <c r="L5441" s="10"/>
      <c r="M5441" s="20"/>
      <c r="N5441" s="20"/>
      <c r="O5441" s="20"/>
      <c r="P5441" s="20"/>
    </row>
    <row r="5442">
      <c r="A5442" s="23"/>
      <c r="B5442" s="21"/>
      <c r="C5442" s="23"/>
      <c r="D5442" s="24"/>
      <c r="E5442" s="14"/>
      <c r="F5442" s="14"/>
      <c r="G5442" s="14"/>
      <c r="H5442" s="23"/>
      <c r="I5442" s="27"/>
      <c r="J5442" s="23"/>
      <c r="K5442" s="30"/>
      <c r="L5442" s="23"/>
      <c r="M5442" s="20"/>
      <c r="N5442" s="20"/>
      <c r="O5442" s="20"/>
      <c r="P5442" s="20"/>
    </row>
    <row r="5443">
      <c r="A5443" s="10"/>
      <c r="B5443" s="11"/>
      <c r="C5443" s="10"/>
      <c r="D5443" s="13"/>
      <c r="E5443" s="14"/>
      <c r="F5443" s="14"/>
      <c r="G5443" s="14"/>
      <c r="H5443" s="10"/>
      <c r="I5443" s="17"/>
      <c r="J5443" s="10"/>
      <c r="K5443" s="46"/>
      <c r="L5443" s="10"/>
      <c r="M5443" s="20"/>
      <c r="N5443" s="20"/>
      <c r="O5443" s="20"/>
      <c r="P5443" s="20"/>
    </row>
    <row r="5444">
      <c r="A5444" s="23"/>
      <c r="B5444" s="21"/>
      <c r="C5444" s="23"/>
      <c r="D5444" s="24"/>
      <c r="E5444" s="14"/>
      <c r="F5444" s="14"/>
      <c r="G5444" s="14"/>
      <c r="H5444" s="23"/>
      <c r="I5444" s="27"/>
      <c r="J5444" s="23"/>
      <c r="K5444" s="30"/>
      <c r="L5444" s="23"/>
      <c r="M5444" s="20"/>
      <c r="N5444" s="20"/>
      <c r="O5444" s="20"/>
      <c r="P5444" s="20"/>
    </row>
    <row r="5445">
      <c r="A5445" s="10"/>
      <c r="B5445" s="11"/>
      <c r="C5445" s="10"/>
      <c r="D5445" s="13"/>
      <c r="E5445" s="14"/>
      <c r="F5445" s="14"/>
      <c r="G5445" s="14"/>
      <c r="H5445" s="10"/>
      <c r="I5445" s="17"/>
      <c r="J5445" s="10"/>
      <c r="K5445" s="46"/>
      <c r="L5445" s="10"/>
      <c r="M5445" s="20"/>
      <c r="N5445" s="20"/>
      <c r="O5445" s="20"/>
      <c r="P5445" s="20"/>
    </row>
    <row r="5446">
      <c r="A5446" s="23"/>
      <c r="B5446" s="21"/>
      <c r="C5446" s="23"/>
      <c r="D5446" s="24"/>
      <c r="E5446" s="14"/>
      <c r="F5446" s="14"/>
      <c r="G5446" s="14"/>
      <c r="H5446" s="23"/>
      <c r="I5446" s="27"/>
      <c r="J5446" s="23"/>
      <c r="K5446" s="30"/>
      <c r="L5446" s="23"/>
      <c r="M5446" s="20"/>
      <c r="N5446" s="20"/>
      <c r="O5446" s="20"/>
      <c r="P5446" s="20"/>
    </row>
    <row r="5447">
      <c r="A5447" s="10"/>
      <c r="B5447" s="11"/>
      <c r="C5447" s="10"/>
      <c r="D5447" s="13"/>
      <c r="E5447" s="14"/>
      <c r="F5447" s="14"/>
      <c r="G5447" s="14"/>
      <c r="H5447" s="10"/>
      <c r="I5447" s="17"/>
      <c r="J5447" s="10"/>
      <c r="K5447" s="46"/>
      <c r="L5447" s="10"/>
      <c r="M5447" s="20"/>
      <c r="N5447" s="20"/>
      <c r="O5447" s="20"/>
      <c r="P5447" s="20"/>
    </row>
    <row r="5448">
      <c r="A5448" s="23"/>
      <c r="B5448" s="21"/>
      <c r="C5448" s="23"/>
      <c r="D5448" s="24"/>
      <c r="E5448" s="14"/>
      <c r="F5448" s="14"/>
      <c r="G5448" s="14"/>
      <c r="H5448" s="23"/>
      <c r="I5448" s="27"/>
      <c r="J5448" s="23"/>
      <c r="K5448" s="30"/>
      <c r="L5448" s="23"/>
      <c r="M5448" s="20"/>
      <c r="N5448" s="20"/>
      <c r="O5448" s="20"/>
      <c r="P5448" s="20"/>
    </row>
    <row r="5449">
      <c r="A5449" s="10"/>
      <c r="B5449" s="11"/>
      <c r="C5449" s="10"/>
      <c r="D5449" s="13"/>
      <c r="E5449" s="14"/>
      <c r="F5449" s="14"/>
      <c r="G5449" s="14"/>
      <c r="H5449" s="10"/>
      <c r="I5449" s="17"/>
      <c r="J5449" s="10"/>
      <c r="K5449" s="46"/>
      <c r="L5449" s="10"/>
      <c r="M5449" s="20"/>
      <c r="N5449" s="20"/>
      <c r="O5449" s="20"/>
      <c r="P5449" s="20"/>
    </row>
    <row r="5450">
      <c r="A5450" s="23"/>
      <c r="B5450" s="21"/>
      <c r="C5450" s="23"/>
      <c r="D5450" s="24"/>
      <c r="E5450" s="14"/>
      <c r="F5450" s="14"/>
      <c r="G5450" s="14"/>
      <c r="H5450" s="23"/>
      <c r="I5450" s="27"/>
      <c r="J5450" s="23"/>
      <c r="K5450" s="30"/>
      <c r="L5450" s="23"/>
      <c r="M5450" s="20"/>
      <c r="N5450" s="20"/>
      <c r="O5450" s="20"/>
      <c r="P5450" s="20"/>
    </row>
    <row r="5451">
      <c r="A5451" s="10"/>
      <c r="B5451" s="11"/>
      <c r="C5451" s="10"/>
      <c r="D5451" s="13"/>
      <c r="E5451" s="14"/>
      <c r="F5451" s="14"/>
      <c r="G5451" s="14"/>
      <c r="H5451" s="10"/>
      <c r="I5451" s="17"/>
      <c r="J5451" s="10"/>
      <c r="K5451" s="46"/>
      <c r="L5451" s="10"/>
      <c r="M5451" s="20"/>
      <c r="N5451" s="20"/>
      <c r="O5451" s="20"/>
      <c r="P5451" s="20"/>
    </row>
    <row r="5452">
      <c r="A5452" s="23"/>
      <c r="B5452" s="21"/>
      <c r="C5452" s="23"/>
      <c r="D5452" s="24"/>
      <c r="E5452" s="14"/>
      <c r="F5452" s="14"/>
      <c r="G5452" s="14"/>
      <c r="H5452" s="23"/>
      <c r="I5452" s="27"/>
      <c r="J5452" s="23"/>
      <c r="K5452" s="30"/>
      <c r="L5452" s="23"/>
      <c r="M5452" s="20"/>
      <c r="N5452" s="20"/>
      <c r="O5452" s="20"/>
      <c r="P5452" s="20"/>
    </row>
    <row r="5453">
      <c r="A5453" s="10"/>
      <c r="B5453" s="11"/>
      <c r="C5453" s="10"/>
      <c r="D5453" s="13"/>
      <c r="E5453" s="14"/>
      <c r="F5453" s="14"/>
      <c r="G5453" s="14"/>
      <c r="H5453" s="10"/>
      <c r="I5453" s="17"/>
      <c r="J5453" s="10"/>
      <c r="K5453" s="46"/>
      <c r="L5453" s="10"/>
      <c r="M5453" s="20"/>
      <c r="N5453" s="20"/>
      <c r="O5453" s="20"/>
      <c r="P5453" s="20"/>
    </row>
    <row r="5454">
      <c r="A5454" s="23"/>
      <c r="B5454" s="21"/>
      <c r="C5454" s="23"/>
      <c r="D5454" s="24"/>
      <c r="E5454" s="14"/>
      <c r="F5454" s="14"/>
      <c r="G5454" s="14"/>
      <c r="H5454" s="23"/>
      <c r="I5454" s="27"/>
      <c r="J5454" s="23"/>
      <c r="K5454" s="30"/>
      <c r="L5454" s="23"/>
      <c r="M5454" s="20"/>
      <c r="N5454" s="20"/>
      <c r="O5454" s="20"/>
      <c r="P5454" s="20"/>
    </row>
    <row r="5455">
      <c r="A5455" s="10"/>
      <c r="B5455" s="11"/>
      <c r="C5455" s="10"/>
      <c r="D5455" s="13"/>
      <c r="E5455" s="14"/>
      <c r="F5455" s="14"/>
      <c r="G5455" s="14"/>
      <c r="H5455" s="10"/>
      <c r="I5455" s="17"/>
      <c r="J5455" s="10"/>
      <c r="K5455" s="46"/>
      <c r="L5455" s="10"/>
      <c r="M5455" s="20"/>
      <c r="N5455" s="20"/>
      <c r="O5455" s="20"/>
      <c r="P5455" s="20"/>
    </row>
    <row r="5456">
      <c r="A5456" s="23"/>
      <c r="B5456" s="21"/>
      <c r="C5456" s="23"/>
      <c r="D5456" s="24"/>
      <c r="E5456" s="14"/>
      <c r="F5456" s="14"/>
      <c r="G5456" s="14"/>
      <c r="H5456" s="23"/>
      <c r="I5456" s="27"/>
      <c r="J5456" s="23"/>
      <c r="K5456" s="30"/>
      <c r="L5456" s="23"/>
      <c r="M5456" s="20"/>
      <c r="N5456" s="20"/>
      <c r="O5456" s="20"/>
      <c r="P5456" s="20"/>
    </row>
    <row r="5457">
      <c r="A5457" s="10"/>
      <c r="B5457" s="11"/>
      <c r="C5457" s="10"/>
      <c r="D5457" s="13"/>
      <c r="E5457" s="14"/>
      <c r="F5457" s="14"/>
      <c r="G5457" s="14"/>
      <c r="H5457" s="10"/>
      <c r="I5457" s="17"/>
      <c r="J5457" s="10"/>
      <c r="K5457" s="46"/>
      <c r="L5457" s="10"/>
      <c r="M5457" s="20"/>
      <c r="N5457" s="20"/>
      <c r="O5457" s="20"/>
      <c r="P5457" s="20"/>
    </row>
    <row r="5458">
      <c r="A5458" s="23"/>
      <c r="B5458" s="21"/>
      <c r="C5458" s="23"/>
      <c r="D5458" s="24"/>
      <c r="E5458" s="14"/>
      <c r="F5458" s="14"/>
      <c r="G5458" s="14"/>
      <c r="H5458" s="23"/>
      <c r="I5458" s="27"/>
      <c r="J5458" s="23"/>
      <c r="K5458" s="30"/>
      <c r="L5458" s="23"/>
      <c r="M5458" s="20"/>
      <c r="N5458" s="20"/>
      <c r="O5458" s="20"/>
      <c r="P5458" s="20"/>
    </row>
    <row r="5459">
      <c r="A5459" s="10"/>
      <c r="B5459" s="11"/>
      <c r="C5459" s="10"/>
      <c r="D5459" s="13"/>
      <c r="E5459" s="14"/>
      <c r="F5459" s="14"/>
      <c r="G5459" s="14"/>
      <c r="H5459" s="10"/>
      <c r="I5459" s="17"/>
      <c r="J5459" s="10"/>
      <c r="K5459" s="46"/>
      <c r="L5459" s="10"/>
      <c r="M5459" s="20"/>
      <c r="N5459" s="20"/>
      <c r="O5459" s="20"/>
      <c r="P5459" s="20"/>
    </row>
    <row r="5460">
      <c r="A5460" s="23"/>
      <c r="B5460" s="21"/>
      <c r="C5460" s="23"/>
      <c r="D5460" s="24"/>
      <c r="E5460" s="14"/>
      <c r="F5460" s="14"/>
      <c r="G5460" s="14"/>
      <c r="H5460" s="23"/>
      <c r="I5460" s="27"/>
      <c r="J5460" s="23"/>
      <c r="K5460" s="30"/>
      <c r="L5460" s="23"/>
      <c r="M5460" s="20"/>
      <c r="N5460" s="20"/>
      <c r="O5460" s="20"/>
      <c r="P5460" s="20"/>
    </row>
    <row r="5461">
      <c r="A5461" s="10"/>
      <c r="B5461" s="11"/>
      <c r="C5461" s="10"/>
      <c r="D5461" s="13"/>
      <c r="E5461" s="14"/>
      <c r="F5461" s="14"/>
      <c r="G5461" s="14"/>
      <c r="H5461" s="10"/>
      <c r="I5461" s="17"/>
      <c r="J5461" s="10"/>
      <c r="K5461" s="46"/>
      <c r="L5461" s="10"/>
      <c r="M5461" s="20"/>
      <c r="N5461" s="20"/>
      <c r="O5461" s="20"/>
      <c r="P5461" s="20"/>
    </row>
    <row r="5462">
      <c r="A5462" s="23"/>
      <c r="B5462" s="21"/>
      <c r="C5462" s="23"/>
      <c r="D5462" s="24"/>
      <c r="E5462" s="14"/>
      <c r="F5462" s="14"/>
      <c r="G5462" s="14"/>
      <c r="H5462" s="23"/>
      <c r="I5462" s="27"/>
      <c r="J5462" s="23"/>
      <c r="K5462" s="30"/>
      <c r="L5462" s="23"/>
      <c r="M5462" s="20"/>
      <c r="N5462" s="20"/>
      <c r="O5462" s="20"/>
      <c r="P5462" s="20"/>
    </row>
    <row r="5463">
      <c r="A5463" s="10"/>
      <c r="B5463" s="11"/>
      <c r="C5463" s="10"/>
      <c r="D5463" s="13"/>
      <c r="E5463" s="14"/>
      <c r="F5463" s="14"/>
      <c r="G5463" s="14"/>
      <c r="H5463" s="10"/>
      <c r="I5463" s="17"/>
      <c r="J5463" s="10"/>
      <c r="K5463" s="46"/>
      <c r="L5463" s="10"/>
      <c r="M5463" s="20"/>
      <c r="N5463" s="20"/>
      <c r="O5463" s="20"/>
      <c r="P5463" s="20"/>
    </row>
    <row r="5464">
      <c r="A5464" s="23"/>
      <c r="B5464" s="21"/>
      <c r="C5464" s="23"/>
      <c r="D5464" s="24"/>
      <c r="E5464" s="14"/>
      <c r="F5464" s="14"/>
      <c r="G5464" s="14"/>
      <c r="H5464" s="23"/>
      <c r="I5464" s="27"/>
      <c r="J5464" s="23"/>
      <c r="K5464" s="30"/>
      <c r="L5464" s="23"/>
      <c r="M5464" s="20"/>
      <c r="N5464" s="20"/>
      <c r="O5464" s="20"/>
      <c r="P5464" s="20"/>
    </row>
    <row r="5465">
      <c r="A5465" s="10"/>
      <c r="B5465" s="11"/>
      <c r="C5465" s="10"/>
      <c r="D5465" s="13"/>
      <c r="E5465" s="14"/>
      <c r="F5465" s="14"/>
      <c r="G5465" s="14"/>
      <c r="H5465" s="10"/>
      <c r="I5465" s="17"/>
      <c r="J5465" s="10"/>
      <c r="K5465" s="46"/>
      <c r="L5465" s="10"/>
      <c r="M5465" s="20"/>
      <c r="N5465" s="20"/>
      <c r="O5465" s="20"/>
      <c r="P5465" s="20"/>
    </row>
    <row r="5466">
      <c r="A5466" s="23"/>
      <c r="B5466" s="21"/>
      <c r="C5466" s="23"/>
      <c r="D5466" s="24"/>
      <c r="E5466" s="14"/>
      <c r="F5466" s="14"/>
      <c r="G5466" s="14"/>
      <c r="H5466" s="23"/>
      <c r="I5466" s="27"/>
      <c r="J5466" s="23"/>
      <c r="K5466" s="30"/>
      <c r="L5466" s="23"/>
      <c r="M5466" s="20"/>
      <c r="N5466" s="20"/>
      <c r="O5466" s="20"/>
      <c r="P5466" s="20"/>
    </row>
    <row r="5467">
      <c r="A5467" s="10"/>
      <c r="B5467" s="11"/>
      <c r="C5467" s="10"/>
      <c r="D5467" s="13"/>
      <c r="E5467" s="14"/>
      <c r="F5467" s="14"/>
      <c r="G5467" s="14"/>
      <c r="H5467" s="10"/>
      <c r="I5467" s="17"/>
      <c r="J5467" s="10"/>
      <c r="K5467" s="46"/>
      <c r="L5467" s="10"/>
      <c r="M5467" s="20"/>
      <c r="N5467" s="20"/>
      <c r="O5467" s="20"/>
      <c r="P5467" s="20"/>
    </row>
    <row r="5468">
      <c r="A5468" s="23"/>
      <c r="B5468" s="21"/>
      <c r="C5468" s="23"/>
      <c r="D5468" s="24"/>
      <c r="E5468" s="14"/>
      <c r="F5468" s="14"/>
      <c r="G5468" s="14"/>
      <c r="H5468" s="23"/>
      <c r="I5468" s="27"/>
      <c r="J5468" s="23"/>
      <c r="K5468" s="30"/>
      <c r="L5468" s="23"/>
      <c r="M5468" s="20"/>
      <c r="N5468" s="20"/>
      <c r="O5468" s="20"/>
      <c r="P5468" s="20"/>
    </row>
    <row r="5469">
      <c r="A5469" s="10"/>
      <c r="B5469" s="11"/>
      <c r="C5469" s="10"/>
      <c r="D5469" s="13"/>
      <c r="E5469" s="14"/>
      <c r="F5469" s="14"/>
      <c r="G5469" s="14"/>
      <c r="H5469" s="10"/>
      <c r="I5469" s="17"/>
      <c r="J5469" s="10"/>
      <c r="K5469" s="46"/>
      <c r="L5469" s="10"/>
      <c r="M5469" s="20"/>
      <c r="N5469" s="20"/>
      <c r="O5469" s="20"/>
      <c r="P5469" s="20"/>
    </row>
    <row r="5470">
      <c r="A5470" s="23"/>
      <c r="B5470" s="21"/>
      <c r="C5470" s="23"/>
      <c r="D5470" s="24"/>
      <c r="E5470" s="14"/>
      <c r="F5470" s="14"/>
      <c r="G5470" s="14"/>
      <c r="H5470" s="23"/>
      <c r="I5470" s="27"/>
      <c r="J5470" s="23"/>
      <c r="K5470" s="30"/>
      <c r="L5470" s="23"/>
      <c r="M5470" s="20"/>
      <c r="N5470" s="20"/>
      <c r="O5470" s="20"/>
      <c r="P5470" s="20"/>
    </row>
    <row r="5471">
      <c r="A5471" s="10"/>
      <c r="B5471" s="11"/>
      <c r="C5471" s="10"/>
      <c r="D5471" s="13"/>
      <c r="E5471" s="14"/>
      <c r="F5471" s="14"/>
      <c r="G5471" s="14"/>
      <c r="H5471" s="10"/>
      <c r="I5471" s="17"/>
      <c r="J5471" s="10"/>
      <c r="K5471" s="46"/>
      <c r="L5471" s="10"/>
      <c r="M5471" s="20"/>
      <c r="N5471" s="20"/>
      <c r="O5471" s="20"/>
      <c r="P5471" s="20"/>
    </row>
    <row r="5472">
      <c r="A5472" s="23"/>
      <c r="B5472" s="21"/>
      <c r="C5472" s="23"/>
      <c r="D5472" s="24"/>
      <c r="E5472" s="14"/>
      <c r="F5472" s="14"/>
      <c r="G5472" s="14"/>
      <c r="H5472" s="23"/>
      <c r="I5472" s="27"/>
      <c r="J5472" s="23"/>
      <c r="K5472" s="30"/>
      <c r="L5472" s="23"/>
      <c r="M5472" s="20"/>
      <c r="N5472" s="20"/>
      <c r="O5472" s="20"/>
      <c r="P5472" s="20"/>
    </row>
    <row r="5473">
      <c r="A5473" s="10"/>
      <c r="B5473" s="11"/>
      <c r="C5473" s="10"/>
      <c r="D5473" s="13"/>
      <c r="E5473" s="14"/>
      <c r="F5473" s="14"/>
      <c r="G5473" s="14"/>
      <c r="H5473" s="10"/>
      <c r="I5473" s="17"/>
      <c r="J5473" s="10"/>
      <c r="K5473" s="46"/>
      <c r="L5473" s="10"/>
      <c r="M5473" s="20"/>
      <c r="N5473" s="20"/>
      <c r="O5473" s="20"/>
      <c r="P5473" s="20"/>
    </row>
    <row r="5474">
      <c r="A5474" s="23"/>
      <c r="B5474" s="21"/>
      <c r="C5474" s="23"/>
      <c r="D5474" s="24"/>
      <c r="E5474" s="14"/>
      <c r="F5474" s="14"/>
      <c r="G5474" s="14"/>
      <c r="H5474" s="23"/>
      <c r="I5474" s="27"/>
      <c r="J5474" s="23"/>
      <c r="K5474" s="30"/>
      <c r="L5474" s="23"/>
      <c r="M5474" s="20"/>
      <c r="N5474" s="20"/>
      <c r="O5474" s="20"/>
      <c r="P5474" s="20"/>
    </row>
    <row r="5475">
      <c r="A5475" s="10"/>
      <c r="B5475" s="11"/>
      <c r="C5475" s="10"/>
      <c r="D5475" s="13"/>
      <c r="E5475" s="14"/>
      <c r="F5475" s="14"/>
      <c r="G5475" s="14"/>
      <c r="H5475" s="10"/>
      <c r="I5475" s="17"/>
      <c r="J5475" s="10"/>
      <c r="K5475" s="46"/>
      <c r="L5475" s="10"/>
      <c r="M5475" s="20"/>
      <c r="N5475" s="20"/>
      <c r="O5475" s="20"/>
      <c r="P5475" s="20"/>
    </row>
    <row r="5476">
      <c r="A5476" s="23"/>
      <c r="B5476" s="21"/>
      <c r="C5476" s="23"/>
      <c r="D5476" s="24"/>
      <c r="E5476" s="14"/>
      <c r="F5476" s="14"/>
      <c r="G5476" s="14"/>
      <c r="H5476" s="23"/>
      <c r="I5476" s="27"/>
      <c r="J5476" s="23"/>
      <c r="K5476" s="30"/>
      <c r="L5476" s="23"/>
      <c r="M5476" s="20"/>
      <c r="N5476" s="20"/>
      <c r="O5476" s="20"/>
      <c r="P5476" s="20"/>
    </row>
    <row r="5477">
      <c r="A5477" s="10"/>
      <c r="B5477" s="11"/>
      <c r="C5477" s="10"/>
      <c r="D5477" s="13"/>
      <c r="E5477" s="14"/>
      <c r="F5477" s="14"/>
      <c r="G5477" s="14"/>
      <c r="H5477" s="10"/>
      <c r="I5477" s="17"/>
      <c r="J5477" s="10"/>
      <c r="K5477" s="46"/>
      <c r="L5477" s="10"/>
      <c r="M5477" s="20"/>
      <c r="N5477" s="20"/>
      <c r="O5477" s="20"/>
      <c r="P5477" s="20"/>
    </row>
    <row r="5478">
      <c r="A5478" s="23"/>
      <c r="B5478" s="21"/>
      <c r="C5478" s="23"/>
      <c r="D5478" s="24"/>
      <c r="E5478" s="14"/>
      <c r="F5478" s="14"/>
      <c r="G5478" s="14"/>
      <c r="H5478" s="23"/>
      <c r="I5478" s="27"/>
      <c r="J5478" s="23"/>
      <c r="K5478" s="30"/>
      <c r="L5478" s="23"/>
      <c r="M5478" s="20"/>
      <c r="N5478" s="20"/>
      <c r="O5478" s="20"/>
      <c r="P5478" s="20"/>
    </row>
    <row r="5479">
      <c r="A5479" s="10"/>
      <c r="B5479" s="11"/>
      <c r="C5479" s="10"/>
      <c r="D5479" s="13"/>
      <c r="E5479" s="14"/>
      <c r="F5479" s="14"/>
      <c r="G5479" s="14"/>
      <c r="H5479" s="10"/>
      <c r="I5479" s="17"/>
      <c r="J5479" s="10"/>
      <c r="K5479" s="46"/>
      <c r="L5479" s="10"/>
      <c r="M5479" s="20"/>
      <c r="N5479" s="20"/>
      <c r="O5479" s="20"/>
      <c r="P5479" s="20"/>
    </row>
    <row r="5480">
      <c r="A5480" s="23"/>
      <c r="B5480" s="21"/>
      <c r="C5480" s="23"/>
      <c r="D5480" s="24"/>
      <c r="E5480" s="14"/>
      <c r="F5480" s="14"/>
      <c r="G5480" s="14"/>
      <c r="H5480" s="23"/>
      <c r="I5480" s="27"/>
      <c r="J5480" s="23"/>
      <c r="K5480" s="30"/>
      <c r="L5480" s="23"/>
      <c r="M5480" s="20"/>
      <c r="N5480" s="20"/>
      <c r="O5480" s="20"/>
      <c r="P5480" s="20"/>
    </row>
    <row r="5481">
      <c r="A5481" s="10"/>
      <c r="B5481" s="11"/>
      <c r="C5481" s="10"/>
      <c r="D5481" s="13"/>
      <c r="E5481" s="14"/>
      <c r="F5481" s="14"/>
      <c r="G5481" s="14"/>
      <c r="H5481" s="10"/>
      <c r="I5481" s="17"/>
      <c r="J5481" s="10"/>
      <c r="K5481" s="46"/>
      <c r="L5481" s="10"/>
      <c r="M5481" s="20"/>
      <c r="N5481" s="20"/>
      <c r="O5481" s="20"/>
      <c r="P5481" s="20"/>
    </row>
    <row r="5482">
      <c r="A5482" s="23"/>
      <c r="B5482" s="21"/>
      <c r="C5482" s="23"/>
      <c r="D5482" s="24"/>
      <c r="E5482" s="14"/>
      <c r="F5482" s="14"/>
      <c r="G5482" s="14"/>
      <c r="H5482" s="23"/>
      <c r="I5482" s="27"/>
      <c r="J5482" s="23"/>
      <c r="K5482" s="30"/>
      <c r="L5482" s="23"/>
      <c r="M5482" s="20"/>
      <c r="N5482" s="20"/>
      <c r="O5482" s="20"/>
      <c r="P5482" s="20"/>
    </row>
    <row r="5483">
      <c r="A5483" s="10"/>
      <c r="B5483" s="11"/>
      <c r="C5483" s="10"/>
      <c r="D5483" s="13"/>
      <c r="E5483" s="14"/>
      <c r="F5483" s="14"/>
      <c r="G5483" s="14"/>
      <c r="H5483" s="10"/>
      <c r="I5483" s="17"/>
      <c r="J5483" s="10"/>
      <c r="K5483" s="46"/>
      <c r="L5483" s="10"/>
      <c r="M5483" s="20"/>
      <c r="N5483" s="20"/>
      <c r="O5483" s="20"/>
      <c r="P5483" s="20"/>
    </row>
    <row r="5484">
      <c r="A5484" s="23"/>
      <c r="B5484" s="21"/>
      <c r="C5484" s="23"/>
      <c r="D5484" s="24"/>
      <c r="E5484" s="14"/>
      <c r="F5484" s="14"/>
      <c r="G5484" s="14"/>
      <c r="H5484" s="23"/>
      <c r="I5484" s="27"/>
      <c r="J5484" s="23"/>
      <c r="K5484" s="30"/>
      <c r="L5484" s="23"/>
      <c r="M5484" s="20"/>
      <c r="N5484" s="20"/>
      <c r="O5484" s="20"/>
      <c r="P5484" s="20"/>
    </row>
    <row r="5485">
      <c r="A5485" s="10"/>
      <c r="B5485" s="11"/>
      <c r="C5485" s="10"/>
      <c r="D5485" s="13"/>
      <c r="E5485" s="14"/>
      <c r="F5485" s="14"/>
      <c r="G5485" s="14"/>
      <c r="H5485" s="10"/>
      <c r="I5485" s="17"/>
      <c r="J5485" s="10"/>
      <c r="K5485" s="46"/>
      <c r="L5485" s="10"/>
      <c r="M5485" s="20"/>
      <c r="N5485" s="20"/>
      <c r="O5485" s="20"/>
      <c r="P5485" s="20"/>
    </row>
    <row r="5486">
      <c r="A5486" s="23"/>
      <c r="B5486" s="21"/>
      <c r="C5486" s="23"/>
      <c r="D5486" s="24"/>
      <c r="E5486" s="14"/>
      <c r="F5486" s="14"/>
      <c r="G5486" s="14"/>
      <c r="H5486" s="23"/>
      <c r="I5486" s="27"/>
      <c r="J5486" s="23"/>
      <c r="K5486" s="30"/>
      <c r="L5486" s="23"/>
      <c r="M5486" s="20"/>
      <c r="N5486" s="20"/>
      <c r="O5486" s="20"/>
      <c r="P5486" s="20"/>
    </row>
    <row r="5487">
      <c r="A5487" s="10"/>
      <c r="B5487" s="11"/>
      <c r="C5487" s="10"/>
      <c r="D5487" s="13"/>
      <c r="E5487" s="14"/>
      <c r="F5487" s="14"/>
      <c r="G5487" s="14"/>
      <c r="H5487" s="10"/>
      <c r="I5487" s="17"/>
      <c r="J5487" s="10"/>
      <c r="K5487" s="46"/>
      <c r="L5487" s="10"/>
      <c r="M5487" s="20"/>
      <c r="N5487" s="20"/>
      <c r="O5487" s="20"/>
      <c r="P5487" s="20"/>
    </row>
    <row r="5488">
      <c r="A5488" s="23"/>
      <c r="B5488" s="21"/>
      <c r="C5488" s="23"/>
      <c r="D5488" s="24"/>
      <c r="E5488" s="14"/>
      <c r="F5488" s="14"/>
      <c r="G5488" s="14"/>
      <c r="H5488" s="23"/>
      <c r="I5488" s="27"/>
      <c r="J5488" s="23"/>
      <c r="K5488" s="30"/>
      <c r="L5488" s="23"/>
      <c r="M5488" s="20"/>
      <c r="N5488" s="20"/>
      <c r="O5488" s="20"/>
      <c r="P5488" s="20"/>
    </row>
    <row r="5489">
      <c r="A5489" s="10"/>
      <c r="B5489" s="11"/>
      <c r="C5489" s="10"/>
      <c r="D5489" s="13"/>
      <c r="E5489" s="14"/>
      <c r="F5489" s="14"/>
      <c r="G5489" s="14"/>
      <c r="H5489" s="10"/>
      <c r="I5489" s="17"/>
      <c r="J5489" s="10"/>
      <c r="K5489" s="46"/>
      <c r="L5489" s="10"/>
      <c r="M5489" s="20"/>
      <c r="N5489" s="20"/>
      <c r="O5489" s="20"/>
      <c r="P5489" s="20"/>
    </row>
    <row r="5490">
      <c r="A5490" s="23"/>
      <c r="B5490" s="21"/>
      <c r="C5490" s="23"/>
      <c r="D5490" s="24"/>
      <c r="E5490" s="14"/>
      <c r="F5490" s="14"/>
      <c r="G5490" s="14"/>
      <c r="H5490" s="23"/>
      <c r="I5490" s="27"/>
      <c r="J5490" s="23"/>
      <c r="K5490" s="30"/>
      <c r="L5490" s="23"/>
      <c r="M5490" s="20"/>
      <c r="N5490" s="20"/>
      <c r="O5490" s="20"/>
      <c r="P5490" s="20"/>
    </row>
    <row r="5491">
      <c r="A5491" s="10"/>
      <c r="B5491" s="11"/>
      <c r="C5491" s="10"/>
      <c r="D5491" s="13"/>
      <c r="E5491" s="14"/>
      <c r="F5491" s="14"/>
      <c r="G5491" s="14"/>
      <c r="H5491" s="10"/>
      <c r="I5491" s="17"/>
      <c r="J5491" s="10"/>
      <c r="K5491" s="46"/>
      <c r="L5491" s="10"/>
      <c r="M5491" s="20"/>
      <c r="N5491" s="20"/>
      <c r="O5491" s="20"/>
      <c r="P5491" s="20"/>
    </row>
    <row r="5492">
      <c r="A5492" s="23"/>
      <c r="B5492" s="21"/>
      <c r="C5492" s="23"/>
      <c r="D5492" s="24"/>
      <c r="E5492" s="14"/>
      <c r="F5492" s="14"/>
      <c r="G5492" s="14"/>
      <c r="H5492" s="23"/>
      <c r="I5492" s="27"/>
      <c r="J5492" s="23"/>
      <c r="K5492" s="30"/>
      <c r="L5492" s="23"/>
      <c r="M5492" s="20"/>
      <c r="N5492" s="20"/>
      <c r="O5492" s="20"/>
      <c r="P5492" s="20"/>
    </row>
    <row r="5493">
      <c r="A5493" s="10"/>
      <c r="B5493" s="11"/>
      <c r="C5493" s="10"/>
      <c r="D5493" s="13"/>
      <c r="E5493" s="14"/>
      <c r="F5493" s="14"/>
      <c r="G5493" s="14"/>
      <c r="H5493" s="10"/>
      <c r="I5493" s="17"/>
      <c r="J5493" s="10"/>
      <c r="K5493" s="46"/>
      <c r="L5493" s="10"/>
      <c r="M5493" s="20"/>
      <c r="N5493" s="20"/>
      <c r="O5493" s="20"/>
      <c r="P5493" s="20"/>
    </row>
    <row r="5494">
      <c r="A5494" s="23"/>
      <c r="B5494" s="21"/>
      <c r="C5494" s="23"/>
      <c r="D5494" s="24"/>
      <c r="E5494" s="14"/>
      <c r="F5494" s="14"/>
      <c r="G5494" s="14"/>
      <c r="H5494" s="23"/>
      <c r="I5494" s="27"/>
      <c r="J5494" s="23"/>
      <c r="K5494" s="30"/>
      <c r="L5494" s="23"/>
      <c r="M5494" s="20"/>
      <c r="N5494" s="20"/>
      <c r="O5494" s="20"/>
      <c r="P5494" s="20"/>
    </row>
    <row r="5495">
      <c r="A5495" s="10"/>
      <c r="B5495" s="11"/>
      <c r="C5495" s="10"/>
      <c r="D5495" s="13"/>
      <c r="E5495" s="14"/>
      <c r="F5495" s="14"/>
      <c r="G5495" s="14"/>
      <c r="H5495" s="10"/>
      <c r="I5495" s="17"/>
      <c r="J5495" s="10"/>
      <c r="K5495" s="46"/>
      <c r="L5495" s="10"/>
      <c r="M5495" s="20"/>
      <c r="N5495" s="20"/>
      <c r="O5495" s="20"/>
      <c r="P5495" s="20"/>
    </row>
    <row r="5496">
      <c r="A5496" s="23"/>
      <c r="B5496" s="21"/>
      <c r="C5496" s="23"/>
      <c r="D5496" s="24"/>
      <c r="E5496" s="14"/>
      <c r="F5496" s="14"/>
      <c r="G5496" s="14"/>
      <c r="H5496" s="23"/>
      <c r="I5496" s="27"/>
      <c r="J5496" s="23"/>
      <c r="K5496" s="30"/>
      <c r="L5496" s="23"/>
      <c r="M5496" s="20"/>
      <c r="N5496" s="20"/>
      <c r="O5496" s="20"/>
      <c r="P5496" s="20"/>
    </row>
    <row r="5497">
      <c r="A5497" s="10"/>
      <c r="B5497" s="11"/>
      <c r="C5497" s="10"/>
      <c r="D5497" s="13"/>
      <c r="E5497" s="14"/>
      <c r="F5497" s="14"/>
      <c r="G5497" s="14"/>
      <c r="H5497" s="10"/>
      <c r="I5497" s="17"/>
      <c r="J5497" s="10"/>
      <c r="K5497" s="46"/>
      <c r="L5497" s="10"/>
      <c r="M5497" s="20"/>
      <c r="N5497" s="20"/>
      <c r="O5497" s="20"/>
      <c r="P5497" s="20"/>
    </row>
    <row r="5498">
      <c r="A5498" s="23"/>
      <c r="B5498" s="21"/>
      <c r="C5498" s="23"/>
      <c r="D5498" s="24"/>
      <c r="E5498" s="14"/>
      <c r="F5498" s="14"/>
      <c r="G5498" s="14"/>
      <c r="H5498" s="23"/>
      <c r="I5498" s="27"/>
      <c r="J5498" s="23"/>
      <c r="K5498" s="30"/>
      <c r="L5498" s="23"/>
      <c r="M5498" s="20"/>
      <c r="N5498" s="20"/>
      <c r="O5498" s="20"/>
      <c r="P5498" s="20"/>
    </row>
    <row r="5499">
      <c r="A5499" s="10"/>
      <c r="B5499" s="11"/>
      <c r="C5499" s="10"/>
      <c r="D5499" s="13"/>
      <c r="E5499" s="14"/>
      <c r="F5499" s="14"/>
      <c r="G5499" s="14"/>
      <c r="H5499" s="10"/>
      <c r="I5499" s="17"/>
      <c r="J5499" s="10"/>
      <c r="K5499" s="46"/>
      <c r="L5499" s="10"/>
      <c r="M5499" s="20"/>
      <c r="N5499" s="20"/>
      <c r="O5499" s="20"/>
      <c r="P5499" s="20"/>
    </row>
    <row r="5500">
      <c r="A5500" s="23"/>
      <c r="B5500" s="21"/>
      <c r="C5500" s="23"/>
      <c r="D5500" s="24"/>
      <c r="E5500" s="14"/>
      <c r="F5500" s="14"/>
      <c r="G5500" s="14"/>
      <c r="H5500" s="23"/>
      <c r="I5500" s="27"/>
      <c r="J5500" s="23"/>
      <c r="K5500" s="30"/>
      <c r="L5500" s="23"/>
      <c r="M5500" s="20"/>
      <c r="N5500" s="20"/>
      <c r="O5500" s="20"/>
      <c r="P5500" s="20"/>
    </row>
    <row r="5501">
      <c r="A5501" s="10"/>
      <c r="B5501" s="11"/>
      <c r="C5501" s="10"/>
      <c r="D5501" s="13"/>
      <c r="E5501" s="14"/>
      <c r="F5501" s="14"/>
      <c r="G5501" s="14"/>
      <c r="H5501" s="10"/>
      <c r="I5501" s="17"/>
      <c r="J5501" s="10"/>
      <c r="K5501" s="46"/>
      <c r="L5501" s="10"/>
      <c r="M5501" s="20"/>
      <c r="N5501" s="20"/>
      <c r="O5501" s="20"/>
      <c r="P5501" s="20"/>
    </row>
    <row r="5502">
      <c r="A5502" s="23"/>
      <c r="B5502" s="21"/>
      <c r="C5502" s="23"/>
      <c r="D5502" s="24"/>
      <c r="E5502" s="14"/>
      <c r="F5502" s="14"/>
      <c r="G5502" s="14"/>
      <c r="H5502" s="23"/>
      <c r="I5502" s="27"/>
      <c r="J5502" s="23"/>
      <c r="K5502" s="30"/>
      <c r="L5502" s="23"/>
      <c r="M5502" s="20"/>
      <c r="N5502" s="20"/>
      <c r="O5502" s="20"/>
      <c r="P5502" s="20"/>
    </row>
    <row r="5503">
      <c r="A5503" s="10"/>
      <c r="B5503" s="11"/>
      <c r="C5503" s="10"/>
      <c r="D5503" s="13"/>
      <c r="E5503" s="14"/>
      <c r="F5503" s="14"/>
      <c r="G5503" s="14"/>
      <c r="H5503" s="10"/>
      <c r="I5503" s="17"/>
      <c r="J5503" s="10"/>
      <c r="K5503" s="46"/>
      <c r="L5503" s="10"/>
      <c r="M5503" s="20"/>
      <c r="N5503" s="20"/>
      <c r="O5503" s="20"/>
      <c r="P5503" s="20"/>
    </row>
    <row r="5504">
      <c r="A5504" s="23"/>
      <c r="B5504" s="21"/>
      <c r="C5504" s="23"/>
      <c r="D5504" s="24"/>
      <c r="E5504" s="14"/>
      <c r="F5504" s="14"/>
      <c r="G5504" s="14"/>
      <c r="H5504" s="23"/>
      <c r="I5504" s="27"/>
      <c r="J5504" s="23"/>
      <c r="K5504" s="30"/>
      <c r="L5504" s="23"/>
      <c r="M5504" s="20"/>
      <c r="N5504" s="20"/>
      <c r="O5504" s="20"/>
      <c r="P5504" s="20"/>
    </row>
    <row r="5505">
      <c r="A5505" s="162"/>
      <c r="B5505" s="163"/>
      <c r="C5505" s="162"/>
      <c r="D5505" s="164"/>
      <c r="E5505" s="165"/>
      <c r="F5505" s="165"/>
      <c r="G5505" s="165"/>
      <c r="H5505" s="162"/>
      <c r="I5505" s="166"/>
      <c r="J5505" s="162"/>
      <c r="K5505" s="167"/>
      <c r="L5505" s="162"/>
      <c r="M5505" s="20"/>
      <c r="N5505" s="20"/>
      <c r="O5505" s="20"/>
      <c r="P5505" s="20"/>
    </row>
  </sheetData>
  <hyperlinks>
    <hyperlink r:id="rId1" ref="L27"/>
    <hyperlink r:id="rId2" ref="L33"/>
    <hyperlink r:id="rId3" ref="L37"/>
    <hyperlink r:id="rId4" ref="L62"/>
    <hyperlink r:id="rId5" ref="L63"/>
    <hyperlink r:id="rId6" ref="L65"/>
    <hyperlink r:id="rId7" ref="L73"/>
    <hyperlink r:id="rId8" ref="L80"/>
    <hyperlink r:id="rId9" ref="L99"/>
    <hyperlink r:id="rId10" ref="L101"/>
    <hyperlink r:id="rId11" ref="L102"/>
    <hyperlink r:id="rId12" ref="L110"/>
    <hyperlink r:id="rId13" ref="L115"/>
    <hyperlink r:id="rId14" ref="L116"/>
    <hyperlink r:id="rId15" ref="L117"/>
    <hyperlink r:id="rId16" ref="L120"/>
    <hyperlink r:id="rId17" ref="L121"/>
    <hyperlink r:id="rId18" ref="L122"/>
    <hyperlink r:id="rId19" ref="L123"/>
    <hyperlink r:id="rId20" ref="L126"/>
    <hyperlink r:id="rId21" ref="L127"/>
    <hyperlink r:id="rId22" ref="L129"/>
    <hyperlink r:id="rId23" ref="L131"/>
    <hyperlink r:id="rId24" ref="L134"/>
    <hyperlink r:id="rId25" ref="L139"/>
    <hyperlink r:id="rId26" ref="L141"/>
    <hyperlink r:id="rId27" ref="L143"/>
    <hyperlink r:id="rId28" ref="L144"/>
    <hyperlink r:id="rId29" ref="L145"/>
    <hyperlink r:id="rId30" ref="L147"/>
    <hyperlink r:id="rId31" ref="L148"/>
    <hyperlink r:id="rId32" ref="L155"/>
    <hyperlink r:id="rId33" ref="L157"/>
    <hyperlink r:id="rId34" ref="L159"/>
    <hyperlink r:id="rId35" ref="L162"/>
    <hyperlink r:id="rId36" ref="L165"/>
    <hyperlink r:id="rId37" ref="L173"/>
    <hyperlink r:id="rId38" ref="L183"/>
    <hyperlink r:id="rId39" ref="L189"/>
    <hyperlink r:id="rId40" ref="L191"/>
    <hyperlink r:id="rId41" ref="L201"/>
    <hyperlink r:id="rId42" ref="L202"/>
    <hyperlink r:id="rId43" ref="L206"/>
    <hyperlink r:id="rId44" ref="L209"/>
    <hyperlink r:id="rId45" ref="L213"/>
    <hyperlink r:id="rId46" ref="L214"/>
    <hyperlink r:id="rId47" ref="L215"/>
    <hyperlink r:id="rId48" ref="L220"/>
    <hyperlink r:id="rId49" ref="L221"/>
    <hyperlink r:id="rId50" ref="L222"/>
    <hyperlink r:id="rId51" ref="L223"/>
    <hyperlink r:id="rId52" ref="L224"/>
    <hyperlink r:id="rId53" ref="L226"/>
    <hyperlink r:id="rId54" ref="L227"/>
    <hyperlink r:id="rId55" ref="L228"/>
    <hyperlink r:id="rId56" ref="L229"/>
    <hyperlink r:id="rId57" ref="L230"/>
    <hyperlink r:id="rId58" ref="L232"/>
    <hyperlink r:id="rId59" ref="L233"/>
    <hyperlink r:id="rId60" ref="L234"/>
    <hyperlink r:id="rId61" ref="L235"/>
    <hyperlink r:id="rId62" ref="L236"/>
    <hyperlink r:id="rId63" ref="L237"/>
    <hyperlink r:id="rId64" ref="L238"/>
    <hyperlink r:id="rId65" ref="L239"/>
    <hyperlink r:id="rId66" ref="L240"/>
    <hyperlink r:id="rId67" ref="L241"/>
    <hyperlink r:id="rId68" ref="L242"/>
    <hyperlink r:id="rId69" ref="L244"/>
    <hyperlink r:id="rId70" ref="L245"/>
    <hyperlink r:id="rId71" ref="L246"/>
    <hyperlink r:id="rId72" ref="L248"/>
    <hyperlink r:id="rId73" ref="L250"/>
    <hyperlink r:id="rId74" ref="L252"/>
    <hyperlink r:id="rId75" ref="L253"/>
    <hyperlink r:id="rId76" ref="L254"/>
    <hyperlink r:id="rId77" ref="L255"/>
    <hyperlink r:id="rId78" ref="L257"/>
    <hyperlink r:id="rId79" ref="L260"/>
    <hyperlink r:id="rId80" ref="L261"/>
    <hyperlink r:id="rId81" ref="L262"/>
    <hyperlink r:id="rId82" ref="L263"/>
    <hyperlink r:id="rId83" ref="L264"/>
    <hyperlink r:id="rId84" ref="L265"/>
    <hyperlink r:id="rId85" ref="L266"/>
    <hyperlink r:id="rId86" ref="L267"/>
    <hyperlink r:id="rId87" ref="L270"/>
    <hyperlink r:id="rId88" ref="L271"/>
    <hyperlink r:id="rId89" ref="L272"/>
    <hyperlink r:id="rId90" ref="L273"/>
    <hyperlink r:id="rId91" ref="L275"/>
    <hyperlink r:id="rId92" ref="L276"/>
    <hyperlink r:id="rId93" ref="L277"/>
    <hyperlink r:id="rId94" ref="L278"/>
    <hyperlink r:id="rId95" ref="L279"/>
    <hyperlink r:id="rId96" ref="L280"/>
    <hyperlink r:id="rId97" ref="L281"/>
    <hyperlink r:id="rId98" ref="L282"/>
    <hyperlink r:id="rId99" ref="L283"/>
    <hyperlink r:id="rId100" ref="L284"/>
    <hyperlink r:id="rId101" ref="L285"/>
    <hyperlink r:id="rId102" ref="L287"/>
    <hyperlink r:id="rId103" ref="L288"/>
    <hyperlink r:id="rId104" ref="L289"/>
    <hyperlink r:id="rId105" ref="L290"/>
    <hyperlink r:id="rId106" ref="L291"/>
    <hyperlink r:id="rId107" ref="L296"/>
    <hyperlink r:id="rId108" ref="L297"/>
    <hyperlink r:id="rId109" ref="L299"/>
    <hyperlink r:id="rId110" ref="L300"/>
    <hyperlink r:id="rId111" ref="L301"/>
    <hyperlink r:id="rId112" ref="L302"/>
    <hyperlink r:id="rId113" ref="L304"/>
    <hyperlink r:id="rId114" ref="L305"/>
    <hyperlink r:id="rId115" ref="L306"/>
    <hyperlink r:id="rId116" ref="L307"/>
    <hyperlink r:id="rId117" ref="L308"/>
    <hyperlink r:id="rId118" ref="L309"/>
    <hyperlink r:id="rId119" ref="L310"/>
    <hyperlink r:id="rId120" ref="L311"/>
    <hyperlink r:id="rId121" ref="L312"/>
    <hyperlink r:id="rId122" ref="L313"/>
    <hyperlink r:id="rId123" ref="L316"/>
    <hyperlink r:id="rId124" ref="L317"/>
    <hyperlink r:id="rId125" ref="L318"/>
    <hyperlink r:id="rId126" ref="L319"/>
    <hyperlink r:id="rId127" ref="L320"/>
    <hyperlink r:id="rId128" ref="L321"/>
    <hyperlink r:id="rId129" ref="L322"/>
    <hyperlink r:id="rId130" ref="L323"/>
    <hyperlink r:id="rId131" ref="L324"/>
    <hyperlink r:id="rId132" ref="L325"/>
    <hyperlink r:id="rId133" ref="L326"/>
    <hyperlink r:id="rId134" ref="L328"/>
    <hyperlink r:id="rId135" ref="L329"/>
    <hyperlink r:id="rId136" ref="L330"/>
    <hyperlink r:id="rId137" ref="L331"/>
    <hyperlink r:id="rId138" ref="L332"/>
    <hyperlink r:id="rId139" ref="L334"/>
    <hyperlink r:id="rId140" ref="L335"/>
    <hyperlink r:id="rId141" ref="L337"/>
    <hyperlink r:id="rId142" ref="L338"/>
    <hyperlink r:id="rId143" ref="L340"/>
    <hyperlink r:id="rId144" ref="L342"/>
    <hyperlink r:id="rId145" ref="C549"/>
  </hyperlinks>
  <drawing r:id="rId146"/>
  <tableParts count="1">
    <tablePart r:id="rId14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0"/>
    <col customWidth="1" min="2" max="2" width="9.5"/>
    <col customWidth="1" min="3" max="3" width="25.5"/>
    <col customWidth="1" min="4" max="4" width="14.75"/>
    <col customWidth="1" min="5" max="5" width="14.38"/>
    <col customWidth="1" min="6" max="6" width="9.25"/>
    <col customWidth="1" min="7" max="7" width="27.75"/>
    <col customWidth="1" min="8" max="8" width="23.25"/>
    <col customWidth="1" min="9" max="9" width="11.25"/>
    <col customWidth="1" min="10" max="10" width="11.75"/>
    <col customWidth="1" min="11" max="11" width="51.25"/>
    <col customWidth="1" min="12" max="12" width="28.0"/>
  </cols>
  <sheetData>
    <row r="1">
      <c r="A1" s="1" t="str">
        <f>IFERROR(__xludf.DUMMYFUNCTION("QUERY(
  'Input Data'!A1:N5505,
  ""select B, A, C, D, E, G, H, I, J, K, L, N
   where F = 'Holiday'"",
  1
)
"),"TANGGAL")</f>
        <v>TANGGAL</v>
      </c>
      <c r="B1" s="2" t="str">
        <f>IFERROR(__xludf.DUMMYFUNCTION("""COMPUTED_VALUE"""),"KODE")</f>
        <v>KODE</v>
      </c>
      <c r="C1" s="3" t="str">
        <f>IFERROR(__xludf.DUMMYFUNCTION("""COMPUTED_VALUE"""),"NAMA")</f>
        <v>NAMA</v>
      </c>
      <c r="D1" s="4" t="str">
        <f>IFERROR(__xludf.DUMMYFUNCTION("""COMPUTED_VALUE"""),"WHATSAPP")</f>
        <v>WHATSAPP</v>
      </c>
      <c r="E1" s="3" t="str">
        <f>IFERROR(__xludf.DUMMYFUNCTION("""COMPUTED_VALUE"""),"SOURCE")</f>
        <v>SOURCE</v>
      </c>
      <c r="F1" s="3" t="str">
        <f>IFERROR(__xludf.DUMMYFUNCTION("""COMPUTED_VALUE"""),"STATUS")</f>
        <v>STATUS</v>
      </c>
      <c r="G1" s="5" t="str">
        <f>IFERROR(__xludf.DUMMYFUNCTION("""COMPUTED_VALUE"""),"PAKET / DESTINASI")</f>
        <v>PAKET / DESTINASI</v>
      </c>
      <c r="H1" s="1" t="str">
        <f>IFERROR(__xludf.DUMMYFUNCTION("""COMPUTED_VALUE"""),"TANGGAL TRIP")</f>
        <v>TANGGAL TRIP</v>
      </c>
      <c r="I1" s="4" t="str">
        <f>IFERROR(__xludf.DUMMYFUNCTION("""COMPUTED_VALUE"""),"PAX")</f>
        <v>PAX</v>
      </c>
      <c r="J1" s="3" t="str">
        <f>IFERROR(__xludf.DUMMYFUNCTION("""COMPUTED_VALUE"""),"ESTIMASI NILAI ORDER")</f>
        <v>ESTIMASI NILAI ORDER</v>
      </c>
      <c r="K1" s="6" t="str">
        <f>IFERROR(__xludf.DUMMYFUNCTION("""COMPUTED_VALUE"""),"KETERANGAN")</f>
        <v>KETERANGAN</v>
      </c>
      <c r="L1" s="3" t="str">
        <f>IFERROR(__xludf.DUMMYFUNCTION("""COMPUTED_VALUE"""),"ANALISA AI")</f>
        <v>ANALISA AI</v>
      </c>
      <c r="M1" s="9"/>
      <c r="N1" s="9"/>
      <c r="O1" s="9"/>
      <c r="P1" s="9"/>
    </row>
    <row r="2">
      <c r="A2" s="11">
        <f>IFERROR(__xludf.DUMMYFUNCTION("""COMPUTED_VALUE"""),46023.0)</f>
        <v>46023</v>
      </c>
      <c r="B2" s="12" t="str">
        <f>IFERROR(__xludf.DUMMYFUNCTION("""COMPUTED_VALUE"""),"2601H001")</f>
        <v>2601H001</v>
      </c>
      <c r="C2" s="10" t="str">
        <f>IFERROR(__xludf.DUMMYFUNCTION("""COMPUTED_VALUE"""),"Imam Syaroni")</f>
        <v>Imam Syaroni</v>
      </c>
      <c r="D2" s="13" t="str">
        <f>IFERROR(__xludf.DUMMYFUNCTION("""COMPUTED_VALUE"""),"0811311157")</f>
        <v>0811311157</v>
      </c>
      <c r="E2" s="14" t="str">
        <f>IFERROR(__xludf.DUMMYFUNCTION("""COMPUTED_VALUE"""),"Website")</f>
        <v>Website</v>
      </c>
      <c r="F2" s="14" t="str">
        <f>IFERROR(__xludf.DUMMYFUNCTION("""COMPUTED_VALUE"""),"Closing")</f>
        <v>Closing</v>
      </c>
      <c r="G2" s="15" t="str">
        <f>IFERROR(__xludf.DUMMYFUNCTION("""COMPUTED_VALUE"""),"One day Baluran")</f>
        <v>One day Baluran</v>
      </c>
      <c r="H2" s="16">
        <f>IFERROR(__xludf.DUMMYFUNCTION("""COMPUTED_VALUE"""),46023.0)</f>
        <v>46023</v>
      </c>
      <c r="I2" s="17">
        <f>IFERROR(__xludf.DUMMYFUNCTION("""COMPUTED_VALUE"""),3.0)</f>
        <v>3</v>
      </c>
      <c r="J2" s="18"/>
      <c r="K2" s="19" t="str">
        <f>IFERROR(__xludf.DUMMYFUNCTION("""COMPUTED_VALUE"""),"Alhamdulillah closing")</f>
        <v>Alhamdulillah closing</v>
      </c>
      <c r="L2" s="10"/>
      <c r="M2" s="20"/>
      <c r="N2" s="20"/>
      <c r="O2" s="20"/>
      <c r="P2" s="20"/>
    </row>
    <row r="3">
      <c r="A3" s="21">
        <f>IFERROR(__xludf.DUMMYFUNCTION("""COMPUTED_VALUE"""),46022.0)</f>
        <v>46022</v>
      </c>
      <c r="B3" s="22" t="str">
        <f>IFERROR(__xludf.DUMMYFUNCTION("""COMPUTED_VALUE"""),"2601H002")</f>
        <v>2601H002</v>
      </c>
      <c r="C3" s="23" t="str">
        <f>IFERROR(__xludf.DUMMYFUNCTION("""COMPUTED_VALUE"""),"Puspita Anggasari")</f>
        <v>Puspita Anggasari</v>
      </c>
      <c r="D3" s="24" t="str">
        <f>IFERROR(__xludf.DUMMYFUNCTION("""COMPUTED_VALUE"""),"081317773235")</f>
        <v>081317773235</v>
      </c>
      <c r="E3" s="14" t="str">
        <f>IFERROR(__xludf.DUMMYFUNCTION("""COMPUTED_VALUE"""),"Website")</f>
        <v>Website</v>
      </c>
      <c r="F3" s="14" t="str">
        <f>IFERROR(__xludf.DUMMYFUNCTION("""COMPUTED_VALUE"""),"Closing")</f>
        <v>Closing</v>
      </c>
      <c r="G3" s="25"/>
      <c r="H3" s="26">
        <f>IFERROR(__xludf.DUMMYFUNCTION("""COMPUTED_VALUE"""),46025.0)</f>
        <v>46025</v>
      </c>
      <c r="I3" s="27">
        <f>IFERROR(__xludf.DUMMYFUNCTION("""COMPUTED_VALUE"""),5.0)</f>
        <v>5</v>
      </c>
      <c r="J3" s="28"/>
      <c r="K3" s="30"/>
      <c r="L3" s="23"/>
      <c r="M3" s="20"/>
      <c r="N3" s="20"/>
      <c r="O3" s="20"/>
      <c r="P3" s="20"/>
    </row>
    <row r="4">
      <c r="A4" s="11">
        <f>IFERROR(__xludf.DUMMYFUNCTION("""COMPUTED_VALUE"""),46003.0)</f>
        <v>46003</v>
      </c>
      <c r="B4" s="12" t="str">
        <f>IFERROR(__xludf.DUMMYFUNCTION("""COMPUTED_VALUE"""),"2601H003")</f>
        <v>2601H003</v>
      </c>
      <c r="C4" s="10" t="str">
        <f>IFERROR(__xludf.DUMMYFUNCTION("""COMPUTED_VALUE"""),"Sri")</f>
        <v>Sri</v>
      </c>
      <c r="D4" s="13" t="str">
        <f>IFERROR(__xludf.DUMMYFUNCTION("""COMPUTED_VALUE"""),"0816691965")</f>
        <v>0816691965</v>
      </c>
      <c r="E4" s="14" t="str">
        <f>IFERROR(__xludf.DUMMYFUNCTION("""COMPUTED_VALUE"""),"Website")</f>
        <v>Website</v>
      </c>
      <c r="F4" s="14" t="str">
        <f>IFERROR(__xludf.DUMMYFUNCTION("""COMPUTED_VALUE"""),"Closing")</f>
        <v>Closing</v>
      </c>
      <c r="G4" s="14"/>
      <c r="H4" s="16"/>
      <c r="I4" s="17">
        <f>IFERROR(__xludf.DUMMYFUNCTION("""COMPUTED_VALUE"""),10.0)</f>
        <v>10</v>
      </c>
      <c r="J4" s="18">
        <f>IFERROR(__xludf.DUMMYFUNCTION("""COMPUTED_VALUE"""),6870000.0)</f>
        <v>6870000</v>
      </c>
      <c r="K4" s="19"/>
      <c r="L4" s="10"/>
      <c r="M4" s="20"/>
      <c r="N4" s="20"/>
      <c r="O4" s="20"/>
      <c r="P4" s="20"/>
    </row>
    <row r="5">
      <c r="A5" s="21">
        <f>IFERROR(__xludf.DUMMYFUNCTION("""COMPUTED_VALUE"""),46034.0)</f>
        <v>46034</v>
      </c>
      <c r="B5" s="22" t="str">
        <f>IFERROR(__xludf.DUMMYFUNCTION("""COMPUTED_VALUE"""),"2601H004")</f>
        <v>2601H004</v>
      </c>
      <c r="C5" s="23" t="str">
        <f>IFERROR(__xludf.DUMMYFUNCTION("""COMPUTED_VALUE"""),"Arum Radiasti")</f>
        <v>Arum Radiasti</v>
      </c>
      <c r="D5" s="24" t="str">
        <f>IFERROR(__xludf.DUMMYFUNCTION("""COMPUTED_VALUE"""),"08164844630")</f>
        <v>08164844630</v>
      </c>
      <c r="E5" s="14" t="str">
        <f>IFERROR(__xludf.DUMMYFUNCTION("""COMPUTED_VALUE"""),"Website")</f>
        <v>Website</v>
      </c>
      <c r="F5" s="14" t="str">
        <f>IFERROR(__xludf.DUMMYFUNCTION("""COMPUTED_VALUE"""),"Closing")</f>
        <v>Closing</v>
      </c>
      <c r="G5" s="15"/>
      <c r="H5" s="26"/>
      <c r="I5" s="27">
        <f>IFERROR(__xludf.DUMMYFUNCTION("""COMPUTED_VALUE"""),5.0)</f>
        <v>5</v>
      </c>
      <c r="J5" s="33">
        <f>IFERROR(__xludf.DUMMYFUNCTION("""COMPUTED_VALUE"""),6650000.0)</f>
        <v>6650000</v>
      </c>
      <c r="K5" s="36"/>
      <c r="L5" s="23"/>
      <c r="M5" s="20"/>
      <c r="N5" s="20"/>
      <c r="O5" s="20"/>
      <c r="P5" s="20"/>
    </row>
    <row r="6">
      <c r="A6" s="11">
        <f>IFERROR(__xludf.DUMMYFUNCTION("""COMPUTED_VALUE"""),46027.0)</f>
        <v>46027</v>
      </c>
      <c r="B6" s="12" t="str">
        <f>IFERROR(__xludf.DUMMYFUNCTION("""COMPUTED_VALUE"""),"2601H005")</f>
        <v>2601H005</v>
      </c>
      <c r="C6" s="10" t="str">
        <f>IFERROR(__xludf.DUMMYFUNCTION("""COMPUTED_VALUE"""),"Gugun Gunawan")</f>
        <v>Gugun Gunawan</v>
      </c>
      <c r="D6" s="13" t="str">
        <f>IFERROR(__xludf.DUMMYFUNCTION("""COMPUTED_VALUE"""),"08128010671")</f>
        <v>08128010671</v>
      </c>
      <c r="E6" s="14" t="str">
        <f>IFERROR(__xludf.DUMMYFUNCTION("""COMPUTED_VALUE"""),"Website")</f>
        <v>Website</v>
      </c>
      <c r="F6" s="14" t="str">
        <f>IFERROR(__xludf.DUMMYFUNCTION("""COMPUTED_VALUE"""),"Closing")</f>
        <v>Closing</v>
      </c>
      <c r="G6" s="14"/>
      <c r="H6" s="16">
        <f>IFERROR(__xludf.DUMMYFUNCTION("""COMPUTED_VALUE"""),46039.0)</f>
        <v>46039</v>
      </c>
      <c r="I6" s="17">
        <f>IFERROR(__xludf.DUMMYFUNCTION("""COMPUTED_VALUE"""),4.0)</f>
        <v>4</v>
      </c>
      <c r="J6" s="18">
        <f>IFERROR(__xludf.DUMMYFUNCTION("""COMPUTED_VALUE"""),3872000.0)</f>
        <v>3872000</v>
      </c>
      <c r="K6" s="19"/>
      <c r="L6" s="10"/>
      <c r="M6" s="20"/>
      <c r="N6" s="20"/>
      <c r="O6" s="20"/>
      <c r="P6" s="20"/>
    </row>
    <row r="7">
      <c r="A7" s="21">
        <f>IFERROR(__xludf.DUMMYFUNCTION("""COMPUTED_VALUE"""),46033.0)</f>
        <v>46033</v>
      </c>
      <c r="B7" s="22" t="str">
        <f>IFERROR(__xludf.DUMMYFUNCTION("""COMPUTED_VALUE"""),"2601H006")</f>
        <v>2601H006</v>
      </c>
      <c r="C7" s="23" t="str">
        <f>IFERROR(__xludf.DUMMYFUNCTION("""COMPUTED_VALUE"""),"Dzulfikri")</f>
        <v>Dzulfikri</v>
      </c>
      <c r="D7" s="24" t="str">
        <f>IFERROR(__xludf.DUMMYFUNCTION("""COMPUTED_VALUE"""),"081385881976")</f>
        <v>081385881976</v>
      </c>
      <c r="E7" s="14" t="str">
        <f>IFERROR(__xludf.DUMMYFUNCTION("""COMPUTED_VALUE"""),"Website")</f>
        <v>Website</v>
      </c>
      <c r="F7" s="14" t="str">
        <f>IFERROR(__xludf.DUMMYFUNCTION("""COMPUTED_VALUE"""),"Closing")</f>
        <v>Closing</v>
      </c>
      <c r="G7" s="14"/>
      <c r="H7" s="26"/>
      <c r="I7" s="27">
        <f>IFERROR(__xludf.DUMMYFUNCTION("""COMPUTED_VALUE"""),5.0)</f>
        <v>5</v>
      </c>
      <c r="J7" s="28">
        <f>IFERROR(__xludf.DUMMYFUNCTION("""COMPUTED_VALUE"""),8465000.0)</f>
        <v>8465000</v>
      </c>
      <c r="K7" s="30"/>
      <c r="L7" s="23"/>
      <c r="M7" s="20"/>
      <c r="N7" s="20"/>
      <c r="O7" s="20"/>
      <c r="P7" s="20"/>
    </row>
    <row r="8">
      <c r="A8" s="11">
        <f>IFERROR(__xludf.DUMMYFUNCTION("""COMPUTED_VALUE"""),46041.0)</f>
        <v>46041</v>
      </c>
      <c r="B8" s="12" t="str">
        <f>IFERROR(__xludf.DUMMYFUNCTION("""COMPUTED_VALUE"""),"2601H007")</f>
        <v>2601H007</v>
      </c>
      <c r="C8" s="10" t="str">
        <f>IFERROR(__xludf.DUMMYFUNCTION("""COMPUTED_VALUE"""),"Yudha KAI")</f>
        <v>Yudha KAI</v>
      </c>
      <c r="D8" s="13" t="str">
        <f>IFERROR(__xludf.DUMMYFUNCTION("""COMPUTED_VALUE"""),"081299954736")</f>
        <v>081299954736</v>
      </c>
      <c r="E8" s="14" t="str">
        <f>IFERROR(__xludf.DUMMYFUNCTION("""COMPUTED_VALUE"""),"Website")</f>
        <v>Website</v>
      </c>
      <c r="F8" s="14" t="str">
        <f>IFERROR(__xludf.DUMMYFUNCTION("""COMPUTED_VALUE"""),"Closing")</f>
        <v>Closing</v>
      </c>
      <c r="G8" s="14"/>
      <c r="H8" s="16"/>
      <c r="I8" s="17">
        <f>IFERROR(__xludf.DUMMYFUNCTION("""COMPUTED_VALUE"""),15.0)</f>
        <v>15</v>
      </c>
      <c r="J8" s="18">
        <f>IFERROR(__xludf.DUMMYFUNCTION("""COMPUTED_VALUE"""),7275000.0)</f>
        <v>7275000</v>
      </c>
      <c r="K8" s="46"/>
      <c r="L8" s="10"/>
      <c r="M8" s="20"/>
      <c r="N8" s="20"/>
      <c r="O8" s="20"/>
      <c r="P8" s="20"/>
    </row>
    <row r="9">
      <c r="A9" s="21">
        <f>IFERROR(__xludf.DUMMYFUNCTION("""COMPUTED_VALUE"""),46036.0)</f>
        <v>46036</v>
      </c>
      <c r="B9" s="22" t="str">
        <f>IFERROR(__xludf.DUMMYFUNCTION("""COMPUTED_VALUE"""),"2601H008")</f>
        <v>2601H008</v>
      </c>
      <c r="C9" s="23" t="str">
        <f>IFERROR(__xludf.DUMMYFUNCTION("""COMPUTED_VALUE"""),"Ricca")</f>
        <v>Ricca</v>
      </c>
      <c r="D9" s="24" t="str">
        <f>IFERROR(__xludf.DUMMYFUNCTION("""COMPUTED_VALUE"""),"08998279499")</f>
        <v>08998279499</v>
      </c>
      <c r="E9" s="14" t="str">
        <f>IFERROR(__xludf.DUMMYFUNCTION("""COMPUTED_VALUE"""),"Website")</f>
        <v>Website</v>
      </c>
      <c r="F9" s="14" t="str">
        <f>IFERROR(__xludf.DUMMYFUNCTION("""COMPUTED_VALUE"""),"Gagal")</f>
        <v>Gagal</v>
      </c>
      <c r="G9" s="25"/>
      <c r="H9" s="26"/>
      <c r="I9" s="27"/>
      <c r="J9" s="28"/>
      <c r="K9" s="36" t="str">
        <f>IFERROR(__xludf.DUMMYFUNCTION("""COMPUTED_VALUE"""),"tanya-tanya")</f>
        <v>tanya-tanya</v>
      </c>
      <c r="L9" s="49"/>
      <c r="M9" s="20"/>
      <c r="N9" s="20"/>
      <c r="O9" s="20"/>
      <c r="P9" s="20"/>
    </row>
    <row r="10">
      <c r="A10" s="11">
        <f>IFERROR(__xludf.DUMMYFUNCTION("""COMPUTED_VALUE"""),46036.0)</f>
        <v>46036</v>
      </c>
      <c r="B10" s="12" t="str">
        <f>IFERROR(__xludf.DUMMYFUNCTION("""COMPUTED_VALUE"""),"2601H009")</f>
        <v>2601H009</v>
      </c>
      <c r="C10" s="10" t="str">
        <f>IFERROR(__xludf.DUMMYFUNCTION("""COMPUTED_VALUE"""),"Malazza")</f>
        <v>Malazza</v>
      </c>
      <c r="D10" s="13" t="str">
        <f>IFERROR(__xludf.DUMMYFUNCTION("""COMPUTED_VALUE"""),"081311114375")</f>
        <v>081311114375</v>
      </c>
      <c r="E10" s="14" t="str">
        <f>IFERROR(__xludf.DUMMYFUNCTION("""COMPUTED_VALUE"""),"Website")</f>
        <v>Website</v>
      </c>
      <c r="F10" s="14" t="str">
        <f>IFERROR(__xludf.DUMMYFUNCTION("""COMPUTED_VALUE"""),"Gagal")</f>
        <v>Gagal</v>
      </c>
      <c r="G10" s="14"/>
      <c r="H10" s="16"/>
      <c r="I10" s="17">
        <f>IFERROR(__xludf.DUMMYFUNCTION("""COMPUTED_VALUE"""),15.0)</f>
        <v>15</v>
      </c>
      <c r="J10" s="18">
        <f>IFERROR(__xludf.DUMMYFUNCTION("""COMPUTED_VALUE"""),3750000.0)</f>
        <v>3750000</v>
      </c>
      <c r="K10" s="46" t="str">
        <f>IFERROR(__xludf.DUMMYFUNCTION("""COMPUTED_VALUE"""),"sdh lebih fu 5x, tidak ada jawaban lebih lanjut")</f>
        <v>sdh lebih fu 5x, tidak ada jawaban lebih lanjut</v>
      </c>
      <c r="L10" s="10"/>
      <c r="M10" s="20"/>
      <c r="N10" s="20"/>
      <c r="O10" s="20"/>
      <c r="P10" s="20"/>
    </row>
    <row r="11">
      <c r="A11" s="21">
        <f>IFERROR(__xludf.DUMMYFUNCTION("""COMPUTED_VALUE"""),46036.0)</f>
        <v>46036</v>
      </c>
      <c r="B11" s="22" t="str">
        <f>IFERROR(__xludf.DUMMYFUNCTION("""COMPUTED_VALUE"""),"2601H010")</f>
        <v>2601H010</v>
      </c>
      <c r="C11" s="23" t="str">
        <f>IFERROR(__xludf.DUMMYFUNCTION("""COMPUTED_VALUE"""),"Vica")</f>
        <v>Vica</v>
      </c>
      <c r="D11" s="24" t="str">
        <f>IFERROR(__xludf.DUMMYFUNCTION("""COMPUTED_VALUE"""),"085716117974")</f>
        <v>085716117974</v>
      </c>
      <c r="E11" s="14" t="str">
        <f>IFERROR(__xludf.DUMMYFUNCTION("""COMPUTED_VALUE"""),"Website")</f>
        <v>Website</v>
      </c>
      <c r="F11" s="14" t="str">
        <f>IFERROR(__xludf.DUMMYFUNCTION("""COMPUTED_VALUE"""),"Gagal")</f>
        <v>Gagal</v>
      </c>
      <c r="G11" s="14"/>
      <c r="H11" s="26"/>
      <c r="I11" s="27"/>
      <c r="J11" s="28"/>
      <c r="K11" s="30" t="str">
        <f>IFERROR(__xludf.DUMMYFUNCTION("""COMPUTED_VALUE"""),"next time")</f>
        <v>next time</v>
      </c>
      <c r="L11" s="23"/>
      <c r="M11" s="20"/>
      <c r="N11" s="20"/>
      <c r="O11" s="20"/>
      <c r="P11" s="20"/>
    </row>
    <row r="12">
      <c r="A12" s="11">
        <f>IFERROR(__xludf.DUMMYFUNCTION("""COMPUTED_VALUE"""),46034.0)</f>
        <v>46034</v>
      </c>
      <c r="B12" s="12" t="str">
        <f>IFERROR(__xludf.DUMMYFUNCTION("""COMPUTED_VALUE"""),"2601H011")</f>
        <v>2601H011</v>
      </c>
      <c r="C12" s="10" t="str">
        <f>IFERROR(__xludf.DUMMYFUNCTION("""COMPUTED_VALUE"""),"Lily suharyani")</f>
        <v>Lily suharyani</v>
      </c>
      <c r="D12" s="13" t="str">
        <f>IFERROR(__xludf.DUMMYFUNCTION("""COMPUTED_VALUE"""),"08159288885")</f>
        <v>08159288885</v>
      </c>
      <c r="E12" s="14" t="str">
        <f>IFERROR(__xludf.DUMMYFUNCTION("""COMPUTED_VALUE"""),"Website")</f>
        <v>Website</v>
      </c>
      <c r="F12" s="14" t="str">
        <f>IFERROR(__xludf.DUMMYFUNCTION("""COMPUTED_VALUE"""),"Gagal")</f>
        <v>Gagal</v>
      </c>
      <c r="G12" s="14"/>
      <c r="H12" s="16"/>
      <c r="I12" s="17"/>
      <c r="J12" s="54"/>
      <c r="K12" s="46" t="str">
        <f>IFERROR(__xludf.DUMMYFUNCTION("""COMPUTED_VALUE"""),"tunggu cuaca mendukung, sudah FU ")</f>
        <v>tunggu cuaca mendukung, sudah FU </v>
      </c>
      <c r="L12" s="10"/>
      <c r="M12" s="20"/>
      <c r="N12" s="20"/>
      <c r="O12" s="20"/>
      <c r="P12" s="20"/>
    </row>
    <row r="13">
      <c r="A13" s="21">
        <f>IFERROR(__xludf.DUMMYFUNCTION("""COMPUTED_VALUE"""),46036.0)</f>
        <v>46036</v>
      </c>
      <c r="B13" s="22" t="str">
        <f>IFERROR(__xludf.DUMMYFUNCTION("""COMPUTED_VALUE"""),"2601H012")</f>
        <v>2601H012</v>
      </c>
      <c r="C13" s="23" t="str">
        <f>IFERROR(__xludf.DUMMYFUNCTION("""COMPUTED_VALUE"""),"Ronny Quarto")</f>
        <v>Ronny Quarto</v>
      </c>
      <c r="D13" s="24" t="str">
        <f>IFERROR(__xludf.DUMMYFUNCTION("""COMPUTED_VALUE"""),"08111441733")</f>
        <v>08111441733</v>
      </c>
      <c r="E13" s="14" t="str">
        <f>IFERROR(__xludf.DUMMYFUNCTION("""COMPUTED_VALUE"""),"Website")</f>
        <v>Website</v>
      </c>
      <c r="F13" s="14" t="str">
        <f>IFERROR(__xludf.DUMMYFUNCTION("""COMPUTED_VALUE"""),"Gagal")</f>
        <v>Gagal</v>
      </c>
      <c r="G13" s="14"/>
      <c r="H13" s="26"/>
      <c r="I13" s="27"/>
      <c r="J13" s="33"/>
      <c r="K13" s="30" t="str">
        <f>IFERROR(__xludf.DUMMYFUNCTION("""COMPUTED_VALUE"""),"tanya-tanya")</f>
        <v>tanya-tanya</v>
      </c>
      <c r="L13" s="23"/>
      <c r="M13" s="20"/>
      <c r="N13" s="20"/>
      <c r="O13" s="20"/>
      <c r="P13" s="20"/>
    </row>
    <row r="14">
      <c r="A14" s="11">
        <f>IFERROR(__xludf.DUMMYFUNCTION("""COMPUTED_VALUE"""),46035.0)</f>
        <v>46035</v>
      </c>
      <c r="B14" s="12" t="str">
        <f>IFERROR(__xludf.DUMMYFUNCTION("""COMPUTED_VALUE"""),"2601H013")</f>
        <v>2601H013</v>
      </c>
      <c r="C14" s="10" t="str">
        <f>IFERROR(__xludf.DUMMYFUNCTION("""COMPUTED_VALUE"""),"Fitri")</f>
        <v>Fitri</v>
      </c>
      <c r="D14" s="13" t="str">
        <f>IFERROR(__xludf.DUMMYFUNCTION("""COMPUTED_VALUE"""),"082125355099")</f>
        <v>082125355099</v>
      </c>
      <c r="E14" s="14" t="str">
        <f>IFERROR(__xludf.DUMMYFUNCTION("""COMPUTED_VALUE"""),"Website")</f>
        <v>Website</v>
      </c>
      <c r="F14" s="14" t="str">
        <f>IFERROR(__xludf.DUMMYFUNCTION("""COMPUTED_VALUE"""),"Gagal")</f>
        <v>Gagal</v>
      </c>
      <c r="G14" s="14" t="str">
        <f>IFERROR(__xludf.DUMMYFUNCTION("""COMPUTED_VALUE"""),"Kawah Ijen Only")</f>
        <v>Kawah Ijen Only</v>
      </c>
      <c r="H14" s="16"/>
      <c r="I14" s="17">
        <f>IFERROR(__xludf.DUMMYFUNCTION("""COMPUTED_VALUE"""),2.0)</f>
        <v>2</v>
      </c>
      <c r="J14" s="54"/>
      <c r="K14" s="46" t="str">
        <f>IFERROR(__xludf.DUMMYFUNCTION("""COMPUTED_VALUE"""),"next time")</f>
        <v>next time</v>
      </c>
      <c r="L14" s="10"/>
      <c r="M14" s="20"/>
      <c r="N14" s="20"/>
      <c r="O14" s="20"/>
      <c r="P14" s="20"/>
    </row>
    <row r="15">
      <c r="A15" s="21">
        <f>IFERROR(__xludf.DUMMYFUNCTION("""COMPUTED_VALUE"""),46038.0)</f>
        <v>46038</v>
      </c>
      <c r="B15" s="22" t="str">
        <f>IFERROR(__xludf.DUMMYFUNCTION("""COMPUTED_VALUE"""),"2601H014")</f>
        <v>2601H014</v>
      </c>
      <c r="C15" s="23" t="str">
        <f>IFERROR(__xludf.DUMMYFUNCTION("""COMPUTED_VALUE"""),"Ilham")</f>
        <v>Ilham</v>
      </c>
      <c r="D15" s="24" t="str">
        <f>IFERROR(__xludf.DUMMYFUNCTION("""COMPUTED_VALUE"""),"089696367463")</f>
        <v>089696367463</v>
      </c>
      <c r="E15" s="14" t="str">
        <f>IFERROR(__xludf.DUMMYFUNCTION("""COMPUTED_VALUE"""),"Website")</f>
        <v>Website</v>
      </c>
      <c r="F15" s="14" t="str">
        <f>IFERROR(__xludf.DUMMYFUNCTION("""COMPUTED_VALUE"""),"Gagal")</f>
        <v>Gagal</v>
      </c>
      <c r="G15" s="14"/>
      <c r="H15" s="26"/>
      <c r="I15" s="27"/>
      <c r="J15" s="33"/>
      <c r="K15" s="30" t="str">
        <f>IFERROR(__xludf.DUMMYFUNCTION("""COMPUTED_VALUE"""),"tanya trip start jakarta, sudah FU 13 feb")</f>
        <v>tanya trip start jakarta, sudah FU 13 feb</v>
      </c>
      <c r="L15" s="23"/>
      <c r="M15" s="20"/>
      <c r="N15" s="20"/>
      <c r="O15" s="20"/>
      <c r="P15" s="20"/>
    </row>
    <row r="16">
      <c r="A16" s="11">
        <f>IFERROR(__xludf.DUMMYFUNCTION("""COMPUTED_VALUE"""),46038.0)</f>
        <v>46038</v>
      </c>
      <c r="B16" s="12" t="str">
        <f>IFERROR(__xludf.DUMMYFUNCTION("""COMPUTED_VALUE"""),"2601H015")</f>
        <v>2601H015</v>
      </c>
      <c r="C16" s="10" t="str">
        <f>IFERROR(__xludf.DUMMYFUNCTION("""COMPUTED_VALUE"""),"Neneng Juraidah")</f>
        <v>Neneng Juraidah</v>
      </c>
      <c r="D16" s="13" t="str">
        <f>IFERROR(__xludf.DUMMYFUNCTION("""COMPUTED_VALUE"""),"08111339362")</f>
        <v>08111339362</v>
      </c>
      <c r="E16" s="14" t="str">
        <f>IFERROR(__xludf.DUMMYFUNCTION("""COMPUTED_VALUE"""),"Website")</f>
        <v>Website</v>
      </c>
      <c r="F16" s="14" t="str">
        <f>IFERROR(__xludf.DUMMYFUNCTION("""COMPUTED_VALUE"""),"Qualified")</f>
        <v>Qualified</v>
      </c>
      <c r="G16" s="15" t="str">
        <f>IFERROR(__xludf.DUMMYFUNCTION("""COMPUTED_VALUE"""),"3H2M Custom")</f>
        <v>3H2M Custom</v>
      </c>
      <c r="H16" s="16"/>
      <c r="I16" s="17">
        <f>IFERROR(__xludf.DUMMYFUNCTION("""COMPUTED_VALUE"""),7.0)</f>
        <v>7</v>
      </c>
      <c r="J16" s="18">
        <f>IFERROR(__xludf.DUMMYFUNCTION("""COMPUTED_VALUE"""),1.7108888E7)</f>
        <v>17108888</v>
      </c>
      <c r="K16" s="19" t="str">
        <f>IFERROR(__xludf.DUMMYFUNCTION("""COMPUTED_VALUE"""),"FU lagi setelah lebaran, fu 1 juli")</f>
        <v>FU lagi setelah lebaran, fu 1 juli</v>
      </c>
      <c r="L16" s="100" t="str">
        <f>IFERROR(__xludf.DUMMYFUNCTION("""COMPUTED_VALUE"""),"https://docs.google.com/document/d/12c3T3MfymkdkNi76muU-IvFXF9oY3jOtG4N7_5v9-OI/edit?usp=drivesdk")</f>
        <v>https://docs.google.com/document/d/12c3T3MfymkdkNi76muU-IvFXF9oY3jOtG4N7_5v9-OI/edit?usp=drivesdk</v>
      </c>
      <c r="M16" s="20"/>
      <c r="N16" s="20"/>
      <c r="O16" s="20"/>
      <c r="P16" s="20"/>
    </row>
    <row r="17">
      <c r="A17" s="21">
        <f>IFERROR(__xludf.DUMMYFUNCTION("""COMPUTED_VALUE"""),46038.0)</f>
        <v>46038</v>
      </c>
      <c r="B17" s="22" t="str">
        <f>IFERROR(__xludf.DUMMYFUNCTION("""COMPUTED_VALUE"""),"2601H016")</f>
        <v>2601H016</v>
      </c>
      <c r="C17" s="23" t="str">
        <f>IFERROR(__xludf.DUMMYFUNCTION("""COMPUTED_VALUE"""),"Nujiya")</f>
        <v>Nujiya</v>
      </c>
      <c r="D17" s="24" t="str">
        <f>IFERROR(__xludf.DUMMYFUNCTION("""COMPUTED_VALUE"""),"085716716929")</f>
        <v>085716716929</v>
      </c>
      <c r="E17" s="14" t="str">
        <f>IFERROR(__xludf.DUMMYFUNCTION("""COMPUTED_VALUE"""),"Website")</f>
        <v>Website</v>
      </c>
      <c r="F17" s="14" t="str">
        <f>IFERROR(__xludf.DUMMYFUNCTION("""COMPUTED_VALUE"""),"Gagal")</f>
        <v>Gagal</v>
      </c>
      <c r="G17" s="14" t="str">
        <f>IFERROR(__xludf.DUMMYFUNCTION("""COMPUTED_VALUE"""),"OT 3H2M")</f>
        <v>OT 3H2M</v>
      </c>
      <c r="H17" s="26"/>
      <c r="I17" s="27"/>
      <c r="J17" s="28"/>
      <c r="K17" s="36" t="str">
        <f>IFERROR(__xludf.DUMMYFUNCTION("""COMPUTED_VALUE"""),"tanya-tanya OT, FU tgl 6 feb")</f>
        <v>tanya-tanya OT, FU tgl 6 feb</v>
      </c>
      <c r="L17" s="49"/>
      <c r="M17" s="20"/>
      <c r="N17" s="20"/>
      <c r="O17" s="20"/>
      <c r="P17" s="20"/>
    </row>
    <row r="18">
      <c r="A18" s="11">
        <f>IFERROR(__xludf.DUMMYFUNCTION("""COMPUTED_VALUE"""),46039.0)</f>
        <v>46039</v>
      </c>
      <c r="B18" s="12" t="str">
        <f>IFERROR(__xludf.DUMMYFUNCTION("""COMPUTED_VALUE"""),"2601H017")</f>
        <v>2601H017</v>
      </c>
      <c r="C18" s="10" t="str">
        <f>IFERROR(__xludf.DUMMYFUNCTION("""COMPUTED_VALUE"""),"Tanpa Nama")</f>
        <v>Tanpa Nama</v>
      </c>
      <c r="D18" s="13" t="str">
        <f>IFERROR(__xludf.DUMMYFUNCTION("""COMPUTED_VALUE"""),"087773897140")</f>
        <v>087773897140</v>
      </c>
      <c r="E18" s="14" t="str">
        <f>IFERROR(__xludf.DUMMYFUNCTION("""COMPUTED_VALUE"""),"Website")</f>
        <v>Website</v>
      </c>
      <c r="F18" s="14" t="str">
        <f>IFERROR(__xludf.DUMMYFUNCTION("""COMPUTED_VALUE"""),"Gagal")</f>
        <v>Gagal</v>
      </c>
      <c r="G18" s="14" t="str">
        <f>IFERROR(__xludf.DUMMYFUNCTION("""COMPUTED_VALUE"""),"Full Day Trip I, KW, B")</f>
        <v>Full Day Trip I, KW, B</v>
      </c>
      <c r="H18" s="16"/>
      <c r="I18" s="17">
        <f>IFERROR(__xludf.DUMMYFUNCTION("""COMPUTED_VALUE"""),1.0)</f>
        <v>1</v>
      </c>
      <c r="J18" s="54"/>
      <c r="K18" s="19" t="str">
        <f>IFERROR(__xludf.DUMMYFUNCTION("""COMPUTED_VALUE"""),"Masih dipertimbangkan karena cuman sendiri")</f>
        <v>Masih dipertimbangkan karena cuman sendiri</v>
      </c>
      <c r="L18" s="76"/>
      <c r="M18" s="20"/>
      <c r="N18" s="20"/>
      <c r="O18" s="20"/>
      <c r="P18" s="20"/>
    </row>
    <row r="19">
      <c r="A19" s="21">
        <f>IFERROR(__xludf.DUMMYFUNCTION("""COMPUTED_VALUE"""),46041.0)</f>
        <v>46041</v>
      </c>
      <c r="B19" s="22" t="str">
        <f>IFERROR(__xludf.DUMMYFUNCTION("""COMPUTED_VALUE"""),"2601H018")</f>
        <v>2601H018</v>
      </c>
      <c r="C19" s="23" t="str">
        <f>IFERROR(__xludf.DUMMYFUNCTION("""COMPUTED_VALUE"""),"Tanpa Nama 2")</f>
        <v>Tanpa Nama 2</v>
      </c>
      <c r="D19" s="24" t="str">
        <f>IFERROR(__xludf.DUMMYFUNCTION("""COMPUTED_VALUE"""),"0817190695")</f>
        <v>0817190695</v>
      </c>
      <c r="E19" s="14" t="str">
        <f>IFERROR(__xludf.DUMMYFUNCTION("""COMPUTED_VALUE"""),"Lainnya")</f>
        <v>Lainnya</v>
      </c>
      <c r="F19" s="14" t="str">
        <f>IFERROR(__xludf.DUMMYFUNCTION("""COMPUTED_VALUE"""),"Gagal")</f>
        <v>Gagal</v>
      </c>
      <c r="G19" s="25"/>
      <c r="H19" s="78"/>
      <c r="I19" s="27"/>
      <c r="J19" s="28"/>
      <c r="K19" s="36" t="str">
        <f>IFERROR(__xludf.DUMMYFUNCTION("""COMPUTED_VALUE"""),"menarik pesan")</f>
        <v>menarik pesan</v>
      </c>
      <c r="L19" s="49"/>
      <c r="M19" s="20"/>
      <c r="N19" s="20"/>
      <c r="O19" s="20"/>
      <c r="P19" s="20"/>
    </row>
    <row r="20">
      <c r="A20" s="11">
        <f>IFERROR(__xludf.DUMMYFUNCTION("""COMPUTED_VALUE"""),46041.0)</f>
        <v>46041</v>
      </c>
      <c r="B20" s="12" t="str">
        <f>IFERROR(__xludf.DUMMYFUNCTION("""COMPUTED_VALUE"""),"2601H019")</f>
        <v>2601H019</v>
      </c>
      <c r="C20" s="76" t="str">
        <f>IFERROR(__xludf.DUMMYFUNCTION("""COMPUTED_VALUE"""),"Joehernie")</f>
        <v>Joehernie</v>
      </c>
      <c r="D20" s="13" t="str">
        <f>IFERROR(__xludf.DUMMYFUNCTION("""COMPUTED_VALUE"""),"085947419056")</f>
        <v>085947419056</v>
      </c>
      <c r="E20" s="14" t="str">
        <f>IFERROR(__xludf.DUMMYFUNCTION("""COMPUTED_VALUE"""),"Website")</f>
        <v>Website</v>
      </c>
      <c r="F20" s="14" t="str">
        <f>IFERROR(__xludf.DUMMYFUNCTION("""COMPUTED_VALUE"""),"Gagal")</f>
        <v>Gagal</v>
      </c>
      <c r="G20" s="25"/>
      <c r="H20" s="16"/>
      <c r="I20" s="80"/>
      <c r="J20" s="54"/>
      <c r="K20" s="19" t="str">
        <f>IFERROR(__xludf.DUMMYFUNCTION("""COMPUTED_VALUE"""),"tanya-tanya, FU belum ada respond")</f>
        <v>tanya-tanya, FU belum ada respond</v>
      </c>
      <c r="L20" s="76"/>
      <c r="M20" s="20"/>
      <c r="N20" s="20"/>
      <c r="O20" s="20"/>
      <c r="P20" s="20"/>
    </row>
    <row r="21">
      <c r="A21" s="21">
        <f>IFERROR(__xludf.DUMMYFUNCTION("""COMPUTED_VALUE"""),46041.0)</f>
        <v>46041</v>
      </c>
      <c r="B21" s="22" t="str">
        <f>IFERROR(__xludf.DUMMYFUNCTION("""COMPUTED_VALUE"""),"2601H020")</f>
        <v>2601H020</v>
      </c>
      <c r="C21" s="23" t="str">
        <f>IFERROR(__xludf.DUMMYFUNCTION("""COMPUTED_VALUE"""),"Nawaf")</f>
        <v>Nawaf</v>
      </c>
      <c r="D21" s="24" t="str">
        <f>IFERROR(__xludf.DUMMYFUNCTION("""COMPUTED_VALUE"""),"087787049591")</f>
        <v>087787049591</v>
      </c>
      <c r="E21" s="14" t="str">
        <f>IFERROR(__xludf.DUMMYFUNCTION("""COMPUTED_VALUE"""),"Website")</f>
        <v>Website</v>
      </c>
      <c r="F21" s="14" t="str">
        <f>IFERROR(__xludf.DUMMYFUNCTION("""COMPUTED_VALUE"""),"Gagal")</f>
        <v>Gagal</v>
      </c>
      <c r="G21" s="14" t="str">
        <f>IFERROR(__xludf.DUMMYFUNCTION("""COMPUTED_VALUE"""),"Half Day Trip Ijen")</f>
        <v>Half Day Trip Ijen</v>
      </c>
      <c r="H21" s="26"/>
      <c r="I21" s="27">
        <f>IFERROR(__xludf.DUMMYFUNCTION("""COMPUTED_VALUE"""),20.0)</f>
        <v>20</v>
      </c>
      <c r="J21" s="28"/>
      <c r="K21" s="36" t="str">
        <f>IFERROR(__xludf.DUMMYFUNCTION("""COMPUTED_VALUE"""),"lain kali ke banyuwangi")</f>
        <v>lain kali ke banyuwangi</v>
      </c>
      <c r="L21" s="49"/>
      <c r="M21" s="20"/>
      <c r="N21" s="20"/>
      <c r="O21" s="20"/>
      <c r="P21" s="20"/>
    </row>
    <row r="22">
      <c r="A22" s="11">
        <f>IFERROR(__xludf.DUMMYFUNCTION("""COMPUTED_VALUE"""),46036.0)</f>
        <v>46036</v>
      </c>
      <c r="B22" s="12" t="str">
        <f>IFERROR(__xludf.DUMMYFUNCTION("""COMPUTED_VALUE"""),"2601H021")</f>
        <v>2601H021</v>
      </c>
      <c r="C22" s="10" t="str">
        <f>IFERROR(__xludf.DUMMYFUNCTION("""COMPUTED_VALUE"""),"Firyaal Nadhira")</f>
        <v>Firyaal Nadhira</v>
      </c>
      <c r="D22" s="13" t="str">
        <f>IFERROR(__xludf.DUMMYFUNCTION("""COMPUTED_VALUE"""),"08978426315")</f>
        <v>08978426315</v>
      </c>
      <c r="E22" s="14" t="str">
        <f>IFERROR(__xludf.DUMMYFUNCTION("""COMPUTED_VALUE"""),"Website")</f>
        <v>Website</v>
      </c>
      <c r="F22" s="14" t="str">
        <f>IFERROR(__xludf.DUMMYFUNCTION("""COMPUTED_VALUE"""),"Gagal")</f>
        <v>Gagal</v>
      </c>
      <c r="G22" s="14" t="str">
        <f>IFERROR(__xludf.DUMMYFUNCTION("""COMPUTED_VALUE"""),"3H2M Custom")</f>
        <v>3H2M Custom</v>
      </c>
      <c r="H22" s="16"/>
      <c r="I22" s="17">
        <f>IFERROR(__xludf.DUMMYFUNCTION("""COMPUTED_VALUE"""),9.0)</f>
        <v>9</v>
      </c>
      <c r="J22" s="54">
        <f>IFERROR(__xludf.DUMMYFUNCTION("""COMPUTED_VALUE"""),1.2204E7)</f>
        <v>12204000</v>
      </c>
      <c r="K22" s="46" t="str">
        <f>IFERROR(__xludf.DUMMYFUNCTION("""COMPUTED_VALUE"""),"masih belum ada jawaban")</f>
        <v>masih belum ada jawaban</v>
      </c>
      <c r="L22" s="10"/>
      <c r="M22" s="20"/>
      <c r="N22" s="20"/>
      <c r="O22" s="20"/>
      <c r="P22" s="20"/>
    </row>
    <row r="23">
      <c r="A23" s="21">
        <f>IFERROR(__xludf.DUMMYFUNCTION("""COMPUTED_VALUE"""),46036.0)</f>
        <v>46036</v>
      </c>
      <c r="B23" s="22" t="str">
        <f>IFERROR(__xludf.DUMMYFUNCTION("""COMPUTED_VALUE"""),"2601H022")</f>
        <v>2601H022</v>
      </c>
      <c r="C23" s="23" t="str">
        <f>IFERROR(__xludf.DUMMYFUNCTION("""COMPUTED_VALUE"""),"JH")</f>
        <v>JH</v>
      </c>
      <c r="D23" s="24" t="str">
        <f>IFERROR(__xludf.DUMMYFUNCTION("""COMPUTED_VALUE"""),"081310300909")</f>
        <v>081310300909</v>
      </c>
      <c r="E23" s="14" t="str">
        <f>IFERROR(__xludf.DUMMYFUNCTION("""COMPUTED_VALUE"""),"Website")</f>
        <v>Website</v>
      </c>
      <c r="F23" s="14" t="str">
        <f>IFERROR(__xludf.DUMMYFUNCTION("""COMPUTED_VALUE"""),"Gagal")</f>
        <v>Gagal</v>
      </c>
      <c r="G23" s="15"/>
      <c r="H23" s="24"/>
      <c r="I23" s="27"/>
      <c r="J23" s="28"/>
      <c r="K23" s="30" t="str">
        <f>IFERROR(__xludf.DUMMYFUNCTION("""COMPUTED_VALUE"""),"tanya-tanya OT I, next time ke Bwi")</f>
        <v>tanya-tanya OT I, next time ke Bwi</v>
      </c>
      <c r="L23" s="23"/>
      <c r="M23" s="20"/>
      <c r="N23" s="20"/>
      <c r="O23" s="20"/>
      <c r="P23" s="20"/>
    </row>
    <row r="24">
      <c r="A24" s="11">
        <f>IFERROR(__xludf.DUMMYFUNCTION("""COMPUTED_VALUE"""),46043.0)</f>
        <v>46043</v>
      </c>
      <c r="B24" s="12" t="str">
        <f>IFERROR(__xludf.DUMMYFUNCTION("""COMPUTED_VALUE"""),"2601H023")</f>
        <v>2601H023</v>
      </c>
      <c r="C24" s="10" t="str">
        <f>IFERROR(__xludf.DUMMYFUNCTION("""COMPUTED_VALUE"""),"Jameelali")</f>
        <v>Jameelali</v>
      </c>
      <c r="D24" s="13" t="str">
        <f>IFERROR(__xludf.DUMMYFUNCTION("""COMPUTED_VALUE"""),"08888540196")</f>
        <v>08888540196</v>
      </c>
      <c r="E24" s="14" t="str">
        <f>IFERROR(__xludf.DUMMYFUNCTION("""COMPUTED_VALUE"""),"Website")</f>
        <v>Website</v>
      </c>
      <c r="F24" s="14" t="str">
        <f>IFERROR(__xludf.DUMMYFUNCTION("""COMPUTED_VALUE"""),"Gagal")</f>
        <v>Gagal</v>
      </c>
      <c r="G24" s="15" t="str">
        <f>IFERROR(__xludf.DUMMYFUNCTION("""COMPUTED_VALUE"""),"Fullday Trip D, GI, PM")</f>
        <v>Fullday Trip D, GI, PM</v>
      </c>
      <c r="H24" s="16"/>
      <c r="I24" s="17">
        <f>IFERROR(__xludf.DUMMYFUNCTION("""COMPUTED_VALUE"""),2.0)</f>
        <v>2</v>
      </c>
      <c r="J24" s="18">
        <f>IFERROR(__xludf.DUMMYFUNCTION("""COMPUTED_VALUE"""),1512000.0)</f>
        <v>1512000</v>
      </c>
      <c r="K24" s="19" t="str">
        <f>IFERROR(__xludf.DUMMYFUNCTION("""COMPUTED_VALUE"""),"tanggal sudah lewat, tidak balas waktu FU")</f>
        <v>tanggal sudah lewat, tidak balas waktu FU</v>
      </c>
      <c r="L24" s="76"/>
      <c r="M24" s="20"/>
      <c r="N24" s="20"/>
      <c r="O24" s="20"/>
      <c r="P24" s="20"/>
    </row>
    <row r="25">
      <c r="A25" s="21">
        <f>IFERROR(__xludf.DUMMYFUNCTION("""COMPUTED_VALUE"""),46043.0)</f>
        <v>46043</v>
      </c>
      <c r="B25" s="22" t="str">
        <f>IFERROR(__xludf.DUMMYFUNCTION("""COMPUTED_VALUE"""),"2601H024")</f>
        <v>2601H024</v>
      </c>
      <c r="C25" s="23" t="str">
        <f>IFERROR(__xludf.DUMMYFUNCTION("""COMPUTED_VALUE"""),"Hany Sintya")</f>
        <v>Hany Sintya</v>
      </c>
      <c r="D25" s="24" t="str">
        <f>IFERROR(__xludf.DUMMYFUNCTION("""COMPUTED_VALUE"""),"085211221371")</f>
        <v>085211221371</v>
      </c>
      <c r="E25" s="14" t="str">
        <f>IFERROR(__xludf.DUMMYFUNCTION("""COMPUTED_VALUE"""),"Website")</f>
        <v>Website</v>
      </c>
      <c r="F25" s="14" t="str">
        <f>IFERROR(__xludf.DUMMYFUNCTION("""COMPUTED_VALUE"""),"Gagal")</f>
        <v>Gagal</v>
      </c>
      <c r="G25" s="14"/>
      <c r="H25" s="26"/>
      <c r="I25" s="27"/>
      <c r="J25" s="33"/>
      <c r="K25" s="36" t="str">
        <f>IFERROR(__xludf.DUMMYFUNCTION("""COMPUTED_VALUE""")," ")</f>
        <v> </v>
      </c>
      <c r="L25" s="49"/>
      <c r="M25" s="20"/>
      <c r="N25" s="20"/>
      <c r="O25" s="20"/>
      <c r="P25" s="20"/>
    </row>
    <row r="26">
      <c r="A26" s="11">
        <f>IFERROR(__xludf.DUMMYFUNCTION("""COMPUTED_VALUE"""),46043.0)</f>
        <v>46043</v>
      </c>
      <c r="B26" s="12" t="str">
        <f>IFERROR(__xludf.DUMMYFUNCTION("""COMPUTED_VALUE"""),"2601H025")</f>
        <v>2601H025</v>
      </c>
      <c r="C26" s="10" t="str">
        <f>IFERROR(__xludf.DUMMYFUNCTION("""COMPUTED_VALUE"""),"Hilman Febriana")</f>
        <v>Hilman Febriana</v>
      </c>
      <c r="D26" s="13" t="str">
        <f>IFERROR(__xludf.DUMMYFUNCTION("""COMPUTED_VALUE"""),"085161498070")</f>
        <v>085161498070</v>
      </c>
      <c r="E26" s="14" t="str">
        <f>IFERROR(__xludf.DUMMYFUNCTION("""COMPUTED_VALUE"""),"Website")</f>
        <v>Website</v>
      </c>
      <c r="F26" s="14" t="str">
        <f>IFERROR(__xludf.DUMMYFUNCTION("""COMPUTED_VALUE"""),"Gagal")</f>
        <v>Gagal</v>
      </c>
      <c r="G26" s="15" t="str">
        <f>IFERROR(__xludf.DUMMYFUNCTION("""COMPUTED_VALUE"""),"3H2M Opsi B")</f>
        <v>3H2M Opsi B</v>
      </c>
      <c r="H26" s="16"/>
      <c r="I26" s="17">
        <f>IFERROR(__xludf.DUMMYFUNCTION("""COMPUTED_VALUE"""),5.0)</f>
        <v>5</v>
      </c>
      <c r="J26" s="18">
        <f>IFERROR(__xludf.DUMMYFUNCTION("""COMPUTED_VALUE"""),1.0825E7)</f>
        <v>10825000</v>
      </c>
      <c r="K26" s="46" t="str">
        <f>IFERROR(__xludf.DUMMYFUNCTION("""COMPUTED_VALUE"""),"tidak ada balasan, sudah fu")</f>
        <v>tidak ada balasan, sudah fu</v>
      </c>
      <c r="L26" s="100" t="str">
        <f>IFERROR(__xludf.DUMMYFUNCTION("""COMPUTED_VALUE"""),"https://docs.google.com/document/d/1MD4vKt2ZQWqX7YfPlQojeuYcf_boCFIM6q-CP2rB4XM/edit?usp=drivesdk")</f>
        <v>https://docs.google.com/document/d/1MD4vKt2ZQWqX7YfPlQojeuYcf_boCFIM6q-CP2rB4XM/edit?usp=drivesdk</v>
      </c>
      <c r="M26" s="20"/>
      <c r="N26" s="20"/>
      <c r="O26" s="20"/>
      <c r="P26" s="20"/>
    </row>
    <row r="27">
      <c r="A27" s="21">
        <f>IFERROR(__xludf.DUMMYFUNCTION("""COMPUTED_VALUE"""),46039.0)</f>
        <v>46039</v>
      </c>
      <c r="B27" s="22" t="str">
        <f>IFERROR(__xludf.DUMMYFUNCTION("""COMPUTED_VALUE"""),"2601H026")</f>
        <v>2601H026</v>
      </c>
      <c r="C27" s="23" t="str">
        <f>IFERROR(__xludf.DUMMYFUNCTION("""COMPUTED_VALUE"""),"Kirina")</f>
        <v>Kirina</v>
      </c>
      <c r="D27" s="24" t="str">
        <f>IFERROR(__xludf.DUMMYFUNCTION("""COMPUTED_VALUE"""),"0811822173")</f>
        <v>0811822173</v>
      </c>
      <c r="E27" s="14" t="str">
        <f>IFERROR(__xludf.DUMMYFUNCTION("""COMPUTED_VALUE"""),"Website")</f>
        <v>Website</v>
      </c>
      <c r="F27" s="14" t="str">
        <f>IFERROR(__xludf.DUMMYFUNCTION("""COMPUTED_VALUE"""),"Gagal")</f>
        <v>Gagal</v>
      </c>
      <c r="G27" s="14" t="str">
        <f>IFERROR(__xludf.DUMMYFUNCTION("""COMPUTED_VALUE"""),"3H2M Custom")</f>
        <v>3H2M Custom</v>
      </c>
      <c r="H27" s="26"/>
      <c r="I27" s="27">
        <f>IFERROR(__xludf.DUMMYFUNCTION("""COMPUTED_VALUE"""),17.0)</f>
        <v>17</v>
      </c>
      <c r="J27" s="33">
        <f>IFERROR(__xludf.DUMMYFUNCTION("""COMPUTED_VALUE"""),2.295E7)</f>
        <v>22950000</v>
      </c>
      <c r="K27" s="36" t="str">
        <f>IFERROR(__xludf.DUMMYFUNCTION("""COMPUTED_VALUE"""),"ganti destinasi ke malaysia")</f>
        <v>ganti destinasi ke malaysia</v>
      </c>
      <c r="L27" s="81" t="str">
        <f>IFERROR(__xludf.DUMMYFUNCTION("""COMPUTED_VALUE"""),"https://docs.google.com/document/d/1Cg-pxi4TaA4xqPYFa-eNTbbuCPVGyyJvF8dGS01Kl1M/edit?usp=drivesdk")</f>
        <v>https://docs.google.com/document/d/1Cg-pxi4TaA4xqPYFa-eNTbbuCPVGyyJvF8dGS01Kl1M/edit?usp=drivesdk</v>
      </c>
      <c r="M27" s="20"/>
      <c r="N27" s="20"/>
      <c r="O27" s="20"/>
      <c r="P27" s="20"/>
    </row>
    <row r="28">
      <c r="A28" s="11">
        <f>IFERROR(__xludf.DUMMYFUNCTION("""COMPUTED_VALUE"""),46046.0)</f>
        <v>46046</v>
      </c>
      <c r="B28" s="12" t="str">
        <f>IFERROR(__xludf.DUMMYFUNCTION("""COMPUTED_VALUE"""),"2601H027")</f>
        <v>2601H027</v>
      </c>
      <c r="C28" s="10" t="str">
        <f>IFERROR(__xludf.DUMMYFUNCTION("""COMPUTED_VALUE"""),"Titin Karyati")</f>
        <v>Titin Karyati</v>
      </c>
      <c r="D28" s="13" t="str">
        <f>IFERROR(__xludf.DUMMYFUNCTION("""COMPUTED_VALUE"""),"085285949394")</f>
        <v>085285949394</v>
      </c>
      <c r="E28" s="14" t="str">
        <f>IFERROR(__xludf.DUMMYFUNCTION("""COMPUTED_VALUE"""),"Lainnya")</f>
        <v>Lainnya</v>
      </c>
      <c r="F28" s="14" t="str">
        <f>IFERROR(__xludf.DUMMYFUNCTION("""COMPUTED_VALUE"""),"Qualified")</f>
        <v>Qualified</v>
      </c>
      <c r="G28" s="25" t="str">
        <f>IFERROR(__xludf.DUMMYFUNCTION("""COMPUTED_VALUE"""),"2D1N Custom")</f>
        <v>2D1N Custom</v>
      </c>
      <c r="H28" s="16"/>
      <c r="I28" s="17">
        <f>IFERROR(__xludf.DUMMYFUNCTION("""COMPUTED_VALUE"""),25.0)</f>
        <v>25</v>
      </c>
      <c r="J28" s="18">
        <f>IFERROR(__xludf.DUMMYFUNCTION("""COMPUTED_VALUE"""),3.175E7)</f>
        <v>31750000</v>
      </c>
      <c r="K28" s="19" t="str">
        <f>IFERROR(__xludf.DUMMYFUNCTION("""COMPUTED_VALUE"""),"FU lagi mendekati FU 20 Agustus ")</f>
        <v>FU lagi mendekati FU 20 Agustus </v>
      </c>
      <c r="L28" s="76"/>
      <c r="M28" s="20"/>
      <c r="N28" s="20"/>
      <c r="O28" s="20"/>
      <c r="P28" s="20"/>
    </row>
    <row r="29">
      <c r="A29" s="21">
        <f>IFERROR(__xludf.DUMMYFUNCTION("""COMPUTED_VALUE"""),46045.0)</f>
        <v>46045</v>
      </c>
      <c r="B29" s="22" t="str">
        <f>IFERROR(__xludf.DUMMYFUNCTION("""COMPUTED_VALUE"""),"2601H028")</f>
        <v>2601H028</v>
      </c>
      <c r="C29" s="23" t="str">
        <f>IFERROR(__xludf.DUMMYFUNCTION("""COMPUTED_VALUE"""),"Jennifer Jones")</f>
        <v>Jennifer Jones</v>
      </c>
      <c r="D29" s="24" t="str">
        <f>IFERROR(__xludf.DUMMYFUNCTION("""COMPUTED_VALUE"""),"087887878902")</f>
        <v>087887878902</v>
      </c>
      <c r="E29" s="14" t="str">
        <f>IFERROR(__xludf.DUMMYFUNCTION("""COMPUTED_VALUE"""),"Website")</f>
        <v>Website</v>
      </c>
      <c r="F29" s="14" t="str">
        <f>IFERROR(__xludf.DUMMYFUNCTION("""COMPUTED_VALUE"""),"Closing")</f>
        <v>Closing</v>
      </c>
      <c r="G29" s="25" t="str">
        <f>IFERROR(__xludf.DUMMYFUNCTION("""COMPUTED_VALUE"""),"OT I")</f>
        <v>OT I</v>
      </c>
      <c r="H29" s="26">
        <f>IFERROR(__xludf.DUMMYFUNCTION("""COMPUTED_VALUE"""),46048.0)</f>
        <v>46048</v>
      </c>
      <c r="I29" s="27">
        <f>IFERROR(__xludf.DUMMYFUNCTION("""COMPUTED_VALUE"""),1.0)</f>
        <v>1</v>
      </c>
      <c r="J29" s="28">
        <f>IFERROR(__xludf.DUMMYFUNCTION("""COMPUTED_VALUE"""),325000.0)</f>
        <v>325000</v>
      </c>
      <c r="K29" s="36" t="str">
        <f>IFERROR(__xludf.DUMMYFUNCTION("""COMPUTED_VALUE"""),"order")</f>
        <v>order</v>
      </c>
      <c r="L29" s="49"/>
      <c r="M29" s="20"/>
      <c r="N29" s="20"/>
      <c r="O29" s="20"/>
      <c r="P29" s="20"/>
    </row>
    <row r="30">
      <c r="A30" s="11">
        <f>IFERROR(__xludf.DUMMYFUNCTION("""COMPUTED_VALUE"""),46046.0)</f>
        <v>46046</v>
      </c>
      <c r="B30" s="12" t="str">
        <f>IFERROR(__xludf.DUMMYFUNCTION("""COMPUTED_VALUE"""),"2601H029")</f>
        <v>2601H029</v>
      </c>
      <c r="C30" s="10" t="str">
        <f>IFERROR(__xludf.DUMMYFUNCTION("""COMPUTED_VALUE"""),"Budi biro hb tour jakarta")</f>
        <v>Budi biro hb tour jakarta</v>
      </c>
      <c r="D30" s="13" t="str">
        <f>IFERROR(__xludf.DUMMYFUNCTION("""COMPUTED_VALUE"""),"082211661806")</f>
        <v>082211661806</v>
      </c>
      <c r="E30" s="14" t="str">
        <f>IFERROR(__xludf.DUMMYFUNCTION("""COMPUTED_VALUE"""),"Website")</f>
        <v>Website</v>
      </c>
      <c r="F30" s="14" t="str">
        <f>IFERROR(__xludf.DUMMYFUNCTION("""COMPUTED_VALUE"""),"Gagal")</f>
        <v>Gagal</v>
      </c>
      <c r="G30" s="14" t="str">
        <f>IFERROR(__xludf.DUMMYFUNCTION("""COMPUTED_VALUE"""),"2H1N")</f>
        <v>2H1N</v>
      </c>
      <c r="H30" s="16"/>
      <c r="I30" s="17">
        <f>IFERROR(__xludf.DUMMYFUNCTION("""COMPUTED_VALUE"""),36.0)</f>
        <v>36</v>
      </c>
      <c r="J30" s="18">
        <f>IFERROR(__xludf.DUMMYFUNCTION("""COMPUTED_VALUE"""),2.52E7)</f>
        <v>25200000</v>
      </c>
      <c r="K30" s="19" t="str">
        <f>IFERROR(__xludf.DUMMYFUNCTION("""COMPUTED_VALUE"""),"sdh fu, tidak ada jawaban")</f>
        <v>sdh fu, tidak ada jawaban</v>
      </c>
      <c r="L30" s="88" t="str">
        <f>IFERROR(__xludf.DUMMYFUNCTION("""COMPUTED_VALUE"""),"https://docs.google.com/document/d/11xFRViUOnEBT_zPzld688O4yRp2PKlRGwx5LaJKdVzQ/edit?usp=drivesdk")</f>
        <v>https://docs.google.com/document/d/11xFRViUOnEBT_zPzld688O4yRp2PKlRGwx5LaJKdVzQ/edit?usp=drivesdk</v>
      </c>
      <c r="M30" s="20"/>
      <c r="N30" s="20"/>
      <c r="O30" s="20"/>
      <c r="P30" s="20"/>
    </row>
    <row r="31">
      <c r="A31" s="21">
        <f>IFERROR(__xludf.DUMMYFUNCTION("""COMPUTED_VALUE"""),46047.0)</f>
        <v>46047</v>
      </c>
      <c r="B31" s="22" t="str">
        <f>IFERROR(__xludf.DUMMYFUNCTION("""COMPUTED_VALUE"""),"2601H030")</f>
        <v>2601H030</v>
      </c>
      <c r="C31" s="23" t="str">
        <f>IFERROR(__xludf.DUMMYFUNCTION("""COMPUTED_VALUE"""),"Lung")</f>
        <v>Lung</v>
      </c>
      <c r="D31" s="24" t="str">
        <f>IFERROR(__xludf.DUMMYFUNCTION("""COMPUTED_VALUE"""),"081224146323")</f>
        <v>081224146323</v>
      </c>
      <c r="E31" s="14" t="str">
        <f>IFERROR(__xludf.DUMMYFUNCTION("""COMPUTED_VALUE"""),"Website")</f>
        <v>Website</v>
      </c>
      <c r="F31" s="14" t="str">
        <f>IFERROR(__xludf.DUMMYFUNCTION("""COMPUTED_VALUE"""),"Gagal")</f>
        <v>Gagal</v>
      </c>
      <c r="G31" s="25" t="str">
        <f>IFERROR(__xludf.DUMMYFUNCTION("""COMPUTED_VALUE"""),"4D3N Custom")</f>
        <v>4D3N Custom</v>
      </c>
      <c r="H31" s="26"/>
      <c r="I31" s="27">
        <f>IFERROR(__xludf.DUMMYFUNCTION("""COMPUTED_VALUE"""),2.0)</f>
        <v>2</v>
      </c>
      <c r="J31" s="28">
        <f>IFERROR(__xludf.DUMMYFUNCTION("""COMPUTED_VALUE"""),6990000.0)</f>
        <v>6990000</v>
      </c>
      <c r="K31" s="36" t="str">
        <f>IFERROR(__xludf.DUMMYFUNCTION("""COMPUTED_VALUE"""),"tanya tanya dulu")</f>
        <v>tanya tanya dulu</v>
      </c>
      <c r="L31" s="49"/>
      <c r="M31" s="20"/>
      <c r="N31" s="20"/>
      <c r="O31" s="20"/>
      <c r="P31" s="20"/>
    </row>
    <row r="32">
      <c r="A32" s="11">
        <f>IFERROR(__xludf.DUMMYFUNCTION("""COMPUTED_VALUE"""),46047.0)</f>
        <v>46047</v>
      </c>
      <c r="B32" s="12" t="str">
        <f>IFERROR(__xludf.DUMMYFUNCTION("""COMPUTED_VALUE"""),"2601H031")</f>
        <v>2601H031</v>
      </c>
      <c r="C32" s="10" t="str">
        <f>IFERROR(__xludf.DUMMYFUNCTION("""COMPUTED_VALUE"""),"Nuke")</f>
        <v>Nuke</v>
      </c>
      <c r="D32" s="13" t="str">
        <f>IFERROR(__xludf.DUMMYFUNCTION("""COMPUTED_VALUE"""),"08170279102")</f>
        <v>08170279102</v>
      </c>
      <c r="E32" s="14" t="str">
        <f>IFERROR(__xludf.DUMMYFUNCTION("""COMPUTED_VALUE"""),"Website")</f>
        <v>Website</v>
      </c>
      <c r="F32" s="14" t="str">
        <f>IFERROR(__xludf.DUMMYFUNCTION("""COMPUTED_VALUE"""),"Gagal")</f>
        <v>Gagal</v>
      </c>
      <c r="G32" s="14"/>
      <c r="H32" s="13"/>
      <c r="I32" s="17"/>
      <c r="J32" s="18"/>
      <c r="K32" s="46" t="str">
        <f>IFERROR(__xludf.DUMMYFUNCTION("""COMPUTED_VALUE"""),"tanya tanya PL Tour Banyuwangi")</f>
        <v>tanya tanya PL Tour Banyuwangi</v>
      </c>
      <c r="L32" s="10"/>
      <c r="M32" s="20"/>
      <c r="N32" s="20"/>
      <c r="O32" s="20"/>
      <c r="P32" s="20"/>
    </row>
    <row r="33">
      <c r="A33" s="21">
        <f>IFERROR(__xludf.DUMMYFUNCTION("""COMPUTED_VALUE"""),46047.0)</f>
        <v>46047</v>
      </c>
      <c r="B33" s="22" t="str">
        <f>IFERROR(__xludf.DUMMYFUNCTION("""COMPUTED_VALUE"""),"2601H032")</f>
        <v>2601H032</v>
      </c>
      <c r="C33" s="23" t="str">
        <f>IFERROR(__xludf.DUMMYFUNCTION("""COMPUTED_VALUE"""),"Janny (Bambang)")</f>
        <v>Janny (Bambang)</v>
      </c>
      <c r="D33" s="24" t="str">
        <f>IFERROR(__xludf.DUMMYFUNCTION("""COMPUTED_VALUE"""),"0816828184")</f>
        <v>0816828184</v>
      </c>
      <c r="E33" s="14" t="str">
        <f>IFERROR(__xludf.DUMMYFUNCTION("""COMPUTED_VALUE"""),"Lainnya")</f>
        <v>Lainnya</v>
      </c>
      <c r="F33" s="14" t="str">
        <f>IFERROR(__xludf.DUMMYFUNCTION("""COMPUTED_VALUE"""),"Closing")</f>
        <v>Closing</v>
      </c>
      <c r="G33" s="25" t="str">
        <f>IFERROR(__xludf.DUMMYFUNCTION("""COMPUTED_VALUE"""),"paket custom")</f>
        <v>paket custom</v>
      </c>
      <c r="H33" s="26"/>
      <c r="I33" s="27">
        <f>IFERROR(__xludf.DUMMYFUNCTION("""COMPUTED_VALUE"""),12.0)</f>
        <v>12</v>
      </c>
      <c r="J33" s="28">
        <f>IFERROR(__xludf.DUMMYFUNCTION("""COMPUTED_VALUE"""),1.3988E7)</f>
        <v>13988000</v>
      </c>
      <c r="K33" s="36" t="str">
        <f>IFERROR(__xludf.DUMMYFUNCTION("""COMPUTED_VALUE"""),"order")</f>
        <v>order</v>
      </c>
      <c r="L33" s="49"/>
      <c r="M33" s="20"/>
      <c r="N33" s="20"/>
      <c r="O33" s="20"/>
      <c r="P33" s="20"/>
    </row>
    <row r="34">
      <c r="A34" s="11">
        <f>IFERROR(__xludf.DUMMYFUNCTION("""COMPUTED_VALUE"""),46034.0)</f>
        <v>46034</v>
      </c>
      <c r="B34" s="12" t="str">
        <f>IFERROR(__xludf.DUMMYFUNCTION("""COMPUTED_VALUE"""),"2601H033")</f>
        <v>2601H033</v>
      </c>
      <c r="C34" s="10" t="str">
        <f>IFERROR(__xludf.DUMMYFUNCTION("""COMPUTED_VALUE"""),"Masayuanna")</f>
        <v>Masayuanna</v>
      </c>
      <c r="D34" s="13" t="str">
        <f>IFERROR(__xludf.DUMMYFUNCTION("""COMPUTED_VALUE"""),"08170172205")</f>
        <v>08170172205</v>
      </c>
      <c r="E34" s="14" t="str">
        <f>IFERROR(__xludf.DUMMYFUNCTION("""COMPUTED_VALUE"""),"Website")</f>
        <v>Website</v>
      </c>
      <c r="F34" s="14" t="str">
        <f>IFERROR(__xludf.DUMMYFUNCTION("""COMPUTED_VALUE"""),"Closing")</f>
        <v>Closing</v>
      </c>
      <c r="G34" s="14" t="str">
        <f>IFERROR(__xludf.DUMMYFUNCTION("""COMPUTED_VALUE"""),"4D3N Custom")</f>
        <v>4D3N Custom</v>
      </c>
      <c r="H34" s="16"/>
      <c r="I34" s="17">
        <f>IFERROR(__xludf.DUMMYFUNCTION("""COMPUTED_VALUE"""),11.0)</f>
        <v>11</v>
      </c>
      <c r="J34" s="54">
        <f>IFERROR(__xludf.DUMMYFUNCTION("""COMPUTED_VALUE"""),9936000.0)</f>
        <v>9936000</v>
      </c>
      <c r="K34" s="19" t="str">
        <f>IFERROR(__xludf.DUMMYFUNCTION("""COMPUTED_VALUE"""),"alhamdulillah sudah DP ")</f>
        <v>alhamdulillah sudah DP </v>
      </c>
      <c r="L34" s="76"/>
      <c r="M34" s="20"/>
      <c r="N34" s="20"/>
      <c r="O34" s="20"/>
      <c r="P34" s="20"/>
    </row>
    <row r="35">
      <c r="A35" s="21">
        <f>IFERROR(__xludf.DUMMYFUNCTION("""COMPUTED_VALUE"""),46050.0)</f>
        <v>46050</v>
      </c>
      <c r="B35" s="22" t="str">
        <f>IFERROR(__xludf.DUMMYFUNCTION("""COMPUTED_VALUE"""),"2601H034")</f>
        <v>2601H034</v>
      </c>
      <c r="C35" s="23" t="str">
        <f>IFERROR(__xludf.DUMMYFUNCTION("""COMPUTED_VALUE"""),"Isna")</f>
        <v>Isna</v>
      </c>
      <c r="D35" s="24" t="str">
        <f>IFERROR(__xludf.DUMMYFUNCTION("""COMPUTED_VALUE"""),"085691313250")</f>
        <v>085691313250</v>
      </c>
      <c r="E35" s="14" t="str">
        <f>IFERROR(__xludf.DUMMYFUNCTION("""COMPUTED_VALUE"""),"Lainnya")</f>
        <v>Lainnya</v>
      </c>
      <c r="F35" s="14" t="str">
        <f>IFERROR(__xludf.DUMMYFUNCTION("""COMPUTED_VALUE"""),"Gagal")</f>
        <v>Gagal</v>
      </c>
      <c r="G35" s="14" t="str">
        <f>IFERROR(__xludf.DUMMYFUNCTION("""COMPUTED_VALUE"""),"Halfday Trip Baluran")</f>
        <v>Halfday Trip Baluran</v>
      </c>
      <c r="H35" s="26"/>
      <c r="I35" s="27">
        <f>IFERROR(__xludf.DUMMYFUNCTION("""COMPUTED_VALUE"""),2.0)</f>
        <v>2</v>
      </c>
      <c r="J35" s="33"/>
      <c r="K35" s="36" t="str">
        <f>IFERROR(__xludf.DUMMYFUNCTION("""COMPUTED_VALUE"""),"tidak jadi ke banyuwangi")</f>
        <v>tidak jadi ke banyuwangi</v>
      </c>
      <c r="L35" s="49"/>
      <c r="M35" s="20"/>
      <c r="N35" s="20"/>
      <c r="O35" s="20"/>
      <c r="P35" s="20"/>
    </row>
    <row r="36">
      <c r="A36" s="11">
        <f>IFERROR(__xludf.DUMMYFUNCTION("""COMPUTED_VALUE"""),46050.0)</f>
        <v>46050</v>
      </c>
      <c r="B36" s="12" t="str">
        <f>IFERROR(__xludf.DUMMYFUNCTION("""COMPUTED_VALUE"""),"2601H035")</f>
        <v>2601H035</v>
      </c>
      <c r="C36" s="10" t="str">
        <f>IFERROR(__xludf.DUMMYFUNCTION("""COMPUTED_VALUE"""),"Aul's")</f>
        <v>Aul's</v>
      </c>
      <c r="D36" s="13" t="str">
        <f>IFERROR(__xludf.DUMMYFUNCTION("""COMPUTED_VALUE"""),"08567198838")</f>
        <v>08567198838</v>
      </c>
      <c r="E36" s="14" t="str">
        <f>IFERROR(__xludf.DUMMYFUNCTION("""COMPUTED_VALUE"""),"Website")</f>
        <v>Website</v>
      </c>
      <c r="F36" s="14" t="str">
        <f>IFERROR(__xludf.DUMMYFUNCTION("""COMPUTED_VALUE"""),"Gagal")</f>
        <v>Gagal</v>
      </c>
      <c r="G36" s="14" t="str">
        <f>IFERROR(__xludf.DUMMYFUNCTION("""COMPUTED_VALUE"""),"3D2N ")</f>
        <v>3D2N </v>
      </c>
      <c r="H36" s="16"/>
      <c r="I36" s="17">
        <f>IFERROR(__xludf.DUMMYFUNCTION("""COMPUTED_VALUE"""),20.0)</f>
        <v>20</v>
      </c>
      <c r="J36" s="18"/>
      <c r="K36" s="46" t="str">
        <f>IFERROR(__xludf.DUMMYFUNCTION("""COMPUTED_VALUE"""),"tidak membalas")</f>
        <v>tidak membalas</v>
      </c>
      <c r="L36" s="10"/>
      <c r="M36" s="20"/>
      <c r="N36" s="20"/>
      <c r="O36" s="20"/>
      <c r="P36" s="20"/>
    </row>
    <row r="37">
      <c r="A37" s="21">
        <f>IFERROR(__xludf.DUMMYFUNCTION("""COMPUTED_VALUE"""),46050.0)</f>
        <v>46050</v>
      </c>
      <c r="B37" s="22" t="str">
        <f>IFERROR(__xludf.DUMMYFUNCTION("""COMPUTED_VALUE"""),"2601H036")</f>
        <v>2601H036</v>
      </c>
      <c r="C37" s="23" t="str">
        <f>IFERROR(__xludf.DUMMYFUNCTION("""COMPUTED_VALUE"""),"Guruh Tolowijoyo")</f>
        <v>Guruh Tolowijoyo</v>
      </c>
      <c r="D37" s="24" t="str">
        <f>IFERROR(__xludf.DUMMYFUNCTION("""COMPUTED_VALUE"""),"081932057178")</f>
        <v>081932057178</v>
      </c>
      <c r="E37" s="14" t="str">
        <f>IFERROR(__xludf.DUMMYFUNCTION("""COMPUTED_VALUE"""),"Lainnya")</f>
        <v>Lainnya</v>
      </c>
      <c r="F37" s="14" t="str">
        <f>IFERROR(__xludf.DUMMYFUNCTION("""COMPUTED_VALUE"""),"Prospek")</f>
        <v>Prospek</v>
      </c>
      <c r="G37" s="14" t="str">
        <f>IFERROR(__xludf.DUMMYFUNCTION("""COMPUTED_VALUE"""),"2D1N Custom")</f>
        <v>2D1N Custom</v>
      </c>
      <c r="H37" s="26"/>
      <c r="I37" s="27">
        <f>IFERROR(__xludf.DUMMYFUNCTION("""COMPUTED_VALUE"""),30.0)</f>
        <v>30</v>
      </c>
      <c r="J37" s="33">
        <f>IFERROR(__xludf.DUMMYFUNCTION("""COMPUTED_VALUE"""),5.355E7)</f>
        <v>53550000</v>
      </c>
      <c r="K37" s="30" t="str">
        <f>IFERROR(__xludf.DUMMYFUNCTION("""COMPUTED_VALUE"""),"FU kembali tgl 7 juni")</f>
        <v>FU kembali tgl 7 juni</v>
      </c>
      <c r="L37" s="87" t="str">
        <f>IFERROR(__xludf.DUMMYFUNCTION("""COMPUTED_VALUE"""),"https://docs.google.com/document/d/1H4CnDuuDwcwMg5JS9tgRXEIQo7OZMjjmlc73xCMdph8/edit?usp=drivesdk")</f>
        <v>https://docs.google.com/document/d/1H4CnDuuDwcwMg5JS9tgRXEIQo7OZMjjmlc73xCMdph8/edit?usp=drivesdk</v>
      </c>
      <c r="M37" s="20"/>
      <c r="N37" s="20"/>
      <c r="O37" s="20"/>
      <c r="P37" s="20"/>
    </row>
    <row r="38">
      <c r="A38" s="11">
        <f>IFERROR(__xludf.DUMMYFUNCTION("""COMPUTED_VALUE"""),46051.0)</f>
        <v>46051</v>
      </c>
      <c r="B38" s="12" t="str">
        <f>IFERROR(__xludf.DUMMYFUNCTION("""COMPUTED_VALUE"""),"2601H037")</f>
        <v>2601H037</v>
      </c>
      <c r="C38" s="10" t="str">
        <f>IFERROR(__xludf.DUMMYFUNCTION("""COMPUTED_VALUE"""),"Damaiyanti SM")</f>
        <v>Damaiyanti SM</v>
      </c>
      <c r="D38" s="13" t="str">
        <f>IFERROR(__xludf.DUMMYFUNCTION("""COMPUTED_VALUE"""),"08121052141")</f>
        <v>08121052141</v>
      </c>
      <c r="E38" s="14" t="str">
        <f>IFERROR(__xludf.DUMMYFUNCTION("""COMPUTED_VALUE"""),"Website")</f>
        <v>Website</v>
      </c>
      <c r="F38" s="14" t="str">
        <f>IFERROR(__xludf.DUMMYFUNCTION("""COMPUTED_VALUE"""),"Gagal")</f>
        <v>Gagal</v>
      </c>
      <c r="G38" s="15" t="str">
        <f>IFERROR(__xludf.DUMMYFUNCTION("""COMPUTED_VALUE"""),"custom 3H2M")</f>
        <v>custom 3H2M</v>
      </c>
      <c r="H38" s="16"/>
      <c r="I38" s="17">
        <f>IFERROR(__xludf.DUMMYFUNCTION("""COMPUTED_VALUE"""),11.0)</f>
        <v>11</v>
      </c>
      <c r="J38" s="18">
        <f>IFERROR(__xludf.DUMMYFUNCTION("""COMPUTED_VALUE"""),2.5135E7)</f>
        <v>25135000</v>
      </c>
      <c r="K38" s="46" t="str">
        <f>IFERROR(__xludf.DUMMYFUNCTION("""COMPUTED_VALUE"""),"sdh fu lebih dr 5 kali, tidak ada jawaban")</f>
        <v>sdh fu lebih dr 5 kali, tidak ada jawaban</v>
      </c>
      <c r="L38" s="100" t="str">
        <f>IFERROR(__xludf.DUMMYFUNCTION("""COMPUTED_VALUE"""),"https://docs.google.com/document/d/1BSzCDksfh22ZA-W6CT-fRdHgFApRaNSjaQTOWdQfND0/edit?usp=drivesdk")</f>
        <v>https://docs.google.com/document/d/1BSzCDksfh22ZA-W6CT-fRdHgFApRaNSjaQTOWdQfND0/edit?usp=drivesdk</v>
      </c>
      <c r="M38" s="20"/>
      <c r="N38" s="20"/>
      <c r="O38" s="20"/>
      <c r="P38" s="20"/>
    </row>
    <row r="39">
      <c r="A39" s="21">
        <f>IFERROR(__xludf.DUMMYFUNCTION("""COMPUTED_VALUE"""),46051.0)</f>
        <v>46051</v>
      </c>
      <c r="B39" s="22" t="str">
        <f>IFERROR(__xludf.DUMMYFUNCTION("""COMPUTED_VALUE"""),"2601H038")</f>
        <v>2601H038</v>
      </c>
      <c r="C39" s="23" t="str">
        <f>IFERROR(__xludf.DUMMYFUNCTION("""COMPUTED_VALUE"""),"Yanti")</f>
        <v>Yanti</v>
      </c>
      <c r="D39" s="24" t="str">
        <f>IFERROR(__xludf.DUMMYFUNCTION("""COMPUTED_VALUE"""),"082217222215")</f>
        <v>082217222215</v>
      </c>
      <c r="E39" s="14" t="str">
        <f>IFERROR(__xludf.DUMMYFUNCTION("""COMPUTED_VALUE"""),"Website")</f>
        <v>Website</v>
      </c>
      <c r="F39" s="14" t="str">
        <f>IFERROR(__xludf.DUMMYFUNCTION("""COMPUTED_VALUE"""),"Gagal")</f>
        <v>Gagal</v>
      </c>
      <c r="G39" s="15" t="str">
        <f>IFERROR(__xludf.DUMMYFUNCTION("""COMPUTED_VALUE"""),"2D1N Custom")</f>
        <v>2D1N Custom</v>
      </c>
      <c r="H39" s="26">
        <f>IFERROR(__xludf.DUMMYFUNCTION("""COMPUTED_VALUE"""),46235.0)</f>
        <v>46235</v>
      </c>
      <c r="I39" s="27">
        <f>IFERROR(__xludf.DUMMYFUNCTION("""COMPUTED_VALUE"""),25.0)</f>
        <v>25</v>
      </c>
      <c r="J39" s="33">
        <f>IFERROR(__xludf.DUMMYFUNCTION("""COMPUTED_VALUE"""),1.3875E7)</f>
        <v>13875000</v>
      </c>
      <c r="K39" s="30" t="str">
        <f>IFERROR(__xludf.DUMMYFUNCTION("""COMPUTED_VALUE"""),"gajadiii")</f>
        <v>gajadiii</v>
      </c>
      <c r="L39" s="23"/>
      <c r="M39" s="20"/>
      <c r="N39" s="20"/>
      <c r="O39" s="20"/>
      <c r="P39" s="20"/>
    </row>
    <row r="40">
      <c r="A40" s="11">
        <f>IFERROR(__xludf.DUMMYFUNCTION("""COMPUTED_VALUE"""),46052.0)</f>
        <v>46052</v>
      </c>
      <c r="B40" s="12" t="str">
        <f>IFERROR(__xludf.DUMMYFUNCTION("""COMPUTED_VALUE"""),"2601H039")</f>
        <v>2601H039</v>
      </c>
      <c r="C40" s="10" t="str">
        <f>IFERROR(__xludf.DUMMYFUNCTION("""COMPUTED_VALUE"""),"Watty Purba")</f>
        <v>Watty Purba</v>
      </c>
      <c r="D40" s="13" t="str">
        <f>IFERROR(__xludf.DUMMYFUNCTION("""COMPUTED_VALUE"""),"089643601225")</f>
        <v>089643601225</v>
      </c>
      <c r="E40" s="14" t="str">
        <f>IFERROR(__xludf.DUMMYFUNCTION("""COMPUTED_VALUE"""),"Lainnya")</f>
        <v>Lainnya</v>
      </c>
      <c r="F40" s="14" t="str">
        <f>IFERROR(__xludf.DUMMYFUNCTION("""COMPUTED_VALUE"""),"Gagal")</f>
        <v>Gagal</v>
      </c>
      <c r="G40" s="15" t="str">
        <f>IFERROR(__xludf.DUMMYFUNCTION("""COMPUTED_VALUE"""),"3D2N Custom")</f>
        <v>3D2N Custom</v>
      </c>
      <c r="H40" s="16"/>
      <c r="I40" s="17">
        <f>IFERROR(__xludf.DUMMYFUNCTION("""COMPUTED_VALUE"""),4.0)</f>
        <v>4</v>
      </c>
      <c r="J40" s="18">
        <f>IFERROR(__xludf.DUMMYFUNCTION("""COMPUTED_VALUE"""),1.178E7)</f>
        <v>11780000</v>
      </c>
      <c r="K40" s="19" t="str">
        <f>IFERROR(__xludf.DUMMYFUNCTION("""COMPUTED_VALUE"""),"masih hujan, tunggu cuaca membaik")</f>
        <v>masih hujan, tunggu cuaca membaik</v>
      </c>
      <c r="L40" s="100" t="str">
        <f>IFERROR(__xludf.DUMMYFUNCTION("""COMPUTED_VALUE"""),"https://docs.google.com/document/d/1IvqJVVXTDmALyuYDmJl7vBncBZdhiE8SxNMvf0WIlzs/edit?usp=drivesdk")</f>
        <v>https://docs.google.com/document/d/1IvqJVVXTDmALyuYDmJl7vBncBZdhiE8SxNMvf0WIlzs/edit?usp=drivesdk</v>
      </c>
      <c r="M40" s="20"/>
      <c r="N40" s="20"/>
      <c r="O40" s="20"/>
      <c r="P40" s="20"/>
    </row>
    <row r="41">
      <c r="A41" s="21">
        <f>IFERROR(__xludf.DUMMYFUNCTION("""COMPUTED_VALUE"""),46052.0)</f>
        <v>46052</v>
      </c>
      <c r="B41" s="22" t="str">
        <f>IFERROR(__xludf.DUMMYFUNCTION("""COMPUTED_VALUE"""),"2601H040")</f>
        <v>2601H040</v>
      </c>
      <c r="C41" s="23" t="str">
        <f>IFERROR(__xludf.DUMMYFUNCTION("""COMPUTED_VALUE"""),"Joyce Mawuntu")</f>
        <v>Joyce Mawuntu</v>
      </c>
      <c r="D41" s="24" t="str">
        <f>IFERROR(__xludf.DUMMYFUNCTION("""COMPUTED_VALUE"""),"08998844499")</f>
        <v>08998844499</v>
      </c>
      <c r="E41" s="14" t="str">
        <f>IFERROR(__xludf.DUMMYFUNCTION("""COMPUTED_VALUE"""),"Lainnya")</f>
        <v>Lainnya</v>
      </c>
      <c r="F41" s="14" t="str">
        <f>IFERROR(__xludf.DUMMYFUNCTION("""COMPUTED_VALUE"""),"Gagal")</f>
        <v>Gagal</v>
      </c>
      <c r="G41" s="15" t="str">
        <f>IFERROR(__xludf.DUMMYFUNCTION("""COMPUTED_VALUE"""),"6D5M Custom")</f>
        <v>6D5M Custom</v>
      </c>
      <c r="H41" s="26"/>
      <c r="I41" s="27">
        <f>IFERROR(__xludf.DUMMYFUNCTION("""COMPUTED_VALUE"""),26.0)</f>
        <v>26</v>
      </c>
      <c r="J41" s="28"/>
      <c r="K41" s="36" t="str">
        <f>IFERROR(__xludf.DUMMYFUNCTION("""COMPUTED_VALUE"""),"pengajuan ke manajemen ")</f>
        <v>pengajuan ke manajemen </v>
      </c>
      <c r="L41" s="23"/>
      <c r="M41" s="20"/>
      <c r="N41" s="20"/>
      <c r="O41" s="20"/>
      <c r="P41" s="20"/>
    </row>
    <row r="42">
      <c r="A42" s="11">
        <f>IFERROR(__xludf.DUMMYFUNCTION("""COMPUTED_VALUE"""),46054.0)</f>
        <v>46054</v>
      </c>
      <c r="B42" s="12" t="str">
        <f>IFERROR(__xludf.DUMMYFUNCTION("""COMPUTED_VALUE"""),"2602H001")</f>
        <v>2602H001</v>
      </c>
      <c r="C42" s="10" t="str">
        <f>IFERROR(__xludf.DUMMYFUNCTION("""COMPUTED_VALUE"""),"Purwanto")</f>
        <v>Purwanto</v>
      </c>
      <c r="D42" s="13" t="str">
        <f>IFERROR(__xludf.DUMMYFUNCTION("""COMPUTED_VALUE"""),"08128200401")</f>
        <v>08128200401</v>
      </c>
      <c r="E42" s="14" t="str">
        <f>IFERROR(__xludf.DUMMYFUNCTION("""COMPUTED_VALUE"""),"Lainnya")</f>
        <v>Lainnya</v>
      </c>
      <c r="F42" s="14" t="str">
        <f>IFERROR(__xludf.DUMMYFUNCTION("""COMPUTED_VALUE"""),"Gagal")</f>
        <v>Gagal</v>
      </c>
      <c r="G42" s="25"/>
      <c r="H42" s="16"/>
      <c r="I42" s="17"/>
      <c r="J42" s="18"/>
      <c r="K42" s="19" t="str">
        <f>IFERROR(__xludf.DUMMYFUNCTION("""COMPUTED_VALUE"""),"tanya tanya")</f>
        <v>tanya tanya</v>
      </c>
      <c r="L42" s="76"/>
      <c r="M42" s="20"/>
      <c r="N42" s="20"/>
      <c r="O42" s="20"/>
      <c r="P42" s="20"/>
    </row>
    <row r="43">
      <c r="A43" s="21">
        <f>IFERROR(__xludf.DUMMYFUNCTION("""COMPUTED_VALUE"""),46055.0)</f>
        <v>46055</v>
      </c>
      <c r="B43" s="22" t="str">
        <f>IFERROR(__xludf.DUMMYFUNCTION("""COMPUTED_VALUE"""),"2502H002")</f>
        <v>2502H002</v>
      </c>
      <c r="C43" s="23" t="str">
        <f>IFERROR(__xludf.DUMMYFUNCTION("""COMPUTED_VALUE"""),"Ahmad risky")</f>
        <v>Ahmad risky</v>
      </c>
      <c r="D43" s="24" t="str">
        <f>IFERROR(__xludf.DUMMYFUNCTION("""COMPUTED_VALUE"""),"08176885123")</f>
        <v>08176885123</v>
      </c>
      <c r="E43" s="14" t="str">
        <f>IFERROR(__xludf.DUMMYFUNCTION("""COMPUTED_VALUE"""),"Website")</f>
        <v>Website</v>
      </c>
      <c r="F43" s="14" t="str">
        <f>IFERROR(__xludf.DUMMYFUNCTION("""COMPUTED_VALUE"""),"Closing")</f>
        <v>Closing</v>
      </c>
      <c r="G43" s="14" t="str">
        <f>IFERROR(__xludf.DUMMYFUNCTION("""COMPUTED_VALUE"""),"paket custom 2H1M")</f>
        <v>paket custom 2H1M</v>
      </c>
      <c r="H43" s="26"/>
      <c r="I43" s="27">
        <f>IFERROR(__xludf.DUMMYFUNCTION("""COMPUTED_VALUE"""),4.0)</f>
        <v>4</v>
      </c>
      <c r="J43" s="28">
        <f>IFERROR(__xludf.DUMMYFUNCTION("""COMPUTED_VALUE"""),3000000.0)</f>
        <v>3000000</v>
      </c>
      <c r="K43" s="30" t="str">
        <f>IFERROR(__xludf.DUMMYFUNCTION("""COMPUTED_VALUE"""),"order")</f>
        <v>order</v>
      </c>
      <c r="L43" s="23"/>
      <c r="M43" s="20"/>
      <c r="N43" s="20"/>
      <c r="O43" s="20"/>
      <c r="P43" s="20"/>
    </row>
    <row r="44">
      <c r="A44" s="11">
        <f>IFERROR(__xludf.DUMMYFUNCTION("""COMPUTED_VALUE"""),46056.0)</f>
        <v>46056</v>
      </c>
      <c r="B44" s="12" t="str">
        <f>IFERROR(__xludf.DUMMYFUNCTION("""COMPUTED_VALUE"""),"2602H003")</f>
        <v>2602H003</v>
      </c>
      <c r="C44" s="10" t="str">
        <f>IFERROR(__xludf.DUMMYFUNCTION("""COMPUTED_VALUE"""),"Marysa")</f>
        <v>Marysa</v>
      </c>
      <c r="D44" s="13" t="str">
        <f>IFERROR(__xludf.DUMMYFUNCTION("""COMPUTED_VALUE"""),"088905841570")</f>
        <v>088905841570</v>
      </c>
      <c r="E44" s="14" t="str">
        <f>IFERROR(__xludf.DUMMYFUNCTION("""COMPUTED_VALUE"""),"Lainnya")</f>
        <v>Lainnya</v>
      </c>
      <c r="F44" s="14" t="str">
        <f>IFERROR(__xludf.DUMMYFUNCTION("""COMPUTED_VALUE"""),"Gagal")</f>
        <v>Gagal</v>
      </c>
      <c r="G44" s="25" t="str">
        <f>IFERROR(__xludf.DUMMYFUNCTION("""COMPUTED_VALUE"""),"custom ijen, djawatan")</f>
        <v>custom ijen, djawatan</v>
      </c>
      <c r="H44" s="16">
        <f>IFERROR(__xludf.DUMMYFUNCTION("""COMPUTED_VALUE"""),46100.0)</f>
        <v>46100</v>
      </c>
      <c r="I44" s="17">
        <f>IFERROR(__xludf.DUMMYFUNCTION("""COMPUTED_VALUE"""),3.0)</f>
        <v>3</v>
      </c>
      <c r="J44" s="54">
        <f>IFERROR(__xludf.DUMMYFUNCTION("""COMPUTED_VALUE"""),1575000.0)</f>
        <v>1575000</v>
      </c>
      <c r="K44" s="19" t="str">
        <f>IFERROR(__xludf.DUMMYFUNCTION("""COMPUTED_VALUE"""),"sudah FU tidak di balas, gagal")</f>
        <v>sudah FU tidak di balas, gagal</v>
      </c>
      <c r="L44" s="88" t="str">
        <f>IFERROR(__xludf.DUMMYFUNCTION("""COMPUTED_VALUE"""),"https://docs.google.com/document/d/1g8F-5jRG-81ZEi_8FZmNfwq6CxAYL0xvst5LxvWYgkw/edit?tab=t.0")</f>
        <v>https://docs.google.com/document/d/1g8F-5jRG-81ZEi_8FZmNfwq6CxAYL0xvst5LxvWYgkw/edit?tab=t.0</v>
      </c>
      <c r="M44" s="20"/>
      <c r="N44" s="20"/>
      <c r="O44" s="20"/>
      <c r="P44" s="20"/>
    </row>
    <row r="45">
      <c r="A45" s="21">
        <f>IFERROR(__xludf.DUMMYFUNCTION("""COMPUTED_VALUE"""),46057.0)</f>
        <v>46057</v>
      </c>
      <c r="B45" s="22" t="str">
        <f>IFERROR(__xludf.DUMMYFUNCTION("""COMPUTED_VALUE"""),"2602H004")</f>
        <v>2602H004</v>
      </c>
      <c r="C45" s="23" t="str">
        <f>IFERROR(__xludf.DUMMYFUNCTION("""COMPUTED_VALUE"""),"Dhesy aryanti")</f>
        <v>Dhesy aryanti</v>
      </c>
      <c r="D45" s="24" t="str">
        <f>IFERROR(__xludf.DUMMYFUNCTION("""COMPUTED_VALUE"""),"08128504020")</f>
        <v>08128504020</v>
      </c>
      <c r="E45" s="14" t="str">
        <f>IFERROR(__xludf.DUMMYFUNCTION("""COMPUTED_VALUE"""),"Lainnya")</f>
        <v>Lainnya</v>
      </c>
      <c r="F45" s="14" t="str">
        <f>IFERROR(__xludf.DUMMYFUNCTION("""COMPUTED_VALUE"""),"Qualified")</f>
        <v>Qualified</v>
      </c>
      <c r="G45" s="14" t="str">
        <f>IFERROR(__xludf.DUMMYFUNCTION("""COMPUTED_VALUE"""),"1 day trip")</f>
        <v>1 day trip</v>
      </c>
      <c r="H45" s="26">
        <f>IFERROR(__xludf.DUMMYFUNCTION("""COMPUTED_VALUE"""),46382.0)</f>
        <v>46382</v>
      </c>
      <c r="I45" s="27">
        <f>IFERROR(__xludf.DUMMYFUNCTION("""COMPUTED_VALUE"""),4.0)</f>
        <v>4</v>
      </c>
      <c r="J45" s="33">
        <f>IFERROR(__xludf.DUMMYFUNCTION("""COMPUTED_VALUE"""),1940000.0)</f>
        <v>1940000</v>
      </c>
      <c r="K45" s="30" t="str">
        <f>IFERROR(__xludf.DUMMYFUNCTION("""COMPUTED_VALUE"""),"FU 20 September, tunggu informasi selanjutnya")</f>
        <v>FU 20 September, tunggu informasi selanjutnya</v>
      </c>
      <c r="L45" s="23"/>
      <c r="M45" s="20"/>
      <c r="N45" s="20"/>
      <c r="O45" s="20"/>
      <c r="P45" s="20"/>
    </row>
    <row r="46">
      <c r="A46" s="11">
        <f>IFERROR(__xludf.DUMMYFUNCTION("""COMPUTED_VALUE"""),46058.0)</f>
        <v>46058</v>
      </c>
      <c r="B46" s="12" t="str">
        <f>IFERROR(__xludf.DUMMYFUNCTION("""COMPUTED_VALUE"""),"2602H005")</f>
        <v>2602H005</v>
      </c>
      <c r="C46" s="10" t="str">
        <f>IFERROR(__xludf.DUMMYFUNCTION("""COMPUTED_VALUE"""),"The ramadhan")</f>
        <v>The ramadhan</v>
      </c>
      <c r="D46" s="13" t="str">
        <f>IFERROR(__xludf.DUMMYFUNCTION("""COMPUTED_VALUE"""),"08159852356")</f>
        <v>08159852356</v>
      </c>
      <c r="E46" s="14" t="str">
        <f>IFERROR(__xludf.DUMMYFUNCTION("""COMPUTED_VALUE"""),"Lainnya")</f>
        <v>Lainnya</v>
      </c>
      <c r="F46" s="14" t="str">
        <f>IFERROR(__xludf.DUMMYFUNCTION("""COMPUTED_VALUE"""),"Gagal")</f>
        <v>Gagal</v>
      </c>
      <c r="G46" s="14"/>
      <c r="H46" s="16"/>
      <c r="I46" s="17"/>
      <c r="J46" s="18"/>
      <c r="K46" s="46" t="str">
        <f>IFERROR(__xludf.DUMMYFUNCTION("""COMPUTED_VALUE"""),"masih menyapa")</f>
        <v>masih menyapa</v>
      </c>
      <c r="L46" s="10"/>
      <c r="M46" s="20"/>
      <c r="N46" s="20"/>
      <c r="O46" s="20"/>
      <c r="P46" s="20"/>
    </row>
    <row r="47">
      <c r="A47" s="21">
        <f>IFERROR(__xludf.DUMMYFUNCTION("""COMPUTED_VALUE"""),46058.0)</f>
        <v>46058</v>
      </c>
      <c r="B47" s="22" t="str">
        <f>IFERROR(__xludf.DUMMYFUNCTION("""COMPUTED_VALUE"""),"2601H006")</f>
        <v>2601H006</v>
      </c>
      <c r="C47" s="23" t="str">
        <f>IFERROR(__xludf.DUMMYFUNCTION("""COMPUTED_VALUE"""),"Joanna Siti Fatimah ")</f>
        <v>Joanna Siti Fatimah </v>
      </c>
      <c r="D47" s="24" t="str">
        <f>IFERROR(__xludf.DUMMYFUNCTION("""COMPUTED_VALUE"""),"082208226449")</f>
        <v>082208226449</v>
      </c>
      <c r="E47" s="14" t="str">
        <f>IFERROR(__xludf.DUMMYFUNCTION("""COMPUTED_VALUE"""),"Lainnya")</f>
        <v>Lainnya</v>
      </c>
      <c r="F47" s="14" t="str">
        <f>IFERROR(__xludf.DUMMYFUNCTION("""COMPUTED_VALUE"""),"Gagal")</f>
        <v>Gagal</v>
      </c>
      <c r="G47" s="15" t="str">
        <f>IFERROR(__xludf.DUMMYFUNCTION("""COMPUTED_VALUE"""),"OT 3H2M")</f>
        <v>OT 3H2M</v>
      </c>
      <c r="H47" s="26"/>
      <c r="I47" s="27">
        <f>IFERROR(__xludf.DUMMYFUNCTION("""COMPUTED_VALUE"""),1.0)</f>
        <v>1</v>
      </c>
      <c r="J47" s="28">
        <f>IFERROR(__xludf.DUMMYFUNCTION("""COMPUTED_VALUE"""),1600000.0)</f>
        <v>1600000</v>
      </c>
      <c r="K47" s="30" t="str">
        <f>IFERROR(__xludf.DUMMYFUNCTION("""COMPUTED_VALUE"""),"tanya tanya OT, blm ada balasan lagi")</f>
        <v>tanya tanya OT, blm ada balasan lagi</v>
      </c>
      <c r="L47" s="49"/>
      <c r="M47" s="20"/>
      <c r="N47" s="20"/>
      <c r="O47" s="20"/>
      <c r="P47" s="20"/>
    </row>
    <row r="48">
      <c r="A48" s="11">
        <f>IFERROR(__xludf.DUMMYFUNCTION("""COMPUTED_VALUE"""),46058.0)</f>
        <v>46058</v>
      </c>
      <c r="B48" s="12" t="str">
        <f>IFERROR(__xludf.DUMMYFUNCTION("""COMPUTED_VALUE"""),"2602H007")</f>
        <v>2602H007</v>
      </c>
      <c r="C48" s="10" t="str">
        <f>IFERROR(__xludf.DUMMYFUNCTION("""COMPUTED_VALUE"""),"Agam Jibran")</f>
        <v>Agam Jibran</v>
      </c>
      <c r="D48" s="13" t="str">
        <f>IFERROR(__xludf.DUMMYFUNCTION("""COMPUTED_VALUE"""),"08118470707")</f>
        <v>08118470707</v>
      </c>
      <c r="E48" s="14" t="str">
        <f>IFERROR(__xludf.DUMMYFUNCTION("""COMPUTED_VALUE"""),"Website")</f>
        <v>Website</v>
      </c>
      <c r="F48" s="14" t="str">
        <f>IFERROR(__xludf.DUMMYFUNCTION("""COMPUTED_VALUE"""),"Gagal")</f>
        <v>Gagal</v>
      </c>
      <c r="G48" s="15"/>
      <c r="H48" s="16"/>
      <c r="I48" s="17">
        <f>IFERROR(__xludf.DUMMYFUNCTION("""COMPUTED_VALUE"""),8.0)</f>
        <v>8</v>
      </c>
      <c r="J48" s="18"/>
      <c r="K48" s="19" t="str">
        <f>IFERROR(__xludf.DUMMYFUNCTION("""COMPUTED_VALUE"""),"tamu ga jadi, karena ada konflik timur tengah")</f>
        <v>tamu ga jadi, karena ada konflik timur tengah</v>
      </c>
      <c r="L48" s="88" t="str">
        <f>IFERROR(__xludf.DUMMYFUNCTION("""COMPUTED_VALUE"""),"https://docs.google.com/document/d/1W3rnb1JAhlTDBkWwRXbMKuEXh5hJNF5RrAaHOtOKSzE/edit?usp=drivesdk")</f>
        <v>https://docs.google.com/document/d/1W3rnb1JAhlTDBkWwRXbMKuEXh5hJNF5RrAaHOtOKSzE/edit?usp=drivesdk</v>
      </c>
      <c r="M48" s="20"/>
      <c r="N48" s="20"/>
      <c r="O48" s="20"/>
      <c r="P48" s="20"/>
    </row>
    <row r="49">
      <c r="A49" s="21">
        <f>IFERROR(__xludf.DUMMYFUNCTION("""COMPUTED_VALUE"""),46058.0)</f>
        <v>46058</v>
      </c>
      <c r="B49" s="22" t="str">
        <f>IFERROR(__xludf.DUMMYFUNCTION("""COMPUTED_VALUE"""),"2602H008")</f>
        <v>2602H008</v>
      </c>
      <c r="C49" s="23" t="str">
        <f>IFERROR(__xludf.DUMMYFUNCTION("""COMPUTED_VALUE"""),"Hening pram")</f>
        <v>Hening pram</v>
      </c>
      <c r="D49" s="24" t="str">
        <f>IFERROR(__xludf.DUMMYFUNCTION("""COMPUTED_VALUE"""),"085649595000")</f>
        <v>085649595000</v>
      </c>
      <c r="E49" s="14" t="str">
        <f>IFERROR(__xludf.DUMMYFUNCTION("""COMPUTED_VALUE"""),"Instagram")</f>
        <v>Instagram</v>
      </c>
      <c r="F49" s="14" t="str">
        <f>IFERROR(__xludf.DUMMYFUNCTION("""COMPUTED_VALUE"""),"Gagal")</f>
        <v>Gagal</v>
      </c>
      <c r="G49" s="14" t="str">
        <f>IFERROR(__xludf.DUMMYFUNCTION("""COMPUTED_VALUE"""),"trip baluran")</f>
        <v>trip baluran</v>
      </c>
      <c r="H49" s="26"/>
      <c r="I49" s="27">
        <f>IFERROR(__xludf.DUMMYFUNCTION("""COMPUTED_VALUE"""),1.0)</f>
        <v>1</v>
      </c>
      <c r="J49" s="28">
        <f>IFERROR(__xludf.DUMMYFUNCTION("""COMPUTED_VALUE"""),710000.0)</f>
        <v>710000</v>
      </c>
      <c r="K49" s="30" t="str">
        <f>IFERROR(__xludf.DUMMYFUNCTION("""COMPUTED_VALUE"""),"tanya tanya, ragu cuaca")</f>
        <v>tanya tanya, ragu cuaca</v>
      </c>
      <c r="L49" s="23"/>
      <c r="M49" s="20"/>
      <c r="N49" s="20"/>
      <c r="O49" s="20"/>
      <c r="P49" s="20"/>
    </row>
    <row r="50">
      <c r="A50" s="11">
        <f>IFERROR(__xludf.DUMMYFUNCTION("""COMPUTED_VALUE"""),46058.0)</f>
        <v>46058</v>
      </c>
      <c r="B50" s="12" t="str">
        <f>IFERROR(__xludf.DUMMYFUNCTION("""COMPUTED_VALUE"""),"2602H009")</f>
        <v>2602H009</v>
      </c>
      <c r="C50" s="10" t="str">
        <f>IFERROR(__xludf.DUMMYFUNCTION("""COMPUTED_VALUE"""),"Aweng")</f>
        <v>Aweng</v>
      </c>
      <c r="D50" s="13" t="str">
        <f>IFERROR(__xludf.DUMMYFUNCTION("""COMPUTED_VALUE"""),"0817125048")</f>
        <v>0817125048</v>
      </c>
      <c r="E50" s="14" t="str">
        <f>IFERROR(__xludf.DUMMYFUNCTION("""COMPUTED_VALUE"""),"Website")</f>
        <v>Website</v>
      </c>
      <c r="F50" s="14" t="str">
        <f>IFERROR(__xludf.DUMMYFUNCTION("""COMPUTED_VALUE"""),"Prospek")</f>
        <v>Prospek</v>
      </c>
      <c r="G50" s="14" t="str">
        <f>IFERROR(__xludf.DUMMYFUNCTION("""COMPUTED_VALUE"""),"custom 2H1M")</f>
        <v>custom 2H1M</v>
      </c>
      <c r="H50" s="16"/>
      <c r="I50" s="17">
        <f>IFERROR(__xludf.DUMMYFUNCTION("""COMPUTED_VALUE"""),12.0)</f>
        <v>12</v>
      </c>
      <c r="J50" s="54">
        <f>IFERROR(__xludf.DUMMYFUNCTION("""COMPUTED_VALUE"""),1.2E7)</f>
        <v>12000000</v>
      </c>
      <c r="K50" s="19" t="str">
        <f>IFERROR(__xludf.DUMMYFUNCTION("""COMPUTED_VALUE"""),"FU kembali tgl 10 Juli")</f>
        <v>FU kembali tgl 10 Juli</v>
      </c>
      <c r="L50" s="76"/>
      <c r="M50" s="20"/>
      <c r="N50" s="20"/>
      <c r="O50" s="20"/>
      <c r="P50" s="20"/>
    </row>
    <row r="51">
      <c r="A51" s="21">
        <f>IFERROR(__xludf.DUMMYFUNCTION("""COMPUTED_VALUE"""),46058.0)</f>
        <v>46058</v>
      </c>
      <c r="B51" s="22" t="str">
        <f>IFERROR(__xludf.DUMMYFUNCTION("""COMPUTED_VALUE"""),"2602H010")</f>
        <v>2602H010</v>
      </c>
      <c r="C51" s="23" t="str">
        <f>IFERROR(__xludf.DUMMYFUNCTION("""COMPUTED_VALUE"""),"Yuki sagita")</f>
        <v>Yuki sagita</v>
      </c>
      <c r="D51" s="24" t="str">
        <f>IFERROR(__xludf.DUMMYFUNCTION("""COMPUTED_VALUE"""),"087893489357")</f>
        <v>087893489357</v>
      </c>
      <c r="E51" s="14" t="str">
        <f>IFERROR(__xludf.DUMMYFUNCTION("""COMPUTED_VALUE"""),"Website")</f>
        <v>Website</v>
      </c>
      <c r="F51" s="14" t="str">
        <f>IFERROR(__xludf.DUMMYFUNCTION("""COMPUTED_VALUE"""),"Gagal")</f>
        <v>Gagal</v>
      </c>
      <c r="G51" s="14" t="str">
        <f>IFERROR(__xludf.DUMMYFUNCTION("""COMPUTED_VALUE"""),"trip ijen")</f>
        <v>trip ijen</v>
      </c>
      <c r="H51" s="26"/>
      <c r="I51" s="27"/>
      <c r="J51" s="33"/>
      <c r="K51" s="36" t="str">
        <f>IFERROR(__xludf.DUMMYFUNCTION("""COMPUTED_VALUE"""),"tanya tanya, FU kembali 10 Mei ")</f>
        <v>tanya tanya, FU kembali 10 Mei </v>
      </c>
      <c r="L51" s="49"/>
      <c r="M51" s="20"/>
      <c r="N51" s="20"/>
      <c r="O51" s="20"/>
      <c r="P51" s="20"/>
    </row>
    <row r="52">
      <c r="A52" s="11">
        <f>IFERROR(__xludf.DUMMYFUNCTION("""COMPUTED_VALUE"""),46061.0)</f>
        <v>46061</v>
      </c>
      <c r="B52" s="12" t="str">
        <f>IFERROR(__xludf.DUMMYFUNCTION("""COMPUTED_VALUE"""),"2602H011")</f>
        <v>2602H011</v>
      </c>
      <c r="C52" s="10" t="str">
        <f>IFERROR(__xludf.DUMMYFUNCTION("""COMPUTED_VALUE"""),"Iren")</f>
        <v>Iren</v>
      </c>
      <c r="D52" s="13" t="str">
        <f>IFERROR(__xludf.DUMMYFUNCTION("""COMPUTED_VALUE"""),"081286754646")</f>
        <v>081286754646</v>
      </c>
      <c r="E52" s="14" t="str">
        <f>IFERROR(__xludf.DUMMYFUNCTION("""COMPUTED_VALUE"""),"Lainnya")</f>
        <v>Lainnya</v>
      </c>
      <c r="F52" s="14" t="str">
        <f>IFERROR(__xludf.DUMMYFUNCTION("""COMPUTED_VALUE"""),"Gagal")</f>
        <v>Gagal</v>
      </c>
      <c r="G52" s="14" t="str">
        <f>IFERROR(__xludf.DUMMYFUNCTION("""COMPUTED_VALUE"""),"paket custom 3H2M")</f>
        <v>paket custom 3H2M</v>
      </c>
      <c r="H52" s="16"/>
      <c r="I52" s="17"/>
      <c r="J52" s="18"/>
      <c r="K52" s="46" t="str">
        <f>IFERROR(__xludf.DUMMYFUNCTION("""COMPUTED_VALUE"""),"blm dapat kabar dari mertua")</f>
        <v>blm dapat kabar dari mertua</v>
      </c>
      <c r="L52" s="10"/>
      <c r="M52" s="20"/>
      <c r="N52" s="20"/>
      <c r="O52" s="20"/>
      <c r="P52" s="20"/>
    </row>
    <row r="53">
      <c r="A53" s="21">
        <f>IFERROR(__xludf.DUMMYFUNCTION("""COMPUTED_VALUE"""),46061.0)</f>
        <v>46061</v>
      </c>
      <c r="B53" s="22" t="str">
        <f>IFERROR(__xludf.DUMMYFUNCTION("""COMPUTED_VALUE"""),"2602H012")</f>
        <v>2602H012</v>
      </c>
      <c r="C53" s="23" t="str">
        <f>IFERROR(__xludf.DUMMYFUNCTION("""COMPUTED_VALUE"""),"Fera Wardani")</f>
        <v>Fera Wardani</v>
      </c>
      <c r="D53" s="24" t="str">
        <f>IFERROR(__xludf.DUMMYFUNCTION("""COMPUTED_VALUE"""),"087711258932")</f>
        <v>087711258932</v>
      </c>
      <c r="E53" s="14" t="str">
        <f>IFERROR(__xludf.DUMMYFUNCTION("""COMPUTED_VALUE"""),"Lainnya")</f>
        <v>Lainnya</v>
      </c>
      <c r="F53" s="14" t="str">
        <f>IFERROR(__xludf.DUMMYFUNCTION("""COMPUTED_VALUE"""),"Gagal")</f>
        <v>Gagal</v>
      </c>
      <c r="G53" s="15" t="str">
        <f>IFERROR(__xludf.DUMMYFUNCTION("""COMPUTED_VALUE"""),"paket custom 2H1M")</f>
        <v>paket custom 2H1M</v>
      </c>
      <c r="H53" s="26"/>
      <c r="I53" s="27">
        <f>IFERROR(__xludf.DUMMYFUNCTION("""COMPUTED_VALUE"""),3.0)</f>
        <v>3</v>
      </c>
      <c r="J53" s="28"/>
      <c r="K53" s="36" t="str">
        <f>IFERROR(__xludf.DUMMYFUNCTION("""COMPUTED_VALUE"""),"akan dikabarin lagi")</f>
        <v>akan dikabarin lagi</v>
      </c>
      <c r="L53" s="49"/>
      <c r="M53" s="20"/>
      <c r="N53" s="20"/>
      <c r="O53" s="20"/>
      <c r="P53" s="20"/>
    </row>
    <row r="54">
      <c r="A54" s="11">
        <f>IFERROR(__xludf.DUMMYFUNCTION("""COMPUTED_VALUE"""),46062.0)</f>
        <v>46062</v>
      </c>
      <c r="B54" s="12" t="str">
        <f>IFERROR(__xludf.DUMMYFUNCTION("""COMPUTED_VALUE"""),"2602H013")</f>
        <v>2602H013</v>
      </c>
      <c r="C54" s="10" t="str">
        <f>IFERROR(__xludf.DUMMYFUNCTION("""COMPUTED_VALUE"""),"Risda")</f>
        <v>Risda</v>
      </c>
      <c r="D54" s="13" t="str">
        <f>IFERROR(__xludf.DUMMYFUNCTION("""COMPUTED_VALUE"""),"08895370735")</f>
        <v>08895370735</v>
      </c>
      <c r="E54" s="14" t="str">
        <f>IFERROR(__xludf.DUMMYFUNCTION("""COMPUTED_VALUE"""),"Lainnya")</f>
        <v>Lainnya</v>
      </c>
      <c r="F54" s="14" t="str">
        <f>IFERROR(__xludf.DUMMYFUNCTION("""COMPUTED_VALUE"""),"Gagal")</f>
        <v>Gagal</v>
      </c>
      <c r="G54" s="15" t="str">
        <f>IFERROR(__xludf.DUMMYFUNCTION("""COMPUTED_VALUE"""),"OT custom 2H1M")</f>
        <v>OT custom 2H1M</v>
      </c>
      <c r="H54" s="16"/>
      <c r="I54" s="17"/>
      <c r="J54" s="18"/>
      <c r="K54" s="19" t="str">
        <f>IFERROR(__xludf.DUMMYFUNCTION("""COMPUTED_VALUE"""),"pekerjaan blm bisa ditinggal")</f>
        <v>pekerjaan blm bisa ditinggal</v>
      </c>
      <c r="L54" s="76"/>
      <c r="M54" s="20"/>
      <c r="N54" s="20"/>
      <c r="O54" s="20"/>
      <c r="P54" s="20"/>
    </row>
    <row r="55">
      <c r="A55" s="21">
        <f>IFERROR(__xludf.DUMMYFUNCTION("""COMPUTED_VALUE"""),46062.0)</f>
        <v>46062</v>
      </c>
      <c r="B55" s="22" t="str">
        <f>IFERROR(__xludf.DUMMYFUNCTION("""COMPUTED_VALUE"""),"2602H014")</f>
        <v>2602H014</v>
      </c>
      <c r="C55" s="23" t="str">
        <f>IFERROR(__xludf.DUMMYFUNCTION("""COMPUTED_VALUE"""),"Bulan - Famouz Boutique")</f>
        <v>Bulan - Famouz Boutique</v>
      </c>
      <c r="D55" s="24" t="str">
        <f>IFERROR(__xludf.DUMMYFUNCTION("""COMPUTED_VALUE"""),"081901091304")</f>
        <v>081901091304</v>
      </c>
      <c r="E55" s="14" t="str">
        <f>IFERROR(__xludf.DUMMYFUNCTION("""COMPUTED_VALUE"""),"Lainnya")</f>
        <v>Lainnya</v>
      </c>
      <c r="F55" s="14" t="str">
        <f>IFERROR(__xludf.DUMMYFUNCTION("""COMPUTED_VALUE"""),"Gagal")</f>
        <v>Gagal</v>
      </c>
      <c r="G55" s="15" t="str">
        <f>IFERROR(__xludf.DUMMYFUNCTION("""COMPUTED_VALUE"""),"trip ijen")</f>
        <v>trip ijen</v>
      </c>
      <c r="H55" s="26"/>
      <c r="I55" s="27">
        <f>IFERROR(__xludf.DUMMYFUNCTION("""COMPUTED_VALUE"""),2.0)</f>
        <v>2</v>
      </c>
      <c r="J55" s="28"/>
      <c r="K55" s="30" t="str">
        <f>IFERROR(__xludf.DUMMYFUNCTION("""COMPUTED_VALUE"""),"blm balas lagi, sudah FU ")</f>
        <v>blm balas lagi, sudah FU </v>
      </c>
      <c r="L55" s="23"/>
      <c r="M55" s="20"/>
      <c r="N55" s="20"/>
      <c r="O55" s="20"/>
      <c r="P55" s="20"/>
    </row>
    <row r="56">
      <c r="A56" s="11">
        <f>IFERROR(__xludf.DUMMYFUNCTION("""COMPUTED_VALUE"""),46062.0)</f>
        <v>46062</v>
      </c>
      <c r="B56" s="12" t="str">
        <f>IFERROR(__xludf.DUMMYFUNCTION("""COMPUTED_VALUE"""),"2602H015")</f>
        <v>2602H015</v>
      </c>
      <c r="C56" s="10" t="str">
        <f>IFERROR(__xludf.DUMMYFUNCTION("""COMPUTED_VALUE"""),"Inneke Mamina")</f>
        <v>Inneke Mamina</v>
      </c>
      <c r="D56" s="13" t="str">
        <f>IFERROR(__xludf.DUMMYFUNCTION("""COMPUTED_VALUE"""),"081342910610")</f>
        <v>081342910610</v>
      </c>
      <c r="E56" s="14" t="str">
        <f>IFERROR(__xludf.DUMMYFUNCTION("""COMPUTED_VALUE"""),"Lainnya")</f>
        <v>Lainnya</v>
      </c>
      <c r="F56" s="14" t="str">
        <f>IFERROR(__xludf.DUMMYFUNCTION("""COMPUTED_VALUE"""),"Gagal")</f>
        <v>Gagal</v>
      </c>
      <c r="G56" s="25" t="str">
        <f>IFERROR(__xludf.DUMMYFUNCTION("""COMPUTED_VALUE"""),"2H1M")</f>
        <v>2H1M</v>
      </c>
      <c r="H56" s="16">
        <f>IFERROR(__xludf.DUMMYFUNCTION("""COMPUTED_VALUE"""),46102.0)</f>
        <v>46102</v>
      </c>
      <c r="I56" s="80"/>
      <c r="J56" s="18"/>
      <c r="K56" s="46" t="str">
        <f>IFERROR(__xludf.DUMMYFUNCTION("""COMPUTED_VALUE"""),"berubah rute, glamping daerah semeru  ")</f>
        <v>berubah rute, glamping daerah semeru  </v>
      </c>
      <c r="L56" s="10"/>
      <c r="M56" s="20"/>
      <c r="N56" s="20"/>
      <c r="O56" s="20"/>
      <c r="P56" s="20"/>
    </row>
    <row r="57">
      <c r="A57" s="21">
        <f>IFERROR(__xludf.DUMMYFUNCTION("""COMPUTED_VALUE"""),46065.0)</f>
        <v>46065</v>
      </c>
      <c r="B57" s="22" t="str">
        <f>IFERROR(__xludf.DUMMYFUNCTION("""COMPUTED_VALUE"""),"2602H016")</f>
        <v>2602H016</v>
      </c>
      <c r="C57" s="23" t="str">
        <f>IFERROR(__xludf.DUMMYFUNCTION("""COMPUTED_VALUE"""),"Resi Milawati ")</f>
        <v>Resi Milawati </v>
      </c>
      <c r="D57" s="24" t="str">
        <f>IFERROR(__xludf.DUMMYFUNCTION("""COMPUTED_VALUE"""),"085284074321")</f>
        <v>085284074321</v>
      </c>
      <c r="E57" s="14" t="str">
        <f>IFERROR(__xludf.DUMMYFUNCTION("""COMPUTED_VALUE"""),"Lainnya")</f>
        <v>Lainnya</v>
      </c>
      <c r="F57" s="14" t="str">
        <f>IFERROR(__xludf.DUMMYFUNCTION("""COMPUTED_VALUE"""),"Qualified")</f>
        <v>Qualified</v>
      </c>
      <c r="G57" s="15" t="str">
        <f>IFERROR(__xludf.DUMMYFUNCTION("""COMPUTED_VALUE"""),"3H2M")</f>
        <v>3H2M</v>
      </c>
      <c r="H57" s="26"/>
      <c r="I57" s="27">
        <f>IFERROR(__xludf.DUMMYFUNCTION("""COMPUTED_VALUE"""),2.0)</f>
        <v>2</v>
      </c>
      <c r="J57" s="33">
        <f>IFERROR(__xludf.DUMMYFUNCTION("""COMPUTED_VALUE"""),6270000.0)</f>
        <v>6270000</v>
      </c>
      <c r="K57" s="36" t="str">
        <f>IFERROR(__xludf.DUMMYFUNCTION("""COMPUTED_VALUE"""),"FU tgl 2 juli. nunggu cuti")</f>
        <v>FU tgl 2 juli. nunggu cuti</v>
      </c>
      <c r="L57" s="49"/>
      <c r="M57" s="20"/>
      <c r="N57" s="20"/>
      <c r="O57" s="20"/>
      <c r="P57" s="20"/>
    </row>
    <row r="58">
      <c r="A58" s="11">
        <f>IFERROR(__xludf.DUMMYFUNCTION("""COMPUTED_VALUE"""),46065.0)</f>
        <v>46065</v>
      </c>
      <c r="B58" s="12" t="str">
        <f>IFERROR(__xludf.DUMMYFUNCTION("""COMPUTED_VALUE"""),"2602H017")</f>
        <v>2602H017</v>
      </c>
      <c r="C58" s="10" t="str">
        <f>IFERROR(__xludf.DUMMYFUNCTION("""COMPUTED_VALUE"""),"Sisca")</f>
        <v>Sisca</v>
      </c>
      <c r="D58" s="13" t="str">
        <f>IFERROR(__xludf.DUMMYFUNCTION("""COMPUTED_VALUE"""),"0816900261")</f>
        <v>0816900261</v>
      </c>
      <c r="E58" s="14" t="str">
        <f>IFERROR(__xludf.DUMMYFUNCTION("""COMPUTED_VALUE"""),"Lainnya")</f>
        <v>Lainnya</v>
      </c>
      <c r="F58" s="14" t="str">
        <f>IFERROR(__xludf.DUMMYFUNCTION("""COMPUTED_VALUE"""),"Closing")</f>
        <v>Closing</v>
      </c>
      <c r="G58" s="15" t="str">
        <f>IFERROR(__xludf.DUMMYFUNCTION("""COMPUTED_VALUE"""),"trip ijen ")</f>
        <v>trip ijen </v>
      </c>
      <c r="H58" s="16">
        <f>IFERROR(__xludf.DUMMYFUNCTION("""COMPUTED_VALUE"""),46151.0)</f>
        <v>46151</v>
      </c>
      <c r="I58" s="17">
        <f>IFERROR(__xludf.DUMMYFUNCTION("""COMPUTED_VALUE"""),5.0)</f>
        <v>5</v>
      </c>
      <c r="J58" s="18">
        <f>IFERROR(__xludf.DUMMYFUNCTION("""COMPUTED_VALUE"""),1.222E7)</f>
        <v>12220000</v>
      </c>
      <c r="K58" s="19" t="str">
        <f>IFERROR(__xludf.DUMMYFUNCTION("""COMPUTED_VALUE"""),"alhamdulillah order")</f>
        <v>alhamdulillah order</v>
      </c>
      <c r="L58" s="76"/>
      <c r="M58" s="20"/>
      <c r="N58" s="20"/>
      <c r="O58" s="20"/>
      <c r="P58" s="20"/>
    </row>
    <row r="59">
      <c r="A59" s="21">
        <f>IFERROR(__xludf.DUMMYFUNCTION("""COMPUTED_VALUE"""),46067.0)</f>
        <v>46067</v>
      </c>
      <c r="B59" s="22" t="str">
        <f>IFERROR(__xludf.DUMMYFUNCTION("""COMPUTED_VALUE"""),"2602H018")</f>
        <v>2602H018</v>
      </c>
      <c r="C59" s="23" t="str">
        <f>IFERROR(__xludf.DUMMYFUNCTION("""COMPUTED_VALUE"""),"Evi Rinawati ")</f>
        <v>Evi Rinawati </v>
      </c>
      <c r="D59" s="24" t="str">
        <f>IFERROR(__xludf.DUMMYFUNCTION("""COMPUTED_VALUE"""),"082123333559")</f>
        <v>082123333559</v>
      </c>
      <c r="E59" s="14" t="str">
        <f>IFERROR(__xludf.DUMMYFUNCTION("""COMPUTED_VALUE"""),"Website")</f>
        <v>Website</v>
      </c>
      <c r="F59" s="14" t="str">
        <f>IFERROR(__xludf.DUMMYFUNCTION("""COMPUTED_VALUE"""),"Gagal")</f>
        <v>Gagal</v>
      </c>
      <c r="G59" s="14" t="str">
        <f>IFERROR(__xludf.DUMMYFUNCTION("""COMPUTED_VALUE"""),"1 day trip D,AP,PM")</f>
        <v>1 day trip D,AP,PM</v>
      </c>
      <c r="H59" s="26"/>
      <c r="I59" s="27">
        <f>IFERROR(__xludf.DUMMYFUNCTION("""COMPUTED_VALUE"""),3.0)</f>
        <v>3</v>
      </c>
      <c r="J59" s="28"/>
      <c r="K59" s="30" t="str">
        <f>IFERROR(__xludf.DUMMYFUNCTION("""COMPUTED_VALUE"""),"tanya tanya, suda FU 16 feb")</f>
        <v>tanya tanya, suda FU 16 feb</v>
      </c>
      <c r="L59" s="23"/>
      <c r="M59" s="20"/>
      <c r="N59" s="20"/>
      <c r="O59" s="20"/>
      <c r="P59" s="20"/>
    </row>
    <row r="60">
      <c r="A60" s="11">
        <f>IFERROR(__xludf.DUMMYFUNCTION("""COMPUTED_VALUE"""),46065.0)</f>
        <v>46065</v>
      </c>
      <c r="B60" s="12" t="str">
        <f>IFERROR(__xludf.DUMMYFUNCTION("""COMPUTED_VALUE"""),"2602H019")</f>
        <v>2602H019</v>
      </c>
      <c r="C60" s="10" t="str">
        <f>IFERROR(__xludf.DUMMYFUNCTION("""COMPUTED_VALUE"""),"Adam ")</f>
        <v>Adam </v>
      </c>
      <c r="D60" s="13" t="str">
        <f>IFERROR(__xludf.DUMMYFUNCTION("""COMPUTED_VALUE"""),"082299137858")</f>
        <v>082299137858</v>
      </c>
      <c r="E60" s="14" t="str">
        <f>IFERROR(__xludf.DUMMYFUNCTION("""COMPUTED_VALUE"""),"Lainnya")</f>
        <v>Lainnya</v>
      </c>
      <c r="F60" s="14" t="str">
        <f>IFERROR(__xludf.DUMMYFUNCTION("""COMPUTED_VALUE"""),"Gagal")</f>
        <v>Gagal</v>
      </c>
      <c r="G60" s="25" t="str">
        <f>IFERROR(__xludf.DUMMYFUNCTION("""COMPUTED_VALUE"""),"custom 2H1M")</f>
        <v>custom 2H1M</v>
      </c>
      <c r="H60" s="16"/>
      <c r="I60" s="17"/>
      <c r="J60" s="18"/>
      <c r="K60" s="19" t="str">
        <f>IFERROR(__xludf.DUMMYFUNCTION("""COMPUTED_VALUE"""),"sdh fu, tidak ada jawaban, gagal")</f>
        <v>sdh fu, tidak ada jawaban, gagal</v>
      </c>
      <c r="L60" s="88" t="str">
        <f>IFERROR(__xludf.DUMMYFUNCTION("""COMPUTED_VALUE"""),"https://docs.google.com/document/d/1MJEHnwMNb0H-kPToIi46avFMNLvHY1Oplit2i7-CjAY/edit?usp=drivesdk")</f>
        <v>https://docs.google.com/document/d/1MJEHnwMNb0H-kPToIi46avFMNLvHY1Oplit2i7-CjAY/edit?usp=drivesdk</v>
      </c>
      <c r="M60" s="20"/>
      <c r="N60" s="20"/>
      <c r="O60" s="20"/>
      <c r="P60" s="20"/>
    </row>
    <row r="61">
      <c r="A61" s="21">
        <f>IFERROR(__xludf.DUMMYFUNCTION("""COMPUTED_VALUE"""),46067.0)</f>
        <v>46067</v>
      </c>
      <c r="B61" s="22" t="str">
        <f>IFERROR(__xludf.DUMMYFUNCTION("""COMPUTED_VALUE"""),"2602H020 ")</f>
        <v>2602H020 </v>
      </c>
      <c r="C61" s="23" t="str">
        <f>IFERROR(__xludf.DUMMYFUNCTION("""COMPUTED_VALUE"""),"Santi")</f>
        <v>Santi</v>
      </c>
      <c r="D61" s="24" t="str">
        <f>IFERROR(__xludf.DUMMYFUNCTION("""COMPUTED_VALUE"""),"08159439990")</f>
        <v>08159439990</v>
      </c>
      <c r="E61" s="14" t="str">
        <f>IFERROR(__xludf.DUMMYFUNCTION("""COMPUTED_VALUE"""),"Instagram")</f>
        <v>Instagram</v>
      </c>
      <c r="F61" s="14" t="str">
        <f>IFERROR(__xludf.DUMMYFUNCTION("""COMPUTED_VALUE"""),"Closing")</f>
        <v>Closing</v>
      </c>
      <c r="G61" s="14" t="str">
        <f>IFERROR(__xludf.DUMMYFUNCTION("""COMPUTED_VALUE"""),"trip 1 day M,T,B")</f>
        <v>trip 1 day M,T,B</v>
      </c>
      <c r="H61" s="26">
        <f>IFERROR(__xludf.DUMMYFUNCTION("""COMPUTED_VALUE"""),46068.0)</f>
        <v>46068</v>
      </c>
      <c r="I61" s="27">
        <f>IFERROR(__xludf.DUMMYFUNCTION("""COMPUTED_VALUE"""),2.0)</f>
        <v>2</v>
      </c>
      <c r="J61" s="28">
        <f>IFERROR(__xludf.DUMMYFUNCTION("""COMPUTED_VALUE"""),3070000.0)</f>
        <v>3070000</v>
      </c>
      <c r="K61" s="30" t="str">
        <f>IFERROR(__xludf.DUMMYFUNCTION("""COMPUTED_VALUE"""),"alhamdulillah order")</f>
        <v>alhamdulillah order</v>
      </c>
      <c r="L61" s="23"/>
      <c r="M61" s="20"/>
      <c r="N61" s="20"/>
      <c r="O61" s="20"/>
      <c r="P61" s="20"/>
    </row>
    <row r="62">
      <c r="A62" s="11">
        <f>IFERROR(__xludf.DUMMYFUNCTION("""COMPUTED_VALUE"""),46068.0)</f>
        <v>46068</v>
      </c>
      <c r="B62" s="12" t="str">
        <f>IFERROR(__xludf.DUMMYFUNCTION("""COMPUTED_VALUE"""),"2602H021")</f>
        <v>2602H021</v>
      </c>
      <c r="C62" s="10" t="str">
        <f>IFERROR(__xludf.DUMMYFUNCTION("""COMPUTED_VALUE"""),"Endang ")</f>
        <v>Endang </v>
      </c>
      <c r="D62" s="13" t="str">
        <f>IFERROR(__xludf.DUMMYFUNCTION("""COMPUTED_VALUE"""),"081314667994")</f>
        <v>081314667994</v>
      </c>
      <c r="E62" s="14" t="str">
        <f>IFERROR(__xludf.DUMMYFUNCTION("""COMPUTED_VALUE"""),"Lainnya")</f>
        <v>Lainnya</v>
      </c>
      <c r="F62" s="14" t="str">
        <f>IFERROR(__xludf.DUMMYFUNCTION("""COMPUTED_VALUE"""),"Gagal")</f>
        <v>Gagal</v>
      </c>
      <c r="G62" s="14" t="str">
        <f>IFERROR(__xludf.DUMMYFUNCTION("""COMPUTED_VALUE"""),"custom 5H4M")</f>
        <v>custom 5H4M</v>
      </c>
      <c r="H62" s="16"/>
      <c r="I62" s="17">
        <f>IFERROR(__xludf.DUMMYFUNCTION("""COMPUTED_VALUE"""),5.0)</f>
        <v>5</v>
      </c>
      <c r="J62" s="54">
        <f>IFERROR(__xludf.DUMMYFUNCTION("""COMPUTED_VALUE"""),1.8175E7)</f>
        <v>18175000</v>
      </c>
      <c r="K62" s="46" t="str">
        <f>IFERROR(__xludf.DUMMYFUNCTION("""COMPUTED_VALUE"""),"gajadi ke Banyuwangi ")</f>
        <v>gajadi ke Banyuwangi </v>
      </c>
      <c r="L62" s="10"/>
      <c r="M62" s="20"/>
      <c r="N62" s="20"/>
      <c r="O62" s="20"/>
      <c r="P62" s="20"/>
    </row>
    <row r="63">
      <c r="A63" s="21">
        <f>IFERROR(__xludf.DUMMYFUNCTION("""COMPUTED_VALUE"""),46068.0)</f>
        <v>46068</v>
      </c>
      <c r="B63" s="22" t="str">
        <f>IFERROR(__xludf.DUMMYFUNCTION("""COMPUTED_VALUE"""),"2602H022")</f>
        <v>2602H022</v>
      </c>
      <c r="C63" s="23" t="str">
        <f>IFERROR(__xludf.DUMMYFUNCTION("""COMPUTED_VALUE"""),"Endah")</f>
        <v>Endah</v>
      </c>
      <c r="D63" s="24" t="str">
        <f>IFERROR(__xludf.DUMMYFUNCTION("""COMPUTED_VALUE"""),"08119990526")</f>
        <v>08119990526</v>
      </c>
      <c r="E63" s="14" t="str">
        <f>IFERROR(__xludf.DUMMYFUNCTION("""COMPUTED_VALUE"""),"Lainnya")</f>
        <v>Lainnya</v>
      </c>
      <c r="F63" s="14" t="str">
        <f>IFERROR(__xludf.DUMMYFUNCTION("""COMPUTED_VALUE"""),"Gagal")</f>
        <v>Gagal</v>
      </c>
      <c r="G63" s="15" t="str">
        <f>IFERROR(__xludf.DUMMYFUNCTION("""COMPUTED_VALUE"""),"custom 5H4M")</f>
        <v>custom 5H4M</v>
      </c>
      <c r="H63" s="83"/>
      <c r="I63" s="27">
        <f>IFERROR(__xludf.DUMMYFUNCTION("""COMPUTED_VALUE"""),4.0)</f>
        <v>4</v>
      </c>
      <c r="J63" s="33">
        <f>IFERROR(__xludf.DUMMYFUNCTION("""COMPUTED_VALUE"""),1.306E7)</f>
        <v>13060000</v>
      </c>
      <c r="K63" s="36" t="str">
        <f>IFERROR(__xludf.DUMMYFUNCTION("""COMPUTED_VALUE"""),"belum jadi ke bwi, next time")</f>
        <v>belum jadi ke bwi, next time</v>
      </c>
      <c r="L63" s="49"/>
      <c r="M63" s="20"/>
      <c r="N63" s="20"/>
      <c r="O63" s="20"/>
      <c r="P63" s="20"/>
    </row>
    <row r="64">
      <c r="A64" s="11">
        <f>IFERROR(__xludf.DUMMYFUNCTION("""COMPUTED_VALUE"""),46069.0)</f>
        <v>46069</v>
      </c>
      <c r="B64" s="12" t="str">
        <f>IFERROR(__xludf.DUMMYFUNCTION("""COMPUTED_VALUE"""),"2602H023")</f>
        <v>2602H023</v>
      </c>
      <c r="C64" s="10" t="str">
        <f>IFERROR(__xludf.DUMMYFUNCTION("""COMPUTED_VALUE"""),"Indri")</f>
        <v>Indri</v>
      </c>
      <c r="D64" s="13" t="str">
        <f>IFERROR(__xludf.DUMMYFUNCTION("""COMPUTED_VALUE"""),"08151655501")</f>
        <v>08151655501</v>
      </c>
      <c r="E64" s="14" t="str">
        <f>IFERROR(__xludf.DUMMYFUNCTION("""COMPUTED_VALUE"""),"Lainnya")</f>
        <v>Lainnya</v>
      </c>
      <c r="F64" s="14" t="str">
        <f>IFERROR(__xludf.DUMMYFUNCTION("""COMPUTED_VALUE"""),"Gagal")</f>
        <v>Gagal</v>
      </c>
      <c r="G64" s="14" t="str">
        <f>IFERROR(__xludf.DUMMYFUNCTION("""COMPUTED_VALUE"""),"custom 3H2M")</f>
        <v>custom 3H2M</v>
      </c>
      <c r="H64" s="16"/>
      <c r="I64" s="17">
        <f>IFERROR(__xludf.DUMMYFUNCTION("""COMPUTED_VALUE"""),2.0)</f>
        <v>2</v>
      </c>
      <c r="J64" s="18">
        <f>IFERROR(__xludf.DUMMYFUNCTION("""COMPUTED_VALUE"""),7116000.0)</f>
        <v>7116000</v>
      </c>
      <c r="K64" s="19" t="str">
        <f>IFERROR(__xludf.DUMMYFUNCTION("""COMPUTED_VALUE"""),"tidak jadi")</f>
        <v>tidak jadi</v>
      </c>
      <c r="L64" s="76"/>
      <c r="M64" s="20"/>
      <c r="N64" s="20"/>
      <c r="O64" s="20"/>
      <c r="P64" s="20"/>
    </row>
    <row r="65">
      <c r="A65" s="21">
        <f>IFERROR(__xludf.DUMMYFUNCTION("""COMPUTED_VALUE"""),46070.0)</f>
        <v>46070</v>
      </c>
      <c r="B65" s="22" t="str">
        <f>IFERROR(__xludf.DUMMYFUNCTION("""COMPUTED_VALUE"""),"2602H024")</f>
        <v>2602H024</v>
      </c>
      <c r="C65" s="23" t="str">
        <f>IFERROR(__xludf.DUMMYFUNCTION("""COMPUTED_VALUE"""),"Retna")</f>
        <v>Retna</v>
      </c>
      <c r="D65" s="24" t="str">
        <f>IFERROR(__xludf.DUMMYFUNCTION("""COMPUTED_VALUE"""),"081210704720")</f>
        <v>081210704720</v>
      </c>
      <c r="E65" s="14" t="str">
        <f>IFERROR(__xludf.DUMMYFUNCTION("""COMPUTED_VALUE"""),"Website")</f>
        <v>Website</v>
      </c>
      <c r="F65" s="14" t="str">
        <f>IFERROR(__xludf.DUMMYFUNCTION("""COMPUTED_VALUE"""),"Gagal")</f>
        <v>Gagal</v>
      </c>
      <c r="G65" s="15" t="str">
        <f>IFERROR(__xludf.DUMMYFUNCTION("""COMPUTED_VALUE"""),"3H2M")</f>
        <v>3H2M</v>
      </c>
      <c r="H65" s="26">
        <f>IFERROR(__xludf.DUMMYFUNCTION("""COMPUTED_VALUE"""),46101.0)</f>
        <v>46101</v>
      </c>
      <c r="I65" s="27">
        <f>IFERROR(__xludf.DUMMYFUNCTION("""COMPUTED_VALUE"""),5.0)</f>
        <v>5</v>
      </c>
      <c r="J65" s="33">
        <f>IFERROR(__xludf.DUMMYFUNCTION("""COMPUTED_VALUE"""),7000000.0)</f>
        <v>7000000</v>
      </c>
      <c r="K65" s="36" t="str">
        <f>IFERROR(__xludf.DUMMYFUNCTION("""COMPUTED_VALUE"""),"gajadi full booked")</f>
        <v>gajadi full booked</v>
      </c>
      <c r="L65" s="23"/>
      <c r="M65" s="20"/>
      <c r="N65" s="20"/>
      <c r="O65" s="20"/>
      <c r="P65" s="20"/>
    </row>
    <row r="66">
      <c r="A66" s="11">
        <f>IFERROR(__xludf.DUMMYFUNCTION("""COMPUTED_VALUE"""),46071.0)</f>
        <v>46071</v>
      </c>
      <c r="B66" s="12" t="str">
        <f>IFERROR(__xludf.DUMMYFUNCTION("""COMPUTED_VALUE"""),"2602H025")</f>
        <v>2602H025</v>
      </c>
      <c r="C66" s="10" t="str">
        <f>IFERROR(__xludf.DUMMYFUNCTION("""COMPUTED_VALUE"""),"Tanpa nama 3")</f>
        <v>Tanpa nama 3</v>
      </c>
      <c r="D66" s="13" t="str">
        <f>IFERROR(__xludf.DUMMYFUNCTION("""COMPUTED_VALUE"""),"087789300092")</f>
        <v>087789300092</v>
      </c>
      <c r="E66" s="14" t="str">
        <f>IFERROR(__xludf.DUMMYFUNCTION("""COMPUTED_VALUE"""),"Lainnya")</f>
        <v>Lainnya</v>
      </c>
      <c r="F66" s="14" t="str">
        <f>IFERROR(__xludf.DUMMYFUNCTION("""COMPUTED_VALUE"""),"Gagal")</f>
        <v>Gagal</v>
      </c>
      <c r="G66" s="14"/>
      <c r="H66" s="16"/>
      <c r="I66" s="17"/>
      <c r="J66" s="18"/>
      <c r="K66" s="19" t="str">
        <f>IFERROR(__xludf.DUMMYFUNCTION("""COMPUTED_VALUE"""),"menyapa saja")</f>
        <v>menyapa saja</v>
      </c>
      <c r="L66" s="76"/>
      <c r="M66" s="20"/>
      <c r="N66" s="20"/>
      <c r="O66" s="20"/>
      <c r="P66" s="20"/>
    </row>
    <row r="67">
      <c r="A67" s="21">
        <f>IFERROR(__xludf.DUMMYFUNCTION("""COMPUTED_VALUE"""),46071.0)</f>
        <v>46071</v>
      </c>
      <c r="B67" s="22" t="str">
        <f>IFERROR(__xludf.DUMMYFUNCTION("""COMPUTED_VALUE"""),"2602H026")</f>
        <v>2602H026</v>
      </c>
      <c r="C67" s="23" t="str">
        <f>IFERROR(__xludf.DUMMYFUNCTION("""COMPUTED_VALUE"""),"Manda Alvita")</f>
        <v>Manda Alvita</v>
      </c>
      <c r="D67" s="24" t="str">
        <f>IFERROR(__xludf.DUMMYFUNCTION("""COMPUTED_VALUE"""),"081901716202")</f>
        <v>081901716202</v>
      </c>
      <c r="E67" s="14" t="str">
        <f>IFERROR(__xludf.DUMMYFUNCTION("""COMPUTED_VALUE"""),"Website")</f>
        <v>Website</v>
      </c>
      <c r="F67" s="14" t="str">
        <f>IFERROR(__xludf.DUMMYFUNCTION("""COMPUTED_VALUE"""),"Closing")</f>
        <v>Closing</v>
      </c>
      <c r="G67" s="14" t="str">
        <f>IFERROR(__xludf.DUMMYFUNCTION("""COMPUTED_VALUE"""),"custom 3H2M")</f>
        <v>custom 3H2M</v>
      </c>
      <c r="H67" s="26"/>
      <c r="I67" s="27">
        <f>IFERROR(__xludf.DUMMYFUNCTION("""COMPUTED_VALUE"""),3.0)</f>
        <v>3</v>
      </c>
      <c r="J67" s="28">
        <f>IFERROR(__xludf.DUMMYFUNCTION("""COMPUTED_VALUE"""),5682000.0)</f>
        <v>5682000</v>
      </c>
      <c r="K67" s="36" t="str">
        <f>IFERROR(__xludf.DUMMYFUNCTION("""COMPUTED_VALUE"""),"alhamdulillah order :)")</f>
        <v>alhamdulillah order :)</v>
      </c>
      <c r="L67" s="81" t="str">
        <f>IFERROR(__xludf.DUMMYFUNCTION("""COMPUTED_VALUE"""),"https://docs.google.com/document/d/1YHPS3pGq9AnCPsb93QvxDKVBKql_c2scIJb52YU_7x8/edit?usp=drivesdk")</f>
        <v>https://docs.google.com/document/d/1YHPS3pGq9AnCPsb93QvxDKVBKql_c2scIJb52YU_7x8/edit?usp=drivesdk</v>
      </c>
      <c r="M67" s="20"/>
      <c r="N67" s="20"/>
      <c r="O67" s="20"/>
      <c r="P67" s="20"/>
    </row>
    <row r="68">
      <c r="A68" s="11">
        <f>IFERROR(__xludf.DUMMYFUNCTION("""COMPUTED_VALUE"""),46072.0)</f>
        <v>46072</v>
      </c>
      <c r="B68" s="12" t="str">
        <f>IFERROR(__xludf.DUMMYFUNCTION("""COMPUTED_VALUE"""),"2602H027")</f>
        <v>2602H027</v>
      </c>
      <c r="C68" s="10" t="str">
        <f>IFERROR(__xludf.DUMMYFUNCTION("""COMPUTED_VALUE"""),"Deti")</f>
        <v>Deti</v>
      </c>
      <c r="D68" s="13" t="str">
        <f>IFERROR(__xludf.DUMMYFUNCTION("""COMPUTED_VALUE"""),"081318771766")</f>
        <v>081318771766</v>
      </c>
      <c r="E68" s="14" t="str">
        <f>IFERROR(__xludf.DUMMYFUNCTION("""COMPUTED_VALUE"""),"Lainnya")</f>
        <v>Lainnya</v>
      </c>
      <c r="F68" s="14" t="str">
        <f>IFERROR(__xludf.DUMMYFUNCTION("""COMPUTED_VALUE"""),"Gagal")</f>
        <v>Gagal</v>
      </c>
      <c r="G68" s="14" t="str">
        <f>IFERROR(__xludf.DUMMYFUNCTION("""COMPUTED_VALUE"""),"3H2M")</f>
        <v>3H2M</v>
      </c>
      <c r="H68" s="16"/>
      <c r="I68" s="17"/>
      <c r="J68" s="54"/>
      <c r="K68" s="46" t="str">
        <f>IFERROR(__xludf.DUMMYFUNCTION("""COMPUTED_VALUE"""),"last fu 11 april, tidak ada jawaban, sdh di fu")</f>
        <v>last fu 11 april, tidak ada jawaban, sdh di fu</v>
      </c>
      <c r="L68" s="100" t="str">
        <f>IFERROR(__xludf.DUMMYFUNCTION("""COMPUTED_VALUE"""),"https://docs.google.com/document/d/1IGc28CUEYXoHr_bFPa9RPDgX3wiU2Fk-T4ui68R9KG8/edit?usp=drivesdk")</f>
        <v>https://docs.google.com/document/d/1IGc28CUEYXoHr_bFPa9RPDgX3wiU2Fk-T4ui68R9KG8/edit?usp=drivesdk</v>
      </c>
      <c r="M68" s="20"/>
      <c r="N68" s="20"/>
      <c r="O68" s="20"/>
      <c r="P68" s="20"/>
    </row>
    <row r="69">
      <c r="A69" s="21">
        <f>IFERROR(__xludf.DUMMYFUNCTION("""COMPUTED_VALUE"""),46072.0)</f>
        <v>46072</v>
      </c>
      <c r="B69" s="22" t="str">
        <f>IFERROR(__xludf.DUMMYFUNCTION("""COMPUTED_VALUE"""),"2602H028")</f>
        <v>2602H028</v>
      </c>
      <c r="C69" s="23" t="str">
        <f>IFERROR(__xludf.DUMMYFUNCTION("""COMPUTED_VALUE"""),"Deddy ")</f>
        <v>Deddy </v>
      </c>
      <c r="D69" s="24" t="str">
        <f>IFERROR(__xludf.DUMMYFUNCTION("""COMPUTED_VALUE"""),"081323194567")</f>
        <v>081323194567</v>
      </c>
      <c r="E69" s="14" t="str">
        <f>IFERROR(__xludf.DUMMYFUNCTION("""COMPUTED_VALUE"""),"Website")</f>
        <v>Website</v>
      </c>
      <c r="F69" s="14" t="str">
        <f>IFERROR(__xludf.DUMMYFUNCTION("""COMPUTED_VALUE"""),"Closing")</f>
        <v>Closing</v>
      </c>
      <c r="G69" s="14" t="str">
        <f>IFERROR(__xludf.DUMMYFUNCTION("""COMPUTED_VALUE"""),"custom 2H1M")</f>
        <v>custom 2H1M</v>
      </c>
      <c r="H69" s="26"/>
      <c r="I69" s="27">
        <f>IFERROR(__xludf.DUMMYFUNCTION("""COMPUTED_VALUE"""),6.0)</f>
        <v>6</v>
      </c>
      <c r="J69" s="28">
        <f>IFERROR(__xludf.DUMMYFUNCTION("""COMPUTED_VALUE"""),8262000.0)</f>
        <v>8262000</v>
      </c>
      <c r="K69" s="30" t="str">
        <f>IFERROR(__xludf.DUMMYFUNCTION("""COMPUTED_VALUE"""),"ALHAMDULILLAH ORDER")</f>
        <v>ALHAMDULILLAH ORDER</v>
      </c>
      <c r="L69" s="23"/>
      <c r="M69" s="20"/>
      <c r="N69" s="20"/>
      <c r="O69" s="20"/>
      <c r="P69" s="20"/>
    </row>
    <row r="70">
      <c r="A70" s="11">
        <f>IFERROR(__xludf.DUMMYFUNCTION("""COMPUTED_VALUE"""),46073.0)</f>
        <v>46073</v>
      </c>
      <c r="B70" s="12" t="str">
        <f>IFERROR(__xludf.DUMMYFUNCTION("""COMPUTED_VALUE"""),"2602H029")</f>
        <v>2602H029</v>
      </c>
      <c r="C70" s="10" t="str">
        <f>IFERROR(__xludf.DUMMYFUNCTION("""COMPUTED_VALUE"""),"Adriana")</f>
        <v>Adriana</v>
      </c>
      <c r="D70" s="13" t="str">
        <f>IFERROR(__xludf.DUMMYFUNCTION("""COMPUTED_VALUE"""),"08128767915")</f>
        <v>08128767915</v>
      </c>
      <c r="E70" s="14" t="str">
        <f>IFERROR(__xludf.DUMMYFUNCTION("""COMPUTED_VALUE"""),"Lainnya")</f>
        <v>Lainnya</v>
      </c>
      <c r="F70" s="14" t="str">
        <f>IFERROR(__xludf.DUMMYFUNCTION("""COMPUTED_VALUE"""),"Gagal")</f>
        <v>Gagal</v>
      </c>
      <c r="G70" s="14" t="str">
        <f>IFERROR(__xludf.DUMMYFUNCTION("""COMPUTED_VALUE"""),"                                                                                           ")</f>
        <v>                                                                                           </v>
      </c>
      <c r="H70" s="79"/>
      <c r="I70" s="17">
        <f>IFERROR(__xludf.DUMMYFUNCTION("""COMPUTED_VALUE"""),25.0)</f>
        <v>25</v>
      </c>
      <c r="J70" s="18">
        <f>IFERROR(__xludf.DUMMYFUNCTION("""COMPUTED_VALUE"""),1.0562E7)</f>
        <v>10562000</v>
      </c>
      <c r="K70" s="46" t="str">
        <f>IFERROR(__xludf.DUMMYFUNCTION("""COMPUTED_VALUE"""),"anggota blm mau")</f>
        <v>anggota blm mau</v>
      </c>
      <c r="L70" s="10"/>
      <c r="M70" s="20"/>
      <c r="N70" s="20"/>
      <c r="O70" s="20"/>
      <c r="P70" s="20"/>
    </row>
    <row r="71">
      <c r="A71" s="21">
        <f>IFERROR(__xludf.DUMMYFUNCTION("""COMPUTED_VALUE"""),46073.0)</f>
        <v>46073</v>
      </c>
      <c r="B71" s="22" t="str">
        <f>IFERROR(__xludf.DUMMYFUNCTION("""COMPUTED_VALUE"""),"2602H030")</f>
        <v>2602H030</v>
      </c>
      <c r="C71" s="23" t="str">
        <f>IFERROR(__xludf.DUMMYFUNCTION("""COMPUTED_VALUE"""),"KrismanD")</f>
        <v>KrismanD</v>
      </c>
      <c r="D71" s="24" t="str">
        <f>IFERROR(__xludf.DUMMYFUNCTION("""COMPUTED_VALUE"""),"087877174256")</f>
        <v>087877174256</v>
      </c>
      <c r="E71" s="14" t="str">
        <f>IFERROR(__xludf.DUMMYFUNCTION("""COMPUTED_VALUE"""),"Lainnya")</f>
        <v>Lainnya</v>
      </c>
      <c r="F71" s="14" t="str">
        <f>IFERROR(__xludf.DUMMYFUNCTION("""COMPUTED_VALUE"""),"Gagal")</f>
        <v>Gagal</v>
      </c>
      <c r="G71" s="15" t="str">
        <f>IFERROR(__xludf.DUMMYFUNCTION("""COMPUTED_VALUE"""),"OT Ijen")</f>
        <v>OT Ijen</v>
      </c>
      <c r="H71" s="26"/>
      <c r="I71" s="27">
        <f>IFERROR(__xludf.DUMMYFUNCTION("""COMPUTED_VALUE"""),2.0)</f>
        <v>2</v>
      </c>
      <c r="J71" s="28">
        <f>IFERROR(__xludf.DUMMYFUNCTION("""COMPUTED_VALUE"""),590000.0)</f>
        <v>590000</v>
      </c>
      <c r="K71" s="36" t="str">
        <f>IFERROR(__xludf.DUMMYFUNCTION("""COMPUTED_VALUE"""),"ada keponakan menikah, ditunda")</f>
        <v>ada keponakan menikah, ditunda</v>
      </c>
      <c r="L71" s="81" t="str">
        <f>IFERROR(__xludf.DUMMYFUNCTION("""COMPUTED_VALUE"""),"https://docs.google.com/document/d/1Z7G4SkFJscs2sv1hinnOmSZDzKEgf3pmDcUNmRnHxqc/edit?usp=drivesdk")</f>
        <v>https://docs.google.com/document/d/1Z7G4SkFJscs2sv1hinnOmSZDzKEgf3pmDcUNmRnHxqc/edit?usp=drivesdk</v>
      </c>
      <c r="M71" s="20"/>
      <c r="N71" s="20"/>
      <c r="O71" s="20"/>
      <c r="P71" s="20"/>
    </row>
    <row r="72">
      <c r="A72" s="11">
        <f>IFERROR(__xludf.DUMMYFUNCTION("""COMPUTED_VALUE"""),46074.0)</f>
        <v>46074</v>
      </c>
      <c r="B72" s="12" t="str">
        <f>IFERROR(__xludf.DUMMYFUNCTION("""COMPUTED_VALUE"""),"2602H031")</f>
        <v>2602H031</v>
      </c>
      <c r="C72" s="10" t="str">
        <f>IFERROR(__xludf.DUMMYFUNCTION("""COMPUTED_VALUE"""),"Endah Yuliany")</f>
        <v>Endah Yuliany</v>
      </c>
      <c r="D72" s="13" t="str">
        <f>IFERROR(__xludf.DUMMYFUNCTION("""COMPUTED_VALUE"""),"08995550168")</f>
        <v>08995550168</v>
      </c>
      <c r="E72" s="14" t="str">
        <f>IFERROR(__xludf.DUMMYFUNCTION("""COMPUTED_VALUE"""),"Lainnya")</f>
        <v>Lainnya</v>
      </c>
      <c r="F72" s="14" t="str">
        <f>IFERROR(__xludf.DUMMYFUNCTION("""COMPUTED_VALUE"""),"Gagal")</f>
        <v>Gagal</v>
      </c>
      <c r="G72" s="14" t="str">
        <f>IFERROR(__xludf.DUMMYFUNCTION("""COMPUTED_VALUE"""),"custom 3H2M")</f>
        <v>custom 3H2M</v>
      </c>
      <c r="H72" s="16"/>
      <c r="I72" s="17">
        <f>IFERROR(__xludf.DUMMYFUNCTION("""COMPUTED_VALUE"""),3.0)</f>
        <v>3</v>
      </c>
      <c r="J72" s="18">
        <f>IFERROR(__xludf.DUMMYFUNCTION("""COMPUTED_VALUE"""),5700000.0)</f>
        <v>5700000</v>
      </c>
      <c r="K72" s="19" t="str">
        <f>IFERROR(__xludf.DUMMYFUNCTION("""COMPUTED_VALUE"""),"kalau trip jadi akan dihubungi kembali ")</f>
        <v>kalau trip jadi akan dihubungi kembali </v>
      </c>
      <c r="L72" s="76"/>
      <c r="M72" s="20"/>
      <c r="N72" s="20"/>
      <c r="O72" s="20"/>
      <c r="P72" s="20"/>
    </row>
    <row r="73">
      <c r="A73" s="21">
        <f>IFERROR(__xludf.DUMMYFUNCTION("""COMPUTED_VALUE"""),46074.0)</f>
        <v>46074</v>
      </c>
      <c r="B73" s="22" t="str">
        <f>IFERROR(__xludf.DUMMYFUNCTION("""COMPUTED_VALUE"""),"2602H032")</f>
        <v>2602H032</v>
      </c>
      <c r="C73" s="23" t="str">
        <f>IFERROR(__xludf.DUMMYFUNCTION("""COMPUTED_VALUE"""),"Lia")</f>
        <v>Lia</v>
      </c>
      <c r="D73" s="24" t="str">
        <f>IFERROR(__xludf.DUMMYFUNCTION("""COMPUTED_VALUE"""),"081218137992")</f>
        <v>081218137992</v>
      </c>
      <c r="E73" s="14" t="str">
        <f>IFERROR(__xludf.DUMMYFUNCTION("""COMPUTED_VALUE"""),"Lainnya")</f>
        <v>Lainnya</v>
      </c>
      <c r="F73" s="14" t="str">
        <f>IFERROR(__xludf.DUMMYFUNCTION("""COMPUTED_VALUE"""),"Gagal")</f>
        <v>Gagal</v>
      </c>
      <c r="G73" s="14" t="str">
        <f>IFERROR(__xludf.DUMMYFUNCTION("""COMPUTED_VALUE"""),"4H3M")</f>
        <v>4H3M</v>
      </c>
      <c r="H73" s="26"/>
      <c r="I73" s="27">
        <f>IFERROR(__xludf.DUMMYFUNCTION("""COMPUTED_VALUE"""),4.0)</f>
        <v>4</v>
      </c>
      <c r="J73" s="33">
        <f>IFERROR(__xludf.DUMMYFUNCTION("""COMPUTED_VALUE"""),1.4204E7)</f>
        <v>14204000</v>
      </c>
      <c r="K73" s="36" t="str">
        <f>IFERROR(__xludf.DUMMYFUNCTION("""COMPUTED_VALUE"""),"penuh cari tiket dll, pending ke banyuwangi, gagal")</f>
        <v>penuh cari tiket dll, pending ke banyuwangi, gagal</v>
      </c>
      <c r="L73" s="49"/>
      <c r="M73" s="20"/>
      <c r="N73" s="20"/>
      <c r="O73" s="20"/>
      <c r="P73" s="20"/>
    </row>
    <row r="74">
      <c r="A74" s="11">
        <f>IFERROR(__xludf.DUMMYFUNCTION("""COMPUTED_VALUE"""),46074.0)</f>
        <v>46074</v>
      </c>
      <c r="B74" s="12" t="str">
        <f>IFERROR(__xludf.DUMMYFUNCTION("""COMPUTED_VALUE"""),"2602H033")</f>
        <v>2602H033</v>
      </c>
      <c r="C74" s="10" t="str">
        <f>IFERROR(__xludf.DUMMYFUNCTION("""COMPUTED_VALUE"""),"Rizki")</f>
        <v>Rizki</v>
      </c>
      <c r="D74" s="13" t="str">
        <f>IFERROR(__xludf.DUMMYFUNCTION("""COMPUTED_VALUE"""),"081138884333")</f>
        <v>081138884333</v>
      </c>
      <c r="E74" s="14" t="str">
        <f>IFERROR(__xludf.DUMMYFUNCTION("""COMPUTED_VALUE"""),"Website")</f>
        <v>Website</v>
      </c>
      <c r="F74" s="14" t="str">
        <f>IFERROR(__xludf.DUMMYFUNCTION("""COMPUTED_VALUE"""),"Gagal")</f>
        <v>Gagal</v>
      </c>
      <c r="G74" s="25" t="str">
        <f>IFERROR(__xludf.DUMMYFUNCTION("""COMPUTED_VALUE"""),"custom 2H1M")</f>
        <v>custom 2H1M</v>
      </c>
      <c r="H74" s="16"/>
      <c r="I74" s="17">
        <f>IFERROR(__xludf.DUMMYFUNCTION("""COMPUTED_VALUE"""),4.0)</f>
        <v>4</v>
      </c>
      <c r="J74" s="18">
        <f>IFERROR(__xludf.DUMMYFUNCTION("""COMPUTED_VALUE"""),8800000.0)</f>
        <v>8800000</v>
      </c>
      <c r="K74" s="19" t="str">
        <f>IFERROR(__xludf.DUMMYFUNCTION("""COMPUTED_VALUE"""),"trip di tunda")</f>
        <v>trip di tunda</v>
      </c>
      <c r="L74" s="76"/>
      <c r="M74" s="20"/>
      <c r="N74" s="20"/>
      <c r="O74" s="20"/>
      <c r="P74" s="20"/>
    </row>
    <row r="75">
      <c r="A75" s="21">
        <f>IFERROR(__xludf.DUMMYFUNCTION("""COMPUTED_VALUE"""),46076.0)</f>
        <v>46076</v>
      </c>
      <c r="B75" s="22" t="str">
        <f>IFERROR(__xludf.DUMMYFUNCTION("""COMPUTED_VALUE"""),"2602H034")</f>
        <v>2602H034</v>
      </c>
      <c r="C75" s="23" t="str">
        <f>IFERROR(__xludf.DUMMYFUNCTION("""COMPUTED_VALUE"""),"Yusuf ")</f>
        <v>Yusuf </v>
      </c>
      <c r="D75" s="24" t="str">
        <f>IFERROR(__xludf.DUMMYFUNCTION("""COMPUTED_VALUE"""),"081213195404")</f>
        <v>081213195404</v>
      </c>
      <c r="E75" s="14" t="str">
        <f>IFERROR(__xludf.DUMMYFUNCTION("""COMPUTED_VALUE"""),"Website")</f>
        <v>Website</v>
      </c>
      <c r="F75" s="14" t="str">
        <f>IFERROR(__xludf.DUMMYFUNCTION("""COMPUTED_VALUE"""),"Gagal")</f>
        <v>Gagal</v>
      </c>
      <c r="G75" s="14" t="str">
        <f>IFERROR(__xludf.DUMMYFUNCTION("""COMPUTED_VALUE"""),"trip AP,B")</f>
        <v>trip AP,B</v>
      </c>
      <c r="H75" s="26"/>
      <c r="I75" s="27">
        <f>IFERROR(__xludf.DUMMYFUNCTION("""COMPUTED_VALUE"""),1.0)</f>
        <v>1</v>
      </c>
      <c r="J75" s="33">
        <f>IFERROR(__xludf.DUMMYFUNCTION("""COMPUTED_VALUE"""),1175000.0)</f>
        <v>1175000</v>
      </c>
      <c r="K75" s="36" t="str">
        <f>IFERROR(__xludf.DUMMYFUNCTION("""COMPUTED_VALUE"""),"belum dapat cuti")</f>
        <v>belum dapat cuti</v>
      </c>
      <c r="L75" s="49"/>
      <c r="M75" s="20"/>
      <c r="N75" s="20"/>
      <c r="O75" s="20"/>
      <c r="P75" s="20"/>
    </row>
    <row r="76">
      <c r="A76" s="11">
        <f>IFERROR(__xludf.DUMMYFUNCTION("""COMPUTED_VALUE"""),46078.0)</f>
        <v>46078</v>
      </c>
      <c r="B76" s="12" t="str">
        <f>IFERROR(__xludf.DUMMYFUNCTION("""COMPUTED_VALUE"""),"2602H035")</f>
        <v>2602H035</v>
      </c>
      <c r="C76" s="10" t="str">
        <f>IFERROR(__xludf.DUMMYFUNCTION("""COMPUTED_VALUE"""),"Kaluna ")</f>
        <v>Kaluna </v>
      </c>
      <c r="D76" s="13" t="str">
        <f>IFERROR(__xludf.DUMMYFUNCTION("""COMPUTED_VALUE"""),"081511375046")</f>
        <v>081511375046</v>
      </c>
      <c r="E76" s="14" t="str">
        <f>IFERROR(__xludf.DUMMYFUNCTION("""COMPUTED_VALUE"""),"Website")</f>
        <v>Website</v>
      </c>
      <c r="F76" s="14" t="str">
        <f>IFERROR(__xludf.DUMMYFUNCTION("""COMPUTED_VALUE"""),"Gagal")</f>
        <v>Gagal</v>
      </c>
      <c r="G76" s="14"/>
      <c r="H76" s="16"/>
      <c r="I76" s="17"/>
      <c r="J76" s="54"/>
      <c r="K76" s="19" t="str">
        <f>IFERROR(__xludf.DUMMYFUNCTION("""COMPUTED_VALUE"""),"hanya menyapa, tidak ada balasan ")</f>
        <v>hanya menyapa, tidak ada balasan </v>
      </c>
      <c r="L76" s="76"/>
      <c r="M76" s="20"/>
      <c r="N76" s="20"/>
      <c r="O76" s="20"/>
      <c r="P76" s="20"/>
    </row>
    <row r="77">
      <c r="A77" s="21">
        <f>IFERROR(__xludf.DUMMYFUNCTION("""COMPUTED_VALUE"""),46078.0)</f>
        <v>46078</v>
      </c>
      <c r="B77" s="22" t="str">
        <f>IFERROR(__xludf.DUMMYFUNCTION("""COMPUTED_VALUE"""),"2602H036")</f>
        <v>2602H036</v>
      </c>
      <c r="C77" s="23" t="str">
        <f>IFERROR(__xludf.DUMMYFUNCTION("""COMPUTED_VALUE"""),"Sarah")</f>
        <v>Sarah</v>
      </c>
      <c r="D77" s="24" t="str">
        <f>IFERROR(__xludf.DUMMYFUNCTION("""COMPUTED_VALUE"""),"087865579642")</f>
        <v>087865579642</v>
      </c>
      <c r="E77" s="14" t="str">
        <f>IFERROR(__xludf.DUMMYFUNCTION("""COMPUTED_VALUE"""),"Lainnya")</f>
        <v>Lainnya</v>
      </c>
      <c r="F77" s="14" t="str">
        <f>IFERROR(__xludf.DUMMYFUNCTION("""COMPUTED_VALUE"""),"Gagal")</f>
        <v>Gagal</v>
      </c>
      <c r="G77" s="14" t="str">
        <f>IFERROR(__xludf.DUMMYFUNCTION("""COMPUTED_VALUE"""),"OT Ijen")</f>
        <v>OT Ijen</v>
      </c>
      <c r="H77" s="78"/>
      <c r="I77" s="89">
        <f>IFERROR(__xludf.DUMMYFUNCTION("""COMPUTED_VALUE"""),1.0)</f>
        <v>1</v>
      </c>
      <c r="J77" s="28"/>
      <c r="K77" s="36" t="str">
        <f>IFERROR(__xludf.DUMMYFUNCTION("""COMPUTED_VALUE"""),"sdh fu, tidak ada jawaban")</f>
        <v>sdh fu, tidak ada jawaban</v>
      </c>
      <c r="L77" s="81" t="str">
        <f>IFERROR(__xludf.DUMMYFUNCTION("""COMPUTED_VALUE"""),"https://docs.google.com/document/d/1j22Zx_0yZOTJ1oxFyn2nS97rpjjRnsMMxmPyS2uhpzQ/edit?usp=drivesdk")</f>
        <v>https://docs.google.com/document/d/1j22Zx_0yZOTJ1oxFyn2nS97rpjjRnsMMxmPyS2uhpzQ/edit?usp=drivesdk</v>
      </c>
      <c r="M77" s="20"/>
      <c r="N77" s="20"/>
      <c r="O77" s="20"/>
      <c r="P77" s="20"/>
    </row>
    <row r="78">
      <c r="A78" s="11">
        <f>IFERROR(__xludf.DUMMYFUNCTION("""COMPUTED_VALUE"""),46078.0)</f>
        <v>46078</v>
      </c>
      <c r="B78" s="12" t="str">
        <f>IFERROR(__xludf.DUMMYFUNCTION("""COMPUTED_VALUE"""),"2602H037")</f>
        <v>2602H037</v>
      </c>
      <c r="C78" s="10" t="str">
        <f>IFERROR(__xludf.DUMMYFUNCTION("""COMPUTED_VALUE"""),"Maya Nasution ")</f>
        <v>Maya Nasution </v>
      </c>
      <c r="D78" s="13" t="str">
        <f>IFERROR(__xludf.DUMMYFUNCTION("""COMPUTED_VALUE"""),"085261014027")</f>
        <v>085261014027</v>
      </c>
      <c r="E78" s="14" t="str">
        <f>IFERROR(__xludf.DUMMYFUNCTION("""COMPUTED_VALUE"""),"Lainnya")</f>
        <v>Lainnya</v>
      </c>
      <c r="F78" s="14" t="str">
        <f>IFERROR(__xludf.DUMMYFUNCTION("""COMPUTED_VALUE"""),"Gagal")</f>
        <v>Gagal</v>
      </c>
      <c r="G78" s="14" t="str">
        <f>IFERROR(__xludf.DUMMYFUNCTION("""COMPUTED_VALUE"""),"custom 3H2M ")</f>
        <v>custom 3H2M </v>
      </c>
      <c r="H78" s="16">
        <f>IFERROR(__xludf.DUMMYFUNCTION("""COMPUTED_VALUE"""),46105.0)</f>
        <v>46105</v>
      </c>
      <c r="I78" s="17">
        <f>IFERROR(__xludf.DUMMYFUNCTION("""COMPUTED_VALUE"""),3.0)</f>
        <v>3</v>
      </c>
      <c r="J78" s="18">
        <f>IFERROR(__xludf.DUMMYFUNCTION("""COMPUTED_VALUE"""),1.17E7)</f>
        <v>11700000</v>
      </c>
      <c r="K78" s="46" t="str">
        <f>IFERROR(__xludf.DUMMYFUNCTION("""COMPUTED_VALUE"""),"tidak jadi")</f>
        <v>tidak jadi</v>
      </c>
      <c r="L78" s="10"/>
      <c r="M78" s="20"/>
      <c r="N78" s="20"/>
      <c r="O78" s="20"/>
      <c r="P78" s="20"/>
    </row>
    <row r="79">
      <c r="A79" s="21">
        <f>IFERROR(__xludf.DUMMYFUNCTION("""COMPUTED_VALUE"""),46080.0)</f>
        <v>46080</v>
      </c>
      <c r="B79" s="22" t="str">
        <f>IFERROR(__xludf.DUMMYFUNCTION("""COMPUTED_VALUE"""),"2602H038")</f>
        <v>2602H038</v>
      </c>
      <c r="C79" s="23" t="str">
        <f>IFERROR(__xludf.DUMMYFUNCTION("""COMPUTED_VALUE"""),"Annisa Syarifah ")</f>
        <v>Annisa Syarifah </v>
      </c>
      <c r="D79" s="24" t="str">
        <f>IFERROR(__xludf.DUMMYFUNCTION("""COMPUTED_VALUE"""),"082110566678")</f>
        <v>082110566678</v>
      </c>
      <c r="E79" s="14" t="str">
        <f>IFERROR(__xludf.DUMMYFUNCTION("""COMPUTED_VALUE"""),"Lainnya")</f>
        <v>Lainnya</v>
      </c>
      <c r="F79" s="14" t="str">
        <f>IFERROR(__xludf.DUMMYFUNCTION("""COMPUTED_VALUE"""),"Qualified")</f>
        <v>Qualified</v>
      </c>
      <c r="G79" s="14" t="str">
        <f>IFERROR(__xludf.DUMMYFUNCTION("""COMPUTED_VALUE"""),"trip 2H2M")</f>
        <v>trip 2H2M</v>
      </c>
      <c r="H79" s="26">
        <f>IFERROR(__xludf.DUMMYFUNCTION("""COMPUTED_VALUE"""),46214.0)</f>
        <v>46214</v>
      </c>
      <c r="I79" s="27">
        <f>IFERROR(__xludf.DUMMYFUNCTION("""COMPUTED_VALUE"""),3.0)</f>
        <v>3</v>
      </c>
      <c r="J79" s="24">
        <f>IFERROR(__xludf.DUMMYFUNCTION("""COMPUTED_VALUE"""),4050000.0)</f>
        <v>4050000</v>
      </c>
      <c r="K79" s="36" t="str">
        <f>IFERROR(__xludf.DUMMYFUNCTION("""COMPUTED_VALUE"""),"buat penawaran, fu 25 juni")</f>
        <v>buat penawaran, fu 25 juni</v>
      </c>
      <c r="L79" s="49"/>
      <c r="M79" s="20"/>
      <c r="N79" s="20"/>
      <c r="O79" s="20"/>
      <c r="P79" s="20"/>
    </row>
    <row r="80">
      <c r="A80" s="11">
        <f>IFERROR(__xludf.DUMMYFUNCTION("""COMPUTED_VALUE"""),46080.0)</f>
        <v>46080</v>
      </c>
      <c r="B80" s="12" t="str">
        <f>IFERROR(__xludf.DUMMYFUNCTION("""COMPUTED_VALUE"""),"2602H039")</f>
        <v>2602H039</v>
      </c>
      <c r="C80" s="10" t="str">
        <f>IFERROR(__xludf.DUMMYFUNCTION("""COMPUTED_VALUE"""),"Neny Triana")</f>
        <v>Neny Triana</v>
      </c>
      <c r="D80" s="13" t="str">
        <f>IFERROR(__xludf.DUMMYFUNCTION("""COMPUTED_VALUE"""),"087887138799")</f>
        <v>087887138799</v>
      </c>
      <c r="E80" s="14" t="str">
        <f>IFERROR(__xludf.DUMMYFUNCTION("""COMPUTED_VALUE"""),"Lainnya")</f>
        <v>Lainnya</v>
      </c>
      <c r="F80" s="14" t="str">
        <f>IFERROR(__xludf.DUMMYFUNCTION("""COMPUTED_VALUE"""),"Gagal")</f>
        <v>Gagal</v>
      </c>
      <c r="G80" s="14" t="str">
        <f>IFERROR(__xludf.DUMMYFUNCTION("""COMPUTED_VALUE"""),"custom 2H1M")</f>
        <v>custom 2H1M</v>
      </c>
      <c r="H80" s="16"/>
      <c r="I80" s="17">
        <f>IFERROR(__xludf.DUMMYFUNCTION("""COMPUTED_VALUE"""),34.0)</f>
        <v>34</v>
      </c>
      <c r="J80" s="18">
        <f>IFERROR(__xludf.DUMMYFUNCTION("""COMPUTED_VALUE"""),2.669E7)</f>
        <v>26690000</v>
      </c>
      <c r="K80" s="19" t="str">
        <f>IFERROR(__xludf.DUMMYFUNCTION("""COMPUTED_VALUE"""),"pakai rekomendasi dari hotel")</f>
        <v>pakai rekomendasi dari hotel</v>
      </c>
      <c r="L80" s="76"/>
      <c r="M80" s="20"/>
      <c r="N80" s="20"/>
      <c r="O80" s="20"/>
      <c r="P80" s="20"/>
    </row>
    <row r="81">
      <c r="A81" s="21">
        <f>IFERROR(__xludf.DUMMYFUNCTION("""COMPUTED_VALUE"""),46080.0)</f>
        <v>46080</v>
      </c>
      <c r="B81" s="22" t="str">
        <f>IFERROR(__xludf.DUMMYFUNCTION("""COMPUTED_VALUE"""),"2602H040")</f>
        <v>2602H040</v>
      </c>
      <c r="C81" s="23" t="str">
        <f>IFERROR(__xludf.DUMMYFUNCTION("""COMPUTED_VALUE"""),"Ismu")</f>
        <v>Ismu</v>
      </c>
      <c r="D81" s="24" t="str">
        <f>IFERROR(__xludf.DUMMYFUNCTION("""COMPUTED_VALUE"""),"085711540382")</f>
        <v>085711540382</v>
      </c>
      <c r="E81" s="14" t="str">
        <f>IFERROR(__xludf.DUMMYFUNCTION("""COMPUTED_VALUE"""),"Lainnya")</f>
        <v>Lainnya</v>
      </c>
      <c r="F81" s="14" t="str">
        <f>IFERROR(__xludf.DUMMYFUNCTION("""COMPUTED_VALUE"""),"Gagal")</f>
        <v>Gagal</v>
      </c>
      <c r="G81" s="25" t="str">
        <f>IFERROR(__xludf.DUMMYFUNCTION("""COMPUTED_VALUE"""),"3h2m")</f>
        <v>3h2m</v>
      </c>
      <c r="H81" s="26"/>
      <c r="I81" s="89">
        <f>IFERROR(__xludf.DUMMYFUNCTION("""COMPUTED_VALUE"""),3.0)</f>
        <v>3</v>
      </c>
      <c r="J81" s="90">
        <f>IFERROR(__xludf.DUMMYFUNCTION("""COMPUTED_VALUE"""),6474000.0)</f>
        <v>6474000</v>
      </c>
      <c r="K81" s="36" t="str">
        <f>IFERROR(__xludf.DUMMYFUNCTION("""COMPUTED_VALUE"""),"sdh fu 5 kali, tdk ada kelanjutan")</f>
        <v>sdh fu 5 kali, tdk ada kelanjutan</v>
      </c>
      <c r="L81" s="81" t="str">
        <f>IFERROR(__xludf.DUMMYFUNCTION("""COMPUTED_VALUE"""),"https://docs.google.com/document/d/1YahiXkKdIVGRmYUgOM-bJ-rML-Li0FHGEhetCS7Ztxc/edit?usp=drivesdk")</f>
        <v>https://docs.google.com/document/d/1YahiXkKdIVGRmYUgOM-bJ-rML-Li0FHGEhetCS7Ztxc/edit?usp=drivesdk</v>
      </c>
      <c r="M81" s="20"/>
      <c r="N81" s="20"/>
      <c r="O81" s="20"/>
      <c r="P81" s="20"/>
    </row>
    <row r="82">
      <c r="A82" s="11">
        <f>IFERROR(__xludf.DUMMYFUNCTION("""COMPUTED_VALUE"""),46080.0)</f>
        <v>46080</v>
      </c>
      <c r="B82" s="12" t="str">
        <f>IFERROR(__xludf.DUMMYFUNCTION("""COMPUTED_VALUE"""),"2602H041")</f>
        <v>2602H041</v>
      </c>
      <c r="C82" s="10" t="str">
        <f>IFERROR(__xludf.DUMMYFUNCTION("""COMPUTED_VALUE"""),"Putri ")</f>
        <v>Putri </v>
      </c>
      <c r="D82" s="13" t="str">
        <f>IFERROR(__xludf.DUMMYFUNCTION("""COMPUTED_VALUE"""),"081568478359")</f>
        <v>081568478359</v>
      </c>
      <c r="E82" s="14" t="str">
        <f>IFERROR(__xludf.DUMMYFUNCTION("""COMPUTED_VALUE"""),"Website")</f>
        <v>Website</v>
      </c>
      <c r="F82" s="14" t="str">
        <f>IFERROR(__xludf.DUMMYFUNCTION("""COMPUTED_VALUE"""),"Qualified")</f>
        <v>Qualified</v>
      </c>
      <c r="G82" s="15" t="str">
        <f>IFERROR(__xludf.DUMMYFUNCTION("""COMPUTED_VALUE"""),"trip 4H3M")</f>
        <v>trip 4H3M</v>
      </c>
      <c r="H82" s="16"/>
      <c r="I82" s="17">
        <f>IFERROR(__xludf.DUMMYFUNCTION("""COMPUTED_VALUE"""),22.0)</f>
        <v>22</v>
      </c>
      <c r="J82" s="18">
        <f>IFERROR(__xludf.DUMMYFUNCTION("""COMPUTED_VALUE"""),2.924E7)</f>
        <v>29240000</v>
      </c>
      <c r="K82" s="46" t="str">
        <f>IFERROR(__xludf.DUMMYFUNCTION("""COMPUTED_VALUE"""),"nanya pricelist paket, fu 25 juni")</f>
        <v>nanya pricelist paket, fu 25 juni</v>
      </c>
      <c r="L82" s="10"/>
      <c r="M82" s="20"/>
      <c r="N82" s="20"/>
      <c r="O82" s="20"/>
      <c r="P82" s="20"/>
    </row>
    <row r="83">
      <c r="A83" s="21">
        <f>IFERROR(__xludf.DUMMYFUNCTION("""COMPUTED_VALUE"""),46082.0)</f>
        <v>46082</v>
      </c>
      <c r="B83" s="22" t="str">
        <f>IFERROR(__xludf.DUMMYFUNCTION("""COMPUTED_VALUE"""),"2603H001")</f>
        <v>2603H001</v>
      </c>
      <c r="C83" s="23" t="str">
        <f>IFERROR(__xludf.DUMMYFUNCTION("""COMPUTED_VALUE"""),"Rafael")</f>
        <v>Rafael</v>
      </c>
      <c r="D83" s="24" t="str">
        <f>IFERROR(__xludf.DUMMYFUNCTION("""COMPUTED_VALUE"""),"082176804310")</f>
        <v>082176804310</v>
      </c>
      <c r="E83" s="14" t="str">
        <f>IFERROR(__xludf.DUMMYFUNCTION("""COMPUTED_VALUE"""),"Lainnya")</f>
        <v>Lainnya</v>
      </c>
      <c r="F83" s="14" t="str">
        <f>IFERROR(__xludf.DUMMYFUNCTION("""COMPUTED_VALUE"""),"Gagal")</f>
        <v>Gagal</v>
      </c>
      <c r="G83" s="25" t="str">
        <f>IFERROR(__xludf.DUMMYFUNCTION("""COMPUTED_VALUE"""),"custom 2H1M")</f>
        <v>custom 2H1M</v>
      </c>
      <c r="H83" s="78">
        <f>IFERROR(__xludf.DUMMYFUNCTION("""COMPUTED_VALUE"""),46103.0)</f>
        <v>46103</v>
      </c>
      <c r="I83" s="27">
        <f>IFERROR(__xludf.DUMMYFUNCTION("""COMPUTED_VALUE"""),5.0)</f>
        <v>5</v>
      </c>
      <c r="J83" s="91">
        <f>IFERROR(__xludf.DUMMYFUNCTION("""COMPUTED_VALUE"""),5750000.0)</f>
        <v>5750000</v>
      </c>
      <c r="K83" s="30" t="str">
        <f>IFERROR(__xludf.DUMMYFUNCTION("""COMPUTED_VALUE"""),"gajadi ke Banyuwangi ")</f>
        <v>gajadi ke Banyuwangi </v>
      </c>
      <c r="L83" s="49"/>
      <c r="M83" s="20"/>
      <c r="N83" s="20"/>
      <c r="O83" s="20"/>
      <c r="P83" s="20"/>
    </row>
    <row r="84">
      <c r="A84" s="11">
        <f>IFERROR(__xludf.DUMMYFUNCTION("""COMPUTED_VALUE"""),46206.0)</f>
        <v>46206</v>
      </c>
      <c r="B84" s="12" t="str">
        <f>IFERROR(__xludf.DUMMYFUNCTION("""COMPUTED_VALUE"""),"2603H002")</f>
        <v>2603H002</v>
      </c>
      <c r="C84" s="10" t="str">
        <f>IFERROR(__xludf.DUMMYFUNCTION("""COMPUTED_VALUE"""),"Faqih al ghifari")</f>
        <v>Faqih al ghifari</v>
      </c>
      <c r="D84" s="13" t="str">
        <f>IFERROR(__xludf.DUMMYFUNCTION("""COMPUTED_VALUE"""),"081291207572")</f>
        <v>081291207572</v>
      </c>
      <c r="E84" s="14" t="str">
        <f>IFERROR(__xludf.DUMMYFUNCTION("""COMPUTED_VALUE"""),"Lainnya")</f>
        <v>Lainnya</v>
      </c>
      <c r="F84" s="14" t="str">
        <f>IFERROR(__xludf.DUMMYFUNCTION("""COMPUTED_VALUE"""),"Gagal")</f>
        <v>Gagal</v>
      </c>
      <c r="G84" s="14" t="str">
        <f>IFERROR(__xludf.DUMMYFUNCTION("""COMPUTED_VALUE"""),"4H3M")</f>
        <v>4H3M</v>
      </c>
      <c r="H84" s="16"/>
      <c r="I84" s="17">
        <f>IFERROR(__xludf.DUMMYFUNCTION("""COMPUTED_VALUE"""),70.0)</f>
        <v>70</v>
      </c>
      <c r="J84" s="18"/>
      <c r="K84" s="46" t="str">
        <f>IFERROR(__xludf.DUMMYFUNCTION("""COMPUTED_VALUE"""),"lemparan leads dari trip bwi, tidak jadi")</f>
        <v>lemparan leads dari trip bwi, tidak jadi</v>
      </c>
      <c r="L84" s="10"/>
      <c r="M84" s="20"/>
      <c r="N84" s="20"/>
      <c r="O84" s="20"/>
      <c r="P84" s="20"/>
    </row>
    <row r="85">
      <c r="A85" s="21">
        <f>IFERROR(__xludf.DUMMYFUNCTION("""COMPUTED_VALUE"""),46089.0)</f>
        <v>46089</v>
      </c>
      <c r="B85" s="22" t="str">
        <f>IFERROR(__xludf.DUMMYFUNCTION("""COMPUTED_VALUE"""),"2603H003")</f>
        <v>2603H003</v>
      </c>
      <c r="C85" s="49" t="str">
        <f>IFERROR(__xludf.DUMMYFUNCTION("""COMPUTED_VALUE"""),"Mika anggi")</f>
        <v>Mika anggi</v>
      </c>
      <c r="D85" s="24" t="str">
        <f>IFERROR(__xludf.DUMMYFUNCTION("""COMPUTED_VALUE"""),"082267757603")</f>
        <v>082267757603</v>
      </c>
      <c r="E85" s="14" t="str">
        <f>IFERROR(__xludf.DUMMYFUNCTION("""COMPUTED_VALUE"""),"Website")</f>
        <v>Website</v>
      </c>
      <c r="F85" s="14" t="str">
        <f>IFERROR(__xludf.DUMMYFUNCTION("""COMPUTED_VALUE"""),"Gagal")</f>
        <v>Gagal</v>
      </c>
      <c r="G85" s="14"/>
      <c r="H85" s="26"/>
      <c r="I85" s="27"/>
      <c r="J85" s="91"/>
      <c r="K85" s="30" t="str">
        <f>IFERROR(__xludf.DUMMYFUNCTION("""COMPUTED_VALUE"""),"masih menyapa, sudah fu ")</f>
        <v>masih menyapa, sudah fu </v>
      </c>
      <c r="L85" s="23"/>
      <c r="M85" s="20"/>
      <c r="N85" s="20"/>
      <c r="O85" s="20"/>
      <c r="P85" s="20"/>
    </row>
    <row r="86">
      <c r="A86" s="11">
        <f>IFERROR(__xludf.DUMMYFUNCTION("""COMPUTED_VALUE"""),46090.0)</f>
        <v>46090</v>
      </c>
      <c r="B86" s="12" t="str">
        <f>IFERROR(__xludf.DUMMYFUNCTION("""COMPUTED_VALUE"""),"2603H004")</f>
        <v>2603H004</v>
      </c>
      <c r="C86" s="10" t="str">
        <f>IFERROR(__xludf.DUMMYFUNCTION("""COMPUTED_VALUE"""),"Ika")</f>
        <v>Ika</v>
      </c>
      <c r="D86" s="13" t="str">
        <f>IFERROR(__xludf.DUMMYFUNCTION("""COMPUTED_VALUE"""),"08161816290")</f>
        <v>08161816290</v>
      </c>
      <c r="E86" s="14" t="str">
        <f>IFERROR(__xludf.DUMMYFUNCTION("""COMPUTED_VALUE"""),"Lainnya")</f>
        <v>Lainnya</v>
      </c>
      <c r="F86" s="14" t="str">
        <f>IFERROR(__xludf.DUMMYFUNCTION("""COMPUTED_VALUE"""),"Gagal")</f>
        <v>Gagal</v>
      </c>
      <c r="G86" s="25"/>
      <c r="H86" s="92"/>
      <c r="I86" s="80"/>
      <c r="J86" s="93"/>
      <c r="K86" s="19" t="str">
        <f>IFERROR(__xludf.DUMMYFUNCTION("""COMPUTED_VALUE"""),"sdh fu, tidak ada jawaban")</f>
        <v>sdh fu, tidak ada jawaban</v>
      </c>
      <c r="L86" s="88" t="str">
        <f>IFERROR(__xludf.DUMMYFUNCTION("""COMPUTED_VALUE"""),"https://docs.google.com/document/d/1lD9a15JSkoUqNEWc4yAAkY9U5qc9a3NCOi3Mr2eD0dk/edit?usp=drivesdk")</f>
        <v>https://docs.google.com/document/d/1lD9a15JSkoUqNEWc4yAAkY9U5qc9a3NCOi3Mr2eD0dk/edit?usp=drivesdk</v>
      </c>
      <c r="M86" s="20"/>
      <c r="N86" s="20"/>
      <c r="O86" s="20"/>
      <c r="P86" s="20"/>
    </row>
    <row r="87">
      <c r="A87" s="21">
        <f>IFERROR(__xludf.DUMMYFUNCTION("""COMPUTED_VALUE"""),46092.0)</f>
        <v>46092</v>
      </c>
      <c r="B87" s="22" t="str">
        <f>IFERROR(__xludf.DUMMYFUNCTION("""COMPUTED_VALUE"""),"2603H005")</f>
        <v>2603H005</v>
      </c>
      <c r="C87" s="23" t="str">
        <f>IFERROR(__xludf.DUMMYFUNCTION("""COMPUTED_VALUE"""),"Yani")</f>
        <v>Yani</v>
      </c>
      <c r="D87" s="24" t="str">
        <f>IFERROR(__xludf.DUMMYFUNCTION("""COMPUTED_VALUE"""),"087780925178")</f>
        <v>087780925178</v>
      </c>
      <c r="E87" s="14" t="str">
        <f>IFERROR(__xludf.DUMMYFUNCTION("""COMPUTED_VALUE"""),"Website")</f>
        <v>Website</v>
      </c>
      <c r="F87" s="14" t="str">
        <f>IFERROR(__xludf.DUMMYFUNCTION("""COMPUTED_VALUE"""),"Gagal")</f>
        <v>Gagal</v>
      </c>
      <c r="G87" s="14" t="str">
        <f>IFERROR(__xludf.DUMMYFUNCTION("""COMPUTED_VALUE"""),"3H2M opsi A")</f>
        <v>3H2M opsi A</v>
      </c>
      <c r="H87" s="26"/>
      <c r="I87" s="27">
        <f>IFERROR(__xludf.DUMMYFUNCTION("""COMPUTED_VALUE"""),5.0)</f>
        <v>5</v>
      </c>
      <c r="J87" s="24">
        <f>IFERROR(__xludf.DUMMYFUNCTION("""COMPUTED_VALUE"""),9100000.0)</f>
        <v>9100000</v>
      </c>
      <c r="K87" s="30" t="str">
        <f>IFERROR(__xludf.DUMMYFUNCTION("""COMPUTED_VALUE"""),"masih tanya ")</f>
        <v>masih tanya </v>
      </c>
      <c r="L87" s="23"/>
      <c r="M87" s="20"/>
      <c r="N87" s="20"/>
      <c r="O87" s="20"/>
      <c r="P87" s="20"/>
    </row>
    <row r="88">
      <c r="A88" s="11">
        <f>IFERROR(__xludf.DUMMYFUNCTION("""COMPUTED_VALUE"""),46092.0)</f>
        <v>46092</v>
      </c>
      <c r="B88" s="12" t="str">
        <f>IFERROR(__xludf.DUMMYFUNCTION("""COMPUTED_VALUE"""),"2603D006")</f>
        <v>2603D006</v>
      </c>
      <c r="C88" s="10" t="str">
        <f>IFERROR(__xludf.DUMMYFUNCTION("""COMPUTED_VALUE"""),"Shella")</f>
        <v>Shella</v>
      </c>
      <c r="D88" s="13" t="str">
        <f>IFERROR(__xludf.DUMMYFUNCTION("""COMPUTED_VALUE"""),"082123875017")</f>
        <v>082123875017</v>
      </c>
      <c r="E88" s="14" t="str">
        <f>IFERROR(__xludf.DUMMYFUNCTION("""COMPUTED_VALUE"""),"Lainnya")</f>
        <v>Lainnya</v>
      </c>
      <c r="F88" s="14" t="str">
        <f>IFERROR(__xludf.DUMMYFUNCTION("""COMPUTED_VALUE"""),"Closing")</f>
        <v>Closing</v>
      </c>
      <c r="G88" s="15" t="str">
        <f>IFERROR(__xludf.DUMMYFUNCTION("""COMPUTED_VALUE"""),"Full day trip B,D,PM")</f>
        <v>Full day trip B,D,PM</v>
      </c>
      <c r="H88" s="16">
        <f>IFERROR(__xludf.DUMMYFUNCTION("""COMPUTED_VALUE"""),46100.0)</f>
        <v>46100</v>
      </c>
      <c r="I88" s="17">
        <f>IFERROR(__xludf.DUMMYFUNCTION("""COMPUTED_VALUE"""),6.0)</f>
        <v>6</v>
      </c>
      <c r="J88" s="94">
        <f>IFERROR(__xludf.DUMMYFUNCTION("""COMPUTED_VALUE"""),2850000.0)</f>
        <v>2850000</v>
      </c>
      <c r="K88" s="46" t="str">
        <f>IFERROR(__xludf.DUMMYFUNCTION("""COMPUTED_VALUE"""),"orderrr")</f>
        <v>orderrr</v>
      </c>
      <c r="L88" s="10"/>
      <c r="M88" s="20"/>
      <c r="N88" s="20"/>
      <c r="O88" s="20"/>
      <c r="P88" s="20"/>
    </row>
    <row r="89">
      <c r="A89" s="21">
        <f>IFERROR(__xludf.DUMMYFUNCTION("""COMPUTED_VALUE"""),46092.0)</f>
        <v>46092</v>
      </c>
      <c r="B89" s="22" t="str">
        <f>IFERROR(__xludf.DUMMYFUNCTION("""COMPUTED_VALUE"""),"2603H007")</f>
        <v>2603H007</v>
      </c>
      <c r="C89" s="23" t="str">
        <f>IFERROR(__xludf.DUMMYFUNCTION("""COMPUTED_VALUE"""),"Hendrik")</f>
        <v>Hendrik</v>
      </c>
      <c r="D89" s="24" t="str">
        <f>IFERROR(__xludf.DUMMYFUNCTION("""COMPUTED_VALUE"""),"08127880606")</f>
        <v>08127880606</v>
      </c>
      <c r="E89" s="14" t="str">
        <f>IFERROR(__xludf.DUMMYFUNCTION("""COMPUTED_VALUE"""),"Lainnya")</f>
        <v>Lainnya</v>
      </c>
      <c r="F89" s="14" t="str">
        <f>IFERROR(__xludf.DUMMYFUNCTION("""COMPUTED_VALUE"""),"Gagal")</f>
        <v>Gagal</v>
      </c>
      <c r="G89" s="25" t="str">
        <f>IFERROR(__xludf.DUMMYFUNCTION("""COMPUTED_VALUE"""),"OT kawah ijen")</f>
        <v>OT kawah ijen</v>
      </c>
      <c r="H89" s="26">
        <f>IFERROR(__xludf.DUMMYFUNCTION("""COMPUTED_VALUE"""),46102.0)</f>
        <v>46102</v>
      </c>
      <c r="I89" s="27">
        <f>IFERROR(__xludf.DUMMYFUNCTION("""COMPUTED_VALUE"""),4.0)</f>
        <v>4</v>
      </c>
      <c r="J89" s="28">
        <f>IFERROR(__xludf.DUMMYFUNCTION("""COMPUTED_VALUE"""),1400000.0)</f>
        <v>1400000</v>
      </c>
      <c r="K89" s="36" t="str">
        <f>IFERROR(__xludf.DUMMYFUNCTION("""COMPUTED_VALUE"""),"tanya tanya ")</f>
        <v>tanya tanya </v>
      </c>
      <c r="L89" s="49"/>
      <c r="M89" s="20"/>
      <c r="N89" s="20"/>
      <c r="O89" s="20"/>
      <c r="P89" s="20"/>
    </row>
    <row r="90">
      <c r="A90" s="11">
        <f>IFERROR(__xludf.DUMMYFUNCTION("""COMPUTED_VALUE"""),46092.0)</f>
        <v>46092</v>
      </c>
      <c r="B90" s="12" t="str">
        <f>IFERROR(__xludf.DUMMYFUNCTION("""COMPUTED_VALUE"""),"2603H008")</f>
        <v>2603H008</v>
      </c>
      <c r="C90" s="10" t="str">
        <f>IFERROR(__xludf.DUMMYFUNCTION("""COMPUTED_VALUE"""),"Amin")</f>
        <v>Amin</v>
      </c>
      <c r="D90" s="13" t="str">
        <f>IFERROR(__xludf.DUMMYFUNCTION("""COMPUTED_VALUE"""),"085100362378")</f>
        <v>085100362378</v>
      </c>
      <c r="E90" s="14" t="str">
        <f>IFERROR(__xludf.DUMMYFUNCTION("""COMPUTED_VALUE"""),"Lainnya")</f>
        <v>Lainnya</v>
      </c>
      <c r="F90" s="14" t="str">
        <f>IFERROR(__xludf.DUMMYFUNCTION("""COMPUTED_VALUE"""),"Gagal")</f>
        <v>Gagal</v>
      </c>
      <c r="G90" s="25" t="str">
        <f>IFERROR(__xludf.DUMMYFUNCTION("""COMPUTED_VALUE"""),"trip kawah ijen ")</f>
        <v>trip kawah ijen </v>
      </c>
      <c r="H90" s="16"/>
      <c r="I90" s="80">
        <f>IFERROR(__xludf.DUMMYFUNCTION("""COMPUTED_VALUE"""),38.0)</f>
        <v>38</v>
      </c>
      <c r="J90" s="54">
        <f>IFERROR(__xludf.DUMMYFUNCTION("""COMPUTED_VALUE"""),1.425E7)</f>
        <v>14250000</v>
      </c>
      <c r="K90" s="19" t="str">
        <f>IFERROR(__xludf.DUMMYFUNCTION("""COMPUTED_VALUE"""),"tanyaa harga")</f>
        <v>tanyaa harga</v>
      </c>
      <c r="L90" s="76"/>
      <c r="M90" s="20"/>
      <c r="N90" s="20"/>
      <c r="O90" s="20"/>
      <c r="P90" s="20"/>
    </row>
    <row r="91">
      <c r="A91" s="21">
        <f>IFERROR(__xludf.DUMMYFUNCTION("""COMPUTED_VALUE"""),46093.0)</f>
        <v>46093</v>
      </c>
      <c r="B91" s="22" t="str">
        <f>IFERROR(__xludf.DUMMYFUNCTION("""COMPUTED_VALUE"""),"2603H009")</f>
        <v>2603H009</v>
      </c>
      <c r="C91" s="23" t="str">
        <f>IFERROR(__xludf.DUMMYFUNCTION("""COMPUTED_VALUE"""),"Nayla")</f>
        <v>Nayla</v>
      </c>
      <c r="D91" s="24" t="str">
        <f>IFERROR(__xludf.DUMMYFUNCTION("""COMPUTED_VALUE"""),"083899549083")</f>
        <v>083899549083</v>
      </c>
      <c r="E91" s="14" t="str">
        <f>IFERROR(__xludf.DUMMYFUNCTION("""COMPUTED_VALUE"""),"Lainnya")</f>
        <v>Lainnya</v>
      </c>
      <c r="F91" s="14" t="str">
        <f>IFERROR(__xludf.DUMMYFUNCTION("""COMPUTED_VALUE"""),"Gagal")</f>
        <v>Gagal</v>
      </c>
      <c r="G91" s="14" t="str">
        <f>IFERROR(__xludf.DUMMYFUNCTION("""COMPUTED_VALUE"""),"custom 3H2M")</f>
        <v>custom 3H2M</v>
      </c>
      <c r="H91" s="26"/>
      <c r="I91" s="27">
        <f>IFERROR(__xludf.DUMMYFUNCTION("""COMPUTED_VALUE"""),2.0)</f>
        <v>2</v>
      </c>
      <c r="J91" s="28">
        <f>IFERROR(__xludf.DUMMYFUNCTION("""COMPUTED_VALUE"""),8190000.0)</f>
        <v>8190000</v>
      </c>
      <c r="K91" s="30" t="str">
        <f>IFERROR(__xludf.DUMMYFUNCTION("""COMPUTED_VALUE"""),"ssudah di follow up, tidak ada jawaban, gagal")</f>
        <v>ssudah di follow up, tidak ada jawaban, gagal</v>
      </c>
      <c r="L91" s="23"/>
      <c r="M91" s="20"/>
      <c r="N91" s="20"/>
      <c r="O91" s="20"/>
      <c r="P91" s="20"/>
    </row>
    <row r="92">
      <c r="A92" s="11">
        <f>IFERROR(__xludf.DUMMYFUNCTION("""COMPUTED_VALUE"""),46094.0)</f>
        <v>46094</v>
      </c>
      <c r="B92" s="12" t="str">
        <f>IFERROR(__xludf.DUMMYFUNCTION("""COMPUTED_VALUE"""),"2603H010")</f>
        <v>2603H010</v>
      </c>
      <c r="C92" s="10" t="str">
        <f>IFERROR(__xludf.DUMMYFUNCTION("""COMPUTED_VALUE"""),"iing")</f>
        <v>iing</v>
      </c>
      <c r="D92" s="13" t="str">
        <f>IFERROR(__xludf.DUMMYFUNCTION("""COMPUTED_VALUE"""),"081388999950")</f>
        <v>081388999950</v>
      </c>
      <c r="E92" s="14" t="str">
        <f>IFERROR(__xludf.DUMMYFUNCTION("""COMPUTED_VALUE"""),"Lainnya")</f>
        <v>Lainnya</v>
      </c>
      <c r="F92" s="14" t="str">
        <f>IFERROR(__xludf.DUMMYFUNCTION("""COMPUTED_VALUE"""),"Gagal")</f>
        <v>Gagal</v>
      </c>
      <c r="G92" s="15" t="str">
        <f>IFERROR(__xludf.DUMMYFUNCTION("""COMPUTED_VALUE"""),"3H2M")</f>
        <v>3H2M</v>
      </c>
      <c r="H92" s="92">
        <f>IFERROR(__xludf.DUMMYFUNCTION("""COMPUTED_VALUE"""),46100.0)</f>
        <v>46100</v>
      </c>
      <c r="I92" s="17">
        <f>IFERROR(__xludf.DUMMYFUNCTION("""COMPUTED_VALUE"""),4.0)</f>
        <v>4</v>
      </c>
      <c r="J92" s="54">
        <f>IFERROR(__xludf.DUMMYFUNCTION("""COMPUTED_VALUE"""),1.27E7)</f>
        <v>12700000</v>
      </c>
      <c r="K92" s="46" t="str">
        <f>IFERROR(__xludf.DUMMYFUNCTION("""COMPUTED_VALUE"""),"full booked")</f>
        <v>full booked</v>
      </c>
      <c r="L92" s="10"/>
      <c r="M92" s="20"/>
      <c r="N92" s="20"/>
      <c r="O92" s="20"/>
      <c r="P92" s="20"/>
    </row>
    <row r="93">
      <c r="A93" s="21">
        <f>IFERROR(__xludf.DUMMYFUNCTION("""COMPUTED_VALUE"""),46094.0)</f>
        <v>46094</v>
      </c>
      <c r="B93" s="22" t="str">
        <f>IFERROR(__xludf.DUMMYFUNCTION("""COMPUTED_VALUE"""),"2603H011")</f>
        <v>2603H011</v>
      </c>
      <c r="C93" s="23" t="str">
        <f>IFERROR(__xludf.DUMMYFUNCTION("""COMPUTED_VALUE"""),"Mvxlv")</f>
        <v>Mvxlv</v>
      </c>
      <c r="D93" s="24" t="str">
        <f>IFERROR(__xludf.DUMMYFUNCTION("""COMPUTED_VALUE"""),"082315466518")</f>
        <v>082315466518</v>
      </c>
      <c r="E93" s="14" t="str">
        <f>IFERROR(__xludf.DUMMYFUNCTION("""COMPUTED_VALUE"""),"Lainnya")</f>
        <v>Lainnya</v>
      </c>
      <c r="F93" s="14" t="str">
        <f>IFERROR(__xludf.DUMMYFUNCTION("""COMPUTED_VALUE"""),"Gagal")</f>
        <v>Gagal</v>
      </c>
      <c r="G93" s="14"/>
      <c r="H93" s="26"/>
      <c r="I93" s="27"/>
      <c r="J93" s="28"/>
      <c r="K93" s="30" t="str">
        <f>IFERROR(__xludf.DUMMYFUNCTION("""COMPUTED_VALUE"""),"tidak jadi, travel dari bogor")</f>
        <v>tidak jadi, travel dari bogor</v>
      </c>
      <c r="L93" s="23"/>
      <c r="M93" s="20"/>
      <c r="N93" s="20"/>
      <c r="O93" s="20"/>
      <c r="P93" s="20"/>
    </row>
    <row r="94">
      <c r="A94" s="11">
        <f>IFERROR(__xludf.DUMMYFUNCTION("""COMPUTED_VALUE"""),46094.0)</f>
        <v>46094</v>
      </c>
      <c r="B94" s="12" t="str">
        <f>IFERROR(__xludf.DUMMYFUNCTION("""COMPUTED_VALUE"""),"2603H012")</f>
        <v>2603H012</v>
      </c>
      <c r="C94" s="10" t="str">
        <f>IFERROR(__xludf.DUMMYFUNCTION("""COMPUTED_VALUE"""),"Agnes Putri")</f>
        <v>Agnes Putri</v>
      </c>
      <c r="D94" s="13" t="str">
        <f>IFERROR(__xludf.DUMMYFUNCTION("""COMPUTED_VALUE"""),"085697084349")</f>
        <v>085697084349</v>
      </c>
      <c r="E94" s="14" t="str">
        <f>IFERROR(__xludf.DUMMYFUNCTION("""COMPUTED_VALUE"""),"Lainnya")</f>
        <v>Lainnya</v>
      </c>
      <c r="F94" s="14" t="str">
        <f>IFERROR(__xludf.DUMMYFUNCTION("""COMPUTED_VALUE"""),"Gagal")</f>
        <v>Gagal</v>
      </c>
      <c r="G94" s="14" t="str">
        <f>IFERROR(__xludf.DUMMYFUNCTION("""COMPUTED_VALUE"""),"trip Ijen, Baluran")</f>
        <v>trip Ijen, Baluran</v>
      </c>
      <c r="H94" s="16">
        <f>IFERROR(__xludf.DUMMYFUNCTION("""COMPUTED_VALUE"""),46098.0)</f>
        <v>46098</v>
      </c>
      <c r="I94" s="80"/>
      <c r="J94" s="54"/>
      <c r="K94" s="46" t="str">
        <f>IFERROR(__xludf.DUMMYFUNCTION("""COMPUTED_VALUE"""),"trip nya diganti ke Trenggalek ")</f>
        <v>trip nya diganti ke Trenggalek </v>
      </c>
      <c r="L94" s="10"/>
      <c r="M94" s="20"/>
      <c r="N94" s="20"/>
      <c r="O94" s="20"/>
      <c r="P94" s="20"/>
    </row>
    <row r="95">
      <c r="A95" s="21">
        <f>IFERROR(__xludf.DUMMYFUNCTION("""COMPUTED_VALUE"""),46095.0)</f>
        <v>46095</v>
      </c>
      <c r="B95" s="22" t="str">
        <f>IFERROR(__xludf.DUMMYFUNCTION("""COMPUTED_VALUE"""),"2603H013 ")</f>
        <v>2603H013 </v>
      </c>
      <c r="C95" s="23" t="str">
        <f>IFERROR(__xludf.DUMMYFUNCTION("""COMPUTED_VALUE"""),"Fadli")</f>
        <v>Fadli</v>
      </c>
      <c r="D95" s="24" t="str">
        <f>IFERROR(__xludf.DUMMYFUNCTION("""COMPUTED_VALUE"""),"087877926169")</f>
        <v>087877926169</v>
      </c>
      <c r="E95" s="14" t="str">
        <f>IFERROR(__xludf.DUMMYFUNCTION("""COMPUTED_VALUE"""),"Lainnya")</f>
        <v>Lainnya</v>
      </c>
      <c r="F95" s="14" t="str">
        <f>IFERROR(__xludf.DUMMYFUNCTION("""COMPUTED_VALUE"""),"Prospek")</f>
        <v>Prospek</v>
      </c>
      <c r="G95" s="15" t="str">
        <f>IFERROR(__xludf.DUMMYFUNCTION("""COMPUTED_VALUE"""),"3H2M")</f>
        <v>3H2M</v>
      </c>
      <c r="H95" s="26"/>
      <c r="I95" s="27">
        <f>IFERROR(__xludf.DUMMYFUNCTION("""COMPUTED_VALUE"""),140.0)</f>
        <v>140</v>
      </c>
      <c r="J95" s="33">
        <f>IFERROR(__xludf.DUMMYFUNCTION("""COMPUTED_VALUE"""),6.3E8)</f>
        <v>630000000</v>
      </c>
      <c r="K95" s="30" t="str">
        <f>IFERROR(__xludf.DUMMYFUNCTION("""COMPUTED_VALUE"""),"FU 7 juni")</f>
        <v>FU 7 juni</v>
      </c>
      <c r="L95" s="23"/>
      <c r="M95" s="20"/>
      <c r="N95" s="20"/>
      <c r="O95" s="20"/>
      <c r="P95" s="20"/>
    </row>
    <row r="96">
      <c r="A96" s="11">
        <f>IFERROR(__xludf.DUMMYFUNCTION("""COMPUTED_VALUE"""),46095.0)</f>
        <v>46095</v>
      </c>
      <c r="B96" s="12" t="str">
        <f>IFERROR(__xludf.DUMMYFUNCTION("""COMPUTED_VALUE"""),"2603H014")</f>
        <v>2603H014</v>
      </c>
      <c r="C96" s="10" t="str">
        <f>IFERROR(__xludf.DUMMYFUNCTION("""COMPUTED_VALUE"""),"Azhar")</f>
        <v>Azhar</v>
      </c>
      <c r="D96" s="13" t="str">
        <f>IFERROR(__xludf.DUMMYFUNCTION("""COMPUTED_VALUE"""),"08161612238")</f>
        <v>08161612238</v>
      </c>
      <c r="E96" s="14" t="str">
        <f>IFERROR(__xludf.DUMMYFUNCTION("""COMPUTED_VALUE"""),"Lainnya")</f>
        <v>Lainnya</v>
      </c>
      <c r="F96" s="14" t="str">
        <f>IFERROR(__xludf.DUMMYFUNCTION("""COMPUTED_VALUE"""),"Gagal")</f>
        <v>Gagal</v>
      </c>
      <c r="G96" s="14" t="str">
        <f>IFERROR(__xludf.DUMMYFUNCTION("""COMPUTED_VALUE"""),"custom 2H1M ")</f>
        <v>custom 2H1M </v>
      </c>
      <c r="H96" s="16"/>
      <c r="I96" s="17">
        <f>IFERROR(__xludf.DUMMYFUNCTION("""COMPUTED_VALUE"""),3.0)</f>
        <v>3</v>
      </c>
      <c r="J96" s="54">
        <f>IFERROR(__xludf.DUMMYFUNCTION("""COMPUTED_VALUE"""),8315000.0)</f>
        <v>8315000</v>
      </c>
      <c r="K96" s="46" t="str">
        <f>IFERROR(__xludf.DUMMYFUNCTION("""COMPUTED_VALUE"""),"tidak ada jawaban, sdh fu")</f>
        <v>tidak ada jawaban, sdh fu</v>
      </c>
      <c r="L96" s="100" t="str">
        <f>IFERROR(__xludf.DUMMYFUNCTION("""COMPUTED_VALUE"""),"https://docs.google.com/document/d/16jXEDyRnYC0BQFWI7sPtGTCTtbWMJGALmVleevzy1yg/edit?usp=drivesdk")</f>
        <v>https://docs.google.com/document/d/16jXEDyRnYC0BQFWI7sPtGTCTtbWMJGALmVleevzy1yg/edit?usp=drivesdk</v>
      </c>
      <c r="M96" s="20"/>
      <c r="N96" s="20"/>
      <c r="O96" s="20"/>
      <c r="P96" s="20"/>
    </row>
    <row r="97">
      <c r="A97" s="21">
        <f>IFERROR(__xludf.DUMMYFUNCTION("""COMPUTED_VALUE"""),46095.0)</f>
        <v>46095</v>
      </c>
      <c r="B97" s="22" t="str">
        <f>IFERROR(__xludf.DUMMYFUNCTION("""COMPUTED_VALUE"""),"2603H015")</f>
        <v>2603H015</v>
      </c>
      <c r="C97" s="23" t="str">
        <f>IFERROR(__xludf.DUMMYFUNCTION("""COMPUTED_VALUE"""),"Isti")</f>
        <v>Isti</v>
      </c>
      <c r="D97" s="24" t="str">
        <f>IFERROR(__xludf.DUMMYFUNCTION("""COMPUTED_VALUE"""),"085817202531")</f>
        <v>085817202531</v>
      </c>
      <c r="E97" s="14" t="str">
        <f>IFERROR(__xludf.DUMMYFUNCTION("""COMPUTED_VALUE"""),"Lainnya")</f>
        <v>Lainnya</v>
      </c>
      <c r="F97" s="14" t="str">
        <f>IFERROR(__xludf.DUMMYFUNCTION("""COMPUTED_VALUE"""),"Gagal")</f>
        <v>Gagal</v>
      </c>
      <c r="G97" s="25" t="str">
        <f>IFERROR(__xludf.DUMMYFUNCTION("""COMPUTED_VALUE"""),"paket custom")</f>
        <v>paket custom</v>
      </c>
      <c r="H97" s="26">
        <f>IFERROR(__xludf.DUMMYFUNCTION("""COMPUTED_VALUE"""),46104.0)</f>
        <v>46104</v>
      </c>
      <c r="I97" s="27">
        <f>IFERROR(__xludf.DUMMYFUNCTION("""COMPUTED_VALUE"""),4.0)</f>
        <v>4</v>
      </c>
      <c r="J97" s="28">
        <f>IFERROR(__xludf.DUMMYFUNCTION("""COMPUTED_VALUE"""),7148000.0)</f>
        <v>7148000</v>
      </c>
      <c r="K97" s="36" t="str">
        <f>IFERROR(__xludf.DUMMYFUNCTION("""COMPUTED_VALUE"""),"sudah kirim penawaran, masih diskusi ")</f>
        <v>sudah kirim penawaran, masih diskusi </v>
      </c>
      <c r="L97" s="23"/>
      <c r="M97" s="20"/>
      <c r="N97" s="20"/>
      <c r="O97" s="20"/>
      <c r="P97" s="20"/>
    </row>
    <row r="98">
      <c r="A98" s="11">
        <f>IFERROR(__xludf.DUMMYFUNCTION("""COMPUTED_VALUE"""),46096.0)</f>
        <v>46096</v>
      </c>
      <c r="B98" s="12" t="str">
        <f>IFERROR(__xludf.DUMMYFUNCTION("""COMPUTED_VALUE"""),"2603H016")</f>
        <v>2603H016</v>
      </c>
      <c r="C98" s="10" t="str">
        <f>IFERROR(__xludf.DUMMYFUNCTION("""COMPUTED_VALUE"""),"Rindra")</f>
        <v>Rindra</v>
      </c>
      <c r="D98" s="13" t="str">
        <f>IFERROR(__xludf.DUMMYFUNCTION("""COMPUTED_VALUE"""),"085722362657")</f>
        <v>085722362657</v>
      </c>
      <c r="E98" s="14" t="str">
        <f>IFERROR(__xludf.DUMMYFUNCTION("""COMPUTED_VALUE"""),"Lainnya")</f>
        <v>Lainnya</v>
      </c>
      <c r="F98" s="14" t="str">
        <f>IFERROR(__xludf.DUMMYFUNCTION("""COMPUTED_VALUE"""),"Gagal")</f>
        <v>Gagal</v>
      </c>
      <c r="G98" s="25" t="str">
        <f>IFERROR(__xludf.DUMMYFUNCTION("""COMPUTED_VALUE"""),"custom 4H3M")</f>
        <v>custom 4H3M</v>
      </c>
      <c r="H98" s="16"/>
      <c r="I98" s="80">
        <f>IFERROR(__xludf.DUMMYFUNCTION("""COMPUTED_VALUE"""),2.0)</f>
        <v>2</v>
      </c>
      <c r="J98" s="95"/>
      <c r="K98" s="19" t="str">
        <f>IFERROR(__xludf.DUMMYFUNCTION("""COMPUTED_VALUE"""),"tanya tanya dulu")</f>
        <v>tanya tanya dulu</v>
      </c>
      <c r="L98" s="10"/>
      <c r="M98" s="20"/>
      <c r="N98" s="20"/>
      <c r="O98" s="20"/>
      <c r="P98" s="20"/>
    </row>
    <row r="99">
      <c r="A99" s="21">
        <f>IFERROR(__xludf.DUMMYFUNCTION("""COMPUTED_VALUE"""),46096.0)</f>
        <v>46096</v>
      </c>
      <c r="B99" s="22" t="str">
        <f>IFERROR(__xludf.DUMMYFUNCTION("""COMPUTED_VALUE"""),"2603H017")</f>
        <v>2603H017</v>
      </c>
      <c r="C99" s="23" t="str">
        <f>IFERROR(__xludf.DUMMYFUNCTION("""COMPUTED_VALUE"""),"Saskia")</f>
        <v>Saskia</v>
      </c>
      <c r="D99" s="24" t="str">
        <f>IFERROR(__xludf.DUMMYFUNCTION("""COMPUTED_VALUE"""),"089636427447")</f>
        <v>089636427447</v>
      </c>
      <c r="E99" s="14" t="str">
        <f>IFERROR(__xludf.DUMMYFUNCTION("""COMPUTED_VALUE"""),"Lainnya")</f>
        <v>Lainnya</v>
      </c>
      <c r="F99" s="14" t="str">
        <f>IFERROR(__xludf.DUMMYFUNCTION("""COMPUTED_VALUE"""),"Gagal")</f>
        <v>Gagal</v>
      </c>
      <c r="G99" s="15" t="str">
        <f>IFERROR(__xludf.DUMMYFUNCTION("""COMPUTED_VALUE"""),"4H3M")</f>
        <v>4H3M</v>
      </c>
      <c r="H99" s="26"/>
      <c r="I99" s="27">
        <f>IFERROR(__xludf.DUMMYFUNCTION("""COMPUTED_VALUE"""),3.0)</f>
        <v>3</v>
      </c>
      <c r="J99" s="28">
        <f>IFERROR(__xludf.DUMMYFUNCTION("""COMPUTED_VALUE"""),7002000.0)</f>
        <v>7002000</v>
      </c>
      <c r="K99" s="36" t="str">
        <f>IFERROR(__xludf.DUMMYFUNCTION("""COMPUTED_VALUE"""),"trip ditunda karena suatu alasan")</f>
        <v>trip ditunda karena suatu alasan</v>
      </c>
      <c r="L99" s="87" t="str">
        <f>IFERROR(__xludf.DUMMYFUNCTION("""COMPUTED_VALUE"""),"https://docs.google.com/document/d/1_D609ow8tpoS66gAPI9ruax0NuLmvRZyjOZ0W0kB3Ao/edit?usp=drivesdk")</f>
        <v>https://docs.google.com/document/d/1_D609ow8tpoS66gAPI9ruax0NuLmvRZyjOZ0W0kB3Ao/edit?usp=drivesdk</v>
      </c>
      <c r="M99" s="20"/>
      <c r="N99" s="20"/>
      <c r="O99" s="20"/>
      <c r="P99" s="20"/>
    </row>
    <row r="100">
      <c r="A100" s="11">
        <f>IFERROR(__xludf.DUMMYFUNCTION("""COMPUTED_VALUE"""),46097.0)</f>
        <v>46097</v>
      </c>
      <c r="B100" s="12" t="str">
        <f>IFERROR(__xludf.DUMMYFUNCTION("""COMPUTED_VALUE"""),"2603H018")</f>
        <v>2603H018</v>
      </c>
      <c r="C100" s="10" t="str">
        <f>IFERROR(__xludf.DUMMYFUNCTION("""COMPUTED_VALUE"""),"Wardah")</f>
        <v>Wardah</v>
      </c>
      <c r="D100" s="13" t="str">
        <f>IFERROR(__xludf.DUMMYFUNCTION("""COMPUTED_VALUE"""),"08159644745")</f>
        <v>08159644745</v>
      </c>
      <c r="E100" s="14" t="str">
        <f>IFERROR(__xludf.DUMMYFUNCTION("""COMPUTED_VALUE"""),"Lainnya")</f>
        <v>Lainnya</v>
      </c>
      <c r="F100" s="14" t="str">
        <f>IFERROR(__xludf.DUMMYFUNCTION("""COMPUTED_VALUE"""),"Closing")</f>
        <v>Closing</v>
      </c>
      <c r="G100" s="14" t="str">
        <f>IFERROR(__xludf.DUMMYFUNCTION("""COMPUTED_VALUE"""),"3H2M")</f>
        <v>3H2M</v>
      </c>
      <c r="H100" s="16"/>
      <c r="I100" s="17">
        <f>IFERROR(__xludf.DUMMYFUNCTION("""COMPUTED_VALUE"""),8.0)</f>
        <v>8</v>
      </c>
      <c r="J100" s="18">
        <f>IFERROR(__xludf.DUMMYFUNCTION("""COMPUTED_VALUE"""),1.42E7)</f>
        <v>14200000</v>
      </c>
      <c r="K100" s="46" t="str">
        <f>IFERROR(__xludf.DUMMYFUNCTION("""COMPUTED_VALUE"""),"alhamdulillah order ")</f>
        <v>alhamdulillah order </v>
      </c>
      <c r="L100" s="10"/>
      <c r="M100" s="20"/>
      <c r="N100" s="20"/>
      <c r="O100" s="20"/>
      <c r="P100" s="20"/>
    </row>
    <row r="101">
      <c r="A101" s="21">
        <f>IFERROR(__xludf.DUMMYFUNCTION("""COMPUTED_VALUE"""),46097.0)</f>
        <v>46097</v>
      </c>
      <c r="B101" s="22" t="str">
        <f>IFERROR(__xludf.DUMMYFUNCTION("""COMPUTED_VALUE"""),"2603H019")</f>
        <v>2603H019</v>
      </c>
      <c r="C101" s="23" t="str">
        <f>IFERROR(__xludf.DUMMYFUNCTION("""COMPUTED_VALUE"""),"Nanin")</f>
        <v>Nanin</v>
      </c>
      <c r="D101" s="24" t="str">
        <f>IFERROR(__xludf.DUMMYFUNCTION("""COMPUTED_VALUE"""),"085269166524")</f>
        <v>085269166524</v>
      </c>
      <c r="E101" s="14" t="str">
        <f>IFERROR(__xludf.DUMMYFUNCTION("""COMPUTED_VALUE"""),"Lainnya")</f>
        <v>Lainnya</v>
      </c>
      <c r="F101" s="14" t="str">
        <f>IFERROR(__xludf.DUMMYFUNCTION("""COMPUTED_VALUE"""),"Gagal")</f>
        <v>Gagal</v>
      </c>
      <c r="G101" s="15" t="str">
        <f>IFERROR(__xludf.DUMMYFUNCTION("""COMPUTED_VALUE"""),"custom 3H2M")</f>
        <v>custom 3H2M</v>
      </c>
      <c r="H101" s="26">
        <f>IFERROR(__xludf.DUMMYFUNCTION("""COMPUTED_VALUE"""),46102.0)</f>
        <v>46102</v>
      </c>
      <c r="I101" s="27">
        <f>IFERROR(__xludf.DUMMYFUNCTION("""COMPUTED_VALUE"""),4.0)</f>
        <v>4</v>
      </c>
      <c r="J101" s="33">
        <f>IFERROR(__xludf.DUMMYFUNCTION("""COMPUTED_VALUE"""),1.356E7)</f>
        <v>13560000</v>
      </c>
      <c r="K101" s="30" t="str">
        <f>IFERROR(__xludf.DUMMYFUNCTION("""COMPUTED_VALUE"""),"lewat tanggal tidak balas")</f>
        <v>lewat tanggal tidak balas</v>
      </c>
      <c r="L101" s="23"/>
      <c r="M101" s="20"/>
      <c r="N101" s="20"/>
      <c r="O101" s="20"/>
      <c r="P101" s="20"/>
    </row>
    <row r="102">
      <c r="A102" s="11">
        <f>IFERROR(__xludf.DUMMYFUNCTION("""COMPUTED_VALUE"""),46099.0)</f>
        <v>46099</v>
      </c>
      <c r="B102" s="12" t="str">
        <f>IFERROR(__xludf.DUMMYFUNCTION("""COMPUTED_VALUE"""),"2603H020")</f>
        <v>2603H020</v>
      </c>
      <c r="C102" s="10" t="str">
        <f>IFERROR(__xludf.DUMMYFUNCTION("""COMPUTED_VALUE"""),"Robby")</f>
        <v>Robby</v>
      </c>
      <c r="D102" s="13" t="str">
        <f>IFERROR(__xludf.DUMMYFUNCTION("""COMPUTED_VALUE""")," 087785169652")</f>
        <v> 087785169652</v>
      </c>
      <c r="E102" s="14" t="str">
        <f>IFERROR(__xludf.DUMMYFUNCTION("""COMPUTED_VALUE"""),"Website")</f>
        <v>Website</v>
      </c>
      <c r="F102" s="14" t="str">
        <f>IFERROR(__xludf.DUMMYFUNCTION("""COMPUTED_VALUE"""),"Gagal")</f>
        <v>Gagal</v>
      </c>
      <c r="G102" s="15" t="str">
        <f>IFERROR(__xludf.DUMMYFUNCTION("""COMPUTED_VALUE"""),"custom 4H3M ")</f>
        <v>custom 4H3M </v>
      </c>
      <c r="H102" s="16"/>
      <c r="I102" s="17">
        <f>IFERROR(__xludf.DUMMYFUNCTION("""COMPUTED_VALUE"""),3.0)</f>
        <v>3</v>
      </c>
      <c r="J102" s="18">
        <f>IFERROR(__xludf.DUMMYFUNCTION("""COMPUTED_VALUE"""),1.0719E7)</f>
        <v>10719000</v>
      </c>
      <c r="K102" s="46" t="str">
        <f>IFERROR(__xludf.DUMMYFUNCTION("""COMPUTED_VALUE"""),"ga jadi katanya")</f>
        <v>ga jadi katanya</v>
      </c>
      <c r="L102" s="10"/>
      <c r="M102" s="20"/>
      <c r="N102" s="20"/>
      <c r="O102" s="20"/>
      <c r="P102" s="20"/>
    </row>
    <row r="103">
      <c r="A103" s="21">
        <f>IFERROR(__xludf.DUMMYFUNCTION("""COMPUTED_VALUE"""),46099.0)</f>
        <v>46099</v>
      </c>
      <c r="B103" s="22" t="str">
        <f>IFERROR(__xludf.DUMMYFUNCTION("""COMPUTED_VALUE"""),"2603H021")</f>
        <v>2603H021</v>
      </c>
      <c r="C103" s="23" t="str">
        <f>IFERROR(__xludf.DUMMYFUNCTION("""COMPUTED_VALUE"""),"Cece Ayu")</f>
        <v>Cece Ayu</v>
      </c>
      <c r="D103" s="24" t="str">
        <f>IFERROR(__xludf.DUMMYFUNCTION("""COMPUTED_VALUE"""),"088991164964")</f>
        <v>088991164964</v>
      </c>
      <c r="E103" s="14" t="str">
        <f>IFERROR(__xludf.DUMMYFUNCTION("""COMPUTED_VALUE"""),"Lainnya")</f>
        <v>Lainnya</v>
      </c>
      <c r="F103" s="14" t="str">
        <f>IFERROR(__xludf.DUMMYFUNCTION("""COMPUTED_VALUE"""),"Gagal")</f>
        <v>Gagal</v>
      </c>
      <c r="G103" s="14" t="str">
        <f>IFERROR(__xludf.DUMMYFUNCTION("""COMPUTED_VALUE"""),"1 day trip ")</f>
        <v>1 day trip </v>
      </c>
      <c r="H103" s="26"/>
      <c r="I103" s="27">
        <f>IFERROR(__xludf.DUMMYFUNCTION("""COMPUTED_VALUE"""),3.0)</f>
        <v>3</v>
      </c>
      <c r="J103" s="28">
        <f>IFERROR(__xludf.DUMMYFUNCTION("""COMPUTED_VALUE"""),3300000.0)</f>
        <v>3300000</v>
      </c>
      <c r="K103" s="30" t="str">
        <f>IFERROR(__xludf.DUMMYFUNCTION("""COMPUTED_VALUE"""),"sakit, tidak jadi trip")</f>
        <v>sakit, tidak jadi trip</v>
      </c>
      <c r="L103" s="23"/>
      <c r="M103" s="20"/>
      <c r="N103" s="20"/>
      <c r="O103" s="20"/>
      <c r="P103" s="20"/>
    </row>
    <row r="104">
      <c r="A104" s="11">
        <f>IFERROR(__xludf.DUMMYFUNCTION("""COMPUTED_VALUE"""),46100.0)</f>
        <v>46100</v>
      </c>
      <c r="B104" s="12" t="str">
        <f>IFERROR(__xludf.DUMMYFUNCTION("""COMPUTED_VALUE"""),"2603H022")</f>
        <v>2603H022</v>
      </c>
      <c r="C104" s="10" t="str">
        <f>IFERROR(__xludf.DUMMYFUNCTION("""COMPUTED_VALUE"""),"Keiza")</f>
        <v>Keiza</v>
      </c>
      <c r="D104" s="13" t="str">
        <f>IFERROR(__xludf.DUMMYFUNCTION("""COMPUTED_VALUE"""),"081617779529")</f>
        <v>081617779529</v>
      </c>
      <c r="E104" s="14" t="str">
        <f>IFERROR(__xludf.DUMMYFUNCTION("""COMPUTED_VALUE"""),"Lainnya")</f>
        <v>Lainnya</v>
      </c>
      <c r="F104" s="14" t="str">
        <f>IFERROR(__xludf.DUMMYFUNCTION("""COMPUTED_VALUE"""),"Gagal")</f>
        <v>Gagal</v>
      </c>
      <c r="G104" s="14" t="str">
        <f>IFERROR(__xludf.DUMMYFUNCTION("""COMPUTED_VALUE"""),"paket custom I, M, T")</f>
        <v>paket custom I, M, T</v>
      </c>
      <c r="H104" s="16">
        <f>IFERROR(__xludf.DUMMYFUNCTION("""COMPUTED_VALUE"""),46106.0)</f>
        <v>46106</v>
      </c>
      <c r="I104" s="17">
        <f>IFERROR(__xludf.DUMMYFUNCTION("""COMPUTED_VALUE"""),6.0)</f>
        <v>6</v>
      </c>
      <c r="J104" s="18"/>
      <c r="K104" s="46" t="str">
        <f>IFERROR(__xludf.DUMMYFUNCTION("""COMPUTED_VALUE"""),"masih diskus sm keluarga ")</f>
        <v>masih diskus sm keluarga </v>
      </c>
      <c r="L104" s="10"/>
      <c r="M104" s="20"/>
      <c r="N104" s="20"/>
      <c r="O104" s="20"/>
      <c r="P104" s="20"/>
    </row>
    <row r="105">
      <c r="A105" s="21">
        <f>IFERROR(__xludf.DUMMYFUNCTION("""COMPUTED_VALUE"""),46100.0)</f>
        <v>46100</v>
      </c>
      <c r="B105" s="22" t="str">
        <f>IFERROR(__xludf.DUMMYFUNCTION("""COMPUTED_VALUE"""),"2603H023")</f>
        <v>2603H023</v>
      </c>
      <c r="C105" s="23" t="str">
        <f>IFERROR(__xludf.DUMMYFUNCTION("""COMPUTED_VALUE"""),"Yose")</f>
        <v>Yose</v>
      </c>
      <c r="D105" s="24" t="str">
        <f>IFERROR(__xludf.DUMMYFUNCTION("""COMPUTED_VALUE"""),"0816100262")</f>
        <v>0816100262</v>
      </c>
      <c r="E105" s="14" t="str">
        <f>IFERROR(__xludf.DUMMYFUNCTION("""COMPUTED_VALUE"""),"Website")</f>
        <v>Website</v>
      </c>
      <c r="F105" s="14" t="str">
        <f>IFERROR(__xludf.DUMMYFUNCTION("""COMPUTED_VALUE"""),"Gagal")</f>
        <v>Gagal</v>
      </c>
      <c r="G105" s="15"/>
      <c r="H105" s="26"/>
      <c r="I105" s="89"/>
      <c r="J105" s="96"/>
      <c r="K105" s="30" t="str">
        <f>IFERROR(__xludf.DUMMYFUNCTION("""COMPUTED_VALUE"""),"menyapa ")</f>
        <v>menyapa </v>
      </c>
      <c r="L105" s="23"/>
      <c r="M105" s="20"/>
      <c r="N105" s="20"/>
      <c r="O105" s="20"/>
      <c r="P105" s="20"/>
    </row>
    <row r="106">
      <c r="A106" s="11">
        <f>IFERROR(__xludf.DUMMYFUNCTION("""COMPUTED_VALUE"""),46099.0)</f>
        <v>46099</v>
      </c>
      <c r="B106" s="12" t="str">
        <f>IFERROR(__xludf.DUMMYFUNCTION("""COMPUTED_VALUE"""),"2603H024")</f>
        <v>2603H024</v>
      </c>
      <c r="C106" s="10" t="str">
        <f>IFERROR(__xludf.DUMMYFUNCTION("""COMPUTED_VALUE"""),"ZJT")</f>
        <v>ZJT</v>
      </c>
      <c r="D106" s="13" t="str">
        <f>IFERROR(__xludf.DUMMYFUNCTION("""COMPUTED_VALUE"""),"087870159618")</f>
        <v>087870159618</v>
      </c>
      <c r="E106" s="14" t="str">
        <f>IFERROR(__xludf.DUMMYFUNCTION("""COMPUTED_VALUE"""),"Lainnya")</f>
        <v>Lainnya</v>
      </c>
      <c r="F106" s="14" t="str">
        <f>IFERROR(__xludf.DUMMYFUNCTION("""COMPUTED_VALUE"""),"Gagal")</f>
        <v>Gagal</v>
      </c>
      <c r="G106" s="14"/>
      <c r="H106" s="16"/>
      <c r="I106" s="17"/>
      <c r="J106" s="18"/>
      <c r="K106" s="46" t="str">
        <f>IFERROR(__xludf.DUMMYFUNCTION("""COMPUTED_VALUE"""),"Hanya menyapa saja, tidak ada jawaban")</f>
        <v>Hanya menyapa saja, tidak ada jawaban</v>
      </c>
      <c r="L106" s="10"/>
      <c r="M106" s="20"/>
      <c r="N106" s="20"/>
      <c r="O106" s="20"/>
      <c r="P106" s="20"/>
    </row>
    <row r="107">
      <c r="A107" s="21">
        <f>IFERROR(__xludf.DUMMYFUNCTION("""COMPUTED_VALUE"""),46100.0)</f>
        <v>46100</v>
      </c>
      <c r="B107" s="22" t="str">
        <f>IFERROR(__xludf.DUMMYFUNCTION("""COMPUTED_VALUE"""),"2603H025")</f>
        <v>2603H025</v>
      </c>
      <c r="C107" s="23" t="str">
        <f>IFERROR(__xludf.DUMMYFUNCTION("""COMPUTED_VALUE"""),"Ary")</f>
        <v>Ary</v>
      </c>
      <c r="D107" s="24" t="str">
        <f>IFERROR(__xludf.DUMMYFUNCTION("""COMPUTED_VALUE"""),"081292929829")</f>
        <v>081292929829</v>
      </c>
      <c r="E107" s="14" t="str">
        <f>IFERROR(__xludf.DUMMYFUNCTION("""COMPUTED_VALUE"""),"Website")</f>
        <v>Website</v>
      </c>
      <c r="F107" s="14" t="str">
        <f>IFERROR(__xludf.DUMMYFUNCTION("""COMPUTED_VALUE"""),"Gagal")</f>
        <v>Gagal</v>
      </c>
      <c r="G107" s="15"/>
      <c r="H107" s="26"/>
      <c r="I107" s="27"/>
      <c r="J107" s="28"/>
      <c r="K107" s="36" t="str">
        <f>IFERROR(__xludf.DUMMYFUNCTION("""COMPUTED_VALUE"""),"tidak bales lagi")</f>
        <v>tidak bales lagi</v>
      </c>
      <c r="L107" s="23"/>
      <c r="M107" s="20"/>
      <c r="N107" s="20"/>
      <c r="O107" s="20"/>
      <c r="P107" s="20"/>
    </row>
    <row r="108">
      <c r="A108" s="11">
        <f>IFERROR(__xludf.DUMMYFUNCTION("""COMPUTED_VALUE"""),46101.0)</f>
        <v>46101</v>
      </c>
      <c r="B108" s="12" t="str">
        <f>IFERROR(__xludf.DUMMYFUNCTION("""COMPUTED_VALUE"""),"2603H026")</f>
        <v>2603H026</v>
      </c>
      <c r="C108" s="10" t="str">
        <f>IFERROR(__xludf.DUMMYFUNCTION("""COMPUTED_VALUE"""),"Diana")</f>
        <v>Diana</v>
      </c>
      <c r="D108" s="13" t="str">
        <f>IFERROR(__xludf.DUMMYFUNCTION("""COMPUTED_VALUE"""),"088242778250")</f>
        <v>088242778250</v>
      </c>
      <c r="E108" s="14" t="str">
        <f>IFERROR(__xludf.DUMMYFUNCTION("""COMPUTED_VALUE"""),"Lainnya")</f>
        <v>Lainnya</v>
      </c>
      <c r="F108" s="14" t="str">
        <f>IFERROR(__xludf.DUMMYFUNCTION("""COMPUTED_VALUE"""),"Gagal")</f>
        <v>Gagal</v>
      </c>
      <c r="G108" s="14"/>
      <c r="H108" s="16"/>
      <c r="I108" s="17"/>
      <c r="J108" s="18"/>
      <c r="K108" s="46" t="str">
        <f>IFERROR(__xludf.DUMMYFUNCTION("""COMPUTED_VALUE"""),"tanya travel penjemputan tangerang")</f>
        <v>tanya travel penjemputan tangerang</v>
      </c>
      <c r="L108" s="76"/>
      <c r="M108" s="20"/>
      <c r="N108" s="20"/>
      <c r="O108" s="20"/>
      <c r="P108" s="20"/>
    </row>
    <row r="109">
      <c r="A109" s="21">
        <f>IFERROR(__xludf.DUMMYFUNCTION("""COMPUTED_VALUE"""),46101.0)</f>
        <v>46101</v>
      </c>
      <c r="B109" s="22" t="str">
        <f>IFERROR(__xludf.DUMMYFUNCTION("""COMPUTED_VALUE"""),"2603H027")</f>
        <v>2603H027</v>
      </c>
      <c r="C109" s="23" t="str">
        <f>IFERROR(__xludf.DUMMYFUNCTION("""COMPUTED_VALUE"""),"Rosa")</f>
        <v>Rosa</v>
      </c>
      <c r="D109" s="24" t="str">
        <f>IFERROR(__xludf.DUMMYFUNCTION("""COMPUTED_VALUE"""),"08111209639")</f>
        <v>08111209639</v>
      </c>
      <c r="E109" s="14" t="str">
        <f>IFERROR(__xludf.DUMMYFUNCTION("""COMPUTED_VALUE"""),"Lainnya")</f>
        <v>Lainnya</v>
      </c>
      <c r="F109" s="14" t="str">
        <f>IFERROR(__xludf.DUMMYFUNCTION("""COMPUTED_VALUE"""),"Gagal")</f>
        <v>Gagal</v>
      </c>
      <c r="G109" s="15" t="str">
        <f>IFERROR(__xludf.DUMMYFUNCTION("""COMPUTED_VALUE"""),"OT kawah ijen")</f>
        <v>OT kawah ijen</v>
      </c>
      <c r="H109" s="26"/>
      <c r="I109" s="27">
        <f>IFERROR(__xludf.DUMMYFUNCTION("""COMPUTED_VALUE"""),3.0)</f>
        <v>3</v>
      </c>
      <c r="J109" s="33"/>
      <c r="K109" s="30" t="str">
        <f>IFERROR(__xludf.DUMMYFUNCTION("""COMPUTED_VALUE"""),"gajadi ")</f>
        <v>gajadi </v>
      </c>
      <c r="L109" s="23"/>
      <c r="M109" s="20"/>
      <c r="N109" s="20"/>
      <c r="O109" s="20"/>
      <c r="P109" s="20"/>
    </row>
    <row r="110">
      <c r="A110" s="11">
        <f>IFERROR(__xludf.DUMMYFUNCTION("""COMPUTED_VALUE"""),46102.0)</f>
        <v>46102</v>
      </c>
      <c r="B110" s="12" t="str">
        <f>IFERROR(__xludf.DUMMYFUNCTION("""COMPUTED_VALUE"""),"2603H028")</f>
        <v>2603H028</v>
      </c>
      <c r="C110" s="10" t="str">
        <f>IFERROR(__xludf.DUMMYFUNCTION("""COMPUTED_VALUE"""),"Aurelia")</f>
        <v>Aurelia</v>
      </c>
      <c r="D110" s="13" t="str">
        <f>IFERROR(__xludf.DUMMYFUNCTION("""COMPUTED_VALUE"""),"089654354284")</f>
        <v>089654354284</v>
      </c>
      <c r="E110" s="14" t="str">
        <f>IFERROR(__xludf.DUMMYFUNCTION("""COMPUTED_VALUE"""),"Lainnya")</f>
        <v>Lainnya</v>
      </c>
      <c r="F110" s="14" t="str">
        <f>IFERROR(__xludf.DUMMYFUNCTION("""COMPUTED_VALUE"""),"Gagal")</f>
        <v>Gagal</v>
      </c>
      <c r="G110" s="15" t="str">
        <f>IFERROR(__xludf.DUMMYFUNCTION("""COMPUTED_VALUE"""),"Trip alas purwo")</f>
        <v>Trip alas purwo</v>
      </c>
      <c r="H110" s="16"/>
      <c r="I110" s="17">
        <f>IFERROR(__xludf.DUMMYFUNCTION("""COMPUTED_VALUE"""),4.0)</f>
        <v>4</v>
      </c>
      <c r="J110" s="18"/>
      <c r="K110" s="46" t="str">
        <f>IFERROR(__xludf.DUMMYFUNCTION("""COMPUTED_VALUE"""),"full booked ")</f>
        <v>full booked </v>
      </c>
      <c r="L110" s="10"/>
      <c r="M110" s="20"/>
      <c r="N110" s="20"/>
      <c r="O110" s="20"/>
      <c r="P110" s="20"/>
    </row>
    <row r="111">
      <c r="A111" s="21">
        <f>IFERROR(__xludf.DUMMYFUNCTION("""COMPUTED_VALUE"""),46103.0)</f>
        <v>46103</v>
      </c>
      <c r="B111" s="22" t="str">
        <f>IFERROR(__xludf.DUMMYFUNCTION("""COMPUTED_VALUE"""),"2603H029")</f>
        <v>2603H029</v>
      </c>
      <c r="C111" s="23" t="str">
        <f>IFERROR(__xludf.DUMMYFUNCTION("""COMPUTED_VALUE"""),"Siti Aisah")</f>
        <v>Siti Aisah</v>
      </c>
      <c r="D111" s="24" t="str">
        <f>IFERROR(__xludf.DUMMYFUNCTION("""COMPUTED_VALUE"""),"085229861829")</f>
        <v>085229861829</v>
      </c>
      <c r="E111" s="14" t="str">
        <f>IFERROR(__xludf.DUMMYFUNCTION("""COMPUTED_VALUE"""),"Lainnya")</f>
        <v>Lainnya</v>
      </c>
      <c r="F111" s="14" t="str">
        <f>IFERROR(__xludf.DUMMYFUNCTION("""COMPUTED_VALUE"""),"Gagal")</f>
        <v>Gagal</v>
      </c>
      <c r="G111" s="14"/>
      <c r="H111" s="26"/>
      <c r="I111" s="27"/>
      <c r="J111" s="28"/>
      <c r="K111" s="30" t="str">
        <f>IFERROR(__xludf.DUMMYFUNCTION("""COMPUTED_VALUE"""),"tanya travel ")</f>
        <v>tanya travel </v>
      </c>
      <c r="L111" s="23"/>
      <c r="M111" s="20"/>
      <c r="N111" s="20"/>
      <c r="O111" s="20"/>
      <c r="P111" s="20"/>
    </row>
    <row r="112">
      <c r="A112" s="97">
        <f>IFERROR(__xludf.DUMMYFUNCTION("""COMPUTED_VALUE"""),46103.0)</f>
        <v>46103</v>
      </c>
      <c r="B112" s="98" t="str">
        <f>IFERROR(__xludf.DUMMYFUNCTION("""COMPUTED_VALUE"""),"2603H030")</f>
        <v>2603H030</v>
      </c>
      <c r="C112" s="76" t="str">
        <f>IFERROR(__xludf.DUMMYFUNCTION("""COMPUTED_VALUE"""),"Arnold")</f>
        <v>Arnold</v>
      </c>
      <c r="D112" s="99" t="str">
        <f>IFERROR(__xludf.DUMMYFUNCTION("""COMPUTED_VALUE"""),"08989068488")</f>
        <v>08989068488</v>
      </c>
      <c r="E112" s="25" t="str">
        <f>IFERROR(__xludf.DUMMYFUNCTION("""COMPUTED_VALUE"""),"Lainnya")</f>
        <v>Lainnya</v>
      </c>
      <c r="F112" s="25" t="str">
        <f>IFERROR(__xludf.DUMMYFUNCTION("""COMPUTED_VALUE"""),"Gagal")</f>
        <v>Gagal</v>
      </c>
      <c r="G112" s="25" t="str">
        <f>IFERROR(__xludf.DUMMYFUNCTION("""COMPUTED_VALUE"""),"trip menjangan ")</f>
        <v>trip menjangan </v>
      </c>
      <c r="H112" s="92">
        <f>IFERROR(__xludf.DUMMYFUNCTION("""COMPUTED_VALUE"""),46104.0)</f>
        <v>46104</v>
      </c>
      <c r="I112" s="80">
        <f>IFERROR(__xludf.DUMMYFUNCTION("""COMPUTED_VALUE"""),1.0)</f>
        <v>1</v>
      </c>
      <c r="J112" s="95"/>
      <c r="K112" s="19" t="str">
        <f>IFERROR(__xludf.DUMMYFUNCTION("""COMPUTED_VALUE"""),"full booked ")</f>
        <v>full booked </v>
      </c>
      <c r="L112" s="76"/>
      <c r="M112" s="20"/>
      <c r="N112" s="20"/>
      <c r="O112" s="20"/>
      <c r="P112" s="20"/>
    </row>
    <row r="113">
      <c r="A113" s="21">
        <f>IFERROR(__xludf.DUMMYFUNCTION("""COMPUTED_VALUE"""),46047.0)</f>
        <v>46047</v>
      </c>
      <c r="B113" s="22" t="str">
        <f>IFERROR(__xludf.DUMMYFUNCTION("""COMPUTED_VALUE"""),"2603H031")</f>
        <v>2603H031</v>
      </c>
      <c r="C113" s="23" t="str">
        <f>IFERROR(__xludf.DUMMYFUNCTION("""COMPUTED_VALUE"""),"Selvi")</f>
        <v>Selvi</v>
      </c>
      <c r="D113" s="24" t="str">
        <f>IFERROR(__xludf.DUMMYFUNCTION("""COMPUTED_VALUE"""),"085782512477")</f>
        <v>085782512477</v>
      </c>
      <c r="E113" s="14" t="str">
        <f>IFERROR(__xludf.DUMMYFUNCTION("""COMPUTED_VALUE"""),"Lainnya")</f>
        <v>Lainnya</v>
      </c>
      <c r="F113" s="14" t="str">
        <f>IFERROR(__xludf.DUMMYFUNCTION("""COMPUTED_VALUE"""),"Gagal")</f>
        <v>Gagal</v>
      </c>
      <c r="G113" s="14" t="str">
        <f>IFERROR(__xludf.DUMMYFUNCTION("""COMPUTED_VALUE"""),"2H1M")</f>
        <v>2H1M</v>
      </c>
      <c r="H113" s="26"/>
      <c r="I113" s="27">
        <f>IFERROR(__xludf.DUMMYFUNCTION("""COMPUTED_VALUE"""),4.0)</f>
        <v>4</v>
      </c>
      <c r="J113" s="33">
        <f>IFERROR(__xludf.DUMMYFUNCTION("""COMPUTED_VALUE"""),5372000.0)</f>
        <v>5372000</v>
      </c>
      <c r="K113" s="30" t="str">
        <f>IFERROR(__xludf.DUMMYFUNCTION("""COMPUTED_VALUE"""),"cancel. tidak memberi alasan")</f>
        <v>cancel. tidak memberi alasan</v>
      </c>
      <c r="L113" s="87" t="str">
        <f>IFERROR(__xludf.DUMMYFUNCTION("""COMPUTED_VALUE"""),"https://docs.google.com/document/d/141DmAKKoyjeNnEJnays8YR6kSYNpWrzCtC4XzebfUYM/edit?usp=drivesdk")</f>
        <v>https://docs.google.com/document/d/141DmAKKoyjeNnEJnays8YR6kSYNpWrzCtC4XzebfUYM/edit?usp=drivesdk</v>
      </c>
      <c r="M113" s="20"/>
      <c r="N113" s="20"/>
      <c r="O113" s="20"/>
      <c r="P113" s="20"/>
    </row>
    <row r="114">
      <c r="A114" s="11">
        <f>IFERROR(__xludf.DUMMYFUNCTION("""COMPUTED_VALUE"""),46107.0)</f>
        <v>46107</v>
      </c>
      <c r="B114" s="12" t="str">
        <f>IFERROR(__xludf.DUMMYFUNCTION("""COMPUTED_VALUE"""),"2603H032")</f>
        <v>2603H032</v>
      </c>
      <c r="C114" s="10" t="str">
        <f>IFERROR(__xludf.DUMMYFUNCTION("""COMPUTED_VALUE"""),"Nia")</f>
        <v>Nia</v>
      </c>
      <c r="D114" s="13" t="str">
        <f>IFERROR(__xludf.DUMMYFUNCTION("""COMPUTED_VALUE"""),"08977155877")</f>
        <v>08977155877</v>
      </c>
      <c r="E114" s="14" t="str">
        <f>IFERROR(__xludf.DUMMYFUNCTION("""COMPUTED_VALUE"""),"Lainnya")</f>
        <v>Lainnya</v>
      </c>
      <c r="F114" s="14" t="str">
        <f>IFERROR(__xludf.DUMMYFUNCTION("""COMPUTED_VALUE"""),"Gagal")</f>
        <v>Gagal</v>
      </c>
      <c r="G114" s="15" t="str">
        <f>IFERROR(__xludf.DUMMYFUNCTION("""COMPUTED_VALUE"""),"full day trip")</f>
        <v>full day trip</v>
      </c>
      <c r="H114" s="16">
        <f>IFERROR(__xludf.DUMMYFUNCTION("""COMPUTED_VALUE"""),46123.0)</f>
        <v>46123</v>
      </c>
      <c r="I114" s="17">
        <f>IFERROR(__xludf.DUMMYFUNCTION("""COMPUTED_VALUE"""),3.0)</f>
        <v>3</v>
      </c>
      <c r="J114" s="18"/>
      <c r="K114" s="46" t="str">
        <f>IFERROR(__xludf.DUMMYFUNCTION("""COMPUTED_VALUE"""),"ditunda dulu abis melahirkan")</f>
        <v>ditunda dulu abis melahirkan</v>
      </c>
      <c r="L114" s="10"/>
      <c r="M114" s="20"/>
      <c r="N114" s="20"/>
      <c r="O114" s="20"/>
      <c r="P114" s="20"/>
    </row>
    <row r="115">
      <c r="A115" s="21">
        <f>IFERROR(__xludf.DUMMYFUNCTION("""COMPUTED_VALUE"""),46108.0)</f>
        <v>46108</v>
      </c>
      <c r="B115" s="22" t="str">
        <f>IFERROR(__xludf.DUMMYFUNCTION("""COMPUTED_VALUE"""),"2603H033")</f>
        <v>2603H033</v>
      </c>
      <c r="C115" s="49" t="str">
        <f>IFERROR(__xludf.DUMMYFUNCTION("""COMPUTED_VALUE"""),"Wiwit")</f>
        <v>Wiwit</v>
      </c>
      <c r="D115" s="24" t="str">
        <f>IFERROR(__xludf.DUMMYFUNCTION("""COMPUTED_VALUE"""),"081776091975")</f>
        <v>081776091975</v>
      </c>
      <c r="E115" s="14" t="str">
        <f>IFERROR(__xludf.DUMMYFUNCTION("""COMPUTED_VALUE"""),"Lainnya")</f>
        <v>Lainnya</v>
      </c>
      <c r="F115" s="14" t="str">
        <f>IFERROR(__xludf.DUMMYFUNCTION("""COMPUTED_VALUE"""),"Gagal")</f>
        <v>Gagal</v>
      </c>
      <c r="G115" s="15" t="str">
        <f>IFERROR(__xludf.DUMMYFUNCTION("""COMPUTED_VALUE"""),"2H1M custom")</f>
        <v>2H1M custom</v>
      </c>
      <c r="H115" s="26"/>
      <c r="I115" s="27">
        <f>IFERROR(__xludf.DUMMYFUNCTION("""COMPUTED_VALUE"""),46302.0)</f>
        <v>46302</v>
      </c>
      <c r="J115" s="28"/>
      <c r="K115" s="30" t="str">
        <f>IFERROR(__xludf.DUMMYFUNCTION("""COMPUTED_VALUE"""),"budget belum cukup untuk transportasi dll")</f>
        <v>budget belum cukup untuk transportasi dll</v>
      </c>
      <c r="L115" s="87" t="str">
        <f>IFERROR(__xludf.DUMMYFUNCTION("""COMPUTED_VALUE"""),"https://docs.google.com/document/d/1SjBn-fM4OuWxWi_Qbdz7ocTzZJWUDDCZX3mFAY4fQ9U/edit?usp=drivesdk")</f>
        <v>https://docs.google.com/document/d/1SjBn-fM4OuWxWi_Qbdz7ocTzZJWUDDCZX3mFAY4fQ9U/edit?usp=drivesdk</v>
      </c>
      <c r="M115" s="20"/>
      <c r="N115" s="20"/>
      <c r="O115" s="20"/>
      <c r="P115" s="20"/>
    </row>
    <row r="116">
      <c r="A116" s="11">
        <f>IFERROR(__xludf.DUMMYFUNCTION("""COMPUTED_VALUE"""),46104.0)</f>
        <v>46104</v>
      </c>
      <c r="B116" s="12" t="str">
        <f>IFERROR(__xludf.DUMMYFUNCTION("""COMPUTED_VALUE"""),"2603H034")</f>
        <v>2603H034</v>
      </c>
      <c r="C116" s="10" t="str">
        <f>IFERROR(__xludf.DUMMYFUNCTION("""COMPUTED_VALUE"""),"Whiesa")</f>
        <v>Whiesa</v>
      </c>
      <c r="D116" s="13" t="str">
        <f>IFERROR(__xludf.DUMMYFUNCTION("""COMPUTED_VALUE"""),"0895351124523")</f>
        <v>0895351124523</v>
      </c>
      <c r="E116" s="14" t="str">
        <f>IFERROR(__xludf.DUMMYFUNCTION("""COMPUTED_VALUE"""),"Lainnya")</f>
        <v>Lainnya</v>
      </c>
      <c r="F116" s="14" t="str">
        <f>IFERROR(__xludf.DUMMYFUNCTION("""COMPUTED_VALUE"""),"Closing")</f>
        <v>Closing</v>
      </c>
      <c r="G116" s="15" t="str">
        <f>IFERROR(__xludf.DUMMYFUNCTION("""COMPUTED_VALUE"""),"Private trip Baluran")</f>
        <v>Private trip Baluran</v>
      </c>
      <c r="H116" s="16">
        <f>IFERROR(__xludf.DUMMYFUNCTION("""COMPUTED_VALUE"""),46105.0)</f>
        <v>46105</v>
      </c>
      <c r="I116" s="17">
        <f>IFERROR(__xludf.DUMMYFUNCTION("""COMPUTED_VALUE"""),4.0)</f>
        <v>4</v>
      </c>
      <c r="J116" s="54">
        <f>IFERROR(__xludf.DUMMYFUNCTION("""COMPUTED_VALUE"""),1800000.0)</f>
        <v>1800000</v>
      </c>
      <c r="K116" s="19" t="str">
        <f>IFERROR(__xludf.DUMMYFUNCTION("""COMPUTED_VALUE"""),"orderrr")</f>
        <v>orderrr</v>
      </c>
      <c r="L116" s="76"/>
      <c r="M116" s="20"/>
      <c r="N116" s="20"/>
      <c r="O116" s="20"/>
      <c r="P116" s="20"/>
    </row>
    <row r="117">
      <c r="A117" s="21">
        <f>IFERROR(__xludf.DUMMYFUNCTION("""COMPUTED_VALUE"""),46109.0)</f>
        <v>46109</v>
      </c>
      <c r="B117" s="22" t="str">
        <f>IFERROR(__xludf.DUMMYFUNCTION("""COMPUTED_VALUE"""),"2603H035")</f>
        <v>2603H035</v>
      </c>
      <c r="C117" s="23" t="str">
        <f>IFERROR(__xludf.DUMMYFUNCTION("""COMPUTED_VALUE"""),"Wardah (Fathia)")</f>
        <v>Wardah (Fathia)</v>
      </c>
      <c r="D117" s="24" t="str">
        <f>IFERROR(__xludf.DUMMYFUNCTION("""COMPUTED_VALUE"""),"0895365134371")</f>
        <v>0895365134371</v>
      </c>
      <c r="E117" s="14" t="str">
        <f>IFERROR(__xludf.DUMMYFUNCTION("""COMPUTED_VALUE"""),"Lainnya")</f>
        <v>Lainnya</v>
      </c>
      <c r="F117" s="14" t="str">
        <f>IFERROR(__xludf.DUMMYFUNCTION("""COMPUTED_VALUE"""),"Closing")</f>
        <v>Closing</v>
      </c>
      <c r="G117" s="15" t="str">
        <f>IFERROR(__xludf.DUMMYFUNCTION("""COMPUTED_VALUE"""),"OT Ijen")</f>
        <v>OT Ijen</v>
      </c>
      <c r="H117" s="26">
        <f>IFERROR(__xludf.DUMMYFUNCTION("""COMPUTED_VALUE"""),46109.0)</f>
        <v>46109</v>
      </c>
      <c r="I117" s="27">
        <f>IFERROR(__xludf.DUMMYFUNCTION("""COMPUTED_VALUE"""),1.0)</f>
        <v>1</v>
      </c>
      <c r="J117" s="28"/>
      <c r="K117" s="30" t="str">
        <f>IFERROR(__xludf.DUMMYFUNCTION("""COMPUTED_VALUE"""),"orderr")</f>
        <v>orderr</v>
      </c>
      <c r="L117" s="23"/>
      <c r="M117" s="20"/>
      <c r="N117" s="20"/>
      <c r="O117" s="20"/>
      <c r="P117" s="20"/>
    </row>
    <row r="118">
      <c r="A118" s="11">
        <f>IFERROR(__xludf.DUMMYFUNCTION("""COMPUTED_VALUE"""),46109.0)</f>
        <v>46109</v>
      </c>
      <c r="B118" s="12" t="str">
        <f>IFERROR(__xludf.DUMMYFUNCTION("""COMPUTED_VALUE"""),"2603H036")</f>
        <v>2603H036</v>
      </c>
      <c r="C118" s="10" t="str">
        <f>IFERROR(__xludf.DUMMYFUNCTION("""COMPUTED_VALUE"""),"Mely")</f>
        <v>Mely</v>
      </c>
      <c r="D118" s="13" t="str">
        <f>IFERROR(__xludf.DUMMYFUNCTION("""COMPUTED_VALUE"""),"087775555912")</f>
        <v>087775555912</v>
      </c>
      <c r="E118" s="14" t="str">
        <f>IFERROR(__xludf.DUMMYFUNCTION("""COMPUTED_VALUE"""),"Lainnya")</f>
        <v>Lainnya</v>
      </c>
      <c r="F118" s="14" t="str">
        <f>IFERROR(__xludf.DUMMYFUNCTION("""COMPUTED_VALUE"""),"Gagal")</f>
        <v>Gagal</v>
      </c>
      <c r="G118" s="15" t="str">
        <f>IFERROR(__xludf.DUMMYFUNCTION("""COMPUTED_VALUE"""),"private trip Ijen")</f>
        <v>private trip Ijen</v>
      </c>
      <c r="H118" s="16">
        <f>IFERROR(__xludf.DUMMYFUNCTION("""COMPUTED_VALUE"""),46148.0)</f>
        <v>46148</v>
      </c>
      <c r="I118" s="17">
        <f>IFERROR(__xludf.DUMMYFUNCTION("""COMPUTED_VALUE"""),4.0)</f>
        <v>4</v>
      </c>
      <c r="J118" s="54">
        <f>IFERROR(__xludf.DUMMYFUNCTION("""COMPUTED_VALUE"""),1160000.0)</f>
        <v>1160000</v>
      </c>
      <c r="K118" s="46" t="str">
        <f>IFERROR(__xludf.DUMMYFUNCTION("""COMPUTED_VALUE"""),"sdh fu, gada jawaban")</f>
        <v>sdh fu, gada jawaban</v>
      </c>
      <c r="L118" s="100" t="str">
        <f>IFERROR(__xludf.DUMMYFUNCTION("""COMPUTED_VALUE"""),"https://docs.google.com/document/d/1dacpLVYd3LrhrmtBfdnJNFoHBfPQwrHHfiYiCrYGvIQ/edit?usp=drivesdk")</f>
        <v>https://docs.google.com/document/d/1dacpLVYd3LrhrmtBfdnJNFoHBfPQwrHHfiYiCrYGvIQ/edit?usp=drivesdk</v>
      </c>
      <c r="M118" s="20"/>
      <c r="N118" s="20"/>
      <c r="O118" s="20"/>
      <c r="P118" s="20"/>
    </row>
    <row r="119">
      <c r="A119" s="21">
        <f>IFERROR(__xludf.DUMMYFUNCTION("""COMPUTED_VALUE"""),46109.0)</f>
        <v>46109</v>
      </c>
      <c r="B119" s="22" t="str">
        <f>IFERROR(__xludf.DUMMYFUNCTION("""COMPUTED_VALUE"""),"2603H037")</f>
        <v>2603H037</v>
      </c>
      <c r="C119" s="23" t="str">
        <f>IFERROR(__xludf.DUMMYFUNCTION("""COMPUTED_VALUE"""),"Toni")</f>
        <v>Toni</v>
      </c>
      <c r="D119" s="24" t="str">
        <f>IFERROR(__xludf.DUMMYFUNCTION("""COMPUTED_VALUE"""),"081314571743")</f>
        <v>081314571743</v>
      </c>
      <c r="E119" s="14" t="str">
        <f>IFERROR(__xludf.DUMMYFUNCTION("""COMPUTED_VALUE"""),"Lainnya")</f>
        <v>Lainnya</v>
      </c>
      <c r="F119" s="14" t="str">
        <f>IFERROR(__xludf.DUMMYFUNCTION("""COMPUTED_VALUE"""),"Gagal")</f>
        <v>Gagal</v>
      </c>
      <c r="G119" s="15"/>
      <c r="H119" s="26">
        <f>IFERROR(__xludf.DUMMYFUNCTION("""COMPUTED_VALUE"""),46109.0)</f>
        <v>46109</v>
      </c>
      <c r="I119" s="27"/>
      <c r="J119" s="28"/>
      <c r="K119" s="36" t="str">
        <f>IFERROR(__xludf.DUMMYFUNCTION("""COMPUTED_VALUE"""),"sdh selesai trip")</f>
        <v>sdh selesai trip</v>
      </c>
      <c r="L119" s="81" t="str">
        <f>IFERROR(__xludf.DUMMYFUNCTION("""COMPUTED_VALUE"""),"https://docs.google.com/document/d/19iygmhEtsGSPuQJzLQFW2mNEhxGk_cO6HxpbkxoGPsc/edit?usp=drivesdk")</f>
        <v>https://docs.google.com/document/d/19iygmhEtsGSPuQJzLQFW2mNEhxGk_cO6HxpbkxoGPsc/edit?usp=drivesdk</v>
      </c>
      <c r="M119" s="20"/>
      <c r="N119" s="20"/>
      <c r="O119" s="20"/>
      <c r="P119" s="20"/>
    </row>
    <row r="120">
      <c r="A120" s="11">
        <f>IFERROR(__xludf.DUMMYFUNCTION("""COMPUTED_VALUE"""),46110.0)</f>
        <v>46110</v>
      </c>
      <c r="B120" s="12" t="str">
        <f>IFERROR(__xludf.DUMMYFUNCTION("""COMPUTED_VALUE"""),"2603H038")</f>
        <v>2603H038</v>
      </c>
      <c r="C120" s="10" t="str">
        <f>IFERROR(__xludf.DUMMYFUNCTION("""COMPUTED_VALUE"""),"Lan Nio")</f>
        <v>Lan Nio</v>
      </c>
      <c r="D120" s="13" t="str">
        <f>IFERROR(__xludf.DUMMYFUNCTION("""COMPUTED_VALUE"""),"085946474149")</f>
        <v>085946474149</v>
      </c>
      <c r="E120" s="14" t="str">
        <f>IFERROR(__xludf.DUMMYFUNCTION("""COMPUTED_VALUE"""),"Lainnya")</f>
        <v>Lainnya</v>
      </c>
      <c r="F120" s="14" t="str">
        <f>IFERROR(__xludf.DUMMYFUNCTION("""COMPUTED_VALUE"""),"Gagal")</f>
        <v>Gagal</v>
      </c>
      <c r="G120" s="14" t="str">
        <f>IFERROR(__xludf.DUMMYFUNCTION("""COMPUTED_VALUE"""),"1 day I,KW,D ")</f>
        <v>1 day I,KW,D </v>
      </c>
      <c r="H120" s="16"/>
      <c r="I120" s="17">
        <f>IFERROR(__xludf.DUMMYFUNCTION("""COMPUTED_VALUE"""),24.0)</f>
        <v>24</v>
      </c>
      <c r="J120" s="54">
        <f>IFERROR(__xludf.DUMMYFUNCTION("""COMPUTED_VALUE"""),1.6125E7)</f>
        <v>16125000</v>
      </c>
      <c r="K120" s="46" t="str">
        <f>IFERROR(__xludf.DUMMYFUNCTION("""COMPUTED_VALUE"""),"gajadi ke bwi, alasan tdk diketahui")</f>
        <v>gajadi ke bwi, alasan tdk diketahui</v>
      </c>
      <c r="L120" s="88" t="str">
        <f>IFERROR(__xludf.DUMMYFUNCTION("""COMPUTED_VALUE"""),"https://docs.google.com/document/d/1FQseOsrUtMKqMo20kGLHNKvZluKCNZ1lApZEDKDG63E/edit?usp=drivesdk")</f>
        <v>https://docs.google.com/document/d/1FQseOsrUtMKqMo20kGLHNKvZluKCNZ1lApZEDKDG63E/edit?usp=drivesdk</v>
      </c>
      <c r="M120" s="20"/>
      <c r="N120" s="20"/>
      <c r="O120" s="20"/>
      <c r="P120" s="20"/>
    </row>
    <row r="121">
      <c r="A121" s="21">
        <f>IFERROR(__xludf.DUMMYFUNCTION("""COMPUTED_VALUE"""),46110.0)</f>
        <v>46110</v>
      </c>
      <c r="B121" s="22" t="str">
        <f>IFERROR(__xludf.DUMMYFUNCTION("""COMPUTED_VALUE"""),"2603H039")</f>
        <v>2603H039</v>
      </c>
      <c r="C121" s="23" t="str">
        <f>IFERROR(__xludf.DUMMYFUNCTION("""COMPUTED_VALUE"""),"Arifah")</f>
        <v>Arifah</v>
      </c>
      <c r="D121" s="102" t="str">
        <f>IFERROR(__xludf.DUMMYFUNCTION("""COMPUTED_VALUE"""),"082257033370")</f>
        <v>082257033370</v>
      </c>
      <c r="E121" s="14" t="str">
        <f>IFERROR(__xludf.DUMMYFUNCTION("""COMPUTED_VALUE"""),"Lainnya")</f>
        <v>Lainnya</v>
      </c>
      <c r="F121" s="14" t="str">
        <f>IFERROR(__xludf.DUMMYFUNCTION("""COMPUTED_VALUE"""),"Gagal")</f>
        <v>Gagal</v>
      </c>
      <c r="G121" s="14" t="str">
        <f>IFERROR(__xludf.DUMMYFUNCTION("""COMPUTED_VALUE"""),"custom 2H1M")</f>
        <v>custom 2H1M</v>
      </c>
      <c r="H121" s="26">
        <f>IFERROR(__xludf.DUMMYFUNCTION("""COMPUTED_VALUE"""),46116.0)</f>
        <v>46116</v>
      </c>
      <c r="I121" s="27">
        <f>IFERROR(__xludf.DUMMYFUNCTION("""COMPUTED_VALUE"""),2.0)</f>
        <v>2</v>
      </c>
      <c r="J121" s="28"/>
      <c r="K121" s="30" t="str">
        <f>IFERROR(__xludf.DUMMYFUNCTION("""COMPUTED_VALUE"""),"belum jadi liburan")</f>
        <v>belum jadi liburan</v>
      </c>
      <c r="L121" s="23"/>
      <c r="M121" s="20"/>
      <c r="N121" s="20"/>
      <c r="O121" s="20"/>
      <c r="P121" s="20"/>
    </row>
    <row r="122">
      <c r="A122" s="11">
        <f>IFERROR(__xludf.DUMMYFUNCTION("""COMPUTED_VALUE"""),46111.0)</f>
        <v>46111</v>
      </c>
      <c r="B122" s="12" t="str">
        <f>IFERROR(__xludf.DUMMYFUNCTION("""COMPUTED_VALUE"""),"2603H040")</f>
        <v>2603H040</v>
      </c>
      <c r="C122" s="10" t="str">
        <f>IFERROR(__xludf.DUMMYFUNCTION("""COMPUTED_VALUE"""),"Herman Purnawan")</f>
        <v>Herman Purnawan</v>
      </c>
      <c r="D122" s="13" t="str">
        <f>IFERROR(__xludf.DUMMYFUNCTION("""COMPUTED_VALUE"""),"081514652888")</f>
        <v>081514652888</v>
      </c>
      <c r="E122" s="14" t="str">
        <f>IFERROR(__xludf.DUMMYFUNCTION("""COMPUTED_VALUE"""),"Website")</f>
        <v>Website</v>
      </c>
      <c r="F122" s="14" t="str">
        <f>IFERROR(__xludf.DUMMYFUNCTION("""COMPUTED_VALUE"""),"Gagal")</f>
        <v>Gagal</v>
      </c>
      <c r="G122" s="15" t="str">
        <f>IFERROR(__xludf.DUMMYFUNCTION("""COMPUTED_VALUE"""),"3H2M opsi B")</f>
        <v>3H2M opsi B</v>
      </c>
      <c r="H122" s="16">
        <f>IFERROR(__xludf.DUMMYFUNCTION("""COMPUTED_VALUE"""),46168.0)</f>
        <v>46168</v>
      </c>
      <c r="I122" s="17">
        <f>IFERROR(__xludf.DUMMYFUNCTION("""COMPUTED_VALUE"""),30.0)</f>
        <v>30</v>
      </c>
      <c r="J122" s="54">
        <f>IFERROR(__xludf.DUMMYFUNCTION("""COMPUTED_VALUE"""),5.895E7)</f>
        <v>58950000</v>
      </c>
      <c r="K122" s="46" t="str">
        <f>IFERROR(__xludf.DUMMYFUNCTION("""COMPUTED_VALUE"""),"ganti destinasi jakarta-tasik-garut-cimidey")</f>
        <v>ganti destinasi jakarta-tasik-garut-cimidey</v>
      </c>
      <c r="L122" s="100" t="str">
        <f>IFERROR(__xludf.DUMMYFUNCTION("""COMPUTED_VALUE"""),"https://docs.google.com/document/d/1Zsn-fDM21tSBszI3cLKld7unQQGByUgIbW5u76hGlQI/edit?usp=drivesdk")</f>
        <v>https://docs.google.com/document/d/1Zsn-fDM21tSBszI3cLKld7unQQGByUgIbW5u76hGlQI/edit?usp=drivesdk</v>
      </c>
      <c r="M122" s="20"/>
      <c r="N122" s="20"/>
      <c r="O122" s="20"/>
      <c r="P122" s="20"/>
    </row>
    <row r="123">
      <c r="A123" s="21">
        <f>IFERROR(__xludf.DUMMYFUNCTION("""COMPUTED_VALUE"""),46116.0)</f>
        <v>46116</v>
      </c>
      <c r="B123" s="22" t="str">
        <f>IFERROR(__xludf.DUMMYFUNCTION("""COMPUTED_VALUE"""),"2604H001")</f>
        <v>2604H001</v>
      </c>
      <c r="C123" s="23" t="str">
        <f>IFERROR(__xludf.DUMMYFUNCTION("""COMPUTED_VALUE"""),"Dwi Parmawati")</f>
        <v>Dwi Parmawati</v>
      </c>
      <c r="D123" s="24" t="str">
        <f>IFERROR(__xludf.DUMMYFUNCTION("""COMPUTED_VALUE"""),"081282935135")</f>
        <v>081282935135</v>
      </c>
      <c r="E123" s="14" t="str">
        <f>IFERROR(__xludf.DUMMYFUNCTION("""COMPUTED_VALUE"""),"Lainnya")</f>
        <v>Lainnya</v>
      </c>
      <c r="F123" s="14" t="str">
        <f>IFERROR(__xludf.DUMMYFUNCTION("""COMPUTED_VALUE"""),"Closing")</f>
        <v>Closing</v>
      </c>
      <c r="G123" s="14" t="str">
        <f>IFERROR(__xludf.DUMMYFUNCTION("""COMPUTED_VALUE"""),"3H2M opsi A")</f>
        <v>3H2M opsi A</v>
      </c>
      <c r="H123" s="26"/>
      <c r="I123" s="27">
        <f>IFERROR(__xludf.DUMMYFUNCTION("""COMPUTED_VALUE"""),4.0)</f>
        <v>4</v>
      </c>
      <c r="J123" s="28">
        <f>IFERROR(__xludf.DUMMYFUNCTION("""COMPUTED_VALUE"""),7548000.0)</f>
        <v>7548000</v>
      </c>
      <c r="K123" s="30" t="str">
        <f>IFERROR(__xludf.DUMMYFUNCTION("""COMPUTED_VALUE"""),"Alhamdulillah order :)))")</f>
        <v>Alhamdulillah order :)))</v>
      </c>
      <c r="L123" s="87" t="str">
        <f>IFERROR(__xludf.DUMMYFUNCTION("""COMPUTED_VALUE"""),"https://docs.google.com/document/d/1py2_RerZdnH-RzMBL_TdkZt-jfI-Tay4Q2zeNUXHDuM/edit?usp=drivesdk")</f>
        <v>https://docs.google.com/document/d/1py2_RerZdnH-RzMBL_TdkZt-jfI-Tay4Q2zeNUXHDuM/edit?usp=drivesdk</v>
      </c>
      <c r="M123" s="20"/>
      <c r="N123" s="20"/>
      <c r="O123" s="20"/>
      <c r="P123" s="20"/>
    </row>
    <row r="124">
      <c r="A124" s="11">
        <f>IFERROR(__xludf.DUMMYFUNCTION("""COMPUTED_VALUE"""),46116.0)</f>
        <v>46116</v>
      </c>
      <c r="B124" s="12" t="str">
        <f>IFERROR(__xludf.DUMMYFUNCTION("""COMPUTED_VALUE"""),"2604H002")</f>
        <v>2604H002</v>
      </c>
      <c r="C124" s="10" t="str">
        <f>IFERROR(__xludf.DUMMYFUNCTION("""COMPUTED_VALUE"""),"Diniwati Muchtar")</f>
        <v>Diniwati Muchtar</v>
      </c>
      <c r="D124" s="13" t="str">
        <f>IFERROR(__xludf.DUMMYFUNCTION("""COMPUTED_VALUE"""),"081581537746")</f>
        <v>081581537746</v>
      </c>
      <c r="E124" s="14" t="str">
        <f>IFERROR(__xludf.DUMMYFUNCTION("""COMPUTED_VALUE"""),"Lainnya")</f>
        <v>Lainnya</v>
      </c>
      <c r="F124" s="14" t="str">
        <f>IFERROR(__xludf.DUMMYFUNCTION("""COMPUTED_VALUE"""),"Gagal")</f>
        <v>Gagal</v>
      </c>
      <c r="G124" s="15"/>
      <c r="H124" s="16"/>
      <c r="I124" s="17"/>
      <c r="J124" s="18"/>
      <c r="K124" s="46" t="str">
        <f>IFERROR(__xludf.DUMMYFUNCTION("""COMPUTED_VALUE"""),"tidak ada jawaban")</f>
        <v>tidak ada jawaban</v>
      </c>
      <c r="L124" s="100" t="str">
        <f>IFERROR(__xludf.DUMMYFUNCTION("""COMPUTED_VALUE"""),"https://docs.google.com/document/d/1Nde9CzrdoxaERhJ4BCwT5VDv0ghgy2Ye-zc1lXAAIaU/edit?usp=drivesdk")</f>
        <v>https://docs.google.com/document/d/1Nde9CzrdoxaERhJ4BCwT5VDv0ghgy2Ye-zc1lXAAIaU/edit?usp=drivesdk</v>
      </c>
      <c r="M124" s="20"/>
      <c r="N124" s="20"/>
      <c r="O124" s="20"/>
      <c r="P124" s="20"/>
    </row>
    <row r="125">
      <c r="A125" s="21">
        <f>IFERROR(__xludf.DUMMYFUNCTION("""COMPUTED_VALUE"""),46116.0)</f>
        <v>46116</v>
      </c>
      <c r="B125" s="22" t="str">
        <f>IFERROR(__xludf.DUMMYFUNCTION("""COMPUTED_VALUE"""),"2604H003")</f>
        <v>2604H003</v>
      </c>
      <c r="C125" s="23" t="str">
        <f>IFERROR(__xludf.DUMMYFUNCTION("""COMPUTED_VALUE"""),"Dr. Alifia Klinik Pratama Mawar 2")</f>
        <v>Dr. Alifia Klinik Pratama Mawar 2</v>
      </c>
      <c r="D125" s="24" t="str">
        <f>IFERROR(__xludf.DUMMYFUNCTION("""COMPUTED_VALUE"""),"085353110859")</f>
        <v>085353110859</v>
      </c>
      <c r="E125" s="14" t="str">
        <f>IFERROR(__xludf.DUMMYFUNCTION("""COMPUTED_VALUE"""),"Lainnya")</f>
        <v>Lainnya</v>
      </c>
      <c r="F125" s="14" t="str">
        <f>IFERROR(__xludf.DUMMYFUNCTION("""COMPUTED_VALUE"""),"Gagal")</f>
        <v>Gagal</v>
      </c>
      <c r="G125" s="15" t="str">
        <f>IFERROR(__xludf.DUMMYFUNCTION("""COMPUTED_VALUE"""),"4h3m atau 3h2m")</f>
        <v>4h3m atau 3h2m</v>
      </c>
      <c r="H125" s="26">
        <f>IFERROR(__xludf.DUMMYFUNCTION("""COMPUTED_VALUE"""),46131.0)</f>
        <v>46131</v>
      </c>
      <c r="I125" s="27">
        <f>IFERROR(__xludf.DUMMYFUNCTION("""COMPUTED_VALUE"""),2.0)</f>
        <v>2</v>
      </c>
      <c r="J125" s="28">
        <f>IFERROR(__xludf.DUMMYFUNCTION("""COMPUTED_VALUE"""),6270000.0)</f>
        <v>6270000</v>
      </c>
      <c r="K125" s="36" t="str">
        <f>IFERROR(__xludf.DUMMYFUNCTION("""COMPUTED_VALUE"""),"ga dapat cuti")</f>
        <v>ga dapat cuti</v>
      </c>
      <c r="L125" s="81" t="str">
        <f>IFERROR(__xludf.DUMMYFUNCTION("""COMPUTED_VALUE"""),"https://docs.google.com/document/d/1cKGDZrklnTTZuBsIpwC6io3b0BXcXvhrB_A_6y0RyJc/edit?usp=drivesdk")</f>
        <v>https://docs.google.com/document/d/1cKGDZrklnTTZuBsIpwC6io3b0BXcXvhrB_A_6y0RyJc/edit?usp=drivesdk</v>
      </c>
      <c r="M125" s="20"/>
      <c r="N125" s="20"/>
      <c r="O125" s="20"/>
      <c r="P125" s="20"/>
    </row>
    <row r="126">
      <c r="A126" s="11">
        <f>IFERROR(__xludf.DUMMYFUNCTION("""COMPUTED_VALUE"""),46116.0)</f>
        <v>46116</v>
      </c>
      <c r="B126" s="12" t="str">
        <f>IFERROR(__xludf.DUMMYFUNCTION("""COMPUTED_VALUE"""),"2604H004")</f>
        <v>2604H004</v>
      </c>
      <c r="C126" s="10" t="str">
        <f>IFERROR(__xludf.DUMMYFUNCTION("""COMPUTED_VALUE"""),"Reni")</f>
        <v>Reni</v>
      </c>
      <c r="D126" s="13" t="str">
        <f>IFERROR(__xludf.DUMMYFUNCTION("""COMPUTED_VALUE"""),"085755092376")</f>
        <v>085755092376</v>
      </c>
      <c r="E126" s="14" t="str">
        <f>IFERROR(__xludf.DUMMYFUNCTION("""COMPUTED_VALUE"""),"Instagram")</f>
        <v>Instagram</v>
      </c>
      <c r="F126" s="14" t="str">
        <f>IFERROR(__xludf.DUMMYFUNCTION("""COMPUTED_VALUE"""),"Gagal")</f>
        <v>Gagal</v>
      </c>
      <c r="G126" s="14" t="str">
        <f>IFERROR(__xludf.DUMMYFUNCTION("""COMPUTED_VALUE"""),"Djawatan Baluran")</f>
        <v>Djawatan Baluran</v>
      </c>
      <c r="H126" s="16"/>
      <c r="I126" s="17">
        <f>IFERROR(__xludf.DUMMYFUNCTION("""COMPUTED_VALUE"""),4.0)</f>
        <v>4</v>
      </c>
      <c r="J126" s="18">
        <f>IFERROR(__xludf.DUMMYFUNCTION("""COMPUTED_VALUE"""),1820000.0)</f>
        <v>1820000</v>
      </c>
      <c r="K126" s="46" t="str">
        <f>IFERROR(__xludf.DUMMYFUNCTION("""COMPUTED_VALUE"""),"tidak jadi, bertepatan dengan acara sekolah anak")</f>
        <v>tidak jadi, bertepatan dengan acara sekolah anak</v>
      </c>
      <c r="L126" s="100" t="str">
        <f>IFERROR(__xludf.DUMMYFUNCTION("""COMPUTED_VALUE"""),"https://docs.google.com/document/d/1U5CRndz9mX2-sZ9USBf9BaP5U5dEZxJMIMXywi8sNGE/edit?usp=drivesdk")</f>
        <v>https://docs.google.com/document/d/1U5CRndz9mX2-sZ9USBf9BaP5U5dEZxJMIMXywi8sNGE/edit?usp=drivesdk</v>
      </c>
      <c r="M126" s="20"/>
      <c r="N126" s="20"/>
      <c r="O126" s="20"/>
      <c r="P126" s="20"/>
    </row>
    <row r="127">
      <c r="A127" s="21">
        <f>IFERROR(__xludf.DUMMYFUNCTION("""COMPUTED_VALUE"""),46117.0)</f>
        <v>46117</v>
      </c>
      <c r="B127" s="22" t="str">
        <f>IFERROR(__xludf.DUMMYFUNCTION("""COMPUTED_VALUE"""),"2604H005")</f>
        <v>2604H005</v>
      </c>
      <c r="C127" s="23" t="str">
        <f>IFERROR(__xludf.DUMMYFUNCTION("""COMPUTED_VALUE"""),"Gouw Tau Hu")</f>
        <v>Gouw Tau Hu</v>
      </c>
      <c r="D127" s="24" t="str">
        <f>IFERROR(__xludf.DUMMYFUNCTION("""COMPUTED_VALUE"""),"081318916892")</f>
        <v>081318916892</v>
      </c>
      <c r="E127" s="14" t="str">
        <f>IFERROR(__xludf.DUMMYFUNCTION("""COMPUTED_VALUE"""),"Tiktok")</f>
        <v>Tiktok</v>
      </c>
      <c r="F127" s="14" t="str">
        <f>IFERROR(__xludf.DUMMYFUNCTION("""COMPUTED_VALUE"""),"Closing")</f>
        <v>Closing</v>
      </c>
      <c r="G127" s="15" t="str">
        <f>IFERROR(__xludf.DUMMYFUNCTION("""COMPUTED_VALUE"""),"4h3m")</f>
        <v>4h3m</v>
      </c>
      <c r="H127" s="26"/>
      <c r="I127" s="27">
        <f>IFERROR(__xludf.DUMMYFUNCTION("""COMPUTED_VALUE"""),2.0)</f>
        <v>2</v>
      </c>
      <c r="J127" s="33">
        <f>IFERROR(__xludf.DUMMYFUNCTION("""COMPUTED_VALUE"""),7034000.0)</f>
        <v>7034000</v>
      </c>
      <c r="K127" s="30" t="str">
        <f>IFERROR(__xludf.DUMMYFUNCTION("""COMPUTED_VALUE"""),"alhamdulillah order :)")</f>
        <v>alhamdulillah order :)</v>
      </c>
      <c r="L127" s="23"/>
      <c r="M127" s="20"/>
      <c r="N127" s="20"/>
      <c r="O127" s="20"/>
      <c r="P127" s="20"/>
    </row>
    <row r="128">
      <c r="A128" s="11">
        <f>IFERROR(__xludf.DUMMYFUNCTION("""COMPUTED_VALUE"""),46118.0)</f>
        <v>46118</v>
      </c>
      <c r="B128" s="12" t="str">
        <f>IFERROR(__xludf.DUMMYFUNCTION("""COMPUTED_VALUE"""),"2604H006")</f>
        <v>2604H006</v>
      </c>
      <c r="C128" s="10" t="str">
        <f>IFERROR(__xludf.DUMMYFUNCTION("""COMPUTED_VALUE"""),"Susilowati")</f>
        <v>Susilowati</v>
      </c>
      <c r="D128" s="13" t="str">
        <f>IFERROR(__xludf.DUMMYFUNCTION("""COMPUTED_VALUE"""),"081291435110")</f>
        <v>081291435110</v>
      </c>
      <c r="E128" s="14" t="str">
        <f>IFERROR(__xludf.DUMMYFUNCTION("""COMPUTED_VALUE"""),"Lainnya")</f>
        <v>Lainnya</v>
      </c>
      <c r="F128" s="14" t="str">
        <f>IFERROR(__xludf.DUMMYFUNCTION("""COMPUTED_VALUE"""),"Qualified")</f>
        <v>Qualified</v>
      </c>
      <c r="G128" s="15" t="str">
        <f>IFERROR(__xludf.DUMMYFUNCTION("""COMPUTED_VALUE"""),"3h2m")</f>
        <v>3h2m</v>
      </c>
      <c r="H128" s="16"/>
      <c r="I128" s="17">
        <f>IFERROR(__xludf.DUMMYFUNCTION("""COMPUTED_VALUE"""),10.0)</f>
        <v>10</v>
      </c>
      <c r="J128" s="54">
        <f>IFERROR(__xludf.DUMMYFUNCTION("""COMPUTED_VALUE"""),1.7E7)</f>
        <v>17000000</v>
      </c>
      <c r="K128" s="46" t="str">
        <f>IFERROR(__xludf.DUMMYFUNCTION("""COMPUTED_VALUE"""),"blm balas. fu lagi 27 juli")</f>
        <v>blm balas. fu lagi 27 juli</v>
      </c>
      <c r="L128" s="100" t="str">
        <f>IFERROR(__xludf.DUMMYFUNCTION("""COMPUTED_VALUE"""),"https://docs.google.com/document/d/1qskYbktmW1TouXvT76GUk6i_0WL2Id-O1eVL9uxQc6g/edit?usp=drivesdk")</f>
        <v>https://docs.google.com/document/d/1qskYbktmW1TouXvT76GUk6i_0WL2Id-O1eVL9uxQc6g/edit?usp=drivesdk</v>
      </c>
      <c r="M128" s="20"/>
      <c r="N128" s="20"/>
      <c r="O128" s="20"/>
      <c r="P128" s="20"/>
    </row>
    <row r="129">
      <c r="A129" s="21">
        <f>IFERROR(__xludf.DUMMYFUNCTION("""COMPUTED_VALUE"""),46118.0)</f>
        <v>46118</v>
      </c>
      <c r="B129" s="22" t="str">
        <f>IFERROR(__xludf.DUMMYFUNCTION("""COMPUTED_VALUE"""),"2604H007")</f>
        <v>2604H007</v>
      </c>
      <c r="C129" s="23" t="str">
        <f>IFERROR(__xludf.DUMMYFUNCTION("""COMPUTED_VALUE"""),"Alia")</f>
        <v>Alia</v>
      </c>
      <c r="D129" s="24" t="str">
        <f>IFERROR(__xludf.DUMMYFUNCTION("""COMPUTED_VALUE"""),"081328864731")</f>
        <v>081328864731</v>
      </c>
      <c r="E129" s="14" t="str">
        <f>IFERROR(__xludf.DUMMYFUNCTION("""COMPUTED_VALUE"""),"Website")</f>
        <v>Website</v>
      </c>
      <c r="F129" s="14" t="str">
        <f>IFERROR(__xludf.DUMMYFUNCTION("""COMPUTED_VALUE"""),"Gagal")</f>
        <v>Gagal</v>
      </c>
      <c r="G129" s="15" t="str">
        <f>IFERROR(__xludf.DUMMYFUNCTION("""COMPUTED_VALUE"""),"Trip Ijen")</f>
        <v>Trip Ijen</v>
      </c>
      <c r="H129" s="26">
        <f>IFERROR(__xludf.DUMMYFUNCTION("""COMPUTED_VALUE"""),46158.0)</f>
        <v>46158</v>
      </c>
      <c r="I129" s="27">
        <f>IFERROR(__xludf.DUMMYFUNCTION("""COMPUTED_VALUE"""),3.0)</f>
        <v>3</v>
      </c>
      <c r="J129" s="28">
        <f>IFERROR(__xludf.DUMMYFUNCTION("""COMPUTED_VALUE"""),3150000.0)</f>
        <v>3150000</v>
      </c>
      <c r="K129" s="30" t="str">
        <f>IFERROR(__xludf.DUMMYFUNCTION("""COMPUTED_VALUE"""),"gagal, belum jadi, tidak menyampaikan alasan")</f>
        <v>gagal, belum jadi, tidak menyampaikan alasan</v>
      </c>
      <c r="L129" s="81" t="str">
        <f>IFERROR(__xludf.DUMMYFUNCTION("""COMPUTED_VALUE"""),"https://docs.google.com/document/d/1GEwgQ-Ah4bEugla8Br3o8yLzmMCA-PCU-yfLlACEBWw/edit?usp=drivesdk")</f>
        <v>https://docs.google.com/document/d/1GEwgQ-Ah4bEugla8Br3o8yLzmMCA-PCU-yfLlACEBWw/edit?usp=drivesdk</v>
      </c>
      <c r="M129" s="20"/>
      <c r="N129" s="20"/>
      <c r="O129" s="20"/>
      <c r="P129" s="20"/>
    </row>
    <row r="130">
      <c r="A130" s="11">
        <f>IFERROR(__xludf.DUMMYFUNCTION("""COMPUTED_VALUE"""),46118.0)</f>
        <v>46118</v>
      </c>
      <c r="B130" s="12" t="str">
        <f>IFERROR(__xludf.DUMMYFUNCTION("""COMPUTED_VALUE"""),"2604H008")</f>
        <v>2604H008</v>
      </c>
      <c r="C130" s="10" t="str">
        <f>IFERROR(__xludf.DUMMYFUNCTION("""COMPUTED_VALUE"""),"Ferry")</f>
        <v>Ferry</v>
      </c>
      <c r="D130" s="13" t="str">
        <f>IFERROR(__xludf.DUMMYFUNCTION("""COMPUTED_VALUE"""),"081806041477")</f>
        <v>081806041477</v>
      </c>
      <c r="E130" s="14" t="str">
        <f>IFERROR(__xludf.DUMMYFUNCTION("""COMPUTED_VALUE"""),"Website")</f>
        <v>Website</v>
      </c>
      <c r="F130" s="14" t="str">
        <f>IFERROR(__xludf.DUMMYFUNCTION("""COMPUTED_VALUE"""),"Gagal")</f>
        <v>Gagal</v>
      </c>
      <c r="G130" s="14" t="str">
        <f>IFERROR(__xludf.DUMMYFUNCTION("""COMPUTED_VALUE"""),"2H1M custom")</f>
        <v>2H1M custom</v>
      </c>
      <c r="H130" s="16"/>
      <c r="I130" s="17">
        <f>IFERROR(__xludf.DUMMYFUNCTION("""COMPUTED_VALUE"""),15.0)</f>
        <v>15</v>
      </c>
      <c r="J130" s="54">
        <f>IFERROR(__xludf.DUMMYFUNCTION("""COMPUTED_VALUE"""),1.242E7)</f>
        <v>12420000</v>
      </c>
      <c r="K130" s="46" t="str">
        <f>IFERROR(__xludf.DUMMYFUNCTION("""COMPUTED_VALUE"""),"ditunda karena suatu alasan")</f>
        <v>ditunda karena suatu alasan</v>
      </c>
      <c r="L130" s="88" t="str">
        <f>IFERROR(__xludf.DUMMYFUNCTION("""COMPUTED_VALUE"""),"https://docs.google.com/document/d/1fod8EKlkBZG-AEuLfOLlO1n0uDG0p0TVdPekgndOwIE/edit?usp=drivesdk")</f>
        <v>https://docs.google.com/document/d/1fod8EKlkBZG-AEuLfOLlO1n0uDG0p0TVdPekgndOwIE/edit?usp=drivesdk</v>
      </c>
      <c r="M130" s="20"/>
      <c r="N130" s="20"/>
      <c r="O130" s="20"/>
      <c r="P130" s="20"/>
    </row>
    <row r="131">
      <c r="A131" s="21">
        <f>IFERROR(__xludf.DUMMYFUNCTION("""COMPUTED_VALUE"""),46118.0)</f>
        <v>46118</v>
      </c>
      <c r="B131" s="22" t="str">
        <f>IFERROR(__xludf.DUMMYFUNCTION("""COMPUTED_VALUE"""),"2604H009")</f>
        <v>2604H009</v>
      </c>
      <c r="C131" s="23" t="str">
        <f>IFERROR(__xludf.DUMMYFUNCTION("""COMPUTED_VALUE"""),"Saini Sasa")</f>
        <v>Saini Sasa</v>
      </c>
      <c r="D131" s="24" t="str">
        <f>IFERROR(__xludf.DUMMYFUNCTION("""COMPUTED_VALUE"""),"087780196808")</f>
        <v>087780196808</v>
      </c>
      <c r="E131" s="14" t="str">
        <f>IFERROR(__xludf.DUMMYFUNCTION("""COMPUTED_VALUE"""),"Lainnya")</f>
        <v>Lainnya</v>
      </c>
      <c r="F131" s="14" t="str">
        <f>IFERROR(__xludf.DUMMYFUNCTION("""COMPUTED_VALUE"""),"Gagal")</f>
        <v>Gagal</v>
      </c>
      <c r="G131" s="15" t="str">
        <f>IFERROR(__xludf.DUMMYFUNCTION("""COMPUTED_VALUE"""),"OT Djawatan Baluran")</f>
        <v>OT Djawatan Baluran</v>
      </c>
      <c r="H131" s="26">
        <f>IFERROR(__xludf.DUMMYFUNCTION("""COMPUTED_VALUE"""),46119.0)</f>
        <v>46119</v>
      </c>
      <c r="I131" s="27">
        <f>IFERROR(__xludf.DUMMYFUNCTION("""COMPUTED_VALUE"""),1.0)</f>
        <v>1</v>
      </c>
      <c r="J131" s="28">
        <f>IFERROR(__xludf.DUMMYFUNCTION("""COMPUTED_VALUE"""),550000.0)</f>
        <v>550000</v>
      </c>
      <c r="K131" s="30" t="str">
        <f>IFERROR(__xludf.DUMMYFUNCTION("""COMPUTED_VALUE"""),"tidak jadi dan tidak menyampaikan alasana")</f>
        <v>tidak jadi dan tidak menyampaikan alasana</v>
      </c>
      <c r="L131" s="23"/>
      <c r="M131" s="20"/>
      <c r="N131" s="20"/>
      <c r="O131" s="20"/>
      <c r="P131" s="20"/>
    </row>
    <row r="132">
      <c r="A132" s="11">
        <f>IFERROR(__xludf.DUMMYFUNCTION("""COMPUTED_VALUE"""),46119.0)</f>
        <v>46119</v>
      </c>
      <c r="B132" s="12" t="str">
        <f>IFERROR(__xludf.DUMMYFUNCTION("""COMPUTED_VALUE"""),"2604H010")</f>
        <v>2604H010</v>
      </c>
      <c r="C132" s="10" t="str">
        <f>IFERROR(__xludf.DUMMYFUNCTION("""COMPUTED_VALUE"""),"Fina")</f>
        <v>Fina</v>
      </c>
      <c r="D132" s="13" t="str">
        <f>IFERROR(__xludf.DUMMYFUNCTION("""COMPUTED_VALUE"""),"088210269765")</f>
        <v>088210269765</v>
      </c>
      <c r="E132" s="14" t="str">
        <f>IFERROR(__xludf.DUMMYFUNCTION("""COMPUTED_VALUE"""),"Lainnya")</f>
        <v>Lainnya</v>
      </c>
      <c r="F132" s="14" t="str">
        <f>IFERROR(__xludf.DUMMYFUNCTION("""COMPUTED_VALUE"""),"Closing")</f>
        <v>Closing</v>
      </c>
      <c r="G132" s="14" t="str">
        <f>IFERROR(__xludf.DUMMYFUNCTION("""COMPUTED_VALUE"""),"ot ijen")</f>
        <v>ot ijen</v>
      </c>
      <c r="H132" s="16">
        <f>IFERROR(__xludf.DUMMYFUNCTION("""COMPUTED_VALUE"""),46122.0)</f>
        <v>46122</v>
      </c>
      <c r="I132" s="17">
        <f>IFERROR(__xludf.DUMMYFUNCTION("""COMPUTED_VALUE"""),1.0)</f>
        <v>1</v>
      </c>
      <c r="J132" s="54">
        <f>IFERROR(__xludf.DUMMYFUNCTION("""COMPUTED_VALUE"""),250000.0)</f>
        <v>250000</v>
      </c>
      <c r="K132" s="46" t="str">
        <f>IFERROR(__xludf.DUMMYFUNCTION("""COMPUTED_VALUE"""),"ALHAMDULILLAH ORDER")</f>
        <v>ALHAMDULILLAH ORDER</v>
      </c>
      <c r="L132" s="10"/>
      <c r="M132" s="20"/>
      <c r="N132" s="20"/>
      <c r="O132" s="20"/>
      <c r="P132" s="20"/>
    </row>
    <row r="133">
      <c r="A133" s="21">
        <f>IFERROR(__xludf.DUMMYFUNCTION("""COMPUTED_VALUE"""),46119.0)</f>
        <v>46119</v>
      </c>
      <c r="B133" s="22" t="str">
        <f>IFERROR(__xludf.DUMMYFUNCTION("""COMPUTED_VALUE"""),"2604H011")</f>
        <v>2604H011</v>
      </c>
      <c r="C133" s="23" t="str">
        <f>IFERROR(__xludf.DUMMYFUNCTION("""COMPUTED_VALUE"""),"Yusuf Nurwahid (Bang Jep)")</f>
        <v>Yusuf Nurwahid (Bang Jep)</v>
      </c>
      <c r="D133" s="24" t="str">
        <f>IFERROR(__xludf.DUMMYFUNCTION("""COMPUTED_VALUE"""),"081286570089")</f>
        <v>081286570089</v>
      </c>
      <c r="E133" s="14" t="str">
        <f>IFERROR(__xludf.DUMMYFUNCTION("""COMPUTED_VALUE"""),"Website")</f>
        <v>Website</v>
      </c>
      <c r="F133" s="14" t="str">
        <f>IFERROR(__xludf.DUMMYFUNCTION("""COMPUTED_VALUE"""),"Gagal")</f>
        <v>Gagal</v>
      </c>
      <c r="G133" s="14" t="str">
        <f>IFERROR(__xludf.DUMMYFUNCTION("""COMPUTED_VALUE"""),"3h2m")</f>
        <v>3h2m</v>
      </c>
      <c r="H133" s="26"/>
      <c r="I133" s="27">
        <f>IFERROR(__xludf.DUMMYFUNCTION("""COMPUTED_VALUE"""),115.0)</f>
        <v>115</v>
      </c>
      <c r="J133" s="33">
        <f>IFERROR(__xludf.DUMMYFUNCTION("""COMPUTED_VALUE"""),1.725E8)</f>
        <v>172500000</v>
      </c>
      <c r="K133" s="30" t="str">
        <f>IFERROR(__xludf.DUMMYFUNCTION("""COMPUTED_VALUE"""),"ditunda ke bwi, karena jauh, dan pilh destinasi yg lebih dekat")</f>
        <v>ditunda ke bwi, karena jauh, dan pilh destinasi yg lebih dekat</v>
      </c>
      <c r="L133" s="87" t="str">
        <f>IFERROR(__xludf.DUMMYFUNCTION("""COMPUTED_VALUE"""),"https://docs.google.com/document/d/1yvKPGjR4Kd22_KZLe-5SH2S2G1WGCcKiHCuL5WLrM68/edit?usp=drivesdk")</f>
        <v>https://docs.google.com/document/d/1yvKPGjR4Kd22_KZLe-5SH2S2G1WGCcKiHCuL5WLrM68/edit?usp=drivesdk</v>
      </c>
      <c r="M133" s="20"/>
      <c r="N133" s="20"/>
      <c r="O133" s="20"/>
      <c r="P133" s="20"/>
    </row>
    <row r="134">
      <c r="A134" s="11">
        <f>IFERROR(__xludf.DUMMYFUNCTION("""COMPUTED_VALUE"""),46119.0)</f>
        <v>46119</v>
      </c>
      <c r="B134" s="12" t="str">
        <f>IFERROR(__xludf.DUMMYFUNCTION("""COMPUTED_VALUE"""),"2604H012")</f>
        <v>2604H012</v>
      </c>
      <c r="C134" s="10" t="str">
        <f>IFERROR(__xludf.DUMMYFUNCTION("""COMPUTED_VALUE"""),"Tri Kodrat Prasetyo")</f>
        <v>Tri Kodrat Prasetyo</v>
      </c>
      <c r="D134" s="13" t="str">
        <f>IFERROR(__xludf.DUMMYFUNCTION("""COMPUTED_VALUE"""),"085777314701")</f>
        <v>085777314701</v>
      </c>
      <c r="E134" s="14" t="str">
        <f>IFERROR(__xludf.DUMMYFUNCTION("""COMPUTED_VALUE"""),"Lainnya")</f>
        <v>Lainnya</v>
      </c>
      <c r="F134" s="14" t="str">
        <f>IFERROR(__xludf.DUMMYFUNCTION("""COMPUTED_VALUE"""),"Gagal")</f>
        <v>Gagal</v>
      </c>
      <c r="G134" s="15" t="str">
        <f>IFERROR(__xludf.DUMMYFUNCTION("""COMPUTED_VALUE"""),"one day trip green island ")</f>
        <v>one day trip green island </v>
      </c>
      <c r="H134" s="16">
        <f>IFERROR(__xludf.DUMMYFUNCTION("""COMPUTED_VALUE"""),46130.0)</f>
        <v>46130</v>
      </c>
      <c r="I134" s="17">
        <f>IFERROR(__xludf.DUMMYFUNCTION("""COMPUTED_VALUE"""),2.0)</f>
        <v>2</v>
      </c>
      <c r="J134" s="18">
        <f>IFERROR(__xludf.DUMMYFUNCTION("""COMPUTED_VALUE"""),1512000.0)</f>
        <v>1512000</v>
      </c>
      <c r="K134" s="46" t="str">
        <f>IFERROR(__xludf.DUMMYFUNCTION("""COMPUTED_VALUE"""),"sdh fu tidak ada jawaban")</f>
        <v>sdh fu tidak ada jawaban</v>
      </c>
      <c r="L134" s="88" t="str">
        <f>IFERROR(__xludf.DUMMYFUNCTION("""COMPUTED_VALUE"""),"https://docs.google.com/document/d/1ysSwMtkw9XlHoHTSGQwK_6OxHHlHvnK_JDqhSUknNzQ/edit?usp=drivesdk")</f>
        <v>https://docs.google.com/document/d/1ysSwMtkw9XlHoHTSGQwK_6OxHHlHvnK_JDqhSUknNzQ/edit?usp=drivesdk</v>
      </c>
      <c r="M134" s="20"/>
      <c r="N134" s="20"/>
      <c r="O134" s="20"/>
      <c r="P134" s="20"/>
    </row>
    <row r="135">
      <c r="A135" s="21">
        <f>IFERROR(__xludf.DUMMYFUNCTION("""COMPUTED_VALUE"""),46120.0)</f>
        <v>46120</v>
      </c>
      <c r="B135" s="22" t="str">
        <f>IFERROR(__xludf.DUMMYFUNCTION("""COMPUTED_VALUE"""),"2604H013")</f>
        <v>2604H013</v>
      </c>
      <c r="C135" s="23" t="str">
        <f>IFERROR(__xludf.DUMMYFUNCTION("""COMPUTED_VALUE"""),"Arman Khoirur Rizal")</f>
        <v>Arman Khoirur Rizal</v>
      </c>
      <c r="D135" s="24" t="str">
        <f>IFERROR(__xludf.DUMMYFUNCTION("""COMPUTED_VALUE"""),"085811625761")</f>
        <v>085811625761</v>
      </c>
      <c r="E135" s="14" t="str">
        <f>IFERROR(__xludf.DUMMYFUNCTION("""COMPUTED_VALUE"""),"Instagram")</f>
        <v>Instagram</v>
      </c>
      <c r="F135" s="14" t="str">
        <f>IFERROR(__xludf.DUMMYFUNCTION("""COMPUTED_VALUE"""),"Closing")</f>
        <v>Closing</v>
      </c>
      <c r="G135" s="25" t="str">
        <f>IFERROR(__xludf.DUMMYFUNCTION("""COMPUTED_VALUE"""),"one day trip Djabal PM")</f>
        <v>one day trip Djabal PM</v>
      </c>
      <c r="H135" s="26">
        <f>IFERROR(__xludf.DUMMYFUNCTION("""COMPUTED_VALUE"""),46155.0)</f>
        <v>46155</v>
      </c>
      <c r="I135" s="27">
        <f>IFERROR(__xludf.DUMMYFUNCTION("""COMPUTED_VALUE"""),2.0)</f>
        <v>2</v>
      </c>
      <c r="J135" s="33">
        <f>IFERROR(__xludf.DUMMYFUNCTION("""COMPUTED_VALUE"""),3240000.0)</f>
        <v>3240000</v>
      </c>
      <c r="K135" s="36" t="str">
        <f>IFERROR(__xludf.DUMMYFUNCTION("""COMPUTED_VALUE"""),"alhamdulillah order")</f>
        <v>alhamdulillah order</v>
      </c>
      <c r="L135" s="81" t="str">
        <f>IFERROR(__xludf.DUMMYFUNCTION("""COMPUTED_VALUE"""),"https://docs.google.com/document/d/1gyLC2dz08-LCs4R5indO_L5_sFvnhYB7XCNqDwJl6z4/edit?usp=drivesdk")</f>
        <v>https://docs.google.com/document/d/1gyLC2dz08-LCs4R5indO_L5_sFvnhYB7XCNqDwJl6z4/edit?usp=drivesdk</v>
      </c>
      <c r="M135" s="20"/>
      <c r="N135" s="20"/>
      <c r="O135" s="20"/>
      <c r="P135" s="20"/>
    </row>
    <row r="136">
      <c r="A136" s="11">
        <f>IFERROR(__xludf.DUMMYFUNCTION("""COMPUTED_VALUE"""),46120.0)</f>
        <v>46120</v>
      </c>
      <c r="B136" s="12" t="str">
        <f>IFERROR(__xludf.DUMMYFUNCTION("""COMPUTED_VALUE"""),"2604H014")</f>
        <v>2604H014</v>
      </c>
      <c r="C136" s="10" t="str">
        <f>IFERROR(__xludf.DUMMYFUNCTION("""COMPUTED_VALUE"""),"Sonia")</f>
        <v>Sonia</v>
      </c>
      <c r="D136" s="13" t="str">
        <f>IFERROR(__xludf.DUMMYFUNCTION("""COMPUTED_VALUE"""),"083866677292")</f>
        <v>083866677292</v>
      </c>
      <c r="E136" s="14" t="str">
        <f>IFERROR(__xludf.DUMMYFUNCTION("""COMPUTED_VALUE"""),"Lainnya")</f>
        <v>Lainnya</v>
      </c>
      <c r="F136" s="14" t="str">
        <f>IFERROR(__xludf.DUMMYFUNCTION("""COMPUTED_VALUE"""),"Gagal")</f>
        <v>Gagal</v>
      </c>
      <c r="G136" s="25" t="str">
        <f>IFERROR(__xludf.DUMMYFUNCTION("""COMPUTED_VALUE"""),"3H2M ")</f>
        <v>3H2M </v>
      </c>
      <c r="H136" s="16"/>
      <c r="I136" s="80">
        <f>IFERROR(__xludf.DUMMYFUNCTION("""COMPUTED_VALUE"""),70.0)</f>
        <v>70</v>
      </c>
      <c r="J136" s="54"/>
      <c r="K136" s="19" t="str">
        <f>IFERROR(__xludf.DUMMYFUNCTION("""COMPUTED_VALUE"""),"sdh fu. tidak ada jawaban")</f>
        <v>sdh fu. tidak ada jawaban</v>
      </c>
      <c r="L136" s="88" t="str">
        <f>IFERROR(__xludf.DUMMYFUNCTION("""COMPUTED_VALUE"""),"https://docs.google.com/document/d/1hbEYI_spdlsOQ7WSDOdBzfoNT6N7TUIIvbyG7pKwi5Y/edit?usp=drivesdk")</f>
        <v>https://docs.google.com/document/d/1hbEYI_spdlsOQ7WSDOdBzfoNT6N7TUIIvbyG7pKwi5Y/edit?usp=drivesdk</v>
      </c>
      <c r="M136" s="20"/>
      <c r="N136" s="20"/>
      <c r="O136" s="20"/>
      <c r="P136" s="20"/>
    </row>
    <row r="137">
      <c r="A137" s="21">
        <f>IFERROR(__xludf.DUMMYFUNCTION("""COMPUTED_VALUE"""),46121.0)</f>
        <v>46121</v>
      </c>
      <c r="B137" s="22" t="str">
        <f>IFERROR(__xludf.DUMMYFUNCTION("""COMPUTED_VALUE"""),"2604H015")</f>
        <v>2604H015</v>
      </c>
      <c r="C137" s="23" t="str">
        <f>IFERROR(__xludf.DUMMYFUNCTION("""COMPUTED_VALUE"""),"M Hendri (PT Puncak Jaya Wisata)")</f>
        <v>M Hendri (PT Puncak Jaya Wisata)</v>
      </c>
      <c r="D137" s="24" t="str">
        <f>IFERROR(__xludf.DUMMYFUNCTION("""COMPUTED_VALUE"""),"0838116255966")</f>
        <v>0838116255966</v>
      </c>
      <c r="E137" s="14" t="str">
        <f>IFERROR(__xludf.DUMMYFUNCTION("""COMPUTED_VALUE"""),"Lainnya")</f>
        <v>Lainnya</v>
      </c>
      <c r="F137" s="14" t="str">
        <f>IFERROR(__xludf.DUMMYFUNCTION("""COMPUTED_VALUE"""),"Gagal")</f>
        <v>Gagal</v>
      </c>
      <c r="G137" s="15" t="str">
        <f>IFERROR(__xludf.DUMMYFUNCTION("""COMPUTED_VALUE"""),"3H2M opsi A")</f>
        <v>3H2M opsi A</v>
      </c>
      <c r="H137" s="26"/>
      <c r="I137" s="27">
        <f>IFERROR(__xludf.DUMMYFUNCTION("""COMPUTED_VALUE"""),44.0)</f>
        <v>44</v>
      </c>
      <c r="J137" s="28"/>
      <c r="K137" s="30" t="str">
        <f>IFERROR(__xludf.DUMMYFUNCTION("""COMPUTED_VALUE"""),"gada kelanjutan")</f>
        <v>gada kelanjutan</v>
      </c>
      <c r="L137" s="87" t="str">
        <f>IFERROR(__xludf.DUMMYFUNCTION("""COMPUTED_VALUE"""),"https://docs.google.com/document/d/18tiWoj2zK6QVJtZcvOanOZLMFWmiIJUf6qHmS4M0n1E/edit?usp=drivesdk")</f>
        <v>https://docs.google.com/document/d/18tiWoj2zK6QVJtZcvOanOZLMFWmiIJUf6qHmS4M0n1E/edit?usp=drivesdk</v>
      </c>
      <c r="M137" s="20"/>
      <c r="N137" s="20"/>
      <c r="O137" s="20"/>
      <c r="P137" s="20"/>
    </row>
    <row r="138">
      <c r="A138" s="11">
        <f>IFERROR(__xludf.DUMMYFUNCTION("""COMPUTED_VALUE"""),46121.0)</f>
        <v>46121</v>
      </c>
      <c r="B138" s="12" t="str">
        <f>IFERROR(__xludf.DUMMYFUNCTION("""COMPUTED_VALUE"""),"2604H016")</f>
        <v>2604H016</v>
      </c>
      <c r="C138" s="10" t="str">
        <f>IFERROR(__xludf.DUMMYFUNCTION("""COMPUTED_VALUE"""),"Sani Adiwati")</f>
        <v>Sani Adiwati</v>
      </c>
      <c r="D138" s="13" t="str">
        <f>IFERROR(__xludf.DUMMYFUNCTION("""COMPUTED_VALUE"""),"081280703155")</f>
        <v>081280703155</v>
      </c>
      <c r="E138" s="14" t="str">
        <f>IFERROR(__xludf.DUMMYFUNCTION("""COMPUTED_VALUE"""),"Lainnya")</f>
        <v>Lainnya</v>
      </c>
      <c r="F138" s="14" t="str">
        <f>IFERROR(__xludf.DUMMYFUNCTION("""COMPUTED_VALUE"""),"Gagal")</f>
        <v>Gagal</v>
      </c>
      <c r="G138" s="15" t="str">
        <f>IFERROR(__xludf.DUMMYFUNCTION("""COMPUTED_VALUE"""),"one day trip bwi")</f>
        <v>one day trip bwi</v>
      </c>
      <c r="H138" s="16">
        <f>IFERROR(__xludf.DUMMYFUNCTION("""COMPUTED_VALUE"""),46143.0)</f>
        <v>46143</v>
      </c>
      <c r="I138" s="17"/>
      <c r="J138" s="18"/>
      <c r="K138" s="46" t="str">
        <f>IFERROR(__xludf.DUMMYFUNCTION("""COMPUTED_VALUE"""),"batal karena anak-anak ujian")</f>
        <v>batal karena anak-anak ujian</v>
      </c>
      <c r="L138" s="100" t="str">
        <f>IFERROR(__xludf.DUMMYFUNCTION("""COMPUTED_VALUE"""),"https://docs.google.com/document/d/1NBC3uaLbAeVrKJXdgXsp89XZf9lyG-PFIUetZulx6xg/edit?usp=drivesdk")</f>
        <v>https://docs.google.com/document/d/1NBC3uaLbAeVrKJXdgXsp89XZf9lyG-PFIUetZulx6xg/edit?usp=drivesdk</v>
      </c>
      <c r="M138" s="20"/>
      <c r="N138" s="20"/>
      <c r="O138" s="20"/>
      <c r="P138" s="20"/>
    </row>
    <row r="139">
      <c r="A139" s="21">
        <f>IFERROR(__xludf.DUMMYFUNCTION("""COMPUTED_VALUE"""),46121.0)</f>
        <v>46121</v>
      </c>
      <c r="B139" s="22" t="str">
        <f>IFERROR(__xludf.DUMMYFUNCTION("""COMPUTED_VALUE"""),"2604H017")</f>
        <v>2604H017</v>
      </c>
      <c r="C139" s="23" t="str">
        <f>IFERROR(__xludf.DUMMYFUNCTION("""COMPUTED_VALUE"""),"Asna Hasjim")</f>
        <v>Asna Hasjim</v>
      </c>
      <c r="D139" s="24" t="str">
        <f>IFERROR(__xludf.DUMMYFUNCTION("""COMPUTED_VALUE"""),"08123521577")</f>
        <v>08123521577</v>
      </c>
      <c r="E139" s="14" t="str">
        <f>IFERROR(__xludf.DUMMYFUNCTION("""COMPUTED_VALUE"""),"Rekomendasi")</f>
        <v>Rekomendasi</v>
      </c>
      <c r="F139" s="14" t="str">
        <f>IFERROR(__xludf.DUMMYFUNCTION("""COMPUTED_VALUE"""),"Gagal")</f>
        <v>Gagal</v>
      </c>
      <c r="G139" s="15" t="str">
        <f>IFERROR(__xludf.DUMMYFUNCTION("""COMPUTED_VALUE"""),"SBY-MLG-BATU-BWI")</f>
        <v>SBY-MLG-BATU-BWI</v>
      </c>
      <c r="H139" s="26"/>
      <c r="I139" s="27">
        <f>IFERROR(__xludf.DUMMYFUNCTION("""COMPUTED_VALUE"""),10.0)</f>
        <v>10</v>
      </c>
      <c r="J139" s="28">
        <f>IFERROR(__xludf.DUMMYFUNCTION("""COMPUTED_VALUE"""),4.175E7)</f>
        <v>41750000</v>
      </c>
      <c r="K139" s="30" t="str">
        <f>IFERROR(__xludf.DUMMYFUNCTION("""COMPUTED_VALUE"""),"gada jawaban, sdh fu")</f>
        <v>gada jawaban, sdh fu</v>
      </c>
      <c r="L139" s="87" t="str">
        <f>IFERROR(__xludf.DUMMYFUNCTION("""COMPUTED_VALUE"""),"https://docs.google.com/document/d/18-ITjJ4f6p0-LOcePTserqVwqy5dB8v6CUiw5WTm3NE/edit?usp=drivesdk")</f>
        <v>https://docs.google.com/document/d/18-ITjJ4f6p0-LOcePTserqVwqy5dB8v6CUiw5WTm3NE/edit?usp=drivesdk</v>
      </c>
      <c r="M139" s="20"/>
      <c r="N139" s="20"/>
      <c r="O139" s="20"/>
      <c r="P139" s="20"/>
    </row>
    <row r="140">
      <c r="A140" s="11">
        <f>IFERROR(__xludf.DUMMYFUNCTION("""COMPUTED_VALUE"""),46121.0)</f>
        <v>46121</v>
      </c>
      <c r="B140" s="12" t="str">
        <f>IFERROR(__xludf.DUMMYFUNCTION("""COMPUTED_VALUE"""),"2604H018")</f>
        <v>2604H018</v>
      </c>
      <c r="C140" s="10" t="str">
        <f>IFERROR(__xludf.DUMMYFUNCTION("""COMPUTED_VALUE"""),"Abby (Byy Me Tours)")</f>
        <v>Abby (Byy Me Tours)</v>
      </c>
      <c r="D140" s="13" t="str">
        <f>IFERROR(__xludf.DUMMYFUNCTION("""COMPUTED_VALUE"""),"085168888024")</f>
        <v>085168888024</v>
      </c>
      <c r="E140" s="14" t="str">
        <f>IFERROR(__xludf.DUMMYFUNCTION("""COMPUTED_VALUE"""),"Lainnya")</f>
        <v>Lainnya</v>
      </c>
      <c r="F140" s="14" t="str">
        <f>IFERROR(__xludf.DUMMYFUNCTION("""COMPUTED_VALUE"""),"Gagal")</f>
        <v>Gagal</v>
      </c>
      <c r="G140" s="15" t="str">
        <f>IFERROR(__xludf.DUMMYFUNCTION("""COMPUTED_VALUE"""),"3H2M OPSI A")</f>
        <v>3H2M OPSI A</v>
      </c>
      <c r="H140" s="16"/>
      <c r="I140" s="17">
        <f>IFERROR(__xludf.DUMMYFUNCTION("""COMPUTED_VALUE"""),46301.0)</f>
        <v>46301</v>
      </c>
      <c r="J140" s="54"/>
      <c r="K140" s="46" t="str">
        <f>IFERROR(__xludf.DUMMYFUNCTION("""COMPUTED_VALUE"""),"gada jawaban")</f>
        <v>gada jawaban</v>
      </c>
      <c r="L140" s="100" t="str">
        <f>IFERROR(__xludf.DUMMYFUNCTION("""COMPUTED_VALUE"""),"https://docs.google.com/document/d/1cR3BncejclzBUZ2oanP5vsJnCPqrnCoqMIkH8bKFVxM/edit?usp=drivesdk")</f>
        <v>https://docs.google.com/document/d/1cR3BncejclzBUZ2oanP5vsJnCPqrnCoqMIkH8bKFVxM/edit?usp=drivesdk</v>
      </c>
      <c r="M140" s="20"/>
      <c r="N140" s="20"/>
      <c r="O140" s="20"/>
      <c r="P140" s="20"/>
    </row>
    <row r="141">
      <c r="A141" s="21">
        <f>IFERROR(__xludf.DUMMYFUNCTION("""COMPUTED_VALUE"""),46122.0)</f>
        <v>46122</v>
      </c>
      <c r="B141" s="22" t="str">
        <f>IFERROR(__xludf.DUMMYFUNCTION("""COMPUTED_VALUE"""),"2604H019")</f>
        <v>2604H019</v>
      </c>
      <c r="C141" s="23" t="str">
        <f>IFERROR(__xludf.DUMMYFUNCTION("""COMPUTED_VALUE"""),"Sandra")</f>
        <v>Sandra</v>
      </c>
      <c r="D141" s="24" t="str">
        <f>IFERROR(__xludf.DUMMYFUNCTION("""COMPUTED_VALUE"""),"085895459898")</f>
        <v>085895459898</v>
      </c>
      <c r="E141" s="14" t="str">
        <f>IFERROR(__xludf.DUMMYFUNCTION("""COMPUTED_VALUE"""),"Lainnya")</f>
        <v>Lainnya</v>
      </c>
      <c r="F141" s="14" t="str">
        <f>IFERROR(__xludf.DUMMYFUNCTION("""COMPUTED_VALUE"""),"Gagal")</f>
        <v>Gagal</v>
      </c>
      <c r="G141" s="15" t="str">
        <f>IFERROR(__xludf.DUMMYFUNCTION("""COMPUTED_VALUE"""),"3h2m custom")</f>
        <v>3h2m custom</v>
      </c>
      <c r="H141" s="26"/>
      <c r="I141" s="89">
        <f>IFERROR(__xludf.DUMMYFUNCTION("""COMPUTED_VALUE"""),24.0)</f>
        <v>24</v>
      </c>
      <c r="J141" s="28">
        <f>IFERROR(__xludf.DUMMYFUNCTION("""COMPUTED_VALUE"""),7.704E7)</f>
        <v>77040000</v>
      </c>
      <c r="K141" s="30" t="str">
        <f>IFERROR(__xludf.DUMMYFUNCTION("""COMPUTED_VALUE"""),"sdh fu, gada jawaban")</f>
        <v>sdh fu, gada jawaban</v>
      </c>
      <c r="L141" s="81" t="str">
        <f>IFERROR(__xludf.DUMMYFUNCTION("""COMPUTED_VALUE"""),"https://docs.google.com/document/d/1GmDZnAsI-0et-O48ogIqxgdrA7XlopwNKhw4d__W5-M/edit?usp=drivesdk")</f>
        <v>https://docs.google.com/document/d/1GmDZnAsI-0et-O48ogIqxgdrA7XlopwNKhw4d__W5-M/edit?usp=drivesdk</v>
      </c>
      <c r="M141" s="20"/>
      <c r="N141" s="20"/>
      <c r="O141" s="20"/>
      <c r="P141" s="20"/>
    </row>
    <row r="142">
      <c r="A142" s="11">
        <f>IFERROR(__xludf.DUMMYFUNCTION("""COMPUTED_VALUE"""),46122.0)</f>
        <v>46122</v>
      </c>
      <c r="B142" s="12" t="str">
        <f>IFERROR(__xludf.DUMMYFUNCTION("""COMPUTED_VALUE"""),"2604H020")</f>
        <v>2604H020</v>
      </c>
      <c r="C142" s="10" t="str">
        <f>IFERROR(__xludf.DUMMYFUNCTION("""COMPUTED_VALUE"""),"Nina Marliana")</f>
        <v>Nina Marliana</v>
      </c>
      <c r="D142" s="13" t="str">
        <f>IFERROR(__xludf.DUMMYFUNCTION("""COMPUTED_VALUE"""),"08119447521")</f>
        <v>08119447521</v>
      </c>
      <c r="E142" s="14" t="str">
        <f>IFERROR(__xludf.DUMMYFUNCTION("""COMPUTED_VALUE"""),"Lainnya")</f>
        <v>Lainnya</v>
      </c>
      <c r="F142" s="14" t="str">
        <f>IFERROR(__xludf.DUMMYFUNCTION("""COMPUTED_VALUE"""),"Gagal")</f>
        <v>Gagal</v>
      </c>
      <c r="G142" s="14"/>
      <c r="H142" s="16"/>
      <c r="I142" s="17"/>
      <c r="J142" s="54"/>
      <c r="K142" s="46" t="str">
        <f>IFERROR(__xludf.DUMMYFUNCTION("""COMPUTED_VALUE"""),"memutuskan ke labuan bajo")</f>
        <v>memutuskan ke labuan bajo</v>
      </c>
      <c r="L142" s="100" t="str">
        <f>IFERROR(__xludf.DUMMYFUNCTION("""COMPUTED_VALUE"""),"https://docs.google.com/document/d/1OBF27uczIKaWaTn02-1kik1_4wu7EP5EPuP4iV0e8e8/edit?usp=drivesdk")</f>
        <v>https://docs.google.com/document/d/1OBF27uczIKaWaTn02-1kik1_4wu7EP5EPuP4iV0e8e8/edit?usp=drivesdk</v>
      </c>
      <c r="M142" s="20"/>
      <c r="N142" s="20"/>
      <c r="O142" s="20"/>
      <c r="P142" s="20"/>
    </row>
    <row r="143">
      <c r="A143" s="21">
        <f>IFERROR(__xludf.DUMMYFUNCTION("""COMPUTED_VALUE"""),46123.0)</f>
        <v>46123</v>
      </c>
      <c r="B143" s="22" t="str">
        <f>IFERROR(__xludf.DUMMYFUNCTION("""COMPUTED_VALUE"""),"2604H021")</f>
        <v>2604H021</v>
      </c>
      <c r="C143" s="23" t="str">
        <f>IFERROR(__xludf.DUMMYFUNCTION("""COMPUTED_VALUE"""),"Subhan")</f>
        <v>Subhan</v>
      </c>
      <c r="D143" s="24" t="str">
        <f>IFERROR(__xludf.DUMMYFUNCTION("""COMPUTED_VALUE"""),"08112424428")</f>
        <v>08112424428</v>
      </c>
      <c r="E143" s="14" t="str">
        <f>IFERROR(__xludf.DUMMYFUNCTION("""COMPUTED_VALUE"""),"Website")</f>
        <v>Website</v>
      </c>
      <c r="F143" s="14" t="str">
        <f>IFERROR(__xludf.DUMMYFUNCTION("""COMPUTED_VALUE"""),"Gagal")</f>
        <v>Gagal</v>
      </c>
      <c r="G143" s="15" t="str">
        <f>IFERROR(__xludf.DUMMYFUNCTION("""COMPUTED_VALUE"""),"3h2m")</f>
        <v>3h2m</v>
      </c>
      <c r="H143" s="26"/>
      <c r="I143" s="27">
        <f>IFERROR(__xludf.DUMMYFUNCTION("""COMPUTED_VALUE"""),2.0)</f>
        <v>2</v>
      </c>
      <c r="J143" s="33"/>
      <c r="K143" s="30" t="str">
        <f>IFERROR(__xludf.DUMMYFUNCTION("""COMPUTED_VALUE"""),"ingin jalan sendiri, sdh ditawarkan ot 3h2m")</f>
        <v>ingin jalan sendiri, sdh ditawarkan ot 3h2m</v>
      </c>
      <c r="L143" s="87" t="str">
        <f>IFERROR(__xludf.DUMMYFUNCTION("""COMPUTED_VALUE"""),"https://docs.google.com/document/d/1cIvhfmSvlZcCwx_P3nJ-yjhUsG1P0X99YHRZGwK-UMg/edit?usp=drivesdk")</f>
        <v>https://docs.google.com/document/d/1cIvhfmSvlZcCwx_P3nJ-yjhUsG1P0X99YHRZGwK-UMg/edit?usp=drivesdk</v>
      </c>
      <c r="M143" s="20"/>
      <c r="N143" s="20"/>
      <c r="O143" s="20"/>
      <c r="P143" s="20"/>
    </row>
    <row r="144">
      <c r="A144" s="11">
        <f>IFERROR(__xludf.DUMMYFUNCTION("""COMPUTED_VALUE"""),46124.0)</f>
        <v>46124</v>
      </c>
      <c r="B144" s="12" t="str">
        <f>IFERROR(__xludf.DUMMYFUNCTION("""COMPUTED_VALUE"""),"2604H022")</f>
        <v>2604H022</v>
      </c>
      <c r="C144" s="10" t="str">
        <f>IFERROR(__xludf.DUMMYFUNCTION("""COMPUTED_VALUE"""),"Hasna hafizhah Salma")</f>
        <v>Hasna hafizhah Salma</v>
      </c>
      <c r="D144" s="13" t="str">
        <f>IFERROR(__xludf.DUMMYFUNCTION("""COMPUTED_VALUE"""),"081282497701")</f>
        <v>081282497701</v>
      </c>
      <c r="E144" s="14" t="str">
        <f>IFERROR(__xludf.DUMMYFUNCTION("""COMPUTED_VALUE"""),"Lainnya")</f>
        <v>Lainnya</v>
      </c>
      <c r="F144" s="14" t="str">
        <f>IFERROR(__xludf.DUMMYFUNCTION("""COMPUTED_VALUE"""),"Closing")</f>
        <v>Closing</v>
      </c>
      <c r="G144" s="15" t="str">
        <f>IFERROR(__xludf.DUMMYFUNCTION("""COMPUTED_VALUE"""),"ot 3h2m")</f>
        <v>ot 3h2m</v>
      </c>
      <c r="H144" s="16"/>
      <c r="I144" s="17">
        <f>IFERROR(__xludf.DUMMYFUNCTION("""COMPUTED_VALUE"""),1.0)</f>
        <v>1</v>
      </c>
      <c r="J144" s="18">
        <f>IFERROR(__xludf.DUMMYFUNCTION("""COMPUTED_VALUE"""),1600000.0)</f>
        <v>1600000</v>
      </c>
      <c r="K144" s="46" t="str">
        <f>IFERROR(__xludf.DUMMYFUNCTION("""COMPUTED_VALUE"""),"alhamdulillah order")</f>
        <v>alhamdulillah order</v>
      </c>
      <c r="L144" s="10"/>
      <c r="M144" s="20"/>
      <c r="N144" s="20"/>
      <c r="O144" s="20"/>
      <c r="P144" s="20"/>
    </row>
    <row r="145">
      <c r="A145" s="21">
        <f>IFERROR(__xludf.DUMMYFUNCTION("""COMPUTED_VALUE"""),46124.0)</f>
        <v>46124</v>
      </c>
      <c r="B145" s="22" t="str">
        <f>IFERROR(__xludf.DUMMYFUNCTION("""COMPUTED_VALUE"""),"2604H023")</f>
        <v>2604H023</v>
      </c>
      <c r="C145" s="23" t="str">
        <f>IFERROR(__xludf.DUMMYFUNCTION("""COMPUTED_VALUE"""),"Giyanti")</f>
        <v>Giyanti</v>
      </c>
      <c r="D145" s="24" t="str">
        <f>IFERROR(__xludf.DUMMYFUNCTION("""COMPUTED_VALUE"""),"081399154139")</f>
        <v>081399154139</v>
      </c>
      <c r="E145" s="14" t="str">
        <f>IFERROR(__xludf.DUMMYFUNCTION("""COMPUTED_VALUE"""),"Lainnya")</f>
        <v>Lainnya</v>
      </c>
      <c r="F145" s="14" t="str">
        <f>IFERROR(__xludf.DUMMYFUNCTION("""COMPUTED_VALUE"""),"Gagal")</f>
        <v>Gagal</v>
      </c>
      <c r="G145" s="14" t="str">
        <f>IFERROR(__xludf.DUMMYFUNCTION("""COMPUTED_VALUE"""),"3h2m opsi a")</f>
        <v>3h2m opsi a</v>
      </c>
      <c r="H145" s="26">
        <f>IFERROR(__xludf.DUMMYFUNCTION("""COMPUTED_VALUE"""),46155.0)</f>
        <v>46155</v>
      </c>
      <c r="I145" s="27">
        <f>IFERROR(__xludf.DUMMYFUNCTION("""COMPUTED_VALUE"""),7.0)</f>
        <v>7</v>
      </c>
      <c r="J145" s="33">
        <f>IFERROR(__xludf.DUMMYFUNCTION("""COMPUTED_VALUE"""),1.0227E7)</f>
        <v>10227000</v>
      </c>
      <c r="K145" s="30" t="str">
        <f>IFERROR(__xludf.DUMMYFUNCTION("""COMPUTED_VALUE"""),"tidak ada jawaban, sdh fu 5 kali")</f>
        <v>tidak ada jawaban, sdh fu 5 kali</v>
      </c>
      <c r="L145" s="87" t="str">
        <f>IFERROR(__xludf.DUMMYFUNCTION("""COMPUTED_VALUE"""),"https://docs.google.com/document/d/1EwovyVKwMADxWWM0_ycpkDgG5KtW98Z25mnFfwJOfTg/edit?usp=drivesdk")</f>
        <v>https://docs.google.com/document/d/1EwovyVKwMADxWWM0_ycpkDgG5KtW98Z25mnFfwJOfTg/edit?usp=drivesdk</v>
      </c>
      <c r="M145" s="20"/>
      <c r="N145" s="20"/>
      <c r="O145" s="20"/>
      <c r="P145" s="20"/>
    </row>
    <row r="146">
      <c r="A146" s="11">
        <f>IFERROR(__xludf.DUMMYFUNCTION("""COMPUTED_VALUE"""),46125.0)</f>
        <v>46125</v>
      </c>
      <c r="B146" s="12" t="str">
        <f>IFERROR(__xludf.DUMMYFUNCTION("""COMPUTED_VALUE"""),"2604H024")</f>
        <v>2604H024</v>
      </c>
      <c r="C146" s="10" t="str">
        <f>IFERROR(__xludf.DUMMYFUNCTION("""COMPUTED_VALUE"""),"Michael Rully")</f>
        <v>Michael Rully</v>
      </c>
      <c r="D146" s="13" t="str">
        <f>IFERROR(__xludf.DUMMYFUNCTION("""COMPUTED_VALUE"""),"085156580342")</f>
        <v>085156580342</v>
      </c>
      <c r="E146" s="14" t="str">
        <f>IFERROR(__xludf.DUMMYFUNCTION("""COMPUTED_VALUE"""),"Lainnya")</f>
        <v>Lainnya</v>
      </c>
      <c r="F146" s="14" t="str">
        <f>IFERROR(__xludf.DUMMYFUNCTION("""COMPUTED_VALUE"""),"Qualified")</f>
        <v>Qualified</v>
      </c>
      <c r="G146" s="14" t="str">
        <f>IFERROR(__xludf.DUMMYFUNCTION("""COMPUTED_VALUE"""),"3h2m opsi b")</f>
        <v>3h2m opsi b</v>
      </c>
      <c r="H146" s="16"/>
      <c r="I146" s="17">
        <f>IFERROR(__xludf.DUMMYFUNCTION("""COMPUTED_VALUE"""),2.0)</f>
        <v>2</v>
      </c>
      <c r="J146" s="18">
        <f>IFERROR(__xludf.DUMMYFUNCTION("""COMPUTED_VALUE"""),5664000.0)</f>
        <v>5664000</v>
      </c>
      <c r="K146" s="46" t="str">
        <f>IFERROR(__xludf.DUMMYFUNCTION("""COMPUTED_VALUE"""),"fu 18 juni")</f>
        <v>fu 18 juni</v>
      </c>
      <c r="L146" s="10"/>
      <c r="M146" s="20"/>
      <c r="N146" s="20"/>
      <c r="O146" s="20"/>
      <c r="P146" s="20"/>
    </row>
    <row r="147">
      <c r="A147" s="21">
        <f>IFERROR(__xludf.DUMMYFUNCTION("""COMPUTED_VALUE"""),46125.0)</f>
        <v>46125</v>
      </c>
      <c r="B147" s="22" t="str">
        <f>IFERROR(__xludf.DUMMYFUNCTION("""COMPUTED_VALUE"""),"2604H025")</f>
        <v>2604H025</v>
      </c>
      <c r="C147" s="23" t="str">
        <f>IFERROR(__xludf.DUMMYFUNCTION("""COMPUTED_VALUE"""),"D'Rona")</f>
        <v>D'Rona</v>
      </c>
      <c r="D147" s="24" t="str">
        <f>IFERROR(__xludf.DUMMYFUNCTION("""COMPUTED_VALUE"""),"081314814657")</f>
        <v>081314814657</v>
      </c>
      <c r="E147" s="14" t="str">
        <f>IFERROR(__xludf.DUMMYFUNCTION("""COMPUTED_VALUE"""),"Lainnya")</f>
        <v>Lainnya</v>
      </c>
      <c r="F147" s="14" t="str">
        <f>IFERROR(__xludf.DUMMYFUNCTION("""COMPUTED_VALUE"""),"Gagal")</f>
        <v>Gagal</v>
      </c>
      <c r="G147" s="15" t="str">
        <f>IFERROR(__xludf.DUMMYFUNCTION("""COMPUTED_VALUE"""),"open trip")</f>
        <v>open trip</v>
      </c>
      <c r="H147" s="26"/>
      <c r="I147" s="27">
        <f>IFERROR(__xludf.DUMMYFUNCTION("""COMPUTED_VALUE"""),2.0)</f>
        <v>2</v>
      </c>
      <c r="J147" s="33">
        <f>IFERROR(__xludf.DUMMYFUNCTION("""COMPUTED_VALUE"""),3200000.0)</f>
        <v>3200000</v>
      </c>
      <c r="K147" s="30" t="str">
        <f>IFERROR(__xludf.DUMMYFUNCTION("""COMPUTED_VALUE"""),"gada jawaban")</f>
        <v>gada jawaban</v>
      </c>
      <c r="L147" s="87" t="str">
        <f>IFERROR(__xludf.DUMMYFUNCTION("""COMPUTED_VALUE"""),"https://docs.google.com/document/d/1g0hEU3-pIXVMgTbxmDP7E7sSAtVPNtVIKRpsNAgU3ek/edit?usp=drivesdk")</f>
        <v>https://docs.google.com/document/d/1g0hEU3-pIXVMgTbxmDP7E7sSAtVPNtVIKRpsNAgU3ek/edit?usp=drivesdk</v>
      </c>
      <c r="M147" s="20"/>
      <c r="N147" s="20"/>
      <c r="O147" s="20"/>
      <c r="P147" s="20"/>
    </row>
    <row r="148">
      <c r="A148" s="11">
        <f>IFERROR(__xludf.DUMMYFUNCTION("""COMPUTED_VALUE"""),46125.0)</f>
        <v>46125</v>
      </c>
      <c r="B148" s="12" t="str">
        <f>IFERROR(__xludf.DUMMYFUNCTION("""COMPUTED_VALUE"""),"2604H026")</f>
        <v>2604H026</v>
      </c>
      <c r="C148" s="10" t="str">
        <f>IFERROR(__xludf.DUMMYFUNCTION("""COMPUTED_VALUE"""),"Ayutria")</f>
        <v>Ayutria</v>
      </c>
      <c r="D148" s="13" t="str">
        <f>IFERROR(__xludf.DUMMYFUNCTION("""COMPUTED_VALUE"""),"081290960337")</f>
        <v>081290960337</v>
      </c>
      <c r="E148" s="14" t="str">
        <f>IFERROR(__xludf.DUMMYFUNCTION("""COMPUTED_VALUE"""),"Instagram")</f>
        <v>Instagram</v>
      </c>
      <c r="F148" s="14" t="str">
        <f>IFERROR(__xludf.DUMMYFUNCTION("""COMPUTED_VALUE"""),"Prospek")</f>
        <v>Prospek</v>
      </c>
      <c r="G148" s="15" t="str">
        <f>IFERROR(__xludf.DUMMYFUNCTION("""COMPUTED_VALUE"""),"one day trip wurung djabal")</f>
        <v>one day trip wurung djabal</v>
      </c>
      <c r="H148" s="16"/>
      <c r="I148" s="17">
        <f>IFERROR(__xludf.DUMMYFUNCTION("""COMPUTED_VALUE"""),4.0)</f>
        <v>4</v>
      </c>
      <c r="J148" s="54">
        <f>IFERROR(__xludf.DUMMYFUNCTION("""COMPUTED_VALUE"""),1632000.0)</f>
        <v>1632000</v>
      </c>
      <c r="K148" s="19" t="str">
        <f>IFERROR(__xludf.DUMMYFUNCTION("""COMPUTED_VALUE"""),"fu 2 juli")</f>
        <v>fu 2 juli</v>
      </c>
      <c r="L148" s="88" t="str">
        <f>IFERROR(__xludf.DUMMYFUNCTION("""COMPUTED_VALUE"""),"https://docs.google.com/document/d/1viCTTSEkRINnsUpDAAQSdL7f8x23hma-4fUulDojJfw/edit?usp=drivesdk")</f>
        <v>https://docs.google.com/document/d/1viCTTSEkRINnsUpDAAQSdL7f8x23hma-4fUulDojJfw/edit?usp=drivesdk</v>
      </c>
      <c r="M148" s="20"/>
      <c r="N148" s="20"/>
      <c r="O148" s="20"/>
      <c r="P148" s="20"/>
    </row>
    <row r="149">
      <c r="A149" s="21">
        <f>IFERROR(__xludf.DUMMYFUNCTION("""COMPUTED_VALUE"""),46126.0)</f>
        <v>46126</v>
      </c>
      <c r="B149" s="22" t="str">
        <f>IFERROR(__xludf.DUMMYFUNCTION("""COMPUTED_VALUE"""),"2604H027")</f>
        <v>2604H027</v>
      </c>
      <c r="C149" s="23" t="str">
        <f>IFERROR(__xludf.DUMMYFUNCTION("""COMPUTED_VALUE"""),"Kiki")</f>
        <v>Kiki</v>
      </c>
      <c r="D149" s="24" t="str">
        <f>IFERROR(__xludf.DUMMYFUNCTION("""COMPUTED_VALUE"""),"081288110888")</f>
        <v>081288110888</v>
      </c>
      <c r="E149" s="14" t="str">
        <f>IFERROR(__xludf.DUMMYFUNCTION("""COMPUTED_VALUE"""),"Lainnya")</f>
        <v>Lainnya</v>
      </c>
      <c r="F149" s="14" t="str">
        <f>IFERROR(__xludf.DUMMYFUNCTION("""COMPUTED_VALUE"""),"Gagal")</f>
        <v>Gagal</v>
      </c>
      <c r="G149" s="15" t="str">
        <f>IFERROR(__xludf.DUMMYFUNCTION("""COMPUTED_VALUE"""),"BROMOO")</f>
        <v>BROMOO</v>
      </c>
      <c r="H149" s="26"/>
      <c r="I149" s="27">
        <f>IFERROR(__xludf.DUMMYFUNCTION("""COMPUTED_VALUE"""),5.0)</f>
        <v>5</v>
      </c>
      <c r="J149" s="28"/>
      <c r="K149" s="36" t="str">
        <f>IFERROR(__xludf.DUMMYFUNCTION("""COMPUTED_VALUE"""),"tidak ada kelanjurutan")</f>
        <v>tidak ada kelanjurutan</v>
      </c>
      <c r="L149" s="81" t="str">
        <f>IFERROR(__xludf.DUMMYFUNCTION("""COMPUTED_VALUE"""),"https://docs.google.com/document/d/1quchrNqLCHGepiONa94n2Nv0BaP06nb7B2VryYpEB34/edit?usp=drivesdk")</f>
        <v>https://docs.google.com/document/d/1quchrNqLCHGepiONa94n2Nv0BaP06nb7B2VryYpEB34/edit?usp=drivesdk</v>
      </c>
      <c r="M149" s="20"/>
      <c r="N149" s="20"/>
      <c r="O149" s="20"/>
      <c r="P149" s="20"/>
    </row>
    <row r="150">
      <c r="A150" s="11">
        <f>IFERROR(__xludf.DUMMYFUNCTION("""COMPUTED_VALUE"""),46126.0)</f>
        <v>46126</v>
      </c>
      <c r="B150" s="12" t="str">
        <f>IFERROR(__xludf.DUMMYFUNCTION("""COMPUTED_VALUE"""),"2604H028")</f>
        <v>2604H028</v>
      </c>
      <c r="C150" s="10" t="str">
        <f>IFERROR(__xludf.DUMMYFUNCTION("""COMPUTED_VALUE"""),"Melia")</f>
        <v>Melia</v>
      </c>
      <c r="D150" s="13" t="str">
        <f>IFERROR(__xludf.DUMMYFUNCTION("""COMPUTED_VALUE"""),"0811195318")</f>
        <v>0811195318</v>
      </c>
      <c r="E150" s="14" t="str">
        <f>IFERROR(__xludf.DUMMYFUNCTION("""COMPUTED_VALUE"""),"Lainnya")</f>
        <v>Lainnya</v>
      </c>
      <c r="F150" s="14" t="str">
        <f>IFERROR(__xludf.DUMMYFUNCTION("""COMPUTED_VALUE"""),"Gagal")</f>
        <v>Gagal</v>
      </c>
      <c r="G150" s="14" t="str">
        <f>IFERROR(__xludf.DUMMYFUNCTION("""COMPUTED_VALUE"""),"1d djabal")</f>
        <v>1d djabal</v>
      </c>
      <c r="H150" s="16">
        <f>IFERROR(__xludf.DUMMYFUNCTION("""COMPUTED_VALUE"""),46128.0)</f>
        <v>46128</v>
      </c>
      <c r="I150" s="17">
        <f>IFERROR(__xludf.DUMMYFUNCTION("""COMPUTED_VALUE"""),4.0)</f>
        <v>4</v>
      </c>
      <c r="J150" s="54">
        <f>IFERROR(__xludf.DUMMYFUNCTION("""COMPUTED_VALUE"""),1320000.0)</f>
        <v>1320000</v>
      </c>
      <c r="K150" s="46"/>
      <c r="L150" s="10"/>
      <c r="M150" s="20"/>
      <c r="N150" s="20"/>
      <c r="O150" s="20"/>
      <c r="P150" s="20"/>
    </row>
    <row r="151">
      <c r="A151" s="21">
        <f>IFERROR(__xludf.DUMMYFUNCTION("""COMPUTED_VALUE"""),46128.0)</f>
        <v>46128</v>
      </c>
      <c r="B151" s="22" t="str">
        <f>IFERROR(__xludf.DUMMYFUNCTION("""COMPUTED_VALUE"""),"2604H029")</f>
        <v>2604H029</v>
      </c>
      <c r="C151" s="23" t="str">
        <f>IFERROR(__xludf.DUMMYFUNCTION("""COMPUTED_VALUE"""),"Ibrahim")</f>
        <v>Ibrahim</v>
      </c>
      <c r="D151" s="24" t="str">
        <f>IFERROR(__xludf.DUMMYFUNCTION("""COMPUTED_VALUE"""),"0878773573445")</f>
        <v>0878773573445</v>
      </c>
      <c r="E151" s="14" t="str">
        <f>IFERROR(__xludf.DUMMYFUNCTION("""COMPUTED_VALUE"""),"Website")</f>
        <v>Website</v>
      </c>
      <c r="F151" s="14" t="str">
        <f>IFERROR(__xludf.DUMMYFUNCTION("""COMPUTED_VALUE"""),"Closing")</f>
        <v>Closing</v>
      </c>
      <c r="G151" s="15" t="str">
        <f>IFERROR(__xludf.DUMMYFUNCTION("""COMPUTED_VALUE"""),"ot green island")</f>
        <v>ot green island</v>
      </c>
      <c r="H151" s="26">
        <f>IFERROR(__xludf.DUMMYFUNCTION("""COMPUTED_VALUE"""),46158.0)</f>
        <v>46158</v>
      </c>
      <c r="I151" s="27">
        <f>IFERROR(__xludf.DUMMYFUNCTION("""COMPUTED_VALUE"""),2.0)</f>
        <v>2</v>
      </c>
      <c r="J151" s="33">
        <f>IFERROR(__xludf.DUMMYFUNCTION("""COMPUTED_VALUE"""),400000.0)</f>
        <v>400000</v>
      </c>
      <c r="K151" s="30" t="str">
        <f>IFERROR(__xludf.DUMMYFUNCTION("""COMPUTED_VALUE"""),"fu 15 mei")</f>
        <v>fu 15 mei</v>
      </c>
      <c r="L151" s="87" t="str">
        <f>IFERROR(__xludf.DUMMYFUNCTION("""COMPUTED_VALUE"""),"https://docs.google.com/document/d/1dM6Zp8a1y5mROjlAoRCYaR7dArHSorTQ3Kc7Z5leVXs/edit?usp=drivesdk")</f>
        <v>https://docs.google.com/document/d/1dM6Zp8a1y5mROjlAoRCYaR7dArHSorTQ3Kc7Z5leVXs/edit?usp=drivesdk</v>
      </c>
      <c r="M151" s="20"/>
      <c r="N151" s="20"/>
      <c r="O151" s="20"/>
      <c r="P151" s="20"/>
    </row>
    <row r="152">
      <c r="A152" s="11">
        <f>IFERROR(__xludf.DUMMYFUNCTION("""COMPUTED_VALUE"""),46128.0)</f>
        <v>46128</v>
      </c>
      <c r="B152" s="12" t="str">
        <f>IFERROR(__xludf.DUMMYFUNCTION("""COMPUTED_VALUE"""),"2604H030")</f>
        <v>2604H030</v>
      </c>
      <c r="C152" s="10" t="str">
        <f>IFERROR(__xludf.DUMMYFUNCTION("""COMPUTED_VALUE"""),"Santy")</f>
        <v>Santy</v>
      </c>
      <c r="D152" s="13" t="str">
        <f>IFERROR(__xludf.DUMMYFUNCTION("""COMPUTED_VALUE"""),"081219708830")</f>
        <v>081219708830</v>
      </c>
      <c r="E152" s="14" t="str">
        <f>IFERROR(__xludf.DUMMYFUNCTION("""COMPUTED_VALUE"""),"Website")</f>
        <v>Website</v>
      </c>
      <c r="F152" s="14" t="str">
        <f>IFERROR(__xludf.DUMMYFUNCTION("""COMPUTED_VALUE"""),"Gagal")</f>
        <v>Gagal</v>
      </c>
      <c r="G152" s="15" t="str">
        <f>IFERROR(__xludf.DUMMYFUNCTION("""COMPUTED_VALUE"""),"3h2m opsi a")</f>
        <v>3h2m opsi a</v>
      </c>
      <c r="H152" s="16"/>
      <c r="I152" s="17">
        <f>IFERROR(__xludf.DUMMYFUNCTION("""COMPUTED_VALUE"""),7.0)</f>
        <v>7</v>
      </c>
      <c r="J152" s="18">
        <f>IFERROR(__xludf.DUMMYFUNCTION("""COMPUTED_VALUE"""),1.0227E7)</f>
        <v>10227000</v>
      </c>
      <c r="K152" s="19" t="str">
        <f>IFERROR(__xludf.DUMMYFUNCTION("""COMPUTED_VALUE"""),"gagal. tidak ada jawaban, sdh fu 5 kali")</f>
        <v>gagal. tidak ada jawaban, sdh fu 5 kali</v>
      </c>
      <c r="L152" s="88" t="str">
        <f>IFERROR(__xludf.DUMMYFUNCTION("""COMPUTED_VALUE"""),"https://docs.google.com/document/d/17F8E8d3oGrNrBb2hw5yUe2BWsRJKS7eqVtn89z9y1YE/edit?usp=drivesdk")</f>
        <v>https://docs.google.com/document/d/17F8E8d3oGrNrBb2hw5yUe2BWsRJKS7eqVtn89z9y1YE/edit?usp=drivesdk</v>
      </c>
      <c r="M152" s="20"/>
      <c r="N152" s="20"/>
      <c r="O152" s="20"/>
      <c r="P152" s="20"/>
    </row>
    <row r="153">
      <c r="A153" s="21">
        <f>IFERROR(__xludf.DUMMYFUNCTION("""COMPUTED_VALUE"""),46128.0)</f>
        <v>46128</v>
      </c>
      <c r="B153" s="22" t="str">
        <f>IFERROR(__xludf.DUMMYFUNCTION("""COMPUTED_VALUE"""),"2604H031")</f>
        <v>2604H031</v>
      </c>
      <c r="C153" s="23" t="str">
        <f>IFERROR(__xludf.DUMMYFUNCTION("""COMPUTED_VALUE"""),"iwatmasud")</f>
        <v>iwatmasud</v>
      </c>
      <c r="D153" s="24" t="str">
        <f>IFERROR(__xludf.DUMMYFUNCTION("""COMPUTED_VALUE"""),"081774174123")</f>
        <v>081774174123</v>
      </c>
      <c r="E153" s="14" t="str">
        <f>IFERROR(__xludf.DUMMYFUNCTION("""COMPUTED_VALUE"""),"Rekomendasi")</f>
        <v>Rekomendasi</v>
      </c>
      <c r="F153" s="14" t="str">
        <f>IFERROR(__xludf.DUMMYFUNCTION("""COMPUTED_VALUE"""),"Closing")</f>
        <v>Closing</v>
      </c>
      <c r="G153" s="25" t="str">
        <f>IFERROR(__xludf.DUMMYFUNCTION("""COMPUTED_VALUE"""),"2h1m opsi a")</f>
        <v>2h1m opsi a</v>
      </c>
      <c r="H153" s="78"/>
      <c r="I153" s="89">
        <f>IFERROR(__xludf.DUMMYFUNCTION("""COMPUTED_VALUE"""),1.0)</f>
        <v>1</v>
      </c>
      <c r="J153" s="96">
        <f>IFERROR(__xludf.DUMMYFUNCTION("""COMPUTED_VALUE"""),3324000.0)</f>
        <v>3324000</v>
      </c>
      <c r="K153" s="36" t="str">
        <f>IFERROR(__xludf.DUMMYFUNCTION("""COMPUTED_VALUE"""),"alhamdulilah order")</f>
        <v>alhamdulilah order</v>
      </c>
      <c r="L153" s="81" t="str">
        <f>IFERROR(__xludf.DUMMYFUNCTION("""COMPUTED_VALUE"""),"https://docs.google.com/document/d/1LK3xcqMSVnkXPq0tHBW21JOscz0FRxUcGi7LPQpDj5U/edit?usp=drivesdk")</f>
        <v>https://docs.google.com/document/d/1LK3xcqMSVnkXPq0tHBW21JOscz0FRxUcGi7LPQpDj5U/edit?usp=drivesdk</v>
      </c>
      <c r="M153" s="20"/>
      <c r="N153" s="20"/>
      <c r="O153" s="20"/>
      <c r="P153" s="20"/>
    </row>
    <row r="154">
      <c r="A154" s="11">
        <f>IFERROR(__xludf.DUMMYFUNCTION("""COMPUTED_VALUE"""),46128.0)</f>
        <v>46128</v>
      </c>
      <c r="B154" s="12" t="str">
        <f>IFERROR(__xludf.DUMMYFUNCTION("""COMPUTED_VALUE"""),"2604H032")</f>
        <v>2604H032</v>
      </c>
      <c r="C154" s="10" t="str">
        <f>IFERROR(__xludf.DUMMYFUNCTION("""COMPUTED_VALUE"""),"Rizky M")</f>
        <v>Rizky M</v>
      </c>
      <c r="D154" s="13" t="str">
        <f>IFERROR(__xludf.DUMMYFUNCTION("""COMPUTED_VALUE"""),"085733618059")</f>
        <v>085733618059</v>
      </c>
      <c r="E154" s="14" t="str">
        <f>IFERROR(__xludf.DUMMYFUNCTION("""COMPUTED_VALUE"""),"Rekomendasi")</f>
        <v>Rekomendasi</v>
      </c>
      <c r="F154" s="14" t="str">
        <f>IFERROR(__xludf.DUMMYFUNCTION("""COMPUTED_VALUE"""),"Gagal")</f>
        <v>Gagal</v>
      </c>
      <c r="G154" s="15" t="str">
        <f>IFERROR(__xludf.DUMMYFUNCTION("""COMPUTED_VALUE"""),"Trip Pulau Merah")</f>
        <v>Trip Pulau Merah</v>
      </c>
      <c r="H154" s="16"/>
      <c r="I154" s="17">
        <f>IFERROR(__xludf.DUMMYFUNCTION("""COMPUTED_VALUE"""),1.0)</f>
        <v>1</v>
      </c>
      <c r="J154" s="54">
        <f>IFERROR(__xludf.DUMMYFUNCTION("""COMPUTED_VALUE"""),740000.0)</f>
        <v>740000</v>
      </c>
      <c r="K154" s="46" t="str">
        <f>IFERROR(__xludf.DUMMYFUNCTION("""COMPUTED_VALUE"""),"pengajuan cuti ditolak")</f>
        <v>pengajuan cuti ditolak</v>
      </c>
      <c r="L154" s="100" t="str">
        <f>IFERROR(__xludf.DUMMYFUNCTION("""COMPUTED_VALUE"""),"https://docs.google.com/document/d/11D0stAmTjOlqe3DuSxSukTmCpm3DzjH8MxlmM0Eyfa0/edit?usp=drivesdk")</f>
        <v>https://docs.google.com/document/d/11D0stAmTjOlqe3DuSxSukTmCpm3DzjH8MxlmM0Eyfa0/edit?usp=drivesdk</v>
      </c>
      <c r="M154" s="20"/>
      <c r="N154" s="20"/>
      <c r="O154" s="20"/>
      <c r="P154" s="20"/>
    </row>
    <row r="155">
      <c r="A155" s="21">
        <f>IFERROR(__xludf.DUMMYFUNCTION("""COMPUTED_VALUE"""),46128.0)</f>
        <v>46128</v>
      </c>
      <c r="B155" s="22" t="str">
        <f>IFERROR(__xludf.DUMMYFUNCTION("""COMPUTED_VALUE"""),"2604H033")</f>
        <v>2604H033</v>
      </c>
      <c r="C155" s="23" t="str">
        <f>IFERROR(__xludf.DUMMYFUNCTION("""COMPUTED_VALUE"""),"Fie KOL SPECIALIST")</f>
        <v>Fie KOL SPECIALIST</v>
      </c>
      <c r="D155" s="24" t="str">
        <f>IFERROR(__xludf.DUMMYFUNCTION("""COMPUTED_VALUE"""),"081210688493")</f>
        <v>081210688493</v>
      </c>
      <c r="E155" s="14" t="str">
        <f>IFERROR(__xludf.DUMMYFUNCTION("""COMPUTED_VALUE"""),"Instagram")</f>
        <v>Instagram</v>
      </c>
      <c r="F155" s="14" t="str">
        <f>IFERROR(__xludf.DUMMYFUNCTION("""COMPUTED_VALUE"""),"Prospek")</f>
        <v>Prospek</v>
      </c>
      <c r="G155" s="15" t="str">
        <f>IFERROR(__xludf.DUMMYFUNCTION("""COMPUTED_VALUE"""),"3H2M")</f>
        <v>3H2M</v>
      </c>
      <c r="H155" s="26">
        <f>IFERROR(__xludf.DUMMYFUNCTION("""COMPUTED_VALUE"""),46261.0)</f>
        <v>46261</v>
      </c>
      <c r="I155" s="27">
        <f>IFERROR(__xludf.DUMMYFUNCTION("""COMPUTED_VALUE"""),2.0)</f>
        <v>2</v>
      </c>
      <c r="J155" s="33">
        <f>IFERROR(__xludf.DUMMYFUNCTION("""COMPUTED_VALUE"""),3200000.0)</f>
        <v>3200000</v>
      </c>
      <c r="K155" s="30" t="str">
        <f>IFERROR(__xludf.DUMMYFUNCTION("""COMPUTED_VALUE"""),"fu 2 juli")</f>
        <v>fu 2 juli</v>
      </c>
      <c r="L155" s="81" t="str">
        <f>IFERROR(__xludf.DUMMYFUNCTION("""COMPUTED_VALUE"""),"https://docs.google.com/document/d/18MWgO1buvWk8nQI37xxjszKjW0ggDc9z9OWFCC9FOSE/edit?usp=drivesdk")</f>
        <v>https://docs.google.com/document/d/18MWgO1buvWk8nQI37xxjszKjW0ggDc9z9OWFCC9FOSE/edit?usp=drivesdk</v>
      </c>
      <c r="M155" s="20"/>
      <c r="N155" s="20"/>
      <c r="O155" s="20"/>
      <c r="P155" s="20"/>
    </row>
    <row r="156">
      <c r="A156" s="11">
        <f>IFERROR(__xludf.DUMMYFUNCTION("""COMPUTED_VALUE"""),46128.0)</f>
        <v>46128</v>
      </c>
      <c r="B156" s="12" t="str">
        <f>IFERROR(__xludf.DUMMYFUNCTION("""COMPUTED_VALUE"""),"2604H034")</f>
        <v>2604H034</v>
      </c>
      <c r="C156" s="10" t="str">
        <f>IFERROR(__xludf.DUMMYFUNCTION("""COMPUTED_VALUE"""),"Vitantri Anggayasti")</f>
        <v>Vitantri Anggayasti</v>
      </c>
      <c r="D156" s="13" t="str">
        <f>IFERROR(__xludf.DUMMYFUNCTION("""COMPUTED_VALUE"""),"087880392332")</f>
        <v>087880392332</v>
      </c>
      <c r="E156" s="14" t="str">
        <f>IFERROR(__xludf.DUMMYFUNCTION("""COMPUTED_VALUE"""),"Lainnya")</f>
        <v>Lainnya</v>
      </c>
      <c r="F156" s="14" t="str">
        <f>IFERROR(__xludf.DUMMYFUNCTION("""COMPUTED_VALUE"""),"Gagal")</f>
        <v>Gagal</v>
      </c>
      <c r="G156" s="15" t="str">
        <f>IFERROR(__xludf.DUMMYFUNCTION("""COMPUTED_VALUE"""),"3h2m")</f>
        <v>3h2m</v>
      </c>
      <c r="H156" s="16"/>
      <c r="I156" s="17">
        <f>IFERROR(__xludf.DUMMYFUNCTION("""COMPUTED_VALUE"""),3.0)</f>
        <v>3</v>
      </c>
      <c r="J156" s="54">
        <f>IFERROR(__xludf.DUMMYFUNCTION("""COMPUTED_VALUE"""),7224000.0)</f>
        <v>7224000</v>
      </c>
      <c r="K156" s="46" t="str">
        <f>IFERROR(__xludf.DUMMYFUNCTION("""COMPUTED_VALUE"""),"tidak ada jawaban")</f>
        <v>tidak ada jawaban</v>
      </c>
      <c r="L156" s="88" t="str">
        <f>IFERROR(__xludf.DUMMYFUNCTION("""COMPUTED_VALUE"""),"https://docs.google.com/document/d/1IQuM08vsAqb1Y1OB5s09NztU_jbbLoqT1Irk1xwyymk/edit?usp=drivesdk")</f>
        <v>https://docs.google.com/document/d/1IQuM08vsAqb1Y1OB5s09NztU_jbbLoqT1Irk1xwyymk/edit?usp=drivesdk</v>
      </c>
      <c r="M156" s="20"/>
      <c r="N156" s="20"/>
      <c r="O156" s="20"/>
      <c r="P156" s="20"/>
    </row>
    <row r="157">
      <c r="A157" s="21">
        <f>IFERROR(__xludf.DUMMYFUNCTION("""COMPUTED_VALUE"""),46129.0)</f>
        <v>46129</v>
      </c>
      <c r="B157" s="22" t="str">
        <f>IFERROR(__xludf.DUMMYFUNCTION("""COMPUTED_VALUE"""),"2604H035")</f>
        <v>2604H035</v>
      </c>
      <c r="C157" s="23" t="str">
        <f>IFERROR(__xludf.DUMMYFUNCTION("""COMPUTED_VALUE"""),"Elmy")</f>
        <v>Elmy</v>
      </c>
      <c r="D157" s="24" t="str">
        <f>IFERROR(__xludf.DUMMYFUNCTION("""COMPUTED_VALUE"""),"087774597676")</f>
        <v>087774597676</v>
      </c>
      <c r="E157" s="14" t="str">
        <f>IFERROR(__xludf.DUMMYFUNCTION("""COMPUTED_VALUE"""),"Website")</f>
        <v>Website</v>
      </c>
      <c r="F157" s="14" t="str">
        <f>IFERROR(__xludf.DUMMYFUNCTION("""COMPUTED_VALUE"""),"Gagal")</f>
        <v>Gagal</v>
      </c>
      <c r="G157" s="15" t="str">
        <f>IFERROR(__xludf.DUMMYFUNCTION("""COMPUTED_VALUE"""),"2h1m a")</f>
        <v>2h1m a</v>
      </c>
      <c r="H157" s="26">
        <f>IFERROR(__xludf.DUMMYFUNCTION("""COMPUTED_VALUE"""),46192.0)</f>
        <v>46192</v>
      </c>
      <c r="I157" s="27">
        <f>IFERROR(__xludf.DUMMYFUNCTION("""COMPUTED_VALUE"""),4.0)</f>
        <v>4</v>
      </c>
      <c r="J157" s="28">
        <f>IFERROR(__xludf.DUMMYFUNCTION("""COMPUTED_VALUE"""),3884000.0)</f>
        <v>3884000</v>
      </c>
      <c r="K157" s="30" t="str">
        <f>IFERROR(__xludf.DUMMYFUNCTION("""COMPUTED_VALUE"""),"tdhk ada jawaban")</f>
        <v>tdhk ada jawaban</v>
      </c>
      <c r="L157" s="23"/>
      <c r="M157" s="20"/>
      <c r="N157" s="20"/>
      <c r="O157" s="20"/>
      <c r="P157" s="20"/>
    </row>
    <row r="158">
      <c r="A158" s="11">
        <f>IFERROR(__xludf.DUMMYFUNCTION("""COMPUTED_VALUE"""),46129.0)</f>
        <v>46129</v>
      </c>
      <c r="B158" s="12" t="str">
        <f>IFERROR(__xludf.DUMMYFUNCTION("""COMPUTED_VALUE"""),"2604H036")</f>
        <v>2604H036</v>
      </c>
      <c r="C158" s="10" t="str">
        <f>IFERROR(__xludf.DUMMYFUNCTION("""COMPUTED_VALUE"""),"Iswan")</f>
        <v>Iswan</v>
      </c>
      <c r="D158" s="13" t="str">
        <f>IFERROR(__xludf.DUMMYFUNCTION("""COMPUTED_VALUE"""),"088212041590")</f>
        <v>088212041590</v>
      </c>
      <c r="E158" s="14" t="str">
        <f>IFERROR(__xludf.DUMMYFUNCTION("""COMPUTED_VALUE"""),"Lainnya")</f>
        <v>Lainnya</v>
      </c>
      <c r="F158" s="14" t="str">
        <f>IFERROR(__xludf.DUMMYFUNCTION("""COMPUTED_VALUE"""),"Gagal")</f>
        <v>Gagal</v>
      </c>
      <c r="G158" s="15" t="str">
        <f>IFERROR(__xludf.DUMMYFUNCTION("""COMPUTED_VALUE"""),"3h2m atau 4h3m")</f>
        <v>3h2m atau 4h3m</v>
      </c>
      <c r="H158" s="16"/>
      <c r="I158" s="17">
        <f>IFERROR(__xludf.DUMMYFUNCTION("""COMPUTED_VALUE"""),10.0)</f>
        <v>10</v>
      </c>
      <c r="J158" s="54">
        <f>IFERROR(__xludf.DUMMYFUNCTION("""COMPUTED_VALUE"""),1.17E7)</f>
        <v>11700000</v>
      </c>
      <c r="K158" s="46" t="str">
        <f>IFERROR(__xludf.DUMMYFUNCTION("""COMPUTED_VALUE"""),"tidak ada respon")</f>
        <v>tidak ada respon</v>
      </c>
      <c r="L158" s="100" t="str">
        <f>IFERROR(__xludf.DUMMYFUNCTION("""COMPUTED_VALUE"""),"https://docs.google.com/document/d/1Jk9-b9kyaRW2sIDqnwUFYpOBKDLoS2gM7AWuBcHQTK4/edit?usp=drivesdk")</f>
        <v>https://docs.google.com/document/d/1Jk9-b9kyaRW2sIDqnwUFYpOBKDLoS2gM7AWuBcHQTK4/edit?usp=drivesdk</v>
      </c>
      <c r="M158" s="20"/>
      <c r="N158" s="20"/>
      <c r="O158" s="20"/>
      <c r="P158" s="20"/>
    </row>
    <row r="159">
      <c r="A159" s="21">
        <f>IFERROR(__xludf.DUMMYFUNCTION("""COMPUTED_VALUE"""),46129.0)</f>
        <v>46129</v>
      </c>
      <c r="B159" s="22" t="str">
        <f>IFERROR(__xludf.DUMMYFUNCTION("""COMPUTED_VALUE"""),"2604H037")</f>
        <v>2604H037</v>
      </c>
      <c r="C159" s="23" t="str">
        <f>IFERROR(__xludf.DUMMYFUNCTION("""COMPUTED_VALUE"""),"Iqbal WP")</f>
        <v>Iqbal WP</v>
      </c>
      <c r="D159" s="24" t="str">
        <f>IFERROR(__xludf.DUMMYFUNCTION("""COMPUTED_VALUE"""),"082210722324")</f>
        <v>082210722324</v>
      </c>
      <c r="E159" s="14" t="str">
        <f>IFERROR(__xludf.DUMMYFUNCTION("""COMPUTED_VALUE"""),"Lainnya")</f>
        <v>Lainnya</v>
      </c>
      <c r="F159" s="14" t="str">
        <f>IFERROR(__xludf.DUMMYFUNCTION("""COMPUTED_VALUE"""),"Leads Baru")</f>
        <v>Leads Baru</v>
      </c>
      <c r="G159" s="15" t="str">
        <f>IFERROR(__xludf.DUMMYFUNCTION("""COMPUTED_VALUE"""),"3h2m opsi b")</f>
        <v>3h2m opsi b</v>
      </c>
      <c r="H159" s="26"/>
      <c r="I159" s="27">
        <f>IFERROR(__xludf.DUMMYFUNCTION("""COMPUTED_VALUE"""),150.0)</f>
        <v>150</v>
      </c>
      <c r="J159" s="33">
        <f>IFERROR(__xludf.DUMMYFUNCTION("""COMPUTED_VALUE"""),2.1075E8)</f>
        <v>210750000</v>
      </c>
      <c r="K159" s="30" t="str">
        <f>IFERROR(__xludf.DUMMYFUNCTION("""COMPUTED_VALUE"""),"Fu nanti")</f>
        <v>Fu nanti</v>
      </c>
      <c r="L159" s="87" t="str">
        <f>IFERROR(__xludf.DUMMYFUNCTION("""COMPUTED_VALUE"""),"https://docs.google.com/document/d/1jNNWQMM1K-JNX3kpQHr-uTGcWSe-418PO4kp2KM2Mek/edit?usp=drivesdk")</f>
        <v>https://docs.google.com/document/d/1jNNWQMM1K-JNX3kpQHr-uTGcWSe-418PO4kp2KM2Mek/edit?usp=drivesdk</v>
      </c>
      <c r="M159" s="20"/>
      <c r="N159" s="20"/>
      <c r="O159" s="20"/>
      <c r="P159" s="20"/>
    </row>
    <row r="160">
      <c r="A160" s="11">
        <f>IFERROR(__xludf.DUMMYFUNCTION("""COMPUTED_VALUE"""),46130.0)</f>
        <v>46130</v>
      </c>
      <c r="B160" s="12" t="str">
        <f>IFERROR(__xludf.DUMMYFUNCTION("""COMPUTED_VALUE"""),"2604H038")</f>
        <v>2604H038</v>
      </c>
      <c r="C160" s="10" t="str">
        <f>IFERROR(__xludf.DUMMYFUNCTION("""COMPUTED_VALUE"""),"evie (Elvia Charlin)")</f>
        <v>evie (Elvia Charlin)</v>
      </c>
      <c r="D160" s="13" t="str">
        <f>IFERROR(__xludf.DUMMYFUNCTION("""COMPUTED_VALUE"""),"0811172641")</f>
        <v>0811172641</v>
      </c>
      <c r="E160" s="14" t="str">
        <f>IFERROR(__xludf.DUMMYFUNCTION("""COMPUTED_VALUE"""),"Lainnya")</f>
        <v>Lainnya</v>
      </c>
      <c r="F160" s="14" t="str">
        <f>IFERROR(__xludf.DUMMYFUNCTION("""COMPUTED_VALUE"""),"Closing")</f>
        <v>Closing</v>
      </c>
      <c r="G160" s="14" t="str">
        <f>IFERROR(__xludf.DUMMYFUNCTION("""COMPUTED_VALUE"""),"3h2m b drop bali")</f>
        <v>3h2m b drop bali</v>
      </c>
      <c r="H160" s="16"/>
      <c r="I160" s="17">
        <f>IFERROR(__xludf.DUMMYFUNCTION("""COMPUTED_VALUE"""),16.0)</f>
        <v>16</v>
      </c>
      <c r="J160" s="54">
        <f>IFERROR(__xludf.DUMMYFUNCTION("""COMPUTED_VALUE"""),3.36E7)</f>
        <v>33600000</v>
      </c>
      <c r="K160" s="46" t="str">
        <f>IFERROR(__xludf.DUMMYFUNCTION("""COMPUTED_VALUE"""),"alhamdulillah order")</f>
        <v>alhamdulillah order</v>
      </c>
      <c r="L160" s="10"/>
      <c r="M160" s="20"/>
      <c r="N160" s="20"/>
      <c r="O160" s="20"/>
      <c r="P160" s="20"/>
    </row>
    <row r="161">
      <c r="A161" s="21">
        <f>IFERROR(__xludf.DUMMYFUNCTION("""COMPUTED_VALUE"""),46131.0)</f>
        <v>46131</v>
      </c>
      <c r="B161" s="22" t="str">
        <f>IFERROR(__xludf.DUMMYFUNCTION("""COMPUTED_VALUE"""),"2604H039")</f>
        <v>2604H039</v>
      </c>
      <c r="C161" s="23" t="str">
        <f>IFERROR(__xludf.DUMMYFUNCTION("""COMPUTED_VALUE"""),"Dina Wahyuni")</f>
        <v>Dina Wahyuni</v>
      </c>
      <c r="D161" s="24" t="str">
        <f>IFERROR(__xludf.DUMMYFUNCTION("""COMPUTED_VALUE"""),"08161148511")</f>
        <v>08161148511</v>
      </c>
      <c r="E161" s="14" t="str">
        <f>IFERROR(__xludf.DUMMYFUNCTION("""COMPUTED_VALUE"""),"Website")</f>
        <v>Website</v>
      </c>
      <c r="F161" s="14" t="str">
        <f>IFERROR(__xludf.DUMMYFUNCTION("""COMPUTED_VALUE"""),"Gagal")</f>
        <v>Gagal</v>
      </c>
      <c r="G161" s="14" t="str">
        <f>IFERROR(__xludf.DUMMYFUNCTION("""COMPUTED_VALUE"""),"ot")</f>
        <v>ot</v>
      </c>
      <c r="H161" s="26"/>
      <c r="I161" s="27">
        <f>IFERROR(__xludf.DUMMYFUNCTION("""COMPUTED_VALUE"""),4.0)</f>
        <v>4</v>
      </c>
      <c r="J161" s="33"/>
      <c r="K161" s="30" t="str">
        <f>IFERROR(__xludf.DUMMYFUNCTION("""COMPUTED_VALUE"""),"fu 5 juli. ganti komunikasi ke bu dewi")</f>
        <v>fu 5 juli. ganti komunikasi ke bu dewi</v>
      </c>
      <c r="L161" s="87" t="str">
        <f>IFERROR(__xludf.DUMMYFUNCTION("""COMPUTED_VALUE"""),"https://docs.google.com/document/d/1CA94GxrudcvCP8NP_vrGKNc8pA8Rg2kXsUuizU2635w/edit?usp=drivesdk")</f>
        <v>https://docs.google.com/document/d/1CA94GxrudcvCP8NP_vrGKNc8pA8Rg2kXsUuizU2635w/edit?usp=drivesdk</v>
      </c>
      <c r="M161" s="20"/>
      <c r="N161" s="20"/>
      <c r="O161" s="20"/>
      <c r="P161" s="20"/>
    </row>
    <row r="162">
      <c r="A162" s="11">
        <f>IFERROR(__xludf.DUMMYFUNCTION("""COMPUTED_VALUE"""),46131.0)</f>
        <v>46131</v>
      </c>
      <c r="B162" s="12" t="str">
        <f>IFERROR(__xludf.DUMMYFUNCTION("""COMPUTED_VALUE"""),"2604H040")</f>
        <v>2604H040</v>
      </c>
      <c r="C162" s="10" t="str">
        <f>IFERROR(__xludf.DUMMYFUNCTION("""COMPUTED_VALUE"""),"Reza IM3")</f>
        <v>Reza IM3</v>
      </c>
      <c r="D162" s="13" t="str">
        <f>IFERROR(__xludf.DUMMYFUNCTION("""COMPUTED_VALUE"""),"08152350888")</f>
        <v>08152350888</v>
      </c>
      <c r="E162" s="14" t="str">
        <f>IFERROR(__xludf.DUMMYFUNCTION("""COMPUTED_VALUE"""),"Lainnya")</f>
        <v>Lainnya</v>
      </c>
      <c r="F162" s="14" t="str">
        <f>IFERROR(__xludf.DUMMYFUNCTION("""COMPUTED_VALUE"""),"Gagal")</f>
        <v>Gagal</v>
      </c>
      <c r="G162" s="15" t="str">
        <f>IFERROR(__xludf.DUMMYFUNCTION("""COMPUTED_VALUE"""),"ijen bromo")</f>
        <v>ijen bromo</v>
      </c>
      <c r="H162" s="16"/>
      <c r="I162" s="17">
        <f>IFERROR(__xludf.DUMMYFUNCTION("""COMPUTED_VALUE"""),2.0)</f>
        <v>2</v>
      </c>
      <c r="J162" s="54">
        <f>IFERROR(__xludf.DUMMYFUNCTION("""COMPUTED_VALUE"""),7000000.0)</f>
        <v>7000000</v>
      </c>
      <c r="K162" s="46" t="str">
        <f>IFERROR(__xludf.DUMMYFUNCTION("""COMPUTED_VALUE"""),"harus cancel, nanti dikontal lagi")</f>
        <v>harus cancel, nanti dikontal lagi</v>
      </c>
      <c r="L162" s="100" t="str">
        <f>IFERROR(__xludf.DUMMYFUNCTION("""COMPUTED_VALUE"""),"https://docs.google.com/document/d/1eH41u6Z_wfrEHrbjQdd9GH6WZt6mzTFcN6xi7p5fHPk/edit?usp=drivesdk")</f>
        <v>https://docs.google.com/document/d/1eH41u6Z_wfrEHrbjQdd9GH6WZt6mzTFcN6xi7p5fHPk/edit?usp=drivesdk</v>
      </c>
      <c r="M162" s="20"/>
      <c r="N162" s="20"/>
      <c r="O162" s="20"/>
      <c r="P162" s="20"/>
    </row>
    <row r="163">
      <c r="A163" s="21">
        <f>IFERROR(__xludf.DUMMYFUNCTION("""COMPUTED_VALUE"""),46131.0)</f>
        <v>46131</v>
      </c>
      <c r="B163" s="22" t="str">
        <f>IFERROR(__xludf.DUMMYFUNCTION("""COMPUTED_VALUE"""),"2604H041")</f>
        <v>2604H041</v>
      </c>
      <c r="C163" s="23" t="str">
        <f>IFERROR(__xludf.DUMMYFUNCTION("""COMPUTED_VALUE"""),"Dewi (Teman bu Dina)")</f>
        <v>Dewi (Teman bu Dina)</v>
      </c>
      <c r="D163" s="24" t="str">
        <f>IFERROR(__xludf.DUMMYFUNCTION("""COMPUTED_VALUE"""),"081311116988")</f>
        <v>081311116988</v>
      </c>
      <c r="E163" s="14" t="str">
        <f>IFERROR(__xludf.DUMMYFUNCTION("""COMPUTED_VALUE"""),"Rekomendasi")</f>
        <v>Rekomendasi</v>
      </c>
      <c r="F163" s="14" t="str">
        <f>IFERROR(__xludf.DUMMYFUNCTION("""COMPUTED_VALUE"""),"Closing")</f>
        <v>Closing</v>
      </c>
      <c r="G163" s="14" t="str">
        <f>IFERROR(__xludf.DUMMYFUNCTION("""COMPUTED_VALUE"""),"3h2m")</f>
        <v>3h2m</v>
      </c>
      <c r="H163" s="26"/>
      <c r="I163" s="27">
        <f>IFERROR(__xludf.DUMMYFUNCTION("""COMPUTED_VALUE"""),4.0)</f>
        <v>4</v>
      </c>
      <c r="J163" s="33">
        <f>IFERROR(__xludf.DUMMYFUNCTION("""COMPUTED_VALUE"""),8200000.0)</f>
        <v>8200000</v>
      </c>
      <c r="K163" s="30" t="str">
        <f>IFERROR(__xludf.DUMMYFUNCTION("""COMPUTED_VALUE"""),"alhamdulillah closing")</f>
        <v>alhamdulillah closing</v>
      </c>
      <c r="L163" s="87" t="str">
        <f>IFERROR(__xludf.DUMMYFUNCTION("""COMPUTED_VALUE"""),"https://docs.google.com/document/d/1MJt_gJQOI_OL1L5eeVf9u_-1nKWpxq6J0MkRYXnDonU/edit?usp=drivesdk")</f>
        <v>https://docs.google.com/document/d/1MJt_gJQOI_OL1L5eeVf9u_-1nKWpxq6J0MkRYXnDonU/edit?usp=drivesdk</v>
      </c>
      <c r="M163" s="20"/>
      <c r="N163" s="20"/>
      <c r="O163" s="20"/>
      <c r="P163" s="20"/>
    </row>
    <row r="164">
      <c r="A164" s="11">
        <f>IFERROR(__xludf.DUMMYFUNCTION("""COMPUTED_VALUE"""),46133.0)</f>
        <v>46133</v>
      </c>
      <c r="B164" s="12" t="str">
        <f>IFERROR(__xludf.DUMMYFUNCTION("""COMPUTED_VALUE"""),"2604H042")</f>
        <v>2604H042</v>
      </c>
      <c r="C164" s="10" t="str">
        <f>IFERROR(__xludf.DUMMYFUNCTION("""COMPUTED_VALUE"""),"Fen")</f>
        <v>Fen</v>
      </c>
      <c r="D164" s="13" t="str">
        <f>IFERROR(__xludf.DUMMYFUNCTION("""COMPUTED_VALUE"""),"085158598922")</f>
        <v>085158598922</v>
      </c>
      <c r="E164" s="14" t="str">
        <f>IFERROR(__xludf.DUMMYFUNCTION("""COMPUTED_VALUE"""),"Instagram")</f>
        <v>Instagram</v>
      </c>
      <c r="F164" s="14" t="str">
        <f>IFERROR(__xludf.DUMMYFUNCTION("""COMPUTED_VALUE"""),"Gagal")</f>
        <v>Gagal</v>
      </c>
      <c r="G164" s="15" t="str">
        <f>IFERROR(__xludf.DUMMYFUNCTION("""COMPUTED_VALUE"""),"green island ")</f>
        <v>green island </v>
      </c>
      <c r="H164" s="16"/>
      <c r="I164" s="17"/>
      <c r="J164" s="54"/>
      <c r="K164" s="19" t="str">
        <f>IFERROR(__xludf.DUMMYFUNCTION("""COMPUTED_VALUE"""),"gada jawaban, chat singkat2")</f>
        <v>gada jawaban, chat singkat2</v>
      </c>
      <c r="L164" s="88" t="str">
        <f>IFERROR(__xludf.DUMMYFUNCTION("""COMPUTED_VALUE"""),"https://docs.google.com/document/d/1KwOPrq7ZnF0iihBSj364cchnPHB3g1tQ24mXnpuxpnk/edit?usp=drivesdk")</f>
        <v>https://docs.google.com/document/d/1KwOPrq7ZnF0iihBSj364cchnPHB3g1tQ24mXnpuxpnk/edit?usp=drivesdk</v>
      </c>
      <c r="M164" s="20"/>
      <c r="N164" s="20"/>
      <c r="O164" s="20"/>
      <c r="P164" s="20"/>
    </row>
    <row r="165">
      <c r="A165" s="110">
        <f>IFERROR(__xludf.DUMMYFUNCTION("""COMPUTED_VALUE"""),46133.0)</f>
        <v>46133</v>
      </c>
      <c r="B165" s="22" t="str">
        <f>IFERROR(__xludf.DUMMYFUNCTION("""COMPUTED_VALUE"""),"2604H043")</f>
        <v>2604H043</v>
      </c>
      <c r="C165" s="23" t="str">
        <f>IFERROR(__xludf.DUMMYFUNCTION("""COMPUTED_VALUE"""),"fk")</f>
        <v>fk</v>
      </c>
      <c r="D165" s="24" t="str">
        <f>IFERROR(__xludf.DUMMYFUNCTION("""COMPUTED_VALUE"""),"087877279125")</f>
        <v>087877279125</v>
      </c>
      <c r="E165" s="14" t="str">
        <f>IFERROR(__xludf.DUMMYFUNCTION("""COMPUTED_VALUE"""),"Lainnya")</f>
        <v>Lainnya</v>
      </c>
      <c r="F165" s="14" t="str">
        <f>IFERROR(__xludf.DUMMYFUNCTION("""COMPUTED_VALUE"""),"Gagal")</f>
        <v>Gagal</v>
      </c>
      <c r="G165" s="15" t="str">
        <f>IFERROR(__xludf.DUMMYFUNCTION("""COMPUTED_VALUE"""),"ot")</f>
        <v>ot</v>
      </c>
      <c r="H165" s="26"/>
      <c r="I165" s="27">
        <f>IFERROR(__xludf.DUMMYFUNCTION("""COMPUTED_VALUE"""),1.0)</f>
        <v>1</v>
      </c>
      <c r="J165" s="33"/>
      <c r="K165" s="30" t="str">
        <f>IFERROR(__xludf.DUMMYFUNCTION("""COMPUTED_VALUE"""),"gada jawaban. sdh fu")</f>
        <v>gada jawaban. sdh fu</v>
      </c>
      <c r="L165" s="23"/>
      <c r="M165" s="20"/>
      <c r="N165" s="20"/>
      <c r="O165" s="20"/>
      <c r="P165" s="20"/>
    </row>
    <row r="166">
      <c r="A166" s="97">
        <f>IFERROR(__xludf.DUMMYFUNCTION("""COMPUTED_VALUE"""),46133.0)</f>
        <v>46133</v>
      </c>
      <c r="B166" s="12" t="str">
        <f>IFERROR(__xludf.DUMMYFUNCTION("""COMPUTED_VALUE"""),"2604H044")</f>
        <v>2604H044</v>
      </c>
      <c r="C166" s="10" t="str">
        <f>IFERROR(__xludf.DUMMYFUNCTION("""COMPUTED_VALUE"""),"Jagad")</f>
        <v>Jagad</v>
      </c>
      <c r="D166" s="13" t="str">
        <f>IFERROR(__xludf.DUMMYFUNCTION("""COMPUTED_VALUE"""),"082123328238")</f>
        <v>082123328238</v>
      </c>
      <c r="E166" s="14" t="str">
        <f>IFERROR(__xludf.DUMMYFUNCTION("""COMPUTED_VALUE"""),"Lainnya")</f>
        <v>Lainnya</v>
      </c>
      <c r="F166" s="14" t="str">
        <f>IFERROR(__xludf.DUMMYFUNCTION("""COMPUTED_VALUE"""),"Gagal")</f>
        <v>Gagal</v>
      </c>
      <c r="G166" s="15"/>
      <c r="H166" s="92"/>
      <c r="I166" s="17"/>
      <c r="J166" s="18"/>
      <c r="K166" s="19"/>
      <c r="L166" s="76"/>
      <c r="M166" s="20"/>
      <c r="N166" s="20"/>
      <c r="O166" s="20"/>
      <c r="P166" s="20"/>
    </row>
    <row r="167">
      <c r="A167" s="110">
        <f>IFERROR(__xludf.DUMMYFUNCTION("""COMPUTED_VALUE"""),46134.0)</f>
        <v>46134</v>
      </c>
      <c r="B167" s="22" t="str">
        <f>IFERROR(__xludf.DUMMYFUNCTION("""COMPUTED_VALUE"""),"2604H045")</f>
        <v>2604H045</v>
      </c>
      <c r="C167" s="23" t="str">
        <f>IFERROR(__xludf.DUMMYFUNCTION("""COMPUTED_VALUE"""),"Rika Ismet")</f>
        <v>Rika Ismet</v>
      </c>
      <c r="D167" s="24" t="str">
        <f>IFERROR(__xludf.DUMMYFUNCTION("""COMPUTED_VALUE"""),"081322357646")</f>
        <v>081322357646</v>
      </c>
      <c r="E167" s="14" t="str">
        <f>IFERROR(__xludf.DUMMYFUNCTION("""COMPUTED_VALUE"""),"Lainnya")</f>
        <v>Lainnya</v>
      </c>
      <c r="F167" s="14" t="str">
        <f>IFERROR(__xludf.DUMMYFUNCTION("""COMPUTED_VALUE"""),"Gagal")</f>
        <v>Gagal</v>
      </c>
      <c r="G167" s="15" t="str">
        <f>IFERROR(__xludf.DUMMYFUNCTION("""COMPUTED_VALUE"""),"full day trip Alas Purwo-DJawatan-PM")</f>
        <v>full day trip Alas Purwo-DJawatan-PM</v>
      </c>
      <c r="H167" s="26"/>
      <c r="I167" s="27">
        <f>IFERROR(__xludf.DUMMYFUNCTION("""COMPUTED_VALUE"""),10.0)</f>
        <v>10</v>
      </c>
      <c r="J167" s="33">
        <f>IFERROR(__xludf.DUMMYFUNCTION("""COMPUTED_VALUE"""),4500000.0)</f>
        <v>4500000</v>
      </c>
      <c r="K167" s="30" t="str">
        <f>IFERROR(__xludf.DUMMYFUNCTION("""COMPUTED_VALUE"""),"banyak yg tidak bisa ikutan")</f>
        <v>banyak yg tidak bisa ikutan</v>
      </c>
      <c r="L167" s="81" t="str">
        <f>IFERROR(__xludf.DUMMYFUNCTION("""COMPUTED_VALUE"""),"https://docs.google.com/document/d/1PUGOslj04Gira5ColPtvxI9dISq__wjTwGvM6cgJDzo/edit?usp=drivesdk")</f>
        <v>https://docs.google.com/document/d/1PUGOslj04Gira5ColPtvxI9dISq__wjTwGvM6cgJDzo/edit?usp=drivesdk</v>
      </c>
      <c r="M167" s="20"/>
      <c r="N167" s="20"/>
      <c r="O167" s="20"/>
      <c r="P167" s="20"/>
    </row>
    <row r="168">
      <c r="A168" s="11">
        <f>IFERROR(__xludf.DUMMYFUNCTION("""COMPUTED_VALUE"""),46134.0)</f>
        <v>46134</v>
      </c>
      <c r="B168" s="12" t="str">
        <f>IFERROR(__xludf.DUMMYFUNCTION("""COMPUTED_VALUE"""),"2604H046")</f>
        <v>2604H046</v>
      </c>
      <c r="C168" s="10" t="str">
        <f>IFERROR(__xludf.DUMMYFUNCTION("""COMPUTED_VALUE"""),"Deva Mulia")</f>
        <v>Deva Mulia</v>
      </c>
      <c r="D168" s="13" t="str">
        <f>IFERROR(__xludf.DUMMYFUNCTION("""COMPUTED_VALUE"""),"08567669986")</f>
        <v>08567669986</v>
      </c>
      <c r="E168" s="14" t="str">
        <f>IFERROR(__xludf.DUMMYFUNCTION("""COMPUTED_VALUE"""),"Website")</f>
        <v>Website</v>
      </c>
      <c r="F168" s="14" t="str">
        <f>IFERROR(__xludf.DUMMYFUNCTION("""COMPUTED_VALUE"""),"Closing")</f>
        <v>Closing</v>
      </c>
      <c r="G168" s="15" t="str">
        <f>IFERROR(__xludf.DUMMYFUNCTION("""COMPUTED_VALUE"""),"OT 3H2M opsi A")</f>
        <v>OT 3H2M opsi A</v>
      </c>
      <c r="H168" s="16"/>
      <c r="I168" s="17">
        <f>IFERROR(__xludf.DUMMYFUNCTION("""COMPUTED_VALUE"""),3.0)</f>
        <v>3</v>
      </c>
      <c r="J168" s="54">
        <f>IFERROR(__xludf.DUMMYFUNCTION("""COMPUTED_VALUE"""),6474000.0)</f>
        <v>6474000</v>
      </c>
      <c r="K168" s="46" t="str">
        <f>IFERROR(__xludf.DUMMYFUNCTION("""COMPUTED_VALUE"""),"alhamdulillaah order")</f>
        <v>alhamdulillaah order</v>
      </c>
      <c r="L168" s="10"/>
      <c r="M168" s="20"/>
      <c r="N168" s="20"/>
      <c r="O168" s="20"/>
      <c r="P168" s="20"/>
    </row>
    <row r="169">
      <c r="A169" s="21">
        <f>IFERROR(__xludf.DUMMYFUNCTION("""COMPUTED_VALUE"""),46134.0)</f>
        <v>46134</v>
      </c>
      <c r="B169" s="22" t="str">
        <f>IFERROR(__xludf.DUMMYFUNCTION("""COMPUTED_VALUE"""),"2604H047")</f>
        <v>2604H047</v>
      </c>
      <c r="C169" s="23" t="str">
        <f>IFERROR(__xludf.DUMMYFUNCTION("""COMPUTED_VALUE"""),"DENIS")</f>
        <v>DENIS</v>
      </c>
      <c r="D169" s="24" t="str">
        <f>IFERROR(__xludf.DUMMYFUNCTION("""COMPUTED_VALUE"""),"08128534418")</f>
        <v>08128534418</v>
      </c>
      <c r="E169" s="14" t="str">
        <f>IFERROR(__xludf.DUMMYFUNCTION("""COMPUTED_VALUE"""),"Lainnya")</f>
        <v>Lainnya</v>
      </c>
      <c r="F169" s="14" t="str">
        <f>IFERROR(__xludf.DUMMYFUNCTION("""COMPUTED_VALUE"""),"Qualified")</f>
        <v>Qualified</v>
      </c>
      <c r="G169" s="15" t="str">
        <f>IFERROR(__xludf.DUMMYFUNCTION("""COMPUTED_VALUE"""),"3h2m")</f>
        <v>3h2m</v>
      </c>
      <c r="H169" s="26"/>
      <c r="I169" s="27">
        <f>IFERROR(__xludf.DUMMYFUNCTION("""COMPUTED_VALUE"""),40.0)</f>
        <v>40</v>
      </c>
      <c r="J169" s="33">
        <f>IFERROR(__xludf.DUMMYFUNCTION("""COMPUTED_VALUE"""),8.4E7)</f>
        <v>84000000</v>
      </c>
      <c r="K169" s="30" t="str">
        <f>IFERROR(__xludf.DUMMYFUNCTION("""COMPUTED_VALUE"""),"FU 18 juni")</f>
        <v>FU 18 juni</v>
      </c>
      <c r="L169" s="81" t="str">
        <f>IFERROR(__xludf.DUMMYFUNCTION("""COMPUTED_VALUE"""),"https://docs.google.com/document/d/1azcgmQvYmry9OxnQr7Un_vB01TziFdSuhiNj2Yth5hM/edit?usp=drivesdk")</f>
        <v>https://docs.google.com/document/d/1azcgmQvYmry9OxnQr7Un_vB01TziFdSuhiNj2Yth5hM/edit?usp=drivesdk</v>
      </c>
      <c r="M169" s="20"/>
      <c r="N169" s="20"/>
      <c r="O169" s="20"/>
      <c r="P169" s="20"/>
    </row>
    <row r="170">
      <c r="A170" s="11">
        <f>IFERROR(__xludf.DUMMYFUNCTION("""COMPUTED_VALUE"""),46136.0)</f>
        <v>46136</v>
      </c>
      <c r="B170" s="12" t="str">
        <f>IFERROR(__xludf.DUMMYFUNCTION("""COMPUTED_VALUE"""),"2604H048")</f>
        <v>2604H048</v>
      </c>
      <c r="C170" s="10" t="str">
        <f>IFERROR(__xludf.DUMMYFUNCTION("""COMPUTED_VALUE"""),"Athaya Shafa Nisya")</f>
        <v>Athaya Shafa Nisya</v>
      </c>
      <c r="D170" s="13" t="str">
        <f>IFERROR(__xludf.DUMMYFUNCTION("""COMPUTED_VALUE"""),"0895621537011")</f>
        <v>0895621537011</v>
      </c>
      <c r="E170" s="14" t="str">
        <f>IFERROR(__xludf.DUMMYFUNCTION("""COMPUTED_VALUE"""),"Lainnya")</f>
        <v>Lainnya</v>
      </c>
      <c r="F170" s="14" t="str">
        <f>IFERROR(__xludf.DUMMYFUNCTION("""COMPUTED_VALUE"""),"Gagal")</f>
        <v>Gagal</v>
      </c>
      <c r="G170" s="14" t="str">
        <f>IFERROR(__xludf.DUMMYFUNCTION("""COMPUTED_VALUE"""),"ot menjangan tabuhan")</f>
        <v>ot menjangan tabuhan</v>
      </c>
      <c r="H170" s="16"/>
      <c r="I170" s="17">
        <f>IFERROR(__xludf.DUMMYFUNCTION("""COMPUTED_VALUE"""),1.0)</f>
        <v>1</v>
      </c>
      <c r="J170" s="54">
        <f>IFERROR(__xludf.DUMMYFUNCTION("""COMPUTED_VALUE"""),295000.0)</f>
        <v>295000</v>
      </c>
      <c r="K170" s="46" t="str">
        <f>IFERROR(__xludf.DUMMYFUNCTION("""COMPUTED_VALUE"""),"tidak ada jawaban. sdh fu")</f>
        <v>tidak ada jawaban. sdh fu</v>
      </c>
      <c r="L170" s="100" t="str">
        <f>IFERROR(__xludf.DUMMYFUNCTION("""COMPUTED_VALUE"""),"https://docs.google.com/document/d/12jqS9CPcDt76VRLA0J2h-BAxOngrPPe5PoacaOB0Vtw/edit?usp=drivesdk")</f>
        <v>https://docs.google.com/document/d/12jqS9CPcDt76VRLA0J2h-BAxOngrPPe5PoacaOB0Vtw/edit?usp=drivesdk</v>
      </c>
      <c r="M170" s="20"/>
      <c r="N170" s="20"/>
      <c r="O170" s="20"/>
      <c r="P170" s="20"/>
    </row>
    <row r="171">
      <c r="A171" s="21">
        <f>IFERROR(__xludf.DUMMYFUNCTION("""COMPUTED_VALUE"""),46136.0)</f>
        <v>46136</v>
      </c>
      <c r="B171" s="22" t="str">
        <f>IFERROR(__xludf.DUMMYFUNCTION("""COMPUTED_VALUE"""),"2604H049")</f>
        <v>2604H049</v>
      </c>
      <c r="C171" s="23" t="str">
        <f>IFERROR(__xludf.DUMMYFUNCTION("""COMPUTED_VALUE"""),"Felicia")</f>
        <v>Felicia</v>
      </c>
      <c r="D171" s="24" t="str">
        <f>IFERROR(__xludf.DUMMYFUNCTION("""COMPUTED_VALUE"""),"082110434575")</f>
        <v>082110434575</v>
      </c>
      <c r="E171" s="14" t="str">
        <f>IFERROR(__xludf.DUMMYFUNCTION("""COMPUTED_VALUE"""),"Website")</f>
        <v>Website</v>
      </c>
      <c r="F171" s="14" t="str">
        <f>IFERROR(__xludf.DUMMYFUNCTION("""COMPUTED_VALUE"""),"Gagal")</f>
        <v>Gagal</v>
      </c>
      <c r="G171" s="15" t="str">
        <f>IFERROR(__xludf.DUMMYFUNCTION("""COMPUTED_VALUE"""),"2h1m opsi c")</f>
        <v>2h1m opsi c</v>
      </c>
      <c r="H171" s="26"/>
      <c r="I171" s="27">
        <f>IFERROR(__xludf.DUMMYFUNCTION("""COMPUTED_VALUE"""),4.0)</f>
        <v>4</v>
      </c>
      <c r="J171" s="33">
        <f>IFERROR(__xludf.DUMMYFUNCTION("""COMPUTED_VALUE"""),5288000.0)</f>
        <v>5288000</v>
      </c>
      <c r="K171" s="30" t="str">
        <f>IFERROR(__xludf.DUMMYFUNCTION("""COMPUTED_VALUE"""),"ada acara lain, ga jadi liburan")</f>
        <v>ada acara lain, ga jadi liburan</v>
      </c>
      <c r="L171" s="81" t="str">
        <f>IFERROR(__xludf.DUMMYFUNCTION("""COMPUTED_VALUE"""),"https://docs.google.com/document/d/1X8jlQa1Itn_v8cp_GHGu2WLpLy9IBHGxqoCCntrixSI/edit?usp=drivesdk")</f>
        <v>https://docs.google.com/document/d/1X8jlQa1Itn_v8cp_GHGu2WLpLy9IBHGxqoCCntrixSI/edit?usp=drivesdk</v>
      </c>
      <c r="M171" s="20"/>
      <c r="N171" s="20"/>
      <c r="O171" s="20"/>
      <c r="P171" s="20"/>
    </row>
    <row r="172">
      <c r="A172" s="11">
        <f>IFERROR(__xludf.DUMMYFUNCTION("""COMPUTED_VALUE"""),46136.0)</f>
        <v>46136</v>
      </c>
      <c r="B172" s="12" t="str">
        <f>IFERROR(__xludf.DUMMYFUNCTION("""COMPUTED_VALUE"""),"2604H050")</f>
        <v>2604H050</v>
      </c>
      <c r="C172" s="10" t="str">
        <f>IFERROR(__xludf.DUMMYFUNCTION("""COMPUTED_VALUE"""),"baso")</f>
        <v>baso</v>
      </c>
      <c r="D172" s="13" t="str">
        <f>IFERROR(__xludf.DUMMYFUNCTION("""COMPUTED_VALUE"""),"081514026092")</f>
        <v>081514026092</v>
      </c>
      <c r="E172" s="14" t="str">
        <f>IFERROR(__xludf.DUMMYFUNCTION("""COMPUTED_VALUE"""),"Lainnya")</f>
        <v>Lainnya</v>
      </c>
      <c r="F172" s="14" t="str">
        <f>IFERROR(__xludf.DUMMYFUNCTION("""COMPUTED_VALUE"""),"Gagal")</f>
        <v>Gagal</v>
      </c>
      <c r="G172" s="15" t="str">
        <f>IFERROR(__xludf.DUMMYFUNCTION("""COMPUTED_VALUE"""),"2h1m")</f>
        <v>2h1m</v>
      </c>
      <c r="H172" s="92">
        <f>IFERROR(__xludf.DUMMYFUNCTION("""COMPUTED_VALUE"""),46137.0)</f>
        <v>46137</v>
      </c>
      <c r="I172" s="17">
        <f>IFERROR(__xludf.DUMMYFUNCTION("""COMPUTED_VALUE"""),2.0)</f>
        <v>2</v>
      </c>
      <c r="J172" s="54">
        <f>IFERROR(__xludf.DUMMYFUNCTION("""COMPUTED_VALUE"""),6000000.0)</f>
        <v>6000000</v>
      </c>
      <c r="K172" s="46" t="str">
        <f>IFERROR(__xludf.DUMMYFUNCTION("""COMPUTED_VALUE"""),"lanjut ke jogja")</f>
        <v>lanjut ke jogja</v>
      </c>
      <c r="L172" s="10"/>
      <c r="M172" s="20"/>
      <c r="N172" s="20"/>
      <c r="O172" s="20"/>
      <c r="P172" s="20"/>
    </row>
    <row r="173">
      <c r="A173" s="21">
        <f>IFERROR(__xludf.DUMMYFUNCTION("""COMPUTED_VALUE"""),46137.0)</f>
        <v>46137</v>
      </c>
      <c r="B173" s="22" t="str">
        <f>IFERROR(__xludf.DUMMYFUNCTION("""COMPUTED_VALUE"""),"2604H051")</f>
        <v>2604H051</v>
      </c>
      <c r="C173" s="23" t="str">
        <f>IFERROR(__xludf.DUMMYFUNCTION("""COMPUTED_VALUE"""),"Fitri")</f>
        <v>Fitri</v>
      </c>
      <c r="D173" s="24" t="str">
        <f>IFERROR(__xludf.DUMMYFUNCTION("""COMPUTED_VALUE"""),"082210475679")</f>
        <v>082210475679</v>
      </c>
      <c r="E173" s="14" t="str">
        <f>IFERROR(__xludf.DUMMYFUNCTION("""COMPUTED_VALUE"""),"Lainnya")</f>
        <v>Lainnya</v>
      </c>
      <c r="F173" s="14" t="str">
        <f>IFERROR(__xludf.DUMMYFUNCTION("""COMPUTED_VALUE"""),"Closing")</f>
        <v>Closing</v>
      </c>
      <c r="G173" s="15" t="str">
        <f>IFERROR(__xludf.DUMMYFUNCTION("""COMPUTED_VALUE"""),"ijen")</f>
        <v>ijen</v>
      </c>
      <c r="H173" s="78">
        <f>IFERROR(__xludf.DUMMYFUNCTION("""COMPUTED_VALUE"""),46157.0)</f>
        <v>46157</v>
      </c>
      <c r="I173" s="27">
        <f>IFERROR(__xludf.DUMMYFUNCTION("""COMPUTED_VALUE"""),14.0)</f>
        <v>14</v>
      </c>
      <c r="J173" s="33">
        <f>IFERROR(__xludf.DUMMYFUNCTION("""COMPUTED_VALUE"""),4620000.0)</f>
        <v>4620000</v>
      </c>
      <c r="K173" s="30" t="str">
        <f>IFERROR(__xludf.DUMMYFUNCTION("""COMPUTED_VALUE"""),"alhamdulillah order")</f>
        <v>alhamdulillah order</v>
      </c>
      <c r="L173" s="87" t="str">
        <f>IFERROR(__xludf.DUMMYFUNCTION("""COMPUTED_VALUE"""),"https://docs.google.com/document/d/1dyqvm2xnRBSae-SWuNxYdxIIun6hrOJMiwLDbi7cOIY/edit?usp=drivesdk")</f>
        <v>https://docs.google.com/document/d/1dyqvm2xnRBSae-SWuNxYdxIIun6hrOJMiwLDbi7cOIY/edit?usp=drivesdk</v>
      </c>
      <c r="M173" s="20"/>
      <c r="N173" s="20"/>
      <c r="O173" s="20"/>
      <c r="P173" s="20"/>
    </row>
    <row r="174">
      <c r="A174" s="11">
        <f>IFERROR(__xludf.DUMMYFUNCTION("""COMPUTED_VALUE"""),46138.0)</f>
        <v>46138</v>
      </c>
      <c r="B174" s="12" t="str">
        <f>IFERROR(__xludf.DUMMYFUNCTION("""COMPUTED_VALUE"""),"2604H052")</f>
        <v>2604H052</v>
      </c>
      <c r="C174" s="10" t="str">
        <f>IFERROR(__xludf.DUMMYFUNCTION("""COMPUTED_VALUE"""),"Tyo")</f>
        <v>Tyo</v>
      </c>
      <c r="D174" s="13" t="str">
        <f>IFERROR(__xludf.DUMMYFUNCTION("""COMPUTED_VALUE"""),"081519481132")</f>
        <v>081519481132</v>
      </c>
      <c r="E174" s="14" t="str">
        <f>IFERROR(__xludf.DUMMYFUNCTION("""COMPUTED_VALUE"""),"Lainnya")</f>
        <v>Lainnya</v>
      </c>
      <c r="F174" s="14" t="str">
        <f>IFERROR(__xludf.DUMMYFUNCTION("""COMPUTED_VALUE"""),"Qualified")</f>
        <v>Qualified</v>
      </c>
      <c r="G174" s="15" t="str">
        <f>IFERROR(__xludf.DUMMYFUNCTION("""COMPUTED_VALUE"""),"one day wurung baluran")</f>
        <v>one day wurung baluran</v>
      </c>
      <c r="H174" s="92">
        <f>IFERROR(__xludf.DUMMYFUNCTION("""COMPUTED_VALUE"""),46207.0)</f>
        <v>46207</v>
      </c>
      <c r="I174" s="80">
        <f>IFERROR(__xludf.DUMMYFUNCTION("""COMPUTED_VALUE"""),2.0)</f>
        <v>2</v>
      </c>
      <c r="J174" s="93">
        <f>IFERROR(__xludf.DUMMYFUNCTION("""COMPUTED_VALUE"""),1550000.0)</f>
        <v>1550000</v>
      </c>
      <c r="K174" s="19" t="str">
        <f>IFERROR(__xludf.DUMMYFUNCTION("""COMPUTED_VALUE"""),"fu 26 juni")</f>
        <v>fu 26 juni</v>
      </c>
      <c r="L174" s="76"/>
      <c r="M174" s="20"/>
      <c r="N174" s="20"/>
      <c r="O174" s="20"/>
      <c r="P174" s="20"/>
    </row>
    <row r="175">
      <c r="A175" s="21">
        <f>IFERROR(__xludf.DUMMYFUNCTION("""COMPUTED_VALUE"""),46139.0)</f>
        <v>46139</v>
      </c>
      <c r="B175" s="22" t="str">
        <f>IFERROR(__xludf.DUMMYFUNCTION("""COMPUTED_VALUE"""),"2604H053")</f>
        <v>2604H053</v>
      </c>
      <c r="C175" s="23" t="str">
        <f>IFERROR(__xludf.DUMMYFUNCTION("""COMPUTED_VALUE"""),"Rizky BtoB")</f>
        <v>Rizky BtoB</v>
      </c>
      <c r="D175" s="24" t="str">
        <f>IFERROR(__xludf.DUMMYFUNCTION("""COMPUTED_VALUE"""),"081281102660")</f>
        <v>081281102660</v>
      </c>
      <c r="E175" s="14" t="str">
        <f>IFERROR(__xludf.DUMMYFUNCTION("""COMPUTED_VALUE"""),"Lainnya")</f>
        <v>Lainnya</v>
      </c>
      <c r="F175" s="14" t="str">
        <f>IFERROR(__xludf.DUMMYFUNCTION("""COMPUTED_VALUE"""),"Leads Baru")</f>
        <v>Leads Baru</v>
      </c>
      <c r="G175" s="15" t="str">
        <f>IFERROR(__xludf.DUMMYFUNCTION("""COMPUTED_VALUE"""),"ijen Baluran ")</f>
        <v>ijen Baluran </v>
      </c>
      <c r="H175" s="26"/>
      <c r="I175" s="27"/>
      <c r="J175" s="28"/>
      <c r="K175" s="36" t="str">
        <f>IFERROR(__xludf.DUMMYFUNCTION("""COMPUTED_VALUE"""),"fu 1 juli")</f>
        <v>fu 1 juli</v>
      </c>
      <c r="L175" s="49"/>
      <c r="M175" s="20"/>
      <c r="N175" s="20"/>
      <c r="O175" s="20"/>
      <c r="P175" s="20"/>
    </row>
    <row r="176">
      <c r="A176" s="97">
        <f>IFERROR(__xludf.DUMMYFUNCTION("""COMPUTED_VALUE"""),46139.0)</f>
        <v>46139</v>
      </c>
      <c r="B176" s="97" t="str">
        <f>IFERROR(__xludf.DUMMYFUNCTION("""COMPUTED_VALUE"""),"2604H054")</f>
        <v>2604H054</v>
      </c>
      <c r="C176" s="76" t="str">
        <f>IFERROR(__xludf.DUMMYFUNCTION("""COMPUTED_VALUE"""),"Nyoman Adiartha")</f>
        <v>Nyoman Adiartha</v>
      </c>
      <c r="D176" s="13" t="str">
        <f>IFERROR(__xludf.DUMMYFUNCTION("""COMPUTED_VALUE"""),"081287966354")</f>
        <v>081287966354</v>
      </c>
      <c r="E176" s="25" t="str">
        <f>IFERROR(__xludf.DUMMYFUNCTION("""COMPUTED_VALUE"""),"Website")</f>
        <v>Website</v>
      </c>
      <c r="F176" s="25" t="str">
        <f>IFERROR(__xludf.DUMMYFUNCTION("""COMPUTED_VALUE"""),"Closing")</f>
        <v>Closing</v>
      </c>
      <c r="G176" s="15" t="str">
        <f>IFERROR(__xludf.DUMMYFUNCTION("""COMPUTED_VALUE"""),"ijen")</f>
        <v>ijen</v>
      </c>
      <c r="H176" s="92">
        <f>IFERROR(__xludf.DUMMYFUNCTION("""COMPUTED_VALUE"""),46192.0)</f>
        <v>46192</v>
      </c>
      <c r="I176" s="80">
        <f>IFERROR(__xludf.DUMMYFUNCTION("""COMPUTED_VALUE"""),3.0)</f>
        <v>3</v>
      </c>
      <c r="J176" s="93">
        <f>IFERROR(__xludf.DUMMYFUNCTION("""COMPUTED_VALUE"""),1101000.0)</f>
        <v>1101000</v>
      </c>
      <c r="K176" s="46" t="str">
        <f>IFERROR(__xludf.DUMMYFUNCTION("""COMPUTED_VALUE"""),"fu 28 april")</f>
        <v>fu 28 april</v>
      </c>
      <c r="L176" s="76"/>
      <c r="M176" s="20"/>
      <c r="N176" s="20"/>
      <c r="O176" s="20"/>
      <c r="P176" s="20"/>
    </row>
    <row r="177">
      <c r="A177" s="110">
        <f>IFERROR(__xludf.DUMMYFUNCTION("""COMPUTED_VALUE"""),46139.0)</f>
        <v>46139</v>
      </c>
      <c r="B177" s="110" t="str">
        <f>IFERROR(__xludf.DUMMYFUNCTION("""COMPUTED_VALUE"""),"2604H055")</f>
        <v>2604H055</v>
      </c>
      <c r="C177" s="49" t="str">
        <f>IFERROR(__xludf.DUMMYFUNCTION("""COMPUTED_VALUE"""),"Firda Fitria_PLK_PND")</f>
        <v>Firda Fitria_PLK_PND</v>
      </c>
      <c r="D177" s="102" t="str">
        <f>IFERROR(__xludf.DUMMYFUNCTION("""COMPUTED_VALUE"""),"089508614381")</f>
        <v>089508614381</v>
      </c>
      <c r="E177" s="25" t="str">
        <f>IFERROR(__xludf.DUMMYFUNCTION("""COMPUTED_VALUE"""),"Lainnya")</f>
        <v>Lainnya</v>
      </c>
      <c r="F177" s="25" t="str">
        <f>IFERROR(__xludf.DUMMYFUNCTION("""COMPUTED_VALUE"""),"Gagal")</f>
        <v>Gagal</v>
      </c>
      <c r="G177" s="15"/>
      <c r="H177" s="26">
        <f>IFERROR(__xludf.DUMMYFUNCTION("""COMPUTED_VALUE"""),46144.0)</f>
        <v>46144</v>
      </c>
      <c r="I177" s="27">
        <f>IFERROR(__xludf.DUMMYFUNCTION("""COMPUTED_VALUE"""),1.0)</f>
        <v>1</v>
      </c>
      <c r="J177" s="33"/>
      <c r="K177" s="30" t="str">
        <f>IFERROR(__xludf.DUMMYFUNCTION("""COMPUTED_VALUE"""),"sdh fu, gada balasan, balas singkat2")</f>
        <v>sdh fu, gada balasan, balas singkat2</v>
      </c>
      <c r="L177" s="81" t="str">
        <f>IFERROR(__xludf.DUMMYFUNCTION("""COMPUTED_VALUE"""),"https://docs.google.com/document/d/1gPzlJC7WtMpWSg2FU5skpZTdfiffY7GkgOyS71mymoY/edit?usp=drivesdk")</f>
        <v>https://docs.google.com/document/d/1gPzlJC7WtMpWSg2FU5skpZTdfiffY7GkgOyS71mymoY/edit?usp=drivesdk</v>
      </c>
      <c r="M177" s="20"/>
      <c r="N177" s="20"/>
      <c r="O177" s="20"/>
      <c r="P177" s="20"/>
    </row>
    <row r="178">
      <c r="A178" s="97">
        <f>IFERROR(__xludf.DUMMYFUNCTION("""COMPUTED_VALUE"""),46140.0)</f>
        <v>46140</v>
      </c>
      <c r="B178" s="97" t="str">
        <f>IFERROR(__xludf.DUMMYFUNCTION("""COMPUTED_VALUE"""),"2604H056")</f>
        <v>2604H056</v>
      </c>
      <c r="C178" s="76" t="str">
        <f>IFERROR(__xludf.DUMMYFUNCTION("""COMPUTED_VALUE"""),"Indri")</f>
        <v>Indri</v>
      </c>
      <c r="D178" s="99" t="str">
        <f>IFERROR(__xludf.DUMMYFUNCTION("""COMPUTED_VALUE"""),"081222363338")</f>
        <v>081222363338</v>
      </c>
      <c r="E178" s="25" t="str">
        <f>IFERROR(__xludf.DUMMYFUNCTION("""COMPUTED_VALUE"""),"Lainnya")</f>
        <v>Lainnya</v>
      </c>
      <c r="F178" s="25" t="str">
        <f>IFERROR(__xludf.DUMMYFUNCTION("""COMPUTED_VALUE"""),"Gagal")</f>
        <v>Gagal</v>
      </c>
      <c r="G178" s="25" t="str">
        <f>IFERROR(__xludf.DUMMYFUNCTION("""COMPUTED_VALUE"""),"3h2m")</f>
        <v>3h2m</v>
      </c>
      <c r="H178" s="92"/>
      <c r="I178" s="80">
        <f>IFERROR(__xludf.DUMMYFUNCTION("""COMPUTED_VALUE"""),5.0)</f>
        <v>5</v>
      </c>
      <c r="J178" s="54"/>
      <c r="K178" s="19" t="str">
        <f>IFERROR(__xludf.DUMMYFUNCTION("""COMPUTED_VALUE"""),"tidak ada balasan")</f>
        <v>tidak ada balasan</v>
      </c>
      <c r="L178" s="88" t="str">
        <f>IFERROR(__xludf.DUMMYFUNCTION("""COMPUTED_VALUE"""),"https://docs.google.com/document/d/11_Mxq1JoJD3lMn1q98LRu2wiqXDcN3eF9oOKVoMDEpw/edit?usp=drivesdk")</f>
        <v>https://docs.google.com/document/d/11_Mxq1JoJD3lMn1q98LRu2wiqXDcN3eF9oOKVoMDEpw/edit?usp=drivesdk</v>
      </c>
      <c r="M178" s="20"/>
      <c r="N178" s="20"/>
      <c r="O178" s="20"/>
      <c r="P178" s="20"/>
    </row>
    <row r="179">
      <c r="A179" s="110">
        <f>IFERROR(__xludf.DUMMYFUNCTION("""COMPUTED_VALUE"""),46141.0)</f>
        <v>46141</v>
      </c>
      <c r="B179" s="110" t="str">
        <f>IFERROR(__xludf.DUMMYFUNCTION("""COMPUTED_VALUE"""),"2604H057")</f>
        <v>2604H057</v>
      </c>
      <c r="C179" s="49" t="str">
        <f>IFERROR(__xludf.DUMMYFUNCTION("""COMPUTED_VALUE"""),"Win")</f>
        <v>Win</v>
      </c>
      <c r="D179" s="102" t="str">
        <f>IFERROR(__xludf.DUMMYFUNCTION("""COMPUTED_VALUE"""),"081288900039")</f>
        <v>081288900039</v>
      </c>
      <c r="E179" s="25" t="str">
        <f>IFERROR(__xludf.DUMMYFUNCTION("""COMPUTED_VALUE"""),"Website")</f>
        <v>Website</v>
      </c>
      <c r="F179" s="25" t="str">
        <f>IFERROR(__xludf.DUMMYFUNCTION("""COMPUTED_VALUE"""),"Gagal")</f>
        <v>Gagal</v>
      </c>
      <c r="G179" s="15" t="str">
        <f>IFERROR(__xludf.DUMMYFUNCTION("""COMPUTED_VALUE"""),"2h1m")</f>
        <v>2h1m</v>
      </c>
      <c r="H179" s="78"/>
      <c r="I179" s="27"/>
      <c r="J179" s="33"/>
      <c r="K179" s="30" t="str">
        <f>IFERROR(__xludf.DUMMYFUNCTION("""COMPUTED_VALUE"""),"gada balasan. sdh fu")</f>
        <v>gada balasan. sdh fu</v>
      </c>
      <c r="L179" s="81" t="str">
        <f>IFERROR(__xludf.DUMMYFUNCTION("""COMPUTED_VALUE"""),"https://docs.google.com/document/d/1r9pkyZoJ4E4pa0a7Eum00xRYoKjDu0yQKO1LwDuvE7o/edit?usp=drivesdk")</f>
        <v>https://docs.google.com/document/d/1r9pkyZoJ4E4pa0a7Eum00xRYoKjDu0yQKO1LwDuvE7o/edit?usp=drivesdk</v>
      </c>
      <c r="M179" s="20"/>
      <c r="N179" s="20"/>
      <c r="O179" s="20"/>
      <c r="P179" s="20"/>
    </row>
    <row r="180">
      <c r="A180" s="97">
        <f>IFERROR(__xludf.DUMMYFUNCTION("""COMPUTED_VALUE"""),46142.0)</f>
        <v>46142</v>
      </c>
      <c r="B180" s="97" t="str">
        <f>IFERROR(__xludf.DUMMYFUNCTION("""COMPUTED_VALUE"""),"2604H058")</f>
        <v>2604H058</v>
      </c>
      <c r="C180" s="76" t="str">
        <f>IFERROR(__xludf.DUMMYFUNCTION("""COMPUTED_VALUE"""),"Rani")</f>
        <v>Rani</v>
      </c>
      <c r="D180" s="99" t="str">
        <f>IFERROR(__xludf.DUMMYFUNCTION("""COMPUTED_VALUE"""),"082118242484")</f>
        <v>082118242484</v>
      </c>
      <c r="E180" s="25" t="str">
        <f>IFERROR(__xludf.DUMMYFUNCTION("""COMPUTED_VALUE"""),"Website")</f>
        <v>Website</v>
      </c>
      <c r="F180" s="25" t="str">
        <f>IFERROR(__xludf.DUMMYFUNCTION("""COMPUTED_VALUE"""),"Gagal")</f>
        <v>Gagal</v>
      </c>
      <c r="G180" s="25" t="str">
        <f>IFERROR(__xludf.DUMMYFUNCTION("""COMPUTED_VALUE"""),"3h2m")</f>
        <v>3h2m</v>
      </c>
      <c r="H180" s="92">
        <f>IFERROR(__xludf.DUMMYFUNCTION("""COMPUTED_VALUE"""),46193.0)</f>
        <v>46193</v>
      </c>
      <c r="I180" s="80">
        <f>IFERROR(__xludf.DUMMYFUNCTION("""COMPUTED_VALUE"""),5.0)</f>
        <v>5</v>
      </c>
      <c r="J180" s="93">
        <f>IFERROR(__xludf.DUMMYFUNCTION("""COMPUTED_VALUE"""),1.055E7)</f>
        <v>10550000</v>
      </c>
      <c r="K180" s="19" t="str">
        <f>IFERROR(__xludf.DUMMYFUNCTION("""COMPUTED_VALUE"""),"ada kegiatan pelatihan, sehingga waktu kurang cocok")</f>
        <v>ada kegiatan pelatihan, sehingga waktu kurang cocok</v>
      </c>
      <c r="L180" s="88" t="str">
        <f>IFERROR(__xludf.DUMMYFUNCTION("""COMPUTED_VALUE"""),"https://docs.google.com/document/d/1jH8xbbFYobjqYLoMcoKrUUjG8ix_8e3hNo50pYc4bKc/edit?usp=drivesdk")</f>
        <v>https://docs.google.com/document/d/1jH8xbbFYobjqYLoMcoKrUUjG8ix_8e3hNo50pYc4bKc/edit?usp=drivesdk</v>
      </c>
      <c r="M180" s="20"/>
      <c r="N180" s="20"/>
      <c r="O180" s="20"/>
      <c r="P180" s="20"/>
    </row>
    <row r="181">
      <c r="A181" s="110">
        <f>IFERROR(__xludf.DUMMYFUNCTION("""COMPUTED_VALUE"""),46142.0)</f>
        <v>46142</v>
      </c>
      <c r="B181" s="110" t="str">
        <f>IFERROR(__xludf.DUMMYFUNCTION("""COMPUTED_VALUE"""),"2604H059")</f>
        <v>2604H059</v>
      </c>
      <c r="C181" s="49" t="str">
        <f>IFERROR(__xludf.DUMMYFUNCTION("""COMPUTED_VALUE"""),"Febri")</f>
        <v>Febri</v>
      </c>
      <c r="D181" s="102" t="str">
        <f>IFERROR(__xludf.DUMMYFUNCTION("""COMPUTED_VALUE"""),"088221153498")</f>
        <v>088221153498</v>
      </c>
      <c r="E181" s="25" t="str">
        <f>IFERROR(__xludf.DUMMYFUNCTION("""COMPUTED_VALUE"""),"Lainnya")</f>
        <v>Lainnya</v>
      </c>
      <c r="F181" s="25" t="str">
        <f>IFERROR(__xludf.DUMMYFUNCTION("""COMPUTED_VALUE"""),"Qualified")</f>
        <v>Qualified</v>
      </c>
      <c r="G181" s="15" t="str">
        <f>IFERROR(__xludf.DUMMYFUNCTION("""COMPUTED_VALUE"""),"full day ijen wurung baluran")</f>
        <v>full day ijen wurung baluran</v>
      </c>
      <c r="H181" s="78"/>
      <c r="I181" s="89">
        <f>IFERROR(__xludf.DUMMYFUNCTION("""COMPUTED_VALUE"""),3.0)</f>
        <v>3</v>
      </c>
      <c r="J181" s="96">
        <f>IFERROR(__xludf.DUMMYFUNCTION("""COMPUTED_VALUE"""),2106000.0)</f>
        <v>2106000</v>
      </c>
      <c r="K181" s="30" t="str">
        <f>IFERROR(__xludf.DUMMYFUNCTION("""COMPUTED_VALUE"""),"masih tanya2 open trip juga. fu 26 juni")</f>
        <v>masih tanya2 open trip juga. fu 26 juni</v>
      </c>
      <c r="L181" s="49"/>
      <c r="M181" s="20"/>
      <c r="N181" s="20"/>
      <c r="O181" s="20"/>
      <c r="P181" s="20"/>
    </row>
    <row r="182">
      <c r="A182" s="97">
        <f>IFERROR(__xludf.DUMMYFUNCTION("""COMPUTED_VALUE"""),46142.0)</f>
        <v>46142</v>
      </c>
      <c r="B182" s="97" t="str">
        <f>IFERROR(__xludf.DUMMYFUNCTION("""COMPUTED_VALUE"""),"2604H060")</f>
        <v>2604H060</v>
      </c>
      <c r="C182" s="76" t="str">
        <f>IFERROR(__xludf.DUMMYFUNCTION("""COMPUTED_VALUE"""),"Nana")</f>
        <v>Nana</v>
      </c>
      <c r="D182" s="99" t="str">
        <f>IFERROR(__xludf.DUMMYFUNCTION("""COMPUTED_VALUE"""),"081398081190")</f>
        <v>081398081190</v>
      </c>
      <c r="E182" s="25" t="str">
        <f>IFERROR(__xludf.DUMMYFUNCTION("""COMPUTED_VALUE"""),"Lainnya")</f>
        <v>Lainnya</v>
      </c>
      <c r="F182" s="25" t="str">
        <f>IFERROR(__xludf.DUMMYFUNCTION("""COMPUTED_VALUE"""),"Closing")</f>
        <v>Closing</v>
      </c>
      <c r="G182" s="15" t="str">
        <f>IFERROR(__xludf.DUMMYFUNCTION("""COMPUTED_VALUE"""),"ot menjangan tabuhan ")</f>
        <v>ot menjangan tabuhan </v>
      </c>
      <c r="H182" s="92">
        <f>IFERROR(__xludf.DUMMYFUNCTION("""COMPUTED_VALUE"""),46145.0)</f>
        <v>46145</v>
      </c>
      <c r="I182" s="80">
        <f>IFERROR(__xludf.DUMMYFUNCTION("""COMPUTED_VALUE"""),2.0)</f>
        <v>2</v>
      </c>
      <c r="J182" s="54">
        <f>IFERROR(__xludf.DUMMYFUNCTION("""COMPUTED_VALUE"""),590000.0)</f>
        <v>590000</v>
      </c>
      <c r="K182" s="46" t="str">
        <f>IFERROR(__xludf.DUMMYFUNCTION("""COMPUTED_VALUE"""),"alhamdulillah order")</f>
        <v>alhamdulillah order</v>
      </c>
      <c r="L182" s="10"/>
      <c r="M182" s="20"/>
      <c r="N182" s="20"/>
      <c r="O182" s="20"/>
      <c r="P182" s="20"/>
    </row>
    <row r="183">
      <c r="A183" s="110">
        <f>IFERROR(__xludf.DUMMYFUNCTION("""COMPUTED_VALUE"""),46143.0)</f>
        <v>46143</v>
      </c>
      <c r="B183" s="110" t="str">
        <f>IFERROR(__xludf.DUMMYFUNCTION("""COMPUTED_VALUE"""),"2605H001")</f>
        <v>2605H001</v>
      </c>
      <c r="C183" s="49" t="str">
        <f>IFERROR(__xludf.DUMMYFUNCTION("""COMPUTED_VALUE"""),"Novira Riyanti")</f>
        <v>Novira Riyanti</v>
      </c>
      <c r="D183" s="102" t="str">
        <f>IFERROR(__xludf.DUMMYFUNCTION("""COMPUTED_VALUE"""),"085213504430")</f>
        <v>085213504430</v>
      </c>
      <c r="E183" s="25" t="str">
        <f>IFERROR(__xludf.DUMMYFUNCTION("""COMPUTED_VALUE"""),"Lainnya")</f>
        <v>Lainnya</v>
      </c>
      <c r="F183" s="25" t="str">
        <f>IFERROR(__xludf.DUMMYFUNCTION("""COMPUTED_VALUE"""),"Closing")</f>
        <v>Closing</v>
      </c>
      <c r="G183" s="15" t="str">
        <f>IFERROR(__xludf.DUMMYFUNCTION("""COMPUTED_VALUE"""),"2h1m custom")</f>
        <v>2h1m custom</v>
      </c>
      <c r="H183" s="78"/>
      <c r="I183" s="89">
        <f>IFERROR(__xludf.DUMMYFUNCTION("""COMPUTED_VALUE"""),2.0)</f>
        <v>2</v>
      </c>
      <c r="J183" s="96">
        <f>IFERROR(__xludf.DUMMYFUNCTION("""COMPUTED_VALUE"""),5500000.0)</f>
        <v>5500000</v>
      </c>
      <c r="K183" s="30" t="str">
        <f>IFERROR(__xludf.DUMMYFUNCTION("""COMPUTED_VALUE"""),"alhamdulillah order")</f>
        <v>alhamdulillah order</v>
      </c>
      <c r="L183" s="49"/>
      <c r="M183" s="20"/>
      <c r="N183" s="20"/>
      <c r="O183" s="20"/>
      <c r="P183" s="20"/>
    </row>
    <row r="184">
      <c r="A184" s="97">
        <f>IFERROR(__xludf.DUMMYFUNCTION("""COMPUTED_VALUE"""),46143.0)</f>
        <v>46143</v>
      </c>
      <c r="B184" s="110" t="str">
        <f>IFERROR(__xludf.DUMMYFUNCTION("""COMPUTED_VALUE"""),"2605H002")</f>
        <v>2605H002</v>
      </c>
      <c r="C184" s="76" t="str">
        <f>IFERROR(__xludf.DUMMYFUNCTION("""COMPUTED_VALUE"""),"Widya")</f>
        <v>Widya</v>
      </c>
      <c r="D184" s="99" t="str">
        <f>IFERROR(__xludf.DUMMYFUNCTION("""COMPUTED_VALUE"""),"085706144955")</f>
        <v>085706144955</v>
      </c>
      <c r="E184" s="25" t="str">
        <f>IFERROR(__xludf.DUMMYFUNCTION("""COMPUTED_VALUE"""),"Lainnya")</f>
        <v>Lainnya</v>
      </c>
      <c r="F184" s="25" t="str">
        <f>IFERROR(__xludf.DUMMYFUNCTION("""COMPUTED_VALUE"""),"Qualified")</f>
        <v>Qualified</v>
      </c>
      <c r="G184" s="15" t="str">
        <f>IFERROR(__xludf.DUMMYFUNCTION("""COMPUTED_VALUE"""),"OT Green Island")</f>
        <v>OT Green Island</v>
      </c>
      <c r="H184" s="92"/>
      <c r="I184" s="80"/>
      <c r="J184" s="93"/>
      <c r="K184" s="19" t="str">
        <f>IFERROR(__xludf.DUMMYFUNCTION("""COMPUTED_VALUE"""),"fu 19 juni")</f>
        <v>fu 19 juni</v>
      </c>
      <c r="L184" s="88" t="str">
        <f>IFERROR(__xludf.DUMMYFUNCTION("""COMPUTED_VALUE"""),"https://docs.google.com/document/d/10d1_HNFhLrWa0RFBNQ9sJiYjG9EEHCqfSvV537DNSD4/edit?usp=drivesdk")</f>
        <v>https://docs.google.com/document/d/10d1_HNFhLrWa0RFBNQ9sJiYjG9EEHCqfSvV537DNSD4/edit?usp=drivesdk</v>
      </c>
      <c r="M184" s="20"/>
      <c r="N184" s="20"/>
      <c r="O184" s="20"/>
      <c r="P184" s="20"/>
    </row>
    <row r="185">
      <c r="A185" s="110">
        <f>IFERROR(__xludf.DUMMYFUNCTION("""COMPUTED_VALUE"""),46146.0)</f>
        <v>46146</v>
      </c>
      <c r="B185" s="110" t="str">
        <f>IFERROR(__xludf.DUMMYFUNCTION("""COMPUTED_VALUE"""),"2605A003")</f>
        <v>2605A003</v>
      </c>
      <c r="C185" s="112" t="str">
        <f>IFERROR(__xludf.DUMMYFUNCTION("""COMPUTED_VALUE"""),"Ragillia Ramadhani")</f>
        <v>Ragillia Ramadhani</v>
      </c>
      <c r="D185" s="102" t="str">
        <f>IFERROR(__xludf.DUMMYFUNCTION("""COMPUTED_VALUE"""),"08995373206")</f>
        <v>08995373206</v>
      </c>
      <c r="E185" s="25" t="str">
        <f>IFERROR(__xludf.DUMMYFUNCTION("""COMPUTED_VALUE"""),"Tiktok")</f>
        <v>Tiktok</v>
      </c>
      <c r="F185" s="25" t="str">
        <f>IFERROR(__xludf.DUMMYFUNCTION("""COMPUTED_VALUE"""),"Gagal")</f>
        <v>Gagal</v>
      </c>
      <c r="G185" s="25" t="str">
        <f>IFERROR(__xludf.DUMMYFUNCTION("""COMPUTED_VALUE"""),"ot green island - spot t - water blow")</f>
        <v>ot green island - spot t - water blow</v>
      </c>
      <c r="H185" s="78">
        <f>IFERROR(__xludf.DUMMYFUNCTION("""COMPUTED_VALUE"""),46177.0)</f>
        <v>46177</v>
      </c>
      <c r="I185" s="89">
        <f>IFERROR(__xludf.DUMMYFUNCTION("""COMPUTED_VALUE"""),2.0)</f>
        <v>2</v>
      </c>
      <c r="J185" s="96">
        <f>IFERROR(__xludf.DUMMYFUNCTION("""COMPUTED_VALUE"""),1100000.0)</f>
        <v>1100000</v>
      </c>
      <c r="K185" s="36" t="str">
        <f>IFERROR(__xludf.DUMMYFUNCTION("""COMPUTED_VALUE"""),"tidak ada jawaban, sdh fu")</f>
        <v>tidak ada jawaban, sdh fu</v>
      </c>
      <c r="L185" s="49"/>
      <c r="M185" s="20"/>
      <c r="N185" s="20"/>
      <c r="O185" s="20"/>
      <c r="P185" s="20"/>
    </row>
    <row r="186">
      <c r="A186" s="97">
        <f>IFERROR(__xludf.DUMMYFUNCTION("""COMPUTED_VALUE"""),46148.0)</f>
        <v>46148</v>
      </c>
      <c r="B186" s="97" t="str">
        <f>IFERROR(__xludf.DUMMYFUNCTION("""COMPUTED_VALUE"""),"2605H004")</f>
        <v>2605H004</v>
      </c>
      <c r="C186" s="76" t="str">
        <f>IFERROR(__xludf.DUMMYFUNCTION("""COMPUTED_VALUE"""),"Mohammad Faiz")</f>
        <v>Mohammad Faiz</v>
      </c>
      <c r="D186" s="99" t="str">
        <f>IFERROR(__xludf.DUMMYFUNCTION("""COMPUTED_VALUE"""),"082295287622")</f>
        <v>082295287622</v>
      </c>
      <c r="E186" s="25" t="str">
        <f>IFERROR(__xludf.DUMMYFUNCTION("""COMPUTED_VALUE"""),"Instagram")</f>
        <v>Instagram</v>
      </c>
      <c r="F186" s="25" t="str">
        <f>IFERROR(__xludf.DUMMYFUNCTION("""COMPUTED_VALUE"""),"Closing")</f>
        <v>Closing</v>
      </c>
      <c r="G186" s="15" t="str">
        <f>IFERROR(__xludf.DUMMYFUNCTION("""COMPUTED_VALUE"""),"pvt 1d gi")</f>
        <v>pvt 1d gi</v>
      </c>
      <c r="H186" s="16">
        <f>IFERROR(__xludf.DUMMYFUNCTION("""COMPUTED_VALUE"""),46188.0)</f>
        <v>46188</v>
      </c>
      <c r="I186" s="17">
        <f>IFERROR(__xludf.DUMMYFUNCTION("""COMPUTED_VALUE"""),2.0)</f>
        <v>2</v>
      </c>
      <c r="J186" s="93">
        <f>IFERROR(__xludf.DUMMYFUNCTION("""COMPUTED_VALUE"""),1512000.0)</f>
        <v>1512000</v>
      </c>
      <c r="K186" s="19" t="str">
        <f>IFERROR(__xludf.DUMMYFUNCTION("""COMPUTED_VALUE"""),"alhamdulilah order")</f>
        <v>alhamdulilah order</v>
      </c>
      <c r="L186" s="76"/>
      <c r="M186" s="20"/>
      <c r="N186" s="20"/>
      <c r="O186" s="20"/>
      <c r="P186" s="20"/>
    </row>
    <row r="187">
      <c r="A187" s="110">
        <f>IFERROR(__xludf.DUMMYFUNCTION("""COMPUTED_VALUE"""),46150.0)</f>
        <v>46150</v>
      </c>
      <c r="B187" s="110" t="str">
        <f>IFERROR(__xludf.DUMMYFUNCTION("""COMPUTED_VALUE"""),"2605H005")</f>
        <v>2605H005</v>
      </c>
      <c r="C187" s="49" t="str">
        <f>IFERROR(__xludf.DUMMYFUNCTION("""COMPUTED_VALUE"""),"Firdaus")</f>
        <v>Firdaus</v>
      </c>
      <c r="D187" s="102" t="str">
        <f>IFERROR(__xludf.DUMMYFUNCTION("""COMPUTED_VALUE"""),"082282178669")</f>
        <v>082282178669</v>
      </c>
      <c r="E187" s="25" t="str">
        <f>IFERROR(__xludf.DUMMYFUNCTION("""COMPUTED_VALUE"""),"Instagram")</f>
        <v>Instagram</v>
      </c>
      <c r="F187" s="25" t="str">
        <f>IFERROR(__xludf.DUMMYFUNCTION("""COMPUTED_VALUE"""),"Gagal")</f>
        <v>Gagal</v>
      </c>
      <c r="G187" s="15" t="str">
        <f>IFERROR(__xludf.DUMMYFUNCTION("""COMPUTED_VALUE"""),"ijen")</f>
        <v>ijen</v>
      </c>
      <c r="H187" s="78"/>
      <c r="I187" s="89">
        <f>IFERROR(__xludf.DUMMYFUNCTION("""COMPUTED_VALUE"""),1.0)</f>
        <v>1</v>
      </c>
      <c r="J187" s="33">
        <f>IFERROR(__xludf.DUMMYFUNCTION("""COMPUTED_VALUE"""),250000.0)</f>
        <v>250000</v>
      </c>
      <c r="K187" s="36" t="str">
        <f>IFERROR(__xludf.DUMMYFUNCTION("""COMPUTED_VALUE"""),"maunya lihat blue fire")</f>
        <v>maunya lihat blue fire</v>
      </c>
      <c r="L187" s="49"/>
      <c r="M187" s="20"/>
      <c r="N187" s="20"/>
      <c r="O187" s="20"/>
      <c r="P187" s="20"/>
    </row>
    <row r="188">
      <c r="A188" s="97">
        <f>IFERROR(__xludf.DUMMYFUNCTION("""COMPUTED_VALUE"""),46150.0)</f>
        <v>46150</v>
      </c>
      <c r="B188" s="97" t="str">
        <f>IFERROR(__xludf.DUMMYFUNCTION("""COMPUTED_VALUE"""),"2605H006")</f>
        <v>2605H006</v>
      </c>
      <c r="C188" s="76" t="str">
        <f>IFERROR(__xludf.DUMMYFUNCTION("""COMPUTED_VALUE"""),"Meila Karina")</f>
        <v>Meila Karina</v>
      </c>
      <c r="D188" s="99" t="str">
        <f>IFERROR(__xludf.DUMMYFUNCTION("""COMPUTED_VALUE"""),"082140233311")</f>
        <v>082140233311</v>
      </c>
      <c r="E188" s="25" t="str">
        <f>IFERROR(__xludf.DUMMYFUNCTION("""COMPUTED_VALUE"""),"Rekomendasi")</f>
        <v>Rekomendasi</v>
      </c>
      <c r="F188" s="25" t="str">
        <f>IFERROR(__xludf.DUMMYFUNCTION("""COMPUTED_VALUE"""),"Closing")</f>
        <v>Closing</v>
      </c>
      <c r="G188" s="15" t="str">
        <f>IFERROR(__xludf.DUMMYFUNCTION("""COMPUTED_VALUE"""),"one day trip")</f>
        <v>one day trip</v>
      </c>
      <c r="H188" s="92">
        <f>IFERROR(__xludf.DUMMYFUNCTION("""COMPUTED_VALUE"""),46172.0)</f>
        <v>46172</v>
      </c>
      <c r="I188" s="17">
        <f>IFERROR(__xludf.DUMMYFUNCTION("""COMPUTED_VALUE"""),10.0)</f>
        <v>10</v>
      </c>
      <c r="J188" s="54">
        <f>IFERROR(__xludf.DUMMYFUNCTION("""COMPUTED_VALUE"""),6600000.0)</f>
        <v>6600000</v>
      </c>
      <c r="K188" s="19" t="str">
        <f>IFERROR(__xludf.DUMMYFUNCTION("""COMPUTED_VALUE"""),"Alhamdulillah order")</f>
        <v>Alhamdulillah order</v>
      </c>
      <c r="L188" s="88" t="str">
        <f>IFERROR(__xludf.DUMMYFUNCTION("""COMPUTED_VALUE"""),"https://docs.google.com/document/d/1sQFymd2FffLYyZCnGlu7qJ4_vOOyFNx4VnnU9QhxdfQ/edit?usp=drivesdk")</f>
        <v>https://docs.google.com/document/d/1sQFymd2FffLYyZCnGlu7qJ4_vOOyFNx4VnnU9QhxdfQ/edit?usp=drivesdk</v>
      </c>
      <c r="M188" s="20"/>
      <c r="N188" s="20"/>
      <c r="O188" s="20"/>
      <c r="P188" s="20"/>
    </row>
    <row r="189">
      <c r="A189" s="110">
        <f>IFERROR(__xludf.DUMMYFUNCTION("""COMPUTED_VALUE"""),46153.0)</f>
        <v>46153</v>
      </c>
      <c r="B189" s="110" t="str">
        <f>IFERROR(__xludf.DUMMYFUNCTION("""COMPUTED_VALUE"""),"2605H007")</f>
        <v>2605H007</v>
      </c>
      <c r="C189" s="49" t="str">
        <f>IFERROR(__xludf.DUMMYFUNCTION("""COMPUTED_VALUE"""),"Yuliastuti Bahri")</f>
        <v>Yuliastuti Bahri</v>
      </c>
      <c r="D189" s="102" t="str">
        <f>IFERROR(__xludf.DUMMYFUNCTION("""COMPUTED_VALUE"""),"082210786654")</f>
        <v>082210786654</v>
      </c>
      <c r="E189" s="25" t="str">
        <f>IFERROR(__xludf.DUMMYFUNCTION("""COMPUTED_VALUE"""),"Website")</f>
        <v>Website</v>
      </c>
      <c r="F189" s="25" t="str">
        <f>IFERROR(__xludf.DUMMYFUNCTION("""COMPUTED_VALUE"""),"Closing")</f>
        <v>Closing</v>
      </c>
      <c r="G189" s="15" t="str">
        <f>IFERROR(__xludf.DUMMYFUNCTION("""COMPUTED_VALUE"""),"2h1m custom")</f>
        <v>2h1m custom</v>
      </c>
      <c r="H189" s="78"/>
      <c r="I189" s="89">
        <f>IFERROR(__xludf.DUMMYFUNCTION("""COMPUTED_VALUE"""),3.0)</f>
        <v>3</v>
      </c>
      <c r="J189" s="96">
        <f>IFERROR(__xludf.DUMMYFUNCTION("""COMPUTED_VALUE"""),2373000.0)</f>
        <v>2373000</v>
      </c>
      <c r="K189" s="36" t="str">
        <f>IFERROR(__xludf.DUMMYFUNCTION("""COMPUTED_VALUE"""),"Alhamdulillah order")</f>
        <v>Alhamdulillah order</v>
      </c>
      <c r="L189" s="49"/>
      <c r="M189" s="20"/>
      <c r="N189" s="20"/>
      <c r="O189" s="20"/>
      <c r="P189" s="20"/>
    </row>
    <row r="190">
      <c r="A190" s="97">
        <f>IFERROR(__xludf.DUMMYFUNCTION("""COMPUTED_VALUE"""),46154.0)</f>
        <v>46154</v>
      </c>
      <c r="B190" s="97" t="str">
        <f>IFERROR(__xludf.DUMMYFUNCTION("""COMPUTED_VALUE"""),"2605H008")</f>
        <v>2605H008</v>
      </c>
      <c r="C190" s="76" t="str">
        <f>IFERROR(__xludf.DUMMYFUNCTION("""COMPUTED_VALUE"""),"cy ncy")</f>
        <v>cy ncy</v>
      </c>
      <c r="D190" s="99" t="str">
        <f>IFERROR(__xludf.DUMMYFUNCTION("""COMPUTED_VALUE"""),"082124589606")</f>
        <v>082124589606</v>
      </c>
      <c r="E190" s="25" t="str">
        <f>IFERROR(__xludf.DUMMYFUNCTION("""COMPUTED_VALUE"""),"Lainnya")</f>
        <v>Lainnya</v>
      </c>
      <c r="F190" s="25" t="str">
        <f>IFERROR(__xludf.DUMMYFUNCTION("""COMPUTED_VALUE"""),"Qualified")</f>
        <v>Qualified</v>
      </c>
      <c r="G190" s="15" t="str">
        <f>IFERROR(__xludf.DUMMYFUNCTION("""COMPUTED_VALUE"""),"3h2m")</f>
        <v>3h2m</v>
      </c>
      <c r="H190" s="92"/>
      <c r="I190" s="17">
        <f>IFERROR(__xludf.DUMMYFUNCTION("""COMPUTED_VALUE"""),30.0)</f>
        <v>30</v>
      </c>
      <c r="J190" s="54">
        <f>IFERROR(__xludf.DUMMYFUNCTION("""COMPUTED_VALUE"""),5.175E7)</f>
        <v>51750000</v>
      </c>
      <c r="K190" s="19" t="str">
        <f>IFERROR(__xludf.DUMMYFUNCTION("""COMPUTED_VALUE"""),"fu 26 Juni")</f>
        <v>fu 26 Juni</v>
      </c>
      <c r="L190" s="76"/>
      <c r="M190" s="20"/>
      <c r="N190" s="20"/>
      <c r="O190" s="20"/>
      <c r="P190" s="20"/>
    </row>
    <row r="191">
      <c r="A191" s="110">
        <f>IFERROR(__xludf.DUMMYFUNCTION("""COMPUTED_VALUE"""),46154.0)</f>
        <v>46154</v>
      </c>
      <c r="B191" s="110" t="str">
        <f>IFERROR(__xludf.DUMMYFUNCTION("""COMPUTED_VALUE"""),"2605H009")</f>
        <v>2605H009</v>
      </c>
      <c r="C191" s="49" t="str">
        <f>IFERROR(__xludf.DUMMYFUNCTION("""COMPUTED_VALUE"""),".")</f>
        <v>.</v>
      </c>
      <c r="D191" s="102" t="str">
        <f>IFERROR(__xludf.DUMMYFUNCTION("""COMPUTED_VALUE"""),"089684929926")</f>
        <v>089684929926</v>
      </c>
      <c r="E191" s="25" t="str">
        <f>IFERROR(__xludf.DUMMYFUNCTION("""COMPUTED_VALUE"""),"Lainnya")</f>
        <v>Lainnya</v>
      </c>
      <c r="F191" s="25" t="str">
        <f>IFERROR(__xludf.DUMMYFUNCTION("""COMPUTED_VALUE"""),"Gagal")</f>
        <v>Gagal</v>
      </c>
      <c r="G191" s="25"/>
      <c r="H191" s="78"/>
      <c r="I191" s="89"/>
      <c r="J191" s="33"/>
      <c r="K191" s="36" t="str">
        <f>IFERROR(__xludf.DUMMYFUNCTION("""COMPUTED_VALUE"""),"gada jawaban")</f>
        <v>gada jawaban</v>
      </c>
      <c r="L191" s="49"/>
      <c r="M191" s="20"/>
      <c r="N191" s="20"/>
      <c r="O191" s="20"/>
      <c r="P191" s="20"/>
    </row>
    <row r="192">
      <c r="A192" s="97">
        <f>IFERROR(__xludf.DUMMYFUNCTION("""COMPUTED_VALUE"""),46154.0)</f>
        <v>46154</v>
      </c>
      <c r="B192" s="97" t="str">
        <f>IFERROR(__xludf.DUMMYFUNCTION("""COMPUTED_VALUE"""),"2605H010")</f>
        <v>2605H010</v>
      </c>
      <c r="C192" s="76" t="str">
        <f>IFERROR(__xludf.DUMMYFUNCTION("""COMPUTED_VALUE"""),"Bayu (ikan)")</f>
        <v>Bayu (ikan)</v>
      </c>
      <c r="D192" s="99" t="str">
        <f>IFERROR(__xludf.DUMMYFUNCTION("""COMPUTED_VALUE"""),"085718258132")</f>
        <v>085718258132</v>
      </c>
      <c r="E192" s="25" t="str">
        <f>IFERROR(__xludf.DUMMYFUNCTION("""COMPUTED_VALUE"""),"Website")</f>
        <v>Website</v>
      </c>
      <c r="F192" s="25" t="str">
        <f>IFERROR(__xludf.DUMMYFUNCTION("""COMPUTED_VALUE"""),"Qualified")</f>
        <v>Qualified</v>
      </c>
      <c r="G192" s="15" t="str">
        <f>IFERROR(__xludf.DUMMYFUNCTION("""COMPUTED_VALUE"""),"3h2m b")</f>
        <v>3h2m b</v>
      </c>
      <c r="H192" s="92"/>
      <c r="I192" s="80">
        <f>IFERROR(__xludf.DUMMYFUNCTION("""COMPUTED_VALUE"""),2.0)</f>
        <v>2</v>
      </c>
      <c r="J192" s="93">
        <f>IFERROR(__xludf.DUMMYFUNCTION("""COMPUTED_VALUE"""),5664000.0)</f>
        <v>5664000</v>
      </c>
      <c r="K192" s="19" t="str">
        <f>IFERROR(__xludf.DUMMYFUNCTION("""COMPUTED_VALUE"""),"fu 18 juni")</f>
        <v>fu 18 juni</v>
      </c>
      <c r="L192" s="76"/>
      <c r="M192" s="20"/>
      <c r="N192" s="20"/>
      <c r="O192" s="20"/>
      <c r="P192" s="20"/>
    </row>
    <row r="193">
      <c r="A193" s="110">
        <f>IFERROR(__xludf.DUMMYFUNCTION("""COMPUTED_VALUE"""),46154.0)</f>
        <v>46154</v>
      </c>
      <c r="B193" s="110" t="str">
        <f>IFERROR(__xludf.DUMMYFUNCTION("""COMPUTED_VALUE"""),"2605H011")</f>
        <v>2605H011</v>
      </c>
      <c r="C193" s="49" t="str">
        <f>IFERROR(__xludf.DUMMYFUNCTION("""COMPUTED_VALUE"""),"Lelina")</f>
        <v>Lelina</v>
      </c>
      <c r="D193" s="102" t="str">
        <f>IFERROR(__xludf.DUMMYFUNCTION("""COMPUTED_VALUE"""),"085890770078")</f>
        <v>085890770078</v>
      </c>
      <c r="E193" s="25" t="str">
        <f>IFERROR(__xludf.DUMMYFUNCTION("""COMPUTED_VALUE"""),"Lainnya")</f>
        <v>Lainnya</v>
      </c>
      <c r="F193" s="25" t="str">
        <f>IFERROR(__xludf.DUMMYFUNCTION("""COMPUTED_VALUE"""),"Gagal")</f>
        <v>Gagal</v>
      </c>
      <c r="G193" s="15" t="str">
        <f>IFERROR(__xludf.DUMMYFUNCTION("""COMPUTED_VALUE"""),"ot ")</f>
        <v>ot </v>
      </c>
      <c r="H193" s="26"/>
      <c r="I193" s="27">
        <f>IFERROR(__xludf.DUMMYFUNCTION("""COMPUTED_VALUE"""),2.0)</f>
        <v>2</v>
      </c>
      <c r="J193" s="33"/>
      <c r="K193" s="36" t="str">
        <f>IFERROR(__xludf.DUMMYFUNCTION("""COMPUTED_VALUE"""),"fulbooked")</f>
        <v>fulbooked</v>
      </c>
      <c r="L193" s="49"/>
      <c r="M193" s="20"/>
      <c r="N193" s="20"/>
      <c r="O193" s="20"/>
      <c r="P193" s="20"/>
    </row>
    <row r="194">
      <c r="A194" s="97">
        <f>IFERROR(__xludf.DUMMYFUNCTION("""COMPUTED_VALUE"""),46155.0)</f>
        <v>46155</v>
      </c>
      <c r="B194" s="97" t="str">
        <f>IFERROR(__xludf.DUMMYFUNCTION("""COMPUTED_VALUE"""),"2605H012")</f>
        <v>2605H012</v>
      </c>
      <c r="C194" s="76" t="str">
        <f>IFERROR(__xludf.DUMMYFUNCTION("""COMPUTED_VALUE"""),"Dewi Tyas")</f>
        <v>Dewi Tyas</v>
      </c>
      <c r="D194" s="99" t="str">
        <f>IFERROR(__xludf.DUMMYFUNCTION("""COMPUTED_VALUE"""),"08170621716")</f>
        <v>08170621716</v>
      </c>
      <c r="E194" s="25" t="str">
        <f>IFERROR(__xludf.DUMMYFUNCTION("""COMPUTED_VALUE"""),"Lainnya")</f>
        <v>Lainnya</v>
      </c>
      <c r="F194" s="25" t="str">
        <f>IFERROR(__xludf.DUMMYFUNCTION("""COMPUTED_VALUE"""),"Gagal")</f>
        <v>Gagal</v>
      </c>
      <c r="G194" s="15" t="str">
        <f>IFERROR(__xludf.DUMMYFUNCTION("""COMPUTED_VALUE"""),"2d1n opsi a")</f>
        <v>2d1n opsi a</v>
      </c>
      <c r="H194" s="92"/>
      <c r="I194" s="80"/>
      <c r="J194" s="93">
        <f>IFERROR(__xludf.DUMMYFUNCTION("""COMPUTED_VALUE"""),3696000.0)</f>
        <v>3696000</v>
      </c>
      <c r="K194" s="19" t="str">
        <f>IFERROR(__xludf.DUMMYFUNCTION("""COMPUTED_VALUE"""),"gajadi katanya")</f>
        <v>gajadi katanya</v>
      </c>
      <c r="L194" s="76"/>
      <c r="M194" s="20"/>
      <c r="N194" s="20"/>
      <c r="O194" s="20"/>
      <c r="P194" s="20"/>
    </row>
    <row r="195">
      <c r="A195" s="110">
        <f>IFERROR(__xludf.DUMMYFUNCTION("""COMPUTED_VALUE"""),46154.0)</f>
        <v>46154</v>
      </c>
      <c r="B195" s="110" t="str">
        <f>IFERROR(__xludf.DUMMYFUNCTION("""COMPUTED_VALUE"""),"2605H013")</f>
        <v>2605H013</v>
      </c>
      <c r="C195" s="112" t="str">
        <f>IFERROR(__xludf.DUMMYFUNCTION("""COMPUTED_VALUE"""),"SW")</f>
        <v>SW</v>
      </c>
      <c r="D195" s="102" t="str">
        <f>IFERROR(__xludf.DUMMYFUNCTION("""COMPUTED_VALUE"""),"082316630493")</f>
        <v>082316630493</v>
      </c>
      <c r="E195" s="25" t="str">
        <f>IFERROR(__xludf.DUMMYFUNCTION("""COMPUTED_VALUE"""),"Lainnya")</f>
        <v>Lainnya</v>
      </c>
      <c r="F195" s="25" t="str">
        <f>IFERROR(__xludf.DUMMYFUNCTION("""COMPUTED_VALUE"""),"Gagal")</f>
        <v>Gagal</v>
      </c>
      <c r="G195" s="15"/>
      <c r="H195" s="78"/>
      <c r="I195" s="89"/>
      <c r="J195" s="33"/>
      <c r="K195" s="30" t="str">
        <f>IFERROR(__xludf.DUMMYFUNCTION("""COMPUTED_VALUE"""),"fullbooked")</f>
        <v>fullbooked</v>
      </c>
      <c r="L195" s="23"/>
      <c r="M195" s="20"/>
      <c r="N195" s="20"/>
      <c r="O195" s="20"/>
      <c r="P195" s="20"/>
    </row>
    <row r="196">
      <c r="A196" s="97">
        <f>IFERROR(__xludf.DUMMYFUNCTION("""COMPUTED_VALUE"""),46154.0)</f>
        <v>46154</v>
      </c>
      <c r="B196" s="97" t="str">
        <f>IFERROR(__xludf.DUMMYFUNCTION("""COMPUTED_VALUE"""),"2605H014")</f>
        <v>2605H014</v>
      </c>
      <c r="C196" s="76" t="str">
        <f>IFERROR(__xludf.DUMMYFUNCTION("""COMPUTED_VALUE"""),"Fransiana Florida")</f>
        <v>Fransiana Florida</v>
      </c>
      <c r="D196" s="99" t="str">
        <f>IFERROR(__xludf.DUMMYFUNCTION("""COMPUTED_VALUE"""),"089516923648")</f>
        <v>089516923648</v>
      </c>
      <c r="E196" s="25" t="str">
        <f>IFERROR(__xludf.DUMMYFUNCTION("""COMPUTED_VALUE"""),"Lainnya")</f>
        <v>Lainnya</v>
      </c>
      <c r="F196" s="25" t="str">
        <f>IFERROR(__xludf.DUMMYFUNCTION("""COMPUTED_VALUE"""),"Gagal")</f>
        <v>Gagal</v>
      </c>
      <c r="G196" s="15"/>
      <c r="H196" s="92"/>
      <c r="I196" s="17"/>
      <c r="J196" s="54"/>
      <c r="K196" s="46" t="str">
        <f>IFERROR(__xludf.DUMMYFUNCTION("""COMPUTED_VALUE"""),"gada kelanjutan")</f>
        <v>gada kelanjutan</v>
      </c>
      <c r="L196" s="10"/>
      <c r="M196" s="20"/>
      <c r="N196" s="20"/>
      <c r="O196" s="20"/>
      <c r="P196" s="20"/>
    </row>
    <row r="197">
      <c r="A197" s="110">
        <f>IFERROR(__xludf.DUMMYFUNCTION("""COMPUTED_VALUE"""),46155.0)</f>
        <v>46155</v>
      </c>
      <c r="B197" s="110" t="str">
        <f>IFERROR(__xludf.DUMMYFUNCTION("""COMPUTED_VALUE"""),"2605H015")</f>
        <v>2605H015</v>
      </c>
      <c r="C197" s="49" t="str">
        <f>IFERROR(__xludf.DUMMYFUNCTION("""COMPUTED_VALUE"""),"Fitriayu")</f>
        <v>Fitriayu</v>
      </c>
      <c r="D197" s="102" t="str">
        <f>IFERROR(__xludf.DUMMYFUNCTION("""COMPUTED_VALUE"""),"081280520880")</f>
        <v>081280520880</v>
      </c>
      <c r="E197" s="25" t="str">
        <f>IFERROR(__xludf.DUMMYFUNCTION("""COMPUTED_VALUE"""),"Instagram")</f>
        <v>Instagram</v>
      </c>
      <c r="F197" s="25" t="str">
        <f>IFERROR(__xludf.DUMMYFUNCTION("""COMPUTED_VALUE"""),"Gagal")</f>
        <v>Gagal</v>
      </c>
      <c r="G197" s="15" t="str">
        <f>IFERROR(__xludf.DUMMYFUNCTION("""COMPUTED_VALUE"""),"Green Island")</f>
        <v>Green Island</v>
      </c>
      <c r="H197" s="78">
        <f>IFERROR(__xludf.DUMMYFUNCTION("""COMPUTED_VALUE"""),46158.0)</f>
        <v>46158</v>
      </c>
      <c r="I197" s="89">
        <f>IFERROR(__xludf.DUMMYFUNCTION("""COMPUTED_VALUE"""),3.0)</f>
        <v>3</v>
      </c>
      <c r="J197" s="96">
        <f>IFERROR(__xludf.DUMMYFUNCTION("""COMPUTED_VALUE"""),1650000.0)</f>
        <v>1650000</v>
      </c>
      <c r="K197" s="36" t="str">
        <f>IFERROR(__xludf.DUMMYFUNCTION("""COMPUTED_VALUE"""),"fullbooked")</f>
        <v>fullbooked</v>
      </c>
      <c r="L197" s="49"/>
      <c r="M197" s="20"/>
      <c r="N197" s="20"/>
      <c r="O197" s="20"/>
      <c r="P197" s="20"/>
    </row>
    <row r="198">
      <c r="A198" s="97">
        <f>IFERROR(__xludf.DUMMYFUNCTION("""COMPUTED_VALUE"""),46155.0)</f>
        <v>46155</v>
      </c>
      <c r="B198" s="97" t="str">
        <f>IFERROR(__xludf.DUMMYFUNCTION("""COMPUTED_VALUE"""),"2605H016")</f>
        <v>2605H016</v>
      </c>
      <c r="C198" s="76" t="str">
        <f>IFERROR(__xludf.DUMMYFUNCTION("""COMPUTED_VALUE"""),"Sinta Lestari")</f>
        <v>Sinta Lestari</v>
      </c>
      <c r="D198" s="99" t="str">
        <f>IFERROR(__xludf.DUMMYFUNCTION("""COMPUTED_VALUE"""),"085757564784")</f>
        <v>085757564784</v>
      </c>
      <c r="E198" s="25" t="str">
        <f>IFERROR(__xludf.DUMMYFUNCTION("""COMPUTED_VALUE"""),"Lainnya")</f>
        <v>Lainnya</v>
      </c>
      <c r="F198" s="25" t="str">
        <f>IFERROR(__xludf.DUMMYFUNCTION("""COMPUTED_VALUE"""),"Gagal")</f>
        <v>Gagal</v>
      </c>
      <c r="G198" s="15" t="str">
        <f>IFERROR(__xludf.DUMMYFUNCTION("""COMPUTED_VALUE"""),"3d2n atau 4d3n")</f>
        <v>3d2n atau 4d3n</v>
      </c>
      <c r="H198" s="92"/>
      <c r="I198" s="17"/>
      <c r="J198" s="54"/>
      <c r="K198" s="46" t="str">
        <f>IFERROR(__xludf.DUMMYFUNCTION("""COMPUTED_VALUE"""),"gada jawaban")</f>
        <v>gada jawaban</v>
      </c>
      <c r="L198" s="76"/>
      <c r="M198" s="20"/>
      <c r="N198" s="20"/>
      <c r="O198" s="20"/>
      <c r="P198" s="20"/>
    </row>
    <row r="199">
      <c r="A199" s="110">
        <f>IFERROR(__xludf.DUMMYFUNCTION("""COMPUTED_VALUE"""),46156.0)</f>
        <v>46156</v>
      </c>
      <c r="B199" s="110" t="str">
        <f>IFERROR(__xludf.DUMMYFUNCTION("""COMPUTED_VALUE"""),"2605H017")</f>
        <v>2605H017</v>
      </c>
      <c r="C199" s="49" t="str">
        <f>IFERROR(__xludf.DUMMYFUNCTION("""COMPUTED_VALUE"""),"Mas Fahrul Sr")</f>
        <v>Mas Fahrul Sr</v>
      </c>
      <c r="D199" s="102" t="str">
        <f>IFERROR(__xludf.DUMMYFUNCTION("""COMPUTED_VALUE"""),"089518874147")</f>
        <v>089518874147</v>
      </c>
      <c r="E199" s="25" t="str">
        <f>IFERROR(__xludf.DUMMYFUNCTION("""COMPUTED_VALUE"""),"Lainnya")</f>
        <v>Lainnya</v>
      </c>
      <c r="F199" s="25" t="str">
        <f>IFERROR(__xludf.DUMMYFUNCTION("""COMPUTED_VALUE"""),"Gagal")</f>
        <v>Gagal</v>
      </c>
      <c r="G199" s="15"/>
      <c r="H199" s="78"/>
      <c r="I199" s="89"/>
      <c r="J199" s="96"/>
      <c r="K199" s="30" t="str">
        <f>IFERROR(__xludf.DUMMYFUNCTION("""COMPUTED_VALUE"""),"gada jawaban")</f>
        <v>gada jawaban</v>
      </c>
      <c r="L199" s="23"/>
      <c r="M199" s="20"/>
      <c r="N199" s="20"/>
      <c r="O199" s="20"/>
      <c r="P199" s="20"/>
    </row>
    <row r="200">
      <c r="A200" s="97">
        <f>IFERROR(__xludf.DUMMYFUNCTION("""COMPUTED_VALUE"""),46156.0)</f>
        <v>46156</v>
      </c>
      <c r="B200" s="97" t="str">
        <f>IFERROR(__xludf.DUMMYFUNCTION("""COMPUTED_VALUE"""),"2605H018")</f>
        <v>2605H018</v>
      </c>
      <c r="C200" s="76" t="str">
        <f>IFERROR(__xludf.DUMMYFUNCTION("""COMPUTED_VALUE"""),"Jimmy")</f>
        <v>Jimmy</v>
      </c>
      <c r="D200" s="99" t="str">
        <f>IFERROR(__xludf.DUMMYFUNCTION("""COMPUTED_VALUE"""),"081805260478")</f>
        <v>081805260478</v>
      </c>
      <c r="E200" s="25" t="str">
        <f>IFERROR(__xludf.DUMMYFUNCTION("""COMPUTED_VALUE"""),"Lainnya")</f>
        <v>Lainnya</v>
      </c>
      <c r="F200" s="25" t="str">
        <f>IFERROR(__xludf.DUMMYFUNCTION("""COMPUTED_VALUE"""),"Gagal")</f>
        <v>Gagal</v>
      </c>
      <c r="G200" s="15" t="str">
        <f>IFERROR(__xludf.DUMMYFUNCTION("""COMPUTED_VALUE"""),"2h1m")</f>
        <v>2h1m</v>
      </c>
      <c r="H200" s="92">
        <f>IFERROR(__xludf.DUMMYFUNCTION("""COMPUTED_VALUE"""),46181.0)</f>
        <v>46181</v>
      </c>
      <c r="I200" s="80"/>
      <c r="J200" s="93"/>
      <c r="K200" s="19" t="str">
        <f>IFERROR(__xludf.DUMMYFUNCTION("""COMPUTED_VALUE"""),"gada jawaban. ada saudara datang")</f>
        <v>gada jawaban. ada saudara datang</v>
      </c>
      <c r="L200" s="76"/>
      <c r="M200" s="20"/>
      <c r="N200" s="20"/>
      <c r="O200" s="20"/>
      <c r="P200" s="20"/>
    </row>
    <row r="201">
      <c r="A201" s="110">
        <f>IFERROR(__xludf.DUMMYFUNCTION("""COMPUTED_VALUE"""),46156.0)</f>
        <v>46156</v>
      </c>
      <c r="B201" s="110" t="str">
        <f>IFERROR(__xludf.DUMMYFUNCTION("""COMPUTED_VALUE"""),"2605H019")</f>
        <v>2605H019</v>
      </c>
      <c r="C201" s="49" t="str">
        <f>IFERROR(__xludf.DUMMYFUNCTION("""COMPUTED_VALUE"""),"Mona")</f>
        <v>Mona</v>
      </c>
      <c r="D201" s="102" t="str">
        <f>IFERROR(__xludf.DUMMYFUNCTION("""COMPUTED_VALUE"""),"081389465730")</f>
        <v>081389465730</v>
      </c>
      <c r="E201" s="25" t="str">
        <f>IFERROR(__xludf.DUMMYFUNCTION("""COMPUTED_VALUE"""),"Website")</f>
        <v>Website</v>
      </c>
      <c r="F201" s="25" t="str">
        <f>IFERROR(__xludf.DUMMYFUNCTION("""COMPUTED_VALUE"""),"Gagal")</f>
        <v>Gagal</v>
      </c>
      <c r="G201" s="15" t="str">
        <f>IFERROR(__xludf.DUMMYFUNCTION("""COMPUTED_VALUE"""),"menjangan tanbuhan baluran")</f>
        <v>menjangan tanbuhan baluran</v>
      </c>
      <c r="H201" s="78"/>
      <c r="I201" s="89">
        <f>IFERROR(__xludf.DUMMYFUNCTION("""COMPUTED_VALUE"""),4.0)</f>
        <v>4</v>
      </c>
      <c r="J201" s="33">
        <f>IFERROR(__xludf.DUMMYFUNCTION("""COMPUTED_VALUE"""),3272000.0)</f>
        <v>3272000</v>
      </c>
      <c r="K201" s="36" t="str">
        <f>IFERROR(__xludf.DUMMYFUNCTION("""COMPUTED_VALUE"""),"gada balasan")</f>
        <v>gada balasan</v>
      </c>
      <c r="L201" s="49"/>
      <c r="M201" s="20"/>
      <c r="N201" s="20"/>
      <c r="O201" s="20"/>
      <c r="P201" s="20"/>
    </row>
    <row r="202">
      <c r="A202" s="97">
        <f>IFERROR(__xludf.DUMMYFUNCTION("""COMPUTED_VALUE"""),46157.0)</f>
        <v>46157</v>
      </c>
      <c r="B202" s="97" t="str">
        <f>IFERROR(__xludf.DUMMYFUNCTION("""COMPUTED_VALUE"""),"2605H020")</f>
        <v>2605H020</v>
      </c>
      <c r="C202" s="76" t="str">
        <f>IFERROR(__xludf.DUMMYFUNCTION("""COMPUTED_VALUE"""),"Priska / Danti /Rizki")</f>
        <v>Priska / Danti /Rizki</v>
      </c>
      <c r="D202" s="99" t="str">
        <f>IFERROR(__xludf.DUMMYFUNCTION("""COMPUTED_VALUE"""),"08122044545")</f>
        <v>08122044545</v>
      </c>
      <c r="E202" s="25" t="str">
        <f>IFERROR(__xludf.DUMMYFUNCTION("""COMPUTED_VALUE"""),"Instagram")</f>
        <v>Instagram</v>
      </c>
      <c r="F202" s="25" t="str">
        <f>IFERROR(__xludf.DUMMYFUNCTION("""COMPUTED_VALUE"""),"Closing")</f>
        <v>Closing</v>
      </c>
      <c r="G202" s="15" t="str">
        <f>IFERROR(__xludf.DUMMYFUNCTION("""COMPUTED_VALUE"""),"Djawatan, Green Island, Pulau Merah")</f>
        <v>Djawatan, Green Island, Pulau Merah</v>
      </c>
      <c r="H202" s="16">
        <f>IFERROR(__xludf.DUMMYFUNCTION("""COMPUTED_VALUE"""),46160.0)</f>
        <v>46160</v>
      </c>
      <c r="I202" s="80">
        <f>IFERROR(__xludf.DUMMYFUNCTION("""COMPUTED_VALUE"""),4.0)</f>
        <v>4</v>
      </c>
      <c r="J202" s="93">
        <f>IFERROR(__xludf.DUMMYFUNCTION("""COMPUTED_VALUE"""),1636000.0)</f>
        <v>1636000</v>
      </c>
      <c r="K202" s="46" t="str">
        <f>IFERROR(__xludf.DUMMYFUNCTION("""COMPUTED_VALUE"""),"alhamdulilah order")</f>
        <v>alhamdulilah order</v>
      </c>
      <c r="L202" s="10"/>
      <c r="M202" s="20"/>
      <c r="N202" s="20"/>
      <c r="O202" s="20"/>
      <c r="P202" s="20"/>
    </row>
    <row r="203">
      <c r="A203" s="110">
        <f>IFERROR(__xludf.DUMMYFUNCTION("""COMPUTED_VALUE"""),46156.0)</f>
        <v>46156</v>
      </c>
      <c r="B203" s="110" t="str">
        <f>IFERROR(__xludf.DUMMYFUNCTION("""COMPUTED_VALUE"""),"2605H021")</f>
        <v>2605H021</v>
      </c>
      <c r="C203" s="49" t="str">
        <f>IFERROR(__xludf.DUMMYFUNCTION("""COMPUTED_VALUE"""),"Henda M E")</f>
        <v>Henda M E</v>
      </c>
      <c r="D203" s="102" t="str">
        <f>IFERROR(__xludf.DUMMYFUNCTION("""COMPUTED_VALUE"""),"081290016726")</f>
        <v>081290016726</v>
      </c>
      <c r="E203" s="25" t="str">
        <f>IFERROR(__xludf.DUMMYFUNCTION("""COMPUTED_VALUE"""),"Instagram")</f>
        <v>Instagram</v>
      </c>
      <c r="F203" s="25" t="str">
        <f>IFERROR(__xludf.DUMMYFUNCTION("""COMPUTED_VALUE"""),"Qualified")</f>
        <v>Qualified</v>
      </c>
      <c r="G203" s="15" t="str">
        <f>IFERROR(__xludf.DUMMYFUNCTION("""COMPUTED_VALUE"""),"2h1m opsi c + ijen")</f>
        <v>2h1m opsi c + ijen</v>
      </c>
      <c r="H203" s="26"/>
      <c r="I203" s="89">
        <f>IFERROR(__xludf.DUMMYFUNCTION("""COMPUTED_VALUE"""),6.0)</f>
        <v>6</v>
      </c>
      <c r="J203" s="96">
        <f>IFERROR(__xludf.DUMMYFUNCTION("""COMPUTED_VALUE"""),7380000.0)</f>
        <v>7380000</v>
      </c>
      <c r="K203" s="36" t="str">
        <f>IFERROR(__xludf.DUMMYFUNCTION("""COMPUTED_VALUE"""),"fu 18 juni")</f>
        <v>fu 18 juni</v>
      </c>
      <c r="L203" s="23"/>
      <c r="M203" s="20"/>
      <c r="N203" s="20"/>
      <c r="O203" s="20"/>
      <c r="P203" s="20"/>
    </row>
    <row r="204">
      <c r="A204" s="97">
        <f>IFERROR(__xludf.DUMMYFUNCTION("""COMPUTED_VALUE"""),46157.0)</f>
        <v>46157</v>
      </c>
      <c r="B204" s="97" t="str">
        <f>IFERROR(__xludf.DUMMYFUNCTION("""COMPUTED_VALUE"""),"2605H022")</f>
        <v>2605H022</v>
      </c>
      <c r="C204" s="76" t="str">
        <f>IFERROR(__xludf.DUMMYFUNCTION("""COMPUTED_VALUE"""),"Aidil")</f>
        <v>Aidil</v>
      </c>
      <c r="D204" s="99" t="str">
        <f>IFERROR(__xludf.DUMMYFUNCTION("""COMPUTED_VALUE"""),"087877422991")</f>
        <v>087877422991</v>
      </c>
      <c r="E204" s="25" t="str">
        <f>IFERROR(__xludf.DUMMYFUNCTION("""COMPUTED_VALUE"""),"Lainnya")</f>
        <v>Lainnya</v>
      </c>
      <c r="F204" s="25" t="str">
        <f>IFERROR(__xludf.DUMMYFUNCTION("""COMPUTED_VALUE"""),"Gagal")</f>
        <v>Gagal</v>
      </c>
      <c r="G204" s="15" t="str">
        <f>IFERROR(__xludf.DUMMYFUNCTION("""COMPUTED_VALUE"""),"3h2m")</f>
        <v>3h2m</v>
      </c>
      <c r="H204" s="16"/>
      <c r="I204" s="80"/>
      <c r="J204" s="93"/>
      <c r="K204" s="19" t="str">
        <f>IFERROR(__xludf.DUMMYFUNCTION("""COMPUTED_VALUE"""),"gada jawaban. sdh fu")</f>
        <v>gada jawaban. sdh fu</v>
      </c>
      <c r="L204" s="10"/>
      <c r="M204" s="20"/>
      <c r="N204" s="20"/>
      <c r="O204" s="20"/>
      <c r="P204" s="20"/>
    </row>
    <row r="205">
      <c r="A205" s="110">
        <f>IFERROR(__xludf.DUMMYFUNCTION("""COMPUTED_VALUE"""),46157.0)</f>
        <v>46157</v>
      </c>
      <c r="B205" s="110" t="str">
        <f>IFERROR(__xludf.DUMMYFUNCTION("""COMPUTED_VALUE"""),"2605H023")</f>
        <v>2605H023</v>
      </c>
      <c r="C205" s="49" t="str">
        <f>IFERROR(__xludf.DUMMYFUNCTION("""COMPUTED_VALUE"""),"Sarah")</f>
        <v>Sarah</v>
      </c>
      <c r="D205" s="102" t="str">
        <f>IFERROR(__xludf.DUMMYFUNCTION("""COMPUTED_VALUE"""),"08111008820")</f>
        <v>08111008820</v>
      </c>
      <c r="E205" s="25" t="str">
        <f>IFERROR(__xludf.DUMMYFUNCTION("""COMPUTED_VALUE"""),"Website")</f>
        <v>Website</v>
      </c>
      <c r="F205" s="25" t="str">
        <f>IFERROR(__xludf.DUMMYFUNCTION("""COMPUTED_VALUE"""),"Gagal")</f>
        <v>Gagal</v>
      </c>
      <c r="G205" s="15" t="str">
        <f>IFERROR(__xludf.DUMMYFUNCTION("""COMPUTED_VALUE"""),"2h1m opsi c")</f>
        <v>2h1m opsi c</v>
      </c>
      <c r="H205" s="26"/>
      <c r="I205" s="89">
        <f>IFERROR(__xludf.DUMMYFUNCTION("""COMPUTED_VALUE"""),3.0)</f>
        <v>3</v>
      </c>
      <c r="J205" s="96">
        <f>IFERROR(__xludf.DUMMYFUNCTION("""COMPUTED_VALUE"""),5034000.0)</f>
        <v>5034000</v>
      </c>
      <c r="K205" s="36" t="str">
        <f>IFERROR(__xludf.DUMMYFUNCTION("""COMPUTED_VALUE"""),"gada jawaban")</f>
        <v>gada jawaban</v>
      </c>
      <c r="L205" s="23"/>
      <c r="M205" s="20"/>
      <c r="N205" s="20"/>
      <c r="O205" s="20"/>
      <c r="P205" s="20"/>
    </row>
    <row r="206">
      <c r="A206" s="97">
        <f>IFERROR(__xludf.DUMMYFUNCTION("""COMPUTED_VALUE"""),46158.0)</f>
        <v>46158</v>
      </c>
      <c r="B206" s="97" t="str">
        <f>IFERROR(__xludf.DUMMYFUNCTION("""COMPUTED_VALUE"""),"2605H024")</f>
        <v>2605H024</v>
      </c>
      <c r="C206" s="76" t="str">
        <f>IFERROR(__xludf.DUMMYFUNCTION("""COMPUTED_VALUE"""),"Denny Bagus")</f>
        <v>Denny Bagus</v>
      </c>
      <c r="D206" s="99" t="str">
        <f>IFERROR(__xludf.DUMMYFUNCTION("""COMPUTED_VALUE"""),"0818900058")</f>
        <v>0818900058</v>
      </c>
      <c r="E206" s="25" t="str">
        <f>IFERROR(__xludf.DUMMYFUNCTION("""COMPUTED_VALUE"""),"Website")</f>
        <v>Website</v>
      </c>
      <c r="F206" s="25" t="str">
        <f>IFERROR(__xludf.DUMMYFUNCTION("""COMPUTED_VALUE"""),"Leads Baru")</f>
        <v>Leads Baru</v>
      </c>
      <c r="G206" s="15" t="str">
        <f>IFERROR(__xludf.DUMMYFUNCTION("""COMPUTED_VALUE"""),"Ijen")</f>
        <v>Ijen</v>
      </c>
      <c r="H206" s="16"/>
      <c r="I206" s="80"/>
      <c r="J206" s="93"/>
      <c r="K206" s="19" t="str">
        <f>IFERROR(__xludf.DUMMYFUNCTION("""COMPUTED_VALUE"""),"tanya blue fire. kabarin kalau bluefire buka")</f>
        <v>tanya blue fire. kabarin kalau bluefire buka</v>
      </c>
      <c r="L206" s="10"/>
      <c r="M206" s="20"/>
      <c r="N206" s="20"/>
      <c r="O206" s="20"/>
      <c r="P206" s="20"/>
    </row>
    <row r="207">
      <c r="A207" s="110">
        <f>IFERROR(__xludf.DUMMYFUNCTION("""COMPUTED_VALUE"""),46158.0)</f>
        <v>46158</v>
      </c>
      <c r="B207" s="110" t="str">
        <f>IFERROR(__xludf.DUMMYFUNCTION("""COMPUTED_VALUE"""),"2605H025")</f>
        <v>2605H025</v>
      </c>
      <c r="C207" s="49" t="str">
        <f>IFERROR(__xludf.DUMMYFUNCTION("""COMPUTED_VALUE"""),"Emil")</f>
        <v>Emil</v>
      </c>
      <c r="D207" s="102" t="str">
        <f>IFERROR(__xludf.DUMMYFUNCTION("""COMPUTED_VALUE"""),"082299201440")</f>
        <v>082299201440</v>
      </c>
      <c r="E207" s="25" t="str">
        <f>IFERROR(__xludf.DUMMYFUNCTION("""COMPUTED_VALUE"""),"Lainnya")</f>
        <v>Lainnya</v>
      </c>
      <c r="F207" s="25" t="str">
        <f>IFERROR(__xludf.DUMMYFUNCTION("""COMPUTED_VALUE"""),"Qualified")</f>
        <v>Qualified</v>
      </c>
      <c r="G207" s="15" t="str">
        <f>IFERROR(__xludf.DUMMYFUNCTION("""COMPUTED_VALUE"""),"3h2m")</f>
        <v>3h2m</v>
      </c>
      <c r="H207" s="26"/>
      <c r="I207" s="89">
        <f>IFERROR(__xludf.DUMMYFUNCTION("""COMPUTED_VALUE"""),6.0)</f>
        <v>6</v>
      </c>
      <c r="J207" s="96">
        <f>IFERROR(__xludf.DUMMYFUNCTION("""COMPUTED_VALUE"""),9672000.0)</f>
        <v>9672000</v>
      </c>
      <c r="K207" s="36" t="str">
        <f>IFERROR(__xludf.DUMMYFUNCTION("""COMPUTED_VALUE"""),"masih belum ada balasan. fu 25 juli")</f>
        <v>masih belum ada balasan. fu 25 juli</v>
      </c>
      <c r="L207" s="23"/>
      <c r="M207" s="20"/>
      <c r="N207" s="20"/>
      <c r="O207" s="20"/>
      <c r="P207" s="20"/>
    </row>
    <row r="208">
      <c r="A208" s="97">
        <f>IFERROR(__xludf.DUMMYFUNCTION("""COMPUTED_VALUE"""),46158.0)</f>
        <v>46158</v>
      </c>
      <c r="B208" s="97" t="str">
        <f>IFERROR(__xludf.DUMMYFUNCTION("""COMPUTED_VALUE"""),"2605H026")</f>
        <v>2605H026</v>
      </c>
      <c r="C208" s="76" t="str">
        <f>IFERROR(__xludf.DUMMYFUNCTION("""COMPUTED_VALUE"""),"HAPPY NETI TOUR")</f>
        <v>HAPPY NETI TOUR</v>
      </c>
      <c r="D208" s="99" t="str">
        <f>IFERROR(__xludf.DUMMYFUNCTION("""COMPUTED_VALUE"""),"081280894243")</f>
        <v>081280894243</v>
      </c>
      <c r="E208" s="25" t="str">
        <f>IFERROR(__xludf.DUMMYFUNCTION("""COMPUTED_VALUE"""),"Lainnya")</f>
        <v>Lainnya</v>
      </c>
      <c r="F208" s="25" t="str">
        <f>IFERROR(__xludf.DUMMYFUNCTION("""COMPUTED_VALUE"""),"Gagal")</f>
        <v>Gagal</v>
      </c>
      <c r="G208" s="15" t="str">
        <f>IFERROR(__xludf.DUMMYFUNCTION("""COMPUTED_VALUE"""),"2h1m + bromo")</f>
        <v>2h1m + bromo</v>
      </c>
      <c r="H208" s="92"/>
      <c r="I208" s="17">
        <f>IFERROR(__xludf.DUMMYFUNCTION("""COMPUTED_VALUE"""),20.0)</f>
        <v>20</v>
      </c>
      <c r="J208" s="54"/>
      <c r="K208" s="19" t="str">
        <f>IFERROR(__xludf.DUMMYFUNCTION("""COMPUTED_VALUE"""),"gada kelanjutan")</f>
        <v>gada kelanjutan</v>
      </c>
      <c r="L208" s="76"/>
      <c r="M208" s="20"/>
      <c r="N208" s="20"/>
      <c r="O208" s="20"/>
      <c r="P208" s="20"/>
    </row>
    <row r="209">
      <c r="A209" s="110">
        <f>IFERROR(__xludf.DUMMYFUNCTION("""COMPUTED_VALUE"""),46153.0)</f>
        <v>46153</v>
      </c>
      <c r="B209" s="110" t="str">
        <f>IFERROR(__xludf.DUMMYFUNCTION("""COMPUTED_VALUE"""),"2605H027")</f>
        <v>2605H027</v>
      </c>
      <c r="C209" s="112" t="str">
        <f>IFERROR(__xludf.DUMMYFUNCTION("""COMPUTED_VALUE"""),"Syila")</f>
        <v>Syila</v>
      </c>
      <c r="D209" s="102" t="str">
        <f>IFERROR(__xludf.DUMMYFUNCTION("""COMPUTED_VALUE"""),"085230222999")</f>
        <v>085230222999</v>
      </c>
      <c r="E209" s="25" t="str">
        <f>IFERROR(__xludf.DUMMYFUNCTION("""COMPUTED_VALUE"""),"Lainnya")</f>
        <v>Lainnya</v>
      </c>
      <c r="F209" s="25" t="str">
        <f>IFERROR(__xludf.DUMMYFUNCTION("""COMPUTED_VALUE"""),"Gagal")</f>
        <v>Gagal</v>
      </c>
      <c r="G209" s="15" t="str">
        <f>IFERROR(__xludf.DUMMYFUNCTION("""COMPUTED_VALUE"""),"ot 3h2m")</f>
        <v>ot 3h2m</v>
      </c>
      <c r="H209" s="26"/>
      <c r="I209" s="27">
        <f>IFERROR(__xludf.DUMMYFUNCTION("""COMPUTED_VALUE"""),1.0)</f>
        <v>1</v>
      </c>
      <c r="J209" s="33"/>
      <c r="K209" s="36" t="str">
        <f>IFERROR(__xludf.DUMMYFUNCTION("""COMPUTED_VALUE"""),"fullbooked")</f>
        <v>fullbooked</v>
      </c>
      <c r="L209" s="36"/>
      <c r="M209" s="20"/>
      <c r="N209" s="20"/>
      <c r="O209" s="20"/>
      <c r="P209" s="20"/>
    </row>
    <row r="210">
      <c r="A210" s="97">
        <f>IFERROR(__xludf.DUMMYFUNCTION("""COMPUTED_VALUE"""),46158.0)</f>
        <v>46158</v>
      </c>
      <c r="B210" s="97" t="str">
        <f>IFERROR(__xludf.DUMMYFUNCTION("""COMPUTED_VALUE"""),"2605H028")</f>
        <v>2605H028</v>
      </c>
      <c r="C210" s="76" t="str">
        <f>IFERROR(__xludf.DUMMYFUNCTION("""COMPUTED_VALUE"""),"Aprillia")</f>
        <v>Aprillia</v>
      </c>
      <c r="D210" s="99" t="str">
        <f>IFERROR(__xludf.DUMMYFUNCTION("""COMPUTED_VALUE"""),"081230039048")</f>
        <v>081230039048</v>
      </c>
      <c r="E210" s="25" t="str">
        <f>IFERROR(__xludf.DUMMYFUNCTION("""COMPUTED_VALUE"""),"Lainnya")</f>
        <v>Lainnya</v>
      </c>
      <c r="F210" s="25" t="str">
        <f>IFERROR(__xludf.DUMMYFUNCTION("""COMPUTED_VALUE"""),"Gagal")</f>
        <v>Gagal</v>
      </c>
      <c r="G210" s="15" t="str">
        <f>IFERROR(__xludf.DUMMYFUNCTION("""COMPUTED_VALUE"""),"2H1M opsi C")</f>
        <v>2H1M opsi C</v>
      </c>
      <c r="H210" s="92"/>
      <c r="I210" s="80">
        <f>IFERROR(__xludf.DUMMYFUNCTION("""COMPUTED_VALUE"""),5.0)</f>
        <v>5</v>
      </c>
      <c r="J210" s="93">
        <f>IFERROR(__xludf.DUMMYFUNCTION("""COMPUTED_VALUE"""),5420000.0)</f>
        <v>5420000</v>
      </c>
      <c r="K210" s="19" t="str">
        <f>IFERROR(__xludf.DUMMYFUNCTION("""COMPUTED_VALUE"""),"tidak ada balasan lanjutan")</f>
        <v>tidak ada balasan lanjutan</v>
      </c>
      <c r="L210" s="19"/>
      <c r="M210" s="20"/>
      <c r="N210" s="20"/>
      <c r="O210" s="20"/>
      <c r="P210" s="20"/>
    </row>
    <row r="211">
      <c r="A211" s="110">
        <f>IFERROR(__xludf.DUMMYFUNCTION("""COMPUTED_VALUE"""),46159.0)</f>
        <v>46159</v>
      </c>
      <c r="B211" s="110" t="str">
        <f>IFERROR(__xludf.DUMMYFUNCTION("""COMPUTED_VALUE"""),"2605H029")</f>
        <v>2605H029</v>
      </c>
      <c r="C211" s="49" t="str">
        <f>IFERROR(__xludf.DUMMYFUNCTION("""COMPUTED_VALUE"""),"Alphanto Juratno (Anto)")</f>
        <v>Alphanto Juratno (Anto)</v>
      </c>
      <c r="D211" s="102" t="str">
        <f>IFERROR(__xludf.DUMMYFUNCTION("""COMPUTED_VALUE"""),"081285905445")</f>
        <v>081285905445</v>
      </c>
      <c r="E211" s="25" t="str">
        <f>IFERROR(__xludf.DUMMYFUNCTION("""COMPUTED_VALUE"""),"Lainnya")</f>
        <v>Lainnya</v>
      </c>
      <c r="F211" s="25" t="str">
        <f>IFERROR(__xludf.DUMMYFUNCTION("""COMPUTED_VALUE"""),"Gagal")</f>
        <v>Gagal</v>
      </c>
      <c r="G211" s="25"/>
      <c r="H211" s="78"/>
      <c r="I211" s="89"/>
      <c r="J211" s="96"/>
      <c r="K211" s="36" t="str">
        <f>IFERROR(__xludf.DUMMYFUNCTION("""COMPUTED_VALUE"""),"gada jawaban")</f>
        <v>gada jawaban</v>
      </c>
      <c r="L211" s="49"/>
      <c r="M211" s="20"/>
      <c r="N211" s="20"/>
      <c r="O211" s="20"/>
      <c r="P211" s="20"/>
    </row>
    <row r="212">
      <c r="A212" s="97">
        <f>IFERROR(__xludf.DUMMYFUNCTION("""COMPUTED_VALUE"""),46159.0)</f>
        <v>46159</v>
      </c>
      <c r="B212" s="97" t="str">
        <f>IFERROR(__xludf.DUMMYFUNCTION("""COMPUTED_VALUE"""),"2605H030")</f>
        <v>2605H030</v>
      </c>
      <c r="C212" s="76" t="str">
        <f>IFERROR(__xludf.DUMMYFUNCTION("""COMPUTED_VALUE"""),"Mega")</f>
        <v>Mega</v>
      </c>
      <c r="D212" s="99" t="str">
        <f>IFERROR(__xludf.DUMMYFUNCTION("""COMPUTED_VALUE"""),"087899928570")</f>
        <v>087899928570</v>
      </c>
      <c r="E212" s="25" t="str">
        <f>IFERROR(__xludf.DUMMYFUNCTION("""COMPUTED_VALUE"""),"Lainnya")</f>
        <v>Lainnya</v>
      </c>
      <c r="F212" s="25" t="str">
        <f>IFERROR(__xludf.DUMMYFUNCTION("""COMPUTED_VALUE"""),"Gagal")</f>
        <v>Gagal</v>
      </c>
      <c r="G212" s="15" t="str">
        <f>IFERROR(__xludf.DUMMYFUNCTION("""COMPUTED_VALUE"""),"2h1m z")</f>
        <v>2h1m z</v>
      </c>
      <c r="H212" s="92"/>
      <c r="I212" s="80">
        <f>IFERROR(__xludf.DUMMYFUNCTION("""COMPUTED_VALUE"""),4.0)</f>
        <v>4</v>
      </c>
      <c r="J212" s="93">
        <f>IFERROR(__xludf.DUMMYFUNCTION("""COMPUTED_VALUE"""),3556000.0)</f>
        <v>3556000</v>
      </c>
      <c r="K212" s="19" t="str">
        <f>IFERROR(__xludf.DUMMYFUNCTION("""COMPUTED_VALUE"""),"tidak ada kelanjutan")</f>
        <v>tidak ada kelanjutan</v>
      </c>
      <c r="L212" s="76"/>
      <c r="M212" s="20"/>
      <c r="N212" s="20"/>
      <c r="O212" s="20"/>
      <c r="P212" s="20"/>
    </row>
    <row r="213">
      <c r="A213" s="110">
        <f>IFERROR(__xludf.DUMMYFUNCTION("""COMPUTED_VALUE"""),46159.0)</f>
        <v>46159</v>
      </c>
      <c r="B213" s="110" t="str">
        <f>IFERROR(__xludf.DUMMYFUNCTION("""COMPUTED_VALUE"""),"2605H031")</f>
        <v>2605H031</v>
      </c>
      <c r="C213" s="49" t="str">
        <f>IFERROR(__xludf.DUMMYFUNCTION("""COMPUTED_VALUE"""),"(Nia) Khaerunia Amalah Ga Pluit")</f>
        <v>(Nia) Khaerunia Amalah Ga Pluit</v>
      </c>
      <c r="D213" s="102" t="str">
        <f>IFERROR(__xludf.DUMMYFUNCTION("""COMPUTED_VALUE"""),"091586296189")</f>
        <v>091586296189</v>
      </c>
      <c r="E213" s="25" t="str">
        <f>IFERROR(__xludf.DUMMYFUNCTION("""COMPUTED_VALUE"""),"Lainnya")</f>
        <v>Lainnya</v>
      </c>
      <c r="F213" s="25" t="str">
        <f>IFERROR(__xludf.DUMMYFUNCTION("""COMPUTED_VALUE"""),"Gagal")</f>
        <v>Gagal</v>
      </c>
      <c r="G213" s="15"/>
      <c r="H213" s="26"/>
      <c r="I213" s="89">
        <f>IFERROR(__xludf.DUMMYFUNCTION("""COMPUTED_VALUE"""),3.0)</f>
        <v>3</v>
      </c>
      <c r="J213" s="33"/>
      <c r="K213" s="36" t="str">
        <f>IFERROR(__xludf.DUMMYFUNCTION("""COMPUTED_VALUE"""),"gada jawaban")</f>
        <v>gada jawaban</v>
      </c>
      <c r="L213" s="49"/>
      <c r="M213" s="20"/>
      <c r="N213" s="20"/>
      <c r="O213" s="20"/>
      <c r="P213" s="20"/>
    </row>
    <row r="214">
      <c r="A214" s="97">
        <f>IFERROR(__xludf.DUMMYFUNCTION("""COMPUTED_VALUE"""),46160.0)</f>
        <v>46160</v>
      </c>
      <c r="B214" s="97" t="str">
        <f>IFERROR(__xludf.DUMMYFUNCTION("""COMPUTED_VALUE"""),"2605H032")</f>
        <v>2605H032</v>
      </c>
      <c r="C214" s="76" t="str">
        <f>IFERROR(__xludf.DUMMYFUNCTION("""COMPUTED_VALUE"""),"Asna Ruhmiyati")</f>
        <v>Asna Ruhmiyati</v>
      </c>
      <c r="D214" s="99" t="str">
        <f>IFERROR(__xludf.DUMMYFUNCTION("""COMPUTED_VALUE"""),"081290257006")</f>
        <v>081290257006</v>
      </c>
      <c r="E214" s="25" t="str">
        <f>IFERROR(__xludf.DUMMYFUNCTION("""COMPUTED_VALUE"""),"Lainnya")</f>
        <v>Lainnya</v>
      </c>
      <c r="F214" s="25" t="str">
        <f>IFERROR(__xludf.DUMMYFUNCTION("""COMPUTED_VALUE"""),"Leads Baru")</f>
        <v>Leads Baru</v>
      </c>
      <c r="G214" s="15" t="str">
        <f>IFERROR(__xludf.DUMMYFUNCTION("""COMPUTED_VALUE"""),"open trip")</f>
        <v>open trip</v>
      </c>
      <c r="H214" s="16"/>
      <c r="I214" s="17"/>
      <c r="J214" s="93"/>
      <c r="K214" s="19" t="str">
        <f>IFERROR(__xludf.DUMMYFUNCTION("""COMPUTED_VALUE"""),"fu 2 juli")</f>
        <v>fu 2 juli</v>
      </c>
      <c r="L214" s="76"/>
      <c r="M214" s="20"/>
      <c r="N214" s="20"/>
      <c r="O214" s="20"/>
      <c r="P214" s="20"/>
    </row>
    <row r="215">
      <c r="A215" s="110">
        <f>IFERROR(__xludf.DUMMYFUNCTION("""COMPUTED_VALUE"""),46161.0)</f>
        <v>46161</v>
      </c>
      <c r="B215" s="110" t="str">
        <f>IFERROR(__xludf.DUMMYFUNCTION("""COMPUTED_VALUE"""),"2605H033")</f>
        <v>2605H033</v>
      </c>
      <c r="C215" s="49" t="str">
        <f>IFERROR(__xludf.DUMMYFUNCTION("""COMPUTED_VALUE"""),"Ari Artikarini")</f>
        <v>Ari Artikarini</v>
      </c>
      <c r="D215" s="102" t="str">
        <f>IFERROR(__xludf.DUMMYFUNCTION("""COMPUTED_VALUE"""),"08522900777229")</f>
        <v>08522900777229</v>
      </c>
      <c r="E215" s="25" t="str">
        <f>IFERROR(__xludf.DUMMYFUNCTION("""COMPUTED_VALUE"""),"Lainnya")</f>
        <v>Lainnya</v>
      </c>
      <c r="F215" s="25" t="str">
        <f>IFERROR(__xludf.DUMMYFUNCTION("""COMPUTED_VALUE"""),"Gagal")</f>
        <v>Gagal</v>
      </c>
      <c r="G215" s="15" t="str">
        <f>IFERROR(__xludf.DUMMYFUNCTION("""COMPUTED_VALUE"""),"1d bwi")</f>
        <v>1d bwi</v>
      </c>
      <c r="H215" s="78"/>
      <c r="I215" s="89"/>
      <c r="J215" s="96"/>
      <c r="K215" s="36" t="str">
        <f>IFERROR(__xludf.DUMMYFUNCTION("""COMPUTED_VALUE"""),"diread sj, takda jawaban")</f>
        <v>diread sj, takda jawaban</v>
      </c>
      <c r="L215" s="49"/>
      <c r="M215" s="20"/>
      <c r="N215" s="20"/>
      <c r="O215" s="20"/>
      <c r="P215" s="20"/>
    </row>
    <row r="216">
      <c r="A216" s="97">
        <f>IFERROR(__xludf.DUMMYFUNCTION("""COMPUTED_VALUE"""),46161.0)</f>
        <v>46161</v>
      </c>
      <c r="B216" s="97" t="str">
        <f>IFERROR(__xludf.DUMMYFUNCTION("""COMPUTED_VALUE"""),"2605H034")</f>
        <v>2605H034</v>
      </c>
      <c r="C216" s="76" t="str">
        <f>IFERROR(__xludf.DUMMYFUNCTION("""COMPUTED_VALUE"""),"Ambarwati")</f>
        <v>Ambarwati</v>
      </c>
      <c r="D216" s="99" t="str">
        <f>IFERROR(__xludf.DUMMYFUNCTION("""COMPUTED_VALUE"""),"085777449526")</f>
        <v>085777449526</v>
      </c>
      <c r="E216" s="25" t="str">
        <f>IFERROR(__xludf.DUMMYFUNCTION("""COMPUTED_VALUE"""),"Instagram")</f>
        <v>Instagram</v>
      </c>
      <c r="F216" s="25" t="str">
        <f>IFERROR(__xludf.DUMMYFUNCTION("""COMPUTED_VALUE"""),"Closing")</f>
        <v>Closing</v>
      </c>
      <c r="G216" s="15" t="str">
        <f>IFERROR(__xludf.DUMMYFUNCTION("""COMPUTED_VALUE"""),"djabal")</f>
        <v>djabal</v>
      </c>
      <c r="H216" s="92">
        <f>IFERROR(__xludf.DUMMYFUNCTION("""COMPUTED_VALUE"""),46168.0)</f>
        <v>46168</v>
      </c>
      <c r="I216" s="80">
        <f>IFERROR(__xludf.DUMMYFUNCTION("""COMPUTED_VALUE"""),4.0)</f>
        <v>4</v>
      </c>
      <c r="J216" s="93">
        <f>IFERROR(__xludf.DUMMYFUNCTION("""COMPUTED_VALUE"""),1320000.0)</f>
        <v>1320000</v>
      </c>
      <c r="K216" s="19" t="str">
        <f>IFERROR(__xludf.DUMMYFUNCTION("""COMPUTED_VALUE"""),"allhamdulillah order")</f>
        <v>allhamdulillah order</v>
      </c>
      <c r="L216" s="76"/>
      <c r="M216" s="20"/>
      <c r="N216" s="20"/>
      <c r="O216" s="20"/>
      <c r="P216" s="20"/>
    </row>
    <row r="217">
      <c r="A217" s="110">
        <f>IFERROR(__xludf.DUMMYFUNCTION("""COMPUTED_VALUE"""),46161.0)</f>
        <v>46161</v>
      </c>
      <c r="B217" s="110" t="str">
        <f>IFERROR(__xludf.DUMMYFUNCTION("""COMPUTED_VALUE"""),"2605H035")</f>
        <v>2605H035</v>
      </c>
      <c r="C217" s="49" t="str">
        <f>IFERROR(__xludf.DUMMYFUNCTION("""COMPUTED_VALUE"""),"Herni Apriyani")</f>
        <v>Herni Apriyani</v>
      </c>
      <c r="D217" s="102" t="str">
        <f>IFERROR(__xludf.DUMMYFUNCTION("""COMPUTED_VALUE"""),"081287672642")</f>
        <v>081287672642</v>
      </c>
      <c r="E217" s="25" t="str">
        <f>IFERROR(__xludf.DUMMYFUNCTION("""COMPUTED_VALUE"""),"Lainnya")</f>
        <v>Lainnya</v>
      </c>
      <c r="F217" s="25" t="str">
        <f>IFERROR(__xludf.DUMMYFUNCTION("""COMPUTED_VALUE"""),"Closing")</f>
        <v>Closing</v>
      </c>
      <c r="G217" s="25" t="str">
        <f>IFERROR(__xludf.DUMMYFUNCTION("""COMPUTED_VALUE"""),"2d1n opsi a")</f>
        <v>2d1n opsi a</v>
      </c>
      <c r="H217" s="78"/>
      <c r="I217" s="89">
        <f>IFERROR(__xludf.DUMMYFUNCTION("""COMPUTED_VALUE"""),4.0)</f>
        <v>4</v>
      </c>
      <c r="J217" s="96">
        <f>IFERROR(__xludf.DUMMYFUNCTION("""COMPUTED_VALUE"""),2196000.0)</f>
        <v>2196000</v>
      </c>
      <c r="K217" s="36" t="str">
        <f>IFERROR(__xludf.DUMMYFUNCTION("""COMPUTED_VALUE"""),"alhamdulilah order")</f>
        <v>alhamdulilah order</v>
      </c>
      <c r="L217" s="49"/>
      <c r="M217" s="20"/>
      <c r="N217" s="20"/>
      <c r="O217" s="20"/>
      <c r="P217" s="20"/>
    </row>
    <row r="218">
      <c r="A218" s="97">
        <f>IFERROR(__xludf.DUMMYFUNCTION("""COMPUTED_VALUE"""),46162.0)</f>
        <v>46162</v>
      </c>
      <c r="B218" s="97" t="str">
        <f>IFERROR(__xludf.DUMMYFUNCTION("""COMPUTED_VALUE"""),"2605H036")</f>
        <v>2605H036</v>
      </c>
      <c r="C218" s="76" t="str">
        <f>IFERROR(__xludf.DUMMYFUNCTION("""COMPUTED_VALUE"""),"Arifuddin Alie")</f>
        <v>Arifuddin Alie</v>
      </c>
      <c r="D218" s="99" t="str">
        <f>IFERROR(__xludf.DUMMYFUNCTION("""COMPUTED_VALUE"""),"08179019300")</f>
        <v>08179019300</v>
      </c>
      <c r="E218" s="25" t="str">
        <f>IFERROR(__xludf.DUMMYFUNCTION("""COMPUTED_VALUE"""),"Lainnya")</f>
        <v>Lainnya</v>
      </c>
      <c r="F218" s="25" t="str">
        <f>IFERROR(__xludf.DUMMYFUNCTION("""COMPUTED_VALUE"""),"Leads Baru")</f>
        <v>Leads Baru</v>
      </c>
      <c r="G218" s="15" t="str">
        <f>IFERROR(__xludf.DUMMYFUNCTION("""COMPUTED_VALUE"""),"3h2m")</f>
        <v>3h2m</v>
      </c>
      <c r="H218" s="16"/>
      <c r="I218" s="17">
        <f>IFERROR(__xludf.DUMMYFUNCTION("""COMPUTED_VALUE"""),15.0)</f>
        <v>15</v>
      </c>
      <c r="J218" s="54"/>
      <c r="K218" s="46" t="str">
        <f>IFERROR(__xludf.DUMMYFUNCTION("""COMPUTED_VALUE"""),"buat penawaran dulu. fu 10 september")</f>
        <v>buat penawaran dulu. fu 10 september</v>
      </c>
      <c r="L218" s="76"/>
      <c r="M218" s="20"/>
      <c r="N218" s="20"/>
      <c r="O218" s="20"/>
      <c r="P218" s="20"/>
    </row>
    <row r="219">
      <c r="A219" s="110">
        <f>IFERROR(__xludf.DUMMYFUNCTION("""COMPUTED_VALUE"""),46163.0)</f>
        <v>46163</v>
      </c>
      <c r="B219" s="110" t="str">
        <f>IFERROR(__xludf.DUMMYFUNCTION("""COMPUTED_VALUE"""),"2605H037")</f>
        <v>2605H037</v>
      </c>
      <c r="C219" s="49" t="str">
        <f>IFERROR(__xludf.DUMMYFUNCTION("""COMPUTED_VALUE"""),"Yani YN Snack")</f>
        <v>Yani YN Snack</v>
      </c>
      <c r="D219" s="102" t="str">
        <f>IFERROR(__xludf.DUMMYFUNCTION("""COMPUTED_VALUE"""),"081291902737")</f>
        <v>081291902737</v>
      </c>
      <c r="E219" s="25" t="str">
        <f>IFERROR(__xludf.DUMMYFUNCTION("""COMPUTED_VALUE"""),"Lainnya")</f>
        <v>Lainnya</v>
      </c>
      <c r="F219" s="25" t="str">
        <f>IFERROR(__xludf.DUMMYFUNCTION("""COMPUTED_VALUE"""),"Leads Baru")</f>
        <v>Leads Baru</v>
      </c>
      <c r="G219" s="15"/>
      <c r="H219" s="78">
        <f>IFERROR(__xludf.DUMMYFUNCTION("""COMPUTED_VALUE"""),2027.0)</f>
        <v>2027</v>
      </c>
      <c r="I219" s="89"/>
      <c r="J219" s="96"/>
      <c r="K219" s="36" t="str">
        <f>IFERROR(__xludf.DUMMYFUNCTION("""COMPUTED_VALUE"""),"fu 25 desember ")</f>
        <v>fu 25 desember </v>
      </c>
      <c r="L219" s="49"/>
      <c r="M219" s="20"/>
      <c r="N219" s="20"/>
      <c r="O219" s="20"/>
      <c r="P219" s="20"/>
    </row>
    <row r="220">
      <c r="A220" s="97">
        <f>IFERROR(__xludf.DUMMYFUNCTION("""COMPUTED_VALUE"""),46161.0)</f>
        <v>46161</v>
      </c>
      <c r="B220" s="97" t="str">
        <f>IFERROR(__xludf.DUMMYFUNCTION("""COMPUTED_VALUE"""),"2605H038")</f>
        <v>2605H038</v>
      </c>
      <c r="C220" s="76" t="str">
        <f>IFERROR(__xludf.DUMMYFUNCTION("""COMPUTED_VALUE"""),"Bastian")</f>
        <v>Bastian</v>
      </c>
      <c r="D220" s="99" t="str">
        <f>IFERROR(__xludf.DUMMYFUNCTION("""COMPUTED_VALUE"""),"0818576760")</f>
        <v>0818576760</v>
      </c>
      <c r="E220" s="25" t="str">
        <f>IFERROR(__xludf.DUMMYFUNCTION("""COMPUTED_VALUE"""),"Lainnya")</f>
        <v>Lainnya</v>
      </c>
      <c r="F220" s="25" t="str">
        <f>IFERROR(__xludf.DUMMYFUNCTION("""COMPUTED_VALUE"""),"Gagal")</f>
        <v>Gagal</v>
      </c>
      <c r="G220" s="15" t="str">
        <f>IFERROR(__xludf.DUMMYFUNCTION("""COMPUTED_VALUE"""),"ot baluran")</f>
        <v>ot baluran</v>
      </c>
      <c r="H220" s="92">
        <f>IFERROR(__xludf.DUMMYFUNCTION("""COMPUTED_VALUE"""),46161.0)</f>
        <v>46161</v>
      </c>
      <c r="I220" s="17">
        <f>IFERROR(__xludf.DUMMYFUNCTION("""COMPUTED_VALUE"""),1.0)</f>
        <v>1</v>
      </c>
      <c r="J220" s="93"/>
      <c r="K220" s="19" t="str">
        <f>IFERROR(__xludf.DUMMYFUNCTION("""COMPUTED_VALUE"""),"waktunya mepet dan masih kejar kerjaan")</f>
        <v>waktunya mepet dan masih kejar kerjaan</v>
      </c>
      <c r="L220" s="76"/>
      <c r="M220" s="20"/>
      <c r="N220" s="20"/>
      <c r="O220" s="20"/>
      <c r="P220" s="20"/>
    </row>
    <row r="221">
      <c r="A221" s="110">
        <f>IFERROR(__xludf.DUMMYFUNCTION("""COMPUTED_VALUE"""),46163.0)</f>
        <v>46163</v>
      </c>
      <c r="B221" s="110" t="str">
        <f>IFERROR(__xludf.DUMMYFUNCTION("""COMPUTED_VALUE"""),"2605H039")</f>
        <v>2605H039</v>
      </c>
      <c r="C221" s="49" t="str">
        <f>IFERROR(__xludf.DUMMYFUNCTION("""COMPUTED_VALUE"""),"Soegi")</f>
        <v>Soegi</v>
      </c>
      <c r="D221" s="102" t="str">
        <f>IFERROR(__xludf.DUMMYFUNCTION("""COMPUTED_VALUE"""),"087878849659")</f>
        <v>087878849659</v>
      </c>
      <c r="E221" s="25" t="str">
        <f>IFERROR(__xludf.DUMMYFUNCTION("""COMPUTED_VALUE"""),"Website")</f>
        <v>Website</v>
      </c>
      <c r="F221" s="25" t="str">
        <f>IFERROR(__xludf.DUMMYFUNCTION("""COMPUTED_VALUE"""),"Gagal")</f>
        <v>Gagal</v>
      </c>
      <c r="G221" s="25"/>
      <c r="H221" s="26"/>
      <c r="I221" s="89"/>
      <c r="J221" s="33"/>
      <c r="K221" s="36" t="str">
        <f>IFERROR(__xludf.DUMMYFUNCTION("""COMPUTED_VALUE"""),"gada jawaban")</f>
        <v>gada jawaban</v>
      </c>
      <c r="L221" s="49"/>
      <c r="M221" s="20"/>
      <c r="N221" s="20"/>
      <c r="O221" s="20"/>
      <c r="P221" s="20"/>
    </row>
    <row r="222">
      <c r="A222" s="97">
        <f>IFERROR(__xludf.DUMMYFUNCTION("""COMPUTED_VALUE"""),46164.0)</f>
        <v>46164</v>
      </c>
      <c r="B222" s="97" t="str">
        <f>IFERROR(__xludf.DUMMYFUNCTION("""COMPUTED_VALUE"""),"2605H040")</f>
        <v>2605H040</v>
      </c>
      <c r="C222" s="76" t="str">
        <f>IFERROR(__xludf.DUMMYFUNCTION("""COMPUTED_VALUE"""),"Titi Murni")</f>
        <v>Titi Murni</v>
      </c>
      <c r="D222" s="99" t="str">
        <f>IFERROR(__xludf.DUMMYFUNCTION("""COMPUTED_VALUE"""),"081218470810")</f>
        <v>081218470810</v>
      </c>
      <c r="E222" s="25" t="str">
        <f>IFERROR(__xludf.DUMMYFUNCTION("""COMPUTED_VALUE"""),"Lainnya")</f>
        <v>Lainnya</v>
      </c>
      <c r="F222" s="25" t="str">
        <f>IFERROR(__xludf.DUMMYFUNCTION("""COMPUTED_VALUE"""),"Leads Baru")</f>
        <v>Leads Baru</v>
      </c>
      <c r="G222" s="25"/>
      <c r="H222" s="16"/>
      <c r="I222" s="89"/>
      <c r="J222" s="93"/>
      <c r="K222" s="19" t="str">
        <f>IFERROR(__xludf.DUMMYFUNCTION("""COMPUTED_VALUE"""),"masih tanya tanya, fu19 juni")</f>
        <v>masih tanya tanya, fu19 juni</v>
      </c>
      <c r="L222" s="76"/>
      <c r="M222" s="20"/>
      <c r="N222" s="20"/>
      <c r="O222" s="20"/>
      <c r="P222" s="20"/>
    </row>
    <row r="223">
      <c r="A223" s="110">
        <f>IFERROR(__xludf.DUMMYFUNCTION("""COMPUTED_VALUE"""),46164.0)</f>
        <v>46164</v>
      </c>
      <c r="B223" s="110" t="str">
        <f>IFERROR(__xludf.DUMMYFUNCTION("""COMPUTED_VALUE"""),"2605H041")</f>
        <v>2605H041</v>
      </c>
      <c r="C223" s="49" t="str">
        <f>IFERROR(__xludf.DUMMYFUNCTION("""COMPUTED_VALUE"""),"Indriana")</f>
        <v>Indriana</v>
      </c>
      <c r="D223" s="102" t="str">
        <f>IFERROR(__xludf.DUMMYFUNCTION("""COMPUTED_VALUE"""),"087875147180")</f>
        <v>087875147180</v>
      </c>
      <c r="E223" s="25" t="str">
        <f>IFERROR(__xludf.DUMMYFUNCTION("""COMPUTED_VALUE"""),"Lainnya")</f>
        <v>Lainnya</v>
      </c>
      <c r="F223" s="25" t="str">
        <f>IFERROR(__xludf.DUMMYFUNCTION("""COMPUTED_VALUE"""),"Qualified")</f>
        <v>Qualified</v>
      </c>
      <c r="G223" s="15" t="str">
        <f>IFERROR(__xludf.DUMMYFUNCTION("""COMPUTED_VALUE"""),"baluran")</f>
        <v>baluran</v>
      </c>
      <c r="H223" s="26">
        <f>IFERROR(__xludf.DUMMYFUNCTION("""COMPUTED_VALUE"""),46204.0)</f>
        <v>46204</v>
      </c>
      <c r="I223" s="27">
        <f>IFERROR(__xludf.DUMMYFUNCTION("""COMPUTED_VALUE"""),2.0)</f>
        <v>2</v>
      </c>
      <c r="J223" s="33">
        <f>IFERROR(__xludf.DUMMYFUNCTION("""COMPUTED_VALUE"""),1550000.0)</f>
        <v>1550000</v>
      </c>
      <c r="K223" s="36" t="str">
        <f>IFERROR(__xludf.DUMMYFUNCTION("""COMPUTED_VALUE"""),"fu 20 juni")</f>
        <v>fu 20 juni</v>
      </c>
      <c r="L223" s="49"/>
      <c r="M223" s="20"/>
      <c r="N223" s="20"/>
      <c r="O223" s="20"/>
      <c r="P223" s="20"/>
    </row>
    <row r="224">
      <c r="A224" s="97">
        <f>IFERROR(__xludf.DUMMYFUNCTION("""COMPUTED_VALUE"""),46164.0)</f>
        <v>46164</v>
      </c>
      <c r="B224" s="97" t="str">
        <f>IFERROR(__xludf.DUMMYFUNCTION("""COMPUTED_VALUE"""),"2605H042")</f>
        <v>2605H042</v>
      </c>
      <c r="C224" s="76" t="str">
        <f>IFERROR(__xludf.DUMMYFUNCTION("""COMPUTED_VALUE"""),"Cindy Amelia")</f>
        <v>Cindy Amelia</v>
      </c>
      <c r="D224" s="99" t="str">
        <f>IFERROR(__xludf.DUMMYFUNCTION("""COMPUTED_VALUE"""),"082143742389")</f>
        <v>082143742389</v>
      </c>
      <c r="E224" s="25" t="str">
        <f>IFERROR(__xludf.DUMMYFUNCTION("""COMPUTED_VALUE"""),"Instagram")</f>
        <v>Instagram</v>
      </c>
      <c r="F224" s="25" t="str">
        <f>IFERROR(__xludf.DUMMYFUNCTION("""COMPUTED_VALUE"""),"Gagal")</f>
        <v>Gagal</v>
      </c>
      <c r="G224" s="25" t="str">
        <f>IFERROR(__xludf.DUMMYFUNCTION("""COMPUTED_VALUE"""),"djawatan baluran")</f>
        <v>djawatan baluran</v>
      </c>
      <c r="H224" s="16">
        <f>IFERROR(__xludf.DUMMYFUNCTION("""COMPUTED_VALUE"""),46170.0)</f>
        <v>46170</v>
      </c>
      <c r="I224" s="17">
        <f>IFERROR(__xludf.DUMMYFUNCTION("""COMPUTED_VALUE"""),7.0)</f>
        <v>7</v>
      </c>
      <c r="J224" s="54">
        <f>IFERROR(__xludf.DUMMYFUNCTION("""COMPUTED_VALUE"""),2352000.0)</f>
        <v>2352000</v>
      </c>
      <c r="K224" s="19" t="str">
        <f>IFERROR(__xludf.DUMMYFUNCTION("""COMPUTED_VALUE"""),"lewat tanggal")</f>
        <v>lewat tanggal</v>
      </c>
      <c r="L224" s="76"/>
      <c r="M224" s="20"/>
      <c r="N224" s="20"/>
      <c r="O224" s="20"/>
      <c r="P224" s="20"/>
    </row>
    <row r="225">
      <c r="A225" s="110">
        <f>IFERROR(__xludf.DUMMYFUNCTION("""COMPUTED_VALUE"""),46166.0)</f>
        <v>46166</v>
      </c>
      <c r="B225" s="110" t="str">
        <f>IFERROR(__xludf.DUMMYFUNCTION("""COMPUTED_VALUE"""),"2605H043")</f>
        <v>2605H043</v>
      </c>
      <c r="C225" s="49" t="str">
        <f>IFERROR(__xludf.DUMMYFUNCTION("""COMPUTED_VALUE"""),"Dita Anggraini N.M")</f>
        <v>Dita Anggraini N.M</v>
      </c>
      <c r="D225" s="102" t="str">
        <f>IFERROR(__xludf.DUMMYFUNCTION("""COMPUTED_VALUE"""),"082334253693")</f>
        <v>082334253693</v>
      </c>
      <c r="E225" s="25" t="str">
        <f>IFERROR(__xludf.DUMMYFUNCTION("""COMPUTED_VALUE"""),"Lainnya")</f>
        <v>Lainnya</v>
      </c>
      <c r="F225" s="25" t="str">
        <f>IFERROR(__xludf.DUMMYFUNCTION("""COMPUTED_VALUE"""),"Gagal")</f>
        <v>Gagal</v>
      </c>
      <c r="G225" s="25" t="str">
        <f>IFERROR(__xludf.DUMMYFUNCTION("""COMPUTED_VALUE"""),"dokumentasi kano tabuhan")</f>
        <v>dokumentasi kano tabuhan</v>
      </c>
      <c r="H225" s="26"/>
      <c r="I225" s="27"/>
      <c r="J225" s="33">
        <f>IFERROR(__xludf.DUMMYFUNCTION("""COMPUTED_VALUE"""),2500000.0)</f>
        <v>2500000</v>
      </c>
      <c r="K225" s="36" t="str">
        <f>IFERROR(__xludf.DUMMYFUNCTION("""COMPUTED_VALUE"""),"gada jawaban")</f>
        <v>gada jawaban</v>
      </c>
      <c r="L225" s="49"/>
      <c r="M225" s="20"/>
      <c r="N225" s="20"/>
      <c r="O225" s="20"/>
      <c r="P225" s="20"/>
    </row>
    <row r="226">
      <c r="A226" s="97">
        <f>IFERROR(__xludf.DUMMYFUNCTION("""COMPUTED_VALUE"""),46167.0)</f>
        <v>46167</v>
      </c>
      <c r="B226" s="97" t="str">
        <f>IFERROR(__xludf.DUMMYFUNCTION("""COMPUTED_VALUE"""),"2605H044")</f>
        <v>2605H044</v>
      </c>
      <c r="C226" s="76" t="str">
        <f>IFERROR(__xludf.DUMMYFUNCTION("""COMPUTED_VALUE"""),"Edwuar")</f>
        <v>Edwuar</v>
      </c>
      <c r="D226" s="99" t="str">
        <f>IFERROR(__xludf.DUMMYFUNCTION("""COMPUTED_VALUE"""),"081288178168")</f>
        <v>081288178168</v>
      </c>
      <c r="E226" s="25" t="str">
        <f>IFERROR(__xludf.DUMMYFUNCTION("""COMPUTED_VALUE"""),"Lainnya")</f>
        <v>Lainnya</v>
      </c>
      <c r="F226" s="25" t="str">
        <f>IFERROR(__xludf.DUMMYFUNCTION("""COMPUTED_VALUE"""),"Gagal")</f>
        <v>Gagal</v>
      </c>
      <c r="G226" s="15" t="str">
        <f>IFERROR(__xludf.DUMMYFUNCTION("""COMPUTED_VALUE"""),"2h1m")</f>
        <v>2h1m</v>
      </c>
      <c r="H226" s="92">
        <f>IFERROR(__xludf.DUMMYFUNCTION("""COMPUTED_VALUE"""),46170.0)</f>
        <v>46170</v>
      </c>
      <c r="I226" s="17">
        <f>IFERROR(__xludf.DUMMYFUNCTION("""COMPUTED_VALUE"""),2.0)</f>
        <v>2</v>
      </c>
      <c r="J226" s="93">
        <f>IFERROR(__xludf.DUMMYFUNCTION("""COMPUTED_VALUE"""),2784000.0)</f>
        <v>2784000</v>
      </c>
      <c r="K226" s="19" t="str">
        <f>IFERROR(__xludf.DUMMYFUNCTION("""COMPUTED_VALUE"""),"lewat tanggal")</f>
        <v>lewat tanggal</v>
      </c>
      <c r="L226" s="76"/>
      <c r="M226" s="20"/>
      <c r="N226" s="20"/>
      <c r="O226" s="20"/>
      <c r="P226" s="20"/>
    </row>
    <row r="227">
      <c r="A227" s="110">
        <f>IFERROR(__xludf.DUMMYFUNCTION("""COMPUTED_VALUE"""),46166.0)</f>
        <v>46166</v>
      </c>
      <c r="B227" s="110" t="str">
        <f>IFERROR(__xludf.DUMMYFUNCTION("""COMPUTED_VALUE"""),"2605H045")</f>
        <v>2605H045</v>
      </c>
      <c r="C227" s="49" t="str">
        <f>IFERROR(__xludf.DUMMYFUNCTION("""COMPUTED_VALUE"""),"Elly/Mamah Fadil")</f>
        <v>Elly/Mamah Fadil</v>
      </c>
      <c r="D227" s="102" t="str">
        <f>IFERROR(__xludf.DUMMYFUNCTION("""COMPUTED_VALUE"""),"085924584545")</f>
        <v>085924584545</v>
      </c>
      <c r="E227" s="25" t="str">
        <f>IFERROR(__xludf.DUMMYFUNCTION("""COMPUTED_VALUE"""),"Lainnya")</f>
        <v>Lainnya</v>
      </c>
      <c r="F227" s="25" t="str">
        <f>IFERROR(__xludf.DUMMYFUNCTION("""COMPUTED_VALUE"""),"Qualified")</f>
        <v>Qualified</v>
      </c>
      <c r="G227" s="25" t="str">
        <f>IFERROR(__xludf.DUMMYFUNCTION("""COMPUTED_VALUE"""),"3h2m")</f>
        <v>3h2m</v>
      </c>
      <c r="H227" s="26">
        <f>IFERROR(__xludf.DUMMYFUNCTION("""COMPUTED_VALUE"""),46661.0)</f>
        <v>46661</v>
      </c>
      <c r="I227" s="27">
        <f>IFERROR(__xludf.DUMMYFUNCTION("""COMPUTED_VALUE"""),48.0)</f>
        <v>48</v>
      </c>
      <c r="J227" s="33">
        <f>IFERROR(__xludf.DUMMYFUNCTION("""COMPUTED_VALUE"""),8.88E7)</f>
        <v>88800000</v>
      </c>
      <c r="K227" s="36" t="str">
        <f>IFERROR(__xludf.DUMMYFUNCTION("""COMPUTED_VALUE"""),"fu 7 desember 2026")</f>
        <v>fu 7 desember 2026</v>
      </c>
      <c r="L227" s="49"/>
      <c r="M227" s="20"/>
      <c r="N227" s="20"/>
      <c r="O227" s="20"/>
      <c r="P227" s="20"/>
    </row>
    <row r="228">
      <c r="A228" s="97">
        <f>IFERROR(__xludf.DUMMYFUNCTION("""COMPUTED_VALUE"""),46167.0)</f>
        <v>46167</v>
      </c>
      <c r="B228" s="97" t="str">
        <f>IFERROR(__xludf.DUMMYFUNCTION("""COMPUTED_VALUE"""),"2605H046")</f>
        <v>2605H046</v>
      </c>
      <c r="C228" s="76" t="str">
        <f>IFERROR(__xludf.DUMMYFUNCTION("""COMPUTED_VALUE"""),"Iis Wasitoh")</f>
        <v>Iis Wasitoh</v>
      </c>
      <c r="D228" s="99" t="str">
        <f>IFERROR(__xludf.DUMMYFUNCTION("""COMPUTED_VALUE"""),"0811865752")</f>
        <v>0811865752</v>
      </c>
      <c r="E228" s="25" t="str">
        <f>IFERROR(__xludf.DUMMYFUNCTION("""COMPUTED_VALUE"""),"Lainnya")</f>
        <v>Lainnya</v>
      </c>
      <c r="F228" s="25" t="str">
        <f>IFERROR(__xludf.DUMMYFUNCTION("""COMPUTED_VALUE"""),"Qualified")</f>
        <v>Qualified</v>
      </c>
      <c r="G228" s="25" t="str">
        <f>IFERROR(__xludf.DUMMYFUNCTION("""COMPUTED_VALUE"""),"4h3m")</f>
        <v>4h3m</v>
      </c>
      <c r="H228" s="92"/>
      <c r="I228" s="80">
        <f>IFERROR(__xludf.DUMMYFUNCTION("""COMPUTED_VALUE"""),5.0)</f>
        <v>5</v>
      </c>
      <c r="J228" s="93">
        <f>IFERROR(__xludf.DUMMYFUNCTION("""COMPUTED_VALUE"""),1.125E7)</f>
        <v>11250000</v>
      </c>
      <c r="K228" s="19" t="str">
        <f>IFERROR(__xludf.DUMMYFUNCTION("""COMPUTED_VALUE"""),"fu 18 juni")</f>
        <v>fu 18 juni</v>
      </c>
      <c r="L228" s="76"/>
      <c r="M228" s="20"/>
      <c r="N228" s="20"/>
      <c r="O228" s="20"/>
      <c r="P228" s="20"/>
    </row>
    <row r="229">
      <c r="A229" s="110">
        <f>IFERROR(__xludf.DUMMYFUNCTION("""COMPUTED_VALUE"""),46167.0)</f>
        <v>46167</v>
      </c>
      <c r="B229" s="110" t="str">
        <f>IFERROR(__xludf.DUMMYFUNCTION("""COMPUTED_VALUE"""),"2605H047")</f>
        <v>2605H047</v>
      </c>
      <c r="C229" s="49" t="str">
        <f>IFERROR(__xludf.DUMMYFUNCTION("""COMPUTED_VALUE"""),"Tria Ayu Safitri")</f>
        <v>Tria Ayu Safitri</v>
      </c>
      <c r="D229" s="102" t="str">
        <f>IFERROR(__xludf.DUMMYFUNCTION("""COMPUTED_VALUE"""),"085234172937")</f>
        <v>085234172937</v>
      </c>
      <c r="E229" s="25" t="str">
        <f>IFERROR(__xludf.DUMMYFUNCTION("""COMPUTED_VALUE"""),"Lainnya")</f>
        <v>Lainnya</v>
      </c>
      <c r="F229" s="25" t="str">
        <f>IFERROR(__xludf.DUMMYFUNCTION("""COMPUTED_VALUE"""),"Gagal")</f>
        <v>Gagal</v>
      </c>
      <c r="G229" s="25" t="str">
        <f>IFERROR(__xludf.DUMMYFUNCTION("""COMPUTED_VALUE"""),"gerbang raung")</f>
        <v>gerbang raung</v>
      </c>
      <c r="H229" s="78">
        <f>IFERROR(__xludf.DUMMYFUNCTION("""COMPUTED_VALUE"""),46169.0)</f>
        <v>46169</v>
      </c>
      <c r="I229" s="27">
        <f>IFERROR(__xludf.DUMMYFUNCTION("""COMPUTED_VALUE"""),30.0)</f>
        <v>30</v>
      </c>
      <c r="J229" s="33"/>
      <c r="K229" s="36" t="str">
        <f>IFERROR(__xludf.DUMMYFUNCTION("""COMPUTED_VALUE"""),"waktu lewat, gada konfirmasi")</f>
        <v>waktu lewat, gada konfirmasi</v>
      </c>
      <c r="L229" s="49"/>
      <c r="M229" s="20"/>
      <c r="N229" s="20"/>
      <c r="O229" s="20"/>
      <c r="P229" s="20"/>
    </row>
    <row r="230">
      <c r="A230" s="97">
        <f>IFERROR(__xludf.DUMMYFUNCTION("""COMPUTED_VALUE"""),46168.0)</f>
        <v>46168</v>
      </c>
      <c r="B230" s="97" t="str">
        <f>IFERROR(__xludf.DUMMYFUNCTION("""COMPUTED_VALUE"""),"2605H048")</f>
        <v>2605H048</v>
      </c>
      <c r="C230" s="76" t="str">
        <f>IFERROR(__xludf.DUMMYFUNCTION("""COMPUTED_VALUE"""),"agunghw25")</f>
        <v>agunghw25</v>
      </c>
      <c r="D230" s="99" t="str">
        <f>IFERROR(__xludf.DUMMYFUNCTION("""COMPUTED_VALUE"""),"085692467719")</f>
        <v>085692467719</v>
      </c>
      <c r="E230" s="25" t="str">
        <f>IFERROR(__xludf.DUMMYFUNCTION("""COMPUTED_VALUE"""),"Website")</f>
        <v>Website</v>
      </c>
      <c r="F230" s="25" t="str">
        <f>IFERROR(__xludf.DUMMYFUNCTION("""COMPUTED_VALUE"""),"Gagal")</f>
        <v>Gagal</v>
      </c>
      <c r="G230" s="15" t="str">
        <f>IFERROR(__xludf.DUMMYFUNCTION("""COMPUTED_VALUE"""),"2h1m")</f>
        <v>2h1m</v>
      </c>
      <c r="H230" s="92"/>
      <c r="I230" s="17">
        <f>IFERROR(__xludf.DUMMYFUNCTION("""COMPUTED_VALUE"""),5.0)</f>
        <v>5</v>
      </c>
      <c r="J230" s="93">
        <f>IFERROR(__xludf.DUMMYFUNCTION("""COMPUTED_VALUE"""),5420000.0)</f>
        <v>5420000</v>
      </c>
      <c r="K230" s="19" t="str">
        <f>IFERROR(__xludf.DUMMYFUNCTION("""COMPUTED_VALUE"""),"ga jadi, fullbooked")</f>
        <v>ga jadi, fullbooked</v>
      </c>
      <c r="L230" s="76"/>
      <c r="M230" s="20"/>
      <c r="N230" s="20"/>
      <c r="O230" s="20"/>
      <c r="P230" s="20"/>
    </row>
    <row r="231">
      <c r="A231" s="110">
        <f>IFERROR(__xludf.DUMMYFUNCTION("""COMPUTED_VALUE"""),46168.0)</f>
        <v>46168</v>
      </c>
      <c r="B231" s="110" t="str">
        <f>IFERROR(__xludf.DUMMYFUNCTION("""COMPUTED_VALUE"""),"2605H049")</f>
        <v>2605H049</v>
      </c>
      <c r="C231" s="49" t="str">
        <f>IFERROR(__xludf.DUMMYFUNCTION("""COMPUTED_VALUE"""),"dedewww")</f>
        <v>dedewww</v>
      </c>
      <c r="D231" s="102" t="str">
        <f>IFERROR(__xludf.DUMMYFUNCTION("""COMPUTED_VALUE"""),"085693602638")</f>
        <v>085693602638</v>
      </c>
      <c r="E231" s="25" t="str">
        <f>IFERROR(__xludf.DUMMYFUNCTION("""COMPUTED_VALUE"""),"Lainnya")</f>
        <v>Lainnya</v>
      </c>
      <c r="F231" s="25" t="str">
        <f>IFERROR(__xludf.DUMMYFUNCTION("""COMPUTED_VALUE"""),"Gagal")</f>
        <v>Gagal</v>
      </c>
      <c r="G231" s="15"/>
      <c r="H231" s="26"/>
      <c r="I231" s="27">
        <f>IFERROR(__xludf.DUMMYFUNCTION("""COMPUTED_VALUE"""),3.0)</f>
        <v>3</v>
      </c>
      <c r="J231" s="33"/>
      <c r="K231" s="36" t="str">
        <f>IFERROR(__xludf.DUMMYFUNCTION("""COMPUTED_VALUE"""),"gada jawaban. diread saja. sdh lewat tanggal trip")</f>
        <v>gada jawaban. diread saja. sdh lewat tanggal trip</v>
      </c>
      <c r="L231" s="49"/>
      <c r="M231" s="20"/>
      <c r="N231" s="20"/>
      <c r="O231" s="20"/>
      <c r="P231" s="20"/>
    </row>
    <row r="232">
      <c r="A232" s="97">
        <f>IFERROR(__xludf.DUMMYFUNCTION("""COMPUTED_VALUE"""),46168.0)</f>
        <v>46168</v>
      </c>
      <c r="B232" s="97" t="str">
        <f>IFERROR(__xludf.DUMMYFUNCTION("""COMPUTED_VALUE"""),"2605H050")</f>
        <v>2605H050</v>
      </c>
      <c r="C232" s="76" t="str">
        <f>IFERROR(__xludf.DUMMYFUNCTION("""COMPUTED_VALUE"""),"Desi Permatasari")</f>
        <v>Desi Permatasari</v>
      </c>
      <c r="D232" s="99" t="str">
        <f>IFERROR(__xludf.DUMMYFUNCTION("""COMPUTED_VALUE"""),"081289410535")</f>
        <v>081289410535</v>
      </c>
      <c r="E232" s="25" t="str">
        <f>IFERROR(__xludf.DUMMYFUNCTION("""COMPUTED_VALUE"""),"Lainnya")</f>
        <v>Lainnya</v>
      </c>
      <c r="F232" s="25" t="str">
        <f>IFERROR(__xludf.DUMMYFUNCTION("""COMPUTED_VALUE"""),"Gagal")</f>
        <v>Gagal</v>
      </c>
      <c r="G232" s="15" t="str">
        <f>IFERROR(__xludf.DUMMYFUNCTION("""COMPUTED_VALUE"""),"2h1m")</f>
        <v>2h1m</v>
      </c>
      <c r="H232" s="16">
        <f>IFERROR(__xludf.DUMMYFUNCTION("""COMPUTED_VALUE"""),46203.0)</f>
        <v>46203</v>
      </c>
      <c r="I232" s="17">
        <f>IFERROR(__xludf.DUMMYFUNCTION("""COMPUTED_VALUE"""),2.0)</f>
        <v>2</v>
      </c>
      <c r="J232" s="54">
        <f>IFERROR(__xludf.DUMMYFUNCTION("""COMPUTED_VALUE"""),2364000.0)</f>
        <v>2364000</v>
      </c>
      <c r="K232" s="19" t="str">
        <f>IFERROR(__xludf.DUMMYFUNCTION("""COMPUTED_VALUE"""),"tidak jadi, temannya sdh pesan")</f>
        <v>tidak jadi, temannya sdh pesan</v>
      </c>
      <c r="L232" s="76"/>
      <c r="M232" s="20"/>
      <c r="N232" s="20"/>
      <c r="O232" s="20"/>
      <c r="P232" s="20"/>
    </row>
    <row r="233">
      <c r="A233" s="110">
        <f>IFERROR(__xludf.DUMMYFUNCTION("""COMPUTED_VALUE"""),46169.0)</f>
        <v>46169</v>
      </c>
      <c r="B233" s="110" t="str">
        <f>IFERROR(__xludf.DUMMYFUNCTION("""COMPUTED_VALUE"""),"2605H051")</f>
        <v>2605H051</v>
      </c>
      <c r="C233" s="49" t="str">
        <f>IFERROR(__xludf.DUMMYFUNCTION("""COMPUTED_VALUE"""),"Edwin Dharmawan")</f>
        <v>Edwin Dharmawan</v>
      </c>
      <c r="D233" s="102" t="str">
        <f>IFERROR(__xludf.DUMMYFUNCTION("""COMPUTED_VALUE"""),"087787182932")</f>
        <v>087787182932</v>
      </c>
      <c r="E233" s="25" t="str">
        <f>IFERROR(__xludf.DUMMYFUNCTION("""COMPUTED_VALUE"""),"Lainnya")</f>
        <v>Lainnya</v>
      </c>
      <c r="F233" s="25" t="str">
        <f>IFERROR(__xludf.DUMMYFUNCTION("""COMPUTED_VALUE"""),"Gagal")</f>
        <v>Gagal</v>
      </c>
      <c r="G233" s="15"/>
      <c r="H233" s="78"/>
      <c r="I233" s="89"/>
      <c r="J233" s="96"/>
      <c r="K233" s="36" t="str">
        <f>IFERROR(__xludf.DUMMYFUNCTION("""COMPUTED_VALUE"""),"hanya menyapa, tdk ada balasan")</f>
        <v>hanya menyapa, tdk ada balasan</v>
      </c>
      <c r="L233" s="49"/>
      <c r="M233" s="20"/>
      <c r="N233" s="20"/>
      <c r="O233" s="20"/>
      <c r="P233" s="20"/>
    </row>
    <row r="234">
      <c r="A234" s="97">
        <f>IFERROR(__xludf.DUMMYFUNCTION("""COMPUTED_VALUE"""),46170.0)</f>
        <v>46170</v>
      </c>
      <c r="B234" s="97" t="str">
        <f>IFERROR(__xludf.DUMMYFUNCTION("""COMPUTED_VALUE"""),"2605H052")</f>
        <v>2605H052</v>
      </c>
      <c r="C234" s="76" t="str">
        <f>IFERROR(__xludf.DUMMYFUNCTION("""COMPUTED_VALUE"""),"Ibnu")</f>
        <v>Ibnu</v>
      </c>
      <c r="D234" s="99" t="str">
        <f>IFERROR(__xludf.DUMMYFUNCTION("""COMPUTED_VALUE"""),"08158133150")</f>
        <v>08158133150</v>
      </c>
      <c r="E234" s="25" t="str">
        <f>IFERROR(__xludf.DUMMYFUNCTION("""COMPUTED_VALUE"""),"Website")</f>
        <v>Website</v>
      </c>
      <c r="F234" s="25" t="str">
        <f>IFERROR(__xludf.DUMMYFUNCTION("""COMPUTED_VALUE"""),"Gagal")</f>
        <v>Gagal</v>
      </c>
      <c r="G234" s="25"/>
      <c r="H234" s="92"/>
      <c r="I234" s="17"/>
      <c r="J234" s="93"/>
      <c r="K234" s="19" t="str">
        <f>IFERROR(__xludf.DUMMYFUNCTION("""COMPUTED_VALUE"""),"gada jawaban, hanya menyapa")</f>
        <v>gada jawaban, hanya menyapa</v>
      </c>
      <c r="L234" s="76"/>
      <c r="M234" s="20"/>
      <c r="N234" s="20"/>
      <c r="O234" s="20"/>
      <c r="P234" s="20"/>
    </row>
    <row r="235">
      <c r="A235" s="110">
        <f>IFERROR(__xludf.DUMMYFUNCTION("""COMPUTED_VALUE"""),46170.0)</f>
        <v>46170</v>
      </c>
      <c r="B235" s="110" t="str">
        <f>IFERROR(__xludf.DUMMYFUNCTION("""COMPUTED_VALUE"""),"2605H053")</f>
        <v>2605H053</v>
      </c>
      <c r="C235" s="49" t="str">
        <f>IFERROR(__xludf.DUMMYFUNCTION("""COMPUTED_VALUE"""),"Ananda")</f>
        <v>Ananda</v>
      </c>
      <c r="D235" s="102" t="str">
        <f>IFERROR(__xludf.DUMMYFUNCTION("""COMPUTED_VALUE"""),"089514598257")</f>
        <v>089514598257</v>
      </c>
      <c r="E235" s="25" t="str">
        <f>IFERROR(__xludf.DUMMYFUNCTION("""COMPUTED_VALUE"""),"Lainnya")</f>
        <v>Lainnya</v>
      </c>
      <c r="F235" s="25" t="str">
        <f>IFERROR(__xludf.DUMMYFUNCTION("""COMPUTED_VALUE"""),"Gagal")</f>
        <v>Gagal</v>
      </c>
      <c r="G235" s="15"/>
      <c r="H235" s="78"/>
      <c r="I235" s="89"/>
      <c r="J235" s="96"/>
      <c r="K235" s="30" t="str">
        <f>IFERROR(__xludf.DUMMYFUNCTION("""COMPUTED_VALUE"""),"gada jawaban, hanya menyapa")</f>
        <v>gada jawaban, hanya menyapa</v>
      </c>
      <c r="L235" s="49"/>
      <c r="M235" s="20"/>
      <c r="N235" s="20"/>
      <c r="O235" s="20"/>
      <c r="P235" s="20"/>
    </row>
    <row r="236">
      <c r="A236" s="97">
        <f>IFERROR(__xludf.DUMMYFUNCTION("""COMPUTED_VALUE"""),46170.0)</f>
        <v>46170</v>
      </c>
      <c r="B236" s="97" t="str">
        <f>IFERROR(__xludf.DUMMYFUNCTION("""COMPUTED_VALUE"""),"2605H054")</f>
        <v>2605H054</v>
      </c>
      <c r="C236" s="76" t="str">
        <f>IFERROR(__xludf.DUMMYFUNCTION("""COMPUTED_VALUE"""),"Nimaschubby6")</f>
        <v>Nimaschubby6</v>
      </c>
      <c r="D236" s="99" t="str">
        <f>IFERROR(__xludf.DUMMYFUNCTION("""COMPUTED_VALUE"""),"081289725449")</f>
        <v>081289725449</v>
      </c>
      <c r="E236" s="25" t="str">
        <f>IFERROR(__xludf.DUMMYFUNCTION("""COMPUTED_VALUE"""),"Lainnya")</f>
        <v>Lainnya</v>
      </c>
      <c r="F236" s="25" t="str">
        <f>IFERROR(__xludf.DUMMYFUNCTION("""COMPUTED_VALUE"""),"Gagal")</f>
        <v>Gagal</v>
      </c>
      <c r="G236" s="15" t="str">
        <f>IFERROR(__xludf.DUMMYFUNCTION("""COMPUTED_VALUE"""),"ijen baluran")</f>
        <v>ijen baluran</v>
      </c>
      <c r="H236" s="16">
        <f>IFERROR(__xludf.DUMMYFUNCTION("""COMPUTED_VALUE"""),46172.0)</f>
        <v>46172</v>
      </c>
      <c r="I236" s="17">
        <f>IFERROR(__xludf.DUMMYFUNCTION("""COMPUTED_VALUE"""),1.0)</f>
        <v>1</v>
      </c>
      <c r="J236" s="54"/>
      <c r="K236" s="19" t="str">
        <f>IFERROR(__xludf.DUMMYFUNCTION("""COMPUTED_VALUE"""),"fullbooked jeep")</f>
        <v>fullbooked jeep</v>
      </c>
      <c r="L236" s="76"/>
      <c r="M236" s="20"/>
      <c r="N236" s="20"/>
      <c r="O236" s="20"/>
      <c r="P236" s="20"/>
    </row>
    <row r="237">
      <c r="A237" s="110">
        <f>IFERROR(__xludf.DUMMYFUNCTION("""COMPUTED_VALUE"""),46171.0)</f>
        <v>46171</v>
      </c>
      <c r="B237" s="110" t="str">
        <f>IFERROR(__xludf.DUMMYFUNCTION("""COMPUTED_VALUE"""),"2605H055")</f>
        <v>2605H055</v>
      </c>
      <c r="C237" s="49" t="str">
        <f>IFERROR(__xludf.DUMMYFUNCTION("""COMPUTED_VALUE"""),"Melinda")</f>
        <v>Melinda</v>
      </c>
      <c r="D237" s="102" t="str">
        <f>IFERROR(__xludf.DUMMYFUNCTION("""COMPUTED_VALUE"""),"085893098776")</f>
        <v>085893098776</v>
      </c>
      <c r="E237" s="25" t="str">
        <f>IFERROR(__xludf.DUMMYFUNCTION("""COMPUTED_VALUE"""),"Lainnya")</f>
        <v>Lainnya</v>
      </c>
      <c r="F237" s="25" t="str">
        <f>IFERROR(__xludf.DUMMYFUNCTION("""COMPUTED_VALUE"""),"Gagal")</f>
        <v>Gagal</v>
      </c>
      <c r="G237" s="25"/>
      <c r="H237" s="78"/>
      <c r="I237" s="89"/>
      <c r="J237" s="96"/>
      <c r="K237" s="36" t="str">
        <f>IFERROR(__xludf.DUMMYFUNCTION("""COMPUTED_VALUE"""),"gada jawaban, hanya menyapa")</f>
        <v>gada jawaban, hanya menyapa</v>
      </c>
      <c r="L237" s="49"/>
      <c r="M237" s="20"/>
      <c r="N237" s="20"/>
      <c r="O237" s="20"/>
      <c r="P237" s="20"/>
    </row>
    <row r="238">
      <c r="A238" s="97">
        <f>IFERROR(__xludf.DUMMYFUNCTION("""COMPUTED_VALUE"""),46171.0)</f>
        <v>46171</v>
      </c>
      <c r="B238" s="97" t="str">
        <f>IFERROR(__xludf.DUMMYFUNCTION("""COMPUTED_VALUE"""),"2605H056")</f>
        <v>2605H056</v>
      </c>
      <c r="C238" s="76" t="str">
        <f>IFERROR(__xludf.DUMMYFUNCTION("""COMPUTED_VALUE"""),"Letsman Tendy")</f>
        <v>Letsman Tendy</v>
      </c>
      <c r="D238" s="99" t="str">
        <f>IFERROR(__xludf.DUMMYFUNCTION("""COMPUTED_VALUE"""),"081908168888")</f>
        <v>081908168888</v>
      </c>
      <c r="E238" s="25" t="str">
        <f>IFERROR(__xludf.DUMMYFUNCTION("""COMPUTED_VALUE"""),"Lainnya")</f>
        <v>Lainnya</v>
      </c>
      <c r="F238" s="25" t="str">
        <f>IFERROR(__xludf.DUMMYFUNCTION("""COMPUTED_VALUE"""),"Leads Baru")</f>
        <v>Leads Baru</v>
      </c>
      <c r="G238" s="25" t="str">
        <f>IFERROR(__xludf.DUMMYFUNCTION("""COMPUTED_VALUE"""),"3h2m")</f>
        <v>3h2m</v>
      </c>
      <c r="H238" s="16"/>
      <c r="I238" s="17">
        <f>IFERROR(__xludf.DUMMYFUNCTION("""COMPUTED_VALUE"""),10.0)</f>
        <v>10</v>
      </c>
      <c r="J238" s="54">
        <f>IFERROR(__xludf.DUMMYFUNCTION("""COMPUTED_VALUE"""),9530000.0)</f>
        <v>9530000</v>
      </c>
      <c r="K238" s="46" t="str">
        <f>IFERROR(__xludf.DUMMYFUNCTION("""COMPUTED_VALUE"""),"fu 7 juni")</f>
        <v>fu 7 juni</v>
      </c>
      <c r="L238" s="76"/>
      <c r="M238" s="20"/>
      <c r="N238" s="20"/>
      <c r="O238" s="20"/>
      <c r="P238" s="20"/>
    </row>
    <row r="239">
      <c r="A239" s="110">
        <f>IFERROR(__xludf.DUMMYFUNCTION("""COMPUTED_VALUE"""),46171.0)</f>
        <v>46171</v>
      </c>
      <c r="B239" s="110" t="str">
        <f>IFERROR(__xludf.DUMMYFUNCTION("""COMPUTED_VALUE"""),"2605H057")</f>
        <v>2605H057</v>
      </c>
      <c r="C239" s="49" t="str">
        <f>IFERROR(__xludf.DUMMYFUNCTION("""COMPUTED_VALUE"""),"Laras MTRAVEL TIME INDONESIA")</f>
        <v>Laras MTRAVEL TIME INDONESIA</v>
      </c>
      <c r="D239" s="102" t="str">
        <f>IFERROR(__xludf.DUMMYFUNCTION("""COMPUTED_VALUE"""),"088210941010")</f>
        <v>088210941010</v>
      </c>
      <c r="E239" s="25" t="str">
        <f>IFERROR(__xludf.DUMMYFUNCTION("""COMPUTED_VALUE"""),"Lainnya")</f>
        <v>Lainnya</v>
      </c>
      <c r="F239" s="25" t="str">
        <f>IFERROR(__xludf.DUMMYFUNCTION("""COMPUTED_VALUE"""),"Gagal")</f>
        <v>Gagal</v>
      </c>
      <c r="G239" s="25" t="str">
        <f>IFERROR(__xludf.DUMMYFUNCTION("""COMPUTED_VALUE"""),"mt")</f>
        <v>mt</v>
      </c>
      <c r="H239" s="78">
        <f>IFERROR(__xludf.DUMMYFUNCTION("""COMPUTED_VALUE"""),46172.0)</f>
        <v>46172</v>
      </c>
      <c r="I239" s="89">
        <f>IFERROR(__xludf.DUMMYFUNCTION("""COMPUTED_VALUE"""),3.0)</f>
        <v>3</v>
      </c>
      <c r="J239" s="96"/>
      <c r="K239" s="36" t="str">
        <f>IFERROR(__xludf.DUMMYFUNCTION("""COMPUTED_VALUE"""),"fullbooked")</f>
        <v>fullbooked</v>
      </c>
      <c r="L239" s="49"/>
      <c r="M239" s="20"/>
      <c r="N239" s="20"/>
      <c r="O239" s="20"/>
      <c r="P239" s="20"/>
    </row>
    <row r="240">
      <c r="A240" s="97">
        <f>IFERROR(__xludf.DUMMYFUNCTION("""COMPUTED_VALUE"""),46172.0)</f>
        <v>46172</v>
      </c>
      <c r="B240" s="97" t="str">
        <f>IFERROR(__xludf.DUMMYFUNCTION("""COMPUTED_VALUE"""),"2605H057")</f>
        <v>2605H057</v>
      </c>
      <c r="C240" s="76" t="str">
        <f>IFERROR(__xludf.DUMMYFUNCTION("""COMPUTED_VALUE"""),"Machlisa")</f>
        <v>Machlisa</v>
      </c>
      <c r="D240" s="99" t="str">
        <f>IFERROR(__xludf.DUMMYFUNCTION("""COMPUTED_VALUE"""),"08111017917")</f>
        <v>08111017917</v>
      </c>
      <c r="E240" s="25" t="str">
        <f>IFERROR(__xludf.DUMMYFUNCTION("""COMPUTED_VALUE"""),"Lainnya")</f>
        <v>Lainnya</v>
      </c>
      <c r="F240" s="25" t="str">
        <f>IFERROR(__xludf.DUMMYFUNCTION("""COMPUTED_VALUE"""),"Gagal")</f>
        <v>Gagal</v>
      </c>
      <c r="G240" s="25" t="str">
        <f>IFERROR(__xludf.DUMMYFUNCTION("""COMPUTED_VALUE"""),"ot mt")</f>
        <v>ot mt</v>
      </c>
      <c r="H240" s="92">
        <f>IFERROR(__xludf.DUMMYFUNCTION("""COMPUTED_VALUE"""),46173.0)</f>
        <v>46173</v>
      </c>
      <c r="I240" s="80"/>
      <c r="J240" s="93"/>
      <c r="K240" s="19" t="str">
        <f>IFERROR(__xludf.DUMMYFUNCTION("""COMPUTED_VALUE"""),"fullbooked")</f>
        <v>fullbooked</v>
      </c>
      <c r="L240" s="76"/>
      <c r="M240" s="20"/>
      <c r="N240" s="20"/>
      <c r="O240" s="20"/>
      <c r="P240" s="20"/>
    </row>
    <row r="241">
      <c r="A241" s="110">
        <f>IFERROR(__xludf.DUMMYFUNCTION("""COMPUTED_VALUE"""),46172.0)</f>
        <v>46172</v>
      </c>
      <c r="B241" s="110" t="str">
        <f>IFERROR(__xludf.DUMMYFUNCTION("""COMPUTED_VALUE"""),"2605H058")</f>
        <v>2605H058</v>
      </c>
      <c r="C241" s="49" t="str">
        <f>IFERROR(__xludf.DUMMYFUNCTION("""COMPUTED_VALUE"""),"Toto Sugiarto")</f>
        <v>Toto Sugiarto</v>
      </c>
      <c r="D241" s="102" t="str">
        <f>IFERROR(__xludf.DUMMYFUNCTION("""COMPUTED_VALUE"""),"08122338006")</f>
        <v>08122338006</v>
      </c>
      <c r="E241" s="25" t="str">
        <f>IFERROR(__xludf.DUMMYFUNCTION("""COMPUTED_VALUE"""),"Website")</f>
        <v>Website</v>
      </c>
      <c r="F241" s="25" t="str">
        <f>IFERROR(__xludf.DUMMYFUNCTION("""COMPUTED_VALUE"""),"Gagal")</f>
        <v>Gagal</v>
      </c>
      <c r="G241" s="25" t="str">
        <f>IFERROR(__xludf.DUMMYFUNCTION("""COMPUTED_VALUE"""),"3h2m")</f>
        <v>3h2m</v>
      </c>
      <c r="H241" s="78"/>
      <c r="I241" s="89">
        <f>IFERROR(__xludf.DUMMYFUNCTION("""COMPUTED_VALUE"""),2.0)</f>
        <v>2</v>
      </c>
      <c r="J241" s="96"/>
      <c r="K241" s="36" t="str">
        <f>IFERROR(__xludf.DUMMYFUNCTION("""COMPUTED_VALUE"""),"gada jawaban")</f>
        <v>gada jawaban</v>
      </c>
      <c r="L241" s="49"/>
      <c r="M241" s="20"/>
      <c r="N241" s="20"/>
      <c r="O241" s="20"/>
      <c r="P241" s="20"/>
    </row>
    <row r="242">
      <c r="A242" s="97">
        <f>IFERROR(__xludf.DUMMYFUNCTION("""COMPUTED_VALUE"""),46172.0)</f>
        <v>46172</v>
      </c>
      <c r="B242" s="97" t="str">
        <f>IFERROR(__xludf.DUMMYFUNCTION("""COMPUTED_VALUE"""),"2605H059")</f>
        <v>2605H059</v>
      </c>
      <c r="C242" s="76" t="str">
        <f>IFERROR(__xludf.DUMMYFUNCTION("""COMPUTED_VALUE"""),"Rina Cumie Kristanti")</f>
        <v>Rina Cumie Kristanti</v>
      </c>
      <c r="D242" s="99" t="str">
        <f>IFERROR(__xludf.DUMMYFUNCTION("""COMPUTED_VALUE"""),"08128749759")</f>
        <v>08128749759</v>
      </c>
      <c r="E242" s="25" t="str">
        <f>IFERROR(__xludf.DUMMYFUNCTION("""COMPUTED_VALUE"""),"Lainnya")</f>
        <v>Lainnya</v>
      </c>
      <c r="F242" s="25" t="str">
        <f>IFERROR(__xludf.DUMMYFUNCTION("""COMPUTED_VALUE"""),"Closing")</f>
        <v>Closing</v>
      </c>
      <c r="G242" s="15" t="str">
        <f>IFERROR(__xludf.DUMMYFUNCTION("""COMPUTED_VALUE"""),"ot mt dan ijen")</f>
        <v>ot mt dan ijen</v>
      </c>
      <c r="H242" s="92"/>
      <c r="I242" s="80">
        <f>IFERROR(__xludf.DUMMYFUNCTION("""COMPUTED_VALUE"""),1.0)</f>
        <v>1</v>
      </c>
      <c r="J242" s="93"/>
      <c r="K242" s="19" t="str">
        <f>IFERROR(__xludf.DUMMYFUNCTION("""COMPUTED_VALUE"""),"alhamdulillah order")</f>
        <v>alhamdulillah order</v>
      </c>
      <c r="L242" s="76"/>
      <c r="M242" s="20"/>
      <c r="N242" s="20"/>
      <c r="O242" s="20"/>
      <c r="P242" s="20"/>
    </row>
    <row r="243">
      <c r="A243" s="110">
        <f>IFERROR(__xludf.DUMMYFUNCTION("""COMPUTED_VALUE"""),46172.0)</f>
        <v>46172</v>
      </c>
      <c r="B243" s="110" t="str">
        <f>IFERROR(__xludf.DUMMYFUNCTION("""COMPUTED_VALUE"""),"2605H060 ")</f>
        <v>2605H060 </v>
      </c>
      <c r="C243" s="49" t="str">
        <f>IFERROR(__xludf.DUMMYFUNCTION("""COMPUTED_VALUE"""),"KANAJI")</f>
        <v>KANAJI</v>
      </c>
      <c r="D243" s="102" t="str">
        <f>IFERROR(__xludf.DUMMYFUNCTION("""COMPUTED_VALUE"""),"081237141000")</f>
        <v>081237141000</v>
      </c>
      <c r="E243" s="25" t="str">
        <f>IFERROR(__xludf.DUMMYFUNCTION("""COMPUTED_VALUE"""),"Instagram")</f>
        <v>Instagram</v>
      </c>
      <c r="F243" s="25" t="str">
        <f>IFERROR(__xludf.DUMMYFUNCTION("""COMPUTED_VALUE"""),"Gagal")</f>
        <v>Gagal</v>
      </c>
      <c r="G243" s="25" t="str">
        <f>IFERROR(__xludf.DUMMYFUNCTION("""COMPUTED_VALUE"""),"green island")</f>
        <v>green island</v>
      </c>
      <c r="H243" s="78"/>
      <c r="I243" s="89">
        <f>IFERROR(__xludf.DUMMYFUNCTION("""COMPUTED_VALUE"""),2.0)</f>
        <v>2</v>
      </c>
      <c r="J243" s="96"/>
      <c r="K243" s="36" t="str">
        <f>IFERROR(__xludf.DUMMYFUNCTION("""COMPUTED_VALUE"""),"waktu ke bwi kurang tepat")</f>
        <v>waktu ke bwi kurang tepat</v>
      </c>
      <c r="L243" s="49"/>
      <c r="M243" s="20"/>
      <c r="N243" s="20"/>
      <c r="O243" s="20"/>
      <c r="P243" s="20"/>
    </row>
    <row r="244">
      <c r="A244" s="97">
        <f>IFERROR(__xludf.DUMMYFUNCTION("""COMPUTED_VALUE"""),46173.0)</f>
        <v>46173</v>
      </c>
      <c r="B244" s="97" t="str">
        <f>IFERROR(__xludf.DUMMYFUNCTION("""COMPUTED_VALUE"""),"2605H061")</f>
        <v>2605H061</v>
      </c>
      <c r="C244" s="76" t="str">
        <f>IFERROR(__xludf.DUMMYFUNCTION("""COMPUTED_VALUE"""),"Heri Budiono")</f>
        <v>Heri Budiono</v>
      </c>
      <c r="D244" s="99" t="str">
        <f>IFERROR(__xludf.DUMMYFUNCTION("""COMPUTED_VALUE"""),"0817834730")</f>
        <v>0817834730</v>
      </c>
      <c r="E244" s="25" t="str">
        <f>IFERROR(__xludf.DUMMYFUNCTION("""COMPUTED_VALUE"""),"Website")</f>
        <v>Website</v>
      </c>
      <c r="F244" s="25" t="str">
        <f>IFERROR(__xludf.DUMMYFUNCTION("""COMPUTED_VALUE"""),"Leads Baru")</f>
        <v>Leads Baru</v>
      </c>
      <c r="G244" s="25"/>
      <c r="H244" s="92"/>
      <c r="I244" s="80"/>
      <c r="J244" s="93"/>
      <c r="K244" s="19" t="str">
        <f>IFERROR(__xludf.DUMMYFUNCTION("""COMPUTED_VALUE"""),"hanya menyapa. fu juni")</f>
        <v>hanya menyapa. fu juni</v>
      </c>
      <c r="L244" s="76"/>
      <c r="M244" s="20"/>
      <c r="N244" s="20"/>
      <c r="O244" s="20"/>
      <c r="P244" s="20"/>
    </row>
    <row r="245">
      <c r="A245" s="110">
        <f>IFERROR(__xludf.DUMMYFUNCTION("""COMPUTED_VALUE"""),46173.0)</f>
        <v>46173</v>
      </c>
      <c r="B245" s="110" t="str">
        <f>IFERROR(__xludf.DUMMYFUNCTION("""COMPUTED_VALUE"""),"2605H062")</f>
        <v>2605H062</v>
      </c>
      <c r="C245" s="49" t="str">
        <f>IFERROR(__xludf.DUMMYFUNCTION("""COMPUTED_VALUE"""),"Masdar")</f>
        <v>Masdar</v>
      </c>
      <c r="D245" s="102" t="str">
        <f>IFERROR(__xludf.DUMMYFUNCTION("""COMPUTED_VALUE"""),"08111334507")</f>
        <v>08111334507</v>
      </c>
      <c r="E245" s="25" t="str">
        <f>IFERROR(__xludf.DUMMYFUNCTION("""COMPUTED_VALUE"""),"Website")</f>
        <v>Website</v>
      </c>
      <c r="F245" s="25" t="str">
        <f>IFERROR(__xludf.DUMMYFUNCTION("""COMPUTED_VALUE"""),"Leads Baru")</f>
        <v>Leads Baru</v>
      </c>
      <c r="G245" s="25"/>
      <c r="H245" s="78"/>
      <c r="I245" s="89"/>
      <c r="J245" s="96"/>
      <c r="K245" s="36" t="str">
        <f>IFERROR(__xludf.DUMMYFUNCTION("""COMPUTED_VALUE"""),"hanya menyapa. fu 7 juni")</f>
        <v>hanya menyapa. fu 7 juni</v>
      </c>
      <c r="L245" s="49"/>
      <c r="M245" s="20"/>
      <c r="N245" s="20"/>
      <c r="O245" s="20"/>
      <c r="P245" s="20"/>
    </row>
    <row r="246">
      <c r="A246" s="97">
        <f>IFERROR(__xludf.DUMMYFUNCTION("""COMPUTED_VALUE"""),46173.0)</f>
        <v>46173</v>
      </c>
      <c r="B246" s="97" t="str">
        <f>IFERROR(__xludf.DUMMYFUNCTION("""COMPUTED_VALUE"""),"2605H063")</f>
        <v>2605H063</v>
      </c>
      <c r="C246" s="76" t="str">
        <f>IFERROR(__xludf.DUMMYFUNCTION("""COMPUTED_VALUE"""),"Liza Icha")</f>
        <v>Liza Icha</v>
      </c>
      <c r="D246" s="99" t="str">
        <f>IFERROR(__xludf.DUMMYFUNCTION("""COMPUTED_VALUE"""),"081314233382")</f>
        <v>081314233382</v>
      </c>
      <c r="E246" s="25" t="str">
        <f>IFERROR(__xludf.DUMMYFUNCTION("""COMPUTED_VALUE"""),"Lainnya")</f>
        <v>Lainnya</v>
      </c>
      <c r="F246" s="25" t="str">
        <f>IFERROR(__xludf.DUMMYFUNCTION("""COMPUTED_VALUE"""),"Leads Baru")</f>
        <v>Leads Baru</v>
      </c>
      <c r="G246" s="15"/>
      <c r="H246" s="92"/>
      <c r="I246" s="17"/>
      <c r="J246" s="93"/>
      <c r="K246" s="19" t="str">
        <f>IFERROR(__xludf.DUMMYFUNCTION("""COMPUTED_VALUE"""),"fu 7 juni")</f>
        <v>fu 7 juni</v>
      </c>
      <c r="L246" s="76"/>
      <c r="M246" s="20"/>
      <c r="N246" s="20"/>
      <c r="O246" s="20"/>
      <c r="P246" s="20"/>
    </row>
    <row r="247">
      <c r="A247" s="110">
        <f>IFERROR(__xludf.DUMMYFUNCTION("""COMPUTED_VALUE"""),46173.0)</f>
        <v>46173</v>
      </c>
      <c r="B247" s="110" t="str">
        <f>IFERROR(__xludf.DUMMYFUNCTION("""COMPUTED_VALUE"""),"2605H064")</f>
        <v>2605H064</v>
      </c>
      <c r="C247" s="49" t="str">
        <f>IFERROR(__xludf.DUMMYFUNCTION("""COMPUTED_VALUE"""),"Ayana")</f>
        <v>Ayana</v>
      </c>
      <c r="D247" s="102" t="str">
        <f>IFERROR(__xludf.DUMMYFUNCTION("""COMPUTED_VALUE"""),"0811164772")</f>
        <v>0811164772</v>
      </c>
      <c r="E247" s="25" t="str">
        <f>IFERROR(__xludf.DUMMYFUNCTION("""COMPUTED_VALUE"""),"Lainnya")</f>
        <v>Lainnya</v>
      </c>
      <c r="F247" s="25" t="str">
        <f>IFERROR(__xludf.DUMMYFUNCTION("""COMPUTED_VALUE"""),"Closing")</f>
        <v>Closing</v>
      </c>
      <c r="G247" s="25" t="str">
        <f>IFERROR(__xludf.DUMMYFUNCTION("""COMPUTED_VALUE"""),"djabal")</f>
        <v>djabal</v>
      </c>
      <c r="H247" s="78">
        <f>IFERROR(__xludf.DUMMYFUNCTION("""COMPUTED_VALUE"""),46203.0)</f>
        <v>46203</v>
      </c>
      <c r="I247" s="89">
        <f>IFERROR(__xludf.DUMMYFUNCTION("""COMPUTED_VALUE"""),4.0)</f>
        <v>4</v>
      </c>
      <c r="J247" s="96">
        <f>IFERROR(__xludf.DUMMYFUNCTION("""COMPUTED_VALUE"""),1320000.0)</f>
        <v>1320000</v>
      </c>
      <c r="K247" s="36" t="str">
        <f>IFERROR(__xludf.DUMMYFUNCTION("""COMPUTED_VALUE"""),"alhamdulillah order")</f>
        <v>alhamdulillah order</v>
      </c>
      <c r="L247" s="49"/>
      <c r="M247" s="20"/>
      <c r="N247" s="20"/>
      <c r="O247" s="20"/>
      <c r="P247" s="20"/>
    </row>
    <row r="248">
      <c r="A248" s="97">
        <f>IFERROR(__xludf.DUMMYFUNCTION("""COMPUTED_VALUE"""),46174.0)</f>
        <v>46174</v>
      </c>
      <c r="B248" s="97" t="str">
        <f>IFERROR(__xludf.DUMMYFUNCTION("""COMPUTED_VALUE"""),"2606H001")</f>
        <v>2606H001</v>
      </c>
      <c r="C248" s="76" t="str">
        <f>IFERROR(__xludf.DUMMYFUNCTION("""COMPUTED_VALUE"""),"Dr. Mustika")</f>
        <v>Dr. Mustika</v>
      </c>
      <c r="D248" s="99" t="str">
        <f>IFERROR(__xludf.DUMMYFUNCTION("""COMPUTED_VALUE"""),"081218888987")</f>
        <v>081218888987</v>
      </c>
      <c r="E248" s="25" t="str">
        <f>IFERROR(__xludf.DUMMYFUNCTION("""COMPUTED_VALUE"""),"Website")</f>
        <v>Website</v>
      </c>
      <c r="F248" s="25" t="str">
        <f>IFERROR(__xludf.DUMMYFUNCTION("""COMPUTED_VALUE"""),"Gagal")</f>
        <v>Gagal</v>
      </c>
      <c r="G248" s="25" t="str">
        <f>IFERROR(__xludf.DUMMYFUNCTION("""COMPUTED_VALUE"""),"ijen bromo")</f>
        <v>ijen bromo</v>
      </c>
      <c r="H248" s="16"/>
      <c r="I248" s="80">
        <f>IFERROR(__xludf.DUMMYFUNCTION("""COMPUTED_VALUE"""),3.0)</f>
        <v>3</v>
      </c>
      <c r="J248" s="54"/>
      <c r="K248" s="19" t="str">
        <f>IFERROR(__xludf.DUMMYFUNCTION("""COMPUTED_VALUE"""),"ga jadi, hewan di destinasi mulai sedikit, tdk tertarik lagi")</f>
        <v>ga jadi, hewan di destinasi mulai sedikit, tdk tertarik lagi</v>
      </c>
      <c r="L248" s="76"/>
      <c r="M248" s="20"/>
      <c r="N248" s="20"/>
      <c r="O248" s="20"/>
      <c r="P248" s="20"/>
    </row>
    <row r="249">
      <c r="A249" s="110">
        <f>IFERROR(__xludf.DUMMYFUNCTION("""COMPUTED_VALUE"""),46175.0)</f>
        <v>46175</v>
      </c>
      <c r="B249" s="110" t="str">
        <f>IFERROR(__xludf.DUMMYFUNCTION("""COMPUTED_VALUE"""),"2606H002")</f>
        <v>2606H002</v>
      </c>
      <c r="C249" s="49" t="str">
        <f>IFERROR(__xludf.DUMMYFUNCTION("""COMPUTED_VALUE"""),"Olsho")</f>
        <v>Olsho</v>
      </c>
      <c r="D249" s="102" t="str">
        <f>IFERROR(__xludf.DUMMYFUNCTION("""COMPUTED_VALUE"""),"085695957454")</f>
        <v>085695957454</v>
      </c>
      <c r="E249" s="25" t="str">
        <f>IFERROR(__xludf.DUMMYFUNCTION("""COMPUTED_VALUE"""),"Lainnya")</f>
        <v>Lainnya</v>
      </c>
      <c r="F249" s="25" t="str">
        <f>IFERROR(__xludf.DUMMYFUNCTION("""COMPUTED_VALUE"""),"Gagal")</f>
        <v>Gagal</v>
      </c>
      <c r="G249" s="15"/>
      <c r="H249" s="78"/>
      <c r="I249" s="89"/>
      <c r="J249" s="96"/>
      <c r="K249" s="30" t="str">
        <f>IFERROR(__xludf.DUMMYFUNCTION("""COMPUTED_VALUE""")," hanya menyapa")</f>
        <v> hanya menyapa</v>
      </c>
      <c r="L249" s="49"/>
      <c r="M249" s="20"/>
      <c r="N249" s="20"/>
      <c r="O249" s="20"/>
      <c r="P249" s="20"/>
    </row>
    <row r="250">
      <c r="A250" s="97">
        <f>IFERROR(__xludf.DUMMYFUNCTION("""COMPUTED_VALUE"""),46175.0)</f>
        <v>46175</v>
      </c>
      <c r="B250" s="97" t="str">
        <f>IFERROR(__xludf.DUMMYFUNCTION("""COMPUTED_VALUE"""),"2606H003")</f>
        <v>2606H003</v>
      </c>
      <c r="C250" s="76" t="str">
        <f>IFERROR(__xludf.DUMMYFUNCTION("""COMPUTED_VALUE"""),"Hernowo")</f>
        <v>Hernowo</v>
      </c>
      <c r="D250" s="99" t="str">
        <f>IFERROR(__xludf.DUMMYFUNCTION("""COMPUTED_VALUE"""),"081585138723")</f>
        <v>081585138723</v>
      </c>
      <c r="E250" s="25" t="str">
        <f>IFERROR(__xludf.DUMMYFUNCTION("""COMPUTED_VALUE"""),"Lainnya")</f>
        <v>Lainnya</v>
      </c>
      <c r="F250" s="25" t="str">
        <f>IFERROR(__xludf.DUMMYFUNCTION("""COMPUTED_VALUE"""),"Closing")</f>
        <v>Closing</v>
      </c>
      <c r="G250" s="25" t="str">
        <f>IFERROR(__xludf.DUMMYFUNCTION("""COMPUTED_VALUE"""),"3H2M")</f>
        <v>3H2M</v>
      </c>
      <c r="H250" s="92"/>
      <c r="I250" s="80">
        <f>IFERROR(__xludf.DUMMYFUNCTION("""COMPUTED_VALUE"""),5.0)</f>
        <v>5</v>
      </c>
      <c r="J250" s="54">
        <f>IFERROR(__xludf.DUMMYFUNCTION("""COMPUTED_VALUE"""),7000000.0)</f>
        <v>7000000</v>
      </c>
      <c r="K250" s="19" t="str">
        <f>IFERROR(__xludf.DUMMYFUNCTION("""COMPUTED_VALUE"""),"alhamdulilah closing")</f>
        <v>alhamdulilah closing</v>
      </c>
      <c r="L250" s="76"/>
      <c r="M250" s="20"/>
      <c r="N250" s="20"/>
      <c r="O250" s="20"/>
      <c r="P250" s="20"/>
    </row>
    <row r="251">
      <c r="A251" s="110">
        <f>IFERROR(__xludf.DUMMYFUNCTION("""COMPUTED_VALUE"""),46176.0)</f>
        <v>46176</v>
      </c>
      <c r="B251" s="110" t="str">
        <f>IFERROR(__xludf.DUMMYFUNCTION("""COMPUTED_VALUE"""),"2606H005")</f>
        <v>2606H005</v>
      </c>
      <c r="C251" s="49" t="str">
        <f>IFERROR(__xludf.DUMMYFUNCTION("""COMPUTED_VALUE"""),"Kukuh Pradani")</f>
        <v>Kukuh Pradani</v>
      </c>
      <c r="D251" s="102" t="str">
        <f>IFERROR(__xludf.DUMMYFUNCTION("""COMPUTED_VALUE"""),"08121852395")</f>
        <v>08121852395</v>
      </c>
      <c r="E251" s="25" t="str">
        <f>IFERROR(__xludf.DUMMYFUNCTION("""COMPUTED_VALUE"""),"Website")</f>
        <v>Website</v>
      </c>
      <c r="F251" s="25" t="str">
        <f>IFERROR(__xludf.DUMMYFUNCTION("""COMPUTED_VALUE"""),"Gagal")</f>
        <v>Gagal</v>
      </c>
      <c r="G251" s="25" t="str">
        <f>IFERROR(__xludf.DUMMYFUNCTION("""COMPUTED_VALUE"""),"ot djabal")</f>
        <v>ot djabal</v>
      </c>
      <c r="H251" s="78">
        <f>IFERROR(__xludf.DUMMYFUNCTION("""COMPUTED_VALUE"""),46181.0)</f>
        <v>46181</v>
      </c>
      <c r="I251" s="89">
        <f>IFERROR(__xludf.DUMMYFUNCTION("""COMPUTED_VALUE"""),2.0)</f>
        <v>2</v>
      </c>
      <c r="J251" s="96">
        <f>IFERROR(__xludf.DUMMYFUNCTION("""COMPUTED_VALUE"""),1100000.0)</f>
        <v>1100000</v>
      </c>
      <c r="K251" s="19" t="str">
        <f>IFERROR(__xludf.DUMMYFUNCTION("""COMPUTED_VALUE"""),"ga ada jawaban")</f>
        <v>ga ada jawaban</v>
      </c>
      <c r="L251" s="76"/>
      <c r="M251" s="20"/>
      <c r="N251" s="20"/>
      <c r="O251" s="20"/>
      <c r="P251" s="20"/>
    </row>
    <row r="252">
      <c r="A252" s="97">
        <f>IFERROR(__xludf.DUMMYFUNCTION("""COMPUTED_VALUE"""),46178.0)</f>
        <v>46178</v>
      </c>
      <c r="B252" s="97" t="str">
        <f>IFERROR(__xludf.DUMMYFUNCTION("""COMPUTED_VALUE"""),"2606H006")</f>
        <v>2606H006</v>
      </c>
      <c r="C252" s="76" t="str">
        <f>IFERROR(__xludf.DUMMYFUNCTION("""COMPUTED_VALUE"""),"Esra Henita Marito")</f>
        <v>Esra Henita Marito</v>
      </c>
      <c r="D252" s="99" t="str">
        <f>IFERROR(__xludf.DUMMYFUNCTION("""COMPUTED_VALUE"""),"089629191295")</f>
        <v>089629191295</v>
      </c>
      <c r="E252" s="25" t="str">
        <f>IFERROR(__xludf.DUMMYFUNCTION("""COMPUTED_VALUE"""),"Lainnya")</f>
        <v>Lainnya</v>
      </c>
      <c r="F252" s="25" t="str">
        <f>IFERROR(__xludf.DUMMYFUNCTION("""COMPUTED_VALUE"""),"Gagal")</f>
        <v>Gagal</v>
      </c>
      <c r="G252" s="15" t="str">
        <f>IFERROR(__xludf.DUMMYFUNCTION("""COMPUTED_VALUE"""),"ot gi ")</f>
        <v>ot gi </v>
      </c>
      <c r="H252" s="92">
        <f>IFERROR(__xludf.DUMMYFUNCTION("""COMPUTED_VALUE"""),46189.0)</f>
        <v>46189</v>
      </c>
      <c r="I252" s="80"/>
      <c r="J252" s="93"/>
      <c r="K252" s="19" t="str">
        <f>IFERROR(__xludf.DUMMYFUNCTION("""COMPUTED_VALUE"""),"tidak ada jawaban")</f>
        <v>tidak ada jawaban</v>
      </c>
      <c r="L252" s="76"/>
      <c r="M252" s="20"/>
      <c r="N252" s="20"/>
      <c r="O252" s="20"/>
      <c r="P252" s="20"/>
    </row>
    <row r="253">
      <c r="A253" s="110">
        <f>IFERROR(__xludf.DUMMYFUNCTION("""COMPUTED_VALUE"""),46178.0)</f>
        <v>46178</v>
      </c>
      <c r="B253" s="110" t="str">
        <f>IFERROR(__xludf.DUMMYFUNCTION("""COMPUTED_VALUE"""),"2606H007")</f>
        <v>2606H007</v>
      </c>
      <c r="C253" s="49" t="str">
        <f>IFERROR(__xludf.DUMMYFUNCTION("""COMPUTED_VALUE"""),"David Barlian")</f>
        <v>David Barlian</v>
      </c>
      <c r="D253" s="102" t="str">
        <f>IFERROR(__xludf.DUMMYFUNCTION("""COMPUTED_VALUE"""),"087878934431")</f>
        <v>087878934431</v>
      </c>
      <c r="E253" s="25" t="str">
        <f>IFERROR(__xludf.DUMMYFUNCTION("""COMPUTED_VALUE"""),"Website")</f>
        <v>Website</v>
      </c>
      <c r="F253" s="25" t="str">
        <f>IFERROR(__xludf.DUMMYFUNCTION("""COMPUTED_VALUE"""),"Leads Baru")</f>
        <v>Leads Baru</v>
      </c>
      <c r="G253" s="15" t="str">
        <f>IFERROR(__xludf.DUMMYFUNCTION("""COMPUTED_VALUE"""),"3h2m opsi b")</f>
        <v>3h2m opsi b</v>
      </c>
      <c r="H253" s="92"/>
      <c r="I253" s="89">
        <f>IFERROR(__xludf.DUMMYFUNCTION("""COMPUTED_VALUE"""),25.0)</f>
        <v>25</v>
      </c>
      <c r="J253" s="96"/>
      <c r="K253" s="36" t="str">
        <f>IFERROR(__xludf.DUMMYFUNCTION("""COMPUTED_VALUE"""),"buat penawaran tanggal 7 juni")</f>
        <v>buat penawaran tanggal 7 juni</v>
      </c>
      <c r="L253" s="49"/>
      <c r="M253" s="20"/>
      <c r="N253" s="20"/>
      <c r="O253" s="20"/>
      <c r="P253" s="20"/>
    </row>
    <row r="254">
      <c r="A254" s="97">
        <f>IFERROR(__xludf.DUMMYFUNCTION("""COMPUTED_VALUE"""),46179.0)</f>
        <v>46179</v>
      </c>
      <c r="B254" s="97" t="str">
        <f>IFERROR(__xludf.DUMMYFUNCTION("""COMPUTED_VALUE"""),"2606H008")</f>
        <v>2606H008</v>
      </c>
      <c r="C254" s="76" t="str">
        <f>IFERROR(__xludf.DUMMYFUNCTION("""COMPUTED_VALUE"""),"Aryanti")</f>
        <v>Aryanti</v>
      </c>
      <c r="D254" s="99" t="str">
        <f>IFERROR(__xludf.DUMMYFUNCTION("""COMPUTED_VALUE"""),"0811907784")</f>
        <v>0811907784</v>
      </c>
      <c r="E254" s="25" t="str">
        <f>IFERROR(__xludf.DUMMYFUNCTION("""COMPUTED_VALUE"""),"Lainnya")</f>
        <v>Lainnya</v>
      </c>
      <c r="F254" s="25" t="str">
        <f>IFERROR(__xludf.DUMMYFUNCTION("""COMPUTED_VALUE"""),"Closing")</f>
        <v>Closing</v>
      </c>
      <c r="G254" s="25" t="str">
        <f>IFERROR(__xludf.DUMMYFUNCTION("""COMPUTED_VALUE"""),"ijen baluran")</f>
        <v>ijen baluran</v>
      </c>
      <c r="H254" s="92">
        <f>IFERROR(__xludf.DUMMYFUNCTION("""COMPUTED_VALUE"""),46191.0)</f>
        <v>46191</v>
      </c>
      <c r="I254" s="80">
        <f>IFERROR(__xludf.DUMMYFUNCTION("""COMPUTED_VALUE"""),4.0)</f>
        <v>4</v>
      </c>
      <c r="J254" s="93">
        <f>IFERROR(__xludf.DUMMYFUNCTION("""COMPUTED_VALUE"""),2252000.0)</f>
        <v>2252000</v>
      </c>
      <c r="K254" s="19" t="str">
        <f>IFERROR(__xludf.DUMMYFUNCTION("""COMPUTED_VALUE"""),"alhamdulillah closing")</f>
        <v>alhamdulillah closing</v>
      </c>
      <c r="L254" s="76"/>
      <c r="M254" s="20"/>
      <c r="N254" s="20"/>
      <c r="O254" s="20"/>
      <c r="P254" s="20"/>
    </row>
    <row r="255">
      <c r="A255" s="110">
        <f>IFERROR(__xludf.DUMMYFUNCTION("""COMPUTED_VALUE"""),46179.0)</f>
        <v>46179</v>
      </c>
      <c r="B255" s="110" t="str">
        <f>IFERROR(__xludf.DUMMYFUNCTION("""COMPUTED_VALUE"""),"2606H009")</f>
        <v>2606H009</v>
      </c>
      <c r="C255" s="49" t="str">
        <f>IFERROR(__xludf.DUMMYFUNCTION("""COMPUTED_VALUE"""),"Yuli")</f>
        <v>Yuli</v>
      </c>
      <c r="D255" s="102" t="str">
        <f>IFERROR(__xludf.DUMMYFUNCTION("""COMPUTED_VALUE"""),"08131323299")</f>
        <v>08131323299</v>
      </c>
      <c r="E255" s="25" t="str">
        <f>IFERROR(__xludf.DUMMYFUNCTION("""COMPUTED_VALUE"""),"Lainnya")</f>
        <v>Lainnya</v>
      </c>
      <c r="F255" s="25" t="str">
        <f>IFERROR(__xludf.DUMMYFUNCTION("""COMPUTED_VALUE"""),"Gagal")</f>
        <v>Gagal</v>
      </c>
      <c r="G255" s="15"/>
      <c r="H255" s="26"/>
      <c r="I255" s="27"/>
      <c r="J255" s="33"/>
      <c r="K255" s="30" t="str">
        <f>IFERROR(__xludf.DUMMYFUNCTION("""COMPUTED_VALUE"""),"ga ada jawaban")</f>
        <v>ga ada jawaban</v>
      </c>
      <c r="L255" s="49"/>
      <c r="M255" s="20"/>
      <c r="N255" s="20"/>
      <c r="O255" s="20"/>
      <c r="P255" s="20"/>
    </row>
    <row r="256">
      <c r="A256" s="97">
        <f>IFERROR(__xludf.DUMMYFUNCTION("""COMPUTED_VALUE"""),46180.0)</f>
        <v>46180</v>
      </c>
      <c r="B256" s="97" t="str">
        <f>IFERROR(__xludf.DUMMYFUNCTION("""COMPUTED_VALUE"""),"2606H010")</f>
        <v>2606H010</v>
      </c>
      <c r="C256" s="76" t="str">
        <f>IFERROR(__xludf.DUMMYFUNCTION("""COMPUTED_VALUE"""),"Mariana")</f>
        <v>Mariana</v>
      </c>
      <c r="D256" s="99" t="str">
        <f>IFERROR(__xludf.DUMMYFUNCTION("""COMPUTED_VALUE"""),"081318285566")</f>
        <v>081318285566</v>
      </c>
      <c r="E256" s="25" t="str">
        <f>IFERROR(__xludf.DUMMYFUNCTION("""COMPUTED_VALUE"""),"Website")</f>
        <v>Website</v>
      </c>
      <c r="F256" s="25" t="str">
        <f>IFERROR(__xludf.DUMMYFUNCTION("""COMPUTED_VALUE"""),"Gagal")</f>
        <v>Gagal</v>
      </c>
      <c r="G256" s="15" t="str">
        <f>IFERROR(__xludf.DUMMYFUNCTION("""COMPUTED_VALUE"""),"ot tnp ijen")</f>
        <v>ot tnp ijen</v>
      </c>
      <c r="H256" s="92"/>
      <c r="I256" s="80">
        <f>IFERROR(__xludf.DUMMYFUNCTION("""COMPUTED_VALUE"""),3.0)</f>
        <v>3</v>
      </c>
      <c r="J256" s="93"/>
      <c r="K256" s="46" t="str">
        <f>IFERROR(__xludf.DUMMYFUNCTION("""COMPUTED_VALUE"""),"gada balasan")</f>
        <v>gada balasan</v>
      </c>
      <c r="L256" s="76"/>
      <c r="M256" s="20"/>
      <c r="N256" s="20"/>
      <c r="O256" s="20"/>
      <c r="P256" s="20"/>
    </row>
    <row r="257">
      <c r="A257" s="110">
        <f>IFERROR(__xludf.DUMMYFUNCTION("""COMPUTED_VALUE"""),46180.0)</f>
        <v>46180</v>
      </c>
      <c r="B257" s="110" t="str">
        <f>IFERROR(__xludf.DUMMYFUNCTION("""COMPUTED_VALUE"""),"2606H011")</f>
        <v>2606H011</v>
      </c>
      <c r="C257" s="49" t="str">
        <f>IFERROR(__xludf.DUMMYFUNCTION("""COMPUTED_VALUE"""),"Veronica Sulyani Sanusi ")</f>
        <v>Veronica Sulyani Sanusi </v>
      </c>
      <c r="D257" s="102" t="str">
        <f>IFERROR(__xludf.DUMMYFUNCTION("""COMPUTED_VALUE"""),"081808081161")</f>
        <v>081808081161</v>
      </c>
      <c r="E257" s="25" t="str">
        <f>IFERROR(__xludf.DUMMYFUNCTION("""COMPUTED_VALUE"""),"Lainnya")</f>
        <v>Lainnya</v>
      </c>
      <c r="F257" s="25" t="str">
        <f>IFERROR(__xludf.DUMMYFUNCTION("""COMPUTED_VALUE"""),"Gagal")</f>
        <v>Gagal</v>
      </c>
      <c r="G257" s="15" t="str">
        <f>IFERROR(__xludf.DUMMYFUNCTION("""COMPUTED_VALUE"""),"ot")</f>
        <v>ot</v>
      </c>
      <c r="H257" s="92"/>
      <c r="I257" s="27">
        <f>IFERROR(__xludf.DUMMYFUNCTION("""COMPUTED_VALUE"""),3.0)</f>
        <v>3</v>
      </c>
      <c r="J257" s="96"/>
      <c r="K257" s="30" t="str">
        <f>IFERROR(__xludf.DUMMYFUNCTION("""COMPUTED_VALUE"""),"pergi ke jogja")</f>
        <v>pergi ke jogja</v>
      </c>
      <c r="L257" s="49"/>
      <c r="M257" s="20"/>
      <c r="N257" s="20"/>
      <c r="O257" s="20"/>
      <c r="P257" s="20"/>
    </row>
    <row r="258">
      <c r="A258" s="97">
        <f>IFERROR(__xludf.DUMMYFUNCTION("""COMPUTED_VALUE"""),46181.0)</f>
        <v>46181</v>
      </c>
      <c r="B258" s="97" t="str">
        <f>IFERROR(__xludf.DUMMYFUNCTION("""COMPUTED_VALUE"""),"2606H012")</f>
        <v>2606H012</v>
      </c>
      <c r="C258" s="76" t="str">
        <f>IFERROR(__xludf.DUMMYFUNCTION("""COMPUTED_VALUE"""),"Ario Isnadi")</f>
        <v>Ario Isnadi</v>
      </c>
      <c r="D258" s="99" t="str">
        <f>IFERROR(__xludf.DUMMYFUNCTION("""COMPUTED_VALUE"""),"085156381325")</f>
        <v>085156381325</v>
      </c>
      <c r="E258" s="25" t="str">
        <f>IFERROR(__xludf.DUMMYFUNCTION("""COMPUTED_VALUE"""),"Lainnya")</f>
        <v>Lainnya</v>
      </c>
      <c r="F258" s="25" t="str">
        <f>IFERROR(__xludf.DUMMYFUNCTION("""COMPUTED_VALUE"""),"Closing")</f>
        <v>Closing</v>
      </c>
      <c r="G258" s="25" t="str">
        <f>IFERROR(__xludf.DUMMYFUNCTION("""COMPUTED_VALUE"""),"id green island")</f>
        <v>id green island</v>
      </c>
      <c r="H258" s="92">
        <f>IFERROR(__xludf.DUMMYFUNCTION("""COMPUTED_VALUE"""),46207.0)</f>
        <v>46207</v>
      </c>
      <c r="I258" s="17">
        <f>IFERROR(__xludf.DUMMYFUNCTION("""COMPUTED_VALUE"""),4.0)</f>
        <v>4</v>
      </c>
      <c r="J258" s="93">
        <f>IFERROR(__xludf.DUMMYFUNCTION("""COMPUTED_VALUE"""),1636000.0)</f>
        <v>1636000</v>
      </c>
      <c r="K258" s="46" t="str">
        <f>IFERROR(__xludf.DUMMYFUNCTION("""COMPUTED_VALUE"""),"alhmadulillah")</f>
        <v>alhmadulillah</v>
      </c>
      <c r="L258" s="76"/>
      <c r="M258" s="20"/>
      <c r="N258" s="20"/>
      <c r="O258" s="20"/>
      <c r="P258" s="20"/>
    </row>
    <row r="259">
      <c r="A259" s="110">
        <f>IFERROR(__xludf.DUMMYFUNCTION("""COMPUTED_VALUE"""),46182.0)</f>
        <v>46182</v>
      </c>
      <c r="B259" s="97" t="str">
        <f>IFERROR(__xludf.DUMMYFUNCTION("""COMPUTED_VALUE"""),"2606H013")</f>
        <v>2606H013</v>
      </c>
      <c r="C259" s="49" t="str">
        <f>IFERROR(__xludf.DUMMYFUNCTION("""COMPUTED_VALUE"""),"Evi (Netty)")</f>
        <v>Evi (Netty)</v>
      </c>
      <c r="D259" s="102" t="str">
        <f>IFERROR(__xludf.DUMMYFUNCTION("""COMPUTED_VALUE"""),"087825224105")</f>
        <v>087825224105</v>
      </c>
      <c r="E259" s="25" t="str">
        <f>IFERROR(__xludf.DUMMYFUNCTION("""COMPUTED_VALUE"""),"Lainnya")</f>
        <v>Lainnya</v>
      </c>
      <c r="F259" s="25" t="str">
        <f>IFERROR(__xludf.DUMMYFUNCTION("""COMPUTED_VALUE"""),"Qualified")</f>
        <v>Qualified</v>
      </c>
      <c r="G259" s="15" t="str">
        <f>IFERROR(__xludf.DUMMYFUNCTION("""COMPUTED_VALUE"""),"3h2m a")</f>
        <v>3h2m a</v>
      </c>
      <c r="H259" s="78">
        <f>IFERROR(__xludf.DUMMYFUNCTION("""COMPUTED_VALUE"""),46198.0)</f>
        <v>46198</v>
      </c>
      <c r="I259" s="27">
        <f>IFERROR(__xludf.DUMMYFUNCTION("""COMPUTED_VALUE"""),8.0)</f>
        <v>8</v>
      </c>
      <c r="J259" s="96">
        <f>IFERROR(__xludf.DUMMYFUNCTION("""COMPUTED_VALUE"""),1.084E7)</f>
        <v>10840000</v>
      </c>
      <c r="K259" s="36" t="str">
        <f>IFERROR(__xludf.DUMMYFUNCTION("""COMPUTED_VALUE"""),"FU 21 JUNI")</f>
        <v>FU 21 JUNI</v>
      </c>
      <c r="L259" s="49"/>
      <c r="M259" s="20"/>
      <c r="N259" s="20"/>
      <c r="O259" s="20"/>
      <c r="P259" s="20"/>
    </row>
    <row r="260">
      <c r="A260" s="97">
        <f>IFERROR(__xludf.DUMMYFUNCTION("""COMPUTED_VALUE"""),46183.0)</f>
        <v>46183</v>
      </c>
      <c r="B260" s="97" t="str">
        <f>IFERROR(__xludf.DUMMYFUNCTION("""COMPUTED_VALUE"""),"2606H014")</f>
        <v>2606H014</v>
      </c>
      <c r="C260" s="76" t="str">
        <f>IFERROR(__xludf.DUMMYFUNCTION("""COMPUTED_VALUE"""),"Aulia Putri Rahmadita")</f>
        <v>Aulia Putri Rahmadita</v>
      </c>
      <c r="D260" s="99" t="str">
        <f>IFERROR(__xludf.DUMMYFUNCTION("""COMPUTED_VALUE"""),"085817418180")</f>
        <v>085817418180</v>
      </c>
      <c r="E260" s="25" t="str">
        <f>IFERROR(__xludf.DUMMYFUNCTION("""COMPUTED_VALUE"""),"Website")</f>
        <v>Website</v>
      </c>
      <c r="F260" s="25" t="str">
        <f>IFERROR(__xludf.DUMMYFUNCTION("""COMPUTED_VALUE"""),"Gagal")</f>
        <v>Gagal</v>
      </c>
      <c r="G260" s="15" t="str">
        <f>IFERROR(__xludf.DUMMYFUNCTION("""COMPUTED_VALUE"""),"green island")</f>
        <v>green island</v>
      </c>
      <c r="H260" s="92"/>
      <c r="I260" s="80"/>
      <c r="J260" s="93"/>
      <c r="K260" s="19" t="str">
        <f>IFERROR(__xludf.DUMMYFUNCTION("""COMPUTED_VALUE"""),"cuma tanya tanya aja")</f>
        <v>cuma tanya tanya aja</v>
      </c>
      <c r="L260" s="76"/>
      <c r="M260" s="20"/>
      <c r="N260" s="20"/>
      <c r="O260" s="20"/>
      <c r="P260" s="20"/>
    </row>
    <row r="261">
      <c r="A261" s="110">
        <f>IFERROR(__xludf.DUMMYFUNCTION("""COMPUTED_VALUE"""),46183.0)</f>
        <v>46183</v>
      </c>
      <c r="B261" s="110" t="str">
        <f>IFERROR(__xludf.DUMMYFUNCTION("""COMPUTED_VALUE"""),"2606H015")</f>
        <v>2606H015</v>
      </c>
      <c r="C261" s="49" t="str">
        <f>IFERROR(__xludf.DUMMYFUNCTION("""COMPUTED_VALUE"""),"Rakha")</f>
        <v>Rakha</v>
      </c>
      <c r="D261" s="102" t="str">
        <f>IFERROR(__xludf.DUMMYFUNCTION("""COMPUTED_VALUE"""),"08119114704")</f>
        <v>08119114704</v>
      </c>
      <c r="E261" s="25" t="str">
        <f>IFERROR(__xludf.DUMMYFUNCTION("""COMPUTED_VALUE"""),"Lainnya")</f>
        <v>Lainnya</v>
      </c>
      <c r="F261" s="25" t="str">
        <f>IFERROR(__xludf.DUMMYFUNCTION("""COMPUTED_VALUE"""),"Gagal")</f>
        <v>Gagal</v>
      </c>
      <c r="G261" s="15" t="str">
        <f>IFERROR(__xludf.DUMMYFUNCTION("""COMPUTED_VALUE"""),"2h1m")</f>
        <v>2h1m</v>
      </c>
      <c r="H261" s="78">
        <f>IFERROR(__xludf.DUMMYFUNCTION("""COMPUTED_VALUE"""),46198.0)</f>
        <v>46198</v>
      </c>
      <c r="I261" s="27">
        <f>IFERROR(__xludf.DUMMYFUNCTION("""COMPUTED_VALUE"""),3.0)</f>
        <v>3</v>
      </c>
      <c r="J261" s="96"/>
      <c r="K261" s="19" t="str">
        <f>IFERROR(__xludf.DUMMYFUNCTION("""COMPUTED_VALUE"""),"ga ada jawaban")</f>
        <v>ga ada jawaban</v>
      </c>
      <c r="L261" s="76"/>
      <c r="M261" s="20"/>
      <c r="N261" s="20"/>
      <c r="O261" s="20"/>
      <c r="P261" s="20"/>
    </row>
    <row r="262">
      <c r="A262" s="97">
        <f>IFERROR(__xludf.DUMMYFUNCTION("""COMPUTED_VALUE"""),46183.0)</f>
        <v>46183</v>
      </c>
      <c r="B262" s="97" t="str">
        <f>IFERROR(__xludf.DUMMYFUNCTION("""COMPUTED_VALUE"""),"2606H016")</f>
        <v>2606H016</v>
      </c>
      <c r="C262" s="76" t="str">
        <f>IFERROR(__xludf.DUMMYFUNCTION("""COMPUTED_VALUE"""),"Wulan")</f>
        <v>Wulan</v>
      </c>
      <c r="D262" s="99" t="str">
        <f>IFERROR(__xludf.DUMMYFUNCTION("""COMPUTED_VALUE"""),"081199348")</f>
        <v>081199348</v>
      </c>
      <c r="E262" s="25" t="str">
        <f>IFERROR(__xludf.DUMMYFUNCTION("""COMPUTED_VALUE"""),"Lainnya")</f>
        <v>Lainnya</v>
      </c>
      <c r="F262" s="25" t="str">
        <f>IFERROR(__xludf.DUMMYFUNCTION("""COMPUTED_VALUE"""),"Closing")</f>
        <v>Closing</v>
      </c>
      <c r="G262" s="15" t="str">
        <f>IFERROR(__xludf.DUMMYFUNCTION("""COMPUTED_VALUE"""),"3h2m custome")</f>
        <v>3h2m custome</v>
      </c>
      <c r="H262" s="92"/>
      <c r="I262" s="17">
        <f>IFERROR(__xludf.DUMMYFUNCTION("""COMPUTED_VALUE"""),4.0)</f>
        <v>4</v>
      </c>
      <c r="J262" s="54">
        <f>IFERROR(__xludf.DUMMYFUNCTION("""COMPUTED_VALUE"""),5800000.0)</f>
        <v>5800000</v>
      </c>
      <c r="K262" s="19" t="str">
        <f>IFERROR(__xludf.DUMMYFUNCTION("""COMPUTED_VALUE"""),"alhamdulillah order")</f>
        <v>alhamdulillah order</v>
      </c>
      <c r="L262" s="76"/>
      <c r="M262" s="20"/>
      <c r="N262" s="20"/>
      <c r="O262" s="20"/>
      <c r="P262" s="20"/>
    </row>
    <row r="263">
      <c r="A263" s="110">
        <f>IFERROR(__xludf.DUMMYFUNCTION("""COMPUTED_VALUE"""),46183.0)</f>
        <v>46183</v>
      </c>
      <c r="B263" s="110" t="str">
        <f>IFERROR(__xludf.DUMMYFUNCTION("""COMPUTED_VALUE"""),"2606H017")</f>
        <v>2606H017</v>
      </c>
      <c r="C263" s="102" t="str">
        <f>IFERROR(__xludf.DUMMYFUNCTION("""COMPUTED_VALUE"""),"Widhi Baskara")</f>
        <v>Widhi Baskara</v>
      </c>
      <c r="D263" s="102" t="str">
        <f>IFERROR(__xludf.DUMMYFUNCTION("""COMPUTED_VALUE"""),"08128008500")</f>
        <v>08128008500</v>
      </c>
      <c r="E263" s="25" t="str">
        <f>IFERROR(__xludf.DUMMYFUNCTION("""COMPUTED_VALUE"""),"Lainnya")</f>
        <v>Lainnya</v>
      </c>
      <c r="F263" s="25" t="str">
        <f>IFERROR(__xludf.DUMMYFUNCTION("""COMPUTED_VALUE"""),"Gagal")</f>
        <v>Gagal</v>
      </c>
      <c r="G263" s="15" t="str">
        <f>IFERROR(__xludf.DUMMYFUNCTION("""COMPUTED_VALUE"""),"custome ")</f>
        <v>custome </v>
      </c>
      <c r="H263" s="78"/>
      <c r="I263" s="89">
        <f>IFERROR(__xludf.DUMMYFUNCTION("""COMPUTED_VALUE"""),2.0)</f>
        <v>2</v>
      </c>
      <c r="J263" s="96"/>
      <c r="K263" s="36" t="str">
        <f>IFERROR(__xludf.DUMMYFUNCTION("""COMPUTED_VALUE"""),"sdh pulang")</f>
        <v>sdh pulang</v>
      </c>
      <c r="L263" s="49"/>
      <c r="M263" s="20"/>
      <c r="N263" s="20"/>
      <c r="O263" s="20"/>
      <c r="P263" s="20"/>
    </row>
    <row r="264">
      <c r="A264" s="97">
        <f>IFERROR(__xludf.DUMMYFUNCTION("""COMPUTED_VALUE"""),46184.0)</f>
        <v>46184</v>
      </c>
      <c r="B264" s="97" t="str">
        <f>IFERROR(__xludf.DUMMYFUNCTION("""COMPUTED_VALUE"""),"2606H018")</f>
        <v>2606H018</v>
      </c>
      <c r="C264" s="76" t="str">
        <f>IFERROR(__xludf.DUMMYFUNCTION("""COMPUTED_VALUE"""),"Farah")</f>
        <v>Farah</v>
      </c>
      <c r="D264" s="99" t="str">
        <f>IFERROR(__xludf.DUMMYFUNCTION("""COMPUTED_VALUE"""),"087852361571")</f>
        <v>087852361571</v>
      </c>
      <c r="E264" s="25" t="str">
        <f>IFERROR(__xludf.DUMMYFUNCTION("""COMPUTED_VALUE"""),"Instagram")</f>
        <v>Instagram</v>
      </c>
      <c r="F264" s="25" t="str">
        <f>IFERROR(__xludf.DUMMYFUNCTION("""COMPUTED_VALUE"""),"Gagal")</f>
        <v>Gagal</v>
      </c>
      <c r="G264" s="15" t="str">
        <f>IFERROR(__xludf.DUMMYFUNCTION("""COMPUTED_VALUE"""),"menjangan tabuhan")</f>
        <v>menjangan tabuhan</v>
      </c>
      <c r="H264" s="92">
        <f>IFERROR(__xludf.DUMMYFUNCTION("""COMPUTED_VALUE"""),46188.0)</f>
        <v>46188</v>
      </c>
      <c r="I264" s="80">
        <f>IFERROR(__xludf.DUMMYFUNCTION("""COMPUTED_VALUE"""),4.0)</f>
        <v>4</v>
      </c>
      <c r="J264" s="93"/>
      <c r="K264" s="19" t="str">
        <f>IFERROR(__xludf.DUMMYFUNCTION("""COMPUTED_VALUE"""),"gada balasan")</f>
        <v>gada balasan</v>
      </c>
      <c r="L264" s="76"/>
      <c r="M264" s="20"/>
      <c r="N264" s="20"/>
      <c r="O264" s="20"/>
      <c r="P264" s="20"/>
    </row>
    <row r="265">
      <c r="A265" s="110">
        <f>IFERROR(__xludf.DUMMYFUNCTION("""COMPUTED_VALUE"""),46184.0)</f>
        <v>46184</v>
      </c>
      <c r="B265" s="110" t="str">
        <f>IFERROR(__xludf.DUMMYFUNCTION("""COMPUTED_VALUE"""),"2606H019")</f>
        <v>2606H019</v>
      </c>
      <c r="C265" s="49" t="str">
        <f>IFERROR(__xludf.DUMMYFUNCTION("""COMPUTED_VALUE"""),"Glory Nactasia")</f>
        <v>Glory Nactasia</v>
      </c>
      <c r="D265" s="102" t="str">
        <f>IFERROR(__xludf.DUMMYFUNCTION("""COMPUTED_VALUE"""),"082273522093")</f>
        <v>082273522093</v>
      </c>
      <c r="E265" s="25" t="str">
        <f>IFERROR(__xludf.DUMMYFUNCTION("""COMPUTED_VALUE"""),"Lainnya")</f>
        <v>Lainnya</v>
      </c>
      <c r="F265" s="25" t="str">
        <f>IFERROR(__xludf.DUMMYFUNCTION("""COMPUTED_VALUE"""),"Gagal")</f>
        <v>Gagal</v>
      </c>
      <c r="G265" s="15" t="str">
        <f>IFERROR(__xludf.DUMMYFUNCTION("""COMPUTED_VALUE"""),"3h2m opsi a")</f>
        <v>3h2m opsi a</v>
      </c>
      <c r="H265" s="78">
        <f>IFERROR(__xludf.DUMMYFUNCTION("""COMPUTED_VALUE"""),46192.0)</f>
        <v>46192</v>
      </c>
      <c r="I265" s="89">
        <f>IFERROR(__xludf.DUMMYFUNCTION("""COMPUTED_VALUE"""),2.0)</f>
        <v>2</v>
      </c>
      <c r="J265" s="96">
        <f>IFERROR(__xludf.DUMMYFUNCTION("""COMPUTED_VALUE"""),3135000.0)</f>
        <v>3135000</v>
      </c>
      <c r="K265" s="36" t="str">
        <f>IFERROR(__xludf.DUMMYFUNCTION("""COMPUTED_VALUE"""),"ngilang abis dikasi form")</f>
        <v>ngilang abis dikasi form</v>
      </c>
      <c r="L265" s="49"/>
      <c r="M265" s="20"/>
      <c r="N265" s="20"/>
      <c r="O265" s="20"/>
      <c r="P265" s="20"/>
    </row>
    <row r="266">
      <c r="A266" s="97">
        <f>IFERROR(__xludf.DUMMYFUNCTION("""COMPUTED_VALUE"""),46184.0)</f>
        <v>46184</v>
      </c>
      <c r="B266" s="97" t="str">
        <f>IFERROR(__xludf.DUMMYFUNCTION("""COMPUTED_VALUE"""),"2606H020")</f>
        <v>2606H020</v>
      </c>
      <c r="C266" s="76" t="str">
        <f>IFERROR(__xludf.DUMMYFUNCTION("""COMPUTED_VALUE"""),"Rita")</f>
        <v>Rita</v>
      </c>
      <c r="D266" s="99" t="str">
        <f>IFERROR(__xludf.DUMMYFUNCTION("""COMPUTED_VALUE"""),"081380107830")</f>
        <v>081380107830</v>
      </c>
      <c r="E266" s="25" t="str">
        <f>IFERROR(__xludf.DUMMYFUNCTION("""COMPUTED_VALUE"""),"Instagram")</f>
        <v>Instagram</v>
      </c>
      <c r="F266" s="25" t="str">
        <f>IFERROR(__xludf.DUMMYFUNCTION("""COMPUTED_VALUE"""),"Prospek")</f>
        <v>Prospek</v>
      </c>
      <c r="G266" s="25" t="str">
        <f>IFERROR(__xludf.DUMMYFUNCTION("""COMPUTED_VALUE"""),"3h2m opsi a")</f>
        <v>3h2m opsi a</v>
      </c>
      <c r="H266" s="92">
        <f>IFERROR(__xludf.DUMMYFUNCTION("""COMPUTED_VALUE"""),46195.0)</f>
        <v>46195</v>
      </c>
      <c r="I266" s="80">
        <f>IFERROR(__xludf.DUMMYFUNCTION("""COMPUTED_VALUE"""),5.0)</f>
        <v>5</v>
      </c>
      <c r="J266" s="93">
        <f>IFERROR(__xludf.DUMMYFUNCTION("""COMPUTED_VALUE"""),7000000.0)</f>
        <v>7000000</v>
      </c>
      <c r="K266" s="19" t="str">
        <f>IFERROR(__xludf.DUMMYFUNCTION("""COMPUTED_VALUE"""),"fu 19 juni")</f>
        <v>fu 19 juni</v>
      </c>
      <c r="L266" s="76"/>
      <c r="M266" s="20"/>
      <c r="N266" s="20"/>
      <c r="O266" s="20"/>
      <c r="P266" s="20"/>
    </row>
    <row r="267">
      <c r="A267" s="110">
        <f>IFERROR(__xludf.DUMMYFUNCTION("""COMPUTED_VALUE"""),46185.0)</f>
        <v>46185</v>
      </c>
      <c r="B267" s="110" t="str">
        <f>IFERROR(__xludf.DUMMYFUNCTION("""COMPUTED_VALUE"""),"2606H021")</f>
        <v>2606H021</v>
      </c>
      <c r="C267" s="49" t="str">
        <f>IFERROR(__xludf.DUMMYFUNCTION("""COMPUTED_VALUE"""),"Nur Faizah")</f>
        <v>Nur Faizah</v>
      </c>
      <c r="D267" s="102" t="str">
        <f>IFERROR(__xludf.DUMMYFUNCTION("""COMPUTED_VALUE"""),"085259177468")</f>
        <v>085259177468</v>
      </c>
      <c r="E267" s="25" t="str">
        <f>IFERROR(__xludf.DUMMYFUNCTION("""COMPUTED_VALUE"""),"Lainnya")</f>
        <v>Lainnya</v>
      </c>
      <c r="F267" s="25" t="str">
        <f>IFERROR(__xludf.DUMMYFUNCTION("""COMPUTED_VALUE"""),"Gagal")</f>
        <v>Gagal</v>
      </c>
      <c r="G267" s="15" t="str">
        <f>IFERROR(__xludf.DUMMYFUNCTION("""COMPUTED_VALUE"""),"mt b")</f>
        <v>mt b</v>
      </c>
      <c r="H267" s="78">
        <f>IFERROR(__xludf.DUMMYFUNCTION("""COMPUTED_VALUE"""),46186.0)</f>
        <v>46186</v>
      </c>
      <c r="I267" s="89">
        <f>IFERROR(__xludf.DUMMYFUNCTION("""COMPUTED_VALUE"""),2.0)</f>
        <v>2</v>
      </c>
      <c r="J267" s="33">
        <f>IFERROR(__xludf.DUMMYFUNCTION("""COMPUTED_VALUE"""),3070000.0)</f>
        <v>3070000</v>
      </c>
      <c r="K267" s="36" t="str">
        <f>IFERROR(__xludf.DUMMYFUNCTION("""COMPUTED_VALUE"""),"ga ada jawaban")</f>
        <v>ga ada jawaban</v>
      </c>
      <c r="L267" s="49"/>
      <c r="M267" s="20"/>
      <c r="N267" s="20"/>
      <c r="O267" s="20"/>
      <c r="P267" s="20"/>
    </row>
    <row r="268">
      <c r="A268" s="97">
        <f>IFERROR(__xludf.DUMMYFUNCTION("""COMPUTED_VALUE"""),46187.0)</f>
        <v>46187</v>
      </c>
      <c r="B268" s="97" t="str">
        <f>IFERROR(__xludf.DUMMYFUNCTION("""COMPUTED_VALUE"""),"2606H022")</f>
        <v>2606H022</v>
      </c>
      <c r="C268" s="76" t="str">
        <f>IFERROR(__xludf.DUMMYFUNCTION("""COMPUTED_VALUE"""),"Nurul Khairat")</f>
        <v>Nurul Khairat</v>
      </c>
      <c r="D268" s="99" t="str">
        <f>IFERROR(__xludf.DUMMYFUNCTION("""COMPUTED_VALUE"""),"085710002559")</f>
        <v>085710002559</v>
      </c>
      <c r="E268" s="25" t="str">
        <f>IFERROR(__xludf.DUMMYFUNCTION("""COMPUTED_VALUE"""),"Lainnya")</f>
        <v>Lainnya</v>
      </c>
      <c r="F268" s="25" t="str">
        <f>IFERROR(__xludf.DUMMYFUNCTION("""COMPUTED_VALUE"""),"Qualified")</f>
        <v>Qualified</v>
      </c>
      <c r="G268" s="25" t="str">
        <f>IFERROR(__xludf.DUMMYFUNCTION("""COMPUTED_VALUE"""),"3h2m b")</f>
        <v>3h2m b</v>
      </c>
      <c r="H268" s="92">
        <f>IFERROR(__xludf.DUMMYFUNCTION("""COMPUTED_VALUE"""),46255.0)</f>
        <v>46255</v>
      </c>
      <c r="I268" s="80">
        <f>IFERROR(__xludf.DUMMYFUNCTION("""COMPUTED_VALUE"""),8.0)</f>
        <v>8</v>
      </c>
      <c r="J268" s="93">
        <f>IFERROR(__xludf.DUMMYFUNCTION("""COMPUTED_VALUE"""),9120000.0)</f>
        <v>9120000</v>
      </c>
      <c r="K268" s="19" t="str">
        <f>IFERROR(__xludf.DUMMYFUNCTION("""COMPUTED_VALUE"""),"fu bulan 1 Agustus")</f>
        <v>fu bulan 1 Agustus</v>
      </c>
      <c r="L268" s="76"/>
      <c r="M268" s="20"/>
      <c r="N268" s="20"/>
      <c r="O268" s="20"/>
      <c r="P268" s="20"/>
    </row>
    <row r="269">
      <c r="A269" s="110">
        <f>IFERROR(__xludf.DUMMYFUNCTION("""COMPUTED_VALUE"""),46187.0)</f>
        <v>46187</v>
      </c>
      <c r="B269" s="110" t="str">
        <f>IFERROR(__xludf.DUMMYFUNCTION("""COMPUTED_VALUE"""),"2606H023")</f>
        <v>2606H023</v>
      </c>
      <c r="C269" s="49" t="str">
        <f>IFERROR(__xludf.DUMMYFUNCTION("""COMPUTED_VALUE"""),"Dini FItriani Noor Robiah")</f>
        <v>Dini FItriani Noor Robiah</v>
      </c>
      <c r="D269" s="102" t="str">
        <f>IFERROR(__xludf.DUMMYFUNCTION("""COMPUTED_VALUE"""),"085795192469")</f>
        <v>085795192469</v>
      </c>
      <c r="E269" s="25" t="str">
        <f>IFERROR(__xludf.DUMMYFUNCTION("""COMPUTED_VALUE"""),"Instagram")</f>
        <v>Instagram</v>
      </c>
      <c r="F269" s="25" t="str">
        <f>IFERROR(__xludf.DUMMYFUNCTION("""COMPUTED_VALUE"""),"Gagal")</f>
        <v>Gagal</v>
      </c>
      <c r="G269" s="15"/>
      <c r="H269" s="78"/>
      <c r="I269" s="89"/>
      <c r="J269" s="96"/>
      <c r="K269" s="36" t="str">
        <f>IFERROR(__xludf.DUMMYFUNCTION("""COMPUTED_VALUE"""),"gajadi ke Banyuwangi")</f>
        <v>gajadi ke Banyuwangi</v>
      </c>
      <c r="L269" s="49"/>
      <c r="M269" s="20"/>
      <c r="N269" s="20"/>
      <c r="O269" s="20"/>
      <c r="P269" s="20"/>
    </row>
    <row r="270">
      <c r="A270" s="97">
        <f>IFERROR(__xludf.DUMMYFUNCTION("""COMPUTED_VALUE"""),46187.0)</f>
        <v>46187</v>
      </c>
      <c r="B270" s="97" t="str">
        <f>IFERROR(__xludf.DUMMYFUNCTION("""COMPUTED_VALUE"""),"2606A024")</f>
        <v>2606A024</v>
      </c>
      <c r="C270" s="76" t="str">
        <f>IFERROR(__xludf.DUMMYFUNCTION("""COMPUTED_VALUE"""),"Dhiana")</f>
        <v>Dhiana</v>
      </c>
      <c r="D270" s="99" t="str">
        <f>IFERROR(__xludf.DUMMYFUNCTION("""COMPUTED_VALUE"""),"085882731012")</f>
        <v>085882731012</v>
      </c>
      <c r="E270" s="25" t="str">
        <f>IFERROR(__xludf.DUMMYFUNCTION("""COMPUTED_VALUE"""),"Lainnya")</f>
        <v>Lainnya</v>
      </c>
      <c r="F270" s="25" t="str">
        <f>IFERROR(__xludf.DUMMYFUNCTION("""COMPUTED_VALUE"""),"Follow Up")</f>
        <v>Follow Up</v>
      </c>
      <c r="G270" s="25" t="str">
        <f>IFERROR(__xludf.DUMMYFUNCTION("""COMPUTED_VALUE"""),"ot green island")</f>
        <v>ot green island</v>
      </c>
      <c r="H270" s="92">
        <f>IFERROR(__xludf.DUMMYFUNCTION("""COMPUTED_VALUE"""),46190.0)</f>
        <v>46190</v>
      </c>
      <c r="I270" s="80">
        <f>IFERROR(__xludf.DUMMYFUNCTION("""COMPUTED_VALUE"""),2.0)</f>
        <v>2</v>
      </c>
      <c r="J270" s="93">
        <f>IFERROR(__xludf.DUMMYFUNCTION("""COMPUTED_VALUE"""),1100000.0)</f>
        <v>1100000</v>
      </c>
      <c r="K270" s="19" t="str">
        <f>IFERROR(__xludf.DUMMYFUNCTION("""COMPUTED_VALUE"""),"fu 16 juni")</f>
        <v>fu 16 juni</v>
      </c>
      <c r="L270" s="76"/>
      <c r="M270" s="20"/>
      <c r="N270" s="20"/>
      <c r="O270" s="20"/>
      <c r="P270" s="20"/>
    </row>
    <row r="271">
      <c r="A271" s="110">
        <f>IFERROR(__xludf.DUMMYFUNCTION("""COMPUTED_VALUE"""),46187.0)</f>
        <v>46187</v>
      </c>
      <c r="B271" s="110" t="str">
        <f>IFERROR(__xludf.DUMMYFUNCTION("""COMPUTED_VALUE"""),"2606H025")</f>
        <v>2606H025</v>
      </c>
      <c r="C271" s="49" t="str">
        <f>IFERROR(__xludf.DUMMYFUNCTION("""COMPUTED_VALUE"""),"Ani")</f>
        <v>Ani</v>
      </c>
      <c r="D271" s="102" t="str">
        <f>IFERROR(__xludf.DUMMYFUNCTION("""COMPUTED_VALUE"""),"081213653888")</f>
        <v>081213653888</v>
      </c>
      <c r="E271" s="25" t="str">
        <f>IFERROR(__xludf.DUMMYFUNCTION("""COMPUTED_VALUE"""),"Lainnya")</f>
        <v>Lainnya</v>
      </c>
      <c r="F271" s="25" t="str">
        <f>IFERROR(__xludf.DUMMYFUNCTION("""COMPUTED_VALUE"""),"Gagal")</f>
        <v>Gagal</v>
      </c>
      <c r="G271" s="25" t="str">
        <f>IFERROR(__xludf.DUMMYFUNCTION("""COMPUTED_VALUE"""),"ijen")</f>
        <v>ijen</v>
      </c>
      <c r="H271" s="78">
        <f>IFERROR(__xludf.DUMMYFUNCTION("""COMPUTED_VALUE"""),46203.0)</f>
        <v>46203</v>
      </c>
      <c r="I271" s="89">
        <f>IFERROR(__xludf.DUMMYFUNCTION("""COMPUTED_VALUE"""),3.0)</f>
        <v>3</v>
      </c>
      <c r="J271" s="33">
        <f>IFERROR(__xludf.DUMMYFUNCTION("""COMPUTED_VALUE"""),1101000.0)</f>
        <v>1101000</v>
      </c>
      <c r="K271" s="30" t="str">
        <f>IFERROR(__xludf.DUMMYFUNCTION("""COMPUTED_VALUE"""),"waktunya ")</f>
        <v>waktunya </v>
      </c>
      <c r="L271" s="49"/>
      <c r="M271" s="20"/>
      <c r="N271" s="20"/>
      <c r="O271" s="20"/>
      <c r="P271" s="20"/>
    </row>
    <row r="272">
      <c r="A272" s="97">
        <f>IFERROR(__xludf.DUMMYFUNCTION("""COMPUTED_VALUE"""),46187.0)</f>
        <v>46187</v>
      </c>
      <c r="B272" s="97" t="str">
        <f>IFERROR(__xludf.DUMMYFUNCTION("""COMPUTED_VALUE"""),"2606H026")</f>
        <v>2606H026</v>
      </c>
      <c r="C272" s="76" t="str">
        <f>IFERROR(__xludf.DUMMYFUNCTION("""COMPUTED_VALUE"""),"Ita Qurotul")</f>
        <v>Ita Qurotul</v>
      </c>
      <c r="D272" s="99" t="str">
        <f>IFERROR(__xludf.DUMMYFUNCTION("""COMPUTED_VALUE"""),"085730728356")</f>
        <v>085730728356</v>
      </c>
      <c r="E272" s="25" t="str">
        <f>IFERROR(__xludf.DUMMYFUNCTION("""COMPUTED_VALUE"""),"Lainnya")</f>
        <v>Lainnya</v>
      </c>
      <c r="F272" s="25" t="str">
        <f>IFERROR(__xludf.DUMMYFUNCTION("""COMPUTED_VALUE"""),"Closing")</f>
        <v>Closing</v>
      </c>
      <c r="G272" s="25" t="str">
        <f>IFERROR(__xludf.DUMMYFUNCTION("""COMPUTED_VALUE"""),"1d green island")</f>
        <v>1d green island</v>
      </c>
      <c r="H272" s="92">
        <f>IFERROR(__xludf.DUMMYFUNCTION("""COMPUTED_VALUE"""),46203.0)</f>
        <v>46203</v>
      </c>
      <c r="I272" s="80">
        <f>IFERROR(__xludf.DUMMYFUNCTION("""COMPUTED_VALUE"""),2.0)</f>
        <v>2</v>
      </c>
      <c r="J272" s="93">
        <f>IFERROR(__xludf.DUMMYFUNCTION("""COMPUTED_VALUE"""),2016000.0)</f>
        <v>2016000</v>
      </c>
      <c r="K272" s="19" t="str">
        <f>IFERROR(__xludf.DUMMYFUNCTION("""COMPUTED_VALUE"""),"Alhamdulillah closing")</f>
        <v>Alhamdulillah closing</v>
      </c>
      <c r="L272" s="76"/>
      <c r="M272" s="20"/>
      <c r="N272" s="20"/>
      <c r="O272" s="20"/>
      <c r="P272" s="20"/>
    </row>
    <row r="273">
      <c r="A273" s="110">
        <f>IFERROR(__xludf.DUMMYFUNCTION("""COMPUTED_VALUE"""),46188.0)</f>
        <v>46188</v>
      </c>
      <c r="B273" s="110" t="str">
        <f>IFERROR(__xludf.DUMMYFUNCTION("""COMPUTED_VALUE"""),"2606H027")</f>
        <v>2606H027</v>
      </c>
      <c r="C273" s="49" t="str">
        <f>IFERROR(__xludf.DUMMYFUNCTION("""COMPUTED_VALUE"""),"Imung")</f>
        <v>Imung</v>
      </c>
      <c r="D273" s="102" t="str">
        <f>IFERROR(__xludf.DUMMYFUNCTION("""COMPUTED_VALUE"""),"081389822063")</f>
        <v>081389822063</v>
      </c>
      <c r="E273" s="25" t="str">
        <f>IFERROR(__xludf.DUMMYFUNCTION("""COMPUTED_VALUE"""),"Website")</f>
        <v>Website</v>
      </c>
      <c r="F273" s="25" t="str">
        <f>IFERROR(__xludf.DUMMYFUNCTION("""COMPUTED_VALUE"""),"Qualified")</f>
        <v>Qualified</v>
      </c>
      <c r="G273" s="25" t="str">
        <f>IFERROR(__xludf.DUMMYFUNCTION("""COMPUTED_VALUE"""),"3h2m")</f>
        <v>3h2m</v>
      </c>
      <c r="H273" s="78">
        <f>IFERROR(__xludf.DUMMYFUNCTION("""COMPUTED_VALUE"""),46203.0)</f>
        <v>46203</v>
      </c>
      <c r="I273" s="89">
        <f>IFERROR(__xludf.DUMMYFUNCTION("""COMPUTED_VALUE"""),4.0)</f>
        <v>4</v>
      </c>
      <c r="J273" s="96"/>
      <c r="K273" s="30" t="str">
        <f>IFERROR(__xludf.DUMMYFUNCTION("""COMPUTED_VALUE"""),"fu 20 juni")</f>
        <v>fu 20 juni</v>
      </c>
      <c r="L273" s="49"/>
      <c r="M273" s="20"/>
      <c r="N273" s="20"/>
      <c r="O273" s="20"/>
      <c r="P273" s="20"/>
    </row>
    <row r="274">
      <c r="A274" s="97">
        <f>IFERROR(__xludf.DUMMYFUNCTION("""COMPUTED_VALUE"""),46188.0)</f>
        <v>46188</v>
      </c>
      <c r="B274" s="97" t="str">
        <f>IFERROR(__xludf.DUMMYFUNCTION("""COMPUTED_VALUE"""),"2606H028")</f>
        <v>2606H028</v>
      </c>
      <c r="C274" s="76" t="str">
        <f>IFERROR(__xludf.DUMMYFUNCTION("""COMPUTED_VALUE"""),"Wiilda Ivn")</f>
        <v>Wiilda Ivn</v>
      </c>
      <c r="D274" s="99" t="str">
        <f>IFERROR(__xludf.DUMMYFUNCTION("""COMPUTED_VALUE"""),"088271003869")</f>
        <v>088271003869</v>
      </c>
      <c r="E274" s="25" t="str">
        <f>IFERROR(__xludf.DUMMYFUNCTION("""COMPUTED_VALUE"""),"Instagram")</f>
        <v>Instagram</v>
      </c>
      <c r="F274" s="25" t="str">
        <f>IFERROR(__xludf.DUMMYFUNCTION("""COMPUTED_VALUE"""),"Qualified")</f>
        <v>Qualified</v>
      </c>
      <c r="G274" s="15" t="str">
        <f>IFERROR(__xludf.DUMMYFUNCTION("""COMPUTED_VALUE"""),"ot mt")</f>
        <v>ot mt</v>
      </c>
      <c r="H274" s="16">
        <f>IFERROR(__xludf.DUMMYFUNCTION("""COMPUTED_VALUE"""),46188.0)</f>
        <v>46188</v>
      </c>
      <c r="I274" s="17">
        <f>IFERROR(__xludf.DUMMYFUNCTION("""COMPUTED_VALUE"""),1.0)</f>
        <v>1</v>
      </c>
      <c r="J274" s="54">
        <f>IFERROR(__xludf.DUMMYFUNCTION("""COMPUTED_VALUE"""),500000.0)</f>
        <v>500000</v>
      </c>
      <c r="K274" s="46" t="str">
        <f>IFERROR(__xludf.DUMMYFUNCTION("""COMPUTED_VALUE"""),"fu 15 juni")</f>
        <v>fu 15 juni</v>
      </c>
      <c r="L274" s="76"/>
      <c r="M274" s="20"/>
      <c r="N274" s="20"/>
      <c r="O274" s="20"/>
      <c r="P274" s="20"/>
    </row>
    <row r="275">
      <c r="A275" s="110">
        <f>IFERROR(__xludf.DUMMYFUNCTION("""COMPUTED_VALUE"""),46190.0)</f>
        <v>46190</v>
      </c>
      <c r="B275" s="110" t="str">
        <f>IFERROR(__xludf.DUMMYFUNCTION("""COMPUTED_VALUE"""),"2606H029")</f>
        <v>2606H029</v>
      </c>
      <c r="C275" s="49" t="str">
        <f>IFERROR(__xludf.DUMMYFUNCTION("""COMPUTED_VALUE"""),"Dessy")</f>
        <v>Dessy</v>
      </c>
      <c r="D275" s="102" t="str">
        <f>IFERROR(__xludf.DUMMYFUNCTION("""COMPUTED_VALUE"""),"081319250775")</f>
        <v>081319250775</v>
      </c>
      <c r="E275" s="25" t="str">
        <f>IFERROR(__xludf.DUMMYFUNCTION("""COMPUTED_VALUE"""),"Website")</f>
        <v>Website</v>
      </c>
      <c r="F275" s="25" t="str">
        <f>IFERROR(__xludf.DUMMYFUNCTION("""COMPUTED_VALUE"""),"Gagal")</f>
        <v>Gagal</v>
      </c>
      <c r="G275" s="25" t="str">
        <f>IFERROR(__xludf.DUMMYFUNCTION("""COMPUTED_VALUE"""),"otmt")</f>
        <v>otmt</v>
      </c>
      <c r="H275" s="78"/>
      <c r="I275" s="89">
        <f>IFERROR(__xludf.DUMMYFUNCTION("""COMPUTED_VALUE"""),3.0)</f>
        <v>3</v>
      </c>
      <c r="J275" s="96">
        <f>IFERROR(__xludf.DUMMYFUNCTION("""COMPUTED_VALUE"""),1500000.0)</f>
        <v>1500000</v>
      </c>
      <c r="K275" s="36" t="str">
        <f>IFERROR(__xludf.DUMMYFUNCTION("""COMPUTED_VALUE"""),"ga ada balasan")</f>
        <v>ga ada balasan</v>
      </c>
      <c r="L275" s="49"/>
      <c r="M275" s="20"/>
      <c r="N275" s="20"/>
      <c r="O275" s="20"/>
      <c r="P275" s="20"/>
    </row>
    <row r="276">
      <c r="A276" s="97">
        <f>IFERROR(__xludf.DUMMYFUNCTION("""COMPUTED_VALUE"""),46190.0)</f>
        <v>46190</v>
      </c>
      <c r="B276" s="97" t="str">
        <f>IFERROR(__xludf.DUMMYFUNCTION("""COMPUTED_VALUE"""),"2606H030")</f>
        <v>2606H030</v>
      </c>
      <c r="C276" s="76" t="str">
        <f>IFERROR(__xludf.DUMMYFUNCTION("""COMPUTED_VALUE"""),"Priharto")</f>
        <v>Priharto</v>
      </c>
      <c r="D276" s="99" t="str">
        <f>IFERROR(__xludf.DUMMYFUNCTION("""COMPUTED_VALUE"""),"081245999494")</f>
        <v>081245999494</v>
      </c>
      <c r="E276" s="25" t="str">
        <f>IFERROR(__xludf.DUMMYFUNCTION("""COMPUTED_VALUE"""),"Website")</f>
        <v>Website</v>
      </c>
      <c r="F276" s="25" t="str">
        <f>IFERROR(__xludf.DUMMYFUNCTION("""COMPUTED_VALUE"""),"Gagal")</f>
        <v>Gagal</v>
      </c>
      <c r="G276" s="25" t="str">
        <f>IFERROR(__xludf.DUMMYFUNCTION("""COMPUTED_VALUE"""),"ot")</f>
        <v>ot</v>
      </c>
      <c r="H276" s="92">
        <f>IFERROR(__xludf.DUMMYFUNCTION("""COMPUTED_VALUE"""),46208.0)</f>
        <v>46208</v>
      </c>
      <c r="I276" s="80"/>
      <c r="J276" s="93"/>
      <c r="K276" s="19" t="str">
        <f>IFERROR(__xludf.DUMMYFUNCTION("""COMPUTED_VALUE"""),"belum ada momennya")</f>
        <v>belum ada momennya</v>
      </c>
      <c r="L276" s="76"/>
      <c r="M276" s="20"/>
      <c r="N276" s="20"/>
      <c r="O276" s="20"/>
      <c r="P276" s="20"/>
    </row>
    <row r="277">
      <c r="A277" s="110">
        <f>IFERROR(__xludf.DUMMYFUNCTION("""COMPUTED_VALUE"""),46188.0)</f>
        <v>46188</v>
      </c>
      <c r="B277" s="110" t="str">
        <f>IFERROR(__xludf.DUMMYFUNCTION("""COMPUTED_VALUE"""),"2606H031")</f>
        <v>2606H031</v>
      </c>
      <c r="C277" s="49" t="str">
        <f>IFERROR(__xludf.DUMMYFUNCTION("""COMPUTED_VALUE"""),"afan")</f>
        <v>afan</v>
      </c>
      <c r="D277" s="102" t="str">
        <f>IFERROR(__xludf.DUMMYFUNCTION("""COMPUTED_VALUE"""),"0882001195600")</f>
        <v>0882001195600</v>
      </c>
      <c r="E277" s="25" t="str">
        <f>IFERROR(__xludf.DUMMYFUNCTION("""COMPUTED_VALUE"""),"Website")</f>
        <v>Website</v>
      </c>
      <c r="F277" s="25" t="str">
        <f>IFERROR(__xludf.DUMMYFUNCTION("""COMPUTED_VALUE"""),"Gagal")</f>
        <v>Gagal</v>
      </c>
      <c r="G277" s="15"/>
      <c r="H277" s="78"/>
      <c r="I277" s="27"/>
      <c r="J277" s="96"/>
      <c r="K277" s="36" t="str">
        <f>IFERROR(__xludf.DUMMYFUNCTION("""COMPUTED_VALUE"""),"gada balasan")</f>
        <v>gada balasan</v>
      </c>
      <c r="L277" s="49"/>
      <c r="M277" s="20"/>
      <c r="N277" s="20"/>
      <c r="O277" s="20"/>
      <c r="P277" s="20"/>
    </row>
    <row r="278">
      <c r="A278" s="97">
        <f>IFERROR(__xludf.DUMMYFUNCTION("""COMPUTED_VALUE"""),46188.0)</f>
        <v>46188</v>
      </c>
      <c r="B278" s="97" t="str">
        <f>IFERROR(__xludf.DUMMYFUNCTION("""COMPUTED_VALUE"""),"2606H032")</f>
        <v>2606H032</v>
      </c>
      <c r="C278" s="76" t="str">
        <f>IFERROR(__xludf.DUMMYFUNCTION("""COMPUTED_VALUE"""),"Nancy")</f>
        <v>Nancy</v>
      </c>
      <c r="D278" s="99" t="str">
        <f>IFERROR(__xludf.DUMMYFUNCTION("""COMPUTED_VALUE"""),"08119461909")</f>
        <v>08119461909</v>
      </c>
      <c r="E278" s="25" t="str">
        <f>IFERROR(__xludf.DUMMYFUNCTION("""COMPUTED_VALUE"""),"Website")</f>
        <v>Website</v>
      </c>
      <c r="F278" s="25" t="str">
        <f>IFERROR(__xludf.DUMMYFUNCTION("""COMPUTED_VALUE"""),"Gagal")</f>
        <v>Gagal</v>
      </c>
      <c r="G278" s="25"/>
      <c r="H278" s="92"/>
      <c r="I278" s="17"/>
      <c r="J278" s="93"/>
      <c r="K278" s="46" t="str">
        <f>IFERROR(__xludf.DUMMYFUNCTION("""COMPUTED_VALUE"""),"gada balasan")</f>
        <v>gada balasan</v>
      </c>
      <c r="L278" s="76"/>
      <c r="M278" s="20"/>
      <c r="N278" s="20"/>
      <c r="O278" s="20"/>
      <c r="P278" s="20"/>
    </row>
    <row r="279">
      <c r="A279" s="110">
        <f>IFERROR(__xludf.DUMMYFUNCTION("""COMPUTED_VALUE"""),46190.0)</f>
        <v>46190</v>
      </c>
      <c r="B279" s="110" t="str">
        <f>IFERROR(__xludf.DUMMYFUNCTION("""COMPUTED_VALUE"""),"2606H033")</f>
        <v>2606H033</v>
      </c>
      <c r="C279" s="49" t="str">
        <f>IFERROR(__xludf.DUMMYFUNCTION("""COMPUTED_VALUE"""),"Alfa Reza")</f>
        <v>Alfa Reza</v>
      </c>
      <c r="D279" s="102" t="str">
        <f>IFERROR(__xludf.DUMMYFUNCTION("""COMPUTED_VALUE"""),"085389493068")</f>
        <v>085389493068</v>
      </c>
      <c r="E279" s="25" t="str">
        <f>IFERROR(__xludf.DUMMYFUNCTION("""COMPUTED_VALUE"""),"Instagram")</f>
        <v>Instagram</v>
      </c>
      <c r="F279" s="25" t="str">
        <f>IFERROR(__xludf.DUMMYFUNCTION("""COMPUTED_VALUE"""),"Qualified")</f>
        <v>Qualified</v>
      </c>
      <c r="G279" s="25"/>
      <c r="H279" s="78"/>
      <c r="I279" s="89"/>
      <c r="J279" s="96"/>
      <c r="K279" s="36" t="str">
        <f>IFERROR(__xludf.DUMMYFUNCTION("""COMPUTED_VALUE"""),"hanya menyapa")</f>
        <v>hanya menyapa</v>
      </c>
      <c r="L279" s="76"/>
      <c r="M279" s="20"/>
      <c r="N279" s="20"/>
      <c r="O279" s="20"/>
      <c r="P279" s="20"/>
    </row>
    <row r="280">
      <c r="A280" s="97">
        <f>IFERROR(__xludf.DUMMYFUNCTION("""COMPUTED_VALUE"""),46190.0)</f>
        <v>46190</v>
      </c>
      <c r="B280" s="97" t="str">
        <f>IFERROR(__xludf.DUMMYFUNCTION("""COMPUTED_VALUE"""),"2606H034")</f>
        <v>2606H034</v>
      </c>
      <c r="C280" s="76" t="str">
        <f>IFERROR(__xludf.DUMMYFUNCTION("""COMPUTED_VALUE"""),"Kaniakenz")</f>
        <v>Kaniakenz</v>
      </c>
      <c r="D280" s="99" t="str">
        <f>IFERROR(__xludf.DUMMYFUNCTION("""COMPUTED_VALUE"""),"081916201006")</f>
        <v>081916201006</v>
      </c>
      <c r="E280" s="25" t="str">
        <f>IFERROR(__xludf.DUMMYFUNCTION("""COMPUTED_VALUE"""),"Website")</f>
        <v>Website</v>
      </c>
      <c r="F280" s="25" t="str">
        <f>IFERROR(__xludf.DUMMYFUNCTION("""COMPUTED_VALUE"""),"Qualified")</f>
        <v>Qualified</v>
      </c>
      <c r="G280" s="25" t="str">
        <f>IFERROR(__xludf.DUMMYFUNCTION("""COMPUTED_VALUE"""),"ot atau private green island")</f>
        <v>ot atau private green island</v>
      </c>
      <c r="H280" s="92">
        <f>IFERROR(__xludf.DUMMYFUNCTION("""COMPUTED_VALUE"""),46192.0)</f>
        <v>46192</v>
      </c>
      <c r="I280" s="17">
        <f>IFERROR(__xludf.DUMMYFUNCTION("""COMPUTED_VALUE"""),2.0)</f>
        <v>2</v>
      </c>
      <c r="J280" s="93">
        <f>IFERROR(__xludf.DUMMYFUNCTION("""COMPUTED_VALUE"""),1100000.0)</f>
        <v>1100000</v>
      </c>
      <c r="K280" s="19" t="str">
        <f>IFERROR(__xludf.DUMMYFUNCTION("""COMPUTED_VALUE"""),"fu 18 juni")</f>
        <v>fu 18 juni</v>
      </c>
      <c r="L280" s="76"/>
      <c r="M280" s="20"/>
      <c r="N280" s="20"/>
      <c r="O280" s="20"/>
      <c r="P280" s="20"/>
    </row>
    <row r="281">
      <c r="A281" s="110">
        <f>IFERROR(__xludf.DUMMYFUNCTION("""COMPUTED_VALUE"""),46191.0)</f>
        <v>46191</v>
      </c>
      <c r="B281" s="110" t="str">
        <f>IFERROR(__xludf.DUMMYFUNCTION("""COMPUTED_VALUE"""),"2606H035")</f>
        <v>2606H035</v>
      </c>
      <c r="C281" s="49" t="str">
        <f>IFERROR(__xludf.DUMMYFUNCTION("""COMPUTED_VALUE"""),"Fitri")</f>
        <v>Fitri</v>
      </c>
      <c r="D281" s="102" t="str">
        <f>IFERROR(__xludf.DUMMYFUNCTION("""COMPUTED_VALUE"""),"085881222196")</f>
        <v>085881222196</v>
      </c>
      <c r="E281" s="25" t="str">
        <f>IFERROR(__xludf.DUMMYFUNCTION("""COMPUTED_VALUE"""),"Website")</f>
        <v>Website</v>
      </c>
      <c r="F281" s="25" t="str">
        <f>IFERROR(__xludf.DUMMYFUNCTION("""COMPUTED_VALUE"""),"Qualified")</f>
        <v>Qualified</v>
      </c>
      <c r="G281" s="25" t="str">
        <f>IFERROR(__xludf.DUMMYFUNCTION("""COMPUTED_VALUE"""),"ot custom 4 hari")</f>
        <v>ot custom 4 hari</v>
      </c>
      <c r="H281" s="78"/>
      <c r="I281" s="89">
        <f>IFERROR(__xludf.DUMMYFUNCTION("""COMPUTED_VALUE"""),4.0)</f>
        <v>4</v>
      </c>
      <c r="J281" s="96">
        <f>IFERROR(__xludf.DUMMYFUNCTION("""COMPUTED_VALUE"""),6700000.0)</f>
        <v>6700000</v>
      </c>
      <c r="K281" s="36" t="str">
        <f>IFERROR(__xludf.DUMMYFUNCTION("""COMPUTED_VALUE"""),"fu 1 Agustus")</f>
        <v>fu 1 Agustus</v>
      </c>
      <c r="L281" s="49"/>
      <c r="M281" s="20"/>
      <c r="N281" s="20"/>
      <c r="O281" s="20"/>
      <c r="P281" s="20"/>
    </row>
    <row r="282">
      <c r="A282" s="97">
        <f>IFERROR(__xludf.DUMMYFUNCTION("""COMPUTED_VALUE"""),46191.0)</f>
        <v>46191</v>
      </c>
      <c r="B282" s="97" t="str">
        <f>IFERROR(__xludf.DUMMYFUNCTION("""COMPUTED_VALUE"""),"2606H036")</f>
        <v>2606H036</v>
      </c>
      <c r="C282" s="76" t="str">
        <f>IFERROR(__xludf.DUMMYFUNCTION("""COMPUTED_VALUE"""),"Aki Priyanggo")</f>
        <v>Aki Priyanggo</v>
      </c>
      <c r="D282" s="99" t="str">
        <f>IFERROR(__xludf.DUMMYFUNCTION("""COMPUTED_VALUE"""),"081119990136")</f>
        <v>081119990136</v>
      </c>
      <c r="E282" s="25" t="str">
        <f>IFERROR(__xludf.DUMMYFUNCTION("""COMPUTED_VALUE"""),"Lainnya")</f>
        <v>Lainnya</v>
      </c>
      <c r="F282" s="25" t="str">
        <f>IFERROR(__xludf.DUMMYFUNCTION("""COMPUTED_VALUE"""),"Qualified")</f>
        <v>Qualified</v>
      </c>
      <c r="G282" s="25" t="str">
        <f>IFERROR(__xludf.DUMMYFUNCTION("""COMPUTED_VALUE"""),"4h3m")</f>
        <v>4h3m</v>
      </c>
      <c r="H282" s="92">
        <f>IFERROR(__xludf.DUMMYFUNCTION("""COMPUTED_VALUE"""),46539.0)</f>
        <v>46539</v>
      </c>
      <c r="I282" s="80">
        <f>IFERROR(__xludf.DUMMYFUNCTION("""COMPUTED_VALUE"""),18.0)</f>
        <v>18</v>
      </c>
      <c r="J282" s="93"/>
      <c r="K282" s="19" t="str">
        <f>IFERROR(__xludf.DUMMYFUNCTION("""COMPUTED_VALUE"""),"fu 10 Agustus")</f>
        <v>fu 10 Agustus</v>
      </c>
      <c r="L282" s="76"/>
      <c r="M282" s="20"/>
      <c r="N282" s="20"/>
      <c r="O282" s="20"/>
      <c r="P282" s="20"/>
    </row>
    <row r="283">
      <c r="A283" s="110">
        <f>IFERROR(__xludf.DUMMYFUNCTION("""COMPUTED_VALUE"""),46192.0)</f>
        <v>46192</v>
      </c>
      <c r="B283" s="110" t="str">
        <f>IFERROR(__xludf.DUMMYFUNCTION("""COMPUTED_VALUE"""),"2606H037")</f>
        <v>2606H037</v>
      </c>
      <c r="C283" s="49" t="str">
        <f>IFERROR(__xludf.DUMMYFUNCTION("""COMPUTED_VALUE"""),"Erlin Sudarwati")</f>
        <v>Erlin Sudarwati</v>
      </c>
      <c r="D283" s="102" t="str">
        <f>IFERROR(__xludf.DUMMYFUNCTION("""COMPUTED_VALUE"""),"08161669721")</f>
        <v>08161669721</v>
      </c>
      <c r="E283" s="25" t="str">
        <f>IFERROR(__xludf.DUMMYFUNCTION("""COMPUTED_VALUE"""),"Website")</f>
        <v>Website</v>
      </c>
      <c r="F283" s="25" t="str">
        <f>IFERROR(__xludf.DUMMYFUNCTION("""COMPUTED_VALUE"""),"Gagal")</f>
        <v>Gagal</v>
      </c>
      <c r="G283" s="15" t="str">
        <f>IFERROR(__xludf.DUMMYFUNCTION("""COMPUTED_VALUE"""),"2H1M")</f>
        <v>2H1M</v>
      </c>
      <c r="H283" s="26">
        <f>IFERROR(__xludf.DUMMYFUNCTION("""COMPUTED_VALUE"""),46212.0)</f>
        <v>46212</v>
      </c>
      <c r="I283" s="27">
        <f>IFERROR(__xludf.DUMMYFUNCTION("""COMPUTED_VALUE"""),4.0)</f>
        <v>4</v>
      </c>
      <c r="J283" s="96"/>
      <c r="K283" s="36" t="str">
        <f>IFERROR(__xludf.DUMMYFUNCTION("""COMPUTED_VALUE"""),"ga ada balasan")</f>
        <v>ga ada balasan</v>
      </c>
      <c r="L283" s="49"/>
      <c r="M283" s="20"/>
      <c r="N283" s="20"/>
      <c r="O283" s="20"/>
      <c r="P283" s="20"/>
    </row>
    <row r="284">
      <c r="A284" s="97">
        <f>IFERROR(__xludf.DUMMYFUNCTION("""COMPUTED_VALUE"""),46191.0)</f>
        <v>46191</v>
      </c>
      <c r="B284" s="97" t="str">
        <f>IFERROR(__xludf.DUMMYFUNCTION("""COMPUTED_VALUE"""),"2606H038")</f>
        <v>2606H038</v>
      </c>
      <c r="C284" s="76" t="str">
        <f>IFERROR(__xludf.DUMMYFUNCTION("""COMPUTED_VALUE"""),"Desihaliza")</f>
        <v>Desihaliza</v>
      </c>
      <c r="D284" s="99" t="str">
        <f>IFERROR(__xludf.DUMMYFUNCTION("""COMPUTED_VALUE"""),"081911129694")</f>
        <v>081911129694</v>
      </c>
      <c r="E284" s="25" t="str">
        <f>IFERROR(__xludf.DUMMYFUNCTION("""COMPUTED_VALUE"""),"Instagram")</f>
        <v>Instagram</v>
      </c>
      <c r="F284" s="25" t="str">
        <f>IFERROR(__xludf.DUMMYFUNCTION("""COMPUTED_VALUE"""),"Gagal")</f>
        <v>Gagal</v>
      </c>
      <c r="G284" s="15" t="str">
        <f>IFERROR(__xludf.DUMMYFUNCTION("""COMPUTED_VALUE"""),"ot pulau")</f>
        <v>ot pulau</v>
      </c>
      <c r="H284" s="16"/>
      <c r="I284" s="17">
        <f>IFERROR(__xludf.DUMMYFUNCTION("""COMPUTED_VALUE"""),2.0)</f>
        <v>2</v>
      </c>
      <c r="J284" s="54"/>
      <c r="K284" s="19" t="str">
        <f>IFERROR(__xludf.DUMMYFUNCTION("""COMPUTED_VALUE"""),"fu 26 juni")</f>
        <v>fu 26 juni</v>
      </c>
      <c r="L284" s="76"/>
      <c r="M284" s="20"/>
      <c r="N284" s="20"/>
      <c r="O284" s="20"/>
      <c r="P284" s="20"/>
    </row>
    <row r="285">
      <c r="A285" s="110">
        <f>IFERROR(__xludf.DUMMYFUNCTION("""COMPUTED_VALUE"""),46192.0)</f>
        <v>46192</v>
      </c>
      <c r="B285" s="110" t="str">
        <f>IFERROR(__xludf.DUMMYFUNCTION("""COMPUTED_VALUE"""),"2606H039")</f>
        <v>2606H039</v>
      </c>
      <c r="C285" s="49" t="str">
        <f>IFERROR(__xludf.DUMMYFUNCTION("""COMPUTED_VALUE"""),"Pramita ")</f>
        <v>Pramita </v>
      </c>
      <c r="D285" s="102" t="str">
        <f>IFERROR(__xludf.DUMMYFUNCTION("""COMPUTED_VALUE"""),"089513059712")</f>
        <v>089513059712</v>
      </c>
      <c r="E285" s="25" t="str">
        <f>IFERROR(__xludf.DUMMYFUNCTION("""COMPUTED_VALUE"""),"Website")</f>
        <v>Website</v>
      </c>
      <c r="F285" s="25" t="str">
        <f>IFERROR(__xludf.DUMMYFUNCTION("""COMPUTED_VALUE"""),"Gagal")</f>
        <v>Gagal</v>
      </c>
      <c r="G285" s="15"/>
      <c r="H285" s="78"/>
      <c r="I285" s="89"/>
      <c r="J285" s="96"/>
      <c r="K285" s="36" t="str">
        <f>IFERROR(__xludf.DUMMYFUNCTION("""COMPUTED_VALUE"""),"ga ada balasan")</f>
        <v>ga ada balasan</v>
      </c>
      <c r="L285" s="49"/>
      <c r="M285" s="20"/>
      <c r="N285" s="20"/>
      <c r="O285" s="20"/>
      <c r="P285" s="20"/>
    </row>
    <row r="286">
      <c r="A286" s="97">
        <f>IFERROR(__xludf.DUMMYFUNCTION("""COMPUTED_VALUE"""),46192.0)</f>
        <v>46192</v>
      </c>
      <c r="B286" s="97" t="str">
        <f>IFERROR(__xludf.DUMMYFUNCTION("""COMPUTED_VALUE"""),"2606H040")</f>
        <v>2606H040</v>
      </c>
      <c r="C286" s="76" t="str">
        <f>IFERROR(__xludf.DUMMYFUNCTION("""COMPUTED_VALUE"""),"Tardi Simatupang")</f>
        <v>Tardi Simatupang</v>
      </c>
      <c r="D286" s="99" t="str">
        <f>IFERROR(__xludf.DUMMYFUNCTION("""COMPUTED_VALUE"""),"0811855219")</f>
        <v>0811855219</v>
      </c>
      <c r="E286" s="25" t="str">
        <f>IFERROR(__xludf.DUMMYFUNCTION("""COMPUTED_VALUE"""),"Website")</f>
        <v>Website</v>
      </c>
      <c r="F286" s="25" t="str">
        <f>IFERROR(__xludf.DUMMYFUNCTION("""COMPUTED_VALUE"""),"Leads Baru")</f>
        <v>Leads Baru</v>
      </c>
      <c r="G286" s="15" t="str">
        <f>IFERROR(__xludf.DUMMYFUNCTION("""COMPUTED_VALUE"""),"pulau merah")</f>
        <v>pulau merah</v>
      </c>
      <c r="H286" s="92"/>
      <c r="I286" s="17"/>
      <c r="J286" s="54"/>
      <c r="K286" s="19" t="str">
        <f>IFERROR(__xludf.DUMMYFUNCTION("""COMPUTED_VALUE"""),"belum ada kelanjutan")</f>
        <v>belum ada kelanjutan</v>
      </c>
      <c r="L286" s="76"/>
      <c r="M286" s="20"/>
      <c r="N286" s="20"/>
      <c r="O286" s="20"/>
      <c r="P286" s="20"/>
    </row>
    <row r="287">
      <c r="A287" s="110">
        <f>IFERROR(__xludf.DUMMYFUNCTION("""COMPUTED_VALUE"""),46192.0)</f>
        <v>46192</v>
      </c>
      <c r="B287" s="110" t="str">
        <f>IFERROR(__xludf.DUMMYFUNCTION("""COMPUTED_VALUE"""),"2606H041")</f>
        <v>2606H041</v>
      </c>
      <c r="C287" s="49" t="str">
        <f>IFERROR(__xludf.DUMMYFUNCTION("""COMPUTED_VALUE"""),"Ana (Maisyafriana)")</f>
        <v>Ana (Maisyafriana)</v>
      </c>
      <c r="D287" s="102" t="str">
        <f>IFERROR(__xludf.DUMMYFUNCTION("""COMPUTED_VALUE"""),"0816599036")</f>
        <v>0816599036</v>
      </c>
      <c r="E287" s="25" t="str">
        <f>IFERROR(__xludf.DUMMYFUNCTION("""COMPUTED_VALUE"""),"Website")</f>
        <v>Website</v>
      </c>
      <c r="F287" s="25" t="str">
        <f>IFERROR(__xludf.DUMMYFUNCTION("""COMPUTED_VALUE"""),"Closing")</f>
        <v>Closing</v>
      </c>
      <c r="G287" s="15" t="str">
        <f>IFERROR(__xludf.DUMMYFUNCTION("""COMPUTED_VALUE"""),"ot 3h2m")</f>
        <v>ot 3h2m</v>
      </c>
      <c r="H287" s="78">
        <f>IFERROR(__xludf.DUMMYFUNCTION("""COMPUTED_VALUE"""),46197.0)</f>
        <v>46197</v>
      </c>
      <c r="I287" s="27">
        <f>IFERROR(__xludf.DUMMYFUNCTION("""COMPUTED_VALUE"""),2.0)</f>
        <v>2</v>
      </c>
      <c r="J287" s="96">
        <f>IFERROR(__xludf.DUMMYFUNCTION("""COMPUTED_VALUE"""),3200000.0)</f>
        <v>3200000</v>
      </c>
      <c r="K287" s="30" t="str">
        <f>IFERROR(__xludf.DUMMYFUNCTION("""COMPUTED_VALUE"""),"alhamdulillah orrdeerr")</f>
        <v>alhamdulillah orrdeerr</v>
      </c>
      <c r="L287" s="49"/>
      <c r="M287" s="20"/>
      <c r="N287" s="20"/>
      <c r="O287" s="20"/>
      <c r="P287" s="20"/>
    </row>
    <row r="288">
      <c r="A288" s="97">
        <f>IFERROR(__xludf.DUMMYFUNCTION("""COMPUTED_VALUE"""),46193.0)</f>
        <v>46193</v>
      </c>
      <c r="B288" s="97" t="str">
        <f>IFERROR(__xludf.DUMMYFUNCTION("""COMPUTED_VALUE"""),"2606H042")</f>
        <v>2606H042</v>
      </c>
      <c r="C288" s="76" t="str">
        <f>IFERROR(__xludf.DUMMYFUNCTION("""COMPUTED_VALUE"""),"Geri")</f>
        <v>Geri</v>
      </c>
      <c r="D288" s="99" t="str">
        <f>IFERROR(__xludf.DUMMYFUNCTION("""COMPUTED_VALUE"""),"0895328886777")</f>
        <v>0895328886777</v>
      </c>
      <c r="E288" s="25" t="str">
        <f>IFERROR(__xludf.DUMMYFUNCTION("""COMPUTED_VALUE"""),"Lainnya")</f>
        <v>Lainnya</v>
      </c>
      <c r="F288" s="25" t="str">
        <f>IFERROR(__xludf.DUMMYFUNCTION("""COMPUTED_VALUE"""),"Leads Baru")</f>
        <v>Leads Baru</v>
      </c>
      <c r="G288" s="15" t="str">
        <f>IFERROR(__xludf.DUMMYFUNCTION("""COMPUTED_VALUE"""),"ijen")</f>
        <v>ijen</v>
      </c>
      <c r="H288" s="16"/>
      <c r="I288" s="17"/>
      <c r="J288" s="54"/>
      <c r="K288" s="19" t="str">
        <f>IFERROR(__xludf.DUMMYFUNCTION("""COMPUTED_VALUE"""),"gada balasan. fu 21 juni")</f>
        <v>gada balasan. fu 21 juni</v>
      </c>
      <c r="L288" s="76"/>
      <c r="M288" s="20"/>
      <c r="N288" s="20"/>
      <c r="O288" s="20"/>
      <c r="P288" s="20"/>
    </row>
    <row r="289">
      <c r="A289" s="110">
        <f>IFERROR(__xludf.DUMMYFUNCTION("""COMPUTED_VALUE"""),46193.0)</f>
        <v>46193</v>
      </c>
      <c r="B289" s="110" t="str">
        <f>IFERROR(__xludf.DUMMYFUNCTION("""COMPUTED_VALUE"""),"2606H043")</f>
        <v>2606H043</v>
      </c>
      <c r="C289" s="49" t="str">
        <f>IFERROR(__xludf.DUMMYFUNCTION("""COMPUTED_VALUE"""),"Juniar Shanny")</f>
        <v>Juniar Shanny</v>
      </c>
      <c r="D289" s="102" t="str">
        <f>IFERROR(__xludf.DUMMYFUNCTION("""COMPUTED_VALUE"""),"08561108252")</f>
        <v>08561108252</v>
      </c>
      <c r="E289" s="25" t="str">
        <f>IFERROR(__xludf.DUMMYFUNCTION("""COMPUTED_VALUE"""),"Website")</f>
        <v>Website</v>
      </c>
      <c r="F289" s="25" t="str">
        <f>IFERROR(__xludf.DUMMYFUNCTION("""COMPUTED_VALUE"""),"Qualified")</f>
        <v>Qualified</v>
      </c>
      <c r="G289" s="25" t="str">
        <f>IFERROR(__xludf.DUMMYFUNCTION("""COMPUTED_VALUE"""),"3h2m")</f>
        <v>3h2m</v>
      </c>
      <c r="H289" s="78"/>
      <c r="I289" s="89">
        <f>IFERROR(__xludf.DUMMYFUNCTION("""COMPUTED_VALUE"""),11.0)</f>
        <v>11</v>
      </c>
      <c r="J289" s="96">
        <f>IFERROR(__xludf.DUMMYFUNCTION("""COMPUTED_VALUE"""),1.815E7)</f>
        <v>18150000</v>
      </c>
      <c r="K289" s="36" t="str">
        <f>IFERROR(__xludf.DUMMYFUNCTION("""COMPUTED_VALUE"""),"fu 28 juni")</f>
        <v>fu 28 juni</v>
      </c>
      <c r="L289" s="49"/>
      <c r="M289" s="20"/>
      <c r="N289" s="20"/>
      <c r="O289" s="20"/>
      <c r="P289" s="20"/>
    </row>
    <row r="290">
      <c r="A290" s="97">
        <f>IFERROR(__xludf.DUMMYFUNCTION("""COMPUTED_VALUE"""),46193.0)</f>
        <v>46193</v>
      </c>
      <c r="B290" s="97" t="str">
        <f>IFERROR(__xludf.DUMMYFUNCTION("""COMPUTED_VALUE"""),"2606H044")</f>
        <v>2606H044</v>
      </c>
      <c r="C290" s="76" t="str">
        <f>IFERROR(__xludf.DUMMYFUNCTION("""COMPUTED_VALUE"""),"Callista Fritzie")</f>
        <v>Callista Fritzie</v>
      </c>
      <c r="D290" s="99" t="str">
        <f>IFERROR(__xludf.DUMMYFUNCTION("""COMPUTED_VALUE"""),"087783839913")</f>
        <v>087783839913</v>
      </c>
      <c r="E290" s="25" t="str">
        <f>IFERROR(__xludf.DUMMYFUNCTION("""COMPUTED_VALUE"""),"Website")</f>
        <v>Website</v>
      </c>
      <c r="F290" s="25" t="str">
        <f>IFERROR(__xludf.DUMMYFUNCTION("""COMPUTED_VALUE"""),"Gagal")</f>
        <v>Gagal</v>
      </c>
      <c r="G290" s="15"/>
      <c r="H290" s="92"/>
      <c r="I290" s="80">
        <f>IFERROR(__xludf.DUMMYFUNCTION("""COMPUTED_VALUE"""),3.0)</f>
        <v>3</v>
      </c>
      <c r="J290" s="93"/>
      <c r="K290" s="19" t="str">
        <f>IFERROR(__xludf.DUMMYFUNCTION("""COMPUTED_VALUE"""),"ga ada balasan")</f>
        <v>ga ada balasan</v>
      </c>
      <c r="L290" s="76"/>
      <c r="M290" s="20"/>
      <c r="N290" s="20"/>
      <c r="O290" s="20"/>
      <c r="P290" s="20"/>
    </row>
    <row r="291">
      <c r="A291" s="110">
        <f>IFERROR(__xludf.DUMMYFUNCTION("""COMPUTED_VALUE"""),46193.0)</f>
        <v>46193</v>
      </c>
      <c r="B291" s="110" t="str">
        <f>IFERROR(__xludf.DUMMYFUNCTION("""COMPUTED_VALUE"""),"2606H045")</f>
        <v>2606H045</v>
      </c>
      <c r="C291" s="49" t="str">
        <f>IFERROR(__xludf.DUMMYFUNCTION("""COMPUTED_VALUE"""),"Monn")</f>
        <v>Monn</v>
      </c>
      <c r="D291" s="102" t="str">
        <f>IFERROR(__xludf.DUMMYFUNCTION("""COMPUTED_VALUE"""),"085943044896")</f>
        <v>085943044896</v>
      </c>
      <c r="E291" s="25" t="str">
        <f>IFERROR(__xludf.DUMMYFUNCTION("""COMPUTED_VALUE"""),"Website")</f>
        <v>Website</v>
      </c>
      <c r="F291" s="25" t="str">
        <f>IFERROR(__xludf.DUMMYFUNCTION("""COMPUTED_VALUE"""),"Gagal")</f>
        <v>Gagal</v>
      </c>
      <c r="G291" s="15" t="str">
        <f>IFERROR(__xludf.DUMMYFUNCTION("""COMPUTED_VALUE"""),"ijen")</f>
        <v>ijen</v>
      </c>
      <c r="H291" s="26"/>
      <c r="I291" s="89"/>
      <c r="J291" s="96"/>
      <c r="K291" s="36" t="str">
        <f>IFERROR(__xludf.DUMMYFUNCTION("""COMPUTED_VALUE"""),"ga ada balasan")</f>
        <v>ga ada balasan</v>
      </c>
      <c r="L291" s="49"/>
      <c r="M291" s="20"/>
      <c r="N291" s="20"/>
      <c r="O291" s="20"/>
      <c r="P291" s="20"/>
    </row>
    <row r="292">
      <c r="A292" s="97">
        <f>IFERROR(__xludf.DUMMYFUNCTION("""COMPUTED_VALUE"""),46194.0)</f>
        <v>46194</v>
      </c>
      <c r="B292" s="97" t="str">
        <f>IFERROR(__xludf.DUMMYFUNCTION("""COMPUTED_VALUE"""),"2606H046")</f>
        <v>2606H046</v>
      </c>
      <c r="C292" s="76" t="str">
        <f>IFERROR(__xludf.DUMMYFUNCTION("""COMPUTED_VALUE"""),"Febi")</f>
        <v>Febi</v>
      </c>
      <c r="D292" s="99" t="str">
        <f>IFERROR(__xludf.DUMMYFUNCTION("""COMPUTED_VALUE"""),"08128530835")</f>
        <v>08128530835</v>
      </c>
      <c r="E292" s="25" t="str">
        <f>IFERROR(__xludf.DUMMYFUNCTION("""COMPUTED_VALUE"""),"Website")</f>
        <v>Website</v>
      </c>
      <c r="F292" s="25" t="str">
        <f>IFERROR(__xludf.DUMMYFUNCTION("""COMPUTED_VALUE"""),"Closing")</f>
        <v>Closing</v>
      </c>
      <c r="G292" s="25" t="str">
        <f>IFERROR(__xludf.DUMMYFUNCTION("""COMPUTED_VALUE"""),"private ijen &amp; baluran")</f>
        <v>private ijen &amp; baluran</v>
      </c>
      <c r="H292" s="16">
        <f>IFERROR(__xludf.DUMMYFUNCTION("""COMPUTED_VALUE"""),46203.0)</f>
        <v>46203</v>
      </c>
      <c r="I292" s="17">
        <f>IFERROR(__xludf.DUMMYFUNCTION("""COMPUTED_VALUE"""),3.0)</f>
        <v>3</v>
      </c>
      <c r="J292" s="54">
        <f>IFERROR(__xludf.DUMMYFUNCTION("""COMPUTED_VALUE"""),2157000.0)</f>
        <v>2157000</v>
      </c>
      <c r="K292" s="46" t="str">
        <f>IFERROR(__xludf.DUMMYFUNCTION("""COMPUTED_VALUE"""),"Alhamdulillah closing")</f>
        <v>Alhamdulillah closing</v>
      </c>
      <c r="L292" s="76"/>
      <c r="M292" s="20"/>
      <c r="N292" s="20"/>
      <c r="O292" s="20"/>
      <c r="P292" s="20"/>
    </row>
    <row r="293">
      <c r="A293" s="110">
        <f>IFERROR(__xludf.DUMMYFUNCTION("""COMPUTED_VALUE"""),46194.0)</f>
        <v>46194</v>
      </c>
      <c r="B293" s="110" t="str">
        <f>IFERROR(__xludf.DUMMYFUNCTION("""COMPUTED_VALUE"""),"2606H047")</f>
        <v>2606H047</v>
      </c>
      <c r="C293" s="49" t="str">
        <f>IFERROR(__xludf.DUMMYFUNCTION("""COMPUTED_VALUE"""),"Enggar JLP Acrylic")</f>
        <v>Enggar JLP Acrylic</v>
      </c>
      <c r="D293" s="102" t="str">
        <f>IFERROR(__xludf.DUMMYFUNCTION("""COMPUTED_VALUE"""),"08982360981")</f>
        <v>08982360981</v>
      </c>
      <c r="E293" s="25" t="str">
        <f>IFERROR(__xludf.DUMMYFUNCTION("""COMPUTED_VALUE"""),"Lainnya")</f>
        <v>Lainnya</v>
      </c>
      <c r="F293" s="25" t="str">
        <f>IFERROR(__xludf.DUMMYFUNCTION("""COMPUTED_VALUE"""),"Gagal")</f>
        <v>Gagal</v>
      </c>
      <c r="G293" s="25" t="str">
        <f>IFERROR(__xludf.DUMMYFUNCTION("""COMPUTED_VALUE"""),"djabal")</f>
        <v>djabal</v>
      </c>
      <c r="H293" s="78">
        <f>IFERROR(__xludf.DUMMYFUNCTION("""COMPUTED_VALUE"""),46212.0)</f>
        <v>46212</v>
      </c>
      <c r="I293" s="89">
        <f>IFERROR(__xludf.DUMMYFUNCTION("""COMPUTED_VALUE"""),7.0)</f>
        <v>7</v>
      </c>
      <c r="J293" s="96">
        <f>IFERROR(__xludf.DUMMYFUNCTION("""COMPUTED_VALUE"""),2352000.0)</f>
        <v>2352000</v>
      </c>
      <c r="K293" s="36" t="str">
        <f>IFERROR(__xludf.DUMMYFUNCTION("""COMPUTED_VALUE"""),"tidak ada balasan ")</f>
        <v>tidak ada balasan </v>
      </c>
      <c r="L293" s="49"/>
      <c r="M293" s="20"/>
      <c r="N293" s="20"/>
      <c r="O293" s="20"/>
      <c r="P293" s="20"/>
    </row>
    <row r="294">
      <c r="A294" s="97">
        <f>IFERROR(__xludf.DUMMYFUNCTION("""COMPUTED_VALUE"""),46194.0)</f>
        <v>46194</v>
      </c>
      <c r="B294" s="97" t="str">
        <f>IFERROR(__xludf.DUMMYFUNCTION("""COMPUTED_VALUE"""),"2606H048")</f>
        <v>2606H048</v>
      </c>
      <c r="C294" s="76" t="str">
        <f>IFERROR(__xludf.DUMMYFUNCTION("""COMPUTED_VALUE"""),"Mayu DIana")</f>
        <v>Mayu DIana</v>
      </c>
      <c r="D294" s="99" t="str">
        <f>IFERROR(__xludf.DUMMYFUNCTION("""COMPUTED_VALUE"""),"081574231080")</f>
        <v>081574231080</v>
      </c>
      <c r="E294" s="25" t="str">
        <f>IFERROR(__xludf.DUMMYFUNCTION("""COMPUTED_VALUE"""),"Website")</f>
        <v>Website</v>
      </c>
      <c r="F294" s="25" t="str">
        <f>IFERROR(__xludf.DUMMYFUNCTION("""COMPUTED_VALUE"""),"Gagal")</f>
        <v>Gagal</v>
      </c>
      <c r="G294" s="15" t="str">
        <f>IFERROR(__xludf.DUMMYFUNCTION("""COMPUTED_VALUE"""),"djabal")</f>
        <v>djabal</v>
      </c>
      <c r="H294" s="92">
        <f>IFERROR(__xludf.DUMMYFUNCTION("""COMPUTED_VALUE"""),46202.0)</f>
        <v>46202</v>
      </c>
      <c r="I294" s="80">
        <f>IFERROR(__xludf.DUMMYFUNCTION("""COMPUTED_VALUE"""),1.0)</f>
        <v>1</v>
      </c>
      <c r="J294" s="93">
        <f>IFERROR(__xludf.DUMMYFUNCTION("""COMPUTED_VALUE"""),450000.0)</f>
        <v>450000</v>
      </c>
      <c r="K294" s="19"/>
      <c r="L294" s="76"/>
      <c r="M294" s="20"/>
      <c r="N294" s="20"/>
      <c r="O294" s="20"/>
      <c r="P294" s="20"/>
    </row>
    <row r="295">
      <c r="A295" s="110">
        <f>IFERROR(__xludf.DUMMYFUNCTION("""COMPUTED_VALUE"""),46195.0)</f>
        <v>46195</v>
      </c>
      <c r="B295" s="110" t="str">
        <f>IFERROR(__xludf.DUMMYFUNCTION("""COMPUTED_VALUE"""),"2606H049")</f>
        <v>2606H049</v>
      </c>
      <c r="C295" s="49" t="str">
        <f>IFERROR(__xludf.DUMMYFUNCTION("""COMPUTED_VALUE"""),"Niputu")</f>
        <v>Niputu</v>
      </c>
      <c r="D295" s="102" t="str">
        <f>IFERROR(__xludf.DUMMYFUNCTION("""COMPUTED_VALUE"""),"0811163458")</f>
        <v>0811163458</v>
      </c>
      <c r="E295" s="25" t="str">
        <f>IFERROR(__xludf.DUMMYFUNCTION("""COMPUTED_VALUE"""),"Website")</f>
        <v>Website</v>
      </c>
      <c r="F295" s="25" t="str">
        <f>IFERROR(__xludf.DUMMYFUNCTION("""COMPUTED_VALUE"""),"Qualified")</f>
        <v>Qualified</v>
      </c>
      <c r="G295" s="25" t="str">
        <f>IFERROR(__xludf.DUMMYFUNCTION("""COMPUTED_VALUE"""),"2h1m")</f>
        <v>2h1m</v>
      </c>
      <c r="H295" s="26">
        <f>IFERROR(__xludf.DUMMYFUNCTION("""COMPUTED_VALUE"""),46257.0)</f>
        <v>46257</v>
      </c>
      <c r="I295" s="89">
        <f>IFERROR(__xludf.DUMMYFUNCTION("""COMPUTED_VALUE"""),3.0)</f>
        <v>3</v>
      </c>
      <c r="J295" s="33">
        <f>IFERROR(__xludf.DUMMYFUNCTION("""COMPUTED_VALUE"""),3930000.0)</f>
        <v>3930000</v>
      </c>
      <c r="K295" s="19" t="str">
        <f>IFERROR(__xludf.DUMMYFUNCTION("""COMPUTED_VALUE"""),"fu 18 juli")</f>
        <v>fu 18 juli</v>
      </c>
      <c r="L295" s="76"/>
      <c r="M295" s="20"/>
      <c r="N295" s="20"/>
      <c r="O295" s="20"/>
      <c r="P295" s="20"/>
    </row>
    <row r="296">
      <c r="A296" s="97">
        <f>IFERROR(__xludf.DUMMYFUNCTION("""COMPUTED_VALUE"""),46225.0)</f>
        <v>46225</v>
      </c>
      <c r="B296" s="110" t="str">
        <f>IFERROR(__xludf.DUMMYFUNCTION("""COMPUTED_VALUE"""),"2606H050")</f>
        <v>2606H050</v>
      </c>
      <c r="C296" s="76" t="str">
        <f>IFERROR(__xludf.DUMMYFUNCTION("""COMPUTED_VALUE"""),"Nike Zulfarli Mawardi")</f>
        <v>Nike Zulfarli Mawardi</v>
      </c>
      <c r="D296" s="99" t="str">
        <f>IFERROR(__xludf.DUMMYFUNCTION("""COMPUTED_VALUE"""),"08111001580")</f>
        <v>08111001580</v>
      </c>
      <c r="E296" s="25" t="str">
        <f>IFERROR(__xludf.DUMMYFUNCTION("""COMPUTED_VALUE"""),"Website")</f>
        <v>Website</v>
      </c>
      <c r="F296" s="25" t="str">
        <f>IFERROR(__xludf.DUMMYFUNCTION("""COMPUTED_VALUE"""),"Leads Baru")</f>
        <v>Leads Baru</v>
      </c>
      <c r="G296" s="25" t="str">
        <f>IFERROR(__xludf.DUMMYFUNCTION("""COMPUTED_VALUE"""),"3h2m")</f>
        <v>3h2m</v>
      </c>
      <c r="H296" s="92">
        <f>IFERROR(__xludf.DUMMYFUNCTION("""COMPUTED_VALUE"""),46264.0)</f>
        <v>46264</v>
      </c>
      <c r="I296" s="80">
        <f>IFERROR(__xludf.DUMMYFUNCTION("""COMPUTED_VALUE"""),16.0)</f>
        <v>16</v>
      </c>
      <c r="J296" s="54"/>
      <c r="K296" s="19"/>
      <c r="L296" s="76"/>
      <c r="M296" s="20"/>
      <c r="N296" s="20"/>
      <c r="O296" s="20"/>
      <c r="P296" s="20"/>
    </row>
    <row r="297">
      <c r="A297" s="110">
        <f>IFERROR(__xludf.DUMMYFUNCTION("""COMPUTED_VALUE"""),46196.0)</f>
        <v>46196</v>
      </c>
      <c r="B297" s="110" t="str">
        <f>IFERROR(__xludf.DUMMYFUNCTION("""COMPUTED_VALUE"""),"2606H051")</f>
        <v>2606H051</v>
      </c>
      <c r="C297" s="49" t="str">
        <f>IFERROR(__xludf.DUMMYFUNCTION("""COMPUTED_VALUE"""),"Ramses")</f>
        <v>Ramses</v>
      </c>
      <c r="D297" s="102" t="str">
        <f>IFERROR(__xludf.DUMMYFUNCTION("""COMPUTED_VALUE"""),"081310272999")</f>
        <v>081310272999</v>
      </c>
      <c r="E297" s="25" t="str">
        <f>IFERROR(__xludf.DUMMYFUNCTION("""COMPUTED_VALUE"""),"Website")</f>
        <v>Website</v>
      </c>
      <c r="F297" s="25" t="str">
        <f>IFERROR(__xludf.DUMMYFUNCTION("""COMPUTED_VALUE"""),"Closing")</f>
        <v>Closing</v>
      </c>
      <c r="G297" s="15" t="str">
        <f>IFERROR(__xludf.DUMMYFUNCTION("""COMPUTED_VALUE"""),"private ijen")</f>
        <v>private ijen</v>
      </c>
      <c r="H297" s="78">
        <f>IFERROR(__xludf.DUMMYFUNCTION("""COMPUTED_VALUE"""),46198.0)</f>
        <v>46198</v>
      </c>
      <c r="I297" s="27">
        <f>IFERROR(__xludf.DUMMYFUNCTION("""COMPUTED_VALUE"""),5.0)</f>
        <v>5</v>
      </c>
      <c r="J297" s="33">
        <f>IFERROR(__xludf.DUMMYFUNCTION("""COMPUTED_VALUE"""),1470000.0)</f>
        <v>1470000</v>
      </c>
      <c r="K297" s="30" t="str">
        <f>IFERROR(__xludf.DUMMYFUNCTION("""COMPUTED_VALUE"""),"Alhamdulillah closing")</f>
        <v>Alhamdulillah closing</v>
      </c>
      <c r="L297" s="49"/>
      <c r="M297" s="20"/>
      <c r="N297" s="20"/>
      <c r="O297" s="20"/>
      <c r="P297" s="20"/>
    </row>
    <row r="298">
      <c r="A298" s="97">
        <f>IFERROR(__xludf.DUMMYFUNCTION("""COMPUTED_VALUE"""),46196.0)</f>
        <v>46196</v>
      </c>
      <c r="B298" s="97" t="str">
        <f>IFERROR(__xludf.DUMMYFUNCTION("""COMPUTED_VALUE"""),"2606H052")</f>
        <v>2606H052</v>
      </c>
      <c r="C298" s="49" t="str">
        <f>IFERROR(__xludf.DUMMYFUNCTION("""COMPUTED_VALUE"""),"Andhika Gembul")</f>
        <v>Andhika Gembul</v>
      </c>
      <c r="D298" s="102" t="str">
        <f>IFERROR(__xludf.DUMMYFUNCTION("""COMPUTED_VALUE"""),"087852485097")</f>
        <v>087852485097</v>
      </c>
      <c r="E298" s="25" t="str">
        <f>IFERROR(__xludf.DUMMYFUNCTION("""COMPUTED_VALUE"""),"Website")</f>
        <v>Website</v>
      </c>
      <c r="F298" s="25" t="str">
        <f>IFERROR(__xludf.DUMMYFUNCTION("""COMPUTED_VALUE"""),"Leads Baru")</f>
        <v>Leads Baru</v>
      </c>
      <c r="G298" s="25" t="str">
        <f>IFERROR(__xludf.DUMMYFUNCTION("""COMPUTED_VALUE"""),"3h2m custom")</f>
        <v>3h2m custom</v>
      </c>
      <c r="H298" s="16"/>
      <c r="I298" s="17">
        <f>IFERROR(__xludf.DUMMYFUNCTION("""COMPUTED_VALUE"""),2.0)</f>
        <v>2</v>
      </c>
      <c r="J298" s="54"/>
      <c r="K298" s="46"/>
      <c r="L298" s="76"/>
      <c r="M298" s="20"/>
      <c r="N298" s="20"/>
      <c r="O298" s="20"/>
      <c r="P298" s="20"/>
    </row>
    <row r="299">
      <c r="A299" s="110">
        <f>IFERROR(__xludf.DUMMYFUNCTION("""COMPUTED_VALUE"""),46196.0)</f>
        <v>46196</v>
      </c>
      <c r="B299" s="119" t="str">
        <f>IFERROR(__xludf.DUMMYFUNCTION("""COMPUTED_VALUE"""),"2606H053")</f>
        <v>2606H053</v>
      </c>
      <c r="C299" s="49" t="str">
        <f>IFERROR(__xludf.DUMMYFUNCTION("""COMPUTED_VALUE"""),"widya")</f>
        <v>widya</v>
      </c>
      <c r="D299" s="102" t="str">
        <f>IFERROR(__xludf.DUMMYFUNCTION("""COMPUTED_VALUE"""),"082353713516")</f>
        <v>082353713516</v>
      </c>
      <c r="E299" s="25" t="str">
        <f>IFERROR(__xludf.DUMMYFUNCTION("""COMPUTED_VALUE"""),"Website")</f>
        <v>Website</v>
      </c>
      <c r="F299" s="25" t="str">
        <f>IFERROR(__xludf.DUMMYFUNCTION("""COMPUTED_VALUE"""),"Qualified")</f>
        <v>Qualified</v>
      </c>
      <c r="G299" s="25" t="str">
        <f>IFERROR(__xludf.DUMMYFUNCTION("""COMPUTED_VALUE"""),"1day trip")</f>
        <v>1day trip</v>
      </c>
      <c r="H299" s="78"/>
      <c r="I299" s="89">
        <f>IFERROR(__xludf.DUMMYFUNCTION("""COMPUTED_VALUE"""),1.0)</f>
        <v>1</v>
      </c>
      <c r="J299" s="96"/>
      <c r="K299" s="36" t="str">
        <f>IFERROR(__xludf.DUMMYFUNCTION("""COMPUTED_VALUE"""),"fu 28 juni")</f>
        <v>fu 28 juni</v>
      </c>
      <c r="L299" s="49"/>
      <c r="M299" s="20"/>
      <c r="N299" s="20"/>
      <c r="O299" s="20"/>
      <c r="P299" s="20"/>
    </row>
    <row r="300">
      <c r="A300" s="97">
        <f>IFERROR(__xludf.DUMMYFUNCTION("""COMPUTED_VALUE"""),46196.0)</f>
        <v>46196</v>
      </c>
      <c r="B300" s="97" t="str">
        <f>IFERROR(__xludf.DUMMYFUNCTION("""COMPUTED_VALUE"""),"2606H054")</f>
        <v>2606H054</v>
      </c>
      <c r="C300" s="76" t="str">
        <f>IFERROR(__xludf.DUMMYFUNCTION("""COMPUTED_VALUE"""),"Pradana Kurnia")</f>
        <v>Pradana Kurnia</v>
      </c>
      <c r="D300" s="99" t="str">
        <f>IFERROR(__xludf.DUMMYFUNCTION("""COMPUTED_VALUE"""),"08118499425")</f>
        <v>08118499425</v>
      </c>
      <c r="E300" s="25" t="str">
        <f>IFERROR(__xludf.DUMMYFUNCTION("""COMPUTED_VALUE"""),"Website")</f>
        <v>Website</v>
      </c>
      <c r="F300" s="25" t="str">
        <f>IFERROR(__xludf.DUMMYFUNCTION("""COMPUTED_VALUE"""),"Gagal")</f>
        <v>Gagal</v>
      </c>
      <c r="G300" s="25"/>
      <c r="H300" s="92"/>
      <c r="I300" s="80"/>
      <c r="J300" s="93"/>
      <c r="K300" s="19" t="str">
        <f>IFERROR(__xludf.DUMMYFUNCTION("""COMPUTED_VALUE"""),"hanya menyapa. ga ada balasan")</f>
        <v>hanya menyapa. ga ada balasan</v>
      </c>
      <c r="L300" s="76"/>
      <c r="M300" s="20"/>
      <c r="N300" s="20"/>
      <c r="O300" s="20"/>
      <c r="P300" s="20"/>
    </row>
    <row r="301">
      <c r="A301" s="110">
        <f>IFERROR(__xludf.DUMMYFUNCTION("""COMPUTED_VALUE"""),46196.0)</f>
        <v>46196</v>
      </c>
      <c r="B301" s="110" t="str">
        <f>IFERROR(__xludf.DUMMYFUNCTION("""COMPUTED_VALUE"""),"2606H055")</f>
        <v>2606H055</v>
      </c>
      <c r="C301" s="49" t="str">
        <f>IFERROR(__xludf.DUMMYFUNCTION("""COMPUTED_VALUE"""),"Nadira")</f>
        <v>Nadira</v>
      </c>
      <c r="D301" s="102" t="str">
        <f>IFERROR(__xludf.DUMMYFUNCTION("""COMPUTED_VALUE"""),"085813800245")</f>
        <v>085813800245</v>
      </c>
      <c r="E301" s="25" t="str">
        <f>IFERROR(__xludf.DUMMYFUNCTION("""COMPUTED_VALUE"""),"Website")</f>
        <v>Website</v>
      </c>
      <c r="F301" s="25" t="str">
        <f>IFERROR(__xludf.DUMMYFUNCTION("""COMPUTED_VALUE"""),"Gagal")</f>
        <v>Gagal</v>
      </c>
      <c r="G301" s="15" t="str">
        <f>IFERROR(__xludf.DUMMYFUNCTION("""COMPUTED_VALUE"""),"ot")</f>
        <v>ot</v>
      </c>
      <c r="H301" s="78"/>
      <c r="I301" s="89">
        <f>IFERROR(__xludf.DUMMYFUNCTION("""COMPUTED_VALUE"""),2.0)</f>
        <v>2</v>
      </c>
      <c r="J301" s="96"/>
      <c r="K301" s="36" t="str">
        <f>IFERROR(__xludf.DUMMYFUNCTION("""COMPUTED_VALUE"""),"ga ada balasan")</f>
        <v>ga ada balasan</v>
      </c>
      <c r="L301" s="49"/>
      <c r="M301" s="20"/>
      <c r="N301" s="20"/>
      <c r="O301" s="20"/>
      <c r="P301" s="20"/>
    </row>
    <row r="302">
      <c r="A302" s="97">
        <f>IFERROR(__xludf.DUMMYFUNCTION("""COMPUTED_VALUE"""),46196.0)</f>
        <v>46196</v>
      </c>
      <c r="B302" s="97" t="str">
        <f>IFERROR(__xludf.DUMMYFUNCTION("""COMPUTED_VALUE"""),"2606H056")</f>
        <v>2606H056</v>
      </c>
      <c r="C302" s="76" t="str">
        <f>IFERROR(__xludf.DUMMYFUNCTION("""COMPUTED_VALUE"""),"Tamariska Citra")</f>
        <v>Tamariska Citra</v>
      </c>
      <c r="D302" s="99" t="str">
        <f>IFERROR(__xludf.DUMMYFUNCTION("""COMPUTED_VALUE"""),"085804778540")</f>
        <v>085804778540</v>
      </c>
      <c r="E302" s="25" t="str">
        <f>IFERROR(__xludf.DUMMYFUNCTION("""COMPUTED_VALUE"""),"Lainnya")</f>
        <v>Lainnya</v>
      </c>
      <c r="F302" s="25" t="str">
        <f>IFERROR(__xludf.DUMMYFUNCTION("""COMPUTED_VALUE"""),"Gagal")</f>
        <v>Gagal</v>
      </c>
      <c r="G302" s="15" t="str">
        <f>IFERROR(__xludf.DUMMYFUNCTION("""COMPUTED_VALUE"""),"1 day trip green island")</f>
        <v>1 day trip green island</v>
      </c>
      <c r="H302" s="16">
        <f>IFERROR(__xludf.DUMMYFUNCTION("""COMPUTED_VALUE"""),46205.0)</f>
        <v>46205</v>
      </c>
      <c r="I302" s="80">
        <f>IFERROR(__xludf.DUMMYFUNCTION("""COMPUTED_VALUE"""),2.0)</f>
        <v>2</v>
      </c>
      <c r="J302" s="54">
        <f>IFERROR(__xludf.DUMMYFUNCTION("""COMPUTED_VALUE"""),1512000.0)</f>
        <v>1512000</v>
      </c>
      <c r="K302" s="19" t="str">
        <f>IFERROR(__xludf.DUMMYFUNCTION("""COMPUTED_VALUE"""),"ga ada balasan")</f>
        <v>ga ada balasan</v>
      </c>
      <c r="L302" s="76"/>
      <c r="M302" s="20"/>
      <c r="N302" s="20"/>
      <c r="O302" s="20"/>
      <c r="P302" s="20"/>
    </row>
    <row r="303">
      <c r="A303" s="110">
        <f>IFERROR(__xludf.DUMMYFUNCTION("""COMPUTED_VALUE"""),46197.0)</f>
        <v>46197</v>
      </c>
      <c r="B303" s="110" t="str">
        <f>IFERROR(__xludf.DUMMYFUNCTION("""COMPUTED_VALUE"""),"2606H057")</f>
        <v>2606H057</v>
      </c>
      <c r="C303" s="49" t="str">
        <f>IFERROR(__xludf.DUMMYFUNCTION("""COMPUTED_VALUE"""),"Luqi Bawafi")</f>
        <v>Luqi Bawafi</v>
      </c>
      <c r="D303" s="102" t="str">
        <f>IFERROR(__xludf.DUMMYFUNCTION("""COMPUTED_VALUE"""),"08151832281")</f>
        <v>08151832281</v>
      </c>
      <c r="E303" s="25" t="str">
        <f>IFERROR(__xludf.DUMMYFUNCTION("""COMPUTED_VALUE"""),"Website")</f>
        <v>Website</v>
      </c>
      <c r="F303" s="25" t="str">
        <f>IFERROR(__xludf.DUMMYFUNCTION("""COMPUTED_VALUE"""),"Gagal")</f>
        <v>Gagal</v>
      </c>
      <c r="G303" s="25" t="str">
        <f>IFERROR(__xludf.DUMMYFUNCTION("""COMPUTED_VALUE"""),"4h3m ")</f>
        <v>4h3m </v>
      </c>
      <c r="H303" s="26">
        <f>IFERROR(__xludf.DUMMYFUNCTION("""COMPUTED_VALUE"""),46204.0)</f>
        <v>46204</v>
      </c>
      <c r="I303" s="89">
        <f>IFERROR(__xludf.DUMMYFUNCTION("""COMPUTED_VALUE"""),2.0)</f>
        <v>2</v>
      </c>
      <c r="J303" s="33">
        <f>IFERROR(__xludf.DUMMYFUNCTION("""COMPUTED_VALUE"""),7890000.0)</f>
        <v>7890000</v>
      </c>
      <c r="K303" s="36" t="str">
        <f>IFERROR(__xludf.DUMMYFUNCTION("""COMPUTED_VALUE"""),"ga ada balasan")</f>
        <v>ga ada balasan</v>
      </c>
      <c r="L303" s="49"/>
      <c r="M303" s="20"/>
      <c r="N303" s="20"/>
      <c r="O303" s="20"/>
      <c r="P303" s="20"/>
    </row>
    <row r="304">
      <c r="A304" s="97">
        <f>IFERROR(__xludf.DUMMYFUNCTION("""COMPUTED_VALUE"""),46197.0)</f>
        <v>46197</v>
      </c>
      <c r="B304" s="97" t="str">
        <f>IFERROR(__xludf.DUMMYFUNCTION("""COMPUTED_VALUE"""),"2606H058")</f>
        <v>2606H058</v>
      </c>
      <c r="C304" s="76" t="str">
        <f>IFERROR(__xludf.DUMMYFUNCTION("""COMPUTED_VALUE"""),"Gigih Susilo (Egi)")</f>
        <v>Gigih Susilo (Egi)</v>
      </c>
      <c r="D304" s="99" t="str">
        <f>IFERROR(__xludf.DUMMYFUNCTION("""COMPUTED_VALUE"""),"081294622218")</f>
        <v>081294622218</v>
      </c>
      <c r="E304" s="25" t="str">
        <f>IFERROR(__xludf.DUMMYFUNCTION("""COMPUTED_VALUE"""),"Website")</f>
        <v>Website</v>
      </c>
      <c r="F304" s="25" t="str">
        <f>IFERROR(__xludf.DUMMYFUNCTION("""COMPUTED_VALUE"""),"Gagal")</f>
        <v>Gagal</v>
      </c>
      <c r="G304" s="15" t="str">
        <f>IFERROR(__xludf.DUMMYFUNCTION("""COMPUTED_VALUE"""),"ot mt")</f>
        <v>ot mt</v>
      </c>
      <c r="H304" s="92"/>
      <c r="I304" s="80"/>
      <c r="J304" s="93"/>
      <c r="K304" s="46" t="str">
        <f>IFERROR(__xludf.DUMMYFUNCTION("""COMPUTED_VALUE"""),"ga ada balasan")</f>
        <v>ga ada balasan</v>
      </c>
      <c r="L304" s="76"/>
      <c r="M304" s="20"/>
      <c r="N304" s="20"/>
      <c r="O304" s="20"/>
      <c r="P304" s="20"/>
    </row>
    <row r="305">
      <c r="A305" s="110">
        <f>IFERROR(__xludf.DUMMYFUNCTION("""COMPUTED_VALUE"""),46197.0)</f>
        <v>46197</v>
      </c>
      <c r="B305" s="110" t="str">
        <f>IFERROR(__xludf.DUMMYFUNCTION("""COMPUTED_VALUE"""),"2606H059")</f>
        <v>2606H059</v>
      </c>
      <c r="C305" s="49" t="str">
        <f>IFERROR(__xludf.DUMMYFUNCTION("""COMPUTED_VALUE"""),"Achmad Soeseno")</f>
        <v>Achmad Soeseno</v>
      </c>
      <c r="D305" s="102" t="str">
        <f>IFERROR(__xludf.DUMMYFUNCTION("""COMPUTED_VALUE"""),"0811824509")</f>
        <v>0811824509</v>
      </c>
      <c r="E305" s="25" t="str">
        <f>IFERROR(__xludf.DUMMYFUNCTION("""COMPUTED_VALUE"""),"Website")</f>
        <v>Website</v>
      </c>
      <c r="F305" s="25" t="str">
        <f>IFERROR(__xludf.DUMMYFUNCTION("""COMPUTED_VALUE"""),"Gagal")</f>
        <v>Gagal</v>
      </c>
      <c r="G305" s="15" t="str">
        <f>IFERROR(__xludf.DUMMYFUNCTION("""COMPUTED_VALUE"""),"3h2m")</f>
        <v>3h2m</v>
      </c>
      <c r="H305" s="78"/>
      <c r="I305" s="89"/>
      <c r="J305" s="96"/>
      <c r="K305" s="36" t="str">
        <f>IFERROR(__xludf.DUMMYFUNCTION("""COMPUTED_VALUE"""),"ga ada balasan")</f>
        <v>ga ada balasan</v>
      </c>
      <c r="L305" s="49"/>
      <c r="M305" s="20"/>
      <c r="N305" s="20"/>
      <c r="O305" s="20"/>
      <c r="P305" s="20"/>
    </row>
    <row r="306">
      <c r="A306" s="97">
        <f>IFERROR(__xludf.DUMMYFUNCTION("""COMPUTED_VALUE"""),46197.0)</f>
        <v>46197</v>
      </c>
      <c r="B306" s="97" t="str">
        <f>IFERROR(__xludf.DUMMYFUNCTION("""COMPUTED_VALUE"""),"2606H060")</f>
        <v>2606H060</v>
      </c>
      <c r="C306" s="76" t="str">
        <f>IFERROR(__xludf.DUMMYFUNCTION("""COMPUTED_VALUE"""),"Wijaya")</f>
        <v>Wijaya</v>
      </c>
      <c r="D306" s="99" t="str">
        <f>IFERROR(__xludf.DUMMYFUNCTION("""COMPUTED_VALUE"""),"08816840342")</f>
        <v>08816840342</v>
      </c>
      <c r="E306" s="25" t="str">
        <f>IFERROR(__xludf.DUMMYFUNCTION("""COMPUTED_VALUE"""),"Website")</f>
        <v>Website</v>
      </c>
      <c r="F306" s="25" t="str">
        <f>IFERROR(__xludf.DUMMYFUNCTION("""COMPUTED_VALUE"""),"Gagal")</f>
        <v>Gagal</v>
      </c>
      <c r="G306" s="15" t="str">
        <f>IFERROR(__xludf.DUMMYFUNCTION("""COMPUTED_VALUE"""),"kawah wurung, djawatan, baluran")</f>
        <v>kawah wurung, djawatan, baluran</v>
      </c>
      <c r="H306" s="92">
        <f>IFERROR(__xludf.DUMMYFUNCTION("""COMPUTED_VALUE"""),46198.0)</f>
        <v>46198</v>
      </c>
      <c r="I306" s="80">
        <f>IFERROR(__xludf.DUMMYFUNCTION("""COMPUTED_VALUE"""),3.0)</f>
        <v>3</v>
      </c>
      <c r="J306" s="93"/>
      <c r="K306" s="19" t="str">
        <f>IFERROR(__xludf.DUMMYFUNCTION("""COMPUTED_VALUE"""),"ga ada jawaban")</f>
        <v>ga ada jawaban</v>
      </c>
      <c r="L306" s="76"/>
      <c r="M306" s="20"/>
      <c r="N306" s="20"/>
      <c r="O306" s="20"/>
      <c r="P306" s="20"/>
    </row>
    <row r="307">
      <c r="A307" s="110">
        <f>IFERROR(__xludf.DUMMYFUNCTION("""COMPUTED_VALUE"""),46198.0)</f>
        <v>46198</v>
      </c>
      <c r="B307" s="110" t="str">
        <f>IFERROR(__xludf.DUMMYFUNCTION("""COMPUTED_VALUE"""),"2606H061")</f>
        <v>2606H061</v>
      </c>
      <c r="C307" s="49" t="str">
        <f>IFERROR(__xludf.DUMMYFUNCTION("""COMPUTED_VALUE"""),"Suheriyah")</f>
        <v>Suheriyah</v>
      </c>
      <c r="D307" s="102" t="str">
        <f>IFERROR(__xludf.DUMMYFUNCTION("""COMPUTED_VALUE"""),"081310347856")</f>
        <v>081310347856</v>
      </c>
      <c r="E307" s="25" t="str">
        <f>IFERROR(__xludf.DUMMYFUNCTION("""COMPUTED_VALUE"""),"Website")</f>
        <v>Website</v>
      </c>
      <c r="F307" s="25" t="str">
        <f>IFERROR(__xludf.DUMMYFUNCTION("""COMPUTED_VALUE"""),"Qualified")</f>
        <v>Qualified</v>
      </c>
      <c r="G307" s="15" t="str">
        <f>IFERROR(__xludf.DUMMYFUNCTION("""COMPUTED_VALUE"""),"3h2m")</f>
        <v>3h2m</v>
      </c>
      <c r="H307" s="78">
        <f>IFERROR(__xludf.DUMMYFUNCTION("""COMPUTED_VALUE"""),2027.0)</f>
        <v>2027</v>
      </c>
      <c r="I307" s="89">
        <f>IFERROR(__xludf.DUMMYFUNCTION("""COMPUTED_VALUE"""),20.0)</f>
        <v>20</v>
      </c>
      <c r="J307" s="96"/>
      <c r="K307" s="36" t="str">
        <f>IFERROR(__xludf.DUMMYFUNCTION("""COMPUTED_VALUE"""),"fu 2 juli")</f>
        <v>fu 2 juli</v>
      </c>
      <c r="L307" s="49"/>
      <c r="M307" s="20"/>
      <c r="N307" s="20"/>
      <c r="O307" s="20"/>
      <c r="P307" s="20"/>
    </row>
    <row r="308">
      <c r="A308" s="97">
        <f>IFERROR(__xludf.DUMMYFUNCTION("""COMPUTED_VALUE"""),46198.0)</f>
        <v>46198</v>
      </c>
      <c r="B308" s="97" t="str">
        <f>IFERROR(__xludf.DUMMYFUNCTION("""COMPUTED_VALUE"""),"2606H062")</f>
        <v>2606H062</v>
      </c>
      <c r="C308" s="76" t="str">
        <f>IFERROR(__xludf.DUMMYFUNCTION("""COMPUTED_VALUE"""),"Puji Laksono Saudi")</f>
        <v>Puji Laksono Saudi</v>
      </c>
      <c r="D308" s="99" t="str">
        <f>IFERROR(__xludf.DUMMYFUNCTION("""COMPUTED_VALUE"""),"966 50 513 2279")</f>
        <v>966 50 513 2279</v>
      </c>
      <c r="E308" s="25" t="str">
        <f>IFERROR(__xludf.DUMMYFUNCTION("""COMPUTED_VALUE"""),"Website")</f>
        <v>Website</v>
      </c>
      <c r="F308" s="25" t="str">
        <f>IFERROR(__xludf.DUMMYFUNCTION("""COMPUTED_VALUE"""),"Closing")</f>
        <v>Closing</v>
      </c>
      <c r="G308" s="25" t="str">
        <f>IFERROR(__xludf.DUMMYFUNCTION("""COMPUTED_VALUE"""),"mt")</f>
        <v>mt</v>
      </c>
      <c r="H308" s="92"/>
      <c r="I308" s="17"/>
      <c r="J308" s="54"/>
      <c r="K308" s="19"/>
      <c r="L308" s="76"/>
      <c r="M308" s="20"/>
      <c r="N308" s="20"/>
      <c r="O308" s="20"/>
      <c r="P308" s="20"/>
    </row>
    <row r="309">
      <c r="A309" s="110">
        <f>IFERROR(__xludf.DUMMYFUNCTION("""COMPUTED_VALUE"""),46198.0)</f>
        <v>46198</v>
      </c>
      <c r="B309" s="110" t="str">
        <f>IFERROR(__xludf.DUMMYFUNCTION("""COMPUTED_VALUE"""),"2606H063")</f>
        <v>2606H063</v>
      </c>
      <c r="C309" s="49" t="str">
        <f>IFERROR(__xludf.DUMMYFUNCTION("""COMPUTED_VALUE"""),"Falira")</f>
        <v>Falira</v>
      </c>
      <c r="D309" s="102" t="str">
        <f>IFERROR(__xludf.DUMMYFUNCTION("""COMPUTED_VALUE"""),"082114059775")</f>
        <v>082114059775</v>
      </c>
      <c r="E309" s="25" t="str">
        <f>IFERROR(__xludf.DUMMYFUNCTION("""COMPUTED_VALUE"""),"Instagram")</f>
        <v>Instagram</v>
      </c>
      <c r="F309" s="25" t="str">
        <f>IFERROR(__xludf.DUMMYFUNCTION("""COMPUTED_VALUE"""),"Qualified")</f>
        <v>Qualified</v>
      </c>
      <c r="G309" s="15" t="str">
        <f>IFERROR(__xludf.DUMMYFUNCTION("""COMPUTED_VALUE"""),"3h2m")</f>
        <v>3h2m</v>
      </c>
      <c r="H309" s="26"/>
      <c r="I309" s="89">
        <f>IFERROR(__xludf.DUMMYFUNCTION("""COMPUTED_VALUE"""),40.0)</f>
        <v>40</v>
      </c>
      <c r="J309" s="96"/>
      <c r="K309" s="36" t="str">
        <f>IFERROR(__xludf.DUMMYFUNCTION("""COMPUTED_VALUE"""),"buat penawaran. fu 2 juli")</f>
        <v>buat penawaran. fu 2 juli</v>
      </c>
      <c r="L309" s="49"/>
      <c r="M309" s="20"/>
      <c r="N309" s="20"/>
      <c r="O309" s="20"/>
      <c r="P309" s="20"/>
    </row>
    <row r="310">
      <c r="A310" s="97">
        <f>IFERROR(__xludf.DUMMYFUNCTION("""COMPUTED_VALUE"""),46199.0)</f>
        <v>46199</v>
      </c>
      <c r="B310" s="97" t="str">
        <f>IFERROR(__xludf.DUMMYFUNCTION("""COMPUTED_VALUE"""),"2606H064")</f>
        <v>2606H064</v>
      </c>
      <c r="C310" s="76" t="str">
        <f>IFERROR(__xludf.DUMMYFUNCTION("""COMPUTED_VALUE"""),"Gilang Ramadhan")</f>
        <v>Gilang Ramadhan</v>
      </c>
      <c r="D310" s="99" t="str">
        <f>IFERROR(__xludf.DUMMYFUNCTION("""COMPUTED_VALUE"""),"081287492544")</f>
        <v>081287492544</v>
      </c>
      <c r="E310" s="25" t="str">
        <f>IFERROR(__xludf.DUMMYFUNCTION("""COMPUTED_VALUE"""),"Website")</f>
        <v>Website</v>
      </c>
      <c r="F310" s="25" t="str">
        <f>IFERROR(__xludf.DUMMYFUNCTION("""COMPUTED_VALUE"""),"Qualified")</f>
        <v>Qualified</v>
      </c>
      <c r="G310" s="25" t="str">
        <f>IFERROR(__xludf.DUMMYFUNCTION("""COMPUTED_VALUE"""),"3h2m")</f>
        <v>3h2m</v>
      </c>
      <c r="H310" s="16"/>
      <c r="I310" s="17">
        <f>IFERROR(__xludf.DUMMYFUNCTION("""COMPUTED_VALUE"""),70.0)</f>
        <v>70</v>
      </c>
      <c r="J310" s="54"/>
      <c r="K310" s="19" t="str">
        <f>IFERROR(__xludf.DUMMYFUNCTION("""COMPUTED_VALUE"""),"buat penawaran. fu 2 juli")</f>
        <v>buat penawaran. fu 2 juli</v>
      </c>
      <c r="L310" s="76"/>
      <c r="M310" s="20"/>
      <c r="N310" s="20"/>
      <c r="O310" s="20"/>
      <c r="P310" s="20"/>
    </row>
    <row r="311">
      <c r="A311" s="110">
        <f>IFERROR(__xludf.DUMMYFUNCTION("""COMPUTED_VALUE"""),46199.0)</f>
        <v>46199</v>
      </c>
      <c r="B311" s="110" t="str">
        <f>IFERROR(__xludf.DUMMYFUNCTION("""COMPUTED_VALUE"""),"2606H065")</f>
        <v>2606H065</v>
      </c>
      <c r="C311" s="49" t="str">
        <f>IFERROR(__xludf.DUMMYFUNCTION("""COMPUTED_VALUE"""),"Ririen Indrasari")</f>
        <v>Ririen Indrasari</v>
      </c>
      <c r="D311" s="102" t="str">
        <f>IFERROR(__xludf.DUMMYFUNCTION("""COMPUTED_VALUE"""),"08118984499")</f>
        <v>08118984499</v>
      </c>
      <c r="E311" s="25" t="str">
        <f>IFERROR(__xludf.DUMMYFUNCTION("""COMPUTED_VALUE"""),"Website")</f>
        <v>Website</v>
      </c>
      <c r="F311" s="25" t="str">
        <f>IFERROR(__xludf.DUMMYFUNCTION("""COMPUTED_VALUE"""),"Leads Baru")</f>
        <v>Leads Baru</v>
      </c>
      <c r="G311" s="25" t="str">
        <f>IFERROR(__xludf.DUMMYFUNCTION("""COMPUTED_VALUE"""),"2h1m pp sby")</f>
        <v>2h1m pp sby</v>
      </c>
      <c r="H311" s="78"/>
      <c r="I311" s="89"/>
      <c r="J311" s="96"/>
      <c r="K311" s="36"/>
      <c r="L311" s="49"/>
      <c r="M311" s="20"/>
      <c r="N311" s="20"/>
      <c r="O311" s="20"/>
      <c r="P311" s="20"/>
    </row>
    <row r="312">
      <c r="A312" s="97">
        <f>IFERROR(__xludf.DUMMYFUNCTION("""COMPUTED_VALUE"""),46199.0)</f>
        <v>46199</v>
      </c>
      <c r="B312" s="97" t="str">
        <f>IFERROR(__xludf.DUMMYFUNCTION("""COMPUTED_VALUE"""),"2606H066")</f>
        <v>2606H066</v>
      </c>
      <c r="C312" s="76" t="str">
        <f>IFERROR(__xludf.DUMMYFUNCTION("""COMPUTED_VALUE"""),"Ima Z")</f>
        <v>Ima Z</v>
      </c>
      <c r="D312" s="99" t="str">
        <f>IFERROR(__xludf.DUMMYFUNCTION("""COMPUTED_VALUE"""),"082230577700")</f>
        <v>082230577700</v>
      </c>
      <c r="E312" s="25" t="str">
        <f>IFERROR(__xludf.DUMMYFUNCTION("""COMPUTED_VALUE"""),"Website")</f>
        <v>Website</v>
      </c>
      <c r="F312" s="25" t="str">
        <f>IFERROR(__xludf.DUMMYFUNCTION("""COMPUTED_VALUE"""),"Leads Baru")</f>
        <v>Leads Baru</v>
      </c>
      <c r="G312" s="15" t="str">
        <f>IFERROR(__xludf.DUMMYFUNCTION("""COMPUTED_VALUE"""),"3h2m")</f>
        <v>3h2m</v>
      </c>
      <c r="H312" s="92"/>
      <c r="I312" s="80">
        <f>IFERROR(__xludf.DUMMYFUNCTION("""COMPUTED_VALUE"""),7.0)</f>
        <v>7</v>
      </c>
      <c r="J312" s="93"/>
      <c r="K312" s="19"/>
      <c r="L312" s="76"/>
      <c r="M312" s="20"/>
      <c r="N312" s="20"/>
      <c r="O312" s="20"/>
      <c r="P312" s="20"/>
    </row>
    <row r="313">
      <c r="A313" s="110">
        <f>IFERROR(__xludf.DUMMYFUNCTION("""COMPUTED_VALUE"""),46199.0)</f>
        <v>46199</v>
      </c>
      <c r="B313" s="110" t="str">
        <f>IFERROR(__xludf.DUMMYFUNCTION("""COMPUTED_VALUE"""),"2606H067")</f>
        <v>2606H067</v>
      </c>
      <c r="C313" s="49" t="str">
        <f>IFERROR(__xludf.DUMMYFUNCTION("""COMPUTED_VALUE"""),"Tjiptaningsih")</f>
        <v>Tjiptaningsih</v>
      </c>
      <c r="D313" s="102" t="str">
        <f>IFERROR(__xludf.DUMMYFUNCTION("""COMPUTED_VALUE"""),"08161801862")</f>
        <v>08161801862</v>
      </c>
      <c r="E313" s="25" t="str">
        <f>IFERROR(__xludf.DUMMYFUNCTION("""COMPUTED_VALUE"""),"Website")</f>
        <v>Website</v>
      </c>
      <c r="F313" s="25" t="str">
        <f>IFERROR(__xludf.DUMMYFUNCTION("""COMPUTED_VALUE"""),"Leads Baru")</f>
        <v>Leads Baru</v>
      </c>
      <c r="G313" s="25" t="str">
        <f>IFERROR(__xludf.DUMMYFUNCTION("""COMPUTED_VALUE"""),"ot3h2m")</f>
        <v>ot3h2m</v>
      </c>
      <c r="H313" s="78"/>
      <c r="I313" s="27">
        <f>IFERROR(__xludf.DUMMYFUNCTION("""COMPUTED_VALUE"""),2.0)</f>
        <v>2</v>
      </c>
      <c r="J313" s="33"/>
      <c r="K313" s="36"/>
      <c r="L313" s="49"/>
      <c r="M313" s="20"/>
      <c r="N313" s="20"/>
      <c r="O313" s="20"/>
      <c r="P313" s="20"/>
    </row>
    <row r="314">
      <c r="A314" s="97">
        <f>IFERROR(__xludf.DUMMYFUNCTION("""COMPUTED_VALUE"""),46200.0)</f>
        <v>46200</v>
      </c>
      <c r="B314" s="97" t="str">
        <f>IFERROR(__xludf.DUMMYFUNCTION("""COMPUTED_VALUE"""),"2606H068")</f>
        <v>2606H068</v>
      </c>
      <c r="C314" s="76" t="str">
        <f>IFERROR(__xludf.DUMMYFUNCTION("""COMPUTED_VALUE"""),"Tyas Ningrum")</f>
        <v>Tyas Ningrum</v>
      </c>
      <c r="D314" s="99" t="str">
        <f>IFERROR(__xludf.DUMMYFUNCTION("""COMPUTED_VALUE"""),"08119670339")</f>
        <v>08119670339</v>
      </c>
      <c r="E314" s="25" t="str">
        <f>IFERROR(__xludf.DUMMYFUNCTION("""COMPUTED_VALUE"""),"Website")</f>
        <v>Website</v>
      </c>
      <c r="F314" s="25" t="str">
        <f>IFERROR(__xludf.DUMMYFUNCTION("""COMPUTED_VALUE"""),"Qualified")</f>
        <v>Qualified</v>
      </c>
      <c r="G314" s="25" t="str">
        <f>IFERROR(__xludf.DUMMYFUNCTION("""COMPUTED_VALUE"""),"4h3m")</f>
        <v>4h3m</v>
      </c>
      <c r="H314" s="92"/>
      <c r="I314" s="80">
        <f>IFERROR(__xludf.DUMMYFUNCTION("""COMPUTED_VALUE"""),5.0)</f>
        <v>5</v>
      </c>
      <c r="J314" s="93"/>
      <c r="K314" s="19"/>
      <c r="L314" s="76"/>
      <c r="M314" s="20"/>
      <c r="N314" s="20"/>
      <c r="O314" s="20"/>
      <c r="P314" s="20"/>
    </row>
    <row r="315">
      <c r="A315" s="110">
        <f>IFERROR(__xludf.DUMMYFUNCTION("""COMPUTED_VALUE"""),46200.0)</f>
        <v>46200</v>
      </c>
      <c r="B315" s="110" t="str">
        <f>IFERROR(__xludf.DUMMYFUNCTION("""COMPUTED_VALUE"""),"2606H069")</f>
        <v>2606H069</v>
      </c>
      <c r="C315" s="49" t="str">
        <f>IFERROR(__xludf.DUMMYFUNCTION("""COMPUTED_VALUE"""),"Candra Libriyanto")</f>
        <v>Candra Libriyanto</v>
      </c>
      <c r="D315" s="102" t="str">
        <f>IFERROR(__xludf.DUMMYFUNCTION("""COMPUTED_VALUE"""),"085779936276")</f>
        <v>085779936276</v>
      </c>
      <c r="E315" s="25" t="str">
        <f>IFERROR(__xludf.DUMMYFUNCTION("""COMPUTED_VALUE"""),"Website")</f>
        <v>Website</v>
      </c>
      <c r="F315" s="25" t="str">
        <f>IFERROR(__xludf.DUMMYFUNCTION("""COMPUTED_VALUE"""),"Leads Baru")</f>
        <v>Leads Baru</v>
      </c>
      <c r="G315" s="15"/>
      <c r="H315" s="78"/>
      <c r="I315" s="89"/>
      <c r="J315" s="96"/>
      <c r="K315" s="36" t="str">
        <f>IFERROR(__xludf.DUMMYFUNCTION("""COMPUTED_VALUE"""),"hanya menyapa. fu 6 juli")</f>
        <v>hanya menyapa. fu 6 juli</v>
      </c>
      <c r="L315" s="49"/>
      <c r="M315" s="20"/>
      <c r="N315" s="20"/>
      <c r="O315" s="20"/>
      <c r="P315" s="20"/>
    </row>
    <row r="316">
      <c r="A316" s="97">
        <f>IFERROR(__xludf.DUMMYFUNCTION("""COMPUTED_VALUE"""),46200.0)</f>
        <v>46200</v>
      </c>
      <c r="B316" s="97" t="str">
        <f>IFERROR(__xludf.DUMMYFUNCTION("""COMPUTED_VALUE"""),"2606H070")</f>
        <v>2606H070</v>
      </c>
      <c r="C316" s="76" t="str">
        <f>IFERROR(__xludf.DUMMYFUNCTION("""COMPUTED_VALUE"""),"Yogi Alfionanta")</f>
        <v>Yogi Alfionanta</v>
      </c>
      <c r="D316" s="99" t="str">
        <f>IFERROR(__xludf.DUMMYFUNCTION("""COMPUTED_VALUE"""),"0811150708")</f>
        <v>0811150708</v>
      </c>
      <c r="E316" s="25" t="str">
        <f>IFERROR(__xludf.DUMMYFUNCTION("""COMPUTED_VALUE"""),"Website")</f>
        <v>Website</v>
      </c>
      <c r="F316" s="25" t="str">
        <f>IFERROR(__xludf.DUMMYFUNCTION("""COMPUTED_VALUE"""),"Leads Baru")</f>
        <v>Leads Baru</v>
      </c>
      <c r="G316" s="25"/>
      <c r="H316" s="92"/>
      <c r="I316" s="80">
        <f>IFERROR(__xludf.DUMMYFUNCTION("""COMPUTED_VALUE"""),4.0)</f>
        <v>4</v>
      </c>
      <c r="J316" s="93"/>
      <c r="K316" s="19" t="str">
        <f>IFERROR(__xludf.DUMMYFUNCTION("""COMPUTED_VALUE"""),"fu 30 juni")</f>
        <v>fu 30 juni</v>
      </c>
      <c r="L316" s="76"/>
      <c r="M316" s="20"/>
      <c r="N316" s="20"/>
      <c r="O316" s="20"/>
      <c r="P316" s="20"/>
    </row>
    <row r="317">
      <c r="A317" s="110">
        <f>IFERROR(__xludf.DUMMYFUNCTION("""COMPUTED_VALUE"""),46201.0)</f>
        <v>46201</v>
      </c>
      <c r="B317" s="110" t="str">
        <f>IFERROR(__xludf.DUMMYFUNCTION("""COMPUTED_VALUE"""),"2606H071")</f>
        <v>2606H071</v>
      </c>
      <c r="C317" s="49" t="str">
        <f>IFERROR(__xludf.DUMMYFUNCTION("""COMPUTED_VALUE"""),"M Shirly WUNAS")</f>
        <v>M Shirly WUNAS</v>
      </c>
      <c r="D317" s="102" t="str">
        <f>IFERROR(__xludf.DUMMYFUNCTION("""COMPUTED_VALUE"""),"081354584785")</f>
        <v>081354584785</v>
      </c>
      <c r="E317" s="25" t="str">
        <f>IFERROR(__xludf.DUMMYFUNCTION("""COMPUTED_VALUE"""),"Website")</f>
        <v>Website</v>
      </c>
      <c r="F317" s="25" t="str">
        <f>IFERROR(__xludf.DUMMYFUNCTION("""COMPUTED_VALUE"""),"Leads Baru")</f>
        <v>Leads Baru</v>
      </c>
      <c r="G317" s="25"/>
      <c r="H317" s="26">
        <f>IFERROR(__xludf.DUMMYFUNCTION("""COMPUTED_VALUE"""),46252.0)</f>
        <v>46252</v>
      </c>
      <c r="I317" s="27">
        <f>IFERROR(__xludf.DUMMYFUNCTION("""COMPUTED_VALUE"""),10.0)</f>
        <v>10</v>
      </c>
      <c r="J317" s="33"/>
      <c r="K317" s="36"/>
      <c r="L317" s="49"/>
      <c r="M317" s="20"/>
      <c r="N317" s="20"/>
      <c r="O317" s="20"/>
      <c r="P317" s="20"/>
    </row>
    <row r="318">
      <c r="A318" s="97">
        <f>IFERROR(__xludf.DUMMYFUNCTION("""COMPUTED_VALUE"""),46201.0)</f>
        <v>46201</v>
      </c>
      <c r="B318" s="97" t="str">
        <f>IFERROR(__xludf.DUMMYFUNCTION("""COMPUTED_VALUE"""),"2606H072")</f>
        <v>2606H072</v>
      </c>
      <c r="C318" s="76" t="str">
        <f>IFERROR(__xludf.DUMMYFUNCTION("""COMPUTED_VALUE"""),"Hamdan")</f>
        <v>Hamdan</v>
      </c>
      <c r="D318" s="99" t="str">
        <f>IFERROR(__xludf.DUMMYFUNCTION("""COMPUTED_VALUE"""),"085755678335")</f>
        <v>085755678335</v>
      </c>
      <c r="E318" s="25" t="str">
        <f>IFERROR(__xludf.DUMMYFUNCTION("""COMPUTED_VALUE"""),"Website")</f>
        <v>Website</v>
      </c>
      <c r="F318" s="25" t="str">
        <f>IFERROR(__xludf.DUMMYFUNCTION("""COMPUTED_VALUE"""),"Leads Baru")</f>
        <v>Leads Baru</v>
      </c>
      <c r="G318" s="25"/>
      <c r="H318" s="92"/>
      <c r="I318" s="17"/>
      <c r="J318" s="54"/>
      <c r="K318" s="19" t="str">
        <f>IFERROR(__xludf.DUMMYFUNCTION("""COMPUTED_VALUE"""),"hana menyapa")</f>
        <v>hana menyapa</v>
      </c>
      <c r="L318" s="76"/>
      <c r="M318" s="20"/>
      <c r="N318" s="20"/>
      <c r="O318" s="20"/>
      <c r="P318" s="20"/>
    </row>
    <row r="319">
      <c r="A319" s="110">
        <f>IFERROR(__xludf.DUMMYFUNCTION("""COMPUTED_VALUE"""),46201.0)</f>
        <v>46201</v>
      </c>
      <c r="B319" s="110" t="str">
        <f>IFERROR(__xludf.DUMMYFUNCTION("""COMPUTED_VALUE"""),"2606H073")</f>
        <v>2606H073</v>
      </c>
      <c r="C319" s="49" t="str">
        <f>IFERROR(__xludf.DUMMYFUNCTION("""COMPUTED_VALUE"""),"Edy")</f>
        <v>Edy</v>
      </c>
      <c r="D319" s="102" t="str">
        <f>IFERROR(__xludf.DUMMYFUNCTION("""COMPUTED_VALUE"""),"082195284422")</f>
        <v>082195284422</v>
      </c>
      <c r="E319" s="25" t="str">
        <f>IFERROR(__xludf.DUMMYFUNCTION("""COMPUTED_VALUE"""),"Website")</f>
        <v>Website</v>
      </c>
      <c r="F319" s="25" t="str">
        <f>IFERROR(__xludf.DUMMYFUNCTION("""COMPUTED_VALUE"""),"Qualified")</f>
        <v>Qualified</v>
      </c>
      <c r="G319" s="15" t="str">
        <f>IFERROR(__xludf.DUMMYFUNCTION("""COMPUTED_VALUE"""),"2H1M opsi A")</f>
        <v>2H1M opsi A</v>
      </c>
      <c r="H319" s="78"/>
      <c r="I319" s="27">
        <f>IFERROR(__xludf.DUMMYFUNCTION("""COMPUTED_VALUE"""),2.0)</f>
        <v>2</v>
      </c>
      <c r="J319" s="96">
        <f>IFERROR(__xludf.DUMMYFUNCTION("""COMPUTED_VALUE"""),4110000.0)</f>
        <v>4110000</v>
      </c>
      <c r="K319" s="36" t="str">
        <f>IFERROR(__xludf.DUMMYFUNCTION("""COMPUTED_VALUE"""),"fu 15 juli. konfirmasi buka baluran")</f>
        <v>fu 15 juli. konfirmasi buka baluran</v>
      </c>
      <c r="L319" s="49"/>
      <c r="M319" s="20"/>
      <c r="N319" s="20"/>
      <c r="O319" s="20"/>
      <c r="P319" s="20"/>
    </row>
    <row r="320">
      <c r="A320" s="97">
        <f>IFERROR(__xludf.DUMMYFUNCTION("""COMPUTED_VALUE"""),46202.0)</f>
        <v>46202</v>
      </c>
      <c r="B320" s="97" t="str">
        <f>IFERROR(__xludf.DUMMYFUNCTION("""COMPUTED_VALUE"""),"2606H074")</f>
        <v>2606H074</v>
      </c>
      <c r="C320" s="76" t="str">
        <f>IFERROR(__xludf.DUMMYFUNCTION("""COMPUTED_VALUE"""),"Rizha Prasetya")</f>
        <v>Rizha Prasetya</v>
      </c>
      <c r="D320" s="99" t="str">
        <f>IFERROR(__xludf.DUMMYFUNCTION("""COMPUTED_VALUE"""),"081779949172")</f>
        <v>081779949172</v>
      </c>
      <c r="E320" s="25" t="str">
        <f>IFERROR(__xludf.DUMMYFUNCTION("""COMPUTED_VALUE"""),"Website")</f>
        <v>Website</v>
      </c>
      <c r="F320" s="25" t="str">
        <f>IFERROR(__xludf.DUMMYFUNCTION("""COMPUTED_VALUE"""),"Gagal")</f>
        <v>Gagal</v>
      </c>
      <c r="G320" s="25"/>
      <c r="H320" s="92"/>
      <c r="I320" s="80"/>
      <c r="J320" s="93"/>
      <c r="K320" s="19" t="str">
        <f>IFERROR(__xludf.DUMMYFUNCTION("""COMPUTED_VALUE"""),"tidak jadi")</f>
        <v>tidak jadi</v>
      </c>
      <c r="L320" s="76"/>
      <c r="M320" s="20"/>
      <c r="N320" s="20"/>
      <c r="O320" s="20"/>
      <c r="P320" s="20"/>
    </row>
    <row r="321">
      <c r="A321" s="110">
        <f>IFERROR(__xludf.DUMMYFUNCTION("""COMPUTED_VALUE"""),46201.0)</f>
        <v>46201</v>
      </c>
      <c r="B321" s="110" t="str">
        <f>IFERROR(__xludf.DUMMYFUNCTION("""COMPUTED_VALUE"""),"2606H075")</f>
        <v>2606H075</v>
      </c>
      <c r="C321" s="49" t="str">
        <f>IFERROR(__xludf.DUMMYFUNCTION("""COMPUTED_VALUE"""),"Dhian")</f>
        <v>Dhian</v>
      </c>
      <c r="D321" s="102" t="str">
        <f>IFERROR(__xludf.DUMMYFUNCTION("""COMPUTED_VALUE"""),"085727771009")</f>
        <v>085727771009</v>
      </c>
      <c r="E321" s="25" t="str">
        <f>IFERROR(__xludf.DUMMYFUNCTION("""COMPUTED_VALUE"""),"Website")</f>
        <v>Website</v>
      </c>
      <c r="F321" s="25" t="str">
        <f>IFERROR(__xludf.DUMMYFUNCTION("""COMPUTED_VALUE"""),"Gagal")</f>
        <v>Gagal</v>
      </c>
      <c r="G321" s="25"/>
      <c r="H321" s="26"/>
      <c r="I321" s="27"/>
      <c r="J321" s="33"/>
      <c r="K321" s="30" t="str">
        <f>IFERROR(__xludf.DUMMYFUNCTION("""COMPUTED_VALUE"""),"hanya menyapa")</f>
        <v>hanya menyapa</v>
      </c>
      <c r="L321" s="49"/>
      <c r="M321" s="20"/>
      <c r="N321" s="20"/>
      <c r="O321" s="20"/>
      <c r="P321" s="20"/>
    </row>
    <row r="322">
      <c r="A322" s="110">
        <f>IFERROR(__xludf.DUMMYFUNCTION("""COMPUTED_VALUE"""),46202.0)</f>
        <v>46202</v>
      </c>
      <c r="B322" s="110" t="str">
        <f>IFERROR(__xludf.DUMMYFUNCTION("""COMPUTED_VALUE"""),"2606H076")</f>
        <v>2606H076</v>
      </c>
      <c r="C322" s="49" t="str">
        <f>IFERROR(__xludf.DUMMYFUNCTION("""COMPUTED_VALUE"""),"Johanna Tobing")</f>
        <v>Johanna Tobing</v>
      </c>
      <c r="D322" s="102" t="str">
        <f>IFERROR(__xludf.DUMMYFUNCTION("""COMPUTED_VALUE"""),"081294187963")</f>
        <v>081294187963</v>
      </c>
      <c r="E322" s="25" t="str">
        <f>IFERROR(__xludf.DUMMYFUNCTION("""COMPUTED_VALUE"""),"Website")</f>
        <v>Website</v>
      </c>
      <c r="F322" s="25" t="str">
        <f>IFERROR(__xludf.DUMMYFUNCTION("""COMPUTED_VALUE"""),"Leads Baru")</f>
        <v>Leads Baru</v>
      </c>
      <c r="G322" s="25" t="str">
        <f>IFERROR(__xludf.DUMMYFUNCTION("""COMPUTED_VALUE"""),"4h3m")</f>
        <v>4h3m</v>
      </c>
      <c r="H322" s="78"/>
      <c r="I322" s="89">
        <f>IFERROR(__xludf.DUMMYFUNCTION("""COMPUTED_VALUE"""),15.0)</f>
        <v>15</v>
      </c>
      <c r="J322" s="96"/>
      <c r="K322" s="36" t="str">
        <f>IFERROR(__xludf.DUMMYFUNCTION("""COMPUTED_VALUE"""),"fu 20 juli")</f>
        <v>fu 20 juli</v>
      </c>
      <c r="L322" s="49"/>
      <c r="M322" s="20"/>
      <c r="N322" s="20"/>
      <c r="O322" s="20"/>
      <c r="P322" s="20"/>
    </row>
    <row r="323">
      <c r="A323" s="97">
        <f>IFERROR(__xludf.DUMMYFUNCTION("""COMPUTED_VALUE"""),46202.0)</f>
        <v>46202</v>
      </c>
      <c r="B323" s="97" t="str">
        <f>IFERROR(__xludf.DUMMYFUNCTION("""COMPUTED_VALUE"""),"2606H077")</f>
        <v>2606H077</v>
      </c>
      <c r="C323" s="120" t="str">
        <f>IFERROR(__xludf.DUMMYFUNCTION("""COMPUTED_VALUE"""),"Ashok")</f>
        <v>Ashok</v>
      </c>
      <c r="D323" s="99" t="str">
        <f>IFERROR(__xludf.DUMMYFUNCTION("""COMPUTED_VALUE"""),"089684005241")</f>
        <v>089684005241</v>
      </c>
      <c r="E323" s="25" t="str">
        <f>IFERROR(__xludf.DUMMYFUNCTION("""COMPUTED_VALUE"""),"Website")</f>
        <v>Website</v>
      </c>
      <c r="F323" s="25" t="str">
        <f>IFERROR(__xludf.DUMMYFUNCTION("""COMPUTED_VALUE"""),"Gagal")</f>
        <v>Gagal</v>
      </c>
      <c r="G323" s="25" t="str">
        <f>IFERROR(__xludf.DUMMYFUNCTION("""COMPUTED_VALUE"""),"ot kawah ijen")</f>
        <v>ot kawah ijen</v>
      </c>
      <c r="H323" s="92">
        <f>IFERROR(__xludf.DUMMYFUNCTION("""COMPUTED_VALUE"""),46218.0)</f>
        <v>46218</v>
      </c>
      <c r="I323" s="17">
        <f>IFERROR(__xludf.DUMMYFUNCTION("""COMPUTED_VALUE"""),4.0)</f>
        <v>4</v>
      </c>
      <c r="J323" s="93">
        <f>IFERROR(__xludf.DUMMYFUNCTION("""COMPUTED_VALUE"""),1000000.0)</f>
        <v>1000000</v>
      </c>
      <c r="K323" s="46" t="str">
        <f>IFERROR(__xludf.DUMMYFUNCTION("""COMPUTED_VALUE"""),"ga ada balasan")</f>
        <v>ga ada balasan</v>
      </c>
      <c r="L323" s="76"/>
      <c r="M323" s="20"/>
      <c r="N323" s="20"/>
      <c r="O323" s="20"/>
      <c r="P323" s="20"/>
    </row>
    <row r="324">
      <c r="A324" s="110">
        <f>IFERROR(__xludf.DUMMYFUNCTION("""COMPUTED_VALUE"""),46203.0)</f>
        <v>46203</v>
      </c>
      <c r="B324" s="110" t="str">
        <f>IFERROR(__xludf.DUMMYFUNCTION("""COMPUTED_VALUE"""),"2606H078")</f>
        <v>2606H078</v>
      </c>
      <c r="C324" s="49" t="str">
        <f>IFERROR(__xludf.DUMMYFUNCTION("""COMPUTED_VALUE"""),"san")</f>
        <v>san</v>
      </c>
      <c r="D324" s="102" t="str">
        <f>IFERROR(__xludf.DUMMYFUNCTION("""COMPUTED_VALUE"""),"082135522620")</f>
        <v>082135522620</v>
      </c>
      <c r="E324" s="25" t="str">
        <f>IFERROR(__xludf.DUMMYFUNCTION("""COMPUTED_VALUE"""),"Lainnya")</f>
        <v>Lainnya</v>
      </c>
      <c r="F324" s="25" t="str">
        <f>IFERROR(__xludf.DUMMYFUNCTION("""COMPUTED_VALUE"""),"Leads Baru")</f>
        <v>Leads Baru</v>
      </c>
      <c r="G324" s="25"/>
      <c r="H324" s="78"/>
      <c r="I324" s="89"/>
      <c r="J324" s="96"/>
      <c r="K324" s="36" t="str">
        <f>IFERROR(__xludf.DUMMYFUNCTION("""COMPUTED_VALUE"""),"hanya menyapa")</f>
        <v>hanya menyapa</v>
      </c>
      <c r="L324" s="49"/>
      <c r="M324" s="20"/>
      <c r="N324" s="20"/>
      <c r="O324" s="20"/>
      <c r="P324" s="20"/>
    </row>
    <row r="325">
      <c r="A325" s="97">
        <f>IFERROR(__xludf.DUMMYFUNCTION("""COMPUTED_VALUE"""),46203.0)</f>
        <v>46203</v>
      </c>
      <c r="B325" s="97" t="str">
        <f>IFERROR(__xludf.DUMMYFUNCTION("""COMPUTED_VALUE"""),"2606H079")</f>
        <v>2606H079</v>
      </c>
      <c r="C325" s="76" t="str">
        <f>IFERROR(__xludf.DUMMYFUNCTION("""COMPUTED_VALUE"""),"DW")</f>
        <v>DW</v>
      </c>
      <c r="D325" s="99" t="str">
        <f>IFERROR(__xludf.DUMMYFUNCTION("""COMPUTED_VALUE"""),"0895385148361")</f>
        <v>0895385148361</v>
      </c>
      <c r="E325" s="25" t="str">
        <f>IFERROR(__xludf.DUMMYFUNCTION("""COMPUTED_VALUE"""),"Lainnya")</f>
        <v>Lainnya</v>
      </c>
      <c r="F325" s="25" t="str">
        <f>IFERROR(__xludf.DUMMYFUNCTION("""COMPUTED_VALUE"""),"Gagal")</f>
        <v>Gagal</v>
      </c>
      <c r="G325" s="15"/>
      <c r="H325" s="16"/>
      <c r="I325" s="17"/>
      <c r="J325" s="54"/>
      <c r="K325" s="19" t="str">
        <f>IFERROR(__xludf.DUMMYFUNCTION("""COMPUTED_VALUE"""),"transportasi tidak ada")</f>
        <v>transportasi tidak ada</v>
      </c>
      <c r="L325" s="76"/>
      <c r="M325" s="20"/>
      <c r="N325" s="20"/>
      <c r="O325" s="20"/>
      <c r="P325" s="20"/>
    </row>
    <row r="326">
      <c r="A326" s="110">
        <f>IFERROR(__xludf.DUMMYFUNCTION("""COMPUTED_VALUE"""),46203.0)</f>
        <v>46203</v>
      </c>
      <c r="B326" s="110" t="str">
        <f>IFERROR(__xludf.DUMMYFUNCTION("""COMPUTED_VALUE"""),"2606H080")</f>
        <v>2606H080</v>
      </c>
      <c r="C326" s="49" t="str">
        <f>IFERROR(__xludf.DUMMYFUNCTION("""COMPUTED_VALUE"""),"URM")</f>
        <v>URM</v>
      </c>
      <c r="D326" s="102" t="str">
        <f>IFERROR(__xludf.DUMMYFUNCTION("""COMPUTED_VALUE"""),"081514089980")</f>
        <v>081514089980</v>
      </c>
      <c r="E326" s="25" t="str">
        <f>IFERROR(__xludf.DUMMYFUNCTION("""COMPUTED_VALUE"""),"Website")</f>
        <v>Website</v>
      </c>
      <c r="F326" s="25" t="str">
        <f>IFERROR(__xludf.DUMMYFUNCTION("""COMPUTED_VALUE"""),"Gagal")</f>
        <v>Gagal</v>
      </c>
      <c r="G326" s="25"/>
      <c r="H326" s="78"/>
      <c r="I326" s="89"/>
      <c r="J326" s="33"/>
      <c r="K326" s="36" t="str">
        <f>IFERROR(__xludf.DUMMYFUNCTION("""COMPUTED_VALUE"""),"gada balasan")</f>
        <v>gada balasan</v>
      </c>
      <c r="L326" s="49"/>
      <c r="M326" s="20"/>
      <c r="N326" s="20"/>
      <c r="O326" s="20"/>
      <c r="P326" s="20"/>
    </row>
    <row r="327">
      <c r="A327" s="97">
        <f>IFERROR(__xludf.DUMMYFUNCTION("""COMPUTED_VALUE"""),46203.0)</f>
        <v>46203</v>
      </c>
      <c r="B327" s="97" t="str">
        <f>IFERROR(__xludf.DUMMYFUNCTION("""COMPUTED_VALUE"""),"2606H081")</f>
        <v>2606H081</v>
      </c>
      <c r="C327" s="76" t="str">
        <f>IFERROR(__xludf.DUMMYFUNCTION("""COMPUTED_VALUE"""),"Daniez")</f>
        <v>Daniez</v>
      </c>
      <c r="D327" s="99" t="str">
        <f>IFERROR(__xludf.DUMMYFUNCTION("""COMPUTED_VALUE"""),"085736335573")</f>
        <v>085736335573</v>
      </c>
      <c r="E327" s="25" t="str">
        <f>IFERROR(__xludf.DUMMYFUNCTION("""COMPUTED_VALUE"""),"Instagram")</f>
        <v>Instagram</v>
      </c>
      <c r="F327" s="25" t="str">
        <f>IFERROR(__xludf.DUMMYFUNCTION("""COMPUTED_VALUE"""),"Qualified")</f>
        <v>Qualified</v>
      </c>
      <c r="G327" s="25" t="str">
        <f>IFERROR(__xludf.DUMMYFUNCTION("""COMPUTED_VALUE"""),"mt")</f>
        <v>mt</v>
      </c>
      <c r="H327" s="92">
        <f>IFERROR(__xludf.DUMMYFUNCTION("""COMPUTED_VALUE"""),46207.0)</f>
        <v>46207</v>
      </c>
      <c r="I327" s="80">
        <f>IFERROR(__xludf.DUMMYFUNCTION("""COMPUTED_VALUE"""),5.0)</f>
        <v>5</v>
      </c>
      <c r="J327" s="93">
        <f>IFERROR(__xludf.DUMMYFUNCTION("""COMPUTED_VALUE"""),2675000.0)</f>
        <v>2675000</v>
      </c>
      <c r="K327" s="19"/>
      <c r="L327" s="76"/>
      <c r="M327" s="20"/>
      <c r="N327" s="20"/>
      <c r="O327" s="20"/>
      <c r="P327" s="20"/>
    </row>
    <row r="328">
      <c r="A328" s="110">
        <f>IFERROR(__xludf.DUMMYFUNCTION("""COMPUTED_VALUE"""),46203.0)</f>
        <v>46203</v>
      </c>
      <c r="B328" s="110" t="str">
        <f>IFERROR(__xludf.DUMMYFUNCTION("""COMPUTED_VALUE"""),"2606H082")</f>
        <v>2606H082</v>
      </c>
      <c r="C328" s="49" t="str">
        <f>IFERROR(__xludf.DUMMYFUNCTION("""COMPUTED_VALUE"""),"Diana")</f>
        <v>Diana</v>
      </c>
      <c r="D328" s="102" t="str">
        <f>IFERROR(__xludf.DUMMYFUNCTION("""COMPUTED_VALUE"""),"085715229706")</f>
        <v>085715229706</v>
      </c>
      <c r="E328" s="25" t="str">
        <f>IFERROR(__xludf.DUMMYFUNCTION("""COMPUTED_VALUE"""),"Website")</f>
        <v>Website</v>
      </c>
      <c r="F328" s="25" t="str">
        <f>IFERROR(__xludf.DUMMYFUNCTION("""COMPUTED_VALUE"""),"Prospek")</f>
        <v>Prospek</v>
      </c>
      <c r="G328" s="25" t="str">
        <f>IFERROR(__xludf.DUMMYFUNCTION("""COMPUTED_VALUE"""),"ijen")</f>
        <v>ijen</v>
      </c>
      <c r="H328" s="78">
        <f>IFERROR(__xludf.DUMMYFUNCTION("""COMPUTED_VALUE"""),46382.0)</f>
        <v>46382</v>
      </c>
      <c r="I328" s="89">
        <f>IFERROR(__xludf.DUMMYFUNCTION("""COMPUTED_VALUE"""),4.0)</f>
        <v>4</v>
      </c>
      <c r="J328" s="96">
        <f>IFERROR(__xludf.DUMMYFUNCTION("""COMPUTED_VALUE"""),1160000.0)</f>
        <v>1160000</v>
      </c>
      <c r="K328" s="36" t="str">
        <f>IFERROR(__xludf.DUMMYFUNCTION("""COMPUTED_VALUE"""),"fu 1 desember")</f>
        <v>fu 1 desember</v>
      </c>
      <c r="L328" s="49"/>
      <c r="M328" s="20"/>
      <c r="N328" s="20"/>
      <c r="O328" s="20"/>
      <c r="P328" s="20"/>
    </row>
    <row r="329">
      <c r="A329" s="97">
        <f>IFERROR(__xludf.DUMMYFUNCTION("""COMPUTED_VALUE"""),46203.0)</f>
        <v>46203</v>
      </c>
      <c r="B329" s="110" t="str">
        <f>IFERROR(__xludf.DUMMYFUNCTION("""COMPUTED_VALUE"""),"2606H083")</f>
        <v>2606H083</v>
      </c>
      <c r="C329" s="76" t="str">
        <f>IFERROR(__xludf.DUMMYFUNCTION("""COMPUTED_VALUE"""),"Etra Efendi Malin Janiah")</f>
        <v>Etra Efendi Malin Janiah</v>
      </c>
      <c r="D329" s="99" t="str">
        <f>IFERROR(__xludf.DUMMYFUNCTION("""COMPUTED_VALUE"""),"081381809707")</f>
        <v>081381809707</v>
      </c>
      <c r="E329" s="25" t="str">
        <f>IFERROR(__xludf.DUMMYFUNCTION("""COMPUTED_VALUE"""),"Website")</f>
        <v>Website</v>
      </c>
      <c r="F329" s="25" t="str">
        <f>IFERROR(__xludf.DUMMYFUNCTION("""COMPUTED_VALUE"""),"Gagal")</f>
        <v>Gagal</v>
      </c>
      <c r="G329" s="25" t="str">
        <f>IFERROR(__xludf.DUMMYFUNCTION("""COMPUTED_VALUE"""),"ijen")</f>
        <v>ijen</v>
      </c>
      <c r="H329" s="92">
        <f>IFERROR(__xludf.DUMMYFUNCTION("""COMPUTED_VALUE"""),46204.0)</f>
        <v>46204</v>
      </c>
      <c r="I329" s="17">
        <f>IFERROR(__xludf.DUMMYFUNCTION("""COMPUTED_VALUE"""),1.0)</f>
        <v>1</v>
      </c>
      <c r="J329" s="93">
        <f>IFERROR(__xludf.DUMMYFUNCTION("""COMPUTED_VALUE"""),250000.0)</f>
        <v>250000</v>
      </c>
      <c r="K329" s="46" t="str">
        <f>IFERROR(__xludf.DUMMYFUNCTION("""COMPUTED_VALUE"""),"waktunya tidak tepat")</f>
        <v>waktunya tidak tepat</v>
      </c>
      <c r="L329" s="76"/>
      <c r="M329" s="20"/>
      <c r="N329" s="20"/>
      <c r="O329" s="20"/>
      <c r="P329" s="20"/>
    </row>
    <row r="330">
      <c r="A330" s="110">
        <f>IFERROR(__xludf.DUMMYFUNCTION("""COMPUTED_VALUE"""),46204.0)</f>
        <v>46204</v>
      </c>
      <c r="B330" s="110" t="str">
        <f>IFERROR(__xludf.DUMMYFUNCTION("""COMPUTED_VALUE"""),"2607H001")</f>
        <v>2607H001</v>
      </c>
      <c r="C330" s="49" t="str">
        <f>IFERROR(__xludf.DUMMYFUNCTION("""COMPUTED_VALUE"""),"Anisa Yasila")</f>
        <v>Anisa Yasila</v>
      </c>
      <c r="D330" s="102" t="str">
        <f>IFERROR(__xludf.DUMMYFUNCTION("""COMPUTED_VALUE"""),"085859511658")</f>
        <v>085859511658</v>
      </c>
      <c r="E330" s="25" t="str">
        <f>IFERROR(__xludf.DUMMYFUNCTION("""COMPUTED_VALUE"""),"Website")</f>
        <v>Website</v>
      </c>
      <c r="F330" s="25" t="str">
        <f>IFERROR(__xludf.DUMMYFUNCTION("""COMPUTED_VALUE"""),"Gagal")</f>
        <v>Gagal</v>
      </c>
      <c r="G330" s="25" t="str">
        <f>IFERROR(__xludf.DUMMYFUNCTION("""COMPUTED_VALUE"""),"mt dan ijen")</f>
        <v>mt dan ijen</v>
      </c>
      <c r="H330" s="26"/>
      <c r="I330" s="27"/>
      <c r="J330" s="96"/>
      <c r="K330" s="36" t="str">
        <f>IFERROR(__xludf.DUMMYFUNCTION("""COMPUTED_VALUE"""),"gada balasan")</f>
        <v>gada balasan</v>
      </c>
      <c r="L330" s="49"/>
      <c r="M330" s="20"/>
      <c r="N330" s="20"/>
      <c r="O330" s="20"/>
      <c r="P330" s="20"/>
    </row>
    <row r="331">
      <c r="A331" s="97">
        <f>IFERROR(__xludf.DUMMYFUNCTION("""COMPUTED_VALUE"""),46204.0)</f>
        <v>46204</v>
      </c>
      <c r="B331" s="97" t="str">
        <f>IFERROR(__xludf.DUMMYFUNCTION("""COMPUTED_VALUE"""),"2607H002")</f>
        <v>2607H002</v>
      </c>
      <c r="C331" s="76" t="str">
        <f>IFERROR(__xludf.DUMMYFUNCTION("""COMPUTED_VALUE"""),"elyn")</f>
        <v>elyn</v>
      </c>
      <c r="D331" s="99" t="str">
        <f>IFERROR(__xludf.DUMMYFUNCTION("""COMPUTED_VALUE"""),"08129594635")</f>
        <v>08129594635</v>
      </c>
      <c r="E331" s="25" t="str">
        <f>IFERROR(__xludf.DUMMYFUNCTION("""COMPUTED_VALUE"""),"Website")</f>
        <v>Website</v>
      </c>
      <c r="F331" s="25" t="str">
        <f>IFERROR(__xludf.DUMMYFUNCTION("""COMPUTED_VALUE"""),"Gagal")</f>
        <v>Gagal</v>
      </c>
      <c r="G331" s="25"/>
      <c r="H331" s="92"/>
      <c r="I331" s="17"/>
      <c r="J331" s="93"/>
      <c r="K331" s="19" t="str">
        <f>IFERROR(__xludf.DUMMYFUNCTION("""COMPUTED_VALUE"""),"gada balasan")</f>
        <v>gada balasan</v>
      </c>
      <c r="L331" s="76"/>
      <c r="M331" s="20"/>
      <c r="N331" s="20"/>
      <c r="O331" s="20"/>
      <c r="P331" s="20"/>
    </row>
    <row r="332">
      <c r="A332" s="110">
        <f>IFERROR(__xludf.DUMMYFUNCTION("""COMPUTED_VALUE"""),46204.0)</f>
        <v>46204</v>
      </c>
      <c r="B332" s="110" t="str">
        <f>IFERROR(__xludf.DUMMYFUNCTION("""COMPUTED_VALUE"""),"2607H003")</f>
        <v>2607H003</v>
      </c>
      <c r="C332" s="49" t="str">
        <f>IFERROR(__xludf.DUMMYFUNCTION("""COMPUTED_VALUE"""),"Slamet Wardoyo")</f>
        <v>Slamet Wardoyo</v>
      </c>
      <c r="D332" s="102" t="str">
        <f>IFERROR(__xludf.DUMMYFUNCTION("""COMPUTED_VALUE"""),"08111526846")</f>
        <v>08111526846</v>
      </c>
      <c r="E332" s="25" t="str">
        <f>IFERROR(__xludf.DUMMYFUNCTION("""COMPUTED_VALUE"""),"Website")</f>
        <v>Website</v>
      </c>
      <c r="F332" s="25" t="str">
        <f>IFERROR(__xludf.DUMMYFUNCTION("""COMPUTED_VALUE"""),"Gagal")</f>
        <v>Gagal</v>
      </c>
      <c r="G332" s="25" t="str">
        <f>IFERROR(__xludf.DUMMYFUNCTION("""COMPUTED_VALUE"""),"mt")</f>
        <v>mt</v>
      </c>
      <c r="H332" s="78">
        <f>IFERROR(__xludf.DUMMYFUNCTION("""COMPUTED_VALUE"""),46207.0)</f>
        <v>46207</v>
      </c>
      <c r="I332" s="89">
        <f>IFERROR(__xludf.DUMMYFUNCTION("""COMPUTED_VALUE"""),5.0)</f>
        <v>5</v>
      </c>
      <c r="J332" s="96"/>
      <c r="K332" s="36" t="str">
        <f>IFERROR(__xludf.DUMMYFUNCTION("""COMPUTED_VALUE"""),"slot kapal full booked")</f>
        <v>slot kapal full booked</v>
      </c>
      <c r="L332" s="49"/>
      <c r="M332" s="20"/>
      <c r="N332" s="20"/>
      <c r="O332" s="20"/>
      <c r="P332" s="20"/>
    </row>
    <row r="333">
      <c r="A333" s="97">
        <f>IFERROR(__xludf.DUMMYFUNCTION("""COMPUTED_VALUE"""),46204.0)</f>
        <v>46204</v>
      </c>
      <c r="B333" s="97" t="str">
        <f>IFERROR(__xludf.DUMMYFUNCTION("""COMPUTED_VALUE"""),"2607H004")</f>
        <v>2607H004</v>
      </c>
      <c r="C333" s="76" t="str">
        <f>IFERROR(__xludf.DUMMYFUNCTION("""COMPUTED_VALUE"""),"Tarra")</f>
        <v>Tarra</v>
      </c>
      <c r="D333" s="99" t="str">
        <f>IFERROR(__xludf.DUMMYFUNCTION("""COMPUTED_VALUE"""),"087884963330")</f>
        <v>087884963330</v>
      </c>
      <c r="E333" s="25" t="str">
        <f>IFERROR(__xludf.DUMMYFUNCTION("""COMPUTED_VALUE"""),"Instagram")</f>
        <v>Instagram</v>
      </c>
      <c r="F333" s="25" t="str">
        <f>IFERROR(__xludf.DUMMYFUNCTION("""COMPUTED_VALUE"""),"Gagal")</f>
        <v>Gagal</v>
      </c>
      <c r="G333" s="25" t="str">
        <f>IFERROR(__xludf.DUMMYFUNCTION("""COMPUTED_VALUE"""),"mt ijen")</f>
        <v>mt ijen</v>
      </c>
      <c r="H333" s="92"/>
      <c r="I333" s="17">
        <f>IFERROR(__xludf.DUMMYFUNCTION("""COMPUTED_VALUE"""),1.0)</f>
        <v>1</v>
      </c>
      <c r="J333" s="54"/>
      <c r="K333" s="46" t="str">
        <f>IFERROR(__xludf.DUMMYFUNCTION("""COMPUTED_VALUE"""),"gada balasan")</f>
        <v>gada balasan</v>
      </c>
      <c r="L333" s="76"/>
      <c r="M333" s="20"/>
      <c r="N333" s="20"/>
      <c r="O333" s="20"/>
      <c r="P333" s="20"/>
    </row>
    <row r="334">
      <c r="A334" s="110">
        <f>IFERROR(__xludf.DUMMYFUNCTION("""COMPUTED_VALUE"""),46203.0)</f>
        <v>46203</v>
      </c>
      <c r="B334" s="110" t="str">
        <f>IFERROR(__xludf.DUMMYFUNCTION("""COMPUTED_VALUE"""),"2606H084")</f>
        <v>2606H084</v>
      </c>
      <c r="C334" s="49" t="str">
        <f>IFERROR(__xludf.DUMMYFUNCTION("""COMPUTED_VALUE"""),"Atik Wibawati")</f>
        <v>Atik Wibawati</v>
      </c>
      <c r="D334" s="102" t="str">
        <f>IFERROR(__xludf.DUMMYFUNCTION("""COMPUTED_VALUE"""),"0811900059")</f>
        <v>0811900059</v>
      </c>
      <c r="E334" s="25" t="str">
        <f>IFERROR(__xludf.DUMMYFUNCTION("""COMPUTED_VALUE"""),"Lainnya")</f>
        <v>Lainnya</v>
      </c>
      <c r="F334" s="25" t="str">
        <f>IFERROR(__xludf.DUMMYFUNCTION("""COMPUTED_VALUE"""),"Qualified")</f>
        <v>Qualified</v>
      </c>
      <c r="G334" s="25" t="str">
        <f>IFERROR(__xludf.DUMMYFUNCTION("""COMPUTED_VALUE"""),"3h2m")</f>
        <v>3h2m</v>
      </c>
      <c r="H334" s="78"/>
      <c r="I334" s="89">
        <f>IFERROR(__xludf.DUMMYFUNCTION("""COMPUTED_VALUE"""),15.0)</f>
        <v>15</v>
      </c>
      <c r="J334" s="96">
        <f>IFERROR(__xludf.DUMMYFUNCTION("""COMPUTED_VALUE"""),2.7E7)</f>
        <v>27000000</v>
      </c>
      <c r="K334" s="36" t="str">
        <f>IFERROR(__xludf.DUMMYFUNCTION("""COMPUTED_VALUE"""),"fu 16 Juli")</f>
        <v>fu 16 Juli</v>
      </c>
      <c r="L334" s="49"/>
      <c r="M334" s="20"/>
      <c r="N334" s="20"/>
      <c r="O334" s="20"/>
      <c r="P334" s="20"/>
    </row>
    <row r="335">
      <c r="A335" s="97">
        <f>IFERROR(__xludf.DUMMYFUNCTION("""COMPUTED_VALUE"""),46204.0)</f>
        <v>46204</v>
      </c>
      <c r="B335" s="97" t="str">
        <f>IFERROR(__xludf.DUMMYFUNCTION("""COMPUTED_VALUE"""),"2607H005")</f>
        <v>2607H005</v>
      </c>
      <c r="C335" s="76" t="str">
        <f>IFERROR(__xludf.DUMMYFUNCTION("""COMPUTED_VALUE"""),"Rina")</f>
        <v>Rina</v>
      </c>
      <c r="D335" s="99" t="str">
        <f>IFERROR(__xludf.DUMMYFUNCTION("""COMPUTED_VALUE"""),"0818127306")</f>
        <v>0818127306</v>
      </c>
      <c r="E335" s="25" t="str">
        <f>IFERROR(__xludf.DUMMYFUNCTION("""COMPUTED_VALUE"""),"Website")</f>
        <v>Website</v>
      </c>
      <c r="F335" s="25" t="str">
        <f>IFERROR(__xludf.DUMMYFUNCTION("""COMPUTED_VALUE"""),"Closing")</f>
        <v>Closing</v>
      </c>
      <c r="G335" s="25" t="str">
        <f>IFERROR(__xludf.DUMMYFUNCTION("""COMPUTED_VALUE"""),"5h4m")</f>
        <v>5h4m</v>
      </c>
      <c r="H335" s="92"/>
      <c r="I335" s="80">
        <f>IFERROR(__xludf.DUMMYFUNCTION("""COMPUTED_VALUE"""),4.0)</f>
        <v>4</v>
      </c>
      <c r="J335" s="93"/>
      <c r="K335" s="19" t="str">
        <f>IFERROR(__xludf.DUMMYFUNCTION("""COMPUTED_VALUE"""),"alhamdulillah closing")</f>
        <v>alhamdulillah closing</v>
      </c>
      <c r="L335" s="49"/>
      <c r="M335" s="20"/>
      <c r="N335" s="20"/>
      <c r="O335" s="20"/>
      <c r="P335" s="20"/>
    </row>
    <row r="336">
      <c r="A336" s="110">
        <f>IFERROR(__xludf.DUMMYFUNCTION("""COMPUTED_VALUE"""),46204.0)</f>
        <v>46204</v>
      </c>
      <c r="B336" s="110" t="str">
        <f>IFERROR(__xludf.DUMMYFUNCTION("""COMPUTED_VALUE"""),"2607H006")</f>
        <v>2607H006</v>
      </c>
      <c r="C336" s="49" t="str">
        <f>IFERROR(__xludf.DUMMYFUNCTION("""COMPUTED_VALUE"""),"Vero")</f>
        <v>Vero</v>
      </c>
      <c r="D336" s="102" t="str">
        <f>IFERROR(__xludf.DUMMYFUNCTION("""COMPUTED_VALUE"""),"08558899111")</f>
        <v>08558899111</v>
      </c>
      <c r="E336" s="25" t="str">
        <f>IFERROR(__xludf.DUMMYFUNCTION("""COMPUTED_VALUE"""),"Website")</f>
        <v>Website</v>
      </c>
      <c r="F336" s="25" t="str">
        <f>IFERROR(__xludf.DUMMYFUNCTION("""COMPUTED_VALUE"""),"Closing")</f>
        <v>Closing</v>
      </c>
      <c r="G336" s="25" t="str">
        <f>IFERROR(__xludf.DUMMYFUNCTION("""COMPUTED_VALUE"""),"3H2M")</f>
        <v>3H2M</v>
      </c>
      <c r="H336" s="26"/>
      <c r="I336" s="27"/>
      <c r="J336" s="33"/>
      <c r="K336" s="30" t="str">
        <f>IFERROR(__xludf.DUMMYFUNCTION("""COMPUTED_VALUE"""),"alhamdulillah closing")</f>
        <v>alhamdulillah closing</v>
      </c>
      <c r="L336" s="49"/>
      <c r="M336" s="20"/>
      <c r="N336" s="20"/>
      <c r="O336" s="20"/>
      <c r="P336" s="20"/>
    </row>
    <row r="337">
      <c r="A337" s="97">
        <f>IFERROR(__xludf.DUMMYFUNCTION("""COMPUTED_VALUE"""),46205.0)</f>
        <v>46205</v>
      </c>
      <c r="B337" s="97" t="str">
        <f>IFERROR(__xludf.DUMMYFUNCTION("""COMPUTED_VALUE"""),"2607H007")</f>
        <v>2607H007</v>
      </c>
      <c r="C337" s="76" t="str">
        <f>IFERROR(__xludf.DUMMYFUNCTION("""COMPUTED_VALUE"""),"Saif")</f>
        <v>Saif</v>
      </c>
      <c r="D337" s="99" t="str">
        <f>IFERROR(__xludf.DUMMYFUNCTION("""COMPUTED_VALUE"""),"085259955829")</f>
        <v>085259955829</v>
      </c>
      <c r="E337" s="25" t="str">
        <f>IFERROR(__xludf.DUMMYFUNCTION("""COMPUTED_VALUE"""),"Website")</f>
        <v>Website</v>
      </c>
      <c r="F337" s="25" t="str">
        <f>IFERROR(__xludf.DUMMYFUNCTION("""COMPUTED_VALUE"""),"Gagal")</f>
        <v>Gagal</v>
      </c>
      <c r="G337" s="25" t="str">
        <f>IFERROR(__xludf.DUMMYFUNCTION("""COMPUTED_VALUE"""),"2D")</f>
        <v>2D</v>
      </c>
      <c r="H337" s="92"/>
      <c r="I337" s="80"/>
      <c r="J337" s="93"/>
      <c r="K337" s="46" t="str">
        <f>IFERROR(__xludf.DUMMYFUNCTION("""COMPUTED_VALUE"""),"blm ada kelanjutan ")</f>
        <v>blm ada kelanjutan </v>
      </c>
      <c r="L337" s="76"/>
      <c r="M337" s="20"/>
      <c r="N337" s="20"/>
      <c r="O337" s="20"/>
      <c r="P337" s="20"/>
    </row>
    <row r="338">
      <c r="A338" s="110">
        <f>IFERROR(__xludf.DUMMYFUNCTION("""COMPUTED_VALUE"""),46205.0)</f>
        <v>46205</v>
      </c>
      <c r="B338" s="110" t="str">
        <f>IFERROR(__xludf.DUMMYFUNCTION("""COMPUTED_VALUE"""),"2607H008")</f>
        <v>2607H008</v>
      </c>
      <c r="C338" s="49" t="str">
        <f>IFERROR(__xludf.DUMMYFUNCTION("""COMPUTED_VALUE"""),"qalbi mirxela")</f>
        <v>qalbi mirxela</v>
      </c>
      <c r="D338" s="102" t="str">
        <f>IFERROR(__xludf.DUMMYFUNCTION("""COMPUTED_VALUE"""),"087787401148")</f>
        <v>087787401148</v>
      </c>
      <c r="E338" s="25" t="str">
        <f>IFERROR(__xludf.DUMMYFUNCTION("""COMPUTED_VALUE"""),"Website")</f>
        <v>Website</v>
      </c>
      <c r="F338" s="25" t="str">
        <f>IFERROR(__xludf.DUMMYFUNCTION("""COMPUTED_VALUE"""),"Closing")</f>
        <v>Closing</v>
      </c>
      <c r="G338" s="25" t="str">
        <f>IFERROR(__xludf.DUMMYFUNCTION("""COMPUTED_VALUE"""),"3h2m")</f>
        <v>3h2m</v>
      </c>
      <c r="H338" s="78"/>
      <c r="I338" s="89">
        <f>IFERROR(__xludf.DUMMYFUNCTION("""COMPUTED_VALUE"""),4.0)</f>
        <v>4</v>
      </c>
      <c r="J338" s="96">
        <f>IFERROR(__xludf.DUMMYFUNCTION("""COMPUTED_VALUE"""),6800000.0)</f>
        <v>6800000</v>
      </c>
      <c r="K338" s="36" t="str">
        <f>IFERROR(__xludf.DUMMYFUNCTION("""COMPUTED_VALUE"""),"Alhamdulillah closing")</f>
        <v>Alhamdulillah closing</v>
      </c>
      <c r="L338" s="49"/>
      <c r="M338" s="20"/>
      <c r="N338" s="20"/>
      <c r="O338" s="20"/>
      <c r="P338" s="20"/>
    </row>
    <row r="339">
      <c r="A339" s="97">
        <f>IFERROR(__xludf.DUMMYFUNCTION("""COMPUTED_VALUE"""),46206.0)</f>
        <v>46206</v>
      </c>
      <c r="B339" s="97" t="str">
        <f>IFERROR(__xludf.DUMMYFUNCTION("""COMPUTED_VALUE"""),"2607H009")</f>
        <v>2607H009</v>
      </c>
      <c r="C339" s="76" t="str">
        <f>IFERROR(__xludf.DUMMYFUNCTION("""COMPUTED_VALUE"""),"Fifit")</f>
        <v>Fifit</v>
      </c>
      <c r="D339" s="99" t="str">
        <f>IFERROR(__xludf.DUMMYFUNCTION("""COMPUTED_VALUE"""),"081905026305")</f>
        <v>081905026305</v>
      </c>
      <c r="E339" s="25" t="str">
        <f>IFERROR(__xludf.DUMMYFUNCTION("""COMPUTED_VALUE"""),"Website")</f>
        <v>Website</v>
      </c>
      <c r="F339" s="25" t="str">
        <f>IFERROR(__xludf.DUMMYFUNCTION("""COMPUTED_VALUE"""),"Gagal")</f>
        <v>Gagal</v>
      </c>
      <c r="G339" s="25" t="str">
        <f>IFERROR(__xludf.DUMMYFUNCTION("""COMPUTED_VALUE"""),"ot 3h2m")</f>
        <v>ot 3h2m</v>
      </c>
      <c r="H339" s="92"/>
      <c r="I339" s="80">
        <f>IFERROR(__xludf.DUMMYFUNCTION("""COMPUTED_VALUE"""),2.0)</f>
        <v>2</v>
      </c>
      <c r="J339" s="93"/>
      <c r="K339" s="46" t="str">
        <f>IFERROR(__xludf.DUMMYFUNCTION("""COMPUTED_VALUE"""),"ga kasi alasan gagal")</f>
        <v>ga kasi alasan gagal</v>
      </c>
      <c r="L339" s="76"/>
      <c r="M339" s="20"/>
      <c r="N339" s="20"/>
      <c r="O339" s="20"/>
      <c r="P339" s="20"/>
    </row>
    <row r="340">
      <c r="A340" s="110">
        <f>IFERROR(__xludf.DUMMYFUNCTION("""COMPUTED_VALUE"""),46207.0)</f>
        <v>46207</v>
      </c>
      <c r="B340" s="110" t="str">
        <f>IFERROR(__xludf.DUMMYFUNCTION("""COMPUTED_VALUE"""),"2607H010")</f>
        <v>2607H010</v>
      </c>
      <c r="C340" s="49" t="str">
        <f>IFERROR(__xludf.DUMMYFUNCTION("""COMPUTED_VALUE"""),"Wildan")</f>
        <v>Wildan</v>
      </c>
      <c r="D340" s="102" t="str">
        <f>IFERROR(__xludf.DUMMYFUNCTION("""COMPUTED_VALUE"""),"087785913322")</f>
        <v>087785913322</v>
      </c>
      <c r="E340" s="25" t="str">
        <f>IFERROR(__xludf.DUMMYFUNCTION("""COMPUTED_VALUE"""),"Lainnya")</f>
        <v>Lainnya</v>
      </c>
      <c r="F340" s="25" t="str">
        <f>IFERROR(__xludf.DUMMYFUNCTION("""COMPUTED_VALUE"""),"Gagal")</f>
        <v>Gagal</v>
      </c>
      <c r="G340" s="25" t="str">
        <f>IFERROR(__xludf.DUMMYFUNCTION("""COMPUTED_VALUE"""),"pulau merah, green island")</f>
        <v>pulau merah, green island</v>
      </c>
      <c r="H340" s="78"/>
      <c r="I340" s="89">
        <f>IFERROR(__xludf.DUMMYFUNCTION("""COMPUTED_VALUE"""),10.0)</f>
        <v>10</v>
      </c>
      <c r="J340" s="96"/>
      <c r="K340" s="36" t="str">
        <f>IFERROR(__xludf.DUMMYFUNCTION("""COMPUTED_VALUE"""),"ga ada balasan")</f>
        <v>ga ada balasan</v>
      </c>
      <c r="L340" s="49"/>
      <c r="M340" s="20"/>
      <c r="N340" s="20"/>
      <c r="O340" s="20"/>
      <c r="P340" s="20"/>
    </row>
    <row r="341">
      <c r="A341" s="97">
        <f>IFERROR(__xludf.DUMMYFUNCTION("""COMPUTED_VALUE"""),46208.0)</f>
        <v>46208</v>
      </c>
      <c r="B341" s="97" t="str">
        <f>IFERROR(__xludf.DUMMYFUNCTION("""COMPUTED_VALUE"""),"2607H011")</f>
        <v>2607H011</v>
      </c>
      <c r="C341" s="76" t="str">
        <f>IFERROR(__xludf.DUMMYFUNCTION("""COMPUTED_VALUE"""),"Lisa Margareth")</f>
        <v>Lisa Margareth</v>
      </c>
      <c r="D341" s="99" t="str">
        <f>IFERROR(__xludf.DUMMYFUNCTION("""COMPUTED_VALUE"""),"081310905429")</f>
        <v>081310905429</v>
      </c>
      <c r="E341" s="25" t="str">
        <f>IFERROR(__xludf.DUMMYFUNCTION("""COMPUTED_VALUE"""),"Website")</f>
        <v>Website</v>
      </c>
      <c r="F341" s="25" t="str">
        <f>IFERROR(__xludf.DUMMYFUNCTION("""COMPUTED_VALUE"""),"Closing")</f>
        <v>Closing</v>
      </c>
      <c r="G341" s="25" t="str">
        <f>IFERROR(__xludf.DUMMYFUNCTION("""COMPUTED_VALUE"""),"2h1m custome")</f>
        <v>2h1m custome</v>
      </c>
      <c r="H341" s="92"/>
      <c r="I341" s="80">
        <f>IFERROR(__xludf.DUMMYFUNCTION("""COMPUTED_VALUE"""),5.0)</f>
        <v>5</v>
      </c>
      <c r="J341" s="54">
        <f>IFERROR(__xludf.DUMMYFUNCTION("""COMPUTED_VALUE"""),4900000.0)</f>
        <v>4900000</v>
      </c>
      <c r="K341" s="46" t="str">
        <f>IFERROR(__xludf.DUMMYFUNCTION("""COMPUTED_VALUE"""),"Alhamdulillah closing")</f>
        <v>Alhamdulillah closing</v>
      </c>
      <c r="L341" s="76"/>
      <c r="M341" s="20"/>
      <c r="N341" s="20"/>
      <c r="O341" s="20"/>
      <c r="P341" s="20"/>
    </row>
    <row r="342">
      <c r="A342" s="110">
        <f>IFERROR(__xludf.DUMMYFUNCTION("""COMPUTED_VALUE"""),46208.0)</f>
        <v>46208</v>
      </c>
      <c r="B342" s="110" t="str">
        <f>IFERROR(__xludf.DUMMYFUNCTION("""COMPUTED_VALUE"""),"2607H012")</f>
        <v>2607H012</v>
      </c>
      <c r="C342" s="49" t="str">
        <f>IFERROR(__xludf.DUMMYFUNCTION("""COMPUTED_VALUE"""),"reynanda nadhira")</f>
        <v>reynanda nadhira</v>
      </c>
      <c r="D342" s="102" t="str">
        <f>IFERROR(__xludf.DUMMYFUNCTION("""COMPUTED_VALUE"""),"088220708108")</f>
        <v>088220708108</v>
      </c>
      <c r="E342" s="25" t="str">
        <f>IFERROR(__xludf.DUMMYFUNCTION("""COMPUTED_VALUE"""),"Website")</f>
        <v>Website</v>
      </c>
      <c r="F342" s="25" t="str">
        <f>IFERROR(__xludf.DUMMYFUNCTION("""COMPUTED_VALUE"""),"Qualified")</f>
        <v>Qualified</v>
      </c>
      <c r="G342" s="25" t="str">
        <f>IFERROR(__xludf.DUMMYFUNCTION("""COMPUTED_VALUE"""),"2h1m custome")</f>
        <v>2h1m custome</v>
      </c>
      <c r="H342" s="78"/>
      <c r="I342" s="89"/>
      <c r="J342" s="96"/>
      <c r="K342" s="30" t="str">
        <f>IFERROR(__xludf.DUMMYFUNCTION("""COMPUTED_VALUE"""),"FU 20 Juli")</f>
        <v>FU 20 Juli</v>
      </c>
      <c r="L342" s="49"/>
      <c r="M342" s="20"/>
      <c r="N342" s="20"/>
      <c r="O342" s="20"/>
      <c r="P342" s="20"/>
    </row>
    <row r="343">
      <c r="A343" s="97">
        <f>IFERROR(__xludf.DUMMYFUNCTION("""COMPUTED_VALUE"""),46208.0)</f>
        <v>46208</v>
      </c>
      <c r="B343" s="97" t="str">
        <f>IFERROR(__xludf.DUMMYFUNCTION("""COMPUTED_VALUE"""),"2607H013")</f>
        <v>2607H013</v>
      </c>
      <c r="C343" s="76" t="str">
        <f>IFERROR(__xludf.DUMMYFUNCTION("""COMPUTED_VALUE"""),"lala")</f>
        <v>lala</v>
      </c>
      <c r="D343" s="99" t="str">
        <f>IFERROR(__xludf.DUMMYFUNCTION("""COMPUTED_VALUE"""),"081387759309")</f>
        <v>081387759309</v>
      </c>
      <c r="E343" s="25" t="str">
        <f>IFERROR(__xludf.DUMMYFUNCTION("""COMPUTED_VALUE"""),"Lainnya")</f>
        <v>Lainnya</v>
      </c>
      <c r="F343" s="25" t="str">
        <f>IFERROR(__xludf.DUMMYFUNCTION("""COMPUTED_VALUE"""),"Closing")</f>
        <v>Closing</v>
      </c>
      <c r="G343" s="25" t="str">
        <f>IFERROR(__xludf.DUMMYFUNCTION("""COMPUTED_VALUE"""),"2H1M")</f>
        <v>2H1M</v>
      </c>
      <c r="H343" s="92"/>
      <c r="I343" s="80">
        <f>IFERROR(__xludf.DUMMYFUNCTION("""COMPUTED_VALUE"""),4.0)</f>
        <v>4</v>
      </c>
      <c r="J343" s="93">
        <f>IFERROR(__xludf.DUMMYFUNCTION("""COMPUTED_VALUE"""),1.29E7)</f>
        <v>12900000</v>
      </c>
      <c r="K343" s="46" t="str">
        <f>IFERROR(__xludf.DUMMYFUNCTION("""COMPUTED_VALUE"""),"Alhamdulillah closing")</f>
        <v>Alhamdulillah closing</v>
      </c>
      <c r="L343" s="76"/>
      <c r="M343" s="20"/>
      <c r="N343" s="20"/>
      <c r="O343" s="20"/>
      <c r="P343" s="20"/>
    </row>
    <row r="344">
      <c r="A344" s="110">
        <f>IFERROR(__xludf.DUMMYFUNCTION("""COMPUTED_VALUE"""),46209.0)</f>
        <v>46209</v>
      </c>
      <c r="B344" s="110" t="str">
        <f>IFERROR(__xludf.DUMMYFUNCTION("""COMPUTED_VALUE"""),"2607H014")</f>
        <v>2607H014</v>
      </c>
      <c r="C344" s="49" t="str">
        <f>IFERROR(__xludf.DUMMYFUNCTION("""COMPUTED_VALUE"""),"Rudi Setiawan")</f>
        <v>Rudi Setiawan</v>
      </c>
      <c r="D344" s="102" t="str">
        <f>IFERROR(__xludf.DUMMYFUNCTION("""COMPUTED_VALUE"""),"08129691597")</f>
        <v>08129691597</v>
      </c>
      <c r="E344" s="25" t="str">
        <f>IFERROR(__xludf.DUMMYFUNCTION("""COMPUTED_VALUE"""),"Website")</f>
        <v>Website</v>
      </c>
      <c r="F344" s="25" t="str">
        <f>IFERROR(__xludf.DUMMYFUNCTION("""COMPUTED_VALUE"""),"Gagal")</f>
        <v>Gagal</v>
      </c>
      <c r="G344" s="25" t="str">
        <f>IFERROR(__xludf.DUMMYFUNCTION("""COMPUTED_VALUE"""),"2h1m")</f>
        <v>2h1m</v>
      </c>
      <c r="H344" s="78"/>
      <c r="I344" s="89"/>
      <c r="J344" s="96"/>
      <c r="K344" s="36" t="str">
        <f>IFERROR(__xludf.DUMMYFUNCTION("""COMPUTED_VALUE"""),"ga ada balasan")</f>
        <v>ga ada balasan</v>
      </c>
      <c r="L344" s="49"/>
      <c r="M344" s="20"/>
      <c r="N344" s="20"/>
      <c r="O344" s="20"/>
      <c r="P344" s="20"/>
    </row>
    <row r="345">
      <c r="A345" s="97">
        <f>IFERROR(__xludf.DUMMYFUNCTION("""COMPUTED_VALUE"""),46209.0)</f>
        <v>46209</v>
      </c>
      <c r="B345" s="97" t="str">
        <f>IFERROR(__xludf.DUMMYFUNCTION("""COMPUTED_VALUE"""),"2607H015")</f>
        <v>2607H015</v>
      </c>
      <c r="C345" s="76" t="str">
        <f>IFERROR(__xludf.DUMMYFUNCTION("""COMPUTED_VALUE"""),"mine")</f>
        <v>mine</v>
      </c>
      <c r="D345" s="99" t="str">
        <f>IFERROR(__xludf.DUMMYFUNCTION("""COMPUTED_VALUE"""),"085251153623")</f>
        <v>085251153623</v>
      </c>
      <c r="E345" s="25"/>
      <c r="F345" s="25" t="str">
        <f>IFERROR(__xludf.DUMMYFUNCTION("""COMPUTED_VALUE"""),"Qualified")</f>
        <v>Qualified</v>
      </c>
      <c r="G345" s="25" t="str">
        <f>IFERROR(__xludf.DUMMYFUNCTION("""COMPUTED_VALUE"""),"3H2M custome")</f>
        <v>3H2M custome</v>
      </c>
      <c r="H345" s="16"/>
      <c r="I345" s="17">
        <f>IFERROR(__xludf.DUMMYFUNCTION("""COMPUTED_VALUE"""),10.0)</f>
        <v>10</v>
      </c>
      <c r="J345" s="54"/>
      <c r="K345" s="46" t="str">
        <f>IFERROR(__xludf.DUMMYFUNCTION("""COMPUTED_VALUE"""),"FU 18 Juli ")</f>
        <v>FU 18 Juli </v>
      </c>
      <c r="L345" s="76"/>
      <c r="M345" s="20"/>
      <c r="N345" s="20"/>
      <c r="O345" s="20"/>
      <c r="P345" s="20"/>
    </row>
    <row r="346">
      <c r="A346" s="97">
        <f>IFERROR(__xludf.DUMMYFUNCTION("""COMPUTED_VALUE"""),46209.0)</f>
        <v>46209</v>
      </c>
      <c r="B346" s="110" t="str">
        <f>IFERROR(__xludf.DUMMYFUNCTION("""COMPUTED_VALUE"""),"2607H016")</f>
        <v>2607H016</v>
      </c>
      <c r="C346" s="49" t="str">
        <f>IFERROR(__xludf.DUMMYFUNCTION("""COMPUTED_VALUE"""),"Widia Cahyadi")</f>
        <v>Widia Cahyadi</v>
      </c>
      <c r="D346" s="102" t="str">
        <f>IFERROR(__xludf.DUMMYFUNCTION("""COMPUTED_VALUE"""),"081381222334")</f>
        <v>081381222334</v>
      </c>
      <c r="E346" s="25" t="str">
        <f>IFERROR(__xludf.DUMMYFUNCTION("""COMPUTED_VALUE"""),"Website")</f>
        <v>Website</v>
      </c>
      <c r="F346" s="25" t="str">
        <f>IFERROR(__xludf.DUMMYFUNCTION("""COMPUTED_VALUE"""),"Closing")</f>
        <v>Closing</v>
      </c>
      <c r="G346" s="25" t="str">
        <f>IFERROR(__xludf.DUMMYFUNCTION("""COMPUTED_VALUE"""),"2h1m custom")</f>
        <v>2h1m custom</v>
      </c>
      <c r="H346" s="78"/>
      <c r="I346" s="27">
        <f>IFERROR(__xludf.DUMMYFUNCTION("""COMPUTED_VALUE"""),4.0)</f>
        <v>4</v>
      </c>
      <c r="J346" s="33">
        <f>IFERROR(__xludf.DUMMYFUNCTION("""COMPUTED_VALUE"""),4360000.0)</f>
        <v>4360000</v>
      </c>
      <c r="K346" s="30" t="str">
        <f>IFERROR(__xludf.DUMMYFUNCTION("""COMPUTED_VALUE"""),"orderr")</f>
        <v>orderr</v>
      </c>
      <c r="L346" s="49"/>
      <c r="M346" s="20"/>
      <c r="N346" s="20"/>
      <c r="O346" s="20"/>
      <c r="P346" s="20"/>
    </row>
    <row r="347">
      <c r="A347" s="97">
        <f>IFERROR(__xludf.DUMMYFUNCTION("""COMPUTED_VALUE"""),46210.0)</f>
        <v>46210</v>
      </c>
      <c r="B347" s="110" t="str">
        <f>IFERROR(__xludf.DUMMYFUNCTION("""COMPUTED_VALUE"""),"2607H017")</f>
        <v>2607H017</v>
      </c>
      <c r="C347" s="76" t="str">
        <f>IFERROR(__xludf.DUMMYFUNCTION("""COMPUTED_VALUE"""),"Delta Echo Nov2 Yankee")</f>
        <v>Delta Echo Nov2 Yankee</v>
      </c>
      <c r="D347" s="99" t="str">
        <f>IFERROR(__xludf.DUMMYFUNCTION("""COMPUTED_VALUE"""),"089515196502")</f>
        <v>089515196502</v>
      </c>
      <c r="E347" s="25" t="str">
        <f>IFERROR(__xludf.DUMMYFUNCTION("""COMPUTED_VALUE"""),"Website")</f>
        <v>Website</v>
      </c>
      <c r="F347" s="25" t="str">
        <f>IFERROR(__xludf.DUMMYFUNCTION("""COMPUTED_VALUE"""),"Qualified")</f>
        <v>Qualified</v>
      </c>
      <c r="G347" s="25" t="str">
        <f>IFERROR(__xludf.DUMMYFUNCTION("""COMPUTED_VALUE"""),"ot ijen")</f>
        <v>ot ijen</v>
      </c>
      <c r="H347" s="16">
        <f>IFERROR(__xludf.DUMMYFUNCTION("""COMPUTED_VALUE"""),46240.0)</f>
        <v>46240</v>
      </c>
      <c r="I347" s="17">
        <f>IFERROR(__xludf.DUMMYFUNCTION("""COMPUTED_VALUE"""),2.0)</f>
        <v>2</v>
      </c>
      <c r="J347" s="54">
        <f>IFERROR(__xludf.DUMMYFUNCTION("""COMPUTED_VALUE"""),500000.0)</f>
        <v>500000</v>
      </c>
      <c r="K347" s="46" t="str">
        <f>IFERROR(__xludf.DUMMYFUNCTION("""COMPUTED_VALUE"""),"fu 28 juli")</f>
        <v>fu 28 juli</v>
      </c>
      <c r="L347" s="76"/>
      <c r="M347" s="20"/>
      <c r="N347" s="20"/>
      <c r="O347" s="20"/>
      <c r="P347" s="20"/>
    </row>
    <row r="348">
      <c r="A348" s="110">
        <f>IFERROR(__xludf.DUMMYFUNCTION("""COMPUTED_VALUE"""),46212.0)</f>
        <v>46212</v>
      </c>
      <c r="B348" s="110" t="str">
        <f>IFERROR(__xludf.DUMMYFUNCTION("""COMPUTED_VALUE"""),"2607H018")</f>
        <v>2607H018</v>
      </c>
      <c r="C348" s="49" t="str">
        <f>IFERROR(__xludf.DUMMYFUNCTION("""COMPUTED_VALUE"""),"Lukman")</f>
        <v>Lukman</v>
      </c>
      <c r="D348" s="102" t="str">
        <f>IFERROR(__xludf.DUMMYFUNCTION("""COMPUTED_VALUE"""),"087855815777")</f>
        <v>087855815777</v>
      </c>
      <c r="E348" s="25" t="str">
        <f>IFERROR(__xludf.DUMMYFUNCTION("""COMPUTED_VALUE"""),"Website")</f>
        <v>Website</v>
      </c>
      <c r="F348" s="25" t="str">
        <f>IFERROR(__xludf.DUMMYFUNCTION("""COMPUTED_VALUE"""),"Gagal")</f>
        <v>Gagal</v>
      </c>
      <c r="G348" s="25"/>
      <c r="H348" s="78"/>
      <c r="I348" s="89"/>
      <c r="J348" s="96"/>
      <c r="K348" s="36" t="str">
        <f>IFERROR(__xludf.DUMMYFUNCTION("""COMPUTED_VALUE"""),"ga ada balasan")</f>
        <v>ga ada balasan</v>
      </c>
      <c r="L348" s="49"/>
      <c r="M348" s="20"/>
      <c r="N348" s="20"/>
      <c r="O348" s="20"/>
      <c r="P348" s="20"/>
    </row>
    <row r="349">
      <c r="A349" s="97">
        <f>IFERROR(__xludf.DUMMYFUNCTION("""COMPUTED_VALUE"""),46212.0)</f>
        <v>46212</v>
      </c>
      <c r="B349" s="97" t="str">
        <f>IFERROR(__xludf.DUMMYFUNCTION("""COMPUTED_VALUE"""),"2607H019")</f>
        <v>2607H019</v>
      </c>
      <c r="C349" s="76" t="str">
        <f>IFERROR(__xludf.DUMMYFUNCTION("""COMPUTED_VALUE"""),"Tati Lamria")</f>
        <v>Tati Lamria</v>
      </c>
      <c r="D349" s="99" t="str">
        <f>IFERROR(__xludf.DUMMYFUNCTION("""COMPUTED_VALUE"""),"082110499578")</f>
        <v>082110499578</v>
      </c>
      <c r="E349" s="25" t="str">
        <f>IFERROR(__xludf.DUMMYFUNCTION("""COMPUTED_VALUE"""),"Website")</f>
        <v>Website</v>
      </c>
      <c r="F349" s="25" t="str">
        <f>IFERROR(__xludf.DUMMYFUNCTION("""COMPUTED_VALUE"""),"Leads Baru")</f>
        <v>Leads Baru</v>
      </c>
      <c r="G349" s="25" t="str">
        <f>IFERROR(__xludf.DUMMYFUNCTION("""COMPUTED_VALUE"""),"ot 3h2m")</f>
        <v>ot 3h2m</v>
      </c>
      <c r="H349" s="92"/>
      <c r="I349" s="80"/>
      <c r="J349" s="93"/>
      <c r="K349" s="46" t="str">
        <f>IFERROR(__xludf.DUMMYFUNCTION("""COMPUTED_VALUE"""),"hanya menyapa. fu 18 juli")</f>
        <v>hanya menyapa. fu 18 juli</v>
      </c>
      <c r="L349" s="76"/>
      <c r="M349" s="20"/>
      <c r="N349" s="20"/>
      <c r="O349" s="20"/>
      <c r="P349" s="20"/>
    </row>
    <row r="350">
      <c r="A350" s="110">
        <f>IFERROR(__xludf.DUMMYFUNCTION("""COMPUTED_VALUE"""),46212.0)</f>
        <v>46212</v>
      </c>
      <c r="B350" s="110" t="str">
        <f>IFERROR(__xludf.DUMMYFUNCTION("""COMPUTED_VALUE"""),"2607H020")</f>
        <v>2607H020</v>
      </c>
      <c r="C350" s="49" t="str">
        <f>IFERROR(__xludf.DUMMYFUNCTION("""COMPUTED_VALUE"""),"Astuti Nurwidiyanti")</f>
        <v>Astuti Nurwidiyanti</v>
      </c>
      <c r="D350" s="102" t="str">
        <f>IFERROR(__xludf.DUMMYFUNCTION("""COMPUTED_VALUE"""),"0818119143")</f>
        <v>0818119143</v>
      </c>
      <c r="E350" s="25" t="str">
        <f>IFERROR(__xludf.DUMMYFUNCTION("""COMPUTED_VALUE"""),"Website")</f>
        <v>Website</v>
      </c>
      <c r="F350" s="25" t="str">
        <f>IFERROR(__xludf.DUMMYFUNCTION("""COMPUTED_VALUE"""),"Gagal")</f>
        <v>Gagal</v>
      </c>
      <c r="G350" s="25"/>
      <c r="H350" s="78"/>
      <c r="I350" s="89"/>
      <c r="J350" s="96"/>
      <c r="K350" s="30" t="str">
        <f>IFERROR(__xludf.DUMMYFUNCTION("""COMPUTED_VALUE"""),"ga ada balasan")</f>
        <v>ga ada balasan</v>
      </c>
      <c r="L350" s="49"/>
      <c r="M350" s="20"/>
      <c r="N350" s="20"/>
      <c r="O350" s="20"/>
      <c r="P350" s="20"/>
    </row>
    <row r="351">
      <c r="A351" s="97">
        <f>IFERROR(__xludf.DUMMYFUNCTION("""COMPUTED_VALUE"""),46212.0)</f>
        <v>46212</v>
      </c>
      <c r="B351" s="97" t="str">
        <f>IFERROR(__xludf.DUMMYFUNCTION("""COMPUTED_VALUE"""),"2607H021")</f>
        <v>2607H021</v>
      </c>
      <c r="C351" s="76" t="str">
        <f>IFERROR(__xludf.DUMMYFUNCTION("""COMPUTED_VALUE"""),"Risky Siregar")</f>
        <v>Risky Siregar</v>
      </c>
      <c r="D351" s="99" t="str">
        <f>IFERROR(__xludf.DUMMYFUNCTION("""COMPUTED_VALUE"""),"08112206522")</f>
        <v>08112206522</v>
      </c>
      <c r="E351" s="25" t="str">
        <f>IFERROR(__xludf.DUMMYFUNCTION("""COMPUTED_VALUE"""),"Lainnya")</f>
        <v>Lainnya</v>
      </c>
      <c r="F351" s="25" t="str">
        <f>IFERROR(__xludf.DUMMYFUNCTION("""COMPUTED_VALUE"""),"Qualified")</f>
        <v>Qualified</v>
      </c>
      <c r="G351" s="25" t="str">
        <f>IFERROR(__xludf.DUMMYFUNCTION("""COMPUTED_VALUE"""),"ot ijen, baluran")</f>
        <v>ot ijen, baluran</v>
      </c>
      <c r="H351" s="92">
        <f>IFERROR(__xludf.DUMMYFUNCTION("""COMPUTED_VALUE"""),46248.0)</f>
        <v>46248</v>
      </c>
      <c r="I351" s="80">
        <f>IFERROR(__xludf.DUMMYFUNCTION("""COMPUTED_VALUE"""),2.0)</f>
        <v>2</v>
      </c>
      <c r="J351" s="93"/>
      <c r="K351" s="46" t="str">
        <f>IFERROR(__xludf.DUMMYFUNCTION("""COMPUTED_VALUE"""),"Rencana trip 14 Agustus, FU 1 Agustus")</f>
        <v>Rencana trip 14 Agustus, FU 1 Agustus</v>
      </c>
      <c r="L351" s="76"/>
      <c r="M351" s="20"/>
      <c r="N351" s="20"/>
      <c r="O351" s="20"/>
      <c r="P351" s="20"/>
    </row>
    <row r="352">
      <c r="A352" s="110">
        <f>IFERROR(__xludf.DUMMYFUNCTION("""COMPUTED_VALUE"""),46214.0)</f>
        <v>46214</v>
      </c>
      <c r="B352" s="110" t="str">
        <f>IFERROR(__xludf.DUMMYFUNCTION("""COMPUTED_VALUE"""),"2607H022")</f>
        <v>2607H022</v>
      </c>
      <c r="C352" s="49" t="str">
        <f>IFERROR(__xludf.DUMMYFUNCTION("""COMPUTED_VALUE"""),"Dewi Dahlia")</f>
        <v>Dewi Dahlia</v>
      </c>
      <c r="D352" s="102" t="str">
        <f>IFERROR(__xludf.DUMMYFUNCTION("""COMPUTED_VALUE"""),"081196901118")</f>
        <v>081196901118</v>
      </c>
      <c r="E352" s="25" t="str">
        <f>IFERROR(__xludf.DUMMYFUNCTION("""COMPUTED_VALUE"""),"Instagram")</f>
        <v>Instagram</v>
      </c>
      <c r="F352" s="25" t="str">
        <f>IFERROR(__xludf.DUMMYFUNCTION("""COMPUTED_VALUE"""),"Qualified")</f>
        <v>Qualified</v>
      </c>
      <c r="G352" s="25" t="str">
        <f>IFERROR(__xludf.DUMMYFUNCTION("""COMPUTED_VALUE"""),"ot menjangan tabuhan")</f>
        <v>ot menjangan tabuhan</v>
      </c>
      <c r="H352" s="78"/>
      <c r="I352" s="89"/>
      <c r="J352" s="96"/>
      <c r="K352" s="30" t="str">
        <f>IFERROR(__xludf.DUMMYFUNCTION("""COMPUTED_VALUE"""),"FU 1 Agustus")</f>
        <v>FU 1 Agustus</v>
      </c>
      <c r="L352" s="49"/>
      <c r="M352" s="20"/>
      <c r="N352" s="20"/>
      <c r="O352" s="20"/>
      <c r="P352" s="20"/>
    </row>
    <row r="353">
      <c r="A353" s="97">
        <f>IFERROR(__xludf.DUMMYFUNCTION("""COMPUTED_VALUE"""),46215.0)</f>
        <v>46215</v>
      </c>
      <c r="B353" s="97" t="str">
        <f>IFERROR(__xludf.DUMMYFUNCTION("""COMPUTED_VALUE"""),"2607H023")</f>
        <v>2607H023</v>
      </c>
      <c r="C353" s="76" t="str">
        <f>IFERROR(__xludf.DUMMYFUNCTION("""COMPUTED_VALUE"""),"Putri")</f>
        <v>Putri</v>
      </c>
      <c r="D353" s="99" t="str">
        <f>IFERROR(__xludf.DUMMYFUNCTION("""COMPUTED_VALUE"""),"085331277118")</f>
        <v>085331277118</v>
      </c>
      <c r="E353" s="25" t="str">
        <f>IFERROR(__xludf.DUMMYFUNCTION("""COMPUTED_VALUE"""),"Lainnya")</f>
        <v>Lainnya</v>
      </c>
      <c r="F353" s="25" t="str">
        <f>IFERROR(__xludf.DUMMYFUNCTION("""COMPUTED_VALUE"""),"Gagal")</f>
        <v>Gagal</v>
      </c>
      <c r="G353" s="25" t="str">
        <f>IFERROR(__xludf.DUMMYFUNCTION("""COMPUTED_VALUE"""),"green island")</f>
        <v>green island</v>
      </c>
      <c r="H353" s="92"/>
      <c r="I353" s="80"/>
      <c r="J353" s="54"/>
      <c r="K353" s="46" t="str">
        <f>IFERROR(__xludf.DUMMYFUNCTION("""COMPUTED_VALUE"""),"gagal tidak ada balasan")</f>
        <v>gagal tidak ada balasan</v>
      </c>
      <c r="L353" s="76"/>
      <c r="M353" s="20"/>
      <c r="N353" s="20"/>
      <c r="O353" s="20"/>
      <c r="P353" s="20"/>
    </row>
    <row r="354">
      <c r="A354" s="110">
        <f>IFERROR(__xludf.DUMMYFUNCTION("""COMPUTED_VALUE"""),46218.0)</f>
        <v>46218</v>
      </c>
      <c r="B354" s="110" t="str">
        <f>IFERROR(__xludf.DUMMYFUNCTION("""COMPUTED_VALUE"""),"2607H024")</f>
        <v>2607H024</v>
      </c>
      <c r="C354" s="49" t="str">
        <f>IFERROR(__xludf.DUMMYFUNCTION("""COMPUTED_VALUE"""),"Ingrid")</f>
        <v>Ingrid</v>
      </c>
      <c r="D354" s="102" t="str">
        <f>IFERROR(__xludf.DUMMYFUNCTION("""COMPUTED_VALUE"""),"081311041396")</f>
        <v>081311041396</v>
      </c>
      <c r="E354" s="25" t="str">
        <f>IFERROR(__xludf.DUMMYFUNCTION("""COMPUTED_VALUE"""),"Lainnya")</f>
        <v>Lainnya</v>
      </c>
      <c r="F354" s="25" t="str">
        <f>IFERROR(__xludf.DUMMYFUNCTION("""COMPUTED_VALUE"""),"Gagal")</f>
        <v>Gagal</v>
      </c>
      <c r="G354" s="25" t="str">
        <f>IFERROR(__xludf.DUMMYFUNCTION("""COMPUTED_VALUE"""),"4h3m custome")</f>
        <v>4h3m custome</v>
      </c>
      <c r="H354" s="78"/>
      <c r="I354" s="89"/>
      <c r="J354" s="96"/>
      <c r="K354" s="30" t="str">
        <f>IFERROR(__xludf.DUMMYFUNCTION("""COMPUTED_VALUE"""),"tiket liburan mahal lebih murah ke bali")</f>
        <v>tiket liburan mahal lebih murah ke bali</v>
      </c>
      <c r="L354" s="49"/>
      <c r="M354" s="20"/>
      <c r="N354" s="20"/>
      <c r="O354" s="20"/>
      <c r="P354" s="20"/>
    </row>
    <row r="355">
      <c r="A355" s="97">
        <f>IFERROR(__xludf.DUMMYFUNCTION("""COMPUTED_VALUE"""),46218.0)</f>
        <v>46218</v>
      </c>
      <c r="B355" s="97" t="str">
        <f>IFERROR(__xludf.DUMMYFUNCTION("""COMPUTED_VALUE"""),"2607H025")</f>
        <v>2607H025</v>
      </c>
      <c r="C355" s="76" t="str">
        <f>IFERROR(__xludf.DUMMYFUNCTION("""COMPUTED_VALUE"""),"Maya")</f>
        <v>Maya</v>
      </c>
      <c r="D355" s="99" t="str">
        <f>IFERROR(__xludf.DUMMYFUNCTION("""COMPUTED_VALUE"""),"081219107234")</f>
        <v>081219107234</v>
      </c>
      <c r="E355" s="25" t="str">
        <f>IFERROR(__xludf.DUMMYFUNCTION("""COMPUTED_VALUE"""),"Rekomendasi")</f>
        <v>Rekomendasi</v>
      </c>
      <c r="F355" s="25" t="str">
        <f>IFERROR(__xludf.DUMMYFUNCTION("""COMPUTED_VALUE"""),"Qualified")</f>
        <v>Qualified</v>
      </c>
      <c r="G355" s="25" t="str">
        <f>IFERROR(__xludf.DUMMYFUNCTION("""COMPUTED_VALUE"""),"2d1m custome")</f>
        <v>2d1m custome</v>
      </c>
      <c r="H355" s="92">
        <f>IFERROR(__xludf.DUMMYFUNCTION("""COMPUTED_VALUE"""),46330.0)</f>
        <v>46330</v>
      </c>
      <c r="I355" s="80">
        <f>IFERROR(__xludf.DUMMYFUNCTION("""COMPUTED_VALUE"""),4.0)</f>
        <v>4</v>
      </c>
      <c r="J355" s="93"/>
      <c r="K355" s="46" t="str">
        <f>IFERROR(__xludf.DUMMYFUNCTION("""COMPUTED_VALUE"""),"FU 20 Agustus")</f>
        <v>FU 20 Agustus</v>
      </c>
      <c r="L355" s="76"/>
      <c r="M355" s="20"/>
      <c r="N355" s="20"/>
      <c r="O355" s="20"/>
      <c r="P355" s="20"/>
    </row>
    <row r="356">
      <c r="A356" s="110">
        <f>IFERROR(__xludf.DUMMYFUNCTION("""COMPUTED_VALUE"""),46221.0)</f>
        <v>46221</v>
      </c>
      <c r="B356" s="110" t="str">
        <f>IFERROR(__xludf.DUMMYFUNCTION("""COMPUTED_VALUE"""),"2607H026")</f>
        <v>2607H026</v>
      </c>
      <c r="C356" s="49" t="str">
        <f>IFERROR(__xludf.DUMMYFUNCTION("""COMPUTED_VALUE"""),"Evi Melva")</f>
        <v>Evi Melva</v>
      </c>
      <c r="D356" s="102" t="str">
        <f>IFERROR(__xludf.DUMMYFUNCTION("""COMPUTED_VALUE"""),"081310040544")</f>
        <v>081310040544</v>
      </c>
      <c r="E356" s="25" t="str">
        <f>IFERROR(__xludf.DUMMYFUNCTION("""COMPUTED_VALUE"""),"Website")</f>
        <v>Website</v>
      </c>
      <c r="F356" s="25" t="str">
        <f>IFERROR(__xludf.DUMMYFUNCTION("""COMPUTED_VALUE"""),"Qualified")</f>
        <v>Qualified</v>
      </c>
      <c r="G356" s="25" t="str">
        <f>IFERROR(__xludf.DUMMYFUNCTION("""COMPUTED_VALUE"""),"OT 3H2M")</f>
        <v>OT 3H2M</v>
      </c>
      <c r="H356" s="78">
        <f>IFERROR(__xludf.DUMMYFUNCTION("""COMPUTED_VALUE"""),46256.0)</f>
        <v>46256</v>
      </c>
      <c r="I356" s="89">
        <f>IFERROR(__xludf.DUMMYFUNCTION("""COMPUTED_VALUE"""),2.0)</f>
        <v>2</v>
      </c>
      <c r="J356" s="33">
        <f>IFERROR(__xludf.DUMMYFUNCTION("""COMPUTED_VALUE"""),3200000.0)</f>
        <v>3200000</v>
      </c>
      <c r="K356" s="30" t="str">
        <f>IFERROR(__xludf.DUMMYFUNCTION("""COMPUTED_VALUE"""),"FU  1 Agustus")</f>
        <v>FU  1 Agustus</v>
      </c>
      <c r="L356" s="76"/>
      <c r="M356" s="20"/>
      <c r="N356" s="20"/>
      <c r="O356" s="20"/>
      <c r="P356" s="20"/>
    </row>
    <row r="357">
      <c r="A357" s="97">
        <f>IFERROR(__xludf.DUMMYFUNCTION("""COMPUTED_VALUE"""),46222.0)</f>
        <v>46222</v>
      </c>
      <c r="B357" s="97" t="str">
        <f>IFERROR(__xludf.DUMMYFUNCTION("""COMPUTED_VALUE"""),"2607H027")</f>
        <v>2607H027</v>
      </c>
      <c r="C357" s="76" t="str">
        <f>IFERROR(__xludf.DUMMYFUNCTION("""COMPUTED_VALUE"""),"Risma")</f>
        <v>Risma</v>
      </c>
      <c r="D357" s="99" t="str">
        <f>IFERROR(__xludf.DUMMYFUNCTION("""COMPUTED_VALUE"""),"085255829904")</f>
        <v>085255829904</v>
      </c>
      <c r="E357" s="25" t="str">
        <f>IFERROR(__xludf.DUMMYFUNCTION("""COMPUTED_VALUE"""),"Website")</f>
        <v>Website</v>
      </c>
      <c r="F357" s="25" t="str">
        <f>IFERROR(__xludf.DUMMYFUNCTION("""COMPUTED_VALUE"""),"Gagal")</f>
        <v>Gagal</v>
      </c>
      <c r="G357" s="25" t="str">
        <f>IFERROR(__xludf.DUMMYFUNCTION("""COMPUTED_VALUE"""),"Pulau merah")</f>
        <v>Pulau merah</v>
      </c>
      <c r="H357" s="92">
        <f>IFERROR(__xludf.DUMMYFUNCTION("""COMPUTED_VALUE"""),46227.0)</f>
        <v>46227</v>
      </c>
      <c r="I357" s="80">
        <f>IFERROR(__xludf.DUMMYFUNCTION("""COMPUTED_VALUE"""),2.0)</f>
        <v>2</v>
      </c>
      <c r="J357" s="93">
        <f>IFERROR(__xludf.DUMMYFUNCTION("""COMPUTED_VALUE"""),900000.0)</f>
        <v>900000</v>
      </c>
      <c r="K357" s="46" t="str">
        <f>IFERROR(__xludf.DUMMYFUNCTION("""COMPUTED_VALUE"""),"gagal tidak dapat cuti")</f>
        <v>gagal tidak dapat cuti</v>
      </c>
      <c r="L357" s="76"/>
      <c r="M357" s="20"/>
      <c r="N357" s="20"/>
      <c r="O357" s="20"/>
      <c r="P357" s="20"/>
    </row>
    <row r="358">
      <c r="A358" s="110">
        <f>IFERROR(__xludf.DUMMYFUNCTION("""COMPUTED_VALUE"""),46222.0)</f>
        <v>46222</v>
      </c>
      <c r="B358" s="110" t="str">
        <f>IFERROR(__xludf.DUMMYFUNCTION("""COMPUTED_VALUE"""),"2607H028")</f>
        <v>2607H028</v>
      </c>
      <c r="C358" s="49" t="str">
        <f>IFERROR(__xludf.DUMMYFUNCTION("""COMPUTED_VALUE"""),"Ardiyan")</f>
        <v>Ardiyan</v>
      </c>
      <c r="D358" s="102" t="str">
        <f>IFERROR(__xludf.DUMMYFUNCTION("""COMPUTED_VALUE"""),"085217053581")</f>
        <v>085217053581</v>
      </c>
      <c r="E358" s="25" t="str">
        <f>IFERROR(__xludf.DUMMYFUNCTION("""COMPUTED_VALUE"""),"Website")</f>
        <v>Website</v>
      </c>
      <c r="F358" s="25" t="str">
        <f>IFERROR(__xludf.DUMMYFUNCTION("""COMPUTED_VALUE"""),"Qualified")</f>
        <v>Qualified</v>
      </c>
      <c r="G358" s="25" t="str">
        <f>IFERROR(__xludf.DUMMYFUNCTION("""COMPUTED_VALUE"""),"3h2m paket A")</f>
        <v>3h2m paket A</v>
      </c>
      <c r="H358" s="78"/>
      <c r="I358" s="89"/>
      <c r="J358" s="96"/>
      <c r="K358" s="30"/>
      <c r="L358" s="49"/>
      <c r="M358" s="20"/>
      <c r="N358" s="20"/>
      <c r="O358" s="20"/>
      <c r="P358" s="20"/>
    </row>
    <row r="359">
      <c r="A359" s="97">
        <f>IFERROR(__xludf.DUMMYFUNCTION("""COMPUTED_VALUE"""),46222.0)</f>
        <v>46222</v>
      </c>
      <c r="B359" s="97" t="str">
        <f>IFERROR(__xludf.DUMMYFUNCTION("""COMPUTED_VALUE"""),"2607H029")</f>
        <v>2607H029</v>
      </c>
      <c r="C359" s="76" t="str">
        <f>IFERROR(__xludf.DUMMYFUNCTION("""COMPUTED_VALUE"""),"Wuannjean")</f>
        <v>Wuannjean</v>
      </c>
      <c r="D359" s="13" t="str">
        <f>IFERROR(__xludf.DUMMYFUNCTION("""COMPUTED_VALUE"""),"8613881908296")</f>
        <v>8613881908296</v>
      </c>
      <c r="E359" s="25" t="str">
        <f>IFERROR(__xludf.DUMMYFUNCTION("""COMPUTED_VALUE"""),"Rekomendasi")</f>
        <v>Rekomendasi</v>
      </c>
      <c r="F359" s="25" t="str">
        <f>IFERROR(__xludf.DUMMYFUNCTION("""COMPUTED_VALUE"""),"Qualified")</f>
        <v>Qualified</v>
      </c>
      <c r="G359" s="25" t="str">
        <f>IFERROR(__xludf.DUMMYFUNCTION("""COMPUTED_VALUE"""),"bromo ijen")</f>
        <v>bromo ijen</v>
      </c>
      <c r="H359" s="92"/>
      <c r="I359" s="80">
        <f>IFERROR(__xludf.DUMMYFUNCTION("""COMPUTED_VALUE"""),2.0)</f>
        <v>2</v>
      </c>
      <c r="J359" s="93">
        <f>IFERROR(__xludf.DUMMYFUNCTION("""COMPUTED_VALUE"""),7000000.0)</f>
        <v>7000000</v>
      </c>
      <c r="K359" s="19"/>
      <c r="L359" s="76"/>
      <c r="M359" s="20"/>
      <c r="N359" s="20"/>
      <c r="O359" s="20"/>
      <c r="P359" s="20"/>
    </row>
    <row r="360">
      <c r="A360" s="110">
        <f>IFERROR(__xludf.DUMMYFUNCTION("""COMPUTED_VALUE"""),46223.0)</f>
        <v>46223</v>
      </c>
      <c r="B360" s="110" t="str">
        <f>IFERROR(__xludf.DUMMYFUNCTION("""COMPUTED_VALUE"""),"2607H030")</f>
        <v>2607H030</v>
      </c>
      <c r="C360" s="49" t="str">
        <f>IFERROR(__xludf.DUMMYFUNCTION("""COMPUTED_VALUE"""),"Nenny")</f>
        <v>Nenny</v>
      </c>
      <c r="D360" s="102" t="str">
        <f>IFERROR(__xludf.DUMMYFUNCTION("""COMPUTED_VALUE"""),"081296991900")</f>
        <v>081296991900</v>
      </c>
      <c r="E360" s="25" t="str">
        <f>IFERROR(__xludf.DUMMYFUNCTION("""COMPUTED_VALUE"""),"Website")</f>
        <v>Website</v>
      </c>
      <c r="F360" s="25" t="str">
        <f>IFERROR(__xludf.DUMMYFUNCTION("""COMPUTED_VALUE"""),"Leads Baru")</f>
        <v>Leads Baru</v>
      </c>
      <c r="G360" s="25"/>
      <c r="H360" s="78"/>
      <c r="I360" s="27"/>
      <c r="J360" s="96"/>
      <c r="K360" s="36"/>
      <c r="L360" s="49"/>
      <c r="M360" s="20"/>
      <c r="N360" s="20"/>
      <c r="O360" s="20"/>
      <c r="P360" s="20"/>
    </row>
    <row r="361">
      <c r="A361" s="97">
        <f>IFERROR(__xludf.DUMMYFUNCTION("""COMPUTED_VALUE"""),46223.0)</f>
        <v>46223</v>
      </c>
      <c r="B361" s="97" t="str">
        <f>IFERROR(__xludf.DUMMYFUNCTION("""COMPUTED_VALUE"""),"2607H031")</f>
        <v>2607H031</v>
      </c>
      <c r="C361" s="76" t="str">
        <f>IFERROR(__xludf.DUMMYFUNCTION("""COMPUTED_VALUE"""),"Sulfa Fitriani Lamunuhia")</f>
        <v>Sulfa Fitriani Lamunuhia</v>
      </c>
      <c r="D361" s="99" t="str">
        <f>IFERROR(__xludf.DUMMYFUNCTION("""COMPUTED_VALUE"""),"085287322501")</f>
        <v>085287322501</v>
      </c>
      <c r="E361" s="25" t="str">
        <f>IFERROR(__xludf.DUMMYFUNCTION("""COMPUTED_VALUE"""),"Website")</f>
        <v>Website</v>
      </c>
      <c r="F361" s="25" t="str">
        <f>IFERROR(__xludf.DUMMYFUNCTION("""COMPUTED_VALUE"""),"Leads Baru")</f>
        <v>Leads Baru</v>
      </c>
      <c r="G361" s="25"/>
      <c r="H361" s="92"/>
      <c r="I361" s="80"/>
      <c r="J361" s="93"/>
      <c r="K361" s="19"/>
      <c r="L361" s="76"/>
      <c r="M361" s="20"/>
      <c r="N361" s="20"/>
      <c r="O361" s="20"/>
      <c r="P361" s="20"/>
    </row>
    <row r="362">
      <c r="A362" s="110">
        <f>IFERROR(__xludf.DUMMYFUNCTION("""COMPUTED_VALUE"""),46223.0)</f>
        <v>46223</v>
      </c>
      <c r="B362" s="110" t="str">
        <f>IFERROR(__xludf.DUMMYFUNCTION("""COMPUTED_VALUE"""),"2607H032")</f>
        <v>2607H032</v>
      </c>
      <c r="C362" s="49" t="str">
        <f>IFERROR(__xludf.DUMMYFUNCTION("""COMPUTED_VALUE"""),"Rico")</f>
        <v>Rico</v>
      </c>
      <c r="D362" s="102" t="str">
        <f>IFERROR(__xludf.DUMMYFUNCTION("""COMPUTED_VALUE"""),"081317747818")</f>
        <v>081317747818</v>
      </c>
      <c r="E362" s="25" t="str">
        <f>IFERROR(__xludf.DUMMYFUNCTION("""COMPUTED_VALUE"""),"Website")</f>
        <v>Website</v>
      </c>
      <c r="F362" s="25" t="str">
        <f>IFERROR(__xludf.DUMMYFUNCTION("""COMPUTED_VALUE"""),"Qualified")</f>
        <v>Qualified</v>
      </c>
      <c r="G362" s="25" t="str">
        <f>IFERROR(__xludf.DUMMYFUNCTION("""COMPUTED_VALUE"""),"kawah ijen, kawah wurung, TN baluran")</f>
        <v>kawah ijen, kawah wurung, TN baluran</v>
      </c>
      <c r="H362" s="78">
        <f>IFERROR(__xludf.DUMMYFUNCTION("""COMPUTED_VALUE"""),46249.0)</f>
        <v>46249</v>
      </c>
      <c r="I362" s="89">
        <f>IFERROR(__xludf.DUMMYFUNCTION("""COMPUTED_VALUE"""),2.0)</f>
        <v>2</v>
      </c>
      <c r="J362" s="96"/>
      <c r="K362" s="30" t="str">
        <f>IFERROR(__xludf.DUMMYFUNCTION("""COMPUTED_VALUE"""),"fu 30 Juli")</f>
        <v>fu 30 Juli</v>
      </c>
      <c r="L362" s="49"/>
      <c r="M362" s="20"/>
      <c r="N362" s="20"/>
      <c r="O362" s="20"/>
      <c r="P362" s="20"/>
    </row>
    <row r="363">
      <c r="A363" s="97">
        <f>IFERROR(__xludf.DUMMYFUNCTION("""COMPUTED_VALUE"""),46225.0)</f>
        <v>46225</v>
      </c>
      <c r="B363" s="97" t="str">
        <f>IFERROR(__xludf.DUMMYFUNCTION("""COMPUTED_VALUE"""),"2607H033")</f>
        <v>2607H033</v>
      </c>
      <c r="C363" s="76" t="str">
        <f>IFERROR(__xludf.DUMMYFUNCTION("""COMPUTED_VALUE"""),"Vanvan")</f>
        <v>Vanvan</v>
      </c>
      <c r="D363" s="99" t="str">
        <f>IFERROR(__xludf.DUMMYFUNCTION("""COMPUTED_VALUE"""),"085813318881")</f>
        <v>085813318881</v>
      </c>
      <c r="E363" s="25" t="str">
        <f>IFERROR(__xludf.DUMMYFUNCTION("""COMPUTED_VALUE"""),"Website")</f>
        <v>Website</v>
      </c>
      <c r="F363" s="25" t="str">
        <f>IFERROR(__xludf.DUMMYFUNCTION("""COMPUTED_VALUE"""),"Qualified")</f>
        <v>Qualified</v>
      </c>
      <c r="G363" s="25"/>
      <c r="H363" s="92"/>
      <c r="I363" s="80">
        <f>IFERROR(__xludf.DUMMYFUNCTION("""COMPUTED_VALUE"""),3.0)</f>
        <v>3</v>
      </c>
      <c r="J363" s="93"/>
      <c r="K363" s="46" t="str">
        <f>IFERROR(__xludf.DUMMYFUNCTION("""COMPUTED_VALUE"""),"fu 20 Agustus")</f>
        <v>fu 20 Agustus</v>
      </c>
      <c r="L363" s="76"/>
      <c r="M363" s="20"/>
      <c r="N363" s="20"/>
      <c r="O363" s="20"/>
      <c r="P363" s="20"/>
    </row>
    <row r="364">
      <c r="A364" s="110">
        <f>IFERROR(__xludf.DUMMYFUNCTION("""COMPUTED_VALUE"""),46226.0)</f>
        <v>46226</v>
      </c>
      <c r="B364" s="110" t="str">
        <f>IFERROR(__xludf.DUMMYFUNCTION("""COMPUTED_VALUE"""),"2607H034")</f>
        <v>2607H034</v>
      </c>
      <c r="C364" s="49" t="str">
        <f>IFERROR(__xludf.DUMMYFUNCTION("""COMPUTED_VALUE"""),"Sorta")</f>
        <v>Sorta</v>
      </c>
      <c r="D364" s="102" t="str">
        <f>IFERROR(__xludf.DUMMYFUNCTION("""COMPUTED_VALUE"""),"08116197505")</f>
        <v>08116197505</v>
      </c>
      <c r="E364" s="25" t="str">
        <f>IFERROR(__xludf.DUMMYFUNCTION("""COMPUTED_VALUE"""),"Website")</f>
        <v>Website</v>
      </c>
      <c r="F364" s="25" t="str">
        <f>IFERROR(__xludf.DUMMYFUNCTION("""COMPUTED_VALUE"""),"Leads Baru")</f>
        <v>Leads Baru</v>
      </c>
      <c r="G364" s="25"/>
      <c r="H364" s="78"/>
      <c r="I364" s="89"/>
      <c r="J364" s="33"/>
      <c r="K364" s="30"/>
      <c r="L364" s="49"/>
      <c r="M364" s="20"/>
      <c r="N364" s="20"/>
      <c r="O364" s="20"/>
      <c r="P364" s="20"/>
    </row>
    <row r="365">
      <c r="A365" s="97">
        <f>IFERROR(__xludf.DUMMYFUNCTION("""COMPUTED_VALUE"""),46226.0)</f>
        <v>46226</v>
      </c>
      <c r="B365" s="97" t="str">
        <f>IFERROR(__xludf.DUMMYFUNCTION("""COMPUTED_VALUE"""),"2607H035")</f>
        <v>2607H035</v>
      </c>
      <c r="C365" s="76" t="str">
        <f>IFERROR(__xludf.DUMMYFUNCTION("""COMPUTED_VALUE"""),"Windi")</f>
        <v>Windi</v>
      </c>
      <c r="D365" s="99" t="str">
        <f>IFERROR(__xludf.DUMMYFUNCTION("""COMPUTED_VALUE"""),"081199893689")</f>
        <v>081199893689</v>
      </c>
      <c r="E365" s="25" t="str">
        <f>IFERROR(__xludf.DUMMYFUNCTION("""COMPUTED_VALUE"""),"Website")</f>
        <v>Website</v>
      </c>
      <c r="F365" s="25" t="str">
        <f>IFERROR(__xludf.DUMMYFUNCTION("""COMPUTED_VALUE"""),"Qualified")</f>
        <v>Qualified</v>
      </c>
      <c r="G365" s="25" t="str">
        <f>IFERROR(__xludf.DUMMYFUNCTION("""COMPUTED_VALUE"""),"Baluran")</f>
        <v>Baluran</v>
      </c>
      <c r="H365" s="92"/>
      <c r="I365" s="80">
        <f>IFERROR(__xludf.DUMMYFUNCTION("""COMPUTED_VALUE"""),6.0)</f>
        <v>6</v>
      </c>
      <c r="J365" s="54"/>
      <c r="K365" s="46" t="str">
        <f>IFERROR(__xludf.DUMMYFUNCTION("""COMPUTED_VALUE"""),"FU 1 Agustus")</f>
        <v>FU 1 Agustus</v>
      </c>
      <c r="L365" s="76"/>
      <c r="M365" s="20"/>
      <c r="N365" s="20"/>
      <c r="O365" s="20"/>
      <c r="P365" s="20"/>
    </row>
    <row r="366">
      <c r="A366" s="110">
        <f>IFERROR(__xludf.DUMMYFUNCTION("""COMPUTED_VALUE"""),46227.0)</f>
        <v>46227</v>
      </c>
      <c r="B366" s="110" t="str">
        <f>IFERROR(__xludf.DUMMYFUNCTION("""COMPUTED_VALUE"""),"2607H036")</f>
        <v>2607H036</v>
      </c>
      <c r="C366" s="49" t="str">
        <f>IFERROR(__xludf.DUMMYFUNCTION("""COMPUTED_VALUE"""),"Riany Mutiara")</f>
        <v>Riany Mutiara</v>
      </c>
      <c r="D366" s="102" t="str">
        <f>IFERROR(__xludf.DUMMYFUNCTION("""COMPUTED_VALUE"""),"0818190878")</f>
        <v>0818190878</v>
      </c>
      <c r="E366" s="25" t="str">
        <f>IFERROR(__xludf.DUMMYFUNCTION("""COMPUTED_VALUE"""),"Website")</f>
        <v>Website</v>
      </c>
      <c r="F366" s="25" t="str">
        <f>IFERROR(__xludf.DUMMYFUNCTION("""COMPUTED_VALUE"""),"Qualified")</f>
        <v>Qualified</v>
      </c>
      <c r="G366" s="25" t="str">
        <f>IFERROR(__xludf.DUMMYFUNCTION("""COMPUTED_VALUE"""),"Ijen, Baluran")</f>
        <v>Ijen, Baluran</v>
      </c>
      <c r="H366" s="78"/>
      <c r="I366" s="89"/>
      <c r="J366" s="96"/>
      <c r="K366" s="30" t="str">
        <f>IFERROR(__xludf.DUMMYFUNCTION("""COMPUTED_VALUE"""),"FU 26 Agustus")</f>
        <v>FU 26 Agustus</v>
      </c>
      <c r="L366" s="49"/>
      <c r="M366" s="20"/>
      <c r="N366" s="20"/>
      <c r="O366" s="20"/>
      <c r="P366" s="20"/>
    </row>
    <row r="367">
      <c r="A367" s="97">
        <f>IFERROR(__xludf.DUMMYFUNCTION("""COMPUTED_VALUE"""),46227.0)</f>
        <v>46227</v>
      </c>
      <c r="B367" s="97" t="str">
        <f>IFERROR(__xludf.DUMMYFUNCTION("""COMPUTED_VALUE"""),"2607H037")</f>
        <v>2607H037</v>
      </c>
      <c r="C367" s="76" t="str">
        <f>IFERROR(__xludf.DUMMYFUNCTION("""COMPUTED_VALUE"""),"Galih Prasetyo")</f>
        <v>Galih Prasetyo</v>
      </c>
      <c r="D367" s="99" t="str">
        <f>IFERROR(__xludf.DUMMYFUNCTION("""COMPUTED_VALUE"""),"081211669667")</f>
        <v>081211669667</v>
      </c>
      <c r="E367" s="25" t="str">
        <f>IFERROR(__xludf.DUMMYFUNCTION("""COMPUTED_VALUE"""),"Website")</f>
        <v>Website</v>
      </c>
      <c r="F367" s="25" t="str">
        <f>IFERROR(__xludf.DUMMYFUNCTION("""COMPUTED_VALUE"""),"Qualified")</f>
        <v>Qualified</v>
      </c>
      <c r="G367" s="25" t="str">
        <f>IFERROR(__xludf.DUMMYFUNCTION("""COMPUTED_VALUE"""),"Hiace Bali Banyuwangi")</f>
        <v>Hiace Bali Banyuwangi</v>
      </c>
      <c r="H367" s="92"/>
      <c r="I367" s="80">
        <f>IFERROR(__xludf.DUMMYFUNCTION("""COMPUTED_VALUE"""),2.0)</f>
        <v>2</v>
      </c>
      <c r="J367" s="93"/>
      <c r="K367" s="19" t="str">
        <f>IFERROR(__xludf.DUMMYFUNCTION("""COMPUTED_VALUE"""),"fu 26 juli")</f>
        <v>fu 26 juli</v>
      </c>
      <c r="L367" s="76"/>
      <c r="M367" s="20"/>
      <c r="N367" s="20"/>
      <c r="O367" s="20"/>
      <c r="P367" s="20"/>
    </row>
    <row r="368">
      <c r="A368" s="110">
        <f>IFERROR(__xludf.DUMMYFUNCTION("""COMPUTED_VALUE"""),46227.0)</f>
        <v>46227</v>
      </c>
      <c r="B368" s="110" t="str">
        <f>IFERROR(__xludf.DUMMYFUNCTION("""COMPUTED_VALUE"""),"2607H038")</f>
        <v>2607H038</v>
      </c>
      <c r="C368" s="49" t="str">
        <f>IFERROR(__xludf.DUMMYFUNCTION("""COMPUTED_VALUE"""),"Nina Husniah")</f>
        <v>Nina Husniah</v>
      </c>
      <c r="D368" s="102" t="str">
        <f>IFERROR(__xludf.DUMMYFUNCTION("""COMPUTED_VALUE"""),"085945485608")</f>
        <v>085945485608</v>
      </c>
      <c r="E368" s="25" t="str">
        <f>IFERROR(__xludf.DUMMYFUNCTION("""COMPUTED_VALUE"""),"Instagram")</f>
        <v>Instagram</v>
      </c>
      <c r="F368" s="25" t="str">
        <f>IFERROR(__xludf.DUMMYFUNCTION("""COMPUTED_VALUE"""),"Qualified")</f>
        <v>Qualified</v>
      </c>
      <c r="G368" s="25" t="str">
        <f>IFERROR(__xludf.DUMMYFUNCTION("""COMPUTED_VALUE"""),"ijen")</f>
        <v>ijen</v>
      </c>
      <c r="H368" s="78"/>
      <c r="I368" s="89"/>
      <c r="J368" s="96">
        <f>IFERROR(__xludf.DUMMYFUNCTION("""COMPUTED_VALUE"""),9480000.0)</f>
        <v>9480000</v>
      </c>
      <c r="K368" s="36" t="str">
        <f>IFERROR(__xludf.DUMMYFUNCTION("""COMPUTED_VALUE"""),"fu 30 juli")</f>
        <v>fu 30 juli</v>
      </c>
      <c r="L368" s="49"/>
      <c r="M368" s="20"/>
      <c r="N368" s="20"/>
      <c r="O368" s="20"/>
      <c r="P368" s="20"/>
    </row>
    <row r="369">
      <c r="A369" s="97">
        <f>IFERROR(__xludf.DUMMYFUNCTION("""COMPUTED_VALUE"""),46227.0)</f>
        <v>46227</v>
      </c>
      <c r="B369" s="97" t="str">
        <f>IFERROR(__xludf.DUMMYFUNCTION("""COMPUTED_VALUE"""),"2607H039")</f>
        <v>2607H039</v>
      </c>
      <c r="C369" s="76" t="str">
        <f>IFERROR(__xludf.DUMMYFUNCTION("""COMPUTED_VALUE"""),"Cyntia Elita")</f>
        <v>Cyntia Elita</v>
      </c>
      <c r="D369" s="99" t="str">
        <f>IFERROR(__xludf.DUMMYFUNCTION("""COMPUTED_VALUE"""),"081314586313")</f>
        <v>081314586313</v>
      </c>
      <c r="E369" s="25" t="str">
        <f>IFERROR(__xludf.DUMMYFUNCTION("""COMPUTED_VALUE"""),"Website")</f>
        <v>Website</v>
      </c>
      <c r="F369" s="25" t="str">
        <f>IFERROR(__xludf.DUMMYFUNCTION("""COMPUTED_VALUE"""),"Qualified")</f>
        <v>Qualified</v>
      </c>
      <c r="G369" s="25" t="str">
        <f>IFERROR(__xludf.DUMMYFUNCTION("""COMPUTED_VALUE"""),"ijen")</f>
        <v>ijen</v>
      </c>
      <c r="H369" s="92"/>
      <c r="I369" s="80">
        <f>IFERROR(__xludf.DUMMYFUNCTION("""COMPUTED_VALUE"""),2.0)</f>
        <v>2</v>
      </c>
      <c r="J369" s="93"/>
      <c r="K369" s="46" t="str">
        <f>IFERROR(__xludf.DUMMYFUNCTION("""COMPUTED_VALUE"""),"fu 30 Juli")</f>
        <v>fu 30 Juli</v>
      </c>
      <c r="L369" s="76"/>
      <c r="M369" s="20"/>
      <c r="N369" s="20"/>
      <c r="O369" s="20"/>
      <c r="P369" s="20"/>
    </row>
    <row r="370">
      <c r="A370" s="110">
        <f>IFERROR(__xludf.DUMMYFUNCTION("""COMPUTED_VALUE"""),46228.0)</f>
        <v>46228</v>
      </c>
      <c r="B370" s="110" t="str">
        <f>IFERROR(__xludf.DUMMYFUNCTION("""COMPUTED_VALUE"""),"2607H040")</f>
        <v>2607H040</v>
      </c>
      <c r="C370" s="49" t="str">
        <f>IFERROR(__xludf.DUMMYFUNCTION("""COMPUTED_VALUE"""),"Zulkaif")</f>
        <v>Zulkaif</v>
      </c>
      <c r="D370" s="102" t="str">
        <f>IFERROR(__xludf.DUMMYFUNCTION("""COMPUTED_VALUE"""),"923465376582")</f>
        <v>923465376582</v>
      </c>
      <c r="E370" s="25" t="str">
        <f>IFERROR(__xludf.DUMMYFUNCTION("""COMPUTED_VALUE"""),"Website")</f>
        <v>Website</v>
      </c>
      <c r="F370" s="25" t="str">
        <f>IFERROR(__xludf.DUMMYFUNCTION("""COMPUTED_VALUE"""),"Leads Baru")</f>
        <v>Leads Baru</v>
      </c>
      <c r="G370" s="25"/>
      <c r="H370" s="78"/>
      <c r="I370" s="89"/>
      <c r="J370" s="96"/>
      <c r="K370" s="36" t="str">
        <f>IFERROR(__xludf.DUMMYFUNCTION("""COMPUTED_VALUE"""),"FU 31 Juli")</f>
        <v>FU 31 Juli</v>
      </c>
      <c r="L370" s="49"/>
      <c r="M370" s="20"/>
      <c r="N370" s="20"/>
      <c r="O370" s="20"/>
      <c r="P370" s="20"/>
    </row>
    <row r="371">
      <c r="A371" s="97">
        <f>IFERROR(__xludf.DUMMYFUNCTION("""COMPUTED_VALUE"""),46228.0)</f>
        <v>46228</v>
      </c>
      <c r="B371" s="97" t="str">
        <f>IFERROR(__xludf.DUMMYFUNCTION("""COMPUTED_VALUE"""),"2607H041")</f>
        <v>2607H041</v>
      </c>
      <c r="C371" s="76" t="str">
        <f>IFERROR(__xludf.DUMMYFUNCTION("""COMPUTED_VALUE"""),"Khan")</f>
        <v>Khan</v>
      </c>
      <c r="D371" s="76" t="str">
        <f>IFERROR(__xludf.DUMMYFUNCTION("""COMPUTED_VALUE"""),"082318029504")</f>
        <v>082318029504</v>
      </c>
      <c r="E371" s="25" t="str">
        <f>IFERROR(__xludf.DUMMYFUNCTION("""COMPUTED_VALUE"""),"Lainnya")</f>
        <v>Lainnya</v>
      </c>
      <c r="F371" s="25" t="str">
        <f>IFERROR(__xludf.DUMMYFUNCTION("""COMPUTED_VALUE"""),"Leads Baru")</f>
        <v>Leads Baru</v>
      </c>
      <c r="G371" s="25"/>
      <c r="H371" s="92"/>
      <c r="I371" s="80"/>
      <c r="J371" s="93"/>
      <c r="K371" s="19" t="str">
        <f>IFERROR(__xludf.DUMMYFUNCTION("""COMPUTED_VALUE"""),"FU 31 Juli")</f>
        <v>FU 31 Juli</v>
      </c>
      <c r="L371" s="130"/>
      <c r="M371" s="20"/>
      <c r="N371" s="20"/>
      <c r="O371" s="20"/>
      <c r="P371" s="20"/>
    </row>
    <row r="372">
      <c r="A372" s="110">
        <f>IFERROR(__xludf.DUMMYFUNCTION("""COMPUTED_VALUE"""),46228.0)</f>
        <v>46228</v>
      </c>
      <c r="B372" s="110" t="str">
        <f>IFERROR(__xludf.DUMMYFUNCTION("""COMPUTED_VALUE"""),"4607H042")</f>
        <v>4607H042</v>
      </c>
      <c r="C372" s="49" t="str">
        <f>IFERROR(__xludf.DUMMYFUNCTION("""COMPUTED_VALUE"""),"Lestariwika")</f>
        <v>Lestariwika</v>
      </c>
      <c r="D372" s="102" t="str">
        <f>IFERROR(__xludf.DUMMYFUNCTION("""COMPUTED_VALUE"""),"087821793262")</f>
        <v>087821793262</v>
      </c>
      <c r="E372" s="25" t="str">
        <f>IFERROR(__xludf.DUMMYFUNCTION("""COMPUTED_VALUE"""),"Website")</f>
        <v>Website</v>
      </c>
      <c r="F372" s="25" t="str">
        <f>IFERROR(__xludf.DUMMYFUNCTION("""COMPUTED_VALUE"""),"Leads Baru")</f>
        <v>Leads Baru</v>
      </c>
      <c r="G372" s="25"/>
      <c r="H372" s="78"/>
      <c r="I372" s="89"/>
      <c r="J372" s="33"/>
      <c r="K372" s="30" t="str">
        <f>IFERROR(__xludf.DUMMYFUNCTION("""COMPUTED_VALUE"""),"FU 31 Juli")</f>
        <v>FU 31 Juli</v>
      </c>
      <c r="L372" s="49"/>
      <c r="M372" s="20"/>
      <c r="N372" s="20"/>
      <c r="O372" s="20"/>
      <c r="P372" s="20"/>
    </row>
    <row r="373">
      <c r="A373" s="97">
        <f>IFERROR(__xludf.DUMMYFUNCTION("""COMPUTED_VALUE"""),46229.0)</f>
        <v>46229</v>
      </c>
      <c r="B373" s="97" t="str">
        <f>IFERROR(__xludf.DUMMYFUNCTION("""COMPUTED_VALUE"""),"2607H043")</f>
        <v>2607H043</v>
      </c>
      <c r="C373" s="76" t="str">
        <f>IFERROR(__xludf.DUMMYFUNCTION("""COMPUTED_VALUE"""),"Yuri Shizcha")</f>
        <v>Yuri Shizcha</v>
      </c>
      <c r="D373" s="99" t="str">
        <f>IFERROR(__xludf.DUMMYFUNCTION("""COMPUTED_VALUE"""),"082298566223")</f>
        <v>082298566223</v>
      </c>
      <c r="E373" s="25" t="str">
        <f>IFERROR(__xludf.DUMMYFUNCTION("""COMPUTED_VALUE"""),"Website")</f>
        <v>Website</v>
      </c>
      <c r="F373" s="25" t="str">
        <f>IFERROR(__xludf.DUMMYFUNCTION("""COMPUTED_VALUE"""),"Closing")</f>
        <v>Closing</v>
      </c>
      <c r="G373" s="25" t="str">
        <f>IFERROR(__xludf.DUMMYFUNCTION("""COMPUTED_VALUE"""),"2H1M opsi C")</f>
        <v>2H1M opsi C</v>
      </c>
      <c r="H373" s="92"/>
      <c r="I373" s="80">
        <f>IFERROR(__xludf.DUMMYFUNCTION("""COMPUTED_VALUE"""),2.0)</f>
        <v>2</v>
      </c>
      <c r="J373" s="93">
        <f>IFERROR(__xludf.DUMMYFUNCTION("""COMPUTED_VALUE"""),5652000.0)</f>
        <v>5652000</v>
      </c>
      <c r="K373" s="19" t="str">
        <f>IFERROR(__xludf.DUMMYFUNCTION("""COMPUTED_VALUE"""),"orderr")</f>
        <v>orderr</v>
      </c>
      <c r="L373" s="76"/>
      <c r="M373" s="20"/>
      <c r="N373" s="20"/>
      <c r="O373" s="20"/>
      <c r="P373" s="20"/>
    </row>
    <row r="374">
      <c r="A374" s="110">
        <f>IFERROR(__xludf.DUMMYFUNCTION("""COMPUTED_VALUE"""),46230.0)</f>
        <v>46230</v>
      </c>
      <c r="B374" s="110" t="str">
        <f>IFERROR(__xludf.DUMMYFUNCTION("""COMPUTED_VALUE"""),"2607H044")</f>
        <v>2607H044</v>
      </c>
      <c r="C374" s="49" t="str">
        <f>IFERROR(__xludf.DUMMYFUNCTION("""COMPUTED_VALUE"""),"Dewi")</f>
        <v>Dewi</v>
      </c>
      <c r="D374" s="102" t="str">
        <f>IFERROR(__xludf.DUMMYFUNCTION("""COMPUTED_VALUE"""),"087879068834")</f>
        <v>087879068834</v>
      </c>
      <c r="E374" s="25" t="str">
        <f>IFERROR(__xludf.DUMMYFUNCTION("""COMPUTED_VALUE"""),"Instagram")</f>
        <v>Instagram</v>
      </c>
      <c r="F374" s="25" t="str">
        <f>IFERROR(__xludf.DUMMYFUNCTION("""COMPUTED_VALUE"""),"Leads Baru")</f>
        <v>Leads Baru</v>
      </c>
      <c r="G374" s="25" t="str">
        <f>IFERROR(__xludf.DUMMYFUNCTION("""COMPUTED_VALUE"""),"Private trip 2H1M")</f>
        <v>Private trip 2H1M</v>
      </c>
      <c r="H374" s="78"/>
      <c r="I374" s="89">
        <f>IFERROR(__xludf.DUMMYFUNCTION("""COMPUTED_VALUE"""),1.0)</f>
        <v>1</v>
      </c>
      <c r="J374" s="96"/>
      <c r="K374" s="30" t="str">
        <f>IFERROR(__xludf.DUMMYFUNCTION("""COMPUTED_VALUE"""),"fu 5 Agustus")</f>
        <v>fu 5 Agustus</v>
      </c>
      <c r="L374" s="49"/>
      <c r="M374" s="20"/>
      <c r="N374" s="20"/>
      <c r="O374" s="20"/>
      <c r="P374" s="20"/>
    </row>
    <row r="375">
      <c r="A375" s="97">
        <f>IFERROR(__xludf.DUMMYFUNCTION("""COMPUTED_VALUE"""),46230.0)</f>
        <v>46230</v>
      </c>
      <c r="B375" s="97" t="str">
        <f>IFERROR(__xludf.DUMMYFUNCTION("""COMPUTED_VALUE"""),"2607H045")</f>
        <v>2607H045</v>
      </c>
      <c r="C375" s="76" t="str">
        <f>IFERROR(__xludf.DUMMYFUNCTION("""COMPUTED_VALUE"""),"Putrisastra")</f>
        <v>Putrisastra</v>
      </c>
      <c r="D375" s="99" t="str">
        <f>IFERROR(__xludf.DUMMYFUNCTION("""COMPUTED_VALUE"""),"08881868324")</f>
        <v>08881868324</v>
      </c>
      <c r="E375" s="25" t="str">
        <f>IFERROR(__xludf.DUMMYFUNCTION("""COMPUTED_VALUE"""),"Website")</f>
        <v>Website</v>
      </c>
      <c r="F375" s="25" t="str">
        <f>IFERROR(__xludf.DUMMYFUNCTION("""COMPUTED_VALUE"""),"Leads Baru")</f>
        <v>Leads Baru</v>
      </c>
      <c r="G375" s="25" t="str">
        <f>IFERROR(__xludf.DUMMYFUNCTION("""COMPUTED_VALUE"""),"Ijen")</f>
        <v>Ijen</v>
      </c>
      <c r="H375" s="92"/>
      <c r="I375" s="80"/>
      <c r="J375" s="93"/>
      <c r="K375" s="46" t="str">
        <f>IFERROR(__xludf.DUMMYFUNCTION("""COMPUTED_VALUE"""),"fu 5 Agustus")</f>
        <v>fu 5 Agustus</v>
      </c>
      <c r="L375" s="76"/>
      <c r="M375" s="20"/>
      <c r="N375" s="20"/>
      <c r="O375" s="20"/>
      <c r="P375" s="20"/>
    </row>
    <row r="376">
      <c r="A376" s="97">
        <f>IFERROR(__xludf.DUMMYFUNCTION("""COMPUTED_VALUE"""),46230.0)</f>
        <v>46230</v>
      </c>
      <c r="B376" s="97" t="str">
        <f>IFERROR(__xludf.DUMMYFUNCTION("""COMPUTED_VALUE"""),"2607H046")</f>
        <v>2607H046</v>
      </c>
      <c r="C376" s="76" t="str">
        <f>IFERROR(__xludf.DUMMYFUNCTION("""COMPUTED_VALUE"""),"Dewi Ningtyas")</f>
        <v>Dewi Ningtyas</v>
      </c>
      <c r="D376" s="99" t="str">
        <f>IFERROR(__xludf.DUMMYFUNCTION("""COMPUTED_VALUE"""),"085742774705")</f>
        <v>085742774705</v>
      </c>
      <c r="E376" s="25" t="str">
        <f>IFERROR(__xludf.DUMMYFUNCTION("""COMPUTED_VALUE"""),"Lainnya")</f>
        <v>Lainnya</v>
      </c>
      <c r="F376" s="25" t="str">
        <f>IFERROR(__xludf.DUMMYFUNCTION("""COMPUTED_VALUE"""),"Qualified")</f>
        <v>Qualified</v>
      </c>
      <c r="G376" s="25" t="str">
        <f>IFERROR(__xludf.DUMMYFUNCTION("""COMPUTED_VALUE"""),"OT Djawatan, Green Island")</f>
        <v>OT Djawatan, Green Island</v>
      </c>
      <c r="H376" s="92"/>
      <c r="I376" s="80">
        <f>IFERROR(__xludf.DUMMYFUNCTION("""COMPUTED_VALUE"""),1.0)</f>
        <v>1</v>
      </c>
      <c r="J376" s="93">
        <f>IFERROR(__xludf.DUMMYFUNCTION("""COMPUTED_VALUE"""),425000.0)</f>
        <v>425000</v>
      </c>
      <c r="K376" s="46" t="str">
        <f>IFERROR(__xludf.DUMMYFUNCTION("""COMPUTED_VALUE"""),"FU 1 Agustus")</f>
        <v>FU 1 Agustus</v>
      </c>
      <c r="L376" s="76"/>
      <c r="M376" s="20"/>
      <c r="N376" s="20"/>
      <c r="O376" s="20"/>
      <c r="P376" s="20"/>
    </row>
    <row r="377">
      <c r="A377" s="110">
        <f>IFERROR(__xludf.DUMMYFUNCTION("""COMPUTED_VALUE"""),46231.0)</f>
        <v>46231</v>
      </c>
      <c r="B377" s="110" t="str">
        <f>IFERROR(__xludf.DUMMYFUNCTION("""COMPUTED_VALUE"""),"2807H047")</f>
        <v>2807H047</v>
      </c>
      <c r="C377" s="49" t="str">
        <f>IFERROR(__xludf.DUMMYFUNCTION("""COMPUTED_VALUE"""),"Rita")</f>
        <v>Rita</v>
      </c>
      <c r="D377" s="102" t="str">
        <f>IFERROR(__xludf.DUMMYFUNCTION("""COMPUTED_VALUE"""),"08811388172")</f>
        <v>08811388172</v>
      </c>
      <c r="E377" s="25" t="str">
        <f>IFERROR(__xludf.DUMMYFUNCTION("""COMPUTED_VALUE"""),"Website")</f>
        <v>Website</v>
      </c>
      <c r="F377" s="25" t="str">
        <f>IFERROR(__xludf.DUMMYFUNCTION("""COMPUTED_VALUE"""),"Qualified")</f>
        <v>Qualified</v>
      </c>
      <c r="G377" s="25" t="str">
        <f>IFERROR(__xludf.DUMMYFUNCTION("""COMPUTED_VALUE"""),"3H2M")</f>
        <v>3H2M</v>
      </c>
      <c r="H377" s="92">
        <f>IFERROR(__xludf.DUMMYFUNCTION("""COMPUTED_VALUE"""),46256.0)</f>
        <v>46256</v>
      </c>
      <c r="I377" s="89">
        <f>IFERROR(__xludf.DUMMYFUNCTION("""COMPUTED_VALUE"""),3.0)</f>
        <v>3</v>
      </c>
      <c r="J377" s="96"/>
      <c r="K377" s="36"/>
      <c r="L377" s="76"/>
      <c r="M377" s="20"/>
      <c r="N377" s="20"/>
      <c r="O377" s="20"/>
      <c r="P377" s="20"/>
    </row>
    <row r="378">
      <c r="A378" s="97">
        <f>IFERROR(__xludf.DUMMYFUNCTION("""COMPUTED_VALUE"""),46231.0)</f>
        <v>46231</v>
      </c>
      <c r="B378" s="97" t="str">
        <f>IFERROR(__xludf.DUMMYFUNCTION("""COMPUTED_VALUE"""),"2807H048")</f>
        <v>2807H048</v>
      </c>
      <c r="C378" s="76" t="str">
        <f>IFERROR(__xludf.DUMMYFUNCTION("""COMPUTED_VALUE"""),"Uliana")</f>
        <v>Uliana</v>
      </c>
      <c r="D378" s="99" t="str">
        <f>IFERROR(__xludf.DUMMYFUNCTION("""COMPUTED_VALUE"""),"08176744907")</f>
        <v>08176744907</v>
      </c>
      <c r="E378" s="25" t="str">
        <f>IFERROR(__xludf.DUMMYFUNCTION("""COMPUTED_VALUE"""),"Website")</f>
        <v>Website</v>
      </c>
      <c r="F378" s="25" t="str">
        <f>IFERROR(__xludf.DUMMYFUNCTION("""COMPUTED_VALUE"""),"Leads Baru")</f>
        <v>Leads Baru</v>
      </c>
      <c r="G378" s="25" t="str">
        <f>IFERROR(__xludf.DUMMYFUNCTION("""COMPUTED_VALUE"""),"3H2M Opsi A")</f>
        <v>3H2M Opsi A</v>
      </c>
      <c r="H378" s="92"/>
      <c r="I378" s="17"/>
      <c r="J378" s="54"/>
      <c r="K378" s="19"/>
      <c r="L378" s="76"/>
      <c r="M378" s="20"/>
      <c r="N378" s="20"/>
      <c r="O378" s="20"/>
      <c r="P378" s="20"/>
    </row>
    <row r="379">
      <c r="A379" s="49"/>
      <c r="B379" s="110"/>
      <c r="C379" s="49"/>
      <c r="D379" s="102"/>
      <c r="E379" s="25"/>
      <c r="F379" s="25"/>
      <c r="G379" s="25"/>
      <c r="H379" s="49"/>
      <c r="I379" s="89"/>
      <c r="J379" s="49"/>
      <c r="K379" s="36"/>
      <c r="L379" s="49"/>
      <c r="M379" s="20"/>
      <c r="N379" s="20"/>
      <c r="O379" s="20"/>
      <c r="P379" s="20"/>
    </row>
    <row r="380">
      <c r="A380" s="76"/>
      <c r="B380" s="97"/>
      <c r="C380" s="76"/>
      <c r="D380" s="99"/>
      <c r="E380" s="25"/>
      <c r="F380" s="25"/>
      <c r="G380" s="25"/>
      <c r="H380" s="10"/>
      <c r="I380" s="17"/>
      <c r="J380" s="10"/>
      <c r="K380" s="46"/>
      <c r="L380" s="10"/>
      <c r="M380" s="20"/>
      <c r="N380" s="20"/>
      <c r="O380" s="20"/>
      <c r="P380" s="20"/>
    </row>
    <row r="381">
      <c r="A381" s="49"/>
      <c r="B381" s="110"/>
      <c r="C381" s="49"/>
      <c r="D381" s="102"/>
      <c r="E381" s="25"/>
      <c r="F381" s="25"/>
      <c r="G381" s="25"/>
      <c r="H381" s="49"/>
      <c r="I381" s="27"/>
      <c r="J381" s="49"/>
      <c r="K381" s="30"/>
      <c r="L381" s="49"/>
      <c r="M381" s="20"/>
      <c r="N381" s="20"/>
      <c r="O381" s="20"/>
      <c r="P381" s="20"/>
    </row>
    <row r="382">
      <c r="A382" s="76"/>
      <c r="B382" s="97"/>
      <c r="C382" s="76"/>
      <c r="D382" s="99"/>
      <c r="E382" s="25"/>
      <c r="F382" s="25"/>
      <c r="G382" s="25"/>
      <c r="H382" s="76"/>
      <c r="I382" s="80"/>
      <c r="J382" s="76"/>
      <c r="K382" s="19"/>
      <c r="L382" s="76"/>
      <c r="M382" s="20"/>
      <c r="N382" s="20"/>
      <c r="O382" s="20"/>
      <c r="P382" s="20"/>
    </row>
    <row r="383">
      <c r="A383" s="49"/>
      <c r="B383" s="110"/>
      <c r="C383" s="49"/>
      <c r="D383" s="102"/>
      <c r="E383" s="25"/>
      <c r="F383" s="25"/>
      <c r="G383" s="25"/>
      <c r="H383" s="49"/>
      <c r="I383" s="89"/>
      <c r="J383" s="49"/>
      <c r="K383" s="30"/>
      <c r="L383" s="49"/>
      <c r="M383" s="20"/>
      <c r="N383" s="20"/>
      <c r="O383" s="20"/>
      <c r="P383" s="20"/>
    </row>
    <row r="384">
      <c r="A384" s="76"/>
      <c r="B384" s="97"/>
      <c r="C384" s="76"/>
      <c r="D384" s="99"/>
      <c r="E384" s="25"/>
      <c r="F384" s="25"/>
      <c r="G384" s="25"/>
      <c r="H384" s="76"/>
      <c r="I384" s="80"/>
      <c r="J384" s="76"/>
      <c r="K384" s="46"/>
      <c r="L384" s="76"/>
      <c r="M384" s="20"/>
      <c r="N384" s="20"/>
      <c r="O384" s="20"/>
      <c r="P384" s="20"/>
    </row>
    <row r="385">
      <c r="A385" s="49"/>
      <c r="B385" s="110"/>
      <c r="C385" s="49"/>
      <c r="D385" s="102"/>
      <c r="E385" s="25"/>
      <c r="F385" s="25"/>
      <c r="G385" s="25"/>
      <c r="H385" s="49"/>
      <c r="I385" s="27"/>
      <c r="J385" s="49"/>
      <c r="K385" s="30"/>
      <c r="L385" s="76"/>
      <c r="M385" s="20"/>
      <c r="N385" s="20"/>
      <c r="O385" s="20"/>
      <c r="P385" s="20"/>
    </row>
    <row r="386">
      <c r="A386" s="76"/>
      <c r="B386" s="97"/>
      <c r="C386" s="76"/>
      <c r="D386" s="99"/>
      <c r="E386" s="25"/>
      <c r="F386" s="25"/>
      <c r="G386" s="25"/>
      <c r="H386" s="76"/>
      <c r="I386" s="80"/>
      <c r="J386" s="76"/>
      <c r="K386" s="19"/>
      <c r="L386" s="76"/>
      <c r="M386" s="20"/>
      <c r="N386" s="20"/>
      <c r="O386" s="20"/>
      <c r="P386" s="20"/>
    </row>
    <row r="387">
      <c r="A387" s="49"/>
      <c r="B387" s="110"/>
      <c r="C387" s="49"/>
      <c r="D387" s="102"/>
      <c r="E387" s="25"/>
      <c r="F387" s="25"/>
      <c r="G387" s="25"/>
      <c r="H387" s="49"/>
      <c r="I387" s="27"/>
      <c r="J387" s="23"/>
      <c r="K387" s="36"/>
      <c r="L387" s="49"/>
      <c r="M387" s="20"/>
      <c r="N387" s="20"/>
      <c r="O387" s="20"/>
      <c r="P387" s="20"/>
    </row>
    <row r="388">
      <c r="A388" s="76"/>
      <c r="B388" s="97"/>
      <c r="C388" s="76"/>
      <c r="D388" s="99"/>
      <c r="E388" s="25"/>
      <c r="F388" s="25"/>
      <c r="G388" s="25"/>
      <c r="H388" s="76"/>
      <c r="I388" s="80"/>
      <c r="J388" s="76"/>
      <c r="K388" s="19"/>
      <c r="L388" s="76"/>
      <c r="M388" s="20"/>
      <c r="N388" s="20"/>
      <c r="O388" s="20"/>
      <c r="P388" s="20"/>
    </row>
    <row r="389">
      <c r="A389" s="49"/>
      <c r="B389" s="110"/>
      <c r="C389" s="49"/>
      <c r="D389" s="102"/>
      <c r="E389" s="25"/>
      <c r="F389" s="25"/>
      <c r="G389" s="25"/>
      <c r="H389" s="49"/>
      <c r="I389" s="89"/>
      <c r="J389" s="23"/>
      <c r="K389" s="30"/>
      <c r="L389" s="49"/>
      <c r="M389" s="20"/>
      <c r="N389" s="20"/>
      <c r="O389" s="20"/>
      <c r="P389" s="20"/>
    </row>
    <row r="390">
      <c r="A390" s="76"/>
      <c r="B390" s="97"/>
      <c r="C390" s="76"/>
      <c r="D390" s="99"/>
      <c r="E390" s="25"/>
      <c r="F390" s="25"/>
      <c r="G390" s="25"/>
      <c r="H390" s="76"/>
      <c r="I390" s="80"/>
      <c r="J390" s="76"/>
      <c r="K390" s="19"/>
      <c r="L390" s="76"/>
      <c r="M390" s="20"/>
      <c r="N390" s="20"/>
      <c r="O390" s="20"/>
      <c r="P390" s="20"/>
    </row>
    <row r="391">
      <c r="A391" s="49"/>
      <c r="B391" s="97"/>
      <c r="C391" s="49"/>
      <c r="D391" s="102"/>
      <c r="E391" s="25"/>
      <c r="F391" s="25"/>
      <c r="G391" s="25"/>
      <c r="H391" s="49"/>
      <c r="I391" s="89"/>
      <c r="J391" s="49"/>
      <c r="K391" s="36"/>
      <c r="L391" s="49"/>
      <c r="M391" s="20"/>
      <c r="N391" s="20"/>
      <c r="O391" s="20"/>
      <c r="P391" s="20"/>
    </row>
    <row r="392">
      <c r="A392" s="76"/>
      <c r="B392" s="97"/>
      <c r="C392" s="76"/>
      <c r="D392" s="99"/>
      <c r="E392" s="25"/>
      <c r="F392" s="25"/>
      <c r="G392" s="25"/>
      <c r="H392" s="76"/>
      <c r="I392" s="80"/>
      <c r="J392" s="76"/>
      <c r="K392" s="46"/>
      <c r="L392" s="76"/>
      <c r="M392" s="20"/>
      <c r="N392" s="20"/>
      <c r="O392" s="20"/>
      <c r="P392" s="20"/>
    </row>
    <row r="393">
      <c r="A393" s="49"/>
      <c r="B393" s="110"/>
      <c r="C393" s="49"/>
      <c r="D393" s="102"/>
      <c r="E393" s="25"/>
      <c r="F393" s="25"/>
      <c r="G393" s="25"/>
      <c r="H393" s="49"/>
      <c r="I393" s="89"/>
      <c r="J393" s="49"/>
      <c r="K393" s="30"/>
      <c r="L393" s="49"/>
      <c r="M393" s="20"/>
      <c r="N393" s="20"/>
      <c r="O393" s="20"/>
      <c r="P393" s="20"/>
    </row>
    <row r="394">
      <c r="A394" s="76"/>
      <c r="B394" s="97"/>
      <c r="C394" s="76"/>
      <c r="D394" s="99"/>
      <c r="E394" s="25"/>
      <c r="F394" s="25"/>
      <c r="G394" s="25"/>
      <c r="H394" s="76"/>
      <c r="I394" s="80"/>
      <c r="J394" s="76"/>
      <c r="K394" s="46"/>
      <c r="L394" s="76"/>
      <c r="M394" s="20"/>
      <c r="N394" s="20"/>
      <c r="O394" s="20"/>
      <c r="P394" s="20"/>
    </row>
    <row r="395">
      <c r="A395" s="49"/>
      <c r="B395" s="110"/>
      <c r="C395" s="49"/>
      <c r="D395" s="102"/>
      <c r="E395" s="25"/>
      <c r="F395" s="25"/>
      <c r="G395" s="25"/>
      <c r="H395" s="49"/>
      <c r="I395" s="27"/>
      <c r="J395" s="49"/>
      <c r="K395" s="30"/>
      <c r="L395" s="49"/>
      <c r="M395" s="20"/>
      <c r="N395" s="20"/>
      <c r="O395" s="20"/>
      <c r="P395" s="20"/>
    </row>
    <row r="396">
      <c r="A396" s="76"/>
      <c r="B396" s="97"/>
      <c r="C396" s="76"/>
      <c r="D396" s="99"/>
      <c r="E396" s="25"/>
      <c r="F396" s="25"/>
      <c r="G396" s="25"/>
      <c r="H396" s="76"/>
      <c r="I396" s="80"/>
      <c r="J396" s="10"/>
      <c r="K396" s="19"/>
      <c r="L396" s="76"/>
      <c r="M396" s="20"/>
      <c r="N396" s="20"/>
      <c r="O396" s="20"/>
      <c r="P396" s="20"/>
    </row>
    <row r="397">
      <c r="A397" s="49"/>
      <c r="B397" s="110"/>
      <c r="C397" s="49"/>
      <c r="D397" s="102"/>
      <c r="E397" s="25"/>
      <c r="F397" s="25"/>
      <c r="G397" s="25"/>
      <c r="H397" s="49"/>
      <c r="I397" s="27"/>
      <c r="J397" s="49"/>
      <c r="K397" s="30"/>
      <c r="L397" s="49"/>
      <c r="M397" s="20"/>
      <c r="N397" s="20"/>
      <c r="O397" s="20"/>
      <c r="P397" s="20"/>
    </row>
    <row r="398">
      <c r="A398" s="76"/>
      <c r="B398" s="97"/>
      <c r="C398" s="76"/>
      <c r="D398" s="99"/>
      <c r="E398" s="25"/>
      <c r="F398" s="25"/>
      <c r="G398" s="25"/>
      <c r="H398" s="76"/>
      <c r="I398" s="80"/>
      <c r="J398" s="76"/>
      <c r="K398" s="46"/>
      <c r="L398" s="76"/>
      <c r="M398" s="20"/>
      <c r="N398" s="20"/>
      <c r="O398" s="20"/>
      <c r="P398" s="20"/>
    </row>
    <row r="399">
      <c r="A399" s="49"/>
      <c r="B399" s="110"/>
      <c r="C399" s="49"/>
      <c r="D399" s="102"/>
      <c r="E399" s="25"/>
      <c r="F399" s="25"/>
      <c r="G399" s="25"/>
      <c r="H399" s="76"/>
      <c r="I399" s="89"/>
      <c r="J399" s="49"/>
      <c r="K399" s="36"/>
      <c r="L399" s="76"/>
      <c r="M399" s="20"/>
      <c r="N399" s="20"/>
      <c r="O399" s="20"/>
      <c r="P399" s="20"/>
    </row>
    <row r="400">
      <c r="A400" s="76"/>
      <c r="B400" s="97"/>
      <c r="C400" s="76"/>
      <c r="D400" s="99"/>
      <c r="E400" s="25"/>
      <c r="F400" s="25"/>
      <c r="G400" s="25"/>
      <c r="H400" s="76"/>
      <c r="I400" s="80"/>
      <c r="J400" s="76"/>
      <c r="K400" s="19"/>
      <c r="L400" s="76"/>
      <c r="M400" s="20"/>
      <c r="N400" s="20"/>
      <c r="O400" s="20"/>
      <c r="P400" s="20"/>
    </row>
    <row r="401">
      <c r="A401" s="49"/>
      <c r="B401" s="110"/>
      <c r="C401" s="49"/>
      <c r="D401" s="102"/>
      <c r="E401" s="25"/>
      <c r="F401" s="25"/>
      <c r="G401" s="25"/>
      <c r="H401" s="49"/>
      <c r="I401" s="89"/>
      <c r="J401" s="49"/>
      <c r="K401" s="30"/>
      <c r="L401" s="49"/>
      <c r="M401" s="20"/>
      <c r="N401" s="20"/>
      <c r="O401" s="20"/>
      <c r="P401" s="20"/>
    </row>
    <row r="402">
      <c r="A402" s="76"/>
      <c r="B402" s="97"/>
      <c r="C402" s="76"/>
      <c r="D402" s="99"/>
      <c r="E402" s="25"/>
      <c r="F402" s="25"/>
      <c r="G402" s="25"/>
      <c r="H402" s="76"/>
      <c r="I402" s="80"/>
      <c r="J402" s="76"/>
      <c r="K402" s="19"/>
      <c r="L402" s="76"/>
      <c r="M402" s="20"/>
      <c r="N402" s="20"/>
      <c r="O402" s="20"/>
      <c r="P402" s="20"/>
    </row>
    <row r="403">
      <c r="A403" s="49"/>
      <c r="B403" s="110"/>
      <c r="C403" s="49"/>
      <c r="D403" s="102"/>
      <c r="E403" s="25"/>
      <c r="F403" s="25"/>
      <c r="G403" s="25"/>
      <c r="H403" s="49"/>
      <c r="I403" s="89"/>
      <c r="J403" s="49"/>
      <c r="K403" s="30"/>
      <c r="L403" s="49"/>
      <c r="M403" s="20"/>
      <c r="N403" s="20"/>
      <c r="O403" s="20"/>
      <c r="P403" s="20"/>
    </row>
    <row r="404">
      <c r="A404" s="76"/>
      <c r="B404" s="98"/>
      <c r="C404" s="76"/>
      <c r="D404" s="99"/>
      <c r="E404" s="25"/>
      <c r="F404" s="25"/>
      <c r="G404" s="25"/>
      <c r="H404" s="76"/>
      <c r="I404" s="80"/>
      <c r="J404" s="76"/>
      <c r="K404" s="46"/>
      <c r="L404" s="76"/>
      <c r="M404" s="20"/>
      <c r="N404" s="20"/>
      <c r="O404" s="20"/>
      <c r="P404" s="20"/>
    </row>
    <row r="405">
      <c r="A405" s="49"/>
      <c r="B405" s="119"/>
      <c r="C405" s="49"/>
      <c r="D405" s="102"/>
      <c r="E405" s="25"/>
      <c r="F405" s="25"/>
      <c r="G405" s="25"/>
      <c r="H405" s="49"/>
      <c r="I405" s="89"/>
      <c r="J405" s="49"/>
      <c r="K405" s="36"/>
      <c r="L405" s="49"/>
      <c r="M405" s="20"/>
      <c r="N405" s="20"/>
      <c r="O405" s="20"/>
      <c r="P405" s="20"/>
    </row>
    <row r="406">
      <c r="A406" s="76"/>
      <c r="B406" s="98"/>
      <c r="C406" s="76"/>
      <c r="D406" s="99"/>
      <c r="E406" s="25"/>
      <c r="F406" s="25"/>
      <c r="G406" s="25"/>
      <c r="H406" s="76"/>
      <c r="I406" s="80"/>
      <c r="J406" s="76"/>
      <c r="K406" s="46"/>
      <c r="L406" s="76"/>
      <c r="M406" s="20"/>
      <c r="N406" s="20"/>
      <c r="O406" s="20"/>
      <c r="P406" s="20"/>
    </row>
    <row r="407">
      <c r="A407" s="49"/>
      <c r="B407" s="119"/>
      <c r="C407" s="49"/>
      <c r="D407" s="102"/>
      <c r="E407" s="25"/>
      <c r="F407" s="25"/>
      <c r="G407" s="25"/>
      <c r="H407" s="49"/>
      <c r="I407" s="27"/>
      <c r="J407" s="23"/>
      <c r="K407" s="30"/>
      <c r="L407" s="49"/>
      <c r="M407" s="20"/>
      <c r="N407" s="20"/>
      <c r="O407" s="20"/>
      <c r="P407" s="20"/>
    </row>
    <row r="408">
      <c r="A408" s="76"/>
      <c r="B408" s="97"/>
      <c r="C408" s="76"/>
      <c r="D408" s="99"/>
      <c r="E408" s="25"/>
      <c r="F408" s="25"/>
      <c r="G408" s="25"/>
      <c r="H408" s="76"/>
      <c r="I408" s="80"/>
      <c r="J408" s="76"/>
      <c r="K408" s="19"/>
      <c r="L408" s="76"/>
      <c r="M408" s="20"/>
      <c r="N408" s="20"/>
      <c r="O408" s="20"/>
      <c r="P408" s="20"/>
    </row>
    <row r="409">
      <c r="A409" s="49"/>
      <c r="B409" s="110"/>
      <c r="C409" s="49"/>
      <c r="D409" s="102"/>
      <c r="E409" s="25"/>
      <c r="F409" s="25"/>
      <c r="G409" s="25"/>
      <c r="H409" s="49"/>
      <c r="I409" s="89"/>
      <c r="J409" s="49"/>
      <c r="K409" s="36"/>
      <c r="L409" s="23"/>
      <c r="M409" s="20"/>
      <c r="N409" s="20"/>
      <c r="O409" s="20"/>
      <c r="P409" s="20"/>
    </row>
    <row r="410">
      <c r="A410" s="49"/>
      <c r="B410" s="110"/>
      <c r="C410" s="49"/>
      <c r="D410" s="102"/>
      <c r="E410" s="25"/>
      <c r="F410" s="25"/>
      <c r="G410" s="25"/>
      <c r="H410" s="49"/>
      <c r="I410" s="27"/>
      <c r="J410" s="23"/>
      <c r="K410" s="30"/>
      <c r="L410" s="49"/>
      <c r="M410" s="20"/>
      <c r="N410" s="20"/>
      <c r="O410" s="20"/>
      <c r="P410" s="20"/>
    </row>
    <row r="411">
      <c r="A411" s="76"/>
      <c r="B411" s="97"/>
      <c r="C411" s="76"/>
      <c r="D411" s="99"/>
      <c r="E411" s="25"/>
      <c r="F411" s="25"/>
      <c r="G411" s="25"/>
      <c r="H411" s="76"/>
      <c r="I411" s="80"/>
      <c r="J411" s="76"/>
      <c r="K411" s="46"/>
      <c r="L411" s="76"/>
      <c r="M411" s="20"/>
      <c r="N411" s="20"/>
      <c r="O411" s="20"/>
      <c r="P411" s="20"/>
    </row>
    <row r="412">
      <c r="A412" s="49"/>
      <c r="B412" s="110"/>
      <c r="C412" s="49"/>
      <c r="D412" s="102"/>
      <c r="E412" s="25"/>
      <c r="F412" s="25"/>
      <c r="G412" s="25"/>
      <c r="H412" s="49"/>
      <c r="I412" s="27"/>
      <c r="J412" s="23"/>
      <c r="K412" s="30"/>
      <c r="L412" s="49"/>
      <c r="M412" s="20"/>
      <c r="N412" s="20"/>
      <c r="O412" s="20"/>
      <c r="P412" s="20"/>
    </row>
    <row r="413">
      <c r="A413" s="76"/>
      <c r="B413" s="97"/>
      <c r="C413" s="76"/>
      <c r="D413" s="99"/>
      <c r="E413" s="25"/>
      <c r="F413" s="25"/>
      <c r="G413" s="25"/>
      <c r="H413" s="76"/>
      <c r="I413" s="80"/>
      <c r="J413" s="76"/>
      <c r="K413" s="46"/>
      <c r="L413" s="76"/>
      <c r="M413" s="20"/>
      <c r="N413" s="20"/>
      <c r="O413" s="20"/>
      <c r="P413" s="20"/>
    </row>
    <row r="414">
      <c r="A414" s="76"/>
      <c r="B414" s="97"/>
      <c r="C414" s="76"/>
      <c r="D414" s="99"/>
      <c r="E414" s="25"/>
      <c r="F414" s="25"/>
      <c r="G414" s="25"/>
      <c r="H414" s="76"/>
      <c r="I414" s="80"/>
      <c r="J414" s="76"/>
      <c r="K414" s="19"/>
      <c r="L414" s="76"/>
      <c r="M414" s="20"/>
      <c r="N414" s="20"/>
      <c r="O414" s="20"/>
      <c r="P414" s="20"/>
    </row>
    <row r="415">
      <c r="A415" s="76"/>
      <c r="B415" s="97"/>
      <c r="C415" s="76"/>
      <c r="D415" s="99"/>
      <c r="E415" s="25"/>
      <c r="F415" s="25"/>
      <c r="G415" s="25"/>
      <c r="H415" s="76"/>
      <c r="I415" s="17"/>
      <c r="J415" s="76"/>
      <c r="K415" s="46"/>
      <c r="L415" s="76"/>
      <c r="M415" s="20"/>
      <c r="N415" s="20"/>
      <c r="O415" s="20"/>
      <c r="P415" s="20"/>
    </row>
    <row r="416">
      <c r="A416" s="49"/>
      <c r="B416" s="110"/>
      <c r="C416" s="49"/>
      <c r="D416" s="102"/>
      <c r="E416" s="25"/>
      <c r="F416" s="25"/>
      <c r="G416" s="25"/>
      <c r="H416" s="23"/>
      <c r="I416" s="27"/>
      <c r="J416" s="23"/>
      <c r="K416" s="30"/>
      <c r="L416" s="49"/>
      <c r="M416" s="20"/>
      <c r="N416" s="20"/>
      <c r="O416" s="20"/>
      <c r="P416" s="20"/>
    </row>
    <row r="417">
      <c r="A417" s="49"/>
      <c r="B417" s="110"/>
      <c r="C417" s="49"/>
      <c r="D417" s="102"/>
      <c r="E417" s="25"/>
      <c r="F417" s="25"/>
      <c r="G417" s="25"/>
      <c r="H417" s="49"/>
      <c r="I417" s="89"/>
      <c r="J417" s="49"/>
      <c r="K417" s="30"/>
      <c r="L417" s="49"/>
      <c r="M417" s="20"/>
      <c r="N417" s="20"/>
      <c r="O417" s="20"/>
      <c r="P417" s="20"/>
    </row>
    <row r="418">
      <c r="A418" s="49"/>
      <c r="B418" s="110"/>
      <c r="C418" s="49"/>
      <c r="D418" s="102"/>
      <c r="E418" s="25"/>
      <c r="F418" s="25"/>
      <c r="G418" s="25"/>
      <c r="H418" s="49"/>
      <c r="I418" s="27"/>
      <c r="J418" s="49"/>
      <c r="K418" s="30"/>
      <c r="L418" s="49"/>
      <c r="M418" s="20"/>
      <c r="N418" s="20"/>
      <c r="O418" s="20"/>
      <c r="P418" s="20"/>
    </row>
    <row r="419">
      <c r="A419" s="76"/>
      <c r="B419" s="97"/>
      <c r="C419" s="76"/>
      <c r="D419" s="99"/>
      <c r="E419" s="25"/>
      <c r="F419" s="25"/>
      <c r="G419" s="25"/>
      <c r="H419" s="76"/>
      <c r="I419" s="80"/>
      <c r="J419" s="76"/>
      <c r="K419" s="46"/>
      <c r="L419" s="76"/>
      <c r="M419" s="20"/>
      <c r="N419" s="20"/>
      <c r="O419" s="20"/>
      <c r="P419" s="20"/>
    </row>
    <row r="420">
      <c r="A420" s="49"/>
      <c r="B420" s="110"/>
      <c r="C420" s="49"/>
      <c r="D420" s="102"/>
      <c r="E420" s="25"/>
      <c r="F420" s="25"/>
      <c r="G420" s="25"/>
      <c r="H420" s="49"/>
      <c r="I420" s="89"/>
      <c r="J420" s="49"/>
      <c r="K420" s="30"/>
      <c r="L420" s="49"/>
      <c r="M420" s="20"/>
      <c r="N420" s="20"/>
      <c r="O420" s="20"/>
      <c r="P420" s="20"/>
    </row>
    <row r="421">
      <c r="A421" s="76"/>
      <c r="B421" s="97"/>
      <c r="C421" s="76"/>
      <c r="D421" s="99"/>
      <c r="E421" s="25"/>
      <c r="F421" s="25"/>
      <c r="G421" s="25"/>
      <c r="H421" s="76"/>
      <c r="I421" s="17"/>
      <c r="J421" s="10"/>
      <c r="K421" s="46"/>
      <c r="L421" s="76"/>
      <c r="M421" s="20"/>
      <c r="N421" s="20"/>
      <c r="O421" s="20"/>
      <c r="P421" s="20"/>
    </row>
    <row r="422">
      <c r="A422" s="49"/>
      <c r="B422" s="110"/>
      <c r="C422" s="49"/>
      <c r="D422" s="102"/>
      <c r="E422" s="25"/>
      <c r="F422" s="25"/>
      <c r="G422" s="25"/>
      <c r="H422" s="49"/>
      <c r="I422" s="89"/>
      <c r="J422" s="49"/>
      <c r="K422" s="36"/>
      <c r="L422" s="49"/>
      <c r="M422" s="20"/>
      <c r="N422" s="20"/>
      <c r="O422" s="20"/>
      <c r="P422" s="20"/>
    </row>
    <row r="423">
      <c r="A423" s="76"/>
      <c r="B423" s="97"/>
      <c r="C423" s="76"/>
      <c r="D423" s="99"/>
      <c r="E423" s="25"/>
      <c r="F423" s="25"/>
      <c r="G423" s="25"/>
      <c r="H423" s="76"/>
      <c r="I423" s="80"/>
      <c r="J423" s="76"/>
      <c r="K423" s="19"/>
      <c r="L423" s="76"/>
      <c r="M423" s="20"/>
      <c r="N423" s="20"/>
      <c r="O423" s="20"/>
      <c r="P423" s="20"/>
    </row>
    <row r="424">
      <c r="A424" s="76"/>
      <c r="B424" s="97"/>
      <c r="C424" s="76"/>
      <c r="D424" s="99"/>
      <c r="E424" s="25"/>
      <c r="F424" s="25"/>
      <c r="G424" s="25"/>
      <c r="H424" s="76"/>
      <c r="I424" s="80"/>
      <c r="J424" s="76"/>
      <c r="K424" s="46"/>
      <c r="L424" s="76"/>
      <c r="M424" s="20"/>
      <c r="N424" s="20"/>
      <c r="O424" s="20"/>
      <c r="P424" s="20"/>
    </row>
    <row r="425">
      <c r="A425" s="49"/>
      <c r="B425" s="110"/>
      <c r="C425" s="49"/>
      <c r="D425" s="102"/>
      <c r="E425" s="25"/>
      <c r="F425" s="25"/>
      <c r="G425" s="25"/>
      <c r="H425" s="49"/>
      <c r="I425" s="89"/>
      <c r="J425" s="49"/>
      <c r="K425" s="30"/>
      <c r="L425" s="49"/>
      <c r="M425" s="20"/>
      <c r="N425" s="20"/>
      <c r="O425" s="20"/>
      <c r="P425" s="20"/>
    </row>
    <row r="426">
      <c r="A426" s="76"/>
      <c r="B426" s="97"/>
      <c r="C426" s="76"/>
      <c r="D426" s="99"/>
      <c r="E426" s="25"/>
      <c r="F426" s="25"/>
      <c r="G426" s="25"/>
      <c r="H426" s="10"/>
      <c r="I426" s="17"/>
      <c r="J426" s="10"/>
      <c r="K426" s="46"/>
      <c r="L426" s="76"/>
      <c r="M426" s="20"/>
      <c r="N426" s="20"/>
      <c r="O426" s="20"/>
      <c r="P426" s="20"/>
    </row>
    <row r="427">
      <c r="A427" s="49"/>
      <c r="B427" s="110"/>
      <c r="C427" s="49"/>
      <c r="D427" s="102"/>
      <c r="E427" s="25"/>
      <c r="F427" s="25"/>
      <c r="G427" s="25"/>
      <c r="H427" s="23"/>
      <c r="I427" s="27"/>
      <c r="J427" s="23"/>
      <c r="K427" s="30"/>
      <c r="L427" s="49"/>
      <c r="M427" s="20"/>
      <c r="N427" s="20"/>
      <c r="O427" s="20"/>
      <c r="P427" s="20"/>
    </row>
    <row r="428">
      <c r="A428" s="76"/>
      <c r="B428" s="97"/>
      <c r="C428" s="76"/>
      <c r="D428" s="99"/>
      <c r="E428" s="25"/>
      <c r="F428" s="25"/>
      <c r="G428" s="25"/>
      <c r="H428" s="76"/>
      <c r="I428" s="80"/>
      <c r="J428" s="76"/>
      <c r="K428" s="19"/>
      <c r="L428" s="76"/>
      <c r="M428" s="20"/>
      <c r="N428" s="20"/>
      <c r="O428" s="20"/>
      <c r="P428" s="20"/>
    </row>
    <row r="429">
      <c r="A429" s="49"/>
      <c r="B429" s="110"/>
      <c r="C429" s="49"/>
      <c r="D429" s="102"/>
      <c r="E429" s="25"/>
      <c r="F429" s="25"/>
      <c r="G429" s="25"/>
      <c r="H429" s="49"/>
      <c r="I429" s="89"/>
      <c r="J429" s="49"/>
      <c r="K429" s="30"/>
      <c r="L429" s="49"/>
      <c r="M429" s="20"/>
      <c r="N429" s="20"/>
      <c r="O429" s="20"/>
      <c r="P429" s="20"/>
    </row>
    <row r="430">
      <c r="A430" s="76"/>
      <c r="B430" s="97"/>
      <c r="C430" s="76"/>
      <c r="D430" s="99"/>
      <c r="E430" s="25"/>
      <c r="F430" s="25"/>
      <c r="G430" s="25"/>
      <c r="H430" s="76"/>
      <c r="I430" s="80"/>
      <c r="J430" s="76"/>
      <c r="K430" s="46"/>
      <c r="L430" s="76"/>
      <c r="M430" s="20"/>
      <c r="N430" s="20"/>
      <c r="O430" s="20"/>
      <c r="P430" s="20"/>
    </row>
    <row r="431">
      <c r="A431" s="132"/>
      <c r="B431" s="110"/>
      <c r="C431" s="49"/>
      <c r="D431" s="102"/>
      <c r="E431" s="25"/>
      <c r="F431" s="25"/>
      <c r="G431" s="25"/>
      <c r="H431" s="49"/>
      <c r="I431" s="27"/>
      <c r="J431" s="23"/>
      <c r="K431" s="30"/>
      <c r="L431" s="49"/>
      <c r="M431" s="20"/>
      <c r="N431" s="20"/>
      <c r="O431" s="20"/>
      <c r="P431" s="20"/>
    </row>
    <row r="432">
      <c r="A432" s="76"/>
      <c r="B432" s="97"/>
      <c r="C432" s="76"/>
      <c r="D432" s="99"/>
      <c r="E432" s="25"/>
      <c r="F432" s="25"/>
      <c r="G432" s="25"/>
      <c r="H432" s="76"/>
      <c r="I432" s="80"/>
      <c r="J432" s="76"/>
      <c r="K432" s="46"/>
      <c r="L432" s="76"/>
      <c r="M432" s="20"/>
      <c r="N432" s="20"/>
      <c r="O432" s="20"/>
      <c r="P432" s="20"/>
    </row>
    <row r="433">
      <c r="A433" s="49"/>
      <c r="B433" s="110"/>
      <c r="C433" s="49"/>
      <c r="D433" s="102"/>
      <c r="E433" s="25"/>
      <c r="F433" s="25"/>
      <c r="G433" s="25"/>
      <c r="H433" s="49"/>
      <c r="I433" s="89"/>
      <c r="J433" s="49"/>
      <c r="K433" s="30"/>
      <c r="L433" s="49"/>
      <c r="M433" s="20"/>
      <c r="N433" s="20"/>
      <c r="O433" s="20"/>
      <c r="P433" s="20"/>
    </row>
    <row r="434">
      <c r="A434" s="76"/>
      <c r="B434" s="97"/>
      <c r="C434" s="76"/>
      <c r="D434" s="99"/>
      <c r="E434" s="25"/>
      <c r="F434" s="25"/>
      <c r="G434" s="25"/>
      <c r="H434" s="76"/>
      <c r="I434" s="80"/>
      <c r="J434" s="76"/>
      <c r="K434" s="46"/>
      <c r="L434" s="76"/>
      <c r="M434" s="20"/>
      <c r="N434" s="20"/>
      <c r="O434" s="20"/>
      <c r="P434" s="20"/>
    </row>
    <row r="435">
      <c r="A435" s="49"/>
      <c r="B435" s="110"/>
      <c r="C435" s="49"/>
      <c r="D435" s="102"/>
      <c r="E435" s="25"/>
      <c r="F435" s="25"/>
      <c r="G435" s="25"/>
      <c r="H435" s="49"/>
      <c r="I435" s="89"/>
      <c r="J435" s="49"/>
      <c r="K435" s="30"/>
      <c r="L435" s="49"/>
      <c r="M435" s="20"/>
      <c r="N435" s="20"/>
      <c r="O435" s="20"/>
      <c r="P435" s="20"/>
    </row>
    <row r="436">
      <c r="A436" s="76"/>
      <c r="B436" s="97"/>
      <c r="C436" s="76"/>
      <c r="D436" s="99"/>
      <c r="E436" s="25"/>
      <c r="F436" s="25"/>
      <c r="G436" s="25"/>
      <c r="H436" s="76"/>
      <c r="I436" s="17"/>
      <c r="J436" s="10"/>
      <c r="K436" s="46"/>
      <c r="L436" s="10"/>
      <c r="M436" s="20"/>
      <c r="N436" s="20"/>
      <c r="O436" s="20"/>
      <c r="P436" s="20"/>
    </row>
    <row r="437">
      <c r="A437" s="49"/>
      <c r="B437" s="110"/>
      <c r="C437" s="49"/>
      <c r="D437" s="102"/>
      <c r="E437" s="25"/>
      <c r="F437" s="25"/>
      <c r="G437" s="25"/>
      <c r="H437" s="23"/>
      <c r="I437" s="27"/>
      <c r="J437" s="23"/>
      <c r="K437" s="30"/>
      <c r="L437" s="49"/>
      <c r="M437" s="20"/>
      <c r="N437" s="20"/>
      <c r="O437" s="20"/>
      <c r="P437" s="20"/>
    </row>
    <row r="438">
      <c r="A438" s="76"/>
      <c r="B438" s="97"/>
      <c r="C438" s="76"/>
      <c r="D438" s="99"/>
      <c r="E438" s="25"/>
      <c r="F438" s="25"/>
      <c r="G438" s="25"/>
      <c r="H438" s="76"/>
      <c r="I438" s="80"/>
      <c r="J438" s="76"/>
      <c r="K438" s="19"/>
      <c r="L438" s="76"/>
      <c r="M438" s="20"/>
      <c r="N438" s="20"/>
      <c r="O438" s="20"/>
      <c r="P438" s="20"/>
    </row>
    <row r="439">
      <c r="A439" s="49"/>
      <c r="B439" s="110"/>
      <c r="C439" s="49"/>
      <c r="D439" s="102"/>
      <c r="E439" s="25"/>
      <c r="F439" s="25"/>
      <c r="G439" s="25"/>
      <c r="H439" s="49"/>
      <c r="I439" s="89"/>
      <c r="J439" s="49"/>
      <c r="K439" s="30"/>
      <c r="L439" s="49"/>
      <c r="M439" s="20"/>
      <c r="N439" s="20"/>
      <c r="O439" s="20"/>
      <c r="P439" s="20"/>
    </row>
    <row r="440">
      <c r="A440" s="76"/>
      <c r="B440" s="97"/>
      <c r="C440" s="76"/>
      <c r="D440" s="99"/>
      <c r="E440" s="25"/>
      <c r="F440" s="25"/>
      <c r="G440" s="25"/>
      <c r="H440" s="76"/>
      <c r="I440" s="17"/>
      <c r="J440" s="76"/>
      <c r="K440" s="46"/>
      <c r="L440" s="76"/>
      <c r="M440" s="20"/>
      <c r="N440" s="20"/>
      <c r="O440" s="20"/>
      <c r="P440" s="20"/>
    </row>
    <row r="441">
      <c r="A441" s="49"/>
      <c r="B441" s="110"/>
      <c r="C441" s="49"/>
      <c r="D441" s="24"/>
      <c r="E441" s="25"/>
      <c r="F441" s="25"/>
      <c r="G441" s="25"/>
      <c r="H441" s="49"/>
      <c r="I441" s="89"/>
      <c r="J441" s="49"/>
      <c r="K441" s="30"/>
      <c r="L441" s="49"/>
      <c r="M441" s="20"/>
      <c r="N441" s="20"/>
      <c r="O441" s="20"/>
      <c r="P441" s="20"/>
    </row>
    <row r="442">
      <c r="A442" s="76"/>
      <c r="B442" s="97"/>
      <c r="C442" s="76"/>
      <c r="D442" s="99"/>
      <c r="E442" s="25"/>
      <c r="F442" s="25"/>
      <c r="G442" s="25"/>
      <c r="H442" s="49"/>
      <c r="I442" s="80"/>
      <c r="J442" s="76"/>
      <c r="K442" s="46"/>
      <c r="L442" s="76"/>
      <c r="M442" s="20"/>
      <c r="N442" s="20"/>
      <c r="O442" s="20"/>
      <c r="P442" s="20"/>
    </row>
    <row r="443">
      <c r="A443" s="49"/>
      <c r="B443" s="110"/>
      <c r="C443" s="49"/>
      <c r="D443" s="102"/>
      <c r="E443" s="25"/>
      <c r="F443" s="25"/>
      <c r="G443" s="25"/>
      <c r="H443" s="49"/>
      <c r="I443" s="89"/>
      <c r="J443" s="49"/>
      <c r="K443" s="36"/>
      <c r="L443" s="49"/>
      <c r="M443" s="20"/>
      <c r="N443" s="20"/>
      <c r="O443" s="20"/>
      <c r="P443" s="20"/>
    </row>
    <row r="444">
      <c r="A444" s="76"/>
      <c r="B444" s="97"/>
      <c r="C444" s="76"/>
      <c r="D444" s="99"/>
      <c r="E444" s="25"/>
      <c r="F444" s="25"/>
      <c r="G444" s="25"/>
      <c r="H444" s="76"/>
      <c r="I444" s="80"/>
      <c r="J444" s="76"/>
      <c r="K444" s="46"/>
      <c r="L444" s="76"/>
      <c r="M444" s="20"/>
      <c r="N444" s="20"/>
      <c r="O444" s="20"/>
      <c r="P444" s="20"/>
    </row>
    <row r="445">
      <c r="A445" s="49"/>
      <c r="B445" s="110"/>
      <c r="C445" s="49"/>
      <c r="D445" s="102"/>
      <c r="E445" s="25"/>
      <c r="F445" s="25"/>
      <c r="G445" s="25"/>
      <c r="H445" s="49"/>
      <c r="I445" s="27"/>
      <c r="J445" s="23"/>
      <c r="K445" s="30"/>
      <c r="L445" s="76"/>
      <c r="M445" s="20"/>
      <c r="N445" s="20"/>
      <c r="O445" s="20"/>
      <c r="P445" s="20"/>
    </row>
    <row r="446">
      <c r="A446" s="76"/>
      <c r="B446" s="97"/>
      <c r="C446" s="76"/>
      <c r="D446" s="99"/>
      <c r="E446" s="25"/>
      <c r="F446" s="25"/>
      <c r="G446" s="25"/>
      <c r="H446" s="10"/>
      <c r="I446" s="17"/>
      <c r="J446" s="10"/>
      <c r="K446" s="46"/>
      <c r="L446" s="76"/>
      <c r="M446" s="20"/>
      <c r="N446" s="20"/>
      <c r="O446" s="20"/>
      <c r="P446" s="20"/>
    </row>
    <row r="447">
      <c r="A447" s="49"/>
      <c r="B447" s="110"/>
      <c r="C447" s="49"/>
      <c r="D447" s="102"/>
      <c r="E447" s="25"/>
      <c r="F447" s="25"/>
      <c r="G447" s="25"/>
      <c r="H447" s="49"/>
      <c r="I447" s="89"/>
      <c r="J447" s="49"/>
      <c r="K447" s="36"/>
      <c r="L447" s="49"/>
      <c r="M447" s="20"/>
      <c r="N447" s="20"/>
      <c r="O447" s="20"/>
      <c r="P447" s="20"/>
    </row>
    <row r="448">
      <c r="A448" s="76"/>
      <c r="B448" s="97"/>
      <c r="C448" s="76"/>
      <c r="D448" s="99"/>
      <c r="E448" s="25"/>
      <c r="F448" s="25"/>
      <c r="G448" s="25"/>
      <c r="H448" s="76"/>
      <c r="I448" s="80"/>
      <c r="J448" s="10"/>
      <c r="K448" s="46"/>
      <c r="L448" s="76"/>
      <c r="M448" s="20"/>
      <c r="N448" s="20"/>
      <c r="O448" s="20"/>
      <c r="P448" s="20"/>
    </row>
    <row r="449">
      <c r="A449" s="49"/>
      <c r="B449" s="110"/>
      <c r="C449" s="49"/>
      <c r="D449" s="102"/>
      <c r="E449" s="25"/>
      <c r="F449" s="25"/>
      <c r="G449" s="25"/>
      <c r="H449" s="49"/>
      <c r="I449" s="89"/>
      <c r="J449" s="49"/>
      <c r="K449" s="36"/>
      <c r="L449" s="49"/>
      <c r="M449" s="20"/>
      <c r="N449" s="20"/>
      <c r="O449" s="20"/>
      <c r="P449" s="20"/>
    </row>
    <row r="450">
      <c r="A450" s="76"/>
      <c r="B450" s="97"/>
      <c r="C450" s="76"/>
      <c r="D450" s="99"/>
      <c r="E450" s="25"/>
      <c r="F450" s="25"/>
      <c r="G450" s="25"/>
      <c r="H450" s="76"/>
      <c r="I450" s="80"/>
      <c r="J450" s="10"/>
      <c r="K450" s="46"/>
      <c r="L450" s="76"/>
      <c r="M450" s="20"/>
      <c r="N450" s="20"/>
      <c r="O450" s="20"/>
      <c r="P450" s="20"/>
    </row>
    <row r="451">
      <c r="A451" s="49"/>
      <c r="B451" s="110"/>
      <c r="C451" s="49"/>
      <c r="D451" s="102"/>
      <c r="E451" s="25"/>
      <c r="F451" s="25"/>
      <c r="G451" s="25"/>
      <c r="H451" s="23"/>
      <c r="I451" s="27"/>
      <c r="J451" s="23"/>
      <c r="K451" s="30"/>
      <c r="L451" s="49"/>
      <c r="M451" s="20"/>
      <c r="N451" s="20"/>
      <c r="O451" s="20"/>
      <c r="P451" s="20"/>
    </row>
    <row r="452">
      <c r="A452" s="76"/>
      <c r="B452" s="97"/>
      <c r="C452" s="76"/>
      <c r="D452" s="99"/>
      <c r="E452" s="25"/>
      <c r="F452" s="25"/>
      <c r="G452" s="25"/>
      <c r="H452" s="76"/>
      <c r="I452" s="80"/>
      <c r="J452" s="76"/>
      <c r="K452" s="46"/>
      <c r="L452" s="76"/>
      <c r="M452" s="20"/>
      <c r="N452" s="20"/>
      <c r="O452" s="20"/>
      <c r="P452" s="20"/>
    </row>
    <row r="453">
      <c r="A453" s="49"/>
      <c r="B453" s="110"/>
      <c r="C453" s="49"/>
      <c r="D453" s="102"/>
      <c r="E453" s="25"/>
      <c r="F453" s="25"/>
      <c r="G453" s="25"/>
      <c r="H453" s="49"/>
      <c r="I453" s="89"/>
      <c r="J453" s="23"/>
      <c r="K453" s="30"/>
      <c r="L453" s="49"/>
      <c r="M453" s="20"/>
      <c r="N453" s="20"/>
      <c r="O453" s="20"/>
      <c r="P453" s="20"/>
    </row>
    <row r="454">
      <c r="A454" s="76"/>
      <c r="B454" s="97"/>
      <c r="C454" s="76"/>
      <c r="D454" s="99"/>
      <c r="E454" s="25"/>
      <c r="F454" s="25"/>
      <c r="G454" s="25"/>
      <c r="H454" s="76"/>
      <c r="I454" s="80"/>
      <c r="J454" s="129"/>
      <c r="K454" s="19"/>
      <c r="L454" s="76"/>
      <c r="M454" s="20"/>
      <c r="N454" s="20"/>
      <c r="O454" s="20"/>
      <c r="P454" s="20"/>
    </row>
    <row r="455">
      <c r="A455" s="49"/>
      <c r="B455" s="110"/>
      <c r="C455" s="49"/>
      <c r="D455" s="102"/>
      <c r="E455" s="25"/>
      <c r="F455" s="25"/>
      <c r="G455" s="25"/>
      <c r="H455" s="49"/>
      <c r="I455" s="89"/>
      <c r="J455" s="49"/>
      <c r="K455" s="36"/>
      <c r="L455" s="49"/>
      <c r="M455" s="20"/>
      <c r="N455" s="20"/>
      <c r="O455" s="20"/>
      <c r="P455" s="20"/>
    </row>
    <row r="456">
      <c r="A456" s="76"/>
      <c r="B456" s="97"/>
      <c r="C456" s="76"/>
      <c r="D456" s="99"/>
      <c r="E456" s="25"/>
      <c r="F456" s="25"/>
      <c r="G456" s="25"/>
      <c r="H456" s="76"/>
      <c r="I456" s="80"/>
      <c r="J456" s="76"/>
      <c r="K456" s="19"/>
      <c r="L456" s="76"/>
      <c r="M456" s="20"/>
      <c r="N456" s="20"/>
      <c r="O456" s="20"/>
      <c r="P456" s="20"/>
    </row>
    <row r="457">
      <c r="A457" s="49"/>
      <c r="B457" s="110"/>
      <c r="C457" s="49"/>
      <c r="D457" s="102"/>
      <c r="E457" s="25"/>
      <c r="F457" s="25"/>
      <c r="G457" s="25"/>
      <c r="H457" s="49"/>
      <c r="I457" s="89"/>
      <c r="J457" s="49"/>
      <c r="K457" s="36"/>
      <c r="L457" s="49"/>
      <c r="M457" s="20"/>
      <c r="N457" s="20"/>
      <c r="O457" s="20"/>
      <c r="P457" s="20"/>
    </row>
    <row r="458">
      <c r="A458" s="76"/>
      <c r="B458" s="97"/>
      <c r="C458" s="76"/>
      <c r="D458" s="99"/>
      <c r="E458" s="25"/>
      <c r="F458" s="25"/>
      <c r="G458" s="25"/>
      <c r="H458" s="76"/>
      <c r="I458" s="80"/>
      <c r="J458" s="76"/>
      <c r="K458" s="19"/>
      <c r="L458" s="76"/>
      <c r="M458" s="20"/>
      <c r="N458" s="20"/>
      <c r="O458" s="20"/>
      <c r="P458" s="20"/>
    </row>
    <row r="459">
      <c r="A459" s="49"/>
      <c r="B459" s="110"/>
      <c r="C459" s="49"/>
      <c r="D459" s="102"/>
      <c r="E459" s="25"/>
      <c r="F459" s="25"/>
      <c r="G459" s="25"/>
      <c r="H459" s="49"/>
      <c r="I459" s="27"/>
      <c r="J459" s="49"/>
      <c r="K459" s="30"/>
      <c r="L459" s="49"/>
      <c r="M459" s="20"/>
      <c r="N459" s="20"/>
      <c r="O459" s="20"/>
      <c r="P459" s="20"/>
    </row>
    <row r="460">
      <c r="A460" s="76"/>
      <c r="B460" s="97"/>
      <c r="C460" s="76"/>
      <c r="D460" s="99"/>
      <c r="E460" s="25"/>
      <c r="F460" s="25"/>
      <c r="G460" s="25"/>
      <c r="H460" s="76"/>
      <c r="I460" s="80"/>
      <c r="J460" s="76"/>
      <c r="K460" s="46"/>
      <c r="L460" s="76"/>
      <c r="M460" s="20"/>
      <c r="N460" s="20"/>
      <c r="O460" s="20"/>
      <c r="P460" s="20"/>
    </row>
    <row r="461">
      <c r="A461" s="49"/>
      <c r="B461" s="110"/>
      <c r="C461" s="49"/>
      <c r="D461" s="102"/>
      <c r="E461" s="25"/>
      <c r="F461" s="25"/>
      <c r="G461" s="25"/>
      <c r="H461" s="49"/>
      <c r="I461" s="89"/>
      <c r="J461" s="49"/>
      <c r="K461" s="36"/>
      <c r="L461" s="49"/>
      <c r="M461" s="20"/>
      <c r="N461" s="20"/>
      <c r="O461" s="20"/>
      <c r="P461" s="20"/>
    </row>
    <row r="462">
      <c r="A462" s="76"/>
      <c r="B462" s="97"/>
      <c r="C462" s="76"/>
      <c r="D462" s="99"/>
      <c r="E462" s="25"/>
      <c r="F462" s="25"/>
      <c r="G462" s="25"/>
      <c r="H462" s="76"/>
      <c r="I462" s="17"/>
      <c r="J462" s="76"/>
      <c r="K462" s="19"/>
      <c r="L462" s="49"/>
      <c r="M462" s="20"/>
      <c r="N462" s="20"/>
      <c r="O462" s="20"/>
      <c r="P462" s="20"/>
    </row>
    <row r="463">
      <c r="A463" s="49"/>
      <c r="B463" s="110"/>
      <c r="C463" s="49"/>
      <c r="D463" s="102"/>
      <c r="E463" s="25"/>
      <c r="F463" s="25"/>
      <c r="G463" s="25"/>
      <c r="H463" s="49"/>
      <c r="I463" s="89"/>
      <c r="J463" s="49"/>
      <c r="K463" s="30"/>
      <c r="L463" s="49"/>
      <c r="M463" s="20"/>
      <c r="N463" s="20"/>
      <c r="O463" s="20"/>
      <c r="P463" s="20"/>
    </row>
    <row r="464">
      <c r="A464" s="76"/>
      <c r="B464" s="97"/>
      <c r="C464" s="76"/>
      <c r="D464" s="99"/>
      <c r="E464" s="25"/>
      <c r="F464" s="25"/>
      <c r="G464" s="25"/>
      <c r="H464" s="76"/>
      <c r="I464" s="80"/>
      <c r="J464" s="76"/>
      <c r="K464" s="19"/>
      <c r="L464" s="49"/>
      <c r="M464" s="20"/>
      <c r="N464" s="20"/>
      <c r="O464" s="20"/>
      <c r="P464" s="20"/>
    </row>
    <row r="465">
      <c r="A465" s="49"/>
      <c r="B465" s="110"/>
      <c r="C465" s="49"/>
      <c r="D465" s="102"/>
      <c r="E465" s="25"/>
      <c r="F465" s="25"/>
      <c r="G465" s="25"/>
      <c r="H465" s="49"/>
      <c r="I465" s="89"/>
      <c r="J465" s="49"/>
      <c r="K465" s="30"/>
      <c r="L465" s="49"/>
      <c r="M465" s="20"/>
      <c r="N465" s="20"/>
      <c r="O465" s="20"/>
      <c r="P465" s="20"/>
    </row>
    <row r="466">
      <c r="A466" s="76"/>
      <c r="B466" s="97"/>
      <c r="C466" s="76"/>
      <c r="D466" s="99"/>
      <c r="E466" s="25"/>
      <c r="F466" s="25"/>
      <c r="G466" s="25"/>
      <c r="H466" s="76"/>
      <c r="I466" s="80"/>
      <c r="J466" s="76"/>
      <c r="K466" s="19"/>
      <c r="L466" s="76"/>
      <c r="M466" s="20"/>
      <c r="N466" s="20"/>
      <c r="O466" s="20"/>
      <c r="P466" s="20"/>
    </row>
    <row r="467">
      <c r="A467" s="49"/>
      <c r="B467" s="110"/>
      <c r="C467" s="49"/>
      <c r="D467" s="102"/>
      <c r="E467" s="25"/>
      <c r="F467" s="25"/>
      <c r="G467" s="25"/>
      <c r="H467" s="49"/>
      <c r="I467" s="89"/>
      <c r="J467" s="49"/>
      <c r="K467" s="30"/>
      <c r="L467" s="49"/>
      <c r="M467" s="20"/>
      <c r="N467" s="20"/>
      <c r="O467" s="20"/>
      <c r="P467" s="20"/>
    </row>
    <row r="468">
      <c r="A468" s="76"/>
      <c r="B468" s="97"/>
      <c r="C468" s="76"/>
      <c r="D468" s="99"/>
      <c r="E468" s="25"/>
      <c r="F468" s="25"/>
      <c r="G468" s="25"/>
      <c r="H468" s="76"/>
      <c r="I468" s="80"/>
      <c r="J468" s="76"/>
      <c r="K468" s="19"/>
      <c r="L468" s="76"/>
      <c r="M468" s="20"/>
      <c r="N468" s="20"/>
      <c r="O468" s="20"/>
      <c r="P468" s="20"/>
    </row>
    <row r="469">
      <c r="A469" s="49"/>
      <c r="B469" s="110"/>
      <c r="C469" s="49"/>
      <c r="D469" s="102"/>
      <c r="E469" s="25"/>
      <c r="F469" s="25"/>
      <c r="G469" s="25"/>
      <c r="H469" s="23"/>
      <c r="I469" s="27"/>
      <c r="J469" s="23"/>
      <c r="K469" s="30"/>
      <c r="L469" s="49"/>
      <c r="M469" s="20"/>
      <c r="N469" s="20"/>
      <c r="O469" s="20"/>
      <c r="P469" s="20"/>
    </row>
    <row r="470">
      <c r="A470" s="76"/>
      <c r="B470" s="97"/>
      <c r="C470" s="76"/>
      <c r="D470" s="99"/>
      <c r="E470" s="25"/>
      <c r="F470" s="25"/>
      <c r="G470" s="25"/>
      <c r="H470" s="76"/>
      <c r="I470" s="80"/>
      <c r="J470" s="76"/>
      <c r="K470" s="19"/>
      <c r="L470" s="76"/>
      <c r="M470" s="20"/>
      <c r="N470" s="20"/>
      <c r="O470" s="20"/>
      <c r="P470" s="20"/>
    </row>
    <row r="471">
      <c r="A471" s="49"/>
      <c r="B471" s="110"/>
      <c r="C471" s="49"/>
      <c r="D471" s="102"/>
      <c r="E471" s="25"/>
      <c r="F471" s="25"/>
      <c r="G471" s="25"/>
      <c r="H471" s="49"/>
      <c r="I471" s="27"/>
      <c r="J471" s="49"/>
      <c r="K471" s="36"/>
      <c r="L471" s="49"/>
      <c r="M471" s="20"/>
      <c r="N471" s="20"/>
      <c r="O471" s="20"/>
      <c r="P471" s="20"/>
    </row>
    <row r="472">
      <c r="A472" s="76"/>
      <c r="B472" s="97"/>
      <c r="C472" s="76"/>
      <c r="D472" s="99"/>
      <c r="E472" s="25"/>
      <c r="F472" s="25"/>
      <c r="G472" s="25"/>
      <c r="H472" s="76"/>
      <c r="I472" s="80"/>
      <c r="J472" s="76"/>
      <c r="K472" s="46"/>
      <c r="L472" s="76"/>
      <c r="M472" s="20"/>
      <c r="N472" s="20"/>
      <c r="O472" s="20"/>
      <c r="P472" s="20"/>
    </row>
    <row r="473">
      <c r="A473" s="49"/>
      <c r="B473" s="110"/>
      <c r="C473" s="49"/>
      <c r="D473" s="102"/>
      <c r="E473" s="25"/>
      <c r="F473" s="25"/>
      <c r="G473" s="25"/>
      <c r="H473" s="23"/>
      <c r="I473" s="27"/>
      <c r="J473" s="23"/>
      <c r="K473" s="30"/>
      <c r="L473" s="49"/>
      <c r="M473" s="20"/>
      <c r="N473" s="20"/>
      <c r="O473" s="20"/>
      <c r="P473" s="20"/>
    </row>
    <row r="474">
      <c r="A474" s="76"/>
      <c r="B474" s="110"/>
      <c r="C474" s="76"/>
      <c r="D474" s="99"/>
      <c r="E474" s="25"/>
      <c r="F474" s="25"/>
      <c r="G474" s="25"/>
      <c r="H474" s="76"/>
      <c r="I474" s="80"/>
      <c r="J474" s="76"/>
      <c r="K474" s="19"/>
      <c r="L474" s="76"/>
      <c r="M474" s="20"/>
      <c r="N474" s="20"/>
      <c r="O474" s="20"/>
      <c r="P474" s="20"/>
    </row>
    <row r="475">
      <c r="A475" s="49"/>
      <c r="B475" s="110"/>
      <c r="C475" s="49"/>
      <c r="D475" s="102"/>
      <c r="E475" s="25"/>
      <c r="F475" s="25"/>
      <c r="G475" s="25"/>
      <c r="H475" s="49"/>
      <c r="I475" s="89"/>
      <c r="J475" s="49"/>
      <c r="K475" s="30"/>
      <c r="L475" s="49"/>
      <c r="M475" s="20"/>
      <c r="N475" s="20"/>
      <c r="O475" s="20"/>
      <c r="P475" s="20"/>
    </row>
    <row r="476">
      <c r="A476" s="76"/>
      <c r="B476" s="110"/>
      <c r="C476" s="76"/>
      <c r="D476" s="99"/>
      <c r="E476" s="25"/>
      <c r="F476" s="25"/>
      <c r="G476" s="25"/>
      <c r="H476" s="76"/>
      <c r="I476" s="80"/>
      <c r="J476" s="76"/>
      <c r="K476" s="19"/>
      <c r="L476" s="76"/>
      <c r="M476" s="20"/>
      <c r="N476" s="20"/>
      <c r="O476" s="20"/>
      <c r="P476" s="20"/>
    </row>
    <row r="477">
      <c r="A477" s="49"/>
      <c r="B477" s="110"/>
      <c r="C477" s="49"/>
      <c r="D477" s="102"/>
      <c r="E477" s="25"/>
      <c r="F477" s="25"/>
      <c r="G477" s="25"/>
      <c r="H477" s="49"/>
      <c r="I477" s="89"/>
      <c r="J477" s="49"/>
      <c r="K477" s="30"/>
      <c r="L477" s="49"/>
      <c r="M477" s="20"/>
      <c r="N477" s="20"/>
      <c r="O477" s="20"/>
      <c r="P477" s="20"/>
    </row>
    <row r="478">
      <c r="A478" s="76"/>
      <c r="B478" s="97"/>
      <c r="C478" s="76"/>
      <c r="D478" s="99"/>
      <c r="E478" s="25"/>
      <c r="F478" s="25"/>
      <c r="G478" s="25"/>
      <c r="H478" s="76"/>
      <c r="I478" s="80"/>
      <c r="J478" s="76"/>
      <c r="K478" s="46"/>
      <c r="L478" s="76"/>
      <c r="M478" s="20"/>
      <c r="N478" s="20"/>
      <c r="O478" s="20"/>
      <c r="P478" s="20"/>
    </row>
    <row r="479">
      <c r="A479" s="49"/>
      <c r="B479" s="110"/>
      <c r="C479" s="49"/>
      <c r="D479" s="102"/>
      <c r="E479" s="25"/>
      <c r="F479" s="25"/>
      <c r="G479" s="25"/>
      <c r="H479" s="23"/>
      <c r="I479" s="89"/>
      <c r="J479" s="49"/>
      <c r="K479" s="30"/>
      <c r="L479" s="49"/>
      <c r="M479" s="20"/>
      <c r="N479" s="20"/>
      <c r="O479" s="20"/>
      <c r="P479" s="20"/>
    </row>
    <row r="480">
      <c r="A480" s="76"/>
      <c r="B480" s="97"/>
      <c r="C480" s="76"/>
      <c r="D480" s="99"/>
      <c r="E480" s="25"/>
      <c r="F480" s="25"/>
      <c r="G480" s="25"/>
      <c r="H480" s="76"/>
      <c r="I480" s="80"/>
      <c r="J480" s="76"/>
      <c r="K480" s="46"/>
      <c r="L480" s="76"/>
      <c r="M480" s="20"/>
      <c r="N480" s="20"/>
      <c r="O480" s="20"/>
      <c r="P480" s="20"/>
    </row>
    <row r="481">
      <c r="A481" s="49"/>
      <c r="B481" s="110"/>
      <c r="C481" s="49"/>
      <c r="D481" s="102"/>
      <c r="E481" s="25"/>
      <c r="F481" s="25"/>
      <c r="G481" s="25"/>
      <c r="H481" s="49"/>
      <c r="I481" s="89"/>
      <c r="J481" s="49"/>
      <c r="K481" s="30"/>
      <c r="L481" s="49"/>
      <c r="M481" s="20"/>
      <c r="N481" s="20"/>
      <c r="O481" s="20"/>
      <c r="P481" s="20"/>
    </row>
    <row r="482">
      <c r="A482" s="49"/>
      <c r="B482" s="110"/>
      <c r="C482" s="49"/>
      <c r="D482" s="102"/>
      <c r="E482" s="25"/>
      <c r="F482" s="25"/>
      <c r="G482" s="25"/>
      <c r="H482" s="49"/>
      <c r="I482" s="89"/>
      <c r="J482" s="49"/>
      <c r="K482" s="30"/>
      <c r="L482" s="49"/>
      <c r="M482" s="20"/>
      <c r="N482" s="20"/>
      <c r="O482" s="20"/>
      <c r="P482" s="20"/>
    </row>
    <row r="483">
      <c r="A483" s="49"/>
      <c r="B483" s="110"/>
      <c r="C483" s="49"/>
      <c r="D483" s="102"/>
      <c r="E483" s="25"/>
      <c r="F483" s="25"/>
      <c r="G483" s="25"/>
      <c r="H483" s="49"/>
      <c r="I483" s="89"/>
      <c r="J483" s="49"/>
      <c r="K483" s="30"/>
      <c r="L483" s="49"/>
      <c r="M483" s="20"/>
      <c r="N483" s="20"/>
      <c r="O483" s="20"/>
      <c r="P483" s="20"/>
    </row>
    <row r="484">
      <c r="A484" s="76"/>
      <c r="B484" s="97"/>
      <c r="C484" s="76"/>
      <c r="D484" s="99"/>
      <c r="E484" s="25"/>
      <c r="F484" s="25"/>
      <c r="G484" s="25"/>
      <c r="H484" s="76"/>
      <c r="I484" s="80"/>
      <c r="J484" s="10"/>
      <c r="K484" s="46"/>
      <c r="L484" s="76"/>
      <c r="M484" s="20"/>
      <c r="N484" s="20"/>
      <c r="O484" s="20"/>
      <c r="P484" s="20"/>
    </row>
    <row r="485">
      <c r="A485" s="49"/>
      <c r="B485" s="110"/>
      <c r="C485" s="49"/>
      <c r="D485" s="102"/>
      <c r="E485" s="25"/>
      <c r="F485" s="25"/>
      <c r="G485" s="25"/>
      <c r="H485" s="49"/>
      <c r="I485" s="89"/>
      <c r="J485" s="49"/>
      <c r="K485" s="36"/>
      <c r="L485" s="49"/>
      <c r="M485" s="20"/>
      <c r="N485" s="20"/>
      <c r="O485" s="20"/>
      <c r="P485" s="20"/>
    </row>
    <row r="486">
      <c r="A486" s="76"/>
      <c r="B486" s="97"/>
      <c r="C486" s="76"/>
      <c r="D486" s="99"/>
      <c r="E486" s="25"/>
      <c r="F486" s="25"/>
      <c r="G486" s="25"/>
      <c r="H486" s="76"/>
      <c r="I486" s="80"/>
      <c r="J486" s="76"/>
      <c r="K486" s="46"/>
      <c r="L486" s="76"/>
      <c r="M486" s="20"/>
      <c r="N486" s="20"/>
      <c r="O486" s="20"/>
      <c r="P486" s="20"/>
    </row>
    <row r="487">
      <c r="A487" s="49"/>
      <c r="B487" s="110"/>
      <c r="C487" s="49"/>
      <c r="D487" s="102"/>
      <c r="E487" s="25"/>
      <c r="F487" s="25"/>
      <c r="G487" s="25"/>
      <c r="H487" s="23"/>
      <c r="I487" s="27"/>
      <c r="J487" s="23"/>
      <c r="K487" s="30"/>
      <c r="L487" s="49"/>
      <c r="M487" s="20"/>
      <c r="N487" s="20"/>
      <c r="O487" s="20"/>
      <c r="P487" s="20"/>
    </row>
    <row r="488">
      <c r="A488" s="76"/>
      <c r="B488" s="97"/>
      <c r="C488" s="76"/>
      <c r="D488" s="99"/>
      <c r="E488" s="25"/>
      <c r="F488" s="25"/>
      <c r="G488" s="25"/>
      <c r="H488" s="76"/>
      <c r="I488" s="80"/>
      <c r="J488" s="76"/>
      <c r="K488" s="46"/>
      <c r="L488" s="76"/>
      <c r="M488" s="20"/>
      <c r="N488" s="20"/>
      <c r="O488" s="20"/>
      <c r="P488" s="20"/>
    </row>
    <row r="489">
      <c r="A489" s="49"/>
      <c r="B489" s="110"/>
      <c r="C489" s="49"/>
      <c r="D489" s="102"/>
      <c r="E489" s="25"/>
      <c r="F489" s="25"/>
      <c r="G489" s="25"/>
      <c r="H489" s="49"/>
      <c r="I489" s="89"/>
      <c r="J489" s="49"/>
      <c r="K489" s="36"/>
      <c r="L489" s="49"/>
      <c r="M489" s="20"/>
      <c r="N489" s="20"/>
      <c r="O489" s="20"/>
      <c r="P489" s="20"/>
    </row>
    <row r="490">
      <c r="A490" s="76"/>
      <c r="B490" s="97"/>
      <c r="C490" s="76"/>
      <c r="D490" s="99"/>
      <c r="E490" s="25"/>
      <c r="F490" s="25"/>
      <c r="G490" s="25"/>
      <c r="H490" s="76"/>
      <c r="I490" s="17"/>
      <c r="J490" s="10"/>
      <c r="K490" s="46"/>
      <c r="L490" s="10"/>
      <c r="M490" s="20"/>
      <c r="N490" s="20"/>
      <c r="O490" s="20"/>
      <c r="P490" s="20"/>
    </row>
    <row r="491">
      <c r="A491" s="49"/>
      <c r="B491" s="110"/>
      <c r="C491" s="49"/>
      <c r="D491" s="102"/>
      <c r="E491" s="25"/>
      <c r="F491" s="25"/>
      <c r="G491" s="25"/>
      <c r="H491" s="49"/>
      <c r="I491" s="89"/>
      <c r="J491" s="49"/>
      <c r="K491" s="30"/>
      <c r="L491" s="49"/>
      <c r="M491" s="20"/>
      <c r="N491" s="20"/>
      <c r="O491" s="20"/>
      <c r="P491" s="20"/>
    </row>
    <row r="492">
      <c r="A492" s="76"/>
      <c r="B492" s="97"/>
      <c r="C492" s="76"/>
      <c r="D492" s="99"/>
      <c r="E492" s="25"/>
      <c r="F492" s="25"/>
      <c r="G492" s="25"/>
      <c r="H492" s="76"/>
      <c r="I492" s="80"/>
      <c r="J492" s="76"/>
      <c r="K492" s="46"/>
      <c r="L492" s="76"/>
      <c r="M492" s="20"/>
      <c r="N492" s="20"/>
      <c r="O492" s="20"/>
      <c r="P492" s="20"/>
    </row>
    <row r="493">
      <c r="A493" s="49"/>
      <c r="B493" s="110"/>
      <c r="C493" s="49"/>
      <c r="D493" s="102"/>
      <c r="E493" s="25"/>
      <c r="F493" s="25"/>
      <c r="G493" s="25"/>
      <c r="H493" s="23"/>
      <c r="I493" s="27"/>
      <c r="J493" s="23"/>
      <c r="K493" s="30"/>
      <c r="L493" s="49"/>
      <c r="M493" s="20"/>
      <c r="N493" s="20"/>
      <c r="O493" s="20"/>
      <c r="P493" s="20"/>
    </row>
    <row r="494">
      <c r="A494" s="49"/>
      <c r="B494" s="110"/>
      <c r="C494" s="76"/>
      <c r="D494" s="99"/>
      <c r="E494" s="25"/>
      <c r="F494" s="25"/>
      <c r="G494" s="25"/>
      <c r="H494" s="10"/>
      <c r="I494" s="17"/>
      <c r="J494" s="76"/>
      <c r="K494" s="46"/>
      <c r="L494" s="76"/>
      <c r="M494" s="20"/>
      <c r="N494" s="20"/>
      <c r="O494" s="20"/>
      <c r="P494" s="20"/>
    </row>
    <row r="495">
      <c r="A495" s="49"/>
      <c r="B495" s="110"/>
      <c r="C495" s="49"/>
      <c r="D495" s="102"/>
      <c r="E495" s="25"/>
      <c r="F495" s="25"/>
      <c r="G495" s="25"/>
      <c r="H495" s="49"/>
      <c r="I495" s="89"/>
      <c r="J495" s="49"/>
      <c r="K495" s="30"/>
      <c r="L495" s="49"/>
      <c r="M495" s="20"/>
      <c r="N495" s="20"/>
      <c r="O495" s="20"/>
      <c r="P495" s="20"/>
    </row>
    <row r="496">
      <c r="A496" s="76"/>
      <c r="B496" s="97"/>
      <c r="C496" s="76"/>
      <c r="D496" s="99"/>
      <c r="E496" s="25"/>
      <c r="F496" s="25"/>
      <c r="G496" s="25"/>
      <c r="H496" s="76"/>
      <c r="I496" s="80"/>
      <c r="J496" s="76"/>
      <c r="K496" s="46"/>
      <c r="L496" s="76"/>
      <c r="M496" s="20"/>
      <c r="N496" s="20"/>
      <c r="O496" s="20"/>
      <c r="P496" s="20"/>
    </row>
    <row r="497">
      <c r="A497" s="49"/>
      <c r="B497" s="110"/>
      <c r="C497" s="49"/>
      <c r="D497" s="102"/>
      <c r="E497" s="25"/>
      <c r="F497" s="25"/>
      <c r="G497" s="25"/>
      <c r="H497" s="49"/>
      <c r="I497" s="89"/>
      <c r="J497" s="49"/>
      <c r="K497" s="36"/>
      <c r="L497" s="49"/>
      <c r="M497" s="20"/>
      <c r="N497" s="20"/>
      <c r="O497" s="20"/>
      <c r="P497" s="20"/>
    </row>
    <row r="498">
      <c r="A498" s="76"/>
      <c r="B498" s="97"/>
      <c r="C498" s="76"/>
      <c r="D498" s="99"/>
      <c r="E498" s="25"/>
      <c r="F498" s="25"/>
      <c r="G498" s="25"/>
      <c r="H498" s="76"/>
      <c r="I498" s="80"/>
      <c r="J498" s="76"/>
      <c r="K498" s="46"/>
      <c r="L498" s="76"/>
      <c r="M498" s="20"/>
      <c r="N498" s="20"/>
      <c r="O498" s="20"/>
      <c r="P498" s="20"/>
    </row>
    <row r="499">
      <c r="A499" s="49"/>
      <c r="B499" s="110"/>
      <c r="C499" s="49"/>
      <c r="D499" s="102"/>
      <c r="E499" s="25"/>
      <c r="F499" s="25"/>
      <c r="G499" s="25"/>
      <c r="H499" s="49"/>
      <c r="I499" s="89"/>
      <c r="J499" s="49"/>
      <c r="K499" s="30"/>
      <c r="L499" s="49"/>
      <c r="M499" s="20"/>
      <c r="N499" s="20"/>
      <c r="O499" s="20"/>
      <c r="P499" s="20"/>
    </row>
    <row r="500">
      <c r="A500" s="76"/>
      <c r="B500" s="97"/>
      <c r="C500" s="76"/>
      <c r="D500" s="99"/>
      <c r="E500" s="25"/>
      <c r="F500" s="25"/>
      <c r="G500" s="25"/>
      <c r="H500" s="76"/>
      <c r="I500" s="80"/>
      <c r="J500" s="76"/>
      <c r="K500" s="19"/>
      <c r="L500" s="76"/>
      <c r="M500" s="20"/>
      <c r="N500" s="20"/>
      <c r="O500" s="20"/>
      <c r="P500" s="20"/>
    </row>
    <row r="501">
      <c r="A501" s="49"/>
      <c r="B501" s="110"/>
      <c r="C501" s="49"/>
      <c r="D501" s="102"/>
      <c r="E501" s="25"/>
      <c r="F501" s="25"/>
      <c r="G501" s="25"/>
      <c r="H501" s="49"/>
      <c r="I501" s="89"/>
      <c r="J501" s="49"/>
      <c r="K501" s="36"/>
      <c r="L501" s="49"/>
      <c r="M501" s="20"/>
      <c r="N501" s="20"/>
      <c r="O501" s="20"/>
      <c r="P501" s="20"/>
    </row>
    <row r="502">
      <c r="A502" s="76"/>
      <c r="B502" s="97"/>
      <c r="C502" s="76"/>
      <c r="D502" s="99"/>
      <c r="E502" s="25"/>
      <c r="F502" s="25"/>
      <c r="G502" s="25"/>
      <c r="H502" s="76"/>
      <c r="I502" s="17"/>
      <c r="J502" s="10"/>
      <c r="K502" s="46"/>
      <c r="L502" s="76"/>
      <c r="M502" s="20"/>
      <c r="N502" s="20"/>
      <c r="O502" s="20"/>
      <c r="P502" s="20"/>
    </row>
    <row r="503">
      <c r="A503" s="49"/>
      <c r="B503" s="110"/>
      <c r="C503" s="49"/>
      <c r="D503" s="102"/>
      <c r="E503" s="25"/>
      <c r="F503" s="25"/>
      <c r="G503" s="25"/>
      <c r="H503" s="49"/>
      <c r="I503" s="89"/>
      <c r="J503" s="49"/>
      <c r="K503" s="30"/>
      <c r="L503" s="49"/>
      <c r="M503" s="20"/>
      <c r="N503" s="20"/>
      <c r="O503" s="20"/>
      <c r="P503" s="20"/>
    </row>
    <row r="504">
      <c r="A504" s="76"/>
      <c r="B504" s="97"/>
      <c r="C504" s="76"/>
      <c r="D504" s="99"/>
      <c r="E504" s="25"/>
      <c r="F504" s="25"/>
      <c r="G504" s="25"/>
      <c r="H504" s="76"/>
      <c r="I504" s="80"/>
      <c r="J504" s="76"/>
      <c r="K504" s="46"/>
      <c r="L504" s="76"/>
      <c r="M504" s="20"/>
      <c r="N504" s="20"/>
      <c r="O504" s="20"/>
      <c r="P504" s="20"/>
    </row>
    <row r="505">
      <c r="A505" s="49"/>
      <c r="B505" s="110"/>
      <c r="C505" s="49"/>
      <c r="D505" s="102"/>
      <c r="E505" s="25"/>
      <c r="F505" s="25"/>
      <c r="G505" s="25"/>
      <c r="H505" s="49"/>
      <c r="I505" s="27"/>
      <c r="J505" s="49"/>
      <c r="K505" s="30"/>
      <c r="L505" s="49"/>
      <c r="M505" s="20"/>
      <c r="N505" s="20"/>
      <c r="O505" s="20"/>
      <c r="P505" s="20"/>
    </row>
    <row r="506">
      <c r="A506" s="76"/>
      <c r="B506" s="97"/>
      <c r="C506" s="76"/>
      <c r="D506" s="99"/>
      <c r="E506" s="25"/>
      <c r="F506" s="25"/>
      <c r="G506" s="25"/>
      <c r="H506" s="76"/>
      <c r="I506" s="80"/>
      <c r="J506" s="76"/>
      <c r="K506" s="19"/>
      <c r="L506" s="76"/>
      <c r="M506" s="20"/>
      <c r="N506" s="20"/>
      <c r="O506" s="20"/>
      <c r="P506" s="20"/>
    </row>
    <row r="507">
      <c r="A507" s="76"/>
      <c r="B507" s="97"/>
      <c r="C507" s="76"/>
      <c r="D507" s="99"/>
      <c r="E507" s="25"/>
      <c r="F507" s="25"/>
      <c r="G507" s="25"/>
      <c r="H507" s="10"/>
      <c r="I507" s="17"/>
      <c r="J507" s="10"/>
      <c r="K507" s="46"/>
      <c r="L507" s="76"/>
      <c r="M507" s="20"/>
      <c r="N507" s="20"/>
      <c r="O507" s="20"/>
      <c r="P507" s="20"/>
    </row>
    <row r="508">
      <c r="A508" s="49"/>
      <c r="B508" s="110"/>
      <c r="C508" s="49"/>
      <c r="D508" s="102"/>
      <c r="E508" s="25"/>
      <c r="F508" s="25"/>
      <c r="G508" s="25"/>
      <c r="H508" s="23"/>
      <c r="I508" s="27"/>
      <c r="J508" s="23"/>
      <c r="K508" s="30"/>
      <c r="L508" s="49"/>
      <c r="M508" s="20"/>
      <c r="N508" s="20"/>
      <c r="O508" s="20"/>
      <c r="P508" s="20"/>
    </row>
    <row r="509">
      <c r="A509" s="76"/>
      <c r="B509" s="97"/>
      <c r="C509" s="76"/>
      <c r="D509" s="99"/>
      <c r="E509" s="25"/>
      <c r="F509" s="25"/>
      <c r="G509" s="25"/>
      <c r="H509" s="76"/>
      <c r="I509" s="80"/>
      <c r="J509" s="76"/>
      <c r="K509" s="19"/>
      <c r="L509" s="76"/>
      <c r="M509" s="20"/>
      <c r="N509" s="20"/>
      <c r="O509" s="20"/>
      <c r="P509" s="20"/>
    </row>
    <row r="510">
      <c r="A510" s="49"/>
      <c r="B510" s="110"/>
      <c r="C510" s="49"/>
      <c r="D510" s="102"/>
      <c r="E510" s="25"/>
      <c r="F510" s="25"/>
      <c r="G510" s="25"/>
      <c r="H510" s="49"/>
      <c r="I510" s="27"/>
      <c r="J510" s="49"/>
      <c r="K510" s="36"/>
      <c r="L510" s="49"/>
      <c r="M510" s="20"/>
      <c r="N510" s="20"/>
      <c r="O510" s="20"/>
      <c r="P510" s="20"/>
    </row>
    <row r="511">
      <c r="A511" s="76"/>
      <c r="B511" s="97"/>
      <c r="C511" s="76"/>
      <c r="D511" s="99"/>
      <c r="E511" s="25"/>
      <c r="F511" s="25"/>
      <c r="G511" s="25"/>
      <c r="H511" s="76"/>
      <c r="I511" s="80"/>
      <c r="J511" s="76"/>
      <c r="K511" s="46"/>
      <c r="L511" s="76"/>
      <c r="M511" s="20"/>
      <c r="N511" s="20"/>
      <c r="O511" s="20"/>
      <c r="P511" s="20"/>
    </row>
    <row r="512">
      <c r="A512" s="49"/>
      <c r="B512" s="110"/>
      <c r="C512" s="49"/>
      <c r="D512" s="102"/>
      <c r="E512" s="25"/>
      <c r="F512" s="25"/>
      <c r="G512" s="25"/>
      <c r="H512" s="23"/>
      <c r="I512" s="89"/>
      <c r="J512" s="49"/>
      <c r="K512" s="30"/>
      <c r="L512" s="49"/>
      <c r="M512" s="20"/>
      <c r="N512" s="20"/>
      <c r="O512" s="20"/>
      <c r="P512" s="20"/>
    </row>
    <row r="513">
      <c r="A513" s="76"/>
      <c r="B513" s="97"/>
      <c r="C513" s="76"/>
      <c r="D513" s="99"/>
      <c r="E513" s="25"/>
      <c r="F513" s="25"/>
      <c r="G513" s="25"/>
      <c r="H513" s="10"/>
      <c r="I513" s="80"/>
      <c r="J513" s="76"/>
      <c r="K513" s="46"/>
      <c r="L513" s="76"/>
      <c r="M513" s="20"/>
      <c r="N513" s="20"/>
      <c r="O513" s="20"/>
      <c r="P513" s="20"/>
    </row>
    <row r="514">
      <c r="A514" s="49"/>
      <c r="B514" s="110"/>
      <c r="C514" s="49"/>
      <c r="D514" s="102"/>
      <c r="E514" s="25"/>
      <c r="F514" s="25"/>
      <c r="G514" s="25"/>
      <c r="H514" s="49"/>
      <c r="I514" s="89"/>
      <c r="J514" s="49"/>
      <c r="K514" s="36"/>
      <c r="L514" s="49"/>
      <c r="M514" s="20"/>
      <c r="N514" s="20"/>
      <c r="O514" s="20"/>
      <c r="P514" s="20"/>
    </row>
    <row r="515">
      <c r="A515" s="49"/>
      <c r="B515" s="110"/>
      <c r="C515" s="49"/>
      <c r="D515" s="102"/>
      <c r="E515" s="25"/>
      <c r="F515" s="25"/>
      <c r="G515" s="25"/>
      <c r="H515" s="49"/>
      <c r="I515" s="89"/>
      <c r="J515" s="49"/>
      <c r="K515" s="30"/>
      <c r="L515" s="49"/>
      <c r="M515" s="20"/>
      <c r="N515" s="20"/>
      <c r="O515" s="20"/>
      <c r="P515" s="20"/>
    </row>
    <row r="516">
      <c r="A516" s="76"/>
      <c r="B516" s="97"/>
      <c r="C516" s="76"/>
      <c r="D516" s="99"/>
      <c r="E516" s="25"/>
      <c r="F516" s="25"/>
      <c r="G516" s="25"/>
      <c r="H516" s="10"/>
      <c r="I516" s="80"/>
      <c r="J516" s="76"/>
      <c r="K516" s="46"/>
      <c r="L516" s="76"/>
      <c r="M516" s="20"/>
      <c r="N516" s="20"/>
      <c r="O516" s="20"/>
      <c r="P516" s="20"/>
    </row>
    <row r="517">
      <c r="A517" s="49"/>
      <c r="B517" s="110"/>
      <c r="C517" s="49"/>
      <c r="D517" s="102"/>
      <c r="E517" s="25"/>
      <c r="F517" s="25"/>
      <c r="G517" s="25"/>
      <c r="H517" s="49"/>
      <c r="I517" s="89"/>
      <c r="J517" s="49"/>
      <c r="K517" s="30"/>
      <c r="L517" s="49"/>
      <c r="M517" s="20"/>
      <c r="N517" s="20"/>
      <c r="O517" s="20"/>
      <c r="P517" s="20"/>
    </row>
    <row r="518">
      <c r="A518" s="76"/>
      <c r="B518" s="97"/>
      <c r="C518" s="76"/>
      <c r="D518" s="99"/>
      <c r="E518" s="25"/>
      <c r="F518" s="25"/>
      <c r="G518" s="25"/>
      <c r="H518" s="76"/>
      <c r="I518" s="80"/>
      <c r="J518" s="76"/>
      <c r="K518" s="46"/>
      <c r="L518" s="76"/>
      <c r="M518" s="20"/>
      <c r="N518" s="20"/>
      <c r="O518" s="20"/>
      <c r="P518" s="20"/>
    </row>
    <row r="519">
      <c r="A519" s="49"/>
      <c r="B519" s="110"/>
      <c r="C519" s="49"/>
      <c r="D519" s="102"/>
      <c r="E519" s="25"/>
      <c r="F519" s="25"/>
      <c r="G519" s="25"/>
      <c r="H519" s="49"/>
      <c r="I519" s="89"/>
      <c r="J519" s="49"/>
      <c r="K519" s="30"/>
      <c r="L519" s="49"/>
      <c r="M519" s="20"/>
      <c r="N519" s="20"/>
      <c r="O519" s="20"/>
      <c r="P519" s="20"/>
    </row>
    <row r="520">
      <c r="A520" s="76"/>
      <c r="B520" s="97"/>
      <c r="C520" s="76"/>
      <c r="D520" s="99"/>
      <c r="E520" s="25"/>
      <c r="F520" s="25"/>
      <c r="G520" s="25"/>
      <c r="H520" s="76"/>
      <c r="I520" s="80"/>
      <c r="J520" s="76"/>
      <c r="K520" s="46"/>
      <c r="L520" s="76"/>
      <c r="M520" s="20"/>
      <c r="N520" s="20"/>
      <c r="O520" s="20"/>
      <c r="P520" s="20"/>
    </row>
    <row r="521">
      <c r="A521" s="49"/>
      <c r="B521" s="110"/>
      <c r="C521" s="49"/>
      <c r="D521" s="102"/>
      <c r="E521" s="25"/>
      <c r="F521" s="25"/>
      <c r="G521" s="25"/>
      <c r="H521" s="49"/>
      <c r="I521" s="89"/>
      <c r="J521" s="49"/>
      <c r="K521" s="30"/>
      <c r="L521" s="49"/>
      <c r="M521" s="20"/>
      <c r="N521" s="20"/>
      <c r="O521" s="20"/>
      <c r="P521" s="20"/>
    </row>
    <row r="522">
      <c r="A522" s="76"/>
      <c r="B522" s="97"/>
      <c r="C522" s="76"/>
      <c r="D522" s="99"/>
      <c r="E522" s="25"/>
      <c r="F522" s="25"/>
      <c r="G522" s="25"/>
      <c r="H522" s="76"/>
      <c r="I522" s="17"/>
      <c r="J522" s="10"/>
      <c r="K522" s="46"/>
      <c r="L522" s="76"/>
      <c r="M522" s="20"/>
      <c r="N522" s="20"/>
      <c r="O522" s="20"/>
      <c r="P522" s="20"/>
    </row>
    <row r="523">
      <c r="A523" s="49"/>
      <c r="B523" s="110"/>
      <c r="C523" s="49"/>
      <c r="D523" s="102"/>
      <c r="E523" s="25"/>
      <c r="F523" s="25"/>
      <c r="G523" s="25"/>
      <c r="H523" s="49"/>
      <c r="I523" s="89"/>
      <c r="J523" s="23"/>
      <c r="K523" s="30"/>
      <c r="L523" s="49"/>
      <c r="M523" s="20"/>
      <c r="N523" s="20"/>
      <c r="O523" s="20"/>
      <c r="P523" s="20"/>
    </row>
    <row r="524">
      <c r="A524" s="76"/>
      <c r="B524" s="121"/>
      <c r="C524" s="76"/>
      <c r="D524" s="99"/>
      <c r="E524" s="25"/>
      <c r="F524" s="25"/>
      <c r="G524" s="25"/>
      <c r="H524" s="76"/>
      <c r="I524" s="17"/>
      <c r="J524" s="76"/>
      <c r="K524" s="46"/>
      <c r="L524" s="76"/>
      <c r="M524" s="20"/>
      <c r="N524" s="20"/>
      <c r="O524" s="20"/>
      <c r="P524" s="20"/>
    </row>
    <row r="525">
      <c r="A525" s="49"/>
      <c r="B525" s="110"/>
      <c r="C525" s="49"/>
      <c r="D525" s="102"/>
      <c r="E525" s="25"/>
      <c r="F525" s="25"/>
      <c r="G525" s="25"/>
      <c r="H525" s="49"/>
      <c r="I525" s="89"/>
      <c r="J525" s="49"/>
      <c r="K525" s="30"/>
      <c r="L525" s="49"/>
      <c r="M525" s="20"/>
      <c r="N525" s="20"/>
      <c r="O525" s="20"/>
      <c r="P525" s="20"/>
    </row>
    <row r="526">
      <c r="A526" s="76"/>
      <c r="B526" s="97"/>
      <c r="C526" s="76"/>
      <c r="D526" s="99"/>
      <c r="E526" s="25"/>
      <c r="F526" s="25"/>
      <c r="G526" s="25"/>
      <c r="H526" s="76"/>
      <c r="I526" s="80"/>
      <c r="J526" s="76"/>
      <c r="K526" s="46"/>
      <c r="L526" s="76"/>
      <c r="M526" s="20"/>
      <c r="N526" s="20"/>
      <c r="O526" s="20"/>
      <c r="P526" s="20"/>
    </row>
    <row r="527">
      <c r="A527" s="49"/>
      <c r="B527" s="110"/>
      <c r="C527" s="49"/>
      <c r="D527" s="102"/>
      <c r="E527" s="25"/>
      <c r="F527" s="25"/>
      <c r="G527" s="25"/>
      <c r="H527" s="23"/>
      <c r="I527" s="27"/>
      <c r="J527" s="23"/>
      <c r="K527" s="30"/>
      <c r="L527" s="49"/>
      <c r="M527" s="20"/>
      <c r="N527" s="20"/>
      <c r="O527" s="20"/>
      <c r="P527" s="20"/>
    </row>
    <row r="528">
      <c r="A528" s="76"/>
      <c r="B528" s="97"/>
      <c r="C528" s="76"/>
      <c r="D528" s="99"/>
      <c r="E528" s="25"/>
      <c r="F528" s="25"/>
      <c r="G528" s="25"/>
      <c r="H528" s="76"/>
      <c r="I528" s="80"/>
      <c r="J528" s="129"/>
      <c r="K528" s="46"/>
      <c r="L528" s="76"/>
      <c r="M528" s="20"/>
      <c r="N528" s="20"/>
      <c r="O528" s="20"/>
      <c r="P528" s="20"/>
    </row>
    <row r="529">
      <c r="A529" s="49"/>
      <c r="B529" s="110"/>
      <c r="C529" s="49"/>
      <c r="D529" s="102"/>
      <c r="E529" s="25"/>
      <c r="F529" s="25"/>
      <c r="G529" s="25"/>
      <c r="H529" s="49"/>
      <c r="I529" s="89"/>
      <c r="J529" s="49"/>
      <c r="K529" s="36"/>
      <c r="L529" s="49"/>
      <c r="M529" s="20"/>
      <c r="N529" s="20"/>
      <c r="O529" s="20"/>
      <c r="P529" s="20"/>
    </row>
    <row r="530">
      <c r="A530" s="76"/>
      <c r="B530" s="97"/>
      <c r="C530" s="76"/>
      <c r="D530" s="99"/>
      <c r="E530" s="25"/>
      <c r="F530" s="25"/>
      <c r="G530" s="25"/>
      <c r="H530" s="76"/>
      <c r="I530" s="80"/>
      <c r="J530" s="76"/>
      <c r="K530" s="46"/>
      <c r="L530" s="76"/>
      <c r="M530" s="20"/>
      <c r="N530" s="20"/>
      <c r="O530" s="20"/>
      <c r="P530" s="20"/>
    </row>
    <row r="531">
      <c r="A531" s="49"/>
      <c r="B531" s="110"/>
      <c r="C531" s="49"/>
      <c r="D531" s="102"/>
      <c r="E531" s="25"/>
      <c r="F531" s="25"/>
      <c r="G531" s="25"/>
      <c r="H531" s="49"/>
      <c r="I531" s="89"/>
      <c r="J531" s="49"/>
      <c r="K531" s="30"/>
      <c r="L531" s="49"/>
      <c r="M531" s="20"/>
      <c r="N531" s="20"/>
      <c r="O531" s="20"/>
      <c r="P531" s="20"/>
    </row>
    <row r="532">
      <c r="A532" s="76"/>
      <c r="B532" s="97"/>
      <c r="C532" s="76"/>
      <c r="D532" s="99"/>
      <c r="E532" s="25"/>
      <c r="F532" s="25"/>
      <c r="G532" s="25"/>
      <c r="H532" s="76"/>
      <c r="I532" s="80"/>
      <c r="J532" s="76"/>
      <c r="K532" s="19"/>
      <c r="L532" s="10"/>
      <c r="M532" s="20"/>
      <c r="N532" s="20"/>
      <c r="O532" s="20"/>
      <c r="P532" s="20"/>
    </row>
    <row r="533">
      <c r="A533" s="49"/>
      <c r="B533" s="110"/>
      <c r="C533" s="49"/>
      <c r="D533" s="102"/>
      <c r="E533" s="25"/>
      <c r="F533" s="25"/>
      <c r="G533" s="25"/>
      <c r="H533" s="23"/>
      <c r="I533" s="27"/>
      <c r="J533" s="23"/>
      <c r="K533" s="30"/>
      <c r="L533" s="49"/>
      <c r="M533" s="20"/>
      <c r="N533" s="20"/>
      <c r="O533" s="20"/>
      <c r="P533" s="20"/>
    </row>
    <row r="534">
      <c r="A534" s="76"/>
      <c r="B534" s="97"/>
      <c r="C534" s="76"/>
      <c r="D534" s="99"/>
      <c r="E534" s="25"/>
      <c r="F534" s="25"/>
      <c r="G534" s="25"/>
      <c r="H534" s="76"/>
      <c r="I534" s="80"/>
      <c r="J534" s="76"/>
      <c r="K534" s="46"/>
      <c r="L534" s="76"/>
      <c r="M534" s="20"/>
      <c r="N534" s="20"/>
      <c r="O534" s="20"/>
      <c r="P534" s="20"/>
    </row>
    <row r="535">
      <c r="A535" s="49"/>
      <c r="B535" s="110"/>
      <c r="C535" s="49"/>
      <c r="D535" s="102"/>
      <c r="E535" s="25"/>
      <c r="F535" s="25"/>
      <c r="G535" s="25"/>
      <c r="H535" s="49"/>
      <c r="I535" s="89"/>
      <c r="J535" s="49"/>
      <c r="K535" s="30"/>
      <c r="L535" s="76"/>
      <c r="M535" s="20"/>
      <c r="N535" s="20"/>
      <c r="O535" s="20"/>
      <c r="P535" s="20"/>
    </row>
    <row r="536">
      <c r="A536" s="76"/>
      <c r="B536" s="97"/>
      <c r="C536" s="76"/>
      <c r="D536" s="99"/>
      <c r="E536" s="25"/>
      <c r="F536" s="25"/>
      <c r="G536" s="25"/>
      <c r="H536" s="10"/>
      <c r="I536" s="17"/>
      <c r="J536" s="76"/>
      <c r="K536" s="46"/>
      <c r="L536" s="76"/>
      <c r="M536" s="20"/>
      <c r="N536" s="20"/>
      <c r="O536" s="20"/>
      <c r="P536" s="20"/>
    </row>
    <row r="537">
      <c r="A537" s="49"/>
      <c r="B537" s="110"/>
      <c r="C537" s="49"/>
      <c r="D537" s="102"/>
      <c r="E537" s="25"/>
      <c r="F537" s="25"/>
      <c r="G537" s="25"/>
      <c r="H537" s="23"/>
      <c r="I537" s="89"/>
      <c r="J537" s="23"/>
      <c r="K537" s="30"/>
      <c r="L537" s="49"/>
      <c r="M537" s="20"/>
      <c r="N537" s="20"/>
      <c r="O537" s="20"/>
      <c r="P537" s="20"/>
    </row>
    <row r="538">
      <c r="A538" s="76"/>
      <c r="B538" s="97"/>
      <c r="C538" s="76"/>
      <c r="D538" s="99"/>
      <c r="E538" s="25"/>
      <c r="F538" s="25"/>
      <c r="G538" s="25"/>
      <c r="H538" s="76"/>
      <c r="I538" s="80"/>
      <c r="J538" s="76"/>
      <c r="K538" s="46"/>
      <c r="L538" s="76"/>
      <c r="M538" s="20"/>
      <c r="N538" s="20"/>
      <c r="O538" s="20"/>
      <c r="P538" s="20"/>
    </row>
    <row r="539">
      <c r="A539" s="49"/>
      <c r="B539" s="110"/>
      <c r="C539" s="49"/>
      <c r="D539" s="102"/>
      <c r="E539" s="25"/>
      <c r="F539" s="25"/>
      <c r="G539" s="25"/>
      <c r="H539" s="49"/>
      <c r="I539" s="89"/>
      <c r="J539" s="49"/>
      <c r="K539" s="36"/>
      <c r="L539" s="49"/>
      <c r="M539" s="20"/>
      <c r="N539" s="20"/>
      <c r="O539" s="20"/>
      <c r="P539" s="20"/>
    </row>
    <row r="540">
      <c r="A540" s="76"/>
      <c r="B540" s="97"/>
      <c r="C540" s="76"/>
      <c r="D540" s="99"/>
      <c r="E540" s="25"/>
      <c r="F540" s="25"/>
      <c r="G540" s="25"/>
      <c r="H540" s="76"/>
      <c r="I540" s="80"/>
      <c r="J540" s="129"/>
      <c r="K540" s="19"/>
      <c r="L540" s="76"/>
      <c r="M540" s="20"/>
      <c r="N540" s="20"/>
      <c r="O540" s="20"/>
      <c r="P540" s="20"/>
    </row>
    <row r="541">
      <c r="A541" s="49"/>
      <c r="B541" s="110"/>
      <c r="C541" s="49"/>
      <c r="D541" s="102"/>
      <c r="E541" s="25"/>
      <c r="F541" s="25"/>
      <c r="G541" s="25"/>
      <c r="H541" s="23"/>
      <c r="I541" s="27"/>
      <c r="J541" s="49"/>
      <c r="K541" s="30"/>
      <c r="L541" s="49"/>
      <c r="M541" s="20"/>
      <c r="N541" s="20"/>
      <c r="O541" s="20"/>
      <c r="P541" s="20"/>
    </row>
    <row r="542">
      <c r="A542" s="76"/>
      <c r="B542" s="121"/>
      <c r="C542" s="76"/>
      <c r="D542" s="99"/>
      <c r="E542" s="25"/>
      <c r="F542" s="25"/>
      <c r="G542" s="25"/>
      <c r="H542" s="76"/>
      <c r="I542" s="80"/>
      <c r="J542" s="76"/>
      <c r="K542" s="46"/>
      <c r="L542" s="76"/>
      <c r="M542" s="20"/>
      <c r="N542" s="20"/>
      <c r="O542" s="20"/>
      <c r="P542" s="20"/>
    </row>
    <row r="543">
      <c r="A543" s="49"/>
      <c r="B543" s="110"/>
      <c r="C543" s="49"/>
      <c r="D543" s="102"/>
      <c r="E543" s="25"/>
      <c r="F543" s="25"/>
      <c r="G543" s="25"/>
      <c r="H543" s="49"/>
      <c r="I543" s="89"/>
      <c r="J543" s="49"/>
      <c r="K543" s="30"/>
      <c r="L543" s="76"/>
      <c r="M543" s="20"/>
      <c r="N543" s="20"/>
      <c r="O543" s="20"/>
      <c r="P543" s="20"/>
    </row>
    <row r="544">
      <c r="A544" s="76"/>
      <c r="B544" s="97"/>
      <c r="C544" s="76"/>
      <c r="D544" s="99"/>
      <c r="E544" s="25"/>
      <c r="F544" s="25"/>
      <c r="G544" s="25"/>
      <c r="H544" s="76"/>
      <c r="I544" s="80"/>
      <c r="J544" s="76"/>
      <c r="K544" s="19"/>
      <c r="L544" s="76"/>
      <c r="M544" s="20"/>
      <c r="N544" s="20"/>
      <c r="O544" s="20"/>
      <c r="P544" s="20"/>
    </row>
    <row r="545">
      <c r="A545" s="49"/>
      <c r="B545" s="110"/>
      <c r="C545" s="49"/>
      <c r="D545" s="102"/>
      <c r="E545" s="25"/>
      <c r="F545" s="25"/>
      <c r="G545" s="25"/>
      <c r="H545" s="49"/>
      <c r="I545" s="89"/>
      <c r="J545" s="49"/>
      <c r="K545" s="30"/>
      <c r="L545" s="49"/>
      <c r="M545" s="20"/>
      <c r="N545" s="20"/>
      <c r="O545" s="20"/>
      <c r="P545" s="20"/>
    </row>
    <row r="546">
      <c r="A546" s="76"/>
      <c r="B546" s="97"/>
      <c r="C546" s="76"/>
      <c r="D546" s="99"/>
      <c r="E546" s="25"/>
      <c r="F546" s="25"/>
      <c r="G546" s="25"/>
      <c r="H546" s="10"/>
      <c r="I546" s="17"/>
      <c r="J546" s="10"/>
      <c r="K546" s="46"/>
      <c r="L546" s="76"/>
      <c r="M546" s="20"/>
      <c r="N546" s="20"/>
      <c r="O546" s="20"/>
      <c r="P546" s="20"/>
    </row>
    <row r="547">
      <c r="A547" s="49"/>
      <c r="B547" s="110"/>
      <c r="C547" s="49"/>
      <c r="D547" s="102"/>
      <c r="E547" s="25"/>
      <c r="F547" s="25"/>
      <c r="G547" s="25"/>
      <c r="H547" s="76"/>
      <c r="I547" s="89"/>
      <c r="J547" s="49"/>
      <c r="K547" s="36"/>
      <c r="L547" s="49"/>
      <c r="M547" s="20"/>
      <c r="N547" s="20"/>
      <c r="O547" s="20"/>
      <c r="P547" s="20"/>
    </row>
    <row r="548">
      <c r="A548" s="76"/>
      <c r="B548" s="97"/>
      <c r="C548" s="76"/>
      <c r="D548" s="99"/>
      <c r="E548" s="25"/>
      <c r="F548" s="25"/>
      <c r="G548" s="25"/>
      <c r="H548" s="76"/>
      <c r="I548" s="80"/>
      <c r="J548" s="76"/>
      <c r="K548" s="46"/>
      <c r="L548" s="76"/>
      <c r="M548" s="20"/>
      <c r="N548" s="20"/>
      <c r="O548" s="20"/>
      <c r="P548" s="20"/>
    </row>
    <row r="549">
      <c r="A549" s="76"/>
      <c r="B549" s="97"/>
      <c r="C549" s="76"/>
      <c r="D549" s="99"/>
      <c r="E549" s="25"/>
      <c r="F549" s="25"/>
      <c r="G549" s="25"/>
      <c r="H549" s="76"/>
      <c r="I549" s="80"/>
      <c r="J549" s="76"/>
      <c r="K549" s="46"/>
      <c r="L549" s="76"/>
      <c r="M549" s="20"/>
      <c r="N549" s="20"/>
      <c r="O549" s="20"/>
      <c r="P549" s="20"/>
    </row>
    <row r="550">
      <c r="A550" s="49"/>
      <c r="B550" s="110"/>
      <c r="C550" s="49"/>
      <c r="D550" s="102"/>
      <c r="E550" s="25"/>
      <c r="F550" s="25"/>
      <c r="G550" s="25"/>
      <c r="H550" s="49"/>
      <c r="I550" s="89"/>
      <c r="J550" s="49"/>
      <c r="K550" s="30"/>
      <c r="L550" s="49"/>
      <c r="M550" s="20"/>
      <c r="N550" s="20"/>
      <c r="O550" s="20"/>
      <c r="P550" s="20"/>
    </row>
    <row r="551">
      <c r="A551" s="49"/>
      <c r="B551" s="110"/>
      <c r="C551" s="49"/>
      <c r="D551" s="102"/>
      <c r="E551" s="25"/>
      <c r="F551" s="25"/>
      <c r="G551" s="25"/>
      <c r="H551" s="49"/>
      <c r="I551" s="89"/>
      <c r="J551" s="49"/>
      <c r="K551" s="30"/>
      <c r="L551" s="49"/>
      <c r="M551" s="20"/>
      <c r="N551" s="20"/>
      <c r="O551" s="20"/>
      <c r="P551" s="20"/>
    </row>
    <row r="552">
      <c r="A552" s="76"/>
      <c r="B552" s="97"/>
      <c r="C552" s="76"/>
      <c r="D552" s="99"/>
      <c r="E552" s="25"/>
      <c r="F552" s="25"/>
      <c r="G552" s="25"/>
      <c r="H552" s="76"/>
      <c r="I552" s="80"/>
      <c r="J552" s="76"/>
      <c r="K552" s="46"/>
      <c r="L552" s="76"/>
      <c r="M552" s="20"/>
      <c r="N552" s="20"/>
      <c r="O552" s="20"/>
      <c r="P552" s="20"/>
    </row>
    <row r="553">
      <c r="A553" s="49"/>
      <c r="B553" s="110"/>
      <c r="C553" s="49"/>
      <c r="D553" s="102"/>
      <c r="E553" s="25"/>
      <c r="F553" s="25"/>
      <c r="G553" s="25"/>
      <c r="H553" s="49"/>
      <c r="I553" s="89"/>
      <c r="J553" s="49"/>
      <c r="K553" s="30"/>
      <c r="L553" s="49"/>
      <c r="M553" s="20"/>
      <c r="N553" s="20"/>
      <c r="O553" s="20"/>
      <c r="P553" s="20"/>
    </row>
    <row r="554">
      <c r="A554" s="76"/>
      <c r="B554" s="97"/>
      <c r="C554" s="76"/>
      <c r="D554" s="99"/>
      <c r="E554" s="25"/>
      <c r="F554" s="25"/>
      <c r="G554" s="25"/>
      <c r="H554" s="76"/>
      <c r="I554" s="17"/>
      <c r="J554" s="10"/>
      <c r="K554" s="46"/>
      <c r="L554" s="76"/>
      <c r="M554" s="20"/>
      <c r="N554" s="20"/>
      <c r="O554" s="20"/>
      <c r="P554" s="20"/>
    </row>
    <row r="555">
      <c r="A555" s="49"/>
      <c r="B555" s="110"/>
      <c r="C555" s="49"/>
      <c r="D555" s="102"/>
      <c r="E555" s="25"/>
      <c r="F555" s="25"/>
      <c r="G555" s="25"/>
      <c r="H555" s="49"/>
      <c r="I555" s="89"/>
      <c r="J555" s="49"/>
      <c r="K555" s="30"/>
      <c r="L555" s="49"/>
      <c r="M555" s="20"/>
      <c r="N555" s="20"/>
      <c r="O555" s="20"/>
      <c r="P555" s="20"/>
    </row>
    <row r="556">
      <c r="A556" s="76"/>
      <c r="B556" s="133"/>
      <c r="C556" s="76"/>
      <c r="D556" s="99"/>
      <c r="E556" s="25"/>
      <c r="F556" s="25"/>
      <c r="G556" s="25"/>
      <c r="H556" s="76"/>
      <c r="I556" s="80"/>
      <c r="J556" s="76"/>
      <c r="K556" s="46"/>
      <c r="L556" s="76"/>
      <c r="M556" s="20"/>
      <c r="N556" s="20"/>
      <c r="O556" s="20"/>
      <c r="P556" s="20"/>
    </row>
    <row r="557">
      <c r="A557" s="49"/>
      <c r="B557" s="110"/>
      <c r="C557" s="49"/>
      <c r="D557" s="102"/>
      <c r="E557" s="25"/>
      <c r="F557" s="25"/>
      <c r="G557" s="25"/>
      <c r="H557" s="49"/>
      <c r="I557" s="89"/>
      <c r="J557" s="49"/>
      <c r="K557" s="30"/>
      <c r="L557" s="49"/>
      <c r="M557" s="20"/>
      <c r="N557" s="20"/>
      <c r="O557" s="20"/>
      <c r="P557" s="20"/>
    </row>
    <row r="558">
      <c r="A558" s="76"/>
      <c r="B558" s="134"/>
      <c r="C558" s="76"/>
      <c r="D558" s="99"/>
      <c r="E558" s="25"/>
      <c r="F558" s="25"/>
      <c r="G558" s="25"/>
      <c r="H558" s="76"/>
      <c r="I558" s="80"/>
      <c r="J558" s="76"/>
      <c r="K558" s="46"/>
      <c r="L558" s="76"/>
      <c r="M558" s="20"/>
      <c r="N558" s="20"/>
      <c r="O558" s="20"/>
      <c r="P558" s="20"/>
    </row>
    <row r="559">
      <c r="A559" s="49"/>
      <c r="B559" s="110"/>
      <c r="C559" s="49"/>
      <c r="D559" s="102"/>
      <c r="E559" s="25"/>
      <c r="F559" s="25"/>
      <c r="G559" s="25"/>
      <c r="H559" s="49"/>
      <c r="I559" s="89"/>
      <c r="J559" s="49"/>
      <c r="K559" s="30"/>
      <c r="L559" s="49"/>
      <c r="M559" s="20"/>
      <c r="N559" s="20"/>
      <c r="O559" s="20"/>
      <c r="P559" s="20"/>
    </row>
    <row r="560">
      <c r="A560" s="76"/>
      <c r="B560" s="97"/>
      <c r="C560" s="76"/>
      <c r="D560" s="99"/>
      <c r="E560" s="25"/>
      <c r="F560" s="25"/>
      <c r="G560" s="25"/>
      <c r="H560" s="76"/>
      <c r="I560" s="80"/>
      <c r="J560" s="76"/>
      <c r="K560" s="46"/>
      <c r="L560" s="76"/>
      <c r="M560" s="20"/>
      <c r="N560" s="20"/>
      <c r="O560" s="20"/>
      <c r="P560" s="20"/>
    </row>
    <row r="561">
      <c r="A561" s="49"/>
      <c r="B561" s="110"/>
      <c r="C561" s="49"/>
      <c r="D561" s="102"/>
      <c r="E561" s="25"/>
      <c r="F561" s="25"/>
      <c r="G561" s="25"/>
      <c r="H561" s="49"/>
      <c r="I561" s="89"/>
      <c r="J561" s="49"/>
      <c r="K561" s="36"/>
      <c r="L561" s="49"/>
      <c r="M561" s="20"/>
      <c r="N561" s="20"/>
      <c r="O561" s="20"/>
      <c r="P561" s="20"/>
    </row>
    <row r="562">
      <c r="A562" s="76"/>
      <c r="B562" s="97"/>
      <c r="C562" s="76"/>
      <c r="D562" s="99"/>
      <c r="E562" s="25"/>
      <c r="F562" s="25"/>
      <c r="G562" s="25"/>
      <c r="H562" s="76"/>
      <c r="I562" s="80"/>
      <c r="J562" s="76"/>
      <c r="K562" s="19"/>
      <c r="L562" s="76"/>
      <c r="M562" s="20"/>
      <c r="N562" s="20"/>
      <c r="O562" s="20"/>
      <c r="P562" s="20"/>
    </row>
    <row r="563">
      <c r="A563" s="49"/>
      <c r="B563" s="110"/>
      <c r="C563" s="49"/>
      <c r="D563" s="102"/>
      <c r="E563" s="25"/>
      <c r="F563" s="25"/>
      <c r="G563" s="25"/>
      <c r="H563" s="49"/>
      <c r="I563" s="89"/>
      <c r="J563" s="49"/>
      <c r="K563" s="36"/>
      <c r="L563" s="49"/>
      <c r="M563" s="20"/>
      <c r="N563" s="20"/>
      <c r="O563" s="20"/>
      <c r="P563" s="20"/>
    </row>
    <row r="564">
      <c r="A564" s="76"/>
      <c r="B564" s="97"/>
      <c r="C564" s="76"/>
      <c r="D564" s="99"/>
      <c r="E564" s="25"/>
      <c r="F564" s="25"/>
      <c r="G564" s="25"/>
      <c r="H564" s="76"/>
      <c r="I564" s="80"/>
      <c r="J564" s="76"/>
      <c r="K564" s="19"/>
      <c r="L564" s="76"/>
      <c r="M564" s="20"/>
      <c r="N564" s="20"/>
      <c r="O564" s="20"/>
      <c r="P564" s="20"/>
    </row>
    <row r="565">
      <c r="A565" s="49"/>
      <c r="B565" s="110"/>
      <c r="C565" s="49"/>
      <c r="D565" s="102"/>
      <c r="E565" s="25"/>
      <c r="F565" s="25"/>
      <c r="G565" s="25"/>
      <c r="H565" s="49"/>
      <c r="I565" s="89"/>
      <c r="J565" s="49"/>
      <c r="K565" s="30"/>
      <c r="L565" s="49"/>
      <c r="M565" s="20"/>
      <c r="N565" s="20"/>
      <c r="O565" s="20"/>
      <c r="P565" s="20"/>
    </row>
    <row r="566">
      <c r="A566" s="76"/>
      <c r="B566" s="97"/>
      <c r="C566" s="76"/>
      <c r="D566" s="99"/>
      <c r="E566" s="25"/>
      <c r="F566" s="25"/>
      <c r="G566" s="25"/>
      <c r="H566" s="76"/>
      <c r="I566" s="80"/>
      <c r="J566" s="76"/>
      <c r="K566" s="46"/>
      <c r="L566" s="76"/>
      <c r="M566" s="20"/>
      <c r="N566" s="20"/>
      <c r="O566" s="20"/>
      <c r="P566" s="20"/>
    </row>
    <row r="567">
      <c r="A567" s="49"/>
      <c r="B567" s="110"/>
      <c r="C567" s="49"/>
      <c r="D567" s="102"/>
      <c r="E567" s="25"/>
      <c r="F567" s="25"/>
      <c r="G567" s="25"/>
      <c r="H567" s="49"/>
      <c r="I567" s="27"/>
      <c r="J567" s="23"/>
      <c r="K567" s="30"/>
      <c r="L567" s="49"/>
      <c r="M567" s="20"/>
      <c r="N567" s="20"/>
      <c r="O567" s="20"/>
      <c r="P567" s="20"/>
    </row>
    <row r="568">
      <c r="A568" s="76"/>
      <c r="B568" s="97"/>
      <c r="C568" s="76"/>
      <c r="D568" s="99"/>
      <c r="E568" s="25"/>
      <c r="F568" s="25"/>
      <c r="G568" s="25"/>
      <c r="H568" s="76"/>
      <c r="I568" s="80"/>
      <c r="J568" s="76"/>
      <c r="K568" s="19"/>
      <c r="L568" s="76"/>
      <c r="M568" s="20"/>
      <c r="N568" s="20"/>
      <c r="O568" s="20"/>
      <c r="P568" s="20"/>
    </row>
    <row r="569">
      <c r="A569" s="49"/>
      <c r="B569" s="110"/>
      <c r="C569" s="49"/>
      <c r="D569" s="102"/>
      <c r="E569" s="25"/>
      <c r="F569" s="25"/>
      <c r="G569" s="25"/>
      <c r="H569" s="49"/>
      <c r="I569" s="27"/>
      <c r="J569" s="49"/>
      <c r="K569" s="30"/>
      <c r="L569" s="23"/>
      <c r="M569" s="20"/>
      <c r="N569" s="20"/>
      <c r="O569" s="20"/>
      <c r="P569" s="20"/>
    </row>
    <row r="570">
      <c r="A570" s="76"/>
      <c r="B570" s="97"/>
      <c r="C570" s="76"/>
      <c r="D570" s="99"/>
      <c r="E570" s="25"/>
      <c r="F570" s="25"/>
      <c r="G570" s="25"/>
      <c r="H570" s="76"/>
      <c r="I570" s="80"/>
      <c r="J570" s="76"/>
      <c r="K570" s="46"/>
      <c r="L570" s="76"/>
      <c r="M570" s="20"/>
      <c r="N570" s="20"/>
      <c r="O570" s="20"/>
      <c r="P570" s="20"/>
    </row>
    <row r="571">
      <c r="A571" s="49"/>
      <c r="B571" s="110"/>
      <c r="C571" s="49"/>
      <c r="D571" s="102"/>
      <c r="E571" s="25"/>
      <c r="F571" s="25"/>
      <c r="G571" s="25"/>
      <c r="H571" s="49"/>
      <c r="I571" s="89"/>
      <c r="J571" s="49"/>
      <c r="K571" s="30"/>
      <c r="L571" s="49"/>
      <c r="M571" s="20"/>
      <c r="N571" s="20"/>
      <c r="O571" s="20"/>
      <c r="P571" s="20"/>
    </row>
    <row r="572">
      <c r="A572" s="76"/>
      <c r="B572" s="97"/>
      <c r="C572" s="76"/>
      <c r="D572" s="99"/>
      <c r="E572" s="25"/>
      <c r="F572" s="25"/>
      <c r="G572" s="25"/>
      <c r="H572" s="76"/>
      <c r="I572" s="80"/>
      <c r="J572" s="10"/>
      <c r="K572" s="46"/>
      <c r="L572" s="76"/>
      <c r="M572" s="20"/>
      <c r="N572" s="20"/>
      <c r="O572" s="20"/>
      <c r="P572" s="20"/>
    </row>
    <row r="573">
      <c r="A573" s="49"/>
      <c r="B573" s="110"/>
      <c r="C573" s="49"/>
      <c r="D573" s="102"/>
      <c r="E573" s="25"/>
      <c r="F573" s="25"/>
      <c r="G573" s="25"/>
      <c r="H573" s="49"/>
      <c r="I573" s="89"/>
      <c r="J573" s="49"/>
      <c r="K573" s="30"/>
      <c r="L573" s="49"/>
      <c r="M573" s="20"/>
      <c r="N573" s="20"/>
      <c r="O573" s="20"/>
      <c r="P573" s="20"/>
    </row>
    <row r="574">
      <c r="A574" s="76"/>
      <c r="B574" s="97"/>
      <c r="C574" s="76"/>
      <c r="D574" s="99"/>
      <c r="E574" s="25"/>
      <c r="F574" s="25"/>
      <c r="G574" s="25"/>
      <c r="H574" s="76"/>
      <c r="I574" s="80"/>
      <c r="J574" s="76"/>
      <c r="K574" s="46"/>
      <c r="L574" s="49"/>
      <c r="M574" s="20"/>
      <c r="N574" s="20"/>
      <c r="O574" s="20"/>
      <c r="P574" s="20"/>
    </row>
    <row r="575">
      <c r="A575" s="49"/>
      <c r="B575" s="110"/>
      <c r="C575" s="49"/>
      <c r="D575" s="102"/>
      <c r="E575" s="25"/>
      <c r="F575" s="25"/>
      <c r="G575" s="25"/>
      <c r="H575" s="49"/>
      <c r="I575" s="89"/>
      <c r="J575" s="49"/>
      <c r="K575" s="36"/>
      <c r="L575" s="49"/>
      <c r="M575" s="20"/>
      <c r="N575" s="20"/>
      <c r="O575" s="20"/>
      <c r="P575" s="20"/>
    </row>
    <row r="576">
      <c r="A576" s="76"/>
      <c r="B576" s="97"/>
      <c r="C576" s="76"/>
      <c r="D576" s="99"/>
      <c r="E576" s="25"/>
      <c r="F576" s="25"/>
      <c r="G576" s="25"/>
      <c r="H576" s="10"/>
      <c r="I576" s="17"/>
      <c r="J576" s="10"/>
      <c r="K576" s="46"/>
      <c r="L576" s="76"/>
      <c r="M576" s="20"/>
      <c r="N576" s="20"/>
      <c r="O576" s="20"/>
      <c r="P576" s="20"/>
    </row>
    <row r="577">
      <c r="A577" s="49"/>
      <c r="B577" s="110"/>
      <c r="C577" s="49"/>
      <c r="D577" s="102"/>
      <c r="E577" s="25"/>
      <c r="F577" s="25"/>
      <c r="G577" s="25"/>
      <c r="H577" s="23"/>
      <c r="I577" s="27"/>
      <c r="J577" s="23"/>
      <c r="K577" s="30"/>
      <c r="L577" s="49"/>
      <c r="M577" s="20"/>
      <c r="N577" s="20"/>
      <c r="O577" s="20"/>
      <c r="P577" s="20"/>
    </row>
    <row r="578">
      <c r="A578" s="76"/>
      <c r="B578" s="97"/>
      <c r="C578" s="76"/>
      <c r="D578" s="99"/>
      <c r="E578" s="25"/>
      <c r="F578" s="25"/>
      <c r="G578" s="25"/>
      <c r="H578" s="76"/>
      <c r="I578" s="80"/>
      <c r="J578" s="76"/>
      <c r="K578" s="46"/>
      <c r="L578" s="76"/>
      <c r="M578" s="20"/>
      <c r="N578" s="20"/>
      <c r="O578" s="20"/>
      <c r="P578" s="20"/>
    </row>
    <row r="579">
      <c r="A579" s="49"/>
      <c r="B579" s="110"/>
      <c r="C579" s="49"/>
      <c r="D579" s="102"/>
      <c r="E579" s="25"/>
      <c r="F579" s="25"/>
      <c r="G579" s="25"/>
      <c r="H579" s="23"/>
      <c r="I579" s="89"/>
      <c r="J579" s="23"/>
      <c r="K579" s="30"/>
      <c r="L579" s="49"/>
      <c r="M579" s="20"/>
      <c r="N579" s="20"/>
      <c r="O579" s="20"/>
      <c r="P579" s="20"/>
    </row>
    <row r="580">
      <c r="A580" s="76"/>
      <c r="B580" s="97"/>
      <c r="C580" s="76"/>
      <c r="D580" s="99"/>
      <c r="E580" s="25"/>
      <c r="F580" s="25"/>
      <c r="G580" s="25"/>
      <c r="H580" s="76"/>
      <c r="I580" s="80"/>
      <c r="J580" s="76"/>
      <c r="K580" s="46"/>
      <c r="L580" s="10"/>
      <c r="M580" s="20"/>
      <c r="N580" s="20"/>
      <c r="O580" s="20"/>
      <c r="P580" s="20"/>
    </row>
    <row r="581">
      <c r="A581" s="76"/>
      <c r="B581" s="97"/>
      <c r="C581" s="76"/>
      <c r="D581" s="99"/>
      <c r="E581" s="25"/>
      <c r="F581" s="25"/>
      <c r="G581" s="25"/>
      <c r="H581" s="76"/>
      <c r="I581" s="80"/>
      <c r="J581" s="76"/>
      <c r="K581" s="19"/>
      <c r="L581" s="76"/>
      <c r="M581" s="20"/>
      <c r="N581" s="20"/>
      <c r="O581" s="20"/>
      <c r="P581" s="20"/>
    </row>
    <row r="582">
      <c r="A582" s="49"/>
      <c r="B582" s="110"/>
      <c r="C582" s="49"/>
      <c r="D582" s="102"/>
      <c r="E582" s="25"/>
      <c r="F582" s="25"/>
      <c r="G582" s="25"/>
      <c r="H582" s="49"/>
      <c r="I582" s="89"/>
      <c r="J582" s="49"/>
      <c r="K582" s="36"/>
      <c r="L582" s="49"/>
      <c r="M582" s="20"/>
      <c r="N582" s="20"/>
      <c r="O582" s="20"/>
      <c r="P582" s="20"/>
    </row>
    <row r="583">
      <c r="A583" s="76"/>
      <c r="B583" s="97"/>
      <c r="C583" s="76"/>
      <c r="D583" s="99"/>
      <c r="E583" s="25"/>
      <c r="F583" s="25"/>
      <c r="G583" s="25"/>
      <c r="H583" s="76"/>
      <c r="I583" s="80"/>
      <c r="J583" s="76"/>
      <c r="K583" s="46"/>
      <c r="L583" s="76"/>
      <c r="M583" s="20"/>
      <c r="N583" s="20"/>
      <c r="O583" s="20"/>
      <c r="P583" s="20"/>
    </row>
    <row r="584">
      <c r="A584" s="49"/>
      <c r="B584" s="110"/>
      <c r="C584" s="49"/>
      <c r="D584" s="102"/>
      <c r="E584" s="25"/>
      <c r="F584" s="25"/>
      <c r="G584" s="25"/>
      <c r="H584" s="49"/>
      <c r="I584" s="89"/>
      <c r="J584" s="49"/>
      <c r="K584" s="30"/>
      <c r="L584" s="49"/>
      <c r="M584" s="20"/>
      <c r="N584" s="20"/>
      <c r="O584" s="20"/>
      <c r="P584" s="20"/>
    </row>
    <row r="585">
      <c r="A585" s="76"/>
      <c r="B585" s="97"/>
      <c r="C585" s="76"/>
      <c r="D585" s="99"/>
      <c r="E585" s="25"/>
      <c r="F585" s="25"/>
      <c r="G585" s="25"/>
      <c r="H585" s="76"/>
      <c r="I585" s="80"/>
      <c r="J585" s="76"/>
      <c r="K585" s="19"/>
      <c r="L585" s="76"/>
      <c r="M585" s="20"/>
      <c r="N585" s="20"/>
      <c r="O585" s="20"/>
      <c r="P585" s="20"/>
    </row>
    <row r="586">
      <c r="A586" s="49"/>
      <c r="B586" s="110"/>
      <c r="C586" s="49"/>
      <c r="D586" s="102"/>
      <c r="E586" s="25"/>
      <c r="F586" s="25"/>
      <c r="G586" s="25"/>
      <c r="H586" s="23"/>
      <c r="I586" s="27"/>
      <c r="J586" s="23"/>
      <c r="K586" s="30"/>
      <c r="L586" s="49"/>
      <c r="M586" s="20"/>
      <c r="N586" s="20"/>
      <c r="O586" s="20"/>
      <c r="P586" s="20"/>
    </row>
    <row r="587">
      <c r="A587" s="76"/>
      <c r="B587" s="97"/>
      <c r="C587" s="76"/>
      <c r="D587" s="99"/>
      <c r="E587" s="25"/>
      <c r="F587" s="25"/>
      <c r="G587" s="25"/>
      <c r="H587" s="10"/>
      <c r="I587" s="80"/>
      <c r="J587" s="76"/>
      <c r="K587" s="46"/>
      <c r="L587" s="76"/>
      <c r="M587" s="20"/>
      <c r="N587" s="20"/>
      <c r="O587" s="20"/>
      <c r="P587" s="20"/>
    </row>
    <row r="588">
      <c r="A588" s="49"/>
      <c r="B588" s="110"/>
      <c r="C588" s="49"/>
      <c r="D588" s="102"/>
      <c r="E588" s="25"/>
      <c r="F588" s="25"/>
      <c r="G588" s="25"/>
      <c r="H588" s="23"/>
      <c r="I588" s="27"/>
      <c r="J588" s="23"/>
      <c r="K588" s="30"/>
      <c r="L588" s="49"/>
      <c r="M588" s="20"/>
      <c r="N588" s="20"/>
      <c r="O588" s="20"/>
      <c r="P588" s="20"/>
    </row>
    <row r="589">
      <c r="A589" s="76"/>
      <c r="B589" s="97"/>
      <c r="C589" s="76"/>
      <c r="D589" s="99"/>
      <c r="E589" s="25"/>
      <c r="F589" s="25"/>
      <c r="G589" s="25"/>
      <c r="H589" s="10"/>
      <c r="I589" s="17"/>
      <c r="J589" s="10"/>
      <c r="K589" s="46"/>
      <c r="L589" s="76"/>
      <c r="M589" s="20"/>
      <c r="N589" s="20"/>
      <c r="O589" s="20"/>
      <c r="P589" s="20"/>
    </row>
    <row r="590">
      <c r="A590" s="49"/>
      <c r="B590" s="135"/>
      <c r="C590" s="49"/>
      <c r="D590" s="102"/>
      <c r="E590" s="25"/>
      <c r="F590" s="25"/>
      <c r="G590" s="25"/>
      <c r="H590" s="49"/>
      <c r="I590" s="89"/>
      <c r="J590" s="49"/>
      <c r="K590" s="30"/>
      <c r="L590" s="49"/>
      <c r="M590" s="20"/>
      <c r="N590" s="20"/>
      <c r="O590" s="20"/>
      <c r="P590" s="20"/>
    </row>
    <row r="591">
      <c r="A591" s="76"/>
      <c r="B591" s="97"/>
      <c r="C591" s="76"/>
      <c r="D591" s="99"/>
      <c r="E591" s="25"/>
      <c r="F591" s="25"/>
      <c r="G591" s="25"/>
      <c r="H591" s="10"/>
      <c r="I591" s="17"/>
      <c r="J591" s="10"/>
      <c r="K591" s="46"/>
      <c r="L591" s="76"/>
      <c r="M591" s="20"/>
      <c r="N591" s="20"/>
      <c r="O591" s="20"/>
      <c r="P591" s="20"/>
    </row>
    <row r="592">
      <c r="A592" s="49"/>
      <c r="B592" s="110"/>
      <c r="C592" s="49"/>
      <c r="D592" s="102"/>
      <c r="E592" s="25"/>
      <c r="F592" s="25"/>
      <c r="G592" s="25"/>
      <c r="H592" s="49"/>
      <c r="I592" s="89"/>
      <c r="J592" s="49"/>
      <c r="K592" s="30"/>
      <c r="L592" s="49"/>
      <c r="M592" s="20"/>
      <c r="N592" s="20"/>
      <c r="O592" s="20"/>
      <c r="P592" s="20"/>
    </row>
    <row r="593">
      <c r="A593" s="76"/>
      <c r="B593" s="97"/>
      <c r="C593" s="76"/>
      <c r="D593" s="99"/>
      <c r="E593" s="25"/>
      <c r="F593" s="25"/>
      <c r="G593" s="25"/>
      <c r="H593" s="76"/>
      <c r="I593" s="80"/>
      <c r="J593" s="76"/>
      <c r="K593" s="46"/>
      <c r="L593" s="76"/>
      <c r="M593" s="20"/>
      <c r="N593" s="20"/>
      <c r="O593" s="20"/>
      <c r="P593" s="20"/>
    </row>
    <row r="594">
      <c r="A594" s="49"/>
      <c r="B594" s="110"/>
      <c r="C594" s="49"/>
      <c r="D594" s="102"/>
      <c r="E594" s="25"/>
      <c r="F594" s="25"/>
      <c r="G594" s="25"/>
      <c r="H594" s="49"/>
      <c r="I594" s="89"/>
      <c r="J594" s="49"/>
      <c r="K594" s="36"/>
      <c r="L594" s="49"/>
      <c r="M594" s="20"/>
      <c r="N594" s="20"/>
      <c r="O594" s="20"/>
      <c r="P594" s="20"/>
    </row>
    <row r="595">
      <c r="A595" s="76"/>
      <c r="B595" s="97"/>
      <c r="C595" s="76"/>
      <c r="D595" s="99"/>
      <c r="E595" s="25"/>
      <c r="F595" s="25"/>
      <c r="G595" s="25"/>
      <c r="H595" s="76"/>
      <c r="I595" s="80"/>
      <c r="J595" s="76"/>
      <c r="K595" s="46"/>
      <c r="L595" s="76"/>
      <c r="M595" s="20"/>
      <c r="N595" s="20"/>
      <c r="O595" s="20"/>
      <c r="P595" s="20"/>
    </row>
    <row r="596">
      <c r="A596" s="49"/>
      <c r="B596" s="110"/>
      <c r="C596" s="49"/>
      <c r="D596" s="102"/>
      <c r="E596" s="25"/>
      <c r="F596" s="25"/>
      <c r="G596" s="25"/>
      <c r="H596" s="49"/>
      <c r="I596" s="89"/>
      <c r="J596" s="49"/>
      <c r="K596" s="30"/>
      <c r="L596" s="49"/>
      <c r="M596" s="20"/>
      <c r="N596" s="20"/>
      <c r="O596" s="20"/>
      <c r="P596" s="20"/>
    </row>
    <row r="597">
      <c r="A597" s="76"/>
      <c r="B597" s="97"/>
      <c r="C597" s="76"/>
      <c r="D597" s="99"/>
      <c r="E597" s="25"/>
      <c r="F597" s="25"/>
      <c r="G597" s="25"/>
      <c r="H597" s="76"/>
      <c r="I597" s="80"/>
      <c r="J597" s="76"/>
      <c r="K597" s="19"/>
      <c r="L597" s="76"/>
      <c r="M597" s="20"/>
      <c r="N597" s="20"/>
      <c r="O597" s="20"/>
      <c r="P597" s="20"/>
    </row>
    <row r="598">
      <c r="A598" s="49"/>
      <c r="B598" s="110"/>
      <c r="C598" s="49"/>
      <c r="D598" s="102"/>
      <c r="E598" s="25"/>
      <c r="F598" s="25"/>
      <c r="G598" s="25"/>
      <c r="H598" s="49"/>
      <c r="I598" s="89"/>
      <c r="J598" s="49"/>
      <c r="K598" s="30"/>
      <c r="L598" s="49"/>
      <c r="M598" s="20"/>
      <c r="N598" s="20"/>
      <c r="O598" s="20"/>
      <c r="P598" s="20"/>
    </row>
    <row r="599">
      <c r="A599" s="76"/>
      <c r="B599" s="97"/>
      <c r="C599" s="76"/>
      <c r="D599" s="99"/>
      <c r="E599" s="25"/>
      <c r="F599" s="25"/>
      <c r="G599" s="25"/>
      <c r="H599" s="76"/>
      <c r="I599" s="80"/>
      <c r="J599" s="76"/>
      <c r="K599" s="19"/>
      <c r="L599" s="76"/>
      <c r="M599" s="20"/>
      <c r="N599" s="20"/>
      <c r="O599" s="20"/>
      <c r="P599" s="20"/>
    </row>
    <row r="600">
      <c r="A600" s="49"/>
      <c r="B600" s="110"/>
      <c r="C600" s="49"/>
      <c r="D600" s="102"/>
      <c r="E600" s="25"/>
      <c r="F600" s="25"/>
      <c r="G600" s="25"/>
      <c r="H600" s="49"/>
      <c r="I600" s="89"/>
      <c r="J600" s="49"/>
      <c r="K600" s="30"/>
      <c r="L600" s="49"/>
      <c r="M600" s="20"/>
      <c r="N600" s="20"/>
      <c r="O600" s="20"/>
      <c r="P600" s="20"/>
    </row>
    <row r="601">
      <c r="A601" s="76"/>
      <c r="B601" s="97"/>
      <c r="C601" s="76"/>
      <c r="D601" s="99"/>
      <c r="E601" s="25"/>
      <c r="F601" s="25"/>
      <c r="G601" s="25"/>
      <c r="H601" s="76"/>
      <c r="I601" s="80"/>
      <c r="J601" s="76"/>
      <c r="K601" s="19"/>
      <c r="L601" s="76"/>
      <c r="M601" s="20"/>
      <c r="N601" s="20"/>
      <c r="O601" s="20"/>
      <c r="P601" s="20"/>
    </row>
    <row r="602">
      <c r="A602" s="49"/>
      <c r="B602" s="110"/>
      <c r="C602" s="49"/>
      <c r="D602" s="102"/>
      <c r="E602" s="25"/>
      <c r="F602" s="25"/>
      <c r="G602" s="25"/>
      <c r="H602" s="49"/>
      <c r="I602" s="89"/>
      <c r="J602" s="49"/>
      <c r="K602" s="30"/>
      <c r="L602" s="49"/>
      <c r="M602" s="20"/>
      <c r="N602" s="20"/>
      <c r="O602" s="20"/>
      <c r="P602" s="20"/>
    </row>
    <row r="603">
      <c r="A603" s="76"/>
      <c r="B603" s="97"/>
      <c r="C603" s="76"/>
      <c r="D603" s="99"/>
      <c r="E603" s="25"/>
      <c r="F603" s="25"/>
      <c r="G603" s="25"/>
      <c r="H603" s="76"/>
      <c r="I603" s="80"/>
      <c r="J603" s="76"/>
      <c r="K603" s="46"/>
      <c r="L603" s="76"/>
      <c r="M603" s="20"/>
      <c r="N603" s="20"/>
      <c r="O603" s="20"/>
      <c r="P603" s="20"/>
    </row>
    <row r="604">
      <c r="A604" s="49"/>
      <c r="B604" s="110"/>
      <c r="C604" s="49"/>
      <c r="D604" s="102"/>
      <c r="E604" s="25"/>
      <c r="F604" s="25"/>
      <c r="G604" s="25"/>
      <c r="H604" s="49"/>
      <c r="I604" s="89"/>
      <c r="J604" s="49"/>
      <c r="K604" s="30"/>
      <c r="L604" s="49"/>
      <c r="M604" s="20"/>
      <c r="N604" s="20"/>
      <c r="O604" s="20"/>
      <c r="P604" s="20"/>
    </row>
    <row r="605">
      <c r="A605" s="76"/>
      <c r="B605" s="97"/>
      <c r="C605" s="76"/>
      <c r="D605" s="99"/>
      <c r="E605" s="25"/>
      <c r="F605" s="25"/>
      <c r="G605" s="25"/>
      <c r="H605" s="76"/>
      <c r="I605" s="80"/>
      <c r="J605" s="76"/>
      <c r="K605" s="19"/>
      <c r="L605" s="76"/>
      <c r="M605" s="20"/>
      <c r="N605" s="20"/>
      <c r="O605" s="20"/>
      <c r="P605" s="20"/>
    </row>
    <row r="606">
      <c r="A606" s="49"/>
      <c r="B606" s="110"/>
      <c r="C606" s="49"/>
      <c r="D606" s="102"/>
      <c r="E606" s="25"/>
      <c r="F606" s="25"/>
      <c r="G606" s="25"/>
      <c r="H606" s="49"/>
      <c r="I606" s="89"/>
      <c r="J606" s="49"/>
      <c r="K606" s="36"/>
      <c r="L606" s="49"/>
      <c r="M606" s="20"/>
      <c r="N606" s="20"/>
      <c r="O606" s="20"/>
      <c r="P606" s="20"/>
    </row>
    <row r="607">
      <c r="A607" s="76"/>
      <c r="B607" s="97"/>
      <c r="C607" s="76"/>
      <c r="D607" s="99"/>
      <c r="E607" s="25"/>
      <c r="F607" s="25"/>
      <c r="G607" s="25"/>
      <c r="H607" s="76"/>
      <c r="I607" s="80"/>
      <c r="J607" s="76"/>
      <c r="K607" s="19"/>
      <c r="L607" s="76"/>
      <c r="M607" s="20"/>
      <c r="N607" s="20"/>
      <c r="O607" s="20"/>
      <c r="P607" s="20"/>
    </row>
    <row r="608">
      <c r="A608" s="49"/>
      <c r="B608" s="110"/>
      <c r="C608" s="49"/>
      <c r="D608" s="102"/>
      <c r="E608" s="25"/>
      <c r="F608" s="25"/>
      <c r="G608" s="25"/>
      <c r="H608" s="49"/>
      <c r="I608" s="89"/>
      <c r="J608" s="49"/>
      <c r="K608" s="30"/>
      <c r="L608" s="49"/>
      <c r="M608" s="20"/>
      <c r="N608" s="20"/>
      <c r="O608" s="20"/>
      <c r="P608" s="20"/>
    </row>
    <row r="609">
      <c r="A609" s="76"/>
      <c r="B609" s="97"/>
      <c r="C609" s="76"/>
      <c r="D609" s="99"/>
      <c r="E609" s="25"/>
      <c r="F609" s="25"/>
      <c r="G609" s="25"/>
      <c r="H609" s="76"/>
      <c r="I609" s="80"/>
      <c r="J609" s="76"/>
      <c r="K609" s="46"/>
      <c r="L609" s="76"/>
      <c r="M609" s="20"/>
      <c r="N609" s="20"/>
      <c r="O609" s="20"/>
      <c r="P609" s="20"/>
    </row>
    <row r="610">
      <c r="A610" s="49"/>
      <c r="B610" s="110"/>
      <c r="C610" s="49"/>
      <c r="D610" s="102"/>
      <c r="E610" s="25"/>
      <c r="F610" s="25"/>
      <c r="G610" s="25"/>
      <c r="H610" s="49"/>
      <c r="I610" s="89"/>
      <c r="J610" s="23"/>
      <c r="K610" s="30"/>
      <c r="L610" s="49"/>
      <c r="M610" s="20"/>
      <c r="N610" s="20"/>
      <c r="O610" s="20"/>
      <c r="P610" s="20"/>
    </row>
    <row r="611">
      <c r="A611" s="76"/>
      <c r="B611" s="97"/>
      <c r="C611" s="76"/>
      <c r="D611" s="99"/>
      <c r="E611" s="25"/>
      <c r="F611" s="25"/>
      <c r="G611" s="25"/>
      <c r="H611" s="76"/>
      <c r="I611" s="80"/>
      <c r="J611" s="76"/>
      <c r="K611" s="46"/>
      <c r="L611" s="76"/>
      <c r="M611" s="20"/>
      <c r="N611" s="20"/>
      <c r="O611" s="20"/>
      <c r="P611" s="20"/>
    </row>
    <row r="612">
      <c r="A612" s="49"/>
      <c r="B612" s="110"/>
      <c r="C612" s="49"/>
      <c r="D612" s="102"/>
      <c r="E612" s="25"/>
      <c r="F612" s="25"/>
      <c r="G612" s="25"/>
      <c r="H612" s="49"/>
      <c r="I612" s="89"/>
      <c r="J612" s="49"/>
      <c r="K612" s="36"/>
      <c r="L612" s="49"/>
      <c r="M612" s="20"/>
      <c r="N612" s="20"/>
      <c r="O612" s="20"/>
      <c r="P612" s="20"/>
    </row>
    <row r="613">
      <c r="A613" s="76"/>
      <c r="B613" s="97"/>
      <c r="C613" s="76"/>
      <c r="D613" s="99"/>
      <c r="E613" s="25"/>
      <c r="F613" s="25"/>
      <c r="G613" s="25"/>
      <c r="H613" s="10"/>
      <c r="I613" s="17"/>
      <c r="J613" s="10"/>
      <c r="K613" s="46"/>
      <c r="L613" s="76"/>
      <c r="M613" s="20"/>
      <c r="N613" s="20"/>
      <c r="O613" s="20"/>
      <c r="P613" s="20"/>
    </row>
    <row r="614">
      <c r="A614" s="49"/>
      <c r="B614" s="110"/>
      <c r="C614" s="49"/>
      <c r="D614" s="102"/>
      <c r="E614" s="25"/>
      <c r="F614" s="25"/>
      <c r="G614" s="25"/>
      <c r="H614" s="49"/>
      <c r="I614" s="27"/>
      <c r="J614" s="136"/>
      <c r="K614" s="30"/>
      <c r="L614" s="49"/>
      <c r="M614" s="20"/>
      <c r="N614" s="20"/>
      <c r="O614" s="20"/>
      <c r="P614" s="20"/>
    </row>
    <row r="615">
      <c r="A615" s="76"/>
      <c r="B615" s="97"/>
      <c r="C615" s="76"/>
      <c r="D615" s="99"/>
      <c r="E615" s="25"/>
      <c r="F615" s="25"/>
      <c r="G615" s="25"/>
      <c r="H615" s="76"/>
      <c r="I615" s="80"/>
      <c r="J615" s="76"/>
      <c r="K615" s="19"/>
      <c r="L615" s="76"/>
      <c r="M615" s="20"/>
      <c r="N615" s="20"/>
      <c r="O615" s="20"/>
      <c r="P615" s="20"/>
    </row>
    <row r="616">
      <c r="A616" s="49"/>
      <c r="B616" s="110"/>
      <c r="C616" s="49"/>
      <c r="D616" s="102"/>
      <c r="E616" s="25"/>
      <c r="F616" s="25"/>
      <c r="G616" s="25"/>
      <c r="H616" s="49"/>
      <c r="I616" s="89"/>
      <c r="J616" s="49"/>
      <c r="K616" s="30"/>
      <c r="L616" s="49"/>
      <c r="M616" s="20"/>
      <c r="N616" s="20"/>
      <c r="O616" s="20"/>
      <c r="P616" s="20"/>
    </row>
    <row r="617">
      <c r="A617" s="76"/>
      <c r="B617" s="97"/>
      <c r="C617" s="76"/>
      <c r="D617" s="99"/>
      <c r="E617" s="25"/>
      <c r="F617" s="25"/>
      <c r="G617" s="25"/>
      <c r="H617" s="76"/>
      <c r="I617" s="80"/>
      <c r="J617" s="76"/>
      <c r="K617" s="19"/>
      <c r="L617" s="76"/>
      <c r="M617" s="20"/>
      <c r="N617" s="20"/>
      <c r="O617" s="20"/>
      <c r="P617" s="20"/>
    </row>
    <row r="618">
      <c r="A618" s="49"/>
      <c r="B618" s="110"/>
      <c r="C618" s="49"/>
      <c r="D618" s="102"/>
      <c r="E618" s="25"/>
      <c r="F618" s="25"/>
      <c r="G618" s="25"/>
      <c r="H618" s="49"/>
      <c r="I618" s="89"/>
      <c r="J618" s="49"/>
      <c r="K618" s="36"/>
      <c r="L618" s="49"/>
      <c r="M618" s="20"/>
      <c r="N618" s="20"/>
      <c r="O618" s="20"/>
      <c r="P618" s="20"/>
    </row>
    <row r="619">
      <c r="A619" s="76"/>
      <c r="B619" s="97"/>
      <c r="C619" s="76"/>
      <c r="D619" s="99"/>
      <c r="E619" s="25"/>
      <c r="F619" s="25"/>
      <c r="G619" s="25"/>
      <c r="H619" s="76"/>
      <c r="I619" s="80"/>
      <c r="J619" s="76"/>
      <c r="K619" s="46"/>
      <c r="L619" s="76"/>
      <c r="M619" s="20"/>
      <c r="N619" s="20"/>
      <c r="O619" s="20"/>
      <c r="P619" s="20"/>
    </row>
    <row r="620">
      <c r="A620" s="49"/>
      <c r="B620" s="110"/>
      <c r="C620" s="49"/>
      <c r="D620" s="102"/>
      <c r="E620" s="25"/>
      <c r="F620" s="25"/>
      <c r="G620" s="25"/>
      <c r="H620" s="49"/>
      <c r="I620" s="89"/>
      <c r="J620" s="49"/>
      <c r="K620" s="36"/>
      <c r="L620" s="49"/>
      <c r="M620" s="20"/>
      <c r="N620" s="20"/>
      <c r="O620" s="20"/>
      <c r="P620" s="20"/>
    </row>
    <row r="621">
      <c r="A621" s="76"/>
      <c r="B621" s="97"/>
      <c r="C621" s="76"/>
      <c r="D621" s="99"/>
      <c r="E621" s="25"/>
      <c r="F621" s="25"/>
      <c r="G621" s="25"/>
      <c r="H621" s="10"/>
      <c r="I621" s="17"/>
      <c r="J621" s="10"/>
      <c r="K621" s="46"/>
      <c r="L621" s="76"/>
      <c r="M621" s="20"/>
      <c r="N621" s="20"/>
      <c r="O621" s="20"/>
      <c r="P621" s="20"/>
    </row>
    <row r="622">
      <c r="A622" s="49"/>
      <c r="B622" s="110"/>
      <c r="C622" s="49"/>
      <c r="D622" s="102"/>
      <c r="E622" s="25"/>
      <c r="F622" s="25"/>
      <c r="G622" s="25"/>
      <c r="H622" s="49"/>
      <c r="I622" s="89"/>
      <c r="J622" s="49"/>
      <c r="K622" s="30"/>
      <c r="L622" s="49"/>
      <c r="M622" s="20"/>
      <c r="N622" s="20"/>
      <c r="O622" s="20"/>
      <c r="P622" s="20"/>
    </row>
    <row r="623">
      <c r="A623" s="76"/>
      <c r="B623" s="97"/>
      <c r="C623" s="76"/>
      <c r="D623" s="99"/>
      <c r="E623" s="25"/>
      <c r="F623" s="25"/>
      <c r="G623" s="25"/>
      <c r="H623" s="76"/>
      <c r="I623" s="80"/>
      <c r="J623" s="76"/>
      <c r="K623" s="46"/>
      <c r="L623" s="76"/>
      <c r="M623" s="20"/>
      <c r="N623" s="20"/>
      <c r="O623" s="20"/>
      <c r="P623" s="20"/>
    </row>
    <row r="624">
      <c r="A624" s="49"/>
      <c r="B624" s="110"/>
      <c r="C624" s="49"/>
      <c r="D624" s="102"/>
      <c r="E624" s="25"/>
      <c r="F624" s="25"/>
      <c r="G624" s="25"/>
      <c r="H624" s="49"/>
      <c r="I624" s="89"/>
      <c r="J624" s="49"/>
      <c r="K624" s="36"/>
      <c r="L624" s="137"/>
      <c r="M624" s="20"/>
      <c r="N624" s="20"/>
      <c r="O624" s="20"/>
      <c r="P624" s="20"/>
    </row>
    <row r="625">
      <c r="A625" s="76"/>
      <c r="B625" s="97"/>
      <c r="C625" s="76"/>
      <c r="D625" s="99"/>
      <c r="E625" s="25"/>
      <c r="F625" s="25"/>
      <c r="G625" s="25"/>
      <c r="H625" s="76"/>
      <c r="I625" s="17"/>
      <c r="J625" s="76"/>
      <c r="K625" s="46"/>
      <c r="L625" s="76"/>
      <c r="M625" s="20"/>
      <c r="N625" s="20"/>
      <c r="O625" s="20"/>
      <c r="P625" s="20"/>
    </row>
    <row r="626">
      <c r="A626" s="49"/>
      <c r="B626" s="110"/>
      <c r="C626" s="49"/>
      <c r="D626" s="102"/>
      <c r="E626" s="25"/>
      <c r="F626" s="25"/>
      <c r="G626" s="25"/>
      <c r="H626" s="49"/>
      <c r="I626" s="89"/>
      <c r="J626" s="49"/>
      <c r="K626" s="30"/>
      <c r="L626" s="49"/>
      <c r="M626" s="20"/>
      <c r="N626" s="20"/>
      <c r="O626" s="20"/>
      <c r="P626" s="20"/>
    </row>
    <row r="627">
      <c r="A627" s="76"/>
      <c r="B627" s="97"/>
      <c r="C627" s="76"/>
      <c r="D627" s="99"/>
      <c r="E627" s="25"/>
      <c r="F627" s="25"/>
      <c r="G627" s="25"/>
      <c r="H627" s="76"/>
      <c r="I627" s="80"/>
      <c r="J627" s="76"/>
      <c r="K627" s="19"/>
      <c r="L627" s="76"/>
      <c r="M627" s="20"/>
      <c r="N627" s="20"/>
      <c r="O627" s="20"/>
      <c r="P627" s="20"/>
    </row>
    <row r="628">
      <c r="A628" s="49"/>
      <c r="B628" s="110"/>
      <c r="C628" s="49"/>
      <c r="D628" s="102"/>
      <c r="E628" s="25"/>
      <c r="F628" s="25"/>
      <c r="G628" s="25"/>
      <c r="H628" s="49"/>
      <c r="I628" s="89"/>
      <c r="J628" s="49"/>
      <c r="K628" s="30"/>
      <c r="L628" s="49"/>
      <c r="M628" s="20"/>
      <c r="N628" s="20"/>
      <c r="O628" s="20"/>
      <c r="P628" s="20"/>
    </row>
    <row r="629">
      <c r="A629" s="76"/>
      <c r="B629" s="97"/>
      <c r="C629" s="76"/>
      <c r="D629" s="99"/>
      <c r="E629" s="25"/>
      <c r="F629" s="25"/>
      <c r="G629" s="25"/>
      <c r="H629" s="76"/>
      <c r="I629" s="80"/>
      <c r="J629" s="76"/>
      <c r="K629" s="46"/>
      <c r="L629" s="76"/>
      <c r="M629" s="20"/>
      <c r="N629" s="20"/>
      <c r="O629" s="20"/>
      <c r="P629" s="20"/>
    </row>
    <row r="630">
      <c r="A630" s="49"/>
      <c r="B630" s="110"/>
      <c r="C630" s="49"/>
      <c r="D630" s="102"/>
      <c r="E630" s="25"/>
      <c r="F630" s="25"/>
      <c r="G630" s="25"/>
      <c r="H630" s="49"/>
      <c r="I630" s="27"/>
      <c r="J630" s="23"/>
      <c r="K630" s="30"/>
      <c r="L630" s="49"/>
      <c r="M630" s="20"/>
      <c r="N630" s="20"/>
      <c r="O630" s="20"/>
      <c r="P630" s="20"/>
    </row>
    <row r="631">
      <c r="A631" s="76"/>
      <c r="B631" s="97"/>
      <c r="C631" s="76"/>
      <c r="D631" s="99"/>
      <c r="E631" s="25"/>
      <c r="F631" s="25"/>
      <c r="G631" s="25"/>
      <c r="H631" s="76"/>
      <c r="I631" s="80"/>
      <c r="J631" s="76"/>
      <c r="K631" s="46"/>
      <c r="L631" s="76"/>
      <c r="M631" s="20"/>
      <c r="N631" s="20"/>
      <c r="O631" s="20"/>
      <c r="P631" s="20"/>
    </row>
    <row r="632">
      <c r="A632" s="49"/>
      <c r="B632" s="110"/>
      <c r="C632" s="49"/>
      <c r="D632" s="102"/>
      <c r="E632" s="25"/>
      <c r="F632" s="25"/>
      <c r="G632" s="25"/>
      <c r="H632" s="49"/>
      <c r="I632" s="89"/>
      <c r="J632" s="49"/>
      <c r="K632" s="36"/>
      <c r="L632" s="49"/>
      <c r="M632" s="20"/>
      <c r="N632" s="20"/>
      <c r="O632" s="20"/>
      <c r="P632" s="20"/>
    </row>
    <row r="633">
      <c r="A633" s="76"/>
      <c r="B633" s="97"/>
      <c r="C633" s="76"/>
      <c r="D633" s="99"/>
      <c r="E633" s="25"/>
      <c r="F633" s="25"/>
      <c r="G633" s="25"/>
      <c r="H633" s="76"/>
      <c r="I633" s="80"/>
      <c r="J633" s="76"/>
      <c r="K633" s="19"/>
      <c r="L633" s="76"/>
      <c r="M633" s="20"/>
      <c r="N633" s="20"/>
      <c r="O633" s="20"/>
      <c r="P633" s="20"/>
    </row>
    <row r="634">
      <c r="A634" s="49"/>
      <c r="B634" s="110"/>
      <c r="C634" s="49"/>
      <c r="D634" s="102"/>
      <c r="E634" s="25"/>
      <c r="F634" s="25"/>
      <c r="G634" s="25"/>
      <c r="H634" s="49"/>
      <c r="I634" s="89"/>
      <c r="J634" s="49"/>
      <c r="K634" s="36"/>
      <c r="L634" s="23"/>
      <c r="M634" s="20"/>
      <c r="N634" s="20"/>
      <c r="O634" s="20"/>
      <c r="P634" s="20"/>
    </row>
    <row r="635">
      <c r="A635" s="76"/>
      <c r="B635" s="97"/>
      <c r="C635" s="76"/>
      <c r="D635" s="99"/>
      <c r="E635" s="25"/>
      <c r="F635" s="25"/>
      <c r="G635" s="25"/>
      <c r="H635" s="10"/>
      <c r="I635" s="17"/>
      <c r="J635" s="10"/>
      <c r="K635" s="46"/>
      <c r="L635" s="76"/>
      <c r="M635" s="20"/>
      <c r="N635" s="20"/>
      <c r="O635" s="20"/>
      <c r="P635" s="20"/>
    </row>
    <row r="636">
      <c r="A636" s="49"/>
      <c r="B636" s="110"/>
      <c r="C636" s="49"/>
      <c r="D636" s="102"/>
      <c r="E636" s="25"/>
      <c r="F636" s="25"/>
      <c r="G636" s="25"/>
      <c r="H636" s="49"/>
      <c r="I636" s="89"/>
      <c r="J636" s="49"/>
      <c r="K636" s="30"/>
      <c r="L636" s="49"/>
      <c r="M636" s="20"/>
      <c r="N636" s="20"/>
      <c r="O636" s="20"/>
      <c r="P636" s="20"/>
    </row>
    <row r="637">
      <c r="A637" s="76"/>
      <c r="B637" s="97"/>
      <c r="C637" s="76"/>
      <c r="D637" s="99"/>
      <c r="E637" s="25"/>
      <c r="F637" s="25"/>
      <c r="G637" s="25"/>
      <c r="H637" s="76"/>
      <c r="I637" s="80"/>
      <c r="J637" s="76"/>
      <c r="K637" s="46"/>
      <c r="L637" s="76"/>
      <c r="M637" s="20"/>
      <c r="N637" s="20"/>
      <c r="O637" s="20"/>
      <c r="P637" s="20"/>
    </row>
    <row r="638">
      <c r="A638" s="49"/>
      <c r="B638" s="135"/>
      <c r="C638" s="49"/>
      <c r="D638" s="102"/>
      <c r="E638" s="25"/>
      <c r="F638" s="25"/>
      <c r="G638" s="25"/>
      <c r="H638" s="49"/>
      <c r="I638" s="27"/>
      <c r="J638" s="49"/>
      <c r="K638" s="30"/>
      <c r="L638" s="49"/>
      <c r="M638" s="20"/>
      <c r="N638" s="20"/>
      <c r="O638" s="20"/>
      <c r="P638" s="20"/>
    </row>
    <row r="639">
      <c r="A639" s="76"/>
      <c r="B639" s="97"/>
      <c r="C639" s="76"/>
      <c r="D639" s="99"/>
      <c r="E639" s="25"/>
      <c r="F639" s="25"/>
      <c r="G639" s="25"/>
      <c r="H639" s="76"/>
      <c r="I639" s="80"/>
      <c r="J639" s="76"/>
      <c r="K639" s="46"/>
      <c r="L639" s="10"/>
      <c r="M639" s="20"/>
      <c r="N639" s="20"/>
      <c r="O639" s="20"/>
      <c r="P639" s="20"/>
    </row>
    <row r="640">
      <c r="A640" s="49"/>
      <c r="B640" s="110"/>
      <c r="C640" s="49"/>
      <c r="D640" s="102"/>
      <c r="E640" s="25"/>
      <c r="F640" s="25"/>
      <c r="G640" s="25"/>
      <c r="H640" s="49"/>
      <c r="I640" s="89"/>
      <c r="J640" s="49"/>
      <c r="K640" s="36"/>
      <c r="L640" s="23"/>
      <c r="M640" s="20"/>
      <c r="N640" s="20"/>
      <c r="O640" s="20"/>
      <c r="P640" s="20"/>
    </row>
    <row r="641">
      <c r="A641" s="76"/>
      <c r="B641" s="97"/>
      <c r="C641" s="76"/>
      <c r="D641" s="99"/>
      <c r="E641" s="25"/>
      <c r="F641" s="25"/>
      <c r="G641" s="25"/>
      <c r="H641" s="76"/>
      <c r="I641" s="80"/>
      <c r="J641" s="76"/>
      <c r="K641" s="19"/>
      <c r="L641" s="76"/>
      <c r="M641" s="20"/>
      <c r="N641" s="20"/>
      <c r="O641" s="20"/>
      <c r="P641" s="20"/>
    </row>
    <row r="642">
      <c r="A642" s="49"/>
      <c r="B642" s="110"/>
      <c r="C642" s="49"/>
      <c r="D642" s="102"/>
      <c r="E642" s="25"/>
      <c r="F642" s="25"/>
      <c r="G642" s="25"/>
      <c r="H642" s="49"/>
      <c r="I642" s="89"/>
      <c r="J642" s="49"/>
      <c r="K642" s="36"/>
      <c r="L642" s="49"/>
      <c r="M642" s="20"/>
      <c r="N642" s="20"/>
      <c r="O642" s="20"/>
      <c r="P642" s="20"/>
    </row>
    <row r="643">
      <c r="A643" s="76"/>
      <c r="B643" s="97"/>
      <c r="C643" s="76"/>
      <c r="D643" s="99"/>
      <c r="E643" s="25"/>
      <c r="F643" s="25"/>
      <c r="G643" s="25"/>
      <c r="H643" s="76"/>
      <c r="I643" s="17"/>
      <c r="J643" s="10"/>
      <c r="K643" s="46"/>
      <c r="L643" s="76"/>
      <c r="M643" s="20"/>
      <c r="N643" s="20"/>
      <c r="O643" s="20"/>
      <c r="P643" s="20"/>
    </row>
    <row r="644">
      <c r="A644" s="49"/>
      <c r="B644" s="110"/>
      <c r="C644" s="49"/>
      <c r="D644" s="102"/>
      <c r="E644" s="25"/>
      <c r="F644" s="25"/>
      <c r="G644" s="25"/>
      <c r="H644" s="49"/>
      <c r="I644" s="89"/>
      <c r="J644" s="49"/>
      <c r="K644" s="30"/>
      <c r="L644" s="49"/>
      <c r="M644" s="20"/>
      <c r="N644" s="20"/>
      <c r="O644" s="20"/>
      <c r="P644" s="20"/>
    </row>
    <row r="645">
      <c r="A645" s="76"/>
      <c r="B645" s="97"/>
      <c r="C645" s="76"/>
      <c r="D645" s="99"/>
      <c r="E645" s="25"/>
      <c r="F645" s="25"/>
      <c r="G645" s="25"/>
      <c r="H645" s="76"/>
      <c r="I645" s="17"/>
      <c r="J645" s="76"/>
      <c r="K645" s="19"/>
      <c r="L645" s="76"/>
      <c r="M645" s="20"/>
      <c r="N645" s="20"/>
      <c r="O645" s="20"/>
      <c r="P645" s="20"/>
    </row>
    <row r="646">
      <c r="A646" s="49"/>
      <c r="B646" s="110"/>
      <c r="C646" s="49"/>
      <c r="D646" s="102"/>
      <c r="E646" s="25"/>
      <c r="F646" s="25"/>
      <c r="G646" s="25"/>
      <c r="H646" s="49"/>
      <c r="I646" s="89"/>
      <c r="J646" s="49"/>
      <c r="K646" s="30"/>
      <c r="L646" s="49"/>
      <c r="M646" s="20"/>
      <c r="N646" s="20"/>
      <c r="O646" s="20"/>
      <c r="P646" s="20"/>
    </row>
    <row r="647">
      <c r="A647" s="76"/>
      <c r="B647" s="97"/>
      <c r="C647" s="76"/>
      <c r="D647" s="99"/>
      <c r="E647" s="25"/>
      <c r="F647" s="25"/>
      <c r="G647" s="25"/>
      <c r="H647" s="76"/>
      <c r="I647" s="17"/>
      <c r="J647" s="76"/>
      <c r="K647" s="46"/>
      <c r="L647" s="10"/>
      <c r="M647" s="20"/>
      <c r="N647" s="20"/>
      <c r="O647" s="20"/>
      <c r="P647" s="20"/>
    </row>
    <row r="648">
      <c r="A648" s="49"/>
      <c r="B648" s="110"/>
      <c r="C648" s="49"/>
      <c r="D648" s="102"/>
      <c r="E648" s="25"/>
      <c r="F648" s="25"/>
      <c r="G648" s="25"/>
      <c r="H648" s="49"/>
      <c r="I648" s="89"/>
      <c r="J648" s="49"/>
      <c r="K648" s="30"/>
      <c r="L648" s="49"/>
      <c r="M648" s="20"/>
      <c r="N648" s="20"/>
      <c r="O648" s="20"/>
      <c r="P648" s="20"/>
    </row>
    <row r="649">
      <c r="A649" s="76"/>
      <c r="B649" s="97"/>
      <c r="C649" s="76"/>
      <c r="D649" s="99"/>
      <c r="E649" s="25"/>
      <c r="F649" s="25"/>
      <c r="G649" s="25"/>
      <c r="H649" s="76"/>
      <c r="I649" s="80"/>
      <c r="J649" s="76"/>
      <c r="K649" s="19"/>
      <c r="L649" s="10"/>
      <c r="M649" s="20"/>
      <c r="N649" s="20"/>
      <c r="O649" s="20"/>
      <c r="P649" s="20"/>
    </row>
    <row r="650">
      <c r="A650" s="49"/>
      <c r="B650" s="110"/>
      <c r="C650" s="49"/>
      <c r="D650" s="102"/>
      <c r="E650" s="25"/>
      <c r="F650" s="25"/>
      <c r="G650" s="25"/>
      <c r="H650" s="49"/>
      <c r="I650" s="89"/>
      <c r="J650" s="49"/>
      <c r="K650" s="36"/>
      <c r="L650" s="76"/>
      <c r="M650" s="20"/>
      <c r="N650" s="20"/>
      <c r="O650" s="20"/>
      <c r="P650" s="20"/>
    </row>
    <row r="651">
      <c r="A651" s="76"/>
      <c r="B651" s="97"/>
      <c r="C651" s="76"/>
      <c r="D651" s="99"/>
      <c r="E651" s="25"/>
      <c r="F651" s="25"/>
      <c r="G651" s="25"/>
      <c r="H651" s="76"/>
      <c r="I651" s="80"/>
      <c r="J651" s="76"/>
      <c r="K651" s="19"/>
      <c r="L651" s="10"/>
      <c r="M651" s="20"/>
      <c r="N651" s="20"/>
      <c r="O651" s="20"/>
      <c r="P651" s="20"/>
    </row>
    <row r="652">
      <c r="A652" s="49"/>
      <c r="B652" s="97"/>
      <c r="C652" s="49"/>
      <c r="D652" s="102"/>
      <c r="E652" s="25"/>
      <c r="F652" s="25"/>
      <c r="G652" s="25"/>
      <c r="H652" s="49"/>
      <c r="I652" s="89"/>
      <c r="J652" s="49"/>
      <c r="K652" s="36"/>
      <c r="L652" s="49"/>
      <c r="M652" s="20"/>
      <c r="N652" s="20"/>
      <c r="O652" s="20"/>
      <c r="P652" s="20"/>
    </row>
    <row r="653">
      <c r="A653" s="76"/>
      <c r="B653" s="97"/>
      <c r="C653" s="76"/>
      <c r="D653" s="99"/>
      <c r="E653" s="25"/>
      <c r="F653" s="25"/>
      <c r="G653" s="25"/>
      <c r="H653" s="76"/>
      <c r="I653" s="80"/>
      <c r="J653" s="76"/>
      <c r="K653" s="46"/>
      <c r="L653" s="76"/>
      <c r="M653" s="20"/>
      <c r="N653" s="20"/>
      <c r="O653" s="20"/>
      <c r="P653" s="20"/>
    </row>
    <row r="654">
      <c r="A654" s="49"/>
      <c r="B654" s="110"/>
      <c r="C654" s="49"/>
      <c r="D654" s="102"/>
      <c r="E654" s="25"/>
      <c r="F654" s="25"/>
      <c r="G654" s="25"/>
      <c r="H654" s="49"/>
      <c r="I654" s="89"/>
      <c r="J654" s="49"/>
      <c r="K654" s="36"/>
      <c r="L654" s="49"/>
      <c r="M654" s="20"/>
      <c r="N654" s="20"/>
      <c r="O654" s="20"/>
      <c r="P654" s="20"/>
    </row>
    <row r="655">
      <c r="A655" s="76"/>
      <c r="B655" s="97"/>
      <c r="C655" s="76"/>
      <c r="D655" s="99"/>
      <c r="E655" s="25"/>
      <c r="F655" s="25"/>
      <c r="G655" s="25"/>
      <c r="H655" s="76"/>
      <c r="I655" s="80"/>
      <c r="J655" s="76"/>
      <c r="K655" s="19"/>
      <c r="L655" s="76"/>
      <c r="M655" s="20"/>
      <c r="N655" s="20"/>
      <c r="O655" s="20"/>
      <c r="P655" s="20"/>
    </row>
    <row r="656">
      <c r="A656" s="49"/>
      <c r="B656" s="110"/>
      <c r="C656" s="49"/>
      <c r="D656" s="102"/>
      <c r="E656" s="25"/>
      <c r="F656" s="25"/>
      <c r="G656" s="25"/>
      <c r="H656" s="49"/>
      <c r="I656" s="89"/>
      <c r="J656" s="49"/>
      <c r="K656" s="30"/>
      <c r="L656" s="49"/>
      <c r="M656" s="20"/>
      <c r="N656" s="20"/>
      <c r="O656" s="20"/>
      <c r="P656" s="20"/>
    </row>
    <row r="657">
      <c r="A657" s="76"/>
      <c r="B657" s="97"/>
      <c r="C657" s="76"/>
      <c r="D657" s="99"/>
      <c r="E657" s="25"/>
      <c r="F657" s="25"/>
      <c r="G657" s="25"/>
      <c r="H657" s="76"/>
      <c r="I657" s="80"/>
      <c r="J657" s="76"/>
      <c r="K657" s="19"/>
      <c r="L657" s="76"/>
      <c r="M657" s="20"/>
      <c r="N657" s="20"/>
      <c r="O657" s="20"/>
      <c r="P657" s="20"/>
    </row>
    <row r="658">
      <c r="A658" s="49"/>
      <c r="B658" s="110"/>
      <c r="C658" s="49"/>
      <c r="D658" s="102"/>
      <c r="E658" s="25"/>
      <c r="F658" s="25"/>
      <c r="G658" s="25"/>
      <c r="H658" s="49"/>
      <c r="I658" s="89"/>
      <c r="J658" s="49"/>
      <c r="K658" s="30"/>
      <c r="L658" s="49"/>
      <c r="M658" s="20"/>
      <c r="N658" s="20"/>
      <c r="O658" s="20"/>
      <c r="P658" s="20"/>
    </row>
    <row r="659">
      <c r="A659" s="76"/>
      <c r="B659" s="97"/>
      <c r="C659" s="76"/>
      <c r="D659" s="99"/>
      <c r="E659" s="25"/>
      <c r="F659" s="25"/>
      <c r="G659" s="25"/>
      <c r="H659" s="76"/>
      <c r="I659" s="80"/>
      <c r="J659" s="76"/>
      <c r="K659" s="46"/>
      <c r="L659" s="76"/>
      <c r="M659" s="20"/>
      <c r="N659" s="20"/>
      <c r="O659" s="20"/>
      <c r="P659" s="20"/>
    </row>
    <row r="660">
      <c r="A660" s="49"/>
      <c r="B660" s="110"/>
      <c r="C660" s="49"/>
      <c r="D660" s="102"/>
      <c r="E660" s="25"/>
      <c r="F660" s="25"/>
      <c r="G660" s="25"/>
      <c r="H660" s="49"/>
      <c r="I660" s="89"/>
      <c r="J660" s="49"/>
      <c r="K660" s="36"/>
      <c r="L660" s="49"/>
      <c r="M660" s="20"/>
      <c r="N660" s="20"/>
      <c r="O660" s="20"/>
      <c r="P660" s="20"/>
    </row>
    <row r="661">
      <c r="A661" s="76"/>
      <c r="B661" s="97"/>
      <c r="C661" s="76"/>
      <c r="D661" s="99"/>
      <c r="E661" s="25"/>
      <c r="F661" s="25"/>
      <c r="G661" s="25"/>
      <c r="H661" s="76"/>
      <c r="I661" s="80"/>
      <c r="J661" s="76"/>
      <c r="K661" s="46"/>
      <c r="L661" s="76"/>
      <c r="M661" s="20"/>
      <c r="N661" s="20"/>
      <c r="O661" s="20"/>
      <c r="P661" s="20"/>
    </row>
    <row r="662">
      <c r="A662" s="49"/>
      <c r="B662" s="110"/>
      <c r="C662" s="102"/>
      <c r="D662" s="102"/>
      <c r="E662" s="25"/>
      <c r="F662" s="25"/>
      <c r="G662" s="25"/>
      <c r="H662" s="49"/>
      <c r="I662" s="89"/>
      <c r="J662" s="49"/>
      <c r="K662" s="30"/>
      <c r="L662" s="49"/>
      <c r="M662" s="20"/>
      <c r="N662" s="20"/>
      <c r="O662" s="20"/>
      <c r="P662" s="20"/>
    </row>
    <row r="663">
      <c r="A663" s="76"/>
      <c r="B663" s="97"/>
      <c r="C663" s="76"/>
      <c r="D663" s="99"/>
      <c r="E663" s="25"/>
      <c r="F663" s="25"/>
      <c r="G663" s="25"/>
      <c r="H663" s="76"/>
      <c r="I663" s="80"/>
      <c r="J663" s="76"/>
      <c r="K663" s="19"/>
      <c r="L663" s="76"/>
      <c r="M663" s="20"/>
      <c r="N663" s="20"/>
      <c r="O663" s="20"/>
      <c r="P663" s="20"/>
    </row>
    <row r="664">
      <c r="A664" s="49"/>
      <c r="B664" s="110"/>
      <c r="C664" s="49"/>
      <c r="D664" s="102"/>
      <c r="E664" s="25"/>
      <c r="F664" s="25"/>
      <c r="G664" s="25"/>
      <c r="H664" s="49"/>
      <c r="I664" s="89"/>
      <c r="J664" s="49"/>
      <c r="K664" s="30"/>
      <c r="L664" s="49"/>
      <c r="M664" s="20"/>
      <c r="N664" s="20"/>
      <c r="O664" s="20"/>
      <c r="P664" s="20"/>
    </row>
    <row r="665">
      <c r="A665" s="76"/>
      <c r="B665" s="97"/>
      <c r="C665" s="76"/>
      <c r="D665" s="99"/>
      <c r="E665" s="25"/>
      <c r="F665" s="25"/>
      <c r="G665" s="25"/>
      <c r="H665" s="76"/>
      <c r="I665" s="80"/>
      <c r="J665" s="76"/>
      <c r="K665" s="46"/>
      <c r="L665" s="76"/>
      <c r="M665" s="20"/>
      <c r="N665" s="20"/>
      <c r="O665" s="20"/>
      <c r="P665" s="20"/>
    </row>
    <row r="666">
      <c r="A666" s="49"/>
      <c r="B666" s="110"/>
      <c r="C666" s="49"/>
      <c r="D666" s="102"/>
      <c r="E666" s="25"/>
      <c r="F666" s="25"/>
      <c r="G666" s="25"/>
      <c r="H666" s="49"/>
      <c r="I666" s="27"/>
      <c r="J666" s="49"/>
      <c r="K666" s="30"/>
      <c r="L666" s="49"/>
      <c r="M666" s="20"/>
      <c r="N666" s="20"/>
      <c r="O666" s="20"/>
      <c r="P666" s="20"/>
    </row>
    <row r="667">
      <c r="A667" s="76"/>
      <c r="B667" s="97"/>
      <c r="C667" s="76"/>
      <c r="D667" s="99"/>
      <c r="E667" s="25"/>
      <c r="F667" s="25"/>
      <c r="G667" s="25"/>
      <c r="H667" s="10"/>
      <c r="I667" s="17"/>
      <c r="J667" s="10"/>
      <c r="K667" s="46"/>
      <c r="L667" s="76"/>
      <c r="M667" s="20"/>
      <c r="N667" s="20"/>
      <c r="O667" s="20"/>
      <c r="P667" s="20"/>
    </row>
    <row r="668">
      <c r="A668" s="49"/>
      <c r="B668" s="110"/>
      <c r="C668" s="49"/>
      <c r="D668" s="102"/>
      <c r="E668" s="25"/>
      <c r="F668" s="25"/>
      <c r="G668" s="25"/>
      <c r="H668" s="49"/>
      <c r="I668" s="89"/>
      <c r="J668" s="49"/>
      <c r="K668" s="30"/>
      <c r="L668" s="49"/>
      <c r="M668" s="20"/>
      <c r="N668" s="20"/>
      <c r="O668" s="20"/>
      <c r="P668" s="20"/>
    </row>
    <row r="669">
      <c r="A669" s="76"/>
      <c r="B669" s="97"/>
      <c r="C669" s="76"/>
      <c r="D669" s="99"/>
      <c r="E669" s="25"/>
      <c r="F669" s="25"/>
      <c r="G669" s="25"/>
      <c r="H669" s="76"/>
      <c r="I669" s="80"/>
      <c r="J669" s="76"/>
      <c r="K669" s="19"/>
      <c r="L669" s="76"/>
      <c r="M669" s="20"/>
      <c r="N669" s="20"/>
      <c r="O669" s="20"/>
      <c r="P669" s="20"/>
    </row>
    <row r="670">
      <c r="A670" s="49"/>
      <c r="B670" s="110"/>
      <c r="C670" s="49"/>
      <c r="D670" s="102"/>
      <c r="E670" s="25"/>
      <c r="F670" s="25"/>
      <c r="G670" s="25"/>
      <c r="H670" s="49"/>
      <c r="I670" s="89"/>
      <c r="J670" s="49"/>
      <c r="K670" s="36"/>
      <c r="L670" s="49"/>
      <c r="M670" s="20"/>
      <c r="N670" s="20"/>
      <c r="O670" s="20"/>
      <c r="P670" s="20"/>
    </row>
    <row r="671">
      <c r="A671" s="76"/>
      <c r="B671" s="97"/>
      <c r="C671" s="76"/>
      <c r="D671" s="99"/>
      <c r="E671" s="25"/>
      <c r="F671" s="25"/>
      <c r="G671" s="25"/>
      <c r="H671" s="10"/>
      <c r="I671" s="17"/>
      <c r="J671" s="10"/>
      <c r="K671" s="46"/>
      <c r="L671" s="76"/>
      <c r="M671" s="20"/>
      <c r="N671" s="20"/>
      <c r="O671" s="20"/>
      <c r="P671" s="20"/>
    </row>
    <row r="672">
      <c r="A672" s="49"/>
      <c r="B672" s="110"/>
      <c r="C672" s="49"/>
      <c r="D672" s="102"/>
      <c r="E672" s="25"/>
      <c r="F672" s="25"/>
      <c r="G672" s="25"/>
      <c r="H672" s="49"/>
      <c r="I672" s="89"/>
      <c r="J672" s="23"/>
      <c r="K672" s="30"/>
      <c r="L672" s="49"/>
      <c r="M672" s="20"/>
      <c r="N672" s="20"/>
      <c r="O672" s="20"/>
      <c r="P672" s="20"/>
    </row>
    <row r="673">
      <c r="A673" s="76"/>
      <c r="B673" s="97"/>
      <c r="C673" s="76"/>
      <c r="D673" s="99"/>
      <c r="E673" s="25"/>
      <c r="F673" s="25"/>
      <c r="G673" s="25"/>
      <c r="H673" s="76"/>
      <c r="I673" s="80"/>
      <c r="J673" s="76"/>
      <c r="K673" s="46"/>
      <c r="L673" s="76"/>
      <c r="M673" s="20"/>
      <c r="N673" s="20"/>
      <c r="O673" s="20"/>
      <c r="P673" s="20"/>
    </row>
    <row r="674">
      <c r="A674" s="49"/>
      <c r="B674" s="110"/>
      <c r="C674" s="49"/>
      <c r="D674" s="102"/>
      <c r="E674" s="25"/>
      <c r="F674" s="25"/>
      <c r="G674" s="25"/>
      <c r="H674" s="49"/>
      <c r="I674" s="89"/>
      <c r="J674" s="49"/>
      <c r="K674" s="30"/>
      <c r="L674" s="49"/>
      <c r="M674" s="20"/>
      <c r="N674" s="20"/>
      <c r="O674" s="20"/>
      <c r="P674" s="20"/>
    </row>
    <row r="675">
      <c r="A675" s="76"/>
      <c r="B675" s="97"/>
      <c r="C675" s="76"/>
      <c r="D675" s="99"/>
      <c r="E675" s="25"/>
      <c r="F675" s="25"/>
      <c r="G675" s="25"/>
      <c r="H675" s="76"/>
      <c r="I675" s="80"/>
      <c r="J675" s="76"/>
      <c r="K675" s="46"/>
      <c r="L675" s="76"/>
      <c r="M675" s="20"/>
      <c r="N675" s="20"/>
      <c r="O675" s="20"/>
      <c r="P675" s="20"/>
    </row>
    <row r="676">
      <c r="A676" s="49"/>
      <c r="B676" s="110"/>
      <c r="C676" s="49"/>
      <c r="D676" s="102"/>
      <c r="E676" s="25"/>
      <c r="F676" s="25"/>
      <c r="G676" s="25"/>
      <c r="H676" s="23"/>
      <c r="I676" s="27"/>
      <c r="J676" s="23"/>
      <c r="K676" s="30"/>
      <c r="L676" s="49"/>
      <c r="M676" s="20"/>
      <c r="N676" s="20"/>
      <c r="O676" s="20"/>
      <c r="P676" s="20"/>
    </row>
    <row r="677">
      <c r="A677" s="76"/>
      <c r="B677" s="97"/>
      <c r="C677" s="76"/>
      <c r="D677" s="99"/>
      <c r="E677" s="25"/>
      <c r="F677" s="25"/>
      <c r="G677" s="25"/>
      <c r="H677" s="10"/>
      <c r="I677" s="17"/>
      <c r="J677" s="10"/>
      <c r="K677" s="46"/>
      <c r="L677" s="76"/>
      <c r="M677" s="20"/>
      <c r="N677" s="20"/>
      <c r="O677" s="20"/>
      <c r="P677" s="20"/>
    </row>
    <row r="678">
      <c r="A678" s="49"/>
      <c r="B678" s="110"/>
      <c r="C678" s="49"/>
      <c r="D678" s="102"/>
      <c r="E678" s="25"/>
      <c r="F678" s="25"/>
      <c r="G678" s="25"/>
      <c r="H678" s="49"/>
      <c r="I678" s="89"/>
      <c r="J678" s="49"/>
      <c r="K678" s="36"/>
      <c r="L678" s="49"/>
      <c r="M678" s="20"/>
      <c r="N678" s="20"/>
      <c r="O678" s="20"/>
      <c r="P678" s="20"/>
    </row>
    <row r="679">
      <c r="A679" s="76"/>
      <c r="B679" s="97"/>
      <c r="C679" s="76"/>
      <c r="D679" s="99"/>
      <c r="E679" s="25"/>
      <c r="F679" s="25"/>
      <c r="G679" s="25"/>
      <c r="H679" s="76"/>
      <c r="I679" s="80"/>
      <c r="J679" s="76"/>
      <c r="K679" s="46"/>
      <c r="L679" s="76"/>
      <c r="M679" s="20"/>
      <c r="N679" s="20"/>
      <c r="O679" s="20"/>
      <c r="P679" s="20"/>
    </row>
    <row r="680">
      <c r="A680" s="49"/>
      <c r="B680" s="110"/>
      <c r="C680" s="49"/>
      <c r="D680" s="102"/>
      <c r="E680" s="25"/>
      <c r="F680" s="25"/>
      <c r="G680" s="25"/>
      <c r="H680" s="49"/>
      <c r="I680" s="89"/>
      <c r="J680" s="49"/>
      <c r="K680" s="36"/>
      <c r="L680" s="49"/>
      <c r="M680" s="20"/>
      <c r="N680" s="20"/>
      <c r="O680" s="20"/>
      <c r="P680" s="20"/>
    </row>
    <row r="681">
      <c r="A681" s="76"/>
      <c r="B681" s="97"/>
      <c r="C681" s="76"/>
      <c r="D681" s="99"/>
      <c r="E681" s="25"/>
      <c r="F681" s="25"/>
      <c r="G681" s="25"/>
      <c r="H681" s="76"/>
      <c r="I681" s="80"/>
      <c r="J681" s="76"/>
      <c r="K681" s="19"/>
      <c r="L681" s="76"/>
      <c r="M681" s="20"/>
      <c r="N681" s="20"/>
      <c r="O681" s="20"/>
      <c r="P681" s="20"/>
    </row>
    <row r="682">
      <c r="A682" s="49"/>
      <c r="B682" s="110"/>
      <c r="C682" s="49"/>
      <c r="D682" s="99"/>
      <c r="E682" s="25"/>
      <c r="F682" s="25"/>
      <c r="G682" s="25"/>
      <c r="H682" s="49"/>
      <c r="I682" s="89"/>
      <c r="J682" s="49"/>
      <c r="K682" s="36"/>
      <c r="L682" s="49"/>
      <c r="M682" s="20"/>
      <c r="N682" s="20"/>
      <c r="O682" s="20"/>
      <c r="P682" s="20"/>
    </row>
    <row r="683">
      <c r="A683" s="76"/>
      <c r="B683" s="97"/>
      <c r="C683" s="76"/>
      <c r="D683" s="99"/>
      <c r="E683" s="25"/>
      <c r="F683" s="25"/>
      <c r="G683" s="25"/>
      <c r="H683" s="10"/>
      <c r="I683" s="17"/>
      <c r="J683" s="10"/>
      <c r="K683" s="46"/>
      <c r="L683" s="76"/>
      <c r="M683" s="20"/>
      <c r="N683" s="20"/>
      <c r="O683" s="20"/>
      <c r="P683" s="20"/>
    </row>
    <row r="684">
      <c r="A684" s="49"/>
      <c r="B684" s="110"/>
      <c r="C684" s="49"/>
      <c r="D684" s="102"/>
      <c r="E684" s="25"/>
      <c r="F684" s="25"/>
      <c r="G684" s="25"/>
      <c r="H684" s="49"/>
      <c r="I684" s="89"/>
      <c r="J684" s="23"/>
      <c r="K684" s="30"/>
      <c r="L684" s="49"/>
      <c r="M684" s="20"/>
      <c r="N684" s="20"/>
      <c r="O684" s="20"/>
      <c r="P684" s="20"/>
    </row>
    <row r="685">
      <c r="A685" s="76"/>
      <c r="B685" s="97"/>
      <c r="C685" s="76"/>
      <c r="D685" s="99"/>
      <c r="E685" s="25"/>
      <c r="F685" s="25"/>
      <c r="G685" s="25"/>
      <c r="H685" s="76"/>
      <c r="I685" s="80"/>
      <c r="J685" s="76"/>
      <c r="K685" s="46"/>
      <c r="L685" s="76"/>
      <c r="M685" s="20"/>
      <c r="N685" s="20"/>
      <c r="O685" s="20"/>
      <c r="P685" s="20"/>
    </row>
    <row r="686">
      <c r="A686" s="49"/>
      <c r="B686" s="110"/>
      <c r="C686" s="49"/>
      <c r="D686" s="102"/>
      <c r="E686" s="25"/>
      <c r="F686" s="25"/>
      <c r="G686" s="25"/>
      <c r="H686" s="49"/>
      <c r="I686" s="89"/>
      <c r="J686" s="49"/>
      <c r="K686" s="30"/>
      <c r="L686" s="49"/>
      <c r="M686" s="20"/>
      <c r="N686" s="20"/>
      <c r="O686" s="20"/>
      <c r="P686" s="20"/>
    </row>
    <row r="687">
      <c r="A687" s="76"/>
      <c r="B687" s="97"/>
      <c r="C687" s="76"/>
      <c r="D687" s="99"/>
      <c r="E687" s="25"/>
      <c r="F687" s="25"/>
      <c r="G687" s="25"/>
      <c r="H687" s="76"/>
      <c r="I687" s="80"/>
      <c r="J687" s="76"/>
      <c r="K687" s="46"/>
      <c r="L687" s="76"/>
      <c r="M687" s="20"/>
      <c r="N687" s="20"/>
      <c r="O687" s="20"/>
      <c r="P687" s="20"/>
    </row>
    <row r="688">
      <c r="A688" s="49"/>
      <c r="B688" s="110"/>
      <c r="C688" s="49"/>
      <c r="D688" s="102"/>
      <c r="E688" s="25"/>
      <c r="F688" s="25"/>
      <c r="G688" s="25"/>
      <c r="H688" s="49"/>
      <c r="I688" s="89"/>
      <c r="J688" s="49"/>
      <c r="K688" s="36"/>
      <c r="L688" s="49"/>
      <c r="M688" s="20"/>
      <c r="N688" s="20"/>
      <c r="O688" s="20"/>
      <c r="P688" s="20"/>
    </row>
    <row r="689">
      <c r="A689" s="76"/>
      <c r="B689" s="97"/>
      <c r="C689" s="76"/>
      <c r="D689" s="99"/>
      <c r="E689" s="25"/>
      <c r="F689" s="25"/>
      <c r="G689" s="25"/>
      <c r="H689" s="10"/>
      <c r="I689" s="17"/>
      <c r="J689" s="10"/>
      <c r="K689" s="46"/>
      <c r="L689" s="76"/>
      <c r="M689" s="20"/>
      <c r="N689" s="20"/>
      <c r="O689" s="20"/>
      <c r="P689" s="20"/>
    </row>
    <row r="690">
      <c r="A690" s="49"/>
      <c r="B690" s="110"/>
      <c r="C690" s="49"/>
      <c r="D690" s="102"/>
      <c r="E690" s="25"/>
      <c r="F690" s="25"/>
      <c r="G690" s="25"/>
      <c r="H690" s="49"/>
      <c r="I690" s="89"/>
      <c r="J690" s="49"/>
      <c r="K690" s="36"/>
      <c r="L690" s="49"/>
      <c r="M690" s="20"/>
      <c r="N690" s="20"/>
      <c r="O690" s="20"/>
      <c r="P690" s="20"/>
    </row>
    <row r="691">
      <c r="A691" s="76"/>
      <c r="B691" s="97"/>
      <c r="C691" s="76"/>
      <c r="D691" s="99"/>
      <c r="E691" s="25"/>
      <c r="F691" s="25"/>
      <c r="G691" s="25"/>
      <c r="H691" s="76"/>
      <c r="I691" s="80"/>
      <c r="J691" s="76"/>
      <c r="K691" s="46"/>
      <c r="L691" s="76"/>
      <c r="M691" s="20"/>
      <c r="N691" s="20"/>
      <c r="O691" s="20"/>
      <c r="P691" s="20"/>
    </row>
    <row r="692">
      <c r="A692" s="49"/>
      <c r="B692" s="110"/>
      <c r="C692" s="49"/>
      <c r="D692" s="102"/>
      <c r="E692" s="25"/>
      <c r="F692" s="25"/>
      <c r="G692" s="25"/>
      <c r="H692" s="49"/>
      <c r="I692" s="89"/>
      <c r="J692" s="49"/>
      <c r="K692" s="30"/>
      <c r="L692" s="49"/>
      <c r="M692" s="20"/>
      <c r="N692" s="20"/>
      <c r="O692" s="20"/>
      <c r="P692" s="20"/>
    </row>
    <row r="693">
      <c r="A693" s="76"/>
      <c r="B693" s="97"/>
      <c r="C693" s="120"/>
      <c r="D693" s="99"/>
      <c r="E693" s="25"/>
      <c r="F693" s="25"/>
      <c r="G693" s="25"/>
      <c r="H693" s="10"/>
      <c r="I693" s="17"/>
      <c r="J693" s="10"/>
      <c r="K693" s="46"/>
      <c r="L693" s="76"/>
      <c r="M693" s="20"/>
      <c r="N693" s="20"/>
      <c r="O693" s="20"/>
      <c r="P693" s="20"/>
    </row>
    <row r="694">
      <c r="A694" s="49"/>
      <c r="B694" s="110"/>
      <c r="C694" s="49"/>
      <c r="D694" s="102"/>
      <c r="E694" s="25"/>
      <c r="F694" s="25"/>
      <c r="G694" s="25"/>
      <c r="H694" s="23"/>
      <c r="I694" s="89"/>
      <c r="J694" s="23"/>
      <c r="K694" s="30"/>
      <c r="L694" s="76"/>
      <c r="M694" s="20"/>
      <c r="N694" s="20"/>
      <c r="O694" s="20"/>
      <c r="P694" s="20"/>
    </row>
    <row r="695">
      <c r="A695" s="49"/>
      <c r="B695" s="110"/>
      <c r="C695" s="76"/>
      <c r="D695" s="99"/>
      <c r="E695" s="25"/>
      <c r="F695" s="25"/>
      <c r="G695" s="25"/>
      <c r="H695" s="76"/>
      <c r="I695" s="80"/>
      <c r="J695" s="76"/>
      <c r="K695" s="19"/>
      <c r="L695" s="76"/>
      <c r="M695" s="20"/>
      <c r="N695" s="20"/>
      <c r="O695" s="20"/>
      <c r="P695" s="20"/>
    </row>
    <row r="696">
      <c r="A696" s="49"/>
      <c r="B696" s="110"/>
      <c r="C696" s="49"/>
      <c r="D696" s="102"/>
      <c r="E696" s="25"/>
      <c r="F696" s="25"/>
      <c r="G696" s="25"/>
      <c r="H696" s="49"/>
      <c r="I696" s="89"/>
      <c r="J696" s="49"/>
      <c r="K696" s="36"/>
      <c r="L696" s="49"/>
      <c r="M696" s="20"/>
      <c r="N696" s="20"/>
      <c r="O696" s="20"/>
      <c r="P696" s="20"/>
    </row>
    <row r="697">
      <c r="A697" s="76"/>
      <c r="B697" s="97"/>
      <c r="C697" s="76"/>
      <c r="D697" s="99"/>
      <c r="E697" s="25"/>
      <c r="F697" s="25"/>
      <c r="G697" s="25"/>
      <c r="H697" s="139"/>
      <c r="I697" s="17"/>
      <c r="J697" s="76"/>
      <c r="K697" s="46"/>
      <c r="L697" s="76"/>
      <c r="M697" s="20"/>
      <c r="N697" s="20"/>
      <c r="O697" s="20"/>
      <c r="P697" s="20"/>
    </row>
    <row r="698">
      <c r="A698" s="49"/>
      <c r="B698" s="110"/>
      <c r="C698" s="76"/>
      <c r="D698" s="99"/>
      <c r="E698" s="25"/>
      <c r="F698" s="25"/>
      <c r="G698" s="25"/>
      <c r="H698" s="76"/>
      <c r="I698" s="80"/>
      <c r="J698" s="49"/>
      <c r="K698" s="30"/>
      <c r="L698" s="23"/>
      <c r="M698" s="20"/>
      <c r="N698" s="20"/>
      <c r="O698" s="20"/>
      <c r="P698" s="20"/>
    </row>
    <row r="699">
      <c r="A699" s="76"/>
      <c r="B699" s="97"/>
      <c r="C699" s="76"/>
      <c r="D699" s="99"/>
      <c r="E699" s="25"/>
      <c r="F699" s="25"/>
      <c r="G699" s="25"/>
      <c r="H699" s="76"/>
      <c r="I699" s="80"/>
      <c r="J699" s="76"/>
      <c r="K699" s="19"/>
      <c r="L699" s="76"/>
      <c r="M699" s="20"/>
      <c r="N699" s="20"/>
      <c r="O699" s="20"/>
      <c r="P699" s="20"/>
    </row>
    <row r="700">
      <c r="A700" s="49"/>
      <c r="B700" s="110"/>
      <c r="C700" s="49"/>
      <c r="D700" s="102"/>
      <c r="E700" s="25"/>
      <c r="F700" s="25"/>
      <c r="G700" s="25"/>
      <c r="H700" s="23"/>
      <c r="I700" s="27"/>
      <c r="J700" s="23"/>
      <c r="K700" s="30"/>
      <c r="L700" s="49"/>
      <c r="M700" s="20"/>
      <c r="N700" s="20"/>
      <c r="O700" s="20"/>
      <c r="P700" s="20"/>
    </row>
    <row r="701">
      <c r="A701" s="76"/>
      <c r="B701" s="97"/>
      <c r="C701" s="76"/>
      <c r="D701" s="99"/>
      <c r="E701" s="25"/>
      <c r="F701" s="25"/>
      <c r="G701" s="25"/>
      <c r="H701" s="10"/>
      <c r="I701" s="17"/>
      <c r="J701" s="10"/>
      <c r="K701" s="46"/>
      <c r="L701" s="76"/>
      <c r="M701" s="20"/>
      <c r="N701" s="20"/>
      <c r="O701" s="20"/>
      <c r="P701" s="20"/>
    </row>
    <row r="702">
      <c r="A702" s="49"/>
      <c r="B702" s="110"/>
      <c r="C702" s="49"/>
      <c r="D702" s="102"/>
      <c r="E702" s="25"/>
      <c r="F702" s="25"/>
      <c r="G702" s="25"/>
      <c r="H702" s="49"/>
      <c r="I702" s="27"/>
      <c r="J702" s="49"/>
      <c r="K702" s="30"/>
      <c r="L702" s="49"/>
      <c r="M702" s="20"/>
      <c r="N702" s="20"/>
      <c r="O702" s="20"/>
      <c r="P702" s="20"/>
    </row>
    <row r="703">
      <c r="A703" s="76"/>
      <c r="B703" s="97"/>
      <c r="C703" s="76"/>
      <c r="D703" s="99"/>
      <c r="E703" s="25"/>
      <c r="F703" s="25"/>
      <c r="G703" s="25"/>
      <c r="H703" s="10"/>
      <c r="I703" s="17"/>
      <c r="J703" s="10"/>
      <c r="K703" s="46"/>
      <c r="L703" s="76"/>
      <c r="M703" s="20"/>
      <c r="N703" s="20"/>
      <c r="O703" s="20"/>
      <c r="P703" s="20"/>
    </row>
    <row r="704">
      <c r="A704" s="49"/>
      <c r="B704" s="110"/>
      <c r="C704" s="49"/>
      <c r="D704" s="102"/>
      <c r="E704" s="25"/>
      <c r="F704" s="25"/>
      <c r="G704" s="25"/>
      <c r="H704" s="49"/>
      <c r="I704" s="27"/>
      <c r="J704" s="23"/>
      <c r="K704" s="30"/>
      <c r="L704" s="49"/>
      <c r="M704" s="20"/>
      <c r="N704" s="20"/>
      <c r="O704" s="20"/>
      <c r="P704" s="20"/>
    </row>
    <row r="705">
      <c r="A705" s="76"/>
      <c r="B705" s="97"/>
      <c r="C705" s="76"/>
      <c r="D705" s="99"/>
      <c r="E705" s="25"/>
      <c r="F705" s="25"/>
      <c r="G705" s="25"/>
      <c r="H705" s="76"/>
      <c r="I705" s="80"/>
      <c r="J705" s="76"/>
      <c r="K705" s="46"/>
      <c r="L705" s="76"/>
      <c r="M705" s="20"/>
      <c r="N705" s="20"/>
      <c r="O705" s="20"/>
      <c r="P705" s="20"/>
    </row>
    <row r="706">
      <c r="A706" s="49"/>
      <c r="B706" s="110"/>
      <c r="C706" s="49"/>
      <c r="D706" s="102"/>
      <c r="E706" s="25"/>
      <c r="F706" s="25"/>
      <c r="G706" s="25"/>
      <c r="H706" s="49"/>
      <c r="I706" s="89"/>
      <c r="J706" s="49"/>
      <c r="K706" s="30"/>
      <c r="L706" s="49"/>
      <c r="M706" s="20"/>
      <c r="N706" s="20"/>
      <c r="O706" s="20"/>
      <c r="P706" s="20"/>
    </row>
    <row r="707">
      <c r="A707" s="76"/>
      <c r="B707" s="97"/>
      <c r="C707" s="76"/>
      <c r="D707" s="99"/>
      <c r="E707" s="25"/>
      <c r="F707" s="25"/>
      <c r="G707" s="25"/>
      <c r="H707" s="10"/>
      <c r="I707" s="17"/>
      <c r="J707" s="10"/>
      <c r="K707" s="46"/>
      <c r="L707" s="76"/>
      <c r="M707" s="20"/>
      <c r="N707" s="20"/>
      <c r="O707" s="20"/>
      <c r="P707" s="20"/>
    </row>
    <row r="708">
      <c r="A708" s="49"/>
      <c r="B708" s="110"/>
      <c r="C708" s="49"/>
      <c r="D708" s="102"/>
      <c r="E708" s="25"/>
      <c r="F708" s="25"/>
      <c r="G708" s="25"/>
      <c r="H708" s="49"/>
      <c r="I708" s="89"/>
      <c r="J708" s="49"/>
      <c r="K708" s="30"/>
      <c r="L708" s="49"/>
      <c r="M708" s="20"/>
      <c r="N708" s="20"/>
      <c r="O708" s="20"/>
      <c r="P708" s="20"/>
    </row>
    <row r="709">
      <c r="A709" s="76"/>
      <c r="B709" s="97"/>
      <c r="C709" s="76"/>
      <c r="D709" s="99"/>
      <c r="E709" s="25"/>
      <c r="F709" s="25"/>
      <c r="G709" s="25"/>
      <c r="H709" s="76"/>
      <c r="I709" s="80"/>
      <c r="J709" s="76"/>
      <c r="K709" s="46"/>
      <c r="L709" s="76"/>
      <c r="M709" s="20"/>
      <c r="N709" s="20"/>
      <c r="O709" s="20"/>
      <c r="P709" s="20"/>
    </row>
    <row r="710">
      <c r="A710" s="49"/>
      <c r="B710" s="110"/>
      <c r="C710" s="49"/>
      <c r="D710" s="102"/>
      <c r="E710" s="25"/>
      <c r="F710" s="25"/>
      <c r="G710" s="25"/>
      <c r="H710" s="49"/>
      <c r="I710" s="27"/>
      <c r="J710" s="49"/>
      <c r="K710" s="30"/>
      <c r="L710" s="49"/>
      <c r="M710" s="20"/>
      <c r="N710" s="20"/>
      <c r="O710" s="20"/>
      <c r="P710" s="20"/>
    </row>
    <row r="711">
      <c r="A711" s="76"/>
      <c r="B711" s="97"/>
      <c r="C711" s="76"/>
      <c r="D711" s="99"/>
      <c r="E711" s="25"/>
      <c r="F711" s="25"/>
      <c r="G711" s="25"/>
      <c r="H711" s="76"/>
      <c r="I711" s="80"/>
      <c r="J711" s="76"/>
      <c r="K711" s="46"/>
      <c r="L711" s="76"/>
      <c r="M711" s="20"/>
      <c r="N711" s="20"/>
      <c r="O711" s="20"/>
      <c r="P711" s="20"/>
    </row>
    <row r="712">
      <c r="A712" s="49"/>
      <c r="B712" s="110"/>
      <c r="C712" s="49"/>
      <c r="D712" s="102"/>
      <c r="E712" s="25"/>
      <c r="F712" s="25"/>
      <c r="G712" s="25"/>
      <c r="H712" s="76"/>
      <c r="I712" s="80"/>
      <c r="J712" s="49"/>
      <c r="K712" s="30"/>
      <c r="L712" s="23"/>
      <c r="M712" s="20"/>
      <c r="N712" s="20"/>
      <c r="O712" s="20"/>
      <c r="P712" s="20"/>
    </row>
    <row r="713">
      <c r="A713" s="76"/>
      <c r="B713" s="97"/>
      <c r="C713" s="76"/>
      <c r="D713" s="99"/>
      <c r="E713" s="25"/>
      <c r="F713" s="25"/>
      <c r="G713" s="25"/>
      <c r="H713" s="76"/>
      <c r="I713" s="80"/>
      <c r="J713" s="76"/>
      <c r="K713" s="46"/>
      <c r="L713" s="76"/>
      <c r="M713" s="20"/>
      <c r="N713" s="20"/>
      <c r="O713" s="20"/>
      <c r="P713" s="20"/>
    </row>
    <row r="714">
      <c r="A714" s="49"/>
      <c r="B714" s="135"/>
      <c r="C714" s="49"/>
      <c r="D714" s="102"/>
      <c r="E714" s="25"/>
      <c r="F714" s="25"/>
      <c r="G714" s="25"/>
      <c r="H714" s="23"/>
      <c r="I714" s="27"/>
      <c r="J714" s="23"/>
      <c r="K714" s="30"/>
      <c r="L714" s="49"/>
      <c r="M714" s="20"/>
      <c r="N714" s="20"/>
      <c r="O714" s="20"/>
      <c r="P714" s="20"/>
    </row>
    <row r="715">
      <c r="A715" s="76"/>
      <c r="B715" s="97"/>
      <c r="C715" s="76"/>
      <c r="D715" s="99"/>
      <c r="E715" s="25"/>
      <c r="F715" s="25"/>
      <c r="G715" s="25"/>
      <c r="H715" s="76"/>
      <c r="I715" s="80"/>
      <c r="J715" s="76"/>
      <c r="K715" s="46"/>
      <c r="L715" s="10"/>
      <c r="M715" s="20"/>
      <c r="N715" s="20"/>
      <c r="O715" s="20"/>
      <c r="P715" s="20"/>
    </row>
    <row r="716">
      <c r="A716" s="49"/>
      <c r="B716" s="110"/>
      <c r="C716" s="49"/>
      <c r="D716" s="102"/>
      <c r="E716" s="25"/>
      <c r="F716" s="25"/>
      <c r="G716" s="25"/>
      <c r="H716" s="49"/>
      <c r="I716" s="89"/>
      <c r="J716" s="49"/>
      <c r="K716" s="30"/>
      <c r="L716" s="49"/>
      <c r="M716" s="20"/>
      <c r="N716" s="20"/>
      <c r="O716" s="20"/>
      <c r="P716" s="20"/>
    </row>
    <row r="717">
      <c r="A717" s="76"/>
      <c r="B717" s="97"/>
      <c r="C717" s="76"/>
      <c r="D717" s="99"/>
      <c r="E717" s="25"/>
      <c r="F717" s="25"/>
      <c r="G717" s="25"/>
      <c r="H717" s="76"/>
      <c r="I717" s="80"/>
      <c r="J717" s="10"/>
      <c r="K717" s="46"/>
      <c r="L717" s="76"/>
      <c r="M717" s="20"/>
      <c r="N717" s="20"/>
      <c r="O717" s="20"/>
      <c r="P717" s="20"/>
    </row>
    <row r="718">
      <c r="A718" s="49"/>
      <c r="B718" s="110"/>
      <c r="C718" s="49"/>
      <c r="D718" s="102"/>
      <c r="E718" s="25"/>
      <c r="F718" s="25"/>
      <c r="G718" s="25"/>
      <c r="H718" s="49"/>
      <c r="I718" s="89"/>
      <c r="J718" s="49"/>
      <c r="K718" s="30"/>
      <c r="L718" s="49"/>
      <c r="M718" s="20"/>
      <c r="N718" s="20"/>
      <c r="O718" s="20"/>
      <c r="P718" s="20"/>
    </row>
    <row r="719">
      <c r="A719" s="76"/>
      <c r="B719" s="110"/>
      <c r="C719" s="76"/>
      <c r="D719" s="99"/>
      <c r="E719" s="25"/>
      <c r="F719" s="25"/>
      <c r="G719" s="25"/>
      <c r="H719" s="76"/>
      <c r="I719" s="80"/>
      <c r="J719" s="76"/>
      <c r="K719" s="46"/>
      <c r="L719" s="76"/>
      <c r="M719" s="20"/>
      <c r="N719" s="20"/>
      <c r="O719" s="20"/>
      <c r="P719" s="20"/>
    </row>
    <row r="720">
      <c r="A720" s="49"/>
      <c r="B720" s="110"/>
      <c r="C720" s="49"/>
      <c r="D720" s="102"/>
      <c r="E720" s="25"/>
      <c r="F720" s="25"/>
      <c r="G720" s="25"/>
      <c r="H720" s="49"/>
      <c r="I720" s="89"/>
      <c r="J720" s="49"/>
      <c r="K720" s="30"/>
      <c r="L720" s="49"/>
      <c r="M720" s="20"/>
      <c r="N720" s="20"/>
      <c r="O720" s="20"/>
      <c r="P720" s="20"/>
    </row>
    <row r="721">
      <c r="A721" s="76"/>
      <c r="B721" s="97"/>
      <c r="C721" s="76"/>
      <c r="D721" s="99"/>
      <c r="E721" s="25"/>
      <c r="F721" s="25"/>
      <c r="G721" s="25"/>
      <c r="H721" s="76"/>
      <c r="I721" s="80"/>
      <c r="J721" s="76"/>
      <c r="K721" s="46"/>
      <c r="L721" s="10"/>
      <c r="M721" s="20"/>
      <c r="N721" s="20"/>
      <c r="O721" s="20"/>
      <c r="P721" s="20"/>
    </row>
    <row r="722">
      <c r="A722" s="49"/>
      <c r="B722" s="110"/>
      <c r="C722" s="49"/>
      <c r="D722" s="102"/>
      <c r="E722" s="25"/>
      <c r="F722" s="25"/>
      <c r="G722" s="25"/>
      <c r="H722" s="49"/>
      <c r="I722" s="89"/>
      <c r="J722" s="49"/>
      <c r="K722" s="30"/>
      <c r="L722" s="23"/>
      <c r="M722" s="20"/>
      <c r="N722" s="20"/>
      <c r="O722" s="20"/>
      <c r="P722" s="20"/>
    </row>
    <row r="723">
      <c r="A723" s="76"/>
      <c r="B723" s="97"/>
      <c r="C723" s="76"/>
      <c r="D723" s="99"/>
      <c r="E723" s="25"/>
      <c r="F723" s="25"/>
      <c r="G723" s="25"/>
      <c r="H723" s="76"/>
      <c r="I723" s="80"/>
      <c r="J723" s="129"/>
      <c r="K723" s="19"/>
      <c r="L723" s="10"/>
      <c r="M723" s="20"/>
      <c r="N723" s="20"/>
      <c r="O723" s="20"/>
      <c r="P723" s="20"/>
    </row>
    <row r="724">
      <c r="A724" s="49"/>
      <c r="B724" s="110"/>
      <c r="C724" s="49"/>
      <c r="D724" s="102"/>
      <c r="E724" s="25"/>
      <c r="F724" s="25"/>
      <c r="G724" s="25"/>
      <c r="H724" s="49"/>
      <c r="I724" s="89"/>
      <c r="J724" s="49"/>
      <c r="K724" s="36"/>
      <c r="L724" s="49"/>
      <c r="M724" s="20"/>
      <c r="N724" s="20"/>
      <c r="O724" s="20"/>
      <c r="P724" s="20"/>
    </row>
    <row r="725">
      <c r="A725" s="76"/>
      <c r="B725" s="97"/>
      <c r="C725" s="76"/>
      <c r="D725" s="99"/>
      <c r="E725" s="25"/>
      <c r="F725" s="25"/>
      <c r="G725" s="25"/>
      <c r="H725" s="76"/>
      <c r="I725" s="80"/>
      <c r="J725" s="76"/>
      <c r="K725" s="46"/>
      <c r="L725" s="76"/>
      <c r="M725" s="20"/>
      <c r="N725" s="20"/>
      <c r="O725" s="20"/>
      <c r="P725" s="20"/>
    </row>
    <row r="726">
      <c r="A726" s="49"/>
      <c r="B726" s="110"/>
      <c r="C726" s="49"/>
      <c r="D726" s="102"/>
      <c r="E726" s="25"/>
      <c r="F726" s="25"/>
      <c r="G726" s="25"/>
      <c r="H726" s="49"/>
      <c r="I726" s="89"/>
      <c r="J726" s="49"/>
      <c r="K726" s="30"/>
      <c r="L726" s="49"/>
      <c r="M726" s="20"/>
      <c r="N726" s="20"/>
      <c r="O726" s="20"/>
      <c r="P726" s="20"/>
    </row>
    <row r="727">
      <c r="A727" s="76"/>
      <c r="B727" s="97"/>
      <c r="C727" s="76"/>
      <c r="D727" s="99"/>
      <c r="E727" s="25"/>
      <c r="F727" s="25"/>
      <c r="G727" s="25"/>
      <c r="H727" s="76"/>
      <c r="I727" s="80"/>
      <c r="J727" s="76"/>
      <c r="K727" s="46"/>
      <c r="L727" s="76"/>
      <c r="M727" s="20"/>
      <c r="N727" s="20"/>
      <c r="O727" s="20"/>
      <c r="P727" s="20"/>
    </row>
    <row r="728">
      <c r="A728" s="49"/>
      <c r="B728" s="110"/>
      <c r="C728" s="49"/>
      <c r="D728" s="102"/>
      <c r="E728" s="25"/>
      <c r="F728" s="25"/>
      <c r="G728" s="25"/>
      <c r="H728" s="23"/>
      <c r="I728" s="27"/>
      <c r="J728" s="23"/>
      <c r="K728" s="30"/>
      <c r="L728" s="49"/>
      <c r="M728" s="20"/>
      <c r="N728" s="20"/>
      <c r="O728" s="20"/>
      <c r="P728" s="20"/>
    </row>
    <row r="729">
      <c r="A729" s="76"/>
      <c r="B729" s="97"/>
      <c r="C729" s="76"/>
      <c r="D729" s="99"/>
      <c r="E729" s="25"/>
      <c r="F729" s="25"/>
      <c r="G729" s="25"/>
      <c r="H729" s="76"/>
      <c r="I729" s="80"/>
      <c r="J729" s="76"/>
      <c r="K729" s="46"/>
      <c r="L729" s="76"/>
      <c r="M729" s="20"/>
      <c r="N729" s="20"/>
      <c r="O729" s="20"/>
      <c r="P729" s="20"/>
    </row>
    <row r="730">
      <c r="A730" s="49"/>
      <c r="B730" s="110"/>
      <c r="C730" s="49"/>
      <c r="D730" s="102"/>
      <c r="E730" s="25"/>
      <c r="F730" s="25"/>
      <c r="G730" s="25"/>
      <c r="H730" s="49"/>
      <c r="I730" s="89"/>
      <c r="J730" s="49"/>
      <c r="K730" s="30"/>
      <c r="L730" s="49"/>
      <c r="M730" s="20"/>
      <c r="N730" s="20"/>
      <c r="O730" s="20"/>
      <c r="P730" s="20"/>
    </row>
    <row r="731">
      <c r="A731" s="76"/>
      <c r="B731" s="97"/>
      <c r="C731" s="76"/>
      <c r="D731" s="99"/>
      <c r="E731" s="25"/>
      <c r="F731" s="25"/>
      <c r="G731" s="25"/>
      <c r="H731" s="76"/>
      <c r="I731" s="80"/>
      <c r="J731" s="10"/>
      <c r="K731" s="46"/>
      <c r="L731" s="76"/>
      <c r="M731" s="20"/>
      <c r="N731" s="20"/>
      <c r="O731" s="20"/>
      <c r="P731" s="20"/>
    </row>
    <row r="732">
      <c r="A732" s="49"/>
      <c r="B732" s="110"/>
      <c r="C732" s="49"/>
      <c r="D732" s="102"/>
      <c r="E732" s="25"/>
      <c r="F732" s="25"/>
      <c r="G732" s="25"/>
      <c r="H732" s="23"/>
      <c r="I732" s="27"/>
      <c r="J732" s="23"/>
      <c r="K732" s="30"/>
      <c r="L732" s="49"/>
      <c r="M732" s="20"/>
      <c r="N732" s="20"/>
      <c r="O732" s="20"/>
      <c r="P732" s="20"/>
    </row>
    <row r="733">
      <c r="A733" s="76"/>
      <c r="B733" s="97"/>
      <c r="C733" s="76"/>
      <c r="D733" s="99"/>
      <c r="E733" s="25"/>
      <c r="F733" s="25"/>
      <c r="G733" s="25"/>
      <c r="H733" s="76"/>
      <c r="I733" s="80"/>
      <c r="J733" s="10"/>
      <c r="K733" s="46"/>
      <c r="L733" s="76"/>
      <c r="M733" s="20"/>
      <c r="N733" s="20"/>
      <c r="O733" s="20"/>
      <c r="P733" s="20"/>
    </row>
    <row r="734">
      <c r="A734" s="49"/>
      <c r="B734" s="110"/>
      <c r="C734" s="49"/>
      <c r="D734" s="102"/>
      <c r="E734" s="25"/>
      <c r="F734" s="25"/>
      <c r="G734" s="25"/>
      <c r="H734" s="49"/>
      <c r="I734" s="89"/>
      <c r="J734" s="49"/>
      <c r="K734" s="30"/>
      <c r="L734" s="49"/>
      <c r="M734" s="20"/>
      <c r="N734" s="20"/>
      <c r="O734" s="20"/>
      <c r="P734" s="20"/>
    </row>
    <row r="735">
      <c r="A735" s="76"/>
      <c r="B735" s="97"/>
      <c r="C735" s="76"/>
      <c r="D735" s="99"/>
      <c r="E735" s="25"/>
      <c r="F735" s="25"/>
      <c r="G735" s="25"/>
      <c r="H735" s="76"/>
      <c r="I735" s="80"/>
      <c r="J735" s="76"/>
      <c r="K735" s="46"/>
      <c r="L735" s="76"/>
      <c r="M735" s="20"/>
      <c r="N735" s="20"/>
      <c r="O735" s="20"/>
      <c r="P735" s="20"/>
    </row>
    <row r="736">
      <c r="A736" s="49"/>
      <c r="B736" s="110"/>
      <c r="C736" s="49"/>
      <c r="D736" s="102"/>
      <c r="E736" s="25"/>
      <c r="F736" s="25"/>
      <c r="G736" s="25"/>
      <c r="H736" s="49"/>
      <c r="I736" s="89"/>
      <c r="J736" s="49"/>
      <c r="K736" s="30"/>
      <c r="L736" s="49"/>
      <c r="M736" s="20"/>
      <c r="N736" s="20"/>
      <c r="O736" s="20"/>
      <c r="P736" s="20"/>
    </row>
    <row r="737">
      <c r="A737" s="76"/>
      <c r="B737" s="97"/>
      <c r="C737" s="76"/>
      <c r="D737" s="99"/>
      <c r="E737" s="25"/>
      <c r="F737" s="25"/>
      <c r="G737" s="25"/>
      <c r="H737" s="10"/>
      <c r="I737" s="17"/>
      <c r="J737" s="10"/>
      <c r="K737" s="46"/>
      <c r="L737" s="76"/>
      <c r="M737" s="20"/>
      <c r="N737" s="20"/>
      <c r="O737" s="20"/>
      <c r="P737" s="20"/>
    </row>
    <row r="738">
      <c r="A738" s="49"/>
      <c r="B738" s="110"/>
      <c r="C738" s="49"/>
      <c r="D738" s="102"/>
      <c r="E738" s="25"/>
      <c r="F738" s="25"/>
      <c r="G738" s="25"/>
      <c r="H738" s="49"/>
      <c r="I738" s="89"/>
      <c r="J738" s="49"/>
      <c r="K738" s="30"/>
      <c r="L738" s="49"/>
      <c r="M738" s="20"/>
      <c r="N738" s="20"/>
      <c r="O738" s="20"/>
      <c r="P738" s="20"/>
    </row>
    <row r="739">
      <c r="A739" s="76"/>
      <c r="B739" s="97"/>
      <c r="C739" s="76"/>
      <c r="D739" s="99"/>
      <c r="E739" s="25"/>
      <c r="F739" s="25"/>
      <c r="G739" s="25"/>
      <c r="H739" s="76"/>
      <c r="I739" s="80"/>
      <c r="J739" s="76"/>
      <c r="K739" s="46"/>
      <c r="L739" s="76"/>
      <c r="M739" s="20"/>
      <c r="N739" s="20"/>
      <c r="O739" s="20"/>
      <c r="P739" s="20"/>
    </row>
    <row r="740">
      <c r="A740" s="49"/>
      <c r="B740" s="110"/>
      <c r="C740" s="49"/>
      <c r="D740" s="102"/>
      <c r="E740" s="25"/>
      <c r="F740" s="25"/>
      <c r="G740" s="25"/>
      <c r="H740" s="49"/>
      <c r="I740" s="89"/>
      <c r="J740" s="49"/>
      <c r="K740" s="30"/>
      <c r="L740" s="49"/>
      <c r="M740" s="20"/>
      <c r="N740" s="20"/>
      <c r="O740" s="20"/>
      <c r="P740" s="20"/>
    </row>
    <row r="741">
      <c r="A741" s="76"/>
      <c r="B741" s="97"/>
      <c r="C741" s="76"/>
      <c r="D741" s="99"/>
      <c r="E741" s="25"/>
      <c r="F741" s="25"/>
      <c r="G741" s="25"/>
      <c r="H741" s="76"/>
      <c r="I741" s="80"/>
      <c r="J741" s="76"/>
      <c r="K741" s="19"/>
      <c r="L741" s="76"/>
      <c r="M741" s="20"/>
      <c r="N741" s="20"/>
      <c r="O741" s="20"/>
      <c r="P741" s="20"/>
    </row>
    <row r="742">
      <c r="A742" s="76"/>
      <c r="B742" s="97"/>
      <c r="C742" s="49"/>
      <c r="D742" s="102"/>
      <c r="E742" s="25"/>
      <c r="F742" s="25"/>
      <c r="G742" s="25"/>
      <c r="H742" s="49"/>
      <c r="I742" s="89"/>
      <c r="J742" s="49"/>
      <c r="K742" s="30"/>
      <c r="L742" s="23"/>
      <c r="M742" s="20"/>
      <c r="N742" s="20"/>
      <c r="O742" s="20"/>
      <c r="P742" s="20"/>
    </row>
    <row r="743">
      <c r="A743" s="76"/>
      <c r="B743" s="97"/>
      <c r="C743" s="76"/>
      <c r="D743" s="99"/>
      <c r="E743" s="25"/>
      <c r="F743" s="25"/>
      <c r="G743" s="25"/>
      <c r="H743" s="76"/>
      <c r="I743" s="17"/>
      <c r="J743" s="76"/>
      <c r="K743" s="46"/>
      <c r="L743" s="76"/>
      <c r="M743" s="20"/>
      <c r="N743" s="20"/>
      <c r="O743" s="20"/>
      <c r="P743" s="20"/>
    </row>
    <row r="744">
      <c r="A744" s="76"/>
      <c r="B744" s="110"/>
      <c r="C744" s="49"/>
      <c r="D744" s="102"/>
      <c r="E744" s="25"/>
      <c r="F744" s="25"/>
      <c r="G744" s="25"/>
      <c r="H744" s="23"/>
      <c r="I744" s="27"/>
      <c r="J744" s="23"/>
      <c r="K744" s="30"/>
      <c r="L744" s="49"/>
      <c r="M744" s="20"/>
      <c r="N744" s="20"/>
      <c r="O744" s="20"/>
      <c r="P744" s="20"/>
    </row>
    <row r="745">
      <c r="A745" s="76"/>
      <c r="B745" s="97"/>
      <c r="C745" s="76"/>
      <c r="D745" s="99"/>
      <c r="E745" s="25"/>
      <c r="F745" s="25"/>
      <c r="G745" s="25"/>
      <c r="H745" s="76"/>
      <c r="I745" s="80"/>
      <c r="J745" s="76"/>
      <c r="K745" s="46"/>
      <c r="L745" s="76"/>
      <c r="M745" s="20"/>
      <c r="N745" s="20"/>
      <c r="O745" s="20"/>
      <c r="P745" s="20"/>
    </row>
    <row r="746">
      <c r="A746" s="76"/>
      <c r="B746" s="110"/>
      <c r="C746" s="49"/>
      <c r="D746" s="102"/>
      <c r="E746" s="25"/>
      <c r="F746" s="25"/>
      <c r="G746" s="25"/>
      <c r="H746" s="49"/>
      <c r="I746" s="89"/>
      <c r="J746" s="136"/>
      <c r="K746" s="30"/>
      <c r="L746" s="23"/>
      <c r="M746" s="20"/>
      <c r="N746" s="20"/>
      <c r="O746" s="20"/>
      <c r="P746" s="20"/>
    </row>
    <row r="747">
      <c r="A747" s="76"/>
      <c r="B747" s="97"/>
      <c r="C747" s="76"/>
      <c r="D747" s="99"/>
      <c r="E747" s="25"/>
      <c r="F747" s="25"/>
      <c r="G747" s="25"/>
      <c r="H747" s="76"/>
      <c r="I747" s="17"/>
      <c r="J747" s="76"/>
      <c r="K747" s="46"/>
      <c r="L747" s="76"/>
      <c r="M747" s="20"/>
      <c r="N747" s="20"/>
      <c r="O747" s="20"/>
      <c r="P747" s="20"/>
    </row>
    <row r="748">
      <c r="A748" s="76"/>
      <c r="B748" s="110"/>
      <c r="C748" s="49"/>
      <c r="D748" s="102"/>
      <c r="E748" s="25"/>
      <c r="F748" s="25"/>
      <c r="G748" s="25"/>
      <c r="H748" s="23"/>
      <c r="I748" s="27"/>
      <c r="J748" s="23"/>
      <c r="K748" s="30"/>
      <c r="L748" s="49"/>
      <c r="M748" s="20"/>
      <c r="N748" s="20"/>
      <c r="O748" s="20"/>
      <c r="P748" s="20"/>
    </row>
    <row r="749">
      <c r="A749" s="76"/>
      <c r="B749" s="97"/>
      <c r="C749" s="76"/>
      <c r="D749" s="99"/>
      <c r="E749" s="25"/>
      <c r="F749" s="25"/>
      <c r="G749" s="25"/>
      <c r="H749" s="76"/>
      <c r="I749" s="80"/>
      <c r="J749" s="76"/>
      <c r="K749" s="19"/>
      <c r="L749" s="76"/>
      <c r="M749" s="20"/>
      <c r="N749" s="20"/>
      <c r="O749" s="20"/>
      <c r="P749" s="20"/>
    </row>
    <row r="750">
      <c r="A750" s="76"/>
      <c r="B750" s="110"/>
      <c r="C750" s="49"/>
      <c r="D750" s="102"/>
      <c r="E750" s="25"/>
      <c r="F750" s="25"/>
      <c r="G750" s="25"/>
      <c r="H750" s="49"/>
      <c r="I750" s="89"/>
      <c r="J750" s="49"/>
      <c r="K750" s="30"/>
      <c r="L750" s="23"/>
      <c r="M750" s="20"/>
      <c r="N750" s="20"/>
      <c r="O750" s="20"/>
      <c r="P750" s="20"/>
    </row>
    <row r="751">
      <c r="A751" s="76"/>
      <c r="B751" s="97"/>
      <c r="C751" s="120"/>
      <c r="D751" s="99"/>
      <c r="E751" s="25"/>
      <c r="F751" s="25"/>
      <c r="G751" s="25"/>
      <c r="H751" s="10"/>
      <c r="I751" s="80"/>
      <c r="J751" s="10"/>
      <c r="K751" s="46"/>
      <c r="L751" s="76"/>
      <c r="M751" s="20"/>
      <c r="N751" s="20"/>
      <c r="O751" s="20"/>
      <c r="P751" s="20"/>
    </row>
    <row r="752">
      <c r="A752" s="76"/>
      <c r="B752" s="110"/>
      <c r="C752" s="49"/>
      <c r="D752" s="102"/>
      <c r="E752" s="25"/>
      <c r="F752" s="25"/>
      <c r="G752" s="25"/>
      <c r="H752" s="49"/>
      <c r="I752" s="89"/>
      <c r="J752" s="136"/>
      <c r="K752" s="36"/>
      <c r="L752" s="49"/>
      <c r="M752" s="20"/>
      <c r="N752" s="20"/>
      <c r="O752" s="20"/>
      <c r="P752" s="20"/>
    </row>
    <row r="753">
      <c r="A753" s="76"/>
      <c r="B753" s="97"/>
      <c r="C753" s="76"/>
      <c r="D753" s="99"/>
      <c r="E753" s="25"/>
      <c r="F753" s="25"/>
      <c r="G753" s="25"/>
      <c r="H753" s="10"/>
      <c r="I753" s="17"/>
      <c r="J753" s="10"/>
      <c r="K753" s="46"/>
      <c r="L753" s="76"/>
      <c r="M753" s="20"/>
      <c r="N753" s="20"/>
      <c r="O753" s="20"/>
      <c r="P753" s="20"/>
    </row>
    <row r="754">
      <c r="A754" s="49"/>
      <c r="B754" s="110"/>
      <c r="C754" s="49"/>
      <c r="D754" s="102"/>
      <c r="E754" s="25"/>
      <c r="F754" s="25"/>
      <c r="G754" s="25"/>
      <c r="H754" s="23"/>
      <c r="I754" s="27"/>
      <c r="J754" s="23"/>
      <c r="K754" s="30"/>
      <c r="L754" s="49"/>
      <c r="M754" s="20"/>
      <c r="N754" s="20"/>
      <c r="O754" s="20"/>
      <c r="P754" s="20"/>
    </row>
    <row r="755">
      <c r="A755" s="76"/>
      <c r="B755" s="97"/>
      <c r="C755" s="76"/>
      <c r="D755" s="99"/>
      <c r="E755" s="25"/>
      <c r="F755" s="25"/>
      <c r="G755" s="25"/>
      <c r="H755" s="76"/>
      <c r="I755" s="80"/>
      <c r="J755" s="76"/>
      <c r="K755" s="46"/>
      <c r="L755" s="76"/>
      <c r="M755" s="20"/>
      <c r="N755" s="20"/>
      <c r="O755" s="20"/>
      <c r="P755" s="20"/>
    </row>
    <row r="756">
      <c r="A756" s="49"/>
      <c r="B756" s="110"/>
      <c r="C756" s="49"/>
      <c r="D756" s="102"/>
      <c r="E756" s="25"/>
      <c r="F756" s="25"/>
      <c r="G756" s="25"/>
      <c r="H756" s="49"/>
      <c r="I756" s="89"/>
      <c r="J756" s="49"/>
      <c r="K756" s="36"/>
      <c r="L756" s="49"/>
      <c r="M756" s="20"/>
      <c r="N756" s="20"/>
      <c r="O756" s="20"/>
      <c r="P756" s="20"/>
    </row>
    <row r="757">
      <c r="A757" s="76"/>
      <c r="B757" s="97"/>
      <c r="C757" s="76"/>
      <c r="D757" s="99"/>
      <c r="E757" s="25"/>
      <c r="F757" s="25"/>
      <c r="G757" s="25"/>
      <c r="H757" s="76"/>
      <c r="I757" s="80"/>
      <c r="J757" s="140"/>
      <c r="K757" s="46"/>
      <c r="L757" s="76"/>
      <c r="M757" s="20"/>
      <c r="N757" s="20"/>
      <c r="O757" s="20"/>
      <c r="P757" s="20"/>
    </row>
    <row r="758">
      <c r="A758" s="49"/>
      <c r="B758" s="110"/>
      <c r="C758" s="49"/>
      <c r="D758" s="102"/>
      <c r="E758" s="25"/>
      <c r="F758" s="25"/>
      <c r="G758" s="25"/>
      <c r="H758" s="49"/>
      <c r="I758" s="89"/>
      <c r="J758" s="49"/>
      <c r="K758" s="30"/>
      <c r="L758" s="49"/>
      <c r="M758" s="20"/>
      <c r="N758" s="20"/>
      <c r="O758" s="20"/>
      <c r="P758" s="20"/>
    </row>
    <row r="759">
      <c r="A759" s="76"/>
      <c r="B759" s="97"/>
      <c r="C759" s="76"/>
      <c r="D759" s="99"/>
      <c r="E759" s="25"/>
      <c r="F759" s="25"/>
      <c r="G759" s="25"/>
      <c r="H759" s="76"/>
      <c r="I759" s="80"/>
      <c r="J759" s="76"/>
      <c r="K759" s="19"/>
      <c r="L759" s="10"/>
      <c r="M759" s="20"/>
      <c r="N759" s="20"/>
      <c r="O759" s="20"/>
      <c r="P759" s="20"/>
    </row>
    <row r="760">
      <c r="A760" s="49"/>
      <c r="B760" s="110"/>
      <c r="C760" s="49"/>
      <c r="D760" s="102"/>
      <c r="E760" s="25"/>
      <c r="F760" s="25"/>
      <c r="G760" s="25"/>
      <c r="H760" s="23"/>
      <c r="I760" s="27"/>
      <c r="J760" s="23"/>
      <c r="K760" s="30"/>
      <c r="L760" s="49"/>
      <c r="M760" s="20"/>
      <c r="N760" s="20"/>
      <c r="O760" s="20"/>
      <c r="P760" s="20"/>
    </row>
    <row r="761">
      <c r="A761" s="76"/>
      <c r="B761" s="97"/>
      <c r="C761" s="76"/>
      <c r="D761" s="99"/>
      <c r="E761" s="25"/>
      <c r="F761" s="25"/>
      <c r="G761" s="25"/>
      <c r="H761" s="76"/>
      <c r="I761" s="80"/>
      <c r="J761" s="76"/>
      <c r="K761" s="19"/>
      <c r="L761" s="76"/>
      <c r="M761" s="20"/>
      <c r="N761" s="20"/>
      <c r="O761" s="20"/>
      <c r="P761" s="20"/>
    </row>
    <row r="762">
      <c r="A762" s="49"/>
      <c r="B762" s="110"/>
      <c r="C762" s="49"/>
      <c r="D762" s="102"/>
      <c r="E762" s="25"/>
      <c r="F762" s="25"/>
      <c r="G762" s="25"/>
      <c r="H762" s="49"/>
      <c r="I762" s="141"/>
      <c r="J762" s="49"/>
      <c r="K762" s="30"/>
      <c r="L762" s="49"/>
      <c r="M762" s="20"/>
      <c r="N762" s="20"/>
      <c r="O762" s="20"/>
      <c r="P762" s="20"/>
    </row>
    <row r="763">
      <c r="A763" s="76"/>
      <c r="B763" s="97"/>
      <c r="C763" s="76"/>
      <c r="D763" s="99"/>
      <c r="E763" s="25"/>
      <c r="F763" s="25"/>
      <c r="G763" s="25"/>
      <c r="H763" s="10"/>
      <c r="I763" s="17"/>
      <c r="J763" s="10"/>
      <c r="K763" s="46"/>
      <c r="L763" s="76"/>
      <c r="M763" s="20"/>
      <c r="N763" s="20"/>
      <c r="O763" s="20"/>
      <c r="P763" s="20"/>
    </row>
    <row r="764">
      <c r="A764" s="49"/>
      <c r="B764" s="110"/>
      <c r="C764" s="49"/>
      <c r="D764" s="102"/>
      <c r="E764" s="25"/>
      <c r="F764" s="25"/>
      <c r="G764" s="25"/>
      <c r="H764" s="49"/>
      <c r="I764" s="27"/>
      <c r="J764" s="142"/>
      <c r="K764" s="30"/>
      <c r="L764" s="49"/>
      <c r="M764" s="20"/>
      <c r="N764" s="20"/>
      <c r="O764" s="20"/>
      <c r="P764" s="20"/>
    </row>
    <row r="765">
      <c r="A765" s="76"/>
      <c r="B765" s="97"/>
      <c r="C765" s="76"/>
      <c r="D765" s="99"/>
      <c r="E765" s="25"/>
      <c r="F765" s="25"/>
      <c r="G765" s="25"/>
      <c r="H765" s="76"/>
      <c r="I765" s="80"/>
      <c r="J765" s="76"/>
      <c r="K765" s="19"/>
      <c r="L765" s="76"/>
      <c r="M765" s="20"/>
      <c r="N765" s="20"/>
      <c r="O765" s="20"/>
      <c r="P765" s="20"/>
    </row>
    <row r="766">
      <c r="A766" s="49"/>
      <c r="B766" s="110"/>
      <c r="C766" s="49"/>
      <c r="D766" s="102"/>
      <c r="E766" s="25"/>
      <c r="F766" s="25"/>
      <c r="G766" s="25"/>
      <c r="H766" s="49"/>
      <c r="I766" s="89"/>
      <c r="J766" s="49"/>
      <c r="K766" s="30"/>
      <c r="L766" s="49"/>
      <c r="M766" s="20"/>
      <c r="N766" s="20"/>
      <c r="O766" s="20"/>
      <c r="P766" s="20"/>
    </row>
    <row r="767">
      <c r="A767" s="76"/>
      <c r="B767" s="97"/>
      <c r="C767" s="76"/>
      <c r="D767" s="99"/>
      <c r="E767" s="25"/>
      <c r="F767" s="25"/>
      <c r="G767" s="25"/>
      <c r="H767" s="76"/>
      <c r="I767" s="80"/>
      <c r="J767" s="76"/>
      <c r="K767" s="19"/>
      <c r="L767" s="76"/>
      <c r="M767" s="20"/>
      <c r="N767" s="20"/>
      <c r="O767" s="20"/>
      <c r="P767" s="20"/>
    </row>
    <row r="768">
      <c r="A768" s="49"/>
      <c r="B768" s="110"/>
      <c r="C768" s="49"/>
      <c r="D768" s="102"/>
      <c r="E768" s="25"/>
      <c r="F768" s="25"/>
      <c r="G768" s="25"/>
      <c r="H768" s="49"/>
      <c r="I768" s="27"/>
      <c r="J768" s="49"/>
      <c r="K768" s="30"/>
      <c r="L768" s="49"/>
      <c r="M768" s="20"/>
      <c r="N768" s="20"/>
      <c r="O768" s="20"/>
      <c r="P768" s="20"/>
    </row>
    <row r="769">
      <c r="A769" s="76"/>
      <c r="B769" s="97"/>
      <c r="C769" s="76"/>
      <c r="D769" s="99"/>
      <c r="E769" s="25"/>
      <c r="F769" s="25"/>
      <c r="G769" s="25"/>
      <c r="H769" s="10"/>
      <c r="I769" s="17"/>
      <c r="J769" s="10"/>
      <c r="K769" s="46"/>
      <c r="L769" s="76"/>
      <c r="M769" s="20"/>
      <c r="N769" s="20"/>
      <c r="O769" s="20"/>
      <c r="P769" s="20"/>
    </row>
    <row r="770">
      <c r="A770" s="49"/>
      <c r="B770" s="110"/>
      <c r="C770" s="49"/>
      <c r="D770" s="102"/>
      <c r="E770" s="25"/>
      <c r="F770" s="25"/>
      <c r="G770" s="25"/>
      <c r="H770" s="49"/>
      <c r="I770" s="89"/>
      <c r="J770" s="49"/>
      <c r="K770" s="36"/>
      <c r="L770" s="49"/>
      <c r="M770" s="20"/>
      <c r="N770" s="20"/>
      <c r="O770" s="20"/>
      <c r="P770" s="20"/>
    </row>
    <row r="771">
      <c r="A771" s="76"/>
      <c r="B771" s="97"/>
      <c r="C771" s="76"/>
      <c r="D771" s="99"/>
      <c r="E771" s="25"/>
      <c r="F771" s="25"/>
      <c r="G771" s="25"/>
      <c r="H771" s="76"/>
      <c r="I771" s="80"/>
      <c r="J771" s="10"/>
      <c r="K771" s="46"/>
      <c r="L771" s="10"/>
      <c r="M771" s="20"/>
      <c r="N771" s="20"/>
      <c r="O771" s="20"/>
      <c r="P771" s="20"/>
    </row>
    <row r="772">
      <c r="A772" s="49"/>
      <c r="B772" s="110"/>
      <c r="C772" s="49"/>
      <c r="D772" s="99"/>
      <c r="E772" s="25"/>
      <c r="F772" s="25"/>
      <c r="G772" s="25"/>
      <c r="H772" s="49"/>
      <c r="I772" s="89"/>
      <c r="J772" s="49"/>
      <c r="K772" s="30"/>
      <c r="L772" s="49"/>
      <c r="M772" s="20"/>
      <c r="N772" s="20"/>
      <c r="O772" s="20"/>
      <c r="P772" s="20"/>
    </row>
    <row r="773">
      <c r="A773" s="76"/>
      <c r="B773" s="110"/>
      <c r="C773" s="76"/>
      <c r="D773" s="99"/>
      <c r="E773" s="25"/>
      <c r="F773" s="25"/>
      <c r="G773" s="25"/>
      <c r="H773" s="76"/>
      <c r="I773" s="80"/>
      <c r="J773" s="76"/>
      <c r="K773" s="46"/>
      <c r="L773" s="76"/>
      <c r="M773" s="20"/>
      <c r="N773" s="20"/>
      <c r="O773" s="20"/>
      <c r="P773" s="20"/>
    </row>
    <row r="774">
      <c r="A774" s="49"/>
      <c r="B774" s="110"/>
      <c r="C774" s="49"/>
      <c r="D774" s="102"/>
      <c r="E774" s="25"/>
      <c r="F774" s="25"/>
      <c r="G774" s="25"/>
      <c r="H774" s="23"/>
      <c r="I774" s="27"/>
      <c r="J774" s="23"/>
      <c r="K774" s="30"/>
      <c r="L774" s="49"/>
      <c r="M774" s="20"/>
      <c r="N774" s="20"/>
      <c r="O774" s="20"/>
      <c r="P774" s="20"/>
    </row>
    <row r="775">
      <c r="A775" s="76"/>
      <c r="B775" s="110"/>
      <c r="C775" s="76"/>
      <c r="D775" s="99"/>
      <c r="E775" s="25"/>
      <c r="F775" s="25"/>
      <c r="G775" s="25"/>
      <c r="H775" s="76"/>
      <c r="I775" s="80"/>
      <c r="J775" s="76"/>
      <c r="K775" s="46"/>
      <c r="L775" s="76"/>
      <c r="M775" s="20"/>
      <c r="N775" s="20"/>
      <c r="O775" s="20"/>
      <c r="P775" s="20"/>
    </row>
    <row r="776">
      <c r="A776" s="49"/>
      <c r="B776" s="110"/>
      <c r="C776" s="49"/>
      <c r="D776" s="102"/>
      <c r="E776" s="25"/>
      <c r="F776" s="25"/>
      <c r="G776" s="25"/>
      <c r="H776" s="49"/>
      <c r="I776" s="89"/>
      <c r="J776" s="49"/>
      <c r="K776" s="30"/>
      <c r="L776" s="49"/>
      <c r="M776" s="20"/>
      <c r="N776" s="20"/>
      <c r="O776" s="20"/>
      <c r="P776" s="20"/>
    </row>
    <row r="777">
      <c r="A777" s="76"/>
      <c r="B777" s="97"/>
      <c r="C777" s="76"/>
      <c r="D777" s="99"/>
      <c r="E777" s="25"/>
      <c r="F777" s="25"/>
      <c r="G777" s="25"/>
      <c r="H777" s="76"/>
      <c r="I777" s="17"/>
      <c r="J777" s="129"/>
      <c r="K777" s="46"/>
      <c r="L777" s="76"/>
      <c r="M777" s="20"/>
      <c r="N777" s="20"/>
      <c r="O777" s="20"/>
      <c r="P777" s="20"/>
    </row>
    <row r="778">
      <c r="A778" s="49"/>
      <c r="B778" s="110"/>
      <c r="C778" s="49"/>
      <c r="D778" s="102"/>
      <c r="E778" s="25"/>
      <c r="F778" s="25"/>
      <c r="G778" s="25"/>
      <c r="H778" s="49"/>
      <c r="I778" s="89"/>
      <c r="J778" s="143"/>
      <c r="K778" s="30"/>
      <c r="L778" s="49"/>
      <c r="M778" s="20"/>
      <c r="N778" s="20"/>
      <c r="O778" s="20"/>
      <c r="P778" s="20"/>
    </row>
    <row r="779">
      <c r="A779" s="76"/>
      <c r="B779" s="97"/>
      <c r="C779" s="76"/>
      <c r="D779" s="99"/>
      <c r="E779" s="25"/>
      <c r="F779" s="25"/>
      <c r="G779" s="25"/>
      <c r="H779" s="76"/>
      <c r="I779" s="80"/>
      <c r="J779" s="76"/>
      <c r="K779" s="19"/>
      <c r="L779" s="76"/>
      <c r="M779" s="20"/>
      <c r="N779" s="20"/>
      <c r="O779" s="20"/>
      <c r="P779" s="20"/>
    </row>
    <row r="780">
      <c r="A780" s="49"/>
      <c r="B780" s="110"/>
      <c r="C780" s="49"/>
      <c r="D780" s="102"/>
      <c r="E780" s="25"/>
      <c r="F780" s="25"/>
      <c r="G780" s="25"/>
      <c r="H780" s="49"/>
      <c r="I780" s="89"/>
      <c r="J780" s="49"/>
      <c r="K780" s="30"/>
      <c r="L780" s="49"/>
      <c r="M780" s="20"/>
      <c r="N780" s="20"/>
      <c r="O780" s="20"/>
      <c r="P780" s="20"/>
    </row>
    <row r="781">
      <c r="A781" s="76"/>
      <c r="B781" s="97"/>
      <c r="C781" s="76"/>
      <c r="D781" s="99"/>
      <c r="E781" s="25"/>
      <c r="F781" s="25"/>
      <c r="G781" s="25"/>
      <c r="H781" s="76"/>
      <c r="I781" s="80"/>
      <c r="J781" s="76"/>
      <c r="K781" s="19"/>
      <c r="L781" s="76"/>
      <c r="M781" s="20"/>
      <c r="N781" s="20"/>
      <c r="O781" s="20"/>
      <c r="P781" s="20"/>
    </row>
    <row r="782">
      <c r="A782" s="49"/>
      <c r="B782" s="110"/>
      <c r="C782" s="49"/>
      <c r="D782" s="102"/>
      <c r="E782" s="25"/>
      <c r="F782" s="25"/>
      <c r="G782" s="25"/>
      <c r="H782" s="49"/>
      <c r="I782" s="89"/>
      <c r="J782" s="49"/>
      <c r="K782" s="36"/>
      <c r="L782" s="23"/>
      <c r="M782" s="20"/>
      <c r="N782" s="20"/>
      <c r="O782" s="20"/>
      <c r="P782" s="20"/>
    </row>
    <row r="783">
      <c r="A783" s="76"/>
      <c r="B783" s="97"/>
      <c r="C783" s="76"/>
      <c r="D783" s="99"/>
      <c r="E783" s="25"/>
      <c r="F783" s="25"/>
      <c r="G783" s="25"/>
      <c r="H783" s="76"/>
      <c r="I783" s="17"/>
      <c r="J783" s="129"/>
      <c r="K783" s="19"/>
      <c r="L783" s="76"/>
      <c r="M783" s="20"/>
      <c r="N783" s="20"/>
      <c r="O783" s="20"/>
      <c r="P783" s="20"/>
    </row>
    <row r="784">
      <c r="A784" s="49"/>
      <c r="B784" s="110"/>
      <c r="C784" s="49"/>
      <c r="D784" s="102"/>
      <c r="E784" s="25"/>
      <c r="F784" s="25"/>
      <c r="G784" s="25"/>
      <c r="H784" s="23"/>
      <c r="I784" s="89"/>
      <c r="J784" s="49"/>
      <c r="K784" s="36"/>
      <c r="L784" s="49"/>
      <c r="M784" s="20"/>
      <c r="N784" s="20"/>
      <c r="O784" s="20"/>
      <c r="P784" s="20"/>
    </row>
    <row r="785">
      <c r="A785" s="76"/>
      <c r="B785" s="97"/>
      <c r="C785" s="76"/>
      <c r="D785" s="99"/>
      <c r="E785" s="25"/>
      <c r="F785" s="25"/>
      <c r="G785" s="25"/>
      <c r="H785" s="10"/>
      <c r="I785" s="17"/>
      <c r="J785" s="10"/>
      <c r="K785" s="46"/>
      <c r="L785" s="76"/>
      <c r="M785" s="20"/>
      <c r="N785" s="20"/>
      <c r="O785" s="20"/>
      <c r="P785" s="20"/>
    </row>
    <row r="786">
      <c r="A786" s="49"/>
      <c r="B786" s="135"/>
      <c r="C786" s="49"/>
      <c r="D786" s="102"/>
      <c r="E786" s="25"/>
      <c r="F786" s="25"/>
      <c r="G786" s="25"/>
      <c r="H786" s="49"/>
      <c r="I786" s="89"/>
      <c r="J786" s="49"/>
      <c r="K786" s="36"/>
      <c r="L786" s="49"/>
      <c r="M786" s="20"/>
      <c r="N786" s="20"/>
      <c r="O786" s="20"/>
      <c r="P786" s="20"/>
    </row>
    <row r="787">
      <c r="A787" s="76"/>
      <c r="B787" s="97"/>
      <c r="C787" s="76"/>
      <c r="D787" s="99"/>
      <c r="E787" s="25"/>
      <c r="F787" s="25"/>
      <c r="G787" s="25"/>
      <c r="H787" s="76"/>
      <c r="I787" s="80"/>
      <c r="J787" s="76"/>
      <c r="K787" s="46"/>
      <c r="L787" s="76"/>
      <c r="M787" s="20"/>
      <c r="N787" s="20"/>
      <c r="O787" s="20"/>
      <c r="P787" s="20"/>
    </row>
    <row r="788">
      <c r="A788" s="49"/>
      <c r="B788" s="110"/>
      <c r="C788" s="49"/>
      <c r="D788" s="102"/>
      <c r="E788" s="25"/>
      <c r="F788" s="25"/>
      <c r="G788" s="25"/>
      <c r="H788" s="23"/>
      <c r="I788" s="27"/>
      <c r="J788" s="23"/>
      <c r="K788" s="30"/>
      <c r="L788" s="49"/>
      <c r="M788" s="20"/>
      <c r="N788" s="20"/>
      <c r="O788" s="20"/>
      <c r="P788" s="20"/>
    </row>
    <row r="789">
      <c r="A789" s="49"/>
      <c r="B789" s="97"/>
      <c r="C789" s="76"/>
      <c r="D789" s="99"/>
      <c r="E789" s="25"/>
      <c r="F789" s="25"/>
      <c r="G789" s="25"/>
      <c r="H789" s="76"/>
      <c r="I789" s="80"/>
      <c r="J789" s="76"/>
      <c r="K789" s="19"/>
      <c r="L789" s="76"/>
      <c r="M789" s="20"/>
      <c r="N789" s="20"/>
      <c r="O789" s="20"/>
      <c r="P789" s="20"/>
    </row>
    <row r="790">
      <c r="A790" s="49"/>
      <c r="B790" s="110"/>
      <c r="C790" s="49"/>
      <c r="D790" s="102"/>
      <c r="E790" s="25"/>
      <c r="F790" s="25"/>
      <c r="G790" s="25"/>
      <c r="H790" s="49"/>
      <c r="I790" s="89"/>
      <c r="J790" s="49"/>
      <c r="K790" s="30"/>
      <c r="L790" s="49"/>
      <c r="M790" s="20"/>
      <c r="N790" s="20"/>
      <c r="O790" s="20"/>
      <c r="P790" s="20"/>
    </row>
    <row r="791">
      <c r="A791" s="76"/>
      <c r="B791" s="97"/>
      <c r="C791" s="76"/>
      <c r="D791" s="99"/>
      <c r="E791" s="25"/>
      <c r="F791" s="25"/>
      <c r="G791" s="25"/>
      <c r="H791" s="76"/>
      <c r="I791" s="80"/>
      <c r="J791" s="76"/>
      <c r="K791" s="19"/>
      <c r="L791" s="76"/>
      <c r="M791" s="20"/>
      <c r="N791" s="20"/>
      <c r="O791" s="20"/>
      <c r="P791" s="20"/>
    </row>
    <row r="792">
      <c r="A792" s="49"/>
      <c r="B792" s="110"/>
      <c r="C792" s="49"/>
      <c r="D792" s="102"/>
      <c r="E792" s="25"/>
      <c r="F792" s="25"/>
      <c r="G792" s="25"/>
      <c r="H792" s="23"/>
      <c r="I792" s="89"/>
      <c r="J792" s="23"/>
      <c r="K792" s="30"/>
      <c r="L792" s="49"/>
      <c r="M792" s="20"/>
      <c r="N792" s="20"/>
      <c r="O792" s="20"/>
      <c r="P792" s="20"/>
    </row>
    <row r="793">
      <c r="A793" s="76"/>
      <c r="B793" s="97"/>
      <c r="C793" s="76"/>
      <c r="D793" s="99"/>
      <c r="E793" s="25"/>
      <c r="F793" s="25"/>
      <c r="G793" s="25"/>
      <c r="H793" s="76"/>
      <c r="I793" s="17"/>
      <c r="J793" s="76"/>
      <c r="K793" s="46"/>
      <c r="L793" s="76"/>
      <c r="M793" s="20"/>
      <c r="N793" s="20"/>
      <c r="O793" s="20"/>
      <c r="P793" s="20"/>
    </row>
    <row r="794">
      <c r="A794" s="49"/>
      <c r="B794" s="110"/>
      <c r="C794" s="49"/>
      <c r="D794" s="102"/>
      <c r="E794" s="25"/>
      <c r="F794" s="25"/>
      <c r="G794" s="25"/>
      <c r="H794" s="49"/>
      <c r="I794" s="89"/>
      <c r="J794" s="49"/>
      <c r="K794" s="30"/>
      <c r="L794" s="49"/>
      <c r="M794" s="20"/>
      <c r="N794" s="20"/>
      <c r="O794" s="20"/>
      <c r="P794" s="20"/>
    </row>
    <row r="795">
      <c r="A795" s="76"/>
      <c r="B795" s="97"/>
      <c r="C795" s="76"/>
      <c r="D795" s="99"/>
      <c r="E795" s="25"/>
      <c r="F795" s="25"/>
      <c r="G795" s="25"/>
      <c r="H795" s="76"/>
      <c r="I795" s="80"/>
      <c r="J795" s="76"/>
      <c r="K795" s="19"/>
      <c r="L795" s="76"/>
      <c r="M795" s="20"/>
      <c r="N795" s="20"/>
      <c r="O795" s="20"/>
      <c r="P795" s="20"/>
    </row>
    <row r="796">
      <c r="A796" s="49"/>
      <c r="B796" s="110"/>
      <c r="C796" s="49"/>
      <c r="D796" s="102"/>
      <c r="E796" s="25"/>
      <c r="F796" s="25"/>
      <c r="G796" s="25"/>
      <c r="H796" s="49"/>
      <c r="I796" s="89"/>
      <c r="J796" s="49"/>
      <c r="K796" s="30"/>
      <c r="L796" s="49"/>
      <c r="M796" s="20"/>
      <c r="N796" s="20"/>
      <c r="O796" s="20"/>
      <c r="P796" s="20"/>
    </row>
    <row r="797">
      <c r="A797" s="76"/>
      <c r="B797" s="97"/>
      <c r="C797" s="76"/>
      <c r="D797" s="99"/>
      <c r="E797" s="25"/>
      <c r="F797" s="25"/>
      <c r="G797" s="25"/>
      <c r="H797" s="10"/>
      <c r="I797" s="80"/>
      <c r="J797" s="76"/>
      <c r="K797" s="46"/>
      <c r="L797" s="76"/>
      <c r="M797" s="20"/>
      <c r="N797" s="20"/>
      <c r="O797" s="20"/>
      <c r="P797" s="20"/>
    </row>
    <row r="798">
      <c r="A798" s="49"/>
      <c r="B798" s="110"/>
      <c r="C798" s="49"/>
      <c r="D798" s="102"/>
      <c r="E798" s="25"/>
      <c r="F798" s="25"/>
      <c r="G798" s="25"/>
      <c r="H798" s="49"/>
      <c r="I798" s="89"/>
      <c r="J798" s="49"/>
      <c r="K798" s="30"/>
      <c r="L798" s="49"/>
      <c r="M798" s="20"/>
      <c r="N798" s="20"/>
      <c r="O798" s="20"/>
      <c r="P798" s="20"/>
    </row>
    <row r="799">
      <c r="A799" s="76"/>
      <c r="B799" s="97"/>
      <c r="C799" s="76"/>
      <c r="D799" s="99"/>
      <c r="E799" s="25"/>
      <c r="F799" s="25"/>
      <c r="G799" s="25"/>
      <c r="H799" s="10"/>
      <c r="I799" s="17"/>
      <c r="J799" s="10"/>
      <c r="K799" s="46"/>
      <c r="L799" s="76"/>
      <c r="M799" s="20"/>
      <c r="N799" s="20"/>
      <c r="O799" s="20"/>
      <c r="P799" s="20"/>
    </row>
    <row r="800">
      <c r="A800" s="49"/>
      <c r="B800" s="110"/>
      <c r="C800" s="49"/>
      <c r="D800" s="102"/>
      <c r="E800" s="25"/>
      <c r="F800" s="25"/>
      <c r="G800" s="25"/>
      <c r="H800" s="49"/>
      <c r="I800" s="89"/>
      <c r="J800" s="49"/>
      <c r="K800" s="36"/>
      <c r="L800" s="49"/>
      <c r="M800" s="20"/>
      <c r="N800" s="20"/>
      <c r="O800" s="20"/>
      <c r="P800" s="20"/>
    </row>
    <row r="801">
      <c r="A801" s="76"/>
      <c r="B801" s="97"/>
      <c r="C801" s="76"/>
      <c r="D801" s="99"/>
      <c r="E801" s="25"/>
      <c r="F801" s="25"/>
      <c r="G801" s="25"/>
      <c r="H801" s="76"/>
      <c r="I801" s="80"/>
      <c r="J801" s="76"/>
      <c r="K801" s="19"/>
      <c r="L801" s="76"/>
      <c r="M801" s="20"/>
      <c r="N801" s="20"/>
      <c r="O801" s="20"/>
      <c r="P801" s="20"/>
    </row>
    <row r="802">
      <c r="A802" s="49"/>
      <c r="B802" s="110"/>
      <c r="C802" s="49"/>
      <c r="D802" s="102"/>
      <c r="E802" s="25"/>
      <c r="F802" s="25"/>
      <c r="G802" s="25"/>
      <c r="H802" s="49"/>
      <c r="I802" s="89"/>
      <c r="J802" s="49"/>
      <c r="K802" s="36"/>
      <c r="L802" s="49"/>
      <c r="M802" s="20"/>
      <c r="N802" s="20"/>
      <c r="O802" s="20"/>
      <c r="P802" s="20"/>
    </row>
    <row r="803">
      <c r="A803" s="76"/>
      <c r="B803" s="97"/>
      <c r="C803" s="76"/>
      <c r="D803" s="99"/>
      <c r="E803" s="25"/>
      <c r="F803" s="25"/>
      <c r="G803" s="25"/>
      <c r="H803" s="76"/>
      <c r="I803" s="80"/>
      <c r="J803" s="76"/>
      <c r="K803" s="46"/>
      <c r="L803" s="10"/>
      <c r="M803" s="20"/>
      <c r="N803" s="20"/>
      <c r="O803" s="20"/>
      <c r="P803" s="20"/>
    </row>
    <row r="804">
      <c r="A804" s="49"/>
      <c r="B804" s="110"/>
      <c r="C804" s="102"/>
      <c r="D804" s="102"/>
      <c r="E804" s="25"/>
      <c r="F804" s="25"/>
      <c r="G804" s="25"/>
      <c r="H804" s="49"/>
      <c r="I804" s="27"/>
      <c r="J804" s="23"/>
      <c r="K804" s="30"/>
      <c r="L804" s="23"/>
      <c r="M804" s="20"/>
      <c r="N804" s="20"/>
      <c r="O804" s="20"/>
      <c r="P804" s="20"/>
    </row>
    <row r="805">
      <c r="A805" s="76"/>
      <c r="B805" s="97"/>
      <c r="C805" s="76"/>
      <c r="D805" s="99"/>
      <c r="E805" s="25"/>
      <c r="F805" s="25"/>
      <c r="G805" s="25"/>
      <c r="H805" s="76"/>
      <c r="I805" s="17"/>
      <c r="J805" s="10"/>
      <c r="K805" s="46"/>
      <c r="L805" s="10"/>
      <c r="M805" s="20"/>
      <c r="N805" s="20"/>
      <c r="O805" s="20"/>
      <c r="P805" s="20"/>
    </row>
    <row r="806">
      <c r="A806" s="49"/>
      <c r="B806" s="110"/>
      <c r="C806" s="49"/>
      <c r="D806" s="102"/>
      <c r="E806" s="25"/>
      <c r="F806" s="25"/>
      <c r="G806" s="25"/>
      <c r="H806" s="23"/>
      <c r="I806" s="27"/>
      <c r="J806" s="23"/>
      <c r="K806" s="30"/>
      <c r="L806" s="49"/>
      <c r="M806" s="20"/>
      <c r="N806" s="20"/>
      <c r="O806" s="20"/>
      <c r="P806" s="20"/>
    </row>
    <row r="807">
      <c r="A807" s="76"/>
      <c r="B807" s="97"/>
      <c r="C807" s="76"/>
      <c r="D807" s="99"/>
      <c r="E807" s="25"/>
      <c r="F807" s="25"/>
      <c r="G807" s="25"/>
      <c r="H807" s="76"/>
      <c r="I807" s="80"/>
      <c r="J807" s="129"/>
      <c r="K807" s="19"/>
      <c r="L807" s="76"/>
      <c r="M807" s="20"/>
      <c r="N807" s="20"/>
      <c r="O807" s="20"/>
      <c r="P807" s="20"/>
    </row>
    <row r="808">
      <c r="A808" s="49"/>
      <c r="B808" s="110"/>
      <c r="C808" s="49"/>
      <c r="D808" s="102"/>
      <c r="E808" s="25"/>
      <c r="F808" s="25"/>
      <c r="G808" s="25"/>
      <c r="H808" s="49"/>
      <c r="I808" s="89"/>
      <c r="J808" s="49"/>
      <c r="K808" s="36"/>
      <c r="L808" s="49"/>
      <c r="M808" s="20"/>
      <c r="N808" s="20"/>
      <c r="O808" s="20"/>
      <c r="P808" s="20"/>
    </row>
    <row r="809">
      <c r="A809" s="49"/>
      <c r="B809" s="110"/>
      <c r="C809" s="49"/>
      <c r="D809" s="102"/>
      <c r="E809" s="25"/>
      <c r="F809" s="25"/>
      <c r="G809" s="25"/>
      <c r="H809" s="49"/>
      <c r="I809" s="89"/>
      <c r="J809" s="49"/>
      <c r="K809" s="36"/>
      <c r="L809" s="49"/>
      <c r="M809" s="20"/>
      <c r="N809" s="20"/>
      <c r="O809" s="20"/>
      <c r="P809" s="20"/>
    </row>
    <row r="810">
      <c r="A810" s="76"/>
      <c r="B810" s="97"/>
      <c r="C810" s="76"/>
      <c r="D810" s="99"/>
      <c r="E810" s="25"/>
      <c r="F810" s="25"/>
      <c r="G810" s="25"/>
      <c r="H810" s="76"/>
      <c r="I810" s="80"/>
      <c r="J810" s="76"/>
      <c r="K810" s="46"/>
      <c r="L810" s="76"/>
      <c r="M810" s="20"/>
      <c r="N810" s="20"/>
      <c r="O810" s="20"/>
      <c r="P810" s="20"/>
    </row>
    <row r="811">
      <c r="A811" s="76"/>
      <c r="B811" s="97"/>
      <c r="C811" s="76"/>
      <c r="D811" s="99"/>
      <c r="E811" s="25"/>
      <c r="F811" s="25"/>
      <c r="G811" s="25"/>
      <c r="H811" s="76"/>
      <c r="I811" s="17"/>
      <c r="J811" s="76"/>
      <c r="K811" s="19"/>
      <c r="L811" s="76"/>
      <c r="M811" s="20"/>
      <c r="N811" s="20"/>
      <c r="O811" s="20"/>
      <c r="P811" s="20"/>
    </row>
    <row r="812">
      <c r="A812" s="49"/>
      <c r="B812" s="97"/>
      <c r="C812" s="49"/>
      <c r="D812" s="102"/>
      <c r="E812" s="25"/>
      <c r="F812" s="25"/>
      <c r="G812" s="25"/>
      <c r="H812" s="49"/>
      <c r="I812" s="89"/>
      <c r="J812" s="49"/>
      <c r="K812" s="36"/>
      <c r="L812" s="49"/>
      <c r="M812" s="20"/>
      <c r="N812" s="20"/>
      <c r="O812" s="20"/>
      <c r="P812" s="20"/>
    </row>
    <row r="813">
      <c r="A813" s="76"/>
      <c r="B813" s="97"/>
      <c r="C813" s="76"/>
      <c r="D813" s="99"/>
      <c r="E813" s="25"/>
      <c r="F813" s="25"/>
      <c r="G813" s="25"/>
      <c r="H813" s="76"/>
      <c r="I813" s="80"/>
      <c r="J813" s="76"/>
      <c r="K813" s="19"/>
      <c r="L813" s="10"/>
      <c r="M813" s="20"/>
      <c r="N813" s="20"/>
      <c r="O813" s="20"/>
      <c r="P813" s="20"/>
    </row>
    <row r="814">
      <c r="A814" s="49"/>
      <c r="B814" s="110"/>
      <c r="C814" s="49"/>
      <c r="D814" s="102"/>
      <c r="E814" s="25"/>
      <c r="F814" s="25"/>
      <c r="G814" s="25"/>
      <c r="H814" s="49"/>
      <c r="I814" s="89"/>
      <c r="J814" s="49"/>
      <c r="K814" s="30"/>
      <c r="L814" s="49"/>
      <c r="M814" s="20"/>
      <c r="N814" s="20"/>
      <c r="O814" s="20"/>
      <c r="P814" s="20"/>
    </row>
    <row r="815">
      <c r="A815" s="76"/>
      <c r="B815" s="97"/>
      <c r="C815" s="76"/>
      <c r="D815" s="99"/>
      <c r="E815" s="25"/>
      <c r="F815" s="25"/>
      <c r="G815" s="25"/>
      <c r="H815" s="76"/>
      <c r="I815" s="80"/>
      <c r="J815" s="76"/>
      <c r="K815" s="46"/>
      <c r="L815" s="76"/>
      <c r="M815" s="20"/>
      <c r="N815" s="20"/>
      <c r="O815" s="20"/>
      <c r="P815" s="20"/>
    </row>
    <row r="816">
      <c r="A816" s="49"/>
      <c r="B816" s="97"/>
      <c r="C816" s="49"/>
      <c r="D816" s="102"/>
      <c r="E816" s="25"/>
      <c r="F816" s="25"/>
      <c r="G816" s="25"/>
      <c r="H816" s="49"/>
      <c r="I816" s="89"/>
      <c r="J816" s="49"/>
      <c r="K816" s="36"/>
      <c r="L816" s="49"/>
      <c r="M816" s="20"/>
      <c r="N816" s="20"/>
      <c r="O816" s="20"/>
      <c r="P816" s="20"/>
    </row>
    <row r="817">
      <c r="A817" s="76"/>
      <c r="B817" s="97"/>
      <c r="C817" s="76"/>
      <c r="D817" s="99"/>
      <c r="E817" s="25"/>
      <c r="F817" s="25"/>
      <c r="G817" s="25"/>
      <c r="H817" s="76"/>
      <c r="I817" s="17"/>
      <c r="J817" s="76"/>
      <c r="K817" s="46"/>
      <c r="L817" s="10"/>
      <c r="M817" s="20"/>
      <c r="N817" s="20"/>
      <c r="O817" s="20"/>
      <c r="P817" s="20"/>
    </row>
    <row r="818">
      <c r="A818" s="49"/>
      <c r="B818" s="110"/>
      <c r="C818" s="49"/>
      <c r="D818" s="102"/>
      <c r="E818" s="25"/>
      <c r="F818" s="25"/>
      <c r="G818" s="25"/>
      <c r="H818" s="49"/>
      <c r="I818" s="89"/>
      <c r="J818" s="49"/>
      <c r="K818" s="30"/>
      <c r="L818" s="23"/>
      <c r="M818" s="20"/>
      <c r="N818" s="20"/>
      <c r="O818" s="20"/>
      <c r="P818" s="20"/>
    </row>
    <row r="819">
      <c r="A819" s="76"/>
      <c r="B819" s="97"/>
      <c r="C819" s="76"/>
      <c r="D819" s="99"/>
      <c r="E819" s="25"/>
      <c r="F819" s="25"/>
      <c r="G819" s="25"/>
      <c r="H819" s="76"/>
      <c r="I819" s="17"/>
      <c r="J819" s="76"/>
      <c r="K819" s="46"/>
      <c r="L819" s="10"/>
      <c r="M819" s="20"/>
      <c r="N819" s="20"/>
      <c r="O819" s="20"/>
      <c r="P819" s="20"/>
    </row>
    <row r="820">
      <c r="A820" s="49"/>
      <c r="B820" s="110"/>
      <c r="C820" s="49"/>
      <c r="D820" s="102"/>
      <c r="E820" s="25"/>
      <c r="F820" s="25"/>
      <c r="G820" s="25"/>
      <c r="H820" s="49"/>
      <c r="I820" s="27"/>
      <c r="J820" s="49"/>
      <c r="K820" s="30"/>
      <c r="L820" s="23"/>
      <c r="M820" s="20"/>
      <c r="N820" s="20"/>
      <c r="O820" s="20"/>
      <c r="P820" s="20"/>
    </row>
    <row r="821">
      <c r="A821" s="76"/>
      <c r="B821" s="97"/>
      <c r="C821" s="76"/>
      <c r="D821" s="99"/>
      <c r="E821" s="25"/>
      <c r="F821" s="25"/>
      <c r="G821" s="25"/>
      <c r="H821" s="76"/>
      <c r="I821" s="17"/>
      <c r="J821" s="10"/>
      <c r="K821" s="46"/>
      <c r="L821" s="10"/>
      <c r="M821" s="20"/>
      <c r="N821" s="20"/>
      <c r="O821" s="20"/>
      <c r="P821" s="20"/>
    </row>
    <row r="822">
      <c r="A822" s="49"/>
      <c r="B822" s="110"/>
      <c r="C822" s="49"/>
      <c r="D822" s="102"/>
      <c r="E822" s="25"/>
      <c r="F822" s="25"/>
      <c r="G822" s="25"/>
      <c r="H822" s="49"/>
      <c r="I822" s="89"/>
      <c r="J822" s="49"/>
      <c r="K822" s="36"/>
      <c r="L822" s="49"/>
      <c r="M822" s="20"/>
      <c r="N822" s="20"/>
      <c r="O822" s="20"/>
      <c r="P822" s="20"/>
    </row>
    <row r="823">
      <c r="A823" s="76"/>
      <c r="B823" s="97"/>
      <c r="C823" s="49"/>
      <c r="D823" s="102"/>
      <c r="E823" s="25"/>
      <c r="F823" s="25"/>
      <c r="G823" s="25"/>
      <c r="H823" s="76"/>
      <c r="I823" s="80"/>
      <c r="J823" s="76"/>
      <c r="K823" s="46"/>
      <c r="L823" s="76"/>
      <c r="M823" s="20"/>
      <c r="N823" s="20"/>
      <c r="O823" s="20"/>
      <c r="P823" s="20"/>
    </row>
    <row r="824">
      <c r="A824" s="49"/>
      <c r="B824" s="97"/>
      <c r="C824" s="49"/>
      <c r="D824" s="102"/>
      <c r="E824" s="25"/>
      <c r="F824" s="25"/>
      <c r="G824" s="25"/>
      <c r="H824" s="49"/>
      <c r="I824" s="89"/>
      <c r="J824" s="49"/>
      <c r="K824" s="30"/>
      <c r="L824" s="76"/>
      <c r="M824" s="20"/>
      <c r="N824" s="20"/>
      <c r="O824" s="20"/>
      <c r="P824" s="20"/>
    </row>
    <row r="825">
      <c r="A825" s="76"/>
      <c r="B825" s="97"/>
      <c r="C825" s="49"/>
      <c r="D825" s="102"/>
      <c r="E825" s="25"/>
      <c r="F825" s="25"/>
      <c r="G825" s="25"/>
      <c r="H825" s="76"/>
      <c r="I825" s="80"/>
      <c r="J825" s="76"/>
      <c r="K825" s="46"/>
      <c r="L825" s="76"/>
      <c r="M825" s="20"/>
      <c r="N825" s="20"/>
      <c r="O825" s="20"/>
      <c r="P825" s="20"/>
    </row>
    <row r="826">
      <c r="A826" s="49"/>
      <c r="B826" s="110"/>
      <c r="C826" s="49"/>
      <c r="D826" s="102"/>
      <c r="E826" s="25"/>
      <c r="F826" s="25"/>
      <c r="G826" s="25"/>
      <c r="H826" s="49"/>
      <c r="I826" s="89"/>
      <c r="J826" s="49"/>
      <c r="K826" s="30"/>
      <c r="L826" s="49"/>
      <c r="M826" s="20"/>
      <c r="N826" s="20"/>
      <c r="O826" s="20"/>
      <c r="P826" s="20"/>
    </row>
    <row r="827">
      <c r="A827" s="76"/>
      <c r="B827" s="97"/>
      <c r="C827" s="49"/>
      <c r="D827" s="102"/>
      <c r="E827" s="25"/>
      <c r="F827" s="25"/>
      <c r="G827" s="25"/>
      <c r="H827" s="76"/>
      <c r="I827" s="17"/>
      <c r="J827" s="76"/>
      <c r="K827" s="19"/>
      <c r="L827" s="76"/>
      <c r="M827" s="20"/>
      <c r="N827" s="20"/>
      <c r="O827" s="20"/>
      <c r="P827" s="20"/>
    </row>
    <row r="828">
      <c r="A828" s="49"/>
      <c r="B828" s="110"/>
      <c r="C828" s="49"/>
      <c r="D828" s="102"/>
      <c r="E828" s="25"/>
      <c r="F828" s="25"/>
      <c r="G828" s="25"/>
      <c r="H828" s="49"/>
      <c r="I828" s="89"/>
      <c r="J828" s="49"/>
      <c r="K828" s="36"/>
      <c r="L828" s="49"/>
      <c r="M828" s="20"/>
      <c r="N828" s="20"/>
      <c r="O828" s="20"/>
      <c r="P828" s="20"/>
    </row>
    <row r="829">
      <c r="A829" s="76"/>
      <c r="B829" s="110"/>
      <c r="C829" s="76"/>
      <c r="D829" s="99"/>
      <c r="E829" s="25"/>
      <c r="F829" s="25"/>
      <c r="G829" s="25"/>
      <c r="H829" s="76"/>
      <c r="I829" s="80"/>
      <c r="J829" s="76"/>
      <c r="K829" s="19"/>
      <c r="L829" s="10"/>
      <c r="M829" s="20"/>
      <c r="N829" s="20"/>
      <c r="O829" s="20"/>
      <c r="P829" s="20"/>
    </row>
    <row r="830">
      <c r="A830" s="49"/>
      <c r="B830" s="110"/>
      <c r="C830" s="49"/>
      <c r="D830" s="102"/>
      <c r="E830" s="25"/>
      <c r="F830" s="25"/>
      <c r="G830" s="25"/>
      <c r="H830" s="49"/>
      <c r="I830" s="89"/>
      <c r="J830" s="49"/>
      <c r="K830" s="30"/>
      <c r="L830" s="49"/>
      <c r="M830" s="20"/>
      <c r="N830" s="20"/>
      <c r="O830" s="20"/>
      <c r="P830" s="20"/>
    </row>
    <row r="831">
      <c r="A831" s="76"/>
      <c r="B831" s="97"/>
      <c r="C831" s="76"/>
      <c r="D831" s="99"/>
      <c r="E831" s="25"/>
      <c r="F831" s="25"/>
      <c r="G831" s="25"/>
      <c r="H831" s="76"/>
      <c r="I831" s="80"/>
      <c r="J831" s="76"/>
      <c r="K831" s="46"/>
      <c r="L831" s="76"/>
      <c r="M831" s="20"/>
      <c r="N831" s="20"/>
      <c r="O831" s="20"/>
      <c r="P831" s="20"/>
    </row>
    <row r="832">
      <c r="A832" s="49"/>
      <c r="B832" s="110"/>
      <c r="C832" s="49"/>
      <c r="D832" s="102"/>
      <c r="E832" s="25"/>
      <c r="F832" s="25"/>
      <c r="G832" s="25"/>
      <c r="H832" s="23"/>
      <c r="I832" s="27"/>
      <c r="J832" s="49"/>
      <c r="K832" s="30"/>
      <c r="L832" s="49"/>
      <c r="M832" s="20"/>
      <c r="N832" s="20"/>
      <c r="O832" s="20"/>
      <c r="P832" s="20"/>
    </row>
    <row r="833">
      <c r="A833" s="76"/>
      <c r="B833" s="97"/>
      <c r="C833" s="76"/>
      <c r="D833" s="99"/>
      <c r="E833" s="25"/>
      <c r="F833" s="25"/>
      <c r="G833" s="25"/>
      <c r="H833" s="10"/>
      <c r="I833" s="80"/>
      <c r="J833" s="76"/>
      <c r="K833" s="46"/>
      <c r="L833" s="76"/>
      <c r="M833" s="20"/>
      <c r="N833" s="20"/>
      <c r="O833" s="20"/>
      <c r="P833" s="20"/>
    </row>
    <row r="834">
      <c r="A834" s="49"/>
      <c r="B834" s="110"/>
      <c r="C834" s="49"/>
      <c r="D834" s="102"/>
      <c r="E834" s="25"/>
      <c r="F834" s="25"/>
      <c r="G834" s="25"/>
      <c r="H834" s="49"/>
      <c r="I834" s="89"/>
      <c r="J834" s="49"/>
      <c r="K834" s="30"/>
      <c r="L834" s="49"/>
      <c r="M834" s="20"/>
      <c r="N834" s="20"/>
      <c r="O834" s="20"/>
      <c r="P834" s="20"/>
    </row>
    <row r="835">
      <c r="A835" s="76"/>
      <c r="B835" s="97"/>
      <c r="C835" s="76"/>
      <c r="D835" s="99"/>
      <c r="E835" s="25"/>
      <c r="F835" s="25"/>
      <c r="G835" s="25"/>
      <c r="H835" s="76"/>
      <c r="I835" s="17"/>
      <c r="J835" s="76"/>
      <c r="K835" s="46"/>
      <c r="L835" s="10"/>
      <c r="M835" s="20"/>
      <c r="N835" s="20"/>
      <c r="O835" s="20"/>
      <c r="P835" s="20"/>
    </row>
    <row r="836">
      <c r="A836" s="49"/>
      <c r="B836" s="110"/>
      <c r="C836" s="49"/>
      <c r="D836" s="102"/>
      <c r="E836" s="25"/>
      <c r="F836" s="25"/>
      <c r="G836" s="25"/>
      <c r="H836" s="49"/>
      <c r="I836" s="89"/>
      <c r="J836" s="49"/>
      <c r="K836" s="30"/>
      <c r="L836" s="49"/>
      <c r="M836" s="20"/>
      <c r="N836" s="20"/>
      <c r="O836" s="20"/>
      <c r="P836" s="20"/>
    </row>
    <row r="837">
      <c r="A837" s="76"/>
      <c r="B837" s="97"/>
      <c r="C837" s="76"/>
      <c r="D837" s="99"/>
      <c r="E837" s="25"/>
      <c r="F837" s="25"/>
      <c r="G837" s="25"/>
      <c r="H837" s="10"/>
      <c r="I837" s="17"/>
      <c r="J837" s="10"/>
      <c r="K837" s="46"/>
      <c r="L837" s="76"/>
      <c r="M837" s="20"/>
      <c r="N837" s="20"/>
      <c r="O837" s="20"/>
      <c r="P837" s="20"/>
    </row>
    <row r="838">
      <c r="A838" s="49"/>
      <c r="B838" s="110"/>
      <c r="C838" s="49"/>
      <c r="D838" s="102"/>
      <c r="E838" s="25"/>
      <c r="F838" s="25"/>
      <c r="G838" s="25"/>
      <c r="H838" s="49"/>
      <c r="I838" s="89"/>
      <c r="J838" s="49"/>
      <c r="K838" s="30"/>
      <c r="L838" s="49"/>
      <c r="M838" s="20"/>
      <c r="N838" s="20"/>
      <c r="O838" s="20"/>
      <c r="P838" s="20"/>
    </row>
    <row r="839">
      <c r="A839" s="76"/>
      <c r="B839" s="97"/>
      <c r="C839" s="76"/>
      <c r="D839" s="99"/>
      <c r="E839" s="25"/>
      <c r="F839" s="25"/>
      <c r="G839" s="25"/>
      <c r="H839" s="10"/>
      <c r="I839" s="17"/>
      <c r="J839" s="10"/>
      <c r="K839" s="46"/>
      <c r="L839" s="76"/>
      <c r="M839" s="20"/>
      <c r="N839" s="20"/>
      <c r="O839" s="20"/>
      <c r="P839" s="20"/>
    </row>
    <row r="840">
      <c r="A840" s="49"/>
      <c r="B840" s="110"/>
      <c r="C840" s="49"/>
      <c r="D840" s="102"/>
      <c r="E840" s="25"/>
      <c r="F840" s="25"/>
      <c r="G840" s="25"/>
      <c r="H840" s="23"/>
      <c r="I840" s="27"/>
      <c r="J840" s="23"/>
      <c r="K840" s="30"/>
      <c r="L840" s="49"/>
      <c r="M840" s="20"/>
      <c r="N840" s="20"/>
      <c r="O840" s="20"/>
      <c r="P840" s="20"/>
    </row>
    <row r="841">
      <c r="A841" s="76"/>
      <c r="B841" s="97"/>
      <c r="C841" s="76"/>
      <c r="D841" s="99"/>
      <c r="E841" s="25"/>
      <c r="F841" s="25"/>
      <c r="G841" s="25"/>
      <c r="H841" s="10"/>
      <c r="I841" s="17"/>
      <c r="J841" s="10"/>
      <c r="K841" s="46"/>
      <c r="L841" s="76"/>
      <c r="M841" s="20"/>
      <c r="N841" s="20"/>
      <c r="O841" s="20"/>
      <c r="P841" s="20"/>
    </row>
    <row r="842">
      <c r="A842" s="49"/>
      <c r="B842" s="110"/>
      <c r="C842" s="49"/>
      <c r="D842" s="102"/>
      <c r="E842" s="25"/>
      <c r="F842" s="25"/>
      <c r="G842" s="25"/>
      <c r="H842" s="49"/>
      <c r="I842" s="89"/>
      <c r="J842" s="49"/>
      <c r="K842" s="30"/>
      <c r="L842" s="49"/>
      <c r="M842" s="20"/>
      <c r="N842" s="20"/>
      <c r="O842" s="20"/>
      <c r="P842" s="20"/>
    </row>
    <row r="843">
      <c r="A843" s="76"/>
      <c r="B843" s="97"/>
      <c r="C843" s="76"/>
      <c r="D843" s="99"/>
      <c r="E843" s="25"/>
      <c r="F843" s="25"/>
      <c r="G843" s="25"/>
      <c r="H843" s="76"/>
      <c r="I843" s="80"/>
      <c r="J843" s="76"/>
      <c r="K843" s="46"/>
      <c r="L843" s="76"/>
      <c r="M843" s="20"/>
      <c r="N843" s="20"/>
      <c r="O843" s="20"/>
      <c r="P843" s="20"/>
    </row>
    <row r="844">
      <c r="A844" s="49"/>
      <c r="B844" s="110"/>
      <c r="C844" s="49"/>
      <c r="D844" s="102"/>
      <c r="E844" s="25"/>
      <c r="F844" s="25"/>
      <c r="G844" s="25"/>
      <c r="H844" s="49"/>
      <c r="I844" s="89"/>
      <c r="J844" s="49"/>
      <c r="K844" s="30"/>
      <c r="L844" s="49"/>
      <c r="M844" s="20"/>
      <c r="N844" s="20"/>
      <c r="O844" s="20"/>
      <c r="P844" s="20"/>
    </row>
    <row r="845">
      <c r="A845" s="76"/>
      <c r="B845" s="97"/>
      <c r="C845" s="76"/>
      <c r="D845" s="99"/>
      <c r="E845" s="25"/>
      <c r="F845" s="25"/>
      <c r="G845" s="25"/>
      <c r="H845" s="10"/>
      <c r="I845" s="17"/>
      <c r="J845" s="10"/>
      <c r="K845" s="46"/>
      <c r="L845" s="76"/>
      <c r="M845" s="20"/>
      <c r="N845" s="20"/>
      <c r="O845" s="20"/>
      <c r="P845" s="20"/>
    </row>
    <row r="846">
      <c r="A846" s="49"/>
      <c r="B846" s="110"/>
      <c r="C846" s="49"/>
      <c r="D846" s="102"/>
      <c r="E846" s="25"/>
      <c r="F846" s="25"/>
      <c r="G846" s="25"/>
      <c r="H846" s="49"/>
      <c r="I846" s="89"/>
      <c r="J846" s="49"/>
      <c r="K846" s="36"/>
      <c r="L846" s="49"/>
      <c r="M846" s="20"/>
      <c r="N846" s="20"/>
      <c r="O846" s="20"/>
      <c r="P846" s="20"/>
    </row>
    <row r="847">
      <c r="A847" s="49"/>
      <c r="B847" s="110"/>
      <c r="C847" s="49"/>
      <c r="D847" s="102"/>
      <c r="E847" s="25"/>
      <c r="F847" s="25"/>
      <c r="G847" s="25"/>
      <c r="H847" s="49"/>
      <c r="I847" s="89"/>
      <c r="J847" s="49"/>
      <c r="K847" s="30"/>
      <c r="L847" s="49"/>
      <c r="M847" s="20"/>
      <c r="N847" s="20"/>
      <c r="O847" s="20"/>
      <c r="P847" s="20"/>
    </row>
    <row r="848">
      <c r="A848" s="76"/>
      <c r="B848" s="97"/>
      <c r="C848" s="76"/>
      <c r="D848" s="99"/>
      <c r="E848" s="25"/>
      <c r="F848" s="25"/>
      <c r="G848" s="25"/>
      <c r="H848" s="10"/>
      <c r="I848" s="17"/>
      <c r="J848" s="10"/>
      <c r="K848" s="46"/>
      <c r="L848" s="76"/>
      <c r="M848" s="20"/>
      <c r="N848" s="20"/>
      <c r="O848" s="20"/>
      <c r="P848" s="20"/>
    </row>
    <row r="849">
      <c r="A849" s="76"/>
      <c r="B849" s="97"/>
      <c r="C849" s="76"/>
      <c r="D849" s="99"/>
      <c r="E849" s="25"/>
      <c r="F849" s="25"/>
      <c r="G849" s="25"/>
      <c r="H849" s="76"/>
      <c r="I849" s="80"/>
      <c r="J849" s="76"/>
      <c r="K849" s="19"/>
      <c r="L849" s="10"/>
      <c r="M849" s="20"/>
      <c r="N849" s="20"/>
      <c r="O849" s="20"/>
      <c r="P849" s="20"/>
    </row>
    <row r="850">
      <c r="A850" s="49"/>
      <c r="B850" s="110"/>
      <c r="C850" s="49"/>
      <c r="D850" s="102"/>
      <c r="E850" s="25"/>
      <c r="F850" s="25"/>
      <c r="G850" s="25"/>
      <c r="H850" s="49"/>
      <c r="I850" s="89"/>
      <c r="J850" s="49"/>
      <c r="K850" s="36"/>
      <c r="L850" s="23"/>
      <c r="M850" s="20"/>
      <c r="N850" s="20"/>
      <c r="O850" s="20"/>
      <c r="P850" s="20"/>
    </row>
    <row r="851">
      <c r="A851" s="76"/>
      <c r="B851" s="97"/>
      <c r="C851" s="76"/>
      <c r="D851" s="99"/>
      <c r="E851" s="25"/>
      <c r="F851" s="25"/>
      <c r="G851" s="25"/>
      <c r="H851" s="76"/>
      <c r="I851" s="80"/>
      <c r="J851" s="76"/>
      <c r="K851" s="19"/>
      <c r="L851" s="76"/>
      <c r="M851" s="20"/>
      <c r="N851" s="20"/>
      <c r="O851" s="20"/>
      <c r="P851" s="20"/>
    </row>
    <row r="852">
      <c r="A852" s="49"/>
      <c r="B852" s="110"/>
      <c r="C852" s="49"/>
      <c r="D852" s="102"/>
      <c r="E852" s="25"/>
      <c r="F852" s="25"/>
      <c r="G852" s="25"/>
      <c r="H852" s="49"/>
      <c r="I852" s="89"/>
      <c r="J852" s="49"/>
      <c r="K852" s="30"/>
      <c r="L852" s="23"/>
      <c r="M852" s="20"/>
      <c r="N852" s="20"/>
      <c r="O852" s="20"/>
      <c r="P852" s="20"/>
    </row>
    <row r="853">
      <c r="A853" s="10"/>
      <c r="B853" s="11"/>
      <c r="C853" s="10"/>
      <c r="D853" s="13"/>
      <c r="E853" s="14"/>
      <c r="F853" s="14"/>
      <c r="G853" s="14"/>
      <c r="H853" s="10"/>
      <c r="I853" s="17"/>
      <c r="J853" s="10"/>
      <c r="K853" s="46"/>
      <c r="L853" s="10"/>
      <c r="M853" s="20"/>
      <c r="N853" s="20"/>
      <c r="O853" s="20"/>
      <c r="P853" s="20"/>
    </row>
    <row r="854">
      <c r="A854" s="23"/>
      <c r="B854" s="21"/>
      <c r="C854" s="23"/>
      <c r="D854" s="24"/>
      <c r="E854" s="14"/>
      <c r="F854" s="14"/>
      <c r="G854" s="14"/>
      <c r="H854" s="23"/>
      <c r="I854" s="27"/>
      <c r="J854" s="23"/>
      <c r="K854" s="30"/>
      <c r="L854" s="23"/>
      <c r="M854" s="20"/>
      <c r="N854" s="20"/>
      <c r="O854" s="20"/>
      <c r="P854" s="20"/>
    </row>
    <row r="855">
      <c r="A855" s="10"/>
      <c r="B855" s="11"/>
      <c r="C855" s="10"/>
      <c r="D855" s="13"/>
      <c r="E855" s="14"/>
      <c r="F855" s="14"/>
      <c r="G855" s="14"/>
      <c r="H855" s="10"/>
      <c r="I855" s="17"/>
      <c r="J855" s="10"/>
      <c r="K855" s="46"/>
      <c r="L855" s="10"/>
      <c r="M855" s="20"/>
      <c r="N855" s="20"/>
      <c r="O855" s="20"/>
      <c r="P855" s="20"/>
    </row>
    <row r="856">
      <c r="A856" s="23"/>
      <c r="B856" s="21"/>
      <c r="C856" s="23"/>
      <c r="D856" s="24"/>
      <c r="E856" s="14"/>
      <c r="F856" s="14"/>
      <c r="G856" s="14"/>
      <c r="H856" s="23"/>
      <c r="I856" s="27"/>
      <c r="J856" s="23"/>
      <c r="K856" s="30"/>
      <c r="L856" s="23"/>
      <c r="M856" s="20"/>
      <c r="N856" s="20"/>
      <c r="O856" s="20"/>
      <c r="P856" s="20"/>
    </row>
    <row r="857">
      <c r="A857" s="10"/>
      <c r="B857" s="11"/>
      <c r="C857" s="10"/>
      <c r="D857" s="13"/>
      <c r="E857" s="14"/>
      <c r="F857" s="14"/>
      <c r="G857" s="14"/>
      <c r="H857" s="10"/>
      <c r="I857" s="17"/>
      <c r="J857" s="10"/>
      <c r="K857" s="46"/>
      <c r="L857" s="10"/>
      <c r="M857" s="20"/>
      <c r="N857" s="20"/>
      <c r="O857" s="20"/>
      <c r="P857" s="20"/>
    </row>
    <row r="858">
      <c r="A858" s="23"/>
      <c r="B858" s="21"/>
      <c r="C858" s="23"/>
      <c r="D858" s="24"/>
      <c r="E858" s="14"/>
      <c r="F858" s="14"/>
      <c r="G858" s="14"/>
      <c r="H858" s="23"/>
      <c r="I858" s="27"/>
      <c r="J858" s="23"/>
      <c r="K858" s="30"/>
      <c r="L858" s="23"/>
      <c r="M858" s="20"/>
      <c r="N858" s="20"/>
      <c r="O858" s="20"/>
      <c r="P858" s="20"/>
    </row>
    <row r="859">
      <c r="A859" s="10"/>
      <c r="B859" s="11"/>
      <c r="C859" s="10"/>
      <c r="D859" s="13"/>
      <c r="E859" s="14"/>
      <c r="F859" s="14"/>
      <c r="G859" s="14"/>
      <c r="H859" s="10"/>
      <c r="I859" s="17"/>
      <c r="J859" s="10"/>
      <c r="K859" s="46"/>
      <c r="L859" s="10"/>
      <c r="M859" s="20"/>
      <c r="N859" s="20"/>
      <c r="O859" s="20"/>
      <c r="P859" s="20"/>
    </row>
    <row r="860">
      <c r="A860" s="23"/>
      <c r="B860" s="21"/>
      <c r="C860" s="23"/>
      <c r="D860" s="24"/>
      <c r="E860" s="14"/>
      <c r="F860" s="14"/>
      <c r="G860" s="14"/>
      <c r="H860" s="23"/>
      <c r="I860" s="27"/>
      <c r="J860" s="23"/>
      <c r="K860" s="30"/>
      <c r="L860" s="23"/>
      <c r="M860" s="20"/>
      <c r="N860" s="20"/>
      <c r="O860" s="20"/>
      <c r="P860" s="20"/>
    </row>
    <row r="861">
      <c r="A861" s="10"/>
      <c r="B861" s="11"/>
      <c r="C861" s="10"/>
      <c r="D861" s="13"/>
      <c r="E861" s="14"/>
      <c r="F861" s="14"/>
      <c r="G861" s="14"/>
      <c r="H861" s="10"/>
      <c r="I861" s="17"/>
      <c r="J861" s="10"/>
      <c r="K861" s="46"/>
      <c r="L861" s="10"/>
      <c r="M861" s="20"/>
      <c r="N861" s="20"/>
      <c r="O861" s="20"/>
      <c r="P861" s="20"/>
    </row>
    <row r="862">
      <c r="A862" s="23"/>
      <c r="B862" s="21"/>
      <c r="C862" s="23"/>
      <c r="D862" s="24"/>
      <c r="E862" s="14"/>
      <c r="F862" s="14"/>
      <c r="G862" s="14"/>
      <c r="H862" s="23"/>
      <c r="I862" s="27"/>
      <c r="J862" s="23"/>
      <c r="K862" s="30"/>
      <c r="L862" s="23"/>
      <c r="M862" s="20"/>
      <c r="N862" s="20"/>
      <c r="O862" s="20"/>
      <c r="P862" s="20"/>
    </row>
    <row r="863">
      <c r="A863" s="10"/>
      <c r="B863" s="11"/>
      <c r="C863" s="10"/>
      <c r="D863" s="13"/>
      <c r="E863" s="14"/>
      <c r="F863" s="14"/>
      <c r="G863" s="14"/>
      <c r="H863" s="10"/>
      <c r="I863" s="17"/>
      <c r="J863" s="10"/>
      <c r="K863" s="46"/>
      <c r="L863" s="10"/>
      <c r="M863" s="20"/>
      <c r="N863" s="20"/>
      <c r="O863" s="20"/>
      <c r="P863" s="20"/>
    </row>
    <row r="864">
      <c r="A864" s="23"/>
      <c r="B864" s="21"/>
      <c r="C864" s="23"/>
      <c r="D864" s="24"/>
      <c r="E864" s="14"/>
      <c r="F864" s="14"/>
      <c r="G864" s="14"/>
      <c r="H864" s="23"/>
      <c r="I864" s="27"/>
      <c r="J864" s="23"/>
      <c r="K864" s="30"/>
      <c r="L864" s="23"/>
      <c r="M864" s="20"/>
      <c r="N864" s="20"/>
      <c r="O864" s="20"/>
      <c r="P864" s="20"/>
    </row>
    <row r="865">
      <c r="A865" s="10"/>
      <c r="B865" s="11"/>
      <c r="C865" s="10"/>
      <c r="D865" s="13"/>
      <c r="E865" s="14"/>
      <c r="F865" s="14"/>
      <c r="G865" s="14"/>
      <c r="H865" s="10"/>
      <c r="I865" s="17"/>
      <c r="J865" s="10"/>
      <c r="K865" s="46"/>
      <c r="L865" s="10"/>
      <c r="M865" s="20"/>
      <c r="N865" s="20"/>
      <c r="O865" s="20"/>
      <c r="P865" s="20"/>
    </row>
    <row r="866">
      <c r="A866" s="23"/>
      <c r="B866" s="21"/>
      <c r="C866" s="23"/>
      <c r="D866" s="24"/>
      <c r="E866" s="14"/>
      <c r="F866" s="14"/>
      <c r="G866" s="14"/>
      <c r="H866" s="23"/>
      <c r="I866" s="27"/>
      <c r="J866" s="23"/>
      <c r="K866" s="30"/>
      <c r="L866" s="23"/>
      <c r="M866" s="20"/>
      <c r="N866" s="20"/>
      <c r="O866" s="20"/>
      <c r="P866" s="20"/>
    </row>
    <row r="867">
      <c r="A867" s="10"/>
      <c r="B867" s="11"/>
      <c r="C867" s="10"/>
      <c r="D867" s="13"/>
      <c r="E867" s="14"/>
      <c r="F867" s="14"/>
      <c r="G867" s="14"/>
      <c r="H867" s="10"/>
      <c r="I867" s="17"/>
      <c r="J867" s="10"/>
      <c r="K867" s="46"/>
      <c r="L867" s="10"/>
      <c r="M867" s="20"/>
      <c r="N867" s="20"/>
      <c r="O867" s="20"/>
      <c r="P867" s="20"/>
    </row>
    <row r="868">
      <c r="A868" s="23"/>
      <c r="B868" s="21"/>
      <c r="C868" s="23"/>
      <c r="D868" s="24"/>
      <c r="E868" s="14"/>
      <c r="F868" s="14"/>
      <c r="G868" s="14"/>
      <c r="H868" s="23"/>
      <c r="I868" s="27"/>
      <c r="J868" s="23"/>
      <c r="K868" s="30"/>
      <c r="L868" s="23"/>
      <c r="M868" s="20"/>
      <c r="N868" s="20"/>
      <c r="O868" s="20"/>
      <c r="P868" s="20"/>
    </row>
    <row r="869">
      <c r="A869" s="10"/>
      <c r="B869" s="11"/>
      <c r="C869" s="10"/>
      <c r="D869" s="13"/>
      <c r="E869" s="14"/>
      <c r="F869" s="14"/>
      <c r="G869" s="14"/>
      <c r="H869" s="10"/>
      <c r="I869" s="17"/>
      <c r="J869" s="10"/>
      <c r="K869" s="46"/>
      <c r="L869" s="10"/>
      <c r="M869" s="20"/>
      <c r="N869" s="20"/>
      <c r="O869" s="20"/>
      <c r="P869" s="20"/>
    </row>
    <row r="870">
      <c r="A870" s="23"/>
      <c r="B870" s="21"/>
      <c r="C870" s="23"/>
      <c r="D870" s="24"/>
      <c r="E870" s="14"/>
      <c r="F870" s="14"/>
      <c r="G870" s="14"/>
      <c r="H870" s="23"/>
      <c r="I870" s="27"/>
      <c r="J870" s="23"/>
      <c r="K870" s="30"/>
      <c r="L870" s="23"/>
      <c r="M870" s="20"/>
      <c r="N870" s="20"/>
      <c r="O870" s="20"/>
      <c r="P870" s="20"/>
    </row>
    <row r="871">
      <c r="A871" s="10"/>
      <c r="B871" s="11"/>
      <c r="C871" s="10"/>
      <c r="D871" s="13"/>
      <c r="E871" s="14"/>
      <c r="F871" s="14"/>
      <c r="G871" s="14"/>
      <c r="H871" s="10"/>
      <c r="I871" s="17"/>
      <c r="J871" s="10"/>
      <c r="K871" s="46"/>
      <c r="L871" s="10"/>
      <c r="M871" s="20"/>
      <c r="N871" s="20"/>
      <c r="O871" s="20"/>
      <c r="P871" s="20"/>
    </row>
    <row r="872">
      <c r="A872" s="23"/>
      <c r="B872" s="21"/>
      <c r="C872" s="23"/>
      <c r="D872" s="24"/>
      <c r="E872" s="14"/>
      <c r="F872" s="14"/>
      <c r="G872" s="14"/>
      <c r="H872" s="23"/>
      <c r="I872" s="27"/>
      <c r="J872" s="23"/>
      <c r="K872" s="30"/>
      <c r="L872" s="23"/>
      <c r="M872" s="20"/>
      <c r="N872" s="20"/>
      <c r="O872" s="20"/>
      <c r="P872" s="20"/>
    </row>
    <row r="873">
      <c r="A873" s="10"/>
      <c r="B873" s="11"/>
      <c r="C873" s="10"/>
      <c r="D873" s="13"/>
      <c r="E873" s="14"/>
      <c r="F873" s="14"/>
      <c r="G873" s="14"/>
      <c r="H873" s="10"/>
      <c r="I873" s="17"/>
      <c r="J873" s="10"/>
      <c r="K873" s="46"/>
      <c r="L873" s="10"/>
      <c r="M873" s="20"/>
      <c r="N873" s="20"/>
      <c r="O873" s="20"/>
      <c r="P873" s="20"/>
    </row>
    <row r="874">
      <c r="A874" s="23"/>
      <c r="B874" s="21"/>
      <c r="C874" s="23"/>
      <c r="D874" s="24"/>
      <c r="E874" s="14"/>
      <c r="F874" s="14"/>
      <c r="G874" s="14"/>
      <c r="H874" s="23"/>
      <c r="I874" s="27"/>
      <c r="J874" s="23"/>
      <c r="K874" s="30"/>
      <c r="L874" s="23"/>
      <c r="M874" s="20"/>
      <c r="N874" s="20"/>
      <c r="O874" s="20"/>
      <c r="P874" s="20"/>
    </row>
    <row r="875">
      <c r="A875" s="10"/>
      <c r="B875" s="11"/>
      <c r="C875" s="10"/>
      <c r="D875" s="13"/>
      <c r="E875" s="14"/>
      <c r="F875" s="14"/>
      <c r="G875" s="14"/>
      <c r="H875" s="10"/>
      <c r="I875" s="17"/>
      <c r="J875" s="10"/>
      <c r="K875" s="46"/>
      <c r="L875" s="10"/>
      <c r="M875" s="20"/>
      <c r="N875" s="20"/>
      <c r="O875" s="20"/>
      <c r="P875" s="20"/>
    </row>
    <row r="876">
      <c r="A876" s="23"/>
      <c r="B876" s="21"/>
      <c r="C876" s="23"/>
      <c r="D876" s="24"/>
      <c r="E876" s="14"/>
      <c r="F876" s="14"/>
      <c r="G876" s="14"/>
      <c r="H876" s="23"/>
      <c r="I876" s="27"/>
      <c r="J876" s="23"/>
      <c r="K876" s="30"/>
      <c r="L876" s="23"/>
      <c r="M876" s="20"/>
      <c r="N876" s="20"/>
      <c r="O876" s="20"/>
      <c r="P876" s="20"/>
    </row>
    <row r="877">
      <c r="A877" s="10"/>
      <c r="B877" s="11"/>
      <c r="C877" s="10"/>
      <c r="D877" s="13"/>
      <c r="E877" s="14"/>
      <c r="F877" s="14"/>
      <c r="G877" s="14"/>
      <c r="H877" s="10"/>
      <c r="I877" s="17"/>
      <c r="J877" s="10"/>
      <c r="K877" s="46"/>
      <c r="L877" s="10"/>
      <c r="M877" s="20"/>
      <c r="N877" s="20"/>
      <c r="O877" s="20"/>
      <c r="P877" s="20"/>
    </row>
    <row r="878">
      <c r="A878" s="23"/>
      <c r="B878" s="21"/>
      <c r="C878" s="23"/>
      <c r="D878" s="24"/>
      <c r="E878" s="14"/>
      <c r="F878" s="14"/>
      <c r="G878" s="14"/>
      <c r="H878" s="23"/>
      <c r="I878" s="27"/>
      <c r="J878" s="23"/>
      <c r="K878" s="30"/>
      <c r="L878" s="23"/>
      <c r="M878" s="20"/>
      <c r="N878" s="20"/>
      <c r="O878" s="20"/>
      <c r="P878" s="20"/>
    </row>
    <row r="879">
      <c r="A879" s="10"/>
      <c r="B879" s="11"/>
      <c r="C879" s="10"/>
      <c r="D879" s="13"/>
      <c r="E879" s="14"/>
      <c r="F879" s="14"/>
      <c r="G879" s="14"/>
      <c r="H879" s="10"/>
      <c r="I879" s="17"/>
      <c r="J879" s="10"/>
      <c r="K879" s="46"/>
      <c r="L879" s="10"/>
      <c r="M879" s="20"/>
      <c r="N879" s="20"/>
      <c r="O879" s="20"/>
      <c r="P879" s="20"/>
    </row>
    <row r="880">
      <c r="A880" s="23"/>
      <c r="B880" s="21"/>
      <c r="C880" s="23"/>
      <c r="D880" s="24"/>
      <c r="E880" s="14"/>
      <c r="F880" s="14"/>
      <c r="G880" s="14"/>
      <c r="H880" s="23"/>
      <c r="I880" s="27"/>
      <c r="J880" s="23"/>
      <c r="K880" s="30"/>
      <c r="L880" s="23"/>
      <c r="M880" s="20"/>
      <c r="N880" s="20"/>
      <c r="O880" s="20"/>
      <c r="P880" s="20"/>
    </row>
    <row r="881">
      <c r="A881" s="10"/>
      <c r="B881" s="11"/>
      <c r="C881" s="10"/>
      <c r="D881" s="13"/>
      <c r="E881" s="14"/>
      <c r="F881" s="14"/>
      <c r="G881" s="14"/>
      <c r="H881" s="10"/>
      <c r="I881" s="17"/>
      <c r="J881" s="10"/>
      <c r="K881" s="46"/>
      <c r="L881" s="10"/>
      <c r="M881" s="20"/>
      <c r="N881" s="20"/>
      <c r="O881" s="20"/>
      <c r="P881" s="20"/>
    </row>
    <row r="882">
      <c r="A882" s="23"/>
      <c r="B882" s="21"/>
      <c r="C882" s="23"/>
      <c r="D882" s="24"/>
      <c r="E882" s="14"/>
      <c r="F882" s="14"/>
      <c r="G882" s="14"/>
      <c r="H882" s="23"/>
      <c r="I882" s="27"/>
      <c r="J882" s="23"/>
      <c r="K882" s="30"/>
      <c r="L882" s="23"/>
      <c r="M882" s="20"/>
      <c r="N882" s="20"/>
      <c r="O882" s="20"/>
      <c r="P882" s="20"/>
    </row>
    <row r="883">
      <c r="A883" s="10"/>
      <c r="B883" s="11"/>
      <c r="C883" s="10"/>
      <c r="D883" s="13"/>
      <c r="E883" s="14"/>
      <c r="F883" s="14"/>
      <c r="G883" s="14"/>
      <c r="H883" s="10"/>
      <c r="I883" s="17"/>
      <c r="J883" s="10"/>
      <c r="K883" s="46"/>
      <c r="L883" s="10"/>
      <c r="M883" s="20"/>
      <c r="N883" s="20"/>
      <c r="O883" s="20"/>
      <c r="P883" s="20"/>
    </row>
    <row r="884">
      <c r="A884" s="23"/>
      <c r="B884" s="21"/>
      <c r="C884" s="23"/>
      <c r="D884" s="24"/>
      <c r="E884" s="14"/>
      <c r="F884" s="14"/>
      <c r="G884" s="14"/>
      <c r="H884" s="23"/>
      <c r="I884" s="27"/>
      <c r="J884" s="23"/>
      <c r="K884" s="30"/>
      <c r="L884" s="23"/>
      <c r="M884" s="20"/>
      <c r="N884" s="20"/>
      <c r="O884" s="20"/>
      <c r="P884" s="20"/>
    </row>
    <row r="885">
      <c r="A885" s="10"/>
      <c r="B885" s="11"/>
      <c r="C885" s="10"/>
      <c r="D885" s="13"/>
      <c r="E885" s="14"/>
      <c r="F885" s="14"/>
      <c r="G885" s="14"/>
      <c r="H885" s="10"/>
      <c r="I885" s="17"/>
      <c r="J885" s="10"/>
      <c r="K885" s="46"/>
      <c r="L885" s="10"/>
      <c r="M885" s="20"/>
      <c r="N885" s="20"/>
      <c r="O885" s="20"/>
      <c r="P885" s="20"/>
    </row>
    <row r="886">
      <c r="A886" s="23"/>
      <c r="B886" s="21"/>
      <c r="C886" s="23"/>
      <c r="D886" s="24"/>
      <c r="E886" s="14"/>
      <c r="F886" s="14"/>
      <c r="G886" s="14"/>
      <c r="H886" s="23"/>
      <c r="I886" s="27"/>
      <c r="J886" s="23"/>
      <c r="K886" s="30"/>
      <c r="L886" s="23"/>
      <c r="M886" s="20"/>
      <c r="N886" s="20"/>
      <c r="O886" s="20"/>
      <c r="P886" s="20"/>
    </row>
    <row r="887">
      <c r="A887" s="10"/>
      <c r="B887" s="11"/>
      <c r="C887" s="10"/>
      <c r="D887" s="13"/>
      <c r="E887" s="14"/>
      <c r="F887" s="14"/>
      <c r="G887" s="14"/>
      <c r="H887" s="10"/>
      <c r="I887" s="17"/>
      <c r="J887" s="10"/>
      <c r="K887" s="46"/>
      <c r="L887" s="10"/>
      <c r="M887" s="20"/>
      <c r="N887" s="20"/>
      <c r="O887" s="20"/>
      <c r="P887" s="20"/>
    </row>
    <row r="888">
      <c r="A888" s="23"/>
      <c r="B888" s="21"/>
      <c r="C888" s="23"/>
      <c r="D888" s="24"/>
      <c r="E888" s="14"/>
      <c r="F888" s="14"/>
      <c r="G888" s="14"/>
      <c r="H888" s="23"/>
      <c r="I888" s="27"/>
      <c r="J888" s="23"/>
      <c r="K888" s="30"/>
      <c r="L888" s="23"/>
      <c r="M888" s="20"/>
      <c r="N888" s="20"/>
      <c r="O888" s="20"/>
      <c r="P888" s="20"/>
    </row>
    <row r="889">
      <c r="A889" s="10"/>
      <c r="B889" s="11"/>
      <c r="C889" s="10"/>
      <c r="D889" s="13"/>
      <c r="E889" s="14"/>
      <c r="F889" s="14"/>
      <c r="G889" s="14"/>
      <c r="H889" s="10"/>
      <c r="I889" s="17"/>
      <c r="J889" s="10"/>
      <c r="K889" s="46"/>
      <c r="L889" s="10"/>
      <c r="M889" s="20"/>
      <c r="N889" s="20"/>
      <c r="O889" s="20"/>
      <c r="P889" s="20"/>
    </row>
    <row r="890">
      <c r="A890" s="23"/>
      <c r="B890" s="21"/>
      <c r="C890" s="23"/>
      <c r="D890" s="24"/>
      <c r="E890" s="14"/>
      <c r="F890" s="14"/>
      <c r="G890" s="14"/>
      <c r="H890" s="23"/>
      <c r="I890" s="27"/>
      <c r="J890" s="23"/>
      <c r="K890" s="30"/>
      <c r="L890" s="23"/>
      <c r="M890" s="20"/>
      <c r="N890" s="20"/>
      <c r="O890" s="20"/>
      <c r="P890" s="20"/>
    </row>
    <row r="891">
      <c r="A891" s="10"/>
      <c r="B891" s="11"/>
      <c r="C891" s="10"/>
      <c r="D891" s="13"/>
      <c r="E891" s="14"/>
      <c r="F891" s="14"/>
      <c r="G891" s="14"/>
      <c r="H891" s="10"/>
      <c r="I891" s="17"/>
      <c r="J891" s="10"/>
      <c r="K891" s="46"/>
      <c r="L891" s="10"/>
      <c r="M891" s="20"/>
      <c r="N891" s="20"/>
      <c r="O891" s="20"/>
      <c r="P891" s="20"/>
    </row>
    <row r="892">
      <c r="A892" s="23"/>
      <c r="B892" s="21"/>
      <c r="C892" s="23"/>
      <c r="D892" s="24"/>
      <c r="E892" s="14"/>
      <c r="F892" s="14"/>
      <c r="G892" s="14"/>
      <c r="H892" s="23"/>
      <c r="I892" s="27"/>
      <c r="J892" s="23"/>
      <c r="K892" s="30"/>
      <c r="L892" s="23"/>
      <c r="M892" s="20"/>
      <c r="N892" s="20"/>
      <c r="O892" s="20"/>
      <c r="P892" s="20"/>
    </row>
    <row r="893">
      <c r="A893" s="10"/>
      <c r="B893" s="11"/>
      <c r="C893" s="10"/>
      <c r="D893" s="13"/>
      <c r="E893" s="14"/>
      <c r="F893" s="14"/>
      <c r="G893" s="14"/>
      <c r="H893" s="10"/>
      <c r="I893" s="17"/>
      <c r="J893" s="10"/>
      <c r="K893" s="46"/>
      <c r="L893" s="10"/>
      <c r="M893" s="20"/>
      <c r="N893" s="20"/>
      <c r="O893" s="20"/>
      <c r="P893" s="20"/>
    </row>
    <row r="894">
      <c r="A894" s="23"/>
      <c r="B894" s="21"/>
      <c r="C894" s="23"/>
      <c r="D894" s="24"/>
      <c r="E894" s="14"/>
      <c r="F894" s="14"/>
      <c r="G894" s="14"/>
      <c r="H894" s="23"/>
      <c r="I894" s="27"/>
      <c r="J894" s="23"/>
      <c r="K894" s="30"/>
      <c r="L894" s="23"/>
      <c r="M894" s="20"/>
      <c r="N894" s="20"/>
      <c r="O894" s="20"/>
      <c r="P894" s="20"/>
    </row>
    <row r="895">
      <c r="A895" s="10"/>
      <c r="B895" s="11"/>
      <c r="C895" s="10"/>
      <c r="D895" s="13"/>
      <c r="E895" s="14"/>
      <c r="F895" s="14"/>
      <c r="G895" s="14"/>
      <c r="H895" s="10"/>
      <c r="I895" s="17"/>
      <c r="J895" s="10"/>
      <c r="K895" s="46"/>
      <c r="L895" s="10"/>
      <c r="M895" s="20"/>
      <c r="N895" s="20"/>
      <c r="O895" s="20"/>
      <c r="P895" s="20"/>
    </row>
    <row r="896">
      <c r="A896" s="23"/>
      <c r="B896" s="21"/>
      <c r="C896" s="23"/>
      <c r="D896" s="24"/>
      <c r="E896" s="14"/>
      <c r="F896" s="14"/>
      <c r="G896" s="14"/>
      <c r="H896" s="23"/>
      <c r="I896" s="27"/>
      <c r="J896" s="23"/>
      <c r="K896" s="30"/>
      <c r="L896" s="23"/>
      <c r="M896" s="20"/>
      <c r="N896" s="20"/>
      <c r="O896" s="20"/>
      <c r="P896" s="20"/>
    </row>
    <row r="897">
      <c r="A897" s="10"/>
      <c r="B897" s="11"/>
      <c r="C897" s="10"/>
      <c r="D897" s="13"/>
      <c r="E897" s="14"/>
      <c r="F897" s="14"/>
      <c r="G897" s="14"/>
      <c r="H897" s="10"/>
      <c r="I897" s="17"/>
      <c r="J897" s="10"/>
      <c r="K897" s="46"/>
      <c r="L897" s="10"/>
      <c r="M897" s="20"/>
      <c r="N897" s="20"/>
      <c r="O897" s="20"/>
      <c r="P897" s="20"/>
    </row>
    <row r="898">
      <c r="A898" s="23"/>
      <c r="B898" s="21"/>
      <c r="C898" s="23"/>
      <c r="D898" s="24"/>
      <c r="E898" s="14"/>
      <c r="F898" s="14"/>
      <c r="G898" s="14"/>
      <c r="H898" s="23"/>
      <c r="I898" s="27"/>
      <c r="J898" s="23"/>
      <c r="K898" s="30"/>
      <c r="L898" s="23"/>
      <c r="M898" s="20"/>
      <c r="N898" s="20"/>
      <c r="O898" s="20"/>
      <c r="P898" s="20"/>
    </row>
    <row r="899">
      <c r="A899" s="10"/>
      <c r="B899" s="11"/>
      <c r="C899" s="10"/>
      <c r="D899" s="13"/>
      <c r="E899" s="14"/>
      <c r="F899" s="14"/>
      <c r="G899" s="14"/>
      <c r="H899" s="10"/>
      <c r="I899" s="17"/>
      <c r="J899" s="10"/>
      <c r="K899" s="46"/>
      <c r="L899" s="10"/>
      <c r="M899" s="20"/>
      <c r="N899" s="20"/>
      <c r="O899" s="20"/>
      <c r="P899" s="20"/>
    </row>
    <row r="900">
      <c r="A900" s="23"/>
      <c r="B900" s="21"/>
      <c r="C900" s="23"/>
      <c r="D900" s="24"/>
      <c r="E900" s="14"/>
      <c r="F900" s="14"/>
      <c r="G900" s="14"/>
      <c r="H900" s="23"/>
      <c r="I900" s="27"/>
      <c r="J900" s="23"/>
      <c r="K900" s="30"/>
      <c r="L900" s="23"/>
      <c r="M900" s="20"/>
      <c r="N900" s="20"/>
      <c r="O900" s="20"/>
      <c r="P900" s="20"/>
    </row>
    <row r="901">
      <c r="A901" s="10"/>
      <c r="B901" s="11"/>
      <c r="C901" s="10"/>
      <c r="D901" s="13"/>
      <c r="E901" s="14"/>
      <c r="F901" s="14"/>
      <c r="G901" s="14"/>
      <c r="H901" s="10"/>
      <c r="I901" s="17"/>
      <c r="J901" s="10"/>
      <c r="K901" s="46"/>
      <c r="L901" s="10"/>
      <c r="M901" s="20"/>
      <c r="N901" s="20"/>
      <c r="O901" s="20"/>
      <c r="P901" s="20"/>
    </row>
    <row r="902">
      <c r="A902" s="23"/>
      <c r="B902" s="21"/>
      <c r="C902" s="23"/>
      <c r="D902" s="24"/>
      <c r="E902" s="14"/>
      <c r="F902" s="14"/>
      <c r="G902" s="14"/>
      <c r="H902" s="23"/>
      <c r="I902" s="27"/>
      <c r="J902" s="23"/>
      <c r="K902" s="30"/>
      <c r="L902" s="23"/>
      <c r="M902" s="20"/>
      <c r="N902" s="20"/>
      <c r="O902" s="20"/>
      <c r="P902" s="20"/>
    </row>
    <row r="903">
      <c r="A903" s="10"/>
      <c r="B903" s="11"/>
      <c r="C903" s="10"/>
      <c r="D903" s="13"/>
      <c r="E903" s="14"/>
      <c r="F903" s="14"/>
      <c r="G903" s="14"/>
      <c r="H903" s="10"/>
      <c r="I903" s="17"/>
      <c r="J903" s="10"/>
      <c r="K903" s="46"/>
      <c r="L903" s="10"/>
      <c r="M903" s="20"/>
      <c r="N903" s="20"/>
      <c r="O903" s="20"/>
      <c r="P903" s="20"/>
    </row>
    <row r="904">
      <c r="A904" s="23"/>
      <c r="B904" s="21"/>
      <c r="C904" s="23"/>
      <c r="D904" s="24"/>
      <c r="E904" s="14"/>
      <c r="F904" s="14"/>
      <c r="G904" s="14"/>
      <c r="H904" s="23"/>
      <c r="I904" s="27"/>
      <c r="J904" s="23"/>
      <c r="K904" s="30"/>
      <c r="L904" s="23"/>
      <c r="M904" s="20"/>
      <c r="N904" s="20"/>
      <c r="O904" s="20"/>
      <c r="P904" s="20"/>
    </row>
    <row r="905">
      <c r="A905" s="10"/>
      <c r="B905" s="11"/>
      <c r="C905" s="10"/>
      <c r="D905" s="13"/>
      <c r="E905" s="14"/>
      <c r="F905" s="14"/>
      <c r="G905" s="14"/>
      <c r="H905" s="10"/>
      <c r="I905" s="17"/>
      <c r="J905" s="10"/>
      <c r="K905" s="46"/>
      <c r="L905" s="10"/>
      <c r="M905" s="20"/>
      <c r="N905" s="20"/>
      <c r="O905" s="20"/>
      <c r="P905" s="20"/>
    </row>
    <row r="906">
      <c r="A906" s="23"/>
      <c r="B906" s="21"/>
      <c r="C906" s="23"/>
      <c r="D906" s="24"/>
      <c r="E906" s="14"/>
      <c r="F906" s="14"/>
      <c r="G906" s="14"/>
      <c r="H906" s="23"/>
      <c r="I906" s="27"/>
      <c r="J906" s="23"/>
      <c r="K906" s="30"/>
      <c r="L906" s="23"/>
      <c r="M906" s="20"/>
      <c r="N906" s="20"/>
      <c r="O906" s="20"/>
      <c r="P906" s="20"/>
    </row>
    <row r="907">
      <c r="A907" s="10"/>
      <c r="B907" s="11"/>
      <c r="C907" s="10"/>
      <c r="D907" s="13"/>
      <c r="E907" s="14"/>
      <c r="F907" s="14"/>
      <c r="G907" s="14"/>
      <c r="H907" s="10"/>
      <c r="I907" s="17"/>
      <c r="J907" s="10"/>
      <c r="K907" s="46"/>
      <c r="L907" s="10"/>
      <c r="M907" s="20"/>
      <c r="N907" s="20"/>
      <c r="O907" s="20"/>
      <c r="P907" s="20"/>
    </row>
    <row r="908">
      <c r="A908" s="23"/>
      <c r="B908" s="21"/>
      <c r="C908" s="23"/>
      <c r="D908" s="24"/>
      <c r="E908" s="14"/>
      <c r="F908" s="14"/>
      <c r="G908" s="14"/>
      <c r="H908" s="23"/>
      <c r="I908" s="27"/>
      <c r="J908" s="23"/>
      <c r="K908" s="30"/>
      <c r="L908" s="23"/>
      <c r="M908" s="20"/>
      <c r="N908" s="20"/>
      <c r="O908" s="20"/>
      <c r="P908" s="20"/>
    </row>
    <row r="909">
      <c r="A909" s="10"/>
      <c r="B909" s="11"/>
      <c r="C909" s="10"/>
      <c r="D909" s="13"/>
      <c r="E909" s="14"/>
      <c r="F909" s="14"/>
      <c r="G909" s="14"/>
      <c r="H909" s="10"/>
      <c r="I909" s="17"/>
      <c r="J909" s="10"/>
      <c r="K909" s="46"/>
      <c r="L909" s="10"/>
      <c r="M909" s="20"/>
      <c r="N909" s="20"/>
      <c r="O909" s="20"/>
      <c r="P909" s="20"/>
    </row>
    <row r="910">
      <c r="A910" s="23"/>
      <c r="B910" s="21"/>
      <c r="C910" s="23"/>
      <c r="D910" s="24"/>
      <c r="E910" s="14"/>
      <c r="F910" s="14"/>
      <c r="G910" s="14"/>
      <c r="H910" s="23"/>
      <c r="I910" s="27"/>
      <c r="J910" s="23"/>
      <c r="K910" s="30"/>
      <c r="L910" s="23"/>
      <c r="M910" s="20"/>
      <c r="N910" s="20"/>
      <c r="O910" s="20"/>
      <c r="P910" s="20"/>
    </row>
    <row r="911">
      <c r="A911" s="10"/>
      <c r="B911" s="11"/>
      <c r="C911" s="10"/>
      <c r="D911" s="13"/>
      <c r="E911" s="14"/>
      <c r="F911" s="14"/>
      <c r="G911" s="14"/>
      <c r="H911" s="10"/>
      <c r="I911" s="17"/>
      <c r="J911" s="10"/>
      <c r="K911" s="46"/>
      <c r="L911" s="10"/>
      <c r="M911" s="20"/>
      <c r="N911" s="20"/>
      <c r="O911" s="20"/>
      <c r="P911" s="20"/>
    </row>
    <row r="912">
      <c r="A912" s="23"/>
      <c r="B912" s="21"/>
      <c r="C912" s="23"/>
      <c r="D912" s="24"/>
      <c r="E912" s="14"/>
      <c r="F912" s="14"/>
      <c r="G912" s="14"/>
      <c r="H912" s="23"/>
      <c r="I912" s="27"/>
      <c r="J912" s="23"/>
      <c r="K912" s="30"/>
      <c r="L912" s="23"/>
      <c r="M912" s="20"/>
      <c r="N912" s="20"/>
      <c r="O912" s="20"/>
      <c r="P912" s="20"/>
    </row>
    <row r="913">
      <c r="A913" s="10"/>
      <c r="B913" s="11"/>
      <c r="C913" s="10"/>
      <c r="D913" s="13"/>
      <c r="E913" s="14"/>
      <c r="F913" s="14"/>
      <c r="G913" s="14"/>
      <c r="H913" s="10"/>
      <c r="I913" s="17"/>
      <c r="J913" s="10"/>
      <c r="K913" s="46"/>
      <c r="L913" s="10"/>
      <c r="M913" s="20"/>
      <c r="N913" s="20"/>
      <c r="O913" s="20"/>
      <c r="P913" s="20"/>
    </row>
    <row r="914">
      <c r="A914" s="23"/>
      <c r="B914" s="21"/>
      <c r="C914" s="23"/>
      <c r="D914" s="24"/>
      <c r="E914" s="14"/>
      <c r="F914" s="14"/>
      <c r="G914" s="14"/>
      <c r="H914" s="23"/>
      <c r="I914" s="27"/>
      <c r="J914" s="23"/>
      <c r="K914" s="30"/>
      <c r="L914" s="23"/>
      <c r="M914" s="20"/>
      <c r="N914" s="20"/>
      <c r="O914" s="20"/>
      <c r="P914" s="20"/>
    </row>
    <row r="915">
      <c r="A915" s="10"/>
      <c r="B915" s="11"/>
      <c r="C915" s="10"/>
      <c r="D915" s="13"/>
      <c r="E915" s="14"/>
      <c r="F915" s="14"/>
      <c r="G915" s="14"/>
      <c r="H915" s="10"/>
      <c r="I915" s="17"/>
      <c r="J915" s="10"/>
      <c r="K915" s="46"/>
      <c r="L915" s="10"/>
      <c r="M915" s="20"/>
      <c r="N915" s="20"/>
      <c r="O915" s="20"/>
      <c r="P915" s="20"/>
    </row>
    <row r="916">
      <c r="A916" s="23"/>
      <c r="B916" s="21"/>
      <c r="C916" s="23"/>
      <c r="D916" s="24"/>
      <c r="E916" s="14"/>
      <c r="F916" s="14"/>
      <c r="G916" s="14"/>
      <c r="H916" s="23"/>
      <c r="I916" s="27"/>
      <c r="J916" s="23"/>
      <c r="K916" s="30"/>
      <c r="L916" s="23"/>
      <c r="M916" s="20"/>
      <c r="N916" s="20"/>
      <c r="O916" s="20"/>
      <c r="P916" s="20"/>
    </row>
    <row r="917">
      <c r="A917" s="10"/>
      <c r="B917" s="11"/>
      <c r="C917" s="10"/>
      <c r="D917" s="13"/>
      <c r="E917" s="14"/>
      <c r="F917" s="14"/>
      <c r="G917" s="14"/>
      <c r="H917" s="10"/>
      <c r="I917" s="17"/>
      <c r="J917" s="10"/>
      <c r="K917" s="46"/>
      <c r="L917" s="10"/>
      <c r="M917" s="20"/>
      <c r="N917" s="20"/>
      <c r="O917" s="20"/>
      <c r="P917" s="20"/>
    </row>
    <row r="918">
      <c r="A918" s="23"/>
      <c r="B918" s="21"/>
      <c r="C918" s="23"/>
      <c r="D918" s="24"/>
      <c r="E918" s="14"/>
      <c r="F918" s="14"/>
      <c r="G918" s="14"/>
      <c r="H918" s="23"/>
      <c r="I918" s="27"/>
      <c r="J918" s="23"/>
      <c r="K918" s="30"/>
      <c r="L918" s="23"/>
      <c r="M918" s="20"/>
      <c r="N918" s="20"/>
      <c r="O918" s="20"/>
      <c r="P918" s="20"/>
    </row>
    <row r="919">
      <c r="A919" s="10"/>
      <c r="B919" s="11"/>
      <c r="C919" s="10"/>
      <c r="D919" s="13"/>
      <c r="E919" s="14"/>
      <c r="F919" s="14"/>
      <c r="G919" s="14"/>
      <c r="H919" s="10"/>
      <c r="I919" s="17"/>
      <c r="J919" s="10"/>
      <c r="K919" s="46"/>
      <c r="L919" s="10"/>
      <c r="M919" s="20"/>
      <c r="N919" s="20"/>
      <c r="O919" s="20"/>
      <c r="P919" s="20"/>
    </row>
    <row r="920">
      <c r="A920" s="23"/>
      <c r="B920" s="21"/>
      <c r="C920" s="23"/>
      <c r="D920" s="24"/>
      <c r="E920" s="14"/>
      <c r="F920" s="14"/>
      <c r="G920" s="14"/>
      <c r="H920" s="23"/>
      <c r="I920" s="27"/>
      <c r="J920" s="23"/>
      <c r="K920" s="30"/>
      <c r="L920" s="23"/>
      <c r="M920" s="20"/>
      <c r="N920" s="20"/>
      <c r="O920" s="20"/>
      <c r="P920" s="20"/>
    </row>
    <row r="921">
      <c r="A921" s="10"/>
      <c r="B921" s="11"/>
      <c r="C921" s="10"/>
      <c r="D921" s="13"/>
      <c r="E921" s="14"/>
      <c r="F921" s="14"/>
      <c r="G921" s="14"/>
      <c r="H921" s="10"/>
      <c r="I921" s="17"/>
      <c r="J921" s="10"/>
      <c r="K921" s="46"/>
      <c r="L921" s="10"/>
      <c r="M921" s="20"/>
      <c r="N921" s="20"/>
      <c r="O921" s="20"/>
      <c r="P921" s="20"/>
    </row>
    <row r="922">
      <c r="A922" s="23"/>
      <c r="B922" s="21"/>
      <c r="C922" s="23"/>
      <c r="D922" s="24"/>
      <c r="E922" s="14"/>
      <c r="F922" s="14"/>
      <c r="G922" s="14"/>
      <c r="H922" s="23"/>
      <c r="I922" s="27"/>
      <c r="J922" s="23"/>
      <c r="K922" s="30"/>
      <c r="L922" s="23"/>
      <c r="M922" s="20"/>
      <c r="N922" s="20"/>
      <c r="O922" s="20"/>
      <c r="P922" s="20"/>
    </row>
    <row r="923">
      <c r="A923" s="10"/>
      <c r="B923" s="11"/>
      <c r="C923" s="10"/>
      <c r="D923" s="13"/>
      <c r="E923" s="14"/>
      <c r="F923" s="14"/>
      <c r="G923" s="14"/>
      <c r="H923" s="10"/>
      <c r="I923" s="17"/>
      <c r="J923" s="10"/>
      <c r="K923" s="46"/>
      <c r="L923" s="10"/>
      <c r="M923" s="20"/>
      <c r="N923" s="20"/>
      <c r="O923" s="20"/>
      <c r="P923" s="20"/>
    </row>
    <row r="924">
      <c r="A924" s="23"/>
      <c r="B924" s="21"/>
      <c r="C924" s="23"/>
      <c r="D924" s="24"/>
      <c r="E924" s="14"/>
      <c r="F924" s="14"/>
      <c r="G924" s="14"/>
      <c r="H924" s="23"/>
      <c r="I924" s="27"/>
      <c r="J924" s="23"/>
      <c r="K924" s="30"/>
      <c r="L924" s="23"/>
      <c r="M924" s="20"/>
      <c r="N924" s="20"/>
      <c r="O924" s="20"/>
      <c r="P924" s="20"/>
    </row>
    <row r="925">
      <c r="A925" s="10"/>
      <c r="B925" s="11"/>
      <c r="C925" s="10"/>
      <c r="D925" s="13"/>
      <c r="E925" s="14"/>
      <c r="F925" s="14"/>
      <c r="G925" s="14"/>
      <c r="H925" s="10"/>
      <c r="I925" s="17"/>
      <c r="J925" s="10"/>
      <c r="K925" s="46"/>
      <c r="L925" s="10"/>
      <c r="M925" s="20"/>
      <c r="N925" s="20"/>
      <c r="O925" s="20"/>
      <c r="P925" s="20"/>
    </row>
    <row r="926">
      <c r="A926" s="23"/>
      <c r="B926" s="21"/>
      <c r="C926" s="23"/>
      <c r="D926" s="24"/>
      <c r="E926" s="14"/>
      <c r="F926" s="14"/>
      <c r="G926" s="14"/>
      <c r="H926" s="23"/>
      <c r="I926" s="27"/>
      <c r="J926" s="23"/>
      <c r="K926" s="30"/>
      <c r="L926" s="23"/>
      <c r="M926" s="20"/>
      <c r="N926" s="20"/>
      <c r="O926" s="20"/>
      <c r="P926" s="20"/>
    </row>
    <row r="927">
      <c r="A927" s="10"/>
      <c r="B927" s="11"/>
      <c r="C927" s="10"/>
      <c r="D927" s="13"/>
      <c r="E927" s="14"/>
      <c r="F927" s="14"/>
      <c r="G927" s="14"/>
      <c r="H927" s="10"/>
      <c r="I927" s="17"/>
      <c r="J927" s="10"/>
      <c r="K927" s="46"/>
      <c r="L927" s="10"/>
      <c r="M927" s="20"/>
      <c r="N927" s="20"/>
      <c r="O927" s="20"/>
      <c r="P927" s="20"/>
    </row>
    <row r="928">
      <c r="A928" s="23"/>
      <c r="B928" s="21"/>
      <c r="C928" s="23"/>
      <c r="D928" s="24"/>
      <c r="E928" s="14"/>
      <c r="F928" s="14"/>
      <c r="G928" s="14"/>
      <c r="H928" s="23"/>
      <c r="I928" s="27"/>
      <c r="J928" s="23"/>
      <c r="K928" s="30"/>
      <c r="L928" s="23"/>
      <c r="M928" s="20"/>
      <c r="N928" s="20"/>
      <c r="O928" s="20"/>
      <c r="P928" s="20"/>
    </row>
    <row r="929">
      <c r="A929" s="10"/>
      <c r="B929" s="11"/>
      <c r="C929" s="10"/>
      <c r="D929" s="13"/>
      <c r="E929" s="14"/>
      <c r="F929" s="14"/>
      <c r="G929" s="14"/>
      <c r="H929" s="10"/>
      <c r="I929" s="17"/>
      <c r="J929" s="10"/>
      <c r="K929" s="46"/>
      <c r="L929" s="10"/>
      <c r="M929" s="20"/>
      <c r="N929" s="20"/>
      <c r="O929" s="20"/>
      <c r="P929" s="20"/>
    </row>
    <row r="930">
      <c r="A930" s="23"/>
      <c r="B930" s="21"/>
      <c r="C930" s="23"/>
      <c r="D930" s="24"/>
      <c r="E930" s="14"/>
      <c r="F930" s="14"/>
      <c r="G930" s="14"/>
      <c r="H930" s="23"/>
      <c r="I930" s="27"/>
      <c r="J930" s="23"/>
      <c r="K930" s="30"/>
      <c r="L930" s="23"/>
      <c r="M930" s="20"/>
      <c r="N930" s="20"/>
      <c r="O930" s="20"/>
      <c r="P930" s="20"/>
    </row>
    <row r="931">
      <c r="A931" s="10"/>
      <c r="B931" s="11"/>
      <c r="C931" s="10"/>
      <c r="D931" s="13"/>
      <c r="E931" s="14"/>
      <c r="F931" s="14"/>
      <c r="G931" s="14"/>
      <c r="H931" s="10"/>
      <c r="I931" s="17"/>
      <c r="J931" s="10"/>
      <c r="K931" s="46"/>
      <c r="L931" s="10"/>
      <c r="M931" s="20"/>
      <c r="N931" s="20"/>
      <c r="O931" s="20"/>
      <c r="P931" s="20"/>
    </row>
    <row r="932">
      <c r="A932" s="23"/>
      <c r="B932" s="21"/>
      <c r="C932" s="23"/>
      <c r="D932" s="24"/>
      <c r="E932" s="14"/>
      <c r="F932" s="14"/>
      <c r="G932" s="14"/>
      <c r="H932" s="23"/>
      <c r="I932" s="27"/>
      <c r="J932" s="23"/>
      <c r="K932" s="30"/>
      <c r="L932" s="23"/>
      <c r="M932" s="20"/>
      <c r="N932" s="20"/>
      <c r="O932" s="20"/>
      <c r="P932" s="20"/>
    </row>
    <row r="933">
      <c r="A933" s="10"/>
      <c r="B933" s="11"/>
      <c r="C933" s="10"/>
      <c r="D933" s="13"/>
      <c r="E933" s="14"/>
      <c r="F933" s="14"/>
      <c r="G933" s="14"/>
      <c r="H933" s="10"/>
      <c r="I933" s="17"/>
      <c r="J933" s="10"/>
      <c r="K933" s="46"/>
      <c r="L933" s="10"/>
      <c r="M933" s="20"/>
      <c r="N933" s="20"/>
      <c r="O933" s="20"/>
      <c r="P933" s="20"/>
    </row>
    <row r="934">
      <c r="A934" s="23"/>
      <c r="B934" s="21"/>
      <c r="C934" s="23"/>
      <c r="D934" s="24"/>
      <c r="E934" s="14"/>
      <c r="F934" s="14"/>
      <c r="G934" s="14"/>
      <c r="H934" s="23"/>
      <c r="I934" s="27"/>
      <c r="J934" s="23"/>
      <c r="K934" s="30"/>
      <c r="L934" s="23"/>
      <c r="M934" s="20"/>
      <c r="N934" s="20"/>
      <c r="O934" s="20"/>
      <c r="P934" s="20"/>
    </row>
    <row r="935">
      <c r="A935" s="10"/>
      <c r="B935" s="11"/>
      <c r="C935" s="10"/>
      <c r="D935" s="13"/>
      <c r="E935" s="14"/>
      <c r="F935" s="14"/>
      <c r="G935" s="14"/>
      <c r="H935" s="10"/>
      <c r="I935" s="17"/>
      <c r="J935" s="10"/>
      <c r="K935" s="46"/>
      <c r="L935" s="10"/>
      <c r="M935" s="20"/>
      <c r="N935" s="20"/>
      <c r="O935" s="20"/>
      <c r="P935" s="20"/>
    </row>
    <row r="936">
      <c r="A936" s="23"/>
      <c r="B936" s="21"/>
      <c r="C936" s="23"/>
      <c r="D936" s="24"/>
      <c r="E936" s="14"/>
      <c r="F936" s="14"/>
      <c r="G936" s="14"/>
      <c r="H936" s="23"/>
      <c r="I936" s="27"/>
      <c r="J936" s="23"/>
      <c r="K936" s="30"/>
      <c r="L936" s="23"/>
      <c r="M936" s="20"/>
      <c r="N936" s="20"/>
      <c r="O936" s="20"/>
      <c r="P936" s="20"/>
    </row>
    <row r="937">
      <c r="A937" s="10"/>
      <c r="B937" s="11"/>
      <c r="C937" s="10"/>
      <c r="D937" s="13"/>
      <c r="E937" s="14"/>
      <c r="F937" s="14"/>
      <c r="G937" s="14"/>
      <c r="H937" s="10"/>
      <c r="I937" s="17"/>
      <c r="J937" s="10"/>
      <c r="K937" s="46"/>
      <c r="L937" s="10"/>
      <c r="M937" s="20"/>
      <c r="N937" s="20"/>
      <c r="O937" s="20"/>
      <c r="P937" s="20"/>
    </row>
    <row r="938">
      <c r="A938" s="23"/>
      <c r="B938" s="21"/>
      <c r="C938" s="23"/>
      <c r="D938" s="24"/>
      <c r="E938" s="14"/>
      <c r="F938" s="14"/>
      <c r="G938" s="14"/>
      <c r="H938" s="23"/>
      <c r="I938" s="27"/>
      <c r="J938" s="23"/>
      <c r="K938" s="30"/>
      <c r="L938" s="23"/>
      <c r="M938" s="20"/>
      <c r="N938" s="20"/>
      <c r="O938" s="20"/>
      <c r="P938" s="20"/>
    </row>
    <row r="939">
      <c r="A939" s="10"/>
      <c r="B939" s="11"/>
      <c r="C939" s="10"/>
      <c r="D939" s="13"/>
      <c r="E939" s="14"/>
      <c r="F939" s="14"/>
      <c r="G939" s="14"/>
      <c r="H939" s="10"/>
      <c r="I939" s="17"/>
      <c r="J939" s="10"/>
      <c r="K939" s="46"/>
      <c r="L939" s="10"/>
      <c r="M939" s="20"/>
      <c r="N939" s="20"/>
      <c r="O939" s="20"/>
      <c r="P939" s="20"/>
    </row>
    <row r="940">
      <c r="A940" s="23"/>
      <c r="B940" s="21"/>
      <c r="C940" s="23"/>
      <c r="D940" s="24"/>
      <c r="E940" s="14"/>
      <c r="F940" s="14"/>
      <c r="G940" s="14"/>
      <c r="H940" s="23"/>
      <c r="I940" s="27"/>
      <c r="J940" s="23"/>
      <c r="K940" s="30"/>
      <c r="L940" s="23"/>
      <c r="M940" s="20"/>
      <c r="N940" s="20"/>
      <c r="O940" s="20"/>
      <c r="P940" s="20"/>
    </row>
    <row r="941">
      <c r="A941" s="10"/>
      <c r="B941" s="11"/>
      <c r="C941" s="10"/>
      <c r="D941" s="13"/>
      <c r="E941" s="14"/>
      <c r="F941" s="14"/>
      <c r="G941" s="14"/>
      <c r="H941" s="10"/>
      <c r="I941" s="17"/>
      <c r="J941" s="10"/>
      <c r="K941" s="46"/>
      <c r="L941" s="10"/>
      <c r="M941" s="20"/>
      <c r="N941" s="20"/>
      <c r="O941" s="20"/>
      <c r="P941" s="20"/>
    </row>
    <row r="942">
      <c r="A942" s="23"/>
      <c r="B942" s="21"/>
      <c r="C942" s="23"/>
      <c r="D942" s="24"/>
      <c r="E942" s="14"/>
      <c r="F942" s="14"/>
      <c r="G942" s="14"/>
      <c r="H942" s="23"/>
      <c r="I942" s="27"/>
      <c r="J942" s="23"/>
      <c r="K942" s="30"/>
      <c r="L942" s="23"/>
      <c r="M942" s="20"/>
      <c r="N942" s="20"/>
      <c r="O942" s="20"/>
      <c r="P942" s="20"/>
    </row>
    <row r="943">
      <c r="A943" s="10"/>
      <c r="B943" s="11"/>
      <c r="C943" s="10"/>
      <c r="D943" s="13"/>
      <c r="E943" s="14"/>
      <c r="F943" s="14"/>
      <c r="G943" s="14"/>
      <c r="H943" s="10"/>
      <c r="I943" s="17"/>
      <c r="J943" s="10"/>
      <c r="K943" s="46"/>
      <c r="L943" s="10"/>
      <c r="M943" s="20"/>
      <c r="N943" s="20"/>
      <c r="O943" s="20"/>
      <c r="P943" s="20"/>
    </row>
    <row r="944">
      <c r="A944" s="23"/>
      <c r="B944" s="21"/>
      <c r="C944" s="23"/>
      <c r="D944" s="24"/>
      <c r="E944" s="14"/>
      <c r="F944" s="14"/>
      <c r="G944" s="14"/>
      <c r="H944" s="23"/>
      <c r="I944" s="27"/>
      <c r="J944" s="23"/>
      <c r="K944" s="30"/>
      <c r="L944" s="23"/>
      <c r="M944" s="20"/>
      <c r="N944" s="20"/>
      <c r="O944" s="20"/>
      <c r="P944" s="20"/>
    </row>
    <row r="945">
      <c r="A945" s="10"/>
      <c r="B945" s="11"/>
      <c r="C945" s="10"/>
      <c r="D945" s="13"/>
      <c r="E945" s="14"/>
      <c r="F945" s="14"/>
      <c r="G945" s="14"/>
      <c r="H945" s="10"/>
      <c r="I945" s="17"/>
      <c r="J945" s="10"/>
      <c r="K945" s="46"/>
      <c r="L945" s="10"/>
      <c r="M945" s="20"/>
      <c r="N945" s="20"/>
      <c r="O945" s="20"/>
      <c r="P945" s="20"/>
    </row>
    <row r="946">
      <c r="A946" s="23"/>
      <c r="B946" s="21"/>
      <c r="C946" s="23"/>
      <c r="D946" s="24"/>
      <c r="E946" s="14"/>
      <c r="F946" s="14"/>
      <c r="G946" s="14"/>
      <c r="H946" s="23"/>
      <c r="I946" s="27"/>
      <c r="J946" s="23"/>
      <c r="K946" s="30"/>
      <c r="L946" s="23"/>
      <c r="M946" s="20"/>
      <c r="N946" s="20"/>
      <c r="O946" s="20"/>
      <c r="P946" s="20"/>
    </row>
    <row r="947">
      <c r="A947" s="10"/>
      <c r="B947" s="11"/>
      <c r="C947" s="10"/>
      <c r="D947" s="13"/>
      <c r="E947" s="14"/>
      <c r="F947" s="14"/>
      <c r="G947" s="14"/>
      <c r="H947" s="10"/>
      <c r="I947" s="17"/>
      <c r="J947" s="10"/>
      <c r="K947" s="46"/>
      <c r="L947" s="10"/>
      <c r="M947" s="20"/>
      <c r="N947" s="20"/>
      <c r="O947" s="20"/>
      <c r="P947" s="20"/>
    </row>
    <row r="948">
      <c r="A948" s="23"/>
      <c r="B948" s="21"/>
      <c r="C948" s="23"/>
      <c r="D948" s="24"/>
      <c r="E948" s="14"/>
      <c r="F948" s="14"/>
      <c r="G948" s="14"/>
      <c r="H948" s="23"/>
      <c r="I948" s="27"/>
      <c r="J948" s="23"/>
      <c r="K948" s="30"/>
      <c r="L948" s="23"/>
      <c r="M948" s="20"/>
      <c r="N948" s="20"/>
      <c r="O948" s="20"/>
      <c r="P948" s="20"/>
    </row>
    <row r="949">
      <c r="A949" s="10"/>
      <c r="B949" s="11"/>
      <c r="C949" s="10"/>
      <c r="D949" s="13"/>
      <c r="E949" s="14"/>
      <c r="F949" s="14"/>
      <c r="G949" s="14"/>
      <c r="H949" s="10"/>
      <c r="I949" s="17"/>
      <c r="J949" s="10"/>
      <c r="K949" s="46"/>
      <c r="L949" s="10"/>
      <c r="M949" s="20"/>
      <c r="N949" s="20"/>
      <c r="O949" s="20"/>
      <c r="P949" s="20"/>
    </row>
    <row r="950">
      <c r="A950" s="23"/>
      <c r="B950" s="21"/>
      <c r="C950" s="23"/>
      <c r="D950" s="24"/>
      <c r="E950" s="14"/>
      <c r="F950" s="14"/>
      <c r="G950" s="14"/>
      <c r="H950" s="23"/>
      <c r="I950" s="27"/>
      <c r="J950" s="23"/>
      <c r="K950" s="30"/>
      <c r="L950" s="23"/>
      <c r="M950" s="20"/>
      <c r="N950" s="20"/>
      <c r="O950" s="20"/>
      <c r="P950" s="20"/>
    </row>
    <row r="951">
      <c r="A951" s="10"/>
      <c r="B951" s="11"/>
      <c r="C951" s="10"/>
      <c r="D951" s="13"/>
      <c r="E951" s="14"/>
      <c r="F951" s="14"/>
      <c r="G951" s="14"/>
      <c r="H951" s="10"/>
      <c r="I951" s="17"/>
      <c r="J951" s="10"/>
      <c r="K951" s="46"/>
      <c r="L951" s="10"/>
      <c r="M951" s="20"/>
      <c r="N951" s="20"/>
      <c r="O951" s="20"/>
      <c r="P951" s="20"/>
    </row>
    <row r="952">
      <c r="A952" s="23"/>
      <c r="B952" s="21"/>
      <c r="C952" s="23"/>
      <c r="D952" s="24"/>
      <c r="E952" s="14"/>
      <c r="F952" s="14"/>
      <c r="G952" s="14"/>
      <c r="H952" s="23"/>
      <c r="I952" s="27"/>
      <c r="J952" s="23"/>
      <c r="K952" s="30"/>
      <c r="L952" s="23"/>
      <c r="M952" s="20"/>
      <c r="N952" s="20"/>
      <c r="O952" s="20"/>
      <c r="P952" s="20"/>
    </row>
    <row r="953">
      <c r="A953" s="10"/>
      <c r="B953" s="11"/>
      <c r="C953" s="10"/>
      <c r="D953" s="13"/>
      <c r="E953" s="14"/>
      <c r="F953" s="14"/>
      <c r="G953" s="14"/>
      <c r="H953" s="10"/>
      <c r="I953" s="17"/>
      <c r="J953" s="10"/>
      <c r="K953" s="46"/>
      <c r="L953" s="10"/>
      <c r="M953" s="20"/>
      <c r="N953" s="20"/>
      <c r="O953" s="20"/>
      <c r="P953" s="20"/>
    </row>
    <row r="954">
      <c r="A954" s="23"/>
      <c r="B954" s="21"/>
      <c r="C954" s="23"/>
      <c r="D954" s="24"/>
      <c r="E954" s="14"/>
      <c r="F954" s="14"/>
      <c r="G954" s="14"/>
      <c r="H954" s="23"/>
      <c r="I954" s="27"/>
      <c r="J954" s="23"/>
      <c r="K954" s="30"/>
      <c r="L954" s="23"/>
      <c r="M954" s="20"/>
      <c r="N954" s="20"/>
      <c r="O954" s="20"/>
      <c r="P954" s="20"/>
    </row>
    <row r="955">
      <c r="A955" s="10"/>
      <c r="B955" s="11"/>
      <c r="C955" s="10"/>
      <c r="D955" s="13"/>
      <c r="E955" s="14"/>
      <c r="F955" s="14"/>
      <c r="G955" s="14"/>
      <c r="H955" s="10"/>
      <c r="I955" s="17"/>
      <c r="J955" s="10"/>
      <c r="K955" s="46"/>
      <c r="L955" s="10"/>
      <c r="M955" s="20"/>
      <c r="N955" s="20"/>
      <c r="O955" s="20"/>
      <c r="P955" s="20"/>
    </row>
    <row r="956">
      <c r="A956" s="23"/>
      <c r="B956" s="21"/>
      <c r="C956" s="23"/>
      <c r="D956" s="24"/>
      <c r="E956" s="14"/>
      <c r="F956" s="14"/>
      <c r="G956" s="14"/>
      <c r="H956" s="23"/>
      <c r="I956" s="27"/>
      <c r="J956" s="23"/>
      <c r="K956" s="30"/>
      <c r="L956" s="23"/>
      <c r="M956" s="20"/>
      <c r="N956" s="20"/>
      <c r="O956" s="20"/>
      <c r="P956" s="20"/>
    </row>
    <row r="957">
      <c r="A957" s="10"/>
      <c r="B957" s="11"/>
      <c r="C957" s="10"/>
      <c r="D957" s="13"/>
      <c r="E957" s="14"/>
      <c r="F957" s="14"/>
      <c r="G957" s="14"/>
      <c r="H957" s="10"/>
      <c r="I957" s="17"/>
      <c r="J957" s="10"/>
      <c r="K957" s="46"/>
      <c r="L957" s="10"/>
      <c r="M957" s="20"/>
      <c r="N957" s="20"/>
      <c r="O957" s="20"/>
      <c r="P957" s="20"/>
    </row>
    <row r="958">
      <c r="A958" s="23"/>
      <c r="B958" s="21"/>
      <c r="C958" s="23"/>
      <c r="D958" s="24"/>
      <c r="E958" s="14"/>
      <c r="F958" s="14"/>
      <c r="G958" s="14"/>
      <c r="H958" s="23"/>
      <c r="I958" s="27"/>
      <c r="J958" s="23"/>
      <c r="K958" s="30"/>
      <c r="L958" s="23"/>
      <c r="M958" s="20"/>
      <c r="N958" s="20"/>
      <c r="O958" s="20"/>
      <c r="P958" s="20"/>
    </row>
    <row r="959">
      <c r="A959" s="10"/>
      <c r="B959" s="11"/>
      <c r="C959" s="10"/>
      <c r="D959" s="13"/>
      <c r="E959" s="14"/>
      <c r="F959" s="14"/>
      <c r="G959" s="14"/>
      <c r="H959" s="10"/>
      <c r="I959" s="17"/>
      <c r="J959" s="10"/>
      <c r="K959" s="46"/>
      <c r="L959" s="10"/>
      <c r="M959" s="20"/>
      <c r="N959" s="20"/>
      <c r="O959" s="20"/>
      <c r="P959" s="20"/>
    </row>
    <row r="960">
      <c r="A960" s="23"/>
      <c r="B960" s="21"/>
      <c r="C960" s="23"/>
      <c r="D960" s="24"/>
      <c r="E960" s="14"/>
      <c r="F960" s="14"/>
      <c r="G960" s="14"/>
      <c r="H960" s="23"/>
      <c r="I960" s="27"/>
      <c r="J960" s="23"/>
      <c r="K960" s="30"/>
      <c r="L960" s="23"/>
      <c r="M960" s="20"/>
      <c r="N960" s="20"/>
      <c r="O960" s="20"/>
      <c r="P960" s="20"/>
    </row>
    <row r="961">
      <c r="A961" s="10"/>
      <c r="B961" s="11"/>
      <c r="C961" s="10"/>
      <c r="D961" s="13"/>
      <c r="E961" s="14"/>
      <c r="F961" s="14"/>
      <c r="G961" s="14"/>
      <c r="H961" s="10"/>
      <c r="I961" s="17"/>
      <c r="J961" s="10"/>
      <c r="K961" s="46"/>
      <c r="L961" s="10"/>
      <c r="M961" s="20"/>
      <c r="N961" s="20"/>
      <c r="O961" s="20"/>
      <c r="P961" s="20"/>
    </row>
    <row r="962">
      <c r="A962" s="23"/>
      <c r="B962" s="21"/>
      <c r="C962" s="23"/>
      <c r="D962" s="24"/>
      <c r="E962" s="14"/>
      <c r="F962" s="14"/>
      <c r="G962" s="14"/>
      <c r="H962" s="23"/>
      <c r="I962" s="27"/>
      <c r="J962" s="23"/>
      <c r="K962" s="30"/>
      <c r="L962" s="23"/>
      <c r="M962" s="20"/>
      <c r="N962" s="20"/>
      <c r="O962" s="20"/>
      <c r="P962" s="20"/>
    </row>
    <row r="963">
      <c r="A963" s="10"/>
      <c r="B963" s="11"/>
      <c r="C963" s="10"/>
      <c r="D963" s="13"/>
      <c r="E963" s="14"/>
      <c r="F963" s="14"/>
      <c r="G963" s="14"/>
      <c r="H963" s="10"/>
      <c r="I963" s="17"/>
      <c r="J963" s="10"/>
      <c r="K963" s="46"/>
      <c r="L963" s="10"/>
      <c r="M963" s="20"/>
      <c r="N963" s="20"/>
      <c r="O963" s="20"/>
      <c r="P963" s="20"/>
    </row>
    <row r="964">
      <c r="A964" s="23"/>
      <c r="B964" s="21"/>
      <c r="C964" s="23"/>
      <c r="D964" s="24"/>
      <c r="E964" s="14"/>
      <c r="F964" s="14"/>
      <c r="G964" s="14"/>
      <c r="H964" s="23"/>
      <c r="I964" s="27"/>
      <c r="J964" s="23"/>
      <c r="K964" s="30"/>
      <c r="L964" s="23"/>
      <c r="M964" s="20"/>
      <c r="N964" s="20"/>
      <c r="O964" s="20"/>
      <c r="P964" s="20"/>
    </row>
    <row r="965">
      <c r="A965" s="10"/>
      <c r="B965" s="11"/>
      <c r="C965" s="10"/>
      <c r="D965" s="13"/>
      <c r="E965" s="14"/>
      <c r="F965" s="14"/>
      <c r="G965" s="14"/>
      <c r="H965" s="10"/>
      <c r="I965" s="17"/>
      <c r="J965" s="10"/>
      <c r="K965" s="46"/>
      <c r="L965" s="10"/>
      <c r="M965" s="20"/>
      <c r="N965" s="20"/>
      <c r="O965" s="20"/>
      <c r="P965" s="20"/>
    </row>
    <row r="966">
      <c r="A966" s="23"/>
      <c r="B966" s="21"/>
      <c r="C966" s="23"/>
      <c r="D966" s="24"/>
      <c r="E966" s="14"/>
      <c r="F966" s="14"/>
      <c r="G966" s="14"/>
      <c r="H966" s="23"/>
      <c r="I966" s="27"/>
      <c r="J966" s="23"/>
      <c r="K966" s="30"/>
      <c r="L966" s="23"/>
      <c r="M966" s="20"/>
      <c r="N966" s="20"/>
      <c r="O966" s="20"/>
      <c r="P966" s="20"/>
    </row>
    <row r="967">
      <c r="A967" s="10"/>
      <c r="B967" s="11"/>
      <c r="C967" s="10"/>
      <c r="D967" s="13"/>
      <c r="E967" s="14"/>
      <c r="F967" s="14"/>
      <c r="G967" s="14"/>
      <c r="H967" s="10"/>
      <c r="I967" s="17"/>
      <c r="J967" s="10"/>
      <c r="K967" s="46"/>
      <c r="L967" s="10"/>
      <c r="M967" s="20"/>
      <c r="N967" s="20"/>
      <c r="O967" s="20"/>
      <c r="P967" s="20"/>
    </row>
    <row r="968">
      <c r="A968" s="23"/>
      <c r="B968" s="21"/>
      <c r="C968" s="23"/>
      <c r="D968" s="24"/>
      <c r="E968" s="14"/>
      <c r="F968" s="14"/>
      <c r="G968" s="14"/>
      <c r="H968" s="23"/>
      <c r="I968" s="27"/>
      <c r="J968" s="23"/>
      <c r="K968" s="30"/>
      <c r="L968" s="23"/>
      <c r="M968" s="20"/>
      <c r="N968" s="20"/>
      <c r="O968" s="20"/>
      <c r="P968" s="20"/>
    </row>
    <row r="969">
      <c r="A969" s="10"/>
      <c r="B969" s="11"/>
      <c r="C969" s="10"/>
      <c r="D969" s="13"/>
      <c r="E969" s="14"/>
      <c r="F969" s="14"/>
      <c r="G969" s="14"/>
      <c r="H969" s="10"/>
      <c r="I969" s="17"/>
      <c r="J969" s="10"/>
      <c r="K969" s="46"/>
      <c r="L969" s="10"/>
      <c r="M969" s="20"/>
      <c r="N969" s="20"/>
      <c r="O969" s="20"/>
      <c r="P969" s="20"/>
    </row>
    <row r="970">
      <c r="A970" s="23"/>
      <c r="B970" s="21"/>
      <c r="C970" s="23"/>
      <c r="D970" s="24"/>
      <c r="E970" s="14"/>
      <c r="F970" s="14"/>
      <c r="G970" s="14"/>
      <c r="H970" s="23"/>
      <c r="I970" s="27"/>
      <c r="J970" s="23"/>
      <c r="K970" s="30"/>
      <c r="L970" s="23"/>
      <c r="M970" s="20"/>
      <c r="N970" s="20"/>
      <c r="O970" s="20"/>
      <c r="P970" s="20"/>
    </row>
    <row r="971">
      <c r="A971" s="10"/>
      <c r="B971" s="11"/>
      <c r="C971" s="10"/>
      <c r="D971" s="13"/>
      <c r="E971" s="14"/>
      <c r="F971" s="14"/>
      <c r="G971" s="14"/>
      <c r="H971" s="10"/>
      <c r="I971" s="17"/>
      <c r="J971" s="10"/>
      <c r="K971" s="46"/>
      <c r="L971" s="10"/>
      <c r="M971" s="20"/>
      <c r="N971" s="20"/>
      <c r="O971" s="20"/>
      <c r="P971" s="20"/>
    </row>
    <row r="972">
      <c r="A972" s="23"/>
      <c r="B972" s="21"/>
      <c r="C972" s="23"/>
      <c r="D972" s="24"/>
      <c r="E972" s="14"/>
      <c r="F972" s="14"/>
      <c r="G972" s="14"/>
      <c r="H972" s="23"/>
      <c r="I972" s="27"/>
      <c r="J972" s="23"/>
      <c r="K972" s="30"/>
      <c r="L972" s="23"/>
      <c r="M972" s="20"/>
      <c r="N972" s="20"/>
      <c r="O972" s="20"/>
      <c r="P972" s="20"/>
    </row>
    <row r="973">
      <c r="A973" s="10"/>
      <c r="B973" s="11"/>
      <c r="C973" s="10"/>
      <c r="D973" s="13"/>
      <c r="E973" s="14"/>
      <c r="F973" s="14"/>
      <c r="G973" s="14"/>
      <c r="H973" s="10"/>
      <c r="I973" s="17"/>
      <c r="J973" s="10"/>
      <c r="K973" s="46"/>
      <c r="L973" s="10"/>
      <c r="M973" s="20"/>
      <c r="N973" s="20"/>
      <c r="O973" s="20"/>
      <c r="P973" s="20"/>
    </row>
    <row r="974">
      <c r="A974" s="23"/>
      <c r="B974" s="21"/>
      <c r="C974" s="23"/>
      <c r="D974" s="24"/>
      <c r="E974" s="14"/>
      <c r="F974" s="14"/>
      <c r="G974" s="14"/>
      <c r="H974" s="23"/>
      <c r="I974" s="27"/>
      <c r="J974" s="23"/>
      <c r="K974" s="30"/>
      <c r="L974" s="23"/>
      <c r="M974" s="20"/>
      <c r="N974" s="20"/>
      <c r="O974" s="20"/>
      <c r="P974" s="20"/>
    </row>
    <row r="975">
      <c r="A975" s="10"/>
      <c r="B975" s="11"/>
      <c r="C975" s="10"/>
      <c r="D975" s="13"/>
      <c r="E975" s="14"/>
      <c r="F975" s="14"/>
      <c r="G975" s="14"/>
      <c r="H975" s="10"/>
      <c r="I975" s="17"/>
      <c r="J975" s="10"/>
      <c r="K975" s="46"/>
      <c r="L975" s="10"/>
      <c r="M975" s="20"/>
      <c r="N975" s="20"/>
      <c r="O975" s="20"/>
      <c r="P975" s="20"/>
    </row>
    <row r="976">
      <c r="A976" s="23"/>
      <c r="B976" s="21"/>
      <c r="C976" s="23"/>
      <c r="D976" s="24"/>
      <c r="E976" s="14"/>
      <c r="F976" s="14"/>
      <c r="G976" s="14"/>
      <c r="H976" s="23"/>
      <c r="I976" s="27"/>
      <c r="J976" s="23"/>
      <c r="K976" s="30"/>
      <c r="L976" s="23"/>
      <c r="M976" s="20"/>
      <c r="N976" s="20"/>
      <c r="O976" s="20"/>
      <c r="P976" s="20"/>
    </row>
    <row r="977">
      <c r="A977" s="10"/>
      <c r="B977" s="11"/>
      <c r="C977" s="10"/>
      <c r="D977" s="13"/>
      <c r="E977" s="14"/>
      <c r="F977" s="14"/>
      <c r="G977" s="14"/>
      <c r="H977" s="10"/>
      <c r="I977" s="17"/>
      <c r="J977" s="10"/>
      <c r="K977" s="46"/>
      <c r="L977" s="10"/>
      <c r="M977" s="20"/>
      <c r="N977" s="20"/>
      <c r="O977" s="20"/>
      <c r="P977" s="20"/>
    </row>
    <row r="978">
      <c r="A978" s="23"/>
      <c r="B978" s="21"/>
      <c r="C978" s="23"/>
      <c r="D978" s="24"/>
      <c r="E978" s="14"/>
      <c r="F978" s="14"/>
      <c r="G978" s="14"/>
      <c r="H978" s="23"/>
      <c r="I978" s="27"/>
      <c r="J978" s="23"/>
      <c r="K978" s="30"/>
      <c r="L978" s="23"/>
      <c r="M978" s="20"/>
      <c r="N978" s="20"/>
      <c r="O978" s="20"/>
      <c r="P978" s="20"/>
    </row>
    <row r="979">
      <c r="A979" s="10"/>
      <c r="B979" s="11"/>
      <c r="C979" s="10"/>
      <c r="D979" s="13"/>
      <c r="E979" s="14"/>
      <c r="F979" s="14"/>
      <c r="G979" s="14"/>
      <c r="H979" s="10"/>
      <c r="I979" s="17"/>
      <c r="J979" s="10"/>
      <c r="K979" s="46"/>
      <c r="L979" s="10"/>
      <c r="M979" s="20"/>
      <c r="N979" s="20"/>
      <c r="O979" s="20"/>
      <c r="P979" s="20"/>
    </row>
    <row r="980">
      <c r="A980" s="23"/>
      <c r="B980" s="21"/>
      <c r="C980" s="23"/>
      <c r="D980" s="24"/>
      <c r="E980" s="14"/>
      <c r="F980" s="14"/>
      <c r="G980" s="14"/>
      <c r="H980" s="23"/>
      <c r="I980" s="27"/>
      <c r="J980" s="23"/>
      <c r="K980" s="30"/>
      <c r="L980" s="23"/>
      <c r="M980" s="20"/>
      <c r="N980" s="20"/>
      <c r="O980" s="20"/>
      <c r="P980" s="20"/>
    </row>
    <row r="981">
      <c r="A981" s="10"/>
      <c r="B981" s="11"/>
      <c r="C981" s="10"/>
      <c r="D981" s="13"/>
      <c r="E981" s="14"/>
      <c r="F981" s="14"/>
      <c r="G981" s="14"/>
      <c r="H981" s="10"/>
      <c r="I981" s="17"/>
      <c r="J981" s="10"/>
      <c r="K981" s="46"/>
      <c r="L981" s="10"/>
      <c r="M981" s="20"/>
      <c r="N981" s="20"/>
      <c r="O981" s="20"/>
      <c r="P981" s="20"/>
    </row>
    <row r="982">
      <c r="A982" s="23"/>
      <c r="B982" s="21"/>
      <c r="C982" s="23"/>
      <c r="D982" s="24"/>
      <c r="E982" s="14"/>
      <c r="F982" s="14"/>
      <c r="G982" s="14"/>
      <c r="H982" s="23"/>
      <c r="I982" s="27"/>
      <c r="J982" s="23"/>
      <c r="K982" s="30"/>
      <c r="L982" s="23"/>
      <c r="M982" s="20"/>
      <c r="N982" s="20"/>
      <c r="O982" s="20"/>
      <c r="P982" s="20"/>
    </row>
    <row r="983">
      <c r="A983" s="10"/>
      <c r="B983" s="11"/>
      <c r="C983" s="10"/>
      <c r="D983" s="13"/>
      <c r="E983" s="14"/>
      <c r="F983" s="14"/>
      <c r="G983" s="14"/>
      <c r="H983" s="10"/>
      <c r="I983" s="17"/>
      <c r="J983" s="10"/>
      <c r="K983" s="46"/>
      <c r="L983" s="10"/>
      <c r="M983" s="20"/>
      <c r="N983" s="20"/>
      <c r="O983" s="20"/>
      <c r="P983" s="20"/>
    </row>
    <row r="984">
      <c r="A984" s="23"/>
      <c r="B984" s="21"/>
      <c r="C984" s="23"/>
      <c r="D984" s="24"/>
      <c r="E984" s="14"/>
      <c r="F984" s="14"/>
      <c r="G984" s="14"/>
      <c r="H984" s="23"/>
      <c r="I984" s="27"/>
      <c r="J984" s="23"/>
      <c r="K984" s="30"/>
      <c r="L984" s="23"/>
      <c r="M984" s="20"/>
      <c r="N984" s="20"/>
      <c r="O984" s="20"/>
      <c r="P984" s="20"/>
    </row>
    <row r="985">
      <c r="A985" s="10"/>
      <c r="B985" s="11"/>
      <c r="C985" s="10"/>
      <c r="D985" s="13"/>
      <c r="E985" s="14"/>
      <c r="F985" s="14"/>
      <c r="G985" s="14"/>
      <c r="H985" s="10"/>
      <c r="I985" s="17"/>
      <c r="J985" s="10"/>
      <c r="K985" s="46"/>
      <c r="L985" s="10"/>
      <c r="M985" s="20"/>
      <c r="N985" s="20"/>
      <c r="O985" s="20"/>
      <c r="P985" s="20"/>
    </row>
    <row r="986">
      <c r="A986" s="23"/>
      <c r="B986" s="21"/>
      <c r="C986" s="23"/>
      <c r="D986" s="24"/>
      <c r="E986" s="14"/>
      <c r="F986" s="14"/>
      <c r="G986" s="14"/>
      <c r="H986" s="23"/>
      <c r="I986" s="27"/>
      <c r="J986" s="23"/>
      <c r="K986" s="30"/>
      <c r="L986" s="23"/>
      <c r="M986" s="20"/>
      <c r="N986" s="20"/>
      <c r="O986" s="20"/>
      <c r="P986" s="20"/>
    </row>
    <row r="987">
      <c r="A987" s="10"/>
      <c r="B987" s="11"/>
      <c r="C987" s="10"/>
      <c r="D987" s="13"/>
      <c r="E987" s="14"/>
      <c r="F987" s="14"/>
      <c r="G987" s="14"/>
      <c r="H987" s="10"/>
      <c r="I987" s="17"/>
      <c r="J987" s="10"/>
      <c r="K987" s="46"/>
      <c r="L987" s="10"/>
      <c r="M987" s="20"/>
      <c r="N987" s="20"/>
      <c r="O987" s="20"/>
      <c r="P987" s="20"/>
    </row>
    <row r="988">
      <c r="A988" s="23"/>
      <c r="B988" s="21"/>
      <c r="C988" s="23"/>
      <c r="D988" s="24"/>
      <c r="E988" s="14"/>
      <c r="F988" s="14"/>
      <c r="G988" s="14"/>
      <c r="H988" s="23"/>
      <c r="I988" s="27"/>
      <c r="J988" s="23"/>
      <c r="K988" s="30"/>
      <c r="L988" s="23"/>
      <c r="M988" s="20"/>
      <c r="N988" s="20"/>
      <c r="O988" s="20"/>
      <c r="P988" s="20"/>
    </row>
    <row r="989">
      <c r="A989" s="10"/>
      <c r="B989" s="11"/>
      <c r="C989" s="10"/>
      <c r="D989" s="13"/>
      <c r="E989" s="14"/>
      <c r="F989" s="14"/>
      <c r="G989" s="14"/>
      <c r="H989" s="10"/>
      <c r="I989" s="17"/>
      <c r="J989" s="10"/>
      <c r="K989" s="46"/>
      <c r="L989" s="10"/>
      <c r="M989" s="20"/>
      <c r="N989" s="20"/>
      <c r="O989" s="20"/>
      <c r="P989" s="20"/>
    </row>
    <row r="990">
      <c r="A990" s="23"/>
      <c r="B990" s="21"/>
      <c r="C990" s="23"/>
      <c r="D990" s="24"/>
      <c r="E990" s="14"/>
      <c r="F990" s="14"/>
      <c r="G990" s="14"/>
      <c r="H990" s="23"/>
      <c r="I990" s="27"/>
      <c r="J990" s="23"/>
      <c r="K990" s="30"/>
      <c r="L990" s="23"/>
      <c r="M990" s="20"/>
      <c r="N990" s="20"/>
      <c r="O990" s="20"/>
      <c r="P990" s="20"/>
    </row>
    <row r="991">
      <c r="A991" s="10"/>
      <c r="B991" s="11"/>
      <c r="C991" s="10"/>
      <c r="D991" s="13"/>
      <c r="E991" s="14"/>
      <c r="F991" s="14"/>
      <c r="G991" s="14"/>
      <c r="H991" s="10"/>
      <c r="I991" s="17"/>
      <c r="J991" s="10"/>
      <c r="K991" s="46"/>
      <c r="L991" s="10"/>
      <c r="M991" s="20"/>
      <c r="N991" s="20"/>
      <c r="O991" s="20"/>
      <c r="P991" s="20"/>
    </row>
    <row r="992">
      <c r="A992" s="23"/>
      <c r="B992" s="21"/>
      <c r="C992" s="23"/>
      <c r="D992" s="24"/>
      <c r="E992" s="14"/>
      <c r="F992" s="14"/>
      <c r="G992" s="14"/>
      <c r="H992" s="23"/>
      <c r="I992" s="27"/>
      <c r="J992" s="23"/>
      <c r="K992" s="30"/>
      <c r="L992" s="23"/>
      <c r="M992" s="20"/>
      <c r="N992" s="20"/>
      <c r="O992" s="20"/>
      <c r="P992" s="20"/>
    </row>
    <row r="993">
      <c r="A993" s="10"/>
      <c r="B993" s="11"/>
      <c r="C993" s="10"/>
      <c r="D993" s="13"/>
      <c r="E993" s="14"/>
      <c r="F993" s="14"/>
      <c r="G993" s="14"/>
      <c r="H993" s="10"/>
      <c r="I993" s="17"/>
      <c r="J993" s="10"/>
      <c r="K993" s="46"/>
      <c r="L993" s="10"/>
      <c r="M993" s="20"/>
      <c r="N993" s="20"/>
      <c r="O993" s="20"/>
      <c r="P993" s="20"/>
    </row>
    <row r="994">
      <c r="A994" s="23"/>
      <c r="B994" s="21"/>
      <c r="C994" s="23"/>
      <c r="D994" s="24"/>
      <c r="E994" s="14"/>
      <c r="F994" s="14"/>
      <c r="G994" s="14"/>
      <c r="H994" s="23"/>
      <c r="I994" s="27"/>
      <c r="J994" s="23"/>
      <c r="K994" s="30"/>
      <c r="L994" s="23"/>
      <c r="M994" s="20"/>
      <c r="N994" s="20"/>
      <c r="O994" s="20"/>
      <c r="P994" s="20"/>
    </row>
    <row r="995">
      <c r="A995" s="10"/>
      <c r="B995" s="11"/>
      <c r="C995" s="10"/>
      <c r="D995" s="13"/>
      <c r="E995" s="14"/>
      <c r="F995" s="14"/>
      <c r="G995" s="14"/>
      <c r="H995" s="10"/>
      <c r="I995" s="17"/>
      <c r="J995" s="10"/>
      <c r="K995" s="46"/>
      <c r="L995" s="10"/>
      <c r="M995" s="20"/>
      <c r="N995" s="20"/>
      <c r="O995" s="20"/>
      <c r="P995" s="20"/>
    </row>
    <row r="996">
      <c r="A996" s="23"/>
      <c r="B996" s="21"/>
      <c r="C996" s="23"/>
      <c r="D996" s="24"/>
      <c r="E996" s="14"/>
      <c r="F996" s="14"/>
      <c r="G996" s="14"/>
      <c r="H996" s="23"/>
      <c r="I996" s="27"/>
      <c r="J996" s="23"/>
      <c r="K996" s="30"/>
      <c r="L996" s="23"/>
      <c r="M996" s="20"/>
      <c r="N996" s="20"/>
      <c r="O996" s="20"/>
      <c r="P996" s="20"/>
    </row>
    <row r="997">
      <c r="A997" s="10"/>
      <c r="B997" s="11"/>
      <c r="C997" s="10"/>
      <c r="D997" s="13"/>
      <c r="E997" s="14"/>
      <c r="F997" s="14"/>
      <c r="G997" s="14"/>
      <c r="H997" s="10"/>
      <c r="I997" s="17"/>
      <c r="J997" s="10"/>
      <c r="K997" s="46"/>
      <c r="L997" s="10"/>
      <c r="M997" s="20"/>
      <c r="N997" s="20"/>
      <c r="O997" s="20"/>
      <c r="P997" s="20"/>
    </row>
    <row r="998">
      <c r="A998" s="23"/>
      <c r="B998" s="21"/>
      <c r="C998" s="23"/>
      <c r="D998" s="24"/>
      <c r="E998" s="14"/>
      <c r="F998" s="14"/>
      <c r="G998" s="14"/>
      <c r="H998" s="23"/>
      <c r="I998" s="27"/>
      <c r="J998" s="23"/>
      <c r="K998" s="30"/>
      <c r="L998" s="23"/>
      <c r="M998" s="20"/>
      <c r="N998" s="20"/>
      <c r="O998" s="20"/>
      <c r="P998" s="20"/>
    </row>
    <row r="999">
      <c r="A999" s="10"/>
      <c r="B999" s="11"/>
      <c r="C999" s="10"/>
      <c r="D999" s="13"/>
      <c r="E999" s="14"/>
      <c r="F999" s="14"/>
      <c r="G999" s="14"/>
      <c r="H999" s="10"/>
      <c r="I999" s="17"/>
      <c r="J999" s="10"/>
      <c r="K999" s="46"/>
      <c r="L999" s="10"/>
      <c r="M999" s="20"/>
      <c r="N999" s="20"/>
      <c r="O999" s="20"/>
      <c r="P999" s="20"/>
    </row>
    <row r="1000">
      <c r="A1000" s="23"/>
      <c r="B1000" s="21"/>
      <c r="C1000" s="23"/>
      <c r="D1000" s="24"/>
      <c r="E1000" s="14"/>
      <c r="F1000" s="14"/>
      <c r="G1000" s="14"/>
      <c r="H1000" s="23"/>
      <c r="I1000" s="27"/>
      <c r="J1000" s="23"/>
      <c r="K1000" s="30"/>
      <c r="L1000" s="23"/>
      <c r="M1000" s="20"/>
      <c r="N1000" s="20"/>
      <c r="O1000" s="20"/>
      <c r="P1000" s="20"/>
    </row>
    <row r="1001">
      <c r="A1001" s="10"/>
      <c r="B1001" s="11"/>
      <c r="C1001" s="10"/>
      <c r="D1001" s="13"/>
      <c r="E1001" s="14"/>
      <c r="F1001" s="14"/>
      <c r="G1001" s="14"/>
      <c r="H1001" s="10"/>
      <c r="I1001" s="17"/>
      <c r="J1001" s="10"/>
      <c r="K1001" s="46"/>
      <c r="L1001" s="10"/>
      <c r="M1001" s="20"/>
      <c r="N1001" s="20"/>
      <c r="O1001" s="20"/>
      <c r="P1001" s="20"/>
    </row>
    <row r="1002">
      <c r="A1002" s="23"/>
      <c r="B1002" s="21"/>
      <c r="C1002" s="23"/>
      <c r="D1002" s="24"/>
      <c r="E1002" s="14"/>
      <c r="F1002" s="14"/>
      <c r="G1002" s="14"/>
      <c r="H1002" s="23"/>
      <c r="I1002" s="27"/>
      <c r="J1002" s="23"/>
      <c r="K1002" s="30"/>
      <c r="L1002" s="23"/>
      <c r="M1002" s="20"/>
      <c r="N1002" s="20"/>
      <c r="O1002" s="20"/>
      <c r="P1002" s="20"/>
    </row>
    <row r="1003">
      <c r="A1003" s="10"/>
      <c r="B1003" s="11"/>
      <c r="C1003" s="10"/>
      <c r="D1003" s="13"/>
      <c r="E1003" s="14"/>
      <c r="F1003" s="14"/>
      <c r="G1003" s="14"/>
      <c r="H1003" s="10"/>
      <c r="I1003" s="17"/>
      <c r="J1003" s="10"/>
      <c r="K1003" s="46"/>
      <c r="L1003" s="10"/>
      <c r="M1003" s="20"/>
      <c r="N1003" s="20"/>
      <c r="O1003" s="20"/>
      <c r="P1003" s="20"/>
    </row>
    <row r="1004">
      <c r="A1004" s="23"/>
      <c r="B1004" s="21"/>
      <c r="C1004" s="23"/>
      <c r="D1004" s="24"/>
      <c r="E1004" s="14"/>
      <c r="F1004" s="14"/>
      <c r="G1004" s="14"/>
      <c r="H1004" s="23"/>
      <c r="I1004" s="27"/>
      <c r="J1004" s="23"/>
      <c r="K1004" s="30"/>
      <c r="L1004" s="23"/>
      <c r="M1004" s="20"/>
      <c r="N1004" s="20"/>
      <c r="O1004" s="20"/>
      <c r="P1004" s="20"/>
    </row>
    <row r="1005">
      <c r="A1005" s="10"/>
      <c r="B1005" s="11"/>
      <c r="C1005" s="10"/>
      <c r="D1005" s="13"/>
      <c r="E1005" s="14"/>
      <c r="F1005" s="14"/>
      <c r="G1005" s="14"/>
      <c r="H1005" s="10"/>
      <c r="I1005" s="17"/>
      <c r="J1005" s="10"/>
      <c r="K1005" s="46"/>
      <c r="L1005" s="10"/>
      <c r="M1005" s="20"/>
      <c r="N1005" s="20"/>
      <c r="O1005" s="20"/>
      <c r="P1005" s="20"/>
    </row>
    <row r="1006">
      <c r="A1006" s="23"/>
      <c r="B1006" s="21"/>
      <c r="C1006" s="23"/>
      <c r="D1006" s="24"/>
      <c r="E1006" s="14"/>
      <c r="F1006" s="14"/>
      <c r="G1006" s="14"/>
      <c r="H1006" s="23"/>
      <c r="I1006" s="27"/>
      <c r="J1006" s="23"/>
      <c r="K1006" s="30"/>
      <c r="L1006" s="23"/>
      <c r="M1006" s="20"/>
      <c r="N1006" s="20"/>
      <c r="O1006" s="20"/>
      <c r="P1006" s="20"/>
    </row>
    <row r="1007">
      <c r="A1007" s="10"/>
      <c r="B1007" s="11"/>
      <c r="C1007" s="10"/>
      <c r="D1007" s="13"/>
      <c r="E1007" s="14"/>
      <c r="F1007" s="14"/>
      <c r="G1007" s="14"/>
      <c r="H1007" s="10"/>
      <c r="I1007" s="17"/>
      <c r="J1007" s="10"/>
      <c r="K1007" s="46"/>
      <c r="L1007" s="10"/>
      <c r="M1007" s="20"/>
      <c r="N1007" s="20"/>
      <c r="O1007" s="20"/>
      <c r="P1007" s="20"/>
    </row>
    <row r="1008">
      <c r="A1008" s="23"/>
      <c r="B1008" s="21"/>
      <c r="C1008" s="23"/>
      <c r="D1008" s="24"/>
      <c r="E1008" s="14"/>
      <c r="F1008" s="14"/>
      <c r="G1008" s="14"/>
      <c r="H1008" s="23"/>
      <c r="I1008" s="27"/>
      <c r="J1008" s="23"/>
      <c r="K1008" s="30"/>
      <c r="L1008" s="23"/>
      <c r="M1008" s="20"/>
      <c r="N1008" s="20"/>
      <c r="O1008" s="20"/>
      <c r="P1008" s="20"/>
    </row>
    <row r="1009">
      <c r="A1009" s="10"/>
      <c r="B1009" s="11"/>
      <c r="C1009" s="10"/>
      <c r="D1009" s="13"/>
      <c r="E1009" s="14"/>
      <c r="F1009" s="14"/>
      <c r="G1009" s="14"/>
      <c r="H1009" s="10"/>
      <c r="I1009" s="17"/>
      <c r="J1009" s="10"/>
      <c r="K1009" s="46"/>
      <c r="L1009" s="10"/>
      <c r="M1009" s="20"/>
      <c r="N1009" s="20"/>
      <c r="O1009" s="20"/>
      <c r="P1009" s="20"/>
    </row>
    <row r="1010">
      <c r="A1010" s="23"/>
      <c r="B1010" s="21"/>
      <c r="C1010" s="23"/>
      <c r="D1010" s="24"/>
      <c r="E1010" s="14"/>
      <c r="F1010" s="14"/>
      <c r="G1010" s="14"/>
      <c r="H1010" s="23"/>
      <c r="I1010" s="27"/>
      <c r="J1010" s="23"/>
      <c r="K1010" s="30"/>
      <c r="L1010" s="23"/>
      <c r="M1010" s="20"/>
      <c r="N1010" s="20"/>
      <c r="O1010" s="20"/>
      <c r="P1010" s="20"/>
    </row>
    <row r="1011">
      <c r="A1011" s="10"/>
      <c r="B1011" s="11"/>
      <c r="C1011" s="10"/>
      <c r="D1011" s="13"/>
      <c r="E1011" s="14"/>
      <c r="F1011" s="14"/>
      <c r="G1011" s="14"/>
      <c r="H1011" s="10"/>
      <c r="I1011" s="17"/>
      <c r="J1011" s="10"/>
      <c r="K1011" s="46"/>
      <c r="L1011" s="10"/>
      <c r="M1011" s="20"/>
      <c r="N1011" s="20"/>
      <c r="O1011" s="20"/>
      <c r="P1011" s="20"/>
    </row>
    <row r="1012">
      <c r="A1012" s="23"/>
      <c r="B1012" s="21"/>
      <c r="C1012" s="23"/>
      <c r="D1012" s="24"/>
      <c r="E1012" s="14"/>
      <c r="F1012" s="14"/>
      <c r="G1012" s="14"/>
      <c r="H1012" s="23"/>
      <c r="I1012" s="27"/>
      <c r="J1012" s="23"/>
      <c r="K1012" s="30"/>
      <c r="L1012" s="23"/>
      <c r="M1012" s="20"/>
      <c r="N1012" s="20"/>
      <c r="O1012" s="20"/>
      <c r="P1012" s="20"/>
    </row>
    <row r="1013">
      <c r="A1013" s="10"/>
      <c r="B1013" s="11"/>
      <c r="C1013" s="10"/>
      <c r="D1013" s="13"/>
      <c r="E1013" s="14"/>
      <c r="F1013" s="14"/>
      <c r="G1013" s="14"/>
      <c r="H1013" s="10"/>
      <c r="I1013" s="17"/>
      <c r="J1013" s="10"/>
      <c r="K1013" s="46"/>
      <c r="L1013" s="10"/>
      <c r="M1013" s="20"/>
      <c r="N1013" s="20"/>
      <c r="O1013" s="20"/>
      <c r="P1013" s="20"/>
    </row>
    <row r="1014">
      <c r="A1014" s="23"/>
      <c r="B1014" s="21"/>
      <c r="C1014" s="23"/>
      <c r="D1014" s="24"/>
      <c r="E1014" s="14"/>
      <c r="F1014" s="14"/>
      <c r="G1014" s="14"/>
      <c r="H1014" s="23"/>
      <c r="I1014" s="27"/>
      <c r="J1014" s="23"/>
      <c r="K1014" s="30"/>
      <c r="L1014" s="23"/>
      <c r="M1014" s="20"/>
      <c r="N1014" s="20"/>
      <c r="O1014" s="20"/>
      <c r="P1014" s="20"/>
    </row>
    <row r="1015">
      <c r="A1015" s="10"/>
      <c r="B1015" s="11"/>
      <c r="C1015" s="10"/>
      <c r="D1015" s="13"/>
      <c r="E1015" s="14"/>
      <c r="F1015" s="14"/>
      <c r="G1015" s="14"/>
      <c r="H1015" s="10"/>
      <c r="I1015" s="17"/>
      <c r="J1015" s="10"/>
      <c r="K1015" s="46"/>
      <c r="L1015" s="10"/>
      <c r="M1015" s="20"/>
      <c r="N1015" s="20"/>
      <c r="O1015" s="20"/>
      <c r="P1015" s="20"/>
    </row>
    <row r="1016">
      <c r="A1016" s="23"/>
      <c r="B1016" s="21"/>
      <c r="C1016" s="23"/>
      <c r="D1016" s="24"/>
      <c r="E1016" s="14"/>
      <c r="F1016" s="14"/>
      <c r="G1016" s="14"/>
      <c r="H1016" s="23"/>
      <c r="I1016" s="27"/>
      <c r="J1016" s="23"/>
      <c r="K1016" s="30"/>
      <c r="L1016" s="23"/>
      <c r="M1016" s="20"/>
      <c r="N1016" s="20"/>
      <c r="O1016" s="20"/>
      <c r="P1016" s="20"/>
    </row>
    <row r="1017">
      <c r="A1017" s="10"/>
      <c r="B1017" s="11"/>
      <c r="C1017" s="10"/>
      <c r="D1017" s="13"/>
      <c r="E1017" s="14"/>
      <c r="F1017" s="14"/>
      <c r="G1017" s="14"/>
      <c r="H1017" s="10"/>
      <c r="I1017" s="17"/>
      <c r="J1017" s="10"/>
      <c r="K1017" s="46"/>
      <c r="L1017" s="10"/>
      <c r="M1017" s="20"/>
      <c r="N1017" s="20"/>
      <c r="O1017" s="20"/>
      <c r="P1017" s="20"/>
    </row>
    <row r="1018">
      <c r="A1018" s="23"/>
      <c r="B1018" s="21"/>
      <c r="C1018" s="23"/>
      <c r="D1018" s="24"/>
      <c r="E1018" s="14"/>
      <c r="F1018" s="14"/>
      <c r="G1018" s="14"/>
      <c r="H1018" s="23"/>
      <c r="I1018" s="27"/>
      <c r="J1018" s="23"/>
      <c r="K1018" s="30"/>
      <c r="L1018" s="23"/>
      <c r="M1018" s="20"/>
      <c r="N1018" s="20"/>
      <c r="O1018" s="20"/>
      <c r="P1018" s="20"/>
    </row>
    <row r="1019">
      <c r="A1019" s="10"/>
      <c r="B1019" s="11"/>
      <c r="C1019" s="10"/>
      <c r="D1019" s="13"/>
      <c r="E1019" s="14"/>
      <c r="F1019" s="14"/>
      <c r="G1019" s="14"/>
      <c r="H1019" s="10"/>
      <c r="I1019" s="17"/>
      <c r="J1019" s="10"/>
      <c r="K1019" s="46"/>
      <c r="L1019" s="10"/>
      <c r="M1019" s="20"/>
      <c r="N1019" s="20"/>
      <c r="O1019" s="20"/>
      <c r="P1019" s="20"/>
    </row>
    <row r="1020">
      <c r="A1020" s="23"/>
      <c r="B1020" s="21"/>
      <c r="C1020" s="23"/>
      <c r="D1020" s="24"/>
      <c r="E1020" s="14"/>
      <c r="F1020" s="14"/>
      <c r="G1020" s="14"/>
      <c r="H1020" s="23"/>
      <c r="I1020" s="27"/>
      <c r="J1020" s="23"/>
      <c r="K1020" s="30"/>
      <c r="L1020" s="23"/>
      <c r="M1020" s="20"/>
      <c r="N1020" s="20"/>
      <c r="O1020" s="20"/>
      <c r="P1020" s="20"/>
    </row>
    <row r="1021">
      <c r="A1021" s="10"/>
      <c r="B1021" s="11"/>
      <c r="C1021" s="10"/>
      <c r="D1021" s="13"/>
      <c r="E1021" s="14"/>
      <c r="F1021" s="14"/>
      <c r="G1021" s="14"/>
      <c r="H1021" s="10"/>
      <c r="I1021" s="17"/>
      <c r="J1021" s="10"/>
      <c r="K1021" s="46"/>
      <c r="L1021" s="10"/>
      <c r="M1021" s="20"/>
      <c r="N1021" s="20"/>
      <c r="O1021" s="20"/>
      <c r="P1021" s="20"/>
    </row>
    <row r="1022">
      <c r="A1022" s="23"/>
      <c r="B1022" s="21"/>
      <c r="C1022" s="23"/>
      <c r="D1022" s="24"/>
      <c r="E1022" s="14"/>
      <c r="F1022" s="14"/>
      <c r="G1022" s="14"/>
      <c r="H1022" s="23"/>
      <c r="I1022" s="27"/>
      <c r="J1022" s="23"/>
      <c r="K1022" s="30"/>
      <c r="L1022" s="23"/>
      <c r="M1022" s="20"/>
      <c r="N1022" s="20"/>
      <c r="O1022" s="20"/>
      <c r="P1022" s="20"/>
    </row>
    <row r="1023">
      <c r="A1023" s="10"/>
      <c r="B1023" s="11"/>
      <c r="C1023" s="10"/>
      <c r="D1023" s="13"/>
      <c r="E1023" s="14"/>
      <c r="F1023" s="14"/>
      <c r="G1023" s="14"/>
      <c r="H1023" s="10"/>
      <c r="I1023" s="17"/>
      <c r="J1023" s="10"/>
      <c r="K1023" s="46"/>
      <c r="L1023" s="10"/>
      <c r="M1023" s="20"/>
      <c r="N1023" s="20"/>
      <c r="O1023" s="20"/>
      <c r="P1023" s="20"/>
    </row>
    <row r="1024">
      <c r="A1024" s="23"/>
      <c r="B1024" s="21"/>
      <c r="C1024" s="23"/>
      <c r="D1024" s="24"/>
      <c r="E1024" s="14"/>
      <c r="F1024" s="14"/>
      <c r="G1024" s="14"/>
      <c r="H1024" s="23"/>
      <c r="I1024" s="27"/>
      <c r="J1024" s="23"/>
      <c r="K1024" s="30"/>
      <c r="L1024" s="23"/>
      <c r="M1024" s="20"/>
      <c r="N1024" s="20"/>
      <c r="O1024" s="20"/>
      <c r="P1024" s="20"/>
    </row>
    <row r="1025">
      <c r="A1025" s="10"/>
      <c r="B1025" s="11"/>
      <c r="C1025" s="10"/>
      <c r="D1025" s="13"/>
      <c r="E1025" s="14"/>
      <c r="F1025" s="14"/>
      <c r="G1025" s="14"/>
      <c r="H1025" s="10"/>
      <c r="I1025" s="17"/>
      <c r="J1025" s="10"/>
      <c r="K1025" s="46"/>
      <c r="L1025" s="10"/>
      <c r="M1025" s="20"/>
      <c r="N1025" s="20"/>
      <c r="O1025" s="20"/>
      <c r="P1025" s="20"/>
    </row>
    <row r="1026">
      <c r="A1026" s="23"/>
      <c r="B1026" s="21"/>
      <c r="C1026" s="23"/>
      <c r="D1026" s="24"/>
      <c r="E1026" s="14"/>
      <c r="F1026" s="14"/>
      <c r="G1026" s="14"/>
      <c r="H1026" s="23"/>
      <c r="I1026" s="27"/>
      <c r="J1026" s="23"/>
      <c r="K1026" s="30"/>
      <c r="L1026" s="23"/>
      <c r="M1026" s="20"/>
      <c r="N1026" s="20"/>
      <c r="O1026" s="20"/>
      <c r="P1026" s="20"/>
    </row>
    <row r="1027">
      <c r="A1027" s="10"/>
      <c r="B1027" s="11"/>
      <c r="C1027" s="10"/>
      <c r="D1027" s="13"/>
      <c r="E1027" s="14"/>
      <c r="F1027" s="14"/>
      <c r="G1027" s="14"/>
      <c r="H1027" s="10"/>
      <c r="I1027" s="17"/>
      <c r="J1027" s="10"/>
      <c r="K1027" s="46"/>
      <c r="L1027" s="10"/>
      <c r="M1027" s="20"/>
      <c r="N1027" s="20"/>
      <c r="O1027" s="20"/>
      <c r="P1027" s="20"/>
    </row>
    <row r="1028">
      <c r="A1028" s="23"/>
      <c r="B1028" s="21"/>
      <c r="C1028" s="23"/>
      <c r="D1028" s="24"/>
      <c r="E1028" s="14"/>
      <c r="F1028" s="14"/>
      <c r="G1028" s="14"/>
      <c r="H1028" s="23"/>
      <c r="I1028" s="27"/>
      <c r="J1028" s="23"/>
      <c r="K1028" s="30"/>
      <c r="L1028" s="23"/>
      <c r="M1028" s="20"/>
      <c r="N1028" s="20"/>
      <c r="O1028" s="20"/>
      <c r="P1028" s="20"/>
    </row>
    <row r="1029">
      <c r="A1029" s="10"/>
      <c r="B1029" s="11"/>
      <c r="C1029" s="10"/>
      <c r="D1029" s="13"/>
      <c r="E1029" s="14"/>
      <c r="F1029" s="14"/>
      <c r="G1029" s="14"/>
      <c r="H1029" s="10"/>
      <c r="I1029" s="17"/>
      <c r="J1029" s="10"/>
      <c r="K1029" s="46"/>
      <c r="L1029" s="10"/>
      <c r="M1029" s="20"/>
      <c r="N1029" s="20"/>
      <c r="O1029" s="20"/>
      <c r="P1029" s="20"/>
    </row>
    <row r="1030">
      <c r="A1030" s="23"/>
      <c r="B1030" s="21"/>
      <c r="C1030" s="23"/>
      <c r="D1030" s="24"/>
      <c r="E1030" s="14"/>
      <c r="F1030" s="14"/>
      <c r="G1030" s="14"/>
      <c r="H1030" s="23"/>
      <c r="I1030" s="27"/>
      <c r="J1030" s="23"/>
      <c r="K1030" s="30"/>
      <c r="L1030" s="23"/>
      <c r="M1030" s="20"/>
      <c r="N1030" s="20"/>
      <c r="O1030" s="20"/>
      <c r="P1030" s="20"/>
    </row>
    <row r="1031">
      <c r="A1031" s="10"/>
      <c r="B1031" s="11"/>
      <c r="C1031" s="10"/>
      <c r="D1031" s="13"/>
      <c r="E1031" s="14"/>
      <c r="F1031" s="14"/>
      <c r="G1031" s="14"/>
      <c r="H1031" s="10"/>
      <c r="I1031" s="17"/>
      <c r="J1031" s="10"/>
      <c r="K1031" s="46"/>
      <c r="L1031" s="10"/>
      <c r="M1031" s="20"/>
      <c r="N1031" s="20"/>
      <c r="O1031" s="20"/>
      <c r="P1031" s="20"/>
    </row>
    <row r="1032">
      <c r="A1032" s="23"/>
      <c r="B1032" s="21"/>
      <c r="C1032" s="23"/>
      <c r="D1032" s="24"/>
      <c r="E1032" s="14"/>
      <c r="F1032" s="14"/>
      <c r="G1032" s="14"/>
      <c r="H1032" s="23"/>
      <c r="I1032" s="27"/>
      <c r="J1032" s="23"/>
      <c r="K1032" s="30"/>
      <c r="L1032" s="23"/>
      <c r="M1032" s="20"/>
      <c r="N1032" s="20"/>
      <c r="O1032" s="20"/>
      <c r="P1032" s="20"/>
    </row>
    <row r="1033">
      <c r="A1033" s="10"/>
      <c r="B1033" s="11"/>
      <c r="C1033" s="10"/>
      <c r="D1033" s="13"/>
      <c r="E1033" s="14"/>
      <c r="F1033" s="14"/>
      <c r="G1033" s="14"/>
      <c r="H1033" s="10"/>
      <c r="I1033" s="17"/>
      <c r="J1033" s="10"/>
      <c r="K1033" s="46"/>
      <c r="L1033" s="10"/>
      <c r="M1033" s="20"/>
      <c r="N1033" s="20"/>
      <c r="O1033" s="20"/>
      <c r="P1033" s="20"/>
    </row>
    <row r="1034">
      <c r="A1034" s="23"/>
      <c r="B1034" s="21"/>
      <c r="C1034" s="23"/>
      <c r="D1034" s="24"/>
      <c r="E1034" s="14"/>
      <c r="F1034" s="14"/>
      <c r="G1034" s="14"/>
      <c r="H1034" s="23"/>
      <c r="I1034" s="27"/>
      <c r="J1034" s="23"/>
      <c r="K1034" s="30"/>
      <c r="L1034" s="23"/>
      <c r="M1034" s="20"/>
      <c r="N1034" s="20"/>
      <c r="O1034" s="20"/>
      <c r="P1034" s="20"/>
    </row>
    <row r="1035">
      <c r="A1035" s="10"/>
      <c r="B1035" s="11"/>
      <c r="C1035" s="10"/>
      <c r="D1035" s="13"/>
      <c r="E1035" s="14"/>
      <c r="F1035" s="14"/>
      <c r="G1035" s="14"/>
      <c r="H1035" s="10"/>
      <c r="I1035" s="17"/>
      <c r="J1035" s="10"/>
      <c r="K1035" s="46"/>
      <c r="L1035" s="10"/>
      <c r="M1035" s="20"/>
      <c r="N1035" s="20"/>
      <c r="O1035" s="20"/>
      <c r="P1035" s="20"/>
    </row>
    <row r="1036">
      <c r="A1036" s="23"/>
      <c r="B1036" s="21"/>
      <c r="C1036" s="23"/>
      <c r="D1036" s="24"/>
      <c r="E1036" s="14"/>
      <c r="F1036" s="14"/>
      <c r="G1036" s="14"/>
      <c r="H1036" s="23"/>
      <c r="I1036" s="27"/>
      <c r="J1036" s="23"/>
      <c r="K1036" s="30"/>
      <c r="L1036" s="23"/>
      <c r="M1036" s="20"/>
      <c r="N1036" s="20"/>
      <c r="O1036" s="20"/>
      <c r="P1036" s="20"/>
    </row>
    <row r="1037">
      <c r="A1037" s="10"/>
      <c r="B1037" s="11"/>
      <c r="C1037" s="10"/>
      <c r="D1037" s="13"/>
      <c r="E1037" s="14"/>
      <c r="F1037" s="14"/>
      <c r="G1037" s="14"/>
      <c r="H1037" s="10"/>
      <c r="I1037" s="17"/>
      <c r="J1037" s="10"/>
      <c r="K1037" s="46"/>
      <c r="L1037" s="10"/>
      <c r="M1037" s="20"/>
      <c r="N1037" s="20"/>
      <c r="O1037" s="20"/>
      <c r="P1037" s="20"/>
    </row>
    <row r="1038">
      <c r="A1038" s="23"/>
      <c r="B1038" s="21"/>
      <c r="C1038" s="23"/>
      <c r="D1038" s="24"/>
      <c r="E1038" s="14"/>
      <c r="F1038" s="14"/>
      <c r="G1038" s="14"/>
      <c r="H1038" s="23"/>
      <c r="I1038" s="27"/>
      <c r="J1038" s="23"/>
      <c r="K1038" s="30"/>
      <c r="L1038" s="23"/>
      <c r="M1038" s="20"/>
      <c r="N1038" s="20"/>
      <c r="O1038" s="20"/>
      <c r="P1038" s="20"/>
    </row>
    <row r="1039">
      <c r="A1039" s="10"/>
      <c r="B1039" s="11"/>
      <c r="C1039" s="10"/>
      <c r="D1039" s="13"/>
      <c r="E1039" s="14"/>
      <c r="F1039" s="14"/>
      <c r="G1039" s="14"/>
      <c r="H1039" s="10"/>
      <c r="I1039" s="17"/>
      <c r="J1039" s="10"/>
      <c r="K1039" s="46"/>
      <c r="L1039" s="10"/>
      <c r="M1039" s="20"/>
      <c r="N1039" s="20"/>
      <c r="O1039" s="20"/>
      <c r="P1039" s="20"/>
    </row>
    <row r="1040">
      <c r="A1040" s="23"/>
      <c r="B1040" s="21"/>
      <c r="C1040" s="23"/>
      <c r="D1040" s="24"/>
      <c r="E1040" s="14"/>
      <c r="F1040" s="14"/>
      <c r="G1040" s="14"/>
      <c r="H1040" s="23"/>
      <c r="I1040" s="27"/>
      <c r="J1040" s="23"/>
      <c r="K1040" s="30"/>
      <c r="L1040" s="23"/>
      <c r="M1040" s="20"/>
      <c r="N1040" s="20"/>
      <c r="O1040" s="20"/>
      <c r="P1040" s="20"/>
    </row>
    <row r="1041">
      <c r="A1041" s="10"/>
      <c r="B1041" s="11"/>
      <c r="C1041" s="10"/>
      <c r="D1041" s="13"/>
      <c r="E1041" s="14"/>
      <c r="F1041" s="14"/>
      <c r="G1041" s="14"/>
      <c r="H1041" s="10"/>
      <c r="I1041" s="17"/>
      <c r="J1041" s="10"/>
      <c r="K1041" s="46"/>
      <c r="L1041" s="10"/>
      <c r="M1041" s="20"/>
      <c r="N1041" s="20"/>
      <c r="O1041" s="20"/>
      <c r="P1041" s="20"/>
    </row>
    <row r="1042">
      <c r="A1042" s="23"/>
      <c r="B1042" s="21"/>
      <c r="C1042" s="23"/>
      <c r="D1042" s="24"/>
      <c r="E1042" s="14"/>
      <c r="F1042" s="14"/>
      <c r="G1042" s="14"/>
      <c r="H1042" s="23"/>
      <c r="I1042" s="27"/>
      <c r="J1042" s="23"/>
      <c r="K1042" s="30"/>
      <c r="L1042" s="23"/>
      <c r="M1042" s="20"/>
      <c r="N1042" s="20"/>
      <c r="O1042" s="20"/>
      <c r="P1042" s="20"/>
    </row>
    <row r="1043">
      <c r="A1043" s="10"/>
      <c r="B1043" s="11"/>
      <c r="C1043" s="10"/>
      <c r="D1043" s="13"/>
      <c r="E1043" s="14"/>
      <c r="F1043" s="14"/>
      <c r="G1043" s="14"/>
      <c r="H1043" s="10"/>
      <c r="I1043" s="17"/>
      <c r="J1043" s="10"/>
      <c r="K1043" s="46"/>
      <c r="L1043" s="10"/>
      <c r="M1043" s="20"/>
      <c r="N1043" s="20"/>
      <c r="O1043" s="20"/>
      <c r="P1043" s="20"/>
    </row>
    <row r="1044">
      <c r="A1044" s="23"/>
      <c r="B1044" s="21"/>
      <c r="C1044" s="23"/>
      <c r="D1044" s="24"/>
      <c r="E1044" s="14"/>
      <c r="F1044" s="14"/>
      <c r="G1044" s="14"/>
      <c r="H1044" s="23"/>
      <c r="I1044" s="27"/>
      <c r="J1044" s="23"/>
      <c r="K1044" s="30"/>
      <c r="L1044" s="23"/>
      <c r="M1044" s="20"/>
      <c r="N1044" s="20"/>
      <c r="O1044" s="20"/>
      <c r="P1044" s="20"/>
    </row>
    <row r="1045">
      <c r="A1045" s="10"/>
      <c r="B1045" s="11"/>
      <c r="C1045" s="10"/>
      <c r="D1045" s="13"/>
      <c r="E1045" s="14"/>
      <c r="F1045" s="14"/>
      <c r="G1045" s="14"/>
      <c r="H1045" s="10"/>
      <c r="I1045" s="17"/>
      <c r="J1045" s="10"/>
      <c r="K1045" s="46"/>
      <c r="L1045" s="10"/>
      <c r="M1045" s="20"/>
      <c r="N1045" s="20"/>
      <c r="O1045" s="20"/>
      <c r="P1045" s="20"/>
    </row>
    <row r="1046">
      <c r="A1046" s="23"/>
      <c r="B1046" s="21"/>
      <c r="C1046" s="23"/>
      <c r="D1046" s="24"/>
      <c r="E1046" s="14"/>
      <c r="F1046" s="14"/>
      <c r="G1046" s="14"/>
      <c r="H1046" s="23"/>
      <c r="I1046" s="27"/>
      <c r="J1046" s="23"/>
      <c r="K1046" s="30"/>
      <c r="L1046" s="23"/>
      <c r="M1046" s="20"/>
      <c r="N1046" s="20"/>
      <c r="O1046" s="20"/>
      <c r="P1046" s="20"/>
    </row>
    <row r="1047">
      <c r="A1047" s="10"/>
      <c r="B1047" s="11"/>
      <c r="C1047" s="10"/>
      <c r="D1047" s="13"/>
      <c r="E1047" s="14"/>
      <c r="F1047" s="14"/>
      <c r="G1047" s="14"/>
      <c r="H1047" s="10"/>
      <c r="I1047" s="17"/>
      <c r="J1047" s="10"/>
      <c r="K1047" s="46"/>
      <c r="L1047" s="10"/>
      <c r="M1047" s="20"/>
      <c r="N1047" s="20"/>
      <c r="O1047" s="20"/>
      <c r="P1047" s="20"/>
    </row>
    <row r="1048">
      <c r="A1048" s="23"/>
      <c r="B1048" s="21"/>
      <c r="C1048" s="23"/>
      <c r="D1048" s="24"/>
      <c r="E1048" s="14"/>
      <c r="F1048" s="14"/>
      <c r="G1048" s="14"/>
      <c r="H1048" s="23"/>
      <c r="I1048" s="27"/>
      <c r="J1048" s="23"/>
      <c r="K1048" s="30"/>
      <c r="L1048" s="23"/>
      <c r="M1048" s="20"/>
      <c r="N1048" s="20"/>
      <c r="O1048" s="20"/>
      <c r="P1048" s="20"/>
    </row>
    <row r="1049">
      <c r="A1049" s="10"/>
      <c r="B1049" s="11"/>
      <c r="C1049" s="10"/>
      <c r="D1049" s="13"/>
      <c r="E1049" s="14"/>
      <c r="F1049" s="14"/>
      <c r="G1049" s="14"/>
      <c r="H1049" s="10"/>
      <c r="I1049" s="17"/>
      <c r="J1049" s="10"/>
      <c r="K1049" s="46"/>
      <c r="L1049" s="10"/>
      <c r="M1049" s="20"/>
      <c r="N1049" s="20"/>
      <c r="O1049" s="20"/>
      <c r="P1049" s="20"/>
    </row>
    <row r="1050">
      <c r="A1050" s="23"/>
      <c r="B1050" s="21"/>
      <c r="C1050" s="23"/>
      <c r="D1050" s="24"/>
      <c r="E1050" s="14"/>
      <c r="F1050" s="14"/>
      <c r="G1050" s="14"/>
      <c r="H1050" s="23"/>
      <c r="I1050" s="27"/>
      <c r="J1050" s="23"/>
      <c r="K1050" s="30"/>
      <c r="L1050" s="23"/>
      <c r="M1050" s="20"/>
      <c r="N1050" s="20"/>
      <c r="O1050" s="20"/>
      <c r="P1050" s="20"/>
    </row>
    <row r="1051">
      <c r="A1051" s="10"/>
      <c r="B1051" s="11"/>
      <c r="C1051" s="10"/>
      <c r="D1051" s="13"/>
      <c r="E1051" s="14"/>
      <c r="F1051" s="14"/>
      <c r="G1051" s="14"/>
      <c r="H1051" s="10"/>
      <c r="I1051" s="17"/>
      <c r="J1051" s="10"/>
      <c r="K1051" s="46"/>
      <c r="L1051" s="10"/>
      <c r="M1051" s="20"/>
      <c r="N1051" s="20"/>
      <c r="O1051" s="20"/>
      <c r="P1051" s="20"/>
    </row>
    <row r="1052">
      <c r="A1052" s="23"/>
      <c r="B1052" s="21"/>
      <c r="C1052" s="23"/>
      <c r="D1052" s="24"/>
      <c r="E1052" s="14"/>
      <c r="F1052" s="14"/>
      <c r="G1052" s="14"/>
      <c r="H1052" s="23"/>
      <c r="I1052" s="27"/>
      <c r="J1052" s="23"/>
      <c r="K1052" s="30"/>
      <c r="L1052" s="23"/>
      <c r="M1052" s="20"/>
      <c r="N1052" s="20"/>
      <c r="O1052" s="20"/>
      <c r="P1052" s="20"/>
    </row>
    <row r="1053">
      <c r="A1053" s="10"/>
      <c r="B1053" s="11"/>
      <c r="C1053" s="10"/>
      <c r="D1053" s="13"/>
      <c r="E1053" s="14"/>
      <c r="F1053" s="14"/>
      <c r="G1053" s="14"/>
      <c r="H1053" s="10"/>
      <c r="I1053" s="17"/>
      <c r="J1053" s="10"/>
      <c r="K1053" s="46"/>
      <c r="L1053" s="10"/>
      <c r="M1053" s="20"/>
      <c r="N1053" s="20"/>
      <c r="O1053" s="20"/>
      <c r="P1053" s="20"/>
    </row>
    <row r="1054">
      <c r="A1054" s="23"/>
      <c r="B1054" s="21"/>
      <c r="C1054" s="23"/>
      <c r="D1054" s="24"/>
      <c r="E1054" s="14"/>
      <c r="F1054" s="14"/>
      <c r="G1054" s="14"/>
      <c r="H1054" s="23"/>
      <c r="I1054" s="27"/>
      <c r="J1054" s="23"/>
      <c r="K1054" s="30"/>
      <c r="L1054" s="23"/>
      <c r="M1054" s="20"/>
      <c r="N1054" s="20"/>
      <c r="O1054" s="20"/>
      <c r="P1054" s="20"/>
    </row>
    <row r="1055">
      <c r="A1055" s="10"/>
      <c r="B1055" s="11"/>
      <c r="C1055" s="10"/>
      <c r="D1055" s="13"/>
      <c r="E1055" s="14"/>
      <c r="F1055" s="14"/>
      <c r="G1055" s="14"/>
      <c r="H1055" s="10"/>
      <c r="I1055" s="17"/>
      <c r="J1055" s="10"/>
      <c r="K1055" s="46"/>
      <c r="L1055" s="10"/>
      <c r="M1055" s="20"/>
      <c r="N1055" s="20"/>
      <c r="O1055" s="20"/>
      <c r="P1055" s="20"/>
    </row>
    <row r="1056">
      <c r="A1056" s="23"/>
      <c r="B1056" s="21"/>
      <c r="C1056" s="23"/>
      <c r="D1056" s="24"/>
      <c r="E1056" s="14"/>
      <c r="F1056" s="14"/>
      <c r="G1056" s="14"/>
      <c r="H1056" s="23"/>
      <c r="I1056" s="27"/>
      <c r="J1056" s="23"/>
      <c r="K1056" s="30"/>
      <c r="L1056" s="23"/>
      <c r="M1056" s="20"/>
      <c r="N1056" s="20"/>
      <c r="O1056" s="20"/>
      <c r="P1056" s="20"/>
    </row>
    <row r="1057">
      <c r="A1057" s="10"/>
      <c r="B1057" s="11"/>
      <c r="C1057" s="10"/>
      <c r="D1057" s="13"/>
      <c r="E1057" s="14"/>
      <c r="F1057" s="14"/>
      <c r="G1057" s="14"/>
      <c r="H1057" s="10"/>
      <c r="I1057" s="17"/>
      <c r="J1057" s="10"/>
      <c r="K1057" s="46"/>
      <c r="L1057" s="10"/>
      <c r="M1057" s="20"/>
      <c r="N1057" s="20"/>
      <c r="O1057" s="20"/>
      <c r="P1057" s="20"/>
    </row>
    <row r="1058">
      <c r="A1058" s="23"/>
      <c r="B1058" s="21"/>
      <c r="C1058" s="23"/>
      <c r="D1058" s="24"/>
      <c r="E1058" s="14"/>
      <c r="F1058" s="14"/>
      <c r="G1058" s="14"/>
      <c r="H1058" s="23"/>
      <c r="I1058" s="27"/>
      <c r="J1058" s="23"/>
      <c r="K1058" s="30"/>
      <c r="L1058" s="23"/>
      <c r="M1058" s="20"/>
      <c r="N1058" s="20"/>
      <c r="O1058" s="20"/>
      <c r="P1058" s="20"/>
    </row>
    <row r="1059">
      <c r="A1059" s="10"/>
      <c r="B1059" s="11"/>
      <c r="C1059" s="10"/>
      <c r="D1059" s="13"/>
      <c r="E1059" s="14"/>
      <c r="F1059" s="14"/>
      <c r="G1059" s="14"/>
      <c r="H1059" s="10"/>
      <c r="I1059" s="17"/>
      <c r="J1059" s="10"/>
      <c r="K1059" s="46"/>
      <c r="L1059" s="10"/>
      <c r="M1059" s="20"/>
      <c r="N1059" s="20"/>
      <c r="O1059" s="20"/>
      <c r="P1059" s="20"/>
    </row>
    <row r="1060">
      <c r="A1060" s="23"/>
      <c r="B1060" s="21"/>
      <c r="C1060" s="23"/>
      <c r="D1060" s="24"/>
      <c r="E1060" s="14"/>
      <c r="F1060" s="14"/>
      <c r="G1060" s="14"/>
      <c r="H1060" s="23"/>
      <c r="I1060" s="27"/>
      <c r="J1060" s="23"/>
      <c r="K1060" s="30"/>
      <c r="L1060" s="23"/>
      <c r="M1060" s="20"/>
      <c r="N1060" s="20"/>
      <c r="O1060" s="20"/>
      <c r="P1060" s="20"/>
    </row>
    <row r="1061">
      <c r="A1061" s="10"/>
      <c r="B1061" s="11"/>
      <c r="C1061" s="10"/>
      <c r="D1061" s="13"/>
      <c r="E1061" s="14"/>
      <c r="F1061" s="14"/>
      <c r="G1061" s="14"/>
      <c r="H1061" s="10"/>
      <c r="I1061" s="17"/>
      <c r="J1061" s="10"/>
      <c r="K1061" s="46"/>
      <c r="L1061" s="10"/>
      <c r="M1061" s="20"/>
      <c r="N1061" s="20"/>
      <c r="O1061" s="20"/>
      <c r="P1061" s="20"/>
    </row>
    <row r="1062">
      <c r="A1062" s="23"/>
      <c r="B1062" s="21"/>
      <c r="C1062" s="23"/>
      <c r="D1062" s="24"/>
      <c r="E1062" s="14"/>
      <c r="F1062" s="14"/>
      <c r="G1062" s="14"/>
      <c r="H1062" s="23"/>
      <c r="I1062" s="27"/>
      <c r="J1062" s="23"/>
      <c r="K1062" s="30"/>
      <c r="L1062" s="23"/>
      <c r="M1062" s="20"/>
      <c r="N1062" s="20"/>
      <c r="O1062" s="20"/>
      <c r="P1062" s="20"/>
    </row>
    <row r="1063">
      <c r="A1063" s="10"/>
      <c r="B1063" s="11"/>
      <c r="C1063" s="10"/>
      <c r="D1063" s="13"/>
      <c r="E1063" s="14"/>
      <c r="F1063" s="14"/>
      <c r="G1063" s="14"/>
      <c r="H1063" s="10"/>
      <c r="I1063" s="17"/>
      <c r="J1063" s="10"/>
      <c r="K1063" s="46"/>
      <c r="L1063" s="10"/>
      <c r="M1063" s="20"/>
      <c r="N1063" s="20"/>
      <c r="O1063" s="20"/>
      <c r="P1063" s="20"/>
    </row>
    <row r="1064">
      <c r="A1064" s="23"/>
      <c r="B1064" s="21"/>
      <c r="C1064" s="23"/>
      <c r="D1064" s="24"/>
      <c r="E1064" s="14"/>
      <c r="F1064" s="14"/>
      <c r="G1064" s="14"/>
      <c r="H1064" s="23"/>
      <c r="I1064" s="27"/>
      <c r="J1064" s="23"/>
      <c r="K1064" s="30"/>
      <c r="L1064" s="23"/>
      <c r="M1064" s="20"/>
      <c r="N1064" s="20"/>
      <c r="O1064" s="20"/>
      <c r="P1064" s="20"/>
    </row>
    <row r="1065">
      <c r="A1065" s="10"/>
      <c r="B1065" s="11"/>
      <c r="C1065" s="10"/>
      <c r="D1065" s="13"/>
      <c r="E1065" s="14"/>
      <c r="F1065" s="14"/>
      <c r="G1065" s="14"/>
      <c r="H1065" s="10"/>
      <c r="I1065" s="17"/>
      <c r="J1065" s="10"/>
      <c r="K1065" s="46"/>
      <c r="L1065" s="10"/>
      <c r="M1065" s="20"/>
      <c r="N1065" s="20"/>
      <c r="O1065" s="20"/>
      <c r="P1065" s="20"/>
    </row>
    <row r="1066">
      <c r="A1066" s="23"/>
      <c r="B1066" s="21"/>
      <c r="C1066" s="23"/>
      <c r="D1066" s="24"/>
      <c r="E1066" s="14"/>
      <c r="F1066" s="14"/>
      <c r="G1066" s="14"/>
      <c r="H1066" s="23"/>
      <c r="I1066" s="27"/>
      <c r="J1066" s="23"/>
      <c r="K1066" s="30"/>
      <c r="L1066" s="23"/>
      <c r="M1066" s="20"/>
      <c r="N1066" s="20"/>
      <c r="O1066" s="20"/>
      <c r="P1066" s="20"/>
    </row>
    <row r="1067">
      <c r="A1067" s="10"/>
      <c r="B1067" s="11"/>
      <c r="C1067" s="10"/>
      <c r="D1067" s="13"/>
      <c r="E1067" s="14"/>
      <c r="F1067" s="14"/>
      <c r="G1067" s="14"/>
      <c r="H1067" s="10"/>
      <c r="I1067" s="17"/>
      <c r="J1067" s="10"/>
      <c r="K1067" s="46"/>
      <c r="L1067" s="10"/>
      <c r="M1067" s="20"/>
      <c r="N1067" s="20"/>
      <c r="O1067" s="20"/>
      <c r="P1067" s="20"/>
    </row>
    <row r="1068">
      <c r="A1068" s="23"/>
      <c r="B1068" s="21"/>
      <c r="C1068" s="23"/>
      <c r="D1068" s="24"/>
      <c r="E1068" s="14"/>
      <c r="F1068" s="14"/>
      <c r="G1068" s="14"/>
      <c r="H1068" s="23"/>
      <c r="I1068" s="27"/>
      <c r="J1068" s="23"/>
      <c r="K1068" s="30"/>
      <c r="L1068" s="23"/>
      <c r="M1068" s="20"/>
      <c r="N1068" s="20"/>
      <c r="O1068" s="20"/>
      <c r="P1068" s="20"/>
    </row>
    <row r="1069">
      <c r="A1069" s="10"/>
      <c r="B1069" s="11"/>
      <c r="C1069" s="10"/>
      <c r="D1069" s="13"/>
      <c r="E1069" s="14"/>
      <c r="F1069" s="14"/>
      <c r="G1069" s="14"/>
      <c r="H1069" s="10"/>
      <c r="I1069" s="17"/>
      <c r="J1069" s="10"/>
      <c r="K1069" s="46"/>
      <c r="L1069" s="10"/>
      <c r="M1069" s="20"/>
      <c r="N1069" s="20"/>
      <c r="O1069" s="20"/>
      <c r="P1069" s="20"/>
    </row>
    <row r="1070">
      <c r="A1070" s="23"/>
      <c r="B1070" s="21"/>
      <c r="C1070" s="23"/>
      <c r="D1070" s="24"/>
      <c r="E1070" s="14"/>
      <c r="F1070" s="14"/>
      <c r="G1070" s="14"/>
      <c r="H1070" s="23"/>
      <c r="I1070" s="27"/>
      <c r="J1070" s="23"/>
      <c r="K1070" s="30"/>
      <c r="L1070" s="23"/>
      <c r="M1070" s="20"/>
      <c r="N1070" s="20"/>
      <c r="O1070" s="20"/>
      <c r="P1070" s="20"/>
    </row>
    <row r="1071">
      <c r="A1071" s="10"/>
      <c r="B1071" s="11"/>
      <c r="C1071" s="10"/>
      <c r="D1071" s="13"/>
      <c r="E1071" s="14"/>
      <c r="F1071" s="14"/>
      <c r="G1071" s="14"/>
      <c r="H1071" s="10"/>
      <c r="I1071" s="17"/>
      <c r="J1071" s="10"/>
      <c r="K1071" s="46"/>
      <c r="L1071" s="10"/>
      <c r="M1071" s="20"/>
      <c r="N1071" s="20"/>
      <c r="O1071" s="20"/>
      <c r="P1071" s="20"/>
    </row>
    <row r="1072">
      <c r="A1072" s="23"/>
      <c r="B1072" s="21"/>
      <c r="C1072" s="23"/>
      <c r="D1072" s="24"/>
      <c r="E1072" s="14"/>
      <c r="F1072" s="14"/>
      <c r="G1072" s="14"/>
      <c r="H1072" s="23"/>
      <c r="I1072" s="27"/>
      <c r="J1072" s="23"/>
      <c r="K1072" s="30"/>
      <c r="L1072" s="23"/>
      <c r="M1072" s="20"/>
      <c r="N1072" s="20"/>
      <c r="O1072" s="20"/>
      <c r="P1072" s="20"/>
    </row>
    <row r="1073">
      <c r="A1073" s="10"/>
      <c r="B1073" s="11"/>
      <c r="C1073" s="10"/>
      <c r="D1073" s="13"/>
      <c r="E1073" s="14"/>
      <c r="F1073" s="14"/>
      <c r="G1073" s="14"/>
      <c r="H1073" s="10"/>
      <c r="I1073" s="17"/>
      <c r="J1073" s="10"/>
      <c r="K1073" s="46"/>
      <c r="L1073" s="10"/>
      <c r="M1073" s="20"/>
      <c r="N1073" s="20"/>
      <c r="O1073" s="20"/>
      <c r="P1073" s="20"/>
    </row>
    <row r="1074">
      <c r="A1074" s="23"/>
      <c r="B1074" s="21"/>
      <c r="C1074" s="23"/>
      <c r="D1074" s="24"/>
      <c r="E1074" s="14"/>
      <c r="F1074" s="14"/>
      <c r="G1074" s="14"/>
      <c r="H1074" s="23"/>
      <c r="I1074" s="27"/>
      <c r="J1074" s="23"/>
      <c r="K1074" s="30"/>
      <c r="L1074" s="23"/>
      <c r="M1074" s="20"/>
      <c r="N1074" s="20"/>
      <c r="O1074" s="20"/>
      <c r="P1074" s="20"/>
    </row>
    <row r="1075">
      <c r="A1075" s="10"/>
      <c r="B1075" s="11"/>
      <c r="C1075" s="10"/>
      <c r="D1075" s="13"/>
      <c r="E1075" s="14"/>
      <c r="F1075" s="14"/>
      <c r="G1075" s="14"/>
      <c r="H1075" s="10"/>
      <c r="I1075" s="17"/>
      <c r="J1075" s="10"/>
      <c r="K1075" s="46"/>
      <c r="L1075" s="10"/>
      <c r="M1075" s="20"/>
      <c r="N1075" s="20"/>
      <c r="O1075" s="20"/>
      <c r="P1075" s="20"/>
    </row>
    <row r="1076">
      <c r="A1076" s="23"/>
      <c r="B1076" s="21"/>
      <c r="C1076" s="23"/>
      <c r="D1076" s="24"/>
      <c r="E1076" s="14"/>
      <c r="F1076" s="14"/>
      <c r="G1076" s="14"/>
      <c r="H1076" s="23"/>
      <c r="I1076" s="27"/>
      <c r="J1076" s="23"/>
      <c r="K1076" s="30"/>
      <c r="L1076" s="23"/>
      <c r="M1076" s="20"/>
      <c r="N1076" s="20"/>
      <c r="O1076" s="20"/>
      <c r="P1076" s="20"/>
    </row>
    <row r="1077">
      <c r="A1077" s="10"/>
      <c r="B1077" s="11"/>
      <c r="C1077" s="10"/>
      <c r="D1077" s="13"/>
      <c r="E1077" s="14"/>
      <c r="F1077" s="14"/>
      <c r="G1077" s="14"/>
      <c r="H1077" s="10"/>
      <c r="I1077" s="17"/>
      <c r="J1077" s="10"/>
      <c r="K1077" s="46"/>
      <c r="L1077" s="10"/>
      <c r="M1077" s="20"/>
      <c r="N1077" s="20"/>
      <c r="O1077" s="20"/>
      <c r="P1077" s="20"/>
    </row>
    <row r="1078">
      <c r="A1078" s="23"/>
      <c r="B1078" s="21"/>
      <c r="C1078" s="23"/>
      <c r="D1078" s="24"/>
      <c r="E1078" s="14"/>
      <c r="F1078" s="14"/>
      <c r="G1078" s="14"/>
      <c r="H1078" s="23"/>
      <c r="I1078" s="27"/>
      <c r="J1078" s="23"/>
      <c r="K1078" s="30"/>
      <c r="L1078" s="23"/>
      <c r="M1078" s="20"/>
      <c r="N1078" s="20"/>
      <c r="O1078" s="20"/>
      <c r="P1078" s="20"/>
    </row>
    <row r="1079">
      <c r="A1079" s="10"/>
      <c r="B1079" s="11"/>
      <c r="C1079" s="10"/>
      <c r="D1079" s="13"/>
      <c r="E1079" s="14"/>
      <c r="F1079" s="14"/>
      <c r="G1079" s="14"/>
      <c r="H1079" s="10"/>
      <c r="I1079" s="17"/>
      <c r="J1079" s="10"/>
      <c r="K1079" s="46"/>
      <c r="L1079" s="10"/>
      <c r="M1079" s="20"/>
      <c r="N1079" s="20"/>
      <c r="O1079" s="20"/>
      <c r="P1079" s="20"/>
    </row>
    <row r="1080">
      <c r="A1080" s="23"/>
      <c r="B1080" s="21"/>
      <c r="C1080" s="23"/>
      <c r="D1080" s="24"/>
      <c r="E1080" s="14"/>
      <c r="F1080" s="14"/>
      <c r="G1080" s="14"/>
      <c r="H1080" s="23"/>
      <c r="I1080" s="27"/>
      <c r="J1080" s="23"/>
      <c r="K1080" s="30"/>
      <c r="L1080" s="23"/>
      <c r="M1080" s="20"/>
      <c r="N1080" s="20"/>
      <c r="O1080" s="20"/>
      <c r="P1080" s="20"/>
    </row>
    <row r="1081">
      <c r="A1081" s="10"/>
      <c r="B1081" s="11"/>
      <c r="C1081" s="10"/>
      <c r="D1081" s="13"/>
      <c r="E1081" s="14"/>
      <c r="F1081" s="14"/>
      <c r="G1081" s="14"/>
      <c r="H1081" s="10"/>
      <c r="I1081" s="17"/>
      <c r="J1081" s="10"/>
      <c r="K1081" s="46"/>
      <c r="L1081" s="10"/>
      <c r="M1081" s="20"/>
      <c r="N1081" s="20"/>
      <c r="O1081" s="20"/>
      <c r="P1081" s="20"/>
    </row>
    <row r="1082">
      <c r="A1082" s="23"/>
      <c r="B1082" s="21"/>
      <c r="C1082" s="23"/>
      <c r="D1082" s="24"/>
      <c r="E1082" s="14"/>
      <c r="F1082" s="14"/>
      <c r="G1082" s="14"/>
      <c r="H1082" s="23"/>
      <c r="I1082" s="27"/>
      <c r="J1082" s="23"/>
      <c r="K1082" s="30"/>
      <c r="L1082" s="23"/>
      <c r="M1082" s="20"/>
      <c r="N1082" s="20"/>
      <c r="O1082" s="20"/>
      <c r="P1082" s="20"/>
    </row>
    <row r="1083">
      <c r="A1083" s="10"/>
      <c r="B1083" s="11"/>
      <c r="C1083" s="10"/>
      <c r="D1083" s="13"/>
      <c r="E1083" s="14"/>
      <c r="F1083" s="14"/>
      <c r="G1083" s="14"/>
      <c r="H1083" s="10"/>
      <c r="I1083" s="17"/>
      <c r="J1083" s="10"/>
      <c r="K1083" s="46"/>
      <c r="L1083" s="10"/>
      <c r="M1083" s="20"/>
      <c r="N1083" s="20"/>
      <c r="O1083" s="20"/>
      <c r="P1083" s="20"/>
    </row>
    <row r="1084">
      <c r="A1084" s="23"/>
      <c r="B1084" s="21"/>
      <c r="C1084" s="23"/>
      <c r="D1084" s="24"/>
      <c r="E1084" s="14"/>
      <c r="F1084" s="14"/>
      <c r="G1084" s="14"/>
      <c r="H1084" s="23"/>
      <c r="I1084" s="27"/>
      <c r="J1084" s="23"/>
      <c r="K1084" s="30"/>
      <c r="L1084" s="23"/>
      <c r="M1084" s="20"/>
      <c r="N1084" s="20"/>
      <c r="O1084" s="20"/>
      <c r="P1084" s="20"/>
    </row>
    <row r="1085">
      <c r="A1085" s="10"/>
      <c r="B1085" s="11"/>
      <c r="C1085" s="10"/>
      <c r="D1085" s="13"/>
      <c r="E1085" s="14"/>
      <c r="F1085" s="14"/>
      <c r="G1085" s="14"/>
      <c r="H1085" s="10"/>
      <c r="I1085" s="17"/>
      <c r="J1085" s="10"/>
      <c r="K1085" s="46"/>
      <c r="L1085" s="10"/>
      <c r="M1085" s="20"/>
      <c r="N1085" s="20"/>
      <c r="O1085" s="20"/>
      <c r="P1085" s="20"/>
    </row>
    <row r="1086">
      <c r="A1086" s="23"/>
      <c r="B1086" s="21"/>
      <c r="C1086" s="23"/>
      <c r="D1086" s="24"/>
      <c r="E1086" s="14"/>
      <c r="F1086" s="14"/>
      <c r="G1086" s="14"/>
      <c r="H1086" s="23"/>
      <c r="I1086" s="27"/>
      <c r="J1086" s="23"/>
      <c r="K1086" s="30"/>
      <c r="L1086" s="23"/>
      <c r="M1086" s="20"/>
      <c r="N1086" s="20"/>
      <c r="O1086" s="20"/>
      <c r="P1086" s="20"/>
    </row>
    <row r="1087">
      <c r="A1087" s="10"/>
      <c r="B1087" s="11"/>
      <c r="C1087" s="10"/>
      <c r="D1087" s="13"/>
      <c r="E1087" s="14"/>
      <c r="F1087" s="14"/>
      <c r="G1087" s="14"/>
      <c r="H1087" s="10"/>
      <c r="I1087" s="17"/>
      <c r="J1087" s="10"/>
      <c r="K1087" s="46"/>
      <c r="L1087" s="10"/>
      <c r="M1087" s="20"/>
      <c r="N1087" s="20"/>
      <c r="O1087" s="20"/>
      <c r="P1087" s="20"/>
    </row>
    <row r="1088">
      <c r="A1088" s="23"/>
      <c r="B1088" s="21"/>
      <c r="C1088" s="23"/>
      <c r="D1088" s="24"/>
      <c r="E1088" s="14"/>
      <c r="F1088" s="14"/>
      <c r="G1088" s="14"/>
      <c r="H1088" s="23"/>
      <c r="I1088" s="27"/>
      <c r="J1088" s="23"/>
      <c r="K1088" s="30"/>
      <c r="L1088" s="23"/>
      <c r="M1088" s="20"/>
      <c r="N1088" s="20"/>
      <c r="O1088" s="20"/>
      <c r="P1088" s="20"/>
    </row>
    <row r="1089">
      <c r="A1089" s="10"/>
      <c r="B1089" s="11"/>
      <c r="C1089" s="10"/>
      <c r="D1089" s="13"/>
      <c r="E1089" s="14"/>
      <c r="F1089" s="14"/>
      <c r="G1089" s="14"/>
      <c r="H1089" s="10"/>
      <c r="I1089" s="17"/>
      <c r="J1089" s="10"/>
      <c r="K1089" s="46"/>
      <c r="L1089" s="10"/>
      <c r="M1089" s="20"/>
      <c r="N1089" s="20"/>
      <c r="O1089" s="20"/>
      <c r="P1089" s="20"/>
    </row>
    <row r="1090">
      <c r="A1090" s="23"/>
      <c r="B1090" s="21"/>
      <c r="C1090" s="23"/>
      <c r="D1090" s="24"/>
      <c r="E1090" s="14"/>
      <c r="F1090" s="14"/>
      <c r="G1090" s="14"/>
      <c r="H1090" s="23"/>
      <c r="I1090" s="27"/>
      <c r="J1090" s="23"/>
      <c r="K1090" s="30"/>
      <c r="L1090" s="23"/>
      <c r="M1090" s="20"/>
      <c r="N1090" s="20"/>
      <c r="O1090" s="20"/>
      <c r="P1090" s="20"/>
    </row>
    <row r="1091">
      <c r="A1091" s="10"/>
      <c r="B1091" s="11"/>
      <c r="C1091" s="10"/>
      <c r="D1091" s="13"/>
      <c r="E1091" s="14"/>
      <c r="F1091" s="14"/>
      <c r="G1091" s="14"/>
      <c r="H1091" s="10"/>
      <c r="I1091" s="17"/>
      <c r="J1091" s="10"/>
      <c r="K1091" s="46"/>
      <c r="L1091" s="10"/>
      <c r="M1091" s="20"/>
      <c r="N1091" s="20"/>
      <c r="O1091" s="20"/>
      <c r="P1091" s="20"/>
    </row>
    <row r="1092">
      <c r="A1092" s="23"/>
      <c r="B1092" s="21"/>
      <c r="C1092" s="23"/>
      <c r="D1092" s="24"/>
      <c r="E1092" s="14"/>
      <c r="F1092" s="14"/>
      <c r="G1092" s="14"/>
      <c r="H1092" s="23"/>
      <c r="I1092" s="27"/>
      <c r="J1092" s="23"/>
      <c r="K1092" s="30"/>
      <c r="L1092" s="23"/>
      <c r="M1092" s="20"/>
      <c r="N1092" s="20"/>
      <c r="O1092" s="20"/>
      <c r="P1092" s="20"/>
    </row>
    <row r="1093">
      <c r="A1093" s="10"/>
      <c r="B1093" s="11"/>
      <c r="C1093" s="10"/>
      <c r="D1093" s="13"/>
      <c r="E1093" s="14"/>
      <c r="F1093" s="14"/>
      <c r="G1093" s="14"/>
      <c r="H1093" s="10"/>
      <c r="I1093" s="17"/>
      <c r="J1093" s="10"/>
      <c r="K1093" s="46"/>
      <c r="L1093" s="10"/>
      <c r="M1093" s="20"/>
      <c r="N1093" s="20"/>
      <c r="O1093" s="20"/>
      <c r="P1093" s="20"/>
    </row>
    <row r="1094">
      <c r="A1094" s="23"/>
      <c r="B1094" s="21"/>
      <c r="C1094" s="23"/>
      <c r="D1094" s="24"/>
      <c r="E1094" s="14"/>
      <c r="F1094" s="14"/>
      <c r="G1094" s="14"/>
      <c r="H1094" s="23"/>
      <c r="I1094" s="27"/>
      <c r="J1094" s="23"/>
      <c r="K1094" s="30"/>
      <c r="L1094" s="23"/>
      <c r="M1094" s="20"/>
      <c r="N1094" s="20"/>
      <c r="O1094" s="20"/>
      <c r="P1094" s="20"/>
    </row>
    <row r="1095">
      <c r="A1095" s="10"/>
      <c r="B1095" s="11"/>
      <c r="C1095" s="10"/>
      <c r="D1095" s="13"/>
      <c r="E1095" s="14"/>
      <c r="F1095" s="14"/>
      <c r="G1095" s="14"/>
      <c r="H1095" s="10"/>
      <c r="I1095" s="17"/>
      <c r="J1095" s="10"/>
      <c r="K1095" s="46"/>
      <c r="L1095" s="10"/>
      <c r="M1095" s="20"/>
      <c r="N1095" s="20"/>
      <c r="O1095" s="20"/>
      <c r="P1095" s="20"/>
    </row>
    <row r="1096">
      <c r="A1096" s="23"/>
      <c r="B1096" s="21"/>
      <c r="C1096" s="23"/>
      <c r="D1096" s="24"/>
      <c r="E1096" s="14"/>
      <c r="F1096" s="14"/>
      <c r="G1096" s="14"/>
      <c r="H1096" s="23"/>
      <c r="I1096" s="27"/>
      <c r="J1096" s="23"/>
      <c r="K1096" s="30"/>
      <c r="L1096" s="23"/>
      <c r="M1096" s="20"/>
      <c r="N1096" s="20"/>
      <c r="O1096" s="20"/>
      <c r="P1096" s="20"/>
    </row>
    <row r="1097">
      <c r="A1097" s="10"/>
      <c r="B1097" s="11"/>
      <c r="C1097" s="10"/>
      <c r="D1097" s="13"/>
      <c r="E1097" s="14"/>
      <c r="F1097" s="14"/>
      <c r="G1097" s="14"/>
      <c r="H1097" s="10"/>
      <c r="I1097" s="17"/>
      <c r="J1097" s="10"/>
      <c r="K1097" s="46"/>
      <c r="L1097" s="10"/>
      <c r="M1097" s="20"/>
      <c r="N1097" s="20"/>
      <c r="O1097" s="20"/>
      <c r="P1097" s="20"/>
    </row>
    <row r="1098">
      <c r="A1098" s="23"/>
      <c r="B1098" s="21"/>
      <c r="C1098" s="23"/>
      <c r="D1098" s="24"/>
      <c r="E1098" s="14"/>
      <c r="F1098" s="14"/>
      <c r="G1098" s="14"/>
      <c r="H1098" s="23"/>
      <c r="I1098" s="27"/>
      <c r="J1098" s="23"/>
      <c r="K1098" s="30"/>
      <c r="L1098" s="23"/>
      <c r="M1098" s="20"/>
      <c r="N1098" s="20"/>
      <c r="O1098" s="20"/>
      <c r="P1098" s="20"/>
    </row>
    <row r="1099">
      <c r="A1099" s="10"/>
      <c r="B1099" s="11"/>
      <c r="C1099" s="10"/>
      <c r="D1099" s="13"/>
      <c r="E1099" s="14"/>
      <c r="F1099" s="14"/>
      <c r="G1099" s="14"/>
      <c r="H1099" s="10"/>
      <c r="I1099" s="17"/>
      <c r="J1099" s="10"/>
      <c r="K1099" s="46"/>
      <c r="L1099" s="10"/>
      <c r="M1099" s="20"/>
      <c r="N1099" s="20"/>
      <c r="O1099" s="20"/>
      <c r="P1099" s="20"/>
    </row>
    <row r="1100">
      <c r="A1100" s="23"/>
      <c r="B1100" s="21"/>
      <c r="C1100" s="23"/>
      <c r="D1100" s="24"/>
      <c r="E1100" s="14"/>
      <c r="F1100" s="14"/>
      <c r="G1100" s="14"/>
      <c r="H1100" s="23"/>
      <c r="I1100" s="27"/>
      <c r="J1100" s="23"/>
      <c r="K1100" s="30"/>
      <c r="L1100" s="23"/>
      <c r="M1100" s="20"/>
      <c r="N1100" s="20"/>
      <c r="O1100" s="20"/>
      <c r="P1100" s="20"/>
    </row>
    <row r="1101">
      <c r="A1101" s="10"/>
      <c r="B1101" s="11"/>
      <c r="C1101" s="10"/>
      <c r="D1101" s="13"/>
      <c r="E1101" s="14"/>
      <c r="F1101" s="14"/>
      <c r="G1101" s="14"/>
      <c r="H1101" s="10"/>
      <c r="I1101" s="17"/>
      <c r="J1101" s="10"/>
      <c r="K1101" s="46"/>
      <c r="L1101" s="10"/>
      <c r="M1101" s="20"/>
      <c r="N1101" s="20"/>
      <c r="O1101" s="20"/>
      <c r="P1101" s="20"/>
    </row>
    <row r="1102">
      <c r="A1102" s="23"/>
      <c r="B1102" s="21"/>
      <c r="C1102" s="23"/>
      <c r="D1102" s="24"/>
      <c r="E1102" s="14"/>
      <c r="F1102" s="14"/>
      <c r="G1102" s="14"/>
      <c r="H1102" s="23"/>
      <c r="I1102" s="27"/>
      <c r="J1102" s="23"/>
      <c r="K1102" s="30"/>
      <c r="L1102" s="23"/>
      <c r="M1102" s="20"/>
      <c r="N1102" s="20"/>
      <c r="O1102" s="20"/>
      <c r="P1102" s="20"/>
    </row>
    <row r="1103">
      <c r="A1103" s="10"/>
      <c r="B1103" s="11"/>
      <c r="C1103" s="10"/>
      <c r="D1103" s="13"/>
      <c r="E1103" s="14"/>
      <c r="F1103" s="14"/>
      <c r="G1103" s="14"/>
      <c r="H1103" s="10"/>
      <c r="I1103" s="17"/>
      <c r="J1103" s="10"/>
      <c r="K1103" s="46"/>
      <c r="L1103" s="10"/>
      <c r="M1103" s="20"/>
      <c r="N1103" s="20"/>
      <c r="O1103" s="20"/>
      <c r="P1103" s="20"/>
    </row>
    <row r="1104">
      <c r="A1104" s="23"/>
      <c r="B1104" s="21"/>
      <c r="C1104" s="23"/>
      <c r="D1104" s="24"/>
      <c r="E1104" s="14"/>
      <c r="F1104" s="14"/>
      <c r="G1104" s="14"/>
      <c r="H1104" s="23"/>
      <c r="I1104" s="27"/>
      <c r="J1104" s="23"/>
      <c r="K1104" s="30"/>
      <c r="L1104" s="23"/>
      <c r="M1104" s="20"/>
      <c r="N1104" s="20"/>
      <c r="O1104" s="20"/>
      <c r="P1104" s="20"/>
    </row>
    <row r="1105">
      <c r="A1105" s="10"/>
      <c r="B1105" s="11"/>
      <c r="C1105" s="10"/>
      <c r="D1105" s="13"/>
      <c r="E1105" s="14"/>
      <c r="F1105" s="14"/>
      <c r="G1105" s="14"/>
      <c r="H1105" s="10"/>
      <c r="I1105" s="17"/>
      <c r="J1105" s="10"/>
      <c r="K1105" s="46"/>
      <c r="L1105" s="10"/>
      <c r="M1105" s="20"/>
      <c r="N1105" s="20"/>
      <c r="O1105" s="20"/>
      <c r="P1105" s="20"/>
    </row>
    <row r="1106">
      <c r="A1106" s="23"/>
      <c r="B1106" s="21"/>
      <c r="C1106" s="23"/>
      <c r="D1106" s="24"/>
      <c r="E1106" s="14"/>
      <c r="F1106" s="14"/>
      <c r="G1106" s="14"/>
      <c r="H1106" s="23"/>
      <c r="I1106" s="27"/>
      <c r="J1106" s="23"/>
      <c r="K1106" s="30"/>
      <c r="L1106" s="23"/>
      <c r="M1106" s="20"/>
      <c r="N1106" s="20"/>
      <c r="O1106" s="20"/>
      <c r="P1106" s="20"/>
    </row>
    <row r="1107">
      <c r="A1107" s="10"/>
      <c r="B1107" s="11"/>
      <c r="C1107" s="10"/>
      <c r="D1107" s="13"/>
      <c r="E1107" s="14"/>
      <c r="F1107" s="14"/>
      <c r="G1107" s="14"/>
      <c r="H1107" s="10"/>
      <c r="I1107" s="17"/>
      <c r="J1107" s="10"/>
      <c r="K1107" s="46"/>
      <c r="L1107" s="10"/>
      <c r="M1107" s="20"/>
      <c r="N1107" s="20"/>
      <c r="O1107" s="20"/>
      <c r="P1107" s="20"/>
    </row>
    <row r="1108">
      <c r="A1108" s="23"/>
      <c r="B1108" s="21"/>
      <c r="C1108" s="23"/>
      <c r="D1108" s="24"/>
      <c r="E1108" s="14"/>
      <c r="F1108" s="14"/>
      <c r="G1108" s="14"/>
      <c r="H1108" s="23"/>
      <c r="I1108" s="27"/>
      <c r="J1108" s="23"/>
      <c r="K1108" s="30"/>
      <c r="L1108" s="23"/>
      <c r="M1108" s="20"/>
      <c r="N1108" s="20"/>
      <c r="O1108" s="20"/>
      <c r="P1108" s="20"/>
    </row>
    <row r="1109">
      <c r="A1109" s="10"/>
      <c r="B1109" s="11"/>
      <c r="C1109" s="10"/>
      <c r="D1109" s="13"/>
      <c r="E1109" s="14"/>
      <c r="F1109" s="14"/>
      <c r="G1109" s="14"/>
      <c r="H1109" s="10"/>
      <c r="I1109" s="17"/>
      <c r="J1109" s="10"/>
      <c r="K1109" s="46"/>
      <c r="L1109" s="10"/>
      <c r="M1109" s="20"/>
      <c r="N1109" s="20"/>
      <c r="O1109" s="20"/>
      <c r="P1109" s="20"/>
    </row>
    <row r="1110">
      <c r="A1110" s="23"/>
      <c r="B1110" s="21"/>
      <c r="C1110" s="23"/>
      <c r="D1110" s="24"/>
      <c r="E1110" s="14"/>
      <c r="F1110" s="14"/>
      <c r="G1110" s="14"/>
      <c r="H1110" s="23"/>
      <c r="I1110" s="27"/>
      <c r="J1110" s="23"/>
      <c r="K1110" s="30"/>
      <c r="L1110" s="23"/>
      <c r="M1110" s="20"/>
      <c r="N1110" s="20"/>
      <c r="O1110" s="20"/>
      <c r="P1110" s="20"/>
    </row>
    <row r="1111">
      <c r="A1111" s="10"/>
      <c r="B1111" s="11"/>
      <c r="C1111" s="10"/>
      <c r="D1111" s="13"/>
      <c r="E1111" s="14"/>
      <c r="F1111" s="14"/>
      <c r="G1111" s="14"/>
      <c r="H1111" s="10"/>
      <c r="I1111" s="17"/>
      <c r="J1111" s="10"/>
      <c r="K1111" s="46"/>
      <c r="L1111" s="10"/>
      <c r="M1111" s="20"/>
      <c r="N1111" s="20"/>
      <c r="O1111" s="20"/>
      <c r="P1111" s="20"/>
    </row>
    <row r="1112">
      <c r="A1112" s="23"/>
      <c r="B1112" s="21"/>
      <c r="C1112" s="23"/>
      <c r="D1112" s="24"/>
      <c r="E1112" s="14"/>
      <c r="F1112" s="14"/>
      <c r="G1112" s="14"/>
      <c r="H1112" s="23"/>
      <c r="I1112" s="27"/>
      <c r="J1112" s="23"/>
      <c r="K1112" s="30"/>
      <c r="L1112" s="23"/>
      <c r="M1112" s="20"/>
      <c r="N1112" s="20"/>
      <c r="O1112" s="20"/>
      <c r="P1112" s="20"/>
    </row>
    <row r="1113">
      <c r="A1113" s="10"/>
      <c r="B1113" s="11"/>
      <c r="C1113" s="10"/>
      <c r="D1113" s="13"/>
      <c r="E1113" s="14"/>
      <c r="F1113" s="14"/>
      <c r="G1113" s="14"/>
      <c r="H1113" s="10"/>
      <c r="I1113" s="17"/>
      <c r="J1113" s="10"/>
      <c r="K1113" s="46"/>
      <c r="L1113" s="10"/>
      <c r="M1113" s="20"/>
      <c r="N1113" s="20"/>
      <c r="O1113" s="20"/>
      <c r="P1113" s="20"/>
    </row>
    <row r="1114">
      <c r="A1114" s="23"/>
      <c r="B1114" s="21"/>
      <c r="C1114" s="23"/>
      <c r="D1114" s="24"/>
      <c r="E1114" s="14"/>
      <c r="F1114" s="14"/>
      <c r="G1114" s="14"/>
      <c r="H1114" s="23"/>
      <c r="I1114" s="27"/>
      <c r="J1114" s="23"/>
      <c r="K1114" s="30"/>
      <c r="L1114" s="23"/>
      <c r="M1114" s="20"/>
      <c r="N1114" s="20"/>
      <c r="O1114" s="20"/>
      <c r="P1114" s="20"/>
    </row>
    <row r="1115">
      <c r="A1115" s="10"/>
      <c r="B1115" s="11"/>
      <c r="C1115" s="10"/>
      <c r="D1115" s="13"/>
      <c r="E1115" s="14"/>
      <c r="F1115" s="14"/>
      <c r="G1115" s="14"/>
      <c r="H1115" s="10"/>
      <c r="I1115" s="17"/>
      <c r="J1115" s="10"/>
      <c r="K1115" s="46"/>
      <c r="L1115" s="10"/>
      <c r="M1115" s="20"/>
      <c r="N1115" s="20"/>
      <c r="O1115" s="20"/>
      <c r="P1115" s="20"/>
    </row>
    <row r="1116">
      <c r="A1116" s="23"/>
      <c r="B1116" s="21"/>
      <c r="C1116" s="23"/>
      <c r="D1116" s="24"/>
      <c r="E1116" s="14"/>
      <c r="F1116" s="14"/>
      <c r="G1116" s="14"/>
      <c r="H1116" s="23"/>
      <c r="I1116" s="27"/>
      <c r="J1116" s="23"/>
      <c r="K1116" s="30"/>
      <c r="L1116" s="23"/>
      <c r="M1116" s="20"/>
      <c r="N1116" s="20"/>
      <c r="O1116" s="20"/>
      <c r="P1116" s="20"/>
    </row>
    <row r="1117">
      <c r="A1117" s="10"/>
      <c r="B1117" s="11"/>
      <c r="C1117" s="10"/>
      <c r="D1117" s="13"/>
      <c r="E1117" s="14"/>
      <c r="F1117" s="14"/>
      <c r="G1117" s="14"/>
      <c r="H1117" s="10"/>
      <c r="I1117" s="17"/>
      <c r="J1117" s="10"/>
      <c r="K1117" s="46"/>
      <c r="L1117" s="10"/>
      <c r="M1117" s="20"/>
      <c r="N1117" s="20"/>
      <c r="O1117" s="20"/>
      <c r="P1117" s="20"/>
    </row>
    <row r="1118">
      <c r="A1118" s="23"/>
      <c r="B1118" s="21"/>
      <c r="C1118" s="23"/>
      <c r="D1118" s="24"/>
      <c r="E1118" s="14"/>
      <c r="F1118" s="14"/>
      <c r="G1118" s="14"/>
      <c r="H1118" s="23"/>
      <c r="I1118" s="27"/>
      <c r="J1118" s="23"/>
      <c r="K1118" s="30"/>
      <c r="L1118" s="23"/>
      <c r="M1118" s="20"/>
      <c r="N1118" s="20"/>
      <c r="O1118" s="20"/>
      <c r="P1118" s="20"/>
    </row>
    <row r="1119">
      <c r="A1119" s="10"/>
      <c r="B1119" s="11"/>
      <c r="C1119" s="10"/>
      <c r="D1119" s="13"/>
      <c r="E1119" s="14"/>
      <c r="F1119" s="14"/>
      <c r="G1119" s="14"/>
      <c r="H1119" s="10"/>
      <c r="I1119" s="17"/>
      <c r="J1119" s="10"/>
      <c r="K1119" s="46"/>
      <c r="L1119" s="10"/>
      <c r="M1119" s="20"/>
      <c r="N1119" s="20"/>
      <c r="O1119" s="20"/>
      <c r="P1119" s="20"/>
    </row>
    <row r="1120">
      <c r="A1120" s="23"/>
      <c r="B1120" s="21"/>
      <c r="C1120" s="23"/>
      <c r="D1120" s="24"/>
      <c r="E1120" s="14"/>
      <c r="F1120" s="14"/>
      <c r="G1120" s="14"/>
      <c r="H1120" s="23"/>
      <c r="I1120" s="27"/>
      <c r="J1120" s="23"/>
      <c r="K1120" s="30"/>
      <c r="L1120" s="23"/>
      <c r="M1120" s="20"/>
      <c r="N1120" s="20"/>
      <c r="O1120" s="20"/>
      <c r="P1120" s="20"/>
    </row>
    <row r="1121">
      <c r="A1121" s="10"/>
      <c r="B1121" s="11"/>
      <c r="C1121" s="10"/>
      <c r="D1121" s="13"/>
      <c r="E1121" s="14"/>
      <c r="F1121" s="14"/>
      <c r="G1121" s="14"/>
      <c r="H1121" s="10"/>
      <c r="I1121" s="17"/>
      <c r="J1121" s="10"/>
      <c r="K1121" s="46"/>
      <c r="L1121" s="10"/>
      <c r="M1121" s="20"/>
      <c r="N1121" s="20"/>
      <c r="O1121" s="20"/>
      <c r="P1121" s="20"/>
    </row>
    <row r="1122">
      <c r="A1122" s="23"/>
      <c r="B1122" s="21"/>
      <c r="C1122" s="23"/>
      <c r="D1122" s="24"/>
      <c r="E1122" s="14"/>
      <c r="F1122" s="14"/>
      <c r="G1122" s="14"/>
      <c r="H1122" s="23"/>
      <c r="I1122" s="27"/>
      <c r="J1122" s="23"/>
      <c r="K1122" s="30"/>
      <c r="L1122" s="23"/>
      <c r="M1122" s="20"/>
      <c r="N1122" s="20"/>
      <c r="O1122" s="20"/>
      <c r="P1122" s="20"/>
    </row>
    <row r="1123">
      <c r="A1123" s="10"/>
      <c r="B1123" s="11"/>
      <c r="C1123" s="10"/>
      <c r="D1123" s="13"/>
      <c r="E1123" s="14"/>
      <c r="F1123" s="14"/>
      <c r="G1123" s="14"/>
      <c r="H1123" s="10"/>
      <c r="I1123" s="17"/>
      <c r="J1123" s="10"/>
      <c r="K1123" s="46"/>
      <c r="L1123" s="10"/>
      <c r="M1123" s="20"/>
      <c r="N1123" s="20"/>
      <c r="O1123" s="20"/>
      <c r="P1123" s="20"/>
    </row>
    <row r="1124">
      <c r="A1124" s="23"/>
      <c r="B1124" s="21"/>
      <c r="C1124" s="23"/>
      <c r="D1124" s="24"/>
      <c r="E1124" s="14"/>
      <c r="F1124" s="14"/>
      <c r="G1124" s="14"/>
      <c r="H1124" s="23"/>
      <c r="I1124" s="27"/>
      <c r="J1124" s="23"/>
      <c r="K1124" s="30"/>
      <c r="L1124" s="23"/>
      <c r="M1124" s="20"/>
      <c r="N1124" s="20"/>
      <c r="O1124" s="20"/>
      <c r="P1124" s="20"/>
    </row>
    <row r="1125">
      <c r="A1125" s="10"/>
      <c r="B1125" s="11"/>
      <c r="C1125" s="10"/>
      <c r="D1125" s="13"/>
      <c r="E1125" s="14"/>
      <c r="F1125" s="14"/>
      <c r="G1125" s="14"/>
      <c r="H1125" s="10"/>
      <c r="I1125" s="17"/>
      <c r="J1125" s="10"/>
      <c r="K1125" s="46"/>
      <c r="L1125" s="10"/>
      <c r="M1125" s="20"/>
      <c r="N1125" s="20"/>
      <c r="O1125" s="20"/>
      <c r="P1125" s="20"/>
    </row>
    <row r="1126">
      <c r="A1126" s="23"/>
      <c r="B1126" s="21"/>
      <c r="C1126" s="23"/>
      <c r="D1126" s="24"/>
      <c r="E1126" s="14"/>
      <c r="F1126" s="14"/>
      <c r="G1126" s="14"/>
      <c r="H1126" s="23"/>
      <c r="I1126" s="27"/>
      <c r="J1126" s="23"/>
      <c r="K1126" s="30"/>
      <c r="L1126" s="23"/>
      <c r="M1126" s="20"/>
      <c r="N1126" s="20"/>
      <c r="O1126" s="20"/>
      <c r="P1126" s="20"/>
    </row>
    <row r="1127">
      <c r="A1127" s="10"/>
      <c r="B1127" s="11"/>
      <c r="C1127" s="10"/>
      <c r="D1127" s="13"/>
      <c r="E1127" s="14"/>
      <c r="F1127" s="14"/>
      <c r="G1127" s="14"/>
      <c r="H1127" s="10"/>
      <c r="I1127" s="17"/>
      <c r="J1127" s="10"/>
      <c r="K1127" s="46"/>
      <c r="L1127" s="10"/>
      <c r="M1127" s="20"/>
      <c r="N1127" s="20"/>
      <c r="O1127" s="20"/>
      <c r="P1127" s="20"/>
    </row>
    <row r="1128">
      <c r="A1128" s="23"/>
      <c r="B1128" s="21"/>
      <c r="C1128" s="23"/>
      <c r="D1128" s="24"/>
      <c r="E1128" s="14"/>
      <c r="F1128" s="14"/>
      <c r="G1128" s="14"/>
      <c r="H1128" s="23"/>
      <c r="I1128" s="27"/>
      <c r="J1128" s="23"/>
      <c r="K1128" s="30"/>
      <c r="L1128" s="23"/>
      <c r="M1128" s="20"/>
      <c r="N1128" s="20"/>
      <c r="O1128" s="20"/>
      <c r="P1128" s="20"/>
    </row>
    <row r="1129">
      <c r="A1129" s="10"/>
      <c r="B1129" s="11"/>
      <c r="C1129" s="10"/>
      <c r="D1129" s="13"/>
      <c r="E1129" s="14"/>
      <c r="F1129" s="14"/>
      <c r="G1129" s="14"/>
      <c r="H1129" s="10"/>
      <c r="I1129" s="17"/>
      <c r="J1129" s="10"/>
      <c r="K1129" s="46"/>
      <c r="L1129" s="10"/>
      <c r="M1129" s="20"/>
      <c r="N1129" s="20"/>
      <c r="O1129" s="20"/>
      <c r="P1129" s="20"/>
    </row>
    <row r="1130">
      <c r="A1130" s="23"/>
      <c r="B1130" s="21"/>
      <c r="C1130" s="23"/>
      <c r="D1130" s="24"/>
      <c r="E1130" s="14"/>
      <c r="F1130" s="14"/>
      <c r="G1130" s="14"/>
      <c r="H1130" s="23"/>
      <c r="I1130" s="27"/>
      <c r="J1130" s="23"/>
      <c r="K1130" s="30"/>
      <c r="L1130" s="23"/>
      <c r="M1130" s="20"/>
      <c r="N1130" s="20"/>
      <c r="O1130" s="20"/>
      <c r="P1130" s="20"/>
    </row>
    <row r="1131">
      <c r="A1131" s="10"/>
      <c r="B1131" s="11"/>
      <c r="C1131" s="10"/>
      <c r="D1131" s="13"/>
      <c r="E1131" s="14"/>
      <c r="F1131" s="14"/>
      <c r="G1131" s="14"/>
      <c r="H1131" s="10"/>
      <c r="I1131" s="17"/>
      <c r="J1131" s="10"/>
      <c r="K1131" s="46"/>
      <c r="L1131" s="10"/>
      <c r="M1131" s="20"/>
      <c r="N1131" s="20"/>
      <c r="O1131" s="20"/>
      <c r="P1131" s="20"/>
    </row>
    <row r="1132">
      <c r="A1132" s="23"/>
      <c r="B1132" s="21"/>
      <c r="C1132" s="23"/>
      <c r="D1132" s="24"/>
      <c r="E1132" s="14"/>
      <c r="F1132" s="14"/>
      <c r="G1132" s="14"/>
      <c r="H1132" s="23"/>
      <c r="I1132" s="27"/>
      <c r="J1132" s="23"/>
      <c r="K1132" s="30"/>
      <c r="L1132" s="23"/>
      <c r="M1132" s="20"/>
      <c r="N1132" s="20"/>
      <c r="O1132" s="20"/>
      <c r="P1132" s="20"/>
    </row>
    <row r="1133">
      <c r="A1133" s="10"/>
      <c r="B1133" s="11"/>
      <c r="C1133" s="10"/>
      <c r="D1133" s="13"/>
      <c r="E1133" s="14"/>
      <c r="F1133" s="14"/>
      <c r="G1133" s="14"/>
      <c r="H1133" s="10"/>
      <c r="I1133" s="17"/>
      <c r="J1133" s="10"/>
      <c r="K1133" s="46"/>
      <c r="L1133" s="10"/>
      <c r="M1133" s="20"/>
      <c r="N1133" s="20"/>
      <c r="O1133" s="20"/>
      <c r="P1133" s="20"/>
    </row>
    <row r="1134">
      <c r="A1134" s="23"/>
      <c r="B1134" s="21"/>
      <c r="C1134" s="23"/>
      <c r="D1134" s="24"/>
      <c r="E1134" s="14"/>
      <c r="F1134" s="14"/>
      <c r="G1134" s="14"/>
      <c r="H1134" s="23"/>
      <c r="I1134" s="27"/>
      <c r="J1134" s="23"/>
      <c r="K1134" s="30"/>
      <c r="L1134" s="23"/>
      <c r="M1134" s="20"/>
      <c r="N1134" s="20"/>
      <c r="O1134" s="20"/>
      <c r="P1134" s="20"/>
    </row>
    <row r="1135">
      <c r="A1135" s="10"/>
      <c r="B1135" s="11"/>
      <c r="C1135" s="10"/>
      <c r="D1135" s="13"/>
      <c r="E1135" s="14"/>
      <c r="F1135" s="14"/>
      <c r="G1135" s="14"/>
      <c r="H1135" s="10"/>
      <c r="I1135" s="17"/>
      <c r="J1135" s="10"/>
      <c r="K1135" s="46"/>
      <c r="L1135" s="10"/>
      <c r="M1135" s="20"/>
      <c r="N1135" s="20"/>
      <c r="O1135" s="20"/>
      <c r="P1135" s="20"/>
    </row>
    <row r="1136">
      <c r="A1136" s="23"/>
      <c r="B1136" s="21"/>
      <c r="C1136" s="23"/>
      <c r="D1136" s="24"/>
      <c r="E1136" s="14"/>
      <c r="F1136" s="14"/>
      <c r="G1136" s="14"/>
      <c r="H1136" s="23"/>
      <c r="I1136" s="27"/>
      <c r="J1136" s="23"/>
      <c r="K1136" s="30"/>
      <c r="L1136" s="23"/>
      <c r="M1136" s="20"/>
      <c r="N1136" s="20"/>
      <c r="O1136" s="20"/>
      <c r="P1136" s="20"/>
    </row>
    <row r="1137">
      <c r="A1137" s="10"/>
      <c r="B1137" s="11"/>
      <c r="C1137" s="10"/>
      <c r="D1137" s="13"/>
      <c r="E1137" s="14"/>
      <c r="F1137" s="14"/>
      <c r="G1137" s="14"/>
      <c r="H1137" s="10"/>
      <c r="I1137" s="17"/>
      <c r="J1137" s="10"/>
      <c r="K1137" s="46"/>
      <c r="L1137" s="10"/>
      <c r="M1137" s="20"/>
      <c r="N1137" s="20"/>
      <c r="O1137" s="20"/>
      <c r="P1137" s="20"/>
    </row>
    <row r="1138">
      <c r="A1138" s="23"/>
      <c r="B1138" s="21"/>
      <c r="C1138" s="23"/>
      <c r="D1138" s="24"/>
      <c r="E1138" s="14"/>
      <c r="F1138" s="14"/>
      <c r="G1138" s="14"/>
      <c r="H1138" s="23"/>
      <c r="I1138" s="27"/>
      <c r="J1138" s="23"/>
      <c r="K1138" s="30"/>
      <c r="L1138" s="23"/>
      <c r="M1138" s="20"/>
      <c r="N1138" s="20"/>
      <c r="O1138" s="20"/>
      <c r="P1138" s="20"/>
    </row>
    <row r="1139">
      <c r="A1139" s="10"/>
      <c r="B1139" s="11"/>
      <c r="C1139" s="10"/>
      <c r="D1139" s="13"/>
      <c r="E1139" s="14"/>
      <c r="F1139" s="14"/>
      <c r="G1139" s="14"/>
      <c r="H1139" s="10"/>
      <c r="I1139" s="17"/>
      <c r="J1139" s="10"/>
      <c r="K1139" s="46"/>
      <c r="L1139" s="10"/>
      <c r="M1139" s="20"/>
      <c r="N1139" s="20"/>
      <c r="O1139" s="20"/>
      <c r="P1139" s="20"/>
    </row>
    <row r="1140">
      <c r="A1140" s="23"/>
      <c r="B1140" s="21"/>
      <c r="C1140" s="23"/>
      <c r="D1140" s="24"/>
      <c r="E1140" s="14"/>
      <c r="F1140" s="14"/>
      <c r="G1140" s="14"/>
      <c r="H1140" s="23"/>
      <c r="I1140" s="27"/>
      <c r="J1140" s="23"/>
      <c r="K1140" s="30"/>
      <c r="L1140" s="23"/>
      <c r="M1140" s="20"/>
      <c r="N1140" s="20"/>
      <c r="O1140" s="20"/>
      <c r="P1140" s="20"/>
    </row>
    <row r="1141">
      <c r="A1141" s="10"/>
      <c r="B1141" s="11"/>
      <c r="C1141" s="10"/>
      <c r="D1141" s="13"/>
      <c r="E1141" s="14"/>
      <c r="F1141" s="14"/>
      <c r="G1141" s="14"/>
      <c r="H1141" s="10"/>
      <c r="I1141" s="17"/>
      <c r="J1141" s="10"/>
      <c r="K1141" s="46"/>
      <c r="L1141" s="10"/>
      <c r="M1141" s="20"/>
      <c r="N1141" s="20"/>
      <c r="O1141" s="20"/>
      <c r="P1141" s="20"/>
    </row>
    <row r="1142">
      <c r="A1142" s="23"/>
      <c r="B1142" s="21"/>
      <c r="C1142" s="23"/>
      <c r="D1142" s="24"/>
      <c r="E1142" s="14"/>
      <c r="F1142" s="14"/>
      <c r="G1142" s="14"/>
      <c r="H1142" s="23"/>
      <c r="I1142" s="27"/>
      <c r="J1142" s="23"/>
      <c r="K1142" s="30"/>
      <c r="L1142" s="23"/>
      <c r="M1142" s="20"/>
      <c r="N1142" s="20"/>
      <c r="O1142" s="20"/>
      <c r="P1142" s="20"/>
    </row>
    <row r="1143">
      <c r="A1143" s="10"/>
      <c r="B1143" s="11"/>
      <c r="C1143" s="10"/>
      <c r="D1143" s="13"/>
      <c r="E1143" s="14"/>
      <c r="F1143" s="14"/>
      <c r="G1143" s="14"/>
      <c r="H1143" s="10"/>
      <c r="I1143" s="17"/>
      <c r="J1143" s="10"/>
      <c r="K1143" s="46"/>
      <c r="L1143" s="10"/>
      <c r="M1143" s="20"/>
      <c r="N1143" s="20"/>
      <c r="O1143" s="20"/>
      <c r="P1143" s="20"/>
    </row>
    <row r="1144">
      <c r="A1144" s="23"/>
      <c r="B1144" s="21"/>
      <c r="C1144" s="23"/>
      <c r="D1144" s="24"/>
      <c r="E1144" s="14"/>
      <c r="F1144" s="14"/>
      <c r="G1144" s="14"/>
      <c r="H1144" s="23"/>
      <c r="I1144" s="27"/>
      <c r="J1144" s="23"/>
      <c r="K1144" s="30"/>
      <c r="L1144" s="23"/>
      <c r="M1144" s="20"/>
      <c r="N1144" s="20"/>
      <c r="O1144" s="20"/>
      <c r="P1144" s="20"/>
    </row>
    <row r="1145">
      <c r="A1145" s="10"/>
      <c r="B1145" s="11"/>
      <c r="C1145" s="10"/>
      <c r="D1145" s="13"/>
      <c r="E1145" s="14"/>
      <c r="F1145" s="14"/>
      <c r="G1145" s="14"/>
      <c r="H1145" s="10"/>
      <c r="I1145" s="17"/>
      <c r="J1145" s="10"/>
      <c r="K1145" s="46"/>
      <c r="L1145" s="10"/>
      <c r="M1145" s="20"/>
      <c r="N1145" s="20"/>
      <c r="O1145" s="20"/>
      <c r="P1145" s="20"/>
    </row>
    <row r="1146">
      <c r="A1146" s="23"/>
      <c r="B1146" s="21"/>
      <c r="C1146" s="23"/>
      <c r="D1146" s="24"/>
      <c r="E1146" s="14"/>
      <c r="F1146" s="14"/>
      <c r="G1146" s="14"/>
      <c r="H1146" s="23"/>
      <c r="I1146" s="27"/>
      <c r="J1146" s="23"/>
      <c r="K1146" s="30"/>
      <c r="L1146" s="23"/>
      <c r="M1146" s="20"/>
      <c r="N1146" s="20"/>
      <c r="O1146" s="20"/>
      <c r="P1146" s="20"/>
    </row>
    <row r="1147">
      <c r="A1147" s="10"/>
      <c r="B1147" s="11"/>
      <c r="C1147" s="10"/>
      <c r="D1147" s="13"/>
      <c r="E1147" s="14"/>
      <c r="F1147" s="14"/>
      <c r="G1147" s="14"/>
      <c r="H1147" s="10"/>
      <c r="I1147" s="17"/>
      <c r="J1147" s="10"/>
      <c r="K1147" s="46"/>
      <c r="L1147" s="10"/>
      <c r="M1147" s="20"/>
      <c r="N1147" s="20"/>
      <c r="O1147" s="20"/>
      <c r="P1147" s="20"/>
    </row>
    <row r="1148">
      <c r="A1148" s="23"/>
      <c r="B1148" s="21"/>
      <c r="C1148" s="23"/>
      <c r="D1148" s="24"/>
      <c r="E1148" s="14"/>
      <c r="F1148" s="14"/>
      <c r="G1148" s="14"/>
      <c r="H1148" s="23"/>
      <c r="I1148" s="27"/>
      <c r="J1148" s="23"/>
      <c r="K1148" s="30"/>
      <c r="L1148" s="23"/>
      <c r="M1148" s="20"/>
      <c r="N1148" s="20"/>
      <c r="O1148" s="20"/>
      <c r="P1148" s="20"/>
    </row>
    <row r="1149">
      <c r="A1149" s="10"/>
      <c r="B1149" s="11"/>
      <c r="C1149" s="10"/>
      <c r="D1149" s="13"/>
      <c r="E1149" s="14"/>
      <c r="F1149" s="14"/>
      <c r="G1149" s="14"/>
      <c r="H1149" s="10"/>
      <c r="I1149" s="17"/>
      <c r="J1149" s="10"/>
      <c r="K1149" s="46"/>
      <c r="L1149" s="10"/>
      <c r="M1149" s="20"/>
      <c r="N1149" s="20"/>
      <c r="O1149" s="20"/>
      <c r="P1149" s="20"/>
    </row>
    <row r="1150">
      <c r="A1150" s="23"/>
      <c r="B1150" s="21"/>
      <c r="C1150" s="23"/>
      <c r="D1150" s="24"/>
      <c r="E1150" s="14"/>
      <c r="F1150" s="14"/>
      <c r="G1150" s="14"/>
      <c r="H1150" s="23"/>
      <c r="I1150" s="27"/>
      <c r="J1150" s="23"/>
      <c r="K1150" s="30"/>
      <c r="L1150" s="23"/>
      <c r="M1150" s="20"/>
      <c r="N1150" s="20"/>
      <c r="O1150" s="20"/>
      <c r="P1150" s="20"/>
    </row>
    <row r="1151">
      <c r="A1151" s="10"/>
      <c r="B1151" s="11"/>
      <c r="C1151" s="10"/>
      <c r="D1151" s="13"/>
      <c r="E1151" s="14"/>
      <c r="F1151" s="14"/>
      <c r="G1151" s="14"/>
      <c r="H1151" s="10"/>
      <c r="I1151" s="17"/>
      <c r="J1151" s="10"/>
      <c r="K1151" s="46"/>
      <c r="L1151" s="10"/>
      <c r="M1151" s="20"/>
      <c r="N1151" s="20"/>
      <c r="O1151" s="20"/>
      <c r="P1151" s="20"/>
    </row>
    <row r="1152">
      <c r="A1152" s="23"/>
      <c r="B1152" s="21"/>
      <c r="C1152" s="23"/>
      <c r="D1152" s="24"/>
      <c r="E1152" s="14"/>
      <c r="F1152" s="14"/>
      <c r="G1152" s="14"/>
      <c r="H1152" s="23"/>
      <c r="I1152" s="27"/>
      <c r="J1152" s="23"/>
      <c r="K1152" s="30"/>
      <c r="L1152" s="23"/>
      <c r="M1152" s="20"/>
      <c r="N1152" s="20"/>
      <c r="O1152" s="20"/>
      <c r="P1152" s="20"/>
    </row>
    <row r="1153">
      <c r="A1153" s="10"/>
      <c r="B1153" s="11"/>
      <c r="C1153" s="10"/>
      <c r="D1153" s="13"/>
      <c r="E1153" s="14"/>
      <c r="F1153" s="14"/>
      <c r="G1153" s="14"/>
      <c r="H1153" s="10"/>
      <c r="I1153" s="17"/>
      <c r="J1153" s="10"/>
      <c r="K1153" s="46"/>
      <c r="L1153" s="10"/>
      <c r="M1153" s="20"/>
      <c r="N1153" s="20"/>
      <c r="O1153" s="20"/>
      <c r="P1153" s="20"/>
    </row>
    <row r="1154">
      <c r="A1154" s="23"/>
      <c r="B1154" s="21"/>
      <c r="C1154" s="23"/>
      <c r="D1154" s="24"/>
      <c r="E1154" s="14"/>
      <c r="F1154" s="14"/>
      <c r="G1154" s="14"/>
      <c r="H1154" s="23"/>
      <c r="I1154" s="27"/>
      <c r="J1154" s="23"/>
      <c r="K1154" s="30"/>
      <c r="L1154" s="23"/>
      <c r="M1154" s="20"/>
      <c r="N1154" s="20"/>
      <c r="O1154" s="20"/>
      <c r="P1154" s="20"/>
    </row>
    <row r="1155">
      <c r="A1155" s="10"/>
      <c r="B1155" s="11"/>
      <c r="C1155" s="10"/>
      <c r="D1155" s="13"/>
      <c r="E1155" s="14"/>
      <c r="F1155" s="14"/>
      <c r="G1155" s="14"/>
      <c r="H1155" s="10"/>
      <c r="I1155" s="17"/>
      <c r="J1155" s="10"/>
      <c r="K1155" s="46"/>
      <c r="L1155" s="10"/>
      <c r="M1155" s="20"/>
      <c r="N1155" s="20"/>
      <c r="O1155" s="20"/>
      <c r="P1155" s="20"/>
    </row>
    <row r="1156">
      <c r="A1156" s="23"/>
      <c r="B1156" s="21"/>
      <c r="C1156" s="23"/>
      <c r="D1156" s="24"/>
      <c r="E1156" s="14"/>
      <c r="F1156" s="14"/>
      <c r="G1156" s="14"/>
      <c r="H1156" s="23"/>
      <c r="I1156" s="27"/>
      <c r="J1156" s="23"/>
      <c r="K1156" s="30"/>
      <c r="L1156" s="23"/>
      <c r="M1156" s="20"/>
      <c r="N1156" s="20"/>
      <c r="O1156" s="20"/>
      <c r="P1156" s="20"/>
    </row>
    <row r="1157">
      <c r="A1157" s="10"/>
      <c r="B1157" s="11"/>
      <c r="C1157" s="10"/>
      <c r="D1157" s="13"/>
      <c r="E1157" s="14"/>
      <c r="F1157" s="14"/>
      <c r="G1157" s="14"/>
      <c r="H1157" s="10"/>
      <c r="I1157" s="17"/>
      <c r="J1157" s="10"/>
      <c r="K1157" s="46"/>
      <c r="L1157" s="10"/>
      <c r="M1157" s="20"/>
      <c r="N1157" s="20"/>
      <c r="O1157" s="20"/>
      <c r="P1157" s="20"/>
    </row>
    <row r="1158">
      <c r="A1158" s="23"/>
      <c r="B1158" s="21"/>
      <c r="C1158" s="23"/>
      <c r="D1158" s="24"/>
      <c r="E1158" s="14"/>
      <c r="F1158" s="14"/>
      <c r="G1158" s="14"/>
      <c r="H1158" s="23"/>
      <c r="I1158" s="27"/>
      <c r="J1158" s="23"/>
      <c r="K1158" s="30"/>
      <c r="L1158" s="23"/>
      <c r="M1158" s="20"/>
      <c r="N1158" s="20"/>
      <c r="O1158" s="20"/>
      <c r="P1158" s="20"/>
    </row>
    <row r="1159">
      <c r="A1159" s="10"/>
      <c r="B1159" s="11"/>
      <c r="C1159" s="10"/>
      <c r="D1159" s="13"/>
      <c r="E1159" s="14"/>
      <c r="F1159" s="14"/>
      <c r="G1159" s="14"/>
      <c r="H1159" s="10"/>
      <c r="I1159" s="17"/>
      <c r="J1159" s="10"/>
      <c r="K1159" s="46"/>
      <c r="L1159" s="10"/>
      <c r="M1159" s="20"/>
      <c r="N1159" s="20"/>
      <c r="O1159" s="20"/>
      <c r="P1159" s="20"/>
    </row>
    <row r="1160">
      <c r="A1160" s="23"/>
      <c r="B1160" s="21"/>
      <c r="C1160" s="23"/>
      <c r="D1160" s="24"/>
      <c r="E1160" s="14"/>
      <c r="F1160" s="14"/>
      <c r="G1160" s="14"/>
      <c r="H1160" s="23"/>
      <c r="I1160" s="27"/>
      <c r="J1160" s="23"/>
      <c r="K1160" s="30"/>
      <c r="L1160" s="23"/>
      <c r="M1160" s="20"/>
      <c r="N1160" s="20"/>
      <c r="O1160" s="20"/>
      <c r="P1160" s="20"/>
    </row>
    <row r="1161">
      <c r="A1161" s="10"/>
      <c r="B1161" s="11"/>
      <c r="C1161" s="10"/>
      <c r="D1161" s="13"/>
      <c r="E1161" s="14"/>
      <c r="F1161" s="14"/>
      <c r="G1161" s="14"/>
      <c r="H1161" s="10"/>
      <c r="I1161" s="17"/>
      <c r="J1161" s="10"/>
      <c r="K1161" s="46"/>
      <c r="L1161" s="10"/>
      <c r="M1161" s="20"/>
      <c r="N1161" s="20"/>
      <c r="O1161" s="20"/>
      <c r="P1161" s="20"/>
    </row>
    <row r="1162">
      <c r="A1162" s="23"/>
      <c r="B1162" s="21"/>
      <c r="C1162" s="23"/>
      <c r="D1162" s="24"/>
      <c r="E1162" s="14"/>
      <c r="F1162" s="14"/>
      <c r="G1162" s="14"/>
      <c r="H1162" s="23"/>
      <c r="I1162" s="27"/>
      <c r="J1162" s="23"/>
      <c r="K1162" s="30"/>
      <c r="L1162" s="23"/>
      <c r="M1162" s="20"/>
      <c r="N1162" s="20"/>
      <c r="O1162" s="20"/>
      <c r="P1162" s="20"/>
    </row>
    <row r="1163">
      <c r="A1163" s="10"/>
      <c r="B1163" s="11"/>
      <c r="C1163" s="10"/>
      <c r="D1163" s="13"/>
      <c r="E1163" s="14"/>
      <c r="F1163" s="14"/>
      <c r="G1163" s="14"/>
      <c r="H1163" s="10"/>
      <c r="I1163" s="17"/>
      <c r="J1163" s="10"/>
      <c r="K1163" s="46"/>
      <c r="L1163" s="10"/>
      <c r="M1163" s="20"/>
      <c r="N1163" s="20"/>
      <c r="O1163" s="20"/>
      <c r="P1163" s="20"/>
    </row>
    <row r="1164">
      <c r="A1164" s="23"/>
      <c r="B1164" s="21"/>
      <c r="C1164" s="23"/>
      <c r="D1164" s="24"/>
      <c r="E1164" s="14"/>
      <c r="F1164" s="14"/>
      <c r="G1164" s="14"/>
      <c r="H1164" s="23"/>
      <c r="I1164" s="27"/>
      <c r="J1164" s="23"/>
      <c r="K1164" s="30"/>
      <c r="L1164" s="23"/>
      <c r="M1164" s="20"/>
      <c r="N1164" s="20"/>
      <c r="O1164" s="20"/>
      <c r="P1164" s="20"/>
    </row>
    <row r="1165">
      <c r="A1165" s="10"/>
      <c r="B1165" s="11"/>
      <c r="C1165" s="10"/>
      <c r="D1165" s="13"/>
      <c r="E1165" s="14"/>
      <c r="F1165" s="14"/>
      <c r="G1165" s="14"/>
      <c r="H1165" s="10"/>
      <c r="I1165" s="17"/>
      <c r="J1165" s="10"/>
      <c r="K1165" s="46"/>
      <c r="L1165" s="10"/>
      <c r="M1165" s="20"/>
      <c r="N1165" s="20"/>
      <c r="O1165" s="20"/>
      <c r="P1165" s="20"/>
    </row>
    <row r="1166">
      <c r="A1166" s="23"/>
      <c r="B1166" s="21"/>
      <c r="C1166" s="23"/>
      <c r="D1166" s="24"/>
      <c r="E1166" s="14"/>
      <c r="F1166" s="14"/>
      <c r="G1166" s="14"/>
      <c r="H1166" s="23"/>
      <c r="I1166" s="27"/>
      <c r="J1166" s="23"/>
      <c r="K1166" s="30"/>
      <c r="L1166" s="23"/>
      <c r="M1166" s="20"/>
      <c r="N1166" s="20"/>
      <c r="O1166" s="20"/>
      <c r="P1166" s="20"/>
    </row>
    <row r="1167">
      <c r="A1167" s="10"/>
      <c r="B1167" s="11"/>
      <c r="C1167" s="10"/>
      <c r="D1167" s="13"/>
      <c r="E1167" s="14"/>
      <c r="F1167" s="14"/>
      <c r="G1167" s="14"/>
      <c r="H1167" s="10"/>
      <c r="I1167" s="17"/>
      <c r="J1167" s="10"/>
      <c r="K1167" s="46"/>
      <c r="L1167" s="10"/>
      <c r="M1167" s="20"/>
      <c r="N1167" s="20"/>
      <c r="O1167" s="20"/>
      <c r="P1167" s="20"/>
    </row>
    <row r="1168">
      <c r="A1168" s="23"/>
      <c r="B1168" s="21"/>
      <c r="C1168" s="23"/>
      <c r="D1168" s="24"/>
      <c r="E1168" s="14"/>
      <c r="F1168" s="14"/>
      <c r="G1168" s="14"/>
      <c r="H1168" s="23"/>
      <c r="I1168" s="27"/>
      <c r="J1168" s="23"/>
      <c r="K1168" s="30"/>
      <c r="L1168" s="23"/>
      <c r="M1168" s="20"/>
      <c r="N1168" s="20"/>
      <c r="O1168" s="20"/>
      <c r="P1168" s="20"/>
    </row>
    <row r="1169">
      <c r="A1169" s="10"/>
      <c r="B1169" s="11"/>
      <c r="C1169" s="10"/>
      <c r="D1169" s="13"/>
      <c r="E1169" s="14"/>
      <c r="F1169" s="14"/>
      <c r="G1169" s="14"/>
      <c r="H1169" s="10"/>
      <c r="I1169" s="17"/>
      <c r="J1169" s="10"/>
      <c r="K1169" s="46"/>
      <c r="L1169" s="10"/>
      <c r="M1169" s="20"/>
      <c r="N1169" s="20"/>
      <c r="O1169" s="20"/>
      <c r="P1169" s="20"/>
    </row>
    <row r="1170">
      <c r="A1170" s="23"/>
      <c r="B1170" s="21"/>
      <c r="C1170" s="23"/>
      <c r="D1170" s="24"/>
      <c r="E1170" s="14"/>
      <c r="F1170" s="14"/>
      <c r="G1170" s="14"/>
      <c r="H1170" s="23"/>
      <c r="I1170" s="27"/>
      <c r="J1170" s="23"/>
      <c r="K1170" s="30"/>
      <c r="L1170" s="23"/>
      <c r="M1170" s="20"/>
      <c r="N1170" s="20"/>
      <c r="O1170" s="20"/>
      <c r="P1170" s="20"/>
    </row>
    <row r="1171">
      <c r="A1171" s="10"/>
      <c r="B1171" s="11"/>
      <c r="C1171" s="10"/>
      <c r="D1171" s="13"/>
      <c r="E1171" s="14"/>
      <c r="F1171" s="14"/>
      <c r="G1171" s="14"/>
      <c r="H1171" s="10"/>
      <c r="I1171" s="17"/>
      <c r="J1171" s="10"/>
      <c r="K1171" s="46"/>
      <c r="L1171" s="10"/>
      <c r="M1171" s="20"/>
      <c r="N1171" s="20"/>
      <c r="O1171" s="20"/>
      <c r="P1171" s="20"/>
    </row>
    <row r="1172">
      <c r="A1172" s="23"/>
      <c r="B1172" s="21"/>
      <c r="C1172" s="23"/>
      <c r="D1172" s="24"/>
      <c r="E1172" s="14"/>
      <c r="F1172" s="14"/>
      <c r="G1172" s="14"/>
      <c r="H1172" s="23"/>
      <c r="I1172" s="27"/>
      <c r="J1172" s="23"/>
      <c r="K1172" s="30"/>
      <c r="L1172" s="23"/>
      <c r="M1172" s="20"/>
      <c r="N1172" s="20"/>
      <c r="O1172" s="20"/>
      <c r="P1172" s="20"/>
    </row>
    <row r="1173">
      <c r="A1173" s="10"/>
      <c r="B1173" s="11"/>
      <c r="C1173" s="10"/>
      <c r="D1173" s="13"/>
      <c r="E1173" s="14"/>
      <c r="F1173" s="14"/>
      <c r="G1173" s="14"/>
      <c r="H1173" s="10"/>
      <c r="I1173" s="17"/>
      <c r="J1173" s="10"/>
      <c r="K1173" s="46"/>
      <c r="L1173" s="10"/>
      <c r="M1173" s="20"/>
      <c r="N1173" s="20"/>
      <c r="O1173" s="20"/>
      <c r="P1173" s="20"/>
    </row>
    <row r="1174">
      <c r="A1174" s="23"/>
      <c r="B1174" s="21"/>
      <c r="C1174" s="23"/>
      <c r="D1174" s="24"/>
      <c r="E1174" s="14"/>
      <c r="F1174" s="14"/>
      <c r="G1174" s="14"/>
      <c r="H1174" s="23"/>
      <c r="I1174" s="27"/>
      <c r="J1174" s="23"/>
      <c r="K1174" s="30"/>
      <c r="L1174" s="23"/>
      <c r="M1174" s="20"/>
      <c r="N1174" s="20"/>
      <c r="O1174" s="20"/>
      <c r="P1174" s="20"/>
    </row>
    <row r="1175">
      <c r="A1175" s="10"/>
      <c r="B1175" s="11"/>
      <c r="C1175" s="10"/>
      <c r="D1175" s="13"/>
      <c r="E1175" s="14"/>
      <c r="F1175" s="14"/>
      <c r="G1175" s="14"/>
      <c r="H1175" s="10"/>
      <c r="I1175" s="17"/>
      <c r="J1175" s="10"/>
      <c r="K1175" s="46"/>
      <c r="L1175" s="10"/>
      <c r="M1175" s="20"/>
      <c r="N1175" s="20"/>
      <c r="O1175" s="20"/>
      <c r="P1175" s="20"/>
    </row>
    <row r="1176">
      <c r="A1176" s="23"/>
      <c r="B1176" s="21"/>
      <c r="C1176" s="23"/>
      <c r="D1176" s="24"/>
      <c r="E1176" s="14"/>
      <c r="F1176" s="14"/>
      <c r="G1176" s="14"/>
      <c r="H1176" s="23"/>
      <c r="I1176" s="27"/>
      <c r="J1176" s="23"/>
      <c r="K1176" s="30"/>
      <c r="L1176" s="23"/>
      <c r="M1176" s="20"/>
      <c r="N1176" s="20"/>
      <c r="O1176" s="20"/>
      <c r="P1176" s="20"/>
    </row>
    <row r="1177">
      <c r="A1177" s="10"/>
      <c r="B1177" s="11"/>
      <c r="C1177" s="10"/>
      <c r="D1177" s="13"/>
      <c r="E1177" s="14"/>
      <c r="F1177" s="14"/>
      <c r="G1177" s="14"/>
      <c r="H1177" s="10"/>
      <c r="I1177" s="17"/>
      <c r="J1177" s="10"/>
      <c r="K1177" s="46"/>
      <c r="L1177" s="10"/>
      <c r="M1177" s="20"/>
      <c r="N1177" s="20"/>
      <c r="O1177" s="20"/>
      <c r="P1177" s="20"/>
    </row>
    <row r="1178">
      <c r="A1178" s="23"/>
      <c r="B1178" s="21"/>
      <c r="C1178" s="23"/>
      <c r="D1178" s="24"/>
      <c r="E1178" s="14"/>
      <c r="F1178" s="14"/>
      <c r="G1178" s="14"/>
      <c r="H1178" s="23"/>
      <c r="I1178" s="27"/>
      <c r="J1178" s="23"/>
      <c r="K1178" s="30"/>
      <c r="L1178" s="23"/>
      <c r="M1178" s="20"/>
      <c r="N1178" s="20"/>
      <c r="O1178" s="20"/>
      <c r="P1178" s="20"/>
    </row>
    <row r="1179">
      <c r="A1179" s="10"/>
      <c r="B1179" s="11"/>
      <c r="C1179" s="10"/>
      <c r="D1179" s="13"/>
      <c r="E1179" s="14"/>
      <c r="F1179" s="14"/>
      <c r="G1179" s="14"/>
      <c r="H1179" s="10"/>
      <c r="I1179" s="17"/>
      <c r="J1179" s="10"/>
      <c r="K1179" s="46"/>
      <c r="L1179" s="10"/>
      <c r="M1179" s="20"/>
      <c r="N1179" s="20"/>
      <c r="O1179" s="20"/>
      <c r="P1179" s="20"/>
    </row>
    <row r="1180">
      <c r="A1180" s="23"/>
      <c r="B1180" s="21"/>
      <c r="C1180" s="23"/>
      <c r="D1180" s="24"/>
      <c r="E1180" s="14"/>
      <c r="F1180" s="14"/>
      <c r="G1180" s="14"/>
      <c r="H1180" s="23"/>
      <c r="I1180" s="27"/>
      <c r="J1180" s="23"/>
      <c r="K1180" s="30"/>
      <c r="L1180" s="23"/>
      <c r="M1180" s="20"/>
      <c r="N1180" s="20"/>
      <c r="O1180" s="20"/>
      <c r="P1180" s="20"/>
    </row>
    <row r="1181">
      <c r="A1181" s="10"/>
      <c r="B1181" s="11"/>
      <c r="C1181" s="10"/>
      <c r="D1181" s="13"/>
      <c r="E1181" s="14"/>
      <c r="F1181" s="14"/>
      <c r="G1181" s="14"/>
      <c r="H1181" s="10"/>
      <c r="I1181" s="17"/>
      <c r="J1181" s="10"/>
      <c r="K1181" s="46"/>
      <c r="L1181" s="10"/>
      <c r="M1181" s="20"/>
      <c r="N1181" s="20"/>
      <c r="O1181" s="20"/>
      <c r="P1181" s="20"/>
    </row>
    <row r="1182">
      <c r="A1182" s="23"/>
      <c r="B1182" s="21"/>
      <c r="C1182" s="23"/>
      <c r="D1182" s="24"/>
      <c r="E1182" s="14"/>
      <c r="F1182" s="14"/>
      <c r="G1182" s="14"/>
      <c r="H1182" s="23"/>
      <c r="I1182" s="27"/>
      <c r="J1182" s="23"/>
      <c r="K1182" s="30"/>
      <c r="L1182" s="23"/>
      <c r="M1182" s="20"/>
      <c r="N1182" s="20"/>
      <c r="O1182" s="20"/>
      <c r="P1182" s="20"/>
    </row>
    <row r="1183">
      <c r="A1183" s="10"/>
      <c r="B1183" s="11"/>
      <c r="C1183" s="10"/>
      <c r="D1183" s="13"/>
      <c r="E1183" s="14"/>
      <c r="F1183" s="14"/>
      <c r="G1183" s="14"/>
      <c r="H1183" s="10"/>
      <c r="I1183" s="17"/>
      <c r="J1183" s="10"/>
      <c r="K1183" s="46"/>
      <c r="L1183" s="10"/>
      <c r="M1183" s="20"/>
      <c r="N1183" s="20"/>
      <c r="O1183" s="20"/>
      <c r="P1183" s="20"/>
    </row>
    <row r="1184">
      <c r="A1184" s="23"/>
      <c r="B1184" s="21"/>
      <c r="C1184" s="23"/>
      <c r="D1184" s="24"/>
      <c r="E1184" s="14"/>
      <c r="F1184" s="14"/>
      <c r="G1184" s="14"/>
      <c r="H1184" s="23"/>
      <c r="I1184" s="27"/>
      <c r="J1184" s="23"/>
      <c r="K1184" s="30"/>
      <c r="L1184" s="23"/>
      <c r="M1184" s="20"/>
      <c r="N1184" s="20"/>
      <c r="O1184" s="20"/>
      <c r="P1184" s="20"/>
    </row>
    <row r="1185">
      <c r="A1185" s="10"/>
      <c r="B1185" s="11"/>
      <c r="C1185" s="10"/>
      <c r="D1185" s="13"/>
      <c r="E1185" s="14"/>
      <c r="F1185" s="14"/>
      <c r="G1185" s="14"/>
      <c r="H1185" s="10"/>
      <c r="I1185" s="17"/>
      <c r="J1185" s="10"/>
      <c r="K1185" s="46"/>
      <c r="L1185" s="10"/>
      <c r="M1185" s="20"/>
      <c r="N1185" s="20"/>
      <c r="O1185" s="20"/>
      <c r="P1185" s="20"/>
    </row>
    <row r="1186">
      <c r="A1186" s="23"/>
      <c r="B1186" s="21"/>
      <c r="C1186" s="23"/>
      <c r="D1186" s="24"/>
      <c r="E1186" s="14"/>
      <c r="F1186" s="14"/>
      <c r="G1186" s="14"/>
      <c r="H1186" s="23"/>
      <c r="I1186" s="27"/>
      <c r="J1186" s="23"/>
      <c r="K1186" s="30"/>
      <c r="L1186" s="23"/>
      <c r="M1186" s="20"/>
      <c r="N1186" s="20"/>
      <c r="O1186" s="20"/>
      <c r="P1186" s="20"/>
    </row>
    <row r="1187">
      <c r="A1187" s="10"/>
      <c r="B1187" s="11"/>
      <c r="C1187" s="10"/>
      <c r="D1187" s="13"/>
      <c r="E1187" s="14"/>
      <c r="F1187" s="14"/>
      <c r="G1187" s="14"/>
      <c r="H1187" s="10"/>
      <c r="I1187" s="17"/>
      <c r="J1187" s="10"/>
      <c r="K1187" s="46"/>
      <c r="L1187" s="10"/>
      <c r="M1187" s="20"/>
      <c r="N1187" s="20"/>
      <c r="O1187" s="20"/>
      <c r="P1187" s="20"/>
    </row>
    <row r="1188">
      <c r="A1188" s="23"/>
      <c r="B1188" s="21"/>
      <c r="C1188" s="23"/>
      <c r="D1188" s="24"/>
      <c r="E1188" s="14"/>
      <c r="F1188" s="14"/>
      <c r="G1188" s="14"/>
      <c r="H1188" s="23"/>
      <c r="I1188" s="27"/>
      <c r="J1188" s="23"/>
      <c r="K1188" s="30"/>
      <c r="L1188" s="23"/>
      <c r="M1188" s="20"/>
      <c r="N1188" s="20"/>
      <c r="O1188" s="20"/>
      <c r="P1188" s="20"/>
    </row>
    <row r="1189">
      <c r="A1189" s="10"/>
      <c r="B1189" s="11"/>
      <c r="C1189" s="10"/>
      <c r="D1189" s="13"/>
      <c r="E1189" s="14"/>
      <c r="F1189" s="14"/>
      <c r="G1189" s="14"/>
      <c r="H1189" s="10"/>
      <c r="I1189" s="17"/>
      <c r="J1189" s="10"/>
      <c r="K1189" s="46"/>
      <c r="L1189" s="10"/>
      <c r="M1189" s="20"/>
      <c r="N1189" s="20"/>
      <c r="O1189" s="20"/>
      <c r="P1189" s="20"/>
    </row>
    <row r="1190">
      <c r="A1190" s="23"/>
      <c r="B1190" s="21"/>
      <c r="C1190" s="23"/>
      <c r="D1190" s="24"/>
      <c r="E1190" s="14"/>
      <c r="F1190" s="14"/>
      <c r="G1190" s="14"/>
      <c r="H1190" s="23"/>
      <c r="I1190" s="27"/>
      <c r="J1190" s="23"/>
      <c r="K1190" s="30"/>
      <c r="L1190" s="23"/>
      <c r="M1190" s="20"/>
      <c r="N1190" s="20"/>
      <c r="O1190" s="20"/>
      <c r="P1190" s="20"/>
    </row>
    <row r="1191">
      <c r="A1191" s="10"/>
      <c r="B1191" s="11"/>
      <c r="C1191" s="10"/>
      <c r="D1191" s="13"/>
      <c r="E1191" s="14"/>
      <c r="F1191" s="14"/>
      <c r="G1191" s="14"/>
      <c r="H1191" s="10"/>
      <c r="I1191" s="17"/>
      <c r="J1191" s="10"/>
      <c r="K1191" s="46"/>
      <c r="L1191" s="10"/>
      <c r="M1191" s="20"/>
      <c r="N1191" s="20"/>
      <c r="O1191" s="20"/>
      <c r="P1191" s="20"/>
    </row>
    <row r="1192">
      <c r="A1192" s="23"/>
      <c r="B1192" s="21"/>
      <c r="C1192" s="23"/>
      <c r="D1192" s="24"/>
      <c r="E1192" s="14"/>
      <c r="F1192" s="14"/>
      <c r="G1192" s="14"/>
      <c r="H1192" s="23"/>
      <c r="I1192" s="27"/>
      <c r="J1192" s="23"/>
      <c r="K1192" s="30"/>
      <c r="L1192" s="23"/>
      <c r="M1192" s="20"/>
      <c r="N1192" s="20"/>
      <c r="O1192" s="20"/>
      <c r="P1192" s="20"/>
    </row>
    <row r="1193">
      <c r="A1193" s="10"/>
      <c r="B1193" s="11"/>
      <c r="C1193" s="10"/>
      <c r="D1193" s="13"/>
      <c r="E1193" s="14"/>
      <c r="F1193" s="14"/>
      <c r="G1193" s="14"/>
      <c r="H1193" s="10"/>
      <c r="I1193" s="17"/>
      <c r="J1193" s="10"/>
      <c r="K1193" s="46"/>
      <c r="L1193" s="10"/>
      <c r="M1193" s="20"/>
      <c r="N1193" s="20"/>
      <c r="O1193" s="20"/>
      <c r="P1193" s="20"/>
    </row>
    <row r="1194">
      <c r="A1194" s="23"/>
      <c r="B1194" s="21"/>
      <c r="C1194" s="23"/>
      <c r="D1194" s="24"/>
      <c r="E1194" s="14"/>
      <c r="F1194" s="14"/>
      <c r="G1194" s="14"/>
      <c r="H1194" s="23"/>
      <c r="I1194" s="27"/>
      <c r="J1194" s="23"/>
      <c r="K1194" s="30"/>
      <c r="L1194" s="23"/>
      <c r="M1194" s="20"/>
      <c r="N1194" s="20"/>
      <c r="O1194" s="20"/>
      <c r="P1194" s="20"/>
    </row>
    <row r="1195">
      <c r="A1195" s="10"/>
      <c r="B1195" s="11"/>
      <c r="C1195" s="10"/>
      <c r="D1195" s="13"/>
      <c r="E1195" s="14"/>
      <c r="F1195" s="14"/>
      <c r="G1195" s="14"/>
      <c r="H1195" s="10"/>
      <c r="I1195" s="17"/>
      <c r="J1195" s="10"/>
      <c r="K1195" s="46"/>
      <c r="L1195" s="10"/>
      <c r="M1195" s="20"/>
      <c r="N1195" s="20"/>
      <c r="O1195" s="20"/>
      <c r="P1195" s="20"/>
    </row>
    <row r="1196">
      <c r="A1196" s="23"/>
      <c r="B1196" s="21"/>
      <c r="C1196" s="23"/>
      <c r="D1196" s="24"/>
      <c r="E1196" s="14"/>
      <c r="F1196" s="14"/>
      <c r="G1196" s="14"/>
      <c r="H1196" s="23"/>
      <c r="I1196" s="27"/>
      <c r="J1196" s="23"/>
      <c r="K1196" s="30"/>
      <c r="L1196" s="23"/>
      <c r="M1196" s="20"/>
      <c r="N1196" s="20"/>
      <c r="O1196" s="20"/>
      <c r="P1196" s="20"/>
    </row>
    <row r="1197">
      <c r="A1197" s="10"/>
      <c r="B1197" s="11"/>
      <c r="C1197" s="10"/>
      <c r="D1197" s="13"/>
      <c r="E1197" s="14"/>
      <c r="F1197" s="14"/>
      <c r="G1197" s="14"/>
      <c r="H1197" s="10"/>
      <c r="I1197" s="17"/>
      <c r="J1197" s="10"/>
      <c r="K1197" s="46"/>
      <c r="L1197" s="10"/>
      <c r="M1197" s="20"/>
      <c r="N1197" s="20"/>
      <c r="O1197" s="20"/>
      <c r="P1197" s="20"/>
    </row>
    <row r="1198">
      <c r="A1198" s="23"/>
      <c r="B1198" s="21"/>
      <c r="C1198" s="23"/>
      <c r="D1198" s="24"/>
      <c r="E1198" s="14"/>
      <c r="F1198" s="14"/>
      <c r="G1198" s="14"/>
      <c r="H1198" s="23"/>
      <c r="I1198" s="27"/>
      <c r="J1198" s="23"/>
      <c r="K1198" s="30"/>
      <c r="L1198" s="23"/>
      <c r="M1198" s="20"/>
      <c r="N1198" s="20"/>
      <c r="O1198" s="20"/>
      <c r="P1198" s="20"/>
    </row>
    <row r="1199">
      <c r="A1199" s="10"/>
      <c r="B1199" s="11"/>
      <c r="C1199" s="10"/>
      <c r="D1199" s="13"/>
      <c r="E1199" s="14"/>
      <c r="F1199" s="14"/>
      <c r="G1199" s="14"/>
      <c r="H1199" s="10"/>
      <c r="I1199" s="17"/>
      <c r="J1199" s="10"/>
      <c r="K1199" s="46"/>
      <c r="L1199" s="10"/>
      <c r="M1199" s="20"/>
      <c r="N1199" s="20"/>
      <c r="O1199" s="20"/>
      <c r="P1199" s="20"/>
    </row>
    <row r="1200">
      <c r="A1200" s="23"/>
      <c r="B1200" s="21"/>
      <c r="C1200" s="23"/>
      <c r="D1200" s="24"/>
      <c r="E1200" s="14"/>
      <c r="F1200" s="14"/>
      <c r="G1200" s="14"/>
      <c r="H1200" s="23"/>
      <c r="I1200" s="27"/>
      <c r="J1200" s="23"/>
      <c r="K1200" s="30"/>
      <c r="L1200" s="23"/>
      <c r="M1200" s="20"/>
      <c r="N1200" s="20"/>
      <c r="O1200" s="20"/>
      <c r="P1200" s="20"/>
    </row>
    <row r="1201">
      <c r="A1201" s="10"/>
      <c r="B1201" s="11"/>
      <c r="C1201" s="10"/>
      <c r="D1201" s="13"/>
      <c r="E1201" s="14"/>
      <c r="F1201" s="14"/>
      <c r="G1201" s="14"/>
      <c r="H1201" s="10"/>
      <c r="I1201" s="17"/>
      <c r="J1201" s="10"/>
      <c r="K1201" s="46"/>
      <c r="L1201" s="10"/>
      <c r="M1201" s="20"/>
      <c r="N1201" s="20"/>
      <c r="O1201" s="20"/>
      <c r="P1201" s="20"/>
    </row>
    <row r="1202">
      <c r="A1202" s="23"/>
      <c r="B1202" s="21"/>
      <c r="C1202" s="23"/>
      <c r="D1202" s="24"/>
      <c r="E1202" s="14"/>
      <c r="F1202" s="14"/>
      <c r="G1202" s="14"/>
      <c r="H1202" s="23"/>
      <c r="I1202" s="27"/>
      <c r="J1202" s="23"/>
      <c r="K1202" s="30"/>
      <c r="L1202" s="23"/>
      <c r="M1202" s="20"/>
      <c r="N1202" s="20"/>
      <c r="O1202" s="20"/>
      <c r="P1202" s="20"/>
    </row>
    <row r="1203">
      <c r="A1203" s="10"/>
      <c r="B1203" s="11"/>
      <c r="C1203" s="10"/>
      <c r="D1203" s="13"/>
      <c r="E1203" s="14"/>
      <c r="F1203" s="14"/>
      <c r="G1203" s="14"/>
      <c r="H1203" s="10"/>
      <c r="I1203" s="17"/>
      <c r="J1203" s="10"/>
      <c r="K1203" s="46"/>
      <c r="L1203" s="10"/>
      <c r="M1203" s="20"/>
      <c r="N1203" s="20"/>
      <c r="O1203" s="20"/>
      <c r="P1203" s="20"/>
    </row>
    <row r="1204">
      <c r="A1204" s="23"/>
      <c r="B1204" s="21"/>
      <c r="C1204" s="23"/>
      <c r="D1204" s="24"/>
      <c r="E1204" s="14"/>
      <c r="F1204" s="14"/>
      <c r="G1204" s="14"/>
      <c r="H1204" s="23"/>
      <c r="I1204" s="27"/>
      <c r="J1204" s="23"/>
      <c r="K1204" s="30"/>
      <c r="L1204" s="23"/>
      <c r="M1204" s="20"/>
      <c r="N1204" s="20"/>
      <c r="O1204" s="20"/>
      <c r="P1204" s="20"/>
    </row>
    <row r="1205">
      <c r="A1205" s="10"/>
      <c r="B1205" s="11"/>
      <c r="C1205" s="10"/>
      <c r="D1205" s="13"/>
      <c r="E1205" s="14"/>
      <c r="F1205" s="14"/>
      <c r="G1205" s="14"/>
      <c r="H1205" s="10"/>
      <c r="I1205" s="17"/>
      <c r="J1205" s="10"/>
      <c r="K1205" s="46"/>
      <c r="L1205" s="10"/>
      <c r="M1205" s="20"/>
      <c r="N1205" s="20"/>
      <c r="O1205" s="20"/>
      <c r="P1205" s="20"/>
    </row>
    <row r="1206">
      <c r="A1206" s="23"/>
      <c r="B1206" s="21"/>
      <c r="C1206" s="23"/>
      <c r="D1206" s="24"/>
      <c r="E1206" s="14"/>
      <c r="F1206" s="14"/>
      <c r="G1206" s="14"/>
      <c r="H1206" s="23"/>
      <c r="I1206" s="27"/>
      <c r="J1206" s="23"/>
      <c r="K1206" s="30"/>
      <c r="L1206" s="23"/>
      <c r="M1206" s="20"/>
      <c r="N1206" s="20"/>
      <c r="O1206" s="20"/>
      <c r="P1206" s="20"/>
    </row>
    <row r="1207">
      <c r="A1207" s="10"/>
      <c r="B1207" s="11"/>
      <c r="C1207" s="10"/>
      <c r="D1207" s="13"/>
      <c r="E1207" s="14"/>
      <c r="F1207" s="14"/>
      <c r="G1207" s="14"/>
      <c r="H1207" s="10"/>
      <c r="I1207" s="17"/>
      <c r="J1207" s="10"/>
      <c r="K1207" s="46"/>
      <c r="L1207" s="10"/>
      <c r="M1207" s="20"/>
      <c r="N1207" s="20"/>
      <c r="O1207" s="20"/>
      <c r="P1207" s="20"/>
    </row>
    <row r="1208">
      <c r="A1208" s="23"/>
      <c r="B1208" s="21"/>
      <c r="C1208" s="23"/>
      <c r="D1208" s="24"/>
      <c r="E1208" s="14"/>
      <c r="F1208" s="14"/>
      <c r="G1208" s="14"/>
      <c r="H1208" s="23"/>
      <c r="I1208" s="27"/>
      <c r="J1208" s="23"/>
      <c r="K1208" s="30"/>
      <c r="L1208" s="23"/>
      <c r="M1208" s="20"/>
      <c r="N1208" s="20"/>
      <c r="O1208" s="20"/>
      <c r="P1208" s="20"/>
    </row>
    <row r="1209">
      <c r="A1209" s="10"/>
      <c r="B1209" s="11"/>
      <c r="C1209" s="10"/>
      <c r="D1209" s="13"/>
      <c r="E1209" s="14"/>
      <c r="F1209" s="14"/>
      <c r="G1209" s="14"/>
      <c r="H1209" s="10"/>
      <c r="I1209" s="17"/>
      <c r="J1209" s="10"/>
      <c r="K1209" s="46"/>
      <c r="L1209" s="10"/>
      <c r="M1209" s="20"/>
      <c r="N1209" s="20"/>
      <c r="O1209" s="20"/>
      <c r="P1209" s="20"/>
    </row>
    <row r="1210">
      <c r="A1210" s="23"/>
      <c r="B1210" s="21"/>
      <c r="C1210" s="23"/>
      <c r="D1210" s="24"/>
      <c r="E1210" s="14"/>
      <c r="F1210" s="14"/>
      <c r="G1210" s="14"/>
      <c r="H1210" s="23"/>
      <c r="I1210" s="27"/>
      <c r="J1210" s="23"/>
      <c r="K1210" s="30"/>
      <c r="L1210" s="23"/>
      <c r="M1210" s="20"/>
      <c r="N1210" s="20"/>
      <c r="O1210" s="20"/>
      <c r="P1210" s="20"/>
    </row>
    <row r="1211">
      <c r="A1211" s="10"/>
      <c r="B1211" s="11"/>
      <c r="C1211" s="10"/>
      <c r="D1211" s="13"/>
      <c r="E1211" s="14"/>
      <c r="F1211" s="14"/>
      <c r="G1211" s="14"/>
      <c r="H1211" s="10"/>
      <c r="I1211" s="17"/>
      <c r="J1211" s="10"/>
      <c r="K1211" s="46"/>
      <c r="L1211" s="10"/>
      <c r="M1211" s="20"/>
      <c r="N1211" s="20"/>
      <c r="O1211" s="20"/>
      <c r="P1211" s="20"/>
    </row>
    <row r="1212">
      <c r="A1212" s="23"/>
      <c r="B1212" s="21"/>
      <c r="C1212" s="23"/>
      <c r="D1212" s="24"/>
      <c r="E1212" s="14"/>
      <c r="F1212" s="14"/>
      <c r="G1212" s="14"/>
      <c r="H1212" s="23"/>
      <c r="I1212" s="27"/>
      <c r="J1212" s="23"/>
      <c r="K1212" s="30"/>
      <c r="L1212" s="23"/>
      <c r="M1212" s="20"/>
      <c r="N1212" s="20"/>
      <c r="O1212" s="20"/>
      <c r="P1212" s="20"/>
    </row>
    <row r="1213">
      <c r="A1213" s="10"/>
      <c r="B1213" s="11"/>
      <c r="C1213" s="10"/>
      <c r="D1213" s="13"/>
      <c r="E1213" s="14"/>
      <c r="F1213" s="14"/>
      <c r="G1213" s="14"/>
      <c r="H1213" s="10"/>
      <c r="I1213" s="17"/>
      <c r="J1213" s="10"/>
      <c r="K1213" s="46"/>
      <c r="L1213" s="10"/>
      <c r="M1213" s="20"/>
      <c r="N1213" s="20"/>
      <c r="O1213" s="20"/>
      <c r="P1213" s="20"/>
    </row>
    <row r="1214">
      <c r="A1214" s="23"/>
      <c r="B1214" s="21"/>
      <c r="C1214" s="23"/>
      <c r="D1214" s="24"/>
      <c r="E1214" s="14"/>
      <c r="F1214" s="14"/>
      <c r="G1214" s="14"/>
      <c r="H1214" s="23"/>
      <c r="I1214" s="27"/>
      <c r="J1214" s="23"/>
      <c r="K1214" s="30"/>
      <c r="L1214" s="23"/>
      <c r="M1214" s="20"/>
      <c r="N1214" s="20"/>
      <c r="O1214" s="20"/>
      <c r="P1214" s="20"/>
    </row>
    <row r="1215">
      <c r="A1215" s="10"/>
      <c r="B1215" s="11"/>
      <c r="C1215" s="10"/>
      <c r="D1215" s="13"/>
      <c r="E1215" s="14"/>
      <c r="F1215" s="14"/>
      <c r="G1215" s="14"/>
      <c r="H1215" s="10"/>
      <c r="I1215" s="17"/>
      <c r="J1215" s="10"/>
      <c r="K1215" s="46"/>
      <c r="L1215" s="10"/>
      <c r="M1215" s="20"/>
      <c r="N1215" s="20"/>
      <c r="O1215" s="20"/>
      <c r="P1215" s="20"/>
    </row>
    <row r="1216">
      <c r="A1216" s="23"/>
      <c r="B1216" s="21"/>
      <c r="C1216" s="23"/>
      <c r="D1216" s="24"/>
      <c r="E1216" s="14"/>
      <c r="F1216" s="14"/>
      <c r="G1216" s="14"/>
      <c r="H1216" s="23"/>
      <c r="I1216" s="27"/>
      <c r="J1216" s="23"/>
      <c r="K1216" s="30"/>
      <c r="L1216" s="23"/>
      <c r="M1216" s="20"/>
      <c r="N1216" s="20"/>
      <c r="O1216" s="20"/>
      <c r="P1216" s="20"/>
    </row>
    <row r="1217">
      <c r="A1217" s="10"/>
      <c r="B1217" s="11"/>
      <c r="C1217" s="10"/>
      <c r="D1217" s="13"/>
      <c r="E1217" s="14"/>
      <c r="F1217" s="14"/>
      <c r="G1217" s="14"/>
      <c r="H1217" s="10"/>
      <c r="I1217" s="17"/>
      <c r="J1217" s="10"/>
      <c r="K1217" s="46"/>
      <c r="L1217" s="10"/>
      <c r="M1217" s="20"/>
      <c r="N1217" s="20"/>
      <c r="O1217" s="20"/>
      <c r="P1217" s="20"/>
    </row>
    <row r="1218">
      <c r="A1218" s="23"/>
      <c r="B1218" s="21"/>
      <c r="C1218" s="23"/>
      <c r="D1218" s="24"/>
      <c r="E1218" s="14"/>
      <c r="F1218" s="14"/>
      <c r="G1218" s="14"/>
      <c r="H1218" s="23"/>
      <c r="I1218" s="27"/>
      <c r="J1218" s="23"/>
      <c r="K1218" s="30"/>
      <c r="L1218" s="23"/>
      <c r="M1218" s="20"/>
      <c r="N1218" s="20"/>
      <c r="O1218" s="20"/>
      <c r="P1218" s="20"/>
    </row>
    <row r="1219">
      <c r="A1219" s="10"/>
      <c r="B1219" s="11"/>
      <c r="C1219" s="10"/>
      <c r="D1219" s="13"/>
      <c r="E1219" s="14"/>
      <c r="F1219" s="14"/>
      <c r="G1219" s="14"/>
      <c r="H1219" s="10"/>
      <c r="I1219" s="17"/>
      <c r="J1219" s="10"/>
      <c r="K1219" s="46"/>
      <c r="L1219" s="10"/>
      <c r="M1219" s="20"/>
      <c r="N1219" s="20"/>
      <c r="O1219" s="20"/>
      <c r="P1219" s="20"/>
    </row>
    <row r="1220">
      <c r="A1220" s="23"/>
      <c r="B1220" s="21"/>
      <c r="C1220" s="23"/>
      <c r="D1220" s="24"/>
      <c r="E1220" s="14"/>
      <c r="F1220" s="14"/>
      <c r="G1220" s="14"/>
      <c r="H1220" s="23"/>
      <c r="I1220" s="27"/>
      <c r="J1220" s="23"/>
      <c r="K1220" s="30"/>
      <c r="L1220" s="23"/>
      <c r="M1220" s="20"/>
      <c r="N1220" s="20"/>
      <c r="O1220" s="20"/>
      <c r="P1220" s="20"/>
    </row>
    <row r="1221">
      <c r="A1221" s="10"/>
      <c r="B1221" s="11"/>
      <c r="C1221" s="10"/>
      <c r="D1221" s="13"/>
      <c r="E1221" s="14"/>
      <c r="F1221" s="14"/>
      <c r="G1221" s="14"/>
      <c r="H1221" s="10"/>
      <c r="I1221" s="17"/>
      <c r="J1221" s="10"/>
      <c r="K1221" s="46"/>
      <c r="L1221" s="10"/>
      <c r="M1221" s="20"/>
      <c r="N1221" s="20"/>
      <c r="O1221" s="20"/>
      <c r="P1221" s="20"/>
    </row>
    <row r="1222">
      <c r="A1222" s="23"/>
      <c r="B1222" s="21"/>
      <c r="C1222" s="23"/>
      <c r="D1222" s="24"/>
      <c r="E1222" s="14"/>
      <c r="F1222" s="14"/>
      <c r="G1222" s="14"/>
      <c r="H1222" s="23"/>
      <c r="I1222" s="27"/>
      <c r="J1222" s="23"/>
      <c r="K1222" s="30"/>
      <c r="L1222" s="23"/>
      <c r="M1222" s="20"/>
      <c r="N1222" s="20"/>
      <c r="O1222" s="20"/>
      <c r="P1222" s="20"/>
    </row>
    <row r="1223">
      <c r="A1223" s="10"/>
      <c r="B1223" s="11"/>
      <c r="C1223" s="10"/>
      <c r="D1223" s="13"/>
      <c r="E1223" s="14"/>
      <c r="F1223" s="14"/>
      <c r="G1223" s="14"/>
      <c r="H1223" s="10"/>
      <c r="I1223" s="17"/>
      <c r="J1223" s="10"/>
      <c r="K1223" s="46"/>
      <c r="L1223" s="10"/>
      <c r="M1223" s="20"/>
      <c r="N1223" s="20"/>
      <c r="O1223" s="20"/>
      <c r="P1223" s="20"/>
    </row>
    <row r="1224">
      <c r="A1224" s="23"/>
      <c r="B1224" s="21"/>
      <c r="C1224" s="23"/>
      <c r="D1224" s="24"/>
      <c r="E1224" s="14"/>
      <c r="F1224" s="14"/>
      <c r="G1224" s="14"/>
      <c r="H1224" s="23"/>
      <c r="I1224" s="27"/>
      <c r="J1224" s="23"/>
      <c r="K1224" s="30"/>
      <c r="L1224" s="23"/>
      <c r="M1224" s="20"/>
      <c r="N1224" s="20"/>
      <c r="O1224" s="20"/>
      <c r="P1224" s="20"/>
    </row>
    <row r="1225">
      <c r="A1225" s="10"/>
      <c r="B1225" s="11"/>
      <c r="C1225" s="10"/>
      <c r="D1225" s="13"/>
      <c r="E1225" s="14"/>
      <c r="F1225" s="14"/>
      <c r="G1225" s="14"/>
      <c r="H1225" s="10"/>
      <c r="I1225" s="17"/>
      <c r="J1225" s="10"/>
      <c r="K1225" s="46"/>
      <c r="L1225" s="10"/>
      <c r="M1225" s="20"/>
      <c r="N1225" s="20"/>
      <c r="O1225" s="20"/>
      <c r="P1225" s="20"/>
    </row>
    <row r="1226">
      <c r="A1226" s="23"/>
      <c r="B1226" s="21"/>
      <c r="C1226" s="23"/>
      <c r="D1226" s="24"/>
      <c r="E1226" s="14"/>
      <c r="F1226" s="14"/>
      <c r="G1226" s="14"/>
      <c r="H1226" s="23"/>
      <c r="I1226" s="27"/>
      <c r="J1226" s="23"/>
      <c r="K1226" s="30"/>
      <c r="L1226" s="23"/>
      <c r="M1226" s="20"/>
      <c r="N1226" s="20"/>
      <c r="O1226" s="20"/>
      <c r="P1226" s="20"/>
    </row>
    <row r="1227">
      <c r="A1227" s="10"/>
      <c r="B1227" s="11"/>
      <c r="C1227" s="10"/>
      <c r="D1227" s="13"/>
      <c r="E1227" s="14"/>
      <c r="F1227" s="14"/>
      <c r="G1227" s="14"/>
      <c r="H1227" s="10"/>
      <c r="I1227" s="17"/>
      <c r="J1227" s="10"/>
      <c r="K1227" s="46"/>
      <c r="L1227" s="10"/>
      <c r="M1227" s="20"/>
      <c r="N1227" s="20"/>
      <c r="O1227" s="20"/>
      <c r="P1227" s="20"/>
    </row>
    <row r="1228">
      <c r="A1228" s="23"/>
      <c r="B1228" s="21"/>
      <c r="C1228" s="23"/>
      <c r="D1228" s="24"/>
      <c r="E1228" s="14"/>
      <c r="F1228" s="14"/>
      <c r="G1228" s="14"/>
      <c r="H1228" s="23"/>
      <c r="I1228" s="27"/>
      <c r="J1228" s="23"/>
      <c r="K1228" s="30"/>
      <c r="L1228" s="23"/>
      <c r="M1228" s="20"/>
      <c r="N1228" s="20"/>
      <c r="O1228" s="20"/>
      <c r="P1228" s="20"/>
    </row>
    <row r="1229">
      <c r="A1229" s="10"/>
      <c r="B1229" s="11"/>
      <c r="C1229" s="10"/>
      <c r="D1229" s="13"/>
      <c r="E1229" s="14"/>
      <c r="F1229" s="14"/>
      <c r="G1229" s="14"/>
      <c r="H1229" s="10"/>
      <c r="I1229" s="17"/>
      <c r="J1229" s="10"/>
      <c r="K1229" s="46"/>
      <c r="L1229" s="10"/>
      <c r="M1229" s="20"/>
      <c r="N1229" s="20"/>
      <c r="O1229" s="20"/>
      <c r="P1229" s="20"/>
    </row>
    <row r="1230">
      <c r="A1230" s="23"/>
      <c r="B1230" s="21"/>
      <c r="C1230" s="23"/>
      <c r="D1230" s="24"/>
      <c r="E1230" s="14"/>
      <c r="F1230" s="14"/>
      <c r="G1230" s="14"/>
      <c r="H1230" s="23"/>
      <c r="I1230" s="27"/>
      <c r="J1230" s="23"/>
      <c r="K1230" s="30"/>
      <c r="L1230" s="23"/>
      <c r="M1230" s="20"/>
      <c r="N1230" s="20"/>
      <c r="O1230" s="20"/>
      <c r="P1230" s="20"/>
    </row>
    <row r="1231">
      <c r="A1231" s="10"/>
      <c r="B1231" s="11"/>
      <c r="C1231" s="10"/>
      <c r="D1231" s="13"/>
      <c r="E1231" s="14"/>
      <c r="F1231" s="14"/>
      <c r="G1231" s="14"/>
      <c r="H1231" s="10"/>
      <c r="I1231" s="17"/>
      <c r="J1231" s="10"/>
      <c r="K1231" s="46"/>
      <c r="L1231" s="10"/>
      <c r="M1231" s="20"/>
      <c r="N1231" s="20"/>
      <c r="O1231" s="20"/>
      <c r="P1231" s="20"/>
    </row>
    <row r="1232">
      <c r="A1232" s="23"/>
      <c r="B1232" s="21"/>
      <c r="C1232" s="23"/>
      <c r="D1232" s="24"/>
      <c r="E1232" s="14"/>
      <c r="F1232" s="14"/>
      <c r="G1232" s="14"/>
      <c r="H1232" s="23"/>
      <c r="I1232" s="27"/>
      <c r="J1232" s="23"/>
      <c r="K1232" s="30"/>
      <c r="L1232" s="23"/>
      <c r="M1232" s="20"/>
      <c r="N1232" s="20"/>
      <c r="O1232" s="20"/>
      <c r="P1232" s="20"/>
    </row>
    <row r="1233">
      <c r="A1233" s="10"/>
      <c r="B1233" s="11"/>
      <c r="C1233" s="10"/>
      <c r="D1233" s="13"/>
      <c r="E1233" s="14"/>
      <c r="F1233" s="14"/>
      <c r="G1233" s="14"/>
      <c r="H1233" s="10"/>
      <c r="I1233" s="17"/>
      <c r="J1233" s="10"/>
      <c r="K1233" s="46"/>
      <c r="L1233" s="10"/>
      <c r="M1233" s="20"/>
      <c r="N1233" s="20"/>
      <c r="O1233" s="20"/>
      <c r="P1233" s="20"/>
    </row>
    <row r="1234">
      <c r="A1234" s="23"/>
      <c r="B1234" s="21"/>
      <c r="C1234" s="23"/>
      <c r="D1234" s="24"/>
      <c r="E1234" s="14"/>
      <c r="F1234" s="14"/>
      <c r="G1234" s="14"/>
      <c r="H1234" s="23"/>
      <c r="I1234" s="27"/>
      <c r="J1234" s="23"/>
      <c r="K1234" s="30"/>
      <c r="L1234" s="23"/>
      <c r="M1234" s="20"/>
      <c r="N1234" s="20"/>
      <c r="O1234" s="20"/>
      <c r="P1234" s="20"/>
    </row>
    <row r="1235">
      <c r="A1235" s="10"/>
      <c r="B1235" s="11"/>
      <c r="C1235" s="10"/>
      <c r="D1235" s="13"/>
      <c r="E1235" s="14"/>
      <c r="F1235" s="14"/>
      <c r="G1235" s="14"/>
      <c r="H1235" s="10"/>
      <c r="I1235" s="17"/>
      <c r="J1235" s="10"/>
      <c r="K1235" s="46"/>
      <c r="L1235" s="10"/>
      <c r="M1235" s="20"/>
      <c r="N1235" s="20"/>
      <c r="O1235" s="20"/>
      <c r="P1235" s="20"/>
    </row>
    <row r="1236">
      <c r="A1236" s="23"/>
      <c r="B1236" s="21"/>
      <c r="C1236" s="23"/>
      <c r="D1236" s="24"/>
      <c r="E1236" s="14"/>
      <c r="F1236" s="14"/>
      <c r="G1236" s="14"/>
      <c r="H1236" s="23"/>
      <c r="I1236" s="27"/>
      <c r="J1236" s="23"/>
      <c r="K1236" s="30"/>
      <c r="L1236" s="23"/>
      <c r="M1236" s="20"/>
      <c r="N1236" s="20"/>
      <c r="O1236" s="20"/>
      <c r="P1236" s="20"/>
    </row>
    <row r="1237">
      <c r="A1237" s="10"/>
      <c r="B1237" s="11"/>
      <c r="C1237" s="10"/>
      <c r="D1237" s="13"/>
      <c r="E1237" s="14"/>
      <c r="F1237" s="14"/>
      <c r="G1237" s="14"/>
      <c r="H1237" s="10"/>
      <c r="I1237" s="17"/>
      <c r="J1237" s="10"/>
      <c r="K1237" s="46"/>
      <c r="L1237" s="10"/>
      <c r="M1237" s="20"/>
      <c r="N1237" s="20"/>
      <c r="O1237" s="20"/>
      <c r="P1237" s="20"/>
    </row>
    <row r="1238">
      <c r="A1238" s="23"/>
      <c r="B1238" s="21"/>
      <c r="C1238" s="23"/>
      <c r="D1238" s="24"/>
      <c r="E1238" s="14"/>
      <c r="F1238" s="14"/>
      <c r="G1238" s="14"/>
      <c r="H1238" s="23"/>
      <c r="I1238" s="27"/>
      <c r="J1238" s="23"/>
      <c r="K1238" s="30"/>
      <c r="L1238" s="23"/>
      <c r="M1238" s="20"/>
      <c r="N1238" s="20"/>
      <c r="O1238" s="20"/>
      <c r="P1238" s="20"/>
    </row>
    <row r="1239">
      <c r="A1239" s="10"/>
      <c r="B1239" s="11"/>
      <c r="C1239" s="10"/>
      <c r="D1239" s="13"/>
      <c r="E1239" s="14"/>
      <c r="F1239" s="14"/>
      <c r="G1239" s="14"/>
      <c r="H1239" s="10"/>
      <c r="I1239" s="17"/>
      <c r="J1239" s="10"/>
      <c r="K1239" s="46"/>
      <c r="L1239" s="10"/>
      <c r="M1239" s="20"/>
      <c r="N1239" s="20"/>
      <c r="O1239" s="20"/>
      <c r="P1239" s="20"/>
    </row>
    <row r="1240">
      <c r="A1240" s="23"/>
      <c r="B1240" s="21"/>
      <c r="C1240" s="23"/>
      <c r="D1240" s="24"/>
      <c r="E1240" s="14"/>
      <c r="F1240" s="14"/>
      <c r="G1240" s="14"/>
      <c r="H1240" s="23"/>
      <c r="I1240" s="27"/>
      <c r="J1240" s="23"/>
      <c r="K1240" s="30"/>
      <c r="L1240" s="23"/>
      <c r="M1240" s="20"/>
      <c r="N1240" s="20"/>
      <c r="O1240" s="20"/>
      <c r="P1240" s="20"/>
    </row>
    <row r="1241">
      <c r="A1241" s="10"/>
      <c r="B1241" s="11"/>
      <c r="C1241" s="10"/>
      <c r="D1241" s="13"/>
      <c r="E1241" s="14"/>
      <c r="F1241" s="14"/>
      <c r="G1241" s="14"/>
      <c r="H1241" s="10"/>
      <c r="I1241" s="17"/>
      <c r="J1241" s="10"/>
      <c r="K1241" s="46"/>
      <c r="L1241" s="10"/>
      <c r="M1241" s="20"/>
      <c r="N1241" s="20"/>
      <c r="O1241" s="20"/>
      <c r="P1241" s="20"/>
    </row>
    <row r="1242">
      <c r="A1242" s="23"/>
      <c r="B1242" s="21"/>
      <c r="C1242" s="23"/>
      <c r="D1242" s="24"/>
      <c r="E1242" s="14"/>
      <c r="F1242" s="14"/>
      <c r="G1242" s="14"/>
      <c r="H1242" s="23"/>
      <c r="I1242" s="27"/>
      <c r="J1242" s="23"/>
      <c r="K1242" s="30"/>
      <c r="L1242" s="23"/>
      <c r="M1242" s="20"/>
      <c r="N1242" s="20"/>
      <c r="O1242" s="20"/>
      <c r="P1242" s="20"/>
    </row>
    <row r="1243">
      <c r="A1243" s="10"/>
      <c r="B1243" s="11"/>
      <c r="C1243" s="10"/>
      <c r="D1243" s="13"/>
      <c r="E1243" s="14"/>
      <c r="F1243" s="14"/>
      <c r="G1243" s="14"/>
      <c r="H1243" s="10"/>
      <c r="I1243" s="17"/>
      <c r="J1243" s="10"/>
      <c r="K1243" s="46"/>
      <c r="L1243" s="10"/>
      <c r="M1243" s="20"/>
      <c r="N1243" s="20"/>
      <c r="O1243" s="20"/>
      <c r="P1243" s="20"/>
    </row>
    <row r="1244">
      <c r="A1244" s="23"/>
      <c r="B1244" s="21"/>
      <c r="C1244" s="23"/>
      <c r="D1244" s="24"/>
      <c r="E1244" s="14"/>
      <c r="F1244" s="14"/>
      <c r="G1244" s="14"/>
      <c r="H1244" s="23"/>
      <c r="I1244" s="27"/>
      <c r="J1244" s="23"/>
      <c r="K1244" s="30"/>
      <c r="L1244" s="23"/>
      <c r="M1244" s="20"/>
      <c r="N1244" s="20"/>
      <c r="O1244" s="20"/>
      <c r="P1244" s="20"/>
    </row>
    <row r="1245">
      <c r="A1245" s="10"/>
      <c r="B1245" s="11"/>
      <c r="C1245" s="10"/>
      <c r="D1245" s="13"/>
      <c r="E1245" s="14"/>
      <c r="F1245" s="14"/>
      <c r="G1245" s="14"/>
      <c r="H1245" s="10"/>
      <c r="I1245" s="17"/>
      <c r="J1245" s="10"/>
      <c r="K1245" s="46"/>
      <c r="L1245" s="10"/>
      <c r="M1245" s="20"/>
      <c r="N1245" s="20"/>
      <c r="O1245" s="20"/>
      <c r="P1245" s="20"/>
    </row>
    <row r="1246">
      <c r="A1246" s="23"/>
      <c r="B1246" s="21"/>
      <c r="C1246" s="23"/>
      <c r="D1246" s="24"/>
      <c r="E1246" s="14"/>
      <c r="F1246" s="14"/>
      <c r="G1246" s="14"/>
      <c r="H1246" s="23"/>
      <c r="I1246" s="27"/>
      <c r="J1246" s="23"/>
      <c r="K1246" s="30"/>
      <c r="L1246" s="23"/>
      <c r="M1246" s="20"/>
      <c r="N1246" s="20"/>
      <c r="O1246" s="20"/>
      <c r="P1246" s="20"/>
    </row>
    <row r="1247">
      <c r="A1247" s="10"/>
      <c r="B1247" s="11"/>
      <c r="C1247" s="10"/>
      <c r="D1247" s="13"/>
      <c r="E1247" s="14"/>
      <c r="F1247" s="14"/>
      <c r="G1247" s="14"/>
      <c r="H1247" s="10"/>
      <c r="I1247" s="17"/>
      <c r="J1247" s="10"/>
      <c r="K1247" s="46"/>
      <c r="L1247" s="10"/>
      <c r="M1247" s="20"/>
      <c r="N1247" s="20"/>
      <c r="O1247" s="20"/>
      <c r="P1247" s="20"/>
    </row>
    <row r="1248">
      <c r="A1248" s="23"/>
      <c r="B1248" s="21"/>
      <c r="C1248" s="23"/>
      <c r="D1248" s="24"/>
      <c r="E1248" s="14"/>
      <c r="F1248" s="14"/>
      <c r="G1248" s="14"/>
      <c r="H1248" s="23"/>
      <c r="I1248" s="27"/>
      <c r="J1248" s="23"/>
      <c r="K1248" s="30"/>
      <c r="L1248" s="23"/>
      <c r="M1248" s="20"/>
      <c r="N1248" s="20"/>
      <c r="O1248" s="20"/>
      <c r="P1248" s="20"/>
    </row>
    <row r="1249">
      <c r="A1249" s="10"/>
      <c r="B1249" s="11"/>
      <c r="C1249" s="10"/>
      <c r="D1249" s="13"/>
      <c r="E1249" s="14"/>
      <c r="F1249" s="14"/>
      <c r="G1249" s="14"/>
      <c r="H1249" s="10"/>
      <c r="I1249" s="17"/>
      <c r="J1249" s="10"/>
      <c r="K1249" s="46"/>
      <c r="L1249" s="10"/>
      <c r="M1249" s="20"/>
      <c r="N1249" s="20"/>
      <c r="O1249" s="20"/>
      <c r="P1249" s="20"/>
    </row>
    <row r="1250">
      <c r="A1250" s="23"/>
      <c r="B1250" s="21"/>
      <c r="C1250" s="23"/>
      <c r="D1250" s="24"/>
      <c r="E1250" s="14"/>
      <c r="F1250" s="14"/>
      <c r="G1250" s="14"/>
      <c r="H1250" s="23"/>
      <c r="I1250" s="27"/>
      <c r="J1250" s="23"/>
      <c r="K1250" s="30"/>
      <c r="L1250" s="23"/>
      <c r="M1250" s="20"/>
      <c r="N1250" s="20"/>
      <c r="O1250" s="20"/>
      <c r="P1250" s="20"/>
    </row>
    <row r="1251">
      <c r="A1251" s="10"/>
      <c r="B1251" s="11"/>
      <c r="C1251" s="10"/>
      <c r="D1251" s="13"/>
      <c r="E1251" s="14"/>
      <c r="F1251" s="14"/>
      <c r="G1251" s="14"/>
      <c r="H1251" s="10"/>
      <c r="I1251" s="17"/>
      <c r="J1251" s="10"/>
      <c r="K1251" s="46"/>
      <c r="L1251" s="10"/>
      <c r="M1251" s="20"/>
      <c r="N1251" s="20"/>
      <c r="O1251" s="20"/>
      <c r="P1251" s="20"/>
    </row>
    <row r="1252">
      <c r="A1252" s="23"/>
      <c r="B1252" s="21"/>
      <c r="C1252" s="23"/>
      <c r="D1252" s="24"/>
      <c r="E1252" s="14"/>
      <c r="F1252" s="14"/>
      <c r="G1252" s="14"/>
      <c r="H1252" s="23"/>
      <c r="I1252" s="27"/>
      <c r="J1252" s="23"/>
      <c r="K1252" s="30"/>
      <c r="L1252" s="23"/>
      <c r="M1252" s="20"/>
      <c r="N1252" s="20"/>
      <c r="O1252" s="20"/>
      <c r="P1252" s="20"/>
    </row>
    <row r="1253">
      <c r="A1253" s="10"/>
      <c r="B1253" s="11"/>
      <c r="C1253" s="10"/>
      <c r="D1253" s="13"/>
      <c r="E1253" s="14"/>
      <c r="F1253" s="14"/>
      <c r="G1253" s="14"/>
      <c r="H1253" s="10"/>
      <c r="I1253" s="17"/>
      <c r="J1253" s="10"/>
      <c r="K1253" s="46"/>
      <c r="L1253" s="10"/>
      <c r="M1253" s="20"/>
      <c r="N1253" s="20"/>
      <c r="O1253" s="20"/>
      <c r="P1253" s="20"/>
    </row>
    <row r="1254">
      <c r="A1254" s="23"/>
      <c r="B1254" s="21"/>
      <c r="C1254" s="23"/>
      <c r="D1254" s="24"/>
      <c r="E1254" s="14"/>
      <c r="F1254" s="14"/>
      <c r="G1254" s="14"/>
      <c r="H1254" s="23"/>
      <c r="I1254" s="27"/>
      <c r="J1254" s="23"/>
      <c r="K1254" s="30"/>
      <c r="L1254" s="23"/>
      <c r="M1254" s="20"/>
      <c r="N1254" s="20"/>
      <c r="O1254" s="20"/>
      <c r="P1254" s="20"/>
    </row>
    <row r="1255">
      <c r="A1255" s="10"/>
      <c r="B1255" s="11"/>
      <c r="C1255" s="10"/>
      <c r="D1255" s="13"/>
      <c r="E1255" s="14"/>
      <c r="F1255" s="14"/>
      <c r="G1255" s="14"/>
      <c r="H1255" s="10"/>
      <c r="I1255" s="17"/>
      <c r="J1255" s="10"/>
      <c r="K1255" s="46"/>
      <c r="L1255" s="10"/>
      <c r="M1255" s="20"/>
      <c r="N1255" s="20"/>
      <c r="O1255" s="20"/>
      <c r="P1255" s="20"/>
    </row>
    <row r="1256">
      <c r="A1256" s="23"/>
      <c r="B1256" s="21"/>
      <c r="C1256" s="23"/>
      <c r="D1256" s="24"/>
      <c r="E1256" s="14"/>
      <c r="F1256" s="14"/>
      <c r="G1256" s="14"/>
      <c r="H1256" s="23"/>
      <c r="I1256" s="27"/>
      <c r="J1256" s="23"/>
      <c r="K1256" s="30"/>
      <c r="L1256" s="23"/>
      <c r="M1256" s="20"/>
      <c r="N1256" s="20"/>
      <c r="O1256" s="20"/>
      <c r="P1256" s="20"/>
    </row>
    <row r="1257">
      <c r="A1257" s="10"/>
      <c r="B1257" s="11"/>
      <c r="C1257" s="10"/>
      <c r="D1257" s="13"/>
      <c r="E1257" s="14"/>
      <c r="F1257" s="14"/>
      <c r="G1257" s="14"/>
      <c r="H1257" s="10"/>
      <c r="I1257" s="17"/>
      <c r="J1257" s="10"/>
      <c r="K1257" s="46"/>
      <c r="L1257" s="10"/>
      <c r="M1257" s="20"/>
      <c r="N1257" s="20"/>
      <c r="O1257" s="20"/>
      <c r="P1257" s="20"/>
    </row>
    <row r="1258">
      <c r="A1258" s="23"/>
      <c r="B1258" s="21"/>
      <c r="C1258" s="23"/>
      <c r="D1258" s="24"/>
      <c r="E1258" s="14"/>
      <c r="F1258" s="14"/>
      <c r="G1258" s="14"/>
      <c r="H1258" s="23"/>
      <c r="I1258" s="27"/>
      <c r="J1258" s="23"/>
      <c r="K1258" s="30"/>
      <c r="L1258" s="23"/>
      <c r="M1258" s="20"/>
      <c r="N1258" s="20"/>
      <c r="O1258" s="20"/>
      <c r="P1258" s="20"/>
    </row>
    <row r="1259">
      <c r="A1259" s="10"/>
      <c r="B1259" s="11"/>
      <c r="C1259" s="10"/>
      <c r="D1259" s="13"/>
      <c r="E1259" s="14"/>
      <c r="F1259" s="14"/>
      <c r="G1259" s="14"/>
      <c r="H1259" s="10"/>
      <c r="I1259" s="17"/>
      <c r="J1259" s="10"/>
      <c r="K1259" s="46"/>
      <c r="L1259" s="10"/>
      <c r="M1259" s="20"/>
      <c r="N1259" s="20"/>
      <c r="O1259" s="20"/>
      <c r="P1259" s="20"/>
    </row>
    <row r="1260">
      <c r="A1260" s="23"/>
      <c r="B1260" s="21"/>
      <c r="C1260" s="23"/>
      <c r="D1260" s="24"/>
      <c r="E1260" s="14"/>
      <c r="F1260" s="14"/>
      <c r="G1260" s="14"/>
      <c r="H1260" s="23"/>
      <c r="I1260" s="27"/>
      <c r="J1260" s="23"/>
      <c r="K1260" s="30"/>
      <c r="L1260" s="23"/>
      <c r="M1260" s="20"/>
      <c r="N1260" s="20"/>
      <c r="O1260" s="20"/>
      <c r="P1260" s="20"/>
    </row>
    <row r="1261">
      <c r="A1261" s="10"/>
      <c r="B1261" s="11"/>
      <c r="C1261" s="10"/>
      <c r="D1261" s="13"/>
      <c r="E1261" s="14"/>
      <c r="F1261" s="14"/>
      <c r="G1261" s="14"/>
      <c r="H1261" s="10"/>
      <c r="I1261" s="17"/>
      <c r="J1261" s="10"/>
      <c r="K1261" s="46"/>
      <c r="L1261" s="10"/>
      <c r="M1261" s="20"/>
      <c r="N1261" s="20"/>
      <c r="O1261" s="20"/>
      <c r="P1261" s="20"/>
    </row>
    <row r="1262">
      <c r="A1262" s="23"/>
      <c r="B1262" s="21"/>
      <c r="C1262" s="23"/>
      <c r="D1262" s="24"/>
      <c r="E1262" s="14"/>
      <c r="F1262" s="14"/>
      <c r="G1262" s="14"/>
      <c r="H1262" s="23"/>
      <c r="I1262" s="27"/>
      <c r="J1262" s="23"/>
      <c r="K1262" s="30"/>
      <c r="L1262" s="23"/>
      <c r="M1262" s="20"/>
      <c r="N1262" s="20"/>
      <c r="O1262" s="20"/>
      <c r="P1262" s="20"/>
    </row>
    <row r="1263">
      <c r="A1263" s="10"/>
      <c r="B1263" s="11"/>
      <c r="C1263" s="10"/>
      <c r="D1263" s="13"/>
      <c r="E1263" s="14"/>
      <c r="F1263" s="14"/>
      <c r="G1263" s="14"/>
      <c r="H1263" s="10"/>
      <c r="I1263" s="17"/>
      <c r="J1263" s="10"/>
      <c r="K1263" s="46"/>
      <c r="L1263" s="10"/>
      <c r="M1263" s="20"/>
      <c r="N1263" s="20"/>
      <c r="O1263" s="20"/>
      <c r="P1263" s="20"/>
    </row>
    <row r="1264">
      <c r="A1264" s="23"/>
      <c r="B1264" s="21"/>
      <c r="C1264" s="23"/>
      <c r="D1264" s="24"/>
      <c r="E1264" s="14"/>
      <c r="F1264" s="14"/>
      <c r="G1264" s="14"/>
      <c r="H1264" s="23"/>
      <c r="I1264" s="27"/>
      <c r="J1264" s="23"/>
      <c r="K1264" s="30"/>
      <c r="L1264" s="23"/>
      <c r="M1264" s="20"/>
      <c r="N1264" s="20"/>
      <c r="O1264" s="20"/>
      <c r="P1264" s="20"/>
    </row>
    <row r="1265">
      <c r="A1265" s="10"/>
      <c r="B1265" s="11"/>
      <c r="C1265" s="10"/>
      <c r="D1265" s="13"/>
      <c r="E1265" s="14"/>
      <c r="F1265" s="14"/>
      <c r="G1265" s="14"/>
      <c r="H1265" s="10"/>
      <c r="I1265" s="17"/>
      <c r="J1265" s="10"/>
      <c r="K1265" s="46"/>
      <c r="L1265" s="10"/>
      <c r="M1265" s="20"/>
      <c r="N1265" s="20"/>
      <c r="O1265" s="20"/>
      <c r="P1265" s="20"/>
    </row>
    <row r="1266">
      <c r="A1266" s="23"/>
      <c r="B1266" s="21"/>
      <c r="C1266" s="23"/>
      <c r="D1266" s="24"/>
      <c r="E1266" s="14"/>
      <c r="F1266" s="14"/>
      <c r="G1266" s="14"/>
      <c r="H1266" s="23"/>
      <c r="I1266" s="27"/>
      <c r="J1266" s="23"/>
      <c r="K1266" s="30"/>
      <c r="L1266" s="23"/>
      <c r="M1266" s="20"/>
      <c r="N1266" s="20"/>
      <c r="O1266" s="20"/>
      <c r="P1266" s="20"/>
    </row>
    <row r="1267">
      <c r="A1267" s="10"/>
      <c r="B1267" s="11"/>
      <c r="C1267" s="10"/>
      <c r="D1267" s="13"/>
      <c r="E1267" s="14"/>
      <c r="F1267" s="14"/>
      <c r="G1267" s="14"/>
      <c r="H1267" s="10"/>
      <c r="I1267" s="17"/>
      <c r="J1267" s="10"/>
      <c r="K1267" s="46"/>
      <c r="L1267" s="10"/>
      <c r="M1267" s="20"/>
      <c r="N1267" s="20"/>
      <c r="O1267" s="20"/>
      <c r="P1267" s="20"/>
    </row>
    <row r="1268">
      <c r="A1268" s="23"/>
      <c r="B1268" s="21"/>
      <c r="C1268" s="23"/>
      <c r="D1268" s="24"/>
      <c r="E1268" s="14"/>
      <c r="F1268" s="14"/>
      <c r="G1268" s="14"/>
      <c r="H1268" s="23"/>
      <c r="I1268" s="27"/>
      <c r="J1268" s="23"/>
      <c r="K1268" s="30"/>
      <c r="L1268" s="23"/>
      <c r="M1268" s="20"/>
      <c r="N1268" s="20"/>
      <c r="O1268" s="20"/>
      <c r="P1268" s="20"/>
    </row>
    <row r="1269">
      <c r="A1269" s="10"/>
      <c r="B1269" s="11"/>
      <c r="C1269" s="10"/>
      <c r="D1269" s="13"/>
      <c r="E1269" s="14"/>
      <c r="F1269" s="14"/>
      <c r="G1269" s="14"/>
      <c r="H1269" s="10"/>
      <c r="I1269" s="17"/>
      <c r="J1269" s="10"/>
      <c r="K1269" s="46"/>
      <c r="L1269" s="10"/>
      <c r="M1269" s="20"/>
      <c r="N1269" s="20"/>
      <c r="O1269" s="20"/>
      <c r="P1269" s="20"/>
    </row>
    <row r="1270">
      <c r="A1270" s="23"/>
      <c r="B1270" s="21"/>
      <c r="C1270" s="23"/>
      <c r="D1270" s="24"/>
      <c r="E1270" s="14"/>
      <c r="F1270" s="14"/>
      <c r="G1270" s="14"/>
      <c r="H1270" s="23"/>
      <c r="I1270" s="27"/>
      <c r="J1270" s="23"/>
      <c r="K1270" s="30"/>
      <c r="L1270" s="23"/>
      <c r="M1270" s="20"/>
      <c r="N1270" s="20"/>
      <c r="O1270" s="20"/>
      <c r="P1270" s="20"/>
    </row>
    <row r="1271">
      <c r="A1271" s="10"/>
      <c r="B1271" s="11"/>
      <c r="C1271" s="10"/>
      <c r="D1271" s="13"/>
      <c r="E1271" s="14"/>
      <c r="F1271" s="14"/>
      <c r="G1271" s="14"/>
      <c r="H1271" s="10"/>
      <c r="I1271" s="17"/>
      <c r="J1271" s="10"/>
      <c r="K1271" s="46"/>
      <c r="L1271" s="10"/>
      <c r="M1271" s="20"/>
      <c r="N1271" s="20"/>
      <c r="O1271" s="20"/>
      <c r="P1271" s="20"/>
    </row>
    <row r="1272">
      <c r="A1272" s="23"/>
      <c r="B1272" s="21"/>
      <c r="C1272" s="23"/>
      <c r="D1272" s="24"/>
      <c r="E1272" s="14"/>
      <c r="F1272" s="14"/>
      <c r="G1272" s="14"/>
      <c r="H1272" s="23"/>
      <c r="I1272" s="27"/>
      <c r="J1272" s="23"/>
      <c r="K1272" s="30"/>
      <c r="L1272" s="23"/>
      <c r="M1272" s="20"/>
      <c r="N1272" s="20"/>
      <c r="O1272" s="20"/>
      <c r="P1272" s="20"/>
    </row>
    <row r="1273">
      <c r="A1273" s="10"/>
      <c r="B1273" s="11"/>
      <c r="C1273" s="10"/>
      <c r="D1273" s="13"/>
      <c r="E1273" s="14"/>
      <c r="F1273" s="14"/>
      <c r="G1273" s="14"/>
      <c r="H1273" s="10"/>
      <c r="I1273" s="17"/>
      <c r="J1273" s="10"/>
      <c r="K1273" s="46"/>
      <c r="L1273" s="10"/>
      <c r="M1273" s="20"/>
      <c r="N1273" s="20"/>
      <c r="O1273" s="20"/>
      <c r="P1273" s="20"/>
    </row>
    <row r="1274">
      <c r="A1274" s="23"/>
      <c r="B1274" s="21"/>
      <c r="C1274" s="23"/>
      <c r="D1274" s="24"/>
      <c r="E1274" s="14"/>
      <c r="F1274" s="14"/>
      <c r="G1274" s="14"/>
      <c r="H1274" s="23"/>
      <c r="I1274" s="27"/>
      <c r="J1274" s="23"/>
      <c r="K1274" s="30"/>
      <c r="L1274" s="23"/>
      <c r="M1274" s="20"/>
      <c r="N1274" s="20"/>
      <c r="O1274" s="20"/>
      <c r="P1274" s="20"/>
    </row>
    <row r="1275">
      <c r="A1275" s="10"/>
      <c r="B1275" s="11"/>
      <c r="C1275" s="10"/>
      <c r="D1275" s="13"/>
      <c r="E1275" s="14"/>
      <c r="F1275" s="14"/>
      <c r="G1275" s="14"/>
      <c r="H1275" s="10"/>
      <c r="I1275" s="17"/>
      <c r="J1275" s="10"/>
      <c r="K1275" s="46"/>
      <c r="L1275" s="10"/>
      <c r="M1275" s="20"/>
      <c r="N1275" s="20"/>
      <c r="O1275" s="20"/>
      <c r="P1275" s="20"/>
    </row>
    <row r="1276">
      <c r="A1276" s="23"/>
      <c r="B1276" s="21"/>
      <c r="C1276" s="23"/>
      <c r="D1276" s="24"/>
      <c r="E1276" s="14"/>
      <c r="F1276" s="14"/>
      <c r="G1276" s="14"/>
      <c r="H1276" s="23"/>
      <c r="I1276" s="27"/>
      <c r="J1276" s="23"/>
      <c r="K1276" s="30"/>
      <c r="L1276" s="23"/>
      <c r="M1276" s="20"/>
      <c r="N1276" s="20"/>
      <c r="O1276" s="20"/>
      <c r="P1276" s="20"/>
    </row>
    <row r="1277">
      <c r="A1277" s="10"/>
      <c r="B1277" s="11"/>
      <c r="C1277" s="10"/>
      <c r="D1277" s="13"/>
      <c r="E1277" s="14"/>
      <c r="F1277" s="14"/>
      <c r="G1277" s="14"/>
      <c r="H1277" s="10"/>
      <c r="I1277" s="17"/>
      <c r="J1277" s="10"/>
      <c r="K1277" s="46"/>
      <c r="L1277" s="10"/>
      <c r="M1277" s="20"/>
      <c r="N1277" s="20"/>
      <c r="O1277" s="20"/>
      <c r="P1277" s="20"/>
    </row>
    <row r="1278">
      <c r="A1278" s="23"/>
      <c r="B1278" s="21"/>
      <c r="C1278" s="23"/>
      <c r="D1278" s="24"/>
      <c r="E1278" s="14"/>
      <c r="F1278" s="14"/>
      <c r="G1278" s="14"/>
      <c r="H1278" s="23"/>
      <c r="I1278" s="27"/>
      <c r="J1278" s="23"/>
      <c r="K1278" s="30"/>
      <c r="L1278" s="23"/>
      <c r="M1278" s="20"/>
      <c r="N1278" s="20"/>
      <c r="O1278" s="20"/>
      <c r="P1278" s="20"/>
    </row>
    <row r="1279">
      <c r="A1279" s="10"/>
      <c r="B1279" s="11"/>
      <c r="C1279" s="10"/>
      <c r="D1279" s="13"/>
      <c r="E1279" s="14"/>
      <c r="F1279" s="14"/>
      <c r="G1279" s="14"/>
      <c r="H1279" s="10"/>
      <c r="I1279" s="17"/>
      <c r="J1279" s="10"/>
      <c r="K1279" s="46"/>
      <c r="L1279" s="10"/>
      <c r="M1279" s="20"/>
      <c r="N1279" s="20"/>
      <c r="O1279" s="20"/>
      <c r="P1279" s="20"/>
    </row>
    <row r="1280">
      <c r="A1280" s="23"/>
      <c r="B1280" s="21"/>
      <c r="C1280" s="23"/>
      <c r="D1280" s="24"/>
      <c r="E1280" s="14"/>
      <c r="F1280" s="14"/>
      <c r="G1280" s="14"/>
      <c r="H1280" s="23"/>
      <c r="I1280" s="27"/>
      <c r="J1280" s="23"/>
      <c r="K1280" s="30"/>
      <c r="L1280" s="23"/>
      <c r="M1280" s="20"/>
      <c r="N1280" s="20"/>
      <c r="O1280" s="20"/>
      <c r="P1280" s="20"/>
    </row>
    <row r="1281">
      <c r="A1281" s="10"/>
      <c r="B1281" s="11"/>
      <c r="C1281" s="10"/>
      <c r="D1281" s="13"/>
      <c r="E1281" s="14"/>
      <c r="F1281" s="14"/>
      <c r="G1281" s="14"/>
      <c r="H1281" s="10"/>
      <c r="I1281" s="17"/>
      <c r="J1281" s="10"/>
      <c r="K1281" s="46"/>
      <c r="L1281" s="10"/>
      <c r="M1281" s="20"/>
      <c r="N1281" s="20"/>
      <c r="O1281" s="20"/>
      <c r="P1281" s="20"/>
    </row>
    <row r="1282">
      <c r="A1282" s="23"/>
      <c r="B1282" s="21"/>
      <c r="C1282" s="23"/>
      <c r="D1282" s="24"/>
      <c r="E1282" s="14"/>
      <c r="F1282" s="14"/>
      <c r="G1282" s="14"/>
      <c r="H1282" s="23"/>
      <c r="I1282" s="27"/>
      <c r="J1282" s="23"/>
      <c r="K1282" s="30"/>
      <c r="L1282" s="23"/>
      <c r="M1282" s="20"/>
      <c r="N1282" s="20"/>
      <c r="O1282" s="20"/>
      <c r="P1282" s="20"/>
    </row>
    <row r="1283">
      <c r="A1283" s="10"/>
      <c r="B1283" s="11"/>
      <c r="C1283" s="10"/>
      <c r="D1283" s="13"/>
      <c r="E1283" s="14"/>
      <c r="F1283" s="14"/>
      <c r="G1283" s="14"/>
      <c r="H1283" s="10"/>
      <c r="I1283" s="17"/>
      <c r="J1283" s="10"/>
      <c r="K1283" s="46"/>
      <c r="L1283" s="10"/>
      <c r="M1283" s="20"/>
      <c r="N1283" s="20"/>
      <c r="O1283" s="20"/>
      <c r="P1283" s="20"/>
    </row>
    <row r="1284">
      <c r="A1284" s="23"/>
      <c r="B1284" s="21"/>
      <c r="C1284" s="23"/>
      <c r="D1284" s="24"/>
      <c r="E1284" s="14"/>
      <c r="F1284" s="14"/>
      <c r="G1284" s="14"/>
      <c r="H1284" s="23"/>
      <c r="I1284" s="27"/>
      <c r="J1284" s="23"/>
      <c r="K1284" s="30"/>
      <c r="L1284" s="23"/>
      <c r="M1284" s="20"/>
      <c r="N1284" s="20"/>
      <c r="O1284" s="20"/>
      <c r="P1284" s="20"/>
    </row>
    <row r="1285">
      <c r="A1285" s="10"/>
      <c r="B1285" s="11"/>
      <c r="C1285" s="10"/>
      <c r="D1285" s="13"/>
      <c r="E1285" s="14"/>
      <c r="F1285" s="14"/>
      <c r="G1285" s="14"/>
      <c r="H1285" s="10"/>
      <c r="I1285" s="17"/>
      <c r="J1285" s="10"/>
      <c r="K1285" s="46"/>
      <c r="L1285" s="10"/>
      <c r="M1285" s="20"/>
      <c r="N1285" s="20"/>
      <c r="O1285" s="20"/>
      <c r="P1285" s="20"/>
    </row>
    <row r="1286">
      <c r="A1286" s="23"/>
      <c r="B1286" s="21"/>
      <c r="C1286" s="23"/>
      <c r="D1286" s="24"/>
      <c r="E1286" s="14"/>
      <c r="F1286" s="14"/>
      <c r="G1286" s="14"/>
      <c r="H1286" s="23"/>
      <c r="I1286" s="27"/>
      <c r="J1286" s="23"/>
      <c r="K1286" s="30"/>
      <c r="L1286" s="23"/>
      <c r="M1286" s="20"/>
      <c r="N1286" s="20"/>
      <c r="O1286" s="20"/>
      <c r="P1286" s="20"/>
    </row>
    <row r="1287">
      <c r="A1287" s="10"/>
      <c r="B1287" s="11"/>
      <c r="C1287" s="10"/>
      <c r="D1287" s="13"/>
      <c r="E1287" s="14"/>
      <c r="F1287" s="14"/>
      <c r="G1287" s="14"/>
      <c r="H1287" s="10"/>
      <c r="I1287" s="17"/>
      <c r="J1287" s="10"/>
      <c r="K1287" s="46"/>
      <c r="L1287" s="10"/>
      <c r="M1287" s="20"/>
      <c r="N1287" s="20"/>
      <c r="O1287" s="20"/>
      <c r="P1287" s="20"/>
    </row>
    <row r="1288">
      <c r="A1288" s="23"/>
      <c r="B1288" s="21"/>
      <c r="C1288" s="23"/>
      <c r="D1288" s="24"/>
      <c r="E1288" s="14"/>
      <c r="F1288" s="14"/>
      <c r="G1288" s="14"/>
      <c r="H1288" s="23"/>
      <c r="I1288" s="27"/>
      <c r="J1288" s="23"/>
      <c r="K1288" s="30"/>
      <c r="L1288" s="23"/>
      <c r="M1288" s="20"/>
      <c r="N1288" s="20"/>
      <c r="O1288" s="20"/>
      <c r="P1288" s="20"/>
    </row>
    <row r="1289">
      <c r="A1289" s="10"/>
      <c r="B1289" s="11"/>
      <c r="C1289" s="10"/>
      <c r="D1289" s="13"/>
      <c r="E1289" s="14"/>
      <c r="F1289" s="14"/>
      <c r="G1289" s="14"/>
      <c r="H1289" s="10"/>
      <c r="I1289" s="17"/>
      <c r="J1289" s="10"/>
      <c r="K1289" s="46"/>
      <c r="L1289" s="10"/>
      <c r="M1289" s="20"/>
      <c r="N1289" s="20"/>
      <c r="O1289" s="20"/>
      <c r="P1289" s="20"/>
    </row>
    <row r="1290">
      <c r="A1290" s="23"/>
      <c r="B1290" s="21"/>
      <c r="C1290" s="23"/>
      <c r="D1290" s="24"/>
      <c r="E1290" s="14"/>
      <c r="F1290" s="14"/>
      <c r="G1290" s="14"/>
      <c r="H1290" s="23"/>
      <c r="I1290" s="27"/>
      <c r="J1290" s="23"/>
      <c r="K1290" s="30"/>
      <c r="L1290" s="23"/>
      <c r="M1290" s="20"/>
      <c r="N1290" s="20"/>
      <c r="O1290" s="20"/>
      <c r="P1290" s="20"/>
    </row>
    <row r="1291">
      <c r="A1291" s="10"/>
      <c r="B1291" s="11"/>
      <c r="C1291" s="10"/>
      <c r="D1291" s="13"/>
      <c r="E1291" s="14"/>
      <c r="F1291" s="14"/>
      <c r="G1291" s="14"/>
      <c r="H1291" s="10"/>
      <c r="I1291" s="17"/>
      <c r="J1291" s="10"/>
      <c r="K1291" s="46"/>
      <c r="L1291" s="10"/>
      <c r="M1291" s="20"/>
      <c r="N1291" s="20"/>
      <c r="O1291" s="20"/>
      <c r="P1291" s="20"/>
    </row>
    <row r="1292">
      <c r="A1292" s="23"/>
      <c r="B1292" s="21"/>
      <c r="C1292" s="23"/>
      <c r="D1292" s="24"/>
      <c r="E1292" s="14"/>
      <c r="F1292" s="14"/>
      <c r="G1292" s="14"/>
      <c r="H1292" s="23"/>
      <c r="I1292" s="27"/>
      <c r="J1292" s="23"/>
      <c r="K1292" s="30"/>
      <c r="L1292" s="23"/>
      <c r="M1292" s="20"/>
      <c r="N1292" s="20"/>
      <c r="O1292" s="20"/>
      <c r="P1292" s="20"/>
    </row>
    <row r="1293">
      <c r="A1293" s="10"/>
      <c r="B1293" s="11"/>
      <c r="C1293" s="10"/>
      <c r="D1293" s="13"/>
      <c r="E1293" s="14"/>
      <c r="F1293" s="14"/>
      <c r="G1293" s="14"/>
      <c r="H1293" s="10"/>
      <c r="I1293" s="17"/>
      <c r="J1293" s="10"/>
      <c r="K1293" s="46"/>
      <c r="L1293" s="10"/>
      <c r="M1293" s="20"/>
      <c r="N1293" s="20"/>
      <c r="O1293" s="20"/>
      <c r="P1293" s="20"/>
    </row>
    <row r="1294">
      <c r="A1294" s="23"/>
      <c r="B1294" s="21"/>
      <c r="C1294" s="23"/>
      <c r="D1294" s="24"/>
      <c r="E1294" s="14"/>
      <c r="F1294" s="14"/>
      <c r="G1294" s="14"/>
      <c r="H1294" s="23"/>
      <c r="I1294" s="27"/>
      <c r="J1294" s="23"/>
      <c r="K1294" s="30"/>
      <c r="L1294" s="23"/>
      <c r="M1294" s="20"/>
      <c r="N1294" s="20"/>
      <c r="O1294" s="20"/>
      <c r="P1294" s="20"/>
    </row>
    <row r="1295">
      <c r="A1295" s="10"/>
      <c r="B1295" s="11"/>
      <c r="C1295" s="10"/>
      <c r="D1295" s="13"/>
      <c r="E1295" s="14"/>
      <c r="F1295" s="14"/>
      <c r="G1295" s="14"/>
      <c r="H1295" s="10"/>
      <c r="I1295" s="17"/>
      <c r="J1295" s="10"/>
      <c r="K1295" s="46"/>
      <c r="L1295" s="10"/>
      <c r="M1295" s="20"/>
      <c r="N1295" s="20"/>
      <c r="O1295" s="20"/>
      <c r="P1295" s="20"/>
    </row>
    <row r="1296">
      <c r="A1296" s="23"/>
      <c r="B1296" s="21"/>
      <c r="C1296" s="23"/>
      <c r="D1296" s="24"/>
      <c r="E1296" s="14"/>
      <c r="F1296" s="14"/>
      <c r="G1296" s="14"/>
      <c r="H1296" s="23"/>
      <c r="I1296" s="27"/>
      <c r="J1296" s="23"/>
      <c r="K1296" s="30"/>
      <c r="L1296" s="23"/>
      <c r="M1296" s="20"/>
      <c r="N1296" s="20"/>
      <c r="O1296" s="20"/>
      <c r="P1296" s="20"/>
    </row>
    <row r="1297">
      <c r="A1297" s="10"/>
      <c r="B1297" s="11"/>
      <c r="C1297" s="10"/>
      <c r="D1297" s="13"/>
      <c r="E1297" s="14"/>
      <c r="F1297" s="14"/>
      <c r="G1297" s="14"/>
      <c r="H1297" s="10"/>
      <c r="I1297" s="17"/>
      <c r="J1297" s="10"/>
      <c r="K1297" s="46"/>
      <c r="L1297" s="10"/>
      <c r="M1297" s="20"/>
      <c r="N1297" s="20"/>
      <c r="O1297" s="20"/>
      <c r="P1297" s="20"/>
    </row>
    <row r="1298">
      <c r="A1298" s="23"/>
      <c r="B1298" s="21"/>
      <c r="C1298" s="23"/>
      <c r="D1298" s="24"/>
      <c r="E1298" s="14"/>
      <c r="F1298" s="14"/>
      <c r="G1298" s="14"/>
      <c r="H1298" s="23"/>
      <c r="I1298" s="27"/>
      <c r="J1298" s="23"/>
      <c r="K1298" s="30"/>
      <c r="L1298" s="23"/>
      <c r="M1298" s="20"/>
      <c r="N1298" s="20"/>
      <c r="O1298" s="20"/>
      <c r="P1298" s="20"/>
    </row>
    <row r="1299">
      <c r="A1299" s="10"/>
      <c r="B1299" s="11"/>
      <c r="C1299" s="10"/>
      <c r="D1299" s="13"/>
      <c r="E1299" s="14"/>
      <c r="F1299" s="14"/>
      <c r="G1299" s="14"/>
      <c r="H1299" s="10"/>
      <c r="I1299" s="17"/>
      <c r="J1299" s="10"/>
      <c r="K1299" s="46"/>
      <c r="L1299" s="10"/>
      <c r="M1299" s="20"/>
      <c r="N1299" s="20"/>
      <c r="O1299" s="20"/>
      <c r="P1299" s="20"/>
    </row>
    <row r="1300">
      <c r="A1300" s="23"/>
      <c r="B1300" s="21"/>
      <c r="C1300" s="23"/>
      <c r="D1300" s="24"/>
      <c r="E1300" s="14"/>
      <c r="F1300" s="14"/>
      <c r="G1300" s="14"/>
      <c r="H1300" s="23"/>
      <c r="I1300" s="27"/>
      <c r="J1300" s="23"/>
      <c r="K1300" s="30"/>
      <c r="L1300" s="23"/>
      <c r="M1300" s="20"/>
      <c r="N1300" s="20"/>
      <c r="O1300" s="20"/>
      <c r="P1300" s="20"/>
    </row>
    <row r="1301">
      <c r="A1301" s="10"/>
      <c r="B1301" s="11"/>
      <c r="C1301" s="10"/>
      <c r="D1301" s="13"/>
      <c r="E1301" s="14"/>
      <c r="F1301" s="14"/>
      <c r="G1301" s="14"/>
      <c r="H1301" s="10"/>
      <c r="I1301" s="17"/>
      <c r="J1301" s="10"/>
      <c r="K1301" s="46"/>
      <c r="L1301" s="10"/>
      <c r="M1301" s="20"/>
      <c r="N1301" s="20"/>
      <c r="O1301" s="20"/>
      <c r="P1301" s="20"/>
    </row>
    <row r="1302">
      <c r="A1302" s="23"/>
      <c r="B1302" s="21"/>
      <c r="C1302" s="23"/>
      <c r="D1302" s="24"/>
      <c r="E1302" s="14"/>
      <c r="F1302" s="14"/>
      <c r="G1302" s="14"/>
      <c r="H1302" s="23"/>
      <c r="I1302" s="27"/>
      <c r="J1302" s="23"/>
      <c r="K1302" s="30"/>
      <c r="L1302" s="23"/>
      <c r="M1302" s="20"/>
      <c r="N1302" s="20"/>
      <c r="O1302" s="20"/>
      <c r="P1302" s="20"/>
    </row>
    <row r="1303">
      <c r="A1303" s="10"/>
      <c r="B1303" s="11"/>
      <c r="C1303" s="10"/>
      <c r="D1303" s="13"/>
      <c r="E1303" s="14"/>
      <c r="F1303" s="14"/>
      <c r="G1303" s="14"/>
      <c r="H1303" s="10"/>
      <c r="I1303" s="17"/>
      <c r="J1303" s="10"/>
      <c r="K1303" s="46"/>
      <c r="L1303" s="10"/>
      <c r="M1303" s="20"/>
      <c r="N1303" s="20"/>
      <c r="O1303" s="20"/>
      <c r="P1303" s="20"/>
    </row>
    <row r="1304">
      <c r="A1304" s="23"/>
      <c r="B1304" s="21"/>
      <c r="C1304" s="23"/>
      <c r="D1304" s="24"/>
      <c r="E1304" s="14"/>
      <c r="F1304" s="14"/>
      <c r="G1304" s="14"/>
      <c r="H1304" s="23"/>
      <c r="I1304" s="27"/>
      <c r="J1304" s="23"/>
      <c r="K1304" s="30"/>
      <c r="L1304" s="23"/>
      <c r="M1304" s="20"/>
      <c r="N1304" s="20"/>
      <c r="O1304" s="20"/>
      <c r="P1304" s="20"/>
    </row>
    <row r="1305">
      <c r="A1305" s="10"/>
      <c r="B1305" s="11"/>
      <c r="C1305" s="10"/>
      <c r="D1305" s="13"/>
      <c r="E1305" s="14"/>
      <c r="F1305" s="14"/>
      <c r="G1305" s="14"/>
      <c r="H1305" s="10"/>
      <c r="I1305" s="17"/>
      <c r="J1305" s="10"/>
      <c r="K1305" s="46"/>
      <c r="L1305" s="10"/>
      <c r="M1305" s="20"/>
      <c r="N1305" s="20"/>
      <c r="O1305" s="20"/>
      <c r="P1305" s="20"/>
    </row>
    <row r="1306">
      <c r="A1306" s="23"/>
      <c r="B1306" s="21"/>
      <c r="C1306" s="23"/>
      <c r="D1306" s="24"/>
      <c r="E1306" s="14"/>
      <c r="F1306" s="14"/>
      <c r="G1306" s="14"/>
      <c r="H1306" s="23"/>
      <c r="I1306" s="27"/>
      <c r="J1306" s="23"/>
      <c r="K1306" s="30"/>
      <c r="L1306" s="23"/>
      <c r="M1306" s="20"/>
      <c r="N1306" s="20"/>
      <c r="O1306" s="20"/>
      <c r="P1306" s="20"/>
    </row>
    <row r="1307">
      <c r="A1307" s="10"/>
      <c r="B1307" s="11"/>
      <c r="C1307" s="10"/>
      <c r="D1307" s="13"/>
      <c r="E1307" s="14"/>
      <c r="F1307" s="14"/>
      <c r="G1307" s="14"/>
      <c r="H1307" s="10"/>
      <c r="I1307" s="17"/>
      <c r="J1307" s="10"/>
      <c r="K1307" s="46"/>
      <c r="L1307" s="10"/>
      <c r="M1307" s="20"/>
      <c r="N1307" s="20"/>
      <c r="O1307" s="20"/>
      <c r="P1307" s="20"/>
    </row>
    <row r="1308">
      <c r="A1308" s="23"/>
      <c r="B1308" s="21"/>
      <c r="C1308" s="23"/>
      <c r="D1308" s="24"/>
      <c r="E1308" s="14"/>
      <c r="F1308" s="14"/>
      <c r="G1308" s="14"/>
      <c r="H1308" s="23"/>
      <c r="I1308" s="27"/>
      <c r="J1308" s="23"/>
      <c r="K1308" s="30"/>
      <c r="L1308" s="23"/>
      <c r="M1308" s="20"/>
      <c r="N1308" s="20"/>
      <c r="O1308" s="20"/>
      <c r="P1308" s="20"/>
    </row>
    <row r="1309">
      <c r="A1309" s="10"/>
      <c r="B1309" s="11"/>
      <c r="C1309" s="10"/>
      <c r="D1309" s="13"/>
      <c r="E1309" s="14"/>
      <c r="F1309" s="14"/>
      <c r="G1309" s="14"/>
      <c r="H1309" s="10"/>
      <c r="I1309" s="17"/>
      <c r="J1309" s="10"/>
      <c r="K1309" s="46"/>
      <c r="L1309" s="10"/>
      <c r="M1309" s="20"/>
      <c r="N1309" s="20"/>
      <c r="O1309" s="20"/>
      <c r="P1309" s="20"/>
    </row>
    <row r="1310">
      <c r="A1310" s="23"/>
      <c r="B1310" s="21"/>
      <c r="C1310" s="23"/>
      <c r="D1310" s="24"/>
      <c r="E1310" s="14"/>
      <c r="F1310" s="14"/>
      <c r="G1310" s="14"/>
      <c r="H1310" s="23"/>
      <c r="I1310" s="27"/>
      <c r="J1310" s="23"/>
      <c r="K1310" s="30"/>
      <c r="L1310" s="23"/>
      <c r="M1310" s="20"/>
      <c r="N1310" s="20"/>
      <c r="O1310" s="20"/>
      <c r="P1310" s="20"/>
    </row>
    <row r="1311">
      <c r="A1311" s="10"/>
      <c r="B1311" s="11"/>
      <c r="C1311" s="10"/>
      <c r="D1311" s="13"/>
      <c r="E1311" s="14"/>
      <c r="F1311" s="14"/>
      <c r="G1311" s="14"/>
      <c r="H1311" s="10"/>
      <c r="I1311" s="17"/>
      <c r="J1311" s="10"/>
      <c r="K1311" s="46"/>
      <c r="L1311" s="10"/>
      <c r="M1311" s="20"/>
      <c r="N1311" s="20"/>
      <c r="O1311" s="20"/>
      <c r="P1311" s="20"/>
    </row>
    <row r="1312">
      <c r="A1312" s="23"/>
      <c r="B1312" s="21"/>
      <c r="C1312" s="23"/>
      <c r="D1312" s="24"/>
      <c r="E1312" s="14"/>
      <c r="F1312" s="14"/>
      <c r="G1312" s="14"/>
      <c r="H1312" s="23"/>
      <c r="I1312" s="27"/>
      <c r="J1312" s="23"/>
      <c r="K1312" s="30"/>
      <c r="L1312" s="23"/>
      <c r="M1312" s="20"/>
      <c r="N1312" s="20"/>
      <c r="O1312" s="20"/>
      <c r="P1312" s="20"/>
    </row>
    <row r="1313">
      <c r="A1313" s="10"/>
      <c r="B1313" s="11"/>
      <c r="C1313" s="10"/>
      <c r="D1313" s="13"/>
      <c r="E1313" s="14"/>
      <c r="F1313" s="14"/>
      <c r="G1313" s="14"/>
      <c r="H1313" s="10"/>
      <c r="I1313" s="17"/>
      <c r="J1313" s="10"/>
      <c r="K1313" s="46"/>
      <c r="L1313" s="10"/>
      <c r="M1313" s="20"/>
      <c r="N1313" s="20"/>
      <c r="O1313" s="20"/>
      <c r="P1313" s="20"/>
    </row>
    <row r="1314">
      <c r="A1314" s="23"/>
      <c r="B1314" s="21"/>
      <c r="C1314" s="23"/>
      <c r="D1314" s="24"/>
      <c r="E1314" s="14"/>
      <c r="F1314" s="14"/>
      <c r="G1314" s="14"/>
      <c r="H1314" s="23"/>
      <c r="I1314" s="27"/>
      <c r="J1314" s="23"/>
      <c r="K1314" s="30"/>
      <c r="L1314" s="23"/>
      <c r="M1314" s="20"/>
      <c r="N1314" s="20"/>
      <c r="O1314" s="20"/>
      <c r="P1314" s="20"/>
    </row>
    <row r="1315">
      <c r="A1315" s="10"/>
      <c r="B1315" s="11"/>
      <c r="C1315" s="10"/>
      <c r="D1315" s="13"/>
      <c r="E1315" s="14"/>
      <c r="F1315" s="14"/>
      <c r="G1315" s="14"/>
      <c r="H1315" s="10"/>
      <c r="I1315" s="17"/>
      <c r="J1315" s="10"/>
      <c r="K1315" s="46"/>
      <c r="L1315" s="10"/>
      <c r="M1315" s="20"/>
      <c r="N1315" s="20"/>
      <c r="O1315" s="20"/>
      <c r="P1315" s="20"/>
    </row>
    <row r="1316">
      <c r="A1316" s="23"/>
      <c r="B1316" s="21"/>
      <c r="C1316" s="23"/>
      <c r="D1316" s="24"/>
      <c r="E1316" s="14"/>
      <c r="F1316" s="14"/>
      <c r="G1316" s="14"/>
      <c r="H1316" s="23"/>
      <c r="I1316" s="27"/>
      <c r="J1316" s="23"/>
      <c r="K1316" s="30"/>
      <c r="L1316" s="23"/>
      <c r="M1316" s="20"/>
      <c r="N1316" s="20"/>
      <c r="O1316" s="20"/>
      <c r="P1316" s="20"/>
    </row>
    <row r="1317">
      <c r="A1317" s="10"/>
      <c r="B1317" s="11"/>
      <c r="C1317" s="10"/>
      <c r="D1317" s="13"/>
      <c r="E1317" s="14"/>
      <c r="F1317" s="14"/>
      <c r="G1317" s="14"/>
      <c r="H1317" s="10"/>
      <c r="I1317" s="17"/>
      <c r="J1317" s="10"/>
      <c r="K1317" s="46"/>
      <c r="L1317" s="10"/>
      <c r="M1317" s="20"/>
      <c r="N1317" s="20"/>
      <c r="O1317" s="20"/>
      <c r="P1317" s="20"/>
    </row>
    <row r="1318">
      <c r="A1318" s="23"/>
      <c r="B1318" s="21"/>
      <c r="C1318" s="23"/>
      <c r="D1318" s="24"/>
      <c r="E1318" s="14"/>
      <c r="F1318" s="14"/>
      <c r="G1318" s="14"/>
      <c r="H1318" s="23"/>
      <c r="I1318" s="27"/>
      <c r="J1318" s="23"/>
      <c r="K1318" s="30"/>
      <c r="L1318" s="23"/>
      <c r="M1318" s="20"/>
      <c r="N1318" s="20"/>
      <c r="O1318" s="20"/>
      <c r="P1318" s="20"/>
    </row>
    <row r="1319">
      <c r="A1319" s="10"/>
      <c r="B1319" s="11"/>
      <c r="C1319" s="10"/>
      <c r="D1319" s="13"/>
      <c r="E1319" s="14"/>
      <c r="F1319" s="14"/>
      <c r="G1319" s="14"/>
      <c r="H1319" s="10"/>
      <c r="I1319" s="17"/>
      <c r="J1319" s="10"/>
      <c r="K1319" s="46"/>
      <c r="L1319" s="10"/>
      <c r="M1319" s="20"/>
      <c r="N1319" s="20"/>
      <c r="O1319" s="20"/>
      <c r="P1319" s="20"/>
    </row>
    <row r="1320">
      <c r="A1320" s="23"/>
      <c r="B1320" s="21"/>
      <c r="C1320" s="23"/>
      <c r="D1320" s="24"/>
      <c r="E1320" s="14"/>
      <c r="F1320" s="14"/>
      <c r="G1320" s="14"/>
      <c r="H1320" s="23"/>
      <c r="I1320" s="27"/>
      <c r="J1320" s="23"/>
      <c r="K1320" s="30"/>
      <c r="L1320" s="23"/>
      <c r="M1320" s="20"/>
      <c r="N1320" s="20"/>
      <c r="O1320" s="20"/>
      <c r="P1320" s="20"/>
    </row>
    <row r="1321">
      <c r="A1321" s="10"/>
      <c r="B1321" s="11"/>
      <c r="C1321" s="10"/>
      <c r="D1321" s="13"/>
      <c r="E1321" s="14"/>
      <c r="F1321" s="14"/>
      <c r="G1321" s="14"/>
      <c r="H1321" s="10"/>
      <c r="I1321" s="17"/>
      <c r="J1321" s="10"/>
      <c r="K1321" s="46"/>
      <c r="L1321" s="10"/>
      <c r="M1321" s="20"/>
      <c r="N1321" s="20"/>
      <c r="O1321" s="20"/>
      <c r="P1321" s="20"/>
    </row>
    <row r="1322">
      <c r="A1322" s="23"/>
      <c r="B1322" s="21"/>
      <c r="C1322" s="23"/>
      <c r="D1322" s="24"/>
      <c r="E1322" s="14"/>
      <c r="F1322" s="14"/>
      <c r="G1322" s="14"/>
      <c r="H1322" s="23"/>
      <c r="I1322" s="27"/>
      <c r="J1322" s="23"/>
      <c r="K1322" s="30"/>
      <c r="L1322" s="23"/>
      <c r="M1322" s="20"/>
      <c r="N1322" s="20"/>
      <c r="O1322" s="20"/>
      <c r="P1322" s="20"/>
    </row>
    <row r="1323">
      <c r="A1323" s="10"/>
      <c r="B1323" s="11"/>
      <c r="C1323" s="10"/>
      <c r="D1323" s="13"/>
      <c r="E1323" s="14"/>
      <c r="F1323" s="14"/>
      <c r="G1323" s="14"/>
      <c r="H1323" s="10"/>
      <c r="I1323" s="17"/>
      <c r="J1323" s="10"/>
      <c r="K1323" s="46"/>
      <c r="L1323" s="10"/>
      <c r="M1323" s="20"/>
      <c r="N1323" s="20"/>
      <c r="O1323" s="20"/>
      <c r="P1323" s="20"/>
    </row>
    <row r="1324">
      <c r="A1324" s="23"/>
      <c r="B1324" s="21"/>
      <c r="C1324" s="23"/>
      <c r="D1324" s="24"/>
      <c r="E1324" s="14"/>
      <c r="F1324" s="14"/>
      <c r="G1324" s="14"/>
      <c r="H1324" s="23"/>
      <c r="I1324" s="27"/>
      <c r="J1324" s="23"/>
      <c r="K1324" s="30"/>
      <c r="L1324" s="23"/>
      <c r="M1324" s="20"/>
      <c r="N1324" s="20"/>
      <c r="O1324" s="20"/>
      <c r="P1324" s="20"/>
    </row>
    <row r="1325">
      <c r="A1325" s="10"/>
      <c r="B1325" s="11"/>
      <c r="C1325" s="10"/>
      <c r="D1325" s="13"/>
      <c r="E1325" s="14"/>
      <c r="F1325" s="14"/>
      <c r="G1325" s="14"/>
      <c r="H1325" s="10"/>
      <c r="I1325" s="17"/>
      <c r="J1325" s="10"/>
      <c r="K1325" s="46"/>
      <c r="L1325" s="10"/>
      <c r="M1325" s="20"/>
      <c r="N1325" s="20"/>
      <c r="O1325" s="20"/>
      <c r="P1325" s="20"/>
    </row>
    <row r="1326">
      <c r="A1326" s="23"/>
      <c r="B1326" s="21"/>
      <c r="C1326" s="23"/>
      <c r="D1326" s="24"/>
      <c r="E1326" s="14"/>
      <c r="F1326" s="14"/>
      <c r="G1326" s="14"/>
      <c r="H1326" s="23"/>
      <c r="I1326" s="27"/>
      <c r="J1326" s="23"/>
      <c r="K1326" s="30"/>
      <c r="L1326" s="23"/>
      <c r="M1326" s="20"/>
      <c r="N1326" s="20"/>
      <c r="O1326" s="20"/>
      <c r="P1326" s="20"/>
    </row>
    <row r="1327">
      <c r="A1327" s="10"/>
      <c r="B1327" s="11"/>
      <c r="C1327" s="10"/>
      <c r="D1327" s="13"/>
      <c r="E1327" s="14"/>
      <c r="F1327" s="14"/>
      <c r="G1327" s="14"/>
      <c r="H1327" s="10"/>
      <c r="I1327" s="17"/>
      <c r="J1327" s="10"/>
      <c r="K1327" s="46"/>
      <c r="L1327" s="10"/>
      <c r="M1327" s="20"/>
      <c r="N1327" s="20"/>
      <c r="O1327" s="20"/>
      <c r="P1327" s="20"/>
    </row>
    <row r="1328">
      <c r="A1328" s="23"/>
      <c r="B1328" s="21"/>
      <c r="C1328" s="23"/>
      <c r="D1328" s="24"/>
      <c r="E1328" s="14"/>
      <c r="F1328" s="14"/>
      <c r="G1328" s="14"/>
      <c r="H1328" s="23"/>
      <c r="I1328" s="27"/>
      <c r="J1328" s="23"/>
      <c r="K1328" s="30"/>
      <c r="L1328" s="23"/>
      <c r="M1328" s="20"/>
      <c r="N1328" s="20"/>
      <c r="O1328" s="20"/>
      <c r="P1328" s="20"/>
    </row>
    <row r="1329">
      <c r="A1329" s="10"/>
      <c r="B1329" s="11"/>
      <c r="C1329" s="10"/>
      <c r="D1329" s="13"/>
      <c r="E1329" s="14"/>
      <c r="F1329" s="14"/>
      <c r="G1329" s="14"/>
      <c r="H1329" s="10"/>
      <c r="I1329" s="17"/>
      <c r="J1329" s="10"/>
      <c r="K1329" s="46"/>
      <c r="L1329" s="10"/>
      <c r="M1329" s="20"/>
      <c r="N1329" s="20"/>
      <c r="O1329" s="20"/>
      <c r="P1329" s="20"/>
    </row>
    <row r="1330">
      <c r="A1330" s="23"/>
      <c r="B1330" s="21"/>
      <c r="C1330" s="23"/>
      <c r="D1330" s="24"/>
      <c r="E1330" s="14"/>
      <c r="F1330" s="14"/>
      <c r="G1330" s="14"/>
      <c r="H1330" s="23"/>
      <c r="I1330" s="27"/>
      <c r="J1330" s="23"/>
      <c r="K1330" s="30"/>
      <c r="L1330" s="23"/>
      <c r="M1330" s="20"/>
      <c r="N1330" s="20"/>
      <c r="O1330" s="20"/>
      <c r="P1330" s="20"/>
    </row>
    <row r="1331">
      <c r="A1331" s="10"/>
      <c r="B1331" s="11"/>
      <c r="C1331" s="10"/>
      <c r="D1331" s="13"/>
      <c r="E1331" s="14"/>
      <c r="F1331" s="14"/>
      <c r="G1331" s="14"/>
      <c r="H1331" s="10"/>
      <c r="I1331" s="17"/>
      <c r="J1331" s="10"/>
      <c r="K1331" s="46"/>
      <c r="L1331" s="10"/>
      <c r="M1331" s="20"/>
      <c r="N1331" s="20"/>
      <c r="O1331" s="20"/>
      <c r="P1331" s="20"/>
    </row>
    <row r="1332">
      <c r="A1332" s="23"/>
      <c r="B1332" s="21"/>
      <c r="C1332" s="23"/>
      <c r="D1332" s="24"/>
      <c r="E1332" s="14"/>
      <c r="F1332" s="14"/>
      <c r="G1332" s="14"/>
      <c r="H1332" s="23"/>
      <c r="I1332" s="27"/>
      <c r="J1332" s="23"/>
      <c r="K1332" s="30"/>
      <c r="L1332" s="23"/>
      <c r="M1332" s="20"/>
      <c r="N1332" s="20"/>
      <c r="O1332" s="20"/>
      <c r="P1332" s="20"/>
    </row>
    <row r="1333">
      <c r="A1333" s="10"/>
      <c r="B1333" s="11"/>
      <c r="C1333" s="10"/>
      <c r="D1333" s="13"/>
      <c r="E1333" s="14"/>
      <c r="F1333" s="14"/>
      <c r="G1333" s="14"/>
      <c r="H1333" s="10"/>
      <c r="I1333" s="17"/>
      <c r="J1333" s="10"/>
      <c r="K1333" s="46"/>
      <c r="L1333" s="10"/>
      <c r="M1333" s="20"/>
      <c r="N1333" s="20"/>
      <c r="O1333" s="20"/>
      <c r="P1333" s="20"/>
    </row>
    <row r="1334">
      <c r="A1334" s="23"/>
      <c r="B1334" s="21"/>
      <c r="C1334" s="23"/>
      <c r="D1334" s="24"/>
      <c r="E1334" s="14"/>
      <c r="F1334" s="14"/>
      <c r="G1334" s="14"/>
      <c r="H1334" s="23"/>
      <c r="I1334" s="27"/>
      <c r="J1334" s="23"/>
      <c r="K1334" s="30"/>
      <c r="L1334" s="23"/>
      <c r="M1334" s="20"/>
      <c r="N1334" s="20"/>
      <c r="O1334" s="20"/>
      <c r="P1334" s="20"/>
    </row>
    <row r="1335">
      <c r="A1335" s="10"/>
      <c r="B1335" s="11"/>
      <c r="C1335" s="10"/>
      <c r="D1335" s="13"/>
      <c r="E1335" s="14"/>
      <c r="F1335" s="14"/>
      <c r="G1335" s="14"/>
      <c r="H1335" s="10"/>
      <c r="I1335" s="17"/>
      <c r="J1335" s="10"/>
      <c r="K1335" s="46"/>
      <c r="L1335" s="10"/>
      <c r="M1335" s="20"/>
      <c r="N1335" s="20"/>
      <c r="O1335" s="20"/>
      <c r="P1335" s="20"/>
    </row>
    <row r="1336">
      <c r="A1336" s="23"/>
      <c r="B1336" s="21"/>
      <c r="C1336" s="23"/>
      <c r="D1336" s="24"/>
      <c r="E1336" s="14"/>
      <c r="F1336" s="14"/>
      <c r="G1336" s="14"/>
      <c r="H1336" s="23"/>
      <c r="I1336" s="27"/>
      <c r="J1336" s="23"/>
      <c r="K1336" s="30"/>
      <c r="L1336" s="23"/>
      <c r="M1336" s="20"/>
      <c r="N1336" s="20"/>
      <c r="O1336" s="20"/>
      <c r="P1336" s="20"/>
    </row>
    <row r="1337">
      <c r="A1337" s="10"/>
      <c r="B1337" s="11"/>
      <c r="C1337" s="10"/>
      <c r="D1337" s="13"/>
      <c r="E1337" s="14"/>
      <c r="F1337" s="14"/>
      <c r="G1337" s="14"/>
      <c r="H1337" s="10"/>
      <c r="I1337" s="17"/>
      <c r="J1337" s="10"/>
      <c r="K1337" s="46"/>
      <c r="L1337" s="10"/>
      <c r="M1337" s="20"/>
      <c r="N1337" s="20"/>
      <c r="O1337" s="20"/>
      <c r="P1337" s="20"/>
    </row>
    <row r="1338">
      <c r="A1338" s="23"/>
      <c r="B1338" s="21"/>
      <c r="C1338" s="23"/>
      <c r="D1338" s="24"/>
      <c r="E1338" s="14"/>
      <c r="F1338" s="14"/>
      <c r="G1338" s="14"/>
      <c r="H1338" s="23"/>
      <c r="I1338" s="27"/>
      <c r="J1338" s="23"/>
      <c r="K1338" s="30"/>
      <c r="L1338" s="23"/>
      <c r="M1338" s="20"/>
      <c r="N1338" s="20"/>
      <c r="O1338" s="20"/>
      <c r="P1338" s="20"/>
    </row>
    <row r="1339">
      <c r="A1339" s="10"/>
      <c r="B1339" s="11"/>
      <c r="C1339" s="10"/>
      <c r="D1339" s="13"/>
      <c r="E1339" s="14"/>
      <c r="F1339" s="14"/>
      <c r="G1339" s="14"/>
      <c r="H1339" s="10"/>
      <c r="I1339" s="17"/>
      <c r="J1339" s="10"/>
      <c r="K1339" s="46"/>
      <c r="L1339" s="10"/>
      <c r="M1339" s="20"/>
      <c r="N1339" s="20"/>
      <c r="O1339" s="20"/>
      <c r="P1339" s="20"/>
    </row>
    <row r="1340">
      <c r="A1340" s="23"/>
      <c r="B1340" s="21"/>
      <c r="C1340" s="23"/>
      <c r="D1340" s="24"/>
      <c r="E1340" s="14"/>
      <c r="F1340" s="14"/>
      <c r="G1340" s="14"/>
      <c r="H1340" s="23"/>
      <c r="I1340" s="27"/>
      <c r="J1340" s="23"/>
      <c r="K1340" s="30"/>
      <c r="L1340" s="23"/>
      <c r="M1340" s="20"/>
      <c r="N1340" s="20"/>
      <c r="O1340" s="20"/>
      <c r="P1340" s="20"/>
    </row>
    <row r="1341">
      <c r="A1341" s="10"/>
      <c r="B1341" s="11"/>
      <c r="C1341" s="10"/>
      <c r="D1341" s="13"/>
      <c r="E1341" s="14"/>
      <c r="F1341" s="14"/>
      <c r="G1341" s="14"/>
      <c r="H1341" s="10"/>
      <c r="I1341" s="17"/>
      <c r="J1341" s="10"/>
      <c r="K1341" s="46"/>
      <c r="L1341" s="10"/>
      <c r="M1341" s="20"/>
      <c r="N1341" s="20"/>
      <c r="O1341" s="20"/>
      <c r="P1341" s="20"/>
    </row>
    <row r="1342">
      <c r="A1342" s="23"/>
      <c r="B1342" s="21"/>
      <c r="C1342" s="23"/>
      <c r="D1342" s="24"/>
      <c r="E1342" s="14"/>
      <c r="F1342" s="14"/>
      <c r="G1342" s="14"/>
      <c r="H1342" s="23"/>
      <c r="I1342" s="27"/>
      <c r="J1342" s="23"/>
      <c r="K1342" s="30"/>
      <c r="L1342" s="23"/>
      <c r="M1342" s="20"/>
      <c r="N1342" s="20"/>
      <c r="O1342" s="20"/>
      <c r="P1342" s="20"/>
    </row>
    <row r="1343">
      <c r="A1343" s="10"/>
      <c r="B1343" s="11"/>
      <c r="C1343" s="10"/>
      <c r="D1343" s="13"/>
      <c r="E1343" s="14"/>
      <c r="F1343" s="14"/>
      <c r="G1343" s="14"/>
      <c r="H1343" s="10"/>
      <c r="I1343" s="17"/>
      <c r="J1343" s="10"/>
      <c r="K1343" s="46"/>
      <c r="L1343" s="10"/>
      <c r="M1343" s="20"/>
      <c r="N1343" s="20"/>
      <c r="O1343" s="20"/>
      <c r="P1343" s="20"/>
    </row>
    <row r="1344">
      <c r="A1344" s="23"/>
      <c r="B1344" s="21"/>
      <c r="C1344" s="23"/>
      <c r="D1344" s="24"/>
      <c r="E1344" s="14"/>
      <c r="F1344" s="14"/>
      <c r="G1344" s="14"/>
      <c r="H1344" s="23"/>
      <c r="I1344" s="27"/>
      <c r="J1344" s="23"/>
      <c r="K1344" s="30"/>
      <c r="L1344" s="23"/>
      <c r="M1344" s="20"/>
      <c r="N1344" s="20"/>
      <c r="O1344" s="20"/>
      <c r="P1344" s="20"/>
    </row>
    <row r="1345">
      <c r="A1345" s="10"/>
      <c r="B1345" s="11"/>
      <c r="C1345" s="10"/>
      <c r="D1345" s="13"/>
      <c r="E1345" s="14"/>
      <c r="F1345" s="14"/>
      <c r="G1345" s="14"/>
      <c r="H1345" s="10"/>
      <c r="I1345" s="17"/>
      <c r="J1345" s="10"/>
      <c r="K1345" s="46"/>
      <c r="L1345" s="10"/>
      <c r="M1345" s="20"/>
      <c r="N1345" s="20"/>
      <c r="O1345" s="20"/>
      <c r="P1345" s="20"/>
    </row>
    <row r="1346">
      <c r="A1346" s="23"/>
      <c r="B1346" s="21"/>
      <c r="C1346" s="23"/>
      <c r="D1346" s="24"/>
      <c r="E1346" s="14"/>
      <c r="F1346" s="14"/>
      <c r="G1346" s="14"/>
      <c r="H1346" s="23"/>
      <c r="I1346" s="27"/>
      <c r="J1346" s="23"/>
      <c r="K1346" s="30"/>
      <c r="L1346" s="23"/>
      <c r="M1346" s="20"/>
      <c r="N1346" s="20"/>
      <c r="O1346" s="20"/>
      <c r="P1346" s="20"/>
    </row>
    <row r="1347">
      <c r="A1347" s="10"/>
      <c r="B1347" s="11"/>
      <c r="C1347" s="10"/>
      <c r="D1347" s="13"/>
      <c r="E1347" s="14"/>
      <c r="F1347" s="14"/>
      <c r="G1347" s="14"/>
      <c r="H1347" s="10"/>
      <c r="I1347" s="17"/>
      <c r="J1347" s="10"/>
      <c r="K1347" s="46"/>
      <c r="L1347" s="10"/>
      <c r="M1347" s="20"/>
      <c r="N1347" s="20"/>
      <c r="O1347" s="20"/>
      <c r="P1347" s="20"/>
    </row>
    <row r="1348">
      <c r="A1348" s="23"/>
      <c r="B1348" s="21"/>
      <c r="C1348" s="23"/>
      <c r="D1348" s="24"/>
      <c r="E1348" s="14"/>
      <c r="F1348" s="14"/>
      <c r="G1348" s="14"/>
      <c r="H1348" s="23"/>
      <c r="I1348" s="27"/>
      <c r="J1348" s="23"/>
      <c r="K1348" s="30"/>
      <c r="L1348" s="23"/>
      <c r="M1348" s="20"/>
      <c r="N1348" s="20"/>
      <c r="O1348" s="20"/>
      <c r="P1348" s="20"/>
    </row>
    <row r="1349">
      <c r="A1349" s="10"/>
      <c r="B1349" s="11"/>
      <c r="C1349" s="10"/>
      <c r="D1349" s="13"/>
      <c r="E1349" s="14"/>
      <c r="F1349" s="14"/>
      <c r="G1349" s="14"/>
      <c r="H1349" s="10"/>
      <c r="I1349" s="17"/>
      <c r="J1349" s="10"/>
      <c r="K1349" s="46"/>
      <c r="L1349" s="10"/>
      <c r="M1349" s="20"/>
      <c r="N1349" s="20"/>
      <c r="O1349" s="20"/>
      <c r="P1349" s="20"/>
    </row>
    <row r="1350">
      <c r="A1350" s="23"/>
      <c r="B1350" s="21"/>
      <c r="C1350" s="23"/>
      <c r="D1350" s="24"/>
      <c r="E1350" s="14"/>
      <c r="F1350" s="14"/>
      <c r="G1350" s="14"/>
      <c r="H1350" s="23"/>
      <c r="I1350" s="27"/>
      <c r="J1350" s="23"/>
      <c r="K1350" s="30"/>
      <c r="L1350" s="23"/>
      <c r="M1350" s="20"/>
      <c r="N1350" s="20"/>
      <c r="O1350" s="20"/>
      <c r="P1350" s="20"/>
    </row>
    <row r="1351">
      <c r="A1351" s="10"/>
      <c r="B1351" s="11"/>
      <c r="C1351" s="10"/>
      <c r="D1351" s="13"/>
      <c r="E1351" s="14"/>
      <c r="F1351" s="14"/>
      <c r="G1351" s="14"/>
      <c r="H1351" s="10"/>
      <c r="I1351" s="17"/>
      <c r="J1351" s="10"/>
      <c r="K1351" s="46"/>
      <c r="L1351" s="10"/>
      <c r="M1351" s="20"/>
      <c r="N1351" s="20"/>
      <c r="O1351" s="20"/>
      <c r="P1351" s="20"/>
    </row>
    <row r="1352">
      <c r="A1352" s="23"/>
      <c r="B1352" s="21"/>
      <c r="C1352" s="23"/>
      <c r="D1352" s="24"/>
      <c r="E1352" s="14"/>
      <c r="F1352" s="14"/>
      <c r="G1352" s="14"/>
      <c r="H1352" s="23"/>
      <c r="I1352" s="27"/>
      <c r="J1352" s="23"/>
      <c r="K1352" s="30"/>
      <c r="L1352" s="23"/>
      <c r="M1352" s="20"/>
      <c r="N1352" s="20"/>
      <c r="O1352" s="20"/>
      <c r="P1352" s="20"/>
    </row>
    <row r="1353">
      <c r="A1353" s="10"/>
      <c r="B1353" s="11"/>
      <c r="C1353" s="10"/>
      <c r="D1353" s="13"/>
      <c r="E1353" s="14"/>
      <c r="F1353" s="14"/>
      <c r="G1353" s="14"/>
      <c r="H1353" s="10"/>
      <c r="I1353" s="17"/>
      <c r="J1353" s="10"/>
      <c r="K1353" s="46"/>
      <c r="L1353" s="10"/>
      <c r="M1353" s="20"/>
      <c r="N1353" s="20"/>
      <c r="O1353" s="20"/>
      <c r="P1353" s="20"/>
    </row>
    <row r="1354">
      <c r="A1354" s="23"/>
      <c r="B1354" s="21"/>
      <c r="C1354" s="23"/>
      <c r="D1354" s="24"/>
      <c r="E1354" s="14"/>
      <c r="F1354" s="14"/>
      <c r="G1354" s="14"/>
      <c r="H1354" s="23"/>
      <c r="I1354" s="27"/>
      <c r="J1354" s="23"/>
      <c r="K1354" s="30"/>
      <c r="L1354" s="23"/>
      <c r="M1354" s="20"/>
      <c r="N1354" s="20"/>
      <c r="O1354" s="20"/>
      <c r="P1354" s="20"/>
    </row>
    <row r="1355">
      <c r="A1355" s="10"/>
      <c r="B1355" s="11"/>
      <c r="C1355" s="10"/>
      <c r="D1355" s="13"/>
      <c r="E1355" s="14"/>
      <c r="F1355" s="14"/>
      <c r="G1355" s="14"/>
      <c r="H1355" s="10"/>
      <c r="I1355" s="17"/>
      <c r="J1355" s="10"/>
      <c r="K1355" s="46"/>
      <c r="L1355" s="10"/>
      <c r="M1355" s="20"/>
      <c r="N1355" s="20"/>
      <c r="O1355" s="20"/>
      <c r="P1355" s="20"/>
    </row>
    <row r="1356">
      <c r="A1356" s="23"/>
      <c r="B1356" s="21"/>
      <c r="C1356" s="23"/>
      <c r="D1356" s="24"/>
      <c r="E1356" s="14"/>
      <c r="F1356" s="14"/>
      <c r="G1356" s="14"/>
      <c r="H1356" s="23"/>
      <c r="I1356" s="27"/>
      <c r="J1356" s="23"/>
      <c r="K1356" s="30"/>
      <c r="L1356" s="23"/>
      <c r="M1356" s="20"/>
      <c r="N1356" s="20"/>
      <c r="O1356" s="20"/>
      <c r="P1356" s="20"/>
    </row>
    <row r="1357">
      <c r="A1357" s="10"/>
      <c r="B1357" s="11"/>
      <c r="C1357" s="10"/>
      <c r="D1357" s="13"/>
      <c r="E1357" s="14"/>
      <c r="F1357" s="14"/>
      <c r="G1357" s="14"/>
      <c r="H1357" s="10"/>
      <c r="I1357" s="17"/>
      <c r="J1357" s="10"/>
      <c r="K1357" s="46"/>
      <c r="L1357" s="10"/>
      <c r="M1357" s="20"/>
      <c r="N1357" s="20"/>
      <c r="O1357" s="20"/>
      <c r="P1357" s="20"/>
    </row>
    <row r="1358">
      <c r="A1358" s="23"/>
      <c r="B1358" s="21"/>
      <c r="C1358" s="23"/>
      <c r="D1358" s="24"/>
      <c r="E1358" s="14"/>
      <c r="F1358" s="14"/>
      <c r="G1358" s="14"/>
      <c r="H1358" s="23"/>
      <c r="I1358" s="27"/>
      <c r="J1358" s="23"/>
      <c r="K1358" s="30"/>
      <c r="L1358" s="23"/>
      <c r="M1358" s="20"/>
      <c r="N1358" s="20"/>
      <c r="O1358" s="20"/>
      <c r="P1358" s="20"/>
    </row>
    <row r="1359">
      <c r="A1359" s="10"/>
      <c r="B1359" s="11"/>
      <c r="C1359" s="10"/>
      <c r="D1359" s="13"/>
      <c r="E1359" s="14"/>
      <c r="F1359" s="14"/>
      <c r="G1359" s="14"/>
      <c r="H1359" s="10"/>
      <c r="I1359" s="17"/>
      <c r="J1359" s="10"/>
      <c r="K1359" s="46"/>
      <c r="L1359" s="10"/>
      <c r="M1359" s="20"/>
      <c r="N1359" s="20"/>
      <c r="O1359" s="20"/>
      <c r="P1359" s="20"/>
    </row>
    <row r="1360">
      <c r="A1360" s="23"/>
      <c r="B1360" s="21"/>
      <c r="C1360" s="23"/>
      <c r="D1360" s="24"/>
      <c r="E1360" s="14"/>
      <c r="F1360" s="14"/>
      <c r="G1360" s="14"/>
      <c r="H1360" s="23"/>
      <c r="I1360" s="27"/>
      <c r="J1360" s="23"/>
      <c r="K1360" s="30"/>
      <c r="L1360" s="23"/>
      <c r="M1360" s="20"/>
      <c r="N1360" s="20"/>
      <c r="O1360" s="20"/>
      <c r="P1360" s="20"/>
    </row>
    <row r="1361">
      <c r="A1361" s="10"/>
      <c r="B1361" s="11"/>
      <c r="C1361" s="10"/>
      <c r="D1361" s="13"/>
      <c r="E1361" s="14"/>
      <c r="F1361" s="14"/>
      <c r="G1361" s="14"/>
      <c r="H1361" s="10"/>
      <c r="I1361" s="17"/>
      <c r="J1361" s="10"/>
      <c r="K1361" s="46"/>
      <c r="L1361" s="10"/>
      <c r="M1361" s="20"/>
      <c r="N1361" s="20"/>
      <c r="O1361" s="20"/>
      <c r="P1361" s="20"/>
    </row>
    <row r="1362">
      <c r="A1362" s="23"/>
      <c r="B1362" s="21"/>
      <c r="C1362" s="23"/>
      <c r="D1362" s="24"/>
      <c r="E1362" s="14"/>
      <c r="F1362" s="14"/>
      <c r="G1362" s="14"/>
      <c r="H1362" s="23"/>
      <c r="I1362" s="27"/>
      <c r="J1362" s="23"/>
      <c r="K1362" s="30"/>
      <c r="L1362" s="23"/>
      <c r="M1362" s="20"/>
      <c r="N1362" s="20"/>
      <c r="O1362" s="20"/>
      <c r="P1362" s="20"/>
    </row>
    <row r="1363">
      <c r="A1363" s="10"/>
      <c r="B1363" s="11"/>
      <c r="C1363" s="10"/>
      <c r="D1363" s="13"/>
      <c r="E1363" s="14"/>
      <c r="F1363" s="14"/>
      <c r="G1363" s="14"/>
      <c r="H1363" s="10"/>
      <c r="I1363" s="17"/>
      <c r="J1363" s="10"/>
      <c r="K1363" s="46"/>
      <c r="L1363" s="10"/>
      <c r="M1363" s="20"/>
      <c r="N1363" s="20"/>
      <c r="O1363" s="20"/>
      <c r="P1363" s="20"/>
    </row>
    <row r="1364">
      <c r="A1364" s="23"/>
      <c r="B1364" s="21"/>
      <c r="C1364" s="23"/>
      <c r="D1364" s="24"/>
      <c r="E1364" s="14"/>
      <c r="F1364" s="14"/>
      <c r="G1364" s="14"/>
      <c r="H1364" s="23"/>
      <c r="I1364" s="27"/>
      <c r="J1364" s="23"/>
      <c r="K1364" s="30"/>
      <c r="L1364" s="23"/>
      <c r="M1364" s="20"/>
      <c r="N1364" s="20"/>
      <c r="O1364" s="20"/>
      <c r="P1364" s="20"/>
    </row>
    <row r="1365">
      <c r="A1365" s="10"/>
      <c r="B1365" s="11"/>
      <c r="C1365" s="10"/>
      <c r="D1365" s="13"/>
      <c r="E1365" s="14"/>
      <c r="F1365" s="14"/>
      <c r="G1365" s="14"/>
      <c r="H1365" s="10"/>
      <c r="I1365" s="17"/>
      <c r="J1365" s="10"/>
      <c r="K1365" s="46"/>
      <c r="L1365" s="10"/>
      <c r="M1365" s="20"/>
      <c r="N1365" s="20"/>
      <c r="O1365" s="20"/>
      <c r="P1365" s="20"/>
    </row>
    <row r="1366">
      <c r="A1366" s="23"/>
      <c r="B1366" s="21"/>
      <c r="C1366" s="23"/>
      <c r="D1366" s="24"/>
      <c r="E1366" s="14"/>
      <c r="F1366" s="14"/>
      <c r="G1366" s="14"/>
      <c r="H1366" s="23"/>
      <c r="I1366" s="27"/>
      <c r="J1366" s="23"/>
      <c r="K1366" s="30"/>
      <c r="L1366" s="23"/>
      <c r="M1366" s="20"/>
      <c r="N1366" s="20"/>
      <c r="O1366" s="20"/>
      <c r="P1366" s="20"/>
    </row>
    <row r="1367">
      <c r="A1367" s="10"/>
      <c r="B1367" s="11"/>
      <c r="C1367" s="10"/>
      <c r="D1367" s="13"/>
      <c r="E1367" s="14"/>
      <c r="F1367" s="14"/>
      <c r="G1367" s="14"/>
      <c r="H1367" s="10"/>
      <c r="I1367" s="17"/>
      <c r="J1367" s="10"/>
      <c r="K1367" s="46"/>
      <c r="L1367" s="10"/>
      <c r="M1367" s="20"/>
      <c r="N1367" s="20"/>
      <c r="O1367" s="20"/>
      <c r="P1367" s="20"/>
    </row>
    <row r="1368">
      <c r="A1368" s="23"/>
      <c r="B1368" s="21"/>
      <c r="C1368" s="23"/>
      <c r="D1368" s="24"/>
      <c r="E1368" s="14"/>
      <c r="F1368" s="14"/>
      <c r="G1368" s="14"/>
      <c r="H1368" s="23"/>
      <c r="I1368" s="27"/>
      <c r="J1368" s="23"/>
      <c r="K1368" s="30"/>
      <c r="L1368" s="23"/>
      <c r="M1368" s="20"/>
      <c r="N1368" s="20"/>
      <c r="O1368" s="20"/>
      <c r="P1368" s="20"/>
    </row>
    <row r="1369">
      <c r="A1369" s="10"/>
      <c r="B1369" s="11"/>
      <c r="C1369" s="10"/>
      <c r="D1369" s="13"/>
      <c r="E1369" s="14"/>
      <c r="F1369" s="14"/>
      <c r="G1369" s="14"/>
      <c r="H1369" s="10"/>
      <c r="I1369" s="17"/>
      <c r="J1369" s="10"/>
      <c r="K1369" s="46"/>
      <c r="L1369" s="10"/>
      <c r="M1369" s="20"/>
      <c r="N1369" s="20"/>
      <c r="O1369" s="20"/>
      <c r="P1369" s="20"/>
    </row>
    <row r="1370">
      <c r="A1370" s="23"/>
      <c r="B1370" s="21"/>
      <c r="C1370" s="23"/>
      <c r="D1370" s="24"/>
      <c r="E1370" s="14"/>
      <c r="F1370" s="14"/>
      <c r="G1370" s="14"/>
      <c r="H1370" s="23"/>
      <c r="I1370" s="27"/>
      <c r="J1370" s="23"/>
      <c r="K1370" s="30"/>
      <c r="L1370" s="23"/>
      <c r="M1370" s="20"/>
      <c r="N1370" s="20"/>
      <c r="O1370" s="20"/>
      <c r="P1370" s="20"/>
    </row>
    <row r="1371">
      <c r="A1371" s="10"/>
      <c r="B1371" s="11"/>
      <c r="C1371" s="10"/>
      <c r="D1371" s="13"/>
      <c r="E1371" s="14"/>
      <c r="F1371" s="14"/>
      <c r="G1371" s="14"/>
      <c r="H1371" s="10"/>
      <c r="I1371" s="17"/>
      <c r="J1371" s="10"/>
      <c r="K1371" s="46"/>
      <c r="L1371" s="10"/>
      <c r="M1371" s="20"/>
      <c r="N1371" s="20"/>
      <c r="O1371" s="20"/>
      <c r="P1371" s="20"/>
    </row>
    <row r="1372">
      <c r="A1372" s="23"/>
      <c r="B1372" s="21"/>
      <c r="C1372" s="23"/>
      <c r="D1372" s="24"/>
      <c r="E1372" s="14"/>
      <c r="F1372" s="14"/>
      <c r="G1372" s="14"/>
      <c r="H1372" s="23"/>
      <c r="I1372" s="27"/>
      <c r="J1372" s="23"/>
      <c r="K1372" s="30"/>
      <c r="L1372" s="23"/>
      <c r="M1372" s="20"/>
      <c r="N1372" s="20"/>
      <c r="O1372" s="20"/>
      <c r="P1372" s="20"/>
    </row>
    <row r="1373">
      <c r="A1373" s="10"/>
      <c r="B1373" s="11"/>
      <c r="C1373" s="10"/>
      <c r="D1373" s="13"/>
      <c r="E1373" s="14"/>
      <c r="F1373" s="14"/>
      <c r="G1373" s="14"/>
      <c r="H1373" s="10"/>
      <c r="I1373" s="17"/>
      <c r="J1373" s="10"/>
      <c r="K1373" s="46"/>
      <c r="L1373" s="10"/>
      <c r="M1373" s="20"/>
      <c r="N1373" s="20"/>
      <c r="O1373" s="20"/>
      <c r="P1373" s="20"/>
    </row>
    <row r="1374">
      <c r="A1374" s="23"/>
      <c r="B1374" s="21"/>
      <c r="C1374" s="23"/>
      <c r="D1374" s="24"/>
      <c r="E1374" s="14"/>
      <c r="F1374" s="14"/>
      <c r="G1374" s="14"/>
      <c r="H1374" s="23"/>
      <c r="I1374" s="27"/>
      <c r="J1374" s="23"/>
      <c r="K1374" s="30"/>
      <c r="L1374" s="23"/>
      <c r="M1374" s="20"/>
      <c r="N1374" s="20"/>
      <c r="O1374" s="20"/>
      <c r="P1374" s="20"/>
    </row>
    <row r="1375">
      <c r="A1375" s="10"/>
      <c r="B1375" s="11"/>
      <c r="C1375" s="10"/>
      <c r="D1375" s="13"/>
      <c r="E1375" s="14"/>
      <c r="F1375" s="14"/>
      <c r="G1375" s="14"/>
      <c r="H1375" s="10"/>
      <c r="I1375" s="17"/>
      <c r="J1375" s="10"/>
      <c r="K1375" s="46"/>
      <c r="L1375" s="10"/>
      <c r="M1375" s="20"/>
      <c r="N1375" s="20"/>
      <c r="O1375" s="20"/>
      <c r="P1375" s="20"/>
    </row>
    <row r="1376">
      <c r="A1376" s="23"/>
      <c r="B1376" s="21"/>
      <c r="C1376" s="23"/>
      <c r="D1376" s="24"/>
      <c r="E1376" s="14"/>
      <c r="F1376" s="14"/>
      <c r="G1376" s="14"/>
      <c r="H1376" s="23"/>
      <c r="I1376" s="27"/>
      <c r="J1376" s="23"/>
      <c r="K1376" s="30"/>
      <c r="L1376" s="23"/>
      <c r="M1376" s="20"/>
      <c r="N1376" s="20"/>
      <c r="O1376" s="20"/>
      <c r="P1376" s="20"/>
    </row>
    <row r="1377">
      <c r="A1377" s="10"/>
      <c r="B1377" s="11"/>
      <c r="C1377" s="10"/>
      <c r="D1377" s="13"/>
      <c r="E1377" s="14"/>
      <c r="F1377" s="14"/>
      <c r="G1377" s="14"/>
      <c r="H1377" s="10"/>
      <c r="I1377" s="17"/>
      <c r="J1377" s="10"/>
      <c r="K1377" s="46"/>
      <c r="L1377" s="10"/>
      <c r="M1377" s="20"/>
      <c r="N1377" s="20"/>
      <c r="O1377" s="20"/>
      <c r="P1377" s="20"/>
    </row>
    <row r="1378">
      <c r="A1378" s="23"/>
      <c r="B1378" s="21"/>
      <c r="C1378" s="23"/>
      <c r="D1378" s="24"/>
      <c r="E1378" s="14"/>
      <c r="F1378" s="14"/>
      <c r="G1378" s="14"/>
      <c r="H1378" s="23"/>
      <c r="I1378" s="27"/>
      <c r="J1378" s="23"/>
      <c r="K1378" s="30"/>
      <c r="L1378" s="23"/>
      <c r="M1378" s="20"/>
      <c r="N1378" s="20"/>
      <c r="O1378" s="20"/>
      <c r="P1378" s="20"/>
    </row>
    <row r="1379">
      <c r="A1379" s="10"/>
      <c r="B1379" s="11"/>
      <c r="C1379" s="10"/>
      <c r="D1379" s="13"/>
      <c r="E1379" s="14"/>
      <c r="F1379" s="14"/>
      <c r="G1379" s="14"/>
      <c r="H1379" s="10"/>
      <c r="I1379" s="17"/>
      <c r="J1379" s="10"/>
      <c r="K1379" s="46"/>
      <c r="L1379" s="10"/>
      <c r="M1379" s="20"/>
      <c r="N1379" s="20"/>
      <c r="O1379" s="20"/>
      <c r="P1379" s="20"/>
    </row>
    <row r="1380">
      <c r="A1380" s="23"/>
      <c r="B1380" s="21"/>
      <c r="C1380" s="23"/>
      <c r="D1380" s="24"/>
      <c r="E1380" s="14"/>
      <c r="F1380" s="14"/>
      <c r="G1380" s="14"/>
      <c r="H1380" s="23"/>
      <c r="I1380" s="27"/>
      <c r="J1380" s="23"/>
      <c r="K1380" s="30"/>
      <c r="L1380" s="23"/>
      <c r="M1380" s="20"/>
      <c r="N1380" s="20"/>
      <c r="O1380" s="20"/>
      <c r="P1380" s="20"/>
    </row>
    <row r="1381">
      <c r="A1381" s="10"/>
      <c r="B1381" s="11"/>
      <c r="C1381" s="10"/>
      <c r="D1381" s="13"/>
      <c r="E1381" s="14"/>
      <c r="F1381" s="14"/>
      <c r="G1381" s="14"/>
      <c r="H1381" s="10"/>
      <c r="I1381" s="17"/>
      <c r="J1381" s="10"/>
      <c r="K1381" s="46"/>
      <c r="L1381" s="10"/>
      <c r="M1381" s="20"/>
      <c r="N1381" s="20"/>
      <c r="O1381" s="20"/>
      <c r="P1381" s="20"/>
    </row>
    <row r="1382">
      <c r="A1382" s="23"/>
      <c r="B1382" s="21"/>
      <c r="C1382" s="23"/>
      <c r="D1382" s="24"/>
      <c r="E1382" s="14"/>
      <c r="F1382" s="14"/>
      <c r="G1382" s="14"/>
      <c r="H1382" s="23"/>
      <c r="I1382" s="27"/>
      <c r="J1382" s="23"/>
      <c r="K1382" s="30"/>
      <c r="L1382" s="23"/>
      <c r="M1382" s="20"/>
      <c r="N1382" s="20"/>
      <c r="O1382" s="20"/>
      <c r="P1382" s="20"/>
    </row>
    <row r="1383">
      <c r="A1383" s="10"/>
      <c r="B1383" s="11"/>
      <c r="C1383" s="10"/>
      <c r="D1383" s="13"/>
      <c r="E1383" s="14"/>
      <c r="F1383" s="14"/>
      <c r="G1383" s="14"/>
      <c r="H1383" s="10"/>
      <c r="I1383" s="17"/>
      <c r="J1383" s="10"/>
      <c r="K1383" s="46"/>
      <c r="L1383" s="10"/>
      <c r="M1383" s="20"/>
      <c r="N1383" s="20"/>
      <c r="O1383" s="20"/>
      <c r="P1383" s="20"/>
    </row>
    <row r="1384">
      <c r="A1384" s="23"/>
      <c r="B1384" s="21"/>
      <c r="C1384" s="23"/>
      <c r="D1384" s="24"/>
      <c r="E1384" s="14"/>
      <c r="F1384" s="14"/>
      <c r="G1384" s="14"/>
      <c r="H1384" s="23"/>
      <c r="I1384" s="27"/>
      <c r="J1384" s="23"/>
      <c r="K1384" s="30"/>
      <c r="L1384" s="23"/>
      <c r="M1384" s="20"/>
      <c r="N1384" s="20"/>
      <c r="O1384" s="20"/>
      <c r="P1384" s="20"/>
    </row>
    <row r="1385">
      <c r="A1385" s="10"/>
      <c r="B1385" s="11"/>
      <c r="C1385" s="10"/>
      <c r="D1385" s="13"/>
      <c r="E1385" s="14"/>
      <c r="F1385" s="14"/>
      <c r="G1385" s="14"/>
      <c r="H1385" s="10"/>
      <c r="I1385" s="17"/>
      <c r="J1385" s="10"/>
      <c r="K1385" s="46"/>
      <c r="L1385" s="10"/>
      <c r="M1385" s="20"/>
      <c r="N1385" s="20"/>
      <c r="O1385" s="20"/>
      <c r="P1385" s="20"/>
    </row>
    <row r="1386">
      <c r="A1386" s="23"/>
      <c r="B1386" s="21"/>
      <c r="C1386" s="23"/>
      <c r="D1386" s="24"/>
      <c r="E1386" s="14"/>
      <c r="F1386" s="14"/>
      <c r="G1386" s="14"/>
      <c r="H1386" s="23"/>
      <c r="I1386" s="27"/>
      <c r="J1386" s="23"/>
      <c r="K1386" s="30"/>
      <c r="L1386" s="23"/>
      <c r="M1386" s="20"/>
      <c r="N1386" s="20"/>
      <c r="O1386" s="20"/>
      <c r="P1386" s="20"/>
    </row>
    <row r="1387">
      <c r="A1387" s="10"/>
      <c r="B1387" s="11"/>
      <c r="C1387" s="10"/>
      <c r="D1387" s="13"/>
      <c r="E1387" s="14"/>
      <c r="F1387" s="14"/>
      <c r="G1387" s="14"/>
      <c r="H1387" s="10"/>
      <c r="I1387" s="17"/>
      <c r="J1387" s="10"/>
      <c r="K1387" s="46"/>
      <c r="L1387" s="10"/>
      <c r="M1387" s="20"/>
      <c r="N1387" s="20"/>
      <c r="O1387" s="20"/>
      <c r="P1387" s="20"/>
    </row>
    <row r="1388">
      <c r="A1388" s="23"/>
      <c r="B1388" s="21"/>
      <c r="C1388" s="23"/>
      <c r="D1388" s="24"/>
      <c r="E1388" s="14"/>
      <c r="F1388" s="14"/>
      <c r="G1388" s="14"/>
      <c r="H1388" s="23"/>
      <c r="I1388" s="27"/>
      <c r="J1388" s="23"/>
      <c r="K1388" s="30"/>
      <c r="L1388" s="23"/>
      <c r="M1388" s="20"/>
      <c r="N1388" s="20"/>
      <c r="O1388" s="20"/>
      <c r="P1388" s="20"/>
    </row>
    <row r="1389">
      <c r="A1389" s="10"/>
      <c r="B1389" s="11"/>
      <c r="C1389" s="10"/>
      <c r="D1389" s="13"/>
      <c r="E1389" s="14"/>
      <c r="F1389" s="14"/>
      <c r="G1389" s="14"/>
      <c r="H1389" s="10"/>
      <c r="I1389" s="17"/>
      <c r="J1389" s="10"/>
      <c r="K1389" s="46"/>
      <c r="L1389" s="10"/>
      <c r="M1389" s="20"/>
      <c r="N1389" s="20"/>
      <c r="O1389" s="20"/>
      <c r="P1389" s="20"/>
    </row>
    <row r="1390">
      <c r="A1390" s="23"/>
      <c r="B1390" s="21"/>
      <c r="C1390" s="23"/>
      <c r="D1390" s="24"/>
      <c r="E1390" s="14"/>
      <c r="F1390" s="14"/>
      <c r="G1390" s="14"/>
      <c r="H1390" s="23"/>
      <c r="I1390" s="27"/>
      <c r="J1390" s="23"/>
      <c r="K1390" s="30"/>
      <c r="L1390" s="23"/>
      <c r="M1390" s="20"/>
      <c r="N1390" s="20"/>
      <c r="O1390" s="20"/>
      <c r="P1390" s="20"/>
    </row>
    <row r="1391">
      <c r="A1391" s="10"/>
      <c r="B1391" s="11"/>
      <c r="C1391" s="10"/>
      <c r="D1391" s="13"/>
      <c r="E1391" s="14"/>
      <c r="F1391" s="14"/>
      <c r="G1391" s="14"/>
      <c r="H1391" s="10"/>
      <c r="I1391" s="17"/>
      <c r="J1391" s="10"/>
      <c r="K1391" s="46"/>
      <c r="L1391" s="10"/>
      <c r="M1391" s="20"/>
      <c r="N1391" s="20"/>
      <c r="O1391" s="20"/>
      <c r="P1391" s="20"/>
    </row>
    <row r="1392">
      <c r="A1392" s="23"/>
      <c r="B1392" s="21"/>
      <c r="C1392" s="23"/>
      <c r="D1392" s="24"/>
      <c r="E1392" s="14"/>
      <c r="F1392" s="14"/>
      <c r="G1392" s="14"/>
      <c r="H1392" s="23"/>
      <c r="I1392" s="27"/>
      <c r="J1392" s="23"/>
      <c r="K1392" s="30"/>
      <c r="L1392" s="23"/>
      <c r="M1392" s="20"/>
      <c r="N1392" s="20"/>
      <c r="O1392" s="20"/>
      <c r="P1392" s="20"/>
    </row>
    <row r="1393">
      <c r="A1393" s="10"/>
      <c r="B1393" s="11"/>
      <c r="C1393" s="10"/>
      <c r="D1393" s="13"/>
      <c r="E1393" s="14"/>
      <c r="F1393" s="14"/>
      <c r="G1393" s="14"/>
      <c r="H1393" s="10"/>
      <c r="I1393" s="17"/>
      <c r="J1393" s="10"/>
      <c r="K1393" s="46"/>
      <c r="L1393" s="10"/>
      <c r="M1393" s="20"/>
      <c r="N1393" s="20"/>
      <c r="O1393" s="20"/>
      <c r="P1393" s="20"/>
    </row>
    <row r="1394">
      <c r="A1394" s="23"/>
      <c r="B1394" s="21"/>
      <c r="C1394" s="23"/>
      <c r="D1394" s="24"/>
      <c r="E1394" s="14"/>
      <c r="F1394" s="14"/>
      <c r="G1394" s="14"/>
      <c r="H1394" s="23"/>
      <c r="I1394" s="27"/>
      <c r="J1394" s="23"/>
      <c r="K1394" s="30"/>
      <c r="L1394" s="23"/>
      <c r="M1394" s="20"/>
      <c r="N1394" s="20"/>
      <c r="O1394" s="20"/>
      <c r="P1394" s="20"/>
    </row>
    <row r="1395">
      <c r="A1395" s="10"/>
      <c r="B1395" s="11"/>
      <c r="C1395" s="10"/>
      <c r="D1395" s="13"/>
      <c r="E1395" s="14"/>
      <c r="F1395" s="14"/>
      <c r="G1395" s="14"/>
      <c r="H1395" s="10"/>
      <c r="I1395" s="17"/>
      <c r="J1395" s="10"/>
      <c r="K1395" s="46"/>
      <c r="L1395" s="10"/>
      <c r="M1395" s="20"/>
      <c r="N1395" s="20"/>
      <c r="O1395" s="20"/>
      <c r="P1395" s="20"/>
    </row>
    <row r="1396">
      <c r="A1396" s="23"/>
      <c r="B1396" s="21"/>
      <c r="C1396" s="23"/>
      <c r="D1396" s="24"/>
      <c r="E1396" s="14"/>
      <c r="F1396" s="14"/>
      <c r="G1396" s="14"/>
      <c r="H1396" s="23"/>
      <c r="I1396" s="27"/>
      <c r="J1396" s="23"/>
      <c r="K1396" s="30"/>
      <c r="L1396" s="23"/>
      <c r="M1396" s="20"/>
      <c r="N1396" s="20"/>
      <c r="O1396" s="20"/>
      <c r="P1396" s="20"/>
    </row>
    <row r="1397">
      <c r="A1397" s="10"/>
      <c r="B1397" s="11"/>
      <c r="C1397" s="10"/>
      <c r="D1397" s="13"/>
      <c r="E1397" s="14"/>
      <c r="F1397" s="14"/>
      <c r="G1397" s="14"/>
      <c r="H1397" s="10"/>
      <c r="I1397" s="17"/>
      <c r="J1397" s="10"/>
      <c r="K1397" s="46"/>
      <c r="L1397" s="10"/>
      <c r="M1397" s="20"/>
      <c r="N1397" s="20"/>
      <c r="O1397" s="20"/>
      <c r="P1397" s="20"/>
    </row>
    <row r="1398">
      <c r="A1398" s="23"/>
      <c r="B1398" s="21"/>
      <c r="C1398" s="23"/>
      <c r="D1398" s="24"/>
      <c r="E1398" s="14"/>
      <c r="F1398" s="14"/>
      <c r="G1398" s="14"/>
      <c r="H1398" s="23"/>
      <c r="I1398" s="27"/>
      <c r="J1398" s="23"/>
      <c r="K1398" s="30"/>
      <c r="L1398" s="23"/>
      <c r="M1398" s="20"/>
      <c r="N1398" s="20"/>
      <c r="O1398" s="20"/>
      <c r="P1398" s="20"/>
    </row>
    <row r="1399">
      <c r="A1399" s="10"/>
      <c r="B1399" s="11"/>
      <c r="C1399" s="10"/>
      <c r="D1399" s="13"/>
      <c r="E1399" s="14"/>
      <c r="F1399" s="14"/>
      <c r="G1399" s="14"/>
      <c r="H1399" s="10"/>
      <c r="I1399" s="17"/>
      <c r="J1399" s="10"/>
      <c r="K1399" s="46"/>
      <c r="L1399" s="10"/>
      <c r="M1399" s="20"/>
      <c r="N1399" s="20"/>
      <c r="O1399" s="20"/>
      <c r="P1399" s="20"/>
    </row>
    <row r="1400">
      <c r="A1400" s="23"/>
      <c r="B1400" s="21"/>
      <c r="C1400" s="23"/>
      <c r="D1400" s="24"/>
      <c r="E1400" s="14"/>
      <c r="F1400" s="14"/>
      <c r="G1400" s="14"/>
      <c r="H1400" s="23"/>
      <c r="I1400" s="27"/>
      <c r="J1400" s="23"/>
      <c r="K1400" s="30"/>
      <c r="L1400" s="23"/>
      <c r="M1400" s="20"/>
      <c r="N1400" s="20"/>
      <c r="O1400" s="20"/>
      <c r="P1400" s="20"/>
    </row>
    <row r="1401">
      <c r="A1401" s="10"/>
      <c r="B1401" s="11"/>
      <c r="C1401" s="10"/>
      <c r="D1401" s="13"/>
      <c r="E1401" s="14"/>
      <c r="F1401" s="14"/>
      <c r="G1401" s="14"/>
      <c r="H1401" s="10"/>
      <c r="I1401" s="17"/>
      <c r="J1401" s="10"/>
      <c r="K1401" s="46"/>
      <c r="L1401" s="10"/>
      <c r="M1401" s="20"/>
      <c r="N1401" s="20"/>
      <c r="O1401" s="20"/>
      <c r="P1401" s="20"/>
    </row>
    <row r="1402">
      <c r="A1402" s="23"/>
      <c r="B1402" s="21"/>
      <c r="C1402" s="23"/>
      <c r="D1402" s="24"/>
      <c r="E1402" s="14"/>
      <c r="F1402" s="14"/>
      <c r="G1402" s="14"/>
      <c r="H1402" s="23"/>
      <c r="I1402" s="27"/>
      <c r="J1402" s="23"/>
      <c r="K1402" s="30"/>
      <c r="L1402" s="23"/>
      <c r="M1402" s="20"/>
      <c r="N1402" s="20"/>
      <c r="O1402" s="20"/>
      <c r="P1402" s="20"/>
    </row>
    <row r="1403">
      <c r="A1403" s="10"/>
      <c r="B1403" s="11"/>
      <c r="C1403" s="10"/>
      <c r="D1403" s="13"/>
      <c r="E1403" s="14"/>
      <c r="F1403" s="14"/>
      <c r="G1403" s="14"/>
      <c r="H1403" s="10"/>
      <c r="I1403" s="17"/>
      <c r="J1403" s="10"/>
      <c r="K1403" s="46"/>
      <c r="L1403" s="10"/>
      <c r="M1403" s="20"/>
      <c r="N1403" s="20"/>
      <c r="O1403" s="20"/>
      <c r="P1403" s="20"/>
    </row>
    <row r="1404">
      <c r="A1404" s="23"/>
      <c r="B1404" s="21"/>
      <c r="C1404" s="23"/>
      <c r="D1404" s="24"/>
      <c r="E1404" s="14"/>
      <c r="F1404" s="14"/>
      <c r="G1404" s="14"/>
      <c r="H1404" s="23"/>
      <c r="I1404" s="27"/>
      <c r="J1404" s="23"/>
      <c r="K1404" s="30"/>
      <c r="L1404" s="23"/>
      <c r="M1404" s="20"/>
      <c r="N1404" s="20"/>
      <c r="O1404" s="20"/>
      <c r="P1404" s="20"/>
    </row>
    <row r="1405">
      <c r="A1405" s="10"/>
      <c r="B1405" s="11"/>
      <c r="C1405" s="10"/>
      <c r="D1405" s="13"/>
      <c r="E1405" s="14"/>
      <c r="F1405" s="14"/>
      <c r="G1405" s="14"/>
      <c r="H1405" s="10"/>
      <c r="I1405" s="17"/>
      <c r="J1405" s="10"/>
      <c r="K1405" s="46"/>
      <c r="L1405" s="10"/>
      <c r="M1405" s="20"/>
      <c r="N1405" s="20"/>
      <c r="O1405" s="20"/>
      <c r="P1405" s="20"/>
    </row>
    <row r="1406">
      <c r="A1406" s="23"/>
      <c r="B1406" s="21"/>
      <c r="C1406" s="23"/>
      <c r="D1406" s="24"/>
      <c r="E1406" s="14"/>
      <c r="F1406" s="14"/>
      <c r="G1406" s="14"/>
      <c r="H1406" s="23"/>
      <c r="I1406" s="27"/>
      <c r="J1406" s="23"/>
      <c r="K1406" s="30"/>
      <c r="L1406" s="23"/>
      <c r="M1406" s="20"/>
      <c r="N1406" s="20"/>
      <c r="O1406" s="20"/>
      <c r="P1406" s="20"/>
    </row>
    <row r="1407">
      <c r="A1407" s="10"/>
      <c r="B1407" s="11"/>
      <c r="C1407" s="10"/>
      <c r="D1407" s="13"/>
      <c r="E1407" s="14"/>
      <c r="F1407" s="14"/>
      <c r="G1407" s="14"/>
      <c r="H1407" s="10"/>
      <c r="I1407" s="17"/>
      <c r="J1407" s="10"/>
      <c r="K1407" s="46"/>
      <c r="L1407" s="10"/>
      <c r="M1407" s="20"/>
      <c r="N1407" s="20"/>
      <c r="O1407" s="20"/>
      <c r="P1407" s="20"/>
    </row>
    <row r="1408">
      <c r="A1408" s="23"/>
      <c r="B1408" s="21"/>
      <c r="C1408" s="23"/>
      <c r="D1408" s="24"/>
      <c r="E1408" s="14"/>
      <c r="F1408" s="14"/>
      <c r="G1408" s="14"/>
      <c r="H1408" s="23"/>
      <c r="I1408" s="27"/>
      <c r="J1408" s="23"/>
      <c r="K1408" s="30"/>
      <c r="L1408" s="23"/>
      <c r="M1408" s="20"/>
      <c r="N1408" s="20"/>
      <c r="O1408" s="20"/>
      <c r="P1408" s="20"/>
    </row>
    <row r="1409">
      <c r="A1409" s="10"/>
      <c r="B1409" s="11"/>
      <c r="C1409" s="10"/>
      <c r="D1409" s="13"/>
      <c r="E1409" s="14"/>
      <c r="F1409" s="14"/>
      <c r="G1409" s="14"/>
      <c r="H1409" s="10"/>
      <c r="I1409" s="17"/>
      <c r="J1409" s="10"/>
      <c r="K1409" s="46"/>
      <c r="L1409" s="10"/>
      <c r="M1409" s="20"/>
      <c r="N1409" s="20"/>
      <c r="O1409" s="20"/>
      <c r="P1409" s="20"/>
    </row>
    <row r="1410">
      <c r="A1410" s="23"/>
      <c r="B1410" s="21"/>
      <c r="C1410" s="23"/>
      <c r="D1410" s="24"/>
      <c r="E1410" s="14"/>
      <c r="F1410" s="14"/>
      <c r="G1410" s="14"/>
      <c r="H1410" s="23"/>
      <c r="I1410" s="27"/>
      <c r="J1410" s="23"/>
      <c r="K1410" s="30"/>
      <c r="L1410" s="23"/>
      <c r="M1410" s="20"/>
      <c r="N1410" s="20"/>
      <c r="O1410" s="20"/>
      <c r="P1410" s="20"/>
    </row>
    <row r="1411">
      <c r="A1411" s="10"/>
      <c r="B1411" s="11"/>
      <c r="C1411" s="10"/>
      <c r="D1411" s="13"/>
      <c r="E1411" s="14"/>
      <c r="F1411" s="14"/>
      <c r="G1411" s="14"/>
      <c r="H1411" s="10"/>
      <c r="I1411" s="17"/>
      <c r="J1411" s="10"/>
      <c r="K1411" s="46"/>
      <c r="L1411" s="10"/>
      <c r="M1411" s="20"/>
      <c r="N1411" s="20"/>
      <c r="O1411" s="20"/>
      <c r="P1411" s="20"/>
    </row>
    <row r="1412">
      <c r="A1412" s="23"/>
      <c r="B1412" s="21"/>
      <c r="C1412" s="23"/>
      <c r="D1412" s="24"/>
      <c r="E1412" s="14"/>
      <c r="F1412" s="14"/>
      <c r="G1412" s="14"/>
      <c r="H1412" s="23"/>
      <c r="I1412" s="27"/>
      <c r="J1412" s="23"/>
      <c r="K1412" s="30"/>
      <c r="L1412" s="23"/>
      <c r="M1412" s="20"/>
      <c r="N1412" s="20"/>
      <c r="O1412" s="20"/>
      <c r="P1412" s="20"/>
    </row>
    <row r="1413">
      <c r="A1413" s="10"/>
      <c r="B1413" s="11"/>
      <c r="C1413" s="10"/>
      <c r="D1413" s="13"/>
      <c r="E1413" s="14"/>
      <c r="F1413" s="14"/>
      <c r="G1413" s="14"/>
      <c r="H1413" s="10"/>
      <c r="I1413" s="17"/>
      <c r="J1413" s="10"/>
      <c r="K1413" s="46"/>
      <c r="L1413" s="10"/>
      <c r="M1413" s="20"/>
      <c r="N1413" s="20"/>
      <c r="O1413" s="20"/>
      <c r="P1413" s="20"/>
    </row>
    <row r="1414">
      <c r="A1414" s="23"/>
      <c r="B1414" s="21"/>
      <c r="C1414" s="23"/>
      <c r="D1414" s="24"/>
      <c r="E1414" s="14"/>
      <c r="F1414" s="14"/>
      <c r="G1414" s="14"/>
      <c r="H1414" s="23"/>
      <c r="I1414" s="27"/>
      <c r="J1414" s="23"/>
      <c r="K1414" s="30"/>
      <c r="L1414" s="23"/>
      <c r="M1414" s="20"/>
      <c r="N1414" s="20"/>
      <c r="O1414" s="20"/>
      <c r="P1414" s="20"/>
    </row>
    <row r="1415">
      <c r="A1415" s="10"/>
      <c r="B1415" s="11"/>
      <c r="C1415" s="10"/>
      <c r="D1415" s="13"/>
      <c r="E1415" s="14"/>
      <c r="F1415" s="14"/>
      <c r="G1415" s="14"/>
      <c r="H1415" s="10"/>
      <c r="I1415" s="17"/>
      <c r="J1415" s="10"/>
      <c r="K1415" s="46"/>
      <c r="L1415" s="10"/>
      <c r="M1415" s="20"/>
      <c r="N1415" s="20"/>
      <c r="O1415" s="20"/>
      <c r="P1415" s="20"/>
    </row>
    <row r="1416">
      <c r="A1416" s="23"/>
      <c r="B1416" s="21"/>
      <c r="C1416" s="23"/>
      <c r="D1416" s="24"/>
      <c r="E1416" s="14"/>
      <c r="F1416" s="14"/>
      <c r="G1416" s="14"/>
      <c r="H1416" s="23"/>
      <c r="I1416" s="27"/>
      <c r="J1416" s="23"/>
      <c r="K1416" s="30"/>
      <c r="L1416" s="23"/>
      <c r="M1416" s="20"/>
      <c r="N1416" s="20"/>
      <c r="O1416" s="20"/>
      <c r="P1416" s="20"/>
    </row>
    <row r="1417">
      <c r="A1417" s="10"/>
      <c r="B1417" s="11"/>
      <c r="C1417" s="10"/>
      <c r="D1417" s="13"/>
      <c r="E1417" s="14"/>
      <c r="F1417" s="14"/>
      <c r="G1417" s="14"/>
      <c r="H1417" s="10"/>
      <c r="I1417" s="17"/>
      <c r="J1417" s="10"/>
      <c r="K1417" s="46"/>
      <c r="L1417" s="10"/>
      <c r="M1417" s="20"/>
      <c r="N1417" s="20"/>
      <c r="O1417" s="20"/>
      <c r="P1417" s="20"/>
    </row>
    <row r="1418">
      <c r="A1418" s="23"/>
      <c r="B1418" s="21"/>
      <c r="C1418" s="23"/>
      <c r="D1418" s="24"/>
      <c r="E1418" s="14"/>
      <c r="F1418" s="14"/>
      <c r="G1418" s="14"/>
      <c r="H1418" s="23"/>
      <c r="I1418" s="27"/>
      <c r="J1418" s="23"/>
      <c r="K1418" s="30"/>
      <c r="L1418" s="23"/>
      <c r="M1418" s="20"/>
      <c r="N1418" s="20"/>
      <c r="O1418" s="20"/>
      <c r="P1418" s="20"/>
    </row>
    <row r="1419">
      <c r="A1419" s="10"/>
      <c r="B1419" s="11"/>
      <c r="C1419" s="10"/>
      <c r="D1419" s="13"/>
      <c r="E1419" s="14"/>
      <c r="F1419" s="14"/>
      <c r="G1419" s="14"/>
      <c r="H1419" s="10"/>
      <c r="I1419" s="17"/>
      <c r="J1419" s="10"/>
      <c r="K1419" s="46"/>
      <c r="L1419" s="10"/>
      <c r="M1419" s="20"/>
      <c r="N1419" s="20"/>
      <c r="O1419" s="20"/>
      <c r="P1419" s="20"/>
    </row>
    <row r="1420">
      <c r="A1420" s="23"/>
      <c r="B1420" s="21"/>
      <c r="C1420" s="23"/>
      <c r="D1420" s="24"/>
      <c r="E1420" s="14"/>
      <c r="F1420" s="14"/>
      <c r="G1420" s="14"/>
      <c r="H1420" s="23"/>
      <c r="I1420" s="27"/>
      <c r="J1420" s="23"/>
      <c r="K1420" s="30"/>
      <c r="L1420" s="23"/>
      <c r="M1420" s="20"/>
      <c r="N1420" s="20"/>
      <c r="O1420" s="20"/>
      <c r="P1420" s="20"/>
    </row>
    <row r="1421">
      <c r="A1421" s="10"/>
      <c r="B1421" s="11"/>
      <c r="C1421" s="10"/>
      <c r="D1421" s="13"/>
      <c r="E1421" s="14"/>
      <c r="F1421" s="14"/>
      <c r="G1421" s="14"/>
      <c r="H1421" s="10"/>
      <c r="I1421" s="17"/>
      <c r="J1421" s="10"/>
      <c r="K1421" s="46"/>
      <c r="L1421" s="10"/>
      <c r="M1421" s="20"/>
      <c r="N1421" s="20"/>
      <c r="O1421" s="20"/>
      <c r="P1421" s="20"/>
    </row>
    <row r="1422">
      <c r="A1422" s="23"/>
      <c r="B1422" s="21"/>
      <c r="C1422" s="23"/>
      <c r="D1422" s="24"/>
      <c r="E1422" s="14"/>
      <c r="F1422" s="14"/>
      <c r="G1422" s="14"/>
      <c r="H1422" s="23"/>
      <c r="I1422" s="27"/>
      <c r="J1422" s="23"/>
      <c r="K1422" s="30"/>
      <c r="L1422" s="23"/>
      <c r="M1422" s="20"/>
      <c r="N1422" s="20"/>
      <c r="O1422" s="20"/>
      <c r="P1422" s="20"/>
    </row>
    <row r="1423">
      <c r="A1423" s="10"/>
      <c r="B1423" s="11"/>
      <c r="C1423" s="10"/>
      <c r="D1423" s="13"/>
      <c r="E1423" s="14"/>
      <c r="F1423" s="14"/>
      <c r="G1423" s="14"/>
      <c r="H1423" s="10"/>
      <c r="I1423" s="17"/>
      <c r="J1423" s="10"/>
      <c r="K1423" s="46"/>
      <c r="L1423" s="10"/>
      <c r="M1423" s="20"/>
      <c r="N1423" s="20"/>
      <c r="O1423" s="20"/>
      <c r="P1423" s="20"/>
    </row>
    <row r="1424">
      <c r="A1424" s="23"/>
      <c r="B1424" s="21"/>
      <c r="C1424" s="23"/>
      <c r="D1424" s="24"/>
      <c r="E1424" s="14"/>
      <c r="F1424" s="14"/>
      <c r="G1424" s="14"/>
      <c r="H1424" s="23"/>
      <c r="I1424" s="27"/>
      <c r="J1424" s="23"/>
      <c r="K1424" s="30"/>
      <c r="L1424" s="23"/>
      <c r="M1424" s="20"/>
      <c r="N1424" s="20"/>
      <c r="O1424" s="20"/>
      <c r="P1424" s="20"/>
    </row>
    <row r="1425">
      <c r="A1425" s="10"/>
      <c r="B1425" s="11"/>
      <c r="C1425" s="10"/>
      <c r="D1425" s="13"/>
      <c r="E1425" s="14"/>
      <c r="F1425" s="14"/>
      <c r="G1425" s="14"/>
      <c r="H1425" s="10"/>
      <c r="I1425" s="17"/>
      <c r="J1425" s="10"/>
      <c r="K1425" s="46"/>
      <c r="L1425" s="10"/>
      <c r="M1425" s="20"/>
      <c r="N1425" s="20"/>
      <c r="O1425" s="20"/>
      <c r="P1425" s="20"/>
    </row>
    <row r="1426">
      <c r="A1426" s="23"/>
      <c r="B1426" s="21"/>
      <c r="C1426" s="23"/>
      <c r="D1426" s="24"/>
      <c r="E1426" s="14"/>
      <c r="F1426" s="14"/>
      <c r="G1426" s="14"/>
      <c r="H1426" s="23"/>
      <c r="I1426" s="27"/>
      <c r="J1426" s="23"/>
      <c r="K1426" s="30"/>
      <c r="L1426" s="23"/>
      <c r="M1426" s="20"/>
      <c r="N1426" s="20"/>
      <c r="O1426" s="20"/>
      <c r="P1426" s="20"/>
    </row>
    <row r="1427">
      <c r="A1427" s="10"/>
      <c r="B1427" s="11"/>
      <c r="C1427" s="10"/>
      <c r="D1427" s="13"/>
      <c r="E1427" s="14"/>
      <c r="F1427" s="14"/>
      <c r="G1427" s="14"/>
      <c r="H1427" s="10"/>
      <c r="I1427" s="17"/>
      <c r="J1427" s="10"/>
      <c r="K1427" s="46"/>
      <c r="L1427" s="10"/>
      <c r="M1427" s="20"/>
      <c r="N1427" s="20"/>
      <c r="O1427" s="20"/>
      <c r="P1427" s="20"/>
    </row>
    <row r="1428">
      <c r="A1428" s="23"/>
      <c r="B1428" s="21"/>
      <c r="C1428" s="23"/>
      <c r="D1428" s="24"/>
      <c r="E1428" s="14"/>
      <c r="F1428" s="14"/>
      <c r="G1428" s="14"/>
      <c r="H1428" s="23"/>
      <c r="I1428" s="27"/>
      <c r="J1428" s="23"/>
      <c r="K1428" s="30"/>
      <c r="L1428" s="23"/>
      <c r="M1428" s="20"/>
      <c r="N1428" s="20"/>
      <c r="O1428" s="20"/>
      <c r="P1428" s="20"/>
    </row>
    <row r="1429">
      <c r="A1429" s="10"/>
      <c r="B1429" s="11"/>
      <c r="C1429" s="10"/>
      <c r="D1429" s="13"/>
      <c r="E1429" s="14"/>
      <c r="F1429" s="14"/>
      <c r="G1429" s="14"/>
      <c r="H1429" s="10"/>
      <c r="I1429" s="17"/>
      <c r="J1429" s="10"/>
      <c r="K1429" s="46"/>
      <c r="L1429" s="10"/>
      <c r="M1429" s="20"/>
      <c r="N1429" s="20"/>
      <c r="O1429" s="20"/>
      <c r="P1429" s="20"/>
    </row>
    <row r="1430">
      <c r="A1430" s="23"/>
      <c r="B1430" s="21"/>
      <c r="C1430" s="23"/>
      <c r="D1430" s="24"/>
      <c r="E1430" s="14"/>
      <c r="F1430" s="14"/>
      <c r="G1430" s="14"/>
      <c r="H1430" s="23"/>
      <c r="I1430" s="27"/>
      <c r="J1430" s="23"/>
      <c r="K1430" s="30"/>
      <c r="L1430" s="23"/>
      <c r="M1430" s="20"/>
      <c r="N1430" s="20"/>
      <c r="O1430" s="20"/>
      <c r="P1430" s="20"/>
    </row>
    <row r="1431">
      <c r="A1431" s="10"/>
      <c r="B1431" s="11"/>
      <c r="C1431" s="10"/>
      <c r="D1431" s="13"/>
      <c r="E1431" s="14"/>
      <c r="F1431" s="14"/>
      <c r="G1431" s="14"/>
      <c r="H1431" s="10"/>
      <c r="I1431" s="17"/>
      <c r="J1431" s="10"/>
      <c r="K1431" s="46"/>
      <c r="L1431" s="10"/>
      <c r="M1431" s="20"/>
      <c r="N1431" s="20"/>
      <c r="O1431" s="20"/>
      <c r="P1431" s="20"/>
    </row>
    <row r="1432">
      <c r="A1432" s="23"/>
      <c r="B1432" s="21"/>
      <c r="C1432" s="23"/>
      <c r="D1432" s="24"/>
      <c r="E1432" s="14"/>
      <c r="F1432" s="14"/>
      <c r="G1432" s="14"/>
      <c r="H1432" s="23"/>
      <c r="I1432" s="27"/>
      <c r="J1432" s="23"/>
      <c r="K1432" s="30"/>
      <c r="L1432" s="23"/>
      <c r="M1432" s="20"/>
      <c r="N1432" s="20"/>
      <c r="O1432" s="20"/>
      <c r="P1432" s="20"/>
    </row>
    <row r="1433">
      <c r="A1433" s="10"/>
      <c r="B1433" s="11"/>
      <c r="C1433" s="10"/>
      <c r="D1433" s="13"/>
      <c r="E1433" s="14"/>
      <c r="F1433" s="14"/>
      <c r="G1433" s="14"/>
      <c r="H1433" s="10"/>
      <c r="I1433" s="17"/>
      <c r="J1433" s="10"/>
      <c r="K1433" s="46"/>
      <c r="L1433" s="10"/>
      <c r="M1433" s="20"/>
      <c r="N1433" s="20"/>
      <c r="O1433" s="20"/>
      <c r="P1433" s="20"/>
    </row>
    <row r="1434">
      <c r="A1434" s="23"/>
      <c r="B1434" s="21"/>
      <c r="C1434" s="23"/>
      <c r="D1434" s="24"/>
      <c r="E1434" s="14"/>
      <c r="F1434" s="14"/>
      <c r="G1434" s="14"/>
      <c r="H1434" s="23"/>
      <c r="I1434" s="27"/>
      <c r="J1434" s="23"/>
      <c r="K1434" s="30"/>
      <c r="L1434" s="23"/>
      <c r="M1434" s="20"/>
      <c r="N1434" s="20"/>
      <c r="O1434" s="20"/>
      <c r="P1434" s="20"/>
    </row>
    <row r="1435">
      <c r="A1435" s="10"/>
      <c r="B1435" s="11"/>
      <c r="C1435" s="10"/>
      <c r="D1435" s="13"/>
      <c r="E1435" s="14"/>
      <c r="F1435" s="14"/>
      <c r="G1435" s="14"/>
      <c r="H1435" s="10"/>
      <c r="I1435" s="17"/>
      <c r="J1435" s="10"/>
      <c r="K1435" s="46"/>
      <c r="L1435" s="10"/>
      <c r="M1435" s="20"/>
      <c r="N1435" s="20"/>
      <c r="O1435" s="20"/>
      <c r="P1435" s="20"/>
    </row>
    <row r="1436">
      <c r="A1436" s="23"/>
      <c r="B1436" s="21"/>
      <c r="C1436" s="23"/>
      <c r="D1436" s="24"/>
      <c r="E1436" s="14"/>
      <c r="F1436" s="14"/>
      <c r="G1436" s="14"/>
      <c r="H1436" s="23"/>
      <c r="I1436" s="27"/>
      <c r="J1436" s="23"/>
      <c r="K1436" s="30"/>
      <c r="L1436" s="23"/>
      <c r="M1436" s="20"/>
      <c r="N1436" s="20"/>
      <c r="O1436" s="20"/>
      <c r="P1436" s="20"/>
    </row>
    <row r="1437">
      <c r="A1437" s="10"/>
      <c r="B1437" s="11"/>
      <c r="C1437" s="10"/>
      <c r="D1437" s="13"/>
      <c r="E1437" s="14"/>
      <c r="F1437" s="14"/>
      <c r="G1437" s="14"/>
      <c r="H1437" s="10"/>
      <c r="I1437" s="17"/>
      <c r="J1437" s="10"/>
      <c r="K1437" s="46"/>
      <c r="L1437" s="10"/>
      <c r="M1437" s="20"/>
      <c r="N1437" s="20"/>
      <c r="O1437" s="20"/>
      <c r="P1437" s="20"/>
    </row>
    <row r="1438">
      <c r="A1438" s="23"/>
      <c r="B1438" s="21"/>
      <c r="C1438" s="23"/>
      <c r="D1438" s="24"/>
      <c r="E1438" s="14"/>
      <c r="F1438" s="14"/>
      <c r="G1438" s="14"/>
      <c r="H1438" s="23"/>
      <c r="I1438" s="27"/>
      <c r="J1438" s="23"/>
      <c r="K1438" s="30"/>
      <c r="L1438" s="23"/>
      <c r="M1438" s="20"/>
      <c r="N1438" s="20"/>
      <c r="O1438" s="20"/>
      <c r="P1438" s="20"/>
    </row>
    <row r="1439">
      <c r="A1439" s="10"/>
      <c r="B1439" s="11"/>
      <c r="C1439" s="10"/>
      <c r="D1439" s="13"/>
      <c r="E1439" s="14"/>
      <c r="F1439" s="14"/>
      <c r="G1439" s="14"/>
      <c r="H1439" s="10"/>
      <c r="I1439" s="17"/>
      <c r="J1439" s="10"/>
      <c r="K1439" s="46"/>
      <c r="L1439" s="10"/>
      <c r="M1439" s="20"/>
      <c r="N1439" s="20"/>
      <c r="O1439" s="20"/>
      <c r="P1439" s="20"/>
    </row>
    <row r="1440">
      <c r="A1440" s="23"/>
      <c r="B1440" s="21"/>
      <c r="C1440" s="23"/>
      <c r="D1440" s="24"/>
      <c r="E1440" s="14"/>
      <c r="F1440" s="14"/>
      <c r="G1440" s="14"/>
      <c r="H1440" s="23"/>
      <c r="I1440" s="27"/>
      <c r="J1440" s="23"/>
      <c r="K1440" s="30"/>
      <c r="L1440" s="23"/>
      <c r="M1440" s="20"/>
      <c r="N1440" s="20"/>
      <c r="O1440" s="20"/>
      <c r="P1440" s="20"/>
    </row>
    <row r="1441">
      <c r="A1441" s="10"/>
      <c r="B1441" s="11"/>
      <c r="C1441" s="10"/>
      <c r="D1441" s="13"/>
      <c r="E1441" s="14"/>
      <c r="F1441" s="14"/>
      <c r="G1441" s="14"/>
      <c r="H1441" s="10"/>
      <c r="I1441" s="17"/>
      <c r="J1441" s="10"/>
      <c r="K1441" s="46"/>
      <c r="L1441" s="10"/>
      <c r="M1441" s="20"/>
      <c r="N1441" s="20"/>
      <c r="O1441" s="20"/>
      <c r="P1441" s="20"/>
    </row>
    <row r="1442">
      <c r="A1442" s="23"/>
      <c r="B1442" s="21"/>
      <c r="C1442" s="23"/>
      <c r="D1442" s="24"/>
      <c r="E1442" s="14"/>
      <c r="F1442" s="14"/>
      <c r="G1442" s="14"/>
      <c r="H1442" s="23"/>
      <c r="I1442" s="27"/>
      <c r="J1442" s="23"/>
      <c r="K1442" s="30"/>
      <c r="L1442" s="23"/>
      <c r="M1442" s="20"/>
      <c r="N1442" s="20"/>
      <c r="O1442" s="20"/>
      <c r="P1442" s="20"/>
    </row>
    <row r="1443">
      <c r="A1443" s="10"/>
      <c r="B1443" s="11"/>
      <c r="C1443" s="10"/>
      <c r="D1443" s="13"/>
      <c r="E1443" s="14"/>
      <c r="F1443" s="14"/>
      <c r="G1443" s="14"/>
      <c r="H1443" s="10"/>
      <c r="I1443" s="17"/>
      <c r="J1443" s="10"/>
      <c r="K1443" s="46"/>
      <c r="L1443" s="10"/>
      <c r="M1443" s="20"/>
      <c r="N1443" s="20"/>
      <c r="O1443" s="20"/>
      <c r="P1443" s="20"/>
    </row>
    <row r="1444">
      <c r="A1444" s="23"/>
      <c r="B1444" s="21"/>
      <c r="C1444" s="23"/>
      <c r="D1444" s="24"/>
      <c r="E1444" s="14"/>
      <c r="F1444" s="14"/>
      <c r="G1444" s="14"/>
      <c r="H1444" s="23"/>
      <c r="I1444" s="27"/>
      <c r="J1444" s="23"/>
      <c r="K1444" s="30"/>
      <c r="L1444" s="23"/>
      <c r="M1444" s="20"/>
      <c r="N1444" s="20"/>
      <c r="O1444" s="20"/>
      <c r="P1444" s="20"/>
    </row>
    <row r="1445">
      <c r="A1445" s="10"/>
      <c r="B1445" s="11"/>
      <c r="C1445" s="10"/>
      <c r="D1445" s="13"/>
      <c r="E1445" s="14"/>
      <c r="F1445" s="14"/>
      <c r="G1445" s="14"/>
      <c r="H1445" s="10"/>
      <c r="I1445" s="17"/>
      <c r="J1445" s="10"/>
      <c r="K1445" s="46"/>
      <c r="L1445" s="10"/>
      <c r="M1445" s="20"/>
      <c r="N1445" s="20"/>
      <c r="O1445" s="20"/>
      <c r="P1445" s="20"/>
    </row>
    <row r="1446">
      <c r="A1446" s="23"/>
      <c r="B1446" s="21"/>
      <c r="C1446" s="23"/>
      <c r="D1446" s="24"/>
      <c r="E1446" s="14"/>
      <c r="F1446" s="14"/>
      <c r="G1446" s="14"/>
      <c r="H1446" s="23"/>
      <c r="I1446" s="27"/>
      <c r="J1446" s="23"/>
      <c r="K1446" s="30"/>
      <c r="L1446" s="23"/>
      <c r="M1446" s="20"/>
      <c r="N1446" s="20"/>
      <c r="O1446" s="20"/>
      <c r="P1446" s="20"/>
    </row>
    <row r="1447">
      <c r="A1447" s="10"/>
      <c r="B1447" s="11"/>
      <c r="C1447" s="10"/>
      <c r="D1447" s="13"/>
      <c r="E1447" s="14"/>
      <c r="F1447" s="14"/>
      <c r="G1447" s="14"/>
      <c r="H1447" s="10"/>
      <c r="I1447" s="17"/>
      <c r="J1447" s="10"/>
      <c r="K1447" s="46"/>
      <c r="L1447" s="10"/>
      <c r="M1447" s="20"/>
      <c r="N1447" s="20"/>
      <c r="O1447" s="20"/>
      <c r="P1447" s="20"/>
    </row>
    <row r="1448">
      <c r="A1448" s="23"/>
      <c r="B1448" s="21"/>
      <c r="C1448" s="23"/>
      <c r="D1448" s="24"/>
      <c r="E1448" s="14"/>
      <c r="F1448" s="14"/>
      <c r="G1448" s="14"/>
      <c r="H1448" s="23"/>
      <c r="I1448" s="27"/>
      <c r="J1448" s="23"/>
      <c r="K1448" s="30"/>
      <c r="L1448" s="23"/>
      <c r="M1448" s="20"/>
      <c r="N1448" s="20"/>
      <c r="O1448" s="20"/>
      <c r="P1448" s="20"/>
    </row>
    <row r="1449">
      <c r="A1449" s="10"/>
      <c r="B1449" s="11"/>
      <c r="C1449" s="10"/>
      <c r="D1449" s="13"/>
      <c r="E1449" s="14"/>
      <c r="F1449" s="14"/>
      <c r="G1449" s="14"/>
      <c r="H1449" s="10"/>
      <c r="I1449" s="17"/>
      <c r="J1449" s="10"/>
      <c r="K1449" s="46"/>
      <c r="L1449" s="10"/>
      <c r="M1449" s="20"/>
      <c r="N1449" s="20"/>
      <c r="O1449" s="20"/>
      <c r="P1449" s="20"/>
    </row>
    <row r="1450">
      <c r="A1450" s="23"/>
      <c r="B1450" s="21"/>
      <c r="C1450" s="23"/>
      <c r="D1450" s="24"/>
      <c r="E1450" s="14"/>
      <c r="F1450" s="14"/>
      <c r="G1450" s="14"/>
      <c r="H1450" s="23"/>
      <c r="I1450" s="27"/>
      <c r="J1450" s="23"/>
      <c r="K1450" s="30"/>
      <c r="L1450" s="23"/>
      <c r="M1450" s="20"/>
      <c r="N1450" s="20"/>
      <c r="O1450" s="20"/>
      <c r="P1450" s="20"/>
    </row>
    <row r="1451">
      <c r="A1451" s="10"/>
      <c r="B1451" s="11"/>
      <c r="C1451" s="10"/>
      <c r="D1451" s="13"/>
      <c r="E1451" s="14"/>
      <c r="F1451" s="14"/>
      <c r="G1451" s="14"/>
      <c r="H1451" s="10"/>
      <c r="I1451" s="17"/>
      <c r="J1451" s="10"/>
      <c r="K1451" s="46"/>
      <c r="L1451" s="10"/>
      <c r="M1451" s="20"/>
      <c r="N1451" s="20"/>
      <c r="O1451" s="20"/>
      <c r="P1451" s="20"/>
    </row>
    <row r="1452">
      <c r="A1452" s="23"/>
      <c r="B1452" s="21"/>
      <c r="C1452" s="23"/>
      <c r="D1452" s="24"/>
      <c r="E1452" s="14"/>
      <c r="F1452" s="14"/>
      <c r="G1452" s="14"/>
      <c r="H1452" s="23"/>
      <c r="I1452" s="27"/>
      <c r="J1452" s="23"/>
      <c r="K1452" s="30"/>
      <c r="L1452" s="23"/>
      <c r="M1452" s="20"/>
      <c r="N1452" s="20"/>
      <c r="O1452" s="20"/>
      <c r="P1452" s="20"/>
    </row>
    <row r="1453">
      <c r="A1453" s="10"/>
      <c r="B1453" s="11"/>
      <c r="C1453" s="10"/>
      <c r="D1453" s="13"/>
      <c r="E1453" s="14"/>
      <c r="F1453" s="14"/>
      <c r="G1453" s="14"/>
      <c r="H1453" s="10"/>
      <c r="I1453" s="17"/>
      <c r="J1453" s="10"/>
      <c r="K1453" s="46"/>
      <c r="L1453" s="10"/>
      <c r="M1453" s="20"/>
      <c r="N1453" s="20"/>
      <c r="O1453" s="20"/>
      <c r="P1453" s="20"/>
    </row>
    <row r="1454">
      <c r="A1454" s="23"/>
      <c r="B1454" s="21"/>
      <c r="C1454" s="23"/>
      <c r="D1454" s="24"/>
      <c r="E1454" s="14"/>
      <c r="F1454" s="14"/>
      <c r="G1454" s="14"/>
      <c r="H1454" s="23"/>
      <c r="I1454" s="27"/>
      <c r="J1454" s="23"/>
      <c r="K1454" s="30"/>
      <c r="L1454" s="23"/>
      <c r="M1454" s="20"/>
      <c r="N1454" s="20"/>
      <c r="O1454" s="20"/>
      <c r="P1454" s="20"/>
    </row>
    <row r="1455">
      <c r="A1455" s="10"/>
      <c r="B1455" s="11"/>
      <c r="C1455" s="10"/>
      <c r="D1455" s="13"/>
      <c r="E1455" s="14"/>
      <c r="F1455" s="14"/>
      <c r="G1455" s="14"/>
      <c r="H1455" s="10"/>
      <c r="I1455" s="17"/>
      <c r="J1455" s="10"/>
      <c r="K1455" s="46"/>
      <c r="L1455" s="10"/>
      <c r="M1455" s="20"/>
      <c r="N1455" s="20"/>
      <c r="O1455" s="20"/>
      <c r="P1455" s="20"/>
    </row>
    <row r="1456">
      <c r="A1456" s="23"/>
      <c r="B1456" s="21"/>
      <c r="C1456" s="23"/>
      <c r="D1456" s="24"/>
      <c r="E1456" s="14"/>
      <c r="F1456" s="14"/>
      <c r="G1456" s="14"/>
      <c r="H1456" s="23"/>
      <c r="I1456" s="27"/>
      <c r="J1456" s="23"/>
      <c r="K1456" s="30"/>
      <c r="L1456" s="23"/>
      <c r="M1456" s="20"/>
      <c r="N1456" s="20"/>
      <c r="O1456" s="20"/>
      <c r="P1456" s="20"/>
    </row>
    <row r="1457">
      <c r="A1457" s="10"/>
      <c r="B1457" s="11"/>
      <c r="C1457" s="10"/>
      <c r="D1457" s="13"/>
      <c r="E1457" s="14"/>
      <c r="F1457" s="14"/>
      <c r="G1457" s="14"/>
      <c r="H1457" s="10"/>
      <c r="I1457" s="17"/>
      <c r="J1457" s="10"/>
      <c r="K1457" s="46"/>
      <c r="L1457" s="10"/>
      <c r="M1457" s="20"/>
      <c r="N1457" s="20"/>
      <c r="O1457" s="20"/>
      <c r="P1457" s="20"/>
    </row>
    <row r="1458">
      <c r="A1458" s="23"/>
      <c r="B1458" s="21"/>
      <c r="C1458" s="23"/>
      <c r="D1458" s="24"/>
      <c r="E1458" s="14"/>
      <c r="F1458" s="14"/>
      <c r="G1458" s="14"/>
      <c r="H1458" s="23"/>
      <c r="I1458" s="27"/>
      <c r="J1458" s="23"/>
      <c r="K1458" s="30"/>
      <c r="L1458" s="23"/>
      <c r="M1458" s="20"/>
      <c r="N1458" s="20"/>
      <c r="O1458" s="20"/>
      <c r="P1458" s="20"/>
    </row>
    <row r="1459">
      <c r="A1459" s="10"/>
      <c r="B1459" s="11"/>
      <c r="C1459" s="10"/>
      <c r="D1459" s="13"/>
      <c r="E1459" s="14"/>
      <c r="F1459" s="14"/>
      <c r="G1459" s="14"/>
      <c r="H1459" s="10"/>
      <c r="I1459" s="17"/>
      <c r="J1459" s="10"/>
      <c r="K1459" s="46"/>
      <c r="L1459" s="10"/>
      <c r="M1459" s="20"/>
      <c r="N1459" s="20"/>
      <c r="O1459" s="20"/>
      <c r="P1459" s="20"/>
    </row>
    <row r="1460">
      <c r="A1460" s="23"/>
      <c r="B1460" s="21"/>
      <c r="C1460" s="23"/>
      <c r="D1460" s="24"/>
      <c r="E1460" s="14"/>
      <c r="F1460" s="14"/>
      <c r="G1460" s="14"/>
      <c r="H1460" s="23"/>
      <c r="I1460" s="27"/>
      <c r="J1460" s="23"/>
      <c r="K1460" s="30"/>
      <c r="L1460" s="23"/>
      <c r="M1460" s="20"/>
      <c r="N1460" s="20"/>
      <c r="O1460" s="20"/>
      <c r="P1460" s="20"/>
    </row>
    <row r="1461">
      <c r="A1461" s="10"/>
      <c r="B1461" s="11"/>
      <c r="C1461" s="10"/>
      <c r="D1461" s="13"/>
      <c r="E1461" s="14"/>
      <c r="F1461" s="14"/>
      <c r="G1461" s="14"/>
      <c r="H1461" s="10"/>
      <c r="I1461" s="17"/>
      <c r="J1461" s="10"/>
      <c r="K1461" s="46"/>
      <c r="L1461" s="10"/>
      <c r="M1461" s="20"/>
      <c r="N1461" s="20"/>
      <c r="O1461" s="20"/>
      <c r="P1461" s="20"/>
    </row>
    <row r="1462">
      <c r="A1462" s="23"/>
      <c r="B1462" s="21"/>
      <c r="C1462" s="23"/>
      <c r="D1462" s="24"/>
      <c r="E1462" s="14"/>
      <c r="F1462" s="14"/>
      <c r="G1462" s="14"/>
      <c r="H1462" s="23"/>
      <c r="I1462" s="27"/>
      <c r="J1462" s="23"/>
      <c r="K1462" s="30"/>
      <c r="L1462" s="23"/>
      <c r="M1462" s="20"/>
      <c r="N1462" s="20"/>
      <c r="O1462" s="20"/>
      <c r="P1462" s="20"/>
    </row>
    <row r="1463">
      <c r="A1463" s="10"/>
      <c r="B1463" s="11"/>
      <c r="C1463" s="10"/>
      <c r="D1463" s="13"/>
      <c r="E1463" s="14"/>
      <c r="F1463" s="14"/>
      <c r="G1463" s="14"/>
      <c r="H1463" s="10"/>
      <c r="I1463" s="17"/>
      <c r="J1463" s="10"/>
      <c r="K1463" s="46"/>
      <c r="L1463" s="10"/>
      <c r="M1463" s="20"/>
      <c r="N1463" s="20"/>
      <c r="O1463" s="20"/>
      <c r="P1463" s="20"/>
    </row>
    <row r="1464">
      <c r="A1464" s="23"/>
      <c r="B1464" s="21"/>
      <c r="C1464" s="23"/>
      <c r="D1464" s="24"/>
      <c r="E1464" s="14"/>
      <c r="F1464" s="14"/>
      <c r="G1464" s="14"/>
      <c r="H1464" s="23"/>
      <c r="I1464" s="27"/>
      <c r="J1464" s="23"/>
      <c r="K1464" s="30"/>
      <c r="L1464" s="23"/>
      <c r="M1464" s="20"/>
      <c r="N1464" s="20"/>
      <c r="O1464" s="20"/>
      <c r="P1464" s="20"/>
    </row>
    <row r="1465">
      <c r="A1465" s="10"/>
      <c r="B1465" s="11"/>
      <c r="C1465" s="10"/>
      <c r="D1465" s="13"/>
      <c r="E1465" s="14"/>
      <c r="F1465" s="14"/>
      <c r="G1465" s="14"/>
      <c r="H1465" s="10"/>
      <c r="I1465" s="17"/>
      <c r="J1465" s="10"/>
      <c r="K1465" s="46"/>
      <c r="L1465" s="10"/>
      <c r="M1465" s="20"/>
      <c r="N1465" s="20"/>
      <c r="O1465" s="20"/>
      <c r="P1465" s="20"/>
    </row>
    <row r="1466">
      <c r="A1466" s="23"/>
      <c r="B1466" s="21"/>
      <c r="C1466" s="23"/>
      <c r="D1466" s="24"/>
      <c r="E1466" s="14"/>
      <c r="F1466" s="14"/>
      <c r="G1466" s="14"/>
      <c r="H1466" s="23"/>
      <c r="I1466" s="27"/>
      <c r="J1466" s="23"/>
      <c r="K1466" s="30"/>
      <c r="L1466" s="23"/>
      <c r="M1466" s="20"/>
      <c r="N1466" s="20"/>
      <c r="O1466" s="20"/>
      <c r="P1466" s="20"/>
    </row>
    <row r="1467">
      <c r="A1467" s="10"/>
      <c r="B1467" s="11"/>
      <c r="C1467" s="10"/>
      <c r="D1467" s="13"/>
      <c r="E1467" s="14"/>
      <c r="F1467" s="14"/>
      <c r="G1467" s="14"/>
      <c r="H1467" s="10"/>
      <c r="I1467" s="17"/>
      <c r="J1467" s="10"/>
      <c r="K1467" s="46"/>
      <c r="L1467" s="10"/>
      <c r="M1467" s="20"/>
      <c r="N1467" s="20"/>
      <c r="O1467" s="20"/>
      <c r="P1467" s="20"/>
    </row>
    <row r="1468">
      <c r="A1468" s="23"/>
      <c r="B1468" s="21"/>
      <c r="C1468" s="23"/>
      <c r="D1468" s="24"/>
      <c r="E1468" s="14"/>
      <c r="F1468" s="14"/>
      <c r="G1468" s="14"/>
      <c r="H1468" s="23"/>
      <c r="I1468" s="27"/>
      <c r="J1468" s="23"/>
      <c r="K1468" s="30"/>
      <c r="L1468" s="23"/>
      <c r="M1468" s="20"/>
      <c r="N1468" s="20"/>
      <c r="O1468" s="20"/>
      <c r="P1468" s="20"/>
    </row>
    <row r="1469">
      <c r="A1469" s="10"/>
      <c r="B1469" s="11"/>
      <c r="C1469" s="10"/>
      <c r="D1469" s="13"/>
      <c r="E1469" s="14"/>
      <c r="F1469" s="14"/>
      <c r="G1469" s="14"/>
      <c r="H1469" s="10"/>
      <c r="I1469" s="17"/>
      <c r="J1469" s="10"/>
      <c r="K1469" s="46"/>
      <c r="L1469" s="10"/>
      <c r="M1469" s="20"/>
      <c r="N1469" s="20"/>
      <c r="O1469" s="20"/>
      <c r="P1469" s="20"/>
    </row>
    <row r="1470">
      <c r="A1470" s="23"/>
      <c r="B1470" s="21"/>
      <c r="C1470" s="23"/>
      <c r="D1470" s="24"/>
      <c r="E1470" s="14"/>
      <c r="F1470" s="14"/>
      <c r="G1470" s="14"/>
      <c r="H1470" s="23"/>
      <c r="I1470" s="27"/>
      <c r="J1470" s="23"/>
      <c r="K1470" s="30"/>
      <c r="L1470" s="23"/>
      <c r="M1470" s="20"/>
      <c r="N1470" s="20"/>
      <c r="O1470" s="20"/>
      <c r="P1470" s="20"/>
    </row>
    <row r="1471">
      <c r="A1471" s="10"/>
      <c r="B1471" s="11"/>
      <c r="C1471" s="10"/>
      <c r="D1471" s="13"/>
      <c r="E1471" s="14"/>
      <c r="F1471" s="14"/>
      <c r="G1471" s="14"/>
      <c r="H1471" s="10"/>
      <c r="I1471" s="17"/>
      <c r="J1471" s="10"/>
      <c r="K1471" s="46"/>
      <c r="L1471" s="10"/>
      <c r="M1471" s="20"/>
      <c r="N1471" s="20"/>
      <c r="O1471" s="20"/>
      <c r="P1471" s="20"/>
    </row>
    <row r="1472">
      <c r="A1472" s="23"/>
      <c r="B1472" s="21"/>
      <c r="C1472" s="23"/>
      <c r="D1472" s="24"/>
      <c r="E1472" s="14"/>
      <c r="F1472" s="14"/>
      <c r="G1472" s="14"/>
      <c r="H1472" s="23"/>
      <c r="I1472" s="27"/>
      <c r="J1472" s="23"/>
      <c r="K1472" s="30"/>
      <c r="L1472" s="23"/>
      <c r="M1472" s="20"/>
      <c r="N1472" s="20"/>
      <c r="O1472" s="20"/>
      <c r="P1472" s="20"/>
    </row>
    <row r="1473">
      <c r="A1473" s="10"/>
      <c r="B1473" s="11"/>
      <c r="C1473" s="10"/>
      <c r="D1473" s="13"/>
      <c r="E1473" s="14"/>
      <c r="F1473" s="14"/>
      <c r="G1473" s="14"/>
      <c r="H1473" s="10"/>
      <c r="I1473" s="17"/>
      <c r="J1473" s="10"/>
      <c r="K1473" s="46"/>
      <c r="L1473" s="10"/>
      <c r="M1473" s="20"/>
      <c r="N1473" s="20"/>
      <c r="O1473" s="20"/>
      <c r="P1473" s="20"/>
    </row>
    <row r="1474">
      <c r="A1474" s="23"/>
      <c r="B1474" s="21"/>
      <c r="C1474" s="23"/>
      <c r="D1474" s="24"/>
      <c r="E1474" s="14"/>
      <c r="F1474" s="14"/>
      <c r="G1474" s="14"/>
      <c r="H1474" s="23"/>
      <c r="I1474" s="27"/>
      <c r="J1474" s="23"/>
      <c r="K1474" s="30"/>
      <c r="L1474" s="23"/>
      <c r="M1474" s="20"/>
      <c r="N1474" s="20"/>
      <c r="O1474" s="20"/>
      <c r="P1474" s="20"/>
    </row>
    <row r="1475">
      <c r="A1475" s="10"/>
      <c r="B1475" s="11"/>
      <c r="C1475" s="10"/>
      <c r="D1475" s="13"/>
      <c r="E1475" s="14"/>
      <c r="F1475" s="14"/>
      <c r="G1475" s="14"/>
      <c r="H1475" s="10"/>
      <c r="I1475" s="17"/>
      <c r="J1475" s="10"/>
      <c r="K1475" s="46"/>
      <c r="L1475" s="10"/>
      <c r="M1475" s="20"/>
      <c r="N1475" s="20"/>
      <c r="O1475" s="20"/>
      <c r="P1475" s="20"/>
    </row>
    <row r="1476">
      <c r="A1476" s="23"/>
      <c r="B1476" s="21"/>
      <c r="C1476" s="23"/>
      <c r="D1476" s="24"/>
      <c r="E1476" s="14"/>
      <c r="F1476" s="14"/>
      <c r="G1476" s="14"/>
      <c r="H1476" s="23"/>
      <c r="I1476" s="27"/>
      <c r="J1476" s="23"/>
      <c r="K1476" s="30"/>
      <c r="L1476" s="23"/>
      <c r="M1476" s="20"/>
      <c r="N1476" s="20"/>
      <c r="O1476" s="20"/>
      <c r="P1476" s="20"/>
    </row>
    <row r="1477">
      <c r="A1477" s="10"/>
      <c r="B1477" s="11"/>
      <c r="C1477" s="10"/>
      <c r="D1477" s="13"/>
      <c r="E1477" s="14"/>
      <c r="F1477" s="14"/>
      <c r="G1477" s="14"/>
      <c r="H1477" s="10"/>
      <c r="I1477" s="17"/>
      <c r="J1477" s="10"/>
      <c r="K1477" s="46"/>
      <c r="L1477" s="10"/>
      <c r="M1477" s="20"/>
      <c r="N1477" s="20"/>
      <c r="O1477" s="20"/>
      <c r="P1477" s="20"/>
    </row>
    <row r="1478">
      <c r="A1478" s="23"/>
      <c r="B1478" s="21"/>
      <c r="C1478" s="23"/>
      <c r="D1478" s="24"/>
      <c r="E1478" s="14"/>
      <c r="F1478" s="14"/>
      <c r="G1478" s="14"/>
      <c r="H1478" s="23"/>
      <c r="I1478" s="27"/>
      <c r="J1478" s="23"/>
      <c r="K1478" s="30"/>
      <c r="L1478" s="23"/>
      <c r="M1478" s="20"/>
      <c r="N1478" s="20"/>
      <c r="O1478" s="20"/>
      <c r="P1478" s="20"/>
    </row>
    <row r="1479">
      <c r="A1479" s="10"/>
      <c r="B1479" s="11"/>
      <c r="C1479" s="10"/>
      <c r="D1479" s="13"/>
      <c r="E1479" s="14"/>
      <c r="F1479" s="14"/>
      <c r="G1479" s="14"/>
      <c r="H1479" s="10"/>
      <c r="I1479" s="17"/>
      <c r="J1479" s="10"/>
      <c r="K1479" s="46"/>
      <c r="L1479" s="10"/>
      <c r="M1479" s="20"/>
      <c r="N1479" s="20"/>
      <c r="O1479" s="20"/>
      <c r="P1479" s="20"/>
    </row>
    <row r="1480">
      <c r="A1480" s="23"/>
      <c r="B1480" s="21"/>
      <c r="C1480" s="23"/>
      <c r="D1480" s="24"/>
      <c r="E1480" s="14"/>
      <c r="F1480" s="14"/>
      <c r="G1480" s="14"/>
      <c r="H1480" s="23"/>
      <c r="I1480" s="27"/>
      <c r="J1480" s="23"/>
      <c r="K1480" s="30"/>
      <c r="L1480" s="23"/>
      <c r="M1480" s="20"/>
      <c r="N1480" s="20"/>
      <c r="O1480" s="20"/>
      <c r="P1480" s="20"/>
    </row>
    <row r="1481">
      <c r="A1481" s="10"/>
      <c r="B1481" s="11"/>
      <c r="C1481" s="10"/>
      <c r="D1481" s="13"/>
      <c r="E1481" s="14"/>
      <c r="F1481" s="14"/>
      <c r="G1481" s="14"/>
      <c r="H1481" s="10"/>
      <c r="I1481" s="17"/>
      <c r="J1481" s="10"/>
      <c r="K1481" s="46"/>
      <c r="L1481" s="10"/>
      <c r="M1481" s="20"/>
      <c r="N1481" s="20"/>
      <c r="O1481" s="20"/>
      <c r="P1481" s="20"/>
    </row>
    <row r="1482">
      <c r="A1482" s="23"/>
      <c r="B1482" s="21"/>
      <c r="C1482" s="23"/>
      <c r="D1482" s="24"/>
      <c r="E1482" s="14"/>
      <c r="F1482" s="14"/>
      <c r="G1482" s="14"/>
      <c r="H1482" s="23"/>
      <c r="I1482" s="27"/>
      <c r="J1482" s="23"/>
      <c r="K1482" s="30"/>
      <c r="L1482" s="23"/>
      <c r="M1482" s="20"/>
      <c r="N1482" s="20"/>
      <c r="O1482" s="20"/>
      <c r="P1482" s="20"/>
    </row>
    <row r="1483">
      <c r="A1483" s="10"/>
      <c r="B1483" s="11"/>
      <c r="C1483" s="10"/>
      <c r="D1483" s="13"/>
      <c r="E1483" s="14"/>
      <c r="F1483" s="14"/>
      <c r="G1483" s="14"/>
      <c r="H1483" s="10"/>
      <c r="I1483" s="17"/>
      <c r="J1483" s="10"/>
      <c r="K1483" s="46"/>
      <c r="L1483" s="10"/>
      <c r="M1483" s="20"/>
      <c r="N1483" s="20"/>
      <c r="O1483" s="20"/>
      <c r="P1483" s="20"/>
    </row>
    <row r="1484">
      <c r="A1484" s="23"/>
      <c r="B1484" s="21"/>
      <c r="C1484" s="23"/>
      <c r="D1484" s="24"/>
      <c r="E1484" s="14"/>
      <c r="F1484" s="14"/>
      <c r="G1484" s="14"/>
      <c r="H1484" s="23"/>
      <c r="I1484" s="27"/>
      <c r="J1484" s="23"/>
      <c r="K1484" s="30"/>
      <c r="L1484" s="23"/>
      <c r="M1484" s="20"/>
      <c r="N1484" s="20"/>
      <c r="O1484" s="20"/>
      <c r="P1484" s="20"/>
    </row>
    <row r="1485">
      <c r="A1485" s="10"/>
      <c r="B1485" s="11"/>
      <c r="C1485" s="10"/>
      <c r="D1485" s="13"/>
      <c r="E1485" s="14"/>
      <c r="F1485" s="14"/>
      <c r="G1485" s="14"/>
      <c r="H1485" s="10"/>
      <c r="I1485" s="17"/>
      <c r="J1485" s="10"/>
      <c r="K1485" s="46"/>
      <c r="L1485" s="10"/>
      <c r="M1485" s="20"/>
      <c r="N1485" s="20"/>
      <c r="O1485" s="20"/>
      <c r="P1485" s="20"/>
    </row>
    <row r="1486">
      <c r="A1486" s="23"/>
      <c r="B1486" s="21"/>
      <c r="C1486" s="23"/>
      <c r="D1486" s="24"/>
      <c r="E1486" s="14"/>
      <c r="F1486" s="14"/>
      <c r="G1486" s="14"/>
      <c r="H1486" s="23"/>
      <c r="I1486" s="27"/>
      <c r="J1486" s="23"/>
      <c r="K1486" s="30"/>
      <c r="L1486" s="23"/>
      <c r="M1486" s="20"/>
      <c r="N1486" s="20"/>
      <c r="O1486" s="20"/>
      <c r="P1486" s="20"/>
    </row>
    <row r="1487">
      <c r="A1487" s="10"/>
      <c r="B1487" s="11"/>
      <c r="C1487" s="10"/>
      <c r="D1487" s="13"/>
      <c r="E1487" s="14"/>
      <c r="F1487" s="14"/>
      <c r="G1487" s="14"/>
      <c r="H1487" s="10"/>
      <c r="I1487" s="17"/>
      <c r="J1487" s="10"/>
      <c r="K1487" s="46"/>
      <c r="L1487" s="10"/>
      <c r="M1487" s="20"/>
      <c r="N1487" s="20"/>
      <c r="O1487" s="20"/>
      <c r="P1487" s="20"/>
    </row>
    <row r="1488">
      <c r="A1488" s="23"/>
      <c r="B1488" s="21"/>
      <c r="C1488" s="23"/>
      <c r="D1488" s="24"/>
      <c r="E1488" s="14"/>
      <c r="F1488" s="14"/>
      <c r="G1488" s="14"/>
      <c r="H1488" s="23"/>
      <c r="I1488" s="27"/>
      <c r="J1488" s="23"/>
      <c r="K1488" s="30"/>
      <c r="L1488" s="23"/>
      <c r="M1488" s="20"/>
      <c r="N1488" s="20"/>
      <c r="O1488" s="20"/>
      <c r="P1488" s="20"/>
    </row>
    <row r="1489">
      <c r="A1489" s="10"/>
      <c r="B1489" s="11"/>
      <c r="C1489" s="10"/>
      <c r="D1489" s="13"/>
      <c r="E1489" s="14"/>
      <c r="F1489" s="14"/>
      <c r="G1489" s="14"/>
      <c r="H1489" s="10"/>
      <c r="I1489" s="17"/>
      <c r="J1489" s="10"/>
      <c r="K1489" s="46"/>
      <c r="L1489" s="10"/>
      <c r="M1489" s="20"/>
      <c r="N1489" s="20"/>
      <c r="O1489" s="20"/>
      <c r="P1489" s="20"/>
    </row>
    <row r="1490">
      <c r="A1490" s="23"/>
      <c r="B1490" s="21"/>
      <c r="C1490" s="23"/>
      <c r="D1490" s="24"/>
      <c r="E1490" s="14"/>
      <c r="F1490" s="14"/>
      <c r="G1490" s="14"/>
      <c r="H1490" s="23"/>
      <c r="I1490" s="27"/>
      <c r="J1490" s="23"/>
      <c r="K1490" s="30"/>
      <c r="L1490" s="23"/>
      <c r="M1490" s="20"/>
      <c r="N1490" s="20"/>
      <c r="O1490" s="20"/>
      <c r="P1490" s="20"/>
    </row>
    <row r="1491">
      <c r="A1491" s="10"/>
      <c r="B1491" s="11"/>
      <c r="C1491" s="10"/>
      <c r="D1491" s="13"/>
      <c r="E1491" s="14"/>
      <c r="F1491" s="14"/>
      <c r="G1491" s="14"/>
      <c r="H1491" s="10"/>
      <c r="I1491" s="17"/>
      <c r="J1491" s="10"/>
      <c r="K1491" s="46"/>
      <c r="L1491" s="10"/>
      <c r="M1491" s="20"/>
      <c r="N1491" s="20"/>
      <c r="O1491" s="20"/>
      <c r="P1491" s="20"/>
    </row>
    <row r="1492">
      <c r="A1492" s="23"/>
      <c r="B1492" s="21"/>
      <c r="C1492" s="23"/>
      <c r="D1492" s="24"/>
      <c r="E1492" s="14"/>
      <c r="F1492" s="14"/>
      <c r="G1492" s="14"/>
      <c r="H1492" s="23"/>
      <c r="I1492" s="27"/>
      <c r="J1492" s="23"/>
      <c r="K1492" s="30"/>
      <c r="L1492" s="23"/>
      <c r="M1492" s="20"/>
      <c r="N1492" s="20"/>
      <c r="O1492" s="20"/>
      <c r="P1492" s="20"/>
    </row>
    <row r="1493">
      <c r="A1493" s="10"/>
      <c r="B1493" s="11"/>
      <c r="C1493" s="10"/>
      <c r="D1493" s="13"/>
      <c r="E1493" s="14"/>
      <c r="F1493" s="14"/>
      <c r="G1493" s="14"/>
      <c r="H1493" s="10"/>
      <c r="I1493" s="17"/>
      <c r="J1493" s="10"/>
      <c r="K1493" s="46"/>
      <c r="L1493" s="10"/>
      <c r="M1493" s="20"/>
      <c r="N1493" s="20"/>
      <c r="O1493" s="20"/>
      <c r="P1493" s="20"/>
    </row>
    <row r="1494">
      <c r="A1494" s="23"/>
      <c r="B1494" s="21"/>
      <c r="C1494" s="23"/>
      <c r="D1494" s="24"/>
      <c r="E1494" s="14"/>
      <c r="F1494" s="14"/>
      <c r="G1494" s="14"/>
      <c r="H1494" s="23"/>
      <c r="I1494" s="27"/>
      <c r="J1494" s="23"/>
      <c r="K1494" s="30"/>
      <c r="L1494" s="23"/>
      <c r="M1494" s="20"/>
      <c r="N1494" s="20"/>
      <c r="O1494" s="20"/>
      <c r="P1494" s="20"/>
    </row>
    <row r="1495">
      <c r="A1495" s="10"/>
      <c r="B1495" s="11"/>
      <c r="C1495" s="10"/>
      <c r="D1495" s="13"/>
      <c r="E1495" s="14"/>
      <c r="F1495" s="14"/>
      <c r="G1495" s="14"/>
      <c r="H1495" s="10"/>
      <c r="I1495" s="17"/>
      <c r="J1495" s="10"/>
      <c r="K1495" s="46"/>
      <c r="L1495" s="10"/>
      <c r="M1495" s="20"/>
      <c r="N1495" s="20"/>
      <c r="O1495" s="20"/>
      <c r="P1495" s="20"/>
    </row>
    <row r="1496">
      <c r="A1496" s="23"/>
      <c r="B1496" s="21"/>
      <c r="C1496" s="23"/>
      <c r="D1496" s="24"/>
      <c r="E1496" s="14"/>
      <c r="F1496" s="14"/>
      <c r="G1496" s="14"/>
      <c r="H1496" s="23"/>
      <c r="I1496" s="27"/>
      <c r="J1496" s="23"/>
      <c r="K1496" s="30"/>
      <c r="L1496" s="23"/>
      <c r="M1496" s="20"/>
      <c r="N1496" s="20"/>
      <c r="O1496" s="20"/>
      <c r="P1496" s="20"/>
    </row>
    <row r="1497">
      <c r="A1497" s="10"/>
      <c r="B1497" s="11"/>
      <c r="C1497" s="10"/>
      <c r="D1497" s="13"/>
      <c r="E1497" s="14"/>
      <c r="F1497" s="14"/>
      <c r="G1497" s="14"/>
      <c r="H1497" s="10"/>
      <c r="I1497" s="17"/>
      <c r="J1497" s="10"/>
      <c r="K1497" s="46"/>
      <c r="L1497" s="10"/>
      <c r="M1497" s="20"/>
      <c r="N1497" s="20"/>
      <c r="O1497" s="20"/>
      <c r="P1497" s="20"/>
    </row>
    <row r="1498">
      <c r="A1498" s="23"/>
      <c r="B1498" s="21"/>
      <c r="C1498" s="23"/>
      <c r="D1498" s="24"/>
      <c r="E1498" s="14"/>
      <c r="F1498" s="14"/>
      <c r="G1498" s="14"/>
      <c r="H1498" s="23"/>
      <c r="I1498" s="27"/>
      <c r="J1498" s="23"/>
      <c r="K1498" s="30"/>
      <c r="L1498" s="23"/>
      <c r="M1498" s="20"/>
      <c r="N1498" s="20"/>
      <c r="O1498" s="20"/>
      <c r="P1498" s="20"/>
    </row>
    <row r="1499">
      <c r="A1499" s="10"/>
      <c r="B1499" s="11"/>
      <c r="C1499" s="10"/>
      <c r="D1499" s="13"/>
      <c r="E1499" s="14"/>
      <c r="F1499" s="14"/>
      <c r="G1499" s="14"/>
      <c r="H1499" s="10"/>
      <c r="I1499" s="17"/>
      <c r="J1499" s="10"/>
      <c r="K1499" s="46"/>
      <c r="L1499" s="10"/>
      <c r="M1499" s="20"/>
      <c r="N1499" s="20"/>
      <c r="O1499" s="20"/>
      <c r="P1499" s="20"/>
    </row>
    <row r="1500">
      <c r="A1500" s="23"/>
      <c r="B1500" s="21"/>
      <c r="C1500" s="23"/>
      <c r="D1500" s="24"/>
      <c r="E1500" s="14"/>
      <c r="F1500" s="14"/>
      <c r="G1500" s="14"/>
      <c r="H1500" s="23"/>
      <c r="I1500" s="27"/>
      <c r="J1500" s="23"/>
      <c r="K1500" s="30"/>
      <c r="L1500" s="23"/>
      <c r="M1500" s="20"/>
      <c r="N1500" s="20"/>
      <c r="O1500" s="20"/>
      <c r="P1500" s="20"/>
    </row>
    <row r="1501">
      <c r="A1501" s="10"/>
      <c r="B1501" s="11"/>
      <c r="C1501" s="10"/>
      <c r="D1501" s="13"/>
      <c r="E1501" s="14"/>
      <c r="F1501" s="14"/>
      <c r="G1501" s="14"/>
      <c r="H1501" s="10"/>
      <c r="I1501" s="17"/>
      <c r="J1501" s="10"/>
      <c r="K1501" s="46"/>
      <c r="L1501" s="10"/>
      <c r="M1501" s="20"/>
      <c r="N1501" s="20"/>
      <c r="O1501" s="20"/>
      <c r="P1501" s="20"/>
    </row>
    <row r="1502">
      <c r="A1502" s="23"/>
      <c r="B1502" s="21"/>
      <c r="C1502" s="23"/>
      <c r="D1502" s="24"/>
      <c r="E1502" s="14"/>
      <c r="F1502" s="14"/>
      <c r="G1502" s="14"/>
      <c r="H1502" s="23"/>
      <c r="I1502" s="27"/>
      <c r="J1502" s="23"/>
      <c r="K1502" s="30"/>
      <c r="L1502" s="23"/>
      <c r="M1502" s="20"/>
      <c r="N1502" s="20"/>
      <c r="O1502" s="20"/>
      <c r="P1502" s="20"/>
    </row>
    <row r="1503">
      <c r="A1503" s="10"/>
      <c r="B1503" s="11"/>
      <c r="C1503" s="10"/>
      <c r="D1503" s="13"/>
      <c r="E1503" s="14"/>
      <c r="F1503" s="14"/>
      <c r="G1503" s="14"/>
      <c r="H1503" s="10"/>
      <c r="I1503" s="17"/>
      <c r="J1503" s="10"/>
      <c r="K1503" s="46"/>
      <c r="L1503" s="10"/>
      <c r="M1503" s="20"/>
      <c r="N1503" s="20"/>
      <c r="O1503" s="20"/>
      <c r="P1503" s="20"/>
    </row>
    <row r="1504">
      <c r="A1504" s="23"/>
      <c r="B1504" s="21"/>
      <c r="C1504" s="23"/>
      <c r="D1504" s="24"/>
      <c r="E1504" s="14"/>
      <c r="F1504" s="14"/>
      <c r="G1504" s="14"/>
      <c r="H1504" s="23"/>
      <c r="I1504" s="27"/>
      <c r="J1504" s="23"/>
      <c r="K1504" s="30"/>
      <c r="L1504" s="23"/>
      <c r="M1504" s="20"/>
      <c r="N1504" s="20"/>
      <c r="O1504" s="20"/>
      <c r="P1504" s="20"/>
    </row>
    <row r="1505">
      <c r="A1505" s="10"/>
      <c r="B1505" s="11"/>
      <c r="C1505" s="10"/>
      <c r="D1505" s="13"/>
      <c r="E1505" s="14"/>
      <c r="F1505" s="14"/>
      <c r="G1505" s="14"/>
      <c r="H1505" s="10"/>
      <c r="I1505" s="17"/>
      <c r="J1505" s="10"/>
      <c r="K1505" s="46"/>
      <c r="L1505" s="10"/>
      <c r="M1505" s="20"/>
      <c r="N1505" s="20"/>
      <c r="O1505" s="20"/>
      <c r="P1505" s="20"/>
    </row>
    <row r="1506">
      <c r="A1506" s="23"/>
      <c r="B1506" s="21"/>
      <c r="C1506" s="23"/>
      <c r="D1506" s="24"/>
      <c r="E1506" s="14"/>
      <c r="F1506" s="14"/>
      <c r="G1506" s="14"/>
      <c r="H1506" s="23"/>
      <c r="I1506" s="27"/>
      <c r="J1506" s="23"/>
      <c r="K1506" s="30"/>
      <c r="L1506" s="23"/>
      <c r="M1506" s="20"/>
      <c r="N1506" s="20"/>
      <c r="O1506" s="20"/>
      <c r="P1506" s="20"/>
    </row>
    <row r="1507">
      <c r="A1507" s="10"/>
      <c r="B1507" s="11"/>
      <c r="C1507" s="10"/>
      <c r="D1507" s="13"/>
      <c r="E1507" s="14"/>
      <c r="F1507" s="14"/>
      <c r="G1507" s="14"/>
      <c r="H1507" s="10"/>
      <c r="I1507" s="17"/>
      <c r="J1507" s="10"/>
      <c r="K1507" s="46"/>
      <c r="L1507" s="10"/>
      <c r="M1507" s="20"/>
      <c r="N1507" s="20"/>
      <c r="O1507" s="20"/>
      <c r="P1507" s="20"/>
    </row>
    <row r="1508">
      <c r="A1508" s="23"/>
      <c r="B1508" s="21"/>
      <c r="C1508" s="23"/>
      <c r="D1508" s="24"/>
      <c r="E1508" s="14"/>
      <c r="F1508" s="14"/>
      <c r="G1508" s="14"/>
      <c r="H1508" s="23"/>
      <c r="I1508" s="27"/>
      <c r="J1508" s="23"/>
      <c r="K1508" s="30"/>
      <c r="L1508" s="23"/>
      <c r="M1508" s="20"/>
      <c r="N1508" s="20"/>
      <c r="O1508" s="20"/>
      <c r="P1508" s="20"/>
    </row>
    <row r="1509">
      <c r="A1509" s="10"/>
      <c r="B1509" s="11"/>
      <c r="C1509" s="10"/>
      <c r="D1509" s="13"/>
      <c r="E1509" s="14"/>
      <c r="F1509" s="14"/>
      <c r="G1509" s="14"/>
      <c r="H1509" s="10"/>
      <c r="I1509" s="17"/>
      <c r="J1509" s="10"/>
      <c r="K1509" s="46"/>
      <c r="L1509" s="10"/>
      <c r="M1509" s="20"/>
      <c r="N1509" s="20"/>
      <c r="O1509" s="20"/>
      <c r="P1509" s="20"/>
    </row>
    <row r="1510">
      <c r="A1510" s="23"/>
      <c r="B1510" s="21"/>
      <c r="C1510" s="23"/>
      <c r="D1510" s="24"/>
      <c r="E1510" s="14"/>
      <c r="F1510" s="14"/>
      <c r="G1510" s="14"/>
      <c r="H1510" s="23"/>
      <c r="I1510" s="27"/>
      <c r="J1510" s="23"/>
      <c r="K1510" s="30"/>
      <c r="L1510" s="23"/>
      <c r="M1510" s="20"/>
      <c r="N1510" s="20"/>
      <c r="O1510" s="20"/>
      <c r="P1510" s="20"/>
    </row>
    <row r="1511">
      <c r="A1511" s="10"/>
      <c r="B1511" s="11"/>
      <c r="C1511" s="10"/>
      <c r="D1511" s="13"/>
      <c r="E1511" s="14"/>
      <c r="F1511" s="14"/>
      <c r="G1511" s="14"/>
      <c r="H1511" s="10"/>
      <c r="I1511" s="17"/>
      <c r="J1511" s="10"/>
      <c r="K1511" s="46"/>
      <c r="L1511" s="10"/>
      <c r="M1511" s="20"/>
      <c r="N1511" s="20"/>
      <c r="O1511" s="20"/>
      <c r="P1511" s="20"/>
    </row>
    <row r="1512">
      <c r="A1512" s="23"/>
      <c r="B1512" s="21"/>
      <c r="C1512" s="23"/>
      <c r="D1512" s="24"/>
      <c r="E1512" s="14"/>
      <c r="F1512" s="14"/>
      <c r="G1512" s="14"/>
      <c r="H1512" s="23"/>
      <c r="I1512" s="27"/>
      <c r="J1512" s="23"/>
      <c r="K1512" s="30"/>
      <c r="L1512" s="23"/>
      <c r="M1512" s="20"/>
      <c r="N1512" s="20"/>
      <c r="O1512" s="20"/>
      <c r="P1512" s="20"/>
    </row>
    <row r="1513">
      <c r="A1513" s="10"/>
      <c r="B1513" s="11"/>
      <c r="C1513" s="10"/>
      <c r="D1513" s="13"/>
      <c r="E1513" s="14"/>
      <c r="F1513" s="14"/>
      <c r="G1513" s="14"/>
      <c r="H1513" s="10"/>
      <c r="I1513" s="17"/>
      <c r="J1513" s="10"/>
      <c r="K1513" s="46"/>
      <c r="L1513" s="10"/>
      <c r="M1513" s="20"/>
      <c r="N1513" s="20"/>
      <c r="O1513" s="20"/>
      <c r="P1513" s="20"/>
    </row>
    <row r="1514">
      <c r="A1514" s="23"/>
      <c r="B1514" s="21"/>
      <c r="C1514" s="23"/>
      <c r="D1514" s="24"/>
      <c r="E1514" s="14"/>
      <c r="F1514" s="14"/>
      <c r="G1514" s="14"/>
      <c r="H1514" s="23"/>
      <c r="I1514" s="27"/>
      <c r="J1514" s="23"/>
      <c r="K1514" s="30"/>
      <c r="L1514" s="23"/>
      <c r="M1514" s="20"/>
      <c r="N1514" s="20"/>
      <c r="O1514" s="20"/>
      <c r="P1514" s="20"/>
    </row>
    <row r="1515">
      <c r="A1515" s="10"/>
      <c r="B1515" s="11"/>
      <c r="C1515" s="10"/>
      <c r="D1515" s="13"/>
      <c r="E1515" s="14"/>
      <c r="F1515" s="14"/>
      <c r="G1515" s="14"/>
      <c r="H1515" s="10"/>
      <c r="I1515" s="17"/>
      <c r="J1515" s="10"/>
      <c r="K1515" s="46"/>
      <c r="L1515" s="10"/>
      <c r="M1515" s="20"/>
      <c r="N1515" s="20"/>
      <c r="O1515" s="20"/>
      <c r="P1515" s="20"/>
    </row>
    <row r="1516">
      <c r="A1516" s="23"/>
      <c r="B1516" s="21"/>
      <c r="C1516" s="23"/>
      <c r="D1516" s="24"/>
      <c r="E1516" s="14"/>
      <c r="F1516" s="14"/>
      <c r="G1516" s="14"/>
      <c r="H1516" s="23"/>
      <c r="I1516" s="27"/>
      <c r="J1516" s="23"/>
      <c r="K1516" s="30"/>
      <c r="L1516" s="23"/>
      <c r="M1516" s="20"/>
      <c r="N1516" s="20"/>
      <c r="O1516" s="20"/>
      <c r="P1516" s="20"/>
    </row>
    <row r="1517">
      <c r="A1517" s="10"/>
      <c r="B1517" s="11"/>
      <c r="C1517" s="10"/>
      <c r="D1517" s="13"/>
      <c r="E1517" s="14"/>
      <c r="F1517" s="14"/>
      <c r="G1517" s="14"/>
      <c r="H1517" s="10"/>
      <c r="I1517" s="17"/>
      <c r="J1517" s="10"/>
      <c r="K1517" s="46"/>
      <c r="L1517" s="10"/>
      <c r="M1517" s="20"/>
      <c r="N1517" s="20"/>
      <c r="O1517" s="20"/>
      <c r="P1517" s="20"/>
    </row>
    <row r="1518">
      <c r="A1518" s="23"/>
      <c r="B1518" s="21"/>
      <c r="C1518" s="23"/>
      <c r="D1518" s="24"/>
      <c r="E1518" s="14"/>
      <c r="F1518" s="14"/>
      <c r="G1518" s="14"/>
      <c r="H1518" s="23"/>
      <c r="I1518" s="27"/>
      <c r="J1518" s="23"/>
      <c r="K1518" s="30"/>
      <c r="L1518" s="23"/>
      <c r="M1518" s="20"/>
      <c r="N1518" s="20"/>
      <c r="O1518" s="20"/>
      <c r="P1518" s="20"/>
    </row>
    <row r="1519">
      <c r="A1519" s="10"/>
      <c r="B1519" s="11"/>
      <c r="C1519" s="10"/>
      <c r="D1519" s="13"/>
      <c r="E1519" s="14"/>
      <c r="F1519" s="14"/>
      <c r="G1519" s="14"/>
      <c r="H1519" s="10"/>
      <c r="I1519" s="17"/>
      <c r="J1519" s="10"/>
      <c r="K1519" s="46"/>
      <c r="L1519" s="10"/>
      <c r="M1519" s="20"/>
      <c r="N1519" s="20"/>
      <c r="O1519" s="20"/>
      <c r="P1519" s="20"/>
    </row>
    <row r="1520">
      <c r="A1520" s="23"/>
      <c r="B1520" s="21"/>
      <c r="C1520" s="23"/>
      <c r="D1520" s="24"/>
      <c r="E1520" s="14"/>
      <c r="F1520" s="14"/>
      <c r="G1520" s="14"/>
      <c r="H1520" s="23"/>
      <c r="I1520" s="27"/>
      <c r="J1520" s="23"/>
      <c r="K1520" s="30"/>
      <c r="L1520" s="23"/>
      <c r="M1520" s="20"/>
      <c r="N1520" s="20"/>
      <c r="O1520" s="20"/>
      <c r="P1520" s="20"/>
    </row>
    <row r="1521">
      <c r="A1521" s="10"/>
      <c r="B1521" s="11"/>
      <c r="C1521" s="10"/>
      <c r="D1521" s="13"/>
      <c r="E1521" s="14"/>
      <c r="F1521" s="14"/>
      <c r="G1521" s="14"/>
      <c r="H1521" s="10"/>
      <c r="I1521" s="17"/>
      <c r="J1521" s="10"/>
      <c r="K1521" s="46"/>
      <c r="L1521" s="10"/>
      <c r="M1521" s="20"/>
      <c r="N1521" s="20"/>
      <c r="O1521" s="20"/>
      <c r="P1521" s="20"/>
    </row>
    <row r="1522">
      <c r="A1522" s="23"/>
      <c r="B1522" s="21"/>
      <c r="C1522" s="23"/>
      <c r="D1522" s="24"/>
      <c r="E1522" s="14"/>
      <c r="F1522" s="14"/>
      <c r="G1522" s="14"/>
      <c r="H1522" s="23"/>
      <c r="I1522" s="27"/>
      <c r="J1522" s="23"/>
      <c r="K1522" s="30"/>
      <c r="L1522" s="23"/>
      <c r="M1522" s="20"/>
      <c r="N1522" s="20"/>
      <c r="O1522" s="20"/>
      <c r="P1522" s="20"/>
    </row>
    <row r="1523">
      <c r="A1523" s="10"/>
      <c r="B1523" s="11"/>
      <c r="C1523" s="10"/>
      <c r="D1523" s="13"/>
      <c r="E1523" s="14"/>
      <c r="F1523" s="14"/>
      <c r="G1523" s="14"/>
      <c r="H1523" s="10"/>
      <c r="I1523" s="17"/>
      <c r="J1523" s="10"/>
      <c r="K1523" s="46"/>
      <c r="L1523" s="10"/>
      <c r="M1523" s="20"/>
      <c r="N1523" s="20"/>
      <c r="O1523" s="20"/>
      <c r="P1523" s="20"/>
    </row>
    <row r="1524">
      <c r="A1524" s="23"/>
      <c r="B1524" s="21"/>
      <c r="C1524" s="23"/>
      <c r="D1524" s="24"/>
      <c r="E1524" s="14"/>
      <c r="F1524" s="14"/>
      <c r="G1524" s="14"/>
      <c r="H1524" s="23"/>
      <c r="I1524" s="27"/>
      <c r="J1524" s="23"/>
      <c r="K1524" s="30"/>
      <c r="L1524" s="23"/>
      <c r="M1524" s="20"/>
      <c r="N1524" s="20"/>
      <c r="O1524" s="20"/>
      <c r="P1524" s="20"/>
    </row>
    <row r="1525">
      <c r="A1525" s="10"/>
      <c r="B1525" s="11"/>
      <c r="C1525" s="10"/>
      <c r="D1525" s="13"/>
      <c r="E1525" s="14"/>
      <c r="F1525" s="14"/>
      <c r="G1525" s="14"/>
      <c r="H1525" s="10"/>
      <c r="I1525" s="17"/>
      <c r="J1525" s="10"/>
      <c r="K1525" s="46"/>
      <c r="L1525" s="10"/>
      <c r="M1525" s="20"/>
      <c r="N1525" s="20"/>
      <c r="O1525" s="20"/>
      <c r="P1525" s="20"/>
    </row>
    <row r="1526">
      <c r="A1526" s="23"/>
      <c r="B1526" s="21"/>
      <c r="C1526" s="23"/>
      <c r="D1526" s="24"/>
      <c r="E1526" s="14"/>
      <c r="F1526" s="14"/>
      <c r="G1526" s="14"/>
      <c r="H1526" s="23"/>
      <c r="I1526" s="27"/>
      <c r="J1526" s="23"/>
      <c r="K1526" s="30"/>
      <c r="L1526" s="23"/>
      <c r="M1526" s="20"/>
      <c r="N1526" s="20"/>
      <c r="O1526" s="20"/>
      <c r="P1526" s="20"/>
    </row>
    <row r="1527">
      <c r="A1527" s="10"/>
      <c r="B1527" s="11"/>
      <c r="C1527" s="10"/>
      <c r="D1527" s="13"/>
      <c r="E1527" s="14"/>
      <c r="F1527" s="14"/>
      <c r="G1527" s="14"/>
      <c r="H1527" s="10"/>
      <c r="I1527" s="17"/>
      <c r="J1527" s="10"/>
      <c r="K1527" s="46"/>
      <c r="L1527" s="10"/>
      <c r="M1527" s="20"/>
      <c r="N1527" s="20"/>
      <c r="O1527" s="20"/>
      <c r="P1527" s="20"/>
    </row>
    <row r="1528">
      <c r="A1528" s="23"/>
      <c r="B1528" s="21"/>
      <c r="C1528" s="23"/>
      <c r="D1528" s="24"/>
      <c r="E1528" s="14"/>
      <c r="F1528" s="14"/>
      <c r="G1528" s="14"/>
      <c r="H1528" s="23"/>
      <c r="I1528" s="27"/>
      <c r="J1528" s="23"/>
      <c r="K1528" s="30"/>
      <c r="L1528" s="23"/>
      <c r="M1528" s="20"/>
      <c r="N1528" s="20"/>
      <c r="O1528" s="20"/>
      <c r="P1528" s="20"/>
    </row>
    <row r="1529">
      <c r="A1529" s="10"/>
      <c r="B1529" s="11"/>
      <c r="C1529" s="10"/>
      <c r="D1529" s="13"/>
      <c r="E1529" s="14"/>
      <c r="F1529" s="14"/>
      <c r="G1529" s="14"/>
      <c r="H1529" s="10"/>
      <c r="I1529" s="17"/>
      <c r="J1529" s="10"/>
      <c r="K1529" s="46"/>
      <c r="L1529" s="10"/>
      <c r="M1529" s="20"/>
      <c r="N1529" s="20"/>
      <c r="O1529" s="20"/>
      <c r="P1529" s="20"/>
    </row>
    <row r="1530">
      <c r="A1530" s="23"/>
      <c r="B1530" s="21"/>
      <c r="C1530" s="23"/>
      <c r="D1530" s="24"/>
      <c r="E1530" s="14"/>
      <c r="F1530" s="14"/>
      <c r="G1530" s="14"/>
      <c r="H1530" s="23"/>
      <c r="I1530" s="27"/>
      <c r="J1530" s="23"/>
      <c r="K1530" s="30"/>
      <c r="L1530" s="23"/>
      <c r="M1530" s="20"/>
      <c r="N1530" s="20"/>
      <c r="O1530" s="20"/>
      <c r="P1530" s="20"/>
    </row>
    <row r="1531">
      <c r="A1531" s="10"/>
      <c r="B1531" s="11"/>
      <c r="C1531" s="10"/>
      <c r="D1531" s="13"/>
      <c r="E1531" s="14"/>
      <c r="F1531" s="14"/>
      <c r="G1531" s="14"/>
      <c r="H1531" s="10"/>
      <c r="I1531" s="17"/>
      <c r="J1531" s="10"/>
      <c r="K1531" s="46"/>
      <c r="L1531" s="10"/>
      <c r="M1531" s="20"/>
      <c r="N1531" s="20"/>
      <c r="O1531" s="20"/>
      <c r="P1531" s="20"/>
    </row>
    <row r="1532">
      <c r="A1532" s="23"/>
      <c r="B1532" s="21"/>
      <c r="C1532" s="23"/>
      <c r="D1532" s="24"/>
      <c r="E1532" s="14"/>
      <c r="F1532" s="14"/>
      <c r="G1532" s="14"/>
      <c r="H1532" s="23"/>
      <c r="I1532" s="27"/>
      <c r="J1532" s="23"/>
      <c r="K1532" s="30"/>
      <c r="L1532" s="23"/>
      <c r="M1532" s="20"/>
      <c r="N1532" s="20"/>
      <c r="O1532" s="20"/>
      <c r="P1532" s="20"/>
    </row>
    <row r="1533">
      <c r="A1533" s="10"/>
      <c r="B1533" s="11"/>
      <c r="C1533" s="10"/>
      <c r="D1533" s="13"/>
      <c r="E1533" s="14"/>
      <c r="F1533" s="14"/>
      <c r="G1533" s="14"/>
      <c r="H1533" s="10"/>
      <c r="I1533" s="17"/>
      <c r="J1533" s="10"/>
      <c r="K1533" s="46"/>
      <c r="L1533" s="10"/>
      <c r="M1533" s="20"/>
      <c r="N1533" s="20"/>
      <c r="O1533" s="20"/>
      <c r="P1533" s="20"/>
    </row>
    <row r="1534">
      <c r="A1534" s="23"/>
      <c r="B1534" s="21"/>
      <c r="C1534" s="23"/>
      <c r="D1534" s="24"/>
      <c r="E1534" s="14"/>
      <c r="F1534" s="14"/>
      <c r="G1534" s="14"/>
      <c r="H1534" s="23"/>
      <c r="I1534" s="27"/>
      <c r="J1534" s="23"/>
      <c r="K1534" s="30"/>
      <c r="L1534" s="23"/>
      <c r="M1534" s="20"/>
      <c r="N1534" s="20"/>
      <c r="O1534" s="20"/>
      <c r="P1534" s="20"/>
    </row>
    <row r="1535">
      <c r="A1535" s="10"/>
      <c r="B1535" s="11"/>
      <c r="C1535" s="10"/>
      <c r="D1535" s="13"/>
      <c r="E1535" s="14"/>
      <c r="F1535" s="14"/>
      <c r="G1535" s="14"/>
      <c r="H1535" s="10"/>
      <c r="I1535" s="17"/>
      <c r="J1535" s="10"/>
      <c r="K1535" s="46"/>
      <c r="L1535" s="10"/>
      <c r="M1535" s="20"/>
      <c r="N1535" s="20"/>
      <c r="O1535" s="20"/>
      <c r="P1535" s="20"/>
    </row>
    <row r="1536">
      <c r="A1536" s="23"/>
      <c r="B1536" s="21"/>
      <c r="C1536" s="23"/>
      <c r="D1536" s="24"/>
      <c r="E1536" s="14"/>
      <c r="F1536" s="14"/>
      <c r="G1536" s="14"/>
      <c r="H1536" s="23"/>
      <c r="I1536" s="27"/>
      <c r="J1536" s="23"/>
      <c r="K1536" s="30"/>
      <c r="L1536" s="23"/>
      <c r="M1536" s="20"/>
      <c r="N1536" s="20"/>
      <c r="O1536" s="20"/>
      <c r="P1536" s="20"/>
    </row>
    <row r="1537">
      <c r="A1537" s="10"/>
      <c r="B1537" s="11"/>
      <c r="C1537" s="10"/>
      <c r="D1537" s="13"/>
      <c r="E1537" s="14"/>
      <c r="F1537" s="14"/>
      <c r="G1537" s="14"/>
      <c r="H1537" s="10"/>
      <c r="I1537" s="17"/>
      <c r="J1537" s="10"/>
      <c r="K1537" s="46"/>
      <c r="L1537" s="10"/>
      <c r="M1537" s="20"/>
      <c r="N1537" s="20"/>
      <c r="O1537" s="20"/>
      <c r="P1537" s="20"/>
    </row>
    <row r="1538">
      <c r="A1538" s="23"/>
      <c r="B1538" s="21"/>
      <c r="C1538" s="23"/>
      <c r="D1538" s="24"/>
      <c r="E1538" s="14"/>
      <c r="F1538" s="14"/>
      <c r="G1538" s="14"/>
      <c r="H1538" s="23"/>
      <c r="I1538" s="27"/>
      <c r="J1538" s="23"/>
      <c r="K1538" s="30"/>
      <c r="L1538" s="23"/>
      <c r="M1538" s="20"/>
      <c r="N1538" s="20"/>
      <c r="O1538" s="20"/>
      <c r="P1538" s="20"/>
    </row>
    <row r="1539">
      <c r="A1539" s="10"/>
      <c r="B1539" s="11"/>
      <c r="C1539" s="10"/>
      <c r="D1539" s="13"/>
      <c r="E1539" s="14"/>
      <c r="F1539" s="14"/>
      <c r="G1539" s="14"/>
      <c r="H1539" s="10"/>
      <c r="I1539" s="17"/>
      <c r="J1539" s="10"/>
      <c r="K1539" s="46"/>
      <c r="L1539" s="10"/>
      <c r="M1539" s="20"/>
      <c r="N1539" s="20"/>
      <c r="O1539" s="20"/>
      <c r="P1539" s="20"/>
    </row>
    <row r="1540">
      <c r="A1540" s="23"/>
      <c r="B1540" s="21"/>
      <c r="C1540" s="23"/>
      <c r="D1540" s="24"/>
      <c r="E1540" s="14"/>
      <c r="F1540" s="14"/>
      <c r="G1540" s="14"/>
      <c r="H1540" s="23"/>
      <c r="I1540" s="27"/>
      <c r="J1540" s="23"/>
      <c r="K1540" s="30"/>
      <c r="L1540" s="23"/>
      <c r="M1540" s="20"/>
      <c r="N1540" s="20"/>
      <c r="O1540" s="20"/>
      <c r="P1540" s="20"/>
    </row>
    <row r="1541">
      <c r="A1541" s="10"/>
      <c r="B1541" s="11"/>
      <c r="C1541" s="10"/>
      <c r="D1541" s="13"/>
      <c r="E1541" s="14"/>
      <c r="F1541" s="14"/>
      <c r="G1541" s="14"/>
      <c r="H1541" s="10"/>
      <c r="I1541" s="17"/>
      <c r="J1541" s="10"/>
      <c r="K1541" s="46"/>
      <c r="L1541" s="10"/>
      <c r="M1541" s="20"/>
      <c r="N1541" s="20"/>
      <c r="O1541" s="20"/>
      <c r="P1541" s="20"/>
    </row>
    <row r="1542">
      <c r="A1542" s="23"/>
      <c r="B1542" s="21"/>
      <c r="C1542" s="23"/>
      <c r="D1542" s="24"/>
      <c r="E1542" s="14"/>
      <c r="F1542" s="14"/>
      <c r="G1542" s="14"/>
      <c r="H1542" s="23"/>
      <c r="I1542" s="27"/>
      <c r="J1542" s="23"/>
      <c r="K1542" s="30"/>
      <c r="L1542" s="23"/>
      <c r="M1542" s="20"/>
      <c r="N1542" s="20"/>
      <c r="O1542" s="20"/>
      <c r="P1542" s="20"/>
    </row>
    <row r="1543">
      <c r="A1543" s="10"/>
      <c r="B1543" s="11"/>
      <c r="C1543" s="10"/>
      <c r="D1543" s="13"/>
      <c r="E1543" s="14"/>
      <c r="F1543" s="14"/>
      <c r="G1543" s="14"/>
      <c r="H1543" s="10"/>
      <c r="I1543" s="17"/>
      <c r="J1543" s="10"/>
      <c r="K1543" s="46"/>
      <c r="L1543" s="10"/>
      <c r="M1543" s="20"/>
      <c r="N1543" s="20"/>
      <c r="O1543" s="20"/>
      <c r="P1543" s="20"/>
    </row>
    <row r="1544">
      <c r="A1544" s="23"/>
      <c r="B1544" s="21"/>
      <c r="C1544" s="23"/>
      <c r="D1544" s="24"/>
      <c r="E1544" s="14"/>
      <c r="F1544" s="14"/>
      <c r="G1544" s="14"/>
      <c r="H1544" s="23"/>
      <c r="I1544" s="27"/>
      <c r="J1544" s="23"/>
      <c r="K1544" s="30"/>
      <c r="L1544" s="23"/>
      <c r="M1544" s="20"/>
      <c r="N1544" s="20"/>
      <c r="O1544" s="20"/>
      <c r="P1544" s="20"/>
    </row>
    <row r="1545">
      <c r="A1545" s="10"/>
      <c r="B1545" s="11"/>
      <c r="C1545" s="10"/>
      <c r="D1545" s="13"/>
      <c r="E1545" s="14"/>
      <c r="F1545" s="14"/>
      <c r="G1545" s="14"/>
      <c r="H1545" s="10"/>
      <c r="I1545" s="17"/>
      <c r="J1545" s="10"/>
      <c r="K1545" s="46"/>
      <c r="L1545" s="10"/>
      <c r="M1545" s="20"/>
      <c r="N1545" s="20"/>
      <c r="O1545" s="20"/>
      <c r="P1545" s="20"/>
    </row>
    <row r="1546">
      <c r="A1546" s="23"/>
      <c r="B1546" s="21"/>
      <c r="C1546" s="23"/>
      <c r="D1546" s="24"/>
      <c r="E1546" s="14"/>
      <c r="F1546" s="14"/>
      <c r="G1546" s="14"/>
      <c r="H1546" s="23"/>
      <c r="I1546" s="27"/>
      <c r="J1546" s="23"/>
      <c r="K1546" s="30"/>
      <c r="L1546" s="23"/>
      <c r="M1546" s="20"/>
      <c r="N1546" s="20"/>
      <c r="O1546" s="20"/>
      <c r="P1546" s="20"/>
    </row>
    <row r="1547">
      <c r="A1547" s="10"/>
      <c r="B1547" s="11"/>
      <c r="C1547" s="10"/>
      <c r="D1547" s="13"/>
      <c r="E1547" s="14"/>
      <c r="F1547" s="14"/>
      <c r="G1547" s="14"/>
      <c r="H1547" s="10"/>
      <c r="I1547" s="17"/>
      <c r="J1547" s="10"/>
      <c r="K1547" s="46"/>
      <c r="L1547" s="10"/>
      <c r="M1547" s="20"/>
      <c r="N1547" s="20"/>
      <c r="O1547" s="20"/>
      <c r="P1547" s="20"/>
    </row>
    <row r="1548">
      <c r="A1548" s="23"/>
      <c r="B1548" s="21"/>
      <c r="C1548" s="23"/>
      <c r="D1548" s="24"/>
      <c r="E1548" s="14"/>
      <c r="F1548" s="14"/>
      <c r="G1548" s="14"/>
      <c r="H1548" s="23"/>
      <c r="I1548" s="27"/>
      <c r="J1548" s="23"/>
      <c r="K1548" s="30"/>
      <c r="L1548" s="23"/>
      <c r="M1548" s="20"/>
      <c r="N1548" s="20"/>
      <c r="O1548" s="20"/>
      <c r="P1548" s="20"/>
    </row>
    <row r="1549">
      <c r="A1549" s="10"/>
      <c r="B1549" s="11"/>
      <c r="C1549" s="10"/>
      <c r="D1549" s="13"/>
      <c r="E1549" s="14"/>
      <c r="F1549" s="14"/>
      <c r="G1549" s="14"/>
      <c r="H1549" s="10"/>
      <c r="I1549" s="17"/>
      <c r="J1549" s="10"/>
      <c r="K1549" s="46"/>
      <c r="L1549" s="10"/>
      <c r="M1549" s="20"/>
      <c r="N1549" s="20"/>
      <c r="O1549" s="20"/>
      <c r="P1549" s="20"/>
    </row>
    <row r="1550">
      <c r="A1550" s="23"/>
      <c r="B1550" s="21"/>
      <c r="C1550" s="23"/>
      <c r="D1550" s="24"/>
      <c r="E1550" s="14"/>
      <c r="F1550" s="14"/>
      <c r="G1550" s="14"/>
      <c r="H1550" s="23"/>
      <c r="I1550" s="27"/>
      <c r="J1550" s="23"/>
      <c r="K1550" s="30"/>
      <c r="L1550" s="23"/>
      <c r="M1550" s="20"/>
      <c r="N1550" s="20"/>
      <c r="O1550" s="20"/>
      <c r="P1550" s="20"/>
    </row>
    <row r="1551">
      <c r="A1551" s="10"/>
      <c r="B1551" s="11"/>
      <c r="C1551" s="10"/>
      <c r="D1551" s="13"/>
      <c r="E1551" s="14"/>
      <c r="F1551" s="14"/>
      <c r="G1551" s="14"/>
      <c r="H1551" s="10"/>
      <c r="I1551" s="17"/>
      <c r="J1551" s="10"/>
      <c r="K1551" s="46"/>
      <c r="L1551" s="10"/>
      <c r="M1551" s="20"/>
      <c r="N1551" s="20"/>
      <c r="O1551" s="20"/>
      <c r="P1551" s="20"/>
    </row>
    <row r="1552">
      <c r="A1552" s="23"/>
      <c r="B1552" s="21"/>
      <c r="C1552" s="23"/>
      <c r="D1552" s="24"/>
      <c r="E1552" s="14"/>
      <c r="F1552" s="14"/>
      <c r="G1552" s="14"/>
      <c r="H1552" s="23"/>
      <c r="I1552" s="27"/>
      <c r="J1552" s="23"/>
      <c r="K1552" s="30"/>
      <c r="L1552" s="23"/>
      <c r="M1552" s="20"/>
      <c r="N1552" s="20"/>
      <c r="O1552" s="20"/>
      <c r="P1552" s="20"/>
    </row>
    <row r="1553">
      <c r="A1553" s="10"/>
      <c r="B1553" s="11"/>
      <c r="C1553" s="10"/>
      <c r="D1553" s="13"/>
      <c r="E1553" s="14"/>
      <c r="F1553" s="14"/>
      <c r="G1553" s="14"/>
      <c r="H1553" s="10"/>
      <c r="I1553" s="17"/>
      <c r="J1553" s="10"/>
      <c r="K1553" s="46"/>
      <c r="L1553" s="10"/>
      <c r="M1553" s="20"/>
      <c r="N1553" s="20"/>
      <c r="O1553" s="20"/>
      <c r="P1553" s="20"/>
    </row>
    <row r="1554">
      <c r="A1554" s="23"/>
      <c r="B1554" s="21"/>
      <c r="C1554" s="23"/>
      <c r="D1554" s="24"/>
      <c r="E1554" s="14"/>
      <c r="F1554" s="14"/>
      <c r="G1554" s="14"/>
      <c r="H1554" s="23"/>
      <c r="I1554" s="27"/>
      <c r="J1554" s="23"/>
      <c r="K1554" s="30"/>
      <c r="L1554" s="23"/>
      <c r="M1554" s="20"/>
      <c r="N1554" s="20"/>
      <c r="O1554" s="20"/>
      <c r="P1554" s="20"/>
    </row>
    <row r="1555">
      <c r="A1555" s="10"/>
      <c r="B1555" s="11"/>
      <c r="C1555" s="10"/>
      <c r="D1555" s="13"/>
      <c r="E1555" s="14"/>
      <c r="F1555" s="14"/>
      <c r="G1555" s="14"/>
      <c r="H1555" s="10"/>
      <c r="I1555" s="17"/>
      <c r="J1555" s="10"/>
      <c r="K1555" s="46"/>
      <c r="L1555" s="10"/>
      <c r="M1555" s="20"/>
      <c r="N1555" s="20"/>
      <c r="O1555" s="20"/>
      <c r="P1555" s="20"/>
    </row>
    <row r="1556">
      <c r="A1556" s="23"/>
      <c r="B1556" s="21"/>
      <c r="C1556" s="23"/>
      <c r="D1556" s="24"/>
      <c r="E1556" s="14"/>
      <c r="F1556" s="14"/>
      <c r="G1556" s="14"/>
      <c r="H1556" s="23"/>
      <c r="I1556" s="27"/>
      <c r="J1556" s="23"/>
      <c r="K1556" s="30"/>
      <c r="L1556" s="23"/>
      <c r="M1556" s="20"/>
      <c r="N1556" s="20"/>
      <c r="O1556" s="20"/>
      <c r="P1556" s="20"/>
    </row>
    <row r="1557">
      <c r="A1557" s="10"/>
      <c r="B1557" s="11"/>
      <c r="C1557" s="10"/>
      <c r="D1557" s="13"/>
      <c r="E1557" s="14"/>
      <c r="F1557" s="14"/>
      <c r="G1557" s="14"/>
      <c r="H1557" s="10"/>
      <c r="I1557" s="17"/>
      <c r="J1557" s="10"/>
      <c r="K1557" s="46"/>
      <c r="L1557" s="10"/>
      <c r="M1557" s="20"/>
      <c r="N1557" s="20"/>
      <c r="O1557" s="20"/>
      <c r="P1557" s="20"/>
    </row>
    <row r="1558">
      <c r="A1558" s="23"/>
      <c r="B1558" s="21"/>
      <c r="C1558" s="23"/>
      <c r="D1558" s="24"/>
      <c r="E1558" s="14"/>
      <c r="F1558" s="14"/>
      <c r="G1558" s="14"/>
      <c r="H1558" s="23"/>
      <c r="I1558" s="27"/>
      <c r="J1558" s="23"/>
      <c r="K1558" s="30"/>
      <c r="L1558" s="23"/>
      <c r="M1558" s="20"/>
      <c r="N1558" s="20"/>
      <c r="O1558" s="20"/>
      <c r="P1558" s="20"/>
    </row>
    <row r="1559">
      <c r="A1559" s="10"/>
      <c r="B1559" s="11"/>
      <c r="C1559" s="10"/>
      <c r="D1559" s="13"/>
      <c r="E1559" s="14"/>
      <c r="F1559" s="14"/>
      <c r="G1559" s="14"/>
      <c r="H1559" s="10"/>
      <c r="I1559" s="17"/>
      <c r="J1559" s="10"/>
      <c r="K1559" s="46"/>
      <c r="L1559" s="10"/>
      <c r="M1559" s="20"/>
      <c r="N1559" s="20"/>
      <c r="O1559" s="20"/>
      <c r="P1559" s="20"/>
    </row>
    <row r="1560">
      <c r="A1560" s="23"/>
      <c r="B1560" s="21"/>
      <c r="C1560" s="23"/>
      <c r="D1560" s="24"/>
      <c r="E1560" s="14"/>
      <c r="F1560" s="14"/>
      <c r="G1560" s="14"/>
      <c r="H1560" s="23"/>
      <c r="I1560" s="27"/>
      <c r="J1560" s="23"/>
      <c r="K1560" s="30"/>
      <c r="L1560" s="23"/>
      <c r="M1560" s="20"/>
      <c r="N1560" s="20"/>
      <c r="O1560" s="20"/>
      <c r="P1560" s="20"/>
    </row>
    <row r="1561">
      <c r="A1561" s="10"/>
      <c r="B1561" s="11"/>
      <c r="C1561" s="10"/>
      <c r="D1561" s="13"/>
      <c r="E1561" s="14"/>
      <c r="F1561" s="14"/>
      <c r="G1561" s="14"/>
      <c r="H1561" s="10"/>
      <c r="I1561" s="17"/>
      <c r="J1561" s="10"/>
      <c r="K1561" s="46"/>
      <c r="L1561" s="10"/>
      <c r="M1561" s="20"/>
      <c r="N1561" s="20"/>
      <c r="O1561" s="20"/>
      <c r="P1561" s="20"/>
    </row>
    <row r="1562">
      <c r="A1562" s="23"/>
      <c r="B1562" s="21"/>
      <c r="C1562" s="23"/>
      <c r="D1562" s="24"/>
      <c r="E1562" s="14"/>
      <c r="F1562" s="14"/>
      <c r="G1562" s="14"/>
      <c r="H1562" s="23"/>
      <c r="I1562" s="27"/>
      <c r="J1562" s="23"/>
      <c r="K1562" s="30"/>
      <c r="L1562" s="23"/>
      <c r="M1562" s="20"/>
      <c r="N1562" s="20"/>
      <c r="O1562" s="20"/>
      <c r="P1562" s="20"/>
    </row>
    <row r="1563">
      <c r="A1563" s="10"/>
      <c r="B1563" s="11"/>
      <c r="C1563" s="10"/>
      <c r="D1563" s="13"/>
      <c r="E1563" s="14"/>
      <c r="F1563" s="14"/>
      <c r="G1563" s="14"/>
      <c r="H1563" s="10"/>
      <c r="I1563" s="17"/>
      <c r="J1563" s="10"/>
      <c r="K1563" s="46"/>
      <c r="L1563" s="10"/>
      <c r="M1563" s="20"/>
      <c r="N1563" s="20"/>
      <c r="O1563" s="20"/>
      <c r="P1563" s="20"/>
    </row>
    <row r="1564">
      <c r="A1564" s="23"/>
      <c r="B1564" s="21"/>
      <c r="C1564" s="23"/>
      <c r="D1564" s="24"/>
      <c r="E1564" s="14"/>
      <c r="F1564" s="14"/>
      <c r="G1564" s="14"/>
      <c r="H1564" s="23"/>
      <c r="I1564" s="27"/>
      <c r="J1564" s="23"/>
      <c r="K1564" s="30"/>
      <c r="L1564" s="23"/>
      <c r="M1564" s="20"/>
      <c r="N1564" s="20"/>
      <c r="O1564" s="20"/>
      <c r="P1564" s="20"/>
    </row>
    <row r="1565">
      <c r="A1565" s="10"/>
      <c r="B1565" s="11"/>
      <c r="C1565" s="10"/>
      <c r="D1565" s="13"/>
      <c r="E1565" s="14"/>
      <c r="F1565" s="14"/>
      <c r="G1565" s="14"/>
      <c r="H1565" s="10"/>
      <c r="I1565" s="17"/>
      <c r="J1565" s="10"/>
      <c r="K1565" s="46"/>
      <c r="L1565" s="10"/>
      <c r="M1565" s="20"/>
      <c r="N1565" s="20"/>
      <c r="O1565" s="20"/>
      <c r="P1565" s="20"/>
    </row>
    <row r="1566">
      <c r="A1566" s="23"/>
      <c r="B1566" s="21"/>
      <c r="C1566" s="23"/>
      <c r="D1566" s="24"/>
      <c r="E1566" s="14"/>
      <c r="F1566" s="14"/>
      <c r="G1566" s="14"/>
      <c r="H1566" s="23"/>
      <c r="I1566" s="27"/>
      <c r="J1566" s="23"/>
      <c r="K1566" s="30"/>
      <c r="L1566" s="23"/>
      <c r="M1566" s="20"/>
      <c r="N1566" s="20"/>
      <c r="O1566" s="20"/>
      <c r="P1566" s="20"/>
    </row>
    <row r="1567">
      <c r="A1567" s="10"/>
      <c r="B1567" s="11"/>
      <c r="C1567" s="10"/>
      <c r="D1567" s="13"/>
      <c r="E1567" s="14"/>
      <c r="F1567" s="14"/>
      <c r="G1567" s="14"/>
      <c r="H1567" s="10"/>
      <c r="I1567" s="17"/>
      <c r="J1567" s="10"/>
      <c r="K1567" s="46"/>
      <c r="L1567" s="10"/>
      <c r="M1567" s="20"/>
      <c r="N1567" s="20"/>
      <c r="O1567" s="20"/>
      <c r="P1567" s="20"/>
    </row>
    <row r="1568">
      <c r="A1568" s="23"/>
      <c r="B1568" s="21"/>
      <c r="C1568" s="23"/>
      <c r="D1568" s="24"/>
      <c r="E1568" s="14"/>
      <c r="F1568" s="14"/>
      <c r="G1568" s="14"/>
      <c r="H1568" s="23"/>
      <c r="I1568" s="27"/>
      <c r="J1568" s="23"/>
      <c r="K1568" s="30"/>
      <c r="L1568" s="23"/>
      <c r="M1568" s="20"/>
      <c r="N1568" s="20"/>
      <c r="O1568" s="20"/>
      <c r="P1568" s="20"/>
    </row>
    <row r="1569">
      <c r="A1569" s="10"/>
      <c r="B1569" s="11"/>
      <c r="C1569" s="10"/>
      <c r="D1569" s="13"/>
      <c r="E1569" s="14"/>
      <c r="F1569" s="14"/>
      <c r="G1569" s="14"/>
      <c r="H1569" s="10"/>
      <c r="I1569" s="17"/>
      <c r="J1569" s="10"/>
      <c r="K1569" s="46"/>
      <c r="L1569" s="10"/>
      <c r="M1569" s="20"/>
      <c r="N1569" s="20"/>
      <c r="O1569" s="20"/>
      <c r="P1569" s="20"/>
    </row>
    <row r="1570">
      <c r="A1570" s="23"/>
      <c r="B1570" s="21"/>
      <c r="C1570" s="23"/>
      <c r="D1570" s="24"/>
      <c r="E1570" s="14"/>
      <c r="F1570" s="14"/>
      <c r="G1570" s="14"/>
      <c r="H1570" s="23"/>
      <c r="I1570" s="27"/>
      <c r="J1570" s="23"/>
      <c r="K1570" s="30"/>
      <c r="L1570" s="23"/>
      <c r="M1570" s="20"/>
      <c r="N1570" s="20"/>
      <c r="O1570" s="20"/>
      <c r="P1570" s="20"/>
    </row>
    <row r="1571">
      <c r="A1571" s="10"/>
      <c r="B1571" s="11"/>
      <c r="C1571" s="10"/>
      <c r="D1571" s="13"/>
      <c r="E1571" s="14"/>
      <c r="F1571" s="14"/>
      <c r="G1571" s="14"/>
      <c r="H1571" s="10"/>
      <c r="I1571" s="17"/>
      <c r="J1571" s="10"/>
      <c r="K1571" s="46"/>
      <c r="L1571" s="10"/>
      <c r="M1571" s="20"/>
      <c r="N1571" s="20"/>
      <c r="O1571" s="20"/>
      <c r="P1571" s="20"/>
    </row>
    <row r="1572">
      <c r="A1572" s="23"/>
      <c r="B1572" s="21"/>
      <c r="C1572" s="23"/>
      <c r="D1572" s="24"/>
      <c r="E1572" s="14"/>
      <c r="F1572" s="14"/>
      <c r="G1572" s="14"/>
      <c r="H1572" s="23"/>
      <c r="I1572" s="27"/>
      <c r="J1572" s="23"/>
      <c r="K1572" s="30"/>
      <c r="L1572" s="23"/>
      <c r="M1572" s="20"/>
      <c r="N1572" s="20"/>
      <c r="O1572" s="20"/>
      <c r="P1572" s="20"/>
    </row>
    <row r="1573">
      <c r="A1573" s="10"/>
      <c r="B1573" s="11"/>
      <c r="C1573" s="10"/>
      <c r="D1573" s="13"/>
      <c r="E1573" s="14"/>
      <c r="F1573" s="14"/>
      <c r="G1573" s="14"/>
      <c r="H1573" s="10"/>
      <c r="I1573" s="17"/>
      <c r="J1573" s="10"/>
      <c r="K1573" s="46"/>
      <c r="L1573" s="10"/>
      <c r="M1573" s="20"/>
      <c r="N1573" s="20"/>
      <c r="O1573" s="20"/>
      <c r="P1573" s="20"/>
    </row>
    <row r="1574">
      <c r="A1574" s="23"/>
      <c r="B1574" s="21"/>
      <c r="C1574" s="23"/>
      <c r="D1574" s="24"/>
      <c r="E1574" s="14"/>
      <c r="F1574" s="14"/>
      <c r="G1574" s="14"/>
      <c r="H1574" s="23"/>
      <c r="I1574" s="27"/>
      <c r="J1574" s="23"/>
      <c r="K1574" s="30"/>
      <c r="L1574" s="23"/>
      <c r="M1574" s="20"/>
      <c r="N1574" s="20"/>
      <c r="O1574" s="20"/>
      <c r="P1574" s="20"/>
    </row>
    <row r="1575">
      <c r="A1575" s="10"/>
      <c r="B1575" s="11"/>
      <c r="C1575" s="10"/>
      <c r="D1575" s="13"/>
      <c r="E1575" s="14"/>
      <c r="F1575" s="14"/>
      <c r="G1575" s="14"/>
      <c r="H1575" s="10"/>
      <c r="I1575" s="17"/>
      <c r="J1575" s="10"/>
      <c r="K1575" s="46"/>
      <c r="L1575" s="10"/>
      <c r="M1575" s="20"/>
      <c r="N1575" s="20"/>
      <c r="O1575" s="20"/>
      <c r="P1575" s="20"/>
    </row>
    <row r="1576">
      <c r="A1576" s="23"/>
      <c r="B1576" s="21"/>
      <c r="C1576" s="23"/>
      <c r="D1576" s="24"/>
      <c r="E1576" s="14"/>
      <c r="F1576" s="14"/>
      <c r="G1576" s="14"/>
      <c r="H1576" s="23"/>
      <c r="I1576" s="27"/>
      <c r="J1576" s="23"/>
      <c r="K1576" s="30"/>
      <c r="L1576" s="23"/>
      <c r="M1576" s="20"/>
      <c r="N1576" s="20"/>
      <c r="O1576" s="20"/>
      <c r="P1576" s="20"/>
    </row>
    <row r="1577">
      <c r="A1577" s="10"/>
      <c r="B1577" s="11"/>
      <c r="C1577" s="10"/>
      <c r="D1577" s="13"/>
      <c r="E1577" s="14"/>
      <c r="F1577" s="14"/>
      <c r="G1577" s="14"/>
      <c r="H1577" s="10"/>
      <c r="I1577" s="17"/>
      <c r="J1577" s="10"/>
      <c r="K1577" s="46"/>
      <c r="L1577" s="10"/>
      <c r="M1577" s="20"/>
      <c r="N1577" s="20"/>
      <c r="O1577" s="20"/>
      <c r="P1577" s="20"/>
    </row>
    <row r="1578">
      <c r="A1578" s="23"/>
      <c r="B1578" s="21"/>
      <c r="C1578" s="23"/>
      <c r="D1578" s="24"/>
      <c r="E1578" s="14"/>
      <c r="F1578" s="14"/>
      <c r="G1578" s="14"/>
      <c r="H1578" s="23"/>
      <c r="I1578" s="27"/>
      <c r="J1578" s="23"/>
      <c r="K1578" s="30"/>
      <c r="L1578" s="23"/>
      <c r="M1578" s="20"/>
      <c r="N1578" s="20"/>
      <c r="O1578" s="20"/>
      <c r="P1578" s="20"/>
    </row>
    <row r="1579">
      <c r="A1579" s="10"/>
      <c r="B1579" s="11"/>
      <c r="C1579" s="10"/>
      <c r="D1579" s="13"/>
      <c r="E1579" s="14"/>
      <c r="F1579" s="14"/>
      <c r="G1579" s="14"/>
      <c r="H1579" s="10"/>
      <c r="I1579" s="17"/>
      <c r="J1579" s="10"/>
      <c r="K1579" s="46"/>
      <c r="L1579" s="10"/>
      <c r="M1579" s="20"/>
      <c r="N1579" s="20"/>
      <c r="O1579" s="20"/>
      <c r="P1579" s="20"/>
    </row>
    <row r="1580">
      <c r="A1580" s="23"/>
      <c r="B1580" s="21"/>
      <c r="C1580" s="23"/>
      <c r="D1580" s="24"/>
      <c r="E1580" s="14"/>
      <c r="F1580" s="14"/>
      <c r="G1580" s="14"/>
      <c r="H1580" s="23"/>
      <c r="I1580" s="27"/>
      <c r="J1580" s="23"/>
      <c r="K1580" s="30"/>
      <c r="L1580" s="23"/>
      <c r="M1580" s="20"/>
      <c r="N1580" s="20"/>
      <c r="O1580" s="20"/>
      <c r="P1580" s="20"/>
    </row>
    <row r="1581">
      <c r="A1581" s="10"/>
      <c r="B1581" s="11"/>
      <c r="C1581" s="10"/>
      <c r="D1581" s="13"/>
      <c r="E1581" s="14"/>
      <c r="F1581" s="14"/>
      <c r="G1581" s="14"/>
      <c r="H1581" s="10"/>
      <c r="I1581" s="17"/>
      <c r="J1581" s="10"/>
      <c r="K1581" s="46"/>
      <c r="L1581" s="10"/>
      <c r="M1581" s="20"/>
      <c r="N1581" s="20"/>
      <c r="O1581" s="20"/>
      <c r="P1581" s="20"/>
    </row>
    <row r="1582">
      <c r="A1582" s="23"/>
      <c r="B1582" s="21"/>
      <c r="C1582" s="23"/>
      <c r="D1582" s="24"/>
      <c r="E1582" s="14"/>
      <c r="F1582" s="14"/>
      <c r="G1582" s="14"/>
      <c r="H1582" s="23"/>
      <c r="I1582" s="27"/>
      <c r="J1582" s="23"/>
      <c r="K1582" s="30"/>
      <c r="L1582" s="23"/>
      <c r="M1582" s="20"/>
      <c r="N1582" s="20"/>
      <c r="O1582" s="20"/>
      <c r="P1582" s="20"/>
    </row>
    <row r="1583">
      <c r="A1583" s="10"/>
      <c r="B1583" s="11"/>
      <c r="C1583" s="10"/>
      <c r="D1583" s="13"/>
      <c r="E1583" s="14"/>
      <c r="F1583" s="14"/>
      <c r="G1583" s="14"/>
      <c r="H1583" s="10"/>
      <c r="I1583" s="17"/>
      <c r="J1583" s="10"/>
      <c r="K1583" s="46"/>
      <c r="L1583" s="10"/>
      <c r="M1583" s="20"/>
      <c r="N1583" s="20"/>
      <c r="O1583" s="20"/>
      <c r="P1583" s="20"/>
    </row>
    <row r="1584">
      <c r="A1584" s="23"/>
      <c r="B1584" s="21"/>
      <c r="C1584" s="23"/>
      <c r="D1584" s="24"/>
      <c r="E1584" s="14"/>
      <c r="F1584" s="14"/>
      <c r="G1584" s="14"/>
      <c r="H1584" s="23"/>
      <c r="I1584" s="27"/>
      <c r="J1584" s="23"/>
      <c r="K1584" s="30"/>
      <c r="L1584" s="23"/>
      <c r="M1584" s="20"/>
      <c r="N1584" s="20"/>
      <c r="O1584" s="20"/>
      <c r="P1584" s="20"/>
    </row>
    <row r="1585">
      <c r="A1585" s="10"/>
      <c r="B1585" s="11"/>
      <c r="C1585" s="10"/>
      <c r="D1585" s="13"/>
      <c r="E1585" s="14"/>
      <c r="F1585" s="14"/>
      <c r="G1585" s="14"/>
      <c r="H1585" s="10"/>
      <c r="I1585" s="17"/>
      <c r="J1585" s="10"/>
      <c r="K1585" s="46"/>
      <c r="L1585" s="10"/>
      <c r="M1585" s="20"/>
      <c r="N1585" s="20"/>
      <c r="O1585" s="20"/>
      <c r="P1585" s="20"/>
    </row>
    <row r="1586">
      <c r="A1586" s="23"/>
      <c r="B1586" s="21"/>
      <c r="C1586" s="23"/>
      <c r="D1586" s="24"/>
      <c r="E1586" s="14"/>
      <c r="F1586" s="14"/>
      <c r="G1586" s="14"/>
      <c r="H1586" s="23"/>
      <c r="I1586" s="27"/>
      <c r="J1586" s="23"/>
      <c r="K1586" s="30"/>
      <c r="L1586" s="23"/>
      <c r="M1586" s="20"/>
      <c r="N1586" s="20"/>
      <c r="O1586" s="20"/>
      <c r="P1586" s="20"/>
    </row>
    <row r="1587">
      <c r="A1587" s="10"/>
      <c r="B1587" s="11"/>
      <c r="C1587" s="10"/>
      <c r="D1587" s="13"/>
      <c r="E1587" s="14"/>
      <c r="F1587" s="14"/>
      <c r="G1587" s="14"/>
      <c r="H1587" s="10"/>
      <c r="I1587" s="17"/>
      <c r="J1587" s="10"/>
      <c r="K1587" s="46"/>
      <c r="L1587" s="10"/>
      <c r="M1587" s="20"/>
      <c r="N1587" s="20"/>
      <c r="O1587" s="20"/>
      <c r="P1587" s="20"/>
    </row>
    <row r="1588">
      <c r="A1588" s="23"/>
      <c r="B1588" s="21"/>
      <c r="C1588" s="23"/>
      <c r="D1588" s="24"/>
      <c r="E1588" s="14"/>
      <c r="F1588" s="14"/>
      <c r="G1588" s="14"/>
      <c r="H1588" s="23"/>
      <c r="I1588" s="27"/>
      <c r="J1588" s="23"/>
      <c r="K1588" s="30"/>
      <c r="L1588" s="23"/>
      <c r="M1588" s="20"/>
      <c r="N1588" s="20"/>
      <c r="O1588" s="20"/>
      <c r="P1588" s="20"/>
    </row>
    <row r="1589">
      <c r="A1589" s="10"/>
      <c r="B1589" s="11"/>
      <c r="C1589" s="10"/>
      <c r="D1589" s="13"/>
      <c r="E1589" s="14"/>
      <c r="F1589" s="14"/>
      <c r="G1589" s="14"/>
      <c r="H1589" s="10"/>
      <c r="I1589" s="17"/>
      <c r="J1589" s="10"/>
      <c r="K1589" s="46"/>
      <c r="L1589" s="10"/>
      <c r="M1589" s="20"/>
      <c r="N1589" s="20"/>
      <c r="O1589" s="20"/>
      <c r="P1589" s="20"/>
    </row>
    <row r="1590">
      <c r="A1590" s="23"/>
      <c r="B1590" s="21"/>
      <c r="C1590" s="23"/>
      <c r="D1590" s="24"/>
      <c r="E1590" s="14"/>
      <c r="F1590" s="14"/>
      <c r="G1590" s="14"/>
      <c r="H1590" s="23"/>
      <c r="I1590" s="27"/>
      <c r="J1590" s="23"/>
      <c r="K1590" s="30"/>
      <c r="L1590" s="23"/>
      <c r="M1590" s="20"/>
      <c r="N1590" s="20"/>
      <c r="O1590" s="20"/>
      <c r="P1590" s="20"/>
    </row>
    <row r="1591">
      <c r="A1591" s="10"/>
      <c r="B1591" s="11"/>
      <c r="C1591" s="10"/>
      <c r="D1591" s="13"/>
      <c r="E1591" s="14"/>
      <c r="F1591" s="14"/>
      <c r="G1591" s="14"/>
      <c r="H1591" s="10"/>
      <c r="I1591" s="17"/>
      <c r="J1591" s="10"/>
      <c r="K1591" s="46"/>
      <c r="L1591" s="10"/>
      <c r="M1591" s="20"/>
      <c r="N1591" s="20"/>
      <c r="O1591" s="20"/>
      <c r="P1591" s="20"/>
    </row>
    <row r="1592">
      <c r="A1592" s="23"/>
      <c r="B1592" s="21"/>
      <c r="C1592" s="23"/>
      <c r="D1592" s="24"/>
      <c r="E1592" s="14"/>
      <c r="F1592" s="14"/>
      <c r="G1592" s="14"/>
      <c r="H1592" s="23"/>
      <c r="I1592" s="27"/>
      <c r="J1592" s="23"/>
      <c r="K1592" s="30"/>
      <c r="L1592" s="23"/>
      <c r="M1592" s="20"/>
      <c r="N1592" s="20"/>
      <c r="O1592" s="20"/>
      <c r="P1592" s="20"/>
    </row>
    <row r="1593">
      <c r="A1593" s="10"/>
      <c r="B1593" s="11"/>
      <c r="C1593" s="10"/>
      <c r="D1593" s="13"/>
      <c r="E1593" s="14"/>
      <c r="F1593" s="14"/>
      <c r="G1593" s="14"/>
      <c r="H1593" s="10"/>
      <c r="I1593" s="17"/>
      <c r="J1593" s="10"/>
      <c r="K1593" s="46"/>
      <c r="L1593" s="10"/>
      <c r="M1593" s="20"/>
      <c r="N1593" s="20"/>
      <c r="O1593" s="20"/>
      <c r="P1593" s="20"/>
    </row>
    <row r="1594">
      <c r="A1594" s="23"/>
      <c r="B1594" s="21"/>
      <c r="C1594" s="23"/>
      <c r="D1594" s="24"/>
      <c r="E1594" s="14"/>
      <c r="F1594" s="14"/>
      <c r="G1594" s="14"/>
      <c r="H1594" s="23"/>
      <c r="I1594" s="27"/>
      <c r="J1594" s="23"/>
      <c r="K1594" s="30"/>
      <c r="L1594" s="23"/>
      <c r="M1594" s="20"/>
      <c r="N1594" s="20"/>
      <c r="O1594" s="20"/>
      <c r="P1594" s="20"/>
    </row>
    <row r="1595">
      <c r="A1595" s="10"/>
      <c r="B1595" s="11"/>
      <c r="C1595" s="10"/>
      <c r="D1595" s="13"/>
      <c r="E1595" s="14"/>
      <c r="F1595" s="14"/>
      <c r="G1595" s="14"/>
      <c r="H1595" s="10"/>
      <c r="I1595" s="17"/>
      <c r="J1595" s="10"/>
      <c r="K1595" s="46"/>
      <c r="L1595" s="10"/>
      <c r="M1595" s="20"/>
      <c r="N1595" s="20"/>
      <c r="O1595" s="20"/>
      <c r="P1595" s="20"/>
    </row>
    <row r="1596">
      <c r="A1596" s="23"/>
      <c r="B1596" s="21"/>
      <c r="C1596" s="23"/>
      <c r="D1596" s="24"/>
      <c r="E1596" s="14"/>
      <c r="F1596" s="14"/>
      <c r="G1596" s="14"/>
      <c r="H1596" s="23"/>
      <c r="I1596" s="27"/>
      <c r="J1596" s="23"/>
      <c r="K1596" s="30"/>
      <c r="L1596" s="23"/>
      <c r="M1596" s="20"/>
      <c r="N1596" s="20"/>
      <c r="O1596" s="20"/>
      <c r="P1596" s="20"/>
    </row>
    <row r="1597">
      <c r="A1597" s="10"/>
      <c r="B1597" s="11"/>
      <c r="C1597" s="10"/>
      <c r="D1597" s="13"/>
      <c r="E1597" s="14"/>
      <c r="F1597" s="14"/>
      <c r="G1597" s="14"/>
      <c r="H1597" s="10"/>
      <c r="I1597" s="17"/>
      <c r="J1597" s="10"/>
      <c r="K1597" s="46"/>
      <c r="L1597" s="10"/>
      <c r="M1597" s="20"/>
      <c r="N1597" s="20"/>
      <c r="O1597" s="20"/>
      <c r="P1597" s="20"/>
    </row>
    <row r="1598">
      <c r="A1598" s="23"/>
      <c r="B1598" s="21"/>
      <c r="C1598" s="23"/>
      <c r="D1598" s="24"/>
      <c r="E1598" s="14"/>
      <c r="F1598" s="14"/>
      <c r="G1598" s="14"/>
      <c r="H1598" s="23"/>
      <c r="I1598" s="27"/>
      <c r="J1598" s="23"/>
      <c r="K1598" s="30"/>
      <c r="L1598" s="23"/>
      <c r="M1598" s="20"/>
      <c r="N1598" s="20"/>
      <c r="O1598" s="20"/>
      <c r="P1598" s="20"/>
    </row>
    <row r="1599">
      <c r="A1599" s="10"/>
      <c r="B1599" s="11"/>
      <c r="C1599" s="10"/>
      <c r="D1599" s="13"/>
      <c r="E1599" s="14"/>
      <c r="F1599" s="14"/>
      <c r="G1599" s="14"/>
      <c r="H1599" s="10"/>
      <c r="I1599" s="17"/>
      <c r="J1599" s="10"/>
      <c r="K1599" s="46"/>
      <c r="L1599" s="10"/>
      <c r="M1599" s="20"/>
      <c r="N1599" s="20"/>
      <c r="O1599" s="20"/>
      <c r="P1599" s="20"/>
    </row>
    <row r="1600">
      <c r="A1600" s="23"/>
      <c r="B1600" s="21"/>
      <c r="C1600" s="23"/>
      <c r="D1600" s="24"/>
      <c r="E1600" s="14"/>
      <c r="F1600" s="14"/>
      <c r="G1600" s="14"/>
      <c r="H1600" s="23"/>
      <c r="I1600" s="27"/>
      <c r="J1600" s="23"/>
      <c r="K1600" s="30"/>
      <c r="L1600" s="23"/>
      <c r="M1600" s="20"/>
      <c r="N1600" s="20"/>
      <c r="O1600" s="20"/>
      <c r="P1600" s="20"/>
    </row>
    <row r="1601">
      <c r="A1601" s="10"/>
      <c r="B1601" s="11"/>
      <c r="C1601" s="10"/>
      <c r="D1601" s="13"/>
      <c r="E1601" s="14"/>
      <c r="F1601" s="14"/>
      <c r="G1601" s="14"/>
      <c r="H1601" s="10"/>
      <c r="I1601" s="17"/>
      <c r="J1601" s="10"/>
      <c r="K1601" s="46"/>
      <c r="L1601" s="10"/>
      <c r="M1601" s="20"/>
      <c r="N1601" s="20"/>
      <c r="O1601" s="20"/>
      <c r="P1601" s="20"/>
    </row>
    <row r="1602">
      <c r="A1602" s="23"/>
      <c r="B1602" s="21"/>
      <c r="C1602" s="23"/>
      <c r="D1602" s="24"/>
      <c r="E1602" s="14"/>
      <c r="F1602" s="14"/>
      <c r="G1602" s="14"/>
      <c r="H1602" s="23"/>
      <c r="I1602" s="27"/>
      <c r="J1602" s="23"/>
      <c r="K1602" s="30"/>
      <c r="L1602" s="23"/>
      <c r="M1602" s="20"/>
      <c r="N1602" s="20"/>
      <c r="O1602" s="20"/>
      <c r="P1602" s="20"/>
    </row>
    <row r="1603">
      <c r="A1603" s="10"/>
      <c r="B1603" s="11"/>
      <c r="C1603" s="10"/>
      <c r="D1603" s="13"/>
      <c r="E1603" s="14"/>
      <c r="F1603" s="14"/>
      <c r="G1603" s="14"/>
      <c r="H1603" s="10"/>
      <c r="I1603" s="17"/>
      <c r="J1603" s="10"/>
      <c r="K1603" s="46"/>
      <c r="L1603" s="10"/>
      <c r="M1603" s="20"/>
      <c r="N1603" s="20"/>
      <c r="O1603" s="20"/>
      <c r="P1603" s="20"/>
    </row>
    <row r="1604">
      <c r="A1604" s="23"/>
      <c r="B1604" s="21"/>
      <c r="C1604" s="23"/>
      <c r="D1604" s="24"/>
      <c r="E1604" s="14"/>
      <c r="F1604" s="14"/>
      <c r="G1604" s="14"/>
      <c r="H1604" s="23"/>
      <c r="I1604" s="27"/>
      <c r="J1604" s="23"/>
      <c r="K1604" s="30"/>
      <c r="L1604" s="23"/>
      <c r="M1604" s="20"/>
      <c r="N1604" s="20"/>
      <c r="O1604" s="20"/>
      <c r="P1604" s="20"/>
    </row>
    <row r="1605">
      <c r="A1605" s="10"/>
      <c r="B1605" s="11"/>
      <c r="C1605" s="10"/>
      <c r="D1605" s="13"/>
      <c r="E1605" s="14"/>
      <c r="F1605" s="14"/>
      <c r="G1605" s="14"/>
      <c r="H1605" s="10"/>
      <c r="I1605" s="17"/>
      <c r="J1605" s="10"/>
      <c r="K1605" s="46"/>
      <c r="L1605" s="10"/>
      <c r="M1605" s="20"/>
      <c r="N1605" s="20"/>
      <c r="O1605" s="20"/>
      <c r="P1605" s="20"/>
    </row>
    <row r="1606">
      <c r="A1606" s="23"/>
      <c r="B1606" s="21"/>
      <c r="C1606" s="23"/>
      <c r="D1606" s="24"/>
      <c r="E1606" s="14"/>
      <c r="F1606" s="14"/>
      <c r="G1606" s="14"/>
      <c r="H1606" s="23"/>
      <c r="I1606" s="27"/>
      <c r="J1606" s="23"/>
      <c r="K1606" s="30"/>
      <c r="L1606" s="23"/>
      <c r="M1606" s="20"/>
      <c r="N1606" s="20"/>
      <c r="O1606" s="20"/>
      <c r="P1606" s="20"/>
    </row>
    <row r="1607">
      <c r="A1607" s="10"/>
      <c r="B1607" s="11"/>
      <c r="C1607" s="10"/>
      <c r="D1607" s="13"/>
      <c r="E1607" s="14"/>
      <c r="F1607" s="14"/>
      <c r="G1607" s="14"/>
      <c r="H1607" s="10"/>
      <c r="I1607" s="17"/>
      <c r="J1607" s="10"/>
      <c r="K1607" s="46"/>
      <c r="L1607" s="10"/>
      <c r="M1607" s="20"/>
      <c r="N1607" s="20"/>
      <c r="O1607" s="20"/>
      <c r="P1607" s="20"/>
    </row>
    <row r="1608">
      <c r="A1608" s="23"/>
      <c r="B1608" s="21"/>
      <c r="C1608" s="23"/>
      <c r="D1608" s="24"/>
      <c r="E1608" s="14"/>
      <c r="F1608" s="14"/>
      <c r="G1608" s="14"/>
      <c r="H1608" s="23"/>
      <c r="I1608" s="27"/>
      <c r="J1608" s="23"/>
      <c r="K1608" s="30"/>
      <c r="L1608" s="23"/>
      <c r="M1608" s="20"/>
      <c r="N1608" s="20"/>
      <c r="O1608" s="20"/>
      <c r="P1608" s="20"/>
    </row>
    <row r="1609">
      <c r="A1609" s="10"/>
      <c r="B1609" s="11"/>
      <c r="C1609" s="10"/>
      <c r="D1609" s="13"/>
      <c r="E1609" s="14"/>
      <c r="F1609" s="14"/>
      <c r="G1609" s="14"/>
      <c r="H1609" s="10"/>
      <c r="I1609" s="17"/>
      <c r="J1609" s="10"/>
      <c r="K1609" s="46"/>
      <c r="L1609" s="10"/>
      <c r="M1609" s="20"/>
      <c r="N1609" s="20"/>
      <c r="O1609" s="20"/>
      <c r="P1609" s="20"/>
    </row>
    <row r="1610">
      <c r="A1610" s="23"/>
      <c r="B1610" s="21"/>
      <c r="C1610" s="23"/>
      <c r="D1610" s="24"/>
      <c r="E1610" s="14"/>
      <c r="F1610" s="14"/>
      <c r="G1610" s="14"/>
      <c r="H1610" s="23"/>
      <c r="I1610" s="27"/>
      <c r="J1610" s="23"/>
      <c r="K1610" s="30"/>
      <c r="L1610" s="23"/>
      <c r="M1610" s="20"/>
      <c r="N1610" s="20"/>
      <c r="O1610" s="20"/>
      <c r="P1610" s="20"/>
    </row>
    <row r="1611">
      <c r="A1611" s="10"/>
      <c r="B1611" s="11"/>
      <c r="C1611" s="10"/>
      <c r="D1611" s="13"/>
      <c r="E1611" s="14"/>
      <c r="F1611" s="14"/>
      <c r="G1611" s="14"/>
      <c r="H1611" s="10"/>
      <c r="I1611" s="17"/>
      <c r="J1611" s="10"/>
      <c r="K1611" s="46"/>
      <c r="L1611" s="10"/>
      <c r="M1611" s="20"/>
      <c r="N1611" s="20"/>
      <c r="O1611" s="20"/>
      <c r="P1611" s="20"/>
    </row>
    <row r="1612">
      <c r="A1612" s="23"/>
      <c r="B1612" s="21"/>
      <c r="C1612" s="23"/>
      <c r="D1612" s="24"/>
      <c r="E1612" s="14"/>
      <c r="F1612" s="14"/>
      <c r="G1612" s="14"/>
      <c r="H1612" s="23"/>
      <c r="I1612" s="27"/>
      <c r="J1612" s="23"/>
      <c r="K1612" s="30"/>
      <c r="L1612" s="23"/>
      <c r="M1612" s="20"/>
      <c r="N1612" s="20"/>
      <c r="O1612" s="20"/>
      <c r="P1612" s="20"/>
    </row>
    <row r="1613">
      <c r="A1613" s="10"/>
      <c r="B1613" s="11"/>
      <c r="C1613" s="10"/>
      <c r="D1613" s="13"/>
      <c r="E1613" s="14"/>
      <c r="F1613" s="14"/>
      <c r="G1613" s="14"/>
      <c r="H1613" s="10"/>
      <c r="I1613" s="17"/>
      <c r="J1613" s="10"/>
      <c r="K1613" s="46"/>
      <c r="L1613" s="10"/>
      <c r="M1613" s="20"/>
      <c r="N1613" s="20"/>
      <c r="O1613" s="20"/>
      <c r="P1613" s="20"/>
    </row>
    <row r="1614">
      <c r="A1614" s="23"/>
      <c r="B1614" s="21"/>
      <c r="C1614" s="23"/>
      <c r="D1614" s="24"/>
      <c r="E1614" s="14"/>
      <c r="F1614" s="14"/>
      <c r="G1614" s="14"/>
      <c r="H1614" s="23"/>
      <c r="I1614" s="27"/>
      <c r="J1614" s="23"/>
      <c r="K1614" s="30"/>
      <c r="L1614" s="23"/>
      <c r="M1614" s="20"/>
      <c r="N1614" s="20"/>
      <c r="O1614" s="20"/>
      <c r="P1614" s="20"/>
    </row>
    <row r="1615">
      <c r="A1615" s="10"/>
      <c r="B1615" s="11"/>
      <c r="C1615" s="10"/>
      <c r="D1615" s="13"/>
      <c r="E1615" s="14"/>
      <c r="F1615" s="14"/>
      <c r="G1615" s="14"/>
      <c r="H1615" s="10"/>
      <c r="I1615" s="17"/>
      <c r="J1615" s="10"/>
      <c r="K1615" s="46"/>
      <c r="L1615" s="10"/>
      <c r="M1615" s="20"/>
      <c r="N1615" s="20"/>
      <c r="O1615" s="20"/>
      <c r="P1615" s="20"/>
    </row>
    <row r="1616">
      <c r="A1616" s="23"/>
      <c r="B1616" s="21"/>
      <c r="C1616" s="23"/>
      <c r="D1616" s="24"/>
      <c r="E1616" s="14"/>
      <c r="F1616" s="14"/>
      <c r="G1616" s="14"/>
      <c r="H1616" s="23"/>
      <c r="I1616" s="27"/>
      <c r="J1616" s="23"/>
      <c r="K1616" s="30"/>
      <c r="L1616" s="23"/>
      <c r="M1616" s="20"/>
      <c r="N1616" s="20"/>
      <c r="O1616" s="20"/>
      <c r="P1616" s="20"/>
    </row>
    <row r="1617">
      <c r="A1617" s="10"/>
      <c r="B1617" s="11"/>
      <c r="C1617" s="10"/>
      <c r="D1617" s="13"/>
      <c r="E1617" s="14"/>
      <c r="F1617" s="14"/>
      <c r="G1617" s="14"/>
      <c r="H1617" s="10"/>
      <c r="I1617" s="17"/>
      <c r="J1617" s="10"/>
      <c r="K1617" s="46"/>
      <c r="L1617" s="10"/>
      <c r="M1617" s="20"/>
      <c r="N1617" s="20"/>
      <c r="O1617" s="20"/>
      <c r="P1617" s="20"/>
    </row>
    <row r="1618">
      <c r="A1618" s="23"/>
      <c r="B1618" s="21"/>
      <c r="C1618" s="23"/>
      <c r="D1618" s="24"/>
      <c r="E1618" s="14"/>
      <c r="F1618" s="14"/>
      <c r="G1618" s="14"/>
      <c r="H1618" s="23"/>
      <c r="I1618" s="27"/>
      <c r="J1618" s="23"/>
      <c r="K1618" s="30"/>
      <c r="L1618" s="23"/>
      <c r="M1618" s="20"/>
      <c r="N1618" s="20"/>
      <c r="O1618" s="20"/>
      <c r="P1618" s="20"/>
    </row>
    <row r="1619">
      <c r="A1619" s="10"/>
      <c r="B1619" s="11"/>
      <c r="C1619" s="10"/>
      <c r="D1619" s="13"/>
      <c r="E1619" s="14"/>
      <c r="F1619" s="14"/>
      <c r="G1619" s="14"/>
      <c r="H1619" s="10"/>
      <c r="I1619" s="17"/>
      <c r="J1619" s="10"/>
      <c r="K1619" s="46"/>
      <c r="L1619" s="10"/>
      <c r="M1619" s="20"/>
      <c r="N1619" s="20"/>
      <c r="O1619" s="20"/>
      <c r="P1619" s="20"/>
    </row>
    <row r="1620">
      <c r="A1620" s="23"/>
      <c r="B1620" s="21"/>
      <c r="C1620" s="23"/>
      <c r="D1620" s="24"/>
      <c r="E1620" s="14"/>
      <c r="F1620" s="14"/>
      <c r="G1620" s="14"/>
      <c r="H1620" s="23"/>
      <c r="I1620" s="27"/>
      <c r="J1620" s="23"/>
      <c r="K1620" s="30"/>
      <c r="L1620" s="23"/>
      <c r="M1620" s="20"/>
      <c r="N1620" s="20"/>
      <c r="O1620" s="20"/>
      <c r="P1620" s="20"/>
    </row>
    <row r="1621">
      <c r="A1621" s="10"/>
      <c r="B1621" s="11"/>
      <c r="C1621" s="10"/>
      <c r="D1621" s="13"/>
      <c r="E1621" s="14"/>
      <c r="F1621" s="14"/>
      <c r="G1621" s="14"/>
      <c r="H1621" s="10"/>
      <c r="I1621" s="17"/>
      <c r="J1621" s="10"/>
      <c r="K1621" s="46"/>
      <c r="L1621" s="10"/>
      <c r="M1621" s="20"/>
      <c r="N1621" s="20"/>
      <c r="O1621" s="20"/>
      <c r="P1621" s="20"/>
    </row>
    <row r="1622">
      <c r="A1622" s="23"/>
      <c r="B1622" s="21"/>
      <c r="C1622" s="23"/>
      <c r="D1622" s="24"/>
      <c r="E1622" s="14"/>
      <c r="F1622" s="14"/>
      <c r="G1622" s="14"/>
      <c r="H1622" s="23"/>
      <c r="I1622" s="27"/>
      <c r="J1622" s="23"/>
      <c r="K1622" s="30"/>
      <c r="L1622" s="23"/>
      <c r="M1622" s="20"/>
      <c r="N1622" s="20"/>
      <c r="O1622" s="20"/>
      <c r="P1622" s="20"/>
    </row>
    <row r="1623">
      <c r="A1623" s="10"/>
      <c r="B1623" s="11"/>
      <c r="C1623" s="10"/>
      <c r="D1623" s="13"/>
      <c r="E1623" s="14"/>
      <c r="F1623" s="14"/>
      <c r="G1623" s="14"/>
      <c r="H1623" s="10"/>
      <c r="I1623" s="17"/>
      <c r="J1623" s="10"/>
      <c r="K1623" s="46"/>
      <c r="L1623" s="10"/>
      <c r="M1623" s="20"/>
      <c r="N1623" s="20"/>
      <c r="O1623" s="20"/>
      <c r="P1623" s="20"/>
    </row>
    <row r="1624">
      <c r="A1624" s="23"/>
      <c r="B1624" s="21"/>
      <c r="C1624" s="23"/>
      <c r="D1624" s="24"/>
      <c r="E1624" s="14"/>
      <c r="F1624" s="14"/>
      <c r="G1624" s="14"/>
      <c r="H1624" s="23"/>
      <c r="I1624" s="27"/>
      <c r="J1624" s="23"/>
      <c r="K1624" s="30"/>
      <c r="L1624" s="23"/>
      <c r="M1624" s="20"/>
      <c r="N1624" s="20"/>
      <c r="O1624" s="20"/>
      <c r="P1624" s="20"/>
    </row>
    <row r="1625">
      <c r="A1625" s="10"/>
      <c r="B1625" s="11"/>
      <c r="C1625" s="10"/>
      <c r="D1625" s="13"/>
      <c r="E1625" s="14"/>
      <c r="F1625" s="14"/>
      <c r="G1625" s="14"/>
      <c r="H1625" s="10"/>
      <c r="I1625" s="17"/>
      <c r="J1625" s="10"/>
      <c r="K1625" s="46"/>
      <c r="L1625" s="10"/>
      <c r="M1625" s="20"/>
      <c r="N1625" s="20"/>
      <c r="O1625" s="20"/>
      <c r="P1625" s="20"/>
    </row>
    <row r="1626">
      <c r="A1626" s="23"/>
      <c r="B1626" s="21"/>
      <c r="C1626" s="23"/>
      <c r="D1626" s="24"/>
      <c r="E1626" s="14"/>
      <c r="F1626" s="14"/>
      <c r="G1626" s="14"/>
      <c r="H1626" s="23"/>
      <c r="I1626" s="27"/>
      <c r="J1626" s="23"/>
      <c r="K1626" s="30"/>
      <c r="L1626" s="23"/>
      <c r="M1626" s="20"/>
      <c r="N1626" s="20"/>
      <c r="O1626" s="20"/>
      <c r="P1626" s="20"/>
    </row>
    <row r="1627">
      <c r="A1627" s="10"/>
      <c r="B1627" s="11"/>
      <c r="C1627" s="10"/>
      <c r="D1627" s="13"/>
      <c r="E1627" s="14"/>
      <c r="F1627" s="14"/>
      <c r="G1627" s="14"/>
      <c r="H1627" s="10"/>
      <c r="I1627" s="17"/>
      <c r="J1627" s="10"/>
      <c r="K1627" s="46"/>
      <c r="L1627" s="10"/>
      <c r="M1627" s="20"/>
      <c r="N1627" s="20"/>
      <c r="O1627" s="20"/>
      <c r="P1627" s="20"/>
    </row>
    <row r="1628">
      <c r="A1628" s="23"/>
      <c r="B1628" s="21"/>
      <c r="C1628" s="23"/>
      <c r="D1628" s="24"/>
      <c r="E1628" s="14"/>
      <c r="F1628" s="14"/>
      <c r="G1628" s="14"/>
      <c r="H1628" s="23"/>
      <c r="I1628" s="27"/>
      <c r="J1628" s="23"/>
      <c r="K1628" s="30"/>
      <c r="L1628" s="23"/>
      <c r="M1628" s="20"/>
      <c r="N1628" s="20"/>
      <c r="O1628" s="20"/>
      <c r="P1628" s="20"/>
    </row>
    <row r="1629">
      <c r="A1629" s="10"/>
      <c r="B1629" s="11"/>
      <c r="C1629" s="10"/>
      <c r="D1629" s="13"/>
      <c r="E1629" s="14"/>
      <c r="F1629" s="14"/>
      <c r="G1629" s="14"/>
      <c r="H1629" s="10"/>
      <c r="I1629" s="17"/>
      <c r="J1629" s="10"/>
      <c r="K1629" s="46"/>
      <c r="L1629" s="10"/>
      <c r="M1629" s="20"/>
      <c r="N1629" s="20"/>
      <c r="O1629" s="20"/>
      <c r="P1629" s="20"/>
    </row>
    <row r="1630">
      <c r="A1630" s="23"/>
      <c r="B1630" s="21"/>
      <c r="C1630" s="23"/>
      <c r="D1630" s="24"/>
      <c r="E1630" s="14"/>
      <c r="F1630" s="14"/>
      <c r="G1630" s="14"/>
      <c r="H1630" s="23"/>
      <c r="I1630" s="27"/>
      <c r="J1630" s="23"/>
      <c r="K1630" s="30"/>
      <c r="L1630" s="23"/>
      <c r="M1630" s="20"/>
      <c r="N1630" s="20"/>
      <c r="O1630" s="20"/>
      <c r="P1630" s="20"/>
    </row>
    <row r="1631">
      <c r="A1631" s="10"/>
      <c r="B1631" s="11"/>
      <c r="C1631" s="10"/>
      <c r="D1631" s="13"/>
      <c r="E1631" s="14"/>
      <c r="F1631" s="14"/>
      <c r="G1631" s="14"/>
      <c r="H1631" s="10"/>
      <c r="I1631" s="17"/>
      <c r="J1631" s="10"/>
      <c r="K1631" s="46"/>
      <c r="L1631" s="10"/>
      <c r="M1631" s="20"/>
      <c r="N1631" s="20"/>
      <c r="O1631" s="20"/>
      <c r="P1631" s="20"/>
    </row>
    <row r="1632">
      <c r="A1632" s="23"/>
      <c r="B1632" s="21"/>
      <c r="C1632" s="23"/>
      <c r="D1632" s="24"/>
      <c r="E1632" s="14"/>
      <c r="F1632" s="14"/>
      <c r="G1632" s="14"/>
      <c r="H1632" s="23"/>
      <c r="I1632" s="27"/>
      <c r="J1632" s="23"/>
      <c r="K1632" s="30"/>
      <c r="L1632" s="23"/>
      <c r="M1632" s="20"/>
      <c r="N1632" s="20"/>
      <c r="O1632" s="20"/>
      <c r="P1632" s="20"/>
    </row>
    <row r="1633">
      <c r="A1633" s="10"/>
      <c r="B1633" s="11"/>
      <c r="C1633" s="10"/>
      <c r="D1633" s="13"/>
      <c r="E1633" s="14"/>
      <c r="F1633" s="14"/>
      <c r="G1633" s="14"/>
      <c r="H1633" s="10"/>
      <c r="I1633" s="17"/>
      <c r="J1633" s="10"/>
      <c r="K1633" s="46"/>
      <c r="L1633" s="10"/>
      <c r="M1633" s="20"/>
      <c r="N1633" s="20"/>
      <c r="O1633" s="20"/>
      <c r="P1633" s="20"/>
    </row>
    <row r="1634">
      <c r="A1634" s="23"/>
      <c r="B1634" s="21"/>
      <c r="C1634" s="23"/>
      <c r="D1634" s="24"/>
      <c r="E1634" s="14"/>
      <c r="F1634" s="14"/>
      <c r="G1634" s="14"/>
      <c r="H1634" s="23"/>
      <c r="I1634" s="27"/>
      <c r="J1634" s="23"/>
      <c r="K1634" s="30"/>
      <c r="L1634" s="23"/>
      <c r="M1634" s="20"/>
      <c r="N1634" s="20"/>
      <c r="O1634" s="20"/>
      <c r="P1634" s="20"/>
    </row>
    <row r="1635">
      <c r="A1635" s="10"/>
      <c r="B1635" s="11"/>
      <c r="C1635" s="10"/>
      <c r="D1635" s="13"/>
      <c r="E1635" s="14"/>
      <c r="F1635" s="14"/>
      <c r="G1635" s="14"/>
      <c r="H1635" s="10"/>
      <c r="I1635" s="17"/>
      <c r="J1635" s="10"/>
      <c r="K1635" s="46"/>
      <c r="L1635" s="10"/>
      <c r="M1635" s="20"/>
      <c r="N1635" s="20"/>
      <c r="O1635" s="20"/>
      <c r="P1635" s="20"/>
    </row>
    <row r="1636">
      <c r="A1636" s="23"/>
      <c r="B1636" s="21"/>
      <c r="C1636" s="23"/>
      <c r="D1636" s="24"/>
      <c r="E1636" s="14"/>
      <c r="F1636" s="14"/>
      <c r="G1636" s="14"/>
      <c r="H1636" s="23"/>
      <c r="I1636" s="27"/>
      <c r="J1636" s="23"/>
      <c r="K1636" s="30"/>
      <c r="L1636" s="23"/>
      <c r="M1636" s="20"/>
      <c r="N1636" s="20"/>
      <c r="O1636" s="20"/>
      <c r="P1636" s="20"/>
    </row>
    <row r="1637">
      <c r="A1637" s="10"/>
      <c r="B1637" s="11"/>
      <c r="C1637" s="10"/>
      <c r="D1637" s="13"/>
      <c r="E1637" s="14"/>
      <c r="F1637" s="14"/>
      <c r="G1637" s="14"/>
      <c r="H1637" s="10"/>
      <c r="I1637" s="17"/>
      <c r="J1637" s="10"/>
      <c r="K1637" s="46"/>
      <c r="L1637" s="10"/>
      <c r="M1637" s="20"/>
      <c r="N1637" s="20"/>
      <c r="O1637" s="20"/>
      <c r="P1637" s="20"/>
    </row>
    <row r="1638">
      <c r="A1638" s="23"/>
      <c r="B1638" s="21"/>
      <c r="C1638" s="23"/>
      <c r="D1638" s="24"/>
      <c r="E1638" s="14"/>
      <c r="F1638" s="14"/>
      <c r="G1638" s="14"/>
      <c r="H1638" s="23"/>
      <c r="I1638" s="27"/>
      <c r="J1638" s="23"/>
      <c r="K1638" s="30"/>
      <c r="L1638" s="23"/>
      <c r="M1638" s="20"/>
      <c r="N1638" s="20"/>
      <c r="O1638" s="20"/>
      <c r="P1638" s="20"/>
    </row>
    <row r="1639">
      <c r="A1639" s="10"/>
      <c r="B1639" s="11"/>
      <c r="C1639" s="10"/>
      <c r="D1639" s="13"/>
      <c r="E1639" s="14"/>
      <c r="F1639" s="14"/>
      <c r="G1639" s="14"/>
      <c r="H1639" s="10"/>
      <c r="I1639" s="17"/>
      <c r="J1639" s="10"/>
      <c r="K1639" s="46"/>
      <c r="L1639" s="10"/>
      <c r="M1639" s="20"/>
      <c r="N1639" s="20"/>
      <c r="O1639" s="20"/>
      <c r="P1639" s="20"/>
    </row>
    <row r="1640">
      <c r="A1640" s="23"/>
      <c r="B1640" s="21"/>
      <c r="C1640" s="23"/>
      <c r="D1640" s="24"/>
      <c r="E1640" s="14"/>
      <c r="F1640" s="14"/>
      <c r="G1640" s="14"/>
      <c r="H1640" s="23"/>
      <c r="I1640" s="27"/>
      <c r="J1640" s="23"/>
      <c r="K1640" s="30"/>
      <c r="L1640" s="23"/>
      <c r="M1640" s="20"/>
      <c r="N1640" s="20"/>
      <c r="O1640" s="20"/>
      <c r="P1640" s="20"/>
    </row>
    <row r="1641">
      <c r="A1641" s="10"/>
      <c r="B1641" s="11"/>
      <c r="C1641" s="10"/>
      <c r="D1641" s="13"/>
      <c r="E1641" s="14"/>
      <c r="F1641" s="14"/>
      <c r="G1641" s="14"/>
      <c r="H1641" s="10"/>
      <c r="I1641" s="17"/>
      <c r="J1641" s="10"/>
      <c r="K1641" s="46"/>
      <c r="L1641" s="10"/>
      <c r="M1641" s="20"/>
      <c r="N1641" s="20"/>
      <c r="O1641" s="20"/>
      <c r="P1641" s="20"/>
    </row>
    <row r="1642">
      <c r="A1642" s="23"/>
      <c r="B1642" s="21"/>
      <c r="C1642" s="23"/>
      <c r="D1642" s="24"/>
      <c r="E1642" s="14"/>
      <c r="F1642" s="14"/>
      <c r="G1642" s="14"/>
      <c r="H1642" s="23"/>
      <c r="I1642" s="27"/>
      <c r="J1642" s="23"/>
      <c r="K1642" s="30"/>
      <c r="L1642" s="23"/>
      <c r="M1642" s="20"/>
      <c r="N1642" s="20"/>
      <c r="O1642" s="20"/>
      <c r="P1642" s="20"/>
    </row>
    <row r="1643">
      <c r="A1643" s="10"/>
      <c r="B1643" s="11"/>
      <c r="C1643" s="10"/>
      <c r="D1643" s="13"/>
      <c r="E1643" s="14"/>
      <c r="F1643" s="14"/>
      <c r="G1643" s="14"/>
      <c r="H1643" s="10"/>
      <c r="I1643" s="17"/>
      <c r="J1643" s="10"/>
      <c r="K1643" s="46"/>
      <c r="L1643" s="10"/>
      <c r="M1643" s="20"/>
      <c r="N1643" s="20"/>
      <c r="O1643" s="20"/>
      <c r="P1643" s="20"/>
    </row>
    <row r="1644">
      <c r="A1644" s="23"/>
      <c r="B1644" s="21"/>
      <c r="C1644" s="23"/>
      <c r="D1644" s="24"/>
      <c r="E1644" s="14"/>
      <c r="F1644" s="14"/>
      <c r="G1644" s="14"/>
      <c r="H1644" s="23"/>
      <c r="I1644" s="27"/>
      <c r="J1644" s="23"/>
      <c r="K1644" s="30"/>
      <c r="L1644" s="23"/>
      <c r="M1644" s="20"/>
      <c r="N1644" s="20"/>
      <c r="O1644" s="20"/>
      <c r="P1644" s="20"/>
    </row>
    <row r="1645">
      <c r="A1645" s="10"/>
      <c r="B1645" s="11"/>
      <c r="C1645" s="10"/>
      <c r="D1645" s="13"/>
      <c r="E1645" s="14"/>
      <c r="F1645" s="14"/>
      <c r="G1645" s="14"/>
      <c r="H1645" s="10"/>
      <c r="I1645" s="17"/>
      <c r="J1645" s="10"/>
      <c r="K1645" s="46"/>
      <c r="L1645" s="10"/>
      <c r="M1645" s="20"/>
      <c r="N1645" s="20"/>
      <c r="O1645" s="20"/>
      <c r="P1645" s="20"/>
    </row>
    <row r="1646">
      <c r="A1646" s="23"/>
      <c r="B1646" s="21"/>
      <c r="C1646" s="23"/>
      <c r="D1646" s="24"/>
      <c r="E1646" s="14"/>
      <c r="F1646" s="14"/>
      <c r="G1646" s="14"/>
      <c r="H1646" s="23"/>
      <c r="I1646" s="27"/>
      <c r="J1646" s="23"/>
      <c r="K1646" s="30"/>
      <c r="L1646" s="23"/>
      <c r="M1646" s="20"/>
      <c r="N1646" s="20"/>
      <c r="O1646" s="20"/>
      <c r="P1646" s="20"/>
    </row>
    <row r="1647">
      <c r="A1647" s="10"/>
      <c r="B1647" s="11"/>
      <c r="C1647" s="10"/>
      <c r="D1647" s="13"/>
      <c r="E1647" s="14"/>
      <c r="F1647" s="14"/>
      <c r="G1647" s="14"/>
      <c r="H1647" s="10"/>
      <c r="I1647" s="17"/>
      <c r="J1647" s="10"/>
      <c r="K1647" s="46"/>
      <c r="L1647" s="10"/>
      <c r="M1647" s="20"/>
      <c r="N1647" s="20"/>
      <c r="O1647" s="20"/>
      <c r="P1647" s="20"/>
    </row>
    <row r="1648">
      <c r="A1648" s="23"/>
      <c r="B1648" s="21"/>
      <c r="C1648" s="23"/>
      <c r="D1648" s="24"/>
      <c r="E1648" s="14"/>
      <c r="F1648" s="14"/>
      <c r="G1648" s="14"/>
      <c r="H1648" s="23"/>
      <c r="I1648" s="27"/>
      <c r="J1648" s="23"/>
      <c r="K1648" s="30"/>
      <c r="L1648" s="23"/>
      <c r="M1648" s="20"/>
      <c r="N1648" s="20"/>
      <c r="O1648" s="20"/>
      <c r="P1648" s="20"/>
    </row>
    <row r="1649">
      <c r="A1649" s="10"/>
      <c r="B1649" s="11"/>
      <c r="C1649" s="10"/>
      <c r="D1649" s="13"/>
      <c r="E1649" s="14"/>
      <c r="F1649" s="14"/>
      <c r="G1649" s="14"/>
      <c r="H1649" s="10"/>
      <c r="I1649" s="17"/>
      <c r="J1649" s="10"/>
      <c r="K1649" s="46"/>
      <c r="L1649" s="10"/>
      <c r="M1649" s="20"/>
      <c r="N1649" s="20"/>
      <c r="O1649" s="20"/>
      <c r="P1649" s="20"/>
    </row>
    <row r="1650">
      <c r="A1650" s="23"/>
      <c r="B1650" s="21"/>
      <c r="C1650" s="23"/>
      <c r="D1650" s="24"/>
      <c r="E1650" s="14"/>
      <c r="F1650" s="14"/>
      <c r="G1650" s="14"/>
      <c r="H1650" s="23"/>
      <c r="I1650" s="27"/>
      <c r="J1650" s="23"/>
      <c r="K1650" s="30"/>
      <c r="L1650" s="23"/>
      <c r="M1650" s="20"/>
      <c r="N1650" s="20"/>
      <c r="O1650" s="20"/>
      <c r="P1650" s="20"/>
    </row>
    <row r="1651">
      <c r="A1651" s="10"/>
      <c r="B1651" s="11"/>
      <c r="C1651" s="10"/>
      <c r="D1651" s="13"/>
      <c r="E1651" s="14"/>
      <c r="F1651" s="14"/>
      <c r="G1651" s="14"/>
      <c r="H1651" s="10"/>
      <c r="I1651" s="17"/>
      <c r="J1651" s="10"/>
      <c r="K1651" s="46"/>
      <c r="L1651" s="10"/>
      <c r="M1651" s="20"/>
      <c r="N1651" s="20"/>
      <c r="O1651" s="20"/>
      <c r="P1651" s="20"/>
    </row>
    <row r="1652">
      <c r="A1652" s="23"/>
      <c r="B1652" s="21"/>
      <c r="C1652" s="23"/>
      <c r="D1652" s="24"/>
      <c r="E1652" s="14"/>
      <c r="F1652" s="14"/>
      <c r="G1652" s="14"/>
      <c r="H1652" s="23"/>
      <c r="I1652" s="27"/>
      <c r="J1652" s="23"/>
      <c r="K1652" s="30"/>
      <c r="L1652" s="23"/>
      <c r="M1652" s="20"/>
      <c r="N1652" s="20"/>
      <c r="O1652" s="20"/>
      <c r="P1652" s="20"/>
    </row>
    <row r="1653">
      <c r="A1653" s="10"/>
      <c r="B1653" s="11"/>
      <c r="C1653" s="10"/>
      <c r="D1653" s="13"/>
      <c r="E1653" s="14"/>
      <c r="F1653" s="14"/>
      <c r="G1653" s="14"/>
      <c r="H1653" s="10"/>
      <c r="I1653" s="17"/>
      <c r="J1653" s="10"/>
      <c r="K1653" s="46"/>
      <c r="L1653" s="10"/>
      <c r="M1653" s="20"/>
      <c r="N1653" s="20"/>
      <c r="O1653" s="20"/>
      <c r="P1653" s="20"/>
    </row>
    <row r="1654">
      <c r="A1654" s="23"/>
      <c r="B1654" s="21"/>
      <c r="C1654" s="23"/>
      <c r="D1654" s="24"/>
      <c r="E1654" s="14"/>
      <c r="F1654" s="14"/>
      <c r="G1654" s="14"/>
      <c r="H1654" s="23"/>
      <c r="I1654" s="27"/>
      <c r="J1654" s="23"/>
      <c r="K1654" s="30"/>
      <c r="L1654" s="23"/>
      <c r="M1654" s="20"/>
      <c r="N1654" s="20"/>
      <c r="O1654" s="20"/>
      <c r="P1654" s="20"/>
    </row>
    <row r="1655">
      <c r="A1655" s="10"/>
      <c r="B1655" s="11"/>
      <c r="C1655" s="10"/>
      <c r="D1655" s="13"/>
      <c r="E1655" s="14"/>
      <c r="F1655" s="14"/>
      <c r="G1655" s="14"/>
      <c r="H1655" s="10"/>
      <c r="I1655" s="17"/>
      <c r="J1655" s="10"/>
      <c r="K1655" s="46"/>
      <c r="L1655" s="10"/>
      <c r="M1655" s="20"/>
      <c r="N1655" s="20"/>
      <c r="O1655" s="20"/>
      <c r="P1655" s="20"/>
    </row>
    <row r="1656">
      <c r="A1656" s="23"/>
      <c r="B1656" s="21"/>
      <c r="C1656" s="23"/>
      <c r="D1656" s="24"/>
      <c r="E1656" s="14"/>
      <c r="F1656" s="14"/>
      <c r="G1656" s="14"/>
      <c r="H1656" s="23"/>
      <c r="I1656" s="27"/>
      <c r="J1656" s="23"/>
      <c r="K1656" s="30"/>
      <c r="L1656" s="23"/>
      <c r="M1656" s="20"/>
      <c r="N1656" s="20"/>
      <c r="O1656" s="20"/>
      <c r="P1656" s="20"/>
    </row>
    <row r="1657">
      <c r="A1657" s="10"/>
      <c r="B1657" s="11"/>
      <c r="C1657" s="10"/>
      <c r="D1657" s="13"/>
      <c r="E1657" s="14"/>
      <c r="F1657" s="14"/>
      <c r="G1657" s="14"/>
      <c r="H1657" s="10"/>
      <c r="I1657" s="17"/>
      <c r="J1657" s="10"/>
      <c r="K1657" s="46"/>
      <c r="L1657" s="10"/>
      <c r="M1657" s="20"/>
      <c r="N1657" s="20"/>
      <c r="O1657" s="20"/>
      <c r="P1657" s="20"/>
    </row>
    <row r="1658">
      <c r="A1658" s="23"/>
      <c r="B1658" s="21"/>
      <c r="C1658" s="23"/>
      <c r="D1658" s="24"/>
      <c r="E1658" s="14"/>
      <c r="F1658" s="14"/>
      <c r="G1658" s="14"/>
      <c r="H1658" s="23"/>
      <c r="I1658" s="27"/>
      <c r="J1658" s="23"/>
      <c r="K1658" s="30"/>
      <c r="L1658" s="23"/>
      <c r="M1658" s="20"/>
      <c r="N1658" s="20"/>
      <c r="O1658" s="20"/>
      <c r="P1658" s="20"/>
    </row>
    <row r="1659">
      <c r="A1659" s="10"/>
      <c r="B1659" s="11"/>
      <c r="C1659" s="10"/>
      <c r="D1659" s="13"/>
      <c r="E1659" s="14"/>
      <c r="F1659" s="14"/>
      <c r="G1659" s="14"/>
      <c r="H1659" s="10"/>
      <c r="I1659" s="17"/>
      <c r="J1659" s="10"/>
      <c r="K1659" s="46"/>
      <c r="L1659" s="10"/>
      <c r="M1659" s="20"/>
      <c r="N1659" s="20"/>
      <c r="O1659" s="20"/>
      <c r="P1659" s="20"/>
    </row>
    <row r="1660">
      <c r="A1660" s="23"/>
      <c r="B1660" s="21"/>
      <c r="C1660" s="23"/>
      <c r="D1660" s="24"/>
      <c r="E1660" s="14"/>
      <c r="F1660" s="14"/>
      <c r="G1660" s="14"/>
      <c r="H1660" s="23"/>
      <c r="I1660" s="27"/>
      <c r="J1660" s="23"/>
      <c r="K1660" s="30"/>
      <c r="L1660" s="23"/>
      <c r="M1660" s="20"/>
      <c r="N1660" s="20"/>
      <c r="O1660" s="20"/>
      <c r="P1660" s="20"/>
    </row>
    <row r="1661">
      <c r="A1661" s="10"/>
      <c r="B1661" s="11"/>
      <c r="C1661" s="10"/>
      <c r="D1661" s="13"/>
      <c r="E1661" s="14"/>
      <c r="F1661" s="14"/>
      <c r="G1661" s="14"/>
      <c r="H1661" s="10"/>
      <c r="I1661" s="17"/>
      <c r="J1661" s="10"/>
      <c r="K1661" s="46"/>
      <c r="L1661" s="10"/>
      <c r="M1661" s="20"/>
      <c r="N1661" s="20"/>
      <c r="O1661" s="20"/>
      <c r="P1661" s="20"/>
    </row>
    <row r="1662">
      <c r="A1662" s="23"/>
      <c r="B1662" s="21"/>
      <c r="C1662" s="23"/>
      <c r="D1662" s="24"/>
      <c r="E1662" s="14"/>
      <c r="F1662" s="14"/>
      <c r="G1662" s="14"/>
      <c r="H1662" s="23"/>
      <c r="I1662" s="27"/>
      <c r="J1662" s="23"/>
      <c r="K1662" s="30"/>
      <c r="L1662" s="23"/>
      <c r="M1662" s="20"/>
      <c r="N1662" s="20"/>
      <c r="O1662" s="20"/>
      <c r="P1662" s="20"/>
    </row>
    <row r="1663">
      <c r="A1663" s="10"/>
      <c r="B1663" s="11"/>
      <c r="C1663" s="10"/>
      <c r="D1663" s="13"/>
      <c r="E1663" s="14"/>
      <c r="F1663" s="14"/>
      <c r="G1663" s="14"/>
      <c r="H1663" s="10"/>
      <c r="I1663" s="17"/>
      <c r="J1663" s="10"/>
      <c r="K1663" s="46"/>
      <c r="L1663" s="10"/>
      <c r="M1663" s="20"/>
      <c r="N1663" s="20"/>
      <c r="O1663" s="20"/>
      <c r="P1663" s="20"/>
    </row>
    <row r="1664">
      <c r="A1664" s="23"/>
      <c r="B1664" s="21"/>
      <c r="C1664" s="23"/>
      <c r="D1664" s="24"/>
      <c r="E1664" s="14"/>
      <c r="F1664" s="14"/>
      <c r="G1664" s="14"/>
      <c r="H1664" s="23"/>
      <c r="I1664" s="27"/>
      <c r="J1664" s="23"/>
      <c r="K1664" s="30"/>
      <c r="L1664" s="23"/>
      <c r="M1664" s="20"/>
      <c r="N1664" s="20"/>
      <c r="O1664" s="20"/>
      <c r="P1664" s="20"/>
    </row>
    <row r="1665">
      <c r="A1665" s="10"/>
      <c r="B1665" s="11"/>
      <c r="C1665" s="10"/>
      <c r="D1665" s="13"/>
      <c r="E1665" s="14"/>
      <c r="F1665" s="14"/>
      <c r="G1665" s="14"/>
      <c r="H1665" s="10"/>
      <c r="I1665" s="17"/>
      <c r="J1665" s="10"/>
      <c r="K1665" s="46"/>
      <c r="L1665" s="10"/>
      <c r="M1665" s="20"/>
      <c r="N1665" s="20"/>
      <c r="O1665" s="20"/>
      <c r="P1665" s="20"/>
    </row>
    <row r="1666">
      <c r="A1666" s="23"/>
      <c r="B1666" s="21"/>
      <c r="C1666" s="23"/>
      <c r="D1666" s="24"/>
      <c r="E1666" s="14"/>
      <c r="F1666" s="14"/>
      <c r="G1666" s="14"/>
      <c r="H1666" s="23"/>
      <c r="I1666" s="27"/>
      <c r="J1666" s="23"/>
      <c r="K1666" s="30"/>
      <c r="L1666" s="23"/>
      <c r="M1666" s="20"/>
      <c r="N1666" s="20"/>
      <c r="O1666" s="20"/>
      <c r="P1666" s="20"/>
    </row>
    <row r="1667">
      <c r="A1667" s="10"/>
      <c r="B1667" s="11"/>
      <c r="C1667" s="10"/>
      <c r="D1667" s="13"/>
      <c r="E1667" s="14"/>
      <c r="F1667" s="14"/>
      <c r="G1667" s="14"/>
      <c r="H1667" s="10"/>
      <c r="I1667" s="17"/>
      <c r="J1667" s="10"/>
      <c r="K1667" s="46"/>
      <c r="L1667" s="10"/>
      <c r="M1667" s="20"/>
      <c r="N1667" s="20"/>
      <c r="O1667" s="20"/>
      <c r="P1667" s="20"/>
    </row>
    <row r="1668">
      <c r="A1668" s="23"/>
      <c r="B1668" s="21"/>
      <c r="C1668" s="23"/>
      <c r="D1668" s="24"/>
      <c r="E1668" s="14"/>
      <c r="F1668" s="14"/>
      <c r="G1668" s="14"/>
      <c r="H1668" s="23"/>
      <c r="I1668" s="27"/>
      <c r="J1668" s="23"/>
      <c r="K1668" s="30"/>
      <c r="L1668" s="23"/>
      <c r="M1668" s="20"/>
      <c r="N1668" s="20"/>
      <c r="O1668" s="20"/>
      <c r="P1668" s="20"/>
    </row>
    <row r="1669">
      <c r="A1669" s="10"/>
      <c r="B1669" s="11"/>
      <c r="C1669" s="10"/>
      <c r="D1669" s="13"/>
      <c r="E1669" s="14"/>
      <c r="F1669" s="14"/>
      <c r="G1669" s="14"/>
      <c r="H1669" s="10"/>
      <c r="I1669" s="17"/>
      <c r="J1669" s="10"/>
      <c r="K1669" s="46"/>
      <c r="L1669" s="10"/>
      <c r="M1669" s="20"/>
      <c r="N1669" s="20"/>
      <c r="O1669" s="20"/>
      <c r="P1669" s="20"/>
    </row>
    <row r="1670">
      <c r="A1670" s="23"/>
      <c r="B1670" s="21"/>
      <c r="C1670" s="23"/>
      <c r="D1670" s="24"/>
      <c r="E1670" s="14"/>
      <c r="F1670" s="14"/>
      <c r="G1670" s="14"/>
      <c r="H1670" s="23"/>
      <c r="I1670" s="27"/>
      <c r="J1670" s="23"/>
      <c r="K1670" s="30"/>
      <c r="L1670" s="23"/>
      <c r="M1670" s="20"/>
      <c r="N1670" s="20"/>
      <c r="O1670" s="20"/>
      <c r="P1670" s="20"/>
    </row>
    <row r="1671">
      <c r="A1671" s="10"/>
      <c r="B1671" s="11"/>
      <c r="C1671" s="10"/>
      <c r="D1671" s="13"/>
      <c r="E1671" s="14"/>
      <c r="F1671" s="14"/>
      <c r="G1671" s="14"/>
      <c r="H1671" s="10"/>
      <c r="I1671" s="17"/>
      <c r="J1671" s="10"/>
      <c r="K1671" s="46"/>
      <c r="L1671" s="10"/>
      <c r="M1671" s="20"/>
      <c r="N1671" s="20"/>
      <c r="O1671" s="20"/>
      <c r="P1671" s="20"/>
    </row>
    <row r="1672">
      <c r="A1672" s="23"/>
      <c r="B1672" s="21"/>
      <c r="C1672" s="23"/>
      <c r="D1672" s="24"/>
      <c r="E1672" s="14"/>
      <c r="F1672" s="14"/>
      <c r="G1672" s="14"/>
      <c r="H1672" s="23"/>
      <c r="I1672" s="27"/>
      <c r="J1672" s="23"/>
      <c r="K1672" s="30"/>
      <c r="L1672" s="23"/>
      <c r="M1672" s="20"/>
      <c r="N1672" s="20"/>
      <c r="O1672" s="20"/>
      <c r="P1672" s="20"/>
    </row>
    <row r="1673">
      <c r="A1673" s="10"/>
      <c r="B1673" s="11"/>
      <c r="C1673" s="10"/>
      <c r="D1673" s="13"/>
      <c r="E1673" s="14"/>
      <c r="F1673" s="14"/>
      <c r="G1673" s="14"/>
      <c r="H1673" s="10"/>
      <c r="I1673" s="17"/>
      <c r="J1673" s="10"/>
      <c r="K1673" s="46"/>
      <c r="L1673" s="10"/>
      <c r="M1673" s="20"/>
      <c r="N1673" s="20"/>
      <c r="O1673" s="20"/>
      <c r="P1673" s="20"/>
    </row>
    <row r="1674">
      <c r="A1674" s="23"/>
      <c r="B1674" s="21"/>
      <c r="C1674" s="23"/>
      <c r="D1674" s="24"/>
      <c r="E1674" s="14"/>
      <c r="F1674" s="14"/>
      <c r="G1674" s="14"/>
      <c r="H1674" s="23"/>
      <c r="I1674" s="27"/>
      <c r="J1674" s="23"/>
      <c r="K1674" s="30"/>
      <c r="L1674" s="23"/>
      <c r="M1674" s="20"/>
      <c r="N1674" s="20"/>
      <c r="O1674" s="20"/>
      <c r="P1674" s="20"/>
    </row>
    <row r="1675">
      <c r="A1675" s="10"/>
      <c r="B1675" s="11"/>
      <c r="C1675" s="10"/>
      <c r="D1675" s="13"/>
      <c r="E1675" s="14"/>
      <c r="F1675" s="14"/>
      <c r="G1675" s="14"/>
      <c r="H1675" s="10"/>
      <c r="I1675" s="17"/>
      <c r="J1675" s="10"/>
      <c r="K1675" s="46"/>
      <c r="L1675" s="10"/>
      <c r="M1675" s="20"/>
      <c r="N1675" s="20"/>
      <c r="O1675" s="20"/>
      <c r="P1675" s="20"/>
    </row>
    <row r="1676">
      <c r="A1676" s="23"/>
      <c r="B1676" s="21"/>
      <c r="C1676" s="23"/>
      <c r="D1676" s="24"/>
      <c r="E1676" s="14"/>
      <c r="F1676" s="14"/>
      <c r="G1676" s="14"/>
      <c r="H1676" s="23"/>
      <c r="I1676" s="27"/>
      <c r="J1676" s="23"/>
      <c r="K1676" s="30"/>
      <c r="L1676" s="23"/>
      <c r="M1676" s="20"/>
      <c r="N1676" s="20"/>
      <c r="O1676" s="20"/>
      <c r="P1676" s="20"/>
    </row>
    <row r="1677">
      <c r="A1677" s="10"/>
      <c r="B1677" s="11"/>
      <c r="C1677" s="10"/>
      <c r="D1677" s="13"/>
      <c r="E1677" s="14"/>
      <c r="F1677" s="14"/>
      <c r="G1677" s="14"/>
      <c r="H1677" s="10"/>
      <c r="I1677" s="17"/>
      <c r="J1677" s="10"/>
      <c r="K1677" s="46"/>
      <c r="L1677" s="10"/>
      <c r="M1677" s="20"/>
      <c r="N1677" s="20"/>
      <c r="O1677" s="20"/>
      <c r="P1677" s="20"/>
    </row>
    <row r="1678">
      <c r="A1678" s="23"/>
      <c r="B1678" s="21"/>
      <c r="C1678" s="23"/>
      <c r="D1678" s="24"/>
      <c r="E1678" s="14"/>
      <c r="F1678" s="14"/>
      <c r="G1678" s="14"/>
      <c r="H1678" s="23"/>
      <c r="I1678" s="27"/>
      <c r="J1678" s="23"/>
      <c r="K1678" s="30"/>
      <c r="L1678" s="23"/>
      <c r="M1678" s="20"/>
      <c r="N1678" s="20"/>
      <c r="O1678" s="20"/>
      <c r="P1678" s="20"/>
    </row>
    <row r="1679">
      <c r="A1679" s="10"/>
      <c r="B1679" s="11"/>
      <c r="C1679" s="10"/>
      <c r="D1679" s="13"/>
      <c r="E1679" s="14"/>
      <c r="F1679" s="14"/>
      <c r="G1679" s="14"/>
      <c r="H1679" s="10"/>
      <c r="I1679" s="17"/>
      <c r="J1679" s="10"/>
      <c r="K1679" s="46"/>
      <c r="L1679" s="10"/>
      <c r="M1679" s="20"/>
      <c r="N1679" s="20"/>
      <c r="O1679" s="20"/>
      <c r="P1679" s="20"/>
    </row>
    <row r="1680">
      <c r="A1680" s="23"/>
      <c r="B1680" s="21"/>
      <c r="C1680" s="23"/>
      <c r="D1680" s="24"/>
      <c r="E1680" s="14"/>
      <c r="F1680" s="14"/>
      <c r="G1680" s="14"/>
      <c r="H1680" s="23"/>
      <c r="I1680" s="27"/>
      <c r="J1680" s="23"/>
      <c r="K1680" s="30"/>
      <c r="L1680" s="23"/>
      <c r="M1680" s="20"/>
      <c r="N1680" s="20"/>
      <c r="O1680" s="20"/>
      <c r="P1680" s="20"/>
    </row>
    <row r="1681">
      <c r="A1681" s="10"/>
      <c r="B1681" s="11"/>
      <c r="C1681" s="10"/>
      <c r="D1681" s="13"/>
      <c r="E1681" s="14"/>
      <c r="F1681" s="14"/>
      <c r="G1681" s="14"/>
      <c r="H1681" s="10"/>
      <c r="I1681" s="17"/>
      <c r="J1681" s="10"/>
      <c r="K1681" s="46"/>
      <c r="L1681" s="10"/>
      <c r="M1681" s="20"/>
      <c r="N1681" s="20"/>
      <c r="O1681" s="20"/>
      <c r="P1681" s="20"/>
    </row>
    <row r="1682">
      <c r="A1682" s="23"/>
      <c r="B1682" s="21"/>
      <c r="C1682" s="23"/>
      <c r="D1682" s="24"/>
      <c r="E1682" s="14"/>
      <c r="F1682" s="14"/>
      <c r="G1682" s="14"/>
      <c r="H1682" s="23"/>
      <c r="I1682" s="27"/>
      <c r="J1682" s="23"/>
      <c r="K1682" s="30"/>
      <c r="L1682" s="23"/>
      <c r="M1682" s="20"/>
      <c r="N1682" s="20"/>
      <c r="O1682" s="20"/>
      <c r="P1682" s="20"/>
    </row>
    <row r="1683">
      <c r="A1683" s="10"/>
      <c r="B1683" s="11"/>
      <c r="C1683" s="10"/>
      <c r="D1683" s="13"/>
      <c r="E1683" s="14"/>
      <c r="F1683" s="14"/>
      <c r="G1683" s="14"/>
      <c r="H1683" s="10"/>
      <c r="I1683" s="17"/>
      <c r="J1683" s="10"/>
      <c r="K1683" s="46"/>
      <c r="L1683" s="10"/>
      <c r="M1683" s="20"/>
      <c r="N1683" s="20"/>
      <c r="O1683" s="20"/>
      <c r="P1683" s="20"/>
    </row>
    <row r="1684">
      <c r="A1684" s="23"/>
      <c r="B1684" s="21"/>
      <c r="C1684" s="23"/>
      <c r="D1684" s="24"/>
      <c r="E1684" s="14"/>
      <c r="F1684" s="14"/>
      <c r="G1684" s="14"/>
      <c r="H1684" s="23"/>
      <c r="I1684" s="27"/>
      <c r="J1684" s="23"/>
      <c r="K1684" s="30"/>
      <c r="L1684" s="23"/>
      <c r="M1684" s="20"/>
      <c r="N1684" s="20"/>
      <c r="O1684" s="20"/>
      <c r="P1684" s="20"/>
    </row>
    <row r="1685">
      <c r="A1685" s="10"/>
      <c r="B1685" s="11"/>
      <c r="C1685" s="10"/>
      <c r="D1685" s="13"/>
      <c r="E1685" s="14"/>
      <c r="F1685" s="14"/>
      <c r="G1685" s="14"/>
      <c r="H1685" s="10"/>
      <c r="I1685" s="17"/>
      <c r="J1685" s="10"/>
      <c r="K1685" s="46"/>
      <c r="L1685" s="10"/>
      <c r="M1685" s="20"/>
      <c r="N1685" s="20"/>
      <c r="O1685" s="20"/>
      <c r="P1685" s="20"/>
    </row>
    <row r="1686">
      <c r="A1686" s="23"/>
      <c r="B1686" s="21"/>
      <c r="C1686" s="23"/>
      <c r="D1686" s="24"/>
      <c r="E1686" s="14"/>
      <c r="F1686" s="14"/>
      <c r="G1686" s="14"/>
      <c r="H1686" s="23"/>
      <c r="I1686" s="27"/>
      <c r="J1686" s="23"/>
      <c r="K1686" s="30"/>
      <c r="L1686" s="23"/>
      <c r="M1686" s="20"/>
      <c r="N1686" s="20"/>
      <c r="O1686" s="20"/>
      <c r="P1686" s="20"/>
    </row>
    <row r="1687">
      <c r="A1687" s="10"/>
      <c r="B1687" s="11"/>
      <c r="C1687" s="10"/>
      <c r="D1687" s="13"/>
      <c r="E1687" s="14"/>
      <c r="F1687" s="14"/>
      <c r="G1687" s="14"/>
      <c r="H1687" s="10"/>
      <c r="I1687" s="17"/>
      <c r="J1687" s="10"/>
      <c r="K1687" s="46"/>
      <c r="L1687" s="10"/>
      <c r="M1687" s="20"/>
      <c r="N1687" s="20"/>
      <c r="O1687" s="20"/>
      <c r="P1687" s="20"/>
    </row>
    <row r="1688">
      <c r="A1688" s="23"/>
      <c r="B1688" s="21"/>
      <c r="C1688" s="23"/>
      <c r="D1688" s="24"/>
      <c r="E1688" s="14"/>
      <c r="F1688" s="14"/>
      <c r="G1688" s="14"/>
      <c r="H1688" s="23"/>
      <c r="I1688" s="27"/>
      <c r="J1688" s="23"/>
      <c r="K1688" s="30"/>
      <c r="L1688" s="23"/>
      <c r="M1688" s="20"/>
      <c r="N1688" s="20"/>
      <c r="O1688" s="20"/>
      <c r="P1688" s="20"/>
    </row>
    <row r="1689">
      <c r="A1689" s="10"/>
      <c r="B1689" s="11"/>
      <c r="C1689" s="10"/>
      <c r="D1689" s="13"/>
      <c r="E1689" s="14"/>
      <c r="F1689" s="14"/>
      <c r="G1689" s="14"/>
      <c r="H1689" s="10"/>
      <c r="I1689" s="17"/>
      <c r="J1689" s="10"/>
      <c r="K1689" s="46"/>
      <c r="L1689" s="10"/>
      <c r="M1689" s="20"/>
      <c r="N1689" s="20"/>
      <c r="O1689" s="20"/>
      <c r="P1689" s="20"/>
    </row>
    <row r="1690">
      <c r="A1690" s="23"/>
      <c r="B1690" s="21"/>
      <c r="C1690" s="23"/>
      <c r="D1690" s="24"/>
      <c r="E1690" s="14"/>
      <c r="F1690" s="14"/>
      <c r="G1690" s="14"/>
      <c r="H1690" s="23"/>
      <c r="I1690" s="27"/>
      <c r="J1690" s="23"/>
      <c r="K1690" s="30"/>
      <c r="L1690" s="23"/>
      <c r="M1690" s="20"/>
      <c r="N1690" s="20"/>
      <c r="O1690" s="20"/>
      <c r="P1690" s="20"/>
    </row>
    <row r="1691">
      <c r="A1691" s="10"/>
      <c r="B1691" s="11"/>
      <c r="C1691" s="10"/>
      <c r="D1691" s="13"/>
      <c r="E1691" s="14"/>
      <c r="F1691" s="14"/>
      <c r="G1691" s="14"/>
      <c r="H1691" s="10"/>
      <c r="I1691" s="17"/>
      <c r="J1691" s="10"/>
      <c r="K1691" s="46"/>
      <c r="L1691" s="10"/>
      <c r="M1691" s="20"/>
      <c r="N1691" s="20"/>
      <c r="O1691" s="20"/>
      <c r="P1691" s="20"/>
    </row>
    <row r="1692">
      <c r="A1692" s="23"/>
      <c r="B1692" s="21"/>
      <c r="C1692" s="23"/>
      <c r="D1692" s="24"/>
      <c r="E1692" s="14"/>
      <c r="F1692" s="14"/>
      <c r="G1692" s="14"/>
      <c r="H1692" s="23"/>
      <c r="I1692" s="27"/>
      <c r="J1692" s="23"/>
      <c r="K1692" s="30"/>
      <c r="L1692" s="23"/>
      <c r="M1692" s="20"/>
      <c r="N1692" s="20"/>
      <c r="O1692" s="20"/>
      <c r="P1692" s="20"/>
    </row>
    <row r="1693">
      <c r="A1693" s="10"/>
      <c r="B1693" s="11"/>
      <c r="C1693" s="10"/>
      <c r="D1693" s="13"/>
      <c r="E1693" s="14"/>
      <c r="F1693" s="14"/>
      <c r="G1693" s="14"/>
      <c r="H1693" s="10"/>
      <c r="I1693" s="17"/>
      <c r="J1693" s="10"/>
      <c r="K1693" s="46"/>
      <c r="L1693" s="10"/>
      <c r="M1693" s="20"/>
      <c r="N1693" s="20"/>
      <c r="O1693" s="20"/>
      <c r="P1693" s="20"/>
    </row>
    <row r="1694">
      <c r="A1694" s="23"/>
      <c r="B1694" s="21"/>
      <c r="C1694" s="23"/>
      <c r="D1694" s="24"/>
      <c r="E1694" s="14"/>
      <c r="F1694" s="14"/>
      <c r="G1694" s="14"/>
      <c r="H1694" s="23"/>
      <c r="I1694" s="27"/>
      <c r="J1694" s="23"/>
      <c r="K1694" s="30"/>
      <c r="L1694" s="23"/>
      <c r="M1694" s="20"/>
      <c r="N1694" s="20"/>
      <c r="O1694" s="20"/>
      <c r="P1694" s="20"/>
    </row>
    <row r="1695">
      <c r="A1695" s="10"/>
      <c r="B1695" s="11"/>
      <c r="C1695" s="10"/>
      <c r="D1695" s="13"/>
      <c r="E1695" s="14"/>
      <c r="F1695" s="14"/>
      <c r="G1695" s="14"/>
      <c r="H1695" s="10"/>
      <c r="I1695" s="17"/>
      <c r="J1695" s="10"/>
      <c r="K1695" s="46"/>
      <c r="L1695" s="10"/>
      <c r="M1695" s="20"/>
      <c r="N1695" s="20"/>
      <c r="O1695" s="20"/>
      <c r="P1695" s="20"/>
    </row>
    <row r="1696">
      <c r="A1696" s="23"/>
      <c r="B1696" s="21"/>
      <c r="C1696" s="23"/>
      <c r="D1696" s="24"/>
      <c r="E1696" s="14"/>
      <c r="F1696" s="14"/>
      <c r="G1696" s="14"/>
      <c r="H1696" s="23"/>
      <c r="I1696" s="27"/>
      <c r="J1696" s="23"/>
      <c r="K1696" s="30"/>
      <c r="L1696" s="23"/>
      <c r="M1696" s="20"/>
      <c r="N1696" s="20"/>
      <c r="O1696" s="20"/>
      <c r="P1696" s="20"/>
    </row>
    <row r="1697">
      <c r="A1697" s="10"/>
      <c r="B1697" s="11"/>
      <c r="C1697" s="10"/>
      <c r="D1697" s="13"/>
      <c r="E1697" s="14"/>
      <c r="F1697" s="14"/>
      <c r="G1697" s="14"/>
      <c r="H1697" s="10"/>
      <c r="I1697" s="17"/>
      <c r="J1697" s="10"/>
      <c r="K1697" s="46"/>
      <c r="L1697" s="10"/>
      <c r="M1697" s="20"/>
      <c r="N1697" s="20"/>
      <c r="O1697" s="20"/>
      <c r="P1697" s="20"/>
    </row>
    <row r="1698">
      <c r="A1698" s="23"/>
      <c r="B1698" s="21"/>
      <c r="C1698" s="23"/>
      <c r="D1698" s="24"/>
      <c r="E1698" s="14"/>
      <c r="F1698" s="14"/>
      <c r="G1698" s="14"/>
      <c r="H1698" s="23"/>
      <c r="I1698" s="27"/>
      <c r="J1698" s="23"/>
      <c r="K1698" s="30"/>
      <c r="L1698" s="23"/>
      <c r="M1698" s="20"/>
      <c r="N1698" s="20"/>
      <c r="O1698" s="20"/>
      <c r="P1698" s="20"/>
    </row>
    <row r="1699">
      <c r="A1699" s="10"/>
      <c r="B1699" s="11"/>
      <c r="C1699" s="10"/>
      <c r="D1699" s="13"/>
      <c r="E1699" s="14"/>
      <c r="F1699" s="14"/>
      <c r="G1699" s="14"/>
      <c r="H1699" s="10"/>
      <c r="I1699" s="17"/>
      <c r="J1699" s="10"/>
      <c r="K1699" s="46"/>
      <c r="L1699" s="10"/>
      <c r="M1699" s="20"/>
      <c r="N1699" s="20"/>
      <c r="O1699" s="20"/>
      <c r="P1699" s="20"/>
    </row>
    <row r="1700">
      <c r="A1700" s="23"/>
      <c r="B1700" s="21"/>
      <c r="C1700" s="23"/>
      <c r="D1700" s="24"/>
      <c r="E1700" s="14"/>
      <c r="F1700" s="14"/>
      <c r="G1700" s="14"/>
      <c r="H1700" s="23"/>
      <c r="I1700" s="27"/>
      <c r="J1700" s="23"/>
      <c r="K1700" s="30"/>
      <c r="L1700" s="23"/>
      <c r="M1700" s="20"/>
      <c r="N1700" s="20"/>
      <c r="O1700" s="20"/>
      <c r="P1700" s="20"/>
    </row>
    <row r="1701">
      <c r="A1701" s="10"/>
      <c r="B1701" s="11"/>
      <c r="C1701" s="10"/>
      <c r="D1701" s="13"/>
      <c r="E1701" s="14"/>
      <c r="F1701" s="14"/>
      <c r="G1701" s="14"/>
      <c r="H1701" s="10"/>
      <c r="I1701" s="17"/>
      <c r="J1701" s="10"/>
      <c r="K1701" s="46"/>
      <c r="L1701" s="10"/>
      <c r="M1701" s="20"/>
      <c r="N1701" s="20"/>
      <c r="O1701" s="20"/>
      <c r="P1701" s="20"/>
    </row>
    <row r="1702">
      <c r="A1702" s="23"/>
      <c r="B1702" s="21"/>
      <c r="C1702" s="23"/>
      <c r="D1702" s="24"/>
      <c r="E1702" s="14"/>
      <c r="F1702" s="14"/>
      <c r="G1702" s="14"/>
      <c r="H1702" s="23"/>
      <c r="I1702" s="27"/>
      <c r="J1702" s="23"/>
      <c r="K1702" s="30"/>
      <c r="L1702" s="23"/>
      <c r="M1702" s="20"/>
      <c r="N1702" s="20"/>
      <c r="O1702" s="20"/>
      <c r="P1702" s="20"/>
    </row>
    <row r="1703">
      <c r="A1703" s="10"/>
      <c r="B1703" s="11"/>
      <c r="C1703" s="10"/>
      <c r="D1703" s="13"/>
      <c r="E1703" s="14"/>
      <c r="F1703" s="14"/>
      <c r="G1703" s="14"/>
      <c r="H1703" s="10"/>
      <c r="I1703" s="17"/>
      <c r="J1703" s="10"/>
      <c r="K1703" s="46"/>
      <c r="L1703" s="10"/>
      <c r="M1703" s="20"/>
      <c r="N1703" s="20"/>
      <c r="O1703" s="20"/>
      <c r="P1703" s="20"/>
    </row>
    <row r="1704">
      <c r="A1704" s="23"/>
      <c r="B1704" s="21"/>
      <c r="C1704" s="23"/>
      <c r="D1704" s="24"/>
      <c r="E1704" s="14"/>
      <c r="F1704" s="14"/>
      <c r="G1704" s="14"/>
      <c r="H1704" s="23"/>
      <c r="I1704" s="27"/>
      <c r="J1704" s="23"/>
      <c r="K1704" s="30"/>
      <c r="L1704" s="23"/>
      <c r="M1704" s="20"/>
      <c r="N1704" s="20"/>
      <c r="O1704" s="20"/>
      <c r="P1704" s="20"/>
    </row>
    <row r="1705">
      <c r="A1705" s="10"/>
      <c r="B1705" s="11"/>
      <c r="C1705" s="10"/>
      <c r="D1705" s="13"/>
      <c r="E1705" s="14"/>
      <c r="F1705" s="14"/>
      <c r="G1705" s="14"/>
      <c r="H1705" s="10"/>
      <c r="I1705" s="17"/>
      <c r="J1705" s="10"/>
      <c r="K1705" s="46"/>
      <c r="L1705" s="10"/>
      <c r="M1705" s="20"/>
      <c r="N1705" s="20"/>
      <c r="O1705" s="20"/>
      <c r="P1705" s="20"/>
    </row>
    <row r="1706">
      <c r="A1706" s="23"/>
      <c r="B1706" s="21"/>
      <c r="C1706" s="23"/>
      <c r="D1706" s="24"/>
      <c r="E1706" s="14"/>
      <c r="F1706" s="14"/>
      <c r="G1706" s="14"/>
      <c r="H1706" s="23"/>
      <c r="I1706" s="27"/>
      <c r="J1706" s="23"/>
      <c r="K1706" s="30"/>
      <c r="L1706" s="23"/>
      <c r="M1706" s="20"/>
      <c r="N1706" s="20"/>
      <c r="O1706" s="20"/>
      <c r="P1706" s="20"/>
    </row>
    <row r="1707">
      <c r="A1707" s="10"/>
      <c r="B1707" s="11"/>
      <c r="C1707" s="10"/>
      <c r="D1707" s="13"/>
      <c r="E1707" s="14"/>
      <c r="F1707" s="14"/>
      <c r="G1707" s="14"/>
      <c r="H1707" s="10"/>
      <c r="I1707" s="17"/>
      <c r="J1707" s="10"/>
      <c r="K1707" s="46"/>
      <c r="L1707" s="10"/>
      <c r="M1707" s="20"/>
      <c r="N1707" s="20"/>
      <c r="O1707" s="20"/>
      <c r="P1707" s="20"/>
    </row>
    <row r="1708">
      <c r="A1708" s="23"/>
      <c r="B1708" s="21"/>
      <c r="C1708" s="23"/>
      <c r="D1708" s="24"/>
      <c r="E1708" s="14"/>
      <c r="F1708" s="14"/>
      <c r="G1708" s="14"/>
      <c r="H1708" s="23"/>
      <c r="I1708" s="27"/>
      <c r="J1708" s="23"/>
      <c r="K1708" s="30"/>
      <c r="L1708" s="23"/>
      <c r="M1708" s="20"/>
      <c r="N1708" s="20"/>
      <c r="O1708" s="20"/>
      <c r="P1708" s="20"/>
    </row>
    <row r="1709">
      <c r="A1709" s="10"/>
      <c r="B1709" s="11"/>
      <c r="C1709" s="10"/>
      <c r="D1709" s="13"/>
      <c r="E1709" s="14"/>
      <c r="F1709" s="14"/>
      <c r="G1709" s="14"/>
      <c r="H1709" s="10"/>
      <c r="I1709" s="17"/>
      <c r="J1709" s="10"/>
      <c r="K1709" s="46"/>
      <c r="L1709" s="10"/>
      <c r="M1709" s="20"/>
      <c r="N1709" s="20"/>
      <c r="O1709" s="20"/>
      <c r="P1709" s="20"/>
    </row>
    <row r="1710">
      <c r="A1710" s="23"/>
      <c r="B1710" s="21"/>
      <c r="C1710" s="23"/>
      <c r="D1710" s="24"/>
      <c r="E1710" s="14"/>
      <c r="F1710" s="14"/>
      <c r="G1710" s="14"/>
      <c r="H1710" s="23"/>
      <c r="I1710" s="27"/>
      <c r="J1710" s="23"/>
      <c r="K1710" s="30"/>
      <c r="L1710" s="23"/>
      <c r="M1710" s="20"/>
      <c r="N1710" s="20"/>
      <c r="O1710" s="20"/>
      <c r="P1710" s="20"/>
    </row>
    <row r="1711">
      <c r="A1711" s="10"/>
      <c r="B1711" s="11"/>
      <c r="C1711" s="10"/>
      <c r="D1711" s="13"/>
      <c r="E1711" s="14"/>
      <c r="F1711" s="14"/>
      <c r="G1711" s="14"/>
      <c r="H1711" s="10"/>
      <c r="I1711" s="17"/>
      <c r="J1711" s="10"/>
      <c r="K1711" s="46"/>
      <c r="L1711" s="10"/>
      <c r="M1711" s="20"/>
      <c r="N1711" s="20"/>
      <c r="O1711" s="20"/>
      <c r="P1711" s="20"/>
    </row>
    <row r="1712">
      <c r="A1712" s="23"/>
      <c r="B1712" s="21"/>
      <c r="C1712" s="23"/>
      <c r="D1712" s="24"/>
      <c r="E1712" s="14"/>
      <c r="F1712" s="14"/>
      <c r="G1712" s="14"/>
      <c r="H1712" s="23"/>
      <c r="I1712" s="27"/>
      <c r="J1712" s="23"/>
      <c r="K1712" s="30"/>
      <c r="L1712" s="23"/>
      <c r="M1712" s="20"/>
      <c r="N1712" s="20"/>
      <c r="O1712" s="20"/>
      <c r="P1712" s="20"/>
    </row>
    <row r="1713">
      <c r="A1713" s="10"/>
      <c r="B1713" s="11"/>
      <c r="C1713" s="10"/>
      <c r="D1713" s="13"/>
      <c r="E1713" s="14"/>
      <c r="F1713" s="14"/>
      <c r="G1713" s="14"/>
      <c r="H1713" s="10"/>
      <c r="I1713" s="17"/>
      <c r="J1713" s="10"/>
      <c r="K1713" s="46"/>
      <c r="L1713" s="10"/>
      <c r="M1713" s="20"/>
      <c r="N1713" s="20"/>
      <c r="O1713" s="20"/>
      <c r="P1713" s="20"/>
    </row>
    <row r="1714">
      <c r="A1714" s="23"/>
      <c r="B1714" s="21"/>
      <c r="C1714" s="23"/>
      <c r="D1714" s="24"/>
      <c r="E1714" s="14"/>
      <c r="F1714" s="14"/>
      <c r="G1714" s="14"/>
      <c r="H1714" s="23"/>
      <c r="I1714" s="27"/>
      <c r="J1714" s="23"/>
      <c r="K1714" s="30"/>
      <c r="L1714" s="23"/>
      <c r="M1714" s="20"/>
      <c r="N1714" s="20"/>
      <c r="O1714" s="20"/>
      <c r="P1714" s="20"/>
    </row>
    <row r="1715">
      <c r="A1715" s="10"/>
      <c r="B1715" s="11"/>
      <c r="C1715" s="10"/>
      <c r="D1715" s="13"/>
      <c r="E1715" s="14"/>
      <c r="F1715" s="14"/>
      <c r="G1715" s="14"/>
      <c r="H1715" s="10"/>
      <c r="I1715" s="17"/>
      <c r="J1715" s="10"/>
      <c r="K1715" s="46"/>
      <c r="L1715" s="10"/>
      <c r="M1715" s="20"/>
      <c r="N1715" s="20"/>
      <c r="O1715" s="20"/>
      <c r="P1715" s="20"/>
    </row>
    <row r="1716">
      <c r="A1716" s="23"/>
      <c r="B1716" s="21"/>
      <c r="C1716" s="23"/>
      <c r="D1716" s="24"/>
      <c r="E1716" s="14"/>
      <c r="F1716" s="14"/>
      <c r="G1716" s="14"/>
      <c r="H1716" s="23"/>
      <c r="I1716" s="27"/>
      <c r="J1716" s="23"/>
      <c r="K1716" s="30"/>
      <c r="L1716" s="23"/>
      <c r="M1716" s="20"/>
      <c r="N1716" s="20"/>
      <c r="O1716" s="20"/>
      <c r="P1716" s="20"/>
    </row>
    <row r="1717">
      <c r="A1717" s="10"/>
      <c r="B1717" s="11"/>
      <c r="C1717" s="10"/>
      <c r="D1717" s="13"/>
      <c r="E1717" s="14"/>
      <c r="F1717" s="14"/>
      <c r="G1717" s="14"/>
      <c r="H1717" s="10"/>
      <c r="I1717" s="17"/>
      <c r="J1717" s="10"/>
      <c r="K1717" s="46"/>
      <c r="L1717" s="10"/>
      <c r="M1717" s="20"/>
      <c r="N1717" s="20"/>
      <c r="O1717" s="20"/>
      <c r="P1717" s="20"/>
    </row>
    <row r="1718">
      <c r="A1718" s="23"/>
      <c r="B1718" s="21"/>
      <c r="C1718" s="23"/>
      <c r="D1718" s="24"/>
      <c r="E1718" s="14"/>
      <c r="F1718" s="14"/>
      <c r="G1718" s="14"/>
      <c r="H1718" s="23"/>
      <c r="I1718" s="27"/>
      <c r="J1718" s="23"/>
      <c r="K1718" s="30"/>
      <c r="L1718" s="23"/>
      <c r="M1718" s="20"/>
      <c r="N1718" s="20"/>
      <c r="O1718" s="20"/>
      <c r="P1718" s="20"/>
    </row>
    <row r="1719">
      <c r="A1719" s="10"/>
      <c r="B1719" s="11"/>
      <c r="C1719" s="10"/>
      <c r="D1719" s="13"/>
      <c r="E1719" s="14"/>
      <c r="F1719" s="14"/>
      <c r="G1719" s="14"/>
      <c r="H1719" s="10"/>
      <c r="I1719" s="17"/>
      <c r="J1719" s="10"/>
      <c r="K1719" s="46"/>
      <c r="L1719" s="10"/>
      <c r="M1719" s="20"/>
      <c r="N1719" s="20"/>
      <c r="O1719" s="20"/>
      <c r="P1719" s="20"/>
    </row>
    <row r="1720">
      <c r="A1720" s="23"/>
      <c r="B1720" s="21"/>
      <c r="C1720" s="23"/>
      <c r="D1720" s="24"/>
      <c r="E1720" s="14"/>
      <c r="F1720" s="14"/>
      <c r="G1720" s="14"/>
      <c r="H1720" s="23"/>
      <c r="I1720" s="27"/>
      <c r="J1720" s="23"/>
      <c r="K1720" s="30"/>
      <c r="L1720" s="23"/>
      <c r="M1720" s="20"/>
      <c r="N1720" s="20"/>
      <c r="O1720" s="20"/>
      <c r="P1720" s="20"/>
    </row>
    <row r="1721">
      <c r="A1721" s="10"/>
      <c r="B1721" s="11"/>
      <c r="C1721" s="10"/>
      <c r="D1721" s="13"/>
      <c r="E1721" s="14"/>
      <c r="F1721" s="14"/>
      <c r="G1721" s="14"/>
      <c r="H1721" s="10"/>
      <c r="I1721" s="17"/>
      <c r="J1721" s="10"/>
      <c r="K1721" s="46"/>
      <c r="L1721" s="10"/>
      <c r="M1721" s="20"/>
      <c r="N1721" s="20"/>
      <c r="O1721" s="20"/>
      <c r="P1721" s="20"/>
    </row>
    <row r="1722">
      <c r="A1722" s="23"/>
      <c r="B1722" s="21"/>
      <c r="C1722" s="23"/>
      <c r="D1722" s="24"/>
      <c r="E1722" s="14"/>
      <c r="F1722" s="14"/>
      <c r="G1722" s="14"/>
      <c r="H1722" s="23"/>
      <c r="I1722" s="27"/>
      <c r="J1722" s="23"/>
      <c r="K1722" s="30"/>
      <c r="L1722" s="23"/>
      <c r="M1722" s="20"/>
      <c r="N1722" s="20"/>
      <c r="O1722" s="20"/>
      <c r="P1722" s="20"/>
    </row>
    <row r="1723">
      <c r="A1723" s="10"/>
      <c r="B1723" s="11"/>
      <c r="C1723" s="10"/>
      <c r="D1723" s="13"/>
      <c r="E1723" s="14"/>
      <c r="F1723" s="14"/>
      <c r="G1723" s="14"/>
      <c r="H1723" s="10"/>
      <c r="I1723" s="17"/>
      <c r="J1723" s="10"/>
      <c r="K1723" s="46"/>
      <c r="L1723" s="10"/>
      <c r="M1723" s="20"/>
      <c r="N1723" s="20"/>
      <c r="O1723" s="20"/>
      <c r="P1723" s="20"/>
    </row>
    <row r="1724">
      <c r="A1724" s="23"/>
      <c r="B1724" s="21"/>
      <c r="C1724" s="23"/>
      <c r="D1724" s="24"/>
      <c r="E1724" s="14"/>
      <c r="F1724" s="14"/>
      <c r="G1724" s="14"/>
      <c r="H1724" s="23"/>
      <c r="I1724" s="27"/>
      <c r="J1724" s="23"/>
      <c r="K1724" s="30"/>
      <c r="L1724" s="23"/>
      <c r="M1724" s="20"/>
      <c r="N1724" s="20"/>
      <c r="O1724" s="20"/>
      <c r="P1724" s="20"/>
    </row>
    <row r="1725">
      <c r="A1725" s="10"/>
      <c r="B1725" s="11"/>
      <c r="C1725" s="10"/>
      <c r="D1725" s="13"/>
      <c r="E1725" s="14"/>
      <c r="F1725" s="14"/>
      <c r="G1725" s="14"/>
      <c r="H1725" s="10"/>
      <c r="I1725" s="17"/>
      <c r="J1725" s="10"/>
      <c r="K1725" s="46"/>
      <c r="L1725" s="10"/>
      <c r="M1725" s="20"/>
      <c r="N1725" s="20"/>
      <c r="O1725" s="20"/>
      <c r="P1725" s="20"/>
    </row>
    <row r="1726">
      <c r="A1726" s="23"/>
      <c r="B1726" s="21"/>
      <c r="C1726" s="23"/>
      <c r="D1726" s="24"/>
      <c r="E1726" s="14"/>
      <c r="F1726" s="14"/>
      <c r="G1726" s="14"/>
      <c r="H1726" s="23"/>
      <c r="I1726" s="27"/>
      <c r="J1726" s="23"/>
      <c r="K1726" s="30"/>
      <c r="L1726" s="23"/>
      <c r="M1726" s="20"/>
      <c r="N1726" s="20"/>
      <c r="O1726" s="20"/>
      <c r="P1726" s="20"/>
    </row>
    <row r="1727">
      <c r="A1727" s="10"/>
      <c r="B1727" s="11"/>
      <c r="C1727" s="10"/>
      <c r="D1727" s="13"/>
      <c r="E1727" s="14"/>
      <c r="F1727" s="14"/>
      <c r="G1727" s="14"/>
      <c r="H1727" s="10"/>
      <c r="I1727" s="17"/>
      <c r="J1727" s="10"/>
      <c r="K1727" s="46"/>
      <c r="L1727" s="10"/>
      <c r="M1727" s="20"/>
      <c r="N1727" s="20"/>
      <c r="O1727" s="20"/>
      <c r="P1727" s="20"/>
    </row>
    <row r="1728">
      <c r="A1728" s="23"/>
      <c r="B1728" s="21"/>
      <c r="C1728" s="23"/>
      <c r="D1728" s="24"/>
      <c r="E1728" s="14"/>
      <c r="F1728" s="14"/>
      <c r="G1728" s="14"/>
      <c r="H1728" s="23"/>
      <c r="I1728" s="27"/>
      <c r="J1728" s="23"/>
      <c r="K1728" s="30"/>
      <c r="L1728" s="23"/>
      <c r="M1728" s="20"/>
      <c r="N1728" s="20"/>
      <c r="O1728" s="20"/>
      <c r="P1728" s="20"/>
    </row>
    <row r="1729">
      <c r="A1729" s="10"/>
      <c r="B1729" s="11"/>
      <c r="C1729" s="10"/>
      <c r="D1729" s="13"/>
      <c r="E1729" s="14"/>
      <c r="F1729" s="14"/>
      <c r="G1729" s="14"/>
      <c r="H1729" s="10"/>
      <c r="I1729" s="17"/>
      <c r="J1729" s="10"/>
      <c r="K1729" s="46"/>
      <c r="L1729" s="10"/>
      <c r="M1729" s="20"/>
      <c r="N1729" s="20"/>
      <c r="O1729" s="20"/>
      <c r="P1729" s="20"/>
    </row>
    <row r="1730">
      <c r="A1730" s="23"/>
      <c r="B1730" s="21"/>
      <c r="C1730" s="23"/>
      <c r="D1730" s="24"/>
      <c r="E1730" s="14"/>
      <c r="F1730" s="14"/>
      <c r="G1730" s="14"/>
      <c r="H1730" s="23"/>
      <c r="I1730" s="27"/>
      <c r="J1730" s="23"/>
      <c r="K1730" s="30"/>
      <c r="L1730" s="23"/>
      <c r="M1730" s="20"/>
      <c r="N1730" s="20"/>
      <c r="O1730" s="20"/>
      <c r="P1730" s="20"/>
    </row>
    <row r="1731">
      <c r="A1731" s="10"/>
      <c r="B1731" s="11"/>
      <c r="C1731" s="10"/>
      <c r="D1731" s="13"/>
      <c r="E1731" s="14"/>
      <c r="F1731" s="14"/>
      <c r="G1731" s="14"/>
      <c r="H1731" s="10"/>
      <c r="I1731" s="17"/>
      <c r="J1731" s="10"/>
      <c r="K1731" s="46"/>
      <c r="L1731" s="10"/>
      <c r="M1731" s="20"/>
      <c r="N1731" s="20"/>
      <c r="O1731" s="20"/>
      <c r="P1731" s="20"/>
    </row>
    <row r="1732">
      <c r="A1732" s="23"/>
      <c r="B1732" s="21"/>
      <c r="C1732" s="23"/>
      <c r="D1732" s="24"/>
      <c r="E1732" s="14"/>
      <c r="F1732" s="14"/>
      <c r="G1732" s="14"/>
      <c r="H1732" s="23"/>
      <c r="I1732" s="27"/>
      <c r="J1732" s="23"/>
      <c r="K1732" s="30"/>
      <c r="L1732" s="23"/>
      <c r="M1732" s="20"/>
      <c r="N1732" s="20"/>
      <c r="O1732" s="20"/>
      <c r="P1732" s="20"/>
    </row>
    <row r="1733">
      <c r="A1733" s="10"/>
      <c r="B1733" s="11"/>
      <c r="C1733" s="10"/>
      <c r="D1733" s="13"/>
      <c r="E1733" s="14"/>
      <c r="F1733" s="14"/>
      <c r="G1733" s="14"/>
      <c r="H1733" s="10"/>
      <c r="I1733" s="17"/>
      <c r="J1733" s="10"/>
      <c r="K1733" s="46"/>
      <c r="L1733" s="10"/>
      <c r="M1733" s="20"/>
      <c r="N1733" s="20"/>
      <c r="O1733" s="20"/>
      <c r="P1733" s="20"/>
    </row>
    <row r="1734">
      <c r="A1734" s="23"/>
      <c r="B1734" s="21"/>
      <c r="C1734" s="23"/>
      <c r="D1734" s="24"/>
      <c r="E1734" s="14"/>
      <c r="F1734" s="14"/>
      <c r="G1734" s="14"/>
      <c r="H1734" s="23"/>
      <c r="I1734" s="27"/>
      <c r="J1734" s="23"/>
      <c r="K1734" s="30"/>
      <c r="L1734" s="23"/>
      <c r="M1734" s="20"/>
      <c r="N1734" s="20"/>
      <c r="O1734" s="20"/>
      <c r="P1734" s="20"/>
    </row>
    <row r="1735">
      <c r="A1735" s="10"/>
      <c r="B1735" s="11"/>
      <c r="C1735" s="10"/>
      <c r="D1735" s="13"/>
      <c r="E1735" s="14"/>
      <c r="F1735" s="14"/>
      <c r="G1735" s="14"/>
      <c r="H1735" s="10"/>
      <c r="I1735" s="17"/>
      <c r="J1735" s="10"/>
      <c r="K1735" s="46"/>
      <c r="L1735" s="10"/>
      <c r="M1735" s="20"/>
      <c r="N1735" s="20"/>
      <c r="O1735" s="20"/>
      <c r="P1735" s="20"/>
    </row>
    <row r="1736">
      <c r="A1736" s="23"/>
      <c r="B1736" s="21"/>
      <c r="C1736" s="23"/>
      <c r="D1736" s="24"/>
      <c r="E1736" s="14"/>
      <c r="F1736" s="14"/>
      <c r="G1736" s="14"/>
      <c r="H1736" s="23"/>
      <c r="I1736" s="27"/>
      <c r="J1736" s="23"/>
      <c r="K1736" s="30"/>
      <c r="L1736" s="23"/>
      <c r="M1736" s="20"/>
      <c r="N1736" s="20"/>
      <c r="O1736" s="20"/>
      <c r="P1736" s="20"/>
    </row>
    <row r="1737">
      <c r="A1737" s="10"/>
      <c r="B1737" s="11"/>
      <c r="C1737" s="10"/>
      <c r="D1737" s="13"/>
      <c r="E1737" s="14"/>
      <c r="F1737" s="14"/>
      <c r="G1737" s="14"/>
      <c r="H1737" s="10"/>
      <c r="I1737" s="17"/>
      <c r="J1737" s="10"/>
      <c r="K1737" s="46"/>
      <c r="L1737" s="10"/>
      <c r="M1737" s="20"/>
      <c r="N1737" s="20"/>
      <c r="O1737" s="20"/>
      <c r="P1737" s="20"/>
    </row>
    <row r="1738">
      <c r="A1738" s="23"/>
      <c r="B1738" s="21"/>
      <c r="C1738" s="23"/>
      <c r="D1738" s="24"/>
      <c r="E1738" s="14"/>
      <c r="F1738" s="14"/>
      <c r="G1738" s="14"/>
      <c r="H1738" s="23"/>
      <c r="I1738" s="27"/>
      <c r="J1738" s="23"/>
      <c r="K1738" s="30"/>
      <c r="L1738" s="23"/>
      <c r="M1738" s="20"/>
      <c r="N1738" s="20"/>
      <c r="O1738" s="20"/>
      <c r="P1738" s="20"/>
    </row>
    <row r="1739">
      <c r="A1739" s="10"/>
      <c r="B1739" s="11"/>
      <c r="C1739" s="10"/>
      <c r="D1739" s="13"/>
      <c r="E1739" s="14"/>
      <c r="F1739" s="14"/>
      <c r="G1739" s="14"/>
      <c r="H1739" s="10"/>
      <c r="I1739" s="17"/>
      <c r="J1739" s="10"/>
      <c r="K1739" s="46"/>
      <c r="L1739" s="10"/>
      <c r="M1739" s="20"/>
      <c r="N1739" s="20"/>
      <c r="O1739" s="20"/>
      <c r="P1739" s="20"/>
    </row>
    <row r="1740">
      <c r="A1740" s="23"/>
      <c r="B1740" s="21"/>
      <c r="C1740" s="23"/>
      <c r="D1740" s="24"/>
      <c r="E1740" s="14"/>
      <c r="F1740" s="14"/>
      <c r="G1740" s="14"/>
      <c r="H1740" s="23"/>
      <c r="I1740" s="27"/>
      <c r="J1740" s="23"/>
      <c r="K1740" s="30"/>
      <c r="L1740" s="23"/>
      <c r="M1740" s="20"/>
      <c r="N1740" s="20"/>
      <c r="O1740" s="20"/>
      <c r="P1740" s="20"/>
    </row>
    <row r="1741">
      <c r="A1741" s="10"/>
      <c r="B1741" s="11"/>
      <c r="C1741" s="10"/>
      <c r="D1741" s="13"/>
      <c r="E1741" s="14"/>
      <c r="F1741" s="14"/>
      <c r="G1741" s="14"/>
      <c r="H1741" s="10"/>
      <c r="I1741" s="17"/>
      <c r="J1741" s="10"/>
      <c r="K1741" s="46"/>
      <c r="L1741" s="10"/>
      <c r="M1741" s="20"/>
      <c r="N1741" s="20"/>
      <c r="O1741" s="20"/>
      <c r="P1741" s="20"/>
    </row>
    <row r="1742">
      <c r="A1742" s="23"/>
      <c r="B1742" s="21"/>
      <c r="C1742" s="23"/>
      <c r="D1742" s="24"/>
      <c r="E1742" s="14"/>
      <c r="F1742" s="14"/>
      <c r="G1742" s="14"/>
      <c r="H1742" s="23"/>
      <c r="I1742" s="27"/>
      <c r="J1742" s="23"/>
      <c r="K1742" s="30"/>
      <c r="L1742" s="23"/>
      <c r="M1742" s="20"/>
      <c r="N1742" s="20"/>
      <c r="O1742" s="20"/>
      <c r="P1742" s="20"/>
    </row>
    <row r="1743">
      <c r="A1743" s="10"/>
      <c r="B1743" s="11"/>
      <c r="C1743" s="10"/>
      <c r="D1743" s="13"/>
      <c r="E1743" s="14"/>
      <c r="F1743" s="14"/>
      <c r="G1743" s="14"/>
      <c r="H1743" s="10"/>
      <c r="I1743" s="17"/>
      <c r="J1743" s="10"/>
      <c r="K1743" s="46"/>
      <c r="L1743" s="10"/>
      <c r="M1743" s="20"/>
      <c r="N1743" s="20"/>
      <c r="O1743" s="20"/>
      <c r="P1743" s="20"/>
    </row>
    <row r="1744">
      <c r="A1744" s="23"/>
      <c r="B1744" s="21"/>
      <c r="C1744" s="23"/>
      <c r="D1744" s="24"/>
      <c r="E1744" s="14"/>
      <c r="F1744" s="14"/>
      <c r="G1744" s="14"/>
      <c r="H1744" s="23"/>
      <c r="I1744" s="27"/>
      <c r="J1744" s="23"/>
      <c r="K1744" s="30"/>
      <c r="L1744" s="23"/>
      <c r="M1744" s="20"/>
      <c r="N1744" s="20"/>
      <c r="O1744" s="20"/>
      <c r="P1744" s="20"/>
    </row>
    <row r="1745">
      <c r="A1745" s="10"/>
      <c r="B1745" s="11"/>
      <c r="C1745" s="10"/>
      <c r="D1745" s="13"/>
      <c r="E1745" s="14"/>
      <c r="F1745" s="14"/>
      <c r="G1745" s="14"/>
      <c r="H1745" s="10"/>
      <c r="I1745" s="17"/>
      <c r="J1745" s="10"/>
      <c r="K1745" s="46"/>
      <c r="L1745" s="10"/>
      <c r="M1745" s="20"/>
      <c r="N1745" s="20"/>
      <c r="O1745" s="20"/>
      <c r="P1745" s="20"/>
    </row>
    <row r="1746">
      <c r="A1746" s="23"/>
      <c r="B1746" s="21"/>
      <c r="C1746" s="23"/>
      <c r="D1746" s="24"/>
      <c r="E1746" s="14"/>
      <c r="F1746" s="14"/>
      <c r="G1746" s="14"/>
      <c r="H1746" s="23"/>
      <c r="I1746" s="27"/>
      <c r="J1746" s="23"/>
      <c r="K1746" s="30"/>
      <c r="L1746" s="23"/>
      <c r="M1746" s="20"/>
      <c r="N1746" s="20"/>
      <c r="O1746" s="20"/>
      <c r="P1746" s="20"/>
    </row>
    <row r="1747">
      <c r="A1747" s="10"/>
      <c r="B1747" s="11"/>
      <c r="C1747" s="10"/>
      <c r="D1747" s="13"/>
      <c r="E1747" s="14"/>
      <c r="F1747" s="14"/>
      <c r="G1747" s="14"/>
      <c r="H1747" s="10"/>
      <c r="I1747" s="17"/>
      <c r="J1747" s="10"/>
      <c r="K1747" s="46"/>
      <c r="L1747" s="10"/>
      <c r="M1747" s="20"/>
      <c r="N1747" s="20"/>
      <c r="O1747" s="20"/>
      <c r="P1747" s="20"/>
    </row>
    <row r="1748">
      <c r="A1748" s="23"/>
      <c r="B1748" s="21"/>
      <c r="C1748" s="23"/>
      <c r="D1748" s="24"/>
      <c r="E1748" s="14"/>
      <c r="F1748" s="14"/>
      <c r="G1748" s="14"/>
      <c r="H1748" s="23"/>
      <c r="I1748" s="27"/>
      <c r="J1748" s="23"/>
      <c r="K1748" s="30"/>
      <c r="L1748" s="23"/>
      <c r="M1748" s="20"/>
      <c r="N1748" s="20"/>
      <c r="O1748" s="20"/>
      <c r="P1748" s="20"/>
    </row>
    <row r="1749">
      <c r="A1749" s="10"/>
      <c r="B1749" s="11"/>
      <c r="C1749" s="10"/>
      <c r="D1749" s="13"/>
      <c r="E1749" s="14"/>
      <c r="F1749" s="14"/>
      <c r="G1749" s="14"/>
      <c r="H1749" s="10"/>
      <c r="I1749" s="17"/>
      <c r="J1749" s="10"/>
      <c r="K1749" s="46"/>
      <c r="L1749" s="10"/>
      <c r="M1749" s="20"/>
      <c r="N1749" s="20"/>
      <c r="O1749" s="20"/>
      <c r="P1749" s="20"/>
    </row>
    <row r="1750">
      <c r="A1750" s="23"/>
      <c r="B1750" s="21"/>
      <c r="C1750" s="23"/>
      <c r="D1750" s="24"/>
      <c r="E1750" s="14"/>
      <c r="F1750" s="14"/>
      <c r="G1750" s="14"/>
      <c r="H1750" s="23"/>
      <c r="I1750" s="27"/>
      <c r="J1750" s="23"/>
      <c r="K1750" s="30"/>
      <c r="L1750" s="23"/>
      <c r="M1750" s="20"/>
      <c r="N1750" s="20"/>
      <c r="O1750" s="20"/>
      <c r="P1750" s="20"/>
    </row>
    <row r="1751">
      <c r="A1751" s="10"/>
      <c r="B1751" s="11"/>
      <c r="C1751" s="10"/>
      <c r="D1751" s="13"/>
      <c r="E1751" s="14"/>
      <c r="F1751" s="14"/>
      <c r="G1751" s="14"/>
      <c r="H1751" s="10"/>
      <c r="I1751" s="17"/>
      <c r="J1751" s="10"/>
      <c r="K1751" s="46"/>
      <c r="L1751" s="10"/>
      <c r="M1751" s="20"/>
      <c r="N1751" s="20"/>
      <c r="O1751" s="20"/>
      <c r="P1751" s="20"/>
    </row>
    <row r="1752">
      <c r="A1752" s="23"/>
      <c r="B1752" s="21"/>
      <c r="C1752" s="23"/>
      <c r="D1752" s="24"/>
      <c r="E1752" s="14"/>
      <c r="F1752" s="14"/>
      <c r="G1752" s="14"/>
      <c r="H1752" s="23"/>
      <c r="I1752" s="27"/>
      <c r="J1752" s="23"/>
      <c r="K1752" s="30"/>
      <c r="L1752" s="23"/>
      <c r="M1752" s="20"/>
      <c r="N1752" s="20"/>
      <c r="O1752" s="20"/>
      <c r="P1752" s="20"/>
    </row>
    <row r="1753">
      <c r="A1753" s="10"/>
      <c r="B1753" s="11"/>
      <c r="C1753" s="10"/>
      <c r="D1753" s="13"/>
      <c r="E1753" s="14"/>
      <c r="F1753" s="14"/>
      <c r="G1753" s="14"/>
      <c r="H1753" s="10"/>
      <c r="I1753" s="17"/>
      <c r="J1753" s="10"/>
      <c r="K1753" s="46"/>
      <c r="L1753" s="10"/>
      <c r="M1753" s="20"/>
      <c r="N1753" s="20"/>
      <c r="O1753" s="20"/>
      <c r="P1753" s="20"/>
    </row>
    <row r="1754">
      <c r="A1754" s="23"/>
      <c r="B1754" s="21"/>
      <c r="C1754" s="23"/>
      <c r="D1754" s="24"/>
      <c r="E1754" s="14"/>
      <c r="F1754" s="14"/>
      <c r="G1754" s="14"/>
      <c r="H1754" s="23"/>
      <c r="I1754" s="27"/>
      <c r="J1754" s="23"/>
      <c r="K1754" s="30"/>
      <c r="L1754" s="23"/>
      <c r="M1754" s="20"/>
      <c r="N1754" s="20"/>
      <c r="O1754" s="20"/>
      <c r="P1754" s="20"/>
    </row>
    <row r="1755">
      <c r="A1755" s="10"/>
      <c r="B1755" s="11"/>
      <c r="C1755" s="10"/>
      <c r="D1755" s="13"/>
      <c r="E1755" s="14"/>
      <c r="F1755" s="14"/>
      <c r="G1755" s="14"/>
      <c r="H1755" s="10"/>
      <c r="I1755" s="17"/>
      <c r="J1755" s="10"/>
      <c r="K1755" s="46"/>
      <c r="L1755" s="10"/>
      <c r="M1755" s="20"/>
      <c r="N1755" s="20"/>
      <c r="O1755" s="20"/>
      <c r="P1755" s="20"/>
    </row>
    <row r="1756">
      <c r="A1756" s="23"/>
      <c r="B1756" s="21"/>
      <c r="C1756" s="23"/>
      <c r="D1756" s="24"/>
      <c r="E1756" s="14"/>
      <c r="F1756" s="14"/>
      <c r="G1756" s="14"/>
      <c r="H1756" s="23"/>
      <c r="I1756" s="27"/>
      <c r="J1756" s="23"/>
      <c r="K1756" s="30"/>
      <c r="L1756" s="23"/>
      <c r="M1756" s="20"/>
      <c r="N1756" s="20"/>
      <c r="O1756" s="20"/>
      <c r="P1756" s="20"/>
    </row>
    <row r="1757">
      <c r="A1757" s="10"/>
      <c r="B1757" s="11"/>
      <c r="C1757" s="10"/>
      <c r="D1757" s="13"/>
      <c r="E1757" s="14"/>
      <c r="F1757" s="14"/>
      <c r="G1757" s="14"/>
      <c r="H1757" s="10"/>
      <c r="I1757" s="17"/>
      <c r="J1757" s="10"/>
      <c r="K1757" s="46"/>
      <c r="L1757" s="10"/>
      <c r="M1757" s="20"/>
      <c r="N1757" s="20"/>
      <c r="O1757" s="20"/>
      <c r="P1757" s="20"/>
    </row>
    <row r="1758">
      <c r="A1758" s="23"/>
      <c r="B1758" s="21"/>
      <c r="C1758" s="23"/>
      <c r="D1758" s="24"/>
      <c r="E1758" s="14"/>
      <c r="F1758" s="14"/>
      <c r="G1758" s="14"/>
      <c r="H1758" s="23"/>
      <c r="I1758" s="27"/>
      <c r="J1758" s="23"/>
      <c r="K1758" s="30"/>
      <c r="L1758" s="23"/>
      <c r="M1758" s="20"/>
      <c r="N1758" s="20"/>
      <c r="O1758" s="20"/>
      <c r="P1758" s="20"/>
    </row>
    <row r="1759">
      <c r="A1759" s="10"/>
      <c r="B1759" s="11"/>
      <c r="C1759" s="10"/>
      <c r="D1759" s="13"/>
      <c r="E1759" s="14"/>
      <c r="F1759" s="14"/>
      <c r="G1759" s="14"/>
      <c r="H1759" s="10"/>
      <c r="I1759" s="17"/>
      <c r="J1759" s="10"/>
      <c r="K1759" s="46"/>
      <c r="L1759" s="10"/>
      <c r="M1759" s="20"/>
      <c r="N1759" s="20"/>
      <c r="O1759" s="20"/>
      <c r="P1759" s="20"/>
    </row>
    <row r="1760">
      <c r="A1760" s="23"/>
      <c r="B1760" s="21"/>
      <c r="C1760" s="23"/>
      <c r="D1760" s="24"/>
      <c r="E1760" s="14"/>
      <c r="F1760" s="14"/>
      <c r="G1760" s="14"/>
      <c r="H1760" s="23"/>
      <c r="I1760" s="27"/>
      <c r="J1760" s="23"/>
      <c r="K1760" s="30"/>
      <c r="L1760" s="23"/>
      <c r="M1760" s="20"/>
      <c r="N1760" s="20"/>
      <c r="O1760" s="20"/>
      <c r="P1760" s="20"/>
    </row>
    <row r="1761">
      <c r="A1761" s="10"/>
      <c r="B1761" s="11"/>
      <c r="C1761" s="10"/>
      <c r="D1761" s="13"/>
      <c r="E1761" s="14"/>
      <c r="F1761" s="14"/>
      <c r="G1761" s="14"/>
      <c r="H1761" s="10"/>
      <c r="I1761" s="17"/>
      <c r="J1761" s="10"/>
      <c r="K1761" s="46"/>
      <c r="L1761" s="10"/>
      <c r="M1761" s="20"/>
      <c r="N1761" s="20"/>
      <c r="O1761" s="20"/>
      <c r="P1761" s="20"/>
    </row>
    <row r="1762">
      <c r="A1762" s="23"/>
      <c r="B1762" s="21"/>
      <c r="C1762" s="23"/>
      <c r="D1762" s="24"/>
      <c r="E1762" s="14"/>
      <c r="F1762" s="14"/>
      <c r="G1762" s="14"/>
      <c r="H1762" s="23"/>
      <c r="I1762" s="27"/>
      <c r="J1762" s="23"/>
      <c r="K1762" s="30"/>
      <c r="L1762" s="23"/>
      <c r="M1762" s="20"/>
      <c r="N1762" s="20"/>
      <c r="O1762" s="20"/>
      <c r="P1762" s="20"/>
    </row>
    <row r="1763">
      <c r="A1763" s="10"/>
      <c r="B1763" s="11"/>
      <c r="C1763" s="10"/>
      <c r="D1763" s="13"/>
      <c r="E1763" s="14"/>
      <c r="F1763" s="14"/>
      <c r="G1763" s="14"/>
      <c r="H1763" s="10"/>
      <c r="I1763" s="17"/>
      <c r="J1763" s="10"/>
      <c r="K1763" s="46"/>
      <c r="L1763" s="10"/>
      <c r="M1763" s="20"/>
      <c r="N1763" s="20"/>
      <c r="O1763" s="20"/>
      <c r="P1763" s="20"/>
    </row>
    <row r="1764">
      <c r="A1764" s="23"/>
      <c r="B1764" s="21"/>
      <c r="C1764" s="23"/>
      <c r="D1764" s="24"/>
      <c r="E1764" s="14"/>
      <c r="F1764" s="14"/>
      <c r="G1764" s="14"/>
      <c r="H1764" s="23"/>
      <c r="I1764" s="27"/>
      <c r="J1764" s="23"/>
      <c r="K1764" s="30"/>
      <c r="L1764" s="23"/>
      <c r="M1764" s="20"/>
      <c r="N1764" s="20"/>
      <c r="O1764" s="20"/>
      <c r="P1764" s="20"/>
    </row>
    <row r="1765">
      <c r="A1765" s="10"/>
      <c r="B1765" s="11"/>
      <c r="C1765" s="10"/>
      <c r="D1765" s="13"/>
      <c r="E1765" s="14"/>
      <c r="F1765" s="14"/>
      <c r="G1765" s="14"/>
      <c r="H1765" s="10"/>
      <c r="I1765" s="17"/>
      <c r="J1765" s="10"/>
      <c r="K1765" s="46"/>
      <c r="L1765" s="10"/>
      <c r="M1765" s="20"/>
      <c r="N1765" s="20"/>
      <c r="O1765" s="20"/>
      <c r="P1765" s="20"/>
    </row>
    <row r="1766">
      <c r="A1766" s="23"/>
      <c r="B1766" s="21"/>
      <c r="C1766" s="23"/>
      <c r="D1766" s="24"/>
      <c r="E1766" s="14"/>
      <c r="F1766" s="14"/>
      <c r="G1766" s="14"/>
      <c r="H1766" s="23"/>
      <c r="I1766" s="27"/>
      <c r="J1766" s="23"/>
      <c r="K1766" s="30"/>
      <c r="L1766" s="23"/>
      <c r="M1766" s="20"/>
      <c r="N1766" s="20"/>
      <c r="O1766" s="20"/>
      <c r="P1766" s="20"/>
    </row>
    <row r="1767">
      <c r="A1767" s="10"/>
      <c r="B1767" s="11"/>
      <c r="C1767" s="10"/>
      <c r="D1767" s="13"/>
      <c r="E1767" s="14"/>
      <c r="F1767" s="14"/>
      <c r="G1767" s="14"/>
      <c r="H1767" s="10"/>
      <c r="I1767" s="17"/>
      <c r="J1767" s="10"/>
      <c r="K1767" s="46"/>
      <c r="L1767" s="10"/>
      <c r="M1767" s="20"/>
      <c r="N1767" s="20"/>
      <c r="O1767" s="20"/>
      <c r="P1767" s="20"/>
    </row>
    <row r="1768">
      <c r="A1768" s="23"/>
      <c r="B1768" s="21"/>
      <c r="C1768" s="23"/>
      <c r="D1768" s="24"/>
      <c r="E1768" s="14"/>
      <c r="F1768" s="14"/>
      <c r="G1768" s="14"/>
      <c r="H1768" s="23"/>
      <c r="I1768" s="27"/>
      <c r="J1768" s="23"/>
      <c r="K1768" s="30"/>
      <c r="L1768" s="23"/>
      <c r="M1768" s="20"/>
      <c r="N1768" s="20"/>
      <c r="O1768" s="20"/>
      <c r="P1768" s="20"/>
    </row>
    <row r="1769">
      <c r="A1769" s="10"/>
      <c r="B1769" s="11"/>
      <c r="C1769" s="10"/>
      <c r="D1769" s="13"/>
      <c r="E1769" s="14"/>
      <c r="F1769" s="14"/>
      <c r="G1769" s="14"/>
      <c r="H1769" s="10"/>
      <c r="I1769" s="17"/>
      <c r="J1769" s="10"/>
      <c r="K1769" s="46"/>
      <c r="L1769" s="10"/>
      <c r="M1769" s="20"/>
      <c r="N1769" s="20"/>
      <c r="O1769" s="20"/>
      <c r="P1769" s="20"/>
    </row>
    <row r="1770">
      <c r="A1770" s="23"/>
      <c r="B1770" s="21"/>
      <c r="C1770" s="23"/>
      <c r="D1770" s="24"/>
      <c r="E1770" s="14"/>
      <c r="F1770" s="14"/>
      <c r="G1770" s="14"/>
      <c r="H1770" s="23"/>
      <c r="I1770" s="27"/>
      <c r="J1770" s="23"/>
      <c r="K1770" s="30"/>
      <c r="L1770" s="23"/>
      <c r="M1770" s="20"/>
      <c r="N1770" s="20"/>
      <c r="O1770" s="20"/>
      <c r="P1770" s="20"/>
    </row>
    <row r="1771">
      <c r="A1771" s="10"/>
      <c r="B1771" s="11"/>
      <c r="C1771" s="10"/>
      <c r="D1771" s="13"/>
      <c r="E1771" s="14"/>
      <c r="F1771" s="14"/>
      <c r="G1771" s="14"/>
      <c r="H1771" s="10"/>
      <c r="I1771" s="17"/>
      <c r="J1771" s="10"/>
      <c r="K1771" s="46"/>
      <c r="L1771" s="10"/>
      <c r="M1771" s="20"/>
      <c r="N1771" s="20"/>
      <c r="O1771" s="20"/>
      <c r="P1771" s="20"/>
    </row>
    <row r="1772">
      <c r="A1772" s="23"/>
      <c r="B1772" s="21"/>
      <c r="C1772" s="23"/>
      <c r="D1772" s="24"/>
      <c r="E1772" s="14"/>
      <c r="F1772" s="14"/>
      <c r="G1772" s="14"/>
      <c r="H1772" s="23"/>
      <c r="I1772" s="27"/>
      <c r="J1772" s="23"/>
      <c r="K1772" s="30"/>
      <c r="L1772" s="23"/>
      <c r="M1772" s="20"/>
      <c r="N1772" s="20"/>
      <c r="O1772" s="20"/>
      <c r="P1772" s="20"/>
    </row>
    <row r="1773">
      <c r="A1773" s="10"/>
      <c r="B1773" s="11"/>
      <c r="C1773" s="10"/>
      <c r="D1773" s="13"/>
      <c r="E1773" s="14"/>
      <c r="F1773" s="14"/>
      <c r="G1773" s="14"/>
      <c r="H1773" s="10"/>
      <c r="I1773" s="17"/>
      <c r="J1773" s="10"/>
      <c r="K1773" s="46"/>
      <c r="L1773" s="10"/>
      <c r="M1773" s="20"/>
      <c r="N1773" s="20"/>
      <c r="O1773" s="20"/>
      <c r="P1773" s="20"/>
    </row>
    <row r="1774">
      <c r="A1774" s="23"/>
      <c r="B1774" s="21"/>
      <c r="C1774" s="23"/>
      <c r="D1774" s="24"/>
      <c r="E1774" s="14"/>
      <c r="F1774" s="14"/>
      <c r="G1774" s="14"/>
      <c r="H1774" s="23"/>
      <c r="I1774" s="27"/>
      <c r="J1774" s="23"/>
      <c r="K1774" s="30"/>
      <c r="L1774" s="23"/>
      <c r="M1774" s="20"/>
      <c r="N1774" s="20"/>
      <c r="O1774" s="20"/>
      <c r="P1774" s="20"/>
    </row>
    <row r="1775">
      <c r="A1775" s="10"/>
      <c r="B1775" s="11"/>
      <c r="C1775" s="10"/>
      <c r="D1775" s="13"/>
      <c r="E1775" s="14"/>
      <c r="F1775" s="14"/>
      <c r="G1775" s="14"/>
      <c r="H1775" s="10"/>
      <c r="I1775" s="17"/>
      <c r="J1775" s="10"/>
      <c r="K1775" s="46"/>
      <c r="L1775" s="10"/>
      <c r="M1775" s="20"/>
      <c r="N1775" s="20"/>
      <c r="O1775" s="20"/>
      <c r="P1775" s="20"/>
    </row>
    <row r="1776">
      <c r="A1776" s="23"/>
      <c r="B1776" s="21"/>
      <c r="C1776" s="23"/>
      <c r="D1776" s="24"/>
      <c r="E1776" s="14"/>
      <c r="F1776" s="14"/>
      <c r="G1776" s="14"/>
      <c r="H1776" s="23"/>
      <c r="I1776" s="27"/>
      <c r="J1776" s="23"/>
      <c r="K1776" s="30"/>
      <c r="L1776" s="23"/>
      <c r="M1776" s="20"/>
      <c r="N1776" s="20"/>
      <c r="O1776" s="20"/>
      <c r="P1776" s="20"/>
    </row>
    <row r="1777">
      <c r="A1777" s="10"/>
      <c r="B1777" s="11"/>
      <c r="C1777" s="10"/>
      <c r="D1777" s="13"/>
      <c r="E1777" s="14"/>
      <c r="F1777" s="14"/>
      <c r="G1777" s="14"/>
      <c r="H1777" s="10"/>
      <c r="I1777" s="17"/>
      <c r="J1777" s="10"/>
      <c r="K1777" s="46"/>
      <c r="L1777" s="10"/>
      <c r="M1777" s="20"/>
      <c r="N1777" s="20"/>
      <c r="O1777" s="20"/>
      <c r="P1777" s="20"/>
    </row>
    <row r="1778">
      <c r="A1778" s="23"/>
      <c r="B1778" s="21"/>
      <c r="C1778" s="23"/>
      <c r="D1778" s="24"/>
      <c r="E1778" s="14"/>
      <c r="F1778" s="14"/>
      <c r="G1778" s="14"/>
      <c r="H1778" s="23"/>
      <c r="I1778" s="27"/>
      <c r="J1778" s="23"/>
      <c r="K1778" s="30"/>
      <c r="L1778" s="23"/>
      <c r="M1778" s="20"/>
      <c r="N1778" s="20"/>
      <c r="O1778" s="20"/>
      <c r="P1778" s="20"/>
    </row>
    <row r="1779">
      <c r="A1779" s="10"/>
      <c r="B1779" s="11"/>
      <c r="C1779" s="10"/>
      <c r="D1779" s="13"/>
      <c r="E1779" s="14"/>
      <c r="F1779" s="14"/>
      <c r="G1779" s="14"/>
      <c r="H1779" s="10"/>
      <c r="I1779" s="17"/>
      <c r="J1779" s="10"/>
      <c r="K1779" s="46"/>
      <c r="L1779" s="10"/>
      <c r="M1779" s="20"/>
      <c r="N1779" s="20"/>
      <c r="O1779" s="20"/>
      <c r="P1779" s="20"/>
    </row>
    <row r="1780">
      <c r="A1780" s="23"/>
      <c r="B1780" s="21"/>
      <c r="C1780" s="23"/>
      <c r="D1780" s="24"/>
      <c r="E1780" s="14"/>
      <c r="F1780" s="14"/>
      <c r="G1780" s="14"/>
      <c r="H1780" s="23"/>
      <c r="I1780" s="27"/>
      <c r="J1780" s="23"/>
      <c r="K1780" s="30"/>
      <c r="L1780" s="23"/>
      <c r="M1780" s="20"/>
      <c r="N1780" s="20"/>
      <c r="O1780" s="20"/>
      <c r="P1780" s="20"/>
    </row>
    <row r="1781">
      <c r="A1781" s="10"/>
      <c r="B1781" s="11"/>
      <c r="C1781" s="10"/>
      <c r="D1781" s="13"/>
      <c r="E1781" s="14"/>
      <c r="F1781" s="14"/>
      <c r="G1781" s="14"/>
      <c r="H1781" s="10"/>
      <c r="I1781" s="17"/>
      <c r="J1781" s="10"/>
      <c r="K1781" s="46"/>
      <c r="L1781" s="10"/>
      <c r="M1781" s="20"/>
      <c r="N1781" s="20"/>
      <c r="O1781" s="20"/>
      <c r="P1781" s="20"/>
    </row>
    <row r="1782">
      <c r="A1782" s="23"/>
      <c r="B1782" s="21"/>
      <c r="C1782" s="23"/>
      <c r="D1782" s="24"/>
      <c r="E1782" s="14"/>
      <c r="F1782" s="14"/>
      <c r="G1782" s="14"/>
      <c r="H1782" s="23"/>
      <c r="I1782" s="27"/>
      <c r="J1782" s="23"/>
      <c r="K1782" s="30"/>
      <c r="L1782" s="23"/>
      <c r="M1782" s="20"/>
      <c r="N1782" s="20"/>
      <c r="O1782" s="20"/>
      <c r="P1782" s="20"/>
    </row>
    <row r="1783">
      <c r="A1783" s="10"/>
      <c r="B1783" s="11"/>
      <c r="C1783" s="10"/>
      <c r="D1783" s="13"/>
      <c r="E1783" s="14"/>
      <c r="F1783" s="14"/>
      <c r="G1783" s="14"/>
      <c r="H1783" s="10"/>
      <c r="I1783" s="17"/>
      <c r="J1783" s="10"/>
      <c r="K1783" s="46"/>
      <c r="L1783" s="10"/>
      <c r="M1783" s="20"/>
      <c r="N1783" s="20"/>
      <c r="O1783" s="20"/>
      <c r="P1783" s="20"/>
    </row>
    <row r="1784">
      <c r="A1784" s="23"/>
      <c r="B1784" s="21"/>
      <c r="C1784" s="23"/>
      <c r="D1784" s="24"/>
      <c r="E1784" s="14"/>
      <c r="F1784" s="14"/>
      <c r="G1784" s="14"/>
      <c r="H1784" s="23"/>
      <c r="I1784" s="27"/>
      <c r="J1784" s="23"/>
      <c r="K1784" s="30"/>
      <c r="L1784" s="23"/>
      <c r="M1784" s="20"/>
      <c r="N1784" s="20"/>
      <c r="O1784" s="20"/>
      <c r="P1784" s="20"/>
    </row>
    <row r="1785">
      <c r="A1785" s="10"/>
      <c r="B1785" s="11"/>
      <c r="C1785" s="10"/>
      <c r="D1785" s="13"/>
      <c r="E1785" s="14"/>
      <c r="F1785" s="14"/>
      <c r="G1785" s="14"/>
      <c r="H1785" s="10"/>
      <c r="I1785" s="17"/>
      <c r="J1785" s="10"/>
      <c r="K1785" s="46"/>
      <c r="L1785" s="10"/>
      <c r="M1785" s="20"/>
      <c r="N1785" s="20"/>
      <c r="O1785" s="20"/>
      <c r="P1785" s="20"/>
    </row>
    <row r="1786">
      <c r="A1786" s="23"/>
      <c r="B1786" s="21"/>
      <c r="C1786" s="23"/>
      <c r="D1786" s="24"/>
      <c r="E1786" s="14"/>
      <c r="F1786" s="14"/>
      <c r="G1786" s="14"/>
      <c r="H1786" s="23"/>
      <c r="I1786" s="27"/>
      <c r="J1786" s="23"/>
      <c r="K1786" s="30"/>
      <c r="L1786" s="23"/>
      <c r="M1786" s="20"/>
      <c r="N1786" s="20"/>
      <c r="O1786" s="20"/>
      <c r="P1786" s="20"/>
    </row>
    <row r="1787">
      <c r="A1787" s="10"/>
      <c r="B1787" s="11"/>
      <c r="C1787" s="10"/>
      <c r="D1787" s="13"/>
      <c r="E1787" s="14"/>
      <c r="F1787" s="14"/>
      <c r="G1787" s="14"/>
      <c r="H1787" s="10"/>
      <c r="I1787" s="17"/>
      <c r="J1787" s="10"/>
      <c r="K1787" s="46"/>
      <c r="L1787" s="10"/>
      <c r="M1787" s="20"/>
      <c r="N1787" s="20"/>
      <c r="O1787" s="20"/>
      <c r="P1787" s="20"/>
    </row>
    <row r="1788">
      <c r="A1788" s="23"/>
      <c r="B1788" s="21"/>
      <c r="C1788" s="23"/>
      <c r="D1788" s="24"/>
      <c r="E1788" s="14"/>
      <c r="F1788" s="14"/>
      <c r="G1788" s="14"/>
      <c r="H1788" s="23"/>
      <c r="I1788" s="27"/>
      <c r="J1788" s="23"/>
      <c r="K1788" s="30"/>
      <c r="L1788" s="23"/>
      <c r="M1788" s="20"/>
      <c r="N1788" s="20"/>
      <c r="O1788" s="20"/>
      <c r="P1788" s="20"/>
    </row>
    <row r="1789">
      <c r="A1789" s="10"/>
      <c r="B1789" s="11"/>
      <c r="C1789" s="10"/>
      <c r="D1789" s="13"/>
      <c r="E1789" s="14"/>
      <c r="F1789" s="14"/>
      <c r="G1789" s="14"/>
      <c r="H1789" s="10"/>
      <c r="I1789" s="17"/>
      <c r="J1789" s="10"/>
      <c r="K1789" s="46"/>
      <c r="L1789" s="10"/>
      <c r="M1789" s="20"/>
      <c r="N1789" s="20"/>
      <c r="O1789" s="20"/>
      <c r="P1789" s="20"/>
    </row>
    <row r="1790">
      <c r="A1790" s="23"/>
      <c r="B1790" s="21"/>
      <c r="C1790" s="23"/>
      <c r="D1790" s="24"/>
      <c r="E1790" s="14"/>
      <c r="F1790" s="14"/>
      <c r="G1790" s="14"/>
      <c r="H1790" s="23"/>
      <c r="I1790" s="27"/>
      <c r="J1790" s="23"/>
      <c r="K1790" s="30"/>
      <c r="L1790" s="23"/>
      <c r="M1790" s="20"/>
      <c r="N1790" s="20"/>
      <c r="O1790" s="20"/>
      <c r="P1790" s="20"/>
    </row>
    <row r="1791">
      <c r="A1791" s="10"/>
      <c r="B1791" s="11"/>
      <c r="C1791" s="10"/>
      <c r="D1791" s="13"/>
      <c r="E1791" s="14"/>
      <c r="F1791" s="14"/>
      <c r="G1791" s="14"/>
      <c r="H1791" s="10"/>
      <c r="I1791" s="17"/>
      <c r="J1791" s="10"/>
      <c r="K1791" s="46"/>
      <c r="L1791" s="10"/>
      <c r="M1791" s="20"/>
      <c r="N1791" s="20"/>
      <c r="O1791" s="20"/>
      <c r="P1791" s="20"/>
    </row>
    <row r="1792">
      <c r="A1792" s="23"/>
      <c r="B1792" s="21"/>
      <c r="C1792" s="23"/>
      <c r="D1792" s="24"/>
      <c r="E1792" s="14"/>
      <c r="F1792" s="14"/>
      <c r="G1792" s="14"/>
      <c r="H1792" s="23"/>
      <c r="I1792" s="27"/>
      <c r="J1792" s="23"/>
      <c r="K1792" s="30"/>
      <c r="L1792" s="23"/>
      <c r="M1792" s="20"/>
      <c r="N1792" s="20"/>
      <c r="O1792" s="20"/>
      <c r="P1792" s="20"/>
    </row>
    <row r="1793">
      <c r="A1793" s="10"/>
      <c r="B1793" s="11"/>
      <c r="C1793" s="10"/>
      <c r="D1793" s="13"/>
      <c r="E1793" s="14"/>
      <c r="F1793" s="14"/>
      <c r="G1793" s="14"/>
      <c r="H1793" s="10"/>
      <c r="I1793" s="17"/>
      <c r="J1793" s="10"/>
      <c r="K1793" s="46"/>
      <c r="L1793" s="10"/>
      <c r="M1793" s="20"/>
      <c r="N1793" s="20"/>
      <c r="O1793" s="20"/>
      <c r="P1793" s="20"/>
    </row>
    <row r="1794">
      <c r="A1794" s="23"/>
      <c r="B1794" s="21"/>
      <c r="C1794" s="23"/>
      <c r="D1794" s="24"/>
      <c r="E1794" s="14"/>
      <c r="F1794" s="14"/>
      <c r="G1794" s="14"/>
      <c r="H1794" s="23"/>
      <c r="I1794" s="27"/>
      <c r="J1794" s="23"/>
      <c r="K1794" s="30"/>
      <c r="L1794" s="23"/>
      <c r="M1794" s="20"/>
      <c r="N1794" s="20"/>
      <c r="O1794" s="20"/>
      <c r="P1794" s="20"/>
    </row>
    <row r="1795">
      <c r="A1795" s="10"/>
      <c r="B1795" s="11"/>
      <c r="C1795" s="10"/>
      <c r="D1795" s="13"/>
      <c r="E1795" s="14"/>
      <c r="F1795" s="14"/>
      <c r="G1795" s="14"/>
      <c r="H1795" s="10"/>
      <c r="I1795" s="17"/>
      <c r="J1795" s="10"/>
      <c r="K1795" s="46"/>
      <c r="L1795" s="10"/>
      <c r="M1795" s="20"/>
      <c r="N1795" s="20"/>
      <c r="O1795" s="20"/>
      <c r="P1795" s="20"/>
    </row>
    <row r="1796">
      <c r="A1796" s="23"/>
      <c r="B1796" s="21"/>
      <c r="C1796" s="23"/>
      <c r="D1796" s="24"/>
      <c r="E1796" s="14"/>
      <c r="F1796" s="14"/>
      <c r="G1796" s="14"/>
      <c r="H1796" s="23"/>
      <c r="I1796" s="27"/>
      <c r="J1796" s="23"/>
      <c r="K1796" s="30"/>
      <c r="L1796" s="23"/>
      <c r="M1796" s="20"/>
      <c r="N1796" s="20"/>
      <c r="O1796" s="20"/>
      <c r="P1796" s="20"/>
    </row>
    <row r="1797">
      <c r="A1797" s="10"/>
      <c r="B1797" s="11"/>
      <c r="C1797" s="10"/>
      <c r="D1797" s="13"/>
      <c r="E1797" s="14"/>
      <c r="F1797" s="14"/>
      <c r="G1797" s="14"/>
      <c r="H1797" s="10"/>
      <c r="I1797" s="17"/>
      <c r="J1797" s="10"/>
      <c r="K1797" s="46"/>
      <c r="L1797" s="10"/>
      <c r="M1797" s="20"/>
      <c r="N1797" s="20"/>
      <c r="O1797" s="20"/>
      <c r="P1797" s="20"/>
    </row>
    <row r="1798">
      <c r="A1798" s="23"/>
      <c r="B1798" s="21"/>
      <c r="C1798" s="23"/>
      <c r="D1798" s="24"/>
      <c r="E1798" s="14"/>
      <c r="F1798" s="14"/>
      <c r="G1798" s="14"/>
      <c r="H1798" s="23"/>
      <c r="I1798" s="27"/>
      <c r="J1798" s="23"/>
      <c r="K1798" s="30"/>
      <c r="L1798" s="23"/>
      <c r="M1798" s="20"/>
      <c r="N1798" s="20"/>
      <c r="O1798" s="20"/>
      <c r="P1798" s="20"/>
    </row>
    <row r="1799">
      <c r="A1799" s="10"/>
      <c r="B1799" s="11"/>
      <c r="C1799" s="10"/>
      <c r="D1799" s="13"/>
      <c r="E1799" s="14"/>
      <c r="F1799" s="14"/>
      <c r="G1799" s="14"/>
      <c r="H1799" s="10"/>
      <c r="I1799" s="17"/>
      <c r="J1799" s="10"/>
      <c r="K1799" s="46"/>
      <c r="L1799" s="10"/>
      <c r="M1799" s="20"/>
      <c r="N1799" s="20"/>
      <c r="O1799" s="20"/>
      <c r="P1799" s="20"/>
    </row>
    <row r="1800">
      <c r="A1800" s="23"/>
      <c r="B1800" s="21"/>
      <c r="C1800" s="23"/>
      <c r="D1800" s="24"/>
      <c r="E1800" s="14"/>
      <c r="F1800" s="14"/>
      <c r="G1800" s="14"/>
      <c r="H1800" s="23"/>
      <c r="I1800" s="27"/>
      <c r="J1800" s="23"/>
      <c r="K1800" s="30"/>
      <c r="L1800" s="23"/>
      <c r="M1800" s="20"/>
      <c r="N1800" s="20"/>
      <c r="O1800" s="20"/>
      <c r="P1800" s="20"/>
    </row>
    <row r="1801">
      <c r="A1801" s="10"/>
      <c r="B1801" s="11"/>
      <c r="C1801" s="10"/>
      <c r="D1801" s="13"/>
      <c r="E1801" s="14"/>
      <c r="F1801" s="14"/>
      <c r="G1801" s="14"/>
      <c r="H1801" s="10"/>
      <c r="I1801" s="17"/>
      <c r="J1801" s="10"/>
      <c r="K1801" s="46"/>
      <c r="L1801" s="10"/>
      <c r="M1801" s="20"/>
      <c r="N1801" s="20"/>
      <c r="O1801" s="20"/>
      <c r="P1801" s="20"/>
    </row>
    <row r="1802">
      <c r="A1802" s="23"/>
      <c r="B1802" s="21"/>
      <c r="C1802" s="23"/>
      <c r="D1802" s="24"/>
      <c r="E1802" s="14"/>
      <c r="F1802" s="14"/>
      <c r="G1802" s="14"/>
      <c r="H1802" s="23"/>
      <c r="I1802" s="27"/>
      <c r="J1802" s="23"/>
      <c r="K1802" s="30"/>
      <c r="L1802" s="23"/>
      <c r="M1802" s="20"/>
      <c r="N1802" s="20"/>
      <c r="O1802" s="20"/>
      <c r="P1802" s="20"/>
    </row>
    <row r="1803">
      <c r="A1803" s="10"/>
      <c r="B1803" s="11"/>
      <c r="C1803" s="10"/>
      <c r="D1803" s="13"/>
      <c r="E1803" s="14"/>
      <c r="F1803" s="14"/>
      <c r="G1803" s="14"/>
      <c r="H1803" s="10"/>
      <c r="I1803" s="17"/>
      <c r="J1803" s="10"/>
      <c r="K1803" s="46"/>
      <c r="L1803" s="10"/>
      <c r="M1803" s="20"/>
      <c r="N1803" s="20"/>
      <c r="O1803" s="20"/>
      <c r="P1803" s="20"/>
    </row>
    <row r="1804">
      <c r="A1804" s="23"/>
      <c r="B1804" s="21"/>
      <c r="C1804" s="23"/>
      <c r="D1804" s="24"/>
      <c r="E1804" s="14"/>
      <c r="F1804" s="14"/>
      <c r="G1804" s="14"/>
      <c r="H1804" s="23"/>
      <c r="I1804" s="27"/>
      <c r="J1804" s="23"/>
      <c r="K1804" s="30"/>
      <c r="L1804" s="23"/>
      <c r="M1804" s="20"/>
      <c r="N1804" s="20"/>
      <c r="O1804" s="20"/>
      <c r="P1804" s="20"/>
    </row>
    <row r="1805">
      <c r="A1805" s="10"/>
      <c r="B1805" s="11"/>
      <c r="C1805" s="10"/>
      <c r="D1805" s="13"/>
      <c r="E1805" s="14"/>
      <c r="F1805" s="14"/>
      <c r="G1805" s="14"/>
      <c r="H1805" s="10"/>
      <c r="I1805" s="17"/>
      <c r="J1805" s="10"/>
      <c r="K1805" s="46"/>
      <c r="L1805" s="10"/>
      <c r="M1805" s="20"/>
      <c r="N1805" s="20"/>
      <c r="O1805" s="20"/>
      <c r="P1805" s="20"/>
    </row>
    <row r="1806">
      <c r="A1806" s="23"/>
      <c r="B1806" s="21"/>
      <c r="C1806" s="23"/>
      <c r="D1806" s="24"/>
      <c r="E1806" s="14"/>
      <c r="F1806" s="14"/>
      <c r="G1806" s="14"/>
      <c r="H1806" s="23"/>
      <c r="I1806" s="27"/>
      <c r="J1806" s="23"/>
      <c r="K1806" s="30"/>
      <c r="L1806" s="23"/>
      <c r="M1806" s="20"/>
      <c r="N1806" s="20"/>
      <c r="O1806" s="20"/>
      <c r="P1806" s="20"/>
    </row>
    <row r="1807">
      <c r="A1807" s="10"/>
      <c r="B1807" s="11"/>
      <c r="C1807" s="10"/>
      <c r="D1807" s="13"/>
      <c r="E1807" s="14"/>
      <c r="F1807" s="14"/>
      <c r="G1807" s="14"/>
      <c r="H1807" s="10"/>
      <c r="I1807" s="17"/>
      <c r="J1807" s="10"/>
      <c r="K1807" s="46"/>
      <c r="L1807" s="10"/>
      <c r="M1807" s="20"/>
      <c r="N1807" s="20"/>
      <c r="O1807" s="20"/>
      <c r="P1807" s="20"/>
    </row>
    <row r="1808">
      <c r="A1808" s="23"/>
      <c r="B1808" s="21"/>
      <c r="C1808" s="23"/>
      <c r="D1808" s="24"/>
      <c r="E1808" s="14"/>
      <c r="F1808" s="14"/>
      <c r="G1808" s="14"/>
      <c r="H1808" s="23"/>
      <c r="I1808" s="27"/>
      <c r="J1808" s="23"/>
      <c r="K1808" s="30"/>
      <c r="L1808" s="23"/>
      <c r="M1808" s="20"/>
      <c r="N1808" s="20"/>
      <c r="O1808" s="20"/>
      <c r="P1808" s="20"/>
    </row>
    <row r="1809">
      <c r="A1809" s="10"/>
      <c r="B1809" s="11"/>
      <c r="C1809" s="10"/>
      <c r="D1809" s="13"/>
      <c r="E1809" s="14"/>
      <c r="F1809" s="14"/>
      <c r="G1809" s="14"/>
      <c r="H1809" s="10"/>
      <c r="I1809" s="17"/>
      <c r="J1809" s="10"/>
      <c r="K1809" s="46"/>
      <c r="L1809" s="10"/>
      <c r="M1809" s="20"/>
      <c r="N1809" s="20"/>
      <c r="O1809" s="20"/>
      <c r="P1809" s="20"/>
    </row>
    <row r="1810">
      <c r="A1810" s="23"/>
      <c r="B1810" s="21"/>
      <c r="C1810" s="23"/>
      <c r="D1810" s="24"/>
      <c r="E1810" s="14"/>
      <c r="F1810" s="14"/>
      <c r="G1810" s="14"/>
      <c r="H1810" s="23"/>
      <c r="I1810" s="27"/>
      <c r="J1810" s="23"/>
      <c r="K1810" s="30"/>
      <c r="L1810" s="23"/>
      <c r="M1810" s="20"/>
      <c r="N1810" s="20"/>
      <c r="O1810" s="20"/>
      <c r="P1810" s="20"/>
    </row>
    <row r="1811">
      <c r="A1811" s="10"/>
      <c r="B1811" s="11"/>
      <c r="C1811" s="10"/>
      <c r="D1811" s="13"/>
      <c r="E1811" s="14"/>
      <c r="F1811" s="14"/>
      <c r="G1811" s="14"/>
      <c r="H1811" s="10"/>
      <c r="I1811" s="17"/>
      <c r="J1811" s="10"/>
      <c r="K1811" s="46"/>
      <c r="L1811" s="10"/>
      <c r="M1811" s="20"/>
      <c r="N1811" s="20"/>
      <c r="O1811" s="20"/>
      <c r="P1811" s="20"/>
    </row>
    <row r="1812">
      <c r="A1812" s="23"/>
      <c r="B1812" s="21"/>
      <c r="C1812" s="23"/>
      <c r="D1812" s="24"/>
      <c r="E1812" s="14"/>
      <c r="F1812" s="14"/>
      <c r="G1812" s="14"/>
      <c r="H1812" s="23"/>
      <c r="I1812" s="27"/>
      <c r="J1812" s="23"/>
      <c r="K1812" s="30"/>
      <c r="L1812" s="23"/>
      <c r="M1812" s="20"/>
      <c r="N1812" s="20"/>
      <c r="O1812" s="20"/>
      <c r="P1812" s="20"/>
    </row>
    <row r="1813">
      <c r="A1813" s="10"/>
      <c r="B1813" s="11"/>
      <c r="C1813" s="10"/>
      <c r="D1813" s="13"/>
      <c r="E1813" s="14"/>
      <c r="F1813" s="14"/>
      <c r="G1813" s="14"/>
      <c r="H1813" s="10"/>
      <c r="I1813" s="17"/>
      <c r="J1813" s="10"/>
      <c r="K1813" s="46"/>
      <c r="L1813" s="10"/>
      <c r="M1813" s="20"/>
      <c r="N1813" s="20"/>
      <c r="O1813" s="20"/>
      <c r="P1813" s="20"/>
    </row>
    <row r="1814">
      <c r="A1814" s="23"/>
      <c r="B1814" s="21"/>
      <c r="C1814" s="23"/>
      <c r="D1814" s="24"/>
      <c r="E1814" s="14"/>
      <c r="F1814" s="14"/>
      <c r="G1814" s="14"/>
      <c r="H1814" s="23"/>
      <c r="I1814" s="27"/>
      <c r="J1814" s="23"/>
      <c r="K1814" s="30"/>
      <c r="L1814" s="23"/>
      <c r="M1814" s="20"/>
      <c r="N1814" s="20"/>
      <c r="O1814" s="20"/>
      <c r="P1814" s="20"/>
    </row>
    <row r="1815">
      <c r="A1815" s="10"/>
      <c r="B1815" s="11"/>
      <c r="C1815" s="10"/>
      <c r="D1815" s="13"/>
      <c r="E1815" s="14"/>
      <c r="F1815" s="14"/>
      <c r="G1815" s="14"/>
      <c r="H1815" s="10"/>
      <c r="I1815" s="17"/>
      <c r="J1815" s="10"/>
      <c r="K1815" s="46"/>
      <c r="L1815" s="10"/>
      <c r="M1815" s="20"/>
      <c r="N1815" s="20"/>
      <c r="O1815" s="20"/>
      <c r="P1815" s="20"/>
    </row>
    <row r="1816">
      <c r="A1816" s="23"/>
      <c r="B1816" s="21"/>
      <c r="C1816" s="23"/>
      <c r="D1816" s="24"/>
      <c r="E1816" s="14"/>
      <c r="F1816" s="14"/>
      <c r="G1816" s="14"/>
      <c r="H1816" s="23"/>
      <c r="I1816" s="27"/>
      <c r="J1816" s="23"/>
      <c r="K1816" s="30"/>
      <c r="L1816" s="23"/>
      <c r="M1816" s="20"/>
      <c r="N1816" s="20"/>
      <c r="O1816" s="20"/>
      <c r="P1816" s="20"/>
    </row>
    <row r="1817">
      <c r="A1817" s="10"/>
      <c r="B1817" s="11"/>
      <c r="C1817" s="10"/>
      <c r="D1817" s="13"/>
      <c r="E1817" s="14"/>
      <c r="F1817" s="14"/>
      <c r="G1817" s="14"/>
      <c r="H1817" s="10"/>
      <c r="I1817" s="17"/>
      <c r="J1817" s="10"/>
      <c r="K1817" s="46"/>
      <c r="L1817" s="10"/>
      <c r="M1817" s="20"/>
      <c r="N1817" s="20"/>
      <c r="O1817" s="20"/>
      <c r="P1817" s="20"/>
    </row>
    <row r="1818">
      <c r="A1818" s="23"/>
      <c r="B1818" s="21"/>
      <c r="C1818" s="23"/>
      <c r="D1818" s="24"/>
      <c r="E1818" s="14"/>
      <c r="F1818" s="14"/>
      <c r="G1818" s="14"/>
      <c r="H1818" s="23"/>
      <c r="I1818" s="27"/>
      <c r="J1818" s="23"/>
      <c r="K1818" s="30"/>
      <c r="L1818" s="23"/>
      <c r="M1818" s="20"/>
      <c r="N1818" s="20"/>
      <c r="O1818" s="20"/>
      <c r="P1818" s="20"/>
    </row>
    <row r="1819">
      <c r="A1819" s="10"/>
      <c r="B1819" s="11"/>
      <c r="C1819" s="10"/>
      <c r="D1819" s="13"/>
      <c r="E1819" s="14"/>
      <c r="F1819" s="14"/>
      <c r="G1819" s="14"/>
      <c r="H1819" s="10"/>
      <c r="I1819" s="17"/>
      <c r="J1819" s="10"/>
      <c r="K1819" s="46"/>
      <c r="L1819" s="10"/>
      <c r="M1819" s="20"/>
      <c r="N1819" s="20"/>
      <c r="O1819" s="20"/>
      <c r="P1819" s="20"/>
    </row>
    <row r="1820">
      <c r="A1820" s="23"/>
      <c r="B1820" s="21"/>
      <c r="C1820" s="23"/>
      <c r="D1820" s="24"/>
      <c r="E1820" s="14"/>
      <c r="F1820" s="14"/>
      <c r="G1820" s="14"/>
      <c r="H1820" s="23"/>
      <c r="I1820" s="27"/>
      <c r="J1820" s="23"/>
      <c r="K1820" s="30"/>
      <c r="L1820" s="23"/>
      <c r="M1820" s="20"/>
      <c r="N1820" s="20"/>
      <c r="O1820" s="20"/>
      <c r="P1820" s="20"/>
    </row>
    <row r="1821">
      <c r="A1821" s="10"/>
      <c r="B1821" s="11"/>
      <c r="C1821" s="10"/>
      <c r="D1821" s="13"/>
      <c r="E1821" s="14"/>
      <c r="F1821" s="14"/>
      <c r="G1821" s="14"/>
      <c r="H1821" s="10"/>
      <c r="I1821" s="17"/>
      <c r="J1821" s="10"/>
      <c r="K1821" s="46"/>
      <c r="L1821" s="10"/>
      <c r="M1821" s="20"/>
      <c r="N1821" s="20"/>
      <c r="O1821" s="20"/>
      <c r="P1821" s="20"/>
    </row>
    <row r="1822">
      <c r="A1822" s="23"/>
      <c r="B1822" s="21"/>
      <c r="C1822" s="23"/>
      <c r="D1822" s="24"/>
      <c r="E1822" s="14"/>
      <c r="F1822" s="14"/>
      <c r="G1822" s="14"/>
      <c r="H1822" s="23"/>
      <c r="I1822" s="27"/>
      <c r="J1822" s="23"/>
      <c r="K1822" s="30"/>
      <c r="L1822" s="23"/>
      <c r="M1822" s="20"/>
      <c r="N1822" s="20"/>
      <c r="O1822" s="20"/>
      <c r="P1822" s="20"/>
    </row>
    <row r="1823">
      <c r="A1823" s="10"/>
      <c r="B1823" s="11"/>
      <c r="C1823" s="10"/>
      <c r="D1823" s="13"/>
      <c r="E1823" s="14"/>
      <c r="F1823" s="14"/>
      <c r="G1823" s="14"/>
      <c r="H1823" s="10"/>
      <c r="I1823" s="17"/>
      <c r="J1823" s="10"/>
      <c r="K1823" s="46"/>
      <c r="L1823" s="10"/>
      <c r="M1823" s="20"/>
      <c r="N1823" s="20"/>
      <c r="O1823" s="20"/>
      <c r="P1823" s="20"/>
    </row>
    <row r="1824">
      <c r="A1824" s="23"/>
      <c r="B1824" s="21"/>
      <c r="C1824" s="23"/>
      <c r="D1824" s="24"/>
      <c r="E1824" s="14"/>
      <c r="F1824" s="14"/>
      <c r="G1824" s="14"/>
      <c r="H1824" s="23"/>
      <c r="I1824" s="27"/>
      <c r="J1824" s="23"/>
      <c r="K1824" s="30"/>
      <c r="L1824" s="23"/>
      <c r="M1824" s="20"/>
      <c r="N1824" s="20"/>
      <c r="O1824" s="20"/>
      <c r="P1824" s="20"/>
    </row>
    <row r="1825">
      <c r="A1825" s="10"/>
      <c r="B1825" s="11"/>
      <c r="C1825" s="10"/>
      <c r="D1825" s="13"/>
      <c r="E1825" s="14"/>
      <c r="F1825" s="14"/>
      <c r="G1825" s="14"/>
      <c r="H1825" s="10"/>
      <c r="I1825" s="17"/>
      <c r="J1825" s="10"/>
      <c r="K1825" s="46"/>
      <c r="L1825" s="10"/>
      <c r="M1825" s="20"/>
      <c r="N1825" s="20"/>
      <c r="O1825" s="20"/>
      <c r="P1825" s="20"/>
    </row>
    <row r="1826">
      <c r="A1826" s="23"/>
      <c r="B1826" s="21"/>
      <c r="C1826" s="23"/>
      <c r="D1826" s="24"/>
      <c r="E1826" s="14"/>
      <c r="F1826" s="14"/>
      <c r="G1826" s="14"/>
      <c r="H1826" s="23"/>
      <c r="I1826" s="27"/>
      <c r="J1826" s="23"/>
      <c r="K1826" s="30"/>
      <c r="L1826" s="23"/>
      <c r="M1826" s="20"/>
      <c r="N1826" s="20"/>
      <c r="O1826" s="20"/>
      <c r="P1826" s="20"/>
    </row>
    <row r="1827">
      <c r="A1827" s="10"/>
      <c r="B1827" s="11"/>
      <c r="C1827" s="10"/>
      <c r="D1827" s="13"/>
      <c r="E1827" s="14"/>
      <c r="F1827" s="14"/>
      <c r="G1827" s="14"/>
      <c r="H1827" s="10"/>
      <c r="I1827" s="17"/>
      <c r="J1827" s="10"/>
      <c r="K1827" s="46"/>
      <c r="L1827" s="10"/>
      <c r="M1827" s="20"/>
      <c r="N1827" s="20"/>
      <c r="O1827" s="20"/>
      <c r="P1827" s="20"/>
    </row>
    <row r="1828">
      <c r="A1828" s="23"/>
      <c r="B1828" s="21"/>
      <c r="C1828" s="23"/>
      <c r="D1828" s="24"/>
      <c r="E1828" s="14"/>
      <c r="F1828" s="14"/>
      <c r="G1828" s="14"/>
      <c r="H1828" s="23"/>
      <c r="I1828" s="27"/>
      <c r="J1828" s="23"/>
      <c r="K1828" s="30"/>
      <c r="L1828" s="23"/>
      <c r="M1828" s="20"/>
      <c r="N1828" s="20"/>
      <c r="O1828" s="20"/>
      <c r="P1828" s="20"/>
    </row>
    <row r="1829">
      <c r="A1829" s="10"/>
      <c r="B1829" s="11"/>
      <c r="C1829" s="10"/>
      <c r="D1829" s="13"/>
      <c r="E1829" s="14"/>
      <c r="F1829" s="14"/>
      <c r="G1829" s="14"/>
      <c r="H1829" s="10"/>
      <c r="I1829" s="17"/>
      <c r="J1829" s="10"/>
      <c r="K1829" s="46"/>
      <c r="L1829" s="10"/>
      <c r="M1829" s="20"/>
      <c r="N1829" s="20"/>
      <c r="O1829" s="20"/>
      <c r="P1829" s="20"/>
    </row>
    <row r="1830">
      <c r="A1830" s="23"/>
      <c r="B1830" s="21"/>
      <c r="C1830" s="23"/>
      <c r="D1830" s="24"/>
      <c r="E1830" s="14"/>
      <c r="F1830" s="14"/>
      <c r="G1830" s="14"/>
      <c r="H1830" s="23"/>
      <c r="I1830" s="27"/>
      <c r="J1830" s="23"/>
      <c r="K1830" s="30"/>
      <c r="L1830" s="23"/>
      <c r="M1830" s="20"/>
      <c r="N1830" s="20"/>
      <c r="O1830" s="20"/>
      <c r="P1830" s="20"/>
    </row>
    <row r="1831">
      <c r="A1831" s="10"/>
      <c r="B1831" s="11"/>
      <c r="C1831" s="10"/>
      <c r="D1831" s="13"/>
      <c r="E1831" s="14"/>
      <c r="F1831" s="14"/>
      <c r="G1831" s="14"/>
      <c r="H1831" s="10"/>
      <c r="I1831" s="17"/>
      <c r="J1831" s="10"/>
      <c r="K1831" s="46"/>
      <c r="L1831" s="10"/>
      <c r="M1831" s="20"/>
      <c r="N1831" s="20"/>
      <c r="O1831" s="20"/>
      <c r="P1831" s="20"/>
    </row>
    <row r="1832">
      <c r="A1832" s="23"/>
      <c r="B1832" s="21"/>
      <c r="C1832" s="23"/>
      <c r="D1832" s="24"/>
      <c r="E1832" s="14"/>
      <c r="F1832" s="14"/>
      <c r="G1832" s="14"/>
      <c r="H1832" s="23"/>
      <c r="I1832" s="27"/>
      <c r="J1832" s="23"/>
      <c r="K1832" s="30"/>
      <c r="L1832" s="23"/>
      <c r="M1832" s="20"/>
      <c r="N1832" s="20"/>
      <c r="O1832" s="20"/>
      <c r="P1832" s="20"/>
    </row>
    <row r="1833">
      <c r="A1833" s="10"/>
      <c r="B1833" s="11"/>
      <c r="C1833" s="10"/>
      <c r="D1833" s="13"/>
      <c r="E1833" s="14"/>
      <c r="F1833" s="14"/>
      <c r="G1833" s="14"/>
      <c r="H1833" s="10"/>
      <c r="I1833" s="17"/>
      <c r="J1833" s="10"/>
      <c r="K1833" s="46"/>
      <c r="L1833" s="10"/>
      <c r="M1833" s="20"/>
      <c r="N1833" s="20"/>
      <c r="O1833" s="20"/>
      <c r="P1833" s="20"/>
    </row>
    <row r="1834">
      <c r="A1834" s="23"/>
      <c r="B1834" s="21"/>
      <c r="C1834" s="23"/>
      <c r="D1834" s="24"/>
      <c r="E1834" s="14"/>
      <c r="F1834" s="14"/>
      <c r="G1834" s="14"/>
      <c r="H1834" s="23"/>
      <c r="I1834" s="27"/>
      <c r="J1834" s="23"/>
      <c r="K1834" s="30"/>
      <c r="L1834" s="23"/>
      <c r="M1834" s="20"/>
      <c r="N1834" s="20"/>
      <c r="O1834" s="20"/>
      <c r="P1834" s="20"/>
    </row>
    <row r="1835">
      <c r="A1835" s="10"/>
      <c r="B1835" s="11"/>
      <c r="C1835" s="10"/>
      <c r="D1835" s="13"/>
      <c r="E1835" s="14"/>
      <c r="F1835" s="14"/>
      <c r="G1835" s="14"/>
      <c r="H1835" s="10"/>
      <c r="I1835" s="17"/>
      <c r="J1835" s="10"/>
      <c r="K1835" s="46"/>
      <c r="L1835" s="10"/>
      <c r="M1835" s="20"/>
      <c r="N1835" s="20"/>
      <c r="O1835" s="20"/>
      <c r="P1835" s="20"/>
    </row>
    <row r="1836">
      <c r="A1836" s="23"/>
      <c r="B1836" s="21"/>
      <c r="C1836" s="23"/>
      <c r="D1836" s="24"/>
      <c r="E1836" s="14"/>
      <c r="F1836" s="14"/>
      <c r="G1836" s="14"/>
      <c r="H1836" s="23"/>
      <c r="I1836" s="27"/>
      <c r="J1836" s="23"/>
      <c r="K1836" s="30"/>
      <c r="L1836" s="23"/>
      <c r="M1836" s="20"/>
      <c r="N1836" s="20"/>
      <c r="O1836" s="20"/>
      <c r="P1836" s="20"/>
    </row>
    <row r="1837">
      <c r="A1837" s="10"/>
      <c r="B1837" s="11"/>
      <c r="C1837" s="10"/>
      <c r="D1837" s="13"/>
      <c r="E1837" s="14"/>
      <c r="F1837" s="14"/>
      <c r="G1837" s="14"/>
      <c r="H1837" s="10"/>
      <c r="I1837" s="17"/>
      <c r="J1837" s="10"/>
      <c r="K1837" s="46"/>
      <c r="L1837" s="10"/>
      <c r="M1837" s="20"/>
      <c r="N1837" s="20"/>
      <c r="O1837" s="20"/>
      <c r="P1837" s="20"/>
    </row>
    <row r="1838">
      <c r="A1838" s="23"/>
      <c r="B1838" s="21"/>
      <c r="C1838" s="23"/>
      <c r="D1838" s="24"/>
      <c r="E1838" s="14"/>
      <c r="F1838" s="14"/>
      <c r="G1838" s="14"/>
      <c r="H1838" s="23"/>
      <c r="I1838" s="27"/>
      <c r="J1838" s="23"/>
      <c r="K1838" s="30"/>
      <c r="L1838" s="23"/>
      <c r="M1838" s="20"/>
      <c r="N1838" s="20"/>
      <c r="O1838" s="20"/>
      <c r="P1838" s="20"/>
    </row>
    <row r="1839">
      <c r="A1839" s="10"/>
      <c r="B1839" s="11"/>
      <c r="C1839" s="10"/>
      <c r="D1839" s="13"/>
      <c r="E1839" s="14"/>
      <c r="F1839" s="14"/>
      <c r="G1839" s="14"/>
      <c r="H1839" s="10"/>
      <c r="I1839" s="17"/>
      <c r="J1839" s="10"/>
      <c r="K1839" s="46"/>
      <c r="L1839" s="10"/>
      <c r="M1839" s="20"/>
      <c r="N1839" s="20"/>
      <c r="O1839" s="20"/>
      <c r="P1839" s="20"/>
    </row>
    <row r="1840">
      <c r="A1840" s="23"/>
      <c r="B1840" s="21"/>
      <c r="C1840" s="23"/>
      <c r="D1840" s="24"/>
      <c r="E1840" s="14"/>
      <c r="F1840" s="14"/>
      <c r="G1840" s="14"/>
      <c r="H1840" s="23"/>
      <c r="I1840" s="27"/>
      <c r="J1840" s="23"/>
      <c r="K1840" s="30"/>
      <c r="L1840" s="23"/>
      <c r="M1840" s="20"/>
      <c r="N1840" s="20"/>
      <c r="O1840" s="20"/>
      <c r="P1840" s="20"/>
    </row>
    <row r="1841">
      <c r="A1841" s="10"/>
      <c r="B1841" s="11"/>
      <c r="C1841" s="10"/>
      <c r="D1841" s="13"/>
      <c r="E1841" s="14"/>
      <c r="F1841" s="14"/>
      <c r="G1841" s="14"/>
      <c r="H1841" s="10"/>
      <c r="I1841" s="17"/>
      <c r="J1841" s="10"/>
      <c r="K1841" s="46"/>
      <c r="L1841" s="10"/>
      <c r="M1841" s="20"/>
      <c r="N1841" s="20"/>
      <c r="O1841" s="20"/>
      <c r="P1841" s="20"/>
    </row>
    <row r="1842">
      <c r="A1842" s="23"/>
      <c r="B1842" s="21"/>
      <c r="C1842" s="23"/>
      <c r="D1842" s="24"/>
      <c r="E1842" s="14"/>
      <c r="F1842" s="14"/>
      <c r="G1842" s="14"/>
      <c r="H1842" s="23"/>
      <c r="I1842" s="27"/>
      <c r="J1842" s="23"/>
      <c r="K1842" s="30"/>
      <c r="L1842" s="23"/>
      <c r="M1842" s="20"/>
      <c r="N1842" s="20"/>
      <c r="O1842" s="20"/>
      <c r="P1842" s="20"/>
    </row>
    <row r="1843">
      <c r="A1843" s="10"/>
      <c r="B1843" s="11"/>
      <c r="C1843" s="10"/>
      <c r="D1843" s="13"/>
      <c r="E1843" s="14"/>
      <c r="F1843" s="14"/>
      <c r="G1843" s="14"/>
      <c r="H1843" s="10"/>
      <c r="I1843" s="17"/>
      <c r="J1843" s="10"/>
      <c r="K1843" s="46"/>
      <c r="L1843" s="10"/>
      <c r="M1843" s="20"/>
      <c r="N1843" s="20"/>
      <c r="O1843" s="20"/>
      <c r="P1843" s="20"/>
    </row>
    <row r="1844">
      <c r="A1844" s="23"/>
      <c r="B1844" s="21"/>
      <c r="C1844" s="23"/>
      <c r="D1844" s="24"/>
      <c r="E1844" s="14"/>
      <c r="F1844" s="14"/>
      <c r="G1844" s="14"/>
      <c r="H1844" s="23"/>
      <c r="I1844" s="27"/>
      <c r="J1844" s="23"/>
      <c r="K1844" s="30"/>
      <c r="L1844" s="23"/>
      <c r="M1844" s="20"/>
      <c r="N1844" s="20"/>
      <c r="O1844" s="20"/>
      <c r="P1844" s="20"/>
    </row>
    <row r="1845">
      <c r="A1845" s="10"/>
      <c r="B1845" s="11"/>
      <c r="C1845" s="10"/>
      <c r="D1845" s="13"/>
      <c r="E1845" s="14"/>
      <c r="F1845" s="14"/>
      <c r="G1845" s="14"/>
      <c r="H1845" s="10"/>
      <c r="I1845" s="17"/>
      <c r="J1845" s="10"/>
      <c r="K1845" s="46"/>
      <c r="L1845" s="10"/>
      <c r="M1845" s="20"/>
      <c r="N1845" s="20"/>
      <c r="O1845" s="20"/>
      <c r="P1845" s="20"/>
    </row>
    <row r="1846">
      <c r="A1846" s="23"/>
      <c r="B1846" s="21"/>
      <c r="C1846" s="23"/>
      <c r="D1846" s="24"/>
      <c r="E1846" s="14"/>
      <c r="F1846" s="14"/>
      <c r="G1846" s="14"/>
      <c r="H1846" s="23"/>
      <c r="I1846" s="27"/>
      <c r="J1846" s="23"/>
      <c r="K1846" s="30"/>
      <c r="L1846" s="23"/>
      <c r="M1846" s="20"/>
      <c r="N1846" s="20"/>
      <c r="O1846" s="20"/>
      <c r="P1846" s="20"/>
    </row>
    <row r="1847">
      <c r="A1847" s="10"/>
      <c r="B1847" s="11"/>
      <c r="C1847" s="10"/>
      <c r="D1847" s="13"/>
      <c r="E1847" s="14"/>
      <c r="F1847" s="14"/>
      <c r="G1847" s="14"/>
      <c r="H1847" s="10"/>
      <c r="I1847" s="17"/>
      <c r="J1847" s="10"/>
      <c r="K1847" s="46"/>
      <c r="L1847" s="10"/>
      <c r="M1847" s="20"/>
      <c r="N1847" s="20"/>
      <c r="O1847" s="20"/>
      <c r="P1847" s="20"/>
    </row>
    <row r="1848">
      <c r="A1848" s="23"/>
      <c r="B1848" s="21"/>
      <c r="C1848" s="23"/>
      <c r="D1848" s="24"/>
      <c r="E1848" s="14"/>
      <c r="F1848" s="14"/>
      <c r="G1848" s="14"/>
      <c r="H1848" s="23"/>
      <c r="I1848" s="27"/>
      <c r="J1848" s="23"/>
      <c r="K1848" s="30"/>
      <c r="L1848" s="23"/>
      <c r="M1848" s="20"/>
      <c r="N1848" s="20"/>
      <c r="O1848" s="20"/>
      <c r="P1848" s="20"/>
    </row>
    <row r="1849">
      <c r="A1849" s="10"/>
      <c r="B1849" s="11"/>
      <c r="C1849" s="10"/>
      <c r="D1849" s="13"/>
      <c r="E1849" s="14"/>
      <c r="F1849" s="14"/>
      <c r="G1849" s="14"/>
      <c r="H1849" s="10"/>
      <c r="I1849" s="17"/>
      <c r="J1849" s="10"/>
      <c r="K1849" s="46"/>
      <c r="L1849" s="10"/>
      <c r="M1849" s="20"/>
      <c r="N1849" s="20"/>
      <c r="O1849" s="20"/>
      <c r="P1849" s="20"/>
    </row>
    <row r="1850">
      <c r="A1850" s="23"/>
      <c r="B1850" s="21"/>
      <c r="C1850" s="23"/>
      <c r="D1850" s="24"/>
      <c r="E1850" s="14"/>
      <c r="F1850" s="14"/>
      <c r="G1850" s="14"/>
      <c r="H1850" s="23"/>
      <c r="I1850" s="27"/>
      <c r="J1850" s="23"/>
      <c r="K1850" s="30"/>
      <c r="L1850" s="23"/>
      <c r="M1850" s="20"/>
      <c r="N1850" s="20"/>
      <c r="O1850" s="20"/>
      <c r="P1850" s="20"/>
    </row>
    <row r="1851">
      <c r="A1851" s="10"/>
      <c r="B1851" s="11"/>
      <c r="C1851" s="10"/>
      <c r="D1851" s="13"/>
      <c r="E1851" s="14"/>
      <c r="F1851" s="14"/>
      <c r="G1851" s="14"/>
      <c r="H1851" s="10"/>
      <c r="I1851" s="17"/>
      <c r="J1851" s="10"/>
      <c r="K1851" s="46"/>
      <c r="L1851" s="10"/>
      <c r="M1851" s="20"/>
      <c r="N1851" s="20"/>
      <c r="O1851" s="20"/>
      <c r="P1851" s="20"/>
    </row>
    <row r="1852">
      <c r="A1852" s="23"/>
      <c r="B1852" s="21"/>
      <c r="C1852" s="23"/>
      <c r="D1852" s="24"/>
      <c r="E1852" s="14"/>
      <c r="F1852" s="14"/>
      <c r="G1852" s="14"/>
      <c r="H1852" s="23"/>
      <c r="I1852" s="27"/>
      <c r="J1852" s="23"/>
      <c r="K1852" s="30"/>
      <c r="L1852" s="23"/>
      <c r="M1852" s="20"/>
      <c r="N1852" s="20"/>
      <c r="O1852" s="20"/>
      <c r="P1852" s="20"/>
    </row>
    <row r="1853">
      <c r="A1853" s="10"/>
      <c r="B1853" s="11"/>
      <c r="C1853" s="10"/>
      <c r="D1853" s="13"/>
      <c r="E1853" s="14"/>
      <c r="F1853" s="14"/>
      <c r="G1853" s="14"/>
      <c r="H1853" s="10"/>
      <c r="I1853" s="17"/>
      <c r="J1853" s="10"/>
      <c r="K1853" s="46"/>
      <c r="L1853" s="10"/>
      <c r="M1853" s="20"/>
      <c r="N1853" s="20"/>
      <c r="O1853" s="20"/>
      <c r="P1853" s="20"/>
    </row>
    <row r="1854">
      <c r="A1854" s="23"/>
      <c r="B1854" s="21"/>
      <c r="C1854" s="23"/>
      <c r="D1854" s="24"/>
      <c r="E1854" s="14"/>
      <c r="F1854" s="14"/>
      <c r="G1854" s="14"/>
      <c r="H1854" s="23"/>
      <c r="I1854" s="27"/>
      <c r="J1854" s="23"/>
      <c r="K1854" s="30"/>
      <c r="L1854" s="23"/>
      <c r="M1854" s="20"/>
      <c r="N1854" s="20"/>
      <c r="O1854" s="20"/>
      <c r="P1854" s="20"/>
    </row>
    <row r="1855">
      <c r="A1855" s="10"/>
      <c r="B1855" s="11"/>
      <c r="C1855" s="10"/>
      <c r="D1855" s="13"/>
      <c r="E1855" s="14"/>
      <c r="F1855" s="14"/>
      <c r="G1855" s="14"/>
      <c r="H1855" s="10"/>
      <c r="I1855" s="17"/>
      <c r="J1855" s="10"/>
      <c r="K1855" s="46"/>
      <c r="L1855" s="10"/>
      <c r="M1855" s="20"/>
      <c r="N1855" s="20"/>
      <c r="O1855" s="20"/>
      <c r="P1855" s="20"/>
    </row>
    <row r="1856">
      <c r="A1856" s="23"/>
      <c r="B1856" s="21"/>
      <c r="C1856" s="23"/>
      <c r="D1856" s="24"/>
      <c r="E1856" s="14"/>
      <c r="F1856" s="14"/>
      <c r="G1856" s="14"/>
      <c r="H1856" s="23"/>
      <c r="I1856" s="27"/>
      <c r="J1856" s="23"/>
      <c r="K1856" s="30"/>
      <c r="L1856" s="23"/>
      <c r="M1856" s="20"/>
      <c r="N1856" s="20"/>
      <c r="O1856" s="20"/>
      <c r="P1856" s="20"/>
    </row>
    <row r="1857">
      <c r="A1857" s="10"/>
      <c r="B1857" s="11"/>
      <c r="C1857" s="10"/>
      <c r="D1857" s="13"/>
      <c r="E1857" s="14"/>
      <c r="F1857" s="14"/>
      <c r="G1857" s="14"/>
      <c r="H1857" s="10"/>
      <c r="I1857" s="17"/>
      <c r="J1857" s="10"/>
      <c r="K1857" s="46"/>
      <c r="L1857" s="10"/>
      <c r="M1857" s="20"/>
      <c r="N1857" s="20"/>
      <c r="O1857" s="20"/>
      <c r="P1857" s="20"/>
    </row>
    <row r="1858">
      <c r="A1858" s="23"/>
      <c r="B1858" s="21"/>
      <c r="C1858" s="23"/>
      <c r="D1858" s="24"/>
      <c r="E1858" s="14"/>
      <c r="F1858" s="14"/>
      <c r="G1858" s="14"/>
      <c r="H1858" s="23"/>
      <c r="I1858" s="27"/>
      <c r="J1858" s="23"/>
      <c r="K1858" s="30"/>
      <c r="L1858" s="23"/>
      <c r="M1858" s="20"/>
      <c r="N1858" s="20"/>
      <c r="O1858" s="20"/>
      <c r="P1858" s="20"/>
    </row>
    <row r="1859">
      <c r="A1859" s="10"/>
      <c r="B1859" s="11"/>
      <c r="C1859" s="10"/>
      <c r="D1859" s="13"/>
      <c r="E1859" s="14"/>
      <c r="F1859" s="14"/>
      <c r="G1859" s="14"/>
      <c r="H1859" s="10"/>
      <c r="I1859" s="17"/>
      <c r="J1859" s="10"/>
      <c r="K1859" s="46"/>
      <c r="L1859" s="10"/>
      <c r="M1859" s="20"/>
      <c r="N1859" s="20"/>
      <c r="O1859" s="20"/>
      <c r="P1859" s="20"/>
    </row>
    <row r="1860">
      <c r="A1860" s="23"/>
      <c r="B1860" s="21"/>
      <c r="C1860" s="23"/>
      <c r="D1860" s="24"/>
      <c r="E1860" s="14"/>
      <c r="F1860" s="14"/>
      <c r="G1860" s="14"/>
      <c r="H1860" s="23"/>
      <c r="I1860" s="27"/>
      <c r="J1860" s="23"/>
      <c r="K1860" s="30"/>
      <c r="L1860" s="23"/>
      <c r="M1860" s="20"/>
      <c r="N1860" s="20"/>
      <c r="O1860" s="20"/>
      <c r="P1860" s="20"/>
    </row>
    <row r="1861">
      <c r="A1861" s="10"/>
      <c r="B1861" s="11"/>
      <c r="C1861" s="10"/>
      <c r="D1861" s="13"/>
      <c r="E1861" s="14"/>
      <c r="F1861" s="14"/>
      <c r="G1861" s="14"/>
      <c r="H1861" s="10"/>
      <c r="I1861" s="17"/>
      <c r="J1861" s="10"/>
      <c r="K1861" s="46"/>
      <c r="L1861" s="10"/>
      <c r="M1861" s="20"/>
      <c r="N1861" s="20"/>
      <c r="O1861" s="20"/>
      <c r="P1861" s="20"/>
    </row>
    <row r="1862">
      <c r="A1862" s="23"/>
      <c r="B1862" s="21"/>
      <c r="C1862" s="23"/>
      <c r="D1862" s="24"/>
      <c r="E1862" s="14"/>
      <c r="F1862" s="14"/>
      <c r="G1862" s="14"/>
      <c r="H1862" s="23"/>
      <c r="I1862" s="27"/>
      <c r="J1862" s="23"/>
      <c r="K1862" s="30"/>
      <c r="L1862" s="23"/>
      <c r="M1862" s="20"/>
      <c r="N1862" s="20"/>
      <c r="O1862" s="20"/>
      <c r="P1862" s="20"/>
    </row>
    <row r="1863">
      <c r="A1863" s="10"/>
      <c r="B1863" s="11"/>
      <c r="C1863" s="10"/>
      <c r="D1863" s="13"/>
      <c r="E1863" s="14"/>
      <c r="F1863" s="14"/>
      <c r="G1863" s="14"/>
      <c r="H1863" s="10"/>
      <c r="I1863" s="17"/>
      <c r="J1863" s="10"/>
      <c r="K1863" s="46"/>
      <c r="L1863" s="10"/>
      <c r="M1863" s="20"/>
      <c r="N1863" s="20"/>
      <c r="O1863" s="20"/>
      <c r="P1863" s="20"/>
    </row>
    <row r="1864">
      <c r="A1864" s="23"/>
      <c r="B1864" s="21"/>
      <c r="C1864" s="23"/>
      <c r="D1864" s="24"/>
      <c r="E1864" s="14"/>
      <c r="F1864" s="14"/>
      <c r="G1864" s="14"/>
      <c r="H1864" s="23"/>
      <c r="I1864" s="27"/>
      <c r="J1864" s="23"/>
      <c r="K1864" s="30"/>
      <c r="L1864" s="23"/>
      <c r="M1864" s="20"/>
      <c r="N1864" s="20"/>
      <c r="O1864" s="20"/>
      <c r="P1864" s="20"/>
    </row>
    <row r="1865">
      <c r="A1865" s="10"/>
      <c r="B1865" s="11"/>
      <c r="C1865" s="10"/>
      <c r="D1865" s="13"/>
      <c r="E1865" s="14"/>
      <c r="F1865" s="14"/>
      <c r="G1865" s="14"/>
      <c r="H1865" s="10"/>
      <c r="I1865" s="17"/>
      <c r="J1865" s="10"/>
      <c r="K1865" s="46"/>
      <c r="L1865" s="10"/>
      <c r="M1865" s="20"/>
      <c r="N1865" s="20"/>
      <c r="O1865" s="20"/>
      <c r="P1865" s="20"/>
    </row>
    <row r="1866">
      <c r="A1866" s="23"/>
      <c r="B1866" s="21"/>
      <c r="C1866" s="23"/>
      <c r="D1866" s="24"/>
      <c r="E1866" s="14"/>
      <c r="F1866" s="14"/>
      <c r="G1866" s="14"/>
      <c r="H1866" s="23"/>
      <c r="I1866" s="27"/>
      <c r="J1866" s="23"/>
      <c r="K1866" s="30"/>
      <c r="L1866" s="23"/>
      <c r="M1866" s="20"/>
      <c r="N1866" s="20"/>
      <c r="O1866" s="20"/>
      <c r="P1866" s="20"/>
    </row>
    <row r="1867">
      <c r="A1867" s="10"/>
      <c r="B1867" s="11"/>
      <c r="C1867" s="10"/>
      <c r="D1867" s="13"/>
      <c r="E1867" s="14"/>
      <c r="F1867" s="14"/>
      <c r="G1867" s="14"/>
      <c r="H1867" s="10"/>
      <c r="I1867" s="17"/>
      <c r="J1867" s="10"/>
      <c r="K1867" s="46"/>
      <c r="L1867" s="10"/>
      <c r="M1867" s="20"/>
      <c r="N1867" s="20"/>
      <c r="O1867" s="20"/>
      <c r="P1867" s="20"/>
    </row>
    <row r="1868">
      <c r="A1868" s="23"/>
      <c r="B1868" s="21"/>
      <c r="C1868" s="23"/>
      <c r="D1868" s="24"/>
      <c r="E1868" s="14"/>
      <c r="F1868" s="14"/>
      <c r="G1868" s="14"/>
      <c r="H1868" s="23"/>
      <c r="I1868" s="27"/>
      <c r="J1868" s="23"/>
      <c r="K1868" s="30"/>
      <c r="L1868" s="23"/>
      <c r="M1868" s="20"/>
      <c r="N1868" s="20"/>
      <c r="O1868" s="20"/>
      <c r="P1868" s="20"/>
    </row>
    <row r="1869">
      <c r="A1869" s="10"/>
      <c r="B1869" s="11"/>
      <c r="C1869" s="10"/>
      <c r="D1869" s="13"/>
      <c r="E1869" s="14"/>
      <c r="F1869" s="14"/>
      <c r="G1869" s="14"/>
      <c r="H1869" s="10"/>
      <c r="I1869" s="17"/>
      <c r="J1869" s="10"/>
      <c r="K1869" s="46"/>
      <c r="L1869" s="10"/>
      <c r="M1869" s="20"/>
      <c r="N1869" s="20"/>
      <c r="O1869" s="20"/>
      <c r="P1869" s="20"/>
    </row>
    <row r="1870">
      <c r="A1870" s="23"/>
      <c r="B1870" s="21"/>
      <c r="C1870" s="23"/>
      <c r="D1870" s="24"/>
      <c r="E1870" s="14"/>
      <c r="F1870" s="14"/>
      <c r="G1870" s="14"/>
      <c r="H1870" s="23"/>
      <c r="I1870" s="27"/>
      <c r="J1870" s="23"/>
      <c r="K1870" s="30"/>
      <c r="L1870" s="23"/>
      <c r="M1870" s="20"/>
      <c r="N1870" s="20"/>
      <c r="O1870" s="20"/>
      <c r="P1870" s="20"/>
    </row>
    <row r="1871">
      <c r="A1871" s="10"/>
      <c r="B1871" s="11"/>
      <c r="C1871" s="10"/>
      <c r="D1871" s="13"/>
      <c r="E1871" s="14"/>
      <c r="F1871" s="14"/>
      <c r="G1871" s="14"/>
      <c r="H1871" s="10"/>
      <c r="I1871" s="17"/>
      <c r="J1871" s="10"/>
      <c r="K1871" s="46"/>
      <c r="L1871" s="10"/>
      <c r="M1871" s="20"/>
      <c r="N1871" s="20"/>
      <c r="O1871" s="20"/>
      <c r="P1871" s="20"/>
    </row>
    <row r="1872">
      <c r="A1872" s="23"/>
      <c r="B1872" s="21"/>
      <c r="C1872" s="23"/>
      <c r="D1872" s="24"/>
      <c r="E1872" s="14"/>
      <c r="F1872" s="14"/>
      <c r="G1872" s="14"/>
      <c r="H1872" s="23"/>
      <c r="I1872" s="27"/>
      <c r="J1872" s="23"/>
      <c r="K1872" s="30"/>
      <c r="L1872" s="23"/>
      <c r="M1872" s="20"/>
      <c r="N1872" s="20"/>
      <c r="O1872" s="20"/>
      <c r="P1872" s="20"/>
    </row>
    <row r="1873">
      <c r="A1873" s="10"/>
      <c r="B1873" s="11"/>
      <c r="C1873" s="10"/>
      <c r="D1873" s="13"/>
      <c r="E1873" s="14"/>
      <c r="F1873" s="14"/>
      <c r="G1873" s="14"/>
      <c r="H1873" s="10"/>
      <c r="I1873" s="17"/>
      <c r="J1873" s="10"/>
      <c r="K1873" s="46"/>
      <c r="L1873" s="10"/>
      <c r="M1873" s="20"/>
      <c r="N1873" s="20"/>
      <c r="O1873" s="20"/>
      <c r="P1873" s="20"/>
    </row>
    <row r="1874">
      <c r="A1874" s="23"/>
      <c r="B1874" s="21"/>
      <c r="C1874" s="23"/>
      <c r="D1874" s="24"/>
      <c r="E1874" s="14"/>
      <c r="F1874" s="14"/>
      <c r="G1874" s="14"/>
      <c r="H1874" s="23"/>
      <c r="I1874" s="27"/>
      <c r="J1874" s="23"/>
      <c r="K1874" s="30"/>
      <c r="L1874" s="23"/>
      <c r="M1874" s="20"/>
      <c r="N1874" s="20"/>
      <c r="O1874" s="20"/>
      <c r="P1874" s="20"/>
    </row>
    <row r="1875">
      <c r="A1875" s="10"/>
      <c r="B1875" s="11"/>
      <c r="C1875" s="10"/>
      <c r="D1875" s="13"/>
      <c r="E1875" s="14"/>
      <c r="F1875" s="14"/>
      <c r="G1875" s="14"/>
      <c r="H1875" s="10"/>
      <c r="I1875" s="17"/>
      <c r="J1875" s="10"/>
      <c r="K1875" s="46"/>
      <c r="L1875" s="10"/>
      <c r="M1875" s="20"/>
      <c r="N1875" s="20"/>
      <c r="O1875" s="20"/>
      <c r="P1875" s="20"/>
    </row>
    <row r="1876">
      <c r="A1876" s="23"/>
      <c r="B1876" s="21"/>
      <c r="C1876" s="23"/>
      <c r="D1876" s="24"/>
      <c r="E1876" s="14"/>
      <c r="F1876" s="14"/>
      <c r="G1876" s="14"/>
      <c r="H1876" s="23"/>
      <c r="I1876" s="27"/>
      <c r="J1876" s="23"/>
      <c r="K1876" s="30"/>
      <c r="L1876" s="23"/>
      <c r="M1876" s="20"/>
      <c r="N1876" s="20"/>
      <c r="O1876" s="20"/>
      <c r="P1876" s="20"/>
    </row>
    <row r="1877">
      <c r="A1877" s="10"/>
      <c r="B1877" s="11"/>
      <c r="C1877" s="10"/>
      <c r="D1877" s="13"/>
      <c r="E1877" s="14"/>
      <c r="F1877" s="14"/>
      <c r="G1877" s="14"/>
      <c r="H1877" s="10"/>
      <c r="I1877" s="17"/>
      <c r="J1877" s="10"/>
      <c r="K1877" s="46"/>
      <c r="L1877" s="10"/>
      <c r="M1877" s="20"/>
      <c r="N1877" s="20"/>
      <c r="O1877" s="20"/>
      <c r="P1877" s="20"/>
    </row>
    <row r="1878">
      <c r="A1878" s="23"/>
      <c r="B1878" s="21"/>
      <c r="C1878" s="23"/>
      <c r="D1878" s="24"/>
      <c r="E1878" s="14"/>
      <c r="F1878" s="14"/>
      <c r="G1878" s="14"/>
      <c r="H1878" s="23"/>
      <c r="I1878" s="27"/>
      <c r="J1878" s="23"/>
      <c r="K1878" s="30"/>
      <c r="L1878" s="23"/>
      <c r="M1878" s="20"/>
      <c r="N1878" s="20"/>
      <c r="O1878" s="20"/>
      <c r="P1878" s="20"/>
    </row>
    <row r="1879">
      <c r="A1879" s="10"/>
      <c r="B1879" s="11"/>
      <c r="C1879" s="10"/>
      <c r="D1879" s="13"/>
      <c r="E1879" s="14"/>
      <c r="F1879" s="14"/>
      <c r="G1879" s="14"/>
      <c r="H1879" s="10"/>
      <c r="I1879" s="17"/>
      <c r="J1879" s="10"/>
      <c r="K1879" s="46"/>
      <c r="L1879" s="10"/>
      <c r="M1879" s="20"/>
      <c r="N1879" s="20"/>
      <c r="O1879" s="20"/>
      <c r="P1879" s="20"/>
    </row>
    <row r="1880">
      <c r="A1880" s="23"/>
      <c r="B1880" s="21"/>
      <c r="C1880" s="23"/>
      <c r="D1880" s="24"/>
      <c r="E1880" s="14"/>
      <c r="F1880" s="14"/>
      <c r="G1880" s="14"/>
      <c r="H1880" s="23"/>
      <c r="I1880" s="27"/>
      <c r="J1880" s="23"/>
      <c r="K1880" s="30"/>
      <c r="L1880" s="23"/>
      <c r="M1880" s="20"/>
      <c r="N1880" s="20"/>
      <c r="O1880" s="20"/>
      <c r="P1880" s="20"/>
    </row>
    <row r="1881">
      <c r="A1881" s="10"/>
      <c r="B1881" s="11"/>
      <c r="C1881" s="10"/>
      <c r="D1881" s="13"/>
      <c r="E1881" s="14"/>
      <c r="F1881" s="14"/>
      <c r="G1881" s="14"/>
      <c r="H1881" s="10"/>
      <c r="I1881" s="17"/>
      <c r="J1881" s="10"/>
      <c r="K1881" s="46"/>
      <c r="L1881" s="10"/>
      <c r="M1881" s="20"/>
      <c r="N1881" s="20"/>
      <c r="O1881" s="20"/>
      <c r="P1881" s="20"/>
    </row>
    <row r="1882">
      <c r="A1882" s="23"/>
      <c r="B1882" s="21"/>
      <c r="C1882" s="23"/>
      <c r="D1882" s="24"/>
      <c r="E1882" s="14"/>
      <c r="F1882" s="14"/>
      <c r="G1882" s="14"/>
      <c r="H1882" s="23"/>
      <c r="I1882" s="27"/>
      <c r="J1882" s="23"/>
      <c r="K1882" s="30"/>
      <c r="L1882" s="23"/>
      <c r="M1882" s="20"/>
      <c r="N1882" s="20"/>
      <c r="O1882" s="20"/>
      <c r="P1882" s="20"/>
    </row>
    <row r="1883">
      <c r="A1883" s="10"/>
      <c r="B1883" s="11"/>
      <c r="C1883" s="10"/>
      <c r="D1883" s="13"/>
      <c r="E1883" s="14"/>
      <c r="F1883" s="14"/>
      <c r="G1883" s="14"/>
      <c r="H1883" s="10"/>
      <c r="I1883" s="17"/>
      <c r="J1883" s="10"/>
      <c r="K1883" s="46"/>
      <c r="L1883" s="10"/>
      <c r="M1883" s="20"/>
      <c r="N1883" s="20"/>
      <c r="O1883" s="20"/>
      <c r="P1883" s="20"/>
    </row>
    <row r="1884">
      <c r="A1884" s="23"/>
      <c r="B1884" s="21"/>
      <c r="C1884" s="23"/>
      <c r="D1884" s="24"/>
      <c r="E1884" s="14"/>
      <c r="F1884" s="14"/>
      <c r="G1884" s="14"/>
      <c r="H1884" s="23"/>
      <c r="I1884" s="27"/>
      <c r="J1884" s="23"/>
      <c r="K1884" s="30"/>
      <c r="L1884" s="23"/>
      <c r="M1884" s="20"/>
      <c r="N1884" s="20"/>
      <c r="O1884" s="20"/>
      <c r="P1884" s="20"/>
    </row>
    <row r="1885">
      <c r="A1885" s="10"/>
      <c r="B1885" s="11"/>
      <c r="C1885" s="10"/>
      <c r="D1885" s="13"/>
      <c r="E1885" s="14"/>
      <c r="F1885" s="14"/>
      <c r="G1885" s="14"/>
      <c r="H1885" s="10"/>
      <c r="I1885" s="17"/>
      <c r="J1885" s="10"/>
      <c r="K1885" s="46"/>
      <c r="L1885" s="10"/>
      <c r="M1885" s="20"/>
      <c r="N1885" s="20"/>
      <c r="O1885" s="20"/>
      <c r="P1885" s="20"/>
    </row>
    <row r="1886">
      <c r="A1886" s="23"/>
      <c r="B1886" s="21"/>
      <c r="C1886" s="23"/>
      <c r="D1886" s="24"/>
      <c r="E1886" s="14"/>
      <c r="F1886" s="14"/>
      <c r="G1886" s="14"/>
      <c r="H1886" s="23"/>
      <c r="I1886" s="27"/>
      <c r="J1886" s="23"/>
      <c r="K1886" s="30"/>
      <c r="L1886" s="23"/>
      <c r="M1886" s="20"/>
      <c r="N1886" s="20"/>
      <c r="O1886" s="20"/>
      <c r="P1886" s="20"/>
    </row>
    <row r="1887">
      <c r="A1887" s="10"/>
      <c r="B1887" s="11"/>
      <c r="C1887" s="10"/>
      <c r="D1887" s="13"/>
      <c r="E1887" s="14"/>
      <c r="F1887" s="14"/>
      <c r="G1887" s="14"/>
      <c r="H1887" s="10"/>
      <c r="I1887" s="17"/>
      <c r="J1887" s="10"/>
      <c r="K1887" s="46"/>
      <c r="L1887" s="10"/>
      <c r="M1887" s="20"/>
      <c r="N1887" s="20"/>
      <c r="O1887" s="20"/>
      <c r="P1887" s="20"/>
    </row>
    <row r="1888">
      <c r="A1888" s="23"/>
      <c r="B1888" s="21"/>
      <c r="C1888" s="23"/>
      <c r="D1888" s="24"/>
      <c r="E1888" s="14"/>
      <c r="F1888" s="14"/>
      <c r="G1888" s="14"/>
      <c r="H1888" s="23"/>
      <c r="I1888" s="27"/>
      <c r="J1888" s="23"/>
      <c r="K1888" s="30"/>
      <c r="L1888" s="23"/>
      <c r="M1888" s="20"/>
      <c r="N1888" s="20"/>
      <c r="O1888" s="20"/>
      <c r="P1888" s="20"/>
    </row>
    <row r="1889">
      <c r="A1889" s="10"/>
      <c r="B1889" s="11"/>
      <c r="C1889" s="10"/>
      <c r="D1889" s="13"/>
      <c r="E1889" s="14"/>
      <c r="F1889" s="14"/>
      <c r="G1889" s="14"/>
      <c r="H1889" s="10"/>
      <c r="I1889" s="17"/>
      <c r="J1889" s="10"/>
      <c r="K1889" s="46"/>
      <c r="L1889" s="10"/>
      <c r="M1889" s="20"/>
      <c r="N1889" s="20"/>
      <c r="O1889" s="20"/>
      <c r="P1889" s="20"/>
    </row>
    <row r="1890">
      <c r="A1890" s="23"/>
      <c r="B1890" s="21"/>
      <c r="C1890" s="23"/>
      <c r="D1890" s="24"/>
      <c r="E1890" s="14"/>
      <c r="F1890" s="14"/>
      <c r="G1890" s="14"/>
      <c r="H1890" s="23"/>
      <c r="I1890" s="27"/>
      <c r="J1890" s="23"/>
      <c r="K1890" s="30"/>
      <c r="L1890" s="23"/>
      <c r="M1890" s="20"/>
      <c r="N1890" s="20"/>
      <c r="O1890" s="20"/>
      <c r="P1890" s="20"/>
    </row>
    <row r="1891">
      <c r="A1891" s="10"/>
      <c r="B1891" s="11"/>
      <c r="C1891" s="10"/>
      <c r="D1891" s="13"/>
      <c r="E1891" s="14"/>
      <c r="F1891" s="14"/>
      <c r="G1891" s="14"/>
      <c r="H1891" s="10"/>
      <c r="I1891" s="17"/>
      <c r="J1891" s="10"/>
      <c r="K1891" s="46"/>
      <c r="L1891" s="10"/>
      <c r="M1891" s="20"/>
      <c r="N1891" s="20"/>
      <c r="O1891" s="20"/>
      <c r="P1891" s="20"/>
    </row>
    <row r="1892">
      <c r="A1892" s="23"/>
      <c r="B1892" s="21"/>
      <c r="C1892" s="23"/>
      <c r="D1892" s="24"/>
      <c r="E1892" s="14"/>
      <c r="F1892" s="14"/>
      <c r="G1892" s="14"/>
      <c r="H1892" s="23"/>
      <c r="I1892" s="27"/>
      <c r="J1892" s="23"/>
      <c r="K1892" s="30"/>
      <c r="L1892" s="23"/>
      <c r="M1892" s="20"/>
      <c r="N1892" s="20"/>
      <c r="O1892" s="20"/>
      <c r="P1892" s="20"/>
    </row>
    <row r="1893">
      <c r="A1893" s="10"/>
      <c r="B1893" s="11"/>
      <c r="C1893" s="10"/>
      <c r="D1893" s="13"/>
      <c r="E1893" s="14"/>
      <c r="F1893" s="14"/>
      <c r="G1893" s="14"/>
      <c r="H1893" s="10"/>
      <c r="I1893" s="17"/>
      <c r="J1893" s="10"/>
      <c r="K1893" s="46"/>
      <c r="L1893" s="10"/>
      <c r="M1893" s="20"/>
      <c r="N1893" s="20"/>
      <c r="O1893" s="20"/>
      <c r="P1893" s="20"/>
    </row>
    <row r="1894">
      <c r="A1894" s="23"/>
      <c r="B1894" s="21"/>
      <c r="C1894" s="23"/>
      <c r="D1894" s="24"/>
      <c r="E1894" s="14"/>
      <c r="F1894" s="14"/>
      <c r="G1894" s="14"/>
      <c r="H1894" s="23"/>
      <c r="I1894" s="27"/>
      <c r="J1894" s="23"/>
      <c r="K1894" s="30"/>
      <c r="L1894" s="23"/>
      <c r="M1894" s="20"/>
      <c r="N1894" s="20"/>
      <c r="O1894" s="20"/>
      <c r="P1894" s="20"/>
    </row>
    <row r="1895">
      <c r="A1895" s="10"/>
      <c r="B1895" s="11"/>
      <c r="C1895" s="10"/>
      <c r="D1895" s="13"/>
      <c r="E1895" s="14"/>
      <c r="F1895" s="14"/>
      <c r="G1895" s="14"/>
      <c r="H1895" s="10"/>
      <c r="I1895" s="17"/>
      <c r="J1895" s="10"/>
      <c r="K1895" s="46"/>
      <c r="L1895" s="10"/>
      <c r="M1895" s="20"/>
      <c r="N1895" s="20"/>
      <c r="O1895" s="20"/>
      <c r="P1895" s="20"/>
    </row>
    <row r="1896">
      <c r="A1896" s="23"/>
      <c r="B1896" s="21"/>
      <c r="C1896" s="23"/>
      <c r="D1896" s="24"/>
      <c r="E1896" s="14"/>
      <c r="F1896" s="14"/>
      <c r="G1896" s="14"/>
      <c r="H1896" s="23"/>
      <c r="I1896" s="27"/>
      <c r="J1896" s="23"/>
      <c r="K1896" s="30"/>
      <c r="L1896" s="23"/>
      <c r="M1896" s="20"/>
      <c r="N1896" s="20"/>
      <c r="O1896" s="20"/>
      <c r="P1896" s="20"/>
    </row>
    <row r="1897">
      <c r="A1897" s="10"/>
      <c r="B1897" s="11"/>
      <c r="C1897" s="10"/>
      <c r="D1897" s="13"/>
      <c r="E1897" s="14"/>
      <c r="F1897" s="14"/>
      <c r="G1897" s="14"/>
      <c r="H1897" s="10"/>
      <c r="I1897" s="17"/>
      <c r="J1897" s="10"/>
      <c r="K1897" s="46"/>
      <c r="L1897" s="10"/>
      <c r="M1897" s="20"/>
      <c r="N1897" s="20"/>
      <c r="O1897" s="20"/>
      <c r="P1897" s="20"/>
    </row>
    <row r="1898">
      <c r="A1898" s="23"/>
      <c r="B1898" s="21"/>
      <c r="C1898" s="23"/>
      <c r="D1898" s="24"/>
      <c r="E1898" s="14"/>
      <c r="F1898" s="14"/>
      <c r="G1898" s="14"/>
      <c r="H1898" s="23"/>
      <c r="I1898" s="27"/>
      <c r="J1898" s="23"/>
      <c r="K1898" s="30"/>
      <c r="L1898" s="23"/>
      <c r="M1898" s="20"/>
      <c r="N1898" s="20"/>
      <c r="O1898" s="20"/>
      <c r="P1898" s="20"/>
    </row>
    <row r="1899">
      <c r="A1899" s="10"/>
      <c r="B1899" s="11"/>
      <c r="C1899" s="10"/>
      <c r="D1899" s="13"/>
      <c r="E1899" s="14"/>
      <c r="F1899" s="14"/>
      <c r="G1899" s="14"/>
      <c r="H1899" s="10"/>
      <c r="I1899" s="17"/>
      <c r="J1899" s="10"/>
      <c r="K1899" s="46"/>
      <c r="L1899" s="10"/>
      <c r="M1899" s="20"/>
      <c r="N1899" s="20"/>
      <c r="O1899" s="20"/>
      <c r="P1899" s="20"/>
    </row>
    <row r="1900">
      <c r="A1900" s="23"/>
      <c r="B1900" s="21"/>
      <c r="C1900" s="23"/>
      <c r="D1900" s="24"/>
      <c r="E1900" s="14"/>
      <c r="F1900" s="14"/>
      <c r="G1900" s="14"/>
      <c r="H1900" s="23"/>
      <c r="I1900" s="27"/>
      <c r="J1900" s="23"/>
      <c r="K1900" s="30"/>
      <c r="L1900" s="23"/>
      <c r="M1900" s="20"/>
      <c r="N1900" s="20"/>
      <c r="O1900" s="20"/>
      <c r="P1900" s="20"/>
    </row>
    <row r="1901">
      <c r="A1901" s="10"/>
      <c r="B1901" s="11"/>
      <c r="C1901" s="10"/>
      <c r="D1901" s="13"/>
      <c r="E1901" s="14"/>
      <c r="F1901" s="14"/>
      <c r="G1901" s="14"/>
      <c r="H1901" s="10"/>
      <c r="I1901" s="17"/>
      <c r="J1901" s="10"/>
      <c r="K1901" s="46"/>
      <c r="L1901" s="10"/>
      <c r="M1901" s="20"/>
      <c r="N1901" s="20"/>
      <c r="O1901" s="20"/>
      <c r="P1901" s="20"/>
    </row>
    <row r="1902">
      <c r="A1902" s="23"/>
      <c r="B1902" s="21"/>
      <c r="C1902" s="23"/>
      <c r="D1902" s="24"/>
      <c r="E1902" s="14"/>
      <c r="F1902" s="14"/>
      <c r="G1902" s="14"/>
      <c r="H1902" s="23"/>
      <c r="I1902" s="27"/>
      <c r="J1902" s="23"/>
      <c r="K1902" s="30"/>
      <c r="L1902" s="23"/>
      <c r="M1902" s="20"/>
      <c r="N1902" s="20"/>
      <c r="O1902" s="20"/>
      <c r="P1902" s="20"/>
    </row>
    <row r="1903">
      <c r="A1903" s="10"/>
      <c r="B1903" s="11"/>
      <c r="C1903" s="10"/>
      <c r="D1903" s="13"/>
      <c r="E1903" s="14"/>
      <c r="F1903" s="14"/>
      <c r="G1903" s="14"/>
      <c r="H1903" s="10"/>
      <c r="I1903" s="17"/>
      <c r="J1903" s="10"/>
      <c r="K1903" s="46"/>
      <c r="L1903" s="10"/>
      <c r="M1903" s="20"/>
      <c r="N1903" s="20"/>
      <c r="O1903" s="20"/>
      <c r="P1903" s="20"/>
    </row>
    <row r="1904">
      <c r="A1904" s="23"/>
      <c r="B1904" s="21"/>
      <c r="C1904" s="23"/>
      <c r="D1904" s="24"/>
      <c r="E1904" s="14"/>
      <c r="F1904" s="14"/>
      <c r="G1904" s="14"/>
      <c r="H1904" s="23"/>
      <c r="I1904" s="27"/>
      <c r="J1904" s="23"/>
      <c r="K1904" s="30"/>
      <c r="L1904" s="23"/>
      <c r="M1904" s="20"/>
      <c r="N1904" s="20"/>
      <c r="O1904" s="20"/>
      <c r="P1904" s="20"/>
    </row>
    <row r="1905">
      <c r="A1905" s="10"/>
      <c r="B1905" s="11"/>
      <c r="C1905" s="10"/>
      <c r="D1905" s="13"/>
      <c r="E1905" s="14"/>
      <c r="F1905" s="14"/>
      <c r="G1905" s="14"/>
      <c r="H1905" s="10"/>
      <c r="I1905" s="17"/>
      <c r="J1905" s="10"/>
      <c r="K1905" s="46"/>
      <c r="L1905" s="10"/>
      <c r="M1905" s="20"/>
      <c r="N1905" s="20"/>
      <c r="O1905" s="20"/>
      <c r="P1905" s="20"/>
    </row>
    <row r="1906">
      <c r="A1906" s="23"/>
      <c r="B1906" s="21"/>
      <c r="C1906" s="23"/>
      <c r="D1906" s="24"/>
      <c r="E1906" s="14"/>
      <c r="F1906" s="14"/>
      <c r="G1906" s="14"/>
      <c r="H1906" s="23"/>
      <c r="I1906" s="27"/>
      <c r="J1906" s="23"/>
      <c r="K1906" s="30"/>
      <c r="L1906" s="23"/>
      <c r="M1906" s="20"/>
      <c r="N1906" s="20"/>
      <c r="O1906" s="20"/>
      <c r="P1906" s="20"/>
    </row>
    <row r="1907">
      <c r="A1907" s="10"/>
      <c r="B1907" s="11"/>
      <c r="C1907" s="10"/>
      <c r="D1907" s="13"/>
      <c r="E1907" s="14"/>
      <c r="F1907" s="14"/>
      <c r="G1907" s="14"/>
      <c r="H1907" s="10"/>
      <c r="I1907" s="17"/>
      <c r="J1907" s="10"/>
      <c r="K1907" s="46"/>
      <c r="L1907" s="10"/>
      <c r="M1907" s="20"/>
      <c r="N1907" s="20"/>
      <c r="O1907" s="20"/>
      <c r="P1907" s="20"/>
    </row>
    <row r="1908">
      <c r="A1908" s="23"/>
      <c r="B1908" s="21"/>
      <c r="C1908" s="23"/>
      <c r="D1908" s="24"/>
      <c r="E1908" s="14"/>
      <c r="F1908" s="14"/>
      <c r="G1908" s="14"/>
      <c r="H1908" s="23"/>
      <c r="I1908" s="27"/>
      <c r="J1908" s="23"/>
      <c r="K1908" s="30"/>
      <c r="L1908" s="23"/>
      <c r="M1908" s="20"/>
      <c r="N1908" s="20"/>
      <c r="O1908" s="20"/>
      <c r="P1908" s="20"/>
    </row>
    <row r="1909">
      <c r="A1909" s="10"/>
      <c r="B1909" s="11"/>
      <c r="C1909" s="10"/>
      <c r="D1909" s="13"/>
      <c r="E1909" s="14"/>
      <c r="F1909" s="14"/>
      <c r="G1909" s="14"/>
      <c r="H1909" s="10"/>
      <c r="I1909" s="17"/>
      <c r="J1909" s="10"/>
      <c r="K1909" s="46"/>
      <c r="L1909" s="10"/>
      <c r="M1909" s="20"/>
      <c r="N1909" s="20"/>
      <c r="O1909" s="20"/>
      <c r="P1909" s="20"/>
    </row>
    <row r="1910">
      <c r="A1910" s="23"/>
      <c r="B1910" s="21"/>
      <c r="C1910" s="23"/>
      <c r="D1910" s="24"/>
      <c r="E1910" s="14"/>
      <c r="F1910" s="14"/>
      <c r="G1910" s="14"/>
      <c r="H1910" s="23"/>
      <c r="I1910" s="27"/>
      <c r="J1910" s="23"/>
      <c r="K1910" s="30"/>
      <c r="L1910" s="23"/>
      <c r="M1910" s="20"/>
      <c r="N1910" s="20"/>
      <c r="O1910" s="20"/>
      <c r="P1910" s="20"/>
    </row>
    <row r="1911">
      <c r="A1911" s="10"/>
      <c r="B1911" s="11"/>
      <c r="C1911" s="10"/>
      <c r="D1911" s="13"/>
      <c r="E1911" s="14"/>
      <c r="F1911" s="14"/>
      <c r="G1911" s="14"/>
      <c r="H1911" s="10"/>
      <c r="I1911" s="17"/>
      <c r="J1911" s="10"/>
      <c r="K1911" s="46"/>
      <c r="L1911" s="10"/>
      <c r="M1911" s="20"/>
      <c r="N1911" s="20"/>
      <c r="O1911" s="20"/>
      <c r="P1911" s="20"/>
    </row>
    <row r="1912">
      <c r="A1912" s="23"/>
      <c r="B1912" s="21"/>
      <c r="C1912" s="23"/>
      <c r="D1912" s="24"/>
      <c r="E1912" s="14"/>
      <c r="F1912" s="14"/>
      <c r="G1912" s="14"/>
      <c r="H1912" s="23"/>
      <c r="I1912" s="27"/>
      <c r="J1912" s="23"/>
      <c r="K1912" s="30"/>
      <c r="L1912" s="23"/>
      <c r="M1912" s="20"/>
      <c r="N1912" s="20"/>
      <c r="O1912" s="20"/>
      <c r="P1912" s="20"/>
    </row>
    <row r="1913">
      <c r="A1913" s="10"/>
      <c r="B1913" s="11"/>
      <c r="C1913" s="10"/>
      <c r="D1913" s="13"/>
      <c r="E1913" s="14"/>
      <c r="F1913" s="14"/>
      <c r="G1913" s="14"/>
      <c r="H1913" s="10"/>
      <c r="I1913" s="17"/>
      <c r="J1913" s="10"/>
      <c r="K1913" s="46"/>
      <c r="L1913" s="10"/>
      <c r="M1913" s="20"/>
      <c r="N1913" s="20"/>
      <c r="O1913" s="20"/>
      <c r="P1913" s="20"/>
    </row>
    <row r="1914">
      <c r="A1914" s="23"/>
      <c r="B1914" s="21"/>
      <c r="C1914" s="23"/>
      <c r="D1914" s="24"/>
      <c r="E1914" s="14"/>
      <c r="F1914" s="14"/>
      <c r="G1914" s="14"/>
      <c r="H1914" s="23"/>
      <c r="I1914" s="27"/>
      <c r="J1914" s="23"/>
      <c r="K1914" s="30"/>
      <c r="L1914" s="23"/>
      <c r="M1914" s="20"/>
      <c r="N1914" s="20"/>
      <c r="O1914" s="20"/>
      <c r="P1914" s="20"/>
    </row>
    <row r="1915">
      <c r="A1915" s="10"/>
      <c r="B1915" s="11"/>
      <c r="C1915" s="10"/>
      <c r="D1915" s="13"/>
      <c r="E1915" s="14"/>
      <c r="F1915" s="14"/>
      <c r="G1915" s="14"/>
      <c r="H1915" s="10"/>
      <c r="I1915" s="17"/>
      <c r="J1915" s="10"/>
      <c r="K1915" s="46"/>
      <c r="L1915" s="10"/>
      <c r="M1915" s="20"/>
      <c r="N1915" s="20"/>
      <c r="O1915" s="20"/>
      <c r="P1915" s="20"/>
    </row>
    <row r="1916">
      <c r="A1916" s="23"/>
      <c r="B1916" s="21"/>
      <c r="C1916" s="23"/>
      <c r="D1916" s="24"/>
      <c r="E1916" s="14"/>
      <c r="F1916" s="14"/>
      <c r="G1916" s="14"/>
      <c r="H1916" s="23"/>
      <c r="I1916" s="27"/>
      <c r="J1916" s="23"/>
      <c r="K1916" s="30"/>
      <c r="L1916" s="23"/>
      <c r="M1916" s="20"/>
      <c r="N1916" s="20"/>
      <c r="O1916" s="20"/>
      <c r="P1916" s="20"/>
    </row>
    <row r="1917">
      <c r="A1917" s="10"/>
      <c r="B1917" s="11"/>
      <c r="C1917" s="10"/>
      <c r="D1917" s="13"/>
      <c r="E1917" s="14"/>
      <c r="F1917" s="14"/>
      <c r="G1917" s="14"/>
      <c r="H1917" s="10"/>
      <c r="I1917" s="17"/>
      <c r="J1917" s="10"/>
      <c r="K1917" s="46"/>
      <c r="L1917" s="10"/>
      <c r="M1917" s="20"/>
      <c r="N1917" s="20"/>
      <c r="O1917" s="20"/>
      <c r="P1917" s="20"/>
    </row>
    <row r="1918">
      <c r="A1918" s="23"/>
      <c r="B1918" s="21"/>
      <c r="C1918" s="23"/>
      <c r="D1918" s="24"/>
      <c r="E1918" s="14"/>
      <c r="F1918" s="14"/>
      <c r="G1918" s="14"/>
      <c r="H1918" s="23"/>
      <c r="I1918" s="27"/>
      <c r="J1918" s="23"/>
      <c r="K1918" s="30"/>
      <c r="L1918" s="23"/>
      <c r="M1918" s="20"/>
      <c r="N1918" s="20"/>
      <c r="O1918" s="20"/>
      <c r="P1918" s="20"/>
    </row>
    <row r="1919">
      <c r="A1919" s="10"/>
      <c r="B1919" s="11"/>
      <c r="C1919" s="10"/>
      <c r="D1919" s="13"/>
      <c r="E1919" s="14"/>
      <c r="F1919" s="14"/>
      <c r="G1919" s="14"/>
      <c r="H1919" s="10"/>
      <c r="I1919" s="17"/>
      <c r="J1919" s="10"/>
      <c r="K1919" s="46"/>
      <c r="L1919" s="10"/>
      <c r="M1919" s="20"/>
      <c r="N1919" s="20"/>
      <c r="O1919" s="20"/>
      <c r="P1919" s="20"/>
    </row>
    <row r="1920">
      <c r="A1920" s="23"/>
      <c r="B1920" s="21"/>
      <c r="C1920" s="23"/>
      <c r="D1920" s="24"/>
      <c r="E1920" s="14"/>
      <c r="F1920" s="14"/>
      <c r="G1920" s="14"/>
      <c r="H1920" s="23"/>
      <c r="I1920" s="27"/>
      <c r="J1920" s="23"/>
      <c r="K1920" s="30"/>
      <c r="L1920" s="23"/>
      <c r="M1920" s="20"/>
      <c r="N1920" s="20"/>
      <c r="O1920" s="20"/>
      <c r="P1920" s="20"/>
    </row>
    <row r="1921">
      <c r="A1921" s="10"/>
      <c r="B1921" s="11"/>
      <c r="C1921" s="10"/>
      <c r="D1921" s="13"/>
      <c r="E1921" s="14"/>
      <c r="F1921" s="14"/>
      <c r="G1921" s="14"/>
      <c r="H1921" s="10"/>
      <c r="I1921" s="17"/>
      <c r="J1921" s="10"/>
      <c r="K1921" s="46"/>
      <c r="L1921" s="10"/>
      <c r="M1921" s="20"/>
      <c r="N1921" s="20"/>
      <c r="O1921" s="20"/>
      <c r="P1921" s="20"/>
    </row>
    <row r="1922">
      <c r="A1922" s="23"/>
      <c r="B1922" s="21"/>
      <c r="C1922" s="23"/>
      <c r="D1922" s="24"/>
      <c r="E1922" s="14"/>
      <c r="F1922" s="14"/>
      <c r="G1922" s="14"/>
      <c r="H1922" s="23"/>
      <c r="I1922" s="27"/>
      <c r="J1922" s="23"/>
      <c r="K1922" s="30"/>
      <c r="L1922" s="23"/>
      <c r="M1922" s="20"/>
      <c r="N1922" s="20"/>
      <c r="O1922" s="20"/>
      <c r="P1922" s="20"/>
    </row>
    <row r="1923">
      <c r="A1923" s="10"/>
      <c r="B1923" s="11"/>
      <c r="C1923" s="10"/>
      <c r="D1923" s="13"/>
      <c r="E1923" s="14"/>
      <c r="F1923" s="14"/>
      <c r="G1923" s="14"/>
      <c r="H1923" s="10"/>
      <c r="I1923" s="17"/>
      <c r="J1923" s="10"/>
      <c r="K1923" s="46"/>
      <c r="L1923" s="10"/>
      <c r="M1923" s="20"/>
      <c r="N1923" s="20"/>
      <c r="O1923" s="20"/>
      <c r="P1923" s="20"/>
    </row>
    <row r="1924">
      <c r="A1924" s="23"/>
      <c r="B1924" s="21"/>
      <c r="C1924" s="23"/>
      <c r="D1924" s="24"/>
      <c r="E1924" s="14"/>
      <c r="F1924" s="14"/>
      <c r="G1924" s="14"/>
      <c r="H1924" s="23"/>
      <c r="I1924" s="27"/>
      <c r="J1924" s="23"/>
      <c r="K1924" s="30"/>
      <c r="L1924" s="23"/>
      <c r="M1924" s="20"/>
      <c r="N1924" s="20"/>
      <c r="O1924" s="20"/>
      <c r="P1924" s="20"/>
    </row>
    <row r="1925">
      <c r="A1925" s="10"/>
      <c r="B1925" s="11"/>
      <c r="C1925" s="10"/>
      <c r="D1925" s="13"/>
      <c r="E1925" s="14"/>
      <c r="F1925" s="14"/>
      <c r="G1925" s="14"/>
      <c r="H1925" s="10"/>
      <c r="I1925" s="17"/>
      <c r="J1925" s="10"/>
      <c r="K1925" s="46"/>
      <c r="L1925" s="10"/>
      <c r="M1925" s="20"/>
      <c r="N1925" s="20"/>
      <c r="O1925" s="20"/>
      <c r="P1925" s="20"/>
    </row>
    <row r="1926">
      <c r="A1926" s="23"/>
      <c r="B1926" s="21"/>
      <c r="C1926" s="23"/>
      <c r="D1926" s="24"/>
      <c r="E1926" s="14"/>
      <c r="F1926" s="14"/>
      <c r="G1926" s="14"/>
      <c r="H1926" s="23"/>
      <c r="I1926" s="27"/>
      <c r="J1926" s="23"/>
      <c r="K1926" s="30"/>
      <c r="L1926" s="23"/>
      <c r="M1926" s="20"/>
      <c r="N1926" s="20"/>
      <c r="O1926" s="20"/>
      <c r="P1926" s="20"/>
    </row>
    <row r="1927">
      <c r="A1927" s="10"/>
      <c r="B1927" s="11"/>
      <c r="C1927" s="10"/>
      <c r="D1927" s="13"/>
      <c r="E1927" s="14"/>
      <c r="F1927" s="14"/>
      <c r="G1927" s="14"/>
      <c r="H1927" s="10"/>
      <c r="I1927" s="17"/>
      <c r="J1927" s="10"/>
      <c r="K1927" s="46"/>
      <c r="L1927" s="10"/>
      <c r="M1927" s="20"/>
      <c r="N1927" s="20"/>
      <c r="O1927" s="20"/>
      <c r="P1927" s="20"/>
    </row>
    <row r="1928">
      <c r="A1928" s="23"/>
      <c r="B1928" s="21"/>
      <c r="C1928" s="23"/>
      <c r="D1928" s="24"/>
      <c r="E1928" s="14"/>
      <c r="F1928" s="14"/>
      <c r="G1928" s="14"/>
      <c r="H1928" s="23"/>
      <c r="I1928" s="27"/>
      <c r="J1928" s="23"/>
      <c r="K1928" s="30"/>
      <c r="L1928" s="23"/>
      <c r="M1928" s="20"/>
      <c r="N1928" s="20"/>
      <c r="O1928" s="20"/>
      <c r="P1928" s="20"/>
    </row>
    <row r="1929">
      <c r="A1929" s="10"/>
      <c r="B1929" s="11"/>
      <c r="C1929" s="10"/>
      <c r="D1929" s="13"/>
      <c r="E1929" s="14"/>
      <c r="F1929" s="14"/>
      <c r="G1929" s="14"/>
      <c r="H1929" s="10"/>
      <c r="I1929" s="17"/>
      <c r="J1929" s="10"/>
      <c r="K1929" s="46"/>
      <c r="L1929" s="10"/>
      <c r="M1929" s="20"/>
      <c r="N1929" s="20"/>
      <c r="O1929" s="20"/>
      <c r="P1929" s="20"/>
    </row>
    <row r="1930">
      <c r="A1930" s="23"/>
      <c r="B1930" s="21"/>
      <c r="C1930" s="23"/>
      <c r="D1930" s="24"/>
      <c r="E1930" s="14"/>
      <c r="F1930" s="14"/>
      <c r="G1930" s="14"/>
      <c r="H1930" s="23"/>
      <c r="I1930" s="27"/>
      <c r="J1930" s="23"/>
      <c r="K1930" s="30"/>
      <c r="L1930" s="23"/>
      <c r="M1930" s="20"/>
      <c r="N1930" s="20"/>
      <c r="O1930" s="20"/>
      <c r="P1930" s="20"/>
    </row>
    <row r="1931">
      <c r="A1931" s="10"/>
      <c r="B1931" s="11"/>
      <c r="C1931" s="10"/>
      <c r="D1931" s="13"/>
      <c r="E1931" s="14"/>
      <c r="F1931" s="14"/>
      <c r="G1931" s="14"/>
      <c r="H1931" s="10"/>
      <c r="I1931" s="17"/>
      <c r="J1931" s="10"/>
      <c r="K1931" s="46"/>
      <c r="L1931" s="10"/>
      <c r="M1931" s="20"/>
      <c r="N1931" s="20"/>
      <c r="O1931" s="20"/>
      <c r="P1931" s="20"/>
    </row>
    <row r="1932">
      <c r="A1932" s="23"/>
      <c r="B1932" s="21"/>
      <c r="C1932" s="23"/>
      <c r="D1932" s="24"/>
      <c r="E1932" s="14"/>
      <c r="F1932" s="14"/>
      <c r="G1932" s="14"/>
      <c r="H1932" s="23"/>
      <c r="I1932" s="27"/>
      <c r="J1932" s="23"/>
      <c r="K1932" s="30"/>
      <c r="L1932" s="23"/>
      <c r="M1932" s="20"/>
      <c r="N1932" s="20"/>
      <c r="O1932" s="20"/>
      <c r="P1932" s="20"/>
    </row>
    <row r="1933">
      <c r="A1933" s="10"/>
      <c r="B1933" s="11"/>
      <c r="C1933" s="10"/>
      <c r="D1933" s="13"/>
      <c r="E1933" s="14"/>
      <c r="F1933" s="14"/>
      <c r="G1933" s="14"/>
      <c r="H1933" s="10"/>
      <c r="I1933" s="17"/>
      <c r="J1933" s="10"/>
      <c r="K1933" s="46"/>
      <c r="L1933" s="10"/>
      <c r="M1933" s="20"/>
      <c r="N1933" s="20"/>
      <c r="O1933" s="20"/>
      <c r="P1933" s="20"/>
    </row>
    <row r="1934">
      <c r="A1934" s="23"/>
      <c r="B1934" s="21"/>
      <c r="C1934" s="23"/>
      <c r="D1934" s="24"/>
      <c r="E1934" s="14"/>
      <c r="F1934" s="14"/>
      <c r="G1934" s="14"/>
      <c r="H1934" s="23"/>
      <c r="I1934" s="27"/>
      <c r="J1934" s="23"/>
      <c r="K1934" s="30"/>
      <c r="L1934" s="23"/>
      <c r="M1934" s="20"/>
      <c r="N1934" s="20"/>
      <c r="O1934" s="20"/>
      <c r="P1934" s="20"/>
    </row>
    <row r="1935">
      <c r="A1935" s="10"/>
      <c r="B1935" s="11"/>
      <c r="C1935" s="10"/>
      <c r="D1935" s="13"/>
      <c r="E1935" s="14"/>
      <c r="F1935" s="14"/>
      <c r="G1935" s="14"/>
      <c r="H1935" s="10"/>
      <c r="I1935" s="17"/>
      <c r="J1935" s="10"/>
      <c r="K1935" s="46"/>
      <c r="L1935" s="10"/>
      <c r="M1935" s="20"/>
      <c r="N1935" s="20"/>
      <c r="O1935" s="20"/>
      <c r="P1935" s="20"/>
    </row>
    <row r="1936">
      <c r="A1936" s="23"/>
      <c r="B1936" s="21"/>
      <c r="C1936" s="23"/>
      <c r="D1936" s="24"/>
      <c r="E1936" s="14"/>
      <c r="F1936" s="14"/>
      <c r="G1936" s="14"/>
      <c r="H1936" s="23"/>
      <c r="I1936" s="27"/>
      <c r="J1936" s="23"/>
      <c r="K1936" s="30"/>
      <c r="L1936" s="23"/>
      <c r="M1936" s="20"/>
      <c r="N1936" s="20"/>
      <c r="O1936" s="20"/>
      <c r="P1936" s="20"/>
    </row>
    <row r="1937">
      <c r="A1937" s="10"/>
      <c r="B1937" s="11"/>
      <c r="C1937" s="10"/>
      <c r="D1937" s="13"/>
      <c r="E1937" s="14"/>
      <c r="F1937" s="14"/>
      <c r="G1937" s="14"/>
      <c r="H1937" s="10"/>
      <c r="I1937" s="17"/>
      <c r="J1937" s="10"/>
      <c r="K1937" s="46"/>
      <c r="L1937" s="10"/>
      <c r="M1937" s="20"/>
      <c r="N1937" s="20"/>
      <c r="O1937" s="20"/>
      <c r="P1937" s="20"/>
    </row>
    <row r="1938">
      <c r="A1938" s="23"/>
      <c r="B1938" s="21"/>
      <c r="C1938" s="23"/>
      <c r="D1938" s="24"/>
      <c r="E1938" s="14"/>
      <c r="F1938" s="14"/>
      <c r="G1938" s="14"/>
      <c r="H1938" s="23"/>
      <c r="I1938" s="27"/>
      <c r="J1938" s="23"/>
      <c r="K1938" s="30"/>
      <c r="L1938" s="23"/>
      <c r="M1938" s="20"/>
      <c r="N1938" s="20"/>
      <c r="O1938" s="20"/>
      <c r="P1938" s="20"/>
    </row>
    <row r="1939">
      <c r="A1939" s="10"/>
      <c r="B1939" s="11"/>
      <c r="C1939" s="10"/>
      <c r="D1939" s="13"/>
      <c r="E1939" s="14"/>
      <c r="F1939" s="14"/>
      <c r="G1939" s="14"/>
      <c r="H1939" s="10"/>
      <c r="I1939" s="17"/>
      <c r="J1939" s="10"/>
      <c r="K1939" s="46"/>
      <c r="L1939" s="10"/>
      <c r="M1939" s="20"/>
      <c r="N1939" s="20"/>
      <c r="O1939" s="20"/>
      <c r="P1939" s="20"/>
    </row>
    <row r="1940">
      <c r="A1940" s="23"/>
      <c r="B1940" s="21"/>
      <c r="C1940" s="23"/>
      <c r="D1940" s="24"/>
      <c r="E1940" s="14"/>
      <c r="F1940" s="14"/>
      <c r="G1940" s="14"/>
      <c r="H1940" s="23"/>
      <c r="I1940" s="27"/>
      <c r="J1940" s="23"/>
      <c r="K1940" s="30"/>
      <c r="L1940" s="23"/>
      <c r="M1940" s="20"/>
      <c r="N1940" s="20"/>
      <c r="O1940" s="20"/>
      <c r="P1940" s="20"/>
    </row>
    <row r="1941">
      <c r="A1941" s="10"/>
      <c r="B1941" s="11"/>
      <c r="C1941" s="10"/>
      <c r="D1941" s="13"/>
      <c r="E1941" s="14"/>
      <c r="F1941" s="14"/>
      <c r="G1941" s="14"/>
      <c r="H1941" s="10"/>
      <c r="I1941" s="17"/>
      <c r="J1941" s="10"/>
      <c r="K1941" s="46"/>
      <c r="L1941" s="10"/>
      <c r="M1941" s="20"/>
      <c r="N1941" s="20"/>
      <c r="O1941" s="20"/>
      <c r="P1941" s="20"/>
    </row>
    <row r="1942">
      <c r="A1942" s="23"/>
      <c r="B1942" s="21"/>
      <c r="C1942" s="23"/>
      <c r="D1942" s="24"/>
      <c r="E1942" s="14"/>
      <c r="F1942" s="14"/>
      <c r="G1942" s="14"/>
      <c r="H1942" s="23"/>
      <c r="I1942" s="27"/>
      <c r="J1942" s="23"/>
      <c r="K1942" s="30"/>
      <c r="L1942" s="23"/>
      <c r="M1942" s="20"/>
      <c r="N1942" s="20"/>
      <c r="O1942" s="20"/>
      <c r="P1942" s="20"/>
    </row>
    <row r="1943">
      <c r="A1943" s="10"/>
      <c r="B1943" s="11"/>
      <c r="C1943" s="10"/>
      <c r="D1943" s="13"/>
      <c r="E1943" s="14"/>
      <c r="F1943" s="14"/>
      <c r="G1943" s="14"/>
      <c r="H1943" s="10"/>
      <c r="I1943" s="17"/>
      <c r="J1943" s="10"/>
      <c r="K1943" s="46"/>
      <c r="L1943" s="10"/>
      <c r="M1943" s="20"/>
      <c r="N1943" s="20"/>
      <c r="O1943" s="20"/>
      <c r="P1943" s="20"/>
    </row>
    <row r="1944">
      <c r="A1944" s="23"/>
      <c r="B1944" s="21"/>
      <c r="C1944" s="23"/>
      <c r="D1944" s="24"/>
      <c r="E1944" s="14"/>
      <c r="F1944" s="14"/>
      <c r="G1944" s="14"/>
      <c r="H1944" s="23"/>
      <c r="I1944" s="27"/>
      <c r="J1944" s="23"/>
      <c r="K1944" s="30"/>
      <c r="L1944" s="23"/>
      <c r="M1944" s="20"/>
      <c r="N1944" s="20"/>
      <c r="O1944" s="20"/>
      <c r="P1944" s="20"/>
    </row>
    <row r="1945">
      <c r="A1945" s="10"/>
      <c r="B1945" s="11"/>
      <c r="C1945" s="10"/>
      <c r="D1945" s="13"/>
      <c r="E1945" s="14"/>
      <c r="F1945" s="14"/>
      <c r="G1945" s="14"/>
      <c r="H1945" s="10"/>
      <c r="I1945" s="17"/>
      <c r="J1945" s="10"/>
      <c r="K1945" s="46"/>
      <c r="L1945" s="10"/>
      <c r="M1945" s="20"/>
      <c r="N1945" s="20"/>
      <c r="O1945" s="20"/>
      <c r="P1945" s="20"/>
    </row>
    <row r="1946">
      <c r="A1946" s="23"/>
      <c r="B1946" s="21"/>
      <c r="C1946" s="23"/>
      <c r="D1946" s="24"/>
      <c r="E1946" s="14"/>
      <c r="F1946" s="14"/>
      <c r="G1946" s="14"/>
      <c r="H1946" s="23"/>
      <c r="I1946" s="27"/>
      <c r="J1946" s="23"/>
      <c r="K1946" s="30"/>
      <c r="L1946" s="23"/>
      <c r="M1946" s="20"/>
      <c r="N1946" s="20"/>
      <c r="O1946" s="20"/>
      <c r="P1946" s="20"/>
    </row>
    <row r="1947">
      <c r="A1947" s="10"/>
      <c r="B1947" s="11"/>
      <c r="C1947" s="10"/>
      <c r="D1947" s="13"/>
      <c r="E1947" s="14"/>
      <c r="F1947" s="14"/>
      <c r="G1947" s="14"/>
      <c r="H1947" s="10"/>
      <c r="I1947" s="17"/>
      <c r="J1947" s="10"/>
      <c r="K1947" s="46"/>
      <c r="L1947" s="10"/>
      <c r="M1947" s="20"/>
      <c r="N1947" s="20"/>
      <c r="O1947" s="20"/>
      <c r="P1947" s="20"/>
    </row>
    <row r="1948">
      <c r="A1948" s="23"/>
      <c r="B1948" s="21"/>
      <c r="C1948" s="23"/>
      <c r="D1948" s="24"/>
      <c r="E1948" s="14"/>
      <c r="F1948" s="14"/>
      <c r="G1948" s="14"/>
      <c r="H1948" s="23"/>
      <c r="I1948" s="27"/>
      <c r="J1948" s="23"/>
      <c r="K1948" s="30"/>
      <c r="L1948" s="23"/>
      <c r="M1948" s="20"/>
      <c r="N1948" s="20"/>
      <c r="O1948" s="20"/>
      <c r="P1948" s="20"/>
    </row>
    <row r="1949">
      <c r="A1949" s="10"/>
      <c r="B1949" s="11"/>
      <c r="C1949" s="10"/>
      <c r="D1949" s="13"/>
      <c r="E1949" s="14"/>
      <c r="F1949" s="14"/>
      <c r="G1949" s="14"/>
      <c r="H1949" s="10"/>
      <c r="I1949" s="17"/>
      <c r="J1949" s="10"/>
      <c r="K1949" s="46"/>
      <c r="L1949" s="10"/>
      <c r="M1949" s="20"/>
      <c r="N1949" s="20"/>
      <c r="O1949" s="20"/>
      <c r="P1949" s="20"/>
    </row>
    <row r="1950">
      <c r="A1950" s="23"/>
      <c r="B1950" s="21"/>
      <c r="C1950" s="23"/>
      <c r="D1950" s="24"/>
      <c r="E1950" s="14"/>
      <c r="F1950" s="14"/>
      <c r="G1950" s="14"/>
      <c r="H1950" s="23"/>
      <c r="I1950" s="27"/>
      <c r="J1950" s="23"/>
      <c r="K1950" s="30"/>
      <c r="L1950" s="23"/>
      <c r="M1950" s="20"/>
      <c r="N1950" s="20"/>
      <c r="O1950" s="20"/>
      <c r="P1950" s="20"/>
    </row>
    <row r="1951">
      <c r="A1951" s="10"/>
      <c r="B1951" s="11"/>
      <c r="C1951" s="10"/>
      <c r="D1951" s="13"/>
      <c r="E1951" s="14"/>
      <c r="F1951" s="14"/>
      <c r="G1951" s="14"/>
      <c r="H1951" s="10"/>
      <c r="I1951" s="17"/>
      <c r="J1951" s="10"/>
      <c r="K1951" s="46"/>
      <c r="L1951" s="10"/>
      <c r="M1951" s="20"/>
      <c r="N1951" s="20"/>
      <c r="O1951" s="20"/>
      <c r="P1951" s="20"/>
    </row>
    <row r="1952">
      <c r="A1952" s="23"/>
      <c r="B1952" s="21"/>
      <c r="C1952" s="23"/>
      <c r="D1952" s="24"/>
      <c r="E1952" s="14"/>
      <c r="F1952" s="14"/>
      <c r="G1952" s="14"/>
      <c r="H1952" s="23"/>
      <c r="I1952" s="27"/>
      <c r="J1952" s="23"/>
      <c r="K1952" s="30"/>
      <c r="L1952" s="23"/>
      <c r="M1952" s="20"/>
      <c r="N1952" s="20"/>
      <c r="O1952" s="20"/>
      <c r="P1952" s="20"/>
    </row>
    <row r="1953">
      <c r="A1953" s="10"/>
      <c r="B1953" s="11"/>
      <c r="C1953" s="10"/>
      <c r="D1953" s="13"/>
      <c r="E1953" s="14"/>
      <c r="F1953" s="14"/>
      <c r="G1953" s="14"/>
      <c r="H1953" s="10"/>
      <c r="I1953" s="17"/>
      <c r="J1953" s="10"/>
      <c r="K1953" s="46"/>
      <c r="L1953" s="10"/>
      <c r="M1953" s="20"/>
      <c r="N1953" s="20"/>
      <c r="O1953" s="20"/>
      <c r="P1953" s="20"/>
    </row>
    <row r="1954">
      <c r="A1954" s="23"/>
      <c r="B1954" s="21"/>
      <c r="C1954" s="23"/>
      <c r="D1954" s="24"/>
      <c r="E1954" s="14"/>
      <c r="F1954" s="14"/>
      <c r="G1954" s="14"/>
      <c r="H1954" s="23"/>
      <c r="I1954" s="27"/>
      <c r="J1954" s="23"/>
      <c r="K1954" s="30"/>
      <c r="L1954" s="23"/>
      <c r="M1954" s="20"/>
      <c r="N1954" s="20"/>
      <c r="O1954" s="20"/>
      <c r="P1954" s="20"/>
    </row>
    <row r="1955">
      <c r="A1955" s="10"/>
      <c r="B1955" s="11"/>
      <c r="C1955" s="10"/>
      <c r="D1955" s="13"/>
      <c r="E1955" s="14"/>
      <c r="F1955" s="14"/>
      <c r="G1955" s="14"/>
      <c r="H1955" s="10"/>
      <c r="I1955" s="17"/>
      <c r="J1955" s="10"/>
      <c r="K1955" s="46"/>
      <c r="L1955" s="10"/>
      <c r="M1955" s="20"/>
      <c r="N1955" s="20"/>
      <c r="O1955" s="20"/>
      <c r="P1955" s="20"/>
    </row>
    <row r="1956">
      <c r="A1956" s="23"/>
      <c r="B1956" s="21"/>
      <c r="C1956" s="23"/>
      <c r="D1956" s="24"/>
      <c r="E1956" s="14"/>
      <c r="F1956" s="14"/>
      <c r="G1956" s="14"/>
      <c r="H1956" s="23"/>
      <c r="I1956" s="27"/>
      <c r="J1956" s="23"/>
      <c r="K1956" s="30"/>
      <c r="L1956" s="23"/>
      <c r="M1956" s="20"/>
      <c r="N1956" s="20"/>
      <c r="O1956" s="20"/>
      <c r="P1956" s="20"/>
    </row>
    <row r="1957">
      <c r="A1957" s="10"/>
      <c r="B1957" s="11"/>
      <c r="C1957" s="10"/>
      <c r="D1957" s="13"/>
      <c r="E1957" s="14"/>
      <c r="F1957" s="14"/>
      <c r="G1957" s="14"/>
      <c r="H1957" s="10"/>
      <c r="I1957" s="17"/>
      <c r="J1957" s="10"/>
      <c r="K1957" s="46"/>
      <c r="L1957" s="10"/>
      <c r="M1957" s="20"/>
      <c r="N1957" s="20"/>
      <c r="O1957" s="20"/>
      <c r="P1957" s="20"/>
    </row>
    <row r="1958">
      <c r="A1958" s="23"/>
      <c r="B1958" s="21"/>
      <c r="C1958" s="23"/>
      <c r="D1958" s="24"/>
      <c r="E1958" s="14"/>
      <c r="F1958" s="14"/>
      <c r="G1958" s="14"/>
      <c r="H1958" s="23"/>
      <c r="I1958" s="27"/>
      <c r="J1958" s="23"/>
      <c r="K1958" s="30"/>
      <c r="L1958" s="23"/>
      <c r="M1958" s="20"/>
      <c r="N1958" s="20"/>
      <c r="O1958" s="20"/>
      <c r="P1958" s="20"/>
    </row>
    <row r="1959">
      <c r="A1959" s="10"/>
      <c r="B1959" s="11"/>
      <c r="C1959" s="10"/>
      <c r="D1959" s="13"/>
      <c r="E1959" s="14"/>
      <c r="F1959" s="14"/>
      <c r="G1959" s="14"/>
      <c r="H1959" s="10"/>
      <c r="I1959" s="17"/>
      <c r="J1959" s="10"/>
      <c r="K1959" s="46"/>
      <c r="L1959" s="10"/>
      <c r="M1959" s="20"/>
      <c r="N1959" s="20"/>
      <c r="O1959" s="20"/>
      <c r="P1959" s="20"/>
    </row>
    <row r="1960">
      <c r="A1960" s="23"/>
      <c r="B1960" s="21"/>
      <c r="C1960" s="23"/>
      <c r="D1960" s="24"/>
      <c r="E1960" s="14"/>
      <c r="F1960" s="14"/>
      <c r="G1960" s="14"/>
      <c r="H1960" s="23"/>
      <c r="I1960" s="27"/>
      <c r="J1960" s="23"/>
      <c r="K1960" s="30"/>
      <c r="L1960" s="23"/>
      <c r="M1960" s="20"/>
      <c r="N1960" s="20"/>
      <c r="O1960" s="20"/>
      <c r="P1960" s="20"/>
    </row>
    <row r="1961">
      <c r="A1961" s="10"/>
      <c r="B1961" s="11"/>
      <c r="C1961" s="10"/>
      <c r="D1961" s="13"/>
      <c r="E1961" s="14"/>
      <c r="F1961" s="14"/>
      <c r="G1961" s="14"/>
      <c r="H1961" s="10"/>
      <c r="I1961" s="17"/>
      <c r="J1961" s="10"/>
      <c r="K1961" s="46"/>
      <c r="L1961" s="10"/>
      <c r="M1961" s="20"/>
      <c r="N1961" s="20"/>
      <c r="O1961" s="20"/>
      <c r="P1961" s="20"/>
    </row>
    <row r="1962">
      <c r="A1962" s="23"/>
      <c r="B1962" s="21"/>
      <c r="C1962" s="23"/>
      <c r="D1962" s="24"/>
      <c r="E1962" s="14"/>
      <c r="F1962" s="14"/>
      <c r="G1962" s="14"/>
      <c r="H1962" s="23"/>
      <c r="I1962" s="27"/>
      <c r="J1962" s="23"/>
      <c r="K1962" s="30"/>
      <c r="L1962" s="23"/>
      <c r="M1962" s="20"/>
      <c r="N1962" s="20"/>
      <c r="O1962" s="20"/>
      <c r="P1962" s="20"/>
    </row>
    <row r="1963">
      <c r="A1963" s="10"/>
      <c r="B1963" s="11"/>
      <c r="C1963" s="10"/>
      <c r="D1963" s="13"/>
      <c r="E1963" s="14"/>
      <c r="F1963" s="14"/>
      <c r="G1963" s="14"/>
      <c r="H1963" s="10"/>
      <c r="I1963" s="17"/>
      <c r="J1963" s="10"/>
      <c r="K1963" s="46"/>
      <c r="L1963" s="10"/>
      <c r="M1963" s="20"/>
      <c r="N1963" s="20"/>
      <c r="O1963" s="20"/>
      <c r="P1963" s="20"/>
    </row>
    <row r="1964">
      <c r="A1964" s="23"/>
      <c r="B1964" s="21"/>
      <c r="C1964" s="23"/>
      <c r="D1964" s="24"/>
      <c r="E1964" s="14"/>
      <c r="F1964" s="14"/>
      <c r="G1964" s="14"/>
      <c r="H1964" s="23"/>
      <c r="I1964" s="27"/>
      <c r="J1964" s="23"/>
      <c r="K1964" s="30"/>
      <c r="L1964" s="23"/>
      <c r="M1964" s="20"/>
      <c r="N1964" s="20"/>
      <c r="O1964" s="20"/>
      <c r="P1964" s="20"/>
    </row>
    <row r="1965">
      <c r="A1965" s="10"/>
      <c r="B1965" s="11"/>
      <c r="C1965" s="10"/>
      <c r="D1965" s="13"/>
      <c r="E1965" s="14"/>
      <c r="F1965" s="14"/>
      <c r="G1965" s="14"/>
      <c r="H1965" s="10"/>
      <c r="I1965" s="17"/>
      <c r="J1965" s="10"/>
      <c r="K1965" s="46"/>
      <c r="L1965" s="10"/>
      <c r="M1965" s="20"/>
      <c r="N1965" s="20"/>
      <c r="O1965" s="20"/>
      <c r="P1965" s="20"/>
    </row>
    <row r="1966">
      <c r="A1966" s="23"/>
      <c r="B1966" s="21"/>
      <c r="C1966" s="23"/>
      <c r="D1966" s="24"/>
      <c r="E1966" s="14"/>
      <c r="F1966" s="14"/>
      <c r="G1966" s="14"/>
      <c r="H1966" s="23"/>
      <c r="I1966" s="27"/>
      <c r="J1966" s="23"/>
      <c r="K1966" s="30"/>
      <c r="L1966" s="23"/>
      <c r="M1966" s="20"/>
      <c r="N1966" s="20"/>
      <c r="O1966" s="20"/>
      <c r="P1966" s="20"/>
    </row>
    <row r="1967">
      <c r="A1967" s="10"/>
      <c r="B1967" s="11"/>
      <c r="C1967" s="10"/>
      <c r="D1967" s="13"/>
      <c r="E1967" s="14"/>
      <c r="F1967" s="14"/>
      <c r="G1967" s="14"/>
      <c r="H1967" s="10"/>
      <c r="I1967" s="17"/>
      <c r="J1967" s="10"/>
      <c r="K1967" s="46"/>
      <c r="L1967" s="10"/>
      <c r="M1967" s="20"/>
      <c r="N1967" s="20"/>
      <c r="O1967" s="20"/>
      <c r="P1967" s="20"/>
    </row>
    <row r="1968">
      <c r="A1968" s="23"/>
      <c r="B1968" s="21"/>
      <c r="C1968" s="23"/>
      <c r="D1968" s="24"/>
      <c r="E1968" s="14"/>
      <c r="F1968" s="14"/>
      <c r="G1968" s="14"/>
      <c r="H1968" s="23"/>
      <c r="I1968" s="27"/>
      <c r="J1968" s="23"/>
      <c r="K1968" s="30"/>
      <c r="L1968" s="23"/>
      <c r="M1968" s="20"/>
      <c r="N1968" s="20"/>
      <c r="O1968" s="20"/>
      <c r="P1968" s="20"/>
    </row>
    <row r="1969">
      <c r="A1969" s="10"/>
      <c r="B1969" s="11"/>
      <c r="C1969" s="10"/>
      <c r="D1969" s="13"/>
      <c r="E1969" s="14"/>
      <c r="F1969" s="14"/>
      <c r="G1969" s="14"/>
      <c r="H1969" s="10"/>
      <c r="I1969" s="17"/>
      <c r="J1969" s="10"/>
      <c r="K1969" s="46"/>
      <c r="L1969" s="10"/>
      <c r="M1969" s="20"/>
      <c r="N1969" s="20"/>
      <c r="O1969" s="20"/>
      <c r="P1969" s="20"/>
    </row>
    <row r="1970">
      <c r="A1970" s="23"/>
      <c r="B1970" s="21"/>
      <c r="C1970" s="23"/>
      <c r="D1970" s="24"/>
      <c r="E1970" s="14"/>
      <c r="F1970" s="14"/>
      <c r="G1970" s="14"/>
      <c r="H1970" s="23"/>
      <c r="I1970" s="27"/>
      <c r="J1970" s="23"/>
      <c r="K1970" s="30"/>
      <c r="L1970" s="23"/>
      <c r="M1970" s="20"/>
      <c r="N1970" s="20"/>
      <c r="O1970" s="20"/>
      <c r="P1970" s="20"/>
    </row>
    <row r="1971">
      <c r="A1971" s="10"/>
      <c r="B1971" s="11"/>
      <c r="C1971" s="10"/>
      <c r="D1971" s="13"/>
      <c r="E1971" s="14"/>
      <c r="F1971" s="14"/>
      <c r="G1971" s="14"/>
      <c r="H1971" s="10"/>
      <c r="I1971" s="17"/>
      <c r="J1971" s="10"/>
      <c r="K1971" s="46"/>
      <c r="L1971" s="10"/>
      <c r="M1971" s="20"/>
      <c r="N1971" s="20"/>
      <c r="O1971" s="20"/>
      <c r="P1971" s="20"/>
    </row>
    <row r="1972">
      <c r="A1972" s="23"/>
      <c r="B1972" s="21"/>
      <c r="C1972" s="23"/>
      <c r="D1972" s="24"/>
      <c r="E1972" s="14"/>
      <c r="F1972" s="14"/>
      <c r="G1972" s="14"/>
      <c r="H1972" s="23"/>
      <c r="I1972" s="27"/>
      <c r="J1972" s="23"/>
      <c r="K1972" s="30"/>
      <c r="L1972" s="23"/>
      <c r="M1972" s="20"/>
      <c r="N1972" s="20"/>
      <c r="O1972" s="20"/>
      <c r="P1972" s="20"/>
    </row>
    <row r="1973">
      <c r="A1973" s="10"/>
      <c r="B1973" s="11"/>
      <c r="C1973" s="10"/>
      <c r="D1973" s="13"/>
      <c r="E1973" s="14"/>
      <c r="F1973" s="14"/>
      <c r="G1973" s="14"/>
      <c r="H1973" s="10"/>
      <c r="I1973" s="17"/>
      <c r="J1973" s="10"/>
      <c r="K1973" s="46"/>
      <c r="L1973" s="10"/>
      <c r="M1973" s="20"/>
      <c r="N1973" s="20"/>
      <c r="O1973" s="20"/>
      <c r="P1973" s="20"/>
    </row>
    <row r="1974">
      <c r="A1974" s="23"/>
      <c r="B1974" s="21"/>
      <c r="C1974" s="23"/>
      <c r="D1974" s="24"/>
      <c r="E1974" s="14"/>
      <c r="F1974" s="14"/>
      <c r="G1974" s="14"/>
      <c r="H1974" s="23"/>
      <c r="I1974" s="27"/>
      <c r="J1974" s="23"/>
      <c r="K1974" s="30"/>
      <c r="L1974" s="23"/>
      <c r="M1974" s="20"/>
      <c r="N1974" s="20"/>
      <c r="O1974" s="20"/>
      <c r="P1974" s="20"/>
    </row>
    <row r="1975">
      <c r="A1975" s="10"/>
      <c r="B1975" s="11"/>
      <c r="C1975" s="10"/>
      <c r="D1975" s="13"/>
      <c r="E1975" s="14"/>
      <c r="F1975" s="14"/>
      <c r="G1975" s="14"/>
      <c r="H1975" s="10"/>
      <c r="I1975" s="17"/>
      <c r="J1975" s="10"/>
      <c r="K1975" s="46"/>
      <c r="L1975" s="10"/>
      <c r="M1975" s="20"/>
      <c r="N1975" s="20"/>
      <c r="O1975" s="20"/>
      <c r="P1975" s="20"/>
    </row>
    <row r="1976">
      <c r="A1976" s="23"/>
      <c r="B1976" s="21"/>
      <c r="C1976" s="23"/>
      <c r="D1976" s="24"/>
      <c r="E1976" s="14"/>
      <c r="F1976" s="14"/>
      <c r="G1976" s="14"/>
      <c r="H1976" s="23"/>
      <c r="I1976" s="27"/>
      <c r="J1976" s="23"/>
      <c r="K1976" s="30"/>
      <c r="L1976" s="23"/>
      <c r="M1976" s="20"/>
      <c r="N1976" s="20"/>
      <c r="O1976" s="20"/>
      <c r="P1976" s="20"/>
    </row>
    <row r="1977">
      <c r="A1977" s="10"/>
      <c r="B1977" s="11"/>
      <c r="C1977" s="10"/>
      <c r="D1977" s="13"/>
      <c r="E1977" s="14"/>
      <c r="F1977" s="14"/>
      <c r="G1977" s="14"/>
      <c r="H1977" s="10"/>
      <c r="I1977" s="17"/>
      <c r="J1977" s="10"/>
      <c r="K1977" s="46"/>
      <c r="L1977" s="10"/>
      <c r="M1977" s="20"/>
      <c r="N1977" s="20"/>
      <c r="O1977" s="20"/>
      <c r="P1977" s="20"/>
    </row>
    <row r="1978">
      <c r="A1978" s="23"/>
      <c r="B1978" s="21"/>
      <c r="C1978" s="23"/>
      <c r="D1978" s="24"/>
      <c r="E1978" s="14"/>
      <c r="F1978" s="14"/>
      <c r="G1978" s="14"/>
      <c r="H1978" s="23"/>
      <c r="I1978" s="27"/>
      <c r="J1978" s="23"/>
      <c r="K1978" s="30"/>
      <c r="L1978" s="23"/>
      <c r="M1978" s="20"/>
      <c r="N1978" s="20"/>
      <c r="O1978" s="20"/>
      <c r="P1978" s="20"/>
    </row>
    <row r="1979">
      <c r="A1979" s="10"/>
      <c r="B1979" s="11"/>
      <c r="C1979" s="10"/>
      <c r="D1979" s="13"/>
      <c r="E1979" s="14"/>
      <c r="F1979" s="14"/>
      <c r="G1979" s="14"/>
      <c r="H1979" s="10"/>
      <c r="I1979" s="17"/>
      <c r="J1979" s="10"/>
      <c r="K1979" s="46"/>
      <c r="L1979" s="10"/>
      <c r="M1979" s="20"/>
      <c r="N1979" s="20"/>
      <c r="O1979" s="20"/>
      <c r="P1979" s="20"/>
    </row>
    <row r="1980">
      <c r="A1980" s="23"/>
      <c r="B1980" s="21"/>
      <c r="C1980" s="23"/>
      <c r="D1980" s="24"/>
      <c r="E1980" s="14"/>
      <c r="F1980" s="14"/>
      <c r="G1980" s="14"/>
      <c r="H1980" s="23"/>
      <c r="I1980" s="27"/>
      <c r="J1980" s="23"/>
      <c r="K1980" s="30"/>
      <c r="L1980" s="23"/>
      <c r="M1980" s="20"/>
      <c r="N1980" s="20"/>
      <c r="O1980" s="20"/>
      <c r="P1980" s="20"/>
    </row>
    <row r="1981">
      <c r="A1981" s="10"/>
      <c r="B1981" s="11"/>
      <c r="C1981" s="10"/>
      <c r="D1981" s="13"/>
      <c r="E1981" s="14"/>
      <c r="F1981" s="14"/>
      <c r="G1981" s="14"/>
      <c r="H1981" s="10"/>
      <c r="I1981" s="17"/>
      <c r="J1981" s="10"/>
      <c r="K1981" s="46"/>
      <c r="L1981" s="10"/>
      <c r="M1981" s="20"/>
      <c r="N1981" s="20"/>
      <c r="O1981" s="20"/>
      <c r="P1981" s="20"/>
    </row>
    <row r="1982">
      <c r="A1982" s="23"/>
      <c r="B1982" s="21"/>
      <c r="C1982" s="23"/>
      <c r="D1982" s="24"/>
      <c r="E1982" s="14"/>
      <c r="F1982" s="14"/>
      <c r="G1982" s="14"/>
      <c r="H1982" s="23"/>
      <c r="I1982" s="27"/>
      <c r="J1982" s="23"/>
      <c r="K1982" s="30"/>
      <c r="L1982" s="23"/>
      <c r="M1982" s="20"/>
      <c r="N1982" s="20"/>
      <c r="O1982" s="20"/>
      <c r="P1982" s="20"/>
    </row>
    <row r="1983">
      <c r="A1983" s="10"/>
      <c r="B1983" s="11"/>
      <c r="C1983" s="10"/>
      <c r="D1983" s="13"/>
      <c r="E1983" s="14"/>
      <c r="F1983" s="14"/>
      <c r="G1983" s="14"/>
      <c r="H1983" s="10"/>
      <c r="I1983" s="17"/>
      <c r="J1983" s="10"/>
      <c r="K1983" s="46"/>
      <c r="L1983" s="10"/>
      <c r="M1983" s="20"/>
      <c r="N1983" s="20"/>
      <c r="O1983" s="20"/>
      <c r="P1983" s="20"/>
    </row>
    <row r="1984">
      <c r="A1984" s="23"/>
      <c r="B1984" s="21"/>
      <c r="C1984" s="23"/>
      <c r="D1984" s="24"/>
      <c r="E1984" s="14"/>
      <c r="F1984" s="14"/>
      <c r="G1984" s="14"/>
      <c r="H1984" s="23"/>
      <c r="I1984" s="27"/>
      <c r="J1984" s="23"/>
      <c r="K1984" s="30"/>
      <c r="L1984" s="23"/>
      <c r="M1984" s="20"/>
      <c r="N1984" s="20"/>
      <c r="O1984" s="20"/>
      <c r="P1984" s="20"/>
    </row>
    <row r="1985">
      <c r="A1985" s="10"/>
      <c r="B1985" s="11"/>
      <c r="C1985" s="10"/>
      <c r="D1985" s="13"/>
      <c r="E1985" s="14"/>
      <c r="F1985" s="14"/>
      <c r="G1985" s="14"/>
      <c r="H1985" s="10"/>
      <c r="I1985" s="17"/>
      <c r="J1985" s="10"/>
      <c r="K1985" s="46"/>
      <c r="L1985" s="10"/>
      <c r="M1985" s="20"/>
      <c r="N1985" s="20"/>
      <c r="O1985" s="20"/>
      <c r="P1985" s="20"/>
    </row>
    <row r="1986">
      <c r="A1986" s="23"/>
      <c r="B1986" s="21"/>
      <c r="C1986" s="23"/>
      <c r="D1986" s="24"/>
      <c r="E1986" s="14"/>
      <c r="F1986" s="14"/>
      <c r="G1986" s="14"/>
      <c r="H1986" s="23"/>
      <c r="I1986" s="27"/>
      <c r="J1986" s="23"/>
      <c r="K1986" s="30"/>
      <c r="L1986" s="23"/>
      <c r="M1986" s="20"/>
      <c r="N1986" s="20"/>
      <c r="O1986" s="20"/>
      <c r="P1986" s="20"/>
    </row>
    <row r="1987">
      <c r="A1987" s="10"/>
      <c r="B1987" s="11"/>
      <c r="C1987" s="10"/>
      <c r="D1987" s="13"/>
      <c r="E1987" s="14"/>
      <c r="F1987" s="14"/>
      <c r="G1987" s="14"/>
      <c r="H1987" s="10"/>
      <c r="I1987" s="17"/>
      <c r="J1987" s="10"/>
      <c r="K1987" s="46"/>
      <c r="L1987" s="10"/>
      <c r="M1987" s="20"/>
      <c r="N1987" s="20"/>
      <c r="O1987" s="20"/>
      <c r="P1987" s="20"/>
    </row>
    <row r="1988">
      <c r="A1988" s="23"/>
      <c r="B1988" s="21"/>
      <c r="C1988" s="23"/>
      <c r="D1988" s="24"/>
      <c r="E1988" s="14"/>
      <c r="F1988" s="14"/>
      <c r="G1988" s="14"/>
      <c r="H1988" s="23"/>
      <c r="I1988" s="27"/>
      <c r="J1988" s="23"/>
      <c r="K1988" s="30"/>
      <c r="L1988" s="23"/>
      <c r="M1988" s="20"/>
      <c r="N1988" s="20"/>
      <c r="O1988" s="20"/>
      <c r="P1988" s="20"/>
    </row>
    <row r="1989">
      <c r="A1989" s="10"/>
      <c r="B1989" s="11"/>
      <c r="C1989" s="10"/>
      <c r="D1989" s="13"/>
      <c r="E1989" s="14"/>
      <c r="F1989" s="14"/>
      <c r="G1989" s="14"/>
      <c r="H1989" s="10"/>
      <c r="I1989" s="17"/>
      <c r="J1989" s="10"/>
      <c r="K1989" s="46"/>
      <c r="L1989" s="10"/>
      <c r="M1989" s="20"/>
      <c r="N1989" s="20"/>
      <c r="O1989" s="20"/>
      <c r="P1989" s="20"/>
    </row>
    <row r="1990">
      <c r="A1990" s="23"/>
      <c r="B1990" s="21"/>
      <c r="C1990" s="23"/>
      <c r="D1990" s="24"/>
      <c r="E1990" s="14"/>
      <c r="F1990" s="14"/>
      <c r="G1990" s="14"/>
      <c r="H1990" s="23"/>
      <c r="I1990" s="27"/>
      <c r="J1990" s="23"/>
      <c r="K1990" s="30"/>
      <c r="L1990" s="23"/>
      <c r="M1990" s="20"/>
      <c r="N1990" s="20"/>
      <c r="O1990" s="20"/>
      <c r="P1990" s="20"/>
    </row>
    <row r="1991">
      <c r="A1991" s="10"/>
      <c r="B1991" s="11"/>
      <c r="C1991" s="10"/>
      <c r="D1991" s="13"/>
      <c r="E1991" s="14"/>
      <c r="F1991" s="14"/>
      <c r="G1991" s="14"/>
      <c r="H1991" s="10"/>
      <c r="I1991" s="17"/>
      <c r="J1991" s="10"/>
      <c r="K1991" s="46"/>
      <c r="L1991" s="10"/>
      <c r="M1991" s="20"/>
      <c r="N1991" s="20"/>
      <c r="O1991" s="20"/>
      <c r="P1991" s="20"/>
    </row>
    <row r="1992">
      <c r="A1992" s="23"/>
      <c r="B1992" s="21"/>
      <c r="C1992" s="23"/>
      <c r="D1992" s="24"/>
      <c r="E1992" s="14"/>
      <c r="F1992" s="14"/>
      <c r="G1992" s="14"/>
      <c r="H1992" s="23"/>
      <c r="I1992" s="27"/>
      <c r="J1992" s="23"/>
      <c r="K1992" s="30"/>
      <c r="L1992" s="23"/>
      <c r="M1992" s="20"/>
      <c r="N1992" s="20"/>
      <c r="O1992" s="20"/>
      <c r="P1992" s="20"/>
    </row>
    <row r="1993">
      <c r="A1993" s="10"/>
      <c r="B1993" s="11"/>
      <c r="C1993" s="10"/>
      <c r="D1993" s="13"/>
      <c r="E1993" s="14"/>
      <c r="F1993" s="14"/>
      <c r="G1993" s="14"/>
      <c r="H1993" s="10"/>
      <c r="I1993" s="17"/>
      <c r="J1993" s="10"/>
      <c r="K1993" s="46"/>
      <c r="L1993" s="10"/>
      <c r="M1993" s="20"/>
      <c r="N1993" s="20"/>
      <c r="O1993" s="20"/>
      <c r="P1993" s="20"/>
    </row>
    <row r="1994">
      <c r="A1994" s="23"/>
      <c r="B1994" s="21"/>
      <c r="C1994" s="23"/>
      <c r="D1994" s="24"/>
      <c r="E1994" s="14"/>
      <c r="F1994" s="14"/>
      <c r="G1994" s="14"/>
      <c r="H1994" s="23"/>
      <c r="I1994" s="27"/>
      <c r="J1994" s="23"/>
      <c r="K1994" s="30"/>
      <c r="L1994" s="23"/>
      <c r="M1994" s="20"/>
      <c r="N1994" s="20"/>
      <c r="O1994" s="20"/>
      <c r="P1994" s="20"/>
    </row>
    <row r="1995">
      <c r="A1995" s="10"/>
      <c r="B1995" s="11"/>
      <c r="C1995" s="10"/>
      <c r="D1995" s="13"/>
      <c r="E1995" s="14"/>
      <c r="F1995" s="14"/>
      <c r="G1995" s="14"/>
      <c r="H1995" s="10"/>
      <c r="I1995" s="17"/>
      <c r="J1995" s="10"/>
      <c r="K1995" s="46"/>
      <c r="L1995" s="10"/>
      <c r="M1995" s="20"/>
      <c r="N1995" s="20"/>
      <c r="O1995" s="20"/>
      <c r="P1995" s="20"/>
    </row>
    <row r="1996">
      <c r="A1996" s="23"/>
      <c r="B1996" s="21"/>
      <c r="C1996" s="23"/>
      <c r="D1996" s="24"/>
      <c r="E1996" s="14"/>
      <c r="F1996" s="14"/>
      <c r="G1996" s="14"/>
      <c r="H1996" s="23"/>
      <c r="I1996" s="27"/>
      <c r="J1996" s="23"/>
      <c r="K1996" s="30"/>
      <c r="L1996" s="23"/>
      <c r="M1996" s="20"/>
      <c r="N1996" s="20"/>
      <c r="O1996" s="20"/>
      <c r="P1996" s="20"/>
    </row>
    <row r="1997">
      <c r="A1997" s="10"/>
      <c r="B1997" s="11"/>
      <c r="C1997" s="10"/>
      <c r="D1997" s="13"/>
      <c r="E1997" s="14"/>
      <c r="F1997" s="14"/>
      <c r="G1997" s="14"/>
      <c r="H1997" s="10"/>
      <c r="I1997" s="17"/>
      <c r="J1997" s="10"/>
      <c r="K1997" s="46"/>
      <c r="L1997" s="10"/>
      <c r="M1997" s="20"/>
      <c r="N1997" s="20"/>
      <c r="O1997" s="20"/>
      <c r="P1997" s="20"/>
    </row>
    <row r="1998">
      <c r="A1998" s="23"/>
      <c r="B1998" s="21"/>
      <c r="C1998" s="23"/>
      <c r="D1998" s="24"/>
      <c r="E1998" s="14"/>
      <c r="F1998" s="14"/>
      <c r="G1998" s="14"/>
      <c r="H1998" s="23"/>
      <c r="I1998" s="27"/>
      <c r="J1998" s="23"/>
      <c r="K1998" s="30"/>
      <c r="L1998" s="23"/>
      <c r="M1998" s="20"/>
      <c r="N1998" s="20"/>
      <c r="O1998" s="20"/>
      <c r="P1998" s="20"/>
    </row>
    <row r="1999">
      <c r="A1999" s="10"/>
      <c r="B1999" s="11"/>
      <c r="C1999" s="10"/>
      <c r="D1999" s="13"/>
      <c r="E1999" s="14"/>
      <c r="F1999" s="14"/>
      <c r="G1999" s="14"/>
      <c r="H1999" s="10"/>
      <c r="I1999" s="17"/>
      <c r="J1999" s="10"/>
      <c r="K1999" s="46"/>
      <c r="L1999" s="10"/>
      <c r="M1999" s="20"/>
      <c r="N1999" s="20"/>
      <c r="O1999" s="20"/>
      <c r="P1999" s="20"/>
    </row>
    <row r="2000">
      <c r="A2000" s="23"/>
      <c r="B2000" s="21"/>
      <c r="C2000" s="23"/>
      <c r="D2000" s="24"/>
      <c r="E2000" s="14"/>
      <c r="F2000" s="14"/>
      <c r="G2000" s="14"/>
      <c r="H2000" s="23"/>
      <c r="I2000" s="27"/>
      <c r="J2000" s="23"/>
      <c r="K2000" s="30"/>
      <c r="L2000" s="23"/>
      <c r="M2000" s="20"/>
      <c r="N2000" s="20"/>
      <c r="O2000" s="20"/>
      <c r="P2000" s="20"/>
    </row>
    <row r="2001">
      <c r="A2001" s="10"/>
      <c r="B2001" s="11"/>
      <c r="C2001" s="10"/>
      <c r="D2001" s="13"/>
      <c r="E2001" s="14"/>
      <c r="F2001" s="14"/>
      <c r="G2001" s="14"/>
      <c r="H2001" s="10"/>
      <c r="I2001" s="17"/>
      <c r="J2001" s="10"/>
      <c r="K2001" s="46"/>
      <c r="L2001" s="10"/>
      <c r="M2001" s="20"/>
      <c r="N2001" s="20"/>
      <c r="O2001" s="20"/>
      <c r="P2001" s="20"/>
    </row>
    <row r="2002">
      <c r="A2002" s="23"/>
      <c r="B2002" s="21"/>
      <c r="C2002" s="23"/>
      <c r="D2002" s="24"/>
      <c r="E2002" s="14"/>
      <c r="F2002" s="14"/>
      <c r="G2002" s="14"/>
      <c r="H2002" s="23"/>
      <c r="I2002" s="27"/>
      <c r="J2002" s="23"/>
      <c r="K2002" s="30"/>
      <c r="L2002" s="23"/>
      <c r="M2002" s="20"/>
      <c r="N2002" s="20"/>
      <c r="O2002" s="20"/>
      <c r="P2002" s="20"/>
    </row>
    <row r="2003">
      <c r="A2003" s="10"/>
      <c r="B2003" s="11"/>
      <c r="C2003" s="10"/>
      <c r="D2003" s="13"/>
      <c r="E2003" s="14"/>
      <c r="F2003" s="14"/>
      <c r="G2003" s="14"/>
      <c r="H2003" s="10"/>
      <c r="I2003" s="17"/>
      <c r="J2003" s="10"/>
      <c r="K2003" s="46"/>
      <c r="L2003" s="10"/>
      <c r="M2003" s="20"/>
      <c r="N2003" s="20"/>
      <c r="O2003" s="20"/>
      <c r="P2003" s="20"/>
    </row>
    <row r="2004">
      <c r="A2004" s="23"/>
      <c r="B2004" s="21"/>
      <c r="C2004" s="23"/>
      <c r="D2004" s="24"/>
      <c r="E2004" s="14"/>
      <c r="F2004" s="14"/>
      <c r="G2004" s="14"/>
      <c r="H2004" s="23"/>
      <c r="I2004" s="27"/>
      <c r="J2004" s="23"/>
      <c r="K2004" s="30"/>
      <c r="L2004" s="23"/>
      <c r="M2004" s="20"/>
      <c r="N2004" s="20"/>
      <c r="O2004" s="20"/>
      <c r="P2004" s="20"/>
    </row>
    <row r="2005">
      <c r="A2005" s="10"/>
      <c r="B2005" s="11"/>
      <c r="C2005" s="10"/>
      <c r="D2005" s="13"/>
      <c r="E2005" s="14"/>
      <c r="F2005" s="14"/>
      <c r="G2005" s="14"/>
      <c r="H2005" s="10"/>
      <c r="I2005" s="17"/>
      <c r="J2005" s="10"/>
      <c r="K2005" s="46"/>
      <c r="L2005" s="10"/>
      <c r="M2005" s="20"/>
      <c r="N2005" s="20"/>
      <c r="O2005" s="20"/>
      <c r="P2005" s="20"/>
    </row>
    <row r="2006">
      <c r="A2006" s="23"/>
      <c r="B2006" s="21"/>
      <c r="C2006" s="23"/>
      <c r="D2006" s="24"/>
      <c r="E2006" s="14"/>
      <c r="F2006" s="14"/>
      <c r="G2006" s="14"/>
      <c r="H2006" s="23"/>
      <c r="I2006" s="27"/>
      <c r="J2006" s="23"/>
      <c r="K2006" s="30"/>
      <c r="L2006" s="23"/>
      <c r="M2006" s="20"/>
      <c r="N2006" s="20"/>
      <c r="O2006" s="20"/>
      <c r="P2006" s="20"/>
    </row>
    <row r="2007">
      <c r="A2007" s="10"/>
      <c r="B2007" s="11"/>
      <c r="C2007" s="10"/>
      <c r="D2007" s="13"/>
      <c r="E2007" s="14"/>
      <c r="F2007" s="14"/>
      <c r="G2007" s="14"/>
      <c r="H2007" s="10"/>
      <c r="I2007" s="17"/>
      <c r="J2007" s="10"/>
      <c r="K2007" s="46"/>
      <c r="L2007" s="10"/>
      <c r="M2007" s="20"/>
      <c r="N2007" s="20"/>
      <c r="O2007" s="20"/>
      <c r="P2007" s="20"/>
    </row>
    <row r="2008">
      <c r="A2008" s="23"/>
      <c r="B2008" s="21"/>
      <c r="C2008" s="23"/>
      <c r="D2008" s="24"/>
      <c r="E2008" s="14"/>
      <c r="F2008" s="14"/>
      <c r="G2008" s="14"/>
      <c r="H2008" s="23"/>
      <c r="I2008" s="27"/>
      <c r="J2008" s="23"/>
      <c r="K2008" s="30"/>
      <c r="L2008" s="23"/>
      <c r="M2008" s="20"/>
      <c r="N2008" s="20"/>
      <c r="O2008" s="20"/>
      <c r="P2008" s="20"/>
    </row>
    <row r="2009">
      <c r="A2009" s="10"/>
      <c r="B2009" s="11"/>
      <c r="C2009" s="10"/>
      <c r="D2009" s="13"/>
      <c r="E2009" s="14"/>
      <c r="F2009" s="14"/>
      <c r="G2009" s="14"/>
      <c r="H2009" s="10"/>
      <c r="I2009" s="17"/>
      <c r="J2009" s="10"/>
      <c r="K2009" s="46"/>
      <c r="L2009" s="10"/>
      <c r="M2009" s="20"/>
      <c r="N2009" s="20"/>
      <c r="O2009" s="20"/>
      <c r="P2009" s="20"/>
    </row>
    <row r="2010">
      <c r="A2010" s="23"/>
      <c r="B2010" s="21"/>
      <c r="C2010" s="23"/>
      <c r="D2010" s="24"/>
      <c r="E2010" s="14"/>
      <c r="F2010" s="14"/>
      <c r="G2010" s="14"/>
      <c r="H2010" s="23"/>
      <c r="I2010" s="27"/>
      <c r="J2010" s="23"/>
      <c r="K2010" s="30"/>
      <c r="L2010" s="23"/>
      <c r="M2010" s="20"/>
      <c r="N2010" s="20"/>
      <c r="O2010" s="20"/>
      <c r="P2010" s="20"/>
    </row>
    <row r="2011">
      <c r="A2011" s="10"/>
      <c r="B2011" s="11"/>
      <c r="C2011" s="10"/>
      <c r="D2011" s="13"/>
      <c r="E2011" s="14"/>
      <c r="F2011" s="14"/>
      <c r="G2011" s="14"/>
      <c r="H2011" s="10"/>
      <c r="I2011" s="17"/>
      <c r="J2011" s="10"/>
      <c r="K2011" s="46"/>
      <c r="L2011" s="10"/>
      <c r="M2011" s="20"/>
      <c r="N2011" s="20"/>
      <c r="O2011" s="20"/>
      <c r="P2011" s="20"/>
    </row>
    <row r="2012">
      <c r="A2012" s="23"/>
      <c r="B2012" s="21"/>
      <c r="C2012" s="23"/>
      <c r="D2012" s="24"/>
      <c r="E2012" s="14"/>
      <c r="F2012" s="14"/>
      <c r="G2012" s="14"/>
      <c r="H2012" s="23"/>
      <c r="I2012" s="27"/>
      <c r="J2012" s="23"/>
      <c r="K2012" s="30"/>
      <c r="L2012" s="23"/>
      <c r="M2012" s="20"/>
      <c r="N2012" s="20"/>
      <c r="O2012" s="20"/>
      <c r="P2012" s="20"/>
    </row>
    <row r="2013">
      <c r="A2013" s="10"/>
      <c r="B2013" s="11"/>
      <c r="C2013" s="10"/>
      <c r="D2013" s="13"/>
      <c r="E2013" s="14"/>
      <c r="F2013" s="14"/>
      <c r="G2013" s="14"/>
      <c r="H2013" s="10"/>
      <c r="I2013" s="17"/>
      <c r="J2013" s="10"/>
      <c r="K2013" s="46"/>
      <c r="L2013" s="10"/>
      <c r="M2013" s="20"/>
      <c r="N2013" s="20"/>
      <c r="O2013" s="20"/>
      <c r="P2013" s="20"/>
    </row>
    <row r="2014">
      <c r="A2014" s="23"/>
      <c r="B2014" s="21"/>
      <c r="C2014" s="23"/>
      <c r="D2014" s="24"/>
      <c r="E2014" s="14"/>
      <c r="F2014" s="14"/>
      <c r="G2014" s="14"/>
      <c r="H2014" s="23"/>
      <c r="I2014" s="27"/>
      <c r="J2014" s="23"/>
      <c r="K2014" s="30"/>
      <c r="L2014" s="23"/>
      <c r="M2014" s="20"/>
      <c r="N2014" s="20"/>
      <c r="O2014" s="20"/>
      <c r="P2014" s="20"/>
    </row>
    <row r="2015">
      <c r="A2015" s="10"/>
      <c r="B2015" s="11"/>
      <c r="C2015" s="10"/>
      <c r="D2015" s="13"/>
      <c r="E2015" s="14"/>
      <c r="F2015" s="14"/>
      <c r="G2015" s="14"/>
      <c r="H2015" s="10"/>
      <c r="I2015" s="17"/>
      <c r="J2015" s="10"/>
      <c r="K2015" s="46"/>
      <c r="L2015" s="10"/>
      <c r="M2015" s="20"/>
      <c r="N2015" s="20"/>
      <c r="O2015" s="20"/>
      <c r="P2015" s="20"/>
    </row>
    <row r="2016">
      <c r="A2016" s="23"/>
      <c r="B2016" s="21"/>
      <c r="C2016" s="23"/>
      <c r="D2016" s="24"/>
      <c r="E2016" s="14"/>
      <c r="F2016" s="14"/>
      <c r="G2016" s="14"/>
      <c r="H2016" s="23"/>
      <c r="I2016" s="27"/>
      <c r="J2016" s="23"/>
      <c r="K2016" s="30"/>
      <c r="L2016" s="23"/>
      <c r="M2016" s="20"/>
      <c r="N2016" s="20"/>
      <c r="O2016" s="20"/>
      <c r="P2016" s="20"/>
    </row>
    <row r="2017">
      <c r="A2017" s="10"/>
      <c r="B2017" s="11"/>
      <c r="C2017" s="10"/>
      <c r="D2017" s="13"/>
      <c r="E2017" s="14"/>
      <c r="F2017" s="14"/>
      <c r="G2017" s="14"/>
      <c r="H2017" s="10"/>
      <c r="I2017" s="17"/>
      <c r="J2017" s="10"/>
      <c r="K2017" s="46"/>
      <c r="L2017" s="10"/>
      <c r="M2017" s="20"/>
      <c r="N2017" s="20"/>
      <c r="O2017" s="20"/>
      <c r="P2017" s="20"/>
    </row>
    <row r="2018">
      <c r="A2018" s="23"/>
      <c r="B2018" s="21"/>
      <c r="C2018" s="23"/>
      <c r="D2018" s="24"/>
      <c r="E2018" s="14"/>
      <c r="F2018" s="14"/>
      <c r="G2018" s="14"/>
      <c r="H2018" s="23"/>
      <c r="I2018" s="27"/>
      <c r="J2018" s="23"/>
      <c r="K2018" s="30"/>
      <c r="L2018" s="23"/>
      <c r="M2018" s="20"/>
      <c r="N2018" s="20"/>
      <c r="O2018" s="20"/>
      <c r="P2018" s="20"/>
    </row>
    <row r="2019">
      <c r="A2019" s="10"/>
      <c r="B2019" s="11"/>
      <c r="C2019" s="10"/>
      <c r="D2019" s="13"/>
      <c r="E2019" s="14"/>
      <c r="F2019" s="14"/>
      <c r="G2019" s="14"/>
      <c r="H2019" s="10"/>
      <c r="I2019" s="17"/>
      <c r="J2019" s="10"/>
      <c r="K2019" s="46"/>
      <c r="L2019" s="10"/>
      <c r="M2019" s="20"/>
      <c r="N2019" s="20"/>
      <c r="O2019" s="20"/>
      <c r="P2019" s="20"/>
    </row>
    <row r="2020">
      <c r="A2020" s="23"/>
      <c r="B2020" s="21"/>
      <c r="C2020" s="23"/>
      <c r="D2020" s="24"/>
      <c r="E2020" s="14"/>
      <c r="F2020" s="14"/>
      <c r="G2020" s="14"/>
      <c r="H2020" s="23"/>
      <c r="I2020" s="27"/>
      <c r="J2020" s="23"/>
      <c r="K2020" s="30"/>
      <c r="L2020" s="23"/>
      <c r="M2020" s="20"/>
      <c r="N2020" s="20"/>
      <c r="O2020" s="20"/>
      <c r="P2020" s="20"/>
    </row>
    <row r="2021">
      <c r="A2021" s="10"/>
      <c r="B2021" s="11"/>
      <c r="C2021" s="10"/>
      <c r="D2021" s="13"/>
      <c r="E2021" s="14"/>
      <c r="F2021" s="14"/>
      <c r="G2021" s="14"/>
      <c r="H2021" s="10"/>
      <c r="I2021" s="17"/>
      <c r="J2021" s="10"/>
      <c r="K2021" s="46"/>
      <c r="L2021" s="10"/>
      <c r="M2021" s="20"/>
      <c r="N2021" s="20"/>
      <c r="O2021" s="20"/>
      <c r="P2021" s="20"/>
    </row>
    <row r="2022">
      <c r="A2022" s="23"/>
      <c r="B2022" s="21"/>
      <c r="C2022" s="23"/>
      <c r="D2022" s="24"/>
      <c r="E2022" s="14"/>
      <c r="F2022" s="14"/>
      <c r="G2022" s="14"/>
      <c r="H2022" s="23"/>
      <c r="I2022" s="27"/>
      <c r="J2022" s="23"/>
      <c r="K2022" s="30"/>
      <c r="L2022" s="23"/>
      <c r="M2022" s="20"/>
      <c r="N2022" s="20"/>
      <c r="O2022" s="20"/>
      <c r="P2022" s="20"/>
    </row>
    <row r="2023">
      <c r="A2023" s="10"/>
      <c r="B2023" s="11"/>
      <c r="C2023" s="10"/>
      <c r="D2023" s="13"/>
      <c r="E2023" s="14"/>
      <c r="F2023" s="14"/>
      <c r="G2023" s="14"/>
      <c r="H2023" s="10"/>
      <c r="I2023" s="17"/>
      <c r="J2023" s="10"/>
      <c r="K2023" s="46"/>
      <c r="L2023" s="10"/>
      <c r="M2023" s="20"/>
      <c r="N2023" s="20"/>
      <c r="O2023" s="20"/>
      <c r="P2023" s="20"/>
    </row>
    <row r="2024">
      <c r="A2024" s="23"/>
      <c r="B2024" s="21"/>
      <c r="C2024" s="23"/>
      <c r="D2024" s="24"/>
      <c r="E2024" s="14"/>
      <c r="F2024" s="14"/>
      <c r="G2024" s="14"/>
      <c r="H2024" s="23"/>
      <c r="I2024" s="27"/>
      <c r="J2024" s="23"/>
      <c r="K2024" s="30"/>
      <c r="L2024" s="23"/>
      <c r="M2024" s="20"/>
      <c r="N2024" s="20"/>
      <c r="O2024" s="20"/>
      <c r="P2024" s="20"/>
    </row>
    <row r="2025">
      <c r="A2025" s="10"/>
      <c r="B2025" s="11"/>
      <c r="C2025" s="10"/>
      <c r="D2025" s="13"/>
      <c r="E2025" s="14"/>
      <c r="F2025" s="14"/>
      <c r="G2025" s="14"/>
      <c r="H2025" s="10"/>
      <c r="I2025" s="17"/>
      <c r="J2025" s="10"/>
      <c r="K2025" s="46"/>
      <c r="L2025" s="10"/>
      <c r="M2025" s="20"/>
      <c r="N2025" s="20"/>
      <c r="O2025" s="20"/>
      <c r="P2025" s="20"/>
    </row>
    <row r="2026">
      <c r="A2026" s="23"/>
      <c r="B2026" s="21"/>
      <c r="C2026" s="23"/>
      <c r="D2026" s="24"/>
      <c r="E2026" s="14"/>
      <c r="F2026" s="14"/>
      <c r="G2026" s="14"/>
      <c r="H2026" s="23"/>
      <c r="I2026" s="27"/>
      <c r="J2026" s="23"/>
      <c r="K2026" s="30"/>
      <c r="L2026" s="23"/>
      <c r="M2026" s="20"/>
      <c r="N2026" s="20"/>
      <c r="O2026" s="20"/>
      <c r="P2026" s="20"/>
    </row>
    <row r="2027">
      <c r="A2027" s="10"/>
      <c r="B2027" s="11"/>
      <c r="C2027" s="10"/>
      <c r="D2027" s="13"/>
      <c r="E2027" s="14"/>
      <c r="F2027" s="14"/>
      <c r="G2027" s="14"/>
      <c r="H2027" s="10"/>
      <c r="I2027" s="17"/>
      <c r="J2027" s="10"/>
      <c r="K2027" s="46"/>
      <c r="L2027" s="10"/>
      <c r="M2027" s="20"/>
      <c r="N2027" s="20"/>
      <c r="O2027" s="20"/>
      <c r="P2027" s="20"/>
    </row>
    <row r="2028">
      <c r="A2028" s="23"/>
      <c r="B2028" s="21"/>
      <c r="C2028" s="23"/>
      <c r="D2028" s="24"/>
      <c r="E2028" s="14"/>
      <c r="F2028" s="14"/>
      <c r="G2028" s="14"/>
      <c r="H2028" s="23"/>
      <c r="I2028" s="27"/>
      <c r="J2028" s="23"/>
      <c r="K2028" s="30"/>
      <c r="L2028" s="23"/>
      <c r="M2028" s="20"/>
      <c r="N2028" s="20"/>
      <c r="O2028" s="20"/>
      <c r="P2028" s="20"/>
    </row>
    <row r="2029">
      <c r="A2029" s="10"/>
      <c r="B2029" s="11"/>
      <c r="C2029" s="10"/>
      <c r="D2029" s="13"/>
      <c r="E2029" s="14"/>
      <c r="F2029" s="14"/>
      <c r="G2029" s="14"/>
      <c r="H2029" s="10"/>
      <c r="I2029" s="17"/>
      <c r="J2029" s="10"/>
      <c r="K2029" s="46"/>
      <c r="L2029" s="10"/>
      <c r="M2029" s="20"/>
      <c r="N2029" s="20"/>
      <c r="O2029" s="20"/>
      <c r="P2029" s="20"/>
    </row>
    <row r="2030">
      <c r="A2030" s="23"/>
      <c r="B2030" s="21"/>
      <c r="C2030" s="23"/>
      <c r="D2030" s="24"/>
      <c r="E2030" s="14"/>
      <c r="F2030" s="14"/>
      <c r="G2030" s="14"/>
      <c r="H2030" s="23"/>
      <c r="I2030" s="27"/>
      <c r="J2030" s="23"/>
      <c r="K2030" s="30"/>
      <c r="L2030" s="23"/>
      <c r="M2030" s="20"/>
      <c r="N2030" s="20"/>
      <c r="O2030" s="20"/>
      <c r="P2030" s="20"/>
    </row>
    <row r="2031">
      <c r="A2031" s="10"/>
      <c r="B2031" s="11"/>
      <c r="C2031" s="10"/>
      <c r="D2031" s="13"/>
      <c r="E2031" s="14"/>
      <c r="F2031" s="14"/>
      <c r="G2031" s="14"/>
      <c r="H2031" s="10"/>
      <c r="I2031" s="17"/>
      <c r="J2031" s="10"/>
      <c r="K2031" s="46"/>
      <c r="L2031" s="10"/>
      <c r="M2031" s="20"/>
      <c r="N2031" s="20"/>
      <c r="O2031" s="20"/>
      <c r="P2031" s="20"/>
    </row>
    <row r="2032">
      <c r="A2032" s="23"/>
      <c r="B2032" s="21"/>
      <c r="C2032" s="23"/>
      <c r="D2032" s="24"/>
      <c r="E2032" s="14"/>
      <c r="F2032" s="14"/>
      <c r="G2032" s="14"/>
      <c r="H2032" s="23"/>
      <c r="I2032" s="27"/>
      <c r="J2032" s="23"/>
      <c r="K2032" s="30"/>
      <c r="L2032" s="23"/>
      <c r="M2032" s="20"/>
      <c r="N2032" s="20"/>
      <c r="O2032" s="20"/>
      <c r="P2032" s="20"/>
    </row>
    <row r="2033">
      <c r="A2033" s="10"/>
      <c r="B2033" s="11"/>
      <c r="C2033" s="10"/>
      <c r="D2033" s="13"/>
      <c r="E2033" s="14"/>
      <c r="F2033" s="14"/>
      <c r="G2033" s="14"/>
      <c r="H2033" s="10"/>
      <c r="I2033" s="17"/>
      <c r="J2033" s="10"/>
      <c r="K2033" s="46"/>
      <c r="L2033" s="10"/>
      <c r="M2033" s="20"/>
      <c r="N2033" s="20"/>
      <c r="O2033" s="20"/>
      <c r="P2033" s="20"/>
    </row>
    <row r="2034">
      <c r="A2034" s="23"/>
      <c r="B2034" s="21"/>
      <c r="C2034" s="23"/>
      <c r="D2034" s="24"/>
      <c r="E2034" s="14"/>
      <c r="F2034" s="14"/>
      <c r="G2034" s="14"/>
      <c r="H2034" s="23"/>
      <c r="I2034" s="27"/>
      <c r="J2034" s="23"/>
      <c r="K2034" s="30"/>
      <c r="L2034" s="23"/>
      <c r="M2034" s="20"/>
      <c r="N2034" s="20"/>
      <c r="O2034" s="20"/>
      <c r="P2034" s="20"/>
    </row>
    <row r="2035">
      <c r="A2035" s="10"/>
      <c r="B2035" s="11"/>
      <c r="C2035" s="10"/>
      <c r="D2035" s="13"/>
      <c r="E2035" s="14"/>
      <c r="F2035" s="14"/>
      <c r="G2035" s="14"/>
      <c r="H2035" s="10"/>
      <c r="I2035" s="17"/>
      <c r="J2035" s="10"/>
      <c r="K2035" s="46"/>
      <c r="L2035" s="10"/>
      <c r="M2035" s="20"/>
      <c r="N2035" s="20"/>
      <c r="O2035" s="20"/>
      <c r="P2035" s="20"/>
    </row>
    <row r="2036">
      <c r="A2036" s="23"/>
      <c r="B2036" s="21"/>
      <c r="C2036" s="23"/>
      <c r="D2036" s="24"/>
      <c r="E2036" s="14"/>
      <c r="F2036" s="14"/>
      <c r="G2036" s="14"/>
      <c r="H2036" s="23"/>
      <c r="I2036" s="27"/>
      <c r="J2036" s="23"/>
      <c r="K2036" s="30"/>
      <c r="L2036" s="23"/>
      <c r="M2036" s="20"/>
      <c r="N2036" s="20"/>
      <c r="O2036" s="20"/>
      <c r="P2036" s="20"/>
    </row>
    <row r="2037">
      <c r="A2037" s="10"/>
      <c r="B2037" s="11"/>
      <c r="C2037" s="10"/>
      <c r="D2037" s="13"/>
      <c r="E2037" s="14"/>
      <c r="F2037" s="14"/>
      <c r="G2037" s="14"/>
      <c r="H2037" s="10"/>
      <c r="I2037" s="17"/>
      <c r="J2037" s="10"/>
      <c r="K2037" s="46"/>
      <c r="L2037" s="10"/>
      <c r="M2037" s="20"/>
      <c r="N2037" s="20"/>
      <c r="O2037" s="20"/>
      <c r="P2037" s="20"/>
    </row>
    <row r="2038">
      <c r="A2038" s="23"/>
      <c r="B2038" s="21"/>
      <c r="C2038" s="23"/>
      <c r="D2038" s="24"/>
      <c r="E2038" s="14"/>
      <c r="F2038" s="14"/>
      <c r="G2038" s="14"/>
      <c r="H2038" s="23"/>
      <c r="I2038" s="27"/>
      <c r="J2038" s="23"/>
      <c r="K2038" s="30"/>
      <c r="L2038" s="23"/>
      <c r="M2038" s="20"/>
      <c r="N2038" s="20"/>
      <c r="O2038" s="20"/>
      <c r="P2038" s="20"/>
    </row>
    <row r="2039">
      <c r="A2039" s="10"/>
      <c r="B2039" s="11"/>
      <c r="C2039" s="10"/>
      <c r="D2039" s="13"/>
      <c r="E2039" s="14"/>
      <c r="F2039" s="14"/>
      <c r="G2039" s="14"/>
      <c r="H2039" s="10"/>
      <c r="I2039" s="17"/>
      <c r="J2039" s="10"/>
      <c r="K2039" s="46"/>
      <c r="L2039" s="10"/>
      <c r="M2039" s="20"/>
      <c r="N2039" s="20"/>
      <c r="O2039" s="20"/>
      <c r="P2039" s="20"/>
    </row>
    <row r="2040">
      <c r="A2040" s="23"/>
      <c r="B2040" s="21"/>
      <c r="C2040" s="23"/>
      <c r="D2040" s="24"/>
      <c r="E2040" s="14"/>
      <c r="F2040" s="14"/>
      <c r="G2040" s="14"/>
      <c r="H2040" s="23"/>
      <c r="I2040" s="27"/>
      <c r="J2040" s="23"/>
      <c r="K2040" s="30"/>
      <c r="L2040" s="23"/>
      <c r="M2040" s="20"/>
      <c r="N2040" s="20"/>
      <c r="O2040" s="20"/>
      <c r="P2040" s="20"/>
    </row>
    <row r="2041">
      <c r="A2041" s="10"/>
      <c r="B2041" s="11"/>
      <c r="C2041" s="10"/>
      <c r="D2041" s="13"/>
      <c r="E2041" s="14"/>
      <c r="F2041" s="14"/>
      <c r="G2041" s="14"/>
      <c r="H2041" s="10"/>
      <c r="I2041" s="17"/>
      <c r="J2041" s="10"/>
      <c r="K2041" s="46"/>
      <c r="L2041" s="10"/>
      <c r="M2041" s="20"/>
      <c r="N2041" s="20"/>
      <c r="O2041" s="20"/>
      <c r="P2041" s="20"/>
    </row>
    <row r="2042">
      <c r="A2042" s="23"/>
      <c r="B2042" s="21"/>
      <c r="C2042" s="23"/>
      <c r="D2042" s="24"/>
      <c r="E2042" s="14"/>
      <c r="F2042" s="14"/>
      <c r="G2042" s="14"/>
      <c r="H2042" s="23"/>
      <c r="I2042" s="27"/>
      <c r="J2042" s="23"/>
      <c r="K2042" s="30"/>
      <c r="L2042" s="23"/>
      <c r="M2042" s="20"/>
      <c r="N2042" s="20"/>
      <c r="O2042" s="20"/>
      <c r="P2042" s="20"/>
    </row>
    <row r="2043">
      <c r="A2043" s="10"/>
      <c r="B2043" s="11"/>
      <c r="C2043" s="10"/>
      <c r="D2043" s="13"/>
      <c r="E2043" s="14"/>
      <c r="F2043" s="14"/>
      <c r="G2043" s="14"/>
      <c r="H2043" s="10"/>
      <c r="I2043" s="17"/>
      <c r="J2043" s="10"/>
      <c r="K2043" s="46"/>
      <c r="L2043" s="10"/>
      <c r="M2043" s="20"/>
      <c r="N2043" s="20"/>
      <c r="O2043" s="20"/>
      <c r="P2043" s="20"/>
    </row>
    <row r="2044">
      <c r="A2044" s="23"/>
      <c r="B2044" s="21"/>
      <c r="C2044" s="23"/>
      <c r="D2044" s="24"/>
      <c r="E2044" s="14"/>
      <c r="F2044" s="14"/>
      <c r="G2044" s="14"/>
      <c r="H2044" s="23"/>
      <c r="I2044" s="27"/>
      <c r="J2044" s="23"/>
      <c r="K2044" s="30"/>
      <c r="L2044" s="23"/>
      <c r="M2044" s="20"/>
      <c r="N2044" s="20"/>
      <c r="O2044" s="20"/>
      <c r="P2044" s="20"/>
    </row>
    <row r="2045">
      <c r="A2045" s="10"/>
      <c r="B2045" s="11"/>
      <c r="C2045" s="10"/>
      <c r="D2045" s="13"/>
      <c r="E2045" s="14"/>
      <c r="F2045" s="14"/>
      <c r="G2045" s="14"/>
      <c r="H2045" s="10"/>
      <c r="I2045" s="17"/>
      <c r="J2045" s="10"/>
      <c r="K2045" s="46"/>
      <c r="L2045" s="10"/>
      <c r="M2045" s="20"/>
      <c r="N2045" s="20"/>
      <c r="O2045" s="20"/>
      <c r="P2045" s="20"/>
    </row>
    <row r="2046">
      <c r="A2046" s="23"/>
      <c r="B2046" s="21"/>
      <c r="C2046" s="23"/>
      <c r="D2046" s="24"/>
      <c r="E2046" s="14"/>
      <c r="F2046" s="14"/>
      <c r="G2046" s="14"/>
      <c r="H2046" s="23"/>
      <c r="I2046" s="27"/>
      <c r="J2046" s="23"/>
      <c r="K2046" s="30"/>
      <c r="L2046" s="23"/>
      <c r="M2046" s="20"/>
      <c r="N2046" s="20"/>
      <c r="O2046" s="20"/>
      <c r="P2046" s="20"/>
    </row>
    <row r="2047">
      <c r="A2047" s="10"/>
      <c r="B2047" s="11"/>
      <c r="C2047" s="10"/>
      <c r="D2047" s="13"/>
      <c r="E2047" s="14"/>
      <c r="F2047" s="14"/>
      <c r="G2047" s="14"/>
      <c r="H2047" s="10"/>
      <c r="I2047" s="17"/>
      <c r="J2047" s="10"/>
      <c r="K2047" s="46"/>
      <c r="L2047" s="10"/>
      <c r="M2047" s="20"/>
      <c r="N2047" s="20"/>
      <c r="O2047" s="20"/>
      <c r="P2047" s="20"/>
    </row>
    <row r="2048">
      <c r="A2048" s="23"/>
      <c r="B2048" s="21"/>
      <c r="C2048" s="23"/>
      <c r="D2048" s="24"/>
      <c r="E2048" s="14"/>
      <c r="F2048" s="14"/>
      <c r="G2048" s="14"/>
      <c r="H2048" s="23"/>
      <c r="I2048" s="27"/>
      <c r="J2048" s="23"/>
      <c r="K2048" s="30"/>
      <c r="L2048" s="23"/>
      <c r="M2048" s="20"/>
      <c r="N2048" s="20"/>
      <c r="O2048" s="20"/>
      <c r="P2048" s="20"/>
    </row>
    <row r="2049">
      <c r="A2049" s="10"/>
      <c r="B2049" s="11"/>
      <c r="C2049" s="10"/>
      <c r="D2049" s="13"/>
      <c r="E2049" s="14"/>
      <c r="F2049" s="14"/>
      <c r="G2049" s="14"/>
      <c r="H2049" s="10"/>
      <c r="I2049" s="17"/>
      <c r="J2049" s="10"/>
      <c r="K2049" s="46"/>
      <c r="L2049" s="10"/>
      <c r="M2049" s="20"/>
      <c r="N2049" s="20"/>
      <c r="O2049" s="20"/>
      <c r="P2049" s="20"/>
    </row>
    <row r="2050">
      <c r="A2050" s="23"/>
      <c r="B2050" s="21"/>
      <c r="C2050" s="23"/>
      <c r="D2050" s="24"/>
      <c r="E2050" s="14"/>
      <c r="F2050" s="14"/>
      <c r="G2050" s="14"/>
      <c r="H2050" s="23"/>
      <c r="I2050" s="27"/>
      <c r="J2050" s="23"/>
      <c r="K2050" s="30"/>
      <c r="L2050" s="23"/>
      <c r="M2050" s="20"/>
      <c r="N2050" s="20"/>
      <c r="O2050" s="20"/>
      <c r="P2050" s="20"/>
    </row>
    <row r="2051">
      <c r="A2051" s="10"/>
      <c r="B2051" s="11"/>
      <c r="C2051" s="10"/>
      <c r="D2051" s="13"/>
      <c r="E2051" s="14"/>
      <c r="F2051" s="14"/>
      <c r="G2051" s="14"/>
      <c r="H2051" s="10"/>
      <c r="I2051" s="17"/>
      <c r="J2051" s="10"/>
      <c r="K2051" s="46"/>
      <c r="L2051" s="10"/>
      <c r="M2051" s="20"/>
      <c r="N2051" s="20"/>
      <c r="O2051" s="20"/>
      <c r="P2051" s="20"/>
    </row>
    <row r="2052">
      <c r="A2052" s="23"/>
      <c r="B2052" s="21"/>
      <c r="C2052" s="23"/>
      <c r="D2052" s="24"/>
      <c r="E2052" s="14"/>
      <c r="F2052" s="14"/>
      <c r="G2052" s="14"/>
      <c r="H2052" s="23"/>
      <c r="I2052" s="27"/>
      <c r="J2052" s="23"/>
      <c r="K2052" s="30"/>
      <c r="L2052" s="23"/>
      <c r="M2052" s="20"/>
      <c r="N2052" s="20"/>
      <c r="O2052" s="20"/>
      <c r="P2052" s="20"/>
    </row>
    <row r="2053">
      <c r="A2053" s="10"/>
      <c r="B2053" s="11"/>
      <c r="C2053" s="10"/>
      <c r="D2053" s="13"/>
      <c r="E2053" s="14"/>
      <c r="F2053" s="14"/>
      <c r="G2053" s="14"/>
      <c r="H2053" s="10"/>
      <c r="I2053" s="17"/>
      <c r="J2053" s="10"/>
      <c r="K2053" s="46"/>
      <c r="L2053" s="10"/>
      <c r="M2053" s="20"/>
      <c r="N2053" s="20"/>
      <c r="O2053" s="20"/>
      <c r="P2053" s="20"/>
    </row>
    <row r="2054">
      <c r="A2054" s="23"/>
      <c r="B2054" s="21"/>
      <c r="C2054" s="23"/>
      <c r="D2054" s="24"/>
      <c r="E2054" s="14"/>
      <c r="F2054" s="14"/>
      <c r="G2054" s="14"/>
      <c r="H2054" s="23"/>
      <c r="I2054" s="27"/>
      <c r="J2054" s="23"/>
      <c r="K2054" s="30"/>
      <c r="L2054" s="23"/>
      <c r="M2054" s="20"/>
      <c r="N2054" s="20"/>
      <c r="O2054" s="20"/>
      <c r="P2054" s="20"/>
    </row>
    <row r="2055">
      <c r="A2055" s="10"/>
      <c r="B2055" s="11"/>
      <c r="C2055" s="10"/>
      <c r="D2055" s="13"/>
      <c r="E2055" s="14"/>
      <c r="F2055" s="14"/>
      <c r="G2055" s="14"/>
      <c r="H2055" s="10"/>
      <c r="I2055" s="17"/>
      <c r="J2055" s="10"/>
      <c r="K2055" s="46"/>
      <c r="L2055" s="10"/>
      <c r="M2055" s="20"/>
      <c r="N2055" s="20"/>
      <c r="O2055" s="20"/>
      <c r="P2055" s="20"/>
    </row>
    <row r="2056">
      <c r="A2056" s="23"/>
      <c r="B2056" s="21"/>
      <c r="C2056" s="23"/>
      <c r="D2056" s="24"/>
      <c r="E2056" s="14"/>
      <c r="F2056" s="14"/>
      <c r="G2056" s="14"/>
      <c r="H2056" s="23"/>
      <c r="I2056" s="27"/>
      <c r="J2056" s="23"/>
      <c r="K2056" s="30"/>
      <c r="L2056" s="23"/>
      <c r="M2056" s="20"/>
      <c r="N2056" s="20"/>
      <c r="O2056" s="20"/>
      <c r="P2056" s="20"/>
    </row>
    <row r="2057">
      <c r="A2057" s="10"/>
      <c r="B2057" s="11"/>
      <c r="C2057" s="10"/>
      <c r="D2057" s="13"/>
      <c r="E2057" s="14"/>
      <c r="F2057" s="14"/>
      <c r="G2057" s="14"/>
      <c r="H2057" s="10"/>
      <c r="I2057" s="17"/>
      <c r="J2057" s="10"/>
      <c r="K2057" s="46"/>
      <c r="L2057" s="10"/>
      <c r="M2057" s="20"/>
      <c r="N2057" s="20"/>
      <c r="O2057" s="20"/>
      <c r="P2057" s="20"/>
    </row>
    <row r="2058">
      <c r="A2058" s="23"/>
      <c r="B2058" s="21"/>
      <c r="C2058" s="23"/>
      <c r="D2058" s="24"/>
      <c r="E2058" s="14"/>
      <c r="F2058" s="14"/>
      <c r="G2058" s="14"/>
      <c r="H2058" s="23"/>
      <c r="I2058" s="27"/>
      <c r="J2058" s="23"/>
      <c r="K2058" s="30"/>
      <c r="L2058" s="23"/>
      <c r="M2058" s="20"/>
      <c r="N2058" s="20"/>
      <c r="O2058" s="20"/>
      <c r="P2058" s="20"/>
    </row>
    <row r="2059">
      <c r="A2059" s="10"/>
      <c r="B2059" s="11"/>
      <c r="C2059" s="10"/>
      <c r="D2059" s="13"/>
      <c r="E2059" s="14"/>
      <c r="F2059" s="14"/>
      <c r="G2059" s="14"/>
      <c r="H2059" s="10"/>
      <c r="I2059" s="17"/>
      <c r="J2059" s="10"/>
      <c r="K2059" s="46"/>
      <c r="L2059" s="10"/>
      <c r="M2059" s="20"/>
      <c r="N2059" s="20"/>
      <c r="O2059" s="20"/>
      <c r="P2059" s="20"/>
    </row>
    <row r="2060">
      <c r="A2060" s="23"/>
      <c r="B2060" s="21"/>
      <c r="C2060" s="23"/>
      <c r="D2060" s="24"/>
      <c r="E2060" s="14"/>
      <c r="F2060" s="14"/>
      <c r="G2060" s="14"/>
      <c r="H2060" s="23"/>
      <c r="I2060" s="27"/>
      <c r="J2060" s="23"/>
      <c r="K2060" s="30"/>
      <c r="L2060" s="23"/>
      <c r="M2060" s="20"/>
      <c r="N2060" s="20"/>
      <c r="O2060" s="20"/>
      <c r="P2060" s="20"/>
    </row>
    <row r="2061">
      <c r="A2061" s="10"/>
      <c r="B2061" s="11"/>
      <c r="C2061" s="10"/>
      <c r="D2061" s="13"/>
      <c r="E2061" s="14"/>
      <c r="F2061" s="14"/>
      <c r="G2061" s="14"/>
      <c r="H2061" s="10"/>
      <c r="I2061" s="17"/>
      <c r="J2061" s="10"/>
      <c r="K2061" s="46"/>
      <c r="L2061" s="10"/>
      <c r="M2061" s="20"/>
      <c r="N2061" s="20"/>
      <c r="O2061" s="20"/>
      <c r="P2061" s="20"/>
    </row>
    <row r="2062">
      <c r="A2062" s="23"/>
      <c r="B2062" s="21"/>
      <c r="C2062" s="23"/>
      <c r="D2062" s="24"/>
      <c r="E2062" s="14"/>
      <c r="F2062" s="14"/>
      <c r="G2062" s="14"/>
      <c r="H2062" s="23"/>
      <c r="I2062" s="27"/>
      <c r="J2062" s="23"/>
      <c r="K2062" s="30"/>
      <c r="L2062" s="23"/>
      <c r="M2062" s="20"/>
      <c r="N2062" s="20"/>
      <c r="O2062" s="20"/>
      <c r="P2062" s="20"/>
    </row>
    <row r="2063">
      <c r="A2063" s="10"/>
      <c r="B2063" s="11"/>
      <c r="C2063" s="10"/>
      <c r="D2063" s="13"/>
      <c r="E2063" s="14"/>
      <c r="F2063" s="14"/>
      <c r="G2063" s="14"/>
      <c r="H2063" s="10"/>
      <c r="I2063" s="17"/>
      <c r="J2063" s="10"/>
      <c r="K2063" s="46"/>
      <c r="L2063" s="10"/>
      <c r="M2063" s="20"/>
      <c r="N2063" s="20"/>
      <c r="O2063" s="20"/>
      <c r="P2063" s="20"/>
    </row>
    <row r="2064">
      <c r="A2064" s="23"/>
      <c r="B2064" s="21"/>
      <c r="C2064" s="23"/>
      <c r="D2064" s="24"/>
      <c r="E2064" s="14"/>
      <c r="F2064" s="14"/>
      <c r="G2064" s="14"/>
      <c r="H2064" s="23"/>
      <c r="I2064" s="27"/>
      <c r="J2064" s="23"/>
      <c r="K2064" s="30"/>
      <c r="L2064" s="23"/>
      <c r="M2064" s="20"/>
      <c r="N2064" s="20"/>
      <c r="O2064" s="20"/>
      <c r="P2064" s="20"/>
    </row>
    <row r="2065">
      <c r="A2065" s="10"/>
      <c r="B2065" s="11"/>
      <c r="C2065" s="10"/>
      <c r="D2065" s="13"/>
      <c r="E2065" s="14"/>
      <c r="F2065" s="14"/>
      <c r="G2065" s="14"/>
      <c r="H2065" s="10"/>
      <c r="I2065" s="17"/>
      <c r="J2065" s="10"/>
      <c r="K2065" s="46"/>
      <c r="L2065" s="10"/>
      <c r="M2065" s="20"/>
      <c r="N2065" s="20"/>
      <c r="O2065" s="20"/>
      <c r="P2065" s="20"/>
    </row>
    <row r="2066">
      <c r="A2066" s="23"/>
      <c r="B2066" s="21"/>
      <c r="C2066" s="23"/>
      <c r="D2066" s="24"/>
      <c r="E2066" s="14"/>
      <c r="F2066" s="14"/>
      <c r="G2066" s="14"/>
      <c r="H2066" s="23"/>
      <c r="I2066" s="27"/>
      <c r="J2066" s="23"/>
      <c r="K2066" s="30"/>
      <c r="L2066" s="23"/>
      <c r="M2066" s="20"/>
      <c r="N2066" s="20"/>
      <c r="O2066" s="20"/>
      <c r="P2066" s="20"/>
    </row>
    <row r="2067">
      <c r="A2067" s="10"/>
      <c r="B2067" s="11"/>
      <c r="C2067" s="10"/>
      <c r="D2067" s="13"/>
      <c r="E2067" s="14"/>
      <c r="F2067" s="14"/>
      <c r="G2067" s="14"/>
      <c r="H2067" s="10"/>
      <c r="I2067" s="17"/>
      <c r="J2067" s="10"/>
      <c r="K2067" s="46"/>
      <c r="L2067" s="10"/>
      <c r="M2067" s="20"/>
      <c r="N2067" s="20"/>
      <c r="O2067" s="20"/>
      <c r="P2067" s="20"/>
    </row>
    <row r="2068">
      <c r="A2068" s="23"/>
      <c r="B2068" s="21"/>
      <c r="C2068" s="23"/>
      <c r="D2068" s="24"/>
      <c r="E2068" s="14"/>
      <c r="F2068" s="14"/>
      <c r="G2068" s="14"/>
      <c r="H2068" s="23"/>
      <c r="I2068" s="27"/>
      <c r="J2068" s="23"/>
      <c r="K2068" s="30"/>
      <c r="L2068" s="23"/>
      <c r="M2068" s="20"/>
      <c r="N2068" s="20"/>
      <c r="O2068" s="20"/>
      <c r="P2068" s="20"/>
    </row>
    <row r="2069">
      <c r="A2069" s="10"/>
      <c r="B2069" s="11"/>
      <c r="C2069" s="10"/>
      <c r="D2069" s="13"/>
      <c r="E2069" s="14"/>
      <c r="F2069" s="14"/>
      <c r="G2069" s="14"/>
      <c r="H2069" s="10"/>
      <c r="I2069" s="17"/>
      <c r="J2069" s="10"/>
      <c r="K2069" s="46"/>
      <c r="L2069" s="10"/>
      <c r="M2069" s="20"/>
      <c r="N2069" s="20"/>
      <c r="O2069" s="20"/>
      <c r="P2069" s="20"/>
    </row>
    <row r="2070">
      <c r="A2070" s="23"/>
      <c r="B2070" s="21"/>
      <c r="C2070" s="23"/>
      <c r="D2070" s="24"/>
      <c r="E2070" s="14"/>
      <c r="F2070" s="14"/>
      <c r="G2070" s="14"/>
      <c r="H2070" s="23"/>
      <c r="I2070" s="27"/>
      <c r="J2070" s="23"/>
      <c r="K2070" s="30"/>
      <c r="L2070" s="23"/>
      <c r="M2070" s="20"/>
      <c r="N2070" s="20"/>
      <c r="O2070" s="20"/>
      <c r="P2070" s="20"/>
    </row>
    <row r="2071">
      <c r="A2071" s="10"/>
      <c r="B2071" s="11"/>
      <c r="C2071" s="10"/>
      <c r="D2071" s="13"/>
      <c r="E2071" s="14"/>
      <c r="F2071" s="14"/>
      <c r="G2071" s="14"/>
      <c r="H2071" s="10"/>
      <c r="I2071" s="17"/>
      <c r="J2071" s="10"/>
      <c r="K2071" s="46"/>
      <c r="L2071" s="10"/>
      <c r="M2071" s="20"/>
      <c r="N2071" s="20"/>
      <c r="O2071" s="20"/>
      <c r="P2071" s="20"/>
    </row>
    <row r="2072">
      <c r="A2072" s="23"/>
      <c r="B2072" s="21"/>
      <c r="C2072" s="23"/>
      <c r="D2072" s="24"/>
      <c r="E2072" s="14"/>
      <c r="F2072" s="14"/>
      <c r="G2072" s="14"/>
      <c r="H2072" s="23"/>
      <c r="I2072" s="27"/>
      <c r="J2072" s="23"/>
      <c r="K2072" s="30"/>
      <c r="L2072" s="23"/>
      <c r="M2072" s="20"/>
      <c r="N2072" s="20"/>
      <c r="O2072" s="20"/>
      <c r="P2072" s="20"/>
    </row>
    <row r="2073">
      <c r="A2073" s="10"/>
      <c r="B2073" s="11"/>
      <c r="C2073" s="10"/>
      <c r="D2073" s="13"/>
      <c r="E2073" s="14"/>
      <c r="F2073" s="14"/>
      <c r="G2073" s="14"/>
      <c r="H2073" s="10"/>
      <c r="I2073" s="17"/>
      <c r="J2073" s="10"/>
      <c r="K2073" s="46"/>
      <c r="L2073" s="10"/>
      <c r="M2073" s="20"/>
      <c r="N2073" s="20"/>
      <c r="O2073" s="20"/>
      <c r="P2073" s="20"/>
    </row>
    <row r="2074">
      <c r="A2074" s="23"/>
      <c r="B2074" s="21"/>
      <c r="C2074" s="23"/>
      <c r="D2074" s="24"/>
      <c r="E2074" s="14"/>
      <c r="F2074" s="14"/>
      <c r="G2074" s="14"/>
      <c r="H2074" s="23"/>
      <c r="I2074" s="27"/>
      <c r="J2074" s="23"/>
      <c r="K2074" s="30"/>
      <c r="L2074" s="23"/>
      <c r="M2074" s="20"/>
      <c r="N2074" s="20"/>
      <c r="O2074" s="20"/>
      <c r="P2074" s="20"/>
    </row>
    <row r="2075">
      <c r="A2075" s="10"/>
      <c r="B2075" s="11"/>
      <c r="C2075" s="10"/>
      <c r="D2075" s="13"/>
      <c r="E2075" s="14"/>
      <c r="F2075" s="14"/>
      <c r="G2075" s="14"/>
      <c r="H2075" s="10"/>
      <c r="I2075" s="17"/>
      <c r="J2075" s="10"/>
      <c r="K2075" s="46"/>
      <c r="L2075" s="10"/>
      <c r="M2075" s="20"/>
      <c r="N2075" s="20"/>
      <c r="O2075" s="20"/>
      <c r="P2075" s="20"/>
    </row>
    <row r="2076">
      <c r="A2076" s="23"/>
      <c r="B2076" s="21"/>
      <c r="C2076" s="23"/>
      <c r="D2076" s="24"/>
      <c r="E2076" s="14"/>
      <c r="F2076" s="14"/>
      <c r="G2076" s="14"/>
      <c r="H2076" s="23"/>
      <c r="I2076" s="27"/>
      <c r="J2076" s="23"/>
      <c r="K2076" s="30"/>
      <c r="L2076" s="23"/>
      <c r="M2076" s="20"/>
      <c r="N2076" s="20"/>
      <c r="O2076" s="20"/>
      <c r="P2076" s="20"/>
    </row>
    <row r="2077">
      <c r="A2077" s="10"/>
      <c r="B2077" s="11"/>
      <c r="C2077" s="10"/>
      <c r="D2077" s="13"/>
      <c r="E2077" s="14"/>
      <c r="F2077" s="14"/>
      <c r="G2077" s="14"/>
      <c r="H2077" s="10"/>
      <c r="I2077" s="17"/>
      <c r="J2077" s="10"/>
      <c r="K2077" s="46"/>
      <c r="L2077" s="10"/>
      <c r="M2077" s="20"/>
      <c r="N2077" s="20"/>
      <c r="O2077" s="20"/>
      <c r="P2077" s="20"/>
    </row>
    <row r="2078">
      <c r="A2078" s="23"/>
      <c r="B2078" s="21"/>
      <c r="C2078" s="23"/>
      <c r="D2078" s="24"/>
      <c r="E2078" s="14"/>
      <c r="F2078" s="14"/>
      <c r="G2078" s="14"/>
      <c r="H2078" s="23"/>
      <c r="I2078" s="27"/>
      <c r="J2078" s="23"/>
      <c r="K2078" s="30"/>
      <c r="L2078" s="23"/>
      <c r="M2078" s="20"/>
      <c r="N2078" s="20"/>
      <c r="O2078" s="20"/>
      <c r="P2078" s="20"/>
    </row>
    <row r="2079">
      <c r="A2079" s="10"/>
      <c r="B2079" s="11"/>
      <c r="C2079" s="10"/>
      <c r="D2079" s="13"/>
      <c r="E2079" s="14"/>
      <c r="F2079" s="14"/>
      <c r="G2079" s="14"/>
      <c r="H2079" s="10"/>
      <c r="I2079" s="17"/>
      <c r="J2079" s="10"/>
      <c r="K2079" s="46"/>
      <c r="L2079" s="10"/>
      <c r="M2079" s="20"/>
      <c r="N2079" s="20"/>
      <c r="O2079" s="20"/>
      <c r="P2079" s="20"/>
    </row>
    <row r="2080">
      <c r="A2080" s="23"/>
      <c r="B2080" s="21"/>
      <c r="C2080" s="23"/>
      <c r="D2080" s="24"/>
      <c r="E2080" s="14"/>
      <c r="F2080" s="14"/>
      <c r="G2080" s="14"/>
      <c r="H2080" s="23"/>
      <c r="I2080" s="27"/>
      <c r="J2080" s="23"/>
      <c r="K2080" s="30"/>
      <c r="L2080" s="23"/>
      <c r="M2080" s="20"/>
      <c r="N2080" s="20"/>
      <c r="O2080" s="20"/>
      <c r="P2080" s="20"/>
    </row>
    <row r="2081">
      <c r="A2081" s="10"/>
      <c r="B2081" s="11"/>
      <c r="C2081" s="10"/>
      <c r="D2081" s="13"/>
      <c r="E2081" s="14"/>
      <c r="F2081" s="14"/>
      <c r="G2081" s="14"/>
      <c r="H2081" s="10"/>
      <c r="I2081" s="17"/>
      <c r="J2081" s="10"/>
      <c r="K2081" s="46"/>
      <c r="L2081" s="10"/>
      <c r="M2081" s="20"/>
      <c r="N2081" s="20"/>
      <c r="O2081" s="20"/>
      <c r="P2081" s="20"/>
    </row>
    <row r="2082">
      <c r="A2082" s="23"/>
      <c r="B2082" s="21"/>
      <c r="C2082" s="23"/>
      <c r="D2082" s="24"/>
      <c r="E2082" s="14"/>
      <c r="F2082" s="14"/>
      <c r="G2082" s="14"/>
      <c r="H2082" s="23"/>
      <c r="I2082" s="27"/>
      <c r="J2082" s="23"/>
      <c r="K2082" s="30"/>
      <c r="L2082" s="23"/>
      <c r="M2082" s="20"/>
      <c r="N2082" s="20"/>
      <c r="O2082" s="20"/>
      <c r="P2082" s="20"/>
    </row>
    <row r="2083">
      <c r="A2083" s="10"/>
      <c r="B2083" s="11"/>
      <c r="C2083" s="10"/>
      <c r="D2083" s="13"/>
      <c r="E2083" s="14"/>
      <c r="F2083" s="14"/>
      <c r="G2083" s="14"/>
      <c r="H2083" s="10"/>
      <c r="I2083" s="17"/>
      <c r="J2083" s="10"/>
      <c r="K2083" s="46"/>
      <c r="L2083" s="10"/>
      <c r="M2083" s="20"/>
      <c r="N2083" s="20"/>
      <c r="O2083" s="20"/>
      <c r="P2083" s="20"/>
    </row>
    <row r="2084">
      <c r="A2084" s="23"/>
      <c r="B2084" s="21"/>
      <c r="C2084" s="23"/>
      <c r="D2084" s="24"/>
      <c r="E2084" s="14"/>
      <c r="F2084" s="14"/>
      <c r="G2084" s="14"/>
      <c r="H2084" s="23"/>
      <c r="I2084" s="27"/>
      <c r="J2084" s="23"/>
      <c r="K2084" s="30"/>
      <c r="L2084" s="23"/>
      <c r="M2084" s="20"/>
      <c r="N2084" s="20"/>
      <c r="O2084" s="20"/>
      <c r="P2084" s="20"/>
    </row>
    <row r="2085">
      <c r="A2085" s="10"/>
      <c r="B2085" s="11"/>
      <c r="C2085" s="10"/>
      <c r="D2085" s="13"/>
      <c r="E2085" s="14"/>
      <c r="F2085" s="14"/>
      <c r="G2085" s="14"/>
      <c r="H2085" s="10"/>
      <c r="I2085" s="17"/>
      <c r="J2085" s="10"/>
      <c r="K2085" s="46"/>
      <c r="L2085" s="10"/>
      <c r="M2085" s="20"/>
      <c r="N2085" s="20"/>
      <c r="O2085" s="20"/>
      <c r="P2085" s="20"/>
    </row>
    <row r="2086">
      <c r="A2086" s="23"/>
      <c r="B2086" s="21"/>
      <c r="C2086" s="23"/>
      <c r="D2086" s="24"/>
      <c r="E2086" s="14"/>
      <c r="F2086" s="14"/>
      <c r="G2086" s="14"/>
      <c r="H2086" s="23"/>
      <c r="I2086" s="27"/>
      <c r="J2086" s="23"/>
      <c r="K2086" s="30"/>
      <c r="L2086" s="23"/>
      <c r="M2086" s="20"/>
      <c r="N2086" s="20"/>
      <c r="O2086" s="20"/>
      <c r="P2086" s="20"/>
    </row>
    <row r="2087">
      <c r="A2087" s="10"/>
      <c r="B2087" s="11"/>
      <c r="C2087" s="10"/>
      <c r="D2087" s="13"/>
      <c r="E2087" s="14"/>
      <c r="F2087" s="14"/>
      <c r="G2087" s="14"/>
      <c r="H2087" s="10"/>
      <c r="I2087" s="17"/>
      <c r="J2087" s="10"/>
      <c r="K2087" s="46"/>
      <c r="L2087" s="10"/>
      <c r="M2087" s="20"/>
      <c r="N2087" s="20"/>
      <c r="O2087" s="20"/>
      <c r="P2087" s="20"/>
    </row>
    <row r="2088">
      <c r="A2088" s="23"/>
      <c r="B2088" s="21"/>
      <c r="C2088" s="23"/>
      <c r="D2088" s="24"/>
      <c r="E2088" s="14"/>
      <c r="F2088" s="14"/>
      <c r="G2088" s="14"/>
      <c r="H2088" s="23"/>
      <c r="I2088" s="27"/>
      <c r="J2088" s="23"/>
      <c r="K2088" s="30"/>
      <c r="L2088" s="23"/>
      <c r="M2088" s="20"/>
      <c r="N2088" s="20"/>
      <c r="O2088" s="20"/>
      <c r="P2088" s="20"/>
    </row>
    <row r="2089">
      <c r="A2089" s="10"/>
      <c r="B2089" s="11"/>
      <c r="C2089" s="10"/>
      <c r="D2089" s="13"/>
      <c r="E2089" s="14"/>
      <c r="F2089" s="14"/>
      <c r="G2089" s="14"/>
      <c r="H2089" s="10"/>
      <c r="I2089" s="17"/>
      <c r="J2089" s="10"/>
      <c r="K2089" s="46"/>
      <c r="L2089" s="10"/>
      <c r="M2089" s="20"/>
      <c r="N2089" s="20"/>
      <c r="O2089" s="20"/>
      <c r="P2089" s="20"/>
    </row>
    <row r="2090">
      <c r="A2090" s="23"/>
      <c r="B2090" s="21"/>
      <c r="C2090" s="23"/>
      <c r="D2090" s="24"/>
      <c r="E2090" s="14"/>
      <c r="F2090" s="14"/>
      <c r="G2090" s="14"/>
      <c r="H2090" s="23"/>
      <c r="I2090" s="27"/>
      <c r="J2090" s="23"/>
      <c r="K2090" s="30"/>
      <c r="L2090" s="23"/>
      <c r="M2090" s="20"/>
      <c r="N2090" s="20"/>
      <c r="O2090" s="20"/>
      <c r="P2090" s="20"/>
    </row>
    <row r="2091">
      <c r="A2091" s="10"/>
      <c r="B2091" s="11"/>
      <c r="C2091" s="10"/>
      <c r="D2091" s="13"/>
      <c r="E2091" s="14"/>
      <c r="F2091" s="14"/>
      <c r="G2091" s="14"/>
      <c r="H2091" s="10"/>
      <c r="I2091" s="17"/>
      <c r="J2091" s="10"/>
      <c r="K2091" s="46"/>
      <c r="L2091" s="10"/>
      <c r="M2091" s="20"/>
      <c r="N2091" s="20"/>
      <c r="O2091" s="20"/>
      <c r="P2091" s="20"/>
    </row>
    <row r="2092">
      <c r="A2092" s="23"/>
      <c r="B2092" s="21"/>
      <c r="C2092" s="23"/>
      <c r="D2092" s="24"/>
      <c r="E2092" s="14"/>
      <c r="F2092" s="14"/>
      <c r="G2092" s="14"/>
      <c r="H2092" s="23"/>
      <c r="I2092" s="27"/>
      <c r="J2092" s="23"/>
      <c r="K2092" s="30"/>
      <c r="L2092" s="23"/>
      <c r="M2092" s="20"/>
      <c r="N2092" s="20"/>
      <c r="O2092" s="20"/>
      <c r="P2092" s="20"/>
    </row>
    <row r="2093">
      <c r="A2093" s="10"/>
      <c r="B2093" s="11"/>
      <c r="C2093" s="10"/>
      <c r="D2093" s="13"/>
      <c r="E2093" s="14"/>
      <c r="F2093" s="14"/>
      <c r="G2093" s="14"/>
      <c r="H2093" s="10"/>
      <c r="I2093" s="17"/>
      <c r="J2093" s="10"/>
      <c r="K2093" s="46"/>
      <c r="L2093" s="10"/>
      <c r="M2093" s="20"/>
      <c r="N2093" s="20"/>
      <c r="O2093" s="20"/>
      <c r="P2093" s="20"/>
    </row>
    <row r="2094">
      <c r="A2094" s="23"/>
      <c r="B2094" s="21"/>
      <c r="C2094" s="23"/>
      <c r="D2094" s="24"/>
      <c r="E2094" s="14"/>
      <c r="F2094" s="14"/>
      <c r="G2094" s="14"/>
      <c r="H2094" s="23"/>
      <c r="I2094" s="27"/>
      <c r="J2094" s="23"/>
      <c r="K2094" s="30"/>
      <c r="L2094" s="23"/>
      <c r="M2094" s="20"/>
      <c r="N2094" s="20"/>
      <c r="O2094" s="20"/>
      <c r="P2094" s="20"/>
    </row>
    <row r="2095">
      <c r="A2095" s="10"/>
      <c r="B2095" s="11"/>
      <c r="C2095" s="10"/>
      <c r="D2095" s="13"/>
      <c r="E2095" s="14"/>
      <c r="F2095" s="14"/>
      <c r="G2095" s="14"/>
      <c r="H2095" s="10"/>
      <c r="I2095" s="17"/>
      <c r="J2095" s="10"/>
      <c r="K2095" s="46"/>
      <c r="L2095" s="10"/>
      <c r="M2095" s="20"/>
      <c r="N2095" s="20"/>
      <c r="O2095" s="20"/>
      <c r="P2095" s="20"/>
    </row>
    <row r="2096">
      <c r="A2096" s="23"/>
      <c r="B2096" s="21"/>
      <c r="C2096" s="23"/>
      <c r="D2096" s="24"/>
      <c r="E2096" s="14"/>
      <c r="F2096" s="14"/>
      <c r="G2096" s="14"/>
      <c r="H2096" s="23"/>
      <c r="I2096" s="27"/>
      <c r="J2096" s="23"/>
      <c r="K2096" s="30"/>
      <c r="L2096" s="23"/>
      <c r="M2096" s="20"/>
      <c r="N2096" s="20"/>
      <c r="O2096" s="20"/>
      <c r="P2096" s="20"/>
    </row>
    <row r="2097">
      <c r="A2097" s="10"/>
      <c r="B2097" s="11"/>
      <c r="C2097" s="10"/>
      <c r="D2097" s="13"/>
      <c r="E2097" s="14"/>
      <c r="F2097" s="14"/>
      <c r="G2097" s="14"/>
      <c r="H2097" s="10"/>
      <c r="I2097" s="17"/>
      <c r="J2097" s="10"/>
      <c r="K2097" s="46"/>
      <c r="L2097" s="10"/>
      <c r="M2097" s="20"/>
      <c r="N2097" s="20"/>
      <c r="O2097" s="20"/>
      <c r="P2097" s="20"/>
    </row>
    <row r="2098">
      <c r="A2098" s="23"/>
      <c r="B2098" s="21"/>
      <c r="C2098" s="23"/>
      <c r="D2098" s="24"/>
      <c r="E2098" s="14"/>
      <c r="F2098" s="14"/>
      <c r="G2098" s="14"/>
      <c r="H2098" s="23"/>
      <c r="I2098" s="27"/>
      <c r="J2098" s="23"/>
      <c r="K2098" s="30"/>
      <c r="L2098" s="23"/>
      <c r="M2098" s="20"/>
      <c r="N2098" s="20"/>
      <c r="O2098" s="20"/>
      <c r="P2098" s="20"/>
    </row>
    <row r="2099">
      <c r="A2099" s="10"/>
      <c r="B2099" s="11"/>
      <c r="C2099" s="10"/>
      <c r="D2099" s="13"/>
      <c r="E2099" s="14"/>
      <c r="F2099" s="14"/>
      <c r="G2099" s="14"/>
      <c r="H2099" s="10"/>
      <c r="I2099" s="17"/>
      <c r="J2099" s="10"/>
      <c r="K2099" s="46"/>
      <c r="L2099" s="10"/>
      <c r="M2099" s="20"/>
      <c r="N2099" s="20"/>
      <c r="O2099" s="20"/>
      <c r="P2099" s="20"/>
    </row>
    <row r="2100">
      <c r="A2100" s="23"/>
      <c r="B2100" s="21"/>
      <c r="C2100" s="23"/>
      <c r="D2100" s="24"/>
      <c r="E2100" s="14"/>
      <c r="F2100" s="14"/>
      <c r="G2100" s="14"/>
      <c r="H2100" s="23"/>
      <c r="I2100" s="27"/>
      <c r="J2100" s="23"/>
      <c r="K2100" s="30"/>
      <c r="L2100" s="23"/>
      <c r="M2100" s="20"/>
      <c r="N2100" s="20"/>
      <c r="O2100" s="20"/>
      <c r="P2100" s="20"/>
    </row>
    <row r="2101">
      <c r="A2101" s="10"/>
      <c r="B2101" s="11"/>
      <c r="C2101" s="10"/>
      <c r="D2101" s="13"/>
      <c r="E2101" s="14"/>
      <c r="F2101" s="14"/>
      <c r="G2101" s="14"/>
      <c r="H2101" s="10"/>
      <c r="I2101" s="17"/>
      <c r="J2101" s="10"/>
      <c r="K2101" s="46"/>
      <c r="L2101" s="10"/>
      <c r="M2101" s="20"/>
      <c r="N2101" s="20"/>
      <c r="O2101" s="20"/>
      <c r="P2101" s="20"/>
    </row>
    <row r="2102">
      <c r="A2102" s="23"/>
      <c r="B2102" s="21"/>
      <c r="C2102" s="23"/>
      <c r="D2102" s="24"/>
      <c r="E2102" s="14"/>
      <c r="F2102" s="14"/>
      <c r="G2102" s="14"/>
      <c r="H2102" s="23"/>
      <c r="I2102" s="27"/>
      <c r="J2102" s="23"/>
      <c r="K2102" s="30"/>
      <c r="L2102" s="23"/>
      <c r="M2102" s="20"/>
      <c r="N2102" s="20"/>
      <c r="O2102" s="20"/>
      <c r="P2102" s="20"/>
    </row>
    <row r="2103">
      <c r="A2103" s="10"/>
      <c r="B2103" s="11"/>
      <c r="C2103" s="10"/>
      <c r="D2103" s="13"/>
      <c r="E2103" s="14"/>
      <c r="F2103" s="14"/>
      <c r="G2103" s="14"/>
      <c r="H2103" s="10"/>
      <c r="I2103" s="17"/>
      <c r="J2103" s="10"/>
      <c r="K2103" s="46"/>
      <c r="L2103" s="10"/>
      <c r="M2103" s="20"/>
      <c r="N2103" s="20"/>
      <c r="O2103" s="20"/>
      <c r="P2103" s="20"/>
    </row>
    <row r="2104">
      <c r="A2104" s="23"/>
      <c r="B2104" s="21"/>
      <c r="C2104" s="23"/>
      <c r="D2104" s="24"/>
      <c r="E2104" s="14"/>
      <c r="F2104" s="14"/>
      <c r="G2104" s="14"/>
      <c r="H2104" s="23"/>
      <c r="I2104" s="27"/>
      <c r="J2104" s="23"/>
      <c r="K2104" s="30"/>
      <c r="L2104" s="23"/>
      <c r="M2104" s="20"/>
      <c r="N2104" s="20"/>
      <c r="O2104" s="20"/>
      <c r="P2104" s="20"/>
    </row>
    <row r="2105">
      <c r="A2105" s="10"/>
      <c r="B2105" s="11"/>
      <c r="C2105" s="10"/>
      <c r="D2105" s="13"/>
      <c r="E2105" s="14"/>
      <c r="F2105" s="14"/>
      <c r="G2105" s="14"/>
      <c r="H2105" s="10"/>
      <c r="I2105" s="17"/>
      <c r="J2105" s="10"/>
      <c r="K2105" s="46"/>
      <c r="L2105" s="10"/>
      <c r="M2105" s="20"/>
      <c r="N2105" s="20"/>
      <c r="O2105" s="20"/>
      <c r="P2105" s="20"/>
    </row>
    <row r="2106">
      <c r="A2106" s="23"/>
      <c r="B2106" s="21"/>
      <c r="C2106" s="23"/>
      <c r="D2106" s="24"/>
      <c r="E2106" s="14"/>
      <c r="F2106" s="14"/>
      <c r="G2106" s="14"/>
      <c r="H2106" s="23"/>
      <c r="I2106" s="27"/>
      <c r="J2106" s="23"/>
      <c r="K2106" s="30"/>
      <c r="L2106" s="23"/>
      <c r="M2106" s="20"/>
      <c r="N2106" s="20"/>
      <c r="O2106" s="20"/>
      <c r="P2106" s="20"/>
    </row>
    <row r="2107">
      <c r="A2107" s="10"/>
      <c r="B2107" s="11"/>
      <c r="C2107" s="10"/>
      <c r="D2107" s="13"/>
      <c r="E2107" s="14"/>
      <c r="F2107" s="14"/>
      <c r="G2107" s="14"/>
      <c r="H2107" s="10"/>
      <c r="I2107" s="17"/>
      <c r="J2107" s="10"/>
      <c r="K2107" s="46"/>
      <c r="L2107" s="10"/>
      <c r="M2107" s="20"/>
      <c r="N2107" s="20"/>
      <c r="O2107" s="20"/>
      <c r="P2107" s="20"/>
    </row>
    <row r="2108">
      <c r="A2108" s="23"/>
      <c r="B2108" s="21"/>
      <c r="C2108" s="23"/>
      <c r="D2108" s="24"/>
      <c r="E2108" s="14"/>
      <c r="F2108" s="14"/>
      <c r="G2108" s="14"/>
      <c r="H2108" s="23"/>
      <c r="I2108" s="27"/>
      <c r="J2108" s="23"/>
      <c r="K2108" s="30"/>
      <c r="L2108" s="23"/>
      <c r="M2108" s="20"/>
      <c r="N2108" s="20"/>
      <c r="O2108" s="20"/>
      <c r="P2108" s="20"/>
    </row>
    <row r="2109">
      <c r="A2109" s="10"/>
      <c r="B2109" s="11"/>
      <c r="C2109" s="10"/>
      <c r="D2109" s="13"/>
      <c r="E2109" s="14"/>
      <c r="F2109" s="14"/>
      <c r="G2109" s="14"/>
      <c r="H2109" s="10"/>
      <c r="I2109" s="17"/>
      <c r="J2109" s="10"/>
      <c r="K2109" s="46"/>
      <c r="L2109" s="10"/>
      <c r="M2109" s="20"/>
      <c r="N2109" s="20"/>
      <c r="O2109" s="20"/>
      <c r="P2109" s="20"/>
    </row>
    <row r="2110">
      <c r="A2110" s="23"/>
      <c r="B2110" s="21"/>
      <c r="C2110" s="23"/>
      <c r="D2110" s="24"/>
      <c r="E2110" s="14"/>
      <c r="F2110" s="14"/>
      <c r="G2110" s="14"/>
      <c r="H2110" s="23"/>
      <c r="I2110" s="27"/>
      <c r="J2110" s="23"/>
      <c r="K2110" s="30"/>
      <c r="L2110" s="23"/>
      <c r="M2110" s="20"/>
      <c r="N2110" s="20"/>
      <c r="O2110" s="20"/>
      <c r="P2110" s="20"/>
    </row>
    <row r="2111">
      <c r="A2111" s="10"/>
      <c r="B2111" s="11"/>
      <c r="C2111" s="10"/>
      <c r="D2111" s="13"/>
      <c r="E2111" s="14"/>
      <c r="F2111" s="14"/>
      <c r="G2111" s="14"/>
      <c r="H2111" s="10"/>
      <c r="I2111" s="17"/>
      <c r="J2111" s="10"/>
      <c r="K2111" s="46"/>
      <c r="L2111" s="10"/>
      <c r="M2111" s="20"/>
      <c r="N2111" s="20"/>
      <c r="O2111" s="20"/>
      <c r="P2111" s="20"/>
    </row>
    <row r="2112">
      <c r="A2112" s="23"/>
      <c r="B2112" s="21"/>
      <c r="C2112" s="23"/>
      <c r="D2112" s="24"/>
      <c r="E2112" s="14"/>
      <c r="F2112" s="14"/>
      <c r="G2112" s="14"/>
      <c r="H2112" s="23"/>
      <c r="I2112" s="27"/>
      <c r="J2112" s="23"/>
      <c r="K2112" s="30"/>
      <c r="L2112" s="23"/>
      <c r="M2112" s="20"/>
      <c r="N2112" s="20"/>
      <c r="O2112" s="20"/>
      <c r="P2112" s="20"/>
    </row>
    <row r="2113">
      <c r="A2113" s="10"/>
      <c r="B2113" s="11"/>
      <c r="C2113" s="10"/>
      <c r="D2113" s="13"/>
      <c r="E2113" s="14"/>
      <c r="F2113" s="14"/>
      <c r="G2113" s="14"/>
      <c r="H2113" s="10"/>
      <c r="I2113" s="17"/>
      <c r="J2113" s="10"/>
      <c r="K2113" s="46"/>
      <c r="L2113" s="10"/>
      <c r="M2113" s="20"/>
      <c r="N2113" s="20"/>
      <c r="O2113" s="20"/>
      <c r="P2113" s="20"/>
    </row>
    <row r="2114">
      <c r="A2114" s="23"/>
      <c r="B2114" s="21"/>
      <c r="C2114" s="23"/>
      <c r="D2114" s="24"/>
      <c r="E2114" s="14"/>
      <c r="F2114" s="14"/>
      <c r="G2114" s="14"/>
      <c r="H2114" s="23"/>
      <c r="I2114" s="27"/>
      <c r="J2114" s="23"/>
      <c r="K2114" s="30"/>
      <c r="L2114" s="23"/>
      <c r="M2114" s="20"/>
      <c r="N2114" s="20"/>
      <c r="O2114" s="20"/>
      <c r="P2114" s="20"/>
    </row>
    <row r="2115">
      <c r="A2115" s="10"/>
      <c r="B2115" s="11"/>
      <c r="C2115" s="10"/>
      <c r="D2115" s="13"/>
      <c r="E2115" s="14"/>
      <c r="F2115" s="14"/>
      <c r="G2115" s="14"/>
      <c r="H2115" s="10"/>
      <c r="I2115" s="17"/>
      <c r="J2115" s="10"/>
      <c r="K2115" s="46"/>
      <c r="L2115" s="10"/>
      <c r="M2115" s="20"/>
      <c r="N2115" s="20"/>
      <c r="O2115" s="20"/>
      <c r="P2115" s="20"/>
    </row>
    <row r="2116">
      <c r="A2116" s="23"/>
      <c r="B2116" s="21"/>
      <c r="C2116" s="23"/>
      <c r="D2116" s="24"/>
      <c r="E2116" s="14"/>
      <c r="F2116" s="14"/>
      <c r="G2116" s="14"/>
      <c r="H2116" s="23"/>
      <c r="I2116" s="27"/>
      <c r="J2116" s="23"/>
      <c r="K2116" s="30"/>
      <c r="L2116" s="23"/>
      <c r="M2116" s="20"/>
      <c r="N2116" s="20"/>
      <c r="O2116" s="20"/>
      <c r="P2116" s="20"/>
    </row>
    <row r="2117">
      <c r="A2117" s="10"/>
      <c r="B2117" s="11"/>
      <c r="C2117" s="10"/>
      <c r="D2117" s="13"/>
      <c r="E2117" s="14"/>
      <c r="F2117" s="14"/>
      <c r="G2117" s="14"/>
      <c r="H2117" s="10"/>
      <c r="I2117" s="17"/>
      <c r="J2117" s="10"/>
      <c r="K2117" s="46"/>
      <c r="L2117" s="10"/>
      <c r="M2117" s="20"/>
      <c r="N2117" s="20"/>
      <c r="O2117" s="20"/>
      <c r="P2117" s="20"/>
    </row>
    <row r="2118">
      <c r="A2118" s="23"/>
      <c r="B2118" s="21"/>
      <c r="C2118" s="23"/>
      <c r="D2118" s="24"/>
      <c r="E2118" s="14"/>
      <c r="F2118" s="14"/>
      <c r="G2118" s="14"/>
      <c r="H2118" s="23"/>
      <c r="I2118" s="27"/>
      <c r="J2118" s="23"/>
      <c r="K2118" s="30"/>
      <c r="L2118" s="23"/>
      <c r="M2118" s="20"/>
      <c r="N2118" s="20"/>
      <c r="O2118" s="20"/>
      <c r="P2118" s="20"/>
    </row>
    <row r="2119">
      <c r="A2119" s="10"/>
      <c r="B2119" s="11"/>
      <c r="C2119" s="10"/>
      <c r="D2119" s="13"/>
      <c r="E2119" s="14"/>
      <c r="F2119" s="14"/>
      <c r="G2119" s="14"/>
      <c r="H2119" s="10"/>
      <c r="I2119" s="17"/>
      <c r="J2119" s="10"/>
      <c r="K2119" s="46"/>
      <c r="L2119" s="10"/>
      <c r="M2119" s="20"/>
      <c r="N2119" s="20"/>
      <c r="O2119" s="20"/>
      <c r="P2119" s="20"/>
    </row>
    <row r="2120">
      <c r="A2120" s="23"/>
      <c r="B2120" s="21"/>
      <c r="C2120" s="23"/>
      <c r="D2120" s="24"/>
      <c r="E2120" s="14"/>
      <c r="F2120" s="14"/>
      <c r="G2120" s="14"/>
      <c r="H2120" s="23"/>
      <c r="I2120" s="27"/>
      <c r="J2120" s="23"/>
      <c r="K2120" s="30"/>
      <c r="L2120" s="23"/>
      <c r="M2120" s="20"/>
      <c r="N2120" s="20"/>
      <c r="O2120" s="20"/>
      <c r="P2120" s="20"/>
    </row>
    <row r="2121">
      <c r="A2121" s="10"/>
      <c r="B2121" s="11"/>
      <c r="C2121" s="10"/>
      <c r="D2121" s="13"/>
      <c r="E2121" s="14"/>
      <c r="F2121" s="14"/>
      <c r="G2121" s="14"/>
      <c r="H2121" s="10"/>
      <c r="I2121" s="17"/>
      <c r="J2121" s="10"/>
      <c r="K2121" s="46"/>
      <c r="L2121" s="10"/>
      <c r="M2121" s="20"/>
      <c r="N2121" s="20"/>
      <c r="O2121" s="20"/>
      <c r="P2121" s="20"/>
    </row>
    <row r="2122">
      <c r="A2122" s="23"/>
      <c r="B2122" s="21"/>
      <c r="C2122" s="23"/>
      <c r="D2122" s="24"/>
      <c r="E2122" s="14"/>
      <c r="F2122" s="14"/>
      <c r="G2122" s="14"/>
      <c r="H2122" s="23"/>
      <c r="I2122" s="27"/>
      <c r="J2122" s="23"/>
      <c r="K2122" s="30"/>
      <c r="L2122" s="23"/>
      <c r="M2122" s="20"/>
      <c r="N2122" s="20"/>
      <c r="O2122" s="20"/>
      <c r="P2122" s="20"/>
    </row>
    <row r="2123">
      <c r="A2123" s="10"/>
      <c r="B2123" s="11"/>
      <c r="C2123" s="10"/>
      <c r="D2123" s="13"/>
      <c r="E2123" s="14"/>
      <c r="F2123" s="14"/>
      <c r="G2123" s="14"/>
      <c r="H2123" s="10"/>
      <c r="I2123" s="17"/>
      <c r="J2123" s="10"/>
      <c r="K2123" s="46"/>
      <c r="L2123" s="10"/>
      <c r="M2123" s="20"/>
      <c r="N2123" s="20"/>
      <c r="O2123" s="20"/>
      <c r="P2123" s="20"/>
    </row>
    <row r="2124">
      <c r="A2124" s="23"/>
      <c r="B2124" s="21"/>
      <c r="C2124" s="23"/>
      <c r="D2124" s="24"/>
      <c r="E2124" s="14"/>
      <c r="F2124" s="14"/>
      <c r="G2124" s="14"/>
      <c r="H2124" s="23"/>
      <c r="I2124" s="27"/>
      <c r="J2124" s="23"/>
      <c r="K2124" s="30"/>
      <c r="L2124" s="23"/>
      <c r="M2124" s="20"/>
      <c r="N2124" s="20"/>
      <c r="O2124" s="20"/>
      <c r="P2124" s="20"/>
    </row>
    <row r="2125">
      <c r="A2125" s="10"/>
      <c r="B2125" s="11"/>
      <c r="C2125" s="10"/>
      <c r="D2125" s="13"/>
      <c r="E2125" s="14"/>
      <c r="F2125" s="14"/>
      <c r="G2125" s="14"/>
      <c r="H2125" s="10"/>
      <c r="I2125" s="17"/>
      <c r="J2125" s="10"/>
      <c r="K2125" s="46"/>
      <c r="L2125" s="10"/>
      <c r="M2125" s="20"/>
      <c r="N2125" s="20"/>
      <c r="O2125" s="20"/>
      <c r="P2125" s="20"/>
    </row>
    <row r="2126">
      <c r="A2126" s="23"/>
      <c r="B2126" s="21"/>
      <c r="C2126" s="23"/>
      <c r="D2126" s="24"/>
      <c r="E2126" s="14"/>
      <c r="F2126" s="14"/>
      <c r="G2126" s="14"/>
      <c r="H2126" s="23"/>
      <c r="I2126" s="27"/>
      <c r="J2126" s="23"/>
      <c r="K2126" s="30"/>
      <c r="L2126" s="23"/>
      <c r="M2126" s="20"/>
      <c r="N2126" s="20"/>
      <c r="O2126" s="20"/>
      <c r="P2126" s="20"/>
    </row>
    <row r="2127">
      <c r="A2127" s="10"/>
      <c r="B2127" s="11"/>
      <c r="C2127" s="10"/>
      <c r="D2127" s="13"/>
      <c r="E2127" s="14"/>
      <c r="F2127" s="14"/>
      <c r="G2127" s="14"/>
      <c r="H2127" s="10"/>
      <c r="I2127" s="17"/>
      <c r="J2127" s="10"/>
      <c r="K2127" s="46"/>
      <c r="L2127" s="10"/>
      <c r="M2127" s="20"/>
      <c r="N2127" s="20"/>
      <c r="O2127" s="20"/>
      <c r="P2127" s="20"/>
    </row>
    <row r="2128">
      <c r="A2128" s="23"/>
      <c r="B2128" s="21"/>
      <c r="C2128" s="23"/>
      <c r="D2128" s="24"/>
      <c r="E2128" s="14"/>
      <c r="F2128" s="14"/>
      <c r="G2128" s="14"/>
      <c r="H2128" s="23"/>
      <c r="I2128" s="27"/>
      <c r="J2128" s="23"/>
      <c r="K2128" s="30"/>
      <c r="L2128" s="23"/>
      <c r="M2128" s="20"/>
      <c r="N2128" s="20"/>
      <c r="O2128" s="20"/>
      <c r="P2128" s="20"/>
    </row>
    <row r="2129">
      <c r="A2129" s="10"/>
      <c r="B2129" s="11"/>
      <c r="C2129" s="10"/>
      <c r="D2129" s="13"/>
      <c r="E2129" s="14"/>
      <c r="F2129" s="14"/>
      <c r="G2129" s="14"/>
      <c r="H2129" s="10"/>
      <c r="I2129" s="17"/>
      <c r="J2129" s="10"/>
      <c r="K2129" s="46"/>
      <c r="L2129" s="10"/>
      <c r="M2129" s="20"/>
      <c r="N2129" s="20"/>
      <c r="O2129" s="20"/>
      <c r="P2129" s="20"/>
    </row>
    <row r="2130">
      <c r="A2130" s="23"/>
      <c r="B2130" s="21"/>
      <c r="C2130" s="23"/>
      <c r="D2130" s="24"/>
      <c r="E2130" s="14"/>
      <c r="F2130" s="14"/>
      <c r="G2130" s="14"/>
      <c r="H2130" s="23"/>
      <c r="I2130" s="27"/>
      <c r="J2130" s="23"/>
      <c r="K2130" s="30"/>
      <c r="L2130" s="23"/>
      <c r="M2130" s="20"/>
      <c r="N2130" s="20"/>
      <c r="O2130" s="20"/>
      <c r="P2130" s="20"/>
    </row>
    <row r="2131">
      <c r="A2131" s="10"/>
      <c r="B2131" s="11"/>
      <c r="C2131" s="10"/>
      <c r="D2131" s="13"/>
      <c r="E2131" s="14"/>
      <c r="F2131" s="14"/>
      <c r="G2131" s="14"/>
      <c r="H2131" s="10"/>
      <c r="I2131" s="17"/>
      <c r="J2131" s="10"/>
      <c r="K2131" s="46"/>
      <c r="L2131" s="10"/>
      <c r="M2131" s="20"/>
      <c r="N2131" s="20"/>
      <c r="O2131" s="20"/>
      <c r="P2131" s="20"/>
    </row>
    <row r="2132">
      <c r="A2132" s="23"/>
      <c r="B2132" s="21"/>
      <c r="C2132" s="23"/>
      <c r="D2132" s="24"/>
      <c r="E2132" s="14"/>
      <c r="F2132" s="14"/>
      <c r="G2132" s="14"/>
      <c r="H2132" s="23"/>
      <c r="I2132" s="27"/>
      <c r="J2132" s="23"/>
      <c r="K2132" s="30"/>
      <c r="L2132" s="23"/>
      <c r="M2132" s="20"/>
      <c r="N2132" s="20"/>
      <c r="O2132" s="20"/>
      <c r="P2132" s="20"/>
    </row>
    <row r="2133">
      <c r="A2133" s="10"/>
      <c r="B2133" s="11"/>
      <c r="C2133" s="10"/>
      <c r="D2133" s="13"/>
      <c r="E2133" s="14"/>
      <c r="F2133" s="14"/>
      <c r="G2133" s="14"/>
      <c r="H2133" s="10"/>
      <c r="I2133" s="17"/>
      <c r="J2133" s="10"/>
      <c r="K2133" s="46"/>
      <c r="L2133" s="10"/>
      <c r="M2133" s="20"/>
      <c r="N2133" s="20"/>
      <c r="O2133" s="20"/>
      <c r="P2133" s="20"/>
    </row>
    <row r="2134">
      <c r="A2134" s="23"/>
      <c r="B2134" s="21"/>
      <c r="C2134" s="23"/>
      <c r="D2134" s="24"/>
      <c r="E2134" s="14"/>
      <c r="F2134" s="14"/>
      <c r="G2134" s="14"/>
      <c r="H2134" s="23"/>
      <c r="I2134" s="27"/>
      <c r="J2134" s="23"/>
      <c r="K2134" s="30"/>
      <c r="L2134" s="23"/>
      <c r="M2134" s="20"/>
      <c r="N2134" s="20"/>
      <c r="O2134" s="20"/>
      <c r="P2134" s="20"/>
    </row>
    <row r="2135">
      <c r="A2135" s="10"/>
      <c r="B2135" s="11"/>
      <c r="C2135" s="10"/>
      <c r="D2135" s="13"/>
      <c r="E2135" s="14"/>
      <c r="F2135" s="14"/>
      <c r="G2135" s="14"/>
      <c r="H2135" s="10"/>
      <c r="I2135" s="17"/>
      <c r="J2135" s="10"/>
      <c r="K2135" s="46"/>
      <c r="L2135" s="10"/>
      <c r="M2135" s="20"/>
      <c r="N2135" s="20"/>
      <c r="O2135" s="20"/>
      <c r="P2135" s="20"/>
    </row>
    <row r="2136">
      <c r="A2136" s="23"/>
      <c r="B2136" s="21"/>
      <c r="C2136" s="23"/>
      <c r="D2136" s="24"/>
      <c r="E2136" s="14"/>
      <c r="F2136" s="14"/>
      <c r="G2136" s="14"/>
      <c r="H2136" s="23"/>
      <c r="I2136" s="27"/>
      <c r="J2136" s="23"/>
      <c r="K2136" s="30"/>
      <c r="L2136" s="23"/>
      <c r="M2136" s="20"/>
      <c r="N2136" s="20"/>
      <c r="O2136" s="20"/>
      <c r="P2136" s="20"/>
    </row>
    <row r="2137">
      <c r="A2137" s="10"/>
      <c r="B2137" s="11"/>
      <c r="C2137" s="10"/>
      <c r="D2137" s="13"/>
      <c r="E2137" s="14"/>
      <c r="F2137" s="14"/>
      <c r="G2137" s="14"/>
      <c r="H2137" s="10"/>
      <c r="I2137" s="17"/>
      <c r="J2137" s="10"/>
      <c r="K2137" s="46"/>
      <c r="L2137" s="10"/>
      <c r="M2137" s="20"/>
      <c r="N2137" s="20"/>
      <c r="O2137" s="20"/>
      <c r="P2137" s="20"/>
    </row>
    <row r="2138">
      <c r="A2138" s="23"/>
      <c r="B2138" s="21"/>
      <c r="C2138" s="23"/>
      <c r="D2138" s="24"/>
      <c r="E2138" s="14"/>
      <c r="F2138" s="14"/>
      <c r="G2138" s="14"/>
      <c r="H2138" s="23"/>
      <c r="I2138" s="27"/>
      <c r="J2138" s="23"/>
      <c r="K2138" s="30"/>
      <c r="L2138" s="23"/>
      <c r="M2138" s="20"/>
      <c r="N2138" s="20"/>
      <c r="O2138" s="20"/>
      <c r="P2138" s="20"/>
    </row>
    <row r="2139">
      <c r="A2139" s="10"/>
      <c r="B2139" s="11"/>
      <c r="C2139" s="10"/>
      <c r="D2139" s="13"/>
      <c r="E2139" s="14"/>
      <c r="F2139" s="14"/>
      <c r="G2139" s="14"/>
      <c r="H2139" s="10"/>
      <c r="I2139" s="17"/>
      <c r="J2139" s="10"/>
      <c r="K2139" s="46"/>
      <c r="L2139" s="10"/>
      <c r="M2139" s="20"/>
      <c r="N2139" s="20"/>
      <c r="O2139" s="20"/>
      <c r="P2139" s="20"/>
    </row>
    <row r="2140">
      <c r="A2140" s="23"/>
      <c r="B2140" s="21"/>
      <c r="C2140" s="23"/>
      <c r="D2140" s="24"/>
      <c r="E2140" s="14"/>
      <c r="F2140" s="14"/>
      <c r="G2140" s="14"/>
      <c r="H2140" s="23"/>
      <c r="I2140" s="27"/>
      <c r="J2140" s="23"/>
      <c r="K2140" s="30"/>
      <c r="L2140" s="23"/>
      <c r="M2140" s="20"/>
      <c r="N2140" s="20"/>
      <c r="O2140" s="20"/>
      <c r="P2140" s="20"/>
    </row>
    <row r="2141">
      <c r="A2141" s="10"/>
      <c r="B2141" s="11"/>
      <c r="C2141" s="10"/>
      <c r="D2141" s="13"/>
      <c r="E2141" s="14"/>
      <c r="F2141" s="14"/>
      <c r="G2141" s="14"/>
      <c r="H2141" s="10"/>
      <c r="I2141" s="17"/>
      <c r="J2141" s="10"/>
      <c r="K2141" s="46"/>
      <c r="L2141" s="10"/>
      <c r="M2141" s="20"/>
      <c r="N2141" s="20"/>
      <c r="O2141" s="20"/>
      <c r="P2141" s="20"/>
    </row>
    <row r="2142">
      <c r="A2142" s="23"/>
      <c r="B2142" s="21"/>
      <c r="C2142" s="23"/>
      <c r="D2142" s="24"/>
      <c r="E2142" s="14"/>
      <c r="F2142" s="14"/>
      <c r="G2142" s="14"/>
      <c r="H2142" s="23"/>
      <c r="I2142" s="27"/>
      <c r="J2142" s="23"/>
      <c r="K2142" s="30"/>
      <c r="L2142" s="23"/>
      <c r="M2142" s="20"/>
      <c r="N2142" s="20"/>
      <c r="O2142" s="20"/>
      <c r="P2142" s="20"/>
    </row>
    <row r="2143">
      <c r="A2143" s="10"/>
      <c r="B2143" s="11"/>
      <c r="C2143" s="10"/>
      <c r="D2143" s="13"/>
      <c r="E2143" s="14"/>
      <c r="F2143" s="14"/>
      <c r="G2143" s="14"/>
      <c r="H2143" s="10"/>
      <c r="I2143" s="17"/>
      <c r="J2143" s="10"/>
      <c r="K2143" s="46"/>
      <c r="L2143" s="10"/>
      <c r="M2143" s="20"/>
      <c r="N2143" s="20"/>
      <c r="O2143" s="20"/>
      <c r="P2143" s="20"/>
    </row>
    <row r="2144">
      <c r="A2144" s="23"/>
      <c r="B2144" s="21"/>
      <c r="C2144" s="23"/>
      <c r="D2144" s="24"/>
      <c r="E2144" s="14"/>
      <c r="F2144" s="14"/>
      <c r="G2144" s="14"/>
      <c r="H2144" s="23"/>
      <c r="I2144" s="27"/>
      <c r="J2144" s="23"/>
      <c r="K2144" s="30"/>
      <c r="L2144" s="23"/>
      <c r="M2144" s="20"/>
      <c r="N2144" s="20"/>
      <c r="O2144" s="20"/>
      <c r="P2144" s="20"/>
    </row>
    <row r="2145">
      <c r="A2145" s="10"/>
      <c r="B2145" s="11"/>
      <c r="C2145" s="10"/>
      <c r="D2145" s="13"/>
      <c r="E2145" s="14"/>
      <c r="F2145" s="14"/>
      <c r="G2145" s="14"/>
      <c r="H2145" s="10"/>
      <c r="I2145" s="17"/>
      <c r="J2145" s="10"/>
      <c r="K2145" s="46"/>
      <c r="L2145" s="10"/>
      <c r="M2145" s="20"/>
      <c r="N2145" s="20"/>
      <c r="O2145" s="20"/>
      <c r="P2145" s="20"/>
    </row>
    <row r="2146">
      <c r="A2146" s="23"/>
      <c r="B2146" s="21"/>
      <c r="C2146" s="23"/>
      <c r="D2146" s="24"/>
      <c r="E2146" s="14"/>
      <c r="F2146" s="14"/>
      <c r="G2146" s="14"/>
      <c r="H2146" s="23"/>
      <c r="I2146" s="27"/>
      <c r="J2146" s="23"/>
      <c r="K2146" s="30"/>
      <c r="L2146" s="23"/>
      <c r="M2146" s="20"/>
      <c r="N2146" s="20"/>
      <c r="O2146" s="20"/>
      <c r="P2146" s="20"/>
    </row>
    <row r="2147">
      <c r="A2147" s="10"/>
      <c r="B2147" s="11"/>
      <c r="C2147" s="10"/>
      <c r="D2147" s="13"/>
      <c r="E2147" s="14"/>
      <c r="F2147" s="14"/>
      <c r="G2147" s="14"/>
      <c r="H2147" s="10"/>
      <c r="I2147" s="17"/>
      <c r="J2147" s="10"/>
      <c r="K2147" s="46"/>
      <c r="L2147" s="10"/>
      <c r="M2147" s="20"/>
      <c r="N2147" s="20"/>
      <c r="O2147" s="20"/>
      <c r="P2147" s="20"/>
    </row>
    <row r="2148">
      <c r="A2148" s="23"/>
      <c r="B2148" s="21"/>
      <c r="C2148" s="23"/>
      <c r="D2148" s="24"/>
      <c r="E2148" s="14"/>
      <c r="F2148" s="14"/>
      <c r="G2148" s="14"/>
      <c r="H2148" s="23"/>
      <c r="I2148" s="27"/>
      <c r="J2148" s="23"/>
      <c r="K2148" s="30"/>
      <c r="L2148" s="23"/>
      <c r="M2148" s="20"/>
      <c r="N2148" s="20"/>
      <c r="O2148" s="20"/>
      <c r="P2148" s="20"/>
    </row>
    <row r="2149">
      <c r="A2149" s="10"/>
      <c r="B2149" s="11"/>
      <c r="C2149" s="10"/>
      <c r="D2149" s="13"/>
      <c r="E2149" s="14"/>
      <c r="F2149" s="14"/>
      <c r="G2149" s="14"/>
      <c r="H2149" s="10"/>
      <c r="I2149" s="17"/>
      <c r="J2149" s="10"/>
      <c r="K2149" s="46"/>
      <c r="L2149" s="10"/>
      <c r="M2149" s="20"/>
      <c r="N2149" s="20"/>
      <c r="O2149" s="20"/>
      <c r="P2149" s="20"/>
    </row>
    <row r="2150">
      <c r="A2150" s="23"/>
      <c r="B2150" s="21"/>
      <c r="C2150" s="23"/>
      <c r="D2150" s="24"/>
      <c r="E2150" s="14"/>
      <c r="F2150" s="14"/>
      <c r="G2150" s="14"/>
      <c r="H2150" s="23"/>
      <c r="I2150" s="27"/>
      <c r="J2150" s="23"/>
      <c r="K2150" s="30"/>
      <c r="L2150" s="23"/>
      <c r="M2150" s="20"/>
      <c r="N2150" s="20"/>
      <c r="O2150" s="20"/>
      <c r="P2150" s="20"/>
    </row>
    <row r="2151">
      <c r="A2151" s="10"/>
      <c r="B2151" s="11"/>
      <c r="C2151" s="10"/>
      <c r="D2151" s="13"/>
      <c r="E2151" s="14"/>
      <c r="F2151" s="14"/>
      <c r="G2151" s="14"/>
      <c r="H2151" s="10"/>
      <c r="I2151" s="17"/>
      <c r="J2151" s="10"/>
      <c r="K2151" s="46"/>
      <c r="L2151" s="10"/>
      <c r="M2151" s="20"/>
      <c r="N2151" s="20"/>
      <c r="O2151" s="20"/>
      <c r="P2151" s="20"/>
    </row>
    <row r="2152">
      <c r="A2152" s="23"/>
      <c r="B2152" s="21"/>
      <c r="C2152" s="23"/>
      <c r="D2152" s="24"/>
      <c r="E2152" s="14"/>
      <c r="F2152" s="14"/>
      <c r="G2152" s="14"/>
      <c r="H2152" s="23"/>
      <c r="I2152" s="27"/>
      <c r="J2152" s="23"/>
      <c r="K2152" s="30"/>
      <c r="L2152" s="23"/>
      <c r="M2152" s="20"/>
      <c r="N2152" s="20"/>
      <c r="O2152" s="20"/>
      <c r="P2152" s="20"/>
    </row>
    <row r="2153">
      <c r="A2153" s="10"/>
      <c r="B2153" s="11"/>
      <c r="C2153" s="10"/>
      <c r="D2153" s="13"/>
      <c r="E2153" s="14"/>
      <c r="F2153" s="14"/>
      <c r="G2153" s="14"/>
      <c r="H2153" s="10"/>
      <c r="I2153" s="17"/>
      <c r="J2153" s="10"/>
      <c r="K2153" s="46"/>
      <c r="L2153" s="10"/>
      <c r="M2153" s="20"/>
      <c r="N2153" s="20"/>
      <c r="O2153" s="20"/>
      <c r="P2153" s="20"/>
    </row>
    <row r="2154">
      <c r="A2154" s="23"/>
      <c r="B2154" s="21"/>
      <c r="C2154" s="23"/>
      <c r="D2154" s="24"/>
      <c r="E2154" s="14"/>
      <c r="F2154" s="14"/>
      <c r="G2154" s="14"/>
      <c r="H2154" s="23"/>
      <c r="I2154" s="27"/>
      <c r="J2154" s="23"/>
      <c r="K2154" s="30"/>
      <c r="L2154" s="23"/>
      <c r="M2154" s="20"/>
      <c r="N2154" s="20"/>
      <c r="O2154" s="20"/>
      <c r="P2154" s="20"/>
    </row>
    <row r="2155">
      <c r="A2155" s="10"/>
      <c r="B2155" s="11"/>
      <c r="C2155" s="10"/>
      <c r="D2155" s="13"/>
      <c r="E2155" s="14"/>
      <c r="F2155" s="14"/>
      <c r="G2155" s="14"/>
      <c r="H2155" s="10"/>
      <c r="I2155" s="17"/>
      <c r="J2155" s="10"/>
      <c r="K2155" s="46"/>
      <c r="L2155" s="10"/>
      <c r="M2155" s="20"/>
      <c r="N2155" s="20"/>
      <c r="O2155" s="20"/>
      <c r="P2155" s="20"/>
    </row>
    <row r="2156">
      <c r="A2156" s="23"/>
      <c r="B2156" s="21"/>
      <c r="C2156" s="23"/>
      <c r="D2156" s="24"/>
      <c r="E2156" s="14"/>
      <c r="F2156" s="14"/>
      <c r="G2156" s="14"/>
      <c r="H2156" s="23"/>
      <c r="I2156" s="27"/>
      <c r="J2156" s="23"/>
      <c r="K2156" s="30"/>
      <c r="L2156" s="23"/>
      <c r="M2156" s="20"/>
      <c r="N2156" s="20"/>
      <c r="O2156" s="20"/>
      <c r="P2156" s="20"/>
    </row>
    <row r="2157">
      <c r="A2157" s="10"/>
      <c r="B2157" s="11"/>
      <c r="C2157" s="10"/>
      <c r="D2157" s="13"/>
      <c r="E2157" s="14"/>
      <c r="F2157" s="14"/>
      <c r="G2157" s="14"/>
      <c r="H2157" s="10"/>
      <c r="I2157" s="17"/>
      <c r="J2157" s="10"/>
      <c r="K2157" s="46"/>
      <c r="L2157" s="10"/>
      <c r="M2157" s="20"/>
      <c r="N2157" s="20"/>
      <c r="O2157" s="20"/>
      <c r="P2157" s="20"/>
    </row>
    <row r="2158">
      <c r="A2158" s="23"/>
      <c r="B2158" s="21"/>
      <c r="C2158" s="23"/>
      <c r="D2158" s="24"/>
      <c r="E2158" s="14"/>
      <c r="F2158" s="14"/>
      <c r="G2158" s="14"/>
      <c r="H2158" s="23"/>
      <c r="I2158" s="27"/>
      <c r="J2158" s="23"/>
      <c r="K2158" s="30"/>
      <c r="L2158" s="23"/>
      <c r="M2158" s="20"/>
      <c r="N2158" s="20"/>
      <c r="O2158" s="20"/>
      <c r="P2158" s="20"/>
    </row>
    <row r="2159">
      <c r="A2159" s="10"/>
      <c r="B2159" s="11"/>
      <c r="C2159" s="10"/>
      <c r="D2159" s="13"/>
      <c r="E2159" s="14"/>
      <c r="F2159" s="14"/>
      <c r="G2159" s="14"/>
      <c r="H2159" s="10"/>
      <c r="I2159" s="17"/>
      <c r="J2159" s="10"/>
      <c r="K2159" s="46"/>
      <c r="L2159" s="10"/>
      <c r="M2159" s="20"/>
      <c r="N2159" s="20"/>
      <c r="O2159" s="20"/>
      <c r="P2159" s="20"/>
    </row>
    <row r="2160">
      <c r="A2160" s="23"/>
      <c r="B2160" s="21"/>
      <c r="C2160" s="23"/>
      <c r="D2160" s="24"/>
      <c r="E2160" s="14"/>
      <c r="F2160" s="14"/>
      <c r="G2160" s="14"/>
      <c r="H2160" s="23"/>
      <c r="I2160" s="27"/>
      <c r="J2160" s="23"/>
      <c r="K2160" s="30"/>
      <c r="L2160" s="23"/>
      <c r="M2160" s="20"/>
      <c r="N2160" s="20"/>
      <c r="O2160" s="20"/>
      <c r="P2160" s="20"/>
    </row>
    <row r="2161">
      <c r="A2161" s="10"/>
      <c r="B2161" s="11"/>
      <c r="C2161" s="10"/>
      <c r="D2161" s="13"/>
      <c r="E2161" s="14"/>
      <c r="F2161" s="14"/>
      <c r="G2161" s="14"/>
      <c r="H2161" s="10"/>
      <c r="I2161" s="17"/>
      <c r="J2161" s="10"/>
      <c r="K2161" s="46"/>
      <c r="L2161" s="10"/>
      <c r="M2161" s="20"/>
      <c r="N2161" s="20"/>
      <c r="O2161" s="20"/>
      <c r="P2161" s="20"/>
    </row>
    <row r="2162">
      <c r="A2162" s="23"/>
      <c r="B2162" s="21"/>
      <c r="C2162" s="23"/>
      <c r="D2162" s="24"/>
      <c r="E2162" s="14"/>
      <c r="F2162" s="14"/>
      <c r="G2162" s="14"/>
      <c r="H2162" s="23"/>
      <c r="I2162" s="27"/>
      <c r="J2162" s="23"/>
      <c r="K2162" s="30"/>
      <c r="L2162" s="23"/>
      <c r="M2162" s="20"/>
      <c r="N2162" s="20"/>
      <c r="O2162" s="20"/>
      <c r="P2162" s="20"/>
    </row>
    <row r="2163">
      <c r="A2163" s="10"/>
      <c r="B2163" s="11"/>
      <c r="C2163" s="10"/>
      <c r="D2163" s="13"/>
      <c r="E2163" s="14"/>
      <c r="F2163" s="14"/>
      <c r="G2163" s="14"/>
      <c r="H2163" s="10"/>
      <c r="I2163" s="17"/>
      <c r="J2163" s="10"/>
      <c r="K2163" s="46"/>
      <c r="L2163" s="10"/>
      <c r="M2163" s="20"/>
      <c r="N2163" s="20"/>
      <c r="O2163" s="20"/>
      <c r="P2163" s="20"/>
    </row>
    <row r="2164">
      <c r="A2164" s="23"/>
      <c r="B2164" s="21"/>
      <c r="C2164" s="23"/>
      <c r="D2164" s="24"/>
      <c r="E2164" s="14"/>
      <c r="F2164" s="14"/>
      <c r="G2164" s="14"/>
      <c r="H2164" s="23"/>
      <c r="I2164" s="27"/>
      <c r="J2164" s="23"/>
      <c r="K2164" s="30"/>
      <c r="L2164" s="23"/>
      <c r="M2164" s="20"/>
      <c r="N2164" s="20"/>
      <c r="O2164" s="20"/>
      <c r="P2164" s="20"/>
    </row>
    <row r="2165">
      <c r="A2165" s="10"/>
      <c r="B2165" s="11"/>
      <c r="C2165" s="10"/>
      <c r="D2165" s="13"/>
      <c r="E2165" s="14"/>
      <c r="F2165" s="14"/>
      <c r="G2165" s="14"/>
      <c r="H2165" s="10"/>
      <c r="I2165" s="17"/>
      <c r="J2165" s="10"/>
      <c r="K2165" s="46"/>
      <c r="L2165" s="10"/>
      <c r="M2165" s="20"/>
      <c r="N2165" s="20"/>
      <c r="O2165" s="20"/>
      <c r="P2165" s="20"/>
    </row>
    <row r="2166">
      <c r="A2166" s="23"/>
      <c r="B2166" s="21"/>
      <c r="C2166" s="23"/>
      <c r="D2166" s="24"/>
      <c r="E2166" s="14"/>
      <c r="F2166" s="14"/>
      <c r="G2166" s="14"/>
      <c r="H2166" s="23"/>
      <c r="I2166" s="27"/>
      <c r="J2166" s="23"/>
      <c r="K2166" s="30"/>
      <c r="L2166" s="23"/>
      <c r="M2166" s="20"/>
      <c r="N2166" s="20"/>
      <c r="O2166" s="20"/>
      <c r="P2166" s="20"/>
    </row>
    <row r="2167">
      <c r="A2167" s="10"/>
      <c r="B2167" s="11"/>
      <c r="C2167" s="10"/>
      <c r="D2167" s="13"/>
      <c r="E2167" s="14"/>
      <c r="F2167" s="14"/>
      <c r="G2167" s="14"/>
      <c r="H2167" s="10"/>
      <c r="I2167" s="17"/>
      <c r="J2167" s="10"/>
      <c r="K2167" s="46"/>
      <c r="L2167" s="10"/>
      <c r="M2167" s="20"/>
      <c r="N2167" s="20"/>
      <c r="O2167" s="20"/>
      <c r="P2167" s="20"/>
    </row>
    <row r="2168">
      <c r="A2168" s="23"/>
      <c r="B2168" s="21"/>
      <c r="C2168" s="23"/>
      <c r="D2168" s="24"/>
      <c r="E2168" s="14"/>
      <c r="F2168" s="14"/>
      <c r="G2168" s="14"/>
      <c r="H2168" s="23"/>
      <c r="I2168" s="27"/>
      <c r="J2168" s="23"/>
      <c r="K2168" s="30"/>
      <c r="L2168" s="23"/>
      <c r="M2168" s="20"/>
      <c r="N2168" s="20"/>
      <c r="O2168" s="20"/>
      <c r="P2168" s="20"/>
    </row>
    <row r="2169">
      <c r="A2169" s="10"/>
      <c r="B2169" s="11"/>
      <c r="C2169" s="10"/>
      <c r="D2169" s="13"/>
      <c r="E2169" s="14"/>
      <c r="F2169" s="14"/>
      <c r="G2169" s="14"/>
      <c r="H2169" s="10"/>
      <c r="I2169" s="17"/>
      <c r="J2169" s="10"/>
      <c r="K2169" s="46"/>
      <c r="L2169" s="10"/>
      <c r="M2169" s="20"/>
      <c r="N2169" s="20"/>
      <c r="O2169" s="20"/>
      <c r="P2169" s="20"/>
    </row>
    <row r="2170">
      <c r="A2170" s="23"/>
      <c r="B2170" s="21"/>
      <c r="C2170" s="23"/>
      <c r="D2170" s="24"/>
      <c r="E2170" s="14"/>
      <c r="F2170" s="14"/>
      <c r="G2170" s="14"/>
      <c r="H2170" s="23"/>
      <c r="I2170" s="27"/>
      <c r="J2170" s="23"/>
      <c r="K2170" s="30"/>
      <c r="L2170" s="23"/>
      <c r="M2170" s="20"/>
      <c r="N2170" s="20"/>
      <c r="O2170" s="20"/>
      <c r="P2170" s="20"/>
    </row>
    <row r="2171">
      <c r="A2171" s="10"/>
      <c r="B2171" s="11"/>
      <c r="C2171" s="10"/>
      <c r="D2171" s="13"/>
      <c r="E2171" s="14"/>
      <c r="F2171" s="14"/>
      <c r="G2171" s="14"/>
      <c r="H2171" s="10"/>
      <c r="I2171" s="17"/>
      <c r="J2171" s="10"/>
      <c r="K2171" s="46"/>
      <c r="L2171" s="10"/>
      <c r="M2171" s="20"/>
      <c r="N2171" s="20"/>
      <c r="O2171" s="20"/>
      <c r="P2171" s="20"/>
    </row>
    <row r="2172">
      <c r="A2172" s="23"/>
      <c r="B2172" s="21"/>
      <c r="C2172" s="23"/>
      <c r="D2172" s="24"/>
      <c r="E2172" s="14"/>
      <c r="F2172" s="14"/>
      <c r="G2172" s="14"/>
      <c r="H2172" s="23"/>
      <c r="I2172" s="27"/>
      <c r="J2172" s="23"/>
      <c r="K2172" s="30"/>
      <c r="L2172" s="23"/>
      <c r="M2172" s="20"/>
      <c r="N2172" s="20"/>
      <c r="O2172" s="20"/>
      <c r="P2172" s="20"/>
    </row>
    <row r="2173">
      <c r="A2173" s="10"/>
      <c r="B2173" s="11"/>
      <c r="C2173" s="10"/>
      <c r="D2173" s="13"/>
      <c r="E2173" s="14"/>
      <c r="F2173" s="14"/>
      <c r="G2173" s="14"/>
      <c r="H2173" s="10"/>
      <c r="I2173" s="17"/>
      <c r="J2173" s="10"/>
      <c r="K2173" s="46"/>
      <c r="L2173" s="10"/>
      <c r="M2173" s="20"/>
      <c r="N2173" s="20"/>
      <c r="O2173" s="20"/>
      <c r="P2173" s="20"/>
    </row>
    <row r="2174">
      <c r="A2174" s="23"/>
      <c r="B2174" s="21"/>
      <c r="C2174" s="23"/>
      <c r="D2174" s="24"/>
      <c r="E2174" s="14"/>
      <c r="F2174" s="14"/>
      <c r="G2174" s="14"/>
      <c r="H2174" s="23"/>
      <c r="I2174" s="27"/>
      <c r="J2174" s="23"/>
      <c r="K2174" s="30"/>
      <c r="L2174" s="23"/>
      <c r="M2174" s="20"/>
      <c r="N2174" s="20"/>
      <c r="O2174" s="20"/>
      <c r="P2174" s="20"/>
    </row>
    <row r="2175">
      <c r="A2175" s="10"/>
      <c r="B2175" s="11"/>
      <c r="C2175" s="10"/>
      <c r="D2175" s="13"/>
      <c r="E2175" s="14"/>
      <c r="F2175" s="14"/>
      <c r="G2175" s="14"/>
      <c r="H2175" s="10"/>
      <c r="I2175" s="17"/>
      <c r="J2175" s="10"/>
      <c r="K2175" s="46"/>
      <c r="L2175" s="10"/>
      <c r="M2175" s="20"/>
      <c r="N2175" s="20"/>
      <c r="O2175" s="20"/>
      <c r="P2175" s="20"/>
    </row>
    <row r="2176">
      <c r="A2176" s="23"/>
      <c r="B2176" s="21"/>
      <c r="C2176" s="23"/>
      <c r="D2176" s="24"/>
      <c r="E2176" s="14"/>
      <c r="F2176" s="14"/>
      <c r="G2176" s="14"/>
      <c r="H2176" s="23"/>
      <c r="I2176" s="27"/>
      <c r="J2176" s="23"/>
      <c r="K2176" s="30"/>
      <c r="L2176" s="23"/>
      <c r="M2176" s="20"/>
      <c r="N2176" s="20"/>
      <c r="O2176" s="20"/>
      <c r="P2176" s="20"/>
    </row>
    <row r="2177">
      <c r="A2177" s="10"/>
      <c r="B2177" s="11"/>
      <c r="C2177" s="10"/>
      <c r="D2177" s="13"/>
      <c r="E2177" s="14"/>
      <c r="F2177" s="14"/>
      <c r="G2177" s="14"/>
      <c r="H2177" s="10"/>
      <c r="I2177" s="17"/>
      <c r="J2177" s="10"/>
      <c r="K2177" s="46"/>
      <c r="L2177" s="10"/>
      <c r="M2177" s="20"/>
      <c r="N2177" s="20"/>
      <c r="O2177" s="20"/>
      <c r="P2177" s="20"/>
    </row>
    <row r="2178">
      <c r="A2178" s="23"/>
      <c r="B2178" s="21"/>
      <c r="C2178" s="23"/>
      <c r="D2178" s="24"/>
      <c r="E2178" s="14"/>
      <c r="F2178" s="14"/>
      <c r="G2178" s="14"/>
      <c r="H2178" s="23"/>
      <c r="I2178" s="27"/>
      <c r="J2178" s="23"/>
      <c r="K2178" s="30"/>
      <c r="L2178" s="23"/>
      <c r="M2178" s="20"/>
      <c r="N2178" s="20"/>
      <c r="O2178" s="20"/>
      <c r="P2178" s="20"/>
    </row>
    <row r="2179">
      <c r="A2179" s="10"/>
      <c r="B2179" s="11"/>
      <c r="C2179" s="10"/>
      <c r="D2179" s="13"/>
      <c r="E2179" s="14"/>
      <c r="F2179" s="14"/>
      <c r="G2179" s="14"/>
      <c r="H2179" s="10"/>
      <c r="I2179" s="17"/>
      <c r="J2179" s="10"/>
      <c r="K2179" s="46"/>
      <c r="L2179" s="10"/>
      <c r="M2179" s="20"/>
      <c r="N2179" s="20"/>
      <c r="O2179" s="20"/>
      <c r="P2179" s="20"/>
    </row>
    <row r="2180">
      <c r="A2180" s="23"/>
      <c r="B2180" s="21"/>
      <c r="C2180" s="23"/>
      <c r="D2180" s="24"/>
      <c r="E2180" s="14"/>
      <c r="F2180" s="14"/>
      <c r="G2180" s="14"/>
      <c r="H2180" s="23"/>
      <c r="I2180" s="27"/>
      <c r="J2180" s="23"/>
      <c r="K2180" s="30"/>
      <c r="L2180" s="23"/>
      <c r="M2180" s="20"/>
      <c r="N2180" s="20"/>
      <c r="O2180" s="20"/>
      <c r="P2180" s="20"/>
    </row>
    <row r="2181">
      <c r="A2181" s="10"/>
      <c r="B2181" s="11"/>
      <c r="C2181" s="10"/>
      <c r="D2181" s="13"/>
      <c r="E2181" s="14"/>
      <c r="F2181" s="14"/>
      <c r="G2181" s="14"/>
      <c r="H2181" s="10"/>
      <c r="I2181" s="17"/>
      <c r="J2181" s="10"/>
      <c r="K2181" s="46"/>
      <c r="L2181" s="10"/>
      <c r="M2181" s="20"/>
      <c r="N2181" s="20"/>
      <c r="O2181" s="20"/>
      <c r="P2181" s="20"/>
    </row>
    <row r="2182">
      <c r="A2182" s="23"/>
      <c r="B2182" s="21"/>
      <c r="C2182" s="23"/>
      <c r="D2182" s="24"/>
      <c r="E2182" s="14"/>
      <c r="F2182" s="14"/>
      <c r="G2182" s="14"/>
      <c r="H2182" s="23"/>
      <c r="I2182" s="27"/>
      <c r="J2182" s="23"/>
      <c r="K2182" s="30"/>
      <c r="L2182" s="23"/>
      <c r="M2182" s="20"/>
      <c r="N2182" s="20"/>
      <c r="O2182" s="20"/>
      <c r="P2182" s="20"/>
    </row>
    <row r="2183">
      <c r="A2183" s="10"/>
      <c r="B2183" s="11"/>
      <c r="C2183" s="10"/>
      <c r="D2183" s="13"/>
      <c r="E2183" s="14"/>
      <c r="F2183" s="14"/>
      <c r="G2183" s="14"/>
      <c r="H2183" s="10"/>
      <c r="I2183" s="17"/>
      <c r="J2183" s="10"/>
      <c r="K2183" s="46"/>
      <c r="L2183" s="10"/>
      <c r="M2183" s="20"/>
      <c r="N2183" s="20"/>
      <c r="O2183" s="20"/>
      <c r="P2183" s="20"/>
    </row>
    <row r="2184">
      <c r="A2184" s="23"/>
      <c r="B2184" s="21"/>
      <c r="C2184" s="23"/>
      <c r="D2184" s="24"/>
      <c r="E2184" s="14"/>
      <c r="F2184" s="14"/>
      <c r="G2184" s="14"/>
      <c r="H2184" s="23"/>
      <c r="I2184" s="27"/>
      <c r="J2184" s="23"/>
      <c r="K2184" s="30"/>
      <c r="L2184" s="23"/>
      <c r="M2184" s="20"/>
      <c r="N2184" s="20"/>
      <c r="O2184" s="20"/>
      <c r="P2184" s="20"/>
    </row>
    <row r="2185">
      <c r="A2185" s="10"/>
      <c r="B2185" s="11"/>
      <c r="C2185" s="10"/>
      <c r="D2185" s="13"/>
      <c r="E2185" s="14"/>
      <c r="F2185" s="14"/>
      <c r="G2185" s="14"/>
      <c r="H2185" s="10"/>
      <c r="I2185" s="17"/>
      <c r="J2185" s="10"/>
      <c r="K2185" s="46"/>
      <c r="L2185" s="10"/>
      <c r="M2185" s="20"/>
      <c r="N2185" s="20"/>
      <c r="O2185" s="20"/>
      <c r="P2185" s="20"/>
    </row>
    <row r="2186">
      <c r="A2186" s="23"/>
      <c r="B2186" s="21"/>
      <c r="C2186" s="23"/>
      <c r="D2186" s="24"/>
      <c r="E2186" s="14"/>
      <c r="F2186" s="14"/>
      <c r="G2186" s="14"/>
      <c r="H2186" s="23"/>
      <c r="I2186" s="27"/>
      <c r="J2186" s="23"/>
      <c r="K2186" s="30"/>
      <c r="L2186" s="23"/>
      <c r="M2186" s="20"/>
      <c r="N2186" s="20"/>
      <c r="O2186" s="20"/>
      <c r="P2186" s="20"/>
    </row>
    <row r="2187">
      <c r="A2187" s="10"/>
      <c r="B2187" s="11"/>
      <c r="C2187" s="10"/>
      <c r="D2187" s="13"/>
      <c r="E2187" s="14"/>
      <c r="F2187" s="14"/>
      <c r="G2187" s="14"/>
      <c r="H2187" s="10"/>
      <c r="I2187" s="17"/>
      <c r="J2187" s="10"/>
      <c r="K2187" s="46"/>
      <c r="L2187" s="10"/>
      <c r="M2187" s="20"/>
      <c r="N2187" s="20"/>
      <c r="O2187" s="20"/>
      <c r="P2187" s="20"/>
    </row>
    <row r="2188">
      <c r="A2188" s="23"/>
      <c r="B2188" s="21"/>
      <c r="C2188" s="23"/>
      <c r="D2188" s="24"/>
      <c r="E2188" s="14"/>
      <c r="F2188" s="14"/>
      <c r="G2188" s="14"/>
      <c r="H2188" s="23"/>
      <c r="I2188" s="27"/>
      <c r="J2188" s="23"/>
      <c r="K2188" s="30"/>
      <c r="L2188" s="23"/>
      <c r="M2188" s="20"/>
      <c r="N2188" s="20"/>
      <c r="O2188" s="20"/>
      <c r="P2188" s="20"/>
    </row>
    <row r="2189">
      <c r="A2189" s="10"/>
      <c r="B2189" s="11"/>
      <c r="C2189" s="10"/>
      <c r="D2189" s="13"/>
      <c r="E2189" s="14"/>
      <c r="F2189" s="14"/>
      <c r="G2189" s="14"/>
      <c r="H2189" s="10"/>
      <c r="I2189" s="17"/>
      <c r="J2189" s="10"/>
      <c r="K2189" s="46"/>
      <c r="L2189" s="10"/>
      <c r="M2189" s="20"/>
      <c r="N2189" s="20"/>
      <c r="O2189" s="20"/>
      <c r="P2189" s="20"/>
    </row>
    <row r="2190">
      <c r="A2190" s="23"/>
      <c r="B2190" s="21"/>
      <c r="C2190" s="23"/>
      <c r="D2190" s="24"/>
      <c r="E2190" s="14"/>
      <c r="F2190" s="14"/>
      <c r="G2190" s="14"/>
      <c r="H2190" s="23"/>
      <c r="I2190" s="27"/>
      <c r="J2190" s="23"/>
      <c r="K2190" s="30"/>
      <c r="L2190" s="23"/>
      <c r="M2190" s="20"/>
      <c r="N2190" s="20"/>
      <c r="O2190" s="20"/>
      <c r="P2190" s="20"/>
    </row>
    <row r="2191">
      <c r="A2191" s="10"/>
      <c r="B2191" s="11"/>
      <c r="C2191" s="10"/>
      <c r="D2191" s="13"/>
      <c r="E2191" s="14"/>
      <c r="F2191" s="14"/>
      <c r="G2191" s="14"/>
      <c r="H2191" s="10"/>
      <c r="I2191" s="17"/>
      <c r="J2191" s="10"/>
      <c r="K2191" s="46"/>
      <c r="L2191" s="10"/>
      <c r="M2191" s="20"/>
      <c r="N2191" s="20"/>
      <c r="O2191" s="20"/>
      <c r="P2191" s="20"/>
    </row>
    <row r="2192">
      <c r="A2192" s="23"/>
      <c r="B2192" s="21"/>
      <c r="C2192" s="23"/>
      <c r="D2192" s="24"/>
      <c r="E2192" s="14"/>
      <c r="F2192" s="14"/>
      <c r="G2192" s="14"/>
      <c r="H2192" s="23"/>
      <c r="I2192" s="27"/>
      <c r="J2192" s="23"/>
      <c r="K2192" s="30"/>
      <c r="L2192" s="23"/>
      <c r="M2192" s="20"/>
      <c r="N2192" s="20"/>
      <c r="O2192" s="20"/>
      <c r="P2192" s="20"/>
    </row>
    <row r="2193">
      <c r="A2193" s="10"/>
      <c r="B2193" s="11"/>
      <c r="C2193" s="10"/>
      <c r="D2193" s="13"/>
      <c r="E2193" s="14"/>
      <c r="F2193" s="14"/>
      <c r="G2193" s="14"/>
      <c r="H2193" s="10"/>
      <c r="I2193" s="17"/>
      <c r="J2193" s="10"/>
      <c r="K2193" s="46"/>
      <c r="L2193" s="10"/>
      <c r="M2193" s="20"/>
      <c r="N2193" s="20"/>
      <c r="O2193" s="20"/>
      <c r="P2193" s="20"/>
    </row>
    <row r="2194">
      <c r="A2194" s="23"/>
      <c r="B2194" s="21"/>
      <c r="C2194" s="23"/>
      <c r="D2194" s="24"/>
      <c r="E2194" s="14"/>
      <c r="F2194" s="14"/>
      <c r="G2194" s="14"/>
      <c r="H2194" s="23"/>
      <c r="I2194" s="27"/>
      <c r="J2194" s="23"/>
      <c r="K2194" s="30"/>
      <c r="L2194" s="23"/>
      <c r="M2194" s="20"/>
      <c r="N2194" s="20"/>
      <c r="O2194" s="20"/>
      <c r="P2194" s="20"/>
    </row>
    <row r="2195">
      <c r="A2195" s="10"/>
      <c r="B2195" s="11"/>
      <c r="C2195" s="10"/>
      <c r="D2195" s="13"/>
      <c r="E2195" s="14"/>
      <c r="F2195" s="14"/>
      <c r="G2195" s="14"/>
      <c r="H2195" s="10"/>
      <c r="I2195" s="17"/>
      <c r="J2195" s="10"/>
      <c r="K2195" s="46"/>
      <c r="L2195" s="10"/>
      <c r="M2195" s="20"/>
      <c r="N2195" s="20"/>
      <c r="O2195" s="20"/>
      <c r="P2195" s="20"/>
    </row>
    <row r="2196">
      <c r="A2196" s="23"/>
      <c r="B2196" s="21"/>
      <c r="C2196" s="23"/>
      <c r="D2196" s="24"/>
      <c r="E2196" s="14"/>
      <c r="F2196" s="14"/>
      <c r="G2196" s="14"/>
      <c r="H2196" s="23"/>
      <c r="I2196" s="27"/>
      <c r="J2196" s="23"/>
      <c r="K2196" s="30"/>
      <c r="L2196" s="23"/>
      <c r="M2196" s="20"/>
      <c r="N2196" s="20"/>
      <c r="O2196" s="20"/>
      <c r="P2196" s="20"/>
    </row>
    <row r="2197">
      <c r="A2197" s="10"/>
      <c r="B2197" s="11"/>
      <c r="C2197" s="10"/>
      <c r="D2197" s="13"/>
      <c r="E2197" s="14"/>
      <c r="F2197" s="14"/>
      <c r="G2197" s="14"/>
      <c r="H2197" s="10"/>
      <c r="I2197" s="17"/>
      <c r="J2197" s="10"/>
      <c r="K2197" s="46"/>
      <c r="L2197" s="10"/>
      <c r="M2197" s="20"/>
      <c r="N2197" s="20"/>
      <c r="O2197" s="20"/>
      <c r="P2197" s="20"/>
    </row>
    <row r="2198">
      <c r="A2198" s="23"/>
      <c r="B2198" s="21"/>
      <c r="C2198" s="23"/>
      <c r="D2198" s="24"/>
      <c r="E2198" s="14"/>
      <c r="F2198" s="14"/>
      <c r="G2198" s="14"/>
      <c r="H2198" s="23"/>
      <c r="I2198" s="27"/>
      <c r="J2198" s="23"/>
      <c r="K2198" s="30"/>
      <c r="L2198" s="23"/>
      <c r="M2198" s="20"/>
      <c r="N2198" s="20"/>
      <c r="O2198" s="20"/>
      <c r="P2198" s="20"/>
    </row>
    <row r="2199">
      <c r="A2199" s="10"/>
      <c r="B2199" s="11"/>
      <c r="C2199" s="10"/>
      <c r="D2199" s="13"/>
      <c r="E2199" s="14"/>
      <c r="F2199" s="14"/>
      <c r="G2199" s="14"/>
      <c r="H2199" s="10"/>
      <c r="I2199" s="17"/>
      <c r="J2199" s="10"/>
      <c r="K2199" s="46"/>
      <c r="L2199" s="10"/>
      <c r="M2199" s="20"/>
      <c r="N2199" s="20"/>
      <c r="O2199" s="20"/>
      <c r="P2199" s="20"/>
    </row>
    <row r="2200">
      <c r="A2200" s="23"/>
      <c r="B2200" s="21"/>
      <c r="C2200" s="23"/>
      <c r="D2200" s="24"/>
      <c r="E2200" s="14"/>
      <c r="F2200" s="14"/>
      <c r="G2200" s="14"/>
      <c r="H2200" s="23"/>
      <c r="I2200" s="27"/>
      <c r="J2200" s="23"/>
      <c r="K2200" s="30"/>
      <c r="L2200" s="23"/>
      <c r="M2200" s="20"/>
      <c r="N2200" s="20"/>
      <c r="O2200" s="20"/>
      <c r="P2200" s="20"/>
    </row>
    <row r="2201">
      <c r="A2201" s="10"/>
      <c r="B2201" s="11"/>
      <c r="C2201" s="10"/>
      <c r="D2201" s="13"/>
      <c r="E2201" s="14"/>
      <c r="F2201" s="14"/>
      <c r="G2201" s="14"/>
      <c r="H2201" s="10"/>
      <c r="I2201" s="17"/>
      <c r="J2201" s="10"/>
      <c r="K2201" s="46"/>
      <c r="L2201" s="10"/>
      <c r="M2201" s="20"/>
      <c r="N2201" s="20"/>
      <c r="O2201" s="20"/>
      <c r="P2201" s="20"/>
    </row>
    <row r="2202">
      <c r="A2202" s="23"/>
      <c r="B2202" s="21"/>
      <c r="C2202" s="23"/>
      <c r="D2202" s="24"/>
      <c r="E2202" s="14"/>
      <c r="F2202" s="14"/>
      <c r="G2202" s="14"/>
      <c r="H2202" s="23"/>
      <c r="I2202" s="27"/>
      <c r="J2202" s="23"/>
      <c r="K2202" s="30"/>
      <c r="L2202" s="23"/>
      <c r="M2202" s="20"/>
      <c r="N2202" s="20"/>
      <c r="O2202" s="20"/>
      <c r="P2202" s="20"/>
    </row>
    <row r="2203">
      <c r="A2203" s="10"/>
      <c r="B2203" s="11"/>
      <c r="C2203" s="10"/>
      <c r="D2203" s="13"/>
      <c r="E2203" s="14"/>
      <c r="F2203" s="14"/>
      <c r="G2203" s="14"/>
      <c r="H2203" s="10"/>
      <c r="I2203" s="17"/>
      <c r="J2203" s="10"/>
      <c r="K2203" s="46"/>
      <c r="L2203" s="10"/>
      <c r="M2203" s="20"/>
      <c r="N2203" s="20"/>
      <c r="O2203" s="20"/>
      <c r="P2203" s="20"/>
    </row>
    <row r="2204">
      <c r="A2204" s="23"/>
      <c r="B2204" s="21"/>
      <c r="C2204" s="23"/>
      <c r="D2204" s="24"/>
      <c r="E2204" s="14"/>
      <c r="F2204" s="14"/>
      <c r="G2204" s="14"/>
      <c r="H2204" s="23"/>
      <c r="I2204" s="27"/>
      <c r="J2204" s="23"/>
      <c r="K2204" s="30"/>
      <c r="L2204" s="23"/>
      <c r="M2204" s="20"/>
      <c r="N2204" s="20"/>
      <c r="O2204" s="20"/>
      <c r="P2204" s="20"/>
    </row>
    <row r="2205">
      <c r="A2205" s="10"/>
      <c r="B2205" s="11"/>
      <c r="C2205" s="10"/>
      <c r="D2205" s="13"/>
      <c r="E2205" s="14"/>
      <c r="F2205" s="14"/>
      <c r="G2205" s="14"/>
      <c r="H2205" s="10"/>
      <c r="I2205" s="17"/>
      <c r="J2205" s="10"/>
      <c r="K2205" s="46"/>
      <c r="L2205" s="10"/>
      <c r="M2205" s="20"/>
      <c r="N2205" s="20"/>
      <c r="O2205" s="20"/>
      <c r="P2205" s="20"/>
    </row>
    <row r="2206">
      <c r="A2206" s="23"/>
      <c r="B2206" s="21"/>
      <c r="C2206" s="23"/>
      <c r="D2206" s="24"/>
      <c r="E2206" s="14"/>
      <c r="F2206" s="14"/>
      <c r="G2206" s="14"/>
      <c r="H2206" s="23"/>
      <c r="I2206" s="27"/>
      <c r="J2206" s="23"/>
      <c r="K2206" s="30"/>
      <c r="L2206" s="23"/>
      <c r="M2206" s="20"/>
      <c r="N2206" s="20"/>
      <c r="O2206" s="20"/>
      <c r="P2206" s="20"/>
    </row>
    <row r="2207">
      <c r="A2207" s="10"/>
      <c r="B2207" s="11"/>
      <c r="C2207" s="10"/>
      <c r="D2207" s="13"/>
      <c r="E2207" s="14"/>
      <c r="F2207" s="14"/>
      <c r="G2207" s="14"/>
      <c r="H2207" s="10"/>
      <c r="I2207" s="17"/>
      <c r="J2207" s="10"/>
      <c r="K2207" s="46"/>
      <c r="L2207" s="10"/>
      <c r="M2207" s="20"/>
      <c r="N2207" s="20"/>
      <c r="O2207" s="20"/>
      <c r="P2207" s="20"/>
    </row>
    <row r="2208">
      <c r="A2208" s="23"/>
      <c r="B2208" s="21"/>
      <c r="C2208" s="23"/>
      <c r="D2208" s="24"/>
      <c r="E2208" s="14"/>
      <c r="F2208" s="14"/>
      <c r="G2208" s="14"/>
      <c r="H2208" s="23"/>
      <c r="I2208" s="27"/>
      <c r="J2208" s="23"/>
      <c r="K2208" s="30"/>
      <c r="L2208" s="23"/>
      <c r="M2208" s="20"/>
      <c r="N2208" s="20"/>
      <c r="O2208" s="20"/>
      <c r="P2208" s="20"/>
    </row>
    <row r="2209">
      <c r="A2209" s="10"/>
      <c r="B2209" s="11"/>
      <c r="C2209" s="10"/>
      <c r="D2209" s="13"/>
      <c r="E2209" s="14"/>
      <c r="F2209" s="14"/>
      <c r="G2209" s="14"/>
      <c r="H2209" s="10"/>
      <c r="I2209" s="17"/>
      <c r="J2209" s="10"/>
      <c r="K2209" s="46"/>
      <c r="L2209" s="10"/>
      <c r="M2209" s="20"/>
      <c r="N2209" s="20"/>
      <c r="O2209" s="20"/>
      <c r="P2209" s="20"/>
    </row>
    <row r="2210">
      <c r="A2210" s="23"/>
      <c r="B2210" s="21"/>
      <c r="C2210" s="23"/>
      <c r="D2210" s="24"/>
      <c r="E2210" s="14"/>
      <c r="F2210" s="14"/>
      <c r="G2210" s="14"/>
      <c r="H2210" s="23"/>
      <c r="I2210" s="27"/>
      <c r="J2210" s="23"/>
      <c r="K2210" s="30"/>
      <c r="L2210" s="23"/>
      <c r="M2210" s="20"/>
      <c r="N2210" s="20"/>
      <c r="O2210" s="20"/>
      <c r="P2210" s="20"/>
    </row>
    <row r="2211">
      <c r="A2211" s="10"/>
      <c r="B2211" s="11"/>
      <c r="C2211" s="10"/>
      <c r="D2211" s="13"/>
      <c r="E2211" s="14"/>
      <c r="F2211" s="14"/>
      <c r="G2211" s="14"/>
      <c r="H2211" s="10"/>
      <c r="I2211" s="17"/>
      <c r="J2211" s="10"/>
      <c r="K2211" s="46"/>
      <c r="L2211" s="10"/>
      <c r="M2211" s="20"/>
      <c r="N2211" s="20"/>
      <c r="O2211" s="20"/>
      <c r="P2211" s="20"/>
    </row>
    <row r="2212">
      <c r="A2212" s="23"/>
      <c r="B2212" s="21"/>
      <c r="C2212" s="23"/>
      <c r="D2212" s="24"/>
      <c r="E2212" s="14"/>
      <c r="F2212" s="14"/>
      <c r="G2212" s="14"/>
      <c r="H2212" s="23"/>
      <c r="I2212" s="27"/>
      <c r="J2212" s="23"/>
      <c r="K2212" s="30"/>
      <c r="L2212" s="23"/>
      <c r="M2212" s="20"/>
      <c r="N2212" s="20"/>
      <c r="O2212" s="20"/>
      <c r="P2212" s="20"/>
    </row>
    <row r="2213">
      <c r="A2213" s="10"/>
      <c r="B2213" s="11"/>
      <c r="C2213" s="10"/>
      <c r="D2213" s="13"/>
      <c r="E2213" s="14"/>
      <c r="F2213" s="14"/>
      <c r="G2213" s="14"/>
      <c r="H2213" s="10"/>
      <c r="I2213" s="17"/>
      <c r="J2213" s="10"/>
      <c r="K2213" s="46"/>
      <c r="L2213" s="10"/>
      <c r="M2213" s="20"/>
      <c r="N2213" s="20"/>
      <c r="O2213" s="20"/>
      <c r="P2213" s="20"/>
    </row>
    <row r="2214">
      <c r="A2214" s="23"/>
      <c r="B2214" s="21"/>
      <c r="C2214" s="23"/>
      <c r="D2214" s="24"/>
      <c r="E2214" s="14"/>
      <c r="F2214" s="14"/>
      <c r="G2214" s="14"/>
      <c r="H2214" s="23"/>
      <c r="I2214" s="27"/>
      <c r="J2214" s="23"/>
      <c r="K2214" s="30"/>
      <c r="L2214" s="23"/>
      <c r="M2214" s="20"/>
      <c r="N2214" s="20"/>
      <c r="O2214" s="20"/>
      <c r="P2214" s="20"/>
    </row>
    <row r="2215">
      <c r="A2215" s="10"/>
      <c r="B2215" s="11"/>
      <c r="C2215" s="10"/>
      <c r="D2215" s="13"/>
      <c r="E2215" s="14"/>
      <c r="F2215" s="14"/>
      <c r="G2215" s="14"/>
      <c r="H2215" s="10"/>
      <c r="I2215" s="17"/>
      <c r="J2215" s="10"/>
      <c r="K2215" s="46"/>
      <c r="L2215" s="10"/>
      <c r="M2215" s="20"/>
      <c r="N2215" s="20"/>
      <c r="O2215" s="20"/>
      <c r="P2215" s="20"/>
    </row>
    <row r="2216">
      <c r="A2216" s="23"/>
      <c r="B2216" s="21"/>
      <c r="C2216" s="23"/>
      <c r="D2216" s="24"/>
      <c r="E2216" s="14"/>
      <c r="F2216" s="14"/>
      <c r="G2216" s="14"/>
      <c r="H2216" s="23"/>
      <c r="I2216" s="27"/>
      <c r="J2216" s="23"/>
      <c r="K2216" s="30"/>
      <c r="L2216" s="23"/>
      <c r="M2216" s="20"/>
      <c r="N2216" s="20"/>
      <c r="O2216" s="20"/>
      <c r="P2216" s="20"/>
    </row>
    <row r="2217">
      <c r="A2217" s="10"/>
      <c r="B2217" s="11"/>
      <c r="C2217" s="10"/>
      <c r="D2217" s="13"/>
      <c r="E2217" s="14"/>
      <c r="F2217" s="14"/>
      <c r="G2217" s="14"/>
      <c r="H2217" s="10"/>
      <c r="I2217" s="17"/>
      <c r="J2217" s="10"/>
      <c r="K2217" s="46"/>
      <c r="L2217" s="10"/>
      <c r="M2217" s="20"/>
      <c r="N2217" s="20"/>
      <c r="O2217" s="20"/>
      <c r="P2217" s="20"/>
    </row>
    <row r="2218">
      <c r="A2218" s="23"/>
      <c r="B2218" s="21"/>
      <c r="C2218" s="23"/>
      <c r="D2218" s="24"/>
      <c r="E2218" s="14"/>
      <c r="F2218" s="14"/>
      <c r="G2218" s="14"/>
      <c r="H2218" s="23"/>
      <c r="I2218" s="27"/>
      <c r="J2218" s="23"/>
      <c r="K2218" s="30"/>
      <c r="L2218" s="23"/>
      <c r="M2218" s="20"/>
      <c r="N2218" s="20"/>
      <c r="O2218" s="20"/>
      <c r="P2218" s="20"/>
    </row>
    <row r="2219">
      <c r="A2219" s="10"/>
      <c r="B2219" s="11"/>
      <c r="C2219" s="10"/>
      <c r="D2219" s="13"/>
      <c r="E2219" s="14"/>
      <c r="F2219" s="14"/>
      <c r="G2219" s="14"/>
      <c r="H2219" s="10"/>
      <c r="I2219" s="17"/>
      <c r="J2219" s="10"/>
      <c r="K2219" s="46"/>
      <c r="L2219" s="10"/>
      <c r="M2219" s="20"/>
      <c r="N2219" s="20"/>
      <c r="O2219" s="20"/>
      <c r="P2219" s="20"/>
    </row>
    <row r="2220">
      <c r="A2220" s="23"/>
      <c r="B2220" s="21"/>
      <c r="C2220" s="23"/>
      <c r="D2220" s="24"/>
      <c r="E2220" s="14"/>
      <c r="F2220" s="14"/>
      <c r="G2220" s="14"/>
      <c r="H2220" s="23"/>
      <c r="I2220" s="27"/>
      <c r="J2220" s="23"/>
      <c r="K2220" s="30"/>
      <c r="L2220" s="23"/>
      <c r="M2220" s="20"/>
      <c r="N2220" s="20"/>
      <c r="O2220" s="20"/>
      <c r="P2220" s="20"/>
    </row>
    <row r="2221">
      <c r="A2221" s="10"/>
      <c r="B2221" s="11"/>
      <c r="C2221" s="10"/>
      <c r="D2221" s="13"/>
      <c r="E2221" s="14"/>
      <c r="F2221" s="14"/>
      <c r="G2221" s="14"/>
      <c r="H2221" s="10"/>
      <c r="I2221" s="17"/>
      <c r="J2221" s="10"/>
      <c r="K2221" s="46"/>
      <c r="L2221" s="10"/>
      <c r="M2221" s="20"/>
      <c r="N2221" s="20"/>
      <c r="O2221" s="20"/>
      <c r="P2221" s="20"/>
    </row>
    <row r="2222">
      <c r="A2222" s="23"/>
      <c r="B2222" s="21"/>
      <c r="C2222" s="23"/>
      <c r="D2222" s="24"/>
      <c r="E2222" s="14"/>
      <c r="F2222" s="14"/>
      <c r="G2222" s="14"/>
      <c r="H2222" s="23"/>
      <c r="I2222" s="27"/>
      <c r="J2222" s="23"/>
      <c r="K2222" s="30"/>
      <c r="L2222" s="23"/>
      <c r="M2222" s="20"/>
      <c r="N2222" s="20"/>
      <c r="O2222" s="20"/>
      <c r="P2222" s="20"/>
    </row>
    <row r="2223">
      <c r="A2223" s="10"/>
      <c r="B2223" s="11"/>
      <c r="C2223" s="10"/>
      <c r="D2223" s="13"/>
      <c r="E2223" s="14"/>
      <c r="F2223" s="14"/>
      <c r="G2223" s="14"/>
      <c r="H2223" s="10"/>
      <c r="I2223" s="17"/>
      <c r="J2223" s="10"/>
      <c r="K2223" s="46"/>
      <c r="L2223" s="10"/>
      <c r="M2223" s="20"/>
      <c r="N2223" s="20"/>
      <c r="O2223" s="20"/>
      <c r="P2223" s="20"/>
    </row>
    <row r="2224">
      <c r="A2224" s="23"/>
      <c r="B2224" s="21"/>
      <c r="C2224" s="23"/>
      <c r="D2224" s="24"/>
      <c r="E2224" s="14"/>
      <c r="F2224" s="14"/>
      <c r="G2224" s="14"/>
      <c r="H2224" s="23"/>
      <c r="I2224" s="27"/>
      <c r="J2224" s="23"/>
      <c r="K2224" s="30"/>
      <c r="L2224" s="23"/>
      <c r="M2224" s="20"/>
      <c r="N2224" s="20"/>
      <c r="O2224" s="20"/>
      <c r="P2224" s="20"/>
    </row>
    <row r="2225">
      <c r="A2225" s="10"/>
      <c r="B2225" s="11"/>
      <c r="C2225" s="10"/>
      <c r="D2225" s="13"/>
      <c r="E2225" s="14"/>
      <c r="F2225" s="14"/>
      <c r="G2225" s="14"/>
      <c r="H2225" s="10"/>
      <c r="I2225" s="17"/>
      <c r="J2225" s="10"/>
      <c r="K2225" s="46"/>
      <c r="L2225" s="10"/>
      <c r="M2225" s="20"/>
      <c r="N2225" s="20"/>
      <c r="O2225" s="20"/>
      <c r="P2225" s="20"/>
    </row>
    <row r="2226">
      <c r="A2226" s="23"/>
      <c r="B2226" s="21"/>
      <c r="C2226" s="23"/>
      <c r="D2226" s="24"/>
      <c r="E2226" s="14"/>
      <c r="F2226" s="14"/>
      <c r="G2226" s="14"/>
      <c r="H2226" s="23"/>
      <c r="I2226" s="27"/>
      <c r="J2226" s="23"/>
      <c r="K2226" s="30"/>
      <c r="L2226" s="23"/>
      <c r="M2226" s="20"/>
      <c r="N2226" s="20"/>
      <c r="O2226" s="20"/>
      <c r="P2226" s="20"/>
    </row>
    <row r="2227">
      <c r="A2227" s="10"/>
      <c r="B2227" s="11"/>
      <c r="C2227" s="10"/>
      <c r="D2227" s="13"/>
      <c r="E2227" s="14"/>
      <c r="F2227" s="14"/>
      <c r="G2227" s="14"/>
      <c r="H2227" s="10"/>
      <c r="I2227" s="17"/>
      <c r="J2227" s="10"/>
      <c r="K2227" s="46"/>
      <c r="L2227" s="10"/>
      <c r="M2227" s="20"/>
      <c r="N2227" s="20"/>
      <c r="O2227" s="20"/>
      <c r="P2227" s="20"/>
    </row>
    <row r="2228">
      <c r="A2228" s="23"/>
      <c r="B2228" s="21"/>
      <c r="C2228" s="23"/>
      <c r="D2228" s="24"/>
      <c r="E2228" s="14"/>
      <c r="F2228" s="14"/>
      <c r="G2228" s="14"/>
      <c r="H2228" s="23"/>
      <c r="I2228" s="27"/>
      <c r="J2228" s="23"/>
      <c r="K2228" s="30"/>
      <c r="L2228" s="23"/>
      <c r="M2228" s="20"/>
      <c r="N2228" s="20"/>
      <c r="O2228" s="20"/>
      <c r="P2228" s="20"/>
    </row>
    <row r="2229">
      <c r="A2229" s="10"/>
      <c r="B2229" s="11"/>
      <c r="C2229" s="10"/>
      <c r="D2229" s="13"/>
      <c r="E2229" s="14"/>
      <c r="F2229" s="14"/>
      <c r="G2229" s="14"/>
      <c r="H2229" s="10"/>
      <c r="I2229" s="17"/>
      <c r="J2229" s="10"/>
      <c r="K2229" s="46"/>
      <c r="L2229" s="10"/>
      <c r="M2229" s="20"/>
      <c r="N2229" s="20"/>
      <c r="O2229" s="20"/>
      <c r="P2229" s="20"/>
    </row>
    <row r="2230">
      <c r="A2230" s="23"/>
      <c r="B2230" s="21"/>
      <c r="C2230" s="23"/>
      <c r="D2230" s="24"/>
      <c r="E2230" s="14"/>
      <c r="F2230" s="14"/>
      <c r="G2230" s="14"/>
      <c r="H2230" s="23"/>
      <c r="I2230" s="27"/>
      <c r="J2230" s="23"/>
      <c r="K2230" s="30"/>
      <c r="L2230" s="23"/>
      <c r="M2230" s="20"/>
      <c r="N2230" s="20"/>
      <c r="O2230" s="20"/>
      <c r="P2230" s="20"/>
    </row>
    <row r="2231">
      <c r="A2231" s="10"/>
      <c r="B2231" s="11"/>
      <c r="C2231" s="10"/>
      <c r="D2231" s="13"/>
      <c r="E2231" s="14"/>
      <c r="F2231" s="14"/>
      <c r="G2231" s="14"/>
      <c r="H2231" s="10"/>
      <c r="I2231" s="17"/>
      <c r="J2231" s="10"/>
      <c r="K2231" s="46"/>
      <c r="L2231" s="10"/>
      <c r="M2231" s="20"/>
      <c r="N2231" s="20"/>
      <c r="O2231" s="20"/>
      <c r="P2231" s="20"/>
    </row>
    <row r="2232">
      <c r="A2232" s="23"/>
      <c r="B2232" s="21"/>
      <c r="C2232" s="23"/>
      <c r="D2232" s="24"/>
      <c r="E2232" s="14"/>
      <c r="F2232" s="14"/>
      <c r="G2232" s="14"/>
      <c r="H2232" s="23"/>
      <c r="I2232" s="27"/>
      <c r="J2232" s="23"/>
      <c r="K2232" s="30"/>
      <c r="L2232" s="23"/>
      <c r="M2232" s="20"/>
      <c r="N2232" s="20"/>
      <c r="O2232" s="20"/>
      <c r="P2232" s="20"/>
    </row>
    <row r="2233">
      <c r="A2233" s="10"/>
      <c r="B2233" s="11"/>
      <c r="C2233" s="10"/>
      <c r="D2233" s="13"/>
      <c r="E2233" s="14"/>
      <c r="F2233" s="14"/>
      <c r="G2233" s="14"/>
      <c r="H2233" s="10"/>
      <c r="I2233" s="17"/>
      <c r="J2233" s="10"/>
      <c r="K2233" s="46"/>
      <c r="L2233" s="10"/>
      <c r="M2233" s="20"/>
      <c r="N2233" s="20"/>
      <c r="O2233" s="20"/>
      <c r="P2233" s="20"/>
    </row>
    <row r="2234">
      <c r="A2234" s="23"/>
      <c r="B2234" s="21"/>
      <c r="C2234" s="23"/>
      <c r="D2234" s="24"/>
      <c r="E2234" s="14"/>
      <c r="F2234" s="14"/>
      <c r="G2234" s="14"/>
      <c r="H2234" s="23"/>
      <c r="I2234" s="27"/>
      <c r="J2234" s="23"/>
      <c r="K2234" s="30"/>
      <c r="L2234" s="23"/>
      <c r="M2234" s="20"/>
      <c r="N2234" s="20"/>
      <c r="O2234" s="20"/>
      <c r="P2234" s="20"/>
    </row>
    <row r="2235">
      <c r="A2235" s="10"/>
      <c r="B2235" s="11"/>
      <c r="C2235" s="10"/>
      <c r="D2235" s="13"/>
      <c r="E2235" s="14"/>
      <c r="F2235" s="14"/>
      <c r="G2235" s="14"/>
      <c r="H2235" s="10"/>
      <c r="I2235" s="17"/>
      <c r="J2235" s="10"/>
      <c r="K2235" s="46"/>
      <c r="L2235" s="10"/>
      <c r="M2235" s="20"/>
      <c r="N2235" s="20"/>
      <c r="O2235" s="20"/>
      <c r="P2235" s="20"/>
    </row>
    <row r="2236">
      <c r="A2236" s="23"/>
      <c r="B2236" s="21"/>
      <c r="C2236" s="23"/>
      <c r="D2236" s="24"/>
      <c r="E2236" s="14"/>
      <c r="F2236" s="14"/>
      <c r="G2236" s="14"/>
      <c r="H2236" s="23"/>
      <c r="I2236" s="27"/>
      <c r="J2236" s="23"/>
      <c r="K2236" s="30"/>
      <c r="L2236" s="23"/>
      <c r="M2236" s="20"/>
      <c r="N2236" s="20"/>
      <c r="O2236" s="20"/>
      <c r="P2236" s="20"/>
    </row>
    <row r="2237">
      <c r="A2237" s="10"/>
      <c r="B2237" s="11"/>
      <c r="C2237" s="10"/>
      <c r="D2237" s="13"/>
      <c r="E2237" s="14"/>
      <c r="F2237" s="14"/>
      <c r="G2237" s="14"/>
      <c r="H2237" s="10"/>
      <c r="I2237" s="17"/>
      <c r="J2237" s="10"/>
      <c r="K2237" s="46"/>
      <c r="L2237" s="10"/>
      <c r="M2237" s="20"/>
      <c r="N2237" s="20"/>
      <c r="O2237" s="20"/>
      <c r="P2237" s="20"/>
    </row>
    <row r="2238">
      <c r="A2238" s="23"/>
      <c r="B2238" s="21"/>
      <c r="C2238" s="23"/>
      <c r="D2238" s="24"/>
      <c r="E2238" s="14"/>
      <c r="F2238" s="14"/>
      <c r="G2238" s="14"/>
      <c r="H2238" s="23"/>
      <c r="I2238" s="27"/>
      <c r="J2238" s="23"/>
      <c r="K2238" s="30"/>
      <c r="L2238" s="23"/>
      <c r="M2238" s="20"/>
      <c r="N2238" s="20"/>
      <c r="O2238" s="20"/>
      <c r="P2238" s="20"/>
    </row>
    <row r="2239">
      <c r="A2239" s="10"/>
      <c r="B2239" s="11"/>
      <c r="C2239" s="10"/>
      <c r="D2239" s="13"/>
      <c r="E2239" s="14"/>
      <c r="F2239" s="14"/>
      <c r="G2239" s="14"/>
      <c r="H2239" s="10"/>
      <c r="I2239" s="17"/>
      <c r="J2239" s="10"/>
      <c r="K2239" s="46"/>
      <c r="L2239" s="10"/>
      <c r="M2239" s="20"/>
      <c r="N2239" s="20"/>
      <c r="O2239" s="20"/>
      <c r="P2239" s="20"/>
    </row>
    <row r="2240">
      <c r="A2240" s="23"/>
      <c r="B2240" s="21"/>
      <c r="C2240" s="23"/>
      <c r="D2240" s="24"/>
      <c r="E2240" s="14"/>
      <c r="F2240" s="14"/>
      <c r="G2240" s="14"/>
      <c r="H2240" s="23"/>
      <c r="I2240" s="27"/>
      <c r="J2240" s="23"/>
      <c r="K2240" s="30"/>
      <c r="L2240" s="23"/>
      <c r="M2240" s="20"/>
      <c r="N2240" s="20"/>
      <c r="O2240" s="20"/>
      <c r="P2240" s="20"/>
    </row>
    <row r="2241">
      <c r="A2241" s="10"/>
      <c r="B2241" s="11"/>
      <c r="C2241" s="10"/>
      <c r="D2241" s="13"/>
      <c r="E2241" s="14"/>
      <c r="F2241" s="14"/>
      <c r="G2241" s="14"/>
      <c r="H2241" s="10"/>
      <c r="I2241" s="17"/>
      <c r="J2241" s="10"/>
      <c r="K2241" s="46"/>
      <c r="L2241" s="10"/>
      <c r="M2241" s="20"/>
      <c r="N2241" s="20"/>
      <c r="O2241" s="20"/>
      <c r="P2241" s="20"/>
    </row>
    <row r="2242">
      <c r="A2242" s="23"/>
      <c r="B2242" s="21"/>
      <c r="C2242" s="23"/>
      <c r="D2242" s="24"/>
      <c r="E2242" s="14"/>
      <c r="F2242" s="14"/>
      <c r="G2242" s="14"/>
      <c r="H2242" s="23"/>
      <c r="I2242" s="27"/>
      <c r="J2242" s="23"/>
      <c r="K2242" s="30"/>
      <c r="L2242" s="23"/>
      <c r="M2242" s="20"/>
      <c r="N2242" s="20"/>
      <c r="O2242" s="20"/>
      <c r="P2242" s="20"/>
    </row>
    <row r="2243">
      <c r="A2243" s="10"/>
      <c r="B2243" s="11"/>
      <c r="C2243" s="10"/>
      <c r="D2243" s="13"/>
      <c r="E2243" s="14"/>
      <c r="F2243" s="14"/>
      <c r="G2243" s="14"/>
      <c r="H2243" s="10"/>
      <c r="I2243" s="17"/>
      <c r="J2243" s="10"/>
      <c r="K2243" s="46"/>
      <c r="L2243" s="10"/>
      <c r="M2243" s="20"/>
      <c r="N2243" s="20"/>
      <c r="O2243" s="20"/>
      <c r="P2243" s="20"/>
    </row>
    <row r="2244">
      <c r="A2244" s="23"/>
      <c r="B2244" s="21"/>
      <c r="C2244" s="23"/>
      <c r="D2244" s="24"/>
      <c r="E2244" s="14"/>
      <c r="F2244" s="14"/>
      <c r="G2244" s="14"/>
      <c r="H2244" s="23"/>
      <c r="I2244" s="27"/>
      <c r="J2244" s="23"/>
      <c r="K2244" s="30"/>
      <c r="L2244" s="23"/>
      <c r="M2244" s="20"/>
      <c r="N2244" s="20"/>
      <c r="O2244" s="20"/>
      <c r="P2244" s="20"/>
    </row>
    <row r="2245">
      <c r="A2245" s="10"/>
      <c r="B2245" s="11"/>
      <c r="C2245" s="10"/>
      <c r="D2245" s="13"/>
      <c r="E2245" s="14"/>
      <c r="F2245" s="14"/>
      <c r="G2245" s="14"/>
      <c r="H2245" s="10"/>
      <c r="I2245" s="17"/>
      <c r="J2245" s="10"/>
      <c r="K2245" s="46"/>
      <c r="L2245" s="10"/>
      <c r="M2245" s="20"/>
      <c r="N2245" s="20"/>
      <c r="O2245" s="20"/>
      <c r="P2245" s="20"/>
    </row>
    <row r="2246">
      <c r="A2246" s="23"/>
      <c r="B2246" s="21"/>
      <c r="C2246" s="23"/>
      <c r="D2246" s="24"/>
      <c r="E2246" s="14"/>
      <c r="F2246" s="14"/>
      <c r="G2246" s="14"/>
      <c r="H2246" s="23"/>
      <c r="I2246" s="27"/>
      <c r="J2246" s="23"/>
      <c r="K2246" s="30"/>
      <c r="L2246" s="23"/>
      <c r="M2246" s="20"/>
      <c r="N2246" s="20"/>
      <c r="O2246" s="20"/>
      <c r="P2246" s="20"/>
    </row>
    <row r="2247">
      <c r="A2247" s="10"/>
      <c r="B2247" s="11"/>
      <c r="C2247" s="10"/>
      <c r="D2247" s="13"/>
      <c r="E2247" s="14"/>
      <c r="F2247" s="14"/>
      <c r="G2247" s="14"/>
      <c r="H2247" s="10"/>
      <c r="I2247" s="17"/>
      <c r="J2247" s="10"/>
      <c r="K2247" s="46"/>
      <c r="L2247" s="10"/>
      <c r="M2247" s="20"/>
      <c r="N2247" s="20"/>
      <c r="O2247" s="20"/>
      <c r="P2247" s="20"/>
    </row>
    <row r="2248">
      <c r="A2248" s="23"/>
      <c r="B2248" s="21"/>
      <c r="C2248" s="23"/>
      <c r="D2248" s="24"/>
      <c r="E2248" s="14"/>
      <c r="F2248" s="14"/>
      <c r="G2248" s="14"/>
      <c r="H2248" s="23"/>
      <c r="I2248" s="27"/>
      <c r="J2248" s="23"/>
      <c r="K2248" s="30"/>
      <c r="L2248" s="23"/>
      <c r="M2248" s="20"/>
      <c r="N2248" s="20"/>
      <c r="O2248" s="20"/>
      <c r="P2248" s="20"/>
    </row>
    <row r="2249">
      <c r="A2249" s="10"/>
      <c r="B2249" s="11"/>
      <c r="C2249" s="10"/>
      <c r="D2249" s="13"/>
      <c r="E2249" s="14"/>
      <c r="F2249" s="14"/>
      <c r="G2249" s="14"/>
      <c r="H2249" s="10"/>
      <c r="I2249" s="17"/>
      <c r="J2249" s="10"/>
      <c r="K2249" s="46"/>
      <c r="L2249" s="10"/>
      <c r="M2249" s="20"/>
      <c r="N2249" s="20"/>
      <c r="O2249" s="20"/>
      <c r="P2249" s="20"/>
    </row>
    <row r="2250">
      <c r="A2250" s="23"/>
      <c r="B2250" s="21"/>
      <c r="C2250" s="23"/>
      <c r="D2250" s="24"/>
      <c r="E2250" s="14"/>
      <c r="F2250" s="14"/>
      <c r="G2250" s="14"/>
      <c r="H2250" s="23"/>
      <c r="I2250" s="27"/>
      <c r="J2250" s="23"/>
      <c r="K2250" s="30"/>
      <c r="L2250" s="23"/>
      <c r="M2250" s="20"/>
      <c r="N2250" s="20"/>
      <c r="O2250" s="20"/>
      <c r="P2250" s="20"/>
    </row>
    <row r="2251">
      <c r="A2251" s="10"/>
      <c r="B2251" s="11"/>
      <c r="C2251" s="10"/>
      <c r="D2251" s="13"/>
      <c r="E2251" s="14"/>
      <c r="F2251" s="14"/>
      <c r="G2251" s="14"/>
      <c r="H2251" s="10"/>
      <c r="I2251" s="17"/>
      <c r="J2251" s="10"/>
      <c r="K2251" s="46"/>
      <c r="L2251" s="10"/>
      <c r="M2251" s="20"/>
      <c r="N2251" s="20"/>
      <c r="O2251" s="20"/>
      <c r="P2251" s="20"/>
    </row>
    <row r="2252">
      <c r="A2252" s="23"/>
      <c r="B2252" s="21"/>
      <c r="C2252" s="23"/>
      <c r="D2252" s="24"/>
      <c r="E2252" s="14"/>
      <c r="F2252" s="14"/>
      <c r="G2252" s="14"/>
      <c r="H2252" s="23"/>
      <c r="I2252" s="27"/>
      <c r="J2252" s="23"/>
      <c r="K2252" s="30"/>
      <c r="L2252" s="23"/>
      <c r="M2252" s="20"/>
      <c r="N2252" s="20"/>
      <c r="O2252" s="20"/>
      <c r="P2252" s="20"/>
    </row>
    <row r="2253">
      <c r="A2253" s="10"/>
      <c r="B2253" s="11"/>
      <c r="C2253" s="10"/>
      <c r="D2253" s="13"/>
      <c r="E2253" s="14"/>
      <c r="F2253" s="14"/>
      <c r="G2253" s="14"/>
      <c r="H2253" s="10"/>
      <c r="I2253" s="17"/>
      <c r="J2253" s="10"/>
      <c r="K2253" s="46"/>
      <c r="L2253" s="10"/>
      <c r="M2253" s="20"/>
      <c r="N2253" s="20"/>
      <c r="O2253" s="20"/>
      <c r="P2253" s="20"/>
    </row>
    <row r="2254">
      <c r="A2254" s="23"/>
      <c r="B2254" s="21"/>
      <c r="C2254" s="23"/>
      <c r="D2254" s="24"/>
      <c r="E2254" s="14"/>
      <c r="F2254" s="14"/>
      <c r="G2254" s="14"/>
      <c r="H2254" s="23"/>
      <c r="I2254" s="27"/>
      <c r="J2254" s="23"/>
      <c r="K2254" s="30"/>
      <c r="L2254" s="23"/>
      <c r="M2254" s="20"/>
      <c r="N2254" s="20"/>
      <c r="O2254" s="20"/>
      <c r="P2254" s="20"/>
    </row>
    <row r="2255">
      <c r="A2255" s="10"/>
      <c r="B2255" s="11"/>
      <c r="C2255" s="10"/>
      <c r="D2255" s="13"/>
      <c r="E2255" s="14"/>
      <c r="F2255" s="14"/>
      <c r="G2255" s="14"/>
      <c r="H2255" s="10"/>
      <c r="I2255" s="17"/>
      <c r="J2255" s="10"/>
      <c r="K2255" s="46"/>
      <c r="L2255" s="10"/>
      <c r="M2255" s="20"/>
      <c r="N2255" s="20"/>
      <c r="O2255" s="20"/>
      <c r="P2255" s="20"/>
    </row>
    <row r="2256">
      <c r="A2256" s="23"/>
      <c r="B2256" s="21"/>
      <c r="C2256" s="23"/>
      <c r="D2256" s="24"/>
      <c r="E2256" s="14"/>
      <c r="F2256" s="14"/>
      <c r="G2256" s="14"/>
      <c r="H2256" s="23"/>
      <c r="I2256" s="27"/>
      <c r="J2256" s="23"/>
      <c r="K2256" s="30"/>
      <c r="L2256" s="23"/>
      <c r="M2256" s="20"/>
      <c r="N2256" s="20"/>
      <c r="O2256" s="20"/>
      <c r="P2256" s="20"/>
    </row>
    <row r="2257">
      <c r="A2257" s="10"/>
      <c r="B2257" s="11"/>
      <c r="C2257" s="10"/>
      <c r="D2257" s="13"/>
      <c r="E2257" s="14"/>
      <c r="F2257" s="14"/>
      <c r="G2257" s="14"/>
      <c r="H2257" s="10"/>
      <c r="I2257" s="17"/>
      <c r="J2257" s="10"/>
      <c r="K2257" s="46"/>
      <c r="L2257" s="10"/>
      <c r="M2257" s="20"/>
      <c r="N2257" s="20"/>
      <c r="O2257" s="20"/>
      <c r="P2257" s="20"/>
    </row>
    <row r="2258">
      <c r="A2258" s="23"/>
      <c r="B2258" s="21"/>
      <c r="C2258" s="23"/>
      <c r="D2258" s="24"/>
      <c r="E2258" s="14"/>
      <c r="F2258" s="14"/>
      <c r="G2258" s="14"/>
      <c r="H2258" s="23"/>
      <c r="I2258" s="27"/>
      <c r="J2258" s="23"/>
      <c r="K2258" s="30"/>
      <c r="L2258" s="23"/>
      <c r="M2258" s="20"/>
      <c r="N2258" s="20"/>
      <c r="O2258" s="20"/>
      <c r="P2258" s="20"/>
    </row>
    <row r="2259">
      <c r="A2259" s="10"/>
      <c r="B2259" s="11"/>
      <c r="C2259" s="10"/>
      <c r="D2259" s="13"/>
      <c r="E2259" s="14"/>
      <c r="F2259" s="14"/>
      <c r="G2259" s="14"/>
      <c r="H2259" s="10"/>
      <c r="I2259" s="17"/>
      <c r="J2259" s="10"/>
      <c r="K2259" s="46"/>
      <c r="L2259" s="10"/>
      <c r="M2259" s="20"/>
      <c r="N2259" s="20"/>
      <c r="O2259" s="20"/>
      <c r="P2259" s="20"/>
    </row>
    <row r="2260">
      <c r="A2260" s="23"/>
      <c r="B2260" s="21"/>
      <c r="C2260" s="23"/>
      <c r="D2260" s="24"/>
      <c r="E2260" s="14"/>
      <c r="F2260" s="14"/>
      <c r="G2260" s="14"/>
      <c r="H2260" s="23"/>
      <c r="I2260" s="27"/>
      <c r="J2260" s="23"/>
      <c r="K2260" s="30"/>
      <c r="L2260" s="23"/>
      <c r="M2260" s="20"/>
      <c r="N2260" s="20"/>
      <c r="O2260" s="20"/>
      <c r="P2260" s="20"/>
    </row>
    <row r="2261">
      <c r="A2261" s="10"/>
      <c r="B2261" s="11"/>
      <c r="C2261" s="10"/>
      <c r="D2261" s="13"/>
      <c r="E2261" s="14"/>
      <c r="F2261" s="14"/>
      <c r="G2261" s="14"/>
      <c r="H2261" s="10"/>
      <c r="I2261" s="17"/>
      <c r="J2261" s="10"/>
      <c r="K2261" s="46"/>
      <c r="L2261" s="10"/>
      <c r="M2261" s="20"/>
      <c r="N2261" s="20"/>
      <c r="O2261" s="20"/>
      <c r="P2261" s="20"/>
    </row>
    <row r="2262">
      <c r="A2262" s="23"/>
      <c r="B2262" s="21"/>
      <c r="C2262" s="23"/>
      <c r="D2262" s="24"/>
      <c r="E2262" s="14"/>
      <c r="F2262" s="14"/>
      <c r="G2262" s="14"/>
      <c r="H2262" s="23"/>
      <c r="I2262" s="27"/>
      <c r="J2262" s="23"/>
      <c r="K2262" s="30"/>
      <c r="L2262" s="23"/>
      <c r="M2262" s="20"/>
      <c r="N2262" s="20"/>
      <c r="O2262" s="20"/>
      <c r="P2262" s="20"/>
    </row>
    <row r="2263">
      <c r="A2263" s="10"/>
      <c r="B2263" s="11"/>
      <c r="C2263" s="10"/>
      <c r="D2263" s="13"/>
      <c r="E2263" s="14"/>
      <c r="F2263" s="14"/>
      <c r="G2263" s="14"/>
      <c r="H2263" s="10"/>
      <c r="I2263" s="17"/>
      <c r="J2263" s="10"/>
      <c r="K2263" s="46"/>
      <c r="L2263" s="10"/>
      <c r="M2263" s="20"/>
      <c r="N2263" s="20"/>
      <c r="O2263" s="20"/>
      <c r="P2263" s="20"/>
    </row>
    <row r="2264">
      <c r="A2264" s="23"/>
      <c r="B2264" s="21"/>
      <c r="C2264" s="23"/>
      <c r="D2264" s="24"/>
      <c r="E2264" s="14"/>
      <c r="F2264" s="14"/>
      <c r="G2264" s="14"/>
      <c r="H2264" s="23"/>
      <c r="I2264" s="27"/>
      <c r="J2264" s="23"/>
      <c r="K2264" s="30"/>
      <c r="L2264" s="23"/>
      <c r="M2264" s="20"/>
      <c r="N2264" s="20"/>
      <c r="O2264" s="20"/>
      <c r="P2264" s="20"/>
    </row>
    <row r="2265">
      <c r="A2265" s="10"/>
      <c r="B2265" s="11"/>
      <c r="C2265" s="10"/>
      <c r="D2265" s="13"/>
      <c r="E2265" s="14"/>
      <c r="F2265" s="14"/>
      <c r="G2265" s="14"/>
      <c r="H2265" s="10"/>
      <c r="I2265" s="17"/>
      <c r="J2265" s="10"/>
      <c r="K2265" s="46"/>
      <c r="L2265" s="10"/>
      <c r="M2265" s="20"/>
      <c r="N2265" s="20"/>
      <c r="O2265" s="20"/>
      <c r="P2265" s="20"/>
    </row>
    <row r="2266">
      <c r="A2266" s="23"/>
      <c r="B2266" s="21"/>
      <c r="C2266" s="23"/>
      <c r="D2266" s="24"/>
      <c r="E2266" s="14"/>
      <c r="F2266" s="14"/>
      <c r="G2266" s="14"/>
      <c r="H2266" s="23"/>
      <c r="I2266" s="27"/>
      <c r="J2266" s="23"/>
      <c r="K2266" s="30"/>
      <c r="L2266" s="23"/>
      <c r="M2266" s="20"/>
      <c r="N2266" s="20"/>
      <c r="O2266" s="20"/>
      <c r="P2266" s="20"/>
    </row>
    <row r="2267">
      <c r="A2267" s="10"/>
      <c r="B2267" s="11"/>
      <c r="C2267" s="10"/>
      <c r="D2267" s="13"/>
      <c r="E2267" s="14"/>
      <c r="F2267" s="14"/>
      <c r="G2267" s="14"/>
      <c r="H2267" s="10"/>
      <c r="I2267" s="17"/>
      <c r="J2267" s="10"/>
      <c r="K2267" s="46"/>
      <c r="L2267" s="10"/>
      <c r="M2267" s="20"/>
      <c r="N2267" s="20"/>
      <c r="O2267" s="20"/>
      <c r="P2267" s="20"/>
    </row>
    <row r="2268">
      <c r="A2268" s="23"/>
      <c r="B2268" s="21"/>
      <c r="C2268" s="23"/>
      <c r="D2268" s="24"/>
      <c r="E2268" s="14"/>
      <c r="F2268" s="14"/>
      <c r="G2268" s="14"/>
      <c r="H2268" s="23"/>
      <c r="I2268" s="27"/>
      <c r="J2268" s="23"/>
      <c r="K2268" s="30"/>
      <c r="L2268" s="23"/>
      <c r="M2268" s="20"/>
      <c r="N2268" s="20"/>
      <c r="O2268" s="20"/>
      <c r="P2268" s="20"/>
    </row>
    <row r="2269">
      <c r="A2269" s="10"/>
      <c r="B2269" s="11"/>
      <c r="C2269" s="10"/>
      <c r="D2269" s="13"/>
      <c r="E2269" s="14"/>
      <c r="F2269" s="14"/>
      <c r="G2269" s="14"/>
      <c r="H2269" s="10"/>
      <c r="I2269" s="17"/>
      <c r="J2269" s="10"/>
      <c r="K2269" s="46"/>
      <c r="L2269" s="10"/>
      <c r="M2269" s="20"/>
      <c r="N2269" s="20"/>
      <c r="O2269" s="20"/>
      <c r="P2269" s="20"/>
    </row>
    <row r="2270">
      <c r="A2270" s="23"/>
      <c r="B2270" s="21"/>
      <c r="C2270" s="23"/>
      <c r="D2270" s="24"/>
      <c r="E2270" s="14"/>
      <c r="F2270" s="14"/>
      <c r="G2270" s="14"/>
      <c r="H2270" s="23"/>
      <c r="I2270" s="27"/>
      <c r="J2270" s="23"/>
      <c r="K2270" s="30"/>
      <c r="L2270" s="23"/>
      <c r="M2270" s="20"/>
      <c r="N2270" s="20"/>
      <c r="O2270" s="20"/>
      <c r="P2270" s="20"/>
    </row>
    <row r="2271">
      <c r="A2271" s="10"/>
      <c r="B2271" s="11"/>
      <c r="C2271" s="10"/>
      <c r="D2271" s="13"/>
      <c r="E2271" s="14"/>
      <c r="F2271" s="14"/>
      <c r="G2271" s="14"/>
      <c r="H2271" s="10"/>
      <c r="I2271" s="17"/>
      <c r="J2271" s="10"/>
      <c r="K2271" s="46"/>
      <c r="L2271" s="10"/>
      <c r="M2271" s="20"/>
      <c r="N2271" s="20"/>
      <c r="O2271" s="20"/>
      <c r="P2271" s="20"/>
    </row>
    <row r="2272">
      <c r="A2272" s="23"/>
      <c r="B2272" s="21"/>
      <c r="C2272" s="23"/>
      <c r="D2272" s="24"/>
      <c r="E2272" s="14"/>
      <c r="F2272" s="14"/>
      <c r="G2272" s="14"/>
      <c r="H2272" s="23"/>
      <c r="I2272" s="27"/>
      <c r="J2272" s="23"/>
      <c r="K2272" s="30"/>
      <c r="L2272" s="23"/>
      <c r="M2272" s="20"/>
      <c r="N2272" s="20"/>
      <c r="O2272" s="20"/>
      <c r="P2272" s="20"/>
    </row>
    <row r="2273">
      <c r="A2273" s="10"/>
      <c r="B2273" s="11"/>
      <c r="C2273" s="10"/>
      <c r="D2273" s="13"/>
      <c r="E2273" s="14"/>
      <c r="F2273" s="14"/>
      <c r="G2273" s="14"/>
      <c r="H2273" s="10"/>
      <c r="I2273" s="17"/>
      <c r="J2273" s="10"/>
      <c r="K2273" s="46"/>
      <c r="L2273" s="10"/>
      <c r="M2273" s="20"/>
      <c r="N2273" s="20"/>
      <c r="O2273" s="20"/>
      <c r="P2273" s="20"/>
    </row>
    <row r="2274">
      <c r="A2274" s="23"/>
      <c r="B2274" s="21"/>
      <c r="C2274" s="23"/>
      <c r="D2274" s="24"/>
      <c r="E2274" s="14"/>
      <c r="F2274" s="14"/>
      <c r="G2274" s="14"/>
      <c r="H2274" s="23"/>
      <c r="I2274" s="27"/>
      <c r="J2274" s="23"/>
      <c r="K2274" s="30"/>
      <c r="L2274" s="23"/>
      <c r="M2274" s="20"/>
      <c r="N2274" s="20"/>
      <c r="O2274" s="20"/>
      <c r="P2274" s="20"/>
    </row>
    <row r="2275">
      <c r="A2275" s="10"/>
      <c r="B2275" s="11"/>
      <c r="C2275" s="10"/>
      <c r="D2275" s="13"/>
      <c r="E2275" s="14"/>
      <c r="F2275" s="14"/>
      <c r="G2275" s="14"/>
      <c r="H2275" s="10"/>
      <c r="I2275" s="17"/>
      <c r="J2275" s="10"/>
      <c r="K2275" s="46"/>
      <c r="L2275" s="10"/>
      <c r="M2275" s="20"/>
      <c r="N2275" s="20"/>
      <c r="O2275" s="20"/>
      <c r="P2275" s="20"/>
    </row>
    <row r="2276">
      <c r="A2276" s="23"/>
      <c r="B2276" s="21"/>
      <c r="C2276" s="23"/>
      <c r="D2276" s="24"/>
      <c r="E2276" s="14"/>
      <c r="F2276" s="14"/>
      <c r="G2276" s="14"/>
      <c r="H2276" s="23"/>
      <c r="I2276" s="27"/>
      <c r="J2276" s="23"/>
      <c r="K2276" s="30"/>
      <c r="L2276" s="23"/>
      <c r="M2276" s="20"/>
      <c r="N2276" s="20"/>
      <c r="O2276" s="20"/>
      <c r="P2276" s="20"/>
    </row>
    <row r="2277">
      <c r="A2277" s="10"/>
      <c r="B2277" s="11"/>
      <c r="C2277" s="10"/>
      <c r="D2277" s="13"/>
      <c r="E2277" s="14"/>
      <c r="F2277" s="14"/>
      <c r="G2277" s="14"/>
      <c r="H2277" s="10"/>
      <c r="I2277" s="17"/>
      <c r="J2277" s="10"/>
      <c r="K2277" s="46"/>
      <c r="L2277" s="10"/>
      <c r="M2277" s="20"/>
      <c r="N2277" s="20"/>
      <c r="O2277" s="20"/>
      <c r="P2277" s="20"/>
    </row>
    <row r="2278">
      <c r="A2278" s="23"/>
      <c r="B2278" s="21"/>
      <c r="C2278" s="23"/>
      <c r="D2278" s="24"/>
      <c r="E2278" s="14"/>
      <c r="F2278" s="14"/>
      <c r="G2278" s="14"/>
      <c r="H2278" s="23"/>
      <c r="I2278" s="27"/>
      <c r="J2278" s="23"/>
      <c r="K2278" s="30"/>
      <c r="L2278" s="23"/>
      <c r="M2278" s="20"/>
      <c r="N2278" s="20"/>
      <c r="O2278" s="20"/>
      <c r="P2278" s="20"/>
    </row>
    <row r="2279">
      <c r="A2279" s="10"/>
      <c r="B2279" s="11"/>
      <c r="C2279" s="10"/>
      <c r="D2279" s="13"/>
      <c r="E2279" s="14"/>
      <c r="F2279" s="14"/>
      <c r="G2279" s="14"/>
      <c r="H2279" s="10"/>
      <c r="I2279" s="17"/>
      <c r="J2279" s="10"/>
      <c r="K2279" s="46"/>
      <c r="L2279" s="10"/>
      <c r="M2279" s="20"/>
      <c r="N2279" s="20"/>
      <c r="O2279" s="20"/>
      <c r="P2279" s="20"/>
    </row>
    <row r="2280">
      <c r="A2280" s="23"/>
      <c r="B2280" s="21"/>
      <c r="C2280" s="23"/>
      <c r="D2280" s="24"/>
      <c r="E2280" s="14"/>
      <c r="F2280" s="14"/>
      <c r="G2280" s="14"/>
      <c r="H2280" s="23"/>
      <c r="I2280" s="27"/>
      <c r="J2280" s="23"/>
      <c r="K2280" s="30"/>
      <c r="L2280" s="23"/>
      <c r="M2280" s="20"/>
      <c r="N2280" s="20"/>
      <c r="O2280" s="20"/>
      <c r="P2280" s="20"/>
    </row>
    <row r="2281">
      <c r="A2281" s="10"/>
      <c r="B2281" s="11"/>
      <c r="C2281" s="10"/>
      <c r="D2281" s="13"/>
      <c r="E2281" s="14"/>
      <c r="F2281" s="14"/>
      <c r="G2281" s="14"/>
      <c r="H2281" s="10"/>
      <c r="I2281" s="17"/>
      <c r="J2281" s="10"/>
      <c r="K2281" s="46"/>
      <c r="L2281" s="10"/>
      <c r="M2281" s="20"/>
      <c r="N2281" s="20"/>
      <c r="O2281" s="20"/>
      <c r="P2281" s="20"/>
    </row>
    <row r="2282">
      <c r="A2282" s="23"/>
      <c r="B2282" s="21"/>
      <c r="C2282" s="23"/>
      <c r="D2282" s="24"/>
      <c r="E2282" s="14"/>
      <c r="F2282" s="14"/>
      <c r="G2282" s="14"/>
      <c r="H2282" s="23"/>
      <c r="I2282" s="27"/>
      <c r="J2282" s="23"/>
      <c r="K2282" s="30"/>
      <c r="L2282" s="23"/>
      <c r="M2282" s="20"/>
      <c r="N2282" s="20"/>
      <c r="O2282" s="20"/>
      <c r="P2282" s="20"/>
    </row>
    <row r="2283">
      <c r="A2283" s="10"/>
      <c r="B2283" s="11"/>
      <c r="C2283" s="10"/>
      <c r="D2283" s="13"/>
      <c r="E2283" s="14"/>
      <c r="F2283" s="14"/>
      <c r="G2283" s="14"/>
      <c r="H2283" s="10"/>
      <c r="I2283" s="17"/>
      <c r="J2283" s="10"/>
      <c r="K2283" s="46"/>
      <c r="L2283" s="10"/>
      <c r="M2283" s="20"/>
      <c r="N2283" s="20"/>
      <c r="O2283" s="20"/>
      <c r="P2283" s="20"/>
    </row>
    <row r="2284">
      <c r="A2284" s="23"/>
      <c r="B2284" s="21"/>
      <c r="C2284" s="23"/>
      <c r="D2284" s="24"/>
      <c r="E2284" s="14"/>
      <c r="F2284" s="14"/>
      <c r="G2284" s="14"/>
      <c r="H2284" s="23"/>
      <c r="I2284" s="27"/>
      <c r="J2284" s="23"/>
      <c r="K2284" s="30"/>
      <c r="L2284" s="23"/>
      <c r="M2284" s="20"/>
      <c r="N2284" s="20"/>
      <c r="O2284" s="20"/>
      <c r="P2284" s="20"/>
    </row>
    <row r="2285">
      <c r="A2285" s="10"/>
      <c r="B2285" s="11"/>
      <c r="C2285" s="10"/>
      <c r="D2285" s="13"/>
      <c r="E2285" s="14"/>
      <c r="F2285" s="14"/>
      <c r="G2285" s="14"/>
      <c r="H2285" s="10"/>
      <c r="I2285" s="17"/>
      <c r="J2285" s="10"/>
      <c r="K2285" s="46"/>
      <c r="L2285" s="10"/>
      <c r="M2285" s="20"/>
      <c r="N2285" s="20"/>
      <c r="O2285" s="20"/>
      <c r="P2285" s="20"/>
    </row>
    <row r="2286">
      <c r="A2286" s="23"/>
      <c r="B2286" s="21"/>
      <c r="C2286" s="23"/>
      <c r="D2286" s="24"/>
      <c r="E2286" s="14"/>
      <c r="F2286" s="14"/>
      <c r="G2286" s="14"/>
      <c r="H2286" s="23"/>
      <c r="I2286" s="27"/>
      <c r="J2286" s="23"/>
      <c r="K2286" s="30"/>
      <c r="L2286" s="23"/>
      <c r="M2286" s="20"/>
      <c r="N2286" s="20"/>
      <c r="O2286" s="20"/>
      <c r="P2286" s="20"/>
    </row>
    <row r="2287">
      <c r="A2287" s="10"/>
      <c r="B2287" s="11"/>
      <c r="C2287" s="10"/>
      <c r="D2287" s="13"/>
      <c r="E2287" s="14"/>
      <c r="F2287" s="14"/>
      <c r="G2287" s="14"/>
      <c r="H2287" s="10"/>
      <c r="I2287" s="17"/>
      <c r="J2287" s="10"/>
      <c r="K2287" s="46"/>
      <c r="L2287" s="10"/>
      <c r="M2287" s="20"/>
      <c r="N2287" s="20"/>
      <c r="O2287" s="20"/>
      <c r="P2287" s="20"/>
    </row>
    <row r="2288">
      <c r="A2288" s="23"/>
      <c r="B2288" s="21"/>
      <c r="C2288" s="23"/>
      <c r="D2288" s="24"/>
      <c r="E2288" s="14"/>
      <c r="F2288" s="14"/>
      <c r="G2288" s="14"/>
      <c r="H2288" s="23"/>
      <c r="I2288" s="27"/>
      <c r="J2288" s="23"/>
      <c r="K2288" s="30"/>
      <c r="L2288" s="23"/>
      <c r="M2288" s="20"/>
      <c r="N2288" s="20"/>
      <c r="O2288" s="20"/>
      <c r="P2288" s="20"/>
    </row>
    <row r="2289">
      <c r="A2289" s="10"/>
      <c r="B2289" s="11"/>
      <c r="C2289" s="10"/>
      <c r="D2289" s="13"/>
      <c r="E2289" s="14"/>
      <c r="F2289" s="14"/>
      <c r="G2289" s="14"/>
      <c r="H2289" s="10"/>
      <c r="I2289" s="17"/>
      <c r="J2289" s="10"/>
      <c r="K2289" s="46"/>
      <c r="L2289" s="10"/>
      <c r="M2289" s="20"/>
      <c r="N2289" s="20"/>
      <c r="O2289" s="20"/>
      <c r="P2289" s="20"/>
    </row>
    <row r="2290">
      <c r="A2290" s="23"/>
      <c r="B2290" s="21"/>
      <c r="C2290" s="23"/>
      <c r="D2290" s="24"/>
      <c r="E2290" s="14"/>
      <c r="F2290" s="14"/>
      <c r="G2290" s="14"/>
      <c r="H2290" s="23"/>
      <c r="I2290" s="27"/>
      <c r="J2290" s="23"/>
      <c r="K2290" s="30"/>
      <c r="L2290" s="23"/>
      <c r="M2290" s="20"/>
      <c r="N2290" s="20"/>
      <c r="O2290" s="20"/>
      <c r="P2290" s="20"/>
    </row>
    <row r="2291">
      <c r="A2291" s="10"/>
      <c r="B2291" s="11"/>
      <c r="C2291" s="10"/>
      <c r="D2291" s="13"/>
      <c r="E2291" s="14"/>
      <c r="F2291" s="14"/>
      <c r="G2291" s="14"/>
      <c r="H2291" s="10"/>
      <c r="I2291" s="17"/>
      <c r="J2291" s="10"/>
      <c r="K2291" s="46"/>
      <c r="L2291" s="10"/>
      <c r="M2291" s="20"/>
      <c r="N2291" s="20"/>
      <c r="O2291" s="20"/>
      <c r="P2291" s="20"/>
    </row>
    <row r="2292">
      <c r="A2292" s="23"/>
      <c r="B2292" s="21"/>
      <c r="C2292" s="23"/>
      <c r="D2292" s="24"/>
      <c r="E2292" s="14"/>
      <c r="F2292" s="14"/>
      <c r="G2292" s="14"/>
      <c r="H2292" s="23"/>
      <c r="I2292" s="27"/>
      <c r="J2292" s="23"/>
      <c r="K2292" s="30"/>
      <c r="L2292" s="23"/>
      <c r="M2292" s="20"/>
      <c r="N2292" s="20"/>
      <c r="O2292" s="20"/>
      <c r="P2292" s="20"/>
    </row>
    <row r="2293">
      <c r="A2293" s="10"/>
      <c r="B2293" s="11"/>
      <c r="C2293" s="10"/>
      <c r="D2293" s="13"/>
      <c r="E2293" s="14"/>
      <c r="F2293" s="14"/>
      <c r="G2293" s="14"/>
      <c r="H2293" s="10"/>
      <c r="I2293" s="17"/>
      <c r="J2293" s="10"/>
      <c r="K2293" s="46"/>
      <c r="L2293" s="10"/>
      <c r="M2293" s="20"/>
      <c r="N2293" s="20"/>
      <c r="O2293" s="20"/>
      <c r="P2293" s="20"/>
    </row>
    <row r="2294">
      <c r="A2294" s="23"/>
      <c r="B2294" s="21"/>
      <c r="C2294" s="23"/>
      <c r="D2294" s="24"/>
      <c r="E2294" s="14"/>
      <c r="F2294" s="14"/>
      <c r="G2294" s="14"/>
      <c r="H2294" s="23"/>
      <c r="I2294" s="27"/>
      <c r="J2294" s="23"/>
      <c r="K2294" s="30"/>
      <c r="L2294" s="23"/>
      <c r="M2294" s="20"/>
      <c r="N2294" s="20"/>
      <c r="O2294" s="20"/>
      <c r="P2294" s="20"/>
    </row>
    <row r="2295">
      <c r="A2295" s="10"/>
      <c r="B2295" s="11"/>
      <c r="C2295" s="10"/>
      <c r="D2295" s="13"/>
      <c r="E2295" s="14"/>
      <c r="F2295" s="14"/>
      <c r="G2295" s="14"/>
      <c r="H2295" s="10"/>
      <c r="I2295" s="17"/>
      <c r="J2295" s="10"/>
      <c r="K2295" s="46"/>
      <c r="L2295" s="10"/>
      <c r="M2295" s="20"/>
      <c r="N2295" s="20"/>
      <c r="O2295" s="20"/>
      <c r="P2295" s="20"/>
    </row>
    <row r="2296">
      <c r="A2296" s="23"/>
      <c r="B2296" s="21"/>
      <c r="C2296" s="23"/>
      <c r="D2296" s="24"/>
      <c r="E2296" s="14"/>
      <c r="F2296" s="14"/>
      <c r="G2296" s="14"/>
      <c r="H2296" s="23"/>
      <c r="I2296" s="27"/>
      <c r="J2296" s="23"/>
      <c r="K2296" s="30"/>
      <c r="L2296" s="23"/>
      <c r="M2296" s="20"/>
      <c r="N2296" s="20"/>
      <c r="O2296" s="20"/>
      <c r="P2296" s="20"/>
    </row>
    <row r="2297">
      <c r="A2297" s="10"/>
      <c r="B2297" s="11"/>
      <c r="C2297" s="10"/>
      <c r="D2297" s="13"/>
      <c r="E2297" s="14"/>
      <c r="F2297" s="14"/>
      <c r="G2297" s="14"/>
      <c r="H2297" s="10"/>
      <c r="I2297" s="17"/>
      <c r="J2297" s="10"/>
      <c r="K2297" s="46"/>
      <c r="L2297" s="10"/>
      <c r="M2297" s="20"/>
      <c r="N2297" s="20"/>
      <c r="O2297" s="20"/>
      <c r="P2297" s="20"/>
    </row>
    <row r="2298">
      <c r="A2298" s="23"/>
      <c r="B2298" s="21"/>
      <c r="C2298" s="23"/>
      <c r="D2298" s="24"/>
      <c r="E2298" s="14"/>
      <c r="F2298" s="14"/>
      <c r="G2298" s="14"/>
      <c r="H2298" s="23"/>
      <c r="I2298" s="27"/>
      <c r="J2298" s="23"/>
      <c r="K2298" s="30"/>
      <c r="L2298" s="23"/>
      <c r="M2298" s="20"/>
      <c r="N2298" s="20"/>
      <c r="O2298" s="20"/>
      <c r="P2298" s="20"/>
    </row>
    <row r="2299">
      <c r="A2299" s="10"/>
      <c r="B2299" s="11"/>
      <c r="C2299" s="10"/>
      <c r="D2299" s="13"/>
      <c r="E2299" s="14"/>
      <c r="F2299" s="14"/>
      <c r="G2299" s="14"/>
      <c r="H2299" s="10"/>
      <c r="I2299" s="17"/>
      <c r="J2299" s="10"/>
      <c r="K2299" s="46"/>
      <c r="L2299" s="10"/>
      <c r="M2299" s="20"/>
      <c r="N2299" s="20"/>
      <c r="O2299" s="20"/>
      <c r="P2299" s="20"/>
    </row>
    <row r="2300">
      <c r="A2300" s="23"/>
      <c r="B2300" s="21"/>
      <c r="C2300" s="23"/>
      <c r="D2300" s="24"/>
      <c r="E2300" s="14"/>
      <c r="F2300" s="14"/>
      <c r="G2300" s="14"/>
      <c r="H2300" s="23"/>
      <c r="I2300" s="27"/>
      <c r="J2300" s="23"/>
      <c r="K2300" s="30"/>
      <c r="L2300" s="23"/>
      <c r="M2300" s="20"/>
      <c r="N2300" s="20"/>
      <c r="O2300" s="20"/>
      <c r="P2300" s="20"/>
    </row>
    <row r="2301">
      <c r="A2301" s="10"/>
      <c r="B2301" s="11"/>
      <c r="C2301" s="10"/>
      <c r="D2301" s="13"/>
      <c r="E2301" s="14"/>
      <c r="F2301" s="14"/>
      <c r="G2301" s="14"/>
      <c r="H2301" s="10"/>
      <c r="I2301" s="17"/>
      <c r="J2301" s="10"/>
      <c r="K2301" s="46"/>
      <c r="L2301" s="10"/>
      <c r="M2301" s="20"/>
      <c r="N2301" s="20"/>
      <c r="O2301" s="20"/>
      <c r="P2301" s="20"/>
    </row>
    <row r="2302">
      <c r="A2302" s="23"/>
      <c r="B2302" s="21"/>
      <c r="C2302" s="23"/>
      <c r="D2302" s="24"/>
      <c r="E2302" s="14"/>
      <c r="F2302" s="14"/>
      <c r="G2302" s="14"/>
      <c r="H2302" s="23"/>
      <c r="I2302" s="27"/>
      <c r="J2302" s="23"/>
      <c r="K2302" s="30"/>
      <c r="L2302" s="23"/>
      <c r="M2302" s="20"/>
      <c r="N2302" s="20"/>
      <c r="O2302" s="20"/>
      <c r="P2302" s="20"/>
    </row>
    <row r="2303">
      <c r="A2303" s="10"/>
      <c r="B2303" s="11"/>
      <c r="C2303" s="10"/>
      <c r="D2303" s="13"/>
      <c r="E2303" s="14"/>
      <c r="F2303" s="14"/>
      <c r="G2303" s="14"/>
      <c r="H2303" s="10"/>
      <c r="I2303" s="17"/>
      <c r="J2303" s="10"/>
      <c r="K2303" s="46"/>
      <c r="L2303" s="10"/>
      <c r="M2303" s="20"/>
      <c r="N2303" s="20"/>
      <c r="O2303" s="20"/>
      <c r="P2303" s="20"/>
    </row>
    <row r="2304">
      <c r="A2304" s="23"/>
      <c r="B2304" s="21"/>
      <c r="C2304" s="23"/>
      <c r="D2304" s="24"/>
      <c r="E2304" s="14"/>
      <c r="F2304" s="14"/>
      <c r="G2304" s="14"/>
      <c r="H2304" s="23"/>
      <c r="I2304" s="27"/>
      <c r="J2304" s="23"/>
      <c r="K2304" s="30"/>
      <c r="L2304" s="23"/>
      <c r="M2304" s="20"/>
      <c r="N2304" s="20"/>
      <c r="O2304" s="20"/>
      <c r="P2304" s="20"/>
    </row>
    <row r="2305">
      <c r="A2305" s="10"/>
      <c r="B2305" s="11"/>
      <c r="C2305" s="10"/>
      <c r="D2305" s="13"/>
      <c r="E2305" s="14"/>
      <c r="F2305" s="14"/>
      <c r="G2305" s="14"/>
      <c r="H2305" s="10"/>
      <c r="I2305" s="17"/>
      <c r="J2305" s="10"/>
      <c r="K2305" s="46"/>
      <c r="L2305" s="10"/>
      <c r="M2305" s="20"/>
      <c r="N2305" s="20"/>
      <c r="O2305" s="20"/>
      <c r="P2305" s="20"/>
    </row>
    <row r="2306">
      <c r="A2306" s="23"/>
      <c r="B2306" s="21"/>
      <c r="C2306" s="23"/>
      <c r="D2306" s="24"/>
      <c r="E2306" s="14"/>
      <c r="F2306" s="14"/>
      <c r="G2306" s="14"/>
      <c r="H2306" s="23"/>
      <c r="I2306" s="27"/>
      <c r="J2306" s="23"/>
      <c r="K2306" s="30"/>
      <c r="L2306" s="23"/>
      <c r="M2306" s="20"/>
      <c r="N2306" s="20"/>
      <c r="O2306" s="20"/>
      <c r="P2306" s="20"/>
    </row>
    <row r="2307">
      <c r="A2307" s="10"/>
      <c r="B2307" s="11"/>
      <c r="C2307" s="10"/>
      <c r="D2307" s="13"/>
      <c r="E2307" s="14"/>
      <c r="F2307" s="14"/>
      <c r="G2307" s="14"/>
      <c r="H2307" s="10"/>
      <c r="I2307" s="17"/>
      <c r="J2307" s="10"/>
      <c r="K2307" s="46"/>
      <c r="L2307" s="10"/>
      <c r="M2307" s="20"/>
      <c r="N2307" s="20"/>
      <c r="O2307" s="20"/>
      <c r="P2307" s="20"/>
    </row>
    <row r="2308">
      <c r="A2308" s="23"/>
      <c r="B2308" s="21"/>
      <c r="C2308" s="23"/>
      <c r="D2308" s="24"/>
      <c r="E2308" s="14"/>
      <c r="F2308" s="14"/>
      <c r="G2308" s="14"/>
      <c r="H2308" s="23"/>
      <c r="I2308" s="27"/>
      <c r="J2308" s="23"/>
      <c r="K2308" s="30"/>
      <c r="L2308" s="23"/>
      <c r="M2308" s="20"/>
      <c r="N2308" s="20"/>
      <c r="O2308" s="20"/>
      <c r="P2308" s="20"/>
    </row>
    <row r="2309">
      <c r="A2309" s="10"/>
      <c r="B2309" s="11"/>
      <c r="C2309" s="10"/>
      <c r="D2309" s="13"/>
      <c r="E2309" s="14"/>
      <c r="F2309" s="14"/>
      <c r="G2309" s="14"/>
      <c r="H2309" s="10"/>
      <c r="I2309" s="17"/>
      <c r="J2309" s="10"/>
      <c r="K2309" s="46"/>
      <c r="L2309" s="10"/>
      <c r="M2309" s="20"/>
      <c r="N2309" s="20"/>
      <c r="O2309" s="20"/>
      <c r="P2309" s="20"/>
    </row>
    <row r="2310">
      <c r="A2310" s="23"/>
      <c r="B2310" s="21"/>
      <c r="C2310" s="23"/>
      <c r="D2310" s="24"/>
      <c r="E2310" s="14"/>
      <c r="F2310" s="14"/>
      <c r="G2310" s="14"/>
      <c r="H2310" s="23"/>
      <c r="I2310" s="27"/>
      <c r="J2310" s="23"/>
      <c r="K2310" s="30"/>
      <c r="L2310" s="23"/>
      <c r="M2310" s="20"/>
      <c r="N2310" s="20"/>
      <c r="O2310" s="20"/>
      <c r="P2310" s="20"/>
    </row>
    <row r="2311">
      <c r="A2311" s="10"/>
      <c r="B2311" s="11"/>
      <c r="C2311" s="10"/>
      <c r="D2311" s="13"/>
      <c r="E2311" s="14"/>
      <c r="F2311" s="14"/>
      <c r="G2311" s="14"/>
      <c r="H2311" s="10"/>
      <c r="I2311" s="17"/>
      <c r="J2311" s="10"/>
      <c r="K2311" s="46"/>
      <c r="L2311" s="10"/>
      <c r="M2311" s="20"/>
      <c r="N2311" s="20"/>
      <c r="O2311" s="20"/>
      <c r="P2311" s="20"/>
    </row>
    <row r="2312">
      <c r="A2312" s="23"/>
      <c r="B2312" s="21"/>
      <c r="C2312" s="23"/>
      <c r="D2312" s="24"/>
      <c r="E2312" s="14"/>
      <c r="F2312" s="14"/>
      <c r="G2312" s="14"/>
      <c r="H2312" s="23"/>
      <c r="I2312" s="27"/>
      <c r="J2312" s="23"/>
      <c r="K2312" s="30"/>
      <c r="L2312" s="23"/>
      <c r="M2312" s="20"/>
      <c r="N2312" s="20"/>
      <c r="O2312" s="20"/>
      <c r="P2312" s="20"/>
    </row>
    <row r="2313">
      <c r="A2313" s="10"/>
      <c r="B2313" s="11"/>
      <c r="C2313" s="10"/>
      <c r="D2313" s="13"/>
      <c r="E2313" s="14"/>
      <c r="F2313" s="14"/>
      <c r="G2313" s="14"/>
      <c r="H2313" s="10"/>
      <c r="I2313" s="17"/>
      <c r="J2313" s="10"/>
      <c r="K2313" s="46"/>
      <c r="L2313" s="10"/>
      <c r="M2313" s="20"/>
      <c r="N2313" s="20"/>
      <c r="O2313" s="20"/>
      <c r="P2313" s="20"/>
    </row>
    <row r="2314">
      <c r="A2314" s="23"/>
      <c r="B2314" s="21"/>
      <c r="C2314" s="23"/>
      <c r="D2314" s="24"/>
      <c r="E2314" s="14"/>
      <c r="F2314" s="14"/>
      <c r="G2314" s="14"/>
      <c r="H2314" s="23"/>
      <c r="I2314" s="27"/>
      <c r="J2314" s="23"/>
      <c r="K2314" s="30"/>
      <c r="L2314" s="23"/>
      <c r="M2314" s="20"/>
      <c r="N2314" s="20"/>
      <c r="O2314" s="20"/>
      <c r="P2314" s="20"/>
    </row>
    <row r="2315">
      <c r="A2315" s="10"/>
      <c r="B2315" s="11"/>
      <c r="C2315" s="10"/>
      <c r="D2315" s="13"/>
      <c r="E2315" s="14"/>
      <c r="F2315" s="14"/>
      <c r="G2315" s="14"/>
      <c r="H2315" s="10"/>
      <c r="I2315" s="17"/>
      <c r="J2315" s="10"/>
      <c r="K2315" s="46"/>
      <c r="L2315" s="10"/>
      <c r="M2315" s="20"/>
      <c r="N2315" s="20"/>
      <c r="O2315" s="20"/>
      <c r="P2315" s="20"/>
    </row>
    <row r="2316">
      <c r="A2316" s="23"/>
      <c r="B2316" s="21"/>
      <c r="C2316" s="23"/>
      <c r="D2316" s="24"/>
      <c r="E2316" s="14"/>
      <c r="F2316" s="14"/>
      <c r="G2316" s="14"/>
      <c r="H2316" s="23"/>
      <c r="I2316" s="27"/>
      <c r="J2316" s="23"/>
      <c r="K2316" s="30"/>
      <c r="L2316" s="23"/>
      <c r="M2316" s="20"/>
      <c r="N2316" s="20"/>
      <c r="O2316" s="20"/>
      <c r="P2316" s="20"/>
    </row>
    <row r="2317">
      <c r="A2317" s="10"/>
      <c r="B2317" s="11"/>
      <c r="C2317" s="10"/>
      <c r="D2317" s="13"/>
      <c r="E2317" s="14"/>
      <c r="F2317" s="14"/>
      <c r="G2317" s="14"/>
      <c r="H2317" s="10"/>
      <c r="I2317" s="17"/>
      <c r="J2317" s="10"/>
      <c r="K2317" s="46"/>
      <c r="L2317" s="10"/>
      <c r="M2317" s="20"/>
      <c r="N2317" s="20"/>
      <c r="O2317" s="20"/>
      <c r="P2317" s="20"/>
    </row>
    <row r="2318">
      <c r="A2318" s="23"/>
      <c r="B2318" s="21"/>
      <c r="C2318" s="23"/>
      <c r="D2318" s="24"/>
      <c r="E2318" s="14"/>
      <c r="F2318" s="14"/>
      <c r="G2318" s="14"/>
      <c r="H2318" s="23"/>
      <c r="I2318" s="27"/>
      <c r="J2318" s="23"/>
      <c r="K2318" s="30"/>
      <c r="L2318" s="23"/>
      <c r="M2318" s="20"/>
      <c r="N2318" s="20"/>
      <c r="O2318" s="20"/>
      <c r="P2318" s="20"/>
    </row>
    <row r="2319">
      <c r="A2319" s="10"/>
      <c r="B2319" s="11"/>
      <c r="C2319" s="10"/>
      <c r="D2319" s="13"/>
      <c r="E2319" s="14"/>
      <c r="F2319" s="14"/>
      <c r="G2319" s="14"/>
      <c r="H2319" s="10"/>
      <c r="I2319" s="17"/>
      <c r="J2319" s="10"/>
      <c r="K2319" s="46"/>
      <c r="L2319" s="10"/>
      <c r="M2319" s="20"/>
      <c r="N2319" s="20"/>
      <c r="O2319" s="20"/>
      <c r="P2319" s="20"/>
    </row>
    <row r="2320">
      <c r="A2320" s="23"/>
      <c r="B2320" s="21"/>
      <c r="C2320" s="23"/>
      <c r="D2320" s="24"/>
      <c r="E2320" s="14"/>
      <c r="F2320" s="14"/>
      <c r="G2320" s="14"/>
      <c r="H2320" s="23"/>
      <c r="I2320" s="27"/>
      <c r="J2320" s="23"/>
      <c r="K2320" s="30"/>
      <c r="L2320" s="23"/>
      <c r="M2320" s="20"/>
      <c r="N2320" s="20"/>
      <c r="O2320" s="20"/>
      <c r="P2320" s="20"/>
    </row>
    <row r="2321">
      <c r="A2321" s="10"/>
      <c r="B2321" s="11"/>
      <c r="C2321" s="10"/>
      <c r="D2321" s="13"/>
      <c r="E2321" s="14"/>
      <c r="F2321" s="14"/>
      <c r="G2321" s="14"/>
      <c r="H2321" s="10"/>
      <c r="I2321" s="17"/>
      <c r="J2321" s="10"/>
      <c r="K2321" s="46"/>
      <c r="L2321" s="10"/>
      <c r="M2321" s="20"/>
      <c r="N2321" s="20"/>
      <c r="O2321" s="20"/>
      <c r="P2321" s="20"/>
    </row>
    <row r="2322">
      <c r="A2322" s="23"/>
      <c r="B2322" s="21"/>
      <c r="C2322" s="23"/>
      <c r="D2322" s="24"/>
      <c r="E2322" s="14"/>
      <c r="F2322" s="14"/>
      <c r="G2322" s="14"/>
      <c r="H2322" s="23"/>
      <c r="I2322" s="27"/>
      <c r="J2322" s="23"/>
      <c r="K2322" s="30"/>
      <c r="L2322" s="23"/>
      <c r="M2322" s="20"/>
      <c r="N2322" s="20"/>
      <c r="O2322" s="20"/>
      <c r="P2322" s="20"/>
    </row>
    <row r="2323">
      <c r="A2323" s="10"/>
      <c r="B2323" s="11"/>
      <c r="C2323" s="10"/>
      <c r="D2323" s="13"/>
      <c r="E2323" s="14"/>
      <c r="F2323" s="14"/>
      <c r="G2323" s="14"/>
      <c r="H2323" s="10"/>
      <c r="I2323" s="17"/>
      <c r="J2323" s="10"/>
      <c r="K2323" s="46"/>
      <c r="L2323" s="10"/>
      <c r="M2323" s="20"/>
      <c r="N2323" s="20"/>
      <c r="O2323" s="20"/>
      <c r="P2323" s="20"/>
    </row>
    <row r="2324">
      <c r="A2324" s="23"/>
      <c r="B2324" s="21"/>
      <c r="C2324" s="23"/>
      <c r="D2324" s="24"/>
      <c r="E2324" s="14"/>
      <c r="F2324" s="14"/>
      <c r="G2324" s="14"/>
      <c r="H2324" s="23"/>
      <c r="I2324" s="27"/>
      <c r="J2324" s="23"/>
      <c r="K2324" s="30"/>
      <c r="L2324" s="23"/>
      <c r="M2324" s="20"/>
      <c r="N2324" s="20"/>
      <c r="O2324" s="20"/>
      <c r="P2324" s="20"/>
    </row>
    <row r="2325">
      <c r="A2325" s="10"/>
      <c r="B2325" s="11"/>
      <c r="C2325" s="10"/>
      <c r="D2325" s="13"/>
      <c r="E2325" s="14"/>
      <c r="F2325" s="14"/>
      <c r="G2325" s="14"/>
      <c r="H2325" s="10"/>
      <c r="I2325" s="17"/>
      <c r="J2325" s="10"/>
      <c r="K2325" s="46"/>
      <c r="L2325" s="10"/>
      <c r="M2325" s="20"/>
      <c r="N2325" s="20"/>
      <c r="O2325" s="20"/>
      <c r="P2325" s="20"/>
    </row>
    <row r="2326">
      <c r="A2326" s="23"/>
      <c r="B2326" s="21"/>
      <c r="C2326" s="23"/>
      <c r="D2326" s="24"/>
      <c r="E2326" s="14"/>
      <c r="F2326" s="14"/>
      <c r="G2326" s="14"/>
      <c r="H2326" s="23"/>
      <c r="I2326" s="27"/>
      <c r="J2326" s="23"/>
      <c r="K2326" s="30"/>
      <c r="L2326" s="23"/>
      <c r="M2326" s="20"/>
      <c r="N2326" s="20"/>
      <c r="O2326" s="20"/>
      <c r="P2326" s="20"/>
    </row>
    <row r="2327">
      <c r="A2327" s="10"/>
      <c r="B2327" s="11"/>
      <c r="C2327" s="10"/>
      <c r="D2327" s="13"/>
      <c r="E2327" s="14"/>
      <c r="F2327" s="14"/>
      <c r="G2327" s="14"/>
      <c r="H2327" s="10"/>
      <c r="I2327" s="17"/>
      <c r="J2327" s="10"/>
      <c r="K2327" s="46"/>
      <c r="L2327" s="10"/>
      <c r="M2327" s="20"/>
      <c r="N2327" s="20"/>
      <c r="O2327" s="20"/>
      <c r="P2327" s="20"/>
    </row>
    <row r="2328">
      <c r="A2328" s="23"/>
      <c r="B2328" s="21"/>
      <c r="C2328" s="23"/>
      <c r="D2328" s="24"/>
      <c r="E2328" s="14"/>
      <c r="F2328" s="14"/>
      <c r="G2328" s="14"/>
      <c r="H2328" s="23"/>
      <c r="I2328" s="27"/>
      <c r="J2328" s="23"/>
      <c r="K2328" s="30"/>
      <c r="L2328" s="23"/>
      <c r="M2328" s="20"/>
      <c r="N2328" s="20"/>
      <c r="O2328" s="20"/>
      <c r="P2328" s="20"/>
    </row>
    <row r="2329">
      <c r="A2329" s="10"/>
      <c r="B2329" s="11"/>
      <c r="C2329" s="10"/>
      <c r="D2329" s="13"/>
      <c r="E2329" s="14"/>
      <c r="F2329" s="14"/>
      <c r="G2329" s="14"/>
      <c r="H2329" s="10"/>
      <c r="I2329" s="17"/>
      <c r="J2329" s="10"/>
      <c r="K2329" s="46"/>
      <c r="L2329" s="10"/>
      <c r="M2329" s="20"/>
      <c r="N2329" s="20"/>
      <c r="O2329" s="20"/>
      <c r="P2329" s="20"/>
    </row>
    <row r="2330">
      <c r="A2330" s="23"/>
      <c r="B2330" s="21"/>
      <c r="C2330" s="23"/>
      <c r="D2330" s="24"/>
      <c r="E2330" s="14"/>
      <c r="F2330" s="14"/>
      <c r="G2330" s="14"/>
      <c r="H2330" s="23"/>
      <c r="I2330" s="27"/>
      <c r="J2330" s="23"/>
      <c r="K2330" s="30"/>
      <c r="L2330" s="23"/>
      <c r="M2330" s="20"/>
      <c r="N2330" s="20"/>
      <c r="O2330" s="20"/>
      <c r="P2330" s="20"/>
    </row>
    <row r="2331">
      <c r="A2331" s="10"/>
      <c r="B2331" s="11"/>
      <c r="C2331" s="10"/>
      <c r="D2331" s="13"/>
      <c r="E2331" s="14"/>
      <c r="F2331" s="14"/>
      <c r="G2331" s="14"/>
      <c r="H2331" s="10"/>
      <c r="I2331" s="17"/>
      <c r="J2331" s="10"/>
      <c r="K2331" s="46"/>
      <c r="L2331" s="10"/>
      <c r="M2331" s="20"/>
      <c r="N2331" s="20"/>
      <c r="O2331" s="20"/>
      <c r="P2331" s="20"/>
    </row>
    <row r="2332">
      <c r="A2332" s="23"/>
      <c r="B2332" s="21"/>
      <c r="C2332" s="23"/>
      <c r="D2332" s="24"/>
      <c r="E2332" s="14"/>
      <c r="F2332" s="14"/>
      <c r="G2332" s="14"/>
      <c r="H2332" s="23"/>
      <c r="I2332" s="27"/>
      <c r="J2332" s="23"/>
      <c r="K2332" s="30"/>
      <c r="L2332" s="23"/>
      <c r="M2332" s="20"/>
      <c r="N2332" s="20"/>
      <c r="O2332" s="20"/>
      <c r="P2332" s="20"/>
    </row>
    <row r="2333">
      <c r="A2333" s="10"/>
      <c r="B2333" s="11"/>
      <c r="C2333" s="10"/>
      <c r="D2333" s="13"/>
      <c r="E2333" s="14"/>
      <c r="F2333" s="14"/>
      <c r="G2333" s="14"/>
      <c r="H2333" s="10"/>
      <c r="I2333" s="17"/>
      <c r="J2333" s="10"/>
      <c r="K2333" s="46"/>
      <c r="L2333" s="10"/>
      <c r="M2333" s="20"/>
      <c r="N2333" s="20"/>
      <c r="O2333" s="20"/>
      <c r="P2333" s="20"/>
    </row>
    <row r="2334">
      <c r="A2334" s="23"/>
      <c r="B2334" s="21"/>
      <c r="C2334" s="23"/>
      <c r="D2334" s="24"/>
      <c r="E2334" s="14"/>
      <c r="F2334" s="14"/>
      <c r="G2334" s="14"/>
      <c r="H2334" s="23"/>
      <c r="I2334" s="27"/>
      <c r="J2334" s="23"/>
      <c r="K2334" s="30"/>
      <c r="L2334" s="23"/>
      <c r="M2334" s="20"/>
      <c r="N2334" s="20"/>
      <c r="O2334" s="20"/>
      <c r="P2334" s="20"/>
    </row>
    <row r="2335">
      <c r="A2335" s="10"/>
      <c r="B2335" s="11"/>
      <c r="C2335" s="10"/>
      <c r="D2335" s="13"/>
      <c r="E2335" s="14"/>
      <c r="F2335" s="14"/>
      <c r="G2335" s="14"/>
      <c r="H2335" s="10"/>
      <c r="I2335" s="17"/>
      <c r="J2335" s="10"/>
      <c r="K2335" s="46"/>
      <c r="L2335" s="10"/>
      <c r="M2335" s="20"/>
      <c r="N2335" s="20"/>
      <c r="O2335" s="20"/>
      <c r="P2335" s="20"/>
    </row>
    <row r="2336">
      <c r="A2336" s="23"/>
      <c r="B2336" s="21"/>
      <c r="C2336" s="23"/>
      <c r="D2336" s="24"/>
      <c r="E2336" s="14"/>
      <c r="F2336" s="14"/>
      <c r="G2336" s="14"/>
      <c r="H2336" s="23"/>
      <c r="I2336" s="27"/>
      <c r="J2336" s="23"/>
      <c r="K2336" s="30"/>
      <c r="L2336" s="23"/>
      <c r="M2336" s="20"/>
      <c r="N2336" s="20"/>
      <c r="O2336" s="20"/>
      <c r="P2336" s="20"/>
    </row>
    <row r="2337">
      <c r="A2337" s="10"/>
      <c r="B2337" s="11"/>
      <c r="C2337" s="10"/>
      <c r="D2337" s="13"/>
      <c r="E2337" s="14"/>
      <c r="F2337" s="14"/>
      <c r="G2337" s="14"/>
      <c r="H2337" s="10"/>
      <c r="I2337" s="17"/>
      <c r="J2337" s="10"/>
      <c r="K2337" s="46"/>
      <c r="L2337" s="10"/>
      <c r="M2337" s="20"/>
      <c r="N2337" s="20"/>
      <c r="O2337" s="20"/>
      <c r="P2337" s="20"/>
    </row>
    <row r="2338">
      <c r="A2338" s="23"/>
      <c r="B2338" s="21"/>
      <c r="C2338" s="23"/>
      <c r="D2338" s="24"/>
      <c r="E2338" s="14"/>
      <c r="F2338" s="14"/>
      <c r="G2338" s="14"/>
      <c r="H2338" s="23"/>
      <c r="I2338" s="27"/>
      <c r="J2338" s="23"/>
      <c r="K2338" s="30"/>
      <c r="L2338" s="23"/>
      <c r="M2338" s="20"/>
      <c r="N2338" s="20"/>
      <c r="O2338" s="20"/>
      <c r="P2338" s="20"/>
    </row>
    <row r="2339">
      <c r="A2339" s="10"/>
      <c r="B2339" s="11"/>
      <c r="C2339" s="10"/>
      <c r="D2339" s="13"/>
      <c r="E2339" s="14"/>
      <c r="F2339" s="14"/>
      <c r="G2339" s="14"/>
      <c r="H2339" s="10"/>
      <c r="I2339" s="17"/>
      <c r="J2339" s="10"/>
      <c r="K2339" s="46"/>
      <c r="L2339" s="10"/>
      <c r="M2339" s="20"/>
      <c r="N2339" s="20"/>
      <c r="O2339" s="20"/>
      <c r="P2339" s="20"/>
    </row>
    <row r="2340">
      <c r="A2340" s="23"/>
      <c r="B2340" s="21"/>
      <c r="C2340" s="23"/>
      <c r="D2340" s="24"/>
      <c r="E2340" s="14"/>
      <c r="F2340" s="14"/>
      <c r="G2340" s="14"/>
      <c r="H2340" s="23"/>
      <c r="I2340" s="27"/>
      <c r="J2340" s="23"/>
      <c r="K2340" s="30"/>
      <c r="L2340" s="23"/>
      <c r="M2340" s="20"/>
      <c r="N2340" s="20"/>
      <c r="O2340" s="20"/>
      <c r="P2340" s="20"/>
    </row>
    <row r="2341">
      <c r="A2341" s="10"/>
      <c r="B2341" s="11"/>
      <c r="C2341" s="10"/>
      <c r="D2341" s="13"/>
      <c r="E2341" s="14"/>
      <c r="F2341" s="14"/>
      <c r="G2341" s="14"/>
      <c r="H2341" s="10"/>
      <c r="I2341" s="17"/>
      <c r="J2341" s="10"/>
      <c r="K2341" s="46"/>
      <c r="L2341" s="10"/>
      <c r="M2341" s="20"/>
      <c r="N2341" s="20"/>
      <c r="O2341" s="20"/>
      <c r="P2341" s="20"/>
    </row>
    <row r="2342">
      <c r="A2342" s="23"/>
      <c r="B2342" s="21"/>
      <c r="C2342" s="23"/>
      <c r="D2342" s="24"/>
      <c r="E2342" s="14"/>
      <c r="F2342" s="14"/>
      <c r="G2342" s="14"/>
      <c r="H2342" s="23"/>
      <c r="I2342" s="27"/>
      <c r="J2342" s="23"/>
      <c r="K2342" s="30"/>
      <c r="L2342" s="23"/>
      <c r="M2342" s="20"/>
      <c r="N2342" s="20"/>
      <c r="O2342" s="20"/>
      <c r="P2342" s="20"/>
    </row>
    <row r="2343">
      <c r="A2343" s="10"/>
      <c r="B2343" s="11"/>
      <c r="C2343" s="10"/>
      <c r="D2343" s="13"/>
      <c r="E2343" s="14"/>
      <c r="F2343" s="14"/>
      <c r="G2343" s="14"/>
      <c r="H2343" s="10"/>
      <c r="I2343" s="17"/>
      <c r="J2343" s="10"/>
      <c r="K2343" s="46"/>
      <c r="L2343" s="10"/>
      <c r="M2343" s="20"/>
      <c r="N2343" s="20"/>
      <c r="O2343" s="20"/>
      <c r="P2343" s="20"/>
    </row>
    <row r="2344">
      <c r="A2344" s="23"/>
      <c r="B2344" s="21"/>
      <c r="C2344" s="23"/>
      <c r="D2344" s="24"/>
      <c r="E2344" s="14"/>
      <c r="F2344" s="14"/>
      <c r="G2344" s="14"/>
      <c r="H2344" s="23"/>
      <c r="I2344" s="27"/>
      <c r="J2344" s="23"/>
      <c r="K2344" s="30"/>
      <c r="L2344" s="23"/>
      <c r="M2344" s="20"/>
      <c r="N2344" s="20"/>
      <c r="O2344" s="20"/>
      <c r="P2344" s="20"/>
    </row>
    <row r="2345">
      <c r="A2345" s="10"/>
      <c r="B2345" s="11"/>
      <c r="C2345" s="10"/>
      <c r="D2345" s="13"/>
      <c r="E2345" s="14"/>
      <c r="F2345" s="14"/>
      <c r="G2345" s="14"/>
      <c r="H2345" s="10"/>
      <c r="I2345" s="17"/>
      <c r="J2345" s="10"/>
      <c r="K2345" s="46"/>
      <c r="L2345" s="10"/>
      <c r="M2345" s="20"/>
      <c r="N2345" s="20"/>
      <c r="O2345" s="20"/>
      <c r="P2345" s="20"/>
    </row>
    <row r="2346">
      <c r="A2346" s="23"/>
      <c r="B2346" s="21"/>
      <c r="C2346" s="23"/>
      <c r="D2346" s="24"/>
      <c r="E2346" s="14"/>
      <c r="F2346" s="14"/>
      <c r="G2346" s="14"/>
      <c r="H2346" s="23"/>
      <c r="I2346" s="27"/>
      <c r="J2346" s="23"/>
      <c r="K2346" s="30"/>
      <c r="L2346" s="23"/>
      <c r="M2346" s="20"/>
      <c r="N2346" s="20"/>
      <c r="O2346" s="20"/>
      <c r="P2346" s="20"/>
    </row>
    <row r="2347">
      <c r="A2347" s="10"/>
      <c r="B2347" s="11"/>
      <c r="C2347" s="10"/>
      <c r="D2347" s="13"/>
      <c r="E2347" s="14"/>
      <c r="F2347" s="14"/>
      <c r="G2347" s="14"/>
      <c r="H2347" s="10"/>
      <c r="I2347" s="17"/>
      <c r="J2347" s="10"/>
      <c r="K2347" s="46"/>
      <c r="L2347" s="10"/>
      <c r="M2347" s="20"/>
      <c r="N2347" s="20"/>
      <c r="O2347" s="20"/>
      <c r="P2347" s="20"/>
    </row>
    <row r="2348">
      <c r="A2348" s="23"/>
      <c r="B2348" s="21"/>
      <c r="C2348" s="23"/>
      <c r="D2348" s="24"/>
      <c r="E2348" s="14"/>
      <c r="F2348" s="14"/>
      <c r="G2348" s="14"/>
      <c r="H2348" s="23"/>
      <c r="I2348" s="27"/>
      <c r="J2348" s="23"/>
      <c r="K2348" s="30"/>
      <c r="L2348" s="23"/>
      <c r="M2348" s="20"/>
      <c r="N2348" s="20"/>
      <c r="O2348" s="20"/>
      <c r="P2348" s="20"/>
    </row>
    <row r="2349">
      <c r="A2349" s="10"/>
      <c r="B2349" s="11"/>
      <c r="C2349" s="10"/>
      <c r="D2349" s="13"/>
      <c r="E2349" s="14"/>
      <c r="F2349" s="14"/>
      <c r="G2349" s="14"/>
      <c r="H2349" s="10"/>
      <c r="I2349" s="17"/>
      <c r="J2349" s="10"/>
      <c r="K2349" s="46"/>
      <c r="L2349" s="10"/>
      <c r="M2349" s="20"/>
      <c r="N2349" s="20"/>
      <c r="O2349" s="20"/>
      <c r="P2349" s="20"/>
    </row>
    <row r="2350">
      <c r="A2350" s="23"/>
      <c r="B2350" s="21"/>
      <c r="C2350" s="23"/>
      <c r="D2350" s="24"/>
      <c r="E2350" s="14"/>
      <c r="F2350" s="14"/>
      <c r="G2350" s="14"/>
      <c r="H2350" s="23"/>
      <c r="I2350" s="27"/>
      <c r="J2350" s="23"/>
      <c r="K2350" s="30"/>
      <c r="L2350" s="23"/>
      <c r="M2350" s="20"/>
      <c r="N2350" s="20"/>
      <c r="O2350" s="20"/>
      <c r="P2350" s="20"/>
    </row>
    <row r="2351">
      <c r="A2351" s="10"/>
      <c r="B2351" s="11"/>
      <c r="C2351" s="10"/>
      <c r="D2351" s="13"/>
      <c r="E2351" s="14"/>
      <c r="F2351" s="14"/>
      <c r="G2351" s="14"/>
      <c r="H2351" s="10"/>
      <c r="I2351" s="17"/>
      <c r="J2351" s="10"/>
      <c r="K2351" s="46"/>
      <c r="L2351" s="10"/>
      <c r="M2351" s="20"/>
      <c r="N2351" s="20"/>
      <c r="O2351" s="20"/>
      <c r="P2351" s="20"/>
    </row>
    <row r="2352">
      <c r="A2352" s="23"/>
      <c r="B2352" s="21"/>
      <c r="C2352" s="23"/>
      <c r="D2352" s="24"/>
      <c r="E2352" s="14"/>
      <c r="F2352" s="14"/>
      <c r="G2352" s="14"/>
      <c r="H2352" s="23"/>
      <c r="I2352" s="27"/>
      <c r="J2352" s="23"/>
      <c r="K2352" s="30"/>
      <c r="L2352" s="23"/>
      <c r="M2352" s="20"/>
      <c r="N2352" s="20"/>
      <c r="O2352" s="20"/>
      <c r="P2352" s="20"/>
    </row>
    <row r="2353">
      <c r="A2353" s="10"/>
      <c r="B2353" s="11"/>
      <c r="C2353" s="10"/>
      <c r="D2353" s="13"/>
      <c r="E2353" s="14"/>
      <c r="F2353" s="14"/>
      <c r="G2353" s="14"/>
      <c r="H2353" s="10"/>
      <c r="I2353" s="17"/>
      <c r="J2353" s="10"/>
      <c r="K2353" s="46"/>
      <c r="L2353" s="10"/>
      <c r="M2353" s="20"/>
      <c r="N2353" s="20"/>
      <c r="O2353" s="20"/>
      <c r="P2353" s="20"/>
    </row>
    <row r="2354">
      <c r="A2354" s="23"/>
      <c r="B2354" s="21"/>
      <c r="C2354" s="23"/>
      <c r="D2354" s="24"/>
      <c r="E2354" s="14"/>
      <c r="F2354" s="14"/>
      <c r="G2354" s="14"/>
      <c r="H2354" s="23"/>
      <c r="I2354" s="27"/>
      <c r="J2354" s="23"/>
      <c r="K2354" s="30"/>
      <c r="L2354" s="23"/>
      <c r="M2354" s="20"/>
      <c r="N2354" s="20"/>
      <c r="O2354" s="20"/>
      <c r="P2354" s="20"/>
    </row>
    <row r="2355">
      <c r="A2355" s="10"/>
      <c r="B2355" s="11"/>
      <c r="C2355" s="10"/>
      <c r="D2355" s="13"/>
      <c r="E2355" s="14"/>
      <c r="F2355" s="14"/>
      <c r="G2355" s="14"/>
      <c r="H2355" s="10"/>
      <c r="I2355" s="17"/>
      <c r="J2355" s="10"/>
      <c r="K2355" s="46"/>
      <c r="L2355" s="10"/>
      <c r="M2355" s="20"/>
      <c r="N2355" s="20"/>
      <c r="O2355" s="20"/>
      <c r="P2355" s="20"/>
    </row>
    <row r="2356">
      <c r="A2356" s="23"/>
      <c r="B2356" s="21"/>
      <c r="C2356" s="23"/>
      <c r="D2356" s="24"/>
      <c r="E2356" s="14"/>
      <c r="F2356" s="14"/>
      <c r="G2356" s="14"/>
      <c r="H2356" s="23"/>
      <c r="I2356" s="27"/>
      <c r="J2356" s="23"/>
      <c r="K2356" s="30"/>
      <c r="L2356" s="23"/>
      <c r="M2356" s="20"/>
      <c r="N2356" s="20"/>
      <c r="O2356" s="20"/>
      <c r="P2356" s="20"/>
    </row>
    <row r="2357">
      <c r="A2357" s="10"/>
      <c r="B2357" s="11"/>
      <c r="C2357" s="10"/>
      <c r="D2357" s="13"/>
      <c r="E2357" s="14"/>
      <c r="F2357" s="14"/>
      <c r="G2357" s="14"/>
      <c r="H2357" s="10"/>
      <c r="I2357" s="17"/>
      <c r="J2357" s="10"/>
      <c r="K2357" s="46"/>
      <c r="L2357" s="10"/>
      <c r="M2357" s="20"/>
      <c r="N2357" s="20"/>
      <c r="O2357" s="20"/>
      <c r="P2357" s="20"/>
    </row>
    <row r="2358">
      <c r="A2358" s="23"/>
      <c r="B2358" s="21"/>
      <c r="C2358" s="23"/>
      <c r="D2358" s="24"/>
      <c r="E2358" s="14"/>
      <c r="F2358" s="14"/>
      <c r="G2358" s="14"/>
      <c r="H2358" s="23"/>
      <c r="I2358" s="27"/>
      <c r="J2358" s="23"/>
      <c r="K2358" s="30"/>
      <c r="L2358" s="23"/>
      <c r="M2358" s="20"/>
      <c r="N2358" s="20"/>
      <c r="O2358" s="20"/>
      <c r="P2358" s="20"/>
    </row>
    <row r="2359">
      <c r="A2359" s="10"/>
      <c r="B2359" s="11"/>
      <c r="C2359" s="10"/>
      <c r="D2359" s="13"/>
      <c r="E2359" s="14"/>
      <c r="F2359" s="14"/>
      <c r="G2359" s="14"/>
      <c r="H2359" s="10"/>
      <c r="I2359" s="17"/>
      <c r="J2359" s="10"/>
      <c r="K2359" s="46"/>
      <c r="L2359" s="10"/>
      <c r="M2359" s="20"/>
      <c r="N2359" s="20"/>
      <c r="O2359" s="20"/>
      <c r="P2359" s="20"/>
    </row>
    <row r="2360">
      <c r="A2360" s="23"/>
      <c r="B2360" s="21"/>
      <c r="C2360" s="23"/>
      <c r="D2360" s="24"/>
      <c r="E2360" s="14"/>
      <c r="F2360" s="14"/>
      <c r="G2360" s="14"/>
      <c r="H2360" s="23"/>
      <c r="I2360" s="27"/>
      <c r="J2360" s="23"/>
      <c r="K2360" s="30"/>
      <c r="L2360" s="23"/>
      <c r="M2360" s="20"/>
      <c r="N2360" s="20"/>
      <c r="O2360" s="20"/>
      <c r="P2360" s="20"/>
    </row>
    <row r="2361">
      <c r="A2361" s="10"/>
      <c r="B2361" s="11"/>
      <c r="C2361" s="10"/>
      <c r="D2361" s="13"/>
      <c r="E2361" s="14"/>
      <c r="F2361" s="14"/>
      <c r="G2361" s="14"/>
      <c r="H2361" s="10"/>
      <c r="I2361" s="17"/>
      <c r="J2361" s="10"/>
      <c r="K2361" s="46"/>
      <c r="L2361" s="10"/>
      <c r="M2361" s="20"/>
      <c r="N2361" s="20"/>
      <c r="O2361" s="20"/>
      <c r="P2361" s="20"/>
    </row>
    <row r="2362">
      <c r="A2362" s="23"/>
      <c r="B2362" s="21"/>
      <c r="C2362" s="23"/>
      <c r="D2362" s="24"/>
      <c r="E2362" s="14"/>
      <c r="F2362" s="14"/>
      <c r="G2362" s="14"/>
      <c r="H2362" s="23"/>
      <c r="I2362" s="27"/>
      <c r="J2362" s="23"/>
      <c r="K2362" s="30"/>
      <c r="L2362" s="23"/>
      <c r="M2362" s="20"/>
      <c r="N2362" s="20"/>
      <c r="O2362" s="20"/>
      <c r="P2362" s="20"/>
    </row>
    <row r="2363">
      <c r="A2363" s="10"/>
      <c r="B2363" s="11"/>
      <c r="C2363" s="10"/>
      <c r="D2363" s="13"/>
      <c r="E2363" s="14"/>
      <c r="F2363" s="14"/>
      <c r="G2363" s="14"/>
      <c r="H2363" s="10"/>
      <c r="I2363" s="17"/>
      <c r="J2363" s="10"/>
      <c r="K2363" s="46"/>
      <c r="L2363" s="10"/>
      <c r="M2363" s="20"/>
      <c r="N2363" s="20"/>
      <c r="O2363" s="20"/>
      <c r="P2363" s="20"/>
    </row>
    <row r="2364">
      <c r="A2364" s="23"/>
      <c r="B2364" s="21"/>
      <c r="C2364" s="23"/>
      <c r="D2364" s="24"/>
      <c r="E2364" s="14"/>
      <c r="F2364" s="14"/>
      <c r="G2364" s="14"/>
      <c r="H2364" s="23"/>
      <c r="I2364" s="27"/>
      <c r="J2364" s="23"/>
      <c r="K2364" s="30"/>
      <c r="L2364" s="23"/>
      <c r="M2364" s="20"/>
      <c r="N2364" s="20"/>
      <c r="O2364" s="20"/>
      <c r="P2364" s="20"/>
    </row>
    <row r="2365">
      <c r="A2365" s="10"/>
      <c r="B2365" s="11"/>
      <c r="C2365" s="10"/>
      <c r="D2365" s="13"/>
      <c r="E2365" s="14"/>
      <c r="F2365" s="14"/>
      <c r="G2365" s="14"/>
      <c r="H2365" s="10"/>
      <c r="I2365" s="17"/>
      <c r="J2365" s="10"/>
      <c r="K2365" s="46"/>
      <c r="L2365" s="10"/>
      <c r="M2365" s="20"/>
      <c r="N2365" s="20"/>
      <c r="O2365" s="20"/>
      <c r="P2365" s="20"/>
    </row>
    <row r="2366">
      <c r="A2366" s="23"/>
      <c r="B2366" s="21"/>
      <c r="C2366" s="23"/>
      <c r="D2366" s="24"/>
      <c r="E2366" s="14"/>
      <c r="F2366" s="14"/>
      <c r="G2366" s="14"/>
      <c r="H2366" s="23"/>
      <c r="I2366" s="27"/>
      <c r="J2366" s="23"/>
      <c r="K2366" s="30"/>
      <c r="L2366" s="23"/>
      <c r="M2366" s="20"/>
      <c r="N2366" s="20"/>
      <c r="O2366" s="20"/>
      <c r="P2366" s="20"/>
    </row>
    <row r="2367">
      <c r="A2367" s="10"/>
      <c r="B2367" s="11"/>
      <c r="C2367" s="10"/>
      <c r="D2367" s="13"/>
      <c r="E2367" s="14"/>
      <c r="F2367" s="14"/>
      <c r="G2367" s="14"/>
      <c r="H2367" s="10"/>
      <c r="I2367" s="17"/>
      <c r="J2367" s="10"/>
      <c r="K2367" s="46"/>
      <c r="L2367" s="10"/>
      <c r="M2367" s="20"/>
      <c r="N2367" s="20"/>
      <c r="O2367" s="20"/>
      <c r="P2367" s="20"/>
    </row>
    <row r="2368">
      <c r="A2368" s="23"/>
      <c r="B2368" s="21"/>
      <c r="C2368" s="23"/>
      <c r="D2368" s="24"/>
      <c r="E2368" s="14"/>
      <c r="F2368" s="14"/>
      <c r="G2368" s="14"/>
      <c r="H2368" s="23"/>
      <c r="I2368" s="27"/>
      <c r="J2368" s="23"/>
      <c r="K2368" s="30"/>
      <c r="L2368" s="23"/>
      <c r="M2368" s="20"/>
      <c r="N2368" s="20"/>
      <c r="O2368" s="20"/>
      <c r="P2368" s="20"/>
    </row>
    <row r="2369">
      <c r="A2369" s="10"/>
      <c r="B2369" s="11"/>
      <c r="C2369" s="10"/>
      <c r="D2369" s="13"/>
      <c r="E2369" s="14"/>
      <c r="F2369" s="14"/>
      <c r="G2369" s="14"/>
      <c r="H2369" s="10"/>
      <c r="I2369" s="17"/>
      <c r="J2369" s="10"/>
      <c r="K2369" s="46"/>
      <c r="L2369" s="10"/>
      <c r="M2369" s="20"/>
      <c r="N2369" s="20"/>
      <c r="O2369" s="20"/>
      <c r="P2369" s="20"/>
    </row>
    <row r="2370">
      <c r="A2370" s="23"/>
      <c r="B2370" s="21"/>
      <c r="C2370" s="23"/>
      <c r="D2370" s="24"/>
      <c r="E2370" s="14"/>
      <c r="F2370" s="14"/>
      <c r="G2370" s="14"/>
      <c r="H2370" s="23"/>
      <c r="I2370" s="27"/>
      <c r="J2370" s="23"/>
      <c r="K2370" s="30"/>
      <c r="L2370" s="23"/>
      <c r="M2370" s="20"/>
      <c r="N2370" s="20"/>
      <c r="O2370" s="20"/>
      <c r="P2370" s="20"/>
    </row>
    <row r="2371">
      <c r="A2371" s="10"/>
      <c r="B2371" s="11"/>
      <c r="C2371" s="10"/>
      <c r="D2371" s="13"/>
      <c r="E2371" s="14"/>
      <c r="F2371" s="14"/>
      <c r="G2371" s="14"/>
      <c r="H2371" s="10"/>
      <c r="I2371" s="17"/>
      <c r="J2371" s="10"/>
      <c r="K2371" s="46"/>
      <c r="L2371" s="10"/>
      <c r="M2371" s="20"/>
      <c r="N2371" s="20"/>
      <c r="O2371" s="20"/>
      <c r="P2371" s="20"/>
    </row>
    <row r="2372">
      <c r="A2372" s="23"/>
      <c r="B2372" s="21"/>
      <c r="C2372" s="23"/>
      <c r="D2372" s="24"/>
      <c r="E2372" s="14"/>
      <c r="F2372" s="14"/>
      <c r="G2372" s="14"/>
      <c r="H2372" s="23"/>
      <c r="I2372" s="27"/>
      <c r="J2372" s="23"/>
      <c r="K2372" s="30"/>
      <c r="L2372" s="23"/>
      <c r="M2372" s="20"/>
      <c r="N2372" s="20"/>
      <c r="O2372" s="20"/>
      <c r="P2372" s="20"/>
    </row>
    <row r="2373">
      <c r="A2373" s="10"/>
      <c r="B2373" s="11"/>
      <c r="C2373" s="10"/>
      <c r="D2373" s="13"/>
      <c r="E2373" s="14"/>
      <c r="F2373" s="14"/>
      <c r="G2373" s="14"/>
      <c r="H2373" s="10"/>
      <c r="I2373" s="17"/>
      <c r="J2373" s="10"/>
      <c r="K2373" s="46"/>
      <c r="L2373" s="10"/>
      <c r="M2373" s="20"/>
      <c r="N2373" s="20"/>
      <c r="O2373" s="20"/>
      <c r="P2373" s="20"/>
    </row>
    <row r="2374">
      <c r="A2374" s="23"/>
      <c r="B2374" s="21"/>
      <c r="C2374" s="23"/>
      <c r="D2374" s="24"/>
      <c r="E2374" s="14"/>
      <c r="F2374" s="14"/>
      <c r="G2374" s="14"/>
      <c r="H2374" s="23"/>
      <c r="I2374" s="27"/>
      <c r="J2374" s="23"/>
      <c r="K2374" s="30"/>
      <c r="L2374" s="23"/>
      <c r="M2374" s="20"/>
      <c r="N2374" s="20"/>
      <c r="O2374" s="20"/>
      <c r="P2374" s="20"/>
    </row>
    <row r="2375">
      <c r="A2375" s="10"/>
      <c r="B2375" s="11"/>
      <c r="C2375" s="10"/>
      <c r="D2375" s="13"/>
      <c r="E2375" s="14"/>
      <c r="F2375" s="14"/>
      <c r="G2375" s="14"/>
      <c r="H2375" s="10"/>
      <c r="I2375" s="17"/>
      <c r="J2375" s="10"/>
      <c r="K2375" s="46"/>
      <c r="L2375" s="10"/>
      <c r="M2375" s="20"/>
      <c r="N2375" s="20"/>
      <c r="O2375" s="20"/>
      <c r="P2375" s="20"/>
    </row>
    <row r="2376">
      <c r="A2376" s="23"/>
      <c r="B2376" s="21"/>
      <c r="C2376" s="23"/>
      <c r="D2376" s="24"/>
      <c r="E2376" s="14"/>
      <c r="F2376" s="14"/>
      <c r="G2376" s="14"/>
      <c r="H2376" s="23"/>
      <c r="I2376" s="27"/>
      <c r="J2376" s="23"/>
      <c r="K2376" s="30"/>
      <c r="L2376" s="23"/>
      <c r="M2376" s="20"/>
      <c r="N2376" s="20"/>
      <c r="O2376" s="20"/>
      <c r="P2376" s="20"/>
    </row>
    <row r="2377">
      <c r="A2377" s="10"/>
      <c r="B2377" s="11"/>
      <c r="C2377" s="10"/>
      <c r="D2377" s="13"/>
      <c r="E2377" s="14"/>
      <c r="F2377" s="14"/>
      <c r="G2377" s="14"/>
      <c r="H2377" s="10"/>
      <c r="I2377" s="17"/>
      <c r="J2377" s="10"/>
      <c r="K2377" s="46"/>
      <c r="L2377" s="10"/>
      <c r="M2377" s="20"/>
      <c r="N2377" s="20"/>
      <c r="O2377" s="20"/>
      <c r="P2377" s="20"/>
    </row>
    <row r="2378">
      <c r="A2378" s="23"/>
      <c r="B2378" s="21"/>
      <c r="C2378" s="23"/>
      <c r="D2378" s="24"/>
      <c r="E2378" s="14"/>
      <c r="F2378" s="14"/>
      <c r="G2378" s="14"/>
      <c r="H2378" s="23"/>
      <c r="I2378" s="27"/>
      <c r="J2378" s="23"/>
      <c r="K2378" s="30"/>
      <c r="L2378" s="23"/>
      <c r="M2378" s="20"/>
      <c r="N2378" s="20"/>
      <c r="O2378" s="20"/>
      <c r="P2378" s="20"/>
    </row>
    <row r="2379">
      <c r="A2379" s="10"/>
      <c r="B2379" s="11"/>
      <c r="C2379" s="10"/>
      <c r="D2379" s="13"/>
      <c r="E2379" s="14"/>
      <c r="F2379" s="14"/>
      <c r="G2379" s="14"/>
      <c r="H2379" s="10"/>
      <c r="I2379" s="17"/>
      <c r="J2379" s="10"/>
      <c r="K2379" s="46"/>
      <c r="L2379" s="10"/>
      <c r="M2379" s="20"/>
      <c r="N2379" s="20"/>
      <c r="O2379" s="20"/>
      <c r="P2379" s="20"/>
    </row>
    <row r="2380">
      <c r="A2380" s="23"/>
      <c r="B2380" s="21"/>
      <c r="C2380" s="23"/>
      <c r="D2380" s="24"/>
      <c r="E2380" s="14"/>
      <c r="F2380" s="14"/>
      <c r="G2380" s="14"/>
      <c r="H2380" s="23"/>
      <c r="I2380" s="27"/>
      <c r="J2380" s="23"/>
      <c r="K2380" s="30"/>
      <c r="L2380" s="23"/>
      <c r="M2380" s="20"/>
      <c r="N2380" s="20"/>
      <c r="O2380" s="20"/>
      <c r="P2380" s="20"/>
    </row>
    <row r="2381">
      <c r="A2381" s="10"/>
      <c r="B2381" s="11"/>
      <c r="C2381" s="10"/>
      <c r="D2381" s="13"/>
      <c r="E2381" s="14"/>
      <c r="F2381" s="14"/>
      <c r="G2381" s="14"/>
      <c r="H2381" s="10"/>
      <c r="I2381" s="17"/>
      <c r="J2381" s="10"/>
      <c r="K2381" s="46"/>
      <c r="L2381" s="10"/>
      <c r="M2381" s="20"/>
      <c r="N2381" s="20"/>
      <c r="O2381" s="20"/>
      <c r="P2381" s="20"/>
    </row>
    <row r="2382">
      <c r="A2382" s="23"/>
      <c r="B2382" s="21"/>
      <c r="C2382" s="23"/>
      <c r="D2382" s="24"/>
      <c r="E2382" s="14"/>
      <c r="F2382" s="14"/>
      <c r="G2382" s="14"/>
      <c r="H2382" s="23"/>
      <c r="I2382" s="27"/>
      <c r="J2382" s="23"/>
      <c r="K2382" s="30"/>
      <c r="L2382" s="23"/>
      <c r="M2382" s="20"/>
      <c r="N2382" s="20"/>
      <c r="O2382" s="20"/>
      <c r="P2382" s="20"/>
    </row>
    <row r="2383">
      <c r="A2383" s="10"/>
      <c r="B2383" s="11"/>
      <c r="C2383" s="10"/>
      <c r="D2383" s="13"/>
      <c r="E2383" s="14"/>
      <c r="F2383" s="14"/>
      <c r="G2383" s="14"/>
      <c r="H2383" s="10"/>
      <c r="I2383" s="17"/>
      <c r="J2383" s="10"/>
      <c r="K2383" s="46"/>
      <c r="L2383" s="10"/>
      <c r="M2383" s="20"/>
      <c r="N2383" s="20"/>
      <c r="O2383" s="20"/>
      <c r="P2383" s="20"/>
    </row>
    <row r="2384">
      <c r="A2384" s="23"/>
      <c r="B2384" s="21"/>
      <c r="C2384" s="23"/>
      <c r="D2384" s="24"/>
      <c r="E2384" s="14"/>
      <c r="F2384" s="14"/>
      <c r="G2384" s="14"/>
      <c r="H2384" s="23"/>
      <c r="I2384" s="27"/>
      <c r="J2384" s="23"/>
      <c r="K2384" s="30"/>
      <c r="L2384" s="23"/>
      <c r="M2384" s="20"/>
      <c r="N2384" s="20"/>
      <c r="O2384" s="20"/>
      <c r="P2384" s="20"/>
    </row>
    <row r="2385">
      <c r="A2385" s="10"/>
      <c r="B2385" s="11"/>
      <c r="C2385" s="10"/>
      <c r="D2385" s="13"/>
      <c r="E2385" s="14"/>
      <c r="F2385" s="14"/>
      <c r="G2385" s="14"/>
      <c r="H2385" s="10"/>
      <c r="I2385" s="17"/>
      <c r="J2385" s="10"/>
      <c r="K2385" s="46"/>
      <c r="L2385" s="10"/>
      <c r="M2385" s="20"/>
      <c r="N2385" s="20"/>
      <c r="O2385" s="20"/>
      <c r="P2385" s="20"/>
    </row>
    <row r="2386">
      <c r="A2386" s="23"/>
      <c r="B2386" s="21"/>
      <c r="C2386" s="23"/>
      <c r="D2386" s="24"/>
      <c r="E2386" s="14"/>
      <c r="F2386" s="14"/>
      <c r="G2386" s="14"/>
      <c r="H2386" s="23"/>
      <c r="I2386" s="27"/>
      <c r="J2386" s="23"/>
      <c r="K2386" s="30"/>
      <c r="L2386" s="23"/>
      <c r="M2386" s="20"/>
      <c r="N2386" s="20"/>
      <c r="O2386" s="20"/>
      <c r="P2386" s="20"/>
    </row>
    <row r="2387">
      <c r="A2387" s="10"/>
      <c r="B2387" s="11"/>
      <c r="C2387" s="10"/>
      <c r="D2387" s="13"/>
      <c r="E2387" s="14"/>
      <c r="F2387" s="14"/>
      <c r="G2387" s="14"/>
      <c r="H2387" s="10"/>
      <c r="I2387" s="17"/>
      <c r="J2387" s="10"/>
      <c r="K2387" s="46"/>
      <c r="L2387" s="10"/>
      <c r="M2387" s="20"/>
      <c r="N2387" s="20"/>
      <c r="O2387" s="20"/>
      <c r="P2387" s="20"/>
    </row>
    <row r="2388">
      <c r="A2388" s="23"/>
      <c r="B2388" s="21"/>
      <c r="C2388" s="23"/>
      <c r="D2388" s="24"/>
      <c r="E2388" s="14"/>
      <c r="F2388" s="14"/>
      <c r="G2388" s="14"/>
      <c r="H2388" s="23"/>
      <c r="I2388" s="27"/>
      <c r="J2388" s="23"/>
      <c r="K2388" s="30"/>
      <c r="L2388" s="23"/>
      <c r="M2388" s="20"/>
      <c r="N2388" s="20"/>
      <c r="O2388" s="20"/>
      <c r="P2388" s="20"/>
    </row>
    <row r="2389">
      <c r="A2389" s="10"/>
      <c r="B2389" s="11"/>
      <c r="C2389" s="10"/>
      <c r="D2389" s="13"/>
      <c r="E2389" s="14"/>
      <c r="F2389" s="14"/>
      <c r="G2389" s="14"/>
      <c r="H2389" s="10"/>
      <c r="I2389" s="17"/>
      <c r="J2389" s="10"/>
      <c r="K2389" s="46"/>
      <c r="L2389" s="10"/>
      <c r="M2389" s="20"/>
      <c r="N2389" s="20"/>
      <c r="O2389" s="20"/>
      <c r="P2389" s="20"/>
    </row>
    <row r="2390">
      <c r="A2390" s="23"/>
      <c r="B2390" s="21"/>
      <c r="C2390" s="23"/>
      <c r="D2390" s="24"/>
      <c r="E2390" s="14"/>
      <c r="F2390" s="14"/>
      <c r="G2390" s="14"/>
      <c r="H2390" s="23"/>
      <c r="I2390" s="27"/>
      <c r="J2390" s="23"/>
      <c r="K2390" s="30"/>
      <c r="L2390" s="23"/>
      <c r="M2390" s="20"/>
      <c r="N2390" s="20"/>
      <c r="O2390" s="20"/>
      <c r="P2390" s="20"/>
    </row>
    <row r="2391">
      <c r="A2391" s="10"/>
      <c r="B2391" s="11"/>
      <c r="C2391" s="10"/>
      <c r="D2391" s="13"/>
      <c r="E2391" s="14"/>
      <c r="F2391" s="14"/>
      <c r="G2391" s="14"/>
      <c r="H2391" s="10"/>
      <c r="I2391" s="17"/>
      <c r="J2391" s="10"/>
      <c r="K2391" s="46"/>
      <c r="L2391" s="10"/>
      <c r="M2391" s="20"/>
      <c r="N2391" s="20"/>
      <c r="O2391" s="20"/>
      <c r="P2391" s="20"/>
    </row>
    <row r="2392">
      <c r="A2392" s="23"/>
      <c r="B2392" s="21"/>
      <c r="C2392" s="23"/>
      <c r="D2392" s="24"/>
      <c r="E2392" s="14"/>
      <c r="F2392" s="14"/>
      <c r="G2392" s="14"/>
      <c r="H2392" s="23"/>
      <c r="I2392" s="27"/>
      <c r="J2392" s="23"/>
      <c r="K2392" s="30"/>
      <c r="L2392" s="23"/>
      <c r="M2392" s="20"/>
      <c r="N2392" s="20"/>
      <c r="O2392" s="20"/>
      <c r="P2392" s="20"/>
    </row>
    <row r="2393">
      <c r="A2393" s="10"/>
      <c r="B2393" s="11"/>
      <c r="C2393" s="10"/>
      <c r="D2393" s="13"/>
      <c r="E2393" s="14"/>
      <c r="F2393" s="14"/>
      <c r="G2393" s="14"/>
      <c r="H2393" s="10"/>
      <c r="I2393" s="17"/>
      <c r="J2393" s="10"/>
      <c r="K2393" s="46"/>
      <c r="L2393" s="10"/>
      <c r="M2393" s="20"/>
      <c r="N2393" s="20"/>
      <c r="O2393" s="20"/>
      <c r="P2393" s="20"/>
    </row>
    <row r="2394">
      <c r="A2394" s="23"/>
      <c r="B2394" s="21"/>
      <c r="C2394" s="23"/>
      <c r="D2394" s="24"/>
      <c r="E2394" s="14"/>
      <c r="F2394" s="14"/>
      <c r="G2394" s="14"/>
      <c r="H2394" s="23"/>
      <c r="I2394" s="27"/>
      <c r="J2394" s="23"/>
      <c r="K2394" s="30"/>
      <c r="L2394" s="23"/>
      <c r="M2394" s="20"/>
      <c r="N2394" s="20"/>
      <c r="O2394" s="20"/>
      <c r="P2394" s="20"/>
    </row>
    <row r="2395">
      <c r="A2395" s="10"/>
      <c r="B2395" s="11"/>
      <c r="C2395" s="10"/>
      <c r="D2395" s="13"/>
      <c r="E2395" s="14"/>
      <c r="F2395" s="14"/>
      <c r="G2395" s="14"/>
      <c r="H2395" s="10"/>
      <c r="I2395" s="17"/>
      <c r="J2395" s="10"/>
      <c r="K2395" s="46"/>
      <c r="L2395" s="10"/>
      <c r="M2395" s="20"/>
      <c r="N2395" s="20"/>
      <c r="O2395" s="20"/>
      <c r="P2395" s="20"/>
    </row>
    <row r="2396">
      <c r="A2396" s="23"/>
      <c r="B2396" s="21"/>
      <c r="C2396" s="23"/>
      <c r="D2396" s="24"/>
      <c r="E2396" s="14"/>
      <c r="F2396" s="14"/>
      <c r="G2396" s="14"/>
      <c r="H2396" s="23"/>
      <c r="I2396" s="27"/>
      <c r="J2396" s="23"/>
      <c r="K2396" s="30"/>
      <c r="L2396" s="23"/>
      <c r="M2396" s="20"/>
      <c r="N2396" s="20"/>
      <c r="O2396" s="20"/>
      <c r="P2396" s="20"/>
    </row>
    <row r="2397">
      <c r="A2397" s="10"/>
      <c r="B2397" s="11"/>
      <c r="C2397" s="10"/>
      <c r="D2397" s="13"/>
      <c r="E2397" s="14"/>
      <c r="F2397" s="14"/>
      <c r="G2397" s="14"/>
      <c r="H2397" s="10"/>
      <c r="I2397" s="17"/>
      <c r="J2397" s="10"/>
      <c r="K2397" s="46"/>
      <c r="L2397" s="10"/>
      <c r="M2397" s="20"/>
      <c r="N2397" s="20"/>
      <c r="O2397" s="20"/>
      <c r="P2397" s="20"/>
    </row>
    <row r="2398">
      <c r="A2398" s="23"/>
      <c r="B2398" s="21"/>
      <c r="C2398" s="23"/>
      <c r="D2398" s="24"/>
      <c r="E2398" s="14"/>
      <c r="F2398" s="14"/>
      <c r="G2398" s="14"/>
      <c r="H2398" s="23"/>
      <c r="I2398" s="27"/>
      <c r="J2398" s="23"/>
      <c r="K2398" s="30"/>
      <c r="L2398" s="23"/>
      <c r="M2398" s="20"/>
      <c r="N2398" s="20"/>
      <c r="O2398" s="20"/>
      <c r="P2398" s="20"/>
    </row>
    <row r="2399">
      <c r="A2399" s="10"/>
      <c r="B2399" s="11"/>
      <c r="C2399" s="10"/>
      <c r="D2399" s="13"/>
      <c r="E2399" s="14"/>
      <c r="F2399" s="14"/>
      <c r="G2399" s="14"/>
      <c r="H2399" s="10"/>
      <c r="I2399" s="17"/>
      <c r="J2399" s="10"/>
      <c r="K2399" s="46"/>
      <c r="L2399" s="10"/>
      <c r="M2399" s="20"/>
      <c r="N2399" s="20"/>
      <c r="O2399" s="20"/>
      <c r="P2399" s="20"/>
    </row>
    <row r="2400">
      <c r="A2400" s="23"/>
      <c r="B2400" s="21"/>
      <c r="C2400" s="23"/>
      <c r="D2400" s="24"/>
      <c r="E2400" s="14"/>
      <c r="F2400" s="14"/>
      <c r="G2400" s="14"/>
      <c r="H2400" s="23"/>
      <c r="I2400" s="27"/>
      <c r="J2400" s="23"/>
      <c r="K2400" s="30"/>
      <c r="L2400" s="23"/>
      <c r="M2400" s="20"/>
      <c r="N2400" s="20"/>
      <c r="O2400" s="20"/>
      <c r="P2400" s="20"/>
    </row>
    <row r="2401">
      <c r="A2401" s="10"/>
      <c r="B2401" s="11"/>
      <c r="C2401" s="10"/>
      <c r="D2401" s="13"/>
      <c r="E2401" s="14"/>
      <c r="F2401" s="14"/>
      <c r="G2401" s="14"/>
      <c r="H2401" s="10"/>
      <c r="I2401" s="17"/>
      <c r="J2401" s="10"/>
      <c r="K2401" s="46"/>
      <c r="L2401" s="10"/>
      <c r="M2401" s="20"/>
      <c r="N2401" s="20"/>
      <c r="O2401" s="20"/>
      <c r="P2401" s="20"/>
    </row>
    <row r="2402">
      <c r="A2402" s="23"/>
      <c r="B2402" s="21"/>
      <c r="C2402" s="23"/>
      <c r="D2402" s="24"/>
      <c r="E2402" s="14"/>
      <c r="F2402" s="14"/>
      <c r="G2402" s="14"/>
      <c r="H2402" s="23"/>
      <c r="I2402" s="27"/>
      <c r="J2402" s="23"/>
      <c r="K2402" s="30"/>
      <c r="L2402" s="23"/>
      <c r="M2402" s="20"/>
      <c r="N2402" s="20"/>
      <c r="O2402" s="20"/>
      <c r="P2402" s="20"/>
    </row>
    <row r="2403">
      <c r="A2403" s="10"/>
      <c r="B2403" s="11"/>
      <c r="C2403" s="10"/>
      <c r="D2403" s="13"/>
      <c r="E2403" s="14"/>
      <c r="F2403" s="14"/>
      <c r="G2403" s="14"/>
      <c r="H2403" s="10"/>
      <c r="I2403" s="17"/>
      <c r="J2403" s="10"/>
      <c r="K2403" s="46"/>
      <c r="L2403" s="10"/>
      <c r="M2403" s="20"/>
      <c r="N2403" s="20"/>
      <c r="O2403" s="20"/>
      <c r="P2403" s="20"/>
    </row>
    <row r="2404">
      <c r="A2404" s="23"/>
      <c r="B2404" s="21"/>
      <c r="C2404" s="23"/>
      <c r="D2404" s="24"/>
      <c r="E2404" s="14"/>
      <c r="F2404" s="14"/>
      <c r="G2404" s="14"/>
      <c r="H2404" s="23"/>
      <c r="I2404" s="27"/>
      <c r="J2404" s="23"/>
      <c r="K2404" s="30"/>
      <c r="L2404" s="23"/>
      <c r="M2404" s="20"/>
      <c r="N2404" s="20"/>
      <c r="O2404" s="20"/>
      <c r="P2404" s="20"/>
    </row>
    <row r="2405">
      <c r="A2405" s="10"/>
      <c r="B2405" s="11"/>
      <c r="C2405" s="10"/>
      <c r="D2405" s="13"/>
      <c r="E2405" s="14"/>
      <c r="F2405" s="14"/>
      <c r="G2405" s="14"/>
      <c r="H2405" s="10"/>
      <c r="I2405" s="17"/>
      <c r="J2405" s="10"/>
      <c r="K2405" s="46"/>
      <c r="L2405" s="10"/>
      <c r="M2405" s="20"/>
      <c r="N2405" s="20"/>
      <c r="O2405" s="20"/>
      <c r="P2405" s="20"/>
    </row>
    <row r="2406">
      <c r="A2406" s="23"/>
      <c r="B2406" s="21"/>
      <c r="C2406" s="23"/>
      <c r="D2406" s="24"/>
      <c r="E2406" s="14"/>
      <c r="F2406" s="14"/>
      <c r="G2406" s="14"/>
      <c r="H2406" s="23"/>
      <c r="I2406" s="27"/>
      <c r="J2406" s="23"/>
      <c r="K2406" s="30"/>
      <c r="L2406" s="23"/>
      <c r="M2406" s="20"/>
      <c r="N2406" s="20"/>
      <c r="O2406" s="20"/>
      <c r="P2406" s="20"/>
    </row>
    <row r="2407">
      <c r="A2407" s="10"/>
      <c r="B2407" s="11"/>
      <c r="C2407" s="10"/>
      <c r="D2407" s="13"/>
      <c r="E2407" s="14"/>
      <c r="F2407" s="14"/>
      <c r="G2407" s="14"/>
      <c r="H2407" s="10"/>
      <c r="I2407" s="17"/>
      <c r="J2407" s="10"/>
      <c r="K2407" s="46"/>
      <c r="L2407" s="10"/>
      <c r="M2407" s="20"/>
      <c r="N2407" s="20"/>
      <c r="O2407" s="20"/>
      <c r="P2407" s="20"/>
    </row>
    <row r="2408">
      <c r="A2408" s="23"/>
      <c r="B2408" s="21"/>
      <c r="C2408" s="23"/>
      <c r="D2408" s="24"/>
      <c r="E2408" s="14"/>
      <c r="F2408" s="14"/>
      <c r="G2408" s="14"/>
      <c r="H2408" s="23"/>
      <c r="I2408" s="27"/>
      <c r="J2408" s="23"/>
      <c r="K2408" s="30"/>
      <c r="L2408" s="23"/>
      <c r="M2408" s="20"/>
      <c r="N2408" s="20"/>
      <c r="O2408" s="20"/>
      <c r="P2408" s="20"/>
    </row>
    <row r="2409">
      <c r="A2409" s="10"/>
      <c r="B2409" s="11"/>
      <c r="C2409" s="10"/>
      <c r="D2409" s="13"/>
      <c r="E2409" s="14"/>
      <c r="F2409" s="14"/>
      <c r="G2409" s="14"/>
      <c r="H2409" s="10"/>
      <c r="I2409" s="17"/>
      <c r="J2409" s="10"/>
      <c r="K2409" s="46"/>
      <c r="L2409" s="10"/>
      <c r="M2409" s="20"/>
      <c r="N2409" s="20"/>
      <c r="O2409" s="20"/>
      <c r="P2409" s="20"/>
    </row>
    <row r="2410">
      <c r="A2410" s="23"/>
      <c r="B2410" s="21"/>
      <c r="C2410" s="23"/>
      <c r="D2410" s="24"/>
      <c r="E2410" s="14"/>
      <c r="F2410" s="14"/>
      <c r="G2410" s="14"/>
      <c r="H2410" s="23"/>
      <c r="I2410" s="27"/>
      <c r="J2410" s="23"/>
      <c r="K2410" s="30"/>
      <c r="L2410" s="23"/>
      <c r="M2410" s="20"/>
      <c r="N2410" s="20"/>
      <c r="O2410" s="20"/>
      <c r="P2410" s="20"/>
    </row>
    <row r="2411">
      <c r="A2411" s="10"/>
      <c r="B2411" s="11"/>
      <c r="C2411" s="10"/>
      <c r="D2411" s="13"/>
      <c r="E2411" s="14"/>
      <c r="F2411" s="14"/>
      <c r="G2411" s="14"/>
      <c r="H2411" s="10"/>
      <c r="I2411" s="17"/>
      <c r="J2411" s="10"/>
      <c r="K2411" s="46"/>
      <c r="L2411" s="10"/>
      <c r="M2411" s="20"/>
      <c r="N2411" s="20"/>
      <c r="O2411" s="20"/>
      <c r="P2411" s="20"/>
    </row>
    <row r="2412">
      <c r="A2412" s="23"/>
      <c r="B2412" s="21"/>
      <c r="C2412" s="23"/>
      <c r="D2412" s="24"/>
      <c r="E2412" s="14"/>
      <c r="F2412" s="14"/>
      <c r="G2412" s="14"/>
      <c r="H2412" s="23"/>
      <c r="I2412" s="27"/>
      <c r="J2412" s="23"/>
      <c r="K2412" s="30"/>
      <c r="L2412" s="23"/>
      <c r="M2412" s="20"/>
      <c r="N2412" s="20"/>
      <c r="O2412" s="20"/>
      <c r="P2412" s="20"/>
    </row>
    <row r="2413">
      <c r="A2413" s="10"/>
      <c r="B2413" s="11"/>
      <c r="C2413" s="10"/>
      <c r="D2413" s="13"/>
      <c r="E2413" s="14"/>
      <c r="F2413" s="14"/>
      <c r="G2413" s="14"/>
      <c r="H2413" s="10"/>
      <c r="I2413" s="17"/>
      <c r="J2413" s="10"/>
      <c r="K2413" s="46"/>
      <c r="L2413" s="10"/>
      <c r="M2413" s="20"/>
      <c r="N2413" s="20"/>
      <c r="O2413" s="20"/>
      <c r="P2413" s="20"/>
    </row>
    <row r="2414">
      <c r="A2414" s="23"/>
      <c r="B2414" s="21"/>
      <c r="C2414" s="23"/>
      <c r="D2414" s="24"/>
      <c r="E2414" s="14"/>
      <c r="F2414" s="14"/>
      <c r="G2414" s="14"/>
      <c r="H2414" s="23"/>
      <c r="I2414" s="27"/>
      <c r="J2414" s="23"/>
      <c r="K2414" s="30"/>
      <c r="L2414" s="23"/>
      <c r="M2414" s="20"/>
      <c r="N2414" s="20"/>
      <c r="O2414" s="20"/>
      <c r="P2414" s="20"/>
    </row>
    <row r="2415">
      <c r="A2415" s="10"/>
      <c r="B2415" s="11"/>
      <c r="C2415" s="10"/>
      <c r="D2415" s="13"/>
      <c r="E2415" s="14"/>
      <c r="F2415" s="14"/>
      <c r="G2415" s="14"/>
      <c r="H2415" s="10"/>
      <c r="I2415" s="17"/>
      <c r="J2415" s="10"/>
      <c r="K2415" s="46"/>
      <c r="L2415" s="10"/>
      <c r="M2415" s="20"/>
      <c r="N2415" s="20"/>
      <c r="O2415" s="20"/>
      <c r="P2415" s="20"/>
    </row>
    <row r="2416">
      <c r="A2416" s="23"/>
      <c r="B2416" s="21"/>
      <c r="C2416" s="23"/>
      <c r="D2416" s="24"/>
      <c r="E2416" s="14"/>
      <c r="F2416" s="14"/>
      <c r="G2416" s="14"/>
      <c r="H2416" s="23"/>
      <c r="I2416" s="27"/>
      <c r="J2416" s="23"/>
      <c r="K2416" s="30"/>
      <c r="L2416" s="23"/>
      <c r="M2416" s="20"/>
      <c r="N2416" s="20"/>
      <c r="O2416" s="20"/>
      <c r="P2416" s="20"/>
    </row>
    <row r="2417">
      <c r="A2417" s="10"/>
      <c r="B2417" s="11"/>
      <c r="C2417" s="10"/>
      <c r="D2417" s="13"/>
      <c r="E2417" s="14"/>
      <c r="F2417" s="14"/>
      <c r="G2417" s="14"/>
      <c r="H2417" s="10"/>
      <c r="I2417" s="17"/>
      <c r="J2417" s="10"/>
      <c r="K2417" s="46"/>
      <c r="L2417" s="10"/>
      <c r="M2417" s="20"/>
      <c r="N2417" s="20"/>
      <c r="O2417" s="20"/>
      <c r="P2417" s="20"/>
    </row>
    <row r="2418">
      <c r="A2418" s="23"/>
      <c r="B2418" s="21"/>
      <c r="C2418" s="23"/>
      <c r="D2418" s="24"/>
      <c r="E2418" s="14"/>
      <c r="F2418" s="14"/>
      <c r="G2418" s="14"/>
      <c r="H2418" s="23"/>
      <c r="I2418" s="27"/>
      <c r="J2418" s="23"/>
      <c r="K2418" s="30"/>
      <c r="L2418" s="23"/>
      <c r="M2418" s="20"/>
      <c r="N2418" s="20"/>
      <c r="O2418" s="20"/>
      <c r="P2418" s="20"/>
    </row>
    <row r="2419">
      <c r="A2419" s="10"/>
      <c r="B2419" s="11"/>
      <c r="C2419" s="10"/>
      <c r="D2419" s="13"/>
      <c r="E2419" s="14"/>
      <c r="F2419" s="14"/>
      <c r="G2419" s="14"/>
      <c r="H2419" s="10"/>
      <c r="I2419" s="17"/>
      <c r="J2419" s="10"/>
      <c r="K2419" s="46"/>
      <c r="L2419" s="10"/>
      <c r="M2419" s="20"/>
      <c r="N2419" s="20"/>
      <c r="O2419" s="20"/>
      <c r="P2419" s="20"/>
    </row>
    <row r="2420">
      <c r="A2420" s="23"/>
      <c r="B2420" s="21"/>
      <c r="C2420" s="23"/>
      <c r="D2420" s="24"/>
      <c r="E2420" s="14"/>
      <c r="F2420" s="14"/>
      <c r="G2420" s="14"/>
      <c r="H2420" s="23"/>
      <c r="I2420" s="27"/>
      <c r="J2420" s="23"/>
      <c r="K2420" s="30"/>
      <c r="L2420" s="23"/>
      <c r="M2420" s="20"/>
      <c r="N2420" s="20"/>
      <c r="O2420" s="20"/>
      <c r="P2420" s="20"/>
    </row>
    <row r="2421">
      <c r="A2421" s="10"/>
      <c r="B2421" s="11"/>
      <c r="C2421" s="10"/>
      <c r="D2421" s="13"/>
      <c r="E2421" s="14"/>
      <c r="F2421" s="14"/>
      <c r="G2421" s="14"/>
      <c r="H2421" s="10"/>
      <c r="I2421" s="17"/>
      <c r="J2421" s="10"/>
      <c r="K2421" s="46"/>
      <c r="L2421" s="10"/>
      <c r="M2421" s="20"/>
      <c r="N2421" s="20"/>
      <c r="O2421" s="20"/>
      <c r="P2421" s="20"/>
    </row>
    <row r="2422">
      <c r="A2422" s="23"/>
      <c r="B2422" s="21"/>
      <c r="C2422" s="23"/>
      <c r="D2422" s="24"/>
      <c r="E2422" s="14"/>
      <c r="F2422" s="14"/>
      <c r="G2422" s="14"/>
      <c r="H2422" s="23"/>
      <c r="I2422" s="27"/>
      <c r="J2422" s="23"/>
      <c r="K2422" s="30"/>
      <c r="L2422" s="23"/>
      <c r="M2422" s="20"/>
      <c r="N2422" s="20"/>
      <c r="O2422" s="20"/>
      <c r="P2422" s="20"/>
    </row>
    <row r="2423">
      <c r="A2423" s="10"/>
      <c r="B2423" s="11"/>
      <c r="C2423" s="10"/>
      <c r="D2423" s="13"/>
      <c r="E2423" s="14"/>
      <c r="F2423" s="14"/>
      <c r="G2423" s="14"/>
      <c r="H2423" s="10"/>
      <c r="I2423" s="17"/>
      <c r="J2423" s="10"/>
      <c r="K2423" s="46"/>
      <c r="L2423" s="10"/>
      <c r="M2423" s="20"/>
      <c r="N2423" s="20"/>
      <c r="O2423" s="20"/>
      <c r="P2423" s="20"/>
    </row>
    <row r="2424">
      <c r="A2424" s="23"/>
      <c r="B2424" s="21"/>
      <c r="C2424" s="23"/>
      <c r="D2424" s="24"/>
      <c r="E2424" s="14"/>
      <c r="F2424" s="14"/>
      <c r="G2424" s="14"/>
      <c r="H2424" s="23"/>
      <c r="I2424" s="27"/>
      <c r="J2424" s="23"/>
      <c r="K2424" s="30"/>
      <c r="L2424" s="23"/>
      <c r="M2424" s="20"/>
      <c r="N2424" s="20"/>
      <c r="O2424" s="20"/>
      <c r="P2424" s="20"/>
    </row>
    <row r="2425">
      <c r="A2425" s="10"/>
      <c r="B2425" s="11"/>
      <c r="C2425" s="10"/>
      <c r="D2425" s="13"/>
      <c r="E2425" s="14"/>
      <c r="F2425" s="14"/>
      <c r="G2425" s="14"/>
      <c r="H2425" s="10"/>
      <c r="I2425" s="17"/>
      <c r="J2425" s="10"/>
      <c r="K2425" s="46"/>
      <c r="L2425" s="10"/>
      <c r="M2425" s="20"/>
      <c r="N2425" s="20"/>
      <c r="O2425" s="20"/>
      <c r="P2425" s="20"/>
    </row>
    <row r="2426">
      <c r="A2426" s="23"/>
      <c r="B2426" s="21"/>
      <c r="C2426" s="23"/>
      <c r="D2426" s="24"/>
      <c r="E2426" s="14"/>
      <c r="F2426" s="14"/>
      <c r="G2426" s="14"/>
      <c r="H2426" s="23"/>
      <c r="I2426" s="27"/>
      <c r="J2426" s="23"/>
      <c r="K2426" s="30"/>
      <c r="L2426" s="23"/>
      <c r="M2426" s="20"/>
      <c r="N2426" s="20"/>
      <c r="O2426" s="20"/>
      <c r="P2426" s="20"/>
    </row>
    <row r="2427">
      <c r="A2427" s="10"/>
      <c r="B2427" s="11"/>
      <c r="C2427" s="10"/>
      <c r="D2427" s="13"/>
      <c r="E2427" s="14"/>
      <c r="F2427" s="14"/>
      <c r="G2427" s="14"/>
      <c r="H2427" s="10"/>
      <c r="I2427" s="17"/>
      <c r="J2427" s="10"/>
      <c r="K2427" s="46"/>
      <c r="L2427" s="10"/>
      <c r="M2427" s="20"/>
      <c r="N2427" s="20"/>
      <c r="O2427" s="20"/>
      <c r="P2427" s="20"/>
    </row>
    <row r="2428">
      <c r="A2428" s="23"/>
      <c r="B2428" s="21"/>
      <c r="C2428" s="23"/>
      <c r="D2428" s="24"/>
      <c r="E2428" s="14"/>
      <c r="F2428" s="14"/>
      <c r="G2428" s="14"/>
      <c r="H2428" s="23"/>
      <c r="I2428" s="27"/>
      <c r="J2428" s="23"/>
      <c r="K2428" s="30"/>
      <c r="L2428" s="23"/>
      <c r="M2428" s="20"/>
      <c r="N2428" s="20"/>
      <c r="O2428" s="20"/>
      <c r="P2428" s="20"/>
    </row>
    <row r="2429">
      <c r="A2429" s="10"/>
      <c r="B2429" s="11"/>
      <c r="C2429" s="10"/>
      <c r="D2429" s="13"/>
      <c r="E2429" s="14"/>
      <c r="F2429" s="14"/>
      <c r="G2429" s="14"/>
      <c r="H2429" s="10"/>
      <c r="I2429" s="17"/>
      <c r="J2429" s="10"/>
      <c r="K2429" s="46"/>
      <c r="L2429" s="10"/>
      <c r="M2429" s="20"/>
      <c r="N2429" s="20"/>
      <c r="O2429" s="20"/>
      <c r="P2429" s="20"/>
    </row>
    <row r="2430">
      <c r="A2430" s="23"/>
      <c r="B2430" s="21"/>
      <c r="C2430" s="23"/>
      <c r="D2430" s="24"/>
      <c r="E2430" s="14"/>
      <c r="F2430" s="14"/>
      <c r="G2430" s="14"/>
      <c r="H2430" s="23"/>
      <c r="I2430" s="27"/>
      <c r="J2430" s="23"/>
      <c r="K2430" s="30"/>
      <c r="L2430" s="23"/>
      <c r="M2430" s="20"/>
      <c r="N2430" s="20"/>
      <c r="O2430" s="20"/>
      <c r="P2430" s="20"/>
    </row>
    <row r="2431">
      <c r="A2431" s="10"/>
      <c r="B2431" s="11"/>
      <c r="C2431" s="10"/>
      <c r="D2431" s="13"/>
      <c r="E2431" s="14"/>
      <c r="F2431" s="14"/>
      <c r="G2431" s="14"/>
      <c r="H2431" s="10"/>
      <c r="I2431" s="17"/>
      <c r="J2431" s="10"/>
      <c r="K2431" s="46"/>
      <c r="L2431" s="10"/>
      <c r="M2431" s="20"/>
      <c r="N2431" s="20"/>
      <c r="O2431" s="20"/>
      <c r="P2431" s="20"/>
    </row>
    <row r="2432">
      <c r="A2432" s="23"/>
      <c r="B2432" s="21"/>
      <c r="C2432" s="23"/>
      <c r="D2432" s="24"/>
      <c r="E2432" s="14"/>
      <c r="F2432" s="14"/>
      <c r="G2432" s="14"/>
      <c r="H2432" s="23"/>
      <c r="I2432" s="27"/>
      <c r="J2432" s="23"/>
      <c r="K2432" s="30"/>
      <c r="L2432" s="23"/>
      <c r="M2432" s="20"/>
      <c r="N2432" s="20"/>
      <c r="O2432" s="20"/>
      <c r="P2432" s="20"/>
    </row>
    <row r="2433">
      <c r="A2433" s="10"/>
      <c r="B2433" s="11"/>
      <c r="C2433" s="10"/>
      <c r="D2433" s="13"/>
      <c r="E2433" s="14"/>
      <c r="F2433" s="14"/>
      <c r="G2433" s="14"/>
      <c r="H2433" s="10"/>
      <c r="I2433" s="17"/>
      <c r="J2433" s="10"/>
      <c r="K2433" s="46"/>
      <c r="L2433" s="10"/>
      <c r="M2433" s="20"/>
      <c r="N2433" s="20"/>
      <c r="O2433" s="20"/>
      <c r="P2433" s="20"/>
    </row>
    <row r="2434">
      <c r="A2434" s="23"/>
      <c r="B2434" s="21"/>
      <c r="C2434" s="23"/>
      <c r="D2434" s="24"/>
      <c r="E2434" s="14"/>
      <c r="F2434" s="14"/>
      <c r="G2434" s="14"/>
      <c r="H2434" s="23"/>
      <c r="I2434" s="27"/>
      <c r="J2434" s="23"/>
      <c r="K2434" s="30"/>
      <c r="L2434" s="23"/>
      <c r="M2434" s="20"/>
      <c r="N2434" s="20"/>
      <c r="O2434" s="20"/>
      <c r="P2434" s="20"/>
    </row>
    <row r="2435">
      <c r="A2435" s="10"/>
      <c r="B2435" s="11"/>
      <c r="C2435" s="10"/>
      <c r="D2435" s="13"/>
      <c r="E2435" s="14"/>
      <c r="F2435" s="14"/>
      <c r="G2435" s="14"/>
      <c r="H2435" s="10"/>
      <c r="I2435" s="17"/>
      <c r="J2435" s="10"/>
      <c r="K2435" s="46"/>
      <c r="L2435" s="10"/>
      <c r="M2435" s="20"/>
      <c r="N2435" s="20"/>
      <c r="O2435" s="20"/>
      <c r="P2435" s="20"/>
    </row>
    <row r="2436">
      <c r="A2436" s="23"/>
      <c r="B2436" s="21"/>
      <c r="C2436" s="23"/>
      <c r="D2436" s="24"/>
      <c r="E2436" s="14"/>
      <c r="F2436" s="14"/>
      <c r="G2436" s="14"/>
      <c r="H2436" s="23"/>
      <c r="I2436" s="27"/>
      <c r="J2436" s="23"/>
      <c r="K2436" s="30"/>
      <c r="L2436" s="23"/>
      <c r="M2436" s="20"/>
      <c r="N2436" s="20"/>
      <c r="O2436" s="20"/>
      <c r="P2436" s="20"/>
    </row>
    <row r="2437">
      <c r="A2437" s="10"/>
      <c r="B2437" s="11"/>
      <c r="C2437" s="10"/>
      <c r="D2437" s="13"/>
      <c r="E2437" s="14"/>
      <c r="F2437" s="14"/>
      <c r="G2437" s="14"/>
      <c r="H2437" s="10"/>
      <c r="I2437" s="17"/>
      <c r="J2437" s="10"/>
      <c r="K2437" s="46"/>
      <c r="L2437" s="10"/>
      <c r="M2437" s="20"/>
      <c r="N2437" s="20"/>
      <c r="O2437" s="20"/>
      <c r="P2437" s="20"/>
    </row>
    <row r="2438">
      <c r="A2438" s="23"/>
      <c r="B2438" s="21"/>
      <c r="C2438" s="23"/>
      <c r="D2438" s="24"/>
      <c r="E2438" s="14"/>
      <c r="F2438" s="14"/>
      <c r="G2438" s="14"/>
      <c r="H2438" s="23"/>
      <c r="I2438" s="27"/>
      <c r="J2438" s="23"/>
      <c r="K2438" s="30"/>
      <c r="L2438" s="23"/>
      <c r="M2438" s="20"/>
      <c r="N2438" s="20"/>
      <c r="O2438" s="20"/>
      <c r="P2438" s="20"/>
    </row>
    <row r="2439">
      <c r="A2439" s="10"/>
      <c r="B2439" s="11"/>
      <c r="C2439" s="10"/>
      <c r="D2439" s="13"/>
      <c r="E2439" s="14"/>
      <c r="F2439" s="14"/>
      <c r="G2439" s="14"/>
      <c r="H2439" s="10"/>
      <c r="I2439" s="17"/>
      <c r="J2439" s="10"/>
      <c r="K2439" s="46"/>
      <c r="L2439" s="10"/>
      <c r="M2439" s="20"/>
      <c r="N2439" s="20"/>
      <c r="O2439" s="20"/>
      <c r="P2439" s="20"/>
    </row>
    <row r="2440">
      <c r="A2440" s="23"/>
      <c r="B2440" s="21"/>
      <c r="C2440" s="23"/>
      <c r="D2440" s="24"/>
      <c r="E2440" s="14"/>
      <c r="F2440" s="14"/>
      <c r="G2440" s="14"/>
      <c r="H2440" s="23"/>
      <c r="I2440" s="27"/>
      <c r="J2440" s="23"/>
      <c r="K2440" s="30"/>
      <c r="L2440" s="23"/>
      <c r="M2440" s="20"/>
      <c r="N2440" s="20"/>
      <c r="O2440" s="20"/>
      <c r="P2440" s="20"/>
    </row>
    <row r="2441">
      <c r="A2441" s="10"/>
      <c r="B2441" s="11"/>
      <c r="C2441" s="10"/>
      <c r="D2441" s="13"/>
      <c r="E2441" s="14"/>
      <c r="F2441" s="14"/>
      <c r="G2441" s="14"/>
      <c r="H2441" s="10"/>
      <c r="I2441" s="17"/>
      <c r="J2441" s="10"/>
      <c r="K2441" s="46"/>
      <c r="L2441" s="10"/>
      <c r="M2441" s="20"/>
      <c r="N2441" s="20"/>
      <c r="O2441" s="20"/>
      <c r="P2441" s="20"/>
    </row>
    <row r="2442">
      <c r="A2442" s="23"/>
      <c r="B2442" s="21"/>
      <c r="C2442" s="23"/>
      <c r="D2442" s="24"/>
      <c r="E2442" s="14"/>
      <c r="F2442" s="14"/>
      <c r="G2442" s="14"/>
      <c r="H2442" s="23"/>
      <c r="I2442" s="27"/>
      <c r="J2442" s="23"/>
      <c r="K2442" s="30"/>
      <c r="L2442" s="23"/>
      <c r="M2442" s="20"/>
      <c r="N2442" s="20"/>
      <c r="O2442" s="20"/>
      <c r="P2442" s="20"/>
    </row>
    <row r="2443">
      <c r="A2443" s="10"/>
      <c r="B2443" s="11"/>
      <c r="C2443" s="10"/>
      <c r="D2443" s="13"/>
      <c r="E2443" s="14"/>
      <c r="F2443" s="14"/>
      <c r="G2443" s="14"/>
      <c r="H2443" s="10"/>
      <c r="I2443" s="17"/>
      <c r="J2443" s="10"/>
      <c r="K2443" s="46"/>
      <c r="L2443" s="10"/>
      <c r="M2443" s="20"/>
      <c r="N2443" s="20"/>
      <c r="O2443" s="20"/>
      <c r="P2443" s="20"/>
    </row>
    <row r="2444">
      <c r="A2444" s="23"/>
      <c r="B2444" s="21"/>
      <c r="C2444" s="23"/>
      <c r="D2444" s="24"/>
      <c r="E2444" s="14"/>
      <c r="F2444" s="14"/>
      <c r="G2444" s="14"/>
      <c r="H2444" s="23"/>
      <c r="I2444" s="27"/>
      <c r="J2444" s="23"/>
      <c r="K2444" s="30"/>
      <c r="L2444" s="23"/>
      <c r="M2444" s="20"/>
      <c r="N2444" s="20"/>
      <c r="O2444" s="20"/>
      <c r="P2444" s="20"/>
    </row>
    <row r="2445">
      <c r="A2445" s="10"/>
      <c r="B2445" s="11"/>
      <c r="C2445" s="10"/>
      <c r="D2445" s="13"/>
      <c r="E2445" s="14"/>
      <c r="F2445" s="14"/>
      <c r="G2445" s="14"/>
      <c r="H2445" s="10"/>
      <c r="I2445" s="17"/>
      <c r="J2445" s="10"/>
      <c r="K2445" s="46"/>
      <c r="L2445" s="10"/>
      <c r="M2445" s="20"/>
      <c r="N2445" s="20"/>
      <c r="O2445" s="20"/>
      <c r="P2445" s="20"/>
    </row>
    <row r="2446">
      <c r="A2446" s="23"/>
      <c r="B2446" s="21"/>
      <c r="C2446" s="23"/>
      <c r="D2446" s="24"/>
      <c r="E2446" s="14"/>
      <c r="F2446" s="14"/>
      <c r="G2446" s="14"/>
      <c r="H2446" s="23"/>
      <c r="I2446" s="27"/>
      <c r="J2446" s="23"/>
      <c r="K2446" s="30"/>
      <c r="L2446" s="23"/>
      <c r="M2446" s="20"/>
      <c r="N2446" s="20"/>
      <c r="O2446" s="20"/>
      <c r="P2446" s="20"/>
    </row>
    <row r="2447">
      <c r="A2447" s="10"/>
      <c r="B2447" s="11"/>
      <c r="C2447" s="10"/>
      <c r="D2447" s="13"/>
      <c r="E2447" s="14"/>
      <c r="F2447" s="14"/>
      <c r="G2447" s="14"/>
      <c r="H2447" s="10"/>
      <c r="I2447" s="17"/>
      <c r="J2447" s="10"/>
      <c r="K2447" s="46"/>
      <c r="L2447" s="10"/>
      <c r="M2447" s="20"/>
      <c r="N2447" s="20"/>
      <c r="O2447" s="20"/>
      <c r="P2447" s="20"/>
    </row>
    <row r="2448">
      <c r="A2448" s="23"/>
      <c r="B2448" s="21"/>
      <c r="C2448" s="23"/>
      <c r="D2448" s="24"/>
      <c r="E2448" s="14"/>
      <c r="F2448" s="14"/>
      <c r="G2448" s="14"/>
      <c r="H2448" s="23"/>
      <c r="I2448" s="27"/>
      <c r="J2448" s="23"/>
      <c r="K2448" s="30"/>
      <c r="L2448" s="23"/>
      <c r="M2448" s="20"/>
      <c r="N2448" s="20"/>
      <c r="O2448" s="20"/>
      <c r="P2448" s="20"/>
    </row>
    <row r="2449">
      <c r="A2449" s="10"/>
      <c r="B2449" s="11"/>
      <c r="C2449" s="10"/>
      <c r="D2449" s="13"/>
      <c r="E2449" s="14"/>
      <c r="F2449" s="14"/>
      <c r="G2449" s="14"/>
      <c r="H2449" s="10"/>
      <c r="I2449" s="17"/>
      <c r="J2449" s="10"/>
      <c r="K2449" s="46"/>
      <c r="L2449" s="10"/>
      <c r="M2449" s="20"/>
      <c r="N2449" s="20"/>
      <c r="O2449" s="20"/>
      <c r="P2449" s="20"/>
    </row>
    <row r="2450">
      <c r="A2450" s="23"/>
      <c r="B2450" s="21"/>
      <c r="C2450" s="23"/>
      <c r="D2450" s="24"/>
      <c r="E2450" s="14"/>
      <c r="F2450" s="14"/>
      <c r="G2450" s="14"/>
      <c r="H2450" s="23"/>
      <c r="I2450" s="27"/>
      <c r="J2450" s="23"/>
      <c r="K2450" s="30"/>
      <c r="L2450" s="23"/>
      <c r="M2450" s="20"/>
      <c r="N2450" s="20"/>
      <c r="O2450" s="20"/>
      <c r="P2450" s="20"/>
    </row>
    <row r="2451">
      <c r="A2451" s="10"/>
      <c r="B2451" s="11"/>
      <c r="C2451" s="10"/>
      <c r="D2451" s="13"/>
      <c r="E2451" s="14"/>
      <c r="F2451" s="14"/>
      <c r="G2451" s="14"/>
      <c r="H2451" s="10"/>
      <c r="I2451" s="17"/>
      <c r="J2451" s="10"/>
      <c r="K2451" s="46"/>
      <c r="L2451" s="10"/>
      <c r="M2451" s="20"/>
      <c r="N2451" s="20"/>
      <c r="O2451" s="20"/>
      <c r="P2451" s="20"/>
    </row>
    <row r="2452">
      <c r="A2452" s="23"/>
      <c r="B2452" s="21"/>
      <c r="C2452" s="23"/>
      <c r="D2452" s="24"/>
      <c r="E2452" s="14"/>
      <c r="F2452" s="14"/>
      <c r="G2452" s="14"/>
      <c r="H2452" s="23"/>
      <c r="I2452" s="27"/>
      <c r="J2452" s="23"/>
      <c r="K2452" s="30"/>
      <c r="L2452" s="23"/>
      <c r="M2452" s="20"/>
      <c r="N2452" s="20"/>
      <c r="O2452" s="20"/>
      <c r="P2452" s="20"/>
    </row>
    <row r="2453">
      <c r="A2453" s="10"/>
      <c r="B2453" s="11"/>
      <c r="C2453" s="10"/>
      <c r="D2453" s="13"/>
      <c r="E2453" s="14"/>
      <c r="F2453" s="14"/>
      <c r="G2453" s="14"/>
      <c r="H2453" s="10"/>
      <c r="I2453" s="17"/>
      <c r="J2453" s="10"/>
      <c r="K2453" s="46"/>
      <c r="L2453" s="10"/>
      <c r="M2453" s="20"/>
      <c r="N2453" s="20"/>
      <c r="O2453" s="20"/>
      <c r="P2453" s="20"/>
    </row>
    <row r="2454">
      <c r="A2454" s="23"/>
      <c r="B2454" s="21"/>
      <c r="C2454" s="23"/>
      <c r="D2454" s="24"/>
      <c r="E2454" s="14"/>
      <c r="F2454" s="14"/>
      <c r="G2454" s="14"/>
      <c r="H2454" s="23"/>
      <c r="I2454" s="27"/>
      <c r="J2454" s="23"/>
      <c r="K2454" s="30"/>
      <c r="L2454" s="23"/>
      <c r="M2454" s="20"/>
      <c r="N2454" s="20"/>
      <c r="O2454" s="20"/>
      <c r="P2454" s="20"/>
    </row>
    <row r="2455">
      <c r="A2455" s="10"/>
      <c r="B2455" s="11"/>
      <c r="C2455" s="10"/>
      <c r="D2455" s="13"/>
      <c r="E2455" s="14"/>
      <c r="F2455" s="14"/>
      <c r="G2455" s="14"/>
      <c r="H2455" s="10"/>
      <c r="I2455" s="17"/>
      <c r="J2455" s="10"/>
      <c r="K2455" s="46"/>
      <c r="L2455" s="10"/>
      <c r="M2455" s="20"/>
      <c r="N2455" s="20"/>
      <c r="O2455" s="20"/>
      <c r="P2455" s="20"/>
    </row>
    <row r="2456">
      <c r="A2456" s="23"/>
      <c r="B2456" s="21"/>
      <c r="C2456" s="23"/>
      <c r="D2456" s="24"/>
      <c r="E2456" s="14"/>
      <c r="F2456" s="14"/>
      <c r="G2456" s="14"/>
      <c r="H2456" s="23"/>
      <c r="I2456" s="27"/>
      <c r="J2456" s="23"/>
      <c r="K2456" s="30"/>
      <c r="L2456" s="23"/>
      <c r="M2456" s="20"/>
      <c r="N2456" s="20"/>
      <c r="O2456" s="20"/>
      <c r="P2456" s="20"/>
    </row>
    <row r="2457">
      <c r="A2457" s="10"/>
      <c r="B2457" s="11"/>
      <c r="C2457" s="10"/>
      <c r="D2457" s="13"/>
      <c r="E2457" s="14"/>
      <c r="F2457" s="14"/>
      <c r="G2457" s="14"/>
      <c r="H2457" s="10"/>
      <c r="I2457" s="17"/>
      <c r="J2457" s="10"/>
      <c r="K2457" s="46"/>
      <c r="L2457" s="10"/>
      <c r="M2457" s="20"/>
      <c r="N2457" s="20"/>
      <c r="O2457" s="20"/>
      <c r="P2457" s="20"/>
    </row>
    <row r="2458">
      <c r="A2458" s="23"/>
      <c r="B2458" s="21"/>
      <c r="C2458" s="23"/>
      <c r="D2458" s="24"/>
      <c r="E2458" s="14"/>
      <c r="F2458" s="14"/>
      <c r="G2458" s="14"/>
      <c r="H2458" s="23"/>
      <c r="I2458" s="27"/>
      <c r="J2458" s="23"/>
      <c r="K2458" s="30"/>
      <c r="L2458" s="23"/>
      <c r="M2458" s="20"/>
      <c r="N2458" s="20"/>
      <c r="O2458" s="20"/>
      <c r="P2458" s="20"/>
    </row>
    <row r="2459">
      <c r="A2459" s="10"/>
      <c r="B2459" s="11"/>
      <c r="C2459" s="10"/>
      <c r="D2459" s="13"/>
      <c r="E2459" s="14"/>
      <c r="F2459" s="14"/>
      <c r="G2459" s="14"/>
      <c r="H2459" s="10"/>
      <c r="I2459" s="17"/>
      <c r="J2459" s="10"/>
      <c r="K2459" s="46"/>
      <c r="L2459" s="10"/>
      <c r="M2459" s="20"/>
      <c r="N2459" s="20"/>
      <c r="O2459" s="20"/>
      <c r="P2459" s="20"/>
    </row>
    <row r="2460">
      <c r="A2460" s="23"/>
      <c r="B2460" s="21"/>
      <c r="C2460" s="23"/>
      <c r="D2460" s="24"/>
      <c r="E2460" s="14"/>
      <c r="F2460" s="14"/>
      <c r="G2460" s="14"/>
      <c r="H2460" s="23"/>
      <c r="I2460" s="27"/>
      <c r="J2460" s="23"/>
      <c r="K2460" s="30"/>
      <c r="L2460" s="23"/>
      <c r="M2460" s="20"/>
      <c r="N2460" s="20"/>
      <c r="O2460" s="20"/>
      <c r="P2460" s="20"/>
    </row>
    <row r="2461">
      <c r="A2461" s="10"/>
      <c r="B2461" s="11"/>
      <c r="C2461" s="10"/>
      <c r="D2461" s="13"/>
      <c r="E2461" s="14"/>
      <c r="F2461" s="14"/>
      <c r="G2461" s="14"/>
      <c r="H2461" s="10"/>
      <c r="I2461" s="17"/>
      <c r="J2461" s="10"/>
      <c r="K2461" s="46"/>
      <c r="L2461" s="10"/>
      <c r="M2461" s="20"/>
      <c r="N2461" s="20"/>
      <c r="O2461" s="20"/>
      <c r="P2461" s="20"/>
    </row>
    <row r="2462">
      <c r="A2462" s="23"/>
      <c r="B2462" s="21"/>
      <c r="C2462" s="23"/>
      <c r="D2462" s="24"/>
      <c r="E2462" s="14"/>
      <c r="F2462" s="14"/>
      <c r="G2462" s="14"/>
      <c r="H2462" s="23"/>
      <c r="I2462" s="27"/>
      <c r="J2462" s="23"/>
      <c r="K2462" s="30"/>
      <c r="L2462" s="23"/>
      <c r="M2462" s="20"/>
      <c r="N2462" s="20"/>
      <c r="O2462" s="20"/>
      <c r="P2462" s="20"/>
    </row>
    <row r="2463">
      <c r="A2463" s="10"/>
      <c r="B2463" s="11"/>
      <c r="C2463" s="10"/>
      <c r="D2463" s="13"/>
      <c r="E2463" s="14"/>
      <c r="F2463" s="14"/>
      <c r="G2463" s="14"/>
      <c r="H2463" s="10"/>
      <c r="I2463" s="17"/>
      <c r="J2463" s="10"/>
      <c r="K2463" s="46"/>
      <c r="L2463" s="10"/>
      <c r="M2463" s="20"/>
      <c r="N2463" s="20"/>
      <c r="O2463" s="20"/>
      <c r="P2463" s="20"/>
    </row>
    <row r="2464">
      <c r="A2464" s="23"/>
      <c r="B2464" s="21"/>
      <c r="C2464" s="23"/>
      <c r="D2464" s="24"/>
      <c r="E2464" s="14"/>
      <c r="F2464" s="14"/>
      <c r="G2464" s="14"/>
      <c r="H2464" s="23"/>
      <c r="I2464" s="27"/>
      <c r="J2464" s="23"/>
      <c r="K2464" s="30"/>
      <c r="L2464" s="23"/>
      <c r="M2464" s="20"/>
      <c r="N2464" s="20"/>
      <c r="O2464" s="20"/>
      <c r="P2464" s="20"/>
    </row>
    <row r="2465">
      <c r="A2465" s="10"/>
      <c r="B2465" s="11"/>
      <c r="C2465" s="10"/>
      <c r="D2465" s="13"/>
      <c r="E2465" s="14"/>
      <c r="F2465" s="14"/>
      <c r="G2465" s="14"/>
      <c r="H2465" s="10"/>
      <c r="I2465" s="17"/>
      <c r="J2465" s="10"/>
      <c r="K2465" s="46"/>
      <c r="L2465" s="10"/>
      <c r="M2465" s="20"/>
      <c r="N2465" s="20"/>
      <c r="O2465" s="20"/>
      <c r="P2465" s="20"/>
    </row>
    <row r="2466">
      <c r="A2466" s="23"/>
      <c r="B2466" s="21"/>
      <c r="C2466" s="23"/>
      <c r="D2466" s="24"/>
      <c r="E2466" s="14"/>
      <c r="F2466" s="14"/>
      <c r="G2466" s="14"/>
      <c r="H2466" s="23"/>
      <c r="I2466" s="27"/>
      <c r="J2466" s="23"/>
      <c r="K2466" s="30"/>
      <c r="L2466" s="23"/>
      <c r="M2466" s="20"/>
      <c r="N2466" s="20"/>
      <c r="O2466" s="20"/>
      <c r="P2466" s="20"/>
    </row>
    <row r="2467">
      <c r="A2467" s="10"/>
      <c r="B2467" s="11"/>
      <c r="C2467" s="10"/>
      <c r="D2467" s="13"/>
      <c r="E2467" s="14"/>
      <c r="F2467" s="14"/>
      <c r="G2467" s="14"/>
      <c r="H2467" s="10"/>
      <c r="I2467" s="17"/>
      <c r="J2467" s="10"/>
      <c r="K2467" s="46"/>
      <c r="L2467" s="10"/>
      <c r="M2467" s="20"/>
      <c r="N2467" s="20"/>
      <c r="O2467" s="20"/>
      <c r="P2467" s="20"/>
    </row>
    <row r="2468">
      <c r="A2468" s="23"/>
      <c r="B2468" s="21"/>
      <c r="C2468" s="23"/>
      <c r="D2468" s="24"/>
      <c r="E2468" s="14"/>
      <c r="F2468" s="14"/>
      <c r="G2468" s="14"/>
      <c r="H2468" s="23"/>
      <c r="I2468" s="27"/>
      <c r="J2468" s="23"/>
      <c r="K2468" s="30"/>
      <c r="L2468" s="23"/>
      <c r="M2468" s="20"/>
      <c r="N2468" s="20"/>
      <c r="O2468" s="20"/>
      <c r="P2468" s="20"/>
    </row>
    <row r="2469">
      <c r="A2469" s="10"/>
      <c r="B2469" s="11"/>
      <c r="C2469" s="10"/>
      <c r="D2469" s="13"/>
      <c r="E2469" s="14"/>
      <c r="F2469" s="14"/>
      <c r="G2469" s="14"/>
      <c r="H2469" s="10"/>
      <c r="I2469" s="17"/>
      <c r="J2469" s="10"/>
      <c r="K2469" s="46"/>
      <c r="L2469" s="10"/>
      <c r="M2469" s="20"/>
      <c r="N2469" s="20"/>
      <c r="O2469" s="20"/>
      <c r="P2469" s="20"/>
    </row>
    <row r="2470">
      <c r="A2470" s="23"/>
      <c r="B2470" s="21"/>
      <c r="C2470" s="23"/>
      <c r="D2470" s="24"/>
      <c r="E2470" s="14"/>
      <c r="F2470" s="14"/>
      <c r="G2470" s="14"/>
      <c r="H2470" s="23"/>
      <c r="I2470" s="27"/>
      <c r="J2470" s="23"/>
      <c r="K2470" s="30"/>
      <c r="L2470" s="23"/>
      <c r="M2470" s="20"/>
      <c r="N2470" s="20"/>
      <c r="O2470" s="20"/>
      <c r="P2470" s="20"/>
    </row>
    <row r="2471">
      <c r="A2471" s="10"/>
      <c r="B2471" s="11"/>
      <c r="C2471" s="10"/>
      <c r="D2471" s="13"/>
      <c r="E2471" s="14"/>
      <c r="F2471" s="14"/>
      <c r="G2471" s="14"/>
      <c r="H2471" s="10"/>
      <c r="I2471" s="17"/>
      <c r="J2471" s="10"/>
      <c r="K2471" s="46"/>
      <c r="L2471" s="10"/>
      <c r="M2471" s="20"/>
      <c r="N2471" s="20"/>
      <c r="O2471" s="20"/>
      <c r="P2471" s="20"/>
    </row>
    <row r="2472">
      <c r="A2472" s="23"/>
      <c r="B2472" s="21"/>
      <c r="C2472" s="23"/>
      <c r="D2472" s="24"/>
      <c r="E2472" s="14"/>
      <c r="F2472" s="14"/>
      <c r="G2472" s="14"/>
      <c r="H2472" s="23"/>
      <c r="I2472" s="27"/>
      <c r="J2472" s="23"/>
      <c r="K2472" s="30"/>
      <c r="L2472" s="23"/>
      <c r="M2472" s="20"/>
      <c r="N2472" s="20"/>
      <c r="O2472" s="20"/>
      <c r="P2472" s="20"/>
    </row>
    <row r="2473">
      <c r="A2473" s="10"/>
      <c r="B2473" s="11"/>
      <c r="C2473" s="10"/>
      <c r="D2473" s="13"/>
      <c r="E2473" s="14"/>
      <c r="F2473" s="14"/>
      <c r="G2473" s="14"/>
      <c r="H2473" s="10"/>
      <c r="I2473" s="17"/>
      <c r="J2473" s="10"/>
      <c r="K2473" s="46"/>
      <c r="L2473" s="10"/>
      <c r="M2473" s="20"/>
      <c r="N2473" s="20"/>
      <c r="O2473" s="20"/>
      <c r="P2473" s="20"/>
    </row>
    <row r="2474">
      <c r="A2474" s="23"/>
      <c r="B2474" s="21"/>
      <c r="C2474" s="23"/>
      <c r="D2474" s="24"/>
      <c r="E2474" s="14"/>
      <c r="F2474" s="14"/>
      <c r="G2474" s="14"/>
      <c r="H2474" s="23"/>
      <c r="I2474" s="27"/>
      <c r="J2474" s="23"/>
      <c r="K2474" s="30"/>
      <c r="L2474" s="23"/>
      <c r="M2474" s="20"/>
      <c r="N2474" s="20"/>
      <c r="O2474" s="20"/>
      <c r="P2474" s="20"/>
    </row>
    <row r="2475">
      <c r="A2475" s="10"/>
      <c r="B2475" s="11"/>
      <c r="C2475" s="10"/>
      <c r="D2475" s="13"/>
      <c r="E2475" s="14"/>
      <c r="F2475" s="14"/>
      <c r="G2475" s="14"/>
      <c r="H2475" s="10"/>
      <c r="I2475" s="17"/>
      <c r="J2475" s="10"/>
      <c r="K2475" s="46"/>
      <c r="L2475" s="10"/>
      <c r="M2475" s="20"/>
      <c r="N2475" s="20"/>
      <c r="O2475" s="20"/>
      <c r="P2475" s="20"/>
    </row>
    <row r="2476">
      <c r="A2476" s="23"/>
      <c r="B2476" s="21"/>
      <c r="C2476" s="23"/>
      <c r="D2476" s="24"/>
      <c r="E2476" s="14"/>
      <c r="F2476" s="14"/>
      <c r="G2476" s="14"/>
      <c r="H2476" s="23"/>
      <c r="I2476" s="27"/>
      <c r="J2476" s="23"/>
      <c r="K2476" s="30"/>
      <c r="L2476" s="23"/>
      <c r="M2476" s="20"/>
      <c r="N2476" s="20"/>
      <c r="O2476" s="20"/>
      <c r="P2476" s="20"/>
    </row>
    <row r="2477">
      <c r="A2477" s="10"/>
      <c r="B2477" s="11"/>
      <c r="C2477" s="10"/>
      <c r="D2477" s="13"/>
      <c r="E2477" s="14"/>
      <c r="F2477" s="14"/>
      <c r="G2477" s="14"/>
      <c r="H2477" s="10"/>
      <c r="I2477" s="17"/>
      <c r="J2477" s="10"/>
      <c r="K2477" s="46"/>
      <c r="L2477" s="10"/>
      <c r="M2477" s="20"/>
      <c r="N2477" s="20"/>
      <c r="O2477" s="20"/>
      <c r="P2477" s="20"/>
    </row>
    <row r="2478">
      <c r="A2478" s="23"/>
      <c r="B2478" s="21"/>
      <c r="C2478" s="23"/>
      <c r="D2478" s="24"/>
      <c r="E2478" s="14"/>
      <c r="F2478" s="14"/>
      <c r="G2478" s="14"/>
      <c r="H2478" s="23"/>
      <c r="I2478" s="27"/>
      <c r="J2478" s="23"/>
      <c r="K2478" s="30"/>
      <c r="L2478" s="23"/>
      <c r="M2478" s="20"/>
      <c r="N2478" s="20"/>
      <c r="O2478" s="20"/>
      <c r="P2478" s="20"/>
    </row>
    <row r="2479">
      <c r="A2479" s="10"/>
      <c r="B2479" s="11"/>
      <c r="C2479" s="10"/>
      <c r="D2479" s="13"/>
      <c r="E2479" s="14"/>
      <c r="F2479" s="14"/>
      <c r="G2479" s="14"/>
      <c r="H2479" s="10"/>
      <c r="I2479" s="17"/>
      <c r="J2479" s="10"/>
      <c r="K2479" s="46"/>
      <c r="L2479" s="10"/>
      <c r="M2479" s="20"/>
      <c r="N2479" s="20"/>
      <c r="O2479" s="20"/>
      <c r="P2479" s="20"/>
    </row>
    <row r="2480">
      <c r="A2480" s="23"/>
      <c r="B2480" s="21"/>
      <c r="C2480" s="23"/>
      <c r="D2480" s="24"/>
      <c r="E2480" s="14"/>
      <c r="F2480" s="14"/>
      <c r="G2480" s="14"/>
      <c r="H2480" s="23"/>
      <c r="I2480" s="27"/>
      <c r="J2480" s="23"/>
      <c r="K2480" s="30"/>
      <c r="L2480" s="23"/>
      <c r="M2480" s="20"/>
      <c r="N2480" s="20"/>
      <c r="O2480" s="20"/>
      <c r="P2480" s="20"/>
    </row>
    <row r="2481">
      <c r="A2481" s="10"/>
      <c r="B2481" s="11"/>
      <c r="C2481" s="10"/>
      <c r="D2481" s="13"/>
      <c r="E2481" s="14"/>
      <c r="F2481" s="14"/>
      <c r="G2481" s="14"/>
      <c r="H2481" s="10"/>
      <c r="I2481" s="17"/>
      <c r="J2481" s="10"/>
      <c r="K2481" s="46"/>
      <c r="L2481" s="10"/>
      <c r="M2481" s="20"/>
      <c r="N2481" s="20"/>
      <c r="O2481" s="20"/>
      <c r="P2481" s="20"/>
    </row>
    <row r="2482">
      <c r="A2482" s="23"/>
      <c r="B2482" s="21"/>
      <c r="C2482" s="23"/>
      <c r="D2482" s="24"/>
      <c r="E2482" s="14"/>
      <c r="F2482" s="14"/>
      <c r="G2482" s="14"/>
      <c r="H2482" s="23"/>
      <c r="I2482" s="27"/>
      <c r="J2482" s="23"/>
      <c r="K2482" s="30"/>
      <c r="L2482" s="23"/>
      <c r="M2482" s="20"/>
      <c r="N2482" s="20"/>
      <c r="O2482" s="20"/>
      <c r="P2482" s="20"/>
    </row>
    <row r="2483">
      <c r="A2483" s="10"/>
      <c r="B2483" s="11"/>
      <c r="C2483" s="10"/>
      <c r="D2483" s="13"/>
      <c r="E2483" s="14"/>
      <c r="F2483" s="14"/>
      <c r="G2483" s="14"/>
      <c r="H2483" s="10"/>
      <c r="I2483" s="17"/>
      <c r="J2483" s="10"/>
      <c r="K2483" s="46"/>
      <c r="L2483" s="10"/>
      <c r="M2483" s="20"/>
      <c r="N2483" s="20"/>
      <c r="O2483" s="20"/>
      <c r="P2483" s="20"/>
    </row>
    <row r="2484">
      <c r="A2484" s="23"/>
      <c r="B2484" s="21"/>
      <c r="C2484" s="23"/>
      <c r="D2484" s="24"/>
      <c r="E2484" s="14"/>
      <c r="F2484" s="14"/>
      <c r="G2484" s="14"/>
      <c r="H2484" s="23"/>
      <c r="I2484" s="27"/>
      <c r="J2484" s="23"/>
      <c r="K2484" s="30"/>
      <c r="L2484" s="23"/>
      <c r="M2484" s="20"/>
      <c r="N2484" s="20"/>
      <c r="O2484" s="20"/>
      <c r="P2484" s="20"/>
    </row>
    <row r="2485">
      <c r="A2485" s="10"/>
      <c r="B2485" s="11"/>
      <c r="C2485" s="10"/>
      <c r="D2485" s="13"/>
      <c r="E2485" s="14"/>
      <c r="F2485" s="14"/>
      <c r="G2485" s="14"/>
      <c r="H2485" s="10"/>
      <c r="I2485" s="17"/>
      <c r="J2485" s="10"/>
      <c r="K2485" s="46"/>
      <c r="L2485" s="10"/>
      <c r="M2485" s="20"/>
      <c r="N2485" s="20"/>
      <c r="O2485" s="20"/>
      <c r="P2485" s="20"/>
    </row>
    <row r="2486">
      <c r="A2486" s="23"/>
      <c r="B2486" s="21"/>
      <c r="C2486" s="23"/>
      <c r="D2486" s="24"/>
      <c r="E2486" s="14"/>
      <c r="F2486" s="14"/>
      <c r="G2486" s="14"/>
      <c r="H2486" s="23"/>
      <c r="I2486" s="27"/>
      <c r="J2486" s="23"/>
      <c r="K2486" s="30"/>
      <c r="L2486" s="23"/>
      <c r="M2486" s="20"/>
      <c r="N2486" s="20"/>
      <c r="O2486" s="20"/>
      <c r="P2486" s="20"/>
    </row>
    <row r="2487">
      <c r="A2487" s="10"/>
      <c r="B2487" s="11"/>
      <c r="C2487" s="10"/>
      <c r="D2487" s="13"/>
      <c r="E2487" s="14"/>
      <c r="F2487" s="14"/>
      <c r="G2487" s="14"/>
      <c r="H2487" s="10"/>
      <c r="I2487" s="17"/>
      <c r="J2487" s="10"/>
      <c r="K2487" s="46"/>
      <c r="L2487" s="10"/>
      <c r="M2487" s="20"/>
      <c r="N2487" s="20"/>
      <c r="O2487" s="20"/>
      <c r="P2487" s="20"/>
    </row>
    <row r="2488">
      <c r="A2488" s="23"/>
      <c r="B2488" s="21"/>
      <c r="C2488" s="23"/>
      <c r="D2488" s="24"/>
      <c r="E2488" s="14"/>
      <c r="F2488" s="14"/>
      <c r="G2488" s="14"/>
      <c r="H2488" s="23"/>
      <c r="I2488" s="27"/>
      <c r="J2488" s="23"/>
      <c r="K2488" s="30"/>
      <c r="L2488" s="23"/>
      <c r="M2488" s="20"/>
      <c r="N2488" s="20"/>
      <c r="O2488" s="20"/>
      <c r="P2488" s="20"/>
    </row>
    <row r="2489">
      <c r="A2489" s="10"/>
      <c r="B2489" s="11"/>
      <c r="C2489" s="10"/>
      <c r="D2489" s="13"/>
      <c r="E2489" s="14"/>
      <c r="F2489" s="14"/>
      <c r="G2489" s="14"/>
      <c r="H2489" s="10"/>
      <c r="I2489" s="17"/>
      <c r="J2489" s="10"/>
      <c r="K2489" s="46"/>
      <c r="L2489" s="10"/>
      <c r="M2489" s="20"/>
      <c r="N2489" s="20"/>
      <c r="O2489" s="20"/>
      <c r="P2489" s="20"/>
    </row>
    <row r="2490">
      <c r="A2490" s="23"/>
      <c r="B2490" s="21"/>
      <c r="C2490" s="23"/>
      <c r="D2490" s="24"/>
      <c r="E2490" s="14"/>
      <c r="F2490" s="14"/>
      <c r="G2490" s="14"/>
      <c r="H2490" s="23"/>
      <c r="I2490" s="27"/>
      <c r="J2490" s="23"/>
      <c r="K2490" s="30"/>
      <c r="L2490" s="23"/>
      <c r="M2490" s="20"/>
      <c r="N2490" s="20"/>
      <c r="O2490" s="20"/>
      <c r="P2490" s="20"/>
    </row>
    <row r="2491">
      <c r="A2491" s="10"/>
      <c r="B2491" s="11"/>
      <c r="C2491" s="10"/>
      <c r="D2491" s="13"/>
      <c r="E2491" s="14"/>
      <c r="F2491" s="14"/>
      <c r="G2491" s="14"/>
      <c r="H2491" s="10"/>
      <c r="I2491" s="17"/>
      <c r="J2491" s="10"/>
      <c r="K2491" s="46"/>
      <c r="L2491" s="10"/>
      <c r="M2491" s="20"/>
      <c r="N2491" s="20"/>
      <c r="O2491" s="20"/>
      <c r="P2491" s="20"/>
    </row>
    <row r="2492">
      <c r="A2492" s="23"/>
      <c r="B2492" s="21"/>
      <c r="C2492" s="23"/>
      <c r="D2492" s="24"/>
      <c r="E2492" s="14"/>
      <c r="F2492" s="14"/>
      <c r="G2492" s="14"/>
      <c r="H2492" s="23"/>
      <c r="I2492" s="27"/>
      <c r="J2492" s="23"/>
      <c r="K2492" s="30"/>
      <c r="L2492" s="23"/>
      <c r="M2492" s="20"/>
      <c r="N2492" s="20"/>
      <c r="O2492" s="20"/>
      <c r="P2492" s="20"/>
    </row>
    <row r="2493">
      <c r="A2493" s="10"/>
      <c r="B2493" s="11"/>
      <c r="C2493" s="10"/>
      <c r="D2493" s="13"/>
      <c r="E2493" s="14"/>
      <c r="F2493" s="14"/>
      <c r="G2493" s="14"/>
      <c r="H2493" s="10"/>
      <c r="I2493" s="17"/>
      <c r="J2493" s="10"/>
      <c r="K2493" s="46"/>
      <c r="L2493" s="10"/>
      <c r="M2493" s="20"/>
      <c r="N2493" s="20"/>
      <c r="O2493" s="20"/>
      <c r="P2493" s="20"/>
    </row>
    <row r="2494">
      <c r="A2494" s="23"/>
      <c r="B2494" s="21"/>
      <c r="C2494" s="23"/>
      <c r="D2494" s="24"/>
      <c r="E2494" s="14"/>
      <c r="F2494" s="14"/>
      <c r="G2494" s="14"/>
      <c r="H2494" s="23"/>
      <c r="I2494" s="27"/>
      <c r="J2494" s="23"/>
      <c r="K2494" s="30"/>
      <c r="L2494" s="23"/>
      <c r="M2494" s="20"/>
      <c r="N2494" s="20"/>
      <c r="O2494" s="20"/>
      <c r="P2494" s="20"/>
    </row>
    <row r="2495">
      <c r="A2495" s="10"/>
      <c r="B2495" s="11"/>
      <c r="C2495" s="10"/>
      <c r="D2495" s="13"/>
      <c r="E2495" s="14"/>
      <c r="F2495" s="14"/>
      <c r="G2495" s="14"/>
      <c r="H2495" s="10"/>
      <c r="I2495" s="17"/>
      <c r="J2495" s="10"/>
      <c r="K2495" s="46"/>
      <c r="L2495" s="10"/>
      <c r="M2495" s="20"/>
      <c r="N2495" s="20"/>
      <c r="O2495" s="20"/>
      <c r="P2495" s="20"/>
    </row>
    <row r="2496">
      <c r="A2496" s="23"/>
      <c r="B2496" s="21"/>
      <c r="C2496" s="23"/>
      <c r="D2496" s="24"/>
      <c r="E2496" s="14"/>
      <c r="F2496" s="14"/>
      <c r="G2496" s="14"/>
      <c r="H2496" s="23"/>
      <c r="I2496" s="27"/>
      <c r="J2496" s="23"/>
      <c r="K2496" s="30"/>
      <c r="L2496" s="23"/>
      <c r="M2496" s="20"/>
      <c r="N2496" s="20"/>
      <c r="O2496" s="20"/>
      <c r="P2496" s="20"/>
    </row>
    <row r="2497">
      <c r="A2497" s="10"/>
      <c r="B2497" s="11"/>
      <c r="C2497" s="10"/>
      <c r="D2497" s="13"/>
      <c r="E2497" s="14"/>
      <c r="F2497" s="14"/>
      <c r="G2497" s="14"/>
      <c r="H2497" s="10"/>
      <c r="I2497" s="17"/>
      <c r="J2497" s="10"/>
      <c r="K2497" s="46"/>
      <c r="L2497" s="10"/>
      <c r="M2497" s="20"/>
      <c r="N2497" s="20"/>
      <c r="O2497" s="20"/>
      <c r="P2497" s="20"/>
    </row>
    <row r="2498">
      <c r="A2498" s="23"/>
      <c r="B2498" s="21"/>
      <c r="C2498" s="23"/>
      <c r="D2498" s="24"/>
      <c r="E2498" s="14"/>
      <c r="F2498" s="14"/>
      <c r="G2498" s="14"/>
      <c r="H2498" s="23"/>
      <c r="I2498" s="27"/>
      <c r="J2498" s="23"/>
      <c r="K2498" s="30"/>
      <c r="L2498" s="23"/>
      <c r="M2498" s="20"/>
      <c r="N2498" s="20"/>
      <c r="O2498" s="20"/>
      <c r="P2498" s="20"/>
    </row>
    <row r="2499">
      <c r="A2499" s="10"/>
      <c r="B2499" s="11"/>
      <c r="C2499" s="10"/>
      <c r="D2499" s="13"/>
      <c r="E2499" s="14"/>
      <c r="F2499" s="14"/>
      <c r="G2499" s="14"/>
      <c r="H2499" s="10"/>
      <c r="I2499" s="17"/>
      <c r="J2499" s="10"/>
      <c r="K2499" s="46"/>
      <c r="L2499" s="10"/>
      <c r="M2499" s="20"/>
      <c r="N2499" s="20"/>
      <c r="O2499" s="20"/>
      <c r="P2499" s="20"/>
    </row>
    <row r="2500">
      <c r="A2500" s="23"/>
      <c r="B2500" s="21"/>
      <c r="C2500" s="23"/>
      <c r="D2500" s="24"/>
      <c r="E2500" s="14"/>
      <c r="F2500" s="14"/>
      <c r="G2500" s="14"/>
      <c r="H2500" s="23"/>
      <c r="I2500" s="27"/>
      <c r="J2500" s="23"/>
      <c r="K2500" s="30"/>
      <c r="L2500" s="23"/>
      <c r="M2500" s="20"/>
      <c r="N2500" s="20"/>
      <c r="O2500" s="20"/>
      <c r="P2500" s="20"/>
    </row>
    <row r="2501">
      <c r="A2501" s="10"/>
      <c r="B2501" s="11"/>
      <c r="C2501" s="10"/>
      <c r="D2501" s="13"/>
      <c r="E2501" s="14"/>
      <c r="F2501" s="14"/>
      <c r="G2501" s="14"/>
      <c r="H2501" s="10"/>
      <c r="I2501" s="17"/>
      <c r="J2501" s="10"/>
      <c r="K2501" s="46"/>
      <c r="L2501" s="10"/>
      <c r="M2501" s="20"/>
      <c r="N2501" s="20"/>
      <c r="O2501" s="20"/>
      <c r="P2501" s="20"/>
    </row>
    <row r="2502">
      <c r="A2502" s="23"/>
      <c r="B2502" s="21"/>
      <c r="C2502" s="23"/>
      <c r="D2502" s="24"/>
      <c r="E2502" s="14"/>
      <c r="F2502" s="14"/>
      <c r="G2502" s="14"/>
      <c r="H2502" s="23"/>
      <c r="I2502" s="27"/>
      <c r="J2502" s="23"/>
      <c r="K2502" s="30"/>
      <c r="L2502" s="23"/>
      <c r="M2502" s="20"/>
      <c r="N2502" s="20"/>
      <c r="O2502" s="20"/>
      <c r="P2502" s="20"/>
    </row>
    <row r="2503">
      <c r="A2503" s="10"/>
      <c r="B2503" s="11"/>
      <c r="C2503" s="10"/>
      <c r="D2503" s="13"/>
      <c r="E2503" s="14"/>
      <c r="F2503" s="14"/>
      <c r="G2503" s="14"/>
      <c r="H2503" s="10"/>
      <c r="I2503" s="17"/>
      <c r="J2503" s="10"/>
      <c r="K2503" s="46"/>
      <c r="L2503" s="10"/>
      <c r="M2503" s="20"/>
      <c r="N2503" s="20"/>
      <c r="O2503" s="20"/>
      <c r="P2503" s="20"/>
    </row>
    <row r="2504">
      <c r="A2504" s="23"/>
      <c r="B2504" s="21"/>
      <c r="C2504" s="23"/>
      <c r="D2504" s="24"/>
      <c r="E2504" s="14"/>
      <c r="F2504" s="14"/>
      <c r="G2504" s="14"/>
      <c r="H2504" s="23"/>
      <c r="I2504" s="27"/>
      <c r="J2504" s="23"/>
      <c r="K2504" s="30"/>
      <c r="L2504" s="23"/>
      <c r="M2504" s="20"/>
      <c r="N2504" s="20"/>
      <c r="O2504" s="20"/>
      <c r="P2504" s="20"/>
    </row>
    <row r="2505">
      <c r="A2505" s="10"/>
      <c r="B2505" s="11"/>
      <c r="C2505" s="10"/>
      <c r="D2505" s="13"/>
      <c r="E2505" s="14"/>
      <c r="F2505" s="14"/>
      <c r="G2505" s="14"/>
      <c r="H2505" s="10"/>
      <c r="I2505" s="17"/>
      <c r="J2505" s="10"/>
      <c r="K2505" s="46"/>
      <c r="L2505" s="10"/>
      <c r="M2505" s="20"/>
      <c r="N2505" s="20"/>
      <c r="O2505" s="20"/>
      <c r="P2505" s="20"/>
    </row>
    <row r="2506">
      <c r="A2506" s="23"/>
      <c r="B2506" s="21"/>
      <c r="C2506" s="23"/>
      <c r="D2506" s="24"/>
      <c r="E2506" s="14"/>
      <c r="F2506" s="14"/>
      <c r="G2506" s="14"/>
      <c r="H2506" s="23"/>
      <c r="I2506" s="27"/>
      <c r="J2506" s="23"/>
      <c r="K2506" s="30"/>
      <c r="L2506" s="23"/>
      <c r="M2506" s="20"/>
      <c r="N2506" s="20"/>
      <c r="O2506" s="20"/>
      <c r="P2506" s="20"/>
    </row>
    <row r="2507">
      <c r="A2507" s="10"/>
      <c r="B2507" s="11"/>
      <c r="C2507" s="10"/>
      <c r="D2507" s="13"/>
      <c r="E2507" s="14"/>
      <c r="F2507" s="14"/>
      <c r="G2507" s="14"/>
      <c r="H2507" s="10"/>
      <c r="I2507" s="17"/>
      <c r="J2507" s="10"/>
      <c r="K2507" s="46"/>
      <c r="L2507" s="10"/>
      <c r="M2507" s="20"/>
      <c r="N2507" s="20"/>
      <c r="O2507" s="20"/>
      <c r="P2507" s="20"/>
    </row>
    <row r="2508">
      <c r="A2508" s="23"/>
      <c r="B2508" s="21"/>
      <c r="C2508" s="23"/>
      <c r="D2508" s="24"/>
      <c r="E2508" s="14"/>
      <c r="F2508" s="14"/>
      <c r="G2508" s="14"/>
      <c r="H2508" s="23"/>
      <c r="I2508" s="27"/>
      <c r="J2508" s="23"/>
      <c r="K2508" s="30"/>
      <c r="L2508" s="23"/>
      <c r="M2508" s="20"/>
      <c r="N2508" s="20"/>
      <c r="O2508" s="20"/>
      <c r="P2508" s="20"/>
    </row>
    <row r="2509">
      <c r="A2509" s="10"/>
      <c r="B2509" s="11"/>
      <c r="C2509" s="10"/>
      <c r="D2509" s="13"/>
      <c r="E2509" s="14"/>
      <c r="F2509" s="14"/>
      <c r="G2509" s="14"/>
      <c r="H2509" s="10"/>
      <c r="I2509" s="17"/>
      <c r="J2509" s="10"/>
      <c r="K2509" s="46"/>
      <c r="L2509" s="10"/>
      <c r="M2509" s="20"/>
      <c r="N2509" s="20"/>
      <c r="O2509" s="20"/>
      <c r="P2509" s="20"/>
    </row>
    <row r="2510">
      <c r="A2510" s="23"/>
      <c r="B2510" s="21"/>
      <c r="C2510" s="23"/>
      <c r="D2510" s="24"/>
      <c r="E2510" s="14"/>
      <c r="F2510" s="14"/>
      <c r="G2510" s="14"/>
      <c r="H2510" s="23"/>
      <c r="I2510" s="27"/>
      <c r="J2510" s="23"/>
      <c r="K2510" s="30"/>
      <c r="L2510" s="23"/>
      <c r="M2510" s="20"/>
      <c r="N2510" s="20"/>
      <c r="O2510" s="20"/>
      <c r="P2510" s="20"/>
    </row>
    <row r="2511">
      <c r="A2511" s="10"/>
      <c r="B2511" s="11"/>
      <c r="C2511" s="10"/>
      <c r="D2511" s="13"/>
      <c r="E2511" s="14"/>
      <c r="F2511" s="14"/>
      <c r="G2511" s="14"/>
      <c r="H2511" s="10"/>
      <c r="I2511" s="17"/>
      <c r="J2511" s="10"/>
      <c r="K2511" s="46"/>
      <c r="L2511" s="10"/>
      <c r="M2511" s="20"/>
      <c r="N2511" s="20"/>
      <c r="O2511" s="20"/>
      <c r="P2511" s="20"/>
    </row>
    <row r="2512">
      <c r="A2512" s="23"/>
      <c r="B2512" s="21"/>
      <c r="C2512" s="23"/>
      <c r="D2512" s="24"/>
      <c r="E2512" s="14"/>
      <c r="F2512" s="14"/>
      <c r="G2512" s="14"/>
      <c r="H2512" s="23"/>
      <c r="I2512" s="27"/>
      <c r="J2512" s="23"/>
      <c r="K2512" s="30"/>
      <c r="L2512" s="23"/>
      <c r="M2512" s="20"/>
      <c r="N2512" s="20"/>
      <c r="O2512" s="20"/>
      <c r="P2512" s="20"/>
    </row>
    <row r="2513">
      <c r="A2513" s="10"/>
      <c r="B2513" s="11"/>
      <c r="C2513" s="10"/>
      <c r="D2513" s="13"/>
      <c r="E2513" s="14"/>
      <c r="F2513" s="14"/>
      <c r="G2513" s="14"/>
      <c r="H2513" s="10"/>
      <c r="I2513" s="17"/>
      <c r="J2513" s="10"/>
      <c r="K2513" s="46"/>
      <c r="L2513" s="10"/>
      <c r="M2513" s="20"/>
      <c r="N2513" s="20"/>
      <c r="O2513" s="20"/>
      <c r="P2513" s="20"/>
    </row>
    <row r="2514">
      <c r="A2514" s="23"/>
      <c r="B2514" s="21"/>
      <c r="C2514" s="23"/>
      <c r="D2514" s="24"/>
      <c r="E2514" s="14"/>
      <c r="F2514" s="14"/>
      <c r="G2514" s="14"/>
      <c r="H2514" s="23"/>
      <c r="I2514" s="27"/>
      <c r="J2514" s="23"/>
      <c r="K2514" s="30"/>
      <c r="L2514" s="23"/>
      <c r="M2514" s="20"/>
      <c r="N2514" s="20"/>
      <c r="O2514" s="20"/>
      <c r="P2514" s="20"/>
    </row>
    <row r="2515">
      <c r="A2515" s="10"/>
      <c r="B2515" s="11"/>
      <c r="C2515" s="10"/>
      <c r="D2515" s="13"/>
      <c r="E2515" s="14"/>
      <c r="F2515" s="14"/>
      <c r="G2515" s="14"/>
      <c r="H2515" s="10"/>
      <c r="I2515" s="17"/>
      <c r="J2515" s="10"/>
      <c r="K2515" s="46"/>
      <c r="L2515" s="10"/>
      <c r="M2515" s="20"/>
      <c r="N2515" s="20"/>
      <c r="O2515" s="20"/>
      <c r="P2515" s="20"/>
    </row>
    <row r="2516">
      <c r="A2516" s="23"/>
      <c r="B2516" s="21"/>
      <c r="C2516" s="23"/>
      <c r="D2516" s="24"/>
      <c r="E2516" s="14"/>
      <c r="F2516" s="14"/>
      <c r="G2516" s="14"/>
      <c r="H2516" s="23"/>
      <c r="I2516" s="27"/>
      <c r="J2516" s="23"/>
      <c r="K2516" s="30"/>
      <c r="L2516" s="23"/>
      <c r="M2516" s="20"/>
      <c r="N2516" s="20"/>
      <c r="O2516" s="20"/>
      <c r="P2516" s="20"/>
    </row>
    <row r="2517">
      <c r="A2517" s="10"/>
      <c r="B2517" s="11"/>
      <c r="C2517" s="10"/>
      <c r="D2517" s="13"/>
      <c r="E2517" s="14"/>
      <c r="F2517" s="14"/>
      <c r="G2517" s="14"/>
      <c r="H2517" s="10"/>
      <c r="I2517" s="17"/>
      <c r="J2517" s="10"/>
      <c r="K2517" s="46"/>
      <c r="L2517" s="10"/>
      <c r="M2517" s="20"/>
      <c r="N2517" s="20"/>
      <c r="O2517" s="20"/>
      <c r="P2517" s="20"/>
    </row>
    <row r="2518">
      <c r="A2518" s="23"/>
      <c r="B2518" s="21"/>
      <c r="C2518" s="23"/>
      <c r="D2518" s="24"/>
      <c r="E2518" s="14"/>
      <c r="F2518" s="14"/>
      <c r="G2518" s="14"/>
      <c r="H2518" s="23"/>
      <c r="I2518" s="27"/>
      <c r="J2518" s="23"/>
      <c r="K2518" s="30"/>
      <c r="L2518" s="23"/>
      <c r="M2518" s="20"/>
      <c r="N2518" s="20"/>
      <c r="O2518" s="20"/>
      <c r="P2518" s="20"/>
    </row>
    <row r="2519">
      <c r="A2519" s="10"/>
      <c r="B2519" s="11"/>
      <c r="C2519" s="10"/>
      <c r="D2519" s="13"/>
      <c r="E2519" s="14"/>
      <c r="F2519" s="14"/>
      <c r="G2519" s="14"/>
      <c r="H2519" s="10"/>
      <c r="I2519" s="17"/>
      <c r="J2519" s="10"/>
      <c r="K2519" s="46"/>
      <c r="L2519" s="10"/>
      <c r="M2519" s="20"/>
      <c r="N2519" s="20"/>
      <c r="O2519" s="20"/>
      <c r="P2519" s="20"/>
    </row>
    <row r="2520">
      <c r="A2520" s="23"/>
      <c r="B2520" s="21"/>
      <c r="C2520" s="23"/>
      <c r="D2520" s="24"/>
      <c r="E2520" s="14"/>
      <c r="F2520" s="14"/>
      <c r="G2520" s="14"/>
      <c r="H2520" s="23"/>
      <c r="I2520" s="27"/>
      <c r="J2520" s="23"/>
      <c r="K2520" s="30"/>
      <c r="L2520" s="23"/>
      <c r="M2520" s="20"/>
      <c r="N2520" s="20"/>
      <c r="O2520" s="20"/>
      <c r="P2520" s="20"/>
    </row>
    <row r="2521">
      <c r="A2521" s="10"/>
      <c r="B2521" s="11"/>
      <c r="C2521" s="10"/>
      <c r="D2521" s="13"/>
      <c r="E2521" s="14"/>
      <c r="F2521" s="14"/>
      <c r="G2521" s="14"/>
      <c r="H2521" s="10"/>
      <c r="I2521" s="17"/>
      <c r="J2521" s="10"/>
      <c r="K2521" s="46"/>
      <c r="L2521" s="10"/>
      <c r="M2521" s="20"/>
      <c r="N2521" s="20"/>
      <c r="O2521" s="20"/>
      <c r="P2521" s="20"/>
    </row>
    <row r="2522">
      <c r="A2522" s="23"/>
      <c r="B2522" s="21"/>
      <c r="C2522" s="23"/>
      <c r="D2522" s="24"/>
      <c r="E2522" s="14"/>
      <c r="F2522" s="14"/>
      <c r="G2522" s="14"/>
      <c r="H2522" s="23"/>
      <c r="I2522" s="27"/>
      <c r="J2522" s="23"/>
      <c r="K2522" s="30"/>
      <c r="L2522" s="23"/>
      <c r="M2522" s="20"/>
      <c r="N2522" s="20"/>
      <c r="O2522" s="20"/>
      <c r="P2522" s="20"/>
    </row>
    <row r="2523">
      <c r="A2523" s="10"/>
      <c r="B2523" s="11"/>
      <c r="C2523" s="10"/>
      <c r="D2523" s="13"/>
      <c r="E2523" s="14"/>
      <c r="F2523" s="14"/>
      <c r="G2523" s="14"/>
      <c r="H2523" s="10"/>
      <c r="I2523" s="17"/>
      <c r="J2523" s="10"/>
      <c r="K2523" s="46"/>
      <c r="L2523" s="10"/>
      <c r="M2523" s="20"/>
      <c r="N2523" s="20"/>
      <c r="O2523" s="20"/>
      <c r="P2523" s="20"/>
    </row>
    <row r="2524">
      <c r="A2524" s="23"/>
      <c r="B2524" s="21"/>
      <c r="C2524" s="23"/>
      <c r="D2524" s="24"/>
      <c r="E2524" s="14"/>
      <c r="F2524" s="14"/>
      <c r="G2524" s="14"/>
      <c r="H2524" s="23"/>
      <c r="I2524" s="27"/>
      <c r="J2524" s="23"/>
      <c r="K2524" s="30"/>
      <c r="L2524" s="23"/>
      <c r="M2524" s="20"/>
      <c r="N2524" s="20"/>
      <c r="O2524" s="20"/>
      <c r="P2524" s="20"/>
    </row>
    <row r="2525">
      <c r="A2525" s="10"/>
      <c r="B2525" s="11"/>
      <c r="C2525" s="10"/>
      <c r="D2525" s="13"/>
      <c r="E2525" s="14"/>
      <c r="F2525" s="14"/>
      <c r="G2525" s="14"/>
      <c r="H2525" s="10"/>
      <c r="I2525" s="17"/>
      <c r="J2525" s="10"/>
      <c r="K2525" s="46"/>
      <c r="L2525" s="10"/>
      <c r="M2525" s="20"/>
      <c r="N2525" s="20"/>
      <c r="O2525" s="20"/>
      <c r="P2525" s="20"/>
    </row>
    <row r="2526">
      <c r="A2526" s="23"/>
      <c r="B2526" s="21"/>
      <c r="C2526" s="23"/>
      <c r="D2526" s="24"/>
      <c r="E2526" s="14"/>
      <c r="F2526" s="14"/>
      <c r="G2526" s="14"/>
      <c r="H2526" s="23"/>
      <c r="I2526" s="27"/>
      <c r="J2526" s="23"/>
      <c r="K2526" s="30"/>
      <c r="L2526" s="23"/>
      <c r="M2526" s="20"/>
      <c r="N2526" s="20"/>
      <c r="O2526" s="20"/>
      <c r="P2526" s="20"/>
    </row>
    <row r="2527">
      <c r="A2527" s="10"/>
      <c r="B2527" s="11"/>
      <c r="C2527" s="10"/>
      <c r="D2527" s="13"/>
      <c r="E2527" s="14"/>
      <c r="F2527" s="14"/>
      <c r="G2527" s="14"/>
      <c r="H2527" s="10"/>
      <c r="I2527" s="17"/>
      <c r="J2527" s="10"/>
      <c r="K2527" s="46"/>
      <c r="L2527" s="10"/>
      <c r="M2527" s="20"/>
      <c r="N2527" s="20"/>
      <c r="O2527" s="20"/>
      <c r="P2527" s="20"/>
    </row>
    <row r="2528">
      <c r="A2528" s="23"/>
      <c r="B2528" s="21"/>
      <c r="C2528" s="23"/>
      <c r="D2528" s="24"/>
      <c r="E2528" s="14"/>
      <c r="F2528" s="14"/>
      <c r="G2528" s="14"/>
      <c r="H2528" s="23"/>
      <c r="I2528" s="27"/>
      <c r="J2528" s="23"/>
      <c r="K2528" s="30"/>
      <c r="L2528" s="23"/>
      <c r="M2528" s="20"/>
      <c r="N2528" s="20"/>
      <c r="O2528" s="20"/>
      <c r="P2528" s="20"/>
    </row>
    <row r="2529">
      <c r="A2529" s="10"/>
      <c r="B2529" s="11"/>
      <c r="C2529" s="10"/>
      <c r="D2529" s="13"/>
      <c r="E2529" s="14"/>
      <c r="F2529" s="14"/>
      <c r="G2529" s="14"/>
      <c r="H2529" s="10"/>
      <c r="I2529" s="17"/>
      <c r="J2529" s="10"/>
      <c r="K2529" s="46"/>
      <c r="L2529" s="10"/>
      <c r="M2529" s="20"/>
      <c r="N2529" s="20"/>
      <c r="O2529" s="20"/>
      <c r="P2529" s="20"/>
    </row>
    <row r="2530">
      <c r="A2530" s="23"/>
      <c r="B2530" s="21"/>
      <c r="C2530" s="23"/>
      <c r="D2530" s="24"/>
      <c r="E2530" s="14"/>
      <c r="F2530" s="14"/>
      <c r="G2530" s="14"/>
      <c r="H2530" s="23"/>
      <c r="I2530" s="27"/>
      <c r="J2530" s="23"/>
      <c r="K2530" s="30"/>
      <c r="L2530" s="23"/>
      <c r="M2530" s="20"/>
      <c r="N2530" s="20"/>
      <c r="O2530" s="20"/>
      <c r="P2530" s="20"/>
    </row>
    <row r="2531">
      <c r="A2531" s="10"/>
      <c r="B2531" s="11"/>
      <c r="C2531" s="10"/>
      <c r="D2531" s="13"/>
      <c r="E2531" s="14"/>
      <c r="F2531" s="14"/>
      <c r="G2531" s="14"/>
      <c r="H2531" s="10"/>
      <c r="I2531" s="17"/>
      <c r="J2531" s="10"/>
      <c r="K2531" s="46"/>
      <c r="L2531" s="10"/>
      <c r="M2531" s="20"/>
      <c r="N2531" s="20"/>
      <c r="O2531" s="20"/>
      <c r="P2531" s="20"/>
    </row>
    <row r="2532">
      <c r="A2532" s="23"/>
      <c r="B2532" s="21"/>
      <c r="C2532" s="23"/>
      <c r="D2532" s="24"/>
      <c r="E2532" s="14"/>
      <c r="F2532" s="14"/>
      <c r="G2532" s="14"/>
      <c r="H2532" s="23"/>
      <c r="I2532" s="27"/>
      <c r="J2532" s="23"/>
      <c r="K2532" s="30"/>
      <c r="L2532" s="23"/>
      <c r="M2532" s="20"/>
      <c r="N2532" s="20"/>
      <c r="O2532" s="20"/>
      <c r="P2532" s="20"/>
    </row>
    <row r="2533">
      <c r="A2533" s="10"/>
      <c r="B2533" s="11"/>
      <c r="C2533" s="10"/>
      <c r="D2533" s="13"/>
      <c r="E2533" s="14"/>
      <c r="F2533" s="14"/>
      <c r="G2533" s="14"/>
      <c r="H2533" s="10"/>
      <c r="I2533" s="17"/>
      <c r="J2533" s="10"/>
      <c r="K2533" s="46"/>
      <c r="L2533" s="10"/>
      <c r="M2533" s="20"/>
      <c r="N2533" s="20"/>
      <c r="O2533" s="20"/>
      <c r="P2533" s="20"/>
    </row>
    <row r="2534">
      <c r="A2534" s="23"/>
      <c r="B2534" s="21"/>
      <c r="C2534" s="23"/>
      <c r="D2534" s="24"/>
      <c r="E2534" s="14"/>
      <c r="F2534" s="14"/>
      <c r="G2534" s="14"/>
      <c r="H2534" s="23"/>
      <c r="I2534" s="27"/>
      <c r="J2534" s="23"/>
      <c r="K2534" s="30"/>
      <c r="L2534" s="23"/>
      <c r="M2534" s="20"/>
      <c r="N2534" s="20"/>
      <c r="O2534" s="20"/>
      <c r="P2534" s="20"/>
    </row>
    <row r="2535">
      <c r="A2535" s="10"/>
      <c r="B2535" s="11"/>
      <c r="C2535" s="10"/>
      <c r="D2535" s="13"/>
      <c r="E2535" s="14"/>
      <c r="F2535" s="14"/>
      <c r="G2535" s="14"/>
      <c r="H2535" s="10"/>
      <c r="I2535" s="17"/>
      <c r="J2535" s="10"/>
      <c r="K2535" s="46"/>
      <c r="L2535" s="10"/>
      <c r="M2535" s="20"/>
      <c r="N2535" s="20"/>
      <c r="O2535" s="20"/>
      <c r="P2535" s="20"/>
    </row>
    <row r="2536">
      <c r="A2536" s="23"/>
      <c r="B2536" s="21"/>
      <c r="C2536" s="23"/>
      <c r="D2536" s="24"/>
      <c r="E2536" s="14"/>
      <c r="F2536" s="14"/>
      <c r="G2536" s="14"/>
      <c r="H2536" s="23"/>
      <c r="I2536" s="27"/>
      <c r="J2536" s="23"/>
      <c r="K2536" s="30"/>
      <c r="L2536" s="23"/>
      <c r="M2536" s="20"/>
      <c r="N2536" s="20"/>
      <c r="O2536" s="20"/>
      <c r="P2536" s="20"/>
    </row>
    <row r="2537">
      <c r="A2537" s="10"/>
      <c r="B2537" s="11"/>
      <c r="C2537" s="10"/>
      <c r="D2537" s="13"/>
      <c r="E2537" s="14"/>
      <c r="F2537" s="14"/>
      <c r="G2537" s="14"/>
      <c r="H2537" s="10"/>
      <c r="I2537" s="17"/>
      <c r="J2537" s="10"/>
      <c r="K2537" s="46"/>
      <c r="L2537" s="10"/>
      <c r="M2537" s="20"/>
      <c r="N2537" s="20"/>
      <c r="O2537" s="20"/>
      <c r="P2537" s="20"/>
    </row>
    <row r="2538">
      <c r="A2538" s="23"/>
      <c r="B2538" s="21"/>
      <c r="C2538" s="23"/>
      <c r="D2538" s="24"/>
      <c r="E2538" s="14"/>
      <c r="F2538" s="14"/>
      <c r="G2538" s="14"/>
      <c r="H2538" s="23"/>
      <c r="I2538" s="27"/>
      <c r="J2538" s="23"/>
      <c r="K2538" s="30"/>
      <c r="L2538" s="23"/>
      <c r="M2538" s="20"/>
      <c r="N2538" s="20"/>
      <c r="O2538" s="20"/>
      <c r="P2538" s="20"/>
    </row>
    <row r="2539">
      <c r="A2539" s="10"/>
      <c r="B2539" s="11"/>
      <c r="C2539" s="10"/>
      <c r="D2539" s="13"/>
      <c r="E2539" s="14"/>
      <c r="F2539" s="14"/>
      <c r="G2539" s="14"/>
      <c r="H2539" s="10"/>
      <c r="I2539" s="17"/>
      <c r="J2539" s="10"/>
      <c r="K2539" s="46"/>
      <c r="L2539" s="10"/>
      <c r="M2539" s="20"/>
      <c r="N2539" s="20"/>
      <c r="O2539" s="20"/>
      <c r="P2539" s="20"/>
    </row>
    <row r="2540">
      <c r="A2540" s="23"/>
      <c r="B2540" s="21"/>
      <c r="C2540" s="23"/>
      <c r="D2540" s="24"/>
      <c r="E2540" s="14"/>
      <c r="F2540" s="14"/>
      <c r="G2540" s="14"/>
      <c r="H2540" s="23"/>
      <c r="I2540" s="27"/>
      <c r="J2540" s="23"/>
      <c r="K2540" s="30"/>
      <c r="L2540" s="23"/>
      <c r="M2540" s="20"/>
      <c r="N2540" s="20"/>
      <c r="O2540" s="20"/>
      <c r="P2540" s="20"/>
    </row>
    <row r="2541">
      <c r="A2541" s="10"/>
      <c r="B2541" s="11"/>
      <c r="C2541" s="10"/>
      <c r="D2541" s="13"/>
      <c r="E2541" s="14"/>
      <c r="F2541" s="14"/>
      <c r="G2541" s="14"/>
      <c r="H2541" s="10"/>
      <c r="I2541" s="17"/>
      <c r="J2541" s="10"/>
      <c r="K2541" s="46"/>
      <c r="L2541" s="10"/>
      <c r="M2541" s="20"/>
      <c r="N2541" s="20"/>
      <c r="O2541" s="20"/>
      <c r="P2541" s="20"/>
    </row>
    <row r="2542">
      <c r="A2542" s="23"/>
      <c r="B2542" s="21"/>
      <c r="C2542" s="23"/>
      <c r="D2542" s="24"/>
      <c r="E2542" s="14"/>
      <c r="F2542" s="14"/>
      <c r="G2542" s="14"/>
      <c r="H2542" s="23"/>
      <c r="I2542" s="27"/>
      <c r="J2542" s="23"/>
      <c r="K2542" s="30"/>
      <c r="L2542" s="23"/>
      <c r="M2542" s="20"/>
      <c r="N2542" s="20"/>
      <c r="O2542" s="20"/>
      <c r="P2542" s="20"/>
    </row>
    <row r="2543">
      <c r="A2543" s="10"/>
      <c r="B2543" s="11"/>
      <c r="C2543" s="10"/>
      <c r="D2543" s="13"/>
      <c r="E2543" s="14"/>
      <c r="F2543" s="14"/>
      <c r="G2543" s="14"/>
      <c r="H2543" s="10"/>
      <c r="I2543" s="17"/>
      <c r="J2543" s="10"/>
      <c r="K2543" s="46"/>
      <c r="L2543" s="10"/>
      <c r="M2543" s="20"/>
      <c r="N2543" s="20"/>
      <c r="O2543" s="20"/>
      <c r="P2543" s="20"/>
    </row>
    <row r="2544">
      <c r="A2544" s="23"/>
      <c r="B2544" s="21"/>
      <c r="C2544" s="23"/>
      <c r="D2544" s="24"/>
      <c r="E2544" s="14"/>
      <c r="F2544" s="14"/>
      <c r="G2544" s="14"/>
      <c r="H2544" s="23"/>
      <c r="I2544" s="27"/>
      <c r="J2544" s="23"/>
      <c r="K2544" s="30"/>
      <c r="L2544" s="23"/>
      <c r="M2544" s="20"/>
      <c r="N2544" s="20"/>
      <c r="O2544" s="20"/>
      <c r="P2544" s="20"/>
    </row>
    <row r="2545">
      <c r="A2545" s="10"/>
      <c r="B2545" s="11"/>
      <c r="C2545" s="10"/>
      <c r="D2545" s="13"/>
      <c r="E2545" s="14"/>
      <c r="F2545" s="14"/>
      <c r="G2545" s="14"/>
      <c r="H2545" s="10"/>
      <c r="I2545" s="17"/>
      <c r="J2545" s="10"/>
      <c r="K2545" s="46"/>
      <c r="L2545" s="10"/>
      <c r="M2545" s="20"/>
      <c r="N2545" s="20"/>
      <c r="O2545" s="20"/>
      <c r="P2545" s="20"/>
    </row>
    <row r="2546">
      <c r="A2546" s="23"/>
      <c r="B2546" s="21"/>
      <c r="C2546" s="23"/>
      <c r="D2546" s="24"/>
      <c r="E2546" s="14"/>
      <c r="F2546" s="14"/>
      <c r="G2546" s="14"/>
      <c r="H2546" s="23"/>
      <c r="I2546" s="27"/>
      <c r="J2546" s="23"/>
      <c r="K2546" s="30"/>
      <c r="L2546" s="23"/>
      <c r="M2546" s="20"/>
      <c r="N2546" s="20"/>
      <c r="O2546" s="20"/>
      <c r="P2546" s="20"/>
    </row>
    <row r="2547">
      <c r="A2547" s="10"/>
      <c r="B2547" s="11"/>
      <c r="C2547" s="10"/>
      <c r="D2547" s="13"/>
      <c r="E2547" s="14"/>
      <c r="F2547" s="14"/>
      <c r="G2547" s="14"/>
      <c r="H2547" s="10"/>
      <c r="I2547" s="17"/>
      <c r="J2547" s="10"/>
      <c r="K2547" s="46"/>
      <c r="L2547" s="10"/>
      <c r="M2547" s="20"/>
      <c r="N2547" s="20"/>
      <c r="O2547" s="20"/>
      <c r="P2547" s="20"/>
    </row>
    <row r="2548">
      <c r="A2548" s="23"/>
      <c r="B2548" s="21"/>
      <c r="C2548" s="23"/>
      <c r="D2548" s="24"/>
      <c r="E2548" s="14"/>
      <c r="F2548" s="14"/>
      <c r="G2548" s="14"/>
      <c r="H2548" s="23"/>
      <c r="I2548" s="27"/>
      <c r="J2548" s="23"/>
      <c r="K2548" s="30"/>
      <c r="L2548" s="23"/>
      <c r="M2548" s="20"/>
      <c r="N2548" s="20"/>
      <c r="O2548" s="20"/>
      <c r="P2548" s="20"/>
    </row>
    <row r="2549">
      <c r="A2549" s="10"/>
      <c r="B2549" s="11"/>
      <c r="C2549" s="10"/>
      <c r="D2549" s="13"/>
      <c r="E2549" s="14"/>
      <c r="F2549" s="14"/>
      <c r="G2549" s="14"/>
      <c r="H2549" s="10"/>
      <c r="I2549" s="17"/>
      <c r="J2549" s="10"/>
      <c r="K2549" s="46"/>
      <c r="L2549" s="10"/>
      <c r="M2549" s="20"/>
      <c r="N2549" s="20"/>
      <c r="O2549" s="20"/>
      <c r="P2549" s="20"/>
    </row>
    <row r="2550">
      <c r="A2550" s="23"/>
      <c r="B2550" s="21"/>
      <c r="C2550" s="23"/>
      <c r="D2550" s="24"/>
      <c r="E2550" s="14"/>
      <c r="F2550" s="14"/>
      <c r="G2550" s="14"/>
      <c r="H2550" s="23"/>
      <c r="I2550" s="27"/>
      <c r="J2550" s="23"/>
      <c r="K2550" s="30"/>
      <c r="L2550" s="23"/>
      <c r="M2550" s="20"/>
      <c r="N2550" s="20"/>
      <c r="O2550" s="20"/>
      <c r="P2550" s="20"/>
    </row>
    <row r="2551">
      <c r="A2551" s="10"/>
      <c r="B2551" s="11"/>
      <c r="C2551" s="10"/>
      <c r="D2551" s="13"/>
      <c r="E2551" s="14"/>
      <c r="F2551" s="14"/>
      <c r="G2551" s="14"/>
      <c r="H2551" s="10"/>
      <c r="I2551" s="17"/>
      <c r="J2551" s="10"/>
      <c r="K2551" s="46"/>
      <c r="L2551" s="10"/>
      <c r="M2551" s="20"/>
      <c r="N2551" s="20"/>
      <c r="O2551" s="20"/>
      <c r="P2551" s="20"/>
    </row>
    <row r="2552">
      <c r="A2552" s="23"/>
      <c r="B2552" s="21"/>
      <c r="C2552" s="23"/>
      <c r="D2552" s="24"/>
      <c r="E2552" s="14"/>
      <c r="F2552" s="14"/>
      <c r="G2552" s="14"/>
      <c r="H2552" s="23"/>
      <c r="I2552" s="27"/>
      <c r="J2552" s="23"/>
      <c r="K2552" s="30"/>
      <c r="L2552" s="23"/>
      <c r="M2552" s="20"/>
      <c r="N2552" s="20"/>
      <c r="O2552" s="20"/>
      <c r="P2552" s="20"/>
    </row>
    <row r="2553">
      <c r="A2553" s="10"/>
      <c r="B2553" s="11"/>
      <c r="C2553" s="10"/>
      <c r="D2553" s="13"/>
      <c r="E2553" s="14"/>
      <c r="F2553" s="14"/>
      <c r="G2553" s="14"/>
      <c r="H2553" s="10"/>
      <c r="I2553" s="17"/>
      <c r="J2553" s="10"/>
      <c r="K2553" s="46"/>
      <c r="L2553" s="10"/>
      <c r="M2553" s="20"/>
      <c r="N2553" s="20"/>
      <c r="O2553" s="20"/>
      <c r="P2553" s="20"/>
    </row>
    <row r="2554">
      <c r="A2554" s="23"/>
      <c r="B2554" s="21"/>
      <c r="C2554" s="23"/>
      <c r="D2554" s="24"/>
      <c r="E2554" s="14"/>
      <c r="F2554" s="14"/>
      <c r="G2554" s="14"/>
      <c r="H2554" s="23"/>
      <c r="I2554" s="27"/>
      <c r="J2554" s="23"/>
      <c r="K2554" s="30"/>
      <c r="L2554" s="23"/>
      <c r="M2554" s="20"/>
      <c r="N2554" s="20"/>
      <c r="O2554" s="20"/>
      <c r="P2554" s="20"/>
    </row>
    <row r="2555">
      <c r="A2555" s="10"/>
      <c r="B2555" s="11"/>
      <c r="C2555" s="10"/>
      <c r="D2555" s="13"/>
      <c r="E2555" s="14"/>
      <c r="F2555" s="14"/>
      <c r="G2555" s="14"/>
      <c r="H2555" s="10"/>
      <c r="I2555" s="17"/>
      <c r="J2555" s="10"/>
      <c r="K2555" s="46"/>
      <c r="L2555" s="10"/>
      <c r="M2555" s="20"/>
      <c r="N2555" s="20"/>
      <c r="O2555" s="20"/>
      <c r="P2555" s="20"/>
    </row>
    <row r="2556">
      <c r="A2556" s="23"/>
      <c r="B2556" s="21"/>
      <c r="C2556" s="23"/>
      <c r="D2556" s="24"/>
      <c r="E2556" s="14"/>
      <c r="F2556" s="14"/>
      <c r="G2556" s="14"/>
      <c r="H2556" s="23"/>
      <c r="I2556" s="27"/>
      <c r="J2556" s="23"/>
      <c r="K2556" s="30"/>
      <c r="L2556" s="23"/>
      <c r="M2556" s="20"/>
      <c r="N2556" s="20"/>
      <c r="O2556" s="20"/>
      <c r="P2556" s="20"/>
    </row>
    <row r="2557">
      <c r="A2557" s="10"/>
      <c r="B2557" s="11"/>
      <c r="C2557" s="10"/>
      <c r="D2557" s="13"/>
      <c r="E2557" s="14"/>
      <c r="F2557" s="14"/>
      <c r="G2557" s="14"/>
      <c r="H2557" s="10"/>
      <c r="I2557" s="17"/>
      <c r="J2557" s="10"/>
      <c r="K2557" s="46"/>
      <c r="L2557" s="10"/>
      <c r="M2557" s="20"/>
      <c r="N2557" s="20"/>
      <c r="O2557" s="20"/>
      <c r="P2557" s="20"/>
    </row>
    <row r="2558">
      <c r="A2558" s="23"/>
      <c r="B2558" s="21"/>
      <c r="C2558" s="23"/>
      <c r="D2558" s="24"/>
      <c r="E2558" s="14"/>
      <c r="F2558" s="14"/>
      <c r="G2558" s="14"/>
      <c r="H2558" s="23"/>
      <c r="I2558" s="27"/>
      <c r="J2558" s="23"/>
      <c r="K2558" s="30"/>
      <c r="L2558" s="23"/>
      <c r="M2558" s="20"/>
      <c r="N2558" s="20"/>
      <c r="O2558" s="20"/>
      <c r="P2558" s="20"/>
    </row>
    <row r="2559">
      <c r="A2559" s="10"/>
      <c r="B2559" s="11"/>
      <c r="C2559" s="10"/>
      <c r="D2559" s="13"/>
      <c r="E2559" s="14"/>
      <c r="F2559" s="14"/>
      <c r="G2559" s="14"/>
      <c r="H2559" s="10"/>
      <c r="I2559" s="17"/>
      <c r="J2559" s="10"/>
      <c r="K2559" s="46"/>
      <c r="L2559" s="10"/>
      <c r="M2559" s="20"/>
      <c r="N2559" s="20"/>
      <c r="O2559" s="20"/>
      <c r="P2559" s="20"/>
    </row>
    <row r="2560">
      <c r="A2560" s="23"/>
      <c r="B2560" s="21"/>
      <c r="C2560" s="23"/>
      <c r="D2560" s="24"/>
      <c r="E2560" s="14"/>
      <c r="F2560" s="14"/>
      <c r="G2560" s="14"/>
      <c r="H2560" s="23"/>
      <c r="I2560" s="27"/>
      <c r="J2560" s="23"/>
      <c r="K2560" s="30"/>
      <c r="L2560" s="23"/>
      <c r="M2560" s="20"/>
      <c r="N2560" s="20"/>
      <c r="O2560" s="20"/>
      <c r="P2560" s="20"/>
    </row>
    <row r="2561">
      <c r="A2561" s="10"/>
      <c r="B2561" s="11"/>
      <c r="C2561" s="10"/>
      <c r="D2561" s="13"/>
      <c r="E2561" s="14"/>
      <c r="F2561" s="14"/>
      <c r="G2561" s="14"/>
      <c r="H2561" s="10"/>
      <c r="I2561" s="17"/>
      <c r="J2561" s="10"/>
      <c r="K2561" s="46"/>
      <c r="L2561" s="10"/>
      <c r="M2561" s="20"/>
      <c r="N2561" s="20"/>
      <c r="O2561" s="20"/>
      <c r="P2561" s="20"/>
    </row>
    <row r="2562">
      <c r="A2562" s="23"/>
      <c r="B2562" s="21"/>
      <c r="C2562" s="23"/>
      <c r="D2562" s="24"/>
      <c r="E2562" s="14"/>
      <c r="F2562" s="14"/>
      <c r="G2562" s="14"/>
      <c r="H2562" s="23"/>
      <c r="I2562" s="27"/>
      <c r="J2562" s="23"/>
      <c r="K2562" s="30"/>
      <c r="L2562" s="23"/>
      <c r="M2562" s="20"/>
      <c r="N2562" s="20"/>
      <c r="O2562" s="20"/>
      <c r="P2562" s="20"/>
    </row>
    <row r="2563">
      <c r="A2563" s="10"/>
      <c r="B2563" s="11"/>
      <c r="C2563" s="10"/>
      <c r="D2563" s="13"/>
      <c r="E2563" s="14"/>
      <c r="F2563" s="14"/>
      <c r="G2563" s="14"/>
      <c r="H2563" s="10"/>
      <c r="I2563" s="17"/>
      <c r="J2563" s="10"/>
      <c r="K2563" s="46"/>
      <c r="L2563" s="10"/>
      <c r="M2563" s="20"/>
      <c r="N2563" s="20"/>
      <c r="O2563" s="20"/>
      <c r="P2563" s="20"/>
    </row>
    <row r="2564">
      <c r="A2564" s="23"/>
      <c r="B2564" s="21"/>
      <c r="C2564" s="23"/>
      <c r="D2564" s="24"/>
      <c r="E2564" s="14"/>
      <c r="F2564" s="14"/>
      <c r="G2564" s="14"/>
      <c r="H2564" s="23"/>
      <c r="I2564" s="27"/>
      <c r="J2564" s="23"/>
      <c r="K2564" s="30"/>
      <c r="L2564" s="23"/>
      <c r="M2564" s="20"/>
      <c r="N2564" s="20"/>
      <c r="O2564" s="20"/>
      <c r="P2564" s="20"/>
    </row>
    <row r="2565">
      <c r="A2565" s="10"/>
      <c r="B2565" s="11"/>
      <c r="C2565" s="10"/>
      <c r="D2565" s="13"/>
      <c r="E2565" s="14"/>
      <c r="F2565" s="14"/>
      <c r="G2565" s="14"/>
      <c r="H2565" s="10"/>
      <c r="I2565" s="17"/>
      <c r="J2565" s="10"/>
      <c r="K2565" s="46"/>
      <c r="L2565" s="10"/>
      <c r="M2565" s="20"/>
      <c r="N2565" s="20"/>
      <c r="O2565" s="20"/>
      <c r="P2565" s="20"/>
    </row>
    <row r="2566">
      <c r="A2566" s="23"/>
      <c r="B2566" s="21"/>
      <c r="C2566" s="23"/>
      <c r="D2566" s="24"/>
      <c r="E2566" s="14"/>
      <c r="F2566" s="14"/>
      <c r="G2566" s="14"/>
      <c r="H2566" s="23"/>
      <c r="I2566" s="27"/>
      <c r="J2566" s="23"/>
      <c r="K2566" s="30"/>
      <c r="L2566" s="23"/>
      <c r="M2566" s="20"/>
      <c r="N2566" s="20"/>
      <c r="O2566" s="20"/>
      <c r="P2566" s="20"/>
    </row>
    <row r="2567">
      <c r="A2567" s="10"/>
      <c r="B2567" s="11"/>
      <c r="C2567" s="10"/>
      <c r="D2567" s="13"/>
      <c r="E2567" s="14"/>
      <c r="F2567" s="14"/>
      <c r="G2567" s="14"/>
      <c r="H2567" s="10"/>
      <c r="I2567" s="17"/>
      <c r="J2567" s="10"/>
      <c r="K2567" s="46"/>
      <c r="L2567" s="10"/>
      <c r="M2567" s="20"/>
      <c r="N2567" s="20"/>
      <c r="O2567" s="20"/>
      <c r="P2567" s="20"/>
    </row>
    <row r="2568">
      <c r="A2568" s="23"/>
      <c r="B2568" s="21"/>
      <c r="C2568" s="23"/>
      <c r="D2568" s="24"/>
      <c r="E2568" s="14"/>
      <c r="F2568" s="14"/>
      <c r="G2568" s="14"/>
      <c r="H2568" s="23"/>
      <c r="I2568" s="27"/>
      <c r="J2568" s="23"/>
      <c r="K2568" s="30"/>
      <c r="L2568" s="23"/>
      <c r="M2568" s="20"/>
      <c r="N2568" s="20"/>
      <c r="O2568" s="20"/>
      <c r="P2568" s="20"/>
    </row>
    <row r="2569">
      <c r="A2569" s="10"/>
      <c r="B2569" s="11"/>
      <c r="C2569" s="10"/>
      <c r="D2569" s="13"/>
      <c r="E2569" s="14"/>
      <c r="F2569" s="14"/>
      <c r="G2569" s="14"/>
      <c r="H2569" s="10"/>
      <c r="I2569" s="17"/>
      <c r="J2569" s="10"/>
      <c r="K2569" s="46"/>
      <c r="L2569" s="10"/>
      <c r="M2569" s="20"/>
      <c r="N2569" s="20"/>
      <c r="O2569" s="20"/>
      <c r="P2569" s="20"/>
    </row>
    <row r="2570">
      <c r="A2570" s="23"/>
      <c r="B2570" s="21"/>
      <c r="C2570" s="23"/>
      <c r="D2570" s="24"/>
      <c r="E2570" s="14"/>
      <c r="F2570" s="14"/>
      <c r="G2570" s="14"/>
      <c r="H2570" s="23"/>
      <c r="I2570" s="27"/>
      <c r="J2570" s="23"/>
      <c r="K2570" s="30"/>
      <c r="L2570" s="23"/>
      <c r="M2570" s="20"/>
      <c r="N2570" s="20"/>
      <c r="O2570" s="20"/>
      <c r="P2570" s="20"/>
    </row>
    <row r="2571">
      <c r="A2571" s="10"/>
      <c r="B2571" s="11"/>
      <c r="C2571" s="10"/>
      <c r="D2571" s="13"/>
      <c r="E2571" s="14"/>
      <c r="F2571" s="14"/>
      <c r="G2571" s="14"/>
      <c r="H2571" s="10"/>
      <c r="I2571" s="17"/>
      <c r="J2571" s="10"/>
      <c r="K2571" s="46"/>
      <c r="L2571" s="10"/>
      <c r="M2571" s="20"/>
      <c r="N2571" s="20"/>
      <c r="O2571" s="20"/>
      <c r="P2571" s="20"/>
    </row>
    <row r="2572">
      <c r="A2572" s="23"/>
      <c r="B2572" s="21"/>
      <c r="C2572" s="23"/>
      <c r="D2572" s="24"/>
      <c r="E2572" s="14"/>
      <c r="F2572" s="14"/>
      <c r="G2572" s="14"/>
      <c r="H2572" s="23"/>
      <c r="I2572" s="27"/>
      <c r="J2572" s="23"/>
      <c r="K2572" s="30"/>
      <c r="L2572" s="23"/>
      <c r="M2572" s="20"/>
      <c r="N2572" s="20"/>
      <c r="O2572" s="20"/>
      <c r="P2572" s="20"/>
    </row>
    <row r="2573">
      <c r="A2573" s="10"/>
      <c r="B2573" s="11"/>
      <c r="C2573" s="10"/>
      <c r="D2573" s="13"/>
      <c r="E2573" s="14"/>
      <c r="F2573" s="14"/>
      <c r="G2573" s="14"/>
      <c r="H2573" s="10"/>
      <c r="I2573" s="17"/>
      <c r="J2573" s="10"/>
      <c r="K2573" s="46"/>
      <c r="L2573" s="10"/>
      <c r="M2573" s="20"/>
      <c r="N2573" s="20"/>
      <c r="O2573" s="20"/>
      <c r="P2573" s="20"/>
    </row>
    <row r="2574">
      <c r="A2574" s="23"/>
      <c r="B2574" s="21"/>
      <c r="C2574" s="23"/>
      <c r="D2574" s="24"/>
      <c r="E2574" s="14"/>
      <c r="F2574" s="14"/>
      <c r="G2574" s="14"/>
      <c r="H2574" s="23"/>
      <c r="I2574" s="27"/>
      <c r="J2574" s="23"/>
      <c r="K2574" s="30"/>
      <c r="L2574" s="23"/>
      <c r="M2574" s="20"/>
      <c r="N2574" s="20"/>
      <c r="O2574" s="20"/>
      <c r="P2574" s="20"/>
    </row>
    <row r="2575">
      <c r="A2575" s="10"/>
      <c r="B2575" s="11"/>
      <c r="C2575" s="10"/>
      <c r="D2575" s="13"/>
      <c r="E2575" s="14"/>
      <c r="F2575" s="14"/>
      <c r="G2575" s="14"/>
      <c r="H2575" s="10"/>
      <c r="I2575" s="17"/>
      <c r="J2575" s="10"/>
      <c r="K2575" s="46"/>
      <c r="L2575" s="10"/>
      <c r="M2575" s="20"/>
      <c r="N2575" s="20"/>
      <c r="O2575" s="20"/>
      <c r="P2575" s="20"/>
    </row>
    <row r="2576">
      <c r="A2576" s="23"/>
      <c r="B2576" s="21"/>
      <c r="C2576" s="23"/>
      <c r="D2576" s="24"/>
      <c r="E2576" s="14"/>
      <c r="F2576" s="14"/>
      <c r="G2576" s="14"/>
      <c r="H2576" s="23"/>
      <c r="I2576" s="27"/>
      <c r="J2576" s="23"/>
      <c r="K2576" s="30"/>
      <c r="L2576" s="23"/>
      <c r="M2576" s="20"/>
      <c r="N2576" s="20"/>
      <c r="O2576" s="20"/>
      <c r="P2576" s="20"/>
    </row>
    <row r="2577">
      <c r="A2577" s="10"/>
      <c r="B2577" s="11"/>
      <c r="C2577" s="10"/>
      <c r="D2577" s="13"/>
      <c r="E2577" s="14"/>
      <c r="F2577" s="14"/>
      <c r="G2577" s="14"/>
      <c r="H2577" s="10"/>
      <c r="I2577" s="17"/>
      <c r="J2577" s="10"/>
      <c r="K2577" s="46"/>
      <c r="L2577" s="10"/>
      <c r="M2577" s="20"/>
      <c r="N2577" s="20"/>
      <c r="O2577" s="20"/>
      <c r="P2577" s="20"/>
    </row>
    <row r="2578">
      <c r="A2578" s="23"/>
      <c r="B2578" s="21"/>
      <c r="C2578" s="23"/>
      <c r="D2578" s="24"/>
      <c r="E2578" s="14"/>
      <c r="F2578" s="14"/>
      <c r="G2578" s="14"/>
      <c r="H2578" s="23"/>
      <c r="I2578" s="27"/>
      <c r="J2578" s="23"/>
      <c r="K2578" s="30"/>
      <c r="L2578" s="23"/>
      <c r="M2578" s="20"/>
      <c r="N2578" s="20"/>
      <c r="O2578" s="20"/>
      <c r="P2578" s="20"/>
    </row>
    <row r="2579">
      <c r="A2579" s="10"/>
      <c r="B2579" s="11"/>
      <c r="C2579" s="10"/>
      <c r="D2579" s="13"/>
      <c r="E2579" s="14"/>
      <c r="F2579" s="14"/>
      <c r="G2579" s="14"/>
      <c r="H2579" s="10"/>
      <c r="I2579" s="17"/>
      <c r="J2579" s="10"/>
      <c r="K2579" s="46"/>
      <c r="L2579" s="10"/>
      <c r="M2579" s="20"/>
      <c r="N2579" s="20"/>
      <c r="O2579" s="20"/>
      <c r="P2579" s="20"/>
    </row>
    <row r="2580">
      <c r="A2580" s="23"/>
      <c r="B2580" s="21"/>
      <c r="C2580" s="23"/>
      <c r="D2580" s="24"/>
      <c r="E2580" s="14"/>
      <c r="F2580" s="14"/>
      <c r="G2580" s="14"/>
      <c r="H2580" s="23"/>
      <c r="I2580" s="27"/>
      <c r="J2580" s="23"/>
      <c r="K2580" s="30"/>
      <c r="L2580" s="23"/>
      <c r="M2580" s="20"/>
      <c r="N2580" s="20"/>
      <c r="O2580" s="20"/>
      <c r="P2580" s="20"/>
    </row>
    <row r="2581">
      <c r="A2581" s="10"/>
      <c r="B2581" s="11"/>
      <c r="C2581" s="10"/>
      <c r="D2581" s="13"/>
      <c r="E2581" s="14"/>
      <c r="F2581" s="14"/>
      <c r="G2581" s="14"/>
      <c r="H2581" s="10"/>
      <c r="I2581" s="17"/>
      <c r="J2581" s="10"/>
      <c r="K2581" s="46"/>
      <c r="L2581" s="10"/>
      <c r="M2581" s="20"/>
      <c r="N2581" s="20"/>
      <c r="O2581" s="20"/>
      <c r="P2581" s="20"/>
    </row>
    <row r="2582">
      <c r="A2582" s="23"/>
      <c r="B2582" s="21"/>
      <c r="C2582" s="23"/>
      <c r="D2582" s="24"/>
      <c r="E2582" s="14"/>
      <c r="F2582" s="14"/>
      <c r="G2582" s="14"/>
      <c r="H2582" s="23"/>
      <c r="I2582" s="27"/>
      <c r="J2582" s="23"/>
      <c r="K2582" s="30"/>
      <c r="L2582" s="23"/>
      <c r="M2582" s="20"/>
      <c r="N2582" s="20"/>
      <c r="O2582" s="20"/>
      <c r="P2582" s="20"/>
    </row>
    <row r="2583">
      <c r="A2583" s="10"/>
      <c r="B2583" s="11"/>
      <c r="C2583" s="10"/>
      <c r="D2583" s="13"/>
      <c r="E2583" s="14"/>
      <c r="F2583" s="14"/>
      <c r="G2583" s="14"/>
      <c r="H2583" s="10"/>
      <c r="I2583" s="17"/>
      <c r="J2583" s="10"/>
      <c r="K2583" s="46"/>
      <c r="L2583" s="10"/>
      <c r="M2583" s="20"/>
      <c r="N2583" s="20"/>
      <c r="O2583" s="20"/>
      <c r="P2583" s="20"/>
    </row>
    <row r="2584">
      <c r="A2584" s="23"/>
      <c r="B2584" s="21"/>
      <c r="C2584" s="23"/>
      <c r="D2584" s="24"/>
      <c r="E2584" s="14"/>
      <c r="F2584" s="14"/>
      <c r="G2584" s="14"/>
      <c r="H2584" s="23"/>
      <c r="I2584" s="27"/>
      <c r="J2584" s="23"/>
      <c r="K2584" s="30"/>
      <c r="L2584" s="23"/>
      <c r="M2584" s="20"/>
      <c r="N2584" s="20"/>
      <c r="O2584" s="20"/>
      <c r="P2584" s="20"/>
    </row>
    <row r="2585">
      <c r="A2585" s="10"/>
      <c r="B2585" s="11"/>
      <c r="C2585" s="10"/>
      <c r="D2585" s="13"/>
      <c r="E2585" s="14"/>
      <c r="F2585" s="14"/>
      <c r="G2585" s="14"/>
      <c r="H2585" s="10"/>
      <c r="I2585" s="17"/>
      <c r="J2585" s="10"/>
      <c r="K2585" s="46"/>
      <c r="L2585" s="10"/>
      <c r="M2585" s="20"/>
      <c r="N2585" s="20"/>
      <c r="O2585" s="20"/>
      <c r="P2585" s="20"/>
    </row>
    <row r="2586">
      <c r="A2586" s="23"/>
      <c r="B2586" s="21"/>
      <c r="C2586" s="23"/>
      <c r="D2586" s="24"/>
      <c r="E2586" s="14"/>
      <c r="F2586" s="14"/>
      <c r="G2586" s="14"/>
      <c r="H2586" s="23"/>
      <c r="I2586" s="27"/>
      <c r="J2586" s="23"/>
      <c r="K2586" s="30"/>
      <c r="L2586" s="23"/>
      <c r="M2586" s="20"/>
      <c r="N2586" s="20"/>
      <c r="O2586" s="20"/>
      <c r="P2586" s="20"/>
    </row>
    <row r="2587">
      <c r="A2587" s="10"/>
      <c r="B2587" s="11"/>
      <c r="C2587" s="10"/>
      <c r="D2587" s="13"/>
      <c r="E2587" s="14"/>
      <c r="F2587" s="14"/>
      <c r="G2587" s="14"/>
      <c r="H2587" s="10"/>
      <c r="I2587" s="17"/>
      <c r="J2587" s="10"/>
      <c r="K2587" s="46"/>
      <c r="L2587" s="10"/>
      <c r="M2587" s="20"/>
      <c r="N2587" s="20"/>
      <c r="O2587" s="20"/>
      <c r="P2587" s="20"/>
    </row>
    <row r="2588">
      <c r="A2588" s="23"/>
      <c r="B2588" s="21"/>
      <c r="C2588" s="23"/>
      <c r="D2588" s="24"/>
      <c r="E2588" s="14"/>
      <c r="F2588" s="14"/>
      <c r="G2588" s="14"/>
      <c r="H2588" s="23"/>
      <c r="I2588" s="27"/>
      <c r="J2588" s="23"/>
      <c r="K2588" s="30"/>
      <c r="L2588" s="23"/>
      <c r="M2588" s="20"/>
      <c r="N2588" s="20"/>
      <c r="O2588" s="20"/>
      <c r="P2588" s="20"/>
    </row>
    <row r="2589">
      <c r="A2589" s="10"/>
      <c r="B2589" s="11"/>
      <c r="C2589" s="10"/>
      <c r="D2589" s="13"/>
      <c r="E2589" s="14"/>
      <c r="F2589" s="14"/>
      <c r="G2589" s="14"/>
      <c r="H2589" s="10"/>
      <c r="I2589" s="17"/>
      <c r="J2589" s="10"/>
      <c r="K2589" s="46"/>
      <c r="L2589" s="10"/>
      <c r="M2589" s="20"/>
      <c r="N2589" s="20"/>
      <c r="O2589" s="20"/>
      <c r="P2589" s="20"/>
    </row>
    <row r="2590">
      <c r="A2590" s="23"/>
      <c r="B2590" s="21"/>
      <c r="C2590" s="23"/>
      <c r="D2590" s="24"/>
      <c r="E2590" s="14"/>
      <c r="F2590" s="14"/>
      <c r="G2590" s="14"/>
      <c r="H2590" s="23"/>
      <c r="I2590" s="27"/>
      <c r="J2590" s="23"/>
      <c r="K2590" s="30"/>
      <c r="L2590" s="23"/>
      <c r="M2590" s="20"/>
      <c r="N2590" s="20"/>
      <c r="O2590" s="20"/>
      <c r="P2590" s="20"/>
    </row>
    <row r="2591">
      <c r="A2591" s="10"/>
      <c r="B2591" s="11"/>
      <c r="C2591" s="10"/>
      <c r="D2591" s="13"/>
      <c r="E2591" s="14"/>
      <c r="F2591" s="14"/>
      <c r="G2591" s="14"/>
      <c r="H2591" s="10"/>
      <c r="I2591" s="17"/>
      <c r="J2591" s="10"/>
      <c r="K2591" s="46"/>
      <c r="L2591" s="10"/>
      <c r="M2591" s="20"/>
      <c r="N2591" s="20"/>
      <c r="O2591" s="20"/>
      <c r="P2591" s="20"/>
    </row>
    <row r="2592">
      <c r="A2592" s="23"/>
      <c r="B2592" s="21"/>
      <c r="C2592" s="23"/>
      <c r="D2592" s="24"/>
      <c r="E2592" s="14"/>
      <c r="F2592" s="14"/>
      <c r="G2592" s="14"/>
      <c r="H2592" s="23"/>
      <c r="I2592" s="27"/>
      <c r="J2592" s="23"/>
      <c r="K2592" s="30"/>
      <c r="L2592" s="23"/>
      <c r="M2592" s="20"/>
      <c r="N2592" s="20"/>
      <c r="O2592" s="20"/>
      <c r="P2592" s="20"/>
    </row>
    <row r="2593">
      <c r="A2593" s="10"/>
      <c r="B2593" s="11"/>
      <c r="C2593" s="10"/>
      <c r="D2593" s="13"/>
      <c r="E2593" s="14"/>
      <c r="F2593" s="14"/>
      <c r="G2593" s="14"/>
      <c r="H2593" s="10"/>
      <c r="I2593" s="17"/>
      <c r="J2593" s="10"/>
      <c r="K2593" s="46"/>
      <c r="L2593" s="10"/>
      <c r="M2593" s="20"/>
      <c r="N2593" s="20"/>
      <c r="O2593" s="20"/>
      <c r="P2593" s="20"/>
    </row>
    <row r="2594">
      <c r="A2594" s="23"/>
      <c r="B2594" s="21"/>
      <c r="C2594" s="23"/>
      <c r="D2594" s="24"/>
      <c r="E2594" s="14"/>
      <c r="F2594" s="14"/>
      <c r="G2594" s="14"/>
      <c r="H2594" s="23"/>
      <c r="I2594" s="27"/>
      <c r="J2594" s="23"/>
      <c r="K2594" s="30"/>
      <c r="L2594" s="23"/>
      <c r="M2594" s="20"/>
      <c r="N2594" s="20"/>
      <c r="O2594" s="20"/>
      <c r="P2594" s="20"/>
    </row>
    <row r="2595">
      <c r="A2595" s="10"/>
      <c r="B2595" s="11"/>
      <c r="C2595" s="10"/>
      <c r="D2595" s="13"/>
      <c r="E2595" s="14"/>
      <c r="F2595" s="14"/>
      <c r="G2595" s="14"/>
      <c r="H2595" s="10"/>
      <c r="I2595" s="17"/>
      <c r="J2595" s="10"/>
      <c r="K2595" s="46"/>
      <c r="L2595" s="10"/>
      <c r="M2595" s="20"/>
      <c r="N2595" s="20"/>
      <c r="O2595" s="20"/>
      <c r="P2595" s="20"/>
    </row>
    <row r="2596">
      <c r="A2596" s="23"/>
      <c r="B2596" s="21"/>
      <c r="C2596" s="23"/>
      <c r="D2596" s="24"/>
      <c r="E2596" s="14"/>
      <c r="F2596" s="14"/>
      <c r="G2596" s="14"/>
      <c r="H2596" s="23"/>
      <c r="I2596" s="27"/>
      <c r="J2596" s="23"/>
      <c r="K2596" s="30"/>
      <c r="L2596" s="23"/>
      <c r="M2596" s="20"/>
      <c r="N2596" s="20"/>
      <c r="O2596" s="20"/>
      <c r="P2596" s="20"/>
    </row>
    <row r="2597">
      <c r="A2597" s="10"/>
      <c r="B2597" s="11"/>
      <c r="C2597" s="10"/>
      <c r="D2597" s="13"/>
      <c r="E2597" s="14"/>
      <c r="F2597" s="14"/>
      <c r="G2597" s="14"/>
      <c r="H2597" s="10"/>
      <c r="I2597" s="17"/>
      <c r="J2597" s="10"/>
      <c r="K2597" s="46"/>
      <c r="L2597" s="10"/>
      <c r="M2597" s="20"/>
      <c r="N2597" s="20"/>
      <c r="O2597" s="20"/>
      <c r="P2597" s="20"/>
    </row>
    <row r="2598">
      <c r="A2598" s="23"/>
      <c r="B2598" s="21"/>
      <c r="C2598" s="23"/>
      <c r="D2598" s="24"/>
      <c r="E2598" s="14"/>
      <c r="F2598" s="14"/>
      <c r="G2598" s="14"/>
      <c r="H2598" s="23"/>
      <c r="I2598" s="27"/>
      <c r="J2598" s="23"/>
      <c r="K2598" s="30"/>
      <c r="L2598" s="23"/>
      <c r="M2598" s="20"/>
      <c r="N2598" s="20"/>
      <c r="O2598" s="20"/>
      <c r="P2598" s="20"/>
    </row>
    <row r="2599">
      <c r="A2599" s="10"/>
      <c r="B2599" s="11"/>
      <c r="C2599" s="10"/>
      <c r="D2599" s="13"/>
      <c r="E2599" s="14"/>
      <c r="F2599" s="14"/>
      <c r="G2599" s="14"/>
      <c r="H2599" s="10"/>
      <c r="I2599" s="17"/>
      <c r="J2599" s="10"/>
      <c r="K2599" s="46"/>
      <c r="L2599" s="10"/>
      <c r="M2599" s="20"/>
      <c r="N2599" s="20"/>
      <c r="O2599" s="20"/>
      <c r="P2599" s="20"/>
    </row>
    <row r="2600">
      <c r="A2600" s="23"/>
      <c r="B2600" s="21"/>
      <c r="C2600" s="23"/>
      <c r="D2600" s="24"/>
      <c r="E2600" s="14"/>
      <c r="F2600" s="14"/>
      <c r="G2600" s="14"/>
      <c r="H2600" s="23"/>
      <c r="I2600" s="27"/>
      <c r="J2600" s="23"/>
      <c r="K2600" s="30"/>
      <c r="L2600" s="23"/>
      <c r="M2600" s="20"/>
      <c r="N2600" s="20"/>
      <c r="O2600" s="20"/>
      <c r="P2600" s="20"/>
    </row>
    <row r="2601">
      <c r="A2601" s="10"/>
      <c r="B2601" s="11"/>
      <c r="C2601" s="10"/>
      <c r="D2601" s="13"/>
      <c r="E2601" s="14"/>
      <c r="F2601" s="14"/>
      <c r="G2601" s="14"/>
      <c r="H2601" s="10"/>
      <c r="I2601" s="17"/>
      <c r="J2601" s="10"/>
      <c r="K2601" s="46"/>
      <c r="L2601" s="10"/>
      <c r="M2601" s="20"/>
      <c r="N2601" s="20"/>
      <c r="O2601" s="20"/>
      <c r="P2601" s="20"/>
    </row>
    <row r="2602">
      <c r="A2602" s="23"/>
      <c r="B2602" s="21"/>
      <c r="C2602" s="23"/>
      <c r="D2602" s="24"/>
      <c r="E2602" s="14"/>
      <c r="F2602" s="14"/>
      <c r="G2602" s="14"/>
      <c r="H2602" s="23"/>
      <c r="I2602" s="27"/>
      <c r="J2602" s="23"/>
      <c r="K2602" s="30"/>
      <c r="L2602" s="23"/>
      <c r="M2602" s="20"/>
      <c r="N2602" s="20"/>
      <c r="O2602" s="20"/>
      <c r="P2602" s="20"/>
    </row>
    <row r="2603">
      <c r="A2603" s="10"/>
      <c r="B2603" s="11"/>
      <c r="C2603" s="10"/>
      <c r="D2603" s="13"/>
      <c r="E2603" s="14"/>
      <c r="F2603" s="14"/>
      <c r="G2603" s="14"/>
      <c r="H2603" s="10"/>
      <c r="I2603" s="17"/>
      <c r="J2603" s="10"/>
      <c r="K2603" s="46"/>
      <c r="L2603" s="10"/>
      <c r="M2603" s="20"/>
      <c r="N2603" s="20"/>
      <c r="O2603" s="20"/>
      <c r="P2603" s="20"/>
    </row>
    <row r="2604">
      <c r="A2604" s="23"/>
      <c r="B2604" s="21"/>
      <c r="C2604" s="23"/>
      <c r="D2604" s="24"/>
      <c r="E2604" s="14"/>
      <c r="F2604" s="14"/>
      <c r="G2604" s="14"/>
      <c r="H2604" s="23"/>
      <c r="I2604" s="27"/>
      <c r="J2604" s="23"/>
      <c r="K2604" s="30"/>
      <c r="L2604" s="23"/>
      <c r="M2604" s="20"/>
      <c r="N2604" s="20"/>
      <c r="O2604" s="20"/>
      <c r="P2604" s="20"/>
    </row>
    <row r="2605">
      <c r="A2605" s="10"/>
      <c r="B2605" s="11"/>
      <c r="C2605" s="10"/>
      <c r="D2605" s="13"/>
      <c r="E2605" s="14"/>
      <c r="F2605" s="14"/>
      <c r="G2605" s="14"/>
      <c r="H2605" s="10"/>
      <c r="I2605" s="17"/>
      <c r="J2605" s="10"/>
      <c r="K2605" s="46"/>
      <c r="L2605" s="10"/>
      <c r="M2605" s="20"/>
      <c r="N2605" s="20"/>
      <c r="O2605" s="20"/>
      <c r="P2605" s="20"/>
    </row>
    <row r="2606">
      <c r="A2606" s="23"/>
      <c r="B2606" s="21"/>
      <c r="C2606" s="23"/>
      <c r="D2606" s="24"/>
      <c r="E2606" s="14"/>
      <c r="F2606" s="14"/>
      <c r="G2606" s="14"/>
      <c r="H2606" s="23"/>
      <c r="I2606" s="27"/>
      <c r="J2606" s="23"/>
      <c r="K2606" s="30"/>
      <c r="L2606" s="23"/>
      <c r="M2606" s="20"/>
      <c r="N2606" s="20"/>
      <c r="O2606" s="20"/>
      <c r="P2606" s="20"/>
    </row>
    <row r="2607">
      <c r="A2607" s="10"/>
      <c r="B2607" s="11"/>
      <c r="C2607" s="10"/>
      <c r="D2607" s="13"/>
      <c r="E2607" s="14"/>
      <c r="F2607" s="14"/>
      <c r="G2607" s="14"/>
      <c r="H2607" s="10"/>
      <c r="I2607" s="17"/>
      <c r="J2607" s="10"/>
      <c r="K2607" s="46"/>
      <c r="L2607" s="10"/>
      <c r="M2607" s="20"/>
      <c r="N2607" s="20"/>
      <c r="O2607" s="20"/>
      <c r="P2607" s="20"/>
    </row>
    <row r="2608">
      <c r="A2608" s="23"/>
      <c r="B2608" s="21"/>
      <c r="C2608" s="23"/>
      <c r="D2608" s="24"/>
      <c r="E2608" s="14"/>
      <c r="F2608" s="14"/>
      <c r="G2608" s="14"/>
      <c r="H2608" s="23"/>
      <c r="I2608" s="27"/>
      <c r="J2608" s="23"/>
      <c r="K2608" s="30"/>
      <c r="L2608" s="23"/>
      <c r="M2608" s="20"/>
      <c r="N2608" s="20"/>
      <c r="O2608" s="20"/>
      <c r="P2608" s="20"/>
    </row>
    <row r="2609">
      <c r="A2609" s="10"/>
      <c r="B2609" s="11"/>
      <c r="C2609" s="10"/>
      <c r="D2609" s="13"/>
      <c r="E2609" s="14"/>
      <c r="F2609" s="14"/>
      <c r="G2609" s="14"/>
      <c r="H2609" s="10"/>
      <c r="I2609" s="17"/>
      <c r="J2609" s="10"/>
      <c r="K2609" s="46"/>
      <c r="L2609" s="10"/>
      <c r="M2609" s="20"/>
      <c r="N2609" s="20"/>
      <c r="O2609" s="20"/>
      <c r="P2609" s="20"/>
    </row>
    <row r="2610">
      <c r="A2610" s="23"/>
      <c r="B2610" s="21"/>
      <c r="C2610" s="23"/>
      <c r="D2610" s="24"/>
      <c r="E2610" s="14"/>
      <c r="F2610" s="14"/>
      <c r="G2610" s="14"/>
      <c r="H2610" s="23"/>
      <c r="I2610" s="27"/>
      <c r="J2610" s="23"/>
      <c r="K2610" s="30"/>
      <c r="L2610" s="23"/>
      <c r="M2610" s="20"/>
      <c r="N2610" s="20"/>
      <c r="O2610" s="20"/>
      <c r="P2610" s="20"/>
    </row>
    <row r="2611">
      <c r="A2611" s="10"/>
      <c r="B2611" s="11"/>
      <c r="C2611" s="10"/>
      <c r="D2611" s="13"/>
      <c r="E2611" s="14"/>
      <c r="F2611" s="14"/>
      <c r="G2611" s="14"/>
      <c r="H2611" s="10"/>
      <c r="I2611" s="17"/>
      <c r="J2611" s="10"/>
      <c r="K2611" s="46"/>
      <c r="L2611" s="10"/>
      <c r="M2611" s="20"/>
      <c r="N2611" s="20"/>
      <c r="O2611" s="20"/>
      <c r="P2611" s="20"/>
    </row>
    <row r="2612">
      <c r="A2612" s="23"/>
      <c r="B2612" s="21"/>
      <c r="C2612" s="23"/>
      <c r="D2612" s="24"/>
      <c r="E2612" s="14"/>
      <c r="F2612" s="14"/>
      <c r="G2612" s="14"/>
      <c r="H2612" s="23"/>
      <c r="I2612" s="27"/>
      <c r="J2612" s="23"/>
      <c r="K2612" s="30"/>
      <c r="L2612" s="23"/>
      <c r="M2612" s="20"/>
      <c r="N2612" s="20"/>
      <c r="O2612" s="20"/>
      <c r="P2612" s="20"/>
    </row>
    <row r="2613">
      <c r="A2613" s="10"/>
      <c r="B2613" s="11"/>
      <c r="C2613" s="10"/>
      <c r="D2613" s="13"/>
      <c r="E2613" s="14"/>
      <c r="F2613" s="14"/>
      <c r="G2613" s="14"/>
      <c r="H2613" s="10"/>
      <c r="I2613" s="17"/>
      <c r="J2613" s="10"/>
      <c r="K2613" s="46"/>
      <c r="L2613" s="10"/>
      <c r="M2613" s="20"/>
      <c r="N2613" s="20"/>
      <c r="O2613" s="20"/>
      <c r="P2613" s="20"/>
    </row>
    <row r="2614">
      <c r="A2614" s="23"/>
      <c r="B2614" s="21"/>
      <c r="C2614" s="23"/>
      <c r="D2614" s="24"/>
      <c r="E2614" s="14"/>
      <c r="F2614" s="14"/>
      <c r="G2614" s="14"/>
      <c r="H2614" s="23"/>
      <c r="I2614" s="27"/>
      <c r="J2614" s="23"/>
      <c r="K2614" s="30"/>
      <c r="L2614" s="23"/>
      <c r="M2614" s="20"/>
      <c r="N2614" s="20"/>
      <c r="O2614" s="20"/>
      <c r="P2614" s="20"/>
    </row>
    <row r="2615">
      <c r="A2615" s="10"/>
      <c r="B2615" s="11"/>
      <c r="C2615" s="10"/>
      <c r="D2615" s="13"/>
      <c r="E2615" s="14"/>
      <c r="F2615" s="14"/>
      <c r="G2615" s="14"/>
      <c r="H2615" s="10"/>
      <c r="I2615" s="17"/>
      <c r="J2615" s="10"/>
      <c r="K2615" s="46"/>
      <c r="L2615" s="10"/>
      <c r="M2615" s="20"/>
      <c r="N2615" s="20"/>
      <c r="O2615" s="20"/>
      <c r="P2615" s="20"/>
    </row>
    <row r="2616">
      <c r="A2616" s="23"/>
      <c r="B2616" s="21"/>
      <c r="C2616" s="23"/>
      <c r="D2616" s="24"/>
      <c r="E2616" s="14"/>
      <c r="F2616" s="14"/>
      <c r="G2616" s="14"/>
      <c r="H2616" s="23"/>
      <c r="I2616" s="27"/>
      <c r="J2616" s="23"/>
      <c r="K2616" s="30"/>
      <c r="L2616" s="23"/>
      <c r="M2616" s="20"/>
      <c r="N2616" s="20"/>
      <c r="O2616" s="20"/>
      <c r="P2616" s="20"/>
    </row>
    <row r="2617">
      <c r="A2617" s="10"/>
      <c r="B2617" s="11"/>
      <c r="C2617" s="10"/>
      <c r="D2617" s="13"/>
      <c r="E2617" s="14"/>
      <c r="F2617" s="14"/>
      <c r="G2617" s="14"/>
      <c r="H2617" s="10"/>
      <c r="I2617" s="17"/>
      <c r="J2617" s="10"/>
      <c r="K2617" s="46"/>
      <c r="L2617" s="10"/>
      <c r="M2617" s="20"/>
      <c r="N2617" s="20"/>
      <c r="O2617" s="20"/>
      <c r="P2617" s="20"/>
    </row>
    <row r="2618">
      <c r="A2618" s="23"/>
      <c r="B2618" s="21"/>
      <c r="C2618" s="23"/>
      <c r="D2618" s="24"/>
      <c r="E2618" s="14"/>
      <c r="F2618" s="14"/>
      <c r="G2618" s="14"/>
      <c r="H2618" s="23"/>
      <c r="I2618" s="27"/>
      <c r="J2618" s="23"/>
      <c r="K2618" s="30"/>
      <c r="L2618" s="23"/>
      <c r="M2618" s="20"/>
      <c r="N2618" s="20"/>
      <c r="O2618" s="20"/>
      <c r="P2618" s="20"/>
    </row>
    <row r="2619">
      <c r="A2619" s="10"/>
      <c r="B2619" s="11"/>
      <c r="C2619" s="10"/>
      <c r="D2619" s="13"/>
      <c r="E2619" s="14"/>
      <c r="F2619" s="14"/>
      <c r="G2619" s="14"/>
      <c r="H2619" s="10"/>
      <c r="I2619" s="17"/>
      <c r="J2619" s="10"/>
      <c r="K2619" s="46"/>
      <c r="L2619" s="10"/>
      <c r="M2619" s="20"/>
      <c r="N2619" s="20"/>
      <c r="O2619" s="20"/>
      <c r="P2619" s="20"/>
    </row>
    <row r="2620">
      <c r="A2620" s="23"/>
      <c r="B2620" s="21"/>
      <c r="C2620" s="23"/>
      <c r="D2620" s="24"/>
      <c r="E2620" s="14"/>
      <c r="F2620" s="14"/>
      <c r="G2620" s="14"/>
      <c r="H2620" s="23"/>
      <c r="I2620" s="27"/>
      <c r="J2620" s="23"/>
      <c r="K2620" s="30"/>
      <c r="L2620" s="23"/>
      <c r="M2620" s="20"/>
      <c r="N2620" s="20"/>
      <c r="O2620" s="20"/>
      <c r="P2620" s="20"/>
    </row>
    <row r="2621">
      <c r="A2621" s="10"/>
      <c r="B2621" s="11"/>
      <c r="C2621" s="10"/>
      <c r="D2621" s="13"/>
      <c r="E2621" s="14"/>
      <c r="F2621" s="14"/>
      <c r="G2621" s="14"/>
      <c r="H2621" s="10"/>
      <c r="I2621" s="17"/>
      <c r="J2621" s="10"/>
      <c r="K2621" s="46"/>
      <c r="L2621" s="10"/>
      <c r="M2621" s="20"/>
      <c r="N2621" s="20"/>
      <c r="O2621" s="20"/>
      <c r="P2621" s="20"/>
    </row>
    <row r="2622">
      <c r="A2622" s="23"/>
      <c r="B2622" s="21"/>
      <c r="C2622" s="23"/>
      <c r="D2622" s="24"/>
      <c r="E2622" s="14"/>
      <c r="F2622" s="14"/>
      <c r="G2622" s="14"/>
      <c r="H2622" s="23"/>
      <c r="I2622" s="27"/>
      <c r="J2622" s="23"/>
      <c r="K2622" s="30"/>
      <c r="L2622" s="23"/>
      <c r="M2622" s="20"/>
      <c r="N2622" s="20"/>
      <c r="O2622" s="20"/>
      <c r="P2622" s="20"/>
    </row>
    <row r="2623">
      <c r="A2623" s="10"/>
      <c r="B2623" s="11"/>
      <c r="C2623" s="10"/>
      <c r="D2623" s="13"/>
      <c r="E2623" s="14"/>
      <c r="F2623" s="14"/>
      <c r="G2623" s="14"/>
      <c r="H2623" s="10"/>
      <c r="I2623" s="17"/>
      <c r="J2623" s="10"/>
      <c r="K2623" s="46"/>
      <c r="L2623" s="10"/>
      <c r="M2623" s="20"/>
      <c r="N2623" s="20"/>
      <c r="O2623" s="20"/>
      <c r="P2623" s="20"/>
    </row>
    <row r="2624">
      <c r="A2624" s="23"/>
      <c r="B2624" s="21"/>
      <c r="C2624" s="23"/>
      <c r="D2624" s="24"/>
      <c r="E2624" s="14"/>
      <c r="F2624" s="14"/>
      <c r="G2624" s="14"/>
      <c r="H2624" s="23"/>
      <c r="I2624" s="27"/>
      <c r="J2624" s="23"/>
      <c r="K2624" s="30"/>
      <c r="L2624" s="23"/>
      <c r="M2624" s="20"/>
      <c r="N2624" s="20"/>
      <c r="O2624" s="20"/>
      <c r="P2624" s="20"/>
    </row>
    <row r="2625">
      <c r="A2625" s="10"/>
      <c r="B2625" s="11"/>
      <c r="C2625" s="10"/>
      <c r="D2625" s="13"/>
      <c r="E2625" s="14"/>
      <c r="F2625" s="14"/>
      <c r="G2625" s="14"/>
      <c r="H2625" s="10"/>
      <c r="I2625" s="17"/>
      <c r="J2625" s="10"/>
      <c r="K2625" s="46"/>
      <c r="L2625" s="10"/>
      <c r="M2625" s="20"/>
      <c r="N2625" s="20"/>
      <c r="O2625" s="20"/>
      <c r="P2625" s="20"/>
    </row>
    <row r="2626">
      <c r="A2626" s="23"/>
      <c r="B2626" s="21"/>
      <c r="C2626" s="23"/>
      <c r="D2626" s="24"/>
      <c r="E2626" s="14"/>
      <c r="F2626" s="14"/>
      <c r="G2626" s="14"/>
      <c r="H2626" s="23"/>
      <c r="I2626" s="27"/>
      <c r="J2626" s="23"/>
      <c r="K2626" s="30"/>
      <c r="L2626" s="23"/>
      <c r="M2626" s="20"/>
      <c r="N2626" s="20"/>
      <c r="O2626" s="20"/>
      <c r="P2626" s="20"/>
    </row>
    <row r="2627">
      <c r="A2627" s="10"/>
      <c r="B2627" s="11"/>
      <c r="C2627" s="10"/>
      <c r="D2627" s="13"/>
      <c r="E2627" s="14"/>
      <c r="F2627" s="14"/>
      <c r="G2627" s="14"/>
      <c r="H2627" s="10"/>
      <c r="I2627" s="17"/>
      <c r="J2627" s="10"/>
      <c r="K2627" s="46"/>
      <c r="L2627" s="10"/>
      <c r="M2627" s="20"/>
      <c r="N2627" s="20"/>
      <c r="O2627" s="20"/>
      <c r="P2627" s="20"/>
    </row>
    <row r="2628">
      <c r="A2628" s="23"/>
      <c r="B2628" s="21"/>
      <c r="C2628" s="23"/>
      <c r="D2628" s="24"/>
      <c r="E2628" s="14"/>
      <c r="F2628" s="14"/>
      <c r="G2628" s="14"/>
      <c r="H2628" s="23"/>
      <c r="I2628" s="27"/>
      <c r="J2628" s="23"/>
      <c r="K2628" s="30"/>
      <c r="L2628" s="23"/>
      <c r="M2628" s="20"/>
      <c r="N2628" s="20"/>
      <c r="O2628" s="20"/>
      <c r="P2628" s="20"/>
    </row>
    <row r="2629">
      <c r="A2629" s="10"/>
      <c r="B2629" s="11"/>
      <c r="C2629" s="10"/>
      <c r="D2629" s="13"/>
      <c r="E2629" s="14"/>
      <c r="F2629" s="14"/>
      <c r="G2629" s="14"/>
      <c r="H2629" s="10"/>
      <c r="I2629" s="17"/>
      <c r="J2629" s="10"/>
      <c r="K2629" s="46"/>
      <c r="L2629" s="10"/>
      <c r="M2629" s="20"/>
      <c r="N2629" s="20"/>
      <c r="O2629" s="20"/>
      <c r="P2629" s="20"/>
    </row>
    <row r="2630">
      <c r="A2630" s="23"/>
      <c r="B2630" s="21"/>
      <c r="C2630" s="23"/>
      <c r="D2630" s="24"/>
      <c r="E2630" s="14"/>
      <c r="F2630" s="14"/>
      <c r="G2630" s="14"/>
      <c r="H2630" s="23"/>
      <c r="I2630" s="27"/>
      <c r="J2630" s="23"/>
      <c r="K2630" s="30"/>
      <c r="L2630" s="23"/>
      <c r="M2630" s="20"/>
      <c r="N2630" s="20"/>
      <c r="O2630" s="20"/>
      <c r="P2630" s="20"/>
    </row>
    <row r="2631">
      <c r="A2631" s="10"/>
      <c r="B2631" s="11"/>
      <c r="C2631" s="10"/>
      <c r="D2631" s="13"/>
      <c r="E2631" s="14"/>
      <c r="F2631" s="14"/>
      <c r="G2631" s="14"/>
      <c r="H2631" s="10"/>
      <c r="I2631" s="17"/>
      <c r="J2631" s="10"/>
      <c r="K2631" s="46"/>
      <c r="L2631" s="10"/>
      <c r="M2631" s="20"/>
      <c r="N2631" s="20"/>
      <c r="O2631" s="20"/>
      <c r="P2631" s="20"/>
    </row>
    <row r="2632">
      <c r="A2632" s="23"/>
      <c r="B2632" s="21"/>
      <c r="C2632" s="23"/>
      <c r="D2632" s="24"/>
      <c r="E2632" s="14"/>
      <c r="F2632" s="14"/>
      <c r="G2632" s="14"/>
      <c r="H2632" s="23"/>
      <c r="I2632" s="27"/>
      <c r="J2632" s="23"/>
      <c r="K2632" s="30"/>
      <c r="L2632" s="23"/>
      <c r="M2632" s="20"/>
      <c r="N2632" s="20"/>
      <c r="O2632" s="20"/>
      <c r="P2632" s="20"/>
    </row>
    <row r="2633">
      <c r="A2633" s="10"/>
      <c r="B2633" s="11"/>
      <c r="C2633" s="10"/>
      <c r="D2633" s="13"/>
      <c r="E2633" s="14"/>
      <c r="F2633" s="14"/>
      <c r="G2633" s="14"/>
      <c r="H2633" s="10"/>
      <c r="I2633" s="17"/>
      <c r="J2633" s="10"/>
      <c r="K2633" s="46"/>
      <c r="L2633" s="10"/>
      <c r="M2633" s="20"/>
      <c r="N2633" s="20"/>
      <c r="O2633" s="20"/>
      <c r="P2633" s="20"/>
    </row>
    <row r="2634">
      <c r="A2634" s="23"/>
      <c r="B2634" s="21"/>
      <c r="C2634" s="23"/>
      <c r="D2634" s="24"/>
      <c r="E2634" s="14"/>
      <c r="F2634" s="14"/>
      <c r="G2634" s="14"/>
      <c r="H2634" s="23"/>
      <c r="I2634" s="27"/>
      <c r="J2634" s="23"/>
      <c r="K2634" s="30"/>
      <c r="L2634" s="23"/>
      <c r="M2634" s="20"/>
      <c r="N2634" s="20"/>
      <c r="O2634" s="20"/>
      <c r="P2634" s="20"/>
    </row>
    <row r="2635">
      <c r="A2635" s="10"/>
      <c r="B2635" s="11"/>
      <c r="C2635" s="10"/>
      <c r="D2635" s="13"/>
      <c r="E2635" s="14"/>
      <c r="F2635" s="14"/>
      <c r="G2635" s="14"/>
      <c r="H2635" s="10"/>
      <c r="I2635" s="17"/>
      <c r="J2635" s="10"/>
      <c r="K2635" s="46"/>
      <c r="L2635" s="10"/>
      <c r="M2635" s="20"/>
      <c r="N2635" s="20"/>
      <c r="O2635" s="20"/>
      <c r="P2635" s="20"/>
    </row>
    <row r="2636">
      <c r="A2636" s="23"/>
      <c r="B2636" s="21"/>
      <c r="C2636" s="23"/>
      <c r="D2636" s="24"/>
      <c r="E2636" s="14"/>
      <c r="F2636" s="14"/>
      <c r="G2636" s="14"/>
      <c r="H2636" s="23"/>
      <c r="I2636" s="27"/>
      <c r="J2636" s="23"/>
      <c r="K2636" s="30"/>
      <c r="L2636" s="23"/>
      <c r="M2636" s="20"/>
      <c r="N2636" s="20"/>
      <c r="O2636" s="20"/>
      <c r="P2636" s="20"/>
    </row>
    <row r="2637">
      <c r="A2637" s="10"/>
      <c r="B2637" s="11"/>
      <c r="C2637" s="10"/>
      <c r="D2637" s="13"/>
      <c r="E2637" s="14"/>
      <c r="F2637" s="14"/>
      <c r="G2637" s="14"/>
      <c r="H2637" s="10"/>
      <c r="I2637" s="17"/>
      <c r="J2637" s="10"/>
      <c r="K2637" s="46"/>
      <c r="L2637" s="10"/>
      <c r="M2637" s="20"/>
      <c r="N2637" s="20"/>
      <c r="O2637" s="20"/>
      <c r="P2637" s="20"/>
    </row>
    <row r="2638">
      <c r="A2638" s="23"/>
      <c r="B2638" s="21"/>
      <c r="C2638" s="23"/>
      <c r="D2638" s="24"/>
      <c r="E2638" s="14"/>
      <c r="F2638" s="14"/>
      <c r="G2638" s="14"/>
      <c r="H2638" s="23"/>
      <c r="I2638" s="27"/>
      <c r="J2638" s="23"/>
      <c r="K2638" s="30"/>
      <c r="L2638" s="23"/>
      <c r="M2638" s="20"/>
      <c r="N2638" s="20"/>
      <c r="O2638" s="20"/>
      <c r="P2638" s="20"/>
    </row>
    <row r="2639">
      <c r="A2639" s="10"/>
      <c r="B2639" s="11"/>
      <c r="C2639" s="10"/>
      <c r="D2639" s="13"/>
      <c r="E2639" s="14"/>
      <c r="F2639" s="14"/>
      <c r="G2639" s="14"/>
      <c r="H2639" s="10"/>
      <c r="I2639" s="17"/>
      <c r="J2639" s="10"/>
      <c r="K2639" s="46"/>
      <c r="L2639" s="10"/>
      <c r="M2639" s="20"/>
      <c r="N2639" s="20"/>
      <c r="O2639" s="20"/>
      <c r="P2639" s="20"/>
    </row>
    <row r="2640">
      <c r="A2640" s="23"/>
      <c r="B2640" s="21"/>
      <c r="C2640" s="23"/>
      <c r="D2640" s="24"/>
      <c r="E2640" s="14"/>
      <c r="F2640" s="14"/>
      <c r="G2640" s="14"/>
      <c r="H2640" s="23"/>
      <c r="I2640" s="27"/>
      <c r="J2640" s="23"/>
      <c r="K2640" s="30"/>
      <c r="L2640" s="23"/>
      <c r="M2640" s="20"/>
      <c r="N2640" s="20"/>
      <c r="O2640" s="20"/>
      <c r="P2640" s="20"/>
    </row>
    <row r="2641">
      <c r="A2641" s="10"/>
      <c r="B2641" s="11"/>
      <c r="C2641" s="10"/>
      <c r="D2641" s="13"/>
      <c r="E2641" s="14"/>
      <c r="F2641" s="14"/>
      <c r="G2641" s="14"/>
      <c r="H2641" s="10"/>
      <c r="I2641" s="17"/>
      <c r="J2641" s="10"/>
      <c r="K2641" s="46"/>
      <c r="L2641" s="10"/>
      <c r="M2641" s="20"/>
      <c r="N2641" s="20"/>
      <c r="O2641" s="20"/>
      <c r="P2641" s="20"/>
    </row>
    <row r="2642">
      <c r="A2642" s="23"/>
      <c r="B2642" s="21"/>
      <c r="C2642" s="23"/>
      <c r="D2642" s="24"/>
      <c r="E2642" s="14"/>
      <c r="F2642" s="14"/>
      <c r="G2642" s="14"/>
      <c r="H2642" s="23"/>
      <c r="I2642" s="27"/>
      <c r="J2642" s="23"/>
      <c r="K2642" s="30"/>
      <c r="L2642" s="23"/>
      <c r="M2642" s="20"/>
      <c r="N2642" s="20"/>
      <c r="O2642" s="20"/>
      <c r="P2642" s="20"/>
    </row>
    <row r="2643">
      <c r="A2643" s="10"/>
      <c r="B2643" s="11"/>
      <c r="C2643" s="10"/>
      <c r="D2643" s="13"/>
      <c r="E2643" s="14"/>
      <c r="F2643" s="14"/>
      <c r="G2643" s="14"/>
      <c r="H2643" s="10"/>
      <c r="I2643" s="17"/>
      <c r="J2643" s="10"/>
      <c r="K2643" s="46"/>
      <c r="L2643" s="10"/>
      <c r="M2643" s="20"/>
      <c r="N2643" s="20"/>
      <c r="O2643" s="20"/>
      <c r="P2643" s="20"/>
    </row>
    <row r="2644">
      <c r="A2644" s="23"/>
      <c r="B2644" s="21"/>
      <c r="C2644" s="23"/>
      <c r="D2644" s="24"/>
      <c r="E2644" s="14"/>
      <c r="F2644" s="14"/>
      <c r="G2644" s="14"/>
      <c r="H2644" s="23"/>
      <c r="I2644" s="27"/>
      <c r="J2644" s="23"/>
      <c r="K2644" s="30"/>
      <c r="L2644" s="23"/>
      <c r="M2644" s="20"/>
      <c r="N2644" s="20"/>
      <c r="O2644" s="20"/>
      <c r="P2644" s="20"/>
    </row>
    <row r="2645">
      <c r="A2645" s="10"/>
      <c r="B2645" s="11"/>
      <c r="C2645" s="10"/>
      <c r="D2645" s="13"/>
      <c r="E2645" s="14"/>
      <c r="F2645" s="14"/>
      <c r="G2645" s="14"/>
      <c r="H2645" s="10"/>
      <c r="I2645" s="17"/>
      <c r="J2645" s="10"/>
      <c r="K2645" s="46"/>
      <c r="L2645" s="10"/>
      <c r="M2645" s="20"/>
      <c r="N2645" s="20"/>
      <c r="O2645" s="20"/>
      <c r="P2645" s="20"/>
    </row>
    <row r="2646">
      <c r="A2646" s="23"/>
      <c r="B2646" s="21"/>
      <c r="C2646" s="23"/>
      <c r="D2646" s="24"/>
      <c r="E2646" s="14"/>
      <c r="F2646" s="14"/>
      <c r="G2646" s="14"/>
      <c r="H2646" s="23"/>
      <c r="I2646" s="27"/>
      <c r="J2646" s="23"/>
      <c r="K2646" s="30"/>
      <c r="L2646" s="23"/>
      <c r="M2646" s="20"/>
      <c r="N2646" s="20"/>
      <c r="O2646" s="20"/>
      <c r="P2646" s="20"/>
    </row>
    <row r="2647">
      <c r="A2647" s="10"/>
      <c r="B2647" s="11"/>
      <c r="C2647" s="10"/>
      <c r="D2647" s="13"/>
      <c r="E2647" s="14"/>
      <c r="F2647" s="14"/>
      <c r="G2647" s="14"/>
      <c r="H2647" s="10"/>
      <c r="I2647" s="17"/>
      <c r="J2647" s="10"/>
      <c r="K2647" s="46"/>
      <c r="L2647" s="10"/>
      <c r="M2647" s="20"/>
      <c r="N2647" s="20"/>
      <c r="O2647" s="20"/>
      <c r="P2647" s="20"/>
    </row>
    <row r="2648">
      <c r="A2648" s="23"/>
      <c r="B2648" s="21"/>
      <c r="C2648" s="23"/>
      <c r="D2648" s="24"/>
      <c r="E2648" s="14"/>
      <c r="F2648" s="14"/>
      <c r="G2648" s="14"/>
      <c r="H2648" s="23"/>
      <c r="I2648" s="27"/>
      <c r="J2648" s="23"/>
      <c r="K2648" s="30"/>
      <c r="L2648" s="23"/>
      <c r="M2648" s="20"/>
      <c r="N2648" s="20"/>
      <c r="O2648" s="20"/>
      <c r="P2648" s="20"/>
    </row>
    <row r="2649">
      <c r="A2649" s="10"/>
      <c r="B2649" s="11"/>
      <c r="C2649" s="10"/>
      <c r="D2649" s="13"/>
      <c r="E2649" s="14"/>
      <c r="F2649" s="14"/>
      <c r="G2649" s="14"/>
      <c r="H2649" s="10"/>
      <c r="I2649" s="17"/>
      <c r="J2649" s="10"/>
      <c r="K2649" s="46"/>
      <c r="L2649" s="10"/>
      <c r="M2649" s="20"/>
      <c r="N2649" s="20"/>
      <c r="O2649" s="20"/>
      <c r="P2649" s="20"/>
    </row>
    <row r="2650">
      <c r="A2650" s="23"/>
      <c r="B2650" s="21"/>
      <c r="C2650" s="23"/>
      <c r="D2650" s="24"/>
      <c r="E2650" s="14"/>
      <c r="F2650" s="14"/>
      <c r="G2650" s="14"/>
      <c r="H2650" s="23"/>
      <c r="I2650" s="27"/>
      <c r="J2650" s="23"/>
      <c r="K2650" s="30"/>
      <c r="L2650" s="23"/>
      <c r="M2650" s="20"/>
      <c r="N2650" s="20"/>
      <c r="O2650" s="20"/>
      <c r="P2650" s="20"/>
    </row>
    <row r="2651">
      <c r="A2651" s="10"/>
      <c r="B2651" s="11"/>
      <c r="C2651" s="10"/>
      <c r="D2651" s="13"/>
      <c r="E2651" s="14"/>
      <c r="F2651" s="14"/>
      <c r="G2651" s="14"/>
      <c r="H2651" s="10"/>
      <c r="I2651" s="17"/>
      <c r="J2651" s="10"/>
      <c r="K2651" s="46"/>
      <c r="L2651" s="10"/>
      <c r="M2651" s="20"/>
      <c r="N2651" s="20"/>
      <c r="O2651" s="20"/>
      <c r="P2651" s="20"/>
    </row>
    <row r="2652">
      <c r="A2652" s="23"/>
      <c r="B2652" s="21"/>
      <c r="C2652" s="23"/>
      <c r="D2652" s="24"/>
      <c r="E2652" s="14"/>
      <c r="F2652" s="14"/>
      <c r="G2652" s="14"/>
      <c r="H2652" s="23"/>
      <c r="I2652" s="27"/>
      <c r="J2652" s="23"/>
      <c r="K2652" s="30"/>
      <c r="L2652" s="23"/>
      <c r="M2652" s="20"/>
      <c r="N2652" s="20"/>
      <c r="O2652" s="20"/>
      <c r="P2652" s="20"/>
    </row>
    <row r="2653">
      <c r="A2653" s="10"/>
      <c r="B2653" s="11"/>
      <c r="C2653" s="10"/>
      <c r="D2653" s="13"/>
      <c r="E2653" s="14"/>
      <c r="F2653" s="14"/>
      <c r="G2653" s="14"/>
      <c r="H2653" s="10"/>
      <c r="I2653" s="17"/>
      <c r="J2653" s="10"/>
      <c r="K2653" s="46"/>
      <c r="L2653" s="10"/>
      <c r="M2653" s="20"/>
      <c r="N2653" s="20"/>
      <c r="O2653" s="20"/>
      <c r="P2653" s="20"/>
    </row>
    <row r="2654">
      <c r="A2654" s="23"/>
      <c r="B2654" s="21"/>
      <c r="C2654" s="23"/>
      <c r="D2654" s="24"/>
      <c r="E2654" s="14"/>
      <c r="F2654" s="14"/>
      <c r="G2654" s="14"/>
      <c r="H2654" s="23"/>
      <c r="I2654" s="27"/>
      <c r="J2654" s="23"/>
      <c r="K2654" s="30"/>
      <c r="L2654" s="23"/>
      <c r="M2654" s="20"/>
      <c r="N2654" s="20"/>
      <c r="O2654" s="20"/>
      <c r="P2654" s="20"/>
    </row>
    <row r="2655">
      <c r="A2655" s="10"/>
      <c r="B2655" s="11"/>
      <c r="C2655" s="10"/>
      <c r="D2655" s="13"/>
      <c r="E2655" s="14"/>
      <c r="F2655" s="14"/>
      <c r="G2655" s="14"/>
      <c r="H2655" s="10"/>
      <c r="I2655" s="17"/>
      <c r="J2655" s="10"/>
      <c r="K2655" s="46"/>
      <c r="L2655" s="10"/>
      <c r="M2655" s="20"/>
      <c r="N2655" s="20"/>
      <c r="O2655" s="20"/>
      <c r="P2655" s="20"/>
    </row>
    <row r="2656">
      <c r="A2656" s="23"/>
      <c r="B2656" s="21"/>
      <c r="C2656" s="23"/>
      <c r="D2656" s="24"/>
      <c r="E2656" s="14"/>
      <c r="F2656" s="14"/>
      <c r="G2656" s="14"/>
      <c r="H2656" s="23"/>
      <c r="I2656" s="27"/>
      <c r="J2656" s="23"/>
      <c r="K2656" s="30"/>
      <c r="L2656" s="23"/>
      <c r="M2656" s="20"/>
      <c r="N2656" s="20"/>
      <c r="O2656" s="20"/>
      <c r="P2656" s="20"/>
    </row>
    <row r="2657">
      <c r="A2657" s="10"/>
      <c r="B2657" s="11"/>
      <c r="C2657" s="10"/>
      <c r="D2657" s="13"/>
      <c r="E2657" s="14"/>
      <c r="F2657" s="14"/>
      <c r="G2657" s="14"/>
      <c r="H2657" s="10"/>
      <c r="I2657" s="17"/>
      <c r="J2657" s="10"/>
      <c r="K2657" s="46"/>
      <c r="L2657" s="10"/>
      <c r="M2657" s="20"/>
      <c r="N2657" s="20"/>
      <c r="O2657" s="20"/>
      <c r="P2657" s="20"/>
    </row>
    <row r="2658">
      <c r="A2658" s="23"/>
      <c r="B2658" s="21"/>
      <c r="C2658" s="23"/>
      <c r="D2658" s="24"/>
      <c r="E2658" s="14"/>
      <c r="F2658" s="14"/>
      <c r="G2658" s="14"/>
      <c r="H2658" s="23"/>
      <c r="I2658" s="27"/>
      <c r="J2658" s="23"/>
      <c r="K2658" s="30"/>
      <c r="L2658" s="23"/>
      <c r="M2658" s="20"/>
      <c r="N2658" s="20"/>
      <c r="O2658" s="20"/>
      <c r="P2658" s="20"/>
    </row>
    <row r="2659">
      <c r="A2659" s="10"/>
      <c r="B2659" s="11"/>
      <c r="C2659" s="10"/>
      <c r="D2659" s="13"/>
      <c r="E2659" s="14"/>
      <c r="F2659" s="14"/>
      <c r="G2659" s="14"/>
      <c r="H2659" s="10"/>
      <c r="I2659" s="17"/>
      <c r="J2659" s="10"/>
      <c r="K2659" s="46"/>
      <c r="L2659" s="10"/>
      <c r="M2659" s="20"/>
      <c r="N2659" s="20"/>
      <c r="O2659" s="20"/>
      <c r="P2659" s="20"/>
    </row>
    <row r="2660">
      <c r="A2660" s="23"/>
      <c r="B2660" s="21"/>
      <c r="C2660" s="23"/>
      <c r="D2660" s="24"/>
      <c r="E2660" s="14"/>
      <c r="F2660" s="14"/>
      <c r="G2660" s="14"/>
      <c r="H2660" s="23"/>
      <c r="I2660" s="27"/>
      <c r="J2660" s="23"/>
      <c r="K2660" s="30"/>
      <c r="L2660" s="23"/>
      <c r="M2660" s="20"/>
      <c r="N2660" s="20"/>
      <c r="O2660" s="20"/>
      <c r="P2660" s="20"/>
    </row>
    <row r="2661">
      <c r="A2661" s="10"/>
      <c r="B2661" s="11"/>
      <c r="C2661" s="10"/>
      <c r="D2661" s="13"/>
      <c r="E2661" s="14"/>
      <c r="F2661" s="14"/>
      <c r="G2661" s="14"/>
      <c r="H2661" s="10"/>
      <c r="I2661" s="17"/>
      <c r="J2661" s="10"/>
      <c r="K2661" s="46"/>
      <c r="L2661" s="10"/>
      <c r="M2661" s="20"/>
      <c r="N2661" s="20"/>
      <c r="O2661" s="20"/>
      <c r="P2661" s="20"/>
    </row>
    <row r="2662">
      <c r="A2662" s="23"/>
      <c r="B2662" s="21"/>
      <c r="C2662" s="23"/>
      <c r="D2662" s="24"/>
      <c r="E2662" s="14"/>
      <c r="F2662" s="14"/>
      <c r="G2662" s="14"/>
      <c r="H2662" s="23"/>
      <c r="I2662" s="27"/>
      <c r="J2662" s="23"/>
      <c r="K2662" s="30"/>
      <c r="L2662" s="23"/>
      <c r="M2662" s="20"/>
      <c r="N2662" s="20"/>
      <c r="O2662" s="20"/>
      <c r="P2662" s="20"/>
    </row>
    <row r="2663">
      <c r="A2663" s="10"/>
      <c r="B2663" s="11"/>
      <c r="C2663" s="10"/>
      <c r="D2663" s="13"/>
      <c r="E2663" s="14"/>
      <c r="F2663" s="14"/>
      <c r="G2663" s="14"/>
      <c r="H2663" s="10"/>
      <c r="I2663" s="17"/>
      <c r="J2663" s="10"/>
      <c r="K2663" s="46"/>
      <c r="L2663" s="10"/>
      <c r="M2663" s="20"/>
      <c r="N2663" s="20"/>
      <c r="O2663" s="20"/>
      <c r="P2663" s="20"/>
    </row>
    <row r="2664">
      <c r="A2664" s="23"/>
      <c r="B2664" s="21"/>
      <c r="C2664" s="23"/>
      <c r="D2664" s="24"/>
      <c r="E2664" s="14"/>
      <c r="F2664" s="14"/>
      <c r="G2664" s="14"/>
      <c r="H2664" s="23"/>
      <c r="I2664" s="27"/>
      <c r="J2664" s="23"/>
      <c r="K2664" s="30"/>
      <c r="L2664" s="23"/>
      <c r="M2664" s="20"/>
      <c r="N2664" s="20"/>
      <c r="O2664" s="20"/>
      <c r="P2664" s="20"/>
    </row>
    <row r="2665">
      <c r="A2665" s="10"/>
      <c r="B2665" s="11"/>
      <c r="C2665" s="10"/>
      <c r="D2665" s="13"/>
      <c r="E2665" s="14"/>
      <c r="F2665" s="14"/>
      <c r="G2665" s="14"/>
      <c r="H2665" s="10"/>
      <c r="I2665" s="17"/>
      <c r="J2665" s="10"/>
      <c r="K2665" s="46"/>
      <c r="L2665" s="10"/>
      <c r="M2665" s="20"/>
      <c r="N2665" s="20"/>
      <c r="O2665" s="20"/>
      <c r="P2665" s="20"/>
    </row>
    <row r="2666">
      <c r="A2666" s="23"/>
      <c r="B2666" s="21"/>
      <c r="C2666" s="23"/>
      <c r="D2666" s="24"/>
      <c r="E2666" s="14"/>
      <c r="F2666" s="14"/>
      <c r="G2666" s="14"/>
      <c r="H2666" s="23"/>
      <c r="I2666" s="27"/>
      <c r="J2666" s="23"/>
      <c r="K2666" s="30"/>
      <c r="L2666" s="23"/>
      <c r="M2666" s="20"/>
      <c r="N2666" s="20"/>
      <c r="O2666" s="20"/>
      <c r="P2666" s="20"/>
    </row>
    <row r="2667">
      <c r="A2667" s="10"/>
      <c r="B2667" s="11"/>
      <c r="C2667" s="10"/>
      <c r="D2667" s="13"/>
      <c r="E2667" s="14"/>
      <c r="F2667" s="14"/>
      <c r="G2667" s="14"/>
      <c r="H2667" s="10"/>
      <c r="I2667" s="17"/>
      <c r="J2667" s="10"/>
      <c r="K2667" s="46"/>
      <c r="L2667" s="10"/>
      <c r="M2667" s="20"/>
      <c r="N2667" s="20"/>
      <c r="O2667" s="20"/>
      <c r="P2667" s="20"/>
    </row>
    <row r="2668">
      <c r="A2668" s="23"/>
      <c r="B2668" s="21"/>
      <c r="C2668" s="23"/>
      <c r="D2668" s="24"/>
      <c r="E2668" s="14"/>
      <c r="F2668" s="14"/>
      <c r="G2668" s="14"/>
      <c r="H2668" s="23"/>
      <c r="I2668" s="27"/>
      <c r="J2668" s="23"/>
      <c r="K2668" s="30"/>
      <c r="L2668" s="23"/>
      <c r="M2668" s="20"/>
      <c r="N2668" s="20"/>
      <c r="O2668" s="20"/>
      <c r="P2668" s="20"/>
    </row>
    <row r="2669">
      <c r="A2669" s="10"/>
      <c r="B2669" s="11"/>
      <c r="C2669" s="10"/>
      <c r="D2669" s="13"/>
      <c r="E2669" s="14"/>
      <c r="F2669" s="14"/>
      <c r="G2669" s="14"/>
      <c r="H2669" s="10"/>
      <c r="I2669" s="17"/>
      <c r="J2669" s="10"/>
      <c r="K2669" s="46"/>
      <c r="L2669" s="10"/>
      <c r="M2669" s="20"/>
      <c r="N2669" s="20"/>
      <c r="O2669" s="20"/>
      <c r="P2669" s="20"/>
    </row>
    <row r="2670">
      <c r="A2670" s="23"/>
      <c r="B2670" s="21"/>
      <c r="C2670" s="23"/>
      <c r="D2670" s="24"/>
      <c r="E2670" s="14"/>
      <c r="F2670" s="14"/>
      <c r="G2670" s="14"/>
      <c r="H2670" s="23"/>
      <c r="I2670" s="27"/>
      <c r="J2670" s="23"/>
      <c r="K2670" s="30"/>
      <c r="L2670" s="23"/>
      <c r="M2670" s="20"/>
      <c r="N2670" s="20"/>
      <c r="O2670" s="20"/>
      <c r="P2670" s="20"/>
    </row>
    <row r="2671">
      <c r="A2671" s="10"/>
      <c r="B2671" s="11"/>
      <c r="C2671" s="10"/>
      <c r="D2671" s="13"/>
      <c r="E2671" s="14"/>
      <c r="F2671" s="14"/>
      <c r="G2671" s="14"/>
      <c r="H2671" s="10"/>
      <c r="I2671" s="17"/>
      <c r="J2671" s="10"/>
      <c r="K2671" s="46"/>
      <c r="L2671" s="10"/>
      <c r="M2671" s="20"/>
      <c r="N2671" s="20"/>
      <c r="O2671" s="20"/>
      <c r="P2671" s="20"/>
    </row>
    <row r="2672">
      <c r="A2672" s="23"/>
      <c r="B2672" s="21"/>
      <c r="C2672" s="23"/>
      <c r="D2672" s="24"/>
      <c r="E2672" s="14"/>
      <c r="F2672" s="14"/>
      <c r="G2672" s="14"/>
      <c r="H2672" s="23"/>
      <c r="I2672" s="27"/>
      <c r="J2672" s="23"/>
      <c r="K2672" s="30"/>
      <c r="L2672" s="23"/>
      <c r="M2672" s="20"/>
      <c r="N2672" s="20"/>
      <c r="O2672" s="20"/>
      <c r="P2672" s="20"/>
    </row>
    <row r="2673">
      <c r="A2673" s="10"/>
      <c r="B2673" s="11"/>
      <c r="C2673" s="10"/>
      <c r="D2673" s="13"/>
      <c r="E2673" s="14"/>
      <c r="F2673" s="14"/>
      <c r="G2673" s="14"/>
      <c r="H2673" s="10"/>
      <c r="I2673" s="17"/>
      <c r="J2673" s="10"/>
      <c r="K2673" s="46"/>
      <c r="L2673" s="10"/>
      <c r="M2673" s="20"/>
      <c r="N2673" s="20"/>
      <c r="O2673" s="20"/>
      <c r="P2673" s="20"/>
    </row>
    <row r="2674">
      <c r="A2674" s="23"/>
      <c r="B2674" s="21"/>
      <c r="C2674" s="23"/>
      <c r="D2674" s="24"/>
      <c r="E2674" s="14"/>
      <c r="F2674" s="14"/>
      <c r="G2674" s="14"/>
      <c r="H2674" s="23"/>
      <c r="I2674" s="27"/>
      <c r="J2674" s="23"/>
      <c r="K2674" s="30"/>
      <c r="L2674" s="23"/>
      <c r="M2674" s="20"/>
      <c r="N2674" s="20"/>
      <c r="O2674" s="20"/>
      <c r="P2674" s="20"/>
    </row>
    <row r="2675">
      <c r="A2675" s="10"/>
      <c r="B2675" s="11"/>
      <c r="C2675" s="10"/>
      <c r="D2675" s="13"/>
      <c r="E2675" s="14"/>
      <c r="F2675" s="14"/>
      <c r="G2675" s="14"/>
      <c r="H2675" s="10"/>
      <c r="I2675" s="17"/>
      <c r="J2675" s="10"/>
      <c r="K2675" s="46"/>
      <c r="L2675" s="10"/>
      <c r="M2675" s="20"/>
      <c r="N2675" s="20"/>
      <c r="O2675" s="20"/>
      <c r="P2675" s="20"/>
    </row>
    <row r="2676">
      <c r="A2676" s="23"/>
      <c r="B2676" s="21"/>
      <c r="C2676" s="23"/>
      <c r="D2676" s="24"/>
      <c r="E2676" s="14"/>
      <c r="F2676" s="14"/>
      <c r="G2676" s="14"/>
      <c r="H2676" s="23"/>
      <c r="I2676" s="27"/>
      <c r="J2676" s="23"/>
      <c r="K2676" s="30"/>
      <c r="L2676" s="23"/>
      <c r="M2676" s="20"/>
      <c r="N2676" s="20"/>
      <c r="O2676" s="20"/>
      <c r="P2676" s="20"/>
    </row>
    <row r="2677">
      <c r="A2677" s="10"/>
      <c r="B2677" s="11"/>
      <c r="C2677" s="10"/>
      <c r="D2677" s="13"/>
      <c r="E2677" s="14"/>
      <c r="F2677" s="14"/>
      <c r="G2677" s="14"/>
      <c r="H2677" s="10"/>
      <c r="I2677" s="17"/>
      <c r="J2677" s="10"/>
      <c r="K2677" s="46"/>
      <c r="L2677" s="10"/>
      <c r="M2677" s="20"/>
      <c r="N2677" s="20"/>
      <c r="O2677" s="20"/>
      <c r="P2677" s="20"/>
    </row>
    <row r="2678">
      <c r="A2678" s="23"/>
      <c r="B2678" s="21"/>
      <c r="C2678" s="23"/>
      <c r="D2678" s="24"/>
      <c r="E2678" s="14"/>
      <c r="F2678" s="14"/>
      <c r="G2678" s="14"/>
      <c r="H2678" s="23"/>
      <c r="I2678" s="27"/>
      <c r="J2678" s="23"/>
      <c r="K2678" s="30"/>
      <c r="L2678" s="23"/>
      <c r="M2678" s="20"/>
      <c r="N2678" s="20"/>
      <c r="O2678" s="20"/>
      <c r="P2678" s="20"/>
    </row>
    <row r="2679">
      <c r="A2679" s="10"/>
      <c r="B2679" s="11"/>
      <c r="C2679" s="10"/>
      <c r="D2679" s="13"/>
      <c r="E2679" s="14"/>
      <c r="F2679" s="14"/>
      <c r="G2679" s="14"/>
      <c r="H2679" s="10"/>
      <c r="I2679" s="17"/>
      <c r="J2679" s="10"/>
      <c r="K2679" s="46"/>
      <c r="L2679" s="10"/>
      <c r="M2679" s="20"/>
      <c r="N2679" s="20"/>
      <c r="O2679" s="20"/>
      <c r="P2679" s="20"/>
    </row>
    <row r="2680">
      <c r="A2680" s="23"/>
      <c r="B2680" s="21"/>
      <c r="C2680" s="23"/>
      <c r="D2680" s="24"/>
      <c r="E2680" s="14"/>
      <c r="F2680" s="14"/>
      <c r="G2680" s="14"/>
      <c r="H2680" s="23"/>
      <c r="I2680" s="27"/>
      <c r="J2680" s="23"/>
      <c r="K2680" s="30"/>
      <c r="L2680" s="23"/>
      <c r="M2680" s="20"/>
      <c r="N2680" s="20"/>
      <c r="O2680" s="20"/>
      <c r="P2680" s="20"/>
    </row>
    <row r="2681">
      <c r="A2681" s="10"/>
      <c r="B2681" s="11"/>
      <c r="C2681" s="10"/>
      <c r="D2681" s="13"/>
      <c r="E2681" s="14"/>
      <c r="F2681" s="14"/>
      <c r="G2681" s="14"/>
      <c r="H2681" s="10"/>
      <c r="I2681" s="17"/>
      <c r="J2681" s="10"/>
      <c r="K2681" s="46"/>
      <c r="L2681" s="10"/>
      <c r="M2681" s="20"/>
      <c r="N2681" s="20"/>
      <c r="O2681" s="20"/>
      <c r="P2681" s="20"/>
    </row>
    <row r="2682">
      <c r="A2682" s="23"/>
      <c r="B2682" s="21"/>
      <c r="C2682" s="23"/>
      <c r="D2682" s="24"/>
      <c r="E2682" s="14"/>
      <c r="F2682" s="14"/>
      <c r="G2682" s="14"/>
      <c r="H2682" s="23"/>
      <c r="I2682" s="27"/>
      <c r="J2682" s="23"/>
      <c r="K2682" s="30"/>
      <c r="L2682" s="23"/>
      <c r="M2682" s="20"/>
      <c r="N2682" s="20"/>
      <c r="O2682" s="20"/>
      <c r="P2682" s="20"/>
    </row>
    <row r="2683">
      <c r="A2683" s="10"/>
      <c r="B2683" s="11"/>
      <c r="C2683" s="10"/>
      <c r="D2683" s="13"/>
      <c r="E2683" s="14"/>
      <c r="F2683" s="14"/>
      <c r="G2683" s="14"/>
      <c r="H2683" s="10"/>
      <c r="I2683" s="17"/>
      <c r="J2683" s="10"/>
      <c r="K2683" s="46"/>
      <c r="L2683" s="10"/>
      <c r="M2683" s="20"/>
      <c r="N2683" s="20"/>
      <c r="O2683" s="20"/>
      <c r="P2683" s="20"/>
    </row>
    <row r="2684">
      <c r="A2684" s="23"/>
      <c r="B2684" s="21"/>
      <c r="C2684" s="23"/>
      <c r="D2684" s="24"/>
      <c r="E2684" s="14"/>
      <c r="F2684" s="14"/>
      <c r="G2684" s="14"/>
      <c r="H2684" s="23"/>
      <c r="I2684" s="27"/>
      <c r="J2684" s="23"/>
      <c r="K2684" s="30"/>
      <c r="L2684" s="23"/>
      <c r="M2684" s="20"/>
      <c r="N2684" s="20"/>
      <c r="O2684" s="20"/>
      <c r="P2684" s="20"/>
    </row>
    <row r="2685">
      <c r="A2685" s="10"/>
      <c r="B2685" s="11"/>
      <c r="C2685" s="10"/>
      <c r="D2685" s="13"/>
      <c r="E2685" s="14"/>
      <c r="F2685" s="14"/>
      <c r="G2685" s="14"/>
      <c r="H2685" s="10"/>
      <c r="I2685" s="17"/>
      <c r="J2685" s="10"/>
      <c r="K2685" s="46"/>
      <c r="L2685" s="10"/>
      <c r="M2685" s="20"/>
      <c r="N2685" s="20"/>
      <c r="O2685" s="20"/>
      <c r="P2685" s="20"/>
    </row>
    <row r="2686">
      <c r="A2686" s="23"/>
      <c r="B2686" s="21"/>
      <c r="C2686" s="23"/>
      <c r="D2686" s="24"/>
      <c r="E2686" s="14"/>
      <c r="F2686" s="14"/>
      <c r="G2686" s="14"/>
      <c r="H2686" s="23"/>
      <c r="I2686" s="27"/>
      <c r="J2686" s="23"/>
      <c r="K2686" s="30"/>
      <c r="L2686" s="23"/>
      <c r="M2686" s="20"/>
      <c r="N2686" s="20"/>
      <c r="O2686" s="20"/>
      <c r="P2686" s="20"/>
    </row>
    <row r="2687">
      <c r="A2687" s="10"/>
      <c r="B2687" s="11"/>
      <c r="C2687" s="10"/>
      <c r="D2687" s="13"/>
      <c r="E2687" s="14"/>
      <c r="F2687" s="14"/>
      <c r="G2687" s="14"/>
      <c r="H2687" s="10"/>
      <c r="I2687" s="17"/>
      <c r="J2687" s="10"/>
      <c r="K2687" s="46"/>
      <c r="L2687" s="10"/>
      <c r="M2687" s="20"/>
      <c r="N2687" s="20"/>
      <c r="O2687" s="20"/>
      <c r="P2687" s="20"/>
    </row>
    <row r="2688">
      <c r="A2688" s="23"/>
      <c r="B2688" s="21"/>
      <c r="C2688" s="23"/>
      <c r="D2688" s="24"/>
      <c r="E2688" s="14"/>
      <c r="F2688" s="14"/>
      <c r="G2688" s="14"/>
      <c r="H2688" s="23"/>
      <c r="I2688" s="27"/>
      <c r="J2688" s="23"/>
      <c r="K2688" s="30"/>
      <c r="L2688" s="23"/>
      <c r="M2688" s="20"/>
      <c r="N2688" s="20"/>
      <c r="O2688" s="20"/>
      <c r="P2688" s="20"/>
    </row>
    <row r="2689">
      <c r="A2689" s="10"/>
      <c r="B2689" s="11"/>
      <c r="C2689" s="10"/>
      <c r="D2689" s="13"/>
      <c r="E2689" s="14"/>
      <c r="F2689" s="14"/>
      <c r="G2689" s="14"/>
      <c r="H2689" s="10"/>
      <c r="I2689" s="17"/>
      <c r="J2689" s="10"/>
      <c r="K2689" s="46"/>
      <c r="L2689" s="10"/>
      <c r="M2689" s="20"/>
      <c r="N2689" s="20"/>
      <c r="O2689" s="20"/>
      <c r="P2689" s="20"/>
    </row>
    <row r="2690">
      <c r="A2690" s="23"/>
      <c r="B2690" s="21"/>
      <c r="C2690" s="23"/>
      <c r="D2690" s="24"/>
      <c r="E2690" s="14"/>
      <c r="F2690" s="14"/>
      <c r="G2690" s="14"/>
      <c r="H2690" s="23"/>
      <c r="I2690" s="27"/>
      <c r="J2690" s="23"/>
      <c r="K2690" s="30"/>
      <c r="L2690" s="23"/>
      <c r="M2690" s="20"/>
      <c r="N2690" s="20"/>
      <c r="O2690" s="20"/>
      <c r="P2690" s="20"/>
    </row>
    <row r="2691">
      <c r="A2691" s="10"/>
      <c r="B2691" s="11"/>
      <c r="C2691" s="10"/>
      <c r="D2691" s="13"/>
      <c r="E2691" s="14"/>
      <c r="F2691" s="14"/>
      <c r="G2691" s="14"/>
      <c r="H2691" s="10"/>
      <c r="I2691" s="17"/>
      <c r="J2691" s="10"/>
      <c r="K2691" s="46"/>
      <c r="L2691" s="10"/>
      <c r="M2691" s="20"/>
      <c r="N2691" s="20"/>
      <c r="O2691" s="20"/>
      <c r="P2691" s="20"/>
    </row>
    <row r="2692">
      <c r="A2692" s="23"/>
      <c r="B2692" s="21"/>
      <c r="C2692" s="23"/>
      <c r="D2692" s="24"/>
      <c r="E2692" s="14"/>
      <c r="F2692" s="14"/>
      <c r="G2692" s="14"/>
      <c r="H2692" s="23"/>
      <c r="I2692" s="27"/>
      <c r="J2692" s="23"/>
      <c r="K2692" s="30"/>
      <c r="L2692" s="23"/>
      <c r="M2692" s="20"/>
      <c r="N2692" s="20"/>
      <c r="O2692" s="20"/>
      <c r="P2692" s="20"/>
    </row>
    <row r="2693">
      <c r="A2693" s="10"/>
      <c r="B2693" s="11"/>
      <c r="C2693" s="10"/>
      <c r="D2693" s="13"/>
      <c r="E2693" s="14"/>
      <c r="F2693" s="14"/>
      <c r="G2693" s="14"/>
      <c r="H2693" s="10"/>
      <c r="I2693" s="17"/>
      <c r="J2693" s="10"/>
      <c r="K2693" s="46"/>
      <c r="L2693" s="10"/>
      <c r="M2693" s="20"/>
      <c r="N2693" s="20"/>
      <c r="O2693" s="20"/>
      <c r="P2693" s="20"/>
    </row>
    <row r="2694">
      <c r="A2694" s="23"/>
      <c r="B2694" s="21"/>
      <c r="C2694" s="23"/>
      <c r="D2694" s="24"/>
      <c r="E2694" s="14"/>
      <c r="F2694" s="14"/>
      <c r="G2694" s="14"/>
      <c r="H2694" s="23"/>
      <c r="I2694" s="27"/>
      <c r="J2694" s="23"/>
      <c r="K2694" s="30"/>
      <c r="L2694" s="23"/>
      <c r="M2694" s="20"/>
      <c r="N2694" s="20"/>
      <c r="O2694" s="20"/>
      <c r="P2694" s="20"/>
    </row>
    <row r="2695">
      <c r="A2695" s="10"/>
      <c r="B2695" s="11"/>
      <c r="C2695" s="10"/>
      <c r="D2695" s="13"/>
      <c r="E2695" s="14"/>
      <c r="F2695" s="14"/>
      <c r="G2695" s="14"/>
      <c r="H2695" s="10"/>
      <c r="I2695" s="17"/>
      <c r="J2695" s="10"/>
      <c r="K2695" s="46"/>
      <c r="L2695" s="10"/>
      <c r="M2695" s="20"/>
      <c r="N2695" s="20"/>
      <c r="O2695" s="20"/>
      <c r="P2695" s="20"/>
    </row>
    <row r="2696">
      <c r="A2696" s="23"/>
      <c r="B2696" s="21"/>
      <c r="C2696" s="23"/>
      <c r="D2696" s="24"/>
      <c r="E2696" s="14"/>
      <c r="F2696" s="14"/>
      <c r="G2696" s="14"/>
      <c r="H2696" s="23"/>
      <c r="I2696" s="27"/>
      <c r="J2696" s="23"/>
      <c r="K2696" s="30"/>
      <c r="L2696" s="23"/>
      <c r="M2696" s="20"/>
      <c r="N2696" s="20"/>
      <c r="O2696" s="20"/>
      <c r="P2696" s="20"/>
    </row>
    <row r="2697">
      <c r="A2697" s="10"/>
      <c r="B2697" s="11"/>
      <c r="C2697" s="10"/>
      <c r="D2697" s="13"/>
      <c r="E2697" s="14"/>
      <c r="F2697" s="14"/>
      <c r="G2697" s="14"/>
      <c r="H2697" s="10"/>
      <c r="I2697" s="17"/>
      <c r="J2697" s="10"/>
      <c r="K2697" s="46"/>
      <c r="L2697" s="10"/>
      <c r="M2697" s="20"/>
      <c r="N2697" s="20"/>
      <c r="O2697" s="20"/>
      <c r="P2697" s="20"/>
    </row>
    <row r="2698">
      <c r="A2698" s="23"/>
      <c r="B2698" s="21"/>
      <c r="C2698" s="23"/>
      <c r="D2698" s="24"/>
      <c r="E2698" s="14"/>
      <c r="F2698" s="14"/>
      <c r="G2698" s="14"/>
      <c r="H2698" s="23"/>
      <c r="I2698" s="27"/>
      <c r="J2698" s="23"/>
      <c r="K2698" s="30"/>
      <c r="L2698" s="23"/>
      <c r="M2698" s="20"/>
      <c r="N2698" s="20"/>
      <c r="O2698" s="20"/>
      <c r="P2698" s="20"/>
    </row>
    <row r="2699">
      <c r="A2699" s="10"/>
      <c r="B2699" s="11"/>
      <c r="C2699" s="10"/>
      <c r="D2699" s="13"/>
      <c r="E2699" s="14"/>
      <c r="F2699" s="14"/>
      <c r="G2699" s="14"/>
      <c r="H2699" s="10"/>
      <c r="I2699" s="17"/>
      <c r="J2699" s="10"/>
      <c r="K2699" s="46"/>
      <c r="L2699" s="10"/>
      <c r="M2699" s="20"/>
      <c r="N2699" s="20"/>
      <c r="O2699" s="20"/>
      <c r="P2699" s="20"/>
    </row>
    <row r="2700">
      <c r="A2700" s="23"/>
      <c r="B2700" s="21"/>
      <c r="C2700" s="23"/>
      <c r="D2700" s="24"/>
      <c r="E2700" s="14"/>
      <c r="F2700" s="14"/>
      <c r="G2700" s="14"/>
      <c r="H2700" s="23"/>
      <c r="I2700" s="27"/>
      <c r="J2700" s="23"/>
      <c r="K2700" s="30"/>
      <c r="L2700" s="23"/>
      <c r="M2700" s="20"/>
      <c r="N2700" s="20"/>
      <c r="O2700" s="20"/>
      <c r="P2700" s="20"/>
    </row>
    <row r="2701">
      <c r="A2701" s="10"/>
      <c r="B2701" s="11"/>
      <c r="C2701" s="10"/>
      <c r="D2701" s="13"/>
      <c r="E2701" s="14"/>
      <c r="F2701" s="14"/>
      <c r="G2701" s="14"/>
      <c r="H2701" s="10"/>
      <c r="I2701" s="17"/>
      <c r="J2701" s="10"/>
      <c r="K2701" s="46"/>
      <c r="L2701" s="10"/>
      <c r="M2701" s="20"/>
      <c r="N2701" s="20"/>
      <c r="O2701" s="20"/>
      <c r="P2701" s="20"/>
    </row>
    <row r="2702">
      <c r="A2702" s="23"/>
      <c r="B2702" s="21"/>
      <c r="C2702" s="23"/>
      <c r="D2702" s="24"/>
      <c r="E2702" s="14"/>
      <c r="F2702" s="14"/>
      <c r="G2702" s="14"/>
      <c r="H2702" s="23"/>
      <c r="I2702" s="27"/>
      <c r="J2702" s="23"/>
      <c r="K2702" s="30"/>
      <c r="L2702" s="23"/>
      <c r="M2702" s="20"/>
      <c r="N2702" s="20"/>
      <c r="O2702" s="20"/>
      <c r="P2702" s="20"/>
    </row>
    <row r="2703">
      <c r="A2703" s="10"/>
      <c r="B2703" s="11"/>
      <c r="C2703" s="10"/>
      <c r="D2703" s="13"/>
      <c r="E2703" s="14"/>
      <c r="F2703" s="14"/>
      <c r="G2703" s="14"/>
      <c r="H2703" s="10"/>
      <c r="I2703" s="17"/>
      <c r="J2703" s="10"/>
      <c r="K2703" s="46"/>
      <c r="L2703" s="10"/>
      <c r="M2703" s="20"/>
      <c r="N2703" s="20"/>
      <c r="O2703" s="20"/>
      <c r="P2703" s="20"/>
    </row>
    <row r="2704">
      <c r="A2704" s="23"/>
      <c r="B2704" s="21"/>
      <c r="C2704" s="23"/>
      <c r="D2704" s="24"/>
      <c r="E2704" s="14"/>
      <c r="F2704" s="14"/>
      <c r="G2704" s="14"/>
      <c r="H2704" s="23"/>
      <c r="I2704" s="27"/>
      <c r="J2704" s="23"/>
      <c r="K2704" s="30"/>
      <c r="L2704" s="23"/>
      <c r="M2704" s="20"/>
      <c r="N2704" s="20"/>
      <c r="O2704" s="20"/>
      <c r="P2704" s="20"/>
    </row>
    <row r="2705">
      <c r="A2705" s="10"/>
      <c r="B2705" s="11"/>
      <c r="C2705" s="10"/>
      <c r="D2705" s="13"/>
      <c r="E2705" s="14"/>
      <c r="F2705" s="14"/>
      <c r="G2705" s="14"/>
      <c r="H2705" s="10"/>
      <c r="I2705" s="17"/>
      <c r="J2705" s="10"/>
      <c r="K2705" s="46"/>
      <c r="L2705" s="10"/>
      <c r="M2705" s="20"/>
      <c r="N2705" s="20"/>
      <c r="O2705" s="20"/>
      <c r="P2705" s="20"/>
    </row>
    <row r="2706">
      <c r="A2706" s="23"/>
      <c r="B2706" s="21"/>
      <c r="C2706" s="23"/>
      <c r="D2706" s="24"/>
      <c r="E2706" s="14"/>
      <c r="F2706" s="14"/>
      <c r="G2706" s="14"/>
      <c r="H2706" s="23"/>
      <c r="I2706" s="27"/>
      <c r="J2706" s="23"/>
      <c r="K2706" s="30"/>
      <c r="L2706" s="23"/>
      <c r="M2706" s="20"/>
      <c r="N2706" s="20"/>
      <c r="O2706" s="20"/>
      <c r="P2706" s="20"/>
    </row>
    <row r="2707">
      <c r="A2707" s="10"/>
      <c r="B2707" s="11"/>
      <c r="C2707" s="10"/>
      <c r="D2707" s="13"/>
      <c r="E2707" s="14"/>
      <c r="F2707" s="14"/>
      <c r="G2707" s="14"/>
      <c r="H2707" s="10"/>
      <c r="I2707" s="17"/>
      <c r="J2707" s="10"/>
      <c r="K2707" s="46"/>
      <c r="L2707" s="10"/>
      <c r="M2707" s="20"/>
      <c r="N2707" s="20"/>
      <c r="O2707" s="20"/>
      <c r="P2707" s="20"/>
    </row>
    <row r="2708">
      <c r="A2708" s="23"/>
      <c r="B2708" s="21"/>
      <c r="C2708" s="23"/>
      <c r="D2708" s="24"/>
      <c r="E2708" s="14"/>
      <c r="F2708" s="14"/>
      <c r="G2708" s="14"/>
      <c r="H2708" s="23"/>
      <c r="I2708" s="27"/>
      <c r="J2708" s="23"/>
      <c r="K2708" s="30"/>
      <c r="L2708" s="23"/>
      <c r="M2708" s="20"/>
      <c r="N2708" s="20"/>
      <c r="O2708" s="20"/>
      <c r="P2708" s="20"/>
    </row>
    <row r="2709">
      <c r="A2709" s="10"/>
      <c r="B2709" s="11"/>
      <c r="C2709" s="10"/>
      <c r="D2709" s="13"/>
      <c r="E2709" s="14"/>
      <c r="F2709" s="14"/>
      <c r="G2709" s="14"/>
      <c r="H2709" s="10"/>
      <c r="I2709" s="17"/>
      <c r="J2709" s="10"/>
      <c r="K2709" s="46"/>
      <c r="L2709" s="10"/>
      <c r="M2709" s="20"/>
      <c r="N2709" s="20"/>
      <c r="O2709" s="20"/>
      <c r="P2709" s="20"/>
    </row>
    <row r="2710">
      <c r="A2710" s="23"/>
      <c r="B2710" s="21"/>
      <c r="C2710" s="23"/>
      <c r="D2710" s="24"/>
      <c r="E2710" s="14"/>
      <c r="F2710" s="14"/>
      <c r="G2710" s="14"/>
      <c r="H2710" s="23"/>
      <c r="I2710" s="27"/>
      <c r="J2710" s="23"/>
      <c r="K2710" s="30"/>
      <c r="L2710" s="23"/>
      <c r="M2710" s="20"/>
      <c r="N2710" s="20"/>
      <c r="O2710" s="20"/>
      <c r="P2710" s="20"/>
    </row>
    <row r="2711">
      <c r="A2711" s="10"/>
      <c r="B2711" s="11"/>
      <c r="C2711" s="10"/>
      <c r="D2711" s="13"/>
      <c r="E2711" s="14"/>
      <c r="F2711" s="14"/>
      <c r="G2711" s="14"/>
      <c r="H2711" s="10"/>
      <c r="I2711" s="17"/>
      <c r="J2711" s="10"/>
      <c r="K2711" s="46"/>
      <c r="L2711" s="10"/>
      <c r="M2711" s="20"/>
      <c r="N2711" s="20"/>
      <c r="O2711" s="20"/>
      <c r="P2711" s="20"/>
    </row>
    <row r="2712">
      <c r="A2712" s="23"/>
      <c r="B2712" s="21"/>
      <c r="C2712" s="23"/>
      <c r="D2712" s="24"/>
      <c r="E2712" s="14"/>
      <c r="F2712" s="14"/>
      <c r="G2712" s="14"/>
      <c r="H2712" s="23"/>
      <c r="I2712" s="27"/>
      <c r="J2712" s="23"/>
      <c r="K2712" s="30"/>
      <c r="L2712" s="23"/>
      <c r="M2712" s="20"/>
      <c r="N2712" s="20"/>
      <c r="O2712" s="20"/>
      <c r="P2712" s="20"/>
    </row>
    <row r="2713">
      <c r="A2713" s="10"/>
      <c r="B2713" s="11"/>
      <c r="C2713" s="10"/>
      <c r="D2713" s="13"/>
      <c r="E2713" s="14"/>
      <c r="F2713" s="14"/>
      <c r="G2713" s="14"/>
      <c r="H2713" s="10"/>
      <c r="I2713" s="17"/>
      <c r="J2713" s="10"/>
      <c r="K2713" s="46"/>
      <c r="L2713" s="10"/>
      <c r="M2713" s="20"/>
      <c r="N2713" s="20"/>
      <c r="O2713" s="20"/>
      <c r="P2713" s="20"/>
    </row>
    <row r="2714">
      <c r="A2714" s="23"/>
      <c r="B2714" s="21"/>
      <c r="C2714" s="23"/>
      <c r="D2714" s="24"/>
      <c r="E2714" s="14"/>
      <c r="F2714" s="14"/>
      <c r="G2714" s="14"/>
      <c r="H2714" s="23"/>
      <c r="I2714" s="27"/>
      <c r="J2714" s="23"/>
      <c r="K2714" s="30"/>
      <c r="L2714" s="23"/>
      <c r="M2714" s="20"/>
      <c r="N2714" s="20"/>
      <c r="O2714" s="20"/>
      <c r="P2714" s="20"/>
    </row>
    <row r="2715">
      <c r="A2715" s="10"/>
      <c r="B2715" s="11"/>
      <c r="C2715" s="10"/>
      <c r="D2715" s="13"/>
      <c r="E2715" s="14"/>
      <c r="F2715" s="14"/>
      <c r="G2715" s="14"/>
      <c r="H2715" s="10"/>
      <c r="I2715" s="17"/>
      <c r="J2715" s="10"/>
      <c r="K2715" s="46"/>
      <c r="L2715" s="10"/>
      <c r="M2715" s="20"/>
      <c r="N2715" s="20"/>
      <c r="O2715" s="20"/>
      <c r="P2715" s="20"/>
    </row>
    <row r="2716">
      <c r="A2716" s="23"/>
      <c r="B2716" s="21"/>
      <c r="C2716" s="23"/>
      <c r="D2716" s="24"/>
      <c r="E2716" s="14"/>
      <c r="F2716" s="14"/>
      <c r="G2716" s="14"/>
      <c r="H2716" s="23"/>
      <c r="I2716" s="27"/>
      <c r="J2716" s="23"/>
      <c r="K2716" s="30"/>
      <c r="L2716" s="23"/>
      <c r="M2716" s="20"/>
      <c r="N2716" s="20"/>
      <c r="O2716" s="20"/>
      <c r="P2716" s="20"/>
    </row>
    <row r="2717">
      <c r="A2717" s="10"/>
      <c r="B2717" s="11"/>
      <c r="C2717" s="10"/>
      <c r="D2717" s="13"/>
      <c r="E2717" s="14"/>
      <c r="F2717" s="14"/>
      <c r="G2717" s="14"/>
      <c r="H2717" s="10"/>
      <c r="I2717" s="17"/>
      <c r="J2717" s="10"/>
      <c r="K2717" s="46"/>
      <c r="L2717" s="10"/>
      <c r="M2717" s="20"/>
      <c r="N2717" s="20"/>
      <c r="O2717" s="20"/>
      <c r="P2717" s="20"/>
    </row>
    <row r="2718">
      <c r="A2718" s="23"/>
      <c r="B2718" s="21"/>
      <c r="C2718" s="23"/>
      <c r="D2718" s="24"/>
      <c r="E2718" s="14"/>
      <c r="F2718" s="14"/>
      <c r="G2718" s="14"/>
      <c r="H2718" s="23"/>
      <c r="I2718" s="27"/>
      <c r="J2718" s="23"/>
      <c r="K2718" s="30"/>
      <c r="L2718" s="23"/>
      <c r="M2718" s="20"/>
      <c r="N2718" s="20"/>
      <c r="O2718" s="20"/>
      <c r="P2718" s="20"/>
    </row>
    <row r="2719">
      <c r="A2719" s="10"/>
      <c r="B2719" s="11"/>
      <c r="C2719" s="10"/>
      <c r="D2719" s="13"/>
      <c r="E2719" s="14"/>
      <c r="F2719" s="14"/>
      <c r="G2719" s="14"/>
      <c r="H2719" s="10"/>
      <c r="I2719" s="17"/>
      <c r="J2719" s="10"/>
      <c r="K2719" s="46"/>
      <c r="L2719" s="10"/>
      <c r="M2719" s="20"/>
      <c r="N2719" s="20"/>
      <c r="O2719" s="20"/>
      <c r="P2719" s="20"/>
    </row>
    <row r="2720">
      <c r="A2720" s="23"/>
      <c r="B2720" s="21"/>
      <c r="C2720" s="23"/>
      <c r="D2720" s="24"/>
      <c r="E2720" s="14"/>
      <c r="F2720" s="14"/>
      <c r="G2720" s="14"/>
      <c r="H2720" s="23"/>
      <c r="I2720" s="27"/>
      <c r="J2720" s="23"/>
      <c r="K2720" s="30"/>
      <c r="L2720" s="23"/>
      <c r="M2720" s="20"/>
      <c r="N2720" s="20"/>
      <c r="O2720" s="20"/>
      <c r="P2720" s="20"/>
    </row>
    <row r="2721">
      <c r="A2721" s="10"/>
      <c r="B2721" s="11"/>
      <c r="C2721" s="10"/>
      <c r="D2721" s="13"/>
      <c r="E2721" s="14"/>
      <c r="F2721" s="14"/>
      <c r="G2721" s="14"/>
      <c r="H2721" s="10"/>
      <c r="I2721" s="17"/>
      <c r="J2721" s="10"/>
      <c r="K2721" s="46"/>
      <c r="L2721" s="10"/>
      <c r="M2721" s="20"/>
      <c r="N2721" s="20"/>
      <c r="O2721" s="20"/>
      <c r="P2721" s="20"/>
    </row>
    <row r="2722">
      <c r="A2722" s="23"/>
      <c r="B2722" s="21"/>
      <c r="C2722" s="23"/>
      <c r="D2722" s="24"/>
      <c r="E2722" s="14"/>
      <c r="F2722" s="14"/>
      <c r="G2722" s="14"/>
      <c r="H2722" s="23"/>
      <c r="I2722" s="27"/>
      <c r="J2722" s="23"/>
      <c r="K2722" s="30"/>
      <c r="L2722" s="23"/>
      <c r="M2722" s="20"/>
      <c r="N2722" s="20"/>
      <c r="O2722" s="20"/>
      <c r="P2722" s="20"/>
    </row>
    <row r="2723">
      <c r="A2723" s="10"/>
      <c r="B2723" s="11"/>
      <c r="C2723" s="10"/>
      <c r="D2723" s="13"/>
      <c r="E2723" s="14"/>
      <c r="F2723" s="14"/>
      <c r="G2723" s="14"/>
      <c r="H2723" s="10"/>
      <c r="I2723" s="17"/>
      <c r="J2723" s="10"/>
      <c r="K2723" s="46"/>
      <c r="L2723" s="10"/>
      <c r="M2723" s="20"/>
      <c r="N2723" s="20"/>
      <c r="O2723" s="20"/>
      <c r="P2723" s="20"/>
    </row>
    <row r="2724">
      <c r="A2724" s="23"/>
      <c r="B2724" s="21"/>
      <c r="C2724" s="23"/>
      <c r="D2724" s="24"/>
      <c r="E2724" s="14"/>
      <c r="F2724" s="14"/>
      <c r="G2724" s="14"/>
      <c r="H2724" s="23"/>
      <c r="I2724" s="27"/>
      <c r="J2724" s="23"/>
      <c r="K2724" s="30"/>
      <c r="L2724" s="23"/>
      <c r="M2724" s="20"/>
      <c r="N2724" s="20"/>
      <c r="O2724" s="20"/>
      <c r="P2724" s="20"/>
    </row>
    <row r="2725">
      <c r="A2725" s="10"/>
      <c r="B2725" s="11"/>
      <c r="C2725" s="10"/>
      <c r="D2725" s="13"/>
      <c r="E2725" s="14"/>
      <c r="F2725" s="14"/>
      <c r="G2725" s="14"/>
      <c r="H2725" s="10"/>
      <c r="I2725" s="17"/>
      <c r="J2725" s="10"/>
      <c r="K2725" s="46"/>
      <c r="L2725" s="10"/>
      <c r="M2725" s="20"/>
      <c r="N2725" s="20"/>
      <c r="O2725" s="20"/>
      <c r="P2725" s="20"/>
    </row>
    <row r="2726">
      <c r="A2726" s="23"/>
      <c r="B2726" s="21"/>
      <c r="C2726" s="23"/>
      <c r="D2726" s="24"/>
      <c r="E2726" s="14"/>
      <c r="F2726" s="14"/>
      <c r="G2726" s="14"/>
      <c r="H2726" s="23"/>
      <c r="I2726" s="27"/>
      <c r="J2726" s="23"/>
      <c r="K2726" s="30"/>
      <c r="L2726" s="23"/>
      <c r="M2726" s="20"/>
      <c r="N2726" s="20"/>
      <c r="O2726" s="20"/>
      <c r="P2726" s="20"/>
    </row>
    <row r="2727">
      <c r="A2727" s="10"/>
      <c r="B2727" s="11"/>
      <c r="C2727" s="10"/>
      <c r="D2727" s="13"/>
      <c r="E2727" s="14"/>
      <c r="F2727" s="14"/>
      <c r="G2727" s="14"/>
      <c r="H2727" s="10"/>
      <c r="I2727" s="17"/>
      <c r="J2727" s="10"/>
      <c r="K2727" s="46"/>
      <c r="L2727" s="10"/>
      <c r="M2727" s="20"/>
      <c r="N2727" s="20"/>
      <c r="O2727" s="20"/>
      <c r="P2727" s="20"/>
    </row>
    <row r="2728">
      <c r="A2728" s="23"/>
      <c r="B2728" s="21"/>
      <c r="C2728" s="23"/>
      <c r="D2728" s="24"/>
      <c r="E2728" s="14"/>
      <c r="F2728" s="14"/>
      <c r="G2728" s="14"/>
      <c r="H2728" s="23"/>
      <c r="I2728" s="27"/>
      <c r="J2728" s="23"/>
      <c r="K2728" s="30"/>
      <c r="L2728" s="23"/>
      <c r="M2728" s="20"/>
      <c r="N2728" s="20"/>
      <c r="O2728" s="20"/>
      <c r="P2728" s="20"/>
    </row>
    <row r="2729">
      <c r="A2729" s="10"/>
      <c r="B2729" s="11"/>
      <c r="C2729" s="10"/>
      <c r="D2729" s="13"/>
      <c r="E2729" s="14"/>
      <c r="F2729" s="14"/>
      <c r="G2729" s="14"/>
      <c r="H2729" s="10"/>
      <c r="I2729" s="17"/>
      <c r="J2729" s="10"/>
      <c r="K2729" s="46"/>
      <c r="L2729" s="10"/>
      <c r="M2729" s="20"/>
      <c r="N2729" s="20"/>
      <c r="O2729" s="20"/>
      <c r="P2729" s="20"/>
    </row>
    <row r="2730">
      <c r="A2730" s="23"/>
      <c r="B2730" s="21"/>
      <c r="C2730" s="23"/>
      <c r="D2730" s="24"/>
      <c r="E2730" s="14"/>
      <c r="F2730" s="14"/>
      <c r="G2730" s="14"/>
      <c r="H2730" s="23"/>
      <c r="I2730" s="27"/>
      <c r="J2730" s="23"/>
      <c r="K2730" s="30"/>
      <c r="L2730" s="23"/>
      <c r="M2730" s="20"/>
      <c r="N2730" s="20"/>
      <c r="O2730" s="20"/>
      <c r="P2730" s="20"/>
    </row>
    <row r="2731">
      <c r="A2731" s="10"/>
      <c r="B2731" s="11"/>
      <c r="C2731" s="10"/>
      <c r="D2731" s="13"/>
      <c r="E2731" s="14"/>
      <c r="F2731" s="14"/>
      <c r="G2731" s="14"/>
      <c r="H2731" s="10"/>
      <c r="I2731" s="17"/>
      <c r="J2731" s="10"/>
      <c r="K2731" s="46"/>
      <c r="L2731" s="10"/>
      <c r="M2731" s="20"/>
      <c r="N2731" s="20"/>
      <c r="O2731" s="20"/>
      <c r="P2731" s="20"/>
    </row>
    <row r="2732">
      <c r="A2732" s="23"/>
      <c r="B2732" s="21"/>
      <c r="C2732" s="23"/>
      <c r="D2732" s="24"/>
      <c r="E2732" s="14"/>
      <c r="F2732" s="14"/>
      <c r="G2732" s="14"/>
      <c r="H2732" s="23"/>
      <c r="I2732" s="27"/>
      <c r="J2732" s="23"/>
      <c r="K2732" s="30"/>
      <c r="L2732" s="23"/>
      <c r="M2732" s="20"/>
      <c r="N2732" s="20"/>
      <c r="O2732" s="20"/>
      <c r="P2732" s="20"/>
    </row>
    <row r="2733">
      <c r="A2733" s="10"/>
      <c r="B2733" s="11"/>
      <c r="C2733" s="10"/>
      <c r="D2733" s="13"/>
      <c r="E2733" s="14"/>
      <c r="F2733" s="14"/>
      <c r="G2733" s="14"/>
      <c r="H2733" s="10"/>
      <c r="I2733" s="17"/>
      <c r="J2733" s="10"/>
      <c r="K2733" s="46"/>
      <c r="L2733" s="10"/>
      <c r="M2733" s="20"/>
      <c r="N2733" s="20"/>
      <c r="O2733" s="20"/>
      <c r="P2733" s="20"/>
    </row>
    <row r="2734">
      <c r="A2734" s="23"/>
      <c r="B2734" s="21"/>
      <c r="C2734" s="23"/>
      <c r="D2734" s="24"/>
      <c r="E2734" s="14"/>
      <c r="F2734" s="14"/>
      <c r="G2734" s="14"/>
      <c r="H2734" s="23"/>
      <c r="I2734" s="27"/>
      <c r="J2734" s="23"/>
      <c r="K2734" s="30"/>
      <c r="L2734" s="23"/>
      <c r="M2734" s="20"/>
      <c r="N2734" s="20"/>
      <c r="O2734" s="20"/>
      <c r="P2734" s="20"/>
    </row>
    <row r="2735">
      <c r="A2735" s="10"/>
      <c r="B2735" s="11"/>
      <c r="C2735" s="10"/>
      <c r="D2735" s="13"/>
      <c r="E2735" s="14"/>
      <c r="F2735" s="14"/>
      <c r="G2735" s="14"/>
      <c r="H2735" s="10"/>
      <c r="I2735" s="17"/>
      <c r="J2735" s="10"/>
      <c r="K2735" s="46"/>
      <c r="L2735" s="10"/>
      <c r="M2735" s="20"/>
      <c r="N2735" s="20"/>
      <c r="O2735" s="20"/>
      <c r="P2735" s="20"/>
    </row>
    <row r="2736">
      <c r="A2736" s="23"/>
      <c r="B2736" s="21"/>
      <c r="C2736" s="23"/>
      <c r="D2736" s="24"/>
      <c r="E2736" s="14"/>
      <c r="F2736" s="14"/>
      <c r="G2736" s="14"/>
      <c r="H2736" s="23"/>
      <c r="I2736" s="27"/>
      <c r="J2736" s="23"/>
      <c r="K2736" s="30"/>
      <c r="L2736" s="23"/>
      <c r="M2736" s="20"/>
      <c r="N2736" s="20"/>
      <c r="O2736" s="20"/>
      <c r="P2736" s="20"/>
    </row>
    <row r="2737">
      <c r="A2737" s="10"/>
      <c r="B2737" s="11"/>
      <c r="C2737" s="10"/>
      <c r="D2737" s="13"/>
      <c r="E2737" s="14"/>
      <c r="F2737" s="14"/>
      <c r="G2737" s="14"/>
      <c r="H2737" s="10"/>
      <c r="I2737" s="17"/>
      <c r="J2737" s="10"/>
      <c r="K2737" s="46"/>
      <c r="L2737" s="10"/>
      <c r="M2737" s="20"/>
      <c r="N2737" s="20"/>
      <c r="O2737" s="20"/>
      <c r="P2737" s="20"/>
    </row>
    <row r="2738">
      <c r="A2738" s="23"/>
      <c r="B2738" s="21"/>
      <c r="C2738" s="23"/>
      <c r="D2738" s="24"/>
      <c r="E2738" s="14"/>
      <c r="F2738" s="14"/>
      <c r="G2738" s="14"/>
      <c r="H2738" s="23"/>
      <c r="I2738" s="27"/>
      <c r="J2738" s="23"/>
      <c r="K2738" s="30"/>
      <c r="L2738" s="23"/>
      <c r="M2738" s="20"/>
      <c r="N2738" s="20"/>
      <c r="O2738" s="20"/>
      <c r="P2738" s="20"/>
    </row>
    <row r="2739">
      <c r="A2739" s="10"/>
      <c r="B2739" s="11"/>
      <c r="C2739" s="10"/>
      <c r="D2739" s="13"/>
      <c r="E2739" s="14"/>
      <c r="F2739" s="14"/>
      <c r="G2739" s="14"/>
      <c r="H2739" s="10"/>
      <c r="I2739" s="17"/>
      <c r="J2739" s="10"/>
      <c r="K2739" s="46"/>
      <c r="L2739" s="10"/>
      <c r="M2739" s="20"/>
      <c r="N2739" s="20"/>
      <c r="O2739" s="20"/>
      <c r="P2739" s="20"/>
    </row>
    <row r="2740">
      <c r="A2740" s="23"/>
      <c r="B2740" s="21"/>
      <c r="C2740" s="23"/>
      <c r="D2740" s="24"/>
      <c r="E2740" s="14"/>
      <c r="F2740" s="14"/>
      <c r="G2740" s="14"/>
      <c r="H2740" s="23"/>
      <c r="I2740" s="27"/>
      <c r="J2740" s="23"/>
      <c r="K2740" s="30"/>
      <c r="L2740" s="23"/>
      <c r="M2740" s="20"/>
      <c r="N2740" s="20"/>
      <c r="O2740" s="20"/>
      <c r="P2740" s="20"/>
    </row>
    <row r="2741">
      <c r="A2741" s="10"/>
      <c r="B2741" s="11"/>
      <c r="C2741" s="10"/>
      <c r="D2741" s="13"/>
      <c r="E2741" s="14"/>
      <c r="F2741" s="14"/>
      <c r="G2741" s="14"/>
      <c r="H2741" s="10"/>
      <c r="I2741" s="17"/>
      <c r="J2741" s="10"/>
      <c r="K2741" s="46"/>
      <c r="L2741" s="10"/>
      <c r="M2741" s="20"/>
      <c r="N2741" s="20"/>
      <c r="O2741" s="20"/>
      <c r="P2741" s="20"/>
    </row>
    <row r="2742">
      <c r="A2742" s="23"/>
      <c r="B2742" s="21"/>
      <c r="C2742" s="23"/>
      <c r="D2742" s="24"/>
      <c r="E2742" s="14"/>
      <c r="F2742" s="14"/>
      <c r="G2742" s="14"/>
      <c r="H2742" s="23"/>
      <c r="I2742" s="27"/>
      <c r="J2742" s="23"/>
      <c r="K2742" s="30"/>
      <c r="L2742" s="23"/>
      <c r="M2742" s="20"/>
      <c r="N2742" s="20"/>
      <c r="O2742" s="20"/>
      <c r="P2742" s="20"/>
    </row>
    <row r="2743">
      <c r="A2743" s="10"/>
      <c r="B2743" s="11"/>
      <c r="C2743" s="10"/>
      <c r="D2743" s="13"/>
      <c r="E2743" s="14"/>
      <c r="F2743" s="14"/>
      <c r="G2743" s="14"/>
      <c r="H2743" s="10"/>
      <c r="I2743" s="17"/>
      <c r="J2743" s="10"/>
      <c r="K2743" s="46"/>
      <c r="L2743" s="10"/>
      <c r="M2743" s="20"/>
      <c r="N2743" s="20"/>
      <c r="O2743" s="20"/>
      <c r="P2743" s="20"/>
    </row>
    <row r="2744">
      <c r="A2744" s="23"/>
      <c r="B2744" s="21"/>
      <c r="C2744" s="23"/>
      <c r="D2744" s="24"/>
      <c r="E2744" s="14"/>
      <c r="F2744" s="14"/>
      <c r="G2744" s="14"/>
      <c r="H2744" s="23"/>
      <c r="I2744" s="27"/>
      <c r="J2744" s="23"/>
      <c r="K2744" s="30"/>
      <c r="L2744" s="23"/>
      <c r="M2744" s="20"/>
      <c r="N2744" s="20"/>
      <c r="O2744" s="20"/>
      <c r="P2744" s="20"/>
    </row>
    <row r="2745">
      <c r="A2745" s="10"/>
      <c r="B2745" s="11"/>
      <c r="C2745" s="10"/>
      <c r="D2745" s="13"/>
      <c r="E2745" s="14"/>
      <c r="F2745" s="14"/>
      <c r="G2745" s="14"/>
      <c r="H2745" s="10"/>
      <c r="I2745" s="17"/>
      <c r="J2745" s="10"/>
      <c r="K2745" s="46"/>
      <c r="L2745" s="10"/>
      <c r="M2745" s="20"/>
      <c r="N2745" s="20"/>
      <c r="O2745" s="20"/>
      <c r="P2745" s="20"/>
    </row>
    <row r="2746">
      <c r="A2746" s="23"/>
      <c r="B2746" s="21"/>
      <c r="C2746" s="23"/>
      <c r="D2746" s="24"/>
      <c r="E2746" s="14"/>
      <c r="F2746" s="14"/>
      <c r="G2746" s="14"/>
      <c r="H2746" s="23"/>
      <c r="I2746" s="27"/>
      <c r="J2746" s="23"/>
      <c r="K2746" s="30"/>
      <c r="L2746" s="23"/>
      <c r="M2746" s="20"/>
      <c r="N2746" s="20"/>
      <c r="O2746" s="20"/>
      <c r="P2746" s="20"/>
    </row>
    <row r="2747">
      <c r="A2747" s="10"/>
      <c r="B2747" s="11"/>
      <c r="C2747" s="10"/>
      <c r="D2747" s="13"/>
      <c r="E2747" s="14"/>
      <c r="F2747" s="14"/>
      <c r="G2747" s="14"/>
      <c r="H2747" s="10"/>
      <c r="I2747" s="17"/>
      <c r="J2747" s="10"/>
      <c r="K2747" s="46"/>
      <c r="L2747" s="10"/>
      <c r="M2747" s="20"/>
      <c r="N2747" s="20"/>
      <c r="O2747" s="20"/>
      <c r="P2747" s="20"/>
    </row>
    <row r="2748">
      <c r="A2748" s="23"/>
      <c r="B2748" s="21"/>
      <c r="C2748" s="23"/>
      <c r="D2748" s="24"/>
      <c r="E2748" s="14"/>
      <c r="F2748" s="14"/>
      <c r="G2748" s="14"/>
      <c r="H2748" s="23"/>
      <c r="I2748" s="27"/>
      <c r="J2748" s="23"/>
      <c r="K2748" s="30"/>
      <c r="L2748" s="23"/>
      <c r="M2748" s="20"/>
      <c r="N2748" s="20"/>
      <c r="O2748" s="20"/>
      <c r="P2748" s="20"/>
    </row>
    <row r="2749">
      <c r="A2749" s="10"/>
      <c r="B2749" s="11"/>
      <c r="C2749" s="10"/>
      <c r="D2749" s="13"/>
      <c r="E2749" s="14"/>
      <c r="F2749" s="14"/>
      <c r="G2749" s="14"/>
      <c r="H2749" s="10"/>
      <c r="I2749" s="17"/>
      <c r="J2749" s="10"/>
      <c r="K2749" s="46"/>
      <c r="L2749" s="10"/>
      <c r="M2749" s="20"/>
      <c r="N2749" s="20"/>
      <c r="O2749" s="20"/>
      <c r="P2749" s="20"/>
    </row>
    <row r="2750">
      <c r="A2750" s="23"/>
      <c r="B2750" s="21"/>
      <c r="C2750" s="23"/>
      <c r="D2750" s="24"/>
      <c r="E2750" s="14"/>
      <c r="F2750" s="14"/>
      <c r="G2750" s="14"/>
      <c r="H2750" s="23"/>
      <c r="I2750" s="27"/>
      <c r="J2750" s="23"/>
      <c r="K2750" s="30"/>
      <c r="L2750" s="23"/>
      <c r="M2750" s="20"/>
      <c r="N2750" s="20"/>
      <c r="O2750" s="20"/>
      <c r="P2750" s="20"/>
    </row>
    <row r="2751">
      <c r="A2751" s="10"/>
      <c r="B2751" s="11"/>
      <c r="C2751" s="10"/>
      <c r="D2751" s="13"/>
      <c r="E2751" s="14"/>
      <c r="F2751" s="14"/>
      <c r="G2751" s="14"/>
      <c r="H2751" s="10"/>
      <c r="I2751" s="17"/>
      <c r="J2751" s="10"/>
      <c r="K2751" s="46"/>
      <c r="L2751" s="10"/>
      <c r="M2751" s="20"/>
      <c r="N2751" s="20"/>
      <c r="O2751" s="20"/>
      <c r="P2751" s="20"/>
    </row>
    <row r="2752">
      <c r="A2752" s="23"/>
      <c r="B2752" s="21"/>
      <c r="C2752" s="23"/>
      <c r="D2752" s="24"/>
      <c r="E2752" s="14"/>
      <c r="F2752" s="14"/>
      <c r="G2752" s="14"/>
      <c r="H2752" s="23"/>
      <c r="I2752" s="27"/>
      <c r="J2752" s="23"/>
      <c r="K2752" s="30"/>
      <c r="L2752" s="23"/>
      <c r="M2752" s="20"/>
      <c r="N2752" s="20"/>
      <c r="O2752" s="20"/>
      <c r="P2752" s="20"/>
    </row>
    <row r="2753">
      <c r="A2753" s="10"/>
      <c r="B2753" s="11"/>
      <c r="C2753" s="10"/>
      <c r="D2753" s="13"/>
      <c r="E2753" s="14"/>
      <c r="F2753" s="14"/>
      <c r="G2753" s="14"/>
      <c r="H2753" s="10"/>
      <c r="I2753" s="17"/>
      <c r="J2753" s="10"/>
      <c r="K2753" s="46"/>
      <c r="L2753" s="10"/>
      <c r="M2753" s="20"/>
      <c r="N2753" s="20"/>
      <c r="O2753" s="20"/>
      <c r="P2753" s="20"/>
    </row>
    <row r="2754">
      <c r="A2754" s="23"/>
      <c r="B2754" s="21"/>
      <c r="C2754" s="23"/>
      <c r="D2754" s="24"/>
      <c r="E2754" s="14"/>
      <c r="F2754" s="14"/>
      <c r="G2754" s="14"/>
      <c r="H2754" s="23"/>
      <c r="I2754" s="27"/>
      <c r="J2754" s="23"/>
      <c r="K2754" s="30"/>
      <c r="L2754" s="23"/>
      <c r="M2754" s="20"/>
      <c r="N2754" s="20"/>
      <c r="O2754" s="20"/>
      <c r="P2754" s="20"/>
    </row>
    <row r="2755">
      <c r="A2755" s="10"/>
      <c r="B2755" s="11"/>
      <c r="C2755" s="10"/>
      <c r="D2755" s="13"/>
      <c r="E2755" s="14"/>
      <c r="F2755" s="14"/>
      <c r="G2755" s="14"/>
      <c r="H2755" s="10"/>
      <c r="I2755" s="17"/>
      <c r="J2755" s="10"/>
      <c r="K2755" s="46"/>
      <c r="L2755" s="10"/>
      <c r="M2755" s="20"/>
      <c r="N2755" s="20"/>
      <c r="O2755" s="20"/>
      <c r="P2755" s="20"/>
    </row>
    <row r="2756">
      <c r="A2756" s="23"/>
      <c r="B2756" s="21"/>
      <c r="C2756" s="23"/>
      <c r="D2756" s="24"/>
      <c r="E2756" s="14"/>
      <c r="F2756" s="14"/>
      <c r="G2756" s="14"/>
      <c r="H2756" s="23"/>
      <c r="I2756" s="27"/>
      <c r="J2756" s="23"/>
      <c r="K2756" s="30"/>
      <c r="L2756" s="23"/>
      <c r="M2756" s="20"/>
      <c r="N2756" s="20"/>
      <c r="O2756" s="20"/>
      <c r="P2756" s="20"/>
    </row>
    <row r="2757">
      <c r="A2757" s="10"/>
      <c r="B2757" s="11"/>
      <c r="C2757" s="10"/>
      <c r="D2757" s="13"/>
      <c r="E2757" s="14"/>
      <c r="F2757" s="14"/>
      <c r="G2757" s="14"/>
      <c r="H2757" s="10"/>
      <c r="I2757" s="17"/>
      <c r="J2757" s="10"/>
      <c r="K2757" s="46"/>
      <c r="L2757" s="10"/>
      <c r="M2757" s="20"/>
      <c r="N2757" s="20"/>
      <c r="O2757" s="20"/>
      <c r="P2757" s="20"/>
    </row>
    <row r="2758">
      <c r="A2758" s="23"/>
      <c r="B2758" s="21"/>
      <c r="C2758" s="23"/>
      <c r="D2758" s="24"/>
      <c r="E2758" s="14"/>
      <c r="F2758" s="14"/>
      <c r="G2758" s="14"/>
      <c r="H2758" s="23"/>
      <c r="I2758" s="27"/>
      <c r="J2758" s="23"/>
      <c r="K2758" s="30"/>
      <c r="L2758" s="23"/>
      <c r="M2758" s="20"/>
      <c r="N2758" s="20"/>
      <c r="O2758" s="20"/>
      <c r="P2758" s="20"/>
    </row>
    <row r="2759">
      <c r="A2759" s="10"/>
      <c r="B2759" s="11"/>
      <c r="C2759" s="10"/>
      <c r="D2759" s="13"/>
      <c r="E2759" s="14"/>
      <c r="F2759" s="14"/>
      <c r="G2759" s="14"/>
      <c r="H2759" s="10"/>
      <c r="I2759" s="17"/>
      <c r="J2759" s="10"/>
      <c r="K2759" s="46"/>
      <c r="L2759" s="10"/>
      <c r="M2759" s="20"/>
      <c r="N2759" s="20"/>
      <c r="O2759" s="20"/>
      <c r="P2759" s="20"/>
    </row>
    <row r="2760">
      <c r="A2760" s="23"/>
      <c r="B2760" s="21"/>
      <c r="C2760" s="23"/>
      <c r="D2760" s="24"/>
      <c r="E2760" s="14"/>
      <c r="F2760" s="14"/>
      <c r="G2760" s="14"/>
      <c r="H2760" s="23"/>
      <c r="I2760" s="27"/>
      <c r="J2760" s="23"/>
      <c r="K2760" s="30"/>
      <c r="L2760" s="23"/>
      <c r="M2760" s="20"/>
      <c r="N2760" s="20"/>
      <c r="O2760" s="20"/>
      <c r="P2760" s="20"/>
    </row>
    <row r="2761">
      <c r="A2761" s="10"/>
      <c r="B2761" s="11"/>
      <c r="C2761" s="10"/>
      <c r="D2761" s="13"/>
      <c r="E2761" s="14"/>
      <c r="F2761" s="14"/>
      <c r="G2761" s="14"/>
      <c r="H2761" s="10"/>
      <c r="I2761" s="17"/>
      <c r="J2761" s="10"/>
      <c r="K2761" s="46"/>
      <c r="L2761" s="10"/>
      <c r="M2761" s="20"/>
      <c r="N2761" s="20"/>
      <c r="O2761" s="20"/>
      <c r="P2761" s="20"/>
    </row>
    <row r="2762">
      <c r="A2762" s="23"/>
      <c r="B2762" s="21"/>
      <c r="C2762" s="23"/>
      <c r="D2762" s="24"/>
      <c r="E2762" s="14"/>
      <c r="F2762" s="14"/>
      <c r="G2762" s="14"/>
      <c r="H2762" s="23"/>
      <c r="I2762" s="27"/>
      <c r="J2762" s="23"/>
      <c r="K2762" s="30"/>
      <c r="L2762" s="23"/>
      <c r="M2762" s="20"/>
      <c r="N2762" s="20"/>
      <c r="O2762" s="20"/>
      <c r="P2762" s="20"/>
    </row>
    <row r="2763">
      <c r="A2763" s="10"/>
      <c r="B2763" s="11"/>
      <c r="C2763" s="10"/>
      <c r="D2763" s="13"/>
      <c r="E2763" s="14"/>
      <c r="F2763" s="14"/>
      <c r="G2763" s="14"/>
      <c r="H2763" s="10"/>
      <c r="I2763" s="17"/>
      <c r="J2763" s="10"/>
      <c r="K2763" s="46"/>
      <c r="L2763" s="10"/>
      <c r="M2763" s="20"/>
      <c r="N2763" s="20"/>
      <c r="O2763" s="20"/>
      <c r="P2763" s="20"/>
    </row>
    <row r="2764">
      <c r="A2764" s="23"/>
      <c r="B2764" s="21"/>
      <c r="C2764" s="23"/>
      <c r="D2764" s="24"/>
      <c r="E2764" s="14"/>
      <c r="F2764" s="14"/>
      <c r="G2764" s="14"/>
      <c r="H2764" s="23"/>
      <c r="I2764" s="27"/>
      <c r="J2764" s="23"/>
      <c r="K2764" s="30"/>
      <c r="L2764" s="23"/>
      <c r="M2764" s="20"/>
      <c r="N2764" s="20"/>
      <c r="O2764" s="20"/>
      <c r="P2764" s="20"/>
    </row>
    <row r="2765">
      <c r="A2765" s="10"/>
      <c r="B2765" s="11"/>
      <c r="C2765" s="10"/>
      <c r="D2765" s="13"/>
      <c r="E2765" s="14"/>
      <c r="F2765" s="14"/>
      <c r="G2765" s="14"/>
      <c r="H2765" s="10"/>
      <c r="I2765" s="17"/>
      <c r="J2765" s="10"/>
      <c r="K2765" s="46"/>
      <c r="L2765" s="10"/>
      <c r="M2765" s="20"/>
      <c r="N2765" s="20"/>
      <c r="O2765" s="20"/>
      <c r="P2765" s="20"/>
    </row>
    <row r="2766">
      <c r="A2766" s="23"/>
      <c r="B2766" s="21"/>
      <c r="C2766" s="23"/>
      <c r="D2766" s="24"/>
      <c r="E2766" s="14"/>
      <c r="F2766" s="14"/>
      <c r="G2766" s="14"/>
      <c r="H2766" s="23"/>
      <c r="I2766" s="27"/>
      <c r="J2766" s="23"/>
      <c r="K2766" s="30"/>
      <c r="L2766" s="23"/>
      <c r="M2766" s="20"/>
      <c r="N2766" s="20"/>
      <c r="O2766" s="20"/>
      <c r="P2766" s="20"/>
    </row>
    <row r="2767">
      <c r="A2767" s="10"/>
      <c r="B2767" s="11"/>
      <c r="C2767" s="10"/>
      <c r="D2767" s="13"/>
      <c r="E2767" s="14"/>
      <c r="F2767" s="14"/>
      <c r="G2767" s="14"/>
      <c r="H2767" s="10"/>
      <c r="I2767" s="17"/>
      <c r="J2767" s="10"/>
      <c r="K2767" s="46"/>
      <c r="L2767" s="10"/>
      <c r="M2767" s="20"/>
      <c r="N2767" s="20"/>
      <c r="O2767" s="20"/>
      <c r="P2767" s="20"/>
    </row>
    <row r="2768">
      <c r="A2768" s="23"/>
      <c r="B2768" s="21"/>
      <c r="C2768" s="23"/>
      <c r="D2768" s="24"/>
      <c r="E2768" s="14"/>
      <c r="F2768" s="14"/>
      <c r="G2768" s="14"/>
      <c r="H2768" s="23"/>
      <c r="I2768" s="27"/>
      <c r="J2768" s="23"/>
      <c r="K2768" s="30"/>
      <c r="L2768" s="23"/>
      <c r="M2768" s="20"/>
      <c r="N2768" s="20"/>
      <c r="O2768" s="20"/>
      <c r="P2768" s="20"/>
    </row>
    <row r="2769">
      <c r="A2769" s="10"/>
      <c r="B2769" s="11"/>
      <c r="C2769" s="10"/>
      <c r="D2769" s="13"/>
      <c r="E2769" s="14"/>
      <c r="F2769" s="14"/>
      <c r="G2769" s="14"/>
      <c r="H2769" s="10"/>
      <c r="I2769" s="17"/>
      <c r="J2769" s="10"/>
      <c r="K2769" s="46"/>
      <c r="L2769" s="10"/>
      <c r="M2769" s="20"/>
      <c r="N2769" s="20"/>
      <c r="O2769" s="20"/>
      <c r="P2769" s="20"/>
    </row>
    <row r="2770">
      <c r="A2770" s="23"/>
      <c r="B2770" s="21"/>
      <c r="C2770" s="23"/>
      <c r="D2770" s="24"/>
      <c r="E2770" s="14"/>
      <c r="F2770" s="14"/>
      <c r="G2770" s="14"/>
      <c r="H2770" s="23"/>
      <c r="I2770" s="27"/>
      <c r="J2770" s="23"/>
      <c r="K2770" s="30"/>
      <c r="L2770" s="23"/>
      <c r="M2770" s="20"/>
      <c r="N2770" s="20"/>
      <c r="O2770" s="20"/>
      <c r="P2770" s="20"/>
    </row>
    <row r="2771">
      <c r="A2771" s="10"/>
      <c r="B2771" s="11"/>
      <c r="C2771" s="10"/>
      <c r="D2771" s="13"/>
      <c r="E2771" s="14"/>
      <c r="F2771" s="14"/>
      <c r="G2771" s="14"/>
      <c r="H2771" s="10"/>
      <c r="I2771" s="17"/>
      <c r="J2771" s="10"/>
      <c r="K2771" s="46"/>
      <c r="L2771" s="10"/>
      <c r="M2771" s="20"/>
      <c r="N2771" s="20"/>
      <c r="O2771" s="20"/>
      <c r="P2771" s="20"/>
    </row>
    <row r="2772">
      <c r="A2772" s="23"/>
      <c r="B2772" s="21"/>
      <c r="C2772" s="23"/>
      <c r="D2772" s="24"/>
      <c r="E2772" s="14"/>
      <c r="F2772" s="14"/>
      <c r="G2772" s="14"/>
      <c r="H2772" s="23"/>
      <c r="I2772" s="27"/>
      <c r="J2772" s="23"/>
      <c r="K2772" s="30"/>
      <c r="L2772" s="23"/>
      <c r="M2772" s="20"/>
      <c r="N2772" s="20"/>
      <c r="O2772" s="20"/>
      <c r="P2772" s="20"/>
    </row>
    <row r="2773">
      <c r="A2773" s="10"/>
      <c r="B2773" s="11"/>
      <c r="C2773" s="10"/>
      <c r="D2773" s="13"/>
      <c r="E2773" s="14"/>
      <c r="F2773" s="14"/>
      <c r="G2773" s="14"/>
      <c r="H2773" s="10"/>
      <c r="I2773" s="17"/>
      <c r="J2773" s="10"/>
      <c r="K2773" s="46"/>
      <c r="L2773" s="10"/>
      <c r="M2773" s="20"/>
      <c r="N2773" s="20"/>
      <c r="O2773" s="20"/>
      <c r="P2773" s="20"/>
    </row>
    <row r="2774">
      <c r="A2774" s="23"/>
      <c r="B2774" s="21"/>
      <c r="C2774" s="23"/>
      <c r="D2774" s="24"/>
      <c r="E2774" s="14"/>
      <c r="F2774" s="14"/>
      <c r="G2774" s="14"/>
      <c r="H2774" s="23"/>
      <c r="I2774" s="27"/>
      <c r="J2774" s="23"/>
      <c r="K2774" s="30"/>
      <c r="L2774" s="23"/>
      <c r="M2774" s="20"/>
      <c r="N2774" s="20"/>
      <c r="O2774" s="20"/>
      <c r="P2774" s="20"/>
    </row>
    <row r="2775">
      <c r="A2775" s="10"/>
      <c r="B2775" s="11"/>
      <c r="C2775" s="10"/>
      <c r="D2775" s="13"/>
      <c r="E2775" s="14"/>
      <c r="F2775" s="14"/>
      <c r="G2775" s="14"/>
      <c r="H2775" s="10"/>
      <c r="I2775" s="17"/>
      <c r="J2775" s="10"/>
      <c r="K2775" s="46"/>
      <c r="L2775" s="10"/>
      <c r="M2775" s="20"/>
      <c r="N2775" s="20"/>
      <c r="O2775" s="20"/>
      <c r="P2775" s="20"/>
    </row>
    <row r="2776">
      <c r="A2776" s="23"/>
      <c r="B2776" s="21"/>
      <c r="C2776" s="23"/>
      <c r="D2776" s="24"/>
      <c r="E2776" s="14"/>
      <c r="F2776" s="14"/>
      <c r="G2776" s="14"/>
      <c r="H2776" s="23"/>
      <c r="I2776" s="27"/>
      <c r="J2776" s="23"/>
      <c r="K2776" s="30"/>
      <c r="L2776" s="23"/>
      <c r="M2776" s="20"/>
      <c r="N2776" s="20"/>
      <c r="O2776" s="20"/>
      <c r="P2776" s="20"/>
    </row>
    <row r="2777">
      <c r="A2777" s="10"/>
      <c r="B2777" s="11"/>
      <c r="C2777" s="10"/>
      <c r="D2777" s="13"/>
      <c r="E2777" s="14"/>
      <c r="F2777" s="14"/>
      <c r="G2777" s="14"/>
      <c r="H2777" s="10"/>
      <c r="I2777" s="17"/>
      <c r="J2777" s="10"/>
      <c r="K2777" s="46"/>
      <c r="L2777" s="10"/>
      <c r="M2777" s="20"/>
      <c r="N2777" s="20"/>
      <c r="O2777" s="20"/>
      <c r="P2777" s="20"/>
    </row>
    <row r="2778">
      <c r="A2778" s="23"/>
      <c r="B2778" s="21"/>
      <c r="C2778" s="23"/>
      <c r="D2778" s="24"/>
      <c r="E2778" s="14"/>
      <c r="F2778" s="14"/>
      <c r="G2778" s="14"/>
      <c r="H2778" s="23"/>
      <c r="I2778" s="27"/>
      <c r="J2778" s="23"/>
      <c r="K2778" s="30"/>
      <c r="L2778" s="23"/>
      <c r="M2778" s="20"/>
      <c r="N2778" s="20"/>
      <c r="O2778" s="20"/>
      <c r="P2778" s="20"/>
    </row>
    <row r="2779">
      <c r="A2779" s="10"/>
      <c r="B2779" s="11"/>
      <c r="C2779" s="10"/>
      <c r="D2779" s="13"/>
      <c r="E2779" s="14"/>
      <c r="F2779" s="14"/>
      <c r="G2779" s="14"/>
      <c r="H2779" s="10"/>
      <c r="I2779" s="17"/>
      <c r="J2779" s="10"/>
      <c r="K2779" s="46"/>
      <c r="L2779" s="10"/>
      <c r="M2779" s="20"/>
      <c r="N2779" s="20"/>
      <c r="O2779" s="20"/>
      <c r="P2779" s="20"/>
    </row>
    <row r="2780">
      <c r="A2780" s="23"/>
      <c r="B2780" s="21"/>
      <c r="C2780" s="23"/>
      <c r="D2780" s="24"/>
      <c r="E2780" s="14"/>
      <c r="F2780" s="14"/>
      <c r="G2780" s="14"/>
      <c r="H2780" s="23"/>
      <c r="I2780" s="27"/>
      <c r="J2780" s="23"/>
      <c r="K2780" s="30"/>
      <c r="L2780" s="23"/>
      <c r="M2780" s="20"/>
      <c r="N2780" s="20"/>
      <c r="O2780" s="20"/>
      <c r="P2780" s="20"/>
    </row>
    <row r="2781">
      <c r="A2781" s="10"/>
      <c r="B2781" s="11"/>
      <c r="C2781" s="10"/>
      <c r="D2781" s="13"/>
      <c r="E2781" s="14"/>
      <c r="F2781" s="14"/>
      <c r="G2781" s="14"/>
      <c r="H2781" s="10"/>
      <c r="I2781" s="17"/>
      <c r="J2781" s="10"/>
      <c r="K2781" s="46"/>
      <c r="L2781" s="10"/>
      <c r="M2781" s="20"/>
      <c r="N2781" s="20"/>
      <c r="O2781" s="20"/>
      <c r="P2781" s="20"/>
    </row>
    <row r="2782">
      <c r="A2782" s="23"/>
      <c r="B2782" s="21"/>
      <c r="C2782" s="23"/>
      <c r="D2782" s="24"/>
      <c r="E2782" s="14"/>
      <c r="F2782" s="14"/>
      <c r="G2782" s="14"/>
      <c r="H2782" s="23"/>
      <c r="I2782" s="27"/>
      <c r="J2782" s="23"/>
      <c r="K2782" s="30"/>
      <c r="L2782" s="23"/>
      <c r="M2782" s="20"/>
      <c r="N2782" s="20"/>
      <c r="O2782" s="20"/>
      <c r="P2782" s="20"/>
    </row>
    <row r="2783">
      <c r="A2783" s="10"/>
      <c r="B2783" s="11"/>
      <c r="C2783" s="10"/>
      <c r="D2783" s="13"/>
      <c r="E2783" s="14"/>
      <c r="F2783" s="14"/>
      <c r="G2783" s="14"/>
      <c r="H2783" s="10"/>
      <c r="I2783" s="17"/>
      <c r="J2783" s="10"/>
      <c r="K2783" s="46"/>
      <c r="L2783" s="10"/>
      <c r="M2783" s="20"/>
      <c r="N2783" s="20"/>
      <c r="O2783" s="20"/>
      <c r="P2783" s="20"/>
    </row>
    <row r="2784">
      <c r="A2784" s="23"/>
      <c r="B2784" s="21"/>
      <c r="C2784" s="23"/>
      <c r="D2784" s="24"/>
      <c r="E2784" s="14"/>
      <c r="F2784" s="14"/>
      <c r="G2784" s="14"/>
      <c r="H2784" s="23"/>
      <c r="I2784" s="27"/>
      <c r="J2784" s="23"/>
      <c r="K2784" s="30"/>
      <c r="L2784" s="23"/>
      <c r="M2784" s="20"/>
      <c r="N2784" s="20"/>
      <c r="O2784" s="20"/>
      <c r="P2784" s="20"/>
    </row>
    <row r="2785">
      <c r="A2785" s="10"/>
      <c r="B2785" s="11"/>
      <c r="C2785" s="10"/>
      <c r="D2785" s="13"/>
      <c r="E2785" s="14"/>
      <c r="F2785" s="14"/>
      <c r="G2785" s="14"/>
      <c r="H2785" s="10"/>
      <c r="I2785" s="17"/>
      <c r="J2785" s="10"/>
      <c r="K2785" s="46"/>
      <c r="L2785" s="10"/>
      <c r="M2785" s="20"/>
      <c r="N2785" s="20"/>
      <c r="O2785" s="20"/>
      <c r="P2785" s="20"/>
    </row>
    <row r="2786">
      <c r="A2786" s="23"/>
      <c r="B2786" s="21"/>
      <c r="C2786" s="23"/>
      <c r="D2786" s="24"/>
      <c r="E2786" s="14"/>
      <c r="F2786" s="14"/>
      <c r="G2786" s="14"/>
      <c r="H2786" s="23"/>
      <c r="I2786" s="27"/>
      <c r="J2786" s="23"/>
      <c r="K2786" s="30"/>
      <c r="L2786" s="23"/>
      <c r="M2786" s="20"/>
      <c r="N2786" s="20"/>
      <c r="O2786" s="20"/>
      <c r="P2786" s="20"/>
    </row>
    <row r="2787">
      <c r="A2787" s="10"/>
      <c r="B2787" s="11"/>
      <c r="C2787" s="10"/>
      <c r="D2787" s="13"/>
      <c r="E2787" s="14"/>
      <c r="F2787" s="14"/>
      <c r="G2787" s="14"/>
      <c r="H2787" s="10"/>
      <c r="I2787" s="17"/>
      <c r="J2787" s="10"/>
      <c r="K2787" s="46"/>
      <c r="L2787" s="10"/>
      <c r="M2787" s="20"/>
      <c r="N2787" s="20"/>
      <c r="O2787" s="20"/>
      <c r="P2787" s="20"/>
    </row>
    <row r="2788">
      <c r="A2788" s="23"/>
      <c r="B2788" s="21"/>
      <c r="C2788" s="23"/>
      <c r="D2788" s="24"/>
      <c r="E2788" s="14"/>
      <c r="F2788" s="14"/>
      <c r="G2788" s="14"/>
      <c r="H2788" s="23"/>
      <c r="I2788" s="27"/>
      <c r="J2788" s="23"/>
      <c r="K2788" s="30"/>
      <c r="L2788" s="23"/>
      <c r="M2788" s="20"/>
      <c r="N2788" s="20"/>
      <c r="O2788" s="20"/>
      <c r="P2788" s="20"/>
    </row>
    <row r="2789">
      <c r="A2789" s="10"/>
      <c r="B2789" s="11"/>
      <c r="C2789" s="10"/>
      <c r="D2789" s="13"/>
      <c r="E2789" s="14"/>
      <c r="F2789" s="14"/>
      <c r="G2789" s="14"/>
      <c r="H2789" s="10"/>
      <c r="I2789" s="17"/>
      <c r="J2789" s="10"/>
      <c r="K2789" s="46"/>
      <c r="L2789" s="10"/>
      <c r="M2789" s="20"/>
      <c r="N2789" s="20"/>
      <c r="O2789" s="20"/>
      <c r="P2789" s="20"/>
    </row>
    <row r="2790">
      <c r="A2790" s="23"/>
      <c r="B2790" s="21"/>
      <c r="C2790" s="23"/>
      <c r="D2790" s="24"/>
      <c r="E2790" s="14"/>
      <c r="F2790" s="14"/>
      <c r="G2790" s="14"/>
      <c r="H2790" s="23"/>
      <c r="I2790" s="27"/>
      <c r="J2790" s="23"/>
      <c r="K2790" s="30"/>
      <c r="L2790" s="23"/>
      <c r="M2790" s="20"/>
      <c r="N2790" s="20"/>
      <c r="O2790" s="20"/>
      <c r="P2790" s="20"/>
    </row>
    <row r="2791">
      <c r="A2791" s="10"/>
      <c r="B2791" s="11"/>
      <c r="C2791" s="10"/>
      <c r="D2791" s="13"/>
      <c r="E2791" s="14"/>
      <c r="F2791" s="14"/>
      <c r="G2791" s="14"/>
      <c r="H2791" s="10"/>
      <c r="I2791" s="17"/>
      <c r="J2791" s="10"/>
      <c r="K2791" s="46"/>
      <c r="L2791" s="10"/>
      <c r="M2791" s="20"/>
      <c r="N2791" s="20"/>
      <c r="O2791" s="20"/>
      <c r="P2791" s="20"/>
    </row>
    <row r="2792">
      <c r="A2792" s="23"/>
      <c r="B2792" s="21"/>
      <c r="C2792" s="23"/>
      <c r="D2792" s="24"/>
      <c r="E2792" s="14"/>
      <c r="F2792" s="14"/>
      <c r="G2792" s="14"/>
      <c r="H2792" s="23"/>
      <c r="I2792" s="27"/>
      <c r="J2792" s="23"/>
      <c r="K2792" s="30"/>
      <c r="L2792" s="23"/>
      <c r="M2792" s="20"/>
      <c r="N2792" s="20"/>
      <c r="O2792" s="20"/>
      <c r="P2792" s="20"/>
    </row>
    <row r="2793">
      <c r="A2793" s="10"/>
      <c r="B2793" s="11"/>
      <c r="C2793" s="10"/>
      <c r="D2793" s="13"/>
      <c r="E2793" s="14"/>
      <c r="F2793" s="14"/>
      <c r="G2793" s="14"/>
      <c r="H2793" s="10"/>
      <c r="I2793" s="17"/>
      <c r="J2793" s="10"/>
      <c r="K2793" s="46"/>
      <c r="L2793" s="10"/>
      <c r="M2793" s="20"/>
      <c r="N2793" s="20"/>
      <c r="O2793" s="20"/>
      <c r="P2793" s="20"/>
    </row>
    <row r="2794">
      <c r="A2794" s="23"/>
      <c r="B2794" s="21"/>
      <c r="C2794" s="23"/>
      <c r="D2794" s="24"/>
      <c r="E2794" s="14"/>
      <c r="F2794" s="14"/>
      <c r="G2794" s="14"/>
      <c r="H2794" s="23"/>
      <c r="I2794" s="27"/>
      <c r="J2794" s="23"/>
      <c r="K2794" s="30"/>
      <c r="L2794" s="23"/>
      <c r="M2794" s="20"/>
      <c r="N2794" s="20"/>
      <c r="O2794" s="20"/>
      <c r="P2794" s="20"/>
    </row>
    <row r="2795">
      <c r="A2795" s="10"/>
      <c r="B2795" s="11"/>
      <c r="C2795" s="10"/>
      <c r="D2795" s="13"/>
      <c r="E2795" s="14"/>
      <c r="F2795" s="14"/>
      <c r="G2795" s="14"/>
      <c r="H2795" s="10"/>
      <c r="I2795" s="17"/>
      <c r="J2795" s="10"/>
      <c r="K2795" s="46"/>
      <c r="L2795" s="10"/>
      <c r="M2795" s="20"/>
      <c r="N2795" s="20"/>
      <c r="O2795" s="20"/>
      <c r="P2795" s="20"/>
    </row>
    <row r="2796">
      <c r="A2796" s="23"/>
      <c r="B2796" s="21"/>
      <c r="C2796" s="23"/>
      <c r="D2796" s="24"/>
      <c r="E2796" s="14"/>
      <c r="F2796" s="14"/>
      <c r="G2796" s="14"/>
      <c r="H2796" s="23"/>
      <c r="I2796" s="27"/>
      <c r="J2796" s="23"/>
      <c r="K2796" s="30"/>
      <c r="L2796" s="23"/>
      <c r="M2796" s="20"/>
      <c r="N2796" s="20"/>
      <c r="O2796" s="20"/>
      <c r="P2796" s="20"/>
    </row>
    <row r="2797">
      <c r="A2797" s="10"/>
      <c r="B2797" s="11"/>
      <c r="C2797" s="10"/>
      <c r="D2797" s="13"/>
      <c r="E2797" s="14"/>
      <c r="F2797" s="14"/>
      <c r="G2797" s="14"/>
      <c r="H2797" s="10"/>
      <c r="I2797" s="17"/>
      <c r="J2797" s="10"/>
      <c r="K2797" s="46"/>
      <c r="L2797" s="10"/>
      <c r="M2797" s="20"/>
      <c r="N2797" s="20"/>
      <c r="O2797" s="20"/>
      <c r="P2797" s="20"/>
    </row>
    <row r="2798">
      <c r="A2798" s="23"/>
      <c r="B2798" s="21"/>
      <c r="C2798" s="23"/>
      <c r="D2798" s="24"/>
      <c r="E2798" s="14"/>
      <c r="F2798" s="14"/>
      <c r="G2798" s="14"/>
      <c r="H2798" s="23"/>
      <c r="I2798" s="27"/>
      <c r="J2798" s="23"/>
      <c r="K2798" s="30"/>
      <c r="L2798" s="23"/>
      <c r="M2798" s="20"/>
      <c r="N2798" s="20"/>
      <c r="O2798" s="20"/>
      <c r="P2798" s="20"/>
    </row>
    <row r="2799">
      <c r="A2799" s="10"/>
      <c r="B2799" s="11"/>
      <c r="C2799" s="10"/>
      <c r="D2799" s="13"/>
      <c r="E2799" s="14"/>
      <c r="F2799" s="14"/>
      <c r="G2799" s="14"/>
      <c r="H2799" s="10"/>
      <c r="I2799" s="17"/>
      <c r="J2799" s="10"/>
      <c r="K2799" s="46"/>
      <c r="L2799" s="10"/>
      <c r="M2799" s="20"/>
      <c r="N2799" s="20"/>
      <c r="O2799" s="20"/>
      <c r="P2799" s="20"/>
    </row>
    <row r="2800">
      <c r="A2800" s="23"/>
      <c r="B2800" s="21"/>
      <c r="C2800" s="23"/>
      <c r="D2800" s="24"/>
      <c r="E2800" s="14"/>
      <c r="F2800" s="14"/>
      <c r="G2800" s="14"/>
      <c r="H2800" s="23"/>
      <c r="I2800" s="27"/>
      <c r="J2800" s="23"/>
      <c r="K2800" s="30"/>
      <c r="L2800" s="23"/>
      <c r="M2800" s="20"/>
      <c r="N2800" s="20"/>
      <c r="O2800" s="20"/>
      <c r="P2800" s="20"/>
    </row>
    <row r="2801">
      <c r="A2801" s="10"/>
      <c r="B2801" s="11"/>
      <c r="C2801" s="10"/>
      <c r="D2801" s="13"/>
      <c r="E2801" s="14"/>
      <c r="F2801" s="14"/>
      <c r="G2801" s="14"/>
      <c r="H2801" s="10"/>
      <c r="I2801" s="17"/>
      <c r="J2801" s="10"/>
      <c r="K2801" s="46"/>
      <c r="L2801" s="10"/>
      <c r="M2801" s="20"/>
      <c r="N2801" s="20"/>
      <c r="O2801" s="20"/>
      <c r="P2801" s="20"/>
    </row>
    <row r="2802">
      <c r="A2802" s="23"/>
      <c r="B2802" s="21"/>
      <c r="C2802" s="23"/>
      <c r="D2802" s="24"/>
      <c r="E2802" s="14"/>
      <c r="F2802" s="14"/>
      <c r="G2802" s="14"/>
      <c r="H2802" s="23"/>
      <c r="I2802" s="27"/>
      <c r="J2802" s="23"/>
      <c r="K2802" s="30"/>
      <c r="L2802" s="23"/>
      <c r="M2802" s="20"/>
      <c r="N2802" s="20"/>
      <c r="O2802" s="20"/>
      <c r="P2802" s="20"/>
    </row>
    <row r="2803">
      <c r="A2803" s="10"/>
      <c r="B2803" s="11"/>
      <c r="C2803" s="10"/>
      <c r="D2803" s="13"/>
      <c r="E2803" s="14"/>
      <c r="F2803" s="14"/>
      <c r="G2803" s="14"/>
      <c r="H2803" s="10"/>
      <c r="I2803" s="17"/>
      <c r="J2803" s="10"/>
      <c r="K2803" s="46"/>
      <c r="L2803" s="10"/>
      <c r="M2803" s="20"/>
      <c r="N2803" s="20"/>
      <c r="O2803" s="20"/>
      <c r="P2803" s="20"/>
    </row>
    <row r="2804">
      <c r="A2804" s="23"/>
      <c r="B2804" s="21"/>
      <c r="C2804" s="23"/>
      <c r="D2804" s="24"/>
      <c r="E2804" s="14"/>
      <c r="F2804" s="14"/>
      <c r="G2804" s="14"/>
      <c r="H2804" s="23"/>
      <c r="I2804" s="27"/>
      <c r="J2804" s="23"/>
      <c r="K2804" s="30"/>
      <c r="L2804" s="23"/>
      <c r="M2804" s="20"/>
      <c r="N2804" s="20"/>
      <c r="O2804" s="20"/>
      <c r="P2804" s="20"/>
    </row>
    <row r="2805">
      <c r="A2805" s="10"/>
      <c r="B2805" s="11"/>
      <c r="C2805" s="10"/>
      <c r="D2805" s="13"/>
      <c r="E2805" s="14"/>
      <c r="F2805" s="14"/>
      <c r="G2805" s="14"/>
      <c r="H2805" s="10"/>
      <c r="I2805" s="17"/>
      <c r="J2805" s="10"/>
      <c r="K2805" s="46"/>
      <c r="L2805" s="10"/>
      <c r="M2805" s="20"/>
      <c r="N2805" s="20"/>
      <c r="O2805" s="20"/>
      <c r="P2805" s="20"/>
    </row>
    <row r="2806">
      <c r="A2806" s="23"/>
      <c r="B2806" s="21"/>
      <c r="C2806" s="23"/>
      <c r="D2806" s="24"/>
      <c r="E2806" s="14"/>
      <c r="F2806" s="14"/>
      <c r="G2806" s="14"/>
      <c r="H2806" s="23"/>
      <c r="I2806" s="27"/>
      <c r="J2806" s="23"/>
      <c r="K2806" s="30"/>
      <c r="L2806" s="23"/>
      <c r="M2806" s="20"/>
      <c r="N2806" s="20"/>
      <c r="O2806" s="20"/>
      <c r="P2806" s="20"/>
    </row>
    <row r="2807">
      <c r="A2807" s="10"/>
      <c r="B2807" s="11"/>
      <c r="C2807" s="10"/>
      <c r="D2807" s="13"/>
      <c r="E2807" s="14"/>
      <c r="F2807" s="14"/>
      <c r="G2807" s="14"/>
      <c r="H2807" s="10"/>
      <c r="I2807" s="17"/>
      <c r="J2807" s="10"/>
      <c r="K2807" s="46"/>
      <c r="L2807" s="10"/>
      <c r="M2807" s="20"/>
      <c r="N2807" s="20"/>
      <c r="O2807" s="20"/>
      <c r="P2807" s="20"/>
    </row>
    <row r="2808">
      <c r="A2808" s="23"/>
      <c r="B2808" s="21"/>
      <c r="C2808" s="23"/>
      <c r="D2808" s="24"/>
      <c r="E2808" s="14"/>
      <c r="F2808" s="14"/>
      <c r="G2808" s="14"/>
      <c r="H2808" s="23"/>
      <c r="I2808" s="27"/>
      <c r="J2808" s="23"/>
      <c r="K2808" s="30"/>
      <c r="L2808" s="23"/>
      <c r="M2808" s="20"/>
      <c r="N2808" s="20"/>
      <c r="O2808" s="20"/>
      <c r="P2808" s="20"/>
    </row>
    <row r="2809">
      <c r="A2809" s="10"/>
      <c r="B2809" s="11"/>
      <c r="C2809" s="10"/>
      <c r="D2809" s="13"/>
      <c r="E2809" s="14"/>
      <c r="F2809" s="14"/>
      <c r="G2809" s="14"/>
      <c r="H2809" s="10"/>
      <c r="I2809" s="17"/>
      <c r="J2809" s="10"/>
      <c r="K2809" s="46"/>
      <c r="L2809" s="10"/>
      <c r="M2809" s="20"/>
      <c r="N2809" s="20"/>
      <c r="O2809" s="20"/>
      <c r="P2809" s="20"/>
    </row>
    <row r="2810">
      <c r="A2810" s="23"/>
      <c r="B2810" s="21"/>
      <c r="C2810" s="23"/>
      <c r="D2810" s="24"/>
      <c r="E2810" s="14"/>
      <c r="F2810" s="14"/>
      <c r="G2810" s="14"/>
      <c r="H2810" s="23"/>
      <c r="I2810" s="27"/>
      <c r="J2810" s="23"/>
      <c r="K2810" s="30"/>
      <c r="L2810" s="23"/>
      <c r="M2810" s="20"/>
      <c r="N2810" s="20"/>
      <c r="O2810" s="20"/>
      <c r="P2810" s="20"/>
    </row>
    <row r="2811">
      <c r="A2811" s="10"/>
      <c r="B2811" s="11"/>
      <c r="C2811" s="10"/>
      <c r="D2811" s="13"/>
      <c r="E2811" s="14"/>
      <c r="F2811" s="14"/>
      <c r="G2811" s="14"/>
      <c r="H2811" s="10"/>
      <c r="I2811" s="17"/>
      <c r="J2811" s="10"/>
      <c r="K2811" s="46"/>
      <c r="L2811" s="10"/>
      <c r="M2811" s="20"/>
      <c r="N2811" s="20"/>
      <c r="O2811" s="20"/>
      <c r="P2811" s="20"/>
    </row>
    <row r="2812">
      <c r="A2812" s="23"/>
      <c r="B2812" s="21"/>
      <c r="C2812" s="23"/>
      <c r="D2812" s="24"/>
      <c r="E2812" s="14"/>
      <c r="F2812" s="14"/>
      <c r="G2812" s="14"/>
      <c r="H2812" s="23"/>
      <c r="I2812" s="27"/>
      <c r="J2812" s="23"/>
      <c r="K2812" s="30"/>
      <c r="L2812" s="23"/>
      <c r="M2812" s="20"/>
      <c r="N2812" s="20"/>
      <c r="O2812" s="20"/>
      <c r="P2812" s="20"/>
    </row>
    <row r="2813">
      <c r="A2813" s="10"/>
      <c r="B2813" s="11"/>
      <c r="C2813" s="10"/>
      <c r="D2813" s="13"/>
      <c r="E2813" s="14"/>
      <c r="F2813" s="14"/>
      <c r="G2813" s="14"/>
      <c r="H2813" s="10"/>
      <c r="I2813" s="17"/>
      <c r="J2813" s="10"/>
      <c r="K2813" s="46"/>
      <c r="L2813" s="10"/>
      <c r="M2813" s="20"/>
      <c r="N2813" s="20"/>
      <c r="O2813" s="20"/>
      <c r="P2813" s="20"/>
    </row>
    <row r="2814">
      <c r="A2814" s="23"/>
      <c r="B2814" s="21"/>
      <c r="C2814" s="23"/>
      <c r="D2814" s="24"/>
      <c r="E2814" s="14"/>
      <c r="F2814" s="14"/>
      <c r="G2814" s="14"/>
      <c r="H2814" s="23"/>
      <c r="I2814" s="27"/>
      <c r="J2814" s="23"/>
      <c r="K2814" s="30"/>
      <c r="L2814" s="23"/>
      <c r="M2814" s="20"/>
      <c r="N2814" s="20"/>
      <c r="O2814" s="20"/>
      <c r="P2814" s="20"/>
    </row>
    <row r="2815">
      <c r="A2815" s="10"/>
      <c r="B2815" s="11"/>
      <c r="C2815" s="10"/>
      <c r="D2815" s="13"/>
      <c r="E2815" s="14"/>
      <c r="F2815" s="14"/>
      <c r="G2815" s="14"/>
      <c r="H2815" s="10"/>
      <c r="I2815" s="17"/>
      <c r="J2815" s="10"/>
      <c r="K2815" s="46"/>
      <c r="L2815" s="10"/>
      <c r="M2815" s="20"/>
      <c r="N2815" s="20"/>
      <c r="O2815" s="20"/>
      <c r="P2815" s="20"/>
    </row>
    <row r="2816">
      <c r="A2816" s="23"/>
      <c r="B2816" s="21"/>
      <c r="C2816" s="23"/>
      <c r="D2816" s="24"/>
      <c r="E2816" s="14"/>
      <c r="F2816" s="14"/>
      <c r="G2816" s="14"/>
      <c r="H2816" s="23"/>
      <c r="I2816" s="27"/>
      <c r="J2816" s="23"/>
      <c r="K2816" s="30"/>
      <c r="L2816" s="23"/>
      <c r="M2816" s="20"/>
      <c r="N2816" s="20"/>
      <c r="O2816" s="20"/>
      <c r="P2816" s="20"/>
    </row>
    <row r="2817">
      <c r="A2817" s="10"/>
      <c r="B2817" s="11"/>
      <c r="C2817" s="10"/>
      <c r="D2817" s="13"/>
      <c r="E2817" s="14"/>
      <c r="F2817" s="14"/>
      <c r="G2817" s="14"/>
      <c r="H2817" s="10"/>
      <c r="I2817" s="17"/>
      <c r="J2817" s="10"/>
      <c r="K2817" s="46"/>
      <c r="L2817" s="10"/>
      <c r="M2817" s="20"/>
      <c r="N2817" s="20"/>
      <c r="O2817" s="20"/>
      <c r="P2817" s="20"/>
    </row>
    <row r="2818">
      <c r="A2818" s="23"/>
      <c r="B2818" s="21"/>
      <c r="C2818" s="23"/>
      <c r="D2818" s="24"/>
      <c r="E2818" s="14"/>
      <c r="F2818" s="14"/>
      <c r="G2818" s="14"/>
      <c r="H2818" s="23"/>
      <c r="I2818" s="27"/>
      <c r="J2818" s="23"/>
      <c r="K2818" s="30"/>
      <c r="L2818" s="23"/>
      <c r="M2818" s="20"/>
      <c r="N2818" s="20"/>
      <c r="O2818" s="20"/>
      <c r="P2818" s="20"/>
    </row>
    <row r="2819">
      <c r="A2819" s="10"/>
      <c r="B2819" s="11"/>
      <c r="C2819" s="10"/>
      <c r="D2819" s="13"/>
      <c r="E2819" s="14"/>
      <c r="F2819" s="14"/>
      <c r="G2819" s="14"/>
      <c r="H2819" s="10"/>
      <c r="I2819" s="17"/>
      <c r="J2819" s="10"/>
      <c r="K2819" s="46"/>
      <c r="L2819" s="10"/>
      <c r="M2819" s="20"/>
      <c r="N2819" s="20"/>
      <c r="O2819" s="20"/>
      <c r="P2819" s="20"/>
    </row>
    <row r="2820">
      <c r="A2820" s="23"/>
      <c r="B2820" s="21"/>
      <c r="C2820" s="23"/>
      <c r="D2820" s="24"/>
      <c r="E2820" s="14"/>
      <c r="F2820" s="14"/>
      <c r="G2820" s="14"/>
      <c r="H2820" s="23"/>
      <c r="I2820" s="27"/>
      <c r="J2820" s="23"/>
      <c r="K2820" s="30"/>
      <c r="L2820" s="23"/>
      <c r="M2820" s="20"/>
      <c r="N2820" s="20"/>
      <c r="O2820" s="20"/>
      <c r="P2820" s="20"/>
    </row>
    <row r="2821">
      <c r="A2821" s="10"/>
      <c r="B2821" s="11"/>
      <c r="C2821" s="10"/>
      <c r="D2821" s="13"/>
      <c r="E2821" s="14"/>
      <c r="F2821" s="14"/>
      <c r="G2821" s="14"/>
      <c r="H2821" s="10"/>
      <c r="I2821" s="17"/>
      <c r="J2821" s="10"/>
      <c r="K2821" s="46"/>
      <c r="L2821" s="10"/>
      <c r="M2821" s="20"/>
      <c r="N2821" s="20"/>
      <c r="O2821" s="20"/>
      <c r="P2821" s="20"/>
    </row>
    <row r="2822">
      <c r="A2822" s="23"/>
      <c r="B2822" s="21"/>
      <c r="C2822" s="23"/>
      <c r="D2822" s="24"/>
      <c r="E2822" s="14"/>
      <c r="F2822" s="14"/>
      <c r="G2822" s="14"/>
      <c r="H2822" s="23"/>
      <c r="I2822" s="27"/>
      <c r="J2822" s="23"/>
      <c r="K2822" s="30"/>
      <c r="L2822" s="23"/>
      <c r="M2822" s="20"/>
      <c r="N2822" s="20"/>
      <c r="O2822" s="20"/>
      <c r="P2822" s="20"/>
    </row>
    <row r="2823">
      <c r="A2823" s="10"/>
      <c r="B2823" s="11"/>
      <c r="C2823" s="10"/>
      <c r="D2823" s="13"/>
      <c r="E2823" s="14"/>
      <c r="F2823" s="14"/>
      <c r="G2823" s="14"/>
      <c r="H2823" s="10"/>
      <c r="I2823" s="17"/>
      <c r="J2823" s="10"/>
      <c r="K2823" s="46"/>
      <c r="L2823" s="10"/>
      <c r="M2823" s="20"/>
      <c r="N2823" s="20"/>
      <c r="O2823" s="20"/>
      <c r="P2823" s="20"/>
    </row>
    <row r="2824">
      <c r="A2824" s="23"/>
      <c r="B2824" s="21"/>
      <c r="C2824" s="23"/>
      <c r="D2824" s="24"/>
      <c r="E2824" s="14"/>
      <c r="F2824" s="14"/>
      <c r="G2824" s="14"/>
      <c r="H2824" s="23"/>
      <c r="I2824" s="27"/>
      <c r="J2824" s="23"/>
      <c r="K2824" s="30"/>
      <c r="L2824" s="23"/>
      <c r="M2824" s="20"/>
      <c r="N2824" s="20"/>
      <c r="O2824" s="20"/>
      <c r="P2824" s="20"/>
    </row>
    <row r="2825">
      <c r="A2825" s="10"/>
      <c r="B2825" s="11"/>
      <c r="C2825" s="10"/>
      <c r="D2825" s="13"/>
      <c r="E2825" s="14"/>
      <c r="F2825" s="14"/>
      <c r="G2825" s="14"/>
      <c r="H2825" s="10"/>
      <c r="I2825" s="17"/>
      <c r="J2825" s="10"/>
      <c r="K2825" s="46"/>
      <c r="L2825" s="10"/>
      <c r="M2825" s="20"/>
      <c r="N2825" s="20"/>
      <c r="O2825" s="20"/>
      <c r="P2825" s="20"/>
    </row>
    <row r="2826">
      <c r="A2826" s="23"/>
      <c r="B2826" s="21"/>
      <c r="C2826" s="23"/>
      <c r="D2826" s="24"/>
      <c r="E2826" s="14"/>
      <c r="F2826" s="14"/>
      <c r="G2826" s="14"/>
      <c r="H2826" s="23"/>
      <c r="I2826" s="27"/>
      <c r="J2826" s="23"/>
      <c r="K2826" s="30"/>
      <c r="L2826" s="23"/>
      <c r="M2826" s="20"/>
      <c r="N2826" s="20"/>
      <c r="O2826" s="20"/>
      <c r="P2826" s="20"/>
    </row>
    <row r="2827">
      <c r="A2827" s="10"/>
      <c r="B2827" s="11"/>
      <c r="C2827" s="10"/>
      <c r="D2827" s="13"/>
      <c r="E2827" s="14"/>
      <c r="F2827" s="14"/>
      <c r="G2827" s="14"/>
      <c r="H2827" s="10"/>
      <c r="I2827" s="17"/>
      <c r="J2827" s="10"/>
      <c r="K2827" s="46"/>
      <c r="L2827" s="10"/>
      <c r="M2827" s="20"/>
      <c r="N2827" s="20"/>
      <c r="O2827" s="20"/>
      <c r="P2827" s="20"/>
    </row>
    <row r="2828">
      <c r="A2828" s="23"/>
      <c r="B2828" s="21"/>
      <c r="C2828" s="23"/>
      <c r="D2828" s="24"/>
      <c r="E2828" s="14"/>
      <c r="F2828" s="14"/>
      <c r="G2828" s="14"/>
      <c r="H2828" s="23"/>
      <c r="I2828" s="27"/>
      <c r="J2828" s="23"/>
      <c r="K2828" s="30"/>
      <c r="L2828" s="23"/>
      <c r="M2828" s="20"/>
      <c r="N2828" s="20"/>
      <c r="O2828" s="20"/>
      <c r="P2828" s="20"/>
    </row>
    <row r="2829">
      <c r="A2829" s="10"/>
      <c r="B2829" s="11"/>
      <c r="C2829" s="10"/>
      <c r="D2829" s="13"/>
      <c r="E2829" s="14"/>
      <c r="F2829" s="14"/>
      <c r="G2829" s="14"/>
      <c r="H2829" s="10"/>
      <c r="I2829" s="17"/>
      <c r="J2829" s="10"/>
      <c r="K2829" s="46"/>
      <c r="L2829" s="10"/>
      <c r="M2829" s="20"/>
      <c r="N2829" s="20"/>
      <c r="O2829" s="20"/>
      <c r="P2829" s="20"/>
    </row>
    <row r="2830">
      <c r="A2830" s="23"/>
      <c r="B2830" s="21"/>
      <c r="C2830" s="23"/>
      <c r="D2830" s="24"/>
      <c r="E2830" s="14"/>
      <c r="F2830" s="14"/>
      <c r="G2830" s="14"/>
      <c r="H2830" s="23"/>
      <c r="I2830" s="27"/>
      <c r="J2830" s="23"/>
      <c r="K2830" s="30"/>
      <c r="L2830" s="23"/>
      <c r="M2830" s="20"/>
      <c r="N2830" s="20"/>
      <c r="O2830" s="20"/>
      <c r="P2830" s="20"/>
    </row>
    <row r="2831">
      <c r="A2831" s="10"/>
      <c r="B2831" s="11"/>
      <c r="C2831" s="10"/>
      <c r="D2831" s="13"/>
      <c r="E2831" s="14"/>
      <c r="F2831" s="14"/>
      <c r="G2831" s="14"/>
      <c r="H2831" s="10"/>
      <c r="I2831" s="17"/>
      <c r="J2831" s="10"/>
      <c r="K2831" s="46"/>
      <c r="L2831" s="10"/>
      <c r="M2831" s="20"/>
      <c r="N2831" s="20"/>
      <c r="O2831" s="20"/>
      <c r="P2831" s="20"/>
    </row>
    <row r="2832">
      <c r="A2832" s="23"/>
      <c r="B2832" s="21"/>
      <c r="C2832" s="23"/>
      <c r="D2832" s="24"/>
      <c r="E2832" s="14"/>
      <c r="F2832" s="14"/>
      <c r="G2832" s="14"/>
      <c r="H2832" s="23"/>
      <c r="I2832" s="27"/>
      <c r="J2832" s="23"/>
      <c r="K2832" s="30"/>
      <c r="L2832" s="23"/>
      <c r="M2832" s="20"/>
      <c r="N2832" s="20"/>
      <c r="O2832" s="20"/>
      <c r="P2832" s="20"/>
    </row>
    <row r="2833">
      <c r="A2833" s="10"/>
      <c r="B2833" s="11"/>
      <c r="C2833" s="10"/>
      <c r="D2833" s="13"/>
      <c r="E2833" s="14"/>
      <c r="F2833" s="14"/>
      <c r="G2833" s="14"/>
      <c r="H2833" s="10"/>
      <c r="I2833" s="17"/>
      <c r="J2833" s="10"/>
      <c r="K2833" s="46"/>
      <c r="L2833" s="10"/>
      <c r="M2833" s="20"/>
      <c r="N2833" s="20"/>
      <c r="O2833" s="20"/>
      <c r="P2833" s="20"/>
    </row>
    <row r="2834">
      <c r="A2834" s="23"/>
      <c r="B2834" s="21"/>
      <c r="C2834" s="23"/>
      <c r="D2834" s="24"/>
      <c r="E2834" s="14"/>
      <c r="F2834" s="14"/>
      <c r="G2834" s="14"/>
      <c r="H2834" s="23"/>
      <c r="I2834" s="27"/>
      <c r="J2834" s="23"/>
      <c r="K2834" s="30"/>
      <c r="L2834" s="23"/>
      <c r="M2834" s="20"/>
      <c r="N2834" s="20"/>
      <c r="O2834" s="20"/>
      <c r="P2834" s="20"/>
    </row>
    <row r="2835">
      <c r="A2835" s="10"/>
      <c r="B2835" s="11"/>
      <c r="C2835" s="10"/>
      <c r="D2835" s="13"/>
      <c r="E2835" s="14"/>
      <c r="F2835" s="14"/>
      <c r="G2835" s="14"/>
      <c r="H2835" s="10"/>
      <c r="I2835" s="17"/>
      <c r="J2835" s="10"/>
      <c r="K2835" s="46"/>
      <c r="L2835" s="10"/>
      <c r="M2835" s="20"/>
      <c r="N2835" s="20"/>
      <c r="O2835" s="20"/>
      <c r="P2835" s="20"/>
    </row>
    <row r="2836">
      <c r="A2836" s="23"/>
      <c r="B2836" s="21"/>
      <c r="C2836" s="23"/>
      <c r="D2836" s="24"/>
      <c r="E2836" s="14"/>
      <c r="F2836" s="14"/>
      <c r="G2836" s="14"/>
      <c r="H2836" s="23"/>
      <c r="I2836" s="27"/>
      <c r="J2836" s="23"/>
      <c r="K2836" s="30"/>
      <c r="L2836" s="23"/>
      <c r="M2836" s="20"/>
      <c r="N2836" s="20"/>
      <c r="O2836" s="20"/>
      <c r="P2836" s="20"/>
    </row>
    <row r="2837">
      <c r="A2837" s="10"/>
      <c r="B2837" s="11"/>
      <c r="C2837" s="10"/>
      <c r="D2837" s="13"/>
      <c r="E2837" s="14"/>
      <c r="F2837" s="14"/>
      <c r="G2837" s="14"/>
      <c r="H2837" s="10"/>
      <c r="I2837" s="17"/>
      <c r="J2837" s="10"/>
      <c r="K2837" s="46"/>
      <c r="L2837" s="10"/>
      <c r="M2837" s="20"/>
      <c r="N2837" s="20"/>
      <c r="O2837" s="20"/>
      <c r="P2837" s="20"/>
    </row>
    <row r="2838">
      <c r="A2838" s="23"/>
      <c r="B2838" s="21"/>
      <c r="C2838" s="23"/>
      <c r="D2838" s="24"/>
      <c r="E2838" s="14"/>
      <c r="F2838" s="14"/>
      <c r="G2838" s="14"/>
      <c r="H2838" s="23"/>
      <c r="I2838" s="27"/>
      <c r="J2838" s="23"/>
      <c r="K2838" s="30"/>
      <c r="L2838" s="23"/>
      <c r="M2838" s="20"/>
      <c r="N2838" s="20"/>
      <c r="O2838" s="20"/>
      <c r="P2838" s="20"/>
    </row>
    <row r="2839">
      <c r="A2839" s="10"/>
      <c r="B2839" s="11"/>
      <c r="C2839" s="10"/>
      <c r="D2839" s="13"/>
      <c r="E2839" s="14"/>
      <c r="F2839" s="14"/>
      <c r="G2839" s="14"/>
      <c r="H2839" s="10"/>
      <c r="I2839" s="17"/>
      <c r="J2839" s="10"/>
      <c r="K2839" s="46"/>
      <c r="L2839" s="10"/>
      <c r="M2839" s="20"/>
      <c r="N2839" s="20"/>
      <c r="O2839" s="20"/>
      <c r="P2839" s="20"/>
    </row>
    <row r="2840">
      <c r="A2840" s="23"/>
      <c r="B2840" s="21"/>
      <c r="C2840" s="23"/>
      <c r="D2840" s="24"/>
      <c r="E2840" s="14"/>
      <c r="F2840" s="14"/>
      <c r="G2840" s="14"/>
      <c r="H2840" s="23"/>
      <c r="I2840" s="27"/>
      <c r="J2840" s="23"/>
      <c r="K2840" s="30"/>
      <c r="L2840" s="23"/>
      <c r="M2840" s="20"/>
      <c r="N2840" s="20"/>
      <c r="O2840" s="20"/>
      <c r="P2840" s="20"/>
    </row>
    <row r="2841">
      <c r="A2841" s="10"/>
      <c r="B2841" s="11"/>
      <c r="C2841" s="10"/>
      <c r="D2841" s="13"/>
      <c r="E2841" s="14"/>
      <c r="F2841" s="14"/>
      <c r="G2841" s="14"/>
      <c r="H2841" s="10"/>
      <c r="I2841" s="17"/>
      <c r="J2841" s="10"/>
      <c r="K2841" s="46"/>
      <c r="L2841" s="10"/>
      <c r="M2841" s="20"/>
      <c r="N2841" s="20"/>
      <c r="O2841" s="20"/>
      <c r="P2841" s="20"/>
    </row>
    <row r="2842">
      <c r="A2842" s="23"/>
      <c r="B2842" s="21"/>
      <c r="C2842" s="23"/>
      <c r="D2842" s="24"/>
      <c r="E2842" s="14"/>
      <c r="F2842" s="14"/>
      <c r="G2842" s="14"/>
      <c r="H2842" s="23"/>
      <c r="I2842" s="27"/>
      <c r="J2842" s="23"/>
      <c r="K2842" s="30"/>
      <c r="L2842" s="23"/>
      <c r="M2842" s="20"/>
      <c r="N2842" s="20"/>
      <c r="O2842" s="20"/>
      <c r="P2842" s="20"/>
    </row>
    <row r="2843">
      <c r="A2843" s="10"/>
      <c r="B2843" s="11"/>
      <c r="C2843" s="10"/>
      <c r="D2843" s="13"/>
      <c r="E2843" s="14"/>
      <c r="F2843" s="14"/>
      <c r="G2843" s="14"/>
      <c r="H2843" s="10"/>
      <c r="I2843" s="17"/>
      <c r="J2843" s="10"/>
      <c r="K2843" s="46"/>
      <c r="L2843" s="10"/>
      <c r="M2843" s="20"/>
      <c r="N2843" s="20"/>
      <c r="O2843" s="20"/>
      <c r="P2843" s="20"/>
    </row>
    <row r="2844">
      <c r="A2844" s="23"/>
      <c r="B2844" s="21"/>
      <c r="C2844" s="23"/>
      <c r="D2844" s="24"/>
      <c r="E2844" s="14"/>
      <c r="F2844" s="14"/>
      <c r="G2844" s="14"/>
      <c r="H2844" s="23"/>
      <c r="I2844" s="27"/>
      <c r="J2844" s="23"/>
      <c r="K2844" s="30"/>
      <c r="L2844" s="23"/>
      <c r="M2844" s="20"/>
      <c r="N2844" s="20"/>
      <c r="O2844" s="20"/>
      <c r="P2844" s="20"/>
    </row>
    <row r="2845">
      <c r="A2845" s="10"/>
      <c r="B2845" s="11"/>
      <c r="C2845" s="10"/>
      <c r="D2845" s="13"/>
      <c r="E2845" s="14"/>
      <c r="F2845" s="14"/>
      <c r="G2845" s="14"/>
      <c r="H2845" s="10"/>
      <c r="I2845" s="17"/>
      <c r="J2845" s="10"/>
      <c r="K2845" s="46"/>
      <c r="L2845" s="10"/>
      <c r="M2845" s="20"/>
      <c r="N2845" s="20"/>
      <c r="O2845" s="20"/>
      <c r="P2845" s="20"/>
    </row>
    <row r="2846">
      <c r="A2846" s="23"/>
      <c r="B2846" s="21"/>
      <c r="C2846" s="23"/>
      <c r="D2846" s="24"/>
      <c r="E2846" s="14"/>
      <c r="F2846" s="14"/>
      <c r="G2846" s="14"/>
      <c r="H2846" s="23"/>
      <c r="I2846" s="27"/>
      <c r="J2846" s="23"/>
      <c r="K2846" s="30"/>
      <c r="L2846" s="23"/>
      <c r="M2846" s="20"/>
      <c r="N2846" s="20"/>
      <c r="O2846" s="20"/>
      <c r="P2846" s="20"/>
    </row>
    <row r="2847">
      <c r="A2847" s="10"/>
      <c r="B2847" s="11"/>
      <c r="C2847" s="10"/>
      <c r="D2847" s="13"/>
      <c r="E2847" s="14"/>
      <c r="F2847" s="14"/>
      <c r="G2847" s="14"/>
      <c r="H2847" s="10"/>
      <c r="I2847" s="17"/>
      <c r="J2847" s="10"/>
      <c r="K2847" s="46"/>
      <c r="L2847" s="10"/>
      <c r="M2847" s="20"/>
      <c r="N2847" s="20"/>
      <c r="O2847" s="20"/>
      <c r="P2847" s="20"/>
    </row>
    <row r="2848">
      <c r="A2848" s="23"/>
      <c r="B2848" s="21"/>
      <c r="C2848" s="23"/>
      <c r="D2848" s="24"/>
      <c r="E2848" s="14"/>
      <c r="F2848" s="14"/>
      <c r="G2848" s="14"/>
      <c r="H2848" s="23"/>
      <c r="I2848" s="27"/>
      <c r="J2848" s="23"/>
      <c r="K2848" s="30"/>
      <c r="L2848" s="23"/>
      <c r="M2848" s="20"/>
      <c r="N2848" s="20"/>
      <c r="O2848" s="20"/>
      <c r="P2848" s="20"/>
    </row>
    <row r="2849">
      <c r="A2849" s="10"/>
      <c r="B2849" s="11"/>
      <c r="C2849" s="10"/>
      <c r="D2849" s="13"/>
      <c r="E2849" s="14"/>
      <c r="F2849" s="14"/>
      <c r="G2849" s="14"/>
      <c r="H2849" s="10"/>
      <c r="I2849" s="17"/>
      <c r="J2849" s="10"/>
      <c r="K2849" s="46"/>
      <c r="L2849" s="10"/>
      <c r="M2849" s="20"/>
      <c r="N2849" s="20"/>
      <c r="O2849" s="20"/>
      <c r="P2849" s="20"/>
    </row>
    <row r="2850">
      <c r="A2850" s="23"/>
      <c r="B2850" s="21"/>
      <c r="C2850" s="23"/>
      <c r="D2850" s="24"/>
      <c r="E2850" s="14"/>
      <c r="F2850" s="14"/>
      <c r="G2850" s="14"/>
      <c r="H2850" s="23"/>
      <c r="I2850" s="27"/>
      <c r="J2850" s="23"/>
      <c r="K2850" s="30"/>
      <c r="L2850" s="23"/>
      <c r="M2850" s="20"/>
      <c r="N2850" s="20"/>
      <c r="O2850" s="20"/>
      <c r="P2850" s="20"/>
    </row>
    <row r="2851">
      <c r="A2851" s="10"/>
      <c r="B2851" s="11"/>
      <c r="C2851" s="10"/>
      <c r="D2851" s="13"/>
      <c r="E2851" s="14"/>
      <c r="F2851" s="14"/>
      <c r="G2851" s="14"/>
      <c r="H2851" s="10"/>
      <c r="I2851" s="17"/>
      <c r="J2851" s="10"/>
      <c r="K2851" s="46"/>
      <c r="L2851" s="10"/>
      <c r="M2851" s="20"/>
      <c r="N2851" s="20"/>
      <c r="O2851" s="20"/>
      <c r="P2851" s="20"/>
    </row>
    <row r="2852">
      <c r="A2852" s="23"/>
      <c r="B2852" s="21"/>
      <c r="C2852" s="23"/>
      <c r="D2852" s="24"/>
      <c r="E2852" s="14"/>
      <c r="F2852" s="14"/>
      <c r="G2852" s="14"/>
      <c r="H2852" s="23"/>
      <c r="I2852" s="27"/>
      <c r="J2852" s="23"/>
      <c r="K2852" s="30"/>
      <c r="L2852" s="23"/>
      <c r="M2852" s="20"/>
      <c r="N2852" s="20"/>
      <c r="O2852" s="20"/>
      <c r="P2852" s="20"/>
    </row>
    <row r="2853">
      <c r="A2853" s="10"/>
      <c r="B2853" s="11"/>
      <c r="C2853" s="10"/>
      <c r="D2853" s="13"/>
      <c r="E2853" s="14"/>
      <c r="F2853" s="14"/>
      <c r="G2853" s="14"/>
      <c r="H2853" s="10"/>
      <c r="I2853" s="17"/>
      <c r="J2853" s="10"/>
      <c r="K2853" s="46"/>
      <c r="L2853" s="10"/>
      <c r="M2853" s="20"/>
      <c r="N2853" s="20"/>
      <c r="O2853" s="20"/>
      <c r="P2853" s="20"/>
    </row>
    <row r="2854">
      <c r="A2854" s="23"/>
      <c r="B2854" s="21"/>
      <c r="C2854" s="23"/>
      <c r="D2854" s="24"/>
      <c r="E2854" s="14"/>
      <c r="F2854" s="14"/>
      <c r="G2854" s="14"/>
      <c r="H2854" s="23"/>
      <c r="I2854" s="27"/>
      <c r="J2854" s="23"/>
      <c r="K2854" s="30"/>
      <c r="L2854" s="23"/>
      <c r="M2854" s="20"/>
      <c r="N2854" s="20"/>
      <c r="O2854" s="20"/>
      <c r="P2854" s="20"/>
    </row>
    <row r="2855">
      <c r="A2855" s="10"/>
      <c r="B2855" s="11"/>
      <c r="C2855" s="10"/>
      <c r="D2855" s="13"/>
      <c r="E2855" s="14"/>
      <c r="F2855" s="14"/>
      <c r="G2855" s="14"/>
      <c r="H2855" s="10"/>
      <c r="I2855" s="17"/>
      <c r="J2855" s="10"/>
      <c r="K2855" s="46"/>
      <c r="L2855" s="10"/>
      <c r="M2855" s="20"/>
      <c r="N2855" s="20"/>
      <c r="O2855" s="20"/>
      <c r="P2855" s="20"/>
    </row>
    <row r="2856">
      <c r="A2856" s="23"/>
      <c r="B2856" s="21"/>
      <c r="C2856" s="23"/>
      <c r="D2856" s="24"/>
      <c r="E2856" s="14"/>
      <c r="F2856" s="14"/>
      <c r="G2856" s="14"/>
      <c r="H2856" s="23"/>
      <c r="I2856" s="27"/>
      <c r="J2856" s="23"/>
      <c r="K2856" s="30"/>
      <c r="L2856" s="23"/>
      <c r="M2856" s="20"/>
      <c r="N2856" s="20"/>
      <c r="O2856" s="20"/>
      <c r="P2856" s="20"/>
    </row>
    <row r="2857">
      <c r="A2857" s="10"/>
      <c r="B2857" s="11"/>
      <c r="C2857" s="10"/>
      <c r="D2857" s="13"/>
      <c r="E2857" s="14"/>
      <c r="F2857" s="14"/>
      <c r="G2857" s="14"/>
      <c r="H2857" s="10"/>
      <c r="I2857" s="17"/>
      <c r="J2857" s="10"/>
      <c r="K2857" s="46"/>
      <c r="L2857" s="10"/>
      <c r="M2857" s="20"/>
      <c r="N2857" s="20"/>
      <c r="O2857" s="20"/>
      <c r="P2857" s="20"/>
    </row>
    <row r="2858">
      <c r="A2858" s="23"/>
      <c r="B2858" s="21"/>
      <c r="C2858" s="23"/>
      <c r="D2858" s="24"/>
      <c r="E2858" s="14"/>
      <c r="F2858" s="14"/>
      <c r="G2858" s="14"/>
      <c r="H2858" s="23"/>
      <c r="I2858" s="27"/>
      <c r="J2858" s="23"/>
      <c r="K2858" s="30"/>
      <c r="L2858" s="23"/>
      <c r="M2858" s="20"/>
      <c r="N2858" s="20"/>
      <c r="O2858" s="20"/>
      <c r="P2858" s="20"/>
    </row>
    <row r="2859">
      <c r="A2859" s="10"/>
      <c r="B2859" s="11"/>
      <c r="C2859" s="10"/>
      <c r="D2859" s="13"/>
      <c r="E2859" s="14"/>
      <c r="F2859" s="14"/>
      <c r="G2859" s="14"/>
      <c r="H2859" s="10"/>
      <c r="I2859" s="17"/>
      <c r="J2859" s="10"/>
      <c r="K2859" s="46"/>
      <c r="L2859" s="10"/>
      <c r="M2859" s="20"/>
      <c r="N2859" s="20"/>
      <c r="O2859" s="20"/>
      <c r="P2859" s="20"/>
    </row>
    <row r="2860">
      <c r="A2860" s="23"/>
      <c r="B2860" s="21"/>
      <c r="C2860" s="23"/>
      <c r="D2860" s="24"/>
      <c r="E2860" s="14"/>
      <c r="F2860" s="14"/>
      <c r="G2860" s="14"/>
      <c r="H2860" s="23"/>
      <c r="I2860" s="27"/>
      <c r="J2860" s="23"/>
      <c r="K2860" s="30"/>
      <c r="L2860" s="23"/>
      <c r="M2860" s="20"/>
      <c r="N2860" s="20"/>
      <c r="O2860" s="20"/>
      <c r="P2860" s="20"/>
    </row>
    <row r="2861">
      <c r="A2861" s="10"/>
      <c r="B2861" s="11"/>
      <c r="C2861" s="10"/>
      <c r="D2861" s="13"/>
      <c r="E2861" s="14"/>
      <c r="F2861" s="14"/>
      <c r="G2861" s="14"/>
      <c r="H2861" s="10"/>
      <c r="I2861" s="17"/>
      <c r="J2861" s="10"/>
      <c r="K2861" s="46"/>
      <c r="L2861" s="10"/>
      <c r="M2861" s="20"/>
      <c r="N2861" s="20"/>
      <c r="O2861" s="20"/>
      <c r="P2861" s="20"/>
    </row>
    <row r="2862">
      <c r="A2862" s="23"/>
      <c r="B2862" s="21"/>
      <c r="C2862" s="23"/>
      <c r="D2862" s="24"/>
      <c r="E2862" s="14"/>
      <c r="F2862" s="14"/>
      <c r="G2862" s="14"/>
      <c r="H2862" s="23"/>
      <c r="I2862" s="27"/>
      <c r="J2862" s="23"/>
      <c r="K2862" s="30"/>
      <c r="L2862" s="23"/>
      <c r="M2862" s="20"/>
      <c r="N2862" s="20"/>
      <c r="O2862" s="20"/>
      <c r="P2862" s="20"/>
    </row>
    <row r="2863">
      <c r="A2863" s="10"/>
      <c r="B2863" s="11"/>
      <c r="C2863" s="10"/>
      <c r="D2863" s="13"/>
      <c r="E2863" s="14"/>
      <c r="F2863" s="14"/>
      <c r="G2863" s="14"/>
      <c r="H2863" s="10"/>
      <c r="I2863" s="17"/>
      <c r="J2863" s="10"/>
      <c r="K2863" s="46"/>
      <c r="L2863" s="10"/>
      <c r="M2863" s="20"/>
      <c r="N2863" s="20"/>
      <c r="O2863" s="20"/>
      <c r="P2863" s="20"/>
    </row>
    <row r="2864">
      <c r="A2864" s="23"/>
      <c r="B2864" s="21"/>
      <c r="C2864" s="23"/>
      <c r="D2864" s="24"/>
      <c r="E2864" s="14"/>
      <c r="F2864" s="14"/>
      <c r="G2864" s="14"/>
      <c r="H2864" s="23"/>
      <c r="I2864" s="27"/>
      <c r="J2864" s="23"/>
      <c r="K2864" s="30"/>
      <c r="L2864" s="23"/>
      <c r="M2864" s="20"/>
      <c r="N2864" s="20"/>
      <c r="O2864" s="20"/>
      <c r="P2864" s="20"/>
    </row>
    <row r="2865">
      <c r="A2865" s="10"/>
      <c r="B2865" s="11"/>
      <c r="C2865" s="10"/>
      <c r="D2865" s="13"/>
      <c r="E2865" s="14"/>
      <c r="F2865" s="14"/>
      <c r="G2865" s="14"/>
      <c r="H2865" s="10"/>
      <c r="I2865" s="17"/>
      <c r="J2865" s="10"/>
      <c r="K2865" s="46"/>
      <c r="L2865" s="10"/>
      <c r="M2865" s="20"/>
      <c r="N2865" s="20"/>
      <c r="O2865" s="20"/>
      <c r="P2865" s="20"/>
    </row>
    <row r="2866">
      <c r="A2866" s="23"/>
      <c r="B2866" s="21"/>
      <c r="C2866" s="23"/>
      <c r="D2866" s="24"/>
      <c r="E2866" s="14"/>
      <c r="F2866" s="14"/>
      <c r="G2866" s="14"/>
      <c r="H2866" s="23"/>
      <c r="I2866" s="27"/>
      <c r="J2866" s="23"/>
      <c r="K2866" s="30"/>
      <c r="L2866" s="23"/>
      <c r="M2866" s="20"/>
      <c r="N2866" s="20"/>
      <c r="O2866" s="20"/>
      <c r="P2866" s="20"/>
    </row>
    <row r="2867">
      <c r="A2867" s="10"/>
      <c r="B2867" s="11"/>
      <c r="C2867" s="10"/>
      <c r="D2867" s="13"/>
      <c r="E2867" s="14"/>
      <c r="F2867" s="14"/>
      <c r="G2867" s="14"/>
      <c r="H2867" s="10"/>
      <c r="I2867" s="17"/>
      <c r="J2867" s="10"/>
      <c r="K2867" s="46"/>
      <c r="L2867" s="10"/>
      <c r="M2867" s="20"/>
      <c r="N2867" s="20"/>
      <c r="O2867" s="20"/>
      <c r="P2867" s="20"/>
    </row>
    <row r="2868">
      <c r="A2868" s="23"/>
      <c r="B2868" s="21"/>
      <c r="C2868" s="23"/>
      <c r="D2868" s="24"/>
      <c r="E2868" s="14"/>
      <c r="F2868" s="14"/>
      <c r="G2868" s="14"/>
      <c r="H2868" s="23"/>
      <c r="I2868" s="27"/>
      <c r="J2868" s="23"/>
      <c r="K2868" s="30"/>
      <c r="L2868" s="23"/>
      <c r="M2868" s="20"/>
      <c r="N2868" s="20"/>
      <c r="O2868" s="20"/>
      <c r="P2868" s="20"/>
    </row>
    <row r="2869">
      <c r="A2869" s="10"/>
      <c r="B2869" s="11"/>
      <c r="C2869" s="10"/>
      <c r="D2869" s="13"/>
      <c r="E2869" s="14"/>
      <c r="F2869" s="14"/>
      <c r="G2869" s="14"/>
      <c r="H2869" s="10"/>
      <c r="I2869" s="17"/>
      <c r="J2869" s="10"/>
      <c r="K2869" s="46"/>
      <c r="L2869" s="10"/>
      <c r="M2869" s="20"/>
      <c r="N2869" s="20"/>
      <c r="O2869" s="20"/>
      <c r="P2869" s="20"/>
    </row>
    <row r="2870">
      <c r="A2870" s="23"/>
      <c r="B2870" s="21"/>
      <c r="C2870" s="23"/>
      <c r="D2870" s="24"/>
      <c r="E2870" s="14"/>
      <c r="F2870" s="14"/>
      <c r="G2870" s="14"/>
      <c r="H2870" s="23"/>
      <c r="I2870" s="27"/>
      <c r="J2870" s="23"/>
      <c r="K2870" s="30"/>
      <c r="L2870" s="23"/>
      <c r="M2870" s="20"/>
      <c r="N2870" s="20"/>
      <c r="O2870" s="20"/>
      <c r="P2870" s="20"/>
    </row>
    <row r="2871">
      <c r="A2871" s="10"/>
      <c r="B2871" s="11"/>
      <c r="C2871" s="10"/>
      <c r="D2871" s="13"/>
      <c r="E2871" s="14"/>
      <c r="F2871" s="14"/>
      <c r="G2871" s="14"/>
      <c r="H2871" s="10"/>
      <c r="I2871" s="17"/>
      <c r="J2871" s="10"/>
      <c r="K2871" s="46"/>
      <c r="L2871" s="10"/>
      <c r="M2871" s="20"/>
      <c r="N2871" s="20"/>
      <c r="O2871" s="20"/>
      <c r="P2871" s="20"/>
    </row>
    <row r="2872">
      <c r="A2872" s="23"/>
      <c r="B2872" s="21"/>
      <c r="C2872" s="23"/>
      <c r="D2872" s="24"/>
      <c r="E2872" s="14"/>
      <c r="F2872" s="14"/>
      <c r="G2872" s="14"/>
      <c r="H2872" s="23"/>
      <c r="I2872" s="27"/>
      <c r="J2872" s="23"/>
      <c r="K2872" s="30"/>
      <c r="L2872" s="23"/>
      <c r="M2872" s="20"/>
      <c r="N2872" s="20"/>
      <c r="O2872" s="20"/>
      <c r="P2872" s="20"/>
    </row>
    <row r="2873">
      <c r="A2873" s="10"/>
      <c r="B2873" s="11"/>
      <c r="C2873" s="10"/>
      <c r="D2873" s="13"/>
      <c r="E2873" s="14"/>
      <c r="F2873" s="14"/>
      <c r="G2873" s="14"/>
      <c r="H2873" s="10"/>
      <c r="I2873" s="17"/>
      <c r="J2873" s="10"/>
      <c r="K2873" s="46"/>
      <c r="L2873" s="10"/>
      <c r="M2873" s="20"/>
      <c r="N2873" s="20"/>
      <c r="O2873" s="20"/>
      <c r="P2873" s="20"/>
    </row>
    <row r="2874">
      <c r="A2874" s="23"/>
      <c r="B2874" s="21"/>
      <c r="C2874" s="23"/>
      <c r="D2874" s="24"/>
      <c r="E2874" s="14"/>
      <c r="F2874" s="14"/>
      <c r="G2874" s="14"/>
      <c r="H2874" s="23"/>
      <c r="I2874" s="27"/>
      <c r="J2874" s="23"/>
      <c r="K2874" s="30"/>
      <c r="L2874" s="23"/>
      <c r="M2874" s="20"/>
      <c r="N2874" s="20"/>
      <c r="O2874" s="20"/>
      <c r="P2874" s="20"/>
    </row>
    <row r="2875">
      <c r="A2875" s="10"/>
      <c r="B2875" s="11"/>
      <c r="C2875" s="10"/>
      <c r="D2875" s="13"/>
      <c r="E2875" s="14"/>
      <c r="F2875" s="14"/>
      <c r="G2875" s="14"/>
      <c r="H2875" s="10"/>
      <c r="I2875" s="17"/>
      <c r="J2875" s="10"/>
      <c r="K2875" s="46"/>
      <c r="L2875" s="10"/>
      <c r="M2875" s="20"/>
      <c r="N2875" s="20"/>
      <c r="O2875" s="20"/>
      <c r="P2875" s="20"/>
    </row>
    <row r="2876">
      <c r="A2876" s="23"/>
      <c r="B2876" s="21"/>
      <c r="C2876" s="23"/>
      <c r="D2876" s="24"/>
      <c r="E2876" s="14"/>
      <c r="F2876" s="14"/>
      <c r="G2876" s="14"/>
      <c r="H2876" s="23"/>
      <c r="I2876" s="27"/>
      <c r="J2876" s="23"/>
      <c r="K2876" s="30"/>
      <c r="L2876" s="23"/>
      <c r="M2876" s="20"/>
      <c r="N2876" s="20"/>
      <c r="O2876" s="20"/>
      <c r="P2876" s="20"/>
    </row>
    <row r="2877">
      <c r="A2877" s="10"/>
      <c r="B2877" s="11"/>
      <c r="C2877" s="10"/>
      <c r="D2877" s="13"/>
      <c r="E2877" s="14"/>
      <c r="F2877" s="14"/>
      <c r="G2877" s="14"/>
      <c r="H2877" s="10"/>
      <c r="I2877" s="17"/>
      <c r="J2877" s="10"/>
      <c r="K2877" s="46"/>
      <c r="L2877" s="10"/>
      <c r="M2877" s="20"/>
      <c r="N2877" s="20"/>
      <c r="O2877" s="20"/>
      <c r="P2877" s="20"/>
    </row>
    <row r="2878">
      <c r="A2878" s="23"/>
      <c r="B2878" s="21"/>
      <c r="C2878" s="23"/>
      <c r="D2878" s="24"/>
      <c r="E2878" s="14"/>
      <c r="F2878" s="14"/>
      <c r="G2878" s="14"/>
      <c r="H2878" s="23"/>
      <c r="I2878" s="27"/>
      <c r="J2878" s="23"/>
      <c r="K2878" s="30"/>
      <c r="L2878" s="23"/>
      <c r="M2878" s="20"/>
      <c r="N2878" s="20"/>
      <c r="O2878" s="20"/>
      <c r="P2878" s="20"/>
    </row>
    <row r="2879">
      <c r="A2879" s="10"/>
      <c r="B2879" s="11"/>
      <c r="C2879" s="10"/>
      <c r="D2879" s="13"/>
      <c r="E2879" s="14"/>
      <c r="F2879" s="14"/>
      <c r="G2879" s="14"/>
      <c r="H2879" s="10"/>
      <c r="I2879" s="17"/>
      <c r="J2879" s="10"/>
      <c r="K2879" s="46"/>
      <c r="L2879" s="10"/>
      <c r="M2879" s="20"/>
      <c r="N2879" s="20"/>
      <c r="O2879" s="20"/>
      <c r="P2879" s="20"/>
    </row>
    <row r="2880">
      <c r="A2880" s="23"/>
      <c r="B2880" s="21"/>
      <c r="C2880" s="23"/>
      <c r="D2880" s="24"/>
      <c r="E2880" s="14"/>
      <c r="F2880" s="14"/>
      <c r="G2880" s="14"/>
      <c r="H2880" s="23"/>
      <c r="I2880" s="27"/>
      <c r="J2880" s="23"/>
      <c r="K2880" s="30"/>
      <c r="L2880" s="23"/>
      <c r="M2880" s="20"/>
      <c r="N2880" s="20"/>
      <c r="O2880" s="20"/>
      <c r="P2880" s="20"/>
    </row>
    <row r="2881">
      <c r="A2881" s="10"/>
      <c r="B2881" s="11"/>
      <c r="C2881" s="10"/>
      <c r="D2881" s="13"/>
      <c r="E2881" s="14"/>
      <c r="F2881" s="14"/>
      <c r="G2881" s="14"/>
      <c r="H2881" s="10"/>
      <c r="I2881" s="17"/>
      <c r="J2881" s="10"/>
      <c r="K2881" s="46"/>
      <c r="L2881" s="10"/>
      <c r="M2881" s="20"/>
      <c r="N2881" s="20"/>
      <c r="O2881" s="20"/>
      <c r="P2881" s="20"/>
    </row>
    <row r="2882">
      <c r="A2882" s="23"/>
      <c r="B2882" s="21"/>
      <c r="C2882" s="23"/>
      <c r="D2882" s="24"/>
      <c r="E2882" s="14"/>
      <c r="F2882" s="14"/>
      <c r="G2882" s="14"/>
      <c r="H2882" s="23"/>
      <c r="I2882" s="27"/>
      <c r="J2882" s="23"/>
      <c r="K2882" s="30"/>
      <c r="L2882" s="23"/>
      <c r="M2882" s="20"/>
      <c r="N2882" s="20"/>
      <c r="O2882" s="20"/>
      <c r="P2882" s="20"/>
    </row>
    <row r="2883">
      <c r="A2883" s="10"/>
      <c r="B2883" s="11"/>
      <c r="C2883" s="10"/>
      <c r="D2883" s="13"/>
      <c r="E2883" s="14"/>
      <c r="F2883" s="14"/>
      <c r="G2883" s="14"/>
      <c r="H2883" s="10"/>
      <c r="I2883" s="17"/>
      <c r="J2883" s="10"/>
      <c r="K2883" s="46"/>
      <c r="L2883" s="10"/>
      <c r="M2883" s="20"/>
      <c r="N2883" s="20"/>
      <c r="O2883" s="20"/>
      <c r="P2883" s="20"/>
    </row>
    <row r="2884">
      <c r="A2884" s="23"/>
      <c r="B2884" s="21"/>
      <c r="C2884" s="23"/>
      <c r="D2884" s="24"/>
      <c r="E2884" s="14"/>
      <c r="F2884" s="14"/>
      <c r="G2884" s="14"/>
      <c r="H2884" s="23"/>
      <c r="I2884" s="27"/>
      <c r="J2884" s="23"/>
      <c r="K2884" s="30"/>
      <c r="L2884" s="23"/>
      <c r="M2884" s="20"/>
      <c r="N2884" s="20"/>
      <c r="O2884" s="20"/>
      <c r="P2884" s="20"/>
    </row>
    <row r="2885">
      <c r="A2885" s="10"/>
      <c r="B2885" s="11"/>
      <c r="C2885" s="10"/>
      <c r="D2885" s="13"/>
      <c r="E2885" s="14"/>
      <c r="F2885" s="14"/>
      <c r="G2885" s="14"/>
      <c r="H2885" s="10"/>
      <c r="I2885" s="17"/>
      <c r="J2885" s="10"/>
      <c r="K2885" s="46"/>
      <c r="L2885" s="10"/>
      <c r="M2885" s="20"/>
      <c r="N2885" s="20"/>
      <c r="O2885" s="20"/>
      <c r="P2885" s="20"/>
    </row>
    <row r="2886">
      <c r="A2886" s="23"/>
      <c r="B2886" s="21"/>
      <c r="C2886" s="23"/>
      <c r="D2886" s="24"/>
      <c r="E2886" s="14"/>
      <c r="F2886" s="14"/>
      <c r="G2886" s="14"/>
      <c r="H2886" s="23"/>
      <c r="I2886" s="27"/>
      <c r="J2886" s="23"/>
      <c r="K2886" s="30"/>
      <c r="L2886" s="23"/>
      <c r="M2886" s="20"/>
      <c r="N2886" s="20"/>
      <c r="O2886" s="20"/>
      <c r="P2886" s="20"/>
    </row>
    <row r="2887">
      <c r="A2887" s="10"/>
      <c r="B2887" s="11"/>
      <c r="C2887" s="10"/>
      <c r="D2887" s="13"/>
      <c r="E2887" s="14"/>
      <c r="F2887" s="14"/>
      <c r="G2887" s="14"/>
      <c r="H2887" s="10"/>
      <c r="I2887" s="17"/>
      <c r="J2887" s="10"/>
      <c r="K2887" s="46"/>
      <c r="L2887" s="10"/>
      <c r="M2887" s="20"/>
      <c r="N2887" s="20"/>
      <c r="O2887" s="20"/>
      <c r="P2887" s="20"/>
    </row>
    <row r="2888">
      <c r="A2888" s="23"/>
      <c r="B2888" s="21"/>
      <c r="C2888" s="23"/>
      <c r="D2888" s="24"/>
      <c r="E2888" s="14"/>
      <c r="F2888" s="14"/>
      <c r="G2888" s="14"/>
      <c r="H2888" s="23"/>
      <c r="I2888" s="27"/>
      <c r="J2888" s="23"/>
      <c r="K2888" s="30"/>
      <c r="L2888" s="23"/>
      <c r="M2888" s="20"/>
      <c r="N2888" s="20"/>
      <c r="O2888" s="20"/>
      <c r="P2888" s="20"/>
    </row>
    <row r="2889">
      <c r="A2889" s="10"/>
      <c r="B2889" s="11"/>
      <c r="C2889" s="10"/>
      <c r="D2889" s="13"/>
      <c r="E2889" s="14"/>
      <c r="F2889" s="14"/>
      <c r="G2889" s="14"/>
      <c r="H2889" s="10"/>
      <c r="I2889" s="17"/>
      <c r="J2889" s="10"/>
      <c r="K2889" s="46"/>
      <c r="L2889" s="10"/>
      <c r="M2889" s="20"/>
      <c r="N2889" s="20"/>
      <c r="O2889" s="20"/>
      <c r="P2889" s="20"/>
    </row>
    <row r="2890">
      <c r="A2890" s="23"/>
      <c r="B2890" s="21"/>
      <c r="C2890" s="23"/>
      <c r="D2890" s="24"/>
      <c r="E2890" s="14"/>
      <c r="F2890" s="14"/>
      <c r="G2890" s="14"/>
      <c r="H2890" s="23"/>
      <c r="I2890" s="27"/>
      <c r="J2890" s="23"/>
      <c r="K2890" s="30"/>
      <c r="L2890" s="23"/>
      <c r="M2890" s="20"/>
      <c r="N2890" s="20"/>
      <c r="O2890" s="20"/>
      <c r="P2890" s="20"/>
    </row>
    <row r="2891">
      <c r="A2891" s="10"/>
      <c r="B2891" s="11"/>
      <c r="C2891" s="10"/>
      <c r="D2891" s="13"/>
      <c r="E2891" s="14"/>
      <c r="F2891" s="14"/>
      <c r="G2891" s="14"/>
      <c r="H2891" s="10"/>
      <c r="I2891" s="17"/>
      <c r="J2891" s="10"/>
      <c r="K2891" s="46"/>
      <c r="L2891" s="10"/>
      <c r="M2891" s="20"/>
      <c r="N2891" s="20"/>
      <c r="O2891" s="20"/>
      <c r="P2891" s="20"/>
    </row>
    <row r="2892">
      <c r="A2892" s="23"/>
      <c r="B2892" s="21"/>
      <c r="C2892" s="23"/>
      <c r="D2892" s="24"/>
      <c r="E2892" s="14"/>
      <c r="F2892" s="14"/>
      <c r="G2892" s="14"/>
      <c r="H2892" s="23"/>
      <c r="I2892" s="27"/>
      <c r="J2892" s="23"/>
      <c r="K2892" s="30"/>
      <c r="L2892" s="23"/>
      <c r="M2892" s="20"/>
      <c r="N2892" s="20"/>
      <c r="O2892" s="20"/>
      <c r="P2892" s="20"/>
    </row>
    <row r="2893">
      <c r="A2893" s="10"/>
      <c r="B2893" s="11"/>
      <c r="C2893" s="10"/>
      <c r="D2893" s="13"/>
      <c r="E2893" s="14"/>
      <c r="F2893" s="14"/>
      <c r="G2893" s="14"/>
      <c r="H2893" s="10"/>
      <c r="I2893" s="17"/>
      <c r="J2893" s="10"/>
      <c r="K2893" s="46"/>
      <c r="L2893" s="10"/>
      <c r="M2893" s="20"/>
      <c r="N2893" s="20"/>
      <c r="O2893" s="20"/>
      <c r="P2893" s="20"/>
    </row>
    <row r="2894">
      <c r="A2894" s="23"/>
      <c r="B2894" s="21"/>
      <c r="C2894" s="23"/>
      <c r="D2894" s="24"/>
      <c r="E2894" s="14"/>
      <c r="F2894" s="14"/>
      <c r="G2894" s="14"/>
      <c r="H2894" s="23"/>
      <c r="I2894" s="27"/>
      <c r="J2894" s="23"/>
      <c r="K2894" s="30"/>
      <c r="L2894" s="23"/>
      <c r="M2894" s="20"/>
      <c r="N2894" s="20"/>
      <c r="O2894" s="20"/>
      <c r="P2894" s="20"/>
    </row>
    <row r="2895">
      <c r="A2895" s="10"/>
      <c r="B2895" s="11"/>
      <c r="C2895" s="10"/>
      <c r="D2895" s="13"/>
      <c r="E2895" s="14"/>
      <c r="F2895" s="14"/>
      <c r="G2895" s="14"/>
      <c r="H2895" s="10"/>
      <c r="I2895" s="17"/>
      <c r="J2895" s="10"/>
      <c r="K2895" s="46"/>
      <c r="L2895" s="10"/>
      <c r="M2895" s="20"/>
      <c r="N2895" s="20"/>
      <c r="O2895" s="20"/>
      <c r="P2895" s="20"/>
    </row>
    <row r="2896">
      <c r="A2896" s="23"/>
      <c r="B2896" s="21"/>
      <c r="C2896" s="23"/>
      <c r="D2896" s="24"/>
      <c r="E2896" s="14"/>
      <c r="F2896" s="14"/>
      <c r="G2896" s="14"/>
      <c r="H2896" s="23"/>
      <c r="I2896" s="27"/>
      <c r="J2896" s="23"/>
      <c r="K2896" s="30"/>
      <c r="L2896" s="23"/>
      <c r="M2896" s="20"/>
      <c r="N2896" s="20"/>
      <c r="O2896" s="20"/>
      <c r="P2896" s="20"/>
    </row>
    <row r="2897">
      <c r="A2897" s="10"/>
      <c r="B2897" s="11"/>
      <c r="C2897" s="10"/>
      <c r="D2897" s="13"/>
      <c r="E2897" s="14"/>
      <c r="F2897" s="14"/>
      <c r="G2897" s="14"/>
      <c r="H2897" s="10"/>
      <c r="I2897" s="17"/>
      <c r="J2897" s="10"/>
      <c r="K2897" s="46"/>
      <c r="L2897" s="10"/>
      <c r="M2897" s="20"/>
      <c r="N2897" s="20"/>
      <c r="O2897" s="20"/>
      <c r="P2897" s="20"/>
    </row>
    <row r="2898">
      <c r="A2898" s="23"/>
      <c r="B2898" s="21"/>
      <c r="C2898" s="23"/>
      <c r="D2898" s="24"/>
      <c r="E2898" s="14"/>
      <c r="F2898" s="14"/>
      <c r="G2898" s="14"/>
      <c r="H2898" s="23"/>
      <c r="I2898" s="27"/>
      <c r="J2898" s="23"/>
      <c r="K2898" s="30"/>
      <c r="L2898" s="23"/>
      <c r="M2898" s="20"/>
      <c r="N2898" s="20"/>
      <c r="O2898" s="20"/>
      <c r="P2898" s="20"/>
    </row>
    <row r="2899">
      <c r="A2899" s="10"/>
      <c r="B2899" s="11"/>
      <c r="C2899" s="10"/>
      <c r="D2899" s="13"/>
      <c r="E2899" s="14"/>
      <c r="F2899" s="14"/>
      <c r="G2899" s="14"/>
      <c r="H2899" s="10"/>
      <c r="I2899" s="17"/>
      <c r="J2899" s="10"/>
      <c r="K2899" s="46"/>
      <c r="L2899" s="10"/>
      <c r="M2899" s="20"/>
      <c r="N2899" s="20"/>
      <c r="O2899" s="20"/>
      <c r="P2899" s="20"/>
    </row>
    <row r="2900">
      <c r="A2900" s="23"/>
      <c r="B2900" s="21"/>
      <c r="C2900" s="23"/>
      <c r="D2900" s="24"/>
      <c r="E2900" s="14"/>
      <c r="F2900" s="14"/>
      <c r="G2900" s="14"/>
      <c r="H2900" s="23"/>
      <c r="I2900" s="27"/>
      <c r="J2900" s="23"/>
      <c r="K2900" s="30"/>
      <c r="L2900" s="23"/>
      <c r="M2900" s="20"/>
      <c r="N2900" s="20"/>
      <c r="O2900" s="20"/>
      <c r="P2900" s="20"/>
    </row>
    <row r="2901">
      <c r="A2901" s="10"/>
      <c r="B2901" s="11"/>
      <c r="C2901" s="10"/>
      <c r="D2901" s="13"/>
      <c r="E2901" s="14"/>
      <c r="F2901" s="14"/>
      <c r="G2901" s="14"/>
      <c r="H2901" s="10"/>
      <c r="I2901" s="17"/>
      <c r="J2901" s="10"/>
      <c r="K2901" s="46"/>
      <c r="L2901" s="10"/>
      <c r="M2901" s="20"/>
      <c r="N2901" s="20"/>
      <c r="O2901" s="20"/>
      <c r="P2901" s="20"/>
    </row>
    <row r="2902">
      <c r="A2902" s="23"/>
      <c r="B2902" s="21"/>
      <c r="C2902" s="23"/>
      <c r="D2902" s="24"/>
      <c r="E2902" s="14"/>
      <c r="F2902" s="14"/>
      <c r="G2902" s="14"/>
      <c r="H2902" s="23"/>
      <c r="I2902" s="27"/>
      <c r="J2902" s="23"/>
      <c r="K2902" s="30"/>
      <c r="L2902" s="23"/>
      <c r="M2902" s="20"/>
      <c r="N2902" s="20"/>
      <c r="O2902" s="20"/>
      <c r="P2902" s="20"/>
    </row>
    <row r="2903">
      <c r="A2903" s="10"/>
      <c r="B2903" s="11"/>
      <c r="C2903" s="10"/>
      <c r="D2903" s="13"/>
      <c r="E2903" s="14"/>
      <c r="F2903" s="14"/>
      <c r="G2903" s="14"/>
      <c r="H2903" s="10"/>
      <c r="I2903" s="17"/>
      <c r="J2903" s="10"/>
      <c r="K2903" s="46"/>
      <c r="L2903" s="10"/>
      <c r="M2903" s="20"/>
      <c r="N2903" s="20"/>
      <c r="O2903" s="20"/>
      <c r="P2903" s="20"/>
    </row>
    <row r="2904">
      <c r="A2904" s="23"/>
      <c r="B2904" s="21"/>
      <c r="C2904" s="23"/>
      <c r="D2904" s="24"/>
      <c r="E2904" s="14"/>
      <c r="F2904" s="14"/>
      <c r="G2904" s="14"/>
      <c r="H2904" s="23"/>
      <c r="I2904" s="27"/>
      <c r="J2904" s="23"/>
      <c r="K2904" s="30"/>
      <c r="L2904" s="23"/>
      <c r="M2904" s="20"/>
      <c r="N2904" s="20"/>
      <c r="O2904" s="20"/>
      <c r="P2904" s="20"/>
    </row>
    <row r="2905">
      <c r="A2905" s="10"/>
      <c r="B2905" s="11"/>
      <c r="C2905" s="10"/>
      <c r="D2905" s="13"/>
      <c r="E2905" s="14"/>
      <c r="F2905" s="14"/>
      <c r="G2905" s="14"/>
      <c r="H2905" s="10"/>
      <c r="I2905" s="17"/>
      <c r="J2905" s="10"/>
      <c r="K2905" s="46"/>
      <c r="L2905" s="10"/>
      <c r="M2905" s="20"/>
      <c r="N2905" s="20"/>
      <c r="O2905" s="20"/>
      <c r="P2905" s="20"/>
    </row>
    <row r="2906">
      <c r="A2906" s="23"/>
      <c r="B2906" s="21"/>
      <c r="C2906" s="23"/>
      <c r="D2906" s="24"/>
      <c r="E2906" s="14"/>
      <c r="F2906" s="14"/>
      <c r="G2906" s="14"/>
      <c r="H2906" s="23"/>
      <c r="I2906" s="27"/>
      <c r="J2906" s="23"/>
      <c r="K2906" s="30"/>
      <c r="L2906" s="23"/>
      <c r="M2906" s="20"/>
      <c r="N2906" s="20"/>
      <c r="O2906" s="20"/>
      <c r="P2906" s="20"/>
    </row>
    <row r="2907">
      <c r="A2907" s="10"/>
      <c r="B2907" s="11"/>
      <c r="C2907" s="10"/>
      <c r="D2907" s="13"/>
      <c r="E2907" s="14"/>
      <c r="F2907" s="14"/>
      <c r="G2907" s="14"/>
      <c r="H2907" s="10"/>
      <c r="I2907" s="17"/>
      <c r="J2907" s="10"/>
      <c r="K2907" s="46"/>
      <c r="L2907" s="10"/>
      <c r="M2907" s="20"/>
      <c r="N2907" s="20"/>
      <c r="O2907" s="20"/>
      <c r="P2907" s="20"/>
    </row>
    <row r="2908">
      <c r="A2908" s="23"/>
      <c r="B2908" s="21"/>
      <c r="C2908" s="23"/>
      <c r="D2908" s="24"/>
      <c r="E2908" s="14"/>
      <c r="F2908" s="14"/>
      <c r="G2908" s="14"/>
      <c r="H2908" s="23"/>
      <c r="I2908" s="27"/>
      <c r="J2908" s="23"/>
      <c r="K2908" s="30"/>
      <c r="L2908" s="23"/>
      <c r="M2908" s="20"/>
      <c r="N2908" s="20"/>
      <c r="O2908" s="20"/>
      <c r="P2908" s="20"/>
    </row>
    <row r="2909">
      <c r="A2909" s="10"/>
      <c r="B2909" s="11"/>
      <c r="C2909" s="10"/>
      <c r="D2909" s="13"/>
      <c r="E2909" s="14"/>
      <c r="F2909" s="14"/>
      <c r="G2909" s="14"/>
      <c r="H2909" s="10"/>
      <c r="I2909" s="17"/>
      <c r="J2909" s="10"/>
      <c r="K2909" s="46"/>
      <c r="L2909" s="10"/>
      <c r="M2909" s="20"/>
      <c r="N2909" s="20"/>
      <c r="O2909" s="20"/>
      <c r="P2909" s="20"/>
    </row>
    <row r="2910">
      <c r="A2910" s="23"/>
      <c r="B2910" s="21"/>
      <c r="C2910" s="23"/>
      <c r="D2910" s="24"/>
      <c r="E2910" s="14"/>
      <c r="F2910" s="14"/>
      <c r="G2910" s="14"/>
      <c r="H2910" s="23"/>
      <c r="I2910" s="27"/>
      <c r="J2910" s="23"/>
      <c r="K2910" s="30"/>
      <c r="L2910" s="23"/>
      <c r="M2910" s="20"/>
      <c r="N2910" s="20"/>
      <c r="O2910" s="20"/>
      <c r="P2910" s="20"/>
    </row>
    <row r="2911">
      <c r="A2911" s="10"/>
      <c r="B2911" s="11"/>
      <c r="C2911" s="10"/>
      <c r="D2911" s="13"/>
      <c r="E2911" s="14"/>
      <c r="F2911" s="14"/>
      <c r="G2911" s="14"/>
      <c r="H2911" s="10"/>
      <c r="I2911" s="17"/>
      <c r="J2911" s="10"/>
      <c r="K2911" s="46"/>
      <c r="L2911" s="10"/>
      <c r="M2911" s="20"/>
      <c r="N2911" s="20"/>
      <c r="O2911" s="20"/>
      <c r="P2911" s="20"/>
    </row>
    <row r="2912">
      <c r="A2912" s="23"/>
      <c r="B2912" s="21"/>
      <c r="C2912" s="23"/>
      <c r="D2912" s="24"/>
      <c r="E2912" s="14"/>
      <c r="F2912" s="14"/>
      <c r="G2912" s="14"/>
      <c r="H2912" s="23"/>
      <c r="I2912" s="27"/>
      <c r="J2912" s="23"/>
      <c r="K2912" s="30"/>
      <c r="L2912" s="23"/>
      <c r="M2912" s="20"/>
      <c r="N2912" s="20"/>
      <c r="O2912" s="20"/>
      <c r="P2912" s="20"/>
    </row>
    <row r="2913">
      <c r="A2913" s="10"/>
      <c r="B2913" s="11"/>
      <c r="C2913" s="10"/>
      <c r="D2913" s="13"/>
      <c r="E2913" s="14"/>
      <c r="F2913" s="14"/>
      <c r="G2913" s="14"/>
      <c r="H2913" s="10"/>
      <c r="I2913" s="17"/>
      <c r="J2913" s="10"/>
      <c r="K2913" s="46"/>
      <c r="L2913" s="10"/>
      <c r="M2913" s="20"/>
      <c r="N2913" s="20"/>
      <c r="O2913" s="20"/>
      <c r="P2913" s="20"/>
    </row>
    <row r="2914">
      <c r="A2914" s="23"/>
      <c r="B2914" s="21"/>
      <c r="C2914" s="23"/>
      <c r="D2914" s="24"/>
      <c r="E2914" s="14"/>
      <c r="F2914" s="14"/>
      <c r="G2914" s="14"/>
      <c r="H2914" s="23"/>
      <c r="I2914" s="27"/>
      <c r="J2914" s="23"/>
      <c r="K2914" s="30"/>
      <c r="L2914" s="23"/>
      <c r="M2914" s="20"/>
      <c r="N2914" s="20"/>
      <c r="O2914" s="20"/>
      <c r="P2914" s="20"/>
    </row>
    <row r="2915">
      <c r="A2915" s="10"/>
      <c r="B2915" s="11"/>
      <c r="C2915" s="10"/>
      <c r="D2915" s="13"/>
      <c r="E2915" s="14"/>
      <c r="F2915" s="14"/>
      <c r="G2915" s="14"/>
      <c r="H2915" s="10"/>
      <c r="I2915" s="17"/>
      <c r="J2915" s="10"/>
      <c r="K2915" s="46"/>
      <c r="L2915" s="10"/>
      <c r="M2915" s="20"/>
      <c r="N2915" s="20"/>
      <c r="O2915" s="20"/>
      <c r="P2915" s="20"/>
    </row>
    <row r="2916">
      <c r="A2916" s="23"/>
      <c r="B2916" s="21"/>
      <c r="C2916" s="23"/>
      <c r="D2916" s="24"/>
      <c r="E2916" s="14"/>
      <c r="F2916" s="14"/>
      <c r="G2916" s="14"/>
      <c r="H2916" s="23"/>
      <c r="I2916" s="27"/>
      <c r="J2916" s="23"/>
      <c r="K2916" s="30"/>
      <c r="L2916" s="23"/>
      <c r="M2916" s="20"/>
      <c r="N2916" s="20"/>
      <c r="O2916" s="20"/>
      <c r="P2916" s="20"/>
    </row>
    <row r="2917">
      <c r="A2917" s="10"/>
      <c r="B2917" s="11"/>
      <c r="C2917" s="10"/>
      <c r="D2917" s="13"/>
      <c r="E2917" s="14"/>
      <c r="F2917" s="14"/>
      <c r="G2917" s="14"/>
      <c r="H2917" s="10"/>
      <c r="I2917" s="17"/>
      <c r="J2917" s="10"/>
      <c r="K2917" s="46"/>
      <c r="L2917" s="10"/>
      <c r="M2917" s="20"/>
      <c r="N2917" s="20"/>
      <c r="O2917" s="20"/>
      <c r="P2917" s="20"/>
    </row>
    <row r="2918">
      <c r="A2918" s="23"/>
      <c r="B2918" s="21"/>
      <c r="C2918" s="23"/>
      <c r="D2918" s="24"/>
      <c r="E2918" s="14"/>
      <c r="F2918" s="14"/>
      <c r="G2918" s="14"/>
      <c r="H2918" s="23"/>
      <c r="I2918" s="27"/>
      <c r="J2918" s="23"/>
      <c r="K2918" s="30"/>
      <c r="L2918" s="23"/>
      <c r="M2918" s="20"/>
      <c r="N2918" s="20"/>
      <c r="O2918" s="20"/>
      <c r="P2918" s="20"/>
    </row>
    <row r="2919">
      <c r="A2919" s="10"/>
      <c r="B2919" s="11"/>
      <c r="C2919" s="10"/>
      <c r="D2919" s="13"/>
      <c r="E2919" s="14"/>
      <c r="F2919" s="14"/>
      <c r="G2919" s="14"/>
      <c r="H2919" s="10"/>
      <c r="I2919" s="17"/>
      <c r="J2919" s="10"/>
      <c r="K2919" s="46"/>
      <c r="L2919" s="10"/>
      <c r="M2919" s="20"/>
      <c r="N2919" s="20"/>
      <c r="O2919" s="20"/>
      <c r="P2919" s="20"/>
    </row>
    <row r="2920">
      <c r="A2920" s="23"/>
      <c r="B2920" s="21"/>
      <c r="C2920" s="23"/>
      <c r="D2920" s="24"/>
      <c r="E2920" s="14"/>
      <c r="F2920" s="14"/>
      <c r="G2920" s="14"/>
      <c r="H2920" s="23"/>
      <c r="I2920" s="27"/>
      <c r="J2920" s="23"/>
      <c r="K2920" s="30"/>
      <c r="L2920" s="23"/>
      <c r="M2920" s="20"/>
      <c r="N2920" s="20"/>
      <c r="O2920" s="20"/>
      <c r="P2920" s="20"/>
    </row>
    <row r="2921">
      <c r="A2921" s="10"/>
      <c r="B2921" s="11"/>
      <c r="C2921" s="10"/>
      <c r="D2921" s="13"/>
      <c r="E2921" s="14"/>
      <c r="F2921" s="14"/>
      <c r="G2921" s="14"/>
      <c r="H2921" s="10"/>
      <c r="I2921" s="17"/>
      <c r="J2921" s="10"/>
      <c r="K2921" s="46"/>
      <c r="L2921" s="10"/>
      <c r="M2921" s="20"/>
      <c r="N2921" s="20"/>
      <c r="O2921" s="20"/>
      <c r="P2921" s="20"/>
    </row>
    <row r="2922">
      <c r="A2922" s="23"/>
      <c r="B2922" s="21"/>
      <c r="C2922" s="23"/>
      <c r="D2922" s="24"/>
      <c r="E2922" s="14"/>
      <c r="F2922" s="14"/>
      <c r="G2922" s="14"/>
      <c r="H2922" s="23"/>
      <c r="I2922" s="27"/>
      <c r="J2922" s="23"/>
      <c r="K2922" s="30"/>
      <c r="L2922" s="23"/>
      <c r="M2922" s="20"/>
      <c r="N2922" s="20"/>
      <c r="O2922" s="20"/>
      <c r="P2922" s="20"/>
    </row>
    <row r="2923">
      <c r="A2923" s="10"/>
      <c r="B2923" s="11"/>
      <c r="C2923" s="10"/>
      <c r="D2923" s="13"/>
      <c r="E2923" s="14"/>
      <c r="F2923" s="14"/>
      <c r="G2923" s="14"/>
      <c r="H2923" s="10"/>
      <c r="I2923" s="17"/>
      <c r="J2923" s="10"/>
      <c r="K2923" s="46"/>
      <c r="L2923" s="10"/>
      <c r="M2923" s="20"/>
      <c r="N2923" s="20"/>
      <c r="O2923" s="20"/>
      <c r="P2923" s="20"/>
    </row>
    <row r="2924">
      <c r="A2924" s="23"/>
      <c r="B2924" s="21"/>
      <c r="C2924" s="23"/>
      <c r="D2924" s="24"/>
      <c r="E2924" s="14"/>
      <c r="F2924" s="14"/>
      <c r="G2924" s="14"/>
      <c r="H2924" s="23"/>
      <c r="I2924" s="27"/>
      <c r="J2924" s="23"/>
      <c r="K2924" s="30"/>
      <c r="L2924" s="23"/>
      <c r="M2924" s="20"/>
      <c r="N2924" s="20"/>
      <c r="O2924" s="20"/>
      <c r="P2924" s="20"/>
    </row>
    <row r="2925">
      <c r="A2925" s="10"/>
      <c r="B2925" s="11"/>
      <c r="C2925" s="10"/>
      <c r="D2925" s="13"/>
      <c r="E2925" s="14"/>
      <c r="F2925" s="14"/>
      <c r="G2925" s="14"/>
      <c r="H2925" s="10"/>
      <c r="I2925" s="17"/>
      <c r="J2925" s="10"/>
      <c r="K2925" s="46"/>
      <c r="L2925" s="10"/>
      <c r="M2925" s="20"/>
      <c r="N2925" s="20"/>
      <c r="O2925" s="20"/>
      <c r="P2925" s="20"/>
    </row>
    <row r="2926">
      <c r="A2926" s="23"/>
      <c r="B2926" s="21"/>
      <c r="C2926" s="23"/>
      <c r="D2926" s="24"/>
      <c r="E2926" s="14"/>
      <c r="F2926" s="14"/>
      <c r="G2926" s="14"/>
      <c r="H2926" s="23"/>
      <c r="I2926" s="27"/>
      <c r="J2926" s="23"/>
      <c r="K2926" s="30"/>
      <c r="L2926" s="23"/>
      <c r="M2926" s="20"/>
      <c r="N2926" s="20"/>
      <c r="O2926" s="20"/>
      <c r="P2926" s="20"/>
    </row>
    <row r="2927">
      <c r="A2927" s="10"/>
      <c r="B2927" s="11"/>
      <c r="C2927" s="10"/>
      <c r="D2927" s="13"/>
      <c r="E2927" s="14"/>
      <c r="F2927" s="14"/>
      <c r="G2927" s="14"/>
      <c r="H2927" s="10"/>
      <c r="I2927" s="17"/>
      <c r="J2927" s="10"/>
      <c r="K2927" s="46"/>
      <c r="L2927" s="10"/>
      <c r="M2927" s="20"/>
      <c r="N2927" s="20"/>
      <c r="O2927" s="20"/>
      <c r="P2927" s="20"/>
    </row>
    <row r="2928">
      <c r="A2928" s="23"/>
      <c r="B2928" s="21"/>
      <c r="C2928" s="23"/>
      <c r="D2928" s="24"/>
      <c r="E2928" s="14"/>
      <c r="F2928" s="14"/>
      <c r="G2928" s="14"/>
      <c r="H2928" s="23"/>
      <c r="I2928" s="27"/>
      <c r="J2928" s="23"/>
      <c r="K2928" s="30"/>
      <c r="L2928" s="23"/>
      <c r="M2928" s="20"/>
      <c r="N2928" s="20"/>
      <c r="O2928" s="20"/>
      <c r="P2928" s="20"/>
    </row>
    <row r="2929">
      <c r="A2929" s="10"/>
      <c r="B2929" s="11"/>
      <c r="C2929" s="10"/>
      <c r="D2929" s="13"/>
      <c r="E2929" s="14"/>
      <c r="F2929" s="14"/>
      <c r="G2929" s="14"/>
      <c r="H2929" s="10"/>
      <c r="I2929" s="17"/>
      <c r="J2929" s="10"/>
      <c r="K2929" s="46"/>
      <c r="L2929" s="10"/>
      <c r="M2929" s="20"/>
      <c r="N2929" s="20"/>
      <c r="O2929" s="20"/>
      <c r="P2929" s="20"/>
    </row>
    <row r="2930">
      <c r="A2930" s="23"/>
      <c r="B2930" s="21"/>
      <c r="C2930" s="23"/>
      <c r="D2930" s="24"/>
      <c r="E2930" s="14"/>
      <c r="F2930" s="14"/>
      <c r="G2930" s="14"/>
      <c r="H2930" s="23"/>
      <c r="I2930" s="27"/>
      <c r="J2930" s="23"/>
      <c r="K2930" s="30"/>
      <c r="L2930" s="23"/>
      <c r="M2930" s="20"/>
      <c r="N2930" s="20"/>
      <c r="O2930" s="20"/>
      <c r="P2930" s="20"/>
    </row>
    <row r="2931">
      <c r="A2931" s="10"/>
      <c r="B2931" s="11"/>
      <c r="C2931" s="10"/>
      <c r="D2931" s="13"/>
      <c r="E2931" s="14"/>
      <c r="F2931" s="14"/>
      <c r="G2931" s="14"/>
      <c r="H2931" s="10"/>
      <c r="I2931" s="17"/>
      <c r="J2931" s="10"/>
      <c r="K2931" s="46"/>
      <c r="L2931" s="10"/>
      <c r="M2931" s="20"/>
      <c r="N2931" s="20"/>
      <c r="O2931" s="20"/>
      <c r="P2931" s="20"/>
    </row>
    <row r="2932">
      <c r="A2932" s="23"/>
      <c r="B2932" s="21"/>
      <c r="C2932" s="23"/>
      <c r="D2932" s="24"/>
      <c r="E2932" s="14"/>
      <c r="F2932" s="14"/>
      <c r="G2932" s="14"/>
      <c r="H2932" s="23"/>
      <c r="I2932" s="27"/>
      <c r="J2932" s="23"/>
      <c r="K2932" s="30"/>
      <c r="L2932" s="23"/>
      <c r="M2932" s="20"/>
      <c r="N2932" s="20"/>
      <c r="O2932" s="20"/>
      <c r="P2932" s="20"/>
    </row>
    <row r="2933">
      <c r="A2933" s="10"/>
      <c r="B2933" s="11"/>
      <c r="C2933" s="10"/>
      <c r="D2933" s="13"/>
      <c r="E2933" s="14"/>
      <c r="F2933" s="14"/>
      <c r="G2933" s="14"/>
      <c r="H2933" s="10"/>
      <c r="I2933" s="17"/>
      <c r="J2933" s="10"/>
      <c r="K2933" s="46"/>
      <c r="L2933" s="10"/>
      <c r="M2933" s="20"/>
      <c r="N2933" s="20"/>
      <c r="O2933" s="20"/>
      <c r="P2933" s="20"/>
    </row>
    <row r="2934">
      <c r="A2934" s="23"/>
      <c r="B2934" s="21"/>
      <c r="C2934" s="23"/>
      <c r="D2934" s="24"/>
      <c r="E2934" s="14"/>
      <c r="F2934" s="14"/>
      <c r="G2934" s="14"/>
      <c r="H2934" s="23"/>
      <c r="I2934" s="27"/>
      <c r="J2934" s="23"/>
      <c r="K2934" s="30"/>
      <c r="L2934" s="23"/>
      <c r="M2934" s="20"/>
      <c r="N2934" s="20"/>
      <c r="O2934" s="20"/>
      <c r="P2934" s="20"/>
    </row>
    <row r="2935">
      <c r="A2935" s="10"/>
      <c r="B2935" s="11"/>
      <c r="C2935" s="10"/>
      <c r="D2935" s="13"/>
      <c r="E2935" s="14"/>
      <c r="F2935" s="14"/>
      <c r="G2935" s="14"/>
      <c r="H2935" s="10"/>
      <c r="I2935" s="17"/>
      <c r="J2935" s="10"/>
      <c r="K2935" s="46"/>
      <c r="L2935" s="10"/>
      <c r="M2935" s="20"/>
      <c r="N2935" s="20"/>
      <c r="O2935" s="20"/>
      <c r="P2935" s="20"/>
    </row>
    <row r="2936">
      <c r="A2936" s="23"/>
      <c r="B2936" s="21"/>
      <c r="C2936" s="23"/>
      <c r="D2936" s="24"/>
      <c r="E2936" s="14"/>
      <c r="F2936" s="14"/>
      <c r="G2936" s="14"/>
      <c r="H2936" s="23"/>
      <c r="I2936" s="27"/>
      <c r="J2936" s="23"/>
      <c r="K2936" s="30"/>
      <c r="L2936" s="23"/>
      <c r="M2936" s="20"/>
      <c r="N2936" s="20"/>
      <c r="O2936" s="20"/>
      <c r="P2936" s="20"/>
    </row>
    <row r="2937">
      <c r="A2937" s="10"/>
      <c r="B2937" s="11"/>
      <c r="C2937" s="10"/>
      <c r="D2937" s="13"/>
      <c r="E2937" s="14"/>
      <c r="F2937" s="14"/>
      <c r="G2937" s="14"/>
      <c r="H2937" s="10"/>
      <c r="I2937" s="17"/>
      <c r="J2937" s="10"/>
      <c r="K2937" s="46"/>
      <c r="L2937" s="10"/>
      <c r="M2937" s="20"/>
      <c r="N2937" s="20"/>
      <c r="O2937" s="20"/>
      <c r="P2937" s="20"/>
    </row>
    <row r="2938">
      <c r="A2938" s="23"/>
      <c r="B2938" s="21"/>
      <c r="C2938" s="23"/>
      <c r="D2938" s="24"/>
      <c r="E2938" s="14"/>
      <c r="F2938" s="14"/>
      <c r="G2938" s="14"/>
      <c r="H2938" s="23"/>
      <c r="I2938" s="27"/>
      <c r="J2938" s="23"/>
      <c r="K2938" s="30"/>
      <c r="L2938" s="23"/>
      <c r="M2938" s="20"/>
      <c r="N2938" s="20"/>
      <c r="O2938" s="20"/>
      <c r="P2938" s="20"/>
    </row>
    <row r="2939">
      <c r="A2939" s="10"/>
      <c r="B2939" s="11"/>
      <c r="C2939" s="10"/>
      <c r="D2939" s="13"/>
      <c r="E2939" s="14"/>
      <c r="F2939" s="14"/>
      <c r="G2939" s="14"/>
      <c r="H2939" s="10"/>
      <c r="I2939" s="17"/>
      <c r="J2939" s="10"/>
      <c r="K2939" s="46"/>
      <c r="L2939" s="10"/>
      <c r="M2939" s="20"/>
      <c r="N2939" s="20"/>
      <c r="O2939" s="20"/>
      <c r="P2939" s="20"/>
    </row>
    <row r="2940">
      <c r="A2940" s="23"/>
      <c r="B2940" s="21"/>
      <c r="C2940" s="23"/>
      <c r="D2940" s="24"/>
      <c r="E2940" s="14"/>
      <c r="F2940" s="14"/>
      <c r="G2940" s="14"/>
      <c r="H2940" s="23"/>
      <c r="I2940" s="27"/>
      <c r="J2940" s="23"/>
      <c r="K2940" s="30"/>
      <c r="L2940" s="23"/>
      <c r="M2940" s="20"/>
      <c r="N2940" s="20"/>
      <c r="O2940" s="20"/>
      <c r="P2940" s="20"/>
    </row>
    <row r="2941">
      <c r="A2941" s="10"/>
      <c r="B2941" s="11"/>
      <c r="C2941" s="10"/>
      <c r="D2941" s="13"/>
      <c r="E2941" s="14"/>
      <c r="F2941" s="14"/>
      <c r="G2941" s="14"/>
      <c r="H2941" s="10"/>
      <c r="I2941" s="17"/>
      <c r="J2941" s="10"/>
      <c r="K2941" s="46"/>
      <c r="L2941" s="10"/>
      <c r="M2941" s="20"/>
      <c r="N2941" s="20"/>
      <c r="O2941" s="20"/>
      <c r="P2941" s="20"/>
    </row>
    <row r="2942">
      <c r="A2942" s="23"/>
      <c r="B2942" s="21"/>
      <c r="C2942" s="23"/>
      <c r="D2942" s="24"/>
      <c r="E2942" s="14"/>
      <c r="F2942" s="14"/>
      <c r="G2942" s="14"/>
      <c r="H2942" s="23"/>
      <c r="I2942" s="27"/>
      <c r="J2942" s="23"/>
      <c r="K2942" s="30"/>
      <c r="L2942" s="23"/>
      <c r="M2942" s="20"/>
      <c r="N2942" s="20"/>
      <c r="O2942" s="20"/>
      <c r="P2942" s="20"/>
    </row>
    <row r="2943">
      <c r="A2943" s="10"/>
      <c r="B2943" s="11"/>
      <c r="C2943" s="10"/>
      <c r="D2943" s="13"/>
      <c r="E2943" s="14"/>
      <c r="F2943" s="14"/>
      <c r="G2943" s="14"/>
      <c r="H2943" s="10"/>
      <c r="I2943" s="17"/>
      <c r="J2943" s="10"/>
      <c r="K2943" s="46"/>
      <c r="L2943" s="10"/>
      <c r="M2943" s="20"/>
      <c r="N2943" s="20"/>
      <c r="O2943" s="20"/>
      <c r="P2943" s="20"/>
    </row>
    <row r="2944">
      <c r="A2944" s="23"/>
      <c r="B2944" s="21"/>
      <c r="C2944" s="23"/>
      <c r="D2944" s="24"/>
      <c r="E2944" s="14"/>
      <c r="F2944" s="14"/>
      <c r="G2944" s="14"/>
      <c r="H2944" s="23"/>
      <c r="I2944" s="27"/>
      <c r="J2944" s="23"/>
      <c r="K2944" s="30"/>
      <c r="L2944" s="23"/>
      <c r="M2944" s="20"/>
      <c r="N2944" s="20"/>
      <c r="O2944" s="20"/>
      <c r="P2944" s="20"/>
    </row>
    <row r="2945">
      <c r="A2945" s="10"/>
      <c r="B2945" s="11"/>
      <c r="C2945" s="10"/>
      <c r="D2945" s="13"/>
      <c r="E2945" s="14"/>
      <c r="F2945" s="14"/>
      <c r="G2945" s="14"/>
      <c r="H2945" s="10"/>
      <c r="I2945" s="17"/>
      <c r="J2945" s="10"/>
      <c r="K2945" s="46"/>
      <c r="L2945" s="10"/>
      <c r="M2945" s="20"/>
      <c r="N2945" s="20"/>
      <c r="O2945" s="20"/>
      <c r="P2945" s="20"/>
    </row>
    <row r="2946">
      <c r="A2946" s="23"/>
      <c r="B2946" s="21"/>
      <c r="C2946" s="23"/>
      <c r="D2946" s="24"/>
      <c r="E2946" s="14"/>
      <c r="F2946" s="14"/>
      <c r="G2946" s="14"/>
      <c r="H2946" s="23"/>
      <c r="I2946" s="27"/>
      <c r="J2946" s="23"/>
      <c r="K2946" s="30"/>
      <c r="L2946" s="23"/>
      <c r="M2946" s="20"/>
      <c r="N2946" s="20"/>
      <c r="O2946" s="20"/>
      <c r="P2946" s="20"/>
    </row>
    <row r="2947">
      <c r="A2947" s="10"/>
      <c r="B2947" s="11"/>
      <c r="C2947" s="10"/>
      <c r="D2947" s="13"/>
      <c r="E2947" s="14"/>
      <c r="F2947" s="14"/>
      <c r="G2947" s="14"/>
      <c r="H2947" s="10"/>
      <c r="I2947" s="17"/>
      <c r="J2947" s="10"/>
      <c r="K2947" s="46"/>
      <c r="L2947" s="10"/>
      <c r="M2947" s="20"/>
      <c r="N2947" s="20"/>
      <c r="O2947" s="20"/>
      <c r="P2947" s="20"/>
    </row>
    <row r="2948">
      <c r="A2948" s="23"/>
      <c r="B2948" s="21"/>
      <c r="C2948" s="23"/>
      <c r="D2948" s="24"/>
      <c r="E2948" s="14"/>
      <c r="F2948" s="14"/>
      <c r="G2948" s="14"/>
      <c r="H2948" s="23"/>
      <c r="I2948" s="27"/>
      <c r="J2948" s="23"/>
      <c r="K2948" s="30"/>
      <c r="L2948" s="23"/>
      <c r="M2948" s="20"/>
      <c r="N2948" s="20"/>
      <c r="O2948" s="20"/>
      <c r="P2948" s="20"/>
    </row>
    <row r="2949">
      <c r="A2949" s="10"/>
      <c r="B2949" s="11"/>
      <c r="C2949" s="10"/>
      <c r="D2949" s="13"/>
      <c r="E2949" s="14"/>
      <c r="F2949" s="14"/>
      <c r="G2949" s="14"/>
      <c r="H2949" s="10"/>
      <c r="I2949" s="17"/>
      <c r="J2949" s="10"/>
      <c r="K2949" s="46"/>
      <c r="L2949" s="10"/>
      <c r="M2949" s="20"/>
      <c r="N2949" s="20"/>
      <c r="O2949" s="20"/>
      <c r="P2949" s="20"/>
    </row>
    <row r="2950">
      <c r="A2950" s="23"/>
      <c r="B2950" s="21"/>
      <c r="C2950" s="23"/>
      <c r="D2950" s="24"/>
      <c r="E2950" s="14"/>
      <c r="F2950" s="14"/>
      <c r="G2950" s="14"/>
      <c r="H2950" s="23"/>
      <c r="I2950" s="27"/>
      <c r="J2950" s="23"/>
      <c r="K2950" s="30"/>
      <c r="L2950" s="23"/>
      <c r="M2950" s="20"/>
      <c r="N2950" s="20"/>
      <c r="O2950" s="20"/>
      <c r="P2950" s="20"/>
    </row>
    <row r="2951">
      <c r="A2951" s="10"/>
      <c r="B2951" s="11"/>
      <c r="C2951" s="10"/>
      <c r="D2951" s="13"/>
      <c r="E2951" s="14"/>
      <c r="F2951" s="14"/>
      <c r="G2951" s="14"/>
      <c r="H2951" s="10"/>
      <c r="I2951" s="17"/>
      <c r="J2951" s="10"/>
      <c r="K2951" s="46"/>
      <c r="L2951" s="10"/>
      <c r="M2951" s="20"/>
      <c r="N2951" s="20"/>
      <c r="O2951" s="20"/>
      <c r="P2951" s="20"/>
    </row>
    <row r="2952">
      <c r="A2952" s="23"/>
      <c r="B2952" s="21"/>
      <c r="C2952" s="23"/>
      <c r="D2952" s="24"/>
      <c r="E2952" s="14"/>
      <c r="F2952" s="14"/>
      <c r="G2952" s="14"/>
      <c r="H2952" s="23"/>
      <c r="I2952" s="27"/>
      <c r="J2952" s="23"/>
      <c r="K2952" s="30"/>
      <c r="L2952" s="23"/>
      <c r="M2952" s="20"/>
      <c r="N2952" s="20"/>
      <c r="O2952" s="20"/>
      <c r="P2952" s="20"/>
    </row>
    <row r="2953">
      <c r="A2953" s="10"/>
      <c r="B2953" s="11"/>
      <c r="C2953" s="10"/>
      <c r="D2953" s="13"/>
      <c r="E2953" s="14"/>
      <c r="F2953" s="14"/>
      <c r="G2953" s="14"/>
      <c r="H2953" s="10"/>
      <c r="I2953" s="17"/>
      <c r="J2953" s="10"/>
      <c r="K2953" s="46"/>
      <c r="L2953" s="10"/>
      <c r="M2953" s="20"/>
      <c r="N2953" s="20"/>
      <c r="O2953" s="20"/>
      <c r="P2953" s="20"/>
    </row>
    <row r="2954">
      <c r="A2954" s="23"/>
      <c r="B2954" s="21"/>
      <c r="C2954" s="23"/>
      <c r="D2954" s="24"/>
      <c r="E2954" s="14"/>
      <c r="F2954" s="14"/>
      <c r="G2954" s="14"/>
      <c r="H2954" s="23"/>
      <c r="I2954" s="27"/>
      <c r="J2954" s="23"/>
      <c r="K2954" s="30"/>
      <c r="L2954" s="23"/>
      <c r="M2954" s="20"/>
      <c r="N2954" s="20"/>
      <c r="O2954" s="20"/>
      <c r="P2954" s="20"/>
    </row>
    <row r="2955">
      <c r="A2955" s="10"/>
      <c r="B2955" s="11"/>
      <c r="C2955" s="10"/>
      <c r="D2955" s="13"/>
      <c r="E2955" s="14"/>
      <c r="F2955" s="14"/>
      <c r="G2955" s="14"/>
      <c r="H2955" s="10"/>
      <c r="I2955" s="17"/>
      <c r="J2955" s="10"/>
      <c r="K2955" s="46"/>
      <c r="L2955" s="10"/>
      <c r="M2955" s="20"/>
      <c r="N2955" s="20"/>
      <c r="O2955" s="20"/>
      <c r="P2955" s="20"/>
    </row>
    <row r="2956">
      <c r="A2956" s="23"/>
      <c r="B2956" s="21"/>
      <c r="C2956" s="23"/>
      <c r="D2956" s="24"/>
      <c r="E2956" s="14"/>
      <c r="F2956" s="14"/>
      <c r="G2956" s="14"/>
      <c r="H2956" s="23"/>
      <c r="I2956" s="27"/>
      <c r="J2956" s="23"/>
      <c r="K2956" s="30"/>
      <c r="L2956" s="23"/>
      <c r="M2956" s="20"/>
      <c r="N2956" s="20"/>
      <c r="O2956" s="20"/>
      <c r="P2956" s="20"/>
    </row>
    <row r="2957">
      <c r="A2957" s="10"/>
      <c r="B2957" s="11"/>
      <c r="C2957" s="10"/>
      <c r="D2957" s="13"/>
      <c r="E2957" s="14"/>
      <c r="F2957" s="14"/>
      <c r="G2957" s="14"/>
      <c r="H2957" s="10"/>
      <c r="I2957" s="17"/>
      <c r="J2957" s="10"/>
      <c r="K2957" s="46"/>
      <c r="L2957" s="10"/>
      <c r="M2957" s="20"/>
      <c r="N2957" s="20"/>
      <c r="O2957" s="20"/>
      <c r="P2957" s="20"/>
    </row>
    <row r="2958">
      <c r="A2958" s="23"/>
      <c r="B2958" s="21"/>
      <c r="C2958" s="23"/>
      <c r="D2958" s="24"/>
      <c r="E2958" s="14"/>
      <c r="F2958" s="14"/>
      <c r="G2958" s="14"/>
      <c r="H2958" s="23"/>
      <c r="I2958" s="27"/>
      <c r="J2958" s="23"/>
      <c r="K2958" s="30"/>
      <c r="L2958" s="23"/>
      <c r="M2958" s="20"/>
      <c r="N2958" s="20"/>
      <c r="O2958" s="20"/>
      <c r="P2958" s="20"/>
    </row>
    <row r="2959">
      <c r="A2959" s="10"/>
      <c r="B2959" s="11"/>
      <c r="C2959" s="10"/>
      <c r="D2959" s="13"/>
      <c r="E2959" s="14"/>
      <c r="F2959" s="14"/>
      <c r="G2959" s="14"/>
      <c r="H2959" s="10"/>
      <c r="I2959" s="17"/>
      <c r="J2959" s="10"/>
      <c r="K2959" s="46"/>
      <c r="L2959" s="10"/>
      <c r="M2959" s="20"/>
      <c r="N2959" s="20"/>
      <c r="O2959" s="20"/>
      <c r="P2959" s="20"/>
    </row>
    <row r="2960">
      <c r="A2960" s="23"/>
      <c r="B2960" s="21"/>
      <c r="C2960" s="23"/>
      <c r="D2960" s="24"/>
      <c r="E2960" s="14"/>
      <c r="F2960" s="14"/>
      <c r="G2960" s="14"/>
      <c r="H2960" s="23"/>
      <c r="I2960" s="27"/>
      <c r="J2960" s="23"/>
      <c r="K2960" s="30"/>
      <c r="L2960" s="23"/>
      <c r="M2960" s="20"/>
      <c r="N2960" s="20"/>
      <c r="O2960" s="20"/>
      <c r="P2960" s="20"/>
    </row>
    <row r="2961">
      <c r="A2961" s="10"/>
      <c r="B2961" s="11"/>
      <c r="C2961" s="10"/>
      <c r="D2961" s="13"/>
      <c r="E2961" s="14"/>
      <c r="F2961" s="14"/>
      <c r="G2961" s="14"/>
      <c r="H2961" s="10"/>
      <c r="I2961" s="17"/>
      <c r="J2961" s="10"/>
      <c r="K2961" s="46"/>
      <c r="L2961" s="10"/>
      <c r="M2961" s="20"/>
      <c r="N2961" s="20"/>
      <c r="O2961" s="20"/>
      <c r="P2961" s="20"/>
    </row>
    <row r="2962">
      <c r="A2962" s="23"/>
      <c r="B2962" s="21"/>
      <c r="C2962" s="23"/>
      <c r="D2962" s="24"/>
      <c r="E2962" s="14"/>
      <c r="F2962" s="14"/>
      <c r="G2962" s="14"/>
      <c r="H2962" s="23"/>
      <c r="I2962" s="27"/>
      <c r="J2962" s="23"/>
      <c r="K2962" s="30"/>
      <c r="L2962" s="23"/>
      <c r="M2962" s="20"/>
      <c r="N2962" s="20"/>
      <c r="O2962" s="20"/>
      <c r="P2962" s="20"/>
    </row>
    <row r="2963">
      <c r="A2963" s="10"/>
      <c r="B2963" s="11"/>
      <c r="C2963" s="10"/>
      <c r="D2963" s="13"/>
      <c r="E2963" s="14"/>
      <c r="F2963" s="14"/>
      <c r="G2963" s="14"/>
      <c r="H2963" s="10"/>
      <c r="I2963" s="17"/>
      <c r="J2963" s="10"/>
      <c r="K2963" s="46"/>
      <c r="L2963" s="10"/>
      <c r="M2963" s="20"/>
      <c r="N2963" s="20"/>
      <c r="O2963" s="20"/>
      <c r="P2963" s="20"/>
    </row>
    <row r="2964">
      <c r="A2964" s="23"/>
      <c r="B2964" s="21"/>
      <c r="C2964" s="23"/>
      <c r="D2964" s="24"/>
      <c r="E2964" s="14"/>
      <c r="F2964" s="14"/>
      <c r="G2964" s="14"/>
      <c r="H2964" s="23"/>
      <c r="I2964" s="27"/>
      <c r="J2964" s="23"/>
      <c r="K2964" s="30"/>
      <c r="L2964" s="23"/>
      <c r="M2964" s="20"/>
      <c r="N2964" s="20"/>
      <c r="O2964" s="20"/>
      <c r="P2964" s="20"/>
    </row>
    <row r="2965">
      <c r="A2965" s="10"/>
      <c r="B2965" s="11"/>
      <c r="C2965" s="10"/>
      <c r="D2965" s="13"/>
      <c r="E2965" s="14"/>
      <c r="F2965" s="14"/>
      <c r="G2965" s="14"/>
      <c r="H2965" s="10"/>
      <c r="I2965" s="17"/>
      <c r="J2965" s="10"/>
      <c r="K2965" s="46"/>
      <c r="L2965" s="10"/>
      <c r="M2965" s="20"/>
      <c r="N2965" s="20"/>
      <c r="O2965" s="20"/>
      <c r="P2965" s="20"/>
    </row>
    <row r="2966">
      <c r="A2966" s="23"/>
      <c r="B2966" s="21"/>
      <c r="C2966" s="23"/>
      <c r="D2966" s="24"/>
      <c r="E2966" s="14"/>
      <c r="F2966" s="14"/>
      <c r="G2966" s="14"/>
      <c r="H2966" s="23"/>
      <c r="I2966" s="27"/>
      <c r="J2966" s="23"/>
      <c r="K2966" s="30"/>
      <c r="L2966" s="23"/>
      <c r="M2966" s="20"/>
      <c r="N2966" s="20"/>
      <c r="O2966" s="20"/>
      <c r="P2966" s="20"/>
    </row>
    <row r="2967">
      <c r="A2967" s="10"/>
      <c r="B2967" s="11"/>
      <c r="C2967" s="10"/>
      <c r="D2967" s="13"/>
      <c r="E2967" s="14"/>
      <c r="F2967" s="14"/>
      <c r="G2967" s="14"/>
      <c r="H2967" s="10"/>
      <c r="I2967" s="17"/>
      <c r="J2967" s="10"/>
      <c r="K2967" s="46"/>
      <c r="L2967" s="10"/>
      <c r="M2967" s="20"/>
      <c r="N2967" s="20"/>
      <c r="O2967" s="20"/>
      <c r="P2967" s="20"/>
    </row>
    <row r="2968">
      <c r="A2968" s="23"/>
      <c r="B2968" s="21"/>
      <c r="C2968" s="23"/>
      <c r="D2968" s="24"/>
      <c r="E2968" s="14"/>
      <c r="F2968" s="14"/>
      <c r="G2968" s="14"/>
      <c r="H2968" s="23"/>
      <c r="I2968" s="27"/>
      <c r="J2968" s="23"/>
      <c r="K2968" s="30"/>
      <c r="L2968" s="23"/>
      <c r="M2968" s="20"/>
      <c r="N2968" s="20"/>
      <c r="O2968" s="20"/>
      <c r="P2968" s="20"/>
    </row>
    <row r="2969">
      <c r="A2969" s="10"/>
      <c r="B2969" s="11"/>
      <c r="C2969" s="10"/>
      <c r="D2969" s="13"/>
      <c r="E2969" s="14"/>
      <c r="F2969" s="14"/>
      <c r="G2969" s="14"/>
      <c r="H2969" s="10"/>
      <c r="I2969" s="17"/>
      <c r="J2969" s="10"/>
      <c r="K2969" s="46"/>
      <c r="L2969" s="10"/>
      <c r="M2969" s="20"/>
      <c r="N2969" s="20"/>
      <c r="O2969" s="20"/>
      <c r="P2969" s="20"/>
    </row>
    <row r="2970">
      <c r="A2970" s="23"/>
      <c r="B2970" s="21"/>
      <c r="C2970" s="23"/>
      <c r="D2970" s="24"/>
      <c r="E2970" s="14"/>
      <c r="F2970" s="14"/>
      <c r="G2970" s="14"/>
      <c r="H2970" s="23"/>
      <c r="I2970" s="27"/>
      <c r="J2970" s="23"/>
      <c r="K2970" s="30"/>
      <c r="L2970" s="23"/>
      <c r="M2970" s="20"/>
      <c r="N2970" s="20"/>
      <c r="O2970" s="20"/>
      <c r="P2970" s="20"/>
    </row>
    <row r="2971">
      <c r="A2971" s="10"/>
      <c r="B2971" s="11"/>
      <c r="C2971" s="10"/>
      <c r="D2971" s="13"/>
      <c r="E2971" s="14"/>
      <c r="F2971" s="14"/>
      <c r="G2971" s="14"/>
      <c r="H2971" s="10"/>
      <c r="I2971" s="17"/>
      <c r="J2971" s="10"/>
      <c r="K2971" s="46"/>
      <c r="L2971" s="10"/>
      <c r="M2971" s="20"/>
      <c r="N2971" s="20"/>
      <c r="O2971" s="20"/>
      <c r="P2971" s="20"/>
    </row>
    <row r="2972">
      <c r="A2972" s="23"/>
      <c r="B2972" s="21"/>
      <c r="C2972" s="23"/>
      <c r="D2972" s="24"/>
      <c r="E2972" s="14"/>
      <c r="F2972" s="14"/>
      <c r="G2972" s="14"/>
      <c r="H2972" s="23"/>
      <c r="I2972" s="27"/>
      <c r="J2972" s="23"/>
      <c r="K2972" s="30"/>
      <c r="L2972" s="23"/>
      <c r="M2972" s="20"/>
      <c r="N2972" s="20"/>
      <c r="O2972" s="20"/>
      <c r="P2972" s="20"/>
    </row>
    <row r="2973">
      <c r="A2973" s="10"/>
      <c r="B2973" s="11"/>
      <c r="C2973" s="10"/>
      <c r="D2973" s="13"/>
      <c r="E2973" s="14"/>
      <c r="F2973" s="14"/>
      <c r="G2973" s="14"/>
      <c r="H2973" s="10"/>
      <c r="I2973" s="17"/>
      <c r="J2973" s="10"/>
      <c r="K2973" s="46"/>
      <c r="L2973" s="10"/>
      <c r="M2973" s="20"/>
      <c r="N2973" s="20"/>
      <c r="O2973" s="20"/>
      <c r="P2973" s="20"/>
    </row>
    <row r="2974">
      <c r="A2974" s="23"/>
      <c r="B2974" s="21"/>
      <c r="C2974" s="23"/>
      <c r="D2974" s="24"/>
      <c r="E2974" s="14"/>
      <c r="F2974" s="14"/>
      <c r="G2974" s="14"/>
      <c r="H2974" s="23"/>
      <c r="I2974" s="27"/>
      <c r="J2974" s="23"/>
      <c r="K2974" s="30"/>
      <c r="L2974" s="23"/>
      <c r="M2974" s="20"/>
      <c r="N2974" s="20"/>
      <c r="O2974" s="20"/>
      <c r="P2974" s="20"/>
    </row>
    <row r="2975">
      <c r="A2975" s="10"/>
      <c r="B2975" s="11"/>
      <c r="C2975" s="10"/>
      <c r="D2975" s="13"/>
      <c r="E2975" s="14"/>
      <c r="F2975" s="14"/>
      <c r="G2975" s="14"/>
      <c r="H2975" s="10"/>
      <c r="I2975" s="17"/>
      <c r="J2975" s="10"/>
      <c r="K2975" s="46"/>
      <c r="L2975" s="10"/>
      <c r="M2975" s="20"/>
      <c r="N2975" s="20"/>
      <c r="O2975" s="20"/>
      <c r="P2975" s="20"/>
    </row>
    <row r="2976">
      <c r="A2976" s="23"/>
      <c r="B2976" s="21"/>
      <c r="C2976" s="23"/>
      <c r="D2976" s="24"/>
      <c r="E2976" s="14"/>
      <c r="F2976" s="14"/>
      <c r="G2976" s="14"/>
      <c r="H2976" s="23"/>
      <c r="I2976" s="27"/>
      <c r="J2976" s="23"/>
      <c r="K2976" s="30"/>
      <c r="L2976" s="23"/>
      <c r="M2976" s="20"/>
      <c r="N2976" s="20"/>
      <c r="O2976" s="20"/>
      <c r="P2976" s="20"/>
    </row>
    <row r="2977">
      <c r="A2977" s="10"/>
      <c r="B2977" s="11"/>
      <c r="C2977" s="10"/>
      <c r="D2977" s="13"/>
      <c r="E2977" s="14"/>
      <c r="F2977" s="14"/>
      <c r="G2977" s="14"/>
      <c r="H2977" s="10"/>
      <c r="I2977" s="17"/>
      <c r="J2977" s="10"/>
      <c r="K2977" s="46"/>
      <c r="L2977" s="10"/>
      <c r="M2977" s="20"/>
      <c r="N2977" s="20"/>
      <c r="O2977" s="20"/>
      <c r="P2977" s="20"/>
    </row>
    <row r="2978">
      <c r="A2978" s="23"/>
      <c r="B2978" s="21"/>
      <c r="C2978" s="23"/>
      <c r="D2978" s="24"/>
      <c r="E2978" s="14"/>
      <c r="F2978" s="14"/>
      <c r="G2978" s="14"/>
      <c r="H2978" s="23"/>
      <c r="I2978" s="27"/>
      <c r="J2978" s="23"/>
      <c r="K2978" s="30"/>
      <c r="L2978" s="23"/>
      <c r="M2978" s="20"/>
      <c r="N2978" s="20"/>
      <c r="O2978" s="20"/>
      <c r="P2978" s="20"/>
    </row>
    <row r="2979">
      <c r="A2979" s="10"/>
      <c r="B2979" s="11"/>
      <c r="C2979" s="10"/>
      <c r="D2979" s="13"/>
      <c r="E2979" s="14"/>
      <c r="F2979" s="14"/>
      <c r="G2979" s="14"/>
      <c r="H2979" s="10"/>
      <c r="I2979" s="17"/>
      <c r="J2979" s="10"/>
      <c r="K2979" s="46"/>
      <c r="L2979" s="10"/>
      <c r="M2979" s="20"/>
      <c r="N2979" s="20"/>
      <c r="O2979" s="20"/>
      <c r="P2979" s="20"/>
    </row>
    <row r="2980">
      <c r="A2980" s="23"/>
      <c r="B2980" s="21"/>
      <c r="C2980" s="23"/>
      <c r="D2980" s="24"/>
      <c r="E2980" s="14"/>
      <c r="F2980" s="14"/>
      <c r="G2980" s="14"/>
      <c r="H2980" s="23"/>
      <c r="I2980" s="27"/>
      <c r="J2980" s="23"/>
      <c r="K2980" s="30"/>
      <c r="L2980" s="23"/>
      <c r="M2980" s="20"/>
      <c r="N2980" s="20"/>
      <c r="O2980" s="20"/>
      <c r="P2980" s="20"/>
    </row>
    <row r="2981">
      <c r="A2981" s="10"/>
      <c r="B2981" s="11"/>
      <c r="C2981" s="10"/>
      <c r="D2981" s="13"/>
      <c r="E2981" s="14"/>
      <c r="F2981" s="14"/>
      <c r="G2981" s="14"/>
      <c r="H2981" s="10"/>
      <c r="I2981" s="17"/>
      <c r="J2981" s="10"/>
      <c r="K2981" s="46"/>
      <c r="L2981" s="10"/>
      <c r="M2981" s="20"/>
      <c r="N2981" s="20"/>
      <c r="O2981" s="20"/>
      <c r="P2981" s="20"/>
    </row>
    <row r="2982">
      <c r="A2982" s="23"/>
      <c r="B2982" s="21"/>
      <c r="C2982" s="23"/>
      <c r="D2982" s="24"/>
      <c r="E2982" s="14"/>
      <c r="F2982" s="14"/>
      <c r="G2982" s="14"/>
      <c r="H2982" s="23"/>
      <c r="I2982" s="27"/>
      <c r="J2982" s="23"/>
      <c r="K2982" s="30"/>
      <c r="L2982" s="23"/>
      <c r="M2982" s="20"/>
      <c r="N2982" s="20"/>
      <c r="O2982" s="20"/>
      <c r="P2982" s="20"/>
    </row>
    <row r="2983">
      <c r="A2983" s="10"/>
      <c r="B2983" s="11"/>
      <c r="C2983" s="10"/>
      <c r="D2983" s="13"/>
      <c r="E2983" s="14"/>
      <c r="F2983" s="14"/>
      <c r="G2983" s="14"/>
      <c r="H2983" s="10"/>
      <c r="I2983" s="17"/>
      <c r="J2983" s="10"/>
      <c r="K2983" s="46"/>
      <c r="L2983" s="10"/>
      <c r="M2983" s="20"/>
      <c r="N2983" s="20"/>
      <c r="O2983" s="20"/>
      <c r="P2983" s="20"/>
    </row>
    <row r="2984">
      <c r="A2984" s="23"/>
      <c r="B2984" s="21"/>
      <c r="C2984" s="23"/>
      <c r="D2984" s="24"/>
      <c r="E2984" s="14"/>
      <c r="F2984" s="14"/>
      <c r="G2984" s="14"/>
      <c r="H2984" s="23"/>
      <c r="I2984" s="27"/>
      <c r="J2984" s="23"/>
      <c r="K2984" s="30"/>
      <c r="L2984" s="23"/>
      <c r="M2984" s="20"/>
      <c r="N2984" s="20"/>
      <c r="O2984" s="20"/>
      <c r="P2984" s="20"/>
    </row>
    <row r="2985">
      <c r="A2985" s="10"/>
      <c r="B2985" s="11"/>
      <c r="C2985" s="10"/>
      <c r="D2985" s="13"/>
      <c r="E2985" s="14"/>
      <c r="F2985" s="14"/>
      <c r="G2985" s="14"/>
      <c r="H2985" s="10"/>
      <c r="I2985" s="17"/>
      <c r="J2985" s="10"/>
      <c r="K2985" s="46"/>
      <c r="L2985" s="10"/>
      <c r="M2985" s="20"/>
      <c r="N2985" s="20"/>
      <c r="O2985" s="20"/>
      <c r="P2985" s="20"/>
    </row>
    <row r="2986">
      <c r="A2986" s="23"/>
      <c r="B2986" s="21"/>
      <c r="C2986" s="23"/>
      <c r="D2986" s="24"/>
      <c r="E2986" s="14"/>
      <c r="F2986" s="14"/>
      <c r="G2986" s="14"/>
      <c r="H2986" s="23"/>
      <c r="I2986" s="27"/>
      <c r="J2986" s="23"/>
      <c r="K2986" s="30"/>
      <c r="L2986" s="23"/>
      <c r="M2986" s="20"/>
      <c r="N2986" s="20"/>
      <c r="O2986" s="20"/>
      <c r="P2986" s="20"/>
    </row>
    <row r="2987">
      <c r="A2987" s="10"/>
      <c r="B2987" s="11"/>
      <c r="C2987" s="10"/>
      <c r="D2987" s="13"/>
      <c r="E2987" s="14"/>
      <c r="F2987" s="14"/>
      <c r="G2987" s="14"/>
      <c r="H2987" s="10"/>
      <c r="I2987" s="17"/>
      <c r="J2987" s="10"/>
      <c r="K2987" s="46"/>
      <c r="L2987" s="10"/>
      <c r="M2987" s="20"/>
      <c r="N2987" s="20"/>
      <c r="O2987" s="20"/>
      <c r="P2987" s="20"/>
    </row>
    <row r="2988">
      <c r="A2988" s="23"/>
      <c r="B2988" s="21"/>
      <c r="C2988" s="23"/>
      <c r="D2988" s="24"/>
      <c r="E2988" s="14"/>
      <c r="F2988" s="14"/>
      <c r="G2988" s="14"/>
      <c r="H2988" s="23"/>
      <c r="I2988" s="27"/>
      <c r="J2988" s="23"/>
      <c r="K2988" s="30"/>
      <c r="L2988" s="23"/>
      <c r="M2988" s="20"/>
      <c r="N2988" s="20"/>
      <c r="O2988" s="20"/>
      <c r="P2988" s="20"/>
    </row>
    <row r="2989">
      <c r="A2989" s="10"/>
      <c r="B2989" s="11"/>
      <c r="C2989" s="10"/>
      <c r="D2989" s="13"/>
      <c r="E2989" s="14"/>
      <c r="F2989" s="14"/>
      <c r="G2989" s="14"/>
      <c r="H2989" s="10"/>
      <c r="I2989" s="17"/>
      <c r="J2989" s="10"/>
      <c r="K2989" s="46"/>
      <c r="L2989" s="10"/>
      <c r="M2989" s="20"/>
      <c r="N2989" s="20"/>
      <c r="O2989" s="20"/>
      <c r="P2989" s="20"/>
    </row>
    <row r="2990">
      <c r="A2990" s="23"/>
      <c r="B2990" s="21"/>
      <c r="C2990" s="23"/>
      <c r="D2990" s="24"/>
      <c r="E2990" s="14"/>
      <c r="F2990" s="14"/>
      <c r="G2990" s="14"/>
      <c r="H2990" s="23"/>
      <c r="I2990" s="27"/>
      <c r="J2990" s="23"/>
      <c r="K2990" s="30"/>
      <c r="L2990" s="23"/>
      <c r="M2990" s="20"/>
      <c r="N2990" s="20"/>
      <c r="O2990" s="20"/>
      <c r="P2990" s="20"/>
    </row>
    <row r="2991">
      <c r="A2991" s="10"/>
      <c r="B2991" s="11"/>
      <c r="C2991" s="10"/>
      <c r="D2991" s="13"/>
      <c r="E2991" s="14"/>
      <c r="F2991" s="14"/>
      <c r="G2991" s="14"/>
      <c r="H2991" s="10"/>
      <c r="I2991" s="17"/>
      <c r="J2991" s="10"/>
      <c r="K2991" s="46"/>
      <c r="L2991" s="10"/>
      <c r="M2991" s="20"/>
      <c r="N2991" s="20"/>
      <c r="O2991" s="20"/>
      <c r="P2991" s="20"/>
    </row>
    <row r="2992">
      <c r="A2992" s="23"/>
      <c r="B2992" s="21"/>
      <c r="C2992" s="23"/>
      <c r="D2992" s="24"/>
      <c r="E2992" s="14"/>
      <c r="F2992" s="14"/>
      <c r="G2992" s="14"/>
      <c r="H2992" s="23"/>
      <c r="I2992" s="27"/>
      <c r="J2992" s="23"/>
      <c r="K2992" s="30"/>
      <c r="L2992" s="23"/>
      <c r="M2992" s="20"/>
      <c r="N2992" s="20"/>
      <c r="O2992" s="20"/>
      <c r="P2992" s="20"/>
    </row>
    <row r="2993">
      <c r="A2993" s="10"/>
      <c r="B2993" s="11"/>
      <c r="C2993" s="10"/>
      <c r="D2993" s="13"/>
      <c r="E2993" s="14"/>
      <c r="F2993" s="14"/>
      <c r="G2993" s="14"/>
      <c r="H2993" s="10"/>
      <c r="I2993" s="17"/>
      <c r="J2993" s="10"/>
      <c r="K2993" s="46"/>
      <c r="L2993" s="10"/>
      <c r="M2993" s="20"/>
      <c r="N2993" s="20"/>
      <c r="O2993" s="20"/>
      <c r="P2993" s="20"/>
    </row>
    <row r="2994">
      <c r="A2994" s="23"/>
      <c r="B2994" s="21"/>
      <c r="C2994" s="23"/>
      <c r="D2994" s="24"/>
      <c r="E2994" s="14"/>
      <c r="F2994" s="14"/>
      <c r="G2994" s="14"/>
      <c r="H2994" s="23"/>
      <c r="I2994" s="27"/>
      <c r="J2994" s="23"/>
      <c r="K2994" s="30"/>
      <c r="L2994" s="23"/>
      <c r="M2994" s="20"/>
      <c r="N2994" s="20"/>
      <c r="O2994" s="20"/>
      <c r="P2994" s="20"/>
    </row>
    <row r="2995">
      <c r="A2995" s="10"/>
      <c r="B2995" s="11"/>
      <c r="C2995" s="10"/>
      <c r="D2995" s="13"/>
      <c r="E2995" s="14"/>
      <c r="F2995" s="14"/>
      <c r="G2995" s="14"/>
      <c r="H2995" s="10"/>
      <c r="I2995" s="17"/>
      <c r="J2995" s="10"/>
      <c r="K2995" s="46"/>
      <c r="L2995" s="10"/>
      <c r="M2995" s="20"/>
      <c r="N2995" s="20"/>
      <c r="O2995" s="20"/>
      <c r="P2995" s="20"/>
    </row>
    <row r="2996">
      <c r="A2996" s="23"/>
      <c r="B2996" s="21"/>
      <c r="C2996" s="23"/>
      <c r="D2996" s="24"/>
      <c r="E2996" s="14"/>
      <c r="F2996" s="14"/>
      <c r="G2996" s="14"/>
      <c r="H2996" s="23"/>
      <c r="I2996" s="27"/>
      <c r="J2996" s="23"/>
      <c r="K2996" s="30"/>
      <c r="L2996" s="23"/>
      <c r="M2996" s="20"/>
      <c r="N2996" s="20"/>
      <c r="O2996" s="20"/>
      <c r="P2996" s="20"/>
    </row>
    <row r="2997">
      <c r="A2997" s="10"/>
      <c r="B2997" s="11"/>
      <c r="C2997" s="10"/>
      <c r="D2997" s="13"/>
      <c r="E2997" s="14"/>
      <c r="F2997" s="14"/>
      <c r="G2997" s="14"/>
      <c r="H2997" s="10"/>
      <c r="I2997" s="17"/>
      <c r="J2997" s="10"/>
      <c r="K2997" s="46"/>
      <c r="L2997" s="10"/>
      <c r="M2997" s="20"/>
      <c r="N2997" s="20"/>
      <c r="O2997" s="20"/>
      <c r="P2997" s="20"/>
    </row>
    <row r="2998">
      <c r="A2998" s="23"/>
      <c r="B2998" s="21"/>
      <c r="C2998" s="23"/>
      <c r="D2998" s="24"/>
      <c r="E2998" s="14"/>
      <c r="F2998" s="14"/>
      <c r="G2998" s="14"/>
      <c r="H2998" s="23"/>
      <c r="I2998" s="27"/>
      <c r="J2998" s="23"/>
      <c r="K2998" s="30"/>
      <c r="L2998" s="23"/>
      <c r="M2998" s="20"/>
      <c r="N2998" s="20"/>
      <c r="O2998" s="20"/>
      <c r="P2998" s="20"/>
    </row>
    <row r="2999">
      <c r="A2999" s="10"/>
      <c r="B2999" s="11"/>
      <c r="C2999" s="10"/>
      <c r="D2999" s="13"/>
      <c r="E2999" s="14"/>
      <c r="F2999" s="14"/>
      <c r="G2999" s="14"/>
      <c r="H2999" s="10"/>
      <c r="I2999" s="17"/>
      <c r="J2999" s="10"/>
      <c r="K2999" s="46"/>
      <c r="L2999" s="10"/>
      <c r="M2999" s="20"/>
      <c r="N2999" s="20"/>
      <c r="O2999" s="20"/>
      <c r="P2999" s="20"/>
    </row>
    <row r="3000">
      <c r="A3000" s="23"/>
      <c r="B3000" s="21"/>
      <c r="C3000" s="23"/>
      <c r="D3000" s="24"/>
      <c r="E3000" s="14"/>
      <c r="F3000" s="14"/>
      <c r="G3000" s="14"/>
      <c r="H3000" s="23"/>
      <c r="I3000" s="27"/>
      <c r="J3000" s="23"/>
      <c r="K3000" s="30"/>
      <c r="L3000" s="23"/>
      <c r="M3000" s="20"/>
      <c r="N3000" s="20"/>
      <c r="O3000" s="20"/>
      <c r="P3000" s="20"/>
    </row>
    <row r="3001">
      <c r="A3001" s="10"/>
      <c r="B3001" s="11"/>
      <c r="C3001" s="10"/>
      <c r="D3001" s="13"/>
      <c r="E3001" s="14"/>
      <c r="F3001" s="14"/>
      <c r="G3001" s="14"/>
      <c r="H3001" s="10"/>
      <c r="I3001" s="17"/>
      <c r="J3001" s="10"/>
      <c r="K3001" s="46"/>
      <c r="L3001" s="10"/>
      <c r="M3001" s="20"/>
      <c r="N3001" s="20"/>
      <c r="O3001" s="20"/>
      <c r="P3001" s="20"/>
    </row>
    <row r="3002">
      <c r="A3002" s="23"/>
      <c r="B3002" s="21"/>
      <c r="C3002" s="23"/>
      <c r="D3002" s="24"/>
      <c r="E3002" s="14"/>
      <c r="F3002" s="14"/>
      <c r="G3002" s="14"/>
      <c r="H3002" s="23"/>
      <c r="I3002" s="27"/>
      <c r="J3002" s="23"/>
      <c r="K3002" s="30"/>
      <c r="L3002" s="23"/>
      <c r="M3002" s="20"/>
      <c r="N3002" s="20"/>
      <c r="O3002" s="20"/>
      <c r="P3002" s="20"/>
    </row>
    <row r="3003">
      <c r="A3003" s="10"/>
      <c r="B3003" s="11"/>
      <c r="C3003" s="10"/>
      <c r="D3003" s="13"/>
      <c r="E3003" s="14"/>
      <c r="F3003" s="14"/>
      <c r="G3003" s="14"/>
      <c r="H3003" s="10"/>
      <c r="I3003" s="17"/>
      <c r="J3003" s="10"/>
      <c r="K3003" s="46"/>
      <c r="L3003" s="10"/>
      <c r="M3003" s="20"/>
      <c r="N3003" s="20"/>
      <c r="O3003" s="20"/>
      <c r="P3003" s="20"/>
    </row>
    <row r="3004">
      <c r="A3004" s="23"/>
      <c r="B3004" s="21"/>
      <c r="C3004" s="23"/>
      <c r="D3004" s="24"/>
      <c r="E3004" s="14"/>
      <c r="F3004" s="14"/>
      <c r="G3004" s="14"/>
      <c r="H3004" s="23"/>
      <c r="I3004" s="27"/>
      <c r="J3004" s="23"/>
      <c r="K3004" s="30"/>
      <c r="L3004" s="23"/>
      <c r="M3004" s="20"/>
      <c r="N3004" s="20"/>
      <c r="O3004" s="20"/>
      <c r="P3004" s="20"/>
    </row>
    <row r="3005">
      <c r="A3005" s="10"/>
      <c r="B3005" s="11"/>
      <c r="C3005" s="10"/>
      <c r="D3005" s="13"/>
      <c r="E3005" s="14"/>
      <c r="F3005" s="14"/>
      <c r="G3005" s="14"/>
      <c r="H3005" s="10"/>
      <c r="I3005" s="17"/>
      <c r="J3005" s="10"/>
      <c r="K3005" s="46"/>
      <c r="L3005" s="10"/>
      <c r="M3005" s="20"/>
      <c r="N3005" s="20"/>
      <c r="O3005" s="20"/>
      <c r="P3005" s="20"/>
    </row>
    <row r="3006">
      <c r="A3006" s="23"/>
      <c r="B3006" s="21"/>
      <c r="C3006" s="23"/>
      <c r="D3006" s="24"/>
      <c r="E3006" s="14"/>
      <c r="F3006" s="14"/>
      <c r="G3006" s="14"/>
      <c r="H3006" s="23"/>
      <c r="I3006" s="27"/>
      <c r="J3006" s="23"/>
      <c r="K3006" s="30"/>
      <c r="L3006" s="23"/>
      <c r="M3006" s="20"/>
      <c r="N3006" s="20"/>
      <c r="O3006" s="20"/>
      <c r="P3006" s="20"/>
    </row>
    <row r="3007">
      <c r="A3007" s="10"/>
      <c r="B3007" s="11"/>
      <c r="C3007" s="10"/>
      <c r="D3007" s="13"/>
      <c r="E3007" s="14"/>
      <c r="F3007" s="14"/>
      <c r="G3007" s="14"/>
      <c r="H3007" s="10"/>
      <c r="I3007" s="17"/>
      <c r="J3007" s="10"/>
      <c r="K3007" s="46"/>
      <c r="L3007" s="10"/>
      <c r="M3007" s="20"/>
      <c r="N3007" s="20"/>
      <c r="O3007" s="20"/>
      <c r="P3007" s="20"/>
    </row>
    <row r="3008">
      <c r="A3008" s="23"/>
      <c r="B3008" s="21"/>
      <c r="C3008" s="23"/>
      <c r="D3008" s="24"/>
      <c r="E3008" s="14"/>
      <c r="F3008" s="14"/>
      <c r="G3008" s="14"/>
      <c r="H3008" s="23"/>
      <c r="I3008" s="27"/>
      <c r="J3008" s="23"/>
      <c r="K3008" s="30"/>
      <c r="L3008" s="23"/>
      <c r="M3008" s="20"/>
      <c r="N3008" s="20"/>
      <c r="O3008" s="20"/>
      <c r="P3008" s="20"/>
    </row>
    <row r="3009">
      <c r="A3009" s="10"/>
      <c r="B3009" s="11"/>
      <c r="C3009" s="10"/>
      <c r="D3009" s="13"/>
      <c r="E3009" s="14"/>
      <c r="F3009" s="14"/>
      <c r="G3009" s="14"/>
      <c r="H3009" s="10"/>
      <c r="I3009" s="17"/>
      <c r="J3009" s="10"/>
      <c r="K3009" s="46"/>
      <c r="L3009" s="10"/>
      <c r="M3009" s="20"/>
      <c r="N3009" s="20"/>
      <c r="O3009" s="20"/>
      <c r="P3009" s="20"/>
    </row>
    <row r="3010">
      <c r="A3010" s="23"/>
      <c r="B3010" s="21"/>
      <c r="C3010" s="23"/>
      <c r="D3010" s="24"/>
      <c r="E3010" s="14"/>
      <c r="F3010" s="14"/>
      <c r="G3010" s="14"/>
      <c r="H3010" s="23"/>
      <c r="I3010" s="27"/>
      <c r="J3010" s="23"/>
      <c r="K3010" s="30"/>
      <c r="L3010" s="23"/>
      <c r="M3010" s="20"/>
      <c r="N3010" s="20"/>
      <c r="O3010" s="20"/>
      <c r="P3010" s="20"/>
    </row>
    <row r="3011">
      <c r="A3011" s="10"/>
      <c r="B3011" s="11"/>
      <c r="C3011" s="10"/>
      <c r="D3011" s="13"/>
      <c r="E3011" s="14"/>
      <c r="F3011" s="14"/>
      <c r="G3011" s="14"/>
      <c r="H3011" s="10"/>
      <c r="I3011" s="17"/>
      <c r="J3011" s="10"/>
      <c r="K3011" s="46"/>
      <c r="L3011" s="10"/>
      <c r="M3011" s="20"/>
      <c r="N3011" s="20"/>
      <c r="O3011" s="20"/>
      <c r="P3011" s="20"/>
    </row>
    <row r="3012">
      <c r="A3012" s="23"/>
      <c r="B3012" s="21"/>
      <c r="C3012" s="23"/>
      <c r="D3012" s="24"/>
      <c r="E3012" s="14"/>
      <c r="F3012" s="14"/>
      <c r="G3012" s="14"/>
      <c r="H3012" s="23"/>
      <c r="I3012" s="27"/>
      <c r="J3012" s="23"/>
      <c r="K3012" s="30"/>
      <c r="L3012" s="23"/>
      <c r="M3012" s="20"/>
      <c r="N3012" s="20"/>
      <c r="O3012" s="20"/>
      <c r="P3012" s="20"/>
    </row>
    <row r="3013">
      <c r="A3013" s="10"/>
      <c r="B3013" s="11"/>
      <c r="C3013" s="10"/>
      <c r="D3013" s="13"/>
      <c r="E3013" s="14"/>
      <c r="F3013" s="14"/>
      <c r="G3013" s="14"/>
      <c r="H3013" s="10"/>
      <c r="I3013" s="17"/>
      <c r="J3013" s="10"/>
      <c r="K3013" s="46"/>
      <c r="L3013" s="10"/>
      <c r="M3013" s="20"/>
      <c r="N3013" s="20"/>
      <c r="O3013" s="20"/>
      <c r="P3013" s="20"/>
    </row>
    <row r="3014">
      <c r="A3014" s="23"/>
      <c r="B3014" s="21"/>
      <c r="C3014" s="23"/>
      <c r="D3014" s="24"/>
      <c r="E3014" s="14"/>
      <c r="F3014" s="14"/>
      <c r="G3014" s="14"/>
      <c r="H3014" s="23"/>
      <c r="I3014" s="27"/>
      <c r="J3014" s="23"/>
      <c r="K3014" s="30"/>
      <c r="L3014" s="23"/>
      <c r="M3014" s="20"/>
      <c r="N3014" s="20"/>
      <c r="O3014" s="20"/>
      <c r="P3014" s="20"/>
    </row>
    <row r="3015">
      <c r="A3015" s="10"/>
      <c r="B3015" s="11"/>
      <c r="C3015" s="10"/>
      <c r="D3015" s="13"/>
      <c r="E3015" s="14"/>
      <c r="F3015" s="14"/>
      <c r="G3015" s="14"/>
      <c r="H3015" s="10"/>
      <c r="I3015" s="17"/>
      <c r="J3015" s="10"/>
      <c r="K3015" s="46"/>
      <c r="L3015" s="10"/>
      <c r="M3015" s="20"/>
      <c r="N3015" s="20"/>
      <c r="O3015" s="20"/>
      <c r="P3015" s="20"/>
    </row>
    <row r="3016">
      <c r="A3016" s="23"/>
      <c r="B3016" s="21"/>
      <c r="C3016" s="23"/>
      <c r="D3016" s="24"/>
      <c r="E3016" s="14"/>
      <c r="F3016" s="14"/>
      <c r="G3016" s="14"/>
      <c r="H3016" s="23"/>
      <c r="I3016" s="27"/>
      <c r="J3016" s="23"/>
      <c r="K3016" s="30"/>
      <c r="L3016" s="23"/>
      <c r="M3016" s="20"/>
      <c r="N3016" s="20"/>
      <c r="O3016" s="20"/>
      <c r="P3016" s="20"/>
    </row>
    <row r="3017">
      <c r="A3017" s="10"/>
      <c r="B3017" s="11"/>
      <c r="C3017" s="10"/>
      <c r="D3017" s="13"/>
      <c r="E3017" s="14"/>
      <c r="F3017" s="14"/>
      <c r="G3017" s="14"/>
      <c r="H3017" s="10"/>
      <c r="I3017" s="17"/>
      <c r="J3017" s="10"/>
      <c r="K3017" s="46"/>
      <c r="L3017" s="10"/>
      <c r="M3017" s="20"/>
      <c r="N3017" s="20"/>
      <c r="O3017" s="20"/>
      <c r="P3017" s="20"/>
    </row>
    <row r="3018">
      <c r="A3018" s="23"/>
      <c r="B3018" s="21"/>
      <c r="C3018" s="23"/>
      <c r="D3018" s="24"/>
      <c r="E3018" s="14"/>
      <c r="F3018" s="14"/>
      <c r="G3018" s="14"/>
      <c r="H3018" s="23"/>
      <c r="I3018" s="27"/>
      <c r="J3018" s="23"/>
      <c r="K3018" s="30"/>
      <c r="L3018" s="23"/>
      <c r="M3018" s="20"/>
      <c r="N3018" s="20"/>
      <c r="O3018" s="20"/>
      <c r="P3018" s="20"/>
    </row>
    <row r="3019">
      <c r="A3019" s="10"/>
      <c r="B3019" s="11"/>
      <c r="C3019" s="10"/>
      <c r="D3019" s="13"/>
      <c r="E3019" s="14"/>
      <c r="F3019" s="14"/>
      <c r="G3019" s="14"/>
      <c r="H3019" s="10"/>
      <c r="I3019" s="17"/>
      <c r="J3019" s="10"/>
      <c r="K3019" s="46"/>
      <c r="L3019" s="10"/>
      <c r="M3019" s="20"/>
      <c r="N3019" s="20"/>
      <c r="O3019" s="20"/>
      <c r="P3019" s="20"/>
    </row>
    <row r="3020">
      <c r="A3020" s="23"/>
      <c r="B3020" s="21"/>
      <c r="C3020" s="23"/>
      <c r="D3020" s="24"/>
      <c r="E3020" s="14"/>
      <c r="F3020" s="14"/>
      <c r="G3020" s="14"/>
      <c r="H3020" s="23"/>
      <c r="I3020" s="27"/>
      <c r="J3020" s="23"/>
      <c r="K3020" s="30"/>
      <c r="L3020" s="23"/>
      <c r="M3020" s="20"/>
      <c r="N3020" s="20"/>
      <c r="O3020" s="20"/>
      <c r="P3020" s="20"/>
    </row>
    <row r="3021">
      <c r="A3021" s="10"/>
      <c r="B3021" s="11"/>
      <c r="C3021" s="10"/>
      <c r="D3021" s="13"/>
      <c r="E3021" s="14"/>
      <c r="F3021" s="14"/>
      <c r="G3021" s="14"/>
      <c r="H3021" s="10"/>
      <c r="I3021" s="17"/>
      <c r="J3021" s="10"/>
      <c r="K3021" s="46"/>
      <c r="L3021" s="10"/>
      <c r="M3021" s="20"/>
      <c r="N3021" s="20"/>
      <c r="O3021" s="20"/>
      <c r="P3021" s="20"/>
    </row>
    <row r="3022">
      <c r="A3022" s="23"/>
      <c r="B3022" s="21"/>
      <c r="C3022" s="23"/>
      <c r="D3022" s="24"/>
      <c r="E3022" s="14"/>
      <c r="F3022" s="14"/>
      <c r="G3022" s="14"/>
      <c r="H3022" s="23"/>
      <c r="I3022" s="27"/>
      <c r="J3022" s="23"/>
      <c r="K3022" s="30"/>
      <c r="L3022" s="23"/>
      <c r="M3022" s="20"/>
      <c r="N3022" s="20"/>
      <c r="O3022" s="20"/>
      <c r="P3022" s="20"/>
    </row>
    <row r="3023">
      <c r="A3023" s="10"/>
      <c r="B3023" s="11"/>
      <c r="C3023" s="10"/>
      <c r="D3023" s="13"/>
      <c r="E3023" s="14"/>
      <c r="F3023" s="14"/>
      <c r="G3023" s="14"/>
      <c r="H3023" s="10"/>
      <c r="I3023" s="17"/>
      <c r="J3023" s="10"/>
      <c r="K3023" s="46"/>
      <c r="L3023" s="10"/>
      <c r="M3023" s="20"/>
      <c r="N3023" s="20"/>
      <c r="O3023" s="20"/>
      <c r="P3023" s="20"/>
    </row>
    <row r="3024">
      <c r="A3024" s="23"/>
      <c r="B3024" s="21"/>
      <c r="C3024" s="23"/>
      <c r="D3024" s="24"/>
      <c r="E3024" s="14"/>
      <c r="F3024" s="14"/>
      <c r="G3024" s="14"/>
      <c r="H3024" s="23"/>
      <c r="I3024" s="27"/>
      <c r="J3024" s="23"/>
      <c r="K3024" s="30"/>
      <c r="L3024" s="23"/>
      <c r="M3024" s="20"/>
      <c r="N3024" s="20"/>
      <c r="O3024" s="20"/>
      <c r="P3024" s="20"/>
    </row>
    <row r="3025">
      <c r="A3025" s="10"/>
      <c r="B3025" s="11"/>
      <c r="C3025" s="10"/>
      <c r="D3025" s="13"/>
      <c r="E3025" s="14"/>
      <c r="F3025" s="14"/>
      <c r="G3025" s="14"/>
      <c r="H3025" s="10"/>
      <c r="I3025" s="17"/>
      <c r="J3025" s="10"/>
      <c r="K3025" s="46"/>
      <c r="L3025" s="10"/>
      <c r="M3025" s="20"/>
      <c r="N3025" s="20"/>
      <c r="O3025" s="20"/>
      <c r="P3025" s="20"/>
    </row>
    <row r="3026">
      <c r="A3026" s="23"/>
      <c r="B3026" s="21"/>
      <c r="C3026" s="23"/>
      <c r="D3026" s="24"/>
      <c r="E3026" s="14"/>
      <c r="F3026" s="14"/>
      <c r="G3026" s="14"/>
      <c r="H3026" s="23"/>
      <c r="I3026" s="27"/>
      <c r="J3026" s="23"/>
      <c r="K3026" s="30"/>
      <c r="L3026" s="23"/>
      <c r="M3026" s="20"/>
      <c r="N3026" s="20"/>
      <c r="O3026" s="20"/>
      <c r="P3026" s="20"/>
    </row>
    <row r="3027">
      <c r="A3027" s="10"/>
      <c r="B3027" s="11"/>
      <c r="C3027" s="10"/>
      <c r="D3027" s="13"/>
      <c r="E3027" s="14"/>
      <c r="F3027" s="14"/>
      <c r="G3027" s="14"/>
      <c r="H3027" s="10"/>
      <c r="I3027" s="17"/>
      <c r="J3027" s="10"/>
      <c r="K3027" s="46"/>
      <c r="L3027" s="10"/>
      <c r="M3027" s="20"/>
      <c r="N3027" s="20"/>
      <c r="O3027" s="20"/>
      <c r="P3027" s="20"/>
    </row>
    <row r="3028">
      <c r="A3028" s="23"/>
      <c r="B3028" s="21"/>
      <c r="C3028" s="23"/>
      <c r="D3028" s="24"/>
      <c r="E3028" s="14"/>
      <c r="F3028" s="14"/>
      <c r="G3028" s="14"/>
      <c r="H3028" s="23"/>
      <c r="I3028" s="27"/>
      <c r="J3028" s="23"/>
      <c r="K3028" s="30"/>
      <c r="L3028" s="23"/>
      <c r="M3028" s="20"/>
      <c r="N3028" s="20"/>
      <c r="O3028" s="20"/>
      <c r="P3028" s="20"/>
    </row>
    <row r="3029">
      <c r="A3029" s="10"/>
      <c r="B3029" s="11"/>
      <c r="C3029" s="10"/>
      <c r="D3029" s="13"/>
      <c r="E3029" s="14"/>
      <c r="F3029" s="14"/>
      <c r="G3029" s="14"/>
      <c r="H3029" s="10"/>
      <c r="I3029" s="17"/>
      <c r="J3029" s="10"/>
      <c r="K3029" s="46"/>
      <c r="L3029" s="10"/>
      <c r="M3029" s="20"/>
      <c r="N3029" s="20"/>
      <c r="O3029" s="20"/>
      <c r="P3029" s="20"/>
    </row>
    <row r="3030">
      <c r="A3030" s="23"/>
      <c r="B3030" s="21"/>
      <c r="C3030" s="23"/>
      <c r="D3030" s="24"/>
      <c r="E3030" s="14"/>
      <c r="F3030" s="14"/>
      <c r="G3030" s="14"/>
      <c r="H3030" s="23"/>
      <c r="I3030" s="27"/>
      <c r="J3030" s="23"/>
      <c r="K3030" s="30"/>
      <c r="L3030" s="23"/>
      <c r="M3030" s="20"/>
      <c r="N3030" s="20"/>
      <c r="O3030" s="20"/>
      <c r="P3030" s="20"/>
    </row>
    <row r="3031">
      <c r="A3031" s="10"/>
      <c r="B3031" s="11"/>
      <c r="C3031" s="10"/>
      <c r="D3031" s="13"/>
      <c r="E3031" s="14"/>
      <c r="F3031" s="14"/>
      <c r="G3031" s="14"/>
      <c r="H3031" s="10"/>
      <c r="I3031" s="17"/>
      <c r="J3031" s="10"/>
      <c r="K3031" s="46"/>
      <c r="L3031" s="10"/>
      <c r="M3031" s="20"/>
      <c r="N3031" s="20"/>
      <c r="O3031" s="20"/>
      <c r="P3031" s="20"/>
    </row>
    <row r="3032">
      <c r="A3032" s="23"/>
      <c r="B3032" s="21"/>
      <c r="C3032" s="23"/>
      <c r="D3032" s="24"/>
      <c r="E3032" s="14"/>
      <c r="F3032" s="14"/>
      <c r="G3032" s="14"/>
      <c r="H3032" s="23"/>
      <c r="I3032" s="27"/>
      <c r="J3032" s="23"/>
      <c r="K3032" s="30"/>
      <c r="L3032" s="23"/>
      <c r="M3032" s="20"/>
      <c r="N3032" s="20"/>
      <c r="O3032" s="20"/>
      <c r="P3032" s="20"/>
    </row>
    <row r="3033">
      <c r="A3033" s="10"/>
      <c r="B3033" s="11"/>
      <c r="C3033" s="10"/>
      <c r="D3033" s="13"/>
      <c r="E3033" s="14"/>
      <c r="F3033" s="14"/>
      <c r="G3033" s="14"/>
      <c r="H3033" s="10"/>
      <c r="I3033" s="17"/>
      <c r="J3033" s="10"/>
      <c r="K3033" s="46"/>
      <c r="L3033" s="10"/>
      <c r="M3033" s="20"/>
      <c r="N3033" s="20"/>
      <c r="O3033" s="20"/>
      <c r="P3033" s="20"/>
    </row>
    <row r="3034">
      <c r="A3034" s="23"/>
      <c r="B3034" s="21"/>
      <c r="C3034" s="23"/>
      <c r="D3034" s="24"/>
      <c r="E3034" s="14"/>
      <c r="F3034" s="14"/>
      <c r="G3034" s="14"/>
      <c r="H3034" s="23"/>
      <c r="I3034" s="27"/>
      <c r="J3034" s="23"/>
      <c r="K3034" s="30"/>
      <c r="L3034" s="23"/>
      <c r="M3034" s="20"/>
      <c r="N3034" s="20"/>
      <c r="O3034" s="20"/>
      <c r="P3034" s="20"/>
    </row>
    <row r="3035">
      <c r="A3035" s="10"/>
      <c r="B3035" s="11"/>
      <c r="C3035" s="10"/>
      <c r="D3035" s="13"/>
      <c r="E3035" s="14"/>
      <c r="F3035" s="14"/>
      <c r="G3035" s="14"/>
      <c r="H3035" s="10"/>
      <c r="I3035" s="17"/>
      <c r="J3035" s="10"/>
      <c r="K3035" s="46"/>
      <c r="L3035" s="10"/>
      <c r="M3035" s="20"/>
      <c r="N3035" s="20"/>
      <c r="O3035" s="20"/>
      <c r="P3035" s="20"/>
    </row>
    <row r="3036">
      <c r="A3036" s="23"/>
      <c r="B3036" s="21"/>
      <c r="C3036" s="23"/>
      <c r="D3036" s="24"/>
      <c r="E3036" s="14"/>
      <c r="F3036" s="14"/>
      <c r="G3036" s="14"/>
      <c r="H3036" s="23"/>
      <c r="I3036" s="27"/>
      <c r="J3036" s="23"/>
      <c r="K3036" s="30"/>
      <c r="L3036" s="23"/>
      <c r="M3036" s="20"/>
      <c r="N3036" s="20"/>
      <c r="O3036" s="20"/>
      <c r="P3036" s="20"/>
    </row>
    <row r="3037">
      <c r="A3037" s="10"/>
      <c r="B3037" s="11"/>
      <c r="C3037" s="10"/>
      <c r="D3037" s="13"/>
      <c r="E3037" s="14"/>
      <c r="F3037" s="14"/>
      <c r="G3037" s="14"/>
      <c r="H3037" s="10"/>
      <c r="I3037" s="17"/>
      <c r="J3037" s="10"/>
      <c r="K3037" s="46"/>
      <c r="L3037" s="10"/>
      <c r="M3037" s="20"/>
      <c r="N3037" s="20"/>
      <c r="O3037" s="20"/>
      <c r="P3037" s="20"/>
    </row>
    <row r="3038">
      <c r="A3038" s="23"/>
      <c r="B3038" s="21"/>
      <c r="C3038" s="23"/>
      <c r="D3038" s="24"/>
      <c r="E3038" s="14"/>
      <c r="F3038" s="14"/>
      <c r="G3038" s="14"/>
      <c r="H3038" s="23"/>
      <c r="I3038" s="27"/>
      <c r="J3038" s="23"/>
      <c r="K3038" s="30"/>
      <c r="L3038" s="23"/>
      <c r="M3038" s="20"/>
      <c r="N3038" s="20"/>
      <c r="O3038" s="20"/>
      <c r="P3038" s="20"/>
    </row>
    <row r="3039">
      <c r="A3039" s="10"/>
      <c r="B3039" s="11"/>
      <c r="C3039" s="10"/>
      <c r="D3039" s="13"/>
      <c r="E3039" s="14"/>
      <c r="F3039" s="14"/>
      <c r="G3039" s="14"/>
      <c r="H3039" s="10"/>
      <c r="I3039" s="17"/>
      <c r="J3039" s="10"/>
      <c r="K3039" s="46"/>
      <c r="L3039" s="10"/>
      <c r="M3039" s="20"/>
      <c r="N3039" s="20"/>
      <c r="O3039" s="20"/>
      <c r="P3039" s="20"/>
    </row>
    <row r="3040">
      <c r="A3040" s="23"/>
      <c r="B3040" s="21"/>
      <c r="C3040" s="23"/>
      <c r="D3040" s="24"/>
      <c r="E3040" s="14"/>
      <c r="F3040" s="14"/>
      <c r="G3040" s="14"/>
      <c r="H3040" s="23"/>
      <c r="I3040" s="27"/>
      <c r="J3040" s="23"/>
      <c r="K3040" s="30"/>
      <c r="L3040" s="23"/>
      <c r="M3040" s="20"/>
      <c r="N3040" s="20"/>
      <c r="O3040" s="20"/>
      <c r="P3040" s="20"/>
    </row>
    <row r="3041">
      <c r="A3041" s="10"/>
      <c r="B3041" s="11"/>
      <c r="C3041" s="10"/>
      <c r="D3041" s="13"/>
      <c r="E3041" s="14"/>
      <c r="F3041" s="14"/>
      <c r="G3041" s="14"/>
      <c r="H3041" s="10"/>
      <c r="I3041" s="17"/>
      <c r="J3041" s="10"/>
      <c r="K3041" s="46"/>
      <c r="L3041" s="10"/>
      <c r="M3041" s="20"/>
      <c r="N3041" s="20"/>
      <c r="O3041" s="20"/>
      <c r="P3041" s="20"/>
    </row>
    <row r="3042">
      <c r="A3042" s="23"/>
      <c r="B3042" s="21"/>
      <c r="C3042" s="23"/>
      <c r="D3042" s="24"/>
      <c r="E3042" s="14"/>
      <c r="F3042" s="14"/>
      <c r="G3042" s="14"/>
      <c r="H3042" s="23"/>
      <c r="I3042" s="27"/>
      <c r="J3042" s="23"/>
      <c r="K3042" s="30"/>
      <c r="L3042" s="23"/>
      <c r="M3042" s="20"/>
      <c r="N3042" s="20"/>
      <c r="O3042" s="20"/>
      <c r="P3042" s="20"/>
    </row>
    <row r="3043">
      <c r="A3043" s="10"/>
      <c r="B3043" s="11"/>
      <c r="C3043" s="10"/>
      <c r="D3043" s="13"/>
      <c r="E3043" s="14"/>
      <c r="F3043" s="14"/>
      <c r="G3043" s="14"/>
      <c r="H3043" s="10"/>
      <c r="I3043" s="17"/>
      <c r="J3043" s="10"/>
      <c r="K3043" s="46"/>
      <c r="L3043" s="10"/>
      <c r="M3043" s="20"/>
      <c r="N3043" s="20"/>
      <c r="O3043" s="20"/>
      <c r="P3043" s="20"/>
    </row>
    <row r="3044">
      <c r="A3044" s="23"/>
      <c r="B3044" s="21"/>
      <c r="C3044" s="23"/>
      <c r="D3044" s="24"/>
      <c r="E3044" s="14"/>
      <c r="F3044" s="14"/>
      <c r="G3044" s="14"/>
      <c r="H3044" s="23"/>
      <c r="I3044" s="27"/>
      <c r="J3044" s="23"/>
      <c r="K3044" s="30"/>
      <c r="L3044" s="23"/>
      <c r="M3044" s="20"/>
      <c r="N3044" s="20"/>
      <c r="O3044" s="20"/>
      <c r="P3044" s="20"/>
    </row>
    <row r="3045">
      <c r="A3045" s="10"/>
      <c r="B3045" s="11"/>
      <c r="C3045" s="10"/>
      <c r="D3045" s="13"/>
      <c r="E3045" s="14"/>
      <c r="F3045" s="14"/>
      <c r="G3045" s="14"/>
      <c r="H3045" s="10"/>
      <c r="I3045" s="17"/>
      <c r="J3045" s="10"/>
      <c r="K3045" s="46"/>
      <c r="L3045" s="10"/>
      <c r="M3045" s="20"/>
      <c r="N3045" s="20"/>
      <c r="O3045" s="20"/>
      <c r="P3045" s="20"/>
    </row>
    <row r="3046">
      <c r="A3046" s="23"/>
      <c r="B3046" s="21"/>
      <c r="C3046" s="23"/>
      <c r="D3046" s="24"/>
      <c r="E3046" s="14"/>
      <c r="F3046" s="14"/>
      <c r="G3046" s="14"/>
      <c r="H3046" s="23"/>
      <c r="I3046" s="27"/>
      <c r="J3046" s="23"/>
      <c r="K3046" s="30"/>
      <c r="L3046" s="23"/>
      <c r="M3046" s="20"/>
      <c r="N3046" s="20"/>
      <c r="O3046" s="20"/>
      <c r="P3046" s="20"/>
    </row>
    <row r="3047">
      <c r="A3047" s="10"/>
      <c r="B3047" s="11"/>
      <c r="C3047" s="10"/>
      <c r="D3047" s="13"/>
      <c r="E3047" s="14"/>
      <c r="F3047" s="14"/>
      <c r="G3047" s="14"/>
      <c r="H3047" s="10"/>
      <c r="I3047" s="17"/>
      <c r="J3047" s="10"/>
      <c r="K3047" s="46"/>
      <c r="L3047" s="10"/>
      <c r="M3047" s="20"/>
      <c r="N3047" s="20"/>
      <c r="O3047" s="20"/>
      <c r="P3047" s="20"/>
    </row>
    <row r="3048">
      <c r="A3048" s="23"/>
      <c r="B3048" s="21"/>
      <c r="C3048" s="23"/>
      <c r="D3048" s="24"/>
      <c r="E3048" s="14"/>
      <c r="F3048" s="14"/>
      <c r="G3048" s="14"/>
      <c r="H3048" s="23"/>
      <c r="I3048" s="27"/>
      <c r="J3048" s="23"/>
      <c r="K3048" s="30"/>
      <c r="L3048" s="23"/>
      <c r="M3048" s="20"/>
      <c r="N3048" s="20"/>
      <c r="O3048" s="20"/>
      <c r="P3048" s="20"/>
    </row>
    <row r="3049">
      <c r="A3049" s="10"/>
      <c r="B3049" s="11"/>
      <c r="C3049" s="10"/>
      <c r="D3049" s="13"/>
      <c r="E3049" s="14"/>
      <c r="F3049" s="14"/>
      <c r="G3049" s="14"/>
      <c r="H3049" s="10"/>
      <c r="I3049" s="17"/>
      <c r="J3049" s="10"/>
      <c r="K3049" s="46"/>
      <c r="L3049" s="10"/>
      <c r="M3049" s="20"/>
      <c r="N3049" s="20"/>
      <c r="O3049" s="20"/>
      <c r="P3049" s="20"/>
    </row>
    <row r="3050">
      <c r="A3050" s="23"/>
      <c r="B3050" s="21"/>
      <c r="C3050" s="23"/>
      <c r="D3050" s="24"/>
      <c r="E3050" s="14"/>
      <c r="F3050" s="14"/>
      <c r="G3050" s="14"/>
      <c r="H3050" s="23"/>
      <c r="I3050" s="27"/>
      <c r="J3050" s="23"/>
      <c r="K3050" s="30"/>
      <c r="L3050" s="23"/>
      <c r="M3050" s="20"/>
      <c r="N3050" s="20"/>
      <c r="O3050" s="20"/>
      <c r="P3050" s="20"/>
    </row>
    <row r="3051">
      <c r="A3051" s="10"/>
      <c r="B3051" s="11"/>
      <c r="C3051" s="10"/>
      <c r="D3051" s="13"/>
      <c r="E3051" s="14"/>
      <c r="F3051" s="14"/>
      <c r="G3051" s="14"/>
      <c r="H3051" s="10"/>
      <c r="I3051" s="17"/>
      <c r="J3051" s="10"/>
      <c r="K3051" s="46"/>
      <c r="L3051" s="10"/>
      <c r="M3051" s="20"/>
      <c r="N3051" s="20"/>
      <c r="O3051" s="20"/>
      <c r="P3051" s="20"/>
    </row>
    <row r="3052">
      <c r="A3052" s="23"/>
      <c r="B3052" s="21"/>
      <c r="C3052" s="23"/>
      <c r="D3052" s="24"/>
      <c r="E3052" s="14"/>
      <c r="F3052" s="14"/>
      <c r="G3052" s="14"/>
      <c r="H3052" s="23"/>
      <c r="I3052" s="27"/>
      <c r="J3052" s="23"/>
      <c r="K3052" s="30"/>
      <c r="L3052" s="23"/>
      <c r="M3052" s="20"/>
      <c r="N3052" s="20"/>
      <c r="O3052" s="20"/>
      <c r="P3052" s="20"/>
    </row>
    <row r="3053">
      <c r="A3053" s="10"/>
      <c r="B3053" s="11"/>
      <c r="C3053" s="10"/>
      <c r="D3053" s="13"/>
      <c r="E3053" s="14"/>
      <c r="F3053" s="14"/>
      <c r="G3053" s="14"/>
      <c r="H3053" s="10"/>
      <c r="I3053" s="17"/>
      <c r="J3053" s="10"/>
      <c r="K3053" s="46"/>
      <c r="L3053" s="10"/>
      <c r="M3053" s="20"/>
      <c r="N3053" s="20"/>
      <c r="O3053" s="20"/>
      <c r="P3053" s="20"/>
    </row>
    <row r="3054">
      <c r="A3054" s="23"/>
      <c r="B3054" s="21"/>
      <c r="C3054" s="23"/>
      <c r="D3054" s="24"/>
      <c r="E3054" s="14"/>
      <c r="F3054" s="14"/>
      <c r="G3054" s="14"/>
      <c r="H3054" s="23"/>
      <c r="I3054" s="27"/>
      <c r="J3054" s="23"/>
      <c r="K3054" s="30"/>
      <c r="L3054" s="23"/>
      <c r="M3054" s="20"/>
      <c r="N3054" s="20"/>
      <c r="O3054" s="20"/>
      <c r="P3054" s="20"/>
    </row>
    <row r="3055">
      <c r="A3055" s="10"/>
      <c r="B3055" s="11"/>
      <c r="C3055" s="10"/>
      <c r="D3055" s="13"/>
      <c r="E3055" s="14"/>
      <c r="F3055" s="14"/>
      <c r="G3055" s="14"/>
      <c r="H3055" s="10"/>
      <c r="I3055" s="17"/>
      <c r="J3055" s="10"/>
      <c r="K3055" s="46"/>
      <c r="L3055" s="10"/>
      <c r="M3055" s="20"/>
      <c r="N3055" s="20"/>
      <c r="O3055" s="20"/>
      <c r="P3055" s="20"/>
    </row>
    <row r="3056">
      <c r="A3056" s="23"/>
      <c r="B3056" s="21"/>
      <c r="C3056" s="23"/>
      <c r="D3056" s="24"/>
      <c r="E3056" s="14"/>
      <c r="F3056" s="14"/>
      <c r="G3056" s="14"/>
      <c r="H3056" s="23"/>
      <c r="I3056" s="27"/>
      <c r="J3056" s="23"/>
      <c r="K3056" s="30"/>
      <c r="L3056" s="23"/>
      <c r="M3056" s="20"/>
      <c r="N3056" s="20"/>
      <c r="O3056" s="20"/>
      <c r="P3056" s="20"/>
    </row>
    <row r="3057">
      <c r="A3057" s="10"/>
      <c r="B3057" s="11"/>
      <c r="C3057" s="10"/>
      <c r="D3057" s="13"/>
      <c r="E3057" s="14"/>
      <c r="F3057" s="14"/>
      <c r="G3057" s="14"/>
      <c r="H3057" s="10"/>
      <c r="I3057" s="17"/>
      <c r="J3057" s="10"/>
      <c r="K3057" s="46"/>
      <c r="L3057" s="10"/>
      <c r="M3057" s="20"/>
      <c r="N3057" s="20"/>
      <c r="O3057" s="20"/>
      <c r="P3057" s="20"/>
    </row>
    <row r="3058">
      <c r="A3058" s="23"/>
      <c r="B3058" s="21"/>
      <c r="C3058" s="23"/>
      <c r="D3058" s="24"/>
      <c r="E3058" s="14"/>
      <c r="F3058" s="14"/>
      <c r="G3058" s="14"/>
      <c r="H3058" s="23"/>
      <c r="I3058" s="27"/>
      <c r="J3058" s="23"/>
      <c r="K3058" s="30"/>
      <c r="L3058" s="23"/>
      <c r="M3058" s="20"/>
      <c r="N3058" s="20"/>
      <c r="O3058" s="20"/>
      <c r="P3058" s="20"/>
    </row>
    <row r="3059">
      <c r="A3059" s="10"/>
      <c r="B3059" s="11"/>
      <c r="C3059" s="10"/>
      <c r="D3059" s="13"/>
      <c r="E3059" s="14"/>
      <c r="F3059" s="14"/>
      <c r="G3059" s="14"/>
      <c r="H3059" s="10"/>
      <c r="I3059" s="17"/>
      <c r="J3059" s="10"/>
      <c r="K3059" s="46"/>
      <c r="L3059" s="10"/>
      <c r="M3059" s="20"/>
      <c r="N3059" s="20"/>
      <c r="O3059" s="20"/>
      <c r="P3059" s="20"/>
    </row>
    <row r="3060">
      <c r="A3060" s="23"/>
      <c r="B3060" s="21"/>
      <c r="C3060" s="23"/>
      <c r="D3060" s="24"/>
      <c r="E3060" s="14"/>
      <c r="F3060" s="14"/>
      <c r="G3060" s="14"/>
      <c r="H3060" s="23"/>
      <c r="I3060" s="27"/>
      <c r="J3060" s="23"/>
      <c r="K3060" s="30"/>
      <c r="L3060" s="23"/>
      <c r="M3060" s="20"/>
      <c r="N3060" s="20"/>
      <c r="O3060" s="20"/>
      <c r="P3060" s="20"/>
    </row>
    <row r="3061">
      <c r="A3061" s="10"/>
      <c r="B3061" s="11"/>
      <c r="C3061" s="10"/>
      <c r="D3061" s="13"/>
      <c r="E3061" s="14"/>
      <c r="F3061" s="14"/>
      <c r="G3061" s="14"/>
      <c r="H3061" s="10"/>
      <c r="I3061" s="17"/>
      <c r="J3061" s="10"/>
      <c r="K3061" s="46"/>
      <c r="L3061" s="10"/>
      <c r="M3061" s="20"/>
      <c r="N3061" s="20"/>
      <c r="O3061" s="20"/>
      <c r="P3061" s="20"/>
    </row>
    <row r="3062">
      <c r="A3062" s="23"/>
      <c r="B3062" s="21"/>
      <c r="C3062" s="23"/>
      <c r="D3062" s="24"/>
      <c r="E3062" s="14"/>
      <c r="F3062" s="14"/>
      <c r="G3062" s="14"/>
      <c r="H3062" s="23"/>
      <c r="I3062" s="27"/>
      <c r="J3062" s="23"/>
      <c r="K3062" s="30"/>
      <c r="L3062" s="23"/>
      <c r="M3062" s="20"/>
      <c r="N3062" s="20"/>
      <c r="O3062" s="20"/>
      <c r="P3062" s="20"/>
    </row>
    <row r="3063">
      <c r="A3063" s="10"/>
      <c r="B3063" s="11"/>
      <c r="C3063" s="10"/>
      <c r="D3063" s="13"/>
      <c r="E3063" s="14"/>
      <c r="F3063" s="14"/>
      <c r="G3063" s="14"/>
      <c r="H3063" s="10"/>
      <c r="I3063" s="17"/>
      <c r="J3063" s="10"/>
      <c r="K3063" s="46"/>
      <c r="L3063" s="10"/>
      <c r="M3063" s="20"/>
      <c r="N3063" s="20"/>
      <c r="O3063" s="20"/>
      <c r="P3063" s="20"/>
    </row>
    <row r="3064">
      <c r="A3064" s="23"/>
      <c r="B3064" s="21"/>
      <c r="C3064" s="23"/>
      <c r="D3064" s="24"/>
      <c r="E3064" s="14"/>
      <c r="F3064" s="14"/>
      <c r="G3064" s="14"/>
      <c r="H3064" s="23"/>
      <c r="I3064" s="27"/>
      <c r="J3064" s="23"/>
      <c r="K3064" s="30"/>
      <c r="L3064" s="23"/>
      <c r="M3064" s="20"/>
      <c r="N3064" s="20"/>
      <c r="O3064" s="20"/>
      <c r="P3064" s="20"/>
    </row>
    <row r="3065">
      <c r="A3065" s="10"/>
      <c r="B3065" s="11"/>
      <c r="C3065" s="10"/>
      <c r="D3065" s="13"/>
      <c r="E3065" s="14"/>
      <c r="F3065" s="14"/>
      <c r="G3065" s="14"/>
      <c r="H3065" s="10"/>
      <c r="I3065" s="17"/>
      <c r="J3065" s="10"/>
      <c r="K3065" s="46"/>
      <c r="L3065" s="10"/>
      <c r="M3065" s="20"/>
      <c r="N3065" s="20"/>
      <c r="O3065" s="20"/>
      <c r="P3065" s="20"/>
    </row>
    <row r="3066">
      <c r="A3066" s="23"/>
      <c r="B3066" s="21"/>
      <c r="C3066" s="23"/>
      <c r="D3066" s="24"/>
      <c r="E3066" s="14"/>
      <c r="F3066" s="14"/>
      <c r="G3066" s="14"/>
      <c r="H3066" s="23"/>
      <c r="I3066" s="27"/>
      <c r="J3066" s="23"/>
      <c r="K3066" s="30"/>
      <c r="L3066" s="23"/>
      <c r="M3066" s="20"/>
      <c r="N3066" s="20"/>
      <c r="O3066" s="20"/>
      <c r="P3066" s="20"/>
    </row>
    <row r="3067">
      <c r="A3067" s="10"/>
      <c r="B3067" s="11"/>
      <c r="C3067" s="10"/>
      <c r="D3067" s="13"/>
      <c r="E3067" s="14"/>
      <c r="F3067" s="14"/>
      <c r="G3067" s="14"/>
      <c r="H3067" s="10"/>
      <c r="I3067" s="17"/>
      <c r="J3067" s="10"/>
      <c r="K3067" s="46"/>
      <c r="L3067" s="10"/>
      <c r="M3067" s="20"/>
      <c r="N3067" s="20"/>
      <c r="O3067" s="20"/>
      <c r="P3067" s="20"/>
    </row>
    <row r="3068">
      <c r="A3068" s="23"/>
      <c r="B3068" s="21"/>
      <c r="C3068" s="23"/>
      <c r="D3068" s="24"/>
      <c r="E3068" s="14"/>
      <c r="F3068" s="14"/>
      <c r="G3068" s="14"/>
      <c r="H3068" s="23"/>
      <c r="I3068" s="27"/>
      <c r="J3068" s="23"/>
      <c r="K3068" s="30"/>
      <c r="L3068" s="23"/>
      <c r="M3068" s="20"/>
      <c r="N3068" s="20"/>
      <c r="O3068" s="20"/>
      <c r="P3068" s="20"/>
    </row>
    <row r="3069">
      <c r="A3069" s="10"/>
      <c r="B3069" s="11"/>
      <c r="C3069" s="10"/>
      <c r="D3069" s="13"/>
      <c r="E3069" s="14"/>
      <c r="F3069" s="14"/>
      <c r="G3069" s="14"/>
      <c r="H3069" s="10"/>
      <c r="I3069" s="17"/>
      <c r="J3069" s="10"/>
      <c r="K3069" s="46"/>
      <c r="L3069" s="10"/>
      <c r="M3069" s="20"/>
      <c r="N3069" s="20"/>
      <c r="O3069" s="20"/>
      <c r="P3069" s="20"/>
    </row>
    <row r="3070">
      <c r="A3070" s="23"/>
      <c r="B3070" s="21"/>
      <c r="C3070" s="23"/>
      <c r="D3070" s="24"/>
      <c r="E3070" s="14"/>
      <c r="F3070" s="14"/>
      <c r="G3070" s="14"/>
      <c r="H3070" s="23"/>
      <c r="I3070" s="27"/>
      <c r="J3070" s="23"/>
      <c r="K3070" s="30"/>
      <c r="L3070" s="23"/>
      <c r="M3070" s="20"/>
      <c r="N3070" s="20"/>
      <c r="O3070" s="20"/>
      <c r="P3070" s="20"/>
    </row>
    <row r="3071">
      <c r="A3071" s="10"/>
      <c r="B3071" s="11"/>
      <c r="C3071" s="10"/>
      <c r="D3071" s="13"/>
      <c r="E3071" s="14"/>
      <c r="F3071" s="14"/>
      <c r="G3071" s="14"/>
      <c r="H3071" s="10"/>
      <c r="I3071" s="17"/>
      <c r="J3071" s="10"/>
      <c r="K3071" s="46"/>
      <c r="L3071" s="10"/>
      <c r="M3071" s="20"/>
      <c r="N3071" s="20"/>
      <c r="O3071" s="20"/>
      <c r="P3071" s="20"/>
    </row>
    <row r="3072">
      <c r="A3072" s="23"/>
      <c r="B3072" s="21"/>
      <c r="C3072" s="23"/>
      <c r="D3072" s="24"/>
      <c r="E3072" s="14"/>
      <c r="F3072" s="14"/>
      <c r="G3072" s="14"/>
      <c r="H3072" s="23"/>
      <c r="I3072" s="27"/>
      <c r="J3072" s="23"/>
      <c r="K3072" s="30"/>
      <c r="L3072" s="23"/>
      <c r="M3072" s="20"/>
      <c r="N3072" s="20"/>
      <c r="O3072" s="20"/>
      <c r="P3072" s="20"/>
    </row>
    <row r="3073">
      <c r="A3073" s="10"/>
      <c r="B3073" s="11"/>
      <c r="C3073" s="10"/>
      <c r="D3073" s="13"/>
      <c r="E3073" s="14"/>
      <c r="F3073" s="14"/>
      <c r="G3073" s="14"/>
      <c r="H3073" s="10"/>
      <c r="I3073" s="17"/>
      <c r="J3073" s="10"/>
      <c r="K3073" s="46"/>
      <c r="L3073" s="10"/>
      <c r="M3073" s="20"/>
      <c r="N3073" s="20"/>
      <c r="O3073" s="20"/>
      <c r="P3073" s="20"/>
    </row>
    <row r="3074">
      <c r="A3074" s="23"/>
      <c r="B3074" s="21"/>
      <c r="C3074" s="23"/>
      <c r="D3074" s="24"/>
      <c r="E3074" s="14"/>
      <c r="F3074" s="14"/>
      <c r="G3074" s="14"/>
      <c r="H3074" s="23"/>
      <c r="I3074" s="27"/>
      <c r="J3074" s="23"/>
      <c r="K3074" s="30"/>
      <c r="L3074" s="23"/>
      <c r="M3074" s="20"/>
      <c r="N3074" s="20"/>
      <c r="O3074" s="20"/>
      <c r="P3074" s="20"/>
    </row>
    <row r="3075">
      <c r="A3075" s="10"/>
      <c r="B3075" s="11"/>
      <c r="C3075" s="10"/>
      <c r="D3075" s="13"/>
      <c r="E3075" s="14"/>
      <c r="F3075" s="14"/>
      <c r="G3075" s="14"/>
      <c r="H3075" s="10"/>
      <c r="I3075" s="17"/>
      <c r="J3075" s="10"/>
      <c r="K3075" s="46"/>
      <c r="L3075" s="10"/>
      <c r="M3075" s="20"/>
      <c r="N3075" s="20"/>
      <c r="O3075" s="20"/>
      <c r="P3075" s="20"/>
    </row>
    <row r="3076">
      <c r="A3076" s="23"/>
      <c r="B3076" s="21"/>
      <c r="C3076" s="23"/>
      <c r="D3076" s="24"/>
      <c r="E3076" s="14"/>
      <c r="F3076" s="14"/>
      <c r="G3076" s="14"/>
      <c r="H3076" s="23"/>
      <c r="I3076" s="27"/>
      <c r="J3076" s="23"/>
      <c r="K3076" s="30"/>
      <c r="L3076" s="23"/>
      <c r="M3076" s="20"/>
      <c r="N3076" s="20"/>
      <c r="O3076" s="20"/>
      <c r="P3076" s="20"/>
    </row>
    <row r="3077">
      <c r="A3077" s="10"/>
      <c r="B3077" s="11"/>
      <c r="C3077" s="10"/>
      <c r="D3077" s="13"/>
      <c r="E3077" s="14"/>
      <c r="F3077" s="14"/>
      <c r="G3077" s="14"/>
      <c r="H3077" s="10"/>
      <c r="I3077" s="17"/>
      <c r="J3077" s="10"/>
      <c r="K3077" s="46"/>
      <c r="L3077" s="10"/>
      <c r="M3077" s="20"/>
      <c r="N3077" s="20"/>
      <c r="O3077" s="20"/>
      <c r="P3077" s="20"/>
    </row>
    <row r="3078">
      <c r="A3078" s="23"/>
      <c r="B3078" s="21"/>
      <c r="C3078" s="23"/>
      <c r="D3078" s="24"/>
      <c r="E3078" s="14"/>
      <c r="F3078" s="14"/>
      <c r="G3078" s="14"/>
      <c r="H3078" s="23"/>
      <c r="I3078" s="27"/>
      <c r="J3078" s="23"/>
      <c r="K3078" s="30"/>
      <c r="L3078" s="23"/>
      <c r="M3078" s="20"/>
      <c r="N3078" s="20"/>
      <c r="O3078" s="20"/>
      <c r="P3078" s="20"/>
    </row>
    <row r="3079">
      <c r="A3079" s="10"/>
      <c r="B3079" s="11"/>
      <c r="C3079" s="10"/>
      <c r="D3079" s="13"/>
      <c r="E3079" s="14"/>
      <c r="F3079" s="14"/>
      <c r="G3079" s="14"/>
      <c r="H3079" s="10"/>
      <c r="I3079" s="17"/>
      <c r="J3079" s="10"/>
      <c r="K3079" s="46"/>
      <c r="L3079" s="10"/>
      <c r="M3079" s="20"/>
      <c r="N3079" s="20"/>
      <c r="O3079" s="20"/>
      <c r="P3079" s="20"/>
    </row>
    <row r="3080">
      <c r="A3080" s="23"/>
      <c r="B3080" s="21"/>
      <c r="C3080" s="23"/>
      <c r="D3080" s="24"/>
      <c r="E3080" s="14"/>
      <c r="F3080" s="14"/>
      <c r="G3080" s="14"/>
      <c r="H3080" s="23"/>
      <c r="I3080" s="27"/>
      <c r="J3080" s="23"/>
      <c r="K3080" s="30"/>
      <c r="L3080" s="23"/>
      <c r="M3080" s="20"/>
      <c r="N3080" s="20"/>
      <c r="O3080" s="20"/>
      <c r="P3080" s="20"/>
    </row>
    <row r="3081">
      <c r="A3081" s="10"/>
      <c r="B3081" s="11"/>
      <c r="C3081" s="10"/>
      <c r="D3081" s="13"/>
      <c r="E3081" s="14"/>
      <c r="F3081" s="14"/>
      <c r="G3081" s="14"/>
      <c r="H3081" s="10"/>
      <c r="I3081" s="17"/>
      <c r="J3081" s="10"/>
      <c r="K3081" s="46"/>
      <c r="L3081" s="10"/>
      <c r="M3081" s="20"/>
      <c r="N3081" s="20"/>
      <c r="O3081" s="20"/>
      <c r="P3081" s="20"/>
    </row>
    <row r="3082">
      <c r="A3082" s="23"/>
      <c r="B3082" s="21"/>
      <c r="C3082" s="23"/>
      <c r="D3082" s="24"/>
      <c r="E3082" s="14"/>
      <c r="F3082" s="14"/>
      <c r="G3082" s="14"/>
      <c r="H3082" s="23"/>
      <c r="I3082" s="27"/>
      <c r="J3082" s="23"/>
      <c r="K3082" s="30"/>
      <c r="L3082" s="23"/>
      <c r="M3082" s="20"/>
      <c r="N3082" s="20"/>
      <c r="O3082" s="20"/>
      <c r="P3082" s="20"/>
    </row>
    <row r="3083">
      <c r="A3083" s="10"/>
      <c r="B3083" s="11"/>
      <c r="C3083" s="10"/>
      <c r="D3083" s="13"/>
      <c r="E3083" s="14"/>
      <c r="F3083" s="14"/>
      <c r="G3083" s="14"/>
      <c r="H3083" s="10"/>
      <c r="I3083" s="17"/>
      <c r="J3083" s="10"/>
      <c r="K3083" s="46"/>
      <c r="L3083" s="10"/>
      <c r="M3083" s="20"/>
      <c r="N3083" s="20"/>
      <c r="O3083" s="20"/>
      <c r="P3083" s="20"/>
    </row>
    <row r="3084">
      <c r="A3084" s="23"/>
      <c r="B3084" s="21"/>
      <c r="C3084" s="23"/>
      <c r="D3084" s="24"/>
      <c r="E3084" s="14"/>
      <c r="F3084" s="14"/>
      <c r="G3084" s="14"/>
      <c r="H3084" s="23"/>
      <c r="I3084" s="27"/>
      <c r="J3084" s="23"/>
      <c r="K3084" s="30"/>
      <c r="L3084" s="23"/>
      <c r="M3084" s="20"/>
      <c r="N3084" s="20"/>
      <c r="O3084" s="20"/>
      <c r="P3084" s="20"/>
    </row>
    <row r="3085">
      <c r="A3085" s="10"/>
      <c r="B3085" s="11"/>
      <c r="C3085" s="10"/>
      <c r="D3085" s="13"/>
      <c r="E3085" s="14"/>
      <c r="F3085" s="14"/>
      <c r="G3085" s="14"/>
      <c r="H3085" s="10"/>
      <c r="I3085" s="17"/>
      <c r="J3085" s="10"/>
      <c r="K3085" s="46"/>
      <c r="L3085" s="10"/>
      <c r="M3085" s="20"/>
      <c r="N3085" s="20"/>
      <c r="O3085" s="20"/>
      <c r="P3085" s="20"/>
    </row>
    <row r="3086">
      <c r="A3086" s="23"/>
      <c r="B3086" s="21"/>
      <c r="C3086" s="23"/>
      <c r="D3086" s="24"/>
      <c r="E3086" s="14"/>
      <c r="F3086" s="14"/>
      <c r="G3086" s="14"/>
      <c r="H3086" s="23"/>
      <c r="I3086" s="27"/>
      <c r="J3086" s="23"/>
      <c r="K3086" s="30"/>
      <c r="L3086" s="23"/>
      <c r="M3086" s="20"/>
      <c r="N3086" s="20"/>
      <c r="O3086" s="20"/>
      <c r="P3086" s="20"/>
    </row>
    <row r="3087">
      <c r="A3087" s="10"/>
      <c r="B3087" s="11"/>
      <c r="C3087" s="10"/>
      <c r="D3087" s="13"/>
      <c r="E3087" s="14"/>
      <c r="F3087" s="14"/>
      <c r="G3087" s="14"/>
      <c r="H3087" s="10"/>
      <c r="I3087" s="17"/>
      <c r="J3087" s="10"/>
      <c r="K3087" s="46"/>
      <c r="L3087" s="10"/>
      <c r="M3087" s="20"/>
      <c r="N3087" s="20"/>
      <c r="O3087" s="20"/>
      <c r="P3087" s="20"/>
    </row>
    <row r="3088">
      <c r="A3088" s="23"/>
      <c r="B3088" s="21"/>
      <c r="C3088" s="23"/>
      <c r="D3088" s="24"/>
      <c r="E3088" s="14"/>
      <c r="F3088" s="14"/>
      <c r="G3088" s="14"/>
      <c r="H3088" s="23"/>
      <c r="I3088" s="27"/>
      <c r="J3088" s="23"/>
      <c r="K3088" s="30"/>
      <c r="L3088" s="23"/>
      <c r="M3088" s="20"/>
      <c r="N3088" s="20"/>
      <c r="O3088" s="20"/>
      <c r="P3088" s="20"/>
    </row>
    <row r="3089">
      <c r="A3089" s="10"/>
      <c r="B3089" s="11"/>
      <c r="C3089" s="10"/>
      <c r="D3089" s="13"/>
      <c r="E3089" s="14"/>
      <c r="F3089" s="14"/>
      <c r="G3089" s="14"/>
      <c r="H3089" s="10"/>
      <c r="I3089" s="17"/>
      <c r="J3089" s="10"/>
      <c r="K3089" s="46"/>
      <c r="L3089" s="10"/>
      <c r="M3089" s="20"/>
      <c r="N3089" s="20"/>
      <c r="O3089" s="20"/>
      <c r="P3089" s="20"/>
    </row>
    <row r="3090">
      <c r="A3090" s="23"/>
      <c r="B3090" s="21"/>
      <c r="C3090" s="23"/>
      <c r="D3090" s="24"/>
      <c r="E3090" s="14"/>
      <c r="F3090" s="14"/>
      <c r="G3090" s="14"/>
      <c r="H3090" s="23"/>
      <c r="I3090" s="27"/>
      <c r="J3090" s="23"/>
      <c r="K3090" s="30"/>
      <c r="L3090" s="23"/>
      <c r="M3090" s="20"/>
      <c r="N3090" s="20"/>
      <c r="O3090" s="20"/>
      <c r="P3090" s="20"/>
    </row>
    <row r="3091">
      <c r="A3091" s="10"/>
      <c r="B3091" s="11"/>
      <c r="C3091" s="10"/>
      <c r="D3091" s="13"/>
      <c r="E3091" s="14"/>
      <c r="F3091" s="14"/>
      <c r="G3091" s="14"/>
      <c r="H3091" s="10"/>
      <c r="I3091" s="17"/>
      <c r="J3091" s="10"/>
      <c r="K3091" s="46"/>
      <c r="L3091" s="10"/>
      <c r="M3091" s="20"/>
      <c r="N3091" s="20"/>
      <c r="O3091" s="20"/>
      <c r="P3091" s="20"/>
    </row>
    <row r="3092">
      <c r="A3092" s="23"/>
      <c r="B3092" s="21"/>
      <c r="C3092" s="23"/>
      <c r="D3092" s="24"/>
      <c r="E3092" s="14"/>
      <c r="F3092" s="14"/>
      <c r="G3092" s="14"/>
      <c r="H3092" s="23"/>
      <c r="I3092" s="27"/>
      <c r="J3092" s="23"/>
      <c r="K3092" s="30"/>
      <c r="L3092" s="23"/>
      <c r="M3092" s="20"/>
      <c r="N3092" s="20"/>
      <c r="O3092" s="20"/>
      <c r="P3092" s="20"/>
    </row>
    <row r="3093">
      <c r="A3093" s="10"/>
      <c r="B3093" s="11"/>
      <c r="C3093" s="10"/>
      <c r="D3093" s="13"/>
      <c r="E3093" s="14"/>
      <c r="F3093" s="14"/>
      <c r="G3093" s="14"/>
      <c r="H3093" s="10"/>
      <c r="I3093" s="17"/>
      <c r="J3093" s="10"/>
      <c r="K3093" s="46"/>
      <c r="L3093" s="10"/>
      <c r="M3093" s="20"/>
      <c r="N3093" s="20"/>
      <c r="O3093" s="20"/>
      <c r="P3093" s="20"/>
    </row>
    <row r="3094">
      <c r="A3094" s="23"/>
      <c r="B3094" s="21"/>
      <c r="C3094" s="23"/>
      <c r="D3094" s="24"/>
      <c r="E3094" s="14"/>
      <c r="F3094" s="14"/>
      <c r="G3094" s="14"/>
      <c r="H3094" s="23"/>
      <c r="I3094" s="27"/>
      <c r="J3094" s="23"/>
      <c r="K3094" s="30"/>
      <c r="L3094" s="23"/>
      <c r="M3094" s="20"/>
      <c r="N3094" s="20"/>
      <c r="O3094" s="20"/>
      <c r="P3094" s="20"/>
    </row>
    <row r="3095">
      <c r="A3095" s="10"/>
      <c r="B3095" s="11"/>
      <c r="C3095" s="10"/>
      <c r="D3095" s="13"/>
      <c r="E3095" s="14"/>
      <c r="F3095" s="14"/>
      <c r="G3095" s="14"/>
      <c r="H3095" s="10"/>
      <c r="I3095" s="17"/>
      <c r="J3095" s="10"/>
      <c r="K3095" s="46"/>
      <c r="L3095" s="10"/>
      <c r="M3095" s="20"/>
      <c r="N3095" s="20"/>
      <c r="O3095" s="20"/>
      <c r="P3095" s="20"/>
    </row>
    <row r="3096">
      <c r="A3096" s="23"/>
      <c r="B3096" s="21"/>
      <c r="C3096" s="23"/>
      <c r="D3096" s="24"/>
      <c r="E3096" s="14"/>
      <c r="F3096" s="14"/>
      <c r="G3096" s="14"/>
      <c r="H3096" s="23"/>
      <c r="I3096" s="27"/>
      <c r="J3096" s="23"/>
      <c r="K3096" s="30"/>
      <c r="L3096" s="23"/>
      <c r="M3096" s="20"/>
      <c r="N3096" s="20"/>
      <c r="O3096" s="20"/>
      <c r="P3096" s="20"/>
    </row>
    <row r="3097">
      <c r="A3097" s="10"/>
      <c r="B3097" s="11"/>
      <c r="C3097" s="10"/>
      <c r="D3097" s="13"/>
      <c r="E3097" s="14"/>
      <c r="F3097" s="14"/>
      <c r="G3097" s="14"/>
      <c r="H3097" s="10"/>
      <c r="I3097" s="17"/>
      <c r="J3097" s="10"/>
      <c r="K3097" s="46"/>
      <c r="L3097" s="10"/>
      <c r="M3097" s="20"/>
      <c r="N3097" s="20"/>
      <c r="O3097" s="20"/>
      <c r="P3097" s="20"/>
    </row>
    <row r="3098">
      <c r="A3098" s="23"/>
      <c r="B3098" s="21"/>
      <c r="C3098" s="23"/>
      <c r="D3098" s="24"/>
      <c r="E3098" s="14"/>
      <c r="F3098" s="14"/>
      <c r="G3098" s="14"/>
      <c r="H3098" s="23"/>
      <c r="I3098" s="27"/>
      <c r="J3098" s="23"/>
      <c r="K3098" s="30"/>
      <c r="L3098" s="23"/>
      <c r="M3098" s="20"/>
      <c r="N3098" s="20"/>
      <c r="O3098" s="20"/>
      <c r="P3098" s="20"/>
    </row>
    <row r="3099">
      <c r="A3099" s="10"/>
      <c r="B3099" s="11"/>
      <c r="C3099" s="10"/>
      <c r="D3099" s="13"/>
      <c r="E3099" s="14"/>
      <c r="F3099" s="14"/>
      <c r="G3099" s="14"/>
      <c r="H3099" s="10"/>
      <c r="I3099" s="17"/>
      <c r="J3099" s="10"/>
      <c r="K3099" s="46"/>
      <c r="L3099" s="10"/>
      <c r="M3099" s="20"/>
      <c r="N3099" s="20"/>
      <c r="O3099" s="20"/>
      <c r="P3099" s="20"/>
    </row>
    <row r="3100">
      <c r="A3100" s="23"/>
      <c r="B3100" s="21"/>
      <c r="C3100" s="23"/>
      <c r="D3100" s="24"/>
      <c r="E3100" s="14"/>
      <c r="F3100" s="14"/>
      <c r="G3100" s="14"/>
      <c r="H3100" s="23"/>
      <c r="I3100" s="27"/>
      <c r="J3100" s="23"/>
      <c r="K3100" s="30"/>
      <c r="L3100" s="23"/>
      <c r="M3100" s="20"/>
      <c r="N3100" s="20"/>
      <c r="O3100" s="20"/>
      <c r="P3100" s="20"/>
    </row>
    <row r="3101">
      <c r="A3101" s="10"/>
      <c r="B3101" s="11"/>
      <c r="C3101" s="10"/>
      <c r="D3101" s="13"/>
      <c r="E3101" s="14"/>
      <c r="F3101" s="14"/>
      <c r="G3101" s="14"/>
      <c r="H3101" s="10"/>
      <c r="I3101" s="17"/>
      <c r="J3101" s="10"/>
      <c r="K3101" s="46"/>
      <c r="L3101" s="10"/>
      <c r="M3101" s="20"/>
      <c r="N3101" s="20"/>
      <c r="O3101" s="20"/>
      <c r="P3101" s="20"/>
    </row>
    <row r="3102">
      <c r="A3102" s="23"/>
      <c r="B3102" s="21"/>
      <c r="C3102" s="23"/>
      <c r="D3102" s="24"/>
      <c r="E3102" s="14"/>
      <c r="F3102" s="14"/>
      <c r="G3102" s="14"/>
      <c r="H3102" s="23"/>
      <c r="I3102" s="27"/>
      <c r="J3102" s="23"/>
      <c r="K3102" s="30"/>
      <c r="L3102" s="23"/>
      <c r="M3102" s="20"/>
      <c r="N3102" s="20"/>
      <c r="O3102" s="20"/>
      <c r="P3102" s="20"/>
    </row>
    <row r="3103">
      <c r="A3103" s="10"/>
      <c r="B3103" s="11"/>
      <c r="C3103" s="10"/>
      <c r="D3103" s="13"/>
      <c r="E3103" s="14"/>
      <c r="F3103" s="14"/>
      <c r="G3103" s="14"/>
      <c r="H3103" s="10"/>
      <c r="I3103" s="17"/>
      <c r="J3103" s="10"/>
      <c r="K3103" s="46"/>
      <c r="L3103" s="10"/>
      <c r="M3103" s="20"/>
      <c r="N3103" s="20"/>
      <c r="O3103" s="20"/>
      <c r="P3103" s="20"/>
    </row>
    <row r="3104">
      <c r="A3104" s="23"/>
      <c r="B3104" s="21"/>
      <c r="C3104" s="23"/>
      <c r="D3104" s="24"/>
      <c r="E3104" s="14"/>
      <c r="F3104" s="14"/>
      <c r="G3104" s="14"/>
      <c r="H3104" s="23"/>
      <c r="I3104" s="27"/>
      <c r="J3104" s="23"/>
      <c r="K3104" s="30"/>
      <c r="L3104" s="23"/>
      <c r="M3104" s="20"/>
      <c r="N3104" s="20"/>
      <c r="O3104" s="20"/>
      <c r="P3104" s="20"/>
    </row>
    <row r="3105">
      <c r="A3105" s="10"/>
      <c r="B3105" s="11"/>
      <c r="C3105" s="10"/>
      <c r="D3105" s="13"/>
      <c r="E3105" s="14"/>
      <c r="F3105" s="14"/>
      <c r="G3105" s="14"/>
      <c r="H3105" s="10"/>
      <c r="I3105" s="17"/>
      <c r="J3105" s="10"/>
      <c r="K3105" s="46"/>
      <c r="L3105" s="10"/>
      <c r="M3105" s="20"/>
      <c r="N3105" s="20"/>
      <c r="O3105" s="20"/>
      <c r="P3105" s="20"/>
    </row>
    <row r="3106">
      <c r="A3106" s="23"/>
      <c r="B3106" s="21"/>
      <c r="C3106" s="23"/>
      <c r="D3106" s="24"/>
      <c r="E3106" s="14"/>
      <c r="F3106" s="14"/>
      <c r="G3106" s="14"/>
      <c r="H3106" s="23"/>
      <c r="I3106" s="27"/>
      <c r="J3106" s="23"/>
      <c r="K3106" s="30"/>
      <c r="L3106" s="23"/>
      <c r="M3106" s="20"/>
      <c r="N3106" s="20"/>
      <c r="O3106" s="20"/>
      <c r="P3106" s="20"/>
    </row>
    <row r="3107">
      <c r="A3107" s="10"/>
      <c r="B3107" s="11"/>
      <c r="C3107" s="10"/>
      <c r="D3107" s="13"/>
      <c r="E3107" s="14"/>
      <c r="F3107" s="14"/>
      <c r="G3107" s="14"/>
      <c r="H3107" s="10"/>
      <c r="I3107" s="17"/>
      <c r="J3107" s="10"/>
      <c r="K3107" s="46"/>
      <c r="L3107" s="10"/>
      <c r="M3107" s="20"/>
      <c r="N3107" s="20"/>
      <c r="O3107" s="20"/>
      <c r="P3107" s="20"/>
    </row>
    <row r="3108">
      <c r="A3108" s="23"/>
      <c r="B3108" s="21"/>
      <c r="C3108" s="23"/>
      <c r="D3108" s="24"/>
      <c r="E3108" s="14"/>
      <c r="F3108" s="14"/>
      <c r="G3108" s="14"/>
      <c r="H3108" s="23"/>
      <c r="I3108" s="27"/>
      <c r="J3108" s="23"/>
      <c r="K3108" s="30"/>
      <c r="L3108" s="23"/>
      <c r="M3108" s="20"/>
      <c r="N3108" s="20"/>
      <c r="O3108" s="20"/>
      <c r="P3108" s="20"/>
    </row>
    <row r="3109">
      <c r="A3109" s="10"/>
      <c r="B3109" s="11"/>
      <c r="C3109" s="10"/>
      <c r="D3109" s="13"/>
      <c r="E3109" s="14"/>
      <c r="F3109" s="14"/>
      <c r="G3109" s="14"/>
      <c r="H3109" s="10"/>
      <c r="I3109" s="17"/>
      <c r="J3109" s="10"/>
      <c r="K3109" s="46"/>
      <c r="L3109" s="10"/>
      <c r="M3109" s="20"/>
      <c r="N3109" s="20"/>
      <c r="O3109" s="20"/>
      <c r="P3109" s="20"/>
    </row>
    <row r="3110">
      <c r="A3110" s="23"/>
      <c r="B3110" s="21"/>
      <c r="C3110" s="23"/>
      <c r="D3110" s="24"/>
      <c r="E3110" s="14"/>
      <c r="F3110" s="14"/>
      <c r="G3110" s="14"/>
      <c r="H3110" s="23"/>
      <c r="I3110" s="27"/>
      <c r="J3110" s="23"/>
      <c r="K3110" s="30"/>
      <c r="L3110" s="23"/>
      <c r="M3110" s="20"/>
      <c r="N3110" s="20"/>
      <c r="O3110" s="20"/>
      <c r="P3110" s="20"/>
    </row>
    <row r="3111">
      <c r="A3111" s="10"/>
      <c r="B3111" s="11"/>
      <c r="C3111" s="10"/>
      <c r="D3111" s="13"/>
      <c r="E3111" s="14"/>
      <c r="F3111" s="14"/>
      <c r="G3111" s="14"/>
      <c r="H3111" s="10"/>
      <c r="I3111" s="17"/>
      <c r="J3111" s="10"/>
      <c r="K3111" s="46"/>
      <c r="L3111" s="10"/>
      <c r="M3111" s="20"/>
      <c r="N3111" s="20"/>
      <c r="O3111" s="20"/>
      <c r="P3111" s="20"/>
    </row>
    <row r="3112">
      <c r="A3112" s="23"/>
      <c r="B3112" s="21"/>
      <c r="C3112" s="23"/>
      <c r="D3112" s="24"/>
      <c r="E3112" s="14"/>
      <c r="F3112" s="14"/>
      <c r="G3112" s="14"/>
      <c r="H3112" s="23"/>
      <c r="I3112" s="27"/>
      <c r="J3112" s="23"/>
      <c r="K3112" s="30"/>
      <c r="L3112" s="23"/>
      <c r="M3112" s="20"/>
      <c r="N3112" s="20"/>
      <c r="O3112" s="20"/>
      <c r="P3112" s="20"/>
    </row>
    <row r="3113">
      <c r="A3113" s="10"/>
      <c r="B3113" s="11"/>
      <c r="C3113" s="10"/>
      <c r="D3113" s="13"/>
      <c r="E3113" s="14"/>
      <c r="F3113" s="14"/>
      <c r="G3113" s="14"/>
      <c r="H3113" s="10"/>
      <c r="I3113" s="17"/>
      <c r="J3113" s="10"/>
      <c r="K3113" s="46"/>
      <c r="L3113" s="10"/>
      <c r="M3113" s="20"/>
      <c r="N3113" s="20"/>
      <c r="O3113" s="20"/>
      <c r="P3113" s="20"/>
    </row>
    <row r="3114">
      <c r="A3114" s="23"/>
      <c r="B3114" s="21"/>
      <c r="C3114" s="23"/>
      <c r="D3114" s="24"/>
      <c r="E3114" s="14"/>
      <c r="F3114" s="14"/>
      <c r="G3114" s="14"/>
      <c r="H3114" s="23"/>
      <c r="I3114" s="27"/>
      <c r="J3114" s="23"/>
      <c r="K3114" s="30"/>
      <c r="L3114" s="23"/>
      <c r="M3114" s="20"/>
      <c r="N3114" s="20"/>
      <c r="O3114" s="20"/>
      <c r="P3114" s="20"/>
    </row>
    <row r="3115">
      <c r="A3115" s="10"/>
      <c r="B3115" s="11"/>
      <c r="C3115" s="10"/>
      <c r="D3115" s="13"/>
      <c r="E3115" s="14"/>
      <c r="F3115" s="14"/>
      <c r="G3115" s="14"/>
      <c r="H3115" s="10"/>
      <c r="I3115" s="17"/>
      <c r="J3115" s="10"/>
      <c r="K3115" s="46"/>
      <c r="L3115" s="10"/>
      <c r="M3115" s="20"/>
      <c r="N3115" s="20"/>
      <c r="O3115" s="20"/>
      <c r="P3115" s="20"/>
    </row>
    <row r="3116">
      <c r="A3116" s="23"/>
      <c r="B3116" s="21"/>
      <c r="C3116" s="23"/>
      <c r="D3116" s="24"/>
      <c r="E3116" s="14"/>
      <c r="F3116" s="14"/>
      <c r="G3116" s="14"/>
      <c r="H3116" s="23"/>
      <c r="I3116" s="27"/>
      <c r="J3116" s="23"/>
      <c r="K3116" s="30"/>
      <c r="L3116" s="23"/>
      <c r="M3116" s="20"/>
      <c r="N3116" s="20"/>
      <c r="O3116" s="20"/>
      <c r="P3116" s="20"/>
    </row>
    <row r="3117">
      <c r="A3117" s="10"/>
      <c r="B3117" s="11"/>
      <c r="C3117" s="10"/>
      <c r="D3117" s="13"/>
      <c r="E3117" s="14"/>
      <c r="F3117" s="14"/>
      <c r="G3117" s="14"/>
      <c r="H3117" s="10"/>
      <c r="I3117" s="17"/>
      <c r="J3117" s="10"/>
      <c r="K3117" s="46"/>
      <c r="L3117" s="10"/>
      <c r="M3117" s="20"/>
      <c r="N3117" s="20"/>
      <c r="O3117" s="20"/>
      <c r="P3117" s="20"/>
    </row>
    <row r="3118">
      <c r="A3118" s="23"/>
      <c r="B3118" s="21"/>
      <c r="C3118" s="23"/>
      <c r="D3118" s="24"/>
      <c r="E3118" s="14"/>
      <c r="F3118" s="14"/>
      <c r="G3118" s="14"/>
      <c r="H3118" s="23"/>
      <c r="I3118" s="27"/>
      <c r="J3118" s="23"/>
      <c r="K3118" s="30"/>
      <c r="L3118" s="23"/>
      <c r="M3118" s="20"/>
      <c r="N3118" s="20"/>
      <c r="O3118" s="20"/>
      <c r="P3118" s="20"/>
    </row>
    <row r="3119">
      <c r="A3119" s="10"/>
      <c r="B3119" s="11"/>
      <c r="C3119" s="10"/>
      <c r="D3119" s="13"/>
      <c r="E3119" s="14"/>
      <c r="F3119" s="14"/>
      <c r="G3119" s="14"/>
      <c r="H3119" s="10"/>
      <c r="I3119" s="17"/>
      <c r="J3119" s="10"/>
      <c r="K3119" s="46"/>
      <c r="L3119" s="10"/>
      <c r="M3119" s="20"/>
      <c r="N3119" s="20"/>
      <c r="O3119" s="20"/>
      <c r="P3119" s="20"/>
    </row>
    <row r="3120">
      <c r="A3120" s="23"/>
      <c r="B3120" s="21"/>
      <c r="C3120" s="23"/>
      <c r="D3120" s="24"/>
      <c r="E3120" s="14"/>
      <c r="F3120" s="14"/>
      <c r="G3120" s="14"/>
      <c r="H3120" s="23"/>
      <c r="I3120" s="27"/>
      <c r="J3120" s="23"/>
      <c r="K3120" s="30"/>
      <c r="L3120" s="23"/>
      <c r="M3120" s="20"/>
      <c r="N3120" s="20"/>
      <c r="O3120" s="20"/>
      <c r="P3120" s="20"/>
    </row>
    <row r="3121">
      <c r="A3121" s="10"/>
      <c r="B3121" s="11"/>
      <c r="C3121" s="10"/>
      <c r="D3121" s="13"/>
      <c r="E3121" s="14"/>
      <c r="F3121" s="14"/>
      <c r="G3121" s="14"/>
      <c r="H3121" s="10"/>
      <c r="I3121" s="17"/>
      <c r="J3121" s="10"/>
      <c r="K3121" s="46"/>
      <c r="L3121" s="10"/>
      <c r="M3121" s="20"/>
      <c r="N3121" s="20"/>
      <c r="O3121" s="20"/>
      <c r="P3121" s="20"/>
    </row>
    <row r="3122">
      <c r="A3122" s="23"/>
      <c r="B3122" s="21"/>
      <c r="C3122" s="23"/>
      <c r="D3122" s="24"/>
      <c r="E3122" s="14"/>
      <c r="F3122" s="14"/>
      <c r="G3122" s="14"/>
      <c r="H3122" s="23"/>
      <c r="I3122" s="27"/>
      <c r="J3122" s="23"/>
      <c r="K3122" s="30"/>
      <c r="L3122" s="23"/>
      <c r="M3122" s="20"/>
      <c r="N3122" s="20"/>
      <c r="O3122" s="20"/>
      <c r="P3122" s="20"/>
    </row>
    <row r="3123">
      <c r="A3123" s="10"/>
      <c r="B3123" s="11"/>
      <c r="C3123" s="10"/>
      <c r="D3123" s="13"/>
      <c r="E3123" s="14"/>
      <c r="F3123" s="14"/>
      <c r="G3123" s="14"/>
      <c r="H3123" s="10"/>
      <c r="I3123" s="17"/>
      <c r="J3123" s="10"/>
      <c r="K3123" s="46"/>
      <c r="L3123" s="10"/>
      <c r="M3123" s="20"/>
      <c r="N3123" s="20"/>
      <c r="O3123" s="20"/>
      <c r="P3123" s="20"/>
    </row>
    <row r="3124">
      <c r="A3124" s="23"/>
      <c r="B3124" s="21"/>
      <c r="C3124" s="23"/>
      <c r="D3124" s="24"/>
      <c r="E3124" s="14"/>
      <c r="F3124" s="14"/>
      <c r="G3124" s="14"/>
      <c r="H3124" s="23"/>
      <c r="I3124" s="27"/>
      <c r="J3124" s="23"/>
      <c r="K3124" s="30"/>
      <c r="L3124" s="23"/>
      <c r="M3124" s="20"/>
      <c r="N3124" s="20"/>
      <c r="O3124" s="20"/>
      <c r="P3124" s="20"/>
    </row>
    <row r="3125">
      <c r="A3125" s="10"/>
      <c r="B3125" s="11"/>
      <c r="C3125" s="10"/>
      <c r="D3125" s="13"/>
      <c r="E3125" s="14"/>
      <c r="F3125" s="14"/>
      <c r="G3125" s="14"/>
      <c r="H3125" s="10"/>
      <c r="I3125" s="17"/>
      <c r="J3125" s="10"/>
      <c r="K3125" s="46"/>
      <c r="L3125" s="10"/>
      <c r="M3125" s="20"/>
      <c r="N3125" s="20"/>
      <c r="O3125" s="20"/>
      <c r="P3125" s="20"/>
    </row>
    <row r="3126">
      <c r="A3126" s="23"/>
      <c r="B3126" s="21"/>
      <c r="C3126" s="23"/>
      <c r="D3126" s="24"/>
      <c r="E3126" s="14"/>
      <c r="F3126" s="14"/>
      <c r="G3126" s="14"/>
      <c r="H3126" s="23"/>
      <c r="I3126" s="27"/>
      <c r="J3126" s="23"/>
      <c r="K3126" s="30"/>
      <c r="L3126" s="23"/>
      <c r="M3126" s="20"/>
      <c r="N3126" s="20"/>
      <c r="O3126" s="20"/>
      <c r="P3126" s="20"/>
    </row>
    <row r="3127">
      <c r="A3127" s="10"/>
      <c r="B3127" s="11"/>
      <c r="C3127" s="10"/>
      <c r="D3127" s="13"/>
      <c r="E3127" s="14"/>
      <c r="F3127" s="14"/>
      <c r="G3127" s="14"/>
      <c r="H3127" s="10"/>
      <c r="I3127" s="17"/>
      <c r="J3127" s="10"/>
      <c r="K3127" s="46"/>
      <c r="L3127" s="10"/>
      <c r="M3127" s="20"/>
      <c r="N3127" s="20"/>
      <c r="O3127" s="20"/>
      <c r="P3127" s="20"/>
    </row>
    <row r="3128">
      <c r="A3128" s="23"/>
      <c r="B3128" s="21"/>
      <c r="C3128" s="23"/>
      <c r="D3128" s="24"/>
      <c r="E3128" s="14"/>
      <c r="F3128" s="14"/>
      <c r="G3128" s="14"/>
      <c r="H3128" s="23"/>
      <c r="I3128" s="27"/>
      <c r="J3128" s="23"/>
      <c r="K3128" s="30"/>
      <c r="L3128" s="23"/>
      <c r="M3128" s="20"/>
      <c r="N3128" s="20"/>
      <c r="O3128" s="20"/>
      <c r="P3128" s="20"/>
    </row>
    <row r="3129">
      <c r="A3129" s="10"/>
      <c r="B3129" s="11"/>
      <c r="C3129" s="10"/>
      <c r="D3129" s="13"/>
      <c r="E3129" s="14"/>
      <c r="F3129" s="14"/>
      <c r="G3129" s="14"/>
      <c r="H3129" s="10"/>
      <c r="I3129" s="17"/>
      <c r="J3129" s="10"/>
      <c r="K3129" s="46"/>
      <c r="L3129" s="10"/>
      <c r="M3129" s="20"/>
      <c r="N3129" s="20"/>
      <c r="O3129" s="20"/>
      <c r="P3129" s="20"/>
    </row>
    <row r="3130">
      <c r="A3130" s="23"/>
      <c r="B3130" s="21"/>
      <c r="C3130" s="23"/>
      <c r="D3130" s="24"/>
      <c r="E3130" s="14"/>
      <c r="F3130" s="14"/>
      <c r="G3130" s="14"/>
      <c r="H3130" s="23"/>
      <c r="I3130" s="27"/>
      <c r="J3130" s="23"/>
      <c r="K3130" s="30"/>
      <c r="L3130" s="23"/>
      <c r="M3130" s="20"/>
      <c r="N3130" s="20"/>
      <c r="O3130" s="20"/>
      <c r="P3130" s="20"/>
    </row>
    <row r="3131">
      <c r="A3131" s="10"/>
      <c r="B3131" s="11"/>
      <c r="C3131" s="10"/>
      <c r="D3131" s="13"/>
      <c r="E3131" s="14"/>
      <c r="F3131" s="14"/>
      <c r="G3131" s="14"/>
      <c r="H3131" s="10"/>
      <c r="I3131" s="17"/>
      <c r="J3131" s="10"/>
      <c r="K3131" s="46"/>
      <c r="L3131" s="10"/>
      <c r="M3131" s="20"/>
      <c r="N3131" s="20"/>
      <c r="O3131" s="20"/>
      <c r="P3131" s="20"/>
    </row>
    <row r="3132">
      <c r="A3132" s="23"/>
      <c r="B3132" s="21"/>
      <c r="C3132" s="23"/>
      <c r="D3132" s="24"/>
      <c r="E3132" s="14"/>
      <c r="F3132" s="14"/>
      <c r="G3132" s="14"/>
      <c r="H3132" s="23"/>
      <c r="I3132" s="27"/>
      <c r="J3132" s="23"/>
      <c r="K3132" s="30"/>
      <c r="L3132" s="23"/>
      <c r="M3132" s="20"/>
      <c r="N3132" s="20"/>
      <c r="O3132" s="20"/>
      <c r="P3132" s="20"/>
    </row>
    <row r="3133">
      <c r="A3133" s="10"/>
      <c r="B3133" s="11"/>
      <c r="C3133" s="10"/>
      <c r="D3133" s="13"/>
      <c r="E3133" s="14"/>
      <c r="F3133" s="14"/>
      <c r="G3133" s="14"/>
      <c r="H3133" s="10"/>
      <c r="I3133" s="17"/>
      <c r="J3133" s="10"/>
      <c r="K3133" s="46"/>
      <c r="L3133" s="10"/>
      <c r="M3133" s="20"/>
      <c r="N3133" s="20"/>
      <c r="O3133" s="20"/>
      <c r="P3133" s="20"/>
    </row>
    <row r="3134">
      <c r="A3134" s="23"/>
      <c r="B3134" s="21"/>
      <c r="C3134" s="23"/>
      <c r="D3134" s="24"/>
      <c r="E3134" s="14"/>
      <c r="F3134" s="14"/>
      <c r="G3134" s="14"/>
      <c r="H3134" s="23"/>
      <c r="I3134" s="27"/>
      <c r="J3134" s="23"/>
      <c r="K3134" s="30"/>
      <c r="L3134" s="23"/>
      <c r="M3134" s="20"/>
      <c r="N3134" s="20"/>
      <c r="O3134" s="20"/>
      <c r="P3134" s="20"/>
    </row>
    <row r="3135">
      <c r="A3135" s="10"/>
      <c r="B3135" s="11"/>
      <c r="C3135" s="10"/>
      <c r="D3135" s="13"/>
      <c r="E3135" s="14"/>
      <c r="F3135" s="14"/>
      <c r="G3135" s="14"/>
      <c r="H3135" s="10"/>
      <c r="I3135" s="17"/>
      <c r="J3135" s="10"/>
      <c r="K3135" s="46"/>
      <c r="L3135" s="10"/>
      <c r="M3135" s="20"/>
      <c r="N3135" s="20"/>
      <c r="O3135" s="20"/>
      <c r="P3135" s="20"/>
    </row>
    <row r="3136">
      <c r="A3136" s="23"/>
      <c r="B3136" s="21"/>
      <c r="C3136" s="23"/>
      <c r="D3136" s="24"/>
      <c r="E3136" s="14"/>
      <c r="F3136" s="14"/>
      <c r="G3136" s="14"/>
      <c r="H3136" s="23"/>
      <c r="I3136" s="27"/>
      <c r="J3136" s="23"/>
      <c r="K3136" s="30"/>
      <c r="L3136" s="23"/>
      <c r="M3136" s="20"/>
      <c r="N3136" s="20"/>
      <c r="O3136" s="20"/>
      <c r="P3136" s="20"/>
    </row>
    <row r="3137">
      <c r="A3137" s="10"/>
      <c r="B3137" s="11"/>
      <c r="C3137" s="10"/>
      <c r="D3137" s="13"/>
      <c r="E3137" s="14"/>
      <c r="F3137" s="14"/>
      <c r="G3137" s="14"/>
      <c r="H3137" s="10"/>
      <c r="I3137" s="17"/>
      <c r="J3137" s="10"/>
      <c r="K3137" s="46"/>
      <c r="L3137" s="10"/>
      <c r="M3137" s="20"/>
      <c r="N3137" s="20"/>
      <c r="O3137" s="20"/>
      <c r="P3137" s="20"/>
    </row>
    <row r="3138">
      <c r="A3138" s="23"/>
      <c r="B3138" s="21"/>
      <c r="C3138" s="23"/>
      <c r="D3138" s="24"/>
      <c r="E3138" s="14"/>
      <c r="F3138" s="14"/>
      <c r="G3138" s="14"/>
      <c r="H3138" s="23"/>
      <c r="I3138" s="27"/>
      <c r="J3138" s="23"/>
      <c r="K3138" s="30"/>
      <c r="L3138" s="23"/>
      <c r="M3138" s="20"/>
      <c r="N3138" s="20"/>
      <c r="O3138" s="20"/>
      <c r="P3138" s="20"/>
    </row>
    <row r="3139">
      <c r="A3139" s="10"/>
      <c r="B3139" s="11"/>
      <c r="C3139" s="10"/>
      <c r="D3139" s="13"/>
      <c r="E3139" s="14"/>
      <c r="F3139" s="14"/>
      <c r="G3139" s="14"/>
      <c r="H3139" s="10"/>
      <c r="I3139" s="17"/>
      <c r="J3139" s="10"/>
      <c r="K3139" s="46"/>
      <c r="L3139" s="10"/>
      <c r="M3139" s="20"/>
      <c r="N3139" s="20"/>
      <c r="O3139" s="20"/>
      <c r="P3139" s="20"/>
    </row>
    <row r="3140">
      <c r="A3140" s="23"/>
      <c r="B3140" s="21"/>
      <c r="C3140" s="23"/>
      <c r="D3140" s="24"/>
      <c r="E3140" s="14"/>
      <c r="F3140" s="14"/>
      <c r="G3140" s="14"/>
      <c r="H3140" s="23"/>
      <c r="I3140" s="27"/>
      <c r="J3140" s="23"/>
      <c r="K3140" s="30"/>
      <c r="L3140" s="23"/>
      <c r="M3140" s="20"/>
      <c r="N3140" s="20"/>
      <c r="O3140" s="20"/>
      <c r="P3140" s="20"/>
    </row>
    <row r="3141">
      <c r="A3141" s="10"/>
      <c r="B3141" s="11"/>
      <c r="C3141" s="10"/>
      <c r="D3141" s="13"/>
      <c r="E3141" s="14"/>
      <c r="F3141" s="14"/>
      <c r="G3141" s="14"/>
      <c r="H3141" s="10"/>
      <c r="I3141" s="17"/>
      <c r="J3141" s="10"/>
      <c r="K3141" s="46"/>
      <c r="L3141" s="10"/>
      <c r="M3141" s="20"/>
      <c r="N3141" s="20"/>
      <c r="O3141" s="20"/>
      <c r="P3141" s="20"/>
    </row>
    <row r="3142">
      <c r="A3142" s="23"/>
      <c r="B3142" s="21"/>
      <c r="C3142" s="23"/>
      <c r="D3142" s="24"/>
      <c r="E3142" s="14"/>
      <c r="F3142" s="14"/>
      <c r="G3142" s="14"/>
      <c r="H3142" s="23"/>
      <c r="I3142" s="27"/>
      <c r="J3142" s="23"/>
      <c r="K3142" s="30"/>
      <c r="L3142" s="23"/>
      <c r="M3142" s="20"/>
      <c r="N3142" s="20"/>
      <c r="O3142" s="20"/>
      <c r="P3142" s="20"/>
    </row>
    <row r="3143">
      <c r="A3143" s="10"/>
      <c r="B3143" s="11"/>
      <c r="C3143" s="10"/>
      <c r="D3143" s="13"/>
      <c r="E3143" s="14"/>
      <c r="F3143" s="14"/>
      <c r="G3143" s="14"/>
      <c r="H3143" s="10"/>
      <c r="I3143" s="17"/>
      <c r="J3143" s="10"/>
      <c r="K3143" s="46"/>
      <c r="L3143" s="10"/>
      <c r="M3143" s="20"/>
      <c r="N3143" s="20"/>
      <c r="O3143" s="20"/>
      <c r="P3143" s="20"/>
    </row>
    <row r="3144">
      <c r="A3144" s="23"/>
      <c r="B3144" s="21"/>
      <c r="C3144" s="23"/>
      <c r="D3144" s="24"/>
      <c r="E3144" s="14"/>
      <c r="F3144" s="14"/>
      <c r="G3144" s="14"/>
      <c r="H3144" s="23"/>
      <c r="I3144" s="27"/>
      <c r="J3144" s="23"/>
      <c r="K3144" s="30"/>
      <c r="L3144" s="23"/>
      <c r="M3144" s="20"/>
      <c r="N3144" s="20"/>
      <c r="O3144" s="20"/>
      <c r="P3144" s="20"/>
    </row>
    <row r="3145">
      <c r="A3145" s="10"/>
      <c r="B3145" s="11"/>
      <c r="C3145" s="10"/>
      <c r="D3145" s="13"/>
      <c r="E3145" s="14"/>
      <c r="F3145" s="14"/>
      <c r="G3145" s="14"/>
      <c r="H3145" s="10"/>
      <c r="I3145" s="17"/>
      <c r="J3145" s="10"/>
      <c r="K3145" s="46"/>
      <c r="L3145" s="10"/>
      <c r="M3145" s="20"/>
      <c r="N3145" s="20"/>
      <c r="O3145" s="20"/>
      <c r="P3145" s="20"/>
    </row>
    <row r="3146">
      <c r="A3146" s="23"/>
      <c r="B3146" s="21"/>
      <c r="C3146" s="23"/>
      <c r="D3146" s="24"/>
      <c r="E3146" s="14"/>
      <c r="F3146" s="14"/>
      <c r="G3146" s="14"/>
      <c r="H3146" s="23"/>
      <c r="I3146" s="27"/>
      <c r="J3146" s="23"/>
      <c r="K3146" s="30"/>
      <c r="L3146" s="23"/>
      <c r="M3146" s="20"/>
      <c r="N3146" s="20"/>
      <c r="O3146" s="20"/>
      <c r="P3146" s="20"/>
    </row>
    <row r="3147">
      <c r="A3147" s="10"/>
      <c r="B3147" s="11"/>
      <c r="C3147" s="10"/>
      <c r="D3147" s="13"/>
      <c r="E3147" s="14"/>
      <c r="F3147" s="14"/>
      <c r="G3147" s="14"/>
      <c r="H3147" s="10"/>
      <c r="I3147" s="17"/>
      <c r="J3147" s="10"/>
      <c r="K3147" s="46"/>
      <c r="L3147" s="10"/>
      <c r="M3147" s="20"/>
      <c r="N3147" s="20"/>
      <c r="O3147" s="20"/>
      <c r="P3147" s="20"/>
    </row>
    <row r="3148">
      <c r="A3148" s="23"/>
      <c r="B3148" s="21"/>
      <c r="C3148" s="23"/>
      <c r="D3148" s="24"/>
      <c r="E3148" s="14"/>
      <c r="F3148" s="14"/>
      <c r="G3148" s="14"/>
      <c r="H3148" s="23"/>
      <c r="I3148" s="27"/>
      <c r="J3148" s="23"/>
      <c r="K3148" s="30"/>
      <c r="L3148" s="23"/>
      <c r="M3148" s="20"/>
      <c r="N3148" s="20"/>
      <c r="O3148" s="20"/>
      <c r="P3148" s="20"/>
    </row>
    <row r="3149">
      <c r="A3149" s="10"/>
      <c r="B3149" s="11"/>
      <c r="C3149" s="10"/>
      <c r="D3149" s="13"/>
      <c r="E3149" s="14"/>
      <c r="F3149" s="14"/>
      <c r="G3149" s="14"/>
      <c r="H3149" s="10"/>
      <c r="I3149" s="17"/>
      <c r="J3149" s="10"/>
      <c r="K3149" s="46"/>
      <c r="L3149" s="10"/>
      <c r="M3149" s="20"/>
      <c r="N3149" s="20"/>
      <c r="O3149" s="20"/>
      <c r="P3149" s="20"/>
    </row>
    <row r="3150">
      <c r="A3150" s="23"/>
      <c r="B3150" s="21"/>
      <c r="C3150" s="23"/>
      <c r="D3150" s="24"/>
      <c r="E3150" s="14"/>
      <c r="F3150" s="14"/>
      <c r="G3150" s="14"/>
      <c r="H3150" s="23"/>
      <c r="I3150" s="27"/>
      <c r="J3150" s="23"/>
      <c r="K3150" s="30"/>
      <c r="L3150" s="23"/>
      <c r="M3150" s="20"/>
      <c r="N3150" s="20"/>
      <c r="O3150" s="20"/>
      <c r="P3150" s="20"/>
    </row>
    <row r="3151">
      <c r="A3151" s="10"/>
      <c r="B3151" s="11"/>
      <c r="C3151" s="10"/>
      <c r="D3151" s="13"/>
      <c r="E3151" s="14"/>
      <c r="F3151" s="14"/>
      <c r="G3151" s="14"/>
      <c r="H3151" s="10"/>
      <c r="I3151" s="17"/>
      <c r="J3151" s="10"/>
      <c r="K3151" s="46"/>
      <c r="L3151" s="10"/>
      <c r="M3151" s="20"/>
      <c r="N3151" s="20"/>
      <c r="O3151" s="20"/>
      <c r="P3151" s="20"/>
    </row>
    <row r="3152">
      <c r="A3152" s="23"/>
      <c r="B3152" s="21"/>
      <c r="C3152" s="23"/>
      <c r="D3152" s="24"/>
      <c r="E3152" s="14"/>
      <c r="F3152" s="14"/>
      <c r="G3152" s="14"/>
      <c r="H3152" s="23"/>
      <c r="I3152" s="27"/>
      <c r="J3152" s="23"/>
      <c r="K3152" s="30"/>
      <c r="L3152" s="23"/>
      <c r="M3152" s="20"/>
      <c r="N3152" s="20"/>
      <c r="O3152" s="20"/>
      <c r="P3152" s="20"/>
    </row>
    <row r="3153">
      <c r="A3153" s="10"/>
      <c r="B3153" s="11"/>
      <c r="C3153" s="10"/>
      <c r="D3153" s="13"/>
      <c r="E3153" s="14"/>
      <c r="F3153" s="14"/>
      <c r="G3153" s="14"/>
      <c r="H3153" s="10"/>
      <c r="I3153" s="17"/>
      <c r="J3153" s="10"/>
      <c r="K3153" s="46"/>
      <c r="L3153" s="10"/>
      <c r="M3153" s="20"/>
      <c r="N3153" s="20"/>
      <c r="O3153" s="20"/>
      <c r="P3153" s="20"/>
    </row>
    <row r="3154">
      <c r="A3154" s="23"/>
      <c r="B3154" s="21"/>
      <c r="C3154" s="23"/>
      <c r="D3154" s="24"/>
      <c r="E3154" s="14"/>
      <c r="F3154" s="14"/>
      <c r="G3154" s="14"/>
      <c r="H3154" s="23"/>
      <c r="I3154" s="27"/>
      <c r="J3154" s="23"/>
      <c r="K3154" s="30"/>
      <c r="L3154" s="23"/>
      <c r="M3154" s="20"/>
      <c r="N3154" s="20"/>
      <c r="O3154" s="20"/>
      <c r="P3154" s="20"/>
    </row>
    <row r="3155">
      <c r="A3155" s="10"/>
      <c r="B3155" s="11"/>
      <c r="C3155" s="10"/>
      <c r="D3155" s="13"/>
      <c r="E3155" s="14"/>
      <c r="F3155" s="14"/>
      <c r="G3155" s="14"/>
      <c r="H3155" s="10"/>
      <c r="I3155" s="17"/>
      <c r="J3155" s="10"/>
      <c r="K3155" s="46"/>
      <c r="L3155" s="10"/>
      <c r="M3155" s="20"/>
      <c r="N3155" s="20"/>
      <c r="O3155" s="20"/>
      <c r="P3155" s="20"/>
    </row>
    <row r="3156">
      <c r="A3156" s="23"/>
      <c r="B3156" s="21"/>
      <c r="C3156" s="23"/>
      <c r="D3156" s="24"/>
      <c r="E3156" s="14"/>
      <c r="F3156" s="14"/>
      <c r="G3156" s="14"/>
      <c r="H3156" s="23"/>
      <c r="I3156" s="27"/>
      <c r="J3156" s="23"/>
      <c r="K3156" s="30"/>
      <c r="L3156" s="23"/>
      <c r="M3156" s="20"/>
      <c r="N3156" s="20"/>
      <c r="O3156" s="20"/>
      <c r="P3156" s="20"/>
    </row>
    <row r="3157">
      <c r="A3157" s="10"/>
      <c r="B3157" s="11"/>
      <c r="C3157" s="10"/>
      <c r="D3157" s="13"/>
      <c r="E3157" s="14"/>
      <c r="F3157" s="14"/>
      <c r="G3157" s="14"/>
      <c r="H3157" s="10"/>
      <c r="I3157" s="17"/>
      <c r="J3157" s="10"/>
      <c r="K3157" s="46"/>
      <c r="L3157" s="10"/>
      <c r="M3157" s="20"/>
      <c r="N3157" s="20"/>
      <c r="O3157" s="20"/>
      <c r="P3157" s="20"/>
    </row>
    <row r="3158">
      <c r="A3158" s="23"/>
      <c r="B3158" s="21"/>
      <c r="C3158" s="23"/>
      <c r="D3158" s="24"/>
      <c r="E3158" s="14"/>
      <c r="F3158" s="14"/>
      <c r="G3158" s="14"/>
      <c r="H3158" s="23"/>
      <c r="I3158" s="27"/>
      <c r="J3158" s="23"/>
      <c r="K3158" s="30"/>
      <c r="L3158" s="23"/>
      <c r="M3158" s="20"/>
      <c r="N3158" s="20"/>
      <c r="O3158" s="20"/>
      <c r="P3158" s="20"/>
    </row>
    <row r="3159">
      <c r="A3159" s="10"/>
      <c r="B3159" s="11"/>
      <c r="C3159" s="10"/>
      <c r="D3159" s="13"/>
      <c r="E3159" s="14"/>
      <c r="F3159" s="14"/>
      <c r="G3159" s="14"/>
      <c r="H3159" s="10"/>
      <c r="I3159" s="17"/>
      <c r="J3159" s="10"/>
      <c r="K3159" s="46"/>
      <c r="L3159" s="10"/>
      <c r="M3159" s="20"/>
      <c r="N3159" s="20"/>
      <c r="O3159" s="20"/>
      <c r="P3159" s="20"/>
    </row>
    <row r="3160">
      <c r="A3160" s="23"/>
      <c r="B3160" s="21"/>
      <c r="C3160" s="23"/>
      <c r="D3160" s="24"/>
      <c r="E3160" s="14"/>
      <c r="F3160" s="14"/>
      <c r="G3160" s="14"/>
      <c r="H3160" s="23"/>
      <c r="I3160" s="27"/>
      <c r="J3160" s="23"/>
      <c r="K3160" s="30"/>
      <c r="L3160" s="23"/>
      <c r="M3160" s="20"/>
      <c r="N3160" s="20"/>
      <c r="O3160" s="20"/>
      <c r="P3160" s="20"/>
    </row>
    <row r="3161">
      <c r="A3161" s="10"/>
      <c r="B3161" s="11"/>
      <c r="C3161" s="10"/>
      <c r="D3161" s="13"/>
      <c r="E3161" s="14"/>
      <c r="F3161" s="14"/>
      <c r="G3161" s="14"/>
      <c r="H3161" s="10"/>
      <c r="I3161" s="17"/>
      <c r="J3161" s="10"/>
      <c r="K3161" s="46"/>
      <c r="L3161" s="10"/>
      <c r="M3161" s="20"/>
      <c r="N3161" s="20"/>
      <c r="O3161" s="20"/>
      <c r="P3161" s="20"/>
    </row>
    <row r="3162">
      <c r="A3162" s="23"/>
      <c r="B3162" s="21"/>
      <c r="C3162" s="23"/>
      <c r="D3162" s="24"/>
      <c r="E3162" s="14"/>
      <c r="F3162" s="14"/>
      <c r="G3162" s="14"/>
      <c r="H3162" s="23"/>
      <c r="I3162" s="27"/>
      <c r="J3162" s="23"/>
      <c r="K3162" s="30"/>
      <c r="L3162" s="23"/>
      <c r="M3162" s="20"/>
      <c r="N3162" s="20"/>
      <c r="O3162" s="20"/>
      <c r="P3162" s="20"/>
    </row>
    <row r="3163">
      <c r="A3163" s="10"/>
      <c r="B3163" s="11"/>
      <c r="C3163" s="10"/>
      <c r="D3163" s="13"/>
      <c r="E3163" s="14"/>
      <c r="F3163" s="14"/>
      <c r="G3163" s="14"/>
      <c r="H3163" s="10"/>
      <c r="I3163" s="17"/>
      <c r="J3163" s="10"/>
      <c r="K3163" s="46"/>
      <c r="L3163" s="10"/>
      <c r="M3163" s="20"/>
      <c r="N3163" s="20"/>
      <c r="O3163" s="20"/>
      <c r="P3163" s="20"/>
    </row>
    <row r="3164">
      <c r="A3164" s="23"/>
      <c r="B3164" s="21"/>
      <c r="C3164" s="23"/>
      <c r="D3164" s="24"/>
      <c r="E3164" s="14"/>
      <c r="F3164" s="14"/>
      <c r="G3164" s="14"/>
      <c r="H3164" s="23"/>
      <c r="I3164" s="27"/>
      <c r="J3164" s="23"/>
      <c r="K3164" s="30"/>
      <c r="L3164" s="23"/>
      <c r="M3164" s="20"/>
      <c r="N3164" s="20"/>
      <c r="O3164" s="20"/>
      <c r="P3164" s="20"/>
    </row>
    <row r="3165">
      <c r="A3165" s="10"/>
      <c r="B3165" s="11"/>
      <c r="C3165" s="10"/>
      <c r="D3165" s="13"/>
      <c r="E3165" s="14"/>
      <c r="F3165" s="14"/>
      <c r="G3165" s="14"/>
      <c r="H3165" s="10"/>
      <c r="I3165" s="17"/>
      <c r="J3165" s="10"/>
      <c r="K3165" s="46"/>
      <c r="L3165" s="10"/>
      <c r="M3165" s="20"/>
      <c r="N3165" s="20"/>
      <c r="O3165" s="20"/>
      <c r="P3165" s="20"/>
    </row>
    <row r="3166">
      <c r="A3166" s="23"/>
      <c r="B3166" s="21"/>
      <c r="C3166" s="23"/>
      <c r="D3166" s="24"/>
      <c r="E3166" s="14"/>
      <c r="F3166" s="14"/>
      <c r="G3166" s="14"/>
      <c r="H3166" s="23"/>
      <c r="I3166" s="27"/>
      <c r="J3166" s="23"/>
      <c r="K3166" s="30"/>
      <c r="L3166" s="23"/>
      <c r="M3166" s="20"/>
      <c r="N3166" s="20"/>
      <c r="O3166" s="20"/>
      <c r="P3166" s="20"/>
    </row>
    <row r="3167">
      <c r="A3167" s="10"/>
      <c r="B3167" s="11"/>
      <c r="C3167" s="10"/>
      <c r="D3167" s="13"/>
      <c r="E3167" s="14"/>
      <c r="F3167" s="14"/>
      <c r="G3167" s="14"/>
      <c r="H3167" s="10"/>
      <c r="I3167" s="17"/>
      <c r="J3167" s="10"/>
      <c r="K3167" s="46"/>
      <c r="L3167" s="10"/>
      <c r="M3167" s="20"/>
      <c r="N3167" s="20"/>
      <c r="O3167" s="20"/>
      <c r="P3167" s="20"/>
    </row>
    <row r="3168">
      <c r="A3168" s="23"/>
      <c r="B3168" s="21"/>
      <c r="C3168" s="23"/>
      <c r="D3168" s="24"/>
      <c r="E3168" s="14"/>
      <c r="F3168" s="14"/>
      <c r="G3168" s="14"/>
      <c r="H3168" s="23"/>
      <c r="I3168" s="27"/>
      <c r="J3168" s="23"/>
      <c r="K3168" s="30"/>
      <c r="L3168" s="23"/>
      <c r="M3168" s="20"/>
      <c r="N3168" s="20"/>
      <c r="O3168" s="20"/>
      <c r="P3168" s="20"/>
    </row>
    <row r="3169">
      <c r="A3169" s="10"/>
      <c r="B3169" s="11"/>
      <c r="C3169" s="10"/>
      <c r="D3169" s="13"/>
      <c r="E3169" s="14"/>
      <c r="F3169" s="14"/>
      <c r="G3169" s="14"/>
      <c r="H3169" s="10"/>
      <c r="I3169" s="17"/>
      <c r="J3169" s="10"/>
      <c r="K3169" s="46"/>
      <c r="L3169" s="10"/>
      <c r="M3169" s="20"/>
      <c r="N3169" s="20"/>
      <c r="O3169" s="20"/>
      <c r="P3169" s="20"/>
    </row>
    <row r="3170">
      <c r="A3170" s="23"/>
      <c r="B3170" s="21"/>
      <c r="C3170" s="23"/>
      <c r="D3170" s="24"/>
      <c r="E3170" s="14"/>
      <c r="F3170" s="14"/>
      <c r="G3170" s="14"/>
      <c r="H3170" s="23"/>
      <c r="I3170" s="27"/>
      <c r="J3170" s="23"/>
      <c r="K3170" s="30"/>
      <c r="L3170" s="23"/>
      <c r="M3170" s="20"/>
      <c r="N3170" s="20"/>
      <c r="O3170" s="20"/>
      <c r="P3170" s="20"/>
    </row>
    <row r="3171">
      <c r="A3171" s="10"/>
      <c r="B3171" s="11"/>
      <c r="C3171" s="10"/>
      <c r="D3171" s="13"/>
      <c r="E3171" s="14"/>
      <c r="F3171" s="14"/>
      <c r="G3171" s="14"/>
      <c r="H3171" s="10"/>
      <c r="I3171" s="17"/>
      <c r="J3171" s="10"/>
      <c r="K3171" s="46"/>
      <c r="L3171" s="10"/>
      <c r="M3171" s="20"/>
      <c r="N3171" s="20"/>
      <c r="O3171" s="20"/>
      <c r="P3171" s="20"/>
    </row>
    <row r="3172">
      <c r="A3172" s="23"/>
      <c r="B3172" s="21"/>
      <c r="C3172" s="23"/>
      <c r="D3172" s="24"/>
      <c r="E3172" s="14"/>
      <c r="F3172" s="14"/>
      <c r="G3172" s="14"/>
      <c r="H3172" s="23"/>
      <c r="I3172" s="27"/>
      <c r="J3172" s="23"/>
      <c r="K3172" s="30"/>
      <c r="L3172" s="23"/>
      <c r="M3172" s="20"/>
      <c r="N3172" s="20"/>
      <c r="O3172" s="20"/>
      <c r="P3172" s="20"/>
    </row>
    <row r="3173">
      <c r="A3173" s="10"/>
      <c r="B3173" s="11"/>
      <c r="C3173" s="10"/>
      <c r="D3173" s="13"/>
      <c r="E3173" s="14"/>
      <c r="F3173" s="14"/>
      <c r="G3173" s="14"/>
      <c r="H3173" s="10"/>
      <c r="I3173" s="17"/>
      <c r="J3173" s="10"/>
      <c r="K3173" s="46"/>
      <c r="L3173" s="10"/>
      <c r="M3173" s="20"/>
      <c r="N3173" s="20"/>
      <c r="O3173" s="20"/>
      <c r="P3173" s="20"/>
    </row>
    <row r="3174">
      <c r="A3174" s="23"/>
      <c r="B3174" s="21"/>
      <c r="C3174" s="23"/>
      <c r="D3174" s="24"/>
      <c r="E3174" s="14"/>
      <c r="F3174" s="14"/>
      <c r="G3174" s="14"/>
      <c r="H3174" s="23"/>
      <c r="I3174" s="27"/>
      <c r="J3174" s="23"/>
      <c r="K3174" s="30"/>
      <c r="L3174" s="23"/>
      <c r="M3174" s="20"/>
      <c r="N3174" s="20"/>
      <c r="O3174" s="20"/>
      <c r="P3174" s="20"/>
    </row>
    <row r="3175">
      <c r="A3175" s="10"/>
      <c r="B3175" s="11"/>
      <c r="C3175" s="10"/>
      <c r="D3175" s="13"/>
      <c r="E3175" s="14"/>
      <c r="F3175" s="14"/>
      <c r="G3175" s="14"/>
      <c r="H3175" s="10"/>
      <c r="I3175" s="17"/>
      <c r="J3175" s="10"/>
      <c r="K3175" s="46"/>
      <c r="L3175" s="10"/>
      <c r="M3175" s="20"/>
      <c r="N3175" s="20"/>
      <c r="O3175" s="20"/>
      <c r="P3175" s="20"/>
    </row>
    <row r="3176">
      <c r="A3176" s="23"/>
      <c r="B3176" s="21"/>
      <c r="C3176" s="23"/>
      <c r="D3176" s="24"/>
      <c r="E3176" s="14"/>
      <c r="F3176" s="14"/>
      <c r="G3176" s="14"/>
      <c r="H3176" s="23"/>
      <c r="I3176" s="27"/>
      <c r="J3176" s="23"/>
      <c r="K3176" s="30"/>
      <c r="L3176" s="23"/>
      <c r="M3176" s="20"/>
      <c r="N3176" s="20"/>
      <c r="O3176" s="20"/>
      <c r="P3176" s="20"/>
    </row>
    <row r="3177">
      <c r="A3177" s="10"/>
      <c r="B3177" s="11"/>
      <c r="C3177" s="10"/>
      <c r="D3177" s="13"/>
      <c r="E3177" s="14"/>
      <c r="F3177" s="14"/>
      <c r="G3177" s="14"/>
      <c r="H3177" s="10"/>
      <c r="I3177" s="17"/>
      <c r="J3177" s="10"/>
      <c r="K3177" s="46"/>
      <c r="L3177" s="10"/>
      <c r="M3177" s="20"/>
      <c r="N3177" s="20"/>
      <c r="O3177" s="20"/>
      <c r="P3177" s="20"/>
    </row>
    <row r="3178">
      <c r="A3178" s="23"/>
      <c r="B3178" s="21"/>
      <c r="C3178" s="23"/>
      <c r="D3178" s="24"/>
      <c r="E3178" s="14"/>
      <c r="F3178" s="14"/>
      <c r="G3178" s="14"/>
      <c r="H3178" s="23"/>
      <c r="I3178" s="27"/>
      <c r="J3178" s="23"/>
      <c r="K3178" s="30"/>
      <c r="L3178" s="23"/>
      <c r="M3178" s="20"/>
      <c r="N3178" s="20"/>
      <c r="O3178" s="20"/>
      <c r="P3178" s="20"/>
    </row>
    <row r="3179">
      <c r="A3179" s="10"/>
      <c r="B3179" s="11"/>
      <c r="C3179" s="10"/>
      <c r="D3179" s="13"/>
      <c r="E3179" s="14"/>
      <c r="F3179" s="14"/>
      <c r="G3179" s="14"/>
      <c r="H3179" s="10"/>
      <c r="I3179" s="17"/>
      <c r="J3179" s="10"/>
      <c r="K3179" s="46"/>
      <c r="L3179" s="10"/>
      <c r="M3179" s="20"/>
      <c r="N3179" s="20"/>
      <c r="O3179" s="20"/>
      <c r="P3179" s="20"/>
    </row>
    <row r="3180">
      <c r="A3180" s="23"/>
      <c r="B3180" s="21"/>
      <c r="C3180" s="23"/>
      <c r="D3180" s="24"/>
      <c r="E3180" s="14"/>
      <c r="F3180" s="14"/>
      <c r="G3180" s="14"/>
      <c r="H3180" s="23"/>
      <c r="I3180" s="27"/>
      <c r="J3180" s="23"/>
      <c r="K3180" s="30"/>
      <c r="L3180" s="23"/>
      <c r="M3180" s="20"/>
      <c r="N3180" s="20"/>
      <c r="O3180" s="20"/>
      <c r="P3180" s="20"/>
    </row>
    <row r="3181">
      <c r="A3181" s="10"/>
      <c r="B3181" s="11"/>
      <c r="C3181" s="10"/>
      <c r="D3181" s="13"/>
      <c r="E3181" s="14"/>
      <c r="F3181" s="14"/>
      <c r="G3181" s="14"/>
      <c r="H3181" s="10"/>
      <c r="I3181" s="17"/>
      <c r="J3181" s="10"/>
      <c r="K3181" s="46"/>
      <c r="L3181" s="10"/>
      <c r="M3181" s="20"/>
      <c r="N3181" s="20"/>
      <c r="O3181" s="20"/>
      <c r="P3181" s="20"/>
    </row>
    <row r="3182">
      <c r="A3182" s="23"/>
      <c r="B3182" s="21"/>
      <c r="C3182" s="23"/>
      <c r="D3182" s="24"/>
      <c r="E3182" s="14"/>
      <c r="F3182" s="14"/>
      <c r="G3182" s="14"/>
      <c r="H3182" s="23"/>
      <c r="I3182" s="27"/>
      <c r="J3182" s="23"/>
      <c r="K3182" s="30"/>
      <c r="L3182" s="23"/>
      <c r="M3182" s="20"/>
      <c r="N3182" s="20"/>
      <c r="O3182" s="20"/>
      <c r="P3182" s="20"/>
    </row>
    <row r="3183">
      <c r="A3183" s="10"/>
      <c r="B3183" s="11"/>
      <c r="C3183" s="10"/>
      <c r="D3183" s="13"/>
      <c r="E3183" s="14"/>
      <c r="F3183" s="14"/>
      <c r="G3183" s="14"/>
      <c r="H3183" s="10"/>
      <c r="I3183" s="17"/>
      <c r="J3183" s="10"/>
      <c r="K3183" s="46"/>
      <c r="L3183" s="10"/>
      <c r="M3183" s="20"/>
      <c r="N3183" s="20"/>
      <c r="O3183" s="20"/>
      <c r="P3183" s="20"/>
    </row>
    <row r="3184">
      <c r="A3184" s="23"/>
      <c r="B3184" s="21"/>
      <c r="C3184" s="23"/>
      <c r="D3184" s="24"/>
      <c r="E3184" s="14"/>
      <c r="F3184" s="14"/>
      <c r="G3184" s="14"/>
      <c r="H3184" s="23"/>
      <c r="I3184" s="27"/>
      <c r="J3184" s="23"/>
      <c r="K3184" s="30"/>
      <c r="L3184" s="23"/>
      <c r="M3184" s="20"/>
      <c r="N3184" s="20"/>
      <c r="O3184" s="20"/>
      <c r="P3184" s="20"/>
    </row>
    <row r="3185">
      <c r="A3185" s="10"/>
      <c r="B3185" s="11"/>
      <c r="C3185" s="10"/>
      <c r="D3185" s="13"/>
      <c r="E3185" s="14"/>
      <c r="F3185" s="14"/>
      <c r="G3185" s="14"/>
      <c r="H3185" s="10"/>
      <c r="I3185" s="17"/>
      <c r="J3185" s="10"/>
      <c r="K3185" s="46"/>
      <c r="L3185" s="10"/>
      <c r="M3185" s="20"/>
      <c r="N3185" s="20"/>
      <c r="O3185" s="20"/>
      <c r="P3185" s="20"/>
    </row>
    <row r="3186">
      <c r="A3186" s="23"/>
      <c r="B3186" s="21"/>
      <c r="C3186" s="23"/>
      <c r="D3186" s="24"/>
      <c r="E3186" s="14"/>
      <c r="F3186" s="14"/>
      <c r="G3186" s="14"/>
      <c r="H3186" s="23"/>
      <c r="I3186" s="27"/>
      <c r="J3186" s="23"/>
      <c r="K3186" s="30"/>
      <c r="L3186" s="23"/>
      <c r="M3186" s="20"/>
      <c r="N3186" s="20"/>
      <c r="O3186" s="20"/>
      <c r="P3186" s="20"/>
    </row>
    <row r="3187">
      <c r="A3187" s="10"/>
      <c r="B3187" s="11"/>
      <c r="C3187" s="10"/>
      <c r="D3187" s="13"/>
      <c r="E3187" s="14"/>
      <c r="F3187" s="14"/>
      <c r="G3187" s="14"/>
      <c r="H3187" s="10"/>
      <c r="I3187" s="17"/>
      <c r="J3187" s="10"/>
      <c r="K3187" s="46"/>
      <c r="L3187" s="10"/>
      <c r="M3187" s="20"/>
      <c r="N3187" s="20"/>
      <c r="O3187" s="20"/>
      <c r="P3187" s="20"/>
    </row>
    <row r="3188">
      <c r="A3188" s="23"/>
      <c r="B3188" s="21"/>
      <c r="C3188" s="23"/>
      <c r="D3188" s="24"/>
      <c r="E3188" s="14"/>
      <c r="F3188" s="14"/>
      <c r="G3188" s="14"/>
      <c r="H3188" s="23"/>
      <c r="I3188" s="27"/>
      <c r="J3188" s="23"/>
      <c r="K3188" s="30"/>
      <c r="L3188" s="23"/>
      <c r="M3188" s="20"/>
      <c r="N3188" s="20"/>
      <c r="O3188" s="20"/>
      <c r="P3188" s="20"/>
    </row>
    <row r="3189">
      <c r="A3189" s="10"/>
      <c r="B3189" s="11"/>
      <c r="C3189" s="10"/>
      <c r="D3189" s="13"/>
      <c r="E3189" s="14"/>
      <c r="F3189" s="14"/>
      <c r="G3189" s="14"/>
      <c r="H3189" s="10"/>
      <c r="I3189" s="17"/>
      <c r="J3189" s="10"/>
      <c r="K3189" s="46"/>
      <c r="L3189" s="10"/>
      <c r="M3189" s="20"/>
      <c r="N3189" s="20"/>
      <c r="O3189" s="20"/>
      <c r="P3189" s="20"/>
    </row>
    <row r="3190">
      <c r="A3190" s="23"/>
      <c r="B3190" s="21"/>
      <c r="C3190" s="23"/>
      <c r="D3190" s="24"/>
      <c r="E3190" s="14"/>
      <c r="F3190" s="14"/>
      <c r="G3190" s="14"/>
      <c r="H3190" s="23"/>
      <c r="I3190" s="27"/>
      <c r="J3190" s="23"/>
      <c r="K3190" s="30"/>
      <c r="L3190" s="23"/>
      <c r="M3190" s="20"/>
      <c r="N3190" s="20"/>
      <c r="O3190" s="20"/>
      <c r="P3190" s="20"/>
    </row>
    <row r="3191">
      <c r="A3191" s="10"/>
      <c r="B3191" s="11"/>
      <c r="C3191" s="10"/>
      <c r="D3191" s="13"/>
      <c r="E3191" s="14"/>
      <c r="F3191" s="14"/>
      <c r="G3191" s="14"/>
      <c r="H3191" s="10"/>
      <c r="I3191" s="17"/>
      <c r="J3191" s="10"/>
      <c r="K3191" s="46"/>
      <c r="L3191" s="10"/>
      <c r="M3191" s="20"/>
      <c r="N3191" s="20"/>
      <c r="O3191" s="20"/>
      <c r="P3191" s="20"/>
    </row>
    <row r="3192">
      <c r="A3192" s="23"/>
      <c r="B3192" s="21"/>
      <c r="C3192" s="23"/>
      <c r="D3192" s="24"/>
      <c r="E3192" s="14"/>
      <c r="F3192" s="14"/>
      <c r="G3192" s="14"/>
      <c r="H3192" s="23"/>
      <c r="I3192" s="27"/>
      <c r="J3192" s="23"/>
      <c r="K3192" s="30"/>
      <c r="L3192" s="23"/>
      <c r="M3192" s="20"/>
      <c r="N3192" s="20"/>
      <c r="O3192" s="20"/>
      <c r="P3192" s="20"/>
    </row>
    <row r="3193">
      <c r="A3193" s="10"/>
      <c r="B3193" s="11"/>
      <c r="C3193" s="10"/>
      <c r="D3193" s="13"/>
      <c r="E3193" s="14"/>
      <c r="F3193" s="14"/>
      <c r="G3193" s="14"/>
      <c r="H3193" s="10"/>
      <c r="I3193" s="17"/>
      <c r="J3193" s="10"/>
      <c r="K3193" s="46"/>
      <c r="L3193" s="10"/>
      <c r="M3193" s="20"/>
      <c r="N3193" s="20"/>
      <c r="O3193" s="20"/>
      <c r="P3193" s="20"/>
    </row>
    <row r="3194">
      <c r="A3194" s="23"/>
      <c r="B3194" s="21"/>
      <c r="C3194" s="23"/>
      <c r="D3194" s="24"/>
      <c r="E3194" s="14"/>
      <c r="F3194" s="14"/>
      <c r="G3194" s="14"/>
      <c r="H3194" s="23"/>
      <c r="I3194" s="27"/>
      <c r="J3194" s="23"/>
      <c r="K3194" s="30"/>
      <c r="L3194" s="23"/>
      <c r="M3194" s="20"/>
      <c r="N3194" s="20"/>
      <c r="O3194" s="20"/>
      <c r="P3194" s="20"/>
    </row>
    <row r="3195">
      <c r="A3195" s="10"/>
      <c r="B3195" s="11"/>
      <c r="C3195" s="10"/>
      <c r="D3195" s="13"/>
      <c r="E3195" s="14"/>
      <c r="F3195" s="14"/>
      <c r="G3195" s="14"/>
      <c r="H3195" s="10"/>
      <c r="I3195" s="17"/>
      <c r="J3195" s="10"/>
      <c r="K3195" s="46"/>
      <c r="L3195" s="10"/>
      <c r="M3195" s="20"/>
      <c r="N3195" s="20"/>
      <c r="O3195" s="20"/>
      <c r="P3195" s="20"/>
    </row>
    <row r="3196">
      <c r="A3196" s="23"/>
      <c r="B3196" s="21"/>
      <c r="C3196" s="23"/>
      <c r="D3196" s="24"/>
      <c r="E3196" s="14"/>
      <c r="F3196" s="14"/>
      <c r="G3196" s="14"/>
      <c r="H3196" s="23"/>
      <c r="I3196" s="27"/>
      <c r="J3196" s="23"/>
      <c r="K3196" s="30"/>
      <c r="L3196" s="23"/>
      <c r="M3196" s="20"/>
      <c r="N3196" s="20"/>
      <c r="O3196" s="20"/>
      <c r="P3196" s="20"/>
    </row>
    <row r="3197">
      <c r="A3197" s="10"/>
      <c r="B3197" s="11"/>
      <c r="C3197" s="10"/>
      <c r="D3197" s="13"/>
      <c r="E3197" s="14"/>
      <c r="F3197" s="14"/>
      <c r="G3197" s="14"/>
      <c r="H3197" s="10"/>
      <c r="I3197" s="17"/>
      <c r="J3197" s="10"/>
      <c r="K3197" s="46"/>
      <c r="L3197" s="10"/>
      <c r="M3197" s="20"/>
      <c r="N3197" s="20"/>
      <c r="O3197" s="20"/>
      <c r="P3197" s="20"/>
    </row>
    <row r="3198">
      <c r="A3198" s="23"/>
      <c r="B3198" s="21"/>
      <c r="C3198" s="23"/>
      <c r="D3198" s="24"/>
      <c r="E3198" s="14"/>
      <c r="F3198" s="14"/>
      <c r="G3198" s="14"/>
      <c r="H3198" s="23"/>
      <c r="I3198" s="27"/>
      <c r="J3198" s="23"/>
      <c r="K3198" s="30"/>
      <c r="L3198" s="23"/>
      <c r="M3198" s="20"/>
      <c r="N3198" s="20"/>
      <c r="O3198" s="20"/>
      <c r="P3198" s="20"/>
    </row>
    <row r="3199">
      <c r="A3199" s="10"/>
      <c r="B3199" s="11"/>
      <c r="C3199" s="10"/>
      <c r="D3199" s="13"/>
      <c r="E3199" s="14"/>
      <c r="F3199" s="14"/>
      <c r="G3199" s="14"/>
      <c r="H3199" s="10"/>
      <c r="I3199" s="17"/>
      <c r="J3199" s="10"/>
      <c r="K3199" s="46"/>
      <c r="L3199" s="10"/>
      <c r="M3199" s="20"/>
      <c r="N3199" s="20"/>
      <c r="O3199" s="20"/>
      <c r="P3199" s="20"/>
    </row>
    <row r="3200">
      <c r="A3200" s="23"/>
      <c r="B3200" s="21"/>
      <c r="C3200" s="23"/>
      <c r="D3200" s="24"/>
      <c r="E3200" s="14"/>
      <c r="F3200" s="14"/>
      <c r="G3200" s="14"/>
      <c r="H3200" s="23"/>
      <c r="I3200" s="27"/>
      <c r="J3200" s="23"/>
      <c r="K3200" s="30"/>
      <c r="L3200" s="23"/>
      <c r="M3200" s="20"/>
      <c r="N3200" s="20"/>
      <c r="O3200" s="20"/>
      <c r="P3200" s="20"/>
    </row>
    <row r="3201">
      <c r="A3201" s="10"/>
      <c r="B3201" s="11"/>
      <c r="C3201" s="10"/>
      <c r="D3201" s="13"/>
      <c r="E3201" s="14"/>
      <c r="F3201" s="14"/>
      <c r="G3201" s="14"/>
      <c r="H3201" s="10"/>
      <c r="I3201" s="17"/>
      <c r="J3201" s="10"/>
      <c r="K3201" s="46"/>
      <c r="L3201" s="10"/>
      <c r="M3201" s="20"/>
      <c r="N3201" s="20"/>
      <c r="O3201" s="20"/>
      <c r="P3201" s="20"/>
    </row>
    <row r="3202">
      <c r="A3202" s="23"/>
      <c r="B3202" s="21"/>
      <c r="C3202" s="23"/>
      <c r="D3202" s="24"/>
      <c r="E3202" s="14"/>
      <c r="F3202" s="14"/>
      <c r="G3202" s="14"/>
      <c r="H3202" s="23"/>
      <c r="I3202" s="27"/>
      <c r="J3202" s="23"/>
      <c r="K3202" s="30"/>
      <c r="L3202" s="23"/>
      <c r="M3202" s="20"/>
      <c r="N3202" s="20"/>
      <c r="O3202" s="20"/>
      <c r="P3202" s="20"/>
    </row>
    <row r="3203">
      <c r="A3203" s="10"/>
      <c r="B3203" s="11"/>
      <c r="C3203" s="10"/>
      <c r="D3203" s="13"/>
      <c r="E3203" s="14"/>
      <c r="F3203" s="14"/>
      <c r="G3203" s="14"/>
      <c r="H3203" s="10"/>
      <c r="I3203" s="17"/>
      <c r="J3203" s="10"/>
      <c r="K3203" s="46"/>
      <c r="L3203" s="10"/>
      <c r="M3203" s="20"/>
      <c r="N3203" s="20"/>
      <c r="O3203" s="20"/>
      <c r="P3203" s="20"/>
    </row>
    <row r="3204">
      <c r="A3204" s="23"/>
      <c r="B3204" s="21"/>
      <c r="C3204" s="23"/>
      <c r="D3204" s="24"/>
      <c r="E3204" s="14"/>
      <c r="F3204" s="14"/>
      <c r="G3204" s="14"/>
      <c r="H3204" s="23"/>
      <c r="I3204" s="27"/>
      <c r="J3204" s="23"/>
      <c r="K3204" s="30"/>
      <c r="L3204" s="23"/>
      <c r="M3204" s="20"/>
      <c r="N3204" s="20"/>
      <c r="O3204" s="20"/>
      <c r="P3204" s="20"/>
    </row>
    <row r="3205">
      <c r="A3205" s="10"/>
      <c r="B3205" s="11"/>
      <c r="C3205" s="10"/>
      <c r="D3205" s="13"/>
      <c r="E3205" s="14"/>
      <c r="F3205" s="14"/>
      <c r="G3205" s="14"/>
      <c r="H3205" s="10"/>
      <c r="I3205" s="17"/>
      <c r="J3205" s="10"/>
      <c r="K3205" s="46"/>
      <c r="L3205" s="10"/>
      <c r="M3205" s="20"/>
      <c r="N3205" s="20"/>
      <c r="O3205" s="20"/>
      <c r="P3205" s="20"/>
    </row>
    <row r="3206">
      <c r="A3206" s="23"/>
      <c r="B3206" s="21"/>
      <c r="C3206" s="23"/>
      <c r="D3206" s="24"/>
      <c r="E3206" s="14"/>
      <c r="F3206" s="14"/>
      <c r="G3206" s="14"/>
      <c r="H3206" s="23"/>
      <c r="I3206" s="27"/>
      <c r="J3206" s="23"/>
      <c r="K3206" s="30"/>
      <c r="L3206" s="23"/>
      <c r="M3206" s="20"/>
      <c r="N3206" s="20"/>
      <c r="O3206" s="20"/>
      <c r="P3206" s="20"/>
    </row>
    <row r="3207">
      <c r="A3207" s="10"/>
      <c r="B3207" s="11"/>
      <c r="C3207" s="10"/>
      <c r="D3207" s="13"/>
      <c r="E3207" s="14"/>
      <c r="F3207" s="14"/>
      <c r="G3207" s="14"/>
      <c r="H3207" s="10"/>
      <c r="I3207" s="17"/>
      <c r="J3207" s="10"/>
      <c r="K3207" s="46"/>
      <c r="L3207" s="10"/>
      <c r="M3207" s="20"/>
      <c r="N3207" s="20"/>
      <c r="O3207" s="20"/>
      <c r="P3207" s="20"/>
    </row>
    <row r="3208">
      <c r="A3208" s="23"/>
      <c r="B3208" s="21"/>
      <c r="C3208" s="23"/>
      <c r="D3208" s="24"/>
      <c r="E3208" s="14"/>
      <c r="F3208" s="14"/>
      <c r="G3208" s="14"/>
      <c r="H3208" s="23"/>
      <c r="I3208" s="27"/>
      <c r="J3208" s="23"/>
      <c r="K3208" s="30"/>
      <c r="L3208" s="23"/>
      <c r="M3208" s="20"/>
      <c r="N3208" s="20"/>
      <c r="O3208" s="20"/>
      <c r="P3208" s="20"/>
    </row>
    <row r="3209">
      <c r="A3209" s="10"/>
      <c r="B3209" s="11"/>
      <c r="C3209" s="10"/>
      <c r="D3209" s="13"/>
      <c r="E3209" s="14"/>
      <c r="F3209" s="14"/>
      <c r="G3209" s="14"/>
      <c r="H3209" s="10"/>
      <c r="I3209" s="17"/>
      <c r="J3209" s="10"/>
      <c r="K3209" s="46"/>
      <c r="L3209" s="10"/>
      <c r="M3209" s="20"/>
      <c r="N3209" s="20"/>
      <c r="O3209" s="20"/>
      <c r="P3209" s="20"/>
    </row>
    <row r="3210">
      <c r="A3210" s="23"/>
      <c r="B3210" s="21"/>
      <c r="C3210" s="23"/>
      <c r="D3210" s="24"/>
      <c r="E3210" s="14"/>
      <c r="F3210" s="14"/>
      <c r="G3210" s="14"/>
      <c r="H3210" s="23"/>
      <c r="I3210" s="27"/>
      <c r="J3210" s="23"/>
      <c r="K3210" s="30"/>
      <c r="L3210" s="23"/>
      <c r="M3210" s="20"/>
      <c r="N3210" s="20"/>
      <c r="O3210" s="20"/>
      <c r="P3210" s="20"/>
    </row>
    <row r="3211">
      <c r="A3211" s="10"/>
      <c r="B3211" s="11"/>
      <c r="C3211" s="10"/>
      <c r="D3211" s="13"/>
      <c r="E3211" s="14"/>
      <c r="F3211" s="14"/>
      <c r="G3211" s="14"/>
      <c r="H3211" s="10"/>
      <c r="I3211" s="17"/>
      <c r="J3211" s="10"/>
      <c r="K3211" s="46"/>
      <c r="L3211" s="10"/>
      <c r="M3211" s="20"/>
      <c r="N3211" s="20"/>
      <c r="O3211" s="20"/>
      <c r="P3211" s="20"/>
    </row>
    <row r="3212">
      <c r="A3212" s="23"/>
      <c r="B3212" s="21"/>
      <c r="C3212" s="23"/>
      <c r="D3212" s="24"/>
      <c r="E3212" s="14"/>
      <c r="F3212" s="14"/>
      <c r="G3212" s="14"/>
      <c r="H3212" s="23"/>
      <c r="I3212" s="27"/>
      <c r="J3212" s="23"/>
      <c r="K3212" s="30"/>
      <c r="L3212" s="23"/>
      <c r="M3212" s="20"/>
      <c r="N3212" s="20"/>
      <c r="O3212" s="20"/>
      <c r="P3212" s="20"/>
    </row>
    <row r="3213">
      <c r="A3213" s="10"/>
      <c r="B3213" s="11"/>
      <c r="C3213" s="10"/>
      <c r="D3213" s="13"/>
      <c r="E3213" s="14"/>
      <c r="F3213" s="14"/>
      <c r="G3213" s="14"/>
      <c r="H3213" s="10"/>
      <c r="I3213" s="17"/>
      <c r="J3213" s="10"/>
      <c r="K3213" s="46"/>
      <c r="L3213" s="10"/>
      <c r="M3213" s="20"/>
      <c r="N3213" s="20"/>
      <c r="O3213" s="20"/>
      <c r="P3213" s="20"/>
    </row>
    <row r="3214">
      <c r="A3214" s="23"/>
      <c r="B3214" s="21"/>
      <c r="C3214" s="23"/>
      <c r="D3214" s="24"/>
      <c r="E3214" s="14"/>
      <c r="F3214" s="14"/>
      <c r="G3214" s="14"/>
      <c r="H3214" s="23"/>
      <c r="I3214" s="27"/>
      <c r="J3214" s="23"/>
      <c r="K3214" s="30"/>
      <c r="L3214" s="23"/>
      <c r="M3214" s="20"/>
      <c r="N3214" s="20"/>
      <c r="O3214" s="20"/>
      <c r="P3214" s="20"/>
    </row>
    <row r="3215">
      <c r="A3215" s="10"/>
      <c r="B3215" s="11"/>
      <c r="C3215" s="10"/>
      <c r="D3215" s="13"/>
      <c r="E3215" s="14"/>
      <c r="F3215" s="14"/>
      <c r="G3215" s="14"/>
      <c r="H3215" s="10"/>
      <c r="I3215" s="17"/>
      <c r="J3215" s="10"/>
      <c r="K3215" s="46"/>
      <c r="L3215" s="10"/>
      <c r="M3215" s="20"/>
      <c r="N3215" s="20"/>
      <c r="O3215" s="20"/>
      <c r="P3215" s="20"/>
    </row>
    <row r="3216">
      <c r="A3216" s="23"/>
      <c r="B3216" s="21"/>
      <c r="C3216" s="23"/>
      <c r="D3216" s="24"/>
      <c r="E3216" s="14"/>
      <c r="F3216" s="14"/>
      <c r="G3216" s="14"/>
      <c r="H3216" s="23"/>
      <c r="I3216" s="27"/>
      <c r="J3216" s="23"/>
      <c r="K3216" s="30"/>
      <c r="L3216" s="23"/>
      <c r="M3216" s="20"/>
      <c r="N3216" s="20"/>
      <c r="O3216" s="20"/>
      <c r="P3216" s="20"/>
    </row>
    <row r="3217">
      <c r="A3217" s="10"/>
      <c r="B3217" s="11"/>
      <c r="C3217" s="10"/>
      <c r="D3217" s="13"/>
      <c r="E3217" s="14"/>
      <c r="F3217" s="14"/>
      <c r="G3217" s="14"/>
      <c r="H3217" s="10"/>
      <c r="I3217" s="17"/>
      <c r="J3217" s="10"/>
      <c r="K3217" s="46"/>
      <c r="L3217" s="10"/>
      <c r="M3217" s="20"/>
      <c r="N3217" s="20"/>
      <c r="O3217" s="20"/>
      <c r="P3217" s="20"/>
    </row>
    <row r="3218">
      <c r="A3218" s="23"/>
      <c r="B3218" s="21"/>
      <c r="C3218" s="23"/>
      <c r="D3218" s="24"/>
      <c r="E3218" s="14"/>
      <c r="F3218" s="14"/>
      <c r="G3218" s="14"/>
      <c r="H3218" s="23"/>
      <c r="I3218" s="27"/>
      <c r="J3218" s="23"/>
      <c r="K3218" s="30"/>
      <c r="L3218" s="23"/>
      <c r="M3218" s="20"/>
      <c r="N3218" s="20"/>
      <c r="O3218" s="20"/>
      <c r="P3218" s="20"/>
    </row>
    <row r="3219">
      <c r="A3219" s="10"/>
      <c r="B3219" s="11"/>
      <c r="C3219" s="10"/>
      <c r="D3219" s="13"/>
      <c r="E3219" s="14"/>
      <c r="F3219" s="14"/>
      <c r="G3219" s="14"/>
      <c r="H3219" s="10"/>
      <c r="I3219" s="17"/>
      <c r="J3219" s="10"/>
      <c r="K3219" s="46"/>
      <c r="L3219" s="10"/>
      <c r="M3219" s="20"/>
      <c r="N3219" s="20"/>
      <c r="O3219" s="20"/>
      <c r="P3219" s="20"/>
    </row>
    <row r="3220">
      <c r="A3220" s="23"/>
      <c r="B3220" s="21"/>
      <c r="C3220" s="23"/>
      <c r="D3220" s="24"/>
      <c r="E3220" s="14"/>
      <c r="F3220" s="14"/>
      <c r="G3220" s="14"/>
      <c r="H3220" s="23"/>
      <c r="I3220" s="27"/>
      <c r="J3220" s="23"/>
      <c r="K3220" s="30"/>
      <c r="L3220" s="23"/>
      <c r="M3220" s="20"/>
      <c r="N3220" s="20"/>
      <c r="O3220" s="20"/>
      <c r="P3220" s="20"/>
    </row>
    <row r="3221">
      <c r="A3221" s="10"/>
      <c r="B3221" s="11"/>
      <c r="C3221" s="10"/>
      <c r="D3221" s="13"/>
      <c r="E3221" s="14"/>
      <c r="F3221" s="14"/>
      <c r="G3221" s="14"/>
      <c r="H3221" s="10"/>
      <c r="I3221" s="17"/>
      <c r="J3221" s="10"/>
      <c r="K3221" s="46"/>
      <c r="L3221" s="10"/>
      <c r="M3221" s="20"/>
      <c r="N3221" s="20"/>
      <c r="O3221" s="20"/>
      <c r="P3221" s="20"/>
    </row>
    <row r="3222">
      <c r="A3222" s="23"/>
      <c r="B3222" s="21"/>
      <c r="C3222" s="23"/>
      <c r="D3222" s="24"/>
      <c r="E3222" s="14"/>
      <c r="F3222" s="14"/>
      <c r="G3222" s="14"/>
      <c r="H3222" s="23"/>
      <c r="I3222" s="27"/>
      <c r="J3222" s="23"/>
      <c r="K3222" s="30"/>
      <c r="L3222" s="23"/>
      <c r="M3222" s="20"/>
      <c r="N3222" s="20"/>
      <c r="O3222" s="20"/>
      <c r="P3222" s="20"/>
    </row>
    <row r="3223">
      <c r="A3223" s="10"/>
      <c r="B3223" s="11"/>
      <c r="C3223" s="10"/>
      <c r="D3223" s="13"/>
      <c r="E3223" s="14"/>
      <c r="F3223" s="14"/>
      <c r="G3223" s="14"/>
      <c r="H3223" s="10"/>
      <c r="I3223" s="17"/>
      <c r="J3223" s="10"/>
      <c r="K3223" s="46"/>
      <c r="L3223" s="10"/>
      <c r="M3223" s="20"/>
      <c r="N3223" s="20"/>
      <c r="O3223" s="20"/>
      <c r="P3223" s="20"/>
    </row>
    <row r="3224">
      <c r="A3224" s="23"/>
      <c r="B3224" s="21"/>
      <c r="C3224" s="23"/>
      <c r="D3224" s="24"/>
      <c r="E3224" s="14"/>
      <c r="F3224" s="14"/>
      <c r="G3224" s="14"/>
      <c r="H3224" s="23"/>
      <c r="I3224" s="27"/>
      <c r="J3224" s="23"/>
      <c r="K3224" s="30"/>
      <c r="L3224" s="23"/>
      <c r="M3224" s="20"/>
      <c r="N3224" s="20"/>
      <c r="O3224" s="20"/>
      <c r="P3224" s="20"/>
    </row>
    <row r="3225">
      <c r="A3225" s="10"/>
      <c r="B3225" s="11"/>
      <c r="C3225" s="10"/>
      <c r="D3225" s="13"/>
      <c r="E3225" s="14"/>
      <c r="F3225" s="14"/>
      <c r="G3225" s="14"/>
      <c r="H3225" s="10"/>
      <c r="I3225" s="17"/>
      <c r="J3225" s="10"/>
      <c r="K3225" s="46"/>
      <c r="L3225" s="10"/>
      <c r="M3225" s="20"/>
      <c r="N3225" s="20"/>
      <c r="O3225" s="20"/>
      <c r="P3225" s="20"/>
    </row>
    <row r="3226">
      <c r="A3226" s="23"/>
      <c r="B3226" s="21"/>
      <c r="C3226" s="23"/>
      <c r="D3226" s="24"/>
      <c r="E3226" s="14"/>
      <c r="F3226" s="14"/>
      <c r="G3226" s="14"/>
      <c r="H3226" s="23"/>
      <c r="I3226" s="27"/>
      <c r="J3226" s="23"/>
      <c r="K3226" s="30"/>
      <c r="L3226" s="23"/>
      <c r="M3226" s="20"/>
      <c r="N3226" s="20"/>
      <c r="O3226" s="20"/>
      <c r="P3226" s="20"/>
    </row>
    <row r="3227">
      <c r="A3227" s="10"/>
      <c r="B3227" s="11"/>
      <c r="C3227" s="10"/>
      <c r="D3227" s="13"/>
      <c r="E3227" s="14"/>
      <c r="F3227" s="14"/>
      <c r="G3227" s="14"/>
      <c r="H3227" s="10"/>
      <c r="I3227" s="17"/>
      <c r="J3227" s="10"/>
      <c r="K3227" s="46"/>
      <c r="L3227" s="10"/>
      <c r="M3227" s="20"/>
      <c r="N3227" s="20"/>
      <c r="O3227" s="20"/>
      <c r="P3227" s="20"/>
    </row>
    <row r="3228">
      <c r="A3228" s="23"/>
      <c r="B3228" s="21"/>
      <c r="C3228" s="23"/>
      <c r="D3228" s="24"/>
      <c r="E3228" s="14"/>
      <c r="F3228" s="14"/>
      <c r="G3228" s="14"/>
      <c r="H3228" s="23"/>
      <c r="I3228" s="27"/>
      <c r="J3228" s="23"/>
      <c r="K3228" s="30"/>
      <c r="L3228" s="23"/>
      <c r="M3228" s="20"/>
      <c r="N3228" s="20"/>
      <c r="O3228" s="20"/>
      <c r="P3228" s="20"/>
    </row>
    <row r="3229">
      <c r="A3229" s="10"/>
      <c r="B3229" s="11"/>
      <c r="C3229" s="10"/>
      <c r="D3229" s="13"/>
      <c r="E3229" s="14"/>
      <c r="F3229" s="14"/>
      <c r="G3229" s="14"/>
      <c r="H3229" s="10"/>
      <c r="I3229" s="17"/>
      <c r="J3229" s="10"/>
      <c r="K3229" s="46"/>
      <c r="L3229" s="10"/>
      <c r="M3229" s="20"/>
      <c r="N3229" s="20"/>
      <c r="O3229" s="20"/>
      <c r="P3229" s="20"/>
    </row>
    <row r="3230">
      <c r="A3230" s="23"/>
      <c r="B3230" s="21"/>
      <c r="C3230" s="23"/>
      <c r="D3230" s="24"/>
      <c r="E3230" s="14"/>
      <c r="F3230" s="14"/>
      <c r="G3230" s="14"/>
      <c r="H3230" s="23"/>
      <c r="I3230" s="27"/>
      <c r="J3230" s="23"/>
      <c r="K3230" s="30"/>
      <c r="L3230" s="23"/>
      <c r="M3230" s="20"/>
      <c r="N3230" s="20"/>
      <c r="O3230" s="20"/>
      <c r="P3230" s="20"/>
    </row>
    <row r="3231">
      <c r="A3231" s="10"/>
      <c r="B3231" s="11"/>
      <c r="C3231" s="10"/>
      <c r="D3231" s="13"/>
      <c r="E3231" s="14"/>
      <c r="F3231" s="14"/>
      <c r="G3231" s="14"/>
      <c r="H3231" s="10"/>
      <c r="I3231" s="17"/>
      <c r="J3231" s="10"/>
      <c r="K3231" s="46"/>
      <c r="L3231" s="10"/>
      <c r="M3231" s="20"/>
      <c r="N3231" s="20"/>
      <c r="O3231" s="20"/>
      <c r="P3231" s="20"/>
    </row>
    <row r="3232">
      <c r="A3232" s="23"/>
      <c r="B3232" s="21"/>
      <c r="C3232" s="23"/>
      <c r="D3232" s="24"/>
      <c r="E3232" s="14"/>
      <c r="F3232" s="14"/>
      <c r="G3232" s="14"/>
      <c r="H3232" s="23"/>
      <c r="I3232" s="27"/>
      <c r="J3232" s="23"/>
      <c r="K3232" s="30"/>
      <c r="L3232" s="23"/>
      <c r="M3232" s="20"/>
      <c r="N3232" s="20"/>
      <c r="O3232" s="20"/>
      <c r="P3232" s="20"/>
    </row>
    <row r="3233">
      <c r="A3233" s="10"/>
      <c r="B3233" s="11"/>
      <c r="C3233" s="10"/>
      <c r="D3233" s="13"/>
      <c r="E3233" s="14"/>
      <c r="F3233" s="14"/>
      <c r="G3233" s="14"/>
      <c r="H3233" s="10"/>
      <c r="I3233" s="17"/>
      <c r="J3233" s="10"/>
      <c r="K3233" s="46"/>
      <c r="L3233" s="10"/>
      <c r="M3233" s="20"/>
      <c r="N3233" s="20"/>
      <c r="O3233" s="20"/>
      <c r="P3233" s="20"/>
    </row>
    <row r="3234">
      <c r="A3234" s="23"/>
      <c r="B3234" s="21"/>
      <c r="C3234" s="23"/>
      <c r="D3234" s="24"/>
      <c r="E3234" s="14"/>
      <c r="F3234" s="14"/>
      <c r="G3234" s="14"/>
      <c r="H3234" s="23"/>
      <c r="I3234" s="27"/>
      <c r="J3234" s="23"/>
      <c r="K3234" s="30"/>
      <c r="L3234" s="23"/>
      <c r="M3234" s="20"/>
      <c r="N3234" s="20"/>
      <c r="O3234" s="20"/>
      <c r="P3234" s="20"/>
    </row>
    <row r="3235">
      <c r="A3235" s="10"/>
      <c r="B3235" s="11"/>
      <c r="C3235" s="10"/>
      <c r="D3235" s="13"/>
      <c r="E3235" s="14"/>
      <c r="F3235" s="14"/>
      <c r="G3235" s="14"/>
      <c r="H3235" s="10"/>
      <c r="I3235" s="17"/>
      <c r="J3235" s="10"/>
      <c r="K3235" s="46"/>
      <c r="L3235" s="10"/>
      <c r="M3235" s="20"/>
      <c r="N3235" s="20"/>
      <c r="O3235" s="20"/>
      <c r="P3235" s="20"/>
    </row>
    <row r="3236">
      <c r="A3236" s="23"/>
      <c r="B3236" s="21"/>
      <c r="C3236" s="23"/>
      <c r="D3236" s="24"/>
      <c r="E3236" s="14"/>
      <c r="F3236" s="14"/>
      <c r="G3236" s="14"/>
      <c r="H3236" s="23"/>
      <c r="I3236" s="27"/>
      <c r="J3236" s="23"/>
      <c r="K3236" s="30"/>
      <c r="L3236" s="23"/>
      <c r="M3236" s="20"/>
      <c r="N3236" s="20"/>
      <c r="O3236" s="20"/>
      <c r="P3236" s="20"/>
    </row>
    <row r="3237">
      <c r="A3237" s="10"/>
      <c r="B3237" s="11"/>
      <c r="C3237" s="10"/>
      <c r="D3237" s="13"/>
      <c r="E3237" s="14"/>
      <c r="F3237" s="14"/>
      <c r="G3237" s="14"/>
      <c r="H3237" s="10"/>
      <c r="I3237" s="17"/>
      <c r="J3237" s="10"/>
      <c r="K3237" s="46"/>
      <c r="L3237" s="10"/>
      <c r="M3237" s="20"/>
      <c r="N3237" s="20"/>
      <c r="O3237" s="20"/>
      <c r="P3237" s="20"/>
    </row>
    <row r="3238">
      <c r="A3238" s="23"/>
      <c r="B3238" s="21"/>
      <c r="C3238" s="23"/>
      <c r="D3238" s="24"/>
      <c r="E3238" s="14"/>
      <c r="F3238" s="14"/>
      <c r="G3238" s="14"/>
      <c r="H3238" s="23"/>
      <c r="I3238" s="27"/>
      <c r="J3238" s="23"/>
      <c r="K3238" s="30"/>
      <c r="L3238" s="23"/>
      <c r="M3238" s="20"/>
      <c r="N3238" s="20"/>
      <c r="O3238" s="20"/>
      <c r="P3238" s="20"/>
    </row>
    <row r="3239">
      <c r="A3239" s="10"/>
      <c r="B3239" s="11"/>
      <c r="C3239" s="10"/>
      <c r="D3239" s="13"/>
      <c r="E3239" s="14"/>
      <c r="F3239" s="14"/>
      <c r="G3239" s="14"/>
      <c r="H3239" s="10"/>
      <c r="I3239" s="17"/>
      <c r="J3239" s="10"/>
      <c r="K3239" s="46"/>
      <c r="L3239" s="10"/>
      <c r="M3239" s="20"/>
      <c r="N3239" s="20"/>
      <c r="O3239" s="20"/>
      <c r="P3239" s="20"/>
    </row>
    <row r="3240">
      <c r="A3240" s="23"/>
      <c r="B3240" s="21"/>
      <c r="C3240" s="23"/>
      <c r="D3240" s="24"/>
      <c r="E3240" s="14"/>
      <c r="F3240" s="14"/>
      <c r="G3240" s="14"/>
      <c r="H3240" s="23"/>
      <c r="I3240" s="27"/>
      <c r="J3240" s="23"/>
      <c r="K3240" s="30"/>
      <c r="L3240" s="23"/>
      <c r="M3240" s="20"/>
      <c r="N3240" s="20"/>
      <c r="O3240" s="20"/>
      <c r="P3240" s="20"/>
    </row>
    <row r="3241">
      <c r="A3241" s="10"/>
      <c r="B3241" s="11"/>
      <c r="C3241" s="10"/>
      <c r="D3241" s="13"/>
      <c r="E3241" s="14"/>
      <c r="F3241" s="14"/>
      <c r="G3241" s="14"/>
      <c r="H3241" s="10"/>
      <c r="I3241" s="17"/>
      <c r="J3241" s="10"/>
      <c r="K3241" s="46"/>
      <c r="L3241" s="10"/>
      <c r="M3241" s="20"/>
      <c r="N3241" s="20"/>
      <c r="O3241" s="20"/>
      <c r="P3241" s="20"/>
    </row>
    <row r="3242">
      <c r="A3242" s="23"/>
      <c r="B3242" s="21"/>
      <c r="C3242" s="23"/>
      <c r="D3242" s="24"/>
      <c r="E3242" s="14"/>
      <c r="F3242" s="14"/>
      <c r="G3242" s="14"/>
      <c r="H3242" s="23"/>
      <c r="I3242" s="27"/>
      <c r="J3242" s="23"/>
      <c r="K3242" s="30"/>
      <c r="L3242" s="23"/>
      <c r="M3242" s="20"/>
      <c r="N3242" s="20"/>
      <c r="O3242" s="20"/>
      <c r="P3242" s="20"/>
    </row>
    <row r="3243">
      <c r="A3243" s="10"/>
      <c r="B3243" s="11"/>
      <c r="C3243" s="10"/>
      <c r="D3243" s="13"/>
      <c r="E3243" s="14"/>
      <c r="F3243" s="14"/>
      <c r="G3243" s="14"/>
      <c r="H3243" s="10"/>
      <c r="I3243" s="17"/>
      <c r="J3243" s="10"/>
      <c r="K3243" s="46"/>
      <c r="L3243" s="10"/>
      <c r="M3243" s="20"/>
      <c r="N3243" s="20"/>
      <c r="O3243" s="20"/>
      <c r="P3243" s="20"/>
    </row>
    <row r="3244">
      <c r="A3244" s="23"/>
      <c r="B3244" s="21"/>
      <c r="C3244" s="23"/>
      <c r="D3244" s="24"/>
      <c r="E3244" s="14"/>
      <c r="F3244" s="14"/>
      <c r="G3244" s="14"/>
      <c r="H3244" s="23"/>
      <c r="I3244" s="27"/>
      <c r="J3244" s="23"/>
      <c r="K3244" s="30"/>
      <c r="L3244" s="23"/>
      <c r="M3244" s="20"/>
      <c r="N3244" s="20"/>
      <c r="O3244" s="20"/>
      <c r="P3244" s="20"/>
    </row>
    <row r="3245">
      <c r="A3245" s="10"/>
      <c r="B3245" s="11"/>
      <c r="C3245" s="10"/>
      <c r="D3245" s="13"/>
      <c r="E3245" s="14"/>
      <c r="F3245" s="14"/>
      <c r="G3245" s="14"/>
      <c r="H3245" s="10"/>
      <c r="I3245" s="17"/>
      <c r="J3245" s="10"/>
      <c r="K3245" s="46"/>
      <c r="L3245" s="10"/>
      <c r="M3245" s="20"/>
      <c r="N3245" s="20"/>
      <c r="O3245" s="20"/>
      <c r="P3245" s="20"/>
    </row>
    <row r="3246">
      <c r="A3246" s="23"/>
      <c r="B3246" s="21"/>
      <c r="C3246" s="23"/>
      <c r="D3246" s="24"/>
      <c r="E3246" s="14"/>
      <c r="F3246" s="14"/>
      <c r="G3246" s="14"/>
      <c r="H3246" s="23"/>
      <c r="I3246" s="27"/>
      <c r="J3246" s="23"/>
      <c r="K3246" s="30"/>
      <c r="L3246" s="23"/>
      <c r="M3246" s="20"/>
      <c r="N3246" s="20"/>
      <c r="O3246" s="20"/>
      <c r="P3246" s="20"/>
    </row>
    <row r="3247">
      <c r="A3247" s="10"/>
      <c r="B3247" s="11"/>
      <c r="C3247" s="10"/>
      <c r="D3247" s="13"/>
      <c r="E3247" s="14"/>
      <c r="F3247" s="14"/>
      <c r="G3247" s="14"/>
      <c r="H3247" s="10"/>
      <c r="I3247" s="17"/>
      <c r="J3247" s="10"/>
      <c r="K3247" s="46"/>
      <c r="L3247" s="10"/>
      <c r="M3247" s="20"/>
      <c r="N3247" s="20"/>
      <c r="O3247" s="20"/>
      <c r="P3247" s="20"/>
    </row>
    <row r="3248">
      <c r="A3248" s="23"/>
      <c r="B3248" s="21"/>
      <c r="C3248" s="23"/>
      <c r="D3248" s="24"/>
      <c r="E3248" s="14"/>
      <c r="F3248" s="14"/>
      <c r="G3248" s="14"/>
      <c r="H3248" s="23"/>
      <c r="I3248" s="27"/>
      <c r="J3248" s="23"/>
      <c r="K3248" s="30"/>
      <c r="L3248" s="23"/>
      <c r="M3248" s="20"/>
      <c r="N3248" s="20"/>
      <c r="O3248" s="20"/>
      <c r="P3248" s="20"/>
    </row>
    <row r="3249">
      <c r="A3249" s="10"/>
      <c r="B3249" s="11"/>
      <c r="C3249" s="10"/>
      <c r="D3249" s="13"/>
      <c r="E3249" s="14"/>
      <c r="F3249" s="14"/>
      <c r="G3249" s="14"/>
      <c r="H3249" s="10"/>
      <c r="I3249" s="17"/>
      <c r="J3249" s="10"/>
      <c r="K3249" s="46"/>
      <c r="L3249" s="10"/>
      <c r="M3249" s="20"/>
      <c r="N3249" s="20"/>
      <c r="O3249" s="20"/>
      <c r="P3249" s="20"/>
    </row>
    <row r="3250">
      <c r="A3250" s="23"/>
      <c r="B3250" s="21"/>
      <c r="C3250" s="23"/>
      <c r="D3250" s="24"/>
      <c r="E3250" s="14"/>
      <c r="F3250" s="14"/>
      <c r="G3250" s="14"/>
      <c r="H3250" s="23"/>
      <c r="I3250" s="27"/>
      <c r="J3250" s="23"/>
      <c r="K3250" s="30"/>
      <c r="L3250" s="23"/>
      <c r="M3250" s="20"/>
      <c r="N3250" s="20"/>
      <c r="O3250" s="20"/>
      <c r="P3250" s="20"/>
    </row>
    <row r="3251">
      <c r="A3251" s="10"/>
      <c r="B3251" s="11"/>
      <c r="C3251" s="10"/>
      <c r="D3251" s="13"/>
      <c r="E3251" s="14"/>
      <c r="F3251" s="14"/>
      <c r="G3251" s="14"/>
      <c r="H3251" s="10"/>
      <c r="I3251" s="17"/>
      <c r="J3251" s="10"/>
      <c r="K3251" s="46"/>
      <c r="L3251" s="10"/>
      <c r="M3251" s="20"/>
      <c r="N3251" s="20"/>
      <c r="O3251" s="20"/>
      <c r="P3251" s="20"/>
    </row>
    <row r="3252">
      <c r="A3252" s="23"/>
      <c r="B3252" s="21"/>
      <c r="C3252" s="23"/>
      <c r="D3252" s="24"/>
      <c r="E3252" s="14"/>
      <c r="F3252" s="14"/>
      <c r="G3252" s="14"/>
      <c r="H3252" s="23"/>
      <c r="I3252" s="27"/>
      <c r="J3252" s="23"/>
      <c r="K3252" s="30"/>
      <c r="L3252" s="23"/>
      <c r="M3252" s="20"/>
      <c r="N3252" s="20"/>
      <c r="O3252" s="20"/>
      <c r="P3252" s="20"/>
    </row>
    <row r="3253">
      <c r="A3253" s="10"/>
      <c r="B3253" s="11"/>
      <c r="C3253" s="10"/>
      <c r="D3253" s="13"/>
      <c r="E3253" s="14"/>
      <c r="F3253" s="14"/>
      <c r="G3253" s="14"/>
      <c r="H3253" s="10"/>
      <c r="I3253" s="17"/>
      <c r="J3253" s="10"/>
      <c r="K3253" s="46"/>
      <c r="L3253" s="10"/>
      <c r="M3253" s="20"/>
      <c r="N3253" s="20"/>
      <c r="O3253" s="20"/>
      <c r="P3253" s="20"/>
    </row>
    <row r="3254">
      <c r="A3254" s="23"/>
      <c r="B3254" s="21"/>
      <c r="C3254" s="23"/>
      <c r="D3254" s="24"/>
      <c r="E3254" s="14"/>
      <c r="F3254" s="14"/>
      <c r="G3254" s="14"/>
      <c r="H3254" s="23"/>
      <c r="I3254" s="27"/>
      <c r="J3254" s="23"/>
      <c r="K3254" s="30"/>
      <c r="L3254" s="23"/>
      <c r="M3254" s="20"/>
      <c r="N3254" s="20"/>
      <c r="O3254" s="20"/>
      <c r="P3254" s="20"/>
    </row>
    <row r="3255">
      <c r="A3255" s="10"/>
      <c r="B3255" s="11"/>
      <c r="C3255" s="10"/>
      <c r="D3255" s="13"/>
      <c r="E3255" s="14"/>
      <c r="F3255" s="14"/>
      <c r="G3255" s="14"/>
      <c r="H3255" s="10"/>
      <c r="I3255" s="17"/>
      <c r="J3255" s="10"/>
      <c r="K3255" s="46"/>
      <c r="L3255" s="10"/>
      <c r="M3255" s="20"/>
      <c r="N3255" s="20"/>
      <c r="O3255" s="20"/>
      <c r="P3255" s="20"/>
    </row>
    <row r="3256">
      <c r="A3256" s="23"/>
      <c r="B3256" s="21"/>
      <c r="C3256" s="23"/>
      <c r="D3256" s="24"/>
      <c r="E3256" s="14"/>
      <c r="F3256" s="14"/>
      <c r="G3256" s="14"/>
      <c r="H3256" s="23"/>
      <c r="I3256" s="27"/>
      <c r="J3256" s="23"/>
      <c r="K3256" s="30"/>
      <c r="L3256" s="23"/>
      <c r="M3256" s="20"/>
      <c r="N3256" s="20"/>
      <c r="O3256" s="20"/>
      <c r="P3256" s="20"/>
    </row>
    <row r="3257">
      <c r="A3257" s="10"/>
      <c r="B3257" s="11"/>
      <c r="C3257" s="10"/>
      <c r="D3257" s="13"/>
      <c r="E3257" s="14"/>
      <c r="F3257" s="14"/>
      <c r="G3257" s="14"/>
      <c r="H3257" s="10"/>
      <c r="I3257" s="17"/>
      <c r="J3257" s="10"/>
      <c r="K3257" s="46"/>
      <c r="L3257" s="10"/>
      <c r="M3257" s="20"/>
      <c r="N3257" s="20"/>
      <c r="O3257" s="20"/>
      <c r="P3257" s="20"/>
    </row>
    <row r="3258">
      <c r="A3258" s="23"/>
      <c r="B3258" s="21"/>
      <c r="C3258" s="23"/>
      <c r="D3258" s="24"/>
      <c r="E3258" s="14"/>
      <c r="F3258" s="14"/>
      <c r="G3258" s="14"/>
      <c r="H3258" s="23"/>
      <c r="I3258" s="27"/>
      <c r="J3258" s="23"/>
      <c r="K3258" s="30"/>
      <c r="L3258" s="23"/>
      <c r="M3258" s="20"/>
      <c r="N3258" s="20"/>
      <c r="O3258" s="20"/>
      <c r="P3258" s="20"/>
    </row>
    <row r="3259">
      <c r="A3259" s="10"/>
      <c r="B3259" s="11"/>
      <c r="C3259" s="10"/>
      <c r="D3259" s="13"/>
      <c r="E3259" s="14"/>
      <c r="F3259" s="14"/>
      <c r="G3259" s="14"/>
      <c r="H3259" s="10"/>
      <c r="I3259" s="17"/>
      <c r="J3259" s="10"/>
      <c r="K3259" s="46"/>
      <c r="L3259" s="10"/>
      <c r="M3259" s="20"/>
      <c r="N3259" s="20"/>
      <c r="O3259" s="20"/>
      <c r="P3259" s="20"/>
    </row>
    <row r="3260">
      <c r="A3260" s="23"/>
      <c r="B3260" s="21"/>
      <c r="C3260" s="23"/>
      <c r="D3260" s="24"/>
      <c r="E3260" s="14"/>
      <c r="F3260" s="14"/>
      <c r="G3260" s="14"/>
      <c r="H3260" s="23"/>
      <c r="I3260" s="27"/>
      <c r="J3260" s="23"/>
      <c r="K3260" s="30"/>
      <c r="L3260" s="23"/>
      <c r="M3260" s="20"/>
      <c r="N3260" s="20"/>
      <c r="O3260" s="20"/>
      <c r="P3260" s="20"/>
    </row>
    <row r="3261">
      <c r="A3261" s="10"/>
      <c r="B3261" s="11"/>
      <c r="C3261" s="10"/>
      <c r="D3261" s="13"/>
      <c r="E3261" s="14"/>
      <c r="F3261" s="14"/>
      <c r="G3261" s="14"/>
      <c r="H3261" s="10"/>
      <c r="I3261" s="17"/>
      <c r="J3261" s="10"/>
      <c r="K3261" s="46"/>
      <c r="L3261" s="10"/>
      <c r="M3261" s="20"/>
      <c r="N3261" s="20"/>
      <c r="O3261" s="20"/>
      <c r="P3261" s="20"/>
    </row>
    <row r="3262">
      <c r="A3262" s="23"/>
      <c r="B3262" s="21"/>
      <c r="C3262" s="23"/>
      <c r="D3262" s="24"/>
      <c r="E3262" s="14"/>
      <c r="F3262" s="14"/>
      <c r="G3262" s="14"/>
      <c r="H3262" s="23"/>
      <c r="I3262" s="27"/>
      <c r="J3262" s="23"/>
      <c r="K3262" s="30"/>
      <c r="L3262" s="23"/>
      <c r="M3262" s="20"/>
      <c r="N3262" s="20"/>
      <c r="O3262" s="20"/>
      <c r="P3262" s="20"/>
    </row>
    <row r="3263">
      <c r="A3263" s="10"/>
      <c r="B3263" s="11"/>
      <c r="C3263" s="10"/>
      <c r="D3263" s="13"/>
      <c r="E3263" s="14"/>
      <c r="F3263" s="14"/>
      <c r="G3263" s="14"/>
      <c r="H3263" s="10"/>
      <c r="I3263" s="17"/>
      <c r="J3263" s="10"/>
      <c r="K3263" s="46"/>
      <c r="L3263" s="10"/>
      <c r="M3263" s="20"/>
      <c r="N3263" s="20"/>
      <c r="O3263" s="20"/>
      <c r="P3263" s="20"/>
    </row>
    <row r="3264">
      <c r="A3264" s="23"/>
      <c r="B3264" s="21"/>
      <c r="C3264" s="23"/>
      <c r="D3264" s="24"/>
      <c r="E3264" s="14"/>
      <c r="F3264" s="14"/>
      <c r="G3264" s="14"/>
      <c r="H3264" s="23"/>
      <c r="I3264" s="27"/>
      <c r="J3264" s="23"/>
      <c r="K3264" s="30"/>
      <c r="L3264" s="23"/>
      <c r="M3264" s="20"/>
      <c r="N3264" s="20"/>
      <c r="O3264" s="20"/>
      <c r="P3264" s="20"/>
    </row>
    <row r="3265">
      <c r="A3265" s="10"/>
      <c r="B3265" s="11"/>
      <c r="C3265" s="10"/>
      <c r="D3265" s="13"/>
      <c r="E3265" s="14"/>
      <c r="F3265" s="14"/>
      <c r="G3265" s="14"/>
      <c r="H3265" s="10"/>
      <c r="I3265" s="17"/>
      <c r="J3265" s="10"/>
      <c r="K3265" s="46"/>
      <c r="L3265" s="10"/>
      <c r="M3265" s="20"/>
      <c r="N3265" s="20"/>
      <c r="O3265" s="20"/>
      <c r="P3265" s="20"/>
    </row>
    <row r="3266">
      <c r="A3266" s="23"/>
      <c r="B3266" s="21"/>
      <c r="C3266" s="23"/>
      <c r="D3266" s="24"/>
      <c r="E3266" s="14"/>
      <c r="F3266" s="14"/>
      <c r="G3266" s="14"/>
      <c r="H3266" s="23"/>
      <c r="I3266" s="27"/>
      <c r="J3266" s="23"/>
      <c r="K3266" s="30"/>
      <c r="L3266" s="23"/>
      <c r="M3266" s="20"/>
      <c r="N3266" s="20"/>
      <c r="O3266" s="20"/>
      <c r="P3266" s="20"/>
    </row>
    <row r="3267">
      <c r="A3267" s="10"/>
      <c r="B3267" s="11"/>
      <c r="C3267" s="10"/>
      <c r="D3267" s="13"/>
      <c r="E3267" s="14"/>
      <c r="F3267" s="14"/>
      <c r="G3267" s="14"/>
      <c r="H3267" s="10"/>
      <c r="I3267" s="17"/>
      <c r="J3267" s="10"/>
      <c r="K3267" s="46"/>
      <c r="L3267" s="10"/>
      <c r="M3267" s="20"/>
      <c r="N3267" s="20"/>
      <c r="O3267" s="20"/>
      <c r="P3267" s="20"/>
    </row>
    <row r="3268">
      <c r="A3268" s="23"/>
      <c r="B3268" s="21"/>
      <c r="C3268" s="23"/>
      <c r="D3268" s="24"/>
      <c r="E3268" s="14"/>
      <c r="F3268" s="14"/>
      <c r="G3268" s="14"/>
      <c r="H3268" s="23"/>
      <c r="I3268" s="27"/>
      <c r="J3268" s="23"/>
      <c r="K3268" s="30"/>
      <c r="L3268" s="23"/>
      <c r="M3268" s="20"/>
      <c r="N3268" s="20"/>
      <c r="O3268" s="20"/>
      <c r="P3268" s="20"/>
    </row>
    <row r="3269">
      <c r="A3269" s="10"/>
      <c r="B3269" s="11"/>
      <c r="C3269" s="10"/>
      <c r="D3269" s="13"/>
      <c r="E3269" s="14"/>
      <c r="F3269" s="14"/>
      <c r="G3269" s="14"/>
      <c r="H3269" s="10"/>
      <c r="I3269" s="17"/>
      <c r="J3269" s="10"/>
      <c r="K3269" s="46"/>
      <c r="L3269" s="10"/>
      <c r="M3269" s="20"/>
      <c r="N3269" s="20"/>
      <c r="O3269" s="20"/>
      <c r="P3269" s="20"/>
    </row>
    <row r="3270">
      <c r="A3270" s="23"/>
      <c r="B3270" s="21"/>
      <c r="C3270" s="23"/>
      <c r="D3270" s="24"/>
      <c r="E3270" s="14"/>
      <c r="F3270" s="14"/>
      <c r="G3270" s="14"/>
      <c r="H3270" s="23"/>
      <c r="I3270" s="27"/>
      <c r="J3270" s="23"/>
      <c r="K3270" s="30"/>
      <c r="L3270" s="23"/>
      <c r="M3270" s="20"/>
      <c r="N3270" s="20"/>
      <c r="O3270" s="20"/>
      <c r="P3270" s="20"/>
    </row>
    <row r="3271">
      <c r="A3271" s="10"/>
      <c r="B3271" s="11"/>
      <c r="C3271" s="10"/>
      <c r="D3271" s="13"/>
      <c r="E3271" s="14"/>
      <c r="F3271" s="14"/>
      <c r="G3271" s="14"/>
      <c r="H3271" s="10"/>
      <c r="I3271" s="17"/>
      <c r="J3271" s="10"/>
      <c r="K3271" s="46"/>
      <c r="L3271" s="10"/>
      <c r="M3271" s="20"/>
      <c r="N3271" s="20"/>
      <c r="O3271" s="20"/>
      <c r="P3271" s="20"/>
    </row>
    <row r="3272">
      <c r="A3272" s="23"/>
      <c r="B3272" s="21"/>
      <c r="C3272" s="23"/>
      <c r="D3272" s="24"/>
      <c r="E3272" s="14"/>
      <c r="F3272" s="14"/>
      <c r="G3272" s="14"/>
      <c r="H3272" s="23"/>
      <c r="I3272" s="27"/>
      <c r="J3272" s="23"/>
      <c r="K3272" s="30"/>
      <c r="L3272" s="23"/>
      <c r="M3272" s="20"/>
      <c r="N3272" s="20"/>
      <c r="O3272" s="20"/>
      <c r="P3272" s="20"/>
    </row>
    <row r="3273">
      <c r="A3273" s="10"/>
      <c r="B3273" s="11"/>
      <c r="C3273" s="10"/>
      <c r="D3273" s="13"/>
      <c r="E3273" s="14"/>
      <c r="F3273" s="14"/>
      <c r="G3273" s="14"/>
      <c r="H3273" s="10"/>
      <c r="I3273" s="17"/>
      <c r="J3273" s="10"/>
      <c r="K3273" s="46"/>
      <c r="L3273" s="10"/>
      <c r="M3273" s="20"/>
      <c r="N3273" s="20"/>
      <c r="O3273" s="20"/>
      <c r="P3273" s="20"/>
    </row>
    <row r="3274">
      <c r="A3274" s="23"/>
      <c r="B3274" s="21"/>
      <c r="C3274" s="23"/>
      <c r="D3274" s="24"/>
      <c r="E3274" s="14"/>
      <c r="F3274" s="14"/>
      <c r="G3274" s="14"/>
      <c r="H3274" s="23"/>
      <c r="I3274" s="27"/>
      <c r="J3274" s="23"/>
      <c r="K3274" s="30"/>
      <c r="L3274" s="23"/>
      <c r="M3274" s="20"/>
      <c r="N3274" s="20"/>
      <c r="O3274" s="20"/>
      <c r="P3274" s="20"/>
    </row>
    <row r="3275">
      <c r="A3275" s="10"/>
      <c r="B3275" s="11"/>
      <c r="C3275" s="10"/>
      <c r="D3275" s="13"/>
      <c r="E3275" s="14"/>
      <c r="F3275" s="14"/>
      <c r="G3275" s="14"/>
      <c r="H3275" s="10"/>
      <c r="I3275" s="17"/>
      <c r="J3275" s="10"/>
      <c r="K3275" s="46"/>
      <c r="L3275" s="10"/>
      <c r="M3275" s="20"/>
      <c r="N3275" s="20"/>
      <c r="O3275" s="20"/>
      <c r="P3275" s="20"/>
    </row>
    <row r="3276">
      <c r="A3276" s="23"/>
      <c r="B3276" s="21"/>
      <c r="C3276" s="23"/>
      <c r="D3276" s="24"/>
      <c r="E3276" s="14"/>
      <c r="F3276" s="14"/>
      <c r="G3276" s="14"/>
      <c r="H3276" s="23"/>
      <c r="I3276" s="27"/>
      <c r="J3276" s="23"/>
      <c r="K3276" s="30"/>
      <c r="L3276" s="23"/>
      <c r="M3276" s="20"/>
      <c r="N3276" s="20"/>
      <c r="O3276" s="20"/>
      <c r="P3276" s="20"/>
    </row>
    <row r="3277">
      <c r="A3277" s="10"/>
      <c r="B3277" s="11"/>
      <c r="C3277" s="10"/>
      <c r="D3277" s="13"/>
      <c r="E3277" s="14"/>
      <c r="F3277" s="14"/>
      <c r="G3277" s="14"/>
      <c r="H3277" s="10"/>
      <c r="I3277" s="17"/>
      <c r="J3277" s="10"/>
      <c r="K3277" s="46"/>
      <c r="L3277" s="10"/>
      <c r="M3277" s="20"/>
      <c r="N3277" s="20"/>
      <c r="O3277" s="20"/>
      <c r="P3277" s="20"/>
    </row>
    <row r="3278">
      <c r="A3278" s="23"/>
      <c r="B3278" s="21"/>
      <c r="C3278" s="23"/>
      <c r="D3278" s="24"/>
      <c r="E3278" s="14"/>
      <c r="F3278" s="14"/>
      <c r="G3278" s="14"/>
      <c r="H3278" s="23"/>
      <c r="I3278" s="27"/>
      <c r="J3278" s="23"/>
      <c r="K3278" s="30"/>
      <c r="L3278" s="23"/>
      <c r="M3278" s="20"/>
      <c r="N3278" s="20"/>
      <c r="O3278" s="20"/>
      <c r="P3278" s="20"/>
    </row>
    <row r="3279">
      <c r="A3279" s="10"/>
      <c r="B3279" s="11"/>
      <c r="C3279" s="10"/>
      <c r="D3279" s="13"/>
      <c r="E3279" s="14"/>
      <c r="F3279" s="14"/>
      <c r="G3279" s="14"/>
      <c r="H3279" s="10"/>
      <c r="I3279" s="17"/>
      <c r="J3279" s="10"/>
      <c r="K3279" s="46"/>
      <c r="L3279" s="10"/>
      <c r="M3279" s="20"/>
      <c r="N3279" s="20"/>
      <c r="O3279" s="20"/>
      <c r="P3279" s="20"/>
    </row>
    <row r="3280">
      <c r="A3280" s="23"/>
      <c r="B3280" s="21"/>
      <c r="C3280" s="23"/>
      <c r="D3280" s="24"/>
      <c r="E3280" s="14"/>
      <c r="F3280" s="14"/>
      <c r="G3280" s="14"/>
      <c r="H3280" s="23"/>
      <c r="I3280" s="27"/>
      <c r="J3280" s="23"/>
      <c r="K3280" s="30"/>
      <c r="L3280" s="23"/>
      <c r="M3280" s="20"/>
      <c r="N3280" s="20"/>
      <c r="O3280" s="20"/>
      <c r="P3280" s="20"/>
    </row>
    <row r="3281">
      <c r="A3281" s="10"/>
      <c r="B3281" s="11"/>
      <c r="C3281" s="10"/>
      <c r="D3281" s="13"/>
      <c r="E3281" s="14"/>
      <c r="F3281" s="14"/>
      <c r="G3281" s="14"/>
      <c r="H3281" s="10"/>
      <c r="I3281" s="17"/>
      <c r="J3281" s="10"/>
      <c r="K3281" s="46"/>
      <c r="L3281" s="10"/>
      <c r="M3281" s="20"/>
      <c r="N3281" s="20"/>
      <c r="O3281" s="20"/>
      <c r="P3281" s="20"/>
    </row>
    <row r="3282">
      <c r="A3282" s="23"/>
      <c r="B3282" s="21"/>
      <c r="C3282" s="23"/>
      <c r="D3282" s="24"/>
      <c r="E3282" s="14"/>
      <c r="F3282" s="14"/>
      <c r="G3282" s="14"/>
      <c r="H3282" s="23"/>
      <c r="I3282" s="27"/>
      <c r="J3282" s="23"/>
      <c r="K3282" s="30"/>
      <c r="L3282" s="23"/>
      <c r="M3282" s="20"/>
      <c r="N3282" s="20"/>
      <c r="O3282" s="20"/>
      <c r="P3282" s="20"/>
    </row>
    <row r="3283">
      <c r="A3283" s="10"/>
      <c r="B3283" s="11"/>
      <c r="C3283" s="10"/>
      <c r="D3283" s="13"/>
      <c r="E3283" s="14"/>
      <c r="F3283" s="14"/>
      <c r="G3283" s="14"/>
      <c r="H3283" s="10"/>
      <c r="I3283" s="17"/>
      <c r="J3283" s="10"/>
      <c r="K3283" s="46"/>
      <c r="L3283" s="10"/>
      <c r="M3283" s="20"/>
      <c r="N3283" s="20"/>
      <c r="O3283" s="20"/>
      <c r="P3283" s="20"/>
    </row>
    <row r="3284">
      <c r="A3284" s="23"/>
      <c r="B3284" s="21"/>
      <c r="C3284" s="23"/>
      <c r="D3284" s="24"/>
      <c r="E3284" s="14"/>
      <c r="F3284" s="14"/>
      <c r="G3284" s="14"/>
      <c r="H3284" s="23"/>
      <c r="I3284" s="27"/>
      <c r="J3284" s="23"/>
      <c r="K3284" s="30"/>
      <c r="L3284" s="23"/>
      <c r="M3284" s="20"/>
      <c r="N3284" s="20"/>
      <c r="O3284" s="20"/>
      <c r="P3284" s="20"/>
    </row>
    <row r="3285">
      <c r="A3285" s="10"/>
      <c r="B3285" s="11"/>
      <c r="C3285" s="10"/>
      <c r="D3285" s="13"/>
      <c r="E3285" s="14"/>
      <c r="F3285" s="14"/>
      <c r="G3285" s="14"/>
      <c r="H3285" s="10"/>
      <c r="I3285" s="17"/>
      <c r="J3285" s="10"/>
      <c r="K3285" s="46"/>
      <c r="L3285" s="10"/>
      <c r="M3285" s="20"/>
      <c r="N3285" s="20"/>
      <c r="O3285" s="20"/>
      <c r="P3285" s="20"/>
    </row>
    <row r="3286">
      <c r="A3286" s="23"/>
      <c r="B3286" s="21"/>
      <c r="C3286" s="23"/>
      <c r="D3286" s="24"/>
      <c r="E3286" s="14"/>
      <c r="F3286" s="14"/>
      <c r="G3286" s="14"/>
      <c r="H3286" s="23"/>
      <c r="I3286" s="27"/>
      <c r="J3286" s="23"/>
      <c r="K3286" s="30"/>
      <c r="L3286" s="23"/>
      <c r="M3286" s="20"/>
      <c r="N3286" s="20"/>
      <c r="O3286" s="20"/>
      <c r="P3286" s="20"/>
    </row>
    <row r="3287">
      <c r="A3287" s="10"/>
      <c r="B3287" s="11"/>
      <c r="C3287" s="10"/>
      <c r="D3287" s="13"/>
      <c r="E3287" s="14"/>
      <c r="F3287" s="14"/>
      <c r="G3287" s="14"/>
      <c r="H3287" s="10"/>
      <c r="I3287" s="17"/>
      <c r="J3287" s="10"/>
      <c r="K3287" s="46"/>
      <c r="L3287" s="10"/>
      <c r="M3287" s="20"/>
      <c r="N3287" s="20"/>
      <c r="O3287" s="20"/>
      <c r="P3287" s="20"/>
    </row>
    <row r="3288">
      <c r="A3288" s="23"/>
      <c r="B3288" s="21"/>
      <c r="C3288" s="23"/>
      <c r="D3288" s="24"/>
      <c r="E3288" s="14"/>
      <c r="F3288" s="14"/>
      <c r="G3288" s="14"/>
      <c r="H3288" s="23"/>
      <c r="I3288" s="27"/>
      <c r="J3288" s="23"/>
      <c r="K3288" s="30"/>
      <c r="L3288" s="23"/>
      <c r="M3288" s="20"/>
      <c r="N3288" s="20"/>
      <c r="O3288" s="20"/>
      <c r="P3288" s="20"/>
    </row>
    <row r="3289">
      <c r="A3289" s="10"/>
      <c r="B3289" s="11"/>
      <c r="C3289" s="10"/>
      <c r="D3289" s="13"/>
      <c r="E3289" s="14"/>
      <c r="F3289" s="14"/>
      <c r="G3289" s="14"/>
      <c r="H3289" s="10"/>
      <c r="I3289" s="17"/>
      <c r="J3289" s="10"/>
      <c r="K3289" s="46"/>
      <c r="L3289" s="10"/>
      <c r="M3289" s="20"/>
      <c r="N3289" s="20"/>
      <c r="O3289" s="20"/>
      <c r="P3289" s="20"/>
    </row>
    <row r="3290">
      <c r="A3290" s="23"/>
      <c r="B3290" s="21"/>
      <c r="C3290" s="23"/>
      <c r="D3290" s="24"/>
      <c r="E3290" s="14"/>
      <c r="F3290" s="14"/>
      <c r="G3290" s="14"/>
      <c r="H3290" s="23"/>
      <c r="I3290" s="27"/>
      <c r="J3290" s="23"/>
      <c r="K3290" s="30"/>
      <c r="L3290" s="23"/>
      <c r="M3290" s="20"/>
      <c r="N3290" s="20"/>
      <c r="O3290" s="20"/>
      <c r="P3290" s="20"/>
    </row>
    <row r="3291">
      <c r="A3291" s="10"/>
      <c r="B3291" s="11"/>
      <c r="C3291" s="10"/>
      <c r="D3291" s="13"/>
      <c r="E3291" s="14"/>
      <c r="F3291" s="14"/>
      <c r="G3291" s="14"/>
      <c r="H3291" s="10"/>
      <c r="I3291" s="17"/>
      <c r="J3291" s="10"/>
      <c r="K3291" s="46"/>
      <c r="L3291" s="10"/>
      <c r="M3291" s="20"/>
      <c r="N3291" s="20"/>
      <c r="O3291" s="20"/>
      <c r="P3291" s="20"/>
    </row>
    <row r="3292">
      <c r="A3292" s="23"/>
      <c r="B3292" s="21"/>
      <c r="C3292" s="23"/>
      <c r="D3292" s="24"/>
      <c r="E3292" s="14"/>
      <c r="F3292" s="14"/>
      <c r="G3292" s="14"/>
      <c r="H3292" s="23"/>
      <c r="I3292" s="27"/>
      <c r="J3292" s="23"/>
      <c r="K3292" s="30"/>
      <c r="L3292" s="23"/>
      <c r="M3292" s="20"/>
      <c r="N3292" s="20"/>
      <c r="O3292" s="20"/>
      <c r="P3292" s="20"/>
    </row>
    <row r="3293">
      <c r="A3293" s="10"/>
      <c r="B3293" s="11"/>
      <c r="C3293" s="10"/>
      <c r="D3293" s="13"/>
      <c r="E3293" s="14"/>
      <c r="F3293" s="14"/>
      <c r="G3293" s="14"/>
      <c r="H3293" s="10"/>
      <c r="I3293" s="17"/>
      <c r="J3293" s="10"/>
      <c r="K3293" s="46"/>
      <c r="L3293" s="10"/>
      <c r="M3293" s="20"/>
      <c r="N3293" s="20"/>
      <c r="O3293" s="20"/>
      <c r="P3293" s="20"/>
    </row>
    <row r="3294">
      <c r="A3294" s="23"/>
      <c r="B3294" s="21"/>
      <c r="C3294" s="23"/>
      <c r="D3294" s="24"/>
      <c r="E3294" s="14"/>
      <c r="F3294" s="14"/>
      <c r="G3294" s="14"/>
      <c r="H3294" s="23"/>
      <c r="I3294" s="27"/>
      <c r="J3294" s="23"/>
      <c r="K3294" s="30"/>
      <c r="L3294" s="23"/>
      <c r="M3294" s="20"/>
      <c r="N3294" s="20"/>
      <c r="O3294" s="20"/>
      <c r="P3294" s="20"/>
    </row>
    <row r="3295">
      <c r="A3295" s="10"/>
      <c r="B3295" s="11"/>
      <c r="C3295" s="10"/>
      <c r="D3295" s="13"/>
      <c r="E3295" s="14"/>
      <c r="F3295" s="14"/>
      <c r="G3295" s="14"/>
      <c r="H3295" s="10"/>
      <c r="I3295" s="17"/>
      <c r="J3295" s="10"/>
      <c r="K3295" s="46"/>
      <c r="L3295" s="10"/>
      <c r="M3295" s="20"/>
      <c r="N3295" s="20"/>
      <c r="O3295" s="20"/>
      <c r="P3295" s="20"/>
    </row>
    <row r="3296">
      <c r="A3296" s="23"/>
      <c r="B3296" s="21"/>
      <c r="C3296" s="23"/>
      <c r="D3296" s="24"/>
      <c r="E3296" s="14"/>
      <c r="F3296" s="14"/>
      <c r="G3296" s="14"/>
      <c r="H3296" s="23"/>
      <c r="I3296" s="27"/>
      <c r="J3296" s="23"/>
      <c r="K3296" s="30"/>
      <c r="L3296" s="23"/>
      <c r="M3296" s="20"/>
      <c r="N3296" s="20"/>
      <c r="O3296" s="20"/>
      <c r="P3296" s="20"/>
    </row>
    <row r="3297">
      <c r="A3297" s="10"/>
      <c r="B3297" s="11"/>
      <c r="C3297" s="10"/>
      <c r="D3297" s="13"/>
      <c r="E3297" s="14"/>
      <c r="F3297" s="14"/>
      <c r="G3297" s="14"/>
      <c r="H3297" s="10"/>
      <c r="I3297" s="17"/>
      <c r="J3297" s="10"/>
      <c r="K3297" s="46"/>
      <c r="L3297" s="10"/>
      <c r="M3297" s="20"/>
      <c r="N3297" s="20"/>
      <c r="O3297" s="20"/>
      <c r="P3297" s="20"/>
    </row>
    <row r="3298">
      <c r="A3298" s="23"/>
      <c r="B3298" s="21"/>
      <c r="C3298" s="23"/>
      <c r="D3298" s="24"/>
      <c r="E3298" s="14"/>
      <c r="F3298" s="14"/>
      <c r="G3298" s="14"/>
      <c r="H3298" s="23"/>
      <c r="I3298" s="27"/>
      <c r="J3298" s="23"/>
      <c r="K3298" s="30"/>
      <c r="L3298" s="23"/>
      <c r="M3298" s="20"/>
      <c r="N3298" s="20"/>
      <c r="O3298" s="20"/>
      <c r="P3298" s="20"/>
    </row>
    <row r="3299">
      <c r="A3299" s="10"/>
      <c r="B3299" s="11"/>
      <c r="C3299" s="10"/>
      <c r="D3299" s="13"/>
      <c r="E3299" s="14"/>
      <c r="F3299" s="14"/>
      <c r="G3299" s="14"/>
      <c r="H3299" s="10"/>
      <c r="I3299" s="17"/>
      <c r="J3299" s="10"/>
      <c r="K3299" s="46"/>
      <c r="L3299" s="10"/>
      <c r="M3299" s="20"/>
      <c r="N3299" s="20"/>
      <c r="O3299" s="20"/>
      <c r="P3299" s="20"/>
    </row>
    <row r="3300">
      <c r="A3300" s="23"/>
      <c r="B3300" s="21"/>
      <c r="C3300" s="23"/>
      <c r="D3300" s="24"/>
      <c r="E3300" s="14"/>
      <c r="F3300" s="14"/>
      <c r="G3300" s="14"/>
      <c r="H3300" s="23"/>
      <c r="I3300" s="27"/>
      <c r="J3300" s="23"/>
      <c r="K3300" s="30"/>
      <c r="L3300" s="23"/>
      <c r="M3300" s="20"/>
      <c r="N3300" s="20"/>
      <c r="O3300" s="20"/>
      <c r="P3300" s="20"/>
    </row>
    <row r="3301">
      <c r="A3301" s="10"/>
      <c r="B3301" s="11"/>
      <c r="C3301" s="10"/>
      <c r="D3301" s="13"/>
      <c r="E3301" s="14"/>
      <c r="F3301" s="14"/>
      <c r="G3301" s="14"/>
      <c r="H3301" s="10"/>
      <c r="I3301" s="17"/>
      <c r="J3301" s="10"/>
      <c r="K3301" s="46"/>
      <c r="L3301" s="10"/>
      <c r="M3301" s="20"/>
      <c r="N3301" s="20"/>
      <c r="O3301" s="20"/>
      <c r="P3301" s="20"/>
    </row>
    <row r="3302">
      <c r="A3302" s="23"/>
      <c r="B3302" s="21"/>
      <c r="C3302" s="23"/>
      <c r="D3302" s="24"/>
      <c r="E3302" s="14"/>
      <c r="F3302" s="14"/>
      <c r="G3302" s="14"/>
      <c r="H3302" s="23"/>
      <c r="I3302" s="27"/>
      <c r="J3302" s="23"/>
      <c r="K3302" s="30"/>
      <c r="L3302" s="23"/>
      <c r="M3302" s="20"/>
      <c r="N3302" s="20"/>
      <c r="O3302" s="20"/>
      <c r="P3302" s="20"/>
    </row>
    <row r="3303">
      <c r="A3303" s="10"/>
      <c r="B3303" s="11"/>
      <c r="C3303" s="10"/>
      <c r="D3303" s="13"/>
      <c r="E3303" s="14"/>
      <c r="F3303" s="14"/>
      <c r="G3303" s="14"/>
      <c r="H3303" s="10"/>
      <c r="I3303" s="17"/>
      <c r="J3303" s="10"/>
      <c r="K3303" s="46"/>
      <c r="L3303" s="10"/>
      <c r="M3303" s="20"/>
      <c r="N3303" s="20"/>
      <c r="O3303" s="20"/>
      <c r="P3303" s="20"/>
    </row>
    <row r="3304">
      <c r="A3304" s="23"/>
      <c r="B3304" s="21"/>
      <c r="C3304" s="23"/>
      <c r="D3304" s="24"/>
      <c r="E3304" s="14"/>
      <c r="F3304" s="14"/>
      <c r="G3304" s="14"/>
      <c r="H3304" s="23"/>
      <c r="I3304" s="27"/>
      <c r="J3304" s="23"/>
      <c r="K3304" s="30"/>
      <c r="L3304" s="23"/>
      <c r="M3304" s="20"/>
      <c r="N3304" s="20"/>
      <c r="O3304" s="20"/>
      <c r="P3304" s="20"/>
    </row>
    <row r="3305">
      <c r="A3305" s="10"/>
      <c r="B3305" s="11"/>
      <c r="C3305" s="10"/>
      <c r="D3305" s="13"/>
      <c r="E3305" s="14"/>
      <c r="F3305" s="14"/>
      <c r="G3305" s="14"/>
      <c r="H3305" s="10"/>
      <c r="I3305" s="17"/>
      <c r="J3305" s="10"/>
      <c r="K3305" s="46"/>
      <c r="L3305" s="10"/>
      <c r="M3305" s="20"/>
      <c r="N3305" s="20"/>
      <c r="O3305" s="20"/>
      <c r="P3305" s="20"/>
    </row>
    <row r="3306">
      <c r="A3306" s="23"/>
      <c r="B3306" s="21"/>
      <c r="C3306" s="23"/>
      <c r="D3306" s="24"/>
      <c r="E3306" s="14"/>
      <c r="F3306" s="14"/>
      <c r="G3306" s="14"/>
      <c r="H3306" s="23"/>
      <c r="I3306" s="27"/>
      <c r="J3306" s="23"/>
      <c r="K3306" s="30"/>
      <c r="L3306" s="23"/>
      <c r="M3306" s="20"/>
      <c r="N3306" s="20"/>
      <c r="O3306" s="20"/>
      <c r="P3306" s="20"/>
    </row>
    <row r="3307">
      <c r="A3307" s="10"/>
      <c r="B3307" s="11"/>
      <c r="C3307" s="10"/>
      <c r="D3307" s="13"/>
      <c r="E3307" s="14"/>
      <c r="F3307" s="14"/>
      <c r="G3307" s="14"/>
      <c r="H3307" s="10"/>
      <c r="I3307" s="17"/>
      <c r="J3307" s="10"/>
      <c r="K3307" s="46"/>
      <c r="L3307" s="10"/>
      <c r="M3307" s="20"/>
      <c r="N3307" s="20"/>
      <c r="O3307" s="20"/>
      <c r="P3307" s="20"/>
    </row>
    <row r="3308">
      <c r="A3308" s="23"/>
      <c r="B3308" s="21"/>
      <c r="C3308" s="23"/>
      <c r="D3308" s="24"/>
      <c r="E3308" s="14"/>
      <c r="F3308" s="14"/>
      <c r="G3308" s="14"/>
      <c r="H3308" s="23"/>
      <c r="I3308" s="27"/>
      <c r="J3308" s="23"/>
      <c r="K3308" s="30"/>
      <c r="L3308" s="23"/>
      <c r="M3308" s="20"/>
      <c r="N3308" s="20"/>
      <c r="O3308" s="20"/>
      <c r="P3308" s="20"/>
    </row>
    <row r="3309">
      <c r="A3309" s="10"/>
      <c r="B3309" s="11"/>
      <c r="C3309" s="10"/>
      <c r="D3309" s="13"/>
      <c r="E3309" s="14"/>
      <c r="F3309" s="14"/>
      <c r="G3309" s="14"/>
      <c r="H3309" s="10"/>
      <c r="I3309" s="17"/>
      <c r="J3309" s="10"/>
      <c r="K3309" s="46"/>
      <c r="L3309" s="10"/>
      <c r="M3309" s="20"/>
      <c r="N3309" s="20"/>
      <c r="O3309" s="20"/>
      <c r="P3309" s="20"/>
    </row>
    <row r="3310">
      <c r="A3310" s="23"/>
      <c r="B3310" s="21"/>
      <c r="C3310" s="23"/>
      <c r="D3310" s="24"/>
      <c r="E3310" s="14"/>
      <c r="F3310" s="14"/>
      <c r="G3310" s="14"/>
      <c r="H3310" s="23"/>
      <c r="I3310" s="27"/>
      <c r="J3310" s="23"/>
      <c r="K3310" s="30"/>
      <c r="L3310" s="23"/>
      <c r="M3310" s="20"/>
      <c r="N3310" s="20"/>
      <c r="O3310" s="20"/>
      <c r="P3310" s="20"/>
    </row>
    <row r="3311">
      <c r="A3311" s="10"/>
      <c r="B3311" s="11"/>
      <c r="C3311" s="10"/>
      <c r="D3311" s="13"/>
      <c r="E3311" s="14"/>
      <c r="F3311" s="14"/>
      <c r="G3311" s="14"/>
      <c r="H3311" s="10"/>
      <c r="I3311" s="17"/>
      <c r="J3311" s="10"/>
      <c r="K3311" s="46"/>
      <c r="L3311" s="10"/>
      <c r="M3311" s="20"/>
      <c r="N3311" s="20"/>
      <c r="O3311" s="20"/>
      <c r="P3311" s="20"/>
    </row>
    <row r="3312">
      <c r="A3312" s="23"/>
      <c r="B3312" s="21"/>
      <c r="C3312" s="23"/>
      <c r="D3312" s="24"/>
      <c r="E3312" s="14"/>
      <c r="F3312" s="14"/>
      <c r="G3312" s="14"/>
      <c r="H3312" s="23"/>
      <c r="I3312" s="27"/>
      <c r="J3312" s="23"/>
      <c r="K3312" s="30"/>
      <c r="L3312" s="23"/>
      <c r="M3312" s="20"/>
      <c r="N3312" s="20"/>
      <c r="O3312" s="20"/>
      <c r="P3312" s="20"/>
    </row>
    <row r="3313">
      <c r="A3313" s="10"/>
      <c r="B3313" s="11"/>
      <c r="C3313" s="10"/>
      <c r="D3313" s="13"/>
      <c r="E3313" s="14"/>
      <c r="F3313" s="14"/>
      <c r="G3313" s="14"/>
      <c r="H3313" s="10"/>
      <c r="I3313" s="17"/>
      <c r="J3313" s="10"/>
      <c r="K3313" s="46"/>
      <c r="L3313" s="10"/>
      <c r="M3313" s="20"/>
      <c r="N3313" s="20"/>
      <c r="O3313" s="20"/>
      <c r="P3313" s="20"/>
    </row>
    <row r="3314">
      <c r="A3314" s="23"/>
      <c r="B3314" s="21"/>
      <c r="C3314" s="23"/>
      <c r="D3314" s="24"/>
      <c r="E3314" s="14"/>
      <c r="F3314" s="14"/>
      <c r="G3314" s="14"/>
      <c r="H3314" s="23"/>
      <c r="I3314" s="27"/>
      <c r="J3314" s="23"/>
      <c r="K3314" s="30"/>
      <c r="L3314" s="23"/>
      <c r="M3314" s="20"/>
      <c r="N3314" s="20"/>
      <c r="O3314" s="20"/>
      <c r="P3314" s="20"/>
    </row>
    <row r="3315">
      <c r="A3315" s="10"/>
      <c r="B3315" s="11"/>
      <c r="C3315" s="10"/>
      <c r="D3315" s="13"/>
      <c r="E3315" s="14"/>
      <c r="F3315" s="14"/>
      <c r="G3315" s="14"/>
      <c r="H3315" s="10"/>
      <c r="I3315" s="17"/>
      <c r="J3315" s="10"/>
      <c r="K3315" s="46"/>
      <c r="L3315" s="10"/>
      <c r="M3315" s="20"/>
      <c r="N3315" s="20"/>
      <c r="O3315" s="20"/>
      <c r="P3315" s="20"/>
    </row>
    <row r="3316">
      <c r="A3316" s="23"/>
      <c r="B3316" s="21"/>
      <c r="C3316" s="23"/>
      <c r="D3316" s="24"/>
      <c r="E3316" s="14"/>
      <c r="F3316" s="14"/>
      <c r="G3316" s="14"/>
      <c r="H3316" s="23"/>
      <c r="I3316" s="27"/>
      <c r="J3316" s="23"/>
      <c r="K3316" s="30"/>
      <c r="L3316" s="23"/>
      <c r="M3316" s="20"/>
      <c r="N3316" s="20"/>
      <c r="O3316" s="20"/>
      <c r="P3316" s="20"/>
    </row>
    <row r="3317">
      <c r="A3317" s="10"/>
      <c r="B3317" s="11"/>
      <c r="C3317" s="10"/>
      <c r="D3317" s="13"/>
      <c r="E3317" s="14"/>
      <c r="F3317" s="14"/>
      <c r="G3317" s="14"/>
      <c r="H3317" s="10"/>
      <c r="I3317" s="17"/>
      <c r="J3317" s="10"/>
      <c r="K3317" s="46"/>
      <c r="L3317" s="10"/>
      <c r="M3317" s="20"/>
      <c r="N3317" s="20"/>
      <c r="O3317" s="20"/>
      <c r="P3317" s="20"/>
    </row>
    <row r="3318">
      <c r="A3318" s="23"/>
      <c r="B3318" s="21"/>
      <c r="C3318" s="23"/>
      <c r="D3318" s="24"/>
      <c r="E3318" s="14"/>
      <c r="F3318" s="14"/>
      <c r="G3318" s="14"/>
      <c r="H3318" s="23"/>
      <c r="I3318" s="27"/>
      <c r="J3318" s="23"/>
      <c r="K3318" s="30"/>
      <c r="L3318" s="23"/>
      <c r="M3318" s="20"/>
      <c r="N3318" s="20"/>
      <c r="O3318" s="20"/>
      <c r="P3318" s="20"/>
    </row>
    <row r="3319">
      <c r="A3319" s="10"/>
      <c r="B3319" s="11"/>
      <c r="C3319" s="10"/>
      <c r="D3319" s="13"/>
      <c r="E3319" s="14"/>
      <c r="F3319" s="14"/>
      <c r="G3319" s="14"/>
      <c r="H3319" s="10"/>
      <c r="I3319" s="17"/>
      <c r="J3319" s="10"/>
      <c r="K3319" s="46"/>
      <c r="L3319" s="10"/>
      <c r="M3319" s="20"/>
      <c r="N3319" s="20"/>
      <c r="O3319" s="20"/>
      <c r="P3319" s="20"/>
    </row>
    <row r="3320">
      <c r="A3320" s="23"/>
      <c r="B3320" s="21"/>
      <c r="C3320" s="23"/>
      <c r="D3320" s="24"/>
      <c r="E3320" s="14"/>
      <c r="F3320" s="14"/>
      <c r="G3320" s="14"/>
      <c r="H3320" s="23"/>
      <c r="I3320" s="27"/>
      <c r="J3320" s="23"/>
      <c r="K3320" s="30"/>
      <c r="L3320" s="23"/>
      <c r="M3320" s="20"/>
      <c r="N3320" s="20"/>
      <c r="O3320" s="20"/>
      <c r="P3320" s="20"/>
    </row>
    <row r="3321">
      <c r="A3321" s="10"/>
      <c r="B3321" s="11"/>
      <c r="C3321" s="10"/>
      <c r="D3321" s="13"/>
      <c r="E3321" s="14"/>
      <c r="F3321" s="14"/>
      <c r="G3321" s="14"/>
      <c r="H3321" s="10"/>
      <c r="I3321" s="17"/>
      <c r="J3321" s="10"/>
      <c r="K3321" s="46"/>
      <c r="L3321" s="10"/>
      <c r="M3321" s="20"/>
      <c r="N3321" s="20"/>
      <c r="O3321" s="20"/>
      <c r="P3321" s="20"/>
    </row>
    <row r="3322">
      <c r="A3322" s="23"/>
      <c r="B3322" s="21"/>
      <c r="C3322" s="23"/>
      <c r="D3322" s="24"/>
      <c r="E3322" s="14"/>
      <c r="F3322" s="14"/>
      <c r="G3322" s="14"/>
      <c r="H3322" s="23"/>
      <c r="I3322" s="27"/>
      <c r="J3322" s="23"/>
      <c r="K3322" s="30"/>
      <c r="L3322" s="23"/>
      <c r="M3322" s="20"/>
      <c r="N3322" s="20"/>
      <c r="O3322" s="20"/>
      <c r="P3322" s="20"/>
    </row>
    <row r="3323">
      <c r="A3323" s="10"/>
      <c r="B3323" s="11"/>
      <c r="C3323" s="10"/>
      <c r="D3323" s="13"/>
      <c r="E3323" s="14"/>
      <c r="F3323" s="14"/>
      <c r="G3323" s="14"/>
      <c r="H3323" s="10"/>
      <c r="I3323" s="17"/>
      <c r="J3323" s="10"/>
      <c r="K3323" s="46"/>
      <c r="L3323" s="10"/>
      <c r="M3323" s="20"/>
      <c r="N3323" s="20"/>
      <c r="O3323" s="20"/>
      <c r="P3323" s="20"/>
    </row>
    <row r="3324">
      <c r="A3324" s="23"/>
      <c r="B3324" s="21"/>
      <c r="C3324" s="23"/>
      <c r="D3324" s="24"/>
      <c r="E3324" s="14"/>
      <c r="F3324" s="14"/>
      <c r="G3324" s="14"/>
      <c r="H3324" s="23"/>
      <c r="I3324" s="27"/>
      <c r="J3324" s="23"/>
      <c r="K3324" s="30"/>
      <c r="L3324" s="23"/>
      <c r="M3324" s="20"/>
      <c r="N3324" s="20"/>
      <c r="O3324" s="20"/>
      <c r="P3324" s="20"/>
    </row>
    <row r="3325">
      <c r="A3325" s="10"/>
      <c r="B3325" s="11"/>
      <c r="C3325" s="10"/>
      <c r="D3325" s="13"/>
      <c r="E3325" s="14"/>
      <c r="F3325" s="14"/>
      <c r="G3325" s="14"/>
      <c r="H3325" s="10"/>
      <c r="I3325" s="17"/>
      <c r="J3325" s="10"/>
      <c r="K3325" s="46"/>
      <c r="L3325" s="10"/>
      <c r="M3325" s="20"/>
      <c r="N3325" s="20"/>
      <c r="O3325" s="20"/>
      <c r="P3325" s="20"/>
    </row>
    <row r="3326">
      <c r="A3326" s="23"/>
      <c r="B3326" s="21"/>
      <c r="C3326" s="23"/>
      <c r="D3326" s="24"/>
      <c r="E3326" s="14"/>
      <c r="F3326" s="14"/>
      <c r="G3326" s="14"/>
      <c r="H3326" s="23"/>
      <c r="I3326" s="27"/>
      <c r="J3326" s="23"/>
      <c r="K3326" s="30"/>
      <c r="L3326" s="23"/>
      <c r="M3326" s="20"/>
      <c r="N3326" s="20"/>
      <c r="O3326" s="20"/>
      <c r="P3326" s="20"/>
    </row>
    <row r="3327">
      <c r="A3327" s="10"/>
      <c r="B3327" s="11"/>
      <c r="C3327" s="10"/>
      <c r="D3327" s="13"/>
      <c r="E3327" s="14"/>
      <c r="F3327" s="14"/>
      <c r="G3327" s="14"/>
      <c r="H3327" s="10"/>
      <c r="I3327" s="17"/>
      <c r="J3327" s="10"/>
      <c r="K3327" s="46"/>
      <c r="L3327" s="10"/>
      <c r="M3327" s="20"/>
      <c r="N3327" s="20"/>
      <c r="O3327" s="20"/>
      <c r="P3327" s="20"/>
    </row>
    <row r="3328">
      <c r="A3328" s="23"/>
      <c r="B3328" s="21"/>
      <c r="C3328" s="23"/>
      <c r="D3328" s="24"/>
      <c r="E3328" s="14"/>
      <c r="F3328" s="14"/>
      <c r="G3328" s="14"/>
      <c r="H3328" s="23"/>
      <c r="I3328" s="27"/>
      <c r="J3328" s="23"/>
      <c r="K3328" s="30"/>
      <c r="L3328" s="23"/>
      <c r="M3328" s="20"/>
      <c r="N3328" s="20"/>
      <c r="O3328" s="20"/>
      <c r="P3328" s="20"/>
    </row>
    <row r="3329">
      <c r="A3329" s="10"/>
      <c r="B3329" s="11"/>
      <c r="C3329" s="10"/>
      <c r="D3329" s="13"/>
      <c r="E3329" s="14"/>
      <c r="F3329" s="14"/>
      <c r="G3329" s="14"/>
      <c r="H3329" s="10"/>
      <c r="I3329" s="17"/>
      <c r="J3329" s="10"/>
      <c r="K3329" s="46"/>
      <c r="L3329" s="10"/>
      <c r="M3329" s="20"/>
      <c r="N3329" s="20"/>
      <c r="O3329" s="20"/>
      <c r="P3329" s="20"/>
    </row>
    <row r="3330">
      <c r="A3330" s="23"/>
      <c r="B3330" s="21"/>
      <c r="C3330" s="23"/>
      <c r="D3330" s="24"/>
      <c r="E3330" s="14"/>
      <c r="F3330" s="14"/>
      <c r="G3330" s="14"/>
      <c r="H3330" s="23"/>
      <c r="I3330" s="27"/>
      <c r="J3330" s="23"/>
      <c r="K3330" s="30"/>
      <c r="L3330" s="23"/>
      <c r="M3330" s="20"/>
      <c r="N3330" s="20"/>
      <c r="O3330" s="20"/>
      <c r="P3330" s="20"/>
    </row>
    <row r="3331">
      <c r="A3331" s="10"/>
      <c r="B3331" s="11"/>
      <c r="C3331" s="10"/>
      <c r="D3331" s="13"/>
      <c r="E3331" s="14"/>
      <c r="F3331" s="14"/>
      <c r="G3331" s="14"/>
      <c r="H3331" s="10"/>
      <c r="I3331" s="17"/>
      <c r="J3331" s="10"/>
      <c r="K3331" s="46"/>
      <c r="L3331" s="10"/>
      <c r="M3331" s="20"/>
      <c r="N3331" s="20"/>
      <c r="O3331" s="20"/>
      <c r="P3331" s="20"/>
    </row>
    <row r="3332">
      <c r="A3332" s="23"/>
      <c r="B3332" s="21"/>
      <c r="C3332" s="23"/>
      <c r="D3332" s="24"/>
      <c r="E3332" s="14"/>
      <c r="F3332" s="14"/>
      <c r="G3332" s="14"/>
      <c r="H3332" s="23"/>
      <c r="I3332" s="27"/>
      <c r="J3332" s="23"/>
      <c r="K3332" s="30"/>
      <c r="L3332" s="23"/>
      <c r="M3332" s="20"/>
      <c r="N3332" s="20"/>
      <c r="O3332" s="20"/>
      <c r="P3332" s="20"/>
    </row>
    <row r="3333">
      <c r="A3333" s="10"/>
      <c r="B3333" s="11"/>
      <c r="C3333" s="10"/>
      <c r="D3333" s="13"/>
      <c r="E3333" s="14"/>
      <c r="F3333" s="14"/>
      <c r="G3333" s="14"/>
      <c r="H3333" s="10"/>
      <c r="I3333" s="17"/>
      <c r="J3333" s="10"/>
      <c r="K3333" s="46"/>
      <c r="L3333" s="10"/>
      <c r="M3333" s="20"/>
      <c r="N3333" s="20"/>
      <c r="O3333" s="20"/>
      <c r="P3333" s="20"/>
    </row>
    <row r="3334">
      <c r="A3334" s="23"/>
      <c r="B3334" s="21"/>
      <c r="C3334" s="23"/>
      <c r="D3334" s="24"/>
      <c r="E3334" s="14"/>
      <c r="F3334" s="14"/>
      <c r="G3334" s="14"/>
      <c r="H3334" s="23"/>
      <c r="I3334" s="27"/>
      <c r="J3334" s="23"/>
      <c r="K3334" s="30"/>
      <c r="L3334" s="23"/>
      <c r="M3334" s="20"/>
      <c r="N3334" s="20"/>
      <c r="O3334" s="20"/>
      <c r="P3334" s="20"/>
    </row>
    <row r="3335">
      <c r="A3335" s="10"/>
      <c r="B3335" s="11"/>
      <c r="C3335" s="10"/>
      <c r="D3335" s="13"/>
      <c r="E3335" s="14"/>
      <c r="F3335" s="14"/>
      <c r="G3335" s="14"/>
      <c r="H3335" s="10"/>
      <c r="I3335" s="17"/>
      <c r="J3335" s="10"/>
      <c r="K3335" s="46"/>
      <c r="L3335" s="10"/>
      <c r="M3335" s="20"/>
      <c r="N3335" s="20"/>
      <c r="O3335" s="20"/>
      <c r="P3335" s="20"/>
    </row>
    <row r="3336">
      <c r="A3336" s="23"/>
      <c r="B3336" s="21"/>
      <c r="C3336" s="23"/>
      <c r="D3336" s="24"/>
      <c r="E3336" s="14"/>
      <c r="F3336" s="14"/>
      <c r="G3336" s="14"/>
      <c r="H3336" s="23"/>
      <c r="I3336" s="27"/>
      <c r="J3336" s="23"/>
      <c r="K3336" s="30"/>
      <c r="L3336" s="23"/>
      <c r="M3336" s="20"/>
      <c r="N3336" s="20"/>
      <c r="O3336" s="20"/>
      <c r="P3336" s="20"/>
    </row>
    <row r="3337">
      <c r="A3337" s="10"/>
      <c r="B3337" s="11"/>
      <c r="C3337" s="10"/>
      <c r="D3337" s="13"/>
      <c r="E3337" s="14"/>
      <c r="F3337" s="14"/>
      <c r="G3337" s="14"/>
      <c r="H3337" s="10"/>
      <c r="I3337" s="17"/>
      <c r="J3337" s="10"/>
      <c r="K3337" s="46"/>
      <c r="L3337" s="10"/>
      <c r="M3337" s="20"/>
      <c r="N3337" s="20"/>
      <c r="O3337" s="20"/>
      <c r="P3337" s="20"/>
    </row>
    <row r="3338">
      <c r="A3338" s="23"/>
      <c r="B3338" s="21"/>
      <c r="C3338" s="23"/>
      <c r="D3338" s="24"/>
      <c r="E3338" s="14"/>
      <c r="F3338" s="14"/>
      <c r="G3338" s="14"/>
      <c r="H3338" s="23"/>
      <c r="I3338" s="27"/>
      <c r="J3338" s="23"/>
      <c r="K3338" s="30"/>
      <c r="L3338" s="23"/>
      <c r="M3338" s="20"/>
      <c r="N3338" s="20"/>
      <c r="O3338" s="20"/>
      <c r="P3338" s="20"/>
    </row>
    <row r="3339">
      <c r="A3339" s="10"/>
      <c r="B3339" s="11"/>
      <c r="C3339" s="10"/>
      <c r="D3339" s="13"/>
      <c r="E3339" s="14"/>
      <c r="F3339" s="14"/>
      <c r="G3339" s="14"/>
      <c r="H3339" s="10"/>
      <c r="I3339" s="17"/>
      <c r="J3339" s="10"/>
      <c r="K3339" s="46"/>
      <c r="L3339" s="10"/>
      <c r="M3339" s="20"/>
      <c r="N3339" s="20"/>
      <c r="O3339" s="20"/>
      <c r="P3339" s="20"/>
    </row>
    <row r="3340">
      <c r="A3340" s="23"/>
      <c r="B3340" s="21"/>
      <c r="C3340" s="23"/>
      <c r="D3340" s="24"/>
      <c r="E3340" s="14"/>
      <c r="F3340" s="14"/>
      <c r="G3340" s="14"/>
      <c r="H3340" s="23"/>
      <c r="I3340" s="27"/>
      <c r="J3340" s="23"/>
      <c r="K3340" s="30"/>
      <c r="L3340" s="23"/>
      <c r="M3340" s="20"/>
      <c r="N3340" s="20"/>
      <c r="O3340" s="20"/>
      <c r="P3340" s="20"/>
    </row>
    <row r="3341">
      <c r="A3341" s="10"/>
      <c r="B3341" s="11"/>
      <c r="C3341" s="10"/>
      <c r="D3341" s="13"/>
      <c r="E3341" s="14"/>
      <c r="F3341" s="14"/>
      <c r="G3341" s="14"/>
      <c r="H3341" s="10"/>
      <c r="I3341" s="17"/>
      <c r="J3341" s="10"/>
      <c r="K3341" s="46"/>
      <c r="L3341" s="10"/>
      <c r="M3341" s="20"/>
      <c r="N3341" s="20"/>
      <c r="O3341" s="20"/>
      <c r="P3341" s="20"/>
    </row>
    <row r="3342">
      <c r="A3342" s="23"/>
      <c r="B3342" s="21"/>
      <c r="C3342" s="23"/>
      <c r="D3342" s="24"/>
      <c r="E3342" s="14"/>
      <c r="F3342" s="14"/>
      <c r="G3342" s="14"/>
      <c r="H3342" s="23"/>
      <c r="I3342" s="27"/>
      <c r="J3342" s="23"/>
      <c r="K3342" s="30"/>
      <c r="L3342" s="23"/>
      <c r="M3342" s="20"/>
      <c r="N3342" s="20"/>
      <c r="O3342" s="20"/>
      <c r="P3342" s="20"/>
    </row>
    <row r="3343">
      <c r="A3343" s="10"/>
      <c r="B3343" s="11"/>
      <c r="C3343" s="10"/>
      <c r="D3343" s="13"/>
      <c r="E3343" s="14"/>
      <c r="F3343" s="14"/>
      <c r="G3343" s="14"/>
      <c r="H3343" s="10"/>
      <c r="I3343" s="17"/>
      <c r="J3343" s="10"/>
      <c r="K3343" s="46"/>
      <c r="L3343" s="10"/>
      <c r="M3343" s="20"/>
      <c r="N3343" s="20"/>
      <c r="O3343" s="20"/>
      <c r="P3343" s="20"/>
    </row>
    <row r="3344">
      <c r="A3344" s="23"/>
      <c r="B3344" s="21"/>
      <c r="C3344" s="23"/>
      <c r="D3344" s="24"/>
      <c r="E3344" s="14"/>
      <c r="F3344" s="14"/>
      <c r="G3344" s="14"/>
      <c r="H3344" s="23"/>
      <c r="I3344" s="27"/>
      <c r="J3344" s="23"/>
      <c r="K3344" s="30"/>
      <c r="L3344" s="23"/>
      <c r="M3344" s="20"/>
      <c r="N3344" s="20"/>
      <c r="O3344" s="20"/>
      <c r="P3344" s="20"/>
    </row>
    <row r="3345">
      <c r="A3345" s="10"/>
      <c r="B3345" s="11"/>
      <c r="C3345" s="10"/>
      <c r="D3345" s="13"/>
      <c r="E3345" s="14"/>
      <c r="F3345" s="14"/>
      <c r="G3345" s="14"/>
      <c r="H3345" s="10"/>
      <c r="I3345" s="17"/>
      <c r="J3345" s="10"/>
      <c r="K3345" s="46"/>
      <c r="L3345" s="10"/>
      <c r="M3345" s="20"/>
      <c r="N3345" s="20"/>
      <c r="O3345" s="20"/>
      <c r="P3345" s="20"/>
    </row>
    <row r="3346">
      <c r="A3346" s="23"/>
      <c r="B3346" s="21"/>
      <c r="C3346" s="23"/>
      <c r="D3346" s="24"/>
      <c r="E3346" s="14"/>
      <c r="F3346" s="14"/>
      <c r="G3346" s="14"/>
      <c r="H3346" s="23"/>
      <c r="I3346" s="27"/>
      <c r="J3346" s="23"/>
      <c r="K3346" s="30"/>
      <c r="L3346" s="23"/>
      <c r="M3346" s="20"/>
      <c r="N3346" s="20"/>
      <c r="O3346" s="20"/>
      <c r="P3346" s="20"/>
    </row>
    <row r="3347">
      <c r="A3347" s="10"/>
      <c r="B3347" s="11"/>
      <c r="C3347" s="10"/>
      <c r="D3347" s="13"/>
      <c r="E3347" s="14"/>
      <c r="F3347" s="14"/>
      <c r="G3347" s="14"/>
      <c r="H3347" s="10"/>
      <c r="I3347" s="17"/>
      <c r="J3347" s="10"/>
      <c r="K3347" s="46"/>
      <c r="L3347" s="10"/>
      <c r="M3347" s="20"/>
      <c r="N3347" s="20"/>
      <c r="O3347" s="20"/>
      <c r="P3347" s="20"/>
    </row>
    <row r="3348">
      <c r="A3348" s="23"/>
      <c r="B3348" s="21"/>
      <c r="C3348" s="23"/>
      <c r="D3348" s="24"/>
      <c r="E3348" s="14"/>
      <c r="F3348" s="14"/>
      <c r="G3348" s="14"/>
      <c r="H3348" s="23"/>
      <c r="I3348" s="27"/>
      <c r="J3348" s="23"/>
      <c r="K3348" s="30"/>
      <c r="L3348" s="23"/>
      <c r="M3348" s="20"/>
      <c r="N3348" s="20"/>
      <c r="O3348" s="20"/>
      <c r="P3348" s="20"/>
    </row>
    <row r="3349">
      <c r="A3349" s="10"/>
      <c r="B3349" s="11"/>
      <c r="C3349" s="10"/>
      <c r="D3349" s="13"/>
      <c r="E3349" s="14"/>
      <c r="F3349" s="14"/>
      <c r="G3349" s="14"/>
      <c r="H3349" s="10"/>
      <c r="I3349" s="17"/>
      <c r="J3349" s="10"/>
      <c r="K3349" s="46"/>
      <c r="L3349" s="10"/>
      <c r="M3349" s="20"/>
      <c r="N3349" s="20"/>
      <c r="O3349" s="20"/>
      <c r="P3349" s="20"/>
    </row>
    <row r="3350">
      <c r="A3350" s="23"/>
      <c r="B3350" s="21"/>
      <c r="C3350" s="23"/>
      <c r="D3350" s="24"/>
      <c r="E3350" s="14"/>
      <c r="F3350" s="14"/>
      <c r="G3350" s="14"/>
      <c r="H3350" s="23"/>
      <c r="I3350" s="27"/>
      <c r="J3350" s="23"/>
      <c r="K3350" s="30"/>
      <c r="L3350" s="23"/>
      <c r="M3350" s="20"/>
      <c r="N3350" s="20"/>
      <c r="O3350" s="20"/>
      <c r="P3350" s="20"/>
    </row>
    <row r="3351">
      <c r="A3351" s="10"/>
      <c r="B3351" s="11"/>
      <c r="C3351" s="10"/>
      <c r="D3351" s="13"/>
      <c r="E3351" s="14"/>
      <c r="F3351" s="14"/>
      <c r="G3351" s="14"/>
      <c r="H3351" s="10"/>
      <c r="I3351" s="17"/>
      <c r="J3351" s="10"/>
      <c r="K3351" s="46"/>
      <c r="L3351" s="10"/>
      <c r="M3351" s="20"/>
      <c r="N3351" s="20"/>
      <c r="O3351" s="20"/>
      <c r="P3351" s="20"/>
    </row>
    <row r="3352">
      <c r="A3352" s="23"/>
      <c r="B3352" s="21"/>
      <c r="C3352" s="23"/>
      <c r="D3352" s="24"/>
      <c r="E3352" s="14"/>
      <c r="F3352" s="14"/>
      <c r="G3352" s="14"/>
      <c r="H3352" s="23"/>
      <c r="I3352" s="27"/>
      <c r="J3352" s="23"/>
      <c r="K3352" s="30"/>
      <c r="L3352" s="23"/>
      <c r="M3352" s="20"/>
      <c r="N3352" s="20"/>
      <c r="O3352" s="20"/>
      <c r="P3352" s="20"/>
    </row>
    <row r="3353">
      <c r="A3353" s="10"/>
      <c r="B3353" s="11"/>
      <c r="C3353" s="10"/>
      <c r="D3353" s="13"/>
      <c r="E3353" s="14"/>
      <c r="F3353" s="14"/>
      <c r="G3353" s="14"/>
      <c r="H3353" s="10"/>
      <c r="I3353" s="17"/>
      <c r="J3353" s="10"/>
      <c r="K3353" s="46"/>
      <c r="L3353" s="10"/>
      <c r="M3353" s="20"/>
      <c r="N3353" s="20"/>
      <c r="O3353" s="20"/>
      <c r="P3353" s="20"/>
    </row>
    <row r="3354">
      <c r="A3354" s="23"/>
      <c r="B3354" s="21"/>
      <c r="C3354" s="23"/>
      <c r="D3354" s="24"/>
      <c r="E3354" s="14"/>
      <c r="F3354" s="14"/>
      <c r="G3354" s="14"/>
      <c r="H3354" s="23"/>
      <c r="I3354" s="27"/>
      <c r="J3354" s="23"/>
      <c r="K3354" s="30"/>
      <c r="L3354" s="23"/>
      <c r="M3354" s="20"/>
      <c r="N3354" s="20"/>
      <c r="O3354" s="20"/>
      <c r="P3354" s="20"/>
    </row>
    <row r="3355">
      <c r="A3355" s="10"/>
      <c r="B3355" s="11"/>
      <c r="C3355" s="10"/>
      <c r="D3355" s="13"/>
      <c r="E3355" s="14"/>
      <c r="F3355" s="14"/>
      <c r="G3355" s="14"/>
      <c r="H3355" s="10"/>
      <c r="I3355" s="17"/>
      <c r="J3355" s="10"/>
      <c r="K3355" s="46"/>
      <c r="L3355" s="10"/>
      <c r="M3355" s="20"/>
      <c r="N3355" s="20"/>
      <c r="O3355" s="20"/>
      <c r="P3355" s="20"/>
    </row>
    <row r="3356">
      <c r="A3356" s="23"/>
      <c r="B3356" s="21"/>
      <c r="C3356" s="23"/>
      <c r="D3356" s="24"/>
      <c r="E3356" s="14"/>
      <c r="F3356" s="14"/>
      <c r="G3356" s="14"/>
      <c r="H3356" s="23"/>
      <c r="I3356" s="27"/>
      <c r="J3356" s="23"/>
      <c r="K3356" s="30"/>
      <c r="L3356" s="23"/>
      <c r="M3356" s="20"/>
      <c r="N3356" s="20"/>
      <c r="O3356" s="20"/>
      <c r="P3356" s="20"/>
    </row>
    <row r="3357">
      <c r="A3357" s="10"/>
      <c r="B3357" s="11"/>
      <c r="C3357" s="10"/>
      <c r="D3357" s="13"/>
      <c r="E3357" s="14"/>
      <c r="F3357" s="14"/>
      <c r="G3357" s="14"/>
      <c r="H3357" s="10"/>
      <c r="I3357" s="17"/>
      <c r="J3357" s="10"/>
      <c r="K3357" s="46"/>
      <c r="L3357" s="10"/>
      <c r="M3357" s="20"/>
      <c r="N3357" s="20"/>
      <c r="O3357" s="20"/>
      <c r="P3357" s="20"/>
    </row>
    <row r="3358">
      <c r="A3358" s="23"/>
      <c r="B3358" s="21"/>
      <c r="C3358" s="23"/>
      <c r="D3358" s="24"/>
      <c r="E3358" s="14"/>
      <c r="F3358" s="14"/>
      <c r="G3358" s="14"/>
      <c r="H3358" s="23"/>
      <c r="I3358" s="27"/>
      <c r="J3358" s="23"/>
      <c r="K3358" s="30"/>
      <c r="L3358" s="23"/>
      <c r="M3358" s="20"/>
      <c r="N3358" s="20"/>
      <c r="O3358" s="20"/>
      <c r="P3358" s="20"/>
    </row>
    <row r="3359">
      <c r="A3359" s="10"/>
      <c r="B3359" s="11"/>
      <c r="C3359" s="10"/>
      <c r="D3359" s="13"/>
      <c r="E3359" s="14"/>
      <c r="F3359" s="14"/>
      <c r="G3359" s="14"/>
      <c r="H3359" s="10"/>
      <c r="I3359" s="17"/>
      <c r="J3359" s="10"/>
      <c r="K3359" s="46"/>
      <c r="L3359" s="10"/>
      <c r="M3359" s="20"/>
      <c r="N3359" s="20"/>
      <c r="O3359" s="20"/>
      <c r="P3359" s="20"/>
    </row>
    <row r="3360">
      <c r="A3360" s="23"/>
      <c r="B3360" s="21"/>
      <c r="C3360" s="23"/>
      <c r="D3360" s="24"/>
      <c r="E3360" s="14"/>
      <c r="F3360" s="14"/>
      <c r="G3360" s="14"/>
      <c r="H3360" s="23"/>
      <c r="I3360" s="27"/>
      <c r="J3360" s="23"/>
      <c r="K3360" s="30"/>
      <c r="L3360" s="23"/>
      <c r="M3360" s="20"/>
      <c r="N3360" s="20"/>
      <c r="O3360" s="20"/>
      <c r="P3360" s="20"/>
    </row>
    <row r="3361">
      <c r="A3361" s="10"/>
      <c r="B3361" s="11"/>
      <c r="C3361" s="10"/>
      <c r="D3361" s="13"/>
      <c r="E3361" s="14"/>
      <c r="F3361" s="14"/>
      <c r="G3361" s="14"/>
      <c r="H3361" s="10"/>
      <c r="I3361" s="17"/>
      <c r="J3361" s="10"/>
      <c r="K3361" s="46"/>
      <c r="L3361" s="10"/>
      <c r="M3361" s="20"/>
      <c r="N3361" s="20"/>
      <c r="O3361" s="20"/>
      <c r="P3361" s="20"/>
    </row>
    <row r="3362">
      <c r="A3362" s="23"/>
      <c r="B3362" s="21"/>
      <c r="C3362" s="23"/>
      <c r="D3362" s="24"/>
      <c r="E3362" s="14"/>
      <c r="F3362" s="14"/>
      <c r="G3362" s="14"/>
      <c r="H3362" s="23"/>
      <c r="I3362" s="27"/>
      <c r="J3362" s="23"/>
      <c r="K3362" s="30"/>
      <c r="L3362" s="23"/>
      <c r="M3362" s="20"/>
      <c r="N3362" s="20"/>
      <c r="O3362" s="20"/>
      <c r="P3362" s="20"/>
    </row>
    <row r="3363">
      <c r="A3363" s="10"/>
      <c r="B3363" s="11"/>
      <c r="C3363" s="10"/>
      <c r="D3363" s="13"/>
      <c r="E3363" s="14"/>
      <c r="F3363" s="14"/>
      <c r="G3363" s="14"/>
      <c r="H3363" s="10"/>
      <c r="I3363" s="17"/>
      <c r="J3363" s="10"/>
      <c r="K3363" s="46"/>
      <c r="L3363" s="10"/>
      <c r="M3363" s="20"/>
      <c r="N3363" s="20"/>
      <c r="O3363" s="20"/>
      <c r="P3363" s="20"/>
    </row>
    <row r="3364">
      <c r="A3364" s="23"/>
      <c r="B3364" s="21"/>
      <c r="C3364" s="23"/>
      <c r="D3364" s="24"/>
      <c r="E3364" s="14"/>
      <c r="F3364" s="14"/>
      <c r="G3364" s="14"/>
      <c r="H3364" s="23"/>
      <c r="I3364" s="27"/>
      <c r="J3364" s="23"/>
      <c r="K3364" s="30"/>
      <c r="L3364" s="23"/>
      <c r="M3364" s="20"/>
      <c r="N3364" s="20"/>
      <c r="O3364" s="20"/>
      <c r="P3364" s="20"/>
    </row>
    <row r="3365">
      <c r="A3365" s="10"/>
      <c r="B3365" s="11"/>
      <c r="C3365" s="10"/>
      <c r="D3365" s="13"/>
      <c r="E3365" s="14"/>
      <c r="F3365" s="14"/>
      <c r="G3365" s="14"/>
      <c r="H3365" s="10"/>
      <c r="I3365" s="17"/>
      <c r="J3365" s="10"/>
      <c r="K3365" s="46"/>
      <c r="L3365" s="10"/>
      <c r="M3365" s="20"/>
      <c r="N3365" s="20"/>
      <c r="O3365" s="20"/>
      <c r="P3365" s="20"/>
    </row>
    <row r="3366">
      <c r="A3366" s="23"/>
      <c r="B3366" s="21"/>
      <c r="C3366" s="23"/>
      <c r="D3366" s="24"/>
      <c r="E3366" s="14"/>
      <c r="F3366" s="14"/>
      <c r="G3366" s="14"/>
      <c r="H3366" s="23"/>
      <c r="I3366" s="27"/>
      <c r="J3366" s="23"/>
      <c r="K3366" s="30"/>
      <c r="L3366" s="23"/>
      <c r="M3366" s="20"/>
      <c r="N3366" s="20"/>
      <c r="O3366" s="20"/>
      <c r="P3366" s="20"/>
    </row>
    <row r="3367">
      <c r="A3367" s="10"/>
      <c r="B3367" s="11"/>
      <c r="C3367" s="10"/>
      <c r="D3367" s="13"/>
      <c r="E3367" s="14"/>
      <c r="F3367" s="14"/>
      <c r="G3367" s="14"/>
      <c r="H3367" s="10"/>
      <c r="I3367" s="17"/>
      <c r="J3367" s="10"/>
      <c r="K3367" s="46"/>
      <c r="L3367" s="10"/>
      <c r="M3367" s="20"/>
      <c r="N3367" s="20"/>
      <c r="O3367" s="20"/>
      <c r="P3367" s="20"/>
    </row>
    <row r="3368">
      <c r="A3368" s="23"/>
      <c r="B3368" s="21"/>
      <c r="C3368" s="23"/>
      <c r="D3368" s="24"/>
      <c r="E3368" s="14"/>
      <c r="F3368" s="14"/>
      <c r="G3368" s="14"/>
      <c r="H3368" s="23"/>
      <c r="I3368" s="27"/>
      <c r="J3368" s="23"/>
      <c r="K3368" s="30"/>
      <c r="L3368" s="23"/>
      <c r="M3368" s="20"/>
      <c r="N3368" s="20"/>
      <c r="O3368" s="20"/>
      <c r="P3368" s="20"/>
    </row>
    <row r="3369">
      <c r="A3369" s="10"/>
      <c r="B3369" s="11"/>
      <c r="C3369" s="10"/>
      <c r="D3369" s="13"/>
      <c r="E3369" s="14"/>
      <c r="F3369" s="14"/>
      <c r="G3369" s="14"/>
      <c r="H3369" s="10"/>
      <c r="I3369" s="17"/>
      <c r="J3369" s="10"/>
      <c r="K3369" s="46"/>
      <c r="L3369" s="10"/>
      <c r="M3369" s="20"/>
      <c r="N3369" s="20"/>
      <c r="O3369" s="20"/>
      <c r="P3369" s="20"/>
    </row>
    <row r="3370">
      <c r="A3370" s="23"/>
      <c r="B3370" s="21"/>
      <c r="C3370" s="23"/>
      <c r="D3370" s="24"/>
      <c r="E3370" s="14"/>
      <c r="F3370" s="14"/>
      <c r="G3370" s="14"/>
      <c r="H3370" s="23"/>
      <c r="I3370" s="27"/>
      <c r="J3370" s="23"/>
      <c r="K3370" s="30"/>
      <c r="L3370" s="23"/>
      <c r="M3370" s="20"/>
      <c r="N3370" s="20"/>
      <c r="O3370" s="20"/>
      <c r="P3370" s="20"/>
    </row>
    <row r="3371">
      <c r="A3371" s="10"/>
      <c r="B3371" s="11"/>
      <c r="C3371" s="10"/>
      <c r="D3371" s="13"/>
      <c r="E3371" s="14"/>
      <c r="F3371" s="14"/>
      <c r="G3371" s="14"/>
      <c r="H3371" s="10"/>
      <c r="I3371" s="17"/>
      <c r="J3371" s="10"/>
      <c r="K3371" s="46"/>
      <c r="L3371" s="10"/>
      <c r="M3371" s="20"/>
      <c r="N3371" s="20"/>
      <c r="O3371" s="20"/>
      <c r="P3371" s="20"/>
    </row>
    <row r="3372">
      <c r="A3372" s="23"/>
      <c r="B3372" s="21"/>
      <c r="C3372" s="23"/>
      <c r="D3372" s="24"/>
      <c r="E3372" s="14"/>
      <c r="F3372" s="14"/>
      <c r="G3372" s="14"/>
      <c r="H3372" s="23"/>
      <c r="I3372" s="27"/>
      <c r="J3372" s="23"/>
      <c r="K3372" s="30"/>
      <c r="L3372" s="23"/>
      <c r="M3372" s="20"/>
      <c r="N3372" s="20"/>
      <c r="O3372" s="20"/>
      <c r="P3372" s="20"/>
    </row>
    <row r="3373">
      <c r="A3373" s="10"/>
      <c r="B3373" s="11"/>
      <c r="C3373" s="10"/>
      <c r="D3373" s="13"/>
      <c r="E3373" s="14"/>
      <c r="F3373" s="14"/>
      <c r="G3373" s="14"/>
      <c r="H3373" s="10"/>
      <c r="I3373" s="17"/>
      <c r="J3373" s="10"/>
      <c r="K3373" s="46"/>
      <c r="L3373" s="10"/>
      <c r="M3373" s="20"/>
      <c r="N3373" s="20"/>
      <c r="O3373" s="20"/>
      <c r="P3373" s="20"/>
    </row>
    <row r="3374">
      <c r="A3374" s="23"/>
      <c r="B3374" s="21"/>
      <c r="C3374" s="23"/>
      <c r="D3374" s="24"/>
      <c r="E3374" s="14"/>
      <c r="F3374" s="14"/>
      <c r="G3374" s="14"/>
      <c r="H3374" s="23"/>
      <c r="I3374" s="27"/>
      <c r="J3374" s="23"/>
      <c r="K3374" s="30"/>
      <c r="L3374" s="23"/>
      <c r="M3374" s="20"/>
      <c r="N3374" s="20"/>
      <c r="O3374" s="20"/>
      <c r="P3374" s="20"/>
    </row>
    <row r="3375">
      <c r="A3375" s="10"/>
      <c r="B3375" s="11"/>
      <c r="C3375" s="10"/>
      <c r="D3375" s="13"/>
      <c r="E3375" s="14"/>
      <c r="F3375" s="14"/>
      <c r="G3375" s="14"/>
      <c r="H3375" s="10"/>
      <c r="I3375" s="17"/>
      <c r="J3375" s="10"/>
      <c r="K3375" s="46"/>
      <c r="L3375" s="10"/>
      <c r="M3375" s="20"/>
      <c r="N3375" s="20"/>
      <c r="O3375" s="20"/>
      <c r="P3375" s="20"/>
    </row>
    <row r="3376">
      <c r="A3376" s="23"/>
      <c r="B3376" s="21"/>
      <c r="C3376" s="23"/>
      <c r="D3376" s="24"/>
      <c r="E3376" s="14"/>
      <c r="F3376" s="14"/>
      <c r="G3376" s="14"/>
      <c r="H3376" s="23"/>
      <c r="I3376" s="27"/>
      <c r="J3376" s="23"/>
      <c r="K3376" s="30"/>
      <c r="L3376" s="23"/>
      <c r="M3376" s="20"/>
      <c r="N3376" s="20"/>
      <c r="O3376" s="20"/>
      <c r="P3376" s="20"/>
    </row>
    <row r="3377">
      <c r="A3377" s="10"/>
      <c r="B3377" s="11"/>
      <c r="C3377" s="10"/>
      <c r="D3377" s="13"/>
      <c r="E3377" s="14"/>
      <c r="F3377" s="14"/>
      <c r="G3377" s="14"/>
      <c r="H3377" s="10"/>
      <c r="I3377" s="17"/>
      <c r="J3377" s="10"/>
      <c r="K3377" s="46"/>
      <c r="L3377" s="10"/>
      <c r="M3377" s="20"/>
      <c r="N3377" s="20"/>
      <c r="O3377" s="20"/>
      <c r="P3377" s="20"/>
    </row>
    <row r="3378">
      <c r="A3378" s="23"/>
      <c r="B3378" s="21"/>
      <c r="C3378" s="23"/>
      <c r="D3378" s="24"/>
      <c r="E3378" s="14"/>
      <c r="F3378" s="14"/>
      <c r="G3378" s="14"/>
      <c r="H3378" s="23"/>
      <c r="I3378" s="27"/>
      <c r="J3378" s="23"/>
      <c r="K3378" s="30"/>
      <c r="L3378" s="23"/>
      <c r="M3378" s="20"/>
      <c r="N3378" s="20"/>
      <c r="O3378" s="20"/>
      <c r="P3378" s="20"/>
    </row>
    <row r="3379">
      <c r="A3379" s="10"/>
      <c r="B3379" s="11"/>
      <c r="C3379" s="10"/>
      <c r="D3379" s="13"/>
      <c r="E3379" s="14"/>
      <c r="F3379" s="14"/>
      <c r="G3379" s="14"/>
      <c r="H3379" s="10"/>
      <c r="I3379" s="17"/>
      <c r="J3379" s="10"/>
      <c r="K3379" s="46"/>
      <c r="L3379" s="10"/>
      <c r="M3379" s="20"/>
      <c r="N3379" s="20"/>
      <c r="O3379" s="20"/>
      <c r="P3379" s="20"/>
    </row>
    <row r="3380">
      <c r="A3380" s="23"/>
      <c r="B3380" s="21"/>
      <c r="C3380" s="23"/>
      <c r="D3380" s="24"/>
      <c r="E3380" s="14"/>
      <c r="F3380" s="14"/>
      <c r="G3380" s="14"/>
      <c r="H3380" s="23"/>
      <c r="I3380" s="27"/>
      <c r="J3380" s="23"/>
      <c r="K3380" s="30"/>
      <c r="L3380" s="23"/>
      <c r="M3380" s="20"/>
      <c r="N3380" s="20"/>
      <c r="O3380" s="20"/>
      <c r="P3380" s="20"/>
    </row>
    <row r="3381">
      <c r="A3381" s="10"/>
      <c r="B3381" s="11"/>
      <c r="C3381" s="10"/>
      <c r="D3381" s="13"/>
      <c r="E3381" s="14"/>
      <c r="F3381" s="14"/>
      <c r="G3381" s="14"/>
      <c r="H3381" s="10"/>
      <c r="I3381" s="17"/>
      <c r="J3381" s="10"/>
      <c r="K3381" s="46"/>
      <c r="L3381" s="10"/>
      <c r="M3381" s="20"/>
      <c r="N3381" s="20"/>
      <c r="O3381" s="20"/>
      <c r="P3381" s="20"/>
    </row>
    <row r="3382">
      <c r="A3382" s="23"/>
      <c r="B3382" s="21"/>
      <c r="C3382" s="23"/>
      <c r="D3382" s="24"/>
      <c r="E3382" s="14"/>
      <c r="F3382" s="14"/>
      <c r="G3382" s="14"/>
      <c r="H3382" s="23"/>
      <c r="I3382" s="27"/>
      <c r="J3382" s="23"/>
      <c r="K3382" s="30"/>
      <c r="L3382" s="23"/>
      <c r="M3382" s="20"/>
      <c r="N3382" s="20"/>
      <c r="O3382" s="20"/>
      <c r="P3382" s="20"/>
    </row>
    <row r="3383">
      <c r="A3383" s="10"/>
      <c r="B3383" s="11"/>
      <c r="C3383" s="10"/>
      <c r="D3383" s="13"/>
      <c r="E3383" s="14"/>
      <c r="F3383" s="14"/>
      <c r="G3383" s="14"/>
      <c r="H3383" s="10"/>
      <c r="I3383" s="17"/>
      <c r="J3383" s="10"/>
      <c r="K3383" s="46"/>
      <c r="L3383" s="10"/>
      <c r="M3383" s="20"/>
      <c r="N3383" s="20"/>
      <c r="O3383" s="20"/>
      <c r="P3383" s="20"/>
    </row>
    <row r="3384">
      <c r="A3384" s="23"/>
      <c r="B3384" s="21"/>
      <c r="C3384" s="23"/>
      <c r="D3384" s="24"/>
      <c r="E3384" s="14"/>
      <c r="F3384" s="14"/>
      <c r="G3384" s="14"/>
      <c r="H3384" s="23"/>
      <c r="I3384" s="27"/>
      <c r="J3384" s="23"/>
      <c r="K3384" s="30"/>
      <c r="L3384" s="23"/>
      <c r="M3384" s="20"/>
      <c r="N3384" s="20"/>
      <c r="O3384" s="20"/>
      <c r="P3384" s="20"/>
    </row>
    <row r="3385">
      <c r="A3385" s="10"/>
      <c r="B3385" s="11"/>
      <c r="C3385" s="10"/>
      <c r="D3385" s="13"/>
      <c r="E3385" s="14"/>
      <c r="F3385" s="14"/>
      <c r="G3385" s="14"/>
      <c r="H3385" s="10"/>
      <c r="I3385" s="17"/>
      <c r="J3385" s="10"/>
      <c r="K3385" s="46"/>
      <c r="L3385" s="10"/>
      <c r="M3385" s="20"/>
      <c r="N3385" s="20"/>
      <c r="O3385" s="20"/>
      <c r="P3385" s="20"/>
    </row>
    <row r="3386">
      <c r="A3386" s="23"/>
      <c r="B3386" s="21"/>
      <c r="C3386" s="23"/>
      <c r="D3386" s="24"/>
      <c r="E3386" s="14"/>
      <c r="F3386" s="14"/>
      <c r="G3386" s="14"/>
      <c r="H3386" s="23"/>
      <c r="I3386" s="27"/>
      <c r="J3386" s="23"/>
      <c r="K3386" s="30"/>
      <c r="L3386" s="23"/>
      <c r="M3386" s="20"/>
      <c r="N3386" s="20"/>
      <c r="O3386" s="20"/>
      <c r="P3386" s="20"/>
    </row>
    <row r="3387">
      <c r="A3387" s="10"/>
      <c r="B3387" s="11"/>
      <c r="C3387" s="10"/>
      <c r="D3387" s="13"/>
      <c r="E3387" s="14"/>
      <c r="F3387" s="14"/>
      <c r="G3387" s="14"/>
      <c r="H3387" s="10"/>
      <c r="I3387" s="17"/>
      <c r="J3387" s="10"/>
      <c r="K3387" s="46"/>
      <c r="L3387" s="10"/>
      <c r="M3387" s="20"/>
      <c r="N3387" s="20"/>
      <c r="O3387" s="20"/>
      <c r="P3387" s="20"/>
    </row>
    <row r="3388">
      <c r="A3388" s="23"/>
      <c r="B3388" s="21"/>
      <c r="C3388" s="23"/>
      <c r="D3388" s="24"/>
      <c r="E3388" s="14"/>
      <c r="F3388" s="14"/>
      <c r="G3388" s="14"/>
      <c r="H3388" s="23"/>
      <c r="I3388" s="27"/>
      <c r="J3388" s="23"/>
      <c r="K3388" s="30"/>
      <c r="L3388" s="23"/>
      <c r="M3388" s="20"/>
      <c r="N3388" s="20"/>
      <c r="O3388" s="20"/>
      <c r="P3388" s="20"/>
    </row>
    <row r="3389">
      <c r="A3389" s="10"/>
      <c r="B3389" s="11"/>
      <c r="C3389" s="10"/>
      <c r="D3389" s="13"/>
      <c r="E3389" s="14"/>
      <c r="F3389" s="14"/>
      <c r="G3389" s="14"/>
      <c r="H3389" s="10"/>
      <c r="I3389" s="17"/>
      <c r="J3389" s="10"/>
      <c r="K3389" s="46"/>
      <c r="L3389" s="10"/>
      <c r="M3389" s="20"/>
      <c r="N3389" s="20"/>
      <c r="O3389" s="20"/>
      <c r="P3389" s="20"/>
    </row>
    <row r="3390">
      <c r="A3390" s="23"/>
      <c r="B3390" s="21"/>
      <c r="C3390" s="23"/>
      <c r="D3390" s="24"/>
      <c r="E3390" s="14"/>
      <c r="F3390" s="14"/>
      <c r="G3390" s="14"/>
      <c r="H3390" s="23"/>
      <c r="I3390" s="27"/>
      <c r="J3390" s="23"/>
      <c r="K3390" s="30"/>
      <c r="L3390" s="23"/>
      <c r="M3390" s="20"/>
      <c r="N3390" s="20"/>
      <c r="O3390" s="20"/>
      <c r="P3390" s="20"/>
    </row>
    <row r="3391">
      <c r="A3391" s="10"/>
      <c r="B3391" s="11"/>
      <c r="C3391" s="10"/>
      <c r="D3391" s="13"/>
      <c r="E3391" s="14"/>
      <c r="F3391" s="14"/>
      <c r="G3391" s="14"/>
      <c r="H3391" s="10"/>
      <c r="I3391" s="17"/>
      <c r="J3391" s="10"/>
      <c r="K3391" s="46"/>
      <c r="L3391" s="10"/>
      <c r="M3391" s="20"/>
      <c r="N3391" s="20"/>
      <c r="O3391" s="20"/>
      <c r="P3391" s="20"/>
    </row>
    <row r="3392">
      <c r="A3392" s="23"/>
      <c r="B3392" s="21"/>
      <c r="C3392" s="23"/>
      <c r="D3392" s="24"/>
      <c r="E3392" s="14"/>
      <c r="F3392" s="14"/>
      <c r="G3392" s="14"/>
      <c r="H3392" s="23"/>
      <c r="I3392" s="27"/>
      <c r="J3392" s="23"/>
      <c r="K3392" s="30"/>
      <c r="L3392" s="23"/>
      <c r="M3392" s="20"/>
      <c r="N3392" s="20"/>
      <c r="O3392" s="20"/>
      <c r="P3392" s="20"/>
    </row>
    <row r="3393">
      <c r="A3393" s="10"/>
      <c r="B3393" s="11"/>
      <c r="C3393" s="10"/>
      <c r="D3393" s="13"/>
      <c r="E3393" s="14"/>
      <c r="F3393" s="14"/>
      <c r="G3393" s="14"/>
      <c r="H3393" s="10"/>
      <c r="I3393" s="17"/>
      <c r="J3393" s="10"/>
      <c r="K3393" s="46"/>
      <c r="L3393" s="10"/>
      <c r="M3393" s="20"/>
      <c r="N3393" s="20"/>
      <c r="O3393" s="20"/>
      <c r="P3393" s="20"/>
    </row>
    <row r="3394">
      <c r="A3394" s="23"/>
      <c r="B3394" s="21"/>
      <c r="C3394" s="23"/>
      <c r="D3394" s="24"/>
      <c r="E3394" s="14"/>
      <c r="F3394" s="14"/>
      <c r="G3394" s="14"/>
      <c r="H3394" s="23"/>
      <c r="I3394" s="27"/>
      <c r="J3394" s="23"/>
      <c r="K3394" s="30"/>
      <c r="L3394" s="23"/>
      <c r="M3394" s="20"/>
      <c r="N3394" s="20"/>
      <c r="O3394" s="20"/>
      <c r="P3394" s="20"/>
    </row>
    <row r="3395">
      <c r="A3395" s="10"/>
      <c r="B3395" s="11"/>
      <c r="C3395" s="10"/>
      <c r="D3395" s="13"/>
      <c r="E3395" s="14"/>
      <c r="F3395" s="14"/>
      <c r="G3395" s="14"/>
      <c r="H3395" s="10"/>
      <c r="I3395" s="17"/>
      <c r="J3395" s="10"/>
      <c r="K3395" s="46"/>
      <c r="L3395" s="10"/>
      <c r="M3395" s="20"/>
      <c r="N3395" s="20"/>
      <c r="O3395" s="20"/>
      <c r="P3395" s="20"/>
    </row>
    <row r="3396">
      <c r="A3396" s="23"/>
      <c r="B3396" s="21"/>
      <c r="C3396" s="23"/>
      <c r="D3396" s="24"/>
      <c r="E3396" s="14"/>
      <c r="F3396" s="14"/>
      <c r="G3396" s="14"/>
      <c r="H3396" s="23"/>
      <c r="I3396" s="27"/>
      <c r="J3396" s="23"/>
      <c r="K3396" s="30"/>
      <c r="L3396" s="23"/>
      <c r="M3396" s="20"/>
      <c r="N3396" s="20"/>
      <c r="O3396" s="20"/>
      <c r="P3396" s="20"/>
    </row>
    <row r="3397">
      <c r="A3397" s="10"/>
      <c r="B3397" s="11"/>
      <c r="C3397" s="10"/>
      <c r="D3397" s="13"/>
      <c r="E3397" s="14"/>
      <c r="F3397" s="14"/>
      <c r="G3397" s="14"/>
      <c r="H3397" s="10"/>
      <c r="I3397" s="17"/>
      <c r="J3397" s="10"/>
      <c r="K3397" s="46"/>
      <c r="L3397" s="10"/>
      <c r="M3397" s="20"/>
      <c r="N3397" s="20"/>
      <c r="O3397" s="20"/>
      <c r="P3397" s="20"/>
    </row>
    <row r="3398">
      <c r="A3398" s="23"/>
      <c r="B3398" s="21"/>
      <c r="C3398" s="23"/>
      <c r="D3398" s="24"/>
      <c r="E3398" s="14"/>
      <c r="F3398" s="14"/>
      <c r="G3398" s="14"/>
      <c r="H3398" s="23"/>
      <c r="I3398" s="27"/>
      <c r="J3398" s="23"/>
      <c r="K3398" s="30"/>
      <c r="L3398" s="23"/>
      <c r="M3398" s="20"/>
      <c r="N3398" s="20"/>
      <c r="O3398" s="20"/>
      <c r="P3398" s="20"/>
    </row>
    <row r="3399">
      <c r="A3399" s="10"/>
      <c r="B3399" s="11"/>
      <c r="C3399" s="10"/>
      <c r="D3399" s="13"/>
      <c r="E3399" s="14"/>
      <c r="F3399" s="14"/>
      <c r="G3399" s="14"/>
      <c r="H3399" s="10"/>
      <c r="I3399" s="17"/>
      <c r="J3399" s="10"/>
      <c r="K3399" s="46"/>
      <c r="L3399" s="10"/>
      <c r="M3399" s="20"/>
      <c r="N3399" s="20"/>
      <c r="O3399" s="20"/>
      <c r="P3399" s="20"/>
    </row>
    <row r="3400">
      <c r="A3400" s="23"/>
      <c r="B3400" s="21"/>
      <c r="C3400" s="23"/>
      <c r="D3400" s="24"/>
      <c r="E3400" s="14"/>
      <c r="F3400" s="14"/>
      <c r="G3400" s="14"/>
      <c r="H3400" s="23"/>
      <c r="I3400" s="27"/>
      <c r="J3400" s="23"/>
      <c r="K3400" s="30"/>
      <c r="L3400" s="23"/>
      <c r="M3400" s="20"/>
      <c r="N3400" s="20"/>
      <c r="O3400" s="20"/>
      <c r="P3400" s="20"/>
    </row>
    <row r="3401">
      <c r="A3401" s="10"/>
      <c r="B3401" s="11"/>
      <c r="C3401" s="10"/>
      <c r="D3401" s="13"/>
      <c r="E3401" s="14"/>
      <c r="F3401" s="14"/>
      <c r="G3401" s="14"/>
      <c r="H3401" s="10"/>
      <c r="I3401" s="17"/>
      <c r="J3401" s="10"/>
      <c r="K3401" s="46"/>
      <c r="L3401" s="10"/>
      <c r="M3401" s="20"/>
      <c r="N3401" s="20"/>
      <c r="O3401" s="20"/>
      <c r="P3401" s="20"/>
    </row>
    <row r="3402">
      <c r="A3402" s="23"/>
      <c r="B3402" s="21"/>
      <c r="C3402" s="23"/>
      <c r="D3402" s="24"/>
      <c r="E3402" s="14"/>
      <c r="F3402" s="14"/>
      <c r="G3402" s="14"/>
      <c r="H3402" s="23"/>
      <c r="I3402" s="27"/>
      <c r="J3402" s="23"/>
      <c r="K3402" s="30"/>
      <c r="L3402" s="23"/>
      <c r="M3402" s="20"/>
      <c r="N3402" s="20"/>
      <c r="O3402" s="20"/>
      <c r="P3402" s="20"/>
    </row>
    <row r="3403">
      <c r="A3403" s="10"/>
      <c r="B3403" s="11"/>
      <c r="C3403" s="10"/>
      <c r="D3403" s="13"/>
      <c r="E3403" s="14"/>
      <c r="F3403" s="14"/>
      <c r="G3403" s="14"/>
      <c r="H3403" s="10"/>
      <c r="I3403" s="17"/>
      <c r="J3403" s="10"/>
      <c r="K3403" s="46"/>
      <c r="L3403" s="10"/>
      <c r="M3403" s="20"/>
      <c r="N3403" s="20"/>
      <c r="O3403" s="20"/>
      <c r="P3403" s="20"/>
    </row>
    <row r="3404">
      <c r="A3404" s="23"/>
      <c r="B3404" s="21"/>
      <c r="C3404" s="23"/>
      <c r="D3404" s="24"/>
      <c r="E3404" s="14"/>
      <c r="F3404" s="14"/>
      <c r="G3404" s="14"/>
      <c r="H3404" s="23"/>
      <c r="I3404" s="27"/>
      <c r="J3404" s="23"/>
      <c r="K3404" s="30"/>
      <c r="L3404" s="23"/>
      <c r="M3404" s="20"/>
      <c r="N3404" s="20"/>
      <c r="O3404" s="20"/>
      <c r="P3404" s="20"/>
    </row>
    <row r="3405">
      <c r="A3405" s="10"/>
      <c r="B3405" s="11"/>
      <c r="C3405" s="10"/>
      <c r="D3405" s="13"/>
      <c r="E3405" s="14"/>
      <c r="F3405" s="14"/>
      <c r="G3405" s="14"/>
      <c r="H3405" s="10"/>
      <c r="I3405" s="17"/>
      <c r="J3405" s="10"/>
      <c r="K3405" s="46"/>
      <c r="L3405" s="10"/>
      <c r="M3405" s="20"/>
      <c r="N3405" s="20"/>
      <c r="O3405" s="20"/>
      <c r="P3405" s="20"/>
    </row>
    <row r="3406">
      <c r="A3406" s="23"/>
      <c r="B3406" s="21"/>
      <c r="C3406" s="23"/>
      <c r="D3406" s="24"/>
      <c r="E3406" s="14"/>
      <c r="F3406" s="14"/>
      <c r="G3406" s="14"/>
      <c r="H3406" s="23"/>
      <c r="I3406" s="27"/>
      <c r="J3406" s="23"/>
      <c r="K3406" s="30"/>
      <c r="L3406" s="23"/>
      <c r="M3406" s="20"/>
      <c r="N3406" s="20"/>
      <c r="O3406" s="20"/>
      <c r="P3406" s="20"/>
    </row>
    <row r="3407">
      <c r="A3407" s="10"/>
      <c r="B3407" s="11"/>
      <c r="C3407" s="10"/>
      <c r="D3407" s="13"/>
      <c r="E3407" s="14"/>
      <c r="F3407" s="14"/>
      <c r="G3407" s="14"/>
      <c r="H3407" s="10"/>
      <c r="I3407" s="17"/>
      <c r="J3407" s="10"/>
      <c r="K3407" s="46"/>
      <c r="L3407" s="10"/>
      <c r="M3407" s="20"/>
      <c r="N3407" s="20"/>
      <c r="O3407" s="20"/>
      <c r="P3407" s="20"/>
    </row>
    <row r="3408">
      <c r="A3408" s="23"/>
      <c r="B3408" s="21"/>
      <c r="C3408" s="23"/>
      <c r="D3408" s="24"/>
      <c r="E3408" s="14"/>
      <c r="F3408" s="14"/>
      <c r="G3408" s="14"/>
      <c r="H3408" s="23"/>
      <c r="I3408" s="27"/>
      <c r="J3408" s="23"/>
      <c r="K3408" s="30"/>
      <c r="L3408" s="23"/>
      <c r="M3408" s="20"/>
      <c r="N3408" s="20"/>
      <c r="O3408" s="20"/>
      <c r="P3408" s="20"/>
    </row>
    <row r="3409">
      <c r="A3409" s="10"/>
      <c r="B3409" s="11"/>
      <c r="C3409" s="10"/>
      <c r="D3409" s="13"/>
      <c r="E3409" s="14"/>
      <c r="F3409" s="14"/>
      <c r="G3409" s="14"/>
      <c r="H3409" s="10"/>
      <c r="I3409" s="17"/>
      <c r="J3409" s="10"/>
      <c r="K3409" s="46"/>
      <c r="L3409" s="10"/>
      <c r="M3409" s="20"/>
      <c r="N3409" s="20"/>
      <c r="O3409" s="20"/>
      <c r="P3409" s="20"/>
    </row>
    <row r="3410">
      <c r="A3410" s="23"/>
      <c r="B3410" s="21"/>
      <c r="C3410" s="23"/>
      <c r="D3410" s="24"/>
      <c r="E3410" s="14"/>
      <c r="F3410" s="14"/>
      <c r="G3410" s="14"/>
      <c r="H3410" s="23"/>
      <c r="I3410" s="27"/>
      <c r="J3410" s="23"/>
      <c r="K3410" s="30"/>
      <c r="L3410" s="23"/>
      <c r="M3410" s="20"/>
      <c r="N3410" s="20"/>
      <c r="O3410" s="20"/>
      <c r="P3410" s="20"/>
    </row>
    <row r="3411">
      <c r="A3411" s="10"/>
      <c r="B3411" s="11"/>
      <c r="C3411" s="10"/>
      <c r="D3411" s="13"/>
      <c r="E3411" s="14"/>
      <c r="F3411" s="14"/>
      <c r="G3411" s="14"/>
      <c r="H3411" s="10"/>
      <c r="I3411" s="17"/>
      <c r="J3411" s="10"/>
      <c r="K3411" s="46"/>
      <c r="L3411" s="10"/>
      <c r="M3411" s="20"/>
      <c r="N3411" s="20"/>
      <c r="O3411" s="20"/>
      <c r="P3411" s="20"/>
    </row>
    <row r="3412">
      <c r="A3412" s="23"/>
      <c r="B3412" s="21"/>
      <c r="C3412" s="23"/>
      <c r="D3412" s="24"/>
      <c r="E3412" s="14"/>
      <c r="F3412" s="14"/>
      <c r="G3412" s="14"/>
      <c r="H3412" s="23"/>
      <c r="I3412" s="27"/>
      <c r="J3412" s="23"/>
      <c r="K3412" s="30"/>
      <c r="L3412" s="23"/>
      <c r="M3412" s="20"/>
      <c r="N3412" s="20"/>
      <c r="O3412" s="20"/>
      <c r="P3412" s="20"/>
    </row>
    <row r="3413">
      <c r="A3413" s="10"/>
      <c r="B3413" s="11"/>
      <c r="C3413" s="10"/>
      <c r="D3413" s="13"/>
      <c r="E3413" s="14"/>
      <c r="F3413" s="14"/>
      <c r="G3413" s="14"/>
      <c r="H3413" s="10"/>
      <c r="I3413" s="17"/>
      <c r="J3413" s="10"/>
      <c r="K3413" s="46"/>
      <c r="L3413" s="10"/>
      <c r="M3413" s="20"/>
      <c r="N3413" s="20"/>
      <c r="O3413" s="20"/>
      <c r="P3413" s="20"/>
    </row>
    <row r="3414">
      <c r="A3414" s="23"/>
      <c r="B3414" s="21"/>
      <c r="C3414" s="23"/>
      <c r="D3414" s="24"/>
      <c r="E3414" s="14"/>
      <c r="F3414" s="14"/>
      <c r="G3414" s="14"/>
      <c r="H3414" s="23"/>
      <c r="I3414" s="27"/>
      <c r="J3414" s="23"/>
      <c r="K3414" s="30"/>
      <c r="L3414" s="23"/>
      <c r="M3414" s="20"/>
      <c r="N3414" s="20"/>
      <c r="O3414" s="20"/>
      <c r="P3414" s="20"/>
    </row>
    <row r="3415">
      <c r="A3415" s="10"/>
      <c r="B3415" s="11"/>
      <c r="C3415" s="10"/>
      <c r="D3415" s="13"/>
      <c r="E3415" s="14"/>
      <c r="F3415" s="14"/>
      <c r="G3415" s="14"/>
      <c r="H3415" s="10"/>
      <c r="I3415" s="17"/>
      <c r="J3415" s="10"/>
      <c r="K3415" s="46"/>
      <c r="L3415" s="10"/>
      <c r="M3415" s="20"/>
      <c r="N3415" s="20"/>
      <c r="O3415" s="20"/>
      <c r="P3415" s="20"/>
    </row>
    <row r="3416">
      <c r="A3416" s="23"/>
      <c r="B3416" s="21"/>
      <c r="C3416" s="23"/>
      <c r="D3416" s="24"/>
      <c r="E3416" s="14"/>
      <c r="F3416" s="14"/>
      <c r="G3416" s="14"/>
      <c r="H3416" s="23"/>
      <c r="I3416" s="27"/>
      <c r="J3416" s="23"/>
      <c r="K3416" s="30"/>
      <c r="L3416" s="23"/>
      <c r="M3416" s="20"/>
      <c r="N3416" s="20"/>
      <c r="O3416" s="20"/>
      <c r="P3416" s="20"/>
    </row>
    <row r="3417">
      <c r="A3417" s="10"/>
      <c r="B3417" s="11"/>
      <c r="C3417" s="10"/>
      <c r="D3417" s="13"/>
      <c r="E3417" s="14"/>
      <c r="F3417" s="14"/>
      <c r="G3417" s="14"/>
      <c r="H3417" s="10"/>
      <c r="I3417" s="17"/>
      <c r="J3417" s="10"/>
      <c r="K3417" s="46"/>
      <c r="L3417" s="10"/>
      <c r="M3417" s="20"/>
      <c r="N3417" s="20"/>
      <c r="O3417" s="20"/>
      <c r="P3417" s="20"/>
    </row>
    <row r="3418">
      <c r="A3418" s="23"/>
      <c r="B3418" s="21"/>
      <c r="C3418" s="23"/>
      <c r="D3418" s="24"/>
      <c r="E3418" s="14"/>
      <c r="F3418" s="14"/>
      <c r="G3418" s="14"/>
      <c r="H3418" s="23"/>
      <c r="I3418" s="27"/>
      <c r="J3418" s="23"/>
      <c r="K3418" s="30"/>
      <c r="L3418" s="23"/>
      <c r="M3418" s="20"/>
      <c r="N3418" s="20"/>
      <c r="O3418" s="20"/>
      <c r="P3418" s="20"/>
    </row>
    <row r="3419">
      <c r="A3419" s="10"/>
      <c r="B3419" s="11"/>
      <c r="C3419" s="10"/>
      <c r="D3419" s="13"/>
      <c r="E3419" s="14"/>
      <c r="F3419" s="14"/>
      <c r="G3419" s="14"/>
      <c r="H3419" s="10"/>
      <c r="I3419" s="17"/>
      <c r="J3419" s="10"/>
      <c r="K3419" s="46"/>
      <c r="L3419" s="10"/>
      <c r="M3419" s="20"/>
      <c r="N3419" s="20"/>
      <c r="O3419" s="20"/>
      <c r="P3419" s="20"/>
    </row>
    <row r="3420">
      <c r="A3420" s="23"/>
      <c r="B3420" s="21"/>
      <c r="C3420" s="23"/>
      <c r="D3420" s="24"/>
      <c r="E3420" s="14"/>
      <c r="F3420" s="14"/>
      <c r="G3420" s="14"/>
      <c r="H3420" s="23"/>
      <c r="I3420" s="27"/>
      <c r="J3420" s="23"/>
      <c r="K3420" s="30"/>
      <c r="L3420" s="23"/>
      <c r="M3420" s="20"/>
      <c r="N3420" s="20"/>
      <c r="O3420" s="20"/>
      <c r="P3420" s="20"/>
    </row>
    <row r="3421">
      <c r="A3421" s="10"/>
      <c r="B3421" s="11"/>
      <c r="C3421" s="10"/>
      <c r="D3421" s="13"/>
      <c r="E3421" s="14"/>
      <c r="F3421" s="14"/>
      <c r="G3421" s="14"/>
      <c r="H3421" s="10"/>
      <c r="I3421" s="17"/>
      <c r="J3421" s="10"/>
      <c r="K3421" s="46"/>
      <c r="L3421" s="10"/>
      <c r="M3421" s="20"/>
      <c r="N3421" s="20"/>
      <c r="O3421" s="20"/>
      <c r="P3421" s="20"/>
    </row>
    <row r="3422">
      <c r="A3422" s="23"/>
      <c r="B3422" s="21"/>
      <c r="C3422" s="23"/>
      <c r="D3422" s="24"/>
      <c r="E3422" s="14"/>
      <c r="F3422" s="14"/>
      <c r="G3422" s="14"/>
      <c r="H3422" s="23"/>
      <c r="I3422" s="27"/>
      <c r="J3422" s="23"/>
      <c r="K3422" s="30"/>
      <c r="L3422" s="23"/>
      <c r="M3422" s="20"/>
      <c r="N3422" s="20"/>
      <c r="O3422" s="20"/>
      <c r="P3422" s="20"/>
    </row>
    <row r="3423">
      <c r="A3423" s="10"/>
      <c r="B3423" s="11"/>
      <c r="C3423" s="10"/>
      <c r="D3423" s="13"/>
      <c r="E3423" s="14"/>
      <c r="F3423" s="14"/>
      <c r="G3423" s="14"/>
      <c r="H3423" s="10"/>
      <c r="I3423" s="17"/>
      <c r="J3423" s="10"/>
      <c r="K3423" s="46"/>
      <c r="L3423" s="10"/>
      <c r="M3423" s="20"/>
      <c r="N3423" s="20"/>
      <c r="O3423" s="20"/>
      <c r="P3423" s="20"/>
    </row>
    <row r="3424">
      <c r="A3424" s="23"/>
      <c r="B3424" s="21"/>
      <c r="C3424" s="23"/>
      <c r="D3424" s="24"/>
      <c r="E3424" s="14"/>
      <c r="F3424" s="14"/>
      <c r="G3424" s="14"/>
      <c r="H3424" s="23"/>
      <c r="I3424" s="27"/>
      <c r="J3424" s="23"/>
      <c r="K3424" s="30"/>
      <c r="L3424" s="23"/>
      <c r="M3424" s="20"/>
      <c r="N3424" s="20"/>
      <c r="O3424" s="20"/>
      <c r="P3424" s="20"/>
    </row>
    <row r="3425">
      <c r="A3425" s="10"/>
      <c r="B3425" s="11"/>
      <c r="C3425" s="10"/>
      <c r="D3425" s="13"/>
      <c r="E3425" s="14"/>
      <c r="F3425" s="14"/>
      <c r="G3425" s="14"/>
      <c r="H3425" s="10"/>
      <c r="I3425" s="17"/>
      <c r="J3425" s="10"/>
      <c r="K3425" s="46"/>
      <c r="L3425" s="10"/>
      <c r="M3425" s="20"/>
      <c r="N3425" s="20"/>
      <c r="O3425" s="20"/>
      <c r="P3425" s="20"/>
    </row>
    <row r="3426">
      <c r="A3426" s="23"/>
      <c r="B3426" s="21"/>
      <c r="C3426" s="23"/>
      <c r="D3426" s="24"/>
      <c r="E3426" s="14"/>
      <c r="F3426" s="14"/>
      <c r="G3426" s="14"/>
      <c r="H3426" s="23"/>
      <c r="I3426" s="27"/>
      <c r="J3426" s="23"/>
      <c r="K3426" s="30"/>
      <c r="L3426" s="23"/>
      <c r="M3426" s="20"/>
      <c r="N3426" s="20"/>
      <c r="O3426" s="20"/>
      <c r="P3426" s="20"/>
    </row>
    <row r="3427">
      <c r="A3427" s="10"/>
      <c r="B3427" s="11"/>
      <c r="C3427" s="10"/>
      <c r="D3427" s="13"/>
      <c r="E3427" s="14"/>
      <c r="F3427" s="14"/>
      <c r="G3427" s="14"/>
      <c r="H3427" s="10"/>
      <c r="I3427" s="17"/>
      <c r="J3427" s="10"/>
      <c r="K3427" s="46"/>
      <c r="L3427" s="10"/>
      <c r="M3427" s="20"/>
      <c r="N3427" s="20"/>
      <c r="O3427" s="20"/>
      <c r="P3427" s="20"/>
    </row>
    <row r="3428">
      <c r="A3428" s="23"/>
      <c r="B3428" s="21"/>
      <c r="C3428" s="23"/>
      <c r="D3428" s="24"/>
      <c r="E3428" s="14"/>
      <c r="F3428" s="14"/>
      <c r="G3428" s="14"/>
      <c r="H3428" s="23"/>
      <c r="I3428" s="27"/>
      <c r="J3428" s="23"/>
      <c r="K3428" s="30"/>
      <c r="L3428" s="23"/>
      <c r="M3428" s="20"/>
      <c r="N3428" s="20"/>
      <c r="O3428" s="20"/>
      <c r="P3428" s="20"/>
    </row>
    <row r="3429">
      <c r="A3429" s="10"/>
      <c r="B3429" s="11"/>
      <c r="C3429" s="10"/>
      <c r="D3429" s="13"/>
      <c r="E3429" s="14"/>
      <c r="F3429" s="14"/>
      <c r="G3429" s="14"/>
      <c r="H3429" s="10"/>
      <c r="I3429" s="17"/>
      <c r="J3429" s="10"/>
      <c r="K3429" s="46"/>
      <c r="L3429" s="10"/>
      <c r="M3429" s="20"/>
      <c r="N3429" s="20"/>
      <c r="O3429" s="20"/>
      <c r="P3429" s="20"/>
    </row>
    <row r="3430">
      <c r="A3430" s="23"/>
      <c r="B3430" s="21"/>
      <c r="C3430" s="23"/>
      <c r="D3430" s="24"/>
      <c r="E3430" s="14"/>
      <c r="F3430" s="14"/>
      <c r="G3430" s="14"/>
      <c r="H3430" s="23"/>
      <c r="I3430" s="27"/>
      <c r="J3430" s="23"/>
      <c r="K3430" s="30"/>
      <c r="L3430" s="23"/>
      <c r="M3430" s="20"/>
      <c r="N3430" s="20"/>
      <c r="O3430" s="20"/>
      <c r="P3430" s="20"/>
    </row>
    <row r="3431">
      <c r="A3431" s="10"/>
      <c r="B3431" s="11"/>
      <c r="C3431" s="10"/>
      <c r="D3431" s="13"/>
      <c r="E3431" s="14"/>
      <c r="F3431" s="14"/>
      <c r="G3431" s="14"/>
      <c r="H3431" s="10"/>
      <c r="I3431" s="17"/>
      <c r="J3431" s="10"/>
      <c r="K3431" s="46"/>
      <c r="L3431" s="10"/>
      <c r="M3431" s="20"/>
      <c r="N3431" s="20"/>
      <c r="O3431" s="20"/>
      <c r="P3431" s="20"/>
    </row>
    <row r="3432">
      <c r="A3432" s="23"/>
      <c r="B3432" s="21"/>
      <c r="C3432" s="23"/>
      <c r="D3432" s="24"/>
      <c r="E3432" s="14"/>
      <c r="F3432" s="14"/>
      <c r="G3432" s="14"/>
      <c r="H3432" s="23"/>
      <c r="I3432" s="27"/>
      <c r="J3432" s="23"/>
      <c r="K3432" s="30"/>
      <c r="L3432" s="23"/>
      <c r="M3432" s="20"/>
      <c r="N3432" s="20"/>
      <c r="O3432" s="20"/>
      <c r="P3432" s="20"/>
    </row>
    <row r="3433">
      <c r="A3433" s="10"/>
      <c r="B3433" s="11"/>
      <c r="C3433" s="10"/>
      <c r="D3433" s="13"/>
      <c r="E3433" s="14"/>
      <c r="F3433" s="14"/>
      <c r="G3433" s="14"/>
      <c r="H3433" s="10"/>
      <c r="I3433" s="17"/>
      <c r="J3433" s="10"/>
      <c r="K3433" s="46"/>
      <c r="L3433" s="10"/>
      <c r="M3433" s="20"/>
      <c r="N3433" s="20"/>
      <c r="O3433" s="20"/>
      <c r="P3433" s="20"/>
    </row>
    <row r="3434">
      <c r="A3434" s="23"/>
      <c r="B3434" s="21"/>
      <c r="C3434" s="23"/>
      <c r="D3434" s="24"/>
      <c r="E3434" s="14"/>
      <c r="F3434" s="14"/>
      <c r="G3434" s="14"/>
      <c r="H3434" s="23"/>
      <c r="I3434" s="27"/>
      <c r="J3434" s="23"/>
      <c r="K3434" s="30"/>
      <c r="L3434" s="23"/>
      <c r="M3434" s="20"/>
      <c r="N3434" s="20"/>
      <c r="O3434" s="20"/>
      <c r="P3434" s="20"/>
    </row>
    <row r="3435">
      <c r="A3435" s="10"/>
      <c r="B3435" s="11"/>
      <c r="C3435" s="10"/>
      <c r="D3435" s="13"/>
      <c r="E3435" s="14"/>
      <c r="F3435" s="14"/>
      <c r="G3435" s="14"/>
      <c r="H3435" s="10"/>
      <c r="I3435" s="17"/>
      <c r="J3435" s="10"/>
      <c r="K3435" s="46"/>
      <c r="L3435" s="10"/>
      <c r="M3435" s="20"/>
      <c r="N3435" s="20"/>
      <c r="O3435" s="20"/>
      <c r="P3435" s="20"/>
    </row>
    <row r="3436">
      <c r="A3436" s="23"/>
      <c r="B3436" s="21"/>
      <c r="C3436" s="23"/>
      <c r="D3436" s="24"/>
      <c r="E3436" s="14"/>
      <c r="F3436" s="14"/>
      <c r="G3436" s="14"/>
      <c r="H3436" s="23"/>
      <c r="I3436" s="27"/>
      <c r="J3436" s="23"/>
      <c r="K3436" s="30"/>
      <c r="L3436" s="23"/>
      <c r="M3436" s="20"/>
      <c r="N3436" s="20"/>
      <c r="O3436" s="20"/>
      <c r="P3436" s="20"/>
    </row>
    <row r="3437">
      <c r="A3437" s="10"/>
      <c r="B3437" s="11"/>
      <c r="C3437" s="10"/>
      <c r="D3437" s="13"/>
      <c r="E3437" s="14"/>
      <c r="F3437" s="14"/>
      <c r="G3437" s="14"/>
      <c r="H3437" s="10"/>
      <c r="I3437" s="17"/>
      <c r="J3437" s="10"/>
      <c r="K3437" s="46"/>
      <c r="L3437" s="10"/>
      <c r="M3437" s="20"/>
      <c r="N3437" s="20"/>
      <c r="O3437" s="20"/>
      <c r="P3437" s="20"/>
    </row>
    <row r="3438">
      <c r="A3438" s="23"/>
      <c r="B3438" s="21"/>
      <c r="C3438" s="23"/>
      <c r="D3438" s="24"/>
      <c r="E3438" s="14"/>
      <c r="F3438" s="14"/>
      <c r="G3438" s="14"/>
      <c r="H3438" s="23"/>
      <c r="I3438" s="27"/>
      <c r="J3438" s="23"/>
      <c r="K3438" s="30"/>
      <c r="L3438" s="23"/>
      <c r="M3438" s="20"/>
      <c r="N3438" s="20"/>
      <c r="O3438" s="20"/>
      <c r="P3438" s="20"/>
    </row>
    <row r="3439">
      <c r="A3439" s="10"/>
      <c r="B3439" s="11"/>
      <c r="C3439" s="10"/>
      <c r="D3439" s="13"/>
      <c r="E3439" s="14"/>
      <c r="F3439" s="14"/>
      <c r="G3439" s="14"/>
      <c r="H3439" s="10"/>
      <c r="I3439" s="17"/>
      <c r="J3439" s="10"/>
      <c r="K3439" s="46"/>
      <c r="L3439" s="10"/>
      <c r="M3439" s="20"/>
      <c r="N3439" s="20"/>
      <c r="O3439" s="20"/>
      <c r="P3439" s="20"/>
    </row>
    <row r="3440">
      <c r="A3440" s="23"/>
      <c r="B3440" s="21"/>
      <c r="C3440" s="23"/>
      <c r="D3440" s="24"/>
      <c r="E3440" s="14"/>
      <c r="F3440" s="14"/>
      <c r="G3440" s="14"/>
      <c r="H3440" s="23"/>
      <c r="I3440" s="27"/>
      <c r="J3440" s="23"/>
      <c r="K3440" s="30"/>
      <c r="L3440" s="23"/>
      <c r="M3440" s="20"/>
      <c r="N3440" s="20"/>
      <c r="O3440" s="20"/>
      <c r="P3440" s="20"/>
    </row>
    <row r="3441">
      <c r="A3441" s="10"/>
      <c r="B3441" s="11"/>
      <c r="C3441" s="10"/>
      <c r="D3441" s="13"/>
      <c r="E3441" s="14"/>
      <c r="F3441" s="14"/>
      <c r="G3441" s="14"/>
      <c r="H3441" s="10"/>
      <c r="I3441" s="17"/>
      <c r="J3441" s="10"/>
      <c r="K3441" s="46"/>
      <c r="L3441" s="10"/>
      <c r="M3441" s="20"/>
      <c r="N3441" s="20"/>
      <c r="O3441" s="20"/>
      <c r="P3441" s="20"/>
    </row>
    <row r="3442">
      <c r="A3442" s="23"/>
      <c r="B3442" s="21"/>
      <c r="C3442" s="23"/>
      <c r="D3442" s="24"/>
      <c r="E3442" s="14"/>
      <c r="F3442" s="14"/>
      <c r="G3442" s="14"/>
      <c r="H3442" s="23"/>
      <c r="I3442" s="27"/>
      <c r="J3442" s="23"/>
      <c r="K3442" s="30"/>
      <c r="L3442" s="23"/>
      <c r="M3442" s="20"/>
      <c r="N3442" s="20"/>
      <c r="O3442" s="20"/>
      <c r="P3442" s="20"/>
    </row>
    <row r="3443">
      <c r="A3443" s="10"/>
      <c r="B3443" s="11"/>
      <c r="C3443" s="10"/>
      <c r="D3443" s="13"/>
      <c r="E3443" s="14"/>
      <c r="F3443" s="14"/>
      <c r="G3443" s="14"/>
      <c r="H3443" s="10"/>
      <c r="I3443" s="17"/>
      <c r="J3443" s="10"/>
      <c r="K3443" s="46"/>
      <c r="L3443" s="10"/>
      <c r="M3443" s="20"/>
      <c r="N3443" s="20"/>
      <c r="O3443" s="20"/>
      <c r="P3443" s="20"/>
    </row>
    <row r="3444">
      <c r="A3444" s="23"/>
      <c r="B3444" s="21"/>
      <c r="C3444" s="23"/>
      <c r="D3444" s="24"/>
      <c r="E3444" s="14"/>
      <c r="F3444" s="14"/>
      <c r="G3444" s="14"/>
      <c r="H3444" s="23"/>
      <c r="I3444" s="27"/>
      <c r="J3444" s="23"/>
      <c r="K3444" s="30"/>
      <c r="L3444" s="23"/>
      <c r="M3444" s="20"/>
      <c r="N3444" s="20"/>
      <c r="O3444" s="20"/>
      <c r="P3444" s="20"/>
    </row>
    <row r="3445">
      <c r="A3445" s="10"/>
      <c r="B3445" s="11"/>
      <c r="C3445" s="10"/>
      <c r="D3445" s="13"/>
      <c r="E3445" s="14"/>
      <c r="F3445" s="14"/>
      <c r="G3445" s="14"/>
      <c r="H3445" s="10"/>
      <c r="I3445" s="17"/>
      <c r="J3445" s="10"/>
      <c r="K3445" s="46"/>
      <c r="L3445" s="10"/>
      <c r="M3445" s="20"/>
      <c r="N3445" s="20"/>
      <c r="O3445" s="20"/>
      <c r="P3445" s="20"/>
    </row>
    <row r="3446">
      <c r="A3446" s="23"/>
      <c r="B3446" s="21"/>
      <c r="C3446" s="23"/>
      <c r="D3446" s="24"/>
      <c r="E3446" s="14"/>
      <c r="F3446" s="14"/>
      <c r="G3446" s="14"/>
      <c r="H3446" s="23"/>
      <c r="I3446" s="27"/>
      <c r="J3446" s="23"/>
      <c r="K3446" s="30"/>
      <c r="L3446" s="23"/>
      <c r="M3446" s="20"/>
      <c r="N3446" s="20"/>
      <c r="O3446" s="20"/>
      <c r="P3446" s="20"/>
    </row>
    <row r="3447">
      <c r="A3447" s="10"/>
      <c r="B3447" s="11"/>
      <c r="C3447" s="10"/>
      <c r="D3447" s="13"/>
      <c r="E3447" s="14"/>
      <c r="F3447" s="14"/>
      <c r="G3447" s="14"/>
      <c r="H3447" s="10"/>
      <c r="I3447" s="17"/>
      <c r="J3447" s="10"/>
      <c r="K3447" s="46"/>
      <c r="L3447" s="10"/>
      <c r="M3447" s="20"/>
      <c r="N3447" s="20"/>
      <c r="O3447" s="20"/>
      <c r="P3447" s="20"/>
    </row>
    <row r="3448">
      <c r="A3448" s="23"/>
      <c r="B3448" s="21"/>
      <c r="C3448" s="23"/>
      <c r="D3448" s="24"/>
      <c r="E3448" s="14"/>
      <c r="F3448" s="14"/>
      <c r="G3448" s="14"/>
      <c r="H3448" s="23"/>
      <c r="I3448" s="27"/>
      <c r="J3448" s="23"/>
      <c r="K3448" s="30"/>
      <c r="L3448" s="23"/>
      <c r="M3448" s="20"/>
      <c r="N3448" s="20"/>
      <c r="O3448" s="20"/>
      <c r="P3448" s="20"/>
    </row>
    <row r="3449">
      <c r="A3449" s="10"/>
      <c r="B3449" s="11"/>
      <c r="C3449" s="10"/>
      <c r="D3449" s="13"/>
      <c r="E3449" s="14"/>
      <c r="F3449" s="14"/>
      <c r="G3449" s="14"/>
      <c r="H3449" s="10"/>
      <c r="I3449" s="17"/>
      <c r="J3449" s="10"/>
      <c r="K3449" s="46"/>
      <c r="L3449" s="10"/>
      <c r="M3449" s="20"/>
      <c r="N3449" s="20"/>
      <c r="O3449" s="20"/>
      <c r="P3449" s="20"/>
    </row>
    <row r="3450">
      <c r="A3450" s="23"/>
      <c r="B3450" s="21"/>
      <c r="C3450" s="23"/>
      <c r="D3450" s="24"/>
      <c r="E3450" s="14"/>
      <c r="F3450" s="14"/>
      <c r="G3450" s="14"/>
      <c r="H3450" s="23"/>
      <c r="I3450" s="27"/>
      <c r="J3450" s="23"/>
      <c r="K3450" s="30"/>
      <c r="L3450" s="23"/>
      <c r="M3450" s="20"/>
      <c r="N3450" s="20"/>
      <c r="O3450" s="20"/>
      <c r="P3450" s="20"/>
    </row>
    <row r="3451">
      <c r="A3451" s="10"/>
      <c r="B3451" s="11"/>
      <c r="C3451" s="10"/>
      <c r="D3451" s="13"/>
      <c r="E3451" s="14"/>
      <c r="F3451" s="14"/>
      <c r="G3451" s="14"/>
      <c r="H3451" s="10"/>
      <c r="I3451" s="17"/>
      <c r="J3451" s="10"/>
      <c r="K3451" s="46"/>
      <c r="L3451" s="10"/>
      <c r="M3451" s="20"/>
      <c r="N3451" s="20"/>
      <c r="O3451" s="20"/>
      <c r="P3451" s="20"/>
    </row>
    <row r="3452">
      <c r="A3452" s="23"/>
      <c r="B3452" s="21"/>
      <c r="C3452" s="23"/>
      <c r="D3452" s="24"/>
      <c r="E3452" s="14"/>
      <c r="F3452" s="14"/>
      <c r="G3452" s="14"/>
      <c r="H3452" s="23"/>
      <c r="I3452" s="27"/>
      <c r="J3452" s="23"/>
      <c r="K3452" s="30"/>
      <c r="L3452" s="23"/>
      <c r="M3452" s="20"/>
      <c r="N3452" s="20"/>
      <c r="O3452" s="20"/>
      <c r="P3452" s="20"/>
    </row>
    <row r="3453">
      <c r="A3453" s="10"/>
      <c r="B3453" s="11"/>
      <c r="C3453" s="10"/>
      <c r="D3453" s="13"/>
      <c r="E3453" s="14"/>
      <c r="F3453" s="14"/>
      <c r="G3453" s="14"/>
      <c r="H3453" s="10"/>
      <c r="I3453" s="17"/>
      <c r="J3453" s="10"/>
      <c r="K3453" s="46"/>
      <c r="L3453" s="10"/>
      <c r="M3453" s="20"/>
      <c r="N3453" s="20"/>
      <c r="O3453" s="20"/>
      <c r="P3453" s="20"/>
    </row>
    <row r="3454">
      <c r="A3454" s="23"/>
      <c r="B3454" s="21"/>
      <c r="C3454" s="23"/>
      <c r="D3454" s="24"/>
      <c r="E3454" s="14"/>
      <c r="F3454" s="14"/>
      <c r="G3454" s="14"/>
      <c r="H3454" s="23"/>
      <c r="I3454" s="27"/>
      <c r="J3454" s="23"/>
      <c r="K3454" s="30"/>
      <c r="L3454" s="23"/>
      <c r="M3454" s="20"/>
      <c r="N3454" s="20"/>
      <c r="O3454" s="20"/>
      <c r="P3454" s="20"/>
    </row>
    <row r="3455">
      <c r="A3455" s="10"/>
      <c r="B3455" s="11"/>
      <c r="C3455" s="10"/>
      <c r="D3455" s="13"/>
      <c r="E3455" s="14"/>
      <c r="F3455" s="14"/>
      <c r="G3455" s="14"/>
      <c r="H3455" s="10"/>
      <c r="I3455" s="17"/>
      <c r="J3455" s="10"/>
      <c r="K3455" s="46"/>
      <c r="L3455" s="10"/>
      <c r="M3455" s="20"/>
      <c r="N3455" s="20"/>
      <c r="O3455" s="20"/>
      <c r="P3455" s="20"/>
    </row>
    <row r="3456">
      <c r="A3456" s="23"/>
      <c r="B3456" s="21"/>
      <c r="C3456" s="23"/>
      <c r="D3456" s="24"/>
      <c r="E3456" s="14"/>
      <c r="F3456" s="14"/>
      <c r="G3456" s="14"/>
      <c r="H3456" s="23"/>
      <c r="I3456" s="27"/>
      <c r="J3456" s="23"/>
      <c r="K3456" s="30"/>
      <c r="L3456" s="23"/>
      <c r="M3456" s="20"/>
      <c r="N3456" s="20"/>
      <c r="O3456" s="20"/>
      <c r="P3456" s="20"/>
    </row>
    <row r="3457">
      <c r="A3457" s="10"/>
      <c r="B3457" s="11"/>
      <c r="C3457" s="10"/>
      <c r="D3457" s="13"/>
      <c r="E3457" s="14"/>
      <c r="F3457" s="14"/>
      <c r="G3457" s="14"/>
      <c r="H3457" s="10"/>
      <c r="I3457" s="17"/>
      <c r="J3457" s="10"/>
      <c r="K3457" s="46"/>
      <c r="L3457" s="10"/>
      <c r="M3457" s="20"/>
      <c r="N3457" s="20"/>
      <c r="O3457" s="20"/>
      <c r="P3457" s="20"/>
    </row>
    <row r="3458">
      <c r="A3458" s="23"/>
      <c r="B3458" s="21"/>
      <c r="C3458" s="23"/>
      <c r="D3458" s="24"/>
      <c r="E3458" s="14"/>
      <c r="F3458" s="14"/>
      <c r="G3458" s="14"/>
      <c r="H3458" s="23"/>
      <c r="I3458" s="27"/>
      <c r="J3458" s="23"/>
      <c r="K3458" s="30"/>
      <c r="L3458" s="23"/>
      <c r="M3458" s="20"/>
      <c r="N3458" s="20"/>
      <c r="O3458" s="20"/>
      <c r="P3458" s="20"/>
    </row>
    <row r="3459">
      <c r="A3459" s="10"/>
      <c r="B3459" s="11"/>
      <c r="C3459" s="10"/>
      <c r="D3459" s="13"/>
      <c r="E3459" s="14"/>
      <c r="F3459" s="14"/>
      <c r="G3459" s="14"/>
      <c r="H3459" s="10"/>
      <c r="I3459" s="17"/>
      <c r="J3459" s="10"/>
      <c r="K3459" s="46"/>
      <c r="L3459" s="10"/>
      <c r="M3459" s="20"/>
      <c r="N3459" s="20"/>
      <c r="O3459" s="20"/>
      <c r="P3459" s="20"/>
    </row>
    <row r="3460">
      <c r="A3460" s="23"/>
      <c r="B3460" s="21"/>
      <c r="C3460" s="23"/>
      <c r="D3460" s="24"/>
      <c r="E3460" s="14"/>
      <c r="F3460" s="14"/>
      <c r="G3460" s="14"/>
      <c r="H3460" s="23"/>
      <c r="I3460" s="27"/>
      <c r="J3460" s="23"/>
      <c r="K3460" s="30"/>
      <c r="L3460" s="23"/>
      <c r="M3460" s="20"/>
      <c r="N3460" s="20"/>
      <c r="O3460" s="20"/>
      <c r="P3460" s="20"/>
    </row>
    <row r="3461">
      <c r="A3461" s="10"/>
      <c r="B3461" s="11"/>
      <c r="C3461" s="10"/>
      <c r="D3461" s="13"/>
      <c r="E3461" s="14"/>
      <c r="F3461" s="14"/>
      <c r="G3461" s="14"/>
      <c r="H3461" s="10"/>
      <c r="I3461" s="17"/>
      <c r="J3461" s="10"/>
      <c r="K3461" s="46"/>
      <c r="L3461" s="10"/>
      <c r="M3461" s="20"/>
      <c r="N3461" s="20"/>
      <c r="O3461" s="20"/>
      <c r="P3461" s="20"/>
    </row>
    <row r="3462">
      <c r="A3462" s="23"/>
      <c r="B3462" s="21"/>
      <c r="C3462" s="23"/>
      <c r="D3462" s="24"/>
      <c r="E3462" s="14"/>
      <c r="F3462" s="14"/>
      <c r="G3462" s="14"/>
      <c r="H3462" s="23"/>
      <c r="I3462" s="27"/>
      <c r="J3462" s="23"/>
      <c r="K3462" s="30"/>
      <c r="L3462" s="23"/>
      <c r="M3462" s="20"/>
      <c r="N3462" s="20"/>
      <c r="O3462" s="20"/>
      <c r="P3462" s="20"/>
    </row>
    <row r="3463">
      <c r="A3463" s="10"/>
      <c r="B3463" s="11"/>
      <c r="C3463" s="10"/>
      <c r="D3463" s="13"/>
      <c r="E3463" s="14"/>
      <c r="F3463" s="14"/>
      <c r="G3463" s="14"/>
      <c r="H3463" s="10"/>
      <c r="I3463" s="17"/>
      <c r="J3463" s="10"/>
      <c r="K3463" s="46"/>
      <c r="L3463" s="10"/>
      <c r="M3463" s="20"/>
      <c r="N3463" s="20"/>
      <c r="O3463" s="20"/>
      <c r="P3463" s="20"/>
    </row>
    <row r="3464">
      <c r="A3464" s="23"/>
      <c r="B3464" s="21"/>
      <c r="C3464" s="23"/>
      <c r="D3464" s="24"/>
      <c r="E3464" s="14"/>
      <c r="F3464" s="14"/>
      <c r="G3464" s="14"/>
      <c r="H3464" s="23"/>
      <c r="I3464" s="27"/>
      <c r="J3464" s="23"/>
      <c r="K3464" s="30"/>
      <c r="L3464" s="23"/>
      <c r="M3464" s="20"/>
      <c r="N3464" s="20"/>
      <c r="O3464" s="20"/>
      <c r="P3464" s="20"/>
    </row>
    <row r="3465">
      <c r="A3465" s="10"/>
      <c r="B3465" s="11"/>
      <c r="C3465" s="10"/>
      <c r="D3465" s="13"/>
      <c r="E3465" s="14"/>
      <c r="F3465" s="14"/>
      <c r="G3465" s="14"/>
      <c r="H3465" s="10"/>
      <c r="I3465" s="17"/>
      <c r="J3465" s="10"/>
      <c r="K3465" s="46"/>
      <c r="L3465" s="10"/>
      <c r="M3465" s="20"/>
      <c r="N3465" s="20"/>
      <c r="O3465" s="20"/>
      <c r="P3465" s="20"/>
    </row>
    <row r="3466">
      <c r="A3466" s="23"/>
      <c r="B3466" s="21"/>
      <c r="C3466" s="23"/>
      <c r="D3466" s="24"/>
      <c r="E3466" s="14"/>
      <c r="F3466" s="14"/>
      <c r="G3466" s="14"/>
      <c r="H3466" s="23"/>
      <c r="I3466" s="27"/>
      <c r="J3466" s="23"/>
      <c r="K3466" s="30"/>
      <c r="L3466" s="23"/>
      <c r="M3466" s="20"/>
      <c r="N3466" s="20"/>
      <c r="O3466" s="20"/>
      <c r="P3466" s="20"/>
    </row>
    <row r="3467">
      <c r="A3467" s="10"/>
      <c r="B3467" s="11"/>
      <c r="C3467" s="10"/>
      <c r="D3467" s="13"/>
      <c r="E3467" s="14"/>
      <c r="F3467" s="14"/>
      <c r="G3467" s="14"/>
      <c r="H3467" s="10"/>
      <c r="I3467" s="17"/>
      <c r="J3467" s="10"/>
      <c r="K3467" s="46"/>
      <c r="L3467" s="10"/>
      <c r="M3467" s="20"/>
      <c r="N3467" s="20"/>
      <c r="O3467" s="20"/>
      <c r="P3467" s="20"/>
    </row>
    <row r="3468">
      <c r="A3468" s="23"/>
      <c r="B3468" s="21"/>
      <c r="C3468" s="23"/>
      <c r="D3468" s="24"/>
      <c r="E3468" s="14"/>
      <c r="F3468" s="14"/>
      <c r="G3468" s="14"/>
      <c r="H3468" s="23"/>
      <c r="I3468" s="27"/>
      <c r="J3468" s="23"/>
      <c r="K3468" s="30"/>
      <c r="L3468" s="23"/>
      <c r="M3468" s="20"/>
      <c r="N3468" s="20"/>
      <c r="O3468" s="20"/>
      <c r="P3468" s="20"/>
    </row>
    <row r="3469">
      <c r="A3469" s="10"/>
      <c r="B3469" s="11"/>
      <c r="C3469" s="10"/>
      <c r="D3469" s="13"/>
      <c r="E3469" s="14"/>
      <c r="F3469" s="14"/>
      <c r="G3469" s="14"/>
      <c r="H3469" s="10"/>
      <c r="I3469" s="17"/>
      <c r="J3469" s="10"/>
      <c r="K3469" s="46"/>
      <c r="L3469" s="10"/>
      <c r="M3469" s="20"/>
      <c r="N3469" s="20"/>
      <c r="O3469" s="20"/>
      <c r="P3469" s="20"/>
    </row>
    <row r="3470">
      <c r="A3470" s="23"/>
      <c r="B3470" s="21"/>
      <c r="C3470" s="23"/>
      <c r="D3470" s="24"/>
      <c r="E3470" s="14"/>
      <c r="F3470" s="14"/>
      <c r="G3470" s="14"/>
      <c r="H3470" s="23"/>
      <c r="I3470" s="27"/>
      <c r="J3470" s="23"/>
      <c r="K3470" s="30"/>
      <c r="L3470" s="23"/>
      <c r="M3470" s="20"/>
      <c r="N3470" s="20"/>
      <c r="O3470" s="20"/>
      <c r="P3470" s="20"/>
    </row>
    <row r="3471">
      <c r="A3471" s="10"/>
      <c r="B3471" s="11"/>
      <c r="C3471" s="10"/>
      <c r="D3471" s="13"/>
      <c r="E3471" s="14"/>
      <c r="F3471" s="14"/>
      <c r="G3471" s="14"/>
      <c r="H3471" s="10"/>
      <c r="I3471" s="17"/>
      <c r="J3471" s="10"/>
      <c r="K3471" s="46"/>
      <c r="L3471" s="10"/>
      <c r="M3471" s="20"/>
      <c r="N3471" s="20"/>
      <c r="O3471" s="20"/>
      <c r="P3471" s="20"/>
    </row>
    <row r="3472">
      <c r="A3472" s="23"/>
      <c r="B3472" s="21"/>
      <c r="C3472" s="23"/>
      <c r="D3472" s="24"/>
      <c r="E3472" s="14"/>
      <c r="F3472" s="14"/>
      <c r="G3472" s="14"/>
      <c r="H3472" s="23"/>
      <c r="I3472" s="27"/>
      <c r="J3472" s="23"/>
      <c r="K3472" s="30"/>
      <c r="L3472" s="23"/>
      <c r="M3472" s="20"/>
      <c r="N3472" s="20"/>
      <c r="O3472" s="20"/>
      <c r="P3472" s="20"/>
    </row>
    <row r="3473">
      <c r="A3473" s="10"/>
      <c r="B3473" s="11"/>
      <c r="C3473" s="10"/>
      <c r="D3473" s="13"/>
      <c r="E3473" s="14"/>
      <c r="F3473" s="14"/>
      <c r="G3473" s="14"/>
      <c r="H3473" s="10"/>
      <c r="I3473" s="17"/>
      <c r="J3473" s="10"/>
      <c r="K3473" s="46"/>
      <c r="L3473" s="10"/>
      <c r="M3473" s="20"/>
      <c r="N3473" s="20"/>
      <c r="O3473" s="20"/>
      <c r="P3473" s="20"/>
    </row>
    <row r="3474">
      <c r="A3474" s="23"/>
      <c r="B3474" s="21"/>
      <c r="C3474" s="23"/>
      <c r="D3474" s="24"/>
      <c r="E3474" s="14"/>
      <c r="F3474" s="14"/>
      <c r="G3474" s="14"/>
      <c r="H3474" s="23"/>
      <c r="I3474" s="27"/>
      <c r="J3474" s="23"/>
      <c r="K3474" s="30"/>
      <c r="L3474" s="23"/>
      <c r="M3474" s="20"/>
      <c r="N3474" s="20"/>
      <c r="O3474" s="20"/>
      <c r="P3474" s="20"/>
    </row>
    <row r="3475">
      <c r="A3475" s="10"/>
      <c r="B3475" s="11"/>
      <c r="C3475" s="10"/>
      <c r="D3475" s="13"/>
      <c r="E3475" s="14"/>
      <c r="F3475" s="14"/>
      <c r="G3475" s="14"/>
      <c r="H3475" s="10"/>
      <c r="I3475" s="17"/>
      <c r="J3475" s="10"/>
      <c r="K3475" s="46"/>
      <c r="L3475" s="10"/>
      <c r="M3475" s="20"/>
      <c r="N3475" s="20"/>
      <c r="O3475" s="20"/>
      <c r="P3475" s="20"/>
    </row>
    <row r="3476">
      <c r="A3476" s="23"/>
      <c r="B3476" s="21"/>
      <c r="C3476" s="23"/>
      <c r="D3476" s="24"/>
      <c r="E3476" s="14"/>
      <c r="F3476" s="14"/>
      <c r="G3476" s="14"/>
      <c r="H3476" s="23"/>
      <c r="I3476" s="27"/>
      <c r="J3476" s="23"/>
      <c r="K3476" s="30"/>
      <c r="L3476" s="23"/>
      <c r="M3476" s="20"/>
      <c r="N3476" s="20"/>
      <c r="O3476" s="20"/>
      <c r="P3476" s="20"/>
    </row>
    <row r="3477">
      <c r="A3477" s="10"/>
      <c r="B3477" s="11"/>
      <c r="C3477" s="10"/>
      <c r="D3477" s="13"/>
      <c r="E3477" s="14"/>
      <c r="F3477" s="14"/>
      <c r="G3477" s="14"/>
      <c r="H3477" s="10"/>
      <c r="I3477" s="17"/>
      <c r="J3477" s="10"/>
      <c r="K3477" s="46"/>
      <c r="L3477" s="10"/>
      <c r="M3477" s="20"/>
      <c r="N3477" s="20"/>
      <c r="O3477" s="20"/>
      <c r="P3477" s="20"/>
    </row>
    <row r="3478">
      <c r="A3478" s="23"/>
      <c r="B3478" s="21"/>
      <c r="C3478" s="23"/>
      <c r="D3478" s="24"/>
      <c r="E3478" s="14"/>
      <c r="F3478" s="14"/>
      <c r="G3478" s="14"/>
      <c r="H3478" s="23"/>
      <c r="I3478" s="27"/>
      <c r="J3478" s="23"/>
      <c r="K3478" s="30"/>
      <c r="L3478" s="23"/>
      <c r="M3478" s="20"/>
      <c r="N3478" s="20"/>
      <c r="O3478" s="20"/>
      <c r="P3478" s="20"/>
    </row>
    <row r="3479">
      <c r="A3479" s="10"/>
      <c r="B3479" s="11"/>
      <c r="C3479" s="10"/>
      <c r="D3479" s="13"/>
      <c r="E3479" s="14"/>
      <c r="F3479" s="14"/>
      <c r="G3479" s="14"/>
      <c r="H3479" s="10"/>
      <c r="I3479" s="17"/>
      <c r="J3479" s="10"/>
      <c r="K3479" s="46"/>
      <c r="L3479" s="10"/>
      <c r="M3479" s="20"/>
      <c r="N3479" s="20"/>
      <c r="O3479" s="20"/>
      <c r="P3479" s="20"/>
    </row>
    <row r="3480">
      <c r="A3480" s="23"/>
      <c r="B3480" s="21"/>
      <c r="C3480" s="23"/>
      <c r="D3480" s="24"/>
      <c r="E3480" s="14"/>
      <c r="F3480" s="14"/>
      <c r="G3480" s="14"/>
      <c r="H3480" s="23"/>
      <c r="I3480" s="27"/>
      <c r="J3480" s="23"/>
      <c r="K3480" s="30"/>
      <c r="L3480" s="23"/>
      <c r="M3480" s="20"/>
      <c r="N3480" s="20"/>
      <c r="O3480" s="20"/>
      <c r="P3480" s="20"/>
    </row>
    <row r="3481">
      <c r="A3481" s="10"/>
      <c r="B3481" s="11"/>
      <c r="C3481" s="10"/>
      <c r="D3481" s="13"/>
      <c r="E3481" s="14"/>
      <c r="F3481" s="14"/>
      <c r="G3481" s="14"/>
      <c r="H3481" s="10"/>
      <c r="I3481" s="17"/>
      <c r="J3481" s="10"/>
      <c r="K3481" s="46"/>
      <c r="L3481" s="10"/>
      <c r="M3481" s="20"/>
      <c r="N3481" s="20"/>
      <c r="O3481" s="20"/>
      <c r="P3481" s="20"/>
    </row>
    <row r="3482">
      <c r="A3482" s="23"/>
      <c r="B3482" s="21"/>
      <c r="C3482" s="23"/>
      <c r="D3482" s="24"/>
      <c r="E3482" s="14"/>
      <c r="F3482" s="14"/>
      <c r="G3482" s="14"/>
      <c r="H3482" s="23"/>
      <c r="I3482" s="27"/>
      <c r="J3482" s="23"/>
      <c r="K3482" s="30"/>
      <c r="L3482" s="23"/>
      <c r="M3482" s="20"/>
      <c r="N3482" s="20"/>
      <c r="O3482" s="20"/>
      <c r="P3482" s="20"/>
    </row>
    <row r="3483">
      <c r="A3483" s="10"/>
      <c r="B3483" s="11"/>
      <c r="C3483" s="10"/>
      <c r="D3483" s="13"/>
      <c r="E3483" s="14"/>
      <c r="F3483" s="14"/>
      <c r="G3483" s="14"/>
      <c r="H3483" s="10"/>
      <c r="I3483" s="17"/>
      <c r="J3483" s="10"/>
      <c r="K3483" s="46"/>
      <c r="L3483" s="10"/>
      <c r="M3483" s="20"/>
      <c r="N3483" s="20"/>
      <c r="O3483" s="20"/>
      <c r="P3483" s="20"/>
    </row>
    <row r="3484">
      <c r="A3484" s="23"/>
      <c r="B3484" s="21"/>
      <c r="C3484" s="23"/>
      <c r="D3484" s="24"/>
      <c r="E3484" s="14"/>
      <c r="F3484" s="14"/>
      <c r="G3484" s="14"/>
      <c r="H3484" s="23"/>
      <c r="I3484" s="27"/>
      <c r="J3484" s="23"/>
      <c r="K3484" s="30"/>
      <c r="L3484" s="23"/>
      <c r="M3484" s="20"/>
      <c r="N3484" s="20"/>
      <c r="O3484" s="20"/>
      <c r="P3484" s="20"/>
    </row>
    <row r="3485">
      <c r="A3485" s="10"/>
      <c r="B3485" s="11"/>
      <c r="C3485" s="10"/>
      <c r="D3485" s="13"/>
      <c r="E3485" s="14"/>
      <c r="F3485" s="14"/>
      <c r="G3485" s="14"/>
      <c r="H3485" s="10"/>
      <c r="I3485" s="17"/>
      <c r="J3485" s="10"/>
      <c r="K3485" s="46"/>
      <c r="L3485" s="10"/>
      <c r="M3485" s="20"/>
      <c r="N3485" s="20"/>
      <c r="O3485" s="20"/>
      <c r="P3485" s="20"/>
    </row>
    <row r="3486">
      <c r="A3486" s="23"/>
      <c r="B3486" s="21"/>
      <c r="C3486" s="23"/>
      <c r="D3486" s="24"/>
      <c r="E3486" s="14"/>
      <c r="F3486" s="14"/>
      <c r="G3486" s="14"/>
      <c r="H3486" s="23"/>
      <c r="I3486" s="27"/>
      <c r="J3486" s="23"/>
      <c r="K3486" s="30"/>
      <c r="L3486" s="23"/>
      <c r="M3486" s="20"/>
      <c r="N3486" s="20"/>
      <c r="O3486" s="20"/>
      <c r="P3486" s="20"/>
    </row>
    <row r="3487">
      <c r="A3487" s="10"/>
      <c r="B3487" s="11"/>
      <c r="C3487" s="10"/>
      <c r="D3487" s="13"/>
      <c r="E3487" s="14"/>
      <c r="F3487" s="14"/>
      <c r="G3487" s="14"/>
      <c r="H3487" s="10"/>
      <c r="I3487" s="17"/>
      <c r="J3487" s="10"/>
      <c r="K3487" s="46"/>
      <c r="L3487" s="10"/>
      <c r="M3487" s="20"/>
      <c r="N3487" s="20"/>
      <c r="O3487" s="20"/>
      <c r="P3487" s="20"/>
    </row>
    <row r="3488">
      <c r="A3488" s="23"/>
      <c r="B3488" s="21"/>
      <c r="C3488" s="23"/>
      <c r="D3488" s="24"/>
      <c r="E3488" s="14"/>
      <c r="F3488" s="14"/>
      <c r="G3488" s="14"/>
      <c r="H3488" s="23"/>
      <c r="I3488" s="27"/>
      <c r="J3488" s="23"/>
      <c r="K3488" s="30"/>
      <c r="L3488" s="23"/>
      <c r="M3488" s="20"/>
      <c r="N3488" s="20"/>
      <c r="O3488" s="20"/>
      <c r="P3488" s="20"/>
    </row>
    <row r="3489">
      <c r="A3489" s="10"/>
      <c r="B3489" s="11"/>
      <c r="C3489" s="10"/>
      <c r="D3489" s="13"/>
      <c r="E3489" s="14"/>
      <c r="F3489" s="14"/>
      <c r="G3489" s="14"/>
      <c r="H3489" s="10"/>
      <c r="I3489" s="17"/>
      <c r="J3489" s="10"/>
      <c r="K3489" s="46"/>
      <c r="L3489" s="10"/>
      <c r="M3489" s="20"/>
      <c r="N3489" s="20"/>
      <c r="O3489" s="20"/>
      <c r="P3489" s="20"/>
    </row>
    <row r="3490">
      <c r="A3490" s="23"/>
      <c r="B3490" s="21"/>
      <c r="C3490" s="23"/>
      <c r="D3490" s="24"/>
      <c r="E3490" s="14"/>
      <c r="F3490" s="14"/>
      <c r="G3490" s="14"/>
      <c r="H3490" s="23"/>
      <c r="I3490" s="27"/>
      <c r="J3490" s="23"/>
      <c r="K3490" s="30"/>
      <c r="L3490" s="23"/>
      <c r="M3490" s="20"/>
      <c r="N3490" s="20"/>
      <c r="O3490" s="20"/>
      <c r="P3490" s="20"/>
    </row>
    <row r="3491">
      <c r="A3491" s="10"/>
      <c r="B3491" s="11"/>
      <c r="C3491" s="10"/>
      <c r="D3491" s="13"/>
      <c r="E3491" s="14"/>
      <c r="F3491" s="14"/>
      <c r="G3491" s="14"/>
      <c r="H3491" s="10"/>
      <c r="I3491" s="17"/>
      <c r="J3491" s="10"/>
      <c r="K3491" s="46"/>
      <c r="L3491" s="10"/>
      <c r="M3491" s="20"/>
      <c r="N3491" s="20"/>
      <c r="O3491" s="20"/>
      <c r="P3491" s="20"/>
    </row>
    <row r="3492">
      <c r="A3492" s="23"/>
      <c r="B3492" s="21"/>
      <c r="C3492" s="23"/>
      <c r="D3492" s="24"/>
      <c r="E3492" s="14"/>
      <c r="F3492" s="14"/>
      <c r="G3492" s="14"/>
      <c r="H3492" s="23"/>
      <c r="I3492" s="27"/>
      <c r="J3492" s="23"/>
      <c r="K3492" s="30"/>
      <c r="L3492" s="23"/>
      <c r="M3492" s="20"/>
      <c r="N3492" s="20"/>
      <c r="O3492" s="20"/>
      <c r="P3492" s="20"/>
    </row>
    <row r="3493">
      <c r="A3493" s="10"/>
      <c r="B3493" s="11"/>
      <c r="C3493" s="10"/>
      <c r="D3493" s="13"/>
      <c r="E3493" s="14"/>
      <c r="F3493" s="14"/>
      <c r="G3493" s="14"/>
      <c r="H3493" s="10"/>
      <c r="I3493" s="17"/>
      <c r="J3493" s="10"/>
      <c r="K3493" s="46"/>
      <c r="L3493" s="10"/>
      <c r="M3493" s="20"/>
      <c r="N3493" s="20"/>
      <c r="O3493" s="20"/>
      <c r="P3493" s="20"/>
    </row>
    <row r="3494">
      <c r="A3494" s="23"/>
      <c r="B3494" s="21"/>
      <c r="C3494" s="23"/>
      <c r="D3494" s="24"/>
      <c r="E3494" s="14"/>
      <c r="F3494" s="14"/>
      <c r="G3494" s="14"/>
      <c r="H3494" s="23"/>
      <c r="I3494" s="27"/>
      <c r="J3494" s="23"/>
      <c r="K3494" s="30"/>
      <c r="L3494" s="23"/>
      <c r="M3494" s="20"/>
      <c r="N3494" s="20"/>
      <c r="O3494" s="20"/>
      <c r="P3494" s="20"/>
    </row>
    <row r="3495">
      <c r="A3495" s="10"/>
      <c r="B3495" s="11"/>
      <c r="C3495" s="10"/>
      <c r="D3495" s="13"/>
      <c r="E3495" s="14"/>
      <c r="F3495" s="14"/>
      <c r="G3495" s="14"/>
      <c r="H3495" s="10"/>
      <c r="I3495" s="17"/>
      <c r="J3495" s="10"/>
      <c r="K3495" s="46"/>
      <c r="L3495" s="10"/>
      <c r="M3495" s="20"/>
      <c r="N3495" s="20"/>
      <c r="O3495" s="20"/>
      <c r="P3495" s="20"/>
    </row>
    <row r="3496">
      <c r="A3496" s="23"/>
      <c r="B3496" s="21"/>
      <c r="C3496" s="23"/>
      <c r="D3496" s="24"/>
      <c r="E3496" s="14"/>
      <c r="F3496" s="14"/>
      <c r="G3496" s="14"/>
      <c r="H3496" s="23"/>
      <c r="I3496" s="27"/>
      <c r="J3496" s="23"/>
      <c r="K3496" s="30"/>
      <c r="L3496" s="23"/>
      <c r="M3496" s="20"/>
      <c r="N3496" s="20"/>
      <c r="O3496" s="20"/>
      <c r="P3496" s="20"/>
    </row>
    <row r="3497">
      <c r="A3497" s="10"/>
      <c r="B3497" s="11"/>
      <c r="C3497" s="10"/>
      <c r="D3497" s="13"/>
      <c r="E3497" s="14"/>
      <c r="F3497" s="14"/>
      <c r="G3497" s="14"/>
      <c r="H3497" s="10"/>
      <c r="I3497" s="17"/>
      <c r="J3497" s="10"/>
      <c r="K3497" s="46"/>
      <c r="L3497" s="10"/>
      <c r="M3497" s="20"/>
      <c r="N3497" s="20"/>
      <c r="O3497" s="20"/>
      <c r="P3497" s="20"/>
    </row>
    <row r="3498">
      <c r="A3498" s="23"/>
      <c r="B3498" s="21"/>
      <c r="C3498" s="23"/>
      <c r="D3498" s="24"/>
      <c r="E3498" s="14"/>
      <c r="F3498" s="14"/>
      <c r="G3498" s="14"/>
      <c r="H3498" s="23"/>
      <c r="I3498" s="27"/>
      <c r="J3498" s="23"/>
      <c r="K3498" s="30"/>
      <c r="L3498" s="23"/>
      <c r="M3498" s="20"/>
      <c r="N3498" s="20"/>
      <c r="O3498" s="20"/>
      <c r="P3498" s="20"/>
    </row>
    <row r="3499">
      <c r="A3499" s="10"/>
      <c r="B3499" s="11"/>
      <c r="C3499" s="10"/>
      <c r="D3499" s="13"/>
      <c r="E3499" s="14"/>
      <c r="F3499" s="14"/>
      <c r="G3499" s="14"/>
      <c r="H3499" s="10"/>
      <c r="I3499" s="17"/>
      <c r="J3499" s="10"/>
      <c r="K3499" s="46"/>
      <c r="L3499" s="10"/>
      <c r="M3499" s="20"/>
      <c r="N3499" s="20"/>
      <c r="O3499" s="20"/>
      <c r="P3499" s="20"/>
    </row>
    <row r="3500">
      <c r="A3500" s="23"/>
      <c r="B3500" s="21"/>
      <c r="C3500" s="23"/>
      <c r="D3500" s="24"/>
      <c r="E3500" s="14"/>
      <c r="F3500" s="14"/>
      <c r="G3500" s="14"/>
      <c r="H3500" s="23"/>
      <c r="I3500" s="27"/>
      <c r="J3500" s="23"/>
      <c r="K3500" s="30"/>
      <c r="L3500" s="23"/>
      <c r="M3500" s="20"/>
      <c r="N3500" s="20"/>
      <c r="O3500" s="20"/>
      <c r="P3500" s="20"/>
    </row>
    <row r="3501">
      <c r="A3501" s="10"/>
      <c r="B3501" s="11"/>
      <c r="C3501" s="10"/>
      <c r="D3501" s="13"/>
      <c r="E3501" s="14"/>
      <c r="F3501" s="14"/>
      <c r="G3501" s="14"/>
      <c r="H3501" s="10"/>
      <c r="I3501" s="17"/>
      <c r="J3501" s="10"/>
      <c r="K3501" s="46"/>
      <c r="L3501" s="10"/>
      <c r="M3501" s="20"/>
      <c r="N3501" s="20"/>
      <c r="O3501" s="20"/>
      <c r="P3501" s="20"/>
    </row>
    <row r="3502">
      <c r="A3502" s="23"/>
      <c r="B3502" s="21"/>
      <c r="C3502" s="23"/>
      <c r="D3502" s="24"/>
      <c r="E3502" s="14"/>
      <c r="F3502" s="14"/>
      <c r="G3502" s="14"/>
      <c r="H3502" s="23"/>
      <c r="I3502" s="27"/>
      <c r="J3502" s="23"/>
      <c r="K3502" s="30"/>
      <c r="L3502" s="23"/>
      <c r="M3502" s="20"/>
      <c r="N3502" s="20"/>
      <c r="O3502" s="20"/>
      <c r="P3502" s="20"/>
    </row>
    <row r="3503">
      <c r="A3503" s="10"/>
      <c r="B3503" s="11"/>
      <c r="C3503" s="10"/>
      <c r="D3503" s="13"/>
      <c r="E3503" s="14"/>
      <c r="F3503" s="14"/>
      <c r="G3503" s="14"/>
      <c r="H3503" s="10"/>
      <c r="I3503" s="17"/>
      <c r="J3503" s="10"/>
      <c r="K3503" s="46"/>
      <c r="L3503" s="10"/>
      <c r="M3503" s="20"/>
      <c r="N3503" s="20"/>
      <c r="O3503" s="20"/>
      <c r="P3503" s="20"/>
    </row>
    <row r="3504">
      <c r="A3504" s="23"/>
      <c r="B3504" s="21"/>
      <c r="C3504" s="23"/>
      <c r="D3504" s="24"/>
      <c r="E3504" s="14"/>
      <c r="F3504" s="14"/>
      <c r="G3504" s="14"/>
      <c r="H3504" s="23"/>
      <c r="I3504" s="27"/>
      <c r="J3504" s="23"/>
      <c r="K3504" s="30"/>
      <c r="L3504" s="23"/>
      <c r="M3504" s="20"/>
      <c r="N3504" s="20"/>
      <c r="O3504" s="20"/>
      <c r="P3504" s="20"/>
    </row>
    <row r="3505">
      <c r="A3505" s="10"/>
      <c r="B3505" s="11"/>
      <c r="C3505" s="10"/>
      <c r="D3505" s="13"/>
      <c r="E3505" s="14"/>
      <c r="F3505" s="14"/>
      <c r="G3505" s="14"/>
      <c r="H3505" s="10"/>
      <c r="I3505" s="17"/>
      <c r="J3505" s="10"/>
      <c r="K3505" s="46"/>
      <c r="L3505" s="10"/>
      <c r="M3505" s="20"/>
      <c r="N3505" s="20"/>
      <c r="O3505" s="20"/>
      <c r="P3505" s="20"/>
    </row>
    <row r="3506">
      <c r="A3506" s="23"/>
      <c r="B3506" s="21"/>
      <c r="C3506" s="23"/>
      <c r="D3506" s="24"/>
      <c r="E3506" s="14"/>
      <c r="F3506" s="14"/>
      <c r="G3506" s="14"/>
      <c r="H3506" s="23"/>
      <c r="I3506" s="27"/>
      <c r="J3506" s="23"/>
      <c r="K3506" s="30"/>
      <c r="L3506" s="23"/>
      <c r="M3506" s="20"/>
      <c r="N3506" s="20"/>
      <c r="O3506" s="20"/>
      <c r="P3506" s="20"/>
    </row>
    <row r="3507">
      <c r="A3507" s="10"/>
      <c r="B3507" s="11"/>
      <c r="C3507" s="10"/>
      <c r="D3507" s="13"/>
      <c r="E3507" s="14"/>
      <c r="F3507" s="14"/>
      <c r="G3507" s="14"/>
      <c r="H3507" s="10"/>
      <c r="I3507" s="17"/>
      <c r="J3507" s="10"/>
      <c r="K3507" s="46"/>
      <c r="L3507" s="10"/>
      <c r="M3507" s="20"/>
      <c r="N3507" s="20"/>
      <c r="O3507" s="20"/>
      <c r="P3507" s="20"/>
    </row>
    <row r="3508">
      <c r="A3508" s="23"/>
      <c r="B3508" s="21"/>
      <c r="C3508" s="23"/>
      <c r="D3508" s="24"/>
      <c r="E3508" s="14"/>
      <c r="F3508" s="14"/>
      <c r="G3508" s="14"/>
      <c r="H3508" s="23"/>
      <c r="I3508" s="27"/>
      <c r="J3508" s="23"/>
      <c r="K3508" s="30"/>
      <c r="L3508" s="23"/>
      <c r="M3508" s="20"/>
      <c r="N3508" s="20"/>
      <c r="O3508" s="20"/>
      <c r="P3508" s="20"/>
    </row>
    <row r="3509">
      <c r="A3509" s="10"/>
      <c r="B3509" s="11"/>
      <c r="C3509" s="10"/>
      <c r="D3509" s="13"/>
      <c r="E3509" s="14"/>
      <c r="F3509" s="14"/>
      <c r="G3509" s="14"/>
      <c r="H3509" s="10"/>
      <c r="I3509" s="17"/>
      <c r="J3509" s="10"/>
      <c r="K3509" s="46"/>
      <c r="L3509" s="10"/>
      <c r="M3509" s="20"/>
      <c r="N3509" s="20"/>
      <c r="O3509" s="20"/>
      <c r="P3509" s="20"/>
    </row>
    <row r="3510">
      <c r="A3510" s="23"/>
      <c r="B3510" s="21"/>
      <c r="C3510" s="23"/>
      <c r="D3510" s="24"/>
      <c r="E3510" s="14"/>
      <c r="F3510" s="14"/>
      <c r="G3510" s="14"/>
      <c r="H3510" s="23"/>
      <c r="I3510" s="27"/>
      <c r="J3510" s="23"/>
      <c r="K3510" s="30"/>
      <c r="L3510" s="23"/>
      <c r="M3510" s="20"/>
      <c r="N3510" s="20"/>
      <c r="O3510" s="20"/>
      <c r="P3510" s="20"/>
    </row>
    <row r="3511">
      <c r="A3511" s="10"/>
      <c r="B3511" s="11"/>
      <c r="C3511" s="10"/>
      <c r="D3511" s="13"/>
      <c r="E3511" s="14"/>
      <c r="F3511" s="14"/>
      <c r="G3511" s="14"/>
      <c r="H3511" s="10"/>
      <c r="I3511" s="17"/>
      <c r="J3511" s="10"/>
      <c r="K3511" s="46"/>
      <c r="L3511" s="10"/>
      <c r="M3511" s="20"/>
      <c r="N3511" s="20"/>
      <c r="O3511" s="20"/>
      <c r="P3511" s="20"/>
    </row>
    <row r="3512">
      <c r="A3512" s="23"/>
      <c r="B3512" s="21"/>
      <c r="C3512" s="23"/>
      <c r="D3512" s="24"/>
      <c r="E3512" s="14"/>
      <c r="F3512" s="14"/>
      <c r="G3512" s="14"/>
      <c r="H3512" s="23"/>
      <c r="I3512" s="27"/>
      <c r="J3512" s="23"/>
      <c r="K3512" s="30"/>
      <c r="L3512" s="23"/>
      <c r="M3512" s="20"/>
      <c r="N3512" s="20"/>
      <c r="O3512" s="20"/>
      <c r="P3512" s="20"/>
    </row>
    <row r="3513">
      <c r="A3513" s="10"/>
      <c r="B3513" s="11"/>
      <c r="C3513" s="10"/>
      <c r="D3513" s="13"/>
      <c r="E3513" s="14"/>
      <c r="F3513" s="14"/>
      <c r="G3513" s="14"/>
      <c r="H3513" s="10"/>
      <c r="I3513" s="17"/>
      <c r="J3513" s="10"/>
      <c r="K3513" s="46"/>
      <c r="L3513" s="10"/>
      <c r="M3513" s="20"/>
      <c r="N3513" s="20"/>
      <c r="O3513" s="20"/>
      <c r="P3513" s="20"/>
    </row>
    <row r="3514">
      <c r="A3514" s="23"/>
      <c r="B3514" s="21"/>
      <c r="C3514" s="23"/>
      <c r="D3514" s="24"/>
      <c r="E3514" s="14"/>
      <c r="F3514" s="14"/>
      <c r="G3514" s="14"/>
      <c r="H3514" s="23"/>
      <c r="I3514" s="27"/>
      <c r="J3514" s="23"/>
      <c r="K3514" s="30"/>
      <c r="L3514" s="23"/>
      <c r="M3514" s="20"/>
      <c r="N3514" s="20"/>
      <c r="O3514" s="20"/>
      <c r="P3514" s="20"/>
    </row>
    <row r="3515">
      <c r="A3515" s="10"/>
      <c r="B3515" s="11"/>
      <c r="C3515" s="10"/>
      <c r="D3515" s="13"/>
      <c r="E3515" s="14"/>
      <c r="F3515" s="14"/>
      <c r="G3515" s="14"/>
      <c r="H3515" s="10"/>
      <c r="I3515" s="17"/>
      <c r="J3515" s="10"/>
      <c r="K3515" s="46"/>
      <c r="L3515" s="10"/>
      <c r="M3515" s="20"/>
      <c r="N3515" s="20"/>
      <c r="O3515" s="20"/>
      <c r="P3515" s="20"/>
    </row>
    <row r="3516">
      <c r="A3516" s="23"/>
      <c r="B3516" s="21"/>
      <c r="C3516" s="23"/>
      <c r="D3516" s="24"/>
      <c r="E3516" s="14"/>
      <c r="F3516" s="14"/>
      <c r="G3516" s="14"/>
      <c r="H3516" s="23"/>
      <c r="I3516" s="27"/>
      <c r="J3516" s="23"/>
      <c r="K3516" s="30"/>
      <c r="L3516" s="23"/>
      <c r="M3516" s="20"/>
      <c r="N3516" s="20"/>
      <c r="O3516" s="20"/>
      <c r="P3516" s="20"/>
    </row>
    <row r="3517">
      <c r="A3517" s="10"/>
      <c r="B3517" s="11"/>
      <c r="C3517" s="10"/>
      <c r="D3517" s="13"/>
      <c r="E3517" s="14"/>
      <c r="F3517" s="14"/>
      <c r="G3517" s="14"/>
      <c r="H3517" s="10"/>
      <c r="I3517" s="17"/>
      <c r="J3517" s="10"/>
      <c r="K3517" s="46"/>
      <c r="L3517" s="10"/>
      <c r="M3517" s="20"/>
      <c r="N3517" s="20"/>
      <c r="O3517" s="20"/>
      <c r="P3517" s="20"/>
    </row>
    <row r="3518">
      <c r="A3518" s="23"/>
      <c r="B3518" s="21"/>
      <c r="C3518" s="23"/>
      <c r="D3518" s="24"/>
      <c r="E3518" s="14"/>
      <c r="F3518" s="14"/>
      <c r="G3518" s="14"/>
      <c r="H3518" s="23"/>
      <c r="I3518" s="27"/>
      <c r="J3518" s="23"/>
      <c r="K3518" s="30"/>
      <c r="L3518" s="23"/>
      <c r="M3518" s="20"/>
      <c r="N3518" s="20"/>
      <c r="O3518" s="20"/>
      <c r="P3518" s="20"/>
    </row>
    <row r="3519">
      <c r="A3519" s="10"/>
      <c r="B3519" s="11"/>
      <c r="C3519" s="10"/>
      <c r="D3519" s="13"/>
      <c r="E3519" s="14"/>
      <c r="F3519" s="14"/>
      <c r="G3519" s="14"/>
      <c r="H3519" s="10"/>
      <c r="I3519" s="17"/>
      <c r="J3519" s="10"/>
      <c r="K3519" s="46"/>
      <c r="L3519" s="10"/>
      <c r="M3519" s="20"/>
      <c r="N3519" s="20"/>
      <c r="O3519" s="20"/>
      <c r="P3519" s="20"/>
    </row>
    <row r="3520">
      <c r="A3520" s="23"/>
      <c r="B3520" s="21"/>
      <c r="C3520" s="23"/>
      <c r="D3520" s="24"/>
      <c r="E3520" s="14"/>
      <c r="F3520" s="14"/>
      <c r="G3520" s="14"/>
      <c r="H3520" s="23"/>
      <c r="I3520" s="27"/>
      <c r="J3520" s="23"/>
      <c r="K3520" s="30"/>
      <c r="L3520" s="23"/>
      <c r="M3520" s="20"/>
      <c r="N3520" s="20"/>
      <c r="O3520" s="20"/>
      <c r="P3520" s="20"/>
    </row>
    <row r="3521">
      <c r="A3521" s="10"/>
      <c r="B3521" s="11"/>
      <c r="C3521" s="10"/>
      <c r="D3521" s="13"/>
      <c r="E3521" s="14"/>
      <c r="F3521" s="14"/>
      <c r="G3521" s="14"/>
      <c r="H3521" s="10"/>
      <c r="I3521" s="17"/>
      <c r="J3521" s="10"/>
      <c r="K3521" s="46"/>
      <c r="L3521" s="10"/>
      <c r="M3521" s="20"/>
      <c r="N3521" s="20"/>
      <c r="O3521" s="20"/>
      <c r="P3521" s="20"/>
    </row>
    <row r="3522">
      <c r="A3522" s="23"/>
      <c r="B3522" s="21"/>
      <c r="C3522" s="23"/>
      <c r="D3522" s="24"/>
      <c r="E3522" s="14"/>
      <c r="F3522" s="14"/>
      <c r="G3522" s="14"/>
      <c r="H3522" s="23"/>
      <c r="I3522" s="27"/>
      <c r="J3522" s="23"/>
      <c r="K3522" s="30"/>
      <c r="L3522" s="23"/>
      <c r="M3522" s="20"/>
      <c r="N3522" s="20"/>
      <c r="O3522" s="20"/>
      <c r="P3522" s="20"/>
    </row>
    <row r="3523">
      <c r="A3523" s="10"/>
      <c r="B3523" s="11"/>
      <c r="C3523" s="10"/>
      <c r="D3523" s="13"/>
      <c r="E3523" s="14"/>
      <c r="F3523" s="14"/>
      <c r="G3523" s="14"/>
      <c r="H3523" s="10"/>
      <c r="I3523" s="17"/>
      <c r="J3523" s="10"/>
      <c r="K3523" s="46"/>
      <c r="L3523" s="10"/>
      <c r="M3523" s="20"/>
      <c r="N3523" s="20"/>
      <c r="O3523" s="20"/>
      <c r="P3523" s="20"/>
    </row>
    <row r="3524">
      <c r="A3524" s="23"/>
      <c r="B3524" s="21"/>
      <c r="C3524" s="23"/>
      <c r="D3524" s="24"/>
      <c r="E3524" s="14"/>
      <c r="F3524" s="14"/>
      <c r="G3524" s="14"/>
      <c r="H3524" s="23"/>
      <c r="I3524" s="27"/>
      <c r="J3524" s="23"/>
      <c r="K3524" s="30"/>
      <c r="L3524" s="23"/>
      <c r="M3524" s="20"/>
      <c r="N3524" s="20"/>
      <c r="O3524" s="20"/>
      <c r="P3524" s="20"/>
    </row>
    <row r="3525">
      <c r="A3525" s="10"/>
      <c r="B3525" s="11"/>
      <c r="C3525" s="10"/>
      <c r="D3525" s="13"/>
      <c r="E3525" s="14"/>
      <c r="F3525" s="14"/>
      <c r="G3525" s="14"/>
      <c r="H3525" s="10"/>
      <c r="I3525" s="17"/>
      <c r="J3525" s="10"/>
      <c r="K3525" s="46"/>
      <c r="L3525" s="10"/>
      <c r="M3525" s="20"/>
      <c r="N3525" s="20"/>
      <c r="O3525" s="20"/>
      <c r="P3525" s="20"/>
    </row>
    <row r="3526">
      <c r="A3526" s="23"/>
      <c r="B3526" s="21"/>
      <c r="C3526" s="23"/>
      <c r="D3526" s="24"/>
      <c r="E3526" s="14"/>
      <c r="F3526" s="14"/>
      <c r="G3526" s="14"/>
      <c r="H3526" s="23"/>
      <c r="I3526" s="27"/>
      <c r="J3526" s="23"/>
      <c r="K3526" s="30"/>
      <c r="L3526" s="23"/>
      <c r="M3526" s="20"/>
      <c r="N3526" s="20"/>
      <c r="O3526" s="20"/>
      <c r="P3526" s="20"/>
    </row>
    <row r="3527">
      <c r="A3527" s="10"/>
      <c r="B3527" s="11"/>
      <c r="C3527" s="10"/>
      <c r="D3527" s="13"/>
      <c r="E3527" s="14"/>
      <c r="F3527" s="14"/>
      <c r="G3527" s="14"/>
      <c r="H3527" s="10"/>
      <c r="I3527" s="17"/>
      <c r="J3527" s="10"/>
      <c r="K3527" s="46"/>
      <c r="L3527" s="10"/>
      <c r="M3527" s="20"/>
      <c r="N3527" s="20"/>
      <c r="O3527" s="20"/>
      <c r="P3527" s="20"/>
    </row>
    <row r="3528">
      <c r="A3528" s="23"/>
      <c r="B3528" s="21"/>
      <c r="C3528" s="23"/>
      <c r="D3528" s="24"/>
      <c r="E3528" s="14"/>
      <c r="F3528" s="14"/>
      <c r="G3528" s="14"/>
      <c r="H3528" s="23"/>
      <c r="I3528" s="27"/>
      <c r="J3528" s="23"/>
      <c r="K3528" s="30"/>
      <c r="L3528" s="23"/>
      <c r="M3528" s="20"/>
      <c r="N3528" s="20"/>
      <c r="O3528" s="20"/>
      <c r="P3528" s="20"/>
    </row>
    <row r="3529">
      <c r="A3529" s="10"/>
      <c r="B3529" s="11"/>
      <c r="C3529" s="10"/>
      <c r="D3529" s="13"/>
      <c r="E3529" s="14"/>
      <c r="F3529" s="14"/>
      <c r="G3529" s="14"/>
      <c r="H3529" s="10"/>
      <c r="I3529" s="17"/>
      <c r="J3529" s="10"/>
      <c r="K3529" s="46"/>
      <c r="L3529" s="10"/>
      <c r="M3529" s="20"/>
      <c r="N3529" s="20"/>
      <c r="O3529" s="20"/>
      <c r="P3529" s="20"/>
    </row>
    <row r="3530">
      <c r="A3530" s="23"/>
      <c r="B3530" s="21"/>
      <c r="C3530" s="23"/>
      <c r="D3530" s="24"/>
      <c r="E3530" s="14"/>
      <c r="F3530" s="14"/>
      <c r="G3530" s="14"/>
      <c r="H3530" s="23"/>
      <c r="I3530" s="27"/>
      <c r="J3530" s="23"/>
      <c r="K3530" s="30"/>
      <c r="L3530" s="23"/>
      <c r="M3530" s="20"/>
      <c r="N3530" s="20"/>
      <c r="O3530" s="20"/>
      <c r="P3530" s="20"/>
    </row>
    <row r="3531">
      <c r="A3531" s="10"/>
      <c r="B3531" s="11"/>
      <c r="C3531" s="10"/>
      <c r="D3531" s="13"/>
      <c r="E3531" s="14"/>
      <c r="F3531" s="14"/>
      <c r="G3531" s="14"/>
      <c r="H3531" s="10"/>
      <c r="I3531" s="17"/>
      <c r="J3531" s="10"/>
      <c r="K3531" s="46"/>
      <c r="L3531" s="10"/>
      <c r="M3531" s="20"/>
      <c r="N3531" s="20"/>
      <c r="O3531" s="20"/>
      <c r="P3531" s="20"/>
    </row>
    <row r="3532">
      <c r="A3532" s="23"/>
      <c r="B3532" s="21"/>
      <c r="C3532" s="23"/>
      <c r="D3532" s="24"/>
      <c r="E3532" s="14"/>
      <c r="F3532" s="14"/>
      <c r="G3532" s="14"/>
      <c r="H3532" s="23"/>
      <c r="I3532" s="27"/>
      <c r="J3532" s="23"/>
      <c r="K3532" s="30"/>
      <c r="L3532" s="23"/>
      <c r="M3532" s="20"/>
      <c r="N3532" s="20"/>
      <c r="O3532" s="20"/>
      <c r="P3532" s="20"/>
    </row>
    <row r="3533">
      <c r="A3533" s="10"/>
      <c r="B3533" s="11"/>
      <c r="C3533" s="10"/>
      <c r="D3533" s="13"/>
      <c r="E3533" s="14"/>
      <c r="F3533" s="14"/>
      <c r="G3533" s="14"/>
      <c r="H3533" s="10"/>
      <c r="I3533" s="17"/>
      <c r="J3533" s="10"/>
      <c r="K3533" s="46"/>
      <c r="L3533" s="10"/>
      <c r="M3533" s="20"/>
      <c r="N3533" s="20"/>
      <c r="O3533" s="20"/>
      <c r="P3533" s="20"/>
    </row>
    <row r="3534">
      <c r="A3534" s="23"/>
      <c r="B3534" s="21"/>
      <c r="C3534" s="23"/>
      <c r="D3534" s="24"/>
      <c r="E3534" s="14"/>
      <c r="F3534" s="14"/>
      <c r="G3534" s="14"/>
      <c r="H3534" s="23"/>
      <c r="I3534" s="27"/>
      <c r="J3534" s="23"/>
      <c r="K3534" s="30"/>
      <c r="L3534" s="23"/>
      <c r="M3534" s="20"/>
      <c r="N3534" s="20"/>
      <c r="O3534" s="20"/>
      <c r="P3534" s="20"/>
    </row>
    <row r="3535">
      <c r="A3535" s="10"/>
      <c r="B3535" s="11"/>
      <c r="C3535" s="10"/>
      <c r="D3535" s="13"/>
      <c r="E3535" s="14"/>
      <c r="F3535" s="14"/>
      <c r="G3535" s="14"/>
      <c r="H3535" s="10"/>
      <c r="I3535" s="17"/>
      <c r="J3535" s="10"/>
      <c r="K3535" s="46"/>
      <c r="L3535" s="10"/>
      <c r="M3535" s="20"/>
      <c r="N3535" s="20"/>
      <c r="O3535" s="20"/>
      <c r="P3535" s="20"/>
    </row>
    <row r="3536">
      <c r="A3536" s="23"/>
      <c r="B3536" s="21"/>
      <c r="C3536" s="23"/>
      <c r="D3536" s="24"/>
      <c r="E3536" s="14"/>
      <c r="F3536" s="14"/>
      <c r="G3536" s="14"/>
      <c r="H3536" s="23"/>
      <c r="I3536" s="27"/>
      <c r="J3536" s="23"/>
      <c r="K3536" s="30"/>
      <c r="L3536" s="23"/>
      <c r="M3536" s="20"/>
      <c r="N3536" s="20"/>
      <c r="O3536" s="20"/>
      <c r="P3536" s="20"/>
    </row>
    <row r="3537">
      <c r="A3537" s="10"/>
      <c r="B3537" s="11"/>
      <c r="C3537" s="10"/>
      <c r="D3537" s="13"/>
      <c r="E3537" s="14"/>
      <c r="F3537" s="14"/>
      <c r="G3537" s="14"/>
      <c r="H3537" s="10"/>
      <c r="I3537" s="17"/>
      <c r="J3537" s="10"/>
      <c r="K3537" s="46"/>
      <c r="L3537" s="10"/>
      <c r="M3537" s="20"/>
      <c r="N3537" s="20"/>
      <c r="O3537" s="20"/>
      <c r="P3537" s="20"/>
    </row>
    <row r="3538">
      <c r="A3538" s="23"/>
      <c r="B3538" s="21"/>
      <c r="C3538" s="23"/>
      <c r="D3538" s="24"/>
      <c r="E3538" s="14"/>
      <c r="F3538" s="14"/>
      <c r="G3538" s="14"/>
      <c r="H3538" s="23"/>
      <c r="I3538" s="27"/>
      <c r="J3538" s="23"/>
      <c r="K3538" s="30"/>
      <c r="L3538" s="23"/>
      <c r="M3538" s="20"/>
      <c r="N3538" s="20"/>
      <c r="O3538" s="20"/>
      <c r="P3538" s="20"/>
    </row>
    <row r="3539">
      <c r="A3539" s="10"/>
      <c r="B3539" s="11"/>
      <c r="C3539" s="10"/>
      <c r="D3539" s="13"/>
      <c r="E3539" s="14"/>
      <c r="F3539" s="14"/>
      <c r="G3539" s="14"/>
      <c r="H3539" s="10"/>
      <c r="I3539" s="17"/>
      <c r="J3539" s="10"/>
      <c r="K3539" s="46"/>
      <c r="L3539" s="10"/>
      <c r="M3539" s="20"/>
      <c r="N3539" s="20"/>
      <c r="O3539" s="20"/>
      <c r="P3539" s="20"/>
    </row>
    <row r="3540">
      <c r="A3540" s="23"/>
      <c r="B3540" s="21"/>
      <c r="C3540" s="23"/>
      <c r="D3540" s="24"/>
      <c r="E3540" s="14"/>
      <c r="F3540" s="14"/>
      <c r="G3540" s="14"/>
      <c r="H3540" s="23"/>
      <c r="I3540" s="27"/>
      <c r="J3540" s="23"/>
      <c r="K3540" s="30"/>
      <c r="L3540" s="23"/>
      <c r="M3540" s="20"/>
      <c r="N3540" s="20"/>
      <c r="O3540" s="20"/>
      <c r="P3540" s="20"/>
    </row>
    <row r="3541">
      <c r="A3541" s="10"/>
      <c r="B3541" s="11"/>
      <c r="C3541" s="10"/>
      <c r="D3541" s="13"/>
      <c r="E3541" s="14"/>
      <c r="F3541" s="14"/>
      <c r="G3541" s="14"/>
      <c r="H3541" s="10"/>
      <c r="I3541" s="17"/>
      <c r="J3541" s="10"/>
      <c r="K3541" s="46"/>
      <c r="L3541" s="10"/>
      <c r="M3541" s="20"/>
      <c r="N3541" s="20"/>
      <c r="O3541" s="20"/>
      <c r="P3541" s="20"/>
    </row>
    <row r="3542">
      <c r="A3542" s="23"/>
      <c r="B3542" s="21"/>
      <c r="C3542" s="23"/>
      <c r="D3542" s="24"/>
      <c r="E3542" s="14"/>
      <c r="F3542" s="14"/>
      <c r="G3542" s="14"/>
      <c r="H3542" s="23"/>
      <c r="I3542" s="27"/>
      <c r="J3542" s="23"/>
      <c r="K3542" s="30"/>
      <c r="L3542" s="23"/>
      <c r="M3542" s="20"/>
      <c r="N3542" s="20"/>
      <c r="O3542" s="20"/>
      <c r="P3542" s="20"/>
    </row>
    <row r="3543">
      <c r="A3543" s="10"/>
      <c r="B3543" s="11"/>
      <c r="C3543" s="10"/>
      <c r="D3543" s="13"/>
      <c r="E3543" s="14"/>
      <c r="F3543" s="14"/>
      <c r="G3543" s="14"/>
      <c r="H3543" s="10"/>
      <c r="I3543" s="17"/>
      <c r="J3543" s="10"/>
      <c r="K3543" s="46"/>
      <c r="L3543" s="10"/>
      <c r="M3543" s="20"/>
      <c r="N3543" s="20"/>
      <c r="O3543" s="20"/>
      <c r="P3543" s="20"/>
    </row>
    <row r="3544">
      <c r="A3544" s="23"/>
      <c r="B3544" s="21"/>
      <c r="C3544" s="23"/>
      <c r="D3544" s="24"/>
      <c r="E3544" s="14"/>
      <c r="F3544" s="14"/>
      <c r="G3544" s="14"/>
      <c r="H3544" s="23"/>
      <c r="I3544" s="27"/>
      <c r="J3544" s="23"/>
      <c r="K3544" s="30"/>
      <c r="L3544" s="23"/>
      <c r="M3544" s="20"/>
      <c r="N3544" s="20"/>
      <c r="O3544" s="20"/>
      <c r="P3544" s="20"/>
    </row>
    <row r="3545">
      <c r="A3545" s="10"/>
      <c r="B3545" s="11"/>
      <c r="C3545" s="10"/>
      <c r="D3545" s="13"/>
      <c r="E3545" s="14"/>
      <c r="F3545" s="14"/>
      <c r="G3545" s="14"/>
      <c r="H3545" s="10"/>
      <c r="I3545" s="17"/>
      <c r="J3545" s="10"/>
      <c r="K3545" s="46"/>
      <c r="L3545" s="10"/>
      <c r="M3545" s="20"/>
      <c r="N3545" s="20"/>
      <c r="O3545" s="20"/>
      <c r="P3545" s="20"/>
    </row>
    <row r="3546">
      <c r="A3546" s="23"/>
      <c r="B3546" s="21"/>
      <c r="C3546" s="23"/>
      <c r="D3546" s="24"/>
      <c r="E3546" s="14"/>
      <c r="F3546" s="14"/>
      <c r="G3546" s="14"/>
      <c r="H3546" s="23"/>
      <c r="I3546" s="27"/>
      <c r="J3546" s="23"/>
      <c r="K3546" s="30"/>
      <c r="L3546" s="23"/>
      <c r="M3546" s="20"/>
      <c r="N3546" s="20"/>
      <c r="O3546" s="20"/>
      <c r="P3546" s="20"/>
    </row>
    <row r="3547">
      <c r="A3547" s="10"/>
      <c r="B3547" s="11"/>
      <c r="C3547" s="10"/>
      <c r="D3547" s="13"/>
      <c r="E3547" s="14"/>
      <c r="F3547" s="14"/>
      <c r="G3547" s="14"/>
      <c r="H3547" s="10"/>
      <c r="I3547" s="17"/>
      <c r="J3547" s="10"/>
      <c r="K3547" s="46"/>
      <c r="L3547" s="10"/>
      <c r="M3547" s="20"/>
      <c r="N3547" s="20"/>
      <c r="O3547" s="20"/>
      <c r="P3547" s="20"/>
    </row>
    <row r="3548">
      <c r="A3548" s="23"/>
      <c r="B3548" s="21"/>
      <c r="C3548" s="23"/>
      <c r="D3548" s="24"/>
      <c r="E3548" s="14"/>
      <c r="F3548" s="14"/>
      <c r="G3548" s="14"/>
      <c r="H3548" s="23"/>
      <c r="I3548" s="27"/>
      <c r="J3548" s="23"/>
      <c r="K3548" s="30"/>
      <c r="L3548" s="23"/>
      <c r="M3548" s="20"/>
      <c r="N3548" s="20"/>
      <c r="O3548" s="20"/>
      <c r="P3548" s="20"/>
    </row>
    <row r="3549">
      <c r="A3549" s="10"/>
      <c r="B3549" s="11"/>
      <c r="C3549" s="10"/>
      <c r="D3549" s="13"/>
      <c r="E3549" s="14"/>
      <c r="F3549" s="14"/>
      <c r="G3549" s="14"/>
      <c r="H3549" s="10"/>
      <c r="I3549" s="17"/>
      <c r="J3549" s="10"/>
      <c r="K3549" s="46"/>
      <c r="L3549" s="10"/>
      <c r="M3549" s="20"/>
      <c r="N3549" s="20"/>
      <c r="O3549" s="20"/>
      <c r="P3549" s="20"/>
    </row>
    <row r="3550">
      <c r="A3550" s="23"/>
      <c r="B3550" s="21"/>
      <c r="C3550" s="23"/>
      <c r="D3550" s="24"/>
      <c r="E3550" s="14"/>
      <c r="F3550" s="14"/>
      <c r="G3550" s="14"/>
      <c r="H3550" s="23"/>
      <c r="I3550" s="27"/>
      <c r="J3550" s="23"/>
      <c r="K3550" s="30"/>
      <c r="L3550" s="23"/>
      <c r="M3550" s="20"/>
      <c r="N3550" s="20"/>
      <c r="O3550" s="20"/>
      <c r="P3550" s="20"/>
    </row>
    <row r="3551">
      <c r="A3551" s="10"/>
      <c r="B3551" s="11"/>
      <c r="C3551" s="10"/>
      <c r="D3551" s="13"/>
      <c r="E3551" s="14"/>
      <c r="F3551" s="14"/>
      <c r="G3551" s="14"/>
      <c r="H3551" s="10"/>
      <c r="I3551" s="17"/>
      <c r="J3551" s="10"/>
      <c r="K3551" s="46"/>
      <c r="L3551" s="10"/>
      <c r="M3551" s="20"/>
      <c r="N3551" s="20"/>
      <c r="O3551" s="20"/>
      <c r="P3551" s="20"/>
    </row>
    <row r="3552">
      <c r="A3552" s="23"/>
      <c r="B3552" s="21"/>
      <c r="C3552" s="23"/>
      <c r="D3552" s="24"/>
      <c r="E3552" s="14"/>
      <c r="F3552" s="14"/>
      <c r="G3552" s="14"/>
      <c r="H3552" s="23"/>
      <c r="I3552" s="27"/>
      <c r="J3552" s="23"/>
      <c r="K3552" s="30"/>
      <c r="L3552" s="23"/>
      <c r="M3552" s="20"/>
      <c r="N3552" s="20"/>
      <c r="O3552" s="20"/>
      <c r="P3552" s="20"/>
    </row>
    <row r="3553">
      <c r="A3553" s="10"/>
      <c r="B3553" s="11"/>
      <c r="C3553" s="10"/>
      <c r="D3553" s="13"/>
      <c r="E3553" s="14"/>
      <c r="F3553" s="14"/>
      <c r="G3553" s="14"/>
      <c r="H3553" s="10"/>
      <c r="I3553" s="17"/>
      <c r="J3553" s="10"/>
      <c r="K3553" s="46"/>
      <c r="L3553" s="10"/>
      <c r="M3553" s="20"/>
      <c r="N3553" s="20"/>
      <c r="O3553" s="20"/>
      <c r="P3553" s="20"/>
    </row>
    <row r="3554">
      <c r="A3554" s="23"/>
      <c r="B3554" s="21"/>
      <c r="C3554" s="23"/>
      <c r="D3554" s="24"/>
      <c r="E3554" s="14"/>
      <c r="F3554" s="14"/>
      <c r="G3554" s="14"/>
      <c r="H3554" s="23"/>
      <c r="I3554" s="27"/>
      <c r="J3554" s="23"/>
      <c r="K3554" s="30"/>
      <c r="L3554" s="23"/>
      <c r="M3554" s="20"/>
      <c r="N3554" s="20"/>
      <c r="O3554" s="20"/>
      <c r="P3554" s="20"/>
    </row>
    <row r="3555">
      <c r="A3555" s="10"/>
      <c r="B3555" s="11"/>
      <c r="C3555" s="10"/>
      <c r="D3555" s="13"/>
      <c r="E3555" s="14"/>
      <c r="F3555" s="14"/>
      <c r="G3555" s="14"/>
      <c r="H3555" s="10"/>
      <c r="I3555" s="17"/>
      <c r="J3555" s="10"/>
      <c r="K3555" s="46"/>
      <c r="L3555" s="10"/>
      <c r="M3555" s="20"/>
      <c r="N3555" s="20"/>
      <c r="O3555" s="20"/>
      <c r="P3555" s="20"/>
    </row>
    <row r="3556">
      <c r="A3556" s="23"/>
      <c r="B3556" s="21"/>
      <c r="C3556" s="23"/>
      <c r="D3556" s="24"/>
      <c r="E3556" s="14"/>
      <c r="F3556" s="14"/>
      <c r="G3556" s="14"/>
      <c r="H3556" s="23"/>
      <c r="I3556" s="27"/>
      <c r="J3556" s="23"/>
      <c r="K3556" s="30"/>
      <c r="L3556" s="23"/>
      <c r="M3556" s="20"/>
      <c r="N3556" s="20"/>
      <c r="O3556" s="20"/>
      <c r="P3556" s="20"/>
    </row>
    <row r="3557">
      <c r="A3557" s="10"/>
      <c r="B3557" s="11"/>
      <c r="C3557" s="10"/>
      <c r="D3557" s="13"/>
      <c r="E3557" s="14"/>
      <c r="F3557" s="14"/>
      <c r="G3557" s="14"/>
      <c r="H3557" s="10"/>
      <c r="I3557" s="17"/>
      <c r="J3557" s="10"/>
      <c r="K3557" s="46"/>
      <c r="L3557" s="10"/>
      <c r="M3557" s="20"/>
      <c r="N3557" s="20"/>
      <c r="O3557" s="20"/>
      <c r="P3557" s="20"/>
    </row>
    <row r="3558">
      <c r="A3558" s="23"/>
      <c r="B3558" s="21"/>
      <c r="C3558" s="23"/>
      <c r="D3558" s="24"/>
      <c r="E3558" s="14"/>
      <c r="F3558" s="14"/>
      <c r="G3558" s="14"/>
      <c r="H3558" s="23"/>
      <c r="I3558" s="27"/>
      <c r="J3558" s="23"/>
      <c r="K3558" s="30"/>
      <c r="L3558" s="23"/>
      <c r="M3558" s="20"/>
      <c r="N3558" s="20"/>
      <c r="O3558" s="20"/>
      <c r="P3558" s="20"/>
    </row>
    <row r="3559">
      <c r="A3559" s="10"/>
      <c r="B3559" s="11"/>
      <c r="C3559" s="10"/>
      <c r="D3559" s="13"/>
      <c r="E3559" s="14"/>
      <c r="F3559" s="14"/>
      <c r="G3559" s="14"/>
      <c r="H3559" s="10"/>
      <c r="I3559" s="17"/>
      <c r="J3559" s="10"/>
      <c r="K3559" s="46"/>
      <c r="L3559" s="10"/>
      <c r="M3559" s="20"/>
      <c r="N3559" s="20"/>
      <c r="O3559" s="20"/>
      <c r="P3559" s="20"/>
    </row>
    <row r="3560">
      <c r="A3560" s="23"/>
      <c r="B3560" s="21"/>
      <c r="C3560" s="23"/>
      <c r="D3560" s="24"/>
      <c r="E3560" s="14"/>
      <c r="F3560" s="14"/>
      <c r="G3560" s="14"/>
      <c r="H3560" s="23"/>
      <c r="I3560" s="27"/>
      <c r="J3560" s="23"/>
      <c r="K3560" s="30"/>
      <c r="L3560" s="23"/>
      <c r="M3560" s="20"/>
      <c r="N3560" s="20"/>
      <c r="O3560" s="20"/>
      <c r="P3560" s="20"/>
    </row>
    <row r="3561">
      <c r="A3561" s="10"/>
      <c r="B3561" s="11"/>
      <c r="C3561" s="10"/>
      <c r="D3561" s="13"/>
      <c r="E3561" s="14"/>
      <c r="F3561" s="14"/>
      <c r="G3561" s="14"/>
      <c r="H3561" s="10"/>
      <c r="I3561" s="17"/>
      <c r="J3561" s="10"/>
      <c r="K3561" s="46"/>
      <c r="L3561" s="10"/>
      <c r="M3561" s="20"/>
      <c r="N3561" s="20"/>
      <c r="O3561" s="20"/>
      <c r="P3561" s="20"/>
    </row>
    <row r="3562">
      <c r="A3562" s="23"/>
      <c r="B3562" s="21"/>
      <c r="C3562" s="23"/>
      <c r="D3562" s="24"/>
      <c r="E3562" s="14"/>
      <c r="F3562" s="14"/>
      <c r="G3562" s="14"/>
      <c r="H3562" s="23"/>
      <c r="I3562" s="27"/>
      <c r="J3562" s="23"/>
      <c r="K3562" s="30"/>
      <c r="L3562" s="23"/>
      <c r="M3562" s="20"/>
      <c r="N3562" s="20"/>
      <c r="O3562" s="20"/>
      <c r="P3562" s="20"/>
    </row>
    <row r="3563">
      <c r="A3563" s="10"/>
      <c r="B3563" s="11"/>
      <c r="C3563" s="10"/>
      <c r="D3563" s="13"/>
      <c r="E3563" s="14"/>
      <c r="F3563" s="14"/>
      <c r="G3563" s="14"/>
      <c r="H3563" s="10"/>
      <c r="I3563" s="17"/>
      <c r="J3563" s="10"/>
      <c r="K3563" s="46"/>
      <c r="L3563" s="10"/>
      <c r="M3563" s="20"/>
      <c r="N3563" s="20"/>
      <c r="O3563" s="20"/>
      <c r="P3563" s="20"/>
    </row>
    <row r="3564">
      <c r="A3564" s="23"/>
      <c r="B3564" s="21"/>
      <c r="C3564" s="23"/>
      <c r="D3564" s="24"/>
      <c r="E3564" s="14"/>
      <c r="F3564" s="14"/>
      <c r="G3564" s="14"/>
      <c r="H3564" s="23"/>
      <c r="I3564" s="27"/>
      <c r="J3564" s="23"/>
      <c r="K3564" s="30"/>
      <c r="L3564" s="23"/>
      <c r="M3564" s="20"/>
      <c r="N3564" s="20"/>
      <c r="O3564" s="20"/>
      <c r="P3564" s="20"/>
    </row>
    <row r="3565">
      <c r="A3565" s="10"/>
      <c r="B3565" s="11"/>
      <c r="C3565" s="10"/>
      <c r="D3565" s="13"/>
      <c r="E3565" s="14"/>
      <c r="F3565" s="14"/>
      <c r="G3565" s="14"/>
      <c r="H3565" s="10"/>
      <c r="I3565" s="17"/>
      <c r="J3565" s="10"/>
      <c r="K3565" s="46"/>
      <c r="L3565" s="10"/>
      <c r="M3565" s="20"/>
      <c r="N3565" s="20"/>
      <c r="O3565" s="20"/>
      <c r="P3565" s="20"/>
    </row>
    <row r="3566">
      <c r="A3566" s="23"/>
      <c r="B3566" s="21"/>
      <c r="C3566" s="23"/>
      <c r="D3566" s="24"/>
      <c r="E3566" s="14"/>
      <c r="F3566" s="14"/>
      <c r="G3566" s="14"/>
      <c r="H3566" s="23"/>
      <c r="I3566" s="27"/>
      <c r="J3566" s="23"/>
      <c r="K3566" s="30"/>
      <c r="L3566" s="23"/>
      <c r="M3566" s="20"/>
      <c r="N3566" s="20"/>
      <c r="O3566" s="20"/>
      <c r="P3566" s="20"/>
    </row>
    <row r="3567">
      <c r="A3567" s="10"/>
      <c r="B3567" s="11"/>
      <c r="C3567" s="10"/>
      <c r="D3567" s="13"/>
      <c r="E3567" s="14"/>
      <c r="F3567" s="14"/>
      <c r="G3567" s="14"/>
      <c r="H3567" s="10"/>
      <c r="I3567" s="17"/>
      <c r="J3567" s="10"/>
      <c r="K3567" s="46"/>
      <c r="L3567" s="10"/>
      <c r="M3567" s="20"/>
      <c r="N3567" s="20"/>
      <c r="O3567" s="20"/>
      <c r="P3567" s="20"/>
    </row>
    <row r="3568">
      <c r="A3568" s="23"/>
      <c r="B3568" s="21"/>
      <c r="C3568" s="23"/>
      <c r="D3568" s="24"/>
      <c r="E3568" s="14"/>
      <c r="F3568" s="14"/>
      <c r="G3568" s="14"/>
      <c r="H3568" s="23"/>
      <c r="I3568" s="27"/>
      <c r="J3568" s="23"/>
      <c r="K3568" s="30"/>
      <c r="L3568" s="23"/>
      <c r="M3568" s="20"/>
      <c r="N3568" s="20"/>
      <c r="O3568" s="20"/>
      <c r="P3568" s="20"/>
    </row>
    <row r="3569">
      <c r="A3569" s="10"/>
      <c r="B3569" s="11"/>
      <c r="C3569" s="10"/>
      <c r="D3569" s="13"/>
      <c r="E3569" s="14"/>
      <c r="F3569" s="14"/>
      <c r="G3569" s="14"/>
      <c r="H3569" s="10"/>
      <c r="I3569" s="17"/>
      <c r="J3569" s="10"/>
      <c r="K3569" s="46"/>
      <c r="L3569" s="10"/>
      <c r="M3569" s="20"/>
      <c r="N3569" s="20"/>
      <c r="O3569" s="20"/>
      <c r="P3569" s="20"/>
    </row>
    <row r="3570">
      <c r="A3570" s="23"/>
      <c r="B3570" s="21"/>
      <c r="C3570" s="23"/>
      <c r="D3570" s="24"/>
      <c r="E3570" s="14"/>
      <c r="F3570" s="14"/>
      <c r="G3570" s="14"/>
      <c r="H3570" s="23"/>
      <c r="I3570" s="27"/>
      <c r="J3570" s="23"/>
      <c r="K3570" s="30"/>
      <c r="L3570" s="23"/>
      <c r="M3570" s="20"/>
      <c r="N3570" s="20"/>
      <c r="O3570" s="20"/>
      <c r="P3570" s="20"/>
    </row>
    <row r="3571">
      <c r="A3571" s="10"/>
      <c r="B3571" s="11"/>
      <c r="C3571" s="10"/>
      <c r="D3571" s="13"/>
      <c r="E3571" s="14"/>
      <c r="F3571" s="14"/>
      <c r="G3571" s="14"/>
      <c r="H3571" s="10"/>
      <c r="I3571" s="17"/>
      <c r="J3571" s="10"/>
      <c r="K3571" s="46"/>
      <c r="L3571" s="10"/>
      <c r="M3571" s="20"/>
      <c r="N3571" s="20"/>
      <c r="O3571" s="20"/>
      <c r="P3571" s="20"/>
    </row>
    <row r="3572">
      <c r="A3572" s="23"/>
      <c r="B3572" s="21"/>
      <c r="C3572" s="23"/>
      <c r="D3572" s="24"/>
      <c r="E3572" s="14"/>
      <c r="F3572" s="14"/>
      <c r="G3572" s="14"/>
      <c r="H3572" s="23"/>
      <c r="I3572" s="27"/>
      <c r="J3572" s="23"/>
      <c r="K3572" s="30"/>
      <c r="L3572" s="23"/>
      <c r="M3572" s="20"/>
      <c r="N3572" s="20"/>
      <c r="O3572" s="20"/>
      <c r="P3572" s="20"/>
    </row>
    <row r="3573">
      <c r="A3573" s="10"/>
      <c r="B3573" s="11"/>
      <c r="C3573" s="10"/>
      <c r="D3573" s="13"/>
      <c r="E3573" s="14"/>
      <c r="F3573" s="14"/>
      <c r="G3573" s="14"/>
      <c r="H3573" s="10"/>
      <c r="I3573" s="17"/>
      <c r="J3573" s="10"/>
      <c r="K3573" s="46"/>
      <c r="L3573" s="10"/>
      <c r="M3573" s="20"/>
      <c r="N3573" s="20"/>
      <c r="O3573" s="20"/>
      <c r="P3573" s="20"/>
    </row>
    <row r="3574">
      <c r="A3574" s="23"/>
      <c r="B3574" s="21"/>
      <c r="C3574" s="23"/>
      <c r="D3574" s="24"/>
      <c r="E3574" s="14"/>
      <c r="F3574" s="14"/>
      <c r="G3574" s="14"/>
      <c r="H3574" s="23"/>
      <c r="I3574" s="27"/>
      <c r="J3574" s="23"/>
      <c r="K3574" s="30"/>
      <c r="L3574" s="23"/>
      <c r="M3574" s="20"/>
      <c r="N3574" s="20"/>
      <c r="O3574" s="20"/>
      <c r="P3574" s="20"/>
    </row>
    <row r="3575">
      <c r="A3575" s="10"/>
      <c r="B3575" s="11"/>
      <c r="C3575" s="10"/>
      <c r="D3575" s="13"/>
      <c r="E3575" s="14"/>
      <c r="F3575" s="14"/>
      <c r="G3575" s="14"/>
      <c r="H3575" s="10"/>
      <c r="I3575" s="17"/>
      <c r="J3575" s="10"/>
      <c r="K3575" s="46"/>
      <c r="L3575" s="10"/>
      <c r="M3575" s="20"/>
      <c r="N3575" s="20"/>
      <c r="O3575" s="20"/>
      <c r="P3575" s="20"/>
    </row>
    <row r="3576">
      <c r="A3576" s="23"/>
      <c r="B3576" s="21"/>
      <c r="C3576" s="23"/>
      <c r="D3576" s="24"/>
      <c r="E3576" s="14"/>
      <c r="F3576" s="14"/>
      <c r="G3576" s="14"/>
      <c r="H3576" s="23"/>
      <c r="I3576" s="27"/>
      <c r="J3576" s="23"/>
      <c r="K3576" s="30"/>
      <c r="L3576" s="23"/>
      <c r="M3576" s="20"/>
      <c r="N3576" s="20"/>
      <c r="O3576" s="20"/>
      <c r="P3576" s="20"/>
    </row>
    <row r="3577">
      <c r="A3577" s="10"/>
      <c r="B3577" s="11"/>
      <c r="C3577" s="10"/>
      <c r="D3577" s="13"/>
      <c r="E3577" s="14"/>
      <c r="F3577" s="14"/>
      <c r="G3577" s="14"/>
      <c r="H3577" s="10"/>
      <c r="I3577" s="17"/>
      <c r="J3577" s="10"/>
      <c r="K3577" s="46"/>
      <c r="L3577" s="10"/>
      <c r="M3577" s="20"/>
      <c r="N3577" s="20"/>
      <c r="O3577" s="20"/>
      <c r="P3577" s="20"/>
    </row>
    <row r="3578">
      <c r="A3578" s="23"/>
      <c r="B3578" s="21"/>
      <c r="C3578" s="23"/>
      <c r="D3578" s="24"/>
      <c r="E3578" s="14"/>
      <c r="F3578" s="14"/>
      <c r="G3578" s="14"/>
      <c r="H3578" s="23"/>
      <c r="I3578" s="27"/>
      <c r="J3578" s="23"/>
      <c r="K3578" s="30"/>
      <c r="L3578" s="23"/>
      <c r="M3578" s="20"/>
      <c r="N3578" s="20"/>
      <c r="O3578" s="20"/>
      <c r="P3578" s="20"/>
    </row>
    <row r="3579">
      <c r="A3579" s="10"/>
      <c r="B3579" s="11"/>
      <c r="C3579" s="10"/>
      <c r="D3579" s="13"/>
      <c r="E3579" s="14"/>
      <c r="F3579" s="14"/>
      <c r="G3579" s="14"/>
      <c r="H3579" s="10"/>
      <c r="I3579" s="17"/>
      <c r="J3579" s="10"/>
      <c r="K3579" s="46"/>
      <c r="L3579" s="10"/>
      <c r="M3579" s="20"/>
      <c r="N3579" s="20"/>
      <c r="O3579" s="20"/>
      <c r="P3579" s="20"/>
    </row>
    <row r="3580">
      <c r="A3580" s="23"/>
      <c r="B3580" s="21"/>
      <c r="C3580" s="23"/>
      <c r="D3580" s="24"/>
      <c r="E3580" s="14"/>
      <c r="F3580" s="14"/>
      <c r="G3580" s="14"/>
      <c r="H3580" s="23"/>
      <c r="I3580" s="27"/>
      <c r="J3580" s="23"/>
      <c r="K3580" s="30"/>
      <c r="L3580" s="23"/>
      <c r="M3580" s="20"/>
      <c r="N3580" s="20"/>
      <c r="O3580" s="20"/>
      <c r="P3580" s="20"/>
    </row>
    <row r="3581">
      <c r="A3581" s="10"/>
      <c r="B3581" s="11"/>
      <c r="C3581" s="10"/>
      <c r="D3581" s="13"/>
      <c r="E3581" s="14"/>
      <c r="F3581" s="14"/>
      <c r="G3581" s="14"/>
      <c r="H3581" s="10"/>
      <c r="I3581" s="17"/>
      <c r="J3581" s="10"/>
      <c r="K3581" s="46"/>
      <c r="L3581" s="10"/>
      <c r="M3581" s="20"/>
      <c r="N3581" s="20"/>
      <c r="O3581" s="20"/>
      <c r="P3581" s="20"/>
    </row>
    <row r="3582">
      <c r="A3582" s="23"/>
      <c r="B3582" s="21"/>
      <c r="C3582" s="23"/>
      <c r="D3582" s="24"/>
      <c r="E3582" s="14"/>
      <c r="F3582" s="14"/>
      <c r="G3582" s="14"/>
      <c r="H3582" s="23"/>
      <c r="I3582" s="27"/>
      <c r="J3582" s="23"/>
      <c r="K3582" s="30"/>
      <c r="L3582" s="23"/>
      <c r="M3582" s="20"/>
      <c r="N3582" s="20"/>
      <c r="O3582" s="20"/>
      <c r="P3582" s="20"/>
    </row>
    <row r="3583">
      <c r="A3583" s="10"/>
      <c r="B3583" s="11"/>
      <c r="C3583" s="10"/>
      <c r="D3583" s="13"/>
      <c r="E3583" s="14"/>
      <c r="F3583" s="14"/>
      <c r="G3583" s="14"/>
      <c r="H3583" s="10"/>
      <c r="I3583" s="17"/>
      <c r="J3583" s="10"/>
      <c r="K3583" s="46"/>
      <c r="L3583" s="10"/>
      <c r="M3583" s="20"/>
      <c r="N3583" s="20"/>
      <c r="O3583" s="20"/>
      <c r="P3583" s="20"/>
    </row>
    <row r="3584">
      <c r="A3584" s="23"/>
      <c r="B3584" s="21"/>
      <c r="C3584" s="23"/>
      <c r="D3584" s="24"/>
      <c r="E3584" s="14"/>
      <c r="F3584" s="14"/>
      <c r="G3584" s="14"/>
      <c r="H3584" s="23"/>
      <c r="I3584" s="27"/>
      <c r="J3584" s="23"/>
      <c r="K3584" s="30"/>
      <c r="L3584" s="23"/>
      <c r="M3584" s="20"/>
      <c r="N3584" s="20"/>
      <c r="O3584" s="20"/>
      <c r="P3584" s="20"/>
    </row>
    <row r="3585">
      <c r="A3585" s="10"/>
      <c r="B3585" s="11"/>
      <c r="C3585" s="10"/>
      <c r="D3585" s="13"/>
      <c r="E3585" s="14"/>
      <c r="F3585" s="14"/>
      <c r="G3585" s="14"/>
      <c r="H3585" s="10"/>
      <c r="I3585" s="17"/>
      <c r="J3585" s="10"/>
      <c r="K3585" s="46"/>
      <c r="L3585" s="10"/>
      <c r="M3585" s="20"/>
      <c r="N3585" s="20"/>
      <c r="O3585" s="20"/>
      <c r="P3585" s="20"/>
    </row>
    <row r="3586">
      <c r="A3586" s="23"/>
      <c r="B3586" s="21"/>
      <c r="C3586" s="23"/>
      <c r="D3586" s="24"/>
      <c r="E3586" s="14"/>
      <c r="F3586" s="14"/>
      <c r="G3586" s="14"/>
      <c r="H3586" s="23"/>
      <c r="I3586" s="27"/>
      <c r="J3586" s="23"/>
      <c r="K3586" s="30"/>
      <c r="L3586" s="23"/>
      <c r="M3586" s="20"/>
      <c r="N3586" s="20"/>
      <c r="O3586" s="20"/>
      <c r="P3586" s="20"/>
    </row>
    <row r="3587">
      <c r="A3587" s="10"/>
      <c r="B3587" s="11"/>
      <c r="C3587" s="10"/>
      <c r="D3587" s="13"/>
      <c r="E3587" s="14"/>
      <c r="F3587" s="14"/>
      <c r="G3587" s="14"/>
      <c r="H3587" s="10"/>
      <c r="I3587" s="17"/>
      <c r="J3587" s="10"/>
      <c r="K3587" s="46"/>
      <c r="L3587" s="10"/>
      <c r="M3587" s="20"/>
      <c r="N3587" s="20"/>
      <c r="O3587" s="20"/>
      <c r="P3587" s="20"/>
    </row>
    <row r="3588">
      <c r="A3588" s="23"/>
      <c r="B3588" s="21"/>
      <c r="C3588" s="23"/>
      <c r="D3588" s="24"/>
      <c r="E3588" s="14"/>
      <c r="F3588" s="14"/>
      <c r="G3588" s="14"/>
      <c r="H3588" s="23"/>
      <c r="I3588" s="27"/>
      <c r="J3588" s="23"/>
      <c r="K3588" s="30"/>
      <c r="L3588" s="23"/>
      <c r="M3588" s="20"/>
      <c r="N3588" s="20"/>
      <c r="O3588" s="20"/>
      <c r="P3588" s="20"/>
    </row>
    <row r="3589">
      <c r="A3589" s="10"/>
      <c r="B3589" s="11"/>
      <c r="C3589" s="10"/>
      <c r="D3589" s="13"/>
      <c r="E3589" s="14"/>
      <c r="F3589" s="14"/>
      <c r="G3589" s="14"/>
      <c r="H3589" s="10"/>
      <c r="I3589" s="17"/>
      <c r="J3589" s="10"/>
      <c r="K3589" s="46"/>
      <c r="L3589" s="10"/>
      <c r="M3589" s="20"/>
      <c r="N3589" s="20"/>
      <c r="O3589" s="20"/>
      <c r="P3589" s="20"/>
    </row>
    <row r="3590">
      <c r="A3590" s="23"/>
      <c r="B3590" s="21"/>
      <c r="C3590" s="23"/>
      <c r="D3590" s="24"/>
      <c r="E3590" s="14"/>
      <c r="F3590" s="14"/>
      <c r="G3590" s="14"/>
      <c r="H3590" s="23"/>
      <c r="I3590" s="27"/>
      <c r="J3590" s="23"/>
      <c r="K3590" s="30"/>
      <c r="L3590" s="23"/>
      <c r="M3590" s="20"/>
      <c r="N3590" s="20"/>
      <c r="O3590" s="20"/>
      <c r="P3590" s="20"/>
    </row>
    <row r="3591">
      <c r="A3591" s="10"/>
      <c r="B3591" s="11"/>
      <c r="C3591" s="10"/>
      <c r="D3591" s="13"/>
      <c r="E3591" s="14"/>
      <c r="F3591" s="14"/>
      <c r="G3591" s="14"/>
      <c r="H3591" s="10"/>
      <c r="I3591" s="17"/>
      <c r="J3591" s="10"/>
      <c r="K3591" s="46"/>
      <c r="L3591" s="10"/>
      <c r="M3591" s="20"/>
      <c r="N3591" s="20"/>
      <c r="O3591" s="20"/>
      <c r="P3591" s="20"/>
    </row>
    <row r="3592">
      <c r="A3592" s="23"/>
      <c r="B3592" s="21"/>
      <c r="C3592" s="23"/>
      <c r="D3592" s="24"/>
      <c r="E3592" s="14"/>
      <c r="F3592" s="14"/>
      <c r="G3592" s="14"/>
      <c r="H3592" s="23"/>
      <c r="I3592" s="27"/>
      <c r="J3592" s="23"/>
      <c r="K3592" s="30"/>
      <c r="L3592" s="23"/>
      <c r="M3592" s="20"/>
      <c r="N3592" s="20"/>
      <c r="O3592" s="20"/>
      <c r="P3592" s="20"/>
    </row>
    <row r="3593">
      <c r="A3593" s="10"/>
      <c r="B3593" s="11"/>
      <c r="C3593" s="10"/>
      <c r="D3593" s="13"/>
      <c r="E3593" s="14"/>
      <c r="F3593" s="14"/>
      <c r="G3593" s="14"/>
      <c r="H3593" s="10"/>
      <c r="I3593" s="17"/>
      <c r="J3593" s="10"/>
      <c r="K3593" s="46"/>
      <c r="L3593" s="10"/>
      <c r="M3593" s="20"/>
      <c r="N3593" s="20"/>
      <c r="O3593" s="20"/>
      <c r="P3593" s="20"/>
    </row>
    <row r="3594">
      <c r="A3594" s="23"/>
      <c r="B3594" s="21"/>
      <c r="C3594" s="23"/>
      <c r="D3594" s="24"/>
      <c r="E3594" s="14"/>
      <c r="F3594" s="14"/>
      <c r="G3594" s="14"/>
      <c r="H3594" s="23"/>
      <c r="I3594" s="27"/>
      <c r="J3594" s="23"/>
      <c r="K3594" s="30"/>
      <c r="L3594" s="23"/>
      <c r="M3594" s="20"/>
      <c r="N3594" s="20"/>
      <c r="O3594" s="20"/>
      <c r="P3594" s="20"/>
    </row>
    <row r="3595">
      <c r="A3595" s="10"/>
      <c r="B3595" s="11"/>
      <c r="C3595" s="10"/>
      <c r="D3595" s="13"/>
      <c r="E3595" s="14"/>
      <c r="F3595" s="14"/>
      <c r="G3595" s="14"/>
      <c r="H3595" s="10"/>
      <c r="I3595" s="17"/>
      <c r="J3595" s="10"/>
      <c r="K3595" s="46"/>
      <c r="L3595" s="10"/>
      <c r="M3595" s="20"/>
      <c r="N3595" s="20"/>
      <c r="O3595" s="20"/>
      <c r="P3595" s="20"/>
    </row>
    <row r="3596">
      <c r="A3596" s="23"/>
      <c r="B3596" s="21"/>
      <c r="C3596" s="23"/>
      <c r="D3596" s="24"/>
      <c r="E3596" s="14"/>
      <c r="F3596" s="14"/>
      <c r="G3596" s="14"/>
      <c r="H3596" s="23"/>
      <c r="I3596" s="27"/>
      <c r="J3596" s="23"/>
      <c r="K3596" s="30"/>
      <c r="L3596" s="23"/>
      <c r="M3596" s="20"/>
      <c r="N3596" s="20"/>
      <c r="O3596" s="20"/>
      <c r="P3596" s="20"/>
    </row>
    <row r="3597">
      <c r="A3597" s="10"/>
      <c r="B3597" s="11"/>
      <c r="C3597" s="10"/>
      <c r="D3597" s="13"/>
      <c r="E3597" s="14"/>
      <c r="F3597" s="14"/>
      <c r="G3597" s="14"/>
      <c r="H3597" s="10"/>
      <c r="I3597" s="17"/>
      <c r="J3597" s="10"/>
      <c r="K3597" s="46"/>
      <c r="L3597" s="10"/>
      <c r="M3597" s="20"/>
      <c r="N3597" s="20"/>
      <c r="O3597" s="20"/>
      <c r="P3597" s="20"/>
    </row>
    <row r="3598">
      <c r="A3598" s="23"/>
      <c r="B3598" s="21"/>
      <c r="C3598" s="23"/>
      <c r="D3598" s="24"/>
      <c r="E3598" s="14"/>
      <c r="F3598" s="14"/>
      <c r="G3598" s="14"/>
      <c r="H3598" s="23"/>
      <c r="I3598" s="27"/>
      <c r="J3598" s="23"/>
      <c r="K3598" s="30"/>
      <c r="L3598" s="23"/>
      <c r="M3598" s="20"/>
      <c r="N3598" s="20"/>
      <c r="O3598" s="20"/>
      <c r="P3598" s="20"/>
    </row>
    <row r="3599">
      <c r="A3599" s="10"/>
      <c r="B3599" s="11"/>
      <c r="C3599" s="10"/>
      <c r="D3599" s="13"/>
      <c r="E3599" s="14"/>
      <c r="F3599" s="14"/>
      <c r="G3599" s="14"/>
      <c r="H3599" s="10"/>
      <c r="I3599" s="17"/>
      <c r="J3599" s="10"/>
      <c r="K3599" s="46"/>
      <c r="L3599" s="10"/>
      <c r="M3599" s="20"/>
      <c r="N3599" s="20"/>
      <c r="O3599" s="20"/>
      <c r="P3599" s="20"/>
    </row>
    <row r="3600">
      <c r="A3600" s="23"/>
      <c r="B3600" s="21"/>
      <c r="C3600" s="23"/>
      <c r="D3600" s="24"/>
      <c r="E3600" s="14"/>
      <c r="F3600" s="14"/>
      <c r="G3600" s="14"/>
      <c r="H3600" s="23"/>
      <c r="I3600" s="27"/>
      <c r="J3600" s="23"/>
      <c r="K3600" s="30"/>
      <c r="L3600" s="23"/>
      <c r="M3600" s="20"/>
      <c r="N3600" s="20"/>
      <c r="O3600" s="20"/>
      <c r="P3600" s="20"/>
    </row>
    <row r="3601">
      <c r="A3601" s="10"/>
      <c r="B3601" s="11"/>
      <c r="C3601" s="10"/>
      <c r="D3601" s="13"/>
      <c r="E3601" s="14"/>
      <c r="F3601" s="14"/>
      <c r="G3601" s="14"/>
      <c r="H3601" s="10"/>
      <c r="I3601" s="17"/>
      <c r="J3601" s="10"/>
      <c r="K3601" s="46"/>
      <c r="L3601" s="10"/>
      <c r="M3601" s="20"/>
      <c r="N3601" s="20"/>
      <c r="O3601" s="20"/>
      <c r="P3601" s="20"/>
    </row>
    <row r="3602">
      <c r="A3602" s="23"/>
      <c r="B3602" s="21"/>
      <c r="C3602" s="23"/>
      <c r="D3602" s="24"/>
      <c r="E3602" s="14"/>
      <c r="F3602" s="14"/>
      <c r="G3602" s="14"/>
      <c r="H3602" s="23"/>
      <c r="I3602" s="27"/>
      <c r="J3602" s="23"/>
      <c r="K3602" s="30"/>
      <c r="L3602" s="23"/>
      <c r="M3602" s="20"/>
      <c r="N3602" s="20"/>
      <c r="O3602" s="20"/>
      <c r="P3602" s="20"/>
    </row>
    <row r="3603">
      <c r="A3603" s="10"/>
      <c r="B3603" s="11"/>
      <c r="C3603" s="10"/>
      <c r="D3603" s="13"/>
      <c r="E3603" s="14"/>
      <c r="F3603" s="14"/>
      <c r="G3603" s="14"/>
      <c r="H3603" s="10"/>
      <c r="I3603" s="17"/>
      <c r="J3603" s="10"/>
      <c r="K3603" s="46"/>
      <c r="L3603" s="10"/>
      <c r="M3603" s="20"/>
      <c r="N3603" s="20"/>
      <c r="O3603" s="20"/>
      <c r="P3603" s="20"/>
    </row>
    <row r="3604">
      <c r="A3604" s="23"/>
      <c r="B3604" s="21"/>
      <c r="C3604" s="23"/>
      <c r="D3604" s="24"/>
      <c r="E3604" s="14"/>
      <c r="F3604" s="14"/>
      <c r="G3604" s="14"/>
      <c r="H3604" s="23"/>
      <c r="I3604" s="27"/>
      <c r="J3604" s="23"/>
      <c r="K3604" s="30"/>
      <c r="L3604" s="23"/>
      <c r="M3604" s="20"/>
      <c r="N3604" s="20"/>
      <c r="O3604" s="20"/>
      <c r="P3604" s="20"/>
    </row>
    <row r="3605">
      <c r="A3605" s="10"/>
      <c r="B3605" s="11"/>
      <c r="C3605" s="10"/>
      <c r="D3605" s="13"/>
      <c r="E3605" s="14"/>
      <c r="F3605" s="14"/>
      <c r="G3605" s="14"/>
      <c r="H3605" s="10"/>
      <c r="I3605" s="17"/>
      <c r="J3605" s="10"/>
      <c r="K3605" s="46"/>
      <c r="L3605" s="10"/>
      <c r="M3605" s="20"/>
      <c r="N3605" s="20"/>
      <c r="O3605" s="20"/>
      <c r="P3605" s="20"/>
    </row>
    <row r="3606">
      <c r="A3606" s="23"/>
      <c r="B3606" s="21"/>
      <c r="C3606" s="23"/>
      <c r="D3606" s="24"/>
      <c r="E3606" s="14"/>
      <c r="F3606" s="14"/>
      <c r="G3606" s="14"/>
      <c r="H3606" s="23"/>
      <c r="I3606" s="27"/>
      <c r="J3606" s="23"/>
      <c r="K3606" s="30"/>
      <c r="L3606" s="23"/>
      <c r="M3606" s="20"/>
      <c r="N3606" s="20"/>
      <c r="O3606" s="20"/>
      <c r="P3606" s="20"/>
    </row>
    <row r="3607">
      <c r="A3607" s="10"/>
      <c r="B3607" s="11"/>
      <c r="C3607" s="10"/>
      <c r="D3607" s="13"/>
      <c r="E3607" s="14"/>
      <c r="F3607" s="14"/>
      <c r="G3607" s="14"/>
      <c r="H3607" s="10"/>
      <c r="I3607" s="17"/>
      <c r="J3607" s="10"/>
      <c r="K3607" s="46"/>
      <c r="L3607" s="10"/>
      <c r="M3607" s="20"/>
      <c r="N3607" s="20"/>
      <c r="O3607" s="20"/>
      <c r="P3607" s="20"/>
    </row>
    <row r="3608">
      <c r="A3608" s="23"/>
      <c r="B3608" s="21"/>
      <c r="C3608" s="23"/>
      <c r="D3608" s="24"/>
      <c r="E3608" s="14"/>
      <c r="F3608" s="14"/>
      <c r="G3608" s="14"/>
      <c r="H3608" s="23"/>
      <c r="I3608" s="27"/>
      <c r="J3608" s="23"/>
      <c r="K3608" s="30"/>
      <c r="L3608" s="23"/>
      <c r="M3608" s="20"/>
      <c r="N3608" s="20"/>
      <c r="O3608" s="20"/>
      <c r="P3608" s="20"/>
    </row>
    <row r="3609">
      <c r="A3609" s="10"/>
      <c r="B3609" s="11"/>
      <c r="C3609" s="10"/>
      <c r="D3609" s="13"/>
      <c r="E3609" s="14"/>
      <c r="F3609" s="14"/>
      <c r="G3609" s="14"/>
      <c r="H3609" s="10"/>
      <c r="I3609" s="17"/>
      <c r="J3609" s="10"/>
      <c r="K3609" s="46"/>
      <c r="L3609" s="10"/>
      <c r="M3609" s="20"/>
      <c r="N3609" s="20"/>
      <c r="O3609" s="20"/>
      <c r="P3609" s="20"/>
    </row>
    <row r="3610">
      <c r="A3610" s="23"/>
      <c r="B3610" s="21"/>
      <c r="C3610" s="23"/>
      <c r="D3610" s="24"/>
      <c r="E3610" s="14"/>
      <c r="F3610" s="14"/>
      <c r="G3610" s="14"/>
      <c r="H3610" s="23"/>
      <c r="I3610" s="27"/>
      <c r="J3610" s="23"/>
      <c r="K3610" s="30"/>
      <c r="L3610" s="23"/>
      <c r="M3610" s="20"/>
      <c r="N3610" s="20"/>
      <c r="O3610" s="20"/>
      <c r="P3610" s="20"/>
    </row>
    <row r="3611">
      <c r="A3611" s="10"/>
      <c r="B3611" s="11"/>
      <c r="C3611" s="10"/>
      <c r="D3611" s="13"/>
      <c r="E3611" s="14"/>
      <c r="F3611" s="14"/>
      <c r="G3611" s="14"/>
      <c r="H3611" s="10"/>
      <c r="I3611" s="17"/>
      <c r="J3611" s="10"/>
      <c r="K3611" s="46"/>
      <c r="L3611" s="10"/>
      <c r="M3611" s="20"/>
      <c r="N3611" s="20"/>
      <c r="O3611" s="20"/>
      <c r="P3611" s="20"/>
    </row>
    <row r="3612">
      <c r="A3612" s="23"/>
      <c r="B3612" s="21"/>
      <c r="C3612" s="23"/>
      <c r="D3612" s="24"/>
      <c r="E3612" s="14"/>
      <c r="F3612" s="14"/>
      <c r="G3612" s="14"/>
      <c r="H3612" s="23"/>
      <c r="I3612" s="27"/>
      <c r="J3612" s="23"/>
      <c r="K3612" s="30"/>
      <c r="L3612" s="23"/>
      <c r="M3612" s="20"/>
      <c r="N3612" s="20"/>
      <c r="O3612" s="20"/>
      <c r="P3612" s="20"/>
    </row>
    <row r="3613">
      <c r="A3613" s="10"/>
      <c r="B3613" s="11"/>
      <c r="C3613" s="10"/>
      <c r="D3613" s="13"/>
      <c r="E3613" s="14"/>
      <c r="F3613" s="14"/>
      <c r="G3613" s="14"/>
      <c r="H3613" s="10"/>
      <c r="I3613" s="17"/>
      <c r="J3613" s="10"/>
      <c r="K3613" s="46"/>
      <c r="L3613" s="10"/>
      <c r="M3613" s="20"/>
      <c r="N3613" s="20"/>
      <c r="O3613" s="20"/>
      <c r="P3613" s="20"/>
    </row>
    <row r="3614">
      <c r="A3614" s="23"/>
      <c r="B3614" s="21"/>
      <c r="C3614" s="23"/>
      <c r="D3614" s="24"/>
      <c r="E3614" s="14"/>
      <c r="F3614" s="14"/>
      <c r="G3614" s="14"/>
      <c r="H3614" s="23"/>
      <c r="I3614" s="27"/>
      <c r="J3614" s="23"/>
      <c r="K3614" s="30"/>
      <c r="L3614" s="23"/>
      <c r="M3614" s="20"/>
      <c r="N3614" s="20"/>
      <c r="O3614" s="20"/>
      <c r="P3614" s="20"/>
    </row>
    <row r="3615">
      <c r="A3615" s="10"/>
      <c r="B3615" s="11"/>
      <c r="C3615" s="10"/>
      <c r="D3615" s="13"/>
      <c r="E3615" s="14"/>
      <c r="F3615" s="14"/>
      <c r="G3615" s="14"/>
      <c r="H3615" s="10"/>
      <c r="I3615" s="17"/>
      <c r="J3615" s="10"/>
      <c r="K3615" s="46"/>
      <c r="L3615" s="10"/>
      <c r="M3615" s="20"/>
      <c r="N3615" s="20"/>
      <c r="O3615" s="20"/>
      <c r="P3615" s="20"/>
    </row>
    <row r="3616">
      <c r="A3616" s="23"/>
      <c r="B3616" s="21"/>
      <c r="C3616" s="23"/>
      <c r="D3616" s="24"/>
      <c r="E3616" s="14"/>
      <c r="F3616" s="14"/>
      <c r="G3616" s="14"/>
      <c r="H3616" s="23"/>
      <c r="I3616" s="27"/>
      <c r="J3616" s="23"/>
      <c r="K3616" s="30"/>
      <c r="L3616" s="23"/>
      <c r="M3616" s="20"/>
      <c r="N3616" s="20"/>
      <c r="O3616" s="20"/>
      <c r="P3616" s="20"/>
    </row>
    <row r="3617">
      <c r="A3617" s="10"/>
      <c r="B3617" s="11"/>
      <c r="C3617" s="10"/>
      <c r="D3617" s="13"/>
      <c r="E3617" s="14"/>
      <c r="F3617" s="14"/>
      <c r="G3617" s="14"/>
      <c r="H3617" s="10"/>
      <c r="I3617" s="17"/>
      <c r="J3617" s="10"/>
      <c r="K3617" s="46"/>
      <c r="L3617" s="10"/>
      <c r="M3617" s="20"/>
      <c r="N3617" s="20"/>
      <c r="O3617" s="20"/>
      <c r="P3617" s="20"/>
    </row>
    <row r="3618">
      <c r="A3618" s="23"/>
      <c r="B3618" s="21"/>
      <c r="C3618" s="23"/>
      <c r="D3618" s="24"/>
      <c r="E3618" s="14"/>
      <c r="F3618" s="14"/>
      <c r="G3618" s="14"/>
      <c r="H3618" s="23"/>
      <c r="I3618" s="27"/>
      <c r="J3618" s="23"/>
      <c r="K3618" s="30"/>
      <c r="L3618" s="23"/>
      <c r="M3618" s="20"/>
      <c r="N3618" s="20"/>
      <c r="O3618" s="20"/>
      <c r="P3618" s="20"/>
    </row>
    <row r="3619">
      <c r="A3619" s="10"/>
      <c r="B3619" s="11"/>
      <c r="C3619" s="10"/>
      <c r="D3619" s="13"/>
      <c r="E3619" s="14"/>
      <c r="F3619" s="14"/>
      <c r="G3619" s="14"/>
      <c r="H3619" s="10"/>
      <c r="I3619" s="17"/>
      <c r="J3619" s="10"/>
      <c r="K3619" s="46"/>
      <c r="L3619" s="10"/>
      <c r="M3619" s="20"/>
      <c r="N3619" s="20"/>
      <c r="O3619" s="20"/>
      <c r="P3619" s="20"/>
    </row>
    <row r="3620">
      <c r="A3620" s="23"/>
      <c r="B3620" s="21"/>
      <c r="C3620" s="23"/>
      <c r="D3620" s="24"/>
      <c r="E3620" s="14"/>
      <c r="F3620" s="14"/>
      <c r="G3620" s="14"/>
      <c r="H3620" s="23"/>
      <c r="I3620" s="27"/>
      <c r="J3620" s="23"/>
      <c r="K3620" s="30"/>
      <c r="L3620" s="23"/>
      <c r="M3620" s="20"/>
      <c r="N3620" s="20"/>
      <c r="O3620" s="20"/>
      <c r="P3620" s="20"/>
    </row>
    <row r="3621">
      <c r="A3621" s="10"/>
      <c r="B3621" s="11"/>
      <c r="C3621" s="10"/>
      <c r="D3621" s="13"/>
      <c r="E3621" s="14"/>
      <c r="F3621" s="14"/>
      <c r="G3621" s="14"/>
      <c r="H3621" s="10"/>
      <c r="I3621" s="17"/>
      <c r="J3621" s="10"/>
      <c r="K3621" s="46"/>
      <c r="L3621" s="10"/>
      <c r="M3621" s="20"/>
      <c r="N3621" s="20"/>
      <c r="O3621" s="20"/>
      <c r="P3621" s="20"/>
    </row>
    <row r="3622">
      <c r="A3622" s="23"/>
      <c r="B3622" s="21"/>
      <c r="C3622" s="23"/>
      <c r="D3622" s="24"/>
      <c r="E3622" s="14"/>
      <c r="F3622" s="14"/>
      <c r="G3622" s="14"/>
      <c r="H3622" s="23"/>
      <c r="I3622" s="27"/>
      <c r="J3622" s="23"/>
      <c r="K3622" s="30"/>
      <c r="L3622" s="23"/>
      <c r="M3622" s="20"/>
      <c r="N3622" s="20"/>
      <c r="O3622" s="20"/>
      <c r="P3622" s="20"/>
    </row>
    <row r="3623">
      <c r="A3623" s="10"/>
      <c r="B3623" s="11"/>
      <c r="C3623" s="10"/>
      <c r="D3623" s="13"/>
      <c r="E3623" s="14"/>
      <c r="F3623" s="14"/>
      <c r="G3623" s="14"/>
      <c r="H3623" s="10"/>
      <c r="I3623" s="17"/>
      <c r="J3623" s="10"/>
      <c r="K3623" s="46"/>
      <c r="L3623" s="10"/>
      <c r="M3623" s="20"/>
      <c r="N3623" s="20"/>
      <c r="O3623" s="20"/>
      <c r="P3623" s="20"/>
    </row>
    <row r="3624">
      <c r="A3624" s="23"/>
      <c r="B3624" s="21"/>
      <c r="C3624" s="23"/>
      <c r="D3624" s="24"/>
      <c r="E3624" s="14"/>
      <c r="F3624" s="14"/>
      <c r="G3624" s="14"/>
      <c r="H3624" s="23"/>
      <c r="I3624" s="27"/>
      <c r="J3624" s="23"/>
      <c r="K3624" s="30"/>
      <c r="L3624" s="23"/>
      <c r="M3624" s="20"/>
      <c r="N3624" s="20"/>
      <c r="O3624" s="20"/>
      <c r="P3624" s="20"/>
    </row>
    <row r="3625">
      <c r="A3625" s="10"/>
      <c r="B3625" s="11"/>
      <c r="C3625" s="10"/>
      <c r="D3625" s="13"/>
      <c r="E3625" s="14"/>
      <c r="F3625" s="14"/>
      <c r="G3625" s="14"/>
      <c r="H3625" s="10"/>
      <c r="I3625" s="17"/>
      <c r="J3625" s="10"/>
      <c r="K3625" s="46"/>
      <c r="L3625" s="10"/>
      <c r="M3625" s="20"/>
      <c r="N3625" s="20"/>
      <c r="O3625" s="20"/>
      <c r="P3625" s="20"/>
    </row>
    <row r="3626">
      <c r="A3626" s="23"/>
      <c r="B3626" s="21"/>
      <c r="C3626" s="23"/>
      <c r="D3626" s="24"/>
      <c r="E3626" s="14"/>
      <c r="F3626" s="14"/>
      <c r="G3626" s="14"/>
      <c r="H3626" s="23"/>
      <c r="I3626" s="27"/>
      <c r="J3626" s="23"/>
      <c r="K3626" s="30"/>
      <c r="L3626" s="23"/>
      <c r="M3626" s="20"/>
      <c r="N3626" s="20"/>
      <c r="O3626" s="20"/>
      <c r="P3626" s="20"/>
    </row>
    <row r="3627">
      <c r="A3627" s="10"/>
      <c r="B3627" s="11"/>
      <c r="C3627" s="10"/>
      <c r="D3627" s="13"/>
      <c r="E3627" s="14"/>
      <c r="F3627" s="14"/>
      <c r="G3627" s="14"/>
      <c r="H3627" s="10"/>
      <c r="I3627" s="17"/>
      <c r="J3627" s="10"/>
      <c r="K3627" s="46"/>
      <c r="L3627" s="10"/>
      <c r="M3627" s="20"/>
      <c r="N3627" s="20"/>
      <c r="O3627" s="20"/>
      <c r="P3627" s="20"/>
    </row>
    <row r="3628">
      <c r="A3628" s="23"/>
      <c r="B3628" s="21"/>
      <c r="C3628" s="23"/>
      <c r="D3628" s="24"/>
      <c r="E3628" s="14"/>
      <c r="F3628" s="14"/>
      <c r="G3628" s="14"/>
      <c r="H3628" s="23"/>
      <c r="I3628" s="27"/>
      <c r="J3628" s="23"/>
      <c r="K3628" s="30"/>
      <c r="L3628" s="23"/>
      <c r="M3628" s="20"/>
      <c r="N3628" s="20"/>
      <c r="O3628" s="20"/>
      <c r="P3628" s="20"/>
    </row>
    <row r="3629">
      <c r="A3629" s="10"/>
      <c r="B3629" s="11"/>
      <c r="C3629" s="10"/>
      <c r="D3629" s="13"/>
      <c r="E3629" s="14"/>
      <c r="F3629" s="14"/>
      <c r="G3629" s="14"/>
      <c r="H3629" s="10"/>
      <c r="I3629" s="17"/>
      <c r="J3629" s="10"/>
      <c r="K3629" s="46"/>
      <c r="L3629" s="10"/>
      <c r="M3629" s="20"/>
      <c r="N3629" s="20"/>
      <c r="O3629" s="20"/>
      <c r="P3629" s="20"/>
    </row>
    <row r="3630">
      <c r="A3630" s="23"/>
      <c r="B3630" s="21"/>
      <c r="C3630" s="23"/>
      <c r="D3630" s="24"/>
      <c r="E3630" s="14"/>
      <c r="F3630" s="14"/>
      <c r="G3630" s="14"/>
      <c r="H3630" s="23"/>
      <c r="I3630" s="27"/>
      <c r="J3630" s="23"/>
      <c r="K3630" s="30"/>
      <c r="L3630" s="23"/>
      <c r="M3630" s="20"/>
      <c r="N3630" s="20"/>
      <c r="O3630" s="20"/>
      <c r="P3630" s="20"/>
    </row>
    <row r="3631">
      <c r="A3631" s="10"/>
      <c r="B3631" s="11"/>
      <c r="C3631" s="10"/>
      <c r="D3631" s="13"/>
      <c r="E3631" s="14"/>
      <c r="F3631" s="14"/>
      <c r="G3631" s="14"/>
      <c r="H3631" s="10"/>
      <c r="I3631" s="17"/>
      <c r="J3631" s="10"/>
      <c r="K3631" s="46"/>
      <c r="L3631" s="10"/>
      <c r="M3631" s="20"/>
      <c r="N3631" s="20"/>
      <c r="O3631" s="20"/>
      <c r="P3631" s="20"/>
    </row>
    <row r="3632">
      <c r="A3632" s="23"/>
      <c r="B3632" s="21"/>
      <c r="C3632" s="23"/>
      <c r="D3632" s="24"/>
      <c r="E3632" s="14"/>
      <c r="F3632" s="14"/>
      <c r="G3632" s="14"/>
      <c r="H3632" s="23"/>
      <c r="I3632" s="27"/>
      <c r="J3632" s="23"/>
      <c r="K3632" s="30"/>
      <c r="L3632" s="23"/>
      <c r="M3632" s="20"/>
      <c r="N3632" s="20"/>
      <c r="O3632" s="20"/>
      <c r="P3632" s="20"/>
    </row>
    <row r="3633">
      <c r="A3633" s="10"/>
      <c r="B3633" s="11"/>
      <c r="C3633" s="10"/>
      <c r="D3633" s="13"/>
      <c r="E3633" s="14"/>
      <c r="F3633" s="14"/>
      <c r="G3633" s="14"/>
      <c r="H3633" s="10"/>
      <c r="I3633" s="17"/>
      <c r="J3633" s="10"/>
      <c r="K3633" s="46"/>
      <c r="L3633" s="10"/>
      <c r="M3633" s="20"/>
      <c r="N3633" s="20"/>
      <c r="O3633" s="20"/>
      <c r="P3633" s="20"/>
    </row>
    <row r="3634">
      <c r="A3634" s="23"/>
      <c r="B3634" s="21"/>
      <c r="C3634" s="23"/>
      <c r="D3634" s="24"/>
      <c r="E3634" s="14"/>
      <c r="F3634" s="14"/>
      <c r="G3634" s="14"/>
      <c r="H3634" s="23"/>
      <c r="I3634" s="27"/>
      <c r="J3634" s="23"/>
      <c r="K3634" s="30"/>
      <c r="L3634" s="23"/>
      <c r="M3634" s="20"/>
      <c r="N3634" s="20"/>
      <c r="O3634" s="20"/>
      <c r="P3634" s="20"/>
    </row>
    <row r="3635">
      <c r="A3635" s="10"/>
      <c r="B3635" s="11"/>
      <c r="C3635" s="10"/>
      <c r="D3635" s="13"/>
      <c r="E3635" s="14"/>
      <c r="F3635" s="14"/>
      <c r="G3635" s="14"/>
      <c r="H3635" s="10"/>
      <c r="I3635" s="17"/>
      <c r="J3635" s="10"/>
      <c r="K3635" s="46"/>
      <c r="L3635" s="10"/>
      <c r="M3635" s="20"/>
      <c r="N3635" s="20"/>
      <c r="O3635" s="20"/>
      <c r="P3635" s="20"/>
    </row>
    <row r="3636">
      <c r="A3636" s="23"/>
      <c r="B3636" s="21"/>
      <c r="C3636" s="23"/>
      <c r="D3636" s="24"/>
      <c r="E3636" s="14"/>
      <c r="F3636" s="14"/>
      <c r="G3636" s="14"/>
      <c r="H3636" s="23"/>
      <c r="I3636" s="27"/>
      <c r="J3636" s="23"/>
      <c r="K3636" s="30"/>
      <c r="L3636" s="23"/>
      <c r="M3636" s="20"/>
      <c r="N3636" s="20"/>
      <c r="O3636" s="20"/>
      <c r="P3636" s="20"/>
    </row>
    <row r="3637">
      <c r="A3637" s="10"/>
      <c r="B3637" s="11"/>
      <c r="C3637" s="10"/>
      <c r="D3637" s="13"/>
      <c r="E3637" s="14"/>
      <c r="F3637" s="14"/>
      <c r="G3637" s="14"/>
      <c r="H3637" s="10"/>
      <c r="I3637" s="17"/>
      <c r="J3637" s="10"/>
      <c r="K3637" s="46"/>
      <c r="L3637" s="10"/>
      <c r="M3637" s="20"/>
      <c r="N3637" s="20"/>
      <c r="O3637" s="20"/>
      <c r="P3637" s="20"/>
    </row>
    <row r="3638">
      <c r="A3638" s="23"/>
      <c r="B3638" s="21"/>
      <c r="C3638" s="23"/>
      <c r="D3638" s="24"/>
      <c r="E3638" s="14"/>
      <c r="F3638" s="14"/>
      <c r="G3638" s="14"/>
      <c r="H3638" s="23"/>
      <c r="I3638" s="27"/>
      <c r="J3638" s="23"/>
      <c r="K3638" s="30"/>
      <c r="L3638" s="23"/>
      <c r="M3638" s="20"/>
      <c r="N3638" s="20"/>
      <c r="O3638" s="20"/>
      <c r="P3638" s="20"/>
    </row>
    <row r="3639">
      <c r="A3639" s="10"/>
      <c r="B3639" s="11"/>
      <c r="C3639" s="10"/>
      <c r="D3639" s="13"/>
      <c r="E3639" s="14"/>
      <c r="F3639" s="14"/>
      <c r="G3639" s="14"/>
      <c r="H3639" s="10"/>
      <c r="I3639" s="17"/>
      <c r="J3639" s="10"/>
      <c r="K3639" s="46"/>
      <c r="L3639" s="10"/>
      <c r="M3639" s="20"/>
      <c r="N3639" s="20"/>
      <c r="O3639" s="20"/>
      <c r="P3639" s="20"/>
    </row>
    <row r="3640">
      <c r="A3640" s="23"/>
      <c r="B3640" s="21"/>
      <c r="C3640" s="23"/>
      <c r="D3640" s="24"/>
      <c r="E3640" s="14"/>
      <c r="F3640" s="14"/>
      <c r="G3640" s="14"/>
      <c r="H3640" s="23"/>
      <c r="I3640" s="27"/>
      <c r="J3640" s="23"/>
      <c r="K3640" s="30"/>
      <c r="L3640" s="23"/>
      <c r="M3640" s="20"/>
      <c r="N3640" s="20"/>
      <c r="O3640" s="20"/>
      <c r="P3640" s="20"/>
    </row>
    <row r="3641">
      <c r="A3641" s="10"/>
      <c r="B3641" s="11"/>
      <c r="C3641" s="10"/>
      <c r="D3641" s="13"/>
      <c r="E3641" s="14"/>
      <c r="F3641" s="14"/>
      <c r="G3641" s="14"/>
      <c r="H3641" s="10"/>
      <c r="I3641" s="17"/>
      <c r="J3641" s="10"/>
      <c r="K3641" s="46"/>
      <c r="L3641" s="10"/>
      <c r="M3641" s="20"/>
      <c r="N3641" s="20"/>
      <c r="O3641" s="20"/>
      <c r="P3641" s="20"/>
    </row>
    <row r="3642">
      <c r="A3642" s="23"/>
      <c r="B3642" s="21"/>
      <c r="C3642" s="23"/>
      <c r="D3642" s="24"/>
      <c r="E3642" s="14"/>
      <c r="F3642" s="14"/>
      <c r="G3642" s="14"/>
      <c r="H3642" s="23"/>
      <c r="I3642" s="27"/>
      <c r="J3642" s="23"/>
      <c r="K3642" s="30"/>
      <c r="L3642" s="23"/>
      <c r="M3642" s="20"/>
      <c r="N3642" s="20"/>
      <c r="O3642" s="20"/>
      <c r="P3642" s="20"/>
    </row>
    <row r="3643">
      <c r="A3643" s="10"/>
      <c r="B3643" s="11"/>
      <c r="C3643" s="10"/>
      <c r="D3643" s="13"/>
      <c r="E3643" s="14"/>
      <c r="F3643" s="14"/>
      <c r="G3643" s="14"/>
      <c r="H3643" s="10"/>
      <c r="I3643" s="17"/>
      <c r="J3643" s="10"/>
      <c r="K3643" s="46"/>
      <c r="L3643" s="10"/>
      <c r="M3643" s="20"/>
      <c r="N3643" s="20"/>
      <c r="O3643" s="20"/>
      <c r="P3643" s="20"/>
    </row>
    <row r="3644">
      <c r="A3644" s="23"/>
      <c r="B3644" s="21"/>
      <c r="C3644" s="23"/>
      <c r="D3644" s="24"/>
      <c r="E3644" s="14"/>
      <c r="F3644" s="14"/>
      <c r="G3644" s="14"/>
      <c r="H3644" s="23"/>
      <c r="I3644" s="27"/>
      <c r="J3644" s="23"/>
      <c r="K3644" s="30"/>
      <c r="L3644" s="23"/>
      <c r="M3644" s="20"/>
      <c r="N3644" s="20"/>
      <c r="O3644" s="20"/>
      <c r="P3644" s="20"/>
    </row>
    <row r="3645">
      <c r="A3645" s="10"/>
      <c r="B3645" s="11"/>
      <c r="C3645" s="10"/>
      <c r="D3645" s="13"/>
      <c r="E3645" s="14"/>
      <c r="F3645" s="14"/>
      <c r="G3645" s="14"/>
      <c r="H3645" s="10"/>
      <c r="I3645" s="17"/>
      <c r="J3645" s="10"/>
      <c r="K3645" s="46"/>
      <c r="L3645" s="10"/>
      <c r="M3645" s="20"/>
      <c r="N3645" s="20"/>
      <c r="O3645" s="20"/>
      <c r="P3645" s="20"/>
    </row>
    <row r="3646">
      <c r="A3646" s="23"/>
      <c r="B3646" s="21"/>
      <c r="C3646" s="23"/>
      <c r="D3646" s="24"/>
      <c r="E3646" s="14"/>
      <c r="F3646" s="14"/>
      <c r="G3646" s="14"/>
      <c r="H3646" s="23"/>
      <c r="I3646" s="27"/>
      <c r="J3646" s="23"/>
      <c r="K3646" s="30"/>
      <c r="L3646" s="23"/>
      <c r="M3646" s="20"/>
      <c r="N3646" s="20"/>
      <c r="O3646" s="20"/>
      <c r="P3646" s="20"/>
    </row>
    <row r="3647">
      <c r="A3647" s="10"/>
      <c r="B3647" s="11"/>
      <c r="C3647" s="10"/>
      <c r="D3647" s="13"/>
      <c r="E3647" s="14"/>
      <c r="F3647" s="14"/>
      <c r="G3647" s="14"/>
      <c r="H3647" s="10"/>
      <c r="I3647" s="17"/>
      <c r="J3647" s="10"/>
      <c r="K3647" s="46"/>
      <c r="L3647" s="10"/>
      <c r="M3647" s="20"/>
      <c r="N3647" s="20"/>
      <c r="O3647" s="20"/>
      <c r="P3647" s="20"/>
    </row>
    <row r="3648">
      <c r="A3648" s="23"/>
      <c r="B3648" s="21"/>
      <c r="C3648" s="23"/>
      <c r="D3648" s="24"/>
      <c r="E3648" s="14"/>
      <c r="F3648" s="14"/>
      <c r="G3648" s="14"/>
      <c r="H3648" s="23"/>
      <c r="I3648" s="27"/>
      <c r="J3648" s="23"/>
      <c r="K3648" s="30"/>
      <c r="L3648" s="23"/>
      <c r="M3648" s="20"/>
      <c r="N3648" s="20"/>
      <c r="O3648" s="20"/>
      <c r="P3648" s="20"/>
    </row>
    <row r="3649">
      <c r="A3649" s="10"/>
      <c r="B3649" s="11"/>
      <c r="C3649" s="10"/>
      <c r="D3649" s="13"/>
      <c r="E3649" s="14"/>
      <c r="F3649" s="14"/>
      <c r="G3649" s="14"/>
      <c r="H3649" s="10"/>
      <c r="I3649" s="17"/>
      <c r="J3649" s="10"/>
      <c r="K3649" s="46"/>
      <c r="L3649" s="10"/>
      <c r="M3649" s="20"/>
      <c r="N3649" s="20"/>
      <c r="O3649" s="20"/>
      <c r="P3649" s="20"/>
    </row>
    <row r="3650">
      <c r="A3650" s="23"/>
      <c r="B3650" s="21"/>
      <c r="C3650" s="23"/>
      <c r="D3650" s="24"/>
      <c r="E3650" s="14"/>
      <c r="F3650" s="14"/>
      <c r="G3650" s="14"/>
      <c r="H3650" s="23"/>
      <c r="I3650" s="27"/>
      <c r="J3650" s="23"/>
      <c r="K3650" s="30"/>
      <c r="L3650" s="23"/>
      <c r="M3650" s="20"/>
      <c r="N3650" s="20"/>
      <c r="O3650" s="20"/>
      <c r="P3650" s="20"/>
    </row>
    <row r="3651">
      <c r="A3651" s="10"/>
      <c r="B3651" s="11"/>
      <c r="C3651" s="10"/>
      <c r="D3651" s="13"/>
      <c r="E3651" s="14"/>
      <c r="F3651" s="14"/>
      <c r="G3651" s="14"/>
      <c r="H3651" s="10"/>
      <c r="I3651" s="17"/>
      <c r="J3651" s="10"/>
      <c r="K3651" s="46"/>
      <c r="L3651" s="10"/>
      <c r="M3651" s="20"/>
      <c r="N3651" s="20"/>
      <c r="O3651" s="20"/>
      <c r="P3651" s="20"/>
    </row>
    <row r="3652">
      <c r="A3652" s="23"/>
      <c r="B3652" s="21"/>
      <c r="C3652" s="23"/>
      <c r="D3652" s="24"/>
      <c r="E3652" s="14"/>
      <c r="F3652" s="14"/>
      <c r="G3652" s="14"/>
      <c r="H3652" s="23"/>
      <c r="I3652" s="27"/>
      <c r="J3652" s="23"/>
      <c r="K3652" s="30"/>
      <c r="L3652" s="23"/>
      <c r="M3652" s="20"/>
      <c r="N3652" s="20"/>
      <c r="O3652" s="20"/>
      <c r="P3652" s="20"/>
    </row>
    <row r="3653">
      <c r="A3653" s="10"/>
      <c r="B3653" s="11"/>
      <c r="C3653" s="10"/>
      <c r="D3653" s="13"/>
      <c r="E3653" s="14"/>
      <c r="F3653" s="14"/>
      <c r="G3653" s="14"/>
      <c r="H3653" s="10"/>
      <c r="I3653" s="17"/>
      <c r="J3653" s="10"/>
      <c r="K3653" s="46"/>
      <c r="L3653" s="10"/>
      <c r="M3653" s="20"/>
      <c r="N3653" s="20"/>
      <c r="O3653" s="20"/>
      <c r="P3653" s="20"/>
    </row>
    <row r="3654">
      <c r="A3654" s="23"/>
      <c r="B3654" s="21"/>
      <c r="C3654" s="23"/>
      <c r="D3654" s="24"/>
      <c r="E3654" s="14"/>
      <c r="F3654" s="14"/>
      <c r="G3654" s="14"/>
      <c r="H3654" s="23"/>
      <c r="I3654" s="27"/>
      <c r="J3654" s="23"/>
      <c r="K3654" s="30"/>
      <c r="L3654" s="23"/>
      <c r="M3654" s="20"/>
      <c r="N3654" s="20"/>
      <c r="O3654" s="20"/>
      <c r="P3654" s="20"/>
    </row>
    <row r="3655">
      <c r="A3655" s="10"/>
      <c r="B3655" s="11"/>
      <c r="C3655" s="10"/>
      <c r="D3655" s="13"/>
      <c r="E3655" s="14"/>
      <c r="F3655" s="14"/>
      <c r="G3655" s="14"/>
      <c r="H3655" s="10"/>
      <c r="I3655" s="17"/>
      <c r="J3655" s="10"/>
      <c r="K3655" s="46"/>
      <c r="L3655" s="10"/>
      <c r="M3655" s="20"/>
      <c r="N3655" s="20"/>
      <c r="O3655" s="20"/>
      <c r="P3655" s="20"/>
    </row>
    <row r="3656">
      <c r="A3656" s="23"/>
      <c r="B3656" s="21"/>
      <c r="C3656" s="23"/>
      <c r="D3656" s="24"/>
      <c r="E3656" s="14"/>
      <c r="F3656" s="14"/>
      <c r="G3656" s="14"/>
      <c r="H3656" s="23"/>
      <c r="I3656" s="27"/>
      <c r="J3656" s="23"/>
      <c r="K3656" s="30"/>
      <c r="L3656" s="23"/>
      <c r="M3656" s="20"/>
      <c r="N3656" s="20"/>
      <c r="O3656" s="20"/>
      <c r="P3656" s="20"/>
    </row>
    <row r="3657">
      <c r="A3657" s="10"/>
      <c r="B3657" s="11"/>
      <c r="C3657" s="10"/>
      <c r="D3657" s="13"/>
      <c r="E3657" s="14"/>
      <c r="F3657" s="14"/>
      <c r="G3657" s="14"/>
      <c r="H3657" s="10"/>
      <c r="I3657" s="17"/>
      <c r="J3657" s="10"/>
      <c r="K3657" s="46"/>
      <c r="L3657" s="10"/>
      <c r="M3657" s="20"/>
      <c r="N3657" s="20"/>
      <c r="O3657" s="20"/>
      <c r="P3657" s="20"/>
    </row>
    <row r="3658">
      <c r="A3658" s="23"/>
      <c r="B3658" s="21"/>
      <c r="C3658" s="23"/>
      <c r="D3658" s="24"/>
      <c r="E3658" s="14"/>
      <c r="F3658" s="14"/>
      <c r="G3658" s="14"/>
      <c r="H3658" s="23"/>
      <c r="I3658" s="27"/>
      <c r="J3658" s="23"/>
      <c r="K3658" s="30"/>
      <c r="L3658" s="23"/>
      <c r="M3658" s="20"/>
      <c r="N3658" s="20"/>
      <c r="O3658" s="20"/>
      <c r="P3658" s="20"/>
    </row>
    <row r="3659">
      <c r="A3659" s="10"/>
      <c r="B3659" s="11"/>
      <c r="C3659" s="10"/>
      <c r="D3659" s="13"/>
      <c r="E3659" s="14"/>
      <c r="F3659" s="14"/>
      <c r="G3659" s="14"/>
      <c r="H3659" s="10"/>
      <c r="I3659" s="17"/>
      <c r="J3659" s="10"/>
      <c r="K3659" s="46"/>
      <c r="L3659" s="10"/>
      <c r="M3659" s="20"/>
      <c r="N3659" s="20"/>
      <c r="O3659" s="20"/>
      <c r="P3659" s="20"/>
    </row>
    <row r="3660">
      <c r="A3660" s="23"/>
      <c r="B3660" s="21"/>
      <c r="C3660" s="23"/>
      <c r="D3660" s="24"/>
      <c r="E3660" s="14"/>
      <c r="F3660" s="14"/>
      <c r="G3660" s="14"/>
      <c r="H3660" s="23"/>
      <c r="I3660" s="27"/>
      <c r="J3660" s="23"/>
      <c r="K3660" s="30"/>
      <c r="L3660" s="23"/>
      <c r="M3660" s="20"/>
      <c r="N3660" s="20"/>
      <c r="O3660" s="20"/>
      <c r="P3660" s="20"/>
    </row>
    <row r="3661">
      <c r="A3661" s="10"/>
      <c r="B3661" s="11"/>
      <c r="C3661" s="10"/>
      <c r="D3661" s="13"/>
      <c r="E3661" s="14"/>
      <c r="F3661" s="14"/>
      <c r="G3661" s="14"/>
      <c r="H3661" s="10"/>
      <c r="I3661" s="17"/>
      <c r="J3661" s="10"/>
      <c r="K3661" s="46"/>
      <c r="L3661" s="10"/>
      <c r="M3661" s="20"/>
      <c r="N3661" s="20"/>
      <c r="O3661" s="20"/>
      <c r="P3661" s="20"/>
    </row>
    <row r="3662">
      <c r="A3662" s="23"/>
      <c r="B3662" s="21"/>
      <c r="C3662" s="23"/>
      <c r="D3662" s="24"/>
      <c r="E3662" s="14"/>
      <c r="F3662" s="14"/>
      <c r="G3662" s="14"/>
      <c r="H3662" s="23"/>
      <c r="I3662" s="27"/>
      <c r="J3662" s="23"/>
      <c r="K3662" s="30"/>
      <c r="L3662" s="23"/>
      <c r="M3662" s="20"/>
      <c r="N3662" s="20"/>
      <c r="O3662" s="20"/>
      <c r="P3662" s="20"/>
    </row>
    <row r="3663">
      <c r="A3663" s="10"/>
      <c r="B3663" s="11"/>
      <c r="C3663" s="10"/>
      <c r="D3663" s="13"/>
      <c r="E3663" s="14"/>
      <c r="F3663" s="14"/>
      <c r="G3663" s="14"/>
      <c r="H3663" s="10"/>
      <c r="I3663" s="17"/>
      <c r="J3663" s="10"/>
      <c r="K3663" s="46"/>
      <c r="L3663" s="10"/>
      <c r="M3663" s="20"/>
      <c r="N3663" s="20"/>
      <c r="O3663" s="20"/>
      <c r="P3663" s="20"/>
    </row>
    <row r="3664">
      <c r="A3664" s="23"/>
      <c r="B3664" s="21"/>
      <c r="C3664" s="23"/>
      <c r="D3664" s="24"/>
      <c r="E3664" s="14"/>
      <c r="F3664" s="14"/>
      <c r="G3664" s="14"/>
      <c r="H3664" s="23"/>
      <c r="I3664" s="27"/>
      <c r="J3664" s="23"/>
      <c r="K3664" s="30"/>
      <c r="L3664" s="23"/>
      <c r="M3664" s="20"/>
      <c r="N3664" s="20"/>
      <c r="O3664" s="20"/>
      <c r="P3664" s="20"/>
    </row>
    <row r="3665">
      <c r="A3665" s="10"/>
      <c r="B3665" s="11"/>
      <c r="C3665" s="10"/>
      <c r="D3665" s="13"/>
      <c r="E3665" s="14"/>
      <c r="F3665" s="14"/>
      <c r="G3665" s="14"/>
      <c r="H3665" s="10"/>
      <c r="I3665" s="17"/>
      <c r="J3665" s="10"/>
      <c r="K3665" s="46"/>
      <c r="L3665" s="10"/>
      <c r="M3665" s="20"/>
      <c r="N3665" s="20"/>
      <c r="O3665" s="20"/>
      <c r="P3665" s="20"/>
    </row>
    <row r="3666">
      <c r="A3666" s="23"/>
      <c r="B3666" s="21"/>
      <c r="C3666" s="23"/>
      <c r="D3666" s="24"/>
      <c r="E3666" s="14"/>
      <c r="F3666" s="14"/>
      <c r="G3666" s="14"/>
      <c r="H3666" s="23"/>
      <c r="I3666" s="27"/>
      <c r="J3666" s="23"/>
      <c r="K3666" s="30"/>
      <c r="L3666" s="23"/>
      <c r="M3666" s="20"/>
      <c r="N3666" s="20"/>
      <c r="O3666" s="20"/>
      <c r="P3666" s="20"/>
    </row>
    <row r="3667">
      <c r="A3667" s="10"/>
      <c r="B3667" s="11"/>
      <c r="C3667" s="10"/>
      <c r="D3667" s="13"/>
      <c r="E3667" s="14"/>
      <c r="F3667" s="14"/>
      <c r="G3667" s="14"/>
      <c r="H3667" s="10"/>
      <c r="I3667" s="17"/>
      <c r="J3667" s="10"/>
      <c r="K3667" s="46"/>
      <c r="L3667" s="10"/>
      <c r="M3667" s="20"/>
      <c r="N3667" s="20"/>
      <c r="O3667" s="20"/>
      <c r="P3667" s="20"/>
    </row>
    <row r="3668">
      <c r="A3668" s="23"/>
      <c r="B3668" s="21"/>
      <c r="C3668" s="23"/>
      <c r="D3668" s="24"/>
      <c r="E3668" s="14"/>
      <c r="F3668" s="14"/>
      <c r="G3668" s="14"/>
      <c r="H3668" s="23"/>
      <c r="I3668" s="27"/>
      <c r="J3668" s="23"/>
      <c r="K3668" s="30"/>
      <c r="L3668" s="23"/>
      <c r="M3668" s="20"/>
      <c r="N3668" s="20"/>
      <c r="O3668" s="20"/>
      <c r="P3668" s="20"/>
    </row>
    <row r="3669">
      <c r="A3669" s="10"/>
      <c r="B3669" s="11"/>
      <c r="C3669" s="10"/>
      <c r="D3669" s="13"/>
      <c r="E3669" s="14"/>
      <c r="F3669" s="14"/>
      <c r="G3669" s="14"/>
      <c r="H3669" s="10"/>
      <c r="I3669" s="17"/>
      <c r="J3669" s="10"/>
      <c r="K3669" s="46"/>
      <c r="L3669" s="10"/>
      <c r="M3669" s="20"/>
      <c r="N3669" s="20"/>
      <c r="O3669" s="20"/>
      <c r="P3669" s="20"/>
    </row>
    <row r="3670">
      <c r="A3670" s="23"/>
      <c r="B3670" s="21"/>
      <c r="C3670" s="23"/>
      <c r="D3670" s="24"/>
      <c r="E3670" s="14"/>
      <c r="F3670" s="14"/>
      <c r="G3670" s="14"/>
      <c r="H3670" s="23"/>
      <c r="I3670" s="27"/>
      <c r="J3670" s="23"/>
      <c r="K3670" s="30"/>
      <c r="L3670" s="23"/>
      <c r="M3670" s="20"/>
      <c r="N3670" s="20"/>
      <c r="O3670" s="20"/>
      <c r="P3670" s="20"/>
    </row>
    <row r="3671">
      <c r="A3671" s="10"/>
      <c r="B3671" s="11"/>
      <c r="C3671" s="10"/>
      <c r="D3671" s="13"/>
      <c r="E3671" s="14"/>
      <c r="F3671" s="14"/>
      <c r="G3671" s="14"/>
      <c r="H3671" s="10"/>
      <c r="I3671" s="17"/>
      <c r="J3671" s="10"/>
      <c r="K3671" s="46"/>
      <c r="L3671" s="10"/>
      <c r="M3671" s="20"/>
      <c r="N3671" s="20"/>
      <c r="O3671" s="20"/>
      <c r="P3671" s="20"/>
    </row>
    <row r="3672">
      <c r="A3672" s="23"/>
      <c r="B3672" s="21"/>
      <c r="C3672" s="23"/>
      <c r="D3672" s="24"/>
      <c r="E3672" s="14"/>
      <c r="F3672" s="14"/>
      <c r="G3672" s="14"/>
      <c r="H3672" s="23"/>
      <c r="I3672" s="27"/>
      <c r="J3672" s="23"/>
      <c r="K3672" s="30"/>
      <c r="L3672" s="23"/>
      <c r="M3672" s="20"/>
      <c r="N3672" s="20"/>
      <c r="O3672" s="20"/>
      <c r="P3672" s="20"/>
    </row>
    <row r="3673">
      <c r="A3673" s="10"/>
      <c r="B3673" s="11"/>
      <c r="C3673" s="10"/>
      <c r="D3673" s="13"/>
      <c r="E3673" s="14"/>
      <c r="F3673" s="14"/>
      <c r="G3673" s="14"/>
      <c r="H3673" s="10"/>
      <c r="I3673" s="17"/>
      <c r="J3673" s="10"/>
      <c r="K3673" s="46"/>
      <c r="L3673" s="10"/>
      <c r="M3673" s="20"/>
      <c r="N3673" s="20"/>
      <c r="O3673" s="20"/>
      <c r="P3673" s="20"/>
    </row>
    <row r="3674">
      <c r="A3674" s="23"/>
      <c r="B3674" s="21"/>
      <c r="C3674" s="23"/>
      <c r="D3674" s="24"/>
      <c r="E3674" s="14"/>
      <c r="F3674" s="14"/>
      <c r="G3674" s="14"/>
      <c r="H3674" s="23"/>
      <c r="I3674" s="27"/>
      <c r="J3674" s="23"/>
      <c r="K3674" s="30"/>
      <c r="L3674" s="23"/>
      <c r="M3674" s="20"/>
      <c r="N3674" s="20"/>
      <c r="O3674" s="20"/>
      <c r="P3674" s="20"/>
    </row>
    <row r="3675">
      <c r="A3675" s="10"/>
      <c r="B3675" s="11"/>
      <c r="C3675" s="10"/>
      <c r="D3675" s="13"/>
      <c r="E3675" s="14"/>
      <c r="F3675" s="14"/>
      <c r="G3675" s="14"/>
      <c r="H3675" s="10"/>
      <c r="I3675" s="17"/>
      <c r="J3675" s="10"/>
      <c r="K3675" s="46"/>
      <c r="L3675" s="10"/>
      <c r="M3675" s="20"/>
      <c r="N3675" s="20"/>
      <c r="O3675" s="20"/>
      <c r="P3675" s="20"/>
    </row>
    <row r="3676">
      <c r="A3676" s="23"/>
      <c r="B3676" s="21"/>
      <c r="C3676" s="23"/>
      <c r="D3676" s="24"/>
      <c r="E3676" s="14"/>
      <c r="F3676" s="14"/>
      <c r="G3676" s="14"/>
      <c r="H3676" s="23"/>
      <c r="I3676" s="27"/>
      <c r="J3676" s="23"/>
      <c r="K3676" s="30"/>
      <c r="L3676" s="23"/>
      <c r="M3676" s="20"/>
      <c r="N3676" s="20"/>
      <c r="O3676" s="20"/>
      <c r="P3676" s="20"/>
    </row>
    <row r="3677">
      <c r="A3677" s="10"/>
      <c r="B3677" s="11"/>
      <c r="C3677" s="10"/>
      <c r="D3677" s="13"/>
      <c r="E3677" s="14"/>
      <c r="F3677" s="14"/>
      <c r="G3677" s="14"/>
      <c r="H3677" s="10"/>
      <c r="I3677" s="17"/>
      <c r="J3677" s="10"/>
      <c r="K3677" s="46"/>
      <c r="L3677" s="10"/>
      <c r="M3677" s="20"/>
      <c r="N3677" s="20"/>
      <c r="O3677" s="20"/>
      <c r="P3677" s="20"/>
    </row>
    <row r="3678">
      <c r="A3678" s="23"/>
      <c r="B3678" s="21"/>
      <c r="C3678" s="23"/>
      <c r="D3678" s="24"/>
      <c r="E3678" s="14"/>
      <c r="F3678" s="14"/>
      <c r="G3678" s="14"/>
      <c r="H3678" s="23"/>
      <c r="I3678" s="27"/>
      <c r="J3678" s="23"/>
      <c r="K3678" s="30"/>
      <c r="L3678" s="23"/>
      <c r="M3678" s="20"/>
      <c r="N3678" s="20"/>
      <c r="O3678" s="20"/>
      <c r="P3678" s="20"/>
    </row>
    <row r="3679">
      <c r="A3679" s="10"/>
      <c r="B3679" s="11"/>
      <c r="C3679" s="10"/>
      <c r="D3679" s="13"/>
      <c r="E3679" s="14"/>
      <c r="F3679" s="14"/>
      <c r="G3679" s="14"/>
      <c r="H3679" s="10"/>
      <c r="I3679" s="17"/>
      <c r="J3679" s="10"/>
      <c r="K3679" s="46"/>
      <c r="L3679" s="10"/>
      <c r="M3679" s="20"/>
      <c r="N3679" s="20"/>
      <c r="O3679" s="20"/>
      <c r="P3679" s="20"/>
    </row>
    <row r="3680">
      <c r="A3680" s="23"/>
      <c r="B3680" s="21"/>
      <c r="C3680" s="23"/>
      <c r="D3680" s="24"/>
      <c r="E3680" s="14"/>
      <c r="F3680" s="14"/>
      <c r="G3680" s="14"/>
      <c r="H3680" s="23"/>
      <c r="I3680" s="27"/>
      <c r="J3680" s="23"/>
      <c r="K3680" s="30"/>
      <c r="L3680" s="23"/>
      <c r="M3680" s="20"/>
      <c r="N3680" s="20"/>
      <c r="O3680" s="20"/>
      <c r="P3680" s="20"/>
    </row>
    <row r="3681">
      <c r="A3681" s="10"/>
      <c r="B3681" s="11"/>
      <c r="C3681" s="10"/>
      <c r="D3681" s="13"/>
      <c r="E3681" s="14"/>
      <c r="F3681" s="14"/>
      <c r="G3681" s="14"/>
      <c r="H3681" s="10"/>
      <c r="I3681" s="17"/>
      <c r="J3681" s="10"/>
      <c r="K3681" s="46"/>
      <c r="L3681" s="10"/>
      <c r="M3681" s="20"/>
      <c r="N3681" s="20"/>
      <c r="O3681" s="20"/>
      <c r="P3681" s="20"/>
    </row>
    <row r="3682">
      <c r="A3682" s="23"/>
      <c r="B3682" s="21"/>
      <c r="C3682" s="23"/>
      <c r="D3682" s="24"/>
      <c r="E3682" s="14"/>
      <c r="F3682" s="14"/>
      <c r="G3682" s="14"/>
      <c r="H3682" s="23"/>
      <c r="I3682" s="27"/>
      <c r="J3682" s="23"/>
      <c r="K3682" s="30"/>
      <c r="L3682" s="23"/>
      <c r="M3682" s="20"/>
      <c r="N3682" s="20"/>
      <c r="O3682" s="20"/>
      <c r="P3682" s="20"/>
    </row>
    <row r="3683">
      <c r="A3683" s="10"/>
      <c r="B3683" s="11"/>
      <c r="C3683" s="10"/>
      <c r="D3683" s="13"/>
      <c r="E3683" s="14"/>
      <c r="F3683" s="14"/>
      <c r="G3683" s="14"/>
      <c r="H3683" s="10"/>
      <c r="I3683" s="17"/>
      <c r="J3683" s="10"/>
      <c r="K3683" s="46"/>
      <c r="L3683" s="10"/>
      <c r="M3683" s="20"/>
      <c r="N3683" s="20"/>
      <c r="O3683" s="20"/>
      <c r="P3683" s="20"/>
    </row>
    <row r="3684">
      <c r="A3684" s="23"/>
      <c r="B3684" s="21"/>
      <c r="C3684" s="23"/>
      <c r="D3684" s="24"/>
      <c r="E3684" s="14"/>
      <c r="F3684" s="14"/>
      <c r="G3684" s="14"/>
      <c r="H3684" s="23"/>
      <c r="I3684" s="27"/>
      <c r="J3684" s="23"/>
      <c r="K3684" s="30"/>
      <c r="L3684" s="23"/>
      <c r="M3684" s="20"/>
      <c r="N3684" s="20"/>
      <c r="O3684" s="20"/>
      <c r="P3684" s="20"/>
    </row>
    <row r="3685">
      <c r="A3685" s="10"/>
      <c r="B3685" s="11"/>
      <c r="C3685" s="10"/>
      <c r="D3685" s="13"/>
      <c r="E3685" s="14"/>
      <c r="F3685" s="14"/>
      <c r="G3685" s="14"/>
      <c r="H3685" s="10"/>
      <c r="I3685" s="17"/>
      <c r="J3685" s="10"/>
      <c r="K3685" s="46"/>
      <c r="L3685" s="10"/>
      <c r="M3685" s="20"/>
      <c r="N3685" s="20"/>
      <c r="O3685" s="20"/>
      <c r="P3685" s="20"/>
    </row>
    <row r="3686">
      <c r="A3686" s="23"/>
      <c r="B3686" s="21"/>
      <c r="C3686" s="23"/>
      <c r="D3686" s="24"/>
      <c r="E3686" s="14"/>
      <c r="F3686" s="14"/>
      <c r="G3686" s="14"/>
      <c r="H3686" s="23"/>
      <c r="I3686" s="27"/>
      <c r="J3686" s="23"/>
      <c r="K3686" s="30"/>
      <c r="L3686" s="23"/>
      <c r="M3686" s="20"/>
      <c r="N3686" s="20"/>
      <c r="O3686" s="20"/>
      <c r="P3686" s="20"/>
    </row>
    <row r="3687">
      <c r="A3687" s="10"/>
      <c r="B3687" s="11"/>
      <c r="C3687" s="10"/>
      <c r="D3687" s="13"/>
      <c r="E3687" s="14"/>
      <c r="F3687" s="14"/>
      <c r="G3687" s="14"/>
      <c r="H3687" s="10"/>
      <c r="I3687" s="17"/>
      <c r="J3687" s="10"/>
      <c r="K3687" s="46"/>
      <c r="L3687" s="10"/>
      <c r="M3687" s="20"/>
      <c r="N3687" s="20"/>
      <c r="O3687" s="20"/>
      <c r="P3687" s="20"/>
    </row>
    <row r="3688">
      <c r="A3688" s="23"/>
      <c r="B3688" s="21"/>
      <c r="C3688" s="23"/>
      <c r="D3688" s="24"/>
      <c r="E3688" s="14"/>
      <c r="F3688" s="14"/>
      <c r="G3688" s="14"/>
      <c r="H3688" s="23"/>
      <c r="I3688" s="27"/>
      <c r="J3688" s="23"/>
      <c r="K3688" s="30"/>
      <c r="L3688" s="23"/>
      <c r="M3688" s="20"/>
      <c r="N3688" s="20"/>
      <c r="O3688" s="20"/>
      <c r="P3688" s="20"/>
    </row>
    <row r="3689">
      <c r="A3689" s="10"/>
      <c r="B3689" s="11"/>
      <c r="C3689" s="10"/>
      <c r="D3689" s="13"/>
      <c r="E3689" s="14"/>
      <c r="F3689" s="14"/>
      <c r="G3689" s="14"/>
      <c r="H3689" s="10"/>
      <c r="I3689" s="17"/>
      <c r="J3689" s="10"/>
      <c r="K3689" s="46"/>
      <c r="L3689" s="10"/>
      <c r="M3689" s="20"/>
      <c r="N3689" s="20"/>
      <c r="O3689" s="20"/>
      <c r="P3689" s="20"/>
    </row>
    <row r="3690">
      <c r="A3690" s="23"/>
      <c r="B3690" s="21"/>
      <c r="C3690" s="23"/>
      <c r="D3690" s="24"/>
      <c r="E3690" s="14"/>
      <c r="F3690" s="14"/>
      <c r="G3690" s="14"/>
      <c r="H3690" s="23"/>
      <c r="I3690" s="27"/>
      <c r="J3690" s="23"/>
      <c r="K3690" s="30"/>
      <c r="L3690" s="23"/>
      <c r="M3690" s="20"/>
      <c r="N3690" s="20"/>
      <c r="O3690" s="20"/>
      <c r="P3690" s="20"/>
    </row>
    <row r="3691">
      <c r="A3691" s="10"/>
      <c r="B3691" s="11"/>
      <c r="C3691" s="10"/>
      <c r="D3691" s="13"/>
      <c r="E3691" s="14"/>
      <c r="F3691" s="14"/>
      <c r="G3691" s="14"/>
      <c r="H3691" s="10"/>
      <c r="I3691" s="17"/>
      <c r="J3691" s="10"/>
      <c r="K3691" s="46"/>
      <c r="L3691" s="10"/>
      <c r="M3691" s="20"/>
      <c r="N3691" s="20"/>
      <c r="O3691" s="20"/>
      <c r="P3691" s="20"/>
    </row>
    <row r="3692">
      <c r="A3692" s="23"/>
      <c r="B3692" s="21"/>
      <c r="C3692" s="23"/>
      <c r="D3692" s="24"/>
      <c r="E3692" s="14"/>
      <c r="F3692" s="14"/>
      <c r="G3692" s="14"/>
      <c r="H3692" s="23"/>
      <c r="I3692" s="27"/>
      <c r="J3692" s="23"/>
      <c r="K3692" s="30"/>
      <c r="L3692" s="23"/>
      <c r="M3692" s="20"/>
      <c r="N3692" s="20"/>
      <c r="O3692" s="20"/>
      <c r="P3692" s="20"/>
    </row>
    <row r="3693">
      <c r="A3693" s="10"/>
      <c r="B3693" s="11"/>
      <c r="C3693" s="10"/>
      <c r="D3693" s="13"/>
      <c r="E3693" s="14"/>
      <c r="F3693" s="14"/>
      <c r="G3693" s="14"/>
      <c r="H3693" s="10"/>
      <c r="I3693" s="17"/>
      <c r="J3693" s="10"/>
      <c r="K3693" s="46"/>
      <c r="L3693" s="10"/>
      <c r="M3693" s="20"/>
      <c r="N3693" s="20"/>
      <c r="O3693" s="20"/>
      <c r="P3693" s="20"/>
    </row>
    <row r="3694">
      <c r="A3694" s="23"/>
      <c r="B3694" s="21"/>
      <c r="C3694" s="23"/>
      <c r="D3694" s="24"/>
      <c r="E3694" s="14"/>
      <c r="F3694" s="14"/>
      <c r="G3694" s="14"/>
      <c r="H3694" s="23"/>
      <c r="I3694" s="27"/>
      <c r="J3694" s="23"/>
      <c r="K3694" s="30"/>
      <c r="L3694" s="23"/>
      <c r="M3694" s="20"/>
      <c r="N3694" s="20"/>
      <c r="O3694" s="20"/>
      <c r="P3694" s="20"/>
    </row>
    <row r="3695">
      <c r="A3695" s="10"/>
      <c r="B3695" s="11"/>
      <c r="C3695" s="10"/>
      <c r="D3695" s="13"/>
      <c r="E3695" s="14"/>
      <c r="F3695" s="14"/>
      <c r="G3695" s="14"/>
      <c r="H3695" s="10"/>
      <c r="I3695" s="17"/>
      <c r="J3695" s="10"/>
      <c r="K3695" s="46"/>
      <c r="L3695" s="10"/>
      <c r="M3695" s="20"/>
      <c r="N3695" s="20"/>
      <c r="O3695" s="20"/>
      <c r="P3695" s="20"/>
    </row>
    <row r="3696">
      <c r="A3696" s="23"/>
      <c r="B3696" s="21"/>
      <c r="C3696" s="23"/>
      <c r="D3696" s="24"/>
      <c r="E3696" s="14"/>
      <c r="F3696" s="14"/>
      <c r="G3696" s="14"/>
      <c r="H3696" s="23"/>
      <c r="I3696" s="27"/>
      <c r="J3696" s="23"/>
      <c r="K3696" s="30"/>
      <c r="L3696" s="23"/>
      <c r="M3696" s="20"/>
      <c r="N3696" s="20"/>
      <c r="O3696" s="20"/>
      <c r="P3696" s="20"/>
    </row>
    <row r="3697">
      <c r="A3697" s="10"/>
      <c r="B3697" s="11"/>
      <c r="C3697" s="10"/>
      <c r="D3697" s="13"/>
      <c r="E3697" s="14"/>
      <c r="F3697" s="14"/>
      <c r="G3697" s="14"/>
      <c r="H3697" s="10"/>
      <c r="I3697" s="17"/>
      <c r="J3697" s="10"/>
      <c r="K3697" s="46"/>
      <c r="L3697" s="10"/>
      <c r="M3697" s="20"/>
      <c r="N3697" s="20"/>
      <c r="O3697" s="20"/>
      <c r="P3697" s="20"/>
    </row>
    <row r="3698">
      <c r="A3698" s="23"/>
      <c r="B3698" s="21"/>
      <c r="C3698" s="23"/>
      <c r="D3698" s="24"/>
      <c r="E3698" s="14"/>
      <c r="F3698" s="14"/>
      <c r="G3698" s="14"/>
      <c r="H3698" s="23"/>
      <c r="I3698" s="27"/>
      <c r="J3698" s="23"/>
      <c r="K3698" s="30"/>
      <c r="L3698" s="23"/>
      <c r="M3698" s="20"/>
      <c r="N3698" s="20"/>
      <c r="O3698" s="20"/>
      <c r="P3698" s="20"/>
    </row>
    <row r="3699">
      <c r="A3699" s="10"/>
      <c r="B3699" s="11"/>
      <c r="C3699" s="10"/>
      <c r="D3699" s="13"/>
      <c r="E3699" s="14"/>
      <c r="F3699" s="14"/>
      <c r="G3699" s="14"/>
      <c r="H3699" s="10"/>
      <c r="I3699" s="17"/>
      <c r="J3699" s="10"/>
      <c r="K3699" s="46"/>
      <c r="L3699" s="10"/>
      <c r="M3699" s="20"/>
      <c r="N3699" s="20"/>
      <c r="O3699" s="20"/>
      <c r="P3699" s="20"/>
    </row>
    <row r="3700">
      <c r="A3700" s="23"/>
      <c r="B3700" s="21"/>
      <c r="C3700" s="23"/>
      <c r="D3700" s="24"/>
      <c r="E3700" s="14"/>
      <c r="F3700" s="14"/>
      <c r="G3700" s="14"/>
      <c r="H3700" s="23"/>
      <c r="I3700" s="27"/>
      <c r="J3700" s="23"/>
      <c r="K3700" s="30"/>
      <c r="L3700" s="23"/>
      <c r="M3700" s="20"/>
      <c r="N3700" s="20"/>
      <c r="O3700" s="20"/>
      <c r="P3700" s="20"/>
    </row>
    <row r="3701">
      <c r="A3701" s="10"/>
      <c r="B3701" s="11"/>
      <c r="C3701" s="10"/>
      <c r="D3701" s="13"/>
      <c r="E3701" s="14"/>
      <c r="F3701" s="14"/>
      <c r="G3701" s="14"/>
      <c r="H3701" s="10"/>
      <c r="I3701" s="17"/>
      <c r="J3701" s="10"/>
      <c r="K3701" s="46"/>
      <c r="L3701" s="10"/>
      <c r="M3701" s="20"/>
      <c r="N3701" s="20"/>
      <c r="O3701" s="20"/>
      <c r="P3701" s="20"/>
    </row>
    <row r="3702">
      <c r="A3702" s="23"/>
      <c r="B3702" s="21"/>
      <c r="C3702" s="23"/>
      <c r="D3702" s="24"/>
      <c r="E3702" s="14"/>
      <c r="F3702" s="14"/>
      <c r="G3702" s="14"/>
      <c r="H3702" s="23"/>
      <c r="I3702" s="27"/>
      <c r="J3702" s="23"/>
      <c r="K3702" s="30"/>
      <c r="L3702" s="23"/>
      <c r="M3702" s="20"/>
      <c r="N3702" s="20"/>
      <c r="O3702" s="20"/>
      <c r="P3702" s="20"/>
    </row>
    <row r="3703">
      <c r="A3703" s="10"/>
      <c r="B3703" s="11"/>
      <c r="C3703" s="10"/>
      <c r="D3703" s="13"/>
      <c r="E3703" s="14"/>
      <c r="F3703" s="14"/>
      <c r="G3703" s="14"/>
      <c r="H3703" s="10"/>
      <c r="I3703" s="17"/>
      <c r="J3703" s="10"/>
      <c r="K3703" s="46"/>
      <c r="L3703" s="10"/>
      <c r="M3703" s="20"/>
      <c r="N3703" s="20"/>
      <c r="O3703" s="20"/>
      <c r="P3703" s="20"/>
    </row>
    <row r="3704">
      <c r="A3704" s="23"/>
      <c r="B3704" s="21"/>
      <c r="C3704" s="23"/>
      <c r="D3704" s="24"/>
      <c r="E3704" s="14"/>
      <c r="F3704" s="14"/>
      <c r="G3704" s="14"/>
      <c r="H3704" s="23"/>
      <c r="I3704" s="27"/>
      <c r="J3704" s="23"/>
      <c r="K3704" s="30"/>
      <c r="L3704" s="23"/>
      <c r="M3704" s="20"/>
      <c r="N3704" s="20"/>
      <c r="O3704" s="20"/>
      <c r="P3704" s="20"/>
    </row>
    <row r="3705">
      <c r="A3705" s="10"/>
      <c r="B3705" s="11"/>
      <c r="C3705" s="10"/>
      <c r="D3705" s="13"/>
      <c r="E3705" s="14"/>
      <c r="F3705" s="14"/>
      <c r="G3705" s="14"/>
      <c r="H3705" s="10"/>
      <c r="I3705" s="17"/>
      <c r="J3705" s="10"/>
      <c r="K3705" s="46"/>
      <c r="L3705" s="10"/>
      <c r="M3705" s="20"/>
      <c r="N3705" s="20"/>
      <c r="O3705" s="20"/>
      <c r="P3705" s="20"/>
    </row>
    <row r="3706">
      <c r="A3706" s="23"/>
      <c r="B3706" s="21"/>
      <c r="C3706" s="23"/>
      <c r="D3706" s="24"/>
      <c r="E3706" s="14"/>
      <c r="F3706" s="14"/>
      <c r="G3706" s="14"/>
      <c r="H3706" s="23"/>
      <c r="I3706" s="27"/>
      <c r="J3706" s="23"/>
      <c r="K3706" s="30"/>
      <c r="L3706" s="23"/>
      <c r="M3706" s="20"/>
      <c r="N3706" s="20"/>
      <c r="O3706" s="20"/>
      <c r="P3706" s="20"/>
    </row>
    <row r="3707">
      <c r="A3707" s="10"/>
      <c r="B3707" s="11"/>
      <c r="C3707" s="10"/>
      <c r="D3707" s="13"/>
      <c r="E3707" s="14"/>
      <c r="F3707" s="14"/>
      <c r="G3707" s="14"/>
      <c r="H3707" s="10"/>
      <c r="I3707" s="17"/>
      <c r="J3707" s="10"/>
      <c r="K3707" s="46"/>
      <c r="L3707" s="10"/>
      <c r="M3707" s="20"/>
      <c r="N3707" s="20"/>
      <c r="O3707" s="20"/>
      <c r="P3707" s="20"/>
    </row>
    <row r="3708">
      <c r="A3708" s="23"/>
      <c r="B3708" s="21"/>
      <c r="C3708" s="23"/>
      <c r="D3708" s="24"/>
      <c r="E3708" s="14"/>
      <c r="F3708" s="14"/>
      <c r="G3708" s="14"/>
      <c r="H3708" s="23"/>
      <c r="I3708" s="27"/>
      <c r="J3708" s="23"/>
      <c r="K3708" s="30"/>
      <c r="L3708" s="23"/>
      <c r="M3708" s="20"/>
      <c r="N3708" s="20"/>
      <c r="O3708" s="20"/>
      <c r="P3708" s="20"/>
    </row>
    <row r="3709">
      <c r="A3709" s="10"/>
      <c r="B3709" s="11"/>
      <c r="C3709" s="10"/>
      <c r="D3709" s="13"/>
      <c r="E3709" s="14"/>
      <c r="F3709" s="14"/>
      <c r="G3709" s="14"/>
      <c r="H3709" s="10"/>
      <c r="I3709" s="17"/>
      <c r="J3709" s="10"/>
      <c r="K3709" s="46"/>
      <c r="L3709" s="10"/>
      <c r="M3709" s="20"/>
      <c r="N3709" s="20"/>
      <c r="O3709" s="20"/>
      <c r="P3709" s="20"/>
    </row>
    <row r="3710">
      <c r="A3710" s="23"/>
      <c r="B3710" s="21"/>
      <c r="C3710" s="23"/>
      <c r="D3710" s="24"/>
      <c r="E3710" s="14"/>
      <c r="F3710" s="14"/>
      <c r="G3710" s="14"/>
      <c r="H3710" s="23"/>
      <c r="I3710" s="27"/>
      <c r="J3710" s="23"/>
      <c r="K3710" s="30"/>
      <c r="L3710" s="23"/>
      <c r="M3710" s="20"/>
      <c r="N3710" s="20"/>
      <c r="O3710" s="20"/>
      <c r="P3710" s="20"/>
    </row>
    <row r="3711">
      <c r="A3711" s="10"/>
      <c r="B3711" s="11"/>
      <c r="C3711" s="10"/>
      <c r="D3711" s="13"/>
      <c r="E3711" s="14"/>
      <c r="F3711" s="14"/>
      <c r="G3711" s="14"/>
      <c r="H3711" s="10"/>
      <c r="I3711" s="17"/>
      <c r="J3711" s="10"/>
      <c r="K3711" s="46"/>
      <c r="L3711" s="10"/>
      <c r="M3711" s="20"/>
      <c r="N3711" s="20"/>
      <c r="O3711" s="20"/>
      <c r="P3711" s="20"/>
    </row>
    <row r="3712">
      <c r="A3712" s="23"/>
      <c r="B3712" s="21"/>
      <c r="C3712" s="23"/>
      <c r="D3712" s="24"/>
      <c r="E3712" s="14"/>
      <c r="F3712" s="14"/>
      <c r="G3712" s="14"/>
      <c r="H3712" s="23"/>
      <c r="I3712" s="27"/>
      <c r="J3712" s="23"/>
      <c r="K3712" s="30"/>
      <c r="L3712" s="23"/>
      <c r="M3712" s="20"/>
      <c r="N3712" s="20"/>
      <c r="O3712" s="20"/>
      <c r="P3712" s="20"/>
    </row>
    <row r="3713">
      <c r="A3713" s="10"/>
      <c r="B3713" s="11"/>
      <c r="C3713" s="10"/>
      <c r="D3713" s="13"/>
      <c r="E3713" s="14"/>
      <c r="F3713" s="14"/>
      <c r="G3713" s="14"/>
      <c r="H3713" s="10"/>
      <c r="I3713" s="17"/>
      <c r="J3713" s="10"/>
      <c r="K3713" s="46"/>
      <c r="L3713" s="10"/>
      <c r="M3713" s="20"/>
      <c r="N3713" s="20"/>
      <c r="O3713" s="20"/>
      <c r="P3713" s="20"/>
    </row>
    <row r="3714">
      <c r="A3714" s="23"/>
      <c r="B3714" s="21"/>
      <c r="C3714" s="23"/>
      <c r="D3714" s="24"/>
      <c r="E3714" s="14"/>
      <c r="F3714" s="14"/>
      <c r="G3714" s="14"/>
      <c r="H3714" s="23"/>
      <c r="I3714" s="27"/>
      <c r="J3714" s="23"/>
      <c r="K3714" s="30"/>
      <c r="L3714" s="23"/>
      <c r="M3714" s="20"/>
      <c r="N3714" s="20"/>
      <c r="O3714" s="20"/>
      <c r="P3714" s="20"/>
    </row>
    <row r="3715">
      <c r="A3715" s="10"/>
      <c r="B3715" s="11"/>
      <c r="C3715" s="10"/>
      <c r="D3715" s="13"/>
      <c r="E3715" s="14"/>
      <c r="F3715" s="14"/>
      <c r="G3715" s="14"/>
      <c r="H3715" s="10"/>
      <c r="I3715" s="17"/>
      <c r="J3715" s="10"/>
      <c r="K3715" s="46"/>
      <c r="L3715" s="10"/>
      <c r="M3715" s="20"/>
      <c r="N3715" s="20"/>
      <c r="O3715" s="20"/>
      <c r="P3715" s="20"/>
    </row>
    <row r="3716">
      <c r="A3716" s="23"/>
      <c r="B3716" s="21"/>
      <c r="C3716" s="23"/>
      <c r="D3716" s="24"/>
      <c r="E3716" s="14"/>
      <c r="F3716" s="14"/>
      <c r="G3716" s="14"/>
      <c r="H3716" s="23"/>
      <c r="I3716" s="27"/>
      <c r="J3716" s="23"/>
      <c r="K3716" s="30"/>
      <c r="L3716" s="23"/>
      <c r="M3716" s="20"/>
      <c r="N3716" s="20"/>
      <c r="O3716" s="20"/>
      <c r="P3716" s="20"/>
    </row>
    <row r="3717">
      <c r="A3717" s="10"/>
      <c r="B3717" s="11"/>
      <c r="C3717" s="10"/>
      <c r="D3717" s="13"/>
      <c r="E3717" s="14"/>
      <c r="F3717" s="14"/>
      <c r="G3717" s="14"/>
      <c r="H3717" s="10"/>
      <c r="I3717" s="17"/>
      <c r="J3717" s="10"/>
      <c r="K3717" s="46"/>
      <c r="L3717" s="10"/>
      <c r="M3717" s="20"/>
      <c r="N3717" s="20"/>
      <c r="O3717" s="20"/>
      <c r="P3717" s="20"/>
    </row>
    <row r="3718">
      <c r="A3718" s="23"/>
      <c r="B3718" s="21"/>
      <c r="C3718" s="23"/>
      <c r="D3718" s="24"/>
      <c r="E3718" s="14"/>
      <c r="F3718" s="14"/>
      <c r="G3718" s="14"/>
      <c r="H3718" s="23"/>
      <c r="I3718" s="27"/>
      <c r="J3718" s="23"/>
      <c r="K3718" s="30"/>
      <c r="L3718" s="23"/>
      <c r="M3718" s="20"/>
      <c r="N3718" s="20"/>
      <c r="O3718" s="20"/>
      <c r="P3718" s="20"/>
    </row>
    <row r="3719">
      <c r="A3719" s="10"/>
      <c r="B3719" s="11"/>
      <c r="C3719" s="10"/>
      <c r="D3719" s="13"/>
      <c r="E3719" s="14"/>
      <c r="F3719" s="14"/>
      <c r="G3719" s="14"/>
      <c r="H3719" s="10"/>
      <c r="I3719" s="17"/>
      <c r="J3719" s="10"/>
      <c r="K3719" s="46"/>
      <c r="L3719" s="10"/>
      <c r="M3719" s="20"/>
      <c r="N3719" s="20"/>
      <c r="O3719" s="20"/>
      <c r="P3719" s="20"/>
    </row>
    <row r="3720">
      <c r="A3720" s="23"/>
      <c r="B3720" s="21"/>
      <c r="C3720" s="23"/>
      <c r="D3720" s="24"/>
      <c r="E3720" s="14"/>
      <c r="F3720" s="14"/>
      <c r="G3720" s="14"/>
      <c r="H3720" s="23"/>
      <c r="I3720" s="27"/>
      <c r="J3720" s="23"/>
      <c r="K3720" s="30"/>
      <c r="L3720" s="23"/>
      <c r="M3720" s="20"/>
      <c r="N3720" s="20"/>
      <c r="O3720" s="20"/>
      <c r="P3720" s="20"/>
    </row>
    <row r="3721">
      <c r="A3721" s="10"/>
      <c r="B3721" s="11"/>
      <c r="C3721" s="10"/>
      <c r="D3721" s="13"/>
      <c r="E3721" s="14"/>
      <c r="F3721" s="14"/>
      <c r="G3721" s="14"/>
      <c r="H3721" s="10"/>
      <c r="I3721" s="17"/>
      <c r="J3721" s="10"/>
      <c r="K3721" s="46"/>
      <c r="L3721" s="10"/>
      <c r="M3721" s="20"/>
      <c r="N3721" s="20"/>
      <c r="O3721" s="20"/>
      <c r="P3721" s="20"/>
    </row>
    <row r="3722">
      <c r="A3722" s="23"/>
      <c r="B3722" s="21"/>
      <c r="C3722" s="23"/>
      <c r="D3722" s="24"/>
      <c r="E3722" s="14"/>
      <c r="F3722" s="14"/>
      <c r="G3722" s="14"/>
      <c r="H3722" s="23"/>
      <c r="I3722" s="27"/>
      <c r="J3722" s="23"/>
      <c r="K3722" s="30"/>
      <c r="L3722" s="23"/>
      <c r="M3722" s="20"/>
      <c r="N3722" s="20"/>
      <c r="O3722" s="20"/>
      <c r="P3722" s="20"/>
    </row>
    <row r="3723">
      <c r="A3723" s="10"/>
      <c r="B3723" s="11"/>
      <c r="C3723" s="10"/>
      <c r="D3723" s="13"/>
      <c r="E3723" s="14"/>
      <c r="F3723" s="14"/>
      <c r="G3723" s="14"/>
      <c r="H3723" s="10"/>
      <c r="I3723" s="17"/>
      <c r="J3723" s="10"/>
      <c r="K3723" s="46"/>
      <c r="L3723" s="10"/>
      <c r="M3723" s="20"/>
      <c r="N3723" s="20"/>
      <c r="O3723" s="20"/>
      <c r="P3723" s="20"/>
    </row>
    <row r="3724">
      <c r="A3724" s="23"/>
      <c r="B3724" s="21"/>
      <c r="C3724" s="23"/>
      <c r="D3724" s="24"/>
      <c r="E3724" s="14"/>
      <c r="F3724" s="14"/>
      <c r="G3724" s="14"/>
      <c r="H3724" s="23"/>
      <c r="I3724" s="27"/>
      <c r="J3724" s="23"/>
      <c r="K3724" s="30"/>
      <c r="L3724" s="23"/>
      <c r="M3724" s="20"/>
      <c r="N3724" s="20"/>
      <c r="O3724" s="20"/>
      <c r="P3724" s="20"/>
    </row>
    <row r="3725">
      <c r="A3725" s="10"/>
      <c r="B3725" s="11"/>
      <c r="C3725" s="10"/>
      <c r="D3725" s="13"/>
      <c r="E3725" s="14"/>
      <c r="F3725" s="14"/>
      <c r="G3725" s="14"/>
      <c r="H3725" s="10"/>
      <c r="I3725" s="17"/>
      <c r="J3725" s="10"/>
      <c r="K3725" s="46"/>
      <c r="L3725" s="10"/>
      <c r="M3725" s="20"/>
      <c r="N3725" s="20"/>
      <c r="O3725" s="20"/>
      <c r="P3725" s="20"/>
    </row>
    <row r="3726">
      <c r="A3726" s="23"/>
      <c r="B3726" s="21"/>
      <c r="C3726" s="23"/>
      <c r="D3726" s="24"/>
      <c r="E3726" s="14"/>
      <c r="F3726" s="14"/>
      <c r="G3726" s="14"/>
      <c r="H3726" s="23"/>
      <c r="I3726" s="27"/>
      <c r="J3726" s="23"/>
      <c r="K3726" s="30"/>
      <c r="L3726" s="23"/>
      <c r="M3726" s="20"/>
      <c r="N3726" s="20"/>
      <c r="O3726" s="20"/>
      <c r="P3726" s="20"/>
    </row>
    <row r="3727">
      <c r="A3727" s="10"/>
      <c r="B3727" s="11"/>
      <c r="C3727" s="10"/>
      <c r="D3727" s="13"/>
      <c r="E3727" s="14"/>
      <c r="F3727" s="14"/>
      <c r="G3727" s="14"/>
      <c r="H3727" s="10"/>
      <c r="I3727" s="17"/>
      <c r="J3727" s="10"/>
      <c r="K3727" s="46"/>
      <c r="L3727" s="10"/>
      <c r="M3727" s="20"/>
      <c r="N3727" s="20"/>
      <c r="O3727" s="20"/>
      <c r="P3727" s="20"/>
    </row>
    <row r="3728">
      <c r="A3728" s="23"/>
      <c r="B3728" s="21"/>
      <c r="C3728" s="23"/>
      <c r="D3728" s="24"/>
      <c r="E3728" s="14"/>
      <c r="F3728" s="14"/>
      <c r="G3728" s="14"/>
      <c r="H3728" s="23"/>
      <c r="I3728" s="27"/>
      <c r="J3728" s="23"/>
      <c r="K3728" s="30"/>
      <c r="L3728" s="23"/>
      <c r="M3728" s="20"/>
      <c r="N3728" s="20"/>
      <c r="O3728" s="20"/>
      <c r="P3728" s="20"/>
    </row>
    <row r="3729">
      <c r="A3729" s="10"/>
      <c r="B3729" s="11"/>
      <c r="C3729" s="10"/>
      <c r="D3729" s="13"/>
      <c r="E3729" s="14"/>
      <c r="F3729" s="14"/>
      <c r="G3729" s="14"/>
      <c r="H3729" s="10"/>
      <c r="I3729" s="17"/>
      <c r="J3729" s="10"/>
      <c r="K3729" s="46"/>
      <c r="L3729" s="10"/>
      <c r="M3729" s="20"/>
      <c r="N3729" s="20"/>
      <c r="O3729" s="20"/>
      <c r="P3729" s="20"/>
    </row>
    <row r="3730">
      <c r="A3730" s="23"/>
      <c r="B3730" s="21"/>
      <c r="C3730" s="23"/>
      <c r="D3730" s="24"/>
      <c r="E3730" s="14"/>
      <c r="F3730" s="14"/>
      <c r="G3730" s="14"/>
      <c r="H3730" s="23"/>
      <c r="I3730" s="27"/>
      <c r="J3730" s="23"/>
      <c r="K3730" s="30"/>
      <c r="L3730" s="23"/>
      <c r="M3730" s="20"/>
      <c r="N3730" s="20"/>
      <c r="O3730" s="20"/>
      <c r="P3730" s="20"/>
    </row>
    <row r="3731">
      <c r="A3731" s="10"/>
      <c r="B3731" s="11"/>
      <c r="C3731" s="10"/>
      <c r="D3731" s="13"/>
      <c r="E3731" s="14"/>
      <c r="F3731" s="14"/>
      <c r="G3731" s="14"/>
      <c r="H3731" s="10"/>
      <c r="I3731" s="17"/>
      <c r="J3731" s="10"/>
      <c r="K3731" s="46"/>
      <c r="L3731" s="10"/>
      <c r="M3731" s="20"/>
      <c r="N3731" s="20"/>
      <c r="O3731" s="20"/>
      <c r="P3731" s="20"/>
    </row>
    <row r="3732">
      <c r="A3732" s="23"/>
      <c r="B3732" s="21"/>
      <c r="C3732" s="23"/>
      <c r="D3732" s="24"/>
      <c r="E3732" s="14"/>
      <c r="F3732" s="14"/>
      <c r="G3732" s="14"/>
      <c r="H3732" s="23"/>
      <c r="I3732" s="27"/>
      <c r="J3732" s="23"/>
      <c r="K3732" s="30"/>
      <c r="L3732" s="23"/>
      <c r="M3732" s="20"/>
      <c r="N3732" s="20"/>
      <c r="O3732" s="20"/>
      <c r="P3732" s="20"/>
    </row>
    <row r="3733">
      <c r="A3733" s="10"/>
      <c r="B3733" s="11"/>
      <c r="C3733" s="10"/>
      <c r="D3733" s="13"/>
      <c r="E3733" s="14"/>
      <c r="F3733" s="14"/>
      <c r="G3733" s="14"/>
      <c r="H3733" s="10"/>
      <c r="I3733" s="17"/>
      <c r="J3733" s="10"/>
      <c r="K3733" s="46"/>
      <c r="L3733" s="10"/>
      <c r="M3733" s="20"/>
      <c r="N3733" s="20"/>
      <c r="O3733" s="20"/>
      <c r="P3733" s="20"/>
    </row>
    <row r="3734">
      <c r="A3734" s="23"/>
      <c r="B3734" s="21"/>
      <c r="C3734" s="23"/>
      <c r="D3734" s="24"/>
      <c r="E3734" s="14"/>
      <c r="F3734" s="14"/>
      <c r="G3734" s="14"/>
      <c r="H3734" s="23"/>
      <c r="I3734" s="27"/>
      <c r="J3734" s="23"/>
      <c r="K3734" s="30"/>
      <c r="L3734" s="23"/>
      <c r="M3734" s="20"/>
      <c r="N3734" s="20"/>
      <c r="O3734" s="20"/>
      <c r="P3734" s="20"/>
    </row>
    <row r="3735">
      <c r="A3735" s="10"/>
      <c r="B3735" s="11"/>
      <c r="C3735" s="10"/>
      <c r="D3735" s="13"/>
      <c r="E3735" s="14"/>
      <c r="F3735" s="14"/>
      <c r="G3735" s="14"/>
      <c r="H3735" s="10"/>
      <c r="I3735" s="17"/>
      <c r="J3735" s="10"/>
      <c r="K3735" s="46"/>
      <c r="L3735" s="10"/>
      <c r="M3735" s="20"/>
      <c r="N3735" s="20"/>
      <c r="O3735" s="20"/>
      <c r="P3735" s="20"/>
    </row>
    <row r="3736">
      <c r="A3736" s="23"/>
      <c r="B3736" s="21"/>
      <c r="C3736" s="23"/>
      <c r="D3736" s="24"/>
      <c r="E3736" s="14"/>
      <c r="F3736" s="14"/>
      <c r="G3736" s="14"/>
      <c r="H3736" s="23"/>
      <c r="I3736" s="27"/>
      <c r="J3736" s="23"/>
      <c r="K3736" s="30"/>
      <c r="L3736" s="23"/>
      <c r="M3736" s="20"/>
      <c r="N3736" s="20"/>
      <c r="O3736" s="20"/>
      <c r="P3736" s="20"/>
    </row>
    <row r="3737">
      <c r="A3737" s="10"/>
      <c r="B3737" s="11"/>
      <c r="C3737" s="10"/>
      <c r="D3737" s="13"/>
      <c r="E3737" s="14"/>
      <c r="F3737" s="14"/>
      <c r="G3737" s="14"/>
      <c r="H3737" s="10"/>
      <c r="I3737" s="17"/>
      <c r="J3737" s="10"/>
      <c r="K3737" s="46"/>
      <c r="L3737" s="10"/>
      <c r="M3737" s="20"/>
      <c r="N3737" s="20"/>
      <c r="O3737" s="20"/>
      <c r="P3737" s="20"/>
    </row>
    <row r="3738">
      <c r="A3738" s="23"/>
      <c r="B3738" s="21"/>
      <c r="C3738" s="23"/>
      <c r="D3738" s="24"/>
      <c r="E3738" s="14"/>
      <c r="F3738" s="14"/>
      <c r="G3738" s="14"/>
      <c r="H3738" s="23"/>
      <c r="I3738" s="27"/>
      <c r="J3738" s="23"/>
      <c r="K3738" s="30"/>
      <c r="L3738" s="23"/>
      <c r="M3738" s="20"/>
      <c r="N3738" s="20"/>
      <c r="O3738" s="20"/>
      <c r="P3738" s="20"/>
    </row>
    <row r="3739">
      <c r="A3739" s="10"/>
      <c r="B3739" s="11"/>
      <c r="C3739" s="10"/>
      <c r="D3739" s="13"/>
      <c r="E3739" s="14"/>
      <c r="F3739" s="14"/>
      <c r="G3739" s="14"/>
      <c r="H3739" s="10"/>
      <c r="I3739" s="17"/>
      <c r="J3739" s="10"/>
      <c r="K3739" s="46"/>
      <c r="L3739" s="10"/>
      <c r="M3739" s="20"/>
      <c r="N3739" s="20"/>
      <c r="O3739" s="20"/>
      <c r="P3739" s="20"/>
    </row>
    <row r="3740">
      <c r="A3740" s="23"/>
      <c r="B3740" s="21"/>
      <c r="C3740" s="23"/>
      <c r="D3740" s="24"/>
      <c r="E3740" s="14"/>
      <c r="F3740" s="14"/>
      <c r="G3740" s="14"/>
      <c r="H3740" s="23"/>
      <c r="I3740" s="27"/>
      <c r="J3740" s="23"/>
      <c r="K3740" s="30"/>
      <c r="L3740" s="23"/>
      <c r="M3740" s="20"/>
      <c r="N3740" s="20"/>
      <c r="O3740" s="20"/>
      <c r="P3740" s="20"/>
    </row>
    <row r="3741">
      <c r="A3741" s="10"/>
      <c r="B3741" s="11"/>
      <c r="C3741" s="10"/>
      <c r="D3741" s="13"/>
      <c r="E3741" s="14"/>
      <c r="F3741" s="14"/>
      <c r="G3741" s="14"/>
      <c r="H3741" s="10"/>
      <c r="I3741" s="17"/>
      <c r="J3741" s="10"/>
      <c r="K3741" s="46"/>
      <c r="L3741" s="10"/>
      <c r="M3741" s="20"/>
      <c r="N3741" s="20"/>
      <c r="O3741" s="20"/>
      <c r="P3741" s="20"/>
    </row>
    <row r="3742">
      <c r="A3742" s="23"/>
      <c r="B3742" s="21"/>
      <c r="C3742" s="23"/>
      <c r="D3742" s="24"/>
      <c r="E3742" s="14"/>
      <c r="F3742" s="14"/>
      <c r="G3742" s="14"/>
      <c r="H3742" s="23"/>
      <c r="I3742" s="27"/>
      <c r="J3742" s="23"/>
      <c r="K3742" s="30"/>
      <c r="L3742" s="23"/>
      <c r="M3742" s="20"/>
      <c r="N3742" s="20"/>
      <c r="O3742" s="20"/>
      <c r="P3742" s="20"/>
    </row>
    <row r="3743">
      <c r="A3743" s="10"/>
      <c r="B3743" s="11"/>
      <c r="C3743" s="10"/>
      <c r="D3743" s="13"/>
      <c r="E3743" s="14"/>
      <c r="F3743" s="14"/>
      <c r="G3743" s="14"/>
      <c r="H3743" s="10"/>
      <c r="I3743" s="17"/>
      <c r="J3743" s="10"/>
      <c r="K3743" s="46"/>
      <c r="L3743" s="10"/>
      <c r="M3743" s="20"/>
      <c r="N3743" s="20"/>
      <c r="O3743" s="20"/>
      <c r="P3743" s="20"/>
    </row>
    <row r="3744">
      <c r="A3744" s="23"/>
      <c r="B3744" s="21"/>
      <c r="C3744" s="23"/>
      <c r="D3744" s="24"/>
      <c r="E3744" s="14"/>
      <c r="F3744" s="14"/>
      <c r="G3744" s="14"/>
      <c r="H3744" s="23"/>
      <c r="I3744" s="27"/>
      <c r="J3744" s="23"/>
      <c r="K3744" s="30"/>
      <c r="L3744" s="23"/>
      <c r="M3744" s="20"/>
      <c r="N3744" s="20"/>
      <c r="O3744" s="20"/>
      <c r="P3744" s="20"/>
    </row>
    <row r="3745">
      <c r="A3745" s="10"/>
      <c r="B3745" s="11"/>
      <c r="C3745" s="10"/>
      <c r="D3745" s="13"/>
      <c r="E3745" s="14"/>
      <c r="F3745" s="14"/>
      <c r="G3745" s="14"/>
      <c r="H3745" s="10"/>
      <c r="I3745" s="17"/>
      <c r="J3745" s="10"/>
      <c r="K3745" s="46"/>
      <c r="L3745" s="10"/>
      <c r="M3745" s="20"/>
      <c r="N3745" s="20"/>
      <c r="O3745" s="20"/>
      <c r="P3745" s="20"/>
    </row>
    <row r="3746">
      <c r="A3746" s="23"/>
      <c r="B3746" s="21"/>
      <c r="C3746" s="23"/>
      <c r="D3746" s="24"/>
      <c r="E3746" s="14"/>
      <c r="F3746" s="14"/>
      <c r="G3746" s="14"/>
      <c r="H3746" s="23"/>
      <c r="I3746" s="27"/>
      <c r="J3746" s="23"/>
      <c r="K3746" s="30"/>
      <c r="L3746" s="23"/>
      <c r="M3746" s="20"/>
      <c r="N3746" s="20"/>
      <c r="O3746" s="20"/>
      <c r="P3746" s="20"/>
    </row>
    <row r="3747">
      <c r="A3747" s="10"/>
      <c r="B3747" s="11"/>
      <c r="C3747" s="10"/>
      <c r="D3747" s="13"/>
      <c r="E3747" s="14"/>
      <c r="F3747" s="14"/>
      <c r="G3747" s="14"/>
      <c r="H3747" s="10"/>
      <c r="I3747" s="17"/>
      <c r="J3747" s="10"/>
      <c r="K3747" s="46"/>
      <c r="L3747" s="10"/>
      <c r="M3747" s="20"/>
      <c r="N3747" s="20"/>
      <c r="O3747" s="20"/>
      <c r="P3747" s="20"/>
    </row>
    <row r="3748">
      <c r="A3748" s="23"/>
      <c r="B3748" s="21"/>
      <c r="C3748" s="23"/>
      <c r="D3748" s="24"/>
      <c r="E3748" s="14"/>
      <c r="F3748" s="14"/>
      <c r="G3748" s="14"/>
      <c r="H3748" s="23"/>
      <c r="I3748" s="27"/>
      <c r="J3748" s="23"/>
      <c r="K3748" s="30"/>
      <c r="L3748" s="23"/>
      <c r="M3748" s="20"/>
      <c r="N3748" s="20"/>
      <c r="O3748" s="20"/>
      <c r="P3748" s="20"/>
    </row>
    <row r="3749">
      <c r="A3749" s="10"/>
      <c r="B3749" s="11"/>
      <c r="C3749" s="10"/>
      <c r="D3749" s="13"/>
      <c r="E3749" s="14"/>
      <c r="F3749" s="14"/>
      <c r="G3749" s="14"/>
      <c r="H3749" s="10"/>
      <c r="I3749" s="17"/>
      <c r="J3749" s="10"/>
      <c r="K3749" s="46"/>
      <c r="L3749" s="10"/>
      <c r="M3749" s="20"/>
      <c r="N3749" s="20"/>
      <c r="O3749" s="20"/>
      <c r="P3749" s="20"/>
    </row>
    <row r="3750">
      <c r="A3750" s="23"/>
      <c r="B3750" s="21"/>
      <c r="C3750" s="23"/>
      <c r="D3750" s="24"/>
      <c r="E3750" s="14"/>
      <c r="F3750" s="14"/>
      <c r="G3750" s="14"/>
      <c r="H3750" s="23"/>
      <c r="I3750" s="27"/>
      <c r="J3750" s="23"/>
      <c r="K3750" s="30"/>
      <c r="L3750" s="23"/>
      <c r="M3750" s="20"/>
      <c r="N3750" s="20"/>
      <c r="O3750" s="20"/>
      <c r="P3750" s="20"/>
    </row>
    <row r="3751">
      <c r="A3751" s="10"/>
      <c r="B3751" s="11"/>
      <c r="C3751" s="10"/>
      <c r="D3751" s="13"/>
      <c r="E3751" s="14"/>
      <c r="F3751" s="14"/>
      <c r="G3751" s="14"/>
      <c r="H3751" s="10"/>
      <c r="I3751" s="17"/>
      <c r="J3751" s="10"/>
      <c r="K3751" s="46"/>
      <c r="L3751" s="10"/>
      <c r="M3751" s="20"/>
      <c r="N3751" s="20"/>
      <c r="O3751" s="20"/>
      <c r="P3751" s="20"/>
    </row>
    <row r="3752">
      <c r="A3752" s="23"/>
      <c r="B3752" s="21"/>
      <c r="C3752" s="23"/>
      <c r="D3752" s="24"/>
      <c r="E3752" s="14"/>
      <c r="F3752" s="14"/>
      <c r="G3752" s="14"/>
      <c r="H3752" s="23"/>
      <c r="I3752" s="27"/>
      <c r="J3752" s="23"/>
      <c r="K3752" s="30"/>
      <c r="L3752" s="23"/>
      <c r="M3752" s="20"/>
      <c r="N3752" s="20"/>
      <c r="O3752" s="20"/>
      <c r="P3752" s="20"/>
    </row>
    <row r="3753">
      <c r="A3753" s="10"/>
      <c r="B3753" s="11"/>
      <c r="C3753" s="10"/>
      <c r="D3753" s="13"/>
      <c r="E3753" s="14"/>
      <c r="F3753" s="14"/>
      <c r="G3753" s="14"/>
      <c r="H3753" s="10"/>
      <c r="I3753" s="17"/>
      <c r="J3753" s="10"/>
      <c r="K3753" s="46"/>
      <c r="L3753" s="10"/>
      <c r="M3753" s="20"/>
      <c r="N3753" s="20"/>
      <c r="O3753" s="20"/>
      <c r="P3753" s="20"/>
    </row>
    <row r="3754">
      <c r="A3754" s="23"/>
      <c r="B3754" s="21"/>
      <c r="C3754" s="23"/>
      <c r="D3754" s="24"/>
      <c r="E3754" s="14"/>
      <c r="F3754" s="14"/>
      <c r="G3754" s="14"/>
      <c r="H3754" s="23"/>
      <c r="I3754" s="27"/>
      <c r="J3754" s="23"/>
      <c r="K3754" s="30"/>
      <c r="L3754" s="23"/>
      <c r="M3754" s="20"/>
      <c r="N3754" s="20"/>
      <c r="O3754" s="20"/>
      <c r="P3754" s="20"/>
    </row>
    <row r="3755">
      <c r="A3755" s="10"/>
      <c r="B3755" s="11"/>
      <c r="C3755" s="10"/>
      <c r="D3755" s="13"/>
      <c r="E3755" s="14"/>
      <c r="F3755" s="14"/>
      <c r="G3755" s="14"/>
      <c r="H3755" s="10"/>
      <c r="I3755" s="17"/>
      <c r="J3755" s="10"/>
      <c r="K3755" s="46"/>
      <c r="L3755" s="10"/>
      <c r="M3755" s="20"/>
      <c r="N3755" s="20"/>
      <c r="O3755" s="20"/>
      <c r="P3755" s="20"/>
    </row>
    <row r="3756">
      <c r="A3756" s="23"/>
      <c r="B3756" s="21"/>
      <c r="C3756" s="23"/>
      <c r="D3756" s="24"/>
      <c r="E3756" s="14"/>
      <c r="F3756" s="14"/>
      <c r="G3756" s="14"/>
      <c r="H3756" s="23"/>
      <c r="I3756" s="27"/>
      <c r="J3756" s="23"/>
      <c r="K3756" s="30"/>
      <c r="L3756" s="23"/>
      <c r="M3756" s="20"/>
      <c r="N3756" s="20"/>
      <c r="O3756" s="20"/>
      <c r="P3756" s="20"/>
    </row>
    <row r="3757">
      <c r="A3757" s="10"/>
      <c r="B3757" s="11"/>
      <c r="C3757" s="10"/>
      <c r="D3757" s="13"/>
      <c r="E3757" s="14"/>
      <c r="F3757" s="14"/>
      <c r="G3757" s="14"/>
      <c r="H3757" s="10"/>
      <c r="I3757" s="17"/>
      <c r="J3757" s="10"/>
      <c r="K3757" s="46"/>
      <c r="L3757" s="10"/>
      <c r="M3757" s="20"/>
      <c r="N3757" s="20"/>
      <c r="O3757" s="20"/>
      <c r="P3757" s="20"/>
    </row>
    <row r="3758">
      <c r="A3758" s="23"/>
      <c r="B3758" s="21"/>
      <c r="C3758" s="23"/>
      <c r="D3758" s="24"/>
      <c r="E3758" s="14"/>
      <c r="F3758" s="14"/>
      <c r="G3758" s="14"/>
      <c r="H3758" s="23"/>
      <c r="I3758" s="27"/>
      <c r="J3758" s="23"/>
      <c r="K3758" s="30"/>
      <c r="L3758" s="23"/>
      <c r="M3758" s="20"/>
      <c r="N3758" s="20"/>
      <c r="O3758" s="20"/>
      <c r="P3758" s="20"/>
    </row>
    <row r="3759">
      <c r="A3759" s="10"/>
      <c r="B3759" s="11"/>
      <c r="C3759" s="10"/>
      <c r="D3759" s="13"/>
      <c r="E3759" s="14"/>
      <c r="F3759" s="14"/>
      <c r="G3759" s="14"/>
      <c r="H3759" s="10"/>
      <c r="I3759" s="17"/>
      <c r="J3759" s="10"/>
      <c r="K3759" s="46"/>
      <c r="L3759" s="10"/>
      <c r="M3759" s="20"/>
      <c r="N3759" s="20"/>
      <c r="O3759" s="20"/>
      <c r="P3759" s="20"/>
    </row>
    <row r="3760">
      <c r="A3760" s="23"/>
      <c r="B3760" s="21"/>
      <c r="C3760" s="23"/>
      <c r="D3760" s="24"/>
      <c r="E3760" s="14"/>
      <c r="F3760" s="14"/>
      <c r="G3760" s="14"/>
      <c r="H3760" s="23"/>
      <c r="I3760" s="27"/>
      <c r="J3760" s="23"/>
      <c r="K3760" s="30"/>
      <c r="L3760" s="23"/>
      <c r="M3760" s="20"/>
      <c r="N3760" s="20"/>
      <c r="O3760" s="20"/>
      <c r="P3760" s="20"/>
    </row>
    <row r="3761">
      <c r="A3761" s="10"/>
      <c r="B3761" s="11"/>
      <c r="C3761" s="10"/>
      <c r="D3761" s="13"/>
      <c r="E3761" s="14"/>
      <c r="F3761" s="14"/>
      <c r="G3761" s="14"/>
      <c r="H3761" s="10"/>
      <c r="I3761" s="17"/>
      <c r="J3761" s="10"/>
      <c r="K3761" s="46"/>
      <c r="L3761" s="10"/>
      <c r="M3761" s="20"/>
      <c r="N3761" s="20"/>
      <c r="O3761" s="20"/>
      <c r="P3761" s="20"/>
    </row>
    <row r="3762">
      <c r="A3762" s="23"/>
      <c r="B3762" s="21"/>
      <c r="C3762" s="23"/>
      <c r="D3762" s="24"/>
      <c r="E3762" s="14"/>
      <c r="F3762" s="14"/>
      <c r="G3762" s="14"/>
      <c r="H3762" s="23"/>
      <c r="I3762" s="27"/>
      <c r="J3762" s="23"/>
      <c r="K3762" s="30"/>
      <c r="L3762" s="23"/>
      <c r="M3762" s="20"/>
      <c r="N3762" s="20"/>
      <c r="O3762" s="20"/>
      <c r="P3762" s="20"/>
    </row>
    <row r="3763">
      <c r="A3763" s="10"/>
      <c r="B3763" s="11"/>
      <c r="C3763" s="10"/>
      <c r="D3763" s="13"/>
      <c r="E3763" s="14"/>
      <c r="F3763" s="14"/>
      <c r="G3763" s="14"/>
      <c r="H3763" s="10"/>
      <c r="I3763" s="17"/>
      <c r="J3763" s="10"/>
      <c r="K3763" s="46"/>
      <c r="L3763" s="10"/>
      <c r="M3763" s="20"/>
      <c r="N3763" s="20"/>
      <c r="O3763" s="20"/>
      <c r="P3763" s="20"/>
    </row>
    <row r="3764">
      <c r="A3764" s="23"/>
      <c r="B3764" s="21"/>
      <c r="C3764" s="23"/>
      <c r="D3764" s="24"/>
      <c r="E3764" s="14"/>
      <c r="F3764" s="14"/>
      <c r="G3764" s="14"/>
      <c r="H3764" s="23"/>
      <c r="I3764" s="27"/>
      <c r="J3764" s="23"/>
      <c r="K3764" s="30"/>
      <c r="L3764" s="23"/>
      <c r="M3764" s="20"/>
      <c r="N3764" s="20"/>
      <c r="O3764" s="20"/>
      <c r="P3764" s="20"/>
    </row>
    <row r="3765">
      <c r="A3765" s="10"/>
      <c r="B3765" s="11"/>
      <c r="C3765" s="10"/>
      <c r="D3765" s="13"/>
      <c r="E3765" s="14"/>
      <c r="F3765" s="14"/>
      <c r="G3765" s="14"/>
      <c r="H3765" s="10"/>
      <c r="I3765" s="17"/>
      <c r="J3765" s="10"/>
      <c r="K3765" s="46"/>
      <c r="L3765" s="10"/>
      <c r="M3765" s="20"/>
      <c r="N3765" s="20"/>
      <c r="O3765" s="20"/>
      <c r="P3765" s="20"/>
    </row>
    <row r="3766">
      <c r="A3766" s="23"/>
      <c r="B3766" s="21"/>
      <c r="C3766" s="23"/>
      <c r="D3766" s="24"/>
      <c r="E3766" s="14"/>
      <c r="F3766" s="14"/>
      <c r="G3766" s="14"/>
      <c r="H3766" s="23"/>
      <c r="I3766" s="27"/>
      <c r="J3766" s="23"/>
      <c r="K3766" s="30"/>
      <c r="L3766" s="23"/>
      <c r="M3766" s="20"/>
      <c r="N3766" s="20"/>
      <c r="O3766" s="20"/>
      <c r="P3766" s="20"/>
    </row>
    <row r="3767">
      <c r="A3767" s="10"/>
      <c r="B3767" s="11"/>
      <c r="C3767" s="10"/>
      <c r="D3767" s="13"/>
      <c r="E3767" s="14"/>
      <c r="F3767" s="14"/>
      <c r="G3767" s="14"/>
      <c r="H3767" s="10"/>
      <c r="I3767" s="17"/>
      <c r="J3767" s="10"/>
      <c r="K3767" s="46"/>
      <c r="L3767" s="10"/>
      <c r="M3767" s="20"/>
      <c r="N3767" s="20"/>
      <c r="O3767" s="20"/>
      <c r="P3767" s="20"/>
    </row>
    <row r="3768">
      <c r="A3768" s="23"/>
      <c r="B3768" s="21"/>
      <c r="C3768" s="23"/>
      <c r="D3768" s="24"/>
      <c r="E3768" s="14"/>
      <c r="F3768" s="14"/>
      <c r="G3768" s="14"/>
      <c r="H3768" s="23"/>
      <c r="I3768" s="27"/>
      <c r="J3768" s="23"/>
      <c r="K3768" s="30"/>
      <c r="L3768" s="23"/>
      <c r="M3768" s="20"/>
      <c r="N3768" s="20"/>
      <c r="O3768" s="20"/>
      <c r="P3768" s="20"/>
    </row>
    <row r="3769">
      <c r="A3769" s="10"/>
      <c r="B3769" s="11"/>
      <c r="C3769" s="10"/>
      <c r="D3769" s="13"/>
      <c r="E3769" s="14"/>
      <c r="F3769" s="14"/>
      <c r="G3769" s="14"/>
      <c r="H3769" s="10"/>
      <c r="I3769" s="17"/>
      <c r="J3769" s="10"/>
      <c r="K3769" s="46"/>
      <c r="L3769" s="10"/>
      <c r="M3769" s="20"/>
      <c r="N3769" s="20"/>
      <c r="O3769" s="20"/>
      <c r="P3769" s="20"/>
    </row>
    <row r="3770">
      <c r="A3770" s="23"/>
      <c r="B3770" s="21"/>
      <c r="C3770" s="23"/>
      <c r="D3770" s="24"/>
      <c r="E3770" s="14"/>
      <c r="F3770" s="14"/>
      <c r="G3770" s="14"/>
      <c r="H3770" s="23"/>
      <c r="I3770" s="27"/>
      <c r="J3770" s="23"/>
      <c r="K3770" s="30"/>
      <c r="L3770" s="23"/>
      <c r="M3770" s="20"/>
      <c r="N3770" s="20"/>
      <c r="O3770" s="20"/>
      <c r="P3770" s="20"/>
    </row>
    <row r="3771">
      <c r="A3771" s="10"/>
      <c r="B3771" s="11"/>
      <c r="C3771" s="10"/>
      <c r="D3771" s="13"/>
      <c r="E3771" s="14"/>
      <c r="F3771" s="14"/>
      <c r="G3771" s="14"/>
      <c r="H3771" s="10"/>
      <c r="I3771" s="17"/>
      <c r="J3771" s="10"/>
      <c r="K3771" s="46"/>
      <c r="L3771" s="10"/>
      <c r="M3771" s="20"/>
      <c r="N3771" s="20"/>
      <c r="O3771" s="20"/>
      <c r="P3771" s="20"/>
    </row>
    <row r="3772">
      <c r="A3772" s="23"/>
      <c r="B3772" s="21"/>
      <c r="C3772" s="23"/>
      <c r="D3772" s="24"/>
      <c r="E3772" s="14"/>
      <c r="F3772" s="14"/>
      <c r="G3772" s="14"/>
      <c r="H3772" s="23"/>
      <c r="I3772" s="27"/>
      <c r="J3772" s="23"/>
      <c r="K3772" s="30"/>
      <c r="L3772" s="23"/>
      <c r="M3772" s="20"/>
      <c r="N3772" s="20"/>
      <c r="O3772" s="20"/>
      <c r="P3772" s="20"/>
    </row>
    <row r="3773">
      <c r="A3773" s="10"/>
      <c r="B3773" s="11"/>
      <c r="C3773" s="10"/>
      <c r="D3773" s="13"/>
      <c r="E3773" s="14"/>
      <c r="F3773" s="14"/>
      <c r="G3773" s="14"/>
      <c r="H3773" s="10"/>
      <c r="I3773" s="17"/>
      <c r="J3773" s="10"/>
      <c r="K3773" s="46"/>
      <c r="L3773" s="10"/>
      <c r="M3773" s="20"/>
      <c r="N3773" s="20"/>
      <c r="O3773" s="20"/>
      <c r="P3773" s="20"/>
    </row>
    <row r="3774">
      <c r="A3774" s="23"/>
      <c r="B3774" s="21"/>
      <c r="C3774" s="23"/>
      <c r="D3774" s="24"/>
      <c r="E3774" s="14"/>
      <c r="F3774" s="14"/>
      <c r="G3774" s="14"/>
      <c r="H3774" s="23"/>
      <c r="I3774" s="27"/>
      <c r="J3774" s="23"/>
      <c r="K3774" s="30"/>
      <c r="L3774" s="23"/>
      <c r="M3774" s="20"/>
      <c r="N3774" s="20"/>
      <c r="O3774" s="20"/>
      <c r="P3774" s="20"/>
    </row>
    <row r="3775">
      <c r="A3775" s="10"/>
      <c r="B3775" s="11"/>
      <c r="C3775" s="10"/>
      <c r="D3775" s="13"/>
      <c r="E3775" s="14"/>
      <c r="F3775" s="14"/>
      <c r="G3775" s="14"/>
      <c r="H3775" s="10"/>
      <c r="I3775" s="17"/>
      <c r="J3775" s="10"/>
      <c r="K3775" s="46"/>
      <c r="L3775" s="10"/>
      <c r="M3775" s="20"/>
      <c r="N3775" s="20"/>
      <c r="O3775" s="20"/>
      <c r="P3775" s="20"/>
    </row>
    <row r="3776">
      <c r="A3776" s="23"/>
      <c r="B3776" s="21"/>
      <c r="C3776" s="23"/>
      <c r="D3776" s="24"/>
      <c r="E3776" s="14"/>
      <c r="F3776" s="14"/>
      <c r="G3776" s="14"/>
      <c r="H3776" s="23"/>
      <c r="I3776" s="27"/>
      <c r="J3776" s="23"/>
      <c r="K3776" s="30"/>
      <c r="L3776" s="23"/>
      <c r="M3776" s="20"/>
      <c r="N3776" s="20"/>
      <c r="O3776" s="20"/>
      <c r="P3776" s="20"/>
    </row>
    <row r="3777">
      <c r="A3777" s="10"/>
      <c r="B3777" s="11"/>
      <c r="C3777" s="10"/>
      <c r="D3777" s="13"/>
      <c r="E3777" s="14"/>
      <c r="F3777" s="14"/>
      <c r="G3777" s="14"/>
      <c r="H3777" s="10"/>
      <c r="I3777" s="17"/>
      <c r="J3777" s="10"/>
      <c r="K3777" s="46"/>
      <c r="L3777" s="10"/>
      <c r="M3777" s="20"/>
      <c r="N3777" s="20"/>
      <c r="O3777" s="20"/>
      <c r="P3777" s="20"/>
    </row>
    <row r="3778">
      <c r="A3778" s="23"/>
      <c r="B3778" s="21"/>
      <c r="C3778" s="23"/>
      <c r="D3778" s="24"/>
      <c r="E3778" s="14"/>
      <c r="F3778" s="14"/>
      <c r="G3778" s="14"/>
      <c r="H3778" s="23"/>
      <c r="I3778" s="27"/>
      <c r="J3778" s="23"/>
      <c r="K3778" s="30"/>
      <c r="L3778" s="23"/>
      <c r="M3778" s="20"/>
      <c r="N3778" s="20"/>
      <c r="O3778" s="20"/>
      <c r="P3778" s="20"/>
    </row>
    <row r="3779">
      <c r="A3779" s="10"/>
      <c r="B3779" s="11"/>
      <c r="C3779" s="10"/>
      <c r="D3779" s="13"/>
      <c r="E3779" s="14"/>
      <c r="F3779" s="14"/>
      <c r="G3779" s="14"/>
      <c r="H3779" s="10"/>
      <c r="I3779" s="17"/>
      <c r="J3779" s="10"/>
      <c r="K3779" s="46"/>
      <c r="L3779" s="10"/>
      <c r="M3779" s="20"/>
      <c r="N3779" s="20"/>
      <c r="O3779" s="20"/>
      <c r="P3779" s="20"/>
    </row>
    <row r="3780">
      <c r="A3780" s="23"/>
      <c r="B3780" s="21"/>
      <c r="C3780" s="23"/>
      <c r="D3780" s="24"/>
      <c r="E3780" s="14"/>
      <c r="F3780" s="14"/>
      <c r="G3780" s="14"/>
      <c r="H3780" s="23"/>
      <c r="I3780" s="27"/>
      <c r="J3780" s="23"/>
      <c r="K3780" s="30"/>
      <c r="L3780" s="23"/>
      <c r="M3780" s="20"/>
      <c r="N3780" s="20"/>
      <c r="O3780" s="20"/>
      <c r="P3780" s="20"/>
    </row>
    <row r="3781">
      <c r="A3781" s="10"/>
      <c r="B3781" s="11"/>
      <c r="C3781" s="10"/>
      <c r="D3781" s="13"/>
      <c r="E3781" s="14"/>
      <c r="F3781" s="14"/>
      <c r="G3781" s="14"/>
      <c r="H3781" s="10"/>
      <c r="I3781" s="17"/>
      <c r="J3781" s="10"/>
      <c r="K3781" s="46"/>
      <c r="L3781" s="10"/>
      <c r="M3781" s="20"/>
      <c r="N3781" s="20"/>
      <c r="O3781" s="20"/>
      <c r="P3781" s="20"/>
    </row>
    <row r="3782">
      <c r="A3782" s="23"/>
      <c r="B3782" s="21"/>
      <c r="C3782" s="23"/>
      <c r="D3782" s="24"/>
      <c r="E3782" s="14"/>
      <c r="F3782" s="14"/>
      <c r="G3782" s="14"/>
      <c r="H3782" s="23"/>
      <c r="I3782" s="27"/>
      <c r="J3782" s="23"/>
      <c r="K3782" s="30"/>
      <c r="L3782" s="23"/>
      <c r="M3782" s="20"/>
      <c r="N3782" s="20"/>
      <c r="O3782" s="20"/>
      <c r="P3782" s="20"/>
    </row>
    <row r="3783">
      <c r="A3783" s="10"/>
      <c r="B3783" s="11"/>
      <c r="C3783" s="10"/>
      <c r="D3783" s="13"/>
      <c r="E3783" s="14"/>
      <c r="F3783" s="14"/>
      <c r="G3783" s="14"/>
      <c r="H3783" s="10"/>
      <c r="I3783" s="17"/>
      <c r="J3783" s="10"/>
      <c r="K3783" s="46"/>
      <c r="L3783" s="10"/>
      <c r="M3783" s="20"/>
      <c r="N3783" s="20"/>
      <c r="O3783" s="20"/>
      <c r="P3783" s="20"/>
    </row>
    <row r="3784">
      <c r="A3784" s="23"/>
      <c r="B3784" s="21"/>
      <c r="C3784" s="23"/>
      <c r="D3784" s="24"/>
      <c r="E3784" s="14"/>
      <c r="F3784" s="14"/>
      <c r="G3784" s="14"/>
      <c r="H3784" s="23"/>
      <c r="I3784" s="27"/>
      <c r="J3784" s="23"/>
      <c r="K3784" s="30"/>
      <c r="L3784" s="23"/>
      <c r="M3784" s="20"/>
      <c r="N3784" s="20"/>
      <c r="O3784" s="20"/>
      <c r="P3784" s="20"/>
    </row>
    <row r="3785">
      <c r="A3785" s="10"/>
      <c r="B3785" s="11"/>
      <c r="C3785" s="10"/>
      <c r="D3785" s="13"/>
      <c r="E3785" s="14"/>
      <c r="F3785" s="14"/>
      <c r="G3785" s="14"/>
      <c r="H3785" s="10"/>
      <c r="I3785" s="17"/>
      <c r="J3785" s="10"/>
      <c r="K3785" s="46"/>
      <c r="L3785" s="10"/>
      <c r="M3785" s="20"/>
      <c r="N3785" s="20"/>
      <c r="O3785" s="20"/>
      <c r="P3785" s="20"/>
    </row>
    <row r="3786">
      <c r="A3786" s="23"/>
      <c r="B3786" s="21"/>
      <c r="C3786" s="23"/>
      <c r="D3786" s="24"/>
      <c r="E3786" s="14"/>
      <c r="F3786" s="14"/>
      <c r="G3786" s="14"/>
      <c r="H3786" s="23"/>
      <c r="I3786" s="27"/>
      <c r="J3786" s="23"/>
      <c r="K3786" s="30"/>
      <c r="L3786" s="23"/>
      <c r="M3786" s="20"/>
      <c r="N3786" s="20"/>
      <c r="O3786" s="20"/>
      <c r="P3786" s="20"/>
    </row>
    <row r="3787">
      <c r="A3787" s="10"/>
      <c r="B3787" s="11"/>
      <c r="C3787" s="10"/>
      <c r="D3787" s="13"/>
      <c r="E3787" s="14"/>
      <c r="F3787" s="14"/>
      <c r="G3787" s="14"/>
      <c r="H3787" s="10"/>
      <c r="I3787" s="17"/>
      <c r="J3787" s="10"/>
      <c r="K3787" s="46"/>
      <c r="L3787" s="10"/>
      <c r="M3787" s="20"/>
      <c r="N3787" s="20"/>
      <c r="O3787" s="20"/>
      <c r="P3787" s="20"/>
    </row>
    <row r="3788">
      <c r="A3788" s="23"/>
      <c r="B3788" s="21"/>
      <c r="C3788" s="23"/>
      <c r="D3788" s="24"/>
      <c r="E3788" s="14"/>
      <c r="F3788" s="14"/>
      <c r="G3788" s="14"/>
      <c r="H3788" s="23"/>
      <c r="I3788" s="27"/>
      <c r="J3788" s="23"/>
      <c r="K3788" s="30"/>
      <c r="L3788" s="23"/>
      <c r="M3788" s="20"/>
      <c r="N3788" s="20"/>
      <c r="O3788" s="20"/>
      <c r="P3788" s="20"/>
    </row>
    <row r="3789">
      <c r="A3789" s="10"/>
      <c r="B3789" s="11"/>
      <c r="C3789" s="10"/>
      <c r="D3789" s="13"/>
      <c r="E3789" s="14"/>
      <c r="F3789" s="14"/>
      <c r="G3789" s="14"/>
      <c r="H3789" s="10"/>
      <c r="I3789" s="17"/>
      <c r="J3789" s="10"/>
      <c r="K3789" s="46"/>
      <c r="L3789" s="10"/>
      <c r="M3789" s="20"/>
      <c r="N3789" s="20"/>
      <c r="O3789" s="20"/>
      <c r="P3789" s="20"/>
    </row>
    <row r="3790">
      <c r="A3790" s="23"/>
      <c r="B3790" s="21"/>
      <c r="C3790" s="23"/>
      <c r="D3790" s="24"/>
      <c r="E3790" s="14"/>
      <c r="F3790" s="14"/>
      <c r="G3790" s="14"/>
      <c r="H3790" s="23"/>
      <c r="I3790" s="27"/>
      <c r="J3790" s="23"/>
      <c r="K3790" s="30"/>
      <c r="L3790" s="23"/>
      <c r="M3790" s="20"/>
      <c r="N3790" s="20"/>
      <c r="O3790" s="20"/>
      <c r="P3790" s="20"/>
    </row>
    <row r="3791">
      <c r="A3791" s="10"/>
      <c r="B3791" s="11"/>
      <c r="C3791" s="10"/>
      <c r="D3791" s="13"/>
      <c r="E3791" s="14"/>
      <c r="F3791" s="14"/>
      <c r="G3791" s="14"/>
      <c r="H3791" s="10"/>
      <c r="I3791" s="17"/>
      <c r="J3791" s="10"/>
      <c r="K3791" s="46"/>
      <c r="L3791" s="10"/>
      <c r="M3791" s="20"/>
      <c r="N3791" s="20"/>
      <c r="O3791" s="20"/>
      <c r="P3791" s="20"/>
    </row>
    <row r="3792">
      <c r="A3792" s="23"/>
      <c r="B3792" s="21"/>
      <c r="C3792" s="23"/>
      <c r="D3792" s="24"/>
      <c r="E3792" s="14"/>
      <c r="F3792" s="14"/>
      <c r="G3792" s="14"/>
      <c r="H3792" s="23"/>
      <c r="I3792" s="27"/>
      <c r="J3792" s="23"/>
      <c r="K3792" s="30"/>
      <c r="L3792" s="23"/>
      <c r="M3792" s="20"/>
      <c r="N3792" s="20"/>
      <c r="O3792" s="20"/>
      <c r="P3792" s="20"/>
    </row>
    <row r="3793">
      <c r="A3793" s="10"/>
      <c r="B3793" s="11"/>
      <c r="C3793" s="10"/>
      <c r="D3793" s="13"/>
      <c r="E3793" s="14"/>
      <c r="F3793" s="14"/>
      <c r="G3793" s="14"/>
      <c r="H3793" s="10"/>
      <c r="I3793" s="17"/>
      <c r="J3793" s="10"/>
      <c r="K3793" s="46"/>
      <c r="L3793" s="10"/>
      <c r="M3793" s="20"/>
      <c r="N3793" s="20"/>
      <c r="O3793" s="20"/>
      <c r="P3793" s="20"/>
    </row>
    <row r="3794">
      <c r="A3794" s="23"/>
      <c r="B3794" s="21"/>
      <c r="C3794" s="23"/>
      <c r="D3794" s="24"/>
      <c r="E3794" s="14"/>
      <c r="F3794" s="14"/>
      <c r="G3794" s="14"/>
      <c r="H3794" s="23"/>
      <c r="I3794" s="27"/>
      <c r="J3794" s="23"/>
      <c r="K3794" s="30"/>
      <c r="L3794" s="23"/>
      <c r="M3794" s="20"/>
      <c r="N3794" s="20"/>
      <c r="O3794" s="20"/>
      <c r="P3794" s="20"/>
    </row>
    <row r="3795">
      <c r="A3795" s="10"/>
      <c r="B3795" s="11"/>
      <c r="C3795" s="10"/>
      <c r="D3795" s="13"/>
      <c r="E3795" s="14"/>
      <c r="F3795" s="14"/>
      <c r="G3795" s="14"/>
      <c r="H3795" s="10"/>
      <c r="I3795" s="17"/>
      <c r="J3795" s="10"/>
      <c r="K3795" s="46"/>
      <c r="L3795" s="10"/>
      <c r="M3795" s="20"/>
      <c r="N3795" s="20"/>
      <c r="O3795" s="20"/>
      <c r="P3795" s="20"/>
    </row>
    <row r="3796">
      <c r="A3796" s="23"/>
      <c r="B3796" s="21"/>
      <c r="C3796" s="23"/>
      <c r="D3796" s="24"/>
      <c r="E3796" s="14"/>
      <c r="F3796" s="14"/>
      <c r="G3796" s="14"/>
      <c r="H3796" s="23"/>
      <c r="I3796" s="27"/>
      <c r="J3796" s="23"/>
      <c r="K3796" s="30"/>
      <c r="L3796" s="23"/>
      <c r="M3796" s="20"/>
      <c r="N3796" s="20"/>
      <c r="O3796" s="20"/>
      <c r="P3796" s="20"/>
    </row>
    <row r="3797">
      <c r="A3797" s="10"/>
      <c r="B3797" s="11"/>
      <c r="C3797" s="10"/>
      <c r="D3797" s="13"/>
      <c r="E3797" s="14"/>
      <c r="F3797" s="14"/>
      <c r="G3797" s="14"/>
      <c r="H3797" s="10"/>
      <c r="I3797" s="17"/>
      <c r="J3797" s="10"/>
      <c r="K3797" s="46"/>
      <c r="L3797" s="10"/>
      <c r="M3797" s="20"/>
      <c r="N3797" s="20"/>
      <c r="O3797" s="20"/>
      <c r="P3797" s="20"/>
    </row>
    <row r="3798">
      <c r="A3798" s="23"/>
      <c r="B3798" s="21"/>
      <c r="C3798" s="23"/>
      <c r="D3798" s="24"/>
      <c r="E3798" s="14"/>
      <c r="F3798" s="14"/>
      <c r="G3798" s="14"/>
      <c r="H3798" s="23"/>
      <c r="I3798" s="27"/>
      <c r="J3798" s="23"/>
      <c r="K3798" s="30"/>
      <c r="L3798" s="23"/>
      <c r="M3798" s="20"/>
      <c r="N3798" s="20"/>
      <c r="O3798" s="20"/>
      <c r="P3798" s="20"/>
    </row>
    <row r="3799">
      <c r="A3799" s="10"/>
      <c r="B3799" s="11"/>
      <c r="C3799" s="10"/>
      <c r="D3799" s="13"/>
      <c r="E3799" s="14"/>
      <c r="F3799" s="14"/>
      <c r="G3799" s="14"/>
      <c r="H3799" s="10"/>
      <c r="I3799" s="17"/>
      <c r="J3799" s="10"/>
      <c r="K3799" s="46"/>
      <c r="L3799" s="10"/>
      <c r="M3799" s="20"/>
      <c r="N3799" s="20"/>
      <c r="O3799" s="20"/>
      <c r="P3799" s="20"/>
    </row>
    <row r="3800">
      <c r="A3800" s="23"/>
      <c r="B3800" s="21"/>
      <c r="C3800" s="23"/>
      <c r="D3800" s="24"/>
      <c r="E3800" s="14"/>
      <c r="F3800" s="14"/>
      <c r="G3800" s="14"/>
      <c r="H3800" s="23"/>
      <c r="I3800" s="27"/>
      <c r="J3800" s="23"/>
      <c r="K3800" s="30"/>
      <c r="L3800" s="23"/>
      <c r="M3800" s="20"/>
      <c r="N3800" s="20"/>
      <c r="O3800" s="20"/>
      <c r="P3800" s="20"/>
    </row>
    <row r="3801">
      <c r="A3801" s="10"/>
      <c r="B3801" s="11"/>
      <c r="C3801" s="10"/>
      <c r="D3801" s="13"/>
      <c r="E3801" s="14"/>
      <c r="F3801" s="14"/>
      <c r="G3801" s="14"/>
      <c r="H3801" s="10"/>
      <c r="I3801" s="17"/>
      <c r="J3801" s="10"/>
      <c r="K3801" s="46"/>
      <c r="L3801" s="10"/>
      <c r="M3801" s="20"/>
      <c r="N3801" s="20"/>
      <c r="O3801" s="20"/>
      <c r="P3801" s="20"/>
    </row>
    <row r="3802">
      <c r="A3802" s="23"/>
      <c r="B3802" s="21"/>
      <c r="C3802" s="23"/>
      <c r="D3802" s="24"/>
      <c r="E3802" s="14"/>
      <c r="F3802" s="14"/>
      <c r="G3802" s="14"/>
      <c r="H3802" s="23"/>
      <c r="I3802" s="27"/>
      <c r="J3802" s="23"/>
      <c r="K3802" s="30"/>
      <c r="L3802" s="23"/>
      <c r="M3802" s="20"/>
      <c r="N3802" s="20"/>
      <c r="O3802" s="20"/>
      <c r="P3802" s="20"/>
    </row>
    <row r="3803">
      <c r="A3803" s="10"/>
      <c r="B3803" s="11"/>
      <c r="C3803" s="10"/>
      <c r="D3803" s="13"/>
      <c r="E3803" s="14"/>
      <c r="F3803" s="14"/>
      <c r="G3803" s="14"/>
      <c r="H3803" s="10"/>
      <c r="I3803" s="17"/>
      <c r="J3803" s="10"/>
      <c r="K3803" s="46"/>
      <c r="L3803" s="10"/>
      <c r="M3803" s="20"/>
      <c r="N3803" s="20"/>
      <c r="O3803" s="20"/>
      <c r="P3803" s="20"/>
    </row>
    <row r="3804">
      <c r="A3804" s="23"/>
      <c r="B3804" s="21"/>
      <c r="C3804" s="23"/>
      <c r="D3804" s="24"/>
      <c r="E3804" s="14"/>
      <c r="F3804" s="14"/>
      <c r="G3804" s="14"/>
      <c r="H3804" s="23"/>
      <c r="I3804" s="27"/>
      <c r="J3804" s="23"/>
      <c r="K3804" s="30"/>
      <c r="L3804" s="23"/>
      <c r="M3804" s="20"/>
      <c r="N3804" s="20"/>
      <c r="O3804" s="20"/>
      <c r="P3804" s="20"/>
    </row>
    <row r="3805">
      <c r="A3805" s="10"/>
      <c r="B3805" s="11"/>
      <c r="C3805" s="10"/>
      <c r="D3805" s="13"/>
      <c r="E3805" s="14"/>
      <c r="F3805" s="14"/>
      <c r="G3805" s="14"/>
      <c r="H3805" s="10"/>
      <c r="I3805" s="17"/>
      <c r="J3805" s="10"/>
      <c r="K3805" s="46"/>
      <c r="L3805" s="10"/>
      <c r="M3805" s="20"/>
      <c r="N3805" s="20"/>
      <c r="O3805" s="20"/>
      <c r="P3805" s="20"/>
    </row>
    <row r="3806">
      <c r="A3806" s="23"/>
      <c r="B3806" s="21"/>
      <c r="C3806" s="23"/>
      <c r="D3806" s="24"/>
      <c r="E3806" s="14"/>
      <c r="F3806" s="14"/>
      <c r="G3806" s="14"/>
      <c r="H3806" s="23"/>
      <c r="I3806" s="27"/>
      <c r="J3806" s="23"/>
      <c r="K3806" s="30"/>
      <c r="L3806" s="23"/>
      <c r="M3806" s="20"/>
      <c r="N3806" s="20"/>
      <c r="O3806" s="20"/>
      <c r="P3806" s="20"/>
    </row>
    <row r="3807">
      <c r="A3807" s="10"/>
      <c r="B3807" s="11"/>
      <c r="C3807" s="10"/>
      <c r="D3807" s="13"/>
      <c r="E3807" s="14"/>
      <c r="F3807" s="14"/>
      <c r="G3807" s="14"/>
      <c r="H3807" s="10"/>
      <c r="I3807" s="17"/>
      <c r="J3807" s="10"/>
      <c r="K3807" s="46"/>
      <c r="L3807" s="10"/>
      <c r="M3807" s="20"/>
      <c r="N3807" s="20"/>
      <c r="O3807" s="20"/>
      <c r="P3807" s="20"/>
    </row>
    <row r="3808">
      <c r="A3808" s="23"/>
      <c r="B3808" s="21"/>
      <c r="C3808" s="23"/>
      <c r="D3808" s="24"/>
      <c r="E3808" s="14"/>
      <c r="F3808" s="14"/>
      <c r="G3808" s="14"/>
      <c r="H3808" s="23"/>
      <c r="I3808" s="27"/>
      <c r="J3808" s="23"/>
      <c r="K3808" s="30"/>
      <c r="L3808" s="23"/>
      <c r="M3808" s="20"/>
      <c r="N3808" s="20"/>
      <c r="O3808" s="20"/>
      <c r="P3808" s="20"/>
    </row>
    <row r="3809">
      <c r="A3809" s="10"/>
      <c r="B3809" s="11"/>
      <c r="C3809" s="10"/>
      <c r="D3809" s="13"/>
      <c r="E3809" s="14"/>
      <c r="F3809" s="14"/>
      <c r="G3809" s="14"/>
      <c r="H3809" s="10"/>
      <c r="I3809" s="17"/>
      <c r="J3809" s="10"/>
      <c r="K3809" s="46"/>
      <c r="L3809" s="10"/>
      <c r="M3809" s="20"/>
      <c r="N3809" s="20"/>
      <c r="O3809" s="20"/>
      <c r="P3809" s="20"/>
    </row>
    <row r="3810">
      <c r="A3810" s="23"/>
      <c r="B3810" s="21"/>
      <c r="C3810" s="23"/>
      <c r="D3810" s="24"/>
      <c r="E3810" s="14"/>
      <c r="F3810" s="14"/>
      <c r="G3810" s="14"/>
      <c r="H3810" s="23"/>
      <c r="I3810" s="27"/>
      <c r="J3810" s="23"/>
      <c r="K3810" s="30"/>
      <c r="L3810" s="23"/>
      <c r="M3810" s="20"/>
      <c r="N3810" s="20"/>
      <c r="O3810" s="20"/>
      <c r="P3810" s="20"/>
    </row>
    <row r="3811">
      <c r="A3811" s="10"/>
      <c r="B3811" s="11"/>
      <c r="C3811" s="10"/>
      <c r="D3811" s="13"/>
      <c r="E3811" s="14"/>
      <c r="F3811" s="14"/>
      <c r="G3811" s="14"/>
      <c r="H3811" s="10"/>
      <c r="I3811" s="17"/>
      <c r="J3811" s="10"/>
      <c r="K3811" s="46"/>
      <c r="L3811" s="10"/>
      <c r="M3811" s="20"/>
      <c r="N3811" s="20"/>
      <c r="O3811" s="20"/>
      <c r="P3811" s="20"/>
    </row>
    <row r="3812">
      <c r="A3812" s="23"/>
      <c r="B3812" s="21"/>
      <c r="C3812" s="23"/>
      <c r="D3812" s="24"/>
      <c r="E3812" s="14"/>
      <c r="F3812" s="14"/>
      <c r="G3812" s="14"/>
      <c r="H3812" s="23"/>
      <c r="I3812" s="27"/>
      <c r="J3812" s="23"/>
      <c r="K3812" s="30"/>
      <c r="L3812" s="23"/>
      <c r="M3812" s="20"/>
      <c r="N3812" s="20"/>
      <c r="O3812" s="20"/>
      <c r="P3812" s="20"/>
    </row>
    <row r="3813">
      <c r="A3813" s="10"/>
      <c r="B3813" s="11"/>
      <c r="C3813" s="10"/>
      <c r="D3813" s="13"/>
      <c r="E3813" s="14"/>
      <c r="F3813" s="14"/>
      <c r="G3813" s="14"/>
      <c r="H3813" s="10"/>
      <c r="I3813" s="17"/>
      <c r="J3813" s="10"/>
      <c r="K3813" s="46"/>
      <c r="L3813" s="10"/>
      <c r="M3813" s="20"/>
      <c r="N3813" s="20"/>
      <c r="O3813" s="20"/>
      <c r="P3813" s="20"/>
    </row>
    <row r="3814">
      <c r="A3814" s="23"/>
      <c r="B3814" s="21"/>
      <c r="C3814" s="23"/>
      <c r="D3814" s="24"/>
      <c r="E3814" s="14"/>
      <c r="F3814" s="14"/>
      <c r="G3814" s="14"/>
      <c r="H3814" s="23"/>
      <c r="I3814" s="27"/>
      <c r="J3814" s="23"/>
      <c r="K3814" s="30"/>
      <c r="L3814" s="23"/>
      <c r="M3814" s="20"/>
      <c r="N3814" s="20"/>
      <c r="O3814" s="20"/>
      <c r="P3814" s="20"/>
    </row>
    <row r="3815">
      <c r="A3815" s="10"/>
      <c r="B3815" s="11"/>
      <c r="C3815" s="10"/>
      <c r="D3815" s="13"/>
      <c r="E3815" s="14"/>
      <c r="F3815" s="14"/>
      <c r="G3815" s="14"/>
      <c r="H3815" s="10"/>
      <c r="I3815" s="17"/>
      <c r="J3815" s="10"/>
      <c r="K3815" s="46"/>
      <c r="L3815" s="10"/>
      <c r="M3815" s="20"/>
      <c r="N3815" s="20"/>
      <c r="O3815" s="20"/>
      <c r="P3815" s="20"/>
    </row>
    <row r="3816">
      <c r="A3816" s="23"/>
      <c r="B3816" s="21"/>
      <c r="C3816" s="23"/>
      <c r="D3816" s="24"/>
      <c r="E3816" s="14"/>
      <c r="F3816" s="14"/>
      <c r="G3816" s="14"/>
      <c r="H3816" s="23"/>
      <c r="I3816" s="27"/>
      <c r="J3816" s="23"/>
      <c r="K3816" s="30"/>
      <c r="L3816" s="23"/>
      <c r="M3816" s="20"/>
      <c r="N3816" s="20"/>
      <c r="O3816" s="20"/>
      <c r="P3816" s="20"/>
    </row>
    <row r="3817">
      <c r="A3817" s="10"/>
      <c r="B3817" s="11"/>
      <c r="C3817" s="10"/>
      <c r="D3817" s="13"/>
      <c r="E3817" s="14"/>
      <c r="F3817" s="14"/>
      <c r="G3817" s="14"/>
      <c r="H3817" s="10"/>
      <c r="I3817" s="17"/>
      <c r="J3817" s="10"/>
      <c r="K3817" s="46"/>
      <c r="L3817" s="10"/>
      <c r="M3817" s="20"/>
      <c r="N3817" s="20"/>
      <c r="O3817" s="20"/>
      <c r="P3817" s="20"/>
    </row>
    <row r="3818">
      <c r="A3818" s="23"/>
      <c r="B3818" s="21"/>
      <c r="C3818" s="23"/>
      <c r="D3818" s="24"/>
      <c r="E3818" s="14"/>
      <c r="F3818" s="14"/>
      <c r="G3818" s="14"/>
      <c r="H3818" s="23"/>
      <c r="I3818" s="27"/>
      <c r="J3818" s="23"/>
      <c r="K3818" s="30"/>
      <c r="L3818" s="23"/>
      <c r="M3818" s="20"/>
      <c r="N3818" s="20"/>
      <c r="O3818" s="20"/>
      <c r="P3818" s="20"/>
    </row>
    <row r="3819">
      <c r="A3819" s="10"/>
      <c r="B3819" s="11"/>
      <c r="C3819" s="10"/>
      <c r="D3819" s="13"/>
      <c r="E3819" s="14"/>
      <c r="F3819" s="14"/>
      <c r="G3819" s="14"/>
      <c r="H3819" s="10"/>
      <c r="I3819" s="17"/>
      <c r="J3819" s="10"/>
      <c r="K3819" s="46"/>
      <c r="L3819" s="10"/>
      <c r="M3819" s="20"/>
      <c r="N3819" s="20"/>
      <c r="O3819" s="20"/>
      <c r="P3819" s="20"/>
    </row>
    <row r="3820">
      <c r="A3820" s="23"/>
      <c r="B3820" s="21"/>
      <c r="C3820" s="23"/>
      <c r="D3820" s="24"/>
      <c r="E3820" s="14"/>
      <c r="F3820" s="14"/>
      <c r="G3820" s="14"/>
      <c r="H3820" s="23"/>
      <c r="I3820" s="27"/>
      <c r="J3820" s="23"/>
      <c r="K3820" s="30"/>
      <c r="L3820" s="23"/>
      <c r="M3820" s="20"/>
      <c r="N3820" s="20"/>
      <c r="O3820" s="20"/>
      <c r="P3820" s="20"/>
    </row>
    <row r="3821">
      <c r="A3821" s="10"/>
      <c r="B3821" s="11"/>
      <c r="C3821" s="10"/>
      <c r="D3821" s="13"/>
      <c r="E3821" s="14"/>
      <c r="F3821" s="14"/>
      <c r="G3821" s="14"/>
      <c r="H3821" s="10"/>
      <c r="I3821" s="17"/>
      <c r="J3821" s="10"/>
      <c r="K3821" s="46"/>
      <c r="L3821" s="10"/>
      <c r="M3821" s="20"/>
      <c r="N3821" s="20"/>
      <c r="O3821" s="20"/>
      <c r="P3821" s="20"/>
    </row>
    <row r="3822">
      <c r="A3822" s="23"/>
      <c r="B3822" s="21"/>
      <c r="C3822" s="23"/>
      <c r="D3822" s="24"/>
      <c r="E3822" s="14"/>
      <c r="F3822" s="14"/>
      <c r="G3822" s="14"/>
      <c r="H3822" s="23"/>
      <c r="I3822" s="27"/>
      <c r="J3822" s="23"/>
      <c r="K3822" s="30"/>
      <c r="L3822" s="23"/>
      <c r="M3822" s="20"/>
      <c r="N3822" s="20"/>
      <c r="O3822" s="20"/>
      <c r="P3822" s="20"/>
    </row>
    <row r="3823">
      <c r="A3823" s="10"/>
      <c r="B3823" s="11"/>
      <c r="C3823" s="10"/>
      <c r="D3823" s="13"/>
      <c r="E3823" s="14"/>
      <c r="F3823" s="14"/>
      <c r="G3823" s="14"/>
      <c r="H3823" s="10"/>
      <c r="I3823" s="17"/>
      <c r="J3823" s="10"/>
      <c r="K3823" s="46"/>
      <c r="L3823" s="10"/>
      <c r="M3823" s="20"/>
      <c r="N3823" s="20"/>
      <c r="O3823" s="20"/>
      <c r="P3823" s="20"/>
    </row>
    <row r="3824">
      <c r="A3824" s="23"/>
      <c r="B3824" s="21"/>
      <c r="C3824" s="23"/>
      <c r="D3824" s="24"/>
      <c r="E3824" s="14"/>
      <c r="F3824" s="14"/>
      <c r="G3824" s="14"/>
      <c r="H3824" s="23"/>
      <c r="I3824" s="27"/>
      <c r="J3824" s="23"/>
      <c r="K3824" s="30"/>
      <c r="L3824" s="23"/>
      <c r="M3824" s="20"/>
      <c r="N3824" s="20"/>
      <c r="O3824" s="20"/>
      <c r="P3824" s="20"/>
    </row>
    <row r="3825">
      <c r="A3825" s="10"/>
      <c r="B3825" s="11"/>
      <c r="C3825" s="10"/>
      <c r="D3825" s="13"/>
      <c r="E3825" s="14"/>
      <c r="F3825" s="14"/>
      <c r="G3825" s="14"/>
      <c r="H3825" s="10"/>
      <c r="I3825" s="17"/>
      <c r="J3825" s="10"/>
      <c r="K3825" s="46"/>
      <c r="L3825" s="10"/>
      <c r="M3825" s="20"/>
      <c r="N3825" s="20"/>
      <c r="O3825" s="20"/>
      <c r="P3825" s="20"/>
    </row>
    <row r="3826">
      <c r="A3826" s="23"/>
      <c r="B3826" s="21"/>
      <c r="C3826" s="23"/>
      <c r="D3826" s="24"/>
      <c r="E3826" s="14"/>
      <c r="F3826" s="14"/>
      <c r="G3826" s="14"/>
      <c r="H3826" s="23"/>
      <c r="I3826" s="27"/>
      <c r="J3826" s="23"/>
      <c r="K3826" s="30"/>
      <c r="L3826" s="23"/>
      <c r="M3826" s="20"/>
      <c r="N3826" s="20"/>
      <c r="O3826" s="20"/>
      <c r="P3826" s="20"/>
    </row>
    <row r="3827">
      <c r="A3827" s="10"/>
      <c r="B3827" s="11"/>
      <c r="C3827" s="10"/>
      <c r="D3827" s="13"/>
      <c r="E3827" s="14"/>
      <c r="F3827" s="14"/>
      <c r="G3827" s="14"/>
      <c r="H3827" s="10"/>
      <c r="I3827" s="17"/>
      <c r="J3827" s="10"/>
      <c r="K3827" s="46"/>
      <c r="L3827" s="10"/>
      <c r="M3827" s="20"/>
      <c r="N3827" s="20"/>
      <c r="O3827" s="20"/>
      <c r="P3827" s="20"/>
    </row>
    <row r="3828">
      <c r="A3828" s="23"/>
      <c r="B3828" s="21"/>
      <c r="C3828" s="23"/>
      <c r="D3828" s="24"/>
      <c r="E3828" s="14"/>
      <c r="F3828" s="14"/>
      <c r="G3828" s="14"/>
      <c r="H3828" s="23"/>
      <c r="I3828" s="27"/>
      <c r="J3828" s="23"/>
      <c r="K3828" s="30"/>
      <c r="L3828" s="23"/>
      <c r="M3828" s="20"/>
      <c r="N3828" s="20"/>
      <c r="O3828" s="20"/>
      <c r="P3828" s="20"/>
    </row>
    <row r="3829">
      <c r="A3829" s="10"/>
      <c r="B3829" s="11"/>
      <c r="C3829" s="10"/>
      <c r="D3829" s="13"/>
      <c r="E3829" s="14"/>
      <c r="F3829" s="14"/>
      <c r="G3829" s="14"/>
      <c r="H3829" s="10"/>
      <c r="I3829" s="17"/>
      <c r="J3829" s="10"/>
      <c r="K3829" s="46"/>
      <c r="L3829" s="10"/>
      <c r="M3829" s="20"/>
      <c r="N3829" s="20"/>
      <c r="O3829" s="20"/>
      <c r="P3829" s="20"/>
    </row>
    <row r="3830">
      <c r="A3830" s="23"/>
      <c r="B3830" s="21"/>
      <c r="C3830" s="23"/>
      <c r="D3830" s="24"/>
      <c r="E3830" s="14"/>
      <c r="F3830" s="14"/>
      <c r="G3830" s="14"/>
      <c r="H3830" s="23"/>
      <c r="I3830" s="27"/>
      <c r="J3830" s="23"/>
      <c r="K3830" s="30"/>
      <c r="L3830" s="23"/>
      <c r="M3830" s="20"/>
      <c r="N3830" s="20"/>
      <c r="O3830" s="20"/>
      <c r="P3830" s="20"/>
    </row>
    <row r="3831">
      <c r="A3831" s="10"/>
      <c r="B3831" s="11"/>
      <c r="C3831" s="10"/>
      <c r="D3831" s="13"/>
      <c r="E3831" s="14"/>
      <c r="F3831" s="14"/>
      <c r="G3831" s="14"/>
      <c r="H3831" s="10"/>
      <c r="I3831" s="17"/>
      <c r="J3831" s="10"/>
      <c r="K3831" s="46"/>
      <c r="L3831" s="10"/>
      <c r="M3831" s="20"/>
      <c r="N3831" s="20"/>
      <c r="O3831" s="20"/>
      <c r="P3831" s="20"/>
    </row>
    <row r="3832">
      <c r="A3832" s="23"/>
      <c r="B3832" s="21"/>
      <c r="C3832" s="23"/>
      <c r="D3832" s="24"/>
      <c r="E3832" s="14"/>
      <c r="F3832" s="14"/>
      <c r="G3832" s="14"/>
      <c r="H3832" s="23"/>
      <c r="I3832" s="27"/>
      <c r="J3832" s="23"/>
      <c r="K3832" s="30"/>
      <c r="L3832" s="23"/>
      <c r="M3832" s="20"/>
      <c r="N3832" s="20"/>
      <c r="O3832" s="20"/>
      <c r="P3832" s="20"/>
    </row>
    <row r="3833">
      <c r="A3833" s="10"/>
      <c r="B3833" s="11"/>
      <c r="C3833" s="10"/>
      <c r="D3833" s="13"/>
      <c r="E3833" s="14"/>
      <c r="F3833" s="14"/>
      <c r="G3833" s="14"/>
      <c r="H3833" s="10"/>
      <c r="I3833" s="17"/>
      <c r="J3833" s="10"/>
      <c r="K3833" s="46"/>
      <c r="L3833" s="10"/>
      <c r="M3833" s="20"/>
      <c r="N3833" s="20"/>
      <c r="O3833" s="20"/>
      <c r="P3833" s="20"/>
    </row>
    <row r="3834">
      <c r="A3834" s="23"/>
      <c r="B3834" s="21"/>
      <c r="C3834" s="23"/>
      <c r="D3834" s="24"/>
      <c r="E3834" s="14"/>
      <c r="F3834" s="14"/>
      <c r="G3834" s="14"/>
      <c r="H3834" s="23"/>
      <c r="I3834" s="27"/>
      <c r="J3834" s="23"/>
      <c r="K3834" s="30"/>
      <c r="L3834" s="23"/>
      <c r="M3834" s="20"/>
      <c r="N3834" s="20"/>
      <c r="O3834" s="20"/>
      <c r="P3834" s="20"/>
    </row>
    <row r="3835">
      <c r="A3835" s="10"/>
      <c r="B3835" s="11"/>
      <c r="C3835" s="10"/>
      <c r="D3835" s="13"/>
      <c r="E3835" s="14"/>
      <c r="F3835" s="14"/>
      <c r="G3835" s="14"/>
      <c r="H3835" s="10"/>
      <c r="I3835" s="17"/>
      <c r="J3835" s="10"/>
      <c r="K3835" s="46"/>
      <c r="L3835" s="10"/>
      <c r="M3835" s="20"/>
      <c r="N3835" s="20"/>
      <c r="O3835" s="20"/>
      <c r="P3835" s="20"/>
    </row>
    <row r="3836">
      <c r="A3836" s="23"/>
      <c r="B3836" s="21"/>
      <c r="C3836" s="23"/>
      <c r="D3836" s="24"/>
      <c r="E3836" s="14"/>
      <c r="F3836" s="14"/>
      <c r="G3836" s="14"/>
      <c r="H3836" s="23"/>
      <c r="I3836" s="27"/>
      <c r="J3836" s="23"/>
      <c r="K3836" s="30"/>
      <c r="L3836" s="23"/>
      <c r="M3836" s="20"/>
      <c r="N3836" s="20"/>
      <c r="O3836" s="20"/>
      <c r="P3836" s="20"/>
    </row>
    <row r="3837">
      <c r="A3837" s="10"/>
      <c r="B3837" s="11"/>
      <c r="C3837" s="10"/>
      <c r="D3837" s="13"/>
      <c r="E3837" s="14"/>
      <c r="F3837" s="14"/>
      <c r="G3837" s="14"/>
      <c r="H3837" s="10"/>
      <c r="I3837" s="17"/>
      <c r="J3837" s="10"/>
      <c r="K3837" s="46"/>
      <c r="L3837" s="10"/>
      <c r="M3837" s="20"/>
      <c r="N3837" s="20"/>
      <c r="O3837" s="20"/>
      <c r="P3837" s="20"/>
    </row>
    <row r="3838">
      <c r="A3838" s="23"/>
      <c r="B3838" s="21"/>
      <c r="C3838" s="23"/>
      <c r="D3838" s="24"/>
      <c r="E3838" s="14"/>
      <c r="F3838" s="14"/>
      <c r="G3838" s="14"/>
      <c r="H3838" s="23"/>
      <c r="I3838" s="27"/>
      <c r="J3838" s="23"/>
      <c r="K3838" s="30"/>
      <c r="L3838" s="23"/>
      <c r="M3838" s="20"/>
      <c r="N3838" s="20"/>
      <c r="O3838" s="20"/>
      <c r="P3838" s="20"/>
    </row>
    <row r="3839">
      <c r="A3839" s="10"/>
      <c r="B3839" s="11"/>
      <c r="C3839" s="10"/>
      <c r="D3839" s="13"/>
      <c r="E3839" s="14"/>
      <c r="F3839" s="14"/>
      <c r="G3839" s="14"/>
      <c r="H3839" s="10"/>
      <c r="I3839" s="17"/>
      <c r="J3839" s="10"/>
      <c r="K3839" s="46"/>
      <c r="L3839" s="10"/>
      <c r="M3839" s="20"/>
      <c r="N3839" s="20"/>
      <c r="O3839" s="20"/>
      <c r="P3839" s="20"/>
    </row>
    <row r="3840">
      <c r="A3840" s="23"/>
      <c r="B3840" s="21"/>
      <c r="C3840" s="23"/>
      <c r="D3840" s="24"/>
      <c r="E3840" s="14"/>
      <c r="F3840" s="14"/>
      <c r="G3840" s="14"/>
      <c r="H3840" s="23"/>
      <c r="I3840" s="27"/>
      <c r="J3840" s="23"/>
      <c r="K3840" s="30"/>
      <c r="L3840" s="23"/>
      <c r="M3840" s="20"/>
      <c r="N3840" s="20"/>
      <c r="O3840" s="20"/>
      <c r="P3840" s="20"/>
    </row>
    <row r="3841">
      <c r="A3841" s="10"/>
      <c r="B3841" s="11"/>
      <c r="C3841" s="10"/>
      <c r="D3841" s="13"/>
      <c r="E3841" s="14"/>
      <c r="F3841" s="14"/>
      <c r="G3841" s="14"/>
      <c r="H3841" s="10"/>
      <c r="I3841" s="17"/>
      <c r="J3841" s="10"/>
      <c r="K3841" s="46"/>
      <c r="L3841" s="10"/>
      <c r="M3841" s="20"/>
      <c r="N3841" s="20"/>
      <c r="O3841" s="20"/>
      <c r="P3841" s="20"/>
    </row>
    <row r="3842">
      <c r="A3842" s="23"/>
      <c r="B3842" s="21"/>
      <c r="C3842" s="23"/>
      <c r="D3842" s="24"/>
      <c r="E3842" s="14"/>
      <c r="F3842" s="14"/>
      <c r="G3842" s="14"/>
      <c r="H3842" s="23"/>
      <c r="I3842" s="27"/>
      <c r="J3842" s="23"/>
      <c r="K3842" s="30"/>
      <c r="L3842" s="23"/>
      <c r="M3842" s="20"/>
      <c r="N3842" s="20"/>
      <c r="O3842" s="20"/>
      <c r="P3842" s="20"/>
    </row>
    <row r="3843">
      <c r="A3843" s="10"/>
      <c r="B3843" s="11"/>
      <c r="C3843" s="10"/>
      <c r="D3843" s="13"/>
      <c r="E3843" s="14"/>
      <c r="F3843" s="14"/>
      <c r="G3843" s="14"/>
      <c r="H3843" s="10"/>
      <c r="I3843" s="17"/>
      <c r="J3843" s="10"/>
      <c r="K3843" s="46"/>
      <c r="L3843" s="10"/>
      <c r="M3843" s="20"/>
      <c r="N3843" s="20"/>
      <c r="O3843" s="20"/>
      <c r="P3843" s="20"/>
    </row>
    <row r="3844">
      <c r="A3844" s="23"/>
      <c r="B3844" s="21"/>
      <c r="C3844" s="23"/>
      <c r="D3844" s="24"/>
      <c r="E3844" s="14"/>
      <c r="F3844" s="14"/>
      <c r="G3844" s="14"/>
      <c r="H3844" s="23"/>
      <c r="I3844" s="27"/>
      <c r="J3844" s="23"/>
      <c r="K3844" s="30"/>
      <c r="L3844" s="23"/>
      <c r="M3844" s="20"/>
      <c r="N3844" s="20"/>
      <c r="O3844" s="20"/>
      <c r="P3844" s="20"/>
    </row>
    <row r="3845">
      <c r="A3845" s="10"/>
      <c r="B3845" s="11"/>
      <c r="C3845" s="10"/>
      <c r="D3845" s="13"/>
      <c r="E3845" s="14"/>
      <c r="F3845" s="14"/>
      <c r="G3845" s="14"/>
      <c r="H3845" s="10"/>
      <c r="I3845" s="17"/>
      <c r="J3845" s="10"/>
      <c r="K3845" s="46"/>
      <c r="L3845" s="10"/>
      <c r="M3845" s="20"/>
      <c r="N3845" s="20"/>
      <c r="O3845" s="20"/>
      <c r="P3845" s="20"/>
    </row>
    <row r="3846">
      <c r="A3846" s="23"/>
      <c r="B3846" s="21"/>
      <c r="C3846" s="23"/>
      <c r="D3846" s="24"/>
      <c r="E3846" s="14"/>
      <c r="F3846" s="14"/>
      <c r="G3846" s="14"/>
      <c r="H3846" s="23"/>
      <c r="I3846" s="27"/>
      <c r="J3846" s="23"/>
      <c r="K3846" s="30"/>
      <c r="L3846" s="23"/>
      <c r="M3846" s="20"/>
      <c r="N3846" s="20"/>
      <c r="O3846" s="20"/>
      <c r="P3846" s="20"/>
    </row>
    <row r="3847">
      <c r="A3847" s="10"/>
      <c r="B3847" s="11"/>
      <c r="C3847" s="10"/>
      <c r="D3847" s="13"/>
      <c r="E3847" s="14"/>
      <c r="F3847" s="14"/>
      <c r="G3847" s="14"/>
      <c r="H3847" s="10"/>
      <c r="I3847" s="17"/>
      <c r="J3847" s="10"/>
      <c r="K3847" s="46"/>
      <c r="L3847" s="10"/>
      <c r="M3847" s="20"/>
      <c r="N3847" s="20"/>
      <c r="O3847" s="20"/>
      <c r="P3847" s="20"/>
    </row>
    <row r="3848">
      <c r="A3848" s="23"/>
      <c r="B3848" s="21"/>
      <c r="C3848" s="23"/>
      <c r="D3848" s="24"/>
      <c r="E3848" s="14"/>
      <c r="F3848" s="14"/>
      <c r="G3848" s="14"/>
      <c r="H3848" s="23"/>
      <c r="I3848" s="27"/>
      <c r="J3848" s="23"/>
      <c r="K3848" s="30"/>
      <c r="L3848" s="23"/>
      <c r="M3848" s="20"/>
      <c r="N3848" s="20"/>
      <c r="O3848" s="20"/>
      <c r="P3848" s="20"/>
    </row>
    <row r="3849">
      <c r="A3849" s="10"/>
      <c r="B3849" s="11"/>
      <c r="C3849" s="10"/>
      <c r="D3849" s="13"/>
      <c r="E3849" s="14"/>
      <c r="F3849" s="14"/>
      <c r="G3849" s="14"/>
      <c r="H3849" s="10"/>
      <c r="I3849" s="17"/>
      <c r="J3849" s="10"/>
      <c r="K3849" s="46"/>
      <c r="L3849" s="10"/>
      <c r="M3849" s="20"/>
      <c r="N3849" s="20"/>
      <c r="O3849" s="20"/>
      <c r="P3849" s="20"/>
    </row>
    <row r="3850">
      <c r="A3850" s="23"/>
      <c r="B3850" s="21"/>
      <c r="C3850" s="23"/>
      <c r="D3850" s="24"/>
      <c r="E3850" s="14"/>
      <c r="F3850" s="14"/>
      <c r="G3850" s="14"/>
      <c r="H3850" s="23"/>
      <c r="I3850" s="27"/>
      <c r="J3850" s="23"/>
      <c r="K3850" s="30"/>
      <c r="L3850" s="23"/>
      <c r="M3850" s="20"/>
      <c r="N3850" s="20"/>
      <c r="O3850" s="20"/>
      <c r="P3850" s="20"/>
    </row>
    <row r="3851">
      <c r="A3851" s="10"/>
      <c r="B3851" s="11"/>
      <c r="C3851" s="10"/>
      <c r="D3851" s="13"/>
      <c r="E3851" s="14"/>
      <c r="F3851" s="14"/>
      <c r="G3851" s="14"/>
      <c r="H3851" s="10"/>
      <c r="I3851" s="17"/>
      <c r="J3851" s="10"/>
      <c r="K3851" s="46"/>
      <c r="L3851" s="10"/>
      <c r="M3851" s="20"/>
      <c r="N3851" s="20"/>
      <c r="O3851" s="20"/>
      <c r="P3851" s="20"/>
    </row>
    <row r="3852">
      <c r="A3852" s="23"/>
      <c r="B3852" s="21"/>
      <c r="C3852" s="23"/>
      <c r="D3852" s="24"/>
      <c r="E3852" s="14"/>
      <c r="F3852" s="14"/>
      <c r="G3852" s="14"/>
      <c r="H3852" s="23"/>
      <c r="I3852" s="27"/>
      <c r="J3852" s="23"/>
      <c r="K3852" s="30"/>
      <c r="L3852" s="23"/>
      <c r="M3852" s="20"/>
      <c r="N3852" s="20"/>
      <c r="O3852" s="20"/>
      <c r="P3852" s="20"/>
    </row>
    <row r="3853">
      <c r="A3853" s="10"/>
      <c r="B3853" s="11"/>
      <c r="C3853" s="10"/>
      <c r="D3853" s="13"/>
      <c r="E3853" s="14"/>
      <c r="F3853" s="14"/>
      <c r="G3853" s="14"/>
      <c r="H3853" s="10"/>
      <c r="I3853" s="17"/>
      <c r="J3853" s="10"/>
      <c r="K3853" s="46"/>
      <c r="L3853" s="10"/>
      <c r="M3853" s="20"/>
      <c r="N3853" s="20"/>
      <c r="O3853" s="20"/>
      <c r="P3853" s="20"/>
    </row>
    <row r="3854">
      <c r="A3854" s="23"/>
      <c r="B3854" s="21"/>
      <c r="C3854" s="23"/>
      <c r="D3854" s="24"/>
      <c r="E3854" s="14"/>
      <c r="F3854" s="14"/>
      <c r="G3854" s="14"/>
      <c r="H3854" s="23"/>
      <c r="I3854" s="27"/>
      <c r="J3854" s="23"/>
      <c r="K3854" s="30"/>
      <c r="L3854" s="23"/>
      <c r="M3854" s="20"/>
      <c r="N3854" s="20"/>
      <c r="O3854" s="20"/>
      <c r="P3854" s="20"/>
    </row>
    <row r="3855">
      <c r="A3855" s="10"/>
      <c r="B3855" s="11"/>
      <c r="C3855" s="10"/>
      <c r="D3855" s="13"/>
      <c r="E3855" s="14"/>
      <c r="F3855" s="14"/>
      <c r="G3855" s="14"/>
      <c r="H3855" s="10"/>
      <c r="I3855" s="17"/>
      <c r="J3855" s="10"/>
      <c r="K3855" s="46"/>
      <c r="L3855" s="10"/>
      <c r="M3855" s="20"/>
      <c r="N3855" s="20"/>
      <c r="O3855" s="20"/>
      <c r="P3855" s="20"/>
    </row>
    <row r="3856">
      <c r="A3856" s="23"/>
      <c r="B3856" s="21"/>
      <c r="C3856" s="23"/>
      <c r="D3856" s="24"/>
      <c r="E3856" s="14"/>
      <c r="F3856" s="14"/>
      <c r="G3856" s="14"/>
      <c r="H3856" s="23"/>
      <c r="I3856" s="27"/>
      <c r="J3856" s="23"/>
      <c r="K3856" s="30"/>
      <c r="L3856" s="23"/>
      <c r="M3856" s="20"/>
      <c r="N3856" s="20"/>
      <c r="O3856" s="20"/>
      <c r="P3856" s="20"/>
    </row>
    <row r="3857">
      <c r="A3857" s="10"/>
      <c r="B3857" s="11"/>
      <c r="C3857" s="10"/>
      <c r="D3857" s="13"/>
      <c r="E3857" s="14"/>
      <c r="F3857" s="14"/>
      <c r="G3857" s="14"/>
      <c r="H3857" s="10"/>
      <c r="I3857" s="17"/>
      <c r="J3857" s="10"/>
      <c r="K3857" s="46"/>
      <c r="L3857" s="10"/>
      <c r="M3857" s="20"/>
      <c r="N3857" s="20"/>
      <c r="O3857" s="20"/>
      <c r="P3857" s="20"/>
    </row>
    <row r="3858">
      <c r="A3858" s="23"/>
      <c r="B3858" s="21"/>
      <c r="C3858" s="23"/>
      <c r="D3858" s="24"/>
      <c r="E3858" s="14"/>
      <c r="F3858" s="14"/>
      <c r="G3858" s="14"/>
      <c r="H3858" s="23"/>
      <c r="I3858" s="27"/>
      <c r="J3858" s="23"/>
      <c r="K3858" s="30"/>
      <c r="L3858" s="23"/>
      <c r="M3858" s="20"/>
      <c r="N3858" s="20"/>
      <c r="O3858" s="20"/>
      <c r="P3858" s="20"/>
    </row>
    <row r="3859">
      <c r="A3859" s="10"/>
      <c r="B3859" s="11"/>
      <c r="C3859" s="10"/>
      <c r="D3859" s="13"/>
      <c r="E3859" s="14"/>
      <c r="F3859" s="14"/>
      <c r="G3859" s="14"/>
      <c r="H3859" s="10"/>
      <c r="I3859" s="17"/>
      <c r="J3859" s="10"/>
      <c r="K3859" s="46"/>
      <c r="L3859" s="10"/>
      <c r="M3859" s="20"/>
      <c r="N3859" s="20"/>
      <c r="O3859" s="20"/>
      <c r="P3859" s="20"/>
    </row>
    <row r="3860">
      <c r="A3860" s="23"/>
      <c r="B3860" s="21"/>
      <c r="C3860" s="23"/>
      <c r="D3860" s="24"/>
      <c r="E3860" s="14"/>
      <c r="F3860" s="14"/>
      <c r="G3860" s="14"/>
      <c r="H3860" s="23"/>
      <c r="I3860" s="27"/>
      <c r="J3860" s="23"/>
      <c r="K3860" s="30"/>
      <c r="L3860" s="23"/>
      <c r="M3860" s="20"/>
      <c r="N3860" s="20"/>
      <c r="O3860" s="20"/>
      <c r="P3860" s="20"/>
    </row>
    <row r="3861">
      <c r="A3861" s="10"/>
      <c r="B3861" s="11"/>
      <c r="C3861" s="10"/>
      <c r="D3861" s="13"/>
      <c r="E3861" s="14"/>
      <c r="F3861" s="14"/>
      <c r="G3861" s="14"/>
      <c r="H3861" s="10"/>
      <c r="I3861" s="17"/>
      <c r="J3861" s="10"/>
      <c r="K3861" s="46"/>
      <c r="L3861" s="10"/>
      <c r="M3861" s="20"/>
      <c r="N3861" s="20"/>
      <c r="O3861" s="20"/>
      <c r="P3861" s="20"/>
    </row>
    <row r="3862">
      <c r="A3862" s="23"/>
      <c r="B3862" s="21"/>
      <c r="C3862" s="23"/>
      <c r="D3862" s="24"/>
      <c r="E3862" s="14"/>
      <c r="F3862" s="14"/>
      <c r="G3862" s="14"/>
      <c r="H3862" s="23"/>
      <c r="I3862" s="27"/>
      <c r="J3862" s="23"/>
      <c r="K3862" s="30"/>
      <c r="L3862" s="23"/>
      <c r="M3862" s="20"/>
      <c r="N3862" s="20"/>
      <c r="O3862" s="20"/>
      <c r="P3862" s="20"/>
    </row>
    <row r="3863">
      <c r="A3863" s="10"/>
      <c r="B3863" s="11"/>
      <c r="C3863" s="10"/>
      <c r="D3863" s="13"/>
      <c r="E3863" s="14"/>
      <c r="F3863" s="14"/>
      <c r="G3863" s="14"/>
      <c r="H3863" s="10"/>
      <c r="I3863" s="17"/>
      <c r="J3863" s="10"/>
      <c r="K3863" s="46"/>
      <c r="L3863" s="10"/>
      <c r="M3863" s="20"/>
      <c r="N3863" s="20"/>
      <c r="O3863" s="20"/>
      <c r="P3863" s="20"/>
    </row>
    <row r="3864">
      <c r="A3864" s="23"/>
      <c r="B3864" s="21"/>
      <c r="C3864" s="23"/>
      <c r="D3864" s="24"/>
      <c r="E3864" s="14"/>
      <c r="F3864" s="14"/>
      <c r="G3864" s="14"/>
      <c r="H3864" s="23"/>
      <c r="I3864" s="27"/>
      <c r="J3864" s="23"/>
      <c r="K3864" s="30"/>
      <c r="L3864" s="23"/>
      <c r="M3864" s="20"/>
      <c r="N3864" s="20"/>
      <c r="O3864" s="20"/>
      <c r="P3864" s="20"/>
    </row>
    <row r="3865">
      <c r="A3865" s="10"/>
      <c r="B3865" s="11"/>
      <c r="C3865" s="10"/>
      <c r="D3865" s="13"/>
      <c r="E3865" s="14"/>
      <c r="F3865" s="14"/>
      <c r="G3865" s="14"/>
      <c r="H3865" s="10"/>
      <c r="I3865" s="17"/>
      <c r="J3865" s="10"/>
      <c r="K3865" s="46"/>
      <c r="L3865" s="10"/>
      <c r="M3865" s="20"/>
      <c r="N3865" s="20"/>
      <c r="O3865" s="20"/>
      <c r="P3865" s="20"/>
    </row>
    <row r="3866">
      <c r="A3866" s="23"/>
      <c r="B3866" s="21"/>
      <c r="C3866" s="23"/>
      <c r="D3866" s="24"/>
      <c r="E3866" s="14"/>
      <c r="F3866" s="14"/>
      <c r="G3866" s="14"/>
      <c r="H3866" s="23"/>
      <c r="I3866" s="27"/>
      <c r="J3866" s="23"/>
      <c r="K3866" s="30"/>
      <c r="L3866" s="23"/>
      <c r="M3866" s="20"/>
      <c r="N3866" s="20"/>
      <c r="O3866" s="20"/>
      <c r="P3866" s="20"/>
    </row>
    <row r="3867">
      <c r="A3867" s="10"/>
      <c r="B3867" s="11"/>
      <c r="C3867" s="10"/>
      <c r="D3867" s="13"/>
      <c r="E3867" s="14"/>
      <c r="F3867" s="14"/>
      <c r="G3867" s="14"/>
      <c r="H3867" s="10"/>
      <c r="I3867" s="17"/>
      <c r="J3867" s="10"/>
      <c r="K3867" s="46"/>
      <c r="L3867" s="10"/>
      <c r="M3867" s="20"/>
      <c r="N3867" s="20"/>
      <c r="O3867" s="20"/>
      <c r="P3867" s="20"/>
    </row>
    <row r="3868">
      <c r="A3868" s="23"/>
      <c r="B3868" s="21"/>
      <c r="C3868" s="23"/>
      <c r="D3868" s="24"/>
      <c r="E3868" s="14"/>
      <c r="F3868" s="14"/>
      <c r="G3868" s="14"/>
      <c r="H3868" s="23"/>
      <c r="I3868" s="27"/>
      <c r="J3868" s="23"/>
      <c r="K3868" s="30"/>
      <c r="L3868" s="23"/>
      <c r="M3868" s="20"/>
      <c r="N3868" s="20"/>
      <c r="O3868" s="20"/>
      <c r="P3868" s="20"/>
    </row>
    <row r="3869">
      <c r="A3869" s="10"/>
      <c r="B3869" s="11"/>
      <c r="C3869" s="10"/>
      <c r="D3869" s="13"/>
      <c r="E3869" s="14"/>
      <c r="F3869" s="14"/>
      <c r="G3869" s="14"/>
      <c r="H3869" s="10"/>
      <c r="I3869" s="17"/>
      <c r="J3869" s="10"/>
      <c r="K3869" s="46"/>
      <c r="L3869" s="10"/>
      <c r="M3869" s="20"/>
      <c r="N3869" s="20"/>
      <c r="O3869" s="20"/>
      <c r="P3869" s="20"/>
    </row>
    <row r="3870">
      <c r="A3870" s="23"/>
      <c r="B3870" s="21"/>
      <c r="C3870" s="23"/>
      <c r="D3870" s="24"/>
      <c r="E3870" s="14"/>
      <c r="F3870" s="14"/>
      <c r="G3870" s="14"/>
      <c r="H3870" s="23"/>
      <c r="I3870" s="27"/>
      <c r="J3870" s="23"/>
      <c r="K3870" s="30"/>
      <c r="L3870" s="23"/>
      <c r="M3870" s="20"/>
      <c r="N3870" s="20"/>
      <c r="O3870" s="20"/>
      <c r="P3870" s="20"/>
    </row>
    <row r="3871">
      <c r="A3871" s="10"/>
      <c r="B3871" s="11"/>
      <c r="C3871" s="10"/>
      <c r="D3871" s="13"/>
      <c r="E3871" s="14"/>
      <c r="F3871" s="14"/>
      <c r="G3871" s="14"/>
      <c r="H3871" s="10"/>
      <c r="I3871" s="17"/>
      <c r="J3871" s="10"/>
      <c r="K3871" s="46"/>
      <c r="L3871" s="10"/>
      <c r="M3871" s="20"/>
      <c r="N3871" s="20"/>
      <c r="O3871" s="20"/>
      <c r="P3871" s="20"/>
    </row>
    <row r="3872">
      <c r="A3872" s="23"/>
      <c r="B3872" s="21"/>
      <c r="C3872" s="23"/>
      <c r="D3872" s="24"/>
      <c r="E3872" s="14"/>
      <c r="F3872" s="14"/>
      <c r="G3872" s="14"/>
      <c r="H3872" s="23"/>
      <c r="I3872" s="27"/>
      <c r="J3872" s="23"/>
      <c r="K3872" s="30"/>
      <c r="L3872" s="23"/>
      <c r="M3872" s="20"/>
      <c r="N3872" s="20"/>
      <c r="O3872" s="20"/>
      <c r="P3872" s="20"/>
    </row>
    <row r="3873">
      <c r="A3873" s="10"/>
      <c r="B3873" s="11"/>
      <c r="C3873" s="10"/>
      <c r="D3873" s="13"/>
      <c r="E3873" s="14"/>
      <c r="F3873" s="14"/>
      <c r="G3873" s="14"/>
      <c r="H3873" s="10"/>
      <c r="I3873" s="17"/>
      <c r="J3873" s="10"/>
      <c r="K3873" s="46"/>
      <c r="L3873" s="10"/>
      <c r="M3873" s="20"/>
      <c r="N3873" s="20"/>
      <c r="O3873" s="20"/>
      <c r="P3873" s="20"/>
    </row>
    <row r="3874">
      <c r="A3874" s="23"/>
      <c r="B3874" s="21"/>
      <c r="C3874" s="23"/>
      <c r="D3874" s="24"/>
      <c r="E3874" s="14"/>
      <c r="F3874" s="14"/>
      <c r="G3874" s="14"/>
      <c r="H3874" s="23"/>
      <c r="I3874" s="27"/>
      <c r="J3874" s="23"/>
      <c r="K3874" s="30"/>
      <c r="L3874" s="23"/>
      <c r="M3874" s="20"/>
      <c r="N3874" s="20"/>
      <c r="O3874" s="20"/>
      <c r="P3874" s="20"/>
    </row>
    <row r="3875">
      <c r="A3875" s="10"/>
      <c r="B3875" s="11"/>
      <c r="C3875" s="10"/>
      <c r="D3875" s="13"/>
      <c r="E3875" s="14"/>
      <c r="F3875" s="14"/>
      <c r="G3875" s="14"/>
      <c r="H3875" s="10"/>
      <c r="I3875" s="17"/>
      <c r="J3875" s="10"/>
      <c r="K3875" s="46"/>
      <c r="L3875" s="10"/>
      <c r="M3875" s="20"/>
      <c r="N3875" s="20"/>
      <c r="O3875" s="20"/>
      <c r="P3875" s="20"/>
    </row>
    <row r="3876">
      <c r="A3876" s="23"/>
      <c r="B3876" s="21"/>
      <c r="C3876" s="23"/>
      <c r="D3876" s="24"/>
      <c r="E3876" s="14"/>
      <c r="F3876" s="14"/>
      <c r="G3876" s="14"/>
      <c r="H3876" s="23"/>
      <c r="I3876" s="27"/>
      <c r="J3876" s="23"/>
      <c r="K3876" s="30"/>
      <c r="L3876" s="23"/>
      <c r="M3876" s="20"/>
      <c r="N3876" s="20"/>
      <c r="O3876" s="20"/>
      <c r="P3876" s="20"/>
    </row>
    <row r="3877">
      <c r="A3877" s="10"/>
      <c r="B3877" s="11"/>
      <c r="C3877" s="10"/>
      <c r="D3877" s="13"/>
      <c r="E3877" s="14"/>
      <c r="F3877" s="14"/>
      <c r="G3877" s="14"/>
      <c r="H3877" s="10"/>
      <c r="I3877" s="17"/>
      <c r="J3877" s="10"/>
      <c r="K3877" s="46"/>
      <c r="L3877" s="10"/>
      <c r="M3877" s="20"/>
      <c r="N3877" s="20"/>
      <c r="O3877" s="20"/>
      <c r="P3877" s="20"/>
    </row>
    <row r="3878">
      <c r="A3878" s="23"/>
      <c r="B3878" s="21"/>
      <c r="C3878" s="23"/>
      <c r="D3878" s="24"/>
      <c r="E3878" s="14"/>
      <c r="F3878" s="14"/>
      <c r="G3878" s="14"/>
      <c r="H3878" s="23"/>
      <c r="I3878" s="27"/>
      <c r="J3878" s="23"/>
      <c r="K3878" s="30"/>
      <c r="L3878" s="23"/>
      <c r="M3878" s="20"/>
      <c r="N3878" s="20"/>
      <c r="O3878" s="20"/>
      <c r="P3878" s="20"/>
    </row>
    <row r="3879">
      <c r="A3879" s="10"/>
      <c r="B3879" s="11"/>
      <c r="C3879" s="10"/>
      <c r="D3879" s="13"/>
      <c r="E3879" s="14"/>
      <c r="F3879" s="14"/>
      <c r="G3879" s="14"/>
      <c r="H3879" s="10"/>
      <c r="I3879" s="17"/>
      <c r="J3879" s="10"/>
      <c r="K3879" s="46"/>
      <c r="L3879" s="10"/>
      <c r="M3879" s="20"/>
      <c r="N3879" s="20"/>
      <c r="O3879" s="20"/>
      <c r="P3879" s="20"/>
    </row>
    <row r="3880">
      <c r="A3880" s="23"/>
      <c r="B3880" s="21"/>
      <c r="C3880" s="23"/>
      <c r="D3880" s="24"/>
      <c r="E3880" s="14"/>
      <c r="F3880" s="14"/>
      <c r="G3880" s="14"/>
      <c r="H3880" s="23"/>
      <c r="I3880" s="27"/>
      <c r="J3880" s="23"/>
      <c r="K3880" s="30"/>
      <c r="L3880" s="23"/>
      <c r="M3880" s="20"/>
      <c r="N3880" s="20"/>
      <c r="O3880" s="20"/>
      <c r="P3880" s="20"/>
    </row>
    <row r="3881">
      <c r="A3881" s="10"/>
      <c r="B3881" s="11"/>
      <c r="C3881" s="10"/>
      <c r="D3881" s="13"/>
      <c r="E3881" s="14"/>
      <c r="F3881" s="14"/>
      <c r="G3881" s="14"/>
      <c r="H3881" s="10"/>
      <c r="I3881" s="17"/>
      <c r="J3881" s="10"/>
      <c r="K3881" s="46"/>
      <c r="L3881" s="10"/>
      <c r="M3881" s="20"/>
      <c r="N3881" s="20"/>
      <c r="O3881" s="20"/>
      <c r="P3881" s="20"/>
    </row>
    <row r="3882">
      <c r="A3882" s="23"/>
      <c r="B3882" s="21"/>
      <c r="C3882" s="23"/>
      <c r="D3882" s="24"/>
      <c r="E3882" s="14"/>
      <c r="F3882" s="14"/>
      <c r="G3882" s="14"/>
      <c r="H3882" s="23"/>
      <c r="I3882" s="27"/>
      <c r="J3882" s="23"/>
      <c r="K3882" s="30"/>
      <c r="L3882" s="23"/>
      <c r="M3882" s="20"/>
      <c r="N3882" s="20"/>
      <c r="O3882" s="20"/>
      <c r="P3882" s="20"/>
    </row>
    <row r="3883">
      <c r="A3883" s="10"/>
      <c r="B3883" s="11"/>
      <c r="C3883" s="10"/>
      <c r="D3883" s="13"/>
      <c r="E3883" s="14"/>
      <c r="F3883" s="14"/>
      <c r="G3883" s="14"/>
      <c r="H3883" s="10"/>
      <c r="I3883" s="17"/>
      <c r="J3883" s="10"/>
      <c r="K3883" s="46"/>
      <c r="L3883" s="10"/>
      <c r="M3883" s="20"/>
      <c r="N3883" s="20"/>
      <c r="O3883" s="20"/>
      <c r="P3883" s="20"/>
    </row>
    <row r="3884">
      <c r="A3884" s="23"/>
      <c r="B3884" s="21"/>
      <c r="C3884" s="23"/>
      <c r="D3884" s="24"/>
      <c r="E3884" s="14"/>
      <c r="F3884" s="14"/>
      <c r="G3884" s="14"/>
      <c r="H3884" s="23"/>
      <c r="I3884" s="27"/>
      <c r="J3884" s="23"/>
      <c r="K3884" s="30"/>
      <c r="L3884" s="23"/>
      <c r="M3884" s="20"/>
      <c r="N3884" s="20"/>
      <c r="O3884" s="20"/>
      <c r="P3884" s="20"/>
    </row>
    <row r="3885">
      <c r="A3885" s="10"/>
      <c r="B3885" s="11"/>
      <c r="C3885" s="10"/>
      <c r="D3885" s="13"/>
      <c r="E3885" s="14"/>
      <c r="F3885" s="14"/>
      <c r="G3885" s="14"/>
      <c r="H3885" s="10"/>
      <c r="I3885" s="17"/>
      <c r="J3885" s="10"/>
      <c r="K3885" s="46"/>
      <c r="L3885" s="10"/>
      <c r="M3885" s="20"/>
      <c r="N3885" s="20"/>
      <c r="O3885" s="20"/>
      <c r="P3885" s="20"/>
    </row>
    <row r="3886">
      <c r="A3886" s="23"/>
      <c r="B3886" s="21"/>
      <c r="C3886" s="23"/>
      <c r="D3886" s="24"/>
      <c r="E3886" s="14"/>
      <c r="F3886" s="14"/>
      <c r="G3886" s="14"/>
      <c r="H3886" s="23"/>
      <c r="I3886" s="27"/>
      <c r="J3886" s="23"/>
      <c r="K3886" s="30"/>
      <c r="L3886" s="23"/>
      <c r="M3886" s="20"/>
      <c r="N3886" s="20"/>
      <c r="O3886" s="20"/>
      <c r="P3886" s="20"/>
    </row>
    <row r="3887">
      <c r="A3887" s="10"/>
      <c r="B3887" s="11"/>
      <c r="C3887" s="10"/>
      <c r="D3887" s="13"/>
      <c r="E3887" s="14"/>
      <c r="F3887" s="14"/>
      <c r="G3887" s="14"/>
      <c r="H3887" s="10"/>
      <c r="I3887" s="17"/>
      <c r="J3887" s="10"/>
      <c r="K3887" s="46"/>
      <c r="L3887" s="10"/>
      <c r="M3887" s="20"/>
      <c r="N3887" s="20"/>
      <c r="O3887" s="20"/>
      <c r="P3887" s="20"/>
    </row>
    <row r="3888">
      <c r="A3888" s="23"/>
      <c r="B3888" s="21"/>
      <c r="C3888" s="23"/>
      <c r="D3888" s="24"/>
      <c r="E3888" s="14"/>
      <c r="F3888" s="14"/>
      <c r="G3888" s="14"/>
      <c r="H3888" s="23"/>
      <c r="I3888" s="27"/>
      <c r="J3888" s="23"/>
      <c r="K3888" s="30"/>
      <c r="L3888" s="23"/>
      <c r="M3888" s="20"/>
      <c r="N3888" s="20"/>
      <c r="O3888" s="20"/>
      <c r="P3888" s="20"/>
    </row>
    <row r="3889">
      <c r="A3889" s="10"/>
      <c r="B3889" s="11"/>
      <c r="C3889" s="10"/>
      <c r="D3889" s="13"/>
      <c r="E3889" s="14"/>
      <c r="F3889" s="14"/>
      <c r="G3889" s="14"/>
      <c r="H3889" s="10"/>
      <c r="I3889" s="17"/>
      <c r="J3889" s="10"/>
      <c r="K3889" s="46"/>
      <c r="L3889" s="10"/>
      <c r="M3889" s="20"/>
      <c r="N3889" s="20"/>
      <c r="O3889" s="20"/>
      <c r="P3889" s="20"/>
    </row>
    <row r="3890">
      <c r="A3890" s="23"/>
      <c r="B3890" s="21"/>
      <c r="C3890" s="23"/>
      <c r="D3890" s="24"/>
      <c r="E3890" s="14"/>
      <c r="F3890" s="14"/>
      <c r="G3890" s="14"/>
      <c r="H3890" s="23"/>
      <c r="I3890" s="27"/>
      <c r="J3890" s="23"/>
      <c r="K3890" s="30"/>
      <c r="L3890" s="23"/>
      <c r="M3890" s="20"/>
      <c r="N3890" s="20"/>
      <c r="O3890" s="20"/>
      <c r="P3890" s="20"/>
    </row>
    <row r="3891">
      <c r="A3891" s="10"/>
      <c r="B3891" s="11"/>
      <c r="C3891" s="10"/>
      <c r="D3891" s="13"/>
      <c r="E3891" s="14"/>
      <c r="F3891" s="14"/>
      <c r="G3891" s="14"/>
      <c r="H3891" s="10"/>
      <c r="I3891" s="17"/>
      <c r="J3891" s="10"/>
      <c r="K3891" s="46"/>
      <c r="L3891" s="10"/>
      <c r="M3891" s="20"/>
      <c r="N3891" s="20"/>
      <c r="O3891" s="20"/>
      <c r="P3891" s="20"/>
    </row>
    <row r="3892">
      <c r="A3892" s="23"/>
      <c r="B3892" s="21"/>
      <c r="C3892" s="23"/>
      <c r="D3892" s="24"/>
      <c r="E3892" s="14"/>
      <c r="F3892" s="14"/>
      <c r="G3892" s="14"/>
      <c r="H3892" s="23"/>
      <c r="I3892" s="27"/>
      <c r="J3892" s="23"/>
      <c r="K3892" s="30"/>
      <c r="L3892" s="23"/>
      <c r="M3892" s="20"/>
      <c r="N3892" s="20"/>
      <c r="O3892" s="20"/>
      <c r="P3892" s="20"/>
    </row>
    <row r="3893">
      <c r="A3893" s="10"/>
      <c r="B3893" s="11"/>
      <c r="C3893" s="10"/>
      <c r="D3893" s="13"/>
      <c r="E3893" s="14"/>
      <c r="F3893" s="14"/>
      <c r="G3893" s="14"/>
      <c r="H3893" s="10"/>
      <c r="I3893" s="17"/>
      <c r="J3893" s="10"/>
      <c r="K3893" s="46"/>
      <c r="L3893" s="10"/>
      <c r="M3893" s="20"/>
      <c r="N3893" s="20"/>
      <c r="O3893" s="20"/>
      <c r="P3893" s="20"/>
    </row>
    <row r="3894">
      <c r="A3894" s="23"/>
      <c r="B3894" s="21"/>
      <c r="C3894" s="23"/>
      <c r="D3894" s="24"/>
      <c r="E3894" s="14"/>
      <c r="F3894" s="14"/>
      <c r="G3894" s="14"/>
      <c r="H3894" s="23"/>
      <c r="I3894" s="27"/>
      <c r="J3894" s="23"/>
      <c r="K3894" s="30"/>
      <c r="L3894" s="23"/>
      <c r="M3894" s="20"/>
      <c r="N3894" s="20"/>
      <c r="O3894" s="20"/>
      <c r="P3894" s="20"/>
    </row>
    <row r="3895">
      <c r="A3895" s="10"/>
      <c r="B3895" s="11"/>
      <c r="C3895" s="10"/>
      <c r="D3895" s="13"/>
      <c r="E3895" s="14"/>
      <c r="F3895" s="14"/>
      <c r="G3895" s="14"/>
      <c r="H3895" s="10"/>
      <c r="I3895" s="17"/>
      <c r="J3895" s="10"/>
      <c r="K3895" s="46"/>
      <c r="L3895" s="10"/>
      <c r="M3895" s="20"/>
      <c r="N3895" s="20"/>
      <c r="O3895" s="20"/>
      <c r="P3895" s="20"/>
    </row>
    <row r="3896">
      <c r="A3896" s="23"/>
      <c r="B3896" s="21"/>
      <c r="C3896" s="23"/>
      <c r="D3896" s="24"/>
      <c r="E3896" s="14"/>
      <c r="F3896" s="14"/>
      <c r="G3896" s="14"/>
      <c r="H3896" s="23"/>
      <c r="I3896" s="27"/>
      <c r="J3896" s="23"/>
      <c r="K3896" s="30"/>
      <c r="L3896" s="23"/>
      <c r="M3896" s="20"/>
      <c r="N3896" s="20"/>
      <c r="O3896" s="20"/>
      <c r="P3896" s="20"/>
    </row>
    <row r="3897">
      <c r="A3897" s="10"/>
      <c r="B3897" s="11"/>
      <c r="C3897" s="10"/>
      <c r="D3897" s="13"/>
      <c r="E3897" s="14"/>
      <c r="F3897" s="14"/>
      <c r="G3897" s="14"/>
      <c r="H3897" s="10"/>
      <c r="I3897" s="17"/>
      <c r="J3897" s="10"/>
      <c r="K3897" s="46"/>
      <c r="L3897" s="10"/>
      <c r="M3897" s="20"/>
      <c r="N3897" s="20"/>
      <c r="O3897" s="20"/>
      <c r="P3897" s="20"/>
    </row>
    <row r="3898">
      <c r="A3898" s="23"/>
      <c r="B3898" s="21"/>
      <c r="C3898" s="23"/>
      <c r="D3898" s="24"/>
      <c r="E3898" s="14"/>
      <c r="F3898" s="14"/>
      <c r="G3898" s="14"/>
      <c r="H3898" s="23"/>
      <c r="I3898" s="27"/>
      <c r="J3898" s="23"/>
      <c r="K3898" s="30"/>
      <c r="L3898" s="23"/>
      <c r="M3898" s="20"/>
      <c r="N3898" s="20"/>
      <c r="O3898" s="20"/>
      <c r="P3898" s="20"/>
    </row>
    <row r="3899">
      <c r="A3899" s="10"/>
      <c r="B3899" s="11"/>
      <c r="C3899" s="10"/>
      <c r="D3899" s="13"/>
      <c r="E3899" s="14"/>
      <c r="F3899" s="14"/>
      <c r="G3899" s="14"/>
      <c r="H3899" s="10"/>
      <c r="I3899" s="17"/>
      <c r="J3899" s="10"/>
      <c r="K3899" s="46"/>
      <c r="L3899" s="10"/>
      <c r="M3899" s="20"/>
      <c r="N3899" s="20"/>
      <c r="O3899" s="20"/>
      <c r="P3899" s="20"/>
    </row>
    <row r="3900">
      <c r="A3900" s="23"/>
      <c r="B3900" s="21"/>
      <c r="C3900" s="23"/>
      <c r="D3900" s="24"/>
      <c r="E3900" s="14"/>
      <c r="F3900" s="14"/>
      <c r="G3900" s="14"/>
      <c r="H3900" s="23"/>
      <c r="I3900" s="27"/>
      <c r="J3900" s="23"/>
      <c r="K3900" s="30"/>
      <c r="L3900" s="23"/>
      <c r="M3900" s="20"/>
      <c r="N3900" s="20"/>
      <c r="O3900" s="20"/>
      <c r="P3900" s="20"/>
    </row>
    <row r="3901">
      <c r="A3901" s="10"/>
      <c r="B3901" s="11"/>
      <c r="C3901" s="10"/>
      <c r="D3901" s="13"/>
      <c r="E3901" s="14"/>
      <c r="F3901" s="14"/>
      <c r="G3901" s="14"/>
      <c r="H3901" s="10"/>
      <c r="I3901" s="17"/>
      <c r="J3901" s="10"/>
      <c r="K3901" s="46"/>
      <c r="L3901" s="10"/>
      <c r="M3901" s="20"/>
      <c r="N3901" s="20"/>
      <c r="O3901" s="20"/>
      <c r="P3901" s="20"/>
    </row>
    <row r="3902">
      <c r="A3902" s="23"/>
      <c r="B3902" s="21"/>
      <c r="C3902" s="23"/>
      <c r="D3902" s="24"/>
      <c r="E3902" s="14"/>
      <c r="F3902" s="14"/>
      <c r="G3902" s="14"/>
      <c r="H3902" s="23"/>
      <c r="I3902" s="27"/>
      <c r="J3902" s="23"/>
      <c r="K3902" s="30"/>
      <c r="L3902" s="23"/>
      <c r="M3902" s="20"/>
      <c r="N3902" s="20"/>
      <c r="O3902" s="20"/>
      <c r="P3902" s="20"/>
    </row>
    <row r="3903">
      <c r="A3903" s="10"/>
      <c r="B3903" s="11"/>
      <c r="C3903" s="10"/>
      <c r="D3903" s="13"/>
      <c r="E3903" s="14"/>
      <c r="F3903" s="14"/>
      <c r="G3903" s="14"/>
      <c r="H3903" s="10"/>
      <c r="I3903" s="17"/>
      <c r="J3903" s="10"/>
      <c r="K3903" s="46"/>
      <c r="L3903" s="10"/>
      <c r="M3903" s="20"/>
      <c r="N3903" s="20"/>
      <c r="O3903" s="20"/>
      <c r="P3903" s="20"/>
    </row>
    <row r="3904">
      <c r="A3904" s="23"/>
      <c r="B3904" s="21"/>
      <c r="C3904" s="23"/>
      <c r="D3904" s="24"/>
      <c r="E3904" s="14"/>
      <c r="F3904" s="14"/>
      <c r="G3904" s="14"/>
      <c r="H3904" s="23"/>
      <c r="I3904" s="27"/>
      <c r="J3904" s="23"/>
      <c r="K3904" s="30"/>
      <c r="L3904" s="23"/>
      <c r="M3904" s="20"/>
      <c r="N3904" s="20"/>
      <c r="O3904" s="20"/>
      <c r="P3904" s="20"/>
    </row>
    <row r="3905">
      <c r="A3905" s="10"/>
      <c r="B3905" s="11"/>
      <c r="C3905" s="10"/>
      <c r="D3905" s="13"/>
      <c r="E3905" s="14"/>
      <c r="F3905" s="14"/>
      <c r="G3905" s="14"/>
      <c r="H3905" s="10"/>
      <c r="I3905" s="17"/>
      <c r="J3905" s="10"/>
      <c r="K3905" s="46"/>
      <c r="L3905" s="10"/>
      <c r="M3905" s="20"/>
      <c r="N3905" s="20"/>
      <c r="O3905" s="20"/>
      <c r="P3905" s="20"/>
    </row>
    <row r="3906">
      <c r="A3906" s="23"/>
      <c r="B3906" s="21"/>
      <c r="C3906" s="23"/>
      <c r="D3906" s="24"/>
      <c r="E3906" s="14"/>
      <c r="F3906" s="14"/>
      <c r="G3906" s="14"/>
      <c r="H3906" s="23"/>
      <c r="I3906" s="27"/>
      <c r="J3906" s="23"/>
      <c r="K3906" s="30"/>
      <c r="L3906" s="23"/>
      <c r="M3906" s="20"/>
      <c r="N3906" s="20"/>
      <c r="O3906" s="20"/>
      <c r="P3906" s="20"/>
    </row>
    <row r="3907">
      <c r="A3907" s="10"/>
      <c r="B3907" s="11"/>
      <c r="C3907" s="10"/>
      <c r="D3907" s="13"/>
      <c r="E3907" s="14"/>
      <c r="F3907" s="14"/>
      <c r="G3907" s="14"/>
      <c r="H3907" s="10"/>
      <c r="I3907" s="17"/>
      <c r="J3907" s="10"/>
      <c r="K3907" s="46"/>
      <c r="L3907" s="10"/>
      <c r="M3907" s="20"/>
      <c r="N3907" s="20"/>
      <c r="O3907" s="20"/>
      <c r="P3907" s="20"/>
    </row>
    <row r="3908">
      <c r="A3908" s="23"/>
      <c r="B3908" s="21"/>
      <c r="C3908" s="23"/>
      <c r="D3908" s="24"/>
      <c r="E3908" s="14"/>
      <c r="F3908" s="14"/>
      <c r="G3908" s="14"/>
      <c r="H3908" s="23"/>
      <c r="I3908" s="27"/>
      <c r="J3908" s="23"/>
      <c r="K3908" s="30"/>
      <c r="L3908" s="23"/>
      <c r="M3908" s="20"/>
      <c r="N3908" s="20"/>
      <c r="O3908" s="20"/>
      <c r="P3908" s="20"/>
    </row>
    <row r="3909">
      <c r="A3909" s="10"/>
      <c r="B3909" s="11"/>
      <c r="C3909" s="10"/>
      <c r="D3909" s="13"/>
      <c r="E3909" s="14"/>
      <c r="F3909" s="14"/>
      <c r="G3909" s="14"/>
      <c r="H3909" s="10"/>
      <c r="I3909" s="17"/>
      <c r="J3909" s="10"/>
      <c r="K3909" s="46"/>
      <c r="L3909" s="10"/>
      <c r="M3909" s="20"/>
      <c r="N3909" s="20"/>
      <c r="O3909" s="20"/>
      <c r="P3909" s="20"/>
    </row>
    <row r="3910">
      <c r="A3910" s="23"/>
      <c r="B3910" s="21"/>
      <c r="C3910" s="23"/>
      <c r="D3910" s="24"/>
      <c r="E3910" s="14"/>
      <c r="F3910" s="14"/>
      <c r="G3910" s="14"/>
      <c r="H3910" s="23"/>
      <c r="I3910" s="27"/>
      <c r="J3910" s="23"/>
      <c r="K3910" s="30"/>
      <c r="L3910" s="23"/>
      <c r="M3910" s="20"/>
      <c r="N3910" s="20"/>
      <c r="O3910" s="20"/>
      <c r="P3910" s="20"/>
    </row>
    <row r="3911">
      <c r="A3911" s="10"/>
      <c r="B3911" s="11"/>
      <c r="C3911" s="10"/>
      <c r="D3911" s="13"/>
      <c r="E3911" s="14"/>
      <c r="F3911" s="14"/>
      <c r="G3911" s="14"/>
      <c r="H3911" s="10"/>
      <c r="I3911" s="17"/>
      <c r="J3911" s="10"/>
      <c r="K3911" s="46"/>
      <c r="L3911" s="10"/>
      <c r="M3911" s="20"/>
      <c r="N3911" s="20"/>
      <c r="O3911" s="20"/>
      <c r="P3911" s="20"/>
    </row>
    <row r="3912">
      <c r="A3912" s="23"/>
      <c r="B3912" s="21"/>
      <c r="C3912" s="23"/>
      <c r="D3912" s="24"/>
      <c r="E3912" s="14"/>
      <c r="F3912" s="14"/>
      <c r="G3912" s="14"/>
      <c r="H3912" s="23"/>
      <c r="I3912" s="27"/>
      <c r="J3912" s="23"/>
      <c r="K3912" s="30"/>
      <c r="L3912" s="23"/>
      <c r="M3912" s="20"/>
      <c r="N3912" s="20"/>
      <c r="O3912" s="20"/>
      <c r="P3912" s="20"/>
    </row>
    <row r="3913">
      <c r="A3913" s="10"/>
      <c r="B3913" s="11"/>
      <c r="C3913" s="10"/>
      <c r="D3913" s="13"/>
      <c r="E3913" s="14"/>
      <c r="F3913" s="14"/>
      <c r="G3913" s="14"/>
      <c r="H3913" s="10"/>
      <c r="I3913" s="17"/>
      <c r="J3913" s="10"/>
      <c r="K3913" s="46"/>
      <c r="L3913" s="10"/>
      <c r="M3913" s="20"/>
      <c r="N3913" s="20"/>
      <c r="O3913" s="20"/>
      <c r="P3913" s="20"/>
    </row>
    <row r="3914">
      <c r="A3914" s="23"/>
      <c r="B3914" s="21"/>
      <c r="C3914" s="23"/>
      <c r="D3914" s="24"/>
      <c r="E3914" s="14"/>
      <c r="F3914" s="14"/>
      <c r="G3914" s="14"/>
      <c r="H3914" s="23"/>
      <c r="I3914" s="27"/>
      <c r="J3914" s="23"/>
      <c r="K3914" s="30"/>
      <c r="L3914" s="23"/>
      <c r="M3914" s="20"/>
      <c r="N3914" s="20"/>
      <c r="O3914" s="20"/>
      <c r="P3914" s="20"/>
    </row>
    <row r="3915">
      <c r="A3915" s="10"/>
      <c r="B3915" s="11"/>
      <c r="C3915" s="10"/>
      <c r="D3915" s="13"/>
      <c r="E3915" s="14"/>
      <c r="F3915" s="14"/>
      <c r="G3915" s="14"/>
      <c r="H3915" s="10"/>
      <c r="I3915" s="17"/>
      <c r="J3915" s="10"/>
      <c r="K3915" s="46"/>
      <c r="L3915" s="10"/>
      <c r="M3915" s="20"/>
      <c r="N3915" s="20"/>
      <c r="O3915" s="20"/>
      <c r="P3915" s="20"/>
    </row>
    <row r="3916">
      <c r="A3916" s="23"/>
      <c r="B3916" s="21"/>
      <c r="C3916" s="23"/>
      <c r="D3916" s="24"/>
      <c r="E3916" s="14"/>
      <c r="F3916" s="14"/>
      <c r="G3916" s="14"/>
      <c r="H3916" s="23"/>
      <c r="I3916" s="27"/>
      <c r="J3916" s="23"/>
      <c r="K3916" s="30"/>
      <c r="L3916" s="23"/>
      <c r="M3916" s="20"/>
      <c r="N3916" s="20"/>
      <c r="O3916" s="20"/>
      <c r="P3916" s="20"/>
    </row>
    <row r="3917">
      <c r="A3917" s="10"/>
      <c r="B3917" s="11"/>
      <c r="C3917" s="10"/>
      <c r="D3917" s="13"/>
      <c r="E3917" s="14"/>
      <c r="F3917" s="14"/>
      <c r="G3917" s="14"/>
      <c r="H3917" s="10"/>
      <c r="I3917" s="17"/>
      <c r="J3917" s="10"/>
      <c r="K3917" s="46"/>
      <c r="L3917" s="10"/>
      <c r="M3917" s="20"/>
      <c r="N3917" s="20"/>
      <c r="O3917" s="20"/>
      <c r="P3917" s="20"/>
    </row>
    <row r="3918">
      <c r="A3918" s="23"/>
      <c r="B3918" s="21"/>
      <c r="C3918" s="23"/>
      <c r="D3918" s="24"/>
      <c r="E3918" s="14"/>
      <c r="F3918" s="14"/>
      <c r="G3918" s="14"/>
      <c r="H3918" s="23"/>
      <c r="I3918" s="27"/>
      <c r="J3918" s="23"/>
      <c r="K3918" s="30"/>
      <c r="L3918" s="23"/>
      <c r="M3918" s="20"/>
      <c r="N3918" s="20"/>
      <c r="O3918" s="20"/>
      <c r="P3918" s="20"/>
    </row>
    <row r="3919">
      <c r="A3919" s="10"/>
      <c r="B3919" s="11"/>
      <c r="C3919" s="10"/>
      <c r="D3919" s="13"/>
      <c r="E3919" s="14"/>
      <c r="F3919" s="14"/>
      <c r="G3919" s="14"/>
      <c r="H3919" s="10"/>
      <c r="I3919" s="17"/>
      <c r="J3919" s="10"/>
      <c r="K3919" s="46"/>
      <c r="L3919" s="10"/>
      <c r="M3919" s="20"/>
      <c r="N3919" s="20"/>
      <c r="O3919" s="20"/>
      <c r="P3919" s="20"/>
    </row>
    <row r="3920">
      <c r="A3920" s="23"/>
      <c r="B3920" s="21"/>
      <c r="C3920" s="23"/>
      <c r="D3920" s="24"/>
      <c r="E3920" s="14"/>
      <c r="F3920" s="14"/>
      <c r="G3920" s="14"/>
      <c r="H3920" s="23"/>
      <c r="I3920" s="27"/>
      <c r="J3920" s="23"/>
      <c r="K3920" s="30"/>
      <c r="L3920" s="23"/>
      <c r="M3920" s="20"/>
      <c r="N3920" s="20"/>
      <c r="O3920" s="20"/>
      <c r="P3920" s="20"/>
    </row>
    <row r="3921">
      <c r="A3921" s="10"/>
      <c r="B3921" s="11"/>
      <c r="C3921" s="10"/>
      <c r="D3921" s="13"/>
      <c r="E3921" s="14"/>
      <c r="F3921" s="14"/>
      <c r="G3921" s="14"/>
      <c r="H3921" s="10"/>
      <c r="I3921" s="17"/>
      <c r="J3921" s="10"/>
      <c r="K3921" s="46"/>
      <c r="L3921" s="10"/>
      <c r="M3921" s="20"/>
      <c r="N3921" s="20"/>
      <c r="O3921" s="20"/>
      <c r="P3921" s="20"/>
    </row>
    <row r="3922">
      <c r="A3922" s="23"/>
      <c r="B3922" s="21"/>
      <c r="C3922" s="23"/>
      <c r="D3922" s="24"/>
      <c r="E3922" s="14"/>
      <c r="F3922" s="14"/>
      <c r="G3922" s="14"/>
      <c r="H3922" s="23"/>
      <c r="I3922" s="27"/>
      <c r="J3922" s="23"/>
      <c r="K3922" s="30"/>
      <c r="L3922" s="23"/>
      <c r="M3922" s="20"/>
      <c r="N3922" s="20"/>
      <c r="O3922" s="20"/>
      <c r="P3922" s="20"/>
    </row>
    <row r="3923">
      <c r="A3923" s="10"/>
      <c r="B3923" s="11"/>
      <c r="C3923" s="10"/>
      <c r="D3923" s="13"/>
      <c r="E3923" s="14"/>
      <c r="F3923" s="14"/>
      <c r="G3923" s="14"/>
      <c r="H3923" s="10"/>
      <c r="I3923" s="17"/>
      <c r="J3923" s="10"/>
      <c r="K3923" s="46"/>
      <c r="L3923" s="10"/>
      <c r="M3923" s="20"/>
      <c r="N3923" s="20"/>
      <c r="O3923" s="20"/>
      <c r="P3923" s="20"/>
    </row>
    <row r="3924">
      <c r="A3924" s="23"/>
      <c r="B3924" s="21"/>
      <c r="C3924" s="23"/>
      <c r="D3924" s="24"/>
      <c r="E3924" s="14"/>
      <c r="F3924" s="14"/>
      <c r="G3924" s="14"/>
      <c r="H3924" s="23"/>
      <c r="I3924" s="27"/>
      <c r="J3924" s="23"/>
      <c r="K3924" s="30"/>
      <c r="L3924" s="23"/>
      <c r="M3924" s="20"/>
      <c r="N3924" s="20"/>
      <c r="O3924" s="20"/>
      <c r="P3924" s="20"/>
    </row>
    <row r="3925">
      <c r="A3925" s="10"/>
      <c r="B3925" s="11"/>
      <c r="C3925" s="10"/>
      <c r="D3925" s="13"/>
      <c r="E3925" s="14"/>
      <c r="F3925" s="14"/>
      <c r="G3925" s="14"/>
      <c r="H3925" s="10"/>
      <c r="I3925" s="17"/>
      <c r="J3925" s="10"/>
      <c r="K3925" s="46"/>
      <c r="L3925" s="10"/>
      <c r="M3925" s="20"/>
      <c r="N3925" s="20"/>
      <c r="O3925" s="20"/>
      <c r="P3925" s="20"/>
    </row>
    <row r="3926">
      <c r="A3926" s="23"/>
      <c r="B3926" s="21"/>
      <c r="C3926" s="23"/>
      <c r="D3926" s="24"/>
      <c r="E3926" s="14"/>
      <c r="F3926" s="14"/>
      <c r="G3926" s="14"/>
      <c r="H3926" s="23"/>
      <c r="I3926" s="27"/>
      <c r="J3926" s="23"/>
      <c r="K3926" s="30"/>
      <c r="L3926" s="23"/>
      <c r="M3926" s="20"/>
      <c r="N3926" s="20"/>
      <c r="O3926" s="20"/>
      <c r="P3926" s="20"/>
    </row>
    <row r="3927">
      <c r="A3927" s="10"/>
      <c r="B3927" s="11"/>
      <c r="C3927" s="10"/>
      <c r="D3927" s="13"/>
      <c r="E3927" s="14"/>
      <c r="F3927" s="14"/>
      <c r="G3927" s="14"/>
      <c r="H3927" s="10"/>
      <c r="I3927" s="17"/>
      <c r="J3927" s="10"/>
      <c r="K3927" s="46"/>
      <c r="L3927" s="10"/>
      <c r="M3927" s="20"/>
      <c r="N3927" s="20"/>
      <c r="O3927" s="20"/>
      <c r="P3927" s="20"/>
    </row>
    <row r="3928">
      <c r="A3928" s="23"/>
      <c r="B3928" s="21"/>
      <c r="C3928" s="23"/>
      <c r="D3928" s="24"/>
      <c r="E3928" s="14"/>
      <c r="F3928" s="14"/>
      <c r="G3928" s="14"/>
      <c r="H3928" s="23"/>
      <c r="I3928" s="27"/>
      <c r="J3928" s="23"/>
      <c r="K3928" s="30"/>
      <c r="L3928" s="23"/>
      <c r="M3928" s="20"/>
      <c r="N3928" s="20"/>
      <c r="O3928" s="20"/>
      <c r="P3928" s="20"/>
    </row>
    <row r="3929">
      <c r="A3929" s="10"/>
      <c r="B3929" s="11"/>
      <c r="C3929" s="10"/>
      <c r="D3929" s="13"/>
      <c r="E3929" s="14"/>
      <c r="F3929" s="14"/>
      <c r="G3929" s="14"/>
      <c r="H3929" s="10"/>
      <c r="I3929" s="17"/>
      <c r="J3929" s="10"/>
      <c r="K3929" s="46"/>
      <c r="L3929" s="10"/>
      <c r="M3929" s="20"/>
      <c r="N3929" s="20"/>
      <c r="O3929" s="20"/>
      <c r="P3929" s="20"/>
    </row>
    <row r="3930">
      <c r="A3930" s="23"/>
      <c r="B3930" s="21"/>
      <c r="C3930" s="23"/>
      <c r="D3930" s="24"/>
      <c r="E3930" s="14"/>
      <c r="F3930" s="14"/>
      <c r="G3930" s="14"/>
      <c r="H3930" s="23"/>
      <c r="I3930" s="27"/>
      <c r="J3930" s="23"/>
      <c r="K3930" s="30"/>
      <c r="L3930" s="23"/>
      <c r="M3930" s="20"/>
      <c r="N3930" s="20"/>
      <c r="O3930" s="20"/>
      <c r="P3930" s="20"/>
    </row>
    <row r="3931">
      <c r="A3931" s="10"/>
      <c r="B3931" s="11"/>
      <c r="C3931" s="10"/>
      <c r="D3931" s="13"/>
      <c r="E3931" s="14"/>
      <c r="F3931" s="14"/>
      <c r="G3931" s="14"/>
      <c r="H3931" s="10"/>
      <c r="I3931" s="17"/>
      <c r="J3931" s="10"/>
      <c r="K3931" s="46"/>
      <c r="L3931" s="10"/>
      <c r="M3931" s="20"/>
      <c r="N3931" s="20"/>
      <c r="O3931" s="20"/>
      <c r="P3931" s="20"/>
    </row>
    <row r="3932">
      <c r="A3932" s="23"/>
      <c r="B3932" s="21"/>
      <c r="C3932" s="23"/>
      <c r="D3932" s="24"/>
      <c r="E3932" s="14"/>
      <c r="F3932" s="14"/>
      <c r="G3932" s="14"/>
      <c r="H3932" s="23"/>
      <c r="I3932" s="27"/>
      <c r="J3932" s="23"/>
      <c r="K3932" s="30"/>
      <c r="L3932" s="23"/>
      <c r="M3932" s="20"/>
      <c r="N3932" s="20"/>
      <c r="O3932" s="20"/>
      <c r="P3932" s="20"/>
    </row>
    <row r="3933">
      <c r="A3933" s="10"/>
      <c r="B3933" s="11"/>
      <c r="C3933" s="10"/>
      <c r="D3933" s="13"/>
      <c r="E3933" s="14"/>
      <c r="F3933" s="14"/>
      <c r="G3933" s="14"/>
      <c r="H3933" s="10"/>
      <c r="I3933" s="17"/>
      <c r="J3933" s="10"/>
      <c r="K3933" s="46"/>
      <c r="L3933" s="10"/>
      <c r="M3933" s="20"/>
      <c r="N3933" s="20"/>
      <c r="O3933" s="20"/>
      <c r="P3933" s="20"/>
    </row>
    <row r="3934">
      <c r="A3934" s="23"/>
      <c r="B3934" s="21"/>
      <c r="C3934" s="23"/>
      <c r="D3934" s="24"/>
      <c r="E3934" s="14"/>
      <c r="F3934" s="14"/>
      <c r="G3934" s="14"/>
      <c r="H3934" s="23"/>
      <c r="I3934" s="27"/>
      <c r="J3934" s="23"/>
      <c r="K3934" s="30"/>
      <c r="L3934" s="23"/>
      <c r="M3934" s="20"/>
      <c r="N3934" s="20"/>
      <c r="O3934" s="20"/>
      <c r="P3934" s="20"/>
    </row>
    <row r="3935">
      <c r="A3935" s="10"/>
      <c r="B3935" s="11"/>
      <c r="C3935" s="10"/>
      <c r="D3935" s="13"/>
      <c r="E3935" s="14"/>
      <c r="F3935" s="14"/>
      <c r="G3935" s="14"/>
      <c r="H3935" s="10"/>
      <c r="I3935" s="17"/>
      <c r="J3935" s="10"/>
      <c r="K3935" s="46"/>
      <c r="L3935" s="10"/>
      <c r="M3935" s="20"/>
      <c r="N3935" s="20"/>
      <c r="O3935" s="20"/>
      <c r="P3935" s="20"/>
    </row>
    <row r="3936">
      <c r="A3936" s="23"/>
      <c r="B3936" s="21"/>
      <c r="C3936" s="23"/>
      <c r="D3936" s="24"/>
      <c r="E3936" s="14"/>
      <c r="F3936" s="14"/>
      <c r="G3936" s="14"/>
      <c r="H3936" s="23"/>
      <c r="I3936" s="27"/>
      <c r="J3936" s="23"/>
      <c r="K3936" s="30"/>
      <c r="L3936" s="23"/>
      <c r="M3936" s="20"/>
      <c r="N3936" s="20"/>
      <c r="O3936" s="20"/>
      <c r="P3936" s="20"/>
    </row>
    <row r="3937">
      <c r="A3937" s="10"/>
      <c r="B3937" s="11"/>
      <c r="C3937" s="10"/>
      <c r="D3937" s="13"/>
      <c r="E3937" s="14"/>
      <c r="F3937" s="14"/>
      <c r="G3937" s="14"/>
      <c r="H3937" s="10"/>
      <c r="I3937" s="17"/>
      <c r="J3937" s="10"/>
      <c r="K3937" s="46"/>
      <c r="L3937" s="10"/>
      <c r="M3937" s="20"/>
      <c r="N3937" s="20"/>
      <c r="O3937" s="20"/>
      <c r="P3937" s="20"/>
    </row>
    <row r="3938">
      <c r="A3938" s="23"/>
      <c r="B3938" s="21"/>
      <c r="C3938" s="23"/>
      <c r="D3938" s="24"/>
      <c r="E3938" s="14"/>
      <c r="F3938" s="14"/>
      <c r="G3938" s="14"/>
      <c r="H3938" s="23"/>
      <c r="I3938" s="27"/>
      <c r="J3938" s="23"/>
      <c r="K3938" s="30"/>
      <c r="L3938" s="23"/>
      <c r="M3938" s="20"/>
      <c r="N3938" s="20"/>
      <c r="O3938" s="20"/>
      <c r="P3938" s="20"/>
    </row>
    <row r="3939">
      <c r="A3939" s="10"/>
      <c r="B3939" s="11"/>
      <c r="C3939" s="10"/>
      <c r="D3939" s="13"/>
      <c r="E3939" s="14"/>
      <c r="F3939" s="14"/>
      <c r="G3939" s="14"/>
      <c r="H3939" s="10"/>
      <c r="I3939" s="17"/>
      <c r="J3939" s="10"/>
      <c r="K3939" s="46"/>
      <c r="L3939" s="10"/>
      <c r="M3939" s="20"/>
      <c r="N3939" s="20"/>
      <c r="O3939" s="20"/>
      <c r="P3939" s="20"/>
    </row>
    <row r="3940">
      <c r="A3940" s="23"/>
      <c r="B3940" s="21"/>
      <c r="C3940" s="23"/>
      <c r="D3940" s="24"/>
      <c r="E3940" s="14"/>
      <c r="F3940" s="14"/>
      <c r="G3940" s="14"/>
      <c r="H3940" s="23"/>
      <c r="I3940" s="27"/>
      <c r="J3940" s="23"/>
      <c r="K3940" s="30"/>
      <c r="L3940" s="23"/>
      <c r="M3940" s="20"/>
      <c r="N3940" s="20"/>
      <c r="O3940" s="20"/>
      <c r="P3940" s="20"/>
    </row>
    <row r="3941">
      <c r="A3941" s="10"/>
      <c r="B3941" s="11"/>
      <c r="C3941" s="10"/>
      <c r="D3941" s="13"/>
      <c r="E3941" s="14"/>
      <c r="F3941" s="14"/>
      <c r="G3941" s="14"/>
      <c r="H3941" s="10"/>
      <c r="I3941" s="17"/>
      <c r="J3941" s="10"/>
      <c r="K3941" s="46"/>
      <c r="L3941" s="10"/>
      <c r="M3941" s="20"/>
      <c r="N3941" s="20"/>
      <c r="O3941" s="20"/>
      <c r="P3941" s="20"/>
    </row>
    <row r="3942">
      <c r="A3942" s="23"/>
      <c r="B3942" s="21"/>
      <c r="C3942" s="23"/>
      <c r="D3942" s="24"/>
      <c r="E3942" s="14"/>
      <c r="F3942" s="14"/>
      <c r="G3942" s="14"/>
      <c r="H3942" s="23"/>
      <c r="I3942" s="27"/>
      <c r="J3942" s="23"/>
      <c r="K3942" s="30"/>
      <c r="L3942" s="23"/>
      <c r="M3942" s="20"/>
      <c r="N3942" s="20"/>
      <c r="O3942" s="20"/>
      <c r="P3942" s="20"/>
    </row>
    <row r="3943">
      <c r="A3943" s="10"/>
      <c r="B3943" s="11"/>
      <c r="C3943" s="10"/>
      <c r="D3943" s="13"/>
      <c r="E3943" s="14"/>
      <c r="F3943" s="14"/>
      <c r="G3943" s="14"/>
      <c r="H3943" s="10"/>
      <c r="I3943" s="17"/>
      <c r="J3943" s="10"/>
      <c r="K3943" s="46"/>
      <c r="L3943" s="10"/>
      <c r="M3943" s="20"/>
      <c r="N3943" s="20"/>
      <c r="O3943" s="20"/>
      <c r="P3943" s="20"/>
    </row>
    <row r="3944">
      <c r="A3944" s="23"/>
      <c r="B3944" s="21"/>
      <c r="C3944" s="23"/>
      <c r="D3944" s="24"/>
      <c r="E3944" s="14"/>
      <c r="F3944" s="14"/>
      <c r="G3944" s="14"/>
      <c r="H3944" s="23"/>
      <c r="I3944" s="27"/>
      <c r="J3944" s="23"/>
      <c r="K3944" s="30"/>
      <c r="L3944" s="23"/>
      <c r="M3944" s="20"/>
      <c r="N3944" s="20"/>
      <c r="O3944" s="20"/>
      <c r="P3944" s="20"/>
    </row>
    <row r="3945">
      <c r="A3945" s="10"/>
      <c r="B3945" s="11"/>
      <c r="C3945" s="10"/>
      <c r="D3945" s="13"/>
      <c r="E3945" s="14"/>
      <c r="F3945" s="14"/>
      <c r="G3945" s="14"/>
      <c r="H3945" s="10"/>
      <c r="I3945" s="17"/>
      <c r="J3945" s="10"/>
      <c r="K3945" s="46"/>
      <c r="L3945" s="10"/>
      <c r="M3945" s="20"/>
      <c r="N3945" s="20"/>
      <c r="O3945" s="20"/>
      <c r="P3945" s="20"/>
    </row>
    <row r="3946">
      <c r="A3946" s="23"/>
      <c r="B3946" s="21"/>
      <c r="C3946" s="23"/>
      <c r="D3946" s="24"/>
      <c r="E3946" s="14"/>
      <c r="F3946" s="14"/>
      <c r="G3946" s="14"/>
      <c r="H3946" s="23"/>
      <c r="I3946" s="27"/>
      <c r="J3946" s="23"/>
      <c r="K3946" s="30"/>
      <c r="L3946" s="23"/>
      <c r="M3946" s="20"/>
      <c r="N3946" s="20"/>
      <c r="O3946" s="20"/>
      <c r="P3946" s="20"/>
    </row>
    <row r="3947">
      <c r="A3947" s="10"/>
      <c r="B3947" s="11"/>
      <c r="C3947" s="10"/>
      <c r="D3947" s="13"/>
      <c r="E3947" s="14"/>
      <c r="F3947" s="14"/>
      <c r="G3947" s="14"/>
      <c r="H3947" s="10"/>
      <c r="I3947" s="17"/>
      <c r="J3947" s="10"/>
      <c r="K3947" s="46"/>
      <c r="L3947" s="10"/>
      <c r="M3947" s="20"/>
      <c r="N3947" s="20"/>
      <c r="O3947" s="20"/>
      <c r="P3947" s="20"/>
    </row>
    <row r="3948">
      <c r="A3948" s="23"/>
      <c r="B3948" s="21"/>
      <c r="C3948" s="23"/>
      <c r="D3948" s="24"/>
      <c r="E3948" s="14"/>
      <c r="F3948" s="14"/>
      <c r="G3948" s="14"/>
      <c r="H3948" s="23"/>
      <c r="I3948" s="27"/>
      <c r="J3948" s="23"/>
      <c r="K3948" s="30"/>
      <c r="L3948" s="23"/>
      <c r="M3948" s="20"/>
      <c r="N3948" s="20"/>
      <c r="O3948" s="20"/>
      <c r="P3948" s="20"/>
    </row>
    <row r="3949">
      <c r="A3949" s="10"/>
      <c r="B3949" s="11"/>
      <c r="C3949" s="10"/>
      <c r="D3949" s="13"/>
      <c r="E3949" s="14"/>
      <c r="F3949" s="14"/>
      <c r="G3949" s="14"/>
      <c r="H3949" s="10"/>
      <c r="I3949" s="17"/>
      <c r="J3949" s="10"/>
      <c r="K3949" s="46"/>
      <c r="L3949" s="10"/>
      <c r="M3949" s="20"/>
      <c r="N3949" s="20"/>
      <c r="O3949" s="20"/>
      <c r="P3949" s="20"/>
    </row>
    <row r="3950">
      <c r="A3950" s="23"/>
      <c r="B3950" s="21"/>
      <c r="C3950" s="23"/>
      <c r="D3950" s="24"/>
      <c r="E3950" s="14"/>
      <c r="F3950" s="14"/>
      <c r="G3950" s="14"/>
      <c r="H3950" s="23"/>
      <c r="I3950" s="27"/>
      <c r="J3950" s="23"/>
      <c r="K3950" s="30"/>
      <c r="L3950" s="23"/>
      <c r="M3950" s="20"/>
      <c r="N3950" s="20"/>
      <c r="O3950" s="20"/>
      <c r="P3950" s="20"/>
    </row>
    <row r="3951">
      <c r="A3951" s="10"/>
      <c r="B3951" s="11"/>
      <c r="C3951" s="10"/>
      <c r="D3951" s="13"/>
      <c r="E3951" s="14"/>
      <c r="F3951" s="14"/>
      <c r="G3951" s="14"/>
      <c r="H3951" s="10"/>
      <c r="I3951" s="17"/>
      <c r="J3951" s="10"/>
      <c r="K3951" s="46"/>
      <c r="L3951" s="10"/>
      <c r="M3951" s="20"/>
      <c r="N3951" s="20"/>
      <c r="O3951" s="20"/>
      <c r="P3951" s="20"/>
    </row>
    <row r="3952">
      <c r="A3952" s="23"/>
      <c r="B3952" s="21"/>
      <c r="C3952" s="23"/>
      <c r="D3952" s="24"/>
      <c r="E3952" s="14"/>
      <c r="F3952" s="14"/>
      <c r="G3952" s="14"/>
      <c r="H3952" s="23"/>
      <c r="I3952" s="27"/>
      <c r="J3952" s="23"/>
      <c r="K3952" s="30"/>
      <c r="L3952" s="23"/>
      <c r="M3952" s="20"/>
      <c r="N3952" s="20"/>
      <c r="O3952" s="20"/>
      <c r="P3952" s="20"/>
    </row>
    <row r="3953">
      <c r="A3953" s="10"/>
      <c r="B3953" s="11"/>
      <c r="C3953" s="10"/>
      <c r="D3953" s="13"/>
      <c r="E3953" s="14"/>
      <c r="F3953" s="14"/>
      <c r="G3953" s="14"/>
      <c r="H3953" s="10"/>
      <c r="I3953" s="17"/>
      <c r="J3953" s="10"/>
      <c r="K3953" s="46"/>
      <c r="L3953" s="10"/>
      <c r="M3953" s="20"/>
      <c r="N3953" s="20"/>
      <c r="O3953" s="20"/>
      <c r="P3953" s="20"/>
    </row>
    <row r="3954">
      <c r="A3954" s="23"/>
      <c r="B3954" s="21"/>
      <c r="C3954" s="23"/>
      <c r="D3954" s="24"/>
      <c r="E3954" s="14"/>
      <c r="F3954" s="14"/>
      <c r="G3954" s="14"/>
      <c r="H3954" s="23"/>
      <c r="I3954" s="27"/>
      <c r="J3954" s="23"/>
      <c r="K3954" s="30"/>
      <c r="L3954" s="23"/>
      <c r="M3954" s="20"/>
      <c r="N3954" s="20"/>
      <c r="O3954" s="20"/>
      <c r="P3954" s="20"/>
    </row>
    <row r="3955">
      <c r="A3955" s="10"/>
      <c r="B3955" s="11"/>
      <c r="C3955" s="10"/>
      <c r="D3955" s="13"/>
      <c r="E3955" s="14"/>
      <c r="F3955" s="14"/>
      <c r="G3955" s="14"/>
      <c r="H3955" s="10"/>
      <c r="I3955" s="17"/>
      <c r="J3955" s="10"/>
      <c r="K3955" s="46"/>
      <c r="L3955" s="10"/>
      <c r="M3955" s="20"/>
      <c r="N3955" s="20"/>
      <c r="O3955" s="20"/>
      <c r="P3955" s="20"/>
    </row>
    <row r="3956">
      <c r="A3956" s="23"/>
      <c r="B3956" s="21"/>
      <c r="C3956" s="23"/>
      <c r="D3956" s="24"/>
      <c r="E3956" s="14"/>
      <c r="F3956" s="14"/>
      <c r="G3956" s="14"/>
      <c r="H3956" s="23"/>
      <c r="I3956" s="27"/>
      <c r="J3956" s="23"/>
      <c r="K3956" s="30"/>
      <c r="L3956" s="23"/>
      <c r="M3956" s="20"/>
      <c r="N3956" s="20"/>
      <c r="O3956" s="20"/>
      <c r="P3956" s="20"/>
    </row>
    <row r="3957">
      <c r="A3957" s="10"/>
      <c r="B3957" s="11"/>
      <c r="C3957" s="10"/>
      <c r="D3957" s="13"/>
      <c r="E3957" s="14"/>
      <c r="F3957" s="14"/>
      <c r="G3957" s="14"/>
      <c r="H3957" s="10"/>
      <c r="I3957" s="17"/>
      <c r="J3957" s="10"/>
      <c r="K3957" s="46"/>
      <c r="L3957" s="10"/>
      <c r="M3957" s="20"/>
      <c r="N3957" s="20"/>
      <c r="O3957" s="20"/>
      <c r="P3957" s="20"/>
    </row>
    <row r="3958">
      <c r="A3958" s="23"/>
      <c r="B3958" s="21"/>
      <c r="C3958" s="23"/>
      <c r="D3958" s="24"/>
      <c r="E3958" s="14"/>
      <c r="F3958" s="14"/>
      <c r="G3958" s="14"/>
      <c r="H3958" s="23"/>
      <c r="I3958" s="27"/>
      <c r="J3958" s="23"/>
      <c r="K3958" s="30"/>
      <c r="L3958" s="23"/>
      <c r="M3958" s="20"/>
      <c r="N3958" s="20"/>
      <c r="O3958" s="20"/>
      <c r="P3958" s="20"/>
    </row>
    <row r="3959">
      <c r="A3959" s="10"/>
      <c r="B3959" s="11"/>
      <c r="C3959" s="10"/>
      <c r="D3959" s="13"/>
      <c r="E3959" s="14"/>
      <c r="F3959" s="14"/>
      <c r="G3959" s="14"/>
      <c r="H3959" s="10"/>
      <c r="I3959" s="17"/>
      <c r="J3959" s="10"/>
      <c r="K3959" s="46"/>
      <c r="L3959" s="10"/>
      <c r="M3959" s="20"/>
      <c r="N3959" s="20"/>
      <c r="O3959" s="20"/>
      <c r="P3959" s="20"/>
    </row>
    <row r="3960">
      <c r="A3960" s="23"/>
      <c r="B3960" s="21"/>
      <c r="C3960" s="23"/>
      <c r="D3960" s="24"/>
      <c r="E3960" s="14"/>
      <c r="F3960" s="14"/>
      <c r="G3960" s="14"/>
      <c r="H3960" s="23"/>
      <c r="I3960" s="27"/>
      <c r="J3960" s="23"/>
      <c r="K3960" s="30"/>
      <c r="L3960" s="23"/>
      <c r="M3960" s="20"/>
      <c r="N3960" s="20"/>
      <c r="O3960" s="20"/>
      <c r="P3960" s="20"/>
    </row>
    <row r="3961">
      <c r="A3961" s="10"/>
      <c r="B3961" s="11"/>
      <c r="C3961" s="10"/>
      <c r="D3961" s="13"/>
      <c r="E3961" s="14"/>
      <c r="F3961" s="14"/>
      <c r="G3961" s="14"/>
      <c r="H3961" s="10"/>
      <c r="I3961" s="17"/>
      <c r="J3961" s="10"/>
      <c r="K3961" s="46"/>
      <c r="L3961" s="10"/>
      <c r="M3961" s="20"/>
      <c r="N3961" s="20"/>
      <c r="O3961" s="20"/>
      <c r="P3961" s="20"/>
    </row>
    <row r="3962">
      <c r="A3962" s="23"/>
      <c r="B3962" s="21"/>
      <c r="C3962" s="23"/>
      <c r="D3962" s="24"/>
      <c r="E3962" s="14"/>
      <c r="F3962" s="14"/>
      <c r="G3962" s="14"/>
      <c r="H3962" s="23"/>
      <c r="I3962" s="27"/>
      <c r="J3962" s="23"/>
      <c r="K3962" s="30"/>
      <c r="L3962" s="23"/>
      <c r="M3962" s="20"/>
      <c r="N3962" s="20"/>
      <c r="O3962" s="20"/>
      <c r="P3962" s="20"/>
    </row>
    <row r="3963">
      <c r="A3963" s="10"/>
      <c r="B3963" s="11"/>
      <c r="C3963" s="10"/>
      <c r="D3963" s="13"/>
      <c r="E3963" s="14"/>
      <c r="F3963" s="14"/>
      <c r="G3963" s="14"/>
      <c r="H3963" s="10"/>
      <c r="I3963" s="17"/>
      <c r="J3963" s="10"/>
      <c r="K3963" s="46"/>
      <c r="L3963" s="10"/>
      <c r="M3963" s="20"/>
      <c r="N3963" s="20"/>
      <c r="O3963" s="20"/>
      <c r="P3963" s="20"/>
    </row>
    <row r="3964">
      <c r="A3964" s="23"/>
      <c r="B3964" s="21"/>
      <c r="C3964" s="23"/>
      <c r="D3964" s="24"/>
      <c r="E3964" s="14"/>
      <c r="F3964" s="14"/>
      <c r="G3964" s="14"/>
      <c r="H3964" s="23"/>
      <c r="I3964" s="27"/>
      <c r="J3964" s="23"/>
      <c r="K3964" s="30"/>
      <c r="L3964" s="23"/>
      <c r="M3964" s="20"/>
      <c r="N3964" s="20"/>
      <c r="O3964" s="20"/>
      <c r="P3964" s="20"/>
    </row>
    <row r="3965">
      <c r="A3965" s="10"/>
      <c r="B3965" s="11"/>
      <c r="C3965" s="10"/>
      <c r="D3965" s="13"/>
      <c r="E3965" s="14"/>
      <c r="F3965" s="14"/>
      <c r="G3965" s="14"/>
      <c r="H3965" s="10"/>
      <c r="I3965" s="17"/>
      <c r="J3965" s="10"/>
      <c r="K3965" s="46"/>
      <c r="L3965" s="10"/>
      <c r="M3965" s="20"/>
      <c r="N3965" s="20"/>
      <c r="O3965" s="20"/>
      <c r="P3965" s="20"/>
    </row>
    <row r="3966">
      <c r="A3966" s="23"/>
      <c r="B3966" s="21"/>
      <c r="C3966" s="23"/>
      <c r="D3966" s="24"/>
      <c r="E3966" s="14"/>
      <c r="F3966" s="14"/>
      <c r="G3966" s="14"/>
      <c r="H3966" s="23"/>
      <c r="I3966" s="27"/>
      <c r="J3966" s="23"/>
      <c r="K3966" s="30"/>
      <c r="L3966" s="23"/>
      <c r="M3966" s="20"/>
      <c r="N3966" s="20"/>
      <c r="O3966" s="20"/>
      <c r="P3966" s="20"/>
    </row>
    <row r="3967">
      <c r="A3967" s="10"/>
      <c r="B3967" s="11"/>
      <c r="C3967" s="10"/>
      <c r="D3967" s="13"/>
      <c r="E3967" s="14"/>
      <c r="F3967" s="14"/>
      <c r="G3967" s="14"/>
      <c r="H3967" s="10"/>
      <c r="I3967" s="17"/>
      <c r="J3967" s="10"/>
      <c r="K3967" s="46"/>
      <c r="L3967" s="10"/>
      <c r="M3967" s="20"/>
      <c r="N3967" s="20"/>
      <c r="O3967" s="20"/>
      <c r="P3967" s="20"/>
    </row>
    <row r="3968">
      <c r="A3968" s="23"/>
      <c r="B3968" s="21"/>
      <c r="C3968" s="23"/>
      <c r="D3968" s="24"/>
      <c r="E3968" s="14"/>
      <c r="F3968" s="14"/>
      <c r="G3968" s="14"/>
      <c r="H3968" s="23"/>
      <c r="I3968" s="27"/>
      <c r="J3968" s="23"/>
      <c r="K3968" s="30"/>
      <c r="L3968" s="23"/>
      <c r="M3968" s="20"/>
      <c r="N3968" s="20"/>
      <c r="O3968" s="20"/>
      <c r="P3968" s="20"/>
    </row>
    <row r="3969">
      <c r="A3969" s="10"/>
      <c r="B3969" s="11"/>
      <c r="C3969" s="10"/>
      <c r="D3969" s="13"/>
      <c r="E3969" s="14"/>
      <c r="F3969" s="14"/>
      <c r="G3969" s="14"/>
      <c r="H3969" s="10"/>
      <c r="I3969" s="17"/>
      <c r="J3969" s="10"/>
      <c r="K3969" s="46"/>
      <c r="L3969" s="10"/>
      <c r="M3969" s="20"/>
      <c r="N3969" s="20"/>
      <c r="O3969" s="20"/>
      <c r="P3969" s="20"/>
    </row>
    <row r="3970">
      <c r="A3970" s="23"/>
      <c r="B3970" s="21"/>
      <c r="C3970" s="23"/>
      <c r="D3970" s="24"/>
      <c r="E3970" s="14"/>
      <c r="F3970" s="14"/>
      <c r="G3970" s="14"/>
      <c r="H3970" s="23"/>
      <c r="I3970" s="27"/>
      <c r="J3970" s="23"/>
      <c r="K3970" s="30"/>
      <c r="L3970" s="23"/>
      <c r="M3970" s="20"/>
      <c r="N3970" s="20"/>
      <c r="O3970" s="20"/>
      <c r="P3970" s="20"/>
    </row>
    <row r="3971">
      <c r="A3971" s="10"/>
      <c r="B3971" s="11"/>
      <c r="C3971" s="10"/>
      <c r="D3971" s="13"/>
      <c r="E3971" s="14"/>
      <c r="F3971" s="14"/>
      <c r="G3971" s="14"/>
      <c r="H3971" s="10"/>
      <c r="I3971" s="17"/>
      <c r="J3971" s="10"/>
      <c r="K3971" s="46"/>
      <c r="L3971" s="10"/>
      <c r="M3971" s="20"/>
      <c r="N3971" s="20"/>
      <c r="O3971" s="20"/>
      <c r="P3971" s="20"/>
    </row>
    <row r="3972">
      <c r="A3972" s="23"/>
      <c r="B3972" s="21"/>
      <c r="C3972" s="23"/>
      <c r="D3972" s="24"/>
      <c r="E3972" s="14"/>
      <c r="F3972" s="14"/>
      <c r="G3972" s="14"/>
      <c r="H3972" s="23"/>
      <c r="I3972" s="27"/>
      <c r="J3972" s="23"/>
      <c r="K3972" s="30"/>
      <c r="L3972" s="23"/>
      <c r="M3972" s="20"/>
      <c r="N3972" s="20"/>
      <c r="O3972" s="20"/>
      <c r="P3972" s="20"/>
    </row>
    <row r="3973">
      <c r="A3973" s="10"/>
      <c r="B3973" s="11"/>
      <c r="C3973" s="10"/>
      <c r="D3973" s="13"/>
      <c r="E3973" s="14"/>
      <c r="F3973" s="14"/>
      <c r="G3973" s="14"/>
      <c r="H3973" s="10"/>
      <c r="I3973" s="17"/>
      <c r="J3973" s="10"/>
      <c r="K3973" s="46"/>
      <c r="L3973" s="10"/>
      <c r="M3973" s="20"/>
      <c r="N3973" s="20"/>
      <c r="O3973" s="20"/>
      <c r="P3973" s="20"/>
    </row>
    <row r="3974">
      <c r="A3974" s="23"/>
      <c r="B3974" s="21"/>
      <c r="C3974" s="23"/>
      <c r="D3974" s="24"/>
      <c r="E3974" s="14"/>
      <c r="F3974" s="14"/>
      <c r="G3974" s="14"/>
      <c r="H3974" s="23"/>
      <c r="I3974" s="27"/>
      <c r="J3974" s="23"/>
      <c r="K3974" s="30"/>
      <c r="L3974" s="23"/>
      <c r="M3974" s="20"/>
      <c r="N3974" s="20"/>
      <c r="O3974" s="20"/>
      <c r="P3974" s="20"/>
    </row>
    <row r="3975">
      <c r="A3975" s="10"/>
      <c r="B3975" s="11"/>
      <c r="C3975" s="10"/>
      <c r="D3975" s="13"/>
      <c r="E3975" s="14"/>
      <c r="F3975" s="14"/>
      <c r="G3975" s="14"/>
      <c r="H3975" s="10"/>
      <c r="I3975" s="17"/>
      <c r="J3975" s="10"/>
      <c r="K3975" s="46"/>
      <c r="L3975" s="10"/>
      <c r="M3975" s="20"/>
      <c r="N3975" s="20"/>
      <c r="O3975" s="20"/>
      <c r="P3975" s="20"/>
    </row>
    <row r="3976">
      <c r="A3976" s="23"/>
      <c r="B3976" s="21"/>
      <c r="C3976" s="23"/>
      <c r="D3976" s="24"/>
      <c r="E3976" s="14"/>
      <c r="F3976" s="14"/>
      <c r="G3976" s="14"/>
      <c r="H3976" s="23"/>
      <c r="I3976" s="27"/>
      <c r="J3976" s="23"/>
      <c r="K3976" s="30"/>
      <c r="L3976" s="23"/>
      <c r="M3976" s="20"/>
      <c r="N3976" s="20"/>
      <c r="O3976" s="20"/>
      <c r="P3976" s="20"/>
    </row>
    <row r="3977">
      <c r="A3977" s="10"/>
      <c r="B3977" s="11"/>
      <c r="C3977" s="10"/>
      <c r="D3977" s="13"/>
      <c r="E3977" s="14"/>
      <c r="F3977" s="14"/>
      <c r="G3977" s="14"/>
      <c r="H3977" s="10"/>
      <c r="I3977" s="17"/>
      <c r="J3977" s="10"/>
      <c r="K3977" s="46"/>
      <c r="L3977" s="10"/>
      <c r="M3977" s="20"/>
      <c r="N3977" s="20"/>
      <c r="O3977" s="20"/>
      <c r="P3977" s="20"/>
    </row>
    <row r="3978">
      <c r="A3978" s="23"/>
      <c r="B3978" s="21"/>
      <c r="C3978" s="23"/>
      <c r="D3978" s="24"/>
      <c r="E3978" s="14"/>
      <c r="F3978" s="14"/>
      <c r="G3978" s="14"/>
      <c r="H3978" s="23"/>
      <c r="I3978" s="27"/>
      <c r="J3978" s="23"/>
      <c r="K3978" s="30"/>
      <c r="L3978" s="23"/>
      <c r="M3978" s="20"/>
      <c r="N3978" s="20"/>
      <c r="O3978" s="20"/>
      <c r="P3978" s="20"/>
    </row>
    <row r="3979">
      <c r="A3979" s="10"/>
      <c r="B3979" s="11"/>
      <c r="C3979" s="10"/>
      <c r="D3979" s="13"/>
      <c r="E3979" s="14"/>
      <c r="F3979" s="14"/>
      <c r="G3979" s="14"/>
      <c r="H3979" s="10"/>
      <c r="I3979" s="17"/>
      <c r="J3979" s="10"/>
      <c r="K3979" s="46"/>
      <c r="L3979" s="10"/>
      <c r="M3979" s="20"/>
      <c r="N3979" s="20"/>
      <c r="O3979" s="20"/>
      <c r="P3979" s="20"/>
    </row>
    <row r="3980">
      <c r="A3980" s="23"/>
      <c r="B3980" s="21"/>
      <c r="C3980" s="23"/>
      <c r="D3980" s="24"/>
      <c r="E3980" s="14"/>
      <c r="F3980" s="14"/>
      <c r="G3980" s="14"/>
      <c r="H3980" s="23"/>
      <c r="I3980" s="27"/>
      <c r="J3980" s="23"/>
      <c r="K3980" s="30"/>
      <c r="L3980" s="23"/>
      <c r="M3980" s="20"/>
      <c r="N3980" s="20"/>
      <c r="O3980" s="20"/>
      <c r="P3980" s="20"/>
    </row>
    <row r="3981">
      <c r="A3981" s="10"/>
      <c r="B3981" s="11"/>
      <c r="C3981" s="10"/>
      <c r="D3981" s="13"/>
      <c r="E3981" s="14"/>
      <c r="F3981" s="14"/>
      <c r="G3981" s="14"/>
      <c r="H3981" s="10"/>
      <c r="I3981" s="17"/>
      <c r="J3981" s="10"/>
      <c r="K3981" s="46"/>
      <c r="L3981" s="10"/>
      <c r="M3981" s="20"/>
      <c r="N3981" s="20"/>
      <c r="O3981" s="20"/>
      <c r="P3981" s="20"/>
    </row>
    <row r="3982">
      <c r="A3982" s="23"/>
      <c r="B3982" s="21"/>
      <c r="C3982" s="23"/>
      <c r="D3982" s="24"/>
      <c r="E3982" s="14"/>
      <c r="F3982" s="14"/>
      <c r="G3982" s="14"/>
      <c r="H3982" s="23"/>
      <c r="I3982" s="27"/>
      <c r="J3982" s="23"/>
      <c r="K3982" s="30"/>
      <c r="L3982" s="23"/>
      <c r="M3982" s="20"/>
      <c r="N3982" s="20"/>
      <c r="O3982" s="20"/>
      <c r="P3982" s="20"/>
    </row>
    <row r="3983">
      <c r="A3983" s="10"/>
      <c r="B3983" s="11"/>
      <c r="C3983" s="10"/>
      <c r="D3983" s="13"/>
      <c r="E3983" s="14"/>
      <c r="F3983" s="14"/>
      <c r="G3983" s="14"/>
      <c r="H3983" s="10"/>
      <c r="I3983" s="17"/>
      <c r="J3983" s="10"/>
      <c r="K3983" s="46"/>
      <c r="L3983" s="10"/>
      <c r="M3983" s="20"/>
      <c r="N3983" s="20"/>
      <c r="O3983" s="20"/>
      <c r="P3983" s="20"/>
    </row>
    <row r="3984">
      <c r="A3984" s="23"/>
      <c r="B3984" s="21"/>
      <c r="C3984" s="23"/>
      <c r="D3984" s="24"/>
      <c r="E3984" s="14"/>
      <c r="F3984" s="14"/>
      <c r="G3984" s="14"/>
      <c r="H3984" s="23"/>
      <c r="I3984" s="27"/>
      <c r="J3984" s="23"/>
      <c r="K3984" s="30"/>
      <c r="L3984" s="23"/>
      <c r="M3984" s="20"/>
      <c r="N3984" s="20"/>
      <c r="O3984" s="20"/>
      <c r="P3984" s="20"/>
    </row>
    <row r="3985">
      <c r="A3985" s="10"/>
      <c r="B3985" s="11"/>
      <c r="C3985" s="10"/>
      <c r="D3985" s="13"/>
      <c r="E3985" s="14"/>
      <c r="F3985" s="14"/>
      <c r="G3985" s="14"/>
      <c r="H3985" s="10"/>
      <c r="I3985" s="17"/>
      <c r="J3985" s="10"/>
      <c r="K3985" s="46"/>
      <c r="L3985" s="10"/>
      <c r="M3985" s="20"/>
      <c r="N3985" s="20"/>
      <c r="O3985" s="20"/>
      <c r="P3985" s="20"/>
    </row>
    <row r="3986">
      <c r="A3986" s="23"/>
      <c r="B3986" s="21"/>
      <c r="C3986" s="23"/>
      <c r="D3986" s="24"/>
      <c r="E3986" s="14"/>
      <c r="F3986" s="14"/>
      <c r="G3986" s="14"/>
      <c r="H3986" s="23"/>
      <c r="I3986" s="27"/>
      <c r="J3986" s="23"/>
      <c r="K3986" s="30"/>
      <c r="L3986" s="23"/>
      <c r="M3986" s="20"/>
      <c r="N3986" s="20"/>
      <c r="O3986" s="20"/>
      <c r="P3986" s="20"/>
    </row>
    <row r="3987">
      <c r="A3987" s="10"/>
      <c r="B3987" s="11"/>
      <c r="C3987" s="10"/>
      <c r="D3987" s="13"/>
      <c r="E3987" s="14"/>
      <c r="F3987" s="14"/>
      <c r="G3987" s="14"/>
      <c r="H3987" s="10"/>
      <c r="I3987" s="17"/>
      <c r="J3987" s="10"/>
      <c r="K3987" s="46"/>
      <c r="L3987" s="10"/>
      <c r="M3987" s="20"/>
      <c r="N3987" s="20"/>
      <c r="O3987" s="20"/>
      <c r="P3987" s="20"/>
    </row>
    <row r="3988">
      <c r="A3988" s="23"/>
      <c r="B3988" s="21"/>
      <c r="C3988" s="23"/>
      <c r="D3988" s="24"/>
      <c r="E3988" s="14"/>
      <c r="F3988" s="14"/>
      <c r="G3988" s="14"/>
      <c r="H3988" s="23"/>
      <c r="I3988" s="27"/>
      <c r="J3988" s="23"/>
      <c r="K3988" s="30"/>
      <c r="L3988" s="23"/>
      <c r="M3988" s="20"/>
      <c r="N3988" s="20"/>
      <c r="O3988" s="20"/>
      <c r="P3988" s="20"/>
    </row>
    <row r="3989">
      <c r="A3989" s="10"/>
      <c r="B3989" s="11"/>
      <c r="C3989" s="10"/>
      <c r="D3989" s="13"/>
      <c r="E3989" s="14"/>
      <c r="F3989" s="14"/>
      <c r="G3989" s="14"/>
      <c r="H3989" s="10"/>
      <c r="I3989" s="17"/>
      <c r="J3989" s="10"/>
      <c r="K3989" s="46"/>
      <c r="L3989" s="10"/>
      <c r="M3989" s="20"/>
      <c r="N3989" s="20"/>
      <c r="O3989" s="20"/>
      <c r="P3989" s="20"/>
    </row>
    <row r="3990">
      <c r="A3990" s="23"/>
      <c r="B3990" s="21"/>
      <c r="C3990" s="23"/>
      <c r="D3990" s="24"/>
      <c r="E3990" s="14"/>
      <c r="F3990" s="14"/>
      <c r="G3990" s="14"/>
      <c r="H3990" s="23"/>
      <c r="I3990" s="27"/>
      <c r="J3990" s="23"/>
      <c r="K3990" s="30"/>
      <c r="L3990" s="23"/>
      <c r="M3990" s="20"/>
      <c r="N3990" s="20"/>
      <c r="O3990" s="20"/>
      <c r="P3990" s="20"/>
    </row>
    <row r="3991">
      <c r="A3991" s="10"/>
      <c r="B3991" s="11"/>
      <c r="C3991" s="10"/>
      <c r="D3991" s="13"/>
      <c r="E3991" s="14"/>
      <c r="F3991" s="14"/>
      <c r="G3991" s="14"/>
      <c r="H3991" s="10"/>
      <c r="I3991" s="17"/>
      <c r="J3991" s="10"/>
      <c r="K3991" s="46"/>
      <c r="L3991" s="10"/>
      <c r="M3991" s="20"/>
      <c r="N3991" s="20"/>
      <c r="O3991" s="20"/>
      <c r="P3991" s="20"/>
    </row>
    <row r="3992">
      <c r="A3992" s="23"/>
      <c r="B3992" s="21"/>
      <c r="C3992" s="23"/>
      <c r="D3992" s="24"/>
      <c r="E3992" s="14"/>
      <c r="F3992" s="14"/>
      <c r="G3992" s="14"/>
      <c r="H3992" s="23"/>
      <c r="I3992" s="27"/>
      <c r="J3992" s="23"/>
      <c r="K3992" s="30"/>
      <c r="L3992" s="23"/>
      <c r="M3992" s="20"/>
      <c r="N3992" s="20"/>
      <c r="O3992" s="20"/>
      <c r="P3992" s="20"/>
    </row>
    <row r="3993">
      <c r="A3993" s="10"/>
      <c r="B3993" s="11"/>
      <c r="C3993" s="10"/>
      <c r="D3993" s="13"/>
      <c r="E3993" s="14"/>
      <c r="F3993" s="14"/>
      <c r="G3993" s="14"/>
      <c r="H3993" s="10"/>
      <c r="I3993" s="17"/>
      <c r="J3993" s="10"/>
      <c r="K3993" s="46"/>
      <c r="L3993" s="10"/>
      <c r="M3993" s="20"/>
      <c r="N3993" s="20"/>
      <c r="O3993" s="20"/>
      <c r="P3993" s="20"/>
    </row>
    <row r="3994">
      <c r="A3994" s="23"/>
      <c r="B3994" s="21"/>
      <c r="C3994" s="23"/>
      <c r="D3994" s="24"/>
      <c r="E3994" s="14"/>
      <c r="F3994" s="14"/>
      <c r="G3994" s="14"/>
      <c r="H3994" s="23"/>
      <c r="I3994" s="27"/>
      <c r="J3994" s="23"/>
      <c r="K3994" s="30"/>
      <c r="L3994" s="23"/>
      <c r="M3994" s="20"/>
      <c r="N3994" s="20"/>
      <c r="O3994" s="20"/>
      <c r="P3994" s="20"/>
    </row>
    <row r="3995">
      <c r="A3995" s="10"/>
      <c r="B3995" s="11"/>
      <c r="C3995" s="10"/>
      <c r="D3995" s="13"/>
      <c r="E3995" s="14"/>
      <c r="F3995" s="14"/>
      <c r="G3995" s="14"/>
      <c r="H3995" s="10"/>
      <c r="I3995" s="17"/>
      <c r="J3995" s="10"/>
      <c r="K3995" s="46"/>
      <c r="L3995" s="10"/>
      <c r="M3995" s="20"/>
      <c r="N3995" s="20"/>
      <c r="O3995" s="20"/>
      <c r="P3995" s="20"/>
    </row>
    <row r="3996">
      <c r="A3996" s="23"/>
      <c r="B3996" s="21"/>
      <c r="C3996" s="23"/>
      <c r="D3996" s="24"/>
      <c r="E3996" s="14"/>
      <c r="F3996" s="14"/>
      <c r="G3996" s="14"/>
      <c r="H3996" s="23"/>
      <c r="I3996" s="27"/>
      <c r="J3996" s="23"/>
      <c r="K3996" s="30"/>
      <c r="L3996" s="23"/>
      <c r="M3996" s="20"/>
      <c r="N3996" s="20"/>
      <c r="O3996" s="20"/>
      <c r="P3996" s="20"/>
    </row>
    <row r="3997">
      <c r="A3997" s="10"/>
      <c r="B3997" s="11"/>
      <c r="C3997" s="10"/>
      <c r="D3997" s="13"/>
      <c r="E3997" s="14"/>
      <c r="F3997" s="14"/>
      <c r="G3997" s="14"/>
      <c r="H3997" s="10"/>
      <c r="I3997" s="17"/>
      <c r="J3997" s="10"/>
      <c r="K3997" s="46"/>
      <c r="L3997" s="10"/>
      <c r="M3997" s="20"/>
      <c r="N3997" s="20"/>
      <c r="O3997" s="20"/>
      <c r="P3997" s="20"/>
    </row>
    <row r="3998">
      <c r="A3998" s="23"/>
      <c r="B3998" s="21"/>
      <c r="C3998" s="23"/>
      <c r="D3998" s="24"/>
      <c r="E3998" s="14"/>
      <c r="F3998" s="14"/>
      <c r="G3998" s="14"/>
      <c r="H3998" s="23"/>
      <c r="I3998" s="27"/>
      <c r="J3998" s="23"/>
      <c r="K3998" s="30"/>
      <c r="L3998" s="23"/>
      <c r="M3998" s="20"/>
      <c r="N3998" s="20"/>
      <c r="O3998" s="20"/>
      <c r="P3998" s="20"/>
    </row>
    <row r="3999">
      <c r="A3999" s="10"/>
      <c r="B3999" s="11"/>
      <c r="C3999" s="10"/>
      <c r="D3999" s="13"/>
      <c r="E3999" s="14"/>
      <c r="F3999" s="14"/>
      <c r="G3999" s="14"/>
      <c r="H3999" s="10"/>
      <c r="I3999" s="17"/>
      <c r="J3999" s="10"/>
      <c r="K3999" s="46"/>
      <c r="L3999" s="10"/>
      <c r="M3999" s="20"/>
      <c r="N3999" s="20"/>
      <c r="O3999" s="20"/>
      <c r="P3999" s="20"/>
    </row>
    <row r="4000">
      <c r="A4000" s="23"/>
      <c r="B4000" s="21"/>
      <c r="C4000" s="23"/>
      <c r="D4000" s="24"/>
      <c r="E4000" s="14"/>
      <c r="F4000" s="14"/>
      <c r="G4000" s="14"/>
      <c r="H4000" s="23"/>
      <c r="I4000" s="27"/>
      <c r="J4000" s="23"/>
      <c r="K4000" s="30"/>
      <c r="L4000" s="23"/>
      <c r="M4000" s="20"/>
      <c r="N4000" s="20"/>
      <c r="O4000" s="20"/>
      <c r="P4000" s="20"/>
    </row>
    <row r="4001">
      <c r="A4001" s="10"/>
      <c r="B4001" s="11"/>
      <c r="C4001" s="10"/>
      <c r="D4001" s="13"/>
      <c r="E4001" s="14"/>
      <c r="F4001" s="14"/>
      <c r="G4001" s="14"/>
      <c r="H4001" s="10"/>
      <c r="I4001" s="17"/>
      <c r="J4001" s="10"/>
      <c r="K4001" s="46"/>
      <c r="L4001" s="10"/>
      <c r="M4001" s="20"/>
      <c r="N4001" s="20"/>
      <c r="O4001" s="20"/>
      <c r="P4001" s="20"/>
    </row>
    <row r="4002">
      <c r="A4002" s="23"/>
      <c r="B4002" s="21"/>
      <c r="C4002" s="23"/>
      <c r="D4002" s="24"/>
      <c r="E4002" s="14"/>
      <c r="F4002" s="14"/>
      <c r="G4002" s="14"/>
      <c r="H4002" s="23"/>
      <c r="I4002" s="27"/>
      <c r="J4002" s="23"/>
      <c r="K4002" s="30"/>
      <c r="L4002" s="23"/>
      <c r="M4002" s="20"/>
      <c r="N4002" s="20"/>
      <c r="O4002" s="20"/>
      <c r="P4002" s="20"/>
    </row>
    <row r="4003">
      <c r="A4003" s="10"/>
      <c r="B4003" s="11"/>
      <c r="C4003" s="10"/>
      <c r="D4003" s="13"/>
      <c r="E4003" s="14"/>
      <c r="F4003" s="14"/>
      <c r="G4003" s="14"/>
      <c r="H4003" s="10"/>
      <c r="I4003" s="17"/>
      <c r="J4003" s="10"/>
      <c r="K4003" s="46"/>
      <c r="L4003" s="10"/>
      <c r="M4003" s="20"/>
      <c r="N4003" s="20"/>
      <c r="O4003" s="20"/>
      <c r="P4003" s="20"/>
    </row>
    <row r="4004">
      <c r="A4004" s="23"/>
      <c r="B4004" s="21"/>
      <c r="C4004" s="23"/>
      <c r="D4004" s="24"/>
      <c r="E4004" s="14"/>
      <c r="F4004" s="14"/>
      <c r="G4004" s="14"/>
      <c r="H4004" s="23"/>
      <c r="I4004" s="27"/>
      <c r="J4004" s="23"/>
      <c r="K4004" s="30"/>
      <c r="L4004" s="23"/>
      <c r="M4004" s="20"/>
      <c r="N4004" s="20"/>
      <c r="O4004" s="20"/>
      <c r="P4004" s="20"/>
    </row>
    <row r="4005">
      <c r="A4005" s="10"/>
      <c r="B4005" s="11"/>
      <c r="C4005" s="10"/>
      <c r="D4005" s="13"/>
      <c r="E4005" s="14"/>
      <c r="F4005" s="14"/>
      <c r="G4005" s="14"/>
      <c r="H4005" s="10"/>
      <c r="I4005" s="17"/>
      <c r="J4005" s="10"/>
      <c r="K4005" s="46"/>
      <c r="L4005" s="10"/>
      <c r="M4005" s="20"/>
      <c r="N4005" s="20"/>
      <c r="O4005" s="20"/>
      <c r="P4005" s="20"/>
    </row>
    <row r="4006">
      <c r="A4006" s="23"/>
      <c r="B4006" s="21"/>
      <c r="C4006" s="23"/>
      <c r="D4006" s="24"/>
      <c r="E4006" s="14"/>
      <c r="F4006" s="14"/>
      <c r="G4006" s="14"/>
      <c r="H4006" s="23"/>
      <c r="I4006" s="27"/>
      <c r="J4006" s="23"/>
      <c r="K4006" s="30"/>
      <c r="L4006" s="23"/>
      <c r="M4006" s="20"/>
      <c r="N4006" s="20"/>
      <c r="O4006" s="20"/>
      <c r="P4006" s="20"/>
    </row>
    <row r="4007">
      <c r="A4007" s="10"/>
      <c r="B4007" s="11"/>
      <c r="C4007" s="10"/>
      <c r="D4007" s="13"/>
      <c r="E4007" s="14"/>
      <c r="F4007" s="14"/>
      <c r="G4007" s="14"/>
      <c r="H4007" s="10"/>
      <c r="I4007" s="17"/>
      <c r="J4007" s="10"/>
      <c r="K4007" s="46"/>
      <c r="L4007" s="10"/>
      <c r="M4007" s="20"/>
      <c r="N4007" s="20"/>
      <c r="O4007" s="20"/>
      <c r="P4007" s="20"/>
    </row>
    <row r="4008">
      <c r="A4008" s="23"/>
      <c r="B4008" s="21"/>
      <c r="C4008" s="23"/>
      <c r="D4008" s="24"/>
      <c r="E4008" s="14"/>
      <c r="F4008" s="14"/>
      <c r="G4008" s="14"/>
      <c r="H4008" s="23"/>
      <c r="I4008" s="27"/>
      <c r="J4008" s="23"/>
      <c r="K4008" s="30"/>
      <c r="L4008" s="23"/>
      <c r="M4008" s="20"/>
      <c r="N4008" s="20"/>
      <c r="O4008" s="20"/>
      <c r="P4008" s="20"/>
    </row>
    <row r="4009">
      <c r="A4009" s="10"/>
      <c r="B4009" s="11"/>
      <c r="C4009" s="10"/>
      <c r="D4009" s="13"/>
      <c r="E4009" s="14"/>
      <c r="F4009" s="14"/>
      <c r="G4009" s="14"/>
      <c r="H4009" s="10"/>
      <c r="I4009" s="17"/>
      <c r="J4009" s="10"/>
      <c r="K4009" s="46"/>
      <c r="L4009" s="10"/>
      <c r="M4009" s="20"/>
      <c r="N4009" s="20"/>
      <c r="O4009" s="20"/>
      <c r="P4009" s="20"/>
    </row>
    <row r="4010">
      <c r="A4010" s="23"/>
      <c r="B4010" s="21"/>
      <c r="C4010" s="23"/>
      <c r="D4010" s="24"/>
      <c r="E4010" s="14"/>
      <c r="F4010" s="14"/>
      <c r="G4010" s="14"/>
      <c r="H4010" s="23"/>
      <c r="I4010" s="27"/>
      <c r="J4010" s="23"/>
      <c r="K4010" s="30"/>
      <c r="L4010" s="23"/>
      <c r="M4010" s="20"/>
      <c r="N4010" s="20"/>
      <c r="O4010" s="20"/>
      <c r="P4010" s="20"/>
    </row>
    <row r="4011">
      <c r="A4011" s="10"/>
      <c r="B4011" s="11"/>
      <c r="C4011" s="10"/>
      <c r="D4011" s="13"/>
      <c r="E4011" s="14"/>
      <c r="F4011" s="14"/>
      <c r="G4011" s="14"/>
      <c r="H4011" s="10"/>
      <c r="I4011" s="17"/>
      <c r="J4011" s="10"/>
      <c r="K4011" s="46"/>
      <c r="L4011" s="10"/>
      <c r="M4011" s="20"/>
      <c r="N4011" s="20"/>
      <c r="O4011" s="20"/>
      <c r="P4011" s="20"/>
    </row>
    <row r="4012">
      <c r="A4012" s="23"/>
      <c r="B4012" s="21"/>
      <c r="C4012" s="23"/>
      <c r="D4012" s="24"/>
      <c r="E4012" s="14"/>
      <c r="F4012" s="14"/>
      <c r="G4012" s="14"/>
      <c r="H4012" s="23"/>
      <c r="I4012" s="27"/>
      <c r="J4012" s="23"/>
      <c r="K4012" s="30"/>
      <c r="L4012" s="23"/>
      <c r="M4012" s="20"/>
      <c r="N4012" s="20"/>
      <c r="O4012" s="20"/>
      <c r="P4012" s="20"/>
    </row>
    <row r="4013">
      <c r="A4013" s="10"/>
      <c r="B4013" s="11"/>
      <c r="C4013" s="10"/>
      <c r="D4013" s="13"/>
      <c r="E4013" s="14"/>
      <c r="F4013" s="14"/>
      <c r="G4013" s="14"/>
      <c r="H4013" s="10"/>
      <c r="I4013" s="17"/>
      <c r="J4013" s="10"/>
      <c r="K4013" s="46"/>
      <c r="L4013" s="10"/>
      <c r="M4013" s="20"/>
      <c r="N4013" s="20"/>
      <c r="O4013" s="20"/>
      <c r="P4013" s="20"/>
    </row>
    <row r="4014">
      <c r="A4014" s="23"/>
      <c r="B4014" s="21"/>
      <c r="C4014" s="23"/>
      <c r="D4014" s="24"/>
      <c r="E4014" s="14"/>
      <c r="F4014" s="14"/>
      <c r="G4014" s="14"/>
      <c r="H4014" s="23"/>
      <c r="I4014" s="27"/>
      <c r="J4014" s="23"/>
      <c r="K4014" s="30"/>
      <c r="L4014" s="23"/>
      <c r="M4014" s="20"/>
      <c r="N4014" s="20"/>
      <c r="O4014" s="20"/>
      <c r="P4014" s="20"/>
    </row>
    <row r="4015">
      <c r="A4015" s="10"/>
      <c r="B4015" s="11"/>
      <c r="C4015" s="10"/>
      <c r="D4015" s="13"/>
      <c r="E4015" s="14"/>
      <c r="F4015" s="14"/>
      <c r="G4015" s="14"/>
      <c r="H4015" s="10"/>
      <c r="I4015" s="17"/>
      <c r="J4015" s="10"/>
      <c r="K4015" s="46"/>
      <c r="L4015" s="10"/>
      <c r="M4015" s="20"/>
      <c r="N4015" s="20"/>
      <c r="O4015" s="20"/>
      <c r="P4015" s="20"/>
    </row>
    <row r="4016">
      <c r="A4016" s="23"/>
      <c r="B4016" s="21"/>
      <c r="C4016" s="23"/>
      <c r="D4016" s="24"/>
      <c r="E4016" s="14"/>
      <c r="F4016" s="14"/>
      <c r="G4016" s="14"/>
      <c r="H4016" s="23"/>
      <c r="I4016" s="27"/>
      <c r="J4016" s="23"/>
      <c r="K4016" s="30"/>
      <c r="L4016" s="23"/>
      <c r="M4016" s="20"/>
      <c r="N4016" s="20"/>
      <c r="O4016" s="20"/>
      <c r="P4016" s="20"/>
    </row>
    <row r="4017">
      <c r="A4017" s="10"/>
      <c r="B4017" s="11"/>
      <c r="C4017" s="10"/>
      <c r="D4017" s="13"/>
      <c r="E4017" s="14"/>
      <c r="F4017" s="14"/>
      <c r="G4017" s="14"/>
      <c r="H4017" s="10"/>
      <c r="I4017" s="17"/>
      <c r="J4017" s="10"/>
      <c r="K4017" s="46"/>
      <c r="L4017" s="10"/>
      <c r="M4017" s="20"/>
      <c r="N4017" s="20"/>
      <c r="O4017" s="20"/>
      <c r="P4017" s="20"/>
    </row>
    <row r="4018">
      <c r="A4018" s="23"/>
      <c r="B4018" s="21"/>
      <c r="C4018" s="23"/>
      <c r="D4018" s="24"/>
      <c r="E4018" s="14"/>
      <c r="F4018" s="14"/>
      <c r="G4018" s="14"/>
      <c r="H4018" s="23"/>
      <c r="I4018" s="27"/>
      <c r="J4018" s="23"/>
      <c r="K4018" s="30"/>
      <c r="L4018" s="23"/>
      <c r="M4018" s="20"/>
      <c r="N4018" s="20"/>
      <c r="O4018" s="20"/>
      <c r="P4018" s="20"/>
    </row>
    <row r="4019">
      <c r="A4019" s="10"/>
      <c r="B4019" s="11"/>
      <c r="C4019" s="10"/>
      <c r="D4019" s="13"/>
      <c r="E4019" s="14"/>
      <c r="F4019" s="14"/>
      <c r="G4019" s="14"/>
      <c r="H4019" s="10"/>
      <c r="I4019" s="17"/>
      <c r="J4019" s="10"/>
      <c r="K4019" s="46"/>
      <c r="L4019" s="10"/>
      <c r="M4019" s="20"/>
      <c r="N4019" s="20"/>
      <c r="O4019" s="20"/>
      <c r="P4019" s="20"/>
    </row>
    <row r="4020">
      <c r="A4020" s="23"/>
      <c r="B4020" s="21"/>
      <c r="C4020" s="23"/>
      <c r="D4020" s="24"/>
      <c r="E4020" s="14"/>
      <c r="F4020" s="14"/>
      <c r="G4020" s="14"/>
      <c r="H4020" s="23"/>
      <c r="I4020" s="27"/>
      <c r="J4020" s="23"/>
      <c r="K4020" s="30"/>
      <c r="L4020" s="23"/>
      <c r="M4020" s="20"/>
      <c r="N4020" s="20"/>
      <c r="O4020" s="20"/>
      <c r="P4020" s="20"/>
    </row>
    <row r="4021">
      <c r="A4021" s="10"/>
      <c r="B4021" s="11"/>
      <c r="C4021" s="10"/>
      <c r="D4021" s="13"/>
      <c r="E4021" s="14"/>
      <c r="F4021" s="14"/>
      <c r="G4021" s="14"/>
      <c r="H4021" s="10"/>
      <c r="I4021" s="17"/>
      <c r="J4021" s="10"/>
      <c r="K4021" s="46"/>
      <c r="L4021" s="10"/>
      <c r="M4021" s="20"/>
      <c r="N4021" s="20"/>
      <c r="O4021" s="20"/>
      <c r="P4021" s="20"/>
    </row>
    <row r="4022">
      <c r="A4022" s="23"/>
      <c r="B4022" s="21"/>
      <c r="C4022" s="23"/>
      <c r="D4022" s="24"/>
      <c r="E4022" s="14"/>
      <c r="F4022" s="14"/>
      <c r="G4022" s="14"/>
      <c r="H4022" s="23"/>
      <c r="I4022" s="27"/>
      <c r="J4022" s="23"/>
      <c r="K4022" s="30"/>
      <c r="L4022" s="23"/>
      <c r="M4022" s="20"/>
      <c r="N4022" s="20"/>
      <c r="O4022" s="20"/>
      <c r="P4022" s="20"/>
    </row>
    <row r="4023">
      <c r="A4023" s="10"/>
      <c r="B4023" s="11"/>
      <c r="C4023" s="10"/>
      <c r="D4023" s="13"/>
      <c r="E4023" s="14"/>
      <c r="F4023" s="14"/>
      <c r="G4023" s="14"/>
      <c r="H4023" s="10"/>
      <c r="I4023" s="17"/>
      <c r="J4023" s="10"/>
      <c r="K4023" s="46"/>
      <c r="L4023" s="10"/>
      <c r="M4023" s="20"/>
      <c r="N4023" s="20"/>
      <c r="O4023" s="20"/>
      <c r="P4023" s="20"/>
    </row>
    <row r="4024">
      <c r="A4024" s="23"/>
      <c r="B4024" s="21"/>
      <c r="C4024" s="23"/>
      <c r="D4024" s="24"/>
      <c r="E4024" s="14"/>
      <c r="F4024" s="14"/>
      <c r="G4024" s="14"/>
      <c r="H4024" s="23"/>
      <c r="I4024" s="27"/>
      <c r="J4024" s="23"/>
      <c r="K4024" s="30"/>
      <c r="L4024" s="23"/>
      <c r="M4024" s="20"/>
      <c r="N4024" s="20"/>
      <c r="O4024" s="20"/>
      <c r="P4024" s="20"/>
    </row>
    <row r="4025">
      <c r="A4025" s="10"/>
      <c r="B4025" s="11"/>
      <c r="C4025" s="10"/>
      <c r="D4025" s="13"/>
      <c r="E4025" s="14"/>
      <c r="F4025" s="14"/>
      <c r="G4025" s="14"/>
      <c r="H4025" s="10"/>
      <c r="I4025" s="17"/>
      <c r="J4025" s="10"/>
      <c r="K4025" s="46"/>
      <c r="L4025" s="10"/>
      <c r="M4025" s="20"/>
      <c r="N4025" s="20"/>
      <c r="O4025" s="20"/>
      <c r="P4025" s="20"/>
    </row>
    <row r="4026">
      <c r="A4026" s="23"/>
      <c r="B4026" s="21"/>
      <c r="C4026" s="23"/>
      <c r="D4026" s="24"/>
      <c r="E4026" s="14"/>
      <c r="F4026" s="14"/>
      <c r="G4026" s="14"/>
      <c r="H4026" s="23"/>
      <c r="I4026" s="27"/>
      <c r="J4026" s="23"/>
      <c r="K4026" s="30"/>
      <c r="L4026" s="23"/>
      <c r="M4026" s="20"/>
      <c r="N4026" s="20"/>
      <c r="O4026" s="20"/>
      <c r="P4026" s="20"/>
    </row>
    <row r="4027">
      <c r="A4027" s="10"/>
      <c r="B4027" s="11"/>
      <c r="C4027" s="10"/>
      <c r="D4027" s="13"/>
      <c r="E4027" s="14"/>
      <c r="F4027" s="14"/>
      <c r="G4027" s="14"/>
      <c r="H4027" s="10"/>
      <c r="I4027" s="17"/>
      <c r="J4027" s="10"/>
      <c r="K4027" s="46"/>
      <c r="L4027" s="10"/>
      <c r="M4027" s="20"/>
      <c r="N4027" s="20"/>
      <c r="O4027" s="20"/>
      <c r="P4027" s="20"/>
    </row>
    <row r="4028">
      <c r="A4028" s="23"/>
      <c r="B4028" s="21"/>
      <c r="C4028" s="23"/>
      <c r="D4028" s="24"/>
      <c r="E4028" s="14"/>
      <c r="F4028" s="14"/>
      <c r="G4028" s="14"/>
      <c r="H4028" s="23"/>
      <c r="I4028" s="27"/>
      <c r="J4028" s="23"/>
      <c r="K4028" s="30"/>
      <c r="L4028" s="23"/>
      <c r="M4028" s="20"/>
      <c r="N4028" s="20"/>
      <c r="O4028" s="20"/>
      <c r="P4028" s="20"/>
    </row>
    <row r="4029">
      <c r="A4029" s="10"/>
      <c r="B4029" s="11"/>
      <c r="C4029" s="10"/>
      <c r="D4029" s="13"/>
      <c r="E4029" s="14"/>
      <c r="F4029" s="14"/>
      <c r="G4029" s="14"/>
      <c r="H4029" s="10"/>
      <c r="I4029" s="17"/>
      <c r="J4029" s="10"/>
      <c r="K4029" s="46"/>
      <c r="L4029" s="10"/>
      <c r="M4029" s="20"/>
      <c r="N4029" s="20"/>
      <c r="O4029" s="20"/>
      <c r="P4029" s="20"/>
    </row>
    <row r="4030">
      <c r="A4030" s="23"/>
      <c r="B4030" s="21"/>
      <c r="C4030" s="23"/>
      <c r="D4030" s="24"/>
      <c r="E4030" s="14"/>
      <c r="F4030" s="14"/>
      <c r="G4030" s="14"/>
      <c r="H4030" s="23"/>
      <c r="I4030" s="27"/>
      <c r="J4030" s="23"/>
      <c r="K4030" s="30"/>
      <c r="L4030" s="23"/>
      <c r="M4030" s="20"/>
      <c r="N4030" s="20"/>
      <c r="O4030" s="20"/>
      <c r="P4030" s="20"/>
    </row>
    <row r="4031">
      <c r="A4031" s="10"/>
      <c r="B4031" s="11"/>
      <c r="C4031" s="10"/>
      <c r="D4031" s="13"/>
      <c r="E4031" s="14"/>
      <c r="F4031" s="14"/>
      <c r="G4031" s="14"/>
      <c r="H4031" s="10"/>
      <c r="I4031" s="17"/>
      <c r="J4031" s="10"/>
      <c r="K4031" s="46"/>
      <c r="L4031" s="10"/>
      <c r="M4031" s="20"/>
      <c r="N4031" s="20"/>
      <c r="O4031" s="20"/>
      <c r="P4031" s="20"/>
    </row>
    <row r="4032">
      <c r="A4032" s="23"/>
      <c r="B4032" s="21"/>
      <c r="C4032" s="23"/>
      <c r="D4032" s="24"/>
      <c r="E4032" s="14"/>
      <c r="F4032" s="14"/>
      <c r="G4032" s="14"/>
      <c r="H4032" s="23"/>
      <c r="I4032" s="27"/>
      <c r="J4032" s="23"/>
      <c r="K4032" s="30"/>
      <c r="L4032" s="23"/>
      <c r="M4032" s="20"/>
      <c r="N4032" s="20"/>
      <c r="O4032" s="20"/>
      <c r="P4032" s="20"/>
    </row>
    <row r="4033">
      <c r="A4033" s="10"/>
      <c r="B4033" s="11"/>
      <c r="C4033" s="10"/>
      <c r="D4033" s="13"/>
      <c r="E4033" s="14"/>
      <c r="F4033" s="14"/>
      <c r="G4033" s="14"/>
      <c r="H4033" s="10"/>
      <c r="I4033" s="17"/>
      <c r="J4033" s="10"/>
      <c r="K4033" s="46"/>
      <c r="L4033" s="10"/>
      <c r="M4033" s="20"/>
      <c r="N4033" s="20"/>
      <c r="O4033" s="20"/>
      <c r="P4033" s="20"/>
    </row>
    <row r="4034">
      <c r="A4034" s="23"/>
      <c r="B4034" s="21"/>
      <c r="C4034" s="23"/>
      <c r="D4034" s="24"/>
      <c r="E4034" s="14"/>
      <c r="F4034" s="14"/>
      <c r="G4034" s="14"/>
      <c r="H4034" s="23"/>
      <c r="I4034" s="27"/>
      <c r="J4034" s="23"/>
      <c r="K4034" s="30"/>
      <c r="L4034" s="23"/>
      <c r="M4034" s="20"/>
      <c r="N4034" s="20"/>
      <c r="O4034" s="20"/>
      <c r="P4034" s="20"/>
    </row>
    <row r="4035">
      <c r="A4035" s="10"/>
      <c r="B4035" s="11"/>
      <c r="C4035" s="10"/>
      <c r="D4035" s="13"/>
      <c r="E4035" s="14"/>
      <c r="F4035" s="14"/>
      <c r="G4035" s="14"/>
      <c r="H4035" s="10"/>
      <c r="I4035" s="17"/>
      <c r="J4035" s="10"/>
      <c r="K4035" s="46"/>
      <c r="L4035" s="10"/>
      <c r="M4035" s="20"/>
      <c r="N4035" s="20"/>
      <c r="O4035" s="20"/>
      <c r="P4035" s="20"/>
    </row>
    <row r="4036">
      <c r="A4036" s="23"/>
      <c r="B4036" s="21"/>
      <c r="C4036" s="23"/>
      <c r="D4036" s="24"/>
      <c r="E4036" s="14"/>
      <c r="F4036" s="14"/>
      <c r="G4036" s="14"/>
      <c r="H4036" s="23"/>
      <c r="I4036" s="27"/>
      <c r="J4036" s="23"/>
      <c r="K4036" s="30"/>
      <c r="L4036" s="23"/>
      <c r="M4036" s="20"/>
      <c r="N4036" s="20"/>
      <c r="O4036" s="20"/>
      <c r="P4036" s="20"/>
    </row>
    <row r="4037">
      <c r="A4037" s="10"/>
      <c r="B4037" s="11"/>
      <c r="C4037" s="10"/>
      <c r="D4037" s="13"/>
      <c r="E4037" s="14"/>
      <c r="F4037" s="14"/>
      <c r="G4037" s="14"/>
      <c r="H4037" s="10"/>
      <c r="I4037" s="17"/>
      <c r="J4037" s="10"/>
      <c r="K4037" s="46"/>
      <c r="L4037" s="10"/>
      <c r="M4037" s="20"/>
      <c r="N4037" s="20"/>
      <c r="O4037" s="20"/>
      <c r="P4037" s="20"/>
    </row>
    <row r="4038">
      <c r="A4038" s="23"/>
      <c r="B4038" s="21"/>
      <c r="C4038" s="23"/>
      <c r="D4038" s="24"/>
      <c r="E4038" s="14"/>
      <c r="F4038" s="14"/>
      <c r="G4038" s="14"/>
      <c r="H4038" s="23"/>
      <c r="I4038" s="27"/>
      <c r="J4038" s="23"/>
      <c r="K4038" s="30"/>
      <c r="L4038" s="23"/>
      <c r="M4038" s="20"/>
      <c r="N4038" s="20"/>
      <c r="O4038" s="20"/>
      <c r="P4038" s="20"/>
    </row>
    <row r="4039">
      <c r="A4039" s="10"/>
      <c r="B4039" s="11"/>
      <c r="C4039" s="10"/>
      <c r="D4039" s="13"/>
      <c r="E4039" s="14"/>
      <c r="F4039" s="14"/>
      <c r="G4039" s="14"/>
      <c r="H4039" s="10"/>
      <c r="I4039" s="17"/>
      <c r="J4039" s="10"/>
      <c r="K4039" s="46"/>
      <c r="L4039" s="10"/>
      <c r="M4039" s="20"/>
      <c r="N4039" s="20"/>
      <c r="O4039" s="20"/>
      <c r="P4039" s="20"/>
    </row>
    <row r="4040">
      <c r="A4040" s="23"/>
      <c r="B4040" s="21"/>
      <c r="C4040" s="23"/>
      <c r="D4040" s="24"/>
      <c r="E4040" s="14"/>
      <c r="F4040" s="14"/>
      <c r="G4040" s="14"/>
      <c r="H4040" s="23"/>
      <c r="I4040" s="27"/>
      <c r="J4040" s="23"/>
      <c r="K4040" s="30"/>
      <c r="L4040" s="23"/>
      <c r="M4040" s="20"/>
      <c r="N4040" s="20"/>
      <c r="O4040" s="20"/>
      <c r="P4040" s="20"/>
    </row>
    <row r="4041">
      <c r="A4041" s="10"/>
      <c r="B4041" s="11"/>
      <c r="C4041" s="10"/>
      <c r="D4041" s="13"/>
      <c r="E4041" s="14"/>
      <c r="F4041" s="14"/>
      <c r="G4041" s="14"/>
      <c r="H4041" s="10"/>
      <c r="I4041" s="17"/>
      <c r="J4041" s="10"/>
      <c r="K4041" s="46"/>
      <c r="L4041" s="10"/>
      <c r="M4041" s="20"/>
      <c r="N4041" s="20"/>
      <c r="O4041" s="20"/>
      <c r="P4041" s="20"/>
    </row>
    <row r="4042">
      <c r="A4042" s="23"/>
      <c r="B4042" s="21"/>
      <c r="C4042" s="23"/>
      <c r="D4042" s="24"/>
      <c r="E4042" s="14"/>
      <c r="F4042" s="14"/>
      <c r="G4042" s="14"/>
      <c r="H4042" s="23"/>
      <c r="I4042" s="27"/>
      <c r="J4042" s="23"/>
      <c r="K4042" s="30"/>
      <c r="L4042" s="23"/>
      <c r="M4042" s="20"/>
      <c r="N4042" s="20"/>
      <c r="O4042" s="20"/>
      <c r="P4042" s="20"/>
    </row>
    <row r="4043">
      <c r="A4043" s="10"/>
      <c r="B4043" s="11"/>
      <c r="C4043" s="10"/>
      <c r="D4043" s="13"/>
      <c r="E4043" s="14"/>
      <c r="F4043" s="14"/>
      <c r="G4043" s="14"/>
      <c r="H4043" s="10"/>
      <c r="I4043" s="17"/>
      <c r="J4043" s="10"/>
      <c r="K4043" s="46"/>
      <c r="L4043" s="10"/>
      <c r="M4043" s="20"/>
      <c r="N4043" s="20"/>
      <c r="O4043" s="20"/>
      <c r="P4043" s="20"/>
    </row>
    <row r="4044">
      <c r="A4044" s="23"/>
      <c r="B4044" s="21"/>
      <c r="C4044" s="23"/>
      <c r="D4044" s="24"/>
      <c r="E4044" s="14"/>
      <c r="F4044" s="14"/>
      <c r="G4044" s="14"/>
      <c r="H4044" s="23"/>
      <c r="I4044" s="27"/>
      <c r="J4044" s="23"/>
      <c r="K4044" s="30"/>
      <c r="L4044" s="23"/>
      <c r="M4044" s="20"/>
      <c r="N4044" s="20"/>
      <c r="O4044" s="20"/>
      <c r="P4044" s="20"/>
    </row>
    <row r="4045">
      <c r="A4045" s="10"/>
      <c r="B4045" s="11"/>
      <c r="C4045" s="10"/>
      <c r="D4045" s="13"/>
      <c r="E4045" s="14"/>
      <c r="F4045" s="14"/>
      <c r="G4045" s="14"/>
      <c r="H4045" s="10"/>
      <c r="I4045" s="17"/>
      <c r="J4045" s="10"/>
      <c r="K4045" s="46"/>
      <c r="L4045" s="10"/>
      <c r="M4045" s="20"/>
      <c r="N4045" s="20"/>
      <c r="O4045" s="20"/>
      <c r="P4045" s="20"/>
    </row>
    <row r="4046">
      <c r="A4046" s="23"/>
      <c r="B4046" s="21"/>
      <c r="C4046" s="23"/>
      <c r="D4046" s="24"/>
      <c r="E4046" s="14"/>
      <c r="F4046" s="14"/>
      <c r="G4046" s="14"/>
      <c r="H4046" s="23"/>
      <c r="I4046" s="27"/>
      <c r="J4046" s="23"/>
      <c r="K4046" s="30"/>
      <c r="L4046" s="23"/>
      <c r="M4046" s="20"/>
      <c r="N4046" s="20"/>
      <c r="O4046" s="20"/>
      <c r="P4046" s="20"/>
    </row>
    <row r="4047">
      <c r="A4047" s="10"/>
      <c r="B4047" s="11"/>
      <c r="C4047" s="10"/>
      <c r="D4047" s="13"/>
      <c r="E4047" s="14"/>
      <c r="F4047" s="14"/>
      <c r="G4047" s="14"/>
      <c r="H4047" s="10"/>
      <c r="I4047" s="17"/>
      <c r="J4047" s="10"/>
      <c r="K4047" s="46"/>
      <c r="L4047" s="10"/>
      <c r="M4047" s="20"/>
      <c r="N4047" s="20"/>
      <c r="O4047" s="20"/>
      <c r="P4047" s="20"/>
    </row>
    <row r="4048">
      <c r="A4048" s="23"/>
      <c r="B4048" s="21"/>
      <c r="C4048" s="23"/>
      <c r="D4048" s="24"/>
      <c r="E4048" s="14"/>
      <c r="F4048" s="14"/>
      <c r="G4048" s="14"/>
      <c r="H4048" s="23"/>
      <c r="I4048" s="27"/>
      <c r="J4048" s="23"/>
      <c r="K4048" s="30"/>
      <c r="L4048" s="23"/>
      <c r="M4048" s="20"/>
      <c r="N4048" s="20"/>
      <c r="O4048" s="20"/>
      <c r="P4048" s="20"/>
    </row>
    <row r="4049">
      <c r="A4049" s="10"/>
      <c r="B4049" s="11"/>
      <c r="C4049" s="10"/>
      <c r="D4049" s="13"/>
      <c r="E4049" s="14"/>
      <c r="F4049" s="14"/>
      <c r="G4049" s="14"/>
      <c r="H4049" s="10"/>
      <c r="I4049" s="17"/>
      <c r="J4049" s="10"/>
      <c r="K4049" s="46"/>
      <c r="L4049" s="10"/>
      <c r="M4049" s="20"/>
      <c r="N4049" s="20"/>
      <c r="O4049" s="20"/>
      <c r="P4049" s="20"/>
    </row>
    <row r="4050">
      <c r="A4050" s="23"/>
      <c r="B4050" s="21"/>
      <c r="C4050" s="23"/>
      <c r="D4050" s="24"/>
      <c r="E4050" s="14"/>
      <c r="F4050" s="14"/>
      <c r="G4050" s="14"/>
      <c r="H4050" s="23"/>
      <c r="I4050" s="27"/>
      <c r="J4050" s="23"/>
      <c r="K4050" s="30"/>
      <c r="L4050" s="23"/>
      <c r="M4050" s="20"/>
      <c r="N4050" s="20"/>
      <c r="O4050" s="20"/>
      <c r="P4050" s="20"/>
    </row>
    <row r="4051">
      <c r="A4051" s="10"/>
      <c r="B4051" s="11"/>
      <c r="C4051" s="10"/>
      <c r="D4051" s="13"/>
      <c r="E4051" s="14"/>
      <c r="F4051" s="14"/>
      <c r="G4051" s="14"/>
      <c r="H4051" s="10"/>
      <c r="I4051" s="17"/>
      <c r="J4051" s="10"/>
      <c r="K4051" s="46"/>
      <c r="L4051" s="10"/>
      <c r="M4051" s="20"/>
      <c r="N4051" s="20"/>
      <c r="O4051" s="20"/>
      <c r="P4051" s="20"/>
    </row>
    <row r="4052">
      <c r="A4052" s="23"/>
      <c r="B4052" s="21"/>
      <c r="C4052" s="23"/>
      <c r="D4052" s="24"/>
      <c r="E4052" s="14"/>
      <c r="F4052" s="14"/>
      <c r="G4052" s="14"/>
      <c r="H4052" s="23"/>
      <c r="I4052" s="27"/>
      <c r="J4052" s="23"/>
      <c r="K4052" s="30"/>
      <c r="L4052" s="23"/>
      <c r="M4052" s="20"/>
      <c r="N4052" s="20"/>
      <c r="O4052" s="20"/>
      <c r="P4052" s="20"/>
    </row>
    <row r="4053">
      <c r="A4053" s="10"/>
      <c r="B4053" s="11"/>
      <c r="C4053" s="10"/>
      <c r="D4053" s="13"/>
      <c r="E4053" s="14"/>
      <c r="F4053" s="14"/>
      <c r="G4053" s="14"/>
      <c r="H4053" s="10"/>
      <c r="I4053" s="17"/>
      <c r="J4053" s="10"/>
      <c r="K4053" s="46"/>
      <c r="L4053" s="10"/>
      <c r="M4053" s="20"/>
      <c r="N4053" s="20"/>
      <c r="O4053" s="20"/>
      <c r="P4053" s="20"/>
    </row>
    <row r="4054">
      <c r="A4054" s="23"/>
      <c r="B4054" s="21"/>
      <c r="C4054" s="23"/>
      <c r="D4054" s="24"/>
      <c r="E4054" s="14"/>
      <c r="F4054" s="14"/>
      <c r="G4054" s="14"/>
      <c r="H4054" s="23"/>
      <c r="I4054" s="27"/>
      <c r="J4054" s="23"/>
      <c r="K4054" s="30"/>
      <c r="L4054" s="23"/>
      <c r="M4054" s="20"/>
      <c r="N4054" s="20"/>
      <c r="O4054" s="20"/>
      <c r="P4054" s="20"/>
    </row>
    <row r="4055">
      <c r="A4055" s="10"/>
      <c r="B4055" s="11"/>
      <c r="C4055" s="10"/>
      <c r="D4055" s="13"/>
      <c r="E4055" s="14"/>
      <c r="F4055" s="14"/>
      <c r="G4055" s="14"/>
      <c r="H4055" s="10"/>
      <c r="I4055" s="17"/>
      <c r="J4055" s="10"/>
      <c r="K4055" s="46"/>
      <c r="L4055" s="10"/>
      <c r="M4055" s="20"/>
      <c r="N4055" s="20"/>
      <c r="O4055" s="20"/>
      <c r="P4055" s="20"/>
    </row>
    <row r="4056">
      <c r="A4056" s="23"/>
      <c r="B4056" s="21"/>
      <c r="C4056" s="23"/>
      <c r="D4056" s="24"/>
      <c r="E4056" s="14"/>
      <c r="F4056" s="14"/>
      <c r="G4056" s="14"/>
      <c r="H4056" s="23"/>
      <c r="I4056" s="27"/>
      <c r="J4056" s="23"/>
      <c r="K4056" s="30"/>
      <c r="L4056" s="23"/>
      <c r="M4056" s="20"/>
      <c r="N4056" s="20"/>
      <c r="O4056" s="20"/>
      <c r="P4056" s="20"/>
    </row>
    <row r="4057">
      <c r="A4057" s="10"/>
      <c r="B4057" s="11"/>
      <c r="C4057" s="10"/>
      <c r="D4057" s="13"/>
      <c r="E4057" s="14"/>
      <c r="F4057" s="14"/>
      <c r="G4057" s="14"/>
      <c r="H4057" s="10"/>
      <c r="I4057" s="17"/>
      <c r="J4057" s="10"/>
      <c r="K4057" s="46"/>
      <c r="L4057" s="10"/>
      <c r="M4057" s="20"/>
      <c r="N4057" s="20"/>
      <c r="O4057" s="20"/>
      <c r="P4057" s="20"/>
    </row>
    <row r="4058">
      <c r="A4058" s="23"/>
      <c r="B4058" s="21"/>
      <c r="C4058" s="23"/>
      <c r="D4058" s="24"/>
      <c r="E4058" s="14"/>
      <c r="F4058" s="14"/>
      <c r="G4058" s="14"/>
      <c r="H4058" s="23"/>
      <c r="I4058" s="27"/>
      <c r="J4058" s="23"/>
      <c r="K4058" s="30"/>
      <c r="L4058" s="23"/>
      <c r="M4058" s="20"/>
      <c r="N4058" s="20"/>
      <c r="O4058" s="20"/>
      <c r="P4058" s="20"/>
    </row>
    <row r="4059">
      <c r="A4059" s="10"/>
      <c r="B4059" s="11"/>
      <c r="C4059" s="10"/>
      <c r="D4059" s="13"/>
      <c r="E4059" s="14"/>
      <c r="F4059" s="14"/>
      <c r="G4059" s="14"/>
      <c r="H4059" s="10"/>
      <c r="I4059" s="17"/>
      <c r="J4059" s="10"/>
      <c r="K4059" s="46"/>
      <c r="L4059" s="10"/>
      <c r="M4059" s="20"/>
      <c r="N4059" s="20"/>
      <c r="O4059" s="20"/>
      <c r="P4059" s="20"/>
    </row>
    <row r="4060">
      <c r="A4060" s="23"/>
      <c r="B4060" s="21"/>
      <c r="C4060" s="23"/>
      <c r="D4060" s="24"/>
      <c r="E4060" s="14"/>
      <c r="F4060" s="14"/>
      <c r="G4060" s="14"/>
      <c r="H4060" s="23"/>
      <c r="I4060" s="27"/>
      <c r="J4060" s="23"/>
      <c r="K4060" s="30"/>
      <c r="L4060" s="23"/>
      <c r="M4060" s="20"/>
      <c r="N4060" s="20"/>
      <c r="O4060" s="20"/>
      <c r="P4060" s="20"/>
    </row>
    <row r="4061">
      <c r="A4061" s="10"/>
      <c r="B4061" s="11"/>
      <c r="C4061" s="10"/>
      <c r="D4061" s="13"/>
      <c r="E4061" s="14"/>
      <c r="F4061" s="14"/>
      <c r="G4061" s="14"/>
      <c r="H4061" s="10"/>
      <c r="I4061" s="17"/>
      <c r="J4061" s="10"/>
      <c r="K4061" s="46"/>
      <c r="L4061" s="10"/>
      <c r="M4061" s="20"/>
      <c r="N4061" s="20"/>
      <c r="O4061" s="20"/>
      <c r="P4061" s="20"/>
    </row>
    <row r="4062">
      <c r="A4062" s="23"/>
      <c r="B4062" s="21"/>
      <c r="C4062" s="23"/>
      <c r="D4062" s="24"/>
      <c r="E4062" s="14"/>
      <c r="F4062" s="14"/>
      <c r="G4062" s="14"/>
      <c r="H4062" s="23"/>
      <c r="I4062" s="27"/>
      <c r="J4062" s="23"/>
      <c r="K4062" s="30"/>
      <c r="L4062" s="23"/>
      <c r="M4062" s="20"/>
      <c r="N4062" s="20"/>
      <c r="O4062" s="20"/>
      <c r="P4062" s="20"/>
    </row>
    <row r="4063">
      <c r="A4063" s="10"/>
      <c r="B4063" s="11"/>
      <c r="C4063" s="10"/>
      <c r="D4063" s="13"/>
      <c r="E4063" s="14"/>
      <c r="F4063" s="14"/>
      <c r="G4063" s="14"/>
      <c r="H4063" s="10"/>
      <c r="I4063" s="17"/>
      <c r="J4063" s="10"/>
      <c r="K4063" s="46"/>
      <c r="L4063" s="10"/>
      <c r="M4063" s="20"/>
      <c r="N4063" s="20"/>
      <c r="O4063" s="20"/>
      <c r="P4063" s="20"/>
    </row>
    <row r="4064">
      <c r="A4064" s="23"/>
      <c r="B4064" s="21"/>
      <c r="C4064" s="23"/>
      <c r="D4064" s="24"/>
      <c r="E4064" s="14"/>
      <c r="F4064" s="14"/>
      <c r="G4064" s="14"/>
      <c r="H4064" s="23"/>
      <c r="I4064" s="27"/>
      <c r="J4064" s="23"/>
      <c r="K4064" s="30"/>
      <c r="L4064" s="23"/>
      <c r="M4064" s="20"/>
      <c r="N4064" s="20"/>
      <c r="O4064" s="20"/>
      <c r="P4064" s="20"/>
    </row>
    <row r="4065">
      <c r="A4065" s="10"/>
      <c r="B4065" s="11"/>
      <c r="C4065" s="10"/>
      <c r="D4065" s="13"/>
      <c r="E4065" s="14"/>
      <c r="F4065" s="14"/>
      <c r="G4065" s="14"/>
      <c r="H4065" s="10"/>
      <c r="I4065" s="17"/>
      <c r="J4065" s="10"/>
      <c r="K4065" s="46"/>
      <c r="L4065" s="10"/>
      <c r="M4065" s="20"/>
      <c r="N4065" s="20"/>
      <c r="O4065" s="20"/>
      <c r="P4065" s="20"/>
    </row>
    <row r="4066">
      <c r="A4066" s="23"/>
      <c r="B4066" s="21"/>
      <c r="C4066" s="23"/>
      <c r="D4066" s="24"/>
      <c r="E4066" s="14"/>
      <c r="F4066" s="14"/>
      <c r="G4066" s="14"/>
      <c r="H4066" s="23"/>
      <c r="I4066" s="27"/>
      <c r="J4066" s="23"/>
      <c r="K4066" s="30"/>
      <c r="L4066" s="23"/>
      <c r="M4066" s="20"/>
      <c r="N4066" s="20"/>
      <c r="O4066" s="20"/>
      <c r="P4066" s="20"/>
    </row>
    <row r="4067">
      <c r="A4067" s="10"/>
      <c r="B4067" s="11"/>
      <c r="C4067" s="10"/>
      <c r="D4067" s="13"/>
      <c r="E4067" s="14"/>
      <c r="F4067" s="14"/>
      <c r="G4067" s="14"/>
      <c r="H4067" s="10"/>
      <c r="I4067" s="17"/>
      <c r="J4067" s="10"/>
      <c r="K4067" s="46"/>
      <c r="L4067" s="10"/>
      <c r="M4067" s="20"/>
      <c r="N4067" s="20"/>
      <c r="O4067" s="20"/>
      <c r="P4067" s="20"/>
    </row>
    <row r="4068">
      <c r="A4068" s="23"/>
      <c r="B4068" s="21"/>
      <c r="C4068" s="23"/>
      <c r="D4068" s="24"/>
      <c r="E4068" s="14"/>
      <c r="F4068" s="14"/>
      <c r="G4068" s="14"/>
      <c r="H4068" s="23"/>
      <c r="I4068" s="27"/>
      <c r="J4068" s="23"/>
      <c r="K4068" s="30"/>
      <c r="L4068" s="23"/>
      <c r="M4068" s="20"/>
      <c r="N4068" s="20"/>
      <c r="O4068" s="20"/>
      <c r="P4068" s="20"/>
    </row>
    <row r="4069">
      <c r="A4069" s="10"/>
      <c r="B4069" s="11"/>
      <c r="C4069" s="10"/>
      <c r="D4069" s="13"/>
      <c r="E4069" s="14"/>
      <c r="F4069" s="14"/>
      <c r="G4069" s="14"/>
      <c r="H4069" s="10"/>
      <c r="I4069" s="17"/>
      <c r="J4069" s="10"/>
      <c r="K4069" s="46"/>
      <c r="L4069" s="10"/>
      <c r="M4069" s="20"/>
      <c r="N4069" s="20"/>
      <c r="O4069" s="20"/>
      <c r="P4069" s="20"/>
    </row>
    <row r="4070">
      <c r="A4070" s="23"/>
      <c r="B4070" s="21"/>
      <c r="C4070" s="23"/>
      <c r="D4070" s="24"/>
      <c r="E4070" s="14"/>
      <c r="F4070" s="14"/>
      <c r="G4070" s="14"/>
      <c r="H4070" s="23"/>
      <c r="I4070" s="27"/>
      <c r="J4070" s="23"/>
      <c r="K4070" s="30"/>
      <c r="L4070" s="23"/>
      <c r="M4070" s="20"/>
      <c r="N4070" s="20"/>
      <c r="O4070" s="20"/>
      <c r="P4070" s="20"/>
    </row>
    <row r="4071">
      <c r="A4071" s="10"/>
      <c r="B4071" s="11"/>
      <c r="C4071" s="10"/>
      <c r="D4071" s="13"/>
      <c r="E4071" s="14"/>
      <c r="F4071" s="14"/>
      <c r="G4071" s="14"/>
      <c r="H4071" s="10"/>
      <c r="I4071" s="17"/>
      <c r="J4071" s="10"/>
      <c r="K4071" s="46"/>
      <c r="L4071" s="10"/>
      <c r="M4071" s="20"/>
      <c r="N4071" s="20"/>
      <c r="O4071" s="20"/>
      <c r="P4071" s="20"/>
    </row>
    <row r="4072">
      <c r="A4072" s="23"/>
      <c r="B4072" s="21"/>
      <c r="C4072" s="23"/>
      <c r="D4072" s="24"/>
      <c r="E4072" s="14"/>
      <c r="F4072" s="14"/>
      <c r="G4072" s="14"/>
      <c r="H4072" s="23"/>
      <c r="I4072" s="27"/>
      <c r="J4072" s="23"/>
      <c r="K4072" s="30"/>
      <c r="L4072" s="23"/>
      <c r="M4072" s="20"/>
      <c r="N4072" s="20"/>
      <c r="O4072" s="20"/>
      <c r="P4072" s="20"/>
    </row>
    <row r="4073">
      <c r="A4073" s="10"/>
      <c r="B4073" s="11"/>
      <c r="C4073" s="10"/>
      <c r="D4073" s="13"/>
      <c r="E4073" s="14"/>
      <c r="F4073" s="14"/>
      <c r="G4073" s="14"/>
      <c r="H4073" s="10"/>
      <c r="I4073" s="17"/>
      <c r="J4073" s="10"/>
      <c r="K4073" s="46"/>
      <c r="L4073" s="10"/>
      <c r="M4073" s="20"/>
      <c r="N4073" s="20"/>
      <c r="O4073" s="20"/>
      <c r="P4073" s="20"/>
    </row>
    <row r="4074">
      <c r="A4074" s="23"/>
      <c r="B4074" s="21"/>
      <c r="C4074" s="23"/>
      <c r="D4074" s="24"/>
      <c r="E4074" s="14"/>
      <c r="F4074" s="14"/>
      <c r="G4074" s="14"/>
      <c r="H4074" s="23"/>
      <c r="I4074" s="27"/>
      <c r="J4074" s="23"/>
      <c r="K4074" s="30"/>
      <c r="L4074" s="23"/>
      <c r="M4074" s="20"/>
      <c r="N4074" s="20"/>
      <c r="O4074" s="20"/>
      <c r="P4074" s="20"/>
    </row>
    <row r="4075">
      <c r="A4075" s="10"/>
      <c r="B4075" s="11"/>
      <c r="C4075" s="10"/>
      <c r="D4075" s="13"/>
      <c r="E4075" s="14"/>
      <c r="F4075" s="14"/>
      <c r="G4075" s="14"/>
      <c r="H4075" s="10"/>
      <c r="I4075" s="17"/>
      <c r="J4075" s="10"/>
      <c r="K4075" s="46"/>
      <c r="L4075" s="10"/>
      <c r="M4075" s="20"/>
      <c r="N4075" s="20"/>
      <c r="O4075" s="20"/>
      <c r="P4075" s="20"/>
    </row>
    <row r="4076">
      <c r="A4076" s="23"/>
      <c r="B4076" s="21"/>
      <c r="C4076" s="23"/>
      <c r="D4076" s="24"/>
      <c r="E4076" s="14"/>
      <c r="F4076" s="14"/>
      <c r="G4076" s="14"/>
      <c r="H4076" s="23"/>
      <c r="I4076" s="27"/>
      <c r="J4076" s="23"/>
      <c r="K4076" s="30"/>
      <c r="L4076" s="23"/>
      <c r="M4076" s="20"/>
      <c r="N4076" s="20"/>
      <c r="O4076" s="20"/>
      <c r="P4076" s="20"/>
    </row>
    <row r="4077">
      <c r="A4077" s="10"/>
      <c r="B4077" s="11"/>
      <c r="C4077" s="10"/>
      <c r="D4077" s="13"/>
      <c r="E4077" s="14"/>
      <c r="F4077" s="14"/>
      <c r="G4077" s="14"/>
      <c r="H4077" s="10"/>
      <c r="I4077" s="17"/>
      <c r="J4077" s="10"/>
      <c r="K4077" s="46"/>
      <c r="L4077" s="10"/>
      <c r="M4077" s="20"/>
      <c r="N4077" s="20"/>
      <c r="O4077" s="20"/>
      <c r="P4077" s="20"/>
    </row>
    <row r="4078">
      <c r="A4078" s="23"/>
      <c r="B4078" s="21"/>
      <c r="C4078" s="23"/>
      <c r="D4078" s="24"/>
      <c r="E4078" s="14"/>
      <c r="F4078" s="14"/>
      <c r="G4078" s="14"/>
      <c r="H4078" s="23"/>
      <c r="I4078" s="27"/>
      <c r="J4078" s="23"/>
      <c r="K4078" s="30"/>
      <c r="L4078" s="23"/>
      <c r="M4078" s="20"/>
      <c r="N4078" s="20"/>
      <c r="O4078" s="20"/>
      <c r="P4078" s="20"/>
    </row>
    <row r="4079">
      <c r="A4079" s="10"/>
      <c r="B4079" s="11"/>
      <c r="C4079" s="10"/>
      <c r="D4079" s="13"/>
      <c r="E4079" s="14"/>
      <c r="F4079" s="14"/>
      <c r="G4079" s="14"/>
      <c r="H4079" s="10"/>
      <c r="I4079" s="17"/>
      <c r="J4079" s="10"/>
      <c r="K4079" s="46"/>
      <c r="L4079" s="10"/>
      <c r="M4079" s="20"/>
      <c r="N4079" s="20"/>
      <c r="O4079" s="20"/>
      <c r="P4079" s="20"/>
    </row>
    <row r="4080">
      <c r="A4080" s="23"/>
      <c r="B4080" s="21"/>
      <c r="C4080" s="23"/>
      <c r="D4080" s="24"/>
      <c r="E4080" s="14"/>
      <c r="F4080" s="14"/>
      <c r="G4080" s="14"/>
      <c r="H4080" s="23"/>
      <c r="I4080" s="27"/>
      <c r="J4080" s="23"/>
      <c r="K4080" s="30"/>
      <c r="L4080" s="23"/>
      <c r="M4080" s="20"/>
      <c r="N4080" s="20"/>
      <c r="O4080" s="20"/>
      <c r="P4080" s="20"/>
    </row>
    <row r="4081">
      <c r="A4081" s="10"/>
      <c r="B4081" s="11"/>
      <c r="C4081" s="10"/>
      <c r="D4081" s="13"/>
      <c r="E4081" s="14"/>
      <c r="F4081" s="14"/>
      <c r="G4081" s="14"/>
      <c r="H4081" s="10"/>
      <c r="I4081" s="17"/>
      <c r="J4081" s="10"/>
      <c r="K4081" s="46"/>
      <c r="L4081" s="10"/>
      <c r="M4081" s="20"/>
      <c r="N4081" s="20"/>
      <c r="O4081" s="20"/>
      <c r="P4081" s="20"/>
    </row>
    <row r="4082">
      <c r="A4082" s="23"/>
      <c r="B4082" s="21"/>
      <c r="C4082" s="23"/>
      <c r="D4082" s="24"/>
      <c r="E4082" s="14"/>
      <c r="F4082" s="14"/>
      <c r="G4082" s="14"/>
      <c r="H4082" s="23"/>
      <c r="I4082" s="27"/>
      <c r="J4082" s="23"/>
      <c r="K4082" s="30"/>
      <c r="L4082" s="23"/>
      <c r="M4082" s="20"/>
      <c r="N4082" s="20"/>
      <c r="O4082" s="20"/>
      <c r="P4082" s="20"/>
    </row>
    <row r="4083">
      <c r="A4083" s="10"/>
      <c r="B4083" s="11"/>
      <c r="C4083" s="10"/>
      <c r="D4083" s="13"/>
      <c r="E4083" s="14"/>
      <c r="F4083" s="14"/>
      <c r="G4083" s="14"/>
      <c r="H4083" s="10"/>
      <c r="I4083" s="17"/>
      <c r="J4083" s="10"/>
      <c r="K4083" s="46"/>
      <c r="L4083" s="10"/>
      <c r="M4083" s="20"/>
      <c r="N4083" s="20"/>
      <c r="O4083" s="20"/>
      <c r="P4083" s="20"/>
    </row>
    <row r="4084">
      <c r="A4084" s="23"/>
      <c r="B4084" s="21"/>
      <c r="C4084" s="23"/>
      <c r="D4084" s="24"/>
      <c r="E4084" s="14"/>
      <c r="F4084" s="14"/>
      <c r="G4084" s="14"/>
      <c r="H4084" s="23"/>
      <c r="I4084" s="27"/>
      <c r="J4084" s="23"/>
      <c r="K4084" s="30"/>
      <c r="L4084" s="23"/>
      <c r="M4084" s="20"/>
      <c r="N4084" s="20"/>
      <c r="O4084" s="20"/>
      <c r="P4084" s="20"/>
    </row>
    <row r="4085">
      <c r="A4085" s="10"/>
      <c r="B4085" s="11"/>
      <c r="C4085" s="10"/>
      <c r="D4085" s="13"/>
      <c r="E4085" s="14"/>
      <c r="F4085" s="14"/>
      <c r="G4085" s="14"/>
      <c r="H4085" s="10"/>
      <c r="I4085" s="17"/>
      <c r="J4085" s="10"/>
      <c r="K4085" s="46"/>
      <c r="L4085" s="10"/>
      <c r="M4085" s="20"/>
      <c r="N4085" s="20"/>
      <c r="O4085" s="20"/>
      <c r="P4085" s="20"/>
    </row>
    <row r="4086">
      <c r="A4086" s="23"/>
      <c r="B4086" s="21"/>
      <c r="C4086" s="23"/>
      <c r="D4086" s="24"/>
      <c r="E4086" s="14"/>
      <c r="F4086" s="14"/>
      <c r="G4086" s="14"/>
      <c r="H4086" s="23"/>
      <c r="I4086" s="27"/>
      <c r="J4086" s="23"/>
      <c r="K4086" s="30"/>
      <c r="L4086" s="23"/>
      <c r="M4086" s="20"/>
      <c r="N4086" s="20"/>
      <c r="O4086" s="20"/>
      <c r="P4086" s="20"/>
    </row>
    <row r="4087">
      <c r="A4087" s="10"/>
      <c r="B4087" s="11"/>
      <c r="C4087" s="10"/>
      <c r="D4087" s="13"/>
      <c r="E4087" s="14"/>
      <c r="F4087" s="14"/>
      <c r="G4087" s="14"/>
      <c r="H4087" s="10"/>
      <c r="I4087" s="17"/>
      <c r="J4087" s="10"/>
      <c r="K4087" s="46"/>
      <c r="L4087" s="10"/>
      <c r="M4087" s="20"/>
      <c r="N4087" s="20"/>
      <c r="O4087" s="20"/>
      <c r="P4087" s="20"/>
    </row>
    <row r="4088">
      <c r="A4088" s="23"/>
      <c r="B4088" s="21"/>
      <c r="C4088" s="23"/>
      <c r="D4088" s="24"/>
      <c r="E4088" s="14"/>
      <c r="F4088" s="14"/>
      <c r="G4088" s="14"/>
      <c r="H4088" s="23"/>
      <c r="I4088" s="27"/>
      <c r="J4088" s="23"/>
      <c r="K4088" s="30"/>
      <c r="L4088" s="23"/>
      <c r="M4088" s="20"/>
      <c r="N4088" s="20"/>
      <c r="O4088" s="20"/>
      <c r="P4088" s="20"/>
    </row>
    <row r="4089">
      <c r="A4089" s="10"/>
      <c r="B4089" s="11"/>
      <c r="C4089" s="10"/>
      <c r="D4089" s="13"/>
      <c r="E4089" s="14"/>
      <c r="F4089" s="14"/>
      <c r="G4089" s="14"/>
      <c r="H4089" s="10"/>
      <c r="I4089" s="17"/>
      <c r="J4089" s="10"/>
      <c r="K4089" s="46"/>
      <c r="L4089" s="10"/>
      <c r="M4089" s="20"/>
      <c r="N4089" s="20"/>
      <c r="O4089" s="20"/>
      <c r="P4089" s="20"/>
    </row>
    <row r="4090">
      <c r="A4090" s="23"/>
      <c r="B4090" s="21"/>
      <c r="C4090" s="23"/>
      <c r="D4090" s="24"/>
      <c r="E4090" s="14"/>
      <c r="F4090" s="14"/>
      <c r="G4090" s="14"/>
      <c r="H4090" s="23"/>
      <c r="I4090" s="27"/>
      <c r="J4090" s="23"/>
      <c r="K4090" s="30"/>
      <c r="L4090" s="23"/>
      <c r="M4090" s="20"/>
      <c r="N4090" s="20"/>
      <c r="O4090" s="20"/>
      <c r="P4090" s="20"/>
    </row>
    <row r="4091">
      <c r="A4091" s="10"/>
      <c r="B4091" s="11"/>
      <c r="C4091" s="10"/>
      <c r="D4091" s="13"/>
      <c r="E4091" s="14"/>
      <c r="F4091" s="14"/>
      <c r="G4091" s="14"/>
      <c r="H4091" s="10"/>
      <c r="I4091" s="17"/>
      <c r="J4091" s="10"/>
      <c r="K4091" s="46"/>
      <c r="L4091" s="10"/>
      <c r="M4091" s="20"/>
      <c r="N4091" s="20"/>
      <c r="O4091" s="20"/>
      <c r="P4091" s="20"/>
    </row>
    <row r="4092">
      <c r="A4092" s="23"/>
      <c r="B4092" s="21"/>
      <c r="C4092" s="23"/>
      <c r="D4092" s="24"/>
      <c r="E4092" s="14"/>
      <c r="F4092" s="14"/>
      <c r="G4092" s="14"/>
      <c r="H4092" s="23"/>
      <c r="I4092" s="27"/>
      <c r="J4092" s="23"/>
      <c r="K4092" s="30"/>
      <c r="L4092" s="23"/>
      <c r="M4092" s="20"/>
      <c r="N4092" s="20"/>
      <c r="O4092" s="20"/>
      <c r="P4092" s="20"/>
    </row>
    <row r="4093">
      <c r="A4093" s="10"/>
      <c r="B4093" s="11"/>
      <c r="C4093" s="10"/>
      <c r="D4093" s="13"/>
      <c r="E4093" s="14"/>
      <c r="F4093" s="14"/>
      <c r="G4093" s="14"/>
      <c r="H4093" s="10"/>
      <c r="I4093" s="17"/>
      <c r="J4093" s="10"/>
      <c r="K4093" s="46"/>
      <c r="L4093" s="10"/>
      <c r="M4093" s="20"/>
      <c r="N4093" s="20"/>
      <c r="O4093" s="20"/>
      <c r="P4093" s="20"/>
    </row>
    <row r="4094">
      <c r="A4094" s="23"/>
      <c r="B4094" s="21"/>
      <c r="C4094" s="23"/>
      <c r="D4094" s="24"/>
      <c r="E4094" s="14"/>
      <c r="F4094" s="14"/>
      <c r="G4094" s="14"/>
      <c r="H4094" s="23"/>
      <c r="I4094" s="27"/>
      <c r="J4094" s="23"/>
      <c r="K4094" s="30"/>
      <c r="L4094" s="23"/>
      <c r="M4094" s="20"/>
      <c r="N4094" s="20"/>
      <c r="O4094" s="20"/>
      <c r="P4094" s="20"/>
    </row>
    <row r="4095">
      <c r="A4095" s="10"/>
      <c r="B4095" s="11"/>
      <c r="C4095" s="10"/>
      <c r="D4095" s="13"/>
      <c r="E4095" s="14"/>
      <c r="F4095" s="14"/>
      <c r="G4095" s="14"/>
      <c r="H4095" s="10"/>
      <c r="I4095" s="17"/>
      <c r="J4095" s="10"/>
      <c r="K4095" s="46"/>
      <c r="L4095" s="10"/>
      <c r="M4095" s="20"/>
      <c r="N4095" s="20"/>
      <c r="O4095" s="20"/>
      <c r="P4095" s="20"/>
    </row>
    <row r="4096">
      <c r="A4096" s="23"/>
      <c r="B4096" s="21"/>
      <c r="C4096" s="23"/>
      <c r="D4096" s="24"/>
      <c r="E4096" s="14"/>
      <c r="F4096" s="14"/>
      <c r="G4096" s="14"/>
      <c r="H4096" s="23"/>
      <c r="I4096" s="27"/>
      <c r="J4096" s="23"/>
      <c r="K4096" s="30"/>
      <c r="L4096" s="23"/>
      <c r="M4096" s="20"/>
      <c r="N4096" s="20"/>
      <c r="O4096" s="20"/>
      <c r="P4096" s="20"/>
    </row>
    <row r="4097">
      <c r="A4097" s="10"/>
      <c r="B4097" s="11"/>
      <c r="C4097" s="10"/>
      <c r="D4097" s="13"/>
      <c r="E4097" s="14"/>
      <c r="F4097" s="14"/>
      <c r="G4097" s="14"/>
      <c r="H4097" s="10"/>
      <c r="I4097" s="17"/>
      <c r="J4097" s="10"/>
      <c r="K4097" s="46"/>
      <c r="L4097" s="10"/>
      <c r="M4097" s="20"/>
      <c r="N4097" s="20"/>
      <c r="O4097" s="20"/>
      <c r="P4097" s="20"/>
    </row>
    <row r="4098">
      <c r="A4098" s="23"/>
      <c r="B4098" s="21"/>
      <c r="C4098" s="23"/>
      <c r="D4098" s="24"/>
      <c r="E4098" s="14"/>
      <c r="F4098" s="14"/>
      <c r="G4098" s="14"/>
      <c r="H4098" s="23"/>
      <c r="I4098" s="27"/>
      <c r="J4098" s="23"/>
      <c r="K4098" s="30"/>
      <c r="L4098" s="23"/>
      <c r="M4098" s="20"/>
      <c r="N4098" s="20"/>
      <c r="O4098" s="20"/>
      <c r="P4098" s="20"/>
    </row>
    <row r="4099">
      <c r="A4099" s="10"/>
      <c r="B4099" s="11"/>
      <c r="C4099" s="10"/>
      <c r="D4099" s="13"/>
      <c r="E4099" s="14"/>
      <c r="F4099" s="14"/>
      <c r="G4099" s="14"/>
      <c r="H4099" s="10"/>
      <c r="I4099" s="17"/>
      <c r="J4099" s="10"/>
      <c r="K4099" s="46"/>
      <c r="L4099" s="10"/>
      <c r="M4099" s="20"/>
      <c r="N4099" s="20"/>
      <c r="O4099" s="20"/>
      <c r="P4099" s="20"/>
    </row>
    <row r="4100">
      <c r="A4100" s="23"/>
      <c r="B4100" s="21"/>
      <c r="C4100" s="23"/>
      <c r="D4100" s="24"/>
      <c r="E4100" s="14"/>
      <c r="F4100" s="14"/>
      <c r="G4100" s="14"/>
      <c r="H4100" s="23"/>
      <c r="I4100" s="27"/>
      <c r="J4100" s="23"/>
      <c r="K4100" s="30"/>
      <c r="L4100" s="23"/>
      <c r="M4100" s="20"/>
      <c r="N4100" s="20"/>
      <c r="O4100" s="20"/>
      <c r="P4100" s="20"/>
    </row>
    <row r="4101">
      <c r="A4101" s="10"/>
      <c r="B4101" s="11"/>
      <c r="C4101" s="10"/>
      <c r="D4101" s="13"/>
      <c r="E4101" s="14"/>
      <c r="F4101" s="14"/>
      <c r="G4101" s="14"/>
      <c r="H4101" s="10"/>
      <c r="I4101" s="17"/>
      <c r="J4101" s="10"/>
      <c r="K4101" s="46"/>
      <c r="L4101" s="10"/>
      <c r="M4101" s="20"/>
      <c r="N4101" s="20"/>
      <c r="O4101" s="20"/>
      <c r="P4101" s="20"/>
    </row>
    <row r="4102">
      <c r="A4102" s="23"/>
      <c r="B4102" s="21"/>
      <c r="C4102" s="23"/>
      <c r="D4102" s="24"/>
      <c r="E4102" s="14"/>
      <c r="F4102" s="14"/>
      <c r="G4102" s="14"/>
      <c r="H4102" s="23"/>
      <c r="I4102" s="27"/>
      <c r="J4102" s="23"/>
      <c r="K4102" s="30"/>
      <c r="L4102" s="23"/>
      <c r="M4102" s="20"/>
      <c r="N4102" s="20"/>
      <c r="O4102" s="20"/>
      <c r="P4102" s="20"/>
    </row>
    <row r="4103">
      <c r="A4103" s="10"/>
      <c r="B4103" s="11"/>
      <c r="C4103" s="10"/>
      <c r="D4103" s="13"/>
      <c r="E4103" s="14"/>
      <c r="F4103" s="14"/>
      <c r="G4103" s="14"/>
      <c r="H4103" s="10"/>
      <c r="I4103" s="17"/>
      <c r="J4103" s="10"/>
      <c r="K4103" s="46"/>
      <c r="L4103" s="10"/>
      <c r="M4103" s="20"/>
      <c r="N4103" s="20"/>
      <c r="O4103" s="20"/>
      <c r="P4103" s="20"/>
    </row>
    <row r="4104">
      <c r="A4104" s="23"/>
      <c r="B4104" s="21"/>
      <c r="C4104" s="23"/>
      <c r="D4104" s="24"/>
      <c r="E4104" s="14"/>
      <c r="F4104" s="14"/>
      <c r="G4104" s="14"/>
      <c r="H4104" s="23"/>
      <c r="I4104" s="27"/>
      <c r="J4104" s="23"/>
      <c r="K4104" s="30"/>
      <c r="L4104" s="23"/>
      <c r="M4104" s="20"/>
      <c r="N4104" s="20"/>
      <c r="O4104" s="20"/>
      <c r="P4104" s="20"/>
    </row>
    <row r="4105">
      <c r="A4105" s="10"/>
      <c r="B4105" s="11"/>
      <c r="C4105" s="10"/>
      <c r="D4105" s="13"/>
      <c r="E4105" s="14"/>
      <c r="F4105" s="14"/>
      <c r="G4105" s="14"/>
      <c r="H4105" s="10"/>
      <c r="I4105" s="17"/>
      <c r="J4105" s="10"/>
      <c r="K4105" s="46"/>
      <c r="L4105" s="10"/>
      <c r="M4105" s="20"/>
      <c r="N4105" s="20"/>
      <c r="O4105" s="20"/>
      <c r="P4105" s="20"/>
    </row>
    <row r="4106">
      <c r="A4106" s="23"/>
      <c r="B4106" s="21"/>
      <c r="C4106" s="23"/>
      <c r="D4106" s="24"/>
      <c r="E4106" s="14"/>
      <c r="F4106" s="14"/>
      <c r="G4106" s="14"/>
      <c r="H4106" s="23"/>
      <c r="I4106" s="27"/>
      <c r="J4106" s="23"/>
      <c r="K4106" s="30"/>
      <c r="L4106" s="23"/>
      <c r="M4106" s="20"/>
      <c r="N4106" s="20"/>
      <c r="O4106" s="20"/>
      <c r="P4106" s="20"/>
    </row>
    <row r="4107">
      <c r="A4107" s="10"/>
      <c r="B4107" s="11"/>
      <c r="C4107" s="10"/>
      <c r="D4107" s="13"/>
      <c r="E4107" s="14"/>
      <c r="F4107" s="14"/>
      <c r="G4107" s="14"/>
      <c r="H4107" s="10"/>
      <c r="I4107" s="17"/>
      <c r="J4107" s="10"/>
      <c r="K4107" s="46"/>
      <c r="L4107" s="10"/>
      <c r="M4107" s="20"/>
      <c r="N4107" s="20"/>
      <c r="O4107" s="20"/>
      <c r="P4107" s="20"/>
    </row>
    <row r="4108">
      <c r="A4108" s="23"/>
      <c r="B4108" s="21"/>
      <c r="C4108" s="23"/>
      <c r="D4108" s="24"/>
      <c r="E4108" s="14"/>
      <c r="F4108" s="14"/>
      <c r="G4108" s="14"/>
      <c r="H4108" s="23"/>
      <c r="I4108" s="27"/>
      <c r="J4108" s="23"/>
      <c r="K4108" s="30"/>
      <c r="L4108" s="23"/>
      <c r="M4108" s="20"/>
      <c r="N4108" s="20"/>
      <c r="O4108" s="20"/>
      <c r="P4108" s="20"/>
    </row>
    <row r="4109">
      <c r="A4109" s="10"/>
      <c r="B4109" s="11"/>
      <c r="C4109" s="10"/>
      <c r="D4109" s="13"/>
      <c r="E4109" s="14"/>
      <c r="F4109" s="14"/>
      <c r="G4109" s="14"/>
      <c r="H4109" s="10"/>
      <c r="I4109" s="17"/>
      <c r="J4109" s="10"/>
      <c r="K4109" s="46"/>
      <c r="L4109" s="10"/>
      <c r="M4109" s="20"/>
      <c r="N4109" s="20"/>
      <c r="O4109" s="20"/>
      <c r="P4109" s="20"/>
    </row>
    <row r="4110">
      <c r="A4110" s="23"/>
      <c r="B4110" s="21"/>
      <c r="C4110" s="23"/>
      <c r="D4110" s="24"/>
      <c r="E4110" s="14"/>
      <c r="F4110" s="14"/>
      <c r="G4110" s="14"/>
      <c r="H4110" s="23"/>
      <c r="I4110" s="27"/>
      <c r="J4110" s="23"/>
      <c r="K4110" s="30"/>
      <c r="L4110" s="23"/>
      <c r="M4110" s="20"/>
      <c r="N4110" s="20"/>
      <c r="O4110" s="20"/>
      <c r="P4110" s="20"/>
    </row>
    <row r="4111">
      <c r="A4111" s="10"/>
      <c r="B4111" s="11"/>
      <c r="C4111" s="10"/>
      <c r="D4111" s="13"/>
      <c r="E4111" s="14"/>
      <c r="F4111" s="14"/>
      <c r="G4111" s="14"/>
      <c r="H4111" s="10"/>
      <c r="I4111" s="17"/>
      <c r="J4111" s="10"/>
      <c r="K4111" s="46"/>
      <c r="L4111" s="10"/>
      <c r="M4111" s="20"/>
      <c r="N4111" s="20"/>
      <c r="O4111" s="20"/>
      <c r="P4111" s="20"/>
    </row>
    <row r="4112">
      <c r="A4112" s="23"/>
      <c r="B4112" s="21"/>
      <c r="C4112" s="23"/>
      <c r="D4112" s="24"/>
      <c r="E4112" s="14"/>
      <c r="F4112" s="14"/>
      <c r="G4112" s="14"/>
      <c r="H4112" s="23"/>
      <c r="I4112" s="27"/>
      <c r="J4112" s="23"/>
      <c r="K4112" s="30"/>
      <c r="L4112" s="23"/>
      <c r="M4112" s="20"/>
      <c r="N4112" s="20"/>
      <c r="O4112" s="20"/>
      <c r="P4112" s="20"/>
    </row>
    <row r="4113">
      <c r="A4113" s="10"/>
      <c r="B4113" s="11"/>
      <c r="C4113" s="10"/>
      <c r="D4113" s="13"/>
      <c r="E4113" s="14"/>
      <c r="F4113" s="14"/>
      <c r="G4113" s="14"/>
      <c r="H4113" s="10"/>
      <c r="I4113" s="17"/>
      <c r="J4113" s="10"/>
      <c r="K4113" s="46"/>
      <c r="L4113" s="10"/>
      <c r="M4113" s="20"/>
      <c r="N4113" s="20"/>
      <c r="O4113" s="20"/>
      <c r="P4113" s="20"/>
    </row>
    <row r="4114">
      <c r="A4114" s="23"/>
      <c r="B4114" s="21"/>
      <c r="C4114" s="23"/>
      <c r="D4114" s="24"/>
      <c r="E4114" s="14"/>
      <c r="F4114" s="14"/>
      <c r="G4114" s="14"/>
      <c r="H4114" s="23"/>
      <c r="I4114" s="27"/>
      <c r="J4114" s="23"/>
      <c r="K4114" s="30"/>
      <c r="L4114" s="23"/>
      <c r="M4114" s="20"/>
      <c r="N4114" s="20"/>
      <c r="O4114" s="20"/>
      <c r="P4114" s="20"/>
    </row>
    <row r="4115">
      <c r="A4115" s="10"/>
      <c r="B4115" s="11"/>
      <c r="C4115" s="10"/>
      <c r="D4115" s="13"/>
      <c r="E4115" s="14"/>
      <c r="F4115" s="14"/>
      <c r="G4115" s="14"/>
      <c r="H4115" s="10"/>
      <c r="I4115" s="17"/>
      <c r="J4115" s="10"/>
      <c r="K4115" s="46"/>
      <c r="L4115" s="10"/>
      <c r="M4115" s="20"/>
      <c r="N4115" s="20"/>
      <c r="O4115" s="20"/>
      <c r="P4115" s="20"/>
    </row>
    <row r="4116">
      <c r="A4116" s="23"/>
      <c r="B4116" s="21"/>
      <c r="C4116" s="23"/>
      <c r="D4116" s="24"/>
      <c r="E4116" s="14"/>
      <c r="F4116" s="14"/>
      <c r="G4116" s="14"/>
      <c r="H4116" s="23"/>
      <c r="I4116" s="27"/>
      <c r="J4116" s="23"/>
      <c r="K4116" s="30"/>
      <c r="L4116" s="23"/>
      <c r="M4116" s="20"/>
      <c r="N4116" s="20"/>
      <c r="O4116" s="20"/>
      <c r="P4116" s="20"/>
    </row>
    <row r="4117">
      <c r="A4117" s="10"/>
      <c r="B4117" s="11"/>
      <c r="C4117" s="10"/>
      <c r="D4117" s="13"/>
      <c r="E4117" s="14"/>
      <c r="F4117" s="14"/>
      <c r="G4117" s="14"/>
      <c r="H4117" s="10"/>
      <c r="I4117" s="17"/>
      <c r="J4117" s="10"/>
      <c r="K4117" s="46"/>
      <c r="L4117" s="10"/>
      <c r="M4117" s="20"/>
      <c r="N4117" s="20"/>
      <c r="O4117" s="20"/>
      <c r="P4117" s="20"/>
    </row>
    <row r="4118">
      <c r="A4118" s="23"/>
      <c r="B4118" s="21"/>
      <c r="C4118" s="23"/>
      <c r="D4118" s="24"/>
      <c r="E4118" s="14"/>
      <c r="F4118" s="14"/>
      <c r="G4118" s="14"/>
      <c r="H4118" s="23"/>
      <c r="I4118" s="27"/>
      <c r="J4118" s="23"/>
      <c r="K4118" s="30"/>
      <c r="L4118" s="23"/>
      <c r="M4118" s="20"/>
      <c r="N4118" s="20"/>
      <c r="O4118" s="20"/>
      <c r="P4118" s="20"/>
    </row>
    <row r="4119">
      <c r="A4119" s="10"/>
      <c r="B4119" s="11"/>
      <c r="C4119" s="10"/>
      <c r="D4119" s="13"/>
      <c r="E4119" s="14"/>
      <c r="F4119" s="14"/>
      <c r="G4119" s="14"/>
      <c r="H4119" s="10"/>
      <c r="I4119" s="17"/>
      <c r="J4119" s="10"/>
      <c r="K4119" s="46"/>
      <c r="L4119" s="10"/>
      <c r="M4119" s="20"/>
      <c r="N4119" s="20"/>
      <c r="O4119" s="20"/>
      <c r="P4119" s="20"/>
    </row>
    <row r="4120">
      <c r="A4120" s="23"/>
      <c r="B4120" s="21"/>
      <c r="C4120" s="23"/>
      <c r="D4120" s="24"/>
      <c r="E4120" s="14"/>
      <c r="F4120" s="14"/>
      <c r="G4120" s="14"/>
      <c r="H4120" s="23"/>
      <c r="I4120" s="27"/>
      <c r="J4120" s="23"/>
      <c r="K4120" s="30"/>
      <c r="L4120" s="23"/>
      <c r="M4120" s="20"/>
      <c r="N4120" s="20"/>
      <c r="O4120" s="20"/>
      <c r="P4120" s="20"/>
    </row>
    <row r="4121">
      <c r="A4121" s="10"/>
      <c r="B4121" s="11"/>
      <c r="C4121" s="10"/>
      <c r="D4121" s="13"/>
      <c r="E4121" s="14"/>
      <c r="F4121" s="14"/>
      <c r="G4121" s="14"/>
      <c r="H4121" s="10"/>
      <c r="I4121" s="17"/>
      <c r="J4121" s="10"/>
      <c r="K4121" s="46"/>
      <c r="L4121" s="10"/>
      <c r="M4121" s="20"/>
      <c r="N4121" s="20"/>
      <c r="O4121" s="20"/>
      <c r="P4121" s="20"/>
    </row>
    <row r="4122">
      <c r="A4122" s="23"/>
      <c r="B4122" s="21"/>
      <c r="C4122" s="23"/>
      <c r="D4122" s="24"/>
      <c r="E4122" s="14"/>
      <c r="F4122" s="14"/>
      <c r="G4122" s="14"/>
      <c r="H4122" s="23"/>
      <c r="I4122" s="27"/>
      <c r="J4122" s="23"/>
      <c r="K4122" s="30"/>
      <c r="L4122" s="23"/>
      <c r="M4122" s="20"/>
      <c r="N4122" s="20"/>
      <c r="O4122" s="20"/>
      <c r="P4122" s="20"/>
    </row>
    <row r="4123">
      <c r="A4123" s="10"/>
      <c r="B4123" s="11"/>
      <c r="C4123" s="10"/>
      <c r="D4123" s="13"/>
      <c r="E4123" s="14"/>
      <c r="F4123" s="14"/>
      <c r="G4123" s="14"/>
      <c r="H4123" s="10"/>
      <c r="I4123" s="17"/>
      <c r="J4123" s="10"/>
      <c r="K4123" s="46"/>
      <c r="L4123" s="10"/>
      <c r="M4123" s="20"/>
      <c r="N4123" s="20"/>
      <c r="O4123" s="20"/>
      <c r="P4123" s="20"/>
    </row>
    <row r="4124">
      <c r="A4124" s="23"/>
      <c r="B4124" s="21"/>
      <c r="C4124" s="23"/>
      <c r="D4124" s="24"/>
      <c r="E4124" s="14"/>
      <c r="F4124" s="14"/>
      <c r="G4124" s="14"/>
      <c r="H4124" s="23"/>
      <c r="I4124" s="27"/>
      <c r="J4124" s="23"/>
      <c r="K4124" s="30"/>
      <c r="L4124" s="23"/>
      <c r="M4124" s="20"/>
      <c r="N4124" s="20"/>
      <c r="O4124" s="20"/>
      <c r="P4124" s="20"/>
    </row>
    <row r="4125">
      <c r="A4125" s="10"/>
      <c r="B4125" s="11"/>
      <c r="C4125" s="10"/>
      <c r="D4125" s="13"/>
      <c r="E4125" s="14"/>
      <c r="F4125" s="14"/>
      <c r="G4125" s="14"/>
      <c r="H4125" s="10"/>
      <c r="I4125" s="17"/>
      <c r="J4125" s="10"/>
      <c r="K4125" s="46"/>
      <c r="L4125" s="10"/>
      <c r="M4125" s="20"/>
      <c r="N4125" s="20"/>
      <c r="O4125" s="20"/>
      <c r="P4125" s="20"/>
    </row>
    <row r="4126">
      <c r="A4126" s="23"/>
      <c r="B4126" s="21"/>
      <c r="C4126" s="23"/>
      <c r="D4126" s="24"/>
      <c r="E4126" s="14"/>
      <c r="F4126" s="14"/>
      <c r="G4126" s="14"/>
      <c r="H4126" s="23"/>
      <c r="I4126" s="27"/>
      <c r="J4126" s="23"/>
      <c r="K4126" s="30"/>
      <c r="L4126" s="23"/>
      <c r="M4126" s="20"/>
      <c r="N4126" s="20"/>
      <c r="O4126" s="20"/>
      <c r="P4126" s="20"/>
    </row>
    <row r="4127">
      <c r="A4127" s="10"/>
      <c r="B4127" s="11"/>
      <c r="C4127" s="10"/>
      <c r="D4127" s="13"/>
      <c r="E4127" s="14"/>
      <c r="F4127" s="14"/>
      <c r="G4127" s="14"/>
      <c r="H4127" s="10"/>
      <c r="I4127" s="17"/>
      <c r="J4127" s="10"/>
      <c r="K4127" s="46"/>
      <c r="L4127" s="10"/>
      <c r="M4127" s="20"/>
      <c r="N4127" s="20"/>
      <c r="O4127" s="20"/>
      <c r="P4127" s="20"/>
    </row>
    <row r="4128">
      <c r="A4128" s="23"/>
      <c r="B4128" s="21"/>
      <c r="C4128" s="23"/>
      <c r="D4128" s="24"/>
      <c r="E4128" s="14"/>
      <c r="F4128" s="14"/>
      <c r="G4128" s="14"/>
      <c r="H4128" s="23"/>
      <c r="I4128" s="27"/>
      <c r="J4128" s="23"/>
      <c r="K4128" s="30"/>
      <c r="L4128" s="23"/>
      <c r="M4128" s="20"/>
      <c r="N4128" s="20"/>
      <c r="O4128" s="20"/>
      <c r="P4128" s="20"/>
    </row>
    <row r="4129">
      <c r="A4129" s="10"/>
      <c r="B4129" s="11"/>
      <c r="C4129" s="10"/>
      <c r="D4129" s="13"/>
      <c r="E4129" s="14"/>
      <c r="F4129" s="14"/>
      <c r="G4129" s="14"/>
      <c r="H4129" s="10"/>
      <c r="I4129" s="17"/>
      <c r="J4129" s="10"/>
      <c r="K4129" s="46"/>
      <c r="L4129" s="10"/>
      <c r="M4129" s="20"/>
      <c r="N4129" s="20"/>
      <c r="O4129" s="20"/>
      <c r="P4129" s="20"/>
    </row>
    <row r="4130">
      <c r="A4130" s="23"/>
      <c r="B4130" s="21"/>
      <c r="C4130" s="23"/>
      <c r="D4130" s="24"/>
      <c r="E4130" s="14"/>
      <c r="F4130" s="14"/>
      <c r="G4130" s="14"/>
      <c r="H4130" s="23"/>
      <c r="I4130" s="27"/>
      <c r="J4130" s="23"/>
      <c r="K4130" s="30"/>
      <c r="L4130" s="23"/>
      <c r="M4130" s="20"/>
      <c r="N4130" s="20"/>
      <c r="O4130" s="20"/>
      <c r="P4130" s="20"/>
    </row>
    <row r="4131">
      <c r="A4131" s="10"/>
      <c r="B4131" s="11"/>
      <c r="C4131" s="10"/>
      <c r="D4131" s="13"/>
      <c r="E4131" s="14"/>
      <c r="F4131" s="14"/>
      <c r="G4131" s="14"/>
      <c r="H4131" s="10"/>
      <c r="I4131" s="17"/>
      <c r="J4131" s="10"/>
      <c r="K4131" s="46"/>
      <c r="L4131" s="10"/>
      <c r="M4131" s="20"/>
      <c r="N4131" s="20"/>
      <c r="O4131" s="20"/>
      <c r="P4131" s="20"/>
    </row>
    <row r="4132">
      <c r="A4132" s="23"/>
      <c r="B4132" s="21"/>
      <c r="C4132" s="23"/>
      <c r="D4132" s="24"/>
      <c r="E4132" s="14"/>
      <c r="F4132" s="14"/>
      <c r="G4132" s="14"/>
      <c r="H4132" s="23"/>
      <c r="I4132" s="27"/>
      <c r="J4132" s="23"/>
      <c r="K4132" s="30"/>
      <c r="L4132" s="23"/>
      <c r="M4132" s="20"/>
      <c r="N4132" s="20"/>
      <c r="O4132" s="20"/>
      <c r="P4132" s="20"/>
    </row>
    <row r="4133">
      <c r="A4133" s="10"/>
      <c r="B4133" s="11"/>
      <c r="C4133" s="10"/>
      <c r="D4133" s="13"/>
      <c r="E4133" s="14"/>
      <c r="F4133" s="14"/>
      <c r="G4133" s="14"/>
      <c r="H4133" s="10"/>
      <c r="I4133" s="17"/>
      <c r="J4133" s="10"/>
      <c r="K4133" s="46"/>
      <c r="L4133" s="10"/>
      <c r="M4133" s="20"/>
      <c r="N4133" s="20"/>
      <c r="O4133" s="20"/>
      <c r="P4133" s="20"/>
    </row>
    <row r="4134">
      <c r="A4134" s="23"/>
      <c r="B4134" s="21"/>
      <c r="C4134" s="23"/>
      <c r="D4134" s="24"/>
      <c r="E4134" s="14"/>
      <c r="F4134" s="14"/>
      <c r="G4134" s="14"/>
      <c r="H4134" s="23"/>
      <c r="I4134" s="27"/>
      <c r="J4134" s="23"/>
      <c r="K4134" s="30"/>
      <c r="L4134" s="23"/>
      <c r="M4134" s="20"/>
      <c r="N4134" s="20"/>
      <c r="O4134" s="20"/>
      <c r="P4134" s="20"/>
    </row>
    <row r="4135">
      <c r="A4135" s="10"/>
      <c r="B4135" s="11"/>
      <c r="C4135" s="10"/>
      <c r="D4135" s="13"/>
      <c r="E4135" s="14"/>
      <c r="F4135" s="14"/>
      <c r="G4135" s="14"/>
      <c r="H4135" s="10"/>
      <c r="I4135" s="17"/>
      <c r="J4135" s="10"/>
      <c r="K4135" s="46"/>
      <c r="L4135" s="10"/>
      <c r="M4135" s="20"/>
      <c r="N4135" s="20"/>
      <c r="O4135" s="20"/>
      <c r="P4135" s="20"/>
    </row>
    <row r="4136">
      <c r="A4136" s="23"/>
      <c r="B4136" s="21"/>
      <c r="C4136" s="23"/>
      <c r="D4136" s="24"/>
      <c r="E4136" s="14"/>
      <c r="F4136" s="14"/>
      <c r="G4136" s="14"/>
      <c r="H4136" s="23"/>
      <c r="I4136" s="27"/>
      <c r="J4136" s="23"/>
      <c r="K4136" s="30"/>
      <c r="L4136" s="23"/>
      <c r="M4136" s="20"/>
      <c r="N4136" s="20"/>
      <c r="O4136" s="20"/>
      <c r="P4136" s="20"/>
    </row>
    <row r="4137">
      <c r="A4137" s="10"/>
      <c r="B4137" s="11"/>
      <c r="C4137" s="10"/>
      <c r="D4137" s="13"/>
      <c r="E4137" s="14"/>
      <c r="F4137" s="14"/>
      <c r="G4137" s="14"/>
      <c r="H4137" s="10"/>
      <c r="I4137" s="17"/>
      <c r="J4137" s="10"/>
      <c r="K4137" s="46"/>
      <c r="L4137" s="10"/>
      <c r="M4137" s="20"/>
      <c r="N4137" s="20"/>
      <c r="O4137" s="20"/>
      <c r="P4137" s="20"/>
    </row>
    <row r="4138">
      <c r="A4138" s="23"/>
      <c r="B4138" s="21"/>
      <c r="C4138" s="23"/>
      <c r="D4138" s="24"/>
      <c r="E4138" s="14"/>
      <c r="F4138" s="14"/>
      <c r="G4138" s="14"/>
      <c r="H4138" s="23"/>
      <c r="I4138" s="27"/>
      <c r="J4138" s="23"/>
      <c r="K4138" s="30"/>
      <c r="L4138" s="23"/>
      <c r="M4138" s="20"/>
      <c r="N4138" s="20"/>
      <c r="O4138" s="20"/>
      <c r="P4138" s="20"/>
    </row>
    <row r="4139">
      <c r="A4139" s="10"/>
      <c r="B4139" s="11"/>
      <c r="C4139" s="10"/>
      <c r="D4139" s="13"/>
      <c r="E4139" s="14"/>
      <c r="F4139" s="14"/>
      <c r="G4139" s="14"/>
      <c r="H4139" s="10"/>
      <c r="I4139" s="17"/>
      <c r="J4139" s="10"/>
      <c r="K4139" s="46"/>
      <c r="L4139" s="10"/>
      <c r="M4139" s="20"/>
      <c r="N4139" s="20"/>
      <c r="O4139" s="20"/>
      <c r="P4139" s="20"/>
    </row>
    <row r="4140">
      <c r="A4140" s="23"/>
      <c r="B4140" s="21"/>
      <c r="C4140" s="23"/>
      <c r="D4140" s="24"/>
      <c r="E4140" s="14"/>
      <c r="F4140" s="14"/>
      <c r="G4140" s="14"/>
      <c r="H4140" s="23"/>
      <c r="I4140" s="27"/>
      <c r="J4140" s="23"/>
      <c r="K4140" s="30"/>
      <c r="L4140" s="23"/>
      <c r="M4140" s="20"/>
      <c r="N4140" s="20"/>
      <c r="O4140" s="20"/>
      <c r="P4140" s="20"/>
    </row>
    <row r="4141">
      <c r="A4141" s="10"/>
      <c r="B4141" s="11"/>
      <c r="C4141" s="10"/>
      <c r="D4141" s="13"/>
      <c r="E4141" s="14"/>
      <c r="F4141" s="14"/>
      <c r="G4141" s="14"/>
      <c r="H4141" s="10"/>
      <c r="I4141" s="17"/>
      <c r="J4141" s="10"/>
      <c r="K4141" s="46"/>
      <c r="L4141" s="10"/>
      <c r="M4141" s="20"/>
      <c r="N4141" s="20"/>
      <c r="O4141" s="20"/>
      <c r="P4141" s="20"/>
    </row>
    <row r="4142">
      <c r="A4142" s="23"/>
      <c r="B4142" s="21"/>
      <c r="C4142" s="23"/>
      <c r="D4142" s="24"/>
      <c r="E4142" s="14"/>
      <c r="F4142" s="14"/>
      <c r="G4142" s="14"/>
      <c r="H4142" s="23"/>
      <c r="I4142" s="27"/>
      <c r="J4142" s="23"/>
      <c r="K4142" s="30"/>
      <c r="L4142" s="23"/>
      <c r="M4142" s="20"/>
      <c r="N4142" s="20"/>
      <c r="O4142" s="20"/>
      <c r="P4142" s="20"/>
    </row>
    <row r="4143">
      <c r="A4143" s="10"/>
      <c r="B4143" s="11"/>
      <c r="C4143" s="10"/>
      <c r="D4143" s="13"/>
      <c r="E4143" s="14"/>
      <c r="F4143" s="14"/>
      <c r="G4143" s="14"/>
      <c r="H4143" s="10"/>
      <c r="I4143" s="17"/>
      <c r="J4143" s="10"/>
      <c r="K4143" s="46"/>
      <c r="L4143" s="10"/>
      <c r="M4143" s="20"/>
      <c r="N4143" s="20"/>
      <c r="O4143" s="20"/>
      <c r="P4143" s="20"/>
    </row>
    <row r="4144">
      <c r="A4144" s="23"/>
      <c r="B4144" s="21"/>
      <c r="C4144" s="23"/>
      <c r="D4144" s="24"/>
      <c r="E4144" s="14"/>
      <c r="F4144" s="14"/>
      <c r="G4144" s="14"/>
      <c r="H4144" s="23"/>
      <c r="I4144" s="27"/>
      <c r="J4144" s="23"/>
      <c r="K4144" s="30"/>
      <c r="L4144" s="23"/>
      <c r="M4144" s="20"/>
      <c r="N4144" s="20"/>
      <c r="O4144" s="20"/>
      <c r="P4144" s="20"/>
    </row>
    <row r="4145">
      <c r="A4145" s="10"/>
      <c r="B4145" s="11"/>
      <c r="C4145" s="10"/>
      <c r="D4145" s="13"/>
      <c r="E4145" s="14"/>
      <c r="F4145" s="14"/>
      <c r="G4145" s="14"/>
      <c r="H4145" s="10"/>
      <c r="I4145" s="17"/>
      <c r="J4145" s="10"/>
      <c r="K4145" s="46"/>
      <c r="L4145" s="10"/>
      <c r="M4145" s="20"/>
      <c r="N4145" s="20"/>
      <c r="O4145" s="20"/>
      <c r="P4145" s="20"/>
    </row>
    <row r="4146">
      <c r="A4146" s="23"/>
      <c r="B4146" s="21"/>
      <c r="C4146" s="23"/>
      <c r="D4146" s="24"/>
      <c r="E4146" s="14"/>
      <c r="F4146" s="14"/>
      <c r="G4146" s="14"/>
      <c r="H4146" s="23"/>
      <c r="I4146" s="27"/>
      <c r="J4146" s="23"/>
      <c r="K4146" s="30"/>
      <c r="L4146" s="23"/>
      <c r="M4146" s="20"/>
      <c r="N4146" s="20"/>
      <c r="O4146" s="20"/>
      <c r="P4146" s="20"/>
    </row>
    <row r="4147">
      <c r="A4147" s="10"/>
      <c r="B4147" s="11"/>
      <c r="C4147" s="10"/>
      <c r="D4147" s="13"/>
      <c r="E4147" s="14"/>
      <c r="F4147" s="14"/>
      <c r="G4147" s="14"/>
      <c r="H4147" s="10"/>
      <c r="I4147" s="17"/>
      <c r="J4147" s="10"/>
      <c r="K4147" s="46"/>
      <c r="L4147" s="10"/>
      <c r="M4147" s="20"/>
      <c r="N4147" s="20"/>
      <c r="O4147" s="20"/>
      <c r="P4147" s="20"/>
    </row>
    <row r="4148">
      <c r="A4148" s="23"/>
      <c r="B4148" s="21"/>
      <c r="C4148" s="23"/>
      <c r="D4148" s="24"/>
      <c r="E4148" s="14"/>
      <c r="F4148" s="14"/>
      <c r="G4148" s="14"/>
      <c r="H4148" s="23"/>
      <c r="I4148" s="27"/>
      <c r="J4148" s="23"/>
      <c r="K4148" s="30"/>
      <c r="L4148" s="23"/>
      <c r="M4148" s="20"/>
      <c r="N4148" s="20"/>
      <c r="O4148" s="20"/>
      <c r="P4148" s="20"/>
    </row>
    <row r="4149">
      <c r="A4149" s="10"/>
      <c r="B4149" s="11"/>
      <c r="C4149" s="10"/>
      <c r="D4149" s="13"/>
      <c r="E4149" s="14"/>
      <c r="F4149" s="14"/>
      <c r="G4149" s="14"/>
      <c r="H4149" s="10"/>
      <c r="I4149" s="17"/>
      <c r="J4149" s="10"/>
      <c r="K4149" s="46"/>
      <c r="L4149" s="10"/>
      <c r="M4149" s="20"/>
      <c r="N4149" s="20"/>
      <c r="O4149" s="20"/>
      <c r="P4149" s="20"/>
    </row>
    <row r="4150">
      <c r="A4150" s="23"/>
      <c r="B4150" s="21"/>
      <c r="C4150" s="23"/>
      <c r="D4150" s="24"/>
      <c r="E4150" s="14"/>
      <c r="F4150" s="14"/>
      <c r="G4150" s="14"/>
      <c r="H4150" s="23"/>
      <c r="I4150" s="27"/>
      <c r="J4150" s="23"/>
      <c r="K4150" s="30"/>
      <c r="L4150" s="23"/>
      <c r="M4150" s="20"/>
      <c r="N4150" s="20"/>
      <c r="O4150" s="20"/>
      <c r="P4150" s="20"/>
    </row>
    <row r="4151">
      <c r="A4151" s="10"/>
      <c r="B4151" s="11"/>
      <c r="C4151" s="10"/>
      <c r="D4151" s="13"/>
      <c r="E4151" s="14"/>
      <c r="F4151" s="14"/>
      <c r="G4151" s="14"/>
      <c r="H4151" s="10"/>
      <c r="I4151" s="17"/>
      <c r="J4151" s="10"/>
      <c r="K4151" s="46"/>
      <c r="L4151" s="10"/>
      <c r="M4151" s="20"/>
      <c r="N4151" s="20"/>
      <c r="O4151" s="20"/>
      <c r="P4151" s="20"/>
    </row>
    <row r="4152">
      <c r="A4152" s="23"/>
      <c r="B4152" s="21"/>
      <c r="C4152" s="23"/>
      <c r="D4152" s="24"/>
      <c r="E4152" s="14"/>
      <c r="F4152" s="14"/>
      <c r="G4152" s="14"/>
      <c r="H4152" s="23"/>
      <c r="I4152" s="27"/>
      <c r="J4152" s="23"/>
      <c r="K4152" s="30"/>
      <c r="L4152" s="23"/>
      <c r="M4152" s="20"/>
      <c r="N4152" s="20"/>
      <c r="O4152" s="20"/>
      <c r="P4152" s="20"/>
    </row>
    <row r="4153">
      <c r="A4153" s="10"/>
      <c r="B4153" s="11"/>
      <c r="C4153" s="10"/>
      <c r="D4153" s="13"/>
      <c r="E4153" s="14"/>
      <c r="F4153" s="14"/>
      <c r="G4153" s="14"/>
      <c r="H4153" s="10"/>
      <c r="I4153" s="17"/>
      <c r="J4153" s="10"/>
      <c r="K4153" s="46"/>
      <c r="L4153" s="10"/>
      <c r="M4153" s="20"/>
      <c r="N4153" s="20"/>
      <c r="O4153" s="20"/>
      <c r="P4153" s="20"/>
    </row>
    <row r="4154">
      <c r="A4154" s="23"/>
      <c r="B4154" s="21"/>
      <c r="C4154" s="23"/>
      <c r="D4154" s="24"/>
      <c r="E4154" s="14"/>
      <c r="F4154" s="14"/>
      <c r="G4154" s="14"/>
      <c r="H4154" s="23"/>
      <c r="I4154" s="27"/>
      <c r="J4154" s="23"/>
      <c r="K4154" s="30"/>
      <c r="L4154" s="23"/>
      <c r="M4154" s="20"/>
      <c r="N4154" s="20"/>
      <c r="O4154" s="20"/>
      <c r="P4154" s="20"/>
    </row>
    <row r="4155">
      <c r="A4155" s="10"/>
      <c r="B4155" s="11"/>
      <c r="C4155" s="10"/>
      <c r="D4155" s="13"/>
      <c r="E4155" s="14"/>
      <c r="F4155" s="14"/>
      <c r="G4155" s="14"/>
      <c r="H4155" s="10"/>
      <c r="I4155" s="17"/>
      <c r="J4155" s="10"/>
      <c r="K4155" s="46"/>
      <c r="L4155" s="10"/>
      <c r="M4155" s="20"/>
      <c r="N4155" s="20"/>
      <c r="O4155" s="20"/>
      <c r="P4155" s="20"/>
    </row>
    <row r="4156">
      <c r="A4156" s="23"/>
      <c r="B4156" s="21"/>
      <c r="C4156" s="23"/>
      <c r="D4156" s="24"/>
      <c r="E4156" s="14"/>
      <c r="F4156" s="14"/>
      <c r="G4156" s="14"/>
      <c r="H4156" s="23"/>
      <c r="I4156" s="27"/>
      <c r="J4156" s="23"/>
      <c r="K4156" s="30"/>
      <c r="L4156" s="23"/>
      <c r="M4156" s="20"/>
      <c r="N4156" s="20"/>
      <c r="O4156" s="20"/>
      <c r="P4156" s="20"/>
    </row>
    <row r="4157">
      <c r="A4157" s="10"/>
      <c r="B4157" s="11"/>
      <c r="C4157" s="10"/>
      <c r="D4157" s="13"/>
      <c r="E4157" s="14"/>
      <c r="F4157" s="14"/>
      <c r="G4157" s="14"/>
      <c r="H4157" s="10"/>
      <c r="I4157" s="17"/>
      <c r="J4157" s="10"/>
      <c r="K4157" s="46"/>
      <c r="L4157" s="10"/>
      <c r="M4157" s="20"/>
      <c r="N4157" s="20"/>
      <c r="O4157" s="20"/>
      <c r="P4157" s="20"/>
    </row>
    <row r="4158">
      <c r="A4158" s="23"/>
      <c r="B4158" s="21"/>
      <c r="C4158" s="23"/>
      <c r="D4158" s="24"/>
      <c r="E4158" s="14"/>
      <c r="F4158" s="14"/>
      <c r="G4158" s="14"/>
      <c r="H4158" s="23"/>
      <c r="I4158" s="27"/>
      <c r="J4158" s="23"/>
      <c r="K4158" s="30"/>
      <c r="L4158" s="23"/>
      <c r="M4158" s="20"/>
      <c r="N4158" s="20"/>
      <c r="O4158" s="20"/>
      <c r="P4158" s="20"/>
    </row>
    <row r="4159">
      <c r="A4159" s="10"/>
      <c r="B4159" s="11"/>
      <c r="C4159" s="10"/>
      <c r="D4159" s="13"/>
      <c r="E4159" s="14"/>
      <c r="F4159" s="14"/>
      <c r="G4159" s="14"/>
      <c r="H4159" s="10"/>
      <c r="I4159" s="17"/>
      <c r="J4159" s="10"/>
      <c r="K4159" s="46"/>
      <c r="L4159" s="10"/>
      <c r="M4159" s="20"/>
      <c r="N4159" s="20"/>
      <c r="O4159" s="20"/>
      <c r="P4159" s="20"/>
    </row>
    <row r="4160">
      <c r="A4160" s="23"/>
      <c r="B4160" s="21"/>
      <c r="C4160" s="23"/>
      <c r="D4160" s="24"/>
      <c r="E4160" s="14"/>
      <c r="F4160" s="14"/>
      <c r="G4160" s="14"/>
      <c r="H4160" s="23"/>
      <c r="I4160" s="27"/>
      <c r="J4160" s="23"/>
      <c r="K4160" s="30"/>
      <c r="L4160" s="23"/>
      <c r="M4160" s="20"/>
      <c r="N4160" s="20"/>
      <c r="O4160" s="20"/>
      <c r="P4160" s="20"/>
    </row>
    <row r="4161">
      <c r="A4161" s="10"/>
      <c r="B4161" s="11"/>
      <c r="C4161" s="10"/>
      <c r="D4161" s="13"/>
      <c r="E4161" s="14"/>
      <c r="F4161" s="14"/>
      <c r="G4161" s="14"/>
      <c r="H4161" s="10"/>
      <c r="I4161" s="17"/>
      <c r="J4161" s="10"/>
      <c r="K4161" s="46"/>
      <c r="L4161" s="10"/>
      <c r="M4161" s="20"/>
      <c r="N4161" s="20"/>
      <c r="O4161" s="20"/>
      <c r="P4161" s="20"/>
    </row>
    <row r="4162">
      <c r="A4162" s="23"/>
      <c r="B4162" s="21"/>
      <c r="C4162" s="23"/>
      <c r="D4162" s="24"/>
      <c r="E4162" s="14"/>
      <c r="F4162" s="14"/>
      <c r="G4162" s="14"/>
      <c r="H4162" s="23"/>
      <c r="I4162" s="27"/>
      <c r="J4162" s="23"/>
      <c r="K4162" s="30"/>
      <c r="L4162" s="23"/>
      <c r="M4162" s="20"/>
      <c r="N4162" s="20"/>
      <c r="O4162" s="20"/>
      <c r="P4162" s="20"/>
    </row>
    <row r="4163">
      <c r="A4163" s="10"/>
      <c r="B4163" s="11"/>
      <c r="C4163" s="10"/>
      <c r="D4163" s="13"/>
      <c r="E4163" s="14"/>
      <c r="F4163" s="14"/>
      <c r="G4163" s="14"/>
      <c r="H4163" s="10"/>
      <c r="I4163" s="17"/>
      <c r="J4163" s="10"/>
      <c r="K4163" s="46"/>
      <c r="L4163" s="10"/>
      <c r="M4163" s="20"/>
      <c r="N4163" s="20"/>
      <c r="O4163" s="20"/>
      <c r="P4163" s="20"/>
    </row>
    <row r="4164">
      <c r="A4164" s="23"/>
      <c r="B4164" s="21"/>
      <c r="C4164" s="23"/>
      <c r="D4164" s="24"/>
      <c r="E4164" s="14"/>
      <c r="F4164" s="14"/>
      <c r="G4164" s="14"/>
      <c r="H4164" s="23"/>
      <c r="I4164" s="27"/>
      <c r="J4164" s="23"/>
      <c r="K4164" s="30"/>
      <c r="L4164" s="23"/>
      <c r="M4164" s="20"/>
      <c r="N4164" s="20"/>
      <c r="O4164" s="20"/>
      <c r="P4164" s="20"/>
    </row>
    <row r="4165">
      <c r="A4165" s="10"/>
      <c r="B4165" s="11"/>
      <c r="C4165" s="10"/>
      <c r="D4165" s="13"/>
      <c r="E4165" s="14"/>
      <c r="F4165" s="14"/>
      <c r="G4165" s="14"/>
      <c r="H4165" s="10"/>
      <c r="I4165" s="17"/>
      <c r="J4165" s="10"/>
      <c r="K4165" s="46"/>
      <c r="L4165" s="10"/>
      <c r="M4165" s="20"/>
      <c r="N4165" s="20"/>
      <c r="O4165" s="20"/>
      <c r="P4165" s="20"/>
    </row>
    <row r="4166">
      <c r="A4166" s="23"/>
      <c r="B4166" s="21"/>
      <c r="C4166" s="23"/>
      <c r="D4166" s="24"/>
      <c r="E4166" s="14"/>
      <c r="F4166" s="14"/>
      <c r="G4166" s="14"/>
      <c r="H4166" s="23"/>
      <c r="I4166" s="27"/>
      <c r="J4166" s="23"/>
      <c r="K4166" s="30"/>
      <c r="L4166" s="23"/>
      <c r="M4166" s="20"/>
      <c r="N4166" s="20"/>
      <c r="O4166" s="20"/>
      <c r="P4166" s="20"/>
    </row>
    <row r="4167">
      <c r="A4167" s="10"/>
      <c r="B4167" s="11"/>
      <c r="C4167" s="10"/>
      <c r="D4167" s="13"/>
      <c r="E4167" s="14"/>
      <c r="F4167" s="14"/>
      <c r="G4167" s="14"/>
      <c r="H4167" s="10"/>
      <c r="I4167" s="17"/>
      <c r="J4167" s="10"/>
      <c r="K4167" s="46"/>
      <c r="L4167" s="10"/>
      <c r="M4167" s="20"/>
      <c r="N4167" s="20"/>
      <c r="O4167" s="20"/>
      <c r="P4167" s="20"/>
    </row>
    <row r="4168">
      <c r="A4168" s="23"/>
      <c r="B4168" s="21"/>
      <c r="C4168" s="23"/>
      <c r="D4168" s="24"/>
      <c r="E4168" s="14"/>
      <c r="F4168" s="14"/>
      <c r="G4168" s="14"/>
      <c r="H4168" s="23"/>
      <c r="I4168" s="27"/>
      <c r="J4168" s="23"/>
      <c r="K4168" s="30"/>
      <c r="L4168" s="23"/>
      <c r="M4168" s="20"/>
      <c r="N4168" s="20"/>
      <c r="O4168" s="20"/>
      <c r="P4168" s="20"/>
    </row>
    <row r="4169">
      <c r="A4169" s="10"/>
      <c r="B4169" s="11"/>
      <c r="C4169" s="10"/>
      <c r="D4169" s="13"/>
      <c r="E4169" s="14"/>
      <c r="F4169" s="14"/>
      <c r="G4169" s="14"/>
      <c r="H4169" s="10"/>
      <c r="I4169" s="17"/>
      <c r="J4169" s="10"/>
      <c r="K4169" s="46"/>
      <c r="L4169" s="10"/>
      <c r="M4169" s="20"/>
      <c r="N4169" s="20"/>
      <c r="O4169" s="20"/>
      <c r="P4169" s="20"/>
    </row>
    <row r="4170">
      <c r="A4170" s="23"/>
      <c r="B4170" s="21"/>
      <c r="C4170" s="23"/>
      <c r="D4170" s="24"/>
      <c r="E4170" s="14"/>
      <c r="F4170" s="14"/>
      <c r="G4170" s="14"/>
      <c r="H4170" s="23"/>
      <c r="I4170" s="27"/>
      <c r="J4170" s="23"/>
      <c r="K4170" s="30"/>
      <c r="L4170" s="23"/>
      <c r="M4170" s="20"/>
      <c r="N4170" s="20"/>
      <c r="O4170" s="20"/>
      <c r="P4170" s="20"/>
    </row>
    <row r="4171">
      <c r="A4171" s="10"/>
      <c r="B4171" s="11"/>
      <c r="C4171" s="10"/>
      <c r="D4171" s="13"/>
      <c r="E4171" s="14"/>
      <c r="F4171" s="14"/>
      <c r="G4171" s="14"/>
      <c r="H4171" s="10"/>
      <c r="I4171" s="17"/>
      <c r="J4171" s="10"/>
      <c r="K4171" s="46"/>
      <c r="L4171" s="10"/>
      <c r="M4171" s="20"/>
      <c r="N4171" s="20"/>
      <c r="O4171" s="20"/>
      <c r="P4171" s="20"/>
    </row>
    <row r="4172">
      <c r="A4172" s="23"/>
      <c r="B4172" s="21"/>
      <c r="C4172" s="23"/>
      <c r="D4172" s="24"/>
      <c r="E4172" s="14"/>
      <c r="F4172" s="14"/>
      <c r="G4172" s="14"/>
      <c r="H4172" s="23"/>
      <c r="I4172" s="27"/>
      <c r="J4172" s="23"/>
      <c r="K4172" s="30"/>
      <c r="L4172" s="23"/>
      <c r="M4172" s="20"/>
      <c r="N4172" s="20"/>
      <c r="O4172" s="20"/>
      <c r="P4172" s="20"/>
    </row>
    <row r="4173">
      <c r="A4173" s="10"/>
      <c r="B4173" s="11"/>
      <c r="C4173" s="10"/>
      <c r="D4173" s="13"/>
      <c r="E4173" s="14"/>
      <c r="F4173" s="14"/>
      <c r="G4173" s="14"/>
      <c r="H4173" s="10"/>
      <c r="I4173" s="17"/>
      <c r="J4173" s="10"/>
      <c r="K4173" s="46"/>
      <c r="L4173" s="10"/>
      <c r="M4173" s="20"/>
      <c r="N4173" s="20"/>
      <c r="O4173" s="20"/>
      <c r="P4173" s="20"/>
    </row>
    <row r="4174">
      <c r="A4174" s="23"/>
      <c r="B4174" s="21"/>
      <c r="C4174" s="23"/>
      <c r="D4174" s="24"/>
      <c r="E4174" s="14"/>
      <c r="F4174" s="14"/>
      <c r="G4174" s="14"/>
      <c r="H4174" s="23"/>
      <c r="I4174" s="27"/>
      <c r="J4174" s="23"/>
      <c r="K4174" s="30"/>
      <c r="L4174" s="23"/>
      <c r="M4174" s="20"/>
      <c r="N4174" s="20"/>
      <c r="O4174" s="20"/>
      <c r="P4174" s="20"/>
    </row>
    <row r="4175">
      <c r="A4175" s="10"/>
      <c r="B4175" s="11"/>
      <c r="C4175" s="10"/>
      <c r="D4175" s="13"/>
      <c r="E4175" s="14"/>
      <c r="F4175" s="14"/>
      <c r="G4175" s="14"/>
      <c r="H4175" s="10"/>
      <c r="I4175" s="17"/>
      <c r="J4175" s="10"/>
      <c r="K4175" s="46"/>
      <c r="L4175" s="10"/>
      <c r="M4175" s="20"/>
      <c r="N4175" s="20"/>
      <c r="O4175" s="20"/>
      <c r="P4175" s="20"/>
    </row>
    <row r="4176">
      <c r="A4176" s="23"/>
      <c r="B4176" s="21"/>
      <c r="C4176" s="23"/>
      <c r="D4176" s="24"/>
      <c r="E4176" s="14"/>
      <c r="F4176" s="14"/>
      <c r="G4176" s="14"/>
      <c r="H4176" s="23"/>
      <c r="I4176" s="27"/>
      <c r="J4176" s="23"/>
      <c r="K4176" s="30"/>
      <c r="L4176" s="23"/>
      <c r="M4176" s="20"/>
      <c r="N4176" s="20"/>
      <c r="O4176" s="20"/>
      <c r="P4176" s="20"/>
    </row>
    <row r="4177">
      <c r="A4177" s="10"/>
      <c r="B4177" s="11"/>
      <c r="C4177" s="10"/>
      <c r="D4177" s="13"/>
      <c r="E4177" s="14"/>
      <c r="F4177" s="14"/>
      <c r="G4177" s="14"/>
      <c r="H4177" s="10"/>
      <c r="I4177" s="17"/>
      <c r="J4177" s="10"/>
      <c r="K4177" s="46"/>
      <c r="L4177" s="10"/>
      <c r="M4177" s="20"/>
      <c r="N4177" s="20"/>
      <c r="O4177" s="20"/>
      <c r="P4177" s="20"/>
    </row>
    <row r="4178">
      <c r="A4178" s="23"/>
      <c r="B4178" s="21"/>
      <c r="C4178" s="23"/>
      <c r="D4178" s="24"/>
      <c r="E4178" s="14"/>
      <c r="F4178" s="14"/>
      <c r="G4178" s="14"/>
      <c r="H4178" s="23"/>
      <c r="I4178" s="27"/>
      <c r="J4178" s="23"/>
      <c r="K4178" s="30"/>
      <c r="L4178" s="23"/>
      <c r="M4178" s="20"/>
      <c r="N4178" s="20"/>
      <c r="O4178" s="20"/>
      <c r="P4178" s="20"/>
    </row>
    <row r="4179">
      <c r="A4179" s="10"/>
      <c r="B4179" s="11"/>
      <c r="C4179" s="10"/>
      <c r="D4179" s="13"/>
      <c r="E4179" s="14"/>
      <c r="F4179" s="14"/>
      <c r="G4179" s="14"/>
      <c r="H4179" s="10"/>
      <c r="I4179" s="17"/>
      <c r="J4179" s="10"/>
      <c r="K4179" s="46"/>
      <c r="L4179" s="10"/>
      <c r="M4179" s="20"/>
      <c r="N4179" s="20"/>
      <c r="O4179" s="20"/>
      <c r="P4179" s="20"/>
    </row>
    <row r="4180">
      <c r="A4180" s="23"/>
      <c r="B4180" s="21"/>
      <c r="C4180" s="23"/>
      <c r="D4180" s="24"/>
      <c r="E4180" s="14"/>
      <c r="F4180" s="14"/>
      <c r="G4180" s="14"/>
      <c r="H4180" s="23"/>
      <c r="I4180" s="27"/>
      <c r="J4180" s="23"/>
      <c r="K4180" s="30"/>
      <c r="L4180" s="23"/>
      <c r="M4180" s="20"/>
      <c r="N4180" s="20"/>
      <c r="O4180" s="20"/>
      <c r="P4180" s="20"/>
    </row>
    <row r="4181">
      <c r="A4181" s="10"/>
      <c r="B4181" s="11"/>
      <c r="C4181" s="10"/>
      <c r="D4181" s="13"/>
      <c r="E4181" s="14"/>
      <c r="F4181" s="14"/>
      <c r="G4181" s="14"/>
      <c r="H4181" s="10"/>
      <c r="I4181" s="17"/>
      <c r="J4181" s="10"/>
      <c r="K4181" s="46"/>
      <c r="L4181" s="10"/>
      <c r="M4181" s="20"/>
      <c r="N4181" s="20"/>
      <c r="O4181" s="20"/>
      <c r="P4181" s="20"/>
    </row>
    <row r="4182">
      <c r="A4182" s="23"/>
      <c r="B4182" s="21"/>
      <c r="C4182" s="23"/>
      <c r="D4182" s="24"/>
      <c r="E4182" s="14"/>
      <c r="F4182" s="14"/>
      <c r="G4182" s="14"/>
      <c r="H4182" s="23"/>
      <c r="I4182" s="27"/>
      <c r="J4182" s="23"/>
      <c r="K4182" s="30"/>
      <c r="L4182" s="23"/>
      <c r="M4182" s="20"/>
      <c r="N4182" s="20"/>
      <c r="O4182" s="20"/>
      <c r="P4182" s="20"/>
    </row>
    <row r="4183">
      <c r="A4183" s="10"/>
      <c r="B4183" s="11"/>
      <c r="C4183" s="10"/>
      <c r="D4183" s="13"/>
      <c r="E4183" s="14"/>
      <c r="F4183" s="14"/>
      <c r="G4183" s="14"/>
      <c r="H4183" s="10"/>
      <c r="I4183" s="17"/>
      <c r="J4183" s="10"/>
      <c r="K4183" s="46"/>
      <c r="L4183" s="10"/>
      <c r="M4183" s="20"/>
      <c r="N4183" s="20"/>
      <c r="O4183" s="20"/>
      <c r="P4183" s="20"/>
    </row>
    <row r="4184">
      <c r="A4184" s="23"/>
      <c r="B4184" s="21"/>
      <c r="C4184" s="23"/>
      <c r="D4184" s="24"/>
      <c r="E4184" s="14"/>
      <c r="F4184" s="14"/>
      <c r="G4184" s="14"/>
      <c r="H4184" s="23"/>
      <c r="I4184" s="27"/>
      <c r="J4184" s="23"/>
      <c r="K4184" s="30"/>
      <c r="L4184" s="23"/>
      <c r="M4184" s="20"/>
      <c r="N4184" s="20"/>
      <c r="O4184" s="20"/>
      <c r="P4184" s="20"/>
    </row>
    <row r="4185">
      <c r="A4185" s="10"/>
      <c r="B4185" s="11"/>
      <c r="C4185" s="10"/>
      <c r="D4185" s="13"/>
      <c r="E4185" s="14"/>
      <c r="F4185" s="14"/>
      <c r="G4185" s="14"/>
      <c r="H4185" s="10"/>
      <c r="I4185" s="17"/>
      <c r="J4185" s="10"/>
      <c r="K4185" s="46"/>
      <c r="L4185" s="10"/>
      <c r="M4185" s="20"/>
      <c r="N4185" s="20"/>
      <c r="O4185" s="20"/>
      <c r="P4185" s="20"/>
    </row>
    <row r="4186">
      <c r="A4186" s="23"/>
      <c r="B4186" s="21"/>
      <c r="C4186" s="23"/>
      <c r="D4186" s="24"/>
      <c r="E4186" s="14"/>
      <c r="F4186" s="14"/>
      <c r="G4186" s="14"/>
      <c r="H4186" s="23"/>
      <c r="I4186" s="27"/>
      <c r="J4186" s="23"/>
      <c r="K4186" s="30"/>
      <c r="L4186" s="23"/>
      <c r="M4186" s="20"/>
      <c r="N4186" s="20"/>
      <c r="O4186" s="20"/>
      <c r="P4186" s="20"/>
    </row>
    <row r="4187">
      <c r="A4187" s="10"/>
      <c r="B4187" s="11"/>
      <c r="C4187" s="10"/>
      <c r="D4187" s="13"/>
      <c r="E4187" s="14"/>
      <c r="F4187" s="14"/>
      <c r="G4187" s="14"/>
      <c r="H4187" s="10"/>
      <c r="I4187" s="17"/>
      <c r="J4187" s="10"/>
      <c r="K4187" s="46"/>
      <c r="L4187" s="10"/>
      <c r="M4187" s="20"/>
      <c r="N4187" s="20"/>
      <c r="O4187" s="20"/>
      <c r="P4187" s="20"/>
    </row>
    <row r="4188">
      <c r="A4188" s="23"/>
      <c r="B4188" s="21"/>
      <c r="C4188" s="23"/>
      <c r="D4188" s="24"/>
      <c r="E4188" s="14"/>
      <c r="F4188" s="14"/>
      <c r="G4188" s="14"/>
      <c r="H4188" s="23"/>
      <c r="I4188" s="27"/>
      <c r="J4188" s="23"/>
      <c r="K4188" s="30"/>
      <c r="L4188" s="23"/>
      <c r="M4188" s="20"/>
      <c r="N4188" s="20"/>
      <c r="O4188" s="20"/>
      <c r="P4188" s="20"/>
    </row>
    <row r="4189">
      <c r="A4189" s="10"/>
      <c r="B4189" s="11"/>
      <c r="C4189" s="10"/>
      <c r="D4189" s="13"/>
      <c r="E4189" s="14"/>
      <c r="F4189" s="14"/>
      <c r="G4189" s="14"/>
      <c r="H4189" s="10"/>
      <c r="I4189" s="17"/>
      <c r="J4189" s="10"/>
      <c r="K4189" s="46"/>
      <c r="L4189" s="10"/>
      <c r="M4189" s="20"/>
      <c r="N4189" s="20"/>
      <c r="O4189" s="20"/>
      <c r="P4189" s="20"/>
    </row>
    <row r="4190">
      <c r="A4190" s="23"/>
      <c r="B4190" s="21"/>
      <c r="C4190" s="23"/>
      <c r="D4190" s="24"/>
      <c r="E4190" s="14"/>
      <c r="F4190" s="14"/>
      <c r="G4190" s="14"/>
      <c r="H4190" s="23"/>
      <c r="I4190" s="27"/>
      <c r="J4190" s="23"/>
      <c r="K4190" s="30"/>
      <c r="L4190" s="23"/>
      <c r="M4190" s="20"/>
      <c r="N4190" s="20"/>
      <c r="O4190" s="20"/>
      <c r="P4190" s="20"/>
    </row>
    <row r="4191">
      <c r="A4191" s="10"/>
      <c r="B4191" s="11"/>
      <c r="C4191" s="10"/>
      <c r="D4191" s="13"/>
      <c r="E4191" s="14"/>
      <c r="F4191" s="14"/>
      <c r="G4191" s="14"/>
      <c r="H4191" s="10"/>
      <c r="I4191" s="17"/>
      <c r="J4191" s="10"/>
      <c r="K4191" s="46"/>
      <c r="L4191" s="10"/>
      <c r="M4191" s="20"/>
      <c r="N4191" s="20"/>
      <c r="O4191" s="20"/>
      <c r="P4191" s="20"/>
    </row>
    <row r="4192">
      <c r="A4192" s="23"/>
      <c r="B4192" s="21"/>
      <c r="C4192" s="23"/>
      <c r="D4192" s="24"/>
      <c r="E4192" s="14"/>
      <c r="F4192" s="14"/>
      <c r="G4192" s="14"/>
      <c r="H4192" s="23"/>
      <c r="I4192" s="27"/>
      <c r="J4192" s="23"/>
      <c r="K4192" s="30"/>
      <c r="L4192" s="23"/>
      <c r="M4192" s="20"/>
      <c r="N4192" s="20"/>
      <c r="O4192" s="20"/>
      <c r="P4192" s="20"/>
    </row>
    <row r="4193">
      <c r="A4193" s="10"/>
      <c r="B4193" s="11"/>
      <c r="C4193" s="10"/>
      <c r="D4193" s="13"/>
      <c r="E4193" s="14"/>
      <c r="F4193" s="14"/>
      <c r="G4193" s="14"/>
      <c r="H4193" s="10"/>
      <c r="I4193" s="17"/>
      <c r="J4193" s="10"/>
      <c r="K4193" s="46"/>
      <c r="L4193" s="10"/>
      <c r="M4193" s="20"/>
      <c r="N4193" s="20"/>
      <c r="O4193" s="20"/>
      <c r="P4193" s="20"/>
    </row>
    <row r="4194">
      <c r="A4194" s="23"/>
      <c r="B4194" s="21"/>
      <c r="C4194" s="23"/>
      <c r="D4194" s="24"/>
      <c r="E4194" s="14"/>
      <c r="F4194" s="14"/>
      <c r="G4194" s="14"/>
      <c r="H4194" s="23"/>
      <c r="I4194" s="27"/>
      <c r="J4194" s="23"/>
      <c r="K4194" s="30"/>
      <c r="L4194" s="23"/>
      <c r="M4194" s="20"/>
      <c r="N4194" s="20"/>
      <c r="O4194" s="20"/>
      <c r="P4194" s="20"/>
    </row>
    <row r="4195">
      <c r="A4195" s="10"/>
      <c r="B4195" s="11"/>
      <c r="C4195" s="10"/>
      <c r="D4195" s="13"/>
      <c r="E4195" s="14"/>
      <c r="F4195" s="14"/>
      <c r="G4195" s="14"/>
      <c r="H4195" s="10"/>
      <c r="I4195" s="17"/>
      <c r="J4195" s="10"/>
      <c r="K4195" s="46"/>
      <c r="L4195" s="10"/>
      <c r="M4195" s="20"/>
      <c r="N4195" s="20"/>
      <c r="O4195" s="20"/>
      <c r="P4195" s="20"/>
    </row>
    <row r="4196">
      <c r="A4196" s="23"/>
      <c r="B4196" s="21"/>
      <c r="C4196" s="23"/>
      <c r="D4196" s="24"/>
      <c r="E4196" s="14"/>
      <c r="F4196" s="14"/>
      <c r="G4196" s="14"/>
      <c r="H4196" s="23"/>
      <c r="I4196" s="27"/>
      <c r="J4196" s="23"/>
      <c r="K4196" s="30"/>
      <c r="L4196" s="23"/>
      <c r="M4196" s="20"/>
      <c r="N4196" s="20"/>
      <c r="O4196" s="20"/>
      <c r="P4196" s="20"/>
    </row>
    <row r="4197">
      <c r="A4197" s="10"/>
      <c r="B4197" s="11"/>
      <c r="C4197" s="10"/>
      <c r="D4197" s="13"/>
      <c r="E4197" s="14"/>
      <c r="F4197" s="14"/>
      <c r="G4197" s="14"/>
      <c r="H4197" s="10"/>
      <c r="I4197" s="17"/>
      <c r="J4197" s="10"/>
      <c r="K4197" s="46"/>
      <c r="L4197" s="10"/>
      <c r="M4197" s="20"/>
      <c r="N4197" s="20"/>
      <c r="O4197" s="20"/>
      <c r="P4197" s="20"/>
    </row>
    <row r="4198">
      <c r="A4198" s="23"/>
      <c r="B4198" s="21"/>
      <c r="C4198" s="23"/>
      <c r="D4198" s="24"/>
      <c r="E4198" s="14"/>
      <c r="F4198" s="14"/>
      <c r="G4198" s="14"/>
      <c r="H4198" s="23"/>
      <c r="I4198" s="27"/>
      <c r="J4198" s="23"/>
      <c r="K4198" s="30"/>
      <c r="L4198" s="23"/>
      <c r="M4198" s="20"/>
      <c r="N4198" s="20"/>
      <c r="O4198" s="20"/>
      <c r="P4198" s="20"/>
    </row>
    <row r="4199">
      <c r="A4199" s="10"/>
      <c r="B4199" s="11"/>
      <c r="C4199" s="10"/>
      <c r="D4199" s="13"/>
      <c r="E4199" s="14"/>
      <c r="F4199" s="14"/>
      <c r="G4199" s="14"/>
      <c r="H4199" s="10"/>
      <c r="I4199" s="17"/>
      <c r="J4199" s="10"/>
      <c r="K4199" s="46"/>
      <c r="L4199" s="10"/>
      <c r="M4199" s="20"/>
      <c r="N4199" s="20"/>
      <c r="O4199" s="20"/>
      <c r="P4199" s="20"/>
    </row>
    <row r="4200">
      <c r="A4200" s="23"/>
      <c r="B4200" s="21"/>
      <c r="C4200" s="23"/>
      <c r="D4200" s="24"/>
      <c r="E4200" s="14"/>
      <c r="F4200" s="14"/>
      <c r="G4200" s="14"/>
      <c r="H4200" s="23"/>
      <c r="I4200" s="27"/>
      <c r="J4200" s="23"/>
      <c r="K4200" s="30"/>
      <c r="L4200" s="23"/>
      <c r="M4200" s="20"/>
      <c r="N4200" s="20"/>
      <c r="O4200" s="20"/>
      <c r="P4200" s="20"/>
    </row>
    <row r="4201">
      <c r="A4201" s="10"/>
      <c r="B4201" s="11"/>
      <c r="C4201" s="10"/>
      <c r="D4201" s="13"/>
      <c r="E4201" s="14"/>
      <c r="F4201" s="14"/>
      <c r="G4201" s="14"/>
      <c r="H4201" s="10"/>
      <c r="I4201" s="17"/>
      <c r="J4201" s="10"/>
      <c r="K4201" s="46"/>
      <c r="L4201" s="10"/>
      <c r="M4201" s="20"/>
      <c r="N4201" s="20"/>
      <c r="O4201" s="20"/>
      <c r="P4201" s="20"/>
    </row>
    <row r="4202">
      <c r="A4202" s="23"/>
      <c r="B4202" s="21"/>
      <c r="C4202" s="23"/>
      <c r="D4202" s="24"/>
      <c r="E4202" s="14"/>
      <c r="F4202" s="14"/>
      <c r="G4202" s="14"/>
      <c r="H4202" s="23"/>
      <c r="I4202" s="27"/>
      <c r="J4202" s="23"/>
      <c r="K4202" s="30"/>
      <c r="L4202" s="23"/>
      <c r="M4202" s="20"/>
      <c r="N4202" s="20"/>
      <c r="O4202" s="20"/>
      <c r="P4202" s="20"/>
    </row>
    <row r="4203">
      <c r="A4203" s="10"/>
      <c r="B4203" s="11"/>
      <c r="C4203" s="10"/>
      <c r="D4203" s="13"/>
      <c r="E4203" s="14"/>
      <c r="F4203" s="14"/>
      <c r="G4203" s="14"/>
      <c r="H4203" s="10"/>
      <c r="I4203" s="17"/>
      <c r="J4203" s="10"/>
      <c r="K4203" s="46"/>
      <c r="L4203" s="10"/>
      <c r="M4203" s="20"/>
      <c r="N4203" s="20"/>
      <c r="O4203" s="20"/>
      <c r="P4203" s="20"/>
    </row>
    <row r="4204">
      <c r="A4204" s="23"/>
      <c r="B4204" s="21"/>
      <c r="C4204" s="23"/>
      <c r="D4204" s="24"/>
      <c r="E4204" s="14"/>
      <c r="F4204" s="14"/>
      <c r="G4204" s="14"/>
      <c r="H4204" s="23"/>
      <c r="I4204" s="27"/>
      <c r="J4204" s="23"/>
      <c r="K4204" s="30"/>
      <c r="L4204" s="23"/>
      <c r="M4204" s="20"/>
      <c r="N4204" s="20"/>
      <c r="O4204" s="20"/>
      <c r="P4204" s="20"/>
    </row>
    <row r="4205">
      <c r="A4205" s="10"/>
      <c r="B4205" s="11"/>
      <c r="C4205" s="10"/>
      <c r="D4205" s="13"/>
      <c r="E4205" s="14"/>
      <c r="F4205" s="14"/>
      <c r="G4205" s="14"/>
      <c r="H4205" s="10"/>
      <c r="I4205" s="17"/>
      <c r="J4205" s="10"/>
      <c r="K4205" s="46"/>
      <c r="L4205" s="10"/>
      <c r="M4205" s="20"/>
      <c r="N4205" s="20"/>
      <c r="O4205" s="20"/>
      <c r="P4205" s="20"/>
    </row>
    <row r="4206">
      <c r="A4206" s="23"/>
      <c r="B4206" s="21"/>
      <c r="C4206" s="23"/>
      <c r="D4206" s="24"/>
      <c r="E4206" s="14"/>
      <c r="F4206" s="14"/>
      <c r="G4206" s="14"/>
      <c r="H4206" s="23"/>
      <c r="I4206" s="27"/>
      <c r="J4206" s="23"/>
      <c r="K4206" s="30"/>
      <c r="L4206" s="23"/>
      <c r="M4206" s="20"/>
      <c r="N4206" s="20"/>
      <c r="O4206" s="20"/>
      <c r="P4206" s="20"/>
    </row>
    <row r="4207">
      <c r="A4207" s="10"/>
      <c r="B4207" s="11"/>
      <c r="C4207" s="10"/>
      <c r="D4207" s="13"/>
      <c r="E4207" s="14"/>
      <c r="F4207" s="14"/>
      <c r="G4207" s="14"/>
      <c r="H4207" s="10"/>
      <c r="I4207" s="17"/>
      <c r="J4207" s="10"/>
      <c r="K4207" s="46"/>
      <c r="L4207" s="10"/>
      <c r="M4207" s="20"/>
      <c r="N4207" s="20"/>
      <c r="O4207" s="20"/>
      <c r="P4207" s="20"/>
    </row>
    <row r="4208">
      <c r="A4208" s="23"/>
      <c r="B4208" s="21"/>
      <c r="C4208" s="23"/>
      <c r="D4208" s="24"/>
      <c r="E4208" s="14"/>
      <c r="F4208" s="14"/>
      <c r="G4208" s="14"/>
      <c r="H4208" s="23"/>
      <c r="I4208" s="27"/>
      <c r="J4208" s="23"/>
      <c r="K4208" s="30"/>
      <c r="L4208" s="23"/>
      <c r="M4208" s="20"/>
      <c r="N4208" s="20"/>
      <c r="O4208" s="20"/>
      <c r="P4208" s="20"/>
    </row>
    <row r="4209">
      <c r="A4209" s="10"/>
      <c r="B4209" s="11"/>
      <c r="C4209" s="10"/>
      <c r="D4209" s="13"/>
      <c r="E4209" s="14"/>
      <c r="F4209" s="14"/>
      <c r="G4209" s="14"/>
      <c r="H4209" s="10"/>
      <c r="I4209" s="17"/>
      <c r="J4209" s="10"/>
      <c r="K4209" s="46"/>
      <c r="L4209" s="10"/>
      <c r="M4209" s="20"/>
      <c r="N4209" s="20"/>
      <c r="O4209" s="20"/>
      <c r="P4209" s="20"/>
    </row>
    <row r="4210">
      <c r="A4210" s="23"/>
      <c r="B4210" s="21"/>
      <c r="C4210" s="23"/>
      <c r="D4210" s="24"/>
      <c r="E4210" s="14"/>
      <c r="F4210" s="14"/>
      <c r="G4210" s="14"/>
      <c r="H4210" s="23"/>
      <c r="I4210" s="27"/>
      <c r="J4210" s="23"/>
      <c r="K4210" s="30"/>
      <c r="L4210" s="23"/>
      <c r="M4210" s="20"/>
      <c r="N4210" s="20"/>
      <c r="O4210" s="20"/>
      <c r="P4210" s="20"/>
    </row>
    <row r="4211">
      <c r="A4211" s="10"/>
      <c r="B4211" s="11"/>
      <c r="C4211" s="10"/>
      <c r="D4211" s="13"/>
      <c r="E4211" s="14"/>
      <c r="F4211" s="14"/>
      <c r="G4211" s="14"/>
      <c r="H4211" s="10"/>
      <c r="I4211" s="17"/>
      <c r="J4211" s="10"/>
      <c r="K4211" s="46"/>
      <c r="L4211" s="10"/>
      <c r="M4211" s="20"/>
      <c r="N4211" s="20"/>
      <c r="O4211" s="20"/>
      <c r="P4211" s="20"/>
    </row>
    <row r="4212">
      <c r="A4212" s="23"/>
      <c r="B4212" s="21"/>
      <c r="C4212" s="23"/>
      <c r="D4212" s="24"/>
      <c r="E4212" s="14"/>
      <c r="F4212" s="14"/>
      <c r="G4212" s="14"/>
      <c r="H4212" s="23"/>
      <c r="I4212" s="27"/>
      <c r="J4212" s="23"/>
      <c r="K4212" s="30"/>
      <c r="L4212" s="23"/>
      <c r="M4212" s="20"/>
      <c r="N4212" s="20"/>
      <c r="O4212" s="20"/>
      <c r="P4212" s="20"/>
    </row>
    <row r="4213">
      <c r="A4213" s="10"/>
      <c r="B4213" s="11"/>
      <c r="C4213" s="10"/>
      <c r="D4213" s="13"/>
      <c r="E4213" s="14"/>
      <c r="F4213" s="14"/>
      <c r="G4213" s="14"/>
      <c r="H4213" s="10"/>
      <c r="I4213" s="17"/>
      <c r="J4213" s="10"/>
      <c r="K4213" s="46"/>
      <c r="L4213" s="10"/>
      <c r="M4213" s="20"/>
      <c r="N4213" s="20"/>
      <c r="O4213" s="20"/>
      <c r="P4213" s="20"/>
    </row>
    <row r="4214">
      <c r="A4214" s="23"/>
      <c r="B4214" s="21"/>
      <c r="C4214" s="23"/>
      <c r="D4214" s="24"/>
      <c r="E4214" s="14"/>
      <c r="F4214" s="14"/>
      <c r="G4214" s="14"/>
      <c r="H4214" s="23"/>
      <c r="I4214" s="27"/>
      <c r="J4214" s="23"/>
      <c r="K4214" s="30"/>
      <c r="L4214" s="23"/>
      <c r="M4214" s="20"/>
      <c r="N4214" s="20"/>
      <c r="O4214" s="20"/>
      <c r="P4214" s="20"/>
    </row>
    <row r="4215">
      <c r="A4215" s="10"/>
      <c r="B4215" s="11"/>
      <c r="C4215" s="10"/>
      <c r="D4215" s="13"/>
      <c r="E4215" s="14"/>
      <c r="F4215" s="14"/>
      <c r="G4215" s="14"/>
      <c r="H4215" s="10"/>
      <c r="I4215" s="17"/>
      <c r="J4215" s="10"/>
      <c r="K4215" s="46"/>
      <c r="L4215" s="10"/>
      <c r="M4215" s="20"/>
      <c r="N4215" s="20"/>
      <c r="O4215" s="20"/>
      <c r="P4215" s="20"/>
    </row>
    <row r="4216">
      <c r="A4216" s="23"/>
      <c r="B4216" s="21"/>
      <c r="C4216" s="23"/>
      <c r="D4216" s="24"/>
      <c r="E4216" s="14"/>
      <c r="F4216" s="14"/>
      <c r="G4216" s="14"/>
      <c r="H4216" s="23"/>
      <c r="I4216" s="27"/>
      <c r="J4216" s="23"/>
      <c r="K4216" s="30"/>
      <c r="L4216" s="23"/>
      <c r="M4216" s="20"/>
      <c r="N4216" s="20"/>
      <c r="O4216" s="20"/>
      <c r="P4216" s="20"/>
    </row>
    <row r="4217">
      <c r="A4217" s="10"/>
      <c r="B4217" s="11"/>
      <c r="C4217" s="10"/>
      <c r="D4217" s="13"/>
      <c r="E4217" s="14"/>
      <c r="F4217" s="14"/>
      <c r="G4217" s="14"/>
      <c r="H4217" s="10"/>
      <c r="I4217" s="17"/>
      <c r="J4217" s="10"/>
      <c r="K4217" s="46"/>
      <c r="L4217" s="10"/>
      <c r="M4217" s="20"/>
      <c r="N4217" s="20"/>
      <c r="O4217" s="20"/>
      <c r="P4217" s="20"/>
    </row>
    <row r="4218">
      <c r="A4218" s="23"/>
      <c r="B4218" s="21"/>
      <c r="C4218" s="23"/>
      <c r="D4218" s="24"/>
      <c r="E4218" s="14"/>
      <c r="F4218" s="14"/>
      <c r="G4218" s="14"/>
      <c r="H4218" s="23"/>
      <c r="I4218" s="27"/>
      <c r="J4218" s="23"/>
      <c r="K4218" s="30"/>
      <c r="L4218" s="23"/>
      <c r="M4218" s="20"/>
      <c r="N4218" s="20"/>
      <c r="O4218" s="20"/>
      <c r="P4218" s="20"/>
    </row>
    <row r="4219">
      <c r="A4219" s="10"/>
      <c r="B4219" s="11"/>
      <c r="C4219" s="10"/>
      <c r="D4219" s="13"/>
      <c r="E4219" s="14"/>
      <c r="F4219" s="14"/>
      <c r="G4219" s="14"/>
      <c r="H4219" s="10"/>
      <c r="I4219" s="17"/>
      <c r="J4219" s="10"/>
      <c r="K4219" s="46"/>
      <c r="L4219" s="10"/>
      <c r="M4219" s="20"/>
      <c r="N4219" s="20"/>
      <c r="O4219" s="20"/>
      <c r="P4219" s="20"/>
    </row>
    <row r="4220">
      <c r="A4220" s="23"/>
      <c r="B4220" s="21"/>
      <c r="C4220" s="23"/>
      <c r="D4220" s="24"/>
      <c r="E4220" s="14"/>
      <c r="F4220" s="14"/>
      <c r="G4220" s="14"/>
      <c r="H4220" s="23"/>
      <c r="I4220" s="27"/>
      <c r="J4220" s="23"/>
      <c r="K4220" s="30"/>
      <c r="L4220" s="23"/>
      <c r="M4220" s="20"/>
      <c r="N4220" s="20"/>
      <c r="O4220" s="20"/>
      <c r="P4220" s="20"/>
    </row>
    <row r="4221">
      <c r="A4221" s="10"/>
      <c r="B4221" s="11"/>
      <c r="C4221" s="10"/>
      <c r="D4221" s="13"/>
      <c r="E4221" s="14"/>
      <c r="F4221" s="14"/>
      <c r="G4221" s="14"/>
      <c r="H4221" s="10"/>
      <c r="I4221" s="17"/>
      <c r="J4221" s="10"/>
      <c r="K4221" s="46"/>
      <c r="L4221" s="10"/>
      <c r="M4221" s="20"/>
      <c r="N4221" s="20"/>
      <c r="O4221" s="20"/>
      <c r="P4221" s="20"/>
    </row>
    <row r="4222">
      <c r="A4222" s="23"/>
      <c r="B4222" s="21"/>
      <c r="C4222" s="23"/>
      <c r="D4222" s="24"/>
      <c r="E4222" s="14"/>
      <c r="F4222" s="14"/>
      <c r="G4222" s="14"/>
      <c r="H4222" s="23"/>
      <c r="I4222" s="27"/>
      <c r="J4222" s="23"/>
      <c r="K4222" s="30"/>
      <c r="L4222" s="23"/>
      <c r="M4222" s="20"/>
      <c r="N4222" s="20"/>
      <c r="O4222" s="20"/>
      <c r="P4222" s="20"/>
    </row>
    <row r="4223">
      <c r="A4223" s="10"/>
      <c r="B4223" s="11"/>
      <c r="C4223" s="10"/>
      <c r="D4223" s="13"/>
      <c r="E4223" s="14"/>
      <c r="F4223" s="14"/>
      <c r="G4223" s="14"/>
      <c r="H4223" s="10"/>
      <c r="I4223" s="17"/>
      <c r="J4223" s="10"/>
      <c r="K4223" s="46"/>
      <c r="L4223" s="10"/>
      <c r="M4223" s="20"/>
      <c r="N4223" s="20"/>
      <c r="O4223" s="20"/>
      <c r="P4223" s="20"/>
    </row>
    <row r="4224">
      <c r="A4224" s="23"/>
      <c r="B4224" s="21"/>
      <c r="C4224" s="23"/>
      <c r="D4224" s="24"/>
      <c r="E4224" s="14"/>
      <c r="F4224" s="14"/>
      <c r="G4224" s="14"/>
      <c r="H4224" s="23"/>
      <c r="I4224" s="27"/>
      <c r="J4224" s="23"/>
      <c r="K4224" s="30"/>
      <c r="L4224" s="23"/>
      <c r="M4224" s="20"/>
      <c r="N4224" s="20"/>
      <c r="O4224" s="20"/>
      <c r="P4224" s="20"/>
    </row>
    <row r="4225">
      <c r="A4225" s="10"/>
      <c r="B4225" s="11"/>
      <c r="C4225" s="10"/>
      <c r="D4225" s="13"/>
      <c r="E4225" s="14"/>
      <c r="F4225" s="14"/>
      <c r="G4225" s="14"/>
      <c r="H4225" s="10"/>
      <c r="I4225" s="17"/>
      <c r="J4225" s="10"/>
      <c r="K4225" s="46"/>
      <c r="L4225" s="10"/>
      <c r="M4225" s="20"/>
      <c r="N4225" s="20"/>
      <c r="O4225" s="20"/>
      <c r="P4225" s="20"/>
    </row>
    <row r="4226">
      <c r="A4226" s="23"/>
      <c r="B4226" s="21"/>
      <c r="C4226" s="23"/>
      <c r="D4226" s="24"/>
      <c r="E4226" s="14"/>
      <c r="F4226" s="14"/>
      <c r="G4226" s="14"/>
      <c r="H4226" s="23"/>
      <c r="I4226" s="27"/>
      <c r="J4226" s="23"/>
      <c r="K4226" s="30"/>
      <c r="L4226" s="23"/>
      <c r="M4226" s="20"/>
      <c r="N4226" s="20"/>
      <c r="O4226" s="20"/>
      <c r="P4226" s="20"/>
    </row>
    <row r="4227">
      <c r="A4227" s="10"/>
      <c r="B4227" s="11"/>
      <c r="C4227" s="10"/>
      <c r="D4227" s="13"/>
      <c r="E4227" s="14"/>
      <c r="F4227" s="14"/>
      <c r="G4227" s="14"/>
      <c r="H4227" s="10"/>
      <c r="I4227" s="17"/>
      <c r="J4227" s="10"/>
      <c r="K4227" s="46"/>
      <c r="L4227" s="10"/>
      <c r="M4227" s="20"/>
      <c r="N4227" s="20"/>
      <c r="O4227" s="20"/>
      <c r="P4227" s="20"/>
    </row>
    <row r="4228">
      <c r="A4228" s="23"/>
      <c r="B4228" s="21"/>
      <c r="C4228" s="23"/>
      <c r="D4228" s="24"/>
      <c r="E4228" s="14"/>
      <c r="F4228" s="14"/>
      <c r="G4228" s="14"/>
      <c r="H4228" s="23"/>
      <c r="I4228" s="27"/>
      <c r="J4228" s="23"/>
      <c r="K4228" s="30"/>
      <c r="L4228" s="23"/>
      <c r="M4228" s="20"/>
      <c r="N4228" s="20"/>
      <c r="O4228" s="20"/>
      <c r="P4228" s="20"/>
    </row>
    <row r="4229">
      <c r="A4229" s="10"/>
      <c r="B4229" s="11"/>
      <c r="C4229" s="10"/>
      <c r="D4229" s="13"/>
      <c r="E4229" s="14"/>
      <c r="F4229" s="14"/>
      <c r="G4229" s="14"/>
      <c r="H4229" s="10"/>
      <c r="I4229" s="17"/>
      <c r="J4229" s="10"/>
      <c r="K4229" s="46"/>
      <c r="L4229" s="10"/>
      <c r="M4229" s="20"/>
      <c r="N4229" s="20"/>
      <c r="O4229" s="20"/>
      <c r="P4229" s="20"/>
    </row>
    <row r="4230">
      <c r="A4230" s="23"/>
      <c r="B4230" s="21"/>
      <c r="C4230" s="23"/>
      <c r="D4230" s="24"/>
      <c r="E4230" s="14"/>
      <c r="F4230" s="14"/>
      <c r="G4230" s="14"/>
      <c r="H4230" s="23"/>
      <c r="I4230" s="27"/>
      <c r="J4230" s="23"/>
      <c r="K4230" s="30"/>
      <c r="L4230" s="23"/>
      <c r="M4230" s="20"/>
      <c r="N4230" s="20"/>
      <c r="O4230" s="20"/>
      <c r="P4230" s="20"/>
    </row>
    <row r="4231">
      <c r="A4231" s="10"/>
      <c r="B4231" s="11"/>
      <c r="C4231" s="10"/>
      <c r="D4231" s="13"/>
      <c r="E4231" s="14"/>
      <c r="F4231" s="14"/>
      <c r="G4231" s="14"/>
      <c r="H4231" s="10"/>
      <c r="I4231" s="17"/>
      <c r="J4231" s="10"/>
      <c r="K4231" s="46"/>
      <c r="L4231" s="10"/>
      <c r="M4231" s="20"/>
      <c r="N4231" s="20"/>
      <c r="O4231" s="20"/>
      <c r="P4231" s="20"/>
    </row>
    <row r="4232">
      <c r="A4232" s="23"/>
      <c r="B4232" s="21"/>
      <c r="C4232" s="23"/>
      <c r="D4232" s="24"/>
      <c r="E4232" s="14"/>
      <c r="F4232" s="14"/>
      <c r="G4232" s="14"/>
      <c r="H4232" s="23"/>
      <c r="I4232" s="27"/>
      <c r="J4232" s="23"/>
      <c r="K4232" s="30"/>
      <c r="L4232" s="23"/>
      <c r="M4232" s="20"/>
      <c r="N4232" s="20"/>
      <c r="O4232" s="20"/>
      <c r="P4232" s="20"/>
    </row>
    <row r="4233">
      <c r="A4233" s="10"/>
      <c r="B4233" s="11"/>
      <c r="C4233" s="10"/>
      <c r="D4233" s="13"/>
      <c r="E4233" s="14"/>
      <c r="F4233" s="14"/>
      <c r="G4233" s="14"/>
      <c r="H4233" s="10"/>
      <c r="I4233" s="17"/>
      <c r="J4233" s="10"/>
      <c r="K4233" s="46"/>
      <c r="L4233" s="10"/>
      <c r="M4233" s="20"/>
      <c r="N4233" s="20"/>
      <c r="O4233" s="20"/>
      <c r="P4233" s="20"/>
    </row>
    <row r="4234">
      <c r="A4234" s="23"/>
      <c r="B4234" s="21"/>
      <c r="C4234" s="23"/>
      <c r="D4234" s="24"/>
      <c r="E4234" s="14"/>
      <c r="F4234" s="14"/>
      <c r="G4234" s="14"/>
      <c r="H4234" s="23"/>
      <c r="I4234" s="27"/>
      <c r="J4234" s="23"/>
      <c r="K4234" s="30"/>
      <c r="L4234" s="23"/>
      <c r="M4234" s="20"/>
      <c r="N4234" s="20"/>
      <c r="O4234" s="20"/>
      <c r="P4234" s="20"/>
    </row>
    <row r="4235">
      <c r="A4235" s="10"/>
      <c r="B4235" s="11"/>
      <c r="C4235" s="10"/>
      <c r="D4235" s="13"/>
      <c r="E4235" s="14"/>
      <c r="F4235" s="14"/>
      <c r="G4235" s="14"/>
      <c r="H4235" s="10"/>
      <c r="I4235" s="17"/>
      <c r="J4235" s="10"/>
      <c r="K4235" s="46"/>
      <c r="L4235" s="10"/>
      <c r="M4235" s="20"/>
      <c r="N4235" s="20"/>
      <c r="O4235" s="20"/>
      <c r="P4235" s="20"/>
    </row>
    <row r="4236">
      <c r="A4236" s="23"/>
      <c r="B4236" s="21"/>
      <c r="C4236" s="23"/>
      <c r="D4236" s="24"/>
      <c r="E4236" s="14"/>
      <c r="F4236" s="14"/>
      <c r="G4236" s="14"/>
      <c r="H4236" s="23"/>
      <c r="I4236" s="27"/>
      <c r="J4236" s="23"/>
      <c r="K4236" s="30"/>
      <c r="L4236" s="23"/>
      <c r="M4236" s="20"/>
      <c r="N4236" s="20"/>
      <c r="O4236" s="20"/>
      <c r="P4236" s="20"/>
    </row>
    <row r="4237">
      <c r="A4237" s="10"/>
      <c r="B4237" s="11"/>
      <c r="C4237" s="10"/>
      <c r="D4237" s="13"/>
      <c r="E4237" s="14"/>
      <c r="F4237" s="14"/>
      <c r="G4237" s="14"/>
      <c r="H4237" s="10"/>
      <c r="I4237" s="17"/>
      <c r="J4237" s="10"/>
      <c r="K4237" s="46"/>
      <c r="L4237" s="10"/>
      <c r="M4237" s="20"/>
      <c r="N4237" s="20"/>
      <c r="O4237" s="20"/>
      <c r="P4237" s="20"/>
    </row>
    <row r="4238">
      <c r="A4238" s="23"/>
      <c r="B4238" s="21"/>
      <c r="C4238" s="23"/>
      <c r="D4238" s="24"/>
      <c r="E4238" s="14"/>
      <c r="F4238" s="14"/>
      <c r="G4238" s="14"/>
      <c r="H4238" s="23"/>
      <c r="I4238" s="27"/>
      <c r="J4238" s="23"/>
      <c r="K4238" s="30"/>
      <c r="L4238" s="23"/>
      <c r="M4238" s="20"/>
      <c r="N4238" s="20"/>
      <c r="O4238" s="20"/>
      <c r="P4238" s="20"/>
    </row>
    <row r="4239">
      <c r="A4239" s="10"/>
      <c r="B4239" s="11"/>
      <c r="C4239" s="10"/>
      <c r="D4239" s="13"/>
      <c r="E4239" s="14"/>
      <c r="F4239" s="14"/>
      <c r="G4239" s="14"/>
      <c r="H4239" s="10"/>
      <c r="I4239" s="17"/>
      <c r="J4239" s="10"/>
      <c r="K4239" s="46"/>
      <c r="L4239" s="10"/>
      <c r="M4239" s="20"/>
      <c r="N4239" s="20"/>
      <c r="O4239" s="20"/>
      <c r="P4239" s="20"/>
    </row>
    <row r="4240">
      <c r="A4240" s="23"/>
      <c r="B4240" s="21"/>
      <c r="C4240" s="23"/>
      <c r="D4240" s="24"/>
      <c r="E4240" s="14"/>
      <c r="F4240" s="14"/>
      <c r="G4240" s="14"/>
      <c r="H4240" s="23"/>
      <c r="I4240" s="27"/>
      <c r="J4240" s="23"/>
      <c r="K4240" s="30"/>
      <c r="L4240" s="23"/>
      <c r="M4240" s="20"/>
      <c r="N4240" s="20"/>
      <c r="O4240" s="20"/>
      <c r="P4240" s="20"/>
    </row>
    <row r="4241">
      <c r="A4241" s="10"/>
      <c r="B4241" s="11"/>
      <c r="C4241" s="10"/>
      <c r="D4241" s="13"/>
      <c r="E4241" s="14"/>
      <c r="F4241" s="14"/>
      <c r="G4241" s="14"/>
      <c r="H4241" s="10"/>
      <c r="I4241" s="17"/>
      <c r="J4241" s="10"/>
      <c r="K4241" s="46"/>
      <c r="L4241" s="10"/>
      <c r="M4241" s="20"/>
      <c r="N4241" s="20"/>
      <c r="O4241" s="20"/>
      <c r="P4241" s="20"/>
    </row>
    <row r="4242">
      <c r="A4242" s="23"/>
      <c r="B4242" s="21"/>
      <c r="C4242" s="23"/>
      <c r="D4242" s="24"/>
      <c r="E4242" s="14"/>
      <c r="F4242" s="14"/>
      <c r="G4242" s="14"/>
      <c r="H4242" s="23"/>
      <c r="I4242" s="27"/>
      <c r="J4242" s="23"/>
      <c r="K4242" s="30"/>
      <c r="L4242" s="23"/>
      <c r="M4242" s="20"/>
      <c r="N4242" s="20"/>
      <c r="O4242" s="20"/>
      <c r="P4242" s="20"/>
    </row>
    <row r="4243">
      <c r="A4243" s="10"/>
      <c r="B4243" s="11"/>
      <c r="C4243" s="10"/>
      <c r="D4243" s="13"/>
      <c r="E4243" s="14"/>
      <c r="F4243" s="14"/>
      <c r="G4243" s="14"/>
      <c r="H4243" s="10"/>
      <c r="I4243" s="17"/>
      <c r="J4243" s="10"/>
      <c r="K4243" s="46"/>
      <c r="L4243" s="10"/>
      <c r="M4243" s="20"/>
      <c r="N4243" s="20"/>
      <c r="O4243" s="20"/>
      <c r="P4243" s="20"/>
    </row>
    <row r="4244">
      <c r="A4244" s="23"/>
      <c r="B4244" s="21"/>
      <c r="C4244" s="23"/>
      <c r="D4244" s="24"/>
      <c r="E4244" s="14"/>
      <c r="F4244" s="14"/>
      <c r="G4244" s="14"/>
      <c r="H4244" s="23"/>
      <c r="I4244" s="27"/>
      <c r="J4244" s="23"/>
      <c r="K4244" s="30"/>
      <c r="L4244" s="23"/>
      <c r="M4244" s="20"/>
      <c r="N4244" s="20"/>
      <c r="O4244" s="20"/>
      <c r="P4244" s="20"/>
    </row>
    <row r="4245">
      <c r="A4245" s="10"/>
      <c r="B4245" s="11"/>
      <c r="C4245" s="10"/>
      <c r="D4245" s="13"/>
      <c r="E4245" s="14"/>
      <c r="F4245" s="14"/>
      <c r="G4245" s="14"/>
      <c r="H4245" s="10"/>
      <c r="I4245" s="17"/>
      <c r="J4245" s="10"/>
      <c r="K4245" s="46"/>
      <c r="L4245" s="10"/>
      <c r="M4245" s="20"/>
      <c r="N4245" s="20"/>
      <c r="O4245" s="20"/>
      <c r="P4245" s="20"/>
    </row>
    <row r="4246">
      <c r="A4246" s="23"/>
      <c r="B4246" s="21"/>
      <c r="C4246" s="23"/>
      <c r="D4246" s="24"/>
      <c r="E4246" s="14"/>
      <c r="F4246" s="14"/>
      <c r="G4246" s="14"/>
      <c r="H4246" s="23"/>
      <c r="I4246" s="27"/>
      <c r="J4246" s="23"/>
      <c r="K4246" s="30"/>
      <c r="L4246" s="23"/>
      <c r="M4246" s="20"/>
      <c r="N4246" s="20"/>
      <c r="O4246" s="20"/>
      <c r="P4246" s="20"/>
    </row>
    <row r="4247">
      <c r="A4247" s="10"/>
      <c r="B4247" s="11"/>
      <c r="C4247" s="10"/>
      <c r="D4247" s="13"/>
      <c r="E4247" s="14"/>
      <c r="F4247" s="14"/>
      <c r="G4247" s="14"/>
      <c r="H4247" s="10"/>
      <c r="I4247" s="17"/>
      <c r="J4247" s="10"/>
      <c r="K4247" s="46"/>
      <c r="L4247" s="10"/>
      <c r="M4247" s="20"/>
      <c r="N4247" s="20"/>
      <c r="O4247" s="20"/>
      <c r="P4247" s="20"/>
    </row>
    <row r="4248">
      <c r="A4248" s="23"/>
      <c r="B4248" s="21"/>
      <c r="C4248" s="23"/>
      <c r="D4248" s="24"/>
      <c r="E4248" s="14"/>
      <c r="F4248" s="14"/>
      <c r="G4248" s="14"/>
      <c r="H4248" s="23"/>
      <c r="I4248" s="27"/>
      <c r="J4248" s="23"/>
      <c r="K4248" s="30"/>
      <c r="L4248" s="23"/>
      <c r="M4248" s="20"/>
      <c r="N4248" s="20"/>
      <c r="O4248" s="20"/>
      <c r="P4248" s="20"/>
    </row>
    <row r="4249">
      <c r="A4249" s="10"/>
      <c r="B4249" s="11"/>
      <c r="C4249" s="10"/>
      <c r="D4249" s="13"/>
      <c r="E4249" s="14"/>
      <c r="F4249" s="14"/>
      <c r="G4249" s="14"/>
      <c r="H4249" s="10"/>
      <c r="I4249" s="17"/>
      <c r="J4249" s="10"/>
      <c r="K4249" s="46"/>
      <c r="L4249" s="10"/>
      <c r="M4249" s="20"/>
      <c r="N4249" s="20"/>
      <c r="O4249" s="20"/>
      <c r="P4249" s="20"/>
    </row>
    <row r="4250">
      <c r="A4250" s="23"/>
      <c r="B4250" s="21"/>
      <c r="C4250" s="23"/>
      <c r="D4250" s="24"/>
      <c r="E4250" s="14"/>
      <c r="F4250" s="14"/>
      <c r="G4250" s="14"/>
      <c r="H4250" s="23"/>
      <c r="I4250" s="27"/>
      <c r="J4250" s="23"/>
      <c r="K4250" s="30"/>
      <c r="L4250" s="23"/>
      <c r="M4250" s="20"/>
      <c r="N4250" s="20"/>
      <c r="O4250" s="20"/>
      <c r="P4250" s="20"/>
    </row>
    <row r="4251">
      <c r="A4251" s="10"/>
      <c r="B4251" s="11"/>
      <c r="C4251" s="10"/>
      <c r="D4251" s="13"/>
      <c r="E4251" s="14"/>
      <c r="F4251" s="14"/>
      <c r="G4251" s="14"/>
      <c r="H4251" s="10"/>
      <c r="I4251" s="17"/>
      <c r="J4251" s="10"/>
      <c r="K4251" s="46"/>
      <c r="L4251" s="10"/>
      <c r="M4251" s="20"/>
      <c r="N4251" s="20"/>
      <c r="O4251" s="20"/>
      <c r="P4251" s="20"/>
    </row>
    <row r="4252">
      <c r="A4252" s="23"/>
      <c r="B4252" s="21"/>
      <c r="C4252" s="23"/>
      <c r="D4252" s="24"/>
      <c r="E4252" s="14"/>
      <c r="F4252" s="14"/>
      <c r="G4252" s="14"/>
      <c r="H4252" s="23"/>
      <c r="I4252" s="27"/>
      <c r="J4252" s="23"/>
      <c r="K4252" s="30"/>
      <c r="L4252" s="23"/>
      <c r="M4252" s="20"/>
      <c r="N4252" s="20"/>
      <c r="O4252" s="20"/>
      <c r="P4252" s="20"/>
    </row>
    <row r="4253">
      <c r="A4253" s="10"/>
      <c r="B4253" s="11"/>
      <c r="C4253" s="10"/>
      <c r="D4253" s="13"/>
      <c r="E4253" s="14"/>
      <c r="F4253" s="14"/>
      <c r="G4253" s="14"/>
      <c r="H4253" s="10"/>
      <c r="I4253" s="17"/>
      <c r="J4253" s="10"/>
      <c r="K4253" s="46"/>
      <c r="L4253" s="10"/>
      <c r="M4253" s="20"/>
      <c r="N4253" s="20"/>
      <c r="O4253" s="20"/>
      <c r="P4253" s="20"/>
    </row>
    <row r="4254">
      <c r="A4254" s="23"/>
      <c r="B4254" s="21"/>
      <c r="C4254" s="23"/>
      <c r="D4254" s="24"/>
      <c r="E4254" s="14"/>
      <c r="F4254" s="14"/>
      <c r="G4254" s="14"/>
      <c r="H4254" s="23"/>
      <c r="I4254" s="27"/>
      <c r="J4254" s="23"/>
      <c r="K4254" s="30"/>
      <c r="L4254" s="23"/>
      <c r="M4254" s="20"/>
      <c r="N4254" s="20"/>
      <c r="O4254" s="20"/>
      <c r="P4254" s="20"/>
    </row>
    <row r="4255">
      <c r="A4255" s="10"/>
      <c r="B4255" s="11"/>
      <c r="C4255" s="10"/>
      <c r="D4255" s="13"/>
      <c r="E4255" s="14"/>
      <c r="F4255" s="14"/>
      <c r="G4255" s="14"/>
      <c r="H4255" s="10"/>
      <c r="I4255" s="17"/>
      <c r="J4255" s="10"/>
      <c r="K4255" s="46"/>
      <c r="L4255" s="10"/>
      <c r="M4255" s="20"/>
      <c r="N4255" s="20"/>
      <c r="O4255" s="20"/>
      <c r="P4255" s="20"/>
    </row>
    <row r="4256">
      <c r="A4256" s="23"/>
      <c r="B4256" s="21"/>
      <c r="C4256" s="23"/>
      <c r="D4256" s="24"/>
      <c r="E4256" s="14"/>
      <c r="F4256" s="14"/>
      <c r="G4256" s="14"/>
      <c r="H4256" s="23"/>
      <c r="I4256" s="27"/>
      <c r="J4256" s="23"/>
      <c r="K4256" s="30"/>
      <c r="L4256" s="23"/>
      <c r="M4256" s="20"/>
      <c r="N4256" s="20"/>
      <c r="O4256" s="20"/>
      <c r="P4256" s="20"/>
    </row>
    <row r="4257">
      <c r="A4257" s="10"/>
      <c r="B4257" s="11"/>
      <c r="C4257" s="10"/>
      <c r="D4257" s="13"/>
      <c r="E4257" s="14"/>
      <c r="F4257" s="14"/>
      <c r="G4257" s="14"/>
      <c r="H4257" s="10"/>
      <c r="I4257" s="17"/>
      <c r="J4257" s="10"/>
      <c r="K4257" s="46"/>
      <c r="L4257" s="10"/>
      <c r="M4257" s="20"/>
      <c r="N4257" s="20"/>
      <c r="O4257" s="20"/>
      <c r="P4257" s="20"/>
    </row>
    <row r="4258">
      <c r="A4258" s="23"/>
      <c r="B4258" s="21"/>
      <c r="C4258" s="23"/>
      <c r="D4258" s="24"/>
      <c r="E4258" s="14"/>
      <c r="F4258" s="14"/>
      <c r="G4258" s="14"/>
      <c r="H4258" s="23"/>
      <c r="I4258" s="27"/>
      <c r="J4258" s="23"/>
      <c r="K4258" s="30"/>
      <c r="L4258" s="23"/>
      <c r="M4258" s="20"/>
      <c r="N4258" s="20"/>
      <c r="O4258" s="20"/>
      <c r="P4258" s="20"/>
    </row>
    <row r="4259">
      <c r="A4259" s="10"/>
      <c r="B4259" s="11"/>
      <c r="C4259" s="10"/>
      <c r="D4259" s="13"/>
      <c r="E4259" s="14"/>
      <c r="F4259" s="14"/>
      <c r="G4259" s="14"/>
      <c r="H4259" s="10"/>
      <c r="I4259" s="17"/>
      <c r="J4259" s="10"/>
      <c r="K4259" s="46"/>
      <c r="L4259" s="10"/>
      <c r="M4259" s="20"/>
      <c r="N4259" s="20"/>
      <c r="O4259" s="20"/>
      <c r="P4259" s="20"/>
    </row>
    <row r="4260">
      <c r="A4260" s="23"/>
      <c r="B4260" s="21"/>
      <c r="C4260" s="23"/>
      <c r="D4260" s="24"/>
      <c r="E4260" s="14"/>
      <c r="F4260" s="14"/>
      <c r="G4260" s="14"/>
      <c r="H4260" s="23"/>
      <c r="I4260" s="27"/>
      <c r="J4260" s="23"/>
      <c r="K4260" s="30"/>
      <c r="L4260" s="23"/>
      <c r="M4260" s="20"/>
      <c r="N4260" s="20"/>
      <c r="O4260" s="20"/>
      <c r="P4260" s="20"/>
    </row>
    <row r="4261">
      <c r="A4261" s="10"/>
      <c r="B4261" s="11"/>
      <c r="C4261" s="10"/>
      <c r="D4261" s="13"/>
      <c r="E4261" s="14"/>
      <c r="F4261" s="14"/>
      <c r="G4261" s="14"/>
      <c r="H4261" s="10"/>
      <c r="I4261" s="17"/>
      <c r="J4261" s="10"/>
      <c r="K4261" s="46"/>
      <c r="L4261" s="10"/>
      <c r="M4261" s="20"/>
      <c r="N4261" s="20"/>
      <c r="O4261" s="20"/>
      <c r="P4261" s="20"/>
    </row>
    <row r="4262">
      <c r="A4262" s="23"/>
      <c r="B4262" s="21"/>
      <c r="C4262" s="23"/>
      <c r="D4262" s="24"/>
      <c r="E4262" s="14"/>
      <c r="F4262" s="14"/>
      <c r="G4262" s="14"/>
      <c r="H4262" s="23"/>
      <c r="I4262" s="27"/>
      <c r="J4262" s="23"/>
      <c r="K4262" s="30"/>
      <c r="L4262" s="23"/>
      <c r="M4262" s="20"/>
      <c r="N4262" s="20"/>
      <c r="O4262" s="20"/>
      <c r="P4262" s="20"/>
    </row>
    <row r="4263">
      <c r="A4263" s="10"/>
      <c r="B4263" s="11"/>
      <c r="C4263" s="10"/>
      <c r="D4263" s="13"/>
      <c r="E4263" s="14"/>
      <c r="F4263" s="14"/>
      <c r="G4263" s="14"/>
      <c r="H4263" s="10"/>
      <c r="I4263" s="17"/>
      <c r="J4263" s="10"/>
      <c r="K4263" s="46"/>
      <c r="L4263" s="10"/>
      <c r="M4263" s="20"/>
      <c r="N4263" s="20"/>
      <c r="O4263" s="20"/>
      <c r="P4263" s="20"/>
    </row>
    <row r="4264">
      <c r="A4264" s="23"/>
      <c r="B4264" s="21"/>
      <c r="C4264" s="23"/>
      <c r="D4264" s="24"/>
      <c r="E4264" s="14"/>
      <c r="F4264" s="14"/>
      <c r="G4264" s="14"/>
      <c r="H4264" s="23"/>
      <c r="I4264" s="27"/>
      <c r="J4264" s="23"/>
      <c r="K4264" s="30"/>
      <c r="L4264" s="23"/>
      <c r="M4264" s="20"/>
      <c r="N4264" s="20"/>
      <c r="O4264" s="20"/>
      <c r="P4264" s="20"/>
    </row>
    <row r="4265">
      <c r="A4265" s="10"/>
      <c r="B4265" s="11"/>
      <c r="C4265" s="10"/>
      <c r="D4265" s="13"/>
      <c r="E4265" s="14"/>
      <c r="F4265" s="14"/>
      <c r="G4265" s="14"/>
      <c r="H4265" s="10"/>
      <c r="I4265" s="17"/>
      <c r="J4265" s="10"/>
      <c r="K4265" s="46"/>
      <c r="L4265" s="10"/>
      <c r="M4265" s="20"/>
      <c r="N4265" s="20"/>
      <c r="O4265" s="20"/>
      <c r="P4265" s="20"/>
    </row>
    <row r="4266">
      <c r="A4266" s="23"/>
      <c r="B4266" s="21"/>
      <c r="C4266" s="23"/>
      <c r="D4266" s="24"/>
      <c r="E4266" s="14"/>
      <c r="F4266" s="14"/>
      <c r="G4266" s="14"/>
      <c r="H4266" s="23"/>
      <c r="I4266" s="27"/>
      <c r="J4266" s="23"/>
      <c r="K4266" s="30"/>
      <c r="L4266" s="23"/>
      <c r="M4266" s="20"/>
      <c r="N4266" s="20"/>
      <c r="O4266" s="20"/>
      <c r="P4266" s="20"/>
    </row>
    <row r="4267">
      <c r="A4267" s="10"/>
      <c r="B4267" s="11"/>
      <c r="C4267" s="10"/>
      <c r="D4267" s="13"/>
      <c r="E4267" s="14"/>
      <c r="F4267" s="14"/>
      <c r="G4267" s="14"/>
      <c r="H4267" s="10"/>
      <c r="I4267" s="17"/>
      <c r="J4267" s="10"/>
      <c r="K4267" s="46"/>
      <c r="L4267" s="10"/>
      <c r="M4267" s="20"/>
      <c r="N4267" s="20"/>
      <c r="O4267" s="20"/>
      <c r="P4267" s="20"/>
    </row>
    <row r="4268">
      <c r="A4268" s="23"/>
      <c r="B4268" s="21"/>
      <c r="C4268" s="23"/>
      <c r="D4268" s="24"/>
      <c r="E4268" s="14"/>
      <c r="F4268" s="14"/>
      <c r="G4268" s="14"/>
      <c r="H4268" s="23"/>
      <c r="I4268" s="27"/>
      <c r="J4268" s="23"/>
      <c r="K4268" s="30"/>
      <c r="L4268" s="23"/>
      <c r="M4268" s="20"/>
      <c r="N4268" s="20"/>
      <c r="O4268" s="20"/>
      <c r="P4268" s="20"/>
    </row>
    <row r="4269">
      <c r="A4269" s="10"/>
      <c r="B4269" s="11"/>
      <c r="C4269" s="10"/>
      <c r="D4269" s="13"/>
      <c r="E4269" s="14"/>
      <c r="F4269" s="14"/>
      <c r="G4269" s="14"/>
      <c r="H4269" s="10"/>
      <c r="I4269" s="17"/>
      <c r="J4269" s="10"/>
      <c r="K4269" s="46"/>
      <c r="L4269" s="10"/>
      <c r="M4269" s="20"/>
      <c r="N4269" s="20"/>
      <c r="O4269" s="20"/>
      <c r="P4269" s="20"/>
    </row>
    <row r="4270">
      <c r="A4270" s="23"/>
      <c r="B4270" s="21"/>
      <c r="C4270" s="23"/>
      <c r="D4270" s="24"/>
      <c r="E4270" s="14"/>
      <c r="F4270" s="14"/>
      <c r="G4270" s="14"/>
      <c r="H4270" s="23"/>
      <c r="I4270" s="27"/>
      <c r="J4270" s="23"/>
      <c r="K4270" s="30"/>
      <c r="L4270" s="23"/>
      <c r="M4270" s="20"/>
      <c r="N4270" s="20"/>
      <c r="O4270" s="20"/>
      <c r="P4270" s="20"/>
    </row>
    <row r="4271">
      <c r="A4271" s="10"/>
      <c r="B4271" s="11"/>
      <c r="C4271" s="10"/>
      <c r="D4271" s="13"/>
      <c r="E4271" s="14"/>
      <c r="F4271" s="14"/>
      <c r="G4271" s="14"/>
      <c r="H4271" s="10"/>
      <c r="I4271" s="17"/>
      <c r="J4271" s="10"/>
      <c r="K4271" s="46"/>
      <c r="L4271" s="10"/>
      <c r="M4271" s="20"/>
      <c r="N4271" s="20"/>
      <c r="O4271" s="20"/>
      <c r="P4271" s="20"/>
    </row>
    <row r="4272">
      <c r="A4272" s="23"/>
      <c r="B4272" s="21"/>
      <c r="C4272" s="23"/>
      <c r="D4272" s="24"/>
      <c r="E4272" s="14"/>
      <c r="F4272" s="14"/>
      <c r="G4272" s="14"/>
      <c r="H4272" s="23"/>
      <c r="I4272" s="27"/>
      <c r="J4272" s="23"/>
      <c r="K4272" s="30"/>
      <c r="L4272" s="23"/>
      <c r="M4272" s="20"/>
      <c r="N4272" s="20"/>
      <c r="O4272" s="20"/>
      <c r="P4272" s="20"/>
    </row>
    <row r="4273">
      <c r="A4273" s="10"/>
      <c r="B4273" s="11"/>
      <c r="C4273" s="10"/>
      <c r="D4273" s="13"/>
      <c r="E4273" s="14"/>
      <c r="F4273" s="14"/>
      <c r="G4273" s="14"/>
      <c r="H4273" s="10"/>
      <c r="I4273" s="17"/>
      <c r="J4273" s="10"/>
      <c r="K4273" s="46"/>
      <c r="L4273" s="10"/>
      <c r="M4273" s="20"/>
      <c r="N4273" s="20"/>
      <c r="O4273" s="20"/>
      <c r="P4273" s="20"/>
    </row>
    <row r="4274">
      <c r="A4274" s="23"/>
      <c r="B4274" s="21"/>
      <c r="C4274" s="23"/>
      <c r="D4274" s="24"/>
      <c r="E4274" s="14"/>
      <c r="F4274" s="14"/>
      <c r="G4274" s="14"/>
      <c r="H4274" s="23"/>
      <c r="I4274" s="27"/>
      <c r="J4274" s="23"/>
      <c r="K4274" s="30"/>
      <c r="L4274" s="23"/>
      <c r="M4274" s="20"/>
      <c r="N4274" s="20"/>
      <c r="O4274" s="20"/>
      <c r="P4274" s="20"/>
    </row>
    <row r="4275">
      <c r="A4275" s="10"/>
      <c r="B4275" s="11"/>
      <c r="C4275" s="10"/>
      <c r="D4275" s="13"/>
      <c r="E4275" s="14"/>
      <c r="F4275" s="14"/>
      <c r="G4275" s="14"/>
      <c r="H4275" s="10"/>
      <c r="I4275" s="17"/>
      <c r="J4275" s="10"/>
      <c r="K4275" s="46"/>
      <c r="L4275" s="10"/>
      <c r="M4275" s="20"/>
      <c r="N4275" s="20"/>
      <c r="O4275" s="20"/>
      <c r="P4275" s="20"/>
    </row>
    <row r="4276">
      <c r="A4276" s="23"/>
      <c r="B4276" s="21"/>
      <c r="C4276" s="23"/>
      <c r="D4276" s="24"/>
      <c r="E4276" s="14"/>
      <c r="F4276" s="14"/>
      <c r="G4276" s="14"/>
      <c r="H4276" s="23"/>
      <c r="I4276" s="27"/>
      <c r="J4276" s="23"/>
      <c r="K4276" s="30"/>
      <c r="L4276" s="23"/>
      <c r="M4276" s="20"/>
      <c r="N4276" s="20"/>
      <c r="O4276" s="20"/>
      <c r="P4276" s="20"/>
    </row>
    <row r="4277">
      <c r="A4277" s="10"/>
      <c r="B4277" s="11"/>
      <c r="C4277" s="10"/>
      <c r="D4277" s="13"/>
      <c r="E4277" s="14"/>
      <c r="F4277" s="14"/>
      <c r="G4277" s="14"/>
      <c r="H4277" s="10"/>
      <c r="I4277" s="17"/>
      <c r="J4277" s="10"/>
      <c r="K4277" s="46"/>
      <c r="L4277" s="10"/>
      <c r="M4277" s="20"/>
      <c r="N4277" s="20"/>
      <c r="O4277" s="20"/>
      <c r="P4277" s="20"/>
    </row>
    <row r="4278">
      <c r="A4278" s="23"/>
      <c r="B4278" s="21"/>
      <c r="C4278" s="23"/>
      <c r="D4278" s="24"/>
      <c r="E4278" s="14"/>
      <c r="F4278" s="14"/>
      <c r="G4278" s="14"/>
      <c r="H4278" s="23"/>
      <c r="I4278" s="27"/>
      <c r="J4278" s="23"/>
      <c r="K4278" s="30"/>
      <c r="L4278" s="23"/>
      <c r="M4278" s="20"/>
      <c r="N4278" s="20"/>
      <c r="O4278" s="20"/>
      <c r="P4278" s="20"/>
    </row>
    <row r="4279">
      <c r="A4279" s="10"/>
      <c r="B4279" s="11"/>
      <c r="C4279" s="10"/>
      <c r="D4279" s="13"/>
      <c r="E4279" s="14"/>
      <c r="F4279" s="14"/>
      <c r="G4279" s="14"/>
      <c r="H4279" s="10"/>
      <c r="I4279" s="17"/>
      <c r="J4279" s="10"/>
      <c r="K4279" s="46"/>
      <c r="L4279" s="10"/>
      <c r="M4279" s="20"/>
      <c r="N4279" s="20"/>
      <c r="O4279" s="20"/>
      <c r="P4279" s="20"/>
    </row>
    <row r="4280">
      <c r="A4280" s="23"/>
      <c r="B4280" s="21"/>
      <c r="C4280" s="23"/>
      <c r="D4280" s="24"/>
      <c r="E4280" s="14"/>
      <c r="F4280" s="14"/>
      <c r="G4280" s="14"/>
      <c r="H4280" s="23"/>
      <c r="I4280" s="27"/>
      <c r="J4280" s="23"/>
      <c r="K4280" s="30"/>
      <c r="L4280" s="23"/>
      <c r="M4280" s="20"/>
      <c r="N4280" s="20"/>
      <c r="O4280" s="20"/>
      <c r="P4280" s="20"/>
    </row>
    <row r="4281">
      <c r="A4281" s="10"/>
      <c r="B4281" s="11"/>
      <c r="C4281" s="10"/>
      <c r="D4281" s="13"/>
      <c r="E4281" s="14"/>
      <c r="F4281" s="14"/>
      <c r="G4281" s="14"/>
      <c r="H4281" s="10"/>
      <c r="I4281" s="17"/>
      <c r="J4281" s="10"/>
      <c r="K4281" s="46"/>
      <c r="L4281" s="10"/>
      <c r="M4281" s="20"/>
      <c r="N4281" s="20"/>
      <c r="O4281" s="20"/>
      <c r="P4281" s="20"/>
    </row>
    <row r="4282">
      <c r="A4282" s="23"/>
      <c r="B4282" s="21"/>
      <c r="C4282" s="23"/>
      <c r="D4282" s="24"/>
      <c r="E4282" s="14"/>
      <c r="F4282" s="14"/>
      <c r="G4282" s="14"/>
      <c r="H4282" s="23"/>
      <c r="I4282" s="27"/>
      <c r="J4282" s="23"/>
      <c r="K4282" s="30"/>
      <c r="L4282" s="23"/>
      <c r="M4282" s="20"/>
      <c r="N4282" s="20"/>
      <c r="O4282" s="20"/>
      <c r="P4282" s="20"/>
    </row>
    <row r="4283">
      <c r="A4283" s="10"/>
      <c r="B4283" s="11"/>
      <c r="C4283" s="10"/>
      <c r="D4283" s="13"/>
      <c r="E4283" s="14"/>
      <c r="F4283" s="14"/>
      <c r="G4283" s="14"/>
      <c r="H4283" s="10"/>
      <c r="I4283" s="17"/>
      <c r="J4283" s="10"/>
      <c r="K4283" s="46"/>
      <c r="L4283" s="10"/>
      <c r="M4283" s="20"/>
      <c r="N4283" s="20"/>
      <c r="O4283" s="20"/>
      <c r="P4283" s="20"/>
    </row>
    <row r="4284">
      <c r="A4284" s="23"/>
      <c r="B4284" s="21"/>
      <c r="C4284" s="23"/>
      <c r="D4284" s="24"/>
      <c r="E4284" s="14"/>
      <c r="F4284" s="14"/>
      <c r="G4284" s="14"/>
      <c r="H4284" s="23"/>
      <c r="I4284" s="27"/>
      <c r="J4284" s="23"/>
      <c r="K4284" s="30"/>
      <c r="L4284" s="23"/>
      <c r="M4284" s="20"/>
      <c r="N4284" s="20"/>
      <c r="O4284" s="20"/>
      <c r="P4284" s="20"/>
    </row>
    <row r="4285">
      <c r="A4285" s="10"/>
      <c r="B4285" s="11"/>
      <c r="C4285" s="10"/>
      <c r="D4285" s="13"/>
      <c r="E4285" s="14"/>
      <c r="F4285" s="14"/>
      <c r="G4285" s="14"/>
      <c r="H4285" s="10"/>
      <c r="I4285" s="17"/>
      <c r="J4285" s="10"/>
      <c r="K4285" s="46"/>
      <c r="L4285" s="10"/>
      <c r="M4285" s="20"/>
      <c r="N4285" s="20"/>
      <c r="O4285" s="20"/>
      <c r="P4285" s="20"/>
    </row>
    <row r="4286">
      <c r="A4286" s="23"/>
      <c r="B4286" s="21"/>
      <c r="C4286" s="23"/>
      <c r="D4286" s="24"/>
      <c r="E4286" s="14"/>
      <c r="F4286" s="14"/>
      <c r="G4286" s="14"/>
      <c r="H4286" s="23"/>
      <c r="I4286" s="27"/>
      <c r="J4286" s="23"/>
      <c r="K4286" s="30"/>
      <c r="L4286" s="23"/>
      <c r="M4286" s="20"/>
      <c r="N4286" s="20"/>
      <c r="O4286" s="20"/>
      <c r="P4286" s="20"/>
    </row>
    <row r="4287">
      <c r="A4287" s="10"/>
      <c r="B4287" s="11"/>
      <c r="C4287" s="10"/>
      <c r="D4287" s="13"/>
      <c r="E4287" s="14"/>
      <c r="F4287" s="14"/>
      <c r="G4287" s="14"/>
      <c r="H4287" s="10"/>
      <c r="I4287" s="17"/>
      <c r="J4287" s="10"/>
      <c r="K4287" s="46"/>
      <c r="L4287" s="10"/>
      <c r="M4287" s="20"/>
      <c r="N4287" s="20"/>
      <c r="O4287" s="20"/>
      <c r="P4287" s="20"/>
    </row>
    <row r="4288">
      <c r="A4288" s="23"/>
      <c r="B4288" s="21"/>
      <c r="C4288" s="23"/>
      <c r="D4288" s="24"/>
      <c r="E4288" s="14"/>
      <c r="F4288" s="14"/>
      <c r="G4288" s="14"/>
      <c r="H4288" s="23"/>
      <c r="I4288" s="27"/>
      <c r="J4288" s="23"/>
      <c r="K4288" s="30"/>
      <c r="L4288" s="23"/>
      <c r="M4288" s="20"/>
      <c r="N4288" s="20"/>
      <c r="O4288" s="20"/>
      <c r="P4288" s="20"/>
    </row>
    <row r="4289">
      <c r="A4289" s="10"/>
      <c r="B4289" s="11"/>
      <c r="C4289" s="10"/>
      <c r="D4289" s="13"/>
      <c r="E4289" s="14"/>
      <c r="F4289" s="14"/>
      <c r="G4289" s="14"/>
      <c r="H4289" s="10"/>
      <c r="I4289" s="17"/>
      <c r="J4289" s="10"/>
      <c r="K4289" s="46"/>
      <c r="L4289" s="10"/>
      <c r="M4289" s="20"/>
      <c r="N4289" s="20"/>
      <c r="O4289" s="20"/>
      <c r="P4289" s="20"/>
    </row>
    <row r="4290">
      <c r="A4290" s="23"/>
      <c r="B4290" s="21"/>
      <c r="C4290" s="23"/>
      <c r="D4290" s="24"/>
      <c r="E4290" s="14"/>
      <c r="F4290" s="14"/>
      <c r="G4290" s="14"/>
      <c r="H4290" s="23"/>
      <c r="I4290" s="27"/>
      <c r="J4290" s="23"/>
      <c r="K4290" s="30"/>
      <c r="L4290" s="23"/>
      <c r="M4290" s="20"/>
      <c r="N4290" s="20"/>
      <c r="O4290" s="20"/>
      <c r="P4290" s="20"/>
    </row>
    <row r="4291">
      <c r="A4291" s="10"/>
      <c r="B4291" s="11"/>
      <c r="C4291" s="10"/>
      <c r="D4291" s="13"/>
      <c r="E4291" s="14"/>
      <c r="F4291" s="14"/>
      <c r="G4291" s="14"/>
      <c r="H4291" s="10"/>
      <c r="I4291" s="17"/>
      <c r="J4291" s="10"/>
      <c r="K4291" s="46"/>
      <c r="L4291" s="10"/>
      <c r="M4291" s="20"/>
      <c r="N4291" s="20"/>
      <c r="O4291" s="20"/>
      <c r="P4291" s="20"/>
    </row>
    <row r="4292">
      <c r="A4292" s="23"/>
      <c r="B4292" s="21"/>
      <c r="C4292" s="23"/>
      <c r="D4292" s="24"/>
      <c r="E4292" s="14"/>
      <c r="F4292" s="14"/>
      <c r="G4292" s="14"/>
      <c r="H4292" s="23"/>
      <c r="I4292" s="27"/>
      <c r="J4292" s="23"/>
      <c r="K4292" s="30"/>
      <c r="L4292" s="23"/>
      <c r="M4292" s="20"/>
      <c r="N4292" s="20"/>
      <c r="O4292" s="20"/>
      <c r="P4292" s="20"/>
    </row>
    <row r="4293">
      <c r="A4293" s="10"/>
      <c r="B4293" s="11"/>
      <c r="C4293" s="10"/>
      <c r="D4293" s="13"/>
      <c r="E4293" s="14"/>
      <c r="F4293" s="14"/>
      <c r="G4293" s="14"/>
      <c r="H4293" s="10"/>
      <c r="I4293" s="17"/>
      <c r="J4293" s="10"/>
      <c r="K4293" s="46"/>
      <c r="L4293" s="10"/>
      <c r="M4293" s="20"/>
      <c r="N4293" s="20"/>
      <c r="O4293" s="20"/>
      <c r="P4293" s="20"/>
    </row>
    <row r="4294">
      <c r="A4294" s="23"/>
      <c r="B4294" s="21"/>
      <c r="C4294" s="23"/>
      <c r="D4294" s="24"/>
      <c r="E4294" s="14"/>
      <c r="F4294" s="14"/>
      <c r="G4294" s="14"/>
      <c r="H4294" s="23"/>
      <c r="I4294" s="27"/>
      <c r="J4294" s="23"/>
      <c r="K4294" s="30"/>
      <c r="L4294" s="23"/>
      <c r="M4294" s="20"/>
      <c r="N4294" s="20"/>
      <c r="O4294" s="20"/>
      <c r="P4294" s="20"/>
    </row>
    <row r="4295">
      <c r="A4295" s="10"/>
      <c r="B4295" s="11"/>
      <c r="C4295" s="10"/>
      <c r="D4295" s="13"/>
      <c r="E4295" s="14"/>
      <c r="F4295" s="14"/>
      <c r="G4295" s="14"/>
      <c r="H4295" s="10"/>
      <c r="I4295" s="17"/>
      <c r="J4295" s="10"/>
      <c r="K4295" s="46"/>
      <c r="L4295" s="10"/>
      <c r="M4295" s="20"/>
      <c r="N4295" s="20"/>
      <c r="O4295" s="20"/>
      <c r="P4295" s="20"/>
    </row>
    <row r="4296">
      <c r="A4296" s="23"/>
      <c r="B4296" s="21"/>
      <c r="C4296" s="23"/>
      <c r="D4296" s="24"/>
      <c r="E4296" s="14"/>
      <c r="F4296" s="14"/>
      <c r="G4296" s="14"/>
      <c r="H4296" s="23"/>
      <c r="I4296" s="27"/>
      <c r="J4296" s="23"/>
      <c r="K4296" s="30"/>
      <c r="L4296" s="23"/>
      <c r="M4296" s="20"/>
      <c r="N4296" s="20"/>
      <c r="O4296" s="20"/>
      <c r="P4296" s="20"/>
    </row>
    <row r="4297">
      <c r="A4297" s="10"/>
      <c r="B4297" s="11"/>
      <c r="C4297" s="10"/>
      <c r="D4297" s="13"/>
      <c r="E4297" s="14"/>
      <c r="F4297" s="14"/>
      <c r="G4297" s="14"/>
      <c r="H4297" s="10"/>
      <c r="I4297" s="17"/>
      <c r="J4297" s="10"/>
      <c r="K4297" s="46"/>
      <c r="L4297" s="10"/>
      <c r="M4297" s="20"/>
      <c r="N4297" s="20"/>
      <c r="O4297" s="20"/>
      <c r="P4297" s="20"/>
    </row>
    <row r="4298">
      <c r="A4298" s="23"/>
      <c r="B4298" s="21"/>
      <c r="C4298" s="23"/>
      <c r="D4298" s="24"/>
      <c r="E4298" s="14"/>
      <c r="F4298" s="14"/>
      <c r="G4298" s="14"/>
      <c r="H4298" s="23"/>
      <c r="I4298" s="27"/>
      <c r="J4298" s="23"/>
      <c r="K4298" s="30"/>
      <c r="L4298" s="23"/>
      <c r="M4298" s="20"/>
      <c r="N4298" s="20"/>
      <c r="O4298" s="20"/>
      <c r="P4298" s="20"/>
    </row>
    <row r="4299">
      <c r="A4299" s="10"/>
      <c r="B4299" s="11"/>
      <c r="C4299" s="10"/>
      <c r="D4299" s="13"/>
      <c r="E4299" s="14"/>
      <c r="F4299" s="14"/>
      <c r="G4299" s="14"/>
      <c r="H4299" s="10"/>
      <c r="I4299" s="17"/>
      <c r="J4299" s="10"/>
      <c r="K4299" s="46"/>
      <c r="L4299" s="10"/>
      <c r="M4299" s="20"/>
      <c r="N4299" s="20"/>
      <c r="O4299" s="20"/>
      <c r="P4299" s="20"/>
    </row>
    <row r="4300">
      <c r="A4300" s="23"/>
      <c r="B4300" s="21"/>
      <c r="C4300" s="23"/>
      <c r="D4300" s="24"/>
      <c r="E4300" s="14"/>
      <c r="F4300" s="14"/>
      <c r="G4300" s="14"/>
      <c r="H4300" s="23"/>
      <c r="I4300" s="27"/>
      <c r="J4300" s="23"/>
      <c r="K4300" s="30"/>
      <c r="L4300" s="23"/>
      <c r="M4300" s="20"/>
      <c r="N4300" s="20"/>
      <c r="O4300" s="20"/>
      <c r="P4300" s="20"/>
    </row>
    <row r="4301">
      <c r="A4301" s="10"/>
      <c r="B4301" s="11"/>
      <c r="C4301" s="10"/>
      <c r="D4301" s="13"/>
      <c r="E4301" s="14"/>
      <c r="F4301" s="14"/>
      <c r="G4301" s="14"/>
      <c r="H4301" s="10"/>
      <c r="I4301" s="17"/>
      <c r="J4301" s="10"/>
      <c r="K4301" s="46"/>
      <c r="L4301" s="10"/>
      <c r="M4301" s="20"/>
      <c r="N4301" s="20"/>
      <c r="O4301" s="20"/>
      <c r="P4301" s="20"/>
    </row>
    <row r="4302">
      <c r="A4302" s="23"/>
      <c r="B4302" s="21"/>
      <c r="C4302" s="23"/>
      <c r="D4302" s="24"/>
      <c r="E4302" s="14"/>
      <c r="F4302" s="14"/>
      <c r="G4302" s="14"/>
      <c r="H4302" s="23"/>
      <c r="I4302" s="27"/>
      <c r="J4302" s="23"/>
      <c r="K4302" s="30"/>
      <c r="L4302" s="23"/>
      <c r="M4302" s="20"/>
      <c r="N4302" s="20"/>
      <c r="O4302" s="20"/>
      <c r="P4302" s="20"/>
    </row>
    <row r="4303">
      <c r="A4303" s="10"/>
      <c r="B4303" s="11"/>
      <c r="C4303" s="10"/>
      <c r="D4303" s="13"/>
      <c r="E4303" s="14"/>
      <c r="F4303" s="14"/>
      <c r="G4303" s="14"/>
      <c r="H4303" s="10"/>
      <c r="I4303" s="17"/>
      <c r="J4303" s="10"/>
      <c r="K4303" s="46"/>
      <c r="L4303" s="10"/>
      <c r="M4303" s="20"/>
      <c r="N4303" s="20"/>
      <c r="O4303" s="20"/>
      <c r="P4303" s="20"/>
    </row>
    <row r="4304">
      <c r="A4304" s="23"/>
      <c r="B4304" s="21"/>
      <c r="C4304" s="23"/>
      <c r="D4304" s="24"/>
      <c r="E4304" s="14"/>
      <c r="F4304" s="14"/>
      <c r="G4304" s="14"/>
      <c r="H4304" s="23"/>
      <c r="I4304" s="27"/>
      <c r="J4304" s="23"/>
      <c r="K4304" s="30"/>
      <c r="L4304" s="23"/>
      <c r="M4304" s="20"/>
      <c r="N4304" s="20"/>
      <c r="O4304" s="20"/>
      <c r="P4304" s="20"/>
    </row>
    <row r="4305">
      <c r="A4305" s="10"/>
      <c r="B4305" s="11"/>
      <c r="C4305" s="10"/>
      <c r="D4305" s="13"/>
      <c r="E4305" s="14"/>
      <c r="F4305" s="14"/>
      <c r="G4305" s="14"/>
      <c r="H4305" s="10"/>
      <c r="I4305" s="17"/>
      <c r="J4305" s="10"/>
      <c r="K4305" s="46"/>
      <c r="L4305" s="10"/>
      <c r="M4305" s="20"/>
      <c r="N4305" s="20"/>
      <c r="O4305" s="20"/>
      <c r="P4305" s="20"/>
    </row>
    <row r="4306">
      <c r="A4306" s="23"/>
      <c r="B4306" s="21"/>
      <c r="C4306" s="23"/>
      <c r="D4306" s="24"/>
      <c r="E4306" s="14"/>
      <c r="F4306" s="14"/>
      <c r="G4306" s="14"/>
      <c r="H4306" s="23"/>
      <c r="I4306" s="27"/>
      <c r="J4306" s="23"/>
      <c r="K4306" s="30"/>
      <c r="L4306" s="23"/>
      <c r="M4306" s="20"/>
      <c r="N4306" s="20"/>
      <c r="O4306" s="20"/>
      <c r="P4306" s="20"/>
    </row>
    <row r="4307">
      <c r="A4307" s="10"/>
      <c r="B4307" s="11"/>
      <c r="C4307" s="10"/>
      <c r="D4307" s="13"/>
      <c r="E4307" s="14"/>
      <c r="F4307" s="14"/>
      <c r="G4307" s="14"/>
      <c r="H4307" s="10"/>
      <c r="I4307" s="17"/>
      <c r="J4307" s="10"/>
      <c r="K4307" s="46"/>
      <c r="L4307" s="10"/>
      <c r="M4307" s="20"/>
      <c r="N4307" s="20"/>
      <c r="O4307" s="20"/>
      <c r="P4307" s="20"/>
    </row>
    <row r="4308">
      <c r="A4308" s="23"/>
      <c r="B4308" s="21"/>
      <c r="C4308" s="23"/>
      <c r="D4308" s="24"/>
      <c r="E4308" s="14"/>
      <c r="F4308" s="14"/>
      <c r="G4308" s="14"/>
      <c r="H4308" s="23"/>
      <c r="I4308" s="27"/>
      <c r="J4308" s="23"/>
      <c r="K4308" s="30"/>
      <c r="L4308" s="23"/>
      <c r="M4308" s="20"/>
      <c r="N4308" s="20"/>
      <c r="O4308" s="20"/>
      <c r="P4308" s="20"/>
    </row>
    <row r="4309">
      <c r="A4309" s="10"/>
      <c r="B4309" s="11"/>
      <c r="C4309" s="10"/>
      <c r="D4309" s="13"/>
      <c r="E4309" s="14"/>
      <c r="F4309" s="14"/>
      <c r="G4309" s="14"/>
      <c r="H4309" s="10"/>
      <c r="I4309" s="17"/>
      <c r="J4309" s="10"/>
      <c r="K4309" s="46"/>
      <c r="L4309" s="10"/>
      <c r="M4309" s="20"/>
      <c r="N4309" s="20"/>
      <c r="O4309" s="20"/>
      <c r="P4309" s="20"/>
    </row>
    <row r="4310">
      <c r="A4310" s="23"/>
      <c r="B4310" s="21"/>
      <c r="C4310" s="23"/>
      <c r="D4310" s="24"/>
      <c r="E4310" s="14"/>
      <c r="F4310" s="14"/>
      <c r="G4310" s="14"/>
      <c r="H4310" s="23"/>
      <c r="I4310" s="27"/>
      <c r="J4310" s="23"/>
      <c r="K4310" s="30"/>
      <c r="L4310" s="23"/>
      <c r="M4310" s="20"/>
      <c r="N4310" s="20"/>
      <c r="O4310" s="20"/>
      <c r="P4310" s="20"/>
    </row>
    <row r="4311">
      <c r="A4311" s="10"/>
      <c r="B4311" s="11"/>
      <c r="C4311" s="10"/>
      <c r="D4311" s="13"/>
      <c r="E4311" s="14"/>
      <c r="F4311" s="14"/>
      <c r="G4311" s="14"/>
      <c r="H4311" s="10"/>
      <c r="I4311" s="17"/>
      <c r="J4311" s="10"/>
      <c r="K4311" s="46"/>
      <c r="L4311" s="10"/>
      <c r="M4311" s="20"/>
      <c r="N4311" s="20"/>
      <c r="O4311" s="20"/>
      <c r="P4311" s="20"/>
    </row>
    <row r="4312">
      <c r="A4312" s="23"/>
      <c r="B4312" s="21"/>
      <c r="C4312" s="23"/>
      <c r="D4312" s="24"/>
      <c r="E4312" s="14"/>
      <c r="F4312" s="14"/>
      <c r="G4312" s="14"/>
      <c r="H4312" s="23"/>
      <c r="I4312" s="27"/>
      <c r="J4312" s="23"/>
      <c r="K4312" s="30"/>
      <c r="L4312" s="23"/>
      <c r="M4312" s="20"/>
      <c r="N4312" s="20"/>
      <c r="O4312" s="20"/>
      <c r="P4312" s="20"/>
    </row>
    <row r="4313">
      <c r="A4313" s="10"/>
      <c r="B4313" s="11"/>
      <c r="C4313" s="10"/>
      <c r="D4313" s="13"/>
      <c r="E4313" s="14"/>
      <c r="F4313" s="14"/>
      <c r="G4313" s="14"/>
      <c r="H4313" s="10"/>
      <c r="I4313" s="17"/>
      <c r="J4313" s="10"/>
      <c r="K4313" s="46"/>
      <c r="L4313" s="10"/>
      <c r="M4313" s="20"/>
      <c r="N4313" s="20"/>
      <c r="O4313" s="20"/>
      <c r="P4313" s="20"/>
    </row>
    <row r="4314">
      <c r="A4314" s="23"/>
      <c r="B4314" s="21"/>
      <c r="C4314" s="23"/>
      <c r="D4314" s="24"/>
      <c r="E4314" s="14"/>
      <c r="F4314" s="14"/>
      <c r="G4314" s="14"/>
      <c r="H4314" s="23"/>
      <c r="I4314" s="27"/>
      <c r="J4314" s="23"/>
      <c r="K4314" s="30"/>
      <c r="L4314" s="23"/>
      <c r="M4314" s="20"/>
      <c r="N4314" s="20"/>
      <c r="O4314" s="20"/>
      <c r="P4314" s="20"/>
    </row>
    <row r="4315">
      <c r="A4315" s="10"/>
      <c r="B4315" s="11"/>
      <c r="C4315" s="10"/>
      <c r="D4315" s="13"/>
      <c r="E4315" s="14"/>
      <c r="F4315" s="14"/>
      <c r="G4315" s="14"/>
      <c r="H4315" s="10"/>
      <c r="I4315" s="17"/>
      <c r="J4315" s="10"/>
      <c r="K4315" s="46"/>
      <c r="L4315" s="10"/>
      <c r="M4315" s="20"/>
      <c r="N4315" s="20"/>
      <c r="O4315" s="20"/>
      <c r="P4315" s="20"/>
    </row>
    <row r="4316">
      <c r="A4316" s="23"/>
      <c r="B4316" s="21"/>
      <c r="C4316" s="23"/>
      <c r="D4316" s="24"/>
      <c r="E4316" s="14"/>
      <c r="F4316" s="14"/>
      <c r="G4316" s="14"/>
      <c r="H4316" s="23"/>
      <c r="I4316" s="27"/>
      <c r="J4316" s="23"/>
      <c r="K4316" s="30"/>
      <c r="L4316" s="23"/>
      <c r="M4316" s="20"/>
      <c r="N4316" s="20"/>
      <c r="O4316" s="20"/>
      <c r="P4316" s="20"/>
    </row>
    <row r="4317">
      <c r="A4317" s="10"/>
      <c r="B4317" s="11"/>
      <c r="C4317" s="10"/>
      <c r="D4317" s="13"/>
      <c r="E4317" s="14"/>
      <c r="F4317" s="14"/>
      <c r="G4317" s="14"/>
      <c r="H4317" s="10"/>
      <c r="I4317" s="17"/>
      <c r="J4317" s="10"/>
      <c r="K4317" s="46"/>
      <c r="L4317" s="10"/>
      <c r="M4317" s="20"/>
      <c r="N4317" s="20"/>
      <c r="O4317" s="20"/>
      <c r="P4317" s="20"/>
    </row>
    <row r="4318">
      <c r="A4318" s="23"/>
      <c r="B4318" s="21"/>
      <c r="C4318" s="23"/>
      <c r="D4318" s="24"/>
      <c r="E4318" s="14"/>
      <c r="F4318" s="14"/>
      <c r="G4318" s="14"/>
      <c r="H4318" s="23"/>
      <c r="I4318" s="27"/>
      <c r="J4318" s="23"/>
      <c r="K4318" s="30"/>
      <c r="L4318" s="23"/>
      <c r="M4318" s="20"/>
      <c r="N4318" s="20"/>
      <c r="O4318" s="20"/>
      <c r="P4318" s="20"/>
    </row>
    <row r="4319">
      <c r="A4319" s="10"/>
      <c r="B4319" s="11"/>
      <c r="C4319" s="10"/>
      <c r="D4319" s="13"/>
      <c r="E4319" s="14"/>
      <c r="F4319" s="14"/>
      <c r="G4319" s="14"/>
      <c r="H4319" s="10"/>
      <c r="I4319" s="17"/>
      <c r="J4319" s="10"/>
      <c r="K4319" s="46"/>
      <c r="L4319" s="10"/>
      <c r="M4319" s="20"/>
      <c r="N4319" s="20"/>
      <c r="O4319" s="20"/>
      <c r="P4319" s="20"/>
    </row>
    <row r="4320">
      <c r="A4320" s="23"/>
      <c r="B4320" s="21"/>
      <c r="C4320" s="23"/>
      <c r="D4320" s="24"/>
      <c r="E4320" s="14"/>
      <c r="F4320" s="14"/>
      <c r="G4320" s="14"/>
      <c r="H4320" s="23"/>
      <c r="I4320" s="27"/>
      <c r="J4320" s="23"/>
      <c r="K4320" s="30"/>
      <c r="L4320" s="23"/>
      <c r="M4320" s="20"/>
      <c r="N4320" s="20"/>
      <c r="O4320" s="20"/>
      <c r="P4320" s="20"/>
    </row>
    <row r="4321">
      <c r="A4321" s="10"/>
      <c r="B4321" s="11"/>
      <c r="C4321" s="10"/>
      <c r="D4321" s="13"/>
      <c r="E4321" s="14"/>
      <c r="F4321" s="14"/>
      <c r="G4321" s="14"/>
      <c r="H4321" s="10"/>
      <c r="I4321" s="17"/>
      <c r="J4321" s="10"/>
      <c r="K4321" s="46"/>
      <c r="L4321" s="10"/>
      <c r="M4321" s="20"/>
      <c r="N4321" s="20"/>
      <c r="O4321" s="20"/>
      <c r="P4321" s="20"/>
    </row>
    <row r="4322">
      <c r="A4322" s="23"/>
      <c r="B4322" s="21"/>
      <c r="C4322" s="23"/>
      <c r="D4322" s="24"/>
      <c r="E4322" s="14"/>
      <c r="F4322" s="14"/>
      <c r="G4322" s="14"/>
      <c r="H4322" s="23"/>
      <c r="I4322" s="27"/>
      <c r="J4322" s="23"/>
      <c r="K4322" s="30"/>
      <c r="L4322" s="23"/>
      <c r="M4322" s="20"/>
      <c r="N4322" s="20"/>
      <c r="O4322" s="20"/>
      <c r="P4322" s="20"/>
    </row>
    <row r="4323">
      <c r="A4323" s="10"/>
      <c r="B4323" s="11"/>
      <c r="C4323" s="10"/>
      <c r="D4323" s="13"/>
      <c r="E4323" s="14"/>
      <c r="F4323" s="14"/>
      <c r="G4323" s="14"/>
      <c r="H4323" s="10"/>
      <c r="I4323" s="17"/>
      <c r="J4323" s="10"/>
      <c r="K4323" s="46"/>
      <c r="L4323" s="10"/>
      <c r="M4323" s="20"/>
      <c r="N4323" s="20"/>
      <c r="O4323" s="20"/>
      <c r="P4323" s="20"/>
    </row>
    <row r="4324">
      <c r="A4324" s="23"/>
      <c r="B4324" s="21"/>
      <c r="C4324" s="23"/>
      <c r="D4324" s="24"/>
      <c r="E4324" s="14"/>
      <c r="F4324" s="14"/>
      <c r="G4324" s="14"/>
      <c r="H4324" s="23"/>
      <c r="I4324" s="27"/>
      <c r="J4324" s="23"/>
      <c r="K4324" s="30"/>
      <c r="L4324" s="23"/>
      <c r="M4324" s="20"/>
      <c r="N4324" s="20"/>
      <c r="O4324" s="20"/>
      <c r="P4324" s="20"/>
    </row>
    <row r="4325">
      <c r="A4325" s="10"/>
      <c r="B4325" s="11"/>
      <c r="C4325" s="10"/>
      <c r="D4325" s="13"/>
      <c r="E4325" s="14"/>
      <c r="F4325" s="14"/>
      <c r="G4325" s="14"/>
      <c r="H4325" s="10"/>
      <c r="I4325" s="17"/>
      <c r="J4325" s="10"/>
      <c r="K4325" s="46"/>
      <c r="L4325" s="10"/>
      <c r="M4325" s="20"/>
      <c r="N4325" s="20"/>
      <c r="O4325" s="20"/>
      <c r="P4325" s="20"/>
    </row>
    <row r="4326">
      <c r="A4326" s="23"/>
      <c r="B4326" s="21"/>
      <c r="C4326" s="23"/>
      <c r="D4326" s="24"/>
      <c r="E4326" s="14"/>
      <c r="F4326" s="14"/>
      <c r="G4326" s="14"/>
      <c r="H4326" s="23"/>
      <c r="I4326" s="27"/>
      <c r="J4326" s="23"/>
      <c r="K4326" s="30"/>
      <c r="L4326" s="23"/>
      <c r="M4326" s="20"/>
      <c r="N4326" s="20"/>
      <c r="O4326" s="20"/>
      <c r="P4326" s="20"/>
    </row>
    <row r="4327">
      <c r="A4327" s="10"/>
      <c r="B4327" s="11"/>
      <c r="C4327" s="10"/>
      <c r="D4327" s="13"/>
      <c r="E4327" s="14"/>
      <c r="F4327" s="14"/>
      <c r="G4327" s="14"/>
      <c r="H4327" s="10"/>
      <c r="I4327" s="17"/>
      <c r="J4327" s="10"/>
      <c r="K4327" s="46"/>
      <c r="L4327" s="10"/>
      <c r="M4327" s="20"/>
      <c r="N4327" s="20"/>
      <c r="O4327" s="20"/>
      <c r="P4327" s="20"/>
    </row>
    <row r="4328">
      <c r="A4328" s="23"/>
      <c r="B4328" s="21"/>
      <c r="C4328" s="23"/>
      <c r="D4328" s="24"/>
      <c r="E4328" s="14"/>
      <c r="F4328" s="14"/>
      <c r="G4328" s="14"/>
      <c r="H4328" s="23"/>
      <c r="I4328" s="27"/>
      <c r="J4328" s="23"/>
      <c r="K4328" s="30"/>
      <c r="L4328" s="23"/>
      <c r="M4328" s="20"/>
      <c r="N4328" s="20"/>
      <c r="O4328" s="20"/>
      <c r="P4328" s="20"/>
    </row>
    <row r="4329">
      <c r="A4329" s="10"/>
      <c r="B4329" s="11"/>
      <c r="C4329" s="10"/>
      <c r="D4329" s="13"/>
      <c r="E4329" s="14"/>
      <c r="F4329" s="14"/>
      <c r="G4329" s="14"/>
      <c r="H4329" s="10"/>
      <c r="I4329" s="17"/>
      <c r="J4329" s="10"/>
      <c r="K4329" s="46"/>
      <c r="L4329" s="10"/>
      <c r="M4329" s="20"/>
      <c r="N4329" s="20"/>
      <c r="O4329" s="20"/>
      <c r="P4329" s="20"/>
    </row>
    <row r="4330">
      <c r="A4330" s="23"/>
      <c r="B4330" s="21"/>
      <c r="C4330" s="23"/>
      <c r="D4330" s="24"/>
      <c r="E4330" s="14"/>
      <c r="F4330" s="14"/>
      <c r="G4330" s="14"/>
      <c r="H4330" s="23"/>
      <c r="I4330" s="27"/>
      <c r="J4330" s="23"/>
      <c r="K4330" s="30"/>
      <c r="L4330" s="23"/>
      <c r="M4330" s="20"/>
      <c r="N4330" s="20"/>
      <c r="O4330" s="20"/>
      <c r="P4330" s="20"/>
    </row>
    <row r="4331">
      <c r="A4331" s="10"/>
      <c r="B4331" s="11"/>
      <c r="C4331" s="10"/>
      <c r="D4331" s="13"/>
      <c r="E4331" s="14"/>
      <c r="F4331" s="14"/>
      <c r="G4331" s="14"/>
      <c r="H4331" s="10"/>
      <c r="I4331" s="17"/>
      <c r="J4331" s="10"/>
      <c r="K4331" s="46"/>
      <c r="L4331" s="10"/>
      <c r="M4331" s="20"/>
      <c r="N4331" s="20"/>
      <c r="O4331" s="20"/>
      <c r="P4331" s="20"/>
    </row>
    <row r="4332">
      <c r="A4332" s="23"/>
      <c r="B4332" s="21"/>
      <c r="C4332" s="23"/>
      <c r="D4332" s="24"/>
      <c r="E4332" s="14"/>
      <c r="F4332" s="14"/>
      <c r="G4332" s="14"/>
      <c r="H4332" s="23"/>
      <c r="I4332" s="27"/>
      <c r="J4332" s="23"/>
      <c r="K4332" s="30"/>
      <c r="L4332" s="23"/>
      <c r="M4332" s="20"/>
      <c r="N4332" s="20"/>
      <c r="O4332" s="20"/>
      <c r="P4332" s="20"/>
    </row>
    <row r="4333">
      <c r="A4333" s="10"/>
      <c r="B4333" s="11"/>
      <c r="C4333" s="10"/>
      <c r="D4333" s="13"/>
      <c r="E4333" s="14"/>
      <c r="F4333" s="14"/>
      <c r="G4333" s="14"/>
      <c r="H4333" s="10"/>
      <c r="I4333" s="17"/>
      <c r="J4333" s="10"/>
      <c r="K4333" s="46"/>
      <c r="L4333" s="10"/>
      <c r="M4333" s="20"/>
      <c r="N4333" s="20"/>
      <c r="O4333" s="20"/>
      <c r="P4333" s="20"/>
    </row>
    <row r="4334">
      <c r="A4334" s="23"/>
      <c r="B4334" s="21"/>
      <c r="C4334" s="23"/>
      <c r="D4334" s="24"/>
      <c r="E4334" s="14"/>
      <c r="F4334" s="14"/>
      <c r="G4334" s="14"/>
      <c r="H4334" s="23"/>
      <c r="I4334" s="27"/>
      <c r="J4334" s="23"/>
      <c r="K4334" s="30"/>
      <c r="L4334" s="23"/>
      <c r="M4334" s="20"/>
      <c r="N4334" s="20"/>
      <c r="O4334" s="20"/>
      <c r="P4334" s="20"/>
    </row>
    <row r="4335">
      <c r="A4335" s="10"/>
      <c r="B4335" s="11"/>
      <c r="C4335" s="10"/>
      <c r="D4335" s="13"/>
      <c r="E4335" s="14"/>
      <c r="F4335" s="14"/>
      <c r="G4335" s="14"/>
      <c r="H4335" s="10"/>
      <c r="I4335" s="17"/>
      <c r="J4335" s="10"/>
      <c r="K4335" s="46"/>
      <c r="L4335" s="10"/>
      <c r="M4335" s="20"/>
      <c r="N4335" s="20"/>
      <c r="O4335" s="20"/>
      <c r="P4335" s="20"/>
    </row>
    <row r="4336">
      <c r="A4336" s="23"/>
      <c r="B4336" s="21"/>
      <c r="C4336" s="23"/>
      <c r="D4336" s="24"/>
      <c r="E4336" s="14"/>
      <c r="F4336" s="14"/>
      <c r="G4336" s="14"/>
      <c r="H4336" s="23"/>
      <c r="I4336" s="27"/>
      <c r="J4336" s="23"/>
      <c r="K4336" s="30"/>
      <c r="L4336" s="23"/>
      <c r="M4336" s="20"/>
      <c r="N4336" s="20"/>
      <c r="O4336" s="20"/>
      <c r="P4336" s="20"/>
    </row>
    <row r="4337">
      <c r="A4337" s="10"/>
      <c r="B4337" s="11"/>
      <c r="C4337" s="10"/>
      <c r="D4337" s="13"/>
      <c r="E4337" s="14"/>
      <c r="F4337" s="14"/>
      <c r="G4337" s="14"/>
      <c r="H4337" s="10"/>
      <c r="I4337" s="17"/>
      <c r="J4337" s="10"/>
      <c r="K4337" s="46"/>
      <c r="L4337" s="10"/>
      <c r="M4337" s="20"/>
      <c r="N4337" s="20"/>
      <c r="O4337" s="20"/>
      <c r="P4337" s="20"/>
    </row>
    <row r="4338">
      <c r="A4338" s="23"/>
      <c r="B4338" s="21"/>
      <c r="C4338" s="23"/>
      <c r="D4338" s="24"/>
      <c r="E4338" s="14"/>
      <c r="F4338" s="14"/>
      <c r="G4338" s="14"/>
      <c r="H4338" s="23"/>
      <c r="I4338" s="27"/>
      <c r="J4338" s="23"/>
      <c r="K4338" s="30"/>
      <c r="L4338" s="23"/>
      <c r="M4338" s="20"/>
      <c r="N4338" s="20"/>
      <c r="O4338" s="20"/>
      <c r="P4338" s="20"/>
    </row>
    <row r="4339">
      <c r="A4339" s="10"/>
      <c r="B4339" s="11"/>
      <c r="C4339" s="10"/>
      <c r="D4339" s="13"/>
      <c r="E4339" s="14"/>
      <c r="F4339" s="14"/>
      <c r="G4339" s="14"/>
      <c r="H4339" s="10"/>
      <c r="I4339" s="17"/>
      <c r="J4339" s="10"/>
      <c r="K4339" s="46"/>
      <c r="L4339" s="10"/>
      <c r="M4339" s="20"/>
      <c r="N4339" s="20"/>
      <c r="O4339" s="20"/>
      <c r="P4339" s="20"/>
    </row>
    <row r="4340">
      <c r="A4340" s="23"/>
      <c r="B4340" s="21"/>
      <c r="C4340" s="23"/>
      <c r="D4340" s="24"/>
      <c r="E4340" s="14"/>
      <c r="F4340" s="14"/>
      <c r="G4340" s="14"/>
      <c r="H4340" s="23"/>
      <c r="I4340" s="27"/>
      <c r="J4340" s="23"/>
      <c r="K4340" s="30"/>
      <c r="L4340" s="23"/>
      <c r="M4340" s="20"/>
      <c r="N4340" s="20"/>
      <c r="O4340" s="20"/>
      <c r="P4340" s="20"/>
    </row>
    <row r="4341">
      <c r="A4341" s="10"/>
      <c r="B4341" s="11"/>
      <c r="C4341" s="10"/>
      <c r="D4341" s="13"/>
      <c r="E4341" s="14"/>
      <c r="F4341" s="14"/>
      <c r="G4341" s="14"/>
      <c r="H4341" s="10"/>
      <c r="I4341" s="17"/>
      <c r="J4341" s="10"/>
      <c r="K4341" s="46"/>
      <c r="L4341" s="10"/>
      <c r="M4341" s="20"/>
      <c r="N4341" s="20"/>
      <c r="O4341" s="20"/>
      <c r="P4341" s="20"/>
    </row>
    <row r="4342">
      <c r="A4342" s="23"/>
      <c r="B4342" s="21"/>
      <c r="C4342" s="23"/>
      <c r="D4342" s="24"/>
      <c r="E4342" s="14"/>
      <c r="F4342" s="14"/>
      <c r="G4342" s="14"/>
      <c r="H4342" s="23"/>
      <c r="I4342" s="27"/>
      <c r="J4342" s="23"/>
      <c r="K4342" s="30"/>
      <c r="L4342" s="23"/>
      <c r="M4342" s="20"/>
      <c r="N4342" s="20"/>
      <c r="O4342" s="20"/>
      <c r="P4342" s="20"/>
    </row>
    <row r="4343">
      <c r="A4343" s="10"/>
      <c r="B4343" s="11"/>
      <c r="C4343" s="10"/>
      <c r="D4343" s="13"/>
      <c r="E4343" s="14"/>
      <c r="F4343" s="14"/>
      <c r="G4343" s="14"/>
      <c r="H4343" s="10"/>
      <c r="I4343" s="17"/>
      <c r="J4343" s="10"/>
      <c r="K4343" s="46"/>
      <c r="L4343" s="10"/>
      <c r="M4343" s="20"/>
      <c r="N4343" s="20"/>
      <c r="O4343" s="20"/>
      <c r="P4343" s="20"/>
    </row>
    <row r="4344">
      <c r="A4344" s="23"/>
      <c r="B4344" s="21"/>
      <c r="C4344" s="23"/>
      <c r="D4344" s="24"/>
      <c r="E4344" s="14"/>
      <c r="F4344" s="14"/>
      <c r="G4344" s="14"/>
      <c r="H4344" s="23"/>
      <c r="I4344" s="27"/>
      <c r="J4344" s="23"/>
      <c r="K4344" s="30"/>
      <c r="L4344" s="23"/>
      <c r="M4344" s="20"/>
      <c r="N4344" s="20"/>
      <c r="O4344" s="20"/>
      <c r="P4344" s="20"/>
    </row>
    <row r="4345">
      <c r="A4345" s="10"/>
      <c r="B4345" s="11"/>
      <c r="C4345" s="10"/>
      <c r="D4345" s="13"/>
      <c r="E4345" s="14"/>
      <c r="F4345" s="14"/>
      <c r="G4345" s="14"/>
      <c r="H4345" s="10"/>
      <c r="I4345" s="17"/>
      <c r="J4345" s="10"/>
      <c r="K4345" s="46"/>
      <c r="L4345" s="10"/>
      <c r="M4345" s="20"/>
      <c r="N4345" s="20"/>
      <c r="O4345" s="20"/>
      <c r="P4345" s="20"/>
    </row>
    <row r="4346">
      <c r="A4346" s="23"/>
      <c r="B4346" s="21"/>
      <c r="C4346" s="23"/>
      <c r="D4346" s="24"/>
      <c r="E4346" s="14"/>
      <c r="F4346" s="14"/>
      <c r="G4346" s="14"/>
      <c r="H4346" s="23"/>
      <c r="I4346" s="27"/>
      <c r="J4346" s="23"/>
      <c r="K4346" s="30"/>
      <c r="L4346" s="23"/>
      <c r="M4346" s="20"/>
      <c r="N4346" s="20"/>
      <c r="O4346" s="20"/>
      <c r="P4346" s="20"/>
    </row>
    <row r="4347">
      <c r="A4347" s="10"/>
      <c r="B4347" s="11"/>
      <c r="C4347" s="10"/>
      <c r="D4347" s="13"/>
      <c r="E4347" s="14"/>
      <c r="F4347" s="14"/>
      <c r="G4347" s="14"/>
      <c r="H4347" s="10"/>
      <c r="I4347" s="17"/>
      <c r="J4347" s="10"/>
      <c r="K4347" s="46"/>
      <c r="L4347" s="10"/>
      <c r="M4347" s="20"/>
      <c r="N4347" s="20"/>
      <c r="O4347" s="20"/>
      <c r="P4347" s="20"/>
    </row>
    <row r="4348">
      <c r="A4348" s="23"/>
      <c r="B4348" s="21"/>
      <c r="C4348" s="23"/>
      <c r="D4348" s="24"/>
      <c r="E4348" s="14"/>
      <c r="F4348" s="14"/>
      <c r="G4348" s="14"/>
      <c r="H4348" s="23"/>
      <c r="I4348" s="27"/>
      <c r="J4348" s="23"/>
      <c r="K4348" s="30"/>
      <c r="L4348" s="23"/>
      <c r="M4348" s="20"/>
      <c r="N4348" s="20"/>
      <c r="O4348" s="20"/>
      <c r="P4348" s="20"/>
    </row>
    <row r="4349">
      <c r="A4349" s="10"/>
      <c r="B4349" s="11"/>
      <c r="C4349" s="10"/>
      <c r="D4349" s="13"/>
      <c r="E4349" s="14"/>
      <c r="F4349" s="14"/>
      <c r="G4349" s="14"/>
      <c r="H4349" s="10"/>
      <c r="I4349" s="17"/>
      <c r="J4349" s="10"/>
      <c r="K4349" s="46"/>
      <c r="L4349" s="10"/>
      <c r="M4349" s="20"/>
      <c r="N4349" s="20"/>
      <c r="O4349" s="20"/>
      <c r="P4349" s="20"/>
    </row>
    <row r="4350">
      <c r="A4350" s="23"/>
      <c r="B4350" s="21"/>
      <c r="C4350" s="23"/>
      <c r="D4350" s="24"/>
      <c r="E4350" s="14"/>
      <c r="F4350" s="14"/>
      <c r="G4350" s="14"/>
      <c r="H4350" s="23"/>
      <c r="I4350" s="27"/>
      <c r="J4350" s="23"/>
      <c r="K4350" s="30"/>
      <c r="L4350" s="23"/>
      <c r="M4350" s="20"/>
      <c r="N4350" s="20"/>
      <c r="O4350" s="20"/>
      <c r="P4350" s="20"/>
    </row>
    <row r="4351">
      <c r="A4351" s="10"/>
      <c r="B4351" s="11"/>
      <c r="C4351" s="10"/>
      <c r="D4351" s="13"/>
      <c r="E4351" s="14"/>
      <c r="F4351" s="14"/>
      <c r="G4351" s="14"/>
      <c r="H4351" s="10"/>
      <c r="I4351" s="17"/>
      <c r="J4351" s="10"/>
      <c r="K4351" s="46"/>
      <c r="L4351" s="10"/>
      <c r="M4351" s="20"/>
      <c r="N4351" s="20"/>
      <c r="O4351" s="20"/>
      <c r="P4351" s="20"/>
    </row>
    <row r="4352">
      <c r="A4352" s="23"/>
      <c r="B4352" s="21"/>
      <c r="C4352" s="23"/>
      <c r="D4352" s="24"/>
      <c r="E4352" s="14"/>
      <c r="F4352" s="14"/>
      <c r="G4352" s="14"/>
      <c r="H4352" s="23"/>
      <c r="I4352" s="27"/>
      <c r="J4352" s="23"/>
      <c r="K4352" s="30"/>
      <c r="L4352" s="23"/>
      <c r="M4352" s="20"/>
      <c r="N4352" s="20"/>
      <c r="O4352" s="20"/>
      <c r="P4352" s="20"/>
    </row>
    <row r="4353">
      <c r="A4353" s="10"/>
      <c r="B4353" s="11"/>
      <c r="C4353" s="10"/>
      <c r="D4353" s="13"/>
      <c r="E4353" s="14"/>
      <c r="F4353" s="14"/>
      <c r="G4353" s="14"/>
      <c r="H4353" s="10"/>
      <c r="I4353" s="17"/>
      <c r="J4353" s="10"/>
      <c r="K4353" s="46"/>
      <c r="L4353" s="10"/>
      <c r="M4353" s="20"/>
      <c r="N4353" s="20"/>
      <c r="O4353" s="20"/>
      <c r="P4353" s="20"/>
    </row>
    <row r="4354">
      <c r="A4354" s="23"/>
      <c r="B4354" s="21"/>
      <c r="C4354" s="23"/>
      <c r="D4354" s="24"/>
      <c r="E4354" s="14"/>
      <c r="F4354" s="14"/>
      <c r="G4354" s="14"/>
      <c r="H4354" s="23"/>
      <c r="I4354" s="27"/>
      <c r="J4354" s="23"/>
      <c r="K4354" s="30"/>
      <c r="L4354" s="23"/>
      <c r="M4354" s="20"/>
      <c r="N4354" s="20"/>
      <c r="O4354" s="20"/>
      <c r="P4354" s="20"/>
    </row>
    <row r="4355">
      <c r="A4355" s="10"/>
      <c r="B4355" s="11"/>
      <c r="C4355" s="10"/>
      <c r="D4355" s="13"/>
      <c r="E4355" s="14"/>
      <c r="F4355" s="14"/>
      <c r="G4355" s="14"/>
      <c r="H4355" s="10"/>
      <c r="I4355" s="17"/>
      <c r="J4355" s="10"/>
      <c r="K4355" s="46"/>
      <c r="L4355" s="10"/>
      <c r="M4355" s="20"/>
      <c r="N4355" s="20"/>
      <c r="O4355" s="20"/>
      <c r="P4355" s="20"/>
    </row>
    <row r="4356">
      <c r="A4356" s="23"/>
      <c r="B4356" s="21"/>
      <c r="C4356" s="23"/>
      <c r="D4356" s="24"/>
      <c r="E4356" s="14"/>
      <c r="F4356" s="14"/>
      <c r="G4356" s="14"/>
      <c r="H4356" s="23"/>
      <c r="I4356" s="27"/>
      <c r="J4356" s="23"/>
      <c r="K4356" s="30"/>
      <c r="L4356" s="23"/>
      <c r="M4356" s="20"/>
      <c r="N4356" s="20"/>
      <c r="O4356" s="20"/>
      <c r="P4356" s="20"/>
    </row>
    <row r="4357">
      <c r="A4357" s="10"/>
      <c r="B4357" s="11"/>
      <c r="C4357" s="10"/>
      <c r="D4357" s="13"/>
      <c r="E4357" s="14"/>
      <c r="F4357" s="14"/>
      <c r="G4357" s="14"/>
      <c r="H4357" s="10"/>
      <c r="I4357" s="17"/>
      <c r="J4357" s="10"/>
      <c r="K4357" s="46"/>
      <c r="L4357" s="10"/>
      <c r="M4357" s="20"/>
      <c r="N4357" s="20"/>
      <c r="O4357" s="20"/>
      <c r="P4357" s="20"/>
    </row>
    <row r="4358">
      <c r="A4358" s="23"/>
      <c r="B4358" s="21"/>
      <c r="C4358" s="23"/>
      <c r="D4358" s="24"/>
      <c r="E4358" s="14"/>
      <c r="F4358" s="14"/>
      <c r="G4358" s="14"/>
      <c r="H4358" s="23"/>
      <c r="I4358" s="27"/>
      <c r="J4358" s="23"/>
      <c r="K4358" s="30"/>
      <c r="L4358" s="23"/>
      <c r="M4358" s="20"/>
      <c r="N4358" s="20"/>
      <c r="O4358" s="20"/>
      <c r="P4358" s="20"/>
    </row>
    <row r="4359">
      <c r="A4359" s="10"/>
      <c r="B4359" s="11"/>
      <c r="C4359" s="10"/>
      <c r="D4359" s="13"/>
      <c r="E4359" s="14"/>
      <c r="F4359" s="14"/>
      <c r="G4359" s="14"/>
      <c r="H4359" s="10"/>
      <c r="I4359" s="17"/>
      <c r="J4359" s="10"/>
      <c r="K4359" s="46"/>
      <c r="L4359" s="10"/>
      <c r="M4359" s="20"/>
      <c r="N4359" s="20"/>
      <c r="O4359" s="20"/>
      <c r="P4359" s="20"/>
    </row>
    <row r="4360">
      <c r="A4360" s="23"/>
      <c r="B4360" s="21"/>
      <c r="C4360" s="23"/>
      <c r="D4360" s="24"/>
      <c r="E4360" s="14"/>
      <c r="F4360" s="14"/>
      <c r="G4360" s="14"/>
      <c r="H4360" s="23"/>
      <c r="I4360" s="27"/>
      <c r="J4360" s="23"/>
      <c r="K4360" s="30"/>
      <c r="L4360" s="23"/>
      <c r="M4360" s="20"/>
      <c r="N4360" s="20"/>
      <c r="O4360" s="20"/>
      <c r="P4360" s="20"/>
    </row>
    <row r="4361">
      <c r="A4361" s="10"/>
      <c r="B4361" s="11"/>
      <c r="C4361" s="10"/>
      <c r="D4361" s="13"/>
      <c r="E4361" s="14"/>
      <c r="F4361" s="14"/>
      <c r="G4361" s="14"/>
      <c r="H4361" s="10"/>
      <c r="I4361" s="17"/>
      <c r="J4361" s="10"/>
      <c r="K4361" s="46"/>
      <c r="L4361" s="10"/>
      <c r="M4361" s="20"/>
      <c r="N4361" s="20"/>
      <c r="O4361" s="20"/>
      <c r="P4361" s="20"/>
    </row>
    <row r="4362">
      <c r="A4362" s="23"/>
      <c r="B4362" s="21"/>
      <c r="C4362" s="23"/>
      <c r="D4362" s="24"/>
      <c r="E4362" s="14"/>
      <c r="F4362" s="14"/>
      <c r="G4362" s="14"/>
      <c r="H4362" s="23"/>
      <c r="I4362" s="27"/>
      <c r="J4362" s="23"/>
      <c r="K4362" s="30"/>
      <c r="L4362" s="23"/>
      <c r="M4362" s="20"/>
      <c r="N4362" s="20"/>
      <c r="O4362" s="20"/>
      <c r="P4362" s="20"/>
    </row>
    <row r="4363">
      <c r="A4363" s="10"/>
      <c r="B4363" s="11"/>
      <c r="C4363" s="10"/>
      <c r="D4363" s="13"/>
      <c r="E4363" s="14"/>
      <c r="F4363" s="14"/>
      <c r="G4363" s="14"/>
      <c r="H4363" s="10"/>
      <c r="I4363" s="17"/>
      <c r="J4363" s="10"/>
      <c r="K4363" s="46"/>
      <c r="L4363" s="10"/>
      <c r="M4363" s="20"/>
      <c r="N4363" s="20"/>
      <c r="O4363" s="20"/>
      <c r="P4363" s="20"/>
    </row>
    <row r="4364">
      <c r="A4364" s="23"/>
      <c r="B4364" s="21"/>
      <c r="C4364" s="23"/>
      <c r="D4364" s="24"/>
      <c r="E4364" s="14"/>
      <c r="F4364" s="14"/>
      <c r="G4364" s="14"/>
      <c r="H4364" s="23"/>
      <c r="I4364" s="27"/>
      <c r="J4364" s="23"/>
      <c r="K4364" s="30"/>
      <c r="L4364" s="23"/>
      <c r="M4364" s="20"/>
      <c r="N4364" s="20"/>
      <c r="O4364" s="20"/>
      <c r="P4364" s="20"/>
    </row>
    <row r="4365">
      <c r="A4365" s="10"/>
      <c r="B4365" s="11"/>
      <c r="C4365" s="10"/>
      <c r="D4365" s="13"/>
      <c r="E4365" s="14"/>
      <c r="F4365" s="14"/>
      <c r="G4365" s="14"/>
      <c r="H4365" s="10"/>
      <c r="I4365" s="17"/>
      <c r="J4365" s="10"/>
      <c r="K4365" s="46"/>
      <c r="L4365" s="10"/>
      <c r="M4365" s="20"/>
      <c r="N4365" s="20"/>
      <c r="O4365" s="20"/>
      <c r="P4365" s="20"/>
    </row>
    <row r="4366">
      <c r="A4366" s="23"/>
      <c r="B4366" s="21"/>
      <c r="C4366" s="23"/>
      <c r="D4366" s="24"/>
      <c r="E4366" s="14"/>
      <c r="F4366" s="14"/>
      <c r="G4366" s="14"/>
      <c r="H4366" s="23"/>
      <c r="I4366" s="27"/>
      <c r="J4366" s="23"/>
      <c r="K4366" s="30"/>
      <c r="L4366" s="23"/>
      <c r="M4366" s="20"/>
      <c r="N4366" s="20"/>
      <c r="O4366" s="20"/>
      <c r="P4366" s="20"/>
    </row>
    <row r="4367">
      <c r="A4367" s="10"/>
      <c r="B4367" s="11"/>
      <c r="C4367" s="10"/>
      <c r="D4367" s="13"/>
      <c r="E4367" s="14"/>
      <c r="F4367" s="14"/>
      <c r="G4367" s="14"/>
      <c r="H4367" s="10"/>
      <c r="I4367" s="17"/>
      <c r="J4367" s="10"/>
      <c r="K4367" s="46"/>
      <c r="L4367" s="10"/>
      <c r="M4367" s="20"/>
      <c r="N4367" s="20"/>
      <c r="O4367" s="20"/>
      <c r="P4367" s="20"/>
    </row>
    <row r="4368">
      <c r="A4368" s="23"/>
      <c r="B4368" s="21"/>
      <c r="C4368" s="23"/>
      <c r="D4368" s="24"/>
      <c r="E4368" s="14"/>
      <c r="F4368" s="14"/>
      <c r="G4368" s="14"/>
      <c r="H4368" s="23"/>
      <c r="I4368" s="27"/>
      <c r="J4368" s="23"/>
      <c r="K4368" s="30"/>
      <c r="L4368" s="23"/>
      <c r="M4368" s="20"/>
      <c r="N4368" s="20"/>
      <c r="O4368" s="20"/>
      <c r="P4368" s="20"/>
    </row>
    <row r="4369">
      <c r="A4369" s="10"/>
      <c r="B4369" s="11"/>
      <c r="C4369" s="10"/>
      <c r="D4369" s="13"/>
      <c r="E4369" s="14"/>
      <c r="F4369" s="14"/>
      <c r="G4369" s="14"/>
      <c r="H4369" s="10"/>
      <c r="I4369" s="17"/>
      <c r="J4369" s="10"/>
      <c r="K4369" s="46"/>
      <c r="L4369" s="10"/>
      <c r="M4369" s="20"/>
      <c r="N4369" s="20"/>
      <c r="O4369" s="20"/>
      <c r="P4369" s="20"/>
    </row>
    <row r="4370">
      <c r="A4370" s="23"/>
      <c r="B4370" s="21"/>
      <c r="C4370" s="23"/>
      <c r="D4370" s="24"/>
      <c r="E4370" s="14"/>
      <c r="F4370" s="14"/>
      <c r="G4370" s="14"/>
      <c r="H4370" s="23"/>
      <c r="I4370" s="27"/>
      <c r="J4370" s="23"/>
      <c r="K4370" s="30"/>
      <c r="L4370" s="23"/>
      <c r="M4370" s="20"/>
      <c r="N4370" s="20"/>
      <c r="O4370" s="20"/>
      <c r="P4370" s="20"/>
    </row>
    <row r="4371">
      <c r="A4371" s="10"/>
      <c r="B4371" s="11"/>
      <c r="C4371" s="10"/>
      <c r="D4371" s="13"/>
      <c r="E4371" s="14"/>
      <c r="F4371" s="14"/>
      <c r="G4371" s="14"/>
      <c r="H4371" s="10"/>
      <c r="I4371" s="17"/>
      <c r="J4371" s="10"/>
      <c r="K4371" s="46"/>
      <c r="L4371" s="10"/>
      <c r="M4371" s="20"/>
      <c r="N4371" s="20"/>
      <c r="O4371" s="20"/>
      <c r="P4371" s="20"/>
    </row>
    <row r="4372">
      <c r="A4372" s="23"/>
      <c r="B4372" s="21"/>
      <c r="C4372" s="23"/>
      <c r="D4372" s="24"/>
      <c r="E4372" s="14"/>
      <c r="F4372" s="14"/>
      <c r="G4372" s="14"/>
      <c r="H4372" s="23"/>
      <c r="I4372" s="27"/>
      <c r="J4372" s="23"/>
      <c r="K4372" s="30"/>
      <c r="L4372" s="23"/>
      <c r="M4372" s="20"/>
      <c r="N4372" s="20"/>
      <c r="O4372" s="20"/>
      <c r="P4372" s="20"/>
    </row>
    <row r="4373">
      <c r="A4373" s="10"/>
      <c r="B4373" s="11"/>
      <c r="C4373" s="10"/>
      <c r="D4373" s="13"/>
      <c r="E4373" s="14"/>
      <c r="F4373" s="14"/>
      <c r="G4373" s="14"/>
      <c r="H4373" s="10"/>
      <c r="I4373" s="17"/>
      <c r="J4373" s="10"/>
      <c r="K4373" s="46"/>
      <c r="L4373" s="10"/>
      <c r="M4373" s="20"/>
      <c r="N4373" s="20"/>
      <c r="O4373" s="20"/>
      <c r="P4373" s="20"/>
    </row>
    <row r="4374">
      <c r="A4374" s="23"/>
      <c r="B4374" s="21"/>
      <c r="C4374" s="23"/>
      <c r="D4374" s="24"/>
      <c r="E4374" s="14"/>
      <c r="F4374" s="14"/>
      <c r="G4374" s="14"/>
      <c r="H4374" s="23"/>
      <c r="I4374" s="27"/>
      <c r="J4374" s="23"/>
      <c r="K4374" s="30"/>
      <c r="L4374" s="23"/>
      <c r="M4374" s="20"/>
      <c r="N4374" s="20"/>
      <c r="O4374" s="20"/>
      <c r="P4374" s="20"/>
    </row>
    <row r="4375">
      <c r="A4375" s="10"/>
      <c r="B4375" s="11"/>
      <c r="C4375" s="10"/>
      <c r="D4375" s="13"/>
      <c r="E4375" s="14"/>
      <c r="F4375" s="14"/>
      <c r="G4375" s="14"/>
      <c r="H4375" s="10"/>
      <c r="I4375" s="17"/>
      <c r="J4375" s="10"/>
      <c r="K4375" s="46"/>
      <c r="L4375" s="10"/>
      <c r="M4375" s="20"/>
      <c r="N4375" s="20"/>
      <c r="O4375" s="20"/>
      <c r="P4375" s="20"/>
    </row>
    <row r="4376">
      <c r="A4376" s="23"/>
      <c r="B4376" s="21"/>
      <c r="C4376" s="23"/>
      <c r="D4376" s="24"/>
      <c r="E4376" s="14"/>
      <c r="F4376" s="14"/>
      <c r="G4376" s="14"/>
      <c r="H4376" s="23"/>
      <c r="I4376" s="27"/>
      <c r="J4376" s="23"/>
      <c r="K4376" s="30"/>
      <c r="L4376" s="23"/>
      <c r="M4376" s="20"/>
      <c r="N4376" s="20"/>
      <c r="O4376" s="20"/>
      <c r="P4376" s="20"/>
    </row>
    <row r="4377">
      <c r="A4377" s="10"/>
      <c r="B4377" s="11"/>
      <c r="C4377" s="10"/>
      <c r="D4377" s="13"/>
      <c r="E4377" s="14"/>
      <c r="F4377" s="14"/>
      <c r="G4377" s="14"/>
      <c r="H4377" s="10"/>
      <c r="I4377" s="17"/>
      <c r="J4377" s="10"/>
      <c r="K4377" s="46"/>
      <c r="L4377" s="10"/>
      <c r="M4377" s="20"/>
      <c r="N4377" s="20"/>
      <c r="O4377" s="20"/>
      <c r="P4377" s="20"/>
    </row>
    <row r="4378">
      <c r="A4378" s="23"/>
      <c r="B4378" s="21"/>
      <c r="C4378" s="23"/>
      <c r="D4378" s="24"/>
      <c r="E4378" s="14"/>
      <c r="F4378" s="14"/>
      <c r="G4378" s="14"/>
      <c r="H4378" s="23"/>
      <c r="I4378" s="27"/>
      <c r="J4378" s="23"/>
      <c r="K4378" s="30"/>
      <c r="L4378" s="23"/>
      <c r="M4378" s="20"/>
      <c r="N4378" s="20"/>
      <c r="O4378" s="20"/>
      <c r="P4378" s="20"/>
    </row>
    <row r="4379">
      <c r="A4379" s="10"/>
      <c r="B4379" s="11"/>
      <c r="C4379" s="10"/>
      <c r="D4379" s="13"/>
      <c r="E4379" s="14"/>
      <c r="F4379" s="14"/>
      <c r="G4379" s="14"/>
      <c r="H4379" s="10"/>
      <c r="I4379" s="17"/>
      <c r="J4379" s="10"/>
      <c r="K4379" s="46"/>
      <c r="L4379" s="10"/>
      <c r="M4379" s="20"/>
      <c r="N4379" s="20"/>
      <c r="O4379" s="20"/>
      <c r="P4379" s="20"/>
    </row>
    <row r="4380">
      <c r="A4380" s="23"/>
      <c r="B4380" s="21"/>
      <c r="C4380" s="23"/>
      <c r="D4380" s="24"/>
      <c r="E4380" s="14"/>
      <c r="F4380" s="14"/>
      <c r="G4380" s="14"/>
      <c r="H4380" s="23"/>
      <c r="I4380" s="27"/>
      <c r="J4380" s="23"/>
      <c r="K4380" s="30"/>
      <c r="L4380" s="23"/>
      <c r="M4380" s="20"/>
      <c r="N4380" s="20"/>
      <c r="O4380" s="20"/>
      <c r="P4380" s="20"/>
    </row>
    <row r="4381">
      <c r="A4381" s="10"/>
      <c r="B4381" s="11"/>
      <c r="C4381" s="10"/>
      <c r="D4381" s="13"/>
      <c r="E4381" s="14"/>
      <c r="F4381" s="14"/>
      <c r="G4381" s="14"/>
      <c r="H4381" s="10"/>
      <c r="I4381" s="17"/>
      <c r="J4381" s="10"/>
      <c r="K4381" s="46"/>
      <c r="L4381" s="10"/>
      <c r="M4381" s="20"/>
      <c r="N4381" s="20"/>
      <c r="O4381" s="20"/>
      <c r="P4381" s="20"/>
    </row>
    <row r="4382">
      <c r="A4382" s="23"/>
      <c r="B4382" s="21"/>
      <c r="C4382" s="23"/>
      <c r="D4382" s="24"/>
      <c r="E4382" s="14"/>
      <c r="F4382" s="14"/>
      <c r="G4382" s="14"/>
      <c r="H4382" s="23"/>
      <c r="I4382" s="27"/>
      <c r="J4382" s="23"/>
      <c r="K4382" s="30"/>
      <c r="L4382" s="23"/>
      <c r="M4382" s="20"/>
      <c r="N4382" s="20"/>
      <c r="O4382" s="20"/>
      <c r="P4382" s="20"/>
    </row>
    <row r="4383">
      <c r="A4383" s="10"/>
      <c r="B4383" s="11"/>
      <c r="C4383" s="10"/>
      <c r="D4383" s="13"/>
      <c r="E4383" s="14"/>
      <c r="F4383" s="14"/>
      <c r="G4383" s="14"/>
      <c r="H4383" s="10"/>
      <c r="I4383" s="17"/>
      <c r="J4383" s="10"/>
      <c r="K4383" s="46"/>
      <c r="L4383" s="10"/>
      <c r="M4383" s="20"/>
      <c r="N4383" s="20"/>
      <c r="O4383" s="20"/>
      <c r="P4383" s="20"/>
    </row>
    <row r="4384">
      <c r="A4384" s="23"/>
      <c r="B4384" s="21"/>
      <c r="C4384" s="23"/>
      <c r="D4384" s="24"/>
      <c r="E4384" s="14"/>
      <c r="F4384" s="14"/>
      <c r="G4384" s="14"/>
      <c r="H4384" s="23"/>
      <c r="I4384" s="27"/>
      <c r="J4384" s="23"/>
      <c r="K4384" s="30"/>
      <c r="L4384" s="23"/>
      <c r="M4384" s="20"/>
      <c r="N4384" s="20"/>
      <c r="O4384" s="20"/>
      <c r="P4384" s="20"/>
    </row>
    <row r="4385">
      <c r="A4385" s="10"/>
      <c r="B4385" s="11"/>
      <c r="C4385" s="10"/>
      <c r="D4385" s="13"/>
      <c r="E4385" s="14"/>
      <c r="F4385" s="14"/>
      <c r="G4385" s="14"/>
      <c r="H4385" s="10"/>
      <c r="I4385" s="17"/>
      <c r="J4385" s="10"/>
      <c r="K4385" s="46"/>
      <c r="L4385" s="10"/>
      <c r="M4385" s="20"/>
      <c r="N4385" s="20"/>
      <c r="O4385" s="20"/>
      <c r="P4385" s="20"/>
    </row>
    <row r="4386">
      <c r="A4386" s="23"/>
      <c r="B4386" s="21"/>
      <c r="C4386" s="23"/>
      <c r="D4386" s="24"/>
      <c r="E4386" s="14"/>
      <c r="F4386" s="14"/>
      <c r="G4386" s="14"/>
      <c r="H4386" s="23"/>
      <c r="I4386" s="27"/>
      <c r="J4386" s="23"/>
      <c r="K4386" s="30"/>
      <c r="L4386" s="23"/>
      <c r="M4386" s="20"/>
      <c r="N4386" s="20"/>
      <c r="O4386" s="20"/>
      <c r="P4386" s="20"/>
    </row>
    <row r="4387">
      <c r="A4387" s="10"/>
      <c r="B4387" s="11"/>
      <c r="C4387" s="10"/>
      <c r="D4387" s="13"/>
      <c r="E4387" s="14"/>
      <c r="F4387" s="14"/>
      <c r="G4387" s="14"/>
      <c r="H4387" s="10"/>
      <c r="I4387" s="17"/>
      <c r="J4387" s="10"/>
      <c r="K4387" s="46"/>
      <c r="L4387" s="10"/>
      <c r="M4387" s="20"/>
      <c r="N4387" s="20"/>
      <c r="O4387" s="20"/>
      <c r="P4387" s="20"/>
    </row>
    <row r="4388">
      <c r="A4388" s="23"/>
      <c r="B4388" s="21"/>
      <c r="C4388" s="23"/>
      <c r="D4388" s="24"/>
      <c r="E4388" s="14"/>
      <c r="F4388" s="14"/>
      <c r="G4388" s="14"/>
      <c r="H4388" s="23"/>
      <c r="I4388" s="27"/>
      <c r="J4388" s="23"/>
      <c r="K4388" s="30"/>
      <c r="L4388" s="23"/>
      <c r="M4388" s="20"/>
      <c r="N4388" s="20"/>
      <c r="O4388" s="20"/>
      <c r="P4388" s="20"/>
    </row>
    <row r="4389">
      <c r="A4389" s="10"/>
      <c r="B4389" s="11"/>
      <c r="C4389" s="10"/>
      <c r="D4389" s="13"/>
      <c r="E4389" s="14"/>
      <c r="F4389" s="14"/>
      <c r="G4389" s="14"/>
      <c r="H4389" s="10"/>
      <c r="I4389" s="17"/>
      <c r="J4389" s="10"/>
      <c r="K4389" s="46"/>
      <c r="L4389" s="10"/>
      <c r="M4389" s="20"/>
      <c r="N4389" s="20"/>
      <c r="O4389" s="20"/>
      <c r="P4389" s="20"/>
    </row>
    <row r="4390">
      <c r="A4390" s="23"/>
      <c r="B4390" s="21"/>
      <c r="C4390" s="23"/>
      <c r="D4390" s="24"/>
      <c r="E4390" s="14"/>
      <c r="F4390" s="14"/>
      <c r="G4390" s="14"/>
      <c r="H4390" s="23"/>
      <c r="I4390" s="27"/>
      <c r="J4390" s="23"/>
      <c r="K4390" s="30"/>
      <c r="L4390" s="23"/>
      <c r="M4390" s="20"/>
      <c r="N4390" s="20"/>
      <c r="O4390" s="20"/>
      <c r="P4390" s="20"/>
    </row>
    <row r="4391">
      <c r="A4391" s="10"/>
      <c r="B4391" s="11"/>
      <c r="C4391" s="10"/>
      <c r="D4391" s="13"/>
      <c r="E4391" s="14"/>
      <c r="F4391" s="14"/>
      <c r="G4391" s="14"/>
      <c r="H4391" s="10"/>
      <c r="I4391" s="17"/>
      <c r="J4391" s="10"/>
      <c r="K4391" s="46"/>
      <c r="L4391" s="10"/>
      <c r="M4391" s="20"/>
      <c r="N4391" s="20"/>
      <c r="O4391" s="20"/>
      <c r="P4391" s="20"/>
    </row>
    <row r="4392">
      <c r="A4392" s="23"/>
      <c r="B4392" s="21"/>
      <c r="C4392" s="23"/>
      <c r="D4392" s="24"/>
      <c r="E4392" s="14"/>
      <c r="F4392" s="14"/>
      <c r="G4392" s="14"/>
      <c r="H4392" s="23"/>
      <c r="I4392" s="27"/>
      <c r="J4392" s="23"/>
      <c r="K4392" s="30"/>
      <c r="L4392" s="23"/>
      <c r="M4392" s="20"/>
      <c r="N4392" s="20"/>
      <c r="O4392" s="20"/>
      <c r="P4392" s="20"/>
    </row>
    <row r="4393">
      <c r="A4393" s="10"/>
      <c r="B4393" s="11"/>
      <c r="C4393" s="10"/>
      <c r="D4393" s="13"/>
      <c r="E4393" s="14"/>
      <c r="F4393" s="14"/>
      <c r="G4393" s="14"/>
      <c r="H4393" s="10"/>
      <c r="I4393" s="17"/>
      <c r="J4393" s="10"/>
      <c r="K4393" s="46"/>
      <c r="L4393" s="10"/>
      <c r="M4393" s="20"/>
      <c r="N4393" s="20"/>
      <c r="O4393" s="20"/>
      <c r="P4393" s="20"/>
    </row>
    <row r="4394">
      <c r="A4394" s="23"/>
      <c r="B4394" s="21"/>
      <c r="C4394" s="23"/>
      <c r="D4394" s="24"/>
      <c r="E4394" s="14"/>
      <c r="F4394" s="14"/>
      <c r="G4394" s="14"/>
      <c r="H4394" s="23"/>
      <c r="I4394" s="27"/>
      <c r="J4394" s="23"/>
      <c r="K4394" s="30"/>
      <c r="L4394" s="23"/>
      <c r="M4394" s="20"/>
      <c r="N4394" s="20"/>
      <c r="O4394" s="20"/>
      <c r="P4394" s="20"/>
    </row>
    <row r="4395">
      <c r="A4395" s="10"/>
      <c r="B4395" s="11"/>
      <c r="C4395" s="10"/>
      <c r="D4395" s="13"/>
      <c r="E4395" s="14"/>
      <c r="F4395" s="14"/>
      <c r="G4395" s="14"/>
      <c r="H4395" s="10"/>
      <c r="I4395" s="17"/>
      <c r="J4395" s="10"/>
      <c r="K4395" s="46"/>
      <c r="L4395" s="10"/>
      <c r="M4395" s="20"/>
      <c r="N4395" s="20"/>
      <c r="O4395" s="20"/>
      <c r="P4395" s="20"/>
    </row>
    <row r="4396">
      <c r="A4396" s="23"/>
      <c r="B4396" s="21"/>
      <c r="C4396" s="23"/>
      <c r="D4396" s="24"/>
      <c r="E4396" s="14"/>
      <c r="F4396" s="14"/>
      <c r="G4396" s="14"/>
      <c r="H4396" s="23"/>
      <c r="I4396" s="27"/>
      <c r="J4396" s="23"/>
      <c r="K4396" s="30"/>
      <c r="L4396" s="23"/>
      <c r="M4396" s="20"/>
      <c r="N4396" s="20"/>
      <c r="O4396" s="20"/>
      <c r="P4396" s="20"/>
    </row>
    <row r="4397">
      <c r="A4397" s="10"/>
      <c r="B4397" s="11"/>
      <c r="C4397" s="10"/>
      <c r="D4397" s="13"/>
      <c r="E4397" s="14"/>
      <c r="F4397" s="14"/>
      <c r="G4397" s="14"/>
      <c r="H4397" s="10"/>
      <c r="I4397" s="17"/>
      <c r="J4397" s="10"/>
      <c r="K4397" s="46"/>
      <c r="L4397" s="10"/>
      <c r="M4397" s="20"/>
      <c r="N4397" s="20"/>
      <c r="O4397" s="20"/>
      <c r="P4397" s="20"/>
    </row>
    <row r="4398">
      <c r="A4398" s="23"/>
      <c r="B4398" s="21"/>
      <c r="C4398" s="23"/>
      <c r="D4398" s="24"/>
      <c r="E4398" s="14"/>
      <c r="F4398" s="14"/>
      <c r="G4398" s="14"/>
      <c r="H4398" s="23"/>
      <c r="I4398" s="27"/>
      <c r="J4398" s="23"/>
      <c r="K4398" s="30"/>
      <c r="L4398" s="23"/>
      <c r="M4398" s="20"/>
      <c r="N4398" s="20"/>
      <c r="O4398" s="20"/>
      <c r="P4398" s="20"/>
    </row>
    <row r="4399">
      <c r="A4399" s="10"/>
      <c r="B4399" s="11"/>
      <c r="C4399" s="10"/>
      <c r="D4399" s="13"/>
      <c r="E4399" s="14"/>
      <c r="F4399" s="14"/>
      <c r="G4399" s="14"/>
      <c r="H4399" s="10"/>
      <c r="I4399" s="17"/>
      <c r="J4399" s="10"/>
      <c r="K4399" s="46"/>
      <c r="L4399" s="10"/>
      <c r="M4399" s="20"/>
      <c r="N4399" s="20"/>
      <c r="O4399" s="20"/>
      <c r="P4399" s="20"/>
    </row>
    <row r="4400">
      <c r="A4400" s="23"/>
      <c r="B4400" s="21"/>
      <c r="C4400" s="23"/>
      <c r="D4400" s="24"/>
      <c r="E4400" s="14"/>
      <c r="F4400" s="14"/>
      <c r="G4400" s="14"/>
      <c r="H4400" s="23"/>
      <c r="I4400" s="27"/>
      <c r="J4400" s="23"/>
      <c r="K4400" s="30"/>
      <c r="L4400" s="23"/>
      <c r="M4400" s="20"/>
      <c r="N4400" s="20"/>
      <c r="O4400" s="20"/>
      <c r="P4400" s="20"/>
    </row>
    <row r="4401">
      <c r="A4401" s="10"/>
      <c r="B4401" s="11"/>
      <c r="C4401" s="10"/>
      <c r="D4401" s="13"/>
      <c r="E4401" s="14"/>
      <c r="F4401" s="14"/>
      <c r="G4401" s="14"/>
      <c r="H4401" s="10"/>
      <c r="I4401" s="17"/>
      <c r="J4401" s="10"/>
      <c r="K4401" s="46"/>
      <c r="L4401" s="10"/>
      <c r="M4401" s="20"/>
      <c r="N4401" s="20"/>
      <c r="O4401" s="20"/>
      <c r="P4401" s="20"/>
    </row>
    <row r="4402">
      <c r="A4402" s="23"/>
      <c r="B4402" s="21"/>
      <c r="C4402" s="23"/>
      <c r="D4402" s="24"/>
      <c r="E4402" s="14"/>
      <c r="F4402" s="14"/>
      <c r="G4402" s="14"/>
      <c r="H4402" s="23"/>
      <c r="I4402" s="27"/>
      <c r="J4402" s="23"/>
      <c r="K4402" s="30"/>
      <c r="L4402" s="23"/>
      <c r="M4402" s="20"/>
      <c r="N4402" s="20"/>
      <c r="O4402" s="20"/>
      <c r="P4402" s="20"/>
    </row>
    <row r="4403">
      <c r="A4403" s="10"/>
      <c r="B4403" s="11"/>
      <c r="C4403" s="10"/>
      <c r="D4403" s="13"/>
      <c r="E4403" s="14"/>
      <c r="F4403" s="14"/>
      <c r="G4403" s="14"/>
      <c r="H4403" s="10"/>
      <c r="I4403" s="17"/>
      <c r="J4403" s="10"/>
      <c r="K4403" s="46"/>
      <c r="L4403" s="10"/>
      <c r="M4403" s="20"/>
      <c r="N4403" s="20"/>
      <c r="O4403" s="20"/>
      <c r="P4403" s="20"/>
    </row>
    <row r="4404">
      <c r="A4404" s="23"/>
      <c r="B4404" s="21"/>
      <c r="C4404" s="23"/>
      <c r="D4404" s="24"/>
      <c r="E4404" s="14"/>
      <c r="F4404" s="14"/>
      <c r="G4404" s="14"/>
      <c r="H4404" s="23"/>
      <c r="I4404" s="27"/>
      <c r="J4404" s="23"/>
      <c r="K4404" s="30"/>
      <c r="L4404" s="23"/>
      <c r="M4404" s="20"/>
      <c r="N4404" s="20"/>
      <c r="O4404" s="20"/>
      <c r="P4404" s="20"/>
    </row>
    <row r="4405">
      <c r="A4405" s="10"/>
      <c r="B4405" s="11"/>
      <c r="C4405" s="10"/>
      <c r="D4405" s="13"/>
      <c r="E4405" s="14"/>
      <c r="F4405" s="14"/>
      <c r="G4405" s="14"/>
      <c r="H4405" s="10"/>
      <c r="I4405" s="17"/>
      <c r="J4405" s="10"/>
      <c r="K4405" s="46"/>
      <c r="L4405" s="10"/>
      <c r="M4405" s="20"/>
      <c r="N4405" s="20"/>
      <c r="O4405" s="20"/>
      <c r="P4405" s="20"/>
    </row>
    <row r="4406">
      <c r="A4406" s="23"/>
      <c r="B4406" s="21"/>
      <c r="C4406" s="23"/>
      <c r="D4406" s="24"/>
      <c r="E4406" s="14"/>
      <c r="F4406" s="14"/>
      <c r="G4406" s="14"/>
      <c r="H4406" s="23"/>
      <c r="I4406" s="27"/>
      <c r="J4406" s="23"/>
      <c r="K4406" s="30"/>
      <c r="L4406" s="23"/>
      <c r="M4406" s="20"/>
      <c r="N4406" s="20"/>
      <c r="O4406" s="20"/>
      <c r="P4406" s="20"/>
    </row>
    <row r="4407">
      <c r="A4407" s="10"/>
      <c r="B4407" s="11"/>
      <c r="C4407" s="10"/>
      <c r="D4407" s="13"/>
      <c r="E4407" s="14"/>
      <c r="F4407" s="14"/>
      <c r="G4407" s="14"/>
      <c r="H4407" s="10"/>
      <c r="I4407" s="17"/>
      <c r="J4407" s="10"/>
      <c r="K4407" s="46"/>
      <c r="L4407" s="10"/>
      <c r="M4407" s="20"/>
      <c r="N4407" s="20"/>
      <c r="O4407" s="20"/>
      <c r="P4407" s="20"/>
    </row>
    <row r="4408">
      <c r="A4408" s="23"/>
      <c r="B4408" s="21"/>
      <c r="C4408" s="23"/>
      <c r="D4408" s="24"/>
      <c r="E4408" s="14"/>
      <c r="F4408" s="14"/>
      <c r="G4408" s="14"/>
      <c r="H4408" s="23"/>
      <c r="I4408" s="27"/>
      <c r="J4408" s="23"/>
      <c r="K4408" s="30"/>
      <c r="L4408" s="23"/>
      <c r="M4408" s="20"/>
      <c r="N4408" s="20"/>
      <c r="O4408" s="20"/>
      <c r="P4408" s="20"/>
    </row>
    <row r="4409">
      <c r="A4409" s="10"/>
      <c r="B4409" s="11"/>
      <c r="C4409" s="10"/>
      <c r="D4409" s="13"/>
      <c r="E4409" s="14"/>
      <c r="F4409" s="14"/>
      <c r="G4409" s="14"/>
      <c r="H4409" s="10"/>
      <c r="I4409" s="17"/>
      <c r="J4409" s="10"/>
      <c r="K4409" s="46"/>
      <c r="L4409" s="10"/>
      <c r="M4409" s="20"/>
      <c r="N4409" s="20"/>
      <c r="O4409" s="20"/>
      <c r="P4409" s="20"/>
    </row>
    <row r="4410">
      <c r="A4410" s="23"/>
      <c r="B4410" s="21"/>
      <c r="C4410" s="23"/>
      <c r="D4410" s="24"/>
      <c r="E4410" s="14"/>
      <c r="F4410" s="14"/>
      <c r="G4410" s="14"/>
      <c r="H4410" s="23"/>
      <c r="I4410" s="27"/>
      <c r="J4410" s="23"/>
      <c r="K4410" s="30"/>
      <c r="L4410" s="23"/>
      <c r="M4410" s="20"/>
      <c r="N4410" s="20"/>
      <c r="O4410" s="20"/>
      <c r="P4410" s="20"/>
    </row>
    <row r="4411">
      <c r="A4411" s="10"/>
      <c r="B4411" s="11"/>
      <c r="C4411" s="10"/>
      <c r="D4411" s="13"/>
      <c r="E4411" s="14"/>
      <c r="F4411" s="14"/>
      <c r="G4411" s="14"/>
      <c r="H4411" s="10"/>
      <c r="I4411" s="17"/>
      <c r="J4411" s="10"/>
      <c r="K4411" s="46"/>
      <c r="L4411" s="10"/>
      <c r="M4411" s="20"/>
      <c r="N4411" s="20"/>
      <c r="O4411" s="20"/>
      <c r="P4411" s="20"/>
    </row>
    <row r="4412">
      <c r="A4412" s="23"/>
      <c r="B4412" s="21"/>
      <c r="C4412" s="23"/>
      <c r="D4412" s="24"/>
      <c r="E4412" s="14"/>
      <c r="F4412" s="14"/>
      <c r="G4412" s="14"/>
      <c r="H4412" s="23"/>
      <c r="I4412" s="27"/>
      <c r="J4412" s="23"/>
      <c r="K4412" s="30"/>
      <c r="L4412" s="23"/>
      <c r="M4412" s="20"/>
      <c r="N4412" s="20"/>
      <c r="O4412" s="20"/>
      <c r="P4412" s="20"/>
    </row>
    <row r="4413">
      <c r="A4413" s="10"/>
      <c r="B4413" s="11"/>
      <c r="C4413" s="10"/>
      <c r="D4413" s="13"/>
      <c r="E4413" s="14"/>
      <c r="F4413" s="14"/>
      <c r="G4413" s="14"/>
      <c r="H4413" s="10"/>
      <c r="I4413" s="17"/>
      <c r="J4413" s="10"/>
      <c r="K4413" s="46"/>
      <c r="L4413" s="10"/>
      <c r="M4413" s="20"/>
      <c r="N4413" s="20"/>
      <c r="O4413" s="20"/>
      <c r="P4413" s="20"/>
    </row>
    <row r="4414">
      <c r="A4414" s="23"/>
      <c r="B4414" s="21"/>
      <c r="C4414" s="23"/>
      <c r="D4414" s="24"/>
      <c r="E4414" s="14"/>
      <c r="F4414" s="14"/>
      <c r="G4414" s="14"/>
      <c r="H4414" s="23"/>
      <c r="I4414" s="27"/>
      <c r="J4414" s="23"/>
      <c r="K4414" s="30"/>
      <c r="L4414" s="23"/>
      <c r="M4414" s="20"/>
      <c r="N4414" s="20"/>
      <c r="O4414" s="20"/>
      <c r="P4414" s="20"/>
    </row>
    <row r="4415">
      <c r="A4415" s="10"/>
      <c r="B4415" s="11"/>
      <c r="C4415" s="10"/>
      <c r="D4415" s="13"/>
      <c r="E4415" s="14"/>
      <c r="F4415" s="14"/>
      <c r="G4415" s="14"/>
      <c r="H4415" s="10"/>
      <c r="I4415" s="17"/>
      <c r="J4415" s="10"/>
      <c r="K4415" s="46"/>
      <c r="L4415" s="10"/>
      <c r="M4415" s="20"/>
      <c r="N4415" s="20"/>
      <c r="O4415" s="20"/>
      <c r="P4415" s="20"/>
    </row>
    <row r="4416">
      <c r="A4416" s="23"/>
      <c r="B4416" s="21"/>
      <c r="C4416" s="23"/>
      <c r="D4416" s="24"/>
      <c r="E4416" s="14"/>
      <c r="F4416" s="14"/>
      <c r="G4416" s="14"/>
      <c r="H4416" s="23"/>
      <c r="I4416" s="27"/>
      <c r="J4416" s="23"/>
      <c r="K4416" s="30"/>
      <c r="L4416" s="23"/>
      <c r="M4416" s="20"/>
      <c r="N4416" s="20"/>
      <c r="O4416" s="20"/>
      <c r="P4416" s="20"/>
    </row>
    <row r="4417">
      <c r="A4417" s="10"/>
      <c r="B4417" s="11"/>
      <c r="C4417" s="10"/>
      <c r="D4417" s="13"/>
      <c r="E4417" s="14"/>
      <c r="F4417" s="14"/>
      <c r="G4417" s="14"/>
      <c r="H4417" s="10"/>
      <c r="I4417" s="17"/>
      <c r="J4417" s="10"/>
      <c r="K4417" s="46"/>
      <c r="L4417" s="10"/>
      <c r="M4417" s="20"/>
      <c r="N4417" s="20"/>
      <c r="O4417" s="20"/>
      <c r="P4417" s="20"/>
    </row>
    <row r="4418">
      <c r="A4418" s="23"/>
      <c r="B4418" s="21"/>
      <c r="C4418" s="23"/>
      <c r="D4418" s="24"/>
      <c r="E4418" s="14"/>
      <c r="F4418" s="14"/>
      <c r="G4418" s="14"/>
      <c r="H4418" s="23"/>
      <c r="I4418" s="27"/>
      <c r="J4418" s="23"/>
      <c r="K4418" s="30"/>
      <c r="L4418" s="23"/>
      <c r="M4418" s="20"/>
      <c r="N4418" s="20"/>
      <c r="O4418" s="20"/>
      <c r="P4418" s="20"/>
    </row>
    <row r="4419">
      <c r="A4419" s="10"/>
      <c r="B4419" s="11"/>
      <c r="C4419" s="10"/>
      <c r="D4419" s="13"/>
      <c r="E4419" s="14"/>
      <c r="F4419" s="14"/>
      <c r="G4419" s="14"/>
      <c r="H4419" s="10"/>
      <c r="I4419" s="17"/>
      <c r="J4419" s="10"/>
      <c r="K4419" s="46"/>
      <c r="L4419" s="10"/>
      <c r="M4419" s="20"/>
      <c r="N4419" s="20"/>
      <c r="O4419" s="20"/>
      <c r="P4419" s="20"/>
    </row>
    <row r="4420">
      <c r="A4420" s="23"/>
      <c r="B4420" s="21"/>
      <c r="C4420" s="23"/>
      <c r="D4420" s="24"/>
      <c r="E4420" s="14"/>
      <c r="F4420" s="14"/>
      <c r="G4420" s="14"/>
      <c r="H4420" s="23"/>
      <c r="I4420" s="27"/>
      <c r="J4420" s="23"/>
      <c r="K4420" s="30"/>
      <c r="L4420" s="23"/>
      <c r="M4420" s="20"/>
      <c r="N4420" s="20"/>
      <c r="O4420" s="20"/>
      <c r="P4420" s="20"/>
    </row>
    <row r="4421">
      <c r="A4421" s="10"/>
      <c r="B4421" s="11"/>
      <c r="C4421" s="10"/>
      <c r="D4421" s="13"/>
      <c r="E4421" s="14"/>
      <c r="F4421" s="14"/>
      <c r="G4421" s="14"/>
      <c r="H4421" s="10"/>
      <c r="I4421" s="17"/>
      <c r="J4421" s="10"/>
      <c r="K4421" s="46"/>
      <c r="L4421" s="10"/>
      <c r="M4421" s="20"/>
      <c r="N4421" s="20"/>
      <c r="O4421" s="20"/>
      <c r="P4421" s="20"/>
    </row>
    <row r="4422">
      <c r="A4422" s="23"/>
      <c r="B4422" s="21"/>
      <c r="C4422" s="23"/>
      <c r="D4422" s="24"/>
      <c r="E4422" s="14"/>
      <c r="F4422" s="14"/>
      <c r="G4422" s="14"/>
      <c r="H4422" s="23"/>
      <c r="I4422" s="27"/>
      <c r="J4422" s="23"/>
      <c r="K4422" s="30"/>
      <c r="L4422" s="23"/>
      <c r="M4422" s="20"/>
      <c r="N4422" s="20"/>
      <c r="O4422" s="20"/>
      <c r="P4422" s="20"/>
    </row>
    <row r="4423">
      <c r="A4423" s="10"/>
      <c r="B4423" s="11"/>
      <c r="C4423" s="10"/>
      <c r="D4423" s="13"/>
      <c r="E4423" s="14"/>
      <c r="F4423" s="14"/>
      <c r="G4423" s="14"/>
      <c r="H4423" s="10"/>
      <c r="I4423" s="17"/>
      <c r="J4423" s="10"/>
      <c r="K4423" s="46"/>
      <c r="L4423" s="10"/>
      <c r="M4423" s="20"/>
      <c r="N4423" s="20"/>
      <c r="O4423" s="20"/>
      <c r="P4423" s="20"/>
    </row>
    <row r="4424">
      <c r="A4424" s="23"/>
      <c r="B4424" s="21"/>
      <c r="C4424" s="23"/>
      <c r="D4424" s="24"/>
      <c r="E4424" s="14"/>
      <c r="F4424" s="14"/>
      <c r="G4424" s="14"/>
      <c r="H4424" s="23"/>
      <c r="I4424" s="27"/>
      <c r="J4424" s="23"/>
      <c r="K4424" s="30"/>
      <c r="L4424" s="23"/>
      <c r="M4424" s="20"/>
      <c r="N4424" s="20"/>
      <c r="O4424" s="20"/>
      <c r="P4424" s="20"/>
    </row>
    <row r="4425">
      <c r="A4425" s="10"/>
      <c r="B4425" s="11"/>
      <c r="C4425" s="10"/>
      <c r="D4425" s="13"/>
      <c r="E4425" s="14"/>
      <c r="F4425" s="14"/>
      <c r="G4425" s="14"/>
      <c r="H4425" s="10"/>
      <c r="I4425" s="17"/>
      <c r="J4425" s="10"/>
      <c r="K4425" s="46"/>
      <c r="L4425" s="10"/>
      <c r="M4425" s="20"/>
      <c r="N4425" s="20"/>
      <c r="O4425" s="20"/>
      <c r="P4425" s="20"/>
    </row>
    <row r="4426">
      <c r="A4426" s="23"/>
      <c r="B4426" s="21"/>
      <c r="C4426" s="23"/>
      <c r="D4426" s="24"/>
      <c r="E4426" s="14"/>
      <c r="F4426" s="14"/>
      <c r="G4426" s="14"/>
      <c r="H4426" s="23"/>
      <c r="I4426" s="27"/>
      <c r="J4426" s="23"/>
      <c r="K4426" s="30"/>
      <c r="L4426" s="23"/>
      <c r="M4426" s="20"/>
      <c r="N4426" s="20"/>
      <c r="O4426" s="20"/>
      <c r="P4426" s="20"/>
    </row>
    <row r="4427">
      <c r="A4427" s="10"/>
      <c r="B4427" s="11"/>
      <c r="C4427" s="10"/>
      <c r="D4427" s="13"/>
      <c r="E4427" s="14"/>
      <c r="F4427" s="14"/>
      <c r="G4427" s="14"/>
      <c r="H4427" s="10"/>
      <c r="I4427" s="17"/>
      <c r="J4427" s="10"/>
      <c r="K4427" s="46"/>
      <c r="L4427" s="10"/>
      <c r="M4427" s="20"/>
      <c r="N4427" s="20"/>
      <c r="O4427" s="20"/>
      <c r="P4427" s="20"/>
    </row>
    <row r="4428">
      <c r="A4428" s="23"/>
      <c r="B4428" s="21"/>
      <c r="C4428" s="23"/>
      <c r="D4428" s="24"/>
      <c r="E4428" s="14"/>
      <c r="F4428" s="14"/>
      <c r="G4428" s="14"/>
      <c r="H4428" s="23"/>
      <c r="I4428" s="27"/>
      <c r="J4428" s="23"/>
      <c r="K4428" s="30"/>
      <c r="L4428" s="23"/>
      <c r="M4428" s="20"/>
      <c r="N4428" s="20"/>
      <c r="O4428" s="20"/>
      <c r="P4428" s="20"/>
    </row>
    <row r="4429">
      <c r="A4429" s="10"/>
      <c r="B4429" s="11"/>
      <c r="C4429" s="10"/>
      <c r="D4429" s="13"/>
      <c r="E4429" s="14"/>
      <c r="F4429" s="14"/>
      <c r="G4429" s="14"/>
      <c r="H4429" s="10"/>
      <c r="I4429" s="17"/>
      <c r="J4429" s="10"/>
      <c r="K4429" s="46"/>
      <c r="L4429" s="10"/>
      <c r="M4429" s="20"/>
      <c r="N4429" s="20"/>
      <c r="O4429" s="20"/>
      <c r="P4429" s="20"/>
    </row>
    <row r="4430">
      <c r="A4430" s="23"/>
      <c r="B4430" s="21"/>
      <c r="C4430" s="23"/>
      <c r="D4430" s="24"/>
      <c r="E4430" s="14"/>
      <c r="F4430" s="14"/>
      <c r="G4430" s="14"/>
      <c r="H4430" s="23"/>
      <c r="I4430" s="27"/>
      <c r="J4430" s="23"/>
      <c r="K4430" s="30"/>
      <c r="L4430" s="23"/>
      <c r="M4430" s="20"/>
      <c r="N4430" s="20"/>
      <c r="O4430" s="20"/>
      <c r="P4430" s="20"/>
    </row>
    <row r="4431">
      <c r="A4431" s="10"/>
      <c r="B4431" s="11"/>
      <c r="C4431" s="10"/>
      <c r="D4431" s="13"/>
      <c r="E4431" s="14"/>
      <c r="F4431" s="14"/>
      <c r="G4431" s="14"/>
      <c r="H4431" s="10"/>
      <c r="I4431" s="17"/>
      <c r="J4431" s="10"/>
      <c r="K4431" s="46"/>
      <c r="L4431" s="10"/>
      <c r="M4431" s="20"/>
      <c r="N4431" s="20"/>
      <c r="O4431" s="20"/>
      <c r="P4431" s="20"/>
    </row>
    <row r="4432">
      <c r="A4432" s="23"/>
      <c r="B4432" s="21"/>
      <c r="C4432" s="23"/>
      <c r="D4432" s="24"/>
      <c r="E4432" s="14"/>
      <c r="F4432" s="14"/>
      <c r="G4432" s="14"/>
      <c r="H4432" s="23"/>
      <c r="I4432" s="27"/>
      <c r="J4432" s="23"/>
      <c r="K4432" s="30"/>
      <c r="L4432" s="23"/>
      <c r="M4432" s="20"/>
      <c r="N4432" s="20"/>
      <c r="O4432" s="20"/>
      <c r="P4432" s="20"/>
    </row>
    <row r="4433">
      <c r="A4433" s="10"/>
      <c r="B4433" s="11"/>
      <c r="C4433" s="10"/>
      <c r="D4433" s="13"/>
      <c r="E4433" s="14"/>
      <c r="F4433" s="14"/>
      <c r="G4433" s="14"/>
      <c r="H4433" s="10"/>
      <c r="I4433" s="17"/>
      <c r="J4433" s="10"/>
      <c r="K4433" s="46"/>
      <c r="L4433" s="10"/>
      <c r="M4433" s="20"/>
      <c r="N4433" s="20"/>
      <c r="O4433" s="20"/>
      <c r="P4433" s="20"/>
    </row>
    <row r="4434">
      <c r="A4434" s="23"/>
      <c r="B4434" s="21"/>
      <c r="C4434" s="23"/>
      <c r="D4434" s="24"/>
      <c r="E4434" s="14"/>
      <c r="F4434" s="14"/>
      <c r="G4434" s="14"/>
      <c r="H4434" s="23"/>
      <c r="I4434" s="27"/>
      <c r="J4434" s="23"/>
      <c r="K4434" s="30"/>
      <c r="L4434" s="23"/>
      <c r="M4434" s="20"/>
      <c r="N4434" s="20"/>
      <c r="O4434" s="20"/>
      <c r="P4434" s="20"/>
    </row>
    <row r="4435">
      <c r="A4435" s="10"/>
      <c r="B4435" s="11"/>
      <c r="C4435" s="10"/>
      <c r="D4435" s="13"/>
      <c r="E4435" s="14"/>
      <c r="F4435" s="14"/>
      <c r="G4435" s="14"/>
      <c r="H4435" s="10"/>
      <c r="I4435" s="17"/>
      <c r="J4435" s="10"/>
      <c r="K4435" s="46"/>
      <c r="L4435" s="10"/>
      <c r="M4435" s="20"/>
      <c r="N4435" s="20"/>
      <c r="O4435" s="20"/>
      <c r="P4435" s="20"/>
    </row>
    <row r="4436">
      <c r="A4436" s="23"/>
      <c r="B4436" s="21"/>
      <c r="C4436" s="23"/>
      <c r="D4436" s="24"/>
      <c r="E4436" s="14"/>
      <c r="F4436" s="14"/>
      <c r="G4436" s="14"/>
      <c r="H4436" s="23"/>
      <c r="I4436" s="27"/>
      <c r="J4436" s="23"/>
      <c r="K4436" s="30"/>
      <c r="L4436" s="23"/>
      <c r="M4436" s="20"/>
      <c r="N4436" s="20"/>
      <c r="O4436" s="20"/>
      <c r="P4436" s="20"/>
    </row>
    <row r="4437">
      <c r="A4437" s="10"/>
      <c r="B4437" s="11"/>
      <c r="C4437" s="10"/>
      <c r="D4437" s="13"/>
      <c r="E4437" s="14"/>
      <c r="F4437" s="14"/>
      <c r="G4437" s="14"/>
      <c r="H4437" s="10"/>
      <c r="I4437" s="17"/>
      <c r="J4437" s="10"/>
      <c r="K4437" s="46"/>
      <c r="L4437" s="10"/>
      <c r="M4437" s="20"/>
      <c r="N4437" s="20"/>
      <c r="O4437" s="20"/>
      <c r="P4437" s="20"/>
    </row>
    <row r="4438">
      <c r="A4438" s="23"/>
      <c r="B4438" s="21"/>
      <c r="C4438" s="23"/>
      <c r="D4438" s="24"/>
      <c r="E4438" s="14"/>
      <c r="F4438" s="14"/>
      <c r="G4438" s="14"/>
      <c r="H4438" s="23"/>
      <c r="I4438" s="27"/>
      <c r="J4438" s="23"/>
      <c r="K4438" s="30"/>
      <c r="L4438" s="23"/>
      <c r="M4438" s="20"/>
      <c r="N4438" s="20"/>
      <c r="O4438" s="20"/>
      <c r="P4438" s="20"/>
    </row>
    <row r="4439">
      <c r="A4439" s="10"/>
      <c r="B4439" s="11"/>
      <c r="C4439" s="10"/>
      <c r="D4439" s="13"/>
      <c r="E4439" s="14"/>
      <c r="F4439" s="14"/>
      <c r="G4439" s="14"/>
      <c r="H4439" s="10"/>
      <c r="I4439" s="17"/>
      <c r="J4439" s="10"/>
      <c r="K4439" s="46"/>
      <c r="L4439" s="10"/>
      <c r="M4439" s="20"/>
      <c r="N4439" s="20"/>
      <c r="O4439" s="20"/>
      <c r="P4439" s="20"/>
    </row>
    <row r="4440">
      <c r="A4440" s="23"/>
      <c r="B4440" s="21"/>
      <c r="C4440" s="23"/>
      <c r="D4440" s="24"/>
      <c r="E4440" s="14"/>
      <c r="F4440" s="14"/>
      <c r="G4440" s="14"/>
      <c r="H4440" s="23"/>
      <c r="I4440" s="27"/>
      <c r="J4440" s="23"/>
      <c r="K4440" s="30"/>
      <c r="L4440" s="23"/>
      <c r="M4440" s="20"/>
      <c r="N4440" s="20"/>
      <c r="O4440" s="20"/>
      <c r="P4440" s="20"/>
    </row>
    <row r="4441">
      <c r="A4441" s="10"/>
      <c r="B4441" s="11"/>
      <c r="C4441" s="10"/>
      <c r="D4441" s="13"/>
      <c r="E4441" s="14"/>
      <c r="F4441" s="14"/>
      <c r="G4441" s="14"/>
      <c r="H4441" s="10"/>
      <c r="I4441" s="17"/>
      <c r="J4441" s="10"/>
      <c r="K4441" s="46"/>
      <c r="L4441" s="10"/>
      <c r="M4441" s="20"/>
      <c r="N4441" s="20"/>
      <c r="O4441" s="20"/>
      <c r="P4441" s="20"/>
    </row>
    <row r="4442">
      <c r="A4442" s="23"/>
      <c r="B4442" s="21"/>
      <c r="C4442" s="23"/>
      <c r="D4442" s="24"/>
      <c r="E4442" s="14"/>
      <c r="F4442" s="14"/>
      <c r="G4442" s="14"/>
      <c r="H4442" s="23"/>
      <c r="I4442" s="27"/>
      <c r="J4442" s="23"/>
      <c r="K4442" s="30"/>
      <c r="L4442" s="23"/>
      <c r="M4442" s="20"/>
      <c r="N4442" s="20"/>
      <c r="O4442" s="20"/>
      <c r="P4442" s="20"/>
    </row>
    <row r="4443">
      <c r="A4443" s="10"/>
      <c r="B4443" s="11"/>
      <c r="C4443" s="10"/>
      <c r="D4443" s="13"/>
      <c r="E4443" s="14"/>
      <c r="F4443" s="14"/>
      <c r="G4443" s="14"/>
      <c r="H4443" s="10"/>
      <c r="I4443" s="17"/>
      <c r="J4443" s="10"/>
      <c r="K4443" s="46"/>
      <c r="L4443" s="10"/>
      <c r="M4443" s="20"/>
      <c r="N4443" s="20"/>
      <c r="O4443" s="20"/>
      <c r="P4443" s="20"/>
    </row>
    <row r="4444">
      <c r="A4444" s="23"/>
      <c r="B4444" s="21"/>
      <c r="C4444" s="23"/>
      <c r="D4444" s="24"/>
      <c r="E4444" s="14"/>
      <c r="F4444" s="14"/>
      <c r="G4444" s="14"/>
      <c r="H4444" s="23"/>
      <c r="I4444" s="27"/>
      <c r="J4444" s="23"/>
      <c r="K4444" s="30"/>
      <c r="L4444" s="23"/>
      <c r="M4444" s="20"/>
      <c r="N4444" s="20"/>
      <c r="O4444" s="20"/>
      <c r="P4444" s="20"/>
    </row>
    <row r="4445">
      <c r="A4445" s="10"/>
      <c r="B4445" s="11"/>
      <c r="C4445" s="10"/>
      <c r="D4445" s="13"/>
      <c r="E4445" s="14"/>
      <c r="F4445" s="14"/>
      <c r="G4445" s="14"/>
      <c r="H4445" s="10"/>
      <c r="I4445" s="17"/>
      <c r="J4445" s="10"/>
      <c r="K4445" s="46"/>
      <c r="L4445" s="10"/>
      <c r="M4445" s="20"/>
      <c r="N4445" s="20"/>
      <c r="O4445" s="20"/>
      <c r="P4445" s="20"/>
    </row>
    <row r="4446">
      <c r="A4446" s="23"/>
      <c r="B4446" s="21"/>
      <c r="C4446" s="23"/>
      <c r="D4446" s="24"/>
      <c r="E4446" s="14"/>
      <c r="F4446" s="14"/>
      <c r="G4446" s="14"/>
      <c r="H4446" s="23"/>
      <c r="I4446" s="27"/>
      <c r="J4446" s="23"/>
      <c r="K4446" s="30"/>
      <c r="L4446" s="23"/>
      <c r="M4446" s="20"/>
      <c r="N4446" s="20"/>
      <c r="O4446" s="20"/>
      <c r="P4446" s="20"/>
    </row>
    <row r="4447">
      <c r="A4447" s="10"/>
      <c r="B4447" s="11"/>
      <c r="C4447" s="10"/>
      <c r="D4447" s="13"/>
      <c r="E4447" s="14"/>
      <c r="F4447" s="14"/>
      <c r="G4447" s="14"/>
      <c r="H4447" s="10"/>
      <c r="I4447" s="17"/>
      <c r="J4447" s="10"/>
      <c r="K4447" s="46"/>
      <c r="L4447" s="10"/>
      <c r="M4447" s="20"/>
      <c r="N4447" s="20"/>
      <c r="O4447" s="20"/>
      <c r="P4447" s="20"/>
    </row>
    <row r="4448">
      <c r="A4448" s="23"/>
      <c r="B4448" s="21"/>
      <c r="C4448" s="23"/>
      <c r="D4448" s="24"/>
      <c r="E4448" s="14"/>
      <c r="F4448" s="14"/>
      <c r="G4448" s="14"/>
      <c r="H4448" s="23"/>
      <c r="I4448" s="27"/>
      <c r="J4448" s="23"/>
      <c r="K4448" s="30"/>
      <c r="L4448" s="23"/>
      <c r="M4448" s="20"/>
      <c r="N4448" s="20"/>
      <c r="O4448" s="20"/>
      <c r="P4448" s="20"/>
    </row>
    <row r="4449">
      <c r="A4449" s="10"/>
      <c r="B4449" s="11"/>
      <c r="C4449" s="10"/>
      <c r="D4449" s="13"/>
      <c r="E4449" s="14"/>
      <c r="F4449" s="14"/>
      <c r="G4449" s="14"/>
      <c r="H4449" s="10"/>
      <c r="I4449" s="17"/>
      <c r="J4449" s="10"/>
      <c r="K4449" s="46"/>
      <c r="L4449" s="10"/>
      <c r="M4449" s="20"/>
      <c r="N4449" s="20"/>
      <c r="O4449" s="20"/>
      <c r="P4449" s="20"/>
    </row>
    <row r="4450">
      <c r="A4450" s="23"/>
      <c r="B4450" s="21"/>
      <c r="C4450" s="23"/>
      <c r="D4450" s="24"/>
      <c r="E4450" s="14"/>
      <c r="F4450" s="14"/>
      <c r="G4450" s="14"/>
      <c r="H4450" s="23"/>
      <c r="I4450" s="27"/>
      <c r="J4450" s="23"/>
      <c r="K4450" s="30"/>
      <c r="L4450" s="23"/>
      <c r="M4450" s="20"/>
      <c r="N4450" s="20"/>
      <c r="O4450" s="20"/>
      <c r="P4450" s="20"/>
    </row>
    <row r="4451">
      <c r="A4451" s="10"/>
      <c r="B4451" s="11"/>
      <c r="C4451" s="10"/>
      <c r="D4451" s="13"/>
      <c r="E4451" s="14"/>
      <c r="F4451" s="14"/>
      <c r="G4451" s="14"/>
      <c r="H4451" s="10"/>
      <c r="I4451" s="17"/>
      <c r="J4451" s="10"/>
      <c r="K4451" s="46"/>
      <c r="L4451" s="10"/>
      <c r="M4451" s="20"/>
      <c r="N4451" s="20"/>
      <c r="O4451" s="20"/>
      <c r="P4451" s="20"/>
    </row>
    <row r="4452">
      <c r="A4452" s="23"/>
      <c r="B4452" s="21"/>
      <c r="C4452" s="23"/>
      <c r="D4452" s="24"/>
      <c r="E4452" s="14"/>
      <c r="F4452" s="14"/>
      <c r="G4452" s="14"/>
      <c r="H4452" s="23"/>
      <c r="I4452" s="27"/>
      <c r="J4452" s="23"/>
      <c r="K4452" s="30"/>
      <c r="L4452" s="23"/>
      <c r="M4452" s="20"/>
      <c r="N4452" s="20"/>
      <c r="O4452" s="20"/>
      <c r="P4452" s="20"/>
    </row>
    <row r="4453">
      <c r="A4453" s="10"/>
      <c r="B4453" s="11"/>
      <c r="C4453" s="10"/>
      <c r="D4453" s="13"/>
      <c r="E4453" s="14"/>
      <c r="F4453" s="14"/>
      <c r="G4453" s="14"/>
      <c r="H4453" s="10"/>
      <c r="I4453" s="17"/>
      <c r="J4453" s="10"/>
      <c r="K4453" s="46"/>
      <c r="L4453" s="10"/>
      <c r="M4453" s="20"/>
      <c r="N4453" s="20"/>
      <c r="O4453" s="20"/>
      <c r="P4453" s="20"/>
    </row>
    <row r="4454">
      <c r="A4454" s="23"/>
      <c r="B4454" s="21"/>
      <c r="C4454" s="23"/>
      <c r="D4454" s="24"/>
      <c r="E4454" s="14"/>
      <c r="F4454" s="14"/>
      <c r="G4454" s="14"/>
      <c r="H4454" s="23"/>
      <c r="I4454" s="27"/>
      <c r="J4454" s="23"/>
      <c r="K4454" s="30"/>
      <c r="L4454" s="23"/>
      <c r="M4454" s="20"/>
      <c r="N4454" s="20"/>
      <c r="O4454" s="20"/>
      <c r="P4454" s="20"/>
    </row>
    <row r="4455">
      <c r="A4455" s="10"/>
      <c r="B4455" s="11"/>
      <c r="C4455" s="10"/>
      <c r="D4455" s="13"/>
      <c r="E4455" s="14"/>
      <c r="F4455" s="14"/>
      <c r="G4455" s="14"/>
      <c r="H4455" s="10"/>
      <c r="I4455" s="17"/>
      <c r="J4455" s="10"/>
      <c r="K4455" s="46"/>
      <c r="L4455" s="10"/>
      <c r="M4455" s="20"/>
      <c r="N4455" s="20"/>
      <c r="O4455" s="20"/>
      <c r="P4455" s="20"/>
    </row>
    <row r="4456">
      <c r="A4456" s="23"/>
      <c r="B4456" s="21"/>
      <c r="C4456" s="23"/>
      <c r="D4456" s="24"/>
      <c r="E4456" s="14"/>
      <c r="F4456" s="14"/>
      <c r="G4456" s="14"/>
      <c r="H4456" s="23"/>
      <c r="I4456" s="27"/>
      <c r="J4456" s="23"/>
      <c r="K4456" s="30"/>
      <c r="L4456" s="23"/>
      <c r="M4456" s="20"/>
      <c r="N4456" s="20"/>
      <c r="O4456" s="20"/>
      <c r="P4456" s="20"/>
    </row>
    <row r="4457">
      <c r="A4457" s="10"/>
      <c r="B4457" s="11"/>
      <c r="C4457" s="10"/>
      <c r="D4457" s="13"/>
      <c r="E4457" s="14"/>
      <c r="F4457" s="14"/>
      <c r="G4457" s="14"/>
      <c r="H4457" s="10"/>
      <c r="I4457" s="17"/>
      <c r="J4457" s="10"/>
      <c r="K4457" s="46"/>
      <c r="L4457" s="10"/>
      <c r="M4457" s="20"/>
      <c r="N4457" s="20"/>
      <c r="O4457" s="20"/>
      <c r="P4457" s="20"/>
    </row>
    <row r="4458">
      <c r="A4458" s="23"/>
      <c r="B4458" s="21"/>
      <c r="C4458" s="23"/>
      <c r="D4458" s="24"/>
      <c r="E4458" s="14"/>
      <c r="F4458" s="14"/>
      <c r="G4458" s="14"/>
      <c r="H4458" s="23"/>
      <c r="I4458" s="27"/>
      <c r="J4458" s="23"/>
      <c r="K4458" s="30"/>
      <c r="L4458" s="23"/>
      <c r="M4458" s="20"/>
      <c r="N4458" s="20"/>
      <c r="O4458" s="20"/>
      <c r="P4458" s="20"/>
    </row>
    <row r="4459">
      <c r="A4459" s="10"/>
      <c r="B4459" s="11"/>
      <c r="C4459" s="10"/>
      <c r="D4459" s="13"/>
      <c r="E4459" s="14"/>
      <c r="F4459" s="14"/>
      <c r="G4459" s="14"/>
      <c r="H4459" s="10"/>
      <c r="I4459" s="17"/>
      <c r="J4459" s="10"/>
      <c r="K4459" s="46"/>
      <c r="L4459" s="10"/>
      <c r="M4459" s="20"/>
      <c r="N4459" s="20"/>
      <c r="O4459" s="20"/>
      <c r="P4459" s="20"/>
    </row>
    <row r="4460">
      <c r="A4460" s="23"/>
      <c r="B4460" s="21"/>
      <c r="C4460" s="23"/>
      <c r="D4460" s="24"/>
      <c r="E4460" s="14"/>
      <c r="F4460" s="14"/>
      <c r="G4460" s="14"/>
      <c r="H4460" s="23"/>
      <c r="I4460" s="27"/>
      <c r="J4460" s="23"/>
      <c r="K4460" s="30"/>
      <c r="L4460" s="23"/>
      <c r="M4460" s="20"/>
      <c r="N4460" s="20"/>
      <c r="O4460" s="20"/>
      <c r="P4460" s="20"/>
    </row>
    <row r="4461">
      <c r="A4461" s="10"/>
      <c r="B4461" s="11"/>
      <c r="C4461" s="10"/>
      <c r="D4461" s="13"/>
      <c r="E4461" s="14"/>
      <c r="F4461" s="14"/>
      <c r="G4461" s="14"/>
      <c r="H4461" s="10"/>
      <c r="I4461" s="17"/>
      <c r="J4461" s="10"/>
      <c r="K4461" s="46"/>
      <c r="L4461" s="10"/>
      <c r="M4461" s="20"/>
      <c r="N4461" s="20"/>
      <c r="O4461" s="20"/>
      <c r="P4461" s="20"/>
    </row>
    <row r="4462">
      <c r="A4462" s="23"/>
      <c r="B4462" s="21"/>
      <c r="C4462" s="23"/>
      <c r="D4462" s="24"/>
      <c r="E4462" s="14"/>
      <c r="F4462" s="14"/>
      <c r="G4462" s="14"/>
      <c r="H4462" s="23"/>
      <c r="I4462" s="27"/>
      <c r="J4462" s="23"/>
      <c r="K4462" s="30"/>
      <c r="L4462" s="23"/>
      <c r="M4462" s="20"/>
      <c r="N4462" s="20"/>
      <c r="O4462" s="20"/>
      <c r="P4462" s="20"/>
    </row>
    <row r="4463">
      <c r="A4463" s="10"/>
      <c r="B4463" s="11"/>
      <c r="C4463" s="10"/>
      <c r="D4463" s="13"/>
      <c r="E4463" s="14"/>
      <c r="F4463" s="14"/>
      <c r="G4463" s="14"/>
      <c r="H4463" s="10"/>
      <c r="I4463" s="17"/>
      <c r="J4463" s="10"/>
      <c r="K4463" s="46"/>
      <c r="L4463" s="10"/>
      <c r="M4463" s="20"/>
      <c r="N4463" s="20"/>
      <c r="O4463" s="20"/>
      <c r="P4463" s="20"/>
    </row>
    <row r="4464">
      <c r="A4464" s="23"/>
      <c r="B4464" s="21"/>
      <c r="C4464" s="23"/>
      <c r="D4464" s="24"/>
      <c r="E4464" s="14"/>
      <c r="F4464" s="14"/>
      <c r="G4464" s="14"/>
      <c r="H4464" s="23"/>
      <c r="I4464" s="27"/>
      <c r="J4464" s="23"/>
      <c r="K4464" s="30"/>
      <c r="L4464" s="23"/>
      <c r="M4464" s="20"/>
      <c r="N4464" s="20"/>
      <c r="O4464" s="20"/>
      <c r="P4464" s="20"/>
    </row>
    <row r="4465">
      <c r="A4465" s="10"/>
      <c r="B4465" s="11"/>
      <c r="C4465" s="10"/>
      <c r="D4465" s="13"/>
      <c r="E4465" s="14"/>
      <c r="F4465" s="14"/>
      <c r="G4465" s="14"/>
      <c r="H4465" s="10"/>
      <c r="I4465" s="17"/>
      <c r="J4465" s="10"/>
      <c r="K4465" s="46"/>
      <c r="L4465" s="10"/>
      <c r="M4465" s="20"/>
      <c r="N4465" s="20"/>
      <c r="O4465" s="20"/>
      <c r="P4465" s="20"/>
    </row>
    <row r="4466">
      <c r="A4466" s="23"/>
      <c r="B4466" s="21"/>
      <c r="C4466" s="23"/>
      <c r="D4466" s="24"/>
      <c r="E4466" s="14"/>
      <c r="F4466" s="14"/>
      <c r="G4466" s="14"/>
      <c r="H4466" s="23"/>
      <c r="I4466" s="27"/>
      <c r="J4466" s="23"/>
      <c r="K4466" s="30"/>
      <c r="L4466" s="23"/>
      <c r="M4466" s="20"/>
      <c r="N4466" s="20"/>
      <c r="O4466" s="20"/>
      <c r="P4466" s="20"/>
    </row>
    <row r="4467">
      <c r="A4467" s="10"/>
      <c r="B4467" s="11"/>
      <c r="C4467" s="10"/>
      <c r="D4467" s="13"/>
      <c r="E4467" s="14"/>
      <c r="F4467" s="14"/>
      <c r="G4467" s="14"/>
      <c r="H4467" s="10"/>
      <c r="I4467" s="17"/>
      <c r="J4467" s="10"/>
      <c r="K4467" s="46"/>
      <c r="L4467" s="10"/>
      <c r="M4467" s="20"/>
      <c r="N4467" s="20"/>
      <c r="O4467" s="20"/>
      <c r="P4467" s="20"/>
    </row>
    <row r="4468">
      <c r="A4468" s="23"/>
      <c r="B4468" s="21"/>
      <c r="C4468" s="23"/>
      <c r="D4468" s="24"/>
      <c r="E4468" s="14"/>
      <c r="F4468" s="14"/>
      <c r="G4468" s="14"/>
      <c r="H4468" s="23"/>
      <c r="I4468" s="27"/>
      <c r="J4468" s="23"/>
      <c r="K4468" s="30"/>
      <c r="L4468" s="23"/>
      <c r="M4468" s="20"/>
      <c r="N4468" s="20"/>
      <c r="O4468" s="20"/>
      <c r="P4468" s="20"/>
    </row>
    <row r="4469">
      <c r="A4469" s="10"/>
      <c r="B4469" s="11"/>
      <c r="C4469" s="10"/>
      <c r="D4469" s="13"/>
      <c r="E4469" s="14"/>
      <c r="F4469" s="14"/>
      <c r="G4469" s="14"/>
      <c r="H4469" s="10"/>
      <c r="I4469" s="17"/>
      <c r="J4469" s="10"/>
      <c r="K4469" s="46"/>
      <c r="L4469" s="10"/>
      <c r="M4469" s="20"/>
      <c r="N4469" s="20"/>
      <c r="O4469" s="20"/>
      <c r="P4469" s="20"/>
    </row>
    <row r="4470">
      <c r="A4470" s="23"/>
      <c r="B4470" s="21"/>
      <c r="C4470" s="23"/>
      <c r="D4470" s="24"/>
      <c r="E4470" s="14"/>
      <c r="F4470" s="14"/>
      <c r="G4470" s="14"/>
      <c r="H4470" s="23"/>
      <c r="I4470" s="27"/>
      <c r="J4470" s="23"/>
      <c r="K4470" s="30"/>
      <c r="L4470" s="23"/>
      <c r="M4470" s="20"/>
      <c r="N4470" s="20"/>
      <c r="O4470" s="20"/>
      <c r="P4470" s="20"/>
    </row>
    <row r="4471">
      <c r="A4471" s="10"/>
      <c r="B4471" s="11"/>
      <c r="C4471" s="10"/>
      <c r="D4471" s="13"/>
      <c r="E4471" s="14"/>
      <c r="F4471" s="14"/>
      <c r="G4471" s="14"/>
      <c r="H4471" s="10"/>
      <c r="I4471" s="17"/>
      <c r="J4471" s="10"/>
      <c r="K4471" s="46"/>
      <c r="L4471" s="10"/>
      <c r="M4471" s="20"/>
      <c r="N4471" s="20"/>
      <c r="O4471" s="20"/>
      <c r="P4471" s="20"/>
    </row>
    <row r="4472">
      <c r="A4472" s="23"/>
      <c r="B4472" s="21"/>
      <c r="C4472" s="23"/>
      <c r="D4472" s="24"/>
      <c r="E4472" s="14"/>
      <c r="F4472" s="14"/>
      <c r="G4472" s="14"/>
      <c r="H4472" s="23"/>
      <c r="I4472" s="27"/>
      <c r="J4472" s="23"/>
      <c r="K4472" s="30"/>
      <c r="L4472" s="23"/>
      <c r="M4472" s="20"/>
      <c r="N4472" s="20"/>
      <c r="O4472" s="20"/>
      <c r="P4472" s="20"/>
    </row>
    <row r="4473">
      <c r="A4473" s="10"/>
      <c r="B4473" s="11"/>
      <c r="C4473" s="10"/>
      <c r="D4473" s="13"/>
      <c r="E4473" s="14"/>
      <c r="F4473" s="14"/>
      <c r="G4473" s="14"/>
      <c r="H4473" s="10"/>
      <c r="I4473" s="17"/>
      <c r="J4473" s="10"/>
      <c r="K4473" s="46"/>
      <c r="L4473" s="10"/>
      <c r="M4473" s="20"/>
      <c r="N4473" s="20"/>
      <c r="O4473" s="20"/>
      <c r="P4473" s="20"/>
    </row>
    <row r="4474">
      <c r="A4474" s="23"/>
      <c r="B4474" s="21"/>
      <c r="C4474" s="23"/>
      <c r="D4474" s="24"/>
      <c r="E4474" s="14"/>
      <c r="F4474" s="14"/>
      <c r="G4474" s="14"/>
      <c r="H4474" s="23"/>
      <c r="I4474" s="27"/>
      <c r="J4474" s="23"/>
      <c r="K4474" s="30"/>
      <c r="L4474" s="23"/>
      <c r="M4474" s="20"/>
      <c r="N4474" s="20"/>
      <c r="O4474" s="20"/>
      <c r="P4474" s="20"/>
    </row>
    <row r="4475">
      <c r="A4475" s="10"/>
      <c r="B4475" s="11"/>
      <c r="C4475" s="10"/>
      <c r="D4475" s="13"/>
      <c r="E4475" s="14"/>
      <c r="F4475" s="14"/>
      <c r="G4475" s="14"/>
      <c r="H4475" s="10"/>
      <c r="I4475" s="17"/>
      <c r="J4475" s="10"/>
      <c r="K4475" s="46"/>
      <c r="L4475" s="10"/>
      <c r="M4475" s="20"/>
      <c r="N4475" s="20"/>
      <c r="O4475" s="20"/>
      <c r="P4475" s="20"/>
    </row>
    <row r="4476">
      <c r="A4476" s="23"/>
      <c r="B4476" s="21"/>
      <c r="C4476" s="23"/>
      <c r="D4476" s="24"/>
      <c r="E4476" s="14"/>
      <c r="F4476" s="14"/>
      <c r="G4476" s="14"/>
      <c r="H4476" s="23"/>
      <c r="I4476" s="27"/>
      <c r="J4476" s="23"/>
      <c r="K4476" s="30"/>
      <c r="L4476" s="23"/>
      <c r="M4476" s="20"/>
      <c r="N4476" s="20"/>
      <c r="O4476" s="20"/>
      <c r="P4476" s="20"/>
    </row>
    <row r="4477">
      <c r="A4477" s="10"/>
      <c r="B4477" s="11"/>
      <c r="C4477" s="10"/>
      <c r="D4477" s="13"/>
      <c r="E4477" s="14"/>
      <c r="F4477" s="14"/>
      <c r="G4477" s="14"/>
      <c r="H4477" s="10"/>
      <c r="I4477" s="17"/>
      <c r="J4477" s="10"/>
      <c r="K4477" s="46"/>
      <c r="L4477" s="10"/>
      <c r="M4477" s="20"/>
      <c r="N4477" s="20"/>
      <c r="O4477" s="20"/>
      <c r="P4477" s="20"/>
    </row>
    <row r="4478">
      <c r="A4478" s="23"/>
      <c r="B4478" s="21"/>
      <c r="C4478" s="23"/>
      <c r="D4478" s="24"/>
      <c r="E4478" s="14"/>
      <c r="F4478" s="14"/>
      <c r="G4478" s="14"/>
      <c r="H4478" s="23"/>
      <c r="I4478" s="27"/>
      <c r="J4478" s="23"/>
      <c r="K4478" s="30"/>
      <c r="L4478" s="23"/>
      <c r="M4478" s="20"/>
      <c r="N4478" s="20"/>
      <c r="O4478" s="20"/>
      <c r="P4478" s="20"/>
    </row>
    <row r="4479">
      <c r="A4479" s="10"/>
      <c r="B4479" s="11"/>
      <c r="C4479" s="10"/>
      <c r="D4479" s="13"/>
      <c r="E4479" s="14"/>
      <c r="F4479" s="14"/>
      <c r="G4479" s="14"/>
      <c r="H4479" s="10"/>
      <c r="I4479" s="17"/>
      <c r="J4479" s="10"/>
      <c r="K4479" s="46"/>
      <c r="L4479" s="10"/>
      <c r="M4479" s="20"/>
      <c r="N4479" s="20"/>
      <c r="O4479" s="20"/>
      <c r="P4479" s="20"/>
    </row>
    <row r="4480">
      <c r="A4480" s="23"/>
      <c r="B4480" s="21"/>
      <c r="C4480" s="23"/>
      <c r="D4480" s="24"/>
      <c r="E4480" s="14"/>
      <c r="F4480" s="14"/>
      <c r="G4480" s="14"/>
      <c r="H4480" s="23"/>
      <c r="I4480" s="27"/>
      <c r="J4480" s="23"/>
      <c r="K4480" s="30"/>
      <c r="L4480" s="23"/>
      <c r="M4480" s="20"/>
      <c r="N4480" s="20"/>
      <c r="O4480" s="20"/>
      <c r="P4480" s="20"/>
    </row>
    <row r="4481">
      <c r="A4481" s="10"/>
      <c r="B4481" s="11"/>
      <c r="C4481" s="10"/>
      <c r="D4481" s="13"/>
      <c r="E4481" s="14"/>
      <c r="F4481" s="14"/>
      <c r="G4481" s="14"/>
      <c r="H4481" s="10"/>
      <c r="I4481" s="17"/>
      <c r="J4481" s="10"/>
      <c r="K4481" s="46"/>
      <c r="L4481" s="10"/>
      <c r="M4481" s="20"/>
      <c r="N4481" s="20"/>
      <c r="O4481" s="20"/>
      <c r="P4481" s="20"/>
    </row>
    <row r="4482">
      <c r="A4482" s="23"/>
      <c r="B4482" s="21"/>
      <c r="C4482" s="23"/>
      <c r="D4482" s="24"/>
      <c r="E4482" s="14"/>
      <c r="F4482" s="14"/>
      <c r="G4482" s="14"/>
      <c r="H4482" s="23"/>
      <c r="I4482" s="27"/>
      <c r="J4482" s="23"/>
      <c r="K4482" s="30"/>
      <c r="L4482" s="23"/>
      <c r="M4482" s="20"/>
      <c r="N4482" s="20"/>
      <c r="O4482" s="20"/>
      <c r="P4482" s="20"/>
    </row>
    <row r="4483">
      <c r="A4483" s="10"/>
      <c r="B4483" s="11"/>
      <c r="C4483" s="10"/>
      <c r="D4483" s="13"/>
      <c r="E4483" s="14"/>
      <c r="F4483" s="14"/>
      <c r="G4483" s="14"/>
      <c r="H4483" s="10"/>
      <c r="I4483" s="17"/>
      <c r="J4483" s="10"/>
      <c r="K4483" s="46"/>
      <c r="L4483" s="10"/>
      <c r="M4483" s="20"/>
      <c r="N4483" s="20"/>
      <c r="O4483" s="20"/>
      <c r="P4483" s="20"/>
    </row>
    <row r="4484">
      <c r="A4484" s="23"/>
      <c r="B4484" s="21"/>
      <c r="C4484" s="23"/>
      <c r="D4484" s="24"/>
      <c r="E4484" s="14"/>
      <c r="F4484" s="14"/>
      <c r="G4484" s="14"/>
      <c r="H4484" s="23"/>
      <c r="I4484" s="27"/>
      <c r="J4484" s="23"/>
      <c r="K4484" s="30"/>
      <c r="L4484" s="23"/>
      <c r="M4484" s="20"/>
      <c r="N4484" s="20"/>
      <c r="O4484" s="20"/>
      <c r="P4484" s="20"/>
    </row>
    <row r="4485">
      <c r="A4485" s="10"/>
      <c r="B4485" s="11"/>
      <c r="C4485" s="10"/>
      <c r="D4485" s="13"/>
      <c r="E4485" s="14"/>
      <c r="F4485" s="14"/>
      <c r="G4485" s="14"/>
      <c r="H4485" s="10"/>
      <c r="I4485" s="17"/>
      <c r="J4485" s="10"/>
      <c r="K4485" s="46"/>
      <c r="L4485" s="10"/>
      <c r="M4485" s="20"/>
      <c r="N4485" s="20"/>
      <c r="O4485" s="20"/>
      <c r="P4485" s="20"/>
    </row>
    <row r="4486">
      <c r="A4486" s="23"/>
      <c r="B4486" s="21"/>
      <c r="C4486" s="23"/>
      <c r="D4486" s="24"/>
      <c r="E4486" s="14"/>
      <c r="F4486" s="14"/>
      <c r="G4486" s="14"/>
      <c r="H4486" s="23"/>
      <c r="I4486" s="27"/>
      <c r="J4486" s="23"/>
      <c r="K4486" s="30"/>
      <c r="L4486" s="23"/>
      <c r="M4486" s="20"/>
      <c r="N4486" s="20"/>
      <c r="O4486" s="20"/>
      <c r="P4486" s="20"/>
    </row>
    <row r="4487">
      <c r="A4487" s="10"/>
      <c r="B4487" s="11"/>
      <c r="C4487" s="10"/>
      <c r="D4487" s="13"/>
      <c r="E4487" s="14"/>
      <c r="F4487" s="14"/>
      <c r="G4487" s="14"/>
      <c r="H4487" s="10"/>
      <c r="I4487" s="17"/>
      <c r="J4487" s="10"/>
      <c r="K4487" s="46"/>
      <c r="L4487" s="10"/>
      <c r="M4487" s="20"/>
      <c r="N4487" s="20"/>
      <c r="O4487" s="20"/>
      <c r="P4487" s="20"/>
    </row>
    <row r="4488">
      <c r="A4488" s="23"/>
      <c r="B4488" s="21"/>
      <c r="C4488" s="23"/>
      <c r="D4488" s="24"/>
      <c r="E4488" s="14"/>
      <c r="F4488" s="14"/>
      <c r="G4488" s="14"/>
      <c r="H4488" s="23"/>
      <c r="I4488" s="27"/>
      <c r="J4488" s="23"/>
      <c r="K4488" s="30"/>
      <c r="L4488" s="23"/>
      <c r="M4488" s="20"/>
      <c r="N4488" s="20"/>
      <c r="O4488" s="20"/>
      <c r="P4488" s="20"/>
    </row>
    <row r="4489">
      <c r="A4489" s="10"/>
      <c r="B4489" s="11"/>
      <c r="C4489" s="10"/>
      <c r="D4489" s="13"/>
      <c r="E4489" s="14"/>
      <c r="F4489" s="14"/>
      <c r="G4489" s="14"/>
      <c r="H4489" s="10"/>
      <c r="I4489" s="17"/>
      <c r="J4489" s="10"/>
      <c r="K4489" s="46"/>
      <c r="L4489" s="10"/>
      <c r="M4489" s="20"/>
      <c r="N4489" s="20"/>
      <c r="O4489" s="20"/>
      <c r="P4489" s="20"/>
    </row>
    <row r="4490">
      <c r="A4490" s="23"/>
      <c r="B4490" s="21"/>
      <c r="C4490" s="23"/>
      <c r="D4490" s="24"/>
      <c r="E4490" s="14"/>
      <c r="F4490" s="14"/>
      <c r="G4490" s="14"/>
      <c r="H4490" s="23"/>
      <c r="I4490" s="27"/>
      <c r="J4490" s="23"/>
      <c r="K4490" s="30"/>
      <c r="L4490" s="23"/>
      <c r="M4490" s="20"/>
      <c r="N4490" s="20"/>
      <c r="O4490" s="20"/>
      <c r="P4490" s="20"/>
    </row>
    <row r="4491">
      <c r="A4491" s="10"/>
      <c r="B4491" s="11"/>
      <c r="C4491" s="10"/>
      <c r="D4491" s="13"/>
      <c r="E4491" s="14"/>
      <c r="F4491" s="14"/>
      <c r="G4491" s="14"/>
      <c r="H4491" s="10"/>
      <c r="I4491" s="17"/>
      <c r="J4491" s="10"/>
      <c r="K4491" s="46"/>
      <c r="L4491" s="10"/>
      <c r="M4491" s="20"/>
      <c r="N4491" s="20"/>
      <c r="O4491" s="20"/>
      <c r="P4491" s="20"/>
    </row>
    <row r="4492">
      <c r="A4492" s="23"/>
      <c r="B4492" s="21"/>
      <c r="C4492" s="23"/>
      <c r="D4492" s="24"/>
      <c r="E4492" s="14"/>
      <c r="F4492" s="14"/>
      <c r="G4492" s="14"/>
      <c r="H4492" s="23"/>
      <c r="I4492" s="27"/>
      <c r="J4492" s="23"/>
      <c r="K4492" s="30"/>
      <c r="L4492" s="23"/>
      <c r="M4492" s="20"/>
      <c r="N4492" s="20"/>
      <c r="O4492" s="20"/>
      <c r="P4492" s="20"/>
    </row>
    <row r="4493">
      <c r="A4493" s="10"/>
      <c r="B4493" s="11"/>
      <c r="C4493" s="10"/>
      <c r="D4493" s="13"/>
      <c r="E4493" s="14"/>
      <c r="F4493" s="14"/>
      <c r="G4493" s="14"/>
      <c r="H4493" s="10"/>
      <c r="I4493" s="17"/>
      <c r="J4493" s="10"/>
      <c r="K4493" s="46"/>
      <c r="L4493" s="10"/>
      <c r="M4493" s="20"/>
      <c r="N4493" s="20"/>
      <c r="O4493" s="20"/>
      <c r="P4493" s="20"/>
    </row>
    <row r="4494">
      <c r="A4494" s="23"/>
      <c r="B4494" s="21"/>
      <c r="C4494" s="23"/>
      <c r="D4494" s="24"/>
      <c r="E4494" s="14"/>
      <c r="F4494" s="14"/>
      <c r="G4494" s="14"/>
      <c r="H4494" s="23"/>
      <c r="I4494" s="27"/>
      <c r="J4494" s="23"/>
      <c r="K4494" s="30"/>
      <c r="L4494" s="23"/>
      <c r="M4494" s="20"/>
      <c r="N4494" s="20"/>
      <c r="O4494" s="20"/>
      <c r="P4494" s="20"/>
    </row>
    <row r="4495">
      <c r="A4495" s="10"/>
      <c r="B4495" s="11"/>
      <c r="C4495" s="10"/>
      <c r="D4495" s="13"/>
      <c r="E4495" s="14"/>
      <c r="F4495" s="14"/>
      <c r="G4495" s="14"/>
      <c r="H4495" s="10"/>
      <c r="I4495" s="17"/>
      <c r="J4495" s="10"/>
      <c r="K4495" s="46"/>
      <c r="L4495" s="10"/>
      <c r="M4495" s="20"/>
      <c r="N4495" s="20"/>
      <c r="O4495" s="20"/>
      <c r="P4495" s="20"/>
    </row>
    <row r="4496">
      <c r="A4496" s="23"/>
      <c r="B4496" s="21"/>
      <c r="C4496" s="23"/>
      <c r="D4496" s="24"/>
      <c r="E4496" s="14"/>
      <c r="F4496" s="14"/>
      <c r="G4496" s="14"/>
      <c r="H4496" s="23"/>
      <c r="I4496" s="27"/>
      <c r="J4496" s="23"/>
      <c r="K4496" s="30"/>
      <c r="L4496" s="23"/>
      <c r="M4496" s="20"/>
      <c r="N4496" s="20"/>
      <c r="O4496" s="20"/>
      <c r="P4496" s="20"/>
    </row>
    <row r="4497">
      <c r="A4497" s="10"/>
      <c r="B4497" s="11"/>
      <c r="C4497" s="10"/>
      <c r="D4497" s="13"/>
      <c r="E4497" s="14"/>
      <c r="F4497" s="14"/>
      <c r="G4497" s="14"/>
      <c r="H4497" s="10"/>
      <c r="I4497" s="17"/>
      <c r="J4497" s="10"/>
      <c r="K4497" s="46"/>
      <c r="L4497" s="10"/>
      <c r="M4497" s="20"/>
      <c r="N4497" s="20"/>
      <c r="O4497" s="20"/>
      <c r="P4497" s="20"/>
    </row>
    <row r="4498">
      <c r="A4498" s="23"/>
      <c r="B4498" s="21"/>
      <c r="C4498" s="23"/>
      <c r="D4498" s="24"/>
      <c r="E4498" s="14"/>
      <c r="F4498" s="14"/>
      <c r="G4498" s="14"/>
      <c r="H4498" s="23"/>
      <c r="I4498" s="27"/>
      <c r="J4498" s="23"/>
      <c r="K4498" s="30"/>
      <c r="L4498" s="23"/>
      <c r="M4498" s="20"/>
      <c r="N4498" s="20"/>
      <c r="O4498" s="20"/>
      <c r="P4498" s="20"/>
    </row>
    <row r="4499">
      <c r="A4499" s="10"/>
      <c r="B4499" s="11"/>
      <c r="C4499" s="10"/>
      <c r="D4499" s="13"/>
      <c r="E4499" s="14"/>
      <c r="F4499" s="14"/>
      <c r="G4499" s="14"/>
      <c r="H4499" s="10"/>
      <c r="I4499" s="17"/>
      <c r="J4499" s="10"/>
      <c r="K4499" s="46"/>
      <c r="L4499" s="10"/>
      <c r="M4499" s="20"/>
      <c r="N4499" s="20"/>
      <c r="O4499" s="20"/>
      <c r="P4499" s="20"/>
    </row>
    <row r="4500">
      <c r="A4500" s="23"/>
      <c r="B4500" s="21"/>
      <c r="C4500" s="23"/>
      <c r="D4500" s="24"/>
      <c r="E4500" s="14"/>
      <c r="F4500" s="14"/>
      <c r="G4500" s="14"/>
      <c r="H4500" s="23"/>
      <c r="I4500" s="27"/>
      <c r="J4500" s="23"/>
      <c r="K4500" s="30"/>
      <c r="L4500" s="23"/>
      <c r="M4500" s="20"/>
      <c r="N4500" s="20"/>
      <c r="O4500" s="20"/>
      <c r="P4500" s="20"/>
    </row>
    <row r="4501">
      <c r="A4501" s="10"/>
      <c r="B4501" s="11"/>
      <c r="C4501" s="10"/>
      <c r="D4501" s="13"/>
      <c r="E4501" s="14"/>
      <c r="F4501" s="14"/>
      <c r="G4501" s="14"/>
      <c r="H4501" s="10"/>
      <c r="I4501" s="17"/>
      <c r="J4501" s="10"/>
      <c r="K4501" s="46"/>
      <c r="L4501" s="10"/>
      <c r="M4501" s="20"/>
      <c r="N4501" s="20"/>
      <c r="O4501" s="20"/>
      <c r="P4501" s="20"/>
    </row>
    <row r="4502">
      <c r="A4502" s="23"/>
      <c r="B4502" s="21"/>
      <c r="C4502" s="23"/>
      <c r="D4502" s="24"/>
      <c r="E4502" s="14"/>
      <c r="F4502" s="14"/>
      <c r="G4502" s="14"/>
      <c r="H4502" s="23"/>
      <c r="I4502" s="27"/>
      <c r="J4502" s="23"/>
      <c r="K4502" s="30"/>
      <c r="L4502" s="23"/>
      <c r="M4502" s="20"/>
      <c r="N4502" s="20"/>
      <c r="O4502" s="20"/>
      <c r="P4502" s="20"/>
    </row>
    <row r="4503">
      <c r="A4503" s="10"/>
      <c r="B4503" s="11"/>
      <c r="C4503" s="10"/>
      <c r="D4503" s="13"/>
      <c r="E4503" s="14"/>
      <c r="F4503" s="14"/>
      <c r="G4503" s="14"/>
      <c r="H4503" s="10"/>
      <c r="I4503" s="17"/>
      <c r="J4503" s="10"/>
      <c r="K4503" s="46"/>
      <c r="L4503" s="10"/>
      <c r="M4503" s="20"/>
      <c r="N4503" s="20"/>
      <c r="O4503" s="20"/>
      <c r="P4503" s="20"/>
    </row>
    <row r="4504">
      <c r="A4504" s="23"/>
      <c r="B4504" s="21"/>
      <c r="C4504" s="23"/>
      <c r="D4504" s="24"/>
      <c r="E4504" s="14"/>
      <c r="F4504" s="14"/>
      <c r="G4504" s="14"/>
      <c r="H4504" s="23"/>
      <c r="I4504" s="27"/>
      <c r="J4504" s="23"/>
      <c r="K4504" s="30"/>
      <c r="L4504" s="23"/>
      <c r="M4504" s="20"/>
      <c r="N4504" s="20"/>
      <c r="O4504" s="20"/>
      <c r="P4504" s="20"/>
    </row>
    <row r="4505">
      <c r="A4505" s="10"/>
      <c r="B4505" s="11"/>
      <c r="C4505" s="10"/>
      <c r="D4505" s="13"/>
      <c r="E4505" s="14"/>
      <c r="F4505" s="14"/>
      <c r="G4505" s="14"/>
      <c r="H4505" s="10"/>
      <c r="I4505" s="17"/>
      <c r="J4505" s="10"/>
      <c r="K4505" s="46"/>
      <c r="L4505" s="10"/>
      <c r="M4505" s="20"/>
      <c r="N4505" s="20"/>
      <c r="O4505" s="20"/>
      <c r="P4505" s="20"/>
    </row>
    <row r="4506">
      <c r="A4506" s="23"/>
      <c r="B4506" s="21"/>
      <c r="C4506" s="23"/>
      <c r="D4506" s="24"/>
      <c r="E4506" s="14"/>
      <c r="F4506" s="14"/>
      <c r="G4506" s="14"/>
      <c r="H4506" s="23"/>
      <c r="I4506" s="27"/>
      <c r="J4506" s="23"/>
      <c r="K4506" s="30"/>
      <c r="L4506" s="23"/>
      <c r="M4506" s="20"/>
      <c r="N4506" s="20"/>
      <c r="O4506" s="20"/>
      <c r="P4506" s="20"/>
    </row>
    <row r="4507">
      <c r="A4507" s="10"/>
      <c r="B4507" s="11"/>
      <c r="C4507" s="10"/>
      <c r="D4507" s="13"/>
      <c r="E4507" s="14"/>
      <c r="F4507" s="14"/>
      <c r="G4507" s="14"/>
      <c r="H4507" s="10"/>
      <c r="I4507" s="17"/>
      <c r="J4507" s="10"/>
      <c r="K4507" s="46"/>
      <c r="L4507" s="10"/>
      <c r="M4507" s="20"/>
      <c r="N4507" s="20"/>
      <c r="O4507" s="20"/>
      <c r="P4507" s="20"/>
    </row>
    <row r="4508">
      <c r="A4508" s="23"/>
      <c r="B4508" s="21"/>
      <c r="C4508" s="23"/>
      <c r="D4508" s="24"/>
      <c r="E4508" s="14"/>
      <c r="F4508" s="14"/>
      <c r="G4508" s="14"/>
      <c r="H4508" s="23"/>
      <c r="I4508" s="27"/>
      <c r="J4508" s="23"/>
      <c r="K4508" s="30"/>
      <c r="L4508" s="23"/>
      <c r="M4508" s="20"/>
      <c r="N4508" s="20"/>
      <c r="O4508" s="20"/>
      <c r="P4508" s="20"/>
    </row>
    <row r="4509">
      <c r="A4509" s="10"/>
      <c r="B4509" s="11"/>
      <c r="C4509" s="10"/>
      <c r="D4509" s="13"/>
      <c r="E4509" s="14"/>
      <c r="F4509" s="14"/>
      <c r="G4509" s="14"/>
      <c r="H4509" s="10"/>
      <c r="I4509" s="17"/>
      <c r="J4509" s="10"/>
      <c r="K4509" s="46"/>
      <c r="L4509" s="10"/>
      <c r="M4509" s="20"/>
      <c r="N4509" s="20"/>
      <c r="O4509" s="20"/>
      <c r="P4509" s="20"/>
    </row>
    <row r="4510">
      <c r="A4510" s="23"/>
      <c r="B4510" s="21"/>
      <c r="C4510" s="23"/>
      <c r="D4510" s="24"/>
      <c r="E4510" s="14"/>
      <c r="F4510" s="14"/>
      <c r="G4510" s="14"/>
      <c r="H4510" s="23"/>
      <c r="I4510" s="27"/>
      <c r="J4510" s="23"/>
      <c r="K4510" s="30"/>
      <c r="L4510" s="23"/>
      <c r="M4510" s="20"/>
      <c r="N4510" s="20"/>
      <c r="O4510" s="20"/>
      <c r="P4510" s="20"/>
    </row>
    <row r="4511">
      <c r="A4511" s="10"/>
      <c r="B4511" s="11"/>
      <c r="C4511" s="10"/>
      <c r="D4511" s="13"/>
      <c r="E4511" s="14"/>
      <c r="F4511" s="14"/>
      <c r="G4511" s="14"/>
      <c r="H4511" s="10"/>
      <c r="I4511" s="17"/>
      <c r="J4511" s="10"/>
      <c r="K4511" s="46"/>
      <c r="L4511" s="10"/>
      <c r="M4511" s="20"/>
      <c r="N4511" s="20"/>
      <c r="O4511" s="20"/>
      <c r="P4511" s="20"/>
    </row>
    <row r="4512">
      <c r="A4512" s="23"/>
      <c r="B4512" s="21"/>
      <c r="C4512" s="23"/>
      <c r="D4512" s="24"/>
      <c r="E4512" s="14"/>
      <c r="F4512" s="14"/>
      <c r="G4512" s="14"/>
      <c r="H4512" s="23"/>
      <c r="I4512" s="27"/>
      <c r="J4512" s="23"/>
      <c r="K4512" s="30"/>
      <c r="L4512" s="23"/>
      <c r="M4512" s="20"/>
      <c r="N4512" s="20"/>
      <c r="O4512" s="20"/>
      <c r="P4512" s="20"/>
    </row>
    <row r="4513">
      <c r="A4513" s="10"/>
      <c r="B4513" s="11"/>
      <c r="C4513" s="10"/>
      <c r="D4513" s="13"/>
      <c r="E4513" s="14"/>
      <c r="F4513" s="14"/>
      <c r="G4513" s="14"/>
      <c r="H4513" s="10"/>
      <c r="I4513" s="17"/>
      <c r="J4513" s="10"/>
      <c r="K4513" s="46"/>
      <c r="L4513" s="10"/>
      <c r="M4513" s="20"/>
      <c r="N4513" s="20"/>
      <c r="O4513" s="20"/>
      <c r="P4513" s="20"/>
    </row>
    <row r="4514">
      <c r="A4514" s="23"/>
      <c r="B4514" s="21"/>
      <c r="C4514" s="23"/>
      <c r="D4514" s="24"/>
      <c r="E4514" s="14"/>
      <c r="F4514" s="14"/>
      <c r="G4514" s="14"/>
      <c r="H4514" s="23"/>
      <c r="I4514" s="27"/>
      <c r="J4514" s="23"/>
      <c r="K4514" s="30"/>
      <c r="L4514" s="23"/>
      <c r="M4514" s="20"/>
      <c r="N4514" s="20"/>
      <c r="O4514" s="20"/>
      <c r="P4514" s="20"/>
    </row>
    <row r="4515">
      <c r="A4515" s="10"/>
      <c r="B4515" s="11"/>
      <c r="C4515" s="10"/>
      <c r="D4515" s="13"/>
      <c r="E4515" s="14"/>
      <c r="F4515" s="14"/>
      <c r="G4515" s="14"/>
      <c r="H4515" s="10"/>
      <c r="I4515" s="17"/>
      <c r="J4515" s="10"/>
      <c r="K4515" s="46"/>
      <c r="L4515" s="10"/>
      <c r="M4515" s="20"/>
      <c r="N4515" s="20"/>
      <c r="O4515" s="20"/>
      <c r="P4515" s="20"/>
    </row>
    <row r="4516">
      <c r="A4516" s="23"/>
      <c r="B4516" s="21"/>
      <c r="C4516" s="23"/>
      <c r="D4516" s="24"/>
      <c r="E4516" s="14"/>
      <c r="F4516" s="14"/>
      <c r="G4516" s="14"/>
      <c r="H4516" s="23"/>
      <c r="I4516" s="27"/>
      <c r="J4516" s="23"/>
      <c r="K4516" s="30"/>
      <c r="L4516" s="23"/>
      <c r="M4516" s="20"/>
      <c r="N4516" s="20"/>
      <c r="O4516" s="20"/>
      <c r="P4516" s="20"/>
    </row>
    <row r="4517">
      <c r="A4517" s="10"/>
      <c r="B4517" s="11"/>
      <c r="C4517" s="10"/>
      <c r="D4517" s="13"/>
      <c r="E4517" s="14"/>
      <c r="F4517" s="14"/>
      <c r="G4517" s="14"/>
      <c r="H4517" s="10"/>
      <c r="I4517" s="17"/>
      <c r="J4517" s="10"/>
      <c r="K4517" s="46"/>
      <c r="L4517" s="10"/>
      <c r="M4517" s="20"/>
      <c r="N4517" s="20"/>
      <c r="O4517" s="20"/>
      <c r="P4517" s="20"/>
    </row>
    <row r="4518">
      <c r="A4518" s="23"/>
      <c r="B4518" s="21"/>
      <c r="C4518" s="23"/>
      <c r="D4518" s="24"/>
      <c r="E4518" s="14"/>
      <c r="F4518" s="14"/>
      <c r="G4518" s="14"/>
      <c r="H4518" s="23"/>
      <c r="I4518" s="27"/>
      <c r="J4518" s="23"/>
      <c r="K4518" s="30"/>
      <c r="L4518" s="23"/>
      <c r="M4518" s="20"/>
      <c r="N4518" s="20"/>
      <c r="O4518" s="20"/>
      <c r="P4518" s="20"/>
    </row>
    <row r="4519">
      <c r="A4519" s="10"/>
      <c r="B4519" s="11"/>
      <c r="C4519" s="10"/>
      <c r="D4519" s="13"/>
      <c r="E4519" s="14"/>
      <c r="F4519" s="14"/>
      <c r="G4519" s="14"/>
      <c r="H4519" s="10"/>
      <c r="I4519" s="17"/>
      <c r="J4519" s="10"/>
      <c r="K4519" s="46"/>
      <c r="L4519" s="10"/>
      <c r="M4519" s="20"/>
      <c r="N4519" s="20"/>
      <c r="O4519" s="20"/>
      <c r="P4519" s="20"/>
    </row>
    <row r="4520">
      <c r="A4520" s="23"/>
      <c r="B4520" s="21"/>
      <c r="C4520" s="23"/>
      <c r="D4520" s="24"/>
      <c r="E4520" s="14"/>
      <c r="F4520" s="14"/>
      <c r="G4520" s="14"/>
      <c r="H4520" s="23"/>
      <c r="I4520" s="27"/>
      <c r="J4520" s="23"/>
      <c r="K4520" s="30"/>
      <c r="L4520" s="23"/>
      <c r="M4520" s="20"/>
      <c r="N4520" s="20"/>
      <c r="O4520" s="20"/>
      <c r="P4520" s="20"/>
    </row>
    <row r="4521">
      <c r="A4521" s="10"/>
      <c r="B4521" s="11"/>
      <c r="C4521" s="10"/>
      <c r="D4521" s="13"/>
      <c r="E4521" s="14"/>
      <c r="F4521" s="14"/>
      <c r="G4521" s="14"/>
      <c r="H4521" s="10"/>
      <c r="I4521" s="17"/>
      <c r="J4521" s="10"/>
      <c r="K4521" s="46"/>
      <c r="L4521" s="10"/>
      <c r="M4521" s="20"/>
      <c r="N4521" s="20"/>
      <c r="O4521" s="20"/>
      <c r="P4521" s="20"/>
    </row>
    <row r="4522">
      <c r="A4522" s="23"/>
      <c r="B4522" s="21"/>
      <c r="C4522" s="23"/>
      <c r="D4522" s="24"/>
      <c r="E4522" s="14"/>
      <c r="F4522" s="14"/>
      <c r="G4522" s="14"/>
      <c r="H4522" s="23"/>
      <c r="I4522" s="27"/>
      <c r="J4522" s="23"/>
      <c r="K4522" s="30"/>
      <c r="L4522" s="23"/>
      <c r="M4522" s="20"/>
      <c r="N4522" s="20"/>
      <c r="O4522" s="20"/>
      <c r="P4522" s="20"/>
    </row>
    <row r="4523">
      <c r="A4523" s="10"/>
      <c r="B4523" s="11"/>
      <c r="C4523" s="10"/>
      <c r="D4523" s="13"/>
      <c r="E4523" s="14"/>
      <c r="F4523" s="14"/>
      <c r="G4523" s="14"/>
      <c r="H4523" s="10"/>
      <c r="I4523" s="17"/>
      <c r="J4523" s="10"/>
      <c r="K4523" s="46"/>
      <c r="L4523" s="10"/>
      <c r="M4523" s="20"/>
      <c r="N4523" s="20"/>
      <c r="O4523" s="20"/>
      <c r="P4523" s="20"/>
    </row>
    <row r="4524">
      <c r="A4524" s="23"/>
      <c r="B4524" s="21"/>
      <c r="C4524" s="23"/>
      <c r="D4524" s="24"/>
      <c r="E4524" s="14"/>
      <c r="F4524" s="14"/>
      <c r="G4524" s="14"/>
      <c r="H4524" s="23"/>
      <c r="I4524" s="27"/>
      <c r="J4524" s="23"/>
      <c r="K4524" s="30"/>
      <c r="L4524" s="23"/>
      <c r="M4524" s="20"/>
      <c r="N4524" s="20"/>
      <c r="O4524" s="20"/>
      <c r="P4524" s="20"/>
    </row>
    <row r="4525">
      <c r="A4525" s="10"/>
      <c r="B4525" s="11"/>
      <c r="C4525" s="10"/>
      <c r="D4525" s="13"/>
      <c r="E4525" s="14"/>
      <c r="F4525" s="14"/>
      <c r="G4525" s="14"/>
      <c r="H4525" s="10"/>
      <c r="I4525" s="17"/>
      <c r="J4525" s="10"/>
      <c r="K4525" s="46"/>
      <c r="L4525" s="10"/>
      <c r="M4525" s="20"/>
      <c r="N4525" s="20"/>
      <c r="O4525" s="20"/>
      <c r="P4525" s="20"/>
    </row>
    <row r="4526">
      <c r="A4526" s="23"/>
      <c r="B4526" s="21"/>
      <c r="C4526" s="23"/>
      <c r="D4526" s="24"/>
      <c r="E4526" s="14"/>
      <c r="F4526" s="14"/>
      <c r="G4526" s="14"/>
      <c r="H4526" s="23"/>
      <c r="I4526" s="27"/>
      <c r="J4526" s="23"/>
      <c r="K4526" s="30"/>
      <c r="L4526" s="23"/>
      <c r="M4526" s="20"/>
      <c r="N4526" s="20"/>
      <c r="O4526" s="20"/>
      <c r="P4526" s="20"/>
    </row>
    <row r="4527">
      <c r="A4527" s="10"/>
      <c r="B4527" s="11"/>
      <c r="C4527" s="10"/>
      <c r="D4527" s="13"/>
      <c r="E4527" s="14"/>
      <c r="F4527" s="14"/>
      <c r="G4527" s="14"/>
      <c r="H4527" s="10"/>
      <c r="I4527" s="17"/>
      <c r="J4527" s="10"/>
      <c r="K4527" s="46"/>
      <c r="L4527" s="10"/>
      <c r="M4527" s="20"/>
      <c r="N4527" s="20"/>
      <c r="O4527" s="20"/>
      <c r="P4527" s="20"/>
    </row>
    <row r="4528">
      <c r="A4528" s="23"/>
      <c r="B4528" s="21"/>
      <c r="C4528" s="23"/>
      <c r="D4528" s="24"/>
      <c r="E4528" s="14"/>
      <c r="F4528" s="14"/>
      <c r="G4528" s="14"/>
      <c r="H4528" s="23"/>
      <c r="I4528" s="27"/>
      <c r="J4528" s="23"/>
      <c r="K4528" s="30"/>
      <c r="L4528" s="23"/>
      <c r="M4528" s="20"/>
      <c r="N4528" s="20"/>
      <c r="O4528" s="20"/>
      <c r="P4528" s="20"/>
    </row>
    <row r="4529">
      <c r="A4529" s="10"/>
      <c r="B4529" s="11"/>
      <c r="C4529" s="10"/>
      <c r="D4529" s="13"/>
      <c r="E4529" s="14"/>
      <c r="F4529" s="14"/>
      <c r="G4529" s="14"/>
      <c r="H4529" s="10"/>
      <c r="I4529" s="17"/>
      <c r="J4529" s="10"/>
      <c r="K4529" s="46"/>
      <c r="L4529" s="10"/>
      <c r="M4529" s="20"/>
      <c r="N4529" s="20"/>
      <c r="O4529" s="20"/>
      <c r="P4529" s="20"/>
    </row>
    <row r="4530">
      <c r="A4530" s="23"/>
      <c r="B4530" s="21"/>
      <c r="C4530" s="23"/>
      <c r="D4530" s="24"/>
      <c r="E4530" s="14"/>
      <c r="F4530" s="14"/>
      <c r="G4530" s="14"/>
      <c r="H4530" s="23"/>
      <c r="I4530" s="27"/>
      <c r="J4530" s="23"/>
      <c r="K4530" s="30"/>
      <c r="L4530" s="23"/>
      <c r="M4530" s="20"/>
      <c r="N4530" s="20"/>
      <c r="O4530" s="20"/>
      <c r="P4530" s="20"/>
    </row>
    <row r="4531">
      <c r="A4531" s="10"/>
      <c r="B4531" s="11"/>
      <c r="C4531" s="10"/>
      <c r="D4531" s="13"/>
      <c r="E4531" s="14"/>
      <c r="F4531" s="14"/>
      <c r="G4531" s="14"/>
      <c r="H4531" s="10"/>
      <c r="I4531" s="17"/>
      <c r="J4531" s="10"/>
      <c r="K4531" s="46"/>
      <c r="L4531" s="10"/>
      <c r="M4531" s="20"/>
      <c r="N4531" s="20"/>
      <c r="O4531" s="20"/>
      <c r="P4531" s="20"/>
    </row>
    <row r="4532">
      <c r="A4532" s="23"/>
      <c r="B4532" s="21"/>
      <c r="C4532" s="23"/>
      <c r="D4532" s="24"/>
      <c r="E4532" s="14"/>
      <c r="F4532" s="14"/>
      <c r="G4532" s="14"/>
      <c r="H4532" s="23"/>
      <c r="I4532" s="27"/>
      <c r="J4532" s="23"/>
      <c r="K4532" s="30"/>
      <c r="L4532" s="23"/>
      <c r="M4532" s="20"/>
      <c r="N4532" s="20"/>
      <c r="O4532" s="20"/>
      <c r="P4532" s="20"/>
    </row>
    <row r="4533">
      <c r="A4533" s="10"/>
      <c r="B4533" s="11"/>
      <c r="C4533" s="10"/>
      <c r="D4533" s="13"/>
      <c r="E4533" s="14"/>
      <c r="F4533" s="14"/>
      <c r="G4533" s="14"/>
      <c r="H4533" s="10"/>
      <c r="I4533" s="17"/>
      <c r="J4533" s="10"/>
      <c r="K4533" s="46"/>
      <c r="L4533" s="10"/>
      <c r="M4533" s="20"/>
      <c r="N4533" s="20"/>
      <c r="O4533" s="20"/>
      <c r="P4533" s="20"/>
    </row>
    <row r="4534">
      <c r="A4534" s="23"/>
      <c r="B4534" s="21"/>
      <c r="C4534" s="23"/>
      <c r="D4534" s="24"/>
      <c r="E4534" s="14"/>
      <c r="F4534" s="14"/>
      <c r="G4534" s="14"/>
      <c r="H4534" s="23"/>
      <c r="I4534" s="27"/>
      <c r="J4534" s="23"/>
      <c r="K4534" s="30"/>
      <c r="L4534" s="23"/>
      <c r="M4534" s="20"/>
      <c r="N4534" s="20"/>
      <c r="O4534" s="20"/>
      <c r="P4534" s="20"/>
    </row>
    <row r="4535">
      <c r="A4535" s="10"/>
      <c r="B4535" s="11"/>
      <c r="C4535" s="10"/>
      <c r="D4535" s="13"/>
      <c r="E4535" s="14"/>
      <c r="F4535" s="14"/>
      <c r="G4535" s="14"/>
      <c r="H4535" s="10"/>
      <c r="I4535" s="17"/>
      <c r="J4535" s="10"/>
      <c r="K4535" s="46"/>
      <c r="L4535" s="10"/>
      <c r="M4535" s="20"/>
      <c r="N4535" s="20"/>
      <c r="O4535" s="20"/>
      <c r="P4535" s="20"/>
    </row>
    <row r="4536">
      <c r="A4536" s="23"/>
      <c r="B4536" s="21"/>
      <c r="C4536" s="23"/>
      <c r="D4536" s="24"/>
      <c r="E4536" s="14"/>
      <c r="F4536" s="14"/>
      <c r="G4536" s="14"/>
      <c r="H4536" s="23"/>
      <c r="I4536" s="27"/>
      <c r="J4536" s="23"/>
      <c r="K4536" s="30"/>
      <c r="L4536" s="23"/>
      <c r="M4536" s="20"/>
      <c r="N4536" s="20"/>
      <c r="O4536" s="20"/>
      <c r="P4536" s="20"/>
    </row>
    <row r="4537">
      <c r="A4537" s="10"/>
      <c r="B4537" s="11"/>
      <c r="C4537" s="10"/>
      <c r="D4537" s="13"/>
      <c r="E4537" s="14"/>
      <c r="F4537" s="14"/>
      <c r="G4537" s="14"/>
      <c r="H4537" s="10"/>
      <c r="I4537" s="17"/>
      <c r="J4537" s="10"/>
      <c r="K4537" s="46"/>
      <c r="L4537" s="10"/>
      <c r="M4537" s="20"/>
      <c r="N4537" s="20"/>
      <c r="O4537" s="20"/>
      <c r="P4537" s="20"/>
    </row>
    <row r="4538">
      <c r="A4538" s="23"/>
      <c r="B4538" s="21"/>
      <c r="C4538" s="23"/>
      <c r="D4538" s="24"/>
      <c r="E4538" s="14"/>
      <c r="F4538" s="14"/>
      <c r="G4538" s="14"/>
      <c r="H4538" s="23"/>
      <c r="I4538" s="27"/>
      <c r="J4538" s="23"/>
      <c r="K4538" s="30"/>
      <c r="L4538" s="23"/>
      <c r="M4538" s="20"/>
      <c r="N4538" s="20"/>
      <c r="O4538" s="20"/>
      <c r="P4538" s="20"/>
    </row>
    <row r="4539">
      <c r="A4539" s="10"/>
      <c r="B4539" s="11"/>
      <c r="C4539" s="10"/>
      <c r="D4539" s="13"/>
      <c r="E4539" s="14"/>
      <c r="F4539" s="14"/>
      <c r="G4539" s="14"/>
      <c r="H4539" s="10"/>
      <c r="I4539" s="17"/>
      <c r="J4539" s="10"/>
      <c r="K4539" s="46"/>
      <c r="L4539" s="10"/>
      <c r="M4539" s="20"/>
      <c r="N4539" s="20"/>
      <c r="O4539" s="20"/>
      <c r="P4539" s="20"/>
    </row>
    <row r="4540">
      <c r="A4540" s="23"/>
      <c r="B4540" s="21"/>
      <c r="C4540" s="23"/>
      <c r="D4540" s="24"/>
      <c r="E4540" s="14"/>
      <c r="F4540" s="14"/>
      <c r="G4540" s="14"/>
      <c r="H4540" s="23"/>
      <c r="I4540" s="27"/>
      <c r="J4540" s="23"/>
      <c r="K4540" s="30"/>
      <c r="L4540" s="23"/>
      <c r="M4540" s="20"/>
      <c r="N4540" s="20"/>
      <c r="O4540" s="20"/>
      <c r="P4540" s="20"/>
    </row>
    <row r="4541">
      <c r="A4541" s="10"/>
      <c r="B4541" s="11"/>
      <c r="C4541" s="10"/>
      <c r="D4541" s="13"/>
      <c r="E4541" s="14"/>
      <c r="F4541" s="14"/>
      <c r="G4541" s="14"/>
      <c r="H4541" s="10"/>
      <c r="I4541" s="17"/>
      <c r="J4541" s="10"/>
      <c r="K4541" s="46"/>
      <c r="L4541" s="10"/>
      <c r="M4541" s="20"/>
      <c r="N4541" s="20"/>
      <c r="O4541" s="20"/>
      <c r="P4541" s="20"/>
    </row>
    <row r="4542">
      <c r="A4542" s="23"/>
      <c r="B4542" s="21"/>
      <c r="C4542" s="23"/>
      <c r="D4542" s="24"/>
      <c r="E4542" s="14"/>
      <c r="F4542" s="14"/>
      <c r="G4542" s="14"/>
      <c r="H4542" s="23"/>
      <c r="I4542" s="27"/>
      <c r="J4542" s="23"/>
      <c r="K4542" s="30"/>
      <c r="L4542" s="23"/>
      <c r="M4542" s="20"/>
      <c r="N4542" s="20"/>
      <c r="O4542" s="20"/>
      <c r="P4542" s="20"/>
    </row>
    <row r="4543">
      <c r="A4543" s="10"/>
      <c r="B4543" s="11"/>
      <c r="C4543" s="10"/>
      <c r="D4543" s="13"/>
      <c r="E4543" s="14"/>
      <c r="F4543" s="14"/>
      <c r="G4543" s="14"/>
      <c r="H4543" s="10"/>
      <c r="I4543" s="17"/>
      <c r="J4543" s="10"/>
      <c r="K4543" s="46"/>
      <c r="L4543" s="10"/>
      <c r="M4543" s="20"/>
      <c r="N4543" s="20"/>
      <c r="O4543" s="20"/>
      <c r="P4543" s="20"/>
    </row>
    <row r="4544">
      <c r="A4544" s="23"/>
      <c r="B4544" s="21"/>
      <c r="C4544" s="23"/>
      <c r="D4544" s="24"/>
      <c r="E4544" s="14"/>
      <c r="F4544" s="14"/>
      <c r="G4544" s="14"/>
      <c r="H4544" s="23"/>
      <c r="I4544" s="27"/>
      <c r="J4544" s="23"/>
      <c r="K4544" s="30"/>
      <c r="L4544" s="23"/>
      <c r="M4544" s="20"/>
      <c r="N4544" s="20"/>
      <c r="O4544" s="20"/>
      <c r="P4544" s="20"/>
    </row>
    <row r="4545">
      <c r="A4545" s="10"/>
      <c r="B4545" s="11"/>
      <c r="C4545" s="10"/>
      <c r="D4545" s="13"/>
      <c r="E4545" s="14"/>
      <c r="F4545" s="14"/>
      <c r="G4545" s="14"/>
      <c r="H4545" s="10"/>
      <c r="I4545" s="17"/>
      <c r="J4545" s="10"/>
      <c r="K4545" s="46"/>
      <c r="L4545" s="10"/>
      <c r="M4545" s="20"/>
      <c r="N4545" s="20"/>
      <c r="O4545" s="20"/>
      <c r="P4545" s="20"/>
    </row>
    <row r="4546">
      <c r="A4546" s="23"/>
      <c r="B4546" s="21"/>
      <c r="C4546" s="23"/>
      <c r="D4546" s="24"/>
      <c r="E4546" s="14"/>
      <c r="F4546" s="14"/>
      <c r="G4546" s="14"/>
      <c r="H4546" s="23"/>
      <c r="I4546" s="27"/>
      <c r="J4546" s="23"/>
      <c r="K4546" s="30"/>
      <c r="L4546" s="23"/>
      <c r="M4546" s="20"/>
      <c r="N4546" s="20"/>
      <c r="O4546" s="20"/>
      <c r="P4546" s="20"/>
    </row>
    <row r="4547">
      <c r="A4547" s="10"/>
      <c r="B4547" s="11"/>
      <c r="C4547" s="10"/>
      <c r="D4547" s="13"/>
      <c r="E4547" s="14"/>
      <c r="F4547" s="14"/>
      <c r="G4547" s="14"/>
      <c r="H4547" s="10"/>
      <c r="I4547" s="17"/>
      <c r="J4547" s="10"/>
      <c r="K4547" s="46"/>
      <c r="L4547" s="10"/>
      <c r="M4547" s="20"/>
      <c r="N4547" s="20"/>
      <c r="O4547" s="20"/>
      <c r="P4547" s="20"/>
    </row>
    <row r="4548">
      <c r="A4548" s="23"/>
      <c r="B4548" s="21"/>
      <c r="C4548" s="23"/>
      <c r="D4548" s="24"/>
      <c r="E4548" s="14"/>
      <c r="F4548" s="14"/>
      <c r="G4548" s="14"/>
      <c r="H4548" s="23"/>
      <c r="I4548" s="27"/>
      <c r="J4548" s="23"/>
      <c r="K4548" s="30"/>
      <c r="L4548" s="23"/>
      <c r="M4548" s="20"/>
      <c r="N4548" s="20"/>
      <c r="O4548" s="20"/>
      <c r="P4548" s="20"/>
    </row>
    <row r="4549">
      <c r="A4549" s="10"/>
      <c r="B4549" s="11"/>
      <c r="C4549" s="10"/>
      <c r="D4549" s="13"/>
      <c r="E4549" s="14"/>
      <c r="F4549" s="14"/>
      <c r="G4549" s="14"/>
      <c r="H4549" s="10"/>
      <c r="I4549" s="17"/>
      <c r="J4549" s="10"/>
      <c r="K4549" s="46"/>
      <c r="L4549" s="10"/>
      <c r="M4549" s="20"/>
      <c r="N4549" s="20"/>
      <c r="O4549" s="20"/>
      <c r="P4549" s="20"/>
    </row>
    <row r="4550">
      <c r="A4550" s="23"/>
      <c r="B4550" s="21"/>
      <c r="C4550" s="23"/>
      <c r="D4550" s="24"/>
      <c r="E4550" s="14"/>
      <c r="F4550" s="14"/>
      <c r="G4550" s="14"/>
      <c r="H4550" s="23"/>
      <c r="I4550" s="27"/>
      <c r="J4550" s="23"/>
      <c r="K4550" s="30"/>
      <c r="L4550" s="23"/>
      <c r="M4550" s="20"/>
      <c r="N4550" s="20"/>
      <c r="O4550" s="20"/>
      <c r="P4550" s="20"/>
    </row>
    <row r="4551">
      <c r="A4551" s="10"/>
      <c r="B4551" s="11"/>
      <c r="C4551" s="10"/>
      <c r="D4551" s="13"/>
      <c r="E4551" s="14"/>
      <c r="F4551" s="14"/>
      <c r="G4551" s="14"/>
      <c r="H4551" s="10"/>
      <c r="I4551" s="17"/>
      <c r="J4551" s="10"/>
      <c r="K4551" s="46"/>
      <c r="L4551" s="10"/>
      <c r="M4551" s="20"/>
      <c r="N4551" s="20"/>
      <c r="O4551" s="20"/>
      <c r="P4551" s="20"/>
    </row>
    <row r="4552">
      <c r="A4552" s="23"/>
      <c r="B4552" s="21"/>
      <c r="C4552" s="23"/>
      <c r="D4552" s="24"/>
      <c r="E4552" s="14"/>
      <c r="F4552" s="14"/>
      <c r="G4552" s="14"/>
      <c r="H4552" s="23"/>
      <c r="I4552" s="27"/>
      <c r="J4552" s="23"/>
      <c r="K4552" s="30"/>
      <c r="L4552" s="23"/>
      <c r="M4552" s="20"/>
      <c r="N4552" s="20"/>
      <c r="O4552" s="20"/>
      <c r="P4552" s="20"/>
    </row>
    <row r="4553">
      <c r="A4553" s="10"/>
      <c r="B4553" s="11"/>
      <c r="C4553" s="10"/>
      <c r="D4553" s="13"/>
      <c r="E4553" s="14"/>
      <c r="F4553" s="14"/>
      <c r="G4553" s="14"/>
      <c r="H4553" s="10"/>
      <c r="I4553" s="17"/>
      <c r="J4553" s="10"/>
      <c r="K4553" s="46"/>
      <c r="L4553" s="10"/>
      <c r="M4553" s="20"/>
      <c r="N4553" s="20"/>
      <c r="O4553" s="20"/>
      <c r="P4553" s="20"/>
    </row>
    <row r="4554">
      <c r="A4554" s="23"/>
      <c r="B4554" s="21"/>
      <c r="C4554" s="23"/>
      <c r="D4554" s="24"/>
      <c r="E4554" s="14"/>
      <c r="F4554" s="14"/>
      <c r="G4554" s="14"/>
      <c r="H4554" s="23"/>
      <c r="I4554" s="27"/>
      <c r="J4554" s="23"/>
      <c r="K4554" s="30"/>
      <c r="L4554" s="23"/>
      <c r="M4554" s="20"/>
      <c r="N4554" s="20"/>
      <c r="O4554" s="20"/>
      <c r="P4554" s="20"/>
    </row>
    <row r="4555">
      <c r="A4555" s="10"/>
      <c r="B4555" s="11"/>
      <c r="C4555" s="10"/>
      <c r="D4555" s="13"/>
      <c r="E4555" s="14"/>
      <c r="F4555" s="14"/>
      <c r="G4555" s="14"/>
      <c r="H4555" s="10"/>
      <c r="I4555" s="17"/>
      <c r="J4555" s="10"/>
      <c r="K4555" s="46"/>
      <c r="L4555" s="10"/>
      <c r="M4555" s="20"/>
      <c r="N4555" s="20"/>
      <c r="O4555" s="20"/>
      <c r="P4555" s="20"/>
    </row>
    <row r="4556">
      <c r="A4556" s="23"/>
      <c r="B4556" s="21"/>
      <c r="C4556" s="23"/>
      <c r="D4556" s="24"/>
      <c r="E4556" s="14"/>
      <c r="F4556" s="14"/>
      <c r="G4556" s="14"/>
      <c r="H4556" s="23"/>
      <c r="I4556" s="27"/>
      <c r="J4556" s="23"/>
      <c r="K4556" s="30"/>
      <c r="L4556" s="23"/>
      <c r="M4556" s="20"/>
      <c r="N4556" s="20"/>
      <c r="O4556" s="20"/>
      <c r="P4556" s="20"/>
    </row>
    <row r="4557">
      <c r="A4557" s="10"/>
      <c r="B4557" s="11"/>
      <c r="C4557" s="10"/>
      <c r="D4557" s="13"/>
      <c r="E4557" s="14"/>
      <c r="F4557" s="14"/>
      <c r="G4557" s="14"/>
      <c r="H4557" s="10"/>
      <c r="I4557" s="17"/>
      <c r="J4557" s="10"/>
      <c r="K4557" s="46"/>
      <c r="L4557" s="10"/>
      <c r="M4557" s="20"/>
      <c r="N4557" s="20"/>
      <c r="O4557" s="20"/>
      <c r="P4557" s="20"/>
    </row>
    <row r="4558">
      <c r="A4558" s="23"/>
      <c r="B4558" s="21"/>
      <c r="C4558" s="23"/>
      <c r="D4558" s="24"/>
      <c r="E4558" s="14"/>
      <c r="F4558" s="14"/>
      <c r="G4558" s="14"/>
      <c r="H4558" s="23"/>
      <c r="I4558" s="27"/>
      <c r="J4558" s="23"/>
      <c r="K4558" s="30"/>
      <c r="L4558" s="23"/>
      <c r="M4558" s="20"/>
      <c r="N4558" s="20"/>
      <c r="O4558" s="20"/>
      <c r="P4558" s="20"/>
    </row>
    <row r="4559">
      <c r="A4559" s="10"/>
      <c r="B4559" s="11"/>
      <c r="C4559" s="10"/>
      <c r="D4559" s="13"/>
      <c r="E4559" s="14"/>
      <c r="F4559" s="14"/>
      <c r="G4559" s="14"/>
      <c r="H4559" s="10"/>
      <c r="I4559" s="17"/>
      <c r="J4559" s="10"/>
      <c r="K4559" s="46"/>
      <c r="L4559" s="10"/>
      <c r="M4559" s="20"/>
      <c r="N4559" s="20"/>
      <c r="O4559" s="20"/>
      <c r="P4559" s="20"/>
    </row>
    <row r="4560">
      <c r="A4560" s="23"/>
      <c r="B4560" s="21"/>
      <c r="C4560" s="23"/>
      <c r="D4560" s="24"/>
      <c r="E4560" s="14"/>
      <c r="F4560" s="14"/>
      <c r="G4560" s="14"/>
      <c r="H4560" s="23"/>
      <c r="I4560" s="27"/>
      <c r="J4560" s="23"/>
      <c r="K4560" s="30"/>
      <c r="L4560" s="23"/>
      <c r="M4560" s="20"/>
      <c r="N4560" s="20"/>
      <c r="O4560" s="20"/>
      <c r="P4560" s="20"/>
    </row>
    <row r="4561">
      <c r="A4561" s="10"/>
      <c r="B4561" s="11"/>
      <c r="C4561" s="10"/>
      <c r="D4561" s="13"/>
      <c r="E4561" s="14"/>
      <c r="F4561" s="14"/>
      <c r="G4561" s="14"/>
      <c r="H4561" s="10"/>
      <c r="I4561" s="17"/>
      <c r="J4561" s="10"/>
      <c r="K4561" s="46"/>
      <c r="L4561" s="10"/>
      <c r="M4561" s="20"/>
      <c r="N4561" s="20"/>
      <c r="O4561" s="20"/>
      <c r="P4561" s="20"/>
    </row>
    <row r="4562">
      <c r="A4562" s="23"/>
      <c r="B4562" s="21"/>
      <c r="C4562" s="23"/>
      <c r="D4562" s="24"/>
      <c r="E4562" s="14"/>
      <c r="F4562" s="14"/>
      <c r="G4562" s="14"/>
      <c r="H4562" s="23"/>
      <c r="I4562" s="27"/>
      <c r="J4562" s="23"/>
      <c r="K4562" s="30"/>
      <c r="L4562" s="23"/>
      <c r="M4562" s="20"/>
      <c r="N4562" s="20"/>
      <c r="O4562" s="20"/>
      <c r="P4562" s="20"/>
    </row>
    <row r="4563">
      <c r="A4563" s="10"/>
      <c r="B4563" s="11"/>
      <c r="C4563" s="10"/>
      <c r="D4563" s="13"/>
      <c r="E4563" s="14"/>
      <c r="F4563" s="14"/>
      <c r="G4563" s="14"/>
      <c r="H4563" s="10"/>
      <c r="I4563" s="17"/>
      <c r="J4563" s="10"/>
      <c r="K4563" s="46"/>
      <c r="L4563" s="10"/>
      <c r="M4563" s="20"/>
      <c r="N4563" s="20"/>
      <c r="O4563" s="20"/>
      <c r="P4563" s="20"/>
    </row>
    <row r="4564">
      <c r="A4564" s="23"/>
      <c r="B4564" s="21"/>
      <c r="C4564" s="23"/>
      <c r="D4564" s="24"/>
      <c r="E4564" s="14"/>
      <c r="F4564" s="14"/>
      <c r="G4564" s="14"/>
      <c r="H4564" s="23"/>
      <c r="I4564" s="27"/>
      <c r="J4564" s="23"/>
      <c r="K4564" s="30"/>
      <c r="L4564" s="23"/>
      <c r="M4564" s="20"/>
      <c r="N4564" s="20"/>
      <c r="O4564" s="20"/>
      <c r="P4564" s="20"/>
    </row>
    <row r="4565">
      <c r="A4565" s="10"/>
      <c r="B4565" s="11"/>
      <c r="C4565" s="10"/>
      <c r="D4565" s="13"/>
      <c r="E4565" s="14"/>
      <c r="F4565" s="14"/>
      <c r="G4565" s="14"/>
      <c r="H4565" s="10"/>
      <c r="I4565" s="17"/>
      <c r="J4565" s="10"/>
      <c r="K4565" s="46"/>
      <c r="L4565" s="10"/>
      <c r="M4565" s="20"/>
      <c r="N4565" s="20"/>
      <c r="O4565" s="20"/>
      <c r="P4565" s="20"/>
    </row>
    <row r="4566">
      <c r="A4566" s="23"/>
      <c r="B4566" s="21"/>
      <c r="C4566" s="23"/>
      <c r="D4566" s="24"/>
      <c r="E4566" s="14"/>
      <c r="F4566" s="14"/>
      <c r="G4566" s="14"/>
      <c r="H4566" s="23"/>
      <c r="I4566" s="27"/>
      <c r="J4566" s="23"/>
      <c r="K4566" s="30"/>
      <c r="L4566" s="23"/>
      <c r="M4566" s="20"/>
      <c r="N4566" s="20"/>
      <c r="O4566" s="20"/>
      <c r="P4566" s="20"/>
    </row>
    <row r="4567">
      <c r="A4567" s="10"/>
      <c r="B4567" s="11"/>
      <c r="C4567" s="10"/>
      <c r="D4567" s="13"/>
      <c r="E4567" s="14"/>
      <c r="F4567" s="14"/>
      <c r="G4567" s="14"/>
      <c r="H4567" s="10"/>
      <c r="I4567" s="17"/>
      <c r="J4567" s="10"/>
      <c r="K4567" s="46"/>
      <c r="L4567" s="10"/>
      <c r="M4567" s="20"/>
      <c r="N4567" s="20"/>
      <c r="O4567" s="20"/>
      <c r="P4567" s="20"/>
    </row>
    <row r="4568">
      <c r="A4568" s="23"/>
      <c r="B4568" s="21"/>
      <c r="C4568" s="23"/>
      <c r="D4568" s="24"/>
      <c r="E4568" s="14"/>
      <c r="F4568" s="14"/>
      <c r="G4568" s="14"/>
      <c r="H4568" s="23"/>
      <c r="I4568" s="27"/>
      <c r="J4568" s="23"/>
      <c r="K4568" s="30"/>
      <c r="L4568" s="23"/>
      <c r="M4568" s="20"/>
      <c r="N4568" s="20"/>
      <c r="O4568" s="20"/>
      <c r="P4568" s="20"/>
    </row>
    <row r="4569">
      <c r="A4569" s="10"/>
      <c r="B4569" s="11"/>
      <c r="C4569" s="10"/>
      <c r="D4569" s="13"/>
      <c r="E4569" s="14"/>
      <c r="F4569" s="14"/>
      <c r="G4569" s="14"/>
      <c r="H4569" s="10"/>
      <c r="I4569" s="17"/>
      <c r="J4569" s="10"/>
      <c r="K4569" s="46"/>
      <c r="L4569" s="10"/>
      <c r="M4569" s="20"/>
      <c r="N4569" s="20"/>
      <c r="O4569" s="20"/>
      <c r="P4569" s="20"/>
    </row>
    <row r="4570">
      <c r="A4570" s="23"/>
      <c r="B4570" s="21"/>
      <c r="C4570" s="23"/>
      <c r="D4570" s="24"/>
      <c r="E4570" s="14"/>
      <c r="F4570" s="14"/>
      <c r="G4570" s="14"/>
      <c r="H4570" s="23"/>
      <c r="I4570" s="27"/>
      <c r="J4570" s="23"/>
      <c r="K4570" s="30"/>
      <c r="L4570" s="23"/>
      <c r="M4570" s="20"/>
      <c r="N4570" s="20"/>
      <c r="O4570" s="20"/>
      <c r="P4570" s="20"/>
    </row>
    <row r="4571">
      <c r="A4571" s="10"/>
      <c r="B4571" s="11"/>
      <c r="C4571" s="10"/>
      <c r="D4571" s="13"/>
      <c r="E4571" s="14"/>
      <c r="F4571" s="14"/>
      <c r="G4571" s="14"/>
      <c r="H4571" s="10"/>
      <c r="I4571" s="17"/>
      <c r="J4571" s="10"/>
      <c r="K4571" s="46"/>
      <c r="L4571" s="10"/>
      <c r="M4571" s="20"/>
      <c r="N4571" s="20"/>
      <c r="O4571" s="20"/>
      <c r="P4571" s="20"/>
    </row>
    <row r="4572">
      <c r="A4572" s="23"/>
      <c r="B4572" s="21"/>
      <c r="C4572" s="23"/>
      <c r="D4572" s="24"/>
      <c r="E4572" s="14"/>
      <c r="F4572" s="14"/>
      <c r="G4572" s="14"/>
      <c r="H4572" s="23"/>
      <c r="I4572" s="27"/>
      <c r="J4572" s="23"/>
      <c r="K4572" s="30"/>
      <c r="L4572" s="23"/>
      <c r="M4572" s="20"/>
      <c r="N4572" s="20"/>
      <c r="O4572" s="20"/>
      <c r="P4572" s="20"/>
    </row>
    <row r="4573">
      <c r="A4573" s="10"/>
      <c r="B4573" s="11"/>
      <c r="C4573" s="10"/>
      <c r="D4573" s="13"/>
      <c r="E4573" s="14"/>
      <c r="F4573" s="14"/>
      <c r="G4573" s="14"/>
      <c r="H4573" s="10"/>
      <c r="I4573" s="17"/>
      <c r="J4573" s="10"/>
      <c r="K4573" s="46"/>
      <c r="L4573" s="10"/>
      <c r="M4573" s="20"/>
      <c r="N4573" s="20"/>
      <c r="O4573" s="20"/>
      <c r="P4573" s="20"/>
    </row>
    <row r="4574">
      <c r="A4574" s="23"/>
      <c r="B4574" s="21"/>
      <c r="C4574" s="23"/>
      <c r="D4574" s="24"/>
      <c r="E4574" s="14"/>
      <c r="F4574" s="14"/>
      <c r="G4574" s="14"/>
      <c r="H4574" s="23"/>
      <c r="I4574" s="27"/>
      <c r="J4574" s="23"/>
      <c r="K4574" s="30"/>
      <c r="L4574" s="23"/>
      <c r="M4574" s="20"/>
      <c r="N4574" s="20"/>
      <c r="O4574" s="20"/>
      <c r="P4574" s="20"/>
    </row>
    <row r="4575">
      <c r="A4575" s="10"/>
      <c r="B4575" s="11"/>
      <c r="C4575" s="10"/>
      <c r="D4575" s="13"/>
      <c r="E4575" s="14"/>
      <c r="F4575" s="14"/>
      <c r="G4575" s="14"/>
      <c r="H4575" s="10"/>
      <c r="I4575" s="17"/>
      <c r="J4575" s="10"/>
      <c r="K4575" s="46"/>
      <c r="L4575" s="10"/>
      <c r="M4575" s="20"/>
      <c r="N4575" s="20"/>
      <c r="O4575" s="20"/>
      <c r="P4575" s="20"/>
    </row>
    <row r="4576">
      <c r="A4576" s="23"/>
      <c r="B4576" s="21"/>
      <c r="C4576" s="23"/>
      <c r="D4576" s="24"/>
      <c r="E4576" s="14"/>
      <c r="F4576" s="14"/>
      <c r="G4576" s="14"/>
      <c r="H4576" s="23"/>
      <c r="I4576" s="27"/>
      <c r="J4576" s="23"/>
      <c r="K4576" s="30"/>
      <c r="L4576" s="23"/>
      <c r="M4576" s="20"/>
      <c r="N4576" s="20"/>
      <c r="O4576" s="20"/>
      <c r="P4576" s="20"/>
    </row>
    <row r="4577">
      <c r="A4577" s="10"/>
      <c r="B4577" s="11"/>
      <c r="C4577" s="10"/>
      <c r="D4577" s="13"/>
      <c r="E4577" s="14"/>
      <c r="F4577" s="14"/>
      <c r="G4577" s="14"/>
      <c r="H4577" s="10"/>
      <c r="I4577" s="17"/>
      <c r="J4577" s="10"/>
      <c r="K4577" s="46"/>
      <c r="L4577" s="10"/>
      <c r="M4577" s="20"/>
      <c r="N4577" s="20"/>
      <c r="O4577" s="20"/>
      <c r="P4577" s="20"/>
    </row>
    <row r="4578">
      <c r="A4578" s="23"/>
      <c r="B4578" s="21"/>
      <c r="C4578" s="23"/>
      <c r="D4578" s="24"/>
      <c r="E4578" s="14"/>
      <c r="F4578" s="14"/>
      <c r="G4578" s="14"/>
      <c r="H4578" s="23"/>
      <c r="I4578" s="27"/>
      <c r="J4578" s="23"/>
      <c r="K4578" s="30"/>
      <c r="L4578" s="23"/>
      <c r="M4578" s="20"/>
      <c r="N4578" s="20"/>
      <c r="O4578" s="20"/>
      <c r="P4578" s="20"/>
    </row>
    <row r="4579">
      <c r="A4579" s="10"/>
      <c r="B4579" s="11"/>
      <c r="C4579" s="10"/>
      <c r="D4579" s="13"/>
      <c r="E4579" s="14"/>
      <c r="F4579" s="14"/>
      <c r="G4579" s="14"/>
      <c r="H4579" s="10"/>
      <c r="I4579" s="17"/>
      <c r="J4579" s="10"/>
      <c r="K4579" s="46"/>
      <c r="L4579" s="10"/>
      <c r="M4579" s="20"/>
      <c r="N4579" s="20"/>
      <c r="O4579" s="20"/>
      <c r="P4579" s="20"/>
    </row>
    <row r="4580">
      <c r="A4580" s="23"/>
      <c r="B4580" s="21"/>
      <c r="C4580" s="23"/>
      <c r="D4580" s="24"/>
      <c r="E4580" s="14"/>
      <c r="F4580" s="14"/>
      <c r="G4580" s="14"/>
      <c r="H4580" s="23"/>
      <c r="I4580" s="27"/>
      <c r="J4580" s="23"/>
      <c r="K4580" s="30"/>
      <c r="L4580" s="23"/>
      <c r="M4580" s="20"/>
      <c r="N4580" s="20"/>
      <c r="O4580" s="20"/>
      <c r="P4580" s="20"/>
    </row>
    <row r="4581">
      <c r="A4581" s="10"/>
      <c r="B4581" s="11"/>
      <c r="C4581" s="10"/>
      <c r="D4581" s="13"/>
      <c r="E4581" s="14"/>
      <c r="F4581" s="14"/>
      <c r="G4581" s="14"/>
      <c r="H4581" s="10"/>
      <c r="I4581" s="17"/>
      <c r="J4581" s="10"/>
      <c r="K4581" s="46"/>
      <c r="L4581" s="10"/>
      <c r="M4581" s="20"/>
      <c r="N4581" s="20"/>
      <c r="O4581" s="20"/>
      <c r="P4581" s="20"/>
    </row>
    <row r="4582">
      <c r="A4582" s="23"/>
      <c r="B4582" s="21"/>
      <c r="C4582" s="23"/>
      <c r="D4582" s="24"/>
      <c r="E4582" s="14"/>
      <c r="F4582" s="14"/>
      <c r="G4582" s="14"/>
      <c r="H4582" s="23"/>
      <c r="I4582" s="27"/>
      <c r="J4582" s="23"/>
      <c r="K4582" s="30"/>
      <c r="L4582" s="23"/>
      <c r="M4582" s="20"/>
      <c r="N4582" s="20"/>
      <c r="O4582" s="20"/>
      <c r="P4582" s="20"/>
    </row>
    <row r="4583">
      <c r="A4583" s="10"/>
      <c r="B4583" s="11"/>
      <c r="C4583" s="10"/>
      <c r="D4583" s="13"/>
      <c r="E4583" s="14"/>
      <c r="F4583" s="14"/>
      <c r="G4583" s="14"/>
      <c r="H4583" s="10"/>
      <c r="I4583" s="17"/>
      <c r="J4583" s="10"/>
      <c r="K4583" s="46"/>
      <c r="L4583" s="10"/>
      <c r="M4583" s="20"/>
      <c r="N4583" s="20"/>
      <c r="O4583" s="20"/>
      <c r="P4583" s="20"/>
    </row>
    <row r="4584">
      <c r="A4584" s="23"/>
      <c r="B4584" s="21"/>
      <c r="C4584" s="23"/>
      <c r="D4584" s="24"/>
      <c r="E4584" s="14"/>
      <c r="F4584" s="14"/>
      <c r="G4584" s="14"/>
      <c r="H4584" s="23"/>
      <c r="I4584" s="27"/>
      <c r="J4584" s="23"/>
      <c r="K4584" s="30"/>
      <c r="L4584" s="23"/>
      <c r="M4584" s="20"/>
      <c r="N4584" s="20"/>
      <c r="O4584" s="20"/>
      <c r="P4584" s="20"/>
    </row>
    <row r="4585">
      <c r="A4585" s="10"/>
      <c r="B4585" s="11"/>
      <c r="C4585" s="10"/>
      <c r="D4585" s="13"/>
      <c r="E4585" s="14"/>
      <c r="F4585" s="14"/>
      <c r="G4585" s="14"/>
      <c r="H4585" s="10"/>
      <c r="I4585" s="17"/>
      <c r="J4585" s="10"/>
      <c r="K4585" s="46"/>
      <c r="L4585" s="10"/>
      <c r="M4585" s="20"/>
      <c r="N4585" s="20"/>
      <c r="O4585" s="20"/>
      <c r="P4585" s="20"/>
    </row>
    <row r="4586">
      <c r="A4586" s="23"/>
      <c r="B4586" s="21"/>
      <c r="C4586" s="23"/>
      <c r="D4586" s="24"/>
      <c r="E4586" s="14"/>
      <c r="F4586" s="14"/>
      <c r="G4586" s="14"/>
      <c r="H4586" s="23"/>
      <c r="I4586" s="27"/>
      <c r="J4586" s="23"/>
      <c r="K4586" s="30"/>
      <c r="L4586" s="23"/>
      <c r="M4586" s="20"/>
      <c r="N4586" s="20"/>
      <c r="O4586" s="20"/>
      <c r="P4586" s="20"/>
    </row>
    <row r="4587">
      <c r="A4587" s="10"/>
      <c r="B4587" s="11"/>
      <c r="C4587" s="10"/>
      <c r="D4587" s="13"/>
      <c r="E4587" s="14"/>
      <c r="F4587" s="14"/>
      <c r="G4587" s="14"/>
      <c r="H4587" s="10"/>
      <c r="I4587" s="17"/>
      <c r="J4587" s="10"/>
      <c r="K4587" s="46"/>
      <c r="L4587" s="10"/>
      <c r="M4587" s="20"/>
      <c r="N4587" s="20"/>
      <c r="O4587" s="20"/>
      <c r="P4587" s="20"/>
    </row>
    <row r="4588">
      <c r="A4588" s="23"/>
      <c r="B4588" s="21"/>
      <c r="C4588" s="23"/>
      <c r="D4588" s="24"/>
      <c r="E4588" s="14"/>
      <c r="F4588" s="14"/>
      <c r="G4588" s="14"/>
      <c r="H4588" s="23"/>
      <c r="I4588" s="27"/>
      <c r="J4588" s="23"/>
      <c r="K4588" s="30"/>
      <c r="L4588" s="23"/>
      <c r="M4588" s="20"/>
      <c r="N4588" s="20"/>
      <c r="O4588" s="20"/>
      <c r="P4588" s="20"/>
    </row>
    <row r="4589">
      <c r="A4589" s="10"/>
      <c r="B4589" s="11"/>
      <c r="C4589" s="10"/>
      <c r="D4589" s="13"/>
      <c r="E4589" s="14"/>
      <c r="F4589" s="14"/>
      <c r="G4589" s="14"/>
      <c r="H4589" s="10"/>
      <c r="I4589" s="17"/>
      <c r="J4589" s="10"/>
      <c r="K4589" s="46"/>
      <c r="L4589" s="10"/>
      <c r="M4589" s="20"/>
      <c r="N4589" s="20"/>
      <c r="O4589" s="20"/>
      <c r="P4589" s="20"/>
    </row>
    <row r="4590">
      <c r="A4590" s="23"/>
      <c r="B4590" s="21"/>
      <c r="C4590" s="23"/>
      <c r="D4590" s="24"/>
      <c r="E4590" s="14"/>
      <c r="F4590" s="14"/>
      <c r="G4590" s="14"/>
      <c r="H4590" s="23"/>
      <c r="I4590" s="27"/>
      <c r="J4590" s="23"/>
      <c r="K4590" s="30"/>
      <c r="L4590" s="23"/>
      <c r="M4590" s="20"/>
      <c r="N4590" s="20"/>
      <c r="O4590" s="20"/>
      <c r="P4590" s="20"/>
    </row>
    <row r="4591">
      <c r="A4591" s="10"/>
      <c r="B4591" s="11"/>
      <c r="C4591" s="10"/>
      <c r="D4591" s="13"/>
      <c r="E4591" s="14"/>
      <c r="F4591" s="14"/>
      <c r="G4591" s="14"/>
      <c r="H4591" s="10"/>
      <c r="I4591" s="17"/>
      <c r="J4591" s="10"/>
      <c r="K4591" s="46"/>
      <c r="L4591" s="10"/>
      <c r="M4591" s="20"/>
      <c r="N4591" s="20"/>
      <c r="O4591" s="20"/>
      <c r="P4591" s="20"/>
    </row>
    <row r="4592">
      <c r="A4592" s="23"/>
      <c r="B4592" s="21"/>
      <c r="C4592" s="23"/>
      <c r="D4592" s="24"/>
      <c r="E4592" s="14"/>
      <c r="F4592" s="14"/>
      <c r="G4592" s="14"/>
      <c r="H4592" s="23"/>
      <c r="I4592" s="27"/>
      <c r="J4592" s="23"/>
      <c r="K4592" s="30"/>
      <c r="L4592" s="23"/>
      <c r="M4592" s="20"/>
      <c r="N4592" s="20"/>
      <c r="O4592" s="20"/>
      <c r="P4592" s="20"/>
    </row>
    <row r="4593">
      <c r="A4593" s="10"/>
      <c r="B4593" s="11"/>
      <c r="C4593" s="10"/>
      <c r="D4593" s="13"/>
      <c r="E4593" s="14"/>
      <c r="F4593" s="14"/>
      <c r="G4593" s="14"/>
      <c r="H4593" s="10"/>
      <c r="I4593" s="17"/>
      <c r="J4593" s="10"/>
      <c r="K4593" s="46"/>
      <c r="L4593" s="10"/>
      <c r="M4593" s="20"/>
      <c r="N4593" s="20"/>
      <c r="O4593" s="20"/>
      <c r="P4593" s="20"/>
    </row>
    <row r="4594">
      <c r="A4594" s="23"/>
      <c r="B4594" s="21"/>
      <c r="C4594" s="23"/>
      <c r="D4594" s="24"/>
      <c r="E4594" s="14"/>
      <c r="F4594" s="14"/>
      <c r="G4594" s="14"/>
      <c r="H4594" s="23"/>
      <c r="I4594" s="27"/>
      <c r="J4594" s="23"/>
      <c r="K4594" s="30"/>
      <c r="L4594" s="23"/>
      <c r="M4594" s="20"/>
      <c r="N4594" s="20"/>
      <c r="O4594" s="20"/>
      <c r="P4594" s="20"/>
    </row>
    <row r="4595">
      <c r="A4595" s="10"/>
      <c r="B4595" s="11"/>
      <c r="C4595" s="10"/>
      <c r="D4595" s="13"/>
      <c r="E4595" s="14"/>
      <c r="F4595" s="14"/>
      <c r="G4595" s="14"/>
      <c r="H4595" s="10"/>
      <c r="I4595" s="17"/>
      <c r="J4595" s="10"/>
      <c r="K4595" s="46"/>
      <c r="L4595" s="10"/>
      <c r="M4595" s="20"/>
      <c r="N4595" s="20"/>
      <c r="O4595" s="20"/>
      <c r="P4595" s="20"/>
    </row>
    <row r="4596">
      <c r="A4596" s="23"/>
      <c r="B4596" s="21"/>
      <c r="C4596" s="23"/>
      <c r="D4596" s="24"/>
      <c r="E4596" s="14"/>
      <c r="F4596" s="14"/>
      <c r="G4596" s="14"/>
      <c r="H4596" s="23"/>
      <c r="I4596" s="27"/>
      <c r="J4596" s="23"/>
      <c r="K4596" s="30"/>
      <c r="L4596" s="23"/>
      <c r="M4596" s="20"/>
      <c r="N4596" s="20"/>
      <c r="O4596" s="20"/>
      <c r="P4596" s="20"/>
    </row>
    <row r="4597">
      <c r="A4597" s="10"/>
      <c r="B4597" s="11"/>
      <c r="C4597" s="10"/>
      <c r="D4597" s="13"/>
      <c r="E4597" s="14"/>
      <c r="F4597" s="14"/>
      <c r="G4597" s="14"/>
      <c r="H4597" s="10"/>
      <c r="I4597" s="17"/>
      <c r="J4597" s="10"/>
      <c r="K4597" s="46"/>
      <c r="L4597" s="10"/>
      <c r="M4597" s="20"/>
      <c r="N4597" s="20"/>
      <c r="O4597" s="20"/>
      <c r="P4597" s="20"/>
    </row>
    <row r="4598">
      <c r="A4598" s="23"/>
      <c r="B4598" s="21"/>
      <c r="C4598" s="23"/>
      <c r="D4598" s="24"/>
      <c r="E4598" s="14"/>
      <c r="F4598" s="14"/>
      <c r="G4598" s="14"/>
      <c r="H4598" s="23"/>
      <c r="I4598" s="27"/>
      <c r="J4598" s="23"/>
      <c r="K4598" s="30"/>
      <c r="L4598" s="23"/>
      <c r="M4598" s="20"/>
      <c r="N4598" s="20"/>
      <c r="O4598" s="20"/>
      <c r="P4598" s="20"/>
    </row>
    <row r="4599">
      <c r="A4599" s="10"/>
      <c r="B4599" s="11"/>
      <c r="C4599" s="10"/>
      <c r="D4599" s="13"/>
      <c r="E4599" s="14"/>
      <c r="F4599" s="14"/>
      <c r="G4599" s="14"/>
      <c r="H4599" s="10"/>
      <c r="I4599" s="17"/>
      <c r="J4599" s="10"/>
      <c r="K4599" s="46"/>
      <c r="L4599" s="10"/>
      <c r="M4599" s="20"/>
      <c r="N4599" s="20"/>
      <c r="O4599" s="20"/>
      <c r="P4599" s="20"/>
    </row>
    <row r="4600">
      <c r="A4600" s="23"/>
      <c r="B4600" s="21"/>
      <c r="C4600" s="23"/>
      <c r="D4600" s="24"/>
      <c r="E4600" s="14"/>
      <c r="F4600" s="14"/>
      <c r="G4600" s="14"/>
      <c r="H4600" s="23"/>
      <c r="I4600" s="27"/>
      <c r="J4600" s="23"/>
      <c r="K4600" s="30"/>
      <c r="L4600" s="23"/>
      <c r="M4600" s="20"/>
      <c r="N4600" s="20"/>
      <c r="O4600" s="20"/>
      <c r="P4600" s="20"/>
    </row>
    <row r="4601">
      <c r="A4601" s="10"/>
      <c r="B4601" s="11"/>
      <c r="C4601" s="10"/>
      <c r="D4601" s="13"/>
      <c r="E4601" s="14"/>
      <c r="F4601" s="14"/>
      <c r="G4601" s="14"/>
      <c r="H4601" s="10"/>
      <c r="I4601" s="17"/>
      <c r="J4601" s="10"/>
      <c r="K4601" s="46"/>
      <c r="L4601" s="10"/>
      <c r="M4601" s="20"/>
      <c r="N4601" s="20"/>
      <c r="O4601" s="20"/>
      <c r="P4601" s="20"/>
    </row>
    <row r="4602">
      <c r="A4602" s="23"/>
      <c r="B4602" s="21"/>
      <c r="C4602" s="23"/>
      <c r="D4602" s="24"/>
      <c r="E4602" s="14"/>
      <c r="F4602" s="14"/>
      <c r="G4602" s="14"/>
      <c r="H4602" s="23"/>
      <c r="I4602" s="27"/>
      <c r="J4602" s="23"/>
      <c r="K4602" s="30"/>
      <c r="L4602" s="23"/>
      <c r="M4602" s="20"/>
      <c r="N4602" s="20"/>
      <c r="O4602" s="20"/>
      <c r="P4602" s="20"/>
    </row>
    <row r="4603">
      <c r="A4603" s="10"/>
      <c r="B4603" s="11"/>
      <c r="C4603" s="10"/>
      <c r="D4603" s="13"/>
      <c r="E4603" s="14"/>
      <c r="F4603" s="14"/>
      <c r="G4603" s="14"/>
      <c r="H4603" s="10"/>
      <c r="I4603" s="17"/>
      <c r="J4603" s="10"/>
      <c r="K4603" s="46"/>
      <c r="L4603" s="10"/>
      <c r="M4603" s="20"/>
      <c r="N4603" s="20"/>
      <c r="O4603" s="20"/>
      <c r="P4603" s="20"/>
    </row>
    <row r="4604">
      <c r="A4604" s="23"/>
      <c r="B4604" s="21"/>
      <c r="C4604" s="23"/>
      <c r="D4604" s="24"/>
      <c r="E4604" s="14"/>
      <c r="F4604" s="14"/>
      <c r="G4604" s="14"/>
      <c r="H4604" s="23"/>
      <c r="I4604" s="27"/>
      <c r="J4604" s="23"/>
      <c r="K4604" s="30"/>
      <c r="L4604" s="23"/>
      <c r="M4604" s="20"/>
      <c r="N4604" s="20"/>
      <c r="O4604" s="20"/>
      <c r="P4604" s="20"/>
    </row>
    <row r="4605">
      <c r="A4605" s="10"/>
      <c r="B4605" s="11"/>
      <c r="C4605" s="10"/>
      <c r="D4605" s="13"/>
      <c r="E4605" s="14"/>
      <c r="F4605" s="14"/>
      <c r="G4605" s="14"/>
      <c r="H4605" s="10"/>
      <c r="I4605" s="17"/>
      <c r="J4605" s="10"/>
      <c r="K4605" s="46"/>
      <c r="L4605" s="10"/>
      <c r="M4605" s="20"/>
      <c r="N4605" s="20"/>
      <c r="O4605" s="20"/>
      <c r="P4605" s="20"/>
    </row>
    <row r="4606">
      <c r="A4606" s="23"/>
      <c r="B4606" s="21"/>
      <c r="C4606" s="23"/>
      <c r="D4606" s="24"/>
      <c r="E4606" s="14"/>
      <c r="F4606" s="14"/>
      <c r="G4606" s="14"/>
      <c r="H4606" s="23"/>
      <c r="I4606" s="27"/>
      <c r="J4606" s="23"/>
      <c r="K4606" s="30"/>
      <c r="L4606" s="23"/>
      <c r="M4606" s="20"/>
      <c r="N4606" s="20"/>
      <c r="O4606" s="20"/>
      <c r="P4606" s="20"/>
    </row>
    <row r="4607">
      <c r="A4607" s="10"/>
      <c r="B4607" s="11"/>
      <c r="C4607" s="10"/>
      <c r="D4607" s="13"/>
      <c r="E4607" s="14"/>
      <c r="F4607" s="14"/>
      <c r="G4607" s="14"/>
      <c r="H4607" s="10"/>
      <c r="I4607" s="17"/>
      <c r="J4607" s="10"/>
      <c r="K4607" s="46"/>
      <c r="L4607" s="10"/>
      <c r="M4607" s="20"/>
      <c r="N4607" s="20"/>
      <c r="O4607" s="20"/>
      <c r="P4607" s="20"/>
    </row>
    <row r="4608">
      <c r="A4608" s="23"/>
      <c r="B4608" s="21"/>
      <c r="C4608" s="23"/>
      <c r="D4608" s="24"/>
      <c r="E4608" s="14"/>
      <c r="F4608" s="14"/>
      <c r="G4608" s="14"/>
      <c r="H4608" s="23"/>
      <c r="I4608" s="27"/>
      <c r="J4608" s="23"/>
      <c r="K4608" s="30"/>
      <c r="L4608" s="23"/>
      <c r="M4608" s="20"/>
      <c r="N4608" s="20"/>
      <c r="O4608" s="20"/>
      <c r="P4608" s="20"/>
    </row>
    <row r="4609">
      <c r="A4609" s="10"/>
      <c r="B4609" s="11"/>
      <c r="C4609" s="10"/>
      <c r="D4609" s="13"/>
      <c r="E4609" s="14"/>
      <c r="F4609" s="14"/>
      <c r="G4609" s="14"/>
      <c r="H4609" s="10"/>
      <c r="I4609" s="17"/>
      <c r="J4609" s="10"/>
      <c r="K4609" s="46"/>
      <c r="L4609" s="10"/>
      <c r="M4609" s="20"/>
      <c r="N4609" s="20"/>
      <c r="O4609" s="20"/>
      <c r="P4609" s="20"/>
    </row>
    <row r="4610">
      <c r="A4610" s="23"/>
      <c r="B4610" s="21"/>
      <c r="C4610" s="23"/>
      <c r="D4610" s="24"/>
      <c r="E4610" s="14"/>
      <c r="F4610" s="14"/>
      <c r="G4610" s="14"/>
      <c r="H4610" s="23"/>
      <c r="I4610" s="27"/>
      <c r="J4610" s="23"/>
      <c r="K4610" s="30"/>
      <c r="L4610" s="23"/>
      <c r="M4610" s="20"/>
      <c r="N4610" s="20"/>
      <c r="O4610" s="20"/>
      <c r="P4610" s="20"/>
    </row>
    <row r="4611">
      <c r="A4611" s="10"/>
      <c r="B4611" s="11"/>
      <c r="C4611" s="10"/>
      <c r="D4611" s="13"/>
      <c r="E4611" s="14"/>
      <c r="F4611" s="14"/>
      <c r="G4611" s="14"/>
      <c r="H4611" s="10"/>
      <c r="I4611" s="17"/>
      <c r="J4611" s="10"/>
      <c r="K4611" s="46"/>
      <c r="L4611" s="10"/>
      <c r="M4611" s="20"/>
      <c r="N4611" s="20"/>
      <c r="O4611" s="20"/>
      <c r="P4611" s="20"/>
    </row>
    <row r="4612">
      <c r="A4612" s="23"/>
      <c r="B4612" s="21"/>
      <c r="C4612" s="23"/>
      <c r="D4612" s="24"/>
      <c r="E4612" s="14"/>
      <c r="F4612" s="14"/>
      <c r="G4612" s="14"/>
      <c r="H4612" s="23"/>
      <c r="I4612" s="27"/>
      <c r="J4612" s="23"/>
      <c r="K4612" s="30"/>
      <c r="L4612" s="23"/>
      <c r="M4612" s="20"/>
      <c r="N4612" s="20"/>
      <c r="O4612" s="20"/>
      <c r="P4612" s="20"/>
    </row>
    <row r="4613">
      <c r="A4613" s="10"/>
      <c r="B4613" s="11"/>
      <c r="C4613" s="10"/>
      <c r="D4613" s="13"/>
      <c r="E4613" s="14"/>
      <c r="F4613" s="14"/>
      <c r="G4613" s="14"/>
      <c r="H4613" s="10"/>
      <c r="I4613" s="17"/>
      <c r="J4613" s="10"/>
      <c r="K4613" s="46"/>
      <c r="L4613" s="10"/>
      <c r="M4613" s="20"/>
      <c r="N4613" s="20"/>
      <c r="O4613" s="20"/>
      <c r="P4613" s="20"/>
    </row>
    <row r="4614">
      <c r="A4614" s="23"/>
      <c r="B4614" s="21"/>
      <c r="C4614" s="23"/>
      <c r="D4614" s="24"/>
      <c r="E4614" s="14"/>
      <c r="F4614" s="14"/>
      <c r="G4614" s="14"/>
      <c r="H4614" s="23"/>
      <c r="I4614" s="27"/>
      <c r="J4614" s="23"/>
      <c r="K4614" s="30"/>
      <c r="L4614" s="23"/>
      <c r="M4614" s="20"/>
      <c r="N4614" s="20"/>
      <c r="O4614" s="20"/>
      <c r="P4614" s="20"/>
    </row>
    <row r="4615">
      <c r="A4615" s="10"/>
      <c r="B4615" s="11"/>
      <c r="C4615" s="10"/>
      <c r="D4615" s="13"/>
      <c r="E4615" s="14"/>
      <c r="F4615" s="14"/>
      <c r="G4615" s="14"/>
      <c r="H4615" s="10"/>
      <c r="I4615" s="17"/>
      <c r="J4615" s="10"/>
      <c r="K4615" s="46"/>
      <c r="L4615" s="10"/>
      <c r="M4615" s="20"/>
      <c r="N4615" s="20"/>
      <c r="O4615" s="20"/>
      <c r="P4615" s="20"/>
    </row>
    <row r="4616">
      <c r="A4616" s="23"/>
      <c r="B4616" s="21"/>
      <c r="C4616" s="23"/>
      <c r="D4616" s="24"/>
      <c r="E4616" s="14"/>
      <c r="F4616" s="14"/>
      <c r="G4616" s="14"/>
      <c r="H4616" s="23"/>
      <c r="I4616" s="27"/>
      <c r="J4616" s="23"/>
      <c r="K4616" s="30"/>
      <c r="L4616" s="23"/>
      <c r="M4616" s="20"/>
      <c r="N4616" s="20"/>
      <c r="O4616" s="20"/>
      <c r="P4616" s="20"/>
    </row>
    <row r="4617">
      <c r="A4617" s="10"/>
      <c r="B4617" s="11"/>
      <c r="C4617" s="10"/>
      <c r="D4617" s="13"/>
      <c r="E4617" s="14"/>
      <c r="F4617" s="14"/>
      <c r="G4617" s="14"/>
      <c r="H4617" s="10"/>
      <c r="I4617" s="17"/>
      <c r="J4617" s="10"/>
      <c r="K4617" s="46"/>
      <c r="L4617" s="10"/>
      <c r="M4617" s="20"/>
      <c r="N4617" s="20"/>
      <c r="O4617" s="20"/>
      <c r="P4617" s="20"/>
    </row>
    <row r="4618">
      <c r="A4618" s="23"/>
      <c r="B4618" s="21"/>
      <c r="C4618" s="23"/>
      <c r="D4618" s="24"/>
      <c r="E4618" s="14"/>
      <c r="F4618" s="14"/>
      <c r="G4618" s="14"/>
      <c r="H4618" s="23"/>
      <c r="I4618" s="27"/>
      <c r="J4618" s="23"/>
      <c r="K4618" s="30"/>
      <c r="L4618" s="23"/>
      <c r="M4618" s="20"/>
      <c r="N4618" s="20"/>
      <c r="O4618" s="20"/>
      <c r="P4618" s="20"/>
    </row>
    <row r="4619">
      <c r="A4619" s="10"/>
      <c r="B4619" s="11"/>
      <c r="C4619" s="10"/>
      <c r="D4619" s="13"/>
      <c r="E4619" s="14"/>
      <c r="F4619" s="14"/>
      <c r="G4619" s="14"/>
      <c r="H4619" s="10"/>
      <c r="I4619" s="17"/>
      <c r="J4619" s="10"/>
      <c r="K4619" s="46"/>
      <c r="L4619" s="10"/>
      <c r="M4619" s="20"/>
      <c r="N4619" s="20"/>
      <c r="O4619" s="20"/>
      <c r="P4619" s="20"/>
    </row>
    <row r="4620">
      <c r="A4620" s="23"/>
      <c r="B4620" s="21"/>
      <c r="C4620" s="23"/>
      <c r="D4620" s="24"/>
      <c r="E4620" s="14"/>
      <c r="F4620" s="14"/>
      <c r="G4620" s="14"/>
      <c r="H4620" s="23"/>
      <c r="I4620" s="27"/>
      <c r="J4620" s="23"/>
      <c r="K4620" s="30"/>
      <c r="L4620" s="23"/>
      <c r="M4620" s="20"/>
      <c r="N4620" s="20"/>
      <c r="O4620" s="20"/>
      <c r="P4620" s="20"/>
    </row>
    <row r="4621">
      <c r="A4621" s="10"/>
      <c r="B4621" s="11"/>
      <c r="C4621" s="10"/>
      <c r="D4621" s="13"/>
      <c r="E4621" s="14"/>
      <c r="F4621" s="14"/>
      <c r="G4621" s="14"/>
      <c r="H4621" s="10"/>
      <c r="I4621" s="17"/>
      <c r="J4621" s="10"/>
      <c r="K4621" s="46"/>
      <c r="L4621" s="10"/>
      <c r="M4621" s="20"/>
      <c r="N4621" s="20"/>
      <c r="O4621" s="20"/>
      <c r="P4621" s="20"/>
    </row>
    <row r="4622">
      <c r="A4622" s="23"/>
      <c r="B4622" s="21"/>
      <c r="C4622" s="23"/>
      <c r="D4622" s="24"/>
      <c r="E4622" s="14"/>
      <c r="F4622" s="14"/>
      <c r="G4622" s="14"/>
      <c r="H4622" s="23"/>
      <c r="I4622" s="27"/>
      <c r="J4622" s="23"/>
      <c r="K4622" s="30"/>
      <c r="L4622" s="23"/>
      <c r="M4622" s="20"/>
      <c r="N4622" s="20"/>
      <c r="O4622" s="20"/>
      <c r="P4622" s="20"/>
    </row>
    <row r="4623">
      <c r="A4623" s="10"/>
      <c r="B4623" s="11"/>
      <c r="C4623" s="10"/>
      <c r="D4623" s="13"/>
      <c r="E4623" s="14"/>
      <c r="F4623" s="14"/>
      <c r="G4623" s="14"/>
      <c r="H4623" s="10"/>
      <c r="I4623" s="17"/>
      <c r="J4623" s="10"/>
      <c r="K4623" s="46"/>
      <c r="L4623" s="10"/>
      <c r="M4623" s="20"/>
      <c r="N4623" s="20"/>
      <c r="O4623" s="20"/>
      <c r="P4623" s="20"/>
    </row>
    <row r="4624">
      <c r="A4624" s="23"/>
      <c r="B4624" s="21"/>
      <c r="C4624" s="23"/>
      <c r="D4624" s="24"/>
      <c r="E4624" s="14"/>
      <c r="F4624" s="14"/>
      <c r="G4624" s="14"/>
      <c r="H4624" s="23"/>
      <c r="I4624" s="27"/>
      <c r="J4624" s="23"/>
      <c r="K4624" s="30"/>
      <c r="L4624" s="23"/>
      <c r="M4624" s="20"/>
      <c r="N4624" s="20"/>
      <c r="O4624" s="20"/>
      <c r="P4624" s="20"/>
    </row>
    <row r="4625">
      <c r="A4625" s="10"/>
      <c r="B4625" s="11"/>
      <c r="C4625" s="10"/>
      <c r="D4625" s="13"/>
      <c r="E4625" s="14"/>
      <c r="F4625" s="14"/>
      <c r="G4625" s="14"/>
      <c r="H4625" s="10"/>
      <c r="I4625" s="17"/>
      <c r="J4625" s="10"/>
      <c r="K4625" s="46"/>
      <c r="L4625" s="10"/>
      <c r="M4625" s="20"/>
      <c r="N4625" s="20"/>
      <c r="O4625" s="20"/>
      <c r="P4625" s="20"/>
    </row>
    <row r="4626">
      <c r="A4626" s="23"/>
      <c r="B4626" s="21"/>
      <c r="C4626" s="23"/>
      <c r="D4626" s="24"/>
      <c r="E4626" s="14"/>
      <c r="F4626" s="14"/>
      <c r="G4626" s="14"/>
      <c r="H4626" s="23"/>
      <c r="I4626" s="27"/>
      <c r="J4626" s="23"/>
      <c r="K4626" s="30"/>
      <c r="L4626" s="23"/>
      <c r="M4626" s="20"/>
      <c r="N4626" s="20"/>
      <c r="O4626" s="20"/>
      <c r="P4626" s="20"/>
    </row>
    <row r="4627">
      <c r="A4627" s="10"/>
      <c r="B4627" s="11"/>
      <c r="C4627" s="10"/>
      <c r="D4627" s="13"/>
      <c r="E4627" s="14"/>
      <c r="F4627" s="14"/>
      <c r="G4627" s="14"/>
      <c r="H4627" s="10"/>
      <c r="I4627" s="17"/>
      <c r="J4627" s="10"/>
      <c r="K4627" s="46"/>
      <c r="L4627" s="10"/>
      <c r="M4627" s="20"/>
      <c r="N4627" s="20"/>
      <c r="O4627" s="20"/>
      <c r="P4627" s="20"/>
    </row>
    <row r="4628">
      <c r="A4628" s="23"/>
      <c r="B4628" s="21"/>
      <c r="C4628" s="23"/>
      <c r="D4628" s="24"/>
      <c r="E4628" s="14"/>
      <c r="F4628" s="14"/>
      <c r="G4628" s="14"/>
      <c r="H4628" s="23"/>
      <c r="I4628" s="27"/>
      <c r="J4628" s="23"/>
      <c r="K4628" s="30"/>
      <c r="L4628" s="23"/>
      <c r="M4628" s="20"/>
      <c r="N4628" s="20"/>
      <c r="O4628" s="20"/>
      <c r="P4628" s="20"/>
    </row>
    <row r="4629">
      <c r="A4629" s="10"/>
      <c r="B4629" s="11"/>
      <c r="C4629" s="10"/>
      <c r="D4629" s="13"/>
      <c r="E4629" s="14"/>
      <c r="F4629" s="14"/>
      <c r="G4629" s="14"/>
      <c r="H4629" s="10"/>
      <c r="I4629" s="17"/>
      <c r="J4629" s="10"/>
      <c r="K4629" s="46"/>
      <c r="L4629" s="10"/>
      <c r="M4629" s="20"/>
      <c r="N4629" s="20"/>
      <c r="O4629" s="20"/>
      <c r="P4629" s="20"/>
    </row>
    <row r="4630">
      <c r="A4630" s="23"/>
      <c r="B4630" s="21"/>
      <c r="C4630" s="23"/>
      <c r="D4630" s="24"/>
      <c r="E4630" s="14"/>
      <c r="F4630" s="14"/>
      <c r="G4630" s="14"/>
      <c r="H4630" s="23"/>
      <c r="I4630" s="27"/>
      <c r="J4630" s="23"/>
      <c r="K4630" s="30"/>
      <c r="L4630" s="23"/>
      <c r="M4630" s="20"/>
      <c r="N4630" s="20"/>
      <c r="O4630" s="20"/>
      <c r="P4630" s="20"/>
    </row>
    <row r="4631">
      <c r="A4631" s="10"/>
      <c r="B4631" s="11"/>
      <c r="C4631" s="10"/>
      <c r="D4631" s="13"/>
      <c r="E4631" s="14"/>
      <c r="F4631" s="14"/>
      <c r="G4631" s="14"/>
      <c r="H4631" s="10"/>
      <c r="I4631" s="17"/>
      <c r="J4631" s="10"/>
      <c r="K4631" s="46"/>
      <c r="L4631" s="10"/>
      <c r="M4631" s="20"/>
      <c r="N4631" s="20"/>
      <c r="O4631" s="20"/>
      <c r="P4631" s="20"/>
    </row>
    <row r="4632">
      <c r="A4632" s="23"/>
      <c r="B4632" s="21"/>
      <c r="C4632" s="23"/>
      <c r="D4632" s="24"/>
      <c r="E4632" s="14"/>
      <c r="F4632" s="14"/>
      <c r="G4632" s="14"/>
      <c r="H4632" s="23"/>
      <c r="I4632" s="27"/>
      <c r="J4632" s="23"/>
      <c r="K4632" s="30"/>
      <c r="L4632" s="23"/>
      <c r="M4632" s="20"/>
      <c r="N4632" s="20"/>
      <c r="O4632" s="20"/>
      <c r="P4632" s="20"/>
    </row>
    <row r="4633">
      <c r="A4633" s="10"/>
      <c r="B4633" s="11"/>
      <c r="C4633" s="10"/>
      <c r="D4633" s="13"/>
      <c r="E4633" s="14"/>
      <c r="F4633" s="14"/>
      <c r="G4633" s="14"/>
      <c r="H4633" s="10"/>
      <c r="I4633" s="17"/>
      <c r="J4633" s="10"/>
      <c r="K4633" s="46"/>
      <c r="L4633" s="10"/>
      <c r="M4633" s="20"/>
      <c r="N4633" s="20"/>
      <c r="O4633" s="20"/>
      <c r="P4633" s="20"/>
    </row>
    <row r="4634">
      <c r="A4634" s="23"/>
      <c r="B4634" s="21"/>
      <c r="C4634" s="23"/>
      <c r="D4634" s="24"/>
      <c r="E4634" s="14"/>
      <c r="F4634" s="14"/>
      <c r="G4634" s="14"/>
      <c r="H4634" s="23"/>
      <c r="I4634" s="27"/>
      <c r="J4634" s="23"/>
      <c r="K4634" s="30"/>
      <c r="L4634" s="23"/>
      <c r="M4634" s="20"/>
      <c r="N4634" s="20"/>
      <c r="O4634" s="20"/>
      <c r="P4634" s="20"/>
    </row>
    <row r="4635">
      <c r="A4635" s="10"/>
      <c r="B4635" s="11"/>
      <c r="C4635" s="10"/>
      <c r="D4635" s="13"/>
      <c r="E4635" s="14"/>
      <c r="F4635" s="14"/>
      <c r="G4635" s="14"/>
      <c r="H4635" s="10"/>
      <c r="I4635" s="17"/>
      <c r="J4635" s="10"/>
      <c r="K4635" s="46"/>
      <c r="L4635" s="10"/>
      <c r="M4635" s="20"/>
      <c r="N4635" s="20"/>
      <c r="O4635" s="20"/>
      <c r="P4635" s="20"/>
    </row>
    <row r="4636">
      <c r="A4636" s="23"/>
      <c r="B4636" s="21"/>
      <c r="C4636" s="23"/>
      <c r="D4636" s="24"/>
      <c r="E4636" s="14"/>
      <c r="F4636" s="14"/>
      <c r="G4636" s="14"/>
      <c r="H4636" s="23"/>
      <c r="I4636" s="27"/>
      <c r="J4636" s="23"/>
      <c r="K4636" s="30"/>
      <c r="L4636" s="23"/>
      <c r="M4636" s="20"/>
      <c r="N4636" s="20"/>
      <c r="O4636" s="20"/>
      <c r="P4636" s="20"/>
    </row>
    <row r="4637">
      <c r="A4637" s="10"/>
      <c r="B4637" s="11"/>
      <c r="C4637" s="10"/>
      <c r="D4637" s="13"/>
      <c r="E4637" s="14"/>
      <c r="F4637" s="14"/>
      <c r="G4637" s="14"/>
      <c r="H4637" s="10"/>
      <c r="I4637" s="17"/>
      <c r="J4637" s="10"/>
      <c r="K4637" s="46"/>
      <c r="L4637" s="10"/>
      <c r="M4637" s="20"/>
      <c r="N4637" s="20"/>
      <c r="O4637" s="20"/>
      <c r="P4637" s="20"/>
    </row>
    <row r="4638">
      <c r="A4638" s="23"/>
      <c r="B4638" s="21"/>
      <c r="C4638" s="23"/>
      <c r="D4638" s="24"/>
      <c r="E4638" s="14"/>
      <c r="F4638" s="14"/>
      <c r="G4638" s="14"/>
      <c r="H4638" s="23"/>
      <c r="I4638" s="27"/>
      <c r="J4638" s="23"/>
      <c r="K4638" s="30"/>
      <c r="L4638" s="23"/>
      <c r="M4638" s="20"/>
      <c r="N4638" s="20"/>
      <c r="O4638" s="20"/>
      <c r="P4638" s="20"/>
    </row>
    <row r="4639">
      <c r="A4639" s="10"/>
      <c r="B4639" s="11"/>
      <c r="C4639" s="10"/>
      <c r="D4639" s="13"/>
      <c r="E4639" s="14"/>
      <c r="F4639" s="14"/>
      <c r="G4639" s="14"/>
      <c r="H4639" s="10"/>
      <c r="I4639" s="17"/>
      <c r="J4639" s="10"/>
      <c r="K4639" s="46"/>
      <c r="L4639" s="10"/>
      <c r="M4639" s="20"/>
      <c r="N4639" s="20"/>
      <c r="O4639" s="20"/>
      <c r="P4639" s="20"/>
    </row>
    <row r="4640">
      <c r="A4640" s="23"/>
      <c r="B4640" s="21"/>
      <c r="C4640" s="23"/>
      <c r="D4640" s="24"/>
      <c r="E4640" s="14"/>
      <c r="F4640" s="14"/>
      <c r="G4640" s="14"/>
      <c r="H4640" s="23"/>
      <c r="I4640" s="27"/>
      <c r="J4640" s="23"/>
      <c r="K4640" s="30"/>
      <c r="L4640" s="23"/>
      <c r="M4640" s="20"/>
      <c r="N4640" s="20"/>
      <c r="O4640" s="20"/>
      <c r="P4640" s="20"/>
    </row>
    <row r="4641">
      <c r="A4641" s="10"/>
      <c r="B4641" s="11"/>
      <c r="C4641" s="10"/>
      <c r="D4641" s="13"/>
      <c r="E4641" s="14"/>
      <c r="F4641" s="14"/>
      <c r="G4641" s="14"/>
      <c r="H4641" s="10"/>
      <c r="I4641" s="17"/>
      <c r="J4641" s="10"/>
      <c r="K4641" s="46"/>
      <c r="L4641" s="10"/>
      <c r="M4641" s="20"/>
      <c r="N4641" s="20"/>
      <c r="O4641" s="20"/>
      <c r="P4641" s="20"/>
    </row>
    <row r="4642">
      <c r="A4642" s="23"/>
      <c r="B4642" s="21"/>
      <c r="C4642" s="23"/>
      <c r="D4642" s="24"/>
      <c r="E4642" s="14"/>
      <c r="F4642" s="14"/>
      <c r="G4642" s="14"/>
      <c r="H4642" s="23"/>
      <c r="I4642" s="27"/>
      <c r="J4642" s="23"/>
      <c r="K4642" s="30"/>
      <c r="L4642" s="23"/>
      <c r="M4642" s="20"/>
      <c r="N4642" s="20"/>
      <c r="O4642" s="20"/>
      <c r="P4642" s="20"/>
    </row>
    <row r="4643">
      <c r="A4643" s="10"/>
      <c r="B4643" s="11"/>
      <c r="C4643" s="10"/>
      <c r="D4643" s="13"/>
      <c r="E4643" s="14"/>
      <c r="F4643" s="14"/>
      <c r="G4643" s="14"/>
      <c r="H4643" s="10"/>
      <c r="I4643" s="17"/>
      <c r="J4643" s="10"/>
      <c r="K4643" s="46"/>
      <c r="L4643" s="10"/>
      <c r="M4643" s="20"/>
      <c r="N4643" s="20"/>
      <c r="O4643" s="20"/>
      <c r="P4643" s="20"/>
    </row>
    <row r="4644">
      <c r="A4644" s="23"/>
      <c r="B4644" s="21"/>
      <c r="C4644" s="23"/>
      <c r="D4644" s="24"/>
      <c r="E4644" s="14"/>
      <c r="F4644" s="14"/>
      <c r="G4644" s="14"/>
      <c r="H4644" s="23"/>
      <c r="I4644" s="27"/>
      <c r="J4644" s="23"/>
      <c r="K4644" s="30"/>
      <c r="L4644" s="23"/>
      <c r="M4644" s="20"/>
      <c r="N4644" s="20"/>
      <c r="O4644" s="20"/>
      <c r="P4644" s="20"/>
    </row>
    <row r="4645">
      <c r="A4645" s="10"/>
      <c r="B4645" s="11"/>
      <c r="C4645" s="10"/>
      <c r="D4645" s="13"/>
      <c r="E4645" s="14"/>
      <c r="F4645" s="14"/>
      <c r="G4645" s="14"/>
      <c r="H4645" s="10"/>
      <c r="I4645" s="17"/>
      <c r="J4645" s="10"/>
      <c r="K4645" s="46"/>
      <c r="L4645" s="10"/>
      <c r="M4645" s="20"/>
      <c r="N4645" s="20"/>
      <c r="O4645" s="20"/>
      <c r="P4645" s="20"/>
    </row>
    <row r="4646">
      <c r="A4646" s="23"/>
      <c r="B4646" s="21"/>
      <c r="C4646" s="23"/>
      <c r="D4646" s="24"/>
      <c r="E4646" s="14"/>
      <c r="F4646" s="14"/>
      <c r="G4646" s="14"/>
      <c r="H4646" s="23"/>
      <c r="I4646" s="27"/>
      <c r="J4646" s="23"/>
      <c r="K4646" s="30"/>
      <c r="L4646" s="23"/>
      <c r="M4646" s="20"/>
      <c r="N4646" s="20"/>
      <c r="O4646" s="20"/>
      <c r="P4646" s="20"/>
    </row>
    <row r="4647">
      <c r="A4647" s="10"/>
      <c r="B4647" s="11"/>
      <c r="C4647" s="10"/>
      <c r="D4647" s="13"/>
      <c r="E4647" s="14"/>
      <c r="F4647" s="14"/>
      <c r="G4647" s="14"/>
      <c r="H4647" s="10"/>
      <c r="I4647" s="17"/>
      <c r="J4647" s="10"/>
      <c r="K4647" s="46"/>
      <c r="L4647" s="10"/>
      <c r="M4647" s="20"/>
      <c r="N4647" s="20"/>
      <c r="O4647" s="20"/>
      <c r="P4647" s="20"/>
    </row>
    <row r="4648">
      <c r="A4648" s="23"/>
      <c r="B4648" s="21"/>
      <c r="C4648" s="23"/>
      <c r="D4648" s="24"/>
      <c r="E4648" s="14"/>
      <c r="F4648" s="14"/>
      <c r="G4648" s="14"/>
      <c r="H4648" s="23"/>
      <c r="I4648" s="27"/>
      <c r="J4648" s="23"/>
      <c r="K4648" s="30"/>
      <c r="L4648" s="23"/>
      <c r="M4648" s="20"/>
      <c r="N4648" s="20"/>
      <c r="O4648" s="20"/>
      <c r="P4648" s="20"/>
    </row>
    <row r="4649">
      <c r="A4649" s="10"/>
      <c r="B4649" s="11"/>
      <c r="C4649" s="10"/>
      <c r="D4649" s="13"/>
      <c r="E4649" s="14"/>
      <c r="F4649" s="14"/>
      <c r="G4649" s="14"/>
      <c r="H4649" s="10"/>
      <c r="I4649" s="17"/>
      <c r="J4649" s="10"/>
      <c r="K4649" s="46"/>
      <c r="L4649" s="10"/>
      <c r="M4649" s="20"/>
      <c r="N4649" s="20"/>
      <c r="O4649" s="20"/>
      <c r="P4649" s="20"/>
    </row>
    <row r="4650">
      <c r="A4650" s="23"/>
      <c r="B4650" s="21"/>
      <c r="C4650" s="23"/>
      <c r="D4650" s="24"/>
      <c r="E4650" s="14"/>
      <c r="F4650" s="14"/>
      <c r="G4650" s="14"/>
      <c r="H4650" s="23"/>
      <c r="I4650" s="27"/>
      <c r="J4650" s="23"/>
      <c r="K4650" s="30"/>
      <c r="L4650" s="23"/>
      <c r="M4650" s="20"/>
      <c r="N4650" s="20"/>
      <c r="O4650" s="20"/>
      <c r="P4650" s="20"/>
    </row>
    <row r="4651">
      <c r="A4651" s="10"/>
      <c r="B4651" s="11"/>
      <c r="C4651" s="10"/>
      <c r="D4651" s="13"/>
      <c r="E4651" s="14"/>
      <c r="F4651" s="14"/>
      <c r="G4651" s="14"/>
      <c r="H4651" s="10"/>
      <c r="I4651" s="17"/>
      <c r="J4651" s="10"/>
      <c r="K4651" s="46"/>
      <c r="L4651" s="10"/>
      <c r="M4651" s="20"/>
      <c r="N4651" s="20"/>
      <c r="O4651" s="20"/>
      <c r="P4651" s="20"/>
    </row>
    <row r="4652">
      <c r="A4652" s="23"/>
      <c r="B4652" s="21"/>
      <c r="C4652" s="23"/>
      <c r="D4652" s="24"/>
      <c r="E4652" s="14"/>
      <c r="F4652" s="14"/>
      <c r="G4652" s="14"/>
      <c r="H4652" s="23"/>
      <c r="I4652" s="27"/>
      <c r="J4652" s="23"/>
      <c r="K4652" s="30"/>
      <c r="L4652" s="23"/>
      <c r="M4652" s="20"/>
      <c r="N4652" s="20"/>
      <c r="O4652" s="20"/>
      <c r="P4652" s="20"/>
    </row>
    <row r="4653">
      <c r="A4653" s="10"/>
      <c r="B4653" s="11"/>
      <c r="C4653" s="10"/>
      <c r="D4653" s="13"/>
      <c r="E4653" s="14"/>
      <c r="F4653" s="14"/>
      <c r="G4653" s="14"/>
      <c r="H4653" s="10"/>
      <c r="I4653" s="17"/>
      <c r="J4653" s="10"/>
      <c r="K4653" s="46"/>
      <c r="L4653" s="10"/>
      <c r="M4653" s="20"/>
      <c r="N4653" s="20"/>
      <c r="O4653" s="20"/>
      <c r="P4653" s="20"/>
    </row>
    <row r="4654">
      <c r="A4654" s="23"/>
      <c r="B4654" s="21"/>
      <c r="C4654" s="23"/>
      <c r="D4654" s="24"/>
      <c r="E4654" s="14"/>
      <c r="F4654" s="14"/>
      <c r="G4654" s="14"/>
      <c r="H4654" s="23"/>
      <c r="I4654" s="27"/>
      <c r="J4654" s="23"/>
      <c r="K4654" s="30"/>
      <c r="L4654" s="23"/>
      <c r="M4654" s="20"/>
      <c r="N4654" s="20"/>
      <c r="O4654" s="20"/>
      <c r="P4654" s="20"/>
    </row>
    <row r="4655">
      <c r="A4655" s="10"/>
      <c r="B4655" s="11"/>
      <c r="C4655" s="10"/>
      <c r="D4655" s="13"/>
      <c r="E4655" s="14"/>
      <c r="F4655" s="14"/>
      <c r="G4655" s="14"/>
      <c r="H4655" s="10"/>
      <c r="I4655" s="17"/>
      <c r="J4655" s="10"/>
      <c r="K4655" s="46"/>
      <c r="L4655" s="10"/>
      <c r="M4655" s="20"/>
      <c r="N4655" s="20"/>
      <c r="O4655" s="20"/>
      <c r="P4655" s="20"/>
    </row>
    <row r="4656">
      <c r="A4656" s="23"/>
      <c r="B4656" s="21"/>
      <c r="C4656" s="23"/>
      <c r="D4656" s="24"/>
      <c r="E4656" s="14"/>
      <c r="F4656" s="14"/>
      <c r="G4656" s="14"/>
      <c r="H4656" s="23"/>
      <c r="I4656" s="27"/>
      <c r="J4656" s="23"/>
      <c r="K4656" s="30"/>
      <c r="L4656" s="23"/>
      <c r="M4656" s="20"/>
      <c r="N4656" s="20"/>
      <c r="O4656" s="20"/>
      <c r="P4656" s="20"/>
    </row>
    <row r="4657">
      <c r="A4657" s="10"/>
      <c r="B4657" s="11"/>
      <c r="C4657" s="10"/>
      <c r="D4657" s="13"/>
      <c r="E4657" s="14"/>
      <c r="F4657" s="14"/>
      <c r="G4657" s="14"/>
      <c r="H4657" s="10"/>
      <c r="I4657" s="17"/>
      <c r="J4657" s="10"/>
      <c r="K4657" s="46"/>
      <c r="L4657" s="10"/>
      <c r="M4657" s="20"/>
      <c r="N4657" s="20"/>
      <c r="O4657" s="20"/>
      <c r="P4657" s="20"/>
    </row>
    <row r="4658">
      <c r="A4658" s="23"/>
      <c r="B4658" s="21"/>
      <c r="C4658" s="23"/>
      <c r="D4658" s="24"/>
      <c r="E4658" s="14"/>
      <c r="F4658" s="14"/>
      <c r="G4658" s="14"/>
      <c r="H4658" s="23"/>
      <c r="I4658" s="27"/>
      <c r="J4658" s="23"/>
      <c r="K4658" s="30"/>
      <c r="L4658" s="23"/>
      <c r="M4658" s="20"/>
      <c r="N4658" s="20"/>
      <c r="O4658" s="20"/>
      <c r="P4658" s="20"/>
    </row>
    <row r="4659">
      <c r="A4659" s="10"/>
      <c r="B4659" s="11"/>
      <c r="C4659" s="10"/>
      <c r="D4659" s="13"/>
      <c r="E4659" s="14"/>
      <c r="F4659" s="14"/>
      <c r="G4659" s="14"/>
      <c r="H4659" s="10"/>
      <c r="I4659" s="17"/>
      <c r="J4659" s="10"/>
      <c r="K4659" s="46"/>
      <c r="L4659" s="10"/>
      <c r="M4659" s="20"/>
      <c r="N4659" s="20"/>
      <c r="O4659" s="20"/>
      <c r="P4659" s="20"/>
    </row>
    <row r="4660">
      <c r="A4660" s="23"/>
      <c r="B4660" s="21"/>
      <c r="C4660" s="23"/>
      <c r="D4660" s="24"/>
      <c r="E4660" s="14"/>
      <c r="F4660" s="14"/>
      <c r="G4660" s="14"/>
      <c r="H4660" s="23"/>
      <c r="I4660" s="27"/>
      <c r="J4660" s="23"/>
      <c r="K4660" s="30"/>
      <c r="L4660" s="23"/>
      <c r="M4660" s="20"/>
      <c r="N4660" s="20"/>
      <c r="O4660" s="20"/>
      <c r="P4660" s="20"/>
    </row>
    <row r="4661">
      <c r="A4661" s="10"/>
      <c r="B4661" s="11"/>
      <c r="C4661" s="10"/>
      <c r="D4661" s="13"/>
      <c r="E4661" s="14"/>
      <c r="F4661" s="14"/>
      <c r="G4661" s="14"/>
      <c r="H4661" s="10"/>
      <c r="I4661" s="17"/>
      <c r="J4661" s="10"/>
      <c r="K4661" s="46"/>
      <c r="L4661" s="10"/>
      <c r="M4661" s="20"/>
      <c r="N4661" s="20"/>
      <c r="O4661" s="20"/>
      <c r="P4661" s="20"/>
    </row>
    <row r="4662">
      <c r="A4662" s="23"/>
      <c r="B4662" s="21"/>
      <c r="C4662" s="23"/>
      <c r="D4662" s="24"/>
      <c r="E4662" s="14"/>
      <c r="F4662" s="14"/>
      <c r="G4662" s="14"/>
      <c r="H4662" s="23"/>
      <c r="I4662" s="27"/>
      <c r="J4662" s="23"/>
      <c r="K4662" s="30"/>
      <c r="L4662" s="23"/>
      <c r="M4662" s="20"/>
      <c r="N4662" s="20"/>
      <c r="O4662" s="20"/>
      <c r="P4662" s="20"/>
    </row>
    <row r="4663">
      <c r="A4663" s="10"/>
      <c r="B4663" s="11"/>
      <c r="C4663" s="10"/>
      <c r="D4663" s="13"/>
      <c r="E4663" s="14"/>
      <c r="F4663" s="14"/>
      <c r="G4663" s="14"/>
      <c r="H4663" s="10"/>
      <c r="I4663" s="17"/>
      <c r="J4663" s="10"/>
      <c r="K4663" s="46"/>
      <c r="L4663" s="10"/>
      <c r="M4663" s="20"/>
      <c r="N4663" s="20"/>
      <c r="O4663" s="20"/>
      <c r="P4663" s="20"/>
    </row>
    <row r="4664">
      <c r="A4664" s="23"/>
      <c r="B4664" s="21"/>
      <c r="C4664" s="23"/>
      <c r="D4664" s="24"/>
      <c r="E4664" s="14"/>
      <c r="F4664" s="14"/>
      <c r="G4664" s="14"/>
      <c r="H4664" s="23"/>
      <c r="I4664" s="27"/>
      <c r="J4664" s="23"/>
      <c r="K4664" s="30"/>
      <c r="L4664" s="23"/>
      <c r="M4664" s="20"/>
      <c r="N4664" s="20"/>
      <c r="O4664" s="20"/>
      <c r="P4664" s="20"/>
    </row>
    <row r="4665">
      <c r="A4665" s="10"/>
      <c r="B4665" s="11"/>
      <c r="C4665" s="10"/>
      <c r="D4665" s="13"/>
      <c r="E4665" s="14"/>
      <c r="F4665" s="14"/>
      <c r="G4665" s="14"/>
      <c r="H4665" s="10"/>
      <c r="I4665" s="17"/>
      <c r="J4665" s="10"/>
      <c r="K4665" s="46"/>
      <c r="L4665" s="10"/>
      <c r="M4665" s="20"/>
      <c r="N4665" s="20"/>
      <c r="O4665" s="20"/>
      <c r="P4665" s="20"/>
    </row>
    <row r="4666">
      <c r="A4666" s="23"/>
      <c r="B4666" s="21"/>
      <c r="C4666" s="23"/>
      <c r="D4666" s="24"/>
      <c r="E4666" s="14"/>
      <c r="F4666" s="14"/>
      <c r="G4666" s="14"/>
      <c r="H4666" s="23"/>
      <c r="I4666" s="27"/>
      <c r="J4666" s="23"/>
      <c r="K4666" s="30"/>
      <c r="L4666" s="23"/>
      <c r="M4666" s="20"/>
      <c r="N4666" s="20"/>
      <c r="O4666" s="20"/>
      <c r="P4666" s="20"/>
    </row>
    <row r="4667">
      <c r="A4667" s="10"/>
      <c r="B4667" s="11"/>
      <c r="C4667" s="10"/>
      <c r="D4667" s="13"/>
      <c r="E4667" s="14"/>
      <c r="F4667" s="14"/>
      <c r="G4667" s="14"/>
      <c r="H4667" s="10"/>
      <c r="I4667" s="17"/>
      <c r="J4667" s="10"/>
      <c r="K4667" s="46"/>
      <c r="L4667" s="10"/>
      <c r="M4667" s="20"/>
      <c r="N4667" s="20"/>
      <c r="O4667" s="20"/>
      <c r="P4667" s="20"/>
    </row>
    <row r="4668">
      <c r="A4668" s="23"/>
      <c r="B4668" s="21"/>
      <c r="C4668" s="23"/>
      <c r="D4668" s="24"/>
      <c r="E4668" s="14"/>
      <c r="F4668" s="14"/>
      <c r="G4668" s="14"/>
      <c r="H4668" s="23"/>
      <c r="I4668" s="27"/>
      <c r="J4668" s="23"/>
      <c r="K4668" s="30"/>
      <c r="L4668" s="23"/>
      <c r="M4668" s="20"/>
      <c r="N4668" s="20"/>
      <c r="O4668" s="20"/>
      <c r="P4668" s="20"/>
    </row>
    <row r="4669">
      <c r="A4669" s="10"/>
      <c r="B4669" s="11"/>
      <c r="C4669" s="10"/>
      <c r="D4669" s="13"/>
      <c r="E4669" s="14"/>
      <c r="F4669" s="14"/>
      <c r="G4669" s="14"/>
      <c r="H4669" s="10"/>
      <c r="I4669" s="17"/>
      <c r="J4669" s="10"/>
      <c r="K4669" s="46"/>
      <c r="L4669" s="10"/>
      <c r="M4669" s="20"/>
      <c r="N4669" s="20"/>
      <c r="O4669" s="20"/>
      <c r="P4669" s="20"/>
    </row>
    <row r="4670">
      <c r="A4670" s="23"/>
      <c r="B4670" s="21"/>
      <c r="C4670" s="23"/>
      <c r="D4670" s="24"/>
      <c r="E4670" s="14"/>
      <c r="F4670" s="14"/>
      <c r="G4670" s="14"/>
      <c r="H4670" s="23"/>
      <c r="I4670" s="27"/>
      <c r="J4670" s="23"/>
      <c r="K4670" s="30"/>
      <c r="L4670" s="23"/>
      <c r="M4670" s="20"/>
      <c r="N4670" s="20"/>
      <c r="O4670" s="20"/>
      <c r="P4670" s="20"/>
    </row>
    <row r="4671">
      <c r="A4671" s="10"/>
      <c r="B4671" s="11"/>
      <c r="C4671" s="10"/>
      <c r="D4671" s="13"/>
      <c r="E4671" s="14"/>
      <c r="F4671" s="14"/>
      <c r="G4671" s="14"/>
      <c r="H4671" s="10"/>
      <c r="I4671" s="17"/>
      <c r="J4671" s="10"/>
      <c r="K4671" s="46"/>
      <c r="L4671" s="10"/>
      <c r="M4671" s="20"/>
      <c r="N4671" s="20"/>
      <c r="O4671" s="20"/>
      <c r="P4671" s="20"/>
    </row>
    <row r="4672">
      <c r="A4672" s="23"/>
      <c r="B4672" s="21"/>
      <c r="C4672" s="23"/>
      <c r="D4672" s="24"/>
      <c r="E4672" s="14"/>
      <c r="F4672" s="14"/>
      <c r="G4672" s="14"/>
      <c r="H4672" s="23"/>
      <c r="I4672" s="27"/>
      <c r="J4672" s="23"/>
      <c r="K4672" s="30"/>
      <c r="L4672" s="23"/>
      <c r="M4672" s="20"/>
      <c r="N4672" s="20"/>
      <c r="O4672" s="20"/>
      <c r="P4672" s="20"/>
    </row>
    <row r="4673">
      <c r="A4673" s="10"/>
      <c r="B4673" s="11"/>
      <c r="C4673" s="10"/>
      <c r="D4673" s="13"/>
      <c r="E4673" s="14"/>
      <c r="F4673" s="14"/>
      <c r="G4673" s="14"/>
      <c r="H4673" s="10"/>
      <c r="I4673" s="17"/>
      <c r="J4673" s="10"/>
      <c r="K4673" s="46"/>
      <c r="L4673" s="10"/>
      <c r="M4673" s="20"/>
      <c r="N4673" s="20"/>
      <c r="O4673" s="20"/>
      <c r="P4673" s="20"/>
    </row>
    <row r="4674">
      <c r="A4674" s="23"/>
      <c r="B4674" s="21"/>
      <c r="C4674" s="23"/>
      <c r="D4674" s="24"/>
      <c r="E4674" s="14"/>
      <c r="F4674" s="14"/>
      <c r="G4674" s="14"/>
      <c r="H4674" s="23"/>
      <c r="I4674" s="27"/>
      <c r="J4674" s="23"/>
      <c r="K4674" s="30"/>
      <c r="L4674" s="23"/>
      <c r="M4674" s="20"/>
      <c r="N4674" s="20"/>
      <c r="O4674" s="20"/>
      <c r="P4674" s="20"/>
    </row>
    <row r="4675">
      <c r="A4675" s="10"/>
      <c r="B4675" s="11"/>
      <c r="C4675" s="10"/>
      <c r="D4675" s="13"/>
      <c r="E4675" s="14"/>
      <c r="F4675" s="14"/>
      <c r="G4675" s="14"/>
      <c r="H4675" s="10"/>
      <c r="I4675" s="17"/>
      <c r="J4675" s="10"/>
      <c r="K4675" s="46"/>
      <c r="L4675" s="10"/>
      <c r="M4675" s="20"/>
      <c r="N4675" s="20"/>
      <c r="O4675" s="20"/>
      <c r="P4675" s="20"/>
    </row>
    <row r="4676">
      <c r="A4676" s="23"/>
      <c r="B4676" s="21"/>
      <c r="C4676" s="23"/>
      <c r="D4676" s="24"/>
      <c r="E4676" s="14"/>
      <c r="F4676" s="14"/>
      <c r="G4676" s="14"/>
      <c r="H4676" s="23"/>
      <c r="I4676" s="27"/>
      <c r="J4676" s="23"/>
      <c r="K4676" s="30"/>
      <c r="L4676" s="23"/>
      <c r="M4676" s="20"/>
      <c r="N4676" s="20"/>
      <c r="O4676" s="20"/>
      <c r="P4676" s="20"/>
    </row>
    <row r="4677">
      <c r="A4677" s="10"/>
      <c r="B4677" s="11"/>
      <c r="C4677" s="10"/>
      <c r="D4677" s="13"/>
      <c r="E4677" s="14"/>
      <c r="F4677" s="14"/>
      <c r="G4677" s="14"/>
      <c r="H4677" s="10"/>
      <c r="I4677" s="17"/>
      <c r="J4677" s="10"/>
      <c r="K4677" s="46"/>
      <c r="L4677" s="10"/>
      <c r="M4677" s="20"/>
      <c r="N4677" s="20"/>
      <c r="O4677" s="20"/>
      <c r="P4677" s="20"/>
    </row>
    <row r="4678">
      <c r="A4678" s="23"/>
      <c r="B4678" s="21"/>
      <c r="C4678" s="23"/>
      <c r="D4678" s="24"/>
      <c r="E4678" s="14"/>
      <c r="F4678" s="14"/>
      <c r="G4678" s="14"/>
      <c r="H4678" s="23"/>
      <c r="I4678" s="27"/>
      <c r="J4678" s="23"/>
      <c r="K4678" s="30"/>
      <c r="L4678" s="23"/>
      <c r="M4678" s="20"/>
      <c r="N4678" s="20"/>
      <c r="O4678" s="20"/>
      <c r="P4678" s="20"/>
    </row>
    <row r="4679">
      <c r="A4679" s="10"/>
      <c r="B4679" s="11"/>
      <c r="C4679" s="10"/>
      <c r="D4679" s="13"/>
      <c r="E4679" s="14"/>
      <c r="F4679" s="14"/>
      <c r="G4679" s="14"/>
      <c r="H4679" s="10"/>
      <c r="I4679" s="17"/>
      <c r="J4679" s="10"/>
      <c r="K4679" s="46"/>
      <c r="L4679" s="10"/>
      <c r="M4679" s="20"/>
      <c r="N4679" s="20"/>
      <c r="O4679" s="20"/>
      <c r="P4679" s="20"/>
    </row>
    <row r="4680">
      <c r="A4680" s="23"/>
      <c r="B4680" s="21"/>
      <c r="C4680" s="23"/>
      <c r="D4680" s="24"/>
      <c r="E4680" s="14"/>
      <c r="F4680" s="14"/>
      <c r="G4680" s="14"/>
      <c r="H4680" s="23"/>
      <c r="I4680" s="27"/>
      <c r="J4680" s="23"/>
      <c r="K4680" s="30"/>
      <c r="L4680" s="23"/>
      <c r="M4680" s="20"/>
      <c r="N4680" s="20"/>
      <c r="O4680" s="20"/>
      <c r="P4680" s="20"/>
    </row>
    <row r="4681">
      <c r="A4681" s="10"/>
      <c r="B4681" s="11"/>
      <c r="C4681" s="10"/>
      <c r="D4681" s="13"/>
      <c r="E4681" s="14"/>
      <c r="F4681" s="14"/>
      <c r="G4681" s="14"/>
      <c r="H4681" s="10"/>
      <c r="I4681" s="17"/>
      <c r="J4681" s="10"/>
      <c r="K4681" s="46"/>
      <c r="L4681" s="10"/>
      <c r="M4681" s="20"/>
      <c r="N4681" s="20"/>
      <c r="O4681" s="20"/>
      <c r="P4681" s="20"/>
    </row>
    <row r="4682">
      <c r="A4682" s="23"/>
      <c r="B4682" s="21"/>
      <c r="C4682" s="23"/>
      <c r="D4682" s="24"/>
      <c r="E4682" s="14"/>
      <c r="F4682" s="14"/>
      <c r="G4682" s="14"/>
      <c r="H4682" s="23"/>
      <c r="I4682" s="27"/>
      <c r="J4682" s="23"/>
      <c r="K4682" s="30"/>
      <c r="L4682" s="23"/>
      <c r="M4682" s="20"/>
      <c r="N4682" s="20"/>
      <c r="O4682" s="20"/>
      <c r="P4682" s="20"/>
    </row>
    <row r="4683">
      <c r="A4683" s="10"/>
      <c r="B4683" s="11"/>
      <c r="C4683" s="10"/>
      <c r="D4683" s="13"/>
      <c r="E4683" s="14"/>
      <c r="F4683" s="14"/>
      <c r="G4683" s="14"/>
      <c r="H4683" s="10"/>
      <c r="I4683" s="17"/>
      <c r="J4683" s="10"/>
      <c r="K4683" s="46"/>
      <c r="L4683" s="10"/>
      <c r="M4683" s="20"/>
      <c r="N4683" s="20"/>
      <c r="O4683" s="20"/>
      <c r="P4683" s="20"/>
    </row>
    <row r="4684">
      <c r="A4684" s="23"/>
      <c r="B4684" s="21"/>
      <c r="C4684" s="23"/>
      <c r="D4684" s="24"/>
      <c r="E4684" s="14"/>
      <c r="F4684" s="14"/>
      <c r="G4684" s="14"/>
      <c r="H4684" s="23"/>
      <c r="I4684" s="27"/>
      <c r="J4684" s="23"/>
      <c r="K4684" s="30"/>
      <c r="L4684" s="23"/>
      <c r="M4684" s="20"/>
      <c r="N4684" s="20"/>
      <c r="O4684" s="20"/>
      <c r="P4684" s="20"/>
    </row>
    <row r="4685">
      <c r="A4685" s="10"/>
      <c r="B4685" s="11"/>
      <c r="C4685" s="10"/>
      <c r="D4685" s="13"/>
      <c r="E4685" s="14"/>
      <c r="F4685" s="14"/>
      <c r="G4685" s="14"/>
      <c r="H4685" s="10"/>
      <c r="I4685" s="17"/>
      <c r="J4685" s="10"/>
      <c r="K4685" s="46"/>
      <c r="L4685" s="10"/>
      <c r="M4685" s="20"/>
      <c r="N4685" s="20"/>
      <c r="O4685" s="20"/>
      <c r="P4685" s="20"/>
    </row>
    <row r="4686">
      <c r="A4686" s="23"/>
      <c r="B4686" s="21"/>
      <c r="C4686" s="23"/>
      <c r="D4686" s="24"/>
      <c r="E4686" s="14"/>
      <c r="F4686" s="14"/>
      <c r="G4686" s="14"/>
      <c r="H4686" s="23"/>
      <c r="I4686" s="27"/>
      <c r="J4686" s="23"/>
      <c r="K4686" s="30"/>
      <c r="L4686" s="23"/>
      <c r="M4686" s="20"/>
      <c r="N4686" s="20"/>
      <c r="O4686" s="20"/>
      <c r="P4686" s="20"/>
    </row>
    <row r="4687">
      <c r="A4687" s="10"/>
      <c r="B4687" s="11"/>
      <c r="C4687" s="10"/>
      <c r="D4687" s="13"/>
      <c r="E4687" s="14"/>
      <c r="F4687" s="14"/>
      <c r="G4687" s="14"/>
      <c r="H4687" s="10"/>
      <c r="I4687" s="17"/>
      <c r="J4687" s="10"/>
      <c r="K4687" s="46"/>
      <c r="L4687" s="10"/>
      <c r="M4687" s="20"/>
      <c r="N4687" s="20"/>
      <c r="O4687" s="20"/>
      <c r="P4687" s="20"/>
    </row>
    <row r="4688">
      <c r="A4688" s="23"/>
      <c r="B4688" s="21"/>
      <c r="C4688" s="23"/>
      <c r="D4688" s="24"/>
      <c r="E4688" s="14"/>
      <c r="F4688" s="14"/>
      <c r="G4688" s="14"/>
      <c r="H4688" s="23"/>
      <c r="I4688" s="27"/>
      <c r="J4688" s="23"/>
      <c r="K4688" s="30"/>
      <c r="L4688" s="23"/>
      <c r="M4688" s="20"/>
      <c r="N4688" s="20"/>
      <c r="O4688" s="20"/>
      <c r="P4688" s="20"/>
    </row>
    <row r="4689">
      <c r="A4689" s="10"/>
      <c r="B4689" s="11"/>
      <c r="C4689" s="10"/>
      <c r="D4689" s="13"/>
      <c r="E4689" s="14"/>
      <c r="F4689" s="14"/>
      <c r="G4689" s="14"/>
      <c r="H4689" s="10"/>
      <c r="I4689" s="17"/>
      <c r="J4689" s="10"/>
      <c r="K4689" s="46"/>
      <c r="L4689" s="10"/>
      <c r="M4689" s="20"/>
      <c r="N4689" s="20"/>
      <c r="O4689" s="20"/>
      <c r="P4689" s="20"/>
    </row>
    <row r="4690">
      <c r="A4690" s="23"/>
      <c r="B4690" s="21"/>
      <c r="C4690" s="23"/>
      <c r="D4690" s="24"/>
      <c r="E4690" s="14"/>
      <c r="F4690" s="14"/>
      <c r="G4690" s="14"/>
      <c r="H4690" s="23"/>
      <c r="I4690" s="27"/>
      <c r="J4690" s="23"/>
      <c r="K4690" s="30"/>
      <c r="L4690" s="23"/>
      <c r="M4690" s="20"/>
      <c r="N4690" s="20"/>
      <c r="O4690" s="20"/>
      <c r="P4690" s="20"/>
    </row>
    <row r="4691">
      <c r="A4691" s="10"/>
      <c r="B4691" s="11"/>
      <c r="C4691" s="10"/>
      <c r="D4691" s="13"/>
      <c r="E4691" s="14"/>
      <c r="F4691" s="14"/>
      <c r="G4691" s="14"/>
      <c r="H4691" s="10"/>
      <c r="I4691" s="17"/>
      <c r="J4691" s="10"/>
      <c r="K4691" s="46"/>
      <c r="L4691" s="10"/>
      <c r="M4691" s="20"/>
      <c r="N4691" s="20"/>
      <c r="O4691" s="20"/>
      <c r="P4691" s="20"/>
    </row>
    <row r="4692">
      <c r="A4692" s="23"/>
      <c r="B4692" s="21"/>
      <c r="C4692" s="23"/>
      <c r="D4692" s="24"/>
      <c r="E4692" s="14"/>
      <c r="F4692" s="14"/>
      <c r="G4692" s="14"/>
      <c r="H4692" s="23"/>
      <c r="I4692" s="27"/>
      <c r="J4692" s="23"/>
      <c r="K4692" s="30"/>
      <c r="L4692" s="23"/>
      <c r="M4692" s="20"/>
      <c r="N4692" s="20"/>
      <c r="O4692" s="20"/>
      <c r="P4692" s="20"/>
    </row>
    <row r="4693">
      <c r="A4693" s="10"/>
      <c r="B4693" s="11"/>
      <c r="C4693" s="10"/>
      <c r="D4693" s="13"/>
      <c r="E4693" s="14"/>
      <c r="F4693" s="14"/>
      <c r="G4693" s="14"/>
      <c r="H4693" s="10"/>
      <c r="I4693" s="17"/>
      <c r="J4693" s="10"/>
      <c r="K4693" s="46"/>
      <c r="L4693" s="10"/>
      <c r="M4693" s="20"/>
      <c r="N4693" s="20"/>
      <c r="O4693" s="20"/>
      <c r="P4693" s="20"/>
    </row>
    <row r="4694">
      <c r="A4694" s="23"/>
      <c r="B4694" s="21"/>
      <c r="C4694" s="23"/>
      <c r="D4694" s="24"/>
      <c r="E4694" s="14"/>
      <c r="F4694" s="14"/>
      <c r="G4694" s="14"/>
      <c r="H4694" s="23"/>
      <c r="I4694" s="27"/>
      <c r="J4694" s="23"/>
      <c r="K4694" s="30"/>
      <c r="L4694" s="23"/>
      <c r="M4694" s="20"/>
      <c r="N4694" s="20"/>
      <c r="O4694" s="20"/>
      <c r="P4694" s="20"/>
    </row>
    <row r="4695">
      <c r="A4695" s="10"/>
      <c r="B4695" s="11"/>
      <c r="C4695" s="10"/>
      <c r="D4695" s="13"/>
      <c r="E4695" s="14"/>
      <c r="F4695" s="14"/>
      <c r="G4695" s="14"/>
      <c r="H4695" s="10"/>
      <c r="I4695" s="17"/>
      <c r="J4695" s="10"/>
      <c r="K4695" s="46"/>
      <c r="L4695" s="10"/>
      <c r="M4695" s="20"/>
      <c r="N4695" s="20"/>
      <c r="O4695" s="20"/>
      <c r="P4695" s="20"/>
    </row>
    <row r="4696">
      <c r="A4696" s="23"/>
      <c r="B4696" s="21"/>
      <c r="C4696" s="23"/>
      <c r="D4696" s="24"/>
      <c r="E4696" s="14"/>
      <c r="F4696" s="14"/>
      <c r="G4696" s="14"/>
      <c r="H4696" s="23"/>
      <c r="I4696" s="27"/>
      <c r="J4696" s="23"/>
      <c r="K4696" s="30"/>
      <c r="L4696" s="23"/>
      <c r="M4696" s="20"/>
      <c r="N4696" s="20"/>
      <c r="O4696" s="20"/>
      <c r="P4696" s="20"/>
    </row>
    <row r="4697">
      <c r="A4697" s="10"/>
      <c r="B4697" s="11"/>
      <c r="C4697" s="10"/>
      <c r="D4697" s="13"/>
      <c r="E4697" s="14"/>
      <c r="F4697" s="14"/>
      <c r="G4697" s="14"/>
      <c r="H4697" s="10"/>
      <c r="I4697" s="17"/>
      <c r="J4697" s="10"/>
      <c r="K4697" s="46"/>
      <c r="L4697" s="10"/>
      <c r="M4697" s="20"/>
      <c r="N4697" s="20"/>
      <c r="O4697" s="20"/>
      <c r="P4697" s="20"/>
    </row>
    <row r="4698">
      <c r="A4698" s="23"/>
      <c r="B4698" s="21"/>
      <c r="C4698" s="23"/>
      <c r="D4698" s="24"/>
      <c r="E4698" s="14"/>
      <c r="F4698" s="14"/>
      <c r="G4698" s="14"/>
      <c r="H4698" s="23"/>
      <c r="I4698" s="27"/>
      <c r="J4698" s="23"/>
      <c r="K4698" s="30"/>
      <c r="L4698" s="23"/>
      <c r="M4698" s="20"/>
      <c r="N4698" s="20"/>
      <c r="O4698" s="20"/>
      <c r="P4698" s="20"/>
    </row>
    <row r="4699">
      <c r="A4699" s="10"/>
      <c r="B4699" s="11"/>
      <c r="C4699" s="10"/>
      <c r="D4699" s="13"/>
      <c r="E4699" s="14"/>
      <c r="F4699" s="14"/>
      <c r="G4699" s="14"/>
      <c r="H4699" s="10"/>
      <c r="I4699" s="17"/>
      <c r="J4699" s="10"/>
      <c r="K4699" s="46"/>
      <c r="L4699" s="10"/>
      <c r="M4699" s="20"/>
      <c r="N4699" s="20"/>
      <c r="O4699" s="20"/>
      <c r="P4699" s="20"/>
    </row>
    <row r="4700">
      <c r="A4700" s="23"/>
      <c r="B4700" s="21"/>
      <c r="C4700" s="23"/>
      <c r="D4700" s="24"/>
      <c r="E4700" s="14"/>
      <c r="F4700" s="14"/>
      <c r="G4700" s="14"/>
      <c r="H4700" s="23"/>
      <c r="I4700" s="27"/>
      <c r="J4700" s="23"/>
      <c r="K4700" s="30"/>
      <c r="L4700" s="23"/>
      <c r="M4700" s="20"/>
      <c r="N4700" s="20"/>
      <c r="O4700" s="20"/>
      <c r="P4700" s="20"/>
    </row>
    <row r="4701">
      <c r="A4701" s="10"/>
      <c r="B4701" s="11"/>
      <c r="C4701" s="10"/>
      <c r="D4701" s="13"/>
      <c r="E4701" s="14"/>
      <c r="F4701" s="14"/>
      <c r="G4701" s="14"/>
      <c r="H4701" s="10"/>
      <c r="I4701" s="17"/>
      <c r="J4701" s="10"/>
      <c r="K4701" s="46"/>
      <c r="L4701" s="10"/>
      <c r="M4701" s="20"/>
      <c r="N4701" s="20"/>
      <c r="O4701" s="20"/>
      <c r="P4701" s="20"/>
    </row>
    <row r="4702">
      <c r="A4702" s="23"/>
      <c r="B4702" s="21"/>
      <c r="C4702" s="23"/>
      <c r="D4702" s="24"/>
      <c r="E4702" s="14"/>
      <c r="F4702" s="14"/>
      <c r="G4702" s="14"/>
      <c r="H4702" s="23"/>
      <c r="I4702" s="27"/>
      <c r="J4702" s="23"/>
      <c r="K4702" s="30"/>
      <c r="L4702" s="23"/>
      <c r="M4702" s="20"/>
      <c r="N4702" s="20"/>
      <c r="O4702" s="20"/>
      <c r="P4702" s="20"/>
    </row>
    <row r="4703">
      <c r="A4703" s="10"/>
      <c r="B4703" s="11"/>
      <c r="C4703" s="10"/>
      <c r="D4703" s="13"/>
      <c r="E4703" s="14"/>
      <c r="F4703" s="14"/>
      <c r="G4703" s="14"/>
      <c r="H4703" s="10"/>
      <c r="I4703" s="17"/>
      <c r="J4703" s="10"/>
      <c r="K4703" s="46"/>
      <c r="L4703" s="10"/>
      <c r="M4703" s="20"/>
      <c r="N4703" s="20"/>
      <c r="O4703" s="20"/>
      <c r="P4703" s="20"/>
    </row>
    <row r="4704">
      <c r="A4704" s="23"/>
      <c r="B4704" s="21"/>
      <c r="C4704" s="23"/>
      <c r="D4704" s="24"/>
      <c r="E4704" s="14"/>
      <c r="F4704" s="14"/>
      <c r="G4704" s="14"/>
      <c r="H4704" s="23"/>
      <c r="I4704" s="27"/>
      <c r="J4704" s="23"/>
      <c r="K4704" s="30"/>
      <c r="L4704" s="23"/>
      <c r="M4704" s="20"/>
      <c r="N4704" s="20"/>
      <c r="O4704" s="20"/>
      <c r="P4704" s="20"/>
    </row>
    <row r="4705">
      <c r="A4705" s="10"/>
      <c r="B4705" s="11"/>
      <c r="C4705" s="10"/>
      <c r="D4705" s="13"/>
      <c r="E4705" s="14"/>
      <c r="F4705" s="14"/>
      <c r="G4705" s="14"/>
      <c r="H4705" s="10"/>
      <c r="I4705" s="17"/>
      <c r="J4705" s="10"/>
      <c r="K4705" s="46"/>
      <c r="L4705" s="10"/>
      <c r="M4705" s="20"/>
      <c r="N4705" s="20"/>
      <c r="O4705" s="20"/>
      <c r="P4705" s="20"/>
    </row>
    <row r="4706">
      <c r="A4706" s="23"/>
      <c r="B4706" s="21"/>
      <c r="C4706" s="23"/>
      <c r="D4706" s="24"/>
      <c r="E4706" s="14"/>
      <c r="F4706" s="14"/>
      <c r="G4706" s="14"/>
      <c r="H4706" s="23"/>
      <c r="I4706" s="27"/>
      <c r="J4706" s="23"/>
      <c r="K4706" s="30"/>
      <c r="L4706" s="23"/>
      <c r="M4706" s="20"/>
      <c r="N4706" s="20"/>
      <c r="O4706" s="20"/>
      <c r="P4706" s="20"/>
    </row>
    <row r="4707">
      <c r="A4707" s="10"/>
      <c r="B4707" s="11"/>
      <c r="C4707" s="10"/>
      <c r="D4707" s="13"/>
      <c r="E4707" s="14"/>
      <c r="F4707" s="14"/>
      <c r="G4707" s="14"/>
      <c r="H4707" s="10"/>
      <c r="I4707" s="17"/>
      <c r="J4707" s="10"/>
      <c r="K4707" s="46"/>
      <c r="L4707" s="10"/>
      <c r="M4707" s="20"/>
      <c r="N4707" s="20"/>
      <c r="O4707" s="20"/>
      <c r="P4707" s="20"/>
    </row>
    <row r="4708">
      <c r="A4708" s="23"/>
      <c r="B4708" s="21"/>
      <c r="C4708" s="23"/>
      <c r="D4708" s="24"/>
      <c r="E4708" s="14"/>
      <c r="F4708" s="14"/>
      <c r="G4708" s="14"/>
      <c r="H4708" s="23"/>
      <c r="I4708" s="27"/>
      <c r="J4708" s="23"/>
      <c r="K4708" s="30"/>
      <c r="L4708" s="23"/>
      <c r="M4708" s="20"/>
      <c r="N4708" s="20"/>
      <c r="O4708" s="20"/>
      <c r="P4708" s="20"/>
    </row>
    <row r="4709">
      <c r="A4709" s="10"/>
      <c r="B4709" s="11"/>
      <c r="C4709" s="10"/>
      <c r="D4709" s="13"/>
      <c r="E4709" s="14"/>
      <c r="F4709" s="14"/>
      <c r="G4709" s="14"/>
      <c r="H4709" s="10"/>
      <c r="I4709" s="17"/>
      <c r="J4709" s="10"/>
      <c r="K4709" s="46"/>
      <c r="L4709" s="10"/>
      <c r="M4709" s="20"/>
      <c r="N4709" s="20"/>
      <c r="O4709" s="20"/>
      <c r="P4709" s="20"/>
    </row>
    <row r="4710">
      <c r="A4710" s="23"/>
      <c r="B4710" s="21"/>
      <c r="C4710" s="23"/>
      <c r="D4710" s="24"/>
      <c r="E4710" s="14"/>
      <c r="F4710" s="14"/>
      <c r="G4710" s="14"/>
      <c r="H4710" s="23"/>
      <c r="I4710" s="27"/>
      <c r="J4710" s="23"/>
      <c r="K4710" s="30"/>
      <c r="L4710" s="23"/>
      <c r="M4710" s="20"/>
      <c r="N4710" s="20"/>
      <c r="O4710" s="20"/>
      <c r="P4710" s="20"/>
    </row>
    <row r="4711">
      <c r="A4711" s="10"/>
      <c r="B4711" s="11"/>
      <c r="C4711" s="10"/>
      <c r="D4711" s="13"/>
      <c r="E4711" s="14"/>
      <c r="F4711" s="14"/>
      <c r="G4711" s="14"/>
      <c r="H4711" s="10"/>
      <c r="I4711" s="17"/>
      <c r="J4711" s="10"/>
      <c r="K4711" s="46"/>
      <c r="L4711" s="10"/>
      <c r="M4711" s="20"/>
      <c r="N4711" s="20"/>
      <c r="O4711" s="20"/>
      <c r="P4711" s="20"/>
    </row>
    <row r="4712">
      <c r="A4712" s="23"/>
      <c r="B4712" s="21"/>
      <c r="C4712" s="23"/>
      <c r="D4712" s="24"/>
      <c r="E4712" s="14"/>
      <c r="F4712" s="14"/>
      <c r="G4712" s="14"/>
      <c r="H4712" s="23"/>
      <c r="I4712" s="27"/>
      <c r="J4712" s="23"/>
      <c r="K4712" s="30"/>
      <c r="L4712" s="23"/>
      <c r="M4712" s="20"/>
      <c r="N4712" s="20"/>
      <c r="O4712" s="20"/>
      <c r="P4712" s="20"/>
    </row>
    <row r="4713">
      <c r="A4713" s="10"/>
      <c r="B4713" s="11"/>
      <c r="C4713" s="10"/>
      <c r="D4713" s="13"/>
      <c r="E4713" s="14"/>
      <c r="F4713" s="14"/>
      <c r="G4713" s="14"/>
      <c r="H4713" s="10"/>
      <c r="I4713" s="17"/>
      <c r="J4713" s="10"/>
      <c r="K4713" s="46"/>
      <c r="L4713" s="10"/>
      <c r="M4713" s="20"/>
      <c r="N4713" s="20"/>
      <c r="O4713" s="20"/>
      <c r="P4713" s="20"/>
    </row>
    <row r="4714">
      <c r="A4714" s="23"/>
      <c r="B4714" s="21"/>
      <c r="C4714" s="23"/>
      <c r="D4714" s="24"/>
      <c r="E4714" s="14"/>
      <c r="F4714" s="14"/>
      <c r="G4714" s="14"/>
      <c r="H4714" s="23"/>
      <c r="I4714" s="27"/>
      <c r="J4714" s="23"/>
      <c r="K4714" s="30"/>
      <c r="L4714" s="23"/>
      <c r="M4714" s="20"/>
      <c r="N4714" s="20"/>
      <c r="O4714" s="20"/>
      <c r="P4714" s="20"/>
    </row>
    <row r="4715">
      <c r="A4715" s="10"/>
      <c r="B4715" s="11"/>
      <c r="C4715" s="10"/>
      <c r="D4715" s="13"/>
      <c r="E4715" s="14"/>
      <c r="F4715" s="14"/>
      <c r="G4715" s="14"/>
      <c r="H4715" s="10"/>
      <c r="I4715" s="17"/>
      <c r="J4715" s="10"/>
      <c r="K4715" s="46"/>
      <c r="L4715" s="10"/>
      <c r="M4715" s="20"/>
      <c r="N4715" s="20"/>
      <c r="O4715" s="20"/>
      <c r="P4715" s="20"/>
    </row>
    <row r="4716">
      <c r="A4716" s="23"/>
      <c r="B4716" s="21"/>
      <c r="C4716" s="23"/>
      <c r="D4716" s="24"/>
      <c r="E4716" s="14"/>
      <c r="F4716" s="14"/>
      <c r="G4716" s="14"/>
      <c r="H4716" s="23"/>
      <c r="I4716" s="27"/>
      <c r="J4716" s="23"/>
      <c r="K4716" s="30"/>
      <c r="L4716" s="23"/>
      <c r="M4716" s="20"/>
      <c r="N4716" s="20"/>
      <c r="O4716" s="20"/>
      <c r="P4716" s="20"/>
    </row>
    <row r="4717">
      <c r="A4717" s="10"/>
      <c r="B4717" s="11"/>
      <c r="C4717" s="10"/>
      <c r="D4717" s="13"/>
      <c r="E4717" s="14"/>
      <c r="F4717" s="14"/>
      <c r="G4717" s="14"/>
      <c r="H4717" s="10"/>
      <c r="I4717" s="17"/>
      <c r="J4717" s="10"/>
      <c r="K4717" s="46"/>
      <c r="L4717" s="10"/>
      <c r="M4717" s="20"/>
      <c r="N4717" s="20"/>
      <c r="O4717" s="20"/>
      <c r="P4717" s="20"/>
    </row>
    <row r="4718">
      <c r="A4718" s="23"/>
      <c r="B4718" s="21"/>
      <c r="C4718" s="23"/>
      <c r="D4718" s="24"/>
      <c r="E4718" s="14"/>
      <c r="F4718" s="14"/>
      <c r="G4718" s="14"/>
      <c r="H4718" s="23"/>
      <c r="I4718" s="27"/>
      <c r="J4718" s="23"/>
      <c r="K4718" s="30"/>
      <c r="L4718" s="23"/>
      <c r="M4718" s="20"/>
      <c r="N4718" s="20"/>
      <c r="O4718" s="20"/>
      <c r="P4718" s="20"/>
    </row>
    <row r="4719">
      <c r="A4719" s="10"/>
      <c r="B4719" s="11"/>
      <c r="C4719" s="10"/>
      <c r="D4719" s="13"/>
      <c r="E4719" s="14"/>
      <c r="F4719" s="14"/>
      <c r="G4719" s="14"/>
      <c r="H4719" s="10"/>
      <c r="I4719" s="17"/>
      <c r="J4719" s="10"/>
      <c r="K4719" s="46"/>
      <c r="L4719" s="10"/>
      <c r="M4719" s="20"/>
      <c r="N4719" s="20"/>
      <c r="O4719" s="20"/>
      <c r="P4719" s="20"/>
    </row>
    <row r="4720">
      <c r="A4720" s="23"/>
      <c r="B4720" s="21"/>
      <c r="C4720" s="23"/>
      <c r="D4720" s="24"/>
      <c r="E4720" s="14"/>
      <c r="F4720" s="14"/>
      <c r="G4720" s="14"/>
      <c r="H4720" s="23"/>
      <c r="I4720" s="27"/>
      <c r="J4720" s="23"/>
      <c r="K4720" s="30"/>
      <c r="L4720" s="23"/>
      <c r="M4720" s="20"/>
      <c r="N4720" s="20"/>
      <c r="O4720" s="20"/>
      <c r="P4720" s="20"/>
    </row>
    <row r="4721">
      <c r="A4721" s="10"/>
      <c r="B4721" s="11"/>
      <c r="C4721" s="10"/>
      <c r="D4721" s="13"/>
      <c r="E4721" s="14"/>
      <c r="F4721" s="14"/>
      <c r="G4721" s="14"/>
      <c r="H4721" s="10"/>
      <c r="I4721" s="17"/>
      <c r="J4721" s="10"/>
      <c r="K4721" s="46"/>
      <c r="L4721" s="10"/>
      <c r="M4721" s="20"/>
      <c r="N4721" s="20"/>
      <c r="O4721" s="20"/>
      <c r="P4721" s="20"/>
    </row>
    <row r="4722">
      <c r="A4722" s="23"/>
      <c r="B4722" s="21"/>
      <c r="C4722" s="23"/>
      <c r="D4722" s="24"/>
      <c r="E4722" s="14"/>
      <c r="F4722" s="14"/>
      <c r="G4722" s="14"/>
      <c r="H4722" s="23"/>
      <c r="I4722" s="27"/>
      <c r="J4722" s="23"/>
      <c r="K4722" s="30"/>
      <c r="L4722" s="23"/>
      <c r="M4722" s="20"/>
      <c r="N4722" s="20"/>
      <c r="O4722" s="20"/>
      <c r="P4722" s="20"/>
    </row>
    <row r="4723">
      <c r="A4723" s="10"/>
      <c r="B4723" s="11"/>
      <c r="C4723" s="10"/>
      <c r="D4723" s="13"/>
      <c r="E4723" s="14"/>
      <c r="F4723" s="14"/>
      <c r="G4723" s="14"/>
      <c r="H4723" s="10"/>
      <c r="I4723" s="17"/>
      <c r="J4723" s="10"/>
      <c r="K4723" s="46"/>
      <c r="L4723" s="10"/>
      <c r="M4723" s="20"/>
      <c r="N4723" s="20"/>
      <c r="O4723" s="20"/>
      <c r="P4723" s="20"/>
    </row>
    <row r="4724">
      <c r="A4724" s="23"/>
      <c r="B4724" s="21"/>
      <c r="C4724" s="23"/>
      <c r="D4724" s="24"/>
      <c r="E4724" s="14"/>
      <c r="F4724" s="14"/>
      <c r="G4724" s="14"/>
      <c r="H4724" s="23"/>
      <c r="I4724" s="27"/>
      <c r="J4724" s="23"/>
      <c r="K4724" s="30"/>
      <c r="L4724" s="23"/>
      <c r="M4724" s="20"/>
      <c r="N4724" s="20"/>
      <c r="O4724" s="20"/>
      <c r="P4724" s="20"/>
    </row>
    <row r="4725">
      <c r="A4725" s="10"/>
      <c r="B4725" s="11"/>
      <c r="C4725" s="10"/>
      <c r="D4725" s="13"/>
      <c r="E4725" s="14"/>
      <c r="F4725" s="14"/>
      <c r="G4725" s="14"/>
      <c r="H4725" s="10"/>
      <c r="I4725" s="17"/>
      <c r="J4725" s="10"/>
      <c r="K4725" s="46"/>
      <c r="L4725" s="10"/>
      <c r="M4725" s="20"/>
      <c r="N4725" s="20"/>
      <c r="O4725" s="20"/>
      <c r="P4725" s="20"/>
    </row>
    <row r="4726">
      <c r="A4726" s="23"/>
      <c r="B4726" s="21"/>
      <c r="C4726" s="23"/>
      <c r="D4726" s="24"/>
      <c r="E4726" s="14"/>
      <c r="F4726" s="14"/>
      <c r="G4726" s="14"/>
      <c r="H4726" s="23"/>
      <c r="I4726" s="27"/>
      <c r="J4726" s="23"/>
      <c r="K4726" s="30"/>
      <c r="L4726" s="23"/>
      <c r="M4726" s="20"/>
      <c r="N4726" s="20"/>
      <c r="O4726" s="20"/>
      <c r="P4726" s="20"/>
    </row>
    <row r="4727">
      <c r="A4727" s="10"/>
      <c r="B4727" s="11"/>
      <c r="C4727" s="10"/>
      <c r="D4727" s="13"/>
      <c r="E4727" s="14"/>
      <c r="F4727" s="14"/>
      <c r="G4727" s="14"/>
      <c r="H4727" s="10"/>
      <c r="I4727" s="17"/>
      <c r="J4727" s="10"/>
      <c r="K4727" s="46"/>
      <c r="L4727" s="10"/>
      <c r="M4727" s="20"/>
      <c r="N4727" s="20"/>
      <c r="O4727" s="20"/>
      <c r="P4727" s="20"/>
    </row>
    <row r="4728">
      <c r="A4728" s="23"/>
      <c r="B4728" s="21"/>
      <c r="C4728" s="23"/>
      <c r="D4728" s="24"/>
      <c r="E4728" s="14"/>
      <c r="F4728" s="14"/>
      <c r="G4728" s="14"/>
      <c r="H4728" s="23"/>
      <c r="I4728" s="27"/>
      <c r="J4728" s="23"/>
      <c r="K4728" s="30"/>
      <c r="L4728" s="23"/>
      <c r="M4728" s="20"/>
      <c r="N4728" s="20"/>
      <c r="O4728" s="20"/>
      <c r="P4728" s="20"/>
    </row>
    <row r="4729">
      <c r="A4729" s="10"/>
      <c r="B4729" s="11"/>
      <c r="C4729" s="10"/>
      <c r="D4729" s="13"/>
      <c r="E4729" s="14"/>
      <c r="F4729" s="14"/>
      <c r="G4729" s="14"/>
      <c r="H4729" s="10"/>
      <c r="I4729" s="17"/>
      <c r="J4729" s="10"/>
      <c r="K4729" s="46"/>
      <c r="L4729" s="10"/>
      <c r="M4729" s="20"/>
      <c r="N4729" s="20"/>
      <c r="O4729" s="20"/>
      <c r="P4729" s="20"/>
    </row>
    <row r="4730">
      <c r="A4730" s="23"/>
      <c r="B4730" s="21"/>
      <c r="C4730" s="23"/>
      <c r="D4730" s="24"/>
      <c r="E4730" s="14"/>
      <c r="F4730" s="14"/>
      <c r="G4730" s="14"/>
      <c r="H4730" s="23"/>
      <c r="I4730" s="27"/>
      <c r="J4730" s="23"/>
      <c r="K4730" s="30"/>
      <c r="L4730" s="23"/>
      <c r="M4730" s="20"/>
      <c r="N4730" s="20"/>
      <c r="O4730" s="20"/>
      <c r="P4730" s="20"/>
    </row>
    <row r="4731">
      <c r="A4731" s="10"/>
      <c r="B4731" s="11"/>
      <c r="C4731" s="10"/>
      <c r="D4731" s="13"/>
      <c r="E4731" s="14"/>
      <c r="F4731" s="14"/>
      <c r="G4731" s="14"/>
      <c r="H4731" s="10"/>
      <c r="I4731" s="17"/>
      <c r="J4731" s="10"/>
      <c r="K4731" s="46"/>
      <c r="L4731" s="10"/>
      <c r="M4731" s="20"/>
      <c r="N4731" s="20"/>
      <c r="O4731" s="20"/>
      <c r="P4731" s="20"/>
    </row>
    <row r="4732">
      <c r="A4732" s="23"/>
      <c r="B4732" s="21"/>
      <c r="C4732" s="23"/>
      <c r="D4732" s="24"/>
      <c r="E4732" s="14"/>
      <c r="F4732" s="14"/>
      <c r="G4732" s="14"/>
      <c r="H4732" s="23"/>
      <c r="I4732" s="27"/>
      <c r="J4732" s="23"/>
      <c r="K4732" s="30"/>
      <c r="L4732" s="23"/>
      <c r="M4732" s="20"/>
      <c r="N4732" s="20"/>
      <c r="O4732" s="20"/>
      <c r="P4732" s="20"/>
    </row>
    <row r="4733">
      <c r="A4733" s="10"/>
      <c r="B4733" s="11"/>
      <c r="C4733" s="10"/>
      <c r="D4733" s="13"/>
      <c r="E4733" s="14"/>
      <c r="F4733" s="14"/>
      <c r="G4733" s="14"/>
      <c r="H4733" s="10"/>
      <c r="I4733" s="17"/>
      <c r="J4733" s="10"/>
      <c r="K4733" s="46"/>
      <c r="L4733" s="10"/>
      <c r="M4733" s="20"/>
      <c r="N4733" s="20"/>
      <c r="O4733" s="20"/>
      <c r="P4733" s="20"/>
    </row>
    <row r="4734">
      <c r="A4734" s="23"/>
      <c r="B4734" s="21"/>
      <c r="C4734" s="23"/>
      <c r="D4734" s="24"/>
      <c r="E4734" s="14"/>
      <c r="F4734" s="14"/>
      <c r="G4734" s="14"/>
      <c r="H4734" s="23"/>
      <c r="I4734" s="27"/>
      <c r="J4734" s="23"/>
      <c r="K4734" s="30"/>
      <c r="L4734" s="23"/>
      <c r="M4734" s="20"/>
      <c r="N4734" s="20"/>
      <c r="O4734" s="20"/>
      <c r="P4734" s="20"/>
    </row>
    <row r="4735">
      <c r="A4735" s="10"/>
      <c r="B4735" s="11"/>
      <c r="C4735" s="10"/>
      <c r="D4735" s="13"/>
      <c r="E4735" s="14"/>
      <c r="F4735" s="14"/>
      <c r="G4735" s="14"/>
      <c r="H4735" s="10"/>
      <c r="I4735" s="17"/>
      <c r="J4735" s="10"/>
      <c r="K4735" s="46"/>
      <c r="L4735" s="10"/>
      <c r="M4735" s="20"/>
      <c r="N4735" s="20"/>
      <c r="O4735" s="20"/>
      <c r="P4735" s="20"/>
    </row>
    <row r="4736">
      <c r="A4736" s="23"/>
      <c r="B4736" s="21"/>
      <c r="C4736" s="23"/>
      <c r="D4736" s="24"/>
      <c r="E4736" s="14"/>
      <c r="F4736" s="14"/>
      <c r="G4736" s="14"/>
      <c r="H4736" s="23"/>
      <c r="I4736" s="27"/>
      <c r="J4736" s="23"/>
      <c r="K4736" s="30"/>
      <c r="L4736" s="23"/>
      <c r="M4736" s="20"/>
      <c r="N4736" s="20"/>
      <c r="O4736" s="20"/>
      <c r="P4736" s="20"/>
    </row>
    <row r="4737">
      <c r="A4737" s="10"/>
      <c r="B4737" s="11"/>
      <c r="C4737" s="10"/>
      <c r="D4737" s="13"/>
      <c r="E4737" s="14"/>
      <c r="F4737" s="14"/>
      <c r="G4737" s="14"/>
      <c r="H4737" s="10"/>
      <c r="I4737" s="17"/>
      <c r="J4737" s="10"/>
      <c r="K4737" s="46"/>
      <c r="L4737" s="10"/>
      <c r="M4737" s="20"/>
      <c r="N4737" s="20"/>
      <c r="O4737" s="20"/>
      <c r="P4737" s="20"/>
    </row>
    <row r="4738">
      <c r="A4738" s="23"/>
      <c r="B4738" s="21"/>
      <c r="C4738" s="23"/>
      <c r="D4738" s="24"/>
      <c r="E4738" s="14"/>
      <c r="F4738" s="14"/>
      <c r="G4738" s="14"/>
      <c r="H4738" s="23"/>
      <c r="I4738" s="27"/>
      <c r="J4738" s="23"/>
      <c r="K4738" s="30"/>
      <c r="L4738" s="23"/>
      <c r="M4738" s="20"/>
      <c r="N4738" s="20"/>
      <c r="O4738" s="20"/>
      <c r="P4738" s="20"/>
    </row>
    <row r="4739">
      <c r="A4739" s="10"/>
      <c r="B4739" s="11"/>
      <c r="C4739" s="10"/>
      <c r="D4739" s="13"/>
      <c r="E4739" s="14"/>
      <c r="F4739" s="14"/>
      <c r="G4739" s="14"/>
      <c r="H4739" s="10"/>
      <c r="I4739" s="17"/>
      <c r="J4739" s="10"/>
      <c r="K4739" s="46"/>
      <c r="L4739" s="10"/>
      <c r="M4739" s="20"/>
      <c r="N4739" s="20"/>
      <c r="O4739" s="20"/>
      <c r="P4739" s="20"/>
    </row>
    <row r="4740">
      <c r="A4740" s="23"/>
      <c r="B4740" s="21"/>
      <c r="C4740" s="23"/>
      <c r="D4740" s="24"/>
      <c r="E4740" s="14"/>
      <c r="F4740" s="14"/>
      <c r="G4740" s="14"/>
      <c r="H4740" s="23"/>
      <c r="I4740" s="27"/>
      <c r="J4740" s="23"/>
      <c r="K4740" s="30"/>
      <c r="L4740" s="23"/>
      <c r="M4740" s="20"/>
      <c r="N4740" s="20"/>
      <c r="O4740" s="20"/>
      <c r="P4740" s="20"/>
    </row>
    <row r="4741">
      <c r="A4741" s="10"/>
      <c r="B4741" s="11"/>
      <c r="C4741" s="10"/>
      <c r="D4741" s="13"/>
      <c r="E4741" s="14"/>
      <c r="F4741" s="14"/>
      <c r="G4741" s="14"/>
      <c r="H4741" s="10"/>
      <c r="I4741" s="17"/>
      <c r="J4741" s="10"/>
      <c r="K4741" s="46"/>
      <c r="L4741" s="10"/>
      <c r="M4741" s="20"/>
      <c r="N4741" s="20"/>
      <c r="O4741" s="20"/>
      <c r="P4741" s="20"/>
    </row>
    <row r="4742">
      <c r="A4742" s="23"/>
      <c r="B4742" s="21"/>
      <c r="C4742" s="23"/>
      <c r="D4742" s="24"/>
      <c r="E4742" s="14"/>
      <c r="F4742" s="14"/>
      <c r="G4742" s="14"/>
      <c r="H4742" s="23"/>
      <c r="I4742" s="27"/>
      <c r="J4742" s="23"/>
      <c r="K4742" s="30"/>
      <c r="L4742" s="23"/>
      <c r="M4742" s="20"/>
      <c r="N4742" s="20"/>
      <c r="O4742" s="20"/>
      <c r="P4742" s="20"/>
    </row>
    <row r="4743">
      <c r="A4743" s="10"/>
      <c r="B4743" s="11"/>
      <c r="C4743" s="10"/>
      <c r="D4743" s="13"/>
      <c r="E4743" s="14"/>
      <c r="F4743" s="14"/>
      <c r="G4743" s="14"/>
      <c r="H4743" s="10"/>
      <c r="I4743" s="17"/>
      <c r="J4743" s="10"/>
      <c r="K4743" s="46"/>
      <c r="L4743" s="10"/>
      <c r="M4743" s="20"/>
      <c r="N4743" s="20"/>
      <c r="O4743" s="20"/>
      <c r="P4743" s="20"/>
    </row>
    <row r="4744">
      <c r="A4744" s="23"/>
      <c r="B4744" s="21"/>
      <c r="C4744" s="23"/>
      <c r="D4744" s="24"/>
      <c r="E4744" s="14"/>
      <c r="F4744" s="14"/>
      <c r="G4744" s="14"/>
      <c r="H4744" s="23"/>
      <c r="I4744" s="27"/>
      <c r="J4744" s="23"/>
      <c r="K4744" s="30"/>
      <c r="L4744" s="23"/>
      <c r="M4744" s="20"/>
      <c r="N4744" s="20"/>
      <c r="O4744" s="20"/>
      <c r="P4744" s="20"/>
    </row>
    <row r="4745">
      <c r="A4745" s="10"/>
      <c r="B4745" s="11"/>
      <c r="C4745" s="10"/>
      <c r="D4745" s="13"/>
      <c r="E4745" s="14"/>
      <c r="F4745" s="14"/>
      <c r="G4745" s="14"/>
      <c r="H4745" s="10"/>
      <c r="I4745" s="17"/>
      <c r="J4745" s="10"/>
      <c r="K4745" s="46"/>
      <c r="L4745" s="10"/>
      <c r="M4745" s="20"/>
      <c r="N4745" s="20"/>
      <c r="O4745" s="20"/>
      <c r="P4745" s="20"/>
    </row>
    <row r="4746">
      <c r="A4746" s="23"/>
      <c r="B4746" s="21"/>
      <c r="C4746" s="23"/>
      <c r="D4746" s="24"/>
      <c r="E4746" s="14"/>
      <c r="F4746" s="14"/>
      <c r="G4746" s="14"/>
      <c r="H4746" s="23"/>
      <c r="I4746" s="27"/>
      <c r="J4746" s="23"/>
      <c r="K4746" s="30"/>
      <c r="L4746" s="23"/>
      <c r="M4746" s="20"/>
      <c r="N4746" s="20"/>
      <c r="O4746" s="20"/>
      <c r="P4746" s="20"/>
    </row>
    <row r="4747">
      <c r="A4747" s="10"/>
      <c r="B4747" s="11"/>
      <c r="C4747" s="10"/>
      <c r="D4747" s="13"/>
      <c r="E4747" s="14"/>
      <c r="F4747" s="14"/>
      <c r="G4747" s="14"/>
      <c r="H4747" s="10"/>
      <c r="I4747" s="17"/>
      <c r="J4747" s="10"/>
      <c r="K4747" s="46"/>
      <c r="L4747" s="10"/>
      <c r="M4747" s="20"/>
      <c r="N4747" s="20"/>
      <c r="O4747" s="20"/>
      <c r="P4747" s="20"/>
    </row>
    <row r="4748">
      <c r="A4748" s="23"/>
      <c r="B4748" s="21"/>
      <c r="C4748" s="23"/>
      <c r="D4748" s="24"/>
      <c r="E4748" s="14"/>
      <c r="F4748" s="14"/>
      <c r="G4748" s="14"/>
      <c r="H4748" s="23"/>
      <c r="I4748" s="27"/>
      <c r="J4748" s="23"/>
      <c r="K4748" s="30"/>
      <c r="L4748" s="23"/>
      <c r="M4748" s="20"/>
      <c r="N4748" s="20"/>
      <c r="O4748" s="20"/>
      <c r="P4748" s="20"/>
    </row>
    <row r="4749">
      <c r="A4749" s="10"/>
      <c r="B4749" s="11"/>
      <c r="C4749" s="10"/>
      <c r="D4749" s="13"/>
      <c r="E4749" s="14"/>
      <c r="F4749" s="14"/>
      <c r="G4749" s="14"/>
      <c r="H4749" s="10"/>
      <c r="I4749" s="17"/>
      <c r="J4749" s="10"/>
      <c r="K4749" s="46"/>
      <c r="L4749" s="10"/>
      <c r="M4749" s="20"/>
      <c r="N4749" s="20"/>
      <c r="O4749" s="20"/>
      <c r="P4749" s="20"/>
    </row>
    <row r="4750">
      <c r="A4750" s="23"/>
      <c r="B4750" s="21"/>
      <c r="C4750" s="23"/>
      <c r="D4750" s="24"/>
      <c r="E4750" s="14"/>
      <c r="F4750" s="14"/>
      <c r="G4750" s="14"/>
      <c r="H4750" s="23"/>
      <c r="I4750" s="27"/>
      <c r="J4750" s="23"/>
      <c r="K4750" s="30"/>
      <c r="L4750" s="23"/>
      <c r="M4750" s="20"/>
      <c r="N4750" s="20"/>
      <c r="O4750" s="20"/>
      <c r="P4750" s="20"/>
    </row>
    <row r="4751">
      <c r="A4751" s="10"/>
      <c r="B4751" s="11"/>
      <c r="C4751" s="10"/>
      <c r="D4751" s="13"/>
      <c r="E4751" s="14"/>
      <c r="F4751" s="14"/>
      <c r="G4751" s="14"/>
      <c r="H4751" s="10"/>
      <c r="I4751" s="17"/>
      <c r="J4751" s="10"/>
      <c r="K4751" s="46"/>
      <c r="L4751" s="10"/>
      <c r="M4751" s="20"/>
      <c r="N4751" s="20"/>
      <c r="O4751" s="20"/>
      <c r="P4751" s="20"/>
    </row>
    <row r="4752">
      <c r="A4752" s="23"/>
      <c r="B4752" s="21"/>
      <c r="C4752" s="23"/>
      <c r="D4752" s="24"/>
      <c r="E4752" s="14"/>
      <c r="F4752" s="14"/>
      <c r="G4752" s="14"/>
      <c r="H4752" s="23"/>
      <c r="I4752" s="27"/>
      <c r="J4752" s="23"/>
      <c r="K4752" s="30"/>
      <c r="L4752" s="23"/>
      <c r="M4752" s="20"/>
      <c r="N4752" s="20"/>
      <c r="O4752" s="20"/>
      <c r="P4752" s="20"/>
    </row>
    <row r="4753">
      <c r="A4753" s="10"/>
      <c r="B4753" s="11"/>
      <c r="C4753" s="10"/>
      <c r="D4753" s="13"/>
      <c r="E4753" s="14"/>
      <c r="F4753" s="14"/>
      <c r="G4753" s="14"/>
      <c r="H4753" s="10"/>
      <c r="I4753" s="17"/>
      <c r="J4753" s="10"/>
      <c r="K4753" s="46"/>
      <c r="L4753" s="10"/>
      <c r="M4753" s="20"/>
      <c r="N4753" s="20"/>
      <c r="O4753" s="20"/>
      <c r="P4753" s="20"/>
    </row>
    <row r="4754">
      <c r="A4754" s="23"/>
      <c r="B4754" s="21"/>
      <c r="C4754" s="23"/>
      <c r="D4754" s="24"/>
      <c r="E4754" s="14"/>
      <c r="F4754" s="14"/>
      <c r="G4754" s="14"/>
      <c r="H4754" s="23"/>
      <c r="I4754" s="27"/>
      <c r="J4754" s="23"/>
      <c r="K4754" s="30"/>
      <c r="L4754" s="23"/>
      <c r="M4754" s="20"/>
      <c r="N4754" s="20"/>
      <c r="O4754" s="20"/>
      <c r="P4754" s="20"/>
    </row>
    <row r="4755">
      <c r="A4755" s="10"/>
      <c r="B4755" s="11"/>
      <c r="C4755" s="10"/>
      <c r="D4755" s="13"/>
      <c r="E4755" s="14"/>
      <c r="F4755" s="14"/>
      <c r="G4755" s="14"/>
      <c r="H4755" s="10"/>
      <c r="I4755" s="17"/>
      <c r="J4755" s="10"/>
      <c r="K4755" s="46"/>
      <c r="L4755" s="10"/>
      <c r="M4755" s="20"/>
      <c r="N4755" s="20"/>
      <c r="O4755" s="20"/>
      <c r="P4755" s="20"/>
    </row>
    <row r="4756">
      <c r="A4756" s="23"/>
      <c r="B4756" s="21"/>
      <c r="C4756" s="23"/>
      <c r="D4756" s="24"/>
      <c r="E4756" s="14"/>
      <c r="F4756" s="14"/>
      <c r="G4756" s="14"/>
      <c r="H4756" s="23"/>
      <c r="I4756" s="27"/>
      <c r="J4756" s="23"/>
      <c r="K4756" s="30"/>
      <c r="L4756" s="23"/>
      <c r="M4756" s="20"/>
      <c r="N4756" s="20"/>
      <c r="O4756" s="20"/>
      <c r="P4756" s="20"/>
    </row>
    <row r="4757">
      <c r="A4757" s="10"/>
      <c r="B4757" s="11"/>
      <c r="C4757" s="10"/>
      <c r="D4757" s="13"/>
      <c r="E4757" s="14"/>
      <c r="F4757" s="14"/>
      <c r="G4757" s="14"/>
      <c r="H4757" s="10"/>
      <c r="I4757" s="17"/>
      <c r="J4757" s="10"/>
      <c r="K4757" s="46"/>
      <c r="L4757" s="10"/>
      <c r="M4757" s="20"/>
      <c r="N4757" s="20"/>
      <c r="O4757" s="20"/>
      <c r="P4757" s="20"/>
    </row>
    <row r="4758">
      <c r="A4758" s="23"/>
      <c r="B4758" s="21"/>
      <c r="C4758" s="23"/>
      <c r="D4758" s="24"/>
      <c r="E4758" s="14"/>
      <c r="F4758" s="14"/>
      <c r="G4758" s="14"/>
      <c r="H4758" s="23"/>
      <c r="I4758" s="27"/>
      <c r="J4758" s="23"/>
      <c r="K4758" s="30"/>
      <c r="L4758" s="23"/>
      <c r="M4758" s="20"/>
      <c r="N4758" s="20"/>
      <c r="O4758" s="20"/>
      <c r="P4758" s="20"/>
    </row>
    <row r="4759">
      <c r="A4759" s="10"/>
      <c r="B4759" s="11"/>
      <c r="C4759" s="10"/>
      <c r="D4759" s="13"/>
      <c r="E4759" s="14"/>
      <c r="F4759" s="14"/>
      <c r="G4759" s="14"/>
      <c r="H4759" s="10"/>
      <c r="I4759" s="17"/>
      <c r="J4759" s="10"/>
      <c r="K4759" s="46"/>
      <c r="L4759" s="10"/>
      <c r="M4759" s="20"/>
      <c r="N4759" s="20"/>
      <c r="O4759" s="20"/>
      <c r="P4759" s="20"/>
    </row>
    <row r="4760">
      <c r="A4760" s="23"/>
      <c r="B4760" s="21"/>
      <c r="C4760" s="23"/>
      <c r="D4760" s="24"/>
      <c r="E4760" s="14"/>
      <c r="F4760" s="14"/>
      <c r="G4760" s="14"/>
      <c r="H4760" s="23"/>
      <c r="I4760" s="27"/>
      <c r="J4760" s="23"/>
      <c r="K4760" s="30"/>
      <c r="L4760" s="23"/>
      <c r="M4760" s="20"/>
      <c r="N4760" s="20"/>
      <c r="O4760" s="20"/>
      <c r="P4760" s="20"/>
    </row>
    <row r="4761">
      <c r="A4761" s="10"/>
      <c r="B4761" s="11"/>
      <c r="C4761" s="10"/>
      <c r="D4761" s="13"/>
      <c r="E4761" s="14"/>
      <c r="F4761" s="14"/>
      <c r="G4761" s="14"/>
      <c r="H4761" s="10"/>
      <c r="I4761" s="17"/>
      <c r="J4761" s="10"/>
      <c r="K4761" s="46"/>
      <c r="L4761" s="10"/>
      <c r="M4761" s="20"/>
      <c r="N4761" s="20"/>
      <c r="O4761" s="20"/>
      <c r="P4761" s="20"/>
    </row>
    <row r="4762">
      <c r="A4762" s="23"/>
      <c r="B4762" s="21"/>
      <c r="C4762" s="23"/>
      <c r="D4762" s="24"/>
      <c r="E4762" s="14"/>
      <c r="F4762" s="14"/>
      <c r="G4762" s="14"/>
      <c r="H4762" s="23"/>
      <c r="I4762" s="27"/>
      <c r="J4762" s="23"/>
      <c r="K4762" s="30"/>
      <c r="L4762" s="23"/>
      <c r="M4762" s="20"/>
      <c r="N4762" s="20"/>
      <c r="O4762" s="20"/>
      <c r="P4762" s="20"/>
    </row>
    <row r="4763">
      <c r="A4763" s="10"/>
      <c r="B4763" s="11"/>
      <c r="C4763" s="10"/>
      <c r="D4763" s="13"/>
      <c r="E4763" s="14"/>
      <c r="F4763" s="14"/>
      <c r="G4763" s="14"/>
      <c r="H4763" s="10"/>
      <c r="I4763" s="17"/>
      <c r="J4763" s="10"/>
      <c r="K4763" s="46"/>
      <c r="L4763" s="10"/>
      <c r="M4763" s="20"/>
      <c r="N4763" s="20"/>
      <c r="O4763" s="20"/>
      <c r="P4763" s="20"/>
    </row>
    <row r="4764">
      <c r="A4764" s="23"/>
      <c r="B4764" s="21"/>
      <c r="C4764" s="23"/>
      <c r="D4764" s="24"/>
      <c r="E4764" s="14"/>
      <c r="F4764" s="14"/>
      <c r="G4764" s="14"/>
      <c r="H4764" s="23"/>
      <c r="I4764" s="27"/>
      <c r="J4764" s="23"/>
      <c r="K4764" s="30"/>
      <c r="L4764" s="23"/>
      <c r="M4764" s="20"/>
      <c r="N4764" s="20"/>
      <c r="O4764" s="20"/>
      <c r="P4764" s="20"/>
    </row>
    <row r="4765">
      <c r="A4765" s="10"/>
      <c r="B4765" s="11"/>
      <c r="C4765" s="10"/>
      <c r="D4765" s="13"/>
      <c r="E4765" s="14"/>
      <c r="F4765" s="14"/>
      <c r="G4765" s="14"/>
      <c r="H4765" s="10"/>
      <c r="I4765" s="17"/>
      <c r="J4765" s="10"/>
      <c r="K4765" s="46"/>
      <c r="L4765" s="10"/>
      <c r="M4765" s="20"/>
      <c r="N4765" s="20"/>
      <c r="O4765" s="20"/>
      <c r="P4765" s="20"/>
    </row>
    <row r="4766">
      <c r="A4766" s="23"/>
      <c r="B4766" s="21"/>
      <c r="C4766" s="23"/>
      <c r="D4766" s="24"/>
      <c r="E4766" s="14"/>
      <c r="F4766" s="14"/>
      <c r="G4766" s="14"/>
      <c r="H4766" s="23"/>
      <c r="I4766" s="27"/>
      <c r="J4766" s="23"/>
      <c r="K4766" s="30"/>
      <c r="L4766" s="23"/>
      <c r="M4766" s="20"/>
      <c r="N4766" s="20"/>
      <c r="O4766" s="20"/>
      <c r="P4766" s="20"/>
    </row>
    <row r="4767">
      <c r="A4767" s="10"/>
      <c r="B4767" s="11"/>
      <c r="C4767" s="10"/>
      <c r="D4767" s="13"/>
      <c r="E4767" s="14"/>
      <c r="F4767" s="14"/>
      <c r="G4767" s="14"/>
      <c r="H4767" s="10"/>
      <c r="I4767" s="17"/>
      <c r="J4767" s="10"/>
      <c r="K4767" s="46"/>
      <c r="L4767" s="10"/>
      <c r="M4767" s="20"/>
      <c r="N4767" s="20"/>
      <c r="O4767" s="20"/>
      <c r="P4767" s="20"/>
    </row>
    <row r="4768">
      <c r="A4768" s="23"/>
      <c r="B4768" s="21"/>
      <c r="C4768" s="23"/>
      <c r="D4768" s="24"/>
      <c r="E4768" s="14"/>
      <c r="F4768" s="14"/>
      <c r="G4768" s="14"/>
      <c r="H4768" s="23"/>
      <c r="I4768" s="27"/>
      <c r="J4768" s="23"/>
      <c r="K4768" s="30"/>
      <c r="L4768" s="23"/>
      <c r="M4768" s="20"/>
      <c r="N4768" s="20"/>
      <c r="O4768" s="20"/>
      <c r="P4768" s="20"/>
    </row>
    <row r="4769">
      <c r="A4769" s="10"/>
      <c r="B4769" s="11"/>
      <c r="C4769" s="10"/>
      <c r="D4769" s="13"/>
      <c r="E4769" s="14"/>
      <c r="F4769" s="14"/>
      <c r="G4769" s="14"/>
      <c r="H4769" s="10"/>
      <c r="I4769" s="17"/>
      <c r="J4769" s="10"/>
      <c r="K4769" s="46"/>
      <c r="L4769" s="10"/>
      <c r="M4769" s="20"/>
      <c r="N4769" s="20"/>
      <c r="O4769" s="20"/>
      <c r="P4769" s="20"/>
    </row>
    <row r="4770">
      <c r="A4770" s="23"/>
      <c r="B4770" s="21"/>
      <c r="C4770" s="23"/>
      <c r="D4770" s="24"/>
      <c r="E4770" s="14"/>
      <c r="F4770" s="14"/>
      <c r="G4770" s="14"/>
      <c r="H4770" s="23"/>
      <c r="I4770" s="27"/>
      <c r="J4770" s="23"/>
      <c r="K4770" s="30"/>
      <c r="L4770" s="23"/>
      <c r="M4770" s="20"/>
      <c r="N4770" s="20"/>
      <c r="O4770" s="20"/>
      <c r="P4770" s="20"/>
    </row>
    <row r="4771">
      <c r="A4771" s="10"/>
      <c r="B4771" s="11"/>
      <c r="C4771" s="10"/>
      <c r="D4771" s="13"/>
      <c r="E4771" s="14"/>
      <c r="F4771" s="14"/>
      <c r="G4771" s="14"/>
      <c r="H4771" s="10"/>
      <c r="I4771" s="17"/>
      <c r="J4771" s="10"/>
      <c r="K4771" s="46"/>
      <c r="L4771" s="10"/>
      <c r="M4771" s="20"/>
      <c r="N4771" s="20"/>
      <c r="O4771" s="20"/>
      <c r="P4771" s="20"/>
    </row>
    <row r="4772">
      <c r="A4772" s="23"/>
      <c r="B4772" s="21"/>
      <c r="C4772" s="23"/>
      <c r="D4772" s="24"/>
      <c r="E4772" s="14"/>
      <c r="F4772" s="14"/>
      <c r="G4772" s="14"/>
      <c r="H4772" s="23"/>
      <c r="I4772" s="27"/>
      <c r="J4772" s="23"/>
      <c r="K4772" s="30"/>
      <c r="L4772" s="23"/>
      <c r="M4772" s="20"/>
      <c r="N4772" s="20"/>
      <c r="O4772" s="20"/>
      <c r="P4772" s="20"/>
    </row>
    <row r="4773">
      <c r="A4773" s="10"/>
      <c r="B4773" s="11"/>
      <c r="C4773" s="10"/>
      <c r="D4773" s="13"/>
      <c r="E4773" s="14"/>
      <c r="F4773" s="14"/>
      <c r="G4773" s="14"/>
      <c r="H4773" s="10"/>
      <c r="I4773" s="17"/>
      <c r="J4773" s="10"/>
      <c r="K4773" s="46"/>
      <c r="L4773" s="10"/>
      <c r="M4773" s="20"/>
      <c r="N4773" s="20"/>
      <c r="O4773" s="20"/>
      <c r="P4773" s="20"/>
    </row>
    <row r="4774">
      <c r="A4774" s="23"/>
      <c r="B4774" s="21"/>
      <c r="C4774" s="23"/>
      <c r="D4774" s="24"/>
      <c r="E4774" s="14"/>
      <c r="F4774" s="14"/>
      <c r="G4774" s="14"/>
      <c r="H4774" s="23"/>
      <c r="I4774" s="27"/>
      <c r="J4774" s="23"/>
      <c r="K4774" s="30"/>
      <c r="L4774" s="23"/>
      <c r="M4774" s="20"/>
      <c r="N4774" s="20"/>
      <c r="O4774" s="20"/>
      <c r="P4774" s="20"/>
    </row>
    <row r="4775">
      <c r="A4775" s="10"/>
      <c r="B4775" s="11"/>
      <c r="C4775" s="10"/>
      <c r="D4775" s="13"/>
      <c r="E4775" s="14"/>
      <c r="F4775" s="14"/>
      <c r="G4775" s="14"/>
      <c r="H4775" s="10"/>
      <c r="I4775" s="17"/>
      <c r="J4775" s="10"/>
      <c r="K4775" s="46"/>
      <c r="L4775" s="10"/>
      <c r="M4775" s="20"/>
      <c r="N4775" s="20"/>
      <c r="O4775" s="20"/>
      <c r="P4775" s="20"/>
    </row>
    <row r="4776">
      <c r="A4776" s="23"/>
      <c r="B4776" s="21"/>
      <c r="C4776" s="23"/>
      <c r="D4776" s="24"/>
      <c r="E4776" s="14"/>
      <c r="F4776" s="14"/>
      <c r="G4776" s="14"/>
      <c r="H4776" s="23"/>
      <c r="I4776" s="27"/>
      <c r="J4776" s="23"/>
      <c r="K4776" s="30"/>
      <c r="L4776" s="23"/>
      <c r="M4776" s="20"/>
      <c r="N4776" s="20"/>
      <c r="O4776" s="20"/>
      <c r="P4776" s="20"/>
    </row>
    <row r="4777">
      <c r="A4777" s="10"/>
      <c r="B4777" s="11"/>
      <c r="C4777" s="10"/>
      <c r="D4777" s="13"/>
      <c r="E4777" s="14"/>
      <c r="F4777" s="14"/>
      <c r="G4777" s="14"/>
      <c r="H4777" s="10"/>
      <c r="I4777" s="17"/>
      <c r="J4777" s="10"/>
      <c r="K4777" s="46"/>
      <c r="L4777" s="10"/>
      <c r="M4777" s="20"/>
      <c r="N4777" s="20"/>
      <c r="O4777" s="20"/>
      <c r="P4777" s="20"/>
    </row>
    <row r="4778">
      <c r="A4778" s="23"/>
      <c r="B4778" s="21"/>
      <c r="C4778" s="23"/>
      <c r="D4778" s="24"/>
      <c r="E4778" s="14"/>
      <c r="F4778" s="14"/>
      <c r="G4778" s="14"/>
      <c r="H4778" s="23"/>
      <c r="I4778" s="27"/>
      <c r="J4778" s="23"/>
      <c r="K4778" s="30"/>
      <c r="L4778" s="23"/>
      <c r="M4778" s="20"/>
      <c r="N4778" s="20"/>
      <c r="O4778" s="20"/>
      <c r="P4778" s="20"/>
    </row>
    <row r="4779">
      <c r="A4779" s="10"/>
      <c r="B4779" s="11"/>
      <c r="C4779" s="10"/>
      <c r="D4779" s="13"/>
      <c r="E4779" s="14"/>
      <c r="F4779" s="14"/>
      <c r="G4779" s="14"/>
      <c r="H4779" s="10"/>
      <c r="I4779" s="17"/>
      <c r="J4779" s="10"/>
      <c r="K4779" s="46"/>
      <c r="L4779" s="10"/>
      <c r="M4779" s="20"/>
      <c r="N4779" s="20"/>
      <c r="O4779" s="20"/>
      <c r="P4779" s="20"/>
    </row>
    <row r="4780">
      <c r="A4780" s="23"/>
      <c r="B4780" s="21"/>
      <c r="C4780" s="23"/>
      <c r="D4780" s="24"/>
      <c r="E4780" s="14"/>
      <c r="F4780" s="14"/>
      <c r="G4780" s="14"/>
      <c r="H4780" s="23"/>
      <c r="I4780" s="27"/>
      <c r="J4780" s="23"/>
      <c r="K4780" s="30"/>
      <c r="L4780" s="23"/>
      <c r="M4780" s="20"/>
      <c r="N4780" s="20"/>
      <c r="O4780" s="20"/>
      <c r="P4780" s="20"/>
    </row>
    <row r="4781">
      <c r="A4781" s="10"/>
      <c r="B4781" s="11"/>
      <c r="C4781" s="10"/>
      <c r="D4781" s="13"/>
      <c r="E4781" s="14"/>
      <c r="F4781" s="14"/>
      <c r="G4781" s="14"/>
      <c r="H4781" s="10"/>
      <c r="I4781" s="17"/>
      <c r="J4781" s="10"/>
      <c r="K4781" s="46"/>
      <c r="L4781" s="10"/>
      <c r="M4781" s="20"/>
      <c r="N4781" s="20"/>
      <c r="O4781" s="20"/>
      <c r="P4781" s="20"/>
    </row>
    <row r="4782">
      <c r="A4782" s="23"/>
      <c r="B4782" s="21"/>
      <c r="C4782" s="23"/>
      <c r="D4782" s="24"/>
      <c r="E4782" s="14"/>
      <c r="F4782" s="14"/>
      <c r="G4782" s="14"/>
      <c r="H4782" s="23"/>
      <c r="I4782" s="27"/>
      <c r="J4782" s="23"/>
      <c r="K4782" s="30"/>
      <c r="L4782" s="23"/>
      <c r="M4782" s="20"/>
      <c r="N4782" s="20"/>
      <c r="O4782" s="20"/>
      <c r="P4782" s="20"/>
    </row>
    <row r="4783">
      <c r="A4783" s="10"/>
      <c r="B4783" s="11"/>
      <c r="C4783" s="10"/>
      <c r="D4783" s="13"/>
      <c r="E4783" s="14"/>
      <c r="F4783" s="14"/>
      <c r="G4783" s="14"/>
      <c r="H4783" s="10"/>
      <c r="I4783" s="17"/>
      <c r="J4783" s="10"/>
      <c r="K4783" s="46"/>
      <c r="L4783" s="10"/>
      <c r="M4783" s="20"/>
      <c r="N4783" s="20"/>
      <c r="O4783" s="20"/>
      <c r="P4783" s="20"/>
    </row>
    <row r="4784">
      <c r="A4784" s="23"/>
      <c r="B4784" s="21"/>
      <c r="C4784" s="23"/>
      <c r="D4784" s="24"/>
      <c r="E4784" s="14"/>
      <c r="F4784" s="14"/>
      <c r="G4784" s="14"/>
      <c r="H4784" s="23"/>
      <c r="I4784" s="27"/>
      <c r="J4784" s="23"/>
      <c r="K4784" s="30"/>
      <c r="L4784" s="23"/>
      <c r="M4784" s="20"/>
      <c r="N4784" s="20"/>
      <c r="O4784" s="20"/>
      <c r="P4784" s="20"/>
    </row>
    <row r="4785">
      <c r="A4785" s="10"/>
      <c r="B4785" s="11"/>
      <c r="C4785" s="10"/>
      <c r="D4785" s="13"/>
      <c r="E4785" s="14"/>
      <c r="F4785" s="14"/>
      <c r="G4785" s="14"/>
      <c r="H4785" s="10"/>
      <c r="I4785" s="17"/>
      <c r="J4785" s="10"/>
      <c r="K4785" s="46"/>
      <c r="L4785" s="10"/>
      <c r="M4785" s="20"/>
      <c r="N4785" s="20"/>
      <c r="O4785" s="20"/>
      <c r="P4785" s="20"/>
    </row>
    <row r="4786">
      <c r="A4786" s="23"/>
      <c r="B4786" s="21"/>
      <c r="C4786" s="23"/>
      <c r="D4786" s="24"/>
      <c r="E4786" s="14"/>
      <c r="F4786" s="14"/>
      <c r="G4786" s="14"/>
      <c r="H4786" s="23"/>
      <c r="I4786" s="27"/>
      <c r="J4786" s="23"/>
      <c r="K4786" s="30"/>
      <c r="L4786" s="23"/>
      <c r="M4786" s="20"/>
      <c r="N4786" s="20"/>
      <c r="O4786" s="20"/>
      <c r="P4786" s="20"/>
    </row>
    <row r="4787">
      <c r="A4787" s="10"/>
      <c r="B4787" s="11"/>
      <c r="C4787" s="10"/>
      <c r="D4787" s="13"/>
      <c r="E4787" s="14"/>
      <c r="F4787" s="14"/>
      <c r="G4787" s="14"/>
      <c r="H4787" s="10"/>
      <c r="I4787" s="17"/>
      <c r="J4787" s="10"/>
      <c r="K4787" s="46"/>
      <c r="L4787" s="10"/>
      <c r="M4787" s="20"/>
      <c r="N4787" s="20"/>
      <c r="O4787" s="20"/>
      <c r="P4787" s="20"/>
    </row>
    <row r="4788">
      <c r="A4788" s="23"/>
      <c r="B4788" s="21"/>
      <c r="C4788" s="23"/>
      <c r="D4788" s="24"/>
      <c r="E4788" s="14"/>
      <c r="F4788" s="14"/>
      <c r="G4788" s="14"/>
      <c r="H4788" s="23"/>
      <c r="I4788" s="27"/>
      <c r="J4788" s="23"/>
      <c r="K4788" s="30"/>
      <c r="L4788" s="23"/>
      <c r="M4788" s="20"/>
      <c r="N4788" s="20"/>
      <c r="O4788" s="20"/>
      <c r="P4788" s="20"/>
    </row>
    <row r="4789">
      <c r="A4789" s="10"/>
      <c r="B4789" s="11"/>
      <c r="C4789" s="10"/>
      <c r="D4789" s="13"/>
      <c r="E4789" s="14"/>
      <c r="F4789" s="14"/>
      <c r="G4789" s="14"/>
      <c r="H4789" s="10"/>
      <c r="I4789" s="17"/>
      <c r="J4789" s="10"/>
      <c r="K4789" s="46"/>
      <c r="L4789" s="10"/>
      <c r="M4789" s="20"/>
      <c r="N4789" s="20"/>
      <c r="O4789" s="20"/>
      <c r="P4789" s="20"/>
    </row>
    <row r="4790">
      <c r="A4790" s="23"/>
      <c r="B4790" s="21"/>
      <c r="C4790" s="23"/>
      <c r="D4790" s="24"/>
      <c r="E4790" s="14"/>
      <c r="F4790" s="14"/>
      <c r="G4790" s="14"/>
      <c r="H4790" s="23"/>
      <c r="I4790" s="27"/>
      <c r="J4790" s="23"/>
      <c r="K4790" s="30"/>
      <c r="L4790" s="23"/>
      <c r="M4790" s="20"/>
      <c r="N4790" s="20"/>
      <c r="O4790" s="20"/>
      <c r="P4790" s="20"/>
    </row>
    <row r="4791">
      <c r="A4791" s="10"/>
      <c r="B4791" s="11"/>
      <c r="C4791" s="10"/>
      <c r="D4791" s="13"/>
      <c r="E4791" s="14"/>
      <c r="F4791" s="14"/>
      <c r="G4791" s="14"/>
      <c r="H4791" s="10"/>
      <c r="I4791" s="17"/>
      <c r="J4791" s="10"/>
      <c r="K4791" s="46"/>
      <c r="L4791" s="10"/>
      <c r="M4791" s="20"/>
      <c r="N4791" s="20"/>
      <c r="O4791" s="20"/>
      <c r="P4791" s="20"/>
    </row>
    <row r="4792">
      <c r="A4792" s="23"/>
      <c r="B4792" s="21"/>
      <c r="C4792" s="23"/>
      <c r="D4792" s="24"/>
      <c r="E4792" s="14"/>
      <c r="F4792" s="14"/>
      <c r="G4792" s="14"/>
      <c r="H4792" s="23"/>
      <c r="I4792" s="27"/>
      <c r="J4792" s="23"/>
      <c r="K4792" s="30"/>
      <c r="L4792" s="23"/>
      <c r="M4792" s="20"/>
      <c r="N4792" s="20"/>
      <c r="O4792" s="20"/>
      <c r="P4792" s="20"/>
    </row>
    <row r="4793">
      <c r="A4793" s="10"/>
      <c r="B4793" s="11"/>
      <c r="C4793" s="10"/>
      <c r="D4793" s="13"/>
      <c r="E4793" s="14"/>
      <c r="F4793" s="14"/>
      <c r="G4793" s="14"/>
      <c r="H4793" s="10"/>
      <c r="I4793" s="17"/>
      <c r="J4793" s="10"/>
      <c r="K4793" s="46"/>
      <c r="L4793" s="10"/>
      <c r="M4793" s="20"/>
      <c r="N4793" s="20"/>
      <c r="O4793" s="20"/>
      <c r="P4793" s="20"/>
    </row>
    <row r="4794">
      <c r="A4794" s="23"/>
      <c r="B4794" s="21"/>
      <c r="C4794" s="23"/>
      <c r="D4794" s="24"/>
      <c r="E4794" s="14"/>
      <c r="F4794" s="14"/>
      <c r="G4794" s="14"/>
      <c r="H4794" s="23"/>
      <c r="I4794" s="27"/>
      <c r="J4794" s="23"/>
      <c r="K4794" s="30"/>
      <c r="L4794" s="23"/>
      <c r="M4794" s="20"/>
      <c r="N4794" s="20"/>
      <c r="O4794" s="20"/>
      <c r="P4794" s="20"/>
    </row>
    <row r="4795">
      <c r="A4795" s="10"/>
      <c r="B4795" s="11"/>
      <c r="C4795" s="10"/>
      <c r="D4795" s="13"/>
      <c r="E4795" s="14"/>
      <c r="F4795" s="14"/>
      <c r="G4795" s="14"/>
      <c r="H4795" s="10"/>
      <c r="I4795" s="17"/>
      <c r="J4795" s="10"/>
      <c r="K4795" s="46"/>
      <c r="L4795" s="10"/>
      <c r="M4795" s="20"/>
      <c r="N4795" s="20"/>
      <c r="O4795" s="20"/>
      <c r="P4795" s="20"/>
    </row>
    <row r="4796">
      <c r="A4796" s="23"/>
      <c r="B4796" s="21"/>
      <c r="C4796" s="23"/>
      <c r="D4796" s="24"/>
      <c r="E4796" s="14"/>
      <c r="F4796" s="14"/>
      <c r="G4796" s="14"/>
      <c r="H4796" s="23"/>
      <c r="I4796" s="27"/>
      <c r="J4796" s="23"/>
      <c r="K4796" s="30"/>
      <c r="L4796" s="23"/>
      <c r="M4796" s="20"/>
      <c r="N4796" s="20"/>
      <c r="O4796" s="20"/>
      <c r="P4796" s="20"/>
    </row>
    <row r="4797">
      <c r="A4797" s="10"/>
      <c r="B4797" s="11"/>
      <c r="C4797" s="10"/>
      <c r="D4797" s="13"/>
      <c r="E4797" s="14"/>
      <c r="F4797" s="14"/>
      <c r="G4797" s="14"/>
      <c r="H4797" s="10"/>
      <c r="I4797" s="17"/>
      <c r="J4797" s="10"/>
      <c r="K4797" s="46"/>
      <c r="L4797" s="10"/>
      <c r="M4797" s="20"/>
      <c r="N4797" s="20"/>
      <c r="O4797" s="20"/>
      <c r="P4797" s="20"/>
    </row>
    <row r="4798">
      <c r="A4798" s="23"/>
      <c r="B4798" s="21"/>
      <c r="C4798" s="23"/>
      <c r="D4798" s="24"/>
      <c r="E4798" s="14"/>
      <c r="F4798" s="14"/>
      <c r="G4798" s="14"/>
      <c r="H4798" s="23"/>
      <c r="I4798" s="27"/>
      <c r="J4798" s="23"/>
      <c r="K4798" s="30"/>
      <c r="L4798" s="23"/>
      <c r="M4798" s="20"/>
      <c r="N4798" s="20"/>
      <c r="O4798" s="20"/>
      <c r="P4798" s="20"/>
    </row>
    <row r="4799">
      <c r="A4799" s="10"/>
      <c r="B4799" s="11"/>
      <c r="C4799" s="10"/>
      <c r="D4799" s="13"/>
      <c r="E4799" s="14"/>
      <c r="F4799" s="14"/>
      <c r="G4799" s="14"/>
      <c r="H4799" s="10"/>
      <c r="I4799" s="17"/>
      <c r="J4799" s="10"/>
      <c r="K4799" s="46"/>
      <c r="L4799" s="10"/>
      <c r="M4799" s="20"/>
      <c r="N4799" s="20"/>
      <c r="O4799" s="20"/>
      <c r="P4799" s="20"/>
    </row>
    <row r="4800">
      <c r="A4800" s="23"/>
      <c r="B4800" s="21"/>
      <c r="C4800" s="23"/>
      <c r="D4800" s="24"/>
      <c r="E4800" s="14"/>
      <c r="F4800" s="14"/>
      <c r="G4800" s="14"/>
      <c r="H4800" s="23"/>
      <c r="I4800" s="27"/>
      <c r="J4800" s="23"/>
      <c r="K4800" s="30"/>
      <c r="L4800" s="23"/>
      <c r="M4800" s="20"/>
      <c r="N4800" s="20"/>
      <c r="O4800" s="20"/>
      <c r="P4800" s="20"/>
    </row>
    <row r="4801">
      <c r="A4801" s="10"/>
      <c r="B4801" s="11"/>
      <c r="C4801" s="10"/>
      <c r="D4801" s="13"/>
      <c r="E4801" s="14"/>
      <c r="F4801" s="14"/>
      <c r="G4801" s="14"/>
      <c r="H4801" s="10"/>
      <c r="I4801" s="17"/>
      <c r="J4801" s="10"/>
      <c r="K4801" s="46"/>
      <c r="L4801" s="10"/>
      <c r="M4801" s="20"/>
      <c r="N4801" s="20"/>
      <c r="O4801" s="20"/>
      <c r="P4801" s="20"/>
    </row>
    <row r="4802">
      <c r="A4802" s="23"/>
      <c r="B4802" s="21"/>
      <c r="C4802" s="23"/>
      <c r="D4802" s="24"/>
      <c r="E4802" s="14"/>
      <c r="F4802" s="14"/>
      <c r="G4802" s="14"/>
      <c r="H4802" s="23"/>
      <c r="I4802" s="27"/>
      <c r="J4802" s="23"/>
      <c r="K4802" s="30"/>
      <c r="L4802" s="23"/>
      <c r="M4802" s="20"/>
      <c r="N4802" s="20"/>
      <c r="O4802" s="20"/>
      <c r="P4802" s="20"/>
    </row>
    <row r="4803">
      <c r="A4803" s="10"/>
      <c r="B4803" s="11"/>
      <c r="C4803" s="10"/>
      <c r="D4803" s="13"/>
      <c r="E4803" s="14"/>
      <c r="F4803" s="14"/>
      <c r="G4803" s="14"/>
      <c r="H4803" s="10"/>
      <c r="I4803" s="17"/>
      <c r="J4803" s="10"/>
      <c r="K4803" s="46"/>
      <c r="L4803" s="10"/>
      <c r="M4803" s="20"/>
      <c r="N4803" s="20"/>
      <c r="O4803" s="20"/>
      <c r="P4803" s="20"/>
    </row>
    <row r="4804">
      <c r="A4804" s="23"/>
      <c r="B4804" s="21"/>
      <c r="C4804" s="23"/>
      <c r="D4804" s="24"/>
      <c r="E4804" s="14"/>
      <c r="F4804" s="14"/>
      <c r="G4804" s="14"/>
      <c r="H4804" s="23"/>
      <c r="I4804" s="27"/>
      <c r="J4804" s="23"/>
      <c r="K4804" s="30"/>
      <c r="L4804" s="23"/>
      <c r="M4804" s="20"/>
      <c r="N4804" s="20"/>
      <c r="O4804" s="20"/>
      <c r="P4804" s="20"/>
    </row>
    <row r="4805">
      <c r="A4805" s="10"/>
      <c r="B4805" s="11"/>
      <c r="C4805" s="10"/>
      <c r="D4805" s="13"/>
      <c r="E4805" s="14"/>
      <c r="F4805" s="14"/>
      <c r="G4805" s="14"/>
      <c r="H4805" s="10"/>
      <c r="I4805" s="17"/>
      <c r="J4805" s="10"/>
      <c r="K4805" s="46"/>
      <c r="L4805" s="10"/>
      <c r="M4805" s="20"/>
      <c r="N4805" s="20"/>
      <c r="O4805" s="20"/>
      <c r="P4805" s="20"/>
    </row>
    <row r="4806">
      <c r="A4806" s="23"/>
      <c r="B4806" s="21"/>
      <c r="C4806" s="23"/>
      <c r="D4806" s="24"/>
      <c r="E4806" s="14"/>
      <c r="F4806" s="14"/>
      <c r="G4806" s="14"/>
      <c r="H4806" s="23"/>
      <c r="I4806" s="27"/>
      <c r="J4806" s="23"/>
      <c r="K4806" s="30"/>
      <c r="L4806" s="23"/>
      <c r="M4806" s="20"/>
      <c r="N4806" s="20"/>
      <c r="O4806" s="20"/>
      <c r="P4806" s="20"/>
    </row>
    <row r="4807">
      <c r="A4807" s="10"/>
      <c r="B4807" s="11"/>
      <c r="C4807" s="10"/>
      <c r="D4807" s="13"/>
      <c r="E4807" s="14"/>
      <c r="F4807" s="14"/>
      <c r="G4807" s="14"/>
      <c r="H4807" s="10"/>
      <c r="I4807" s="17"/>
      <c r="J4807" s="10"/>
      <c r="K4807" s="46"/>
      <c r="L4807" s="10"/>
      <c r="M4807" s="20"/>
      <c r="N4807" s="20"/>
      <c r="O4807" s="20"/>
      <c r="P4807" s="20"/>
    </row>
    <row r="4808">
      <c r="A4808" s="23"/>
      <c r="B4808" s="21"/>
      <c r="C4808" s="23"/>
      <c r="D4808" s="24"/>
      <c r="E4808" s="14"/>
      <c r="F4808" s="14"/>
      <c r="G4808" s="14"/>
      <c r="H4808" s="23"/>
      <c r="I4808" s="27"/>
      <c r="J4808" s="23"/>
      <c r="K4808" s="30"/>
      <c r="L4808" s="23"/>
      <c r="M4808" s="20"/>
      <c r="N4808" s="20"/>
      <c r="O4808" s="20"/>
      <c r="P4808" s="20"/>
    </row>
    <row r="4809">
      <c r="A4809" s="10"/>
      <c r="B4809" s="11"/>
      <c r="C4809" s="10"/>
      <c r="D4809" s="13"/>
      <c r="E4809" s="14"/>
      <c r="F4809" s="14"/>
      <c r="G4809" s="14"/>
      <c r="H4809" s="10"/>
      <c r="I4809" s="17"/>
      <c r="J4809" s="10"/>
      <c r="K4809" s="46"/>
      <c r="L4809" s="10"/>
      <c r="M4809" s="20"/>
      <c r="N4809" s="20"/>
      <c r="O4809" s="20"/>
      <c r="P4809" s="20"/>
    </row>
    <row r="4810">
      <c r="A4810" s="23"/>
      <c r="B4810" s="21"/>
      <c r="C4810" s="23"/>
      <c r="D4810" s="24"/>
      <c r="E4810" s="14"/>
      <c r="F4810" s="14"/>
      <c r="G4810" s="14"/>
      <c r="H4810" s="23"/>
      <c r="I4810" s="27"/>
      <c r="J4810" s="23"/>
      <c r="K4810" s="30"/>
      <c r="L4810" s="23"/>
      <c r="M4810" s="20"/>
      <c r="N4810" s="20"/>
      <c r="O4810" s="20"/>
      <c r="P4810" s="20"/>
    </row>
    <row r="4811">
      <c r="A4811" s="10"/>
      <c r="B4811" s="11"/>
      <c r="C4811" s="10"/>
      <c r="D4811" s="13"/>
      <c r="E4811" s="14"/>
      <c r="F4811" s="14"/>
      <c r="G4811" s="14"/>
      <c r="H4811" s="10"/>
      <c r="I4811" s="17"/>
      <c r="J4811" s="10"/>
      <c r="K4811" s="46"/>
      <c r="L4811" s="10"/>
      <c r="M4811" s="20"/>
      <c r="N4811" s="20"/>
      <c r="O4811" s="20"/>
      <c r="P4811" s="20"/>
    </row>
    <row r="4812">
      <c r="A4812" s="23"/>
      <c r="B4812" s="21"/>
      <c r="C4812" s="23"/>
      <c r="D4812" s="24"/>
      <c r="E4812" s="14"/>
      <c r="F4812" s="14"/>
      <c r="G4812" s="14"/>
      <c r="H4812" s="23"/>
      <c r="I4812" s="27"/>
      <c r="J4812" s="23"/>
      <c r="K4812" s="30"/>
      <c r="L4812" s="23"/>
      <c r="M4812" s="20"/>
      <c r="N4812" s="20"/>
      <c r="O4812" s="20"/>
      <c r="P4812" s="20"/>
    </row>
    <row r="4813">
      <c r="A4813" s="10"/>
      <c r="B4813" s="11"/>
      <c r="C4813" s="10"/>
      <c r="D4813" s="13"/>
      <c r="E4813" s="14"/>
      <c r="F4813" s="14"/>
      <c r="G4813" s="14"/>
      <c r="H4813" s="10"/>
      <c r="I4813" s="17"/>
      <c r="J4813" s="10"/>
      <c r="K4813" s="46"/>
      <c r="L4813" s="10"/>
      <c r="M4813" s="20"/>
      <c r="N4813" s="20"/>
      <c r="O4813" s="20"/>
      <c r="P4813" s="20"/>
    </row>
    <row r="4814">
      <c r="A4814" s="23"/>
      <c r="B4814" s="21"/>
      <c r="C4814" s="23"/>
      <c r="D4814" s="24"/>
      <c r="E4814" s="14"/>
      <c r="F4814" s="14"/>
      <c r="G4814" s="14"/>
      <c r="H4814" s="23"/>
      <c r="I4814" s="27"/>
      <c r="J4814" s="23"/>
      <c r="K4814" s="30"/>
      <c r="L4814" s="23"/>
      <c r="M4814" s="20"/>
      <c r="N4814" s="20"/>
      <c r="O4814" s="20"/>
      <c r="P4814" s="20"/>
    </row>
    <row r="4815">
      <c r="A4815" s="10"/>
      <c r="B4815" s="11"/>
      <c r="C4815" s="10"/>
      <c r="D4815" s="13"/>
      <c r="E4815" s="14"/>
      <c r="F4815" s="14"/>
      <c r="G4815" s="14"/>
      <c r="H4815" s="10"/>
      <c r="I4815" s="17"/>
      <c r="J4815" s="10"/>
      <c r="K4815" s="46"/>
      <c r="L4815" s="10"/>
      <c r="M4815" s="20"/>
      <c r="N4815" s="20"/>
      <c r="O4815" s="20"/>
      <c r="P4815" s="20"/>
    </row>
    <row r="4816">
      <c r="A4816" s="23"/>
      <c r="B4816" s="21"/>
      <c r="C4816" s="23"/>
      <c r="D4816" s="24"/>
      <c r="E4816" s="14"/>
      <c r="F4816" s="14"/>
      <c r="G4816" s="14"/>
      <c r="H4816" s="23"/>
      <c r="I4816" s="27"/>
      <c r="J4816" s="23"/>
      <c r="K4816" s="30"/>
      <c r="L4816" s="23"/>
      <c r="M4816" s="20"/>
      <c r="N4816" s="20"/>
      <c r="O4816" s="20"/>
      <c r="P4816" s="20"/>
    </row>
    <row r="4817">
      <c r="A4817" s="10"/>
      <c r="B4817" s="11"/>
      <c r="C4817" s="10"/>
      <c r="D4817" s="13"/>
      <c r="E4817" s="14"/>
      <c r="F4817" s="14"/>
      <c r="G4817" s="14"/>
      <c r="H4817" s="10"/>
      <c r="I4817" s="17"/>
      <c r="J4817" s="10"/>
      <c r="K4817" s="46"/>
      <c r="L4817" s="10"/>
      <c r="M4817" s="20"/>
      <c r="N4817" s="20"/>
      <c r="O4817" s="20"/>
      <c r="P4817" s="20"/>
    </row>
    <row r="4818">
      <c r="A4818" s="23"/>
      <c r="B4818" s="21"/>
      <c r="C4818" s="23"/>
      <c r="D4818" s="24"/>
      <c r="E4818" s="14"/>
      <c r="F4818" s="14"/>
      <c r="G4818" s="14"/>
      <c r="H4818" s="23"/>
      <c r="I4818" s="27"/>
      <c r="J4818" s="23"/>
      <c r="K4818" s="30"/>
      <c r="L4818" s="23"/>
      <c r="M4818" s="20"/>
      <c r="N4818" s="20"/>
      <c r="O4818" s="20"/>
      <c r="P4818" s="20"/>
    </row>
    <row r="4819">
      <c r="A4819" s="10"/>
      <c r="B4819" s="11"/>
      <c r="C4819" s="10"/>
      <c r="D4819" s="13"/>
      <c r="E4819" s="14"/>
      <c r="F4819" s="14"/>
      <c r="G4819" s="14"/>
      <c r="H4819" s="10"/>
      <c r="I4819" s="17"/>
      <c r="J4819" s="10"/>
      <c r="K4819" s="46"/>
      <c r="L4819" s="10"/>
      <c r="M4819" s="20"/>
      <c r="N4819" s="20"/>
      <c r="O4819" s="20"/>
      <c r="P4819" s="20"/>
    </row>
    <row r="4820">
      <c r="A4820" s="23"/>
      <c r="B4820" s="21"/>
      <c r="C4820" s="23"/>
      <c r="D4820" s="24"/>
      <c r="E4820" s="14"/>
      <c r="F4820" s="14"/>
      <c r="G4820" s="14"/>
      <c r="H4820" s="23"/>
      <c r="I4820" s="27"/>
      <c r="J4820" s="23"/>
      <c r="K4820" s="30"/>
      <c r="L4820" s="23"/>
      <c r="M4820" s="20"/>
      <c r="N4820" s="20"/>
      <c r="O4820" s="20"/>
      <c r="P4820" s="20"/>
    </row>
    <row r="4821">
      <c r="A4821" s="10"/>
      <c r="B4821" s="11"/>
      <c r="C4821" s="10"/>
      <c r="D4821" s="13"/>
      <c r="E4821" s="14"/>
      <c r="F4821" s="14"/>
      <c r="G4821" s="14"/>
      <c r="H4821" s="10"/>
      <c r="I4821" s="17"/>
      <c r="J4821" s="10"/>
      <c r="K4821" s="46"/>
      <c r="L4821" s="10"/>
      <c r="M4821" s="20"/>
      <c r="N4821" s="20"/>
      <c r="O4821" s="20"/>
      <c r="P4821" s="20"/>
    </row>
    <row r="4822">
      <c r="A4822" s="23"/>
      <c r="B4822" s="21"/>
      <c r="C4822" s="23"/>
      <c r="D4822" s="24"/>
      <c r="E4822" s="14"/>
      <c r="F4822" s="14"/>
      <c r="G4822" s="14"/>
      <c r="H4822" s="23"/>
      <c r="I4822" s="27"/>
      <c r="J4822" s="23"/>
      <c r="K4822" s="30"/>
      <c r="L4822" s="23"/>
      <c r="M4822" s="20"/>
      <c r="N4822" s="20"/>
      <c r="O4822" s="20"/>
      <c r="P4822" s="20"/>
    </row>
    <row r="4823">
      <c r="A4823" s="10"/>
      <c r="B4823" s="11"/>
      <c r="C4823" s="10"/>
      <c r="D4823" s="13"/>
      <c r="E4823" s="14"/>
      <c r="F4823" s="14"/>
      <c r="G4823" s="14"/>
      <c r="H4823" s="10"/>
      <c r="I4823" s="17"/>
      <c r="J4823" s="10"/>
      <c r="K4823" s="46"/>
      <c r="L4823" s="10"/>
      <c r="M4823" s="20"/>
      <c r="N4823" s="20"/>
      <c r="O4823" s="20"/>
      <c r="P4823" s="20"/>
    </row>
    <row r="4824">
      <c r="A4824" s="23"/>
      <c r="B4824" s="21"/>
      <c r="C4824" s="23"/>
      <c r="D4824" s="24"/>
      <c r="E4824" s="14"/>
      <c r="F4824" s="14"/>
      <c r="G4824" s="14"/>
      <c r="H4824" s="23"/>
      <c r="I4824" s="27"/>
      <c r="J4824" s="23"/>
      <c r="K4824" s="30"/>
      <c r="L4824" s="23"/>
      <c r="M4824" s="20"/>
      <c r="N4824" s="20"/>
      <c r="O4824" s="20"/>
      <c r="P4824" s="20"/>
    </row>
    <row r="4825">
      <c r="A4825" s="10"/>
      <c r="B4825" s="11"/>
      <c r="C4825" s="10"/>
      <c r="D4825" s="13"/>
      <c r="E4825" s="14"/>
      <c r="F4825" s="14"/>
      <c r="G4825" s="14"/>
      <c r="H4825" s="10"/>
      <c r="I4825" s="17"/>
      <c r="J4825" s="10"/>
      <c r="K4825" s="46"/>
      <c r="L4825" s="10"/>
      <c r="M4825" s="20"/>
      <c r="N4825" s="20"/>
      <c r="O4825" s="20"/>
      <c r="P4825" s="20"/>
    </row>
    <row r="4826">
      <c r="A4826" s="23"/>
      <c r="B4826" s="21"/>
      <c r="C4826" s="23"/>
      <c r="D4826" s="24"/>
      <c r="E4826" s="14"/>
      <c r="F4826" s="14"/>
      <c r="G4826" s="14"/>
      <c r="H4826" s="23"/>
      <c r="I4826" s="27"/>
      <c r="J4826" s="23"/>
      <c r="K4826" s="30"/>
      <c r="L4826" s="23"/>
      <c r="M4826" s="20"/>
      <c r="N4826" s="20"/>
      <c r="O4826" s="20"/>
      <c r="P4826" s="20"/>
    </row>
    <row r="4827">
      <c r="A4827" s="10"/>
      <c r="B4827" s="11"/>
      <c r="C4827" s="10"/>
      <c r="D4827" s="13"/>
      <c r="E4827" s="14"/>
      <c r="F4827" s="14"/>
      <c r="G4827" s="14"/>
      <c r="H4827" s="10"/>
      <c r="I4827" s="17"/>
      <c r="J4827" s="10"/>
      <c r="K4827" s="46"/>
      <c r="L4827" s="10"/>
      <c r="M4827" s="20"/>
      <c r="N4827" s="20"/>
      <c r="O4827" s="20"/>
      <c r="P4827" s="20"/>
    </row>
    <row r="4828">
      <c r="A4828" s="23"/>
      <c r="B4828" s="21"/>
      <c r="C4828" s="23"/>
      <c r="D4828" s="24"/>
      <c r="E4828" s="14"/>
      <c r="F4828" s="14"/>
      <c r="G4828" s="14"/>
      <c r="H4828" s="23"/>
      <c r="I4828" s="27"/>
      <c r="J4828" s="23"/>
      <c r="K4828" s="30"/>
      <c r="L4828" s="23"/>
      <c r="M4828" s="20"/>
      <c r="N4828" s="20"/>
      <c r="O4828" s="20"/>
      <c r="P4828" s="20"/>
    </row>
    <row r="4829">
      <c r="A4829" s="10"/>
      <c r="B4829" s="11"/>
      <c r="C4829" s="10"/>
      <c r="D4829" s="13"/>
      <c r="E4829" s="14"/>
      <c r="F4829" s="14"/>
      <c r="G4829" s="14"/>
      <c r="H4829" s="10"/>
      <c r="I4829" s="17"/>
      <c r="J4829" s="10"/>
      <c r="K4829" s="46"/>
      <c r="L4829" s="10"/>
      <c r="M4829" s="20"/>
      <c r="N4829" s="20"/>
      <c r="O4829" s="20"/>
      <c r="P4829" s="20"/>
    </row>
    <row r="4830">
      <c r="A4830" s="23"/>
      <c r="B4830" s="21"/>
      <c r="C4830" s="23"/>
      <c r="D4830" s="24"/>
      <c r="E4830" s="14"/>
      <c r="F4830" s="14"/>
      <c r="G4830" s="14"/>
      <c r="H4830" s="23"/>
      <c r="I4830" s="27"/>
      <c r="J4830" s="23"/>
      <c r="K4830" s="30"/>
      <c r="L4830" s="23"/>
      <c r="M4830" s="20"/>
      <c r="N4830" s="20"/>
      <c r="O4830" s="20"/>
      <c r="P4830" s="20"/>
    </row>
    <row r="4831">
      <c r="A4831" s="10"/>
      <c r="B4831" s="11"/>
      <c r="C4831" s="10"/>
      <c r="D4831" s="13"/>
      <c r="E4831" s="14"/>
      <c r="F4831" s="14"/>
      <c r="G4831" s="14"/>
      <c r="H4831" s="10"/>
      <c r="I4831" s="17"/>
      <c r="J4831" s="10"/>
      <c r="K4831" s="46"/>
      <c r="L4831" s="10"/>
      <c r="M4831" s="20"/>
      <c r="N4831" s="20"/>
      <c r="O4831" s="20"/>
      <c r="P4831" s="20"/>
    </row>
    <row r="4832">
      <c r="A4832" s="23"/>
      <c r="B4832" s="21"/>
      <c r="C4832" s="23"/>
      <c r="D4832" s="24"/>
      <c r="E4832" s="14"/>
      <c r="F4832" s="14"/>
      <c r="G4832" s="14"/>
      <c r="H4832" s="23"/>
      <c r="I4832" s="27"/>
      <c r="J4832" s="23"/>
      <c r="K4832" s="30"/>
      <c r="L4832" s="23"/>
      <c r="M4832" s="20"/>
      <c r="N4832" s="20"/>
      <c r="O4832" s="20"/>
      <c r="P4832" s="20"/>
    </row>
    <row r="4833">
      <c r="A4833" s="10"/>
      <c r="B4833" s="11"/>
      <c r="C4833" s="10"/>
      <c r="D4833" s="13"/>
      <c r="E4833" s="14"/>
      <c r="F4833" s="14"/>
      <c r="G4833" s="14"/>
      <c r="H4833" s="10"/>
      <c r="I4833" s="17"/>
      <c r="J4833" s="10"/>
      <c r="K4833" s="46"/>
      <c r="L4833" s="10"/>
      <c r="M4833" s="20"/>
      <c r="N4833" s="20"/>
      <c r="O4833" s="20"/>
      <c r="P4833" s="20"/>
    </row>
    <row r="4834">
      <c r="A4834" s="23"/>
      <c r="B4834" s="21"/>
      <c r="C4834" s="23"/>
      <c r="D4834" s="24"/>
      <c r="E4834" s="14"/>
      <c r="F4834" s="14"/>
      <c r="G4834" s="14"/>
      <c r="H4834" s="23"/>
      <c r="I4834" s="27"/>
      <c r="J4834" s="23"/>
      <c r="K4834" s="30"/>
      <c r="L4834" s="23"/>
      <c r="M4834" s="20"/>
      <c r="N4834" s="20"/>
      <c r="O4834" s="20"/>
      <c r="P4834" s="20"/>
    </row>
    <row r="4835">
      <c r="A4835" s="10"/>
      <c r="B4835" s="11"/>
      <c r="C4835" s="10"/>
      <c r="D4835" s="13"/>
      <c r="E4835" s="14"/>
      <c r="F4835" s="14"/>
      <c r="G4835" s="14"/>
      <c r="H4835" s="10"/>
      <c r="I4835" s="17"/>
      <c r="J4835" s="10"/>
      <c r="K4835" s="46"/>
      <c r="L4835" s="10"/>
      <c r="M4835" s="20"/>
      <c r="N4835" s="20"/>
      <c r="O4835" s="20"/>
      <c r="P4835" s="20"/>
    </row>
    <row r="4836">
      <c r="A4836" s="23"/>
      <c r="B4836" s="21"/>
      <c r="C4836" s="23"/>
      <c r="D4836" s="24"/>
      <c r="E4836" s="14"/>
      <c r="F4836" s="14"/>
      <c r="G4836" s="14"/>
      <c r="H4836" s="23"/>
      <c r="I4836" s="27"/>
      <c r="J4836" s="23"/>
      <c r="K4836" s="30"/>
      <c r="L4836" s="23"/>
      <c r="M4836" s="20"/>
      <c r="N4836" s="20"/>
      <c r="O4836" s="20"/>
      <c r="P4836" s="20"/>
    </row>
    <row r="4837">
      <c r="A4837" s="10"/>
      <c r="B4837" s="11"/>
      <c r="C4837" s="10"/>
      <c r="D4837" s="13"/>
      <c r="E4837" s="14"/>
      <c r="F4837" s="14"/>
      <c r="G4837" s="14"/>
      <c r="H4837" s="10"/>
      <c r="I4837" s="17"/>
      <c r="J4837" s="10"/>
      <c r="K4837" s="46"/>
      <c r="L4837" s="10"/>
      <c r="M4837" s="20"/>
      <c r="N4837" s="20"/>
      <c r="O4837" s="20"/>
      <c r="P4837" s="20"/>
    </row>
    <row r="4838">
      <c r="A4838" s="23"/>
      <c r="B4838" s="21"/>
      <c r="C4838" s="23"/>
      <c r="D4838" s="24"/>
      <c r="E4838" s="14"/>
      <c r="F4838" s="14"/>
      <c r="G4838" s="14"/>
      <c r="H4838" s="23"/>
      <c r="I4838" s="27"/>
      <c r="J4838" s="23"/>
      <c r="K4838" s="30"/>
      <c r="L4838" s="23"/>
      <c r="M4838" s="20"/>
      <c r="N4838" s="20"/>
      <c r="O4838" s="20"/>
      <c r="P4838" s="20"/>
    </row>
    <row r="4839">
      <c r="A4839" s="10"/>
      <c r="B4839" s="11"/>
      <c r="C4839" s="10"/>
      <c r="D4839" s="13"/>
      <c r="E4839" s="14"/>
      <c r="F4839" s="14"/>
      <c r="G4839" s="14"/>
      <c r="H4839" s="10"/>
      <c r="I4839" s="17"/>
      <c r="J4839" s="10"/>
      <c r="K4839" s="46"/>
      <c r="L4839" s="10"/>
      <c r="M4839" s="20"/>
      <c r="N4839" s="20"/>
      <c r="O4839" s="20"/>
      <c r="P4839" s="20"/>
    </row>
    <row r="4840">
      <c r="A4840" s="23"/>
      <c r="B4840" s="21"/>
      <c r="C4840" s="23"/>
      <c r="D4840" s="24"/>
      <c r="E4840" s="14"/>
      <c r="F4840" s="14"/>
      <c r="G4840" s="14"/>
      <c r="H4840" s="23"/>
      <c r="I4840" s="27"/>
      <c r="J4840" s="23"/>
      <c r="K4840" s="30"/>
      <c r="L4840" s="23"/>
      <c r="M4840" s="20"/>
      <c r="N4840" s="20"/>
      <c r="O4840" s="20"/>
      <c r="P4840" s="20"/>
    </row>
    <row r="4841">
      <c r="A4841" s="10"/>
      <c r="B4841" s="11"/>
      <c r="C4841" s="10"/>
      <c r="D4841" s="13"/>
      <c r="E4841" s="14"/>
      <c r="F4841" s="14"/>
      <c r="G4841" s="14"/>
      <c r="H4841" s="10"/>
      <c r="I4841" s="17"/>
      <c r="J4841" s="10"/>
      <c r="K4841" s="46"/>
      <c r="L4841" s="10"/>
      <c r="M4841" s="20"/>
      <c r="N4841" s="20"/>
      <c r="O4841" s="20"/>
      <c r="P4841" s="20"/>
    </row>
    <row r="4842">
      <c r="A4842" s="23"/>
      <c r="B4842" s="21"/>
      <c r="C4842" s="23"/>
      <c r="D4842" s="24"/>
      <c r="E4842" s="14"/>
      <c r="F4842" s="14"/>
      <c r="G4842" s="14"/>
      <c r="H4842" s="23"/>
      <c r="I4842" s="27"/>
      <c r="J4842" s="23"/>
      <c r="K4842" s="30"/>
      <c r="L4842" s="23"/>
      <c r="M4842" s="20"/>
      <c r="N4842" s="20"/>
      <c r="O4842" s="20"/>
      <c r="P4842" s="20"/>
    </row>
    <row r="4843">
      <c r="A4843" s="10"/>
      <c r="B4843" s="11"/>
      <c r="C4843" s="10"/>
      <c r="D4843" s="13"/>
      <c r="E4843" s="14"/>
      <c r="F4843" s="14"/>
      <c r="G4843" s="14"/>
      <c r="H4843" s="10"/>
      <c r="I4843" s="17"/>
      <c r="J4843" s="10"/>
      <c r="K4843" s="46"/>
      <c r="L4843" s="10"/>
      <c r="M4843" s="20"/>
      <c r="N4843" s="20"/>
      <c r="O4843" s="20"/>
      <c r="P4843" s="20"/>
    </row>
    <row r="4844">
      <c r="A4844" s="23"/>
      <c r="B4844" s="21"/>
      <c r="C4844" s="23"/>
      <c r="D4844" s="24"/>
      <c r="E4844" s="14"/>
      <c r="F4844" s="14"/>
      <c r="G4844" s="14"/>
      <c r="H4844" s="23"/>
      <c r="I4844" s="27"/>
      <c r="J4844" s="23"/>
      <c r="K4844" s="30"/>
      <c r="L4844" s="23"/>
      <c r="M4844" s="20"/>
      <c r="N4844" s="20"/>
      <c r="O4844" s="20"/>
      <c r="P4844" s="20"/>
    </row>
    <row r="4845">
      <c r="A4845" s="10"/>
      <c r="B4845" s="11"/>
      <c r="C4845" s="10"/>
      <c r="D4845" s="13"/>
      <c r="E4845" s="14"/>
      <c r="F4845" s="14"/>
      <c r="G4845" s="14"/>
      <c r="H4845" s="10"/>
      <c r="I4845" s="17"/>
      <c r="J4845" s="10"/>
      <c r="K4845" s="46"/>
      <c r="L4845" s="10"/>
      <c r="M4845" s="20"/>
      <c r="N4845" s="20"/>
      <c r="O4845" s="20"/>
      <c r="P4845" s="20"/>
    </row>
    <row r="4846">
      <c r="A4846" s="23"/>
      <c r="B4846" s="21"/>
      <c r="C4846" s="23"/>
      <c r="D4846" s="24"/>
      <c r="E4846" s="14"/>
      <c r="F4846" s="14"/>
      <c r="G4846" s="14"/>
      <c r="H4846" s="23"/>
      <c r="I4846" s="27"/>
      <c r="J4846" s="23"/>
      <c r="K4846" s="30"/>
      <c r="L4846" s="23"/>
      <c r="M4846" s="20"/>
      <c r="N4846" s="20"/>
      <c r="O4846" s="20"/>
      <c r="P4846" s="20"/>
    </row>
    <row r="4847">
      <c r="A4847" s="10"/>
      <c r="B4847" s="11"/>
      <c r="C4847" s="10"/>
      <c r="D4847" s="13"/>
      <c r="E4847" s="14"/>
      <c r="F4847" s="14"/>
      <c r="G4847" s="14"/>
      <c r="H4847" s="10"/>
      <c r="I4847" s="17"/>
      <c r="J4847" s="10"/>
      <c r="K4847" s="46"/>
      <c r="L4847" s="10"/>
      <c r="M4847" s="20"/>
      <c r="N4847" s="20"/>
      <c r="O4847" s="20"/>
      <c r="P4847" s="20"/>
    </row>
    <row r="4848">
      <c r="A4848" s="23"/>
      <c r="B4848" s="21"/>
      <c r="C4848" s="23"/>
      <c r="D4848" s="24"/>
      <c r="E4848" s="14"/>
      <c r="F4848" s="14"/>
      <c r="G4848" s="14"/>
      <c r="H4848" s="23"/>
      <c r="I4848" s="27"/>
      <c r="J4848" s="23"/>
      <c r="K4848" s="30"/>
      <c r="L4848" s="23"/>
      <c r="M4848" s="20"/>
      <c r="N4848" s="20"/>
      <c r="O4848" s="20"/>
      <c r="P4848" s="20"/>
    </row>
    <row r="4849">
      <c r="A4849" s="10"/>
      <c r="B4849" s="11"/>
      <c r="C4849" s="10"/>
      <c r="D4849" s="13"/>
      <c r="E4849" s="14"/>
      <c r="F4849" s="14"/>
      <c r="G4849" s="14"/>
      <c r="H4849" s="10"/>
      <c r="I4849" s="17"/>
      <c r="J4849" s="10"/>
      <c r="K4849" s="46"/>
      <c r="L4849" s="10"/>
      <c r="M4849" s="20"/>
      <c r="N4849" s="20"/>
      <c r="O4849" s="20"/>
      <c r="P4849" s="20"/>
    </row>
    <row r="4850">
      <c r="A4850" s="23"/>
      <c r="B4850" s="21"/>
      <c r="C4850" s="23"/>
      <c r="D4850" s="24"/>
      <c r="E4850" s="14"/>
      <c r="F4850" s="14"/>
      <c r="G4850" s="14"/>
      <c r="H4850" s="23"/>
      <c r="I4850" s="27"/>
      <c r="J4850" s="23"/>
      <c r="K4850" s="30"/>
      <c r="L4850" s="23"/>
      <c r="M4850" s="20"/>
      <c r="N4850" s="20"/>
      <c r="O4850" s="20"/>
      <c r="P4850" s="20"/>
    </row>
    <row r="4851">
      <c r="A4851" s="10"/>
      <c r="B4851" s="11"/>
      <c r="C4851" s="10"/>
      <c r="D4851" s="13"/>
      <c r="E4851" s="14"/>
      <c r="F4851" s="14"/>
      <c r="G4851" s="14"/>
      <c r="H4851" s="10"/>
      <c r="I4851" s="17"/>
      <c r="J4851" s="10"/>
      <c r="K4851" s="46"/>
      <c r="L4851" s="10"/>
      <c r="M4851" s="20"/>
      <c r="N4851" s="20"/>
      <c r="O4851" s="20"/>
      <c r="P4851" s="20"/>
    </row>
    <row r="4852">
      <c r="A4852" s="23"/>
      <c r="B4852" s="21"/>
      <c r="C4852" s="23"/>
      <c r="D4852" s="24"/>
      <c r="E4852" s="14"/>
      <c r="F4852" s="14"/>
      <c r="G4852" s="14"/>
      <c r="H4852" s="23"/>
      <c r="I4852" s="27"/>
      <c r="J4852" s="23"/>
      <c r="K4852" s="30"/>
      <c r="L4852" s="23"/>
      <c r="M4852" s="20"/>
      <c r="N4852" s="20"/>
      <c r="O4852" s="20"/>
      <c r="P4852" s="20"/>
    </row>
    <row r="4853">
      <c r="A4853" s="10"/>
      <c r="B4853" s="11"/>
      <c r="C4853" s="10"/>
      <c r="D4853" s="13"/>
      <c r="E4853" s="14"/>
      <c r="F4853" s="14"/>
      <c r="G4853" s="14"/>
      <c r="H4853" s="10"/>
      <c r="I4853" s="17"/>
      <c r="J4853" s="10"/>
      <c r="K4853" s="46"/>
      <c r="L4853" s="10"/>
      <c r="M4853" s="20"/>
      <c r="N4853" s="20"/>
      <c r="O4853" s="20"/>
      <c r="P4853" s="20"/>
    </row>
    <row r="4854">
      <c r="A4854" s="23"/>
      <c r="B4854" s="21"/>
      <c r="C4854" s="23"/>
      <c r="D4854" s="24"/>
      <c r="E4854" s="14"/>
      <c r="F4854" s="14"/>
      <c r="G4854" s="14"/>
      <c r="H4854" s="23"/>
      <c r="I4854" s="27"/>
      <c r="J4854" s="23"/>
      <c r="K4854" s="30"/>
      <c r="L4854" s="23"/>
      <c r="M4854" s="20"/>
      <c r="N4854" s="20"/>
      <c r="O4854" s="20"/>
      <c r="P4854" s="20"/>
    </row>
    <row r="4855">
      <c r="A4855" s="10"/>
      <c r="B4855" s="11"/>
      <c r="C4855" s="10"/>
      <c r="D4855" s="13"/>
      <c r="E4855" s="14"/>
      <c r="F4855" s="14"/>
      <c r="G4855" s="14"/>
      <c r="H4855" s="10"/>
      <c r="I4855" s="17"/>
      <c r="J4855" s="10"/>
      <c r="K4855" s="46"/>
      <c r="L4855" s="10"/>
      <c r="M4855" s="20"/>
      <c r="N4855" s="20"/>
      <c r="O4855" s="20"/>
      <c r="P4855" s="20"/>
    </row>
    <row r="4856">
      <c r="A4856" s="23"/>
      <c r="B4856" s="21"/>
      <c r="C4856" s="23"/>
      <c r="D4856" s="24"/>
      <c r="E4856" s="14"/>
      <c r="F4856" s="14"/>
      <c r="G4856" s="14"/>
      <c r="H4856" s="23"/>
      <c r="I4856" s="27"/>
      <c r="J4856" s="23"/>
      <c r="K4856" s="30"/>
      <c r="L4856" s="23"/>
      <c r="M4856" s="20"/>
      <c r="N4856" s="20"/>
      <c r="O4856" s="20"/>
      <c r="P4856" s="20"/>
    </row>
    <row r="4857">
      <c r="A4857" s="10"/>
      <c r="B4857" s="11"/>
      <c r="C4857" s="10"/>
      <c r="D4857" s="13"/>
      <c r="E4857" s="14"/>
      <c r="F4857" s="14"/>
      <c r="G4857" s="14"/>
      <c r="H4857" s="10"/>
      <c r="I4857" s="17"/>
      <c r="J4857" s="10"/>
      <c r="K4857" s="46"/>
      <c r="L4857" s="10"/>
      <c r="M4857" s="20"/>
      <c r="N4857" s="20"/>
      <c r="O4857" s="20"/>
      <c r="P4857" s="20"/>
    </row>
    <row r="4858">
      <c r="A4858" s="23"/>
      <c r="B4858" s="21"/>
      <c r="C4858" s="23"/>
      <c r="D4858" s="24"/>
      <c r="E4858" s="14"/>
      <c r="F4858" s="14"/>
      <c r="G4858" s="14"/>
      <c r="H4858" s="23"/>
      <c r="I4858" s="27"/>
      <c r="J4858" s="23"/>
      <c r="K4858" s="30"/>
      <c r="L4858" s="23"/>
      <c r="M4858" s="20"/>
      <c r="N4858" s="20"/>
      <c r="O4858" s="20"/>
      <c r="P4858" s="20"/>
    </row>
    <row r="4859">
      <c r="A4859" s="10"/>
      <c r="B4859" s="11"/>
      <c r="C4859" s="10"/>
      <c r="D4859" s="13"/>
      <c r="E4859" s="14"/>
      <c r="F4859" s="14"/>
      <c r="G4859" s="14"/>
      <c r="H4859" s="10"/>
      <c r="I4859" s="17"/>
      <c r="J4859" s="10"/>
      <c r="K4859" s="46"/>
      <c r="L4859" s="10"/>
      <c r="M4859" s="20"/>
      <c r="N4859" s="20"/>
      <c r="O4859" s="20"/>
      <c r="P4859" s="20"/>
    </row>
    <row r="4860">
      <c r="A4860" s="23"/>
      <c r="B4860" s="21"/>
      <c r="C4860" s="23"/>
      <c r="D4860" s="24"/>
      <c r="E4860" s="14"/>
      <c r="F4860" s="14"/>
      <c r="G4860" s="14"/>
      <c r="H4860" s="23"/>
      <c r="I4860" s="27"/>
      <c r="J4860" s="23"/>
      <c r="K4860" s="30"/>
      <c r="L4860" s="23"/>
      <c r="M4860" s="20"/>
      <c r="N4860" s="20"/>
      <c r="O4860" s="20"/>
      <c r="P4860" s="20"/>
    </row>
    <row r="4861">
      <c r="A4861" s="10"/>
      <c r="B4861" s="11"/>
      <c r="C4861" s="10"/>
      <c r="D4861" s="13"/>
      <c r="E4861" s="14"/>
      <c r="F4861" s="14"/>
      <c r="G4861" s="14"/>
      <c r="H4861" s="10"/>
      <c r="I4861" s="17"/>
      <c r="J4861" s="10"/>
      <c r="K4861" s="46"/>
      <c r="L4861" s="10"/>
      <c r="M4861" s="20"/>
      <c r="N4861" s="20"/>
      <c r="O4861" s="20"/>
      <c r="P4861" s="20"/>
    </row>
    <row r="4862">
      <c r="A4862" s="23"/>
      <c r="B4862" s="21"/>
      <c r="C4862" s="23"/>
      <c r="D4862" s="24"/>
      <c r="E4862" s="14"/>
      <c r="F4862" s="14"/>
      <c r="G4862" s="14"/>
      <c r="H4862" s="23"/>
      <c r="I4862" s="27"/>
      <c r="J4862" s="23"/>
      <c r="K4862" s="30"/>
      <c r="L4862" s="23"/>
      <c r="M4862" s="20"/>
      <c r="N4862" s="20"/>
      <c r="O4862" s="20"/>
      <c r="P4862" s="20"/>
    </row>
    <row r="4863">
      <c r="A4863" s="10"/>
      <c r="B4863" s="11"/>
      <c r="C4863" s="10"/>
      <c r="D4863" s="13"/>
      <c r="E4863" s="14"/>
      <c r="F4863" s="14"/>
      <c r="G4863" s="14"/>
      <c r="H4863" s="10"/>
      <c r="I4863" s="17"/>
      <c r="J4863" s="10"/>
      <c r="K4863" s="46"/>
      <c r="L4863" s="10"/>
      <c r="M4863" s="20"/>
      <c r="N4863" s="20"/>
      <c r="O4863" s="20"/>
      <c r="P4863" s="20"/>
    </row>
    <row r="4864">
      <c r="A4864" s="23"/>
      <c r="B4864" s="21"/>
      <c r="C4864" s="23"/>
      <c r="D4864" s="24"/>
      <c r="E4864" s="14"/>
      <c r="F4864" s="14"/>
      <c r="G4864" s="14"/>
      <c r="H4864" s="23"/>
      <c r="I4864" s="27"/>
      <c r="J4864" s="23"/>
      <c r="K4864" s="30"/>
      <c r="L4864" s="23"/>
      <c r="M4864" s="20"/>
      <c r="N4864" s="20"/>
      <c r="O4864" s="20"/>
      <c r="P4864" s="20"/>
    </row>
    <row r="4865">
      <c r="A4865" s="10"/>
      <c r="B4865" s="11"/>
      <c r="C4865" s="10"/>
      <c r="D4865" s="13"/>
      <c r="E4865" s="14"/>
      <c r="F4865" s="14"/>
      <c r="G4865" s="14"/>
      <c r="H4865" s="10"/>
      <c r="I4865" s="17"/>
      <c r="J4865" s="10"/>
      <c r="K4865" s="46"/>
      <c r="L4865" s="10"/>
      <c r="M4865" s="20"/>
      <c r="N4865" s="20"/>
      <c r="O4865" s="20"/>
      <c r="P4865" s="20"/>
    </row>
    <row r="4866">
      <c r="A4866" s="23"/>
      <c r="B4866" s="21"/>
      <c r="C4866" s="23"/>
      <c r="D4866" s="24"/>
      <c r="E4866" s="14"/>
      <c r="F4866" s="14"/>
      <c r="G4866" s="14"/>
      <c r="H4866" s="23"/>
      <c r="I4866" s="27"/>
      <c r="J4866" s="23"/>
      <c r="K4866" s="30"/>
      <c r="L4866" s="23"/>
      <c r="M4866" s="20"/>
      <c r="N4866" s="20"/>
      <c r="O4866" s="20"/>
      <c r="P4866" s="20"/>
    </row>
    <row r="4867">
      <c r="A4867" s="10"/>
      <c r="B4867" s="11"/>
      <c r="C4867" s="10"/>
      <c r="D4867" s="13"/>
      <c r="E4867" s="14"/>
      <c r="F4867" s="14"/>
      <c r="G4867" s="14"/>
      <c r="H4867" s="10"/>
      <c r="I4867" s="17"/>
      <c r="J4867" s="10"/>
      <c r="K4867" s="46"/>
      <c r="L4867" s="10"/>
      <c r="M4867" s="20"/>
      <c r="N4867" s="20"/>
      <c r="O4867" s="20"/>
      <c r="P4867" s="20"/>
    </row>
    <row r="4868">
      <c r="A4868" s="23"/>
      <c r="B4868" s="21"/>
      <c r="C4868" s="23"/>
      <c r="D4868" s="24"/>
      <c r="E4868" s="14"/>
      <c r="F4868" s="14"/>
      <c r="G4868" s="14"/>
      <c r="H4868" s="23"/>
      <c r="I4868" s="27"/>
      <c r="J4868" s="23"/>
      <c r="K4868" s="30"/>
      <c r="L4868" s="23"/>
      <c r="M4868" s="20"/>
      <c r="N4868" s="20"/>
      <c r="O4868" s="20"/>
      <c r="P4868" s="20"/>
    </row>
    <row r="4869">
      <c r="A4869" s="10"/>
      <c r="B4869" s="11"/>
      <c r="C4869" s="10"/>
      <c r="D4869" s="13"/>
      <c r="E4869" s="14"/>
      <c r="F4869" s="14"/>
      <c r="G4869" s="14"/>
      <c r="H4869" s="10"/>
      <c r="I4869" s="17"/>
      <c r="J4869" s="10"/>
      <c r="K4869" s="46"/>
      <c r="L4869" s="10"/>
      <c r="M4869" s="20"/>
      <c r="N4869" s="20"/>
      <c r="O4869" s="20"/>
      <c r="P4869" s="20"/>
    </row>
    <row r="4870">
      <c r="A4870" s="23"/>
      <c r="B4870" s="21"/>
      <c r="C4870" s="23"/>
      <c r="D4870" s="24"/>
      <c r="E4870" s="14"/>
      <c r="F4870" s="14"/>
      <c r="G4870" s="14"/>
      <c r="H4870" s="23"/>
      <c r="I4870" s="27"/>
      <c r="J4870" s="23"/>
      <c r="K4870" s="30"/>
      <c r="L4870" s="23"/>
      <c r="M4870" s="20"/>
      <c r="N4870" s="20"/>
      <c r="O4870" s="20"/>
      <c r="P4870" s="20"/>
    </row>
    <row r="4871">
      <c r="A4871" s="10"/>
      <c r="B4871" s="11"/>
      <c r="C4871" s="10"/>
      <c r="D4871" s="13"/>
      <c r="E4871" s="14"/>
      <c r="F4871" s="14"/>
      <c r="G4871" s="14"/>
      <c r="H4871" s="10"/>
      <c r="I4871" s="17"/>
      <c r="J4871" s="10"/>
      <c r="K4871" s="46"/>
      <c r="L4871" s="10"/>
      <c r="M4871" s="20"/>
      <c r="N4871" s="20"/>
      <c r="O4871" s="20"/>
      <c r="P4871" s="20"/>
    </row>
    <row r="4872">
      <c r="A4872" s="23"/>
      <c r="B4872" s="21"/>
      <c r="C4872" s="23"/>
      <c r="D4872" s="24"/>
      <c r="E4872" s="14"/>
      <c r="F4872" s="14"/>
      <c r="G4872" s="14"/>
      <c r="H4872" s="23"/>
      <c r="I4872" s="27"/>
      <c r="J4872" s="23"/>
      <c r="K4872" s="30"/>
      <c r="L4872" s="23"/>
      <c r="M4872" s="20"/>
      <c r="N4872" s="20"/>
      <c r="O4872" s="20"/>
      <c r="P4872" s="20"/>
    </row>
    <row r="4873">
      <c r="A4873" s="10"/>
      <c r="B4873" s="11"/>
      <c r="C4873" s="10"/>
      <c r="D4873" s="13"/>
      <c r="E4873" s="14"/>
      <c r="F4873" s="14"/>
      <c r="G4873" s="14"/>
      <c r="H4873" s="10"/>
      <c r="I4873" s="17"/>
      <c r="J4873" s="10"/>
      <c r="K4873" s="46"/>
      <c r="L4873" s="10"/>
      <c r="M4873" s="20"/>
      <c r="N4873" s="20"/>
      <c r="O4873" s="20"/>
      <c r="P4873" s="20"/>
    </row>
    <row r="4874">
      <c r="A4874" s="23"/>
      <c r="B4874" s="21"/>
      <c r="C4874" s="23"/>
      <c r="D4874" s="24"/>
      <c r="E4874" s="14"/>
      <c r="F4874" s="14"/>
      <c r="G4874" s="14"/>
      <c r="H4874" s="23"/>
      <c r="I4874" s="27"/>
      <c r="J4874" s="23"/>
      <c r="K4874" s="30"/>
      <c r="L4874" s="23"/>
      <c r="M4874" s="20"/>
      <c r="N4874" s="20"/>
      <c r="O4874" s="20"/>
      <c r="P4874" s="20"/>
    </row>
    <row r="4875">
      <c r="A4875" s="10"/>
      <c r="B4875" s="11"/>
      <c r="C4875" s="10"/>
      <c r="D4875" s="13"/>
      <c r="E4875" s="14"/>
      <c r="F4875" s="14"/>
      <c r="G4875" s="14"/>
      <c r="H4875" s="10"/>
      <c r="I4875" s="17"/>
      <c r="J4875" s="10"/>
      <c r="K4875" s="46"/>
      <c r="L4875" s="10"/>
      <c r="M4875" s="20"/>
      <c r="N4875" s="20"/>
      <c r="O4875" s="20"/>
      <c r="P4875" s="20"/>
    </row>
    <row r="4876">
      <c r="A4876" s="23"/>
      <c r="B4876" s="21"/>
      <c r="C4876" s="23"/>
      <c r="D4876" s="24"/>
      <c r="E4876" s="14"/>
      <c r="F4876" s="14"/>
      <c r="G4876" s="14"/>
      <c r="H4876" s="23"/>
      <c r="I4876" s="27"/>
      <c r="J4876" s="23"/>
      <c r="K4876" s="30"/>
      <c r="L4876" s="23"/>
      <c r="M4876" s="20"/>
      <c r="N4876" s="20"/>
      <c r="O4876" s="20"/>
      <c r="P4876" s="20"/>
    </row>
    <row r="4877">
      <c r="A4877" s="10"/>
      <c r="B4877" s="11"/>
      <c r="C4877" s="10"/>
      <c r="D4877" s="13"/>
      <c r="E4877" s="14"/>
      <c r="F4877" s="14"/>
      <c r="G4877" s="14"/>
      <c r="H4877" s="10"/>
      <c r="I4877" s="17"/>
      <c r="J4877" s="10"/>
      <c r="K4877" s="46"/>
      <c r="L4877" s="10"/>
      <c r="M4877" s="20"/>
      <c r="N4877" s="20"/>
      <c r="O4877" s="20"/>
      <c r="P4877" s="20"/>
    </row>
    <row r="4878">
      <c r="A4878" s="23"/>
      <c r="B4878" s="21"/>
      <c r="C4878" s="23"/>
      <c r="D4878" s="24"/>
      <c r="E4878" s="14"/>
      <c r="F4878" s="14"/>
      <c r="G4878" s="14"/>
      <c r="H4878" s="23"/>
      <c r="I4878" s="27"/>
      <c r="J4878" s="23"/>
      <c r="K4878" s="30"/>
      <c r="L4878" s="23"/>
      <c r="M4878" s="20"/>
      <c r="N4878" s="20"/>
      <c r="O4878" s="20"/>
      <c r="P4878" s="20"/>
    </row>
    <row r="4879">
      <c r="A4879" s="10"/>
      <c r="B4879" s="11"/>
      <c r="C4879" s="10"/>
      <c r="D4879" s="13"/>
      <c r="E4879" s="14"/>
      <c r="F4879" s="14"/>
      <c r="G4879" s="14"/>
      <c r="H4879" s="10"/>
      <c r="I4879" s="17"/>
      <c r="J4879" s="10"/>
      <c r="K4879" s="46"/>
      <c r="L4879" s="10"/>
      <c r="M4879" s="20"/>
      <c r="N4879" s="20"/>
      <c r="O4879" s="20"/>
      <c r="P4879" s="20"/>
    </row>
    <row r="4880">
      <c r="A4880" s="23"/>
      <c r="B4880" s="21"/>
      <c r="C4880" s="23"/>
      <c r="D4880" s="24"/>
      <c r="E4880" s="14"/>
      <c r="F4880" s="14"/>
      <c r="G4880" s="14"/>
      <c r="H4880" s="23"/>
      <c r="I4880" s="27"/>
      <c r="J4880" s="23"/>
      <c r="K4880" s="30"/>
      <c r="L4880" s="23"/>
      <c r="M4880" s="20"/>
      <c r="N4880" s="20"/>
      <c r="O4880" s="20"/>
      <c r="P4880" s="20"/>
    </row>
    <row r="4881">
      <c r="A4881" s="10"/>
      <c r="B4881" s="11"/>
      <c r="C4881" s="10"/>
      <c r="D4881" s="13"/>
      <c r="E4881" s="14"/>
      <c r="F4881" s="14"/>
      <c r="G4881" s="14"/>
      <c r="H4881" s="10"/>
      <c r="I4881" s="17"/>
      <c r="J4881" s="10"/>
      <c r="K4881" s="46"/>
      <c r="L4881" s="10"/>
      <c r="M4881" s="20"/>
      <c r="N4881" s="20"/>
      <c r="O4881" s="20"/>
      <c r="P4881" s="20"/>
    </row>
    <row r="4882">
      <c r="A4882" s="23"/>
      <c r="B4882" s="21"/>
      <c r="C4882" s="23"/>
      <c r="D4882" s="24"/>
      <c r="E4882" s="14"/>
      <c r="F4882" s="14"/>
      <c r="G4882" s="14"/>
      <c r="H4882" s="23"/>
      <c r="I4882" s="27"/>
      <c r="J4882" s="23"/>
      <c r="K4882" s="30"/>
      <c r="L4882" s="23"/>
      <c r="M4882" s="20"/>
      <c r="N4882" s="20"/>
      <c r="O4882" s="20"/>
      <c r="P4882" s="20"/>
    </row>
    <row r="4883">
      <c r="A4883" s="10"/>
      <c r="B4883" s="11"/>
      <c r="C4883" s="10"/>
      <c r="D4883" s="13"/>
      <c r="E4883" s="14"/>
      <c r="F4883" s="14"/>
      <c r="G4883" s="14"/>
      <c r="H4883" s="10"/>
      <c r="I4883" s="17"/>
      <c r="J4883" s="10"/>
      <c r="K4883" s="46"/>
      <c r="L4883" s="10"/>
      <c r="M4883" s="20"/>
      <c r="N4883" s="20"/>
      <c r="O4883" s="20"/>
      <c r="P4883" s="20"/>
    </row>
    <row r="4884">
      <c r="A4884" s="23"/>
      <c r="B4884" s="21"/>
      <c r="C4884" s="23"/>
      <c r="D4884" s="24"/>
      <c r="E4884" s="14"/>
      <c r="F4884" s="14"/>
      <c r="G4884" s="14"/>
      <c r="H4884" s="23"/>
      <c r="I4884" s="27"/>
      <c r="J4884" s="23"/>
      <c r="K4884" s="30"/>
      <c r="L4884" s="23"/>
      <c r="M4884" s="20"/>
      <c r="N4884" s="20"/>
      <c r="O4884" s="20"/>
      <c r="P4884" s="20"/>
    </row>
    <row r="4885">
      <c r="A4885" s="10"/>
      <c r="B4885" s="11"/>
      <c r="C4885" s="10"/>
      <c r="D4885" s="13"/>
      <c r="E4885" s="14"/>
      <c r="F4885" s="14"/>
      <c r="G4885" s="14"/>
      <c r="H4885" s="10"/>
      <c r="I4885" s="17"/>
      <c r="J4885" s="10"/>
      <c r="K4885" s="46"/>
      <c r="L4885" s="10"/>
      <c r="M4885" s="20"/>
      <c r="N4885" s="20"/>
      <c r="O4885" s="20"/>
      <c r="P4885" s="20"/>
    </row>
    <row r="4886">
      <c r="A4886" s="23"/>
      <c r="B4886" s="21"/>
      <c r="C4886" s="23"/>
      <c r="D4886" s="24"/>
      <c r="E4886" s="14"/>
      <c r="F4886" s="14"/>
      <c r="G4886" s="14"/>
      <c r="H4886" s="23"/>
      <c r="I4886" s="27"/>
      <c r="J4886" s="23"/>
      <c r="K4886" s="30"/>
      <c r="L4886" s="23"/>
      <c r="M4886" s="20"/>
      <c r="N4886" s="20"/>
      <c r="O4886" s="20"/>
      <c r="P4886" s="20"/>
    </row>
    <row r="4887">
      <c r="A4887" s="10"/>
      <c r="B4887" s="11"/>
      <c r="C4887" s="10"/>
      <c r="D4887" s="13"/>
      <c r="E4887" s="14"/>
      <c r="F4887" s="14"/>
      <c r="G4887" s="14"/>
      <c r="H4887" s="10"/>
      <c r="I4887" s="17"/>
      <c r="J4887" s="10"/>
      <c r="K4887" s="46"/>
      <c r="L4887" s="10"/>
      <c r="M4887" s="20"/>
      <c r="N4887" s="20"/>
      <c r="O4887" s="20"/>
      <c r="P4887" s="20"/>
    </row>
    <row r="4888">
      <c r="A4888" s="23"/>
      <c r="B4888" s="21"/>
      <c r="C4888" s="23"/>
      <c r="D4888" s="24"/>
      <c r="E4888" s="14"/>
      <c r="F4888" s="14"/>
      <c r="G4888" s="14"/>
      <c r="H4888" s="23"/>
      <c r="I4888" s="27"/>
      <c r="J4888" s="23"/>
      <c r="K4888" s="30"/>
      <c r="L4888" s="23"/>
      <c r="M4888" s="20"/>
      <c r="N4888" s="20"/>
      <c r="O4888" s="20"/>
      <c r="P4888" s="20"/>
    </row>
    <row r="4889">
      <c r="A4889" s="10"/>
      <c r="B4889" s="11"/>
      <c r="C4889" s="10"/>
      <c r="D4889" s="13"/>
      <c r="E4889" s="14"/>
      <c r="F4889" s="14"/>
      <c r="G4889" s="14"/>
      <c r="H4889" s="10"/>
      <c r="I4889" s="17"/>
      <c r="J4889" s="10"/>
      <c r="K4889" s="46"/>
      <c r="L4889" s="10"/>
      <c r="M4889" s="20"/>
      <c r="N4889" s="20"/>
      <c r="O4889" s="20"/>
      <c r="P4889" s="20"/>
    </row>
    <row r="4890">
      <c r="A4890" s="23"/>
      <c r="B4890" s="21"/>
      <c r="C4890" s="23"/>
      <c r="D4890" s="24"/>
      <c r="E4890" s="14"/>
      <c r="F4890" s="14"/>
      <c r="G4890" s="14"/>
      <c r="H4890" s="23"/>
      <c r="I4890" s="27"/>
      <c r="J4890" s="23"/>
      <c r="K4890" s="30"/>
      <c r="L4890" s="23"/>
      <c r="M4890" s="20"/>
      <c r="N4890" s="20"/>
      <c r="O4890" s="20"/>
      <c r="P4890" s="20"/>
    </row>
    <row r="4891">
      <c r="A4891" s="10"/>
      <c r="B4891" s="11"/>
      <c r="C4891" s="10"/>
      <c r="D4891" s="13"/>
      <c r="E4891" s="14"/>
      <c r="F4891" s="14"/>
      <c r="G4891" s="14"/>
      <c r="H4891" s="10"/>
      <c r="I4891" s="17"/>
      <c r="J4891" s="10"/>
      <c r="K4891" s="46"/>
      <c r="L4891" s="10"/>
      <c r="M4891" s="20"/>
      <c r="N4891" s="20"/>
      <c r="O4891" s="20"/>
      <c r="P4891" s="20"/>
    </row>
    <row r="4892">
      <c r="A4892" s="23"/>
      <c r="B4892" s="21"/>
      <c r="C4892" s="23"/>
      <c r="D4892" s="24"/>
      <c r="E4892" s="14"/>
      <c r="F4892" s="14"/>
      <c r="G4892" s="14"/>
      <c r="H4892" s="23"/>
      <c r="I4892" s="27"/>
      <c r="J4892" s="23"/>
      <c r="K4892" s="30"/>
      <c r="L4892" s="23"/>
      <c r="M4892" s="20"/>
      <c r="N4892" s="20"/>
      <c r="O4892" s="20"/>
      <c r="P4892" s="20"/>
    </row>
    <row r="4893">
      <c r="A4893" s="10"/>
      <c r="B4893" s="11"/>
      <c r="C4893" s="10"/>
      <c r="D4893" s="13"/>
      <c r="E4893" s="14"/>
      <c r="F4893" s="14"/>
      <c r="G4893" s="14"/>
      <c r="H4893" s="10"/>
      <c r="I4893" s="17"/>
      <c r="J4893" s="10"/>
      <c r="K4893" s="46"/>
      <c r="L4893" s="10"/>
      <c r="M4893" s="20"/>
      <c r="N4893" s="20"/>
      <c r="O4893" s="20"/>
      <c r="P4893" s="20"/>
    </row>
    <row r="4894">
      <c r="A4894" s="23"/>
      <c r="B4894" s="21"/>
      <c r="C4894" s="23"/>
      <c r="D4894" s="24"/>
      <c r="E4894" s="14"/>
      <c r="F4894" s="14"/>
      <c r="G4894" s="14"/>
      <c r="H4894" s="23"/>
      <c r="I4894" s="27"/>
      <c r="J4894" s="23"/>
      <c r="K4894" s="30"/>
      <c r="L4894" s="23"/>
      <c r="M4894" s="20"/>
      <c r="N4894" s="20"/>
      <c r="O4894" s="20"/>
      <c r="P4894" s="20"/>
    </row>
    <row r="4895">
      <c r="A4895" s="10"/>
      <c r="B4895" s="11"/>
      <c r="C4895" s="10"/>
      <c r="D4895" s="13"/>
      <c r="E4895" s="14"/>
      <c r="F4895" s="14"/>
      <c r="G4895" s="14"/>
      <c r="H4895" s="10"/>
      <c r="I4895" s="17"/>
      <c r="J4895" s="10"/>
      <c r="K4895" s="46"/>
      <c r="L4895" s="10"/>
      <c r="M4895" s="20"/>
      <c r="N4895" s="20"/>
      <c r="O4895" s="20"/>
      <c r="P4895" s="20"/>
    </row>
    <row r="4896">
      <c r="A4896" s="23"/>
      <c r="B4896" s="21"/>
      <c r="C4896" s="23"/>
      <c r="D4896" s="24"/>
      <c r="E4896" s="14"/>
      <c r="F4896" s="14"/>
      <c r="G4896" s="14"/>
      <c r="H4896" s="23"/>
      <c r="I4896" s="27"/>
      <c r="J4896" s="23"/>
      <c r="K4896" s="30"/>
      <c r="L4896" s="23"/>
      <c r="M4896" s="20"/>
      <c r="N4896" s="20"/>
      <c r="O4896" s="20"/>
      <c r="P4896" s="20"/>
    </row>
    <row r="4897">
      <c r="A4897" s="10"/>
      <c r="B4897" s="11"/>
      <c r="C4897" s="10"/>
      <c r="D4897" s="13"/>
      <c r="E4897" s="14"/>
      <c r="F4897" s="14"/>
      <c r="G4897" s="14"/>
      <c r="H4897" s="10"/>
      <c r="I4897" s="17"/>
      <c r="J4897" s="10"/>
      <c r="K4897" s="46"/>
      <c r="L4897" s="10"/>
      <c r="M4897" s="20"/>
      <c r="N4897" s="20"/>
      <c r="O4897" s="20"/>
      <c r="P4897" s="20"/>
    </row>
    <row r="4898">
      <c r="A4898" s="23"/>
      <c r="B4898" s="21"/>
      <c r="C4898" s="23"/>
      <c r="D4898" s="24"/>
      <c r="E4898" s="14"/>
      <c r="F4898" s="14"/>
      <c r="G4898" s="14"/>
      <c r="H4898" s="23"/>
      <c r="I4898" s="27"/>
      <c r="J4898" s="23"/>
      <c r="K4898" s="30"/>
      <c r="L4898" s="23"/>
      <c r="M4898" s="20"/>
      <c r="N4898" s="20"/>
      <c r="O4898" s="20"/>
      <c r="P4898" s="20"/>
    </row>
    <row r="4899">
      <c r="A4899" s="10"/>
      <c r="B4899" s="11"/>
      <c r="C4899" s="10"/>
      <c r="D4899" s="13"/>
      <c r="E4899" s="14"/>
      <c r="F4899" s="14"/>
      <c r="G4899" s="14"/>
      <c r="H4899" s="10"/>
      <c r="I4899" s="17"/>
      <c r="J4899" s="10"/>
      <c r="K4899" s="46"/>
      <c r="L4899" s="10"/>
      <c r="M4899" s="20"/>
      <c r="N4899" s="20"/>
      <c r="O4899" s="20"/>
      <c r="P4899" s="20"/>
    </row>
    <row r="4900">
      <c r="A4900" s="23"/>
      <c r="B4900" s="21"/>
      <c r="C4900" s="23"/>
      <c r="D4900" s="24"/>
      <c r="E4900" s="14"/>
      <c r="F4900" s="14"/>
      <c r="G4900" s="14"/>
      <c r="H4900" s="23"/>
      <c r="I4900" s="27"/>
      <c r="J4900" s="23"/>
      <c r="K4900" s="30"/>
      <c r="L4900" s="23"/>
      <c r="M4900" s="20"/>
      <c r="N4900" s="20"/>
      <c r="O4900" s="20"/>
      <c r="P4900" s="20"/>
    </row>
    <row r="4901">
      <c r="A4901" s="10"/>
      <c r="B4901" s="11"/>
      <c r="C4901" s="10"/>
      <c r="D4901" s="13"/>
      <c r="E4901" s="14"/>
      <c r="F4901" s="14"/>
      <c r="G4901" s="14"/>
      <c r="H4901" s="10"/>
      <c r="I4901" s="17"/>
      <c r="J4901" s="10"/>
      <c r="K4901" s="46"/>
      <c r="L4901" s="10"/>
      <c r="M4901" s="20"/>
      <c r="N4901" s="20"/>
      <c r="O4901" s="20"/>
      <c r="P4901" s="20"/>
    </row>
    <row r="4902">
      <c r="A4902" s="23"/>
      <c r="B4902" s="21"/>
      <c r="C4902" s="23"/>
      <c r="D4902" s="24"/>
      <c r="E4902" s="14"/>
      <c r="F4902" s="14"/>
      <c r="G4902" s="14"/>
      <c r="H4902" s="23"/>
      <c r="I4902" s="27"/>
      <c r="J4902" s="23"/>
      <c r="K4902" s="30"/>
      <c r="L4902" s="23"/>
      <c r="M4902" s="20"/>
      <c r="N4902" s="20"/>
      <c r="O4902" s="20"/>
      <c r="P4902" s="20"/>
    </row>
    <row r="4903">
      <c r="A4903" s="10"/>
      <c r="B4903" s="11"/>
      <c r="C4903" s="10"/>
      <c r="D4903" s="13"/>
      <c r="E4903" s="14"/>
      <c r="F4903" s="14"/>
      <c r="G4903" s="14"/>
      <c r="H4903" s="10"/>
      <c r="I4903" s="17"/>
      <c r="J4903" s="10"/>
      <c r="K4903" s="46"/>
      <c r="L4903" s="10"/>
      <c r="M4903" s="20"/>
      <c r="N4903" s="20"/>
      <c r="O4903" s="20"/>
      <c r="P4903" s="20"/>
    </row>
    <row r="4904">
      <c r="A4904" s="23"/>
      <c r="B4904" s="21"/>
      <c r="C4904" s="23"/>
      <c r="D4904" s="24"/>
      <c r="E4904" s="14"/>
      <c r="F4904" s="14"/>
      <c r="G4904" s="14"/>
      <c r="H4904" s="23"/>
      <c r="I4904" s="27"/>
      <c r="J4904" s="23"/>
      <c r="K4904" s="30"/>
      <c r="L4904" s="23"/>
      <c r="M4904" s="20"/>
      <c r="N4904" s="20"/>
      <c r="O4904" s="20"/>
      <c r="P4904" s="20"/>
    </row>
    <row r="4905">
      <c r="A4905" s="10"/>
      <c r="B4905" s="11"/>
      <c r="C4905" s="10"/>
      <c r="D4905" s="13"/>
      <c r="E4905" s="14"/>
      <c r="F4905" s="14"/>
      <c r="G4905" s="14"/>
      <c r="H4905" s="10"/>
      <c r="I4905" s="17"/>
      <c r="J4905" s="10"/>
      <c r="K4905" s="46"/>
      <c r="L4905" s="10"/>
      <c r="M4905" s="20"/>
      <c r="N4905" s="20"/>
      <c r="O4905" s="20"/>
      <c r="P4905" s="20"/>
    </row>
    <row r="4906">
      <c r="A4906" s="23"/>
      <c r="B4906" s="21"/>
      <c r="C4906" s="23"/>
      <c r="D4906" s="24"/>
      <c r="E4906" s="14"/>
      <c r="F4906" s="14"/>
      <c r="G4906" s="14"/>
      <c r="H4906" s="23"/>
      <c r="I4906" s="27"/>
      <c r="J4906" s="23"/>
      <c r="K4906" s="30"/>
      <c r="L4906" s="23"/>
      <c r="M4906" s="20"/>
      <c r="N4906" s="20"/>
      <c r="O4906" s="20"/>
      <c r="P4906" s="20"/>
    </row>
    <row r="4907">
      <c r="A4907" s="10"/>
      <c r="B4907" s="11"/>
      <c r="C4907" s="10"/>
      <c r="D4907" s="13"/>
      <c r="E4907" s="14"/>
      <c r="F4907" s="14"/>
      <c r="G4907" s="14"/>
      <c r="H4907" s="10"/>
      <c r="I4907" s="17"/>
      <c r="J4907" s="10"/>
      <c r="K4907" s="46"/>
      <c r="L4907" s="10"/>
      <c r="M4907" s="20"/>
      <c r="N4907" s="20"/>
      <c r="O4907" s="20"/>
      <c r="P4907" s="20"/>
    </row>
    <row r="4908">
      <c r="A4908" s="23"/>
      <c r="B4908" s="21"/>
      <c r="C4908" s="23"/>
      <c r="D4908" s="24"/>
      <c r="E4908" s="14"/>
      <c r="F4908" s="14"/>
      <c r="G4908" s="14"/>
      <c r="H4908" s="23"/>
      <c r="I4908" s="27"/>
      <c r="J4908" s="23"/>
      <c r="K4908" s="30"/>
      <c r="L4908" s="23"/>
      <c r="M4908" s="20"/>
      <c r="N4908" s="20"/>
      <c r="O4908" s="20"/>
      <c r="P4908" s="20"/>
    </row>
    <row r="4909">
      <c r="A4909" s="10"/>
      <c r="B4909" s="11"/>
      <c r="C4909" s="10"/>
      <c r="D4909" s="13"/>
      <c r="E4909" s="14"/>
      <c r="F4909" s="14"/>
      <c r="G4909" s="14"/>
      <c r="H4909" s="10"/>
      <c r="I4909" s="17"/>
      <c r="J4909" s="10"/>
      <c r="K4909" s="46"/>
      <c r="L4909" s="10"/>
      <c r="M4909" s="20"/>
      <c r="N4909" s="20"/>
      <c r="O4909" s="20"/>
      <c r="P4909" s="20"/>
    </row>
    <row r="4910">
      <c r="A4910" s="23"/>
      <c r="B4910" s="21"/>
      <c r="C4910" s="23"/>
      <c r="D4910" s="24"/>
      <c r="E4910" s="14"/>
      <c r="F4910" s="14"/>
      <c r="G4910" s="14"/>
      <c r="H4910" s="23"/>
      <c r="I4910" s="27"/>
      <c r="J4910" s="23"/>
      <c r="K4910" s="30"/>
      <c r="L4910" s="23"/>
      <c r="M4910" s="20"/>
      <c r="N4910" s="20"/>
      <c r="O4910" s="20"/>
      <c r="P4910" s="20"/>
    </row>
    <row r="4911">
      <c r="A4911" s="10"/>
      <c r="B4911" s="11"/>
      <c r="C4911" s="10"/>
      <c r="D4911" s="13"/>
      <c r="E4911" s="14"/>
      <c r="F4911" s="14"/>
      <c r="G4911" s="14"/>
      <c r="H4911" s="10"/>
      <c r="I4911" s="17"/>
      <c r="J4911" s="10"/>
      <c r="K4911" s="46"/>
      <c r="L4911" s="10"/>
      <c r="M4911" s="20"/>
      <c r="N4911" s="20"/>
      <c r="O4911" s="20"/>
      <c r="P4911" s="20"/>
    </row>
    <row r="4912">
      <c r="A4912" s="23"/>
      <c r="B4912" s="21"/>
      <c r="C4912" s="23"/>
      <c r="D4912" s="24"/>
      <c r="E4912" s="14"/>
      <c r="F4912" s="14"/>
      <c r="G4912" s="14"/>
      <c r="H4912" s="23"/>
      <c r="I4912" s="27"/>
      <c r="J4912" s="23"/>
      <c r="K4912" s="30"/>
      <c r="L4912" s="23"/>
      <c r="M4912" s="20"/>
      <c r="N4912" s="20"/>
      <c r="O4912" s="20"/>
      <c r="P4912" s="20"/>
    </row>
    <row r="4913">
      <c r="A4913" s="10"/>
      <c r="B4913" s="11"/>
      <c r="C4913" s="10"/>
      <c r="D4913" s="13"/>
      <c r="E4913" s="14"/>
      <c r="F4913" s="14"/>
      <c r="G4913" s="14"/>
      <c r="H4913" s="10"/>
      <c r="I4913" s="17"/>
      <c r="J4913" s="10"/>
      <c r="K4913" s="46"/>
      <c r="L4913" s="10"/>
      <c r="M4913" s="20"/>
      <c r="N4913" s="20"/>
      <c r="O4913" s="20"/>
      <c r="P4913" s="20"/>
    </row>
    <row r="4914">
      <c r="A4914" s="23"/>
      <c r="B4914" s="21"/>
      <c r="C4914" s="23"/>
      <c r="D4914" s="24"/>
      <c r="E4914" s="14"/>
      <c r="F4914" s="14"/>
      <c r="G4914" s="14"/>
      <c r="H4914" s="23"/>
      <c r="I4914" s="27"/>
      <c r="J4914" s="23"/>
      <c r="K4914" s="30"/>
      <c r="L4914" s="23"/>
      <c r="M4914" s="20"/>
      <c r="N4914" s="20"/>
      <c r="O4914" s="20"/>
      <c r="P4914" s="20"/>
    </row>
    <row r="4915">
      <c r="A4915" s="10"/>
      <c r="B4915" s="11"/>
      <c r="C4915" s="10"/>
      <c r="D4915" s="13"/>
      <c r="E4915" s="14"/>
      <c r="F4915" s="14"/>
      <c r="G4915" s="14"/>
      <c r="H4915" s="10"/>
      <c r="I4915" s="17"/>
      <c r="J4915" s="10"/>
      <c r="K4915" s="46"/>
      <c r="L4915" s="10"/>
      <c r="M4915" s="20"/>
      <c r="N4915" s="20"/>
      <c r="O4915" s="20"/>
      <c r="P4915" s="20"/>
    </row>
    <row r="4916">
      <c r="A4916" s="23"/>
      <c r="B4916" s="21"/>
      <c r="C4916" s="23"/>
      <c r="D4916" s="24"/>
      <c r="E4916" s="14"/>
      <c r="F4916" s="14"/>
      <c r="G4916" s="14"/>
      <c r="H4916" s="23"/>
      <c r="I4916" s="27"/>
      <c r="J4916" s="23"/>
      <c r="K4916" s="30"/>
      <c r="L4916" s="23"/>
      <c r="M4916" s="20"/>
      <c r="N4916" s="20"/>
      <c r="O4916" s="20"/>
      <c r="P4916" s="20"/>
    </row>
    <row r="4917">
      <c r="A4917" s="10"/>
      <c r="B4917" s="11"/>
      <c r="C4917" s="10"/>
      <c r="D4917" s="13"/>
      <c r="E4917" s="14"/>
      <c r="F4917" s="14"/>
      <c r="G4917" s="14"/>
      <c r="H4917" s="10"/>
      <c r="I4917" s="17"/>
      <c r="J4917" s="10"/>
      <c r="K4917" s="46"/>
      <c r="L4917" s="10"/>
      <c r="M4917" s="20"/>
      <c r="N4917" s="20"/>
      <c r="O4917" s="20"/>
      <c r="P4917" s="20"/>
    </row>
    <row r="4918">
      <c r="A4918" s="23"/>
      <c r="B4918" s="21"/>
      <c r="C4918" s="23"/>
      <c r="D4918" s="24"/>
      <c r="E4918" s="14"/>
      <c r="F4918" s="14"/>
      <c r="G4918" s="14"/>
      <c r="H4918" s="23"/>
      <c r="I4918" s="27"/>
      <c r="J4918" s="23"/>
      <c r="K4918" s="30"/>
      <c r="L4918" s="23"/>
      <c r="M4918" s="20"/>
      <c r="N4918" s="20"/>
      <c r="O4918" s="20"/>
      <c r="P4918" s="20"/>
    </row>
    <row r="4919">
      <c r="A4919" s="10"/>
      <c r="B4919" s="11"/>
      <c r="C4919" s="10"/>
      <c r="D4919" s="13"/>
      <c r="E4919" s="14"/>
      <c r="F4919" s="14"/>
      <c r="G4919" s="14"/>
      <c r="H4919" s="10"/>
      <c r="I4919" s="17"/>
      <c r="J4919" s="10"/>
      <c r="K4919" s="46"/>
      <c r="L4919" s="10"/>
      <c r="M4919" s="20"/>
      <c r="N4919" s="20"/>
      <c r="O4919" s="20"/>
      <c r="P4919" s="20"/>
    </row>
    <row r="4920">
      <c r="A4920" s="23"/>
      <c r="B4920" s="21"/>
      <c r="C4920" s="23"/>
      <c r="D4920" s="24"/>
      <c r="E4920" s="14"/>
      <c r="F4920" s="14"/>
      <c r="G4920" s="14"/>
      <c r="H4920" s="23"/>
      <c r="I4920" s="27"/>
      <c r="J4920" s="23"/>
      <c r="K4920" s="30"/>
      <c r="L4920" s="23"/>
      <c r="M4920" s="20"/>
      <c r="N4920" s="20"/>
      <c r="O4920" s="20"/>
      <c r="P4920" s="20"/>
    </row>
    <row r="4921">
      <c r="A4921" s="10"/>
      <c r="B4921" s="11"/>
      <c r="C4921" s="10"/>
      <c r="D4921" s="13"/>
      <c r="E4921" s="14"/>
      <c r="F4921" s="14"/>
      <c r="G4921" s="14"/>
      <c r="H4921" s="10"/>
      <c r="I4921" s="17"/>
      <c r="J4921" s="10"/>
      <c r="K4921" s="46"/>
      <c r="L4921" s="10"/>
      <c r="M4921" s="20"/>
      <c r="N4921" s="20"/>
      <c r="O4921" s="20"/>
      <c r="P4921" s="20"/>
    </row>
    <row r="4922">
      <c r="A4922" s="23"/>
      <c r="B4922" s="21"/>
      <c r="C4922" s="23"/>
      <c r="D4922" s="24"/>
      <c r="E4922" s="14"/>
      <c r="F4922" s="14"/>
      <c r="G4922" s="14"/>
      <c r="H4922" s="23"/>
      <c r="I4922" s="27"/>
      <c r="J4922" s="23"/>
      <c r="K4922" s="30"/>
      <c r="L4922" s="23"/>
      <c r="M4922" s="20"/>
      <c r="N4922" s="20"/>
      <c r="O4922" s="20"/>
      <c r="P4922" s="20"/>
    </row>
    <row r="4923">
      <c r="A4923" s="10"/>
      <c r="B4923" s="11"/>
      <c r="C4923" s="10"/>
      <c r="D4923" s="13"/>
      <c r="E4923" s="14"/>
      <c r="F4923" s="14"/>
      <c r="G4923" s="14"/>
      <c r="H4923" s="10"/>
      <c r="I4923" s="17"/>
      <c r="J4923" s="10"/>
      <c r="K4923" s="46"/>
      <c r="L4923" s="10"/>
      <c r="M4923" s="20"/>
      <c r="N4923" s="20"/>
      <c r="O4923" s="20"/>
      <c r="P4923" s="20"/>
    </row>
    <row r="4924">
      <c r="A4924" s="23"/>
      <c r="B4924" s="21"/>
      <c r="C4924" s="23"/>
      <c r="D4924" s="24"/>
      <c r="E4924" s="14"/>
      <c r="F4924" s="14"/>
      <c r="G4924" s="14"/>
      <c r="H4924" s="23"/>
      <c r="I4924" s="27"/>
      <c r="J4924" s="23"/>
      <c r="K4924" s="30"/>
      <c r="L4924" s="23"/>
      <c r="M4924" s="20"/>
      <c r="N4924" s="20"/>
      <c r="O4924" s="20"/>
      <c r="P4924" s="20"/>
    </row>
    <row r="4925">
      <c r="A4925" s="10"/>
      <c r="B4925" s="11"/>
      <c r="C4925" s="10"/>
      <c r="D4925" s="13"/>
      <c r="E4925" s="14"/>
      <c r="F4925" s="14"/>
      <c r="G4925" s="14"/>
      <c r="H4925" s="10"/>
      <c r="I4925" s="17"/>
      <c r="J4925" s="10"/>
      <c r="K4925" s="46"/>
      <c r="L4925" s="10"/>
      <c r="M4925" s="20"/>
      <c r="N4925" s="20"/>
      <c r="O4925" s="20"/>
      <c r="P4925" s="20"/>
    </row>
    <row r="4926">
      <c r="A4926" s="23"/>
      <c r="B4926" s="21"/>
      <c r="C4926" s="23"/>
      <c r="D4926" s="24"/>
      <c r="E4926" s="14"/>
      <c r="F4926" s="14"/>
      <c r="G4926" s="14"/>
      <c r="H4926" s="23"/>
      <c r="I4926" s="27"/>
      <c r="J4926" s="23"/>
      <c r="K4926" s="30"/>
      <c r="L4926" s="23"/>
      <c r="M4926" s="20"/>
      <c r="N4926" s="20"/>
      <c r="O4926" s="20"/>
      <c r="P4926" s="20"/>
    </row>
    <row r="4927">
      <c r="A4927" s="10"/>
      <c r="B4927" s="11"/>
      <c r="C4927" s="10"/>
      <c r="D4927" s="13"/>
      <c r="E4927" s="14"/>
      <c r="F4927" s="14"/>
      <c r="G4927" s="14"/>
      <c r="H4927" s="10"/>
      <c r="I4927" s="17"/>
      <c r="J4927" s="10"/>
      <c r="K4927" s="46"/>
      <c r="L4927" s="10"/>
      <c r="M4927" s="20"/>
      <c r="N4927" s="20"/>
      <c r="O4927" s="20"/>
      <c r="P4927" s="20"/>
    </row>
    <row r="4928">
      <c r="A4928" s="23"/>
      <c r="B4928" s="21"/>
      <c r="C4928" s="23"/>
      <c r="D4928" s="24"/>
      <c r="E4928" s="14"/>
      <c r="F4928" s="14"/>
      <c r="G4928" s="14"/>
      <c r="H4928" s="23"/>
      <c r="I4928" s="27"/>
      <c r="J4928" s="23"/>
      <c r="K4928" s="30"/>
      <c r="L4928" s="23"/>
      <c r="M4928" s="20"/>
      <c r="N4928" s="20"/>
      <c r="O4928" s="20"/>
      <c r="P4928" s="20"/>
    </row>
    <row r="4929">
      <c r="A4929" s="10"/>
      <c r="B4929" s="11"/>
      <c r="C4929" s="10"/>
      <c r="D4929" s="13"/>
      <c r="E4929" s="14"/>
      <c r="F4929" s="14"/>
      <c r="G4929" s="14"/>
      <c r="H4929" s="10"/>
      <c r="I4929" s="17"/>
      <c r="J4929" s="10"/>
      <c r="K4929" s="46"/>
      <c r="L4929" s="10"/>
      <c r="M4929" s="20"/>
      <c r="N4929" s="20"/>
      <c r="O4929" s="20"/>
      <c r="P4929" s="20"/>
    </row>
    <row r="4930">
      <c r="A4930" s="23"/>
      <c r="B4930" s="21"/>
      <c r="C4930" s="23"/>
      <c r="D4930" s="24"/>
      <c r="E4930" s="14"/>
      <c r="F4930" s="14"/>
      <c r="G4930" s="14"/>
      <c r="H4930" s="23"/>
      <c r="I4930" s="27"/>
      <c r="J4930" s="23"/>
      <c r="K4930" s="30"/>
      <c r="L4930" s="23"/>
      <c r="M4930" s="20"/>
      <c r="N4930" s="20"/>
      <c r="O4930" s="20"/>
      <c r="P4930" s="20"/>
    </row>
    <row r="4931">
      <c r="A4931" s="10"/>
      <c r="B4931" s="11"/>
      <c r="C4931" s="10"/>
      <c r="D4931" s="13"/>
      <c r="E4931" s="14"/>
      <c r="F4931" s="14"/>
      <c r="G4931" s="14"/>
      <c r="H4931" s="10"/>
      <c r="I4931" s="17"/>
      <c r="J4931" s="10"/>
      <c r="K4931" s="46"/>
      <c r="L4931" s="10"/>
      <c r="M4931" s="20"/>
      <c r="N4931" s="20"/>
      <c r="O4931" s="20"/>
      <c r="P4931" s="20"/>
    </row>
    <row r="4932">
      <c r="A4932" s="23"/>
      <c r="B4932" s="21"/>
      <c r="C4932" s="23"/>
      <c r="D4932" s="24"/>
      <c r="E4932" s="14"/>
      <c r="F4932" s="14"/>
      <c r="G4932" s="14"/>
      <c r="H4932" s="23"/>
      <c r="I4932" s="27"/>
      <c r="J4932" s="23"/>
      <c r="K4932" s="30"/>
      <c r="L4932" s="23"/>
      <c r="M4932" s="20"/>
      <c r="N4932" s="20"/>
      <c r="O4932" s="20"/>
      <c r="P4932" s="20"/>
    </row>
    <row r="4933">
      <c r="A4933" s="10"/>
      <c r="B4933" s="11"/>
      <c r="C4933" s="10"/>
      <c r="D4933" s="13"/>
      <c r="E4933" s="14"/>
      <c r="F4933" s="14"/>
      <c r="G4933" s="14"/>
      <c r="H4933" s="10"/>
      <c r="I4933" s="17"/>
      <c r="J4933" s="10"/>
      <c r="K4933" s="46"/>
      <c r="L4933" s="10"/>
      <c r="M4933" s="20"/>
      <c r="N4933" s="20"/>
      <c r="O4933" s="20"/>
      <c r="P4933" s="20"/>
    </row>
    <row r="4934">
      <c r="A4934" s="23"/>
      <c r="B4934" s="21"/>
      <c r="C4934" s="23"/>
      <c r="D4934" s="24"/>
      <c r="E4934" s="14"/>
      <c r="F4934" s="14"/>
      <c r="G4934" s="14"/>
      <c r="H4934" s="23"/>
      <c r="I4934" s="27"/>
      <c r="J4934" s="23"/>
      <c r="K4934" s="30"/>
      <c r="L4934" s="23"/>
      <c r="M4934" s="20"/>
      <c r="N4934" s="20"/>
      <c r="O4934" s="20"/>
      <c r="P4934" s="20"/>
    </row>
    <row r="4935">
      <c r="A4935" s="10"/>
      <c r="B4935" s="11"/>
      <c r="C4935" s="10"/>
      <c r="D4935" s="13"/>
      <c r="E4935" s="14"/>
      <c r="F4935" s="14"/>
      <c r="G4935" s="14"/>
      <c r="H4935" s="10"/>
      <c r="I4935" s="17"/>
      <c r="J4935" s="10"/>
      <c r="K4935" s="46"/>
      <c r="L4935" s="10"/>
      <c r="M4935" s="20"/>
      <c r="N4935" s="20"/>
      <c r="O4935" s="20"/>
      <c r="P4935" s="20"/>
    </row>
    <row r="4936">
      <c r="A4936" s="23"/>
      <c r="B4936" s="21"/>
      <c r="C4936" s="23"/>
      <c r="D4936" s="24"/>
      <c r="E4936" s="14"/>
      <c r="F4936" s="14"/>
      <c r="G4936" s="14"/>
      <c r="H4936" s="23"/>
      <c r="I4936" s="27"/>
      <c r="J4936" s="23"/>
      <c r="K4936" s="30"/>
      <c r="L4936" s="23"/>
      <c r="M4936" s="20"/>
      <c r="N4936" s="20"/>
      <c r="O4936" s="20"/>
      <c r="P4936" s="20"/>
    </row>
    <row r="4937">
      <c r="A4937" s="10"/>
      <c r="B4937" s="11"/>
      <c r="C4937" s="10"/>
      <c r="D4937" s="13"/>
      <c r="E4937" s="14"/>
      <c r="F4937" s="14"/>
      <c r="G4937" s="14"/>
      <c r="H4937" s="10"/>
      <c r="I4937" s="17"/>
      <c r="J4937" s="10"/>
      <c r="K4937" s="46"/>
      <c r="L4937" s="10"/>
      <c r="M4937" s="20"/>
      <c r="N4937" s="20"/>
      <c r="O4937" s="20"/>
      <c r="P4937" s="20"/>
    </row>
    <row r="4938">
      <c r="A4938" s="23"/>
      <c r="B4938" s="21"/>
      <c r="C4938" s="23"/>
      <c r="D4938" s="24"/>
      <c r="E4938" s="14"/>
      <c r="F4938" s="14"/>
      <c r="G4938" s="14"/>
      <c r="H4938" s="23"/>
      <c r="I4938" s="27"/>
      <c r="J4938" s="23"/>
      <c r="K4938" s="30"/>
      <c r="L4938" s="23"/>
      <c r="M4938" s="20"/>
      <c r="N4938" s="20"/>
      <c r="O4938" s="20"/>
      <c r="P4938" s="20"/>
    </row>
    <row r="4939">
      <c r="A4939" s="10"/>
      <c r="B4939" s="11"/>
      <c r="C4939" s="10"/>
      <c r="D4939" s="13"/>
      <c r="E4939" s="14"/>
      <c r="F4939" s="14"/>
      <c r="G4939" s="14"/>
      <c r="H4939" s="10"/>
      <c r="I4939" s="17"/>
      <c r="J4939" s="10"/>
      <c r="K4939" s="46"/>
      <c r="L4939" s="10"/>
      <c r="M4939" s="20"/>
      <c r="N4939" s="20"/>
      <c r="O4939" s="20"/>
      <c r="P4939" s="20"/>
    </row>
    <row r="4940">
      <c r="A4940" s="23"/>
      <c r="B4940" s="21"/>
      <c r="C4940" s="23"/>
      <c r="D4940" s="24"/>
      <c r="E4940" s="14"/>
      <c r="F4940" s="14"/>
      <c r="G4940" s="14"/>
      <c r="H4940" s="23"/>
      <c r="I4940" s="27"/>
      <c r="J4940" s="23"/>
      <c r="K4940" s="30"/>
      <c r="L4940" s="23"/>
      <c r="M4940" s="20"/>
      <c r="N4940" s="20"/>
      <c r="O4940" s="20"/>
      <c r="P4940" s="20"/>
    </row>
    <row r="4941">
      <c r="A4941" s="10"/>
      <c r="B4941" s="11"/>
      <c r="C4941" s="10"/>
      <c r="D4941" s="13"/>
      <c r="E4941" s="14"/>
      <c r="F4941" s="14"/>
      <c r="G4941" s="14"/>
      <c r="H4941" s="10"/>
      <c r="I4941" s="17"/>
      <c r="J4941" s="10"/>
      <c r="K4941" s="46"/>
      <c r="L4941" s="10"/>
      <c r="M4941" s="20"/>
      <c r="N4941" s="20"/>
      <c r="O4941" s="20"/>
      <c r="P4941" s="20"/>
    </row>
    <row r="4942">
      <c r="A4942" s="23"/>
      <c r="B4942" s="21"/>
      <c r="C4942" s="23"/>
      <c r="D4942" s="24"/>
      <c r="E4942" s="14"/>
      <c r="F4942" s="14"/>
      <c r="G4942" s="14"/>
      <c r="H4942" s="23"/>
      <c r="I4942" s="27"/>
      <c r="J4942" s="23"/>
      <c r="K4942" s="30"/>
      <c r="L4942" s="23"/>
      <c r="M4942" s="20"/>
      <c r="N4942" s="20"/>
      <c r="O4942" s="20"/>
      <c r="P4942" s="20"/>
    </row>
    <row r="4943">
      <c r="A4943" s="10"/>
      <c r="B4943" s="11"/>
      <c r="C4943" s="10"/>
      <c r="D4943" s="13"/>
      <c r="E4943" s="14"/>
      <c r="F4943" s="14"/>
      <c r="G4943" s="14"/>
      <c r="H4943" s="10"/>
      <c r="I4943" s="17"/>
      <c r="J4943" s="10"/>
      <c r="K4943" s="46"/>
      <c r="L4943" s="10"/>
      <c r="M4943" s="20"/>
      <c r="N4943" s="20"/>
      <c r="O4943" s="20"/>
      <c r="P4943" s="20"/>
    </row>
    <row r="4944">
      <c r="A4944" s="23"/>
      <c r="B4944" s="21"/>
      <c r="C4944" s="23"/>
      <c r="D4944" s="24"/>
      <c r="E4944" s="14"/>
      <c r="F4944" s="14"/>
      <c r="G4944" s="14"/>
      <c r="H4944" s="23"/>
      <c r="I4944" s="27"/>
      <c r="J4944" s="23"/>
      <c r="K4944" s="30"/>
      <c r="L4944" s="23"/>
      <c r="M4944" s="20"/>
      <c r="N4944" s="20"/>
      <c r="O4944" s="20"/>
      <c r="P4944" s="20"/>
    </row>
    <row r="4945">
      <c r="A4945" s="10"/>
      <c r="B4945" s="11"/>
      <c r="C4945" s="10"/>
      <c r="D4945" s="13"/>
      <c r="E4945" s="14"/>
      <c r="F4945" s="14"/>
      <c r="G4945" s="14"/>
      <c r="H4945" s="10"/>
      <c r="I4945" s="17"/>
      <c r="J4945" s="10"/>
      <c r="K4945" s="46"/>
      <c r="L4945" s="10"/>
      <c r="M4945" s="20"/>
      <c r="N4945" s="20"/>
      <c r="O4945" s="20"/>
      <c r="P4945" s="20"/>
    </row>
    <row r="4946">
      <c r="A4946" s="23"/>
      <c r="B4946" s="21"/>
      <c r="C4946" s="23"/>
      <c r="D4946" s="24"/>
      <c r="E4946" s="14"/>
      <c r="F4946" s="14"/>
      <c r="G4946" s="14"/>
      <c r="H4946" s="23"/>
      <c r="I4946" s="27"/>
      <c r="J4946" s="23"/>
      <c r="K4946" s="30"/>
      <c r="L4946" s="23"/>
      <c r="M4946" s="20"/>
      <c r="N4946" s="20"/>
      <c r="O4946" s="20"/>
      <c r="P4946" s="20"/>
    </row>
    <row r="4947">
      <c r="A4947" s="10"/>
      <c r="B4947" s="11"/>
      <c r="C4947" s="10"/>
      <c r="D4947" s="13"/>
      <c r="E4947" s="14"/>
      <c r="F4947" s="14"/>
      <c r="G4947" s="14"/>
      <c r="H4947" s="10"/>
      <c r="I4947" s="17"/>
      <c r="J4947" s="10"/>
      <c r="K4947" s="46"/>
      <c r="L4947" s="10"/>
      <c r="M4947" s="20"/>
      <c r="N4947" s="20"/>
      <c r="O4947" s="20"/>
      <c r="P4947" s="20"/>
    </row>
    <row r="4948">
      <c r="A4948" s="23"/>
      <c r="B4948" s="21"/>
      <c r="C4948" s="23"/>
      <c r="D4948" s="24"/>
      <c r="E4948" s="14"/>
      <c r="F4948" s="14"/>
      <c r="G4948" s="14"/>
      <c r="H4948" s="23"/>
      <c r="I4948" s="27"/>
      <c r="J4948" s="23"/>
      <c r="K4948" s="30"/>
      <c r="L4948" s="23"/>
      <c r="M4948" s="20"/>
      <c r="N4948" s="20"/>
      <c r="O4948" s="20"/>
      <c r="P4948" s="20"/>
    </row>
    <row r="4949">
      <c r="A4949" s="10"/>
      <c r="B4949" s="11"/>
      <c r="C4949" s="10"/>
      <c r="D4949" s="13"/>
      <c r="E4949" s="14"/>
      <c r="F4949" s="14"/>
      <c r="G4949" s="14"/>
      <c r="H4949" s="10"/>
      <c r="I4949" s="17"/>
      <c r="J4949" s="10"/>
      <c r="K4949" s="46"/>
      <c r="L4949" s="10"/>
      <c r="M4949" s="20"/>
      <c r="N4949" s="20"/>
      <c r="O4949" s="20"/>
      <c r="P4949" s="20"/>
    </row>
    <row r="4950">
      <c r="A4950" s="23"/>
      <c r="B4950" s="21"/>
      <c r="C4950" s="23"/>
      <c r="D4950" s="24"/>
      <c r="E4950" s="14"/>
      <c r="F4950" s="14"/>
      <c r="G4950" s="14"/>
      <c r="H4950" s="23"/>
      <c r="I4950" s="27"/>
      <c r="J4950" s="23"/>
      <c r="K4950" s="30"/>
      <c r="L4950" s="23"/>
      <c r="M4950" s="20"/>
      <c r="N4950" s="20"/>
      <c r="O4950" s="20"/>
      <c r="P4950" s="20"/>
    </row>
    <row r="4951">
      <c r="A4951" s="10"/>
      <c r="B4951" s="11"/>
      <c r="C4951" s="10"/>
      <c r="D4951" s="13"/>
      <c r="E4951" s="14"/>
      <c r="F4951" s="14"/>
      <c r="G4951" s="14"/>
      <c r="H4951" s="10"/>
      <c r="I4951" s="17"/>
      <c r="J4951" s="10"/>
      <c r="K4951" s="46"/>
      <c r="L4951" s="10"/>
      <c r="M4951" s="20"/>
      <c r="N4951" s="20"/>
      <c r="O4951" s="20"/>
      <c r="P4951" s="20"/>
    </row>
    <row r="4952">
      <c r="A4952" s="23"/>
      <c r="B4952" s="21"/>
      <c r="C4952" s="23"/>
      <c r="D4952" s="24"/>
      <c r="E4952" s="14"/>
      <c r="F4952" s="14"/>
      <c r="G4952" s="14"/>
      <c r="H4952" s="23"/>
      <c r="I4952" s="27"/>
      <c r="J4952" s="23"/>
      <c r="K4952" s="30"/>
      <c r="L4952" s="23"/>
      <c r="M4952" s="20"/>
      <c r="N4952" s="20"/>
      <c r="O4952" s="20"/>
      <c r="P4952" s="20"/>
    </row>
    <row r="4953">
      <c r="A4953" s="10"/>
      <c r="B4953" s="11"/>
      <c r="C4953" s="10"/>
      <c r="D4953" s="13"/>
      <c r="E4953" s="14"/>
      <c r="F4953" s="14"/>
      <c r="G4953" s="14"/>
      <c r="H4953" s="10"/>
      <c r="I4953" s="17"/>
      <c r="J4953" s="10"/>
      <c r="K4953" s="46"/>
      <c r="L4953" s="10"/>
      <c r="M4953" s="20"/>
      <c r="N4953" s="20"/>
      <c r="O4953" s="20"/>
      <c r="P4953" s="20"/>
    </row>
    <row r="4954">
      <c r="A4954" s="23"/>
      <c r="B4954" s="21"/>
      <c r="C4954" s="23"/>
      <c r="D4954" s="24"/>
      <c r="E4954" s="14"/>
      <c r="F4954" s="14"/>
      <c r="G4954" s="14"/>
      <c r="H4954" s="23"/>
      <c r="I4954" s="27"/>
      <c r="J4954" s="23"/>
      <c r="K4954" s="30"/>
      <c r="L4954" s="23"/>
      <c r="M4954" s="20"/>
      <c r="N4954" s="20"/>
      <c r="O4954" s="20"/>
      <c r="P4954" s="20"/>
    </row>
    <row r="4955">
      <c r="A4955" s="10"/>
      <c r="B4955" s="11"/>
      <c r="C4955" s="10"/>
      <c r="D4955" s="13"/>
      <c r="E4955" s="14"/>
      <c r="F4955" s="14"/>
      <c r="G4955" s="14"/>
      <c r="H4955" s="10"/>
      <c r="I4955" s="17"/>
      <c r="J4955" s="10"/>
      <c r="K4955" s="46"/>
      <c r="L4955" s="10"/>
      <c r="M4955" s="20"/>
      <c r="N4955" s="20"/>
      <c r="O4955" s="20"/>
      <c r="P4955" s="20"/>
    </row>
    <row r="4956">
      <c r="A4956" s="23"/>
      <c r="B4956" s="21"/>
      <c r="C4956" s="23"/>
      <c r="D4956" s="24"/>
      <c r="E4956" s="14"/>
      <c r="F4956" s="14"/>
      <c r="G4956" s="14"/>
      <c r="H4956" s="23"/>
      <c r="I4956" s="27"/>
      <c r="J4956" s="23"/>
      <c r="K4956" s="30"/>
      <c r="L4956" s="23"/>
      <c r="M4956" s="20"/>
      <c r="N4956" s="20"/>
      <c r="O4956" s="20"/>
      <c r="P4956" s="20"/>
    </row>
    <row r="4957">
      <c r="A4957" s="10"/>
      <c r="B4957" s="11"/>
      <c r="C4957" s="10"/>
      <c r="D4957" s="13"/>
      <c r="E4957" s="14"/>
      <c r="F4957" s="14"/>
      <c r="G4957" s="14"/>
      <c r="H4957" s="10"/>
      <c r="I4957" s="17"/>
      <c r="J4957" s="10"/>
      <c r="K4957" s="46"/>
      <c r="L4957" s="10"/>
      <c r="M4957" s="20"/>
      <c r="N4957" s="20"/>
      <c r="O4957" s="20"/>
      <c r="P4957" s="20"/>
    </row>
    <row r="4958">
      <c r="A4958" s="23"/>
      <c r="B4958" s="21"/>
      <c r="C4958" s="23"/>
      <c r="D4958" s="24"/>
      <c r="E4958" s="14"/>
      <c r="F4958" s="14"/>
      <c r="G4958" s="14"/>
      <c r="H4958" s="23"/>
      <c r="I4958" s="27"/>
      <c r="J4958" s="23"/>
      <c r="K4958" s="30"/>
      <c r="L4958" s="23"/>
      <c r="M4958" s="20"/>
      <c r="N4958" s="20"/>
      <c r="O4958" s="20"/>
      <c r="P4958" s="20"/>
    </row>
    <row r="4959">
      <c r="A4959" s="10"/>
      <c r="B4959" s="11"/>
      <c r="C4959" s="10"/>
      <c r="D4959" s="13"/>
      <c r="E4959" s="14"/>
      <c r="F4959" s="14"/>
      <c r="G4959" s="14"/>
      <c r="H4959" s="10"/>
      <c r="I4959" s="17"/>
      <c r="J4959" s="10"/>
      <c r="K4959" s="46"/>
      <c r="L4959" s="10"/>
      <c r="M4959" s="20"/>
      <c r="N4959" s="20"/>
      <c r="O4959" s="20"/>
      <c r="P4959" s="20"/>
    </row>
    <row r="4960">
      <c r="A4960" s="23"/>
      <c r="B4960" s="21"/>
      <c r="C4960" s="23"/>
      <c r="D4960" s="24"/>
      <c r="E4960" s="14"/>
      <c r="F4960" s="14"/>
      <c r="G4960" s="14"/>
      <c r="H4960" s="23"/>
      <c r="I4960" s="27"/>
      <c r="J4960" s="23"/>
      <c r="K4960" s="30"/>
      <c r="L4960" s="23"/>
      <c r="M4960" s="20"/>
      <c r="N4960" s="20"/>
      <c r="O4960" s="20"/>
      <c r="P4960" s="20"/>
    </row>
    <row r="4961">
      <c r="A4961" s="10"/>
      <c r="B4961" s="11"/>
      <c r="C4961" s="10"/>
      <c r="D4961" s="13"/>
      <c r="E4961" s="14"/>
      <c r="F4961" s="14"/>
      <c r="G4961" s="14"/>
      <c r="H4961" s="10"/>
      <c r="I4961" s="17"/>
      <c r="J4961" s="10"/>
      <c r="K4961" s="46"/>
      <c r="L4961" s="10"/>
      <c r="M4961" s="20"/>
      <c r="N4961" s="20"/>
      <c r="O4961" s="20"/>
      <c r="P4961" s="20"/>
    </row>
    <row r="4962">
      <c r="A4962" s="23"/>
      <c r="B4962" s="21"/>
      <c r="C4962" s="23"/>
      <c r="D4962" s="24"/>
      <c r="E4962" s="14"/>
      <c r="F4962" s="14"/>
      <c r="G4962" s="14"/>
      <c r="H4962" s="23"/>
      <c r="I4962" s="27"/>
      <c r="J4962" s="23"/>
      <c r="K4962" s="30"/>
      <c r="L4962" s="23"/>
      <c r="M4962" s="20"/>
      <c r="N4962" s="20"/>
      <c r="O4962" s="20"/>
      <c r="P4962" s="20"/>
    </row>
    <row r="4963">
      <c r="A4963" s="10"/>
      <c r="B4963" s="11"/>
      <c r="C4963" s="10"/>
      <c r="D4963" s="13"/>
      <c r="E4963" s="14"/>
      <c r="F4963" s="14"/>
      <c r="G4963" s="14"/>
      <c r="H4963" s="10"/>
      <c r="I4963" s="17"/>
      <c r="J4963" s="10"/>
      <c r="K4963" s="46"/>
      <c r="L4963" s="10"/>
      <c r="M4963" s="20"/>
      <c r="N4963" s="20"/>
      <c r="O4963" s="20"/>
      <c r="P4963" s="20"/>
    </row>
    <row r="4964">
      <c r="A4964" s="23"/>
      <c r="B4964" s="21"/>
      <c r="C4964" s="23"/>
      <c r="D4964" s="24"/>
      <c r="E4964" s="14"/>
      <c r="F4964" s="14"/>
      <c r="G4964" s="14"/>
      <c r="H4964" s="23"/>
      <c r="I4964" s="27"/>
      <c r="J4964" s="23"/>
      <c r="K4964" s="30"/>
      <c r="L4964" s="23"/>
      <c r="M4964" s="20"/>
      <c r="N4964" s="20"/>
      <c r="O4964" s="20"/>
      <c r="P4964" s="20"/>
    </row>
    <row r="4965">
      <c r="A4965" s="10"/>
      <c r="B4965" s="11"/>
      <c r="C4965" s="10"/>
      <c r="D4965" s="13"/>
      <c r="E4965" s="14"/>
      <c r="F4965" s="14"/>
      <c r="G4965" s="14"/>
      <c r="H4965" s="10"/>
      <c r="I4965" s="17"/>
      <c r="J4965" s="10"/>
      <c r="K4965" s="46"/>
      <c r="L4965" s="10"/>
      <c r="M4965" s="20"/>
      <c r="N4965" s="20"/>
      <c r="O4965" s="20"/>
      <c r="P4965" s="20"/>
    </row>
    <row r="4966">
      <c r="A4966" s="23"/>
      <c r="B4966" s="21"/>
      <c r="C4966" s="23"/>
      <c r="D4966" s="24"/>
      <c r="E4966" s="14"/>
      <c r="F4966" s="14"/>
      <c r="G4966" s="14"/>
      <c r="H4966" s="23"/>
      <c r="I4966" s="27"/>
      <c r="J4966" s="23"/>
      <c r="K4966" s="30"/>
      <c r="L4966" s="23"/>
      <c r="M4966" s="20"/>
      <c r="N4966" s="20"/>
      <c r="O4966" s="20"/>
      <c r="P4966" s="20"/>
    </row>
    <row r="4967">
      <c r="A4967" s="10"/>
      <c r="B4967" s="11"/>
      <c r="C4967" s="10"/>
      <c r="D4967" s="13"/>
      <c r="E4967" s="14"/>
      <c r="F4967" s="14"/>
      <c r="G4967" s="14"/>
      <c r="H4967" s="10"/>
      <c r="I4967" s="17"/>
      <c r="J4967" s="10"/>
      <c r="K4967" s="46"/>
      <c r="L4967" s="10"/>
      <c r="M4967" s="20"/>
      <c r="N4967" s="20"/>
      <c r="O4967" s="20"/>
      <c r="P4967" s="20"/>
    </row>
    <row r="4968">
      <c r="A4968" s="23"/>
      <c r="B4968" s="21"/>
      <c r="C4968" s="23"/>
      <c r="D4968" s="24"/>
      <c r="E4968" s="14"/>
      <c r="F4968" s="14"/>
      <c r="G4968" s="14"/>
      <c r="H4968" s="23"/>
      <c r="I4968" s="27"/>
      <c r="J4968" s="23"/>
      <c r="K4968" s="30"/>
      <c r="L4968" s="23"/>
      <c r="M4968" s="20"/>
      <c r="N4968" s="20"/>
      <c r="O4968" s="20"/>
      <c r="P4968" s="20"/>
    </row>
    <row r="4969">
      <c r="A4969" s="10"/>
      <c r="B4969" s="11"/>
      <c r="C4969" s="10"/>
      <c r="D4969" s="13"/>
      <c r="E4969" s="14"/>
      <c r="F4969" s="14"/>
      <c r="G4969" s="14"/>
      <c r="H4969" s="10"/>
      <c r="I4969" s="17"/>
      <c r="J4969" s="10"/>
      <c r="K4969" s="46"/>
      <c r="L4969" s="10"/>
      <c r="M4969" s="20"/>
      <c r="N4969" s="20"/>
      <c r="O4969" s="20"/>
      <c r="P4969" s="20"/>
    </row>
    <row r="4970">
      <c r="A4970" s="23"/>
      <c r="B4970" s="21"/>
      <c r="C4970" s="23"/>
      <c r="D4970" s="24"/>
      <c r="E4970" s="14"/>
      <c r="F4970" s="14"/>
      <c r="G4970" s="14"/>
      <c r="H4970" s="23"/>
      <c r="I4970" s="27"/>
      <c r="J4970" s="23"/>
      <c r="K4970" s="30"/>
      <c r="L4970" s="23"/>
      <c r="M4970" s="20"/>
      <c r="N4970" s="20"/>
      <c r="O4970" s="20"/>
      <c r="P4970" s="20"/>
    </row>
    <row r="4971">
      <c r="A4971" s="10"/>
      <c r="B4971" s="11"/>
      <c r="C4971" s="10"/>
      <c r="D4971" s="13"/>
      <c r="E4971" s="14"/>
      <c r="F4971" s="14"/>
      <c r="G4971" s="14"/>
      <c r="H4971" s="10"/>
      <c r="I4971" s="17"/>
      <c r="J4971" s="10"/>
      <c r="K4971" s="46"/>
      <c r="L4971" s="10"/>
      <c r="M4971" s="20"/>
      <c r="N4971" s="20"/>
      <c r="O4971" s="20"/>
      <c r="P4971" s="20"/>
    </row>
    <row r="4972">
      <c r="A4972" s="23"/>
      <c r="B4972" s="21"/>
      <c r="C4972" s="23"/>
      <c r="D4972" s="24"/>
      <c r="E4972" s="14"/>
      <c r="F4972" s="14"/>
      <c r="G4972" s="14"/>
      <c r="H4972" s="23"/>
      <c r="I4972" s="27"/>
      <c r="J4972" s="23"/>
      <c r="K4972" s="30"/>
      <c r="L4972" s="23"/>
      <c r="M4972" s="20"/>
      <c r="N4972" s="20"/>
      <c r="O4972" s="20"/>
      <c r="P4972" s="20"/>
    </row>
    <row r="4973">
      <c r="A4973" s="10"/>
      <c r="B4973" s="11"/>
      <c r="C4973" s="10"/>
      <c r="D4973" s="13"/>
      <c r="E4973" s="14"/>
      <c r="F4973" s="14"/>
      <c r="G4973" s="14"/>
      <c r="H4973" s="10"/>
      <c r="I4973" s="17"/>
      <c r="J4973" s="10"/>
      <c r="K4973" s="46"/>
      <c r="L4973" s="10"/>
      <c r="M4973" s="20"/>
      <c r="N4973" s="20"/>
      <c r="O4973" s="20"/>
      <c r="P4973" s="20"/>
    </row>
    <row r="4974">
      <c r="A4974" s="23"/>
      <c r="B4974" s="21"/>
      <c r="C4974" s="23"/>
      <c r="D4974" s="24"/>
      <c r="E4974" s="14"/>
      <c r="F4974" s="14"/>
      <c r="G4974" s="14"/>
      <c r="H4974" s="23"/>
      <c r="I4974" s="27"/>
      <c r="J4974" s="23"/>
      <c r="K4974" s="30"/>
      <c r="L4974" s="23"/>
      <c r="M4974" s="20"/>
      <c r="N4974" s="20"/>
      <c r="O4974" s="20"/>
      <c r="P4974" s="20"/>
    </row>
    <row r="4975">
      <c r="A4975" s="10"/>
      <c r="B4975" s="11"/>
      <c r="C4975" s="10"/>
      <c r="D4975" s="13"/>
      <c r="E4975" s="14"/>
      <c r="F4975" s="14"/>
      <c r="G4975" s="14"/>
      <c r="H4975" s="10"/>
      <c r="I4975" s="17"/>
      <c r="J4975" s="10"/>
      <c r="K4975" s="46"/>
      <c r="L4975" s="10"/>
      <c r="M4975" s="20"/>
      <c r="N4975" s="20"/>
      <c r="O4975" s="20"/>
      <c r="P4975" s="20"/>
    </row>
    <row r="4976">
      <c r="A4976" s="23"/>
      <c r="B4976" s="21"/>
      <c r="C4976" s="23"/>
      <c r="D4976" s="24"/>
      <c r="E4976" s="14"/>
      <c r="F4976" s="14"/>
      <c r="G4976" s="14"/>
      <c r="H4976" s="23"/>
      <c r="I4976" s="27"/>
      <c r="J4976" s="23"/>
      <c r="K4976" s="30"/>
      <c r="L4976" s="23"/>
      <c r="M4976" s="20"/>
      <c r="N4976" s="20"/>
      <c r="O4976" s="20"/>
      <c r="P4976" s="20"/>
    </row>
    <row r="4977">
      <c r="A4977" s="10"/>
      <c r="B4977" s="11"/>
      <c r="C4977" s="10"/>
      <c r="D4977" s="13"/>
      <c r="E4977" s="14"/>
      <c r="F4977" s="14"/>
      <c r="G4977" s="14"/>
      <c r="H4977" s="10"/>
      <c r="I4977" s="17"/>
      <c r="J4977" s="10"/>
      <c r="K4977" s="46"/>
      <c r="L4977" s="10"/>
      <c r="M4977" s="20"/>
      <c r="N4977" s="20"/>
      <c r="O4977" s="20"/>
      <c r="P4977" s="20"/>
    </row>
    <row r="4978">
      <c r="A4978" s="23"/>
      <c r="B4978" s="21"/>
      <c r="C4978" s="23"/>
      <c r="D4978" s="24"/>
      <c r="E4978" s="14"/>
      <c r="F4978" s="14"/>
      <c r="G4978" s="14"/>
      <c r="H4978" s="23"/>
      <c r="I4978" s="27"/>
      <c r="J4978" s="23"/>
      <c r="K4978" s="30"/>
      <c r="L4978" s="23"/>
      <c r="M4978" s="20"/>
      <c r="N4978" s="20"/>
      <c r="O4978" s="20"/>
      <c r="P4978" s="20"/>
    </row>
    <row r="4979">
      <c r="A4979" s="10"/>
      <c r="B4979" s="11"/>
      <c r="C4979" s="10"/>
      <c r="D4979" s="13"/>
      <c r="E4979" s="14"/>
      <c r="F4979" s="14"/>
      <c r="G4979" s="14"/>
      <c r="H4979" s="10"/>
      <c r="I4979" s="17"/>
      <c r="J4979" s="10"/>
      <c r="K4979" s="46"/>
      <c r="L4979" s="10"/>
      <c r="M4979" s="20"/>
      <c r="N4979" s="20"/>
      <c r="O4979" s="20"/>
      <c r="P4979" s="20"/>
    </row>
    <row r="4980">
      <c r="A4980" s="23"/>
      <c r="B4980" s="21"/>
      <c r="C4980" s="23"/>
      <c r="D4980" s="24"/>
      <c r="E4980" s="14"/>
      <c r="F4980" s="14"/>
      <c r="G4980" s="14"/>
      <c r="H4980" s="23"/>
      <c r="I4980" s="27"/>
      <c r="J4980" s="23"/>
      <c r="K4980" s="30"/>
      <c r="L4980" s="23"/>
      <c r="M4980" s="20"/>
      <c r="N4980" s="20"/>
      <c r="O4980" s="20"/>
      <c r="P4980" s="20"/>
    </row>
    <row r="4981">
      <c r="A4981" s="10"/>
      <c r="B4981" s="11"/>
      <c r="C4981" s="10"/>
      <c r="D4981" s="13"/>
      <c r="E4981" s="14"/>
      <c r="F4981" s="14"/>
      <c r="G4981" s="14"/>
      <c r="H4981" s="10"/>
      <c r="I4981" s="17"/>
      <c r="J4981" s="10"/>
      <c r="K4981" s="46"/>
      <c r="L4981" s="10"/>
      <c r="M4981" s="20"/>
      <c r="N4981" s="20"/>
      <c r="O4981" s="20"/>
      <c r="P4981" s="20"/>
    </row>
    <row r="4982">
      <c r="A4982" s="23"/>
      <c r="B4982" s="21"/>
      <c r="C4982" s="23"/>
      <c r="D4982" s="24"/>
      <c r="E4982" s="14"/>
      <c r="F4982" s="14"/>
      <c r="G4982" s="14"/>
      <c r="H4982" s="23"/>
      <c r="I4982" s="27"/>
      <c r="J4982" s="23"/>
      <c r="K4982" s="30"/>
      <c r="L4982" s="23"/>
      <c r="M4982" s="20"/>
      <c r="N4982" s="20"/>
      <c r="O4982" s="20"/>
      <c r="P4982" s="20"/>
    </row>
    <row r="4983">
      <c r="A4983" s="10"/>
      <c r="B4983" s="11"/>
      <c r="C4983" s="10"/>
      <c r="D4983" s="13"/>
      <c r="E4983" s="14"/>
      <c r="F4983" s="14"/>
      <c r="G4983" s="14"/>
      <c r="H4983" s="10"/>
      <c r="I4983" s="17"/>
      <c r="J4983" s="10"/>
      <c r="K4983" s="46"/>
      <c r="L4983" s="10"/>
      <c r="M4983" s="20"/>
      <c r="N4983" s="20"/>
      <c r="O4983" s="20"/>
      <c r="P4983" s="20"/>
    </row>
    <row r="4984">
      <c r="A4984" s="23"/>
      <c r="B4984" s="21"/>
      <c r="C4984" s="23"/>
      <c r="D4984" s="24"/>
      <c r="E4984" s="14"/>
      <c r="F4984" s="14"/>
      <c r="G4984" s="14"/>
      <c r="H4984" s="23"/>
      <c r="I4984" s="27"/>
      <c r="J4984" s="23"/>
      <c r="K4984" s="30"/>
      <c r="L4984" s="23"/>
      <c r="M4984" s="20"/>
      <c r="N4984" s="20"/>
      <c r="O4984" s="20"/>
      <c r="P4984" s="20"/>
    </row>
    <row r="4985">
      <c r="A4985" s="10"/>
      <c r="B4985" s="11"/>
      <c r="C4985" s="10"/>
      <c r="D4985" s="13"/>
      <c r="E4985" s="14"/>
      <c r="F4985" s="14"/>
      <c r="G4985" s="14"/>
      <c r="H4985" s="10"/>
      <c r="I4985" s="17"/>
      <c r="J4985" s="10"/>
      <c r="K4985" s="46"/>
      <c r="L4985" s="10"/>
      <c r="M4985" s="20"/>
      <c r="N4985" s="20"/>
      <c r="O4985" s="20"/>
      <c r="P4985" s="20"/>
    </row>
    <row r="4986">
      <c r="A4986" s="23"/>
      <c r="B4986" s="21"/>
      <c r="C4986" s="23"/>
      <c r="D4986" s="24"/>
      <c r="E4986" s="14"/>
      <c r="F4986" s="14"/>
      <c r="G4986" s="14"/>
      <c r="H4986" s="23"/>
      <c r="I4986" s="27"/>
      <c r="J4986" s="23"/>
      <c r="K4986" s="30"/>
      <c r="L4986" s="23"/>
      <c r="M4986" s="20"/>
      <c r="N4986" s="20"/>
      <c r="O4986" s="20"/>
      <c r="P4986" s="20"/>
    </row>
    <row r="4987">
      <c r="A4987" s="10"/>
      <c r="B4987" s="11"/>
      <c r="C4987" s="10"/>
      <c r="D4987" s="13"/>
      <c r="E4987" s="14"/>
      <c r="F4987" s="14"/>
      <c r="G4987" s="14"/>
      <c r="H4987" s="10"/>
      <c r="I4987" s="17"/>
      <c r="J4987" s="10"/>
      <c r="K4987" s="46"/>
      <c r="L4987" s="10"/>
      <c r="M4987" s="20"/>
      <c r="N4987" s="20"/>
      <c r="O4987" s="20"/>
      <c r="P4987" s="20"/>
    </row>
    <row r="4988">
      <c r="A4988" s="23"/>
      <c r="B4988" s="21"/>
      <c r="C4988" s="23"/>
      <c r="D4988" s="24"/>
      <c r="E4988" s="14"/>
      <c r="F4988" s="14"/>
      <c r="G4988" s="14"/>
      <c r="H4988" s="23"/>
      <c r="I4988" s="27"/>
      <c r="J4988" s="23"/>
      <c r="K4988" s="30"/>
      <c r="L4988" s="23"/>
      <c r="M4988" s="20"/>
      <c r="N4988" s="20"/>
      <c r="O4988" s="20"/>
      <c r="P4988" s="20"/>
    </row>
    <row r="4989">
      <c r="A4989" s="10"/>
      <c r="B4989" s="11"/>
      <c r="C4989" s="10"/>
      <c r="D4989" s="13"/>
      <c r="E4989" s="14"/>
      <c r="F4989" s="14"/>
      <c r="G4989" s="14"/>
      <c r="H4989" s="10"/>
      <c r="I4989" s="17"/>
      <c r="J4989" s="10"/>
      <c r="K4989" s="46"/>
      <c r="L4989" s="10"/>
      <c r="M4989" s="20"/>
      <c r="N4989" s="20"/>
      <c r="O4989" s="20"/>
      <c r="P4989" s="20"/>
    </row>
    <row r="4990">
      <c r="A4990" s="23"/>
      <c r="B4990" s="21"/>
      <c r="C4990" s="23"/>
      <c r="D4990" s="24"/>
      <c r="E4990" s="14"/>
      <c r="F4990" s="14"/>
      <c r="G4990" s="14"/>
      <c r="H4990" s="23"/>
      <c r="I4990" s="27"/>
      <c r="J4990" s="23"/>
      <c r="K4990" s="30"/>
      <c r="L4990" s="23"/>
      <c r="M4990" s="20"/>
      <c r="N4990" s="20"/>
      <c r="O4990" s="20"/>
      <c r="P4990" s="20"/>
    </row>
    <row r="4991">
      <c r="A4991" s="10"/>
      <c r="B4991" s="11"/>
      <c r="C4991" s="10"/>
      <c r="D4991" s="13"/>
      <c r="E4991" s="14"/>
      <c r="F4991" s="14"/>
      <c r="G4991" s="14"/>
      <c r="H4991" s="10"/>
      <c r="I4991" s="17"/>
      <c r="J4991" s="10"/>
      <c r="K4991" s="46"/>
      <c r="L4991" s="10"/>
      <c r="M4991" s="20"/>
      <c r="N4991" s="20"/>
      <c r="O4991" s="20"/>
      <c r="P4991" s="20"/>
    </row>
    <row r="4992">
      <c r="A4992" s="23"/>
      <c r="B4992" s="21"/>
      <c r="C4992" s="23"/>
      <c r="D4992" s="24"/>
      <c r="E4992" s="14"/>
      <c r="F4992" s="14"/>
      <c r="G4992" s="14"/>
      <c r="H4992" s="23"/>
      <c r="I4992" s="27"/>
      <c r="J4992" s="23"/>
      <c r="K4992" s="30"/>
      <c r="L4992" s="23"/>
      <c r="M4992" s="20"/>
      <c r="N4992" s="20"/>
      <c r="O4992" s="20"/>
      <c r="P4992" s="20"/>
    </row>
    <row r="4993">
      <c r="A4993" s="10"/>
      <c r="B4993" s="11"/>
      <c r="C4993" s="10"/>
      <c r="D4993" s="13"/>
      <c r="E4993" s="14"/>
      <c r="F4993" s="14"/>
      <c r="G4993" s="14"/>
      <c r="H4993" s="10"/>
      <c r="I4993" s="17"/>
      <c r="J4993" s="10"/>
      <c r="K4993" s="46"/>
      <c r="L4993" s="10"/>
      <c r="M4993" s="20"/>
      <c r="N4993" s="20"/>
      <c r="O4993" s="20"/>
      <c r="P4993" s="20"/>
    </row>
    <row r="4994">
      <c r="A4994" s="23"/>
      <c r="B4994" s="21"/>
      <c r="C4994" s="23"/>
      <c r="D4994" s="24"/>
      <c r="E4994" s="14"/>
      <c r="F4994" s="14"/>
      <c r="G4994" s="14"/>
      <c r="H4994" s="23"/>
      <c r="I4994" s="27"/>
      <c r="J4994" s="23"/>
      <c r="K4994" s="30"/>
      <c r="L4994" s="23"/>
      <c r="M4994" s="20"/>
      <c r="N4994" s="20"/>
      <c r="O4994" s="20"/>
      <c r="P4994" s="20"/>
    </row>
    <row r="4995">
      <c r="A4995" s="10"/>
      <c r="B4995" s="11"/>
      <c r="C4995" s="10"/>
      <c r="D4995" s="13"/>
      <c r="E4995" s="14"/>
      <c r="F4995" s="14"/>
      <c r="G4995" s="14"/>
      <c r="H4995" s="10"/>
      <c r="I4995" s="17"/>
      <c r="J4995" s="10"/>
      <c r="K4995" s="46"/>
      <c r="L4995" s="10"/>
      <c r="M4995" s="20"/>
      <c r="N4995" s="20"/>
      <c r="O4995" s="20"/>
      <c r="P4995" s="20"/>
    </row>
    <row r="4996">
      <c r="A4996" s="23"/>
      <c r="B4996" s="21"/>
      <c r="C4996" s="23"/>
      <c r="D4996" s="24"/>
      <c r="E4996" s="14"/>
      <c r="F4996" s="14"/>
      <c r="G4996" s="14"/>
      <c r="H4996" s="23"/>
      <c r="I4996" s="27"/>
      <c r="J4996" s="23"/>
      <c r="K4996" s="30"/>
      <c r="L4996" s="23"/>
      <c r="M4996" s="20"/>
      <c r="N4996" s="20"/>
      <c r="O4996" s="20"/>
      <c r="P4996" s="20"/>
    </row>
    <row r="4997">
      <c r="A4997" s="10"/>
      <c r="B4997" s="11"/>
      <c r="C4997" s="10"/>
      <c r="D4997" s="13"/>
      <c r="E4997" s="14"/>
      <c r="F4997" s="14"/>
      <c r="G4997" s="14"/>
      <c r="H4997" s="10"/>
      <c r="I4997" s="17"/>
      <c r="J4997" s="10"/>
      <c r="K4997" s="46"/>
      <c r="L4997" s="10"/>
      <c r="M4997" s="20"/>
      <c r="N4997" s="20"/>
      <c r="O4997" s="20"/>
      <c r="P4997" s="20"/>
    </row>
    <row r="4998">
      <c r="A4998" s="23"/>
      <c r="B4998" s="21"/>
      <c r="C4998" s="23"/>
      <c r="D4998" s="24"/>
      <c r="E4998" s="14"/>
      <c r="F4998" s="14"/>
      <c r="G4998" s="14"/>
      <c r="H4998" s="23"/>
      <c r="I4998" s="27"/>
      <c r="J4998" s="23"/>
      <c r="K4998" s="30"/>
      <c r="L4998" s="23"/>
      <c r="M4998" s="20"/>
      <c r="N4998" s="20"/>
      <c r="O4998" s="20"/>
      <c r="P4998" s="20"/>
    </row>
    <row r="4999">
      <c r="A4999" s="10"/>
      <c r="B4999" s="11"/>
      <c r="C4999" s="10"/>
      <c r="D4999" s="13"/>
      <c r="E4999" s="14"/>
      <c r="F4999" s="14"/>
      <c r="G4999" s="14"/>
      <c r="H4999" s="10"/>
      <c r="I4999" s="17"/>
      <c r="J4999" s="10"/>
      <c r="K4999" s="46"/>
      <c r="L4999" s="10"/>
      <c r="M4999" s="20"/>
      <c r="N4999" s="20"/>
      <c r="O4999" s="20"/>
      <c r="P4999" s="20"/>
    </row>
    <row r="5000">
      <c r="A5000" s="23"/>
      <c r="B5000" s="21"/>
      <c r="C5000" s="23"/>
      <c r="D5000" s="24"/>
      <c r="E5000" s="14"/>
      <c r="F5000" s="14"/>
      <c r="G5000" s="14"/>
      <c r="H5000" s="23"/>
      <c r="I5000" s="27"/>
      <c r="J5000" s="23"/>
      <c r="K5000" s="30"/>
      <c r="L5000" s="23"/>
      <c r="M5000" s="20"/>
      <c r="N5000" s="20"/>
      <c r="O5000" s="20"/>
      <c r="P5000" s="20"/>
    </row>
    <row r="5001">
      <c r="A5001" s="10"/>
      <c r="B5001" s="11"/>
      <c r="C5001" s="10"/>
      <c r="D5001" s="13"/>
      <c r="E5001" s="14"/>
      <c r="F5001" s="14"/>
      <c r="G5001" s="14"/>
      <c r="H5001" s="10"/>
      <c r="I5001" s="17"/>
      <c r="J5001" s="10"/>
      <c r="K5001" s="46"/>
      <c r="L5001" s="10"/>
      <c r="M5001" s="20"/>
      <c r="N5001" s="20"/>
      <c r="O5001" s="20"/>
      <c r="P5001" s="20"/>
    </row>
    <row r="5002">
      <c r="A5002" s="23"/>
      <c r="B5002" s="21"/>
      <c r="C5002" s="23"/>
      <c r="D5002" s="24"/>
      <c r="E5002" s="14"/>
      <c r="F5002" s="14"/>
      <c r="G5002" s="14"/>
      <c r="H5002" s="23"/>
      <c r="I5002" s="27"/>
      <c r="J5002" s="23"/>
      <c r="K5002" s="30"/>
      <c r="L5002" s="23"/>
      <c r="M5002" s="20"/>
      <c r="N5002" s="20"/>
      <c r="O5002" s="20"/>
      <c r="P5002" s="20"/>
    </row>
    <row r="5003">
      <c r="A5003" s="10"/>
      <c r="B5003" s="11"/>
      <c r="C5003" s="10"/>
      <c r="D5003" s="13"/>
      <c r="E5003" s="14"/>
      <c r="F5003" s="14"/>
      <c r="G5003" s="14"/>
      <c r="H5003" s="10"/>
      <c r="I5003" s="17"/>
      <c r="J5003" s="10"/>
      <c r="K5003" s="46"/>
      <c r="L5003" s="10"/>
      <c r="M5003" s="20"/>
      <c r="N5003" s="20"/>
      <c r="O5003" s="20"/>
      <c r="P5003" s="20"/>
    </row>
    <row r="5004">
      <c r="A5004" s="23"/>
      <c r="B5004" s="21"/>
      <c r="C5004" s="23"/>
      <c r="D5004" s="24"/>
      <c r="E5004" s="14"/>
      <c r="F5004" s="14"/>
      <c r="G5004" s="14"/>
      <c r="H5004" s="23"/>
      <c r="I5004" s="27"/>
      <c r="J5004" s="23"/>
      <c r="K5004" s="30"/>
      <c r="L5004" s="23"/>
      <c r="M5004" s="20"/>
      <c r="N5004" s="20"/>
      <c r="O5004" s="20"/>
      <c r="P5004" s="20"/>
    </row>
    <row r="5005">
      <c r="A5005" s="10"/>
      <c r="B5005" s="11"/>
      <c r="C5005" s="10"/>
      <c r="D5005" s="13"/>
      <c r="E5005" s="14"/>
      <c r="F5005" s="14"/>
      <c r="G5005" s="14"/>
      <c r="H5005" s="10"/>
      <c r="I5005" s="17"/>
      <c r="J5005" s="10"/>
      <c r="K5005" s="46"/>
      <c r="L5005" s="10"/>
      <c r="M5005" s="20"/>
      <c r="N5005" s="20"/>
      <c r="O5005" s="20"/>
      <c r="P5005" s="20"/>
    </row>
    <row r="5006">
      <c r="A5006" s="23"/>
      <c r="B5006" s="21"/>
      <c r="C5006" s="23"/>
      <c r="D5006" s="24"/>
      <c r="E5006" s="14"/>
      <c r="F5006" s="14"/>
      <c r="G5006" s="14"/>
      <c r="H5006" s="23"/>
      <c r="I5006" s="27"/>
      <c r="J5006" s="23"/>
      <c r="K5006" s="30"/>
      <c r="L5006" s="23"/>
      <c r="M5006" s="20"/>
      <c r="N5006" s="20"/>
      <c r="O5006" s="20"/>
      <c r="P5006" s="20"/>
    </row>
    <row r="5007">
      <c r="A5007" s="10"/>
      <c r="B5007" s="11"/>
      <c r="C5007" s="10"/>
      <c r="D5007" s="13"/>
      <c r="E5007" s="14"/>
      <c r="F5007" s="14"/>
      <c r="G5007" s="14"/>
      <c r="H5007" s="10"/>
      <c r="I5007" s="17"/>
      <c r="J5007" s="10"/>
      <c r="K5007" s="46"/>
      <c r="L5007" s="10"/>
      <c r="M5007" s="20"/>
      <c r="N5007" s="20"/>
      <c r="O5007" s="20"/>
      <c r="P5007" s="20"/>
    </row>
    <row r="5008">
      <c r="A5008" s="23"/>
      <c r="B5008" s="21"/>
      <c r="C5008" s="23"/>
      <c r="D5008" s="24"/>
      <c r="E5008" s="14"/>
      <c r="F5008" s="14"/>
      <c r="G5008" s="14"/>
      <c r="H5008" s="23"/>
      <c r="I5008" s="27"/>
      <c r="J5008" s="23"/>
      <c r="K5008" s="30"/>
      <c r="L5008" s="23"/>
      <c r="M5008" s="20"/>
      <c r="N5008" s="20"/>
      <c r="O5008" s="20"/>
      <c r="P5008" s="20"/>
    </row>
    <row r="5009">
      <c r="A5009" s="10"/>
      <c r="B5009" s="11"/>
      <c r="C5009" s="10"/>
      <c r="D5009" s="13"/>
      <c r="E5009" s="14"/>
      <c r="F5009" s="14"/>
      <c r="G5009" s="14"/>
      <c r="H5009" s="10"/>
      <c r="I5009" s="17"/>
      <c r="J5009" s="10"/>
      <c r="K5009" s="46"/>
      <c r="L5009" s="10"/>
      <c r="M5009" s="20"/>
      <c r="N5009" s="20"/>
      <c r="O5009" s="20"/>
      <c r="P5009" s="20"/>
    </row>
    <row r="5010">
      <c r="A5010" s="23"/>
      <c r="B5010" s="21"/>
      <c r="C5010" s="23"/>
      <c r="D5010" s="24"/>
      <c r="E5010" s="14"/>
      <c r="F5010" s="14"/>
      <c r="G5010" s="14"/>
      <c r="H5010" s="23"/>
      <c r="I5010" s="27"/>
      <c r="J5010" s="23"/>
      <c r="K5010" s="30"/>
      <c r="L5010" s="23"/>
      <c r="M5010" s="20"/>
      <c r="N5010" s="20"/>
      <c r="O5010" s="20"/>
      <c r="P5010" s="20"/>
    </row>
    <row r="5011">
      <c r="A5011" s="10"/>
      <c r="B5011" s="11"/>
      <c r="C5011" s="10"/>
      <c r="D5011" s="13"/>
      <c r="E5011" s="14"/>
      <c r="F5011" s="14"/>
      <c r="G5011" s="14"/>
      <c r="H5011" s="10"/>
      <c r="I5011" s="17"/>
      <c r="J5011" s="10"/>
      <c r="K5011" s="46"/>
      <c r="L5011" s="10"/>
      <c r="M5011" s="20"/>
      <c r="N5011" s="20"/>
      <c r="O5011" s="20"/>
      <c r="P5011" s="20"/>
    </row>
    <row r="5012">
      <c r="A5012" s="23"/>
      <c r="B5012" s="21"/>
      <c r="C5012" s="23"/>
      <c r="D5012" s="24"/>
      <c r="E5012" s="14"/>
      <c r="F5012" s="14"/>
      <c r="G5012" s="14"/>
      <c r="H5012" s="23"/>
      <c r="I5012" s="27"/>
      <c r="J5012" s="23"/>
      <c r="K5012" s="30"/>
      <c r="L5012" s="23"/>
      <c r="M5012" s="20"/>
      <c r="N5012" s="20"/>
      <c r="O5012" s="20"/>
      <c r="P5012" s="20"/>
    </row>
    <row r="5013">
      <c r="A5013" s="10"/>
      <c r="B5013" s="11"/>
      <c r="C5013" s="10"/>
      <c r="D5013" s="13"/>
      <c r="E5013" s="14"/>
      <c r="F5013" s="14"/>
      <c r="G5013" s="14"/>
      <c r="H5013" s="10"/>
      <c r="I5013" s="17"/>
      <c r="J5013" s="10"/>
      <c r="K5013" s="46"/>
      <c r="L5013" s="10"/>
      <c r="M5013" s="20"/>
      <c r="N5013" s="20"/>
      <c r="O5013" s="20"/>
      <c r="P5013" s="20"/>
    </row>
    <row r="5014">
      <c r="A5014" s="23"/>
      <c r="B5014" s="21"/>
      <c r="C5014" s="23"/>
      <c r="D5014" s="24"/>
      <c r="E5014" s="14"/>
      <c r="F5014" s="14"/>
      <c r="G5014" s="14"/>
      <c r="H5014" s="23"/>
      <c r="I5014" s="27"/>
      <c r="J5014" s="23"/>
      <c r="K5014" s="30"/>
      <c r="L5014" s="23"/>
      <c r="M5014" s="20"/>
      <c r="N5014" s="20"/>
      <c r="O5014" s="20"/>
      <c r="P5014" s="20"/>
    </row>
    <row r="5015">
      <c r="A5015" s="10"/>
      <c r="B5015" s="11"/>
      <c r="C5015" s="10"/>
      <c r="D5015" s="13"/>
      <c r="E5015" s="14"/>
      <c r="F5015" s="14"/>
      <c r="G5015" s="14"/>
      <c r="H5015" s="10"/>
      <c r="I5015" s="17"/>
      <c r="J5015" s="10"/>
      <c r="K5015" s="46"/>
      <c r="L5015" s="10"/>
      <c r="M5015" s="20"/>
      <c r="N5015" s="20"/>
      <c r="O5015" s="20"/>
      <c r="P5015" s="20"/>
    </row>
    <row r="5016">
      <c r="A5016" s="23"/>
      <c r="B5016" s="21"/>
      <c r="C5016" s="23"/>
      <c r="D5016" s="24"/>
      <c r="E5016" s="14"/>
      <c r="F5016" s="14"/>
      <c r="G5016" s="14"/>
      <c r="H5016" s="23"/>
      <c r="I5016" s="27"/>
      <c r="J5016" s="23"/>
      <c r="K5016" s="30"/>
      <c r="L5016" s="23"/>
      <c r="M5016" s="20"/>
      <c r="N5016" s="20"/>
      <c r="O5016" s="20"/>
      <c r="P5016" s="20"/>
    </row>
    <row r="5017">
      <c r="A5017" s="10"/>
      <c r="B5017" s="11"/>
      <c r="C5017" s="10"/>
      <c r="D5017" s="13"/>
      <c r="E5017" s="14"/>
      <c r="F5017" s="14"/>
      <c r="G5017" s="14"/>
      <c r="H5017" s="10"/>
      <c r="I5017" s="17"/>
      <c r="J5017" s="10"/>
      <c r="K5017" s="46"/>
      <c r="L5017" s="10"/>
      <c r="M5017" s="20"/>
      <c r="N5017" s="20"/>
      <c r="O5017" s="20"/>
      <c r="P5017" s="20"/>
    </row>
    <row r="5018">
      <c r="A5018" s="23"/>
      <c r="B5018" s="21"/>
      <c r="C5018" s="23"/>
      <c r="D5018" s="24"/>
      <c r="E5018" s="14"/>
      <c r="F5018" s="14"/>
      <c r="G5018" s="14"/>
      <c r="H5018" s="23"/>
      <c r="I5018" s="27"/>
      <c r="J5018" s="23"/>
      <c r="K5018" s="30"/>
      <c r="L5018" s="23"/>
      <c r="M5018" s="20"/>
      <c r="N5018" s="20"/>
      <c r="O5018" s="20"/>
      <c r="P5018" s="20"/>
    </row>
    <row r="5019">
      <c r="A5019" s="10"/>
      <c r="B5019" s="11"/>
      <c r="C5019" s="10"/>
      <c r="D5019" s="13"/>
      <c r="E5019" s="14"/>
      <c r="F5019" s="14"/>
      <c r="G5019" s="14"/>
      <c r="H5019" s="10"/>
      <c r="I5019" s="17"/>
      <c r="J5019" s="10"/>
      <c r="K5019" s="46"/>
      <c r="L5019" s="10"/>
      <c r="M5019" s="20"/>
      <c r="N5019" s="20"/>
      <c r="O5019" s="20"/>
      <c r="P5019" s="20"/>
    </row>
    <row r="5020">
      <c r="A5020" s="23"/>
      <c r="B5020" s="21"/>
      <c r="C5020" s="23"/>
      <c r="D5020" s="24"/>
      <c r="E5020" s="14"/>
      <c r="F5020" s="14"/>
      <c r="G5020" s="14"/>
      <c r="H5020" s="23"/>
      <c r="I5020" s="27"/>
      <c r="J5020" s="23"/>
      <c r="K5020" s="30"/>
      <c r="L5020" s="23"/>
      <c r="M5020" s="20"/>
      <c r="N5020" s="20"/>
      <c r="O5020" s="20"/>
      <c r="P5020" s="20"/>
    </row>
    <row r="5021">
      <c r="A5021" s="10"/>
      <c r="B5021" s="11"/>
      <c r="C5021" s="10"/>
      <c r="D5021" s="13"/>
      <c r="E5021" s="14"/>
      <c r="F5021" s="14"/>
      <c r="G5021" s="14"/>
      <c r="H5021" s="10"/>
      <c r="I5021" s="17"/>
      <c r="J5021" s="10"/>
      <c r="K5021" s="46"/>
      <c r="L5021" s="10"/>
      <c r="M5021" s="20"/>
      <c r="N5021" s="20"/>
      <c r="O5021" s="20"/>
      <c r="P5021" s="20"/>
    </row>
    <row r="5022">
      <c r="A5022" s="23"/>
      <c r="B5022" s="21"/>
      <c r="C5022" s="23"/>
      <c r="D5022" s="24"/>
      <c r="E5022" s="14"/>
      <c r="F5022" s="14"/>
      <c r="G5022" s="14"/>
      <c r="H5022" s="23"/>
      <c r="I5022" s="27"/>
      <c r="J5022" s="23"/>
      <c r="K5022" s="30"/>
      <c r="L5022" s="23"/>
      <c r="M5022" s="20"/>
      <c r="N5022" s="20"/>
      <c r="O5022" s="20"/>
      <c r="P5022" s="20"/>
    </row>
    <row r="5023">
      <c r="A5023" s="10"/>
      <c r="B5023" s="11"/>
      <c r="C5023" s="10"/>
      <c r="D5023" s="13"/>
      <c r="E5023" s="14"/>
      <c r="F5023" s="14"/>
      <c r="G5023" s="14"/>
      <c r="H5023" s="10"/>
      <c r="I5023" s="17"/>
      <c r="J5023" s="10"/>
      <c r="K5023" s="46"/>
      <c r="L5023" s="10"/>
      <c r="M5023" s="20"/>
      <c r="N5023" s="20"/>
      <c r="O5023" s="20"/>
      <c r="P5023" s="20"/>
    </row>
    <row r="5024">
      <c r="A5024" s="23"/>
      <c r="B5024" s="21"/>
      <c r="C5024" s="23"/>
      <c r="D5024" s="24"/>
      <c r="E5024" s="14"/>
      <c r="F5024" s="14"/>
      <c r="G5024" s="14"/>
      <c r="H5024" s="23"/>
      <c r="I5024" s="27"/>
      <c r="J5024" s="23"/>
      <c r="K5024" s="30"/>
      <c r="L5024" s="23"/>
      <c r="M5024" s="20"/>
      <c r="N5024" s="20"/>
      <c r="O5024" s="20"/>
      <c r="P5024" s="20"/>
    </row>
    <row r="5025">
      <c r="A5025" s="10"/>
      <c r="B5025" s="11"/>
      <c r="C5025" s="10"/>
      <c r="D5025" s="13"/>
      <c r="E5025" s="14"/>
      <c r="F5025" s="14"/>
      <c r="G5025" s="14"/>
      <c r="H5025" s="10"/>
      <c r="I5025" s="17"/>
      <c r="J5025" s="10"/>
      <c r="K5025" s="46"/>
      <c r="L5025" s="10"/>
      <c r="M5025" s="20"/>
      <c r="N5025" s="20"/>
      <c r="O5025" s="20"/>
      <c r="P5025" s="20"/>
    </row>
    <row r="5026">
      <c r="A5026" s="23"/>
      <c r="B5026" s="21"/>
      <c r="C5026" s="23"/>
      <c r="D5026" s="24"/>
      <c r="E5026" s="14"/>
      <c r="F5026" s="14"/>
      <c r="G5026" s="14"/>
      <c r="H5026" s="23"/>
      <c r="I5026" s="27"/>
      <c r="J5026" s="23"/>
      <c r="K5026" s="30"/>
      <c r="L5026" s="23"/>
      <c r="M5026" s="20"/>
      <c r="N5026" s="20"/>
      <c r="O5026" s="20"/>
      <c r="P5026" s="20"/>
    </row>
    <row r="5027">
      <c r="A5027" s="10"/>
      <c r="B5027" s="11"/>
      <c r="C5027" s="10"/>
      <c r="D5027" s="13"/>
      <c r="E5027" s="14"/>
      <c r="F5027" s="14"/>
      <c r="G5027" s="14"/>
      <c r="H5027" s="10"/>
      <c r="I5027" s="17"/>
      <c r="J5027" s="10"/>
      <c r="K5027" s="46"/>
      <c r="L5027" s="10"/>
      <c r="M5027" s="20"/>
      <c r="N5027" s="20"/>
      <c r="O5027" s="20"/>
      <c r="P5027" s="20"/>
    </row>
    <row r="5028">
      <c r="A5028" s="23"/>
      <c r="B5028" s="21"/>
      <c r="C5028" s="23"/>
      <c r="D5028" s="24"/>
      <c r="E5028" s="14"/>
      <c r="F5028" s="14"/>
      <c r="G5028" s="14"/>
      <c r="H5028" s="23"/>
      <c r="I5028" s="27"/>
      <c r="J5028" s="23"/>
      <c r="K5028" s="30"/>
      <c r="L5028" s="23"/>
      <c r="M5028" s="20"/>
      <c r="N5028" s="20"/>
      <c r="O5028" s="20"/>
      <c r="P5028" s="20"/>
    </row>
    <row r="5029">
      <c r="A5029" s="10"/>
      <c r="B5029" s="11"/>
      <c r="C5029" s="10"/>
      <c r="D5029" s="13"/>
      <c r="E5029" s="14"/>
      <c r="F5029" s="14"/>
      <c r="G5029" s="14"/>
      <c r="H5029" s="10"/>
      <c r="I5029" s="17"/>
      <c r="J5029" s="10"/>
      <c r="K5029" s="46"/>
      <c r="L5029" s="10"/>
      <c r="M5029" s="20"/>
      <c r="N5029" s="20"/>
      <c r="O5029" s="20"/>
      <c r="P5029" s="20"/>
    </row>
    <row r="5030">
      <c r="A5030" s="23"/>
      <c r="B5030" s="21"/>
      <c r="C5030" s="23"/>
      <c r="D5030" s="24"/>
      <c r="E5030" s="14"/>
      <c r="F5030" s="14"/>
      <c r="G5030" s="14"/>
      <c r="H5030" s="23"/>
      <c r="I5030" s="27"/>
      <c r="J5030" s="23"/>
      <c r="K5030" s="30"/>
      <c r="L5030" s="23"/>
      <c r="M5030" s="20"/>
      <c r="N5030" s="20"/>
      <c r="O5030" s="20"/>
      <c r="P5030" s="20"/>
    </row>
    <row r="5031">
      <c r="A5031" s="10"/>
      <c r="B5031" s="11"/>
      <c r="C5031" s="10"/>
      <c r="D5031" s="13"/>
      <c r="E5031" s="14"/>
      <c r="F5031" s="14"/>
      <c r="G5031" s="14"/>
      <c r="H5031" s="10"/>
      <c r="I5031" s="17"/>
      <c r="J5031" s="10"/>
      <c r="K5031" s="46"/>
      <c r="L5031" s="10"/>
      <c r="M5031" s="20"/>
      <c r="N5031" s="20"/>
      <c r="O5031" s="20"/>
      <c r="P5031" s="20"/>
    </row>
    <row r="5032">
      <c r="A5032" s="23"/>
      <c r="B5032" s="21"/>
      <c r="C5032" s="23"/>
      <c r="D5032" s="24"/>
      <c r="E5032" s="14"/>
      <c r="F5032" s="14"/>
      <c r="G5032" s="14"/>
      <c r="H5032" s="23"/>
      <c r="I5032" s="27"/>
      <c r="J5032" s="23"/>
      <c r="K5032" s="30"/>
      <c r="L5032" s="23"/>
      <c r="M5032" s="20"/>
      <c r="N5032" s="20"/>
      <c r="O5032" s="20"/>
      <c r="P5032" s="20"/>
    </row>
    <row r="5033">
      <c r="A5033" s="10"/>
      <c r="B5033" s="11"/>
      <c r="C5033" s="10"/>
      <c r="D5033" s="13"/>
      <c r="E5033" s="14"/>
      <c r="F5033" s="14"/>
      <c r="G5033" s="14"/>
      <c r="H5033" s="10"/>
      <c r="I5033" s="17"/>
      <c r="J5033" s="10"/>
      <c r="K5033" s="46"/>
      <c r="L5033" s="10"/>
      <c r="M5033" s="20"/>
      <c r="N5033" s="20"/>
      <c r="O5033" s="20"/>
      <c r="P5033" s="20"/>
    </row>
    <row r="5034">
      <c r="A5034" s="23"/>
      <c r="B5034" s="21"/>
      <c r="C5034" s="23"/>
      <c r="D5034" s="24"/>
      <c r="E5034" s="14"/>
      <c r="F5034" s="14"/>
      <c r="G5034" s="14"/>
      <c r="H5034" s="23"/>
      <c r="I5034" s="27"/>
      <c r="J5034" s="23"/>
      <c r="K5034" s="30"/>
      <c r="L5034" s="23"/>
      <c r="M5034" s="20"/>
      <c r="N5034" s="20"/>
      <c r="O5034" s="20"/>
      <c r="P5034" s="20"/>
    </row>
    <row r="5035">
      <c r="A5035" s="10"/>
      <c r="B5035" s="11"/>
      <c r="C5035" s="10"/>
      <c r="D5035" s="13"/>
      <c r="E5035" s="14"/>
      <c r="F5035" s="14"/>
      <c r="G5035" s="14"/>
      <c r="H5035" s="10"/>
      <c r="I5035" s="17"/>
      <c r="J5035" s="10"/>
      <c r="K5035" s="46"/>
      <c r="L5035" s="10"/>
      <c r="M5035" s="20"/>
      <c r="N5035" s="20"/>
      <c r="O5035" s="20"/>
      <c r="P5035" s="20"/>
    </row>
    <row r="5036">
      <c r="A5036" s="23"/>
      <c r="B5036" s="21"/>
      <c r="C5036" s="23"/>
      <c r="D5036" s="24"/>
      <c r="E5036" s="14"/>
      <c r="F5036" s="14"/>
      <c r="G5036" s="14"/>
      <c r="H5036" s="23"/>
      <c r="I5036" s="27"/>
      <c r="J5036" s="23"/>
      <c r="K5036" s="30"/>
      <c r="L5036" s="23"/>
      <c r="M5036" s="20"/>
      <c r="N5036" s="20"/>
      <c r="O5036" s="20"/>
      <c r="P5036" s="20"/>
    </row>
    <row r="5037">
      <c r="A5037" s="10"/>
      <c r="B5037" s="11"/>
      <c r="C5037" s="10"/>
      <c r="D5037" s="13"/>
      <c r="E5037" s="14"/>
      <c r="F5037" s="14"/>
      <c r="G5037" s="14"/>
      <c r="H5037" s="10"/>
      <c r="I5037" s="17"/>
      <c r="J5037" s="10"/>
      <c r="K5037" s="46"/>
      <c r="L5037" s="10"/>
      <c r="M5037" s="20"/>
      <c r="N5037" s="20"/>
      <c r="O5037" s="20"/>
      <c r="P5037" s="20"/>
    </row>
    <row r="5038">
      <c r="A5038" s="23"/>
      <c r="B5038" s="21"/>
      <c r="C5038" s="23"/>
      <c r="D5038" s="24"/>
      <c r="E5038" s="14"/>
      <c r="F5038" s="14"/>
      <c r="G5038" s="14"/>
      <c r="H5038" s="23"/>
      <c r="I5038" s="27"/>
      <c r="J5038" s="23"/>
      <c r="K5038" s="30"/>
      <c r="L5038" s="23"/>
      <c r="M5038" s="20"/>
      <c r="N5038" s="20"/>
      <c r="O5038" s="20"/>
      <c r="P5038" s="20"/>
    </row>
    <row r="5039">
      <c r="A5039" s="10"/>
      <c r="B5039" s="11"/>
      <c r="C5039" s="10"/>
      <c r="D5039" s="13"/>
      <c r="E5039" s="14"/>
      <c r="F5039" s="14"/>
      <c r="G5039" s="14"/>
      <c r="H5039" s="10"/>
      <c r="I5039" s="17"/>
      <c r="J5039" s="10"/>
      <c r="K5039" s="46"/>
      <c r="L5039" s="10"/>
      <c r="M5039" s="20"/>
      <c r="N5039" s="20"/>
      <c r="O5039" s="20"/>
      <c r="P5039" s="20"/>
    </row>
    <row r="5040">
      <c r="A5040" s="23"/>
      <c r="B5040" s="21"/>
      <c r="C5040" s="23"/>
      <c r="D5040" s="24"/>
      <c r="E5040" s="14"/>
      <c r="F5040" s="14"/>
      <c r="G5040" s="14"/>
      <c r="H5040" s="23"/>
      <c r="I5040" s="27"/>
      <c r="J5040" s="23"/>
      <c r="K5040" s="30"/>
      <c r="L5040" s="23"/>
      <c r="M5040" s="20"/>
      <c r="N5040" s="20"/>
      <c r="O5040" s="20"/>
      <c r="P5040" s="20"/>
    </row>
    <row r="5041">
      <c r="A5041" s="10"/>
      <c r="B5041" s="11"/>
      <c r="C5041" s="10"/>
      <c r="D5041" s="13"/>
      <c r="E5041" s="14"/>
      <c r="F5041" s="14"/>
      <c r="G5041" s="14"/>
      <c r="H5041" s="10"/>
      <c r="I5041" s="17"/>
      <c r="J5041" s="10"/>
      <c r="K5041" s="46"/>
      <c r="L5041" s="10"/>
      <c r="M5041" s="20"/>
      <c r="N5041" s="20"/>
      <c r="O5041" s="20"/>
      <c r="P5041" s="20"/>
    </row>
    <row r="5042">
      <c r="A5042" s="23"/>
      <c r="B5042" s="21"/>
      <c r="C5042" s="23"/>
      <c r="D5042" s="24"/>
      <c r="E5042" s="14"/>
      <c r="F5042" s="14"/>
      <c r="G5042" s="14"/>
      <c r="H5042" s="23"/>
      <c r="I5042" s="27"/>
      <c r="J5042" s="23"/>
      <c r="K5042" s="30"/>
      <c r="L5042" s="23"/>
      <c r="M5042" s="20"/>
      <c r="N5042" s="20"/>
      <c r="O5042" s="20"/>
      <c r="P5042" s="20"/>
    </row>
    <row r="5043">
      <c r="A5043" s="10"/>
      <c r="B5043" s="11"/>
      <c r="C5043" s="10"/>
      <c r="D5043" s="13"/>
      <c r="E5043" s="14"/>
      <c r="F5043" s="14"/>
      <c r="G5043" s="14"/>
      <c r="H5043" s="10"/>
      <c r="I5043" s="17"/>
      <c r="J5043" s="10"/>
      <c r="K5043" s="46"/>
      <c r="L5043" s="10"/>
      <c r="M5043" s="20"/>
      <c r="N5043" s="20"/>
      <c r="O5043" s="20"/>
      <c r="P5043" s="20"/>
    </row>
    <row r="5044">
      <c r="A5044" s="23"/>
      <c r="B5044" s="21"/>
      <c r="C5044" s="23"/>
      <c r="D5044" s="24"/>
      <c r="E5044" s="14"/>
      <c r="F5044" s="14"/>
      <c r="G5044" s="14"/>
      <c r="H5044" s="23"/>
      <c r="I5044" s="27"/>
      <c r="J5044" s="23"/>
      <c r="K5044" s="30"/>
      <c r="L5044" s="23"/>
      <c r="M5044" s="20"/>
      <c r="N5044" s="20"/>
      <c r="O5044" s="20"/>
      <c r="P5044" s="20"/>
    </row>
    <row r="5045">
      <c r="A5045" s="10"/>
      <c r="B5045" s="11"/>
      <c r="C5045" s="10"/>
      <c r="D5045" s="13"/>
      <c r="E5045" s="14"/>
      <c r="F5045" s="14"/>
      <c r="G5045" s="14"/>
      <c r="H5045" s="10"/>
      <c r="I5045" s="17"/>
      <c r="J5045" s="10"/>
      <c r="K5045" s="46"/>
      <c r="L5045" s="10"/>
      <c r="M5045" s="20"/>
      <c r="N5045" s="20"/>
      <c r="O5045" s="20"/>
      <c r="P5045" s="20"/>
    </row>
    <row r="5046">
      <c r="A5046" s="23"/>
      <c r="B5046" s="21"/>
      <c r="C5046" s="23"/>
      <c r="D5046" s="24"/>
      <c r="E5046" s="14"/>
      <c r="F5046" s="14"/>
      <c r="G5046" s="14"/>
      <c r="H5046" s="23"/>
      <c r="I5046" s="27"/>
      <c r="J5046" s="23"/>
      <c r="K5046" s="30"/>
      <c r="L5046" s="23"/>
      <c r="M5046" s="20"/>
      <c r="N5046" s="20"/>
      <c r="O5046" s="20"/>
      <c r="P5046" s="20"/>
    </row>
    <row r="5047">
      <c r="A5047" s="10"/>
      <c r="B5047" s="11"/>
      <c r="C5047" s="10"/>
      <c r="D5047" s="13"/>
      <c r="E5047" s="14"/>
      <c r="F5047" s="14"/>
      <c r="G5047" s="14"/>
      <c r="H5047" s="10"/>
      <c r="I5047" s="17"/>
      <c r="J5047" s="10"/>
      <c r="K5047" s="46"/>
      <c r="L5047" s="10"/>
      <c r="M5047" s="20"/>
      <c r="N5047" s="20"/>
      <c r="O5047" s="20"/>
      <c r="P5047" s="20"/>
    </row>
    <row r="5048">
      <c r="A5048" s="23"/>
      <c r="B5048" s="21"/>
      <c r="C5048" s="23"/>
      <c r="D5048" s="24"/>
      <c r="E5048" s="14"/>
      <c r="F5048" s="14"/>
      <c r="G5048" s="14"/>
      <c r="H5048" s="23"/>
      <c r="I5048" s="27"/>
      <c r="J5048" s="23"/>
      <c r="K5048" s="30"/>
      <c r="L5048" s="23"/>
      <c r="M5048" s="20"/>
      <c r="N5048" s="20"/>
      <c r="O5048" s="20"/>
      <c r="P5048" s="20"/>
    </row>
    <row r="5049">
      <c r="A5049" s="10"/>
      <c r="B5049" s="11"/>
      <c r="C5049" s="10"/>
      <c r="D5049" s="13"/>
      <c r="E5049" s="14"/>
      <c r="F5049" s="14"/>
      <c r="G5049" s="14"/>
      <c r="H5049" s="10"/>
      <c r="I5049" s="17"/>
      <c r="J5049" s="10"/>
      <c r="K5049" s="46"/>
      <c r="L5049" s="10"/>
      <c r="M5049" s="20"/>
      <c r="N5049" s="20"/>
      <c r="O5049" s="20"/>
      <c r="P5049" s="20"/>
    </row>
    <row r="5050">
      <c r="A5050" s="23"/>
      <c r="B5050" s="21"/>
      <c r="C5050" s="23"/>
      <c r="D5050" s="24"/>
      <c r="E5050" s="14"/>
      <c r="F5050" s="14"/>
      <c r="G5050" s="14"/>
      <c r="H5050" s="23"/>
      <c r="I5050" s="27"/>
      <c r="J5050" s="23"/>
      <c r="K5050" s="30"/>
      <c r="L5050" s="23"/>
      <c r="M5050" s="20"/>
      <c r="N5050" s="20"/>
      <c r="O5050" s="20"/>
      <c r="P5050" s="20"/>
    </row>
    <row r="5051">
      <c r="A5051" s="10"/>
      <c r="B5051" s="11"/>
      <c r="C5051" s="10"/>
      <c r="D5051" s="13"/>
      <c r="E5051" s="14"/>
      <c r="F5051" s="14"/>
      <c r="G5051" s="14"/>
      <c r="H5051" s="10"/>
      <c r="I5051" s="17"/>
      <c r="J5051" s="10"/>
      <c r="K5051" s="46"/>
      <c r="L5051" s="10"/>
      <c r="M5051" s="20"/>
      <c r="N5051" s="20"/>
      <c r="O5051" s="20"/>
      <c r="P5051" s="20"/>
    </row>
    <row r="5052">
      <c r="A5052" s="23"/>
      <c r="B5052" s="21"/>
      <c r="C5052" s="23"/>
      <c r="D5052" s="24"/>
      <c r="E5052" s="14"/>
      <c r="F5052" s="14"/>
      <c r="G5052" s="14"/>
      <c r="H5052" s="23"/>
      <c r="I5052" s="27"/>
      <c r="J5052" s="23"/>
      <c r="K5052" s="30"/>
      <c r="L5052" s="23"/>
      <c r="M5052" s="20"/>
      <c r="N5052" s="20"/>
      <c r="O5052" s="20"/>
      <c r="P5052" s="20"/>
    </row>
    <row r="5053">
      <c r="A5053" s="10"/>
      <c r="B5053" s="11"/>
      <c r="C5053" s="10"/>
      <c r="D5053" s="13"/>
      <c r="E5053" s="14"/>
      <c r="F5053" s="14"/>
      <c r="G5053" s="14"/>
      <c r="H5053" s="10"/>
      <c r="I5053" s="17"/>
      <c r="J5053" s="10"/>
      <c r="K5053" s="46"/>
      <c r="L5053" s="10"/>
      <c r="M5053" s="20"/>
      <c r="N5053" s="20"/>
      <c r="O5053" s="20"/>
      <c r="P5053" s="20"/>
    </row>
    <row r="5054">
      <c r="A5054" s="23"/>
      <c r="B5054" s="21"/>
      <c r="C5054" s="23"/>
      <c r="D5054" s="24"/>
      <c r="E5054" s="14"/>
      <c r="F5054" s="14"/>
      <c r="G5054" s="14"/>
      <c r="H5054" s="23"/>
      <c r="I5054" s="27"/>
      <c r="J5054" s="23"/>
      <c r="K5054" s="30"/>
      <c r="L5054" s="23"/>
      <c r="M5054" s="20"/>
      <c r="N5054" s="20"/>
      <c r="O5054" s="20"/>
      <c r="P5054" s="20"/>
    </row>
    <row r="5055">
      <c r="A5055" s="10"/>
      <c r="B5055" s="11"/>
      <c r="C5055" s="10"/>
      <c r="D5055" s="13"/>
      <c r="E5055" s="14"/>
      <c r="F5055" s="14"/>
      <c r="G5055" s="14"/>
      <c r="H5055" s="10"/>
      <c r="I5055" s="17"/>
      <c r="J5055" s="10"/>
      <c r="K5055" s="46"/>
      <c r="L5055" s="10"/>
      <c r="M5055" s="20"/>
      <c r="N5055" s="20"/>
      <c r="O5055" s="20"/>
      <c r="P5055" s="20"/>
    </row>
    <row r="5056">
      <c r="A5056" s="23"/>
      <c r="B5056" s="21"/>
      <c r="C5056" s="23"/>
      <c r="D5056" s="24"/>
      <c r="E5056" s="14"/>
      <c r="F5056" s="14"/>
      <c r="G5056" s="14"/>
      <c r="H5056" s="23"/>
      <c r="I5056" s="27"/>
      <c r="J5056" s="23"/>
      <c r="K5056" s="30"/>
      <c r="L5056" s="23"/>
      <c r="M5056" s="20"/>
      <c r="N5056" s="20"/>
      <c r="O5056" s="20"/>
      <c r="P5056" s="20"/>
    </row>
    <row r="5057">
      <c r="A5057" s="10"/>
      <c r="B5057" s="11"/>
      <c r="C5057" s="10"/>
      <c r="D5057" s="13"/>
      <c r="E5057" s="14"/>
      <c r="F5057" s="14"/>
      <c r="G5057" s="14"/>
      <c r="H5057" s="10"/>
      <c r="I5057" s="17"/>
      <c r="J5057" s="10"/>
      <c r="K5057" s="46"/>
      <c r="L5057" s="10"/>
      <c r="M5057" s="20"/>
      <c r="N5057" s="20"/>
      <c r="O5057" s="20"/>
      <c r="P5057" s="20"/>
    </row>
    <row r="5058">
      <c r="A5058" s="23"/>
      <c r="B5058" s="21"/>
      <c r="C5058" s="23"/>
      <c r="D5058" s="24"/>
      <c r="E5058" s="14"/>
      <c r="F5058" s="14"/>
      <c r="G5058" s="14"/>
      <c r="H5058" s="23"/>
      <c r="I5058" s="27"/>
      <c r="J5058" s="23"/>
      <c r="K5058" s="30"/>
      <c r="L5058" s="23"/>
      <c r="M5058" s="20"/>
      <c r="N5058" s="20"/>
      <c r="O5058" s="20"/>
      <c r="P5058" s="20"/>
    </row>
    <row r="5059">
      <c r="A5059" s="10"/>
      <c r="B5059" s="11"/>
      <c r="C5059" s="10"/>
      <c r="D5059" s="13"/>
      <c r="E5059" s="14"/>
      <c r="F5059" s="14"/>
      <c r="G5059" s="14"/>
      <c r="H5059" s="10"/>
      <c r="I5059" s="17"/>
      <c r="J5059" s="10"/>
      <c r="K5059" s="46"/>
      <c r="L5059" s="10"/>
      <c r="M5059" s="20"/>
      <c r="N5059" s="20"/>
      <c r="O5059" s="20"/>
      <c r="P5059" s="20"/>
    </row>
    <row r="5060">
      <c r="A5060" s="23"/>
      <c r="B5060" s="21"/>
      <c r="C5060" s="23"/>
      <c r="D5060" s="24"/>
      <c r="E5060" s="14"/>
      <c r="F5060" s="14"/>
      <c r="G5060" s="14"/>
      <c r="H5060" s="23"/>
      <c r="I5060" s="27"/>
      <c r="J5060" s="23"/>
      <c r="K5060" s="30"/>
      <c r="L5060" s="23"/>
      <c r="M5060" s="20"/>
      <c r="N5060" s="20"/>
      <c r="O5060" s="20"/>
      <c r="P5060" s="20"/>
    </row>
    <row r="5061">
      <c r="A5061" s="10"/>
      <c r="B5061" s="11"/>
      <c r="C5061" s="10"/>
      <c r="D5061" s="13"/>
      <c r="E5061" s="14"/>
      <c r="F5061" s="14"/>
      <c r="G5061" s="14"/>
      <c r="H5061" s="10"/>
      <c r="I5061" s="17"/>
      <c r="J5061" s="10"/>
      <c r="K5061" s="46"/>
      <c r="L5061" s="10"/>
      <c r="M5061" s="20"/>
      <c r="N5061" s="20"/>
      <c r="O5061" s="20"/>
      <c r="P5061" s="20"/>
    </row>
    <row r="5062">
      <c r="A5062" s="23"/>
      <c r="B5062" s="21"/>
      <c r="C5062" s="23"/>
      <c r="D5062" s="24"/>
      <c r="E5062" s="14"/>
      <c r="F5062" s="14"/>
      <c r="G5062" s="14"/>
      <c r="H5062" s="23"/>
      <c r="I5062" s="27"/>
      <c r="J5062" s="23"/>
      <c r="K5062" s="30"/>
      <c r="L5062" s="23"/>
      <c r="M5062" s="20"/>
      <c r="N5062" s="20"/>
      <c r="O5062" s="20"/>
      <c r="P5062" s="20"/>
    </row>
    <row r="5063">
      <c r="A5063" s="10"/>
      <c r="B5063" s="11"/>
      <c r="C5063" s="10"/>
      <c r="D5063" s="13"/>
      <c r="E5063" s="14"/>
      <c r="F5063" s="14"/>
      <c r="G5063" s="14"/>
      <c r="H5063" s="10"/>
      <c r="I5063" s="17"/>
      <c r="J5063" s="10"/>
      <c r="K5063" s="46"/>
      <c r="L5063" s="10"/>
      <c r="M5063" s="20"/>
      <c r="N5063" s="20"/>
      <c r="O5063" s="20"/>
      <c r="P5063" s="20"/>
    </row>
    <row r="5064">
      <c r="A5064" s="23"/>
      <c r="B5064" s="21"/>
      <c r="C5064" s="23"/>
      <c r="D5064" s="24"/>
      <c r="E5064" s="14"/>
      <c r="F5064" s="14"/>
      <c r="G5064" s="14"/>
      <c r="H5064" s="23"/>
      <c r="I5064" s="27"/>
      <c r="J5064" s="23"/>
      <c r="K5064" s="30"/>
      <c r="L5064" s="23"/>
      <c r="M5064" s="20"/>
      <c r="N5064" s="20"/>
      <c r="O5064" s="20"/>
      <c r="P5064" s="20"/>
    </row>
    <row r="5065">
      <c r="A5065" s="10"/>
      <c r="B5065" s="11"/>
      <c r="C5065" s="10"/>
      <c r="D5065" s="13"/>
      <c r="E5065" s="14"/>
      <c r="F5065" s="14"/>
      <c r="G5065" s="14"/>
      <c r="H5065" s="10"/>
      <c r="I5065" s="17"/>
      <c r="J5065" s="10"/>
      <c r="K5065" s="46"/>
      <c r="L5065" s="10"/>
      <c r="M5065" s="20"/>
      <c r="N5065" s="20"/>
      <c r="O5065" s="20"/>
      <c r="P5065" s="20"/>
    </row>
    <row r="5066">
      <c r="A5066" s="23"/>
      <c r="B5066" s="21"/>
      <c r="C5066" s="23"/>
      <c r="D5066" s="24"/>
      <c r="E5066" s="14"/>
      <c r="F5066" s="14"/>
      <c r="G5066" s="14"/>
      <c r="H5066" s="23"/>
      <c r="I5066" s="27"/>
      <c r="J5066" s="23"/>
      <c r="K5066" s="30"/>
      <c r="L5066" s="23"/>
      <c r="M5066" s="20"/>
      <c r="N5066" s="20"/>
      <c r="O5066" s="20"/>
      <c r="P5066" s="20"/>
    </row>
    <row r="5067">
      <c r="A5067" s="10"/>
      <c r="B5067" s="11"/>
      <c r="C5067" s="10"/>
      <c r="D5067" s="13"/>
      <c r="E5067" s="14"/>
      <c r="F5067" s="14"/>
      <c r="G5067" s="14"/>
      <c r="H5067" s="10"/>
      <c r="I5067" s="17"/>
      <c r="J5067" s="10"/>
      <c r="K5067" s="46"/>
      <c r="L5067" s="10"/>
      <c r="M5067" s="20"/>
      <c r="N5067" s="20"/>
      <c r="O5067" s="20"/>
      <c r="P5067" s="20"/>
    </row>
    <row r="5068">
      <c r="A5068" s="23"/>
      <c r="B5068" s="21"/>
      <c r="C5068" s="23"/>
      <c r="D5068" s="24"/>
      <c r="E5068" s="14"/>
      <c r="F5068" s="14"/>
      <c r="G5068" s="14"/>
      <c r="H5068" s="23"/>
      <c r="I5068" s="27"/>
      <c r="J5068" s="23"/>
      <c r="K5068" s="30"/>
      <c r="L5068" s="23"/>
      <c r="M5068" s="20"/>
      <c r="N5068" s="20"/>
      <c r="O5068" s="20"/>
      <c r="P5068" s="20"/>
    </row>
    <row r="5069">
      <c r="A5069" s="10"/>
      <c r="B5069" s="11"/>
      <c r="C5069" s="10"/>
      <c r="D5069" s="13"/>
      <c r="E5069" s="14"/>
      <c r="F5069" s="14"/>
      <c r="G5069" s="14"/>
      <c r="H5069" s="10"/>
      <c r="I5069" s="17"/>
      <c r="J5069" s="10"/>
      <c r="K5069" s="46"/>
      <c r="L5069" s="10"/>
      <c r="M5069" s="20"/>
      <c r="N5069" s="20"/>
      <c r="O5069" s="20"/>
      <c r="P5069" s="20"/>
    </row>
    <row r="5070">
      <c r="A5070" s="23"/>
      <c r="B5070" s="21"/>
      <c r="C5070" s="23"/>
      <c r="D5070" s="24"/>
      <c r="E5070" s="14"/>
      <c r="F5070" s="14"/>
      <c r="G5070" s="14"/>
      <c r="H5070" s="23"/>
      <c r="I5070" s="27"/>
      <c r="J5070" s="23"/>
      <c r="K5070" s="30"/>
      <c r="L5070" s="23"/>
      <c r="M5070" s="20"/>
      <c r="N5070" s="20"/>
      <c r="O5070" s="20"/>
      <c r="P5070" s="20"/>
    </row>
    <row r="5071">
      <c r="A5071" s="10"/>
      <c r="B5071" s="11"/>
      <c r="C5071" s="10"/>
      <c r="D5071" s="13"/>
      <c r="E5071" s="14"/>
      <c r="F5071" s="14"/>
      <c r="G5071" s="14"/>
      <c r="H5071" s="10"/>
      <c r="I5071" s="17"/>
      <c r="J5071" s="10"/>
      <c r="K5071" s="46"/>
      <c r="L5071" s="10"/>
      <c r="M5071" s="20"/>
      <c r="N5071" s="20"/>
      <c r="O5071" s="20"/>
      <c r="P5071" s="20"/>
    </row>
    <row r="5072">
      <c r="A5072" s="23"/>
      <c r="B5072" s="21"/>
      <c r="C5072" s="23"/>
      <c r="D5072" s="24"/>
      <c r="E5072" s="14"/>
      <c r="F5072" s="14"/>
      <c r="G5072" s="14"/>
      <c r="H5072" s="23"/>
      <c r="I5072" s="27"/>
      <c r="J5072" s="23"/>
      <c r="K5072" s="30"/>
      <c r="L5072" s="23"/>
      <c r="M5072" s="20"/>
      <c r="N5072" s="20"/>
      <c r="O5072" s="20"/>
      <c r="P5072" s="20"/>
    </row>
    <row r="5073">
      <c r="A5073" s="10"/>
      <c r="B5073" s="11"/>
      <c r="C5073" s="10"/>
      <c r="D5073" s="13"/>
      <c r="E5073" s="14"/>
      <c r="F5073" s="14"/>
      <c r="G5073" s="14"/>
      <c r="H5073" s="10"/>
      <c r="I5073" s="17"/>
      <c r="J5073" s="10"/>
      <c r="K5073" s="46"/>
      <c r="L5073" s="10"/>
      <c r="M5073" s="20"/>
      <c r="N5073" s="20"/>
      <c r="O5073" s="20"/>
      <c r="P5073" s="20"/>
    </row>
    <row r="5074">
      <c r="A5074" s="23"/>
      <c r="B5074" s="21"/>
      <c r="C5074" s="23"/>
      <c r="D5074" s="24"/>
      <c r="E5074" s="14"/>
      <c r="F5074" s="14"/>
      <c r="G5074" s="14"/>
      <c r="H5074" s="23"/>
      <c r="I5074" s="27"/>
      <c r="J5074" s="23"/>
      <c r="K5074" s="30"/>
      <c r="L5074" s="23"/>
      <c r="M5074" s="20"/>
      <c r="N5074" s="20"/>
      <c r="O5074" s="20"/>
      <c r="P5074" s="20"/>
    </row>
    <row r="5075">
      <c r="A5075" s="10"/>
      <c r="B5075" s="11"/>
      <c r="C5075" s="10"/>
      <c r="D5075" s="13"/>
      <c r="E5075" s="14"/>
      <c r="F5075" s="14"/>
      <c r="G5075" s="14"/>
      <c r="H5075" s="10"/>
      <c r="I5075" s="17"/>
      <c r="J5075" s="10"/>
      <c r="K5075" s="46"/>
      <c r="L5075" s="10"/>
      <c r="M5075" s="20"/>
      <c r="N5075" s="20"/>
      <c r="O5075" s="20"/>
      <c r="P5075" s="20"/>
    </row>
    <row r="5076">
      <c r="A5076" s="23"/>
      <c r="B5076" s="21"/>
      <c r="C5076" s="23"/>
      <c r="D5076" s="24"/>
      <c r="E5076" s="14"/>
      <c r="F5076" s="14"/>
      <c r="G5076" s="14"/>
      <c r="H5076" s="23"/>
      <c r="I5076" s="27"/>
      <c r="J5076" s="23"/>
      <c r="K5076" s="30"/>
      <c r="L5076" s="23"/>
      <c r="M5076" s="20"/>
      <c r="N5076" s="20"/>
      <c r="O5076" s="20"/>
      <c r="P5076" s="20"/>
    </row>
    <row r="5077">
      <c r="A5077" s="10"/>
      <c r="B5077" s="11"/>
      <c r="C5077" s="10"/>
      <c r="D5077" s="13"/>
      <c r="E5077" s="14"/>
      <c r="F5077" s="14"/>
      <c r="G5077" s="14"/>
      <c r="H5077" s="10"/>
      <c r="I5077" s="17"/>
      <c r="J5077" s="10"/>
      <c r="K5077" s="46"/>
      <c r="L5077" s="10"/>
      <c r="M5077" s="20"/>
      <c r="N5077" s="20"/>
      <c r="O5077" s="20"/>
      <c r="P5077" s="20"/>
    </row>
    <row r="5078">
      <c r="A5078" s="23"/>
      <c r="B5078" s="21"/>
      <c r="C5078" s="23"/>
      <c r="D5078" s="24"/>
      <c r="E5078" s="14"/>
      <c r="F5078" s="14"/>
      <c r="G5078" s="14"/>
      <c r="H5078" s="23"/>
      <c r="I5078" s="27"/>
      <c r="J5078" s="23"/>
      <c r="K5078" s="30"/>
      <c r="L5078" s="23"/>
      <c r="M5078" s="20"/>
      <c r="N5078" s="20"/>
      <c r="O5078" s="20"/>
      <c r="P5078" s="20"/>
    </row>
    <row r="5079">
      <c r="A5079" s="10"/>
      <c r="B5079" s="11"/>
      <c r="C5079" s="10"/>
      <c r="D5079" s="13"/>
      <c r="E5079" s="14"/>
      <c r="F5079" s="14"/>
      <c r="G5079" s="14"/>
      <c r="H5079" s="10"/>
      <c r="I5079" s="17"/>
      <c r="J5079" s="10"/>
      <c r="K5079" s="46"/>
      <c r="L5079" s="10"/>
      <c r="M5079" s="20"/>
      <c r="N5079" s="20"/>
      <c r="O5079" s="20"/>
      <c r="P5079" s="20"/>
    </row>
    <row r="5080">
      <c r="A5080" s="23"/>
      <c r="B5080" s="21"/>
      <c r="C5080" s="23"/>
      <c r="D5080" s="24"/>
      <c r="E5080" s="14"/>
      <c r="F5080" s="14"/>
      <c r="G5080" s="14"/>
      <c r="H5080" s="23"/>
      <c r="I5080" s="27"/>
      <c r="J5080" s="23"/>
      <c r="K5080" s="30"/>
      <c r="L5080" s="23"/>
      <c r="M5080" s="20"/>
      <c r="N5080" s="20"/>
      <c r="O5080" s="20"/>
      <c r="P5080" s="20"/>
    </row>
    <row r="5081">
      <c r="A5081" s="10"/>
      <c r="B5081" s="11"/>
      <c r="C5081" s="10"/>
      <c r="D5081" s="13"/>
      <c r="E5081" s="14"/>
      <c r="F5081" s="14"/>
      <c r="G5081" s="14"/>
      <c r="H5081" s="10"/>
      <c r="I5081" s="17"/>
      <c r="J5081" s="10"/>
      <c r="K5081" s="46"/>
      <c r="L5081" s="10"/>
      <c r="M5081" s="20"/>
      <c r="N5081" s="20"/>
      <c r="O5081" s="20"/>
      <c r="P5081" s="20"/>
    </row>
    <row r="5082">
      <c r="A5082" s="23"/>
      <c r="B5082" s="21"/>
      <c r="C5082" s="23"/>
      <c r="D5082" s="24"/>
      <c r="E5082" s="14"/>
      <c r="F5082" s="14"/>
      <c r="G5082" s="14"/>
      <c r="H5082" s="23"/>
      <c r="I5082" s="27"/>
      <c r="J5082" s="23"/>
      <c r="K5082" s="30"/>
      <c r="L5082" s="23"/>
      <c r="M5082" s="20"/>
      <c r="N5082" s="20"/>
      <c r="O5082" s="20"/>
      <c r="P5082" s="20"/>
    </row>
    <row r="5083">
      <c r="A5083" s="10"/>
      <c r="B5083" s="11"/>
      <c r="C5083" s="10"/>
      <c r="D5083" s="13"/>
      <c r="E5083" s="14"/>
      <c r="F5083" s="14"/>
      <c r="G5083" s="14"/>
      <c r="H5083" s="10"/>
      <c r="I5083" s="17"/>
      <c r="J5083" s="10"/>
      <c r="K5083" s="46"/>
      <c r="L5083" s="10"/>
      <c r="M5083" s="20"/>
      <c r="N5083" s="20"/>
      <c r="O5083" s="20"/>
      <c r="P5083" s="20"/>
    </row>
    <row r="5084">
      <c r="A5084" s="23"/>
      <c r="B5084" s="21"/>
      <c r="C5084" s="23"/>
      <c r="D5084" s="24"/>
      <c r="E5084" s="14"/>
      <c r="F5084" s="14"/>
      <c r="G5084" s="14"/>
      <c r="H5084" s="23"/>
      <c r="I5084" s="27"/>
      <c r="J5084" s="23"/>
      <c r="K5084" s="30"/>
      <c r="L5084" s="23"/>
      <c r="M5084" s="20"/>
      <c r="N5084" s="20"/>
      <c r="O5084" s="20"/>
      <c r="P5084" s="20"/>
    </row>
    <row r="5085">
      <c r="A5085" s="10"/>
      <c r="B5085" s="11"/>
      <c r="C5085" s="10"/>
      <c r="D5085" s="13"/>
      <c r="E5085" s="14"/>
      <c r="F5085" s="14"/>
      <c r="G5085" s="14"/>
      <c r="H5085" s="10"/>
      <c r="I5085" s="17"/>
      <c r="J5085" s="10"/>
      <c r="K5085" s="46"/>
      <c r="L5085" s="10"/>
      <c r="M5085" s="20"/>
      <c r="N5085" s="20"/>
      <c r="O5085" s="20"/>
      <c r="P5085" s="20"/>
    </row>
    <row r="5086">
      <c r="A5086" s="23"/>
      <c r="B5086" s="21"/>
      <c r="C5086" s="23"/>
      <c r="D5086" s="24"/>
      <c r="E5086" s="14"/>
      <c r="F5086" s="14"/>
      <c r="G5086" s="14"/>
      <c r="H5086" s="23"/>
      <c r="I5086" s="27"/>
      <c r="J5086" s="23"/>
      <c r="K5086" s="30"/>
      <c r="L5086" s="23"/>
      <c r="M5086" s="20"/>
      <c r="N5086" s="20"/>
      <c r="O5086" s="20"/>
      <c r="P5086" s="20"/>
    </row>
    <row r="5087">
      <c r="A5087" s="10"/>
      <c r="B5087" s="11"/>
      <c r="C5087" s="10"/>
      <c r="D5087" s="13"/>
      <c r="E5087" s="14"/>
      <c r="F5087" s="14"/>
      <c r="G5087" s="14"/>
      <c r="H5087" s="10"/>
      <c r="I5087" s="17"/>
      <c r="J5087" s="10"/>
      <c r="K5087" s="46"/>
      <c r="L5087" s="10"/>
      <c r="M5087" s="20"/>
      <c r="N5087" s="20"/>
      <c r="O5087" s="20"/>
      <c r="P5087" s="20"/>
    </row>
    <row r="5088">
      <c r="A5088" s="23"/>
      <c r="B5088" s="21"/>
      <c r="C5088" s="23"/>
      <c r="D5088" s="24"/>
      <c r="E5088" s="14"/>
      <c r="F5088" s="14"/>
      <c r="G5088" s="14"/>
      <c r="H5088" s="23"/>
      <c r="I5088" s="27"/>
      <c r="J5088" s="23"/>
      <c r="K5088" s="30"/>
      <c r="L5088" s="23"/>
      <c r="M5088" s="20"/>
      <c r="N5088" s="20"/>
      <c r="O5088" s="20"/>
      <c r="P5088" s="20"/>
    </row>
    <row r="5089">
      <c r="A5089" s="10"/>
      <c r="B5089" s="11"/>
      <c r="C5089" s="10"/>
      <c r="D5089" s="13"/>
      <c r="E5089" s="14"/>
      <c r="F5089" s="14"/>
      <c r="G5089" s="14"/>
      <c r="H5089" s="10"/>
      <c r="I5089" s="17"/>
      <c r="J5089" s="10"/>
      <c r="K5089" s="46"/>
      <c r="L5089" s="10"/>
      <c r="M5089" s="20"/>
      <c r="N5089" s="20"/>
      <c r="O5089" s="20"/>
      <c r="P5089" s="20"/>
    </row>
    <row r="5090">
      <c r="A5090" s="23"/>
      <c r="B5090" s="21"/>
      <c r="C5090" s="23"/>
      <c r="D5090" s="24"/>
      <c r="E5090" s="14"/>
      <c r="F5090" s="14"/>
      <c r="G5090" s="14"/>
      <c r="H5090" s="23"/>
      <c r="I5090" s="27"/>
      <c r="J5090" s="23"/>
      <c r="K5090" s="30"/>
      <c r="L5090" s="23"/>
      <c r="M5090" s="20"/>
      <c r="N5090" s="20"/>
      <c r="O5090" s="20"/>
      <c r="P5090" s="20"/>
    </row>
    <row r="5091">
      <c r="A5091" s="10"/>
      <c r="B5091" s="11"/>
      <c r="C5091" s="10"/>
      <c r="D5091" s="13"/>
      <c r="E5091" s="14"/>
      <c r="F5091" s="14"/>
      <c r="G5091" s="14"/>
      <c r="H5091" s="10"/>
      <c r="I5091" s="17"/>
      <c r="J5091" s="10"/>
      <c r="K5091" s="46"/>
      <c r="L5091" s="10"/>
      <c r="M5091" s="20"/>
      <c r="N5091" s="20"/>
      <c r="O5091" s="20"/>
      <c r="P5091" s="20"/>
    </row>
    <row r="5092">
      <c r="A5092" s="23"/>
      <c r="B5092" s="21"/>
      <c r="C5092" s="23"/>
      <c r="D5092" s="24"/>
      <c r="E5092" s="14"/>
      <c r="F5092" s="14"/>
      <c r="G5092" s="14"/>
      <c r="H5092" s="23"/>
      <c r="I5092" s="27"/>
      <c r="J5092" s="23"/>
      <c r="K5092" s="30"/>
      <c r="L5092" s="23"/>
      <c r="M5092" s="20"/>
      <c r="N5092" s="20"/>
      <c r="O5092" s="20"/>
      <c r="P5092" s="20"/>
    </row>
    <row r="5093">
      <c r="A5093" s="10"/>
      <c r="B5093" s="11"/>
      <c r="C5093" s="10"/>
      <c r="D5093" s="13"/>
      <c r="E5093" s="14"/>
      <c r="F5093" s="14"/>
      <c r="G5093" s="14"/>
      <c r="H5093" s="10"/>
      <c r="I5093" s="17"/>
      <c r="J5093" s="10"/>
      <c r="K5093" s="46"/>
      <c r="L5093" s="10"/>
      <c r="M5093" s="20"/>
      <c r="N5093" s="20"/>
      <c r="O5093" s="20"/>
      <c r="P5093" s="20"/>
    </row>
    <row r="5094">
      <c r="A5094" s="23"/>
      <c r="B5094" s="21"/>
      <c r="C5094" s="23"/>
      <c r="D5094" s="24"/>
      <c r="E5094" s="14"/>
      <c r="F5094" s="14"/>
      <c r="G5094" s="14"/>
      <c r="H5094" s="23"/>
      <c r="I5094" s="27"/>
      <c r="J5094" s="23"/>
      <c r="K5094" s="30"/>
      <c r="L5094" s="23"/>
      <c r="M5094" s="20"/>
      <c r="N5094" s="20"/>
      <c r="O5094" s="20"/>
      <c r="P5094" s="20"/>
    </row>
    <row r="5095">
      <c r="A5095" s="10"/>
      <c r="B5095" s="11"/>
      <c r="C5095" s="10"/>
      <c r="D5095" s="13"/>
      <c r="E5095" s="14"/>
      <c r="F5095" s="14"/>
      <c r="G5095" s="14"/>
      <c r="H5095" s="10"/>
      <c r="I5095" s="17"/>
      <c r="J5095" s="10"/>
      <c r="K5095" s="46"/>
      <c r="L5095" s="10"/>
      <c r="M5095" s="20"/>
      <c r="N5095" s="20"/>
      <c r="O5095" s="20"/>
      <c r="P5095" s="20"/>
    </row>
    <row r="5096">
      <c r="A5096" s="23"/>
      <c r="B5096" s="21"/>
      <c r="C5096" s="23"/>
      <c r="D5096" s="24"/>
      <c r="E5096" s="14"/>
      <c r="F5096" s="14"/>
      <c r="G5096" s="14"/>
      <c r="H5096" s="23"/>
      <c r="I5096" s="27"/>
      <c r="J5096" s="23"/>
      <c r="K5096" s="30"/>
      <c r="L5096" s="23"/>
      <c r="M5096" s="20"/>
      <c r="N5096" s="20"/>
      <c r="O5096" s="20"/>
      <c r="P5096" s="20"/>
    </row>
    <row r="5097">
      <c r="A5097" s="10"/>
      <c r="B5097" s="11"/>
      <c r="C5097" s="10"/>
      <c r="D5097" s="13"/>
      <c r="E5097" s="14"/>
      <c r="F5097" s="14"/>
      <c r="G5097" s="14"/>
      <c r="H5097" s="10"/>
      <c r="I5097" s="17"/>
      <c r="J5097" s="10"/>
      <c r="K5097" s="46"/>
      <c r="L5097" s="10"/>
      <c r="M5097" s="20"/>
      <c r="N5097" s="20"/>
      <c r="O5097" s="20"/>
      <c r="P5097" s="20"/>
    </row>
    <row r="5098">
      <c r="A5098" s="23"/>
      <c r="B5098" s="21"/>
      <c r="C5098" s="23"/>
      <c r="D5098" s="24"/>
      <c r="E5098" s="14"/>
      <c r="F5098" s="14"/>
      <c r="G5098" s="14"/>
      <c r="H5098" s="23"/>
      <c r="I5098" s="27"/>
      <c r="J5098" s="23"/>
      <c r="K5098" s="30"/>
      <c r="L5098" s="23"/>
      <c r="M5098" s="20"/>
      <c r="N5098" s="20"/>
      <c r="O5098" s="20"/>
      <c r="P5098" s="20"/>
    </row>
    <row r="5099">
      <c r="A5099" s="10"/>
      <c r="B5099" s="11"/>
      <c r="C5099" s="10"/>
      <c r="D5099" s="13"/>
      <c r="E5099" s="14"/>
      <c r="F5099" s="14"/>
      <c r="G5099" s="14"/>
      <c r="H5099" s="10"/>
      <c r="I5099" s="17"/>
      <c r="J5099" s="10"/>
      <c r="K5099" s="46"/>
      <c r="L5099" s="10"/>
      <c r="M5099" s="20"/>
      <c r="N5099" s="20"/>
      <c r="O5099" s="20"/>
      <c r="P5099" s="20"/>
    </row>
    <row r="5100">
      <c r="A5100" s="23"/>
      <c r="B5100" s="21"/>
      <c r="C5100" s="23"/>
      <c r="D5100" s="24"/>
      <c r="E5100" s="14"/>
      <c r="F5100" s="14"/>
      <c r="G5100" s="14"/>
      <c r="H5100" s="23"/>
      <c r="I5100" s="27"/>
      <c r="J5100" s="23"/>
      <c r="K5100" s="30"/>
      <c r="L5100" s="23"/>
      <c r="M5100" s="20"/>
      <c r="N5100" s="20"/>
      <c r="O5100" s="20"/>
      <c r="P5100" s="20"/>
    </row>
    <row r="5101">
      <c r="A5101" s="10"/>
      <c r="B5101" s="11"/>
      <c r="C5101" s="10"/>
      <c r="D5101" s="13"/>
      <c r="E5101" s="14"/>
      <c r="F5101" s="14"/>
      <c r="G5101" s="14"/>
      <c r="H5101" s="10"/>
      <c r="I5101" s="17"/>
      <c r="J5101" s="10"/>
      <c r="K5101" s="46"/>
      <c r="L5101" s="10"/>
      <c r="M5101" s="20"/>
      <c r="N5101" s="20"/>
      <c r="O5101" s="20"/>
      <c r="P5101" s="20"/>
    </row>
    <row r="5102">
      <c r="A5102" s="23"/>
      <c r="B5102" s="21"/>
      <c r="C5102" s="23"/>
      <c r="D5102" s="24"/>
      <c r="E5102" s="14"/>
      <c r="F5102" s="14"/>
      <c r="G5102" s="14"/>
      <c r="H5102" s="23"/>
      <c r="I5102" s="27"/>
      <c r="J5102" s="23"/>
      <c r="K5102" s="30"/>
      <c r="L5102" s="23"/>
      <c r="M5102" s="20"/>
      <c r="N5102" s="20"/>
      <c r="O5102" s="20"/>
      <c r="P5102" s="20"/>
    </row>
    <row r="5103">
      <c r="A5103" s="10"/>
      <c r="B5103" s="11"/>
      <c r="C5103" s="10"/>
      <c r="D5103" s="13"/>
      <c r="E5103" s="14"/>
      <c r="F5103" s="14"/>
      <c r="G5103" s="14"/>
      <c r="H5103" s="10"/>
      <c r="I5103" s="17"/>
      <c r="J5103" s="10"/>
      <c r="K5103" s="46"/>
      <c r="L5103" s="10"/>
      <c r="M5103" s="20"/>
      <c r="N5103" s="20"/>
      <c r="O5103" s="20"/>
      <c r="P5103" s="20"/>
    </row>
    <row r="5104">
      <c r="A5104" s="23"/>
      <c r="B5104" s="21"/>
      <c r="C5104" s="23"/>
      <c r="D5104" s="24"/>
      <c r="E5104" s="14"/>
      <c r="F5104" s="14"/>
      <c r="G5104" s="14"/>
      <c r="H5104" s="23"/>
      <c r="I5104" s="27"/>
      <c r="J5104" s="23"/>
      <c r="K5104" s="30"/>
      <c r="L5104" s="23"/>
      <c r="M5104" s="20"/>
      <c r="N5104" s="20"/>
      <c r="O5104" s="20"/>
      <c r="P5104" s="20"/>
    </row>
    <row r="5105">
      <c r="A5105" s="10"/>
      <c r="B5105" s="11"/>
      <c r="C5105" s="10"/>
      <c r="D5105" s="13"/>
      <c r="E5105" s="14"/>
      <c r="F5105" s="14"/>
      <c r="G5105" s="14"/>
      <c r="H5105" s="10"/>
      <c r="I5105" s="17"/>
      <c r="J5105" s="10"/>
      <c r="K5105" s="46"/>
      <c r="L5105" s="10"/>
      <c r="M5105" s="20"/>
      <c r="N5105" s="20"/>
      <c r="O5105" s="20"/>
      <c r="P5105" s="20"/>
    </row>
    <row r="5106">
      <c r="A5106" s="23"/>
      <c r="B5106" s="21"/>
      <c r="C5106" s="23"/>
      <c r="D5106" s="24"/>
      <c r="E5106" s="14"/>
      <c r="F5106" s="14"/>
      <c r="G5106" s="14"/>
      <c r="H5106" s="23"/>
      <c r="I5106" s="27"/>
      <c r="J5106" s="23"/>
      <c r="K5106" s="30"/>
      <c r="L5106" s="23"/>
      <c r="M5106" s="20"/>
      <c r="N5106" s="20"/>
      <c r="O5106" s="20"/>
      <c r="P5106" s="20"/>
    </row>
    <row r="5107">
      <c r="A5107" s="10"/>
      <c r="B5107" s="11"/>
      <c r="C5107" s="10"/>
      <c r="D5107" s="13"/>
      <c r="E5107" s="14"/>
      <c r="F5107" s="14"/>
      <c r="G5107" s="14"/>
      <c r="H5107" s="10"/>
      <c r="I5107" s="17"/>
      <c r="J5107" s="10"/>
      <c r="K5107" s="46"/>
      <c r="L5107" s="10"/>
      <c r="M5107" s="20"/>
      <c r="N5107" s="20"/>
      <c r="O5107" s="20"/>
      <c r="P5107" s="20"/>
    </row>
    <row r="5108">
      <c r="A5108" s="23"/>
      <c r="B5108" s="21"/>
      <c r="C5108" s="23"/>
      <c r="D5108" s="24"/>
      <c r="E5108" s="14"/>
      <c r="F5108" s="14"/>
      <c r="G5108" s="14"/>
      <c r="H5108" s="23"/>
      <c r="I5108" s="27"/>
      <c r="J5108" s="23"/>
      <c r="K5108" s="30"/>
      <c r="L5108" s="23"/>
      <c r="M5108" s="20"/>
      <c r="N5108" s="20"/>
      <c r="O5108" s="20"/>
      <c r="P5108" s="20"/>
    </row>
    <row r="5109">
      <c r="A5109" s="10"/>
      <c r="B5109" s="11"/>
      <c r="C5109" s="10"/>
      <c r="D5109" s="13"/>
      <c r="E5109" s="14"/>
      <c r="F5109" s="14"/>
      <c r="G5109" s="14"/>
      <c r="H5109" s="10"/>
      <c r="I5109" s="17"/>
      <c r="J5109" s="10"/>
      <c r="K5109" s="46"/>
      <c r="L5109" s="10"/>
      <c r="M5109" s="20"/>
      <c r="N5109" s="20"/>
      <c r="O5109" s="20"/>
      <c r="P5109" s="20"/>
    </row>
    <row r="5110">
      <c r="A5110" s="23"/>
      <c r="B5110" s="21"/>
      <c r="C5110" s="23"/>
      <c r="D5110" s="24"/>
      <c r="E5110" s="14"/>
      <c r="F5110" s="14"/>
      <c r="G5110" s="14"/>
      <c r="H5110" s="23"/>
      <c r="I5110" s="27"/>
      <c r="J5110" s="23"/>
      <c r="K5110" s="30"/>
      <c r="L5110" s="23"/>
      <c r="M5110" s="20"/>
      <c r="N5110" s="20"/>
      <c r="O5110" s="20"/>
      <c r="P5110" s="20"/>
    </row>
    <row r="5111">
      <c r="A5111" s="10"/>
      <c r="B5111" s="11"/>
      <c r="C5111" s="10"/>
      <c r="D5111" s="13"/>
      <c r="E5111" s="14"/>
      <c r="F5111" s="14"/>
      <c r="G5111" s="14"/>
      <c r="H5111" s="10"/>
      <c r="I5111" s="17"/>
      <c r="J5111" s="10"/>
      <c r="K5111" s="46"/>
      <c r="L5111" s="10"/>
      <c r="M5111" s="20"/>
      <c r="N5111" s="20"/>
      <c r="O5111" s="20"/>
      <c r="P5111" s="20"/>
    </row>
    <row r="5112">
      <c r="A5112" s="23"/>
      <c r="B5112" s="21"/>
      <c r="C5112" s="23"/>
      <c r="D5112" s="24"/>
      <c r="E5112" s="14"/>
      <c r="F5112" s="14"/>
      <c r="G5112" s="14"/>
      <c r="H5112" s="23"/>
      <c r="I5112" s="27"/>
      <c r="J5112" s="23"/>
      <c r="K5112" s="30"/>
      <c r="L5112" s="23"/>
      <c r="M5112" s="20"/>
      <c r="N5112" s="20"/>
      <c r="O5112" s="20"/>
      <c r="P5112" s="20"/>
    </row>
    <row r="5113">
      <c r="A5113" s="10"/>
      <c r="B5113" s="11"/>
      <c r="C5113" s="10"/>
      <c r="D5113" s="13"/>
      <c r="E5113" s="14"/>
      <c r="F5113" s="14"/>
      <c r="G5113" s="14"/>
      <c r="H5113" s="10"/>
      <c r="I5113" s="17"/>
      <c r="J5113" s="10"/>
      <c r="K5113" s="46"/>
      <c r="L5113" s="10"/>
      <c r="M5113" s="20"/>
      <c r="N5113" s="20"/>
      <c r="O5113" s="20"/>
      <c r="P5113" s="20"/>
    </row>
    <row r="5114">
      <c r="A5114" s="23"/>
      <c r="B5114" s="21"/>
      <c r="C5114" s="23"/>
      <c r="D5114" s="24"/>
      <c r="E5114" s="14"/>
      <c r="F5114" s="14"/>
      <c r="G5114" s="14"/>
      <c r="H5114" s="23"/>
      <c r="I5114" s="27"/>
      <c r="J5114" s="23"/>
      <c r="K5114" s="30"/>
      <c r="L5114" s="23"/>
      <c r="M5114" s="20"/>
      <c r="N5114" s="20"/>
      <c r="O5114" s="20"/>
      <c r="P5114" s="20"/>
    </row>
    <row r="5115">
      <c r="A5115" s="10"/>
      <c r="B5115" s="11"/>
      <c r="C5115" s="10"/>
      <c r="D5115" s="13"/>
      <c r="E5115" s="14"/>
      <c r="F5115" s="14"/>
      <c r="G5115" s="14"/>
      <c r="H5115" s="10"/>
      <c r="I5115" s="17"/>
      <c r="J5115" s="10"/>
      <c r="K5115" s="46"/>
      <c r="L5115" s="10"/>
      <c r="M5115" s="20"/>
      <c r="N5115" s="20"/>
      <c r="O5115" s="20"/>
      <c r="P5115" s="20"/>
    </row>
    <row r="5116">
      <c r="A5116" s="23"/>
      <c r="B5116" s="21"/>
      <c r="C5116" s="23"/>
      <c r="D5116" s="24"/>
      <c r="E5116" s="14"/>
      <c r="F5116" s="14"/>
      <c r="G5116" s="14"/>
      <c r="H5116" s="23"/>
      <c r="I5116" s="27"/>
      <c r="J5116" s="23"/>
      <c r="K5116" s="30"/>
      <c r="L5116" s="23"/>
      <c r="M5116" s="20"/>
      <c r="N5116" s="20"/>
      <c r="O5116" s="20"/>
      <c r="P5116" s="20"/>
    </row>
    <row r="5117">
      <c r="A5117" s="10"/>
      <c r="B5117" s="11"/>
      <c r="C5117" s="10"/>
      <c r="D5117" s="13"/>
      <c r="E5117" s="14"/>
      <c r="F5117" s="14"/>
      <c r="G5117" s="14"/>
      <c r="H5117" s="10"/>
      <c r="I5117" s="17"/>
      <c r="J5117" s="10"/>
      <c r="K5117" s="46"/>
      <c r="L5117" s="10"/>
      <c r="M5117" s="20"/>
      <c r="N5117" s="20"/>
      <c r="O5117" s="20"/>
      <c r="P5117" s="20"/>
    </row>
    <row r="5118">
      <c r="A5118" s="23"/>
      <c r="B5118" s="21"/>
      <c r="C5118" s="23"/>
      <c r="D5118" s="24"/>
      <c r="E5118" s="14"/>
      <c r="F5118" s="14"/>
      <c r="G5118" s="14"/>
      <c r="H5118" s="23"/>
      <c r="I5118" s="27"/>
      <c r="J5118" s="23"/>
      <c r="K5118" s="30"/>
      <c r="L5118" s="23"/>
      <c r="M5118" s="20"/>
      <c r="N5118" s="20"/>
      <c r="O5118" s="20"/>
      <c r="P5118" s="20"/>
    </row>
    <row r="5119">
      <c r="A5119" s="10"/>
      <c r="B5119" s="11"/>
      <c r="C5119" s="10"/>
      <c r="D5119" s="13"/>
      <c r="E5119" s="14"/>
      <c r="F5119" s="14"/>
      <c r="G5119" s="14"/>
      <c r="H5119" s="10"/>
      <c r="I5119" s="17"/>
      <c r="J5119" s="10"/>
      <c r="K5119" s="46"/>
      <c r="L5119" s="10"/>
      <c r="M5119" s="20"/>
      <c r="N5119" s="20"/>
      <c r="O5119" s="20"/>
      <c r="P5119" s="20"/>
    </row>
    <row r="5120">
      <c r="A5120" s="23"/>
      <c r="B5120" s="21"/>
      <c r="C5120" s="23"/>
      <c r="D5120" s="24"/>
      <c r="E5120" s="14"/>
      <c r="F5120" s="14"/>
      <c r="G5120" s="14"/>
      <c r="H5120" s="23"/>
      <c r="I5120" s="27"/>
      <c r="J5120" s="23"/>
      <c r="K5120" s="30"/>
      <c r="L5120" s="23"/>
      <c r="M5120" s="20"/>
      <c r="N5120" s="20"/>
      <c r="O5120" s="20"/>
      <c r="P5120" s="20"/>
    </row>
    <row r="5121">
      <c r="A5121" s="10"/>
      <c r="B5121" s="11"/>
      <c r="C5121" s="10"/>
      <c r="D5121" s="13"/>
      <c r="E5121" s="14"/>
      <c r="F5121" s="14"/>
      <c r="G5121" s="14"/>
      <c r="H5121" s="10"/>
      <c r="I5121" s="17"/>
      <c r="J5121" s="10"/>
      <c r="K5121" s="46"/>
      <c r="L5121" s="10"/>
      <c r="M5121" s="20"/>
      <c r="N5121" s="20"/>
      <c r="O5121" s="20"/>
      <c r="P5121" s="20"/>
    </row>
    <row r="5122">
      <c r="A5122" s="23"/>
      <c r="B5122" s="21"/>
      <c r="C5122" s="23"/>
      <c r="D5122" s="24"/>
      <c r="E5122" s="14"/>
      <c r="F5122" s="14"/>
      <c r="G5122" s="14"/>
      <c r="H5122" s="23"/>
      <c r="I5122" s="27"/>
      <c r="J5122" s="23"/>
      <c r="K5122" s="30"/>
      <c r="L5122" s="23"/>
      <c r="M5122" s="20"/>
      <c r="N5122" s="20"/>
      <c r="O5122" s="20"/>
      <c r="P5122" s="20"/>
    </row>
    <row r="5123">
      <c r="A5123" s="10"/>
      <c r="B5123" s="11"/>
      <c r="C5123" s="10"/>
      <c r="D5123" s="13"/>
      <c r="E5123" s="14"/>
      <c r="F5123" s="14"/>
      <c r="G5123" s="14"/>
      <c r="H5123" s="10"/>
      <c r="I5123" s="17"/>
      <c r="J5123" s="10"/>
      <c r="K5123" s="46"/>
      <c r="L5123" s="10"/>
      <c r="M5123" s="20"/>
      <c r="N5123" s="20"/>
      <c r="O5123" s="20"/>
      <c r="P5123" s="20"/>
    </row>
    <row r="5124">
      <c r="A5124" s="23"/>
      <c r="B5124" s="21"/>
      <c r="C5124" s="23"/>
      <c r="D5124" s="24"/>
      <c r="E5124" s="14"/>
      <c r="F5124" s="14"/>
      <c r="G5124" s="14"/>
      <c r="H5124" s="23"/>
      <c r="I5124" s="27"/>
      <c r="J5124" s="23"/>
      <c r="K5124" s="30"/>
      <c r="L5124" s="23"/>
      <c r="M5124" s="20"/>
      <c r="N5124" s="20"/>
      <c r="O5124" s="20"/>
      <c r="P5124" s="20"/>
    </row>
    <row r="5125">
      <c r="A5125" s="10"/>
      <c r="B5125" s="11"/>
      <c r="C5125" s="10"/>
      <c r="D5125" s="13"/>
      <c r="E5125" s="14"/>
      <c r="F5125" s="14"/>
      <c r="G5125" s="14"/>
      <c r="H5125" s="10"/>
      <c r="I5125" s="17"/>
      <c r="J5125" s="10"/>
      <c r="K5125" s="46"/>
      <c r="L5125" s="10"/>
      <c r="M5125" s="20"/>
      <c r="N5125" s="20"/>
      <c r="O5125" s="20"/>
      <c r="P5125" s="20"/>
    </row>
    <row r="5126">
      <c r="A5126" s="23"/>
      <c r="B5126" s="21"/>
      <c r="C5126" s="23"/>
      <c r="D5126" s="24"/>
      <c r="E5126" s="14"/>
      <c r="F5126" s="14"/>
      <c r="G5126" s="14"/>
      <c r="H5126" s="23"/>
      <c r="I5126" s="27"/>
      <c r="J5126" s="23"/>
      <c r="K5126" s="30"/>
      <c r="L5126" s="23"/>
      <c r="M5126" s="20"/>
      <c r="N5126" s="20"/>
      <c r="O5126" s="20"/>
      <c r="P5126" s="20"/>
    </row>
    <row r="5127">
      <c r="A5127" s="10"/>
      <c r="B5127" s="11"/>
      <c r="C5127" s="10"/>
      <c r="D5127" s="13"/>
      <c r="E5127" s="14"/>
      <c r="F5127" s="14"/>
      <c r="G5127" s="14"/>
      <c r="H5127" s="10"/>
      <c r="I5127" s="17"/>
      <c r="J5127" s="10"/>
      <c r="K5127" s="46"/>
      <c r="L5127" s="10"/>
      <c r="M5127" s="20"/>
      <c r="N5127" s="20"/>
      <c r="O5127" s="20"/>
      <c r="P5127" s="20"/>
    </row>
    <row r="5128">
      <c r="A5128" s="23"/>
      <c r="B5128" s="21"/>
      <c r="C5128" s="23"/>
      <c r="D5128" s="24"/>
      <c r="E5128" s="14"/>
      <c r="F5128" s="14"/>
      <c r="G5128" s="14"/>
      <c r="H5128" s="23"/>
      <c r="I5128" s="27"/>
      <c r="J5128" s="23"/>
      <c r="K5128" s="30"/>
      <c r="L5128" s="23"/>
      <c r="M5128" s="20"/>
      <c r="N5128" s="20"/>
      <c r="O5128" s="20"/>
      <c r="P5128" s="20"/>
    </row>
    <row r="5129">
      <c r="A5129" s="10"/>
      <c r="B5129" s="11"/>
      <c r="C5129" s="10"/>
      <c r="D5129" s="13"/>
      <c r="E5129" s="14"/>
      <c r="F5129" s="14"/>
      <c r="G5129" s="14"/>
      <c r="H5129" s="10"/>
      <c r="I5129" s="17"/>
      <c r="J5129" s="10"/>
      <c r="K5129" s="46"/>
      <c r="L5129" s="10"/>
      <c r="M5129" s="20"/>
      <c r="N5129" s="20"/>
      <c r="O5129" s="20"/>
      <c r="P5129" s="20"/>
    </row>
    <row r="5130">
      <c r="A5130" s="23"/>
      <c r="B5130" s="21"/>
      <c r="C5130" s="23"/>
      <c r="D5130" s="24"/>
      <c r="E5130" s="14"/>
      <c r="F5130" s="14"/>
      <c r="G5130" s="14"/>
      <c r="H5130" s="23"/>
      <c r="I5130" s="27"/>
      <c r="J5130" s="23"/>
      <c r="K5130" s="30"/>
      <c r="L5130" s="23"/>
      <c r="M5130" s="20"/>
      <c r="N5130" s="20"/>
      <c r="O5130" s="20"/>
      <c r="P5130" s="20"/>
    </row>
    <row r="5131">
      <c r="A5131" s="10"/>
      <c r="B5131" s="11"/>
      <c r="C5131" s="10"/>
      <c r="D5131" s="13"/>
      <c r="E5131" s="14"/>
      <c r="F5131" s="14"/>
      <c r="G5131" s="14"/>
      <c r="H5131" s="10"/>
      <c r="I5131" s="17"/>
      <c r="J5131" s="10"/>
      <c r="K5131" s="46"/>
      <c r="L5131" s="10"/>
      <c r="M5131" s="20"/>
      <c r="N5131" s="20"/>
      <c r="O5131" s="20"/>
      <c r="P5131" s="20"/>
    </row>
    <row r="5132">
      <c r="A5132" s="23"/>
      <c r="B5132" s="21"/>
      <c r="C5132" s="23"/>
      <c r="D5132" s="24"/>
      <c r="E5132" s="14"/>
      <c r="F5132" s="14"/>
      <c r="G5132" s="14"/>
      <c r="H5132" s="23"/>
      <c r="I5132" s="27"/>
      <c r="J5132" s="23"/>
      <c r="K5132" s="30"/>
      <c r="L5132" s="23"/>
      <c r="M5132" s="20"/>
      <c r="N5132" s="20"/>
      <c r="O5132" s="20"/>
      <c r="P5132" s="20"/>
    </row>
    <row r="5133">
      <c r="A5133" s="10"/>
      <c r="B5133" s="11"/>
      <c r="C5133" s="10"/>
      <c r="D5133" s="13"/>
      <c r="E5133" s="14"/>
      <c r="F5133" s="14"/>
      <c r="G5133" s="14"/>
      <c r="H5133" s="10"/>
      <c r="I5133" s="17"/>
      <c r="J5133" s="10"/>
      <c r="K5133" s="46"/>
      <c r="L5133" s="10"/>
      <c r="M5133" s="20"/>
      <c r="N5133" s="20"/>
      <c r="O5133" s="20"/>
      <c r="P5133" s="20"/>
    </row>
    <row r="5134">
      <c r="A5134" s="23"/>
      <c r="B5134" s="21"/>
      <c r="C5134" s="23"/>
      <c r="D5134" s="24"/>
      <c r="E5134" s="14"/>
      <c r="F5134" s="14"/>
      <c r="G5134" s="14"/>
      <c r="H5134" s="23"/>
      <c r="I5134" s="27"/>
      <c r="J5134" s="23"/>
      <c r="K5134" s="30"/>
      <c r="L5134" s="23"/>
      <c r="M5134" s="20"/>
      <c r="N5134" s="20"/>
      <c r="O5134" s="20"/>
      <c r="P5134" s="20"/>
    </row>
    <row r="5135">
      <c r="A5135" s="10"/>
      <c r="B5135" s="11"/>
      <c r="C5135" s="10"/>
      <c r="D5135" s="13"/>
      <c r="E5135" s="14"/>
      <c r="F5135" s="14"/>
      <c r="G5135" s="14"/>
      <c r="H5135" s="10"/>
      <c r="I5135" s="17"/>
      <c r="J5135" s="10"/>
      <c r="K5135" s="46"/>
      <c r="L5135" s="10"/>
      <c r="M5135" s="20"/>
      <c r="N5135" s="20"/>
      <c r="O5135" s="20"/>
      <c r="P5135" s="20"/>
    </row>
    <row r="5136">
      <c r="A5136" s="23"/>
      <c r="B5136" s="21"/>
      <c r="C5136" s="23"/>
      <c r="D5136" s="24"/>
      <c r="E5136" s="14"/>
      <c r="F5136" s="14"/>
      <c r="G5136" s="14"/>
      <c r="H5136" s="23"/>
      <c r="I5136" s="27"/>
      <c r="J5136" s="23"/>
      <c r="K5136" s="30"/>
      <c r="L5136" s="23"/>
      <c r="M5136" s="20"/>
      <c r="N5136" s="20"/>
      <c r="O5136" s="20"/>
      <c r="P5136" s="20"/>
    </row>
    <row r="5137">
      <c r="A5137" s="10"/>
      <c r="B5137" s="11"/>
      <c r="C5137" s="10"/>
      <c r="D5137" s="13"/>
      <c r="E5137" s="14"/>
      <c r="F5137" s="14"/>
      <c r="G5137" s="14"/>
      <c r="H5137" s="10"/>
      <c r="I5137" s="17"/>
      <c r="J5137" s="10"/>
      <c r="K5137" s="46"/>
      <c r="L5137" s="10"/>
      <c r="M5137" s="20"/>
      <c r="N5137" s="20"/>
      <c r="O5137" s="20"/>
      <c r="P5137" s="20"/>
    </row>
    <row r="5138">
      <c r="A5138" s="23"/>
      <c r="B5138" s="21"/>
      <c r="C5138" s="23"/>
      <c r="D5138" s="24"/>
      <c r="E5138" s="14"/>
      <c r="F5138" s="14"/>
      <c r="G5138" s="14"/>
      <c r="H5138" s="23"/>
      <c r="I5138" s="27"/>
      <c r="J5138" s="23"/>
      <c r="K5138" s="30"/>
      <c r="L5138" s="23"/>
      <c r="M5138" s="20"/>
      <c r="N5138" s="20"/>
      <c r="O5138" s="20"/>
      <c r="P5138" s="20"/>
    </row>
    <row r="5139">
      <c r="A5139" s="10"/>
      <c r="B5139" s="11"/>
      <c r="C5139" s="10"/>
      <c r="D5139" s="13"/>
      <c r="E5139" s="14"/>
      <c r="F5139" s="14"/>
      <c r="G5139" s="14"/>
      <c r="H5139" s="10"/>
      <c r="I5139" s="17"/>
      <c r="J5139" s="10"/>
      <c r="K5139" s="46"/>
      <c r="L5139" s="10"/>
      <c r="M5139" s="20"/>
      <c r="N5139" s="20"/>
      <c r="O5139" s="20"/>
      <c r="P5139" s="20"/>
    </row>
    <row r="5140">
      <c r="A5140" s="23"/>
      <c r="B5140" s="21"/>
      <c r="C5140" s="23"/>
      <c r="D5140" s="24"/>
      <c r="E5140" s="14"/>
      <c r="F5140" s="14"/>
      <c r="G5140" s="14"/>
      <c r="H5140" s="23"/>
      <c r="I5140" s="27"/>
      <c r="J5140" s="23"/>
      <c r="K5140" s="30"/>
      <c r="L5140" s="23"/>
      <c r="M5140" s="20"/>
      <c r="N5140" s="20"/>
      <c r="O5140" s="20"/>
      <c r="P5140" s="20"/>
    </row>
    <row r="5141">
      <c r="A5141" s="10"/>
      <c r="B5141" s="11"/>
      <c r="C5141" s="10"/>
      <c r="D5141" s="13"/>
      <c r="E5141" s="14"/>
      <c r="F5141" s="14"/>
      <c r="G5141" s="14"/>
      <c r="H5141" s="10"/>
      <c r="I5141" s="17"/>
      <c r="J5141" s="10"/>
      <c r="K5141" s="46"/>
      <c r="L5141" s="10"/>
      <c r="M5141" s="20"/>
      <c r="N5141" s="20"/>
      <c r="O5141" s="20"/>
      <c r="P5141" s="20"/>
    </row>
    <row r="5142">
      <c r="A5142" s="23"/>
      <c r="B5142" s="21"/>
      <c r="C5142" s="23"/>
      <c r="D5142" s="24"/>
      <c r="E5142" s="14"/>
      <c r="F5142" s="14"/>
      <c r="G5142" s="14"/>
      <c r="H5142" s="23"/>
      <c r="I5142" s="27"/>
      <c r="J5142" s="23"/>
      <c r="K5142" s="30"/>
      <c r="L5142" s="23"/>
      <c r="M5142" s="20"/>
      <c r="N5142" s="20"/>
      <c r="O5142" s="20"/>
      <c r="P5142" s="20"/>
    </row>
    <row r="5143">
      <c r="A5143" s="10"/>
      <c r="B5143" s="11"/>
      <c r="C5143" s="10"/>
      <c r="D5143" s="13"/>
      <c r="E5143" s="14"/>
      <c r="F5143" s="14"/>
      <c r="G5143" s="14"/>
      <c r="H5143" s="10"/>
      <c r="I5143" s="17"/>
      <c r="J5143" s="10"/>
      <c r="K5143" s="46"/>
      <c r="L5143" s="10"/>
      <c r="M5143" s="20"/>
      <c r="N5143" s="20"/>
      <c r="O5143" s="20"/>
      <c r="P5143" s="20"/>
    </row>
    <row r="5144">
      <c r="A5144" s="23"/>
      <c r="B5144" s="21"/>
      <c r="C5144" s="23"/>
      <c r="D5144" s="24"/>
      <c r="E5144" s="14"/>
      <c r="F5144" s="14"/>
      <c r="G5144" s="14"/>
      <c r="H5144" s="23"/>
      <c r="I5144" s="27"/>
      <c r="J5144" s="23"/>
      <c r="K5144" s="30"/>
      <c r="L5144" s="23"/>
      <c r="M5144" s="20"/>
      <c r="N5144" s="20"/>
      <c r="O5144" s="20"/>
      <c r="P5144" s="20"/>
    </row>
    <row r="5145">
      <c r="A5145" s="10"/>
      <c r="B5145" s="11"/>
      <c r="C5145" s="10"/>
      <c r="D5145" s="13"/>
      <c r="E5145" s="14"/>
      <c r="F5145" s="14"/>
      <c r="G5145" s="14"/>
      <c r="H5145" s="10"/>
      <c r="I5145" s="17"/>
      <c r="J5145" s="10"/>
      <c r="K5145" s="46"/>
      <c r="L5145" s="10"/>
      <c r="M5145" s="20"/>
      <c r="N5145" s="20"/>
      <c r="O5145" s="20"/>
      <c r="P5145" s="20"/>
    </row>
    <row r="5146">
      <c r="A5146" s="23"/>
      <c r="B5146" s="21"/>
      <c r="C5146" s="23"/>
      <c r="D5146" s="24"/>
      <c r="E5146" s="14"/>
      <c r="F5146" s="14"/>
      <c r="G5146" s="14"/>
      <c r="H5146" s="23"/>
      <c r="I5146" s="27"/>
      <c r="J5146" s="23"/>
      <c r="K5146" s="30"/>
      <c r="L5146" s="23"/>
      <c r="M5146" s="20"/>
      <c r="N5146" s="20"/>
      <c r="O5146" s="20"/>
      <c r="P5146" s="20"/>
    </row>
    <row r="5147">
      <c r="A5147" s="10"/>
      <c r="B5147" s="11"/>
      <c r="C5147" s="10"/>
      <c r="D5147" s="13"/>
      <c r="E5147" s="14"/>
      <c r="F5147" s="14"/>
      <c r="G5147" s="14"/>
      <c r="H5147" s="10"/>
      <c r="I5147" s="17"/>
      <c r="J5147" s="10"/>
      <c r="K5147" s="46"/>
      <c r="L5147" s="10"/>
      <c r="M5147" s="20"/>
      <c r="N5147" s="20"/>
      <c r="O5147" s="20"/>
      <c r="P5147" s="20"/>
    </row>
    <row r="5148">
      <c r="A5148" s="23"/>
      <c r="B5148" s="21"/>
      <c r="C5148" s="23"/>
      <c r="D5148" s="24"/>
      <c r="E5148" s="14"/>
      <c r="F5148" s="14"/>
      <c r="G5148" s="14"/>
      <c r="H5148" s="23"/>
      <c r="I5148" s="27"/>
      <c r="J5148" s="23"/>
      <c r="K5148" s="30"/>
      <c r="L5148" s="23"/>
      <c r="M5148" s="20"/>
      <c r="N5148" s="20"/>
      <c r="O5148" s="20"/>
      <c r="P5148" s="20"/>
    </row>
    <row r="5149">
      <c r="A5149" s="10"/>
      <c r="B5149" s="11"/>
      <c r="C5149" s="10"/>
      <c r="D5149" s="13"/>
      <c r="E5149" s="14"/>
      <c r="F5149" s="14"/>
      <c r="G5149" s="14"/>
      <c r="H5149" s="10"/>
      <c r="I5149" s="17"/>
      <c r="J5149" s="10"/>
      <c r="K5149" s="46"/>
      <c r="L5149" s="10"/>
      <c r="M5149" s="20"/>
      <c r="N5149" s="20"/>
      <c r="O5149" s="20"/>
      <c r="P5149" s="20"/>
    </row>
    <row r="5150">
      <c r="A5150" s="23"/>
      <c r="B5150" s="21"/>
      <c r="C5150" s="23"/>
      <c r="D5150" s="24"/>
      <c r="E5150" s="14"/>
      <c r="F5150" s="14"/>
      <c r="G5150" s="14"/>
      <c r="H5150" s="23"/>
      <c r="I5150" s="27"/>
      <c r="J5150" s="23"/>
      <c r="K5150" s="30"/>
      <c r="L5150" s="23"/>
      <c r="M5150" s="20"/>
      <c r="N5150" s="20"/>
      <c r="O5150" s="20"/>
      <c r="P5150" s="20"/>
    </row>
    <row r="5151">
      <c r="A5151" s="10"/>
      <c r="B5151" s="11"/>
      <c r="C5151" s="10"/>
      <c r="D5151" s="13"/>
      <c r="E5151" s="14"/>
      <c r="F5151" s="14"/>
      <c r="G5151" s="14"/>
      <c r="H5151" s="10"/>
      <c r="I5151" s="17"/>
      <c r="J5151" s="10"/>
      <c r="K5151" s="46"/>
      <c r="L5151" s="10"/>
      <c r="M5151" s="20"/>
      <c r="N5151" s="20"/>
      <c r="O5151" s="20"/>
      <c r="P5151" s="20"/>
    </row>
    <row r="5152">
      <c r="A5152" s="23"/>
      <c r="B5152" s="21"/>
      <c r="C5152" s="23"/>
      <c r="D5152" s="24"/>
      <c r="E5152" s="14"/>
      <c r="F5152" s="14"/>
      <c r="G5152" s="14"/>
      <c r="H5152" s="23"/>
      <c r="I5152" s="27"/>
      <c r="J5152" s="23"/>
      <c r="K5152" s="30"/>
      <c r="L5152" s="23"/>
      <c r="M5152" s="20"/>
      <c r="N5152" s="20"/>
      <c r="O5152" s="20"/>
      <c r="P5152" s="20"/>
    </row>
    <row r="5153">
      <c r="A5153" s="10"/>
      <c r="B5153" s="11"/>
      <c r="C5153" s="10"/>
      <c r="D5153" s="13"/>
      <c r="E5153" s="14"/>
      <c r="F5153" s="14"/>
      <c r="G5153" s="14"/>
      <c r="H5153" s="10"/>
      <c r="I5153" s="17"/>
      <c r="J5153" s="10"/>
      <c r="K5153" s="46"/>
      <c r="L5153" s="10"/>
      <c r="M5153" s="20"/>
      <c r="N5153" s="20"/>
      <c r="O5153" s="20"/>
      <c r="P5153" s="20"/>
    </row>
    <row r="5154">
      <c r="A5154" s="23"/>
      <c r="B5154" s="21"/>
      <c r="C5154" s="23"/>
      <c r="D5154" s="24"/>
      <c r="E5154" s="14"/>
      <c r="F5154" s="14"/>
      <c r="G5154" s="14"/>
      <c r="H5154" s="23"/>
      <c r="I5154" s="27"/>
      <c r="J5154" s="23"/>
      <c r="K5154" s="30"/>
      <c r="L5154" s="23"/>
      <c r="M5154" s="20"/>
      <c r="N5154" s="20"/>
      <c r="O5154" s="20"/>
      <c r="P5154" s="20"/>
    </row>
    <row r="5155">
      <c r="A5155" s="10"/>
      <c r="B5155" s="11"/>
      <c r="C5155" s="10"/>
      <c r="D5155" s="13"/>
      <c r="E5155" s="14"/>
      <c r="F5155" s="14"/>
      <c r="G5155" s="14"/>
      <c r="H5155" s="10"/>
      <c r="I5155" s="17"/>
      <c r="J5155" s="10"/>
      <c r="K5155" s="46"/>
      <c r="L5155" s="10"/>
      <c r="M5155" s="20"/>
      <c r="N5155" s="20"/>
      <c r="O5155" s="20"/>
      <c r="P5155" s="20"/>
    </row>
    <row r="5156">
      <c r="A5156" s="23"/>
      <c r="B5156" s="21"/>
      <c r="C5156" s="23"/>
      <c r="D5156" s="24"/>
      <c r="E5156" s="14"/>
      <c r="F5156" s="14"/>
      <c r="G5156" s="14"/>
      <c r="H5156" s="23"/>
      <c r="I5156" s="27"/>
      <c r="J5156" s="23"/>
      <c r="K5156" s="30"/>
      <c r="L5156" s="23"/>
      <c r="M5156" s="20"/>
      <c r="N5156" s="20"/>
      <c r="O5156" s="20"/>
      <c r="P5156" s="20"/>
    </row>
    <row r="5157">
      <c r="A5157" s="10"/>
      <c r="B5157" s="11"/>
      <c r="C5157" s="10"/>
      <c r="D5157" s="13"/>
      <c r="E5157" s="14"/>
      <c r="F5157" s="14"/>
      <c r="G5157" s="14"/>
      <c r="H5157" s="10"/>
      <c r="I5157" s="17"/>
      <c r="J5157" s="10"/>
      <c r="K5157" s="46"/>
      <c r="L5157" s="10"/>
      <c r="M5157" s="20"/>
      <c r="N5157" s="20"/>
      <c r="O5157" s="20"/>
      <c r="P5157" s="20"/>
    </row>
    <row r="5158">
      <c r="A5158" s="23"/>
      <c r="B5158" s="21"/>
      <c r="C5158" s="23"/>
      <c r="D5158" s="24"/>
      <c r="E5158" s="14"/>
      <c r="F5158" s="14"/>
      <c r="G5158" s="14"/>
      <c r="H5158" s="23"/>
      <c r="I5158" s="27"/>
      <c r="J5158" s="23"/>
      <c r="K5158" s="30"/>
      <c r="L5158" s="23"/>
      <c r="M5158" s="20"/>
      <c r="N5158" s="20"/>
      <c r="O5158" s="20"/>
      <c r="P5158" s="20"/>
    </row>
    <row r="5159">
      <c r="A5159" s="10"/>
      <c r="B5159" s="11"/>
      <c r="C5159" s="10"/>
      <c r="D5159" s="13"/>
      <c r="E5159" s="14"/>
      <c r="F5159" s="14"/>
      <c r="G5159" s="14"/>
      <c r="H5159" s="10"/>
      <c r="I5159" s="17"/>
      <c r="J5159" s="10"/>
      <c r="K5159" s="46"/>
      <c r="L5159" s="10"/>
      <c r="M5159" s="20"/>
      <c r="N5159" s="20"/>
      <c r="O5159" s="20"/>
      <c r="P5159" s="20"/>
    </row>
    <row r="5160">
      <c r="A5160" s="23"/>
      <c r="B5160" s="21"/>
      <c r="C5160" s="23"/>
      <c r="D5160" s="24"/>
      <c r="E5160" s="14"/>
      <c r="F5160" s="14"/>
      <c r="G5160" s="14"/>
      <c r="H5160" s="23"/>
      <c r="I5160" s="27"/>
      <c r="J5160" s="23"/>
      <c r="K5160" s="30"/>
      <c r="L5160" s="23"/>
      <c r="M5160" s="20"/>
      <c r="N5160" s="20"/>
      <c r="O5160" s="20"/>
      <c r="P5160" s="20"/>
    </row>
    <row r="5161">
      <c r="A5161" s="10"/>
      <c r="B5161" s="11"/>
      <c r="C5161" s="10"/>
      <c r="D5161" s="13"/>
      <c r="E5161" s="14"/>
      <c r="F5161" s="14"/>
      <c r="G5161" s="14"/>
      <c r="H5161" s="10"/>
      <c r="I5161" s="17"/>
      <c r="J5161" s="10"/>
      <c r="K5161" s="46"/>
      <c r="L5161" s="10"/>
      <c r="M5161" s="20"/>
      <c r="N5161" s="20"/>
      <c r="O5161" s="20"/>
      <c r="P5161" s="20"/>
    </row>
    <row r="5162">
      <c r="A5162" s="23"/>
      <c r="B5162" s="21"/>
      <c r="C5162" s="23"/>
      <c r="D5162" s="24"/>
      <c r="E5162" s="14"/>
      <c r="F5162" s="14"/>
      <c r="G5162" s="14"/>
      <c r="H5162" s="23"/>
      <c r="I5162" s="27"/>
      <c r="J5162" s="23"/>
      <c r="K5162" s="30"/>
      <c r="L5162" s="23"/>
      <c r="M5162" s="20"/>
      <c r="N5162" s="20"/>
      <c r="O5162" s="20"/>
      <c r="P5162" s="20"/>
    </row>
    <row r="5163">
      <c r="A5163" s="10"/>
      <c r="B5163" s="11"/>
      <c r="C5163" s="10"/>
      <c r="D5163" s="13"/>
      <c r="E5163" s="14"/>
      <c r="F5163" s="14"/>
      <c r="G5163" s="14"/>
      <c r="H5163" s="10"/>
      <c r="I5163" s="17"/>
      <c r="J5163" s="10"/>
      <c r="K5163" s="46"/>
      <c r="L5163" s="10"/>
      <c r="M5163" s="20"/>
      <c r="N5163" s="20"/>
      <c r="O5163" s="20"/>
      <c r="P5163" s="20"/>
    </row>
    <row r="5164">
      <c r="A5164" s="23"/>
      <c r="B5164" s="21"/>
      <c r="C5164" s="23"/>
      <c r="D5164" s="24"/>
      <c r="E5164" s="14"/>
      <c r="F5164" s="14"/>
      <c r="G5164" s="14"/>
      <c r="H5164" s="23"/>
      <c r="I5164" s="27"/>
      <c r="J5164" s="23"/>
      <c r="K5164" s="30"/>
      <c r="L5164" s="23"/>
      <c r="M5164" s="20"/>
      <c r="N5164" s="20"/>
      <c r="O5164" s="20"/>
      <c r="P5164" s="20"/>
    </row>
    <row r="5165">
      <c r="A5165" s="10"/>
      <c r="B5165" s="11"/>
      <c r="C5165" s="10"/>
      <c r="D5165" s="13"/>
      <c r="E5165" s="14"/>
      <c r="F5165" s="14"/>
      <c r="G5165" s="14"/>
      <c r="H5165" s="10"/>
      <c r="I5165" s="17"/>
      <c r="J5165" s="10"/>
      <c r="K5165" s="46"/>
      <c r="L5165" s="10"/>
      <c r="M5165" s="20"/>
      <c r="N5165" s="20"/>
      <c r="O5165" s="20"/>
      <c r="P5165" s="20"/>
    </row>
    <row r="5166">
      <c r="A5166" s="23"/>
      <c r="B5166" s="21"/>
      <c r="C5166" s="23"/>
      <c r="D5166" s="24"/>
      <c r="E5166" s="14"/>
      <c r="F5166" s="14"/>
      <c r="G5166" s="14"/>
      <c r="H5166" s="23"/>
      <c r="I5166" s="27"/>
      <c r="J5166" s="23"/>
      <c r="K5166" s="30"/>
      <c r="L5166" s="23"/>
      <c r="M5166" s="20"/>
      <c r="N5166" s="20"/>
      <c r="O5166" s="20"/>
      <c r="P5166" s="20"/>
    </row>
    <row r="5167">
      <c r="A5167" s="10"/>
      <c r="B5167" s="11"/>
      <c r="C5167" s="10"/>
      <c r="D5167" s="13"/>
      <c r="E5167" s="14"/>
      <c r="F5167" s="14"/>
      <c r="G5167" s="14"/>
      <c r="H5167" s="10"/>
      <c r="I5167" s="17"/>
      <c r="J5167" s="10"/>
      <c r="K5167" s="46"/>
      <c r="L5167" s="10"/>
      <c r="M5167" s="20"/>
      <c r="N5167" s="20"/>
      <c r="O5167" s="20"/>
      <c r="P5167" s="20"/>
    </row>
    <row r="5168">
      <c r="A5168" s="23"/>
      <c r="B5168" s="21"/>
      <c r="C5168" s="23"/>
      <c r="D5168" s="24"/>
      <c r="E5168" s="14"/>
      <c r="F5168" s="14"/>
      <c r="G5168" s="14"/>
      <c r="H5168" s="23"/>
      <c r="I5168" s="27"/>
      <c r="J5168" s="23"/>
      <c r="K5168" s="30"/>
      <c r="L5168" s="23"/>
      <c r="M5168" s="20"/>
      <c r="N5168" s="20"/>
      <c r="O5168" s="20"/>
      <c r="P5168" s="20"/>
    </row>
    <row r="5169">
      <c r="A5169" s="10"/>
      <c r="B5169" s="11"/>
      <c r="C5169" s="10"/>
      <c r="D5169" s="13"/>
      <c r="E5169" s="14"/>
      <c r="F5169" s="14"/>
      <c r="G5169" s="14"/>
      <c r="H5169" s="10"/>
      <c r="I5169" s="17"/>
      <c r="J5169" s="10"/>
      <c r="K5169" s="46"/>
      <c r="L5169" s="10"/>
      <c r="M5169" s="20"/>
      <c r="N5169" s="20"/>
      <c r="O5169" s="20"/>
      <c r="P5169" s="20"/>
    </row>
    <row r="5170">
      <c r="A5170" s="23"/>
      <c r="B5170" s="21"/>
      <c r="C5170" s="23"/>
      <c r="D5170" s="24"/>
      <c r="E5170" s="14"/>
      <c r="F5170" s="14"/>
      <c r="G5170" s="14"/>
      <c r="H5170" s="23"/>
      <c r="I5170" s="27"/>
      <c r="J5170" s="23"/>
      <c r="K5170" s="30"/>
      <c r="L5170" s="23"/>
      <c r="M5170" s="20"/>
      <c r="N5170" s="20"/>
      <c r="O5170" s="20"/>
      <c r="P5170" s="20"/>
    </row>
    <row r="5171">
      <c r="A5171" s="10"/>
      <c r="B5171" s="11"/>
      <c r="C5171" s="10"/>
      <c r="D5171" s="13"/>
      <c r="E5171" s="14"/>
      <c r="F5171" s="14"/>
      <c r="G5171" s="14"/>
      <c r="H5171" s="10"/>
      <c r="I5171" s="17"/>
      <c r="J5171" s="10"/>
      <c r="K5171" s="46"/>
      <c r="L5171" s="10"/>
      <c r="M5171" s="20"/>
      <c r="N5171" s="20"/>
      <c r="O5171" s="20"/>
      <c r="P5171" s="20"/>
    </row>
    <row r="5172">
      <c r="A5172" s="23"/>
      <c r="B5172" s="21"/>
      <c r="C5172" s="23"/>
      <c r="D5172" s="24"/>
      <c r="E5172" s="14"/>
      <c r="F5172" s="14"/>
      <c r="G5172" s="14"/>
      <c r="H5172" s="23"/>
      <c r="I5172" s="27"/>
      <c r="J5172" s="23"/>
      <c r="K5172" s="30"/>
      <c r="L5172" s="23"/>
      <c r="M5172" s="20"/>
      <c r="N5172" s="20"/>
      <c r="O5172" s="20"/>
      <c r="P5172" s="20"/>
    </row>
    <row r="5173">
      <c r="A5173" s="10"/>
      <c r="B5173" s="11"/>
      <c r="C5173" s="10"/>
      <c r="D5173" s="13"/>
      <c r="E5173" s="14"/>
      <c r="F5173" s="14"/>
      <c r="G5173" s="14"/>
      <c r="H5173" s="10"/>
      <c r="I5173" s="17"/>
      <c r="J5173" s="10"/>
      <c r="K5173" s="46"/>
      <c r="L5173" s="10"/>
      <c r="M5173" s="20"/>
      <c r="N5173" s="20"/>
      <c r="O5173" s="20"/>
      <c r="P5173" s="20"/>
    </row>
    <row r="5174">
      <c r="A5174" s="23"/>
      <c r="B5174" s="21"/>
      <c r="C5174" s="23"/>
      <c r="D5174" s="24"/>
      <c r="E5174" s="14"/>
      <c r="F5174" s="14"/>
      <c r="G5174" s="14"/>
      <c r="H5174" s="23"/>
      <c r="I5174" s="27"/>
      <c r="J5174" s="23"/>
      <c r="K5174" s="30"/>
      <c r="L5174" s="23"/>
      <c r="M5174" s="20"/>
      <c r="N5174" s="20"/>
      <c r="O5174" s="20"/>
      <c r="P5174" s="20"/>
    </row>
    <row r="5175">
      <c r="A5175" s="10"/>
      <c r="B5175" s="11"/>
      <c r="C5175" s="10"/>
      <c r="D5175" s="13"/>
      <c r="E5175" s="14"/>
      <c r="F5175" s="14"/>
      <c r="G5175" s="14"/>
      <c r="H5175" s="10"/>
      <c r="I5175" s="17"/>
      <c r="J5175" s="10"/>
      <c r="K5175" s="46"/>
      <c r="L5175" s="10"/>
      <c r="M5175" s="20"/>
      <c r="N5175" s="20"/>
      <c r="O5175" s="20"/>
      <c r="P5175" s="20"/>
    </row>
    <row r="5176">
      <c r="A5176" s="23"/>
      <c r="B5176" s="21"/>
      <c r="C5176" s="23"/>
      <c r="D5176" s="24"/>
      <c r="E5176" s="14"/>
      <c r="F5176" s="14"/>
      <c r="G5176" s="14"/>
      <c r="H5176" s="23"/>
      <c r="I5176" s="27"/>
      <c r="J5176" s="23"/>
      <c r="K5176" s="30"/>
      <c r="L5176" s="23"/>
      <c r="M5176" s="20"/>
      <c r="N5176" s="20"/>
      <c r="O5176" s="20"/>
      <c r="P5176" s="20"/>
    </row>
    <row r="5177">
      <c r="A5177" s="10"/>
      <c r="B5177" s="11"/>
      <c r="C5177" s="10"/>
      <c r="D5177" s="13"/>
      <c r="E5177" s="14"/>
      <c r="F5177" s="14"/>
      <c r="G5177" s="14"/>
      <c r="H5177" s="10"/>
      <c r="I5177" s="17"/>
      <c r="J5177" s="10"/>
      <c r="K5177" s="46"/>
      <c r="L5177" s="10"/>
      <c r="M5177" s="20"/>
      <c r="N5177" s="20"/>
      <c r="O5177" s="20"/>
      <c r="P5177" s="20"/>
    </row>
    <row r="5178">
      <c r="A5178" s="23"/>
      <c r="B5178" s="21"/>
      <c r="C5178" s="23"/>
      <c r="D5178" s="24"/>
      <c r="E5178" s="14"/>
      <c r="F5178" s="14"/>
      <c r="G5178" s="14"/>
      <c r="H5178" s="23"/>
      <c r="I5178" s="27"/>
      <c r="J5178" s="23"/>
      <c r="K5178" s="30"/>
      <c r="L5178" s="23"/>
      <c r="M5178" s="20"/>
      <c r="N5178" s="20"/>
      <c r="O5178" s="20"/>
      <c r="P5178" s="20"/>
    </row>
    <row r="5179">
      <c r="A5179" s="10"/>
      <c r="B5179" s="11"/>
      <c r="C5179" s="10"/>
      <c r="D5179" s="13"/>
      <c r="E5179" s="14"/>
      <c r="F5179" s="14"/>
      <c r="G5179" s="14"/>
      <c r="H5179" s="10"/>
      <c r="I5179" s="17"/>
      <c r="J5179" s="10"/>
      <c r="K5179" s="46"/>
      <c r="L5179" s="10"/>
      <c r="M5179" s="20"/>
      <c r="N5179" s="20"/>
      <c r="O5179" s="20"/>
      <c r="P5179" s="20"/>
    </row>
    <row r="5180">
      <c r="A5180" s="23"/>
      <c r="B5180" s="21"/>
      <c r="C5180" s="23"/>
      <c r="D5180" s="24"/>
      <c r="E5180" s="14"/>
      <c r="F5180" s="14"/>
      <c r="G5180" s="14"/>
      <c r="H5180" s="23"/>
      <c r="I5180" s="27"/>
      <c r="J5180" s="23"/>
      <c r="K5180" s="30"/>
      <c r="L5180" s="23"/>
      <c r="M5180" s="20"/>
      <c r="N5180" s="20"/>
      <c r="O5180" s="20"/>
      <c r="P5180" s="20"/>
    </row>
    <row r="5181">
      <c r="A5181" s="10"/>
      <c r="B5181" s="11"/>
      <c r="C5181" s="10"/>
      <c r="D5181" s="13"/>
      <c r="E5181" s="14"/>
      <c r="F5181" s="14"/>
      <c r="G5181" s="14"/>
      <c r="H5181" s="10"/>
      <c r="I5181" s="17"/>
      <c r="J5181" s="10"/>
      <c r="K5181" s="46"/>
      <c r="L5181" s="10"/>
      <c r="M5181" s="20"/>
      <c r="N5181" s="20"/>
      <c r="O5181" s="20"/>
      <c r="P5181" s="20"/>
    </row>
    <row r="5182">
      <c r="A5182" s="23"/>
      <c r="B5182" s="21"/>
      <c r="C5182" s="23"/>
      <c r="D5182" s="24"/>
      <c r="E5182" s="14"/>
      <c r="F5182" s="14"/>
      <c r="G5182" s="14"/>
      <c r="H5182" s="23"/>
      <c r="I5182" s="27"/>
      <c r="J5182" s="23"/>
      <c r="K5182" s="30"/>
      <c r="L5182" s="23"/>
      <c r="M5182" s="20"/>
      <c r="N5182" s="20"/>
      <c r="O5182" s="20"/>
      <c r="P5182" s="20"/>
    </row>
    <row r="5183">
      <c r="A5183" s="10"/>
      <c r="B5183" s="11"/>
      <c r="C5183" s="10"/>
      <c r="D5183" s="13"/>
      <c r="E5183" s="14"/>
      <c r="F5183" s="14"/>
      <c r="G5183" s="14"/>
      <c r="H5183" s="10"/>
      <c r="I5183" s="17"/>
      <c r="J5183" s="10"/>
      <c r="K5183" s="46"/>
      <c r="L5183" s="10"/>
      <c r="M5183" s="20"/>
      <c r="N5183" s="20"/>
      <c r="O5183" s="20"/>
      <c r="P5183" s="20"/>
    </row>
    <row r="5184">
      <c r="A5184" s="23"/>
      <c r="B5184" s="21"/>
      <c r="C5184" s="23"/>
      <c r="D5184" s="24"/>
      <c r="E5184" s="14"/>
      <c r="F5184" s="14"/>
      <c r="G5184" s="14"/>
      <c r="H5184" s="23"/>
      <c r="I5184" s="27"/>
      <c r="J5184" s="23"/>
      <c r="K5184" s="30"/>
      <c r="L5184" s="23"/>
      <c r="M5184" s="20"/>
      <c r="N5184" s="20"/>
      <c r="O5184" s="20"/>
      <c r="P5184" s="20"/>
    </row>
    <row r="5185">
      <c r="A5185" s="10"/>
      <c r="B5185" s="11"/>
      <c r="C5185" s="10"/>
      <c r="D5185" s="13"/>
      <c r="E5185" s="14"/>
      <c r="F5185" s="14"/>
      <c r="G5185" s="14"/>
      <c r="H5185" s="10"/>
      <c r="I5185" s="17"/>
      <c r="J5185" s="10"/>
      <c r="K5185" s="46"/>
      <c r="L5185" s="10"/>
      <c r="M5185" s="20"/>
      <c r="N5185" s="20"/>
      <c r="O5185" s="20"/>
      <c r="P5185" s="20"/>
    </row>
    <row r="5186">
      <c r="A5186" s="23"/>
      <c r="B5186" s="21"/>
      <c r="C5186" s="23"/>
      <c r="D5186" s="24"/>
      <c r="E5186" s="14"/>
      <c r="F5186" s="14"/>
      <c r="G5186" s="14"/>
      <c r="H5186" s="23"/>
      <c r="I5186" s="27"/>
      <c r="J5186" s="23"/>
      <c r="K5186" s="30"/>
      <c r="L5186" s="23"/>
      <c r="M5186" s="20"/>
      <c r="N5186" s="20"/>
      <c r="O5186" s="20"/>
      <c r="P5186" s="20"/>
    </row>
    <row r="5187">
      <c r="A5187" s="10"/>
      <c r="B5187" s="11"/>
      <c r="C5187" s="10"/>
      <c r="D5187" s="13"/>
      <c r="E5187" s="14"/>
      <c r="F5187" s="14"/>
      <c r="G5187" s="14"/>
      <c r="H5187" s="10"/>
      <c r="I5187" s="17"/>
      <c r="J5187" s="10"/>
      <c r="K5187" s="46"/>
      <c r="L5187" s="10"/>
      <c r="M5187" s="20"/>
      <c r="N5187" s="20"/>
      <c r="O5187" s="20"/>
      <c r="P5187" s="20"/>
    </row>
    <row r="5188">
      <c r="A5188" s="23"/>
      <c r="B5188" s="21"/>
      <c r="C5188" s="23"/>
      <c r="D5188" s="24"/>
      <c r="E5188" s="14"/>
      <c r="F5188" s="14"/>
      <c r="G5188" s="14"/>
      <c r="H5188" s="23"/>
      <c r="I5188" s="27"/>
      <c r="J5188" s="23"/>
      <c r="K5188" s="30"/>
      <c r="L5188" s="23"/>
      <c r="M5188" s="20"/>
      <c r="N5188" s="20"/>
      <c r="O5188" s="20"/>
      <c r="P5188" s="20"/>
    </row>
    <row r="5189">
      <c r="A5189" s="10"/>
      <c r="B5189" s="11"/>
      <c r="C5189" s="10"/>
      <c r="D5189" s="13"/>
      <c r="E5189" s="14"/>
      <c r="F5189" s="14"/>
      <c r="G5189" s="14"/>
      <c r="H5189" s="10"/>
      <c r="I5189" s="17"/>
      <c r="J5189" s="10"/>
      <c r="K5189" s="46"/>
      <c r="L5189" s="10"/>
      <c r="M5189" s="20"/>
      <c r="N5189" s="20"/>
      <c r="O5189" s="20"/>
      <c r="P5189" s="20"/>
    </row>
    <row r="5190">
      <c r="A5190" s="23"/>
      <c r="B5190" s="21"/>
      <c r="C5190" s="23"/>
      <c r="D5190" s="24"/>
      <c r="E5190" s="14"/>
      <c r="F5190" s="14"/>
      <c r="G5190" s="14"/>
      <c r="H5190" s="23"/>
      <c r="I5190" s="27"/>
      <c r="J5190" s="23"/>
      <c r="K5190" s="30"/>
      <c r="L5190" s="23"/>
      <c r="M5190" s="20"/>
      <c r="N5190" s="20"/>
      <c r="O5190" s="20"/>
      <c r="P5190" s="20"/>
    </row>
    <row r="5191">
      <c r="A5191" s="10"/>
      <c r="B5191" s="11"/>
      <c r="C5191" s="10"/>
      <c r="D5191" s="13"/>
      <c r="E5191" s="14"/>
      <c r="F5191" s="14"/>
      <c r="G5191" s="14"/>
      <c r="H5191" s="10"/>
      <c r="I5191" s="17"/>
      <c r="J5191" s="10"/>
      <c r="K5191" s="46"/>
      <c r="L5191" s="10"/>
      <c r="M5191" s="20"/>
      <c r="N5191" s="20"/>
      <c r="O5191" s="20"/>
      <c r="P5191" s="20"/>
    </row>
    <row r="5192">
      <c r="A5192" s="23"/>
      <c r="B5192" s="21"/>
      <c r="C5192" s="23"/>
      <c r="D5192" s="24"/>
      <c r="E5192" s="14"/>
      <c r="F5192" s="14"/>
      <c r="G5192" s="14"/>
      <c r="H5192" s="23"/>
      <c r="I5192" s="27"/>
      <c r="J5192" s="23"/>
      <c r="K5192" s="30"/>
      <c r="L5192" s="23"/>
      <c r="M5192" s="20"/>
      <c r="N5192" s="20"/>
      <c r="O5192" s="20"/>
      <c r="P5192" s="20"/>
    </row>
    <row r="5193">
      <c r="A5193" s="10"/>
      <c r="B5193" s="11"/>
      <c r="C5193" s="10"/>
      <c r="D5193" s="13"/>
      <c r="E5193" s="14"/>
      <c r="F5193" s="14"/>
      <c r="G5193" s="14"/>
      <c r="H5193" s="10"/>
      <c r="I5193" s="17"/>
      <c r="J5193" s="10"/>
      <c r="K5193" s="46"/>
      <c r="L5193" s="10"/>
      <c r="M5193" s="20"/>
      <c r="N5193" s="20"/>
      <c r="O5193" s="20"/>
      <c r="P5193" s="20"/>
    </row>
    <row r="5194">
      <c r="A5194" s="23"/>
      <c r="B5194" s="21"/>
      <c r="C5194" s="23"/>
      <c r="D5194" s="24"/>
      <c r="E5194" s="14"/>
      <c r="F5194" s="14"/>
      <c r="G5194" s="14"/>
      <c r="H5194" s="23"/>
      <c r="I5194" s="27"/>
      <c r="J5194" s="23"/>
      <c r="K5194" s="30"/>
      <c r="L5194" s="23"/>
      <c r="M5194" s="20"/>
      <c r="N5194" s="20"/>
      <c r="O5194" s="20"/>
      <c r="P5194" s="20"/>
    </row>
    <row r="5195">
      <c r="A5195" s="10"/>
      <c r="B5195" s="11"/>
      <c r="C5195" s="10"/>
      <c r="D5195" s="13"/>
      <c r="E5195" s="14"/>
      <c r="F5195" s="14"/>
      <c r="G5195" s="14"/>
      <c r="H5195" s="10"/>
      <c r="I5195" s="17"/>
      <c r="J5195" s="10"/>
      <c r="K5195" s="46"/>
      <c r="L5195" s="10"/>
      <c r="M5195" s="20"/>
      <c r="N5195" s="20"/>
      <c r="O5195" s="20"/>
      <c r="P5195" s="20"/>
    </row>
    <row r="5196">
      <c r="A5196" s="23"/>
      <c r="B5196" s="21"/>
      <c r="C5196" s="23"/>
      <c r="D5196" s="24"/>
      <c r="E5196" s="14"/>
      <c r="F5196" s="14"/>
      <c r="G5196" s="14"/>
      <c r="H5196" s="23"/>
      <c r="I5196" s="27"/>
      <c r="J5196" s="23"/>
      <c r="K5196" s="30"/>
      <c r="L5196" s="23"/>
      <c r="M5196" s="20"/>
      <c r="N5196" s="20"/>
      <c r="O5196" s="20"/>
      <c r="P5196" s="20"/>
    </row>
    <row r="5197">
      <c r="A5197" s="10"/>
      <c r="B5197" s="11"/>
      <c r="C5197" s="10"/>
      <c r="D5197" s="13"/>
      <c r="E5197" s="14"/>
      <c r="F5197" s="14"/>
      <c r="G5197" s="14"/>
      <c r="H5197" s="10"/>
      <c r="I5197" s="17"/>
      <c r="J5197" s="10"/>
      <c r="K5197" s="46"/>
      <c r="L5197" s="10"/>
      <c r="M5197" s="20"/>
      <c r="N5197" s="20"/>
      <c r="O5197" s="20"/>
      <c r="P5197" s="20"/>
    </row>
    <row r="5198">
      <c r="A5198" s="23"/>
      <c r="B5198" s="21"/>
      <c r="C5198" s="23"/>
      <c r="D5198" s="24"/>
      <c r="E5198" s="14"/>
      <c r="F5198" s="14"/>
      <c r="G5198" s="14"/>
      <c r="H5198" s="23"/>
      <c r="I5198" s="27"/>
      <c r="J5198" s="23"/>
      <c r="K5198" s="30"/>
      <c r="L5198" s="23"/>
      <c r="M5198" s="20"/>
      <c r="N5198" s="20"/>
      <c r="O5198" s="20"/>
      <c r="P5198" s="20"/>
    </row>
    <row r="5199">
      <c r="A5199" s="10"/>
      <c r="B5199" s="11"/>
      <c r="C5199" s="10"/>
      <c r="D5199" s="13"/>
      <c r="E5199" s="14"/>
      <c r="F5199" s="14"/>
      <c r="G5199" s="14"/>
      <c r="H5199" s="10"/>
      <c r="I5199" s="17"/>
      <c r="J5199" s="10"/>
      <c r="K5199" s="46"/>
      <c r="L5199" s="10"/>
      <c r="M5199" s="20"/>
      <c r="N5199" s="20"/>
      <c r="O5199" s="20"/>
      <c r="P5199" s="20"/>
    </row>
    <row r="5200">
      <c r="A5200" s="23"/>
      <c r="B5200" s="21"/>
      <c r="C5200" s="23"/>
      <c r="D5200" s="24"/>
      <c r="E5200" s="14"/>
      <c r="F5200" s="14"/>
      <c r="G5200" s="14"/>
      <c r="H5200" s="23"/>
      <c r="I5200" s="27"/>
      <c r="J5200" s="23"/>
      <c r="K5200" s="30"/>
      <c r="L5200" s="23"/>
      <c r="M5200" s="20"/>
      <c r="N5200" s="20"/>
      <c r="O5200" s="20"/>
      <c r="P5200" s="20"/>
    </row>
    <row r="5201">
      <c r="A5201" s="10"/>
      <c r="B5201" s="11"/>
      <c r="C5201" s="10"/>
      <c r="D5201" s="13"/>
      <c r="E5201" s="14"/>
      <c r="F5201" s="14"/>
      <c r="G5201" s="14"/>
      <c r="H5201" s="10"/>
      <c r="I5201" s="17"/>
      <c r="J5201" s="10"/>
      <c r="K5201" s="46"/>
      <c r="L5201" s="10"/>
      <c r="M5201" s="20"/>
      <c r="N5201" s="20"/>
      <c r="O5201" s="20"/>
      <c r="P5201" s="20"/>
    </row>
    <row r="5202">
      <c r="A5202" s="23"/>
      <c r="B5202" s="21"/>
      <c r="C5202" s="23"/>
      <c r="D5202" s="24"/>
      <c r="E5202" s="14"/>
      <c r="F5202" s="14"/>
      <c r="G5202" s="14"/>
      <c r="H5202" s="23"/>
      <c r="I5202" s="27"/>
      <c r="J5202" s="23"/>
      <c r="K5202" s="30"/>
      <c r="L5202" s="23"/>
      <c r="M5202" s="20"/>
      <c r="N5202" s="20"/>
      <c r="O5202" s="20"/>
      <c r="P5202" s="20"/>
    </row>
    <row r="5203">
      <c r="A5203" s="10"/>
      <c r="B5203" s="11"/>
      <c r="C5203" s="10"/>
      <c r="D5203" s="13"/>
      <c r="E5203" s="14"/>
      <c r="F5203" s="14"/>
      <c r="G5203" s="14"/>
      <c r="H5203" s="10"/>
      <c r="I5203" s="17"/>
      <c r="J5203" s="10"/>
      <c r="K5203" s="46"/>
      <c r="L5203" s="10"/>
      <c r="M5203" s="20"/>
      <c r="N5203" s="20"/>
      <c r="O5203" s="20"/>
      <c r="P5203" s="20"/>
    </row>
    <row r="5204">
      <c r="A5204" s="23"/>
      <c r="B5204" s="21"/>
      <c r="C5204" s="23"/>
      <c r="D5204" s="24"/>
      <c r="E5204" s="14"/>
      <c r="F5204" s="14"/>
      <c r="G5204" s="14"/>
      <c r="H5204" s="23"/>
      <c r="I5204" s="27"/>
      <c r="J5204" s="23"/>
      <c r="K5204" s="30"/>
      <c r="L5204" s="23"/>
      <c r="M5204" s="20"/>
      <c r="N5204" s="20"/>
      <c r="O5204" s="20"/>
      <c r="P5204" s="20"/>
    </row>
    <row r="5205">
      <c r="A5205" s="10"/>
      <c r="B5205" s="11"/>
      <c r="C5205" s="10"/>
      <c r="D5205" s="13"/>
      <c r="E5205" s="14"/>
      <c r="F5205" s="14"/>
      <c r="G5205" s="14"/>
      <c r="H5205" s="10"/>
      <c r="I5205" s="17"/>
      <c r="J5205" s="10"/>
      <c r="K5205" s="46"/>
      <c r="L5205" s="10"/>
      <c r="M5205" s="20"/>
      <c r="N5205" s="20"/>
      <c r="O5205" s="20"/>
      <c r="P5205" s="20"/>
    </row>
    <row r="5206">
      <c r="A5206" s="23"/>
      <c r="B5206" s="21"/>
      <c r="C5206" s="23"/>
      <c r="D5206" s="24"/>
      <c r="E5206" s="14"/>
      <c r="F5206" s="14"/>
      <c r="G5206" s="14"/>
      <c r="H5206" s="23"/>
      <c r="I5206" s="27"/>
      <c r="J5206" s="23"/>
      <c r="K5206" s="30"/>
      <c r="L5206" s="23"/>
      <c r="M5206" s="20"/>
      <c r="N5206" s="20"/>
      <c r="O5206" s="20"/>
      <c r="P5206" s="20"/>
    </row>
    <row r="5207">
      <c r="A5207" s="10"/>
      <c r="B5207" s="11"/>
      <c r="C5207" s="10"/>
      <c r="D5207" s="13"/>
      <c r="E5207" s="14"/>
      <c r="F5207" s="14"/>
      <c r="G5207" s="14"/>
      <c r="H5207" s="10"/>
      <c r="I5207" s="17"/>
      <c r="J5207" s="10"/>
      <c r="K5207" s="46"/>
      <c r="L5207" s="10"/>
      <c r="M5207" s="20"/>
      <c r="N5207" s="20"/>
      <c r="O5207" s="20"/>
      <c r="P5207" s="20"/>
    </row>
    <row r="5208">
      <c r="A5208" s="23"/>
      <c r="B5208" s="21"/>
      <c r="C5208" s="23"/>
      <c r="D5208" s="24"/>
      <c r="E5208" s="14"/>
      <c r="F5208" s="14"/>
      <c r="G5208" s="14"/>
      <c r="H5208" s="23"/>
      <c r="I5208" s="27"/>
      <c r="J5208" s="23"/>
      <c r="K5208" s="30"/>
      <c r="L5208" s="23"/>
      <c r="M5208" s="20"/>
      <c r="N5208" s="20"/>
      <c r="O5208" s="20"/>
      <c r="P5208" s="20"/>
    </row>
    <row r="5209">
      <c r="A5209" s="10"/>
      <c r="B5209" s="11"/>
      <c r="C5209" s="10"/>
      <c r="D5209" s="13"/>
      <c r="E5209" s="14"/>
      <c r="F5209" s="14"/>
      <c r="G5209" s="14"/>
      <c r="H5209" s="10"/>
      <c r="I5209" s="17"/>
      <c r="J5209" s="10"/>
      <c r="K5209" s="46"/>
      <c r="L5209" s="10"/>
      <c r="M5209" s="20"/>
      <c r="N5209" s="20"/>
      <c r="O5209" s="20"/>
      <c r="P5209" s="20"/>
    </row>
    <row r="5210">
      <c r="A5210" s="23"/>
      <c r="B5210" s="21"/>
      <c r="C5210" s="23"/>
      <c r="D5210" s="24"/>
      <c r="E5210" s="14"/>
      <c r="F5210" s="14"/>
      <c r="G5210" s="14"/>
      <c r="H5210" s="23"/>
      <c r="I5210" s="27"/>
      <c r="J5210" s="23"/>
      <c r="K5210" s="30"/>
      <c r="L5210" s="23"/>
      <c r="M5210" s="20"/>
      <c r="N5210" s="20"/>
      <c r="O5210" s="20"/>
      <c r="P5210" s="20"/>
    </row>
    <row r="5211">
      <c r="A5211" s="10"/>
      <c r="B5211" s="11"/>
      <c r="C5211" s="10"/>
      <c r="D5211" s="13"/>
      <c r="E5211" s="14"/>
      <c r="F5211" s="14"/>
      <c r="G5211" s="14"/>
      <c r="H5211" s="10"/>
      <c r="I5211" s="17"/>
      <c r="J5211" s="10"/>
      <c r="K5211" s="46"/>
      <c r="L5211" s="10"/>
      <c r="M5211" s="20"/>
      <c r="N5211" s="20"/>
      <c r="O5211" s="20"/>
      <c r="P5211" s="20"/>
    </row>
    <row r="5212">
      <c r="A5212" s="23"/>
      <c r="B5212" s="21"/>
      <c r="C5212" s="23"/>
      <c r="D5212" s="24"/>
      <c r="E5212" s="14"/>
      <c r="F5212" s="14"/>
      <c r="G5212" s="14"/>
      <c r="H5212" s="23"/>
      <c r="I5212" s="27"/>
      <c r="J5212" s="23"/>
      <c r="K5212" s="30"/>
      <c r="L5212" s="23"/>
      <c r="M5212" s="20"/>
      <c r="N5212" s="20"/>
      <c r="O5212" s="20"/>
      <c r="P5212" s="20"/>
    </row>
    <row r="5213">
      <c r="A5213" s="10"/>
      <c r="B5213" s="11"/>
      <c r="C5213" s="10"/>
      <c r="D5213" s="13"/>
      <c r="E5213" s="14"/>
      <c r="F5213" s="14"/>
      <c r="G5213" s="14"/>
      <c r="H5213" s="10"/>
      <c r="I5213" s="17"/>
      <c r="J5213" s="10"/>
      <c r="K5213" s="46"/>
      <c r="L5213" s="10"/>
      <c r="M5213" s="20"/>
      <c r="N5213" s="20"/>
      <c r="O5213" s="20"/>
      <c r="P5213" s="20"/>
    </row>
    <row r="5214">
      <c r="A5214" s="23"/>
      <c r="B5214" s="21"/>
      <c r="C5214" s="23"/>
      <c r="D5214" s="24"/>
      <c r="E5214" s="14"/>
      <c r="F5214" s="14"/>
      <c r="G5214" s="14"/>
      <c r="H5214" s="23"/>
      <c r="I5214" s="27"/>
      <c r="J5214" s="23"/>
      <c r="K5214" s="30"/>
      <c r="L5214" s="23"/>
      <c r="M5214" s="20"/>
      <c r="N5214" s="20"/>
      <c r="O5214" s="20"/>
      <c r="P5214" s="20"/>
    </row>
    <row r="5215">
      <c r="A5215" s="10"/>
      <c r="B5215" s="11"/>
      <c r="C5215" s="10"/>
      <c r="D5215" s="13"/>
      <c r="E5215" s="14"/>
      <c r="F5215" s="14"/>
      <c r="G5215" s="14"/>
      <c r="H5215" s="10"/>
      <c r="I5215" s="17"/>
      <c r="J5215" s="10"/>
      <c r="K5215" s="46"/>
      <c r="L5215" s="10"/>
      <c r="M5215" s="20"/>
      <c r="N5215" s="20"/>
      <c r="O5215" s="20"/>
      <c r="P5215" s="20"/>
    </row>
    <row r="5216">
      <c r="A5216" s="23"/>
      <c r="B5216" s="21"/>
      <c r="C5216" s="23"/>
      <c r="D5216" s="24"/>
      <c r="E5216" s="14"/>
      <c r="F5216" s="14"/>
      <c r="G5216" s="14"/>
      <c r="H5216" s="23"/>
      <c r="I5216" s="27"/>
      <c r="J5216" s="23"/>
      <c r="K5216" s="30"/>
      <c r="L5216" s="23"/>
      <c r="M5216" s="20"/>
      <c r="N5216" s="20"/>
      <c r="O5216" s="20"/>
      <c r="P5216" s="20"/>
    </row>
    <row r="5217">
      <c r="A5217" s="10"/>
      <c r="B5217" s="11"/>
      <c r="C5217" s="10"/>
      <c r="D5217" s="13"/>
      <c r="E5217" s="14"/>
      <c r="F5217" s="14"/>
      <c r="G5217" s="14"/>
      <c r="H5217" s="10"/>
      <c r="I5217" s="17"/>
      <c r="J5217" s="10"/>
      <c r="K5217" s="46"/>
      <c r="L5217" s="10"/>
      <c r="M5217" s="20"/>
      <c r="N5217" s="20"/>
      <c r="O5217" s="20"/>
      <c r="P5217" s="20"/>
    </row>
    <row r="5218">
      <c r="A5218" s="23"/>
      <c r="B5218" s="21"/>
      <c r="C5218" s="23"/>
      <c r="D5218" s="24"/>
      <c r="E5218" s="14"/>
      <c r="F5218" s="14"/>
      <c r="G5218" s="14"/>
      <c r="H5218" s="23"/>
      <c r="I5218" s="27"/>
      <c r="J5218" s="23"/>
      <c r="K5218" s="30"/>
      <c r="L5218" s="23"/>
      <c r="M5218" s="20"/>
      <c r="N5218" s="20"/>
      <c r="O5218" s="20"/>
      <c r="P5218" s="20"/>
    </row>
    <row r="5219">
      <c r="A5219" s="10"/>
      <c r="B5219" s="11"/>
      <c r="C5219" s="10"/>
      <c r="D5219" s="13"/>
      <c r="E5219" s="14"/>
      <c r="F5219" s="14"/>
      <c r="G5219" s="14"/>
      <c r="H5219" s="10"/>
      <c r="I5219" s="17"/>
      <c r="J5219" s="10"/>
      <c r="K5219" s="46"/>
      <c r="L5219" s="10"/>
      <c r="M5219" s="20"/>
      <c r="N5219" s="20"/>
      <c r="O5219" s="20"/>
      <c r="P5219" s="20"/>
    </row>
    <row r="5220">
      <c r="A5220" s="23"/>
      <c r="B5220" s="21"/>
      <c r="C5220" s="23"/>
      <c r="D5220" s="24"/>
      <c r="E5220" s="14"/>
      <c r="F5220" s="14"/>
      <c r="G5220" s="14"/>
      <c r="H5220" s="23"/>
      <c r="I5220" s="27"/>
      <c r="J5220" s="23"/>
      <c r="K5220" s="30"/>
      <c r="L5220" s="23"/>
      <c r="M5220" s="20"/>
      <c r="N5220" s="20"/>
      <c r="O5220" s="20"/>
      <c r="P5220" s="20"/>
    </row>
    <row r="5221">
      <c r="A5221" s="10"/>
      <c r="B5221" s="11"/>
      <c r="C5221" s="10"/>
      <c r="D5221" s="13"/>
      <c r="E5221" s="14"/>
      <c r="F5221" s="14"/>
      <c r="G5221" s="14"/>
      <c r="H5221" s="10"/>
      <c r="I5221" s="17"/>
      <c r="J5221" s="10"/>
      <c r="K5221" s="46"/>
      <c r="L5221" s="10"/>
      <c r="M5221" s="20"/>
      <c r="N5221" s="20"/>
      <c r="O5221" s="20"/>
      <c r="P5221" s="20"/>
    </row>
    <row r="5222">
      <c r="A5222" s="23"/>
      <c r="B5222" s="21"/>
      <c r="C5222" s="23"/>
      <c r="D5222" s="24"/>
      <c r="E5222" s="14"/>
      <c r="F5222" s="14"/>
      <c r="G5222" s="14"/>
      <c r="H5222" s="23"/>
      <c r="I5222" s="27"/>
      <c r="J5222" s="23"/>
      <c r="K5222" s="30"/>
      <c r="L5222" s="23"/>
      <c r="M5222" s="20"/>
      <c r="N5222" s="20"/>
      <c r="O5222" s="20"/>
      <c r="P5222" s="20"/>
    </row>
    <row r="5223">
      <c r="A5223" s="10"/>
      <c r="B5223" s="11"/>
      <c r="C5223" s="10"/>
      <c r="D5223" s="13"/>
      <c r="E5223" s="14"/>
      <c r="F5223" s="14"/>
      <c r="G5223" s="14"/>
      <c r="H5223" s="10"/>
      <c r="I5223" s="17"/>
      <c r="J5223" s="10"/>
      <c r="K5223" s="46"/>
      <c r="L5223" s="10"/>
      <c r="M5223" s="20"/>
      <c r="N5223" s="20"/>
      <c r="O5223" s="20"/>
      <c r="P5223" s="20"/>
    </row>
    <row r="5224">
      <c r="A5224" s="23"/>
      <c r="B5224" s="21"/>
      <c r="C5224" s="23"/>
      <c r="D5224" s="24"/>
      <c r="E5224" s="14"/>
      <c r="F5224" s="14"/>
      <c r="G5224" s="14"/>
      <c r="H5224" s="23"/>
      <c r="I5224" s="27"/>
      <c r="J5224" s="23"/>
      <c r="K5224" s="30"/>
      <c r="L5224" s="23"/>
      <c r="M5224" s="20"/>
      <c r="N5224" s="20"/>
      <c r="O5224" s="20"/>
      <c r="P5224" s="20"/>
    </row>
    <row r="5225">
      <c r="A5225" s="10"/>
      <c r="B5225" s="11"/>
      <c r="C5225" s="10"/>
      <c r="D5225" s="13"/>
      <c r="E5225" s="14"/>
      <c r="F5225" s="14"/>
      <c r="G5225" s="14"/>
      <c r="H5225" s="10"/>
      <c r="I5225" s="17"/>
      <c r="J5225" s="10"/>
      <c r="K5225" s="46"/>
      <c r="L5225" s="10"/>
      <c r="M5225" s="20"/>
      <c r="N5225" s="20"/>
      <c r="O5225" s="20"/>
      <c r="P5225" s="20"/>
    </row>
    <row r="5226">
      <c r="A5226" s="23"/>
      <c r="B5226" s="21"/>
      <c r="C5226" s="23"/>
      <c r="D5226" s="24"/>
      <c r="E5226" s="14"/>
      <c r="F5226" s="14"/>
      <c r="G5226" s="14"/>
      <c r="H5226" s="23"/>
      <c r="I5226" s="27"/>
      <c r="J5226" s="23"/>
      <c r="K5226" s="30"/>
      <c r="L5226" s="23"/>
      <c r="M5226" s="20"/>
      <c r="N5226" s="20"/>
      <c r="O5226" s="20"/>
      <c r="P5226" s="20"/>
    </row>
    <row r="5227">
      <c r="A5227" s="10"/>
      <c r="B5227" s="11"/>
      <c r="C5227" s="10"/>
      <c r="D5227" s="13"/>
      <c r="E5227" s="14"/>
      <c r="F5227" s="14"/>
      <c r="G5227" s="14"/>
      <c r="H5227" s="10"/>
      <c r="I5227" s="17"/>
      <c r="J5227" s="10"/>
      <c r="K5227" s="46"/>
      <c r="L5227" s="10"/>
      <c r="M5227" s="20"/>
      <c r="N5227" s="20"/>
      <c r="O5227" s="20"/>
      <c r="P5227" s="20"/>
    </row>
    <row r="5228">
      <c r="A5228" s="23"/>
      <c r="B5228" s="21"/>
      <c r="C5228" s="23"/>
      <c r="D5228" s="24"/>
      <c r="E5228" s="14"/>
      <c r="F5228" s="14"/>
      <c r="G5228" s="14"/>
      <c r="H5228" s="23"/>
      <c r="I5228" s="27"/>
      <c r="J5228" s="23"/>
      <c r="K5228" s="30"/>
      <c r="L5228" s="23"/>
      <c r="M5228" s="20"/>
      <c r="N5228" s="20"/>
      <c r="O5228" s="20"/>
      <c r="P5228" s="20"/>
    </row>
    <row r="5229">
      <c r="A5229" s="10"/>
      <c r="B5229" s="11"/>
      <c r="C5229" s="10"/>
      <c r="D5229" s="13"/>
      <c r="E5229" s="14"/>
      <c r="F5229" s="14"/>
      <c r="G5229" s="14"/>
      <c r="H5229" s="10"/>
      <c r="I5229" s="17"/>
      <c r="J5229" s="10"/>
      <c r="K5229" s="46"/>
      <c r="L5229" s="10"/>
      <c r="M5229" s="20"/>
      <c r="N5229" s="20"/>
      <c r="O5229" s="20"/>
      <c r="P5229" s="20"/>
    </row>
    <row r="5230">
      <c r="A5230" s="23"/>
      <c r="B5230" s="21"/>
      <c r="C5230" s="23"/>
      <c r="D5230" s="24"/>
      <c r="E5230" s="14"/>
      <c r="F5230" s="14"/>
      <c r="G5230" s="14"/>
      <c r="H5230" s="23"/>
      <c r="I5230" s="27"/>
      <c r="J5230" s="23"/>
      <c r="K5230" s="30"/>
      <c r="L5230" s="23"/>
      <c r="M5230" s="20"/>
      <c r="N5230" s="20"/>
      <c r="O5230" s="20"/>
      <c r="P5230" s="20"/>
    </row>
    <row r="5231">
      <c r="A5231" s="10"/>
      <c r="B5231" s="11"/>
      <c r="C5231" s="10"/>
      <c r="D5231" s="13"/>
      <c r="E5231" s="14"/>
      <c r="F5231" s="14"/>
      <c r="G5231" s="14"/>
      <c r="H5231" s="10"/>
      <c r="I5231" s="17"/>
      <c r="J5231" s="10"/>
      <c r="K5231" s="46"/>
      <c r="L5231" s="10"/>
      <c r="M5231" s="20"/>
      <c r="N5231" s="20"/>
      <c r="O5231" s="20"/>
      <c r="P5231" s="20"/>
    </row>
    <row r="5232">
      <c r="A5232" s="23"/>
      <c r="B5232" s="21"/>
      <c r="C5232" s="23"/>
      <c r="D5232" s="24"/>
      <c r="E5232" s="14"/>
      <c r="F5232" s="14"/>
      <c r="G5232" s="14"/>
      <c r="H5232" s="23"/>
      <c r="I5232" s="27"/>
      <c r="J5232" s="23"/>
      <c r="K5232" s="30"/>
      <c r="L5232" s="23"/>
      <c r="M5232" s="20"/>
      <c r="N5232" s="20"/>
      <c r="O5232" s="20"/>
      <c r="P5232" s="20"/>
    </row>
    <row r="5233">
      <c r="A5233" s="10"/>
      <c r="B5233" s="11"/>
      <c r="C5233" s="10"/>
      <c r="D5233" s="13"/>
      <c r="E5233" s="14"/>
      <c r="F5233" s="14"/>
      <c r="G5233" s="14"/>
      <c r="H5233" s="10"/>
      <c r="I5233" s="17"/>
      <c r="J5233" s="10"/>
      <c r="K5233" s="46"/>
      <c r="L5233" s="10"/>
      <c r="M5233" s="20"/>
      <c r="N5233" s="20"/>
      <c r="O5233" s="20"/>
      <c r="P5233" s="20"/>
    </row>
    <row r="5234">
      <c r="A5234" s="23"/>
      <c r="B5234" s="21"/>
      <c r="C5234" s="23"/>
      <c r="D5234" s="24"/>
      <c r="E5234" s="14"/>
      <c r="F5234" s="14"/>
      <c r="G5234" s="14"/>
      <c r="H5234" s="23"/>
      <c r="I5234" s="27"/>
      <c r="J5234" s="23"/>
      <c r="K5234" s="30"/>
      <c r="L5234" s="23"/>
      <c r="M5234" s="20"/>
      <c r="N5234" s="20"/>
      <c r="O5234" s="20"/>
      <c r="P5234" s="20"/>
    </row>
    <row r="5235">
      <c r="A5235" s="10"/>
      <c r="B5235" s="11"/>
      <c r="C5235" s="10"/>
      <c r="D5235" s="13"/>
      <c r="E5235" s="14"/>
      <c r="F5235" s="14"/>
      <c r="G5235" s="14"/>
      <c r="H5235" s="10"/>
      <c r="I5235" s="17"/>
      <c r="J5235" s="10"/>
      <c r="K5235" s="46"/>
      <c r="L5235" s="10"/>
      <c r="M5235" s="20"/>
      <c r="N5235" s="20"/>
      <c r="O5235" s="20"/>
      <c r="P5235" s="20"/>
    </row>
    <row r="5236">
      <c r="A5236" s="23"/>
      <c r="B5236" s="21"/>
      <c r="C5236" s="23"/>
      <c r="D5236" s="24"/>
      <c r="E5236" s="14"/>
      <c r="F5236" s="14"/>
      <c r="G5236" s="14"/>
      <c r="H5236" s="23"/>
      <c r="I5236" s="27"/>
      <c r="J5236" s="23"/>
      <c r="K5236" s="30"/>
      <c r="L5236" s="23"/>
      <c r="M5236" s="20"/>
      <c r="N5236" s="20"/>
      <c r="O5236" s="20"/>
      <c r="P5236" s="20"/>
    </row>
    <row r="5237">
      <c r="A5237" s="10"/>
      <c r="B5237" s="11"/>
      <c r="C5237" s="10"/>
      <c r="D5237" s="13"/>
      <c r="E5237" s="14"/>
      <c r="F5237" s="14"/>
      <c r="G5237" s="14"/>
      <c r="H5237" s="10"/>
      <c r="I5237" s="17"/>
      <c r="J5237" s="10"/>
      <c r="K5237" s="46"/>
      <c r="L5237" s="10"/>
      <c r="M5237" s="20"/>
      <c r="N5237" s="20"/>
      <c r="O5237" s="20"/>
      <c r="P5237" s="20"/>
    </row>
    <row r="5238">
      <c r="A5238" s="23"/>
      <c r="B5238" s="21"/>
      <c r="C5238" s="23"/>
      <c r="D5238" s="24"/>
      <c r="E5238" s="14"/>
      <c r="F5238" s="14"/>
      <c r="G5238" s="14"/>
      <c r="H5238" s="23"/>
      <c r="I5238" s="27"/>
      <c r="J5238" s="23"/>
      <c r="K5238" s="30"/>
      <c r="L5238" s="23"/>
      <c r="M5238" s="20"/>
      <c r="N5238" s="20"/>
      <c r="O5238" s="20"/>
      <c r="P5238" s="20"/>
    </row>
    <row r="5239">
      <c r="A5239" s="10"/>
      <c r="B5239" s="11"/>
      <c r="C5239" s="10"/>
      <c r="D5239" s="13"/>
      <c r="E5239" s="14"/>
      <c r="F5239" s="14"/>
      <c r="G5239" s="14"/>
      <c r="H5239" s="10"/>
      <c r="I5239" s="17"/>
      <c r="J5239" s="10"/>
      <c r="K5239" s="46"/>
      <c r="L5239" s="10"/>
      <c r="M5239" s="20"/>
      <c r="N5239" s="20"/>
      <c r="O5239" s="20"/>
      <c r="P5239" s="20"/>
    </row>
    <row r="5240">
      <c r="A5240" s="23"/>
      <c r="B5240" s="21"/>
      <c r="C5240" s="23"/>
      <c r="D5240" s="24"/>
      <c r="E5240" s="14"/>
      <c r="F5240" s="14"/>
      <c r="G5240" s="14"/>
      <c r="H5240" s="23"/>
      <c r="I5240" s="27"/>
      <c r="J5240" s="23"/>
      <c r="K5240" s="30"/>
      <c r="L5240" s="23"/>
      <c r="M5240" s="20"/>
      <c r="N5240" s="20"/>
      <c r="O5240" s="20"/>
      <c r="P5240" s="20"/>
    </row>
    <row r="5241">
      <c r="A5241" s="10"/>
      <c r="B5241" s="11"/>
      <c r="C5241" s="10"/>
      <c r="D5241" s="13"/>
      <c r="E5241" s="14"/>
      <c r="F5241" s="14"/>
      <c r="G5241" s="14"/>
      <c r="H5241" s="10"/>
      <c r="I5241" s="17"/>
      <c r="J5241" s="10"/>
      <c r="K5241" s="46"/>
      <c r="L5241" s="10"/>
      <c r="M5241" s="20"/>
      <c r="N5241" s="20"/>
      <c r="O5241" s="20"/>
      <c r="P5241" s="20"/>
    </row>
    <row r="5242">
      <c r="A5242" s="23"/>
      <c r="B5242" s="21"/>
      <c r="C5242" s="23"/>
      <c r="D5242" s="24"/>
      <c r="E5242" s="14"/>
      <c r="F5242" s="14"/>
      <c r="G5242" s="14"/>
      <c r="H5242" s="23"/>
      <c r="I5242" s="27"/>
      <c r="J5242" s="23"/>
      <c r="K5242" s="30"/>
      <c r="L5242" s="23"/>
      <c r="M5242" s="20"/>
      <c r="N5242" s="20"/>
      <c r="O5242" s="20"/>
      <c r="P5242" s="20"/>
    </row>
    <row r="5243">
      <c r="A5243" s="10"/>
      <c r="B5243" s="11"/>
      <c r="C5243" s="10"/>
      <c r="D5243" s="13"/>
      <c r="E5243" s="14"/>
      <c r="F5243" s="14"/>
      <c r="G5243" s="14"/>
      <c r="H5243" s="10"/>
      <c r="I5243" s="17"/>
      <c r="J5243" s="10"/>
      <c r="K5243" s="46"/>
      <c r="L5243" s="10"/>
      <c r="M5243" s="20"/>
      <c r="N5243" s="20"/>
      <c r="O5243" s="20"/>
      <c r="P5243" s="20"/>
    </row>
    <row r="5244">
      <c r="A5244" s="23"/>
      <c r="B5244" s="21"/>
      <c r="C5244" s="23"/>
      <c r="D5244" s="24"/>
      <c r="E5244" s="14"/>
      <c r="F5244" s="14"/>
      <c r="G5244" s="14"/>
      <c r="H5244" s="23"/>
      <c r="I5244" s="27"/>
      <c r="J5244" s="23"/>
      <c r="K5244" s="30"/>
      <c r="L5244" s="23"/>
      <c r="M5244" s="20"/>
      <c r="N5244" s="20"/>
      <c r="O5244" s="20"/>
      <c r="P5244" s="20"/>
    </row>
    <row r="5245">
      <c r="A5245" s="10"/>
      <c r="B5245" s="11"/>
      <c r="C5245" s="10"/>
      <c r="D5245" s="13"/>
      <c r="E5245" s="14"/>
      <c r="F5245" s="14"/>
      <c r="G5245" s="14"/>
      <c r="H5245" s="10"/>
      <c r="I5245" s="17"/>
      <c r="J5245" s="10"/>
      <c r="K5245" s="46"/>
      <c r="L5245" s="10"/>
      <c r="M5245" s="20"/>
      <c r="N5245" s="20"/>
      <c r="O5245" s="20"/>
      <c r="P5245" s="20"/>
    </row>
    <row r="5246">
      <c r="A5246" s="23"/>
      <c r="B5246" s="21"/>
      <c r="C5246" s="23"/>
      <c r="D5246" s="24"/>
      <c r="E5246" s="14"/>
      <c r="F5246" s="14"/>
      <c r="G5246" s="14"/>
      <c r="H5246" s="23"/>
      <c r="I5246" s="27"/>
      <c r="J5246" s="23"/>
      <c r="K5246" s="30"/>
      <c r="L5246" s="23"/>
      <c r="M5246" s="20"/>
      <c r="N5246" s="20"/>
      <c r="O5246" s="20"/>
      <c r="P5246" s="20"/>
    </row>
    <row r="5247">
      <c r="A5247" s="10"/>
      <c r="B5247" s="11"/>
      <c r="C5247" s="10"/>
      <c r="D5247" s="13"/>
      <c r="E5247" s="14"/>
      <c r="F5247" s="14"/>
      <c r="G5247" s="14"/>
      <c r="H5247" s="10"/>
      <c r="I5247" s="17"/>
      <c r="J5247" s="10"/>
      <c r="K5247" s="46"/>
      <c r="L5247" s="10"/>
      <c r="M5247" s="20"/>
      <c r="N5247" s="20"/>
      <c r="O5247" s="20"/>
      <c r="P5247" s="20"/>
    </row>
    <row r="5248">
      <c r="A5248" s="23"/>
      <c r="B5248" s="21"/>
      <c r="C5248" s="23"/>
      <c r="D5248" s="24"/>
      <c r="E5248" s="14"/>
      <c r="F5248" s="14"/>
      <c r="G5248" s="14"/>
      <c r="H5248" s="23"/>
      <c r="I5248" s="27"/>
      <c r="J5248" s="23"/>
      <c r="K5248" s="30"/>
      <c r="L5248" s="23"/>
      <c r="M5248" s="20"/>
      <c r="N5248" s="20"/>
      <c r="O5248" s="20"/>
      <c r="P5248" s="20"/>
    </row>
    <row r="5249">
      <c r="A5249" s="10"/>
      <c r="B5249" s="11"/>
      <c r="C5249" s="10"/>
      <c r="D5249" s="13"/>
      <c r="E5249" s="14"/>
      <c r="F5249" s="14"/>
      <c r="G5249" s="14"/>
      <c r="H5249" s="10"/>
      <c r="I5249" s="17"/>
      <c r="J5249" s="10"/>
      <c r="K5249" s="46"/>
      <c r="L5249" s="10"/>
      <c r="M5249" s="20"/>
      <c r="N5249" s="20"/>
      <c r="O5249" s="20"/>
      <c r="P5249" s="20"/>
    </row>
    <row r="5250">
      <c r="A5250" s="23"/>
      <c r="B5250" s="21"/>
      <c r="C5250" s="23"/>
      <c r="D5250" s="24"/>
      <c r="E5250" s="14"/>
      <c r="F5250" s="14"/>
      <c r="G5250" s="14"/>
      <c r="H5250" s="23"/>
      <c r="I5250" s="27"/>
      <c r="J5250" s="23"/>
      <c r="K5250" s="30"/>
      <c r="L5250" s="23"/>
      <c r="M5250" s="20"/>
      <c r="N5250" s="20"/>
      <c r="O5250" s="20"/>
      <c r="P5250" s="20"/>
    </row>
    <row r="5251">
      <c r="A5251" s="10"/>
      <c r="B5251" s="11"/>
      <c r="C5251" s="10"/>
      <c r="D5251" s="13"/>
      <c r="E5251" s="14"/>
      <c r="F5251" s="14"/>
      <c r="G5251" s="14"/>
      <c r="H5251" s="10"/>
      <c r="I5251" s="17"/>
      <c r="J5251" s="10"/>
      <c r="K5251" s="46"/>
      <c r="L5251" s="10"/>
      <c r="M5251" s="20"/>
      <c r="N5251" s="20"/>
      <c r="O5251" s="20"/>
      <c r="P5251" s="20"/>
    </row>
    <row r="5252">
      <c r="A5252" s="23"/>
      <c r="B5252" s="21"/>
      <c r="C5252" s="23"/>
      <c r="D5252" s="24"/>
      <c r="E5252" s="14"/>
      <c r="F5252" s="14"/>
      <c r="G5252" s="14"/>
      <c r="H5252" s="23"/>
      <c r="I5252" s="27"/>
      <c r="J5252" s="23"/>
      <c r="K5252" s="30"/>
      <c r="L5252" s="23"/>
      <c r="M5252" s="20"/>
      <c r="N5252" s="20"/>
      <c r="O5252" s="20"/>
      <c r="P5252" s="20"/>
    </row>
    <row r="5253">
      <c r="A5253" s="10"/>
      <c r="B5253" s="11"/>
      <c r="C5253" s="10"/>
      <c r="D5253" s="13"/>
      <c r="E5253" s="14"/>
      <c r="F5253" s="14"/>
      <c r="G5253" s="14"/>
      <c r="H5253" s="10"/>
      <c r="I5253" s="17"/>
      <c r="J5253" s="10"/>
      <c r="K5253" s="46"/>
      <c r="L5253" s="10"/>
      <c r="M5253" s="20"/>
      <c r="N5253" s="20"/>
      <c r="O5253" s="20"/>
      <c r="P5253" s="20"/>
    </row>
    <row r="5254">
      <c r="A5254" s="23"/>
      <c r="B5254" s="21"/>
      <c r="C5254" s="23"/>
      <c r="D5254" s="24"/>
      <c r="E5254" s="14"/>
      <c r="F5254" s="14"/>
      <c r="G5254" s="14"/>
      <c r="H5254" s="23"/>
      <c r="I5254" s="27"/>
      <c r="J5254" s="23"/>
      <c r="K5254" s="30"/>
      <c r="L5254" s="23"/>
      <c r="M5254" s="20"/>
      <c r="N5254" s="20"/>
      <c r="O5254" s="20"/>
      <c r="P5254" s="20"/>
    </row>
    <row r="5255">
      <c r="A5255" s="10"/>
      <c r="B5255" s="11"/>
      <c r="C5255" s="10"/>
      <c r="D5255" s="13"/>
      <c r="E5255" s="14"/>
      <c r="F5255" s="14"/>
      <c r="G5255" s="14"/>
      <c r="H5255" s="10"/>
      <c r="I5255" s="17"/>
      <c r="J5255" s="10"/>
      <c r="K5255" s="46"/>
      <c r="L5255" s="10"/>
      <c r="M5255" s="20"/>
      <c r="N5255" s="20"/>
      <c r="O5255" s="20"/>
      <c r="P5255" s="20"/>
    </row>
    <row r="5256">
      <c r="A5256" s="23"/>
      <c r="B5256" s="21"/>
      <c r="C5256" s="23"/>
      <c r="D5256" s="24"/>
      <c r="E5256" s="14"/>
      <c r="F5256" s="14"/>
      <c r="G5256" s="14"/>
      <c r="H5256" s="23"/>
      <c r="I5256" s="27"/>
      <c r="J5256" s="23"/>
      <c r="K5256" s="30"/>
      <c r="L5256" s="23"/>
      <c r="M5256" s="20"/>
      <c r="N5256" s="20"/>
      <c r="O5256" s="20"/>
      <c r="P5256" s="20"/>
    </row>
    <row r="5257">
      <c r="A5257" s="10"/>
      <c r="B5257" s="11"/>
      <c r="C5257" s="10"/>
      <c r="D5257" s="13"/>
      <c r="E5257" s="14"/>
      <c r="F5257" s="14"/>
      <c r="G5257" s="14"/>
      <c r="H5257" s="10"/>
      <c r="I5257" s="17"/>
      <c r="J5257" s="10"/>
      <c r="K5257" s="46"/>
      <c r="L5257" s="10"/>
      <c r="M5257" s="20"/>
      <c r="N5257" s="20"/>
      <c r="O5257" s="20"/>
      <c r="P5257" s="20"/>
    </row>
    <row r="5258">
      <c r="A5258" s="23"/>
      <c r="B5258" s="21"/>
      <c r="C5258" s="23"/>
      <c r="D5258" s="24"/>
      <c r="E5258" s="14"/>
      <c r="F5258" s="14"/>
      <c r="G5258" s="14"/>
      <c r="H5258" s="23"/>
      <c r="I5258" s="27"/>
      <c r="J5258" s="23"/>
      <c r="K5258" s="30"/>
      <c r="L5258" s="23"/>
      <c r="M5258" s="20"/>
      <c r="N5258" s="20"/>
      <c r="O5258" s="20"/>
      <c r="P5258" s="20"/>
    </row>
    <row r="5259">
      <c r="A5259" s="10"/>
      <c r="B5259" s="11"/>
      <c r="C5259" s="10"/>
      <c r="D5259" s="13"/>
      <c r="E5259" s="14"/>
      <c r="F5259" s="14"/>
      <c r="G5259" s="14"/>
      <c r="H5259" s="10"/>
      <c r="I5259" s="17"/>
      <c r="J5259" s="10"/>
      <c r="K5259" s="46"/>
      <c r="L5259" s="10"/>
      <c r="M5259" s="20"/>
      <c r="N5259" s="20"/>
      <c r="O5259" s="20"/>
      <c r="P5259" s="20"/>
    </row>
    <row r="5260">
      <c r="A5260" s="23"/>
      <c r="B5260" s="21"/>
      <c r="C5260" s="23"/>
      <c r="D5260" s="24"/>
      <c r="E5260" s="14"/>
      <c r="F5260" s="14"/>
      <c r="G5260" s="14"/>
      <c r="H5260" s="23"/>
      <c r="I5260" s="27"/>
      <c r="J5260" s="23"/>
      <c r="K5260" s="30"/>
      <c r="L5260" s="23"/>
      <c r="M5260" s="20"/>
      <c r="N5260" s="20"/>
      <c r="O5260" s="20"/>
      <c r="P5260" s="20"/>
    </row>
    <row r="5261">
      <c r="A5261" s="10"/>
      <c r="B5261" s="11"/>
      <c r="C5261" s="10"/>
      <c r="D5261" s="13"/>
      <c r="E5261" s="14"/>
      <c r="F5261" s="14"/>
      <c r="G5261" s="14"/>
      <c r="H5261" s="10"/>
      <c r="I5261" s="17"/>
      <c r="J5261" s="10"/>
      <c r="K5261" s="46"/>
      <c r="L5261" s="10"/>
      <c r="M5261" s="20"/>
      <c r="N5261" s="20"/>
      <c r="O5261" s="20"/>
      <c r="P5261" s="20"/>
    </row>
    <row r="5262">
      <c r="A5262" s="23"/>
      <c r="B5262" s="21"/>
      <c r="C5262" s="23"/>
      <c r="D5262" s="24"/>
      <c r="E5262" s="14"/>
      <c r="F5262" s="14"/>
      <c r="G5262" s="14"/>
      <c r="H5262" s="23"/>
      <c r="I5262" s="27"/>
      <c r="J5262" s="23"/>
      <c r="K5262" s="30"/>
      <c r="L5262" s="23"/>
      <c r="M5262" s="20"/>
      <c r="N5262" s="20"/>
      <c r="O5262" s="20"/>
      <c r="P5262" s="20"/>
    </row>
    <row r="5263">
      <c r="A5263" s="10"/>
      <c r="B5263" s="11"/>
      <c r="C5263" s="10"/>
      <c r="D5263" s="13"/>
      <c r="E5263" s="14"/>
      <c r="F5263" s="14"/>
      <c r="G5263" s="14"/>
      <c r="H5263" s="10"/>
      <c r="I5263" s="17"/>
      <c r="J5263" s="10"/>
      <c r="K5263" s="46"/>
      <c r="L5263" s="10"/>
      <c r="M5263" s="20"/>
      <c r="N5263" s="20"/>
      <c r="O5263" s="20"/>
      <c r="P5263" s="20"/>
    </row>
    <row r="5264">
      <c r="A5264" s="23"/>
      <c r="B5264" s="21"/>
      <c r="C5264" s="23"/>
      <c r="D5264" s="24"/>
      <c r="E5264" s="14"/>
      <c r="F5264" s="14"/>
      <c r="G5264" s="14"/>
      <c r="H5264" s="23"/>
      <c r="I5264" s="27"/>
      <c r="J5264" s="23"/>
      <c r="K5264" s="30"/>
      <c r="L5264" s="23"/>
      <c r="M5264" s="20"/>
      <c r="N5264" s="20"/>
      <c r="O5264" s="20"/>
      <c r="P5264" s="20"/>
    </row>
    <row r="5265">
      <c r="A5265" s="10"/>
      <c r="B5265" s="11"/>
      <c r="C5265" s="10"/>
      <c r="D5265" s="13"/>
      <c r="E5265" s="14"/>
      <c r="F5265" s="14"/>
      <c r="G5265" s="14"/>
      <c r="H5265" s="10"/>
      <c r="I5265" s="17"/>
      <c r="J5265" s="10"/>
      <c r="K5265" s="46"/>
      <c r="L5265" s="10"/>
      <c r="M5265" s="20"/>
      <c r="N5265" s="20"/>
      <c r="O5265" s="20"/>
      <c r="P5265" s="20"/>
    </row>
    <row r="5266">
      <c r="A5266" s="23"/>
      <c r="B5266" s="21"/>
      <c r="C5266" s="23"/>
      <c r="D5266" s="24"/>
      <c r="E5266" s="14"/>
      <c r="F5266" s="14"/>
      <c r="G5266" s="14"/>
      <c r="H5266" s="23"/>
      <c r="I5266" s="27"/>
      <c r="J5266" s="23"/>
      <c r="K5266" s="30"/>
      <c r="L5266" s="23"/>
      <c r="M5266" s="20"/>
      <c r="N5266" s="20"/>
      <c r="O5266" s="20"/>
      <c r="P5266" s="20"/>
    </row>
    <row r="5267">
      <c r="A5267" s="10"/>
      <c r="B5267" s="11"/>
      <c r="C5267" s="10"/>
      <c r="D5267" s="13"/>
      <c r="E5267" s="14"/>
      <c r="F5267" s="14"/>
      <c r="G5267" s="14"/>
      <c r="H5267" s="10"/>
      <c r="I5267" s="17"/>
      <c r="J5267" s="10"/>
      <c r="K5267" s="46"/>
      <c r="L5267" s="10"/>
      <c r="M5267" s="20"/>
      <c r="N5267" s="20"/>
      <c r="O5267" s="20"/>
      <c r="P5267" s="20"/>
    </row>
    <row r="5268">
      <c r="A5268" s="23"/>
      <c r="B5268" s="21"/>
      <c r="C5268" s="23"/>
      <c r="D5268" s="24"/>
      <c r="E5268" s="14"/>
      <c r="F5268" s="14"/>
      <c r="G5268" s="14"/>
      <c r="H5268" s="23"/>
      <c r="I5268" s="27"/>
      <c r="J5268" s="23"/>
      <c r="K5268" s="30"/>
      <c r="L5268" s="23"/>
      <c r="M5268" s="20"/>
      <c r="N5268" s="20"/>
      <c r="O5268" s="20"/>
      <c r="P5268" s="20"/>
    </row>
    <row r="5269">
      <c r="A5269" s="10"/>
      <c r="B5269" s="11"/>
      <c r="C5269" s="10"/>
      <c r="D5269" s="13"/>
      <c r="E5269" s="14"/>
      <c r="F5269" s="14"/>
      <c r="G5269" s="14"/>
      <c r="H5269" s="10"/>
      <c r="I5269" s="17"/>
      <c r="J5269" s="10"/>
      <c r="K5269" s="46"/>
      <c r="L5269" s="10"/>
      <c r="M5269" s="20"/>
      <c r="N5269" s="20"/>
      <c r="O5269" s="20"/>
      <c r="P5269" s="20"/>
    </row>
    <row r="5270">
      <c r="A5270" s="23"/>
      <c r="B5270" s="21"/>
      <c r="C5270" s="23"/>
      <c r="D5270" s="24"/>
      <c r="E5270" s="14"/>
      <c r="F5270" s="14"/>
      <c r="G5270" s="14"/>
      <c r="H5270" s="23"/>
      <c r="I5270" s="27"/>
      <c r="J5270" s="23"/>
      <c r="K5270" s="30"/>
      <c r="L5270" s="23"/>
      <c r="M5270" s="20"/>
      <c r="N5270" s="20"/>
      <c r="O5270" s="20"/>
      <c r="P5270" s="20"/>
    </row>
    <row r="5271">
      <c r="A5271" s="10"/>
      <c r="B5271" s="11"/>
      <c r="C5271" s="10"/>
      <c r="D5271" s="13"/>
      <c r="E5271" s="14"/>
      <c r="F5271" s="14"/>
      <c r="G5271" s="14"/>
      <c r="H5271" s="10"/>
      <c r="I5271" s="17"/>
      <c r="J5271" s="10"/>
      <c r="K5271" s="46"/>
      <c r="L5271" s="10"/>
      <c r="M5271" s="20"/>
      <c r="N5271" s="20"/>
      <c r="O5271" s="20"/>
      <c r="P5271" s="20"/>
    </row>
    <row r="5272">
      <c r="A5272" s="23"/>
      <c r="B5272" s="21"/>
      <c r="C5272" s="23"/>
      <c r="D5272" s="24"/>
      <c r="E5272" s="14"/>
      <c r="F5272" s="14"/>
      <c r="G5272" s="14"/>
      <c r="H5272" s="23"/>
      <c r="I5272" s="27"/>
      <c r="J5272" s="23"/>
      <c r="K5272" s="30"/>
      <c r="L5272" s="23"/>
      <c r="M5272" s="20"/>
      <c r="N5272" s="20"/>
      <c r="O5272" s="20"/>
      <c r="P5272" s="20"/>
    </row>
    <row r="5273">
      <c r="A5273" s="10"/>
      <c r="B5273" s="11"/>
      <c r="C5273" s="10"/>
      <c r="D5273" s="13"/>
      <c r="E5273" s="14"/>
      <c r="F5273" s="14"/>
      <c r="G5273" s="14"/>
      <c r="H5273" s="10"/>
      <c r="I5273" s="17"/>
      <c r="J5273" s="10"/>
      <c r="K5273" s="46"/>
      <c r="L5273" s="10"/>
      <c r="M5273" s="20"/>
      <c r="N5273" s="20"/>
      <c r="O5273" s="20"/>
      <c r="P5273" s="20"/>
    </row>
    <row r="5274">
      <c r="A5274" s="23"/>
      <c r="B5274" s="21"/>
      <c r="C5274" s="23"/>
      <c r="D5274" s="24"/>
      <c r="E5274" s="14"/>
      <c r="F5274" s="14"/>
      <c r="G5274" s="14"/>
      <c r="H5274" s="23"/>
      <c r="I5274" s="27"/>
      <c r="J5274" s="23"/>
      <c r="K5274" s="30"/>
      <c r="L5274" s="23"/>
      <c r="M5274" s="20"/>
      <c r="N5274" s="20"/>
      <c r="O5274" s="20"/>
      <c r="P5274" s="20"/>
    </row>
    <row r="5275">
      <c r="A5275" s="10"/>
      <c r="B5275" s="11"/>
      <c r="C5275" s="10"/>
      <c r="D5275" s="13"/>
      <c r="E5275" s="14"/>
      <c r="F5275" s="14"/>
      <c r="G5275" s="14"/>
      <c r="H5275" s="10"/>
      <c r="I5275" s="17"/>
      <c r="J5275" s="10"/>
      <c r="K5275" s="46"/>
      <c r="L5275" s="10"/>
      <c r="M5275" s="20"/>
      <c r="N5275" s="20"/>
      <c r="O5275" s="20"/>
      <c r="P5275" s="20"/>
    </row>
    <row r="5276">
      <c r="A5276" s="23"/>
      <c r="B5276" s="21"/>
      <c r="C5276" s="23"/>
      <c r="D5276" s="24"/>
      <c r="E5276" s="14"/>
      <c r="F5276" s="14"/>
      <c r="G5276" s="14"/>
      <c r="H5276" s="23"/>
      <c r="I5276" s="27"/>
      <c r="J5276" s="23"/>
      <c r="K5276" s="30"/>
      <c r="L5276" s="23"/>
      <c r="M5276" s="20"/>
      <c r="N5276" s="20"/>
      <c r="O5276" s="20"/>
      <c r="P5276" s="20"/>
    </row>
    <row r="5277">
      <c r="A5277" s="10"/>
      <c r="B5277" s="11"/>
      <c r="C5277" s="10"/>
      <c r="D5277" s="13"/>
      <c r="E5277" s="14"/>
      <c r="F5277" s="14"/>
      <c r="G5277" s="14"/>
      <c r="H5277" s="10"/>
      <c r="I5277" s="17"/>
      <c r="J5277" s="10"/>
      <c r="K5277" s="46"/>
      <c r="L5277" s="10"/>
      <c r="M5277" s="20"/>
      <c r="N5277" s="20"/>
      <c r="O5277" s="20"/>
      <c r="P5277" s="20"/>
    </row>
    <row r="5278">
      <c r="A5278" s="23"/>
      <c r="B5278" s="21"/>
      <c r="C5278" s="23"/>
      <c r="D5278" s="24"/>
      <c r="E5278" s="14"/>
      <c r="F5278" s="14"/>
      <c r="G5278" s="14"/>
      <c r="H5278" s="23"/>
      <c r="I5278" s="27"/>
      <c r="J5278" s="23"/>
      <c r="K5278" s="30"/>
      <c r="L5278" s="23"/>
      <c r="M5278" s="20"/>
      <c r="N5278" s="20"/>
      <c r="O5278" s="20"/>
      <c r="P5278" s="20"/>
    </row>
    <row r="5279">
      <c r="A5279" s="10"/>
      <c r="B5279" s="11"/>
      <c r="C5279" s="10"/>
      <c r="D5279" s="13"/>
      <c r="E5279" s="14"/>
      <c r="F5279" s="14"/>
      <c r="G5279" s="14"/>
      <c r="H5279" s="10"/>
      <c r="I5279" s="17"/>
      <c r="J5279" s="10"/>
      <c r="K5279" s="46"/>
      <c r="L5279" s="10"/>
      <c r="M5279" s="20"/>
      <c r="N5279" s="20"/>
      <c r="O5279" s="20"/>
      <c r="P5279" s="20"/>
    </row>
    <row r="5280">
      <c r="A5280" s="23"/>
      <c r="B5280" s="21"/>
      <c r="C5280" s="23"/>
      <c r="D5280" s="24"/>
      <c r="E5280" s="14"/>
      <c r="F5280" s="14"/>
      <c r="G5280" s="14"/>
      <c r="H5280" s="23"/>
      <c r="I5280" s="27"/>
      <c r="J5280" s="23"/>
      <c r="K5280" s="30"/>
      <c r="L5280" s="23"/>
      <c r="M5280" s="20"/>
      <c r="N5280" s="20"/>
      <c r="O5280" s="20"/>
      <c r="P5280" s="20"/>
    </row>
    <row r="5281">
      <c r="A5281" s="10"/>
      <c r="B5281" s="11"/>
      <c r="C5281" s="10"/>
      <c r="D5281" s="13"/>
      <c r="E5281" s="14"/>
      <c r="F5281" s="14"/>
      <c r="G5281" s="14"/>
      <c r="H5281" s="10"/>
      <c r="I5281" s="17"/>
      <c r="J5281" s="10"/>
      <c r="K5281" s="46"/>
      <c r="L5281" s="10"/>
      <c r="M5281" s="20"/>
      <c r="N5281" s="20"/>
      <c r="O5281" s="20"/>
      <c r="P5281" s="20"/>
    </row>
    <row r="5282">
      <c r="A5282" s="23"/>
      <c r="B5282" s="21"/>
      <c r="C5282" s="23"/>
      <c r="D5282" s="24"/>
      <c r="E5282" s="14"/>
      <c r="F5282" s="14"/>
      <c r="G5282" s="14"/>
      <c r="H5282" s="23"/>
      <c r="I5282" s="27"/>
      <c r="J5282" s="23"/>
      <c r="K5282" s="30"/>
      <c r="L5282" s="23"/>
      <c r="M5282" s="20"/>
      <c r="N5282" s="20"/>
      <c r="O5282" s="20"/>
      <c r="P5282" s="20"/>
    </row>
    <row r="5283">
      <c r="A5283" s="10"/>
      <c r="B5283" s="11"/>
      <c r="C5283" s="10"/>
      <c r="D5283" s="13"/>
      <c r="E5283" s="14"/>
      <c r="F5283" s="14"/>
      <c r="G5283" s="14"/>
      <c r="H5283" s="10"/>
      <c r="I5283" s="17"/>
      <c r="J5283" s="10"/>
      <c r="K5283" s="46"/>
      <c r="L5283" s="10"/>
      <c r="M5283" s="20"/>
      <c r="N5283" s="20"/>
      <c r="O5283" s="20"/>
      <c r="P5283" s="20"/>
    </row>
    <row r="5284">
      <c r="A5284" s="23"/>
      <c r="B5284" s="21"/>
      <c r="C5284" s="23"/>
      <c r="D5284" s="24"/>
      <c r="E5284" s="14"/>
      <c r="F5284" s="14"/>
      <c r="G5284" s="14"/>
      <c r="H5284" s="23"/>
      <c r="I5284" s="27"/>
      <c r="J5284" s="23"/>
      <c r="K5284" s="30"/>
      <c r="L5284" s="23"/>
      <c r="M5284" s="20"/>
      <c r="N5284" s="20"/>
      <c r="O5284" s="20"/>
      <c r="P5284" s="20"/>
    </row>
    <row r="5285">
      <c r="A5285" s="10"/>
      <c r="B5285" s="11"/>
      <c r="C5285" s="10"/>
      <c r="D5285" s="13"/>
      <c r="E5285" s="14"/>
      <c r="F5285" s="14"/>
      <c r="G5285" s="14"/>
      <c r="H5285" s="10"/>
      <c r="I5285" s="17"/>
      <c r="J5285" s="10"/>
      <c r="K5285" s="46"/>
      <c r="L5285" s="10"/>
      <c r="M5285" s="20"/>
      <c r="N5285" s="20"/>
      <c r="O5285" s="20"/>
      <c r="P5285" s="20"/>
    </row>
    <row r="5286">
      <c r="A5286" s="23"/>
      <c r="B5286" s="21"/>
      <c r="C5286" s="23"/>
      <c r="D5286" s="24"/>
      <c r="E5286" s="14"/>
      <c r="F5286" s="14"/>
      <c r="G5286" s="14"/>
      <c r="H5286" s="23"/>
      <c r="I5286" s="27"/>
      <c r="J5286" s="23"/>
      <c r="K5286" s="30"/>
      <c r="L5286" s="23"/>
      <c r="M5286" s="20"/>
      <c r="N5286" s="20"/>
      <c r="O5286" s="20"/>
      <c r="P5286" s="20"/>
    </row>
    <row r="5287">
      <c r="A5287" s="10"/>
      <c r="B5287" s="11"/>
      <c r="C5287" s="10"/>
      <c r="D5287" s="13"/>
      <c r="E5287" s="14"/>
      <c r="F5287" s="14"/>
      <c r="G5287" s="14"/>
      <c r="H5287" s="10"/>
      <c r="I5287" s="17"/>
      <c r="J5287" s="10"/>
      <c r="K5287" s="46"/>
      <c r="L5287" s="10"/>
      <c r="M5287" s="20"/>
      <c r="N5287" s="20"/>
      <c r="O5287" s="20"/>
      <c r="P5287" s="20"/>
    </row>
    <row r="5288">
      <c r="A5288" s="23"/>
      <c r="B5288" s="21"/>
      <c r="C5288" s="23"/>
      <c r="D5288" s="24"/>
      <c r="E5288" s="14"/>
      <c r="F5288" s="14"/>
      <c r="G5288" s="14"/>
      <c r="H5288" s="23"/>
      <c r="I5288" s="27"/>
      <c r="J5288" s="23"/>
      <c r="K5288" s="30"/>
      <c r="L5288" s="23"/>
      <c r="M5288" s="20"/>
      <c r="N5288" s="20"/>
      <c r="O5288" s="20"/>
      <c r="P5288" s="20"/>
    </row>
    <row r="5289">
      <c r="A5289" s="10"/>
      <c r="B5289" s="11"/>
      <c r="C5289" s="10"/>
      <c r="D5289" s="13"/>
      <c r="E5289" s="14"/>
      <c r="F5289" s="14"/>
      <c r="G5289" s="14"/>
      <c r="H5289" s="10"/>
      <c r="I5289" s="17"/>
      <c r="J5289" s="10"/>
      <c r="K5289" s="46"/>
      <c r="L5289" s="10"/>
      <c r="M5289" s="20"/>
      <c r="N5289" s="20"/>
      <c r="O5289" s="20"/>
      <c r="P5289" s="20"/>
    </row>
    <row r="5290">
      <c r="A5290" s="23"/>
      <c r="B5290" s="21"/>
      <c r="C5290" s="23"/>
      <c r="D5290" s="24"/>
      <c r="E5290" s="14"/>
      <c r="F5290" s="14"/>
      <c r="G5290" s="14"/>
      <c r="H5290" s="23"/>
      <c r="I5290" s="27"/>
      <c r="J5290" s="23"/>
      <c r="K5290" s="30"/>
      <c r="L5290" s="23"/>
      <c r="M5290" s="20"/>
      <c r="N5290" s="20"/>
      <c r="O5290" s="20"/>
      <c r="P5290" s="20"/>
    </row>
    <row r="5291">
      <c r="A5291" s="10"/>
      <c r="B5291" s="11"/>
      <c r="C5291" s="10"/>
      <c r="D5291" s="13"/>
      <c r="E5291" s="14"/>
      <c r="F5291" s="14"/>
      <c r="G5291" s="14"/>
      <c r="H5291" s="10"/>
      <c r="I5291" s="17"/>
      <c r="J5291" s="10"/>
      <c r="K5291" s="46"/>
      <c r="L5291" s="10"/>
      <c r="M5291" s="20"/>
      <c r="N5291" s="20"/>
      <c r="O5291" s="20"/>
      <c r="P5291" s="20"/>
    </row>
    <row r="5292">
      <c r="A5292" s="23"/>
      <c r="B5292" s="21"/>
      <c r="C5292" s="23"/>
      <c r="D5292" s="24"/>
      <c r="E5292" s="14"/>
      <c r="F5292" s="14"/>
      <c r="G5292" s="14"/>
      <c r="H5292" s="23"/>
      <c r="I5292" s="27"/>
      <c r="J5292" s="23"/>
      <c r="K5292" s="30"/>
      <c r="L5292" s="23"/>
      <c r="M5292" s="20"/>
      <c r="N5292" s="20"/>
      <c r="O5292" s="20"/>
      <c r="P5292" s="20"/>
    </row>
    <row r="5293">
      <c r="A5293" s="10"/>
      <c r="B5293" s="11"/>
      <c r="C5293" s="10"/>
      <c r="D5293" s="13"/>
      <c r="E5293" s="14"/>
      <c r="F5293" s="14"/>
      <c r="G5293" s="14"/>
      <c r="H5293" s="10"/>
      <c r="I5293" s="17"/>
      <c r="J5293" s="10"/>
      <c r="K5293" s="46"/>
      <c r="L5293" s="10"/>
      <c r="M5293" s="20"/>
      <c r="N5293" s="20"/>
      <c r="O5293" s="20"/>
      <c r="P5293" s="20"/>
    </row>
    <row r="5294">
      <c r="A5294" s="23"/>
      <c r="B5294" s="21"/>
      <c r="C5294" s="23"/>
      <c r="D5294" s="24"/>
      <c r="E5294" s="14"/>
      <c r="F5294" s="14"/>
      <c r="G5294" s="14"/>
      <c r="H5294" s="23"/>
      <c r="I5294" s="27"/>
      <c r="J5294" s="23"/>
      <c r="K5294" s="30"/>
      <c r="L5294" s="23"/>
      <c r="M5294" s="20"/>
      <c r="N5294" s="20"/>
      <c r="O5294" s="20"/>
      <c r="P5294" s="20"/>
    </row>
    <row r="5295">
      <c r="A5295" s="10"/>
      <c r="B5295" s="11"/>
      <c r="C5295" s="10"/>
      <c r="D5295" s="13"/>
      <c r="E5295" s="14"/>
      <c r="F5295" s="14"/>
      <c r="G5295" s="14"/>
      <c r="H5295" s="10"/>
      <c r="I5295" s="17"/>
      <c r="J5295" s="10"/>
      <c r="K5295" s="46"/>
      <c r="L5295" s="10"/>
      <c r="M5295" s="20"/>
      <c r="N5295" s="20"/>
      <c r="O5295" s="20"/>
      <c r="P5295" s="20"/>
    </row>
    <row r="5296">
      <c r="A5296" s="23"/>
      <c r="B5296" s="21"/>
      <c r="C5296" s="23"/>
      <c r="D5296" s="24"/>
      <c r="E5296" s="14"/>
      <c r="F5296" s="14"/>
      <c r="G5296" s="14"/>
      <c r="H5296" s="23"/>
      <c r="I5296" s="27"/>
      <c r="J5296" s="23"/>
      <c r="K5296" s="30"/>
      <c r="L5296" s="23"/>
      <c r="M5296" s="20"/>
      <c r="N5296" s="20"/>
      <c r="O5296" s="20"/>
      <c r="P5296" s="20"/>
    </row>
    <row r="5297">
      <c r="A5297" s="10"/>
      <c r="B5297" s="11"/>
      <c r="C5297" s="10"/>
      <c r="D5297" s="13"/>
      <c r="E5297" s="14"/>
      <c r="F5297" s="14"/>
      <c r="G5297" s="14"/>
      <c r="H5297" s="10"/>
      <c r="I5297" s="17"/>
      <c r="J5297" s="10"/>
      <c r="K5297" s="46"/>
      <c r="L5297" s="10"/>
      <c r="M5297" s="20"/>
      <c r="N5297" s="20"/>
      <c r="O5297" s="20"/>
      <c r="P5297" s="20"/>
    </row>
    <row r="5298">
      <c r="A5298" s="23"/>
      <c r="B5298" s="21"/>
      <c r="C5298" s="23"/>
      <c r="D5298" s="24"/>
      <c r="E5298" s="14"/>
      <c r="F5298" s="14"/>
      <c r="G5298" s="14"/>
      <c r="H5298" s="23"/>
      <c r="I5298" s="27"/>
      <c r="J5298" s="23"/>
      <c r="K5298" s="30"/>
      <c r="L5298" s="23"/>
      <c r="M5298" s="20"/>
      <c r="N5298" s="20"/>
      <c r="O5298" s="20"/>
      <c r="P5298" s="20"/>
    </row>
    <row r="5299">
      <c r="A5299" s="10"/>
      <c r="B5299" s="11"/>
      <c r="C5299" s="10"/>
      <c r="D5299" s="13"/>
      <c r="E5299" s="14"/>
      <c r="F5299" s="14"/>
      <c r="G5299" s="14"/>
      <c r="H5299" s="10"/>
      <c r="I5299" s="17"/>
      <c r="J5299" s="10"/>
      <c r="K5299" s="46"/>
      <c r="L5299" s="10"/>
      <c r="M5299" s="20"/>
      <c r="N5299" s="20"/>
      <c r="O5299" s="20"/>
      <c r="P5299" s="20"/>
    </row>
    <row r="5300">
      <c r="A5300" s="23"/>
      <c r="B5300" s="21"/>
      <c r="C5300" s="23"/>
      <c r="D5300" s="24"/>
      <c r="E5300" s="14"/>
      <c r="F5300" s="14"/>
      <c r="G5300" s="14"/>
      <c r="H5300" s="23"/>
      <c r="I5300" s="27"/>
      <c r="J5300" s="23"/>
      <c r="K5300" s="30"/>
      <c r="L5300" s="23"/>
      <c r="M5300" s="20"/>
      <c r="N5300" s="20"/>
      <c r="O5300" s="20"/>
      <c r="P5300" s="20"/>
    </row>
    <row r="5301">
      <c r="A5301" s="10"/>
      <c r="B5301" s="11"/>
      <c r="C5301" s="10"/>
      <c r="D5301" s="13"/>
      <c r="E5301" s="14"/>
      <c r="F5301" s="14"/>
      <c r="G5301" s="14"/>
      <c r="H5301" s="10"/>
      <c r="I5301" s="17"/>
      <c r="J5301" s="10"/>
      <c r="K5301" s="46"/>
      <c r="L5301" s="10"/>
      <c r="M5301" s="20"/>
      <c r="N5301" s="20"/>
      <c r="O5301" s="20"/>
      <c r="P5301" s="20"/>
    </row>
    <row r="5302">
      <c r="A5302" s="23"/>
      <c r="B5302" s="21"/>
      <c r="C5302" s="23"/>
      <c r="D5302" s="24"/>
      <c r="E5302" s="14"/>
      <c r="F5302" s="14"/>
      <c r="G5302" s="14"/>
      <c r="H5302" s="23"/>
      <c r="I5302" s="27"/>
      <c r="J5302" s="23"/>
      <c r="K5302" s="30"/>
      <c r="L5302" s="23"/>
      <c r="M5302" s="20"/>
      <c r="N5302" s="20"/>
      <c r="O5302" s="20"/>
      <c r="P5302" s="20"/>
    </row>
    <row r="5303">
      <c r="A5303" s="10"/>
      <c r="B5303" s="11"/>
      <c r="C5303" s="10"/>
      <c r="D5303" s="13"/>
      <c r="E5303" s="14"/>
      <c r="F5303" s="14"/>
      <c r="G5303" s="14"/>
      <c r="H5303" s="10"/>
      <c r="I5303" s="17"/>
      <c r="J5303" s="10"/>
      <c r="K5303" s="46"/>
      <c r="L5303" s="10"/>
      <c r="M5303" s="20"/>
      <c r="N5303" s="20"/>
      <c r="O5303" s="20"/>
      <c r="P5303" s="20"/>
    </row>
    <row r="5304">
      <c r="A5304" s="23"/>
      <c r="B5304" s="21"/>
      <c r="C5304" s="23"/>
      <c r="D5304" s="24"/>
      <c r="E5304" s="14"/>
      <c r="F5304" s="14"/>
      <c r="G5304" s="14"/>
      <c r="H5304" s="23"/>
      <c r="I5304" s="27"/>
      <c r="J5304" s="23"/>
      <c r="K5304" s="30"/>
      <c r="L5304" s="23"/>
      <c r="M5304" s="20"/>
      <c r="N5304" s="20"/>
      <c r="O5304" s="20"/>
      <c r="P5304" s="20"/>
    </row>
    <row r="5305">
      <c r="A5305" s="10"/>
      <c r="B5305" s="11"/>
      <c r="C5305" s="10"/>
      <c r="D5305" s="13"/>
      <c r="E5305" s="14"/>
      <c r="F5305" s="14"/>
      <c r="G5305" s="14"/>
      <c r="H5305" s="10"/>
      <c r="I5305" s="17"/>
      <c r="J5305" s="10"/>
      <c r="K5305" s="46"/>
      <c r="L5305" s="10"/>
      <c r="M5305" s="20"/>
      <c r="N5305" s="20"/>
      <c r="O5305" s="20"/>
      <c r="P5305" s="20"/>
    </row>
    <row r="5306">
      <c r="A5306" s="23"/>
      <c r="B5306" s="21"/>
      <c r="C5306" s="23"/>
      <c r="D5306" s="24"/>
      <c r="E5306" s="14"/>
      <c r="F5306" s="14"/>
      <c r="G5306" s="14"/>
      <c r="H5306" s="23"/>
      <c r="I5306" s="27"/>
      <c r="J5306" s="23"/>
      <c r="K5306" s="30"/>
      <c r="L5306" s="23"/>
      <c r="M5306" s="20"/>
      <c r="N5306" s="20"/>
      <c r="O5306" s="20"/>
      <c r="P5306" s="20"/>
    </row>
    <row r="5307">
      <c r="A5307" s="10"/>
      <c r="B5307" s="11"/>
      <c r="C5307" s="10"/>
      <c r="D5307" s="13"/>
      <c r="E5307" s="14"/>
      <c r="F5307" s="14"/>
      <c r="G5307" s="14"/>
      <c r="H5307" s="10"/>
      <c r="I5307" s="17"/>
      <c r="J5307" s="10"/>
      <c r="K5307" s="46"/>
      <c r="L5307" s="10"/>
      <c r="M5307" s="20"/>
      <c r="N5307" s="20"/>
      <c r="O5307" s="20"/>
      <c r="P5307" s="20"/>
    </row>
    <row r="5308">
      <c r="A5308" s="23"/>
      <c r="B5308" s="21"/>
      <c r="C5308" s="23"/>
      <c r="D5308" s="24"/>
      <c r="E5308" s="14"/>
      <c r="F5308" s="14"/>
      <c r="G5308" s="14"/>
      <c r="H5308" s="23"/>
      <c r="I5308" s="27"/>
      <c r="J5308" s="23"/>
      <c r="K5308" s="30"/>
      <c r="L5308" s="23"/>
      <c r="M5308" s="20"/>
      <c r="N5308" s="20"/>
      <c r="O5308" s="20"/>
      <c r="P5308" s="20"/>
    </row>
    <row r="5309">
      <c r="A5309" s="10"/>
      <c r="B5309" s="11"/>
      <c r="C5309" s="10"/>
      <c r="D5309" s="13"/>
      <c r="E5309" s="14"/>
      <c r="F5309" s="14"/>
      <c r="G5309" s="14"/>
      <c r="H5309" s="10"/>
      <c r="I5309" s="17"/>
      <c r="J5309" s="10"/>
      <c r="K5309" s="46"/>
      <c r="L5309" s="10"/>
      <c r="M5309" s="20"/>
      <c r="N5309" s="20"/>
      <c r="O5309" s="20"/>
      <c r="P5309" s="20"/>
    </row>
    <row r="5310">
      <c r="A5310" s="23"/>
      <c r="B5310" s="21"/>
      <c r="C5310" s="23"/>
      <c r="D5310" s="24"/>
      <c r="E5310" s="14"/>
      <c r="F5310" s="14"/>
      <c r="G5310" s="14"/>
      <c r="H5310" s="23"/>
      <c r="I5310" s="27"/>
      <c r="J5310" s="23"/>
      <c r="K5310" s="30"/>
      <c r="L5310" s="23"/>
      <c r="M5310" s="20"/>
      <c r="N5310" s="20"/>
      <c r="O5310" s="20"/>
      <c r="P5310" s="20"/>
    </row>
    <row r="5311">
      <c r="A5311" s="10"/>
      <c r="B5311" s="11"/>
      <c r="C5311" s="10"/>
      <c r="D5311" s="13"/>
      <c r="E5311" s="14"/>
      <c r="F5311" s="14"/>
      <c r="G5311" s="14"/>
      <c r="H5311" s="10"/>
      <c r="I5311" s="17"/>
      <c r="J5311" s="10"/>
      <c r="K5311" s="46"/>
      <c r="L5311" s="10"/>
      <c r="M5311" s="20"/>
      <c r="N5311" s="20"/>
      <c r="O5311" s="20"/>
      <c r="P5311" s="20"/>
    </row>
    <row r="5312">
      <c r="A5312" s="23"/>
      <c r="B5312" s="21"/>
      <c r="C5312" s="23"/>
      <c r="D5312" s="24"/>
      <c r="E5312" s="14"/>
      <c r="F5312" s="14"/>
      <c r="G5312" s="14"/>
      <c r="H5312" s="23"/>
      <c r="I5312" s="27"/>
      <c r="J5312" s="23"/>
      <c r="K5312" s="30"/>
      <c r="L5312" s="23"/>
      <c r="M5312" s="20"/>
      <c r="N5312" s="20"/>
      <c r="O5312" s="20"/>
      <c r="P5312" s="20"/>
    </row>
    <row r="5313">
      <c r="A5313" s="10"/>
      <c r="B5313" s="11"/>
      <c r="C5313" s="10"/>
      <c r="D5313" s="13"/>
      <c r="E5313" s="14"/>
      <c r="F5313" s="14"/>
      <c r="G5313" s="14"/>
      <c r="H5313" s="10"/>
      <c r="I5313" s="17"/>
      <c r="J5313" s="10"/>
      <c r="K5313" s="46"/>
      <c r="L5313" s="10"/>
      <c r="M5313" s="20"/>
      <c r="N5313" s="20"/>
      <c r="O5313" s="20"/>
      <c r="P5313" s="20"/>
    </row>
    <row r="5314">
      <c r="A5314" s="23"/>
      <c r="B5314" s="21"/>
      <c r="C5314" s="23"/>
      <c r="D5314" s="24"/>
      <c r="E5314" s="14"/>
      <c r="F5314" s="14"/>
      <c r="G5314" s="14"/>
      <c r="H5314" s="23"/>
      <c r="I5314" s="27"/>
      <c r="J5314" s="23"/>
      <c r="K5314" s="30"/>
      <c r="L5314" s="23"/>
      <c r="M5314" s="20"/>
      <c r="N5314" s="20"/>
      <c r="O5314" s="20"/>
      <c r="P5314" s="20"/>
    </row>
    <row r="5315">
      <c r="A5315" s="10"/>
      <c r="B5315" s="11"/>
      <c r="C5315" s="10"/>
      <c r="D5315" s="13"/>
      <c r="E5315" s="14"/>
      <c r="F5315" s="14"/>
      <c r="G5315" s="14"/>
      <c r="H5315" s="10"/>
      <c r="I5315" s="17"/>
      <c r="J5315" s="10"/>
      <c r="K5315" s="46"/>
      <c r="L5315" s="10"/>
      <c r="M5315" s="20"/>
      <c r="N5315" s="20"/>
      <c r="O5315" s="20"/>
      <c r="P5315" s="20"/>
    </row>
    <row r="5316">
      <c r="A5316" s="23"/>
      <c r="B5316" s="21"/>
      <c r="C5316" s="23"/>
      <c r="D5316" s="24"/>
      <c r="E5316" s="14"/>
      <c r="F5316" s="14"/>
      <c r="G5316" s="14"/>
      <c r="H5316" s="23"/>
      <c r="I5316" s="27"/>
      <c r="J5316" s="23"/>
      <c r="K5316" s="30"/>
      <c r="L5316" s="23"/>
      <c r="M5316" s="20"/>
      <c r="N5316" s="20"/>
      <c r="O5316" s="20"/>
      <c r="P5316" s="20"/>
    </row>
    <row r="5317">
      <c r="A5317" s="10"/>
      <c r="B5317" s="11"/>
      <c r="C5317" s="10"/>
      <c r="D5317" s="13"/>
      <c r="E5317" s="14"/>
      <c r="F5317" s="14"/>
      <c r="G5317" s="14"/>
      <c r="H5317" s="10"/>
      <c r="I5317" s="17"/>
      <c r="J5317" s="10"/>
      <c r="K5317" s="46"/>
      <c r="L5317" s="10"/>
      <c r="M5317" s="20"/>
      <c r="N5317" s="20"/>
      <c r="O5317" s="20"/>
      <c r="P5317" s="20"/>
    </row>
    <row r="5318">
      <c r="A5318" s="23"/>
      <c r="B5318" s="21"/>
      <c r="C5318" s="23"/>
      <c r="D5318" s="24"/>
      <c r="E5318" s="14"/>
      <c r="F5318" s="14"/>
      <c r="G5318" s="14"/>
      <c r="H5318" s="23"/>
      <c r="I5318" s="27"/>
      <c r="J5318" s="23"/>
      <c r="K5318" s="30"/>
      <c r="L5318" s="23"/>
      <c r="M5318" s="20"/>
      <c r="N5318" s="20"/>
      <c r="O5318" s="20"/>
      <c r="P5318" s="20"/>
    </row>
    <row r="5319">
      <c r="A5319" s="10"/>
      <c r="B5319" s="11"/>
      <c r="C5319" s="10"/>
      <c r="D5319" s="13"/>
      <c r="E5319" s="14"/>
      <c r="F5319" s="14"/>
      <c r="G5319" s="14"/>
      <c r="H5319" s="10"/>
      <c r="I5319" s="17"/>
      <c r="J5319" s="10"/>
      <c r="K5319" s="46"/>
      <c r="L5319" s="10"/>
      <c r="M5319" s="20"/>
      <c r="N5319" s="20"/>
      <c r="O5319" s="20"/>
      <c r="P5319" s="20"/>
    </row>
    <row r="5320">
      <c r="A5320" s="23"/>
      <c r="B5320" s="21"/>
      <c r="C5320" s="23"/>
      <c r="D5320" s="24"/>
      <c r="E5320" s="14"/>
      <c r="F5320" s="14"/>
      <c r="G5320" s="14"/>
      <c r="H5320" s="23"/>
      <c r="I5320" s="27"/>
      <c r="J5320" s="23"/>
      <c r="K5320" s="30"/>
      <c r="L5320" s="23"/>
      <c r="M5320" s="20"/>
      <c r="N5320" s="20"/>
      <c r="O5320" s="20"/>
      <c r="P5320" s="20"/>
    </row>
    <row r="5321">
      <c r="A5321" s="10"/>
      <c r="B5321" s="11"/>
      <c r="C5321" s="10"/>
      <c r="D5321" s="13"/>
      <c r="E5321" s="14"/>
      <c r="F5321" s="14"/>
      <c r="G5321" s="14"/>
      <c r="H5321" s="10"/>
      <c r="I5321" s="17"/>
      <c r="J5321" s="10"/>
      <c r="K5321" s="46"/>
      <c r="L5321" s="10"/>
      <c r="M5321" s="20"/>
      <c r="N5321" s="20"/>
      <c r="O5321" s="20"/>
      <c r="P5321" s="20"/>
    </row>
    <row r="5322">
      <c r="A5322" s="23"/>
      <c r="B5322" s="21"/>
      <c r="C5322" s="23"/>
      <c r="D5322" s="24"/>
      <c r="E5322" s="14"/>
      <c r="F5322" s="14"/>
      <c r="G5322" s="14"/>
      <c r="H5322" s="23"/>
      <c r="I5322" s="27"/>
      <c r="J5322" s="23"/>
      <c r="K5322" s="30"/>
      <c r="L5322" s="23"/>
      <c r="M5322" s="20"/>
      <c r="N5322" s="20"/>
      <c r="O5322" s="20"/>
      <c r="P5322" s="20"/>
    </row>
    <row r="5323">
      <c r="A5323" s="10"/>
      <c r="B5323" s="11"/>
      <c r="C5323" s="10"/>
      <c r="D5323" s="13"/>
      <c r="E5323" s="14"/>
      <c r="F5323" s="14"/>
      <c r="G5323" s="14"/>
      <c r="H5323" s="10"/>
      <c r="I5323" s="17"/>
      <c r="J5323" s="10"/>
      <c r="K5323" s="46"/>
      <c r="L5323" s="10"/>
      <c r="M5323" s="20"/>
      <c r="N5323" s="20"/>
      <c r="O5323" s="20"/>
      <c r="P5323" s="20"/>
    </row>
    <row r="5324">
      <c r="A5324" s="23"/>
      <c r="B5324" s="21"/>
      <c r="C5324" s="23"/>
      <c r="D5324" s="24"/>
      <c r="E5324" s="14"/>
      <c r="F5324" s="14"/>
      <c r="G5324" s="14"/>
      <c r="H5324" s="23"/>
      <c r="I5324" s="27"/>
      <c r="J5324" s="23"/>
      <c r="K5324" s="30"/>
      <c r="L5324" s="23"/>
      <c r="M5324" s="20"/>
      <c r="N5324" s="20"/>
      <c r="O5324" s="20"/>
      <c r="P5324" s="20"/>
    </row>
    <row r="5325">
      <c r="A5325" s="10"/>
      <c r="B5325" s="11"/>
      <c r="C5325" s="10"/>
      <c r="D5325" s="13"/>
      <c r="E5325" s="14"/>
      <c r="F5325" s="14"/>
      <c r="G5325" s="14"/>
      <c r="H5325" s="10"/>
      <c r="I5325" s="17"/>
      <c r="J5325" s="10"/>
      <c r="K5325" s="46"/>
      <c r="L5325" s="10"/>
      <c r="M5325" s="20"/>
      <c r="N5325" s="20"/>
      <c r="O5325" s="20"/>
      <c r="P5325" s="20"/>
    </row>
    <row r="5326">
      <c r="A5326" s="23"/>
      <c r="B5326" s="21"/>
      <c r="C5326" s="23"/>
      <c r="D5326" s="24"/>
      <c r="E5326" s="14"/>
      <c r="F5326" s="14"/>
      <c r="G5326" s="14"/>
      <c r="H5326" s="23"/>
      <c r="I5326" s="27"/>
      <c r="J5326" s="23"/>
      <c r="K5326" s="30"/>
      <c r="L5326" s="23"/>
      <c r="M5326" s="20"/>
      <c r="N5326" s="20"/>
      <c r="O5326" s="20"/>
      <c r="P5326" s="20"/>
    </row>
    <row r="5327">
      <c r="A5327" s="10"/>
      <c r="B5327" s="11"/>
      <c r="C5327" s="10"/>
      <c r="D5327" s="13"/>
      <c r="E5327" s="14"/>
      <c r="F5327" s="14"/>
      <c r="G5327" s="14"/>
      <c r="H5327" s="10"/>
      <c r="I5327" s="17"/>
      <c r="J5327" s="10"/>
      <c r="K5327" s="46"/>
      <c r="L5327" s="10"/>
      <c r="M5327" s="20"/>
      <c r="N5327" s="20"/>
      <c r="O5327" s="20"/>
      <c r="P5327" s="20"/>
    </row>
    <row r="5328">
      <c r="A5328" s="23"/>
      <c r="B5328" s="21"/>
      <c r="C5328" s="23"/>
      <c r="D5328" s="24"/>
      <c r="E5328" s="14"/>
      <c r="F5328" s="14"/>
      <c r="G5328" s="14"/>
      <c r="H5328" s="23"/>
      <c r="I5328" s="27"/>
      <c r="J5328" s="23"/>
      <c r="K5328" s="30"/>
      <c r="L5328" s="23"/>
      <c r="M5328" s="20"/>
      <c r="N5328" s="20"/>
      <c r="O5328" s="20"/>
      <c r="P5328" s="20"/>
    </row>
    <row r="5329">
      <c r="A5329" s="10"/>
      <c r="B5329" s="11"/>
      <c r="C5329" s="10"/>
      <c r="D5329" s="13"/>
      <c r="E5329" s="14"/>
      <c r="F5329" s="14"/>
      <c r="G5329" s="14"/>
      <c r="H5329" s="10"/>
      <c r="I5329" s="17"/>
      <c r="J5329" s="10"/>
      <c r="K5329" s="46"/>
      <c r="L5329" s="10"/>
      <c r="M5329" s="20"/>
      <c r="N5329" s="20"/>
      <c r="O5329" s="20"/>
      <c r="P5329" s="20"/>
    </row>
    <row r="5330">
      <c r="A5330" s="23"/>
      <c r="B5330" s="21"/>
      <c r="C5330" s="23"/>
      <c r="D5330" s="24"/>
      <c r="E5330" s="14"/>
      <c r="F5330" s="14"/>
      <c r="G5330" s="14"/>
      <c r="H5330" s="23"/>
      <c r="I5330" s="27"/>
      <c r="J5330" s="23"/>
      <c r="K5330" s="30"/>
      <c r="L5330" s="23"/>
      <c r="M5330" s="20"/>
      <c r="N5330" s="20"/>
      <c r="O5330" s="20"/>
      <c r="P5330" s="20"/>
    </row>
    <row r="5331">
      <c r="A5331" s="10"/>
      <c r="B5331" s="11"/>
      <c r="C5331" s="10"/>
      <c r="D5331" s="13"/>
      <c r="E5331" s="14"/>
      <c r="F5331" s="14"/>
      <c r="G5331" s="14"/>
      <c r="H5331" s="10"/>
      <c r="I5331" s="17"/>
      <c r="J5331" s="10"/>
      <c r="K5331" s="46"/>
      <c r="L5331" s="10"/>
      <c r="M5331" s="20"/>
      <c r="N5331" s="20"/>
      <c r="O5331" s="20"/>
      <c r="P5331" s="20"/>
    </row>
    <row r="5332">
      <c r="A5332" s="23"/>
      <c r="B5332" s="21"/>
      <c r="C5332" s="23"/>
      <c r="D5332" s="24"/>
      <c r="E5332" s="14"/>
      <c r="F5332" s="14"/>
      <c r="G5332" s="14"/>
      <c r="H5332" s="23"/>
      <c r="I5332" s="27"/>
      <c r="J5332" s="23"/>
      <c r="K5332" s="30"/>
      <c r="L5332" s="23"/>
      <c r="M5332" s="20"/>
      <c r="N5332" s="20"/>
      <c r="O5332" s="20"/>
      <c r="P5332" s="20"/>
    </row>
    <row r="5333">
      <c r="A5333" s="10"/>
      <c r="B5333" s="11"/>
      <c r="C5333" s="10"/>
      <c r="D5333" s="13"/>
      <c r="E5333" s="14"/>
      <c r="F5333" s="14"/>
      <c r="G5333" s="14"/>
      <c r="H5333" s="10"/>
      <c r="I5333" s="17"/>
      <c r="J5333" s="10"/>
      <c r="K5333" s="46"/>
      <c r="L5333" s="10"/>
      <c r="M5333" s="20"/>
      <c r="N5333" s="20"/>
      <c r="O5333" s="20"/>
      <c r="P5333" s="20"/>
    </row>
    <row r="5334">
      <c r="A5334" s="23"/>
      <c r="B5334" s="21"/>
      <c r="C5334" s="23"/>
      <c r="D5334" s="24"/>
      <c r="E5334" s="14"/>
      <c r="F5334" s="14"/>
      <c r="G5334" s="14"/>
      <c r="H5334" s="23"/>
      <c r="I5334" s="27"/>
      <c r="J5334" s="23"/>
      <c r="K5334" s="30"/>
      <c r="L5334" s="23"/>
      <c r="M5334" s="20"/>
      <c r="N5334" s="20"/>
      <c r="O5334" s="20"/>
      <c r="P5334" s="20"/>
    </row>
    <row r="5335">
      <c r="A5335" s="10"/>
      <c r="B5335" s="11"/>
      <c r="C5335" s="10"/>
      <c r="D5335" s="13"/>
      <c r="E5335" s="14"/>
      <c r="F5335" s="14"/>
      <c r="G5335" s="14"/>
      <c r="H5335" s="10"/>
      <c r="I5335" s="17"/>
      <c r="J5335" s="10"/>
      <c r="K5335" s="46"/>
      <c r="L5335" s="10"/>
      <c r="M5335" s="20"/>
      <c r="N5335" s="20"/>
      <c r="O5335" s="20"/>
      <c r="P5335" s="20"/>
    </row>
    <row r="5336">
      <c r="A5336" s="23"/>
      <c r="B5336" s="21"/>
      <c r="C5336" s="23"/>
      <c r="D5336" s="24"/>
      <c r="E5336" s="14"/>
      <c r="F5336" s="14"/>
      <c r="G5336" s="14"/>
      <c r="H5336" s="23"/>
      <c r="I5336" s="27"/>
      <c r="J5336" s="23"/>
      <c r="K5336" s="30"/>
      <c r="L5336" s="23"/>
      <c r="M5336" s="20"/>
      <c r="N5336" s="20"/>
      <c r="O5336" s="20"/>
      <c r="P5336" s="20"/>
    </row>
    <row r="5337">
      <c r="A5337" s="10"/>
      <c r="B5337" s="11"/>
      <c r="C5337" s="10"/>
      <c r="D5337" s="13"/>
      <c r="E5337" s="14"/>
      <c r="F5337" s="14"/>
      <c r="G5337" s="14"/>
      <c r="H5337" s="10"/>
      <c r="I5337" s="17"/>
      <c r="J5337" s="10"/>
      <c r="K5337" s="46"/>
      <c r="L5337" s="10"/>
      <c r="M5337" s="20"/>
      <c r="N5337" s="20"/>
      <c r="O5337" s="20"/>
      <c r="P5337" s="20"/>
    </row>
    <row r="5338">
      <c r="A5338" s="23"/>
      <c r="B5338" s="21"/>
      <c r="C5338" s="23"/>
      <c r="D5338" s="24"/>
      <c r="E5338" s="14"/>
      <c r="F5338" s="14"/>
      <c r="G5338" s="14"/>
      <c r="H5338" s="23"/>
      <c r="I5338" s="27"/>
      <c r="J5338" s="23"/>
      <c r="K5338" s="30"/>
      <c r="L5338" s="23"/>
      <c r="M5338" s="20"/>
      <c r="N5338" s="20"/>
      <c r="O5338" s="20"/>
      <c r="P5338" s="20"/>
    </row>
    <row r="5339">
      <c r="A5339" s="10"/>
      <c r="B5339" s="11"/>
      <c r="C5339" s="10"/>
      <c r="D5339" s="13"/>
      <c r="E5339" s="14"/>
      <c r="F5339" s="14"/>
      <c r="G5339" s="14"/>
      <c r="H5339" s="10"/>
      <c r="I5339" s="17"/>
      <c r="J5339" s="10"/>
      <c r="K5339" s="46"/>
      <c r="L5339" s="10"/>
      <c r="M5339" s="20"/>
      <c r="N5339" s="20"/>
      <c r="O5339" s="20"/>
      <c r="P5339" s="20"/>
    </row>
    <row r="5340">
      <c r="A5340" s="23"/>
      <c r="B5340" s="21"/>
      <c r="C5340" s="23"/>
      <c r="D5340" s="24"/>
      <c r="E5340" s="14"/>
      <c r="F5340" s="14"/>
      <c r="G5340" s="14"/>
      <c r="H5340" s="23"/>
      <c r="I5340" s="27"/>
      <c r="J5340" s="23"/>
      <c r="K5340" s="30"/>
      <c r="L5340" s="23"/>
      <c r="M5340" s="20"/>
      <c r="N5340" s="20"/>
      <c r="O5340" s="20"/>
      <c r="P5340" s="20"/>
    </row>
    <row r="5341">
      <c r="A5341" s="10"/>
      <c r="B5341" s="11"/>
      <c r="C5341" s="10"/>
      <c r="D5341" s="13"/>
      <c r="E5341" s="14"/>
      <c r="F5341" s="14"/>
      <c r="G5341" s="14"/>
      <c r="H5341" s="10"/>
      <c r="I5341" s="17"/>
      <c r="J5341" s="10"/>
      <c r="K5341" s="46"/>
      <c r="L5341" s="10"/>
      <c r="M5341" s="20"/>
      <c r="N5341" s="20"/>
      <c r="O5341" s="20"/>
      <c r="P5341" s="20"/>
    </row>
    <row r="5342">
      <c r="A5342" s="23"/>
      <c r="B5342" s="21"/>
      <c r="C5342" s="23"/>
      <c r="D5342" s="24"/>
      <c r="E5342" s="14"/>
      <c r="F5342" s="14"/>
      <c r="G5342" s="14"/>
      <c r="H5342" s="23"/>
      <c r="I5342" s="27"/>
      <c r="J5342" s="23"/>
      <c r="K5342" s="30"/>
      <c r="L5342" s="23"/>
      <c r="M5342" s="20"/>
      <c r="N5342" s="20"/>
      <c r="O5342" s="20"/>
      <c r="P5342" s="20"/>
    </row>
    <row r="5343">
      <c r="A5343" s="10"/>
      <c r="B5343" s="11"/>
      <c r="C5343" s="10"/>
      <c r="D5343" s="13"/>
      <c r="E5343" s="14"/>
      <c r="F5343" s="14"/>
      <c r="G5343" s="14"/>
      <c r="H5343" s="10"/>
      <c r="I5343" s="17"/>
      <c r="J5343" s="10"/>
      <c r="K5343" s="46"/>
      <c r="L5343" s="10"/>
      <c r="M5343" s="20"/>
      <c r="N5343" s="20"/>
      <c r="O5343" s="20"/>
      <c r="P5343" s="20"/>
    </row>
    <row r="5344">
      <c r="A5344" s="23"/>
      <c r="B5344" s="21"/>
      <c r="C5344" s="23"/>
      <c r="D5344" s="24"/>
      <c r="E5344" s="14"/>
      <c r="F5344" s="14"/>
      <c r="G5344" s="14"/>
      <c r="H5344" s="23"/>
      <c r="I5344" s="27"/>
      <c r="J5344" s="23"/>
      <c r="K5344" s="30"/>
      <c r="L5344" s="23"/>
      <c r="M5344" s="20"/>
      <c r="N5344" s="20"/>
      <c r="O5344" s="20"/>
      <c r="P5344" s="20"/>
    </row>
    <row r="5345">
      <c r="A5345" s="10"/>
      <c r="B5345" s="11"/>
      <c r="C5345" s="10"/>
      <c r="D5345" s="13"/>
      <c r="E5345" s="14"/>
      <c r="F5345" s="14"/>
      <c r="G5345" s="14"/>
      <c r="H5345" s="10"/>
      <c r="I5345" s="17"/>
      <c r="J5345" s="10"/>
      <c r="K5345" s="46"/>
      <c r="L5345" s="10"/>
      <c r="M5345" s="20"/>
      <c r="N5345" s="20"/>
      <c r="O5345" s="20"/>
      <c r="P5345" s="20"/>
    </row>
    <row r="5346">
      <c r="A5346" s="23"/>
      <c r="B5346" s="21"/>
      <c r="C5346" s="23"/>
      <c r="D5346" s="24"/>
      <c r="E5346" s="14"/>
      <c r="F5346" s="14"/>
      <c r="G5346" s="14"/>
      <c r="H5346" s="23"/>
      <c r="I5346" s="27"/>
      <c r="J5346" s="23"/>
      <c r="K5346" s="30"/>
      <c r="L5346" s="23"/>
      <c r="M5346" s="20"/>
      <c r="N5346" s="20"/>
      <c r="O5346" s="20"/>
      <c r="P5346" s="20"/>
    </row>
    <row r="5347">
      <c r="A5347" s="10"/>
      <c r="B5347" s="11"/>
      <c r="C5347" s="10"/>
      <c r="D5347" s="13"/>
      <c r="E5347" s="14"/>
      <c r="F5347" s="14"/>
      <c r="G5347" s="14"/>
      <c r="H5347" s="10"/>
      <c r="I5347" s="17"/>
      <c r="J5347" s="10"/>
      <c r="K5347" s="46"/>
      <c r="L5347" s="10"/>
      <c r="M5347" s="20"/>
      <c r="N5347" s="20"/>
      <c r="O5347" s="20"/>
      <c r="P5347" s="20"/>
    </row>
    <row r="5348">
      <c r="A5348" s="23"/>
      <c r="B5348" s="21"/>
      <c r="C5348" s="23"/>
      <c r="D5348" s="24"/>
      <c r="E5348" s="14"/>
      <c r="F5348" s="14"/>
      <c r="G5348" s="14"/>
      <c r="H5348" s="23"/>
      <c r="I5348" s="27"/>
      <c r="J5348" s="23"/>
      <c r="K5348" s="30"/>
      <c r="L5348" s="23"/>
      <c r="M5348" s="20"/>
      <c r="N5348" s="20"/>
      <c r="O5348" s="20"/>
      <c r="P5348" s="20"/>
    </row>
    <row r="5349">
      <c r="A5349" s="10"/>
      <c r="B5349" s="11"/>
      <c r="C5349" s="10"/>
      <c r="D5349" s="13"/>
      <c r="E5349" s="14"/>
      <c r="F5349" s="14"/>
      <c r="G5349" s="14"/>
      <c r="H5349" s="10"/>
      <c r="I5349" s="17"/>
      <c r="J5349" s="10"/>
      <c r="K5349" s="46"/>
      <c r="L5349" s="10"/>
      <c r="M5349" s="20"/>
      <c r="N5349" s="20"/>
      <c r="O5349" s="20"/>
      <c r="P5349" s="20"/>
    </row>
    <row r="5350">
      <c r="A5350" s="23"/>
      <c r="B5350" s="21"/>
      <c r="C5350" s="23"/>
      <c r="D5350" s="24"/>
      <c r="E5350" s="14"/>
      <c r="F5350" s="14"/>
      <c r="G5350" s="14"/>
      <c r="H5350" s="23"/>
      <c r="I5350" s="27"/>
      <c r="J5350" s="23"/>
      <c r="K5350" s="30"/>
      <c r="L5350" s="23"/>
      <c r="M5350" s="20"/>
      <c r="N5350" s="20"/>
      <c r="O5350" s="20"/>
      <c r="P5350" s="20"/>
    </row>
    <row r="5351">
      <c r="A5351" s="10"/>
      <c r="B5351" s="11"/>
      <c r="C5351" s="10"/>
      <c r="D5351" s="13"/>
      <c r="E5351" s="14"/>
      <c r="F5351" s="14"/>
      <c r="G5351" s="14"/>
      <c r="H5351" s="10"/>
      <c r="I5351" s="17"/>
      <c r="J5351" s="10"/>
      <c r="K5351" s="46"/>
      <c r="L5351" s="10"/>
      <c r="M5351" s="20"/>
      <c r="N5351" s="20"/>
      <c r="O5351" s="20"/>
      <c r="P5351" s="20"/>
    </row>
    <row r="5352">
      <c r="A5352" s="23"/>
      <c r="B5352" s="21"/>
      <c r="C5352" s="23"/>
      <c r="D5352" s="24"/>
      <c r="E5352" s="14"/>
      <c r="F5352" s="14"/>
      <c r="G5352" s="14"/>
      <c r="H5352" s="23"/>
      <c r="I5352" s="27"/>
      <c r="J5352" s="23"/>
      <c r="K5352" s="30"/>
      <c r="L5352" s="23"/>
      <c r="M5352" s="20"/>
      <c r="N5352" s="20"/>
      <c r="O5352" s="20"/>
      <c r="P5352" s="20"/>
    </row>
    <row r="5353">
      <c r="A5353" s="10"/>
      <c r="B5353" s="11"/>
      <c r="C5353" s="10"/>
      <c r="D5353" s="13"/>
      <c r="E5353" s="14"/>
      <c r="F5353" s="14"/>
      <c r="G5353" s="14"/>
      <c r="H5353" s="10"/>
      <c r="I5353" s="17"/>
      <c r="J5353" s="10"/>
      <c r="K5353" s="46"/>
      <c r="L5353" s="10"/>
      <c r="M5353" s="20"/>
      <c r="N5353" s="20"/>
      <c r="O5353" s="20"/>
      <c r="P5353" s="20"/>
    </row>
    <row r="5354">
      <c r="A5354" s="23"/>
      <c r="B5354" s="21"/>
      <c r="C5354" s="23"/>
      <c r="D5354" s="24"/>
      <c r="E5354" s="14"/>
      <c r="F5354" s="14"/>
      <c r="G5354" s="14"/>
      <c r="H5354" s="23"/>
      <c r="I5354" s="27"/>
      <c r="J5354" s="23"/>
      <c r="K5354" s="30"/>
      <c r="L5354" s="23"/>
      <c r="M5354" s="20"/>
      <c r="N5354" s="20"/>
      <c r="O5354" s="20"/>
      <c r="P5354" s="20"/>
    </row>
    <row r="5355">
      <c r="A5355" s="10"/>
      <c r="B5355" s="11"/>
      <c r="C5355" s="10"/>
      <c r="D5355" s="13"/>
      <c r="E5355" s="14"/>
      <c r="F5355" s="14"/>
      <c r="G5355" s="14"/>
      <c r="H5355" s="10"/>
      <c r="I5355" s="17"/>
      <c r="J5355" s="10"/>
      <c r="K5355" s="46"/>
      <c r="L5355" s="10"/>
      <c r="M5355" s="20"/>
      <c r="N5355" s="20"/>
      <c r="O5355" s="20"/>
      <c r="P5355" s="20"/>
    </row>
    <row r="5356">
      <c r="A5356" s="23"/>
      <c r="B5356" s="21"/>
      <c r="C5356" s="23"/>
      <c r="D5356" s="24"/>
      <c r="E5356" s="14"/>
      <c r="F5356" s="14"/>
      <c r="G5356" s="14"/>
      <c r="H5356" s="23"/>
      <c r="I5356" s="27"/>
      <c r="J5356" s="23"/>
      <c r="K5356" s="30"/>
      <c r="L5356" s="23"/>
      <c r="M5356" s="20"/>
      <c r="N5356" s="20"/>
      <c r="O5356" s="20"/>
      <c r="P5356" s="20"/>
    </row>
    <row r="5357">
      <c r="A5357" s="10"/>
      <c r="B5357" s="11"/>
      <c r="C5357" s="10"/>
      <c r="D5357" s="13"/>
      <c r="E5357" s="14"/>
      <c r="F5357" s="14"/>
      <c r="G5357" s="14"/>
      <c r="H5357" s="10"/>
      <c r="I5357" s="17"/>
      <c r="J5357" s="10"/>
      <c r="K5357" s="46"/>
      <c r="L5357" s="10"/>
      <c r="M5357" s="20"/>
      <c r="N5357" s="20"/>
      <c r="O5357" s="20"/>
      <c r="P5357" s="20"/>
    </row>
    <row r="5358">
      <c r="A5358" s="23"/>
      <c r="B5358" s="21"/>
      <c r="C5358" s="23"/>
      <c r="D5358" s="24"/>
      <c r="E5358" s="14"/>
      <c r="F5358" s="14"/>
      <c r="G5358" s="14"/>
      <c r="H5358" s="23"/>
      <c r="I5358" s="27"/>
      <c r="J5358" s="23"/>
      <c r="K5358" s="30"/>
      <c r="L5358" s="23"/>
      <c r="M5358" s="20"/>
      <c r="N5358" s="20"/>
      <c r="O5358" s="20"/>
      <c r="P5358" s="20"/>
    </row>
    <row r="5359">
      <c r="A5359" s="10"/>
      <c r="B5359" s="11"/>
      <c r="C5359" s="10"/>
      <c r="D5359" s="13"/>
      <c r="E5359" s="14"/>
      <c r="F5359" s="14"/>
      <c r="G5359" s="14"/>
      <c r="H5359" s="10"/>
      <c r="I5359" s="17"/>
      <c r="J5359" s="10"/>
      <c r="K5359" s="46"/>
      <c r="L5359" s="10"/>
      <c r="M5359" s="20"/>
      <c r="N5359" s="20"/>
      <c r="O5359" s="20"/>
      <c r="P5359" s="20"/>
    </row>
    <row r="5360">
      <c r="A5360" s="23"/>
      <c r="B5360" s="21"/>
      <c r="C5360" s="23"/>
      <c r="D5360" s="24"/>
      <c r="E5360" s="14"/>
      <c r="F5360" s="14"/>
      <c r="G5360" s="14"/>
      <c r="H5360" s="23"/>
      <c r="I5360" s="27"/>
      <c r="J5360" s="23"/>
      <c r="K5360" s="30"/>
      <c r="L5360" s="23"/>
      <c r="M5360" s="20"/>
      <c r="N5360" s="20"/>
      <c r="O5360" s="20"/>
      <c r="P5360" s="20"/>
    </row>
    <row r="5361">
      <c r="A5361" s="10"/>
      <c r="B5361" s="11"/>
      <c r="C5361" s="10"/>
      <c r="D5361" s="13"/>
      <c r="E5361" s="14"/>
      <c r="F5361" s="14"/>
      <c r="G5361" s="14"/>
      <c r="H5361" s="10"/>
      <c r="I5361" s="17"/>
      <c r="J5361" s="10"/>
      <c r="K5361" s="46"/>
      <c r="L5361" s="10"/>
      <c r="M5361" s="20"/>
      <c r="N5361" s="20"/>
      <c r="O5361" s="20"/>
      <c r="P5361" s="20"/>
    </row>
    <row r="5362">
      <c r="A5362" s="23"/>
      <c r="B5362" s="21"/>
      <c r="C5362" s="23"/>
      <c r="D5362" s="24"/>
      <c r="E5362" s="14"/>
      <c r="F5362" s="14"/>
      <c r="G5362" s="14"/>
      <c r="H5362" s="23"/>
      <c r="I5362" s="27"/>
      <c r="J5362" s="23"/>
      <c r="K5362" s="30"/>
      <c r="L5362" s="23"/>
      <c r="M5362" s="20"/>
      <c r="N5362" s="20"/>
      <c r="O5362" s="20"/>
      <c r="P5362" s="20"/>
    </row>
    <row r="5363">
      <c r="A5363" s="10"/>
      <c r="B5363" s="11"/>
      <c r="C5363" s="10"/>
      <c r="D5363" s="13"/>
      <c r="E5363" s="14"/>
      <c r="F5363" s="14"/>
      <c r="G5363" s="14"/>
      <c r="H5363" s="10"/>
      <c r="I5363" s="17"/>
      <c r="J5363" s="10"/>
      <c r="K5363" s="46"/>
      <c r="L5363" s="10"/>
      <c r="M5363" s="20"/>
      <c r="N5363" s="20"/>
      <c r="O5363" s="20"/>
      <c r="P5363" s="20"/>
    </row>
    <row r="5364">
      <c r="A5364" s="23"/>
      <c r="B5364" s="21"/>
      <c r="C5364" s="23"/>
      <c r="D5364" s="24"/>
      <c r="E5364" s="14"/>
      <c r="F5364" s="14"/>
      <c r="G5364" s="14"/>
      <c r="H5364" s="23"/>
      <c r="I5364" s="27"/>
      <c r="J5364" s="23"/>
      <c r="K5364" s="30"/>
      <c r="L5364" s="23"/>
      <c r="M5364" s="20"/>
      <c r="N5364" s="20"/>
      <c r="O5364" s="20"/>
      <c r="P5364" s="20"/>
    </row>
    <row r="5365">
      <c r="A5365" s="10"/>
      <c r="B5365" s="11"/>
      <c r="C5365" s="10"/>
      <c r="D5365" s="13"/>
      <c r="E5365" s="14"/>
      <c r="F5365" s="14"/>
      <c r="G5365" s="14"/>
      <c r="H5365" s="10"/>
      <c r="I5365" s="17"/>
      <c r="J5365" s="10"/>
      <c r="K5365" s="46"/>
      <c r="L5365" s="10"/>
      <c r="M5365" s="20"/>
      <c r="N5365" s="20"/>
      <c r="O5365" s="20"/>
      <c r="P5365" s="20"/>
    </row>
    <row r="5366">
      <c r="A5366" s="23"/>
      <c r="B5366" s="21"/>
      <c r="C5366" s="23"/>
      <c r="D5366" s="24"/>
      <c r="E5366" s="14"/>
      <c r="F5366" s="14"/>
      <c r="G5366" s="14"/>
      <c r="H5366" s="23"/>
      <c r="I5366" s="27"/>
      <c r="J5366" s="23"/>
      <c r="K5366" s="30"/>
      <c r="L5366" s="23"/>
      <c r="M5366" s="20"/>
      <c r="N5366" s="20"/>
      <c r="O5366" s="20"/>
      <c r="P5366" s="20"/>
    </row>
    <row r="5367">
      <c r="A5367" s="10"/>
      <c r="B5367" s="11"/>
      <c r="C5367" s="10"/>
      <c r="D5367" s="13"/>
      <c r="E5367" s="14"/>
      <c r="F5367" s="14"/>
      <c r="G5367" s="14"/>
      <c r="H5367" s="10"/>
      <c r="I5367" s="17"/>
      <c r="J5367" s="10"/>
      <c r="K5367" s="46"/>
      <c r="L5367" s="10"/>
      <c r="M5367" s="20"/>
      <c r="N5367" s="20"/>
      <c r="O5367" s="20"/>
      <c r="P5367" s="20"/>
    </row>
    <row r="5368">
      <c r="A5368" s="23"/>
      <c r="B5368" s="21"/>
      <c r="C5368" s="23"/>
      <c r="D5368" s="24"/>
      <c r="E5368" s="14"/>
      <c r="F5368" s="14"/>
      <c r="G5368" s="14"/>
      <c r="H5368" s="23"/>
      <c r="I5368" s="27"/>
      <c r="J5368" s="23"/>
      <c r="K5368" s="30"/>
      <c r="L5368" s="23"/>
      <c r="M5368" s="20"/>
      <c r="N5368" s="20"/>
      <c r="O5368" s="20"/>
      <c r="P5368" s="20"/>
    </row>
    <row r="5369">
      <c r="A5369" s="10"/>
      <c r="B5369" s="11"/>
      <c r="C5369" s="10"/>
      <c r="D5369" s="13"/>
      <c r="E5369" s="14"/>
      <c r="F5369" s="14"/>
      <c r="G5369" s="14"/>
      <c r="H5369" s="10"/>
      <c r="I5369" s="17"/>
      <c r="J5369" s="10"/>
      <c r="K5369" s="46"/>
      <c r="L5369" s="10"/>
      <c r="M5369" s="20"/>
      <c r="N5369" s="20"/>
      <c r="O5369" s="20"/>
      <c r="P5369" s="20"/>
    </row>
    <row r="5370">
      <c r="A5370" s="23"/>
      <c r="B5370" s="21"/>
      <c r="C5370" s="23"/>
      <c r="D5370" s="24"/>
      <c r="E5370" s="14"/>
      <c r="F5370" s="14"/>
      <c r="G5370" s="14"/>
      <c r="H5370" s="23"/>
      <c r="I5370" s="27"/>
      <c r="J5370" s="23"/>
      <c r="K5370" s="30"/>
      <c r="L5370" s="23"/>
      <c r="M5370" s="20"/>
      <c r="N5370" s="20"/>
      <c r="O5370" s="20"/>
      <c r="P5370" s="20"/>
    </row>
    <row r="5371">
      <c r="A5371" s="10"/>
      <c r="B5371" s="11"/>
      <c r="C5371" s="10"/>
      <c r="D5371" s="13"/>
      <c r="E5371" s="14"/>
      <c r="F5371" s="14"/>
      <c r="G5371" s="14"/>
      <c r="H5371" s="10"/>
      <c r="I5371" s="17"/>
      <c r="J5371" s="10"/>
      <c r="K5371" s="46"/>
      <c r="L5371" s="10"/>
      <c r="M5371" s="20"/>
      <c r="N5371" s="20"/>
      <c r="O5371" s="20"/>
      <c r="P5371" s="20"/>
    </row>
    <row r="5372">
      <c r="A5372" s="23"/>
      <c r="B5372" s="21"/>
      <c r="C5372" s="23"/>
      <c r="D5372" s="24"/>
      <c r="E5372" s="14"/>
      <c r="F5372" s="14"/>
      <c r="G5372" s="14"/>
      <c r="H5372" s="23"/>
      <c r="I5372" s="27"/>
      <c r="J5372" s="23"/>
      <c r="K5372" s="30"/>
      <c r="L5372" s="23"/>
      <c r="M5372" s="20"/>
      <c r="N5372" s="20"/>
      <c r="O5372" s="20"/>
      <c r="P5372" s="20"/>
    </row>
    <row r="5373">
      <c r="A5373" s="10"/>
      <c r="B5373" s="11"/>
      <c r="C5373" s="10"/>
      <c r="D5373" s="13"/>
      <c r="E5373" s="14"/>
      <c r="F5373" s="14"/>
      <c r="G5373" s="14"/>
      <c r="H5373" s="10"/>
      <c r="I5373" s="17"/>
      <c r="J5373" s="10"/>
      <c r="K5373" s="46"/>
      <c r="L5373" s="10"/>
      <c r="M5373" s="20"/>
      <c r="N5373" s="20"/>
      <c r="O5373" s="20"/>
      <c r="P5373" s="20"/>
    </row>
    <row r="5374">
      <c r="A5374" s="23"/>
      <c r="B5374" s="21"/>
      <c r="C5374" s="23"/>
      <c r="D5374" s="24"/>
      <c r="E5374" s="14"/>
      <c r="F5374" s="14"/>
      <c r="G5374" s="14"/>
      <c r="H5374" s="23"/>
      <c r="I5374" s="27"/>
      <c r="J5374" s="23"/>
      <c r="K5374" s="30"/>
      <c r="L5374" s="23"/>
      <c r="M5374" s="20"/>
      <c r="N5374" s="20"/>
      <c r="O5374" s="20"/>
      <c r="P5374" s="20"/>
    </row>
    <row r="5375">
      <c r="A5375" s="10"/>
      <c r="B5375" s="11"/>
      <c r="C5375" s="10"/>
      <c r="D5375" s="13"/>
      <c r="E5375" s="14"/>
      <c r="F5375" s="14"/>
      <c r="G5375" s="14"/>
      <c r="H5375" s="10"/>
      <c r="I5375" s="17"/>
      <c r="J5375" s="10"/>
      <c r="K5375" s="46"/>
      <c r="L5375" s="10"/>
      <c r="M5375" s="20"/>
      <c r="N5375" s="20"/>
      <c r="O5375" s="20"/>
      <c r="P5375" s="20"/>
    </row>
    <row r="5376">
      <c r="A5376" s="23"/>
      <c r="B5376" s="21"/>
      <c r="C5376" s="23"/>
      <c r="D5376" s="24"/>
      <c r="E5376" s="14"/>
      <c r="F5376" s="14"/>
      <c r="G5376" s="14"/>
      <c r="H5376" s="23"/>
      <c r="I5376" s="27"/>
      <c r="J5376" s="23"/>
      <c r="K5376" s="30"/>
      <c r="L5376" s="23"/>
      <c r="M5376" s="20"/>
      <c r="N5376" s="20"/>
      <c r="O5376" s="20"/>
      <c r="P5376" s="20"/>
    </row>
    <row r="5377">
      <c r="A5377" s="10"/>
      <c r="B5377" s="11"/>
      <c r="C5377" s="10"/>
      <c r="D5377" s="13"/>
      <c r="E5377" s="14"/>
      <c r="F5377" s="14"/>
      <c r="G5377" s="14"/>
      <c r="H5377" s="10"/>
      <c r="I5377" s="17"/>
      <c r="J5377" s="10"/>
      <c r="K5377" s="46"/>
      <c r="L5377" s="10"/>
      <c r="M5377" s="20"/>
      <c r="N5377" s="20"/>
      <c r="O5377" s="20"/>
      <c r="P5377" s="20"/>
    </row>
    <row r="5378">
      <c r="A5378" s="23"/>
      <c r="B5378" s="21"/>
      <c r="C5378" s="23"/>
      <c r="D5378" s="24"/>
      <c r="E5378" s="14"/>
      <c r="F5378" s="14"/>
      <c r="G5378" s="14"/>
      <c r="H5378" s="23"/>
      <c r="I5378" s="27"/>
      <c r="J5378" s="23"/>
      <c r="K5378" s="30"/>
      <c r="L5378" s="23"/>
      <c r="M5378" s="20"/>
      <c r="N5378" s="20"/>
      <c r="O5378" s="20"/>
      <c r="P5378" s="20"/>
    </row>
    <row r="5379">
      <c r="A5379" s="10"/>
      <c r="B5379" s="11"/>
      <c r="C5379" s="10"/>
      <c r="D5379" s="13"/>
      <c r="E5379" s="14"/>
      <c r="F5379" s="14"/>
      <c r="G5379" s="14"/>
      <c r="H5379" s="10"/>
      <c r="I5379" s="17"/>
      <c r="J5379" s="10"/>
      <c r="K5379" s="46"/>
      <c r="L5379" s="10"/>
      <c r="M5379" s="20"/>
      <c r="N5379" s="20"/>
      <c r="O5379" s="20"/>
      <c r="P5379" s="20"/>
    </row>
    <row r="5380">
      <c r="A5380" s="23"/>
      <c r="B5380" s="21"/>
      <c r="C5380" s="23"/>
      <c r="D5380" s="24"/>
      <c r="E5380" s="14"/>
      <c r="F5380" s="14"/>
      <c r="G5380" s="14"/>
      <c r="H5380" s="23"/>
      <c r="I5380" s="27"/>
      <c r="J5380" s="23"/>
      <c r="K5380" s="30"/>
      <c r="L5380" s="23"/>
      <c r="M5380" s="20"/>
      <c r="N5380" s="20"/>
      <c r="O5380" s="20"/>
      <c r="P5380" s="20"/>
    </row>
    <row r="5381">
      <c r="A5381" s="10"/>
      <c r="B5381" s="11"/>
      <c r="C5381" s="10"/>
      <c r="D5381" s="13"/>
      <c r="E5381" s="14"/>
      <c r="F5381" s="14"/>
      <c r="G5381" s="14"/>
      <c r="H5381" s="10"/>
      <c r="I5381" s="17"/>
      <c r="J5381" s="10"/>
      <c r="K5381" s="46"/>
      <c r="L5381" s="10"/>
      <c r="M5381" s="20"/>
      <c r="N5381" s="20"/>
      <c r="O5381" s="20"/>
      <c r="P5381" s="20"/>
    </row>
    <row r="5382">
      <c r="A5382" s="23"/>
      <c r="B5382" s="21"/>
      <c r="C5382" s="23"/>
      <c r="D5382" s="24"/>
      <c r="E5382" s="14"/>
      <c r="F5382" s="14"/>
      <c r="G5382" s="14"/>
      <c r="H5382" s="23"/>
      <c r="I5382" s="27"/>
      <c r="J5382" s="23"/>
      <c r="K5382" s="30"/>
      <c r="L5382" s="23"/>
      <c r="M5382" s="20"/>
      <c r="N5382" s="20"/>
      <c r="O5382" s="20"/>
      <c r="P5382" s="20"/>
    </row>
    <row r="5383">
      <c r="A5383" s="10"/>
      <c r="B5383" s="11"/>
      <c r="C5383" s="10"/>
      <c r="D5383" s="13"/>
      <c r="E5383" s="14"/>
      <c r="F5383" s="14"/>
      <c r="G5383" s="14"/>
      <c r="H5383" s="10"/>
      <c r="I5383" s="17"/>
      <c r="J5383" s="10"/>
      <c r="K5383" s="46"/>
      <c r="L5383" s="10"/>
      <c r="M5383" s="20"/>
      <c r="N5383" s="20"/>
      <c r="O5383" s="20"/>
      <c r="P5383" s="20"/>
    </row>
    <row r="5384">
      <c r="A5384" s="23"/>
      <c r="B5384" s="21"/>
      <c r="C5384" s="23"/>
      <c r="D5384" s="24"/>
      <c r="E5384" s="14"/>
      <c r="F5384" s="14"/>
      <c r="G5384" s="14"/>
      <c r="H5384" s="23"/>
      <c r="I5384" s="27"/>
      <c r="J5384" s="23"/>
      <c r="K5384" s="30"/>
      <c r="L5384" s="23"/>
      <c r="M5384" s="20"/>
      <c r="N5384" s="20"/>
      <c r="O5384" s="20"/>
      <c r="P5384" s="20"/>
    </row>
    <row r="5385">
      <c r="A5385" s="10"/>
      <c r="B5385" s="11"/>
      <c r="C5385" s="10"/>
      <c r="D5385" s="13"/>
      <c r="E5385" s="14"/>
      <c r="F5385" s="14"/>
      <c r="G5385" s="14"/>
      <c r="H5385" s="10"/>
      <c r="I5385" s="17"/>
      <c r="J5385" s="10"/>
      <c r="K5385" s="46"/>
      <c r="L5385" s="10"/>
      <c r="M5385" s="20"/>
      <c r="N5385" s="20"/>
      <c r="O5385" s="20"/>
      <c r="P5385" s="20"/>
    </row>
    <row r="5386">
      <c r="A5386" s="23"/>
      <c r="B5386" s="21"/>
      <c r="C5386" s="23"/>
      <c r="D5386" s="24"/>
      <c r="E5386" s="14"/>
      <c r="F5386" s="14"/>
      <c r="G5386" s="14"/>
      <c r="H5386" s="23"/>
      <c r="I5386" s="27"/>
      <c r="J5386" s="23"/>
      <c r="K5386" s="30"/>
      <c r="L5386" s="23"/>
      <c r="M5386" s="20"/>
      <c r="N5386" s="20"/>
      <c r="O5386" s="20"/>
      <c r="P5386" s="20"/>
    </row>
    <row r="5387">
      <c r="A5387" s="10"/>
      <c r="B5387" s="11"/>
      <c r="C5387" s="10"/>
      <c r="D5387" s="13"/>
      <c r="E5387" s="14"/>
      <c r="F5387" s="14"/>
      <c r="G5387" s="14"/>
      <c r="H5387" s="10"/>
      <c r="I5387" s="17"/>
      <c r="J5387" s="10"/>
      <c r="K5387" s="46"/>
      <c r="L5387" s="10"/>
      <c r="M5387" s="20"/>
      <c r="N5387" s="20"/>
      <c r="O5387" s="20"/>
      <c r="P5387" s="20"/>
    </row>
    <row r="5388">
      <c r="A5388" s="23"/>
      <c r="B5388" s="21"/>
      <c r="C5388" s="23"/>
      <c r="D5388" s="24"/>
      <c r="E5388" s="14"/>
      <c r="F5388" s="14"/>
      <c r="G5388" s="14"/>
      <c r="H5388" s="23"/>
      <c r="I5388" s="27"/>
      <c r="J5388" s="23"/>
      <c r="K5388" s="30"/>
      <c r="L5388" s="23"/>
      <c r="M5388" s="20"/>
      <c r="N5388" s="20"/>
      <c r="O5388" s="20"/>
      <c r="P5388" s="20"/>
    </row>
    <row r="5389">
      <c r="A5389" s="10"/>
      <c r="B5389" s="11"/>
      <c r="C5389" s="10"/>
      <c r="D5389" s="13"/>
      <c r="E5389" s="14"/>
      <c r="F5389" s="14"/>
      <c r="G5389" s="14"/>
      <c r="H5389" s="10"/>
      <c r="I5389" s="17"/>
      <c r="J5389" s="10"/>
      <c r="K5389" s="46"/>
      <c r="L5389" s="10"/>
      <c r="M5389" s="20"/>
      <c r="N5389" s="20"/>
      <c r="O5389" s="20"/>
      <c r="P5389" s="20"/>
    </row>
    <row r="5390">
      <c r="A5390" s="23"/>
      <c r="B5390" s="21"/>
      <c r="C5390" s="23"/>
      <c r="D5390" s="24"/>
      <c r="E5390" s="14"/>
      <c r="F5390" s="14"/>
      <c r="G5390" s="14"/>
      <c r="H5390" s="23"/>
      <c r="I5390" s="27"/>
      <c r="J5390" s="23"/>
      <c r="K5390" s="30"/>
      <c r="L5390" s="23"/>
      <c r="M5390" s="20"/>
      <c r="N5390" s="20"/>
      <c r="O5390" s="20"/>
      <c r="P5390" s="20"/>
    </row>
    <row r="5391">
      <c r="A5391" s="10"/>
      <c r="B5391" s="11"/>
      <c r="C5391" s="10"/>
      <c r="D5391" s="13"/>
      <c r="E5391" s="14"/>
      <c r="F5391" s="14"/>
      <c r="G5391" s="14"/>
      <c r="H5391" s="10"/>
      <c r="I5391" s="17"/>
      <c r="J5391" s="10"/>
      <c r="K5391" s="46"/>
      <c r="L5391" s="10"/>
      <c r="M5391" s="20"/>
      <c r="N5391" s="20"/>
      <c r="O5391" s="20"/>
      <c r="P5391" s="20"/>
    </row>
    <row r="5392">
      <c r="A5392" s="23"/>
      <c r="B5392" s="21"/>
      <c r="C5392" s="23"/>
      <c r="D5392" s="24"/>
      <c r="E5392" s="14"/>
      <c r="F5392" s="14"/>
      <c r="G5392" s="14"/>
      <c r="H5392" s="23"/>
      <c r="I5392" s="27"/>
      <c r="J5392" s="23"/>
      <c r="K5392" s="30"/>
      <c r="L5392" s="23"/>
      <c r="M5392" s="20"/>
      <c r="N5392" s="20"/>
      <c r="O5392" s="20"/>
      <c r="P5392" s="20"/>
    </row>
    <row r="5393">
      <c r="A5393" s="10"/>
      <c r="B5393" s="11"/>
      <c r="C5393" s="10"/>
      <c r="D5393" s="13"/>
      <c r="E5393" s="14"/>
      <c r="F5393" s="14"/>
      <c r="G5393" s="14"/>
      <c r="H5393" s="10"/>
      <c r="I5393" s="17"/>
      <c r="J5393" s="10"/>
      <c r="K5393" s="46"/>
      <c r="L5393" s="10"/>
      <c r="M5393" s="20"/>
      <c r="N5393" s="20"/>
      <c r="O5393" s="20"/>
      <c r="P5393" s="20"/>
    </row>
    <row r="5394">
      <c r="A5394" s="23"/>
      <c r="B5394" s="21"/>
      <c r="C5394" s="23"/>
      <c r="D5394" s="24"/>
      <c r="E5394" s="14"/>
      <c r="F5394" s="14"/>
      <c r="G5394" s="14"/>
      <c r="H5394" s="23"/>
      <c r="I5394" s="27"/>
      <c r="J5394" s="23"/>
      <c r="K5394" s="30"/>
      <c r="L5394" s="23"/>
      <c r="M5394" s="20"/>
      <c r="N5394" s="20"/>
      <c r="O5394" s="20"/>
      <c r="P5394" s="20"/>
    </row>
    <row r="5395">
      <c r="A5395" s="10"/>
      <c r="B5395" s="11"/>
      <c r="C5395" s="10"/>
      <c r="D5395" s="13"/>
      <c r="E5395" s="14"/>
      <c r="F5395" s="14"/>
      <c r="G5395" s="14"/>
      <c r="H5395" s="10"/>
      <c r="I5395" s="17"/>
      <c r="J5395" s="10"/>
      <c r="K5395" s="46"/>
      <c r="L5395" s="10"/>
      <c r="M5395" s="20"/>
      <c r="N5395" s="20"/>
      <c r="O5395" s="20"/>
      <c r="P5395" s="20"/>
    </row>
    <row r="5396">
      <c r="A5396" s="23"/>
      <c r="B5396" s="21"/>
      <c r="C5396" s="23"/>
      <c r="D5396" s="24"/>
      <c r="E5396" s="14"/>
      <c r="F5396" s="14"/>
      <c r="G5396" s="14"/>
      <c r="H5396" s="23"/>
      <c r="I5396" s="27"/>
      <c r="J5396" s="23"/>
      <c r="K5396" s="30"/>
      <c r="L5396" s="23"/>
      <c r="M5396" s="20"/>
      <c r="N5396" s="20"/>
      <c r="O5396" s="20"/>
      <c r="P5396" s="20"/>
    </row>
    <row r="5397">
      <c r="A5397" s="10"/>
      <c r="B5397" s="11"/>
      <c r="C5397" s="10"/>
      <c r="D5397" s="13"/>
      <c r="E5397" s="14"/>
      <c r="F5397" s="14"/>
      <c r="G5397" s="14"/>
      <c r="H5397" s="10"/>
      <c r="I5397" s="17"/>
      <c r="J5397" s="10"/>
      <c r="K5397" s="46"/>
      <c r="L5397" s="10"/>
      <c r="M5397" s="20"/>
      <c r="N5397" s="20"/>
      <c r="O5397" s="20"/>
      <c r="P5397" s="20"/>
    </row>
    <row r="5398">
      <c r="A5398" s="23"/>
      <c r="B5398" s="21"/>
      <c r="C5398" s="23"/>
      <c r="D5398" s="24"/>
      <c r="E5398" s="14"/>
      <c r="F5398" s="14"/>
      <c r="G5398" s="14"/>
      <c r="H5398" s="23"/>
      <c r="I5398" s="27"/>
      <c r="J5398" s="23"/>
      <c r="K5398" s="30"/>
      <c r="L5398" s="23"/>
      <c r="M5398" s="20"/>
      <c r="N5398" s="20"/>
      <c r="O5398" s="20"/>
      <c r="P5398" s="20"/>
    </row>
    <row r="5399">
      <c r="A5399" s="10"/>
      <c r="B5399" s="11"/>
      <c r="C5399" s="10"/>
      <c r="D5399" s="13"/>
      <c r="E5399" s="14"/>
      <c r="F5399" s="14"/>
      <c r="G5399" s="14"/>
      <c r="H5399" s="10"/>
      <c r="I5399" s="17"/>
      <c r="J5399" s="10"/>
      <c r="K5399" s="46"/>
      <c r="L5399" s="10"/>
      <c r="M5399" s="20"/>
      <c r="N5399" s="20"/>
      <c r="O5399" s="20"/>
      <c r="P5399" s="20"/>
    </row>
    <row r="5400">
      <c r="A5400" s="23"/>
      <c r="B5400" s="21"/>
      <c r="C5400" s="23"/>
      <c r="D5400" s="24"/>
      <c r="E5400" s="14"/>
      <c r="F5400" s="14"/>
      <c r="G5400" s="14"/>
      <c r="H5400" s="23"/>
      <c r="I5400" s="27"/>
      <c r="J5400" s="23"/>
      <c r="K5400" s="30"/>
      <c r="L5400" s="23"/>
      <c r="M5400" s="20"/>
      <c r="N5400" s="20"/>
      <c r="O5400" s="20"/>
      <c r="P5400" s="20"/>
    </row>
    <row r="5401">
      <c r="A5401" s="10"/>
      <c r="B5401" s="11"/>
      <c r="C5401" s="10"/>
      <c r="D5401" s="13"/>
      <c r="E5401" s="14"/>
      <c r="F5401" s="14"/>
      <c r="G5401" s="14"/>
      <c r="H5401" s="10"/>
      <c r="I5401" s="17"/>
      <c r="J5401" s="10"/>
      <c r="K5401" s="46"/>
      <c r="L5401" s="10"/>
      <c r="M5401" s="20"/>
      <c r="N5401" s="20"/>
      <c r="O5401" s="20"/>
      <c r="P5401" s="20"/>
    </row>
    <row r="5402">
      <c r="A5402" s="23"/>
      <c r="B5402" s="21"/>
      <c r="C5402" s="23"/>
      <c r="D5402" s="24"/>
      <c r="E5402" s="14"/>
      <c r="F5402" s="14"/>
      <c r="G5402" s="14"/>
      <c r="H5402" s="23"/>
      <c r="I5402" s="27"/>
      <c r="J5402" s="23"/>
      <c r="K5402" s="30"/>
      <c r="L5402" s="23"/>
      <c r="M5402" s="20"/>
      <c r="N5402" s="20"/>
      <c r="O5402" s="20"/>
      <c r="P5402" s="20"/>
    </row>
    <row r="5403">
      <c r="A5403" s="10"/>
      <c r="B5403" s="11"/>
      <c r="C5403" s="10"/>
      <c r="D5403" s="13"/>
      <c r="E5403" s="14"/>
      <c r="F5403" s="14"/>
      <c r="G5403" s="14"/>
      <c r="H5403" s="10"/>
      <c r="I5403" s="17"/>
      <c r="J5403" s="10"/>
      <c r="K5403" s="46"/>
      <c r="L5403" s="10"/>
      <c r="M5403" s="20"/>
      <c r="N5403" s="20"/>
      <c r="O5403" s="20"/>
      <c r="P5403" s="20"/>
    </row>
    <row r="5404">
      <c r="A5404" s="23"/>
      <c r="B5404" s="21"/>
      <c r="C5404" s="23"/>
      <c r="D5404" s="24"/>
      <c r="E5404" s="14"/>
      <c r="F5404" s="14"/>
      <c r="G5404" s="14"/>
      <c r="H5404" s="23"/>
      <c r="I5404" s="27"/>
      <c r="J5404" s="23"/>
      <c r="K5404" s="30"/>
      <c r="L5404" s="23"/>
      <c r="M5404" s="20"/>
      <c r="N5404" s="20"/>
      <c r="O5404" s="20"/>
      <c r="P5404" s="20"/>
    </row>
    <row r="5405">
      <c r="A5405" s="10"/>
      <c r="B5405" s="11"/>
      <c r="C5405" s="10"/>
      <c r="D5405" s="13"/>
      <c r="E5405" s="14"/>
      <c r="F5405" s="14"/>
      <c r="G5405" s="14"/>
      <c r="H5405" s="10"/>
      <c r="I5405" s="17"/>
      <c r="J5405" s="10"/>
      <c r="K5405" s="46"/>
      <c r="L5405" s="10"/>
      <c r="M5405" s="20"/>
      <c r="N5405" s="20"/>
      <c r="O5405" s="20"/>
      <c r="P5405" s="20"/>
    </row>
    <row r="5406">
      <c r="A5406" s="23"/>
      <c r="B5406" s="21"/>
      <c r="C5406" s="23"/>
      <c r="D5406" s="24"/>
      <c r="E5406" s="14"/>
      <c r="F5406" s="14"/>
      <c r="G5406" s="14"/>
      <c r="H5406" s="23"/>
      <c r="I5406" s="27"/>
      <c r="J5406" s="23"/>
      <c r="K5406" s="30"/>
      <c r="L5406" s="23"/>
      <c r="M5406" s="20"/>
      <c r="N5406" s="20"/>
      <c r="O5406" s="20"/>
      <c r="P5406" s="20"/>
    </row>
    <row r="5407">
      <c r="A5407" s="10"/>
      <c r="B5407" s="11"/>
      <c r="C5407" s="10"/>
      <c r="D5407" s="13"/>
      <c r="E5407" s="14"/>
      <c r="F5407" s="14"/>
      <c r="G5407" s="14"/>
      <c r="H5407" s="10"/>
      <c r="I5407" s="17"/>
      <c r="J5407" s="10"/>
      <c r="K5407" s="46"/>
      <c r="L5407" s="10"/>
      <c r="M5407" s="20"/>
      <c r="N5407" s="20"/>
      <c r="O5407" s="20"/>
      <c r="P5407" s="20"/>
    </row>
    <row r="5408">
      <c r="A5408" s="23"/>
      <c r="B5408" s="21"/>
      <c r="C5408" s="23"/>
      <c r="D5408" s="24"/>
      <c r="E5408" s="14"/>
      <c r="F5408" s="14"/>
      <c r="G5408" s="14"/>
      <c r="H5408" s="23"/>
      <c r="I5408" s="27"/>
      <c r="J5408" s="23"/>
      <c r="K5408" s="30"/>
      <c r="L5408" s="23"/>
      <c r="M5408" s="20"/>
      <c r="N5408" s="20"/>
      <c r="O5408" s="20"/>
      <c r="P5408" s="20"/>
    </row>
    <row r="5409">
      <c r="A5409" s="10"/>
      <c r="B5409" s="11"/>
      <c r="C5409" s="10"/>
      <c r="D5409" s="13"/>
      <c r="E5409" s="14"/>
      <c r="F5409" s="14"/>
      <c r="G5409" s="14"/>
      <c r="H5409" s="10"/>
      <c r="I5409" s="17"/>
      <c r="J5409" s="10"/>
      <c r="K5409" s="46"/>
      <c r="L5409" s="10"/>
      <c r="M5409" s="20"/>
      <c r="N5409" s="20"/>
      <c r="O5409" s="20"/>
      <c r="P5409" s="20"/>
    </row>
    <row r="5410">
      <c r="A5410" s="23"/>
      <c r="B5410" s="21"/>
      <c r="C5410" s="23"/>
      <c r="D5410" s="24"/>
      <c r="E5410" s="14"/>
      <c r="F5410" s="14"/>
      <c r="G5410" s="14"/>
      <c r="H5410" s="23"/>
      <c r="I5410" s="27"/>
      <c r="J5410" s="23"/>
      <c r="K5410" s="30"/>
      <c r="L5410" s="23"/>
      <c r="M5410" s="20"/>
      <c r="N5410" s="20"/>
      <c r="O5410" s="20"/>
      <c r="P5410" s="20"/>
    </row>
    <row r="5411">
      <c r="A5411" s="10"/>
      <c r="B5411" s="11"/>
      <c r="C5411" s="10"/>
      <c r="D5411" s="13"/>
      <c r="E5411" s="14"/>
      <c r="F5411" s="14"/>
      <c r="G5411" s="14"/>
      <c r="H5411" s="10"/>
      <c r="I5411" s="17"/>
      <c r="J5411" s="10"/>
      <c r="K5411" s="46"/>
      <c r="L5411" s="10"/>
      <c r="M5411" s="20"/>
      <c r="N5411" s="20"/>
      <c r="O5411" s="20"/>
      <c r="P5411" s="20"/>
    </row>
    <row r="5412">
      <c r="A5412" s="23"/>
      <c r="B5412" s="21"/>
      <c r="C5412" s="23"/>
      <c r="D5412" s="24"/>
      <c r="E5412" s="14"/>
      <c r="F5412" s="14"/>
      <c r="G5412" s="14"/>
      <c r="H5412" s="23"/>
      <c r="I5412" s="27"/>
      <c r="J5412" s="23"/>
      <c r="K5412" s="30"/>
      <c r="L5412" s="23"/>
      <c r="M5412" s="20"/>
      <c r="N5412" s="20"/>
      <c r="O5412" s="20"/>
      <c r="P5412" s="20"/>
    </row>
    <row r="5413">
      <c r="A5413" s="10"/>
      <c r="B5413" s="11"/>
      <c r="C5413" s="10"/>
      <c r="D5413" s="13"/>
      <c r="E5413" s="14"/>
      <c r="F5413" s="14"/>
      <c r="G5413" s="14"/>
      <c r="H5413" s="10"/>
      <c r="I5413" s="17"/>
      <c r="J5413" s="10"/>
      <c r="K5413" s="46"/>
      <c r="L5413" s="10"/>
      <c r="M5413" s="20"/>
      <c r="N5413" s="20"/>
      <c r="O5413" s="20"/>
      <c r="P5413" s="20"/>
    </row>
    <row r="5414">
      <c r="A5414" s="23"/>
      <c r="B5414" s="21"/>
      <c r="C5414" s="23"/>
      <c r="D5414" s="24"/>
      <c r="E5414" s="14"/>
      <c r="F5414" s="14"/>
      <c r="G5414" s="14"/>
      <c r="H5414" s="23"/>
      <c r="I5414" s="27"/>
      <c r="J5414" s="23"/>
      <c r="K5414" s="30"/>
      <c r="L5414" s="23"/>
      <c r="M5414" s="20"/>
      <c r="N5414" s="20"/>
      <c r="O5414" s="20"/>
      <c r="P5414" s="20"/>
    </row>
    <row r="5415">
      <c r="A5415" s="10"/>
      <c r="B5415" s="11"/>
      <c r="C5415" s="10"/>
      <c r="D5415" s="13"/>
      <c r="E5415" s="14"/>
      <c r="F5415" s="14"/>
      <c r="G5415" s="14"/>
      <c r="H5415" s="10"/>
      <c r="I5415" s="17"/>
      <c r="J5415" s="10"/>
      <c r="K5415" s="46"/>
      <c r="L5415" s="10"/>
      <c r="M5415" s="20"/>
      <c r="N5415" s="20"/>
      <c r="O5415" s="20"/>
      <c r="P5415" s="20"/>
    </row>
    <row r="5416">
      <c r="A5416" s="23"/>
      <c r="B5416" s="21"/>
      <c r="C5416" s="23"/>
      <c r="D5416" s="24"/>
      <c r="E5416" s="14"/>
      <c r="F5416" s="14"/>
      <c r="G5416" s="14"/>
      <c r="H5416" s="23"/>
      <c r="I5416" s="27"/>
      <c r="J5416" s="23"/>
      <c r="K5416" s="30"/>
      <c r="L5416" s="23"/>
      <c r="M5416" s="20"/>
      <c r="N5416" s="20"/>
      <c r="O5416" s="20"/>
      <c r="P5416" s="20"/>
    </row>
    <row r="5417">
      <c r="A5417" s="10"/>
      <c r="B5417" s="11"/>
      <c r="C5417" s="10"/>
      <c r="D5417" s="13"/>
      <c r="E5417" s="14"/>
      <c r="F5417" s="14"/>
      <c r="G5417" s="14"/>
      <c r="H5417" s="10"/>
      <c r="I5417" s="17"/>
      <c r="J5417" s="10"/>
      <c r="K5417" s="46"/>
      <c r="L5417" s="10"/>
      <c r="M5417" s="20"/>
      <c r="N5417" s="20"/>
      <c r="O5417" s="20"/>
      <c r="P5417" s="20"/>
    </row>
    <row r="5418">
      <c r="A5418" s="23"/>
      <c r="B5418" s="21"/>
      <c r="C5418" s="23"/>
      <c r="D5418" s="24"/>
      <c r="E5418" s="14"/>
      <c r="F5418" s="14"/>
      <c r="G5418" s="14"/>
      <c r="H5418" s="23"/>
      <c r="I5418" s="27"/>
      <c r="J5418" s="23"/>
      <c r="K5418" s="30"/>
      <c r="L5418" s="23"/>
      <c r="M5418" s="20"/>
      <c r="N5418" s="20"/>
      <c r="O5418" s="20"/>
      <c r="P5418" s="20"/>
    </row>
    <row r="5419">
      <c r="A5419" s="10"/>
      <c r="B5419" s="11"/>
      <c r="C5419" s="10"/>
      <c r="D5419" s="13"/>
      <c r="E5419" s="14"/>
      <c r="F5419" s="14"/>
      <c r="G5419" s="14"/>
      <c r="H5419" s="10"/>
      <c r="I5419" s="17"/>
      <c r="J5419" s="10"/>
      <c r="K5419" s="46"/>
      <c r="L5419" s="10"/>
      <c r="M5419" s="20"/>
      <c r="N5419" s="20"/>
      <c r="O5419" s="20"/>
      <c r="P5419" s="20"/>
    </row>
    <row r="5420">
      <c r="A5420" s="23"/>
      <c r="B5420" s="21"/>
      <c r="C5420" s="23"/>
      <c r="D5420" s="24"/>
      <c r="E5420" s="14"/>
      <c r="F5420" s="14"/>
      <c r="G5420" s="14"/>
      <c r="H5420" s="23"/>
      <c r="I5420" s="27"/>
      <c r="J5420" s="23"/>
      <c r="K5420" s="30"/>
      <c r="L5420" s="23"/>
      <c r="M5420" s="20"/>
      <c r="N5420" s="20"/>
      <c r="O5420" s="20"/>
      <c r="P5420" s="20"/>
    </row>
    <row r="5421">
      <c r="A5421" s="10"/>
      <c r="B5421" s="11"/>
      <c r="C5421" s="10"/>
      <c r="D5421" s="13"/>
      <c r="E5421" s="14"/>
      <c r="F5421" s="14"/>
      <c r="G5421" s="14"/>
      <c r="H5421" s="10"/>
      <c r="I5421" s="17"/>
      <c r="J5421" s="10"/>
      <c r="K5421" s="46"/>
      <c r="L5421" s="10"/>
      <c r="M5421" s="20"/>
      <c r="N5421" s="20"/>
      <c r="O5421" s="20"/>
      <c r="P5421" s="20"/>
    </row>
    <row r="5422">
      <c r="A5422" s="23"/>
      <c r="B5422" s="21"/>
      <c r="C5422" s="23"/>
      <c r="D5422" s="24"/>
      <c r="E5422" s="14"/>
      <c r="F5422" s="14"/>
      <c r="G5422" s="14"/>
      <c r="H5422" s="23"/>
      <c r="I5422" s="27"/>
      <c r="J5422" s="23"/>
      <c r="K5422" s="30"/>
      <c r="L5422" s="23"/>
      <c r="M5422" s="20"/>
      <c r="N5422" s="20"/>
      <c r="O5422" s="20"/>
      <c r="P5422" s="20"/>
    </row>
    <row r="5423">
      <c r="A5423" s="10"/>
      <c r="B5423" s="11"/>
      <c r="C5423" s="10"/>
      <c r="D5423" s="13"/>
      <c r="E5423" s="14"/>
      <c r="F5423" s="14"/>
      <c r="G5423" s="14"/>
      <c r="H5423" s="10"/>
      <c r="I5423" s="17"/>
      <c r="J5423" s="10"/>
      <c r="K5423" s="46"/>
      <c r="L5423" s="10"/>
      <c r="M5423" s="20"/>
      <c r="N5423" s="20"/>
      <c r="O5423" s="20"/>
      <c r="P5423" s="20"/>
    </row>
    <row r="5424">
      <c r="A5424" s="23"/>
      <c r="B5424" s="21"/>
      <c r="C5424" s="23"/>
      <c r="D5424" s="24"/>
      <c r="E5424" s="14"/>
      <c r="F5424" s="14"/>
      <c r="G5424" s="14"/>
      <c r="H5424" s="23"/>
      <c r="I5424" s="27"/>
      <c r="J5424" s="23"/>
      <c r="K5424" s="30"/>
      <c r="L5424" s="23"/>
      <c r="M5424" s="20"/>
      <c r="N5424" s="20"/>
      <c r="O5424" s="20"/>
      <c r="P5424" s="20"/>
    </row>
    <row r="5425">
      <c r="A5425" s="10"/>
      <c r="B5425" s="11"/>
      <c r="C5425" s="10"/>
      <c r="D5425" s="13"/>
      <c r="E5425" s="14"/>
      <c r="F5425" s="14"/>
      <c r="G5425" s="14"/>
      <c r="H5425" s="10"/>
      <c r="I5425" s="17"/>
      <c r="J5425" s="10"/>
      <c r="K5425" s="46"/>
      <c r="L5425" s="10"/>
      <c r="M5425" s="20"/>
      <c r="N5425" s="20"/>
      <c r="O5425" s="20"/>
      <c r="P5425" s="20"/>
    </row>
    <row r="5426">
      <c r="A5426" s="23"/>
      <c r="B5426" s="21"/>
      <c r="C5426" s="23"/>
      <c r="D5426" s="24"/>
      <c r="E5426" s="14"/>
      <c r="F5426" s="14"/>
      <c r="G5426" s="14"/>
      <c r="H5426" s="23"/>
      <c r="I5426" s="27"/>
      <c r="J5426" s="23"/>
      <c r="K5426" s="30"/>
      <c r="L5426" s="23"/>
      <c r="M5426" s="20"/>
      <c r="N5426" s="20"/>
      <c r="O5426" s="20"/>
      <c r="P5426" s="20"/>
    </row>
    <row r="5427">
      <c r="A5427" s="10"/>
      <c r="B5427" s="11"/>
      <c r="C5427" s="10"/>
      <c r="D5427" s="13"/>
      <c r="E5427" s="14"/>
      <c r="F5427" s="14"/>
      <c r="G5427" s="14"/>
      <c r="H5427" s="10"/>
      <c r="I5427" s="17"/>
      <c r="J5427" s="10"/>
      <c r="K5427" s="46"/>
      <c r="L5427" s="10"/>
      <c r="M5427" s="20"/>
      <c r="N5427" s="20"/>
      <c r="O5427" s="20"/>
      <c r="P5427" s="20"/>
    </row>
    <row r="5428">
      <c r="A5428" s="23"/>
      <c r="B5428" s="21"/>
      <c r="C5428" s="23"/>
      <c r="D5428" s="24"/>
      <c r="E5428" s="14"/>
      <c r="F5428" s="14"/>
      <c r="G5428" s="14"/>
      <c r="H5428" s="23"/>
      <c r="I5428" s="27"/>
      <c r="J5428" s="23"/>
      <c r="K5428" s="30"/>
      <c r="L5428" s="23"/>
      <c r="M5428" s="20"/>
      <c r="N5428" s="20"/>
      <c r="O5428" s="20"/>
      <c r="P5428" s="20"/>
    </row>
    <row r="5429">
      <c r="A5429" s="10"/>
      <c r="B5429" s="11"/>
      <c r="C5429" s="10"/>
      <c r="D5429" s="13"/>
      <c r="E5429" s="14"/>
      <c r="F5429" s="14"/>
      <c r="G5429" s="14"/>
      <c r="H5429" s="10"/>
      <c r="I5429" s="17"/>
      <c r="J5429" s="10"/>
      <c r="K5429" s="46"/>
      <c r="L5429" s="10"/>
      <c r="M5429" s="20"/>
      <c r="N5429" s="20"/>
      <c r="O5429" s="20"/>
      <c r="P5429" s="20"/>
    </row>
    <row r="5430">
      <c r="A5430" s="23"/>
      <c r="B5430" s="21"/>
      <c r="C5430" s="23"/>
      <c r="D5430" s="24"/>
      <c r="E5430" s="14"/>
      <c r="F5430" s="14"/>
      <c r="G5430" s="14"/>
      <c r="H5430" s="23"/>
      <c r="I5430" s="27"/>
      <c r="J5430" s="23"/>
      <c r="K5430" s="30"/>
      <c r="L5430" s="23"/>
      <c r="M5430" s="20"/>
      <c r="N5430" s="20"/>
      <c r="O5430" s="20"/>
      <c r="P5430" s="20"/>
    </row>
    <row r="5431">
      <c r="A5431" s="10"/>
      <c r="B5431" s="11"/>
      <c r="C5431" s="10"/>
      <c r="D5431" s="13"/>
      <c r="E5431" s="14"/>
      <c r="F5431" s="14"/>
      <c r="G5431" s="14"/>
      <c r="H5431" s="10"/>
      <c r="I5431" s="17"/>
      <c r="J5431" s="10"/>
      <c r="K5431" s="46"/>
      <c r="L5431" s="10"/>
      <c r="M5431" s="20"/>
      <c r="N5431" s="20"/>
      <c r="O5431" s="20"/>
      <c r="P5431" s="20"/>
    </row>
    <row r="5432">
      <c r="A5432" s="23"/>
      <c r="B5432" s="21"/>
      <c r="C5432" s="23"/>
      <c r="D5432" s="24"/>
      <c r="E5432" s="14"/>
      <c r="F5432" s="14"/>
      <c r="G5432" s="14"/>
      <c r="H5432" s="23"/>
      <c r="I5432" s="27"/>
      <c r="J5432" s="23"/>
      <c r="K5432" s="30"/>
      <c r="L5432" s="23"/>
      <c r="M5432" s="20"/>
      <c r="N5432" s="20"/>
      <c r="O5432" s="20"/>
      <c r="P5432" s="20"/>
    </row>
    <row r="5433">
      <c r="A5433" s="10"/>
      <c r="B5433" s="11"/>
      <c r="C5433" s="10"/>
      <c r="D5433" s="13"/>
      <c r="E5433" s="14"/>
      <c r="F5433" s="14"/>
      <c r="G5433" s="14"/>
      <c r="H5433" s="10"/>
      <c r="I5433" s="17"/>
      <c r="J5433" s="10"/>
      <c r="K5433" s="46"/>
      <c r="L5433" s="10"/>
      <c r="M5433" s="20"/>
      <c r="N5433" s="20"/>
      <c r="O5433" s="20"/>
      <c r="P5433" s="20"/>
    </row>
    <row r="5434">
      <c r="A5434" s="23"/>
      <c r="B5434" s="21"/>
      <c r="C5434" s="23"/>
      <c r="D5434" s="24"/>
      <c r="E5434" s="14"/>
      <c r="F5434" s="14"/>
      <c r="G5434" s="14"/>
      <c r="H5434" s="23"/>
      <c r="I5434" s="27"/>
      <c r="J5434" s="23"/>
      <c r="K5434" s="30"/>
      <c r="L5434" s="23"/>
      <c r="M5434" s="20"/>
      <c r="N5434" s="20"/>
      <c r="O5434" s="20"/>
      <c r="P5434" s="20"/>
    </row>
    <row r="5435">
      <c r="A5435" s="10"/>
      <c r="B5435" s="11"/>
      <c r="C5435" s="10"/>
      <c r="D5435" s="13"/>
      <c r="E5435" s="14"/>
      <c r="F5435" s="14"/>
      <c r="G5435" s="14"/>
      <c r="H5435" s="10"/>
      <c r="I5435" s="17"/>
      <c r="J5435" s="10"/>
      <c r="K5435" s="46"/>
      <c r="L5435" s="10"/>
      <c r="M5435" s="20"/>
      <c r="N5435" s="20"/>
      <c r="O5435" s="20"/>
      <c r="P5435" s="20"/>
    </row>
    <row r="5436">
      <c r="A5436" s="23"/>
      <c r="B5436" s="21"/>
      <c r="C5436" s="23"/>
      <c r="D5436" s="24"/>
      <c r="E5436" s="14"/>
      <c r="F5436" s="14"/>
      <c r="G5436" s="14"/>
      <c r="H5436" s="23"/>
      <c r="I5436" s="27"/>
      <c r="J5436" s="23"/>
      <c r="K5436" s="30"/>
      <c r="L5436" s="23"/>
      <c r="M5436" s="20"/>
      <c r="N5436" s="20"/>
      <c r="O5436" s="20"/>
      <c r="P5436" s="20"/>
    </row>
    <row r="5437">
      <c r="A5437" s="10"/>
      <c r="B5437" s="11"/>
      <c r="C5437" s="10"/>
      <c r="D5437" s="13"/>
      <c r="E5437" s="14"/>
      <c r="F5437" s="14"/>
      <c r="G5437" s="14"/>
      <c r="H5437" s="10"/>
      <c r="I5437" s="17"/>
      <c r="J5437" s="10"/>
      <c r="K5437" s="46"/>
      <c r="L5437" s="10"/>
      <c r="M5437" s="20"/>
      <c r="N5437" s="20"/>
      <c r="O5437" s="20"/>
      <c r="P5437" s="20"/>
    </row>
    <row r="5438">
      <c r="A5438" s="23"/>
      <c r="B5438" s="21"/>
      <c r="C5438" s="23"/>
      <c r="D5438" s="24"/>
      <c r="E5438" s="14"/>
      <c r="F5438" s="14"/>
      <c r="G5438" s="14"/>
      <c r="H5438" s="23"/>
      <c r="I5438" s="27"/>
      <c r="J5438" s="23"/>
      <c r="K5438" s="30"/>
      <c r="L5438" s="23"/>
      <c r="M5438" s="20"/>
      <c r="N5438" s="20"/>
      <c r="O5438" s="20"/>
      <c r="P5438" s="20"/>
    </row>
    <row r="5439">
      <c r="A5439" s="10"/>
      <c r="B5439" s="11"/>
      <c r="C5439" s="10"/>
      <c r="D5439" s="13"/>
      <c r="E5439" s="14"/>
      <c r="F5439" s="14"/>
      <c r="G5439" s="14"/>
      <c r="H5439" s="10"/>
      <c r="I5439" s="17"/>
      <c r="J5439" s="10"/>
      <c r="K5439" s="46"/>
      <c r="L5439" s="10"/>
      <c r="M5439" s="20"/>
      <c r="N5439" s="20"/>
      <c r="O5439" s="20"/>
      <c r="P5439" s="20"/>
    </row>
    <row r="5440">
      <c r="A5440" s="23"/>
      <c r="B5440" s="21"/>
      <c r="C5440" s="23"/>
      <c r="D5440" s="24"/>
      <c r="E5440" s="14"/>
      <c r="F5440" s="14"/>
      <c r="G5440" s="14"/>
      <c r="H5440" s="23"/>
      <c r="I5440" s="27"/>
      <c r="J5440" s="23"/>
      <c r="K5440" s="30"/>
      <c r="L5440" s="23"/>
      <c r="M5440" s="20"/>
      <c r="N5440" s="20"/>
      <c r="O5440" s="20"/>
      <c r="P5440" s="20"/>
    </row>
    <row r="5441">
      <c r="A5441" s="10"/>
      <c r="B5441" s="11"/>
      <c r="C5441" s="10"/>
      <c r="D5441" s="13"/>
      <c r="E5441" s="14"/>
      <c r="F5441" s="14"/>
      <c r="G5441" s="14"/>
      <c r="H5441" s="10"/>
      <c r="I5441" s="17"/>
      <c r="J5441" s="10"/>
      <c r="K5441" s="46"/>
      <c r="L5441" s="10"/>
      <c r="M5441" s="20"/>
      <c r="N5441" s="20"/>
      <c r="O5441" s="20"/>
      <c r="P5441" s="20"/>
    </row>
    <row r="5442">
      <c r="A5442" s="23"/>
      <c r="B5442" s="21"/>
      <c r="C5442" s="23"/>
      <c r="D5442" s="24"/>
      <c r="E5442" s="14"/>
      <c r="F5442" s="14"/>
      <c r="G5442" s="14"/>
      <c r="H5442" s="23"/>
      <c r="I5442" s="27"/>
      <c r="J5442" s="23"/>
      <c r="K5442" s="30"/>
      <c r="L5442" s="23"/>
      <c r="M5442" s="20"/>
      <c r="N5442" s="20"/>
      <c r="O5442" s="20"/>
      <c r="P5442" s="20"/>
    </row>
    <row r="5443">
      <c r="A5443" s="10"/>
      <c r="B5443" s="11"/>
      <c r="C5443" s="10"/>
      <c r="D5443" s="13"/>
      <c r="E5443" s="14"/>
      <c r="F5443" s="14"/>
      <c r="G5443" s="14"/>
      <c r="H5443" s="10"/>
      <c r="I5443" s="17"/>
      <c r="J5443" s="10"/>
      <c r="K5443" s="46"/>
      <c r="L5443" s="10"/>
      <c r="M5443" s="20"/>
      <c r="N5443" s="20"/>
      <c r="O5443" s="20"/>
      <c r="P5443" s="20"/>
    </row>
    <row r="5444">
      <c r="A5444" s="23"/>
      <c r="B5444" s="21"/>
      <c r="C5444" s="23"/>
      <c r="D5444" s="24"/>
      <c r="E5444" s="14"/>
      <c r="F5444" s="14"/>
      <c r="G5444" s="14"/>
      <c r="H5444" s="23"/>
      <c r="I5444" s="27"/>
      <c r="J5444" s="23"/>
      <c r="K5444" s="30"/>
      <c r="L5444" s="23"/>
      <c r="M5444" s="20"/>
      <c r="N5444" s="20"/>
      <c r="O5444" s="20"/>
      <c r="P5444" s="20"/>
    </row>
    <row r="5445">
      <c r="A5445" s="10"/>
      <c r="B5445" s="11"/>
      <c r="C5445" s="10"/>
      <c r="D5445" s="13"/>
      <c r="E5445" s="14"/>
      <c r="F5445" s="14"/>
      <c r="G5445" s="14"/>
      <c r="H5445" s="10"/>
      <c r="I5445" s="17"/>
      <c r="J5445" s="10"/>
      <c r="K5445" s="46"/>
      <c r="L5445" s="10"/>
      <c r="M5445" s="20"/>
      <c r="N5445" s="20"/>
      <c r="O5445" s="20"/>
      <c r="P5445" s="20"/>
    </row>
    <row r="5446">
      <c r="A5446" s="23"/>
      <c r="B5446" s="21"/>
      <c r="C5446" s="23"/>
      <c r="D5446" s="24"/>
      <c r="E5446" s="14"/>
      <c r="F5446" s="14"/>
      <c r="G5446" s="14"/>
      <c r="H5446" s="23"/>
      <c r="I5446" s="27"/>
      <c r="J5446" s="23"/>
      <c r="K5446" s="30"/>
      <c r="L5446" s="23"/>
      <c r="M5446" s="20"/>
      <c r="N5446" s="20"/>
      <c r="O5446" s="20"/>
      <c r="P5446" s="20"/>
    </row>
    <row r="5447">
      <c r="A5447" s="10"/>
      <c r="B5447" s="11"/>
      <c r="C5447" s="10"/>
      <c r="D5447" s="13"/>
      <c r="E5447" s="14"/>
      <c r="F5447" s="14"/>
      <c r="G5447" s="14"/>
      <c r="H5447" s="10"/>
      <c r="I5447" s="17"/>
      <c r="J5447" s="10"/>
      <c r="K5447" s="46"/>
      <c r="L5447" s="10"/>
      <c r="M5447" s="20"/>
      <c r="N5447" s="20"/>
      <c r="O5447" s="20"/>
      <c r="P5447" s="20"/>
    </row>
    <row r="5448">
      <c r="A5448" s="23"/>
      <c r="B5448" s="21"/>
      <c r="C5448" s="23"/>
      <c r="D5448" s="24"/>
      <c r="E5448" s="14"/>
      <c r="F5448" s="14"/>
      <c r="G5448" s="14"/>
      <c r="H5448" s="23"/>
      <c r="I5448" s="27"/>
      <c r="J5448" s="23"/>
      <c r="K5448" s="30"/>
      <c r="L5448" s="23"/>
      <c r="M5448" s="20"/>
      <c r="N5448" s="20"/>
      <c r="O5448" s="20"/>
      <c r="P5448" s="20"/>
    </row>
    <row r="5449">
      <c r="A5449" s="10"/>
      <c r="B5449" s="11"/>
      <c r="C5449" s="10"/>
      <c r="D5449" s="13"/>
      <c r="E5449" s="14"/>
      <c r="F5449" s="14"/>
      <c r="G5449" s="14"/>
      <c r="H5449" s="10"/>
      <c r="I5449" s="17"/>
      <c r="J5449" s="10"/>
      <c r="K5449" s="46"/>
      <c r="L5449" s="10"/>
      <c r="M5449" s="20"/>
      <c r="N5449" s="20"/>
      <c r="O5449" s="20"/>
      <c r="P5449" s="20"/>
    </row>
    <row r="5450">
      <c r="A5450" s="23"/>
      <c r="B5450" s="21"/>
      <c r="C5450" s="23"/>
      <c r="D5450" s="24"/>
      <c r="E5450" s="14"/>
      <c r="F5450" s="14"/>
      <c r="G5450" s="14"/>
      <c r="H5450" s="23"/>
      <c r="I5450" s="27"/>
      <c r="J5450" s="23"/>
      <c r="K5450" s="30"/>
      <c r="L5450" s="23"/>
      <c r="M5450" s="20"/>
      <c r="N5450" s="20"/>
      <c r="O5450" s="20"/>
      <c r="P5450" s="20"/>
    </row>
    <row r="5451">
      <c r="A5451" s="10"/>
      <c r="B5451" s="11"/>
      <c r="C5451" s="10"/>
      <c r="D5451" s="13"/>
      <c r="E5451" s="14"/>
      <c r="F5451" s="14"/>
      <c r="G5451" s="14"/>
      <c r="H5451" s="10"/>
      <c r="I5451" s="17"/>
      <c r="J5451" s="10"/>
      <c r="K5451" s="46"/>
      <c r="L5451" s="10"/>
      <c r="M5451" s="20"/>
      <c r="N5451" s="20"/>
      <c r="O5451" s="20"/>
      <c r="P5451" s="20"/>
    </row>
    <row r="5452">
      <c r="A5452" s="23"/>
      <c r="B5452" s="21"/>
      <c r="C5452" s="23"/>
      <c r="D5452" s="24"/>
      <c r="E5452" s="14"/>
      <c r="F5452" s="14"/>
      <c r="G5452" s="14"/>
      <c r="H5452" s="23"/>
      <c r="I5452" s="27"/>
      <c r="J5452" s="23"/>
      <c r="K5452" s="30"/>
      <c r="L5452" s="23"/>
      <c r="M5452" s="20"/>
      <c r="N5452" s="20"/>
      <c r="O5452" s="20"/>
      <c r="P5452" s="20"/>
    </row>
    <row r="5453">
      <c r="A5453" s="10"/>
      <c r="B5453" s="11"/>
      <c r="C5453" s="10"/>
      <c r="D5453" s="13"/>
      <c r="E5453" s="14"/>
      <c r="F5453" s="14"/>
      <c r="G5453" s="14"/>
      <c r="H5453" s="10"/>
      <c r="I5453" s="17"/>
      <c r="J5453" s="10"/>
      <c r="K5453" s="46"/>
      <c r="L5453" s="10"/>
      <c r="M5453" s="20"/>
      <c r="N5453" s="20"/>
      <c r="O5453" s="20"/>
      <c r="P5453" s="20"/>
    </row>
    <row r="5454">
      <c r="A5454" s="23"/>
      <c r="B5454" s="21"/>
      <c r="C5454" s="23"/>
      <c r="D5454" s="24"/>
      <c r="E5454" s="14"/>
      <c r="F5454" s="14"/>
      <c r="G5454" s="14"/>
      <c r="H5454" s="23"/>
      <c r="I5454" s="27"/>
      <c r="J5454" s="23"/>
      <c r="K5454" s="30"/>
      <c r="L5454" s="23"/>
      <c r="M5454" s="20"/>
      <c r="N5454" s="20"/>
      <c r="O5454" s="20"/>
      <c r="P5454" s="20"/>
    </row>
    <row r="5455">
      <c r="A5455" s="10"/>
      <c r="B5455" s="11"/>
      <c r="C5455" s="10"/>
      <c r="D5455" s="13"/>
      <c r="E5455" s="14"/>
      <c r="F5455" s="14"/>
      <c r="G5455" s="14"/>
      <c r="H5455" s="10"/>
      <c r="I5455" s="17"/>
      <c r="J5455" s="10"/>
      <c r="K5455" s="46"/>
      <c r="L5455" s="10"/>
      <c r="M5455" s="20"/>
      <c r="N5455" s="20"/>
      <c r="O5455" s="20"/>
      <c r="P5455" s="20"/>
    </row>
    <row r="5456">
      <c r="A5456" s="23"/>
      <c r="B5456" s="21"/>
      <c r="C5456" s="23"/>
      <c r="D5456" s="24"/>
      <c r="E5456" s="14"/>
      <c r="F5456" s="14"/>
      <c r="G5456" s="14"/>
      <c r="H5456" s="23"/>
      <c r="I5456" s="27"/>
      <c r="J5456" s="23"/>
      <c r="K5456" s="30"/>
      <c r="L5456" s="23"/>
      <c r="M5456" s="20"/>
      <c r="N5456" s="20"/>
      <c r="O5456" s="20"/>
      <c r="P5456" s="20"/>
    </row>
    <row r="5457">
      <c r="A5457" s="10"/>
      <c r="B5457" s="11"/>
      <c r="C5457" s="10"/>
      <c r="D5457" s="13"/>
      <c r="E5457" s="14"/>
      <c r="F5457" s="14"/>
      <c r="G5457" s="14"/>
      <c r="H5457" s="10"/>
      <c r="I5457" s="17"/>
      <c r="J5457" s="10"/>
      <c r="K5457" s="46"/>
      <c r="L5457" s="10"/>
      <c r="M5457" s="20"/>
      <c r="N5457" s="20"/>
      <c r="O5457" s="20"/>
      <c r="P5457" s="20"/>
    </row>
    <row r="5458">
      <c r="A5458" s="23"/>
      <c r="B5458" s="21"/>
      <c r="C5458" s="23"/>
      <c r="D5458" s="24"/>
      <c r="E5458" s="14"/>
      <c r="F5458" s="14"/>
      <c r="G5458" s="14"/>
      <c r="H5458" s="23"/>
      <c r="I5458" s="27"/>
      <c r="J5458" s="23"/>
      <c r="K5458" s="30"/>
      <c r="L5458" s="23"/>
      <c r="M5458" s="20"/>
      <c r="N5458" s="20"/>
      <c r="O5458" s="20"/>
      <c r="P5458" s="20"/>
    </row>
    <row r="5459">
      <c r="A5459" s="10"/>
      <c r="B5459" s="11"/>
      <c r="C5459" s="10"/>
      <c r="D5459" s="13"/>
      <c r="E5459" s="14"/>
      <c r="F5459" s="14"/>
      <c r="G5459" s="14"/>
      <c r="H5459" s="10"/>
      <c r="I5459" s="17"/>
      <c r="J5459" s="10"/>
      <c r="K5459" s="46"/>
      <c r="L5459" s="10"/>
      <c r="M5459" s="20"/>
      <c r="N5459" s="20"/>
      <c r="O5459" s="20"/>
      <c r="P5459" s="20"/>
    </row>
    <row r="5460">
      <c r="A5460" s="23"/>
      <c r="B5460" s="21"/>
      <c r="C5460" s="23"/>
      <c r="D5460" s="24"/>
      <c r="E5460" s="14"/>
      <c r="F5460" s="14"/>
      <c r="G5460" s="14"/>
      <c r="H5460" s="23"/>
      <c r="I5460" s="27"/>
      <c r="J5460" s="23"/>
      <c r="K5460" s="30"/>
      <c r="L5460" s="23"/>
      <c r="M5460" s="20"/>
      <c r="N5460" s="20"/>
      <c r="O5460" s="20"/>
      <c r="P5460" s="20"/>
    </row>
    <row r="5461">
      <c r="A5461" s="10"/>
      <c r="B5461" s="11"/>
      <c r="C5461" s="10"/>
      <c r="D5461" s="13"/>
      <c r="E5461" s="14"/>
      <c r="F5461" s="14"/>
      <c r="G5461" s="14"/>
      <c r="H5461" s="10"/>
      <c r="I5461" s="17"/>
      <c r="J5461" s="10"/>
      <c r="K5461" s="46"/>
      <c r="L5461" s="10"/>
      <c r="M5461" s="20"/>
      <c r="N5461" s="20"/>
      <c r="O5461" s="20"/>
      <c r="P5461" s="20"/>
    </row>
    <row r="5462">
      <c r="A5462" s="23"/>
      <c r="B5462" s="21"/>
      <c r="C5462" s="23"/>
      <c r="D5462" s="24"/>
      <c r="E5462" s="14"/>
      <c r="F5462" s="14"/>
      <c r="G5462" s="14"/>
      <c r="H5462" s="23"/>
      <c r="I5462" s="27"/>
      <c r="J5462" s="23"/>
      <c r="K5462" s="30"/>
      <c r="L5462" s="23"/>
      <c r="M5462" s="20"/>
      <c r="N5462" s="20"/>
      <c r="O5462" s="20"/>
      <c r="P5462" s="20"/>
    </row>
    <row r="5463">
      <c r="A5463" s="10"/>
      <c r="B5463" s="11"/>
      <c r="C5463" s="10"/>
      <c r="D5463" s="13"/>
      <c r="E5463" s="14"/>
      <c r="F5463" s="14"/>
      <c r="G5463" s="14"/>
      <c r="H5463" s="10"/>
      <c r="I5463" s="17"/>
      <c r="J5463" s="10"/>
      <c r="K5463" s="46"/>
      <c r="L5463" s="10"/>
      <c r="M5463" s="20"/>
      <c r="N5463" s="20"/>
      <c r="O5463" s="20"/>
      <c r="P5463" s="20"/>
    </row>
    <row r="5464">
      <c r="A5464" s="23"/>
      <c r="B5464" s="21"/>
      <c r="C5464" s="23"/>
      <c r="D5464" s="24"/>
      <c r="E5464" s="14"/>
      <c r="F5464" s="14"/>
      <c r="G5464" s="14"/>
      <c r="H5464" s="23"/>
      <c r="I5464" s="27"/>
      <c r="J5464" s="23"/>
      <c r="K5464" s="30"/>
      <c r="L5464" s="23"/>
      <c r="M5464" s="20"/>
      <c r="N5464" s="20"/>
      <c r="O5464" s="20"/>
      <c r="P5464" s="20"/>
    </row>
    <row r="5465">
      <c r="A5465" s="10"/>
      <c r="B5465" s="11"/>
      <c r="C5465" s="10"/>
      <c r="D5465" s="13"/>
      <c r="E5465" s="14"/>
      <c r="F5465" s="14"/>
      <c r="G5465" s="14"/>
      <c r="H5465" s="10"/>
      <c r="I5465" s="17"/>
      <c r="J5465" s="10"/>
      <c r="K5465" s="46"/>
      <c r="L5465" s="10"/>
      <c r="M5465" s="20"/>
      <c r="N5465" s="20"/>
      <c r="O5465" s="20"/>
      <c r="P5465" s="20"/>
    </row>
    <row r="5466">
      <c r="A5466" s="23"/>
      <c r="B5466" s="21"/>
      <c r="C5466" s="23"/>
      <c r="D5466" s="24"/>
      <c r="E5466" s="14"/>
      <c r="F5466" s="14"/>
      <c r="G5466" s="14"/>
      <c r="H5466" s="23"/>
      <c r="I5466" s="27"/>
      <c r="J5466" s="23"/>
      <c r="K5466" s="30"/>
      <c r="L5466" s="23"/>
      <c r="M5466" s="20"/>
      <c r="N5466" s="20"/>
      <c r="O5466" s="20"/>
      <c r="P5466" s="20"/>
    </row>
    <row r="5467">
      <c r="A5467" s="10"/>
      <c r="B5467" s="11"/>
      <c r="C5467" s="10"/>
      <c r="D5467" s="13"/>
      <c r="E5467" s="14"/>
      <c r="F5467" s="14"/>
      <c r="G5467" s="14"/>
      <c r="H5467" s="10"/>
      <c r="I5467" s="17"/>
      <c r="J5467" s="10"/>
      <c r="K5467" s="46"/>
      <c r="L5467" s="10"/>
      <c r="M5467" s="20"/>
      <c r="N5467" s="20"/>
      <c r="O5467" s="20"/>
      <c r="P5467" s="20"/>
    </row>
    <row r="5468">
      <c r="A5468" s="23"/>
      <c r="B5468" s="21"/>
      <c r="C5468" s="23"/>
      <c r="D5468" s="24"/>
      <c r="E5468" s="14"/>
      <c r="F5468" s="14"/>
      <c r="G5468" s="14"/>
      <c r="H5468" s="23"/>
      <c r="I5468" s="27"/>
      <c r="J5468" s="23"/>
      <c r="K5468" s="30"/>
      <c r="L5468" s="23"/>
      <c r="M5468" s="20"/>
      <c r="N5468" s="20"/>
      <c r="O5468" s="20"/>
      <c r="P5468" s="20"/>
    </row>
    <row r="5469">
      <c r="A5469" s="10"/>
      <c r="B5469" s="11"/>
      <c r="C5469" s="10"/>
      <c r="D5469" s="13"/>
      <c r="E5469" s="14"/>
      <c r="F5469" s="14"/>
      <c r="G5469" s="14"/>
      <c r="H5469" s="10"/>
      <c r="I5469" s="17"/>
      <c r="J5469" s="10"/>
      <c r="K5469" s="46"/>
      <c r="L5469" s="10"/>
      <c r="M5469" s="20"/>
      <c r="N5469" s="20"/>
      <c r="O5469" s="20"/>
      <c r="P5469" s="20"/>
    </row>
    <row r="5470">
      <c r="A5470" s="23"/>
      <c r="B5470" s="21"/>
      <c r="C5470" s="23"/>
      <c r="D5470" s="24"/>
      <c r="E5470" s="14"/>
      <c r="F5470" s="14"/>
      <c r="G5470" s="14"/>
      <c r="H5470" s="23"/>
      <c r="I5470" s="27"/>
      <c r="J5470" s="23"/>
      <c r="K5470" s="30"/>
      <c r="L5470" s="23"/>
      <c r="M5470" s="20"/>
      <c r="N5470" s="20"/>
      <c r="O5470" s="20"/>
      <c r="P5470" s="20"/>
    </row>
    <row r="5471">
      <c r="A5471" s="10"/>
      <c r="B5471" s="11"/>
      <c r="C5471" s="10"/>
      <c r="D5471" s="13"/>
      <c r="E5471" s="14"/>
      <c r="F5471" s="14"/>
      <c r="G5471" s="14"/>
      <c r="H5471" s="10"/>
      <c r="I5471" s="17"/>
      <c r="J5471" s="10"/>
      <c r="K5471" s="46"/>
      <c r="L5471" s="10"/>
      <c r="M5471" s="20"/>
      <c r="N5471" s="20"/>
      <c r="O5471" s="20"/>
      <c r="P5471" s="20"/>
    </row>
    <row r="5472">
      <c r="A5472" s="23"/>
      <c r="B5472" s="21"/>
      <c r="C5472" s="23"/>
      <c r="D5472" s="24"/>
      <c r="E5472" s="14"/>
      <c r="F5472" s="14"/>
      <c r="G5472" s="14"/>
      <c r="H5472" s="23"/>
      <c r="I5472" s="27"/>
      <c r="J5472" s="23"/>
      <c r="K5472" s="30"/>
      <c r="L5472" s="23"/>
      <c r="M5472" s="20"/>
      <c r="N5472" s="20"/>
      <c r="O5472" s="20"/>
      <c r="P5472" s="20"/>
    </row>
    <row r="5473">
      <c r="A5473" s="10"/>
      <c r="B5473" s="11"/>
      <c r="C5473" s="10"/>
      <c r="D5473" s="13"/>
      <c r="E5473" s="14"/>
      <c r="F5473" s="14"/>
      <c r="G5473" s="14"/>
      <c r="H5473" s="10"/>
      <c r="I5473" s="17"/>
      <c r="J5473" s="10"/>
      <c r="K5473" s="46"/>
      <c r="L5473" s="10"/>
      <c r="M5473" s="20"/>
      <c r="N5473" s="20"/>
      <c r="O5473" s="20"/>
      <c r="P5473" s="20"/>
    </row>
    <row r="5474">
      <c r="A5474" s="23"/>
      <c r="B5474" s="21"/>
      <c r="C5474" s="23"/>
      <c r="D5474" s="24"/>
      <c r="E5474" s="14"/>
      <c r="F5474" s="14"/>
      <c r="G5474" s="14"/>
      <c r="H5474" s="23"/>
      <c r="I5474" s="27"/>
      <c r="J5474" s="23"/>
      <c r="K5474" s="30"/>
      <c r="L5474" s="23"/>
      <c r="M5474" s="20"/>
      <c r="N5474" s="20"/>
      <c r="O5474" s="20"/>
      <c r="P5474" s="20"/>
    </row>
    <row r="5475">
      <c r="A5475" s="10"/>
      <c r="B5475" s="11"/>
      <c r="C5475" s="10"/>
      <c r="D5475" s="13"/>
      <c r="E5475" s="14"/>
      <c r="F5475" s="14"/>
      <c r="G5475" s="14"/>
      <c r="H5475" s="10"/>
      <c r="I5475" s="17"/>
      <c r="J5475" s="10"/>
      <c r="K5475" s="46"/>
      <c r="L5475" s="10"/>
      <c r="M5475" s="20"/>
      <c r="N5475" s="20"/>
      <c r="O5475" s="20"/>
      <c r="P5475" s="20"/>
    </row>
    <row r="5476">
      <c r="A5476" s="23"/>
      <c r="B5476" s="21"/>
      <c r="C5476" s="23"/>
      <c r="D5476" s="24"/>
      <c r="E5476" s="14"/>
      <c r="F5476" s="14"/>
      <c r="G5476" s="14"/>
      <c r="H5476" s="23"/>
      <c r="I5476" s="27"/>
      <c r="J5476" s="23"/>
      <c r="K5476" s="30"/>
      <c r="L5476" s="23"/>
      <c r="M5476" s="20"/>
      <c r="N5476" s="20"/>
      <c r="O5476" s="20"/>
      <c r="P5476" s="20"/>
    </row>
    <row r="5477">
      <c r="A5477" s="10"/>
      <c r="B5477" s="11"/>
      <c r="C5477" s="10"/>
      <c r="D5477" s="13"/>
      <c r="E5477" s="14"/>
      <c r="F5477" s="14"/>
      <c r="G5477" s="14"/>
      <c r="H5477" s="10"/>
      <c r="I5477" s="17"/>
      <c r="J5477" s="10"/>
      <c r="K5477" s="46"/>
      <c r="L5477" s="10"/>
      <c r="M5477" s="20"/>
      <c r="N5477" s="20"/>
      <c r="O5477" s="20"/>
      <c r="P5477" s="20"/>
    </row>
    <row r="5478">
      <c r="A5478" s="23"/>
      <c r="B5478" s="21"/>
      <c r="C5478" s="23"/>
      <c r="D5478" s="24"/>
      <c r="E5478" s="14"/>
      <c r="F5478" s="14"/>
      <c r="G5478" s="14"/>
      <c r="H5478" s="23"/>
      <c r="I5478" s="27"/>
      <c r="J5478" s="23"/>
      <c r="K5478" s="30"/>
      <c r="L5478" s="23"/>
      <c r="M5478" s="20"/>
      <c r="N5478" s="20"/>
      <c r="O5478" s="20"/>
      <c r="P5478" s="20"/>
    </row>
    <row r="5479">
      <c r="A5479" s="10"/>
      <c r="B5479" s="11"/>
      <c r="C5479" s="10"/>
      <c r="D5479" s="13"/>
      <c r="E5479" s="14"/>
      <c r="F5479" s="14"/>
      <c r="G5479" s="14"/>
      <c r="H5479" s="10"/>
      <c r="I5479" s="17"/>
      <c r="J5479" s="10"/>
      <c r="K5479" s="46"/>
      <c r="L5479" s="10"/>
      <c r="M5479" s="20"/>
      <c r="N5479" s="20"/>
      <c r="O5479" s="20"/>
      <c r="P5479" s="20"/>
    </row>
    <row r="5480">
      <c r="A5480" s="23"/>
      <c r="B5480" s="21"/>
      <c r="C5480" s="23"/>
      <c r="D5480" s="24"/>
      <c r="E5480" s="14"/>
      <c r="F5480" s="14"/>
      <c r="G5480" s="14"/>
      <c r="H5480" s="23"/>
      <c r="I5480" s="27"/>
      <c r="J5480" s="23"/>
      <c r="K5480" s="30"/>
      <c r="L5480" s="23"/>
      <c r="M5480" s="20"/>
      <c r="N5480" s="20"/>
      <c r="O5480" s="20"/>
      <c r="P5480" s="20"/>
    </row>
    <row r="5481">
      <c r="A5481" s="10"/>
      <c r="B5481" s="11"/>
      <c r="C5481" s="10"/>
      <c r="D5481" s="13"/>
      <c r="E5481" s="14"/>
      <c r="F5481" s="14"/>
      <c r="G5481" s="14"/>
      <c r="H5481" s="10"/>
      <c r="I5481" s="17"/>
      <c r="J5481" s="10"/>
      <c r="K5481" s="46"/>
      <c r="L5481" s="10"/>
      <c r="M5481" s="20"/>
      <c r="N5481" s="20"/>
      <c r="O5481" s="20"/>
      <c r="P5481" s="20"/>
    </row>
    <row r="5482">
      <c r="A5482" s="23"/>
      <c r="B5482" s="21"/>
      <c r="C5482" s="23"/>
      <c r="D5482" s="24"/>
      <c r="E5482" s="14"/>
      <c r="F5482" s="14"/>
      <c r="G5482" s="14"/>
      <c r="H5482" s="23"/>
      <c r="I5482" s="27"/>
      <c r="J5482" s="23"/>
      <c r="K5482" s="30"/>
      <c r="L5482" s="23"/>
      <c r="M5482" s="20"/>
      <c r="N5482" s="20"/>
      <c r="O5482" s="20"/>
      <c r="P5482" s="20"/>
    </row>
    <row r="5483">
      <c r="A5483" s="10"/>
      <c r="B5483" s="11"/>
      <c r="C5483" s="10"/>
      <c r="D5483" s="13"/>
      <c r="E5483" s="14"/>
      <c r="F5483" s="14"/>
      <c r="G5483" s="14"/>
      <c r="H5483" s="10"/>
      <c r="I5483" s="17"/>
      <c r="J5483" s="10"/>
      <c r="K5483" s="46"/>
      <c r="L5483" s="10"/>
      <c r="M5483" s="20"/>
      <c r="N5483" s="20"/>
      <c r="O5483" s="20"/>
      <c r="P5483" s="20"/>
    </row>
    <row r="5484">
      <c r="A5484" s="23"/>
      <c r="B5484" s="21"/>
      <c r="C5484" s="23"/>
      <c r="D5484" s="24"/>
      <c r="E5484" s="14"/>
      <c r="F5484" s="14"/>
      <c r="G5484" s="14"/>
      <c r="H5484" s="23"/>
      <c r="I5484" s="27"/>
      <c r="J5484" s="23"/>
      <c r="K5484" s="30"/>
      <c r="L5484" s="23"/>
      <c r="M5484" s="20"/>
      <c r="N5484" s="20"/>
      <c r="O5484" s="20"/>
      <c r="P5484" s="20"/>
    </row>
    <row r="5485">
      <c r="A5485" s="10"/>
      <c r="B5485" s="11"/>
      <c r="C5485" s="10"/>
      <c r="D5485" s="13"/>
      <c r="E5485" s="14"/>
      <c r="F5485" s="14"/>
      <c r="G5485" s="14"/>
      <c r="H5485" s="10"/>
      <c r="I5485" s="17"/>
      <c r="J5485" s="10"/>
      <c r="K5485" s="46"/>
      <c r="L5485" s="10"/>
      <c r="M5485" s="20"/>
      <c r="N5485" s="20"/>
      <c r="O5485" s="20"/>
      <c r="P5485" s="20"/>
    </row>
    <row r="5486">
      <c r="A5486" s="23"/>
      <c r="B5486" s="21"/>
      <c r="C5486" s="23"/>
      <c r="D5486" s="24"/>
      <c r="E5486" s="14"/>
      <c r="F5486" s="14"/>
      <c r="G5486" s="14"/>
      <c r="H5486" s="23"/>
      <c r="I5486" s="27"/>
      <c r="J5486" s="23"/>
      <c r="K5486" s="30"/>
      <c r="L5486" s="23"/>
      <c r="M5486" s="20"/>
      <c r="N5486" s="20"/>
      <c r="O5486" s="20"/>
      <c r="P5486" s="20"/>
    </row>
    <row r="5487">
      <c r="A5487" s="10"/>
      <c r="B5487" s="11"/>
      <c r="C5487" s="10"/>
      <c r="D5487" s="13"/>
      <c r="E5487" s="14"/>
      <c r="F5487" s="14"/>
      <c r="G5487" s="14"/>
      <c r="H5487" s="10"/>
      <c r="I5487" s="17"/>
      <c r="J5487" s="10"/>
      <c r="K5487" s="46"/>
      <c r="L5487" s="10"/>
      <c r="M5487" s="20"/>
      <c r="N5487" s="20"/>
      <c r="O5487" s="20"/>
      <c r="P5487" s="20"/>
    </row>
    <row r="5488">
      <c r="A5488" s="23"/>
      <c r="B5488" s="21"/>
      <c r="C5488" s="23"/>
      <c r="D5488" s="24"/>
      <c r="E5488" s="14"/>
      <c r="F5488" s="14"/>
      <c r="G5488" s="14"/>
      <c r="H5488" s="23"/>
      <c r="I5488" s="27"/>
      <c r="J5488" s="23"/>
      <c r="K5488" s="30"/>
      <c r="L5488" s="23"/>
      <c r="M5488" s="20"/>
      <c r="N5488" s="20"/>
      <c r="O5488" s="20"/>
      <c r="P5488" s="20"/>
    </row>
    <row r="5489">
      <c r="A5489" s="10"/>
      <c r="B5489" s="11"/>
      <c r="C5489" s="10"/>
      <c r="D5489" s="13"/>
      <c r="E5489" s="14"/>
      <c r="F5489" s="14"/>
      <c r="G5489" s="14"/>
      <c r="H5489" s="10"/>
      <c r="I5489" s="17"/>
      <c r="J5489" s="10"/>
      <c r="K5489" s="46"/>
      <c r="L5489" s="10"/>
      <c r="M5489" s="20"/>
      <c r="N5489" s="20"/>
      <c r="O5489" s="20"/>
      <c r="P5489" s="20"/>
    </row>
    <row r="5490">
      <c r="A5490" s="23"/>
      <c r="B5490" s="21"/>
      <c r="C5490" s="23"/>
      <c r="D5490" s="24"/>
      <c r="E5490" s="14"/>
      <c r="F5490" s="14"/>
      <c r="G5490" s="14"/>
      <c r="H5490" s="23"/>
      <c r="I5490" s="27"/>
      <c r="J5490" s="23"/>
      <c r="K5490" s="30"/>
      <c r="L5490" s="23"/>
      <c r="M5490" s="20"/>
      <c r="N5490" s="20"/>
      <c r="O5490" s="20"/>
      <c r="P5490" s="20"/>
    </row>
    <row r="5491">
      <c r="A5491" s="10"/>
      <c r="B5491" s="11"/>
      <c r="C5491" s="10"/>
      <c r="D5491" s="13"/>
      <c r="E5491" s="14"/>
      <c r="F5491" s="14"/>
      <c r="G5491" s="14"/>
      <c r="H5491" s="10"/>
      <c r="I5491" s="17"/>
      <c r="J5491" s="10"/>
      <c r="K5491" s="46"/>
      <c r="L5491" s="10"/>
      <c r="M5491" s="20"/>
      <c r="N5491" s="20"/>
      <c r="O5491" s="20"/>
      <c r="P5491" s="20"/>
    </row>
    <row r="5492">
      <c r="A5492" s="23"/>
      <c r="B5492" s="21"/>
      <c r="C5492" s="23"/>
      <c r="D5492" s="24"/>
      <c r="E5492" s="14"/>
      <c r="F5492" s="14"/>
      <c r="G5492" s="14"/>
      <c r="H5492" s="23"/>
      <c r="I5492" s="27"/>
      <c r="J5492" s="23"/>
      <c r="K5492" s="30"/>
      <c r="L5492" s="23"/>
      <c r="M5492" s="20"/>
      <c r="N5492" s="20"/>
      <c r="O5492" s="20"/>
      <c r="P5492" s="20"/>
    </row>
    <row r="5493">
      <c r="A5493" s="10"/>
      <c r="B5493" s="11"/>
      <c r="C5493" s="10"/>
      <c r="D5493" s="13"/>
      <c r="E5493" s="14"/>
      <c r="F5493" s="14"/>
      <c r="G5493" s="14"/>
      <c r="H5493" s="10"/>
      <c r="I5493" s="17"/>
      <c r="J5493" s="10"/>
      <c r="K5493" s="46"/>
      <c r="L5493" s="10"/>
      <c r="M5493" s="20"/>
      <c r="N5493" s="20"/>
      <c r="O5493" s="20"/>
      <c r="P5493" s="20"/>
    </row>
    <row r="5494">
      <c r="A5494" s="23"/>
      <c r="B5494" s="21"/>
      <c r="C5494" s="23"/>
      <c r="D5494" s="24"/>
      <c r="E5494" s="14"/>
      <c r="F5494" s="14"/>
      <c r="G5494" s="14"/>
      <c r="H5494" s="23"/>
      <c r="I5494" s="27"/>
      <c r="J5494" s="23"/>
      <c r="K5494" s="30"/>
      <c r="L5494" s="23"/>
      <c r="M5494" s="20"/>
      <c r="N5494" s="20"/>
      <c r="O5494" s="20"/>
      <c r="P5494" s="20"/>
    </row>
    <row r="5495">
      <c r="A5495" s="10"/>
      <c r="B5495" s="11"/>
      <c r="C5495" s="10"/>
      <c r="D5495" s="13"/>
      <c r="E5495" s="14"/>
      <c r="F5495" s="14"/>
      <c r="G5495" s="14"/>
      <c r="H5495" s="10"/>
      <c r="I5495" s="17"/>
      <c r="J5495" s="10"/>
      <c r="K5495" s="46"/>
      <c r="L5495" s="10"/>
      <c r="M5495" s="20"/>
      <c r="N5495" s="20"/>
      <c r="O5495" s="20"/>
      <c r="P5495" s="20"/>
    </row>
    <row r="5496">
      <c r="A5496" s="23"/>
      <c r="B5496" s="21"/>
      <c r="C5496" s="23"/>
      <c r="D5496" s="24"/>
      <c r="E5496" s="14"/>
      <c r="F5496" s="14"/>
      <c r="G5496" s="14"/>
      <c r="H5496" s="23"/>
      <c r="I5496" s="27"/>
      <c r="J5496" s="23"/>
      <c r="K5496" s="30"/>
      <c r="L5496" s="23"/>
      <c r="M5496" s="20"/>
      <c r="N5496" s="20"/>
      <c r="O5496" s="20"/>
      <c r="P5496" s="20"/>
    </row>
    <row r="5497">
      <c r="A5497" s="10"/>
      <c r="B5497" s="11"/>
      <c r="C5497" s="10"/>
      <c r="D5497" s="13"/>
      <c r="E5497" s="14"/>
      <c r="F5497" s="14"/>
      <c r="G5497" s="14"/>
      <c r="H5497" s="10"/>
      <c r="I5497" s="17"/>
      <c r="J5497" s="10"/>
      <c r="K5497" s="46"/>
      <c r="L5497" s="10"/>
      <c r="M5497" s="20"/>
      <c r="N5497" s="20"/>
      <c r="O5497" s="20"/>
      <c r="P5497" s="20"/>
    </row>
    <row r="5498">
      <c r="A5498" s="23"/>
      <c r="B5498" s="21"/>
      <c r="C5498" s="23"/>
      <c r="D5498" s="24"/>
      <c r="E5498" s="14"/>
      <c r="F5498" s="14"/>
      <c r="G5498" s="14"/>
      <c r="H5498" s="23"/>
      <c r="I5498" s="27"/>
      <c r="J5498" s="23"/>
      <c r="K5498" s="30"/>
      <c r="L5498" s="23"/>
      <c r="M5498" s="20"/>
      <c r="N5498" s="20"/>
      <c r="O5498" s="20"/>
      <c r="P5498" s="20"/>
    </row>
    <row r="5499">
      <c r="A5499" s="10"/>
      <c r="B5499" s="11"/>
      <c r="C5499" s="10"/>
      <c r="D5499" s="13"/>
      <c r="E5499" s="14"/>
      <c r="F5499" s="14"/>
      <c r="G5499" s="14"/>
      <c r="H5499" s="10"/>
      <c r="I5499" s="17"/>
      <c r="J5499" s="10"/>
      <c r="K5499" s="46"/>
      <c r="L5499" s="10"/>
      <c r="M5499" s="20"/>
      <c r="N5499" s="20"/>
      <c r="O5499" s="20"/>
      <c r="P5499" s="20"/>
    </row>
    <row r="5500">
      <c r="A5500" s="23"/>
      <c r="B5500" s="21"/>
      <c r="C5500" s="23"/>
      <c r="D5500" s="24"/>
      <c r="E5500" s="14"/>
      <c r="F5500" s="14"/>
      <c r="G5500" s="14"/>
      <c r="H5500" s="23"/>
      <c r="I5500" s="27"/>
      <c r="J5500" s="23"/>
      <c r="K5500" s="30"/>
      <c r="L5500" s="23"/>
      <c r="M5500" s="20"/>
      <c r="N5500" s="20"/>
      <c r="O5500" s="20"/>
      <c r="P5500" s="20"/>
    </row>
    <row r="5501">
      <c r="A5501" s="10"/>
      <c r="B5501" s="11"/>
      <c r="C5501" s="10"/>
      <c r="D5501" s="13"/>
      <c r="E5501" s="14"/>
      <c r="F5501" s="14"/>
      <c r="G5501" s="14"/>
      <c r="H5501" s="10"/>
      <c r="I5501" s="17"/>
      <c r="J5501" s="10"/>
      <c r="K5501" s="46"/>
      <c r="L5501" s="10"/>
      <c r="M5501" s="20"/>
      <c r="N5501" s="20"/>
      <c r="O5501" s="20"/>
      <c r="P5501" s="20"/>
    </row>
    <row r="5502">
      <c r="A5502" s="23"/>
      <c r="B5502" s="21"/>
      <c r="C5502" s="23"/>
      <c r="D5502" s="24"/>
      <c r="E5502" s="14"/>
      <c r="F5502" s="14"/>
      <c r="G5502" s="14"/>
      <c r="H5502" s="23"/>
      <c r="I5502" s="27"/>
      <c r="J5502" s="23"/>
      <c r="K5502" s="30"/>
      <c r="L5502" s="23"/>
      <c r="M5502" s="20"/>
      <c r="N5502" s="20"/>
      <c r="O5502" s="20"/>
      <c r="P5502" s="20"/>
    </row>
    <row r="5503">
      <c r="A5503" s="10"/>
      <c r="B5503" s="11"/>
      <c r="C5503" s="10"/>
      <c r="D5503" s="13"/>
      <c r="E5503" s="14"/>
      <c r="F5503" s="14"/>
      <c r="G5503" s="14"/>
      <c r="H5503" s="10"/>
      <c r="I5503" s="17"/>
      <c r="J5503" s="10"/>
      <c r="K5503" s="46"/>
      <c r="L5503" s="10"/>
      <c r="M5503" s="20"/>
      <c r="N5503" s="20"/>
      <c r="O5503" s="20"/>
      <c r="P5503" s="20"/>
    </row>
    <row r="5504">
      <c r="A5504" s="23"/>
      <c r="B5504" s="21"/>
      <c r="C5504" s="23"/>
      <c r="D5504" s="24"/>
      <c r="E5504" s="14"/>
      <c r="F5504" s="14"/>
      <c r="G5504" s="14"/>
      <c r="H5504" s="23"/>
      <c r="I5504" s="27"/>
      <c r="J5504" s="23"/>
      <c r="K5504" s="30"/>
      <c r="L5504" s="23"/>
      <c r="M5504" s="20"/>
      <c r="N5504" s="20"/>
      <c r="O5504" s="20"/>
      <c r="P5504" s="20"/>
    </row>
    <row r="5505">
      <c r="A5505" s="162"/>
      <c r="B5505" s="163"/>
      <c r="C5505" s="162"/>
      <c r="D5505" s="164"/>
      <c r="E5505" s="165"/>
      <c r="F5505" s="165"/>
      <c r="G5505" s="165"/>
      <c r="H5505" s="162"/>
      <c r="I5505" s="166"/>
      <c r="J5505" s="162"/>
      <c r="K5505" s="167"/>
      <c r="L5505" s="162"/>
      <c r="M5505" s="20"/>
      <c r="N5505" s="20"/>
      <c r="O5505" s="20"/>
      <c r="P5505" s="20"/>
    </row>
  </sheetData>
  <hyperlinks>
    <hyperlink r:id="rId1" ref="L16"/>
    <hyperlink r:id="rId2" ref="L26"/>
    <hyperlink r:id="rId3" ref="L27"/>
    <hyperlink r:id="rId4" ref="L30"/>
    <hyperlink r:id="rId5" ref="L37"/>
    <hyperlink r:id="rId6" ref="L38"/>
    <hyperlink r:id="rId7" ref="L40"/>
    <hyperlink r:id="rId8" ref="L44"/>
    <hyperlink r:id="rId9" ref="L48"/>
    <hyperlink r:id="rId10" ref="L60"/>
    <hyperlink r:id="rId11" ref="L67"/>
    <hyperlink r:id="rId12" ref="L68"/>
    <hyperlink r:id="rId13" ref="L71"/>
    <hyperlink r:id="rId14" ref="L77"/>
    <hyperlink r:id="rId15" ref="L81"/>
    <hyperlink r:id="rId16" ref="L86"/>
    <hyperlink r:id="rId17" ref="L96"/>
    <hyperlink r:id="rId18" ref="L99"/>
    <hyperlink r:id="rId19" ref="L113"/>
    <hyperlink r:id="rId20" ref="L115"/>
    <hyperlink r:id="rId21" ref="L118"/>
    <hyperlink r:id="rId22" ref="L119"/>
    <hyperlink r:id="rId23" ref="L120"/>
    <hyperlink r:id="rId24" ref="L122"/>
    <hyperlink r:id="rId25" ref="L123"/>
    <hyperlink r:id="rId26" ref="L124"/>
    <hyperlink r:id="rId27" ref="L125"/>
    <hyperlink r:id="rId28" ref="L126"/>
    <hyperlink r:id="rId29" ref="L128"/>
    <hyperlink r:id="rId30" ref="L129"/>
    <hyperlink r:id="rId31" ref="L130"/>
    <hyperlink r:id="rId32" ref="L133"/>
    <hyperlink r:id="rId33" ref="L134"/>
    <hyperlink r:id="rId34" ref="L135"/>
    <hyperlink r:id="rId35" ref="L136"/>
    <hyperlink r:id="rId36" ref="L137"/>
    <hyperlink r:id="rId37" ref="L138"/>
    <hyperlink r:id="rId38" ref="L139"/>
    <hyperlink r:id="rId39" ref="L140"/>
    <hyperlink r:id="rId40" ref="L141"/>
    <hyperlink r:id="rId41" ref="L142"/>
    <hyperlink r:id="rId42" ref="L143"/>
    <hyperlink r:id="rId43" ref="L145"/>
    <hyperlink r:id="rId44" ref="L147"/>
    <hyperlink r:id="rId45" ref="L148"/>
    <hyperlink r:id="rId46" ref="L149"/>
    <hyperlink r:id="rId47" ref="L151"/>
    <hyperlink r:id="rId48" ref="L152"/>
    <hyperlink r:id="rId49" ref="L153"/>
    <hyperlink r:id="rId50" ref="L154"/>
    <hyperlink r:id="rId51" ref="L155"/>
    <hyperlink r:id="rId52" ref="L156"/>
    <hyperlink r:id="rId53" ref="L158"/>
    <hyperlink r:id="rId54" ref="L159"/>
    <hyperlink r:id="rId55" ref="L161"/>
    <hyperlink r:id="rId56" ref="L162"/>
    <hyperlink r:id="rId57" ref="L163"/>
    <hyperlink r:id="rId58" ref="L164"/>
    <hyperlink r:id="rId59" ref="L167"/>
    <hyperlink r:id="rId60" ref="L169"/>
    <hyperlink r:id="rId61" ref="L170"/>
    <hyperlink r:id="rId62" ref="L171"/>
    <hyperlink r:id="rId63" ref="L173"/>
    <hyperlink r:id="rId64" ref="L177"/>
    <hyperlink r:id="rId65" ref="L178"/>
    <hyperlink r:id="rId66" ref="L179"/>
    <hyperlink r:id="rId67" ref="L180"/>
    <hyperlink r:id="rId68" ref="L184"/>
    <hyperlink r:id="rId69" ref="L188"/>
  </hyperlinks>
  <drawing r:id="rId70"/>
  <tableParts count="1">
    <tablePart r:id="rId7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7.63"/>
    <col customWidth="1" min="3" max="3" width="18.88"/>
    <col customWidth="1" min="4" max="4" width="16.5"/>
    <col customWidth="1" min="5" max="5" width="14.5"/>
    <col customWidth="1" min="6" max="6" width="11.63"/>
    <col customWidth="1" min="7" max="7" width="17.63"/>
    <col customWidth="1" min="8" max="8" width="18.88"/>
    <col customWidth="1" min="9" max="9" width="16.5"/>
    <col customWidth="1" min="10" max="10" width="14.5"/>
    <col customWidth="1" min="12" max="12" width="17.63"/>
    <col customWidth="1" min="13" max="13" width="18.88"/>
    <col customWidth="1" min="14" max="14" width="16.5"/>
    <col customWidth="1" min="15" max="15" width="14.5"/>
    <col customWidth="1" min="17" max="17" width="17.63"/>
    <col customWidth="1" min="18" max="18" width="18.88"/>
    <col customWidth="1" min="19" max="19" width="16.5"/>
    <col customWidth="1" min="20" max="20" width="14.5"/>
    <col customWidth="1" min="22" max="22" width="17.63"/>
    <col customWidth="1" min="23" max="23" width="18.88"/>
    <col customWidth="1" min="24" max="24" width="16.5"/>
    <col customWidth="1" min="25" max="25" width="14.5"/>
    <col customWidth="1" min="27" max="27" width="17.63"/>
    <col customWidth="1" min="28" max="28" width="18.88"/>
    <col customWidth="1" min="29" max="29" width="16.5"/>
    <col customWidth="1" min="30" max="30" width="14.5"/>
  </cols>
  <sheetData>
    <row r="1">
      <c r="A1" s="53"/>
      <c r="B1" s="53"/>
      <c r="C1" s="168"/>
      <c r="D1" s="169"/>
      <c r="E1" s="170"/>
      <c r="F1" s="53"/>
      <c r="G1" s="53"/>
      <c r="H1" s="53"/>
      <c r="I1" s="171"/>
      <c r="J1" s="170"/>
      <c r="K1" s="53"/>
      <c r="L1" s="53"/>
      <c r="M1" s="53"/>
      <c r="N1" s="171"/>
      <c r="O1" s="170"/>
      <c r="P1" s="53"/>
      <c r="Q1" s="53"/>
      <c r="R1" s="53"/>
      <c r="S1" s="171"/>
      <c r="T1" s="170"/>
      <c r="U1" s="53"/>
      <c r="V1" s="53"/>
      <c r="W1" s="53"/>
      <c r="X1" s="171"/>
      <c r="Y1" s="170"/>
      <c r="Z1" s="170"/>
      <c r="AA1" s="170"/>
      <c r="AB1" s="170"/>
      <c r="AC1" s="170"/>
      <c r="AD1" s="53"/>
      <c r="AE1" s="53"/>
    </row>
    <row r="2">
      <c r="A2" s="53"/>
      <c r="B2" s="53"/>
      <c r="C2" s="168"/>
      <c r="D2" s="169"/>
      <c r="E2" s="172">
        <f>COUNTA(B4:B1003)</f>
        <v>372</v>
      </c>
      <c r="F2" s="53"/>
      <c r="G2" s="53"/>
      <c r="H2" s="53"/>
      <c r="I2" s="171"/>
      <c r="J2" s="172">
        <f>COUNTA(G4:G1003)</f>
        <v>31</v>
      </c>
      <c r="K2" s="53"/>
      <c r="L2" s="53"/>
      <c r="M2" s="53"/>
      <c r="N2" s="171"/>
      <c r="O2" s="172">
        <f>COUNTA(L4:L1003)</f>
        <v>8</v>
      </c>
      <c r="P2" s="53"/>
      <c r="Q2" s="53"/>
      <c r="R2" s="53"/>
      <c r="S2" s="171"/>
      <c r="T2" s="172">
        <f>COUNTA(Q4:Q1003)</f>
        <v>3</v>
      </c>
      <c r="U2" s="53"/>
      <c r="V2" s="53"/>
      <c r="W2" s="53"/>
      <c r="X2" s="171"/>
      <c r="Y2" s="172">
        <f>COUNTA(V4:V1003)</f>
        <v>1</v>
      </c>
      <c r="Z2" s="170"/>
      <c r="AA2" s="170"/>
      <c r="AB2" s="170"/>
      <c r="AC2" s="170"/>
      <c r="AD2" s="172">
        <f>COUNTA(AA4:AA1003)</f>
        <v>1</v>
      </c>
      <c r="AE2" s="53"/>
    </row>
    <row r="3" ht="34.5" customHeight="1">
      <c r="A3" s="53"/>
      <c r="B3" s="37" t="s">
        <v>9769</v>
      </c>
      <c r="C3" s="37" t="s">
        <v>9771</v>
      </c>
      <c r="D3" s="38" t="s">
        <v>9773</v>
      </c>
      <c r="E3" s="37" t="s">
        <v>9774</v>
      </c>
      <c r="F3" s="53"/>
      <c r="G3" s="37" t="s">
        <v>9769</v>
      </c>
      <c r="H3" s="37" t="s">
        <v>9771</v>
      </c>
      <c r="I3" s="38" t="s">
        <v>9773</v>
      </c>
      <c r="J3" s="37" t="s">
        <v>9774</v>
      </c>
      <c r="K3" s="173" t="s">
        <v>9777</v>
      </c>
      <c r="L3" s="37" t="s">
        <v>9769</v>
      </c>
      <c r="M3" s="37" t="s">
        <v>9771</v>
      </c>
      <c r="N3" s="38" t="s">
        <v>9773</v>
      </c>
      <c r="O3" s="37" t="s">
        <v>9774</v>
      </c>
      <c r="P3" s="53"/>
      <c r="Q3" s="37" t="s">
        <v>9769</v>
      </c>
      <c r="R3" s="37" t="s">
        <v>9771</v>
      </c>
      <c r="S3" s="38" t="s">
        <v>9773</v>
      </c>
      <c r="T3" s="37" t="s">
        <v>9774</v>
      </c>
      <c r="U3" s="53"/>
      <c r="V3" s="37" t="s">
        <v>9769</v>
      </c>
      <c r="W3" s="37" t="s">
        <v>9771</v>
      </c>
      <c r="X3" s="38" t="s">
        <v>9773</v>
      </c>
      <c r="Y3" s="37" t="s">
        <v>9774</v>
      </c>
      <c r="Z3" s="174"/>
      <c r="AA3" s="37" t="s">
        <v>9769</v>
      </c>
      <c r="AB3" s="37" t="s">
        <v>9771</v>
      </c>
      <c r="AC3" s="38" t="s">
        <v>9773</v>
      </c>
      <c r="AD3" s="37" t="s">
        <v>9774</v>
      </c>
      <c r="AE3" s="53"/>
    </row>
    <row r="4" ht="22.5" customHeight="1">
      <c r="A4" s="53"/>
      <c r="B4" s="175" t="str">
        <f>IFERROR(__xludf.DUMMYFUNCTION("QUERY(
  {
    ARRAYFORMULA(
      Leads_Dela!B:B&amp;CHAR(10)&amp;
      Leads_Dela!C:C&amp;CHAR(10)&amp;
      Leads_Dela!D:D&amp;CHAR(10)&amp;
      Leads_Dela!E:E
    ),
    ARRAYFORMULA(
      Leads_Dela!G:G&amp;CHAR(10)&amp;
      Leads_Dela!H:H&amp;CHAR(10)&amp;
      Leads_Dela!I:I&amp;"" p"&amp;"ax""&amp;CHAR(10)&amp;
      TEXT(Leads_Dela!J:J,""Rp#,##0"")
    ),
    Leads_Dela!K:K,
    Leads_Dela!L:L,
    Leads_Dela!F:F
  },
  ""select Col1, Col2, Col3, Col4 
   where Col5 = 'Leads Baru'"",
  0
)"),"2601D165
Khansaluth
085772222054
Website")</f>
        <v>2601D165
Khansaluth
085772222054
Website</v>
      </c>
      <c r="C4" s="176" t="str">
        <f>IFERROR(__xludf.DUMMYFUNCTION("""COMPUTED_VALUE"""),"Open trip 
 pax
Rp0")</f>
        <v>Open trip 
 pax
Rp0</v>
      </c>
      <c r="D4" s="177" t="str">
        <f>IFERROR(__xludf.DUMMYFUNCTION("""COMPUTED_VALUE"""),"FOLLOW UP JUNI")</f>
        <v>FOLLOW UP JUNI</v>
      </c>
      <c r="E4" s="178" t="str">
        <f>IFERROR(__xludf.DUMMYFUNCTION("""COMPUTED_VALUE"""),"https://docs.google.com/document/d/1vwA3C4sLhh6AgXzopg8bicj0mXTaouOY-CI7llsmeHU/edit?tab=t.0")</f>
        <v>https://docs.google.com/document/d/1vwA3C4sLhh6AgXzopg8bicj0mXTaouOY-CI7llsmeHU/edit?tab=t.0</v>
      </c>
      <c r="F4" s="53"/>
      <c r="G4" s="179" t="str">
        <f>IFERROR(__xludf.DUMMYFUNCTION("QUERY(
  {
    ARRAYFORMULA(
      Leads_Dela!B:B&amp;CHAR(10)&amp;
      Leads_Dela!C:C&amp;CHAR(10)&amp;
      Leads_Dela!D:D&amp;CHAR(10)&amp;
      Leads_Dela!E:E
    ),
    ARRAYFORMULA(
      Leads_Dela!G:G&amp;CHAR(10)&amp;
      Leads_Dela!H:H&amp;CHAR(10)&amp;
      Leads_Dela!I:I&amp;"" p"&amp;"ax""&amp;CHAR(10)&amp;
      TEXT(Leads_Dela!J:J,""Rp#,##0"")
    ),
    Leads_Dela!K:K,
    Leads_Dela!L:L,
    Leads_Dela!F:F
  },
  ""select Col1, Col2, Col3, Col4 
   where Col5 = 'Qualified'"",
  0
)"),"2602D024
Elfiniama
081332159872
Website")</f>
        <v>2602D024
Elfiniama
081332159872
Website</v>
      </c>
      <c r="H4" s="179" t="str">
        <f>IFERROR(__xludf.DUMMYFUNCTION("""COMPUTED_VALUE"""),"2H1M
14 pax
Rp15.400.000")</f>
        <v>2H1M
14 pax
Rp15.400.000</v>
      </c>
      <c r="I4" s="180" t="str">
        <f>IFERROR(__xludf.DUMMYFUNCTION("""COMPUTED_VALUE"""),"sudah FU ga baless")</f>
        <v>sudah FU ga baless</v>
      </c>
      <c r="J4" s="181" t="str">
        <f>IFERROR(__xludf.DUMMYFUNCTION("""COMPUTED_VALUE"""),"https://docs.google.com/document/d/1g9qkJm1JWRZnNc8K9G-Uxdkk8x_mBdqBJzs5XfY_eDA/edit?tab=t.0")</f>
        <v>https://docs.google.com/document/d/1g9qkJm1JWRZnNc8K9G-Uxdkk8x_mBdqBJzs5XfY_eDA/edit?tab=t.0</v>
      </c>
      <c r="K4" s="182" t="s">
        <v>966</v>
      </c>
      <c r="L4" s="183" t="str">
        <f>IFERROR(__xludf.DUMMYFUNCTION("QUERY(
  {
    ARRAYFORMULA(
      Leads_Dela!B:B&amp;CHAR(10)&amp;
      Leads_Dela!C:C&amp;CHAR(10)&amp;
      Leads_Dela!D:D&amp;CHAR(10)&amp;
      Leads_Dela!E:E
    ),
    ARRAYFORMULA(
      Leads_Dela!G:G&amp;CHAR(10)&amp;
      Leads_Dela!H:H&amp;CHAR(10)&amp;
      Leads_Dela!I:I&amp;"" p"&amp;"ax""&amp;CHAR(10)&amp;
      TEXT(Leads_Dela!J:J,""Rp#,##0"")
    ),
    Leads_Dela!K:K,
    Leads_Dela!L:L,
    Leads_Dela!F:F
  },
  ""select Col1, Col2, Col3, Col4 
   where Col5 = 'Prospek'"",
  0
)"),"2601D071
Terry sukma ezaria
081910004277
Instagram")</f>
        <v>2601D071
Terry sukma ezaria
081910004277
Instagram</v>
      </c>
      <c r="M4" s="183" t="str">
        <f>IFERROR(__xludf.DUMMYFUNCTION("""COMPUTED_VALUE"""),"paket custom
 pax
Rp144.000.000")</f>
        <v>paket custom
 pax
Rp144.000.000</v>
      </c>
      <c r="N4" s="184" t="str">
        <f>IFERROR(__xludf.DUMMYFUNCTION("""COMPUTED_VALUE"""),"buat penawaran, FU 2 Juni ")</f>
        <v>buat penawaran, FU 2 Juni </v>
      </c>
      <c r="O4" s="178" t="str">
        <f>IFERROR(__xludf.DUMMYFUNCTION("""COMPUTED_VALUE"""),"https://docs.google.com/document/d/1fMFdvXachGDtyak_UDLjTqjsPv8dJU-8h8riaob89KM/edit?tab=t.0")</f>
        <v>https://docs.google.com/document/d/1fMFdvXachGDtyak_UDLjTqjsPv8dJU-8h8riaob89KM/edit?tab=t.0</v>
      </c>
      <c r="P4" s="53"/>
      <c r="Q4" s="183" t="str">
        <f>IFERROR(__xludf.DUMMYFUNCTION("QUERY(
  {
    ARRAYFORMULA(
      Leads_Dela!B:B&amp;CHAR(10)&amp;
      Leads_Dela!C:C&amp;CHAR(10)&amp;
      Leads_Dela!D:D&amp;CHAR(10)&amp;
      Leads_Dela!E:E
    ),
    ARRAYFORMULA(
      Leads_Dela!G:G&amp;CHAR(10)&amp;
      Leads_Dela!H:H&amp;CHAR(10)&amp;
      Leads_Dela!I:I&amp;"" p"&amp;"ax""&amp;CHAR(10)&amp;
      TEXT(Leads_Dela!J:J,""Rp#,##0"")
    ),
    Leads_Dela!K:K,
    Leads_Dela!L:L,
    Leads_Dela!F:F
  },
  ""select Col1, Col2, Col3, Col4 
   where Col5 = 'Follow Up'"",
  0
)"),"2601D131
Wiwit Septiyawati
087742092442
Instagram")</f>
        <v>2601D131
Wiwit Septiyawati
087742092442
Instagram</v>
      </c>
      <c r="R4" s="183" t="str">
        <f>IFERROR(__xludf.DUMMYFUNCTION("""COMPUTED_VALUE"""),"custom 2H1M
2 pax
Rp3.400.000")</f>
        <v>custom 2H1M
2 pax
Rp3.400.000</v>
      </c>
      <c r="S4" s="184" t="str">
        <f>IFERROR(__xludf.DUMMYFUNCTION("""COMPUTED_VALUE"""),"FU 28 Juli")</f>
        <v>FU 28 Juli</v>
      </c>
      <c r="T4" s="178" t="str">
        <f>IFERROR(__xludf.DUMMYFUNCTION("""COMPUTED_VALUE"""),"https://docs.google.com/document/d/136SMbtvX3TL4Cj5B8n8miIXkxwe4gUR4X2iSv7S4rO8/edit?tab=t.0")</f>
        <v>https://docs.google.com/document/d/136SMbtvX3TL4Cj5B8n8miIXkxwe4gUR4X2iSv7S4rO8/edit?tab=t.0</v>
      </c>
      <c r="U4" s="53"/>
      <c r="V4" s="183" t="str">
        <f>IFERROR(__xludf.DUMMYFUNCTION("QUERY(
  {
    ARRAYFORMULA(
      Leads_Dela!B:B&amp;CHAR(10)&amp;
      Leads_Dela!C:C&amp;CHAR(10)&amp;
      Leads_Dela!D:D&amp;CHAR(10)&amp;
      Leads_Dela!E:E
    ),
    ARRAYFORMULA(
      Leads_Dela!G:G&amp;CHAR(10)&amp;
      Leads_Dela!H:H&amp;CHAR(10)&amp;
      Leads_Dela!I:I&amp;"" p"&amp;"ax""&amp;CHAR(10)&amp;
      TEXT(Leads_Dela!J:J,""Rp#,##0"")
    ),
    Leads_Dela!K:K,
    Leads_Dela!L:L,
    Leads_Dela!F:F
  },
  ""select Col1, Col2, Col3, Col4 
   where Col5 = 'Warm Leads'"",
  0
)"),"#N/A")</f>
        <v>#N/A</v>
      </c>
      <c r="W4" s="183"/>
      <c r="X4" s="184"/>
      <c r="Y4" s="183"/>
      <c r="Z4" s="170"/>
      <c r="AA4" s="183" t="str">
        <f>IFERROR(__xludf.DUMMYFUNCTION("QUERY(
  {
    ARRAYFORMULA(
      Leads_Dela!B:B&amp;CHAR(10)&amp;
      Leads_Dela!C:C&amp;CHAR(10)&amp;
      Leads_Dela!D:D&amp;CHAR(10)&amp;
      Leads_Dela!E:E
    ),
    ARRAYFORMULA(
      Leads_Dela!G:G&amp;CHAR(10)&amp;
      Leads_Dela!H:H&amp;CHAR(10)&amp;
      Leads_Dela!I:I&amp;"" p"&amp;"ax""&amp;CHAR(10)&amp;
      TEXT(Leads_Dela!J:J,""Rp#,##0"")
    ),
    Leads_Dela!K:K,
    Leads_Dela!L:L,
    Leads_Dela!F:F
  },
  ""select Col1, Col2, Col3, Col4 
   where Col5 = 'Hot Leads'"",
  0
)"),"2606D180
Wianita Tumanggor
082277042165
Lainnya")</f>
        <v>2606D180
Wianita Tumanggor
082277042165
Lainnya</v>
      </c>
      <c r="AB4" s="183" t="str">
        <f>IFERROR(__xludf.DUMMYFUNCTION("""COMPUTED_VALUE"""),"OT 3H2M
46220
3 pax
Rp0")</f>
        <v>OT 3H2M
46220
3 pax
Rp0</v>
      </c>
      <c r="AC4" s="183" t="str">
        <f>IFERROR(__xludf.DUMMYFUNCTION("""COMPUTED_VALUE"""),"kirim foem reservasi")</f>
        <v>kirim foem reservasi</v>
      </c>
      <c r="AD4" s="183"/>
      <c r="AE4" s="53"/>
    </row>
    <row r="5" ht="22.5" customHeight="1">
      <c r="A5" s="53"/>
      <c r="B5" s="183" t="str">
        <f>IFERROR(__xludf.DUMMYFUNCTION("""COMPUTED_VALUE"""),"2602D072
Diah
085883601711
Instagram")</f>
        <v>2602D072
Diah
085883601711
Instagram</v>
      </c>
      <c r="C5" s="185" t="str">
        <f>IFERROR(__xludf.DUMMYFUNCTION("""COMPUTED_VALUE"""),"4H3M atau 3H2M 
30 pax
Rp0")</f>
        <v>4H3M atau 3H2M 
30 pax
Rp0</v>
      </c>
      <c r="D5" s="177" t="str">
        <f>IFERROR(__xludf.DUMMYFUNCTION("""COMPUTED_VALUE"""),"FU3, FU juni")</f>
        <v>FU3, FU juni</v>
      </c>
      <c r="E5" s="178" t="str">
        <f>IFERROR(__xludf.DUMMYFUNCTION("""COMPUTED_VALUE"""),"https://docs.google.com/document/d/12yOIFO9Hc3lXlVyYyL4zOaaW2R_BdHBvgyplmpg2HVo/edit?tab=t.0")</f>
        <v>https://docs.google.com/document/d/12yOIFO9Hc3lXlVyYyL4zOaaW2R_BdHBvgyplmpg2HVo/edit?tab=t.0</v>
      </c>
      <c r="F5" s="53"/>
      <c r="G5" s="183" t="str">
        <f>IFERROR(__xludf.DUMMYFUNCTION("""COMPUTED_VALUE"""),"2602D071
Miya
085712888702
Lainnya")</f>
        <v>2602D071
Miya
085712888702
Lainnya</v>
      </c>
      <c r="H5" s="183" t="str">
        <f>IFERROR(__xludf.DUMMYFUNCTION("""COMPUTED_VALUE"""),"Tabuhan only
6 pax
Rp5.760.000")</f>
        <v>Tabuhan only
6 pax
Rp5.760.000</v>
      </c>
      <c r="I5" s="184" t="str">
        <f>IFERROR(__xludf.DUMMYFUNCTION("""COMPUTED_VALUE"""),"follow up lagi 10 agustus")</f>
        <v>follow up lagi 10 agustus</v>
      </c>
      <c r="J5" s="178" t="str">
        <f>IFERROR(__xludf.DUMMYFUNCTION("""COMPUTED_VALUE"""),"https://docs.google.com/document/d/1HtzEQxfI4NIAUGVm294-5-2cYK9FJMhe8kG-q5hwniQ/edit?tab=t.0")</f>
        <v>https://docs.google.com/document/d/1HtzEQxfI4NIAUGVm294-5-2cYK9FJMhe8kG-q5hwniQ/edit?tab=t.0</v>
      </c>
      <c r="K5" s="186"/>
      <c r="L5" s="183" t="str">
        <f>IFERROR(__xludf.DUMMYFUNCTION("""COMPUTED_VALUE"""),"2601D121
Edi lukito
081352095218
Instagram")</f>
        <v>2601D121
Edi lukito
081352095218
Instagram</v>
      </c>
      <c r="M5" s="183" t="str">
        <f>IFERROR(__xludf.DUMMYFUNCTION("""COMPUTED_VALUE"""),"Trip 1 day I, B, KW
30 pax
Rp24.000.000")</f>
        <v>Trip 1 day I, B, KW
30 pax
Rp24.000.000</v>
      </c>
      <c r="N5" s="184" t="str">
        <f>IFERROR(__xludf.DUMMYFUNCTION("""COMPUTED_VALUE"""),"jika sdh ada update, akan dihubungi lagi, FU 3 Januari 2027")</f>
        <v>jika sdh ada update, akan dihubungi lagi, FU 3 Januari 2027</v>
      </c>
      <c r="O5" s="178" t="str">
        <f>IFERROR(__xludf.DUMMYFUNCTION("""COMPUTED_VALUE"""),"https://docs.google.com/document/d/1WNu7Cyk_CX0yd-KTveK1mhJ7xL5DhL0u4yqOI9OoKps/edit?tab=t.0")</f>
        <v>https://docs.google.com/document/d/1WNu7Cyk_CX0yd-KTveK1mhJ7xL5DhL0u4yqOI9OoKps/edit?tab=t.0</v>
      </c>
      <c r="P5" s="53"/>
      <c r="Q5" s="183" t="str">
        <f>IFERROR(__xludf.DUMMYFUNCTION("""COMPUTED_VALUE"""),"2601D162
Shafna dinar
085156081067
Website")</f>
        <v>2601D162
Shafna dinar
085156081067
Website</v>
      </c>
      <c r="R5" s="183" t="str">
        <f>IFERROR(__xludf.DUMMYFUNCTION("""COMPUTED_VALUE"""),"OT 3H2M
2 pax
Rp3.200.000")</f>
        <v>OT 3H2M
2 pax
Rp3.200.000</v>
      </c>
      <c r="S5" s="184" t="str">
        <f>IFERROR(__xludf.DUMMYFUNCTION("""COMPUTED_VALUE"""),"sudah FU, FU lagi 13 Juni")</f>
        <v>sudah FU, FU lagi 13 Juni</v>
      </c>
      <c r="T5" s="178" t="str">
        <f>IFERROR(__xludf.DUMMYFUNCTION("""COMPUTED_VALUE"""),"https://docs.google.com/document/d/1FChC5lKKlcfwOPMJMUHK78mBVTrB_tiworHHjIiS8_Y/edit?tab=t.0")</f>
        <v>https://docs.google.com/document/d/1FChC5lKKlcfwOPMJMUHK78mBVTrB_tiworHHjIiS8_Y/edit?tab=t.0</v>
      </c>
      <c r="U5" s="53"/>
      <c r="V5" s="183"/>
      <c r="W5" s="183"/>
      <c r="X5" s="184"/>
      <c r="Y5" s="183"/>
      <c r="Z5" s="170"/>
      <c r="AA5" s="170"/>
      <c r="AB5" s="170"/>
      <c r="AC5" s="170"/>
      <c r="AD5" s="53"/>
      <c r="AE5" s="53"/>
    </row>
    <row r="6" ht="22.5" customHeight="1">
      <c r="A6" s="53"/>
      <c r="B6" s="183" t="str">
        <f>IFERROR(__xludf.DUMMYFUNCTION("""COMPUTED_VALUE"""),"2603D038
Ericka
089608986331
Instagram")</f>
        <v>2603D038
Ericka
089608986331
Instagram</v>
      </c>
      <c r="C6" s="176" t="str">
        <f>IFERROR(__xludf.DUMMYFUNCTION("""COMPUTED_VALUE"""),"
 pax
Rp0")</f>
        <v>
 pax
Rp0</v>
      </c>
      <c r="D6" s="177" t="str">
        <f>IFERROR(__xludf.DUMMYFUNCTION("""COMPUTED_VALUE"""),"belum ada jawaban, fu kembali 20 Juli")</f>
        <v>belum ada jawaban, fu kembali 20 Juli</v>
      </c>
      <c r="E6" s="178" t="str">
        <f>IFERROR(__xludf.DUMMYFUNCTION("""COMPUTED_VALUE"""),"https://docs.google.com/document/d/1gW_EXGpkSe2_Y5up1f8c7DGMtM6Xb1nMiakPkC-zr9c/edit?tab=t.0")</f>
        <v>https://docs.google.com/document/d/1gW_EXGpkSe2_Y5up1f8c7DGMtM6Xb1nMiakPkC-zr9c/edit?tab=t.0</v>
      </c>
      <c r="F6" s="53"/>
      <c r="G6" s="183" t="str">
        <f>IFERROR(__xludf.DUMMYFUNCTION("""COMPUTED_VALUE"""),"2602D081
Agustina
0895367133459
Instagram")</f>
        <v>2602D081
Agustina
0895367133459
Instagram</v>
      </c>
      <c r="H6" s="183" t="str">
        <f>IFERROR(__xludf.DUMMYFUNCTION("""COMPUTED_VALUE"""),"2H1M C
2 pax
Rp3.000.000")</f>
        <v>2H1M C
2 pax
Rp3.000.000</v>
      </c>
      <c r="I6" s="184" t="str">
        <f>IFERROR(__xludf.DUMMYFUNCTION("""COMPUTED_VALUE"""),"tanya-tanya untuk honeymoon, FU 3 Januari 2027")</f>
        <v>tanya-tanya untuk honeymoon, FU 3 Januari 2027</v>
      </c>
      <c r="J6" s="178" t="str">
        <f>IFERROR(__xludf.DUMMYFUNCTION("""COMPUTED_VALUE"""),"https://docs.google.com/document/d/1ZVM2nG5A0QpryZ7a7SN7THwKSatwlik4_oLgFDGnrHQ/edit?tab=t.0")</f>
        <v>https://docs.google.com/document/d/1ZVM2nG5A0QpryZ7a7SN7THwKSatwlik4_oLgFDGnrHQ/edit?tab=t.0</v>
      </c>
      <c r="K6" s="186"/>
      <c r="L6" s="183" t="str">
        <f>IFERROR(__xludf.DUMMYFUNCTION("""COMPUTED_VALUE"""),"2602D050
Tripco Indonesia 
085156171784
Lainnya")</f>
        <v>2602D050
Tripco Indonesia 
085156171784
Lainnya</v>
      </c>
      <c r="M6" s="183" t="str">
        <f>IFERROR(__xludf.DUMMYFUNCTION("""COMPUTED_VALUE"""),"4H3M team building 
45 pax
Rp270.000.000")</f>
        <v>4H3M team building 
45 pax
Rp270.000.000</v>
      </c>
      <c r="N6" s="184" t="str">
        <f>IFERROR(__xludf.DUMMYFUNCTION("""COMPUTED_VALUE"""),"mereka ada opsi selain bwi, tunggu di hubungin kembali")</f>
        <v>mereka ada opsi selain bwi, tunggu di hubungin kembali</v>
      </c>
      <c r="O6" s="178" t="str">
        <f>IFERROR(__xludf.DUMMYFUNCTION("""COMPUTED_VALUE"""),"https://docs.google.com/document/d/1uXyLnw8hd1fBYCW7sxMp0YnsQncnUuG1a4gA-FGNX0Q/edit?tab=t.0")</f>
        <v>https://docs.google.com/document/d/1uXyLnw8hd1fBYCW7sxMp0YnsQncnUuG1a4gA-FGNX0Q/edit?tab=t.0</v>
      </c>
      <c r="P6" s="53"/>
      <c r="Q6" s="183" t="str">
        <f>IFERROR(__xludf.DUMMYFUNCTION("""COMPUTED_VALUE"""),"2604D107
Laili  
087753967585
Instagram")</f>
        <v>2604D107
Laili  
087753967585
Instagram</v>
      </c>
      <c r="R6" s="183" t="str">
        <f>IFERROR(__xludf.DUMMYFUNCTION("""COMPUTED_VALUE"""),"3h2m 
60 pax
Rp83.100.000")</f>
        <v>3h2m 
60 pax
Rp83.100.000</v>
      </c>
      <c r="S6" s="184" t="str">
        <f>IFERROR(__xludf.DUMMYFUNCTION("""COMPUTED_VALUE"""),"kirim penawaran, belum ada balasan")</f>
        <v>kirim penawaran, belum ada balasan</v>
      </c>
      <c r="T6" s="178" t="str">
        <f>IFERROR(__xludf.DUMMYFUNCTION("""COMPUTED_VALUE"""),"https://docs.google.com/document/d/1bKxe1ycKmo9cuWtnuOPOjlrPx29JYMR1Nj9Yznf_MaU/edit?tab=t.0")</f>
        <v>https://docs.google.com/document/d/1bKxe1ycKmo9cuWtnuOPOjlrPx29JYMR1Nj9Yznf_MaU/edit?tab=t.0</v>
      </c>
      <c r="U6" s="53"/>
      <c r="V6" s="183"/>
      <c r="W6" s="183"/>
      <c r="X6" s="184"/>
      <c r="Y6" s="183"/>
      <c r="Z6" s="170"/>
      <c r="AA6" s="170"/>
      <c r="AB6" s="170"/>
      <c r="AC6" s="170"/>
      <c r="AD6" s="53"/>
      <c r="AE6" s="53"/>
    </row>
    <row r="7" ht="22.5" customHeight="1">
      <c r="A7" s="53"/>
      <c r="B7" s="183" t="str">
        <f>IFERROR(__xludf.DUMMYFUNCTION("""COMPUTED_VALUE"""),"2603D056
Krisna Buana
0895387055527
Instagram")</f>
        <v>2603D056
Krisna Buana
0895387055527
Instagram</v>
      </c>
      <c r="C7" s="176" t="str">
        <f>IFERROR(__xludf.DUMMYFUNCTION("""COMPUTED_VALUE"""),"3H2M
 pax
Rp0")</f>
        <v>3H2M
 pax
Rp0</v>
      </c>
      <c r="D7" s="177" t="str">
        <f>IFERROR(__xludf.DUMMYFUNCTION("""COMPUTED_VALUE"""),"FU 16 Juni")</f>
        <v>FU 16 Juni</v>
      </c>
      <c r="E7" s="178" t="str">
        <f>IFERROR(__xludf.DUMMYFUNCTION("""COMPUTED_VALUE"""),"https://docs.google.com/document/d/1v6M6NA7UTXTt-9f8yhvKPLRJ9Zr_LobMfCv6MzzVjYU/edit?tab=t.0")</f>
        <v>https://docs.google.com/document/d/1v6M6NA7UTXTt-9f8yhvKPLRJ9Zr_LobMfCv6MzzVjYU/edit?tab=t.0</v>
      </c>
      <c r="F7" s="53"/>
      <c r="G7" s="183" t="str">
        <f>IFERROR(__xludf.DUMMYFUNCTION("""COMPUTED_VALUE"""),"2602D101
Moh Nur Faizi
082338927839
Tiktok")</f>
        <v>2602D101
Moh Nur Faizi
082338927839
Tiktok</v>
      </c>
      <c r="H7" s="183" t="str">
        <f>IFERROR(__xludf.DUMMYFUNCTION("""COMPUTED_VALUE"""),"Menjangan Tabuhan
4 pax
Rp2.600.000")</f>
        <v>Menjangan Tabuhan
4 pax
Rp2.600.000</v>
      </c>
      <c r="I7" s="184" t="str">
        <f>IFERROR(__xludf.DUMMYFUNCTION("""COMPUTED_VALUE"""),"nunggu uts, FU 5 Juni")</f>
        <v>nunggu uts, FU 5 Juni</v>
      </c>
      <c r="J7" s="178" t="str">
        <f>IFERROR(__xludf.DUMMYFUNCTION("""COMPUTED_VALUE"""),"https://docs.google.com/document/d/1QSjLqNBg4UULazz3KLHCdoUvo5_37rPn72UHRCLXC-U/edit?tab=t.0")</f>
        <v>https://docs.google.com/document/d/1QSjLqNBg4UULazz3KLHCdoUvo5_37rPn72UHRCLXC-U/edit?tab=t.0</v>
      </c>
      <c r="K7" s="186"/>
      <c r="L7" s="183" t="str">
        <f>IFERROR(__xludf.DUMMYFUNCTION("""COMPUTED_VALUE"""),"2602D076
Mei Mutlimah
085725757304
Instagram")</f>
        <v>2602D076
Mei Mutlimah
085725757304
Instagram</v>
      </c>
      <c r="M7" s="183" t="str">
        <f>IFERROR(__xludf.DUMMYFUNCTION("""COMPUTED_VALUE"""),"OT 3H2M
1 pax
Rp1.600.000")</f>
        <v>OT 3H2M
1 pax
Rp1.600.000</v>
      </c>
      <c r="N7" s="184" t="str">
        <f>IFERROR(__xludf.DUMMYFUNCTION("""COMPUTED_VALUE"""),"FU 15 Juni")</f>
        <v>FU 15 Juni</v>
      </c>
      <c r="O7" s="178" t="str">
        <f>IFERROR(__xludf.DUMMYFUNCTION("""COMPUTED_VALUE"""),"https://docs.google.com/document/d/1DRDWKmmjSOvXTvSCfoda4qfFTETdDDY0ftrb1BkuuVU/edit?tab=t.0")</f>
        <v>https://docs.google.com/document/d/1DRDWKmmjSOvXTvSCfoda4qfFTETdDDY0ftrb1BkuuVU/edit?tab=t.0</v>
      </c>
      <c r="P7" s="53"/>
      <c r="Q7" s="183"/>
      <c r="R7" s="183"/>
      <c r="S7" s="184"/>
      <c r="T7" s="183"/>
      <c r="U7" s="53"/>
      <c r="V7" s="183"/>
      <c r="W7" s="183"/>
      <c r="X7" s="184"/>
      <c r="Y7" s="183"/>
      <c r="Z7" s="170"/>
      <c r="AA7" s="170"/>
      <c r="AB7" s="170"/>
      <c r="AC7" s="170"/>
      <c r="AD7" s="53"/>
      <c r="AE7" s="53"/>
    </row>
    <row r="8" ht="22.5" customHeight="1">
      <c r="A8" s="53"/>
      <c r="B8" s="183" t="str">
        <f>IFERROR(__xludf.DUMMYFUNCTION("""COMPUTED_VALUE"""),"2603D119
Putri 
085883174655
Instagram")</f>
        <v>2603D119
Putri 
085883174655
Instagram</v>
      </c>
      <c r="C8" s="176" t="str">
        <f>IFERROR(__xludf.DUMMYFUNCTION("""COMPUTED_VALUE"""),"3H2M 
2 pax
Rp0")</f>
        <v>3H2M 
2 pax
Rp0</v>
      </c>
      <c r="D8" s="177" t="str">
        <f>IFERROR(__xludf.DUMMYFUNCTION("""COMPUTED_VALUE"""),"FU 3 Juni")</f>
        <v>FU 3 Juni</v>
      </c>
      <c r="E8" s="178" t="str">
        <f>IFERROR(__xludf.DUMMYFUNCTION("""COMPUTED_VALUE"""),"https://docs.google.com/document/d/196Sv2BVHhpvzaSjUz7JM9ou9oQ7qXN_KszUVGpjnL5Q/edit?tab=t.0")</f>
        <v>https://docs.google.com/document/d/196Sv2BVHhpvzaSjUz7JM9ou9oQ7qXN_KszUVGpjnL5Q/edit?tab=t.0</v>
      </c>
      <c r="F8" s="53"/>
      <c r="G8" s="183" t="str">
        <f>IFERROR(__xludf.DUMMYFUNCTION("""COMPUTED_VALUE"""),"2602D105
abu (bylarostransportmalang)
082331542611
Lainnya")</f>
        <v>2602D105
abu (bylarostransportmalang)
082331542611
Lainnya</v>
      </c>
      <c r="H8" s="183" t="str">
        <f>IFERROR(__xludf.DUMMYFUNCTION("""COMPUTED_VALUE"""),"2D1N
3 pax
Rp6.150.000")</f>
        <v>2D1N
3 pax
Rp6.150.000</v>
      </c>
      <c r="I8" s="184" t="str">
        <f>IFERROR(__xludf.DUMMYFUNCTION("""COMPUTED_VALUE"""),"b2b, nunggu keputusan tamu mereka")</f>
        <v>b2b, nunggu keputusan tamu mereka</v>
      </c>
      <c r="J8" s="178" t="str">
        <f>IFERROR(__xludf.DUMMYFUNCTION("""COMPUTED_VALUE"""),"https://docs.google.com/document/d/1t4vXE490j6K036vvo7qtTwSiVZcwn_UGE-CkkPg7csw/edit?tab=t.0")</f>
        <v>https://docs.google.com/document/d/1t4vXE490j6K036vvo7qtTwSiVZcwn_UGE-CkkPg7csw/edit?tab=t.0</v>
      </c>
      <c r="K8" s="186"/>
      <c r="L8" s="183" t="str">
        <f>IFERROR(__xludf.DUMMYFUNCTION("""COMPUTED_VALUE"""),"2603D020
rafly
088210600087
Lainnya")</f>
        <v>2603D020
rafly
088210600087
Lainnya</v>
      </c>
      <c r="M8" s="183" t="str">
        <f>IFERROR(__xludf.DUMMYFUNCTION("""COMPUTED_VALUE"""),"one day trip custom
50 pax
Rp40.000.000")</f>
        <v>one day trip custom
50 pax
Rp40.000.000</v>
      </c>
      <c r="N8" s="184" t="str">
        <f>IFERROR(__xludf.DUMMYFUNCTION("""COMPUTED_VALUE"""),"survey ditunda dulu")</f>
        <v>survey ditunda dulu</v>
      </c>
      <c r="O8" s="178" t="str">
        <f>IFERROR(__xludf.DUMMYFUNCTION("""COMPUTED_VALUE"""),"https://docs.google.com/document/d/1t5yaIXJrE8jZ9lhDjW0V7L8XSaWXoI241xlMwXmphVQ/edit?tab=t.0")</f>
        <v>https://docs.google.com/document/d/1t5yaIXJrE8jZ9lhDjW0V7L8XSaWXoI241xlMwXmphVQ/edit?tab=t.0</v>
      </c>
      <c r="P8" s="53"/>
      <c r="Q8" s="183"/>
      <c r="R8" s="183"/>
      <c r="S8" s="184"/>
      <c r="T8" s="183"/>
      <c r="U8" s="53"/>
      <c r="V8" s="53"/>
      <c r="W8" s="53"/>
      <c r="X8" s="171"/>
      <c r="Y8" s="170"/>
      <c r="Z8" s="170"/>
      <c r="AA8" s="170"/>
      <c r="AB8" s="170"/>
      <c r="AC8" s="170"/>
      <c r="AD8" s="53"/>
      <c r="AE8" s="53"/>
    </row>
    <row r="9" ht="22.5" customHeight="1">
      <c r="A9" s="53"/>
      <c r="B9" s="183" t="str">
        <f>IFERROR(__xludf.DUMMYFUNCTION("""COMPUTED_VALUE"""),"2603D137
Wina Bunda Lila
0813106295776
Lainnya")</f>
        <v>2603D137
Wina Bunda Lila
0813106295776
Lainnya</v>
      </c>
      <c r="C9" s="176" t="str">
        <f>IFERROR(__xludf.DUMMYFUNCTION("""COMPUTED_VALUE"""),"
4 pax
Rp0")</f>
        <v>
4 pax
Rp0</v>
      </c>
      <c r="D9" s="177" t="str">
        <f>IFERROR(__xludf.DUMMYFUNCTION("""COMPUTED_VALUE"""),"FU lagi 17 Mei")</f>
        <v>FU lagi 17 Mei</v>
      </c>
      <c r="E9" s="178" t="str">
        <f>IFERROR(__xludf.DUMMYFUNCTION("""COMPUTED_VALUE"""),"https://docs.google.com/document/d/1tScJgq0LFTGK-9y3qRP8nSzpLJwxFlWml9gSP56CN-k/edit?tab=t.0#heading=h.a9kqk3xbyygu")</f>
        <v>https://docs.google.com/document/d/1tScJgq0LFTGK-9y3qRP8nSzpLJwxFlWml9gSP56CN-k/edit?tab=t.0#heading=h.a9kqk3xbyygu</v>
      </c>
      <c r="F9" s="53"/>
      <c r="G9" s="183" t="str">
        <f>IFERROR(__xludf.DUMMYFUNCTION("""COMPUTED_VALUE"""),"2602D114
liss
60192927672
Instagram")</f>
        <v>2602D114
liss
60192927672
Instagram</v>
      </c>
      <c r="H9" s="183" t="str">
        <f>IFERROR(__xludf.DUMMYFUNCTION("""COMPUTED_VALUE"""),"3H2M opsi b
6 pax
Rp7.614.000")</f>
        <v>3H2M opsi b
6 pax
Rp7.614.000</v>
      </c>
      <c r="I9" s="184" t="str">
        <f>IFERROR(__xludf.DUMMYFUNCTION("""COMPUTED_VALUE"""),"masih diskusi, FU lagi 10 Juni")</f>
        <v>masih diskusi, FU lagi 10 Juni</v>
      </c>
      <c r="J9" s="178" t="str">
        <f>IFERROR(__xludf.DUMMYFUNCTION("""COMPUTED_VALUE"""),"https://docs.google.com/document/d/1UAXijAIE_KgioMdFnpJ3o33NhFhbrC1JfbDxHDAOUvs/edit?tab=t.0")</f>
        <v>https://docs.google.com/document/d/1UAXijAIE_KgioMdFnpJ3o33NhFhbrC1JfbDxHDAOUvs/edit?tab=t.0</v>
      </c>
      <c r="K9" s="186"/>
      <c r="L9" s="183" t="str">
        <f>IFERROR(__xludf.DUMMYFUNCTION("""COMPUTED_VALUE"""),"2603D039
Aditya Novantiasa
085695861182
Lainnya")</f>
        <v>2603D039
Aditya Novantiasa
085695861182
Lainnya</v>
      </c>
      <c r="M9" s="183" t="str">
        <f>IFERROR(__xludf.DUMMYFUNCTION("""COMPUTED_VALUE"""),"3H2M
60 pax
Rp143.100.000")</f>
        <v>3H2M
60 pax
Rp143.100.000</v>
      </c>
      <c r="N9" s="184" t="str">
        <f>IFERROR(__xludf.DUMMYFUNCTION("""COMPUTED_VALUE"""),"sedang meeting dg client, FU 3 Juli")</f>
        <v>sedang meeting dg client, FU 3 Juli</v>
      </c>
      <c r="O9" s="178" t="str">
        <f>IFERROR(__xludf.DUMMYFUNCTION("""COMPUTED_VALUE"""),"https://docs.google.com/document/d/1NB8XufaILagXcrmdAimDWR-rogYLQtSpvRTYBPtcaRo/edit?tab=t.0")</f>
        <v>https://docs.google.com/document/d/1NB8XufaILagXcrmdAimDWR-rogYLQtSpvRTYBPtcaRo/edit?tab=t.0</v>
      </c>
      <c r="P9" s="53"/>
      <c r="Q9" s="183"/>
      <c r="R9" s="183"/>
      <c r="S9" s="184"/>
      <c r="T9" s="183"/>
      <c r="U9" s="53"/>
      <c r="V9" s="53"/>
      <c r="W9" s="53"/>
      <c r="X9" s="171"/>
      <c r="Y9" s="170"/>
      <c r="Z9" s="170"/>
      <c r="AA9" s="170"/>
      <c r="AB9" s="170"/>
      <c r="AC9" s="170"/>
      <c r="AD9" s="53"/>
      <c r="AE9" s="53"/>
    </row>
    <row r="10" ht="22.5" customHeight="1">
      <c r="A10" s="53"/>
      <c r="B10" s="183" t="str">
        <f>IFERROR(__xludf.DUMMYFUNCTION("""COMPUTED_VALUE"""),"2604D003
Emma Ummu Dawud
0852316277770
Lainnya")</f>
        <v>2604D003
Emma Ummu Dawud
0852316277770
Lainnya</v>
      </c>
      <c r="C10" s="176" t="str">
        <f>IFERROR(__xludf.DUMMYFUNCTION("""COMPUTED_VALUE"""),"2h1m opsi c
 pax
Rp0")</f>
        <v>2h1m opsi c
 pax
Rp0</v>
      </c>
      <c r="D10" s="177" t="str">
        <f>IFERROR(__xludf.DUMMYFUNCTION("""COMPUTED_VALUE"""),"masih belum ada lanjutan")</f>
        <v>masih belum ada lanjutan</v>
      </c>
      <c r="E10" s="178" t="str">
        <f>IFERROR(__xludf.DUMMYFUNCTION("""COMPUTED_VALUE"""),"https://docs.google.com/document/d/1B-k6PK34SP6ONYfk4qpXAGipac6GwiuF9nUmyQWTmak/edit?tab=t.0")</f>
        <v>https://docs.google.com/document/d/1B-k6PK34SP6ONYfk4qpXAGipac6GwiuF9nUmyQWTmak/edit?tab=t.0</v>
      </c>
      <c r="F10" s="53"/>
      <c r="G10" s="183" t="str">
        <f>IFERROR(__xludf.DUMMYFUNCTION("""COMPUTED_VALUE"""),"2602D120
Santi
081215563222
Lainnya")</f>
        <v>2602D120
Santi
081215563222
Lainnya</v>
      </c>
      <c r="H10" s="183" t="str">
        <f>IFERROR(__xludf.DUMMYFUNCTION("""COMPUTED_VALUE"""),"3H2M  custome
100 pax
Rp200.000.000")</f>
        <v>3H2M  custome
100 pax
Rp200.000.000</v>
      </c>
      <c r="I10" s="184" t="str">
        <f>IFERROR(__xludf.DUMMYFUNCTION("""COMPUTED_VALUE"""),"FU 5 Januari 2027")</f>
        <v>FU 5 Januari 2027</v>
      </c>
      <c r="J10" s="178" t="str">
        <f>IFERROR(__xludf.DUMMYFUNCTION("""COMPUTED_VALUE"""),"https://docs.google.com/document/d/1PvCdXPMSknCW9u_KnjAgNv-i81OcgfcDq3tU7LVFf4c/edit?tab=t.0")</f>
        <v>https://docs.google.com/document/d/1PvCdXPMSknCW9u_KnjAgNv-i81OcgfcDq3tU7LVFf4c/edit?tab=t.0</v>
      </c>
      <c r="K10" s="186"/>
      <c r="L10" s="183" t="str">
        <f>IFERROR(__xludf.DUMMYFUNCTION("""COMPUTED_VALUE"""),"2607D039
Bela Febrya PCI
085692046269
Instagram")</f>
        <v>2607D039
Bela Febrya PCI
085692046269
Instagram</v>
      </c>
      <c r="M10" s="183" t="str">
        <f>IFERROR(__xludf.DUMMYFUNCTION("""COMPUTED_VALUE"""),"3H2M opsi A
126 pax
Rp0")</f>
        <v>3H2M opsi A
126 pax
Rp0</v>
      </c>
      <c r="N10" s="184" t="str">
        <f>IFERROR(__xludf.DUMMYFUNCTION("""COMPUTED_VALUE"""),"kirim penawaran, FU 30 Juli")</f>
        <v>kirim penawaran, FU 30 Juli</v>
      </c>
      <c r="O10" s="183"/>
      <c r="P10" s="53"/>
      <c r="Q10" s="53"/>
      <c r="R10" s="53"/>
      <c r="S10" s="171"/>
      <c r="T10" s="170"/>
      <c r="U10" s="53"/>
      <c r="V10" s="53"/>
      <c r="W10" s="53"/>
      <c r="X10" s="171"/>
      <c r="Y10" s="170"/>
      <c r="Z10" s="170"/>
      <c r="AA10" s="170"/>
      <c r="AB10" s="170"/>
      <c r="AC10" s="170"/>
      <c r="AD10" s="53"/>
      <c r="AE10" s="53"/>
    </row>
    <row r="11" ht="22.5" customHeight="1">
      <c r="A11" s="53"/>
      <c r="B11" s="183" t="str">
        <f>IFERROR(__xludf.DUMMYFUNCTION("""COMPUTED_VALUE"""),"2604D011
Hemi
08562236424
Lainnya")</f>
        <v>2604D011
Hemi
08562236424
Lainnya</v>
      </c>
      <c r="C11" s="176" t="str">
        <f>IFERROR(__xludf.DUMMYFUNCTION("""COMPUTED_VALUE"""),"
 pax
Rp0")</f>
        <v>
 pax
Rp0</v>
      </c>
      <c r="D11" s="177" t="str">
        <f>IFERROR(__xludf.DUMMYFUNCTION("""COMPUTED_VALUE"""),"masih info2 ke temennya, FU lagi 19 Mei")</f>
        <v>masih info2 ke temennya, FU lagi 19 Mei</v>
      </c>
      <c r="E11" s="178" t="str">
        <f>IFERROR(__xludf.DUMMYFUNCTION("""COMPUTED_VALUE"""),"https://docs.google.com/document/d/15GlHt0TOCeYUfGOgOrTVVyf6Gdj6A2frJMmeHl4gw54/edit?tab=t.0")</f>
        <v>https://docs.google.com/document/d/15GlHt0TOCeYUfGOgOrTVVyf6Gdj6A2frJMmeHl4gw54/edit?tab=t.0</v>
      </c>
      <c r="F11" s="53"/>
      <c r="G11" s="183" t="str">
        <f>IFERROR(__xludf.DUMMYFUNCTION("""COMPUTED_VALUE"""),"2603D019
Meii
085179707599
Instagram")</f>
        <v>2603D019
Meii
085179707599
Instagram</v>
      </c>
      <c r="H11" s="183" t="str">
        <f>IFERROR(__xludf.DUMMYFUNCTION("""COMPUTED_VALUE"""),"Trip 4H3M
4 pax
Rp8.460.000")</f>
        <v>Trip 4H3M
4 pax
Rp8.460.000</v>
      </c>
      <c r="I11" s="184" t="str">
        <f>IFERROR(__xludf.DUMMYFUNCTION("""COMPUTED_VALUE"""),"FU mendekati trip bulan Mei tanggal 28")</f>
        <v>FU mendekati trip bulan Mei tanggal 28</v>
      </c>
      <c r="J11" s="178" t="str">
        <f>IFERROR(__xludf.DUMMYFUNCTION("""COMPUTED_VALUE"""),"https://docs.google.com/document/d/1sXzMp55HHwyZhUaflDk_ynWTkd2LpN6_nVIFagYDum4/edit?tab=t.0")</f>
        <v>https://docs.google.com/document/d/1sXzMp55HHwyZhUaflDk_ynWTkd2LpN6_nVIFagYDum4/edit?tab=t.0</v>
      </c>
      <c r="K11" s="186"/>
      <c r="L11" s="183" t="str">
        <f>IFERROR(__xludf.DUMMYFUNCTION("""COMPUTED_VALUE"""),"2607D051
Anggun
089606428293
Website")</f>
        <v>2607D051
Anggun
089606428293
Website</v>
      </c>
      <c r="M11" s="183" t="str">
        <f>IFERROR(__xludf.DUMMYFUNCTION("""COMPUTED_VALUE"""),"3H2M 
46283
15 pax
Rp0")</f>
        <v>3H2M 
46283
15 pax
Rp0</v>
      </c>
      <c r="N11" s="184" t="str">
        <f>IFERROR(__xludf.DUMMYFUNCTION("""COMPUTED_VALUE"""),"FU 20 Juii")</f>
        <v>FU 20 Juii</v>
      </c>
      <c r="O11" s="183"/>
      <c r="P11" s="53"/>
      <c r="Q11" s="53"/>
      <c r="R11" s="53"/>
      <c r="S11" s="171"/>
      <c r="T11" s="170"/>
      <c r="U11" s="53"/>
      <c r="V11" s="53"/>
      <c r="W11" s="53"/>
      <c r="X11" s="171"/>
      <c r="Y11" s="170"/>
      <c r="Z11" s="170"/>
      <c r="AA11" s="170"/>
      <c r="AB11" s="170"/>
      <c r="AC11" s="170"/>
      <c r="AD11" s="53"/>
      <c r="AE11" s="53"/>
    </row>
    <row r="12" ht="22.5" customHeight="1">
      <c r="A12" s="53"/>
      <c r="B12" s="183" t="str">
        <f>IFERROR(__xludf.DUMMYFUNCTION("""COMPUTED_VALUE"""),"2604D016
Azila Hatika
081281949477
Instagram")</f>
        <v>2604D016
Azila Hatika
081281949477
Instagram</v>
      </c>
      <c r="C12" s="176" t="str">
        <f>IFERROR(__xludf.DUMMYFUNCTION("""COMPUTED_VALUE"""),"
 pax
Rp0")</f>
        <v>
 pax
Rp0</v>
      </c>
      <c r="D12" s="177" t="str">
        <f>IFERROR(__xludf.DUMMYFUNCTION("""COMPUTED_VALUE"""),"baru menyapa ")</f>
        <v>baru menyapa </v>
      </c>
      <c r="E12" s="178" t="str">
        <f>IFERROR(__xludf.DUMMYFUNCTION("""COMPUTED_VALUE"""),"https://docs.google.com/document/d/1MONAAMhrzI1AIle8BsD1q-yobhUClb32KYUBoJ7yoaM/edit?tab=t.0")</f>
        <v>https://docs.google.com/document/d/1MONAAMhrzI1AIle8BsD1q-yobhUClb32KYUBoJ7yoaM/edit?tab=t.0</v>
      </c>
      <c r="F12" s="53"/>
      <c r="G12" s="183" t="str">
        <f>IFERROR(__xludf.DUMMYFUNCTION("""COMPUTED_VALUE"""),"2603D040
Aulia 
085176745278
Instagram")</f>
        <v>2603D040
Aulia 
085176745278
Instagram</v>
      </c>
      <c r="H12" s="183" t="str">
        <f>IFERROR(__xludf.DUMMYFUNCTION("""COMPUTED_VALUE"""),"OT 3H2M
46179
2 pax
Rp3.200.000")</f>
        <v>OT 3H2M
46179
2 pax
Rp3.200.000</v>
      </c>
      <c r="I12" s="184" t="str">
        <f>IFERROR(__xludf.DUMMYFUNCTION("""COMPUTED_VALUE"""),"belum dibalas, FU 25  Mei")</f>
        <v>belum dibalas, FU 25  Mei</v>
      </c>
      <c r="J12" s="178" t="str">
        <f>IFERROR(__xludf.DUMMYFUNCTION("""COMPUTED_VALUE"""),"https://docs.google.com/document/d/1es5OHEvaDxyy_XrYins0EXSxtBFIKPer9jyDGHbAFhM/edit?tab=t.0")</f>
        <v>https://docs.google.com/document/d/1es5OHEvaDxyy_XrYins0EXSxtBFIKPer9jyDGHbAFhM/edit?tab=t.0</v>
      </c>
      <c r="K12" s="186"/>
      <c r="L12" s="183"/>
      <c r="M12" s="183"/>
      <c r="N12" s="184"/>
      <c r="O12" s="183"/>
      <c r="P12" s="53"/>
      <c r="Q12" s="53"/>
      <c r="R12" s="53"/>
      <c r="S12" s="171"/>
      <c r="T12" s="170"/>
      <c r="U12" s="53"/>
      <c r="V12" s="53"/>
      <c r="W12" s="53"/>
      <c r="X12" s="171"/>
      <c r="Y12" s="170"/>
      <c r="Z12" s="170"/>
      <c r="AA12" s="170"/>
      <c r="AB12" s="170"/>
      <c r="AC12" s="170"/>
      <c r="AD12" s="53"/>
      <c r="AE12" s="53"/>
    </row>
    <row r="13" ht="22.5" customHeight="1">
      <c r="A13" s="53"/>
      <c r="B13" s="183" t="str">
        <f>IFERROR(__xludf.DUMMYFUNCTION("""COMPUTED_VALUE"""),"2604D026
M. Kajanto
08123452227
Lainnya")</f>
        <v>2604D026
M. Kajanto
08123452227
Lainnya</v>
      </c>
      <c r="C13" s="176" t="str">
        <f>IFERROR(__xludf.DUMMYFUNCTION("""COMPUTED_VALUE"""),"
15 pax
Rp0")</f>
        <v>
15 pax
Rp0</v>
      </c>
      <c r="D13" s="177" t="str">
        <f>IFERROR(__xludf.DUMMYFUNCTION("""COMPUTED_VALUE"""),"tanya obyek wisata baru, FU lagi  ")</f>
        <v>tanya obyek wisata baru, FU lagi  </v>
      </c>
      <c r="E13" s="178" t="str">
        <f>IFERROR(__xludf.DUMMYFUNCTION("""COMPUTED_VALUE"""),"https://docs.google.com/document/d/1E_OV4Mro0vek_NSCMZPP4kCsW9Z5qbTX4jJzOtCiHZY/edit?tab=t.0")</f>
        <v>https://docs.google.com/document/d/1E_OV4Mro0vek_NSCMZPP4kCsW9Z5qbTX4jJzOtCiHZY/edit?tab=t.0</v>
      </c>
      <c r="F13" s="53"/>
      <c r="G13" s="183" t="str">
        <f>IFERROR(__xludf.DUMMYFUNCTION("""COMPUTED_VALUE"""),"2603D116
CC U&amp;I PRODUCT &amp; CONTRACTING (RUTH)
081519307720
Lainnya")</f>
        <v>2603D116
CC U&amp;I PRODUCT &amp; CONTRACTING (RUTH)
081519307720
Lainnya</v>
      </c>
      <c r="H13" s="183" t="str">
        <f>IFERROR(__xludf.DUMMYFUNCTION("""COMPUTED_VALUE"""),"ijen
46083 pax
Rp2.850.000")</f>
        <v>ijen
46083 pax
Rp2.850.000</v>
      </c>
      <c r="I13" s="184" t="str">
        <f>IFERROR(__xludf.DUMMYFUNCTION("""COMPUTED_VALUE"""),"fu 20 mei ")</f>
        <v>fu 20 mei </v>
      </c>
      <c r="J13" s="178" t="str">
        <f>IFERROR(__xludf.DUMMYFUNCTION("""COMPUTED_VALUE"""),"https://docs.google.com/document/d/1bWDLC_S1dDdqUJIl6l8SadiOJ_wEc2KGgd1yRhuL91c/edit?tab=t.0")</f>
        <v>https://docs.google.com/document/d/1bWDLC_S1dDdqUJIl6l8SadiOJ_wEc2KGgd1yRhuL91c/edit?tab=t.0</v>
      </c>
      <c r="K13" s="186"/>
      <c r="L13" s="183"/>
      <c r="M13" s="183"/>
      <c r="N13" s="184"/>
      <c r="O13" s="183"/>
      <c r="P13" s="53"/>
      <c r="Q13" s="53"/>
      <c r="R13" s="53"/>
      <c r="S13" s="171"/>
      <c r="T13" s="170"/>
      <c r="U13" s="53"/>
      <c r="V13" s="53"/>
      <c r="W13" s="53"/>
      <c r="X13" s="171"/>
      <c r="Y13" s="170"/>
      <c r="Z13" s="170"/>
      <c r="AA13" s="170"/>
      <c r="AB13" s="170"/>
      <c r="AC13" s="170"/>
      <c r="AD13" s="53"/>
      <c r="AE13" s="53"/>
    </row>
    <row r="14" ht="22.5" customHeight="1">
      <c r="A14" s="53"/>
      <c r="B14" s="183" t="str">
        <f>IFERROR(__xludf.DUMMYFUNCTION("""COMPUTED_VALUE"""),"2604D027
Devina Dwi
081517222541
Instagram")</f>
        <v>2604D027
Devina Dwi
081517222541
Instagram</v>
      </c>
      <c r="C14" s="176" t="str">
        <f>IFERROR(__xludf.DUMMYFUNCTION("""COMPUTED_VALUE"""),"
 pax
Rp0")</f>
        <v>
 pax
Rp0</v>
      </c>
      <c r="D14" s="177" t="str">
        <f>IFERROR(__xludf.DUMMYFUNCTION("""COMPUTED_VALUE"""),"tanya perbedaan paket 3h2m opsi A&amp;opsi B, FU 10 Juni")</f>
        <v>tanya perbedaan paket 3h2m opsi A&amp;opsi B, FU 10 Juni</v>
      </c>
      <c r="E14" s="178" t="str">
        <f>IFERROR(__xludf.DUMMYFUNCTION("""COMPUTED_VALUE"""),"https://docs.google.com/document/d/1rJHZSvk_7jGgi8u-pR7VZm12_hT4SqYDsgX2cOvLqE8/edit?tab=t.0")</f>
        <v>https://docs.google.com/document/d/1rJHZSvk_7jGgi8u-pR7VZm12_hT4SqYDsgX2cOvLqE8/edit?tab=t.0</v>
      </c>
      <c r="F14" s="53"/>
      <c r="G14" s="183" t="str">
        <f>IFERROR(__xludf.DUMMYFUNCTION("""COMPUTED_VALUE"""),"2603D140
Eka_NS
08569012365
Instagram")</f>
        <v>2603D140
Eka_NS
08569012365
Instagram</v>
      </c>
      <c r="H14" s="183" t="str">
        <f>IFERROR(__xludf.DUMMYFUNCTION("""COMPUTED_VALUE"""),"4H3M
46187
25 pax
Rp27.500.000")</f>
        <v>4H3M
46187
25 pax
Rp27.500.000</v>
      </c>
      <c r="I14" s="184" t="str">
        <f>IFERROR(__xludf.DUMMYFUNCTION("""COMPUTED_VALUE"""),"FU 1 juni")</f>
        <v>FU 1 juni</v>
      </c>
      <c r="J14" s="178" t="str">
        <f>IFERROR(__xludf.DUMMYFUNCTION("""COMPUTED_VALUE"""),"https://docs.google.com/document/d/1b_RgaW-9UCNiTM50ldow1WNLeivh6w_tgiWEEs0Lkg4/edit?tab=t.0")</f>
        <v>https://docs.google.com/document/d/1b_RgaW-9UCNiTM50ldow1WNLeivh6w_tgiWEEs0Lkg4/edit?tab=t.0</v>
      </c>
      <c r="K14" s="186"/>
      <c r="L14" s="183"/>
      <c r="M14" s="183"/>
      <c r="N14" s="184"/>
      <c r="O14" s="183"/>
      <c r="P14" s="53"/>
      <c r="Q14" s="53"/>
      <c r="R14" s="53"/>
      <c r="S14" s="171"/>
      <c r="T14" s="170"/>
      <c r="U14" s="53"/>
      <c r="V14" s="53"/>
      <c r="W14" s="53"/>
      <c r="X14" s="171"/>
      <c r="Y14" s="170"/>
      <c r="Z14" s="170"/>
      <c r="AA14" s="170"/>
      <c r="AB14" s="170"/>
      <c r="AC14" s="170"/>
      <c r="AD14" s="53"/>
      <c r="AE14" s="53"/>
    </row>
    <row r="15" ht="22.5" customHeight="1">
      <c r="A15" s="53"/>
      <c r="B15" s="183" t="str">
        <f>IFERROR(__xludf.DUMMYFUNCTION("""COMPUTED_VALUE"""),"2604D029
Tri Kodrat Prasetyo
085777314701
Website")</f>
        <v>2604D029
Tri Kodrat Prasetyo
085777314701
Website</v>
      </c>
      <c r="C15" s="176" t="str">
        <f>IFERROR(__xludf.DUMMYFUNCTION("""COMPUTED_VALUE"""),"
 pax
Rp0")</f>
        <v>
 pax
Rp0</v>
      </c>
      <c r="D15" s="177"/>
      <c r="E15" s="178" t="str">
        <f>IFERROR(__xludf.DUMMYFUNCTION("""COMPUTED_VALUE"""),"https://docs.google.com/document/d/1-Lcruo5ljFzJVci_Tk-TOeAfKjvtqP1bJF4UY58U-r4/edit?tab=t.0")</f>
        <v>https://docs.google.com/document/d/1-Lcruo5ljFzJVci_Tk-TOeAfKjvtqP1bJF4UY58U-r4/edit?tab=t.0</v>
      </c>
      <c r="F15" s="53"/>
      <c r="G15" s="183" t="str">
        <f>IFERROR(__xludf.DUMMYFUNCTION("""COMPUTED_VALUE"""),"2603D148
Neta
082120112988
Instagram")</f>
        <v>2603D148
Neta
082120112988
Instagram</v>
      </c>
      <c r="H15" s="183" t="str">
        <f>IFERROR(__xludf.DUMMYFUNCTION("""COMPUTED_VALUE"""),"3h2m opsi a
4 pax
Rp6.808.000")</f>
        <v>3h2m opsi a
4 pax
Rp6.808.000</v>
      </c>
      <c r="I15" s="184" t="str">
        <f>IFERROR(__xludf.DUMMYFUNCTION("""COMPUTED_VALUE"""),"fu 1 juni")</f>
        <v>fu 1 juni</v>
      </c>
      <c r="J15" s="178" t="str">
        <f>IFERROR(__xludf.DUMMYFUNCTION("""COMPUTED_VALUE"""),"https://docs.google.com/document/d/1zPw8Zfr98kjQUxz1f9zZYGpikX0vPV5fNylvqLkLIGI/edit?tab=t.0")</f>
        <v>https://docs.google.com/document/d/1zPw8Zfr98kjQUxz1f9zZYGpikX0vPV5fNylvqLkLIGI/edit?tab=t.0</v>
      </c>
      <c r="K15" s="186"/>
      <c r="L15" s="183"/>
      <c r="M15" s="183"/>
      <c r="N15" s="184"/>
      <c r="O15" s="183"/>
      <c r="P15" s="53"/>
      <c r="Q15" s="53"/>
      <c r="R15" s="53"/>
      <c r="S15" s="171"/>
      <c r="T15" s="170"/>
      <c r="U15" s="53"/>
      <c r="V15" s="53"/>
      <c r="W15" s="53"/>
      <c r="X15" s="171"/>
      <c r="Y15" s="170"/>
      <c r="Z15" s="170"/>
      <c r="AA15" s="170"/>
      <c r="AB15" s="170"/>
      <c r="AC15" s="170"/>
      <c r="AD15" s="53"/>
      <c r="AE15" s="53"/>
    </row>
    <row r="16" ht="22.5" customHeight="1">
      <c r="A16" s="53"/>
      <c r="B16" s="183" t="str">
        <f>IFERROR(__xludf.DUMMYFUNCTION("""COMPUTED_VALUE"""),"2604D030
Tabitaherra
081392624454
Instagram")</f>
        <v>2604D030
Tabitaherra
081392624454
Instagram</v>
      </c>
      <c r="C16" s="176" t="str">
        <f>IFERROR(__xludf.DUMMYFUNCTION("""COMPUTED_VALUE"""),"OT 3h2m
 pax
Rp0")</f>
        <v>OT 3h2m
 pax
Rp0</v>
      </c>
      <c r="D16" s="177" t="str">
        <f>IFERROR(__xludf.DUMMYFUNCTION("""COMPUTED_VALUE"""),"tanya penginapan ")</f>
        <v>tanya penginapan </v>
      </c>
      <c r="E16" s="178" t="str">
        <f>IFERROR(__xludf.DUMMYFUNCTION("""COMPUTED_VALUE"""),"https://docs.google.com/document/d/1zT_mfHgHkhbnWdDTbCC5iedQ8UcQE042JaEIOC0-Zrk/edit?tab=t.0")</f>
        <v>https://docs.google.com/document/d/1zT_mfHgHkhbnWdDTbCC5iedQ8UcQE042JaEIOC0-Zrk/edit?tab=t.0</v>
      </c>
      <c r="F16" s="53"/>
      <c r="G16" s="183" t="str">
        <f>IFERROR(__xludf.DUMMYFUNCTION("""COMPUTED_VALUE"""),"2604D019
Anggun
081259961730
Website")</f>
        <v>2604D019
Anggun
081259961730
Website</v>
      </c>
      <c r="H16" s="183" t="str">
        <f>IFERROR(__xludf.DUMMYFUNCTION("""COMPUTED_VALUE"""),"2H1M custome
3 pax
Rp5.991.000")</f>
        <v>2H1M custome
3 pax
Rp5.991.000</v>
      </c>
      <c r="I16" s="184" t="str">
        <f>IFERROR(__xludf.DUMMYFUNCTION("""COMPUTED_VALUE"""),"FU 1 Juni")</f>
        <v>FU 1 Juni</v>
      </c>
      <c r="J16" s="178" t="str">
        <f>IFERROR(__xludf.DUMMYFUNCTION("""COMPUTED_VALUE"""),"https://docs.google.com/document/d/1Q2JSvqPvvAFnjlutBohyWwKn1mwjm4gvVKyx99SgLfU/edit?tab=t.0")</f>
        <v>https://docs.google.com/document/d/1Q2JSvqPvvAFnjlutBohyWwKn1mwjm4gvVKyx99SgLfU/edit?tab=t.0</v>
      </c>
      <c r="K16" s="186"/>
      <c r="L16" s="183"/>
      <c r="M16" s="183"/>
      <c r="N16" s="184"/>
      <c r="O16" s="183"/>
      <c r="P16" s="53"/>
      <c r="Q16" s="53"/>
      <c r="R16" s="53"/>
      <c r="S16" s="171"/>
      <c r="T16" s="170"/>
      <c r="U16" s="53"/>
      <c r="V16" s="53"/>
      <c r="W16" s="53"/>
      <c r="X16" s="171"/>
      <c r="Y16" s="170"/>
      <c r="Z16" s="170"/>
      <c r="AA16" s="170"/>
      <c r="AB16" s="170"/>
      <c r="AC16" s="170"/>
      <c r="AD16" s="53"/>
      <c r="AE16" s="53"/>
    </row>
    <row r="17" ht="22.5" customHeight="1">
      <c r="A17" s="53"/>
      <c r="B17" s="183" t="str">
        <f>IFERROR(__xludf.DUMMYFUNCTION("""COMPUTED_VALUE"""),"2604D033
Darno avian
08123086548
Lainnya")</f>
        <v>2604D033
Darno avian
08123086548
Lainnya</v>
      </c>
      <c r="C17" s="176" t="str">
        <f>IFERROR(__xludf.DUMMYFUNCTION("""COMPUTED_VALUE"""),"paket custom 
50 pax
Rp0")</f>
        <v>paket custom 
50 pax
Rp0</v>
      </c>
      <c r="D17" s="177" t="str">
        <f>IFERROR(__xludf.DUMMYFUNCTION("""COMPUTED_VALUE"""),"tanggal masih jauh, masih dirundingkan")</f>
        <v>tanggal masih jauh, masih dirundingkan</v>
      </c>
      <c r="E17" s="178" t="str">
        <f>IFERROR(__xludf.DUMMYFUNCTION("""COMPUTED_VALUE"""),"https://docs.google.com/document/d/1_eI_7yyf9oa3VPmio_yctFgsNo-Bai4mWIvSxme_oUI/edit?tab=t.0")</f>
        <v>https://docs.google.com/document/d/1_eI_7yyf9oa3VPmio_yctFgsNo-Bai4mWIvSxme_oUI/edit?tab=t.0</v>
      </c>
      <c r="F17" s="53"/>
      <c r="G17" s="183" t="str">
        <f>IFERROR(__xludf.DUMMYFUNCTION("""COMPUTED_VALUE"""),"2604D062
Awinda Dyah Paraswati
081334443328
Lainnya")</f>
        <v>2604D062
Awinda Dyah Paraswati
081334443328
Lainnya</v>
      </c>
      <c r="H17" s="183" t="str">
        <f>IFERROR(__xludf.DUMMYFUNCTION("""COMPUTED_VALUE"""),"private trip ijen baluran
2 pax
Rp1.960.000")</f>
        <v>private trip ijen baluran
2 pax
Rp1.960.000</v>
      </c>
      <c r="I17" s="184" t="str">
        <f>IFERROR(__xludf.DUMMYFUNCTION("""COMPUTED_VALUE"""),"memastikan jadwal dulu, minta di FU lagi 5 Juli")</f>
        <v>memastikan jadwal dulu, minta di FU lagi 5 Juli</v>
      </c>
      <c r="J17" s="178" t="str">
        <f>IFERROR(__xludf.DUMMYFUNCTION("""COMPUTED_VALUE"""),"https://docs.google.com/document/d/1xVbH47ibZ9li1jq8nP-jxwgBDVPbB6K58Z0g10KOPr8/edit?tab=t.0")</f>
        <v>https://docs.google.com/document/d/1xVbH47ibZ9li1jq8nP-jxwgBDVPbB6K58Z0g10KOPr8/edit?tab=t.0</v>
      </c>
      <c r="K17" s="186"/>
      <c r="L17" s="183"/>
      <c r="M17" s="183"/>
      <c r="N17" s="184"/>
      <c r="O17" s="183"/>
      <c r="P17" s="53"/>
      <c r="Q17" s="53"/>
      <c r="R17" s="53"/>
      <c r="S17" s="171"/>
      <c r="T17" s="170"/>
      <c r="U17" s="53"/>
      <c r="V17" s="53"/>
      <c r="W17" s="53"/>
      <c r="X17" s="171"/>
      <c r="Y17" s="170"/>
      <c r="Z17" s="170"/>
      <c r="AA17" s="170"/>
      <c r="AB17" s="170"/>
      <c r="AC17" s="170"/>
      <c r="AD17" s="53"/>
      <c r="AE17" s="53"/>
    </row>
    <row r="18" ht="22.5" customHeight="1">
      <c r="A18" s="53"/>
      <c r="B18" s="183" t="str">
        <f>IFERROR(__xludf.DUMMYFUNCTION("""COMPUTED_VALUE"""),"2604D034
Nia Kusniatin
0817430784
Lainnya")</f>
        <v>2604D034
Nia Kusniatin
0817430784
Lainnya</v>
      </c>
      <c r="C18" s="176" t="str">
        <f>IFERROR(__xludf.DUMMYFUNCTION("""COMPUTED_VALUE"""),"private trip ijen
6 pax
Rp10.680.000")</f>
        <v>private trip ijen
6 pax
Rp10.680.000</v>
      </c>
      <c r="D18" s="177" t="str">
        <f>IFERROR(__xludf.DUMMYFUNCTION("""COMPUTED_VALUE"""),"b to b, nunggu dikabarin lagi")</f>
        <v>b to b, nunggu dikabarin lagi</v>
      </c>
      <c r="E18" s="178" t="str">
        <f>IFERROR(__xludf.DUMMYFUNCTION("""COMPUTED_VALUE"""),"https://docs.google.com/document/d/1R0OuFwKDTSHwj-spoYOjBF1EYgGhVfO4rj1PiVA0xV0/edit?tab=t.0")</f>
        <v>https://docs.google.com/document/d/1R0OuFwKDTSHwj-spoYOjBF1EYgGhVfO4rj1PiVA0xV0/edit?tab=t.0</v>
      </c>
      <c r="F18" s="53"/>
      <c r="G18" s="183" t="str">
        <f>IFERROR(__xludf.DUMMYFUNCTION("""COMPUTED_VALUE"""),"2604D064
Karina Wiyanda 
081226153369
Website")</f>
        <v>2604D064
Karina Wiyanda 
081226153369
Website</v>
      </c>
      <c r="H18" s="183" t="str">
        <f>IFERROR(__xludf.DUMMYFUNCTION("""COMPUTED_VALUE"""),"1 day Ijen, Djawatan
3 pax
Rp2.067.000")</f>
        <v>1 day Ijen, Djawatan
3 pax
Rp2.067.000</v>
      </c>
      <c r="I18" s="184" t="str">
        <f>IFERROR(__xludf.DUMMYFUNCTION("""COMPUTED_VALUE"""),"FU lagi 4 Juni")</f>
        <v>FU lagi 4 Juni</v>
      </c>
      <c r="J18" s="178" t="str">
        <f>IFERROR(__xludf.DUMMYFUNCTION("""COMPUTED_VALUE"""),"https://docs.google.com/document/d/1Jb5ymGjxU3kv79KarXQZYoP7hpF7VeAki-qGiuF0b8o/edit?tab=t.0")</f>
        <v>https://docs.google.com/document/d/1Jb5ymGjxU3kv79KarXQZYoP7hpF7VeAki-qGiuF0b8o/edit?tab=t.0</v>
      </c>
      <c r="K18" s="186"/>
      <c r="L18" s="183"/>
      <c r="M18" s="183"/>
      <c r="N18" s="184"/>
      <c r="O18" s="183"/>
      <c r="P18" s="53"/>
      <c r="Q18" s="53"/>
      <c r="R18" s="53"/>
      <c r="S18" s="171"/>
      <c r="T18" s="170"/>
      <c r="U18" s="53"/>
      <c r="V18" s="53"/>
      <c r="W18" s="53"/>
      <c r="X18" s="171"/>
      <c r="Y18" s="170"/>
      <c r="Z18" s="170"/>
      <c r="AA18" s="170"/>
      <c r="AB18" s="170"/>
      <c r="AC18" s="170"/>
      <c r="AD18" s="53"/>
      <c r="AE18" s="53"/>
    </row>
    <row r="19" ht="22.5" customHeight="1">
      <c r="A19" s="53"/>
      <c r="B19" s="183" t="str">
        <f>IFERROR(__xludf.DUMMYFUNCTION("""COMPUTED_VALUE"""),"2604D036
Budi Bangun 
081335103322
Lainnya")</f>
        <v>2604D036
Budi Bangun 
081335103322
Lainnya</v>
      </c>
      <c r="C19" s="176" t="str">
        <f>IFERROR(__xludf.DUMMYFUNCTION("""COMPUTED_VALUE"""),"trip Baluran
 pax
Rp0")</f>
        <v>trip Baluran
 pax
Rp0</v>
      </c>
      <c r="D19" s="177" t="str">
        <f>IFERROR(__xludf.DUMMYFUNCTION("""COMPUTED_VALUE"""),"Belum ada tgl pasti")</f>
        <v>Belum ada tgl pasti</v>
      </c>
      <c r="E19" s="178" t="str">
        <f>IFERROR(__xludf.DUMMYFUNCTION("""COMPUTED_VALUE"""),"https://docs.google.com/document/d/1r5GdYSSVmM4s2x4lpbeB7GN2ryRh07hfEON5MeHY5TU/edit?tab=t.0")</f>
        <v>https://docs.google.com/document/d/1r5GdYSSVmM4s2x4lpbeB7GN2ryRh07hfEON5MeHY5TU/edit?tab=t.0</v>
      </c>
      <c r="F19" s="53"/>
      <c r="G19" s="183" t="str">
        <f>IFERROR(__xludf.DUMMYFUNCTION("""COMPUTED_VALUE"""),"2604D072
Abby
085168888024
Website")</f>
        <v>2604D072
Abby
085168888024
Website</v>
      </c>
      <c r="H19" s="183" t="str">
        <f>IFERROR(__xludf.DUMMYFUNCTION("""COMPUTED_VALUE"""),"3h2m cuatome
46256
10 pax
Rp22.900.000")</f>
        <v>3h2m cuatome
46256
10 pax
Rp22.900.000</v>
      </c>
      <c r="I19" s="184" t="str">
        <f>IFERROR(__xludf.DUMMYFUNCTION("""COMPUTED_VALUE"""),"b2b, masih tawar menawar harga")</f>
        <v>b2b, masih tawar menawar harga</v>
      </c>
      <c r="J19" s="178" t="str">
        <f>IFERROR(__xludf.DUMMYFUNCTION("""COMPUTED_VALUE"""),"https://docs.google.com/document/d/1mRMP_d1RnyR2VFJVUfelYJSN1lvShuZ-6xa11YnGlWE/edit?tab=t.0")</f>
        <v>https://docs.google.com/document/d/1mRMP_d1RnyR2VFJVUfelYJSN1lvShuZ-6xa11YnGlWE/edit?tab=t.0</v>
      </c>
      <c r="K19" s="186"/>
      <c r="L19" s="183"/>
      <c r="M19" s="183"/>
      <c r="N19" s="184"/>
      <c r="O19" s="183"/>
      <c r="P19" s="53"/>
      <c r="Q19" s="53"/>
      <c r="R19" s="53"/>
      <c r="S19" s="171"/>
      <c r="T19" s="170"/>
      <c r="U19" s="53"/>
      <c r="V19" s="53"/>
      <c r="W19" s="53"/>
      <c r="X19" s="171"/>
      <c r="Y19" s="170"/>
      <c r="Z19" s="170"/>
      <c r="AA19" s="170"/>
      <c r="AB19" s="170"/>
      <c r="AC19" s="170"/>
      <c r="AD19" s="53"/>
      <c r="AE19" s="53"/>
    </row>
    <row r="20" ht="22.5" customHeight="1">
      <c r="A20" s="53"/>
      <c r="B20" s="183" t="str">
        <f>IFERROR(__xludf.DUMMYFUNCTION("""COMPUTED_VALUE"""),"2604D038
Noviaveve
085855165695
Instagram")</f>
        <v>2604D038
Noviaveve
085855165695
Instagram</v>
      </c>
      <c r="C20" s="176" t="str">
        <f>IFERROR(__xludf.DUMMYFUNCTION("""COMPUTED_VALUE"""),"
 pax
Rp0")</f>
        <v>
 pax
Rp0</v>
      </c>
      <c r="D20" s="177"/>
      <c r="E20" s="178" t="str">
        <f>IFERROR(__xludf.DUMMYFUNCTION("""COMPUTED_VALUE"""),"https://docs.google.com/document/d/1pWuheGDgrS9z3oKLNJ2QaVLoSvY682BD_9Wca9h7qtk/edit?tab=t.0")</f>
        <v>https://docs.google.com/document/d/1pWuheGDgrS9z3oKLNJ2QaVLoSvY682BD_9Wca9h7qtk/edit?tab=t.0</v>
      </c>
      <c r="F20" s="53"/>
      <c r="G20" s="183" t="str">
        <f>IFERROR(__xludf.DUMMYFUNCTION("""COMPUTED_VALUE"""),"2604D075
Romi
08128880882
Website")</f>
        <v>2604D075
Romi
08128880882
Website</v>
      </c>
      <c r="H20" s="183" t="str">
        <f>IFERROR(__xludf.DUMMYFUNCTION("""COMPUTED_VALUE"""),"3h2m opsi B
46196
4 pax
Rp5.040.000")</f>
        <v>3h2m opsi B
46196
4 pax
Rp5.040.000</v>
      </c>
      <c r="I20" s="184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J20" s="178" t="str">
        <f>IFERROR(__xludf.DUMMYFUNCTION("""COMPUTED_VALUE"""),"https://docs.google.com/document/d/129WbEOC8OLCDbzY8FNFRP9eZLzrYIytMh5qd-ugrKeA/edit?tab=t.0")</f>
        <v>https://docs.google.com/document/d/129WbEOC8OLCDbzY8FNFRP9eZLzrYIytMh5qd-ugrKeA/edit?tab=t.0</v>
      </c>
      <c r="K20" s="186"/>
      <c r="L20" s="53"/>
      <c r="M20" s="53"/>
      <c r="N20" s="171"/>
      <c r="O20" s="170"/>
      <c r="P20" s="53"/>
      <c r="Q20" s="53"/>
      <c r="R20" s="53"/>
      <c r="S20" s="171"/>
      <c r="T20" s="170"/>
      <c r="U20" s="53"/>
      <c r="V20" s="53"/>
      <c r="W20" s="53"/>
      <c r="X20" s="171"/>
      <c r="Y20" s="170"/>
      <c r="Z20" s="170"/>
      <c r="AA20" s="170"/>
      <c r="AB20" s="170"/>
      <c r="AC20" s="170"/>
      <c r="AD20" s="53"/>
      <c r="AE20" s="53"/>
    </row>
    <row r="21" ht="22.5" customHeight="1">
      <c r="A21" s="53"/>
      <c r="B21" s="183" t="str">
        <f>IFERROR(__xludf.DUMMYFUNCTION("""COMPUTED_VALUE"""),"2604D041
Riski
085236599558
Instagram")</f>
        <v>2604D041
Riski
085236599558
Instagram</v>
      </c>
      <c r="C21" s="176" t="str">
        <f>IFERROR(__xludf.DUMMYFUNCTION("""COMPUTED_VALUE"""),"OT menjanan, tabuhan
 pax
Rp0")</f>
        <v>OT menjanan, tabuhan
 pax
Rp0</v>
      </c>
      <c r="D21" s="177" t="str">
        <f>IFERROR(__xludf.DUMMYFUNCTION("""COMPUTED_VALUE"""),"tanya dulu, blm tau tanggal")</f>
        <v>tanya dulu, blm tau tanggal</v>
      </c>
      <c r="E21" s="178" t="str">
        <f>IFERROR(__xludf.DUMMYFUNCTION("""COMPUTED_VALUE"""),"https://docs.google.com/document/d/1EOJTregGxriInA1A_ZMlo5O21BTMoJ9V-ZxlFph0ybQ/edit?tab=t.0")</f>
        <v>https://docs.google.com/document/d/1EOJTregGxriInA1A_ZMlo5O21BTMoJ9V-ZxlFph0ybQ/edit?tab=t.0</v>
      </c>
      <c r="F21" s="53"/>
      <c r="G21" s="183" t="str">
        <f>IFERROR(__xludf.DUMMYFUNCTION("""COMPUTED_VALUE"""),"2605D004
Muchammad Fauzan
08813338169
Lainnya")</f>
        <v>2605D004
Muchammad Fauzan
08813338169
Lainnya</v>
      </c>
      <c r="H21" s="183" t="str">
        <f>IFERROR(__xludf.DUMMYFUNCTION("""COMPUTED_VALUE"""),"3h2m opsi B
2 pax
Rp5.334.000")</f>
        <v>3h2m opsi B
2 pax
Rp5.334.000</v>
      </c>
      <c r="I21" s="184" t="str">
        <f>IFERROR(__xludf.DUMMYFUNCTION("""COMPUTED_VALUE"""),"masih diskus, FU 13 Juni")</f>
        <v>masih diskus, FU 13 Juni</v>
      </c>
      <c r="J21" s="178" t="str">
        <f>IFERROR(__xludf.DUMMYFUNCTION("""COMPUTED_VALUE"""),"https://docs.google.com/document/d/1TuWrmHDQG0B8cDSHAajLv_nuBGxt4QylHcdm7u2pSqE/edit?usp=sharing")</f>
        <v>https://docs.google.com/document/d/1TuWrmHDQG0B8cDSHAajLv_nuBGxt4QylHcdm7u2pSqE/edit?usp=sharing</v>
      </c>
      <c r="K21" s="186"/>
      <c r="L21" s="53"/>
      <c r="M21" s="53"/>
      <c r="N21" s="171"/>
      <c r="O21" s="170"/>
      <c r="P21" s="53"/>
      <c r="Q21" s="53"/>
      <c r="R21" s="53"/>
      <c r="S21" s="171"/>
      <c r="T21" s="170"/>
      <c r="U21" s="53"/>
      <c r="V21" s="53"/>
      <c r="W21" s="53"/>
      <c r="X21" s="171"/>
      <c r="Y21" s="170"/>
      <c r="Z21" s="170"/>
      <c r="AA21" s="170"/>
      <c r="AB21" s="170"/>
      <c r="AC21" s="170"/>
      <c r="AD21" s="53"/>
      <c r="AE21" s="53"/>
    </row>
    <row r="22" ht="22.5" customHeight="1">
      <c r="A22" s="53"/>
      <c r="B22" s="183" t="str">
        <f>IFERROR(__xludf.DUMMYFUNCTION("""COMPUTED_VALUE"""),"2604D042
Haning
081904412811
Instagram")</f>
        <v>2604D042
Haning
081904412811
Instagram</v>
      </c>
      <c r="C22" s="176" t="str">
        <f>IFERROR(__xludf.DUMMYFUNCTION("""COMPUTED_VALUE"""),"
 pax
Rp0")</f>
        <v>
 pax
Rp0</v>
      </c>
      <c r="D22" s="177" t="str">
        <f>IFERROR(__xludf.DUMMYFUNCTION("""COMPUTED_VALUE"""),"blm balas lagi")</f>
        <v>blm balas lagi</v>
      </c>
      <c r="E22" s="178" t="str">
        <f>IFERROR(__xludf.DUMMYFUNCTION("""COMPUTED_VALUE"""),"https://docs.google.com/document/d/1NGrTRrS8NLaBAYL0CMZ9BXI4W99t71VWsqmVSOJSCCI/edit?tab=t.0")</f>
        <v>https://docs.google.com/document/d/1NGrTRrS8NLaBAYL0CMZ9BXI4W99t71VWsqmVSOJSCCI/edit?tab=t.0</v>
      </c>
      <c r="F22" s="53"/>
      <c r="G22" s="183" t="str">
        <f>IFERROR(__xludf.DUMMYFUNCTION("""COMPUTED_VALUE"""),"2605D031
Herry Poer
081333093581
Instagram")</f>
        <v>2605D031
Herry Poer
081333093581
Instagram</v>
      </c>
      <c r="H22" s="183" t="str">
        <f>IFERROR(__xludf.DUMMYFUNCTION("""COMPUTED_VALUE"""),"1 day trip GI
35 pax
Rp0")</f>
        <v>1 day trip GI
35 pax
Rp0</v>
      </c>
      <c r="I22" s="184" t="str">
        <f>IFERROR(__xludf.DUMMYFUNCTION("""COMPUTED_VALUE"""),"sudah kirim penawaran, ")</f>
        <v>sudah kirim penawaran, </v>
      </c>
      <c r="J22" s="178" t="str">
        <f>IFERROR(__xludf.DUMMYFUNCTION("""COMPUTED_VALUE"""),"https://docs.google.com/document/d/1XkoZRZYTZtCw9mFuV7U6sPx0gO3_qmUr5kwO2HmMm6o/edit?usp=sharing")</f>
        <v>https://docs.google.com/document/d/1XkoZRZYTZtCw9mFuV7U6sPx0gO3_qmUr5kwO2HmMm6o/edit?usp=sharing</v>
      </c>
      <c r="K22" s="186"/>
      <c r="L22" s="53"/>
      <c r="M22" s="53"/>
      <c r="N22" s="171"/>
      <c r="O22" s="170"/>
      <c r="P22" s="53"/>
      <c r="Q22" s="53"/>
      <c r="R22" s="53"/>
      <c r="S22" s="171"/>
      <c r="T22" s="170"/>
      <c r="U22" s="53"/>
      <c r="V22" s="53"/>
      <c r="W22" s="53"/>
      <c r="X22" s="171"/>
      <c r="Y22" s="170"/>
      <c r="Z22" s="170"/>
      <c r="AA22" s="170"/>
      <c r="AB22" s="170"/>
      <c r="AC22" s="170"/>
      <c r="AD22" s="53"/>
      <c r="AE22" s="53"/>
    </row>
    <row r="23" ht="22.5" customHeight="1">
      <c r="A23" s="53"/>
      <c r="B23" s="183" t="str">
        <f>IFERROR(__xludf.DUMMYFUNCTION("""COMPUTED_VALUE"""),"2604D045
Nugroho Fadjar Shodik
081286772029
Website")</f>
        <v>2604D045
Nugroho Fadjar Shodik
081286772029
Website</v>
      </c>
      <c r="C23" s="176" t="str">
        <f>IFERROR(__xludf.DUMMYFUNCTION("""COMPUTED_VALUE"""),"paket 2H1M
12 pax
Rp0")</f>
        <v>paket 2H1M
12 pax
Rp0</v>
      </c>
      <c r="D23" s="177" t="str">
        <f>IFERROR(__xludf.DUMMYFUNCTION("""COMPUTED_VALUE"""),"buat penawaran ")</f>
        <v>buat penawaran </v>
      </c>
      <c r="E23" s="178" t="str">
        <f>IFERROR(__xludf.DUMMYFUNCTION("""COMPUTED_VALUE"""),"https://docs.google.com/document/d/129CR5LlITMzRfQ0-ceekbC4hAVVMG8Zi_RXypmdhIuI/edit?tab=t.0")</f>
        <v>https://docs.google.com/document/d/129CR5LlITMzRfQ0-ceekbC4hAVVMG8Zi_RXypmdhIuI/edit?tab=t.0</v>
      </c>
      <c r="F23" s="53"/>
      <c r="G23" s="183" t="str">
        <f>IFERROR(__xludf.DUMMYFUNCTION("""COMPUTED_VALUE"""),"2605D159
Name C
081332799583
Instagram")</f>
        <v>2605D159
Name C
081332799583
Instagram</v>
      </c>
      <c r="H23" s="183" t="str">
        <f>IFERROR(__xludf.DUMMYFUNCTION("""COMPUTED_VALUE"""),"2h1m custome
3 pax
Rp5.850.000")</f>
        <v>2h1m custome
3 pax
Rp5.850.000</v>
      </c>
      <c r="I23" s="184" t="str">
        <f>IFERROR(__xludf.DUMMYFUNCTION("""COMPUTED_VALUE"""),"FU 2 Juni")</f>
        <v>FU 2 Juni</v>
      </c>
      <c r="J23" s="183"/>
      <c r="K23" s="186"/>
      <c r="L23" s="53"/>
      <c r="M23" s="53"/>
      <c r="N23" s="171"/>
      <c r="O23" s="170"/>
      <c r="P23" s="53"/>
      <c r="Q23" s="53"/>
      <c r="R23" s="53"/>
      <c r="S23" s="171"/>
      <c r="T23" s="170"/>
      <c r="U23" s="53"/>
      <c r="V23" s="53"/>
      <c r="W23" s="53"/>
      <c r="X23" s="171"/>
      <c r="Y23" s="170"/>
      <c r="Z23" s="170"/>
      <c r="AA23" s="170"/>
      <c r="AB23" s="170"/>
      <c r="AC23" s="170"/>
      <c r="AD23" s="53"/>
      <c r="AE23" s="53"/>
    </row>
    <row r="24" ht="22.5" customHeight="1">
      <c r="A24" s="53"/>
      <c r="B24" s="183" t="str">
        <f>IFERROR(__xludf.DUMMYFUNCTION("""COMPUTED_VALUE"""),"2604D055
Hesti
08113890797
Instagram")</f>
        <v>2604D055
Hesti
08113890797
Instagram</v>
      </c>
      <c r="C24" s="176" t="str">
        <f>IFERROR(__xludf.DUMMYFUNCTION("""COMPUTED_VALUE"""),"ot djawatan baluran
2 pax
Rp0")</f>
        <v>ot djawatan baluran
2 pax
Rp0</v>
      </c>
      <c r="D24" s="177" t="str">
        <f>IFERROR(__xludf.DUMMYFUNCTION("""COMPUTED_VALUE"""),"belum balas lagi")</f>
        <v>belum balas lagi</v>
      </c>
      <c r="E24" s="178" t="str">
        <f>IFERROR(__xludf.DUMMYFUNCTION("""COMPUTED_VALUE"""),"https://docs.google.com/document/d/1kK0Ed5Xb0k1KL0UZfA2SORvd0Ne_tKcCKIG3HES5zy4/edit?tab=t.0")</f>
        <v>https://docs.google.com/document/d/1kK0Ed5Xb0k1KL0UZfA2SORvd0Ne_tKcCKIG3HES5zy4/edit?tab=t.0</v>
      </c>
      <c r="F24" s="53"/>
      <c r="G24" s="183" t="str">
        <f>IFERROR(__xludf.DUMMYFUNCTION("""COMPUTED_VALUE"""),"2606D045
Cornelia Melinda
081392012961
Instagram")</f>
        <v>2606D045
Cornelia Melinda
081392012961
Instagram</v>
      </c>
      <c r="H24" s="183" t="str">
        <f>IFERROR(__xludf.DUMMYFUNCTION("""COMPUTED_VALUE"""),"trip Kawah Wurung
3 pax
Rp1.509.000")</f>
        <v>trip Kawah Wurung
3 pax
Rp1.509.000</v>
      </c>
      <c r="I24" s="184" t="str">
        <f>IFERROR(__xludf.DUMMYFUNCTION("""COMPUTED_VALUE"""),"FU 8 Juni")</f>
        <v>FU 8 Juni</v>
      </c>
      <c r="J24" s="183"/>
      <c r="K24" s="186"/>
      <c r="L24" s="53"/>
      <c r="M24" s="53"/>
      <c r="N24" s="171"/>
      <c r="O24" s="170"/>
      <c r="P24" s="53"/>
      <c r="Q24" s="53"/>
      <c r="R24" s="53"/>
      <c r="S24" s="171"/>
      <c r="T24" s="170"/>
      <c r="U24" s="53"/>
      <c r="V24" s="53"/>
      <c r="W24" s="53"/>
      <c r="X24" s="171"/>
      <c r="Y24" s="170"/>
      <c r="Z24" s="170"/>
      <c r="AA24" s="170"/>
      <c r="AB24" s="170"/>
      <c r="AC24" s="170"/>
      <c r="AD24" s="53"/>
      <c r="AE24" s="53"/>
    </row>
    <row r="25" ht="22.5" customHeight="1">
      <c r="A25" s="53"/>
      <c r="B25" s="183" t="str">
        <f>IFERROR(__xludf.DUMMYFUNCTION("""COMPUTED_VALUE"""),"2604D065
Ruben
34647685658
Instagram")</f>
        <v>2604D065
Ruben
34647685658
Instagram</v>
      </c>
      <c r="C25" s="176" t="str">
        <f>IFERROR(__xludf.DUMMYFUNCTION("""COMPUTED_VALUE"""),"
2 pax
Rp0")</f>
        <v>
2 pax
Rp0</v>
      </c>
      <c r="D25" s="177" t="str">
        <f>IFERROR(__xludf.DUMMYFUNCTION("""COMPUTED_VALUE"""),"FU 10 Juni")</f>
        <v>FU 10 Juni</v>
      </c>
      <c r="E25" s="178" t="str">
        <f>IFERROR(__xludf.DUMMYFUNCTION("""COMPUTED_VALUE"""),"https://docs.google.com/document/d/1JSI182IsN0SjFEkKpXgdw47JPfdq9s9aMiw--Cmob1g/edit?tab=t.0")</f>
        <v>https://docs.google.com/document/d/1JSI182IsN0SjFEkKpXgdw47JPfdq9s9aMiw--Cmob1g/edit?tab=t.0</v>
      </c>
      <c r="F25" s="53"/>
      <c r="G25" s="183" t="str">
        <f>IFERROR(__xludf.DUMMYFUNCTION("""COMPUTED_VALUE"""),"2606D063
Zilfa
083895350490
Instagram")</f>
        <v>2606D063
Zilfa
083895350490
Instagram</v>
      </c>
      <c r="H25" s="183" t="str">
        <f>IFERROR(__xludf.DUMMYFUNCTION("""COMPUTED_VALUE"""),"2h1m custome
4 pax
Rp0")</f>
        <v>2h1m custome
4 pax
Rp0</v>
      </c>
      <c r="I25" s="184" t="str">
        <f>IFERROR(__xludf.DUMMYFUNCTION("""COMPUTED_VALUE"""),"nunggu persetujuan ortu, FU 17 Juni")</f>
        <v>nunggu persetujuan ortu, FU 17 Juni</v>
      </c>
      <c r="J25" s="183"/>
      <c r="K25" s="186"/>
      <c r="L25" s="53"/>
      <c r="M25" s="53"/>
      <c r="N25" s="171"/>
      <c r="O25" s="170"/>
      <c r="P25" s="53"/>
      <c r="Q25" s="53"/>
      <c r="R25" s="53"/>
      <c r="S25" s="171"/>
      <c r="T25" s="170"/>
      <c r="U25" s="53"/>
      <c r="V25" s="53"/>
      <c r="W25" s="53"/>
      <c r="X25" s="171"/>
      <c r="Y25" s="170"/>
      <c r="Z25" s="170"/>
      <c r="AA25" s="170"/>
      <c r="AB25" s="170"/>
      <c r="AC25" s="170"/>
      <c r="AD25" s="53"/>
      <c r="AE25" s="53"/>
    </row>
    <row r="26" ht="22.5" customHeight="1">
      <c r="A26" s="53"/>
      <c r="B26" s="183" t="str">
        <f>IFERROR(__xludf.DUMMYFUNCTION("""COMPUTED_VALUE"""),"2604D066
Widia
0895638969722
Instagram")</f>
        <v>2604D066
Widia
0895638969722
Instagram</v>
      </c>
      <c r="C26" s="176" t="str">
        <f>IFERROR(__xludf.DUMMYFUNCTION("""COMPUTED_VALUE"""),"OT1 day D, AP
46188
2 pax
Rp0")</f>
        <v>OT1 day D, AP
46188
2 pax
Rp0</v>
      </c>
      <c r="D26" s="177" t="str">
        <f>IFERROR(__xludf.DUMMYFUNCTION("""COMPUTED_VALUE"""),"belum balas lagi, FU 3 Juni")</f>
        <v>belum balas lagi, FU 3 Juni</v>
      </c>
      <c r="E26" s="178" t="str">
        <f>IFERROR(__xludf.DUMMYFUNCTION("""COMPUTED_VALUE"""),"https://docs.google.com/document/d/17wJKrF-qMTsQxVnpPPLODqvJrzsIbF7SqjjwgrUQd90/edit?tab=t.0")</f>
        <v>https://docs.google.com/document/d/17wJKrF-qMTsQxVnpPPLODqvJrzsIbF7SqjjwgrUQd90/edit?tab=t.0</v>
      </c>
      <c r="F26" s="53"/>
      <c r="G26" s="183" t="str">
        <f>IFERROR(__xludf.DUMMYFUNCTION("""COMPUTED_VALUE"""),"2606D074
Climb
081231230748
Website")</f>
        <v>2606D074
Climb
081231230748
Website</v>
      </c>
      <c r="H26" s="183" t="str">
        <f>IFERROR(__xludf.DUMMYFUNCTION("""COMPUTED_VALUE"""),"OT MT
1 pax
Rp275.000")</f>
        <v>OT MT
1 pax
Rp275.000</v>
      </c>
      <c r="I26" s="184" t="str">
        <f>IFERROR(__xludf.DUMMYFUNCTION("""COMPUTED_VALUE"""),"FU 11 Juni")</f>
        <v>FU 11 Juni</v>
      </c>
      <c r="J26" s="183"/>
      <c r="K26" s="186"/>
      <c r="L26" s="53"/>
      <c r="M26" s="53"/>
      <c r="N26" s="171"/>
      <c r="O26" s="170"/>
      <c r="P26" s="53"/>
      <c r="Q26" s="53"/>
      <c r="R26" s="53"/>
      <c r="S26" s="171"/>
      <c r="T26" s="170"/>
      <c r="U26" s="53"/>
      <c r="V26" s="53"/>
      <c r="W26" s="53"/>
      <c r="X26" s="171"/>
      <c r="Y26" s="170"/>
      <c r="Z26" s="170"/>
      <c r="AA26" s="170"/>
      <c r="AB26" s="170"/>
      <c r="AC26" s="170"/>
      <c r="AD26" s="53"/>
      <c r="AE26" s="53"/>
    </row>
    <row r="27" ht="22.5" customHeight="1">
      <c r="A27" s="53"/>
      <c r="B27" s="183" t="str">
        <f>IFERROR(__xludf.DUMMYFUNCTION("""COMPUTED_VALUE"""),"2604D067
Wanti
081524136041
Lainnya")</f>
        <v>2604D067
Wanti
081524136041
Lainnya</v>
      </c>
      <c r="C27" s="176" t="str">
        <f>IFERROR(__xludf.DUMMYFUNCTION("""COMPUTED_VALUE"""),"3H2M
2 pax
Rp0")</f>
        <v>3H2M
2 pax
Rp0</v>
      </c>
      <c r="D27" s="177" t="str">
        <f>IFERROR(__xludf.DUMMYFUNCTION("""COMPUTED_VALUE"""),"FU 2 Juni")</f>
        <v>FU 2 Juni</v>
      </c>
      <c r="E27" s="178" t="str">
        <f>IFERROR(__xludf.DUMMYFUNCTION("""COMPUTED_VALUE"""),"https://docs.google.com/document/d/1IkCwwX8gwQKwgozKKGhEbDbVIrqIZ2qZt5Njy0mLe2A/edit?tab=t.0")</f>
        <v>https://docs.google.com/document/d/1IkCwwX8gwQKwgozKKGhEbDbVIrqIZ2qZt5Njy0mLe2A/edit?tab=t.0</v>
      </c>
      <c r="F27" s="53"/>
      <c r="G27" s="183" t="str">
        <f>IFERROR(__xludf.DUMMYFUNCTION("""COMPUTED_VALUE"""),"2606D120
Dinda  
08112995597
Instagram")</f>
        <v>2606D120
Dinda  
08112995597
Instagram</v>
      </c>
      <c r="H27" s="183" t="str">
        <f>IFERROR(__xludf.DUMMYFUNCTION("""COMPUTED_VALUE"""),"2h1m custome
9 pax
Rp6.975.000")</f>
        <v>2h1m custome
9 pax
Rp6.975.000</v>
      </c>
      <c r="I27" s="184" t="str">
        <f>IFERROR(__xludf.DUMMYFUNCTION("""COMPUTED_VALUE"""),"FU 19 Juni")</f>
        <v>FU 19 Juni</v>
      </c>
      <c r="J27" s="183"/>
      <c r="K27" s="186"/>
      <c r="L27" s="53"/>
      <c r="M27" s="53"/>
      <c r="N27" s="171"/>
      <c r="O27" s="170"/>
      <c r="P27" s="53"/>
      <c r="Q27" s="53"/>
      <c r="R27" s="53"/>
      <c r="S27" s="171"/>
      <c r="T27" s="170"/>
      <c r="U27" s="53"/>
      <c r="V27" s="53"/>
      <c r="W27" s="53"/>
      <c r="X27" s="171"/>
      <c r="Y27" s="170"/>
      <c r="Z27" s="170"/>
      <c r="AA27" s="170"/>
      <c r="AB27" s="170"/>
      <c r="AC27" s="170"/>
      <c r="AD27" s="53"/>
      <c r="AE27" s="53"/>
    </row>
    <row r="28" ht="22.5" customHeight="1">
      <c r="A28" s="53"/>
      <c r="B28" s="183" t="str">
        <f>IFERROR(__xludf.DUMMYFUNCTION("""COMPUTED_VALUE"""),"2604D070
Arsha
082242790799
Instagram")</f>
        <v>2604D070
Arsha
082242790799
Instagram</v>
      </c>
      <c r="C28" s="176" t="str">
        <f>IFERROR(__xludf.DUMMYFUNCTION("""COMPUTED_VALUE"""),"3h2m custome
55 pax
Rp78.375.000")</f>
        <v>3h2m custome
55 pax
Rp78.375.000</v>
      </c>
      <c r="D28" s="177" t="str">
        <f>IFERROR(__xludf.DUMMYFUNCTION("""COMPUTED_VALUE"""),"kasih penawaran, FU lagi 15 september")</f>
        <v>kasih penawaran, FU lagi 15 september</v>
      </c>
      <c r="E28" s="178" t="str">
        <f>IFERROR(__xludf.DUMMYFUNCTION("""COMPUTED_VALUE"""),"https://docs.google.com/document/d/1_T-CuLyo7nWjfkrZgrfHthCQnf3_5agttdRGdfiO-3M/edit?tab=t.0")</f>
        <v>https://docs.google.com/document/d/1_T-CuLyo7nWjfkrZgrfHthCQnf3_5agttdRGdfiO-3M/edit?tab=t.0</v>
      </c>
      <c r="F28" s="53"/>
      <c r="G28" s="183" t="str">
        <f>IFERROR(__xludf.DUMMYFUNCTION("""COMPUTED_VALUE"""),"2606D162
Faizal
081280736569
Website")</f>
        <v>2606D162
Faizal
081280736569
Website</v>
      </c>
      <c r="H28" s="183" t="str">
        <f>IFERROR(__xludf.DUMMYFUNCTION("""COMPUTED_VALUE"""),"3H2M custome
46205
4 pax
Rp10.600.000")</f>
        <v>3H2M custome
46205
4 pax
Rp10.600.000</v>
      </c>
      <c r="I28" s="184" t="str">
        <f>IFERROR(__xludf.DUMMYFUNCTION("""COMPUTED_VALUE"""),"masih cek ketersediaan hotel, FU 25 Juni")</f>
        <v>masih cek ketersediaan hotel, FU 25 Juni</v>
      </c>
      <c r="J28" s="183"/>
      <c r="K28" s="186"/>
      <c r="L28" s="53"/>
      <c r="M28" s="53"/>
      <c r="N28" s="171"/>
      <c r="O28" s="170"/>
      <c r="P28" s="53"/>
      <c r="Q28" s="53"/>
      <c r="R28" s="53"/>
      <c r="S28" s="171"/>
      <c r="T28" s="170"/>
      <c r="U28" s="53"/>
      <c r="V28" s="53"/>
      <c r="W28" s="53"/>
      <c r="X28" s="171"/>
      <c r="Y28" s="170"/>
      <c r="Z28" s="170"/>
      <c r="AA28" s="170"/>
      <c r="AB28" s="170"/>
      <c r="AC28" s="170"/>
      <c r="AD28" s="53"/>
      <c r="AE28" s="53"/>
    </row>
    <row r="29" ht="22.5" customHeight="1">
      <c r="A29" s="53"/>
      <c r="B29" s="183" t="str">
        <f>IFERROR(__xludf.DUMMYFUNCTION("""COMPUTED_VALUE"""),"2604D091
Iqbal
082210722324
Instagram")</f>
        <v>2604D091
Iqbal
082210722324
Instagram</v>
      </c>
      <c r="C29" s="176" t="str">
        <f>IFERROR(__xludf.DUMMYFUNCTION("""COMPUTED_VALUE"""),"3h2m custome
150 pax
Rp0")</f>
        <v>3h2m custome
150 pax
Rp0</v>
      </c>
      <c r="D29" s="177" t="str">
        <f>IFERROR(__xludf.DUMMYFUNCTION("""COMPUTED_VALUE"""),"FU 5 Agustus")</f>
        <v>FU 5 Agustus</v>
      </c>
      <c r="E29" s="178" t="str">
        <f>IFERROR(__xludf.DUMMYFUNCTION("""COMPUTED_VALUE"""),"https://docs.google.com/document/d/1JRZn0K39ppYXfl4VxkmDOzu1LmcwBe1zyBzTdcKm8WA/edit?tab=t.0")</f>
        <v>https://docs.google.com/document/d/1JRZn0K39ppYXfl4VxkmDOzu1LmcwBe1zyBzTdcKm8WA/edit?tab=t.0</v>
      </c>
      <c r="F29" s="53"/>
      <c r="G29" s="183" t="str">
        <f>IFERROR(__xludf.DUMMYFUNCTION("""COMPUTED_VALUE"""),"2606D182
No Name MT
089518447815
Tiktok")</f>
        <v>2606D182
No Name MT
089518447815
Tiktok</v>
      </c>
      <c r="H29" s="183" t="str">
        <f>IFERROR(__xludf.DUMMYFUNCTION("""COMPUTED_VALUE"""),"OT MT
1 pax
Rp0")</f>
        <v>OT MT
1 pax
Rp0</v>
      </c>
      <c r="I29" s="184" t="str">
        <f>IFERROR(__xludf.DUMMYFUNCTION("""COMPUTED_VALUE"""),"belum ada balasan   ")</f>
        <v>belum ada balasan   </v>
      </c>
      <c r="J29" s="183"/>
      <c r="K29" s="186"/>
      <c r="L29" s="53"/>
      <c r="M29" s="53"/>
      <c r="N29" s="171"/>
      <c r="O29" s="170"/>
      <c r="P29" s="53"/>
      <c r="Q29" s="53"/>
      <c r="R29" s="53"/>
      <c r="S29" s="171"/>
      <c r="T29" s="170"/>
      <c r="U29" s="53"/>
      <c r="V29" s="53"/>
      <c r="W29" s="53"/>
      <c r="X29" s="171"/>
      <c r="Y29" s="170"/>
      <c r="Z29" s="170"/>
      <c r="AA29" s="170"/>
      <c r="AB29" s="170"/>
      <c r="AC29" s="170"/>
      <c r="AD29" s="53"/>
      <c r="AE29" s="53"/>
    </row>
    <row r="30" ht="22.5" customHeight="1">
      <c r="A30" s="53"/>
      <c r="B30" s="183" t="str">
        <f>IFERROR(__xludf.DUMMYFUNCTION("""COMPUTED_VALUE"""),"2604D096
MHJ
085361362363
Website")</f>
        <v>2604D096
MHJ
085361362363
Website</v>
      </c>
      <c r="C30" s="176" t="str">
        <f>IFERROR(__xludf.DUMMYFUNCTION("""COMPUTED_VALUE"""),"3h2m opsi B
4 pax
Rp0")</f>
        <v>3h2m opsi B
4 pax
Rp0</v>
      </c>
      <c r="D30" s="177"/>
      <c r="E30" s="178" t="str">
        <f>IFERROR(__xludf.DUMMYFUNCTION("""COMPUTED_VALUE"""),"https://docs.google.com/document/d/1ubq0Ip7xPVyg8ZBjIfFDcaQ1VmWNf-BxLe8ivWxflmQ/edit?tab=t.0")</f>
        <v>https://docs.google.com/document/d/1ubq0Ip7xPVyg8ZBjIfFDcaQ1VmWNf-BxLe8ivWxflmQ/edit?tab=t.0</v>
      </c>
      <c r="F30" s="53"/>
      <c r="G30" s="183" t="str">
        <f>IFERROR(__xludf.DUMMYFUNCTION("""COMPUTED_VALUE"""),"2607D018
Widya
081329012486
Rekomendasi")</f>
        <v>2607D018
Widya
081329012486
Rekomendasi</v>
      </c>
      <c r="H30" s="183" t="str">
        <f>IFERROR(__xludf.DUMMYFUNCTION("""COMPUTED_VALUE"""),"3H2M
4 pax
Rp13.920.000")</f>
        <v>3H2M
4 pax
Rp13.920.000</v>
      </c>
      <c r="I30" s="184" t="str">
        <f>IFERROR(__xludf.DUMMYFUNCTION("""COMPUTED_VALUE"""),"FU 4 Juli")</f>
        <v>FU 4 Juli</v>
      </c>
      <c r="J30" s="183"/>
      <c r="K30" s="186"/>
      <c r="L30" s="53"/>
      <c r="M30" s="53"/>
      <c r="N30" s="171"/>
      <c r="O30" s="187"/>
      <c r="P30" s="53"/>
      <c r="Q30" s="53"/>
      <c r="R30" s="53"/>
      <c r="S30" s="171"/>
      <c r="T30" s="170"/>
      <c r="U30" s="53"/>
      <c r="V30" s="53"/>
      <c r="W30" s="53"/>
      <c r="X30" s="171"/>
      <c r="Y30" s="170"/>
      <c r="Z30" s="170"/>
      <c r="AA30" s="170"/>
      <c r="AB30" s="170"/>
      <c r="AC30" s="170"/>
      <c r="AD30" s="53"/>
      <c r="AE30" s="53"/>
    </row>
    <row r="31" ht="22.5" customHeight="1">
      <c r="A31" s="53"/>
      <c r="B31" s="183" t="str">
        <f>IFERROR(__xludf.DUMMYFUNCTION("""COMPUTED_VALUE"""),"2604D099
Lia
0818410600
Instagram")</f>
        <v>2604D099
Lia
0818410600
Instagram</v>
      </c>
      <c r="C31" s="176" t="str">
        <f>IFERROR(__xludf.DUMMYFUNCTION("""COMPUTED_VALUE"""),"2h1m custome
4 pax
Rp0")</f>
        <v>2h1m custome
4 pax
Rp0</v>
      </c>
      <c r="D31" s="177" t="str">
        <f>IFERROR(__xludf.DUMMYFUNCTION("""COMPUTED_VALUE"""),"belum bales lagi, FU 1 Juni")</f>
        <v>belum bales lagi, FU 1 Juni</v>
      </c>
      <c r="E31" s="178" t="str">
        <f>IFERROR(__xludf.DUMMYFUNCTION("""COMPUTED_VALUE"""),"https://docs.google.com/document/d/1a2t2xh-Q_GbId736HdtjCusOSHNyn2NFhJYQLCrw0Qg/edit?tab=t.0")</f>
        <v>https://docs.google.com/document/d/1a2t2xh-Q_GbId736HdtjCusOSHNyn2NFhJYQLCrw0Qg/edit?tab=t.0</v>
      </c>
      <c r="F31" s="53"/>
      <c r="G31" s="183" t="str">
        <f>IFERROR(__xludf.DUMMYFUNCTION("""COMPUTED_VALUE"""),"2607D084
Dini
088210025988
Instagram")</f>
        <v>2607D084
Dini
088210025988
Instagram</v>
      </c>
      <c r="H31" s="183" t="str">
        <f>IFERROR(__xludf.DUMMYFUNCTION("""COMPUTED_VALUE"""),"3H2M honeymoon
2 pax
Rp0")</f>
        <v>3H2M honeymoon
2 pax
Rp0</v>
      </c>
      <c r="I31" s="184" t="str">
        <f>IFERROR(__xludf.DUMMYFUNCTION("""COMPUTED_VALUE"""),"FU 5 Agustus ")</f>
        <v>FU 5 Agustus </v>
      </c>
      <c r="J31" s="183"/>
      <c r="K31" s="186"/>
      <c r="L31" s="53"/>
      <c r="M31" s="53"/>
      <c r="N31" s="171"/>
      <c r="O31" s="170"/>
      <c r="P31" s="53"/>
      <c r="Q31" s="53"/>
      <c r="R31" s="53"/>
      <c r="S31" s="171"/>
      <c r="T31" s="170"/>
      <c r="U31" s="53"/>
      <c r="V31" s="53"/>
      <c r="W31" s="53"/>
      <c r="X31" s="171"/>
      <c r="Y31" s="170"/>
      <c r="Z31" s="170"/>
      <c r="AA31" s="170"/>
      <c r="AB31" s="170"/>
      <c r="AC31" s="170"/>
      <c r="AD31" s="53"/>
      <c r="AE31" s="53"/>
    </row>
    <row r="32" ht="22.5" customHeight="1">
      <c r="A32" s="53"/>
      <c r="B32" s="183" t="str">
        <f>IFERROR(__xludf.DUMMYFUNCTION("""COMPUTED_VALUE"""),"2604D106
Sri Redjeki
08156515877
Website")</f>
        <v>2604D106
Sri Redjeki
08156515877
Website</v>
      </c>
      <c r="C32" s="176" t="str">
        <f>IFERROR(__xludf.DUMMYFUNCTION("""COMPUTED_VALUE"""),"trip 4h3m
 pax
Rp0")</f>
        <v>trip 4h3m
 pax
Rp0</v>
      </c>
      <c r="D32" s="177" t="str">
        <f>IFERROR(__xludf.DUMMYFUNCTION("""COMPUTED_VALUE"""),"nyari temen dulu, FU 2 Juni")</f>
        <v>nyari temen dulu, FU 2 Juni</v>
      </c>
      <c r="E32" s="178" t="str">
        <f>IFERROR(__xludf.DUMMYFUNCTION("""COMPUTED_VALUE"""),"https://docs.google.com/document/d/1o23ao31TurwoyYl_Fxn4HKpRIQ5AZViwXjLqiK9LHcc/edit?tab=t.0")</f>
        <v>https://docs.google.com/document/d/1o23ao31TurwoyYl_Fxn4HKpRIQ5AZViwXjLqiK9LHcc/edit?tab=t.0</v>
      </c>
      <c r="F32" s="53"/>
      <c r="G32" s="183" t="str">
        <f>IFERROR(__xludf.DUMMYFUNCTION("""COMPUTED_VALUE"""),"2607D146
Aan Mardiah
082121804806
Website")</f>
        <v>2607D146
Aan Mardiah
082121804806
Website</v>
      </c>
      <c r="H32" s="183" t="str">
        <f>IFERROR(__xludf.DUMMYFUNCTION("""COMPUTED_VALUE"""),"3H2M opsi A
18 pax
Rp0")</f>
        <v>3H2M opsi A
18 pax
Rp0</v>
      </c>
      <c r="I32" s="184" t="str">
        <f>IFERROR(__xludf.DUMMYFUNCTION("""COMPUTED_VALUE"""),"tanggal nya blm tau, FU 5 Agustus")</f>
        <v>tanggal nya blm tau, FU 5 Agustus</v>
      </c>
      <c r="J32" s="183"/>
      <c r="K32" s="186"/>
      <c r="L32" s="53"/>
      <c r="M32" s="53"/>
      <c r="N32" s="171"/>
      <c r="O32" s="170"/>
      <c r="P32" s="53"/>
      <c r="Q32" s="53"/>
      <c r="R32" s="53"/>
      <c r="S32" s="171"/>
      <c r="T32" s="170"/>
      <c r="U32" s="53"/>
      <c r="V32" s="53"/>
      <c r="W32" s="53"/>
      <c r="X32" s="171"/>
      <c r="Y32" s="170"/>
      <c r="Z32" s="170"/>
      <c r="AA32" s="170"/>
      <c r="AB32" s="170"/>
      <c r="AC32" s="170"/>
      <c r="AD32" s="53"/>
      <c r="AE32" s="53"/>
    </row>
    <row r="33" ht="22.5" customHeight="1">
      <c r="A33" s="53"/>
      <c r="B33" s="183" t="str">
        <f>IFERROR(__xludf.DUMMYFUNCTION("""COMPUTED_VALUE"""),"2604D112
Yuli
085779434648
Instagram")</f>
        <v>2604D112
Yuli
085779434648
Instagram</v>
      </c>
      <c r="C33" s="176" t="str">
        <f>IFERROR(__xludf.DUMMYFUNCTION("""COMPUTED_VALUE"""),"OT 3h2m
3 pax
Rp0")</f>
        <v>OT 3h2m
3 pax
Rp0</v>
      </c>
      <c r="D33" s="177" t="str">
        <f>IFERROR(__xludf.DUMMYFUNCTION("""COMPUTED_VALUE"""),"bilang ke temen, FU 8 Juni")</f>
        <v>bilang ke temen, FU 8 Juni</v>
      </c>
      <c r="E33" s="178" t="str">
        <f>IFERROR(__xludf.DUMMYFUNCTION("""COMPUTED_VALUE"""),"https://docs.google.com/document/d/1uKnkM18Fe91cFflSBe0nc4YXygjnGQozE03oMr8vpH4/edit?tab=t.0")</f>
        <v>https://docs.google.com/document/d/1uKnkM18Fe91cFflSBe0nc4YXygjnGQozE03oMr8vpH4/edit?tab=t.0</v>
      </c>
      <c r="F33" s="53"/>
      <c r="G33" s="183" t="str">
        <f>IFERROR(__xludf.DUMMYFUNCTION("""COMPUTED_VALUE"""),"2607D152
Nisss
0895366615340
Instagram")</f>
        <v>2607D152
Nisss
0895366615340
Instagram</v>
      </c>
      <c r="H33" s="183" t="str">
        <f>IFERROR(__xludf.DUMMYFUNCTION("""COMPUTED_VALUE"""),"OT 3H2M
3 pax
Rp4.800.000")</f>
        <v>OT 3H2M
3 pax
Rp4.800.000</v>
      </c>
      <c r="I33" s="184" t="str">
        <f>IFERROR(__xludf.DUMMYFUNCTION("""COMPUTED_VALUE"""),"belum tau tanggalnya, FU 30 Juli")</f>
        <v>belum tau tanggalnya, FU 30 Juli</v>
      </c>
      <c r="J33" s="183"/>
      <c r="K33" s="186"/>
      <c r="L33" s="53"/>
      <c r="M33" s="53"/>
      <c r="N33" s="171"/>
      <c r="O33" s="170"/>
      <c r="P33" s="53"/>
      <c r="Q33" s="53"/>
      <c r="R33" s="53"/>
      <c r="S33" s="171"/>
      <c r="T33" s="170"/>
      <c r="U33" s="53"/>
      <c r="V33" s="53"/>
      <c r="W33" s="53"/>
      <c r="X33" s="171"/>
      <c r="Y33" s="170"/>
      <c r="Z33" s="170"/>
      <c r="AA33" s="170"/>
      <c r="AB33" s="170"/>
      <c r="AC33" s="170"/>
      <c r="AD33" s="53"/>
      <c r="AE33" s="53"/>
    </row>
    <row r="34" ht="22.5" customHeight="1">
      <c r="A34" s="53"/>
      <c r="B34" s="183" t="str">
        <f>IFERROR(__xludf.DUMMYFUNCTION("""COMPUTED_VALUE"""),"2604D114
Aprida
085642365218
Instagram")</f>
        <v>2604D114
Aprida
085642365218
Instagram</v>
      </c>
      <c r="C34" s="176" t="str">
        <f>IFERROR(__xludf.DUMMYFUNCTION("""COMPUTED_VALUE"""),"1 day trip
2 pax
Rp0")</f>
        <v>1 day trip
2 pax
Rp0</v>
      </c>
      <c r="D34" s="177" t="str">
        <f>IFERROR(__xludf.DUMMYFUNCTION("""COMPUTED_VALUE"""),"sudah kasih 2 opsi, FU 3 Juni")</f>
        <v>sudah kasih 2 opsi, FU 3 Juni</v>
      </c>
      <c r="E34" s="178" t="str">
        <f>IFERROR(__xludf.DUMMYFUNCTION("""COMPUTED_VALUE"""),"https://docs.google.com/document/d/1kZ8sC95ZVys9F7tzKPfFAOA9ZTL8W7zP-Ie392VQKTk/edit?tab=t.0")</f>
        <v>https://docs.google.com/document/d/1kZ8sC95ZVys9F7tzKPfFAOA9ZTL8W7zP-Ie392VQKTk/edit?tab=t.0</v>
      </c>
      <c r="F34" s="53"/>
      <c r="G34" s="183" t="str">
        <f>IFERROR(__xludf.DUMMYFUNCTION("""COMPUTED_VALUE"""),"2607D163
Vega
081219148054
Instagram")</f>
        <v>2607D163
Vega
081219148054
Instagram</v>
      </c>
      <c r="H34" s="183" t="str">
        <f>IFERROR(__xludf.DUMMYFUNCTION("""COMPUTED_VALUE"""),"OT MT
46229
1 pax
Rp275.000")</f>
        <v>OT MT
46229
1 pax
Rp275.000</v>
      </c>
      <c r="I34" s="184"/>
      <c r="J34" s="183"/>
      <c r="K34" s="186"/>
      <c r="L34" s="53"/>
      <c r="M34" s="53"/>
      <c r="N34" s="171"/>
      <c r="O34" s="170"/>
      <c r="P34" s="53"/>
      <c r="Q34" s="53"/>
      <c r="R34" s="53"/>
      <c r="S34" s="171"/>
      <c r="T34" s="170"/>
      <c r="U34" s="53"/>
      <c r="V34" s="53"/>
      <c r="W34" s="53"/>
      <c r="X34" s="171"/>
      <c r="Y34" s="170"/>
      <c r="Z34" s="170"/>
      <c r="AA34" s="170"/>
      <c r="AB34" s="170"/>
      <c r="AC34" s="170"/>
      <c r="AD34" s="53"/>
      <c r="AE34" s="53"/>
    </row>
    <row r="35" ht="22.5" customHeight="1">
      <c r="A35" s="53"/>
      <c r="B35" s="183" t="str">
        <f>IFERROR(__xludf.DUMMYFUNCTION("""COMPUTED_VALUE"""),"2604D132
Bambang
08112484200
Website")</f>
        <v>2604D132
Bambang
08112484200
Website</v>
      </c>
      <c r="C35" s="176" t="str">
        <f>IFERROR(__xludf.DUMMYFUNCTION("""COMPUTED_VALUE"""),"3h2m
30 pax
Rp0")</f>
        <v>3h2m
30 pax
Rp0</v>
      </c>
      <c r="D35" s="177" t="str">
        <f>IFERROR(__xludf.DUMMYFUNCTION("""COMPUTED_VALUE"""),"sudah kirim penawaran 2 opsi paket, FU 10 Juni")</f>
        <v>sudah kirim penawaran 2 opsi paket, FU 10 Juni</v>
      </c>
      <c r="E35" s="178" t="str">
        <f>IFERROR(__xludf.DUMMYFUNCTION("""COMPUTED_VALUE"""),"https://docs.google.com/document/d/1RZeYAuufxwMiCdA-lLrG6KxYBPvONNJ90nnjpmOoD8g/edit?tab=t.0")</f>
        <v>https://docs.google.com/document/d/1RZeYAuufxwMiCdA-lLrG6KxYBPvONNJ90nnjpmOoD8g/edit?tab=t.0</v>
      </c>
      <c r="F35" s="53"/>
      <c r="G35" s="183"/>
      <c r="H35" s="183"/>
      <c r="I35" s="184"/>
      <c r="J35" s="183"/>
      <c r="K35" s="186"/>
      <c r="L35" s="53"/>
      <c r="M35" s="53"/>
      <c r="N35" s="171"/>
      <c r="O35" s="170"/>
      <c r="P35" s="53"/>
      <c r="Q35" s="53"/>
      <c r="R35" s="53"/>
      <c r="S35" s="171"/>
      <c r="T35" s="170"/>
      <c r="U35" s="53"/>
      <c r="V35" s="53"/>
      <c r="W35" s="53"/>
      <c r="X35" s="171"/>
      <c r="Y35" s="170"/>
      <c r="Z35" s="170"/>
      <c r="AA35" s="170"/>
      <c r="AB35" s="170"/>
      <c r="AC35" s="170"/>
      <c r="AD35" s="53"/>
      <c r="AE35" s="53"/>
    </row>
    <row r="36" ht="22.5" customHeight="1">
      <c r="A36" s="53"/>
      <c r="B36" s="183" t="str">
        <f>IFERROR(__xludf.DUMMYFUNCTION("""COMPUTED_VALUE"""),"2604D133
Repli Despriyanto
081218371755
Instagram")</f>
        <v>2604D133
Repli Despriyanto
081218371755
Instagram</v>
      </c>
      <c r="C36" s="176" t="str">
        <f>IFERROR(__xludf.DUMMYFUNCTION("""COMPUTED_VALUE"""),"3h2m opsi A
46240 pax
Rp0")</f>
        <v>3h2m opsi A
46240 pax
Rp0</v>
      </c>
      <c r="D36" s="177" t="str">
        <f>IFERROR(__xludf.DUMMYFUNCTION("""COMPUTED_VALUE"""),"diskus dulu, FU 12 Juli")</f>
        <v>diskus dulu, FU 12 Juli</v>
      </c>
      <c r="E36" s="178" t="str">
        <f>IFERROR(__xludf.DUMMYFUNCTION("""COMPUTED_VALUE"""),"https://docs.google.com/document/d/1w6jTgO3RJfzf-x01EvkuPqKmjHIeul8R4Gh4WhbSbiE/edit?tab=t.0")</f>
        <v>https://docs.google.com/document/d/1w6jTgO3RJfzf-x01EvkuPqKmjHIeul8R4Gh4WhbSbiE/edit?tab=t.0</v>
      </c>
      <c r="F36" s="53"/>
      <c r="G36" s="183"/>
      <c r="H36" s="183"/>
      <c r="I36" s="184"/>
      <c r="J36" s="183"/>
      <c r="K36" s="186"/>
      <c r="L36" s="53"/>
      <c r="M36" s="53"/>
      <c r="N36" s="171"/>
      <c r="O36" s="170"/>
      <c r="P36" s="53"/>
      <c r="Q36" s="53"/>
      <c r="R36" s="53"/>
      <c r="S36" s="171"/>
      <c r="T36" s="170"/>
      <c r="U36" s="53"/>
      <c r="V36" s="53"/>
      <c r="W36" s="53"/>
      <c r="X36" s="171"/>
      <c r="Y36" s="170"/>
      <c r="Z36" s="170"/>
      <c r="AA36" s="170"/>
      <c r="AB36" s="170"/>
      <c r="AC36" s="170"/>
      <c r="AD36" s="53"/>
      <c r="AE36" s="53"/>
    </row>
    <row r="37" ht="22.5" customHeight="1">
      <c r="A37" s="53"/>
      <c r="B37" s="183" t="str">
        <f>IFERROR(__xludf.DUMMYFUNCTION("""COMPUTED_VALUE"""),"2605D010
Elyus
085204750074
Lainnya")</f>
        <v>2605D010
Elyus
085204750074
Lainnya</v>
      </c>
      <c r="C37" s="176" t="str">
        <f>IFERROR(__xludf.DUMMYFUNCTION("""COMPUTED_VALUE"""),"3h2m custome
50 pax
Rp0")</f>
        <v>3h2m custome
50 pax
Rp0</v>
      </c>
      <c r="D37" s="177" t="str">
        <f>IFERROR(__xludf.DUMMYFUNCTION("""COMPUTED_VALUE"""),"B2B masih blm ada jawaban, FU  13 Juni")</f>
        <v>B2B masih blm ada jawaban, FU  13 Juni</v>
      </c>
      <c r="E37" s="178" t="str">
        <f>IFERROR(__xludf.DUMMYFUNCTION("""COMPUTED_VALUE"""),"https://docs.google.com/document/d/1Lf-LbXOi-qB-iaZZeumqmCheNk3IVriVuYCFtobORA0/edit?tab=t.0")</f>
        <v>https://docs.google.com/document/d/1Lf-LbXOi-qB-iaZZeumqmCheNk3IVriVuYCFtobORA0/edit?tab=t.0</v>
      </c>
      <c r="F37" s="53"/>
      <c r="G37" s="183"/>
      <c r="H37" s="183"/>
      <c r="I37" s="184"/>
      <c r="J37" s="183"/>
      <c r="K37" s="186"/>
      <c r="L37" s="53"/>
      <c r="M37" s="53"/>
      <c r="N37" s="171"/>
      <c r="O37" s="170"/>
      <c r="P37" s="53"/>
      <c r="Q37" s="53"/>
      <c r="R37" s="53"/>
      <c r="S37" s="171"/>
      <c r="T37" s="170"/>
      <c r="U37" s="53"/>
      <c r="V37" s="53"/>
      <c r="W37" s="53"/>
      <c r="X37" s="171"/>
      <c r="Y37" s="170"/>
      <c r="Z37" s="170"/>
      <c r="AA37" s="170"/>
      <c r="AB37" s="170"/>
      <c r="AC37" s="170"/>
      <c r="AD37" s="53"/>
      <c r="AE37" s="53"/>
    </row>
    <row r="38" ht="22.5" customHeight="1">
      <c r="A38" s="53"/>
      <c r="B38" s="183" t="str">
        <f>IFERROR(__xludf.DUMMYFUNCTION("""COMPUTED_VALUE"""),"2605D014
Anggita Oktavia
081807903434
Instagram")</f>
        <v>2605D014
Anggita Oktavia
081807903434
Instagram</v>
      </c>
      <c r="C38" s="176" t="str">
        <f>IFERROR(__xludf.DUMMYFUNCTION("""COMPUTED_VALUE"""),"4h3m
46206
44 pax
Rp0")</f>
        <v>4h3m
46206
44 pax
Rp0</v>
      </c>
      <c r="D38" s="177" t="str">
        <f>IFERROR(__xludf.DUMMYFUNCTION("""COMPUTED_VALUE"""),"kirim penawaran, FU lagi 1 juni")</f>
        <v>kirim penawaran, FU lagi 1 juni</v>
      </c>
      <c r="E38" s="178" t="str">
        <f>IFERROR(__xludf.DUMMYFUNCTION("""COMPUTED_VALUE"""),"https://docs.google.com/document/d/1oHoo0h0KIE9ZojSF9tN8i-whNzw1nD7doKEFA7u9CJM/edit?usp=sharing")</f>
        <v>https://docs.google.com/document/d/1oHoo0h0KIE9ZojSF9tN8i-whNzw1nD7doKEFA7u9CJM/edit?usp=sharing</v>
      </c>
      <c r="F38" s="53"/>
      <c r="G38" s="183"/>
      <c r="H38" s="183"/>
      <c r="I38" s="184"/>
      <c r="J38" s="183"/>
      <c r="K38" s="186"/>
      <c r="L38" s="53"/>
      <c r="M38" s="53"/>
      <c r="N38" s="171"/>
      <c r="O38" s="170"/>
      <c r="P38" s="53"/>
      <c r="Q38" s="53"/>
      <c r="R38" s="53"/>
      <c r="S38" s="171"/>
      <c r="T38" s="170"/>
      <c r="U38" s="53"/>
      <c r="V38" s="53"/>
      <c r="W38" s="53"/>
      <c r="X38" s="171"/>
      <c r="Y38" s="170"/>
      <c r="Z38" s="170"/>
      <c r="AA38" s="170"/>
      <c r="AB38" s="170"/>
      <c r="AC38" s="170"/>
      <c r="AD38" s="53"/>
      <c r="AE38" s="53"/>
    </row>
    <row r="39" ht="22.5" customHeight="1">
      <c r="A39" s="53"/>
      <c r="B39" s="183" t="str">
        <f>IFERROR(__xludf.DUMMYFUNCTION("""COMPUTED_VALUE"""),"2605D019
Sandychantyka
085864140226
Instagram")</f>
        <v>2605D019
Sandychantyka
085864140226
Instagram</v>
      </c>
      <c r="C39" s="176" t="str">
        <f>IFERROR(__xludf.DUMMYFUNCTION("""COMPUTED_VALUE"""),"2h1m Opsi C
2 pax
Rp0")</f>
        <v>2h1m Opsi C
2 pax
Rp0</v>
      </c>
      <c r="D39" s="177" t="str">
        <f>IFERROR(__xludf.DUMMYFUNCTION("""COMPUTED_VALUE"""),"kalo jadi akan dihubungi lagii")</f>
        <v>kalo jadi akan dihubungi lagii</v>
      </c>
      <c r="E39" s="178" t="str">
        <f>IFERROR(__xludf.DUMMYFUNCTION("""COMPUTED_VALUE"""),"https://docs.google.com/document/d/1dyP1DzjpVtL4dEedf_0GH93y3aGmSGBvCrAH0ja_CyQ/edit?tab=t.0")</f>
        <v>https://docs.google.com/document/d/1dyP1DzjpVtL4dEedf_0GH93y3aGmSGBvCrAH0ja_CyQ/edit?tab=t.0</v>
      </c>
      <c r="F39" s="53"/>
      <c r="G39" s="183"/>
      <c r="H39" s="183"/>
      <c r="I39" s="184"/>
      <c r="J39" s="183"/>
      <c r="K39" s="186"/>
      <c r="L39" s="53"/>
      <c r="M39" s="53"/>
      <c r="N39" s="171"/>
      <c r="O39" s="170"/>
      <c r="P39" s="53"/>
      <c r="Q39" s="53"/>
      <c r="R39" s="53"/>
      <c r="S39" s="171"/>
      <c r="T39" s="170"/>
      <c r="U39" s="53"/>
      <c r="V39" s="53"/>
      <c r="W39" s="53"/>
      <c r="X39" s="171"/>
      <c r="Y39" s="170"/>
      <c r="Z39" s="170"/>
      <c r="AA39" s="170"/>
      <c r="AB39" s="170"/>
      <c r="AC39" s="170"/>
      <c r="AD39" s="53"/>
      <c r="AE39" s="53"/>
    </row>
    <row r="40" ht="22.5" customHeight="1">
      <c r="A40" s="53"/>
      <c r="B40" s="183" t="str">
        <f>IFERROR(__xludf.DUMMYFUNCTION("""COMPUTED_VALUE"""),"2605D024
Wahyu Ismail
087738979188
Lainnya")</f>
        <v>2605D024
Wahyu Ismail
087738979188
Lainnya</v>
      </c>
      <c r="C40" s="176" t="str">
        <f>IFERROR(__xludf.DUMMYFUNCTION("""COMPUTED_VALUE"""),"
 pax
Rp0")</f>
        <v>
 pax
Rp0</v>
      </c>
      <c r="D40" s="177" t="str">
        <f>IFERROR(__xludf.DUMMYFUNCTION("""COMPUTED_VALUE"""),"B2B")</f>
        <v>B2B</v>
      </c>
      <c r="E40" s="178" t="str">
        <f>IFERROR(__xludf.DUMMYFUNCTION("""COMPUTED_VALUE"""),"https://docs.google.com/document/d/1-yIpC01ZGDcoSgBQczirpYBq5zg0qIol8COZIov61RQ/edit?usp=sharing")</f>
        <v>https://docs.google.com/document/d/1-yIpC01ZGDcoSgBQczirpYBq5zg0qIol8COZIov61RQ/edit?usp=sharing</v>
      </c>
      <c r="F40" s="53"/>
      <c r="G40" s="183"/>
      <c r="H40" s="183"/>
      <c r="I40" s="184"/>
      <c r="J40" s="183"/>
      <c r="K40" s="186"/>
      <c r="L40" s="53"/>
      <c r="M40" s="53"/>
      <c r="N40" s="171"/>
      <c r="O40" s="170"/>
      <c r="P40" s="53"/>
      <c r="Q40" s="53"/>
      <c r="R40" s="53"/>
      <c r="S40" s="171"/>
      <c r="T40" s="170"/>
      <c r="U40" s="53"/>
      <c r="V40" s="53"/>
      <c r="W40" s="53"/>
      <c r="X40" s="171"/>
      <c r="Y40" s="170"/>
      <c r="Z40" s="170"/>
      <c r="AA40" s="170"/>
      <c r="AB40" s="170"/>
      <c r="AC40" s="170"/>
      <c r="AD40" s="53"/>
      <c r="AE40" s="53"/>
    </row>
    <row r="41" ht="22.5" customHeight="1">
      <c r="A41" s="53"/>
      <c r="B41" s="183" t="str">
        <f>IFERROR(__xludf.DUMMYFUNCTION("""COMPUTED_VALUE"""),"2605D028
Fakhri
082220555002
Website")</f>
        <v>2605D028
Fakhri
082220555002
Website</v>
      </c>
      <c r="C41" s="176" t="str">
        <f>IFERROR(__xludf.DUMMYFUNCTION("""COMPUTED_VALUE"""),"4H3M
2 pax
Rp0")</f>
        <v>4H3M
2 pax
Rp0</v>
      </c>
      <c r="D41" s="177" t="str">
        <f>IFERROR(__xludf.DUMMYFUNCTION("""COMPUTED_VALUE"""),"sudah kasih harga, FU 11 Juni")</f>
        <v>sudah kasih harga, FU 11 Juni</v>
      </c>
      <c r="E41" s="178" t="str">
        <f>IFERROR(__xludf.DUMMYFUNCTION("""COMPUTED_VALUE"""),"https://docs.google.com/document/d/1NtlzGZDLfNlt1971pPrT4aFEB86nNTHmGbbDZtSIAKk/edit?usp=sharing")</f>
        <v>https://docs.google.com/document/d/1NtlzGZDLfNlt1971pPrT4aFEB86nNTHmGbbDZtSIAKk/edit?usp=sharing</v>
      </c>
      <c r="F41" s="53"/>
      <c r="G41" s="183"/>
      <c r="H41" s="183"/>
      <c r="I41" s="184"/>
      <c r="J41" s="183"/>
      <c r="K41" s="186"/>
      <c r="L41" s="53"/>
      <c r="M41" s="53"/>
      <c r="N41" s="171"/>
      <c r="O41" s="170"/>
      <c r="P41" s="53"/>
      <c r="Q41" s="53"/>
      <c r="R41" s="53"/>
      <c r="S41" s="171"/>
      <c r="T41" s="170"/>
      <c r="U41" s="53"/>
      <c r="V41" s="53"/>
      <c r="W41" s="53"/>
      <c r="X41" s="171"/>
      <c r="Y41" s="170"/>
      <c r="Z41" s="170"/>
      <c r="AA41" s="170"/>
      <c r="AB41" s="170"/>
      <c r="AC41" s="170"/>
      <c r="AD41" s="53"/>
      <c r="AE41" s="53"/>
    </row>
    <row r="42" ht="22.5" customHeight="1">
      <c r="A42" s="53"/>
      <c r="B42" s="183" t="str">
        <f>IFERROR(__xludf.DUMMYFUNCTION("""COMPUTED_VALUE"""),"2605D035
Mama Boy
60102003144
Website")</f>
        <v>2605D035
Mama Boy
60102003144
Website</v>
      </c>
      <c r="C42" s="176" t="str">
        <f>IFERROR(__xludf.DUMMYFUNCTION("""COMPUTED_VALUE"""),"2h1m opsi c
3 pax
Rp0")</f>
        <v>2h1m opsi c
3 pax
Rp0</v>
      </c>
      <c r="D42" s="177" t="str">
        <f>IFERROR(__xludf.DUMMYFUNCTION("""COMPUTED_VALUE"""),"masih diskuss")</f>
        <v>masih diskuss</v>
      </c>
      <c r="E42" s="178" t="str">
        <f>IFERROR(__xludf.DUMMYFUNCTION("""COMPUTED_VALUE"""),"https://docs.google.com/document/d/1xPan_0giyffBX4xkJJkx1CbbXnWtbmRsjkDBBx6vTFY/edit?usp=sharing")</f>
        <v>https://docs.google.com/document/d/1xPan_0giyffBX4xkJJkx1CbbXnWtbmRsjkDBBx6vTFY/edit?usp=sharing</v>
      </c>
      <c r="F42" s="53"/>
      <c r="G42" s="183"/>
      <c r="H42" s="183"/>
      <c r="I42" s="184"/>
      <c r="J42" s="183"/>
      <c r="K42" s="186"/>
      <c r="L42" s="53"/>
      <c r="M42" s="53"/>
      <c r="N42" s="171"/>
      <c r="O42" s="170"/>
      <c r="P42" s="53"/>
      <c r="Q42" s="53"/>
      <c r="R42" s="53"/>
      <c r="S42" s="171"/>
      <c r="T42" s="170"/>
      <c r="U42" s="53"/>
      <c r="V42" s="53"/>
      <c r="W42" s="53"/>
      <c r="X42" s="171"/>
      <c r="Y42" s="170"/>
      <c r="Z42" s="170"/>
      <c r="AA42" s="170"/>
      <c r="AB42" s="170"/>
      <c r="AC42" s="170"/>
      <c r="AD42" s="53"/>
      <c r="AE42" s="53"/>
    </row>
    <row r="43" ht="22.5" customHeight="1">
      <c r="A43" s="53"/>
      <c r="B43" s="53" t="str">
        <f>IFERROR(__xludf.DUMMYFUNCTION("""COMPUTED_VALUE"""),"2605D038
Regina DA
081253317588
Instagram")</f>
        <v>2605D038
Regina DA
081253317588
Instagram</v>
      </c>
      <c r="C43" s="168" t="str">
        <f>IFERROR(__xludf.DUMMYFUNCTION("""COMPUTED_VALUE"""),"trip 2h1m custome GI,I
2 pax
Rp0")</f>
        <v>trip 2h1m custome GI,I
2 pax
Rp0</v>
      </c>
      <c r="D43" s="169"/>
      <c r="E43" s="188" t="str">
        <f>IFERROR(__xludf.DUMMYFUNCTION("""COMPUTED_VALUE"""),"https://docs.google.com/document/d/1IcU39YlcONko4OhP92nIf2FY_6RStNqsi3fxy-nVFhw/edit?usp=sharing")</f>
        <v>https://docs.google.com/document/d/1IcU39YlcONko4OhP92nIf2FY_6RStNqsi3fxy-nVFhw/edit?usp=sharing</v>
      </c>
      <c r="F43" s="53"/>
      <c r="G43" s="183"/>
      <c r="H43" s="183"/>
      <c r="I43" s="184"/>
      <c r="J43" s="183"/>
      <c r="K43" s="186"/>
      <c r="L43" s="53"/>
      <c r="M43" s="53"/>
      <c r="N43" s="171"/>
      <c r="O43" s="170"/>
      <c r="P43" s="53"/>
      <c r="Q43" s="53"/>
      <c r="R43" s="53"/>
      <c r="S43" s="171"/>
      <c r="T43" s="170"/>
      <c r="U43" s="53"/>
      <c r="V43" s="53"/>
      <c r="W43" s="53"/>
      <c r="X43" s="171"/>
      <c r="Y43" s="170"/>
      <c r="Z43" s="170"/>
      <c r="AA43" s="170"/>
      <c r="AB43" s="170"/>
      <c r="AC43" s="170"/>
      <c r="AD43" s="53"/>
      <c r="AE43" s="53"/>
    </row>
    <row r="44" ht="22.5" customHeight="1">
      <c r="A44" s="53"/>
      <c r="B44" s="53" t="str">
        <f>IFERROR(__xludf.DUMMYFUNCTION("""COMPUTED_VALUE"""),"2605D039
Laksana
081323536688
Instagram")</f>
        <v>2605D039
Laksana
081323536688
Instagram</v>
      </c>
      <c r="C44" s="168" t="str">
        <f>IFERROR(__xludf.DUMMYFUNCTION("""COMPUTED_VALUE"""),"2h1m opsi B
40 pax
Rp0")</f>
        <v>2h1m opsi B
40 pax
Rp0</v>
      </c>
      <c r="D44" s="169" t="str">
        <f>IFERROR(__xludf.DUMMYFUNCTION("""COMPUTED_VALUE"""),"minta penawaran, belum tau trip nya kapan")</f>
        <v>minta penawaran, belum tau trip nya kapan</v>
      </c>
      <c r="E44" s="188" t="str">
        <f>IFERROR(__xludf.DUMMYFUNCTION("""COMPUTED_VALUE"""),"https://docs.google.com/document/d/1JQuoQnXo77V-gAoncDa2yTF-WFWwq7xoUi0JIb1gglI/edit?usp=sharing")</f>
        <v>https://docs.google.com/document/d/1JQuoQnXo77V-gAoncDa2yTF-WFWwq7xoUi0JIb1gglI/edit?usp=sharing</v>
      </c>
      <c r="F44" s="53"/>
      <c r="G44" s="183"/>
      <c r="H44" s="183"/>
      <c r="I44" s="184"/>
      <c r="J44" s="183"/>
      <c r="K44" s="186"/>
      <c r="L44" s="53"/>
      <c r="M44" s="53"/>
      <c r="N44" s="171"/>
      <c r="O44" s="170"/>
      <c r="P44" s="53"/>
      <c r="Q44" s="53"/>
      <c r="R44" s="53"/>
      <c r="S44" s="171"/>
      <c r="T44" s="170"/>
      <c r="U44" s="53"/>
      <c r="V44" s="53"/>
      <c r="W44" s="53"/>
      <c r="X44" s="171"/>
      <c r="Y44" s="170"/>
      <c r="Z44" s="170"/>
      <c r="AA44" s="170"/>
      <c r="AB44" s="170"/>
      <c r="AC44" s="170"/>
      <c r="AD44" s="53"/>
      <c r="AE44" s="53"/>
    </row>
    <row r="45" ht="22.5" customHeight="1">
      <c r="A45" s="53"/>
      <c r="B45" s="53" t="str">
        <f>IFERROR(__xludf.DUMMYFUNCTION("""COMPUTED_VALUE"""),"2605D053
Fitri Ramayanti
085771154647
Website")</f>
        <v>2605D053
Fitri Ramayanti
085771154647
Website</v>
      </c>
      <c r="C45" s="168" t="str">
        <f>IFERROR(__xludf.DUMMYFUNCTION("""COMPUTED_VALUE"""),"4h3m
46177 pax
Rp0")</f>
        <v>4h3m
46177 pax
Rp0</v>
      </c>
      <c r="D45" s="169" t="str">
        <f>IFERROR(__xludf.DUMMYFUNCTION("""COMPUTED_VALUE"""),"sudah share penawaran")</f>
        <v>sudah share penawaran</v>
      </c>
      <c r="E45" s="188" t="str">
        <f>IFERROR(__xludf.DUMMYFUNCTION("""COMPUTED_VALUE"""),"https://docs.google.com/document/d/1TypYMg3aYXCbvMtvL4Kecfq4ZczuTgRbJoXE0MWp8h8/edit?usp=sharing")</f>
        <v>https://docs.google.com/document/d/1TypYMg3aYXCbvMtvL4Kecfq4ZczuTgRbJoXE0MWp8h8/edit?usp=sharing</v>
      </c>
      <c r="F45" s="53"/>
      <c r="G45" s="183"/>
      <c r="H45" s="183"/>
      <c r="I45" s="184"/>
      <c r="J45" s="183"/>
      <c r="K45" s="186"/>
      <c r="L45" s="53"/>
      <c r="M45" s="53"/>
      <c r="N45" s="171"/>
      <c r="O45" s="170"/>
      <c r="P45" s="53"/>
      <c r="Q45" s="53"/>
      <c r="R45" s="53"/>
      <c r="S45" s="171"/>
      <c r="T45" s="170"/>
      <c r="U45" s="53"/>
      <c r="V45" s="53"/>
      <c r="W45" s="53"/>
      <c r="X45" s="171"/>
      <c r="Y45" s="170"/>
      <c r="Z45" s="170"/>
      <c r="AA45" s="170"/>
      <c r="AB45" s="170"/>
      <c r="AC45" s="170"/>
      <c r="AD45" s="53"/>
      <c r="AE45" s="53"/>
    </row>
    <row r="46" ht="22.5" customHeight="1">
      <c r="A46" s="53"/>
      <c r="B46" s="53" t="str">
        <f>IFERROR(__xludf.DUMMYFUNCTION("""COMPUTED_VALUE"""),"2605D054
Diego
34665076750
Instagram")</f>
        <v>2605D054
Diego
34665076750
Instagram</v>
      </c>
      <c r="C46" s="168" t="str">
        <f>IFERROR(__xludf.DUMMYFUNCTION("""COMPUTED_VALUE"""),"1 day trip Baluran
46295
2 pax
Rp0")</f>
        <v>1 day trip Baluran
46295
2 pax
Rp0</v>
      </c>
      <c r="D46" s="169"/>
      <c r="E46" s="188" t="str">
        <f>IFERROR(__xludf.DUMMYFUNCTION("""COMPUTED_VALUE"""),"https://docs.google.com/document/d/1KsUZiEOpey8CauwBJNMim9b7gTbcYdB7kkQmJUa8kP0/edit?usp=sharing")</f>
        <v>https://docs.google.com/document/d/1KsUZiEOpey8CauwBJNMim9b7gTbcYdB7kkQmJUa8kP0/edit?usp=sharing</v>
      </c>
      <c r="F46" s="53"/>
      <c r="G46" s="183"/>
      <c r="H46" s="183"/>
      <c r="I46" s="184"/>
      <c r="J46" s="183"/>
      <c r="K46" s="186"/>
      <c r="L46" s="53"/>
      <c r="M46" s="53"/>
      <c r="N46" s="171"/>
      <c r="O46" s="170"/>
      <c r="P46" s="53"/>
      <c r="Q46" s="53"/>
      <c r="R46" s="53"/>
      <c r="S46" s="171"/>
      <c r="T46" s="170"/>
      <c r="U46" s="53"/>
      <c r="V46" s="53"/>
      <c r="W46" s="53"/>
      <c r="X46" s="171"/>
      <c r="Y46" s="170"/>
      <c r="Z46" s="170"/>
      <c r="AA46" s="170"/>
      <c r="AB46" s="170"/>
      <c r="AC46" s="170"/>
      <c r="AD46" s="53"/>
      <c r="AE46" s="53"/>
    </row>
    <row r="47">
      <c r="A47" s="53"/>
      <c r="B47" s="53" t="str">
        <f>IFERROR(__xludf.DUMMYFUNCTION("""COMPUTED_VALUE"""),"2605D056
No Name Fredive
082143930913
Website")</f>
        <v>2605D056
No Name Fredive
082143930913
Website</v>
      </c>
      <c r="C47" s="168" t="str">
        <f>IFERROR(__xludf.DUMMYFUNCTION("""COMPUTED_VALUE"""),"fredive menjangan
46083 pax
Rp0")</f>
        <v>fredive menjangan
46083 pax
Rp0</v>
      </c>
      <c r="D47" s="169" t="str">
        <f>IFERROR(__xludf.DUMMYFUNCTION("""COMPUTED_VALUE"""),"nanti di kabarin lagi, FU 16 Juni")</f>
        <v>nanti di kabarin lagi, FU 16 Juni</v>
      </c>
      <c r="E47" s="188" t="str">
        <f>IFERROR(__xludf.DUMMYFUNCTION("""COMPUTED_VALUE"""),"https://docs.google.com/document/d/1HJKzaTjwfBvmHn0nrO_YCBoJfDg9m_2Ysi8mmb7NiZs/edit?usp=sharing")</f>
        <v>https://docs.google.com/document/d/1HJKzaTjwfBvmHn0nrO_YCBoJfDg9m_2Ysi8mmb7NiZs/edit?usp=sharing</v>
      </c>
      <c r="F47" s="53"/>
      <c r="G47" s="53"/>
      <c r="H47" s="53"/>
      <c r="I47" s="171"/>
      <c r="J47" s="170"/>
      <c r="K47" s="53"/>
      <c r="L47" s="53"/>
      <c r="M47" s="53"/>
      <c r="N47" s="171"/>
      <c r="O47" s="170"/>
      <c r="P47" s="53"/>
      <c r="Q47" s="53"/>
      <c r="R47" s="53"/>
      <c r="S47" s="171"/>
      <c r="T47" s="170"/>
      <c r="U47" s="53"/>
      <c r="V47" s="53"/>
      <c r="W47" s="53"/>
      <c r="X47" s="171"/>
      <c r="Y47" s="170"/>
      <c r="Z47" s="170"/>
      <c r="AA47" s="170"/>
      <c r="AB47" s="170"/>
      <c r="AC47" s="170"/>
      <c r="AD47" s="53"/>
      <c r="AE47" s="53"/>
    </row>
    <row r="48">
      <c r="A48" s="53"/>
      <c r="B48" s="53" t="str">
        <f>IFERROR(__xludf.DUMMYFUNCTION("""COMPUTED_VALUE"""),"2605D057
Oca
08125976622
Instagram")</f>
        <v>2605D057
Oca
08125976622
Instagram</v>
      </c>
      <c r="C48" s="168" t="str">
        <f>IFERROR(__xludf.DUMMYFUNCTION("""COMPUTED_VALUE"""),"trip Baluran
18 pax
Rp0")</f>
        <v>trip Baluran
18 pax
Rp0</v>
      </c>
      <c r="D48" s="169" t="str">
        <f>IFERROR(__xludf.DUMMYFUNCTION("""COMPUTED_VALUE"""),"blm tau kapan, FU 7 Juni")</f>
        <v>blm tau kapan, FU 7 Juni</v>
      </c>
      <c r="E48" s="188" t="str">
        <f>IFERROR(__xludf.DUMMYFUNCTION("""COMPUTED_VALUE"""),"https://docs.google.com/document/d/1iQk879LN0LGJVBypwfFb2qTSlmBtnlceQXhcCxoivHQ/edit?usp=sharing")</f>
        <v>https://docs.google.com/document/d/1iQk879LN0LGJVBypwfFb2qTSlmBtnlceQXhcCxoivHQ/edit?usp=sharing</v>
      </c>
      <c r="F48" s="53"/>
      <c r="G48" s="53"/>
      <c r="H48" s="53"/>
      <c r="I48" s="171"/>
      <c r="J48" s="170"/>
      <c r="K48" s="53"/>
      <c r="L48" s="53"/>
      <c r="M48" s="53"/>
      <c r="N48" s="171"/>
      <c r="O48" s="170"/>
      <c r="P48" s="53"/>
      <c r="Q48" s="53"/>
      <c r="R48" s="53"/>
      <c r="S48" s="171"/>
      <c r="T48" s="170"/>
      <c r="U48" s="53"/>
      <c r="V48" s="53"/>
      <c r="W48" s="53"/>
      <c r="X48" s="171"/>
      <c r="Y48" s="170"/>
      <c r="Z48" s="170"/>
      <c r="AA48" s="170"/>
      <c r="AB48" s="170"/>
      <c r="AC48" s="170"/>
      <c r="AD48" s="53"/>
      <c r="AE48" s="53"/>
    </row>
    <row r="49">
      <c r="A49" s="53"/>
      <c r="B49" s="53" t="str">
        <f>IFERROR(__xludf.DUMMYFUNCTION("""COMPUTED_VALUE"""),"2605D058
Paulus
083870097564
Instagram")</f>
        <v>2605D058
Paulus
083870097564
Instagram</v>
      </c>
      <c r="C49" s="168" t="str">
        <f>IFERROR(__xludf.DUMMYFUNCTION("""COMPUTED_VALUE"""),"
 pax
Rp0")</f>
        <v>
 pax
Rp0</v>
      </c>
      <c r="D49" s="169" t="str">
        <f>IFERROR(__xludf.DUMMYFUNCTION("""COMPUTED_VALUE"""),"FU 15 Juni")</f>
        <v>FU 15 Juni</v>
      </c>
      <c r="E49" s="188" t="str">
        <f>IFERROR(__xludf.DUMMYFUNCTION("""COMPUTED_VALUE"""),"https://docs.google.com/document/d/1nXFlt5PN8DmKMyAgcX4HUwwXDZjhKr3YX5LL-EjpR5E/edit?tab=t.0")</f>
        <v>https://docs.google.com/document/d/1nXFlt5PN8DmKMyAgcX4HUwwXDZjhKr3YX5LL-EjpR5E/edit?tab=t.0</v>
      </c>
      <c r="F49" s="53"/>
      <c r="G49" s="53"/>
      <c r="H49" s="53"/>
      <c r="I49" s="171"/>
      <c r="J49" s="170"/>
      <c r="K49" s="53"/>
      <c r="L49" s="53"/>
      <c r="M49" s="53"/>
      <c r="N49" s="171"/>
      <c r="O49" s="170"/>
      <c r="P49" s="53"/>
      <c r="Q49" s="53"/>
      <c r="R49" s="53"/>
      <c r="S49" s="171"/>
      <c r="T49" s="170"/>
      <c r="U49" s="53"/>
      <c r="V49" s="53"/>
      <c r="W49" s="53"/>
      <c r="X49" s="171"/>
      <c r="Y49" s="170"/>
      <c r="Z49" s="170"/>
      <c r="AA49" s="170"/>
      <c r="AB49" s="170"/>
      <c r="AC49" s="170"/>
      <c r="AD49" s="53"/>
      <c r="AE49" s="53"/>
    </row>
    <row r="50">
      <c r="A50" s="53"/>
      <c r="B50" s="53" t="str">
        <f>IFERROR(__xludf.DUMMYFUNCTION("""COMPUTED_VALUE"""),"2605D064
Enan
083821675707
Instagram")</f>
        <v>2605D064
Enan
083821675707
Instagram</v>
      </c>
      <c r="C50" s="168" t="str">
        <f>IFERROR(__xludf.DUMMYFUNCTION("""COMPUTED_VALUE"""),"kawah ijen
 pax
Rp0")</f>
        <v>kawah ijen
 pax
Rp0</v>
      </c>
      <c r="D50" s="169" t="str">
        <f>IFERROR(__xludf.DUMMYFUNCTION("""COMPUTED_VALUE"""),"belum balas lagi, FU 1 Juni")</f>
        <v>belum balas lagi, FU 1 Juni</v>
      </c>
      <c r="E50" s="188" t="str">
        <f>IFERROR(__xludf.DUMMYFUNCTION("""COMPUTED_VALUE"""),"https://docs.google.com/document/d/15hz2PSF-2gug1lvBVLr7b30e7p5j2nYP9lcgi6OVZIg/edit?tab=t.0")</f>
        <v>https://docs.google.com/document/d/15hz2PSF-2gug1lvBVLr7b30e7p5j2nYP9lcgi6OVZIg/edit?tab=t.0</v>
      </c>
      <c r="F50" s="53"/>
      <c r="G50" s="53"/>
      <c r="H50" s="53"/>
      <c r="I50" s="171"/>
      <c r="J50" s="170"/>
      <c r="K50" s="53"/>
      <c r="L50" s="53"/>
      <c r="M50" s="53"/>
      <c r="N50" s="171"/>
      <c r="O50" s="170"/>
      <c r="P50" s="53"/>
      <c r="Q50" s="53"/>
      <c r="R50" s="53"/>
      <c r="S50" s="171"/>
      <c r="T50" s="170"/>
      <c r="U50" s="53"/>
      <c r="V50" s="53"/>
      <c r="W50" s="53"/>
      <c r="X50" s="171"/>
      <c r="Y50" s="170"/>
      <c r="Z50" s="170"/>
      <c r="AA50" s="170"/>
      <c r="AB50" s="170"/>
      <c r="AC50" s="170"/>
      <c r="AD50" s="53"/>
      <c r="AE50" s="53"/>
    </row>
    <row r="51">
      <c r="A51" s="53"/>
      <c r="B51" s="53" t="str">
        <f>IFERROR(__xludf.DUMMYFUNCTION("""COMPUTED_VALUE"""),"2605D066
Merysa Amelya 
085649129099
Website")</f>
        <v>2605D066
Merysa Amelya 
085649129099
Website</v>
      </c>
      <c r="C51" s="168" t="str">
        <f>IFERROR(__xludf.DUMMYFUNCTION("""COMPUTED_VALUE"""),"trip Baluran
3 pax
Rp0")</f>
        <v>trip Baluran
3 pax
Rp0</v>
      </c>
      <c r="D51" s="169" t="str">
        <f>IFERROR(__xludf.DUMMYFUNCTION("""COMPUTED_VALUE"""),"belum balas lagi, FU 1 Juni")</f>
        <v>belum balas lagi, FU 1 Juni</v>
      </c>
      <c r="E51" s="188" t="str">
        <f>IFERROR(__xludf.DUMMYFUNCTION("""COMPUTED_VALUE"""),"https://docs.google.com/document/d/1cHwMOxnJExCciaKMyRceJkRibKUdvBNCPTVFTK8y0fE/edit?tab=t.0")</f>
        <v>https://docs.google.com/document/d/1cHwMOxnJExCciaKMyRceJkRibKUdvBNCPTVFTK8y0fE/edit?tab=t.0</v>
      </c>
      <c r="F51" s="53"/>
      <c r="G51" s="53"/>
      <c r="H51" s="53"/>
      <c r="I51" s="171"/>
      <c r="J51" s="170"/>
      <c r="K51" s="53"/>
      <c r="L51" s="53"/>
      <c r="M51" s="53"/>
      <c r="N51" s="171"/>
      <c r="O51" s="170"/>
      <c r="P51" s="53"/>
      <c r="Q51" s="53"/>
      <c r="R51" s="53"/>
      <c r="S51" s="171"/>
      <c r="T51" s="170"/>
      <c r="U51" s="53"/>
      <c r="V51" s="53"/>
      <c r="W51" s="53"/>
      <c r="X51" s="171"/>
      <c r="Y51" s="170"/>
      <c r="Z51" s="170"/>
      <c r="AA51" s="170"/>
      <c r="AB51" s="170"/>
      <c r="AC51" s="170"/>
      <c r="AD51" s="53"/>
      <c r="AE51" s="53"/>
    </row>
    <row r="52">
      <c r="A52" s="53"/>
      <c r="B52" s="53" t="str">
        <f>IFERROR(__xludf.DUMMYFUNCTION("""COMPUTED_VALUE"""),"2605D067
Nopal
08132944705
Instagram")</f>
        <v>2605D067
Nopal
08132944705
Instagram</v>
      </c>
      <c r="C52" s="168" t="str">
        <f>IFERROR(__xludf.DUMMYFUNCTION("""COMPUTED_VALUE"""),"
 pax
Rp0")</f>
        <v>
 pax
Rp0</v>
      </c>
      <c r="D52" s="169" t="str">
        <f>IFERROR(__xludf.DUMMYFUNCTION("""COMPUTED_VALUE"""),"Last FU")</f>
        <v>Last FU</v>
      </c>
      <c r="E52" s="170"/>
      <c r="F52" s="53"/>
      <c r="G52" s="53"/>
      <c r="H52" s="53"/>
      <c r="I52" s="171"/>
      <c r="J52" s="170"/>
      <c r="K52" s="53"/>
      <c r="L52" s="53"/>
      <c r="M52" s="53"/>
      <c r="N52" s="171"/>
      <c r="O52" s="170"/>
      <c r="P52" s="53"/>
      <c r="Q52" s="53"/>
      <c r="R52" s="53"/>
      <c r="S52" s="171"/>
      <c r="T52" s="170"/>
      <c r="U52" s="53"/>
      <c r="V52" s="53"/>
      <c r="W52" s="53"/>
      <c r="X52" s="171"/>
      <c r="Y52" s="170"/>
      <c r="Z52" s="170"/>
      <c r="AA52" s="170"/>
      <c r="AB52" s="170"/>
      <c r="AC52" s="170"/>
      <c r="AD52" s="53"/>
      <c r="AE52" s="53"/>
    </row>
    <row r="53">
      <c r="A53" s="53"/>
      <c r="B53" s="53" t="str">
        <f>IFERROR(__xludf.DUMMYFUNCTION("""COMPUTED_VALUE"""),"2605D068
Evy
081326610202
Website")</f>
        <v>2605D068
Evy
081326610202
Website</v>
      </c>
      <c r="C53" s="168" t="str">
        <f>IFERROR(__xludf.DUMMYFUNCTION("""COMPUTED_VALUE"""),"2h1m
20 pax
Rp0")</f>
        <v>2h1m
20 pax
Rp0</v>
      </c>
      <c r="D53" s="169" t="str">
        <f>IFERROR(__xludf.DUMMYFUNCTION("""COMPUTED_VALUE"""),"FU 1 Juni")</f>
        <v>FU 1 Juni</v>
      </c>
      <c r="E53" s="170"/>
      <c r="F53" s="53"/>
      <c r="G53" s="53"/>
      <c r="H53" s="53"/>
      <c r="I53" s="171"/>
      <c r="J53" s="170"/>
      <c r="K53" s="53"/>
      <c r="L53" s="53"/>
      <c r="M53" s="53"/>
      <c r="N53" s="171"/>
      <c r="O53" s="170"/>
      <c r="P53" s="53"/>
      <c r="Q53" s="53"/>
      <c r="R53" s="53"/>
      <c r="S53" s="171"/>
      <c r="T53" s="170"/>
      <c r="U53" s="53"/>
      <c r="V53" s="53"/>
      <c r="W53" s="53"/>
      <c r="X53" s="171"/>
      <c r="Y53" s="170"/>
      <c r="Z53" s="170"/>
      <c r="AA53" s="170"/>
      <c r="AB53" s="170"/>
      <c r="AC53" s="170"/>
      <c r="AD53" s="53"/>
      <c r="AE53" s="53"/>
    </row>
    <row r="54">
      <c r="A54" s="53"/>
      <c r="B54" s="53" t="str">
        <f>IFERROR(__xludf.DUMMYFUNCTION("""COMPUTED_VALUE"""),"2605D069
Nurmaulia Sukma
089619142097
Website")</f>
        <v>2605D069
Nurmaulia Sukma
089619142097
Website</v>
      </c>
      <c r="C54" s="168" t="str">
        <f>IFERROR(__xludf.DUMMYFUNCTION("""COMPUTED_VALUE"""),"
 pax
Rp0")</f>
        <v>
 pax
Rp0</v>
      </c>
      <c r="D54" s="169" t="str">
        <f>IFERROR(__xludf.DUMMYFUNCTION("""COMPUTED_VALUE"""),"FU 2 Juni, menyapa aja")</f>
        <v>FU 2 Juni, menyapa aja</v>
      </c>
      <c r="E54" s="170"/>
      <c r="F54" s="53"/>
      <c r="G54" s="53"/>
      <c r="H54" s="53"/>
      <c r="I54" s="171"/>
      <c r="J54" s="170"/>
      <c r="K54" s="53"/>
      <c r="L54" s="53"/>
      <c r="M54" s="53"/>
      <c r="N54" s="171"/>
      <c r="O54" s="170"/>
      <c r="P54" s="53"/>
      <c r="Q54" s="53"/>
      <c r="R54" s="53"/>
      <c r="S54" s="171"/>
      <c r="T54" s="170"/>
      <c r="U54" s="53"/>
      <c r="V54" s="53"/>
      <c r="W54" s="53"/>
      <c r="X54" s="171"/>
      <c r="Y54" s="170"/>
      <c r="Z54" s="170"/>
      <c r="AA54" s="170"/>
      <c r="AB54" s="170"/>
      <c r="AC54" s="170"/>
      <c r="AD54" s="53"/>
      <c r="AE54" s="53"/>
    </row>
    <row r="55">
      <c r="A55" s="53"/>
      <c r="B55" s="53" t="str">
        <f>IFERROR(__xludf.DUMMYFUNCTION("""COMPUTED_VALUE"""),"2605D070
Andhayu Nik
081294491814
Instagram")</f>
        <v>2605D070
Andhayu Nik
081294491814
Instagram</v>
      </c>
      <c r="C55" s="168" t="str">
        <f>IFERROR(__xludf.DUMMYFUNCTION("""COMPUTED_VALUE"""),"
 pax
Rp0")</f>
        <v>
 pax
Rp0</v>
      </c>
      <c r="D55" s="169" t="str">
        <f>IFERROR(__xludf.DUMMYFUNCTION("""COMPUTED_VALUE"""),"FU 2 Juni, menyapa aja")</f>
        <v>FU 2 Juni, menyapa aja</v>
      </c>
      <c r="E55" s="170"/>
      <c r="F55" s="53"/>
      <c r="G55" s="53"/>
      <c r="H55" s="53"/>
      <c r="I55" s="171"/>
      <c r="J55" s="170"/>
      <c r="K55" s="53"/>
      <c r="L55" s="53"/>
      <c r="M55" s="53"/>
      <c r="N55" s="171"/>
      <c r="O55" s="170"/>
      <c r="P55" s="53"/>
      <c r="Q55" s="53"/>
      <c r="R55" s="53"/>
      <c r="S55" s="171"/>
      <c r="T55" s="170"/>
      <c r="U55" s="53"/>
      <c r="V55" s="53"/>
      <c r="W55" s="53"/>
      <c r="X55" s="171"/>
      <c r="Y55" s="170"/>
      <c r="Z55" s="170"/>
      <c r="AA55" s="170"/>
      <c r="AB55" s="170"/>
      <c r="AC55" s="170"/>
      <c r="AD55" s="53"/>
      <c r="AE55" s="53"/>
    </row>
    <row r="56">
      <c r="A56" s="53"/>
      <c r="B56" s="53" t="str">
        <f>IFERROR(__xludf.DUMMYFUNCTION("""COMPUTED_VALUE"""),"2605D071
Zahid
087778512675
Website")</f>
        <v>2605D071
Zahid
087778512675
Website</v>
      </c>
      <c r="C56" s="168" t="str">
        <f>IFERROR(__xludf.DUMMYFUNCTION("""COMPUTED_VALUE"""),"trip ijen djawatan
 pax
Rp0")</f>
        <v>trip ijen djawatan
 pax
Rp0</v>
      </c>
      <c r="D56" s="169" t="str">
        <f>IFERROR(__xludf.DUMMYFUNCTION("""COMPUTED_VALUE"""),"belum ada balasan lagi, FU 1 Juni")</f>
        <v>belum ada balasan lagi, FU 1 Juni</v>
      </c>
      <c r="E56" s="170"/>
      <c r="F56" s="53"/>
      <c r="G56" s="53"/>
      <c r="H56" s="53"/>
      <c r="I56" s="171"/>
      <c r="J56" s="170"/>
      <c r="K56" s="53"/>
      <c r="L56" s="53"/>
      <c r="M56" s="53"/>
      <c r="N56" s="171"/>
      <c r="O56" s="170"/>
      <c r="P56" s="53"/>
      <c r="Q56" s="53"/>
      <c r="R56" s="53"/>
      <c r="S56" s="171"/>
      <c r="T56" s="170"/>
      <c r="U56" s="53"/>
      <c r="V56" s="53"/>
      <c r="W56" s="53"/>
      <c r="X56" s="171"/>
      <c r="Y56" s="170"/>
      <c r="Z56" s="170"/>
      <c r="AA56" s="170"/>
      <c r="AB56" s="170"/>
      <c r="AC56" s="170"/>
      <c r="AD56" s="53"/>
      <c r="AE56" s="53"/>
    </row>
    <row r="57">
      <c r="A57" s="53"/>
      <c r="B57" s="53" t="str">
        <f>IFERROR(__xludf.DUMMYFUNCTION("""COMPUTED_VALUE"""),"2605D074
Choirul Hidayat
089527162819
Instagram")</f>
        <v>2605D074
Choirul Hidayat
089527162819
Instagram</v>
      </c>
      <c r="C57" s="168" t="str">
        <f>IFERROR(__xludf.DUMMYFUNCTION("""COMPUTED_VALUE"""),"2h1m opsi A&amp;B
50 pax
Rp0")</f>
        <v>2h1m opsi A&amp;B
50 pax
Rp0</v>
      </c>
      <c r="D57" s="169" t="str">
        <f>IFERROR(__xludf.DUMMYFUNCTION("""COMPUTED_VALUE"""),"B2B, sudah kirim penawaran")</f>
        <v>B2B, sudah kirim penawaran</v>
      </c>
      <c r="E57" s="170"/>
      <c r="F57" s="53"/>
      <c r="G57" s="53"/>
      <c r="H57" s="53"/>
      <c r="I57" s="171"/>
      <c r="J57" s="170"/>
      <c r="K57" s="53"/>
      <c r="L57" s="53"/>
      <c r="M57" s="53"/>
      <c r="N57" s="171"/>
      <c r="O57" s="170"/>
      <c r="P57" s="53"/>
      <c r="Q57" s="53"/>
      <c r="R57" s="53"/>
      <c r="S57" s="171"/>
      <c r="T57" s="170"/>
      <c r="U57" s="53"/>
      <c r="V57" s="53"/>
      <c r="W57" s="53"/>
      <c r="X57" s="171"/>
      <c r="Y57" s="170"/>
      <c r="Z57" s="170"/>
      <c r="AA57" s="170"/>
      <c r="AB57" s="170"/>
      <c r="AC57" s="170"/>
      <c r="AD57" s="53"/>
      <c r="AE57" s="53"/>
    </row>
    <row r="58">
      <c r="A58" s="53"/>
      <c r="B58" s="53" t="str">
        <f>IFERROR(__xludf.DUMMYFUNCTION("""COMPUTED_VALUE"""),"2605D076
Yoshi
085317777587
Instagram")</f>
        <v>2605D076
Yoshi
085317777587
Instagram</v>
      </c>
      <c r="C58" s="168" t="str">
        <f>IFERROR(__xludf.DUMMYFUNCTION("""COMPUTED_VALUE"""),"2H1M 
46190
2 pax
Rp0")</f>
        <v>2H1M 
46190
2 pax
Rp0</v>
      </c>
      <c r="D58" s="169" t="str">
        <f>IFERROR(__xludf.DUMMYFUNCTION("""COMPUTED_VALUE"""),"FU 4 Juni")</f>
        <v>FU 4 Juni</v>
      </c>
      <c r="E58" s="170"/>
      <c r="F58" s="53"/>
      <c r="G58" s="53"/>
      <c r="H58" s="53"/>
      <c r="I58" s="171"/>
      <c r="J58" s="170"/>
      <c r="K58" s="53"/>
      <c r="L58" s="53"/>
      <c r="M58" s="53"/>
      <c r="N58" s="171"/>
      <c r="O58" s="170"/>
      <c r="P58" s="53"/>
      <c r="Q58" s="53"/>
      <c r="R58" s="53"/>
      <c r="S58" s="171"/>
      <c r="T58" s="170"/>
      <c r="U58" s="53"/>
      <c r="V58" s="53"/>
      <c r="W58" s="53"/>
      <c r="X58" s="171"/>
      <c r="Y58" s="170"/>
      <c r="Z58" s="170"/>
      <c r="AA58" s="170"/>
      <c r="AB58" s="170"/>
      <c r="AC58" s="170"/>
      <c r="AD58" s="53"/>
      <c r="AE58" s="53"/>
    </row>
    <row r="59">
      <c r="A59" s="53"/>
      <c r="B59" s="53" t="str">
        <f>IFERROR(__xludf.DUMMYFUNCTION("""COMPUTED_VALUE"""),"2605D077
Ratna Budi
081802626999
Website")</f>
        <v>2605D077
Ratna Budi
081802626999
Website</v>
      </c>
      <c r="C59" s="168" t="str">
        <f>IFERROR(__xludf.DUMMYFUNCTION("""COMPUTED_VALUE"""),"2H1M opsi B
46083 pax
Rp0")</f>
        <v>2H1M opsi B
46083 pax
Rp0</v>
      </c>
      <c r="D59" s="169" t="str">
        <f>IFERROR(__xludf.DUMMYFUNCTION("""COMPUTED_VALUE"""),"URGENSI")</f>
        <v>URGENSI</v>
      </c>
      <c r="E59" s="170"/>
      <c r="F59" s="53"/>
      <c r="G59" s="53"/>
      <c r="H59" s="53"/>
      <c r="I59" s="171"/>
      <c r="J59" s="170"/>
      <c r="K59" s="53"/>
      <c r="L59" s="53"/>
      <c r="M59" s="53"/>
      <c r="N59" s="171"/>
      <c r="O59" s="170"/>
      <c r="P59" s="53"/>
      <c r="Q59" s="53"/>
      <c r="R59" s="53"/>
      <c r="S59" s="171"/>
      <c r="T59" s="170"/>
      <c r="U59" s="53"/>
      <c r="V59" s="53"/>
      <c r="W59" s="53"/>
      <c r="X59" s="171"/>
      <c r="Y59" s="170"/>
      <c r="Z59" s="170"/>
      <c r="AA59" s="170"/>
      <c r="AB59" s="170"/>
      <c r="AC59" s="170"/>
      <c r="AD59" s="53"/>
      <c r="AE59" s="53"/>
    </row>
    <row r="60">
      <c r="A60" s="53"/>
      <c r="B60" s="53" t="str">
        <f>IFERROR(__xludf.DUMMYFUNCTION("""COMPUTED_VALUE"""),"2605D077
JO
085743383933
Website")</f>
        <v>2605D077
JO
085743383933
Website</v>
      </c>
      <c r="C60" s="168" t="str">
        <f>IFERROR(__xludf.DUMMYFUNCTION("""COMPUTED_VALUE"""),"2H1M
 pax
Rp0")</f>
        <v>2H1M
 pax
Rp0</v>
      </c>
      <c r="D60" s="169" t="str">
        <f>IFERROR(__xludf.DUMMYFUNCTION("""COMPUTED_VALUE"""),"jangan di FU, biar orgnya yang WA")</f>
        <v>jangan di FU, biar orgnya yang WA</v>
      </c>
      <c r="E60" s="170"/>
      <c r="F60" s="53"/>
      <c r="G60" s="53"/>
      <c r="H60" s="53"/>
      <c r="I60" s="171"/>
      <c r="J60" s="170"/>
      <c r="K60" s="53"/>
      <c r="L60" s="53"/>
      <c r="M60" s="53"/>
      <c r="N60" s="171"/>
      <c r="O60" s="170"/>
      <c r="P60" s="53"/>
      <c r="Q60" s="53"/>
      <c r="R60" s="53"/>
      <c r="S60" s="171"/>
      <c r="T60" s="170"/>
      <c r="U60" s="53"/>
      <c r="V60" s="53"/>
      <c r="W60" s="53"/>
      <c r="X60" s="171"/>
      <c r="Y60" s="170"/>
      <c r="Z60" s="170"/>
      <c r="AA60" s="170"/>
      <c r="AB60" s="170"/>
      <c r="AC60" s="170"/>
      <c r="AD60" s="53"/>
      <c r="AE60" s="53"/>
    </row>
    <row r="61">
      <c r="A61" s="53"/>
      <c r="B61" s="53" t="str">
        <f>IFERROR(__xludf.DUMMYFUNCTION("""COMPUTED_VALUE"""),"2605D081
Nyulenta S
085748798211
Instagram")</f>
        <v>2605D081
Nyulenta S
085748798211
Instagram</v>
      </c>
      <c r="C61" s="168" t="str">
        <f>IFERROR(__xludf.DUMMYFUNCTION("""COMPUTED_VALUE"""),"
46115 pax
Rp0")</f>
        <v>
46115 pax
Rp0</v>
      </c>
      <c r="D61" s="169" t="str">
        <f>IFERROR(__xludf.DUMMYFUNCTION("""COMPUTED_VALUE"""),"minta penawaran")</f>
        <v>minta penawaran</v>
      </c>
      <c r="E61" s="170"/>
      <c r="F61" s="53"/>
      <c r="G61" s="53"/>
      <c r="H61" s="53"/>
      <c r="I61" s="171"/>
      <c r="J61" s="170"/>
      <c r="K61" s="53"/>
      <c r="L61" s="53"/>
      <c r="M61" s="53"/>
      <c r="N61" s="171"/>
      <c r="O61" s="170"/>
      <c r="P61" s="53"/>
      <c r="Q61" s="53"/>
      <c r="R61" s="53"/>
      <c r="S61" s="171"/>
      <c r="T61" s="170"/>
      <c r="U61" s="53"/>
      <c r="V61" s="53"/>
      <c r="W61" s="53"/>
      <c r="X61" s="171"/>
      <c r="Y61" s="170"/>
      <c r="Z61" s="170"/>
      <c r="AA61" s="170"/>
      <c r="AB61" s="170"/>
      <c r="AC61" s="170"/>
      <c r="AD61" s="53"/>
      <c r="AE61" s="53"/>
    </row>
    <row r="62">
      <c r="A62" s="53"/>
      <c r="B62" s="53" t="str">
        <f>IFERROR(__xludf.DUMMYFUNCTION("""COMPUTED_VALUE"""),"2605D082
Hilma Adia
081554541159
Website")</f>
        <v>2605D082
Hilma Adia
081554541159
Website</v>
      </c>
      <c r="C62" s="168" t="str">
        <f>IFERROR(__xludf.DUMMYFUNCTION("""COMPUTED_VALUE"""),"
 pax
Rp0")</f>
        <v>
 pax
Rp0</v>
      </c>
      <c r="D62" s="169"/>
      <c r="E62" s="170"/>
      <c r="F62" s="53"/>
      <c r="G62" s="53"/>
      <c r="H62" s="53"/>
      <c r="I62" s="171"/>
      <c r="J62" s="170"/>
      <c r="K62" s="53"/>
      <c r="L62" s="53"/>
      <c r="M62" s="53"/>
      <c r="N62" s="171"/>
      <c r="O62" s="170"/>
      <c r="P62" s="53"/>
      <c r="Q62" s="53"/>
      <c r="R62" s="53"/>
      <c r="S62" s="171"/>
      <c r="T62" s="170"/>
      <c r="U62" s="53"/>
      <c r="V62" s="53"/>
      <c r="W62" s="53"/>
      <c r="X62" s="171"/>
      <c r="Y62" s="170"/>
      <c r="Z62" s="170"/>
      <c r="AA62" s="170"/>
      <c r="AB62" s="170"/>
      <c r="AC62" s="170"/>
      <c r="AD62" s="53"/>
      <c r="AE62" s="53"/>
    </row>
    <row r="63">
      <c r="A63" s="53"/>
      <c r="B63" s="53" t="str">
        <f>IFERROR(__xludf.DUMMYFUNCTION("""COMPUTED_VALUE"""),"2605D083
Jayanti
082192137659
Website")</f>
        <v>2605D083
Jayanti
082192137659
Website</v>
      </c>
      <c r="C63" s="168" t="str">
        <f>IFERROR(__xludf.DUMMYFUNCTION("""COMPUTED_VALUE"""),"Open Trip
1 pax
Rp0")</f>
        <v>Open Trip
1 pax
Rp0</v>
      </c>
      <c r="D63" s="169" t="str">
        <f>IFERROR(__xludf.DUMMYFUNCTION("""COMPUTED_VALUE"""),"mau pesan mendadak, nanti akan dihubungi lagi")</f>
        <v>mau pesan mendadak, nanti akan dihubungi lagi</v>
      </c>
      <c r="E63" s="170"/>
      <c r="F63" s="53"/>
      <c r="G63" s="53"/>
      <c r="H63" s="53"/>
      <c r="I63" s="171"/>
      <c r="J63" s="170"/>
      <c r="K63" s="53"/>
      <c r="L63" s="53"/>
      <c r="M63" s="53"/>
      <c r="N63" s="171"/>
      <c r="O63" s="170"/>
      <c r="P63" s="53"/>
      <c r="Q63" s="53"/>
      <c r="R63" s="53"/>
      <c r="S63" s="171"/>
      <c r="T63" s="170"/>
      <c r="U63" s="53"/>
      <c r="V63" s="53"/>
      <c r="W63" s="53"/>
      <c r="X63" s="171"/>
      <c r="Y63" s="170"/>
      <c r="Z63" s="170"/>
      <c r="AA63" s="170"/>
      <c r="AB63" s="170"/>
      <c r="AC63" s="170"/>
      <c r="AD63" s="53"/>
      <c r="AE63" s="53"/>
    </row>
    <row r="64">
      <c r="A64" s="53"/>
      <c r="B64" s="53" t="str">
        <f>IFERROR(__xludf.DUMMYFUNCTION("""COMPUTED_VALUE"""),"2605D084
Ridza
082228082929
Instagram")</f>
        <v>2605D084
Ridza
082228082929
Instagram</v>
      </c>
      <c r="C64" s="168" t="str">
        <f>IFERROR(__xludf.DUMMYFUNCTION("""COMPUTED_VALUE"""),"1 day Djabal
4 pax
Rp0")</f>
        <v>1 day Djabal
4 pax
Rp0</v>
      </c>
      <c r="D64" s="169" t="str">
        <f>IFERROR(__xludf.DUMMYFUNCTION("""COMPUTED_VALUE"""),"FU 16 Juni")</f>
        <v>FU 16 Juni</v>
      </c>
      <c r="E64" s="170"/>
      <c r="F64" s="53"/>
      <c r="G64" s="53"/>
      <c r="H64" s="53"/>
      <c r="I64" s="171"/>
      <c r="J64" s="170"/>
      <c r="K64" s="53"/>
      <c r="L64" s="53"/>
      <c r="M64" s="53"/>
      <c r="N64" s="171"/>
      <c r="O64" s="170"/>
      <c r="P64" s="53"/>
      <c r="Q64" s="53"/>
      <c r="R64" s="53"/>
      <c r="S64" s="171"/>
      <c r="T64" s="170"/>
      <c r="U64" s="53"/>
      <c r="V64" s="53"/>
      <c r="W64" s="53"/>
      <c r="X64" s="171"/>
      <c r="Y64" s="170"/>
      <c r="Z64" s="170"/>
      <c r="AA64" s="170"/>
      <c r="AB64" s="170"/>
      <c r="AC64" s="170"/>
      <c r="AD64" s="53"/>
      <c r="AE64" s="53"/>
    </row>
    <row r="65">
      <c r="A65" s="53"/>
      <c r="B65" s="53" t="str">
        <f>IFERROR(__xludf.DUMMYFUNCTION("""COMPUTED_VALUE"""),"2605D087
Monika
087777222254
Instagram")</f>
        <v>2605D087
Monika
087777222254
Instagram</v>
      </c>
      <c r="C65" s="168" t="str">
        <f>IFERROR(__xludf.DUMMYFUNCTION("""COMPUTED_VALUE"""),"4h3m
20 pax
Rp0")</f>
        <v>4h3m
20 pax
Rp0</v>
      </c>
      <c r="D65" s="169" t="str">
        <f>IFERROR(__xludf.DUMMYFUNCTION("""COMPUTED_VALUE"""),"minta ganti 3h2m")</f>
        <v>minta ganti 3h2m</v>
      </c>
      <c r="E65" s="170"/>
      <c r="F65" s="53"/>
      <c r="G65" s="53"/>
      <c r="H65" s="53"/>
      <c r="I65" s="171"/>
      <c r="J65" s="170"/>
      <c r="K65" s="53"/>
      <c r="L65" s="53"/>
      <c r="M65" s="53"/>
      <c r="N65" s="171"/>
      <c r="O65" s="170"/>
      <c r="P65" s="53"/>
      <c r="Q65" s="53"/>
      <c r="R65" s="53"/>
      <c r="S65" s="171"/>
      <c r="T65" s="170"/>
      <c r="U65" s="53"/>
      <c r="V65" s="53"/>
      <c r="W65" s="53"/>
      <c r="X65" s="171"/>
      <c r="Y65" s="170"/>
      <c r="Z65" s="170"/>
      <c r="AA65" s="170"/>
      <c r="AB65" s="170"/>
      <c r="AC65" s="170"/>
      <c r="AD65" s="53"/>
      <c r="AE65" s="53"/>
    </row>
    <row r="66">
      <c r="A66" s="53"/>
      <c r="B66" s="53" t="str">
        <f>IFERROR(__xludf.DUMMYFUNCTION("""COMPUTED_VALUE"""),"2605D090
May
08176396486
Website")</f>
        <v>2605D090
May
08176396486
Website</v>
      </c>
      <c r="C66" s="168" t="str">
        <f>IFERROR(__xludf.DUMMYFUNCTION("""COMPUTED_VALUE"""),"OT 3H2M
1 pax
Rp0")</f>
        <v>OT 3H2M
1 pax
Rp0</v>
      </c>
      <c r="D66" s="169" t="str">
        <f>IFERROR(__xludf.DUMMYFUNCTION("""COMPUTED_VALUE"""),"nunggu pendaftar lain, FU 5 Juli")</f>
        <v>nunggu pendaftar lain, FU 5 Juli</v>
      </c>
      <c r="E66" s="170"/>
      <c r="F66" s="53"/>
      <c r="G66" s="53"/>
      <c r="H66" s="53"/>
      <c r="I66" s="171"/>
      <c r="J66" s="170"/>
      <c r="K66" s="53"/>
      <c r="L66" s="53"/>
      <c r="M66" s="53"/>
      <c r="N66" s="171"/>
      <c r="O66" s="170"/>
      <c r="P66" s="53"/>
      <c r="Q66" s="53"/>
      <c r="R66" s="53"/>
      <c r="S66" s="171"/>
      <c r="T66" s="170"/>
      <c r="U66" s="53"/>
      <c r="V66" s="53"/>
      <c r="W66" s="53"/>
      <c r="X66" s="171"/>
      <c r="Y66" s="170"/>
      <c r="Z66" s="170"/>
      <c r="AA66" s="170"/>
      <c r="AB66" s="170"/>
      <c r="AC66" s="170"/>
      <c r="AD66" s="53"/>
      <c r="AE66" s="53"/>
    </row>
    <row r="67">
      <c r="A67" s="53"/>
      <c r="B67" s="53" t="str">
        <f>IFERROR(__xludf.DUMMYFUNCTION("""COMPUTED_VALUE"""),"2605D091
Anne Pesik
081280839119
Website")</f>
        <v>2605D091
Anne Pesik
081280839119
Website</v>
      </c>
      <c r="C67" s="168" t="str">
        <f>IFERROR(__xludf.DUMMYFUNCTION("""COMPUTED_VALUE"""),"OT 3H2M
46199
8 pax
Rp0")</f>
        <v>OT 3H2M
46199
8 pax
Rp0</v>
      </c>
      <c r="D67" s="169" t="str">
        <f>IFERROR(__xludf.DUMMYFUNCTION("""COMPUTED_VALUE"""),"gagalll, menghubungi admin 2")</f>
        <v>gagalll, menghubungi admin 2</v>
      </c>
      <c r="E67" s="170"/>
      <c r="F67" s="53"/>
      <c r="G67" s="53"/>
      <c r="H67" s="53"/>
      <c r="I67" s="171"/>
      <c r="J67" s="170"/>
      <c r="K67" s="53"/>
      <c r="L67" s="53"/>
      <c r="M67" s="53"/>
      <c r="N67" s="171"/>
      <c r="O67" s="170"/>
      <c r="P67" s="53"/>
      <c r="Q67" s="53"/>
      <c r="R67" s="53"/>
      <c r="S67" s="171"/>
      <c r="T67" s="170"/>
      <c r="U67" s="53"/>
      <c r="V67" s="53"/>
      <c r="W67" s="53"/>
      <c r="X67" s="171"/>
      <c r="Y67" s="170"/>
      <c r="Z67" s="170"/>
      <c r="AA67" s="170"/>
      <c r="AB67" s="170"/>
      <c r="AC67" s="170"/>
      <c r="AD67" s="53"/>
      <c r="AE67" s="53"/>
    </row>
    <row r="68">
      <c r="A68" s="53"/>
      <c r="B68" s="53" t="str">
        <f>IFERROR(__xludf.DUMMYFUNCTION("""COMPUTED_VALUE"""),"2605D093
Poppy Lestari
08192656688
Instagram")</f>
        <v>2605D093
Poppy Lestari
08192656688
Instagram</v>
      </c>
      <c r="C68" s="168" t="str">
        <f>IFERROR(__xludf.DUMMYFUNCTION("""COMPUTED_VALUE"""),"2h1m
6 pax
Rp0")</f>
        <v>2h1m
6 pax
Rp0</v>
      </c>
      <c r="D68" s="169" t="str">
        <f>IFERROR(__xludf.DUMMYFUNCTION("""COMPUTED_VALUE"""),"buat penawaran")</f>
        <v>buat penawaran</v>
      </c>
      <c r="E68" s="170"/>
      <c r="F68" s="53"/>
      <c r="G68" s="53"/>
      <c r="H68" s="53"/>
      <c r="I68" s="171"/>
      <c r="J68" s="170"/>
      <c r="K68" s="53"/>
      <c r="L68" s="53"/>
      <c r="M68" s="53"/>
      <c r="N68" s="171"/>
      <c r="O68" s="170"/>
      <c r="P68" s="53"/>
      <c r="Q68" s="53"/>
      <c r="R68" s="53"/>
      <c r="S68" s="171"/>
      <c r="T68" s="170"/>
      <c r="U68" s="53"/>
      <c r="V68" s="53"/>
      <c r="W68" s="53"/>
      <c r="X68" s="171"/>
      <c r="Y68" s="170"/>
      <c r="Z68" s="170"/>
      <c r="AA68" s="170"/>
      <c r="AB68" s="170"/>
      <c r="AC68" s="170"/>
      <c r="AD68" s="53"/>
      <c r="AE68" s="53"/>
    </row>
    <row r="69">
      <c r="A69" s="53"/>
      <c r="B69" s="53" t="str">
        <f>IFERROR(__xludf.DUMMYFUNCTION("""COMPUTED_VALUE"""),"2605D097
Quinn
082350402065
Instagram")</f>
        <v>2605D097
Quinn
082350402065
Instagram</v>
      </c>
      <c r="C69" s="168" t="str">
        <f>IFERROR(__xludf.DUMMYFUNCTION("""COMPUTED_VALUE"""),"3h2m Opsi A
46195
4 pax
Rp0")</f>
        <v>3h2m Opsi A
46195
4 pax
Rp0</v>
      </c>
      <c r="D69" s="169" t="str">
        <f>IFERROR(__xludf.DUMMYFUNCTION("""COMPUTED_VALUE"""),"belum balas lagi, FU 6 Juni")</f>
        <v>belum balas lagi, FU 6 Juni</v>
      </c>
      <c r="E69" s="170"/>
      <c r="F69" s="53"/>
      <c r="G69" s="53"/>
      <c r="H69" s="53"/>
      <c r="I69" s="171"/>
      <c r="J69" s="170"/>
      <c r="K69" s="53"/>
      <c r="L69" s="53"/>
      <c r="M69" s="53"/>
      <c r="N69" s="171"/>
      <c r="O69" s="170"/>
      <c r="P69" s="53"/>
      <c r="Q69" s="53"/>
      <c r="R69" s="53"/>
      <c r="S69" s="171"/>
      <c r="T69" s="170"/>
      <c r="U69" s="53"/>
      <c r="V69" s="53"/>
      <c r="W69" s="53"/>
      <c r="X69" s="171"/>
      <c r="Y69" s="170"/>
      <c r="Z69" s="170"/>
      <c r="AA69" s="170"/>
      <c r="AB69" s="170"/>
      <c r="AC69" s="170"/>
      <c r="AD69" s="53"/>
      <c r="AE69" s="53"/>
    </row>
    <row r="70">
      <c r="A70" s="53"/>
      <c r="B70" s="53" t="str">
        <f>IFERROR(__xludf.DUMMYFUNCTION("""COMPUTED_VALUE"""),"2605D099
Vanessa Claudia
085156819256
Instagram")</f>
        <v>2605D099
Vanessa Claudia
085156819256
Instagram</v>
      </c>
      <c r="C70" s="168" t="str">
        <f>IFERROR(__xludf.DUMMYFUNCTION("""COMPUTED_VALUE"""),"3h2m Opsi A
 pax
Rp0")</f>
        <v>3h2m Opsi A
 pax
Rp0</v>
      </c>
      <c r="D70" s="169" t="str">
        <f>IFERROR(__xludf.DUMMYFUNCTION("""COMPUTED_VALUE"""),"belum balas lagi, FU 1 juni")</f>
        <v>belum balas lagi, FU 1 juni</v>
      </c>
      <c r="E70" s="170"/>
      <c r="F70" s="53"/>
      <c r="G70" s="53"/>
      <c r="H70" s="53"/>
      <c r="I70" s="171"/>
      <c r="J70" s="170"/>
      <c r="K70" s="53"/>
      <c r="L70" s="53"/>
      <c r="M70" s="53"/>
      <c r="N70" s="171"/>
      <c r="O70" s="170"/>
      <c r="P70" s="53"/>
      <c r="Q70" s="53"/>
      <c r="R70" s="53"/>
      <c r="S70" s="171"/>
      <c r="T70" s="170"/>
      <c r="U70" s="53"/>
      <c r="V70" s="53"/>
      <c r="W70" s="53"/>
      <c r="X70" s="171"/>
      <c r="Y70" s="170"/>
      <c r="Z70" s="170"/>
      <c r="AA70" s="170"/>
      <c r="AB70" s="170"/>
      <c r="AC70" s="170"/>
      <c r="AD70" s="53"/>
      <c r="AE70" s="53"/>
    </row>
    <row r="71">
      <c r="A71" s="53"/>
      <c r="B71" s="53" t="str">
        <f>IFERROR(__xludf.DUMMYFUNCTION("""COMPUTED_VALUE"""),"2605D101
Exhie
608209897
Tiktok")</f>
        <v>2605D101
Exhie
608209897
Tiktok</v>
      </c>
      <c r="C71" s="168" t="str">
        <f>IFERROR(__xludf.DUMMYFUNCTION("""COMPUTED_VALUE"""),"
 pax
Rp0")</f>
        <v>
 pax
Rp0</v>
      </c>
      <c r="D71" s="169" t="str">
        <f>IFERROR(__xludf.DUMMYFUNCTION("""COMPUTED_VALUE"""),"masihh nyapa")</f>
        <v>masihh nyapa</v>
      </c>
      <c r="E71" s="170"/>
      <c r="F71" s="53"/>
      <c r="G71" s="53"/>
      <c r="H71" s="53"/>
      <c r="I71" s="171"/>
      <c r="J71" s="170"/>
      <c r="K71" s="53"/>
      <c r="L71" s="53"/>
      <c r="M71" s="53"/>
      <c r="N71" s="171"/>
      <c r="O71" s="170"/>
      <c r="P71" s="53"/>
      <c r="Q71" s="53"/>
      <c r="R71" s="53"/>
      <c r="S71" s="171"/>
      <c r="T71" s="170"/>
      <c r="U71" s="53"/>
      <c r="V71" s="53"/>
      <c r="W71" s="53"/>
      <c r="X71" s="171"/>
      <c r="Y71" s="170"/>
      <c r="Z71" s="170"/>
      <c r="AA71" s="170"/>
      <c r="AB71" s="170"/>
      <c r="AC71" s="170"/>
      <c r="AD71" s="53"/>
      <c r="AE71" s="53"/>
    </row>
    <row r="72">
      <c r="A72" s="53"/>
      <c r="B72" s="53" t="str">
        <f>IFERROR(__xludf.DUMMYFUNCTION("""COMPUTED_VALUE"""),"2605D102
Sisca
082213266871
Website")</f>
        <v>2605D102
Sisca
082213266871
Website</v>
      </c>
      <c r="C72" s="168" t="str">
        <f>IFERROR(__xludf.DUMMYFUNCTION("""COMPUTED_VALUE"""),"3H2M opsi A
2 pax
Rp0")</f>
        <v>3H2M opsi A
2 pax
Rp0</v>
      </c>
      <c r="D72" s="169" t="str">
        <f>IFERROR(__xludf.DUMMYFUNCTION("""COMPUTED_VALUE"""),"FU 5 Juni")</f>
        <v>FU 5 Juni</v>
      </c>
      <c r="E72" s="170"/>
      <c r="F72" s="53"/>
      <c r="G72" s="53"/>
      <c r="H72" s="53"/>
      <c r="I72" s="171"/>
      <c r="J72" s="170"/>
      <c r="K72" s="53"/>
      <c r="L72" s="53"/>
      <c r="M72" s="53"/>
      <c r="N72" s="171"/>
      <c r="O72" s="170"/>
      <c r="P72" s="53"/>
      <c r="Q72" s="53"/>
      <c r="R72" s="53"/>
      <c r="S72" s="171"/>
      <c r="T72" s="170"/>
      <c r="U72" s="53"/>
      <c r="V72" s="53"/>
      <c r="W72" s="53"/>
      <c r="X72" s="171"/>
      <c r="Y72" s="170"/>
      <c r="Z72" s="170"/>
      <c r="AA72" s="170"/>
      <c r="AB72" s="170"/>
      <c r="AC72" s="170"/>
      <c r="AD72" s="53"/>
      <c r="AE72" s="53"/>
    </row>
    <row r="73">
      <c r="A73" s="53"/>
      <c r="B73" s="53" t="str">
        <f>IFERROR(__xludf.DUMMYFUNCTION("""COMPUTED_VALUE"""),"2605D103
Tidak Dikenal
081337769288
Website")</f>
        <v>2605D103
Tidak Dikenal
081337769288
Website</v>
      </c>
      <c r="C73" s="168" t="str">
        <f>IFERROR(__xludf.DUMMYFUNCTION("""COMPUTED_VALUE"""),"4h3m
3 pax
Rp0")</f>
        <v>4h3m
3 pax
Rp0</v>
      </c>
      <c r="D73" s="169" t="str">
        <f>IFERROR(__xludf.DUMMYFUNCTION("""COMPUTED_VALUE"""),"FU 20 Juni")</f>
        <v>FU 20 Juni</v>
      </c>
      <c r="E73" s="170"/>
      <c r="F73" s="53"/>
      <c r="G73" s="53"/>
      <c r="H73" s="53"/>
      <c r="I73" s="171"/>
      <c r="J73" s="170"/>
      <c r="K73" s="53"/>
      <c r="L73" s="53"/>
      <c r="M73" s="53"/>
      <c r="N73" s="171"/>
      <c r="O73" s="170"/>
      <c r="P73" s="53"/>
      <c r="Q73" s="53"/>
      <c r="R73" s="53"/>
      <c r="S73" s="171"/>
      <c r="T73" s="170"/>
      <c r="U73" s="53"/>
      <c r="V73" s="53"/>
      <c r="W73" s="53"/>
      <c r="X73" s="171"/>
      <c r="Y73" s="170"/>
      <c r="Z73" s="170"/>
      <c r="AA73" s="170"/>
      <c r="AB73" s="170"/>
      <c r="AC73" s="170"/>
      <c r="AD73" s="53"/>
      <c r="AE73" s="53"/>
    </row>
    <row r="74">
      <c r="A74" s="53"/>
      <c r="B74" s="53" t="str">
        <f>IFERROR(__xludf.DUMMYFUNCTION("""COMPUTED_VALUE"""),"2605D104
Hai
085122906880
Website")</f>
        <v>2605D104
Hai
085122906880
Website</v>
      </c>
      <c r="C74" s="168" t="str">
        <f>IFERROR(__xludf.DUMMYFUNCTION("""COMPUTED_VALUE"""),"OT MT
46194
2 pax
Rp0")</f>
        <v>OT MT
46194
2 pax
Rp0</v>
      </c>
      <c r="D74" s="169" t="str">
        <f>IFERROR(__xludf.DUMMYFUNCTION("""COMPUTED_VALUE"""),"FU 3 Juni")</f>
        <v>FU 3 Juni</v>
      </c>
      <c r="E74" s="170"/>
      <c r="F74" s="53"/>
      <c r="G74" s="53"/>
      <c r="H74" s="53"/>
      <c r="I74" s="171"/>
      <c r="J74" s="170"/>
      <c r="K74" s="53"/>
      <c r="L74" s="53"/>
      <c r="M74" s="53"/>
      <c r="N74" s="171"/>
      <c r="O74" s="170"/>
      <c r="P74" s="53"/>
      <c r="Q74" s="53"/>
      <c r="R74" s="53"/>
      <c r="S74" s="171"/>
      <c r="T74" s="170"/>
      <c r="U74" s="53"/>
      <c r="V74" s="53"/>
      <c r="W74" s="53"/>
      <c r="X74" s="171"/>
      <c r="Y74" s="170"/>
      <c r="Z74" s="170"/>
      <c r="AA74" s="170"/>
      <c r="AB74" s="170"/>
      <c r="AC74" s="170"/>
      <c r="AD74" s="53"/>
      <c r="AE74" s="53"/>
    </row>
    <row r="75">
      <c r="A75" s="53"/>
      <c r="B75" s="53" t="str">
        <f>IFERROR(__xludf.DUMMYFUNCTION("""COMPUTED_VALUE"""),"2605D107
Irin
082114140111
Website")</f>
        <v>2605D107
Irin
082114140111
Website</v>
      </c>
      <c r="C75" s="168" t="str">
        <f>IFERROR(__xludf.DUMMYFUNCTION("""COMPUTED_VALUE"""),"
 pax
Rp0")</f>
        <v>
 pax
Rp0</v>
      </c>
      <c r="D75" s="169" t="str">
        <f>IFERROR(__xludf.DUMMYFUNCTION("""COMPUTED_VALUE"""),"masihh nyapa")</f>
        <v>masihh nyapa</v>
      </c>
      <c r="E75" s="170"/>
      <c r="F75" s="53"/>
      <c r="G75" s="53"/>
      <c r="H75" s="53"/>
      <c r="I75" s="171"/>
      <c r="J75" s="170"/>
      <c r="K75" s="53"/>
      <c r="L75" s="53"/>
      <c r="M75" s="53"/>
      <c r="N75" s="171"/>
      <c r="O75" s="170"/>
      <c r="P75" s="53"/>
      <c r="Q75" s="53"/>
      <c r="R75" s="53"/>
      <c r="S75" s="171"/>
      <c r="T75" s="170"/>
      <c r="U75" s="53"/>
      <c r="V75" s="53"/>
      <c r="W75" s="53"/>
      <c r="X75" s="171"/>
      <c r="Y75" s="170"/>
      <c r="Z75" s="170"/>
      <c r="AA75" s="170"/>
      <c r="AB75" s="170"/>
      <c r="AC75" s="170"/>
      <c r="AD75" s="53"/>
      <c r="AE75" s="53"/>
    </row>
    <row r="76">
      <c r="A76" s="53"/>
      <c r="B76" s="53" t="str">
        <f>IFERROR(__xludf.DUMMYFUNCTION("""COMPUTED_VALUE"""),"2605D108
Nindya 
081284177651
Website")</f>
        <v>2605D108
Nindya 
081284177651
Website</v>
      </c>
      <c r="C76" s="168" t="str">
        <f>IFERROR(__xludf.DUMMYFUNCTION("""COMPUTED_VALUE"""),"2H1M opsi B
46203
3 pax
Rp0")</f>
        <v>2H1M opsi B
46203
3 pax
Rp0</v>
      </c>
      <c r="D76" s="169" t="str">
        <f>IFERROR(__xludf.DUMMYFUNCTION("""COMPUTED_VALUE"""),"FU 8 Juni")</f>
        <v>FU 8 Juni</v>
      </c>
      <c r="E76" s="170"/>
      <c r="F76" s="53"/>
      <c r="G76" s="53"/>
      <c r="H76" s="53"/>
      <c r="I76" s="171"/>
      <c r="J76" s="170"/>
      <c r="K76" s="53"/>
      <c r="L76" s="53"/>
      <c r="M76" s="53"/>
      <c r="N76" s="171"/>
      <c r="O76" s="170"/>
      <c r="P76" s="53"/>
      <c r="Q76" s="53"/>
      <c r="R76" s="53"/>
      <c r="S76" s="171"/>
      <c r="T76" s="170"/>
      <c r="U76" s="53"/>
      <c r="V76" s="53"/>
      <c r="W76" s="53"/>
      <c r="X76" s="171"/>
      <c r="Y76" s="170"/>
      <c r="Z76" s="170"/>
      <c r="AA76" s="170"/>
      <c r="AB76" s="170"/>
      <c r="AC76" s="170"/>
      <c r="AD76" s="53"/>
      <c r="AE76" s="53"/>
    </row>
    <row r="77">
      <c r="A77" s="53"/>
      <c r="B77" s="53" t="str">
        <f>IFERROR(__xludf.DUMMYFUNCTION("""COMPUTED_VALUE"""),"2605D109
Cucu siti Hotijah
081214558682
Website")</f>
        <v>2605D109
Cucu siti Hotijah
081214558682
Website</v>
      </c>
      <c r="C77" s="168" t="str">
        <f>IFERROR(__xludf.DUMMYFUNCTION("""COMPUTED_VALUE"""),"3H2M
2 pax
Rp0")</f>
        <v>3H2M
2 pax
Rp0</v>
      </c>
      <c r="D77" s="169" t="str">
        <f>IFERROR(__xludf.DUMMYFUNCTION("""COMPUTED_VALUE"""),"FU mendekati bulan desember")</f>
        <v>FU mendekati bulan desember</v>
      </c>
      <c r="E77" s="170"/>
      <c r="F77" s="53"/>
      <c r="G77" s="53"/>
      <c r="H77" s="53"/>
      <c r="I77" s="171"/>
      <c r="J77" s="170"/>
      <c r="K77" s="53"/>
      <c r="L77" s="53"/>
      <c r="M77" s="53"/>
      <c r="N77" s="171"/>
      <c r="O77" s="170"/>
      <c r="P77" s="53"/>
      <c r="Q77" s="53"/>
      <c r="R77" s="53"/>
      <c r="S77" s="171"/>
      <c r="T77" s="170"/>
      <c r="U77" s="53"/>
      <c r="V77" s="53"/>
      <c r="W77" s="53"/>
      <c r="X77" s="171"/>
      <c r="Y77" s="170"/>
      <c r="Z77" s="170"/>
      <c r="AA77" s="170"/>
      <c r="AB77" s="170"/>
      <c r="AC77" s="170"/>
      <c r="AD77" s="53"/>
      <c r="AE77" s="53"/>
    </row>
    <row r="78">
      <c r="A78" s="53"/>
      <c r="B78" s="53" t="str">
        <f>IFERROR(__xludf.DUMMYFUNCTION("""COMPUTED_VALUE"""),"2605D113
Dr. Masza
081216909886
Lainnya")</f>
        <v>2605D113
Dr. Masza
081216909886
Lainnya</v>
      </c>
      <c r="C78" s="168" t="str">
        <f>IFERROR(__xludf.DUMMYFUNCTION("""COMPUTED_VALUE"""),"OT MT
3 pax
Rp0")</f>
        <v>OT MT
3 pax
Rp0</v>
      </c>
      <c r="D78" s="169" t="str">
        <f>IFERROR(__xludf.DUMMYFUNCTION("""COMPUTED_VALUE"""),"FU 19 Juni")</f>
        <v>FU 19 Juni</v>
      </c>
      <c r="E78" s="170"/>
      <c r="F78" s="53"/>
      <c r="G78" s="53"/>
      <c r="H78" s="53"/>
      <c r="I78" s="171"/>
      <c r="J78" s="170"/>
      <c r="K78" s="53"/>
      <c r="L78" s="53"/>
      <c r="M78" s="53"/>
      <c r="N78" s="171"/>
      <c r="O78" s="170"/>
      <c r="P78" s="53"/>
      <c r="Q78" s="53"/>
      <c r="R78" s="53"/>
      <c r="S78" s="171"/>
      <c r="T78" s="170"/>
      <c r="U78" s="53"/>
      <c r="V78" s="53"/>
      <c r="W78" s="53"/>
      <c r="X78" s="171"/>
      <c r="Y78" s="170"/>
      <c r="Z78" s="170"/>
      <c r="AA78" s="170"/>
      <c r="AB78" s="170"/>
      <c r="AC78" s="170"/>
      <c r="AD78" s="53"/>
      <c r="AE78" s="53"/>
    </row>
    <row r="79">
      <c r="A79" s="53"/>
      <c r="B79" s="53" t="str">
        <f>IFERROR(__xludf.DUMMYFUNCTION("""COMPUTED_VALUE"""),"2605D120
Zanura
082113925550
Website")</f>
        <v>2605D120
Zanura
082113925550
Website</v>
      </c>
      <c r="C79" s="168" t="str">
        <f>IFERROR(__xludf.DUMMYFUNCTION("""COMPUTED_VALUE"""),"3H2M custome
4 pax
Rp0")</f>
        <v>3H2M custome
4 pax
Rp0</v>
      </c>
      <c r="D79" s="169" t="str">
        <f>IFERROR(__xludf.DUMMYFUNCTION("""COMPUTED_VALUE"""),"FU 6 Juni")</f>
        <v>FU 6 Juni</v>
      </c>
      <c r="E79" s="170"/>
      <c r="F79" s="53"/>
      <c r="G79" s="53"/>
      <c r="H79" s="53"/>
      <c r="I79" s="171"/>
      <c r="J79" s="170"/>
      <c r="K79" s="53"/>
      <c r="L79" s="53"/>
      <c r="M79" s="53"/>
      <c r="N79" s="171"/>
      <c r="O79" s="170"/>
      <c r="P79" s="53"/>
      <c r="Q79" s="53"/>
      <c r="R79" s="53"/>
      <c r="S79" s="171"/>
      <c r="T79" s="170"/>
      <c r="U79" s="53"/>
      <c r="V79" s="53"/>
      <c r="W79" s="53"/>
      <c r="X79" s="171"/>
      <c r="Y79" s="170"/>
      <c r="Z79" s="170"/>
      <c r="AA79" s="170"/>
      <c r="AB79" s="170"/>
      <c r="AC79" s="170"/>
      <c r="AD79" s="53"/>
      <c r="AE79" s="53"/>
    </row>
    <row r="80">
      <c r="A80" s="53"/>
      <c r="B80" s="53" t="str">
        <f>IFERROR(__xludf.DUMMYFUNCTION("""COMPUTED_VALUE"""),"2605D121
Sofie
085900045354
Instagram")</f>
        <v>2605D121
Sofie
085900045354
Instagram</v>
      </c>
      <c r="C80" s="168" t="str">
        <f>IFERROR(__xludf.DUMMYFUNCTION("""COMPUTED_VALUE"""),"OT 3h2m 
46203
 pax
Rp0")</f>
        <v>OT 3h2m 
46203
 pax
Rp0</v>
      </c>
      <c r="D80" s="169" t="str">
        <f>IFERROR(__xludf.DUMMYFUNCTION("""COMPUTED_VALUE"""),"blm kasih tgl, FU 6 Juni")</f>
        <v>blm kasih tgl, FU 6 Juni</v>
      </c>
      <c r="E80" s="170"/>
      <c r="F80" s="53"/>
      <c r="G80" s="53"/>
      <c r="H80" s="53"/>
      <c r="I80" s="171"/>
      <c r="J80" s="170"/>
      <c r="K80" s="53"/>
      <c r="L80" s="53"/>
      <c r="M80" s="53"/>
      <c r="N80" s="171"/>
      <c r="O80" s="170"/>
      <c r="P80" s="53"/>
      <c r="Q80" s="53"/>
      <c r="R80" s="53"/>
      <c r="S80" s="171"/>
      <c r="T80" s="170"/>
      <c r="U80" s="53"/>
      <c r="V80" s="53"/>
      <c r="W80" s="53"/>
      <c r="X80" s="171"/>
      <c r="Y80" s="170"/>
      <c r="Z80" s="170"/>
      <c r="AA80" s="170"/>
      <c r="AB80" s="170"/>
      <c r="AC80" s="170"/>
      <c r="AD80" s="53"/>
      <c r="AE80" s="53"/>
    </row>
    <row r="81">
      <c r="A81" s="53"/>
      <c r="B81" s="53" t="str">
        <f>IFERROR(__xludf.DUMMYFUNCTION("""COMPUTED_VALUE"""),"2605D122 
Bani 
088227967462
Website")</f>
        <v>2605D122 
Bani 
088227967462
Website</v>
      </c>
      <c r="C81" s="168" t="str">
        <f>IFERROR(__xludf.DUMMYFUNCTION("""COMPUTED_VALUE"""),"OT GI, Teluk ijo
46187
2 pax
Rp0")</f>
        <v>OT GI, Teluk ijo
46187
2 pax
Rp0</v>
      </c>
      <c r="D81" s="169" t="str">
        <f>IFERROR(__xludf.DUMMYFUNCTION("""COMPUTED_VALUE"""),"FU 4 Juni")</f>
        <v>FU 4 Juni</v>
      </c>
      <c r="E81" s="170"/>
      <c r="F81" s="53"/>
      <c r="G81" s="53"/>
      <c r="H81" s="53"/>
      <c r="I81" s="171"/>
      <c r="J81" s="170"/>
      <c r="K81" s="53"/>
      <c r="L81" s="53"/>
      <c r="M81" s="53"/>
      <c r="N81" s="171"/>
      <c r="O81" s="170"/>
      <c r="P81" s="53"/>
      <c r="Q81" s="53"/>
      <c r="R81" s="53"/>
      <c r="S81" s="171"/>
      <c r="T81" s="170"/>
      <c r="U81" s="53"/>
      <c r="V81" s="53"/>
      <c r="W81" s="53"/>
      <c r="X81" s="171"/>
      <c r="Y81" s="170"/>
      <c r="Z81" s="170"/>
      <c r="AA81" s="170"/>
      <c r="AB81" s="170"/>
      <c r="AC81" s="170"/>
      <c r="AD81" s="53"/>
      <c r="AE81" s="53"/>
    </row>
    <row r="82">
      <c r="A82" s="53"/>
      <c r="B82" s="53" t="str">
        <f>IFERROR(__xludf.DUMMYFUNCTION("""COMPUTED_VALUE"""),"2605D124
Feni
089605532749
Website")</f>
        <v>2605D124
Feni
089605532749
Website</v>
      </c>
      <c r="C82" s="168" t="str">
        <f>IFERROR(__xludf.DUMMYFUNCTION("""COMPUTED_VALUE"""),"OT MT
 pax
Rp0")</f>
        <v>OT MT
 pax
Rp0</v>
      </c>
      <c r="D82" s="169" t="str">
        <f>IFERROR(__xludf.DUMMYFUNCTION("""COMPUTED_VALUE"""),"masih cek jadwal, FU 10 Juni ")</f>
        <v>masih cek jadwal, FU 10 Juni </v>
      </c>
      <c r="E82" s="170"/>
      <c r="F82" s="53"/>
      <c r="G82" s="53"/>
      <c r="H82" s="53"/>
      <c r="I82" s="171"/>
      <c r="J82" s="170"/>
      <c r="K82" s="53"/>
      <c r="L82" s="53"/>
      <c r="M82" s="53"/>
      <c r="N82" s="171"/>
      <c r="O82" s="170"/>
      <c r="P82" s="53"/>
      <c r="Q82" s="53"/>
      <c r="R82" s="53"/>
      <c r="S82" s="171"/>
      <c r="T82" s="170"/>
      <c r="U82" s="53"/>
      <c r="V82" s="53"/>
      <c r="W82" s="53"/>
      <c r="X82" s="171"/>
      <c r="Y82" s="170"/>
      <c r="Z82" s="170"/>
      <c r="AA82" s="170"/>
      <c r="AB82" s="170"/>
      <c r="AC82" s="170"/>
      <c r="AD82" s="53"/>
      <c r="AE82" s="53"/>
    </row>
    <row r="83">
      <c r="A83" s="53"/>
      <c r="B83" s="53" t="str">
        <f>IFERROR(__xludf.DUMMYFUNCTION("""COMPUTED_VALUE"""),"2605D126
Dhien citra 
081289081004
Instagram")</f>
        <v>2605D126
Dhien citra 
081289081004
Instagram</v>
      </c>
      <c r="C83" s="168" t="str">
        <f>IFERROR(__xludf.DUMMYFUNCTION("""COMPUTED_VALUE"""),"OT 3h2m 
46244
2 pax
Rp0")</f>
        <v>OT 3h2m 
46244
2 pax
Rp0</v>
      </c>
      <c r="D83" s="169" t="str">
        <f>IFERROR(__xludf.DUMMYFUNCTION("""COMPUTED_VALUE"""),"FU 25 Juni")</f>
        <v>FU 25 Juni</v>
      </c>
      <c r="E83" s="170"/>
      <c r="F83" s="53"/>
      <c r="G83" s="53"/>
      <c r="H83" s="53"/>
      <c r="I83" s="171"/>
      <c r="J83" s="170"/>
      <c r="K83" s="53"/>
      <c r="L83" s="53"/>
      <c r="M83" s="53"/>
      <c r="N83" s="171"/>
      <c r="O83" s="170"/>
      <c r="P83" s="53"/>
      <c r="Q83" s="53"/>
      <c r="R83" s="53"/>
      <c r="S83" s="171"/>
      <c r="T83" s="170"/>
      <c r="U83" s="53"/>
      <c r="V83" s="53"/>
      <c r="W83" s="53"/>
      <c r="X83" s="171"/>
      <c r="Y83" s="170"/>
      <c r="Z83" s="170"/>
      <c r="AA83" s="170"/>
      <c r="AB83" s="170"/>
      <c r="AC83" s="170"/>
      <c r="AD83" s="53"/>
      <c r="AE83" s="53"/>
    </row>
    <row r="84">
      <c r="A84" s="53"/>
      <c r="B84" s="53" t="str">
        <f>IFERROR(__xludf.DUMMYFUNCTION("""COMPUTED_VALUE"""),"2605D127
Liya.amsaroh
08112923117
Instagram")</f>
        <v>2605D127
Liya.amsaroh
08112923117
Instagram</v>
      </c>
      <c r="C84" s="168" t="str">
        <f>IFERROR(__xludf.DUMMYFUNCTION("""COMPUTED_VALUE"""),"2h1m custome
46194
4 pax
Rp0")</f>
        <v>2h1m custome
46194
4 pax
Rp0</v>
      </c>
      <c r="D84" s="169" t="str">
        <f>IFERROR(__xludf.DUMMYFUNCTION("""COMPUTED_VALUE"""),"minta pricelist ")</f>
        <v>minta pricelist </v>
      </c>
      <c r="E84" s="170"/>
      <c r="F84" s="53"/>
      <c r="G84" s="53"/>
      <c r="H84" s="53"/>
      <c r="I84" s="171"/>
      <c r="J84" s="170"/>
      <c r="K84" s="53"/>
      <c r="L84" s="53"/>
      <c r="M84" s="53"/>
      <c r="N84" s="171"/>
      <c r="O84" s="170"/>
      <c r="P84" s="53"/>
      <c r="Q84" s="53"/>
      <c r="R84" s="53"/>
      <c r="S84" s="171"/>
      <c r="T84" s="170"/>
      <c r="U84" s="53"/>
      <c r="V84" s="53"/>
      <c r="W84" s="53"/>
      <c r="X84" s="171"/>
      <c r="Y84" s="170"/>
      <c r="Z84" s="170"/>
      <c r="AA84" s="170"/>
      <c r="AB84" s="170"/>
      <c r="AC84" s="170"/>
      <c r="AD84" s="53"/>
      <c r="AE84" s="53"/>
    </row>
    <row r="85">
      <c r="A85" s="53"/>
      <c r="B85" s="53" t="str">
        <f>IFERROR(__xludf.DUMMYFUNCTION("""COMPUTED_VALUE"""),"2605D128
Shoumi Damayanti
081905000460
Website")</f>
        <v>2605D128
Shoumi Damayanti
081905000460
Website</v>
      </c>
      <c r="C85" s="168" t="str">
        <f>IFERROR(__xludf.DUMMYFUNCTION("""COMPUTED_VALUE"""),"3h2m opsi A
46194
10 pax
Rp0")</f>
        <v>3h2m opsi A
46194
10 pax
Rp0</v>
      </c>
      <c r="D85" s="169"/>
      <c r="E85" s="170"/>
      <c r="F85" s="53"/>
      <c r="G85" s="53"/>
      <c r="H85" s="53"/>
      <c r="I85" s="171"/>
      <c r="J85" s="170"/>
      <c r="K85" s="53"/>
      <c r="L85" s="53"/>
      <c r="M85" s="53"/>
      <c r="N85" s="171"/>
      <c r="O85" s="170"/>
      <c r="P85" s="53"/>
      <c r="Q85" s="53"/>
      <c r="R85" s="53"/>
      <c r="S85" s="171"/>
      <c r="T85" s="170"/>
      <c r="U85" s="53"/>
      <c r="V85" s="53"/>
      <c r="W85" s="53"/>
      <c r="X85" s="171"/>
      <c r="Y85" s="170"/>
      <c r="Z85" s="170"/>
      <c r="AA85" s="170"/>
      <c r="AB85" s="170"/>
      <c r="AC85" s="170"/>
      <c r="AD85" s="53"/>
      <c r="AE85" s="53"/>
    </row>
    <row r="86">
      <c r="A86" s="53"/>
      <c r="B86" s="53" t="str">
        <f>IFERROR(__xludf.DUMMYFUNCTION("""COMPUTED_VALUE"""),"2605D133
Memey
08562585352
Instagram")</f>
        <v>2605D133
Memey
08562585352
Instagram</v>
      </c>
      <c r="C86" s="168" t="str">
        <f>IFERROR(__xludf.DUMMYFUNCTION("""COMPUTED_VALUE"""),"2H1M custome
2 pax
Rp0")</f>
        <v>2H1M custome
2 pax
Rp0</v>
      </c>
      <c r="D86" s="169" t="str">
        <f>IFERROR(__xludf.DUMMYFUNCTION("""COMPUTED_VALUE"""),"nanti dikabarin nunggu cuti acc, FU 1 Juni")</f>
        <v>nanti dikabarin nunggu cuti acc, FU 1 Juni</v>
      </c>
      <c r="E86" s="170"/>
      <c r="F86" s="53"/>
      <c r="G86" s="53"/>
      <c r="H86" s="53"/>
      <c r="I86" s="171"/>
      <c r="J86" s="170"/>
      <c r="K86" s="53"/>
      <c r="L86" s="53"/>
      <c r="M86" s="53"/>
      <c r="N86" s="171"/>
      <c r="O86" s="170"/>
      <c r="P86" s="53"/>
      <c r="Q86" s="53"/>
      <c r="R86" s="53"/>
      <c r="S86" s="171"/>
      <c r="T86" s="170"/>
      <c r="U86" s="53"/>
      <c r="V86" s="53"/>
      <c r="W86" s="53"/>
      <c r="X86" s="171"/>
      <c r="Y86" s="170"/>
      <c r="Z86" s="170"/>
      <c r="AA86" s="170"/>
      <c r="AB86" s="170"/>
      <c r="AC86" s="170"/>
      <c r="AD86" s="53"/>
      <c r="AE86" s="53"/>
    </row>
    <row r="87">
      <c r="A87" s="53"/>
      <c r="B87" s="53" t="str">
        <f>IFERROR(__xludf.DUMMYFUNCTION("""COMPUTED_VALUE"""),"2605D134
Enung Asih Gandirum
08122180908
Website")</f>
        <v>2605D134
Enung Asih Gandirum
08122180908
Website</v>
      </c>
      <c r="C87" s="168" t="str">
        <f>IFERROR(__xludf.DUMMYFUNCTION("""COMPUTED_VALUE"""),"2H1M opsi C
2 pax
Rp0")</f>
        <v>2H1M opsi C
2 pax
Rp0</v>
      </c>
      <c r="D87" s="169" t="str">
        <f>IFERROR(__xludf.DUMMYFUNCTION("""COMPUTED_VALUE"""),"blm tau tglnya, FU 1 Juni")</f>
        <v>blm tau tglnya, FU 1 Juni</v>
      </c>
      <c r="E87" s="170"/>
      <c r="F87" s="53"/>
      <c r="G87" s="53"/>
      <c r="H87" s="53"/>
      <c r="I87" s="171"/>
      <c r="J87" s="170"/>
      <c r="K87" s="53"/>
      <c r="L87" s="53"/>
      <c r="M87" s="53"/>
      <c r="N87" s="171"/>
      <c r="O87" s="170"/>
      <c r="P87" s="53"/>
      <c r="Q87" s="53"/>
      <c r="R87" s="53"/>
      <c r="S87" s="171"/>
      <c r="T87" s="170"/>
      <c r="U87" s="53"/>
      <c r="V87" s="53"/>
      <c r="W87" s="53"/>
      <c r="X87" s="171"/>
      <c r="Y87" s="170"/>
      <c r="Z87" s="170"/>
      <c r="AA87" s="170"/>
      <c r="AB87" s="170"/>
      <c r="AC87" s="170"/>
      <c r="AD87" s="53"/>
      <c r="AE87" s="53"/>
    </row>
    <row r="88">
      <c r="A88" s="53"/>
      <c r="B88" s="53" t="str">
        <f>IFERROR(__xludf.DUMMYFUNCTION("""COMPUTED_VALUE"""),"2605D136
Karina
085156570817
Instagram")</f>
        <v>2605D136
Karina
085156570817
Instagram</v>
      </c>
      <c r="C88" s="168" t="str">
        <f>IFERROR(__xludf.DUMMYFUNCTION("""COMPUTED_VALUE"""),"4H3M
 pax
Rp0")</f>
        <v>4H3M
 pax
Rp0</v>
      </c>
      <c r="D88" s="169" t="str">
        <f>IFERROR(__xludf.DUMMYFUNCTION("""COMPUTED_VALUE"""),"belum balas lagi   ")</f>
        <v>belum balas lagi   </v>
      </c>
      <c r="E88" s="170"/>
      <c r="F88" s="53"/>
      <c r="G88" s="53"/>
      <c r="H88" s="53"/>
      <c r="I88" s="171"/>
      <c r="J88" s="170"/>
      <c r="K88" s="53"/>
      <c r="L88" s="53"/>
      <c r="M88" s="53"/>
      <c r="N88" s="171"/>
      <c r="O88" s="170"/>
      <c r="P88" s="53"/>
      <c r="Q88" s="53"/>
      <c r="R88" s="53"/>
      <c r="S88" s="171"/>
      <c r="T88" s="170"/>
      <c r="U88" s="53"/>
      <c r="V88" s="53"/>
      <c r="W88" s="53"/>
      <c r="X88" s="171"/>
      <c r="Y88" s="170"/>
      <c r="Z88" s="170"/>
      <c r="AA88" s="170"/>
      <c r="AB88" s="170"/>
      <c r="AC88" s="170"/>
      <c r="AD88" s="53"/>
      <c r="AE88" s="53"/>
    </row>
    <row r="89">
      <c r="A89" s="53"/>
      <c r="B89" s="53" t="str">
        <f>IFERROR(__xludf.DUMMYFUNCTION("""COMPUTED_VALUE"""),"2605D140
Farhan
081380146024
Instagram")</f>
        <v>2605D140
Farhan
081380146024
Instagram</v>
      </c>
      <c r="C89" s="168" t="str">
        <f>IFERROR(__xludf.DUMMYFUNCTION("""COMPUTED_VALUE"""),"3H2M opsi A
46209
2 pax
Rp0")</f>
        <v>3H2M opsi A
46209
2 pax
Rp0</v>
      </c>
      <c r="D89" s="169" t="str">
        <f>IFERROR(__xludf.DUMMYFUNCTION("""COMPUTED_VALUE"""),"nunggu info blue fire, FU 12 Juni")</f>
        <v>nunggu info blue fire, FU 12 Juni</v>
      </c>
      <c r="E89" s="170"/>
      <c r="F89" s="53"/>
      <c r="G89" s="53"/>
      <c r="H89" s="53"/>
      <c r="I89" s="171"/>
      <c r="J89" s="170"/>
      <c r="K89" s="53"/>
      <c r="L89" s="53"/>
      <c r="M89" s="53"/>
      <c r="N89" s="171"/>
      <c r="O89" s="170"/>
      <c r="P89" s="53"/>
      <c r="Q89" s="53"/>
      <c r="R89" s="53"/>
      <c r="S89" s="171"/>
      <c r="T89" s="170"/>
      <c r="U89" s="53"/>
      <c r="V89" s="53"/>
      <c r="W89" s="53"/>
      <c r="X89" s="171"/>
      <c r="Y89" s="170"/>
      <c r="Z89" s="170"/>
      <c r="AA89" s="170"/>
      <c r="AB89" s="170"/>
      <c r="AC89" s="170"/>
      <c r="AD89" s="53"/>
      <c r="AE89" s="53"/>
    </row>
    <row r="90">
      <c r="A90" s="53"/>
      <c r="B90" s="53" t="str">
        <f>IFERROR(__xludf.DUMMYFUNCTION("""COMPUTED_VALUE"""),"2605D142
No Name korban janji
081333550560
Tiktok")</f>
        <v>2605D142
No Name korban janji
081333550560
Tiktok</v>
      </c>
      <c r="C90" s="168" t="str">
        <f>IFERROR(__xludf.DUMMYFUNCTION("""COMPUTED_VALUE"""),"
1 pax
Rp0")</f>
        <v>
1 pax
Rp0</v>
      </c>
      <c r="D90" s="169" t="str">
        <f>IFERROR(__xludf.DUMMYFUNCTION("""COMPUTED_VALUE"""),"belum fiks mau trip yg mana, FU 6 Juni")</f>
        <v>belum fiks mau trip yg mana, FU 6 Juni</v>
      </c>
      <c r="E90" s="170"/>
      <c r="F90" s="53"/>
      <c r="G90" s="53"/>
      <c r="H90" s="53"/>
      <c r="I90" s="171"/>
      <c r="J90" s="170"/>
      <c r="K90" s="53"/>
      <c r="L90" s="53"/>
      <c r="M90" s="53"/>
      <c r="N90" s="171"/>
      <c r="O90" s="170"/>
      <c r="P90" s="53"/>
      <c r="Q90" s="53"/>
      <c r="R90" s="53"/>
      <c r="S90" s="171"/>
      <c r="T90" s="170"/>
      <c r="U90" s="53"/>
      <c r="V90" s="53"/>
      <c r="W90" s="53"/>
      <c r="X90" s="171"/>
      <c r="Y90" s="170"/>
      <c r="Z90" s="170"/>
      <c r="AA90" s="170"/>
      <c r="AB90" s="170"/>
      <c r="AC90" s="170"/>
      <c r="AD90" s="53"/>
      <c r="AE90" s="53"/>
    </row>
    <row r="91">
      <c r="A91" s="53"/>
      <c r="B91" s="53" t="str">
        <f>IFERROR(__xludf.DUMMYFUNCTION("""COMPUTED_VALUE"""),"2605D145
Bustomi
081220030020
Website")</f>
        <v>2605D145
Bustomi
081220030020
Website</v>
      </c>
      <c r="C91" s="168" t="str">
        <f>IFERROR(__xludf.DUMMYFUNCTION("""COMPUTED_VALUE"""),"3h2m 
46388
8 pax
Rp0")</f>
        <v>3h2m 
46388
8 pax
Rp0</v>
      </c>
      <c r="D91" s="169" t="str">
        <f>IFERROR(__xludf.DUMMYFUNCTION("""COMPUTED_VALUE"""),"buat penawaran")</f>
        <v>buat penawaran</v>
      </c>
      <c r="E91" s="170"/>
      <c r="F91" s="53"/>
      <c r="G91" s="53"/>
      <c r="H91" s="53"/>
      <c r="I91" s="171"/>
      <c r="J91" s="170"/>
      <c r="K91" s="53"/>
      <c r="L91" s="53"/>
      <c r="M91" s="53"/>
      <c r="N91" s="171"/>
      <c r="O91" s="170"/>
      <c r="P91" s="53"/>
      <c r="Q91" s="53"/>
      <c r="R91" s="53"/>
      <c r="S91" s="171"/>
      <c r="T91" s="170"/>
      <c r="U91" s="53"/>
      <c r="V91" s="53"/>
      <c r="W91" s="53"/>
      <c r="X91" s="171"/>
      <c r="Y91" s="170"/>
      <c r="Z91" s="170"/>
      <c r="AA91" s="170"/>
      <c r="AB91" s="170"/>
      <c r="AC91" s="170"/>
      <c r="AD91" s="53"/>
      <c r="AE91" s="53"/>
    </row>
    <row r="92">
      <c r="A92" s="53"/>
      <c r="B92" s="53" t="str">
        <f>IFERROR(__xludf.DUMMYFUNCTION("""COMPUTED_VALUE"""),"2605D147
Rahayu
085231166604
Website")</f>
        <v>2605D147
Rahayu
085231166604
Website</v>
      </c>
      <c r="C92" s="168" t="str">
        <f>IFERROR(__xludf.DUMMYFUNCTION("""COMPUTED_VALUE"""),"2h1m custome
4 pax
Rp0")</f>
        <v>2h1m custome
4 pax
Rp0</v>
      </c>
      <c r="D92" s="169"/>
      <c r="E92" s="170"/>
      <c r="F92" s="53"/>
      <c r="G92" s="53"/>
      <c r="H92" s="53"/>
      <c r="I92" s="171"/>
      <c r="J92" s="170"/>
      <c r="K92" s="53"/>
      <c r="L92" s="53"/>
      <c r="M92" s="53"/>
      <c r="N92" s="171"/>
      <c r="O92" s="170"/>
      <c r="P92" s="53"/>
      <c r="Q92" s="53"/>
      <c r="R92" s="53"/>
      <c r="S92" s="171"/>
      <c r="T92" s="170"/>
      <c r="U92" s="53"/>
      <c r="V92" s="53"/>
      <c r="W92" s="53"/>
      <c r="X92" s="171"/>
      <c r="Y92" s="170"/>
      <c r="Z92" s="170"/>
      <c r="AA92" s="170"/>
      <c r="AB92" s="170"/>
      <c r="AC92" s="170"/>
      <c r="AD92" s="53"/>
      <c r="AE92" s="53"/>
    </row>
    <row r="93">
      <c r="A93" s="53"/>
      <c r="B93" s="53" t="str">
        <f>IFERROR(__xludf.DUMMYFUNCTION("""COMPUTED_VALUE"""),"2605D148
Rann
972544922252
Instagram")</f>
        <v>2605D148
Rann
972544922252
Instagram</v>
      </c>
      <c r="C93" s="168" t="str">
        <f>IFERROR(__xludf.DUMMYFUNCTION("""COMPUTED_VALUE"""),"Ijen, Djawatan
2 pax
Rp0")</f>
        <v>Ijen, Djawatan
2 pax
Rp0</v>
      </c>
      <c r="D93" s="169" t="str">
        <f>IFERROR(__xludf.DUMMYFUNCTION("""COMPUTED_VALUE"""),"belum balas lagi")</f>
        <v>belum balas lagi</v>
      </c>
      <c r="E93" s="170"/>
      <c r="F93" s="53"/>
      <c r="G93" s="53"/>
      <c r="H93" s="53"/>
      <c r="I93" s="171"/>
      <c r="J93" s="170"/>
      <c r="K93" s="53"/>
      <c r="L93" s="53"/>
      <c r="M93" s="53"/>
      <c r="N93" s="171"/>
      <c r="O93" s="170"/>
      <c r="P93" s="53"/>
      <c r="Q93" s="53"/>
      <c r="R93" s="53"/>
      <c r="S93" s="171"/>
      <c r="T93" s="170"/>
      <c r="U93" s="53"/>
      <c r="V93" s="53"/>
      <c r="W93" s="53"/>
      <c r="X93" s="171"/>
      <c r="Y93" s="170"/>
      <c r="Z93" s="170"/>
      <c r="AA93" s="170"/>
      <c r="AB93" s="170"/>
      <c r="AC93" s="170"/>
      <c r="AD93" s="53"/>
      <c r="AE93" s="53"/>
    </row>
    <row r="94">
      <c r="A94" s="53"/>
      <c r="B94" s="53" t="str">
        <f>IFERROR(__xludf.DUMMYFUNCTION("""COMPUTED_VALUE"""),"2605D149
Agusdrmwn
089624718830
Instagram")</f>
        <v>2605D149
Agusdrmwn
089624718830
Instagram</v>
      </c>
      <c r="C94" s="168" t="str">
        <f>IFERROR(__xludf.DUMMYFUNCTION("""COMPUTED_VALUE"""),"1D trip
46114 pax
Rp0")</f>
        <v>1D trip
46114 pax
Rp0</v>
      </c>
      <c r="D94" s="169" t="str">
        <f>IFERROR(__xludf.DUMMYFUNCTION("""COMPUTED_VALUE"""),"FU 6 Juni")</f>
        <v>FU 6 Juni</v>
      </c>
      <c r="E94" s="170"/>
      <c r="F94" s="53"/>
      <c r="G94" s="53"/>
      <c r="H94" s="53"/>
      <c r="I94" s="171"/>
      <c r="J94" s="170"/>
      <c r="K94" s="53"/>
      <c r="L94" s="53"/>
      <c r="M94" s="53"/>
      <c r="N94" s="171"/>
      <c r="O94" s="170"/>
      <c r="P94" s="53"/>
      <c r="Q94" s="53"/>
      <c r="R94" s="53"/>
      <c r="S94" s="171"/>
      <c r="T94" s="170"/>
      <c r="U94" s="53"/>
      <c r="V94" s="53"/>
      <c r="W94" s="53"/>
      <c r="X94" s="171"/>
      <c r="Y94" s="170"/>
      <c r="Z94" s="170"/>
      <c r="AA94" s="170"/>
      <c r="AB94" s="170"/>
      <c r="AC94" s="170"/>
      <c r="AD94" s="53"/>
      <c r="AE94" s="53"/>
    </row>
    <row r="95">
      <c r="A95" s="53"/>
      <c r="B95" s="53" t="str">
        <f>IFERROR(__xludf.DUMMYFUNCTION("""COMPUTED_VALUE"""),"2605D153
Lia
082243948501
Instagram")</f>
        <v>2605D153
Lia
082243948501
Instagram</v>
      </c>
      <c r="C95" s="168" t="str">
        <f>IFERROR(__xludf.DUMMYFUNCTION("""COMPUTED_VALUE"""),"OT MT
 pax
Rp0")</f>
        <v>OT MT
 pax
Rp0</v>
      </c>
      <c r="D95" s="169" t="str">
        <f>IFERROR(__xludf.DUMMYFUNCTION("""COMPUTED_VALUE"""),"belum balas lagi, FU 4 Juni")</f>
        <v>belum balas lagi, FU 4 Juni</v>
      </c>
      <c r="E95" s="170"/>
      <c r="F95" s="53"/>
      <c r="G95" s="53"/>
      <c r="H95" s="53"/>
      <c r="I95" s="171"/>
      <c r="J95" s="170"/>
      <c r="K95" s="53"/>
      <c r="L95" s="53"/>
      <c r="M95" s="53"/>
      <c r="N95" s="171"/>
      <c r="O95" s="170"/>
      <c r="P95" s="53"/>
      <c r="Q95" s="53"/>
      <c r="R95" s="53"/>
      <c r="S95" s="171"/>
      <c r="T95" s="170"/>
      <c r="U95" s="53"/>
      <c r="V95" s="53"/>
      <c r="W95" s="53"/>
      <c r="X95" s="171"/>
      <c r="Y95" s="170"/>
      <c r="Z95" s="170"/>
      <c r="AA95" s="170"/>
      <c r="AB95" s="170"/>
      <c r="AC95" s="170"/>
      <c r="AD95" s="53"/>
      <c r="AE95" s="53"/>
    </row>
    <row r="96">
      <c r="A96" s="53"/>
      <c r="B96" s="53" t="str">
        <f>IFERROR(__xludf.DUMMYFUNCTION("""COMPUTED_VALUE"""),"2605D158
Firdah Tia Yuliana
081213575770
Website")</f>
        <v>2605D158
Firdah Tia Yuliana
081213575770
Website</v>
      </c>
      <c r="C96" s="168" t="str">
        <f>IFERROR(__xludf.DUMMYFUNCTION("""COMPUTED_VALUE"""),"3H2M opsi A
17 pax
Rp0")</f>
        <v>3H2M opsi A
17 pax
Rp0</v>
      </c>
      <c r="D96" s="169" t="str">
        <f>IFERROR(__xludf.DUMMYFUNCTION("""COMPUTED_VALUE"""),"buat penawaran")</f>
        <v>buat penawaran</v>
      </c>
      <c r="E96" s="170"/>
      <c r="F96" s="53"/>
      <c r="G96" s="53"/>
      <c r="H96" s="53"/>
      <c r="I96" s="171"/>
      <c r="J96" s="170"/>
      <c r="K96" s="53"/>
      <c r="L96" s="53"/>
      <c r="M96" s="53"/>
      <c r="N96" s="171"/>
      <c r="O96" s="170"/>
      <c r="P96" s="53"/>
      <c r="Q96" s="53"/>
      <c r="R96" s="53"/>
      <c r="S96" s="171"/>
      <c r="T96" s="170"/>
      <c r="U96" s="53"/>
      <c r="V96" s="53"/>
      <c r="W96" s="53"/>
      <c r="X96" s="171"/>
      <c r="Y96" s="170"/>
      <c r="Z96" s="170"/>
      <c r="AA96" s="170"/>
      <c r="AB96" s="170"/>
      <c r="AC96" s="170"/>
      <c r="AD96" s="53"/>
      <c r="AE96" s="53"/>
    </row>
    <row r="97">
      <c r="A97" s="53"/>
      <c r="B97" s="53" t="str">
        <f>IFERROR(__xludf.DUMMYFUNCTION("""COMPUTED_VALUE"""),"2605D161
No Name Kopi
085943433983
Instagram")</f>
        <v>2605D161
No Name Kopi
085943433983
Instagram</v>
      </c>
      <c r="C97" s="168" t="str">
        <f>IFERROR(__xludf.DUMMYFUNCTION("""COMPUTED_VALUE"""),"OT 3H2M 
 pax
Rp0")</f>
        <v>OT 3H2M 
 pax
Rp0</v>
      </c>
      <c r="D97" s="169" t="str">
        <f>IFERROR(__xludf.DUMMYFUNCTION("""COMPUTED_VALUE"""),"belum ada balasan, Fu 8 Juni")</f>
        <v>belum ada balasan, Fu 8 Juni</v>
      </c>
      <c r="E97" s="170"/>
      <c r="F97" s="53"/>
      <c r="G97" s="53"/>
      <c r="H97" s="53"/>
      <c r="I97" s="171"/>
      <c r="J97" s="170"/>
      <c r="K97" s="53"/>
      <c r="L97" s="53"/>
      <c r="M97" s="53"/>
      <c r="N97" s="171"/>
      <c r="O97" s="170"/>
      <c r="P97" s="53"/>
      <c r="Q97" s="53"/>
      <c r="R97" s="53"/>
      <c r="S97" s="171"/>
      <c r="T97" s="170"/>
      <c r="U97" s="53"/>
      <c r="V97" s="53"/>
      <c r="W97" s="53"/>
      <c r="X97" s="171"/>
      <c r="Y97" s="170"/>
      <c r="Z97" s="170"/>
      <c r="AA97" s="170"/>
      <c r="AB97" s="170"/>
      <c r="AC97" s="170"/>
      <c r="AD97" s="53"/>
      <c r="AE97" s="53"/>
    </row>
    <row r="98">
      <c r="A98" s="53"/>
      <c r="B98" s="53" t="str">
        <f>IFERROR(__xludf.DUMMYFUNCTION("""COMPUTED_VALUE"""),"2605D162
Momie Soe
087852782586
Lainnya")</f>
        <v>2605D162
Momie Soe
087852782586
Lainnya</v>
      </c>
      <c r="C98" s="168" t="str">
        <f>IFERROR(__xludf.DUMMYFUNCTION("""COMPUTED_VALUE"""),"trip djawatan baluran
 pax
Rp0")</f>
        <v>trip djawatan baluran
 pax
Rp0</v>
      </c>
      <c r="D98" s="169" t="str">
        <f>IFERROR(__xludf.DUMMYFUNCTION("""COMPUTED_VALUE"""),"belum ada balasan, Fu 8 Juni")</f>
        <v>belum ada balasan, Fu 8 Juni</v>
      </c>
      <c r="E98" s="170"/>
      <c r="F98" s="53"/>
      <c r="G98" s="53"/>
      <c r="H98" s="53"/>
      <c r="I98" s="171"/>
      <c r="J98" s="170"/>
      <c r="K98" s="53"/>
      <c r="L98" s="53"/>
      <c r="M98" s="53"/>
      <c r="N98" s="171"/>
      <c r="O98" s="170"/>
      <c r="P98" s="53"/>
      <c r="Q98" s="53"/>
      <c r="R98" s="53"/>
      <c r="S98" s="171"/>
      <c r="T98" s="170"/>
      <c r="U98" s="53"/>
      <c r="V98" s="53"/>
      <c r="W98" s="53"/>
      <c r="X98" s="171"/>
      <c r="Y98" s="170"/>
      <c r="Z98" s="170"/>
      <c r="AA98" s="170"/>
      <c r="AB98" s="170"/>
      <c r="AC98" s="170"/>
      <c r="AD98" s="53"/>
      <c r="AE98" s="53"/>
    </row>
    <row r="99">
      <c r="A99" s="53"/>
      <c r="B99" s="53" t="str">
        <f>IFERROR(__xludf.DUMMYFUNCTION("""COMPUTED_VALUE"""),"2605D163
Dessy
08131586257
Instagram")</f>
        <v>2605D163
Dessy
08131586257
Instagram</v>
      </c>
      <c r="C99" s="168" t="str">
        <f>IFERROR(__xludf.DUMMYFUNCTION("""COMPUTED_VALUE"""),"3h2m opsi A
 pax
Rp0")</f>
        <v>3h2m opsi A
 pax
Rp0</v>
      </c>
      <c r="D99" s="169" t="str">
        <f>IFERROR(__xludf.DUMMYFUNCTION("""COMPUTED_VALUE"""),"tanya additional GI, FU 8 Juni")</f>
        <v>tanya additional GI, FU 8 Juni</v>
      </c>
      <c r="E99" s="170"/>
      <c r="F99" s="53"/>
      <c r="G99" s="53"/>
      <c r="H99" s="53"/>
      <c r="I99" s="171"/>
      <c r="J99" s="170"/>
      <c r="K99" s="53"/>
      <c r="L99" s="53"/>
      <c r="M99" s="53"/>
      <c r="N99" s="171"/>
      <c r="O99" s="170"/>
      <c r="P99" s="53"/>
      <c r="Q99" s="53"/>
      <c r="R99" s="53"/>
      <c r="S99" s="171"/>
      <c r="T99" s="170"/>
      <c r="U99" s="53"/>
      <c r="V99" s="53"/>
      <c r="W99" s="53"/>
      <c r="X99" s="171"/>
      <c r="Y99" s="170"/>
      <c r="Z99" s="170"/>
      <c r="AA99" s="170"/>
      <c r="AB99" s="170"/>
      <c r="AC99" s="170"/>
      <c r="AD99" s="53"/>
      <c r="AE99" s="53"/>
    </row>
    <row r="100">
      <c r="A100" s="53"/>
      <c r="B100" s="53" t="str">
        <f>IFERROR(__xludf.DUMMYFUNCTION("""COMPUTED_VALUE"""),"2605D164
Annisa
085710168093
Instagram")</f>
        <v>2605D164
Annisa
085710168093
Instagram</v>
      </c>
      <c r="C100" s="168" t="str">
        <f>IFERROR(__xludf.DUMMYFUNCTION("""COMPUTED_VALUE"""),"OT GI 
46195
2 pax
Rp0")</f>
        <v>OT GI 
46195
2 pax
Rp0</v>
      </c>
      <c r="D100" s="169" t="str">
        <f>IFERROR(__xludf.DUMMYFUNCTION("""COMPUTED_VALUE"""),"FU 6 Juni")</f>
        <v>FU 6 Juni</v>
      </c>
      <c r="E100" s="170"/>
      <c r="F100" s="53"/>
      <c r="G100" s="53"/>
      <c r="H100" s="53"/>
      <c r="I100" s="171"/>
      <c r="J100" s="170"/>
      <c r="K100" s="53"/>
      <c r="L100" s="53"/>
      <c r="M100" s="53"/>
      <c r="N100" s="171"/>
      <c r="O100" s="170"/>
      <c r="P100" s="53"/>
      <c r="Q100" s="53"/>
      <c r="R100" s="53"/>
      <c r="S100" s="171"/>
      <c r="T100" s="170"/>
      <c r="U100" s="53"/>
      <c r="V100" s="53"/>
      <c r="W100" s="53"/>
      <c r="X100" s="171"/>
      <c r="Y100" s="170"/>
      <c r="Z100" s="170"/>
      <c r="AA100" s="170"/>
      <c r="AB100" s="170"/>
      <c r="AC100" s="170"/>
      <c r="AD100" s="53"/>
      <c r="AE100" s="53"/>
    </row>
    <row r="101">
      <c r="A101" s="53"/>
      <c r="B101" s="53" t="str">
        <f>IFERROR(__xludf.DUMMYFUNCTION("""COMPUTED_VALUE"""),"2605D165 
Stale
085134579266
Instagram")</f>
        <v>2605D165 
Stale
085134579266
Instagram</v>
      </c>
      <c r="C101" s="168" t="str">
        <f>IFERROR(__xludf.DUMMYFUNCTION("""COMPUTED_VALUE"""),"3h2m opsi A
2 pax
Rp0")</f>
        <v>3h2m opsi A
2 pax
Rp0</v>
      </c>
      <c r="D101" s="169" t="str">
        <f>IFERROR(__xludf.DUMMYFUNCTION("""COMPUTED_VALUE"""),"FU 2 Juni")</f>
        <v>FU 2 Juni</v>
      </c>
      <c r="E101" s="170"/>
      <c r="F101" s="53"/>
      <c r="G101" s="53"/>
      <c r="H101" s="53"/>
      <c r="I101" s="171"/>
      <c r="J101" s="170"/>
      <c r="K101" s="53"/>
      <c r="L101" s="53"/>
      <c r="M101" s="53"/>
      <c r="N101" s="171"/>
      <c r="O101" s="170"/>
      <c r="P101" s="53"/>
      <c r="Q101" s="53"/>
      <c r="R101" s="53"/>
      <c r="S101" s="171"/>
      <c r="T101" s="170"/>
      <c r="U101" s="53"/>
      <c r="V101" s="53"/>
      <c r="W101" s="53"/>
      <c r="X101" s="171"/>
      <c r="Y101" s="170"/>
      <c r="Z101" s="170"/>
      <c r="AA101" s="170"/>
      <c r="AB101" s="170"/>
      <c r="AC101" s="170"/>
      <c r="AD101" s="53"/>
      <c r="AE101" s="53"/>
    </row>
    <row r="102">
      <c r="A102" s="53"/>
      <c r="B102" s="53" t="str">
        <f>IFERROR(__xludf.DUMMYFUNCTION("""COMPUTED_VALUE"""),"2605D169
Bagus Budiono 
08812247507
Instagram")</f>
        <v>2605D169
Bagus Budiono 
08812247507
Instagram</v>
      </c>
      <c r="C102" s="168" t="str">
        <f>IFERROR(__xludf.DUMMYFUNCTION("""COMPUTED_VALUE"""),"trip Ijen/Ijen Baluran
46204
20 pax
Rp0")</f>
        <v>trip Ijen/Ijen Baluran
46204
20 pax
Rp0</v>
      </c>
      <c r="D102" s="169"/>
      <c r="E102" s="170"/>
      <c r="F102" s="53"/>
      <c r="G102" s="53"/>
      <c r="H102" s="53"/>
      <c r="I102" s="171"/>
      <c r="J102" s="170"/>
      <c r="K102" s="53"/>
      <c r="L102" s="53"/>
      <c r="M102" s="53"/>
      <c r="N102" s="171"/>
      <c r="O102" s="170"/>
      <c r="P102" s="53"/>
      <c r="Q102" s="53"/>
      <c r="R102" s="53"/>
      <c r="S102" s="171"/>
      <c r="T102" s="170"/>
      <c r="U102" s="53"/>
      <c r="V102" s="53"/>
      <c r="W102" s="53"/>
      <c r="X102" s="171"/>
      <c r="Y102" s="170"/>
      <c r="Z102" s="170"/>
      <c r="AA102" s="170"/>
      <c r="AB102" s="170"/>
      <c r="AC102" s="170"/>
      <c r="AD102" s="53"/>
      <c r="AE102" s="53"/>
    </row>
    <row r="103">
      <c r="A103" s="53"/>
      <c r="B103" s="53" t="str">
        <f>IFERROR(__xludf.DUMMYFUNCTION("""COMPUTED_VALUE"""),"2605D171
Dj
085212345656
Lainnya")</f>
        <v>2605D171
Dj
085212345656
Lainnya</v>
      </c>
      <c r="C103" s="168" t="str">
        <f>IFERROR(__xludf.DUMMYFUNCTION("""COMPUTED_VALUE"""),"3h2m 
2 pax
Rp0")</f>
        <v>3h2m 
2 pax
Rp0</v>
      </c>
      <c r="D103" s="169" t="str">
        <f>IFERROR(__xludf.DUMMYFUNCTION("""COMPUTED_VALUE"""),"diskusi duluu, FU 6 Juni ")</f>
        <v>diskusi duluu, FU 6 Juni </v>
      </c>
      <c r="E103" s="170"/>
      <c r="F103" s="53"/>
      <c r="G103" s="53"/>
      <c r="H103" s="53"/>
      <c r="I103" s="171"/>
      <c r="J103" s="170"/>
      <c r="K103" s="53"/>
      <c r="L103" s="53"/>
      <c r="M103" s="53"/>
      <c r="N103" s="171"/>
      <c r="O103" s="170"/>
      <c r="P103" s="53"/>
      <c r="Q103" s="53"/>
      <c r="R103" s="53"/>
      <c r="S103" s="171"/>
      <c r="T103" s="170"/>
      <c r="U103" s="53"/>
      <c r="V103" s="53"/>
      <c r="W103" s="53"/>
      <c r="X103" s="171"/>
      <c r="Y103" s="170"/>
      <c r="Z103" s="170"/>
      <c r="AA103" s="170"/>
      <c r="AB103" s="170"/>
      <c r="AC103" s="170"/>
      <c r="AD103" s="53"/>
      <c r="AE103" s="53"/>
    </row>
    <row r="104">
      <c r="A104" s="53"/>
      <c r="B104" s="53" t="str">
        <f>IFERROR(__xludf.DUMMYFUNCTION("""COMPUTED_VALUE"""),"2605D172
Ida  
08170442004
Website")</f>
        <v>2605D172
Ida  
08170442004
Website</v>
      </c>
      <c r="C104" s="168" t="str">
        <f>IFERROR(__xludf.DUMMYFUNCTION("""COMPUTED_VALUE"""),"3h2m custome
20 pax
Rp0")</f>
        <v>3h2m custome
20 pax
Rp0</v>
      </c>
      <c r="D104" s="169" t="str">
        <f>IFERROR(__xludf.DUMMYFUNCTION("""COMPUTED_VALUE"""),"kirim penawaran, FU 15 Juni")</f>
        <v>kirim penawaran, FU 15 Juni</v>
      </c>
      <c r="E104" s="170"/>
      <c r="F104" s="53"/>
      <c r="G104" s="53"/>
      <c r="H104" s="53"/>
      <c r="I104" s="171"/>
      <c r="J104" s="170"/>
      <c r="K104" s="53"/>
      <c r="L104" s="53"/>
      <c r="M104" s="53"/>
      <c r="N104" s="171"/>
      <c r="O104" s="170"/>
      <c r="P104" s="53"/>
      <c r="Q104" s="53"/>
      <c r="R104" s="53"/>
      <c r="S104" s="171"/>
      <c r="T104" s="170"/>
      <c r="U104" s="53"/>
      <c r="V104" s="53"/>
      <c r="W104" s="53"/>
      <c r="X104" s="171"/>
      <c r="Y104" s="170"/>
      <c r="Z104" s="170"/>
      <c r="AA104" s="170"/>
      <c r="AB104" s="170"/>
      <c r="AC104" s="170"/>
      <c r="AD104" s="53"/>
      <c r="AE104" s="53"/>
    </row>
    <row r="105">
      <c r="A105" s="53"/>
      <c r="B105" s="53" t="str">
        <f>IFERROR(__xludf.DUMMYFUNCTION("""COMPUTED_VALUE"""),"2605D175
Arya Fauzi
089636081671
Instagram")</f>
        <v>2605D175
Arya Fauzi
089636081671
Instagram</v>
      </c>
      <c r="C105" s="168" t="str">
        <f>IFERROR(__xludf.DUMMYFUNCTION("""COMPUTED_VALUE"""),"3h2m opsi A
2 pax
Rp0")</f>
        <v>3h2m opsi A
2 pax
Rp0</v>
      </c>
      <c r="D105" s="169" t="str">
        <f>IFERROR(__xludf.DUMMYFUNCTION("""COMPUTED_VALUE"""),"di infokan kembali, FU 4 Juni")</f>
        <v>di infokan kembali, FU 4 Juni</v>
      </c>
      <c r="E105" s="170"/>
      <c r="F105" s="53"/>
      <c r="G105" s="53"/>
      <c r="H105" s="53"/>
      <c r="I105" s="171"/>
      <c r="J105" s="170"/>
      <c r="K105" s="53"/>
      <c r="L105" s="53"/>
      <c r="M105" s="53"/>
      <c r="N105" s="171"/>
      <c r="O105" s="170"/>
      <c r="P105" s="53"/>
      <c r="Q105" s="53"/>
      <c r="R105" s="53"/>
      <c r="S105" s="171"/>
      <c r="T105" s="170"/>
      <c r="U105" s="53"/>
      <c r="V105" s="53"/>
      <c r="W105" s="53"/>
      <c r="X105" s="171"/>
      <c r="Y105" s="170"/>
      <c r="Z105" s="170"/>
      <c r="AA105" s="170"/>
      <c r="AB105" s="170"/>
      <c r="AC105" s="170"/>
      <c r="AD105" s="53"/>
      <c r="AE105" s="53"/>
    </row>
    <row r="106">
      <c r="A106" s="53"/>
      <c r="B106" s="53" t="str">
        <f>IFERROR(__xludf.DUMMYFUNCTION("""COMPUTED_VALUE"""),"2606D002
Devy 
081299056000
Website")</f>
        <v>2606D002
Devy 
081299056000
Website</v>
      </c>
      <c r="C106" s="168" t="str">
        <f>IFERROR(__xludf.DUMMYFUNCTION("""COMPUTED_VALUE"""),"2h1m 
2 pax
Rp0")</f>
        <v>2h1m 
2 pax
Rp0</v>
      </c>
      <c r="D106" s="169" t="str">
        <f>IFERROR(__xludf.DUMMYFUNCTION("""COMPUTED_VALUE"""),"FU 8 Juni")</f>
        <v>FU 8 Juni</v>
      </c>
      <c r="E106" s="170"/>
      <c r="F106" s="53"/>
      <c r="G106" s="53"/>
      <c r="H106" s="53"/>
      <c r="I106" s="171"/>
      <c r="J106" s="170"/>
      <c r="K106" s="53"/>
      <c r="L106" s="53"/>
      <c r="M106" s="53"/>
      <c r="N106" s="171"/>
      <c r="O106" s="170"/>
      <c r="P106" s="53"/>
      <c r="Q106" s="53"/>
      <c r="R106" s="53"/>
      <c r="S106" s="171"/>
      <c r="T106" s="170"/>
      <c r="U106" s="53"/>
      <c r="V106" s="53"/>
      <c r="W106" s="53"/>
      <c r="X106" s="171"/>
      <c r="Y106" s="170"/>
      <c r="Z106" s="170"/>
      <c r="AA106" s="170"/>
      <c r="AB106" s="170"/>
      <c r="AC106" s="170"/>
      <c r="AD106" s="53"/>
      <c r="AE106" s="53"/>
    </row>
    <row r="107">
      <c r="A107" s="53"/>
      <c r="B107" s="53" t="str">
        <f>IFERROR(__xludf.DUMMYFUNCTION("""COMPUTED_VALUE"""),"2606D006
Eko Suprobo
085727609064
Instagram")</f>
        <v>2606D006
Eko Suprobo
085727609064
Instagram</v>
      </c>
      <c r="C107" s="168" t="str">
        <f>IFERROR(__xludf.DUMMYFUNCTION("""COMPUTED_VALUE"""),"1 day trip
 pax
Rp0")</f>
        <v>1 day trip
 pax
Rp0</v>
      </c>
      <c r="D107" s="169" t="str">
        <f>IFERROR(__xludf.DUMMYFUNCTION("""COMPUTED_VALUE"""),"masih nentuin tripnya dan tglnya, FU 10 Juni")</f>
        <v>masih nentuin tripnya dan tglnya, FU 10 Juni</v>
      </c>
      <c r="E107" s="170"/>
      <c r="F107" s="53"/>
      <c r="G107" s="53"/>
      <c r="H107" s="53"/>
      <c r="I107" s="171"/>
      <c r="J107" s="170"/>
      <c r="K107" s="53"/>
      <c r="L107" s="53"/>
      <c r="M107" s="53"/>
      <c r="N107" s="171"/>
      <c r="O107" s="170"/>
      <c r="P107" s="53"/>
      <c r="Q107" s="53"/>
      <c r="R107" s="53"/>
      <c r="S107" s="171"/>
      <c r="T107" s="170"/>
      <c r="U107" s="53"/>
      <c r="V107" s="53"/>
      <c r="W107" s="53"/>
      <c r="X107" s="171"/>
      <c r="Y107" s="170"/>
      <c r="Z107" s="170"/>
      <c r="AA107" s="170"/>
      <c r="AB107" s="170"/>
      <c r="AC107" s="170"/>
      <c r="AD107" s="53"/>
      <c r="AE107" s="53"/>
    </row>
    <row r="108">
      <c r="A108" s="53"/>
      <c r="B108" s="53" t="str">
        <f>IFERROR(__xludf.DUMMYFUNCTION("""COMPUTED_VALUE"""),"2606D008
Raisa
081215551663
Instagram")</f>
        <v>2606D008
Raisa
081215551663
Instagram</v>
      </c>
      <c r="C108" s="168" t="str">
        <f>IFERROR(__xludf.DUMMYFUNCTION("""COMPUTED_VALUE"""),"
 pax
Rp0")</f>
        <v>
 pax
Rp0</v>
      </c>
      <c r="D108" s="169" t="str">
        <f>IFERROR(__xludf.DUMMYFUNCTION("""COMPUTED_VALUE"""),"baru menyapaa aja, FU 10 Juni")</f>
        <v>baru menyapaa aja, FU 10 Juni</v>
      </c>
      <c r="E108" s="170"/>
      <c r="F108" s="53"/>
      <c r="G108" s="53"/>
      <c r="H108" s="53"/>
      <c r="I108" s="171"/>
      <c r="J108" s="170"/>
      <c r="K108" s="53"/>
      <c r="L108" s="53"/>
      <c r="M108" s="53"/>
      <c r="N108" s="171"/>
      <c r="O108" s="170"/>
      <c r="P108" s="53"/>
      <c r="Q108" s="53"/>
      <c r="R108" s="53"/>
      <c r="S108" s="171"/>
      <c r="T108" s="170"/>
      <c r="U108" s="53"/>
      <c r="V108" s="53"/>
      <c r="W108" s="53"/>
      <c r="X108" s="171"/>
      <c r="Y108" s="170"/>
      <c r="Z108" s="170"/>
      <c r="AA108" s="170"/>
      <c r="AB108" s="170"/>
      <c r="AC108" s="170"/>
      <c r="AD108" s="53"/>
      <c r="AE108" s="53"/>
    </row>
    <row r="109">
      <c r="A109" s="53"/>
      <c r="B109" s="53" t="str">
        <f>IFERROR(__xludf.DUMMYFUNCTION("""COMPUTED_VALUE"""),"2606D009
Kannika Dee
08113760088
Website")</f>
        <v>2606D009
Kannika Dee
08113760088
Website</v>
      </c>
      <c r="C109" s="168" t="str">
        <f>IFERROR(__xludf.DUMMYFUNCTION("""COMPUTED_VALUE"""),"3h2m
 pax
Rp0")</f>
        <v>3h2m
 pax
Rp0</v>
      </c>
      <c r="D109" s="169" t="str">
        <f>IFERROR(__xludf.DUMMYFUNCTION("""COMPUTED_VALUE"""),"masih pelajari penawaran, FU 12 Juni")</f>
        <v>masih pelajari penawaran, FU 12 Juni</v>
      </c>
      <c r="E109" s="170"/>
      <c r="F109" s="53"/>
      <c r="G109" s="53"/>
      <c r="H109" s="53"/>
      <c r="I109" s="171"/>
      <c r="J109" s="170"/>
      <c r="K109" s="53"/>
      <c r="L109" s="53"/>
      <c r="M109" s="53"/>
      <c r="N109" s="171"/>
      <c r="O109" s="170"/>
      <c r="P109" s="53"/>
      <c r="Q109" s="53"/>
      <c r="R109" s="53"/>
      <c r="S109" s="171"/>
      <c r="T109" s="170"/>
      <c r="U109" s="53"/>
      <c r="V109" s="53"/>
      <c r="W109" s="53"/>
      <c r="X109" s="171"/>
      <c r="Y109" s="170"/>
      <c r="Z109" s="170"/>
      <c r="AA109" s="170"/>
      <c r="AB109" s="170"/>
      <c r="AC109" s="170"/>
      <c r="AD109" s="53"/>
      <c r="AE109" s="53"/>
    </row>
    <row r="110">
      <c r="A110" s="53"/>
      <c r="B110" s="53" t="str">
        <f>IFERROR(__xludf.DUMMYFUNCTION("""COMPUTED_VALUE"""),"2606D010
Dienne Ch
081330141507
Website")</f>
        <v>2606D010
Dienne Ch
081330141507
Website</v>
      </c>
      <c r="C110" s="168" t="str">
        <f>IFERROR(__xludf.DUMMYFUNCTION("""COMPUTED_VALUE"""),"3h2m dan 4h3m
2 pax
Rp0")</f>
        <v>3h2m dan 4h3m
2 pax
Rp0</v>
      </c>
      <c r="D110" s="169" t="str">
        <f>IFERROR(__xludf.DUMMYFUNCTION("""COMPUTED_VALUE"""),"masih blm fiks, FU 12 Juni")</f>
        <v>masih blm fiks, FU 12 Juni</v>
      </c>
      <c r="E110" s="170"/>
      <c r="F110" s="53"/>
      <c r="G110" s="53"/>
      <c r="H110" s="53"/>
      <c r="I110" s="171"/>
      <c r="J110" s="170"/>
      <c r="K110" s="53"/>
      <c r="L110" s="53"/>
      <c r="M110" s="53"/>
      <c r="N110" s="171"/>
      <c r="O110" s="170"/>
      <c r="P110" s="53"/>
      <c r="Q110" s="53"/>
      <c r="R110" s="53"/>
      <c r="S110" s="171"/>
      <c r="T110" s="170"/>
      <c r="U110" s="53"/>
      <c r="V110" s="53"/>
      <c r="W110" s="53"/>
      <c r="X110" s="171"/>
      <c r="Y110" s="170"/>
      <c r="Z110" s="170"/>
      <c r="AA110" s="170"/>
      <c r="AB110" s="170"/>
      <c r="AC110" s="170"/>
      <c r="AD110" s="53"/>
      <c r="AE110" s="53"/>
    </row>
    <row r="111">
      <c r="A111" s="53"/>
      <c r="B111" s="53" t="str">
        <f>IFERROR(__xludf.DUMMYFUNCTION("""COMPUTED_VALUE"""),"2606D011
Tri Joko Wintolo
082242415557
Lainnya")</f>
        <v>2606D011
Tri Joko Wintolo
082242415557
Lainnya</v>
      </c>
      <c r="C111" s="168" t="str">
        <f>IFERROR(__xludf.DUMMYFUNCTION("""COMPUTED_VALUE"""),"open trip
 pax
Rp0")</f>
        <v>open trip
 pax
Rp0</v>
      </c>
      <c r="D111" s="169" t="str">
        <f>IFERROR(__xludf.DUMMYFUNCTION("""COMPUTED_VALUE"""),"belum bales lagi, FU 11 Juni")</f>
        <v>belum bales lagi, FU 11 Juni</v>
      </c>
      <c r="E111" s="170"/>
      <c r="F111" s="53"/>
      <c r="G111" s="53"/>
      <c r="H111" s="53"/>
      <c r="I111" s="171"/>
      <c r="J111" s="170"/>
      <c r="K111" s="53"/>
      <c r="L111" s="53"/>
      <c r="M111" s="53"/>
      <c r="N111" s="171"/>
      <c r="O111" s="170"/>
      <c r="P111" s="53"/>
      <c r="Q111" s="53"/>
      <c r="R111" s="53"/>
      <c r="S111" s="171"/>
      <c r="T111" s="170"/>
      <c r="U111" s="53"/>
      <c r="V111" s="53"/>
      <c r="W111" s="53"/>
      <c r="X111" s="171"/>
      <c r="Y111" s="170"/>
      <c r="Z111" s="170"/>
      <c r="AA111" s="170"/>
      <c r="AB111" s="170"/>
      <c r="AC111" s="170"/>
      <c r="AD111" s="53"/>
      <c r="AE111" s="53"/>
    </row>
    <row r="112">
      <c r="A112" s="53"/>
      <c r="B112" s="53" t="str">
        <f>IFERROR(__xludf.DUMMYFUNCTION("""COMPUTED_VALUE"""),"2606D013
Anes
081460930128
Tiktok")</f>
        <v>2606D013
Anes
081460930128
Tiktok</v>
      </c>
      <c r="C112" s="168" t="str">
        <f>IFERROR(__xludf.DUMMYFUNCTION("""COMPUTED_VALUE"""),"OT GI 
46212
2 pax
Rp0")</f>
        <v>OT GI 
46212
2 pax
Rp0</v>
      </c>
      <c r="D112" s="169" t="str">
        <f>IFERROR(__xludf.DUMMYFUNCTION("""COMPUTED_VALUE"""),"belum bales lagi, FU 16 Juni")</f>
        <v>belum bales lagi, FU 16 Juni</v>
      </c>
      <c r="E112" s="170"/>
      <c r="F112" s="53"/>
      <c r="G112" s="53"/>
      <c r="H112" s="53"/>
      <c r="I112" s="171"/>
      <c r="J112" s="170"/>
      <c r="K112" s="53"/>
      <c r="L112" s="53"/>
      <c r="M112" s="53"/>
      <c r="N112" s="171"/>
      <c r="O112" s="170"/>
      <c r="P112" s="53"/>
      <c r="Q112" s="53"/>
      <c r="R112" s="53"/>
      <c r="S112" s="171"/>
      <c r="T112" s="170"/>
      <c r="U112" s="53"/>
      <c r="V112" s="53"/>
      <c r="W112" s="53"/>
      <c r="X112" s="171"/>
      <c r="Y112" s="170"/>
      <c r="Z112" s="170"/>
      <c r="AA112" s="170"/>
      <c r="AB112" s="170"/>
      <c r="AC112" s="170"/>
      <c r="AD112" s="53"/>
      <c r="AE112" s="53"/>
    </row>
    <row r="113">
      <c r="A113" s="53"/>
      <c r="B113" s="53" t="str">
        <f>IFERROR(__xludf.DUMMYFUNCTION("""COMPUTED_VALUE"""),"2606D014
Imanda Raisa
085795274846
Instagram")</f>
        <v>2606D014
Imanda Raisa
085795274846
Instagram</v>
      </c>
      <c r="C113" s="168" t="str">
        <f>IFERROR(__xludf.DUMMYFUNCTION("""COMPUTED_VALUE"""),"3H2M custome
10 pax
Rp0")</f>
        <v>3H2M custome
10 pax
Rp0</v>
      </c>
      <c r="D113" s="169" t="str">
        <f>IFERROR(__xludf.DUMMYFUNCTION("""COMPUTED_VALUE"""),"FU 6 Juni")</f>
        <v>FU 6 Juni</v>
      </c>
      <c r="E113" s="170"/>
      <c r="F113" s="53"/>
      <c r="G113" s="53"/>
      <c r="H113" s="53"/>
      <c r="I113" s="171"/>
      <c r="J113" s="170"/>
      <c r="K113" s="53"/>
      <c r="L113" s="53"/>
      <c r="M113" s="53"/>
      <c r="N113" s="171"/>
      <c r="O113" s="170"/>
      <c r="P113" s="53"/>
      <c r="Q113" s="53"/>
      <c r="R113" s="53"/>
      <c r="S113" s="171"/>
      <c r="T113" s="170"/>
      <c r="U113" s="53"/>
      <c r="V113" s="53"/>
      <c r="W113" s="53"/>
      <c r="X113" s="171"/>
      <c r="Y113" s="170"/>
      <c r="Z113" s="170"/>
      <c r="AA113" s="170"/>
      <c r="AB113" s="170"/>
      <c r="AC113" s="170"/>
      <c r="AD113" s="53"/>
      <c r="AE113" s="53"/>
    </row>
    <row r="114">
      <c r="A114" s="53"/>
      <c r="B114" s="53" t="str">
        <f>IFERROR(__xludf.DUMMYFUNCTION("""COMPUTED_VALUE"""),"2606D015
Electra 
0818300357
Website")</f>
        <v>2606D015
Electra 
0818300357
Website</v>
      </c>
      <c r="C114" s="168" t="str">
        <f>IFERROR(__xludf.DUMMYFUNCTION("""COMPUTED_VALUE"""),"OT 3H2M 
 pax
Rp0")</f>
        <v>OT 3H2M 
 pax
Rp0</v>
      </c>
      <c r="D114" s="169" t="str">
        <f>IFERROR(__xludf.DUMMYFUNCTION("""COMPUTED_VALUE"""),"blm bales lagi, FU 12 Juni")</f>
        <v>blm bales lagi, FU 12 Juni</v>
      </c>
      <c r="E114" s="170"/>
      <c r="F114" s="53"/>
      <c r="G114" s="53"/>
      <c r="H114" s="53"/>
      <c r="I114" s="171"/>
      <c r="J114" s="170"/>
      <c r="K114" s="53"/>
      <c r="L114" s="53"/>
      <c r="M114" s="53"/>
      <c r="N114" s="171"/>
      <c r="O114" s="170"/>
      <c r="P114" s="53"/>
      <c r="Q114" s="53"/>
      <c r="R114" s="53"/>
      <c r="S114" s="171"/>
      <c r="T114" s="170"/>
      <c r="U114" s="53"/>
      <c r="V114" s="53"/>
      <c r="W114" s="53"/>
      <c r="X114" s="171"/>
      <c r="Y114" s="170"/>
      <c r="Z114" s="170"/>
      <c r="AA114" s="170"/>
      <c r="AB114" s="170"/>
      <c r="AC114" s="170"/>
      <c r="AD114" s="53"/>
      <c r="AE114" s="53"/>
    </row>
    <row r="115">
      <c r="A115" s="53"/>
      <c r="B115" s="53" t="str">
        <f>IFERROR(__xludf.DUMMYFUNCTION("""COMPUTED_VALUE"""),"2606D016
Ach
085648287210
Instagram")</f>
        <v>2606D016
Ach
085648287210
Instagram</v>
      </c>
      <c r="C115" s="168" t="str">
        <f>IFERROR(__xludf.DUMMYFUNCTION("""COMPUTED_VALUE"""),"3h2m opsi A
2 pax
Rp0")</f>
        <v>3h2m opsi A
2 pax
Rp0</v>
      </c>
      <c r="D115" s="169" t="str">
        <f>IFERROR(__xludf.DUMMYFUNCTION("""COMPUTED_VALUE"""),"FU 11 Juni")</f>
        <v>FU 11 Juni</v>
      </c>
      <c r="E115" s="170"/>
      <c r="F115" s="53"/>
      <c r="G115" s="53"/>
      <c r="H115" s="53"/>
      <c r="I115" s="171"/>
      <c r="J115" s="170"/>
      <c r="K115" s="53"/>
      <c r="L115" s="53"/>
      <c r="M115" s="53"/>
      <c r="N115" s="171"/>
      <c r="O115" s="170"/>
      <c r="P115" s="53"/>
      <c r="Q115" s="53"/>
      <c r="R115" s="53"/>
      <c r="S115" s="171"/>
      <c r="T115" s="170"/>
      <c r="U115" s="53"/>
      <c r="V115" s="53"/>
      <c r="W115" s="53"/>
      <c r="X115" s="171"/>
      <c r="Y115" s="170"/>
      <c r="Z115" s="170"/>
      <c r="AA115" s="170"/>
      <c r="AB115" s="170"/>
      <c r="AC115" s="170"/>
      <c r="AD115" s="53"/>
      <c r="AE115" s="53"/>
    </row>
    <row r="116">
      <c r="A116" s="53"/>
      <c r="B116" s="53" t="str">
        <f>IFERROR(__xludf.DUMMYFUNCTION("""COMPUTED_VALUE"""),"2606D017
Artha Aprilla 
088806705595
Instagram")</f>
        <v>2606D017
Artha Aprilla 
088806705595
Instagram</v>
      </c>
      <c r="C116" s="168" t="str">
        <f>IFERROR(__xludf.DUMMYFUNCTION("""COMPUTED_VALUE"""),"2h1m
100 pax
Rp0")</f>
        <v>2h1m
100 pax
Rp0</v>
      </c>
      <c r="D116" s="169" t="str">
        <f>IFERROR(__xludf.DUMMYFUNCTION("""COMPUTED_VALUE"""),"FU 11 Juni")</f>
        <v>FU 11 Juni</v>
      </c>
      <c r="E116" s="170"/>
      <c r="F116" s="53"/>
      <c r="G116" s="53"/>
      <c r="H116" s="53"/>
      <c r="I116" s="171"/>
      <c r="J116" s="170"/>
      <c r="K116" s="53"/>
      <c r="L116" s="53"/>
      <c r="M116" s="53"/>
      <c r="N116" s="171"/>
      <c r="O116" s="170"/>
      <c r="P116" s="53"/>
      <c r="Q116" s="53"/>
      <c r="R116" s="53"/>
      <c r="S116" s="171"/>
      <c r="T116" s="170"/>
      <c r="U116" s="53"/>
      <c r="V116" s="53"/>
      <c r="W116" s="53"/>
      <c r="X116" s="171"/>
      <c r="Y116" s="170"/>
      <c r="Z116" s="170"/>
      <c r="AA116" s="170"/>
      <c r="AB116" s="170"/>
      <c r="AC116" s="170"/>
      <c r="AD116" s="53"/>
      <c r="AE116" s="53"/>
    </row>
    <row r="117">
      <c r="A117" s="53"/>
      <c r="B117" s="53" t="str">
        <f>IFERROR(__xludf.DUMMYFUNCTION("""COMPUTED_VALUE"""),"2606D019
Novi
081903852661
Website")</f>
        <v>2606D019
Novi
081903852661
Website</v>
      </c>
      <c r="C117" s="168" t="str">
        <f>IFERROR(__xludf.DUMMYFUNCTION("""COMPUTED_VALUE"""),"3h2m Opsi A
46199
14 pax
Rp0")</f>
        <v>3h2m Opsi A
46199
14 pax
Rp0</v>
      </c>
      <c r="D117" s="169" t="str">
        <f>IFERROR(__xludf.DUMMYFUNCTION("""COMPUTED_VALUE"""),"FU 6 Juni")</f>
        <v>FU 6 Juni</v>
      </c>
      <c r="E117" s="170"/>
      <c r="F117" s="53"/>
      <c r="G117" s="53"/>
      <c r="H117" s="53"/>
      <c r="I117" s="171"/>
      <c r="J117" s="170"/>
      <c r="K117" s="53"/>
      <c r="L117" s="53"/>
      <c r="M117" s="53"/>
      <c r="N117" s="171"/>
      <c r="O117" s="170"/>
      <c r="P117" s="53"/>
      <c r="Q117" s="53"/>
      <c r="R117" s="53"/>
      <c r="S117" s="171"/>
      <c r="T117" s="170"/>
      <c r="U117" s="53"/>
      <c r="V117" s="53"/>
      <c r="W117" s="53"/>
      <c r="X117" s="171"/>
      <c r="Y117" s="170"/>
      <c r="Z117" s="170"/>
      <c r="AA117" s="170"/>
      <c r="AB117" s="170"/>
      <c r="AC117" s="170"/>
      <c r="AD117" s="53"/>
      <c r="AE117" s="53"/>
    </row>
    <row r="118">
      <c r="A118" s="53"/>
      <c r="B118" s="53" t="str">
        <f>IFERROR(__xludf.DUMMYFUNCTION("""COMPUTED_VALUE"""),"2606D020
Monica
081280100207
Instagram")</f>
        <v>2606D020
Monica
081280100207
Instagram</v>
      </c>
      <c r="C118" s="168" t="str">
        <f>IFERROR(__xludf.DUMMYFUNCTION("""COMPUTED_VALUE"""),"3h2m Opsi A
6 pax
Rp0")</f>
        <v>3h2m Opsi A
6 pax
Rp0</v>
      </c>
      <c r="D118" s="169" t="str">
        <f>IFERROR(__xludf.DUMMYFUNCTION("""COMPUTED_VALUE"""),"FU 9 Juni")</f>
        <v>FU 9 Juni</v>
      </c>
      <c r="E118" s="170"/>
      <c r="F118" s="53"/>
      <c r="G118" s="53"/>
      <c r="H118" s="53"/>
      <c r="I118" s="171"/>
      <c r="J118" s="170"/>
      <c r="K118" s="53"/>
      <c r="L118" s="53"/>
      <c r="M118" s="53"/>
      <c r="N118" s="171"/>
      <c r="O118" s="170"/>
      <c r="P118" s="53"/>
      <c r="Q118" s="53"/>
      <c r="R118" s="53"/>
      <c r="S118" s="171"/>
      <c r="T118" s="170"/>
      <c r="U118" s="53"/>
      <c r="V118" s="53"/>
      <c r="W118" s="53"/>
      <c r="X118" s="171"/>
      <c r="Y118" s="170"/>
      <c r="Z118" s="170"/>
      <c r="AA118" s="170"/>
      <c r="AB118" s="170"/>
      <c r="AC118" s="170"/>
      <c r="AD118" s="53"/>
      <c r="AE118" s="53"/>
    </row>
    <row r="119">
      <c r="A119" s="53"/>
      <c r="B119" s="53" t="str">
        <f>IFERROR(__xludf.DUMMYFUNCTION("""COMPUTED_VALUE"""),"2606D021
Weliya Karisma
082281113334
Instagram")</f>
        <v>2606D021
Weliya Karisma
082281113334
Instagram</v>
      </c>
      <c r="C119" s="168" t="str">
        <f>IFERROR(__xludf.DUMMYFUNCTION("""COMPUTED_VALUE"""),"OT ijen
46194
1 pax
Rp0")</f>
        <v>OT ijen
46194
1 pax
Rp0</v>
      </c>
      <c r="D119" s="169" t="str">
        <f>IFERROR(__xludf.DUMMYFUNCTION("""COMPUTED_VALUE"""),"1 orang, FU 8 Juni ")</f>
        <v>1 orang, FU 8 Juni </v>
      </c>
      <c r="E119" s="170"/>
      <c r="F119" s="53"/>
      <c r="G119" s="53"/>
      <c r="H119" s="53"/>
      <c r="I119" s="171"/>
      <c r="J119" s="170"/>
      <c r="K119" s="53"/>
      <c r="L119" s="53"/>
      <c r="M119" s="53"/>
      <c r="N119" s="171"/>
      <c r="O119" s="170"/>
      <c r="P119" s="53"/>
      <c r="Q119" s="53"/>
      <c r="R119" s="53"/>
      <c r="S119" s="171"/>
      <c r="T119" s="170"/>
      <c r="U119" s="53"/>
      <c r="V119" s="53"/>
      <c r="W119" s="53"/>
      <c r="X119" s="171"/>
      <c r="Y119" s="170"/>
      <c r="Z119" s="170"/>
      <c r="AA119" s="170"/>
      <c r="AB119" s="170"/>
      <c r="AC119" s="170"/>
      <c r="AD119" s="53"/>
      <c r="AE119" s="53"/>
    </row>
    <row r="120">
      <c r="A120" s="53"/>
      <c r="B120" s="53" t="str">
        <f>IFERROR(__xludf.DUMMYFUNCTION("""COMPUTED_VALUE"""),"2606D022
Atin Kurniawati 
085867185560
Website")</f>
        <v>2606D022
Atin Kurniawati 
085867185560
Website</v>
      </c>
      <c r="C120" s="168" t="str">
        <f>IFERROR(__xludf.DUMMYFUNCTION("""COMPUTED_VALUE"""),"
 pax
Rp0")</f>
        <v>
 pax
Rp0</v>
      </c>
      <c r="D120" s="169"/>
      <c r="E120" s="170"/>
      <c r="F120" s="53"/>
      <c r="G120" s="53"/>
      <c r="H120" s="53"/>
      <c r="I120" s="171"/>
      <c r="J120" s="170"/>
      <c r="K120" s="53"/>
      <c r="L120" s="53"/>
      <c r="M120" s="53"/>
      <c r="N120" s="171"/>
      <c r="O120" s="170"/>
      <c r="P120" s="53"/>
      <c r="Q120" s="53"/>
      <c r="R120" s="53"/>
      <c r="S120" s="171"/>
      <c r="T120" s="170"/>
      <c r="U120" s="53"/>
      <c r="V120" s="53"/>
      <c r="W120" s="53"/>
      <c r="X120" s="171"/>
      <c r="Y120" s="170"/>
      <c r="Z120" s="170"/>
      <c r="AA120" s="170"/>
      <c r="AB120" s="170"/>
      <c r="AC120" s="170"/>
      <c r="AD120" s="53"/>
      <c r="AE120" s="53"/>
    </row>
    <row r="121">
      <c r="A121" s="53"/>
      <c r="B121" s="53" t="str">
        <f>IFERROR(__xludf.DUMMYFUNCTION("""COMPUTED_VALUE"""),"2606D027
Fauzan
081311539490
Website")</f>
        <v>2606D027
Fauzan
081311539490
Website</v>
      </c>
      <c r="C121" s="168" t="str">
        <f>IFERROR(__xludf.DUMMYFUNCTION("""COMPUTED_VALUE"""),"4h3m custome
46243
3 pax
Rp0")</f>
        <v>4h3m custome
46243
3 pax
Rp0</v>
      </c>
      <c r="D121" s="169" t="str">
        <f>IFERROR(__xludf.DUMMYFUNCTION("""COMPUTED_VALUE"""),"FU 17 Juni")</f>
        <v>FU 17 Juni</v>
      </c>
      <c r="E121" s="170"/>
      <c r="F121" s="53"/>
      <c r="G121" s="53"/>
      <c r="H121" s="53"/>
      <c r="I121" s="171"/>
      <c r="J121" s="170"/>
      <c r="K121" s="53"/>
      <c r="L121" s="53"/>
      <c r="M121" s="53"/>
      <c r="N121" s="171"/>
      <c r="O121" s="170"/>
      <c r="P121" s="53"/>
      <c r="Q121" s="53"/>
      <c r="R121" s="53"/>
      <c r="S121" s="171"/>
      <c r="T121" s="170"/>
      <c r="U121" s="53"/>
      <c r="V121" s="53"/>
      <c r="W121" s="53"/>
      <c r="X121" s="171"/>
      <c r="Y121" s="170"/>
      <c r="Z121" s="170"/>
      <c r="AA121" s="170"/>
      <c r="AB121" s="170"/>
      <c r="AC121" s="170"/>
      <c r="AD121" s="53"/>
      <c r="AE121" s="53"/>
    </row>
    <row r="122">
      <c r="A122" s="53"/>
      <c r="B122" s="53" t="str">
        <f>IFERROR(__xludf.DUMMYFUNCTION("""COMPUTED_VALUE"""),"2606D028
Qory
081413456263
Instagram")</f>
        <v>2606D028
Qory
081413456263
Instagram</v>
      </c>
      <c r="C122" s="168" t="str">
        <f>IFERROR(__xludf.DUMMYFUNCTION("""COMPUTED_VALUE"""),"3h2m opsi A
46256
 pax
Rp0")</f>
        <v>3h2m opsi A
46256
 pax
Rp0</v>
      </c>
      <c r="D122" s="169" t="str">
        <f>IFERROR(__xludf.DUMMYFUNCTION("""COMPUTED_VALUE"""),"FU 4 Juli")</f>
        <v>FU 4 Juli</v>
      </c>
      <c r="E122" s="170"/>
      <c r="F122" s="53"/>
      <c r="G122" s="53"/>
      <c r="H122" s="53"/>
      <c r="I122" s="171"/>
      <c r="J122" s="170"/>
      <c r="K122" s="53"/>
      <c r="L122" s="53"/>
      <c r="M122" s="53"/>
      <c r="N122" s="171"/>
      <c r="O122" s="170"/>
      <c r="P122" s="53"/>
      <c r="Q122" s="53"/>
      <c r="R122" s="53"/>
      <c r="S122" s="171"/>
      <c r="T122" s="170"/>
      <c r="U122" s="53"/>
      <c r="V122" s="53"/>
      <c r="W122" s="53"/>
      <c r="X122" s="171"/>
      <c r="Y122" s="170"/>
      <c r="Z122" s="170"/>
      <c r="AA122" s="170"/>
      <c r="AB122" s="170"/>
      <c r="AC122" s="170"/>
      <c r="AD122" s="53"/>
      <c r="AE122" s="53"/>
    </row>
    <row r="123">
      <c r="A123" s="53"/>
      <c r="B123" s="53" t="str">
        <f>IFERROR(__xludf.DUMMYFUNCTION("""COMPUTED_VALUE"""),"2606D029
Krent
082140807506
Website")</f>
        <v>2606D029
Krent
082140807506
Website</v>
      </c>
      <c r="C123" s="168" t="str">
        <f>IFERROR(__xludf.DUMMYFUNCTION("""COMPUTED_VALUE"""),"2h1m opsi A
 pax
Rp0")</f>
        <v>2h1m opsi A
 pax
Rp0</v>
      </c>
      <c r="D123" s="169" t="str">
        <f>IFERROR(__xludf.DUMMYFUNCTION("""COMPUTED_VALUE"""),"FU 9 Juni")</f>
        <v>FU 9 Juni</v>
      </c>
      <c r="E123" s="170"/>
      <c r="F123" s="53"/>
      <c r="G123" s="53"/>
      <c r="H123" s="53"/>
      <c r="I123" s="171"/>
      <c r="J123" s="170"/>
      <c r="K123" s="53"/>
      <c r="L123" s="53"/>
      <c r="M123" s="53"/>
      <c r="N123" s="171"/>
      <c r="O123" s="170"/>
      <c r="P123" s="53"/>
      <c r="Q123" s="53"/>
      <c r="R123" s="53"/>
      <c r="S123" s="171"/>
      <c r="T123" s="170"/>
      <c r="U123" s="53"/>
      <c r="V123" s="53"/>
      <c r="W123" s="53"/>
      <c r="X123" s="171"/>
      <c r="Y123" s="170"/>
      <c r="Z123" s="170"/>
      <c r="AA123" s="170"/>
      <c r="AB123" s="170"/>
      <c r="AC123" s="170"/>
      <c r="AD123" s="53"/>
      <c r="AE123" s="53"/>
    </row>
    <row r="124">
      <c r="A124" s="53"/>
      <c r="B124" s="53" t="str">
        <f>IFERROR(__xludf.DUMMYFUNCTION("""COMPUTED_VALUE"""),"2606D030
Vaton 
082140319854
Website")</f>
        <v>2606D030
Vaton 
082140319854
Website</v>
      </c>
      <c r="C124" s="168" t="str">
        <f>IFERROR(__xludf.DUMMYFUNCTION("""COMPUTED_VALUE"""),"OT MT
 pax
Rp0")</f>
        <v>OT MT
 pax
Rp0</v>
      </c>
      <c r="D124" s="169" t="str">
        <f>IFERROR(__xludf.DUMMYFUNCTION("""COMPUTED_VALUE"""),"FU 8 Juni")</f>
        <v>FU 8 Juni</v>
      </c>
      <c r="E124" s="170"/>
      <c r="F124" s="53"/>
      <c r="G124" s="53"/>
      <c r="H124" s="53"/>
      <c r="I124" s="171"/>
      <c r="J124" s="170"/>
      <c r="K124" s="53"/>
      <c r="L124" s="53"/>
      <c r="M124" s="53"/>
      <c r="N124" s="171"/>
      <c r="O124" s="170"/>
      <c r="P124" s="53"/>
      <c r="Q124" s="53"/>
      <c r="R124" s="53"/>
      <c r="S124" s="171"/>
      <c r="T124" s="170"/>
      <c r="U124" s="53"/>
      <c r="V124" s="53"/>
      <c r="W124" s="53"/>
      <c r="X124" s="171"/>
      <c r="Y124" s="170"/>
      <c r="Z124" s="170"/>
      <c r="AA124" s="170"/>
      <c r="AB124" s="170"/>
      <c r="AC124" s="170"/>
      <c r="AD124" s="53"/>
      <c r="AE124" s="53"/>
    </row>
    <row r="125">
      <c r="A125" s="53"/>
      <c r="B125" s="53" t="str">
        <f>IFERROR(__xludf.DUMMYFUNCTION("""COMPUTED_VALUE"""),"2606D031
Peggy Tyas
082221370981
Instagram")</f>
        <v>2606D031
Peggy Tyas
082221370981
Instagram</v>
      </c>
      <c r="C125" s="168" t="str">
        <f>IFERROR(__xludf.DUMMYFUNCTION("""COMPUTED_VALUE"""),"2H1M
2 pax
Rp0")</f>
        <v>2H1M
2 pax
Rp0</v>
      </c>
      <c r="D125" s="169" t="str">
        <f>IFERROR(__xludf.DUMMYFUNCTION("""COMPUTED_VALUE"""),"FU 9 Juni")</f>
        <v>FU 9 Juni</v>
      </c>
      <c r="E125" s="170"/>
      <c r="F125" s="53"/>
      <c r="G125" s="53"/>
      <c r="H125" s="53"/>
      <c r="I125" s="171"/>
      <c r="J125" s="170"/>
      <c r="K125" s="53"/>
      <c r="L125" s="53"/>
      <c r="M125" s="53"/>
      <c r="N125" s="171"/>
      <c r="O125" s="170"/>
      <c r="P125" s="53"/>
      <c r="Q125" s="53"/>
      <c r="R125" s="53"/>
      <c r="S125" s="171"/>
      <c r="T125" s="170"/>
      <c r="U125" s="53"/>
      <c r="V125" s="53"/>
      <c r="W125" s="53"/>
      <c r="X125" s="171"/>
      <c r="Y125" s="170"/>
      <c r="Z125" s="170"/>
      <c r="AA125" s="170"/>
      <c r="AB125" s="170"/>
      <c r="AC125" s="170"/>
      <c r="AD125" s="53"/>
      <c r="AE125" s="53"/>
    </row>
    <row r="126">
      <c r="A126" s="53"/>
      <c r="B126" s="53" t="str">
        <f>IFERROR(__xludf.DUMMYFUNCTION("""COMPUTED_VALUE"""),"2606D032
Telepitu stempel
089618500344
Lainnya")</f>
        <v>2606D032
Telepitu stempel
089618500344
Lainnya</v>
      </c>
      <c r="C126" s="168" t="str">
        <f>IFERROR(__xludf.DUMMYFUNCTION("""COMPUTED_VALUE"""),"2h1m/1 day trip
12 pax
Rp0")</f>
        <v>2h1m/1 day trip
12 pax
Rp0</v>
      </c>
      <c r="D126" s="169" t="str">
        <f>IFERROR(__xludf.DUMMYFUNCTION("""COMPUTED_VALUE"""),"buat penawaran")</f>
        <v>buat penawaran</v>
      </c>
      <c r="E126" s="170"/>
      <c r="F126" s="53"/>
      <c r="G126" s="53"/>
      <c r="H126" s="53"/>
      <c r="I126" s="171"/>
      <c r="J126" s="170"/>
      <c r="K126" s="53"/>
      <c r="L126" s="53"/>
      <c r="M126" s="53"/>
      <c r="N126" s="171"/>
      <c r="O126" s="170"/>
      <c r="P126" s="53"/>
      <c r="Q126" s="53"/>
      <c r="R126" s="53"/>
      <c r="S126" s="171"/>
      <c r="T126" s="170"/>
      <c r="U126" s="53"/>
      <c r="V126" s="53"/>
      <c r="W126" s="53"/>
      <c r="X126" s="171"/>
      <c r="Y126" s="170"/>
      <c r="Z126" s="170"/>
      <c r="AA126" s="170"/>
      <c r="AB126" s="170"/>
      <c r="AC126" s="170"/>
      <c r="AD126" s="53"/>
      <c r="AE126" s="53"/>
    </row>
    <row r="127">
      <c r="A127" s="53"/>
      <c r="B127" s="53" t="str">
        <f>IFERROR(__xludf.DUMMYFUNCTION("""COMPUTED_VALUE"""),"2606D033
Ridho Banahsan
085156583478
Instagram")</f>
        <v>2606D033
Ridho Banahsan
085156583478
Instagram</v>
      </c>
      <c r="C127" s="168" t="str">
        <f>IFERROR(__xludf.DUMMYFUNCTION("""COMPUTED_VALUE"""),"OT MT
 pax
Rp0")</f>
        <v>OT MT
 pax
Rp0</v>
      </c>
      <c r="D127" s="169" t="str">
        <f>IFERROR(__xludf.DUMMYFUNCTION("""COMPUTED_VALUE"""),"FU 9 Juni")</f>
        <v>FU 9 Juni</v>
      </c>
      <c r="E127" s="170"/>
      <c r="F127" s="53"/>
      <c r="G127" s="53"/>
      <c r="H127" s="53"/>
      <c r="I127" s="171"/>
      <c r="J127" s="170"/>
      <c r="K127" s="53"/>
      <c r="L127" s="53"/>
      <c r="M127" s="53"/>
      <c r="N127" s="171"/>
      <c r="O127" s="170"/>
      <c r="P127" s="53"/>
      <c r="Q127" s="53"/>
      <c r="R127" s="53"/>
      <c r="S127" s="171"/>
      <c r="T127" s="170"/>
      <c r="U127" s="53"/>
      <c r="V127" s="53"/>
      <c r="W127" s="53"/>
      <c r="X127" s="171"/>
      <c r="Y127" s="170"/>
      <c r="Z127" s="170"/>
      <c r="AA127" s="170"/>
      <c r="AB127" s="170"/>
      <c r="AC127" s="170"/>
      <c r="AD127" s="53"/>
      <c r="AE127" s="53"/>
    </row>
    <row r="128">
      <c r="A128" s="53"/>
      <c r="B128" s="53" t="str">
        <f>IFERROR(__xludf.DUMMYFUNCTION("""COMPUTED_VALUE"""),"2606D034
Ary Suryaning Tiyas
088996881431
Instagram")</f>
        <v>2606D034
Ary Suryaning Tiyas
088996881431
Instagram</v>
      </c>
      <c r="C128" s="168" t="str">
        <f>IFERROR(__xludf.DUMMYFUNCTION("""COMPUTED_VALUE"""),"1 day trip 
12 pax
Rp0")</f>
        <v>1 day trip 
12 pax
Rp0</v>
      </c>
      <c r="D128" s="169" t="str">
        <f>IFERROR(__xludf.DUMMYFUNCTION("""COMPUTED_VALUE"""),"FU 10 Juni")</f>
        <v>FU 10 Juni</v>
      </c>
      <c r="E128" s="170"/>
      <c r="F128" s="53"/>
      <c r="G128" s="53"/>
      <c r="H128" s="53"/>
      <c r="I128" s="171"/>
      <c r="J128" s="170"/>
      <c r="K128" s="53"/>
      <c r="L128" s="53"/>
      <c r="M128" s="53"/>
      <c r="N128" s="171"/>
      <c r="O128" s="170"/>
      <c r="P128" s="53"/>
      <c r="Q128" s="53"/>
      <c r="R128" s="53"/>
      <c r="S128" s="171"/>
      <c r="T128" s="170"/>
      <c r="U128" s="53"/>
      <c r="V128" s="53"/>
      <c r="W128" s="53"/>
      <c r="X128" s="171"/>
      <c r="Y128" s="170"/>
      <c r="Z128" s="170"/>
      <c r="AA128" s="170"/>
      <c r="AB128" s="170"/>
      <c r="AC128" s="170"/>
      <c r="AD128" s="53"/>
      <c r="AE128" s="53"/>
    </row>
    <row r="129">
      <c r="A129" s="53"/>
      <c r="B129" s="53" t="str">
        <f>IFERROR(__xludf.DUMMYFUNCTION("""COMPUTED_VALUE"""),"2606D035
Diana Silvia 
082264222010
Instagram")</f>
        <v>2606D035
Diana Silvia 
082264222010
Instagram</v>
      </c>
      <c r="C129" s="168" t="str">
        <f>IFERROR(__xludf.DUMMYFUNCTION("""COMPUTED_VALUE"""),"
 pax
Rp0")</f>
        <v>
 pax
Rp0</v>
      </c>
      <c r="D129" s="169" t="str">
        <f>IFERROR(__xludf.DUMMYFUNCTION("""COMPUTED_VALUE"""),"belum bales lagi")</f>
        <v>belum bales lagi</v>
      </c>
      <c r="E129" s="170"/>
      <c r="F129" s="53"/>
      <c r="G129" s="53"/>
      <c r="H129" s="53"/>
      <c r="I129" s="171"/>
      <c r="J129" s="170"/>
      <c r="K129" s="53"/>
      <c r="L129" s="53"/>
      <c r="M129" s="53"/>
      <c r="N129" s="171"/>
      <c r="O129" s="170"/>
      <c r="P129" s="53"/>
      <c r="Q129" s="53"/>
      <c r="R129" s="53"/>
      <c r="S129" s="171"/>
      <c r="T129" s="170"/>
      <c r="U129" s="53"/>
      <c r="V129" s="53"/>
      <c r="W129" s="53"/>
      <c r="X129" s="171"/>
      <c r="Y129" s="170"/>
      <c r="Z129" s="170"/>
      <c r="AA129" s="170"/>
      <c r="AB129" s="170"/>
      <c r="AC129" s="170"/>
      <c r="AD129" s="53"/>
      <c r="AE129" s="53"/>
    </row>
    <row r="130">
      <c r="A130" s="53"/>
      <c r="B130" s="53" t="str">
        <f>IFERROR(__xludf.DUMMYFUNCTION("""COMPUTED_VALUE"""),"2606D036
Almanura
085716498446
Instagram")</f>
        <v>2606D036
Almanura
085716498446
Instagram</v>
      </c>
      <c r="C130" s="168" t="str">
        <f>IFERROR(__xludf.DUMMYFUNCTION("""COMPUTED_VALUE"""),"2h1m opsi B
 pax
Rp0")</f>
        <v>2h1m opsi B
 pax
Rp0</v>
      </c>
      <c r="D130" s="169" t="str">
        <f>IFERROR(__xludf.DUMMYFUNCTION("""COMPUTED_VALUE"""),"belum bales lagi, FU 12 Juni")</f>
        <v>belum bales lagi, FU 12 Juni</v>
      </c>
      <c r="E130" s="170"/>
      <c r="F130" s="53"/>
      <c r="G130" s="53"/>
      <c r="H130" s="53"/>
      <c r="I130" s="171"/>
      <c r="J130" s="170"/>
      <c r="K130" s="53"/>
      <c r="L130" s="53"/>
      <c r="M130" s="53"/>
      <c r="N130" s="171"/>
      <c r="O130" s="170"/>
      <c r="P130" s="53"/>
      <c r="Q130" s="53"/>
      <c r="R130" s="53"/>
      <c r="S130" s="171"/>
      <c r="T130" s="170"/>
      <c r="U130" s="53"/>
      <c r="V130" s="53"/>
      <c r="W130" s="53"/>
      <c r="X130" s="171"/>
      <c r="Y130" s="170"/>
      <c r="Z130" s="170"/>
      <c r="AA130" s="170"/>
      <c r="AB130" s="170"/>
      <c r="AC130" s="170"/>
      <c r="AD130" s="53"/>
      <c r="AE130" s="53"/>
    </row>
    <row r="131">
      <c r="A131" s="53"/>
      <c r="B131" s="53" t="str">
        <f>IFERROR(__xludf.DUMMYFUNCTION("""COMPUTED_VALUE"""),"2606D037
Bambang
081392398400
Lainnya")</f>
        <v>2606D037
Bambang
081392398400
Lainnya</v>
      </c>
      <c r="C131" s="168" t="str">
        <f>IFERROR(__xludf.DUMMYFUNCTION("""COMPUTED_VALUE"""),"2h1m/1 day trip
 pax
Rp0")</f>
        <v>2h1m/1 day trip
 pax
Rp0</v>
      </c>
      <c r="D131" s="169" t="str">
        <f>IFERROR(__xludf.DUMMYFUNCTION("""COMPUTED_VALUE"""),"FU 12 Juni")</f>
        <v>FU 12 Juni</v>
      </c>
      <c r="E131" s="170"/>
      <c r="F131" s="53"/>
      <c r="G131" s="53"/>
      <c r="H131" s="53"/>
      <c r="I131" s="171"/>
      <c r="J131" s="170"/>
      <c r="K131" s="53"/>
      <c r="L131" s="53"/>
      <c r="M131" s="53"/>
      <c r="N131" s="171"/>
      <c r="O131" s="170"/>
      <c r="P131" s="53"/>
      <c r="Q131" s="53"/>
      <c r="R131" s="53"/>
      <c r="S131" s="171"/>
      <c r="T131" s="170"/>
      <c r="U131" s="53"/>
      <c r="V131" s="53"/>
      <c r="W131" s="53"/>
      <c r="X131" s="171"/>
      <c r="Y131" s="170"/>
      <c r="Z131" s="170"/>
      <c r="AA131" s="170"/>
      <c r="AB131" s="170"/>
      <c r="AC131" s="170"/>
      <c r="AD131" s="53"/>
      <c r="AE131" s="53"/>
    </row>
    <row r="132">
      <c r="A132" s="53"/>
      <c r="B132" s="53" t="str">
        <f>IFERROR(__xludf.DUMMYFUNCTION("""COMPUTED_VALUE"""),"2606D038
Sherryl
081355412374
Instagram")</f>
        <v>2606D038
Sherryl
081355412374
Instagram</v>
      </c>
      <c r="C132" s="168" t="str">
        <f>IFERROR(__xludf.DUMMYFUNCTION("""COMPUTED_VALUE"""),"
 pax
Rp0")</f>
        <v>
 pax
Rp0</v>
      </c>
      <c r="D132" s="169" t="str">
        <f>IFERROR(__xludf.DUMMYFUNCTION("""COMPUTED_VALUE"""),"FU 12 Juni")</f>
        <v>FU 12 Juni</v>
      </c>
      <c r="E132" s="170"/>
      <c r="F132" s="53"/>
      <c r="G132" s="53"/>
      <c r="H132" s="53"/>
      <c r="I132" s="171"/>
      <c r="J132" s="170"/>
      <c r="K132" s="53"/>
      <c r="L132" s="53"/>
      <c r="M132" s="53"/>
      <c r="N132" s="171"/>
      <c r="O132" s="170"/>
      <c r="P132" s="53"/>
      <c r="Q132" s="53"/>
      <c r="R132" s="53"/>
      <c r="S132" s="171"/>
      <c r="T132" s="170"/>
      <c r="U132" s="53"/>
      <c r="V132" s="53"/>
      <c r="W132" s="53"/>
      <c r="X132" s="171"/>
      <c r="Y132" s="170"/>
      <c r="Z132" s="170"/>
      <c r="AA132" s="170"/>
      <c r="AB132" s="170"/>
      <c r="AC132" s="170"/>
      <c r="AD132" s="53"/>
      <c r="AE132" s="53"/>
    </row>
    <row r="133">
      <c r="A133" s="53"/>
      <c r="B133" s="53" t="str">
        <f>IFERROR(__xludf.DUMMYFUNCTION("""COMPUTED_VALUE"""),"2606D039
Bimo Ario 
087765247762
Instagram")</f>
        <v>2606D039
Bimo Ario 
087765247762
Instagram</v>
      </c>
      <c r="C133" s="168" t="str">
        <f>IFERROR(__xludf.DUMMYFUNCTION("""COMPUTED_VALUE"""),"3H2M
 pax
Rp0")</f>
        <v>3H2M
 pax
Rp0</v>
      </c>
      <c r="D133" s="169" t="str">
        <f>IFERROR(__xludf.DUMMYFUNCTION("""COMPUTED_VALUE"""),"belum balas lagi, FU 13 Juni")</f>
        <v>belum balas lagi, FU 13 Juni</v>
      </c>
      <c r="E133" s="170"/>
      <c r="F133" s="53"/>
      <c r="G133" s="53"/>
      <c r="H133" s="53"/>
      <c r="I133" s="171"/>
      <c r="J133" s="170"/>
      <c r="K133" s="53"/>
      <c r="L133" s="53"/>
      <c r="M133" s="53"/>
      <c r="N133" s="171"/>
      <c r="O133" s="170"/>
      <c r="P133" s="53"/>
      <c r="Q133" s="53"/>
      <c r="R133" s="53"/>
      <c r="S133" s="171"/>
      <c r="T133" s="170"/>
      <c r="U133" s="53"/>
      <c r="V133" s="53"/>
      <c r="W133" s="53"/>
      <c r="X133" s="171"/>
      <c r="Y133" s="170"/>
      <c r="Z133" s="170"/>
      <c r="AA133" s="170"/>
      <c r="AB133" s="170"/>
      <c r="AC133" s="170"/>
      <c r="AD133" s="53"/>
      <c r="AE133" s="53"/>
    </row>
    <row r="134">
      <c r="A134" s="53"/>
      <c r="B134" s="53" t="str">
        <f>IFERROR(__xludf.DUMMYFUNCTION("""COMPUTED_VALUE"""),"2606D041
Dhinda Syahviraa
082225550566
Instagram")</f>
        <v>2606D041
Dhinda Syahviraa
082225550566
Instagram</v>
      </c>
      <c r="C134" s="168" t="str">
        <f>IFERROR(__xludf.DUMMYFUNCTION("""COMPUTED_VALUE"""),"trip Baluran
2 pax
Rp0")</f>
        <v>trip Baluran
2 pax
Rp0</v>
      </c>
      <c r="D134" s="169"/>
      <c r="E134" s="170"/>
      <c r="F134" s="53"/>
      <c r="G134" s="53"/>
      <c r="H134" s="53"/>
      <c r="I134" s="171"/>
      <c r="J134" s="170"/>
      <c r="K134" s="53"/>
      <c r="L134" s="53"/>
      <c r="M134" s="53"/>
      <c r="N134" s="171"/>
      <c r="O134" s="170"/>
      <c r="P134" s="53"/>
      <c r="Q134" s="53"/>
      <c r="R134" s="53"/>
      <c r="S134" s="171"/>
      <c r="T134" s="170"/>
      <c r="U134" s="53"/>
      <c r="V134" s="53"/>
      <c r="W134" s="53"/>
      <c r="X134" s="171"/>
      <c r="Y134" s="170"/>
      <c r="Z134" s="170"/>
      <c r="AA134" s="170"/>
      <c r="AB134" s="170"/>
      <c r="AC134" s="170"/>
      <c r="AD134" s="53"/>
      <c r="AE134" s="53"/>
    </row>
    <row r="135">
      <c r="A135" s="53"/>
      <c r="B135" s="53" t="str">
        <f>IFERROR(__xludf.DUMMYFUNCTION("""COMPUTED_VALUE"""),"2606D042
Fanny
08122177273
Website")</f>
        <v>2606D042
Fanny
08122177273
Website</v>
      </c>
      <c r="C135" s="168" t="str">
        <f>IFERROR(__xludf.DUMMYFUNCTION("""COMPUTED_VALUE"""),"3H2M opsi A
10 pax
Rp0")</f>
        <v>3H2M opsi A
10 pax
Rp0</v>
      </c>
      <c r="D135" s="169" t="str">
        <f>IFERROR(__xludf.DUMMYFUNCTION("""COMPUTED_VALUE"""),"FU 11 Juni")</f>
        <v>FU 11 Juni</v>
      </c>
      <c r="E135" s="170"/>
      <c r="F135" s="53"/>
      <c r="G135" s="53"/>
      <c r="H135" s="53"/>
      <c r="I135" s="171"/>
      <c r="J135" s="170"/>
      <c r="K135" s="53"/>
      <c r="L135" s="53"/>
      <c r="M135" s="53"/>
      <c r="N135" s="171"/>
      <c r="O135" s="170"/>
      <c r="P135" s="53"/>
      <c r="Q135" s="53"/>
      <c r="R135" s="53"/>
      <c r="S135" s="171"/>
      <c r="T135" s="170"/>
      <c r="U135" s="53"/>
      <c r="V135" s="53"/>
      <c r="W135" s="53"/>
      <c r="X135" s="171"/>
      <c r="Y135" s="170"/>
      <c r="Z135" s="170"/>
      <c r="AA135" s="170"/>
      <c r="AB135" s="170"/>
      <c r="AC135" s="170"/>
      <c r="AD135" s="53"/>
      <c r="AE135" s="53"/>
    </row>
    <row r="136">
      <c r="A136" s="53"/>
      <c r="B136" s="53" t="str">
        <f>IFERROR(__xludf.DUMMYFUNCTION("""COMPUTED_VALUE"""),"2606D043
Th
082234838511
Lainnya")</f>
        <v>2606D043
Th
082234838511
Lainnya</v>
      </c>
      <c r="C136" s="168" t="str">
        <f>IFERROR(__xludf.DUMMYFUNCTION("""COMPUTED_VALUE"""),"3H2M opsi A
46210
2 pax
Rp0")</f>
        <v>3H2M opsi A
46210
2 pax
Rp0</v>
      </c>
      <c r="D136" s="169" t="str">
        <f>IFERROR(__xludf.DUMMYFUNCTION("""COMPUTED_VALUE"""),"FU 15 Juni")</f>
        <v>FU 15 Juni</v>
      </c>
      <c r="E136" s="170"/>
      <c r="F136" s="53"/>
      <c r="G136" s="53"/>
      <c r="H136" s="53"/>
      <c r="I136" s="171"/>
      <c r="J136" s="170"/>
      <c r="K136" s="53"/>
      <c r="L136" s="53"/>
      <c r="M136" s="53"/>
      <c r="N136" s="171"/>
      <c r="O136" s="170"/>
      <c r="P136" s="53"/>
      <c r="Q136" s="53"/>
      <c r="R136" s="53"/>
      <c r="S136" s="171"/>
      <c r="T136" s="170"/>
      <c r="U136" s="53"/>
      <c r="V136" s="53"/>
      <c r="W136" s="53"/>
      <c r="X136" s="171"/>
      <c r="Y136" s="170"/>
      <c r="Z136" s="170"/>
      <c r="AA136" s="170"/>
      <c r="AB136" s="170"/>
      <c r="AC136" s="170"/>
      <c r="AD136" s="53"/>
      <c r="AE136" s="53"/>
    </row>
    <row r="137">
      <c r="A137" s="53"/>
      <c r="B137" s="53" t="str">
        <f>IFERROR(__xludf.DUMMYFUNCTION("""COMPUTED_VALUE"""),"2606D044
Lilis
08129092824
Website")</f>
        <v>2606D044
Lilis
08129092824
Website</v>
      </c>
      <c r="C137" s="168" t="str">
        <f>IFERROR(__xludf.DUMMYFUNCTION("""COMPUTED_VALUE"""),"2H1M
 pax
Rp0")</f>
        <v>2H1M
 pax
Rp0</v>
      </c>
      <c r="D137" s="169" t="str">
        <f>IFERROR(__xludf.DUMMYFUNCTION("""COMPUTED_VALUE"""),"belum bales lagi, FU ")</f>
        <v>belum bales lagi, FU </v>
      </c>
      <c r="E137" s="170"/>
      <c r="F137" s="53"/>
      <c r="G137" s="53"/>
      <c r="H137" s="53"/>
      <c r="I137" s="171"/>
      <c r="J137" s="170"/>
      <c r="K137" s="53"/>
      <c r="L137" s="53"/>
      <c r="M137" s="53"/>
      <c r="N137" s="171"/>
      <c r="O137" s="170"/>
      <c r="P137" s="53"/>
      <c r="Q137" s="53"/>
      <c r="R137" s="53"/>
      <c r="S137" s="171"/>
      <c r="T137" s="170"/>
      <c r="U137" s="53"/>
      <c r="V137" s="53"/>
      <c r="W137" s="53"/>
      <c r="X137" s="171"/>
      <c r="Y137" s="170"/>
      <c r="Z137" s="170"/>
      <c r="AA137" s="170"/>
      <c r="AB137" s="170"/>
      <c r="AC137" s="170"/>
      <c r="AD137" s="53"/>
      <c r="AE137" s="53"/>
    </row>
    <row r="138">
      <c r="A138" s="53"/>
      <c r="B138" s="53" t="str">
        <f>IFERROR(__xludf.DUMMYFUNCTION("""COMPUTED_VALUE"""),"2606D046
Dian Sari Magdalena 
081310612022
Website")</f>
        <v>2606D046
Dian Sari Magdalena 
081310612022
Website</v>
      </c>
      <c r="C138" s="168" t="str">
        <f>IFERROR(__xludf.DUMMYFUNCTION("""COMPUTED_VALUE"""),"OT 3h2m
2 pax
Rp0")</f>
        <v>OT 3h2m
2 pax
Rp0</v>
      </c>
      <c r="D138" s="169" t="str">
        <f>IFERROR(__xludf.DUMMYFUNCTION("""COMPUTED_VALUE"""),"FU 9 Juni")</f>
        <v>FU 9 Juni</v>
      </c>
      <c r="E138" s="170"/>
      <c r="F138" s="53"/>
      <c r="G138" s="53"/>
      <c r="H138" s="53"/>
      <c r="I138" s="171"/>
      <c r="J138" s="170"/>
      <c r="K138" s="53"/>
      <c r="L138" s="53"/>
      <c r="M138" s="53"/>
      <c r="N138" s="171"/>
      <c r="O138" s="170"/>
      <c r="P138" s="53"/>
      <c r="Q138" s="53"/>
      <c r="R138" s="53"/>
      <c r="S138" s="171"/>
      <c r="T138" s="170"/>
      <c r="U138" s="53"/>
      <c r="V138" s="53"/>
      <c r="W138" s="53"/>
      <c r="X138" s="171"/>
      <c r="Y138" s="170"/>
      <c r="Z138" s="170"/>
      <c r="AA138" s="170"/>
      <c r="AB138" s="170"/>
      <c r="AC138" s="170"/>
      <c r="AD138" s="53"/>
      <c r="AE138" s="53"/>
    </row>
    <row r="139">
      <c r="A139" s="53"/>
      <c r="B139" s="53" t="str">
        <f>IFERROR(__xludf.DUMMYFUNCTION("""COMPUTED_VALUE"""),"2606D047
Dwipayani
085880632986
Website")</f>
        <v>2606D047
Dwipayani
085880632986
Website</v>
      </c>
      <c r="C139" s="168" t="str">
        <f>IFERROR(__xludf.DUMMYFUNCTION("""COMPUTED_VALUE"""),"OT MT
46192
2 pax
Rp0")</f>
        <v>OT MT
46192
2 pax
Rp0</v>
      </c>
      <c r="D139" s="169" t="str">
        <f>IFERROR(__xludf.DUMMYFUNCTION("""COMPUTED_VALUE"""),"FU 9 Juni")</f>
        <v>FU 9 Juni</v>
      </c>
      <c r="E139" s="170"/>
      <c r="F139" s="53"/>
      <c r="G139" s="53"/>
      <c r="H139" s="53"/>
      <c r="I139" s="171"/>
      <c r="J139" s="170"/>
      <c r="K139" s="53"/>
      <c r="L139" s="53"/>
      <c r="M139" s="53"/>
      <c r="N139" s="171"/>
      <c r="O139" s="170"/>
      <c r="P139" s="53"/>
      <c r="Q139" s="53"/>
      <c r="R139" s="53"/>
      <c r="S139" s="171"/>
      <c r="T139" s="170"/>
      <c r="U139" s="53"/>
      <c r="V139" s="53"/>
      <c r="W139" s="53"/>
      <c r="X139" s="171"/>
      <c r="Y139" s="170"/>
      <c r="Z139" s="170"/>
      <c r="AA139" s="170"/>
      <c r="AB139" s="170"/>
      <c r="AC139" s="170"/>
      <c r="AD139" s="53"/>
      <c r="AE139" s="53"/>
    </row>
    <row r="140">
      <c r="A140" s="53"/>
      <c r="B140" s="53" t="str">
        <f>IFERROR(__xludf.DUMMYFUNCTION("""COMPUTED_VALUE"""),"2606D049
Noviani Rachmisari
0818672878
Website")</f>
        <v>2606D049
Noviani Rachmisari
0818672878
Website</v>
      </c>
      <c r="C140" s="168" t="str">
        <f>IFERROR(__xludf.DUMMYFUNCTION("""COMPUTED_VALUE"""),"3H2M opsi A
46202
7 pax
Rp0")</f>
        <v>3H2M opsi A
46202
7 pax
Rp0</v>
      </c>
      <c r="D140" s="169" t="str">
        <f>IFERROR(__xludf.DUMMYFUNCTION("""COMPUTED_VALUE"""),"FU 13 Juni")</f>
        <v>FU 13 Juni</v>
      </c>
      <c r="E140" s="170"/>
      <c r="F140" s="53"/>
      <c r="G140" s="53"/>
      <c r="H140" s="53"/>
      <c r="I140" s="171"/>
      <c r="J140" s="170"/>
      <c r="K140" s="53"/>
      <c r="L140" s="53"/>
      <c r="M140" s="53"/>
      <c r="N140" s="171"/>
      <c r="O140" s="170"/>
      <c r="P140" s="53"/>
      <c r="Q140" s="53"/>
      <c r="R140" s="53"/>
      <c r="S140" s="171"/>
      <c r="T140" s="170"/>
      <c r="U140" s="53"/>
      <c r="V140" s="53"/>
      <c r="W140" s="53"/>
      <c r="X140" s="171"/>
      <c r="Y140" s="170"/>
      <c r="Z140" s="170"/>
      <c r="AA140" s="170"/>
      <c r="AB140" s="170"/>
      <c r="AC140" s="170"/>
      <c r="AD140" s="53"/>
      <c r="AE140" s="53"/>
    </row>
    <row r="141">
      <c r="A141" s="53"/>
      <c r="B141" s="53" t="str">
        <f>IFERROR(__xludf.DUMMYFUNCTION("""COMPUTED_VALUE"""),"2606D050
Adinda Fachreza
085157644801
Instagram")</f>
        <v>2606D050
Adinda Fachreza
085157644801
Instagram</v>
      </c>
      <c r="C141" s="168" t="str">
        <f>IFERROR(__xludf.DUMMYFUNCTION("""COMPUTED_VALUE"""),"PT MT
10 pax
Rp0")</f>
        <v>PT MT
10 pax
Rp0</v>
      </c>
      <c r="D141" s="169" t="str">
        <f>IFERROR(__xludf.DUMMYFUNCTION("""COMPUTED_VALUE"""),"FU 19 Juni")</f>
        <v>FU 19 Juni</v>
      </c>
      <c r="E141" s="170"/>
      <c r="F141" s="53"/>
      <c r="G141" s="53"/>
      <c r="H141" s="53"/>
      <c r="I141" s="171"/>
      <c r="J141" s="170"/>
      <c r="K141" s="53"/>
      <c r="L141" s="53"/>
      <c r="M141" s="53"/>
      <c r="N141" s="171"/>
      <c r="O141" s="170"/>
      <c r="P141" s="53"/>
      <c r="Q141" s="53"/>
      <c r="R141" s="53"/>
      <c r="S141" s="171"/>
      <c r="T141" s="170"/>
      <c r="U141" s="53"/>
      <c r="V141" s="53"/>
      <c r="W141" s="53"/>
      <c r="X141" s="171"/>
      <c r="Y141" s="170"/>
      <c r="Z141" s="170"/>
      <c r="AA141" s="170"/>
      <c r="AB141" s="170"/>
      <c r="AC141" s="170"/>
      <c r="AD141" s="53"/>
      <c r="AE141" s="53"/>
    </row>
    <row r="142">
      <c r="A142" s="53"/>
      <c r="B142" s="53" t="str">
        <f>IFERROR(__xludf.DUMMYFUNCTION("""COMPUTED_VALUE"""),"2606D051
Ria
089690908261
Instagram")</f>
        <v>2606D051
Ria
089690908261
Instagram</v>
      </c>
      <c r="C142" s="168" t="str">
        <f>IFERROR(__xludf.DUMMYFUNCTION("""COMPUTED_VALUE"""),"
2 pax
Rp0")</f>
        <v>
2 pax
Rp0</v>
      </c>
      <c r="D142" s="169" t="str">
        <f>IFERROR(__xludf.DUMMYFUNCTION("""COMPUTED_VALUE"""),"FU 9 Juni  ")</f>
        <v>FU 9 Juni  </v>
      </c>
      <c r="E142" s="170"/>
      <c r="F142" s="53"/>
      <c r="G142" s="53"/>
      <c r="H142" s="53"/>
      <c r="I142" s="171"/>
      <c r="J142" s="170"/>
      <c r="K142" s="53"/>
      <c r="L142" s="53"/>
      <c r="M142" s="53"/>
      <c r="N142" s="171"/>
      <c r="O142" s="170"/>
      <c r="P142" s="53"/>
      <c r="Q142" s="53"/>
      <c r="R142" s="53"/>
      <c r="S142" s="171"/>
      <c r="T142" s="170"/>
      <c r="U142" s="53"/>
      <c r="V142" s="53"/>
      <c r="W142" s="53"/>
      <c r="X142" s="171"/>
      <c r="Y142" s="170"/>
      <c r="Z142" s="170"/>
      <c r="AA142" s="170"/>
      <c r="AB142" s="170"/>
      <c r="AC142" s="170"/>
      <c r="AD142" s="53"/>
      <c r="AE142" s="53"/>
    </row>
    <row r="143">
      <c r="A143" s="53"/>
      <c r="B143" s="53" t="str">
        <f>IFERROR(__xludf.DUMMYFUNCTION("""COMPUTED_VALUE"""),"2606D052
Haifa
089636430689
Instagram")</f>
        <v>2606D052
Haifa
089636430689
Instagram</v>
      </c>
      <c r="C143" s="168" t="str">
        <f>IFERROR(__xludf.DUMMYFUNCTION("""COMPUTED_VALUE"""),"3h2m Opsi A
 pax
Rp0")</f>
        <v>3h2m Opsi A
 pax
Rp0</v>
      </c>
      <c r="D143" s="169" t="str">
        <f>IFERROR(__xludf.DUMMYFUNCTION("""COMPUTED_VALUE"""),"FU 10 Juni")</f>
        <v>FU 10 Juni</v>
      </c>
      <c r="E143" s="170"/>
      <c r="F143" s="53"/>
      <c r="G143" s="53"/>
      <c r="H143" s="53"/>
      <c r="I143" s="171"/>
      <c r="J143" s="170"/>
      <c r="K143" s="53"/>
      <c r="L143" s="53"/>
      <c r="M143" s="53"/>
      <c r="N143" s="171"/>
      <c r="O143" s="170"/>
      <c r="P143" s="53"/>
      <c r="Q143" s="53"/>
      <c r="R143" s="53"/>
      <c r="S143" s="171"/>
      <c r="T143" s="170"/>
      <c r="U143" s="53"/>
      <c r="V143" s="53"/>
      <c r="W143" s="53"/>
      <c r="X143" s="171"/>
      <c r="Y143" s="170"/>
      <c r="Z143" s="170"/>
      <c r="AA143" s="170"/>
      <c r="AB143" s="170"/>
      <c r="AC143" s="170"/>
      <c r="AD143" s="53"/>
      <c r="AE143" s="53"/>
    </row>
    <row r="144">
      <c r="A144" s="53"/>
      <c r="B144" s="53" t="str">
        <f>IFERROR(__xludf.DUMMYFUNCTION("""COMPUTED_VALUE"""),"2606D054
Kirana 
082217777309
Instagram")</f>
        <v>2606D054
Kirana 
082217777309
Instagram</v>
      </c>
      <c r="C144" s="168" t="str">
        <f>IFERROR(__xludf.DUMMYFUNCTION("""COMPUTED_VALUE"""),"3H2M opsi A
46186
3 pax
Rp0")</f>
        <v>3H2M opsi A
46186
3 pax
Rp0</v>
      </c>
      <c r="D144" s="169" t="str">
        <f>IFERROR(__xludf.DUMMYFUNCTION("""COMPUTED_VALUE"""),"FU 9 Juni")</f>
        <v>FU 9 Juni</v>
      </c>
      <c r="E144" s="170"/>
      <c r="F144" s="53"/>
      <c r="G144" s="53"/>
      <c r="H144" s="53"/>
      <c r="I144" s="171"/>
      <c r="J144" s="170"/>
      <c r="K144" s="53"/>
      <c r="L144" s="53"/>
      <c r="M144" s="53"/>
      <c r="N144" s="171"/>
      <c r="O144" s="170"/>
      <c r="P144" s="53"/>
      <c r="Q144" s="53"/>
      <c r="R144" s="53"/>
      <c r="S144" s="171"/>
      <c r="T144" s="170"/>
      <c r="U144" s="53"/>
      <c r="V144" s="53"/>
      <c r="W144" s="53"/>
      <c r="X144" s="171"/>
      <c r="Y144" s="170"/>
      <c r="Z144" s="170"/>
      <c r="AA144" s="170"/>
      <c r="AB144" s="170"/>
      <c r="AC144" s="170"/>
      <c r="AD144" s="53"/>
      <c r="AE144" s="53"/>
    </row>
    <row r="145">
      <c r="A145" s="53"/>
      <c r="B145" s="53" t="str">
        <f>IFERROR(__xludf.DUMMYFUNCTION("""COMPUTED_VALUE"""),"2602D055
Ddi3
081327081982
Website")</f>
        <v>2602D055
Ddi3
081327081982
Website</v>
      </c>
      <c r="C145" s="168" t="str">
        <f>IFERROR(__xludf.DUMMYFUNCTION("""COMPUTED_VALUE"""),"
3 pax
Rp0")</f>
        <v>
3 pax
Rp0</v>
      </c>
      <c r="D145" s="169" t="str">
        <f>IFERROR(__xludf.DUMMYFUNCTION("""COMPUTED_VALUE"""),"FU 9 Juni")</f>
        <v>FU 9 Juni</v>
      </c>
      <c r="E145" s="170"/>
      <c r="F145" s="53"/>
      <c r="G145" s="53"/>
      <c r="H145" s="53"/>
      <c r="I145" s="171"/>
      <c r="J145" s="170"/>
      <c r="K145" s="53"/>
      <c r="L145" s="53"/>
      <c r="M145" s="53"/>
      <c r="N145" s="171"/>
      <c r="O145" s="170"/>
      <c r="P145" s="53"/>
      <c r="Q145" s="53"/>
      <c r="R145" s="53"/>
      <c r="S145" s="171"/>
      <c r="T145" s="170"/>
      <c r="U145" s="53"/>
      <c r="V145" s="53"/>
      <c r="W145" s="53"/>
      <c r="X145" s="171"/>
      <c r="Y145" s="170"/>
      <c r="Z145" s="170"/>
      <c r="AA145" s="170"/>
      <c r="AB145" s="170"/>
      <c r="AC145" s="170"/>
      <c r="AD145" s="53"/>
      <c r="AE145" s="53"/>
    </row>
    <row r="146">
      <c r="A146" s="53"/>
      <c r="B146" s="53" t="str">
        <f>IFERROR(__xludf.DUMMYFUNCTION("""COMPUTED_VALUE"""),"2606D056
Ana  
081259427377
Website")</f>
        <v>2606D056
Ana  
081259427377
Website</v>
      </c>
      <c r="C146" s="168" t="str">
        <f>IFERROR(__xludf.DUMMYFUNCTION("""COMPUTED_VALUE"""),"OT MT, Djabal, GI
2 pax
Rp0")</f>
        <v>OT MT, Djabal, GI
2 pax
Rp0</v>
      </c>
      <c r="D146" s="169" t="str">
        <f>IFERROR(__xludf.DUMMYFUNCTION("""COMPUTED_VALUE"""),"masih nentuin tanggal, FU 11 Juni")</f>
        <v>masih nentuin tanggal, FU 11 Juni</v>
      </c>
      <c r="E146" s="170"/>
      <c r="F146" s="53"/>
      <c r="G146" s="53"/>
      <c r="H146" s="53"/>
      <c r="I146" s="171"/>
      <c r="J146" s="170"/>
      <c r="K146" s="53"/>
      <c r="L146" s="53"/>
      <c r="M146" s="53"/>
      <c r="N146" s="171"/>
      <c r="O146" s="170"/>
      <c r="P146" s="53"/>
      <c r="Q146" s="53"/>
      <c r="R146" s="53"/>
      <c r="S146" s="171"/>
      <c r="T146" s="170"/>
      <c r="U146" s="53"/>
      <c r="V146" s="53"/>
      <c r="W146" s="53"/>
      <c r="X146" s="171"/>
      <c r="Y146" s="170"/>
      <c r="Z146" s="170"/>
      <c r="AA146" s="170"/>
      <c r="AB146" s="170"/>
      <c r="AC146" s="170"/>
      <c r="AD146" s="53"/>
      <c r="AE146" s="53"/>
    </row>
    <row r="147">
      <c r="A147" s="53"/>
      <c r="B147" s="53" t="str">
        <f>IFERROR(__xludf.DUMMYFUNCTION("""COMPUTED_VALUE"""),"2606D057
Muh Asyrofil
081233627472
Website")</f>
        <v>2606D057
Muh Asyrofil
081233627472
Website</v>
      </c>
      <c r="C147" s="168" t="str">
        <f>IFERROR(__xludf.DUMMYFUNCTION("""COMPUTED_VALUE"""),"trip menjangan
 pax
Rp0")</f>
        <v>trip menjangan
 pax
Rp0</v>
      </c>
      <c r="D147" s="169" t="str">
        <f>IFERROR(__xludf.DUMMYFUNCTION("""COMPUTED_VALUE"""),"menyapaa")</f>
        <v>menyapaa</v>
      </c>
      <c r="E147" s="170"/>
      <c r="F147" s="53"/>
      <c r="G147" s="53"/>
      <c r="H147" s="53"/>
      <c r="I147" s="171"/>
      <c r="J147" s="170"/>
      <c r="K147" s="53"/>
      <c r="L147" s="53"/>
      <c r="M147" s="53"/>
      <c r="N147" s="171"/>
      <c r="O147" s="170"/>
      <c r="P147" s="53"/>
      <c r="Q147" s="53"/>
      <c r="R147" s="53"/>
      <c r="S147" s="171"/>
      <c r="T147" s="170"/>
      <c r="U147" s="53"/>
      <c r="V147" s="53"/>
      <c r="W147" s="53"/>
      <c r="X147" s="171"/>
      <c r="Y147" s="170"/>
      <c r="Z147" s="170"/>
      <c r="AA147" s="170"/>
      <c r="AB147" s="170"/>
      <c r="AC147" s="170"/>
      <c r="AD147" s="53"/>
      <c r="AE147" s="53"/>
    </row>
    <row r="148">
      <c r="A148" s="53"/>
      <c r="B148" s="53" t="str">
        <f>IFERROR(__xludf.DUMMYFUNCTION("""COMPUTED_VALUE"""),"2606D058
LookMan
08119100055
Website")</f>
        <v>2606D058
LookMan
08119100055
Website</v>
      </c>
      <c r="C148" s="168" t="str">
        <f>IFERROR(__xludf.DUMMYFUNCTION("""COMPUTED_VALUE"""),"2H1M opsi A
 pax
Rp0")</f>
        <v>2H1M opsi A
 pax
Rp0</v>
      </c>
      <c r="D148" s="169"/>
      <c r="E148" s="170"/>
      <c r="F148" s="53"/>
      <c r="G148" s="53"/>
      <c r="H148" s="53"/>
      <c r="I148" s="171"/>
      <c r="J148" s="170"/>
      <c r="K148" s="53"/>
      <c r="L148" s="53"/>
      <c r="M148" s="53"/>
      <c r="N148" s="171"/>
      <c r="O148" s="170"/>
      <c r="P148" s="53"/>
      <c r="Q148" s="53"/>
      <c r="R148" s="53"/>
      <c r="S148" s="171"/>
      <c r="T148" s="170"/>
      <c r="U148" s="53"/>
      <c r="V148" s="53"/>
      <c r="W148" s="53"/>
      <c r="X148" s="171"/>
      <c r="Y148" s="170"/>
      <c r="Z148" s="170"/>
      <c r="AA148" s="170"/>
      <c r="AB148" s="170"/>
      <c r="AC148" s="170"/>
      <c r="AD148" s="53"/>
      <c r="AE148" s="53"/>
    </row>
    <row r="149">
      <c r="A149" s="53"/>
      <c r="B149" s="53" t="str">
        <f>IFERROR(__xludf.DUMMYFUNCTION("""COMPUTED_VALUE"""),"2606D059
Yuli Ermawati
085290229000
Instagram")</f>
        <v>2606D059
Yuli Ermawati
085290229000
Instagram</v>
      </c>
      <c r="C149" s="168" t="str">
        <f>IFERROR(__xludf.DUMMYFUNCTION("""COMPUTED_VALUE"""),"3H2M custome
30 pax
Rp0")</f>
        <v>3H2M custome
30 pax
Rp0</v>
      </c>
      <c r="D149" s="169" t="str">
        <f>IFERROR(__xludf.DUMMYFUNCTION("""COMPUTED_VALUE"""),"buat penawaran")</f>
        <v>buat penawaran</v>
      </c>
      <c r="E149" s="170"/>
      <c r="F149" s="53"/>
      <c r="G149" s="53"/>
      <c r="H149" s="53"/>
      <c r="I149" s="171"/>
      <c r="J149" s="170"/>
      <c r="K149" s="53"/>
      <c r="L149" s="53"/>
      <c r="M149" s="53"/>
      <c r="N149" s="171"/>
      <c r="O149" s="170"/>
      <c r="P149" s="53"/>
      <c r="Q149" s="53"/>
      <c r="R149" s="53"/>
      <c r="S149" s="171"/>
      <c r="T149" s="170"/>
      <c r="U149" s="53"/>
      <c r="V149" s="53"/>
      <c r="W149" s="53"/>
      <c r="X149" s="171"/>
      <c r="Y149" s="170"/>
      <c r="Z149" s="170"/>
      <c r="AA149" s="170"/>
      <c r="AB149" s="170"/>
      <c r="AC149" s="170"/>
      <c r="AD149" s="53"/>
      <c r="AE149" s="53"/>
    </row>
    <row r="150">
      <c r="A150" s="53"/>
      <c r="B150" s="53" t="str">
        <f>IFERROR(__xludf.DUMMYFUNCTION("""COMPUTED_VALUE"""),"2606D062
No Name 2h1m
082177719919
Instagram")</f>
        <v>2606D062
No Name 2h1m
082177719919
Instagram</v>
      </c>
      <c r="C150" s="168" t="str">
        <f>IFERROR(__xludf.DUMMYFUNCTION("""COMPUTED_VALUE"""),"2h1m opsi B
 pax
Rp0")</f>
        <v>2h1m opsi B
 pax
Rp0</v>
      </c>
      <c r="D150" s="169"/>
      <c r="E150" s="170"/>
      <c r="F150" s="53"/>
      <c r="G150" s="53"/>
      <c r="H150" s="53"/>
      <c r="I150" s="171"/>
      <c r="J150" s="170"/>
      <c r="K150" s="53"/>
      <c r="L150" s="53"/>
      <c r="M150" s="53"/>
      <c r="N150" s="171"/>
      <c r="O150" s="170"/>
      <c r="P150" s="53"/>
      <c r="Q150" s="53"/>
      <c r="R150" s="53"/>
      <c r="S150" s="171"/>
      <c r="T150" s="170"/>
      <c r="U150" s="53"/>
      <c r="V150" s="53"/>
      <c r="W150" s="53"/>
      <c r="X150" s="171"/>
      <c r="Y150" s="170"/>
      <c r="Z150" s="170"/>
      <c r="AA150" s="170"/>
      <c r="AB150" s="170"/>
      <c r="AC150" s="170"/>
      <c r="AD150" s="53"/>
      <c r="AE150" s="53"/>
    </row>
    <row r="151">
      <c r="A151" s="53"/>
      <c r="B151" s="53" t="str">
        <f>IFERROR(__xludf.DUMMYFUNCTION("""COMPUTED_VALUE"""),"2606D064
Anggun Tri Utami
081398761652
Instagram")</f>
        <v>2606D064
Anggun Tri Utami
081398761652
Instagram</v>
      </c>
      <c r="C151" s="168" t="str">
        <f>IFERROR(__xludf.DUMMYFUNCTION("""COMPUTED_VALUE"""),"trip Djabal
 pax
Rp0")</f>
        <v>trip Djabal
 pax
Rp0</v>
      </c>
      <c r="D151" s="169" t="str">
        <f>IFERROR(__xludf.DUMMYFUNCTION("""COMPUTED_VALUE"""),"blm balas lagi, FU 17 Juni")</f>
        <v>blm balas lagi, FU 17 Juni</v>
      </c>
      <c r="E151" s="170"/>
      <c r="F151" s="53"/>
      <c r="G151" s="53"/>
      <c r="H151" s="53"/>
      <c r="I151" s="171"/>
      <c r="J151" s="170"/>
      <c r="K151" s="53"/>
      <c r="L151" s="53"/>
      <c r="M151" s="53"/>
      <c r="N151" s="171"/>
      <c r="O151" s="170"/>
      <c r="P151" s="53"/>
      <c r="Q151" s="53"/>
      <c r="R151" s="53"/>
      <c r="S151" s="171"/>
      <c r="T151" s="170"/>
      <c r="U151" s="53"/>
      <c r="V151" s="53"/>
      <c r="W151" s="53"/>
      <c r="X151" s="171"/>
      <c r="Y151" s="170"/>
      <c r="Z151" s="170"/>
      <c r="AA151" s="170"/>
      <c r="AB151" s="170"/>
      <c r="AC151" s="170"/>
      <c r="AD151" s="53"/>
      <c r="AE151" s="53"/>
    </row>
    <row r="152">
      <c r="A152" s="53"/>
      <c r="B152" s="53" t="str">
        <f>IFERROR(__xludf.DUMMYFUNCTION("""COMPUTED_VALUE"""),"2606D066
Ira Nirmala
085659201038
Website")</f>
        <v>2606D066
Ira Nirmala
085659201038
Website</v>
      </c>
      <c r="C152" s="168" t="str">
        <f>IFERROR(__xludf.DUMMYFUNCTION("""COMPUTED_VALUE"""),"3h2m opsi A
5 pax
Rp0")</f>
        <v>3h2m opsi A
5 pax
Rp0</v>
      </c>
      <c r="D152" s="169" t="str">
        <f>IFERROR(__xludf.DUMMYFUNCTION("""COMPUTED_VALUE"""),"diskus duu, FU 11 Juni")</f>
        <v>diskus duu, FU 11 Juni</v>
      </c>
      <c r="E152" s="170"/>
      <c r="F152" s="53"/>
      <c r="G152" s="53"/>
      <c r="H152" s="53"/>
      <c r="I152" s="171"/>
      <c r="J152" s="170"/>
      <c r="K152" s="53"/>
      <c r="L152" s="53"/>
      <c r="M152" s="53"/>
      <c r="N152" s="171"/>
      <c r="O152" s="170"/>
      <c r="P152" s="53"/>
      <c r="Q152" s="53"/>
      <c r="R152" s="53"/>
      <c r="S152" s="171"/>
      <c r="T152" s="170"/>
      <c r="U152" s="53"/>
      <c r="V152" s="53"/>
      <c r="W152" s="53"/>
      <c r="X152" s="171"/>
      <c r="Y152" s="170"/>
      <c r="Z152" s="170"/>
      <c r="AA152" s="170"/>
      <c r="AB152" s="170"/>
      <c r="AC152" s="170"/>
      <c r="AD152" s="53"/>
      <c r="AE152" s="53"/>
    </row>
    <row r="153">
      <c r="A153" s="53"/>
      <c r="B153" s="53" t="str">
        <f>IFERROR(__xludf.DUMMYFUNCTION("""COMPUTED_VALUE"""),"2606D067
Melik
081325730022
Website")</f>
        <v>2606D067
Melik
081325730022
Website</v>
      </c>
      <c r="C153" s="168" t="str">
        <f>IFERROR(__xludf.DUMMYFUNCTION("""COMPUTED_VALUE"""),"3h2m
 pax
Rp0")</f>
        <v>3h2m
 pax
Rp0</v>
      </c>
      <c r="D153" s="169" t="str">
        <f>IFERROR(__xludf.DUMMYFUNCTION("""COMPUTED_VALUE"""),"buat penawaran")</f>
        <v>buat penawaran</v>
      </c>
      <c r="E153" s="170"/>
      <c r="F153" s="53"/>
      <c r="G153" s="53"/>
      <c r="H153" s="53"/>
      <c r="I153" s="171"/>
      <c r="J153" s="170"/>
      <c r="K153" s="53"/>
      <c r="L153" s="53"/>
      <c r="M153" s="53"/>
      <c r="N153" s="171"/>
      <c r="O153" s="170"/>
      <c r="P153" s="53"/>
      <c r="Q153" s="53"/>
      <c r="R153" s="53"/>
      <c r="S153" s="171"/>
      <c r="T153" s="170"/>
      <c r="U153" s="53"/>
      <c r="V153" s="53"/>
      <c r="W153" s="53"/>
      <c r="X153" s="171"/>
      <c r="Y153" s="170"/>
      <c r="Z153" s="170"/>
      <c r="AA153" s="170"/>
      <c r="AB153" s="170"/>
      <c r="AC153" s="170"/>
      <c r="AD153" s="53"/>
      <c r="AE153" s="53"/>
    </row>
    <row r="154">
      <c r="A154" s="53"/>
      <c r="B154" s="53" t="str">
        <f>IFERROR(__xludf.DUMMYFUNCTION("""COMPUTED_VALUE"""),"2606D068
Muslih
081231234235
Website")</f>
        <v>2606D068
Muslih
081231234235
Website</v>
      </c>
      <c r="C154" s="168" t="str">
        <f>IFERROR(__xludf.DUMMYFUNCTION("""COMPUTED_VALUE"""),"OT harian
1 pax
Rp0")</f>
        <v>OT harian
1 pax
Rp0</v>
      </c>
      <c r="D154" s="169" t="str">
        <f>IFERROR(__xludf.DUMMYFUNCTION("""COMPUTED_VALUE"""),"masih mikir pilih trip yg mana, FU 11 Juni")</f>
        <v>masih mikir pilih trip yg mana, FU 11 Juni</v>
      </c>
      <c r="E154" s="170"/>
      <c r="F154" s="53"/>
      <c r="G154" s="53"/>
      <c r="H154" s="53"/>
      <c r="I154" s="171"/>
      <c r="J154" s="170"/>
      <c r="K154" s="53"/>
      <c r="L154" s="53"/>
      <c r="M154" s="53"/>
      <c r="N154" s="171"/>
      <c r="O154" s="170"/>
      <c r="P154" s="53"/>
      <c r="Q154" s="53"/>
      <c r="R154" s="53"/>
      <c r="S154" s="171"/>
      <c r="T154" s="170"/>
      <c r="U154" s="53"/>
      <c r="V154" s="53"/>
      <c r="W154" s="53"/>
      <c r="X154" s="171"/>
      <c r="Y154" s="170"/>
      <c r="Z154" s="170"/>
      <c r="AA154" s="170"/>
      <c r="AB154" s="170"/>
      <c r="AC154" s="170"/>
      <c r="AD154" s="53"/>
      <c r="AE154" s="53"/>
    </row>
    <row r="155">
      <c r="A155" s="53"/>
      <c r="B155" s="53" t="str">
        <f>IFERROR(__xludf.DUMMYFUNCTION("""COMPUTED_VALUE"""),"2606D070
Alora Homemade 
085156490853
Instagram")</f>
        <v>2606D070
Alora Homemade 
085156490853
Instagram</v>
      </c>
      <c r="C155" s="168" t="str">
        <f>IFERROR(__xludf.DUMMYFUNCTION("""COMPUTED_VALUE"""),"
 pax
Rp0")</f>
        <v>
 pax
Rp0</v>
      </c>
      <c r="D155" s="169" t="str">
        <f>IFERROR(__xludf.DUMMYFUNCTION("""COMPUTED_VALUE"""),"baru menyapa")</f>
        <v>baru menyapa</v>
      </c>
      <c r="E155" s="170"/>
      <c r="F155" s="53"/>
      <c r="G155" s="53"/>
      <c r="H155" s="53"/>
      <c r="I155" s="171"/>
      <c r="J155" s="170"/>
      <c r="K155" s="53"/>
      <c r="L155" s="53"/>
      <c r="M155" s="53"/>
      <c r="N155" s="171"/>
      <c r="O155" s="170"/>
      <c r="P155" s="53"/>
      <c r="Q155" s="53"/>
      <c r="R155" s="53"/>
      <c r="S155" s="171"/>
      <c r="T155" s="170"/>
      <c r="U155" s="53"/>
      <c r="V155" s="53"/>
      <c r="W155" s="53"/>
      <c r="X155" s="171"/>
      <c r="Y155" s="170"/>
      <c r="Z155" s="170"/>
      <c r="AA155" s="170"/>
      <c r="AB155" s="170"/>
      <c r="AC155" s="170"/>
      <c r="AD155" s="53"/>
      <c r="AE155" s="53"/>
    </row>
    <row r="156">
      <c r="A156" s="53"/>
      <c r="B156" s="53" t="str">
        <f>IFERROR(__xludf.DUMMYFUNCTION("""COMPUTED_VALUE"""),"2606D071
Via
081388044571
Tiktok")</f>
        <v>2606D071
Via
081388044571
Tiktok</v>
      </c>
      <c r="C156" s="168" t="str">
        <f>IFERROR(__xludf.DUMMYFUNCTION("""COMPUTED_VALUE"""),"
 pax
Rp0")</f>
        <v>
 pax
Rp0</v>
      </c>
      <c r="D156" s="169" t="str">
        <f>IFERROR(__xludf.DUMMYFUNCTION("""COMPUTED_VALUE"""),"nyari OT 4h3m26, FU 13 Juni")</f>
        <v>nyari OT 4h3m26, FU 13 Juni</v>
      </c>
      <c r="E156" s="170"/>
      <c r="F156" s="53"/>
      <c r="G156" s="53"/>
      <c r="H156" s="53"/>
      <c r="I156" s="171"/>
      <c r="J156" s="170"/>
      <c r="K156" s="53"/>
      <c r="L156" s="53"/>
      <c r="M156" s="53"/>
      <c r="N156" s="171"/>
      <c r="O156" s="170"/>
      <c r="P156" s="53"/>
      <c r="Q156" s="53"/>
      <c r="R156" s="53"/>
      <c r="S156" s="171"/>
      <c r="T156" s="170"/>
      <c r="U156" s="53"/>
      <c r="V156" s="53"/>
      <c r="W156" s="53"/>
      <c r="X156" s="171"/>
      <c r="Y156" s="170"/>
      <c r="Z156" s="170"/>
      <c r="AA156" s="170"/>
      <c r="AB156" s="170"/>
      <c r="AC156" s="170"/>
      <c r="AD156" s="53"/>
      <c r="AE156" s="53"/>
    </row>
    <row r="157">
      <c r="A157" s="53"/>
      <c r="B157" s="53" t="str">
        <f>IFERROR(__xludf.DUMMYFUNCTION("""COMPUTED_VALUE"""),"2606D071
Nna
082172977987
Website")</f>
        <v>2606D071
Nna
082172977987
Website</v>
      </c>
      <c r="C157" s="168" t="str">
        <f>IFERROR(__xludf.DUMMYFUNCTION("""COMPUTED_VALUE"""),"
 pax
Rp0")</f>
        <v>
 pax
Rp0</v>
      </c>
      <c r="D157" s="169" t="str">
        <f>IFERROR(__xludf.DUMMYFUNCTION("""COMPUTED_VALUE"""),"baru menyapa, FU 13 Juni")</f>
        <v>baru menyapa, FU 13 Juni</v>
      </c>
      <c r="E157" s="170"/>
      <c r="F157" s="53"/>
      <c r="G157" s="53"/>
      <c r="H157" s="53"/>
      <c r="I157" s="171"/>
      <c r="J157" s="170"/>
      <c r="K157" s="53"/>
      <c r="L157" s="53"/>
      <c r="M157" s="53"/>
      <c r="N157" s="171"/>
      <c r="O157" s="170"/>
      <c r="P157" s="53"/>
      <c r="Q157" s="53"/>
      <c r="R157" s="53"/>
      <c r="S157" s="171"/>
      <c r="T157" s="170"/>
      <c r="U157" s="53"/>
      <c r="V157" s="53"/>
      <c r="W157" s="53"/>
      <c r="X157" s="171"/>
      <c r="Y157" s="170"/>
      <c r="Z157" s="170"/>
      <c r="AA157" s="170"/>
      <c r="AB157" s="170"/>
      <c r="AC157" s="170"/>
      <c r="AD157" s="53"/>
      <c r="AE157" s="53"/>
    </row>
    <row r="158">
      <c r="A158" s="53"/>
      <c r="B158" s="53" t="str">
        <f>IFERROR(__xludf.DUMMYFUNCTION("""COMPUTED_VALUE"""),"2606D072
Dewi Octaviani
082127009715
Instagram")</f>
        <v>2606D072
Dewi Octaviani
082127009715
Instagram</v>
      </c>
      <c r="C158" s="168" t="str">
        <f>IFERROR(__xludf.DUMMYFUNCTION("""COMPUTED_VALUE"""),"
 pax
Rp0")</f>
        <v>
 pax
Rp0</v>
      </c>
      <c r="D158" s="169" t="str">
        <f>IFERROR(__xludf.DUMMYFUNCTION("""COMPUTED_VALUE"""),"baru nanya mepo")</f>
        <v>baru nanya mepo</v>
      </c>
      <c r="E158" s="170"/>
      <c r="F158" s="53"/>
      <c r="G158" s="53"/>
      <c r="H158" s="53"/>
      <c r="I158" s="171"/>
      <c r="J158" s="170"/>
      <c r="K158" s="53"/>
      <c r="L158" s="53"/>
      <c r="M158" s="53"/>
      <c r="N158" s="171"/>
      <c r="O158" s="170"/>
      <c r="P158" s="53"/>
      <c r="Q158" s="53"/>
      <c r="R158" s="53"/>
      <c r="S158" s="171"/>
      <c r="T158" s="170"/>
      <c r="U158" s="53"/>
      <c r="V158" s="53"/>
      <c r="W158" s="53"/>
      <c r="X158" s="171"/>
      <c r="Y158" s="170"/>
      <c r="Z158" s="170"/>
      <c r="AA158" s="170"/>
      <c r="AB158" s="170"/>
      <c r="AC158" s="170"/>
      <c r="AD158" s="53"/>
      <c r="AE158" s="53"/>
    </row>
    <row r="159">
      <c r="A159" s="53"/>
      <c r="B159" s="53" t="str">
        <f>IFERROR(__xludf.DUMMYFUNCTION("""COMPUTED_VALUE"""),"2606D075
Achmad Rizky
081181200155
Website")</f>
        <v>2606D075
Achmad Rizky
081181200155
Website</v>
      </c>
      <c r="C159" s="168" t="str">
        <f>IFERROR(__xludf.DUMMYFUNCTION("""COMPUTED_VALUE"""),"paket custome
46244
50 pax
Rp0")</f>
        <v>paket custome
46244
50 pax
Rp0</v>
      </c>
      <c r="D159" s="169" t="str">
        <f>IFERROR(__xludf.DUMMYFUNCTION("""COMPUTED_VALUE"""),"B2B, FU 11 Juli  ")</f>
        <v>B2B, FU 11 Juli  </v>
      </c>
      <c r="E159" s="170"/>
      <c r="F159" s="53"/>
      <c r="G159" s="53"/>
      <c r="H159" s="53"/>
      <c r="I159" s="171"/>
      <c r="J159" s="170"/>
      <c r="K159" s="53"/>
      <c r="L159" s="53"/>
      <c r="M159" s="53"/>
      <c r="N159" s="171"/>
      <c r="O159" s="170"/>
      <c r="P159" s="53"/>
      <c r="Q159" s="53"/>
      <c r="R159" s="53"/>
      <c r="S159" s="171"/>
      <c r="T159" s="170"/>
      <c r="U159" s="53"/>
      <c r="V159" s="53"/>
      <c r="W159" s="53"/>
      <c r="X159" s="171"/>
      <c r="Y159" s="170"/>
      <c r="Z159" s="170"/>
      <c r="AA159" s="170"/>
      <c r="AB159" s="170"/>
      <c r="AC159" s="170"/>
      <c r="AD159" s="53"/>
      <c r="AE159" s="53"/>
    </row>
    <row r="160">
      <c r="A160" s="53"/>
      <c r="B160" s="53" t="str">
        <f>IFERROR(__xludf.DUMMYFUNCTION("""COMPUTED_VALUE"""),"2606D076
Fatin DN
081392461331
Instagram")</f>
        <v>2606D076
Fatin DN
081392461331
Instagram</v>
      </c>
      <c r="C160" s="168" t="str">
        <f>IFERROR(__xludf.DUMMYFUNCTION("""COMPUTED_VALUE"""),"2h1m custome
 pax
Rp0")</f>
        <v>2h1m custome
 pax
Rp0</v>
      </c>
      <c r="D160" s="169" t="str">
        <f>IFERROR(__xludf.DUMMYFUNCTION("""COMPUTED_VALUE"""),"belum ada balasan, FU 13 Juni")</f>
        <v>belum ada balasan, FU 13 Juni</v>
      </c>
      <c r="E160" s="170"/>
      <c r="F160" s="53"/>
      <c r="G160" s="53"/>
      <c r="H160" s="53"/>
      <c r="I160" s="171"/>
      <c r="J160" s="170"/>
      <c r="K160" s="53"/>
      <c r="L160" s="53"/>
      <c r="M160" s="53"/>
      <c r="N160" s="171"/>
      <c r="O160" s="170"/>
      <c r="P160" s="53"/>
      <c r="Q160" s="53"/>
      <c r="R160" s="53"/>
      <c r="S160" s="171"/>
      <c r="T160" s="170"/>
      <c r="U160" s="53"/>
      <c r="V160" s="53"/>
      <c r="W160" s="53"/>
      <c r="X160" s="171"/>
      <c r="Y160" s="170"/>
      <c r="Z160" s="170"/>
      <c r="AA160" s="170"/>
      <c r="AB160" s="170"/>
      <c r="AC160" s="170"/>
      <c r="AD160" s="53"/>
      <c r="AE160" s="53"/>
    </row>
    <row r="161">
      <c r="A161" s="53"/>
      <c r="B161" s="53" t="str">
        <f>IFERROR(__xludf.DUMMYFUNCTION("""COMPUTED_VALUE"""),"2606D077
Nia
082244534042
Instagram")</f>
        <v>2606D077
Nia
082244534042
Instagram</v>
      </c>
      <c r="C161" s="168" t="str">
        <f>IFERROR(__xludf.DUMMYFUNCTION("""COMPUTED_VALUE"""),"OT 3H2M
1 pax
Rp0")</f>
        <v>OT 3H2M
1 pax
Rp0</v>
      </c>
      <c r="D161" s="169" t="str">
        <f>IFERROR(__xludf.DUMMYFUNCTION("""COMPUTED_VALUE"""),"sendirian, tidak pas tglnya ")</f>
        <v>sendirian, tidak pas tglnya </v>
      </c>
      <c r="E161" s="170"/>
      <c r="F161" s="53"/>
      <c r="G161" s="53"/>
      <c r="H161" s="53"/>
      <c r="I161" s="171"/>
      <c r="J161" s="170"/>
      <c r="K161" s="53"/>
      <c r="L161" s="53"/>
      <c r="M161" s="53"/>
      <c r="N161" s="171"/>
      <c r="O161" s="170"/>
      <c r="P161" s="53"/>
      <c r="Q161" s="53"/>
      <c r="R161" s="53"/>
      <c r="S161" s="171"/>
      <c r="T161" s="170"/>
      <c r="U161" s="53"/>
      <c r="V161" s="53"/>
      <c r="W161" s="53"/>
      <c r="X161" s="171"/>
      <c r="Y161" s="170"/>
      <c r="Z161" s="170"/>
      <c r="AA161" s="170"/>
      <c r="AB161" s="170"/>
      <c r="AC161" s="170"/>
      <c r="AD161" s="53"/>
      <c r="AE161" s="53"/>
    </row>
    <row r="162">
      <c r="A162" s="53"/>
      <c r="B162" s="53" t="str">
        <f>IFERROR(__xludf.DUMMYFUNCTION("""COMPUTED_VALUE"""),"2606D078
Tuti
087810005045
Instagram")</f>
        <v>2606D078
Tuti
087810005045
Instagram</v>
      </c>
      <c r="C162" s="168" t="str">
        <f>IFERROR(__xludf.DUMMYFUNCTION("""COMPUTED_VALUE"""),"3h2m opsi A
2 pax
Rp0")</f>
        <v>3h2m opsi A
2 pax
Rp0</v>
      </c>
      <c r="D162" s="169" t="str">
        <f>IFERROR(__xludf.DUMMYFUNCTION("""COMPUTED_VALUE"""),"FU 17 Juni")</f>
        <v>FU 17 Juni</v>
      </c>
      <c r="E162" s="170"/>
      <c r="F162" s="53"/>
      <c r="G162" s="53"/>
      <c r="H162" s="53"/>
      <c r="I162" s="171"/>
      <c r="J162" s="170"/>
      <c r="K162" s="53"/>
      <c r="L162" s="53"/>
      <c r="M162" s="53"/>
      <c r="N162" s="171"/>
      <c r="O162" s="170"/>
      <c r="P162" s="53"/>
      <c r="Q162" s="53"/>
      <c r="R162" s="53"/>
      <c r="S162" s="171"/>
      <c r="T162" s="170"/>
      <c r="U162" s="53"/>
      <c r="V162" s="53"/>
      <c r="W162" s="53"/>
      <c r="X162" s="171"/>
      <c r="Y162" s="170"/>
      <c r="Z162" s="170"/>
      <c r="AA162" s="170"/>
      <c r="AB162" s="170"/>
      <c r="AC162" s="170"/>
      <c r="AD162" s="53"/>
      <c r="AE162" s="53"/>
    </row>
    <row r="163">
      <c r="A163" s="53"/>
      <c r="B163" s="53" t="str">
        <f>IFERROR(__xludf.DUMMYFUNCTION("""COMPUTED_VALUE"""),"2606D079
Theresia Mery
081314160309
Instagram")</f>
        <v>2606D079
Theresia Mery
081314160309
Instagram</v>
      </c>
      <c r="C163" s="168" t="str">
        <f>IFERROR(__xludf.DUMMYFUNCTION("""COMPUTED_VALUE"""),"OT 3H2M
46195
4 pax
Rp0")</f>
        <v>OT 3H2M
46195
4 pax
Rp0</v>
      </c>
      <c r="D163" s="169" t="str">
        <f>IFERROR(__xludf.DUMMYFUNCTION("""COMPUTED_VALUE"""),"FU 13 Juni")</f>
        <v>FU 13 Juni</v>
      </c>
      <c r="E163" s="170"/>
      <c r="F163" s="53"/>
      <c r="G163" s="53"/>
      <c r="H163" s="53"/>
      <c r="I163" s="171"/>
      <c r="J163" s="170"/>
      <c r="K163" s="53"/>
      <c r="L163" s="53"/>
      <c r="M163" s="53"/>
      <c r="N163" s="171"/>
      <c r="O163" s="170"/>
      <c r="P163" s="53"/>
      <c r="Q163" s="53"/>
      <c r="R163" s="53"/>
      <c r="S163" s="171"/>
      <c r="T163" s="170"/>
      <c r="U163" s="53"/>
      <c r="V163" s="53"/>
      <c r="W163" s="53"/>
      <c r="X163" s="171"/>
      <c r="Y163" s="170"/>
      <c r="Z163" s="170"/>
      <c r="AA163" s="170"/>
      <c r="AB163" s="170"/>
      <c r="AC163" s="170"/>
      <c r="AD163" s="53"/>
      <c r="AE163" s="53"/>
    </row>
    <row r="164">
      <c r="A164" s="53"/>
      <c r="B164" s="53" t="str">
        <f>IFERROR(__xludf.DUMMYFUNCTION("""COMPUTED_VALUE"""),"2606D081
Azzah
085775168075
Instagram")</f>
        <v>2606D081
Azzah
085775168075
Instagram</v>
      </c>
      <c r="C164" s="168" t="str">
        <f>IFERROR(__xludf.DUMMYFUNCTION("""COMPUTED_VALUE"""),"
 pax
Rp0")</f>
        <v>
 pax
Rp0</v>
      </c>
      <c r="D164" s="169" t="str">
        <f>IFERROR(__xludf.DUMMYFUNCTION("""COMPUTED_VALUE"""),"belum balas lagi, FU 20 Juni")</f>
        <v>belum balas lagi, FU 20 Juni</v>
      </c>
      <c r="E164" s="170"/>
      <c r="F164" s="53"/>
      <c r="G164" s="53"/>
      <c r="H164" s="53"/>
      <c r="I164" s="171"/>
      <c r="J164" s="170"/>
      <c r="K164" s="53"/>
      <c r="L164" s="53"/>
      <c r="M164" s="53"/>
      <c r="N164" s="171"/>
      <c r="O164" s="170"/>
      <c r="P164" s="53"/>
      <c r="Q164" s="53"/>
      <c r="R164" s="53"/>
      <c r="S164" s="171"/>
      <c r="T164" s="170"/>
      <c r="U164" s="53"/>
      <c r="V164" s="53"/>
      <c r="W164" s="53"/>
      <c r="X164" s="171"/>
      <c r="Y164" s="170"/>
      <c r="Z164" s="170"/>
      <c r="AA164" s="170"/>
      <c r="AB164" s="170"/>
      <c r="AC164" s="170"/>
      <c r="AD164" s="53"/>
      <c r="AE164" s="53"/>
    </row>
    <row r="165">
      <c r="A165" s="53"/>
      <c r="B165" s="53" t="str">
        <f>IFERROR(__xludf.DUMMYFUNCTION("""COMPUTED_VALUE"""),"2606D083
Nuzla Ramadhani
089686703829
Instagram")</f>
        <v>2606D083
Nuzla Ramadhani
089686703829
Instagram</v>
      </c>
      <c r="C165" s="168" t="str">
        <f>IFERROR(__xludf.DUMMYFUNCTION("""COMPUTED_VALUE"""),"OT MT
 pax
Rp0")</f>
        <v>OT MT
 pax
Rp0</v>
      </c>
      <c r="D165" s="169" t="str">
        <f>IFERROR(__xludf.DUMMYFUNCTION("""COMPUTED_VALUE"""),"FU 12 Juni")</f>
        <v>FU 12 Juni</v>
      </c>
      <c r="E165" s="170"/>
      <c r="F165" s="53"/>
      <c r="G165" s="53"/>
      <c r="H165" s="53"/>
      <c r="I165" s="171"/>
      <c r="J165" s="170"/>
      <c r="K165" s="53"/>
      <c r="L165" s="53"/>
      <c r="M165" s="53"/>
      <c r="N165" s="171"/>
      <c r="O165" s="170"/>
      <c r="P165" s="53"/>
      <c r="Q165" s="53"/>
      <c r="R165" s="53"/>
      <c r="S165" s="171"/>
      <c r="T165" s="170"/>
      <c r="U165" s="53"/>
      <c r="V165" s="53"/>
      <c r="W165" s="53"/>
      <c r="X165" s="171"/>
      <c r="Y165" s="170"/>
      <c r="Z165" s="170"/>
      <c r="AA165" s="170"/>
      <c r="AB165" s="170"/>
      <c r="AC165" s="170"/>
      <c r="AD165" s="53"/>
      <c r="AE165" s="53"/>
    </row>
    <row r="166">
      <c r="A166" s="53"/>
      <c r="B166" s="53" t="str">
        <f>IFERROR(__xludf.DUMMYFUNCTION("""COMPUTED_VALUE"""),"2606D084
Selsia
081330587777
Website")</f>
        <v>2606D084
Selsia
081330587777
Website</v>
      </c>
      <c r="C166" s="168" t="str">
        <f>IFERROR(__xludf.DUMMYFUNCTION("""COMPUTED_VALUE"""),"OT MT
46191
5 pax
Rp0")</f>
        <v>OT MT
46191
5 pax
Rp0</v>
      </c>
      <c r="D166" s="169"/>
      <c r="E166" s="170"/>
      <c r="F166" s="53"/>
      <c r="G166" s="53"/>
      <c r="H166" s="53"/>
      <c r="I166" s="171"/>
      <c r="J166" s="170"/>
      <c r="K166" s="53"/>
      <c r="L166" s="53"/>
      <c r="M166" s="53"/>
      <c r="N166" s="171"/>
      <c r="O166" s="170"/>
      <c r="P166" s="53"/>
      <c r="Q166" s="53"/>
      <c r="R166" s="53"/>
      <c r="S166" s="171"/>
      <c r="T166" s="170"/>
      <c r="U166" s="53"/>
      <c r="V166" s="53"/>
      <c r="W166" s="53"/>
      <c r="X166" s="171"/>
      <c r="Y166" s="170"/>
      <c r="Z166" s="170"/>
      <c r="AA166" s="170"/>
      <c r="AB166" s="170"/>
      <c r="AC166" s="170"/>
      <c r="AD166" s="53"/>
      <c r="AE166" s="53"/>
    </row>
    <row r="167">
      <c r="A167" s="53"/>
      <c r="B167" s="53" t="str">
        <f>IFERROR(__xludf.DUMMYFUNCTION("""COMPUTED_VALUE"""),"2606D085
Binti888
0859106908827
Instagram")</f>
        <v>2606D085
Binti888
0859106908827
Instagram</v>
      </c>
      <c r="C167" s="168" t="str">
        <f>IFERROR(__xludf.DUMMYFUNCTION("""COMPUTED_VALUE"""),"OT MT
 pax
Rp0")</f>
        <v>OT MT
 pax
Rp0</v>
      </c>
      <c r="D167" s="169" t="str">
        <f>IFERROR(__xludf.DUMMYFUNCTION("""COMPUTED_VALUE"""),"tanya penjemputan dari sby")</f>
        <v>tanya penjemputan dari sby</v>
      </c>
      <c r="E167" s="170"/>
      <c r="F167" s="53"/>
      <c r="G167" s="53"/>
      <c r="H167" s="53"/>
      <c r="I167" s="171"/>
      <c r="J167" s="170"/>
      <c r="K167" s="53"/>
      <c r="L167" s="53"/>
      <c r="M167" s="53"/>
      <c r="N167" s="171"/>
      <c r="O167" s="170"/>
      <c r="P167" s="53"/>
      <c r="Q167" s="53"/>
      <c r="R167" s="53"/>
      <c r="S167" s="171"/>
      <c r="T167" s="170"/>
      <c r="U167" s="53"/>
      <c r="V167" s="53"/>
      <c r="W167" s="53"/>
      <c r="X167" s="171"/>
      <c r="Y167" s="170"/>
      <c r="Z167" s="170"/>
      <c r="AA167" s="170"/>
      <c r="AB167" s="170"/>
      <c r="AC167" s="170"/>
      <c r="AD167" s="53"/>
      <c r="AE167" s="53"/>
    </row>
    <row r="168">
      <c r="A168" s="53"/>
      <c r="B168" s="53" t="str">
        <f>IFERROR(__xludf.DUMMYFUNCTION("""COMPUTED_VALUE"""),"2606D087
Sazali
081266359190
Website")</f>
        <v>2606D087
Sazali
081266359190
Website</v>
      </c>
      <c r="C168" s="168" t="str">
        <f>IFERROR(__xludf.DUMMYFUNCTION("""COMPUTED_VALUE"""),"4h3m custome
46195
3 pax
Rp0")</f>
        <v>4h3m custome
46195
3 pax
Rp0</v>
      </c>
      <c r="D168" s="169" t="str">
        <f>IFERROR(__xludf.DUMMYFUNCTION("""COMPUTED_VALUE"""),"FU 17 Juni")</f>
        <v>FU 17 Juni</v>
      </c>
      <c r="E168" s="170"/>
      <c r="F168" s="53"/>
      <c r="G168" s="53"/>
      <c r="H168" s="53"/>
      <c r="I168" s="171"/>
      <c r="J168" s="170"/>
      <c r="K168" s="53"/>
      <c r="L168" s="53"/>
      <c r="M168" s="53"/>
      <c r="N168" s="171"/>
      <c r="O168" s="170"/>
      <c r="P168" s="53"/>
      <c r="Q168" s="53"/>
      <c r="R168" s="53"/>
      <c r="S168" s="171"/>
      <c r="T168" s="170"/>
      <c r="U168" s="53"/>
      <c r="V168" s="53"/>
      <c r="W168" s="53"/>
      <c r="X168" s="171"/>
      <c r="Y168" s="170"/>
      <c r="Z168" s="170"/>
      <c r="AA168" s="170"/>
      <c r="AB168" s="170"/>
      <c r="AC168" s="170"/>
      <c r="AD168" s="53"/>
      <c r="AE168" s="53"/>
    </row>
    <row r="169">
      <c r="A169" s="53"/>
      <c r="B169" s="53" t="str">
        <f>IFERROR(__xludf.DUMMYFUNCTION("""COMPUTED_VALUE"""),"2606D089
Ade Sutiana DSLNG
081287449580
Rekomendasi")</f>
        <v>2606D089
Ade Sutiana DSLNG
081287449580
Rekomendasi</v>
      </c>
      <c r="C169" s="168" t="str">
        <f>IFERROR(__xludf.DUMMYFUNCTION("""COMPUTED_VALUE"""),"
 pax
Rp0")</f>
        <v>
 pax
Rp0</v>
      </c>
      <c r="D169" s="169"/>
      <c r="E169" s="170"/>
      <c r="F169" s="53"/>
      <c r="G169" s="53"/>
      <c r="H169" s="53"/>
      <c r="I169" s="171"/>
      <c r="J169" s="170"/>
      <c r="K169" s="53"/>
      <c r="L169" s="53"/>
      <c r="M169" s="53"/>
      <c r="N169" s="171"/>
      <c r="O169" s="170"/>
      <c r="P169" s="53"/>
      <c r="Q169" s="53"/>
      <c r="R169" s="53"/>
      <c r="S169" s="171"/>
      <c r="T169" s="170"/>
      <c r="U169" s="53"/>
      <c r="V169" s="53"/>
      <c r="W169" s="53"/>
      <c r="X169" s="171"/>
      <c r="Y169" s="170"/>
      <c r="Z169" s="170"/>
      <c r="AA169" s="170"/>
      <c r="AB169" s="170"/>
      <c r="AC169" s="170"/>
      <c r="AD169" s="53"/>
      <c r="AE169" s="53"/>
    </row>
    <row r="170">
      <c r="A170" s="53"/>
      <c r="B170" s="53" t="str">
        <f>IFERROR(__xludf.DUMMYFUNCTION("""COMPUTED_VALUE"""),"2606D090
Devinia Angela
081347932039
Instagram")</f>
        <v>2606D090
Devinia Angela
081347932039
Instagram</v>
      </c>
      <c r="C170" s="168" t="str">
        <f>IFERROR(__xludf.DUMMYFUNCTION("""COMPUTED_VALUE"""),"OT Djabal, MT, GI
2 pax
Rp0")</f>
        <v>OT Djabal, MT, GI
2 pax
Rp0</v>
      </c>
      <c r="D170" s="169"/>
      <c r="E170" s="170"/>
      <c r="F170" s="53"/>
      <c r="G170" s="53"/>
      <c r="H170" s="53"/>
      <c r="I170" s="171"/>
      <c r="J170" s="170"/>
      <c r="K170" s="53"/>
      <c r="L170" s="53"/>
      <c r="M170" s="53"/>
      <c r="N170" s="171"/>
      <c r="O170" s="170"/>
      <c r="P170" s="53"/>
      <c r="Q170" s="53"/>
      <c r="R170" s="53"/>
      <c r="S170" s="171"/>
      <c r="T170" s="170"/>
      <c r="U170" s="53"/>
      <c r="V170" s="53"/>
      <c r="W170" s="53"/>
      <c r="X170" s="171"/>
      <c r="Y170" s="170"/>
      <c r="Z170" s="170"/>
      <c r="AA170" s="170"/>
      <c r="AB170" s="170"/>
      <c r="AC170" s="170"/>
      <c r="AD170" s="53"/>
      <c r="AE170" s="53"/>
    </row>
    <row r="171">
      <c r="A171" s="53"/>
      <c r="B171" s="53" t="str">
        <f>IFERROR(__xludf.DUMMYFUNCTION("""COMPUTED_VALUE"""),"2606D091
Carrensca Wahyudi
085715343590
Instagram")</f>
        <v>2606D091
Carrensca Wahyudi
085715343590
Instagram</v>
      </c>
      <c r="C171" s="168" t="str">
        <f>IFERROR(__xludf.DUMMYFUNCTION("""COMPUTED_VALUE"""),"2h1m opsi B
46083 pax
Rp0")</f>
        <v>2h1m opsi B
46083 pax
Rp0</v>
      </c>
      <c r="D171" s="169"/>
      <c r="E171" s="170"/>
      <c r="F171" s="53"/>
      <c r="G171" s="53"/>
      <c r="H171" s="53"/>
      <c r="I171" s="171"/>
      <c r="J171" s="170"/>
      <c r="K171" s="53"/>
      <c r="L171" s="53"/>
      <c r="M171" s="53"/>
      <c r="N171" s="171"/>
      <c r="O171" s="170"/>
      <c r="P171" s="53"/>
      <c r="Q171" s="53"/>
      <c r="R171" s="53"/>
      <c r="S171" s="171"/>
      <c r="T171" s="170"/>
      <c r="U171" s="53"/>
      <c r="V171" s="53"/>
      <c r="W171" s="53"/>
      <c r="X171" s="171"/>
      <c r="Y171" s="170"/>
      <c r="Z171" s="170"/>
      <c r="AA171" s="170"/>
      <c r="AB171" s="170"/>
      <c r="AC171" s="170"/>
      <c r="AD171" s="53"/>
      <c r="AE171" s="53"/>
    </row>
    <row r="172">
      <c r="A172" s="53"/>
      <c r="B172" s="53" t="str">
        <f>IFERROR(__xludf.DUMMYFUNCTION("""COMPUTED_VALUE"""),"2606D092
An
085886299576
Website")</f>
        <v>2606D092
An
085886299576
Website</v>
      </c>
      <c r="C172" s="168" t="str">
        <f>IFERROR(__xludf.DUMMYFUNCTION("""COMPUTED_VALUE"""),"
 pax
Rp0")</f>
        <v>
 pax
Rp0</v>
      </c>
      <c r="D172" s="169" t="str">
        <f>IFERROR(__xludf.DUMMYFUNCTION("""COMPUTED_VALUE"""),"baru menyapa")</f>
        <v>baru menyapa</v>
      </c>
      <c r="E172" s="170"/>
      <c r="F172" s="53"/>
      <c r="G172" s="53"/>
      <c r="H172" s="53"/>
      <c r="I172" s="171"/>
      <c r="J172" s="170"/>
      <c r="K172" s="53"/>
      <c r="L172" s="53"/>
      <c r="M172" s="53"/>
      <c r="N172" s="171"/>
      <c r="O172" s="170"/>
      <c r="P172" s="53"/>
      <c r="Q172" s="53"/>
      <c r="R172" s="53"/>
      <c r="S172" s="171"/>
      <c r="T172" s="170"/>
      <c r="U172" s="53"/>
      <c r="V172" s="53"/>
      <c r="W172" s="53"/>
      <c r="X172" s="171"/>
      <c r="Y172" s="170"/>
      <c r="Z172" s="170"/>
      <c r="AA172" s="170"/>
      <c r="AB172" s="170"/>
      <c r="AC172" s="170"/>
      <c r="AD172" s="53"/>
      <c r="AE172" s="53"/>
    </row>
    <row r="173">
      <c r="A173" s="53"/>
      <c r="B173" s="53" t="str">
        <f>IFERROR(__xludf.DUMMYFUNCTION("""COMPUTED_VALUE"""),"2606D093
Lidya Vera
089633369059
Instagram")</f>
        <v>2606D093
Lidya Vera
089633369059
Instagram</v>
      </c>
      <c r="C173" s="168" t="str">
        <f>IFERROR(__xludf.DUMMYFUNCTION("""COMPUTED_VALUE"""),"
 pax
Rp0")</f>
        <v>
 pax
Rp0</v>
      </c>
      <c r="D173" s="169" t="str">
        <f>IFERROR(__xludf.DUMMYFUNCTION("""COMPUTED_VALUE"""),"tanya beda 3h2m opsi a&amp;b")</f>
        <v>tanya beda 3h2m opsi a&amp;b</v>
      </c>
      <c r="E173" s="170"/>
      <c r="F173" s="53"/>
      <c r="G173" s="53"/>
      <c r="H173" s="53"/>
      <c r="I173" s="171"/>
      <c r="J173" s="170"/>
      <c r="K173" s="53"/>
      <c r="L173" s="53"/>
      <c r="M173" s="53"/>
      <c r="N173" s="171"/>
      <c r="O173" s="170"/>
      <c r="P173" s="53"/>
      <c r="Q173" s="53"/>
      <c r="R173" s="53"/>
      <c r="S173" s="171"/>
      <c r="T173" s="170"/>
      <c r="U173" s="53"/>
      <c r="V173" s="53"/>
      <c r="W173" s="53"/>
      <c r="X173" s="171"/>
      <c r="Y173" s="170"/>
      <c r="Z173" s="170"/>
      <c r="AA173" s="170"/>
      <c r="AB173" s="170"/>
      <c r="AC173" s="170"/>
      <c r="AD173" s="53"/>
      <c r="AE173" s="53"/>
    </row>
    <row r="174">
      <c r="A174" s="53"/>
      <c r="B174" s="53" t="str">
        <f>IFERROR(__xludf.DUMMYFUNCTION("""COMPUTED_VALUE"""),"2606D095
Nur Khamid
085236225100
Tiktok")</f>
        <v>2606D095
Nur Khamid
085236225100
Tiktok</v>
      </c>
      <c r="C174" s="168" t="str">
        <f>IFERROR(__xludf.DUMMYFUNCTION("""COMPUTED_VALUE"""),"4h3m
2 pax
Rp0")</f>
        <v>4h3m
2 pax
Rp0</v>
      </c>
      <c r="D174" s="169" t="str">
        <f>IFERROR(__xludf.DUMMYFUNCTION("""COMPUTED_VALUE"""),"FU 16 Juni")</f>
        <v>FU 16 Juni</v>
      </c>
      <c r="E174" s="170"/>
      <c r="F174" s="53"/>
      <c r="G174" s="53"/>
      <c r="H174" s="53"/>
      <c r="I174" s="171"/>
      <c r="J174" s="170"/>
      <c r="K174" s="53"/>
      <c r="L174" s="53"/>
      <c r="M174" s="53"/>
      <c r="N174" s="171"/>
      <c r="O174" s="170"/>
      <c r="P174" s="53"/>
      <c r="Q174" s="53"/>
      <c r="R174" s="53"/>
      <c r="S174" s="171"/>
      <c r="T174" s="170"/>
      <c r="U174" s="53"/>
      <c r="V174" s="53"/>
      <c r="W174" s="53"/>
      <c r="X174" s="171"/>
      <c r="Y174" s="170"/>
      <c r="Z174" s="170"/>
      <c r="AA174" s="170"/>
      <c r="AB174" s="170"/>
      <c r="AC174" s="170"/>
      <c r="AD174" s="53"/>
      <c r="AE174" s="53"/>
    </row>
    <row r="175">
      <c r="A175" s="53"/>
      <c r="B175" s="53" t="str">
        <f>IFERROR(__xludf.DUMMYFUNCTION("""COMPUTED_VALUE"""),"2606D100
Natsir
081519720008
Website")</f>
        <v>2606D100
Natsir
081519720008
Website</v>
      </c>
      <c r="C175" s="168" t="str">
        <f>IFERROR(__xludf.DUMMYFUNCTION("""COMPUTED_VALUE"""),"trip Ijen
 pax
Rp0")</f>
        <v>trip Ijen
 pax
Rp0</v>
      </c>
      <c r="D175" s="169" t="str">
        <f>IFERROR(__xludf.DUMMYFUNCTION("""COMPUTED_VALUE"""),"masi tanyaa")</f>
        <v>masi tanyaa</v>
      </c>
      <c r="E175" s="170"/>
      <c r="F175" s="53"/>
      <c r="G175" s="53"/>
      <c r="H175" s="53"/>
      <c r="I175" s="171"/>
      <c r="J175" s="170"/>
      <c r="K175" s="53"/>
      <c r="L175" s="53"/>
      <c r="M175" s="53"/>
      <c r="N175" s="171"/>
      <c r="O175" s="170"/>
      <c r="P175" s="53"/>
      <c r="Q175" s="53"/>
      <c r="R175" s="53"/>
      <c r="S175" s="171"/>
      <c r="T175" s="170"/>
      <c r="U175" s="53"/>
      <c r="V175" s="53"/>
      <c r="W175" s="53"/>
      <c r="X175" s="171"/>
      <c r="Y175" s="170"/>
      <c r="Z175" s="170"/>
      <c r="AA175" s="170"/>
      <c r="AB175" s="170"/>
      <c r="AC175" s="170"/>
      <c r="AD175" s="53"/>
      <c r="AE175" s="53"/>
    </row>
    <row r="176">
      <c r="A176" s="53"/>
      <c r="B176" s="53" t="str">
        <f>IFERROR(__xludf.DUMMYFUNCTION("""COMPUTED_VALUE"""),"2606D103
Nova Novia
08112193391
Website")</f>
        <v>2606D103
Nova Novia
08112193391
Website</v>
      </c>
      <c r="C176" s="168" t="str">
        <f>IFERROR(__xludf.DUMMYFUNCTION("""COMPUTED_VALUE"""),"1 day trip
 pax
Rp0")</f>
        <v>1 day trip
 pax
Rp0</v>
      </c>
      <c r="D176" s="169"/>
      <c r="E176" s="170"/>
      <c r="F176" s="53"/>
      <c r="G176" s="53"/>
      <c r="H176" s="53"/>
      <c r="I176" s="171"/>
      <c r="J176" s="170"/>
      <c r="K176" s="53"/>
      <c r="L176" s="53"/>
      <c r="M176" s="53"/>
      <c r="N176" s="171"/>
      <c r="O176" s="170"/>
      <c r="P176" s="53"/>
      <c r="Q176" s="53"/>
      <c r="R176" s="53"/>
      <c r="S176" s="171"/>
      <c r="T176" s="170"/>
      <c r="U176" s="53"/>
      <c r="V176" s="53"/>
      <c r="W176" s="53"/>
      <c r="X176" s="171"/>
      <c r="Y176" s="170"/>
      <c r="Z176" s="170"/>
      <c r="AA176" s="170"/>
      <c r="AB176" s="170"/>
      <c r="AC176" s="170"/>
      <c r="AD176" s="53"/>
      <c r="AE176" s="53"/>
    </row>
    <row r="177">
      <c r="A177" s="53"/>
      <c r="B177" s="53" t="str">
        <f>IFERROR(__xludf.DUMMYFUNCTION("""COMPUTED_VALUE"""),"2606D106
Husna
085972835898
Instagram")</f>
        <v>2606D106
Husna
085972835898
Instagram</v>
      </c>
      <c r="C177" s="168" t="str">
        <f>IFERROR(__xludf.DUMMYFUNCTION("""COMPUTED_VALUE"""),"4H3M
31 pax
Rp0")</f>
        <v>4H3M
31 pax
Rp0</v>
      </c>
      <c r="D177" s="169"/>
      <c r="E177" s="170"/>
      <c r="F177" s="53"/>
      <c r="G177" s="53"/>
      <c r="H177" s="53"/>
      <c r="I177" s="171"/>
      <c r="J177" s="170"/>
      <c r="K177" s="53"/>
      <c r="L177" s="53"/>
      <c r="M177" s="53"/>
      <c r="N177" s="171"/>
      <c r="O177" s="170"/>
      <c r="P177" s="53"/>
      <c r="Q177" s="53"/>
      <c r="R177" s="53"/>
      <c r="S177" s="171"/>
      <c r="T177" s="170"/>
      <c r="U177" s="53"/>
      <c r="V177" s="53"/>
      <c r="W177" s="53"/>
      <c r="X177" s="171"/>
      <c r="Y177" s="170"/>
      <c r="Z177" s="170"/>
      <c r="AA177" s="170"/>
      <c r="AB177" s="170"/>
      <c r="AC177" s="170"/>
      <c r="AD177" s="53"/>
      <c r="AE177" s="53"/>
    </row>
    <row r="178">
      <c r="A178" s="53"/>
      <c r="B178" s="53" t="str">
        <f>IFERROR(__xludf.DUMMYFUNCTION("""COMPUTED_VALUE"""),"2606D108
Fzhr
088297289117
Lainnya")</f>
        <v>2606D108
Fzhr
088297289117
Lainnya</v>
      </c>
      <c r="C178" s="168" t="str">
        <f>IFERROR(__xludf.DUMMYFUNCTION("""COMPUTED_VALUE"""),"OT GI, Ijen Baluran
2 pax
Rp0")</f>
        <v>OT GI, Ijen Baluran
2 pax
Rp0</v>
      </c>
      <c r="D178" s="169" t="str">
        <f>IFERROR(__xludf.DUMMYFUNCTION("""COMPUTED_VALUE"""),"FU 15 Juni")</f>
        <v>FU 15 Juni</v>
      </c>
      <c r="E178" s="170"/>
      <c r="F178" s="53"/>
      <c r="G178" s="53"/>
      <c r="H178" s="53"/>
      <c r="I178" s="171"/>
      <c r="J178" s="170"/>
      <c r="K178" s="53"/>
      <c r="L178" s="53"/>
      <c r="M178" s="53"/>
      <c r="N178" s="171"/>
      <c r="O178" s="170"/>
      <c r="P178" s="53"/>
      <c r="Q178" s="53"/>
      <c r="R178" s="53"/>
      <c r="S178" s="171"/>
      <c r="T178" s="170"/>
      <c r="U178" s="53"/>
      <c r="V178" s="53"/>
      <c r="W178" s="53"/>
      <c r="X178" s="171"/>
      <c r="Y178" s="170"/>
      <c r="Z178" s="170"/>
      <c r="AA178" s="170"/>
      <c r="AB178" s="170"/>
      <c r="AC178" s="170"/>
      <c r="AD178" s="53"/>
      <c r="AE178" s="53"/>
    </row>
    <row r="179">
      <c r="A179" s="53"/>
      <c r="B179" s="53" t="str">
        <f>IFERROR(__xludf.DUMMYFUNCTION("""COMPUTED_VALUE"""),"2606D111
Yuyun 
089666507813
Instagram")</f>
        <v>2606D111
Yuyun 
089666507813
Instagram</v>
      </c>
      <c r="C179" s="168" t="str">
        <f>IFERROR(__xludf.DUMMYFUNCTION("""COMPUTED_VALUE"""),"OT Baluran
46200
4 pax
Rp0")</f>
        <v>OT Baluran
46200
4 pax
Rp0</v>
      </c>
      <c r="D179" s="169" t="str">
        <f>IFERROR(__xludf.DUMMYFUNCTION("""COMPUTED_VALUE"""),"FU 16 Juni")</f>
        <v>FU 16 Juni</v>
      </c>
      <c r="E179" s="170"/>
      <c r="F179" s="53"/>
      <c r="G179" s="53"/>
      <c r="H179" s="53"/>
      <c r="I179" s="171"/>
      <c r="J179" s="170"/>
      <c r="K179" s="53"/>
      <c r="L179" s="53"/>
      <c r="M179" s="53"/>
      <c r="N179" s="171"/>
      <c r="O179" s="170"/>
      <c r="P179" s="53"/>
      <c r="Q179" s="53"/>
      <c r="R179" s="53"/>
      <c r="S179" s="171"/>
      <c r="T179" s="170"/>
      <c r="U179" s="53"/>
      <c r="V179" s="53"/>
      <c r="W179" s="53"/>
      <c r="X179" s="171"/>
      <c r="Y179" s="170"/>
      <c r="Z179" s="170"/>
      <c r="AA179" s="170"/>
      <c r="AB179" s="170"/>
      <c r="AC179" s="170"/>
      <c r="AD179" s="53"/>
      <c r="AE179" s="53"/>
    </row>
    <row r="180">
      <c r="A180" s="53"/>
      <c r="B180" s="53" t="str">
        <f>IFERROR(__xludf.DUMMYFUNCTION("""COMPUTED_VALUE"""),"2606D112
Ai Nurhicmah
085267593008
Instagram")</f>
        <v>2606D112
Ai Nurhicmah
085267593008
Instagram</v>
      </c>
      <c r="C180" s="168" t="str">
        <f>IFERROR(__xludf.DUMMYFUNCTION("""COMPUTED_VALUE"""),"ot 3h2m
4 pax
Rp0")</f>
        <v>ot 3h2m
4 pax
Rp0</v>
      </c>
      <c r="D180" s="169" t="str">
        <f>IFERROR(__xludf.DUMMYFUNCTION("""COMPUTED_VALUE"""),"masih diskusi, FU 17 Juni")</f>
        <v>masih diskusi, FU 17 Juni</v>
      </c>
      <c r="E180" s="170"/>
      <c r="F180" s="53"/>
      <c r="G180" s="53"/>
      <c r="H180" s="53"/>
      <c r="I180" s="171"/>
      <c r="J180" s="170"/>
      <c r="K180" s="53"/>
      <c r="L180" s="53"/>
      <c r="M180" s="53"/>
      <c r="N180" s="171"/>
      <c r="O180" s="170"/>
      <c r="P180" s="53"/>
      <c r="Q180" s="53"/>
      <c r="R180" s="53"/>
      <c r="S180" s="171"/>
      <c r="T180" s="170"/>
      <c r="U180" s="53"/>
      <c r="V180" s="53"/>
      <c r="W180" s="53"/>
      <c r="X180" s="171"/>
      <c r="Y180" s="170"/>
      <c r="Z180" s="170"/>
      <c r="AA180" s="170"/>
      <c r="AB180" s="170"/>
      <c r="AC180" s="170"/>
      <c r="AD180" s="53"/>
      <c r="AE180" s="53"/>
    </row>
    <row r="181">
      <c r="A181" s="53"/>
      <c r="B181" s="53" t="str">
        <f>IFERROR(__xludf.DUMMYFUNCTION("""COMPUTED_VALUE"""),"2606D113
Jean 
082259563022
Tiktok")</f>
        <v>2606D113
Jean 
082259563022
Tiktok</v>
      </c>
      <c r="C181" s="168" t="str">
        <f>IFERROR(__xludf.DUMMYFUNCTION("""COMPUTED_VALUE"""),"OT Ijen
46200
2 pax
Rp0")</f>
        <v>OT Ijen
46200
2 pax
Rp0</v>
      </c>
      <c r="D181" s="169" t="str">
        <f>IFERROR(__xludf.DUMMYFUNCTION("""COMPUTED_VALUE"""),"FU 20 Juni")</f>
        <v>FU 20 Juni</v>
      </c>
      <c r="E181" s="170"/>
      <c r="F181" s="53"/>
      <c r="G181" s="53"/>
      <c r="H181" s="53"/>
      <c r="I181" s="171"/>
      <c r="J181" s="170"/>
      <c r="K181" s="53"/>
      <c r="L181" s="53"/>
      <c r="M181" s="53"/>
      <c r="N181" s="171"/>
      <c r="O181" s="170"/>
      <c r="P181" s="53"/>
      <c r="Q181" s="53"/>
      <c r="R181" s="53"/>
      <c r="S181" s="171"/>
      <c r="T181" s="170"/>
      <c r="U181" s="53"/>
      <c r="V181" s="53"/>
      <c r="W181" s="53"/>
      <c r="X181" s="171"/>
      <c r="Y181" s="170"/>
      <c r="Z181" s="170"/>
      <c r="AA181" s="170"/>
      <c r="AB181" s="170"/>
      <c r="AC181" s="170"/>
      <c r="AD181" s="53"/>
      <c r="AE181" s="53"/>
    </row>
    <row r="182">
      <c r="A182" s="53"/>
      <c r="B182" s="53" t="str">
        <f>IFERROR(__xludf.DUMMYFUNCTION("""COMPUTED_VALUE"""),"2606D118
Naurahel
081312900025
Instagram")</f>
        <v>2606D118
Naurahel
081312900025
Instagram</v>
      </c>
      <c r="C182" s="168" t="str">
        <f>IFERROR(__xludf.DUMMYFUNCTION("""COMPUTED_VALUE"""),"4H3M
46178 pax
Rp0")</f>
        <v>4H3M
46178 pax
Rp0</v>
      </c>
      <c r="D182" s="169" t="str">
        <f>IFERROR(__xludf.DUMMYFUNCTION("""COMPUTED_VALUE"""),"FU 20 Juni")</f>
        <v>FU 20 Juni</v>
      </c>
      <c r="E182" s="170"/>
      <c r="F182" s="53"/>
      <c r="G182" s="53"/>
      <c r="H182" s="53"/>
      <c r="I182" s="171"/>
      <c r="J182" s="170"/>
      <c r="K182" s="53"/>
      <c r="L182" s="53"/>
      <c r="M182" s="53"/>
      <c r="N182" s="171"/>
      <c r="O182" s="170"/>
      <c r="P182" s="53"/>
      <c r="Q182" s="53"/>
      <c r="R182" s="53"/>
      <c r="S182" s="171"/>
      <c r="T182" s="170"/>
      <c r="U182" s="53"/>
      <c r="V182" s="53"/>
      <c r="W182" s="53"/>
      <c r="X182" s="171"/>
      <c r="Y182" s="170"/>
      <c r="Z182" s="170"/>
      <c r="AA182" s="170"/>
      <c r="AB182" s="170"/>
      <c r="AC182" s="170"/>
      <c r="AD182" s="53"/>
      <c r="AE182" s="53"/>
    </row>
    <row r="183">
      <c r="A183" s="53"/>
      <c r="B183" s="53" t="str">
        <f>IFERROR(__xludf.DUMMYFUNCTION("""COMPUTED_VALUE"""),"2606D121
Ipang
081290407415
Instagram")</f>
        <v>2606D121
Ipang
081290407415
Instagram</v>
      </c>
      <c r="C183" s="168" t="str">
        <f>IFERROR(__xludf.DUMMYFUNCTION("""COMPUTED_VALUE"""),"3H2M opsi A
8 pax
Rp0")</f>
        <v>3H2M opsi A
8 pax
Rp0</v>
      </c>
      <c r="D183" s="169" t="str">
        <f>IFERROR(__xludf.DUMMYFUNCTION("""COMPUTED_VALUE"""),"diskusi dulu, FU 11 Juli")</f>
        <v>diskusi dulu, FU 11 Juli</v>
      </c>
      <c r="E183" s="170"/>
      <c r="F183" s="53"/>
      <c r="G183" s="53"/>
      <c r="H183" s="53"/>
      <c r="I183" s="171"/>
      <c r="J183" s="170"/>
      <c r="K183" s="53"/>
      <c r="L183" s="53"/>
      <c r="M183" s="53"/>
      <c r="N183" s="171"/>
      <c r="O183" s="170"/>
      <c r="P183" s="53"/>
      <c r="Q183" s="53"/>
      <c r="R183" s="53"/>
      <c r="S183" s="171"/>
      <c r="T183" s="170"/>
      <c r="U183" s="53"/>
      <c r="V183" s="53"/>
      <c r="W183" s="53"/>
      <c r="X183" s="171"/>
      <c r="Y183" s="170"/>
      <c r="Z183" s="170"/>
      <c r="AA183" s="170"/>
      <c r="AB183" s="170"/>
      <c r="AC183" s="170"/>
      <c r="AD183" s="53"/>
      <c r="AE183" s="53"/>
    </row>
    <row r="184">
      <c r="A184" s="53"/>
      <c r="B184" s="53" t="str">
        <f>IFERROR(__xludf.DUMMYFUNCTION("""COMPUTED_VALUE"""),"2606D125
Azzahra Salsabilla
087788177153
Instagram")</f>
        <v>2606D125
Azzahra Salsabilla
087788177153
Instagram</v>
      </c>
      <c r="C184" s="168" t="str">
        <f>IFERROR(__xludf.DUMMYFUNCTION("""COMPUTED_VALUE"""),"3h2m opsi A
46261
5 pax
Rp0")</f>
        <v>3h2m opsi A
46261
5 pax
Rp0</v>
      </c>
      <c r="D184" s="169" t="str">
        <f>IFERROR(__xludf.DUMMYFUNCTION("""COMPUTED_VALUE"""),"diskus dulu, FU 5 agustus")</f>
        <v>diskus dulu, FU 5 agustus</v>
      </c>
      <c r="E184" s="170"/>
      <c r="F184" s="53"/>
      <c r="G184" s="53"/>
      <c r="H184" s="53"/>
      <c r="I184" s="171"/>
      <c r="J184" s="170"/>
      <c r="K184" s="53"/>
      <c r="L184" s="53"/>
      <c r="M184" s="53"/>
      <c r="N184" s="171"/>
      <c r="O184" s="170"/>
      <c r="P184" s="53"/>
      <c r="Q184" s="53"/>
      <c r="R184" s="53"/>
      <c r="S184" s="171"/>
      <c r="T184" s="170"/>
      <c r="U184" s="53"/>
      <c r="V184" s="53"/>
      <c r="W184" s="53"/>
      <c r="X184" s="171"/>
      <c r="Y184" s="170"/>
      <c r="Z184" s="170"/>
      <c r="AA184" s="170"/>
      <c r="AB184" s="170"/>
      <c r="AC184" s="170"/>
      <c r="AD184" s="53"/>
      <c r="AE184" s="53"/>
    </row>
    <row r="185">
      <c r="A185" s="53"/>
      <c r="B185" s="53" t="str">
        <f>IFERROR(__xludf.DUMMYFUNCTION("""COMPUTED_VALUE"""),"2606D126
Mas Karmin
085646472493
Website")</f>
        <v>2606D126
Mas Karmin
085646472493
Website</v>
      </c>
      <c r="C185" s="168" t="str">
        <f>IFERROR(__xludf.DUMMYFUNCTION("""COMPUTED_VALUE"""),"
30 pax
Rp0")</f>
        <v>
30 pax
Rp0</v>
      </c>
      <c r="D185" s="169" t="str">
        <f>IFERROR(__xludf.DUMMYFUNCTION("""COMPUTED_VALUE"""),"FU 1 Juli ")</f>
        <v>FU 1 Juli </v>
      </c>
      <c r="E185" s="170"/>
      <c r="F185" s="53"/>
      <c r="G185" s="53"/>
      <c r="H185" s="53"/>
      <c r="I185" s="171"/>
      <c r="J185" s="170"/>
      <c r="K185" s="53"/>
      <c r="L185" s="53"/>
      <c r="M185" s="53"/>
      <c r="N185" s="171"/>
      <c r="O185" s="170"/>
      <c r="P185" s="53"/>
      <c r="Q185" s="53"/>
      <c r="R185" s="53"/>
      <c r="S185" s="171"/>
      <c r="T185" s="170"/>
      <c r="U185" s="53"/>
      <c r="V185" s="53"/>
      <c r="W185" s="53"/>
      <c r="X185" s="171"/>
      <c r="Y185" s="170"/>
      <c r="Z185" s="170"/>
      <c r="AA185" s="170"/>
      <c r="AB185" s="170"/>
      <c r="AC185" s="170"/>
      <c r="AD185" s="53"/>
      <c r="AE185" s="53"/>
    </row>
    <row r="186">
      <c r="A186" s="53"/>
      <c r="B186" s="53" t="str">
        <f>IFERROR(__xludf.DUMMYFUNCTION("""COMPUTED_VALUE"""),"2606D127
Susett Maria
082361300550
Instagram")</f>
        <v>2606D127
Susett Maria
082361300550
Instagram</v>
      </c>
      <c r="C186" s="168" t="str">
        <f>IFERROR(__xludf.DUMMYFUNCTION("""COMPUTED_VALUE"""),"OT MT
46191
2 pax
Rp0")</f>
        <v>OT MT
46191
2 pax
Rp0</v>
      </c>
      <c r="D186" s="169" t="str">
        <f>IFERROR(__xludf.DUMMYFUNCTION("""COMPUTED_VALUE"""),"cek ketersediaan")</f>
        <v>cek ketersediaan</v>
      </c>
      <c r="E186" s="170"/>
      <c r="F186" s="53"/>
      <c r="G186" s="53"/>
      <c r="H186" s="53"/>
      <c r="I186" s="171"/>
      <c r="J186" s="170"/>
      <c r="K186" s="53"/>
      <c r="L186" s="53"/>
      <c r="M186" s="53"/>
      <c r="N186" s="171"/>
      <c r="O186" s="170"/>
      <c r="P186" s="53"/>
      <c r="Q186" s="53"/>
      <c r="R186" s="53"/>
      <c r="S186" s="171"/>
      <c r="T186" s="170"/>
      <c r="U186" s="53"/>
      <c r="V186" s="53"/>
      <c r="W186" s="53"/>
      <c r="X186" s="171"/>
      <c r="Y186" s="170"/>
      <c r="Z186" s="170"/>
      <c r="AA186" s="170"/>
      <c r="AB186" s="170"/>
      <c r="AC186" s="170"/>
      <c r="AD186" s="53"/>
      <c r="AE186" s="53"/>
    </row>
    <row r="187">
      <c r="A187" s="53"/>
      <c r="B187" s="53" t="str">
        <f>IFERROR(__xludf.DUMMYFUNCTION("""COMPUTED_VALUE"""),"2606D128
Joko Stel
08992230001
Website")</f>
        <v>2606D128
Joko Stel
08992230001
Website</v>
      </c>
      <c r="C187" s="168" t="str">
        <f>IFERROR(__xludf.DUMMYFUNCTION("""COMPUTED_VALUE"""),"3H2M Opsi A
25 pax
Rp0")</f>
        <v>3H2M Opsi A
25 pax
Rp0</v>
      </c>
      <c r="D187" s="169" t="str">
        <f>IFERROR(__xludf.DUMMYFUNCTION("""COMPUTED_VALUE"""),"buat penawaran")</f>
        <v>buat penawaran</v>
      </c>
      <c r="E187" s="170"/>
      <c r="F187" s="53"/>
      <c r="G187" s="53"/>
      <c r="H187" s="53"/>
      <c r="I187" s="171"/>
      <c r="J187" s="170"/>
      <c r="K187" s="53"/>
      <c r="L187" s="53"/>
      <c r="M187" s="53"/>
      <c r="N187" s="171"/>
      <c r="O187" s="170"/>
      <c r="P187" s="53"/>
      <c r="Q187" s="53"/>
      <c r="R187" s="53"/>
      <c r="S187" s="171"/>
      <c r="T187" s="170"/>
      <c r="U187" s="53"/>
      <c r="V187" s="53"/>
      <c r="W187" s="53"/>
      <c r="X187" s="171"/>
      <c r="Y187" s="170"/>
      <c r="Z187" s="170"/>
      <c r="AA187" s="170"/>
      <c r="AB187" s="170"/>
      <c r="AC187" s="170"/>
      <c r="AD187" s="53"/>
      <c r="AE187" s="53"/>
    </row>
    <row r="188">
      <c r="A188" s="53"/>
      <c r="B188" s="53" t="str">
        <f>IFERROR(__xludf.DUMMYFUNCTION("""COMPUTED_VALUE"""),"2606D129
Keisha Aziza
081282438158
Instagram")</f>
        <v>2606D129
Keisha Aziza
081282438158
Instagram</v>
      </c>
      <c r="C188" s="168" t="str">
        <f>IFERROR(__xludf.DUMMYFUNCTION("""COMPUTED_VALUE"""),"OT 3H2M
3 pax
Rp0")</f>
        <v>OT 3H2M
3 pax
Rp0</v>
      </c>
      <c r="D188" s="169" t="str">
        <f>IFERROR(__xludf.DUMMYFUNCTION("""COMPUTED_VALUE"""),"FU 26 Juni")</f>
        <v>FU 26 Juni</v>
      </c>
      <c r="E188" s="170"/>
      <c r="F188" s="53"/>
      <c r="G188" s="53"/>
      <c r="H188" s="53"/>
      <c r="I188" s="171"/>
      <c r="J188" s="170"/>
      <c r="K188" s="53"/>
      <c r="L188" s="53"/>
      <c r="M188" s="53"/>
      <c r="N188" s="171"/>
      <c r="O188" s="170"/>
      <c r="P188" s="53"/>
      <c r="Q188" s="53"/>
      <c r="R188" s="53"/>
      <c r="S188" s="171"/>
      <c r="T188" s="170"/>
      <c r="U188" s="53"/>
      <c r="V188" s="53"/>
      <c r="W188" s="53"/>
      <c r="X188" s="171"/>
      <c r="Y188" s="170"/>
      <c r="Z188" s="170"/>
      <c r="AA188" s="170"/>
      <c r="AB188" s="170"/>
      <c r="AC188" s="170"/>
      <c r="AD188" s="53"/>
      <c r="AE188" s="53"/>
    </row>
    <row r="189">
      <c r="A189" s="53"/>
      <c r="B189" s="53" t="str">
        <f>IFERROR(__xludf.DUMMYFUNCTION("""COMPUTED_VALUE"""),"2606D131
Hafidz Danan
082112108038
Instagram")</f>
        <v>2606D131
Hafidz Danan
082112108038
Instagram</v>
      </c>
      <c r="C189" s="168" t="str">
        <f>IFERROR(__xludf.DUMMYFUNCTION("""COMPUTED_VALUE"""),"2h1m Opsi B
46192
4 pax
Rp0")</f>
        <v>2h1m Opsi B
46192
4 pax
Rp0</v>
      </c>
      <c r="D189" s="169"/>
      <c r="E189" s="170"/>
      <c r="F189" s="53"/>
      <c r="G189" s="53"/>
      <c r="H189" s="53"/>
      <c r="I189" s="171"/>
      <c r="J189" s="170"/>
      <c r="K189" s="53"/>
      <c r="L189" s="53"/>
      <c r="M189" s="53"/>
      <c r="N189" s="171"/>
      <c r="O189" s="170"/>
      <c r="P189" s="53"/>
      <c r="Q189" s="53"/>
      <c r="R189" s="53"/>
      <c r="S189" s="171"/>
      <c r="T189" s="170"/>
      <c r="U189" s="53"/>
      <c r="V189" s="53"/>
      <c r="W189" s="53"/>
      <c r="X189" s="171"/>
      <c r="Y189" s="170"/>
      <c r="Z189" s="170"/>
      <c r="AA189" s="170"/>
      <c r="AB189" s="170"/>
      <c r="AC189" s="170"/>
      <c r="AD189" s="53"/>
      <c r="AE189" s="53"/>
    </row>
    <row r="190">
      <c r="A190" s="53"/>
      <c r="B190" s="53" t="str">
        <f>IFERROR(__xludf.DUMMYFUNCTION("""COMPUTED_VALUE"""),"2606D132
Pratiwi Puji Hastuti
085103430833
Website")</f>
        <v>2606D132
Pratiwi Puji Hastuti
085103430833
Website</v>
      </c>
      <c r="C190" s="168" t="str">
        <f>IFERROR(__xludf.DUMMYFUNCTION("""COMPUTED_VALUE"""),"
 pax
Rp0")</f>
        <v>
 pax
Rp0</v>
      </c>
      <c r="D190" s="169" t="str">
        <f>IFERROR(__xludf.DUMMYFUNCTION("""COMPUTED_VALUE"""),"tanya Fotografer")</f>
        <v>tanya Fotografer</v>
      </c>
      <c r="E190" s="170"/>
      <c r="F190" s="53"/>
      <c r="G190" s="53"/>
      <c r="H190" s="53"/>
      <c r="I190" s="171"/>
      <c r="J190" s="170"/>
      <c r="K190" s="53"/>
      <c r="L190" s="53"/>
      <c r="M190" s="53"/>
      <c r="N190" s="171"/>
      <c r="O190" s="170"/>
      <c r="P190" s="53"/>
      <c r="Q190" s="53"/>
      <c r="R190" s="53"/>
      <c r="S190" s="171"/>
      <c r="T190" s="170"/>
      <c r="U190" s="53"/>
      <c r="V190" s="53"/>
      <c r="W190" s="53"/>
      <c r="X190" s="171"/>
      <c r="Y190" s="170"/>
      <c r="Z190" s="170"/>
      <c r="AA190" s="170"/>
      <c r="AB190" s="170"/>
      <c r="AC190" s="170"/>
      <c r="AD190" s="53"/>
      <c r="AE190" s="53"/>
    </row>
    <row r="191">
      <c r="A191" s="53"/>
      <c r="B191" s="53" t="str">
        <f>IFERROR(__xludf.DUMMYFUNCTION("""COMPUTED_VALUE"""),"2606D133
Dian
081381807350
Website")</f>
        <v>2606D133
Dian
081381807350
Website</v>
      </c>
      <c r="C191" s="168" t="str">
        <f>IFERROR(__xludf.DUMMYFUNCTION("""COMPUTED_VALUE"""),"private trip MT
46198
2 pax
Rp0")</f>
        <v>private trip MT
46198
2 pax
Rp0</v>
      </c>
      <c r="D191" s="169" t="str">
        <f>IFERROR(__xludf.DUMMYFUNCTION("""COMPUTED_VALUE"""),"FU 23 Juni")</f>
        <v>FU 23 Juni</v>
      </c>
      <c r="E191" s="170"/>
      <c r="F191" s="53"/>
      <c r="G191" s="53"/>
      <c r="H191" s="53"/>
      <c r="I191" s="171"/>
      <c r="J191" s="170"/>
      <c r="K191" s="53"/>
      <c r="L191" s="53"/>
      <c r="M191" s="53"/>
      <c r="N191" s="171"/>
      <c r="O191" s="170"/>
      <c r="P191" s="53"/>
      <c r="Q191" s="53"/>
      <c r="R191" s="53"/>
      <c r="S191" s="171"/>
      <c r="T191" s="170"/>
      <c r="U191" s="53"/>
      <c r="V191" s="53"/>
      <c r="W191" s="53"/>
      <c r="X191" s="171"/>
      <c r="Y191" s="170"/>
      <c r="Z191" s="170"/>
      <c r="AA191" s="170"/>
      <c r="AB191" s="170"/>
      <c r="AC191" s="170"/>
      <c r="AD191" s="53"/>
      <c r="AE191" s="53"/>
    </row>
    <row r="192">
      <c r="A192" s="53"/>
      <c r="B192" s="53" t="str">
        <f>IFERROR(__xludf.DUMMYFUNCTION("""COMPUTED_VALUE"""),"2606D139
Tien Rostini
082126850024
Instagram")</f>
        <v>2606D139
Tien Rostini
082126850024
Instagram</v>
      </c>
      <c r="C192" s="168" t="str">
        <f>IFERROR(__xludf.DUMMYFUNCTION("""COMPUTED_VALUE"""),"2h1m 
46209
5 pax
Rp0")</f>
        <v>2h1m 
46209
5 pax
Rp0</v>
      </c>
      <c r="D192" s="169" t="str">
        <f>IFERROR(__xludf.DUMMYFUNCTION("""COMPUTED_VALUE"""),"fu 28 juni")</f>
        <v>fu 28 juni</v>
      </c>
      <c r="E192" s="170"/>
      <c r="F192" s="53"/>
      <c r="G192" s="53"/>
      <c r="H192" s="53"/>
      <c r="I192" s="171"/>
      <c r="J192" s="170"/>
      <c r="K192" s="53"/>
      <c r="L192" s="53"/>
      <c r="M192" s="53"/>
      <c r="N192" s="171"/>
      <c r="O192" s="170"/>
      <c r="P192" s="53"/>
      <c r="Q192" s="53"/>
      <c r="R192" s="53"/>
      <c r="S192" s="171"/>
      <c r="T192" s="170"/>
      <c r="U192" s="53"/>
      <c r="V192" s="53"/>
      <c r="W192" s="53"/>
      <c r="X192" s="171"/>
      <c r="Y192" s="170"/>
      <c r="Z192" s="170"/>
      <c r="AA192" s="170"/>
      <c r="AB192" s="170"/>
      <c r="AC192" s="170"/>
      <c r="AD192" s="53"/>
      <c r="AE192" s="53"/>
    </row>
    <row r="193">
      <c r="A193" s="53"/>
      <c r="B193" s="53" t="str">
        <f>IFERROR(__xludf.DUMMYFUNCTION("""COMPUTED_VALUE"""),"2606D143
Alya
085811382464
Instagram")</f>
        <v>2606D143
Alya
085811382464
Instagram</v>
      </c>
      <c r="C193" s="168" t="str">
        <f>IFERROR(__xludf.DUMMYFUNCTION("""COMPUTED_VALUE"""),"Ot Harian
2 pax
Rp0")</f>
        <v>Ot Harian
2 pax
Rp0</v>
      </c>
      <c r="D193" s="169" t="str">
        <f>IFERROR(__xludf.DUMMYFUNCTION("""COMPUTED_VALUE"""),"Fu 23 Juni")</f>
        <v>Fu 23 Juni</v>
      </c>
      <c r="E193" s="170"/>
      <c r="F193" s="53"/>
      <c r="G193" s="53"/>
      <c r="H193" s="53"/>
      <c r="I193" s="171"/>
      <c r="J193" s="170"/>
      <c r="K193" s="53"/>
      <c r="L193" s="53"/>
      <c r="M193" s="53"/>
      <c r="N193" s="171"/>
      <c r="O193" s="170"/>
      <c r="P193" s="53"/>
      <c r="Q193" s="53"/>
      <c r="R193" s="53"/>
      <c r="S193" s="171"/>
      <c r="T193" s="170"/>
      <c r="U193" s="53"/>
      <c r="V193" s="53"/>
      <c r="W193" s="53"/>
      <c r="X193" s="171"/>
      <c r="Y193" s="170"/>
      <c r="Z193" s="170"/>
      <c r="AA193" s="170"/>
      <c r="AB193" s="170"/>
      <c r="AC193" s="170"/>
      <c r="AD193" s="53"/>
      <c r="AE193" s="53"/>
    </row>
    <row r="194">
      <c r="A194" s="53"/>
      <c r="B194" s="53" t="str">
        <f>IFERROR(__xludf.DUMMYFUNCTION("""COMPUTED_VALUE"""),"2606D144
Diamaulita
085649481723
Instagram")</f>
        <v>2606D144
Diamaulita
085649481723
Instagram</v>
      </c>
      <c r="C194" s="168" t="str">
        <f>IFERROR(__xludf.DUMMYFUNCTION("""COMPUTED_VALUE"""),"
 pax
Rp0")</f>
        <v>
 pax
Rp0</v>
      </c>
      <c r="D194" s="169" t="str">
        <f>IFERROR(__xludf.DUMMYFUNCTION("""COMPUTED_VALUE"""),"FU 24 Juni")</f>
        <v>FU 24 Juni</v>
      </c>
      <c r="E194" s="170"/>
      <c r="F194" s="53"/>
      <c r="G194" s="53"/>
      <c r="H194" s="53"/>
      <c r="I194" s="171"/>
      <c r="J194" s="170"/>
      <c r="K194" s="53"/>
      <c r="L194" s="53"/>
      <c r="M194" s="53"/>
      <c r="N194" s="171"/>
      <c r="O194" s="170"/>
      <c r="P194" s="53"/>
      <c r="Q194" s="53"/>
      <c r="R194" s="53"/>
      <c r="S194" s="171"/>
      <c r="T194" s="170"/>
      <c r="U194" s="53"/>
      <c r="V194" s="53"/>
      <c r="W194" s="53"/>
      <c r="X194" s="171"/>
      <c r="Y194" s="170"/>
      <c r="Z194" s="170"/>
      <c r="AA194" s="170"/>
      <c r="AB194" s="170"/>
      <c r="AC194" s="170"/>
      <c r="AD194" s="53"/>
      <c r="AE194" s="53"/>
    </row>
    <row r="195">
      <c r="A195" s="53"/>
      <c r="B195" s="53" t="str">
        <f>IFERROR(__xludf.DUMMYFUNCTION("""COMPUTED_VALUE"""),"2606D145
Salsa
081228924392
Instagram")</f>
        <v>2606D145
Salsa
081228924392
Instagram</v>
      </c>
      <c r="C195" s="168" t="str">
        <f>IFERROR(__xludf.DUMMYFUNCTION("""COMPUTED_VALUE"""),"trip green island
4 pax
Rp0")</f>
        <v>trip green island
4 pax
Rp0</v>
      </c>
      <c r="D195" s="169" t="str">
        <f>IFERROR(__xludf.DUMMYFUNCTION("""COMPUTED_VALUE"""),"FU 24 Juni")</f>
        <v>FU 24 Juni</v>
      </c>
      <c r="E195" s="170"/>
      <c r="F195" s="53"/>
      <c r="G195" s="53"/>
      <c r="H195" s="53"/>
      <c r="I195" s="171"/>
      <c r="J195" s="170"/>
      <c r="K195" s="53"/>
      <c r="L195" s="53"/>
      <c r="M195" s="53"/>
      <c r="N195" s="171"/>
      <c r="O195" s="170"/>
      <c r="P195" s="53"/>
      <c r="Q195" s="53"/>
      <c r="R195" s="53"/>
      <c r="S195" s="171"/>
      <c r="T195" s="170"/>
      <c r="U195" s="53"/>
      <c r="V195" s="53"/>
      <c r="W195" s="53"/>
      <c r="X195" s="171"/>
      <c r="Y195" s="170"/>
      <c r="Z195" s="170"/>
      <c r="AA195" s="170"/>
      <c r="AB195" s="170"/>
      <c r="AC195" s="170"/>
      <c r="AD195" s="53"/>
      <c r="AE195" s="53"/>
    </row>
    <row r="196">
      <c r="A196" s="53"/>
      <c r="B196" s="53" t="str">
        <f>IFERROR(__xludf.DUMMYFUNCTION("""COMPUTED_VALUE"""),"2606D146
Aurelia Mitha
081227038958
Instagram")</f>
        <v>2606D146
Aurelia Mitha
081227038958
Instagram</v>
      </c>
      <c r="C196" s="168" t="str">
        <f>IFERROR(__xludf.DUMMYFUNCTION("""COMPUTED_VALUE"""),"3h2m opsi A
1 pax
Rp0")</f>
        <v>3h2m opsi A
1 pax
Rp0</v>
      </c>
      <c r="D196" s="169" t="str">
        <f>IFERROR(__xludf.DUMMYFUNCTION("""COMPUTED_VALUE"""),"kalau ada pendaftar lain dikabarin, FU 4 Juli")</f>
        <v>kalau ada pendaftar lain dikabarin, FU 4 Juli</v>
      </c>
      <c r="E196" s="170"/>
      <c r="F196" s="53"/>
      <c r="G196" s="53"/>
      <c r="H196" s="53"/>
      <c r="I196" s="171"/>
      <c r="J196" s="170"/>
      <c r="K196" s="53"/>
      <c r="L196" s="53"/>
      <c r="M196" s="53"/>
      <c r="N196" s="171"/>
      <c r="O196" s="170"/>
      <c r="P196" s="53"/>
      <c r="Q196" s="53"/>
      <c r="R196" s="53"/>
      <c r="S196" s="171"/>
      <c r="T196" s="170"/>
      <c r="U196" s="53"/>
      <c r="V196" s="53"/>
      <c r="W196" s="53"/>
      <c r="X196" s="171"/>
      <c r="Y196" s="170"/>
      <c r="Z196" s="170"/>
      <c r="AA196" s="170"/>
      <c r="AB196" s="170"/>
      <c r="AC196" s="170"/>
      <c r="AD196" s="53"/>
      <c r="AE196" s="53"/>
    </row>
    <row r="197">
      <c r="A197" s="53"/>
      <c r="B197" s="53" t="str">
        <f>IFERROR(__xludf.DUMMYFUNCTION("""COMPUTED_VALUE"""),"2606D147
Irma Kharisma 
081221400049
Instagram")</f>
        <v>2606D147
Irma Kharisma 
081221400049
Instagram</v>
      </c>
      <c r="C197" s="168" t="str">
        <f>IFERROR(__xludf.DUMMYFUNCTION("""COMPUTED_VALUE"""),"paket family trip
5 pax
Rp0")</f>
        <v>paket family trip
5 pax
Rp0</v>
      </c>
      <c r="D197" s="169" t="str">
        <f>IFERROR(__xludf.DUMMYFUNCTION("""COMPUTED_VALUE"""),"FU 26 Juni")</f>
        <v>FU 26 Juni</v>
      </c>
      <c r="E197" s="170"/>
      <c r="F197" s="53"/>
      <c r="G197" s="53"/>
      <c r="H197" s="53"/>
      <c r="I197" s="171"/>
      <c r="J197" s="170"/>
      <c r="K197" s="53"/>
      <c r="L197" s="53"/>
      <c r="M197" s="53"/>
      <c r="N197" s="171"/>
      <c r="O197" s="170"/>
      <c r="P197" s="53"/>
      <c r="Q197" s="53"/>
      <c r="R197" s="53"/>
      <c r="S197" s="171"/>
      <c r="T197" s="170"/>
      <c r="U197" s="53"/>
      <c r="V197" s="53"/>
      <c r="W197" s="53"/>
      <c r="X197" s="171"/>
      <c r="Y197" s="170"/>
      <c r="Z197" s="170"/>
      <c r="AA197" s="170"/>
      <c r="AB197" s="170"/>
      <c r="AC197" s="170"/>
      <c r="AD197" s="53"/>
      <c r="AE197" s="53"/>
    </row>
    <row r="198">
      <c r="A198" s="53"/>
      <c r="B198" s="53" t="str">
        <f>IFERROR(__xludf.DUMMYFUNCTION("""COMPUTED_VALUE"""),"2606D148
Win
081939048993
Website")</f>
        <v>2606D148
Win
081939048993
Website</v>
      </c>
      <c r="C198" s="168" t="str">
        <f>IFERROR(__xludf.DUMMYFUNCTION("""COMPUTED_VALUE"""),"3h2m opsi B
 pax
Rp0")</f>
        <v>3h2m opsi B
 pax
Rp0</v>
      </c>
      <c r="D198" s="169" t="str">
        <f>IFERROR(__xludf.DUMMYFUNCTION("""COMPUTED_VALUE"""),"FU 26 Juni")</f>
        <v>FU 26 Juni</v>
      </c>
      <c r="E198" s="170"/>
      <c r="F198" s="53"/>
      <c r="G198" s="53"/>
      <c r="H198" s="53"/>
      <c r="I198" s="171"/>
      <c r="J198" s="170"/>
      <c r="K198" s="53"/>
      <c r="L198" s="53"/>
      <c r="M198" s="53"/>
      <c r="N198" s="171"/>
      <c r="O198" s="170"/>
      <c r="P198" s="53"/>
      <c r="Q198" s="53"/>
      <c r="R198" s="53"/>
      <c r="S198" s="171"/>
      <c r="T198" s="170"/>
      <c r="U198" s="53"/>
      <c r="V198" s="53"/>
      <c r="W198" s="53"/>
      <c r="X198" s="171"/>
      <c r="Y198" s="170"/>
      <c r="Z198" s="170"/>
      <c r="AA198" s="170"/>
      <c r="AB198" s="170"/>
      <c r="AC198" s="170"/>
      <c r="AD198" s="53"/>
      <c r="AE198" s="53"/>
    </row>
    <row r="199">
      <c r="A199" s="53"/>
      <c r="B199" s="53" t="str">
        <f>IFERROR(__xludf.DUMMYFUNCTION("""COMPUTED_VALUE"""),"2606D149
Siti Fimbay
085259020063
Instagram")</f>
        <v>2606D149
Siti Fimbay
085259020063
Instagram</v>
      </c>
      <c r="C199" s="168" t="str">
        <f>IFERROR(__xludf.DUMMYFUNCTION("""COMPUTED_VALUE"""),"3h2m opsi A
2 pax
Rp0")</f>
        <v>3h2m opsi A
2 pax
Rp0</v>
      </c>
      <c r="D199" s="169" t="str">
        <f>IFERROR(__xludf.DUMMYFUNCTION("""COMPUTED_VALUE"""),"belum blasa lagi, FU 27 Juni")</f>
        <v>belum blasa lagi, FU 27 Juni</v>
      </c>
      <c r="E199" s="170"/>
      <c r="F199" s="53"/>
      <c r="G199" s="53"/>
      <c r="H199" s="53"/>
      <c r="I199" s="171"/>
      <c r="J199" s="170"/>
      <c r="K199" s="53"/>
      <c r="L199" s="53"/>
      <c r="M199" s="53"/>
      <c r="N199" s="171"/>
      <c r="O199" s="170"/>
      <c r="P199" s="53"/>
      <c r="Q199" s="53"/>
      <c r="R199" s="53"/>
      <c r="S199" s="171"/>
      <c r="T199" s="170"/>
      <c r="U199" s="53"/>
      <c r="V199" s="53"/>
      <c r="W199" s="53"/>
      <c r="X199" s="171"/>
      <c r="Y199" s="170"/>
      <c r="Z199" s="170"/>
      <c r="AA199" s="170"/>
      <c r="AB199" s="170"/>
      <c r="AC199" s="170"/>
      <c r="AD199" s="53"/>
      <c r="AE199" s="53"/>
    </row>
    <row r="200">
      <c r="A200" s="53"/>
      <c r="B200" s="53" t="str">
        <f>IFERROR(__xludf.DUMMYFUNCTION("""COMPUTED_VALUE"""),"2606D152
May
0895340964490
Instagram")</f>
        <v>2606D152
May
0895340964490
Instagram</v>
      </c>
      <c r="C200" s="168" t="str">
        <f>IFERROR(__xludf.DUMMYFUNCTION("""COMPUTED_VALUE"""),"3h2m custome
4 pax
Rp0")</f>
        <v>3h2m custome
4 pax
Rp0</v>
      </c>
      <c r="D200" s="169" t="str">
        <f>IFERROR(__xludf.DUMMYFUNCTION("""COMPUTED_VALUE"""),"diskusi dulu, FU 9 Juli")</f>
        <v>diskusi dulu, FU 9 Juli</v>
      </c>
      <c r="E200" s="170"/>
      <c r="F200" s="53"/>
      <c r="G200" s="53"/>
      <c r="H200" s="53"/>
      <c r="I200" s="171"/>
      <c r="J200" s="170"/>
      <c r="K200" s="53"/>
      <c r="L200" s="53"/>
      <c r="M200" s="53"/>
      <c r="N200" s="171"/>
      <c r="O200" s="170"/>
      <c r="P200" s="53"/>
      <c r="Q200" s="53"/>
      <c r="R200" s="53"/>
      <c r="S200" s="171"/>
      <c r="T200" s="170"/>
      <c r="U200" s="53"/>
      <c r="V200" s="53"/>
      <c r="W200" s="53"/>
      <c r="X200" s="171"/>
      <c r="Y200" s="170"/>
      <c r="Z200" s="170"/>
      <c r="AA200" s="170"/>
      <c r="AB200" s="170"/>
      <c r="AC200" s="170"/>
      <c r="AD200" s="53"/>
      <c r="AE200" s="53"/>
    </row>
    <row r="201">
      <c r="A201" s="53"/>
      <c r="B201" s="53" t="str">
        <f>IFERROR(__xludf.DUMMYFUNCTION("""COMPUTED_VALUE"""),"2606D153
Yizhuo Ying
0447718635730
Website")</f>
        <v>2606D153
Yizhuo Ying
0447718635730
Website</v>
      </c>
      <c r="C201" s="168" t="str">
        <f>IFERROR(__xludf.DUMMYFUNCTION("""COMPUTED_VALUE"""),"OT Ijen
1 pax
Rp0")</f>
        <v>OT Ijen
1 pax
Rp0</v>
      </c>
      <c r="D201" s="169" t="str">
        <f>IFERROR(__xludf.DUMMYFUNCTION("""COMPUTED_VALUE"""),"FU 23 Juni")</f>
        <v>FU 23 Juni</v>
      </c>
      <c r="E201" s="170"/>
      <c r="F201" s="53"/>
      <c r="G201" s="53"/>
      <c r="H201" s="53"/>
      <c r="I201" s="171"/>
      <c r="J201" s="170"/>
      <c r="K201" s="53"/>
      <c r="L201" s="53"/>
      <c r="M201" s="53"/>
      <c r="N201" s="171"/>
      <c r="O201" s="170"/>
      <c r="P201" s="53"/>
      <c r="Q201" s="53"/>
      <c r="R201" s="53"/>
      <c r="S201" s="171"/>
      <c r="T201" s="170"/>
      <c r="U201" s="53"/>
      <c r="V201" s="53"/>
      <c r="W201" s="53"/>
      <c r="X201" s="171"/>
      <c r="Y201" s="170"/>
      <c r="Z201" s="170"/>
      <c r="AA201" s="170"/>
      <c r="AB201" s="170"/>
      <c r="AC201" s="170"/>
      <c r="AD201" s="53"/>
      <c r="AE201" s="53"/>
    </row>
    <row r="202">
      <c r="A202" s="53"/>
      <c r="B202" s="53" t="str">
        <f>IFERROR(__xludf.DUMMYFUNCTION("""COMPUTED_VALUE"""),"2606D154
Binta Ihtada
085281202621
Instagram")</f>
        <v>2606D154
Binta Ihtada
085281202621
Instagram</v>
      </c>
      <c r="C202" s="168" t="str">
        <f>IFERROR(__xludf.DUMMYFUNCTION("""COMPUTED_VALUE"""),"OT 3H2M
2 pax
Rp0")</f>
        <v>OT 3H2M
2 pax
Rp0</v>
      </c>
      <c r="D202" s="169" t="str">
        <f>IFERROR(__xludf.DUMMYFUNCTION("""COMPUTED_VALUE"""),"FU 2 Agustus")</f>
        <v>FU 2 Agustus</v>
      </c>
      <c r="E202" s="170"/>
      <c r="F202" s="53"/>
      <c r="G202" s="53"/>
      <c r="H202" s="53"/>
      <c r="I202" s="171"/>
      <c r="J202" s="170"/>
      <c r="K202" s="53"/>
      <c r="L202" s="53"/>
      <c r="M202" s="53"/>
      <c r="N202" s="171"/>
      <c r="O202" s="170"/>
      <c r="P202" s="53"/>
      <c r="Q202" s="53"/>
      <c r="R202" s="53"/>
      <c r="S202" s="171"/>
      <c r="T202" s="170"/>
      <c r="U202" s="53"/>
      <c r="V202" s="53"/>
      <c r="W202" s="53"/>
      <c r="X202" s="171"/>
      <c r="Y202" s="170"/>
      <c r="Z202" s="170"/>
      <c r="AA202" s="170"/>
      <c r="AB202" s="170"/>
      <c r="AC202" s="170"/>
      <c r="AD202" s="53"/>
      <c r="AE202" s="53"/>
    </row>
    <row r="203">
      <c r="A203" s="53"/>
      <c r="B203" s="53" t="str">
        <f>IFERROR(__xludf.DUMMYFUNCTION("""COMPUTED_VALUE"""),"2606D155
Rizkapulung
085643119425
Website")</f>
        <v>2606D155
Rizkapulung
085643119425
Website</v>
      </c>
      <c r="C203" s="168" t="str">
        <f>IFERROR(__xludf.DUMMYFUNCTION("""COMPUTED_VALUE"""),"
 pax
Rp0")</f>
        <v>
 pax
Rp0</v>
      </c>
      <c r="D203" s="169" t="str">
        <f>IFERROR(__xludf.DUMMYFUNCTION("""COMPUTED_VALUE"""),"belum balas lagi, FU 24 Juni")</f>
        <v>belum balas lagi, FU 24 Juni</v>
      </c>
      <c r="E203" s="170"/>
      <c r="F203" s="53"/>
      <c r="G203" s="53"/>
      <c r="H203" s="53"/>
      <c r="I203" s="171"/>
      <c r="J203" s="170"/>
      <c r="K203" s="53"/>
      <c r="L203" s="53"/>
      <c r="M203" s="53"/>
      <c r="N203" s="171"/>
      <c r="O203" s="170"/>
      <c r="P203" s="53"/>
      <c r="Q203" s="53"/>
      <c r="R203" s="53"/>
      <c r="S203" s="171"/>
      <c r="T203" s="170"/>
      <c r="U203" s="53"/>
      <c r="V203" s="53"/>
      <c r="W203" s="53"/>
      <c r="X203" s="171"/>
      <c r="Y203" s="170"/>
      <c r="Z203" s="170"/>
      <c r="AA203" s="170"/>
      <c r="AB203" s="170"/>
      <c r="AC203" s="170"/>
      <c r="AD203" s="53"/>
      <c r="AE203" s="53"/>
    </row>
    <row r="204">
      <c r="A204" s="53"/>
      <c r="B204" s="53" t="str">
        <f>IFERROR(__xludf.DUMMYFUNCTION("""COMPUTED_VALUE"""),"2606D156
Nur Syifa Azrya
08978101222
Instagram")</f>
        <v>2606D156
Nur Syifa Azrya
08978101222
Instagram</v>
      </c>
      <c r="C204" s="168" t="str">
        <f>IFERROR(__xludf.DUMMYFUNCTION("""COMPUTED_VALUE"""),"3h2m opsi A
 pax
Rp0")</f>
        <v>3h2m opsi A
 pax
Rp0</v>
      </c>
      <c r="D204" s="169" t="str">
        <f>IFERROR(__xludf.DUMMYFUNCTION("""COMPUTED_VALUE"""),"minta additional GI, FU 24 Juni")</f>
        <v>minta additional GI, FU 24 Juni</v>
      </c>
      <c r="E204" s="170"/>
      <c r="F204" s="53"/>
      <c r="G204" s="53"/>
      <c r="H204" s="53"/>
      <c r="I204" s="171"/>
      <c r="J204" s="170"/>
      <c r="K204" s="53"/>
      <c r="L204" s="53"/>
      <c r="M204" s="53"/>
      <c r="N204" s="171"/>
      <c r="O204" s="170"/>
      <c r="P204" s="53"/>
      <c r="Q204" s="53"/>
      <c r="R204" s="53"/>
      <c r="S204" s="171"/>
      <c r="T204" s="170"/>
      <c r="U204" s="53"/>
      <c r="V204" s="53"/>
      <c r="W204" s="53"/>
      <c r="X204" s="171"/>
      <c r="Y204" s="170"/>
      <c r="Z204" s="170"/>
      <c r="AA204" s="170"/>
      <c r="AB204" s="170"/>
      <c r="AC204" s="170"/>
      <c r="AD204" s="53"/>
      <c r="AE204" s="53"/>
    </row>
    <row r="205">
      <c r="A205" s="53"/>
      <c r="B205" s="53" t="str">
        <f>IFERROR(__xludf.DUMMYFUNCTION("""COMPUTED_VALUE"""),"2606D157
Ichiocha
085646688307
Website")</f>
        <v>2606D157
Ichiocha
085646688307
Website</v>
      </c>
      <c r="C205" s="168" t="str">
        <f>IFERROR(__xludf.DUMMYFUNCTION("""COMPUTED_VALUE"""),"OT MT
 pax
Rp0")</f>
        <v>OT MT
 pax
Rp0</v>
      </c>
      <c r="D205" s="169" t="str">
        <f>IFERROR(__xludf.DUMMYFUNCTION("""COMPUTED_VALUE"""),"tanya paddle, FU 25 Juni")</f>
        <v>tanya paddle, FU 25 Juni</v>
      </c>
      <c r="E205" s="170"/>
      <c r="F205" s="53"/>
      <c r="G205" s="53"/>
      <c r="H205" s="53"/>
      <c r="I205" s="171"/>
      <c r="J205" s="170"/>
      <c r="K205" s="53"/>
      <c r="L205" s="53"/>
      <c r="M205" s="53"/>
      <c r="N205" s="171"/>
      <c r="O205" s="170"/>
      <c r="P205" s="53"/>
      <c r="Q205" s="53"/>
      <c r="R205" s="53"/>
      <c r="S205" s="171"/>
      <c r="T205" s="170"/>
      <c r="U205" s="53"/>
      <c r="V205" s="53"/>
      <c r="W205" s="53"/>
      <c r="X205" s="171"/>
      <c r="Y205" s="170"/>
      <c r="Z205" s="170"/>
      <c r="AA205" s="170"/>
      <c r="AB205" s="170"/>
      <c r="AC205" s="170"/>
      <c r="AD205" s="53"/>
      <c r="AE205" s="53"/>
    </row>
    <row r="206">
      <c r="A206" s="53"/>
      <c r="B206" s="53" t="str">
        <f>IFERROR(__xludf.DUMMYFUNCTION("""COMPUTED_VALUE"""),"2606D158
Abdusyekti
085258810812
Website")</f>
        <v>2606D158
Abdusyekti
085258810812
Website</v>
      </c>
      <c r="C206" s="168" t="str">
        <f>IFERROR(__xludf.DUMMYFUNCTION("""COMPUTED_VALUE"""),"
 pax
Rp0")</f>
        <v>
 pax
Rp0</v>
      </c>
      <c r="D206" s="169" t="str">
        <f>IFERROR(__xludf.DUMMYFUNCTION("""COMPUTED_VALUE"""),"baru menyapa")</f>
        <v>baru menyapa</v>
      </c>
      <c r="E206" s="170"/>
      <c r="F206" s="53"/>
      <c r="G206" s="53"/>
      <c r="H206" s="53"/>
      <c r="I206" s="171"/>
      <c r="J206" s="170"/>
      <c r="K206" s="53"/>
      <c r="L206" s="53"/>
      <c r="M206" s="53"/>
      <c r="N206" s="171"/>
      <c r="O206" s="170"/>
      <c r="P206" s="53"/>
      <c r="Q206" s="53"/>
      <c r="R206" s="53"/>
      <c r="S206" s="171"/>
      <c r="T206" s="170"/>
      <c r="U206" s="53"/>
      <c r="V206" s="53"/>
      <c r="W206" s="53"/>
      <c r="X206" s="171"/>
      <c r="Y206" s="170"/>
      <c r="Z206" s="170"/>
      <c r="AA206" s="170"/>
      <c r="AB206" s="170"/>
      <c r="AC206" s="170"/>
      <c r="AD206" s="53"/>
      <c r="AE206" s="53"/>
    </row>
    <row r="207">
      <c r="A207" s="53"/>
      <c r="B207" s="53" t="str">
        <f>IFERROR(__xludf.DUMMYFUNCTION("""COMPUTED_VALUE"""),"2606D160
Frisda
0818789246
Website")</f>
        <v>2606D160
Frisda
0818789246
Website</v>
      </c>
      <c r="C207" s="168" t="str">
        <f>IFERROR(__xludf.DUMMYFUNCTION("""COMPUTED_VALUE"""),"
4 pax
Rp0")</f>
        <v>
4 pax
Rp0</v>
      </c>
      <c r="D207" s="169" t="str">
        <f>IFERROR(__xludf.DUMMYFUNCTION("""COMPUTED_VALUE"""),"masih menyapa, FU 23 Juni")</f>
        <v>masih menyapa, FU 23 Juni</v>
      </c>
      <c r="E207" s="170"/>
      <c r="F207" s="53"/>
      <c r="G207" s="53"/>
      <c r="H207" s="53"/>
      <c r="I207" s="171"/>
      <c r="J207" s="170"/>
      <c r="K207" s="53"/>
      <c r="L207" s="53"/>
      <c r="M207" s="53"/>
      <c r="N207" s="171"/>
      <c r="O207" s="170"/>
      <c r="P207" s="53"/>
      <c r="Q207" s="53"/>
      <c r="R207" s="53"/>
      <c r="S207" s="171"/>
      <c r="T207" s="170"/>
      <c r="U207" s="53"/>
      <c r="V207" s="53"/>
      <c r="W207" s="53"/>
      <c r="X207" s="171"/>
      <c r="Y207" s="170"/>
      <c r="Z207" s="170"/>
      <c r="AA207" s="170"/>
      <c r="AB207" s="170"/>
      <c r="AC207" s="170"/>
      <c r="AD207" s="53"/>
      <c r="AE207" s="53"/>
    </row>
    <row r="208">
      <c r="A208" s="53"/>
      <c r="B208" s="53" t="str">
        <f>IFERROR(__xludf.DUMMYFUNCTION("""COMPUTED_VALUE"""),"2606D161
Yudha Santi
081249580999
Website")</f>
        <v>2606D161
Yudha Santi
081249580999
Website</v>
      </c>
      <c r="C208" s="168" t="str">
        <f>IFERROR(__xludf.DUMMYFUNCTION("""COMPUTED_VALUE"""),"2H1M opsi B
 pax
Rp0")</f>
        <v>2H1M opsi B
 pax
Rp0</v>
      </c>
      <c r="D208" s="169" t="str">
        <f>IFERROR(__xludf.DUMMYFUNCTION("""COMPUTED_VALUE"""),"tanya mepo, FU 27 Juni")</f>
        <v>tanya mepo, FU 27 Juni</v>
      </c>
      <c r="E208" s="170"/>
      <c r="F208" s="53"/>
      <c r="G208" s="53"/>
      <c r="H208" s="53"/>
      <c r="I208" s="171"/>
      <c r="J208" s="170"/>
      <c r="K208" s="53"/>
      <c r="L208" s="53"/>
      <c r="M208" s="53"/>
      <c r="N208" s="171"/>
      <c r="O208" s="170"/>
      <c r="P208" s="53"/>
      <c r="Q208" s="53"/>
      <c r="R208" s="53"/>
      <c r="S208" s="171"/>
      <c r="T208" s="170"/>
      <c r="U208" s="53"/>
      <c r="V208" s="53"/>
      <c r="W208" s="53"/>
      <c r="X208" s="171"/>
      <c r="Y208" s="170"/>
      <c r="Z208" s="170"/>
      <c r="AA208" s="170"/>
      <c r="AB208" s="170"/>
      <c r="AC208" s="170"/>
      <c r="AD208" s="53"/>
      <c r="AE208" s="53"/>
    </row>
    <row r="209">
      <c r="A209" s="53"/>
      <c r="B209" s="53" t="str">
        <f>IFERROR(__xludf.DUMMYFUNCTION("""COMPUTED_VALUE"""),"2606D163
Fidelia
08111405888
Instagram")</f>
        <v>2606D163
Fidelia
08111405888
Instagram</v>
      </c>
      <c r="C209" s="168" t="str">
        <f>IFERROR(__xludf.DUMMYFUNCTION("""COMPUTED_VALUE"""),"trip menjangan tabuhan
 pax
Rp0")</f>
        <v>trip menjangan tabuhan
 pax
Rp0</v>
      </c>
      <c r="D209" s="169" t="str">
        <f>IFERROR(__xludf.DUMMYFUNCTION("""COMPUTED_VALUE"""),"belum balas lagi, FU 24 Juni ")</f>
        <v>belum balas lagi, FU 24 Juni </v>
      </c>
      <c r="E209" s="170"/>
      <c r="F209" s="53"/>
      <c r="G209" s="53"/>
      <c r="H209" s="53"/>
      <c r="I209" s="171"/>
      <c r="J209" s="170"/>
      <c r="K209" s="53"/>
      <c r="L209" s="53"/>
      <c r="M209" s="53"/>
      <c r="N209" s="171"/>
      <c r="O209" s="170"/>
      <c r="P209" s="53"/>
      <c r="Q209" s="53"/>
      <c r="R209" s="53"/>
      <c r="S209" s="171"/>
      <c r="T209" s="170"/>
      <c r="U209" s="53"/>
      <c r="V209" s="53"/>
      <c r="W209" s="53"/>
      <c r="X209" s="171"/>
      <c r="Y209" s="170"/>
      <c r="Z209" s="170"/>
      <c r="AA209" s="170"/>
      <c r="AB209" s="170"/>
      <c r="AC209" s="170"/>
      <c r="AD209" s="53"/>
      <c r="AE209" s="53"/>
    </row>
    <row r="210">
      <c r="A210" s="53"/>
      <c r="B210" s="53" t="str">
        <f>IFERROR(__xludf.DUMMYFUNCTION("""COMPUTED_VALUE"""),"2606D164
Ecaa
082230434813
Instagram")</f>
        <v>2606D164
Ecaa
082230434813
Instagram</v>
      </c>
      <c r="C210" s="168" t="str">
        <f>IFERROR(__xludf.DUMMYFUNCTION("""COMPUTED_VALUE"""),"3H2M opsi A
 pax
Rp0")</f>
        <v>3H2M opsi A
 pax
Rp0</v>
      </c>
      <c r="D210" s="169" t="str">
        <f>IFERROR(__xludf.DUMMYFUNCTION("""COMPUTED_VALUE"""),"masih menyapa, FU 23 Juni")</f>
        <v>masih menyapa, FU 23 Juni</v>
      </c>
      <c r="E210" s="170"/>
      <c r="F210" s="53"/>
      <c r="G210" s="53"/>
      <c r="H210" s="53"/>
      <c r="I210" s="171"/>
      <c r="J210" s="170"/>
      <c r="K210" s="53"/>
      <c r="L210" s="53"/>
      <c r="M210" s="53"/>
      <c r="N210" s="171"/>
      <c r="O210" s="170"/>
      <c r="P210" s="53"/>
      <c r="Q210" s="53"/>
      <c r="R210" s="53"/>
      <c r="S210" s="171"/>
      <c r="T210" s="170"/>
      <c r="U210" s="53"/>
      <c r="V210" s="53"/>
      <c r="W210" s="53"/>
      <c r="X210" s="171"/>
      <c r="Y210" s="170"/>
      <c r="Z210" s="170"/>
      <c r="AA210" s="170"/>
      <c r="AB210" s="170"/>
      <c r="AC210" s="170"/>
      <c r="AD210" s="53"/>
      <c r="AE210" s="53"/>
    </row>
    <row r="211">
      <c r="A211" s="53"/>
      <c r="B211" s="53" t="str">
        <f>IFERROR(__xludf.DUMMYFUNCTION("""COMPUTED_VALUE"""),"2606D165
Euis Kurniawati
08563117020
Instagram")</f>
        <v>2606D165
Euis Kurniawati
08563117020
Instagram</v>
      </c>
      <c r="C211" s="168" t="str">
        <f>IFERROR(__xludf.DUMMYFUNCTION("""COMPUTED_VALUE"""),"2H1M  custome
5 pax
Rp6.300.000")</f>
        <v>2H1M  custome
5 pax
Rp6.300.000</v>
      </c>
      <c r="D211" s="169" t="str">
        <f>IFERROR(__xludf.DUMMYFUNCTION("""COMPUTED_VALUE"""),"masih tanya, FU 25 Juni")</f>
        <v>masih tanya, FU 25 Juni</v>
      </c>
      <c r="E211" s="170"/>
      <c r="F211" s="53"/>
      <c r="G211" s="53"/>
      <c r="H211" s="53"/>
      <c r="I211" s="171"/>
      <c r="J211" s="170"/>
      <c r="K211" s="53"/>
      <c r="L211" s="53"/>
      <c r="M211" s="53"/>
      <c r="N211" s="171"/>
      <c r="O211" s="170"/>
      <c r="P211" s="53"/>
      <c r="Q211" s="53"/>
      <c r="R211" s="53"/>
      <c r="S211" s="171"/>
      <c r="T211" s="170"/>
      <c r="U211" s="53"/>
      <c r="V211" s="53"/>
      <c r="W211" s="53"/>
      <c r="X211" s="171"/>
      <c r="Y211" s="170"/>
      <c r="Z211" s="170"/>
      <c r="AA211" s="170"/>
      <c r="AB211" s="170"/>
      <c r="AC211" s="170"/>
      <c r="AD211" s="53"/>
      <c r="AE211" s="53"/>
    </row>
    <row r="212">
      <c r="A212" s="53"/>
      <c r="B212" s="53" t="str">
        <f>IFERROR(__xludf.DUMMYFUNCTION("""COMPUTED_VALUE"""),"2606D166
Arma
081234039479
Instagram")</f>
        <v>2606D166
Arma
081234039479
Instagram</v>
      </c>
      <c r="C212" s="168" t="str">
        <f>IFERROR(__xludf.DUMMYFUNCTION("""COMPUTED_VALUE"""),"family trip
 pax
Rp0")</f>
        <v>family trip
 pax
Rp0</v>
      </c>
      <c r="D212" s="169" t="str">
        <f>IFERROR(__xludf.DUMMYFUNCTION("""COMPUTED_VALUE"""),"masih menyapa, FU 23 Juni")</f>
        <v>masih menyapa, FU 23 Juni</v>
      </c>
      <c r="E212" s="170"/>
      <c r="F212" s="53"/>
      <c r="G212" s="53"/>
      <c r="H212" s="53"/>
      <c r="I212" s="171"/>
      <c r="J212" s="170"/>
      <c r="K212" s="53"/>
      <c r="L212" s="53"/>
      <c r="M212" s="53"/>
      <c r="N212" s="171"/>
      <c r="O212" s="170"/>
      <c r="P212" s="53"/>
      <c r="Q212" s="53"/>
      <c r="R212" s="53"/>
      <c r="S212" s="171"/>
      <c r="T212" s="170"/>
      <c r="U212" s="53"/>
      <c r="V212" s="53"/>
      <c r="W212" s="53"/>
      <c r="X212" s="171"/>
      <c r="Y212" s="170"/>
      <c r="Z212" s="170"/>
      <c r="AA212" s="170"/>
      <c r="AB212" s="170"/>
      <c r="AC212" s="170"/>
      <c r="AD212" s="53"/>
      <c r="AE212" s="53"/>
    </row>
    <row r="213">
      <c r="A213" s="53"/>
      <c r="B213" s="53" t="str">
        <f>IFERROR(__xludf.DUMMYFUNCTION("""COMPUTED_VALUE"""),"2606D167
Dwigraha
082230006527
Website")</f>
        <v>2606D167
Dwigraha
082230006527
Website</v>
      </c>
      <c r="C213" s="168" t="str">
        <f>IFERROR(__xludf.DUMMYFUNCTION("""COMPUTED_VALUE"""),"
 pax
Rp0")</f>
        <v>
 pax
Rp0</v>
      </c>
      <c r="D213" s="169" t="str">
        <f>IFERROR(__xludf.DUMMYFUNCTION("""COMPUTED_VALUE"""),"masih menyapa, FU 23 Juni")</f>
        <v>masih menyapa, FU 23 Juni</v>
      </c>
      <c r="E213" s="170"/>
      <c r="F213" s="53"/>
      <c r="G213" s="53"/>
      <c r="H213" s="53"/>
      <c r="I213" s="171"/>
      <c r="J213" s="170"/>
      <c r="K213" s="53"/>
      <c r="L213" s="53"/>
      <c r="M213" s="53"/>
      <c r="N213" s="171"/>
      <c r="O213" s="170"/>
      <c r="P213" s="53"/>
      <c r="Q213" s="53"/>
      <c r="R213" s="53"/>
      <c r="S213" s="171"/>
      <c r="T213" s="170"/>
      <c r="U213" s="53"/>
      <c r="V213" s="53"/>
      <c r="W213" s="53"/>
      <c r="X213" s="171"/>
      <c r="Y213" s="170"/>
      <c r="Z213" s="170"/>
      <c r="AA213" s="170"/>
      <c r="AB213" s="170"/>
      <c r="AC213" s="170"/>
      <c r="AD213" s="53"/>
      <c r="AE213" s="53"/>
    </row>
    <row r="214">
      <c r="A214" s="53"/>
      <c r="B214" s="53" t="str">
        <f>IFERROR(__xludf.DUMMYFUNCTION("""COMPUTED_VALUE"""),"2606D169
Ita   
081326129991
Instagram")</f>
        <v>2606D169
Ita   
081326129991
Instagram</v>
      </c>
      <c r="C214" s="168" t="str">
        <f>IFERROR(__xludf.DUMMYFUNCTION("""COMPUTED_VALUE"""),"family trip
 pax
Rp0")</f>
        <v>family trip
 pax
Rp0</v>
      </c>
      <c r="D214" s="169" t="str">
        <f>IFERROR(__xludf.DUMMYFUNCTION("""COMPUTED_VALUE"""),"masih menyapa, FU 23 Juni")</f>
        <v>masih menyapa, FU 23 Juni</v>
      </c>
      <c r="E214" s="170"/>
      <c r="F214" s="53"/>
      <c r="G214" s="53"/>
      <c r="H214" s="53"/>
      <c r="I214" s="171"/>
      <c r="J214" s="170"/>
      <c r="K214" s="53"/>
      <c r="L214" s="53"/>
      <c r="M214" s="53"/>
      <c r="N214" s="171"/>
      <c r="O214" s="170"/>
      <c r="P214" s="53"/>
      <c r="Q214" s="53"/>
      <c r="R214" s="53"/>
      <c r="S214" s="171"/>
      <c r="T214" s="170"/>
      <c r="U214" s="53"/>
      <c r="V214" s="53"/>
      <c r="W214" s="53"/>
      <c r="X214" s="171"/>
      <c r="Y214" s="170"/>
      <c r="Z214" s="170"/>
      <c r="AA214" s="170"/>
      <c r="AB214" s="170"/>
      <c r="AC214" s="170"/>
      <c r="AD214" s="53"/>
      <c r="AE214" s="53"/>
    </row>
    <row r="215">
      <c r="A215" s="53"/>
      <c r="B215" s="53" t="str">
        <f>IFERROR(__xludf.DUMMYFUNCTION("""COMPUTED_VALUE"""),"2606D171
Ratih Dewi
0895612974454
Instagram")</f>
        <v>2606D171
Ratih Dewi
0895612974454
Instagram</v>
      </c>
      <c r="C215" s="168" t="str">
        <f>IFERROR(__xludf.DUMMYFUNCTION("""COMPUTED_VALUE"""),"
 pax
Rp0")</f>
        <v>
 pax
Rp0</v>
      </c>
      <c r="D215" s="169" t="str">
        <f>IFERROR(__xludf.DUMMYFUNCTION("""COMPUTED_VALUE"""),"tanya OT bulan Juli, FU 28 Juni")</f>
        <v>tanya OT bulan Juli, FU 28 Juni</v>
      </c>
      <c r="E215" s="170"/>
      <c r="F215" s="53"/>
      <c r="G215" s="53"/>
      <c r="H215" s="53"/>
      <c r="I215" s="171"/>
      <c r="J215" s="170"/>
      <c r="K215" s="53"/>
      <c r="L215" s="53"/>
      <c r="M215" s="53"/>
      <c r="N215" s="171"/>
      <c r="O215" s="170"/>
      <c r="P215" s="53"/>
      <c r="Q215" s="53"/>
      <c r="R215" s="53"/>
      <c r="S215" s="171"/>
      <c r="T215" s="170"/>
      <c r="U215" s="53"/>
      <c r="V215" s="53"/>
      <c r="W215" s="53"/>
      <c r="X215" s="171"/>
      <c r="Y215" s="170"/>
      <c r="Z215" s="170"/>
      <c r="AA215" s="170"/>
      <c r="AB215" s="170"/>
      <c r="AC215" s="170"/>
      <c r="AD215" s="53"/>
      <c r="AE215" s="53"/>
    </row>
    <row r="216">
      <c r="A216" s="53"/>
      <c r="B216" s="53" t="str">
        <f>IFERROR(__xludf.DUMMYFUNCTION("""COMPUTED_VALUE"""),"2606D172
Alam Mucharam
0811227338
Website")</f>
        <v>2606D172
Alam Mucharam
0811227338
Website</v>
      </c>
      <c r="C216" s="168" t="str">
        <f>IFERROR(__xludf.DUMMYFUNCTION("""COMPUTED_VALUE"""),"4H3M 
10 pax
Rp0")</f>
        <v>4H3M 
10 pax
Rp0</v>
      </c>
      <c r="D216" s="169" t="str">
        <f>IFERROR(__xludf.DUMMYFUNCTION("""COMPUTED_VALUE"""),"diskus dulu, FU 3 Juli")</f>
        <v>diskus dulu, FU 3 Juli</v>
      </c>
      <c r="E216" s="170"/>
      <c r="F216" s="53"/>
      <c r="G216" s="53"/>
      <c r="H216" s="53"/>
      <c r="I216" s="171"/>
      <c r="J216" s="170"/>
      <c r="K216" s="53"/>
      <c r="L216" s="53"/>
      <c r="M216" s="53"/>
      <c r="N216" s="171"/>
      <c r="O216" s="170"/>
      <c r="P216" s="53"/>
      <c r="Q216" s="53"/>
      <c r="R216" s="53"/>
      <c r="S216" s="171"/>
      <c r="T216" s="170"/>
      <c r="U216" s="53"/>
      <c r="V216" s="53"/>
      <c r="W216" s="53"/>
      <c r="X216" s="171"/>
      <c r="Y216" s="170"/>
      <c r="Z216" s="170"/>
      <c r="AA216" s="170"/>
      <c r="AB216" s="170"/>
      <c r="AC216" s="170"/>
      <c r="AD216" s="53"/>
      <c r="AE216" s="53"/>
    </row>
    <row r="217">
      <c r="A217" s="53"/>
      <c r="B217" s="53" t="str">
        <f>IFERROR(__xludf.DUMMYFUNCTION("""COMPUTED_VALUE"""),"2606D173
Ummu Hanna
0895616277000
Instagram")</f>
        <v>2606D173
Ummu Hanna
0895616277000
Instagram</v>
      </c>
      <c r="C217" s="168" t="str">
        <f>IFERROR(__xludf.DUMMYFUNCTION("""COMPUTED_VALUE"""),"family trip
3 pax
Rp0")</f>
        <v>family trip
3 pax
Rp0</v>
      </c>
      <c r="D217" s="169" t="str">
        <f>IFERROR(__xludf.DUMMYFUNCTION("""COMPUTED_VALUE"""),"belum ada balasan, FU 28 Juni")</f>
        <v>belum ada balasan, FU 28 Juni</v>
      </c>
      <c r="E217" s="170"/>
      <c r="F217" s="53"/>
      <c r="G217" s="53"/>
      <c r="H217" s="53"/>
      <c r="I217" s="171"/>
      <c r="J217" s="170"/>
      <c r="K217" s="53"/>
      <c r="L217" s="53"/>
      <c r="M217" s="53"/>
      <c r="N217" s="171"/>
      <c r="O217" s="170"/>
      <c r="P217" s="53"/>
      <c r="Q217" s="53"/>
      <c r="R217" s="53"/>
      <c r="S217" s="171"/>
      <c r="T217" s="170"/>
      <c r="U217" s="53"/>
      <c r="V217" s="53"/>
      <c r="W217" s="53"/>
      <c r="X217" s="171"/>
      <c r="Y217" s="170"/>
      <c r="Z217" s="170"/>
      <c r="AA217" s="170"/>
      <c r="AB217" s="170"/>
      <c r="AC217" s="170"/>
      <c r="AD217" s="53"/>
      <c r="AE217" s="53"/>
    </row>
    <row r="218">
      <c r="A218" s="53"/>
      <c r="B218" s="53" t="str">
        <f>IFERROR(__xludf.DUMMYFUNCTION("""COMPUTED_VALUE"""),"2606D175
No Name GI
0881036161438
Instagram")</f>
        <v>2606D175
No Name GI
0881036161438
Instagram</v>
      </c>
      <c r="C218" s="168" t="str">
        <f>IFERROR(__xludf.DUMMYFUNCTION("""COMPUTED_VALUE"""),"2H1M Custome
4 pax
Rp0")</f>
        <v>2H1M Custome
4 pax
Rp0</v>
      </c>
      <c r="D218" s="169" t="str">
        <f>IFERROR(__xludf.DUMMYFUNCTION("""COMPUTED_VALUE"""),"belum ada balasan, FU 29 Juni")</f>
        <v>belum ada balasan, FU 29 Juni</v>
      </c>
      <c r="E218" s="170"/>
      <c r="F218" s="53"/>
      <c r="G218" s="53"/>
      <c r="H218" s="53"/>
      <c r="I218" s="171"/>
      <c r="J218" s="170"/>
      <c r="K218" s="53"/>
      <c r="L218" s="53"/>
      <c r="M218" s="53"/>
      <c r="N218" s="171"/>
      <c r="O218" s="170"/>
      <c r="P218" s="53"/>
      <c r="Q218" s="53"/>
      <c r="R218" s="53"/>
      <c r="S218" s="171"/>
      <c r="T218" s="170"/>
      <c r="U218" s="53"/>
      <c r="V218" s="53"/>
      <c r="W218" s="53"/>
      <c r="X218" s="171"/>
      <c r="Y218" s="170"/>
      <c r="Z218" s="170"/>
      <c r="AA218" s="170"/>
      <c r="AB218" s="170"/>
      <c r="AC218" s="170"/>
      <c r="AD218" s="53"/>
      <c r="AE218" s="53"/>
    </row>
    <row r="219">
      <c r="A219" s="53"/>
      <c r="B219" s="53" t="str">
        <f>IFERROR(__xludf.DUMMYFUNCTION("""COMPUTED_VALUE"""),"2606D178
Ichda Fitryah 
082213449486
Instagram")</f>
        <v>2606D178
Ichda Fitryah 
082213449486
Instagram</v>
      </c>
      <c r="C219" s="168" t="str">
        <f>IFERROR(__xludf.DUMMYFUNCTION("""COMPUTED_VALUE"""),"OT MT
46198
2 pax
Rp0")</f>
        <v>OT MT
46198
2 pax
Rp0</v>
      </c>
      <c r="D219" s="169" t="str">
        <f>IFERROR(__xludf.DUMMYFUNCTION("""COMPUTED_VALUE"""),"FU 24 Juni")</f>
        <v>FU 24 Juni</v>
      </c>
      <c r="E219" s="170"/>
      <c r="F219" s="53"/>
      <c r="G219" s="53"/>
      <c r="H219" s="53"/>
      <c r="I219" s="171"/>
      <c r="J219" s="170"/>
      <c r="K219" s="53"/>
      <c r="L219" s="53"/>
      <c r="M219" s="53"/>
      <c r="N219" s="171"/>
      <c r="O219" s="170"/>
      <c r="P219" s="53"/>
      <c r="Q219" s="53"/>
      <c r="R219" s="53"/>
      <c r="S219" s="171"/>
      <c r="T219" s="170"/>
      <c r="U219" s="53"/>
      <c r="V219" s="53"/>
      <c r="W219" s="53"/>
      <c r="X219" s="171"/>
      <c r="Y219" s="170"/>
      <c r="Z219" s="170"/>
      <c r="AA219" s="170"/>
      <c r="AB219" s="170"/>
      <c r="AC219" s="170"/>
      <c r="AD219" s="53"/>
      <c r="AE219" s="53"/>
    </row>
    <row r="220">
      <c r="A220" s="53"/>
      <c r="B220" s="53" t="str">
        <f>IFERROR(__xludf.DUMMYFUNCTION("""COMPUTED_VALUE"""),"2606D179
Novitha 
081215078887
Instagram")</f>
        <v>2606D179
Novitha 
081215078887
Instagram</v>
      </c>
      <c r="C220" s="168" t="str">
        <f>IFERROR(__xludf.DUMMYFUNCTION("""COMPUTED_VALUE"""),"PT Menjangan Baluran
46200
46178 pax
Rp0")</f>
        <v>PT Menjangan Baluran
46200
46178 pax
Rp0</v>
      </c>
      <c r="D220" s="169" t="str">
        <f>IFERROR(__xludf.DUMMYFUNCTION("""COMPUTED_VALUE"""),"cek ketersediaan")</f>
        <v>cek ketersediaan</v>
      </c>
      <c r="E220" s="170"/>
      <c r="F220" s="53"/>
      <c r="G220" s="53"/>
      <c r="H220" s="53"/>
      <c r="I220" s="171"/>
      <c r="J220" s="170"/>
      <c r="K220" s="53"/>
      <c r="L220" s="53"/>
      <c r="M220" s="53"/>
      <c r="N220" s="171"/>
      <c r="O220" s="170"/>
      <c r="P220" s="53"/>
      <c r="Q220" s="53"/>
      <c r="R220" s="53"/>
      <c r="S220" s="171"/>
      <c r="T220" s="170"/>
      <c r="U220" s="53"/>
      <c r="V220" s="53"/>
      <c r="W220" s="53"/>
      <c r="X220" s="171"/>
      <c r="Y220" s="170"/>
      <c r="Z220" s="170"/>
      <c r="AA220" s="170"/>
      <c r="AB220" s="170"/>
      <c r="AC220" s="170"/>
      <c r="AD220" s="53"/>
      <c r="AE220" s="53"/>
    </row>
    <row r="221">
      <c r="A221" s="53"/>
      <c r="B221" s="53" t="str">
        <f>IFERROR(__xludf.DUMMYFUNCTION("""COMPUTED_VALUE"""),"2606D181
Pavita
087766106692
Instagram")</f>
        <v>2606D181
Pavita
087766106692
Instagram</v>
      </c>
      <c r="C221" s="168" t="str">
        <f>IFERROR(__xludf.DUMMYFUNCTION("""COMPUTED_VALUE"""),"3H2M Opsi A
2 pax
Rp0")</f>
        <v>3H2M Opsi A
2 pax
Rp0</v>
      </c>
      <c r="D221" s="169" t="str">
        <f>IFERROR(__xludf.DUMMYFUNCTION("""COMPUTED_VALUE"""),"FU 25 Juni")</f>
        <v>FU 25 Juni</v>
      </c>
      <c r="E221" s="170"/>
      <c r="F221" s="53"/>
      <c r="G221" s="53"/>
      <c r="H221" s="53"/>
      <c r="I221" s="171"/>
      <c r="J221" s="170"/>
      <c r="K221" s="53"/>
      <c r="L221" s="53"/>
      <c r="M221" s="53"/>
      <c r="N221" s="171"/>
      <c r="O221" s="170"/>
      <c r="P221" s="53"/>
      <c r="Q221" s="53"/>
      <c r="R221" s="53"/>
      <c r="S221" s="171"/>
      <c r="T221" s="170"/>
      <c r="U221" s="53"/>
      <c r="V221" s="53"/>
      <c r="W221" s="53"/>
      <c r="X221" s="171"/>
      <c r="Y221" s="170"/>
      <c r="Z221" s="170"/>
      <c r="AA221" s="170"/>
      <c r="AB221" s="170"/>
      <c r="AC221" s="170"/>
      <c r="AD221" s="53"/>
      <c r="AE221" s="53"/>
    </row>
    <row r="222">
      <c r="A222" s="53"/>
      <c r="B222" s="53" t="str">
        <f>IFERROR(__xludf.DUMMYFUNCTION("""COMPUTED_VALUE"""),"2606D183
CindyNH 
085721041998
Instagram")</f>
        <v>2606D183
CindyNH 
085721041998
Instagram</v>
      </c>
      <c r="C222" s="168" t="str">
        <f>IFERROR(__xludf.DUMMYFUNCTION("""COMPUTED_VALUE"""),"OT MT
46224
2 pax
Rp0")</f>
        <v>OT MT
46224
2 pax
Rp0</v>
      </c>
      <c r="D222" s="169" t="str">
        <f>IFERROR(__xludf.DUMMYFUNCTION("""COMPUTED_VALUE"""),"FU 2 Juli")</f>
        <v>FU 2 Juli</v>
      </c>
      <c r="E222" s="170"/>
      <c r="F222" s="53"/>
      <c r="G222" s="53"/>
      <c r="H222" s="53"/>
      <c r="I222" s="171"/>
      <c r="J222" s="170"/>
      <c r="K222" s="53"/>
      <c r="L222" s="53"/>
      <c r="M222" s="53"/>
      <c r="N222" s="171"/>
      <c r="O222" s="170"/>
      <c r="P222" s="53"/>
      <c r="Q222" s="53"/>
      <c r="R222" s="53"/>
      <c r="S222" s="171"/>
      <c r="T222" s="170"/>
      <c r="U222" s="53"/>
      <c r="V222" s="53"/>
      <c r="W222" s="53"/>
      <c r="X222" s="171"/>
      <c r="Y222" s="170"/>
      <c r="Z222" s="170"/>
      <c r="AA222" s="170"/>
      <c r="AB222" s="170"/>
      <c r="AC222" s="170"/>
      <c r="AD222" s="53"/>
      <c r="AE222" s="53"/>
    </row>
    <row r="223">
      <c r="A223" s="53"/>
      <c r="B223" s="53" t="str">
        <f>IFERROR(__xludf.DUMMYFUNCTION("""COMPUTED_VALUE"""),"2606D185
Lia
085646682833
Instagram")</f>
        <v>2606D185
Lia
085646682833
Instagram</v>
      </c>
      <c r="C223" s="168" t="str">
        <f>IFERROR(__xludf.DUMMYFUNCTION("""COMPUTED_VALUE"""),"OT MT
46198
2 pax
Rp0")</f>
        <v>OT MT
46198
2 pax
Rp0</v>
      </c>
      <c r="D223" s="169" t="str">
        <f>IFERROR(__xludf.DUMMYFUNCTION("""COMPUTED_VALUE"""),"FU 24 Juni")</f>
        <v>FU 24 Juni</v>
      </c>
      <c r="E223" s="170"/>
      <c r="F223" s="53"/>
      <c r="G223" s="53"/>
      <c r="H223" s="53"/>
      <c r="I223" s="171"/>
      <c r="J223" s="170"/>
      <c r="K223" s="53"/>
      <c r="L223" s="53"/>
      <c r="M223" s="53"/>
      <c r="N223" s="171"/>
      <c r="O223" s="170"/>
      <c r="P223" s="53"/>
      <c r="Q223" s="53"/>
      <c r="R223" s="53"/>
      <c r="S223" s="171"/>
      <c r="T223" s="170"/>
      <c r="U223" s="53"/>
      <c r="V223" s="53"/>
      <c r="W223" s="53"/>
      <c r="X223" s="171"/>
      <c r="Y223" s="170"/>
      <c r="Z223" s="170"/>
      <c r="AA223" s="170"/>
      <c r="AB223" s="170"/>
      <c r="AC223" s="170"/>
      <c r="AD223" s="53"/>
      <c r="AE223" s="53"/>
    </row>
    <row r="224">
      <c r="A224" s="53"/>
      <c r="B224" s="53" t="str">
        <f>IFERROR(__xludf.DUMMYFUNCTION("""COMPUTED_VALUE"""),"2606D188
Indri Wilson
085200007722
Website")</f>
        <v>2606D188
Indri Wilson
085200007722
Website</v>
      </c>
      <c r="C224" s="168" t="str">
        <f>IFERROR(__xludf.DUMMYFUNCTION("""COMPUTED_VALUE"""),"
 pax
Rp0")</f>
        <v>
 pax
Rp0</v>
      </c>
      <c r="D224" s="169" t="str">
        <f>IFERROR(__xludf.DUMMYFUNCTION("""COMPUTED_VALUE"""),"ga ada balasan")</f>
        <v>ga ada balasan</v>
      </c>
      <c r="E224" s="170"/>
      <c r="F224" s="53"/>
      <c r="G224" s="53"/>
      <c r="H224" s="53"/>
      <c r="I224" s="171"/>
      <c r="J224" s="170"/>
      <c r="K224" s="53"/>
      <c r="L224" s="53"/>
      <c r="M224" s="53"/>
      <c r="N224" s="171"/>
      <c r="O224" s="170"/>
      <c r="P224" s="53"/>
      <c r="Q224" s="53"/>
      <c r="R224" s="53"/>
      <c r="S224" s="171"/>
      <c r="T224" s="170"/>
      <c r="U224" s="53"/>
      <c r="V224" s="53"/>
      <c r="W224" s="53"/>
      <c r="X224" s="171"/>
      <c r="Y224" s="170"/>
      <c r="Z224" s="170"/>
      <c r="AA224" s="170"/>
      <c r="AB224" s="170"/>
      <c r="AC224" s="170"/>
      <c r="AD224" s="53"/>
      <c r="AE224" s="53"/>
    </row>
    <row r="225">
      <c r="A225" s="53"/>
      <c r="B225" s="53" t="str">
        <f>IFERROR(__xludf.DUMMYFUNCTION("""COMPUTED_VALUE"""),"2606D189
Sarah
082130124287
Instagram")</f>
        <v>2606D189
Sarah
082130124287
Instagram</v>
      </c>
      <c r="C225" s="168" t="str">
        <f>IFERROR(__xludf.DUMMYFUNCTION("""COMPUTED_VALUE"""),"5H4M custome
20 pax
Rp0")</f>
        <v>5H4M custome
20 pax
Rp0</v>
      </c>
      <c r="D225" s="169" t="str">
        <f>IFERROR(__xludf.DUMMYFUNCTION("""COMPUTED_VALUE"""),"buat penawaran")</f>
        <v>buat penawaran</v>
      </c>
      <c r="E225" s="170"/>
      <c r="F225" s="53"/>
      <c r="G225" s="53"/>
      <c r="H225" s="53"/>
      <c r="I225" s="171"/>
      <c r="J225" s="170"/>
      <c r="K225" s="53"/>
      <c r="L225" s="53"/>
      <c r="M225" s="53"/>
      <c r="N225" s="171"/>
      <c r="O225" s="170"/>
      <c r="P225" s="53"/>
      <c r="Q225" s="53"/>
      <c r="R225" s="53"/>
      <c r="S225" s="171"/>
      <c r="T225" s="170"/>
      <c r="U225" s="53"/>
      <c r="V225" s="53"/>
      <c r="W225" s="53"/>
      <c r="X225" s="171"/>
      <c r="Y225" s="170"/>
      <c r="Z225" s="170"/>
      <c r="AA225" s="170"/>
      <c r="AB225" s="170"/>
      <c r="AC225" s="170"/>
      <c r="AD225" s="53"/>
      <c r="AE225" s="53"/>
    </row>
    <row r="226">
      <c r="A226" s="53"/>
      <c r="B226" s="53" t="str">
        <f>IFERROR(__xludf.DUMMYFUNCTION("""COMPUTED_VALUE"""),"2606D190
Tari Kins
0817456563
Instagram")</f>
        <v>2606D190
Tari Kins
0817456563
Instagram</v>
      </c>
      <c r="C226" s="168" t="str">
        <f>IFERROR(__xludf.DUMMYFUNCTION("""COMPUTED_VALUE"""),"4H3M
6 pax
Rp0")</f>
        <v>4H3M
6 pax
Rp0</v>
      </c>
      <c r="D226" s="169" t="str">
        <f>IFERROR(__xludf.DUMMYFUNCTION("""COMPUTED_VALUE"""),"masih diskus, FU 29 Juni")</f>
        <v>masih diskus, FU 29 Juni</v>
      </c>
      <c r="E226" s="170"/>
      <c r="F226" s="53"/>
      <c r="G226" s="53"/>
      <c r="H226" s="53"/>
      <c r="I226" s="171"/>
      <c r="J226" s="170"/>
      <c r="K226" s="53"/>
      <c r="L226" s="53"/>
      <c r="M226" s="53"/>
      <c r="N226" s="171"/>
      <c r="O226" s="170"/>
      <c r="P226" s="53"/>
      <c r="Q226" s="53"/>
      <c r="R226" s="53"/>
      <c r="S226" s="171"/>
      <c r="T226" s="170"/>
      <c r="U226" s="53"/>
      <c r="V226" s="53"/>
      <c r="W226" s="53"/>
      <c r="X226" s="171"/>
      <c r="Y226" s="170"/>
      <c r="Z226" s="170"/>
      <c r="AA226" s="170"/>
      <c r="AB226" s="170"/>
      <c r="AC226" s="170"/>
      <c r="AD226" s="53"/>
      <c r="AE226" s="53"/>
    </row>
    <row r="227">
      <c r="A227" s="53"/>
      <c r="B227" s="53" t="str">
        <f>IFERROR(__xludf.DUMMYFUNCTION("""COMPUTED_VALUE"""),"2606D196
wong ashor
089512106978
Instagram")</f>
        <v>2606D196
wong ashor
089512106978
Instagram</v>
      </c>
      <c r="C227" s="168" t="str">
        <f>IFERROR(__xludf.DUMMYFUNCTION("""COMPUTED_VALUE"""),"OT MT
3 pax
Rp0")</f>
        <v>OT MT
3 pax
Rp0</v>
      </c>
      <c r="D227" s="169" t="str">
        <f>IFERROR(__xludf.DUMMYFUNCTION("""COMPUTED_VALUE"""),"FU 3 Juli")</f>
        <v>FU 3 Juli</v>
      </c>
      <c r="E227" s="170"/>
      <c r="F227" s="53"/>
      <c r="G227" s="53"/>
      <c r="H227" s="53"/>
      <c r="I227" s="171"/>
      <c r="J227" s="170"/>
      <c r="K227" s="53"/>
      <c r="L227" s="53"/>
      <c r="M227" s="53"/>
      <c r="N227" s="171"/>
      <c r="O227" s="170"/>
      <c r="P227" s="53"/>
      <c r="Q227" s="53"/>
      <c r="R227" s="53"/>
      <c r="S227" s="171"/>
      <c r="T227" s="170"/>
      <c r="U227" s="53"/>
      <c r="V227" s="53"/>
      <c r="W227" s="53"/>
      <c r="X227" s="171"/>
      <c r="Y227" s="170"/>
      <c r="Z227" s="170"/>
      <c r="AA227" s="170"/>
      <c r="AB227" s="170"/>
      <c r="AC227" s="170"/>
      <c r="AD227" s="53"/>
      <c r="AE227" s="53"/>
    </row>
    <row r="228">
      <c r="A228" s="53"/>
      <c r="B228" s="53" t="str">
        <f>IFERROR(__xludf.DUMMYFUNCTION("""COMPUTED_VALUE"""),"2606D197
angel
082157998900
Instagram")</f>
        <v>2606D197
angel
082157998900
Instagram</v>
      </c>
      <c r="C228" s="168" t="str">
        <f>IFERROR(__xludf.DUMMYFUNCTION("""COMPUTED_VALUE"""),"
 pax
Rp0")</f>
        <v>
 pax
Rp0</v>
      </c>
      <c r="D228" s="169" t="str">
        <f>IFERROR(__xludf.DUMMYFUNCTION("""COMPUTED_VALUE"""),"masih nyapa, FU 26 Juni")</f>
        <v>masih nyapa, FU 26 Juni</v>
      </c>
      <c r="E228" s="170"/>
      <c r="F228" s="53"/>
      <c r="G228" s="53"/>
      <c r="H228" s="53"/>
      <c r="I228" s="171"/>
      <c r="J228" s="170"/>
      <c r="K228" s="53"/>
      <c r="L228" s="53"/>
      <c r="M228" s="53"/>
      <c r="N228" s="171"/>
      <c r="O228" s="170"/>
      <c r="P228" s="53"/>
      <c r="Q228" s="53"/>
      <c r="R228" s="53"/>
      <c r="S228" s="171"/>
      <c r="T228" s="170"/>
      <c r="U228" s="53"/>
      <c r="V228" s="53"/>
      <c r="W228" s="53"/>
      <c r="X228" s="171"/>
      <c r="Y228" s="170"/>
      <c r="Z228" s="170"/>
      <c r="AA228" s="170"/>
      <c r="AB228" s="170"/>
      <c r="AC228" s="170"/>
      <c r="AD228" s="53"/>
      <c r="AE228" s="53"/>
    </row>
    <row r="229">
      <c r="A229" s="53"/>
      <c r="B229" s="53" t="str">
        <f>IFERROR(__xludf.DUMMYFUNCTION("""COMPUTED_VALUE"""),"2606D201
No Name garis
082266369983
Website")</f>
        <v>2606D201
No Name garis
082266369983
Website</v>
      </c>
      <c r="C229" s="168" t="str">
        <f>IFERROR(__xludf.DUMMYFUNCTION("""COMPUTED_VALUE"""),"
 pax
Rp0")</f>
        <v>
 pax
Rp0</v>
      </c>
      <c r="D229" s="169" t="str">
        <f>IFERROR(__xludf.DUMMYFUNCTION("""COMPUTED_VALUE"""),"masih nyapa, FU 27 Juni")</f>
        <v>masih nyapa, FU 27 Juni</v>
      </c>
      <c r="E229" s="170"/>
      <c r="F229" s="53"/>
      <c r="G229" s="53"/>
      <c r="H229" s="53"/>
      <c r="I229" s="171"/>
      <c r="J229" s="170"/>
      <c r="K229" s="53"/>
      <c r="L229" s="53"/>
      <c r="M229" s="53"/>
      <c r="N229" s="171"/>
      <c r="O229" s="170"/>
      <c r="P229" s="53"/>
      <c r="Q229" s="53"/>
      <c r="R229" s="53"/>
      <c r="S229" s="171"/>
      <c r="T229" s="170"/>
      <c r="U229" s="53"/>
      <c r="V229" s="53"/>
      <c r="W229" s="53"/>
      <c r="X229" s="171"/>
      <c r="Y229" s="170"/>
      <c r="Z229" s="170"/>
      <c r="AA229" s="170"/>
      <c r="AB229" s="170"/>
      <c r="AC229" s="170"/>
      <c r="AD229" s="53"/>
      <c r="AE229" s="53"/>
    </row>
    <row r="230">
      <c r="A230" s="53"/>
      <c r="B230" s="53" t="str">
        <f>IFERROR(__xludf.DUMMYFUNCTION("""COMPUTED_VALUE"""),"2606D202 
ibnhamzah
087836044965
Website")</f>
        <v>2606D202 
ibnhamzah
087836044965
Website</v>
      </c>
      <c r="C230" s="168" t="str">
        <f>IFERROR(__xludf.DUMMYFUNCTION("""COMPUTED_VALUE"""),"
 pax
Rp0")</f>
        <v>
 pax
Rp0</v>
      </c>
      <c r="D230" s="169" t="str">
        <f>IFERROR(__xludf.DUMMYFUNCTION("""COMPUTED_VALUE"""),"masih nyapa, FU 27 Juni")</f>
        <v>masih nyapa, FU 27 Juni</v>
      </c>
      <c r="E230" s="170"/>
      <c r="F230" s="53"/>
      <c r="G230" s="53"/>
      <c r="H230" s="53"/>
      <c r="I230" s="171"/>
      <c r="J230" s="170"/>
      <c r="K230" s="53"/>
      <c r="L230" s="53"/>
      <c r="M230" s="53"/>
      <c r="N230" s="171"/>
      <c r="O230" s="170"/>
      <c r="P230" s="53"/>
      <c r="Q230" s="53"/>
      <c r="R230" s="53"/>
      <c r="S230" s="171"/>
      <c r="T230" s="170"/>
      <c r="U230" s="53"/>
      <c r="V230" s="53"/>
      <c r="W230" s="53"/>
      <c r="X230" s="171"/>
      <c r="Y230" s="170"/>
      <c r="Z230" s="170"/>
      <c r="AA230" s="170"/>
      <c r="AB230" s="170"/>
      <c r="AC230" s="170"/>
      <c r="AD230" s="53"/>
      <c r="AE230" s="53"/>
    </row>
    <row r="231">
      <c r="A231" s="53"/>
      <c r="B231" s="53" t="str">
        <f>IFERROR(__xludf.DUMMYFUNCTION("""COMPUTED_VALUE"""),"2606D206
Megasari
085113333041
Instagram")</f>
        <v>2606D206
Megasari
085113333041
Instagram</v>
      </c>
      <c r="C231" s="168" t="str">
        <f>IFERROR(__xludf.DUMMYFUNCTION("""COMPUTED_VALUE"""),"OT Ijen
5 pax
Rp0")</f>
        <v>OT Ijen
5 pax
Rp0</v>
      </c>
      <c r="D231" s="169" t="str">
        <f>IFERROR(__xludf.DUMMYFUNCTION("""COMPUTED_VALUE"""),"FU 28 Juni")</f>
        <v>FU 28 Juni</v>
      </c>
      <c r="E231" s="170"/>
      <c r="F231" s="53"/>
      <c r="G231" s="53"/>
      <c r="H231" s="53"/>
      <c r="I231" s="171"/>
      <c r="J231" s="170"/>
      <c r="K231" s="53"/>
      <c r="L231" s="53"/>
      <c r="M231" s="53"/>
      <c r="N231" s="171"/>
      <c r="O231" s="170"/>
      <c r="P231" s="53"/>
      <c r="Q231" s="53"/>
      <c r="R231" s="53"/>
      <c r="S231" s="171"/>
      <c r="T231" s="170"/>
      <c r="U231" s="53"/>
      <c r="V231" s="53"/>
      <c r="W231" s="53"/>
      <c r="X231" s="171"/>
      <c r="Y231" s="170"/>
      <c r="Z231" s="170"/>
      <c r="AA231" s="170"/>
      <c r="AB231" s="170"/>
      <c r="AC231" s="170"/>
      <c r="AD231" s="53"/>
      <c r="AE231" s="53"/>
    </row>
    <row r="232">
      <c r="A232" s="53"/>
      <c r="B232" s="53" t="str">
        <f>IFERROR(__xludf.DUMMYFUNCTION("""COMPUTED_VALUE"""),"2606D207
Yogi
087774140717
Instagram")</f>
        <v>2606D207
Yogi
087774140717
Instagram</v>
      </c>
      <c r="C232" s="168" t="str">
        <f>IFERROR(__xludf.DUMMYFUNCTION("""COMPUTED_VALUE"""),"2h1m custome
2 pax
Rp0")</f>
        <v>2h1m custome
2 pax
Rp0</v>
      </c>
      <c r="D232" s="169" t="str">
        <f>IFERROR(__xludf.DUMMYFUNCTION("""COMPUTED_VALUE"""),"FU 5 Juli")</f>
        <v>FU 5 Juli</v>
      </c>
      <c r="E232" s="170"/>
      <c r="F232" s="53"/>
      <c r="G232" s="53"/>
      <c r="H232" s="53"/>
      <c r="I232" s="171"/>
      <c r="J232" s="170"/>
      <c r="K232" s="53"/>
      <c r="L232" s="53"/>
      <c r="M232" s="53"/>
      <c r="N232" s="171"/>
      <c r="O232" s="170"/>
      <c r="P232" s="53"/>
      <c r="Q232" s="53"/>
      <c r="R232" s="53"/>
      <c r="S232" s="171"/>
      <c r="T232" s="170"/>
      <c r="U232" s="53"/>
      <c r="V232" s="53"/>
      <c r="W232" s="53"/>
      <c r="X232" s="171"/>
      <c r="Y232" s="170"/>
      <c r="Z232" s="170"/>
      <c r="AA232" s="170"/>
      <c r="AB232" s="170"/>
      <c r="AC232" s="170"/>
      <c r="AD232" s="53"/>
      <c r="AE232" s="53"/>
    </row>
    <row r="233">
      <c r="A233" s="53"/>
      <c r="B233" s="53" t="str">
        <f>IFERROR(__xludf.DUMMYFUNCTION("""COMPUTED_VALUE"""),"2606D208
Yulius
08161103785
Website")</f>
        <v>2606D208
Yulius
08161103785
Website</v>
      </c>
      <c r="C233" s="168" t="str">
        <f>IFERROR(__xludf.DUMMYFUNCTION("""COMPUTED_VALUE"""),"
 pax
Rp0")</f>
        <v>
 pax
Rp0</v>
      </c>
      <c r="D233" s="169" t="str">
        <f>IFERROR(__xludf.DUMMYFUNCTION("""COMPUTED_VALUE"""),"masih nyapa, FU 27 Juni")</f>
        <v>masih nyapa, FU 27 Juni</v>
      </c>
      <c r="E233" s="170"/>
      <c r="F233" s="53"/>
      <c r="G233" s="53"/>
      <c r="H233" s="53"/>
      <c r="I233" s="171"/>
      <c r="J233" s="170"/>
      <c r="K233" s="53"/>
      <c r="L233" s="53"/>
      <c r="M233" s="53"/>
      <c r="N233" s="171"/>
      <c r="O233" s="170"/>
      <c r="P233" s="53"/>
      <c r="Q233" s="53"/>
      <c r="R233" s="53"/>
      <c r="S233" s="171"/>
      <c r="T233" s="170"/>
      <c r="U233" s="53"/>
      <c r="V233" s="53"/>
      <c r="W233" s="53"/>
      <c r="X233" s="171"/>
      <c r="Y233" s="170"/>
      <c r="Z233" s="170"/>
      <c r="AA233" s="170"/>
      <c r="AB233" s="170"/>
      <c r="AC233" s="170"/>
      <c r="AD233" s="53"/>
      <c r="AE233" s="53"/>
    </row>
    <row r="234">
      <c r="A234" s="53"/>
      <c r="B234" s="53" t="str">
        <f>IFERROR(__xludf.DUMMYFUNCTION("""COMPUTED_VALUE"""),"2606D209
Nindya
085694522135
Instagram")</f>
        <v>2606D209
Nindya
085694522135
Instagram</v>
      </c>
      <c r="C234" s="168" t="str">
        <f>IFERROR(__xludf.DUMMYFUNCTION("""COMPUTED_VALUE"""),"OT 3H2M
46212
2 pax
Rp0")</f>
        <v>OT 3H2M
46212
2 pax
Rp0</v>
      </c>
      <c r="D234" s="169" t="str">
        <f>IFERROR(__xludf.DUMMYFUNCTION("""COMPUTED_VALUE"""),"FU 30 Juni")</f>
        <v>FU 30 Juni</v>
      </c>
      <c r="E234" s="170"/>
      <c r="F234" s="53"/>
      <c r="G234" s="53"/>
      <c r="H234" s="53"/>
      <c r="I234" s="171"/>
      <c r="J234" s="170"/>
      <c r="K234" s="53"/>
      <c r="L234" s="53"/>
      <c r="M234" s="53"/>
      <c r="N234" s="171"/>
      <c r="O234" s="170"/>
      <c r="P234" s="53"/>
      <c r="Q234" s="53"/>
      <c r="R234" s="53"/>
      <c r="S234" s="171"/>
      <c r="T234" s="170"/>
      <c r="U234" s="53"/>
      <c r="V234" s="53"/>
      <c r="W234" s="53"/>
      <c r="X234" s="171"/>
      <c r="Y234" s="170"/>
      <c r="Z234" s="170"/>
      <c r="AA234" s="170"/>
      <c r="AB234" s="170"/>
      <c r="AC234" s="170"/>
      <c r="AD234" s="53"/>
      <c r="AE234" s="53"/>
    </row>
    <row r="235">
      <c r="A235" s="53"/>
      <c r="B235" s="53" t="str">
        <f>IFERROR(__xludf.DUMMYFUNCTION("""COMPUTED_VALUE"""),"2606D210
Rifia
082137510282
Website")</f>
        <v>2606D210
Rifia
082137510282
Website</v>
      </c>
      <c r="C235" s="168" t="str">
        <f>IFERROR(__xludf.DUMMYFUNCTION("""COMPUTED_VALUE"""),"private Ijen
5 pax
Rp0")</f>
        <v>private Ijen
5 pax
Rp0</v>
      </c>
      <c r="D235" s="169" t="str">
        <f>IFERROR(__xludf.DUMMYFUNCTION("""COMPUTED_VALUE"""),"penjemputan dari Muncar, FU 29 Juni")</f>
        <v>penjemputan dari Muncar, FU 29 Juni</v>
      </c>
      <c r="E235" s="170"/>
      <c r="F235" s="53"/>
      <c r="G235" s="53"/>
      <c r="H235" s="53"/>
      <c r="I235" s="171"/>
      <c r="J235" s="170"/>
      <c r="K235" s="53"/>
      <c r="L235" s="53"/>
      <c r="M235" s="53"/>
      <c r="N235" s="171"/>
      <c r="O235" s="170"/>
      <c r="P235" s="53"/>
      <c r="Q235" s="53"/>
      <c r="R235" s="53"/>
      <c r="S235" s="171"/>
      <c r="T235" s="170"/>
      <c r="U235" s="53"/>
      <c r="V235" s="53"/>
      <c r="W235" s="53"/>
      <c r="X235" s="171"/>
      <c r="Y235" s="170"/>
      <c r="Z235" s="170"/>
      <c r="AA235" s="170"/>
      <c r="AB235" s="170"/>
      <c r="AC235" s="170"/>
      <c r="AD235" s="53"/>
      <c r="AE235" s="53"/>
    </row>
    <row r="236">
      <c r="A236" s="53"/>
      <c r="B236" s="53" t="str">
        <f>IFERROR(__xludf.DUMMYFUNCTION("""COMPUTED_VALUE"""),"2606D211
Rej-pul
082277733031
Instagram")</f>
        <v>2606D211
Rej-pul
082277733031
Instagram</v>
      </c>
      <c r="C236" s="168" t="str">
        <f>IFERROR(__xludf.DUMMYFUNCTION("""COMPUTED_VALUE"""),"OT MT
46202
1 pax
Rp0")</f>
        <v>OT MT
46202
1 pax
Rp0</v>
      </c>
      <c r="D236" s="169" t="str">
        <f>IFERROR(__xludf.DUMMYFUNCTION("""COMPUTED_VALUE"""),"cek ketersediaan, FU 27 Juni")</f>
        <v>cek ketersediaan, FU 27 Juni</v>
      </c>
      <c r="E236" s="170"/>
      <c r="F236" s="53"/>
      <c r="G236" s="53"/>
      <c r="H236" s="53"/>
      <c r="I236" s="171"/>
      <c r="J236" s="170"/>
      <c r="K236" s="53"/>
      <c r="L236" s="53"/>
      <c r="M236" s="53"/>
      <c r="N236" s="171"/>
      <c r="O236" s="170"/>
      <c r="P236" s="53"/>
      <c r="Q236" s="53"/>
      <c r="R236" s="53"/>
      <c r="S236" s="171"/>
      <c r="T236" s="170"/>
      <c r="U236" s="53"/>
      <c r="V236" s="53"/>
      <c r="W236" s="53"/>
      <c r="X236" s="171"/>
      <c r="Y236" s="170"/>
      <c r="Z236" s="170"/>
      <c r="AA236" s="170"/>
      <c r="AB236" s="170"/>
      <c r="AC236" s="170"/>
      <c r="AD236" s="53"/>
      <c r="AE236" s="53"/>
    </row>
    <row r="237">
      <c r="A237" s="53"/>
      <c r="B237" s="53" t="str">
        <f>IFERROR(__xludf.DUMMYFUNCTION("""COMPUTED_VALUE"""),"2606D212
Ben
087888799134
Instagram")</f>
        <v>2606D212
Ben
087888799134
Instagram</v>
      </c>
      <c r="C237" s="168" t="str">
        <f>IFERROR(__xludf.DUMMYFUNCTION("""COMPUTED_VALUE"""),"OT MT
1 pax
Rp0")</f>
        <v>OT MT
1 pax
Rp0</v>
      </c>
      <c r="D237" s="169" t="str">
        <f>IFERROR(__xludf.DUMMYFUNCTION("""COMPUTED_VALUE"""),"FU 30 Juni")</f>
        <v>FU 30 Juni</v>
      </c>
      <c r="E237" s="170"/>
      <c r="F237" s="53"/>
      <c r="G237" s="53"/>
      <c r="H237" s="53"/>
      <c r="I237" s="171"/>
      <c r="J237" s="170"/>
      <c r="K237" s="53"/>
      <c r="L237" s="53"/>
      <c r="M237" s="53"/>
      <c r="N237" s="171"/>
      <c r="O237" s="170"/>
      <c r="P237" s="53"/>
      <c r="Q237" s="53"/>
      <c r="R237" s="53"/>
      <c r="S237" s="171"/>
      <c r="T237" s="170"/>
      <c r="U237" s="53"/>
      <c r="V237" s="53"/>
      <c r="W237" s="53"/>
      <c r="X237" s="171"/>
      <c r="Y237" s="170"/>
      <c r="Z237" s="170"/>
      <c r="AA237" s="170"/>
      <c r="AB237" s="170"/>
      <c r="AC237" s="170"/>
      <c r="AD237" s="53"/>
      <c r="AE237" s="53"/>
    </row>
    <row r="238">
      <c r="A238" s="53"/>
      <c r="B238" s="53" t="str">
        <f>IFERROR(__xludf.DUMMYFUNCTION("""COMPUTED_VALUE"""),"2606D214
Diyan Agustin
087758189419
Instagram")</f>
        <v>2606D214
Diyan Agustin
087758189419
Instagram</v>
      </c>
      <c r="C238" s="168" t="str">
        <f>IFERROR(__xludf.DUMMYFUNCTION("""COMPUTED_VALUE"""),"3H2M opsi A
3 pax
Rp0")</f>
        <v>3H2M opsi A
3 pax
Rp0</v>
      </c>
      <c r="D238" s="169" t="str">
        <f>IFERROR(__xludf.DUMMYFUNCTION("""COMPUTED_VALUE"""),"mau ambil day 1 dan day 2 aja, FU 29 Juni")</f>
        <v>mau ambil day 1 dan day 2 aja, FU 29 Juni</v>
      </c>
      <c r="E238" s="170"/>
      <c r="F238" s="53"/>
      <c r="G238" s="53"/>
      <c r="H238" s="53"/>
      <c r="I238" s="171"/>
      <c r="J238" s="170"/>
      <c r="K238" s="53"/>
      <c r="L238" s="53"/>
      <c r="M238" s="53"/>
      <c r="N238" s="171"/>
      <c r="O238" s="170"/>
      <c r="P238" s="53"/>
      <c r="Q238" s="53"/>
      <c r="R238" s="53"/>
      <c r="S238" s="171"/>
      <c r="T238" s="170"/>
      <c r="U238" s="53"/>
      <c r="V238" s="53"/>
      <c r="W238" s="53"/>
      <c r="X238" s="171"/>
      <c r="Y238" s="170"/>
      <c r="Z238" s="170"/>
      <c r="AA238" s="170"/>
      <c r="AB238" s="170"/>
      <c r="AC238" s="170"/>
      <c r="AD238" s="53"/>
      <c r="AE238" s="53"/>
    </row>
    <row r="239">
      <c r="A239" s="53"/>
      <c r="B239" s="53" t="str">
        <f>IFERROR(__xludf.DUMMYFUNCTION("""COMPUTED_VALUE"""),"2606D216
Afina Ayu
082218891759
Website")</f>
        <v>2606D216
Afina Ayu
082218891759
Website</v>
      </c>
      <c r="C239" s="168" t="str">
        <f>IFERROR(__xludf.DUMMYFUNCTION("""COMPUTED_VALUE"""),"3H2M custome
2 pax
Rp0")</f>
        <v>3H2M custome
2 pax
Rp0</v>
      </c>
      <c r="D239" s="169" t="str">
        <f>IFERROR(__xludf.DUMMYFUNCTION("""COMPUTED_VALUE"""),"nanti di wa")</f>
        <v>nanti di wa</v>
      </c>
      <c r="E239" s="170"/>
      <c r="F239" s="53"/>
      <c r="G239" s="53"/>
      <c r="H239" s="53"/>
      <c r="I239" s="171"/>
      <c r="J239" s="170"/>
      <c r="K239" s="53"/>
      <c r="L239" s="53"/>
      <c r="M239" s="53"/>
      <c r="N239" s="171"/>
      <c r="O239" s="170"/>
      <c r="P239" s="53"/>
      <c r="Q239" s="53"/>
      <c r="R239" s="53"/>
      <c r="S239" s="171"/>
      <c r="T239" s="170"/>
      <c r="U239" s="53"/>
      <c r="V239" s="53"/>
      <c r="W239" s="53"/>
      <c r="X239" s="171"/>
      <c r="Y239" s="170"/>
      <c r="Z239" s="170"/>
      <c r="AA239" s="170"/>
      <c r="AB239" s="170"/>
      <c r="AC239" s="170"/>
      <c r="AD239" s="53"/>
      <c r="AE239" s="53"/>
    </row>
    <row r="240">
      <c r="A240" s="53"/>
      <c r="B240" s="53" t="str">
        <f>IFERROR(__xludf.DUMMYFUNCTION("""COMPUTED_VALUE"""),"2606D219 
Heru Indrawidjajanto
08123526974
Instagram")</f>
        <v>2606D219 
Heru Indrawidjajanto
08123526974
Instagram</v>
      </c>
      <c r="C240" s="168" t="str">
        <f>IFERROR(__xludf.DUMMYFUNCTION("""COMPUTED_VALUE"""),"trip 1 day
50 pax
Rp0")</f>
        <v>trip 1 day
50 pax
Rp0</v>
      </c>
      <c r="D240" s="169" t="str">
        <f>IFERROR(__xludf.DUMMYFUNCTION("""COMPUTED_VALUE"""),"belum balas lagi")</f>
        <v>belum balas lagi</v>
      </c>
      <c r="E240" s="170"/>
      <c r="F240" s="53"/>
      <c r="G240" s="53"/>
      <c r="H240" s="53"/>
      <c r="I240" s="171"/>
      <c r="J240" s="170"/>
      <c r="K240" s="53"/>
      <c r="L240" s="53"/>
      <c r="M240" s="53"/>
      <c r="N240" s="171"/>
      <c r="O240" s="170"/>
      <c r="P240" s="53"/>
      <c r="Q240" s="53"/>
      <c r="R240" s="53"/>
      <c r="S240" s="171"/>
      <c r="T240" s="170"/>
      <c r="U240" s="53"/>
      <c r="V240" s="53"/>
      <c r="W240" s="53"/>
      <c r="X240" s="171"/>
      <c r="Y240" s="170"/>
      <c r="Z240" s="170"/>
      <c r="AA240" s="170"/>
      <c r="AB240" s="170"/>
      <c r="AC240" s="170"/>
      <c r="AD240" s="53"/>
      <c r="AE240" s="53"/>
    </row>
    <row r="241">
      <c r="A241" s="53"/>
      <c r="B241" s="53" t="str">
        <f>IFERROR(__xludf.DUMMYFUNCTION("""COMPUTED_VALUE"""),"2606D221
Diana
085178114894
Website")</f>
        <v>2606D221
Diana
085178114894
Website</v>
      </c>
      <c r="C241" s="168" t="str">
        <f>IFERROR(__xludf.DUMMYFUNCTION("""COMPUTED_VALUE"""),"2H1M
 pax
Rp0")</f>
        <v>2H1M
 pax
Rp0</v>
      </c>
      <c r="D241" s="169"/>
      <c r="E241" s="170"/>
      <c r="F241" s="53"/>
      <c r="G241" s="53"/>
      <c r="H241" s="53"/>
      <c r="I241" s="171"/>
      <c r="J241" s="170"/>
      <c r="K241" s="53"/>
      <c r="L241" s="53"/>
      <c r="M241" s="53"/>
      <c r="N241" s="171"/>
      <c r="O241" s="170"/>
      <c r="P241" s="53"/>
      <c r="Q241" s="53"/>
      <c r="R241" s="53"/>
      <c r="S241" s="171"/>
      <c r="T241" s="170"/>
      <c r="U241" s="53"/>
      <c r="V241" s="53"/>
      <c r="W241" s="53"/>
      <c r="X241" s="171"/>
      <c r="Y241" s="170"/>
      <c r="Z241" s="170"/>
      <c r="AA241" s="170"/>
      <c r="AB241" s="170"/>
      <c r="AC241" s="170"/>
      <c r="AD241" s="53"/>
      <c r="AE241" s="53"/>
    </row>
    <row r="242">
      <c r="A242" s="53"/>
      <c r="B242" s="53" t="str">
        <f>IFERROR(__xludf.DUMMYFUNCTION("""COMPUTED_VALUE"""),"2606D222
Umm  
089646880256
Instagram")</f>
        <v>2606D222
Umm  
089646880256
Instagram</v>
      </c>
      <c r="C242" s="168" t="str">
        <f>IFERROR(__xludf.DUMMYFUNCTION("""COMPUTED_VALUE"""),"
 pax
Rp0")</f>
        <v>
 pax
Rp0</v>
      </c>
      <c r="D242" s="169"/>
      <c r="E242" s="170"/>
      <c r="F242" s="53"/>
      <c r="G242" s="53"/>
      <c r="H242" s="53"/>
      <c r="I242" s="171"/>
      <c r="J242" s="170"/>
      <c r="K242" s="53"/>
      <c r="L242" s="53"/>
      <c r="M242" s="53"/>
      <c r="N242" s="171"/>
      <c r="O242" s="170"/>
      <c r="P242" s="53"/>
      <c r="Q242" s="53"/>
      <c r="R242" s="53"/>
      <c r="S242" s="171"/>
      <c r="T242" s="170"/>
      <c r="U242" s="53"/>
      <c r="V242" s="53"/>
      <c r="W242" s="53"/>
      <c r="X242" s="171"/>
      <c r="Y242" s="170"/>
      <c r="Z242" s="170"/>
      <c r="AA242" s="170"/>
      <c r="AB242" s="170"/>
      <c r="AC242" s="170"/>
      <c r="AD242" s="53"/>
      <c r="AE242" s="53"/>
    </row>
    <row r="243">
      <c r="A243" s="53"/>
      <c r="B243" s="53" t="str">
        <f>IFERROR(__xludf.DUMMYFUNCTION("""COMPUTED_VALUE"""),"2606D226
Woro Citra Imansari
08174100790
Instagram")</f>
        <v>2606D226
Woro Citra Imansari
08174100790
Instagram</v>
      </c>
      <c r="C243" s="168" t="str">
        <f>IFERROR(__xludf.DUMMYFUNCTION("""COMPUTED_VALUE"""),"OT 3H2M
46206
1 pax
Rp0")</f>
        <v>OT 3H2M
46206
1 pax
Rp0</v>
      </c>
      <c r="D243" s="169" t="str">
        <f>IFERROR(__xludf.DUMMYFUNCTION("""COMPUTED_VALUE"""),"FU 29 Juni")</f>
        <v>FU 29 Juni</v>
      </c>
      <c r="E243" s="170"/>
      <c r="F243" s="53"/>
      <c r="G243" s="53"/>
      <c r="H243" s="53"/>
      <c r="I243" s="171"/>
      <c r="J243" s="170"/>
      <c r="K243" s="53"/>
      <c r="L243" s="53"/>
      <c r="M243" s="53"/>
      <c r="N243" s="171"/>
      <c r="O243" s="170"/>
      <c r="P243" s="53"/>
      <c r="Q243" s="53"/>
      <c r="R243" s="53"/>
      <c r="S243" s="171"/>
      <c r="T243" s="170"/>
      <c r="U243" s="53"/>
      <c r="V243" s="53"/>
      <c r="W243" s="53"/>
      <c r="X243" s="171"/>
      <c r="Y243" s="170"/>
      <c r="Z243" s="170"/>
      <c r="AA243" s="170"/>
      <c r="AB243" s="170"/>
      <c r="AC243" s="170"/>
      <c r="AD243" s="53"/>
      <c r="AE243" s="53"/>
    </row>
    <row r="244">
      <c r="A244" s="53"/>
      <c r="B244" s="53" t="str">
        <f>IFERROR(__xludf.DUMMYFUNCTION("""COMPUTED_VALUE"""),"2606D227
Widya Putri
083120843959
Instagram")</f>
        <v>2606D227
Widya Putri
083120843959
Instagram</v>
      </c>
      <c r="C244" s="168" t="str">
        <f>IFERROR(__xludf.DUMMYFUNCTION("""COMPUTED_VALUE"""),"3H2M opsi A
 pax
Rp0")</f>
        <v>3H2M opsi A
 pax
Rp0</v>
      </c>
      <c r="D244" s="169" t="str">
        <f>IFERROR(__xludf.DUMMYFUNCTION("""COMPUTED_VALUE"""),"FU 29 Juni")</f>
        <v>FU 29 Juni</v>
      </c>
      <c r="E244" s="170"/>
      <c r="F244" s="53"/>
      <c r="G244" s="53"/>
      <c r="H244" s="53"/>
      <c r="I244" s="171"/>
      <c r="J244" s="170"/>
      <c r="K244" s="53"/>
      <c r="L244" s="53"/>
      <c r="M244" s="53"/>
      <c r="N244" s="171"/>
      <c r="O244" s="170"/>
      <c r="P244" s="53"/>
      <c r="Q244" s="53"/>
      <c r="R244" s="53"/>
      <c r="S244" s="171"/>
      <c r="T244" s="170"/>
      <c r="U244" s="53"/>
      <c r="V244" s="53"/>
      <c r="W244" s="53"/>
      <c r="X244" s="171"/>
      <c r="Y244" s="170"/>
      <c r="Z244" s="170"/>
      <c r="AA244" s="170"/>
      <c r="AB244" s="170"/>
      <c r="AC244" s="170"/>
      <c r="AD244" s="53"/>
      <c r="AE244" s="53"/>
    </row>
    <row r="245">
      <c r="A245" s="53"/>
      <c r="B245" s="53" t="str">
        <f>IFERROR(__xludf.DUMMYFUNCTION("""COMPUTED_VALUE"""),"2606D228
Aliefan
081329139994
Instagram")</f>
        <v>2606D228
Aliefan
081329139994
Instagram</v>
      </c>
      <c r="C245" s="168" t="str">
        <f>IFERROR(__xludf.DUMMYFUNCTION("""COMPUTED_VALUE"""),"3H2M Custome
2 pax
Rp0")</f>
        <v>3H2M Custome
2 pax
Rp0</v>
      </c>
      <c r="D245" s="169" t="str">
        <f>IFERROR(__xludf.DUMMYFUNCTION("""COMPUTED_VALUE"""),"FU 2 agustus")</f>
        <v>FU 2 agustus</v>
      </c>
      <c r="E245" s="170"/>
      <c r="F245" s="53"/>
      <c r="G245" s="53"/>
      <c r="H245" s="53"/>
      <c r="I245" s="171"/>
      <c r="J245" s="170"/>
      <c r="K245" s="53"/>
      <c r="L245" s="53"/>
      <c r="M245" s="53"/>
      <c r="N245" s="171"/>
      <c r="O245" s="170"/>
      <c r="P245" s="53"/>
      <c r="Q245" s="53"/>
      <c r="R245" s="53"/>
      <c r="S245" s="171"/>
      <c r="T245" s="170"/>
      <c r="U245" s="53"/>
      <c r="V245" s="53"/>
      <c r="W245" s="53"/>
      <c r="X245" s="171"/>
      <c r="Y245" s="170"/>
      <c r="Z245" s="170"/>
      <c r="AA245" s="170"/>
      <c r="AB245" s="170"/>
      <c r="AC245" s="170"/>
      <c r="AD245" s="53"/>
      <c r="AE245" s="53"/>
    </row>
    <row r="246">
      <c r="A246" s="53"/>
      <c r="B246" s="53" t="str">
        <f>IFERROR(__xludf.DUMMYFUNCTION("""COMPUTED_VALUE"""),"2606D229
J
081238905264
Instagram")</f>
        <v>2606D229
J
081238905264
Instagram</v>
      </c>
      <c r="C246" s="168" t="str">
        <f>IFERROR(__xludf.DUMMYFUNCTION("""COMPUTED_VALUE"""),"tabuhan only
46205
5 pax
Rp0")</f>
        <v>tabuhan only
46205
5 pax
Rp0</v>
      </c>
      <c r="D246" s="169" t="str">
        <f>IFERROR(__xludf.DUMMYFUNCTION("""COMPUTED_VALUE"""),"belum blas lagi")</f>
        <v>belum blas lagi</v>
      </c>
      <c r="E246" s="170"/>
      <c r="F246" s="53"/>
      <c r="G246" s="53"/>
      <c r="H246" s="53"/>
      <c r="I246" s="171"/>
      <c r="J246" s="170"/>
      <c r="K246" s="53"/>
      <c r="L246" s="53"/>
      <c r="M246" s="53"/>
      <c r="N246" s="171"/>
      <c r="O246" s="170"/>
      <c r="P246" s="53"/>
      <c r="Q246" s="53"/>
      <c r="R246" s="53"/>
      <c r="S246" s="171"/>
      <c r="T246" s="170"/>
      <c r="U246" s="53"/>
      <c r="V246" s="53"/>
      <c r="W246" s="53"/>
      <c r="X246" s="171"/>
      <c r="Y246" s="170"/>
      <c r="Z246" s="170"/>
      <c r="AA246" s="170"/>
      <c r="AB246" s="170"/>
      <c r="AC246" s="170"/>
      <c r="AD246" s="53"/>
      <c r="AE246" s="53"/>
    </row>
    <row r="247">
      <c r="A247" s="53"/>
      <c r="B247" s="53" t="str">
        <f>IFERROR(__xludf.DUMMYFUNCTION("""COMPUTED_VALUE"""),"2606D230
Iva
085878217585
Website")</f>
        <v>2606D230
Iva
085878217585
Website</v>
      </c>
      <c r="C247" s="168" t="str">
        <f>IFERROR(__xludf.DUMMYFUNCTION("""COMPUTED_VALUE"""),"
 pax
Rp0")</f>
        <v>
 pax
Rp0</v>
      </c>
      <c r="D247" s="169" t="str">
        <f>IFERROR(__xludf.DUMMYFUNCTION("""COMPUTED_VALUE"""),"masih nyari temen biar 2 orang")</f>
        <v>masih nyari temen biar 2 orang</v>
      </c>
      <c r="E247" s="170"/>
      <c r="F247" s="53"/>
      <c r="G247" s="53"/>
      <c r="H247" s="53"/>
      <c r="I247" s="171"/>
      <c r="J247" s="170"/>
      <c r="K247" s="53"/>
      <c r="L247" s="53"/>
      <c r="M247" s="53"/>
      <c r="N247" s="171"/>
      <c r="O247" s="170"/>
      <c r="P247" s="53"/>
      <c r="Q247" s="53"/>
      <c r="R247" s="53"/>
      <c r="S247" s="171"/>
      <c r="T247" s="170"/>
      <c r="U247" s="53"/>
      <c r="V247" s="53"/>
      <c r="W247" s="53"/>
      <c r="X247" s="171"/>
      <c r="Y247" s="170"/>
      <c r="Z247" s="170"/>
      <c r="AA247" s="170"/>
      <c r="AB247" s="170"/>
      <c r="AC247" s="170"/>
      <c r="AD247" s="53"/>
      <c r="AE247" s="53"/>
    </row>
    <row r="248">
      <c r="A248" s="53"/>
      <c r="B248" s="53" t="str">
        <f>IFERROR(__xludf.DUMMYFUNCTION("""COMPUTED_VALUE"""),"2606D231
No Name senyum
081229900076
Website")</f>
        <v>2606D231
No Name senyum
081229900076
Website</v>
      </c>
      <c r="C248" s="168" t="str">
        <f>IFERROR(__xludf.DUMMYFUNCTION("""COMPUTED_VALUE"""),"
 pax
Rp0")</f>
        <v>
 pax
Rp0</v>
      </c>
      <c r="D248" s="169"/>
      <c r="E248" s="170"/>
      <c r="F248" s="53"/>
      <c r="G248" s="53"/>
      <c r="H248" s="53"/>
      <c r="I248" s="171"/>
      <c r="J248" s="170"/>
      <c r="K248" s="53"/>
      <c r="L248" s="53"/>
      <c r="M248" s="53"/>
      <c r="N248" s="171"/>
      <c r="O248" s="170"/>
      <c r="P248" s="53"/>
      <c r="Q248" s="53"/>
      <c r="R248" s="53"/>
      <c r="S248" s="171"/>
      <c r="T248" s="170"/>
      <c r="U248" s="53"/>
      <c r="V248" s="53"/>
      <c r="W248" s="53"/>
      <c r="X248" s="171"/>
      <c r="Y248" s="170"/>
      <c r="Z248" s="170"/>
      <c r="AA248" s="170"/>
      <c r="AB248" s="170"/>
      <c r="AC248" s="170"/>
      <c r="AD248" s="53"/>
      <c r="AE248" s="53"/>
    </row>
    <row r="249">
      <c r="A249" s="53"/>
      <c r="B249" s="53" t="str">
        <f>IFERROR(__xludf.DUMMYFUNCTION("""COMPUTED_VALUE"""),"2606D232
Wiena
085780066292
Instagram")</f>
        <v>2606D232
Wiena
085780066292
Instagram</v>
      </c>
      <c r="C249" s="168" t="str">
        <f>IFERROR(__xludf.DUMMYFUNCTION("""COMPUTED_VALUE"""),"trip 3H2M
46253
5 pax
Rp0")</f>
        <v>trip 3H2M
46253
5 pax
Rp0</v>
      </c>
      <c r="D249" s="169" t="str">
        <f>IFERROR(__xludf.DUMMYFUNCTION("""COMPUTED_VALUE"""),"diskus dulu sm temen, FU 12 Juii")</f>
        <v>diskus dulu sm temen, FU 12 Juii</v>
      </c>
      <c r="E249" s="170"/>
      <c r="F249" s="53"/>
      <c r="G249" s="53"/>
      <c r="H249" s="53"/>
      <c r="I249" s="171"/>
      <c r="J249" s="170"/>
      <c r="K249" s="53"/>
      <c r="L249" s="53"/>
      <c r="M249" s="53"/>
      <c r="N249" s="171"/>
      <c r="O249" s="170"/>
      <c r="P249" s="53"/>
      <c r="Q249" s="53"/>
      <c r="R249" s="53"/>
      <c r="S249" s="171"/>
      <c r="T249" s="170"/>
      <c r="U249" s="53"/>
      <c r="V249" s="53"/>
      <c r="W249" s="53"/>
      <c r="X249" s="171"/>
      <c r="Y249" s="170"/>
      <c r="Z249" s="170"/>
      <c r="AA249" s="170"/>
      <c r="AB249" s="170"/>
      <c r="AC249" s="170"/>
      <c r="AD249" s="53"/>
      <c r="AE249" s="53"/>
    </row>
    <row r="250">
      <c r="A250" s="53"/>
      <c r="B250" s="53" t="str">
        <f>IFERROR(__xludf.DUMMYFUNCTION("""COMPUTED_VALUE"""),"2606D234
Firza Olivia Susan
081390020799
Lainnya")</f>
        <v>2606D234
Firza Olivia Susan
081390020799
Lainnya</v>
      </c>
      <c r="C250" s="168" t="str">
        <f>IFERROR(__xludf.DUMMYFUNCTION("""COMPUTED_VALUE"""),"trip kawa wurung
5 pax
Rp0")</f>
        <v>trip kawa wurung
5 pax
Rp0</v>
      </c>
      <c r="D250" s="169" t="str">
        <f>IFERROR(__xludf.DUMMYFUNCTION("""COMPUTED_VALUE"""),"FU 1 Juli")</f>
        <v>FU 1 Juli</v>
      </c>
      <c r="E250" s="170"/>
      <c r="F250" s="53"/>
      <c r="G250" s="53"/>
      <c r="H250" s="53"/>
      <c r="I250" s="171"/>
      <c r="J250" s="170"/>
      <c r="K250" s="53"/>
      <c r="L250" s="53"/>
      <c r="M250" s="53"/>
      <c r="N250" s="171"/>
      <c r="O250" s="170"/>
      <c r="P250" s="53"/>
      <c r="Q250" s="53"/>
      <c r="R250" s="53"/>
      <c r="S250" s="171"/>
      <c r="T250" s="170"/>
      <c r="U250" s="53"/>
      <c r="V250" s="53"/>
      <c r="W250" s="53"/>
      <c r="X250" s="171"/>
      <c r="Y250" s="170"/>
      <c r="Z250" s="170"/>
      <c r="AA250" s="170"/>
      <c r="AB250" s="170"/>
      <c r="AC250" s="170"/>
      <c r="AD250" s="53"/>
      <c r="AE250" s="53"/>
    </row>
    <row r="251">
      <c r="A251" s="53"/>
      <c r="B251" s="53" t="str">
        <f>IFERROR(__xludf.DUMMYFUNCTION("""COMPUTED_VALUE"""),"2606D235
Moelyati
0811913893
Instagram")</f>
        <v>2606D235
Moelyati
0811913893
Instagram</v>
      </c>
      <c r="C251" s="168" t="str">
        <f>IFERROR(__xludf.DUMMYFUNCTION("""COMPUTED_VALUE"""),"
 pax
Rp0")</f>
        <v>
 pax
Rp0</v>
      </c>
      <c r="D251" s="169" t="str">
        <f>IFERROR(__xludf.DUMMYFUNCTION("""COMPUTED_VALUE"""),"baru menyapa")</f>
        <v>baru menyapa</v>
      </c>
      <c r="E251" s="170"/>
      <c r="F251" s="53"/>
      <c r="G251" s="53"/>
      <c r="H251" s="53"/>
      <c r="I251" s="171"/>
      <c r="J251" s="170"/>
      <c r="K251" s="53"/>
      <c r="L251" s="53"/>
      <c r="M251" s="53"/>
      <c r="N251" s="171"/>
      <c r="O251" s="170"/>
      <c r="P251" s="53"/>
      <c r="Q251" s="53"/>
      <c r="R251" s="53"/>
      <c r="S251" s="171"/>
      <c r="T251" s="170"/>
      <c r="U251" s="53"/>
      <c r="V251" s="53"/>
      <c r="W251" s="53"/>
      <c r="X251" s="171"/>
      <c r="Y251" s="170"/>
      <c r="Z251" s="170"/>
      <c r="AA251" s="170"/>
      <c r="AB251" s="170"/>
      <c r="AC251" s="170"/>
      <c r="AD251" s="53"/>
      <c r="AE251" s="53"/>
    </row>
    <row r="252">
      <c r="A252" s="53"/>
      <c r="B252" s="53" t="str">
        <f>IFERROR(__xludf.DUMMYFUNCTION("""COMPUTED_VALUE"""),"2606D236
Monicha Roosa
089680733336
Instagram")</f>
        <v>2606D236
Monicha Roosa
089680733336
Instagram</v>
      </c>
      <c r="C252" s="168" t="str">
        <f>IFERROR(__xludf.DUMMYFUNCTION("""COMPUTED_VALUE"""),"private trip kawah wurung
2 pax
Rp0")</f>
        <v>private trip kawah wurung
2 pax
Rp0</v>
      </c>
      <c r="D252" s="169" t="str">
        <f>IFERROR(__xludf.DUMMYFUNCTION("""COMPUTED_VALUE"""),"belum balas lagi, FU 29 Juni")</f>
        <v>belum balas lagi, FU 29 Juni</v>
      </c>
      <c r="E252" s="170"/>
      <c r="F252" s="53"/>
      <c r="G252" s="53"/>
      <c r="H252" s="53"/>
      <c r="I252" s="171"/>
      <c r="J252" s="170"/>
      <c r="K252" s="53"/>
      <c r="L252" s="53"/>
      <c r="M252" s="53"/>
      <c r="N252" s="171"/>
      <c r="O252" s="170"/>
      <c r="P252" s="53"/>
      <c r="Q252" s="53"/>
      <c r="R252" s="53"/>
      <c r="S252" s="171"/>
      <c r="T252" s="170"/>
      <c r="U252" s="53"/>
      <c r="V252" s="53"/>
      <c r="W252" s="53"/>
      <c r="X252" s="171"/>
      <c r="Y252" s="170"/>
      <c r="Z252" s="170"/>
      <c r="AA252" s="170"/>
      <c r="AB252" s="170"/>
      <c r="AC252" s="170"/>
      <c r="AD252" s="53"/>
      <c r="AE252" s="53"/>
    </row>
    <row r="253">
      <c r="A253" s="53"/>
      <c r="B253" s="53" t="str">
        <f>IFERROR(__xludf.DUMMYFUNCTION("""COMPUTED_VALUE"""),"2606D238
Darso
08123424513
Website")</f>
        <v>2606D238
Darso
08123424513
Website</v>
      </c>
      <c r="C253" s="168" t="str">
        <f>IFERROR(__xludf.DUMMYFUNCTION("""COMPUTED_VALUE"""),"2H1M custome
46210
5 pax
Rp0")</f>
        <v>2H1M custome
46210
5 pax
Rp0</v>
      </c>
      <c r="D253" s="169" t="str">
        <f>IFERROR(__xludf.DUMMYFUNCTION("""COMPUTED_VALUE"""),"FU 2 juli")</f>
        <v>FU 2 juli</v>
      </c>
      <c r="E253" s="170"/>
      <c r="F253" s="53"/>
      <c r="G253" s="53"/>
      <c r="H253" s="53"/>
      <c r="I253" s="171"/>
      <c r="J253" s="170"/>
      <c r="K253" s="53"/>
      <c r="L253" s="53"/>
      <c r="M253" s="53"/>
      <c r="N253" s="171"/>
      <c r="O253" s="170"/>
      <c r="P253" s="53"/>
      <c r="Q253" s="53"/>
      <c r="R253" s="53"/>
      <c r="S253" s="171"/>
      <c r="T253" s="170"/>
      <c r="U253" s="53"/>
      <c r="V253" s="53"/>
      <c r="W253" s="53"/>
      <c r="X253" s="171"/>
      <c r="Y253" s="170"/>
      <c r="Z253" s="170"/>
      <c r="AA253" s="170"/>
      <c r="AB253" s="170"/>
      <c r="AC253" s="170"/>
      <c r="AD253" s="53"/>
      <c r="AE253" s="53"/>
    </row>
    <row r="254">
      <c r="A254" s="53"/>
      <c r="B254" s="53" t="str">
        <f>IFERROR(__xludf.DUMMYFUNCTION("""COMPUTED_VALUE"""),"2606D241
Agung stita
081238555044
Website")</f>
        <v>2606D241
Agung stita
081238555044
Website</v>
      </c>
      <c r="C254" s="168" t="str">
        <f>IFERROR(__xludf.DUMMYFUNCTION("""COMPUTED_VALUE"""),"OT GI
1 pax
Rp0")</f>
        <v>OT GI
1 pax
Rp0</v>
      </c>
      <c r="D254" s="169" t="str">
        <f>IFERROR(__xludf.DUMMYFUNCTION("""COMPUTED_VALUE"""),"kalau ada barenagn dikabari")</f>
        <v>kalau ada barenagn dikabari</v>
      </c>
      <c r="E254" s="170"/>
      <c r="F254" s="53"/>
      <c r="G254" s="53"/>
      <c r="H254" s="53"/>
      <c r="I254" s="171"/>
      <c r="J254" s="170"/>
      <c r="K254" s="53"/>
      <c r="L254" s="53"/>
      <c r="M254" s="53"/>
      <c r="N254" s="171"/>
      <c r="O254" s="170"/>
      <c r="P254" s="53"/>
      <c r="Q254" s="53"/>
      <c r="R254" s="53"/>
      <c r="S254" s="171"/>
      <c r="T254" s="170"/>
      <c r="U254" s="53"/>
      <c r="V254" s="53"/>
      <c r="W254" s="53"/>
      <c r="X254" s="171"/>
      <c r="Y254" s="170"/>
      <c r="Z254" s="170"/>
      <c r="AA254" s="170"/>
      <c r="AB254" s="170"/>
      <c r="AC254" s="170"/>
      <c r="AD254" s="53"/>
      <c r="AE254" s="53"/>
    </row>
    <row r="255">
      <c r="A255" s="53"/>
      <c r="B255" s="53" t="str">
        <f>IFERROR(__xludf.DUMMYFUNCTION("""COMPUTED_VALUE"""),"2606D242
Lilie
082221719898
Website")</f>
        <v>2606D242
Lilie
082221719898
Website</v>
      </c>
      <c r="C255" s="168" t="str">
        <f>IFERROR(__xludf.DUMMYFUNCTION("""COMPUTED_VALUE"""),"2H1M custome
46260
10 pax
Rp0")</f>
        <v>2H1M custome
46260
10 pax
Rp0</v>
      </c>
      <c r="D255" s="169" t="str">
        <f>IFERROR(__xludf.DUMMYFUNCTION("""COMPUTED_VALUE"""),"FU 30 Juli")</f>
        <v>FU 30 Juli</v>
      </c>
      <c r="E255" s="170"/>
      <c r="F255" s="53"/>
      <c r="G255" s="53"/>
      <c r="H255" s="53"/>
      <c r="I255" s="171"/>
      <c r="J255" s="170"/>
      <c r="K255" s="53"/>
      <c r="L255" s="53"/>
      <c r="M255" s="53"/>
      <c r="N255" s="171"/>
      <c r="O255" s="170"/>
      <c r="P255" s="53"/>
      <c r="Q255" s="53"/>
      <c r="R255" s="53"/>
      <c r="S255" s="171"/>
      <c r="T255" s="170"/>
      <c r="U255" s="53"/>
      <c r="V255" s="53"/>
      <c r="W255" s="53"/>
      <c r="X255" s="171"/>
      <c r="Y255" s="170"/>
      <c r="Z255" s="170"/>
      <c r="AA255" s="170"/>
      <c r="AB255" s="170"/>
      <c r="AC255" s="170"/>
      <c r="AD255" s="53"/>
      <c r="AE255" s="53"/>
    </row>
    <row r="256">
      <c r="A256" s="53"/>
      <c r="B256" s="53" t="str">
        <f>IFERROR(__xludf.DUMMYFUNCTION("""COMPUTED_VALUE"""),"2606D243
Christian
081283264650
Website")</f>
        <v>2606D243
Christian
081283264650
Website</v>
      </c>
      <c r="C256" s="168" t="str">
        <f>IFERROR(__xludf.DUMMYFUNCTION("""COMPUTED_VALUE"""),"4H3M
46226
2 pax
Rp0")</f>
        <v>4H3M
46226
2 pax
Rp0</v>
      </c>
      <c r="D256" s="169" t="str">
        <f>IFERROR(__xludf.DUMMYFUNCTION("""COMPUTED_VALUE"""),"FU 7 Juli")</f>
        <v>FU 7 Juli</v>
      </c>
      <c r="E256" s="170"/>
      <c r="F256" s="53"/>
      <c r="G256" s="53"/>
      <c r="H256" s="53"/>
      <c r="I256" s="171"/>
      <c r="J256" s="170"/>
      <c r="K256" s="53"/>
      <c r="L256" s="53"/>
      <c r="M256" s="53"/>
      <c r="N256" s="171"/>
      <c r="O256" s="170"/>
      <c r="P256" s="53"/>
      <c r="Q256" s="53"/>
      <c r="R256" s="53"/>
      <c r="S256" s="171"/>
      <c r="T256" s="170"/>
      <c r="U256" s="53"/>
      <c r="V256" s="53"/>
      <c r="W256" s="53"/>
      <c r="X256" s="171"/>
      <c r="Y256" s="170"/>
      <c r="Z256" s="170"/>
      <c r="AA256" s="170"/>
      <c r="AB256" s="170"/>
      <c r="AC256" s="170"/>
      <c r="AD256" s="53"/>
      <c r="AE256" s="53"/>
    </row>
    <row r="257">
      <c r="A257" s="53"/>
      <c r="B257" s="53" t="str">
        <f>IFERROR(__xludf.DUMMYFUNCTION("""COMPUTED_VALUE"""),"2606D244
No Name peri
085753634415
Instagram")</f>
        <v>2606D244
No Name peri
085753634415
Instagram</v>
      </c>
      <c r="C257" s="168" t="str">
        <f>IFERROR(__xludf.DUMMYFUNCTION("""COMPUTED_VALUE"""),"3h2m opsi A
 pax
Rp0")</f>
        <v>3h2m opsi A
 pax
Rp0</v>
      </c>
      <c r="D257" s="169" t="str">
        <f>IFERROR(__xludf.DUMMYFUNCTION("""COMPUTED_VALUE"""),"belum ada balasan, FU 7 Juli")</f>
        <v>belum ada balasan, FU 7 Juli</v>
      </c>
      <c r="E257" s="170"/>
      <c r="F257" s="53"/>
      <c r="G257" s="53"/>
      <c r="H257" s="53"/>
      <c r="I257" s="171"/>
      <c r="J257" s="170"/>
      <c r="K257" s="53"/>
      <c r="L257" s="53"/>
      <c r="M257" s="53"/>
      <c r="N257" s="171"/>
      <c r="O257" s="170"/>
      <c r="P257" s="53"/>
      <c r="Q257" s="53"/>
      <c r="R257" s="53"/>
      <c r="S257" s="171"/>
      <c r="T257" s="170"/>
      <c r="U257" s="53"/>
      <c r="V257" s="53"/>
      <c r="W257" s="53"/>
      <c r="X257" s="171"/>
      <c r="Y257" s="170"/>
      <c r="Z257" s="170"/>
      <c r="AA257" s="170"/>
      <c r="AB257" s="170"/>
      <c r="AC257" s="170"/>
      <c r="AD257" s="53"/>
      <c r="AE257" s="53"/>
    </row>
    <row r="258">
      <c r="A258" s="53"/>
      <c r="B258" s="53" t="str">
        <f>IFERROR(__xludf.DUMMYFUNCTION("""COMPUTED_VALUE"""),"2606D245
Rohanda
081220449539
Website")</f>
        <v>2606D245
Rohanda
081220449539
Website</v>
      </c>
      <c r="C258" s="168" t="str">
        <f>IFERROR(__xludf.DUMMYFUNCTION("""COMPUTED_VALUE"""),"3h2m custome
46255
2 pax
Rp0")</f>
        <v>3h2m custome
46255
2 pax
Rp0</v>
      </c>
      <c r="D258" s="169"/>
      <c r="E258" s="170"/>
      <c r="F258" s="53"/>
      <c r="G258" s="53"/>
      <c r="H258" s="53"/>
      <c r="I258" s="171"/>
      <c r="J258" s="170"/>
      <c r="K258" s="53"/>
      <c r="L258" s="53"/>
      <c r="M258" s="53"/>
      <c r="N258" s="171"/>
      <c r="O258" s="170"/>
      <c r="P258" s="53"/>
      <c r="Q258" s="53"/>
      <c r="R258" s="53"/>
      <c r="S258" s="171"/>
      <c r="T258" s="170"/>
      <c r="U258" s="53"/>
      <c r="V258" s="53"/>
      <c r="W258" s="53"/>
      <c r="X258" s="171"/>
      <c r="Y258" s="170"/>
      <c r="Z258" s="170"/>
      <c r="AA258" s="170"/>
      <c r="AB258" s="170"/>
      <c r="AC258" s="170"/>
      <c r="AD258" s="53"/>
      <c r="AE258" s="53"/>
    </row>
    <row r="259">
      <c r="A259" s="53"/>
      <c r="B259" s="53" t="str">
        <f>IFERROR(__xludf.DUMMYFUNCTION("""COMPUTED_VALUE"""),"2606D246
Cipta Makmur Jaya Tours
08113373328
Website")</f>
        <v>2606D246
Cipta Makmur Jaya Tours
08113373328
Website</v>
      </c>
      <c r="C259" s="168" t="str">
        <f>IFERROR(__xludf.DUMMYFUNCTION("""COMPUTED_VALUE"""),"2H1m custome
30 pax
Rp0")</f>
        <v>2H1m custome
30 pax
Rp0</v>
      </c>
      <c r="D259" s="169"/>
      <c r="E259" s="170"/>
      <c r="F259" s="53"/>
      <c r="G259" s="53"/>
      <c r="H259" s="53"/>
      <c r="I259" s="171"/>
      <c r="J259" s="170"/>
      <c r="K259" s="53"/>
      <c r="L259" s="53"/>
      <c r="M259" s="53"/>
      <c r="N259" s="171"/>
      <c r="O259" s="170"/>
      <c r="P259" s="53"/>
      <c r="Q259" s="53"/>
      <c r="R259" s="53"/>
      <c r="S259" s="171"/>
      <c r="T259" s="170"/>
      <c r="U259" s="53"/>
      <c r="V259" s="53"/>
      <c r="W259" s="53"/>
      <c r="X259" s="171"/>
      <c r="Y259" s="170"/>
      <c r="Z259" s="170"/>
      <c r="AA259" s="170"/>
      <c r="AB259" s="170"/>
      <c r="AC259" s="170"/>
      <c r="AD259" s="53"/>
      <c r="AE259" s="53"/>
    </row>
    <row r="260">
      <c r="A260" s="53"/>
      <c r="B260" s="53" t="str">
        <f>IFERROR(__xludf.DUMMYFUNCTION("""COMPUTED_VALUE"""),"2606D247
Yetti Kurniawati 
083840547993
Instagram")</f>
        <v>2606D247
Yetti Kurniawati 
083840547993
Instagram</v>
      </c>
      <c r="C260" s="168" t="str">
        <f>IFERROR(__xludf.DUMMYFUNCTION("""COMPUTED_VALUE"""),"OT MT
46207
4 pax
Rp0")</f>
        <v>OT MT
46207
4 pax
Rp0</v>
      </c>
      <c r="D260" s="169" t="str">
        <f>IFERROR(__xludf.DUMMYFUNCTION("""COMPUTED_VALUE"""),"fullbookedd")</f>
        <v>fullbookedd</v>
      </c>
      <c r="E260" s="170"/>
      <c r="F260" s="53"/>
      <c r="G260" s="53"/>
      <c r="H260" s="53"/>
      <c r="I260" s="171"/>
      <c r="J260" s="170"/>
      <c r="K260" s="53"/>
      <c r="L260" s="53"/>
      <c r="M260" s="53"/>
      <c r="N260" s="171"/>
      <c r="O260" s="170"/>
      <c r="P260" s="53"/>
      <c r="Q260" s="53"/>
      <c r="R260" s="53"/>
      <c r="S260" s="171"/>
      <c r="T260" s="170"/>
      <c r="U260" s="53"/>
      <c r="V260" s="53"/>
      <c r="W260" s="53"/>
      <c r="X260" s="171"/>
      <c r="Y260" s="170"/>
      <c r="Z260" s="170"/>
      <c r="AA260" s="170"/>
      <c r="AB260" s="170"/>
      <c r="AC260" s="170"/>
      <c r="AD260" s="53"/>
      <c r="AE260" s="53"/>
    </row>
    <row r="261">
      <c r="A261" s="53"/>
      <c r="B261" s="53" t="str">
        <f>IFERROR(__xludf.DUMMYFUNCTION("""COMPUTED_VALUE"""),"2606D248
Rheina
08787473633
Instagram")</f>
        <v>2606D248
Rheina
08787473633
Instagram</v>
      </c>
      <c r="C261" s="168" t="str">
        <f>IFERROR(__xludf.DUMMYFUNCTION("""COMPUTED_VALUE"""),"3h2m opsi A
 pax
Rp0")</f>
        <v>3h2m opsi A
 pax
Rp0</v>
      </c>
      <c r="D261" s="169" t="str">
        <f>IFERROR(__xludf.DUMMYFUNCTION("""COMPUTED_VALUE"""),"FU 31 Juli")</f>
        <v>FU 31 Juli</v>
      </c>
      <c r="E261" s="170"/>
      <c r="F261" s="53"/>
      <c r="G261" s="53"/>
      <c r="H261" s="53"/>
      <c r="I261" s="171"/>
      <c r="J261" s="170"/>
      <c r="K261" s="53"/>
      <c r="L261" s="53"/>
      <c r="M261" s="53"/>
      <c r="N261" s="171"/>
      <c r="O261" s="170"/>
      <c r="P261" s="53"/>
      <c r="Q261" s="53"/>
      <c r="R261" s="53"/>
      <c r="S261" s="171"/>
      <c r="T261" s="170"/>
      <c r="U261" s="53"/>
      <c r="V261" s="53"/>
      <c r="W261" s="53"/>
      <c r="X261" s="171"/>
      <c r="Y261" s="170"/>
      <c r="Z261" s="170"/>
      <c r="AA261" s="170"/>
      <c r="AB261" s="170"/>
      <c r="AC261" s="170"/>
      <c r="AD261" s="53"/>
      <c r="AE261" s="53"/>
    </row>
    <row r="262">
      <c r="A262" s="53"/>
      <c r="B262" s="53" t="str">
        <f>IFERROR(__xludf.DUMMYFUNCTION("""COMPUTED_VALUE"""),"2606D249
Asti Lestari
081394047757
Instagram")</f>
        <v>2606D249
Asti Lestari
081394047757
Instagram</v>
      </c>
      <c r="C262" s="168" t="str">
        <f>IFERROR(__xludf.DUMMYFUNCTION("""COMPUTED_VALUE"""),"OT MT
46213
5 pax
Rp0")</f>
        <v>OT MT
46213
5 pax
Rp0</v>
      </c>
      <c r="D262" s="169" t="str">
        <f>IFERROR(__xludf.DUMMYFUNCTION("""COMPUTED_VALUE"""),"FU 3 Juli ")</f>
        <v>FU 3 Juli </v>
      </c>
      <c r="E262" s="170"/>
      <c r="F262" s="53"/>
      <c r="G262" s="53"/>
      <c r="H262" s="53"/>
      <c r="I262" s="171"/>
      <c r="J262" s="170"/>
      <c r="K262" s="53"/>
      <c r="L262" s="53"/>
      <c r="M262" s="53"/>
      <c r="N262" s="171"/>
      <c r="O262" s="170"/>
      <c r="P262" s="53"/>
      <c r="Q262" s="53"/>
      <c r="R262" s="53"/>
      <c r="S262" s="171"/>
      <c r="T262" s="170"/>
      <c r="U262" s="53"/>
      <c r="V262" s="53"/>
      <c r="W262" s="53"/>
      <c r="X262" s="171"/>
      <c r="Y262" s="170"/>
      <c r="Z262" s="170"/>
      <c r="AA262" s="170"/>
      <c r="AB262" s="170"/>
      <c r="AC262" s="170"/>
      <c r="AD262" s="53"/>
      <c r="AE262" s="53"/>
    </row>
    <row r="263">
      <c r="A263" s="53"/>
      <c r="B263" s="53" t="str">
        <f>IFERROR(__xludf.DUMMYFUNCTION("""COMPUTED_VALUE"""),"2606D250
Najmuddin Kholish
085649017879
Instagram")</f>
        <v>2606D250
Najmuddin Kholish
085649017879
Instagram</v>
      </c>
      <c r="C263" s="168" t="str">
        <f>IFERROR(__xludf.DUMMYFUNCTION("""COMPUTED_VALUE"""),"private Djabal
3 pax
Rp0")</f>
        <v>private Djabal
3 pax
Rp0</v>
      </c>
      <c r="D263" s="169" t="str">
        <f>IFERROR(__xludf.DUMMYFUNCTION("""COMPUTED_VALUE"""),"FU 5 Juli")</f>
        <v>FU 5 Juli</v>
      </c>
      <c r="E263" s="170"/>
      <c r="F263" s="53"/>
      <c r="G263" s="53"/>
      <c r="H263" s="53"/>
      <c r="I263" s="171"/>
      <c r="J263" s="170"/>
      <c r="K263" s="53"/>
      <c r="L263" s="53"/>
      <c r="M263" s="53"/>
      <c r="N263" s="171"/>
      <c r="O263" s="170"/>
      <c r="P263" s="53"/>
      <c r="Q263" s="53"/>
      <c r="R263" s="53"/>
      <c r="S263" s="171"/>
      <c r="T263" s="170"/>
      <c r="U263" s="53"/>
      <c r="V263" s="53"/>
      <c r="W263" s="53"/>
      <c r="X263" s="171"/>
      <c r="Y263" s="170"/>
      <c r="Z263" s="170"/>
      <c r="AA263" s="170"/>
      <c r="AB263" s="170"/>
      <c r="AC263" s="170"/>
      <c r="AD263" s="53"/>
      <c r="AE263" s="53"/>
    </row>
    <row r="264">
      <c r="A264" s="53"/>
      <c r="B264" s="53" t="str">
        <f>IFERROR(__xludf.DUMMYFUNCTION("""COMPUTED_VALUE"""),"2606D252
Raisa
60168641592
Website")</f>
        <v>2606D252
Raisa
60168641592
Website</v>
      </c>
      <c r="C264" s="168" t="str">
        <f>IFERROR(__xludf.DUMMYFUNCTION("""COMPUTED_VALUE"""),"trip kawah ijen
2 pax
Rp0")</f>
        <v>trip kawah ijen
2 pax
Rp0</v>
      </c>
      <c r="D264" s="169" t="str">
        <f>IFERROR(__xludf.DUMMYFUNCTION("""COMPUTED_VALUE"""),"pengen blue fire")</f>
        <v>pengen blue fire</v>
      </c>
      <c r="E264" s="170"/>
      <c r="F264" s="53"/>
      <c r="G264" s="53"/>
      <c r="H264" s="53"/>
      <c r="I264" s="171"/>
      <c r="J264" s="170"/>
      <c r="K264" s="53"/>
      <c r="L264" s="53"/>
      <c r="M264" s="53"/>
      <c r="N264" s="171"/>
      <c r="O264" s="170"/>
      <c r="P264" s="53"/>
      <c r="Q264" s="53"/>
      <c r="R264" s="53"/>
      <c r="S264" s="171"/>
      <c r="T264" s="170"/>
      <c r="U264" s="53"/>
      <c r="V264" s="53"/>
      <c r="W264" s="53"/>
      <c r="X264" s="171"/>
      <c r="Y264" s="170"/>
      <c r="Z264" s="170"/>
      <c r="AA264" s="170"/>
      <c r="AB264" s="170"/>
      <c r="AC264" s="170"/>
      <c r="AD264" s="53"/>
      <c r="AE264" s="53"/>
    </row>
    <row r="265">
      <c r="A265" s="53"/>
      <c r="B265" s="53" t="str">
        <f>IFERROR(__xludf.DUMMYFUNCTION("""COMPUTED_VALUE"""),"2607D008
Amalia
0811226651
Instagram")</f>
        <v>2607D008
Amalia
0811226651
Instagram</v>
      </c>
      <c r="C265" s="168" t="str">
        <f>IFERROR(__xludf.DUMMYFUNCTION("""COMPUTED_VALUE"""),"OT 3H2M
 pax
Rp0")</f>
        <v>OT 3H2M
 pax
Rp0</v>
      </c>
      <c r="D265" s="169"/>
      <c r="E265" s="170"/>
      <c r="F265" s="53"/>
      <c r="G265" s="53"/>
      <c r="H265" s="53"/>
      <c r="I265" s="171"/>
      <c r="J265" s="170"/>
      <c r="K265" s="53"/>
      <c r="L265" s="53"/>
      <c r="M265" s="53"/>
      <c r="N265" s="171"/>
      <c r="O265" s="170"/>
      <c r="P265" s="53"/>
      <c r="Q265" s="53"/>
      <c r="R265" s="53"/>
      <c r="S265" s="171"/>
      <c r="T265" s="170"/>
      <c r="U265" s="53"/>
      <c r="V265" s="53"/>
      <c r="W265" s="53"/>
      <c r="X265" s="171"/>
      <c r="Y265" s="170"/>
      <c r="Z265" s="170"/>
      <c r="AA265" s="170"/>
      <c r="AB265" s="170"/>
      <c r="AC265" s="170"/>
      <c r="AD265" s="53"/>
      <c r="AE265" s="53"/>
    </row>
    <row r="266">
      <c r="A266" s="53"/>
      <c r="B266" s="53" t="str">
        <f>IFERROR(__xludf.DUMMYFUNCTION("""COMPUTED_VALUE"""),"2607D011
Alieta
08122382234
Instagram")</f>
        <v>2607D011
Alieta
08122382234
Instagram</v>
      </c>
      <c r="C266" s="168" t="str">
        <f>IFERROR(__xludf.DUMMYFUNCTION("""COMPUTED_VALUE"""),"3H2M custome
8 pax
Rp0")</f>
        <v>3H2M custome
8 pax
Rp0</v>
      </c>
      <c r="D266" s="169"/>
      <c r="E266" s="170"/>
      <c r="F266" s="53"/>
      <c r="G266" s="53"/>
      <c r="H266" s="53"/>
      <c r="I266" s="171"/>
      <c r="J266" s="170"/>
      <c r="K266" s="53"/>
      <c r="L266" s="53"/>
      <c r="M266" s="53"/>
      <c r="N266" s="171"/>
      <c r="O266" s="170"/>
      <c r="P266" s="53"/>
      <c r="Q266" s="53"/>
      <c r="R266" s="53"/>
      <c r="S266" s="171"/>
      <c r="T266" s="170"/>
      <c r="U266" s="53"/>
      <c r="V266" s="53"/>
      <c r="W266" s="53"/>
      <c r="X266" s="171"/>
      <c r="Y266" s="170"/>
      <c r="Z266" s="170"/>
      <c r="AA266" s="170"/>
      <c r="AB266" s="170"/>
      <c r="AC266" s="170"/>
      <c r="AD266" s="53"/>
      <c r="AE266" s="53"/>
    </row>
    <row r="267">
      <c r="A267" s="53"/>
      <c r="B267" s="53" t="str">
        <f>IFERROR(__xludf.DUMMYFUNCTION("""COMPUTED_VALUE"""),"2607D017
PT Jaya Impian Abadi
082312395793
Website")</f>
        <v>2607D017
PT Jaya Impian Abadi
082312395793
Website</v>
      </c>
      <c r="C267" s="168" t="str">
        <f>IFERROR(__xludf.DUMMYFUNCTION("""COMPUTED_VALUE"""),"
 pax
Rp0")</f>
        <v>
 pax
Rp0</v>
      </c>
      <c r="D267" s="169" t="str">
        <f>IFERROR(__xludf.DUMMYFUNCTION("""COMPUTED_VALUE"""),"masih nyapaa")</f>
        <v>masih nyapaa</v>
      </c>
      <c r="E267" s="170"/>
      <c r="F267" s="53"/>
      <c r="G267" s="53"/>
      <c r="H267" s="53"/>
      <c r="I267" s="171"/>
      <c r="J267" s="170"/>
      <c r="K267" s="53"/>
      <c r="L267" s="53"/>
      <c r="M267" s="53"/>
      <c r="N267" s="171"/>
      <c r="O267" s="170"/>
      <c r="P267" s="53"/>
      <c r="Q267" s="53"/>
      <c r="R267" s="53"/>
      <c r="S267" s="171"/>
      <c r="T267" s="170"/>
      <c r="U267" s="53"/>
      <c r="V267" s="53"/>
      <c r="W267" s="53"/>
      <c r="X267" s="171"/>
      <c r="Y267" s="170"/>
      <c r="Z267" s="170"/>
      <c r="AA267" s="170"/>
      <c r="AB267" s="170"/>
      <c r="AC267" s="170"/>
      <c r="AD267" s="53"/>
      <c r="AE267" s="53"/>
    </row>
    <row r="268">
      <c r="A268" s="53"/>
      <c r="B268" s="53" t="str">
        <f>IFERROR(__xludf.DUMMYFUNCTION("""COMPUTED_VALUE"""),"2607D022
Ikka
085959387150
Instagram")</f>
        <v>2607D022
Ikka
085959387150
Instagram</v>
      </c>
      <c r="C268" s="168" t="str">
        <f>IFERROR(__xludf.DUMMYFUNCTION("""COMPUTED_VALUE"""),"
 pax
Rp0")</f>
        <v>
 pax
Rp0</v>
      </c>
      <c r="D268" s="169" t="str">
        <f>IFERROR(__xludf.DUMMYFUNCTION("""COMPUTED_VALUE""")," ")</f>
        <v> </v>
      </c>
      <c r="E268" s="170"/>
      <c r="F268" s="53"/>
      <c r="G268" s="53"/>
      <c r="H268" s="53"/>
      <c r="I268" s="171"/>
      <c r="J268" s="170"/>
      <c r="K268" s="53"/>
      <c r="L268" s="53"/>
      <c r="M268" s="53"/>
      <c r="N268" s="171"/>
      <c r="O268" s="170"/>
      <c r="P268" s="53"/>
      <c r="Q268" s="53"/>
      <c r="R268" s="53"/>
      <c r="S268" s="171"/>
      <c r="T268" s="170"/>
      <c r="U268" s="53"/>
      <c r="V268" s="53"/>
      <c r="W268" s="53"/>
      <c r="X268" s="171"/>
      <c r="Y268" s="170"/>
      <c r="Z268" s="170"/>
      <c r="AA268" s="170"/>
      <c r="AB268" s="170"/>
      <c r="AC268" s="170"/>
      <c r="AD268" s="53"/>
      <c r="AE268" s="53"/>
    </row>
    <row r="269">
      <c r="A269" s="53"/>
      <c r="B269" s="53" t="str">
        <f>IFERROR(__xludf.DUMMYFUNCTION("""COMPUTED_VALUE"""),"2607D023
Putri Sinaga
081319102213
Website")</f>
        <v>2607D023
Putri Sinaga
081319102213
Website</v>
      </c>
      <c r="C269" s="168" t="str">
        <f>IFERROR(__xludf.DUMMYFUNCTION("""COMPUTED_VALUE"""),"2H1M opsi B
 pax
Rp0")</f>
        <v>2H1M opsi B
 pax
Rp0</v>
      </c>
      <c r="D269" s="169" t="str">
        <f>IFERROR(__xludf.DUMMYFUNCTION("""COMPUTED_VALUE"""),"FU 8 Juli")</f>
        <v>FU 8 Juli</v>
      </c>
      <c r="E269" s="170"/>
      <c r="F269" s="53"/>
      <c r="G269" s="53"/>
      <c r="H269" s="53"/>
      <c r="I269" s="171"/>
      <c r="J269" s="170"/>
      <c r="K269" s="53"/>
      <c r="L269" s="53"/>
      <c r="M269" s="53"/>
      <c r="N269" s="171"/>
      <c r="O269" s="170"/>
      <c r="P269" s="53"/>
      <c r="Q269" s="53"/>
      <c r="R269" s="53"/>
      <c r="S269" s="171"/>
      <c r="T269" s="170"/>
      <c r="U269" s="53"/>
      <c r="V269" s="53"/>
      <c r="W269" s="53"/>
      <c r="X269" s="171"/>
      <c r="Y269" s="170"/>
      <c r="Z269" s="170"/>
      <c r="AA269" s="170"/>
      <c r="AB269" s="170"/>
      <c r="AC269" s="170"/>
      <c r="AD269" s="53"/>
      <c r="AE269" s="53"/>
    </row>
    <row r="270">
      <c r="A270" s="53"/>
      <c r="B270" s="53" t="str">
        <f>IFERROR(__xludf.DUMMYFUNCTION("""COMPUTED_VALUE"""),"2607D026
No Name Bunga
081280268827
Website")</f>
        <v>2607D026
No Name Bunga
081280268827
Website</v>
      </c>
      <c r="C270" s="168" t="str">
        <f>IFERROR(__xludf.DUMMYFUNCTION("""COMPUTED_VALUE"""),"2H1M Opsi A
46277
4 pax
Rp0")</f>
        <v>2H1M Opsi A
46277
4 pax
Rp0</v>
      </c>
      <c r="D270" s="169" t="str">
        <f>IFERROR(__xludf.DUMMYFUNCTION("""COMPUTED_VALUE"""),"FU 30 agustus")</f>
        <v>FU 30 agustus</v>
      </c>
      <c r="E270" s="170"/>
      <c r="F270" s="53"/>
      <c r="G270" s="53"/>
      <c r="H270" s="53"/>
      <c r="I270" s="171"/>
      <c r="J270" s="170"/>
      <c r="K270" s="53"/>
      <c r="L270" s="53"/>
      <c r="M270" s="53"/>
      <c r="N270" s="171"/>
      <c r="O270" s="170"/>
      <c r="P270" s="53"/>
      <c r="Q270" s="53"/>
      <c r="R270" s="53"/>
      <c r="S270" s="171"/>
      <c r="T270" s="170"/>
      <c r="U270" s="53"/>
      <c r="V270" s="53"/>
      <c r="W270" s="53"/>
      <c r="X270" s="171"/>
      <c r="Y270" s="170"/>
      <c r="Z270" s="170"/>
      <c r="AA270" s="170"/>
      <c r="AB270" s="170"/>
      <c r="AC270" s="170"/>
      <c r="AD270" s="53"/>
      <c r="AE270" s="53"/>
    </row>
    <row r="271">
      <c r="A271" s="53"/>
      <c r="B271" s="53" t="str">
        <f>IFERROR(__xludf.DUMMYFUNCTION("""COMPUTED_VALUE"""),"2607D027
Sophia Menny Arthami
085739024153
Instagram")</f>
        <v>2607D027
Sophia Menny Arthami
085739024153
Instagram</v>
      </c>
      <c r="C271" s="168" t="str">
        <f>IFERROR(__xludf.DUMMYFUNCTION("""COMPUTED_VALUE"""),"trip Djabal
46255
3 pax
Rp0")</f>
        <v>trip Djabal
46255
3 pax
Rp0</v>
      </c>
      <c r="D271" s="169" t="str">
        <f>IFERROR(__xludf.DUMMYFUNCTION("""COMPUTED_VALUE"""),"FU 5 Agustus")</f>
        <v>FU 5 Agustus</v>
      </c>
      <c r="E271" s="170"/>
      <c r="F271" s="53"/>
      <c r="G271" s="53"/>
      <c r="H271" s="53"/>
      <c r="I271" s="171"/>
      <c r="J271" s="170"/>
      <c r="K271" s="53"/>
      <c r="L271" s="53"/>
      <c r="M271" s="53"/>
      <c r="N271" s="171"/>
      <c r="O271" s="170"/>
      <c r="P271" s="53"/>
      <c r="Q271" s="53"/>
      <c r="R271" s="53"/>
      <c r="S271" s="171"/>
      <c r="T271" s="170"/>
      <c r="U271" s="53"/>
      <c r="V271" s="53"/>
      <c r="W271" s="53"/>
      <c r="X271" s="171"/>
      <c r="Y271" s="170"/>
      <c r="Z271" s="170"/>
      <c r="AA271" s="170"/>
      <c r="AB271" s="170"/>
      <c r="AC271" s="170"/>
      <c r="AD271" s="53"/>
      <c r="AE271" s="53"/>
    </row>
    <row r="272">
      <c r="A272" s="53"/>
      <c r="B272" s="53" t="str">
        <f>IFERROR(__xludf.DUMMYFUNCTION("""COMPUTED_VALUE"""),"2607D028
Matayya 
082211307435
Website")</f>
        <v>2607D028
Matayya 
082211307435
Website</v>
      </c>
      <c r="C272" s="168" t="str">
        <f>IFERROR(__xludf.DUMMYFUNCTION("""COMPUTED_VALUE"""),"trip kawah wurung
 pax
Rp0")</f>
        <v>trip kawah wurung
 pax
Rp0</v>
      </c>
      <c r="D272" s="169" t="str">
        <f>IFERROR(__xludf.DUMMYFUNCTION("""COMPUTED_VALUE"""),"masih tanya")</f>
        <v>masih tanya</v>
      </c>
      <c r="E272" s="170"/>
      <c r="F272" s="53"/>
      <c r="G272" s="53"/>
      <c r="H272" s="53"/>
      <c r="I272" s="171"/>
      <c r="J272" s="170"/>
      <c r="K272" s="53"/>
      <c r="L272" s="53"/>
      <c r="M272" s="53"/>
      <c r="N272" s="171"/>
      <c r="O272" s="170"/>
      <c r="P272" s="53"/>
      <c r="Q272" s="53"/>
      <c r="R272" s="53"/>
      <c r="S272" s="171"/>
      <c r="T272" s="170"/>
      <c r="U272" s="53"/>
      <c r="V272" s="53"/>
      <c r="W272" s="53"/>
      <c r="X272" s="171"/>
      <c r="Y272" s="170"/>
      <c r="Z272" s="170"/>
      <c r="AA272" s="170"/>
      <c r="AB272" s="170"/>
      <c r="AC272" s="170"/>
      <c r="AD272" s="53"/>
      <c r="AE272" s="53"/>
    </row>
    <row r="273">
      <c r="A273" s="53"/>
      <c r="B273" s="53" t="str">
        <f>IFERROR(__xludf.DUMMYFUNCTION("""COMPUTED_VALUE"""),"2607D030
Anandita
08211039227
Website")</f>
        <v>2607D030
Anandita
08211039227
Website</v>
      </c>
      <c r="C273" s="168" t="str">
        <f>IFERROR(__xludf.DUMMYFUNCTION("""COMPUTED_VALUE"""),"
 pax
Rp0")</f>
        <v>
 pax
Rp0</v>
      </c>
      <c r="D273" s="169"/>
      <c r="E273" s="170"/>
      <c r="F273" s="53"/>
      <c r="G273" s="53"/>
      <c r="H273" s="53"/>
      <c r="I273" s="171"/>
      <c r="J273" s="170"/>
      <c r="K273" s="53"/>
      <c r="L273" s="53"/>
      <c r="M273" s="53"/>
      <c r="N273" s="171"/>
      <c r="O273" s="170"/>
      <c r="P273" s="53"/>
      <c r="Q273" s="53"/>
      <c r="R273" s="53"/>
      <c r="S273" s="171"/>
      <c r="T273" s="170"/>
      <c r="U273" s="53"/>
      <c r="V273" s="53"/>
      <c r="W273" s="53"/>
      <c r="X273" s="171"/>
      <c r="Y273" s="170"/>
      <c r="Z273" s="170"/>
      <c r="AA273" s="170"/>
      <c r="AB273" s="170"/>
      <c r="AC273" s="170"/>
      <c r="AD273" s="53"/>
      <c r="AE273" s="53"/>
    </row>
    <row r="274">
      <c r="A274" s="53"/>
      <c r="B274" s="53" t="str">
        <f>IFERROR(__xludf.DUMMYFUNCTION("""COMPUTED_VALUE"""),"2607D031
Fio
081233853482
Website")</f>
        <v>2607D031
Fio
081233853482
Website</v>
      </c>
      <c r="C274" s="168" t="str">
        <f>IFERROR(__xludf.DUMMYFUNCTION("""COMPUTED_VALUE"""),"OT kawah ijen, MT
 pax
Rp0")</f>
        <v>OT kawah ijen, MT
 pax
Rp0</v>
      </c>
      <c r="D274" s="169" t="str">
        <f>IFERROR(__xludf.DUMMYFUNCTION("""COMPUTED_VALUE"""),"masih tanya, B2B")</f>
        <v>masih tanya, B2B</v>
      </c>
      <c r="E274" s="170"/>
      <c r="F274" s="53"/>
      <c r="G274" s="53"/>
      <c r="H274" s="53"/>
      <c r="I274" s="171"/>
      <c r="J274" s="170"/>
      <c r="K274" s="53"/>
      <c r="L274" s="53"/>
      <c r="M274" s="53"/>
      <c r="N274" s="171"/>
      <c r="O274" s="170"/>
      <c r="P274" s="53"/>
      <c r="Q274" s="53"/>
      <c r="R274" s="53"/>
      <c r="S274" s="171"/>
      <c r="T274" s="170"/>
      <c r="U274" s="53"/>
      <c r="V274" s="53"/>
      <c r="W274" s="53"/>
      <c r="X274" s="171"/>
      <c r="Y274" s="170"/>
      <c r="Z274" s="170"/>
      <c r="AA274" s="170"/>
      <c r="AB274" s="170"/>
      <c r="AC274" s="170"/>
      <c r="AD274" s="53"/>
      <c r="AE274" s="53"/>
    </row>
    <row r="275">
      <c r="A275" s="53"/>
      <c r="B275" s="53" t="str">
        <f>IFERROR(__xludf.DUMMYFUNCTION("""COMPUTED_VALUE"""),"2607D032
Princessa Chen
081617796318
Instagram")</f>
        <v>2607D032
Princessa Chen
081617796318
Instagram</v>
      </c>
      <c r="C275" s="168" t="str">
        <f>IFERROR(__xludf.DUMMYFUNCTION("""COMPUTED_VALUE"""),"OT 3H2M 
 pax
Rp0")</f>
        <v>OT 3H2M 
 pax
Rp0</v>
      </c>
      <c r="D275" s="169" t="str">
        <f>IFERROR(__xludf.DUMMYFUNCTION("""COMPUTED_VALUE"""),"tanya turun terminal dimana, FU 8 Juli")</f>
        <v>tanya turun terminal dimana, FU 8 Juli</v>
      </c>
      <c r="E275" s="170"/>
      <c r="F275" s="53"/>
      <c r="G275" s="53"/>
      <c r="H275" s="53"/>
      <c r="I275" s="171"/>
      <c r="J275" s="170"/>
      <c r="K275" s="53"/>
      <c r="L275" s="53"/>
      <c r="M275" s="53"/>
      <c r="N275" s="171"/>
      <c r="O275" s="170"/>
      <c r="P275" s="53"/>
      <c r="Q275" s="53"/>
      <c r="R275" s="53"/>
      <c r="S275" s="171"/>
      <c r="T275" s="170"/>
      <c r="U275" s="53"/>
      <c r="V275" s="53"/>
      <c r="W275" s="53"/>
      <c r="X275" s="171"/>
      <c r="Y275" s="170"/>
      <c r="Z275" s="170"/>
      <c r="AA275" s="170"/>
      <c r="AB275" s="170"/>
      <c r="AC275" s="170"/>
      <c r="AD275" s="53"/>
      <c r="AE275" s="53"/>
    </row>
    <row r="276">
      <c r="A276" s="53"/>
      <c r="B276" s="53" t="str">
        <f>IFERROR(__xludf.DUMMYFUNCTION("""COMPUTED_VALUE"""),"2607D033
Husnan Yusuf
085747438654
Instagram")</f>
        <v>2607D033
Husnan Yusuf
085747438654
Instagram</v>
      </c>
      <c r="C276" s="168" t="str">
        <f>IFERROR(__xludf.DUMMYFUNCTION("""COMPUTED_VALUE"""),"3H2M opsi A
 pax
Rp0")</f>
        <v>3H2M opsi A
 pax
Rp0</v>
      </c>
      <c r="D276" s="169" t="str">
        <f>IFERROR(__xludf.DUMMYFUNCTION("""COMPUTED_VALUE"""),"FU 9Juli")</f>
        <v>FU 9Juli</v>
      </c>
      <c r="E276" s="170"/>
      <c r="F276" s="53"/>
      <c r="G276" s="53"/>
      <c r="H276" s="53"/>
      <c r="I276" s="171"/>
      <c r="J276" s="170"/>
      <c r="K276" s="53"/>
      <c r="L276" s="53"/>
      <c r="M276" s="53"/>
      <c r="N276" s="171"/>
      <c r="O276" s="170"/>
      <c r="P276" s="53"/>
      <c r="Q276" s="53"/>
      <c r="R276" s="53"/>
      <c r="S276" s="171"/>
      <c r="T276" s="170"/>
      <c r="U276" s="53"/>
      <c r="V276" s="53"/>
      <c r="W276" s="53"/>
      <c r="X276" s="171"/>
      <c r="Y276" s="170"/>
      <c r="Z276" s="170"/>
      <c r="AA276" s="170"/>
      <c r="AB276" s="170"/>
      <c r="AC276" s="170"/>
      <c r="AD276" s="53"/>
      <c r="AE276" s="53"/>
    </row>
    <row r="277">
      <c r="A277" s="53"/>
      <c r="B277" s="53" t="str">
        <f>IFERROR(__xludf.DUMMYFUNCTION("""COMPUTED_VALUE"""),"2607D034
Risya
081292980140
Instagram")</f>
        <v>2607D034
Risya
081292980140
Instagram</v>
      </c>
      <c r="C277" s="168" t="str">
        <f>IFERROR(__xludf.DUMMYFUNCTION("""COMPUTED_VALUE"""),"OT Djabal
 pax
Rp0")</f>
        <v>OT Djabal
 pax
Rp0</v>
      </c>
      <c r="D277" s="169" t="str">
        <f>IFERROR(__xludf.DUMMYFUNCTION("""COMPUTED_VALUE"""),"baru menyapa, FU 9 juli")</f>
        <v>baru menyapa, FU 9 juli</v>
      </c>
      <c r="E277" s="170"/>
      <c r="F277" s="53"/>
      <c r="G277" s="53"/>
      <c r="H277" s="53"/>
      <c r="I277" s="171"/>
      <c r="J277" s="170"/>
      <c r="K277" s="53"/>
      <c r="L277" s="53"/>
      <c r="M277" s="53"/>
      <c r="N277" s="171"/>
      <c r="O277" s="170"/>
      <c r="P277" s="53"/>
      <c r="Q277" s="53"/>
      <c r="R277" s="53"/>
      <c r="S277" s="171"/>
      <c r="T277" s="170"/>
      <c r="U277" s="53"/>
      <c r="V277" s="53"/>
      <c r="W277" s="53"/>
      <c r="X277" s="171"/>
      <c r="Y277" s="170"/>
      <c r="Z277" s="170"/>
      <c r="AA277" s="170"/>
      <c r="AB277" s="170"/>
      <c r="AC277" s="170"/>
      <c r="AD277" s="53"/>
      <c r="AE277" s="53"/>
    </row>
    <row r="278">
      <c r="A278" s="53"/>
      <c r="B278" s="53" t="str">
        <f>IFERROR(__xludf.DUMMYFUNCTION("""COMPUTED_VALUE"""),"2607D035
Saffa 
0895634515300
Instagram")</f>
        <v>2607D035
Saffa 
0895634515300
Instagram</v>
      </c>
      <c r="C278" s="168" t="str">
        <f>IFERROR(__xludf.DUMMYFUNCTION("""COMPUTED_VALUE"""),"3h2m opsi A
5 pax
Rp0")</f>
        <v>3h2m opsi A
5 pax
Rp0</v>
      </c>
      <c r="D278" s="169" t="str">
        <f>IFERROR(__xludf.DUMMYFUNCTION("""COMPUTED_VALUE"""),"FU 8 Juli")</f>
        <v>FU 8 Juli</v>
      </c>
      <c r="E278" s="170"/>
      <c r="F278" s="53"/>
      <c r="G278" s="53"/>
      <c r="H278" s="53"/>
      <c r="I278" s="171"/>
      <c r="J278" s="170"/>
      <c r="K278" s="53"/>
      <c r="L278" s="53"/>
      <c r="M278" s="53"/>
      <c r="N278" s="171"/>
      <c r="O278" s="170"/>
      <c r="P278" s="53"/>
      <c r="Q278" s="53"/>
      <c r="R278" s="53"/>
      <c r="S278" s="171"/>
      <c r="T278" s="170"/>
      <c r="U278" s="53"/>
      <c r="V278" s="53"/>
      <c r="W278" s="53"/>
      <c r="X278" s="171"/>
      <c r="Y278" s="170"/>
      <c r="Z278" s="170"/>
      <c r="AA278" s="170"/>
      <c r="AB278" s="170"/>
      <c r="AC278" s="170"/>
      <c r="AD278" s="53"/>
      <c r="AE278" s="53"/>
    </row>
    <row r="279">
      <c r="A279" s="53"/>
      <c r="B279" s="53" t="str">
        <f>IFERROR(__xludf.DUMMYFUNCTION("""COMPUTED_VALUE"""),"2607D036
Sindoro medika
081226873998
Website")</f>
        <v>2607D036
Sindoro medika
081226873998
Website</v>
      </c>
      <c r="C279" s="168" t="str">
        <f>IFERROR(__xludf.DUMMYFUNCTION("""COMPUTED_VALUE"""),"paket diving
 pax
Rp0")</f>
        <v>paket diving
 pax
Rp0</v>
      </c>
      <c r="D279" s="169"/>
      <c r="E279" s="170"/>
      <c r="F279" s="53"/>
      <c r="G279" s="53"/>
      <c r="H279" s="53"/>
      <c r="I279" s="171"/>
      <c r="J279" s="170"/>
      <c r="K279" s="53"/>
      <c r="L279" s="53"/>
      <c r="M279" s="53"/>
      <c r="N279" s="171"/>
      <c r="O279" s="170"/>
      <c r="P279" s="53"/>
      <c r="Q279" s="53"/>
      <c r="R279" s="53"/>
      <c r="S279" s="171"/>
      <c r="T279" s="170"/>
      <c r="U279" s="53"/>
      <c r="V279" s="53"/>
      <c r="W279" s="53"/>
      <c r="X279" s="171"/>
      <c r="Y279" s="170"/>
      <c r="Z279" s="170"/>
      <c r="AA279" s="170"/>
      <c r="AB279" s="170"/>
      <c r="AC279" s="170"/>
      <c r="AD279" s="53"/>
      <c r="AE279" s="53"/>
    </row>
    <row r="280">
      <c r="A280" s="53"/>
      <c r="B280" s="53" t="str">
        <f>IFERROR(__xludf.DUMMYFUNCTION("""COMPUTED_VALUE"""),"2607D037
Yuni Amaya Salon
085147632080
Website")</f>
        <v>2607D037
Yuni Amaya Salon
085147632080
Website</v>
      </c>
      <c r="C280" s="168" t="str">
        <f>IFERROR(__xludf.DUMMYFUNCTION("""COMPUTED_VALUE"""),"3H2M opsi A
46236
 pax
Rp0")</f>
        <v>3H2M opsi A
46236
 pax
Rp0</v>
      </c>
      <c r="D280" s="169" t="str">
        <f>IFERROR(__xludf.DUMMYFUNCTION("""COMPUTED_VALUE"""),"FU 31 Juli")</f>
        <v>FU 31 Juli</v>
      </c>
      <c r="E280" s="170"/>
      <c r="F280" s="53"/>
      <c r="G280" s="53"/>
      <c r="H280" s="53"/>
      <c r="I280" s="171"/>
      <c r="J280" s="170"/>
      <c r="K280" s="53"/>
      <c r="L280" s="53"/>
      <c r="M280" s="53"/>
      <c r="N280" s="171"/>
      <c r="O280" s="170"/>
      <c r="P280" s="53"/>
      <c r="Q280" s="53"/>
      <c r="R280" s="53"/>
      <c r="S280" s="171"/>
      <c r="T280" s="170"/>
      <c r="U280" s="53"/>
      <c r="V280" s="53"/>
      <c r="W280" s="53"/>
      <c r="X280" s="171"/>
      <c r="Y280" s="170"/>
      <c r="Z280" s="170"/>
      <c r="AA280" s="170"/>
      <c r="AB280" s="170"/>
      <c r="AC280" s="170"/>
      <c r="AD280" s="53"/>
      <c r="AE280" s="53"/>
    </row>
    <row r="281">
      <c r="A281" s="53"/>
      <c r="B281" s="53" t="str">
        <f>IFERROR(__xludf.DUMMYFUNCTION("""COMPUTED_VALUE"""),"2607D040
Mosaz
08113147100
Website")</f>
        <v>2607D040
Mosaz
08113147100
Website</v>
      </c>
      <c r="C281" s="168" t="str">
        <f>IFERROR(__xludf.DUMMYFUNCTION("""COMPUTED_VALUE"""),"2H1M
3 pax
Rp0")</f>
        <v>2H1M
3 pax
Rp0</v>
      </c>
      <c r="D281" s="169" t="str">
        <f>IFERROR(__xludf.DUMMYFUNCTION("""COMPUTED_VALUE"""),"FU 30 Juli")</f>
        <v>FU 30 Juli</v>
      </c>
      <c r="E281" s="170"/>
      <c r="F281" s="53"/>
      <c r="G281" s="53"/>
      <c r="H281" s="53"/>
      <c r="I281" s="171"/>
      <c r="J281" s="170"/>
      <c r="K281" s="53"/>
      <c r="L281" s="53"/>
      <c r="M281" s="53"/>
      <c r="N281" s="171"/>
      <c r="O281" s="170"/>
      <c r="P281" s="53"/>
      <c r="Q281" s="53"/>
      <c r="R281" s="53"/>
      <c r="S281" s="171"/>
      <c r="T281" s="170"/>
      <c r="U281" s="53"/>
      <c r="V281" s="53"/>
      <c r="W281" s="53"/>
      <c r="X281" s="171"/>
      <c r="Y281" s="170"/>
      <c r="Z281" s="170"/>
      <c r="AA281" s="170"/>
      <c r="AB281" s="170"/>
      <c r="AC281" s="170"/>
      <c r="AD281" s="53"/>
      <c r="AE281" s="53"/>
    </row>
    <row r="282">
      <c r="A282" s="53"/>
      <c r="B282" s="53" t="str">
        <f>IFERROR(__xludf.DUMMYFUNCTION("""COMPUTED_VALUE"""),"2607D042
Quin
081567666594
Instagram")</f>
        <v>2607D042
Quin
081567666594
Instagram</v>
      </c>
      <c r="C282" s="168" t="str">
        <f>IFERROR(__xludf.DUMMYFUNCTION("""COMPUTED_VALUE"""),"OT MT
 pax
Rp0")</f>
        <v>OT MT
 pax
Rp0</v>
      </c>
      <c r="D282" s="169" t="str">
        <f>IFERROR(__xludf.DUMMYFUNCTION("""COMPUTED_VALUE"""),"fullbookedd")</f>
        <v>fullbookedd</v>
      </c>
      <c r="E282" s="170"/>
      <c r="F282" s="53"/>
      <c r="G282" s="53"/>
      <c r="H282" s="53"/>
      <c r="I282" s="171"/>
      <c r="J282" s="170"/>
      <c r="K282" s="53"/>
      <c r="L282" s="53"/>
      <c r="M282" s="53"/>
      <c r="N282" s="171"/>
      <c r="O282" s="170"/>
      <c r="P282" s="53"/>
      <c r="Q282" s="53"/>
      <c r="R282" s="53"/>
      <c r="S282" s="171"/>
      <c r="T282" s="170"/>
      <c r="U282" s="53"/>
      <c r="V282" s="53"/>
      <c r="W282" s="53"/>
      <c r="X282" s="171"/>
      <c r="Y282" s="170"/>
      <c r="Z282" s="170"/>
      <c r="AA282" s="170"/>
      <c r="AB282" s="170"/>
      <c r="AC282" s="170"/>
      <c r="AD282" s="53"/>
      <c r="AE282" s="53"/>
    </row>
    <row r="283">
      <c r="A283" s="53"/>
      <c r="B283" s="53" t="str">
        <f>IFERROR(__xludf.DUMMYFUNCTION("""COMPUTED_VALUE"""),"2607D045
Kat
081290273672
Instagram")</f>
        <v>2607D045
Kat
081290273672
Instagram</v>
      </c>
      <c r="C283" s="168" t="str">
        <f>IFERROR(__xludf.DUMMYFUNCTION("""COMPUTED_VALUE"""),"OT MT
4 pax
Rp0")</f>
        <v>OT MT
4 pax
Rp0</v>
      </c>
      <c r="D283" s="169" t="str">
        <f>IFERROR(__xludf.DUMMYFUNCTION("""COMPUTED_VALUE"""),"FU 3 Agustus")</f>
        <v>FU 3 Agustus</v>
      </c>
      <c r="E283" s="170"/>
      <c r="F283" s="53"/>
      <c r="G283" s="53"/>
      <c r="H283" s="53"/>
      <c r="I283" s="171"/>
      <c r="J283" s="170"/>
      <c r="K283" s="53"/>
      <c r="L283" s="53"/>
      <c r="M283" s="53"/>
      <c r="N283" s="171"/>
      <c r="O283" s="170"/>
      <c r="P283" s="53"/>
      <c r="Q283" s="53"/>
      <c r="R283" s="53"/>
      <c r="S283" s="171"/>
      <c r="T283" s="170"/>
      <c r="U283" s="53"/>
      <c r="V283" s="53"/>
      <c r="W283" s="53"/>
      <c r="X283" s="171"/>
      <c r="Y283" s="170"/>
      <c r="Z283" s="170"/>
      <c r="AA283" s="170"/>
      <c r="AB283" s="170"/>
      <c r="AC283" s="170"/>
      <c r="AD283" s="53"/>
      <c r="AE283" s="53"/>
    </row>
    <row r="284">
      <c r="A284" s="53"/>
      <c r="B284" s="53" t="str">
        <f>IFERROR(__xludf.DUMMYFUNCTION("""COMPUTED_VALUE"""),"2607D048
Ry
089519684754
Instagram")</f>
        <v>2607D048
Ry
089519684754
Instagram</v>
      </c>
      <c r="C284" s="168" t="str">
        <f>IFERROR(__xludf.DUMMYFUNCTION("""COMPUTED_VALUE"""),"
 pax
Rp0")</f>
        <v>
 pax
Rp0</v>
      </c>
      <c r="D284" s="169" t="str">
        <f>IFERROR(__xludf.DUMMYFUNCTION("""COMPUTED_VALUE"""),"baru nyapaaa")</f>
        <v>baru nyapaaa</v>
      </c>
      <c r="E284" s="170"/>
      <c r="F284" s="53"/>
      <c r="G284" s="53"/>
      <c r="H284" s="53"/>
      <c r="I284" s="171"/>
      <c r="J284" s="170"/>
      <c r="K284" s="53"/>
      <c r="L284" s="53"/>
      <c r="M284" s="53"/>
      <c r="N284" s="171"/>
      <c r="O284" s="170"/>
      <c r="P284" s="53"/>
      <c r="Q284" s="53"/>
      <c r="R284" s="53"/>
      <c r="S284" s="171"/>
      <c r="T284" s="170"/>
      <c r="U284" s="53"/>
      <c r="V284" s="53"/>
      <c r="W284" s="53"/>
      <c r="X284" s="171"/>
      <c r="Y284" s="170"/>
      <c r="Z284" s="170"/>
      <c r="AA284" s="170"/>
      <c r="AB284" s="170"/>
      <c r="AC284" s="170"/>
      <c r="AD284" s="53"/>
      <c r="AE284" s="53"/>
    </row>
    <row r="285">
      <c r="A285" s="53"/>
      <c r="B285" s="53" t="str">
        <f>IFERROR(__xludf.DUMMYFUNCTION("""COMPUTED_VALUE"""),"2607D049
Vina
082142554719
Instagram")</f>
        <v>2607D049
Vina
082142554719
Instagram</v>
      </c>
      <c r="C285" s="168" t="str">
        <f>IFERROR(__xludf.DUMMYFUNCTION("""COMPUTED_VALUE"""),"3H2M Opsi A
46237
4 pax
Rp0")</f>
        <v>3H2M Opsi A
46237
4 pax
Rp0</v>
      </c>
      <c r="D285" s="169" t="str">
        <f>IFERROR(__xludf.DUMMYFUNCTION("""COMPUTED_VALUE"""),"FU 29 Juli")</f>
        <v>FU 29 Juli</v>
      </c>
      <c r="E285" s="170"/>
      <c r="F285" s="53"/>
      <c r="G285" s="53"/>
      <c r="H285" s="53"/>
      <c r="I285" s="171"/>
      <c r="J285" s="170"/>
      <c r="K285" s="53"/>
      <c r="L285" s="53"/>
      <c r="M285" s="53"/>
      <c r="N285" s="171"/>
      <c r="O285" s="170"/>
      <c r="P285" s="53"/>
      <c r="Q285" s="53"/>
      <c r="R285" s="53"/>
      <c r="S285" s="171"/>
      <c r="T285" s="170"/>
      <c r="U285" s="53"/>
      <c r="V285" s="53"/>
      <c r="W285" s="53"/>
      <c r="X285" s="171"/>
      <c r="Y285" s="170"/>
      <c r="Z285" s="170"/>
      <c r="AA285" s="170"/>
      <c r="AB285" s="170"/>
      <c r="AC285" s="170"/>
      <c r="AD285" s="53"/>
      <c r="AE285" s="53"/>
    </row>
    <row r="286">
      <c r="A286" s="53"/>
      <c r="B286" s="53" t="str">
        <f>IFERROR(__xludf.DUMMYFUNCTION("""COMPUTED_VALUE"""),"2607D054
Yolanda Oktaviani
082269667014
Instagram")</f>
        <v>2607D054
Yolanda Oktaviani
082269667014
Instagram</v>
      </c>
      <c r="C286" s="168" t="str">
        <f>IFERROR(__xludf.DUMMYFUNCTION("""COMPUTED_VALUE"""),"OT MT
5 pax
Rp0")</f>
        <v>OT MT
5 pax
Rp0</v>
      </c>
      <c r="D286" s="169" t="str">
        <f>IFERROR(__xludf.DUMMYFUNCTION("""COMPUTED_VALUE"""),"FU 3 Agustus ")</f>
        <v>FU 3 Agustus </v>
      </c>
      <c r="E286" s="170"/>
      <c r="F286" s="53"/>
      <c r="G286" s="53"/>
      <c r="H286" s="53"/>
      <c r="I286" s="171"/>
      <c r="J286" s="170"/>
      <c r="K286" s="53"/>
      <c r="L286" s="53"/>
      <c r="M286" s="53"/>
      <c r="N286" s="171"/>
      <c r="O286" s="170"/>
      <c r="P286" s="53"/>
      <c r="Q286" s="53"/>
      <c r="R286" s="53"/>
      <c r="S286" s="171"/>
      <c r="T286" s="170"/>
      <c r="U286" s="53"/>
      <c r="V286" s="53"/>
      <c r="W286" s="53"/>
      <c r="X286" s="171"/>
      <c r="Y286" s="170"/>
      <c r="Z286" s="170"/>
      <c r="AA286" s="170"/>
      <c r="AB286" s="170"/>
      <c r="AC286" s="170"/>
      <c r="AD286" s="53"/>
      <c r="AE286" s="53"/>
    </row>
    <row r="287">
      <c r="A287" s="53"/>
      <c r="B287" s="53" t="str">
        <f>IFERROR(__xludf.DUMMYFUNCTION("""COMPUTED_VALUE"""),"2607D055
LAW
081337111123
Instagram")</f>
        <v>2607D055
LAW
081337111123
Instagram</v>
      </c>
      <c r="C287" s="168" t="str">
        <f>IFERROR(__xludf.DUMMYFUNCTION("""COMPUTED_VALUE"""),"4H3M 
 pax
Rp0")</f>
        <v>4H3M 
 pax
Rp0</v>
      </c>
      <c r="D287" s="169" t="str">
        <f>IFERROR(__xludf.DUMMYFUNCTION("""COMPUTED_VALUE"""),"FU 2 agustus")</f>
        <v>FU 2 agustus</v>
      </c>
      <c r="E287" s="170"/>
      <c r="F287" s="53"/>
      <c r="G287" s="53"/>
      <c r="H287" s="53"/>
      <c r="I287" s="171"/>
      <c r="J287" s="170"/>
      <c r="K287" s="53"/>
      <c r="L287" s="53"/>
      <c r="M287" s="53"/>
      <c r="N287" s="171"/>
      <c r="O287" s="170"/>
      <c r="P287" s="53"/>
      <c r="Q287" s="53"/>
      <c r="R287" s="53"/>
      <c r="S287" s="171"/>
      <c r="T287" s="170"/>
      <c r="U287" s="53"/>
      <c r="V287" s="53"/>
      <c r="W287" s="53"/>
      <c r="X287" s="171"/>
      <c r="Y287" s="170"/>
      <c r="Z287" s="170"/>
      <c r="AA287" s="170"/>
      <c r="AB287" s="170"/>
      <c r="AC287" s="170"/>
      <c r="AD287" s="53"/>
      <c r="AE287" s="53"/>
    </row>
    <row r="288">
      <c r="A288" s="53"/>
      <c r="B288" s="53" t="str">
        <f>IFERROR(__xludf.DUMMYFUNCTION("""COMPUTED_VALUE"""),"2607D056
HD
087779602885
Website")</f>
        <v>2607D056
HD
087779602885
Website</v>
      </c>
      <c r="C288" s="168" t="str">
        <f>IFERROR(__xludf.DUMMYFUNCTION("""COMPUTED_VALUE"""),"3H2M
 pax
Rp0")</f>
        <v>3H2M
 pax
Rp0</v>
      </c>
      <c r="D288" s="169" t="str">
        <f>IFERROR(__xludf.DUMMYFUNCTION("""COMPUTED_VALUE"""),"FU 2 agustus")</f>
        <v>FU 2 agustus</v>
      </c>
      <c r="E288" s="170"/>
      <c r="F288" s="53"/>
      <c r="G288" s="53"/>
      <c r="H288" s="53"/>
      <c r="I288" s="171"/>
      <c r="J288" s="170"/>
      <c r="K288" s="53"/>
      <c r="L288" s="53"/>
      <c r="M288" s="53"/>
      <c r="N288" s="171"/>
      <c r="O288" s="170"/>
      <c r="P288" s="53"/>
      <c r="Q288" s="53"/>
      <c r="R288" s="53"/>
      <c r="S288" s="171"/>
      <c r="T288" s="170"/>
      <c r="U288" s="53"/>
      <c r="V288" s="53"/>
      <c r="W288" s="53"/>
      <c r="X288" s="171"/>
      <c r="Y288" s="170"/>
      <c r="Z288" s="170"/>
      <c r="AA288" s="170"/>
      <c r="AB288" s="170"/>
      <c r="AC288" s="170"/>
      <c r="AD288" s="53"/>
      <c r="AE288" s="53"/>
    </row>
    <row r="289">
      <c r="A289" s="53"/>
      <c r="B289" s="53" t="str">
        <f>IFERROR(__xludf.DUMMYFUNCTION("""COMPUTED_VALUE"""),"2607D058
No Name 3h2m 
081325487738
Instagram")</f>
        <v>2607D058
No Name 3h2m 
081325487738
Instagram</v>
      </c>
      <c r="C289" s="168" t="str">
        <f>IFERROR(__xludf.DUMMYFUNCTION("""COMPUTED_VALUE"""),"3H2M Opsi A
 pax
Rp0")</f>
        <v>3H2M Opsi A
 pax
Rp0</v>
      </c>
      <c r="D289" s="169" t="str">
        <f>IFERROR(__xludf.DUMMYFUNCTION("""COMPUTED_VALUE"""),"FU 4 Agustus")</f>
        <v>FU 4 Agustus</v>
      </c>
      <c r="E289" s="170"/>
      <c r="F289" s="53"/>
      <c r="G289" s="53"/>
      <c r="H289" s="53"/>
      <c r="I289" s="171"/>
      <c r="J289" s="170"/>
      <c r="K289" s="53"/>
      <c r="L289" s="53"/>
      <c r="M289" s="53"/>
      <c r="N289" s="171"/>
      <c r="O289" s="170"/>
      <c r="P289" s="53"/>
      <c r="Q289" s="53"/>
      <c r="R289" s="53"/>
      <c r="S289" s="171"/>
      <c r="T289" s="170"/>
      <c r="U289" s="53"/>
      <c r="V289" s="53"/>
      <c r="W289" s="53"/>
      <c r="X289" s="171"/>
      <c r="Y289" s="170"/>
      <c r="Z289" s="170"/>
      <c r="AA289" s="170"/>
      <c r="AB289" s="170"/>
      <c r="AC289" s="170"/>
      <c r="AD289" s="53"/>
      <c r="AE289" s="53"/>
    </row>
    <row r="290">
      <c r="A290" s="53"/>
      <c r="B290" s="53" t="str">
        <f>IFERROR(__xludf.DUMMYFUNCTION("""COMPUTED_VALUE"""),"2607D059
Suwirman
081510019168
Website")</f>
        <v>2607D059
Suwirman
081510019168
Website</v>
      </c>
      <c r="C290" s="168" t="str">
        <f>IFERROR(__xludf.DUMMYFUNCTION("""COMPUTED_VALUE"""),"4H3M
25 pax
Rp0")</f>
        <v>4H3M
25 pax
Rp0</v>
      </c>
      <c r="D290" s="169" t="str">
        <f>IFERROR(__xludf.DUMMYFUNCTION("""COMPUTED_VALUE"""),"FU 6 Agustus")</f>
        <v>FU 6 Agustus</v>
      </c>
      <c r="E290" s="170"/>
      <c r="F290" s="53"/>
      <c r="G290" s="53"/>
      <c r="H290" s="53"/>
      <c r="I290" s="171"/>
      <c r="J290" s="170"/>
      <c r="K290" s="53"/>
      <c r="L290" s="53"/>
      <c r="M290" s="53"/>
      <c r="N290" s="171"/>
      <c r="O290" s="170"/>
      <c r="P290" s="53"/>
      <c r="Q290" s="53"/>
      <c r="R290" s="53"/>
      <c r="S290" s="171"/>
      <c r="T290" s="170"/>
      <c r="U290" s="53"/>
      <c r="V290" s="53"/>
      <c r="W290" s="53"/>
      <c r="X290" s="171"/>
      <c r="Y290" s="170"/>
      <c r="Z290" s="170"/>
      <c r="AA290" s="170"/>
      <c r="AB290" s="170"/>
      <c r="AC290" s="170"/>
      <c r="AD290" s="53"/>
      <c r="AE290" s="53"/>
    </row>
    <row r="291">
      <c r="A291" s="53"/>
      <c r="B291" s="53" t="str">
        <f>IFERROR(__xludf.DUMMYFUNCTION("""COMPUTED_VALUE"""),"2607D060
Rahma  
081326257762
Instagram")</f>
        <v>2607D060
Rahma  
081326257762
Instagram</v>
      </c>
      <c r="C291" s="168" t="str">
        <f>IFERROR(__xludf.DUMMYFUNCTION("""COMPUTED_VALUE"""),"OT 3H2M 
3 pax
Rp0")</f>
        <v>OT 3H2M 
3 pax
Rp0</v>
      </c>
      <c r="D291" s="169" t="str">
        <f>IFERROR(__xludf.DUMMYFUNCTION("""COMPUTED_VALUE"""),"FU 8 Agustus")</f>
        <v>FU 8 Agustus</v>
      </c>
      <c r="E291" s="170"/>
      <c r="F291" s="53"/>
      <c r="G291" s="53"/>
      <c r="H291" s="53"/>
      <c r="I291" s="171"/>
      <c r="J291" s="170"/>
      <c r="K291" s="53"/>
      <c r="L291" s="53"/>
      <c r="M291" s="53"/>
      <c r="N291" s="171"/>
      <c r="O291" s="170"/>
      <c r="P291" s="53"/>
      <c r="Q291" s="53"/>
      <c r="R291" s="53"/>
      <c r="S291" s="171"/>
      <c r="T291" s="170"/>
      <c r="U291" s="53"/>
      <c r="V291" s="53"/>
      <c r="W291" s="53"/>
      <c r="X291" s="171"/>
      <c r="Y291" s="170"/>
      <c r="Z291" s="170"/>
      <c r="AA291" s="170"/>
      <c r="AB291" s="170"/>
      <c r="AC291" s="170"/>
      <c r="AD291" s="53"/>
      <c r="AE291" s="53"/>
    </row>
    <row r="292">
      <c r="A292" s="53"/>
      <c r="B292" s="53" t="str">
        <f>IFERROR(__xludf.DUMMYFUNCTION("""COMPUTED_VALUE"""),"2607D064
Sheina
081545571383
Instagram")</f>
        <v>2607D064
Sheina
081545571383
Instagram</v>
      </c>
      <c r="C292" s="168" t="str">
        <f>IFERROR(__xludf.DUMMYFUNCTION("""COMPUTED_VALUE"""),"3H2M opsi B
46297
4 pax
Rp0")</f>
        <v>3H2M opsi B
46297
4 pax
Rp0</v>
      </c>
      <c r="D292" s="169" t="str">
        <f>IFERROR(__xludf.DUMMYFUNCTION("""COMPUTED_VALUE"""),"FU 2 agustus")</f>
        <v>FU 2 agustus</v>
      </c>
      <c r="E292" s="170"/>
      <c r="F292" s="53"/>
      <c r="G292" s="53"/>
      <c r="H292" s="53"/>
      <c r="I292" s="171"/>
      <c r="J292" s="170"/>
      <c r="K292" s="53"/>
      <c r="L292" s="53"/>
      <c r="M292" s="53"/>
      <c r="N292" s="171"/>
      <c r="O292" s="170"/>
      <c r="P292" s="53"/>
      <c r="Q292" s="53"/>
      <c r="R292" s="53"/>
      <c r="S292" s="171"/>
      <c r="T292" s="170"/>
      <c r="U292" s="53"/>
      <c r="V292" s="53"/>
      <c r="W292" s="53"/>
      <c r="X292" s="171"/>
      <c r="Y292" s="170"/>
      <c r="Z292" s="170"/>
      <c r="AA292" s="170"/>
      <c r="AB292" s="170"/>
      <c r="AC292" s="170"/>
      <c r="AD292" s="53"/>
      <c r="AE292" s="53"/>
    </row>
    <row r="293">
      <c r="A293" s="53"/>
      <c r="B293" s="53" t="str">
        <f>IFERROR(__xludf.DUMMYFUNCTION("""COMPUTED_VALUE"""),"2607D066
Sahda 
081233829266
Website")</f>
        <v>2607D066
Sahda 
081233829266
Website</v>
      </c>
      <c r="C293" s="168" t="str">
        <f>IFERROR(__xludf.DUMMYFUNCTION("""COMPUTED_VALUE"""),"3h2M Opsi A
17 pax
Rp0")</f>
        <v>3h2M Opsi A
17 pax
Rp0</v>
      </c>
      <c r="D293" s="169" t="str">
        <f>IFERROR(__xludf.DUMMYFUNCTION("""COMPUTED_VALUE"""),"FU 3 Agustus ")</f>
        <v>FU 3 Agustus </v>
      </c>
      <c r="E293" s="170"/>
      <c r="F293" s="53"/>
      <c r="G293" s="53"/>
      <c r="H293" s="53"/>
      <c r="I293" s="171"/>
      <c r="J293" s="170"/>
      <c r="K293" s="53"/>
      <c r="L293" s="53"/>
      <c r="M293" s="53"/>
      <c r="N293" s="171"/>
      <c r="O293" s="170"/>
      <c r="P293" s="53"/>
      <c r="Q293" s="53"/>
      <c r="R293" s="53"/>
      <c r="S293" s="171"/>
      <c r="T293" s="170"/>
      <c r="U293" s="53"/>
      <c r="V293" s="53"/>
      <c r="W293" s="53"/>
      <c r="X293" s="171"/>
      <c r="Y293" s="170"/>
      <c r="Z293" s="170"/>
      <c r="AA293" s="170"/>
      <c r="AB293" s="170"/>
      <c r="AC293" s="170"/>
      <c r="AD293" s="53"/>
      <c r="AE293" s="53"/>
    </row>
    <row r="294">
      <c r="A294" s="53"/>
      <c r="B294" s="53" t="str">
        <f>IFERROR(__xludf.DUMMYFUNCTION("""COMPUTED_VALUE"""),"2607D067
Astuti Nurwidiyanti
0818119143
Website")</f>
        <v>2607D067
Astuti Nurwidiyanti
0818119143
Website</v>
      </c>
      <c r="C294" s="168" t="str">
        <f>IFERROR(__xludf.DUMMYFUNCTION("""COMPUTED_VALUE"""),"trip 5H4M 
5 pax
Rp0")</f>
        <v>trip 5H4M 
5 pax
Rp0</v>
      </c>
      <c r="D294" s="169" t="str">
        <f>IFERROR(__xludf.DUMMYFUNCTION("""COMPUTED_VALUE"""),"FU 12 Juli")</f>
        <v>FU 12 Juli</v>
      </c>
      <c r="E294" s="170"/>
      <c r="F294" s="53"/>
      <c r="G294" s="53"/>
      <c r="H294" s="53"/>
      <c r="I294" s="171"/>
      <c r="J294" s="170"/>
      <c r="K294" s="53"/>
      <c r="L294" s="53"/>
      <c r="M294" s="53"/>
      <c r="N294" s="171"/>
      <c r="O294" s="170"/>
      <c r="P294" s="53"/>
      <c r="Q294" s="53"/>
      <c r="R294" s="53"/>
      <c r="S294" s="171"/>
      <c r="T294" s="170"/>
      <c r="U294" s="53"/>
      <c r="V294" s="53"/>
      <c r="W294" s="53"/>
      <c r="X294" s="171"/>
      <c r="Y294" s="170"/>
      <c r="Z294" s="170"/>
      <c r="AA294" s="170"/>
      <c r="AB294" s="170"/>
      <c r="AC294" s="170"/>
      <c r="AD294" s="53"/>
      <c r="AE294" s="53"/>
    </row>
    <row r="295">
      <c r="A295" s="53"/>
      <c r="B295" s="53" t="str">
        <f>IFERROR(__xludf.DUMMYFUNCTION("""COMPUTED_VALUE"""),"2607D068
Gesya Shandy
081280122718
Instagram")</f>
        <v>2607D068
Gesya Shandy
081280122718
Instagram</v>
      </c>
      <c r="C295" s="168" t="str">
        <f>IFERROR(__xludf.DUMMYFUNCTION("""COMPUTED_VALUE"""),"3H2M opsi A
2 pax
Rp0")</f>
        <v>3H2M opsi A
2 pax
Rp0</v>
      </c>
      <c r="D295" s="169" t="str">
        <f>IFERROR(__xludf.DUMMYFUNCTION("""COMPUTED_VALUE"""),"blm bales lagi, FU 2 agustus")</f>
        <v>blm bales lagi, FU 2 agustus</v>
      </c>
      <c r="E295" s="170"/>
      <c r="F295" s="53"/>
      <c r="G295" s="53"/>
      <c r="H295" s="53"/>
      <c r="I295" s="171"/>
      <c r="J295" s="170"/>
      <c r="K295" s="53"/>
      <c r="L295" s="53"/>
      <c r="M295" s="53"/>
      <c r="N295" s="171"/>
      <c r="O295" s="170"/>
      <c r="P295" s="53"/>
      <c r="Q295" s="53"/>
      <c r="R295" s="53"/>
      <c r="S295" s="171"/>
      <c r="T295" s="170"/>
      <c r="U295" s="53"/>
      <c r="V295" s="53"/>
      <c r="W295" s="53"/>
      <c r="X295" s="171"/>
      <c r="Y295" s="170"/>
      <c r="Z295" s="170"/>
      <c r="AA295" s="170"/>
      <c r="AB295" s="170"/>
      <c r="AC295" s="170"/>
      <c r="AD295" s="53"/>
      <c r="AE295" s="53"/>
    </row>
    <row r="296">
      <c r="A296" s="53"/>
      <c r="B296" s="53" t="str">
        <f>IFERROR(__xludf.DUMMYFUNCTION("""COMPUTED_VALUE"""),"2607D069
Herdisyanms
085840020359
Instagram")</f>
        <v>2607D069
Herdisyanms
085840020359
Instagram</v>
      </c>
      <c r="C296" s="168" t="str">
        <f>IFERROR(__xludf.DUMMYFUNCTION("""COMPUTED_VALUE"""),"OT 3H2M 
3 pax
Rp0")</f>
        <v>OT 3H2M 
3 pax
Rp0</v>
      </c>
      <c r="D296" s="169"/>
      <c r="E296" s="170"/>
      <c r="F296" s="53"/>
      <c r="G296" s="53"/>
      <c r="H296" s="53"/>
      <c r="I296" s="171"/>
      <c r="J296" s="170"/>
      <c r="K296" s="53"/>
      <c r="L296" s="53"/>
      <c r="M296" s="53"/>
      <c r="N296" s="171"/>
      <c r="O296" s="170"/>
      <c r="P296" s="53"/>
      <c r="Q296" s="53"/>
      <c r="R296" s="53"/>
      <c r="S296" s="171"/>
      <c r="T296" s="170"/>
      <c r="U296" s="53"/>
      <c r="V296" s="53"/>
      <c r="W296" s="53"/>
      <c r="X296" s="171"/>
      <c r="Y296" s="170"/>
      <c r="Z296" s="170"/>
      <c r="AA296" s="170"/>
      <c r="AB296" s="170"/>
      <c r="AC296" s="170"/>
      <c r="AD296" s="53"/>
      <c r="AE296" s="53"/>
    </row>
    <row r="297">
      <c r="A297" s="53"/>
      <c r="B297" s="53" t="str">
        <f>IFERROR(__xludf.DUMMYFUNCTION("""COMPUTED_VALUE"""),"2607D070
Isti Andiani
081562780575
Instagram")</f>
        <v>2607D070
Isti Andiani
081562780575
Instagram</v>
      </c>
      <c r="C297" s="168" t="str">
        <f>IFERROR(__xludf.DUMMYFUNCTION("""COMPUTED_VALUE"""),"3H2M opsi A
 pax
Rp0")</f>
        <v>3H2M opsi A
 pax
Rp0</v>
      </c>
      <c r="D297" s="169" t="str">
        <f>IFERROR(__xludf.DUMMYFUNCTION("""COMPUTED_VALUE"""),"FU 10 Juli ")</f>
        <v>FU 10 Juli </v>
      </c>
      <c r="E297" s="170"/>
      <c r="F297" s="53"/>
      <c r="G297" s="53"/>
      <c r="H297" s="53"/>
      <c r="I297" s="171"/>
      <c r="J297" s="170"/>
      <c r="K297" s="53"/>
      <c r="L297" s="53"/>
      <c r="M297" s="53"/>
      <c r="N297" s="171"/>
      <c r="O297" s="170"/>
      <c r="P297" s="53"/>
      <c r="Q297" s="53"/>
      <c r="R297" s="53"/>
      <c r="S297" s="171"/>
      <c r="T297" s="170"/>
      <c r="U297" s="53"/>
      <c r="V297" s="53"/>
      <c r="W297" s="53"/>
      <c r="X297" s="171"/>
      <c r="Y297" s="170"/>
      <c r="Z297" s="170"/>
      <c r="AA297" s="170"/>
      <c r="AB297" s="170"/>
      <c r="AC297" s="170"/>
      <c r="AD297" s="53"/>
      <c r="AE297" s="53"/>
    </row>
    <row r="298">
      <c r="A298" s="53"/>
      <c r="B298" s="53" t="str">
        <f>IFERROR(__xludf.DUMMYFUNCTION("""COMPUTED_VALUE"""),"2607D071
Rejokencana
085730262845
Instagram")</f>
        <v>2607D071
Rejokencana
085730262845
Instagram</v>
      </c>
      <c r="C298" s="168" t="str">
        <f>IFERROR(__xludf.DUMMYFUNCTION("""COMPUTED_VALUE"""),"2h1m custome
46267
25 pax
Rp0")</f>
        <v>2h1m custome
46267
25 pax
Rp0</v>
      </c>
      <c r="D298" s="169" t="str">
        <f>IFERROR(__xludf.DUMMYFUNCTION("""COMPUTED_VALUE"""),"FU 5 Agustus")</f>
        <v>FU 5 Agustus</v>
      </c>
      <c r="E298" s="170"/>
      <c r="F298" s="53"/>
      <c r="G298" s="53"/>
      <c r="H298" s="53"/>
      <c r="I298" s="171"/>
      <c r="J298" s="170"/>
      <c r="K298" s="53"/>
      <c r="L298" s="53"/>
      <c r="M298" s="53"/>
      <c r="N298" s="171"/>
      <c r="O298" s="170"/>
      <c r="P298" s="53"/>
      <c r="Q298" s="53"/>
      <c r="R298" s="53"/>
      <c r="S298" s="171"/>
      <c r="T298" s="170"/>
      <c r="U298" s="53"/>
      <c r="V298" s="53"/>
      <c r="W298" s="53"/>
      <c r="X298" s="171"/>
      <c r="Y298" s="170"/>
      <c r="Z298" s="170"/>
      <c r="AA298" s="170"/>
      <c r="AB298" s="170"/>
      <c r="AC298" s="170"/>
      <c r="AD298" s="53"/>
      <c r="AE298" s="53"/>
    </row>
    <row r="299">
      <c r="A299" s="53"/>
      <c r="B299" s="53" t="str">
        <f>IFERROR(__xludf.DUMMYFUNCTION("""COMPUTED_VALUE"""),"2607D075
Suida
087882828802
Instagram")</f>
        <v>2607D075
Suida
087882828802
Instagram</v>
      </c>
      <c r="C299" s="168" t="str">
        <f>IFERROR(__xludf.DUMMYFUNCTION("""COMPUTED_VALUE"""),"
 pax
Rp0")</f>
        <v>
 pax
Rp0</v>
      </c>
      <c r="D299" s="169" t="str">
        <f>IFERROR(__xludf.DUMMYFUNCTION("""COMPUTED_VALUE"""),"baru menyapa")</f>
        <v>baru menyapa</v>
      </c>
      <c r="E299" s="170"/>
      <c r="F299" s="53"/>
      <c r="G299" s="53"/>
      <c r="H299" s="53"/>
      <c r="I299" s="171"/>
      <c r="J299" s="170"/>
      <c r="K299" s="53"/>
      <c r="L299" s="53"/>
      <c r="M299" s="53"/>
      <c r="N299" s="171"/>
      <c r="O299" s="170"/>
      <c r="P299" s="53"/>
      <c r="Q299" s="53"/>
      <c r="R299" s="53"/>
      <c r="S299" s="171"/>
      <c r="T299" s="170"/>
      <c r="U299" s="53"/>
      <c r="V299" s="53"/>
      <c r="W299" s="53"/>
      <c r="X299" s="171"/>
      <c r="Y299" s="170"/>
      <c r="Z299" s="170"/>
      <c r="AA299" s="170"/>
      <c r="AB299" s="170"/>
      <c r="AC299" s="170"/>
      <c r="AD299" s="53"/>
      <c r="AE299" s="53"/>
    </row>
    <row r="300">
      <c r="A300" s="53"/>
      <c r="B300" s="53" t="str">
        <f>IFERROR(__xludf.DUMMYFUNCTION("""COMPUTED_VALUE"""),"2607D078
Cookiecology
081213841930
Instagram")</f>
        <v>2607D078
Cookiecology
081213841930
Instagram</v>
      </c>
      <c r="C300" s="168" t="str">
        <f>IFERROR(__xludf.DUMMYFUNCTION("""COMPUTED_VALUE"""),"1 day trip
4 pax
Rp0")</f>
        <v>1 day trip
4 pax
Rp0</v>
      </c>
      <c r="D300" s="169" t="str">
        <f>IFERROR(__xludf.DUMMYFUNCTION("""COMPUTED_VALUE"""),"FU 12 Juli")</f>
        <v>FU 12 Juli</v>
      </c>
      <c r="E300" s="170"/>
      <c r="F300" s="53"/>
      <c r="G300" s="53"/>
      <c r="H300" s="53"/>
      <c r="I300" s="171"/>
      <c r="J300" s="170"/>
      <c r="K300" s="53"/>
      <c r="L300" s="53"/>
      <c r="M300" s="53"/>
      <c r="N300" s="171"/>
      <c r="O300" s="170"/>
      <c r="P300" s="53"/>
      <c r="Q300" s="53"/>
      <c r="R300" s="53"/>
      <c r="S300" s="171"/>
      <c r="T300" s="170"/>
      <c r="U300" s="53"/>
      <c r="V300" s="53"/>
      <c r="W300" s="53"/>
      <c r="X300" s="171"/>
      <c r="Y300" s="170"/>
      <c r="Z300" s="170"/>
      <c r="AA300" s="170"/>
      <c r="AB300" s="170"/>
      <c r="AC300" s="170"/>
      <c r="AD300" s="53"/>
      <c r="AE300" s="53"/>
    </row>
    <row r="301">
      <c r="A301" s="53"/>
      <c r="B301" s="53" t="str">
        <f>IFERROR(__xludf.DUMMYFUNCTION("""COMPUTED_VALUE"""),"2607D079
Del  
081324026657
Lainnya")</f>
        <v>2607D079
Del  
081324026657
Lainnya</v>
      </c>
      <c r="C301" s="168" t="str">
        <f>IFERROR(__xludf.DUMMYFUNCTION("""COMPUTED_VALUE"""),"
2 pax
Rp0")</f>
        <v>
2 pax
Rp0</v>
      </c>
      <c r="D301" s="169"/>
      <c r="E301" s="170"/>
      <c r="F301" s="53"/>
      <c r="G301" s="53"/>
      <c r="H301" s="53"/>
      <c r="I301" s="171"/>
      <c r="J301" s="170"/>
      <c r="K301" s="53"/>
      <c r="L301" s="53"/>
      <c r="M301" s="53"/>
      <c r="N301" s="171"/>
      <c r="O301" s="170"/>
      <c r="P301" s="53"/>
      <c r="Q301" s="53"/>
      <c r="R301" s="53"/>
      <c r="S301" s="171"/>
      <c r="T301" s="170"/>
      <c r="U301" s="53"/>
      <c r="V301" s="53"/>
      <c r="W301" s="53"/>
      <c r="X301" s="171"/>
      <c r="Y301" s="170"/>
      <c r="Z301" s="170"/>
      <c r="AA301" s="170"/>
      <c r="AB301" s="170"/>
      <c r="AC301" s="170"/>
      <c r="AD301" s="53"/>
      <c r="AE301" s="53"/>
    </row>
    <row r="302">
      <c r="A302" s="53"/>
      <c r="B302" s="53" t="str">
        <f>IFERROR(__xludf.DUMMYFUNCTION("""COMPUTED_VALUE"""),"2607D080
No Name MTB
082132343238
Website")</f>
        <v>2607D080
No Name MTB
082132343238
Website</v>
      </c>
      <c r="C302" s="168" t="str">
        <f>IFERROR(__xludf.DUMMYFUNCTION("""COMPUTED_VALUE"""),"
 pax
Rp0")</f>
        <v>
 pax
Rp0</v>
      </c>
      <c r="D302" s="169"/>
      <c r="E302" s="170"/>
      <c r="F302" s="53"/>
      <c r="G302" s="53"/>
      <c r="H302" s="53"/>
      <c r="I302" s="171"/>
      <c r="J302" s="170"/>
      <c r="K302" s="53"/>
      <c r="L302" s="53"/>
      <c r="M302" s="53"/>
      <c r="N302" s="171"/>
      <c r="O302" s="170"/>
      <c r="P302" s="53"/>
      <c r="Q302" s="53"/>
      <c r="R302" s="53"/>
      <c r="S302" s="171"/>
      <c r="T302" s="170"/>
      <c r="U302" s="53"/>
      <c r="V302" s="53"/>
      <c r="W302" s="53"/>
      <c r="X302" s="171"/>
      <c r="Y302" s="170"/>
      <c r="Z302" s="170"/>
      <c r="AA302" s="170"/>
      <c r="AB302" s="170"/>
      <c r="AC302" s="170"/>
      <c r="AD302" s="53"/>
      <c r="AE302" s="53"/>
    </row>
    <row r="303">
      <c r="A303" s="53"/>
      <c r="B303" s="53" t="str">
        <f>IFERROR(__xludf.DUMMYFUNCTION("""COMPUTED_VALUE"""),"2607D081
Ira
082129111418
Instagram")</f>
        <v>2607D081
Ira
082129111418
Instagram</v>
      </c>
      <c r="C303" s="168" t="str">
        <f>IFERROR(__xludf.DUMMYFUNCTION("""COMPUTED_VALUE"""),"OT 3H2M
46257
2 pax
Rp0")</f>
        <v>OT 3H2M
46257
2 pax
Rp0</v>
      </c>
      <c r="D303" s="169"/>
      <c r="E303" s="170"/>
      <c r="F303" s="53"/>
      <c r="G303" s="53"/>
      <c r="H303" s="53"/>
      <c r="I303" s="171"/>
      <c r="J303" s="170"/>
      <c r="K303" s="53"/>
      <c r="L303" s="53"/>
      <c r="M303" s="53"/>
      <c r="N303" s="171"/>
      <c r="O303" s="170"/>
      <c r="P303" s="53"/>
      <c r="Q303" s="53"/>
      <c r="R303" s="53"/>
      <c r="S303" s="171"/>
      <c r="T303" s="170"/>
      <c r="U303" s="53"/>
      <c r="V303" s="53"/>
      <c r="W303" s="53"/>
      <c r="X303" s="171"/>
      <c r="Y303" s="170"/>
      <c r="Z303" s="170"/>
      <c r="AA303" s="170"/>
      <c r="AB303" s="170"/>
      <c r="AC303" s="170"/>
      <c r="AD303" s="53"/>
      <c r="AE303" s="53"/>
    </row>
    <row r="304">
      <c r="A304" s="53"/>
      <c r="B304" s="53" t="str">
        <f>IFERROR(__xludf.DUMMYFUNCTION("""COMPUTED_VALUE"""),"2607D085
Frida
085328722330
Instagram")</f>
        <v>2607D085
Frida
085328722330
Instagram</v>
      </c>
      <c r="C304" s="168" t="str">
        <f>IFERROR(__xludf.DUMMYFUNCTION("""COMPUTED_VALUE"""),"2H1M custome
3 pax
Rp0")</f>
        <v>2H1M custome
3 pax
Rp0</v>
      </c>
      <c r="D304" s="169" t="str">
        <f>IFERROR(__xludf.DUMMYFUNCTION("""COMPUTED_VALUE"""),"FU 12 Juli")</f>
        <v>FU 12 Juli</v>
      </c>
      <c r="E304" s="170"/>
      <c r="F304" s="53"/>
      <c r="G304" s="53"/>
      <c r="H304" s="53"/>
      <c r="I304" s="171"/>
      <c r="J304" s="170"/>
      <c r="K304" s="53"/>
      <c r="L304" s="53"/>
      <c r="M304" s="53"/>
      <c r="N304" s="171"/>
      <c r="O304" s="170"/>
      <c r="P304" s="53"/>
      <c r="Q304" s="53"/>
      <c r="R304" s="53"/>
      <c r="S304" s="171"/>
      <c r="T304" s="170"/>
      <c r="U304" s="53"/>
      <c r="V304" s="53"/>
      <c r="W304" s="53"/>
      <c r="X304" s="171"/>
      <c r="Y304" s="170"/>
      <c r="Z304" s="170"/>
      <c r="AA304" s="170"/>
      <c r="AB304" s="170"/>
      <c r="AC304" s="170"/>
      <c r="AD304" s="53"/>
      <c r="AE304" s="53"/>
    </row>
    <row r="305">
      <c r="A305" s="53"/>
      <c r="B305" s="53" t="str">
        <f>IFERROR(__xludf.DUMMYFUNCTION("""COMPUTED_VALUE"""),"2607D086
Christanti
081215951574
Instagram")</f>
        <v>2607D086
Christanti
081215951574
Instagram</v>
      </c>
      <c r="C305" s="168" t="str">
        <f>IFERROR(__xludf.DUMMYFUNCTION("""COMPUTED_VALUE"""),"
 pax
Rp0")</f>
        <v>
 pax
Rp0</v>
      </c>
      <c r="D305" s="169"/>
      <c r="E305" s="170"/>
      <c r="F305" s="53"/>
      <c r="G305" s="53"/>
      <c r="H305" s="53"/>
      <c r="I305" s="171"/>
      <c r="J305" s="170"/>
      <c r="K305" s="53"/>
      <c r="L305" s="53"/>
      <c r="M305" s="53"/>
      <c r="N305" s="171"/>
      <c r="O305" s="170"/>
      <c r="P305" s="53"/>
      <c r="Q305" s="53"/>
      <c r="R305" s="53"/>
      <c r="S305" s="171"/>
      <c r="T305" s="170"/>
      <c r="U305" s="53"/>
      <c r="V305" s="53"/>
      <c r="W305" s="53"/>
      <c r="X305" s="171"/>
      <c r="Y305" s="170"/>
      <c r="Z305" s="170"/>
      <c r="AA305" s="170"/>
      <c r="AB305" s="170"/>
      <c r="AC305" s="170"/>
      <c r="AD305" s="53"/>
      <c r="AE305" s="53"/>
    </row>
    <row r="306">
      <c r="A306" s="53"/>
      <c r="B306" s="53" t="str">
        <f>IFERROR(__xludf.DUMMYFUNCTION("""COMPUTED_VALUE"""),"2607D088
Notbudiharto
082188981943
Website")</f>
        <v>2607D088
Notbudiharto
082188981943
Website</v>
      </c>
      <c r="C306" s="168" t="str">
        <f>IFERROR(__xludf.DUMMYFUNCTION("""COMPUTED_VALUE"""),"
 pax
Rp0")</f>
        <v>
 pax
Rp0</v>
      </c>
      <c r="D306" s="169" t="str">
        <f>IFERROR(__xludf.DUMMYFUNCTION("""COMPUTED_VALUE"""),"menyapa")</f>
        <v>menyapa</v>
      </c>
      <c r="E306" s="170"/>
      <c r="F306" s="53"/>
      <c r="G306" s="53"/>
      <c r="H306" s="53"/>
      <c r="I306" s="171"/>
      <c r="J306" s="170"/>
      <c r="K306" s="53"/>
      <c r="L306" s="53"/>
      <c r="M306" s="53"/>
      <c r="N306" s="171"/>
      <c r="O306" s="170"/>
      <c r="P306" s="53"/>
      <c r="Q306" s="53"/>
      <c r="R306" s="53"/>
      <c r="S306" s="171"/>
      <c r="T306" s="170"/>
      <c r="U306" s="53"/>
      <c r="V306" s="53"/>
      <c r="W306" s="53"/>
      <c r="X306" s="171"/>
      <c r="Y306" s="170"/>
      <c r="Z306" s="170"/>
      <c r="AA306" s="170"/>
      <c r="AB306" s="170"/>
      <c r="AC306" s="170"/>
      <c r="AD306" s="53"/>
      <c r="AE306" s="53"/>
    </row>
    <row r="307">
      <c r="A307" s="53"/>
      <c r="B307" s="53" t="str">
        <f>IFERROR(__xludf.DUMMYFUNCTION("""COMPUTED_VALUE"""),"2607D089
Arini
085648929168
Instagram")</f>
        <v>2607D089
Arini
085648929168
Instagram</v>
      </c>
      <c r="C307" s="168" t="str">
        <f>IFERROR(__xludf.DUMMYFUNCTION("""COMPUTED_VALUE"""),"trip tabuhan
 pax
Rp0")</f>
        <v>trip tabuhan
 pax
Rp0</v>
      </c>
      <c r="D307" s="169" t="str">
        <f>IFERROR(__xludf.DUMMYFUNCTION("""COMPUTED_VALUE"""),"FU 3 Agustus")</f>
        <v>FU 3 Agustus</v>
      </c>
      <c r="E307" s="170"/>
      <c r="F307" s="53"/>
      <c r="G307" s="53"/>
      <c r="H307" s="53"/>
      <c r="I307" s="171"/>
      <c r="J307" s="170"/>
      <c r="K307" s="53"/>
      <c r="L307" s="53"/>
      <c r="M307" s="53"/>
      <c r="N307" s="171"/>
      <c r="O307" s="170"/>
      <c r="P307" s="53"/>
      <c r="Q307" s="53"/>
      <c r="R307" s="53"/>
      <c r="S307" s="171"/>
      <c r="T307" s="170"/>
      <c r="U307" s="53"/>
      <c r="V307" s="53"/>
      <c r="W307" s="53"/>
      <c r="X307" s="171"/>
      <c r="Y307" s="170"/>
      <c r="Z307" s="170"/>
      <c r="AA307" s="170"/>
      <c r="AB307" s="170"/>
      <c r="AC307" s="170"/>
      <c r="AD307" s="53"/>
      <c r="AE307" s="53"/>
    </row>
    <row r="308">
      <c r="A308" s="53"/>
      <c r="B308" s="53" t="str">
        <f>IFERROR(__xludf.DUMMYFUNCTION("""COMPUTED_VALUE"""),"2607D090
Elvina Debora
082211912128
Instagram")</f>
        <v>2607D090
Elvina Debora
082211912128
Instagram</v>
      </c>
      <c r="C308" s="168" t="str">
        <f>IFERROR(__xludf.DUMMYFUNCTION("""COMPUTED_VALUE"""),"OT 3h2m
 pax
Rp0")</f>
        <v>OT 3h2m
 pax
Rp0</v>
      </c>
      <c r="D308" s="169" t="str">
        <f>IFERROR(__xludf.DUMMYFUNCTION("""COMPUTED_VALUE"""),"fu 1 agustus")</f>
        <v>fu 1 agustus</v>
      </c>
      <c r="E308" s="170"/>
      <c r="F308" s="53"/>
      <c r="G308" s="53"/>
      <c r="H308" s="53"/>
      <c r="I308" s="171"/>
      <c r="J308" s="170"/>
      <c r="K308" s="53"/>
      <c r="L308" s="53"/>
      <c r="M308" s="53"/>
      <c r="N308" s="171"/>
      <c r="O308" s="170"/>
      <c r="P308" s="53"/>
      <c r="Q308" s="53"/>
      <c r="R308" s="53"/>
      <c r="S308" s="171"/>
      <c r="T308" s="170"/>
      <c r="U308" s="53"/>
      <c r="V308" s="53"/>
      <c r="W308" s="53"/>
      <c r="X308" s="171"/>
      <c r="Y308" s="170"/>
      <c r="Z308" s="170"/>
      <c r="AA308" s="170"/>
      <c r="AB308" s="170"/>
      <c r="AC308" s="170"/>
      <c r="AD308" s="53"/>
      <c r="AE308" s="53"/>
    </row>
    <row r="309">
      <c r="A309" s="53"/>
      <c r="B309" s="53" t="str">
        <f>IFERROR(__xludf.DUMMYFUNCTION("""COMPUTED_VALUE"""),"2607D092
Yasmina
082138580336
Instagram")</f>
        <v>2607D092
Yasmina
082138580336
Instagram</v>
      </c>
      <c r="C309" s="168" t="str">
        <f>IFERROR(__xludf.DUMMYFUNCTION("""COMPUTED_VALUE"""),"OT 3h2m
 pax
Rp0")</f>
        <v>OT 3h2m
 pax
Rp0</v>
      </c>
      <c r="D309" s="169" t="str">
        <f>IFERROR(__xludf.DUMMYFUNCTION("""COMPUTED_VALUE"""),"tidak jadii menggunakan jasa travel")</f>
        <v>tidak jadii menggunakan jasa travel</v>
      </c>
      <c r="E309" s="170"/>
      <c r="F309" s="53"/>
      <c r="G309" s="53"/>
      <c r="H309" s="53"/>
      <c r="I309" s="171"/>
      <c r="J309" s="170"/>
      <c r="K309" s="53"/>
      <c r="L309" s="53"/>
      <c r="M309" s="53"/>
      <c r="N309" s="171"/>
      <c r="O309" s="170"/>
      <c r="P309" s="53"/>
      <c r="Q309" s="53"/>
      <c r="R309" s="53"/>
      <c r="S309" s="171"/>
      <c r="T309" s="170"/>
      <c r="U309" s="53"/>
      <c r="V309" s="53"/>
      <c r="W309" s="53"/>
      <c r="X309" s="171"/>
      <c r="Y309" s="170"/>
      <c r="Z309" s="170"/>
      <c r="AA309" s="170"/>
      <c r="AB309" s="170"/>
      <c r="AC309" s="170"/>
      <c r="AD309" s="53"/>
      <c r="AE309" s="53"/>
    </row>
    <row r="310">
      <c r="A310" s="53"/>
      <c r="B310" s="53" t="str">
        <f>IFERROR(__xludf.DUMMYFUNCTION("""COMPUTED_VALUE"""),"2607D094
Bagus Dwiatmojo
081324051000
Instagram")</f>
        <v>2607D094
Bagus Dwiatmojo
081324051000
Instagram</v>
      </c>
      <c r="C310" s="168" t="str">
        <f>IFERROR(__xludf.DUMMYFUNCTION("""COMPUTED_VALUE"""),"3H2M
46249
 pax
Rp0")</f>
        <v>3H2M
46249
 pax
Rp0</v>
      </c>
      <c r="D310" s="169" t="str">
        <f>IFERROR(__xludf.DUMMYFUNCTION("""COMPUTED_VALUE"""),"tanya itinerary, FU 29 Juli")</f>
        <v>tanya itinerary, FU 29 Juli</v>
      </c>
      <c r="E310" s="170"/>
      <c r="F310" s="53"/>
      <c r="G310" s="53"/>
      <c r="H310" s="53"/>
      <c r="I310" s="171"/>
      <c r="J310" s="170"/>
      <c r="K310" s="53"/>
      <c r="L310" s="53"/>
      <c r="M310" s="53"/>
      <c r="N310" s="171"/>
      <c r="O310" s="170"/>
      <c r="P310" s="53"/>
      <c r="Q310" s="53"/>
      <c r="R310" s="53"/>
      <c r="S310" s="171"/>
      <c r="T310" s="170"/>
      <c r="U310" s="53"/>
      <c r="V310" s="53"/>
      <c r="W310" s="53"/>
      <c r="X310" s="171"/>
      <c r="Y310" s="170"/>
      <c r="Z310" s="170"/>
      <c r="AA310" s="170"/>
      <c r="AB310" s="170"/>
      <c r="AC310" s="170"/>
      <c r="AD310" s="53"/>
      <c r="AE310" s="53"/>
    </row>
    <row r="311">
      <c r="A311" s="53"/>
      <c r="B311" s="53" t="str">
        <f>IFERROR(__xludf.DUMMYFUNCTION("""COMPUTED_VALUE"""),"2607D095
Alfiyyah
085959745670
Website")</f>
        <v>2607D095
Alfiyyah
085959745670
Website</v>
      </c>
      <c r="C311" s="168" t="str">
        <f>IFERROR(__xludf.DUMMYFUNCTION("""COMPUTED_VALUE"""),"OT TI, OT baluran
46223
 pax
Rp0")</f>
        <v>OT TI, OT baluran
46223
 pax
Rp0</v>
      </c>
      <c r="D311" s="169" t="str">
        <f>IFERROR(__xludf.DUMMYFUNCTION("""COMPUTED_VALUE"""),"fu terakhir")</f>
        <v>fu terakhir</v>
      </c>
      <c r="E311" s="170"/>
      <c r="F311" s="53"/>
      <c r="G311" s="53"/>
      <c r="H311" s="53"/>
      <c r="I311" s="171"/>
      <c r="J311" s="170"/>
      <c r="K311" s="53"/>
      <c r="L311" s="53"/>
      <c r="M311" s="53"/>
      <c r="N311" s="171"/>
      <c r="O311" s="170"/>
      <c r="P311" s="53"/>
      <c r="Q311" s="53"/>
      <c r="R311" s="53"/>
      <c r="S311" s="171"/>
      <c r="T311" s="170"/>
      <c r="U311" s="53"/>
      <c r="V311" s="53"/>
      <c r="W311" s="53"/>
      <c r="X311" s="171"/>
      <c r="Y311" s="170"/>
      <c r="Z311" s="170"/>
      <c r="AA311" s="170"/>
      <c r="AB311" s="170"/>
      <c r="AC311" s="170"/>
      <c r="AD311" s="53"/>
      <c r="AE311" s="53"/>
    </row>
    <row r="312">
      <c r="A312" s="53"/>
      <c r="B312" s="53" t="str">
        <f>IFERROR(__xludf.DUMMYFUNCTION("""COMPUTED_VALUE"""),"2607D096
Lindhuet
082136993306
Website")</f>
        <v>2607D096
Lindhuet
082136993306
Website</v>
      </c>
      <c r="C312" s="168" t="str">
        <f>IFERROR(__xludf.DUMMYFUNCTION("""COMPUTED_VALUE"""),"
 pax
Rp0")</f>
        <v>
 pax
Rp0</v>
      </c>
      <c r="D312" s="169" t="str">
        <f>IFERROR(__xludf.DUMMYFUNCTION("""COMPUTED_VALUE"""),"baru menyapa, FU 2 Agustus")</f>
        <v>baru menyapa, FU 2 Agustus</v>
      </c>
      <c r="E312" s="170"/>
      <c r="F312" s="53"/>
      <c r="G312" s="53"/>
      <c r="H312" s="53"/>
      <c r="I312" s="171"/>
      <c r="J312" s="170"/>
      <c r="K312" s="53"/>
      <c r="L312" s="53"/>
      <c r="M312" s="53"/>
      <c r="N312" s="171"/>
      <c r="O312" s="170"/>
      <c r="P312" s="53"/>
      <c r="Q312" s="53"/>
      <c r="R312" s="53"/>
      <c r="S312" s="171"/>
      <c r="T312" s="170"/>
      <c r="U312" s="53"/>
      <c r="V312" s="53"/>
      <c r="W312" s="53"/>
      <c r="X312" s="171"/>
      <c r="Y312" s="170"/>
      <c r="Z312" s="170"/>
      <c r="AA312" s="170"/>
      <c r="AB312" s="170"/>
      <c r="AC312" s="170"/>
      <c r="AD312" s="53"/>
      <c r="AE312" s="53"/>
    </row>
    <row r="313">
      <c r="A313" s="53"/>
      <c r="B313" s="53" t="str">
        <f>IFERROR(__xludf.DUMMYFUNCTION("""COMPUTED_VALUE"""),"2607D097
Rahmawati.nurf
085524477985
Instagram")</f>
        <v>2607D097
Rahmawati.nurf
085524477985
Instagram</v>
      </c>
      <c r="C313" s="168" t="str">
        <f>IFERROR(__xludf.DUMMYFUNCTION("""COMPUTED_VALUE"""),"OT 3H2M
 pax
Rp0")</f>
        <v>OT 3H2M
 pax
Rp0</v>
      </c>
      <c r="D313" s="169" t="str">
        <f>IFERROR(__xludf.DUMMYFUNCTION("""COMPUTED_VALUE"""),"tanya dokumentasi, FU 31 Juli")</f>
        <v>tanya dokumentasi, FU 31 Juli</v>
      </c>
      <c r="E313" s="170"/>
      <c r="F313" s="53"/>
      <c r="G313" s="53"/>
      <c r="H313" s="53"/>
      <c r="I313" s="171"/>
      <c r="J313" s="170"/>
      <c r="K313" s="53"/>
      <c r="L313" s="53"/>
      <c r="M313" s="53"/>
      <c r="N313" s="171"/>
      <c r="O313" s="170"/>
      <c r="P313" s="53"/>
      <c r="Q313" s="53"/>
      <c r="R313" s="53"/>
      <c r="S313" s="171"/>
      <c r="T313" s="170"/>
      <c r="U313" s="53"/>
      <c r="V313" s="53"/>
      <c r="W313" s="53"/>
      <c r="X313" s="171"/>
      <c r="Y313" s="170"/>
      <c r="Z313" s="170"/>
      <c r="AA313" s="170"/>
      <c r="AB313" s="170"/>
      <c r="AC313" s="170"/>
      <c r="AD313" s="53"/>
      <c r="AE313" s="53"/>
    </row>
    <row r="314">
      <c r="A314" s="53"/>
      <c r="B314" s="53" t="str">
        <f>IFERROR(__xludf.DUMMYFUNCTION("""COMPUTED_VALUE"""),"2607D098
Beya
082258521629
Instagram")</f>
        <v>2607D098
Beya
082258521629
Instagram</v>
      </c>
      <c r="C314" s="168" t="str">
        <f>IFERROR(__xludf.DUMMYFUNCTION("""COMPUTED_VALUE"""),"OT 3H2M
 pax
Rp0")</f>
        <v>OT 3H2M
 pax
Rp0</v>
      </c>
      <c r="D314" s="169" t="str">
        <f>IFERROR(__xludf.DUMMYFUNCTION("""COMPUTED_VALUE"""),"FU 30 juli")</f>
        <v>FU 30 juli</v>
      </c>
      <c r="E314" s="170"/>
      <c r="F314" s="53"/>
      <c r="G314" s="53"/>
      <c r="H314" s="53"/>
      <c r="I314" s="171"/>
      <c r="J314" s="170"/>
      <c r="K314" s="53"/>
      <c r="L314" s="53"/>
      <c r="M314" s="53"/>
      <c r="N314" s="171"/>
      <c r="O314" s="170"/>
      <c r="P314" s="53"/>
      <c r="Q314" s="53"/>
      <c r="R314" s="53"/>
      <c r="S314" s="171"/>
      <c r="T314" s="170"/>
      <c r="U314" s="53"/>
      <c r="V314" s="53"/>
      <c r="W314" s="53"/>
      <c r="X314" s="171"/>
      <c r="Y314" s="170"/>
      <c r="Z314" s="170"/>
      <c r="AA314" s="170"/>
      <c r="AB314" s="170"/>
      <c r="AC314" s="170"/>
      <c r="AD314" s="53"/>
      <c r="AE314" s="53"/>
    </row>
    <row r="315">
      <c r="A315" s="53"/>
      <c r="B315" s="53" t="str">
        <f>IFERROR(__xludf.DUMMYFUNCTION("""COMPUTED_VALUE"""),"2607D099
Alya
081328836284
Instagram")</f>
        <v>2607D099
Alya
081328836284
Instagram</v>
      </c>
      <c r="C315" s="168" t="str">
        <f>IFERROR(__xludf.DUMMYFUNCTION("""COMPUTED_VALUE"""),"OT 3H2M
 pax
Rp0")</f>
        <v>OT 3H2M
 pax
Rp0</v>
      </c>
      <c r="D315" s="169" t="str">
        <f>IFERROR(__xludf.DUMMYFUNCTION("""COMPUTED_VALUE"""),"menyapa, FU 30 juli")</f>
        <v>menyapa, FU 30 juli</v>
      </c>
      <c r="E315" s="170"/>
      <c r="F315" s="53"/>
      <c r="G315" s="53"/>
      <c r="H315" s="53"/>
      <c r="I315" s="171"/>
      <c r="J315" s="170"/>
      <c r="K315" s="53"/>
      <c r="L315" s="53"/>
      <c r="M315" s="53"/>
      <c r="N315" s="171"/>
      <c r="O315" s="170"/>
      <c r="P315" s="53"/>
      <c r="Q315" s="53"/>
      <c r="R315" s="53"/>
      <c r="S315" s="171"/>
      <c r="T315" s="170"/>
      <c r="U315" s="53"/>
      <c r="V315" s="53"/>
      <c r="W315" s="53"/>
      <c r="X315" s="171"/>
      <c r="Y315" s="170"/>
      <c r="Z315" s="170"/>
      <c r="AA315" s="170"/>
      <c r="AB315" s="170"/>
      <c r="AC315" s="170"/>
      <c r="AD315" s="53"/>
      <c r="AE315" s="53"/>
    </row>
    <row r="316">
      <c r="A316" s="53"/>
      <c r="B316" s="53" t="str">
        <f>IFERROR(__xludf.DUMMYFUNCTION("""COMPUTED_VALUE"""),"2607D100
Feby Aris
0895387144111
Instagram")</f>
        <v>2607D100
Feby Aris
0895387144111
Instagram</v>
      </c>
      <c r="C316" s="168" t="str">
        <f>IFERROR(__xludf.DUMMYFUNCTION("""COMPUTED_VALUE"""),"OT 3H2M
46286
2 pax
Rp0")</f>
        <v>OT 3H2M
46286
2 pax
Rp0</v>
      </c>
      <c r="D316" s="169" t="str">
        <f>IFERROR(__xludf.DUMMYFUNCTION("""COMPUTED_VALUE"""),"FU 12 Agustus")</f>
        <v>FU 12 Agustus</v>
      </c>
      <c r="E316" s="170"/>
      <c r="F316" s="53"/>
      <c r="G316" s="53"/>
      <c r="H316" s="53"/>
      <c r="I316" s="171"/>
      <c r="J316" s="170"/>
      <c r="K316" s="53"/>
      <c r="L316" s="53"/>
      <c r="M316" s="53"/>
      <c r="N316" s="171"/>
      <c r="O316" s="170"/>
      <c r="P316" s="53"/>
      <c r="Q316" s="53"/>
      <c r="R316" s="53"/>
      <c r="S316" s="171"/>
      <c r="T316" s="170"/>
      <c r="U316" s="53"/>
      <c r="V316" s="53"/>
      <c r="W316" s="53"/>
      <c r="X316" s="171"/>
      <c r="Y316" s="170"/>
      <c r="Z316" s="170"/>
      <c r="AA316" s="170"/>
      <c r="AB316" s="170"/>
      <c r="AC316" s="170"/>
      <c r="AD316" s="53"/>
      <c r="AE316" s="53"/>
    </row>
    <row r="317">
      <c r="A317" s="53"/>
      <c r="B317" s="53" t="str">
        <f>IFERROR(__xludf.DUMMYFUNCTION("""COMPUTED_VALUE"""),"2607D101
Dhini
085780969178
Instagram")</f>
        <v>2607D101
Dhini
085780969178
Instagram</v>
      </c>
      <c r="C317" s="168" t="str">
        <f>IFERROR(__xludf.DUMMYFUNCTION("""COMPUTED_VALUE"""),"PT MT
46223
 pax
Rp0")</f>
        <v>PT MT
46223
 pax
Rp0</v>
      </c>
      <c r="D317" s="169" t="str">
        <f>IFERROR(__xludf.DUMMYFUNCTION("""COMPUTED_VALUE"""),"FU terakhir")</f>
        <v>FU terakhir</v>
      </c>
      <c r="E317" s="170"/>
      <c r="F317" s="53"/>
      <c r="G317" s="53"/>
      <c r="H317" s="53"/>
      <c r="I317" s="171"/>
      <c r="J317" s="170"/>
      <c r="K317" s="53"/>
      <c r="L317" s="53"/>
      <c r="M317" s="53"/>
      <c r="N317" s="171"/>
      <c r="O317" s="170"/>
      <c r="P317" s="53"/>
      <c r="Q317" s="53"/>
      <c r="R317" s="53"/>
      <c r="S317" s="171"/>
      <c r="T317" s="170"/>
      <c r="U317" s="53"/>
      <c r="V317" s="53"/>
      <c r="W317" s="53"/>
      <c r="X317" s="171"/>
      <c r="Y317" s="170"/>
      <c r="Z317" s="170"/>
      <c r="AA317" s="170"/>
      <c r="AB317" s="170"/>
      <c r="AC317" s="170"/>
      <c r="AD317" s="53"/>
      <c r="AE317" s="53"/>
    </row>
    <row r="318">
      <c r="A318" s="53"/>
      <c r="B318" s="53" t="str">
        <f>IFERROR(__xludf.DUMMYFUNCTION("""COMPUTED_VALUE"""),"1607D103
Huda
6737414481
Rekomendasi")</f>
        <v>1607D103
Huda
6737414481
Rekomendasi</v>
      </c>
      <c r="C318" s="168" t="str">
        <f>IFERROR(__xludf.DUMMYFUNCTION("""COMPUTED_VALUE"""),"trip kawah Ijen
 pax
Rp0")</f>
        <v>trip kawah Ijen
 pax
Rp0</v>
      </c>
      <c r="D318" s="169"/>
      <c r="E318" s="170"/>
      <c r="F318" s="53"/>
      <c r="G318" s="53"/>
      <c r="H318" s="53"/>
      <c r="I318" s="171"/>
      <c r="J318" s="170"/>
      <c r="K318" s="53"/>
      <c r="L318" s="53"/>
      <c r="M318" s="53"/>
      <c r="N318" s="171"/>
      <c r="O318" s="170"/>
      <c r="P318" s="53"/>
      <c r="Q318" s="53"/>
      <c r="R318" s="53"/>
      <c r="S318" s="171"/>
      <c r="T318" s="170"/>
      <c r="U318" s="53"/>
      <c r="V318" s="53"/>
      <c r="W318" s="53"/>
      <c r="X318" s="171"/>
      <c r="Y318" s="170"/>
      <c r="Z318" s="170"/>
      <c r="AA318" s="170"/>
      <c r="AB318" s="170"/>
      <c r="AC318" s="170"/>
      <c r="AD318" s="53"/>
      <c r="AE318" s="53"/>
    </row>
    <row r="319">
      <c r="A319" s="53"/>
      <c r="B319" s="53" t="str">
        <f>IFERROR(__xludf.DUMMYFUNCTION("""COMPUTED_VALUE"""),"2607D104
Eka Sari
082157070962
Instagram")</f>
        <v>2607D104
Eka Sari
082157070962
Instagram</v>
      </c>
      <c r="C319" s="168" t="str">
        <f>IFERROR(__xludf.DUMMYFUNCTION("""COMPUTED_VALUE"""),"2H1M custome
3 pax
Rp0")</f>
        <v>2H1M custome
3 pax
Rp0</v>
      </c>
      <c r="D319" s="169" t="str">
        <f>IFERROR(__xludf.DUMMYFUNCTION("""COMPUTED_VALUE"""),"nunggu jadwal cuti, FU 14 Agustus")</f>
        <v>nunggu jadwal cuti, FU 14 Agustus</v>
      </c>
      <c r="E319" s="170"/>
      <c r="F319" s="53"/>
      <c r="G319" s="53"/>
      <c r="H319" s="53"/>
      <c r="I319" s="171"/>
      <c r="J319" s="170"/>
      <c r="K319" s="53"/>
      <c r="L319" s="53"/>
      <c r="M319" s="53"/>
      <c r="N319" s="171"/>
      <c r="O319" s="170"/>
      <c r="P319" s="53"/>
      <c r="Q319" s="53"/>
      <c r="R319" s="53"/>
      <c r="S319" s="171"/>
      <c r="T319" s="170"/>
      <c r="U319" s="53"/>
      <c r="V319" s="53"/>
      <c r="W319" s="53"/>
      <c r="X319" s="171"/>
      <c r="Y319" s="170"/>
      <c r="Z319" s="170"/>
      <c r="AA319" s="170"/>
      <c r="AB319" s="170"/>
      <c r="AC319" s="170"/>
      <c r="AD319" s="53"/>
      <c r="AE319" s="53"/>
    </row>
    <row r="320">
      <c r="A320" s="53"/>
      <c r="B320" s="53" t="str">
        <f>IFERROR(__xludf.DUMMYFUNCTION("""COMPUTED_VALUE"""),"2607D105
Feli
081234835990
Instagram")</f>
        <v>2607D105
Feli
081234835990
Instagram</v>
      </c>
      <c r="C320" s="168" t="str">
        <f>IFERROR(__xludf.DUMMYFUNCTION("""COMPUTED_VALUE"""),"2H1M custome
 pax
Rp0")</f>
        <v>2H1M custome
 pax
Rp0</v>
      </c>
      <c r="D320" s="169" t="str">
        <f>IFERROR(__xludf.DUMMYFUNCTION("""COMPUTED_VALUE"""),"minta di FU 31 Juli")</f>
        <v>minta di FU 31 Juli</v>
      </c>
      <c r="E320" s="170"/>
      <c r="F320" s="53"/>
      <c r="G320" s="53"/>
      <c r="H320" s="53"/>
      <c r="I320" s="171"/>
      <c r="J320" s="170"/>
      <c r="K320" s="53"/>
      <c r="L320" s="53"/>
      <c r="M320" s="53"/>
      <c r="N320" s="171"/>
      <c r="O320" s="170"/>
      <c r="P320" s="53"/>
      <c r="Q320" s="53"/>
      <c r="R320" s="53"/>
      <c r="S320" s="171"/>
      <c r="T320" s="170"/>
      <c r="U320" s="53"/>
      <c r="V320" s="53"/>
      <c r="W320" s="53"/>
      <c r="X320" s="171"/>
      <c r="Y320" s="170"/>
      <c r="Z320" s="170"/>
      <c r="AA320" s="170"/>
      <c r="AB320" s="170"/>
      <c r="AC320" s="170"/>
      <c r="AD320" s="53"/>
      <c r="AE320" s="53"/>
    </row>
    <row r="321">
      <c r="A321" s="53"/>
      <c r="B321" s="53" t="str">
        <f>IFERROR(__xludf.DUMMYFUNCTION("""COMPUTED_VALUE"""),"2607D110
Yonna Agustin
087735368314
Website")</f>
        <v>2607D110
Yonna Agustin
087735368314
Website</v>
      </c>
      <c r="C321" s="168" t="str">
        <f>IFERROR(__xludf.DUMMYFUNCTION("""COMPUTED_VALUE"""),"OT 3h2m
46241
3 pax
Rp0")</f>
        <v>OT 3h2m
46241
3 pax
Rp0</v>
      </c>
      <c r="D321" s="169" t="str">
        <f>IFERROR(__xludf.DUMMYFUNCTION("""COMPUTED_VALUE"""),"FU 1 Agustus")</f>
        <v>FU 1 Agustus</v>
      </c>
      <c r="E321" s="170"/>
      <c r="F321" s="53"/>
      <c r="G321" s="53"/>
      <c r="H321" s="53"/>
      <c r="I321" s="171"/>
      <c r="J321" s="170"/>
      <c r="K321" s="53"/>
      <c r="L321" s="53"/>
      <c r="M321" s="53"/>
      <c r="N321" s="171"/>
      <c r="O321" s="170"/>
      <c r="P321" s="53"/>
      <c r="Q321" s="53"/>
      <c r="R321" s="53"/>
      <c r="S321" s="171"/>
      <c r="T321" s="170"/>
      <c r="U321" s="53"/>
      <c r="V321" s="53"/>
      <c r="W321" s="53"/>
      <c r="X321" s="171"/>
      <c r="Y321" s="170"/>
      <c r="Z321" s="170"/>
      <c r="AA321" s="170"/>
      <c r="AB321" s="170"/>
      <c r="AC321" s="170"/>
      <c r="AD321" s="53"/>
      <c r="AE321" s="53"/>
    </row>
    <row r="322">
      <c r="A322" s="53"/>
      <c r="B322" s="53" t="str">
        <f>IFERROR(__xludf.DUMMYFUNCTION("""COMPUTED_VALUE"""),"2607D111
Nada
085774104208
Instagram")</f>
        <v>2607D111
Nada
085774104208
Instagram</v>
      </c>
      <c r="C322" s="168" t="str">
        <f>IFERROR(__xludf.DUMMYFUNCTION("""COMPUTED_VALUE"""),"3H2M custome
46255
2 pax
Rp0")</f>
        <v>3H2M custome
46255
2 pax
Rp0</v>
      </c>
      <c r="D322" s="169" t="str">
        <f>IFERROR(__xludf.DUMMYFUNCTION("""COMPUTED_VALUE"""),"FU 3 agustus")</f>
        <v>FU 3 agustus</v>
      </c>
      <c r="E322" s="170"/>
      <c r="F322" s="53"/>
      <c r="G322" s="53"/>
      <c r="H322" s="53"/>
      <c r="I322" s="171"/>
      <c r="J322" s="170"/>
      <c r="K322" s="53"/>
      <c r="L322" s="53"/>
      <c r="M322" s="53"/>
      <c r="N322" s="171"/>
      <c r="O322" s="170"/>
      <c r="P322" s="53"/>
      <c r="Q322" s="53"/>
      <c r="R322" s="53"/>
      <c r="S322" s="171"/>
      <c r="T322" s="170"/>
      <c r="U322" s="53"/>
      <c r="V322" s="53"/>
      <c r="W322" s="53"/>
      <c r="X322" s="171"/>
      <c r="Y322" s="170"/>
      <c r="Z322" s="170"/>
      <c r="AA322" s="170"/>
      <c r="AB322" s="170"/>
      <c r="AC322" s="170"/>
      <c r="AD322" s="53"/>
      <c r="AE322" s="53"/>
    </row>
    <row r="323">
      <c r="A323" s="53"/>
      <c r="B323" s="53" t="str">
        <f>IFERROR(__xludf.DUMMYFUNCTION("""COMPUTED_VALUE"""),"2607D112
Villona 
085119991631
Instagram")</f>
        <v>2607D112
Villona 
085119991631
Instagram</v>
      </c>
      <c r="C323" s="168" t="str">
        <f>IFERROR(__xludf.DUMMYFUNCTION("""COMPUTED_VALUE"""),"
 pax
Rp0")</f>
        <v>
 pax
Rp0</v>
      </c>
      <c r="D323" s="169" t="str">
        <f>IFERROR(__xludf.DUMMYFUNCTION("""COMPUTED_VALUE"""),"baru menyapa")</f>
        <v>baru menyapa</v>
      </c>
      <c r="E323" s="170"/>
      <c r="F323" s="53"/>
      <c r="G323" s="53"/>
      <c r="H323" s="53"/>
      <c r="I323" s="171"/>
      <c r="J323" s="170"/>
      <c r="K323" s="53"/>
      <c r="L323" s="53"/>
      <c r="M323" s="53"/>
      <c r="N323" s="171"/>
      <c r="O323" s="170"/>
      <c r="P323" s="53"/>
      <c r="Q323" s="53"/>
      <c r="R323" s="53"/>
      <c r="S323" s="171"/>
      <c r="T323" s="170"/>
      <c r="U323" s="53"/>
      <c r="V323" s="53"/>
      <c r="W323" s="53"/>
      <c r="X323" s="171"/>
      <c r="Y323" s="170"/>
      <c r="Z323" s="170"/>
      <c r="AA323" s="170"/>
      <c r="AB323" s="170"/>
      <c r="AC323" s="170"/>
      <c r="AD323" s="53"/>
      <c r="AE323" s="53"/>
    </row>
    <row r="324">
      <c r="A324" s="53"/>
      <c r="B324" s="53" t="str">
        <f>IFERROR(__xludf.DUMMYFUNCTION("""COMPUTED_VALUE"""),"2607D113
James westcot
447497851278
Instagram")</f>
        <v>2607D113
James westcot
447497851278
Instagram</v>
      </c>
      <c r="C324" s="168" t="str">
        <f>IFERROR(__xludf.DUMMYFUNCTION("""COMPUTED_VALUE"""),"OT Ijen
46225
2 pax
Rp0")</f>
        <v>OT Ijen
46225
2 pax
Rp0</v>
      </c>
      <c r="D324" s="169" t="str">
        <f>IFERROR(__xludf.DUMMYFUNCTION("""COMPUTED_VALUE"""),"kelewat tanggal tp tetep coba di FU ")</f>
        <v>kelewat tanggal tp tetep coba di FU </v>
      </c>
      <c r="E324" s="170"/>
      <c r="F324" s="53"/>
      <c r="G324" s="53"/>
      <c r="H324" s="53"/>
      <c r="I324" s="171"/>
      <c r="J324" s="170"/>
      <c r="K324" s="53"/>
      <c r="L324" s="53"/>
      <c r="M324" s="53"/>
      <c r="N324" s="171"/>
      <c r="O324" s="170"/>
      <c r="P324" s="53"/>
      <c r="Q324" s="53"/>
      <c r="R324" s="53"/>
      <c r="S324" s="171"/>
      <c r="T324" s="170"/>
      <c r="U324" s="53"/>
      <c r="V324" s="53"/>
      <c r="W324" s="53"/>
      <c r="X324" s="171"/>
      <c r="Y324" s="170"/>
      <c r="Z324" s="170"/>
      <c r="AA324" s="170"/>
      <c r="AB324" s="170"/>
      <c r="AC324" s="170"/>
      <c r="AD324" s="53"/>
      <c r="AE324" s="53"/>
    </row>
    <row r="325">
      <c r="A325" s="53"/>
      <c r="B325" s="53" t="str">
        <f>IFERROR(__xludf.DUMMYFUNCTION("""COMPUTED_VALUE"""),"2607D114
Fiaa
083847493564
Instagram")</f>
        <v>2607D114
Fiaa
083847493564
Instagram</v>
      </c>
      <c r="C325" s="168" t="str">
        <f>IFERROR(__xludf.DUMMYFUNCTION("""COMPUTED_VALUE"""),"OT Green Island
46235
2 pax
Rp0")</f>
        <v>OT Green Island
46235
2 pax
Rp0</v>
      </c>
      <c r="D325" s="169" t="str">
        <f>IFERROR(__xludf.DUMMYFUNCTION("""COMPUTED_VALUE"""),"FU 29 Juli")</f>
        <v>FU 29 Juli</v>
      </c>
      <c r="E325" s="170"/>
      <c r="F325" s="53"/>
      <c r="G325" s="53"/>
      <c r="H325" s="53"/>
      <c r="I325" s="171"/>
      <c r="J325" s="170"/>
      <c r="K325" s="53"/>
      <c r="L325" s="53"/>
      <c r="M325" s="53"/>
      <c r="N325" s="171"/>
      <c r="O325" s="170"/>
      <c r="P325" s="53"/>
      <c r="Q325" s="53"/>
      <c r="R325" s="53"/>
      <c r="S325" s="171"/>
      <c r="T325" s="170"/>
      <c r="U325" s="53"/>
      <c r="V325" s="53"/>
      <c r="W325" s="53"/>
      <c r="X325" s="171"/>
      <c r="Y325" s="170"/>
      <c r="Z325" s="170"/>
      <c r="AA325" s="170"/>
      <c r="AB325" s="170"/>
      <c r="AC325" s="170"/>
      <c r="AD325" s="53"/>
      <c r="AE325" s="53"/>
    </row>
    <row r="326">
      <c r="A326" s="53"/>
      <c r="B326" s="53" t="str">
        <f>IFERROR(__xludf.DUMMYFUNCTION("""COMPUTED_VALUE"""),"2607D116
Aninda
081393304508
Instagram")</f>
        <v>2607D116
Aninda
081393304508
Instagram</v>
      </c>
      <c r="C326" s="168" t="str">
        <f>IFERROR(__xludf.DUMMYFUNCTION("""COMPUTED_VALUE"""),"3H2M opsi A
6 pax
Rp0")</f>
        <v>3H2M opsi A
6 pax
Rp0</v>
      </c>
      <c r="D326" s="169" t="str">
        <f>IFERROR(__xludf.DUMMYFUNCTION("""COMPUTED_VALUE"""),"masih tanya2 untuk liburan akhir tahun, FU 5 oktober")</f>
        <v>masih tanya2 untuk liburan akhir tahun, FU 5 oktober</v>
      </c>
      <c r="E326" s="170"/>
      <c r="F326" s="53"/>
      <c r="G326" s="53"/>
      <c r="H326" s="53"/>
      <c r="I326" s="171"/>
      <c r="J326" s="170"/>
      <c r="K326" s="53"/>
      <c r="L326" s="53"/>
      <c r="M326" s="53"/>
      <c r="N326" s="171"/>
      <c r="O326" s="170"/>
      <c r="P326" s="53"/>
      <c r="Q326" s="53"/>
      <c r="R326" s="53"/>
      <c r="S326" s="171"/>
      <c r="T326" s="170"/>
      <c r="U326" s="53"/>
      <c r="V326" s="53"/>
      <c r="W326" s="53"/>
      <c r="X326" s="171"/>
      <c r="Y326" s="170"/>
      <c r="Z326" s="170"/>
      <c r="AA326" s="170"/>
      <c r="AB326" s="170"/>
      <c r="AC326" s="170"/>
      <c r="AD326" s="53"/>
      <c r="AE326" s="53"/>
    </row>
    <row r="327">
      <c r="A327" s="53"/>
      <c r="B327" s="53" t="str">
        <f>IFERROR(__xludf.DUMMYFUNCTION("""COMPUTED_VALUE"""),"2607D117
Zelda
085695078150
Instagram")</f>
        <v>2607D117
Zelda
085695078150
Instagram</v>
      </c>
      <c r="C327" s="168" t="str">
        <f>IFERROR(__xludf.DUMMYFUNCTION("""COMPUTED_VALUE"""),"3H2M customre
46311
40 pax
Rp0")</f>
        <v>3H2M customre
46311
40 pax
Rp0</v>
      </c>
      <c r="D327" s="169" t="str">
        <f>IFERROR(__xludf.DUMMYFUNCTION("""COMPUTED_VALUE"""),"kirim penawaran, FU 22 Agustus")</f>
        <v>kirim penawaran, FU 22 Agustus</v>
      </c>
      <c r="E327" s="170"/>
      <c r="F327" s="53"/>
      <c r="G327" s="53"/>
      <c r="H327" s="53"/>
      <c r="I327" s="171"/>
      <c r="J327" s="170"/>
      <c r="K327" s="53"/>
      <c r="L327" s="53"/>
      <c r="M327" s="53"/>
      <c r="N327" s="171"/>
      <c r="O327" s="170"/>
      <c r="P327" s="53"/>
      <c r="Q327" s="53"/>
      <c r="R327" s="53"/>
      <c r="S327" s="171"/>
      <c r="T327" s="170"/>
      <c r="U327" s="53"/>
      <c r="V327" s="53"/>
      <c r="W327" s="53"/>
      <c r="X327" s="171"/>
      <c r="Y327" s="170"/>
      <c r="Z327" s="170"/>
      <c r="AA327" s="170"/>
      <c r="AB327" s="170"/>
      <c r="AC327" s="170"/>
      <c r="AD327" s="53"/>
      <c r="AE327" s="53"/>
    </row>
    <row r="328">
      <c r="A328" s="53"/>
      <c r="B328" s="53" t="str">
        <f>IFERROR(__xludf.DUMMYFUNCTION("""COMPUTED_VALUE"""),"2607D119
Yodi
081389007558
Instagram")</f>
        <v>2607D119
Yodi
081389007558
Instagram</v>
      </c>
      <c r="C328" s="168" t="str">
        <f>IFERROR(__xludf.DUMMYFUNCTION("""COMPUTED_VALUE"""),"3H2M 
46240
4 pax
Rp0")</f>
        <v>3H2M 
46240
4 pax
Rp0</v>
      </c>
      <c r="D328" s="169" t="str">
        <f>IFERROR(__xludf.DUMMYFUNCTION("""COMPUTED_VALUE"""),"fu 1 Agustus")</f>
        <v>fu 1 Agustus</v>
      </c>
      <c r="E328" s="170"/>
      <c r="F328" s="53"/>
      <c r="G328" s="53"/>
      <c r="H328" s="53"/>
      <c r="I328" s="171"/>
      <c r="J328" s="170"/>
      <c r="K328" s="53"/>
      <c r="L328" s="53"/>
      <c r="M328" s="53"/>
      <c r="N328" s="171"/>
      <c r="O328" s="170"/>
      <c r="P328" s="53"/>
      <c r="Q328" s="53"/>
      <c r="R328" s="53"/>
      <c r="S328" s="171"/>
      <c r="T328" s="170"/>
      <c r="U328" s="53"/>
      <c r="V328" s="53"/>
      <c r="W328" s="53"/>
      <c r="X328" s="171"/>
      <c r="Y328" s="170"/>
      <c r="Z328" s="170"/>
      <c r="AA328" s="170"/>
      <c r="AB328" s="170"/>
      <c r="AC328" s="170"/>
      <c r="AD328" s="53"/>
      <c r="AE328" s="53"/>
    </row>
    <row r="329">
      <c r="A329" s="53"/>
      <c r="B329" s="53" t="str">
        <f>IFERROR(__xludf.DUMMYFUNCTION("""COMPUTED_VALUE"""),"2607D120
Aysa
083113154413
Website")</f>
        <v>2607D120
Aysa
083113154413
Website</v>
      </c>
      <c r="C329" s="168" t="str">
        <f>IFERROR(__xludf.DUMMYFUNCTION("""COMPUTED_VALUE"""),"trip Baluran
3 pax
Rp0")</f>
        <v>trip Baluran
3 pax
Rp0</v>
      </c>
      <c r="D329" s="169" t="str">
        <f>IFERROR(__xludf.DUMMYFUNCTION("""COMPUTED_VALUE"""),"FU 2 Agustus")</f>
        <v>FU 2 Agustus</v>
      </c>
      <c r="E329" s="170"/>
      <c r="F329" s="53"/>
      <c r="G329" s="53"/>
      <c r="H329" s="53"/>
      <c r="I329" s="171"/>
      <c r="J329" s="170"/>
      <c r="K329" s="53"/>
      <c r="L329" s="53"/>
      <c r="M329" s="53"/>
      <c r="N329" s="171"/>
      <c r="O329" s="170"/>
      <c r="P329" s="53"/>
      <c r="Q329" s="53"/>
      <c r="R329" s="53"/>
      <c r="S329" s="171"/>
      <c r="T329" s="170"/>
      <c r="U329" s="53"/>
      <c r="V329" s="53"/>
      <c r="W329" s="53"/>
      <c r="X329" s="171"/>
      <c r="Y329" s="170"/>
      <c r="Z329" s="170"/>
      <c r="AA329" s="170"/>
      <c r="AB329" s="170"/>
      <c r="AC329" s="170"/>
      <c r="AD329" s="53"/>
      <c r="AE329" s="53"/>
    </row>
    <row r="330">
      <c r="A330" s="53"/>
      <c r="B330" s="53" t="str">
        <f>IFERROR(__xludf.DUMMYFUNCTION("""COMPUTED_VALUE"""),"2607D121
Aufa
082143346756
Instagram")</f>
        <v>2607D121
Aufa
082143346756
Instagram</v>
      </c>
      <c r="C330" s="168" t="str">
        <f>IFERROR(__xludf.DUMMYFUNCTION("""COMPUTED_VALUE"""),"trip 2H1M custome
2 pax
Rp0")</f>
        <v>trip 2H1M custome
2 pax
Rp0</v>
      </c>
      <c r="D330" s="169" t="str">
        <f>IFERROR(__xludf.DUMMYFUNCTION("""COMPUTED_VALUE"""),"dibalas ""sebentar ya"" FU 28 Juli")</f>
        <v>dibalas "sebentar ya" FU 28 Juli</v>
      </c>
      <c r="E330" s="170"/>
      <c r="F330" s="53"/>
      <c r="G330" s="53"/>
      <c r="H330" s="53"/>
      <c r="I330" s="171"/>
      <c r="J330" s="170"/>
      <c r="K330" s="53"/>
      <c r="L330" s="53"/>
      <c r="M330" s="53"/>
      <c r="N330" s="171"/>
      <c r="O330" s="170"/>
      <c r="P330" s="53"/>
      <c r="Q330" s="53"/>
      <c r="R330" s="53"/>
      <c r="S330" s="171"/>
      <c r="T330" s="170"/>
      <c r="U330" s="53"/>
      <c r="V330" s="53"/>
      <c r="W330" s="53"/>
      <c r="X330" s="171"/>
      <c r="Y330" s="170"/>
      <c r="Z330" s="170"/>
      <c r="AA330" s="170"/>
      <c r="AB330" s="170"/>
      <c r="AC330" s="170"/>
      <c r="AD330" s="53"/>
      <c r="AE330" s="53"/>
    </row>
    <row r="331">
      <c r="A331" s="53"/>
      <c r="B331" s="53" t="str">
        <f>IFERROR(__xludf.DUMMYFUNCTION("""COMPUTED_VALUE"""),"2607D122
Fely
082141014839
Instagram")</f>
        <v>2607D122
Fely
082141014839
Instagram</v>
      </c>
      <c r="C331" s="168" t="str">
        <f>IFERROR(__xludf.DUMMYFUNCTION("""COMPUTED_VALUE"""),"OT 3H2M
2 pax
Rp0")</f>
        <v>OT 3H2M
2 pax
Rp0</v>
      </c>
      <c r="D331" s="169" t="str">
        <f>IFERROR(__xludf.DUMMYFUNCTION("""COMPUTED_VALUE"""),"nanti dikabari lagi, FU 28 Juli")</f>
        <v>nanti dikabari lagi, FU 28 Juli</v>
      </c>
      <c r="E331" s="170"/>
      <c r="F331" s="53"/>
      <c r="G331" s="53"/>
      <c r="H331" s="53"/>
      <c r="I331" s="171"/>
      <c r="J331" s="170"/>
      <c r="K331" s="53"/>
      <c r="L331" s="53"/>
      <c r="M331" s="53"/>
      <c r="N331" s="171"/>
      <c r="O331" s="170"/>
      <c r="P331" s="53"/>
      <c r="Q331" s="53"/>
      <c r="R331" s="53"/>
      <c r="S331" s="171"/>
      <c r="T331" s="170"/>
      <c r="U331" s="53"/>
      <c r="V331" s="53"/>
      <c r="W331" s="53"/>
      <c r="X331" s="171"/>
      <c r="Y331" s="170"/>
      <c r="Z331" s="170"/>
      <c r="AA331" s="170"/>
      <c r="AB331" s="170"/>
      <c r="AC331" s="170"/>
      <c r="AD331" s="53"/>
      <c r="AE331" s="53"/>
    </row>
    <row r="332">
      <c r="A332" s="53"/>
      <c r="B332" s="53" t="str">
        <f>IFERROR(__xludf.DUMMYFUNCTION("""COMPUTED_VALUE"""),"2607D123
Rika Nurhasanah
08122234877
Website")</f>
        <v>2607D123
Rika Nurhasanah
08122234877
Website</v>
      </c>
      <c r="C332" s="168" t="str">
        <f>IFERROR(__xludf.DUMMYFUNCTION("""COMPUTED_VALUE"""),"3h2m 
46178 pax
Rp0")</f>
        <v>3h2m 
46178 pax
Rp0</v>
      </c>
      <c r="D332" s="169" t="str">
        <f>IFERROR(__xludf.DUMMYFUNCTION("""COMPUTED_VALUE"""),"masih milih antara opsi a/b, FU 1 Agustus")</f>
        <v>masih milih antara opsi a/b, FU 1 Agustus</v>
      </c>
      <c r="E332" s="170"/>
      <c r="F332" s="53"/>
      <c r="G332" s="53"/>
      <c r="H332" s="53"/>
      <c r="I332" s="171"/>
      <c r="J332" s="170"/>
      <c r="K332" s="53"/>
      <c r="L332" s="53"/>
      <c r="M332" s="53"/>
      <c r="N332" s="171"/>
      <c r="O332" s="170"/>
      <c r="P332" s="53"/>
      <c r="Q332" s="53"/>
      <c r="R332" s="53"/>
      <c r="S332" s="171"/>
      <c r="T332" s="170"/>
      <c r="U332" s="53"/>
      <c r="V332" s="53"/>
      <c r="W332" s="53"/>
      <c r="X332" s="171"/>
      <c r="Y332" s="170"/>
      <c r="Z332" s="170"/>
      <c r="AA332" s="170"/>
      <c r="AB332" s="170"/>
      <c r="AC332" s="170"/>
      <c r="AD332" s="53"/>
      <c r="AE332" s="53"/>
    </row>
    <row r="333">
      <c r="A333" s="53"/>
      <c r="B333" s="53" t="str">
        <f>IFERROR(__xludf.DUMMYFUNCTION("""COMPUTED_VALUE"""),"2607D124
Bella
085257316858
Instagram")</f>
        <v>2607D124
Bella
085257316858
Instagram</v>
      </c>
      <c r="C333" s="168" t="str">
        <f>IFERROR(__xludf.DUMMYFUNCTION("""COMPUTED_VALUE"""),"2H1M 
2 pax
Rp0")</f>
        <v>2H1M 
2 pax
Rp0</v>
      </c>
      <c r="D333" s="169" t="str">
        <f>IFERROR(__xludf.DUMMYFUNCTION("""COMPUTED_VALUE"""),"FU 29 Juli")</f>
        <v>FU 29 Juli</v>
      </c>
      <c r="E333" s="170"/>
      <c r="F333" s="53"/>
      <c r="G333" s="53"/>
      <c r="H333" s="53"/>
      <c r="I333" s="171"/>
      <c r="J333" s="170"/>
      <c r="K333" s="53"/>
      <c r="L333" s="53"/>
      <c r="M333" s="53"/>
      <c r="N333" s="171"/>
      <c r="O333" s="170"/>
      <c r="P333" s="53"/>
      <c r="Q333" s="53"/>
      <c r="R333" s="53"/>
      <c r="S333" s="171"/>
      <c r="T333" s="170"/>
      <c r="U333" s="53"/>
      <c r="V333" s="53"/>
      <c r="W333" s="53"/>
      <c r="X333" s="171"/>
      <c r="Y333" s="170"/>
      <c r="Z333" s="170"/>
      <c r="AA333" s="170"/>
      <c r="AB333" s="170"/>
      <c r="AC333" s="170"/>
      <c r="AD333" s="53"/>
      <c r="AE333" s="53"/>
    </row>
    <row r="334">
      <c r="A334" s="53"/>
      <c r="B334" s="53" t="str">
        <f>IFERROR(__xludf.DUMMYFUNCTION("""COMPUTED_VALUE"""),"2607D125
Aldi
089522536700
Instagram")</f>
        <v>2607D125
Aldi
089522536700
Instagram</v>
      </c>
      <c r="C334" s="168" t="str">
        <f>IFERROR(__xludf.DUMMYFUNCTION("""COMPUTED_VALUE"""),"
 pax
Rp0")</f>
        <v>
 pax
Rp0</v>
      </c>
      <c r="D334" s="169" t="str">
        <f>IFERROR(__xludf.DUMMYFUNCTION("""COMPUTED_VALUE"""),"baru menyapa")</f>
        <v>baru menyapa</v>
      </c>
      <c r="E334" s="170"/>
      <c r="F334" s="53"/>
      <c r="G334" s="53"/>
      <c r="H334" s="53"/>
      <c r="I334" s="171"/>
      <c r="J334" s="170"/>
      <c r="K334" s="53"/>
      <c r="L334" s="53"/>
      <c r="M334" s="53"/>
      <c r="N334" s="171"/>
      <c r="O334" s="170"/>
      <c r="P334" s="53"/>
      <c r="Q334" s="53"/>
      <c r="R334" s="53"/>
      <c r="S334" s="171"/>
      <c r="T334" s="170"/>
      <c r="U334" s="53"/>
      <c r="V334" s="53"/>
      <c r="W334" s="53"/>
      <c r="X334" s="171"/>
      <c r="Y334" s="170"/>
      <c r="Z334" s="170"/>
      <c r="AA334" s="170"/>
      <c r="AB334" s="170"/>
      <c r="AC334" s="170"/>
      <c r="AD334" s="53"/>
      <c r="AE334" s="53"/>
    </row>
    <row r="335">
      <c r="A335" s="53"/>
      <c r="B335" s="53" t="str">
        <f>IFERROR(__xludf.DUMMYFUNCTION("""COMPUTED_VALUE"""),"2607D126
Zhang
8617356571098
Lainnya")</f>
        <v>2607D126
Zhang
8617356571098
Lainnya</v>
      </c>
      <c r="C335" s="168" t="str">
        <f>IFERROR(__xludf.DUMMYFUNCTION("""COMPUTED_VALUE"""),"OT MT WNA
46241
1 pax
Rp0")</f>
        <v>OT MT WNA
46241
1 pax
Rp0</v>
      </c>
      <c r="D335" s="169" t="str">
        <f>IFERROR(__xludf.DUMMYFUNCTION("""COMPUTED_VALUE"""),"FU 28 Juli")</f>
        <v>FU 28 Juli</v>
      </c>
      <c r="E335" s="170"/>
      <c r="F335" s="53"/>
      <c r="G335" s="53"/>
      <c r="H335" s="53"/>
      <c r="I335" s="171"/>
      <c r="J335" s="170"/>
      <c r="K335" s="53"/>
      <c r="L335" s="53"/>
      <c r="M335" s="53"/>
      <c r="N335" s="171"/>
      <c r="O335" s="170"/>
      <c r="P335" s="53"/>
      <c r="Q335" s="53"/>
      <c r="R335" s="53"/>
      <c r="S335" s="171"/>
      <c r="T335" s="170"/>
      <c r="U335" s="53"/>
      <c r="V335" s="53"/>
      <c r="W335" s="53"/>
      <c r="X335" s="171"/>
      <c r="Y335" s="170"/>
      <c r="Z335" s="170"/>
      <c r="AA335" s="170"/>
      <c r="AB335" s="170"/>
      <c r="AC335" s="170"/>
      <c r="AD335" s="53"/>
      <c r="AE335" s="53"/>
    </row>
    <row r="336">
      <c r="A336" s="53"/>
      <c r="B336" s="53" t="str">
        <f>IFERROR(__xludf.DUMMYFUNCTION("""COMPUTED_VALUE"""),"2607D131
Jochebed Loekita
081958060393
Instagram")</f>
        <v>2607D131
Jochebed Loekita
081958060393
Instagram</v>
      </c>
      <c r="C336" s="168" t="str">
        <f>IFERROR(__xludf.DUMMYFUNCTION("""COMPUTED_VALUE"""),"
 pax
Rp0")</f>
        <v>
 pax
Rp0</v>
      </c>
      <c r="D336" s="169" t="str">
        <f>IFERROR(__xludf.DUMMYFUNCTION("""COMPUTED_VALUE"""),"masih pilih destinasi, nanti dikabarin")</f>
        <v>masih pilih destinasi, nanti dikabarin</v>
      </c>
      <c r="E336" s="170"/>
      <c r="F336" s="53"/>
      <c r="G336" s="53"/>
      <c r="H336" s="53"/>
      <c r="I336" s="171"/>
      <c r="J336" s="170"/>
      <c r="K336" s="53"/>
      <c r="L336" s="53"/>
      <c r="M336" s="53"/>
      <c r="N336" s="171"/>
      <c r="O336" s="170"/>
      <c r="P336" s="53"/>
      <c r="Q336" s="53"/>
      <c r="R336" s="53"/>
      <c r="S336" s="171"/>
      <c r="T336" s="170"/>
      <c r="U336" s="53"/>
      <c r="V336" s="53"/>
      <c r="W336" s="53"/>
      <c r="X336" s="171"/>
      <c r="Y336" s="170"/>
      <c r="Z336" s="170"/>
      <c r="AA336" s="170"/>
      <c r="AB336" s="170"/>
      <c r="AC336" s="170"/>
      <c r="AD336" s="53"/>
      <c r="AE336" s="53"/>
    </row>
    <row r="337">
      <c r="A337" s="53"/>
      <c r="B337" s="53" t="str">
        <f>IFERROR(__xludf.DUMMYFUNCTION("""COMPUTED_VALUE"""),"2607D132
Caruban Nagari
089653444969
Instagram")</f>
        <v>2607D132
Caruban Nagari
089653444969
Instagram</v>
      </c>
      <c r="C337" s="168" t="str">
        <f>IFERROR(__xludf.DUMMYFUNCTION("""COMPUTED_VALUE"""),"
 pax
Rp0")</f>
        <v>
 pax
Rp0</v>
      </c>
      <c r="D337" s="169" t="str">
        <f>IFERROR(__xludf.DUMMYFUNCTION("""COMPUTED_VALUE"""),"baru tanya pricelist ")</f>
        <v>baru tanya pricelist </v>
      </c>
      <c r="E337" s="170"/>
      <c r="F337" s="53"/>
      <c r="G337" s="53"/>
      <c r="H337" s="53"/>
      <c r="I337" s="171"/>
      <c r="J337" s="170"/>
      <c r="K337" s="53"/>
      <c r="L337" s="53"/>
      <c r="M337" s="53"/>
      <c r="N337" s="171"/>
      <c r="O337" s="170"/>
      <c r="P337" s="53"/>
      <c r="Q337" s="53"/>
      <c r="R337" s="53"/>
      <c r="S337" s="171"/>
      <c r="T337" s="170"/>
      <c r="U337" s="53"/>
      <c r="V337" s="53"/>
      <c r="W337" s="53"/>
      <c r="X337" s="171"/>
      <c r="Y337" s="170"/>
      <c r="Z337" s="170"/>
      <c r="AA337" s="170"/>
      <c r="AB337" s="170"/>
      <c r="AC337" s="170"/>
      <c r="AD337" s="53"/>
      <c r="AE337" s="53"/>
    </row>
    <row r="338">
      <c r="A338" s="53"/>
      <c r="B338" s="53" t="str">
        <f>IFERROR(__xludf.DUMMYFUNCTION("""COMPUTED_VALUE"""),"2607D133
DRS
081314046102
Instagram")</f>
        <v>2607D133
DRS
081314046102
Instagram</v>
      </c>
      <c r="C338" s="168" t="str">
        <f>IFERROR(__xludf.DUMMYFUNCTION("""COMPUTED_VALUE"""),"OT 3H2M
 pax
Rp0")</f>
        <v>OT 3H2M
 pax
Rp0</v>
      </c>
      <c r="D338" s="169" t="str">
        <f>IFERROR(__xludf.DUMMYFUNCTION("""COMPUTED_VALUE"""),"belum fiks pilih trip yg mana, Fu 30 Juli")</f>
        <v>belum fiks pilih trip yg mana, Fu 30 Juli</v>
      </c>
      <c r="E338" s="170"/>
      <c r="F338" s="53"/>
      <c r="G338" s="53"/>
      <c r="H338" s="53"/>
      <c r="I338" s="171"/>
      <c r="J338" s="170"/>
      <c r="K338" s="53"/>
      <c r="L338" s="53"/>
      <c r="M338" s="53"/>
      <c r="N338" s="171"/>
      <c r="O338" s="170"/>
      <c r="P338" s="53"/>
      <c r="Q338" s="53"/>
      <c r="R338" s="53"/>
      <c r="S338" s="171"/>
      <c r="T338" s="170"/>
      <c r="U338" s="53"/>
      <c r="V338" s="53"/>
      <c r="W338" s="53"/>
      <c r="X338" s="171"/>
      <c r="Y338" s="170"/>
      <c r="Z338" s="170"/>
      <c r="AA338" s="170"/>
      <c r="AB338" s="170"/>
      <c r="AC338" s="170"/>
      <c r="AD338" s="53"/>
      <c r="AE338" s="53"/>
    </row>
    <row r="339">
      <c r="A339" s="53"/>
      <c r="B339" s="53" t="str">
        <f>IFERROR(__xludf.DUMMYFUNCTION("""COMPUTED_VALUE"""),"2607D134
Dafina
085885225093
Instagram")</f>
        <v>2607D134
Dafina
085885225093
Instagram</v>
      </c>
      <c r="C339" s="168" t="str">
        <f>IFERROR(__xludf.DUMMYFUNCTION("""COMPUTED_VALUE"""),"OT Ijen
 pax
Rp0")</f>
        <v>OT Ijen
 pax
Rp0</v>
      </c>
      <c r="D339" s="169" t="str">
        <f>IFERROR(__xludf.DUMMYFUNCTION("""COMPUTED_VALUE"""),"FU 1 Agustus")</f>
        <v>FU 1 Agustus</v>
      </c>
      <c r="E339" s="170"/>
      <c r="F339" s="53"/>
      <c r="G339" s="53"/>
      <c r="H339" s="53"/>
      <c r="I339" s="171"/>
      <c r="J339" s="170"/>
      <c r="K339" s="53"/>
      <c r="L339" s="53"/>
      <c r="M339" s="53"/>
      <c r="N339" s="171"/>
      <c r="O339" s="170"/>
      <c r="P339" s="53"/>
      <c r="Q339" s="53"/>
      <c r="R339" s="53"/>
      <c r="S339" s="171"/>
      <c r="T339" s="170"/>
      <c r="U339" s="53"/>
      <c r="V339" s="53"/>
      <c r="W339" s="53"/>
      <c r="X339" s="171"/>
      <c r="Y339" s="170"/>
      <c r="Z339" s="170"/>
      <c r="AA339" s="170"/>
      <c r="AB339" s="170"/>
      <c r="AC339" s="170"/>
      <c r="AD339" s="53"/>
      <c r="AE339" s="53"/>
    </row>
    <row r="340">
      <c r="A340" s="53"/>
      <c r="B340" s="53" t="str">
        <f>IFERROR(__xludf.DUMMYFUNCTION("""COMPUTED_VALUE"""),"2607D135
Shamanth
917026255919
Instagram")</f>
        <v>2607D135
Shamanth
917026255919
Instagram</v>
      </c>
      <c r="C340" s="168" t="str">
        <f>IFERROR(__xludf.DUMMYFUNCTION("""COMPUTED_VALUE"""),"OT MT WNA
46278
2 pax
Rp0")</f>
        <v>OT MT WNA
46278
2 pax
Rp0</v>
      </c>
      <c r="D340" s="169" t="str">
        <f>IFERROR(__xludf.DUMMYFUNCTION("""COMPUTED_VALUE"""),"FU 6 Agustus")</f>
        <v>FU 6 Agustus</v>
      </c>
      <c r="E340" s="170"/>
      <c r="F340" s="53"/>
      <c r="G340" s="53"/>
      <c r="H340" s="53"/>
      <c r="I340" s="171"/>
      <c r="J340" s="170"/>
      <c r="K340" s="53"/>
      <c r="L340" s="53"/>
      <c r="M340" s="53"/>
      <c r="N340" s="171"/>
      <c r="O340" s="170"/>
      <c r="P340" s="53"/>
      <c r="Q340" s="53"/>
      <c r="R340" s="53"/>
      <c r="S340" s="171"/>
      <c r="T340" s="170"/>
      <c r="U340" s="53"/>
      <c r="V340" s="53"/>
      <c r="W340" s="53"/>
      <c r="X340" s="171"/>
      <c r="Y340" s="170"/>
      <c r="Z340" s="170"/>
      <c r="AA340" s="170"/>
      <c r="AB340" s="170"/>
      <c r="AC340" s="170"/>
      <c r="AD340" s="53"/>
      <c r="AE340" s="53"/>
    </row>
    <row r="341">
      <c r="A341" s="53"/>
      <c r="B341" s="53" t="str">
        <f>IFERROR(__xludf.DUMMYFUNCTION("""COMPUTED_VALUE"""),"2607D137
Cici Amel
08175117575
Instagram")</f>
        <v>2607D137
Cici Amel
08175117575
Instagram</v>
      </c>
      <c r="C341" s="168" t="str">
        <f>IFERROR(__xludf.DUMMYFUNCTION("""COMPUTED_VALUE"""),"OT 3H2M
1 pax
Rp0")</f>
        <v>OT 3H2M
1 pax
Rp0</v>
      </c>
      <c r="D341" s="169" t="str">
        <f>IFERROR(__xludf.DUMMYFUNCTION("""COMPUTED_VALUE"""),"FU 30 Juli")</f>
        <v>FU 30 Juli</v>
      </c>
      <c r="E341" s="170"/>
      <c r="F341" s="53"/>
      <c r="G341" s="53"/>
      <c r="H341" s="53"/>
      <c r="I341" s="171"/>
      <c r="J341" s="170"/>
      <c r="K341" s="53"/>
      <c r="L341" s="53"/>
      <c r="M341" s="53"/>
      <c r="N341" s="171"/>
      <c r="O341" s="170"/>
      <c r="P341" s="53"/>
      <c r="Q341" s="53"/>
      <c r="R341" s="53"/>
      <c r="S341" s="171"/>
      <c r="T341" s="170"/>
      <c r="U341" s="53"/>
      <c r="V341" s="53"/>
      <c r="W341" s="53"/>
      <c r="X341" s="171"/>
      <c r="Y341" s="170"/>
      <c r="Z341" s="170"/>
      <c r="AA341" s="170"/>
      <c r="AB341" s="170"/>
      <c r="AC341" s="170"/>
      <c r="AD341" s="53"/>
      <c r="AE341" s="53"/>
    </row>
    <row r="342">
      <c r="A342" s="53"/>
      <c r="B342" s="53" t="str">
        <f>IFERROR(__xludf.DUMMYFUNCTION("""COMPUTED_VALUE"""),"2607D138
MA
0812686493961
Website")</f>
        <v>2607D138
MA
0812686493961
Website</v>
      </c>
      <c r="C342" s="168" t="str">
        <f>IFERROR(__xludf.DUMMYFUNCTION("""COMPUTED_VALUE"""),"
 pax
Rp0")</f>
        <v>
 pax
Rp0</v>
      </c>
      <c r="D342" s="169"/>
      <c r="E342" s="170"/>
      <c r="F342" s="53"/>
      <c r="G342" s="53"/>
      <c r="H342" s="53"/>
      <c r="I342" s="171"/>
      <c r="J342" s="170"/>
      <c r="K342" s="53"/>
      <c r="L342" s="53"/>
      <c r="M342" s="53"/>
      <c r="N342" s="171"/>
      <c r="O342" s="170"/>
      <c r="P342" s="53"/>
      <c r="Q342" s="53"/>
      <c r="R342" s="53"/>
      <c r="S342" s="171"/>
      <c r="T342" s="170"/>
      <c r="U342" s="53"/>
      <c r="V342" s="53"/>
      <c r="W342" s="53"/>
      <c r="X342" s="171"/>
      <c r="Y342" s="170"/>
      <c r="Z342" s="170"/>
      <c r="AA342" s="170"/>
      <c r="AB342" s="170"/>
      <c r="AC342" s="170"/>
      <c r="AD342" s="53"/>
      <c r="AE342" s="53"/>
    </row>
    <row r="343">
      <c r="A343" s="53"/>
      <c r="B343" s="53" t="str">
        <f>IFERROR(__xludf.DUMMYFUNCTION("""COMPUTED_VALUE"""),"2607D139
Dara Cikal SBY
089621717553
Website")</f>
        <v>2607D139
Dara Cikal SBY
089621717553
Website</v>
      </c>
      <c r="C343" s="168" t="str">
        <f>IFERROR(__xludf.DUMMYFUNCTION("""COMPUTED_VALUE"""),"
 pax
Rp0")</f>
        <v>
 pax
Rp0</v>
      </c>
      <c r="D343" s="169" t="str">
        <f>IFERROR(__xludf.DUMMYFUNCTION("""COMPUTED_VALUE"""),"Repeat orderr, nunggu info selanjutnya")</f>
        <v>Repeat orderr, nunggu info selanjutnya</v>
      </c>
      <c r="E343" s="170"/>
      <c r="F343" s="53"/>
      <c r="G343" s="53"/>
      <c r="H343" s="53"/>
      <c r="I343" s="171"/>
      <c r="J343" s="170"/>
      <c r="K343" s="53"/>
      <c r="L343" s="53"/>
      <c r="M343" s="53"/>
      <c r="N343" s="171"/>
      <c r="O343" s="170"/>
      <c r="P343" s="53"/>
      <c r="Q343" s="53"/>
      <c r="R343" s="53"/>
      <c r="S343" s="171"/>
      <c r="T343" s="170"/>
      <c r="U343" s="53"/>
      <c r="V343" s="53"/>
      <c r="W343" s="53"/>
      <c r="X343" s="171"/>
      <c r="Y343" s="170"/>
      <c r="Z343" s="170"/>
      <c r="AA343" s="170"/>
      <c r="AB343" s="170"/>
      <c r="AC343" s="170"/>
      <c r="AD343" s="53"/>
      <c r="AE343" s="53"/>
    </row>
    <row r="344">
      <c r="A344" s="53"/>
      <c r="B344" s="53" t="str">
        <f>IFERROR(__xludf.DUMMYFUNCTION("""COMPUTED_VALUE"""),"2607D140
Dhea
082289702401
Instagram")</f>
        <v>2607D140
Dhea
082289702401
Instagram</v>
      </c>
      <c r="C344" s="168" t="str">
        <f>IFERROR(__xludf.DUMMYFUNCTION("""COMPUTED_VALUE"""),"2H1M custome
 pax
Rp0")</f>
        <v>2H1M custome
 pax
Rp0</v>
      </c>
      <c r="D344" s="169" t="str">
        <f>IFERROR(__xludf.DUMMYFUNCTION("""COMPUTED_VALUE"""),"buat penawaran")</f>
        <v>buat penawaran</v>
      </c>
      <c r="E344" s="170"/>
      <c r="F344" s="53"/>
      <c r="G344" s="53"/>
      <c r="H344" s="53"/>
      <c r="I344" s="171"/>
      <c r="J344" s="170"/>
      <c r="K344" s="53"/>
      <c r="L344" s="53"/>
      <c r="M344" s="53"/>
      <c r="N344" s="171"/>
      <c r="O344" s="170"/>
      <c r="P344" s="53"/>
      <c r="Q344" s="53"/>
      <c r="R344" s="53"/>
      <c r="S344" s="171"/>
      <c r="T344" s="170"/>
      <c r="U344" s="53"/>
      <c r="V344" s="53"/>
      <c r="W344" s="53"/>
      <c r="X344" s="171"/>
      <c r="Y344" s="170"/>
      <c r="Z344" s="170"/>
      <c r="AA344" s="170"/>
      <c r="AB344" s="170"/>
      <c r="AC344" s="170"/>
      <c r="AD344" s="53"/>
      <c r="AE344" s="53"/>
    </row>
    <row r="345">
      <c r="A345" s="53"/>
      <c r="B345" s="53" t="str">
        <f>IFERROR(__xludf.DUMMYFUNCTION("""COMPUTED_VALUE"""),"2607D142
ilham
081809536606
Instagram")</f>
        <v>2607D142
ilham
081809536606
Instagram</v>
      </c>
      <c r="C345" s="168" t="str">
        <f>IFERROR(__xludf.DUMMYFUNCTION("""COMPUTED_VALUE"""),"2H1M opsi B
46237
2 pax
Rp0")</f>
        <v>2H1M opsi B
46237
2 pax
Rp0</v>
      </c>
      <c r="D345" s="169" t="str">
        <f>IFERROR(__xludf.DUMMYFUNCTION("""COMPUTED_VALUE"""),"belum balas lagi, FU 31 Juli")</f>
        <v>belum balas lagi, FU 31 Juli</v>
      </c>
      <c r="E345" s="170"/>
      <c r="F345" s="53"/>
      <c r="G345" s="53"/>
      <c r="H345" s="53"/>
      <c r="I345" s="171"/>
      <c r="J345" s="170"/>
      <c r="K345" s="53"/>
      <c r="L345" s="53"/>
      <c r="M345" s="53"/>
      <c r="N345" s="171"/>
      <c r="O345" s="170"/>
      <c r="P345" s="53"/>
      <c r="Q345" s="53"/>
      <c r="R345" s="53"/>
      <c r="S345" s="171"/>
      <c r="T345" s="170"/>
      <c r="U345" s="53"/>
      <c r="V345" s="53"/>
      <c r="W345" s="53"/>
      <c r="X345" s="171"/>
      <c r="Y345" s="170"/>
      <c r="Z345" s="170"/>
      <c r="AA345" s="170"/>
      <c r="AB345" s="170"/>
      <c r="AC345" s="170"/>
      <c r="AD345" s="53"/>
      <c r="AE345" s="53"/>
    </row>
    <row r="346">
      <c r="A346" s="53"/>
      <c r="B346" s="53" t="str">
        <f>IFERROR(__xludf.DUMMYFUNCTION("""COMPUTED_VALUE"""),"2607D143
Aditya Pratama
087716387014
Instagram")</f>
        <v>2607D143
Aditya Pratama
087716387014
Instagram</v>
      </c>
      <c r="C346" s="168" t="str">
        <f>IFERROR(__xludf.DUMMYFUNCTION("""COMPUTED_VALUE"""),"OT 3H2M
 pax
Rp0")</f>
        <v>OT 3H2M
 pax
Rp0</v>
      </c>
      <c r="D346" s="169" t="str">
        <f>IFERROR(__xludf.DUMMYFUNCTION("""COMPUTED_VALUE"""),"FU 31 Juli")</f>
        <v>FU 31 Juli</v>
      </c>
      <c r="E346" s="170"/>
      <c r="F346" s="53"/>
      <c r="G346" s="53"/>
      <c r="H346" s="53"/>
      <c r="I346" s="171"/>
      <c r="J346" s="170"/>
      <c r="K346" s="53"/>
      <c r="L346" s="53"/>
      <c r="M346" s="53"/>
      <c r="N346" s="171"/>
      <c r="O346" s="170"/>
      <c r="P346" s="53"/>
      <c r="Q346" s="53"/>
      <c r="R346" s="53"/>
      <c r="S346" s="171"/>
      <c r="T346" s="170"/>
      <c r="U346" s="53"/>
      <c r="V346" s="53"/>
      <c r="W346" s="53"/>
      <c r="X346" s="171"/>
      <c r="Y346" s="170"/>
      <c r="Z346" s="170"/>
      <c r="AA346" s="170"/>
      <c r="AB346" s="170"/>
      <c r="AC346" s="170"/>
      <c r="AD346" s="53"/>
      <c r="AE346" s="53"/>
    </row>
    <row r="347">
      <c r="A347" s="53"/>
      <c r="B347" s="53" t="str">
        <f>IFERROR(__xludf.DUMMYFUNCTION("""COMPUTED_VALUE"""),"2607D144
Rahmanisa
082269228104
Website")</f>
        <v>2607D144
Rahmanisa
082269228104
Website</v>
      </c>
      <c r="C347" s="168" t="str">
        <f>IFERROR(__xludf.DUMMYFUNCTION("""COMPUTED_VALUE"""),"trip Kawah Ijen
130 pax
Rp0")</f>
        <v>trip Kawah Ijen
130 pax
Rp0</v>
      </c>
      <c r="D347" s="169" t="str">
        <f>IFERROR(__xludf.DUMMYFUNCTION("""COMPUTED_VALUE"""),"dilanjut komunikasi dengan temannya")</f>
        <v>dilanjut komunikasi dengan temannya</v>
      </c>
      <c r="E347" s="170"/>
      <c r="F347" s="53"/>
      <c r="G347" s="53"/>
      <c r="H347" s="53"/>
      <c r="I347" s="171"/>
      <c r="J347" s="170"/>
      <c r="K347" s="53"/>
      <c r="L347" s="53"/>
      <c r="M347" s="53"/>
      <c r="N347" s="171"/>
      <c r="O347" s="170"/>
      <c r="P347" s="53"/>
      <c r="Q347" s="53"/>
      <c r="R347" s="53"/>
      <c r="S347" s="171"/>
      <c r="T347" s="170"/>
      <c r="U347" s="53"/>
      <c r="V347" s="53"/>
      <c r="W347" s="53"/>
      <c r="X347" s="171"/>
      <c r="Y347" s="170"/>
      <c r="Z347" s="170"/>
      <c r="AA347" s="170"/>
      <c r="AB347" s="170"/>
      <c r="AC347" s="170"/>
      <c r="AD347" s="53"/>
      <c r="AE347" s="53"/>
    </row>
    <row r="348">
      <c r="A348" s="53"/>
      <c r="B348" s="53" t="str">
        <f>IFERROR(__xludf.DUMMYFUNCTION("""COMPUTED_VALUE"""),"2607D145
Lil f4th
085746008752
Rekomendasi")</f>
        <v>2607D145
Lil f4th
085746008752
Rekomendasi</v>
      </c>
      <c r="C348" s="168" t="str">
        <f>IFERROR(__xludf.DUMMYFUNCTION("""COMPUTED_VALUE"""),"trip Kawah Ijen
130 pax
Rp0")</f>
        <v>trip Kawah Ijen
130 pax
Rp0</v>
      </c>
      <c r="D348" s="169" t="str">
        <f>IFERROR(__xludf.DUMMYFUNCTION("""COMPUTED_VALUE"""),"penyesuaian")</f>
        <v>penyesuaian</v>
      </c>
      <c r="E348" s="170"/>
      <c r="F348" s="53"/>
      <c r="G348" s="53"/>
      <c r="H348" s="53"/>
      <c r="I348" s="171"/>
      <c r="J348" s="170"/>
      <c r="K348" s="53"/>
      <c r="L348" s="53"/>
      <c r="M348" s="53"/>
      <c r="N348" s="171"/>
      <c r="O348" s="170"/>
      <c r="P348" s="53"/>
      <c r="Q348" s="53"/>
      <c r="R348" s="53"/>
      <c r="S348" s="171"/>
      <c r="T348" s="170"/>
      <c r="U348" s="53"/>
      <c r="V348" s="53"/>
      <c r="W348" s="53"/>
      <c r="X348" s="171"/>
      <c r="Y348" s="170"/>
      <c r="Z348" s="170"/>
      <c r="AA348" s="170"/>
      <c r="AB348" s="170"/>
      <c r="AC348" s="170"/>
      <c r="AD348" s="53"/>
      <c r="AE348" s="53"/>
    </row>
    <row r="349">
      <c r="A349" s="53"/>
      <c r="B349" s="53" t="str">
        <f>IFERROR(__xludf.DUMMYFUNCTION("""COMPUTED_VALUE"""),"2607D147
Sekarayu Pancawitri
081225619832
Instagram")</f>
        <v>2607D147
Sekarayu Pancawitri
081225619832
Instagram</v>
      </c>
      <c r="C349" s="168" t="str">
        <f>IFERROR(__xludf.DUMMYFUNCTION("""COMPUTED_VALUE"""),"OT MT
 pax
Rp0")</f>
        <v>OT MT
 pax
Rp0</v>
      </c>
      <c r="D349" s="169" t="str">
        <f>IFERROR(__xludf.DUMMYFUNCTION("""COMPUTED_VALUE"""),"blm balas lagi, FU 29 Juli")</f>
        <v>blm balas lagi, FU 29 Juli</v>
      </c>
      <c r="E349" s="170"/>
      <c r="F349" s="53"/>
      <c r="G349" s="53"/>
      <c r="H349" s="53"/>
      <c r="I349" s="171"/>
      <c r="J349" s="170"/>
      <c r="K349" s="53"/>
      <c r="L349" s="53"/>
      <c r="M349" s="53"/>
      <c r="N349" s="171"/>
      <c r="O349" s="170"/>
      <c r="P349" s="53"/>
      <c r="Q349" s="53"/>
      <c r="R349" s="53"/>
      <c r="S349" s="171"/>
      <c r="T349" s="170"/>
      <c r="U349" s="53"/>
      <c r="V349" s="53"/>
      <c r="W349" s="53"/>
      <c r="X349" s="171"/>
      <c r="Y349" s="170"/>
      <c r="Z349" s="170"/>
      <c r="AA349" s="170"/>
      <c r="AB349" s="170"/>
      <c r="AC349" s="170"/>
      <c r="AD349" s="53"/>
      <c r="AE349" s="53"/>
    </row>
    <row r="350">
      <c r="A350" s="53"/>
      <c r="B350" s="53" t="str">
        <f>IFERROR(__xludf.DUMMYFUNCTION("""COMPUTED_VALUE"""),"2607D148
Irena
085782678308
Instagram")</f>
        <v>2607D148
Irena
085782678308
Instagram</v>
      </c>
      <c r="C350" s="168" t="str">
        <f>IFERROR(__xludf.DUMMYFUNCTION("""COMPUTED_VALUE"""),"OT 3H2M
 pax
Rp0")</f>
        <v>OT 3H2M
 pax
Rp0</v>
      </c>
      <c r="D350" s="169" t="str">
        <f>IFERROR(__xludf.DUMMYFUNCTION("""COMPUTED_VALUE"""),"FU 29 Juli")</f>
        <v>FU 29 Juli</v>
      </c>
      <c r="E350" s="170"/>
      <c r="F350" s="53"/>
      <c r="G350" s="53"/>
      <c r="H350" s="53"/>
      <c r="I350" s="171"/>
      <c r="J350" s="170"/>
      <c r="K350" s="53"/>
      <c r="L350" s="53"/>
      <c r="M350" s="53"/>
      <c r="N350" s="171"/>
      <c r="O350" s="170"/>
      <c r="P350" s="53"/>
      <c r="Q350" s="53"/>
      <c r="R350" s="53"/>
      <c r="S350" s="171"/>
      <c r="T350" s="170"/>
      <c r="U350" s="53"/>
      <c r="V350" s="53"/>
      <c r="W350" s="53"/>
      <c r="X350" s="171"/>
      <c r="Y350" s="170"/>
      <c r="Z350" s="170"/>
      <c r="AA350" s="170"/>
      <c r="AB350" s="170"/>
      <c r="AC350" s="170"/>
      <c r="AD350" s="53"/>
      <c r="AE350" s="53"/>
    </row>
    <row r="351">
      <c r="A351" s="53"/>
      <c r="B351" s="53" t="str">
        <f>IFERROR(__xludf.DUMMYFUNCTION("""COMPUTED_VALUE"""),"2607D149
Amelia Defita
082328288883
Instagram")</f>
        <v>2607D149
Amelia Defita
082328288883
Instagram</v>
      </c>
      <c r="C351" s="168" t="str">
        <f>IFERROR(__xludf.DUMMYFUNCTION("""COMPUTED_VALUE"""),"OT 3H2M
46249
2 pax
Rp0")</f>
        <v>OT 3H2M
46249
2 pax
Rp0</v>
      </c>
      <c r="D351" s="169" t="str">
        <f>IFERROR(__xludf.DUMMYFUNCTION("""COMPUTED_VALUE"""),"FU 2 Agustus")</f>
        <v>FU 2 Agustus</v>
      </c>
      <c r="E351" s="170"/>
      <c r="F351" s="53"/>
      <c r="G351" s="53"/>
      <c r="H351" s="53"/>
      <c r="I351" s="171"/>
      <c r="J351" s="170"/>
      <c r="K351" s="53"/>
      <c r="L351" s="53"/>
      <c r="M351" s="53"/>
      <c r="N351" s="171"/>
      <c r="O351" s="170"/>
      <c r="P351" s="53"/>
      <c r="Q351" s="53"/>
      <c r="R351" s="53"/>
      <c r="S351" s="171"/>
      <c r="T351" s="170"/>
      <c r="U351" s="53"/>
      <c r="V351" s="53"/>
      <c r="W351" s="53"/>
      <c r="X351" s="171"/>
      <c r="Y351" s="170"/>
      <c r="Z351" s="170"/>
      <c r="AA351" s="170"/>
      <c r="AB351" s="170"/>
      <c r="AC351" s="170"/>
      <c r="AD351" s="53"/>
      <c r="AE351" s="53"/>
    </row>
    <row r="352">
      <c r="A352" s="53"/>
      <c r="B352" s="53" t="str">
        <f>IFERROR(__xludf.DUMMYFUNCTION("""COMPUTED_VALUE"""),"2607D150
Akbar
081331197707
Lainnya")</f>
        <v>2607D150
Akbar
081331197707
Lainnya</v>
      </c>
      <c r="C352" s="168" t="str">
        <f>IFERROR(__xludf.DUMMYFUNCTION("""COMPUTED_VALUE"""),"Private Trip Sunrise
6 pax
Rp0")</f>
        <v>Private Trip Sunrise
6 pax
Rp0</v>
      </c>
      <c r="D352" s="169" t="str">
        <f>IFERROR(__xludf.DUMMYFUNCTION("""COMPUTED_VALUE"""),"FU 29 Juli")</f>
        <v>FU 29 Juli</v>
      </c>
      <c r="E352" s="170"/>
      <c r="F352" s="53"/>
      <c r="G352" s="53"/>
      <c r="H352" s="53"/>
      <c r="I352" s="171"/>
      <c r="J352" s="170"/>
      <c r="K352" s="53"/>
      <c r="L352" s="53"/>
      <c r="M352" s="53"/>
      <c r="N352" s="171"/>
      <c r="O352" s="170"/>
      <c r="P352" s="53"/>
      <c r="Q352" s="53"/>
      <c r="R352" s="53"/>
      <c r="S352" s="171"/>
      <c r="T352" s="170"/>
      <c r="U352" s="53"/>
      <c r="V352" s="53"/>
      <c r="W352" s="53"/>
      <c r="X352" s="171"/>
      <c r="Y352" s="170"/>
      <c r="Z352" s="170"/>
      <c r="AA352" s="170"/>
      <c r="AB352" s="170"/>
      <c r="AC352" s="170"/>
      <c r="AD352" s="53"/>
      <c r="AE352" s="53"/>
    </row>
    <row r="353">
      <c r="A353" s="53"/>
      <c r="B353" s="53" t="str">
        <f>IFERROR(__xludf.DUMMYFUNCTION("""COMPUTED_VALUE"""),"2607D151
F
0895365294504
Instagram")</f>
        <v>2607D151
F
0895365294504
Instagram</v>
      </c>
      <c r="C353" s="168" t="str">
        <f>IFERROR(__xludf.DUMMYFUNCTION("""COMPUTED_VALUE"""),"OT GI
2 pax
Rp0")</f>
        <v>OT GI
2 pax
Rp0</v>
      </c>
      <c r="D353" s="169" t="str">
        <f>IFERROR(__xludf.DUMMYFUNCTION("""COMPUTED_VALUE"""),"FU 29 Juli")</f>
        <v>FU 29 Juli</v>
      </c>
      <c r="E353" s="170"/>
      <c r="F353" s="53"/>
      <c r="G353" s="53"/>
      <c r="H353" s="53"/>
      <c r="I353" s="171"/>
      <c r="J353" s="170"/>
      <c r="K353" s="53"/>
      <c r="L353" s="53"/>
      <c r="M353" s="53"/>
      <c r="N353" s="171"/>
      <c r="O353" s="170"/>
      <c r="P353" s="53"/>
      <c r="Q353" s="53"/>
      <c r="R353" s="53"/>
      <c r="S353" s="171"/>
      <c r="T353" s="170"/>
      <c r="U353" s="53"/>
      <c r="V353" s="53"/>
      <c r="W353" s="53"/>
      <c r="X353" s="171"/>
      <c r="Y353" s="170"/>
      <c r="Z353" s="170"/>
      <c r="AA353" s="170"/>
      <c r="AB353" s="170"/>
      <c r="AC353" s="170"/>
      <c r="AD353" s="53"/>
      <c r="AE353" s="53"/>
    </row>
    <row r="354">
      <c r="A354" s="53"/>
      <c r="B354" s="53" t="str">
        <f>IFERROR(__xludf.DUMMYFUNCTION("""COMPUTED_VALUE"""),"2697D153
Aldy Yolan
0812170902171
Instagram")</f>
        <v>2697D153
Aldy Yolan
0812170902171
Instagram</v>
      </c>
      <c r="C354" s="168" t="str">
        <f>IFERROR(__xludf.DUMMYFUNCTION("""COMPUTED_VALUE"""),"OT 3H2M
46244
2 pax
Rp0")</f>
        <v>OT 3H2M
46244
2 pax
Rp0</v>
      </c>
      <c r="D354" s="169" t="str">
        <f>IFERROR(__xludf.DUMMYFUNCTION("""COMPUTED_VALUE"""),"FU 1 Agustus")</f>
        <v>FU 1 Agustus</v>
      </c>
      <c r="E354" s="170"/>
      <c r="F354" s="53"/>
      <c r="G354" s="53"/>
      <c r="H354" s="53"/>
      <c r="I354" s="171"/>
      <c r="J354" s="170"/>
      <c r="K354" s="53"/>
      <c r="L354" s="53"/>
      <c r="M354" s="53"/>
      <c r="N354" s="171"/>
      <c r="O354" s="170"/>
      <c r="P354" s="53"/>
      <c r="Q354" s="53"/>
      <c r="R354" s="53"/>
      <c r="S354" s="171"/>
      <c r="T354" s="170"/>
      <c r="U354" s="53"/>
      <c r="V354" s="53"/>
      <c r="W354" s="53"/>
      <c r="X354" s="171"/>
      <c r="Y354" s="170"/>
      <c r="Z354" s="170"/>
      <c r="AA354" s="170"/>
      <c r="AB354" s="170"/>
      <c r="AC354" s="170"/>
      <c r="AD354" s="53"/>
      <c r="AE354" s="53"/>
    </row>
    <row r="355">
      <c r="A355" s="53"/>
      <c r="B355" s="53" t="str">
        <f>IFERROR(__xludf.DUMMYFUNCTION("""COMPUTED_VALUE"""),"2607D154
Ersa
085791257922
Website")</f>
        <v>2607D154
Ersa
085791257922
Website</v>
      </c>
      <c r="C355" s="168" t="str">
        <f>IFERROR(__xludf.DUMMYFUNCTION("""COMPUTED_VALUE"""),"2H1M custome
3 pax
Rp0")</f>
        <v>2H1M custome
3 pax
Rp0</v>
      </c>
      <c r="D355" s="169" t="str">
        <f>IFERROR(__xludf.DUMMYFUNCTION("""COMPUTED_VALUE"""),"FU 29 Juli")</f>
        <v>FU 29 Juli</v>
      </c>
      <c r="E355" s="170"/>
      <c r="F355" s="53"/>
      <c r="G355" s="53"/>
      <c r="H355" s="53"/>
      <c r="I355" s="171"/>
      <c r="J355" s="170"/>
      <c r="K355" s="53"/>
      <c r="L355" s="53"/>
      <c r="M355" s="53"/>
      <c r="N355" s="171"/>
      <c r="O355" s="170"/>
      <c r="P355" s="53"/>
      <c r="Q355" s="53"/>
      <c r="R355" s="53"/>
      <c r="S355" s="171"/>
      <c r="T355" s="170"/>
      <c r="U355" s="53"/>
      <c r="V355" s="53"/>
      <c r="W355" s="53"/>
      <c r="X355" s="171"/>
      <c r="Y355" s="170"/>
      <c r="Z355" s="170"/>
      <c r="AA355" s="170"/>
      <c r="AB355" s="170"/>
      <c r="AC355" s="170"/>
      <c r="AD355" s="53"/>
      <c r="AE355" s="53"/>
    </row>
    <row r="356">
      <c r="A356" s="53"/>
      <c r="B356" s="53" t="str">
        <f>IFERROR(__xludf.DUMMYFUNCTION("""COMPUTED_VALUE"""),"2607D154
Aghna
081237607801
Instagram")</f>
        <v>2607D154
Aghna
081237607801
Instagram</v>
      </c>
      <c r="C356" s="168" t="str">
        <f>IFERROR(__xludf.DUMMYFUNCTION("""COMPUTED_VALUE"""),"
3 pax
Rp0")</f>
        <v>
3 pax
Rp0</v>
      </c>
      <c r="D356" s="169" t="str">
        <f>IFERROR(__xludf.DUMMYFUNCTION("""COMPUTED_VALUE"""),"belum balas lagi, FU 30 Juli")</f>
        <v>belum balas lagi, FU 30 Juli</v>
      </c>
      <c r="E356" s="170"/>
      <c r="F356" s="53"/>
      <c r="G356" s="53"/>
      <c r="H356" s="53"/>
      <c r="I356" s="171"/>
      <c r="J356" s="170"/>
      <c r="K356" s="53"/>
      <c r="L356" s="53"/>
      <c r="M356" s="53"/>
      <c r="N356" s="171"/>
      <c r="O356" s="170"/>
      <c r="P356" s="53"/>
      <c r="Q356" s="53"/>
      <c r="R356" s="53"/>
      <c r="S356" s="171"/>
      <c r="T356" s="170"/>
      <c r="U356" s="53"/>
      <c r="V356" s="53"/>
      <c r="W356" s="53"/>
      <c r="X356" s="171"/>
      <c r="Y356" s="170"/>
      <c r="Z356" s="170"/>
      <c r="AA356" s="170"/>
      <c r="AB356" s="170"/>
      <c r="AC356" s="170"/>
      <c r="AD356" s="53"/>
      <c r="AE356" s="53"/>
    </row>
    <row r="357">
      <c r="A357" s="53"/>
      <c r="B357" s="53" t="str">
        <f>IFERROR(__xludf.DUMMYFUNCTION("""COMPUTED_VALUE"""),"2607D155
Alief 
085156392515
Instagram")</f>
        <v>2607D155
Alief 
085156392515
Instagram</v>
      </c>
      <c r="C357" s="168" t="str">
        <f>IFERROR(__xludf.DUMMYFUNCTION("""COMPUTED_VALUE"""),"OT MT, OT Djabal
46244
2 pax
Rp0")</f>
        <v>OT MT, OT Djabal
46244
2 pax
Rp0</v>
      </c>
      <c r="D357" s="169" t="str">
        <f>IFERROR(__xludf.DUMMYFUNCTION("""COMPUTED_VALUE"""),"FU 30 Juli")</f>
        <v>FU 30 Juli</v>
      </c>
      <c r="E357" s="170"/>
      <c r="F357" s="53"/>
      <c r="G357" s="53"/>
      <c r="H357" s="53"/>
      <c r="I357" s="171"/>
      <c r="J357" s="170"/>
      <c r="K357" s="53"/>
      <c r="L357" s="53"/>
      <c r="M357" s="53"/>
      <c r="N357" s="171"/>
      <c r="O357" s="170"/>
      <c r="P357" s="53"/>
      <c r="Q357" s="53"/>
      <c r="R357" s="53"/>
      <c r="S357" s="171"/>
      <c r="T357" s="170"/>
      <c r="U357" s="53"/>
      <c r="V357" s="53"/>
      <c r="W357" s="53"/>
      <c r="X357" s="171"/>
      <c r="Y357" s="170"/>
      <c r="Z357" s="170"/>
      <c r="AA357" s="170"/>
      <c r="AB357" s="170"/>
      <c r="AC357" s="170"/>
      <c r="AD357" s="53"/>
      <c r="AE357" s="53"/>
    </row>
    <row r="358">
      <c r="A358" s="53"/>
      <c r="B358" s="53" t="str">
        <f>IFERROR(__xludf.DUMMYFUNCTION("""COMPUTED_VALUE"""),"2607D156
Rudi Setiawan
082339610400
Instagram")</f>
        <v>2607D156
Rudi Setiawan
082339610400
Instagram</v>
      </c>
      <c r="C358" s="168" t="str">
        <f>IFERROR(__xludf.DUMMYFUNCTION("""COMPUTED_VALUE"""),"Private Tabuhan
46249
2 pax
Rp0")</f>
        <v>Private Tabuhan
46249
2 pax
Rp0</v>
      </c>
      <c r="D358" s="169" t="str">
        <f>IFERROR(__xludf.DUMMYFUNCTION("""COMPUTED_VALUE"""),"FU 1 Agustus")</f>
        <v>FU 1 Agustus</v>
      </c>
      <c r="E358" s="170"/>
      <c r="F358" s="53"/>
      <c r="G358" s="53"/>
      <c r="H358" s="53"/>
      <c r="I358" s="171"/>
      <c r="J358" s="170"/>
      <c r="K358" s="53"/>
      <c r="L358" s="53"/>
      <c r="M358" s="53"/>
      <c r="N358" s="171"/>
      <c r="O358" s="170"/>
      <c r="P358" s="53"/>
      <c r="Q358" s="53"/>
      <c r="R358" s="53"/>
      <c r="S358" s="171"/>
      <c r="T358" s="170"/>
      <c r="U358" s="53"/>
      <c r="V358" s="53"/>
      <c r="W358" s="53"/>
      <c r="X358" s="171"/>
      <c r="Y358" s="170"/>
      <c r="Z358" s="170"/>
      <c r="AA358" s="170"/>
      <c r="AB358" s="170"/>
      <c r="AC358" s="170"/>
      <c r="AD358" s="53"/>
      <c r="AE358" s="53"/>
    </row>
    <row r="359">
      <c r="A359" s="53"/>
      <c r="B359" s="53" t="str">
        <f>IFERROR(__xludf.DUMMYFUNCTION("""COMPUTED_VALUE"""),"2607D157
Lala Kantari
082131717909
Instagram")</f>
        <v>2607D157
Lala Kantari
082131717909
Instagram</v>
      </c>
      <c r="C359" s="168" t="str">
        <f>IFERROR(__xludf.DUMMYFUNCTION("""COMPUTED_VALUE"""),"2H1M custome
46249
13 pax
Rp0")</f>
        <v>2H1M custome
46249
13 pax
Rp0</v>
      </c>
      <c r="D359" s="169" t="str">
        <f>IFERROR(__xludf.DUMMYFUNCTION("""COMPUTED_VALUE"""),"buat penawaran")</f>
        <v>buat penawaran</v>
      </c>
      <c r="E359" s="170"/>
      <c r="F359" s="53"/>
      <c r="G359" s="53"/>
      <c r="H359" s="53"/>
      <c r="I359" s="171"/>
      <c r="J359" s="170"/>
      <c r="K359" s="53"/>
      <c r="L359" s="53"/>
      <c r="M359" s="53"/>
      <c r="N359" s="171"/>
      <c r="O359" s="170"/>
      <c r="P359" s="53"/>
      <c r="Q359" s="53"/>
      <c r="R359" s="53"/>
      <c r="S359" s="171"/>
      <c r="T359" s="170"/>
      <c r="U359" s="53"/>
      <c r="V359" s="53"/>
      <c r="W359" s="53"/>
      <c r="X359" s="171"/>
      <c r="Y359" s="170"/>
      <c r="Z359" s="170"/>
      <c r="AA359" s="170"/>
      <c r="AB359" s="170"/>
      <c r="AC359" s="170"/>
      <c r="AD359" s="53"/>
      <c r="AE359" s="53"/>
    </row>
    <row r="360">
      <c r="A360" s="53"/>
      <c r="B360" s="53" t="str">
        <f>IFERROR(__xludf.DUMMYFUNCTION("""COMPUTED_VALUE"""),"2607D158
Yaya
085649775489
Instagram")</f>
        <v>2607D158
Yaya
085649775489
Instagram</v>
      </c>
      <c r="C360" s="168" t="str">
        <f>IFERROR(__xludf.DUMMYFUNCTION("""COMPUTED_VALUE"""),"OT Djabal, OT GI
46228
2 pax
Rp0")</f>
        <v>OT Djabal, OT GI
46228
2 pax
Rp0</v>
      </c>
      <c r="D360" s="169"/>
      <c r="E360" s="170"/>
      <c r="F360" s="53"/>
      <c r="G360" s="53"/>
      <c r="H360" s="53"/>
      <c r="I360" s="171"/>
      <c r="J360" s="170"/>
      <c r="K360" s="53"/>
      <c r="L360" s="53"/>
      <c r="M360" s="53"/>
      <c r="N360" s="171"/>
      <c r="O360" s="170"/>
      <c r="P360" s="53"/>
      <c r="Q360" s="53"/>
      <c r="R360" s="53"/>
      <c r="S360" s="171"/>
      <c r="T360" s="170"/>
      <c r="U360" s="53"/>
      <c r="V360" s="53"/>
      <c r="W360" s="53"/>
      <c r="X360" s="171"/>
      <c r="Y360" s="170"/>
      <c r="Z360" s="170"/>
      <c r="AA360" s="170"/>
      <c r="AB360" s="170"/>
      <c r="AC360" s="170"/>
      <c r="AD360" s="53"/>
      <c r="AE360" s="53"/>
    </row>
    <row r="361">
      <c r="A361" s="53"/>
      <c r="B361" s="53" t="str">
        <f>IFERROR(__xludf.DUMMYFUNCTION("""COMPUTED_VALUE"""),"2607D159
Natadelecoco
0895800133618
Website")</f>
        <v>2607D159
Natadelecoco
0895800133618
Website</v>
      </c>
      <c r="C361" s="168" t="str">
        <f>IFERROR(__xludf.DUMMYFUNCTION("""COMPUTED_VALUE"""),"3H2M 
46256
46115 pax
Rp0")</f>
        <v>3H2M 
46256
46115 pax
Rp0</v>
      </c>
      <c r="D361" s="169" t="str">
        <f>IFERROR(__xludf.DUMMYFUNCTION("""COMPUTED_VALUE"""),"FU 1 Agustus")</f>
        <v>FU 1 Agustus</v>
      </c>
      <c r="E361" s="170"/>
      <c r="F361" s="53"/>
      <c r="G361" s="53"/>
      <c r="H361" s="53"/>
      <c r="I361" s="171"/>
      <c r="J361" s="170"/>
      <c r="K361" s="53"/>
      <c r="L361" s="53"/>
      <c r="M361" s="53"/>
      <c r="N361" s="171"/>
      <c r="O361" s="170"/>
      <c r="P361" s="53"/>
      <c r="Q361" s="53"/>
      <c r="R361" s="53"/>
      <c r="S361" s="171"/>
      <c r="T361" s="170"/>
      <c r="U361" s="53"/>
      <c r="V361" s="53"/>
      <c r="W361" s="53"/>
      <c r="X361" s="171"/>
      <c r="Y361" s="170"/>
      <c r="Z361" s="170"/>
      <c r="AA361" s="170"/>
      <c r="AB361" s="170"/>
      <c r="AC361" s="170"/>
      <c r="AD361" s="53"/>
      <c r="AE361" s="53"/>
    </row>
    <row r="362">
      <c r="A362" s="53"/>
      <c r="B362" s="53" t="str">
        <f>IFERROR(__xludf.DUMMYFUNCTION("""COMPUTED_VALUE"""),"2607D160
Valentino Teguh 
081246073008
Instagram")</f>
        <v>2607D160
Valentino Teguh 
081246073008
Instagram</v>
      </c>
      <c r="C362" s="168" t="str">
        <f>IFERROR(__xludf.DUMMYFUNCTION("""COMPUTED_VALUE"""),"2H1M opsi B
2 pax
Rp0")</f>
        <v>2H1M opsi B
2 pax
Rp0</v>
      </c>
      <c r="D362" s="169" t="str">
        <f>IFERROR(__xludf.DUMMYFUNCTION("""COMPUTED_VALUE"""),"FU 3 Agustus")</f>
        <v>FU 3 Agustus</v>
      </c>
      <c r="E362" s="170"/>
      <c r="F362" s="53"/>
      <c r="G362" s="53"/>
      <c r="H362" s="53"/>
      <c r="I362" s="171"/>
      <c r="J362" s="170"/>
      <c r="K362" s="53"/>
      <c r="L362" s="53"/>
      <c r="M362" s="53"/>
      <c r="N362" s="171"/>
      <c r="O362" s="170"/>
      <c r="P362" s="53"/>
      <c r="Q362" s="53"/>
      <c r="R362" s="53"/>
      <c r="S362" s="171"/>
      <c r="T362" s="170"/>
      <c r="U362" s="53"/>
      <c r="V362" s="53"/>
      <c r="W362" s="53"/>
      <c r="X362" s="171"/>
      <c r="Y362" s="170"/>
      <c r="Z362" s="170"/>
      <c r="AA362" s="170"/>
      <c r="AB362" s="170"/>
      <c r="AC362" s="170"/>
      <c r="AD362" s="53"/>
      <c r="AE362" s="53"/>
    </row>
    <row r="363">
      <c r="A363" s="53"/>
      <c r="B363" s="53" t="str">
        <f>IFERROR(__xludf.DUMMYFUNCTION("""COMPUTED_VALUE"""),"2607D161
Ncip
081214870020
Instagram")</f>
        <v>2607D161
Ncip
081214870020
Instagram</v>
      </c>
      <c r="C363" s="168" t="str">
        <f>IFERROR(__xludf.DUMMYFUNCTION("""COMPUTED_VALUE"""),"3H2M
46250
 pax
Rp0")</f>
        <v>3H2M
46250
 pax
Rp0</v>
      </c>
      <c r="D363" s="169" t="str">
        <f>IFERROR(__xludf.DUMMYFUNCTION("""COMPUTED_VALUE"""),"FU 3 Agustus")</f>
        <v>FU 3 Agustus</v>
      </c>
      <c r="E363" s="170"/>
      <c r="F363" s="53"/>
      <c r="G363" s="53"/>
      <c r="H363" s="53"/>
      <c r="I363" s="171"/>
      <c r="J363" s="170"/>
      <c r="K363" s="53"/>
      <c r="L363" s="53"/>
      <c r="M363" s="53"/>
      <c r="N363" s="171"/>
      <c r="O363" s="170"/>
      <c r="P363" s="53"/>
      <c r="Q363" s="53"/>
      <c r="R363" s="53"/>
      <c r="S363" s="171"/>
      <c r="T363" s="170"/>
      <c r="U363" s="53"/>
      <c r="V363" s="53"/>
      <c r="W363" s="53"/>
      <c r="X363" s="171"/>
      <c r="Y363" s="170"/>
      <c r="Z363" s="170"/>
      <c r="AA363" s="170"/>
      <c r="AB363" s="170"/>
      <c r="AC363" s="170"/>
      <c r="AD363" s="53"/>
      <c r="AE363" s="53"/>
    </row>
    <row r="364">
      <c r="A364" s="53"/>
      <c r="B364" s="53" t="str">
        <f>IFERROR(__xludf.DUMMYFUNCTION("""COMPUTED_VALUE"""),"2607D162
Febi 
08113944456
Instagram")</f>
        <v>2607D162
Febi 
08113944456
Instagram</v>
      </c>
      <c r="C364" s="168" t="str">
        <f>IFERROR(__xludf.DUMMYFUNCTION("""COMPUTED_VALUE"""),"OT Djbal, Ijen
 pax
Rp0")</f>
        <v>OT Djbal, Ijen
 pax
Rp0</v>
      </c>
      <c r="D364" s="169" t="str">
        <f>IFERROR(__xludf.DUMMYFUNCTION("""COMPUTED_VALUE"""),"masih perbandingan antara OT/PT, FU 29 Juli")</f>
        <v>masih perbandingan antara OT/PT, FU 29 Juli</v>
      </c>
      <c r="E364" s="170"/>
      <c r="F364" s="53"/>
      <c r="G364" s="53"/>
      <c r="H364" s="53"/>
      <c r="I364" s="171"/>
      <c r="J364" s="170"/>
      <c r="K364" s="53"/>
      <c r="L364" s="53"/>
      <c r="M364" s="53"/>
      <c r="N364" s="171"/>
      <c r="O364" s="170"/>
      <c r="P364" s="53"/>
      <c r="Q364" s="53"/>
      <c r="R364" s="53"/>
      <c r="S364" s="171"/>
      <c r="T364" s="170"/>
      <c r="U364" s="53"/>
      <c r="V364" s="53"/>
      <c r="W364" s="53"/>
      <c r="X364" s="171"/>
      <c r="Y364" s="170"/>
      <c r="Z364" s="170"/>
      <c r="AA364" s="170"/>
      <c r="AB364" s="170"/>
      <c r="AC364" s="170"/>
      <c r="AD364" s="53"/>
      <c r="AE364" s="53"/>
    </row>
    <row r="365">
      <c r="A365" s="53"/>
      <c r="B365" s="53" t="str">
        <f>IFERROR(__xludf.DUMMYFUNCTION("""COMPUTED_VALUE"""),"2607D164
Kak.Hay
082111426857
Instagram")</f>
        <v>2607D164
Kak.Hay
082111426857
Instagram</v>
      </c>
      <c r="C365" s="168" t="str">
        <f>IFERROR(__xludf.DUMMYFUNCTION("""COMPUTED_VALUE"""),"OT MT
 pax
Rp0")</f>
        <v>OT MT
 pax
Rp0</v>
      </c>
      <c r="D365" s="169" t="str">
        <f>IFERROR(__xludf.DUMMYFUNCTION("""COMPUTED_VALUE"""),"FU 31 Juli")</f>
        <v>FU 31 Juli</v>
      </c>
      <c r="E365" s="170"/>
      <c r="F365" s="53"/>
      <c r="G365" s="53"/>
      <c r="H365" s="53"/>
      <c r="I365" s="171"/>
      <c r="J365" s="170"/>
      <c r="K365" s="53"/>
      <c r="L365" s="53"/>
      <c r="M365" s="53"/>
      <c r="N365" s="171"/>
      <c r="O365" s="170"/>
      <c r="P365" s="53"/>
      <c r="Q365" s="53"/>
      <c r="R365" s="53"/>
      <c r="S365" s="171"/>
      <c r="T365" s="170"/>
      <c r="U365" s="53"/>
      <c r="V365" s="53"/>
      <c r="W365" s="53"/>
      <c r="X365" s="171"/>
      <c r="Y365" s="170"/>
      <c r="Z365" s="170"/>
      <c r="AA365" s="170"/>
      <c r="AB365" s="170"/>
      <c r="AC365" s="170"/>
      <c r="AD365" s="53"/>
      <c r="AE365" s="53"/>
    </row>
    <row r="366">
      <c r="A366" s="53"/>
      <c r="B366" s="53" t="str">
        <f>IFERROR(__xludf.DUMMYFUNCTION("""COMPUTED_VALUE"""),"2607D165
Shella Trishel
085747300036
Instagram")</f>
        <v>2607D165
Shella Trishel
085747300036
Instagram</v>
      </c>
      <c r="C366" s="168" t="str">
        <f>IFERROR(__xludf.DUMMYFUNCTION("""COMPUTED_VALUE"""),"trip 1 day Baluran
5 pax
Rp0")</f>
        <v>trip 1 day Baluran
5 pax
Rp0</v>
      </c>
      <c r="D366" s="169" t="str">
        <f>IFERROR(__xludf.DUMMYFUNCTION("""COMPUTED_VALUE"""),"FU 30 Juli")</f>
        <v>FU 30 Juli</v>
      </c>
      <c r="E366" s="170"/>
      <c r="F366" s="53"/>
      <c r="G366" s="53"/>
      <c r="H366" s="53"/>
      <c r="I366" s="171"/>
      <c r="J366" s="170"/>
      <c r="K366" s="53"/>
      <c r="L366" s="53"/>
      <c r="M366" s="53"/>
      <c r="N366" s="171"/>
      <c r="O366" s="170"/>
      <c r="P366" s="53"/>
      <c r="Q366" s="53"/>
      <c r="R366" s="53"/>
      <c r="S366" s="171"/>
      <c r="T366" s="170"/>
      <c r="U366" s="53"/>
      <c r="V366" s="53"/>
      <c r="W366" s="53"/>
      <c r="X366" s="171"/>
      <c r="Y366" s="170"/>
      <c r="Z366" s="170"/>
      <c r="AA366" s="170"/>
      <c r="AB366" s="170"/>
      <c r="AC366" s="170"/>
      <c r="AD366" s="53"/>
      <c r="AE366" s="53"/>
    </row>
    <row r="367">
      <c r="A367" s="53"/>
      <c r="B367" s="53" t="str">
        <f>IFERROR(__xludf.DUMMYFUNCTION("""COMPUTED_VALUE"""),"2607D166
Rizkia Puri
081229463055
Instagram")</f>
        <v>2607D166
Rizkia Puri
081229463055
Instagram</v>
      </c>
      <c r="C367" s="168" t="str">
        <f>IFERROR(__xludf.DUMMYFUNCTION("""COMPUTED_VALUE"""),"3H2M opsi A
46252
2 pax
Rp0")</f>
        <v>3H2M opsi A
46252
2 pax
Rp0</v>
      </c>
      <c r="D367" s="169" t="str">
        <f>IFERROR(__xludf.DUMMYFUNCTION("""COMPUTED_VALUE"""),"FU 1 Agustus")</f>
        <v>FU 1 Agustus</v>
      </c>
      <c r="E367" s="170"/>
      <c r="F367" s="53"/>
      <c r="G367" s="53"/>
      <c r="H367" s="53"/>
      <c r="I367" s="171"/>
      <c r="J367" s="170"/>
      <c r="K367" s="53"/>
      <c r="L367" s="53"/>
      <c r="M367" s="53"/>
      <c r="N367" s="171"/>
      <c r="O367" s="170"/>
      <c r="P367" s="53"/>
      <c r="Q367" s="53"/>
      <c r="R367" s="53"/>
      <c r="S367" s="171"/>
      <c r="T367" s="170"/>
      <c r="U367" s="53"/>
      <c r="V367" s="53"/>
      <c r="W367" s="53"/>
      <c r="X367" s="171"/>
      <c r="Y367" s="170"/>
      <c r="Z367" s="170"/>
      <c r="AA367" s="170"/>
      <c r="AB367" s="170"/>
      <c r="AC367" s="170"/>
      <c r="AD367" s="53"/>
      <c r="AE367" s="53"/>
    </row>
    <row r="368">
      <c r="A368" s="53"/>
      <c r="B368" s="53" t="str">
        <f>IFERROR(__xludf.DUMMYFUNCTION("""COMPUTED_VALUE"""),"2607D167
WNA Inggris
447494034531
Instagram")</f>
        <v>2607D167
WNA Inggris
447494034531
Instagram</v>
      </c>
      <c r="C368" s="168" t="str">
        <f>IFERROR(__xludf.DUMMYFUNCTION("""COMPUTED_VALUE"""),"private trip Ijen
46280
3 pax
Rp0")</f>
        <v>private trip Ijen
46280
3 pax
Rp0</v>
      </c>
      <c r="D368" s="169" t="str">
        <f>IFERROR(__xludf.DUMMYFUNCTION("""COMPUTED_VALUE"""),"FU 14 Agustus")</f>
        <v>FU 14 Agustus</v>
      </c>
      <c r="E368" s="170"/>
      <c r="F368" s="53"/>
      <c r="G368" s="53"/>
      <c r="H368" s="53"/>
      <c r="I368" s="171"/>
      <c r="J368" s="170"/>
      <c r="K368" s="53"/>
      <c r="L368" s="53"/>
      <c r="M368" s="53"/>
      <c r="N368" s="171"/>
      <c r="O368" s="170"/>
      <c r="P368" s="53"/>
      <c r="Q368" s="53"/>
      <c r="R368" s="53"/>
      <c r="S368" s="171"/>
      <c r="T368" s="170"/>
      <c r="U368" s="53"/>
      <c r="V368" s="53"/>
      <c r="W368" s="53"/>
      <c r="X368" s="171"/>
      <c r="Y368" s="170"/>
      <c r="Z368" s="170"/>
      <c r="AA368" s="170"/>
      <c r="AB368" s="170"/>
      <c r="AC368" s="170"/>
      <c r="AD368" s="53"/>
      <c r="AE368" s="53"/>
    </row>
    <row r="369">
      <c r="A369" s="53"/>
      <c r="B369" s="53" t="str">
        <f>IFERROR(__xludf.DUMMYFUNCTION("""COMPUTED_VALUE"""),"2607D168
Intan Wulansari
08589202869
Instagram")</f>
        <v>2607D168
Intan Wulansari
08589202869
Instagram</v>
      </c>
      <c r="C369" s="168" t="str">
        <f>IFERROR(__xludf.DUMMYFUNCTION("""COMPUTED_VALUE"""),"3H2M Custome
6 pax
Rp0")</f>
        <v>3H2M Custome
6 pax
Rp0</v>
      </c>
      <c r="D369" s="169" t="str">
        <f>IFERROR(__xludf.DUMMYFUNCTION("""COMPUTED_VALUE"""),"FU 30 Juli")</f>
        <v>FU 30 Juli</v>
      </c>
      <c r="E369" s="170"/>
      <c r="F369" s="53"/>
      <c r="G369" s="53"/>
      <c r="H369" s="53"/>
      <c r="I369" s="171"/>
      <c r="J369" s="170"/>
      <c r="K369" s="53"/>
      <c r="L369" s="53"/>
      <c r="M369" s="53"/>
      <c r="N369" s="171"/>
      <c r="O369" s="170"/>
      <c r="P369" s="53"/>
      <c r="Q369" s="53"/>
      <c r="R369" s="53"/>
      <c r="S369" s="171"/>
      <c r="T369" s="170"/>
      <c r="U369" s="53"/>
      <c r="V369" s="53"/>
      <c r="W369" s="53"/>
      <c r="X369" s="171"/>
      <c r="Y369" s="170"/>
      <c r="Z369" s="170"/>
      <c r="AA369" s="170"/>
      <c r="AB369" s="170"/>
      <c r="AC369" s="170"/>
      <c r="AD369" s="53"/>
      <c r="AE369" s="53"/>
    </row>
    <row r="370">
      <c r="A370" s="53"/>
      <c r="B370" s="53" t="str">
        <f>IFERROR(__xludf.DUMMYFUNCTION("""COMPUTED_VALUE"""),"2607D169
Azizah
085289410324
Instagram")</f>
        <v>2607D169
Azizah
085289410324
Instagram</v>
      </c>
      <c r="C370" s="168" t="str">
        <f>IFERROR(__xludf.DUMMYFUNCTION("""COMPUTED_VALUE"""),"OT MT
46250
 pax
Rp0")</f>
        <v>OT MT
46250
 pax
Rp0</v>
      </c>
      <c r="D370" s="169" t="str">
        <f>IFERROR(__xludf.DUMMYFUNCTION("""COMPUTED_VALUE"""),"blm balas lagi, FU 30 Juli")</f>
        <v>blm balas lagi, FU 30 Juli</v>
      </c>
      <c r="E370" s="170"/>
      <c r="F370" s="53"/>
      <c r="G370" s="53"/>
      <c r="H370" s="53"/>
      <c r="I370" s="171"/>
      <c r="J370" s="170"/>
      <c r="K370" s="53"/>
      <c r="L370" s="53"/>
      <c r="M370" s="53"/>
      <c r="N370" s="171"/>
      <c r="O370" s="170"/>
      <c r="P370" s="53"/>
      <c r="Q370" s="53"/>
      <c r="R370" s="53"/>
      <c r="S370" s="171"/>
      <c r="T370" s="170"/>
      <c r="U370" s="53"/>
      <c r="V370" s="53"/>
      <c r="W370" s="53"/>
      <c r="X370" s="171"/>
      <c r="Y370" s="170"/>
      <c r="Z370" s="170"/>
      <c r="AA370" s="170"/>
      <c r="AB370" s="170"/>
      <c r="AC370" s="170"/>
      <c r="AD370" s="53"/>
      <c r="AE370" s="53"/>
    </row>
    <row r="371">
      <c r="A371" s="53"/>
      <c r="B371" s="53" t="str">
        <f>IFERROR(__xludf.DUMMYFUNCTION("""COMPUTED_VALUE"""),"2607D170
Intan Barus
085211734314
Instagram")</f>
        <v>2607D170
Intan Barus
085211734314
Instagram</v>
      </c>
      <c r="C371" s="168" t="str">
        <f>IFERROR(__xludf.DUMMYFUNCTION("""COMPUTED_VALUE"""),"2H1M opsi B
46265
2 pax
Rp0")</f>
        <v>2H1M opsi B
46265
2 pax
Rp0</v>
      </c>
      <c r="D371" s="169" t="str">
        <f>IFERROR(__xludf.DUMMYFUNCTION("""COMPUTED_VALUE"""),"FU 14 Agustus")</f>
        <v>FU 14 Agustus</v>
      </c>
      <c r="E371" s="170"/>
      <c r="F371" s="53"/>
      <c r="G371" s="53"/>
      <c r="H371" s="53"/>
      <c r="I371" s="171"/>
      <c r="J371" s="170"/>
      <c r="K371" s="53"/>
      <c r="L371" s="53"/>
      <c r="M371" s="53"/>
      <c r="N371" s="171"/>
      <c r="O371" s="170"/>
      <c r="P371" s="53"/>
      <c r="Q371" s="53"/>
      <c r="R371" s="53"/>
      <c r="S371" s="171"/>
      <c r="T371" s="170"/>
      <c r="U371" s="53"/>
      <c r="V371" s="53"/>
      <c r="W371" s="53"/>
      <c r="X371" s="171"/>
      <c r="Y371" s="170"/>
      <c r="Z371" s="170"/>
      <c r="AA371" s="170"/>
      <c r="AB371" s="170"/>
      <c r="AC371" s="170"/>
      <c r="AD371" s="53"/>
      <c r="AE371" s="53"/>
    </row>
    <row r="372">
      <c r="A372" s="53"/>
      <c r="B372" s="53" t="str">
        <f>IFERROR(__xludf.DUMMYFUNCTION("""COMPUTED_VALUE"""),"2607D171
Nadia Amelia 
08192165504
Instagram")</f>
        <v>2607D171
Nadia Amelia 
08192165504
Instagram</v>
      </c>
      <c r="C372" s="168" t="str">
        <f>IFERROR(__xludf.DUMMYFUNCTION("""COMPUTED_VALUE"""),"OT3H2M
 pax
Rp0")</f>
        <v>OT3H2M
 pax
Rp0</v>
      </c>
      <c r="D372" s="169" t="str">
        <f>IFERROR(__xludf.DUMMYFUNCTION("""COMPUTED_VALUE"""),"FU 30 Juli")</f>
        <v>FU 30 Juli</v>
      </c>
      <c r="E372" s="170"/>
      <c r="F372" s="53"/>
      <c r="G372" s="53"/>
      <c r="H372" s="53"/>
      <c r="I372" s="171"/>
      <c r="J372" s="170"/>
      <c r="K372" s="53"/>
      <c r="L372" s="53"/>
      <c r="M372" s="53"/>
      <c r="N372" s="171"/>
      <c r="O372" s="170"/>
      <c r="P372" s="53"/>
      <c r="Q372" s="53"/>
      <c r="R372" s="53"/>
      <c r="S372" s="171"/>
      <c r="T372" s="170"/>
      <c r="U372" s="53"/>
      <c r="V372" s="53"/>
      <c r="W372" s="53"/>
      <c r="X372" s="171"/>
      <c r="Y372" s="170"/>
      <c r="Z372" s="170"/>
      <c r="AA372" s="170"/>
      <c r="AB372" s="170"/>
      <c r="AC372" s="170"/>
      <c r="AD372" s="53"/>
      <c r="AE372" s="53"/>
    </row>
    <row r="373">
      <c r="A373" s="53"/>
      <c r="B373" s="53" t="str">
        <f>IFERROR(__xludf.DUMMYFUNCTION("""COMPUTED_VALUE"""),"2607D172
Andre Januar Mulya
081519844165
Rekomendasi")</f>
        <v>2607D172
Andre Januar Mulya
081519844165
Rekomendasi</v>
      </c>
      <c r="C373" s="168" t="str">
        <f>IFERROR(__xludf.DUMMYFUNCTION("""COMPUTED_VALUE"""),"trip custome
 pax
Rp0")</f>
        <v>trip custome
 pax
Rp0</v>
      </c>
      <c r="D373" s="169" t="str">
        <f>IFERROR(__xludf.DUMMYFUNCTION("""COMPUTED_VALUE"""),"sudah kirim penawaran, FU 21 Agustus")</f>
        <v>sudah kirim penawaran, FU 21 Agustus</v>
      </c>
      <c r="E373" s="170"/>
      <c r="F373" s="53"/>
      <c r="G373" s="53"/>
      <c r="H373" s="53"/>
      <c r="I373" s="171"/>
      <c r="J373" s="170"/>
      <c r="K373" s="53"/>
      <c r="L373" s="53"/>
      <c r="M373" s="53"/>
      <c r="N373" s="171"/>
      <c r="O373" s="170"/>
      <c r="P373" s="53"/>
      <c r="Q373" s="53"/>
      <c r="R373" s="53"/>
      <c r="S373" s="171"/>
      <c r="T373" s="170"/>
      <c r="U373" s="53"/>
      <c r="V373" s="53"/>
      <c r="W373" s="53"/>
      <c r="X373" s="171"/>
      <c r="Y373" s="170"/>
      <c r="Z373" s="170"/>
      <c r="AA373" s="170"/>
      <c r="AB373" s="170"/>
      <c r="AC373" s="170"/>
      <c r="AD373" s="53"/>
      <c r="AE373" s="53"/>
    </row>
    <row r="374">
      <c r="A374" s="53"/>
      <c r="B374" s="53" t="str">
        <f>IFERROR(__xludf.DUMMYFUNCTION("""COMPUTED_VALUE"""),"2607D173
Zahra Athallah
081286968037
Instagram")</f>
        <v>2607D173
Zahra Athallah
081286968037
Instagram</v>
      </c>
      <c r="C374" s="168" t="str">
        <f>IFERROR(__xludf.DUMMYFUNCTION("""COMPUTED_VALUE"""),"3H2M opsi A
46249
2 pax
Rp0")</f>
        <v>3H2M opsi A
46249
2 pax
Rp0</v>
      </c>
      <c r="D374" s="169" t="str">
        <f>IFERROR(__xludf.DUMMYFUNCTION("""COMPUTED_VALUE"""),"FU 2 Agustus")</f>
        <v>FU 2 Agustus</v>
      </c>
      <c r="E374" s="170"/>
      <c r="F374" s="53"/>
      <c r="G374" s="53"/>
      <c r="H374" s="53"/>
      <c r="I374" s="171"/>
      <c r="J374" s="170"/>
      <c r="K374" s="53"/>
      <c r="L374" s="53"/>
      <c r="M374" s="53"/>
      <c r="N374" s="171"/>
      <c r="O374" s="170"/>
      <c r="P374" s="53"/>
      <c r="Q374" s="53"/>
      <c r="R374" s="53"/>
      <c r="S374" s="171"/>
      <c r="T374" s="170"/>
      <c r="U374" s="53"/>
      <c r="V374" s="53"/>
      <c r="W374" s="53"/>
      <c r="X374" s="171"/>
      <c r="Y374" s="170"/>
      <c r="Z374" s="170"/>
      <c r="AA374" s="170"/>
      <c r="AB374" s="170"/>
      <c r="AC374" s="170"/>
      <c r="AD374" s="53"/>
      <c r="AE374" s="53"/>
    </row>
    <row r="375">
      <c r="A375" s="53"/>
      <c r="B375" s="53" t="str">
        <f>IFERROR(__xludf.DUMMYFUNCTION("""COMPUTED_VALUE"""),"2607D174
Ridha Fatmasari
085225230819
Instagram")</f>
        <v>2607D174
Ridha Fatmasari
085225230819
Instagram</v>
      </c>
      <c r="C375" s="168" t="str">
        <f>IFERROR(__xludf.DUMMYFUNCTION("""COMPUTED_VALUE"""),"OT MT
46250
4 pax
Rp0")</f>
        <v>OT MT
46250
4 pax
Rp0</v>
      </c>
      <c r="D375" s="169" t="str">
        <f>IFERROR(__xludf.DUMMYFUNCTION("""COMPUTED_VALUE"""),"FU 30 Juli")</f>
        <v>FU 30 Juli</v>
      </c>
      <c r="E375" s="170"/>
      <c r="F375" s="53"/>
      <c r="G375" s="53"/>
      <c r="H375" s="53"/>
      <c r="I375" s="171"/>
      <c r="J375" s="170"/>
      <c r="K375" s="53"/>
      <c r="L375" s="53"/>
      <c r="M375" s="53"/>
      <c r="N375" s="171"/>
      <c r="O375" s="170"/>
      <c r="P375" s="53"/>
      <c r="Q375" s="53"/>
      <c r="R375" s="53"/>
      <c r="S375" s="171"/>
      <c r="T375" s="170"/>
      <c r="U375" s="53"/>
      <c r="V375" s="53"/>
      <c r="W375" s="53"/>
      <c r="X375" s="171"/>
      <c r="Y375" s="170"/>
      <c r="Z375" s="170"/>
      <c r="AA375" s="170"/>
      <c r="AB375" s="170"/>
      <c r="AC375" s="170"/>
      <c r="AD375" s="53"/>
      <c r="AE375" s="53"/>
    </row>
    <row r="376">
      <c r="A376" s="53"/>
      <c r="B376" s="53"/>
      <c r="C376" s="168"/>
      <c r="D376" s="169"/>
      <c r="E376" s="170"/>
      <c r="F376" s="53"/>
      <c r="G376" s="53"/>
      <c r="H376" s="53"/>
      <c r="I376" s="171"/>
      <c r="J376" s="170"/>
      <c r="K376" s="53"/>
      <c r="L376" s="53"/>
      <c r="M376" s="53"/>
      <c r="N376" s="171"/>
      <c r="O376" s="170"/>
      <c r="P376" s="53"/>
      <c r="Q376" s="53"/>
      <c r="R376" s="53"/>
      <c r="S376" s="171"/>
      <c r="T376" s="170"/>
      <c r="U376" s="53"/>
      <c r="V376" s="53"/>
      <c r="W376" s="53"/>
      <c r="X376" s="171"/>
      <c r="Y376" s="170"/>
      <c r="Z376" s="170"/>
      <c r="AA376" s="170"/>
      <c r="AB376" s="170"/>
      <c r="AC376" s="170"/>
      <c r="AD376" s="53"/>
      <c r="AE376" s="53"/>
    </row>
    <row r="377">
      <c r="A377" s="53"/>
      <c r="B377" s="53"/>
      <c r="C377" s="168"/>
      <c r="D377" s="169"/>
      <c r="E377" s="170"/>
      <c r="F377" s="53"/>
      <c r="G377" s="53"/>
      <c r="H377" s="53"/>
      <c r="I377" s="171"/>
      <c r="J377" s="170"/>
      <c r="K377" s="53"/>
      <c r="L377" s="53"/>
      <c r="M377" s="53"/>
      <c r="N377" s="171"/>
      <c r="O377" s="170"/>
      <c r="P377" s="53"/>
      <c r="Q377" s="53"/>
      <c r="R377" s="53"/>
      <c r="S377" s="171"/>
      <c r="T377" s="170"/>
      <c r="U377" s="53"/>
      <c r="V377" s="53"/>
      <c r="W377" s="53"/>
      <c r="X377" s="171"/>
      <c r="Y377" s="170"/>
      <c r="Z377" s="170"/>
      <c r="AA377" s="170"/>
      <c r="AB377" s="170"/>
      <c r="AC377" s="170"/>
      <c r="AD377" s="53"/>
      <c r="AE377" s="53"/>
    </row>
    <row r="378">
      <c r="A378" s="53"/>
      <c r="B378" s="53"/>
      <c r="C378" s="168"/>
      <c r="D378" s="169"/>
      <c r="E378" s="170"/>
      <c r="F378" s="53"/>
      <c r="G378" s="53"/>
      <c r="H378" s="53"/>
      <c r="I378" s="171"/>
      <c r="J378" s="170"/>
      <c r="K378" s="53"/>
      <c r="L378" s="53"/>
      <c r="M378" s="53"/>
      <c r="N378" s="171"/>
      <c r="O378" s="170"/>
      <c r="P378" s="53"/>
      <c r="Q378" s="53"/>
      <c r="R378" s="53"/>
      <c r="S378" s="171"/>
      <c r="T378" s="170"/>
      <c r="U378" s="53"/>
      <c r="V378" s="53"/>
      <c r="W378" s="53"/>
      <c r="X378" s="171"/>
      <c r="Y378" s="170"/>
      <c r="Z378" s="170"/>
      <c r="AA378" s="170"/>
      <c r="AB378" s="170"/>
      <c r="AC378" s="170"/>
      <c r="AD378" s="53"/>
      <c r="AE378" s="53"/>
    </row>
    <row r="379">
      <c r="A379" s="53"/>
      <c r="B379" s="53"/>
      <c r="C379" s="168"/>
      <c r="D379" s="169"/>
      <c r="E379" s="170"/>
      <c r="F379" s="53"/>
      <c r="G379" s="53"/>
      <c r="H379" s="53"/>
      <c r="I379" s="171"/>
      <c r="J379" s="170"/>
      <c r="K379" s="53"/>
      <c r="L379" s="53"/>
      <c r="M379" s="53"/>
      <c r="N379" s="171"/>
      <c r="O379" s="170"/>
      <c r="P379" s="53"/>
      <c r="Q379" s="53"/>
      <c r="R379" s="53"/>
      <c r="S379" s="171"/>
      <c r="T379" s="170"/>
      <c r="U379" s="53"/>
      <c r="V379" s="53"/>
      <c r="W379" s="53"/>
      <c r="X379" s="171"/>
      <c r="Y379" s="170"/>
      <c r="Z379" s="170"/>
      <c r="AA379" s="170"/>
      <c r="AB379" s="170"/>
      <c r="AC379" s="170"/>
      <c r="AD379" s="53"/>
      <c r="AE379" s="53"/>
    </row>
    <row r="380">
      <c r="A380" s="53"/>
      <c r="B380" s="53"/>
      <c r="C380" s="168"/>
      <c r="D380" s="169"/>
      <c r="E380" s="170"/>
      <c r="F380" s="53"/>
      <c r="G380" s="53"/>
      <c r="H380" s="53"/>
      <c r="I380" s="171"/>
      <c r="J380" s="170"/>
      <c r="K380" s="53"/>
      <c r="L380" s="53"/>
      <c r="M380" s="53"/>
      <c r="N380" s="171"/>
      <c r="O380" s="170"/>
      <c r="P380" s="53"/>
      <c r="Q380" s="53"/>
      <c r="R380" s="53"/>
      <c r="S380" s="171"/>
      <c r="T380" s="170"/>
      <c r="U380" s="53"/>
      <c r="V380" s="53"/>
      <c r="W380" s="53"/>
      <c r="X380" s="171"/>
      <c r="Y380" s="170"/>
      <c r="Z380" s="170"/>
      <c r="AA380" s="170"/>
      <c r="AB380" s="170"/>
      <c r="AC380" s="170"/>
      <c r="AD380" s="53"/>
      <c r="AE380" s="53"/>
    </row>
    <row r="381">
      <c r="A381" s="53"/>
      <c r="B381" s="53"/>
      <c r="C381" s="168"/>
      <c r="D381" s="169"/>
      <c r="E381" s="170"/>
      <c r="F381" s="53"/>
      <c r="G381" s="53"/>
      <c r="H381" s="53"/>
      <c r="I381" s="171"/>
      <c r="J381" s="170"/>
      <c r="K381" s="53"/>
      <c r="L381" s="53"/>
      <c r="M381" s="53"/>
      <c r="N381" s="171"/>
      <c r="O381" s="170"/>
      <c r="P381" s="53"/>
      <c r="Q381" s="53"/>
      <c r="R381" s="53"/>
      <c r="S381" s="171"/>
      <c r="T381" s="170"/>
      <c r="U381" s="53"/>
      <c r="V381" s="53"/>
      <c r="W381" s="53"/>
      <c r="X381" s="171"/>
      <c r="Y381" s="170"/>
      <c r="Z381" s="170"/>
      <c r="AA381" s="170"/>
      <c r="AB381" s="170"/>
      <c r="AC381" s="170"/>
      <c r="AD381" s="53"/>
      <c r="AE381" s="53"/>
    </row>
    <row r="382">
      <c r="A382" s="53"/>
      <c r="B382" s="53"/>
      <c r="C382" s="168"/>
      <c r="D382" s="169"/>
      <c r="E382" s="170"/>
      <c r="F382" s="53"/>
      <c r="G382" s="53"/>
      <c r="H382" s="53"/>
      <c r="I382" s="171"/>
      <c r="J382" s="170"/>
      <c r="K382" s="53"/>
      <c r="L382" s="53"/>
      <c r="M382" s="53"/>
      <c r="N382" s="171"/>
      <c r="O382" s="170"/>
      <c r="P382" s="53"/>
      <c r="Q382" s="53"/>
      <c r="R382" s="53"/>
      <c r="S382" s="171"/>
      <c r="T382" s="170"/>
      <c r="U382" s="53"/>
      <c r="V382" s="53"/>
      <c r="W382" s="53"/>
      <c r="X382" s="171"/>
      <c r="Y382" s="170"/>
      <c r="Z382" s="170"/>
      <c r="AA382" s="170"/>
      <c r="AB382" s="170"/>
      <c r="AC382" s="170"/>
      <c r="AD382" s="53"/>
      <c r="AE382" s="53"/>
    </row>
    <row r="383">
      <c r="A383" s="53"/>
      <c r="B383" s="53"/>
      <c r="C383" s="168"/>
      <c r="D383" s="169"/>
      <c r="E383" s="170"/>
      <c r="F383" s="53"/>
      <c r="G383" s="53"/>
      <c r="H383" s="53"/>
      <c r="I383" s="171"/>
      <c r="J383" s="170"/>
      <c r="K383" s="53"/>
      <c r="L383" s="53"/>
      <c r="M383" s="53"/>
      <c r="N383" s="171"/>
      <c r="O383" s="170"/>
      <c r="P383" s="53"/>
      <c r="Q383" s="53"/>
      <c r="R383" s="53"/>
      <c r="S383" s="171"/>
      <c r="T383" s="170"/>
      <c r="U383" s="53"/>
      <c r="V383" s="53"/>
      <c r="W383" s="53"/>
      <c r="X383" s="171"/>
      <c r="Y383" s="170"/>
      <c r="Z383" s="170"/>
      <c r="AA383" s="170"/>
      <c r="AB383" s="170"/>
      <c r="AC383" s="170"/>
      <c r="AD383" s="53"/>
      <c r="AE383" s="53"/>
    </row>
    <row r="384">
      <c r="A384" s="53"/>
      <c r="B384" s="53"/>
      <c r="C384" s="168"/>
      <c r="D384" s="169"/>
      <c r="E384" s="170"/>
      <c r="F384" s="53"/>
      <c r="G384" s="53"/>
      <c r="H384" s="53"/>
      <c r="I384" s="171"/>
      <c r="J384" s="170"/>
      <c r="K384" s="53"/>
      <c r="L384" s="53"/>
      <c r="M384" s="53"/>
      <c r="N384" s="171"/>
      <c r="O384" s="170"/>
      <c r="P384" s="53"/>
      <c r="Q384" s="53"/>
      <c r="R384" s="53"/>
      <c r="S384" s="171"/>
      <c r="T384" s="170"/>
      <c r="U384" s="53"/>
      <c r="V384" s="53"/>
      <c r="W384" s="53"/>
      <c r="X384" s="171"/>
      <c r="Y384" s="170"/>
      <c r="Z384" s="170"/>
      <c r="AA384" s="170"/>
      <c r="AB384" s="170"/>
      <c r="AC384" s="170"/>
      <c r="AD384" s="53"/>
      <c r="AE384" s="53"/>
    </row>
    <row r="385">
      <c r="A385" s="53"/>
      <c r="B385" s="53"/>
      <c r="C385" s="168"/>
      <c r="D385" s="169"/>
      <c r="E385" s="170"/>
      <c r="F385" s="53"/>
      <c r="G385" s="53"/>
      <c r="H385" s="53"/>
      <c r="I385" s="171"/>
      <c r="J385" s="170"/>
      <c r="K385" s="53"/>
      <c r="L385" s="53"/>
      <c r="M385" s="53"/>
      <c r="N385" s="171"/>
      <c r="O385" s="170"/>
      <c r="P385" s="53"/>
      <c r="Q385" s="53"/>
      <c r="R385" s="53"/>
      <c r="S385" s="171"/>
      <c r="T385" s="170"/>
      <c r="U385" s="53"/>
      <c r="V385" s="53"/>
      <c r="W385" s="53"/>
      <c r="X385" s="171"/>
      <c r="Y385" s="170"/>
      <c r="Z385" s="170"/>
      <c r="AA385" s="170"/>
      <c r="AB385" s="170"/>
      <c r="AC385" s="170"/>
      <c r="AD385" s="53"/>
      <c r="AE385" s="53"/>
    </row>
    <row r="386">
      <c r="A386" s="53"/>
      <c r="B386" s="53"/>
      <c r="C386" s="168"/>
      <c r="D386" s="169"/>
      <c r="E386" s="170"/>
      <c r="F386" s="53"/>
      <c r="G386" s="53"/>
      <c r="H386" s="53"/>
      <c r="I386" s="171"/>
      <c r="J386" s="170"/>
      <c r="K386" s="53"/>
      <c r="L386" s="53"/>
      <c r="M386" s="53"/>
      <c r="N386" s="171"/>
      <c r="O386" s="170"/>
      <c r="P386" s="53"/>
      <c r="Q386" s="53"/>
      <c r="R386" s="53"/>
      <c r="S386" s="171"/>
      <c r="T386" s="170"/>
      <c r="U386" s="53"/>
      <c r="V386" s="53"/>
      <c r="W386" s="53"/>
      <c r="X386" s="171"/>
      <c r="Y386" s="170"/>
      <c r="Z386" s="170"/>
      <c r="AA386" s="170"/>
      <c r="AB386" s="170"/>
      <c r="AC386" s="170"/>
      <c r="AD386" s="53"/>
      <c r="AE386" s="53"/>
    </row>
    <row r="387">
      <c r="A387" s="53"/>
      <c r="B387" s="53"/>
      <c r="C387" s="168"/>
      <c r="D387" s="169"/>
      <c r="E387" s="170"/>
      <c r="F387" s="53"/>
      <c r="G387" s="53"/>
      <c r="H387" s="53"/>
      <c r="I387" s="171"/>
      <c r="J387" s="170"/>
      <c r="K387" s="53"/>
      <c r="L387" s="53"/>
      <c r="M387" s="53"/>
      <c r="N387" s="171"/>
      <c r="O387" s="170"/>
      <c r="P387" s="53"/>
      <c r="Q387" s="53"/>
      <c r="R387" s="53"/>
      <c r="S387" s="171"/>
      <c r="T387" s="170"/>
      <c r="U387" s="53"/>
      <c r="V387" s="53"/>
      <c r="W387" s="53"/>
      <c r="X387" s="171"/>
      <c r="Y387" s="170"/>
      <c r="Z387" s="170"/>
      <c r="AA387" s="170"/>
      <c r="AB387" s="170"/>
      <c r="AC387" s="170"/>
      <c r="AD387" s="53"/>
      <c r="AE387" s="53"/>
    </row>
    <row r="388">
      <c r="A388" s="53"/>
      <c r="B388" s="53"/>
      <c r="C388" s="168"/>
      <c r="D388" s="169"/>
      <c r="E388" s="170"/>
      <c r="F388" s="53"/>
      <c r="G388" s="53"/>
      <c r="H388" s="53"/>
      <c r="I388" s="171"/>
      <c r="J388" s="170"/>
      <c r="K388" s="53"/>
      <c r="L388" s="53"/>
      <c r="M388" s="53"/>
      <c r="N388" s="171"/>
      <c r="O388" s="170"/>
      <c r="P388" s="53"/>
      <c r="Q388" s="53"/>
      <c r="R388" s="53"/>
      <c r="S388" s="171"/>
      <c r="T388" s="170"/>
      <c r="U388" s="53"/>
      <c r="V388" s="53"/>
      <c r="W388" s="53"/>
      <c r="X388" s="171"/>
      <c r="Y388" s="170"/>
      <c r="Z388" s="170"/>
      <c r="AA388" s="170"/>
      <c r="AB388" s="170"/>
      <c r="AC388" s="170"/>
      <c r="AD388" s="53"/>
      <c r="AE388" s="53"/>
    </row>
    <row r="389">
      <c r="A389" s="53"/>
      <c r="B389" s="53"/>
      <c r="C389" s="168"/>
      <c r="D389" s="169"/>
      <c r="E389" s="170"/>
      <c r="F389" s="53"/>
      <c r="G389" s="53"/>
      <c r="H389" s="53"/>
      <c r="I389" s="171"/>
      <c r="J389" s="170"/>
      <c r="K389" s="53"/>
      <c r="L389" s="53"/>
      <c r="M389" s="53"/>
      <c r="N389" s="171"/>
      <c r="O389" s="170"/>
      <c r="P389" s="53"/>
      <c r="Q389" s="53"/>
      <c r="R389" s="53"/>
      <c r="S389" s="171"/>
      <c r="T389" s="170"/>
      <c r="U389" s="53"/>
      <c r="V389" s="53"/>
      <c r="W389" s="53"/>
      <c r="X389" s="171"/>
      <c r="Y389" s="170"/>
      <c r="Z389" s="170"/>
      <c r="AA389" s="170"/>
      <c r="AB389" s="170"/>
      <c r="AC389" s="170"/>
      <c r="AD389" s="53"/>
      <c r="AE389" s="53"/>
    </row>
    <row r="390">
      <c r="A390" s="53"/>
      <c r="B390" s="53"/>
      <c r="C390" s="168"/>
      <c r="D390" s="169"/>
      <c r="E390" s="170"/>
      <c r="F390" s="53"/>
      <c r="G390" s="53"/>
      <c r="H390" s="53"/>
      <c r="I390" s="171"/>
      <c r="J390" s="170"/>
      <c r="K390" s="53"/>
      <c r="L390" s="53"/>
      <c r="M390" s="53"/>
      <c r="N390" s="171"/>
      <c r="O390" s="170"/>
      <c r="P390" s="53"/>
      <c r="Q390" s="53"/>
      <c r="R390" s="53"/>
      <c r="S390" s="171"/>
      <c r="T390" s="170"/>
      <c r="U390" s="53"/>
      <c r="V390" s="53"/>
      <c r="W390" s="53"/>
      <c r="X390" s="171"/>
      <c r="Y390" s="170"/>
      <c r="Z390" s="170"/>
      <c r="AA390" s="170"/>
      <c r="AB390" s="170"/>
      <c r="AC390" s="170"/>
      <c r="AD390" s="53"/>
      <c r="AE390" s="53"/>
    </row>
    <row r="391">
      <c r="A391" s="53"/>
      <c r="B391" s="53"/>
      <c r="C391" s="168"/>
      <c r="D391" s="169"/>
      <c r="E391" s="170"/>
      <c r="F391" s="53"/>
      <c r="G391" s="53"/>
      <c r="H391" s="53"/>
      <c r="I391" s="171"/>
      <c r="J391" s="170"/>
      <c r="K391" s="53"/>
      <c r="L391" s="53"/>
      <c r="M391" s="53"/>
      <c r="N391" s="171"/>
      <c r="O391" s="170"/>
      <c r="P391" s="53"/>
      <c r="Q391" s="53"/>
      <c r="R391" s="53"/>
      <c r="S391" s="171"/>
      <c r="T391" s="170"/>
      <c r="U391" s="53"/>
      <c r="V391" s="53"/>
      <c r="W391" s="53"/>
      <c r="X391" s="171"/>
      <c r="Y391" s="170"/>
      <c r="Z391" s="170"/>
      <c r="AA391" s="170"/>
      <c r="AB391" s="170"/>
      <c r="AC391" s="170"/>
      <c r="AD391" s="53"/>
      <c r="AE391" s="53"/>
    </row>
    <row r="392">
      <c r="A392" s="53"/>
      <c r="B392" s="53"/>
      <c r="C392" s="168"/>
      <c r="D392" s="169"/>
      <c r="E392" s="170"/>
      <c r="F392" s="53"/>
      <c r="G392" s="53"/>
      <c r="H392" s="53"/>
      <c r="I392" s="171"/>
      <c r="J392" s="170"/>
      <c r="K392" s="53"/>
      <c r="L392" s="53"/>
      <c r="M392" s="53"/>
      <c r="N392" s="171"/>
      <c r="O392" s="170"/>
      <c r="P392" s="53"/>
      <c r="Q392" s="53"/>
      <c r="R392" s="53"/>
      <c r="S392" s="171"/>
      <c r="T392" s="170"/>
      <c r="U392" s="53"/>
      <c r="V392" s="53"/>
      <c r="W392" s="53"/>
      <c r="X392" s="171"/>
      <c r="Y392" s="170"/>
      <c r="Z392" s="170"/>
      <c r="AA392" s="170"/>
      <c r="AB392" s="170"/>
      <c r="AC392" s="170"/>
      <c r="AD392" s="53"/>
      <c r="AE392" s="53"/>
    </row>
    <row r="393">
      <c r="A393" s="53"/>
      <c r="B393" s="53"/>
      <c r="C393" s="168"/>
      <c r="D393" s="169"/>
      <c r="E393" s="170"/>
      <c r="F393" s="53"/>
      <c r="G393" s="53"/>
      <c r="H393" s="53"/>
      <c r="I393" s="171"/>
      <c r="J393" s="170"/>
      <c r="K393" s="53"/>
      <c r="L393" s="53"/>
      <c r="M393" s="53"/>
      <c r="N393" s="171"/>
      <c r="O393" s="170"/>
      <c r="P393" s="53"/>
      <c r="Q393" s="53"/>
      <c r="R393" s="53"/>
      <c r="S393" s="171"/>
      <c r="T393" s="170"/>
      <c r="U393" s="53"/>
      <c r="V393" s="53"/>
      <c r="W393" s="53"/>
      <c r="X393" s="171"/>
      <c r="Y393" s="170"/>
      <c r="Z393" s="170"/>
      <c r="AA393" s="170"/>
      <c r="AB393" s="170"/>
      <c r="AC393" s="170"/>
      <c r="AD393" s="53"/>
      <c r="AE393" s="53"/>
    </row>
    <row r="394">
      <c r="A394" s="53"/>
      <c r="B394" s="53"/>
      <c r="C394" s="168"/>
      <c r="D394" s="169"/>
      <c r="E394" s="170"/>
      <c r="F394" s="53"/>
      <c r="G394" s="53"/>
      <c r="H394" s="53"/>
      <c r="I394" s="171"/>
      <c r="J394" s="170"/>
      <c r="K394" s="53"/>
      <c r="L394" s="53"/>
      <c r="M394" s="53"/>
      <c r="N394" s="171"/>
      <c r="O394" s="170"/>
      <c r="P394" s="53"/>
      <c r="Q394" s="53"/>
      <c r="R394" s="53"/>
      <c r="S394" s="171"/>
      <c r="T394" s="170"/>
      <c r="U394" s="53"/>
      <c r="V394" s="53"/>
      <c r="W394" s="53"/>
      <c r="X394" s="171"/>
      <c r="Y394" s="170"/>
      <c r="Z394" s="170"/>
      <c r="AA394" s="170"/>
      <c r="AB394" s="170"/>
      <c r="AC394" s="170"/>
      <c r="AD394" s="53"/>
      <c r="AE394" s="53"/>
    </row>
    <row r="395">
      <c r="A395" s="53"/>
      <c r="B395" s="53"/>
      <c r="C395" s="168"/>
      <c r="D395" s="169"/>
      <c r="E395" s="170"/>
      <c r="F395" s="53"/>
      <c r="G395" s="53"/>
      <c r="H395" s="53"/>
      <c r="I395" s="171"/>
      <c r="J395" s="170"/>
      <c r="K395" s="53"/>
      <c r="L395" s="53"/>
      <c r="M395" s="53"/>
      <c r="N395" s="171"/>
      <c r="O395" s="170"/>
      <c r="P395" s="53"/>
      <c r="Q395" s="53"/>
      <c r="R395" s="53"/>
      <c r="S395" s="171"/>
      <c r="T395" s="170"/>
      <c r="U395" s="53"/>
      <c r="V395" s="53"/>
      <c r="W395" s="53"/>
      <c r="X395" s="171"/>
      <c r="Y395" s="170"/>
      <c r="Z395" s="170"/>
      <c r="AA395" s="170"/>
      <c r="AB395" s="170"/>
      <c r="AC395" s="170"/>
      <c r="AD395" s="53"/>
      <c r="AE395" s="53"/>
    </row>
    <row r="396">
      <c r="A396" s="53"/>
      <c r="B396" s="53"/>
      <c r="C396" s="168"/>
      <c r="D396" s="169"/>
      <c r="E396" s="170"/>
      <c r="F396" s="53"/>
      <c r="G396" s="53"/>
      <c r="H396" s="53"/>
      <c r="I396" s="171"/>
      <c r="J396" s="170"/>
      <c r="K396" s="53"/>
      <c r="L396" s="53"/>
      <c r="M396" s="53"/>
      <c r="N396" s="171"/>
      <c r="O396" s="170"/>
      <c r="P396" s="53"/>
      <c r="Q396" s="53"/>
      <c r="R396" s="53"/>
      <c r="S396" s="171"/>
      <c r="T396" s="170"/>
      <c r="U396" s="53"/>
      <c r="V396" s="53"/>
      <c r="W396" s="53"/>
      <c r="X396" s="171"/>
      <c r="Y396" s="170"/>
      <c r="Z396" s="170"/>
      <c r="AA396" s="170"/>
      <c r="AB396" s="170"/>
      <c r="AC396" s="170"/>
      <c r="AD396" s="53"/>
      <c r="AE396" s="53"/>
    </row>
    <row r="397">
      <c r="A397" s="53"/>
      <c r="B397" s="53"/>
      <c r="C397" s="168"/>
      <c r="D397" s="169"/>
      <c r="E397" s="170"/>
      <c r="F397" s="53"/>
      <c r="G397" s="53"/>
      <c r="H397" s="53"/>
      <c r="I397" s="171"/>
      <c r="J397" s="170"/>
      <c r="K397" s="53"/>
      <c r="L397" s="53"/>
      <c r="M397" s="53"/>
      <c r="N397" s="171"/>
      <c r="O397" s="170"/>
      <c r="P397" s="53"/>
      <c r="Q397" s="53"/>
      <c r="R397" s="53"/>
      <c r="S397" s="171"/>
      <c r="T397" s="170"/>
      <c r="U397" s="53"/>
      <c r="V397" s="53"/>
      <c r="W397" s="53"/>
      <c r="X397" s="171"/>
      <c r="Y397" s="170"/>
      <c r="Z397" s="170"/>
      <c r="AA397" s="170"/>
      <c r="AB397" s="170"/>
      <c r="AC397" s="170"/>
      <c r="AD397" s="53"/>
      <c r="AE397" s="53"/>
    </row>
    <row r="398">
      <c r="A398" s="53"/>
      <c r="B398" s="53"/>
      <c r="C398" s="168"/>
      <c r="D398" s="169"/>
      <c r="E398" s="170"/>
      <c r="F398" s="53"/>
      <c r="G398" s="53"/>
      <c r="H398" s="53"/>
      <c r="I398" s="171"/>
      <c r="J398" s="170"/>
      <c r="K398" s="53"/>
      <c r="L398" s="53"/>
      <c r="M398" s="53"/>
      <c r="N398" s="171"/>
      <c r="O398" s="170"/>
      <c r="P398" s="53"/>
      <c r="Q398" s="53"/>
      <c r="R398" s="53"/>
      <c r="S398" s="171"/>
      <c r="T398" s="170"/>
      <c r="U398" s="53"/>
      <c r="V398" s="53"/>
      <c r="W398" s="53"/>
      <c r="X398" s="171"/>
      <c r="Y398" s="170"/>
      <c r="Z398" s="170"/>
      <c r="AA398" s="170"/>
      <c r="AB398" s="170"/>
      <c r="AC398" s="170"/>
      <c r="AD398" s="53"/>
      <c r="AE398" s="53"/>
    </row>
    <row r="399">
      <c r="A399" s="53"/>
      <c r="B399" s="53"/>
      <c r="C399" s="168"/>
      <c r="D399" s="169"/>
      <c r="E399" s="170"/>
      <c r="F399" s="53"/>
      <c r="G399" s="53"/>
      <c r="H399" s="53"/>
      <c r="I399" s="171"/>
      <c r="J399" s="170"/>
      <c r="K399" s="53"/>
      <c r="L399" s="53"/>
      <c r="M399" s="53"/>
      <c r="N399" s="171"/>
      <c r="O399" s="170"/>
      <c r="P399" s="53"/>
      <c r="Q399" s="53"/>
      <c r="R399" s="53"/>
      <c r="S399" s="171"/>
      <c r="T399" s="170"/>
      <c r="U399" s="53"/>
      <c r="V399" s="53"/>
      <c r="W399" s="53"/>
      <c r="X399" s="171"/>
      <c r="Y399" s="170"/>
      <c r="Z399" s="170"/>
      <c r="AA399" s="170"/>
      <c r="AB399" s="170"/>
      <c r="AC399" s="170"/>
      <c r="AD399" s="53"/>
      <c r="AE399" s="53"/>
    </row>
    <row r="400">
      <c r="A400" s="53"/>
      <c r="B400" s="53"/>
      <c r="C400" s="168"/>
      <c r="D400" s="169"/>
      <c r="E400" s="170"/>
      <c r="F400" s="53"/>
      <c r="G400" s="53"/>
      <c r="H400" s="53"/>
      <c r="I400" s="171"/>
      <c r="J400" s="170"/>
      <c r="K400" s="53"/>
      <c r="L400" s="53"/>
      <c r="M400" s="53"/>
      <c r="N400" s="171"/>
      <c r="O400" s="170"/>
      <c r="P400" s="53"/>
      <c r="Q400" s="53"/>
      <c r="R400" s="53"/>
      <c r="S400" s="171"/>
      <c r="T400" s="170"/>
      <c r="U400" s="53"/>
      <c r="V400" s="53"/>
      <c r="W400" s="53"/>
      <c r="X400" s="171"/>
      <c r="Y400" s="170"/>
      <c r="Z400" s="170"/>
      <c r="AA400" s="170"/>
      <c r="AB400" s="170"/>
      <c r="AC400" s="170"/>
      <c r="AD400" s="53"/>
      <c r="AE400" s="53"/>
    </row>
    <row r="401">
      <c r="A401" s="53"/>
      <c r="B401" s="53"/>
      <c r="C401" s="168"/>
      <c r="D401" s="169"/>
      <c r="E401" s="170"/>
      <c r="F401" s="53"/>
      <c r="G401" s="53"/>
      <c r="H401" s="53"/>
      <c r="I401" s="171"/>
      <c r="J401" s="170"/>
      <c r="K401" s="53"/>
      <c r="L401" s="53"/>
      <c r="M401" s="53"/>
      <c r="N401" s="171"/>
      <c r="O401" s="170"/>
      <c r="P401" s="53"/>
      <c r="Q401" s="53"/>
      <c r="R401" s="53"/>
      <c r="S401" s="171"/>
      <c r="T401" s="170"/>
      <c r="U401" s="53"/>
      <c r="V401" s="53"/>
      <c r="W401" s="53"/>
      <c r="X401" s="171"/>
      <c r="Y401" s="170"/>
      <c r="Z401" s="170"/>
      <c r="AA401" s="170"/>
      <c r="AB401" s="170"/>
      <c r="AC401" s="170"/>
      <c r="AD401" s="53"/>
      <c r="AE401" s="53"/>
    </row>
    <row r="402">
      <c r="A402" s="53"/>
      <c r="B402" s="53"/>
      <c r="C402" s="168"/>
      <c r="D402" s="169"/>
      <c r="E402" s="170"/>
      <c r="F402" s="53"/>
      <c r="G402" s="53"/>
      <c r="H402" s="53"/>
      <c r="I402" s="171"/>
      <c r="J402" s="170"/>
      <c r="K402" s="53"/>
      <c r="L402" s="53"/>
      <c r="M402" s="53"/>
      <c r="N402" s="171"/>
      <c r="O402" s="170"/>
      <c r="P402" s="53"/>
      <c r="Q402" s="53"/>
      <c r="R402" s="53"/>
      <c r="S402" s="171"/>
      <c r="T402" s="170"/>
      <c r="U402" s="53"/>
      <c r="V402" s="53"/>
      <c r="W402" s="53"/>
      <c r="X402" s="171"/>
      <c r="Y402" s="170"/>
      <c r="Z402" s="170"/>
      <c r="AA402" s="170"/>
      <c r="AB402" s="170"/>
      <c r="AC402" s="170"/>
      <c r="AD402" s="53"/>
      <c r="AE402" s="53"/>
    </row>
    <row r="403">
      <c r="A403" s="53"/>
      <c r="B403" s="53"/>
      <c r="C403" s="168"/>
      <c r="D403" s="169"/>
      <c r="E403" s="170"/>
      <c r="F403" s="53"/>
      <c r="G403" s="53"/>
      <c r="H403" s="53"/>
      <c r="I403" s="171"/>
      <c r="J403" s="170"/>
      <c r="K403" s="53"/>
      <c r="L403" s="53"/>
      <c r="M403" s="53"/>
      <c r="N403" s="171"/>
      <c r="O403" s="170"/>
      <c r="P403" s="53"/>
      <c r="Q403" s="53"/>
      <c r="R403" s="53"/>
      <c r="S403" s="171"/>
      <c r="T403" s="170"/>
      <c r="U403" s="53"/>
      <c r="V403" s="53"/>
      <c r="W403" s="53"/>
      <c r="X403" s="171"/>
      <c r="Y403" s="170"/>
      <c r="Z403" s="170"/>
      <c r="AA403" s="170"/>
      <c r="AB403" s="170"/>
      <c r="AC403" s="170"/>
      <c r="AD403" s="53"/>
      <c r="AE403" s="53"/>
    </row>
    <row r="404">
      <c r="A404" s="53"/>
      <c r="B404" s="53"/>
      <c r="C404" s="168"/>
      <c r="D404" s="169"/>
      <c r="E404" s="170"/>
      <c r="F404" s="53"/>
      <c r="G404" s="53"/>
      <c r="H404" s="53"/>
      <c r="I404" s="171"/>
      <c r="J404" s="170"/>
      <c r="K404" s="53"/>
      <c r="L404" s="53"/>
      <c r="M404" s="53"/>
      <c r="N404" s="171"/>
      <c r="O404" s="170"/>
      <c r="P404" s="53"/>
      <c r="Q404" s="53"/>
      <c r="R404" s="53"/>
      <c r="S404" s="171"/>
      <c r="T404" s="170"/>
      <c r="U404" s="53"/>
      <c r="V404" s="53"/>
      <c r="W404" s="53"/>
      <c r="X404" s="171"/>
      <c r="Y404" s="170"/>
      <c r="Z404" s="170"/>
      <c r="AA404" s="170"/>
      <c r="AB404" s="170"/>
      <c r="AC404" s="170"/>
      <c r="AD404" s="53"/>
      <c r="AE404" s="53"/>
    </row>
    <row r="405">
      <c r="A405" s="53"/>
      <c r="B405" s="53"/>
      <c r="C405" s="168"/>
      <c r="D405" s="169"/>
      <c r="E405" s="170"/>
      <c r="F405" s="53"/>
      <c r="G405" s="53"/>
      <c r="H405" s="53"/>
      <c r="I405" s="171"/>
      <c r="J405" s="170"/>
      <c r="K405" s="53"/>
      <c r="L405" s="53"/>
      <c r="M405" s="53"/>
      <c r="N405" s="171"/>
      <c r="O405" s="170"/>
      <c r="P405" s="53"/>
      <c r="Q405" s="53"/>
      <c r="R405" s="53"/>
      <c r="S405" s="171"/>
      <c r="T405" s="170"/>
      <c r="U405" s="53"/>
      <c r="V405" s="53"/>
      <c r="W405" s="53"/>
      <c r="X405" s="171"/>
      <c r="Y405" s="170"/>
      <c r="Z405" s="170"/>
      <c r="AA405" s="170"/>
      <c r="AB405" s="170"/>
      <c r="AC405" s="170"/>
      <c r="AD405" s="53"/>
      <c r="AE405" s="53"/>
    </row>
    <row r="406">
      <c r="A406" s="53"/>
      <c r="B406" s="53"/>
      <c r="C406" s="168"/>
      <c r="D406" s="169"/>
      <c r="E406" s="170"/>
      <c r="F406" s="53"/>
      <c r="G406" s="53"/>
      <c r="H406" s="53"/>
      <c r="I406" s="171"/>
      <c r="J406" s="170"/>
      <c r="K406" s="53"/>
      <c r="L406" s="53"/>
      <c r="M406" s="53"/>
      <c r="N406" s="171"/>
      <c r="O406" s="170"/>
      <c r="P406" s="53"/>
      <c r="Q406" s="53"/>
      <c r="R406" s="53"/>
      <c r="S406" s="171"/>
      <c r="T406" s="170"/>
      <c r="U406" s="53"/>
      <c r="V406" s="53"/>
      <c r="W406" s="53"/>
      <c r="X406" s="171"/>
      <c r="Y406" s="170"/>
      <c r="Z406" s="170"/>
      <c r="AA406" s="170"/>
      <c r="AB406" s="170"/>
      <c r="AC406" s="170"/>
      <c r="AD406" s="53"/>
      <c r="AE406" s="53"/>
    </row>
    <row r="407">
      <c r="A407" s="53"/>
      <c r="B407" s="53"/>
      <c r="C407" s="168"/>
      <c r="D407" s="169"/>
      <c r="E407" s="170"/>
      <c r="F407" s="53"/>
      <c r="G407" s="53"/>
      <c r="H407" s="53"/>
      <c r="I407" s="171"/>
      <c r="J407" s="170"/>
      <c r="K407" s="53"/>
      <c r="L407" s="53"/>
      <c r="M407" s="53"/>
      <c r="N407" s="171"/>
      <c r="O407" s="170"/>
      <c r="P407" s="53"/>
      <c r="Q407" s="53"/>
      <c r="R407" s="53"/>
      <c r="S407" s="171"/>
      <c r="T407" s="170"/>
      <c r="U407" s="53"/>
      <c r="V407" s="53"/>
      <c r="W407" s="53"/>
      <c r="X407" s="171"/>
      <c r="Y407" s="170"/>
      <c r="Z407" s="170"/>
      <c r="AA407" s="170"/>
      <c r="AB407" s="170"/>
      <c r="AC407" s="170"/>
      <c r="AD407" s="53"/>
      <c r="AE407" s="53"/>
    </row>
    <row r="408">
      <c r="A408" s="53"/>
      <c r="B408" s="53"/>
      <c r="C408" s="168"/>
      <c r="D408" s="169"/>
      <c r="E408" s="170"/>
      <c r="F408" s="53"/>
      <c r="G408" s="53"/>
      <c r="H408" s="53"/>
      <c r="I408" s="171"/>
      <c r="J408" s="170"/>
      <c r="K408" s="53"/>
      <c r="L408" s="53"/>
      <c r="M408" s="53"/>
      <c r="N408" s="171"/>
      <c r="O408" s="170"/>
      <c r="P408" s="53"/>
      <c r="Q408" s="53"/>
      <c r="R408" s="53"/>
      <c r="S408" s="171"/>
      <c r="T408" s="170"/>
      <c r="U408" s="53"/>
      <c r="V408" s="53"/>
      <c r="W408" s="53"/>
      <c r="X408" s="171"/>
      <c r="Y408" s="170"/>
      <c r="Z408" s="170"/>
      <c r="AA408" s="170"/>
      <c r="AB408" s="170"/>
      <c r="AC408" s="170"/>
      <c r="AD408" s="53"/>
      <c r="AE408" s="53"/>
    </row>
    <row r="409">
      <c r="A409" s="53"/>
      <c r="B409" s="53"/>
      <c r="C409" s="168"/>
      <c r="D409" s="169"/>
      <c r="E409" s="170"/>
      <c r="F409" s="53"/>
      <c r="G409" s="53"/>
      <c r="H409" s="53"/>
      <c r="I409" s="171"/>
      <c r="J409" s="170"/>
      <c r="K409" s="53"/>
      <c r="L409" s="53"/>
      <c r="M409" s="53"/>
      <c r="N409" s="171"/>
      <c r="O409" s="170"/>
      <c r="P409" s="53"/>
      <c r="Q409" s="53"/>
      <c r="R409" s="53"/>
      <c r="S409" s="171"/>
      <c r="T409" s="170"/>
      <c r="U409" s="53"/>
      <c r="V409" s="53"/>
      <c r="W409" s="53"/>
      <c r="X409" s="171"/>
      <c r="Y409" s="170"/>
      <c r="Z409" s="170"/>
      <c r="AA409" s="170"/>
      <c r="AB409" s="170"/>
      <c r="AC409" s="170"/>
      <c r="AD409" s="53"/>
      <c r="AE409" s="53"/>
    </row>
    <row r="410">
      <c r="A410" s="53"/>
      <c r="B410" s="53"/>
      <c r="C410" s="168"/>
      <c r="D410" s="169"/>
      <c r="E410" s="170"/>
      <c r="F410" s="53"/>
      <c r="G410" s="53"/>
      <c r="H410" s="53"/>
      <c r="I410" s="171"/>
      <c r="J410" s="170"/>
      <c r="K410" s="53"/>
      <c r="L410" s="53"/>
      <c r="M410" s="53"/>
      <c r="N410" s="171"/>
      <c r="O410" s="170"/>
      <c r="P410" s="53"/>
      <c r="Q410" s="53"/>
      <c r="R410" s="53"/>
      <c r="S410" s="171"/>
      <c r="T410" s="170"/>
      <c r="U410" s="53"/>
      <c r="V410" s="53"/>
      <c r="W410" s="53"/>
      <c r="X410" s="171"/>
      <c r="Y410" s="170"/>
      <c r="Z410" s="170"/>
      <c r="AA410" s="170"/>
      <c r="AB410" s="170"/>
      <c r="AC410" s="170"/>
      <c r="AD410" s="53"/>
      <c r="AE410" s="53"/>
    </row>
    <row r="411">
      <c r="A411" s="53"/>
      <c r="B411" s="53"/>
      <c r="C411" s="168"/>
      <c r="D411" s="169"/>
      <c r="E411" s="170"/>
      <c r="F411" s="53"/>
      <c r="G411" s="53"/>
      <c r="H411" s="53"/>
      <c r="I411" s="171"/>
      <c r="J411" s="170"/>
      <c r="K411" s="53"/>
      <c r="L411" s="53"/>
      <c r="M411" s="53"/>
      <c r="N411" s="171"/>
      <c r="O411" s="170"/>
      <c r="P411" s="53"/>
      <c r="Q411" s="53"/>
      <c r="R411" s="53"/>
      <c r="S411" s="171"/>
      <c r="T411" s="170"/>
      <c r="U411" s="53"/>
      <c r="V411" s="53"/>
      <c r="W411" s="53"/>
      <c r="X411" s="171"/>
      <c r="Y411" s="170"/>
      <c r="Z411" s="170"/>
      <c r="AA411" s="170"/>
      <c r="AB411" s="170"/>
      <c r="AC411" s="170"/>
      <c r="AD411" s="53"/>
      <c r="AE411" s="53"/>
    </row>
    <row r="412">
      <c r="A412" s="53"/>
      <c r="B412" s="53"/>
      <c r="C412" s="168"/>
      <c r="D412" s="169"/>
      <c r="E412" s="170"/>
      <c r="F412" s="53"/>
      <c r="G412" s="53"/>
      <c r="H412" s="53"/>
      <c r="I412" s="171"/>
      <c r="J412" s="170"/>
      <c r="K412" s="53"/>
      <c r="L412" s="53"/>
      <c r="M412" s="53"/>
      <c r="N412" s="171"/>
      <c r="O412" s="170"/>
      <c r="P412" s="53"/>
      <c r="Q412" s="53"/>
      <c r="R412" s="53"/>
      <c r="S412" s="171"/>
      <c r="T412" s="170"/>
      <c r="U412" s="53"/>
      <c r="V412" s="53"/>
      <c r="W412" s="53"/>
      <c r="X412" s="171"/>
      <c r="Y412" s="170"/>
      <c r="Z412" s="170"/>
      <c r="AA412" s="170"/>
      <c r="AB412" s="170"/>
      <c r="AC412" s="170"/>
      <c r="AD412" s="53"/>
      <c r="AE412" s="53"/>
    </row>
    <row r="413">
      <c r="A413" s="53"/>
      <c r="B413" s="53"/>
      <c r="C413" s="168"/>
      <c r="D413" s="169"/>
      <c r="E413" s="170"/>
      <c r="F413" s="53"/>
      <c r="G413" s="53"/>
      <c r="H413" s="53"/>
      <c r="I413" s="171"/>
      <c r="J413" s="170"/>
      <c r="K413" s="53"/>
      <c r="L413" s="53"/>
      <c r="M413" s="53"/>
      <c r="N413" s="171"/>
      <c r="O413" s="170"/>
      <c r="P413" s="53"/>
      <c r="Q413" s="53"/>
      <c r="R413" s="53"/>
      <c r="S413" s="171"/>
      <c r="T413" s="170"/>
      <c r="U413" s="53"/>
      <c r="V413" s="53"/>
      <c r="W413" s="53"/>
      <c r="X413" s="171"/>
      <c r="Y413" s="170"/>
      <c r="Z413" s="170"/>
      <c r="AA413" s="170"/>
      <c r="AB413" s="170"/>
      <c r="AC413" s="170"/>
      <c r="AD413" s="53"/>
      <c r="AE413" s="53"/>
    </row>
    <row r="414">
      <c r="A414" s="53"/>
      <c r="B414" s="53"/>
      <c r="C414" s="168"/>
      <c r="D414" s="169"/>
      <c r="E414" s="170"/>
      <c r="F414" s="53"/>
      <c r="G414" s="53"/>
      <c r="H414" s="53"/>
      <c r="I414" s="171"/>
      <c r="J414" s="170"/>
      <c r="K414" s="53"/>
      <c r="L414" s="53"/>
      <c r="M414" s="53"/>
      <c r="N414" s="171"/>
      <c r="O414" s="170"/>
      <c r="P414" s="53"/>
      <c r="Q414" s="53"/>
      <c r="R414" s="53"/>
      <c r="S414" s="171"/>
      <c r="T414" s="170"/>
      <c r="U414" s="53"/>
      <c r="V414" s="53"/>
      <c r="W414" s="53"/>
      <c r="X414" s="171"/>
      <c r="Y414" s="170"/>
      <c r="Z414" s="170"/>
      <c r="AA414" s="170"/>
      <c r="AB414" s="170"/>
      <c r="AC414" s="170"/>
      <c r="AD414" s="53"/>
      <c r="AE414" s="53"/>
    </row>
    <row r="415">
      <c r="A415" s="53"/>
      <c r="B415" s="53"/>
      <c r="C415" s="168"/>
      <c r="D415" s="169"/>
      <c r="E415" s="170"/>
      <c r="F415" s="53"/>
      <c r="G415" s="53"/>
      <c r="H415" s="53"/>
      <c r="I415" s="171"/>
      <c r="J415" s="170"/>
      <c r="K415" s="53"/>
      <c r="L415" s="53"/>
      <c r="M415" s="53"/>
      <c r="N415" s="171"/>
      <c r="O415" s="170"/>
      <c r="P415" s="53"/>
      <c r="Q415" s="53"/>
      <c r="R415" s="53"/>
      <c r="S415" s="171"/>
      <c r="T415" s="170"/>
      <c r="U415" s="53"/>
      <c r="V415" s="53"/>
      <c r="W415" s="53"/>
      <c r="X415" s="171"/>
      <c r="Y415" s="170"/>
      <c r="Z415" s="170"/>
      <c r="AA415" s="170"/>
      <c r="AB415" s="170"/>
      <c r="AC415" s="170"/>
      <c r="AD415" s="53"/>
      <c r="AE415" s="53"/>
    </row>
    <row r="416">
      <c r="A416" s="53"/>
      <c r="B416" s="53"/>
      <c r="C416" s="168"/>
      <c r="D416" s="169"/>
      <c r="E416" s="170"/>
      <c r="F416" s="53"/>
      <c r="G416" s="53"/>
      <c r="H416" s="53"/>
      <c r="I416" s="171"/>
      <c r="J416" s="170"/>
      <c r="K416" s="53"/>
      <c r="L416" s="53"/>
      <c r="M416" s="53"/>
      <c r="N416" s="171"/>
      <c r="O416" s="170"/>
      <c r="P416" s="53"/>
      <c r="Q416" s="53"/>
      <c r="R416" s="53"/>
      <c r="S416" s="171"/>
      <c r="T416" s="170"/>
      <c r="U416" s="53"/>
      <c r="V416" s="53"/>
      <c r="W416" s="53"/>
      <c r="X416" s="171"/>
      <c r="Y416" s="170"/>
      <c r="Z416" s="170"/>
      <c r="AA416" s="170"/>
      <c r="AB416" s="170"/>
      <c r="AC416" s="170"/>
      <c r="AD416" s="53"/>
      <c r="AE416" s="53"/>
    </row>
    <row r="417">
      <c r="A417" s="53"/>
      <c r="B417" s="53"/>
      <c r="C417" s="168"/>
      <c r="D417" s="169"/>
      <c r="E417" s="170"/>
      <c r="F417" s="53"/>
      <c r="G417" s="53"/>
      <c r="H417" s="53"/>
      <c r="I417" s="171"/>
      <c r="J417" s="170"/>
      <c r="K417" s="53"/>
      <c r="L417" s="53"/>
      <c r="M417" s="53"/>
      <c r="N417" s="171"/>
      <c r="O417" s="170"/>
      <c r="P417" s="53"/>
      <c r="Q417" s="53"/>
      <c r="R417" s="53"/>
      <c r="S417" s="171"/>
      <c r="T417" s="170"/>
      <c r="U417" s="53"/>
      <c r="V417" s="53"/>
      <c r="W417" s="53"/>
      <c r="X417" s="171"/>
      <c r="Y417" s="170"/>
      <c r="Z417" s="170"/>
      <c r="AA417" s="170"/>
      <c r="AB417" s="170"/>
      <c r="AC417" s="170"/>
      <c r="AD417" s="53"/>
      <c r="AE417" s="53"/>
    </row>
    <row r="418">
      <c r="A418" s="53"/>
      <c r="B418" s="53"/>
      <c r="C418" s="168"/>
      <c r="D418" s="169"/>
      <c r="E418" s="170"/>
      <c r="F418" s="53"/>
      <c r="G418" s="53"/>
      <c r="H418" s="53"/>
      <c r="I418" s="171"/>
      <c r="J418" s="170"/>
      <c r="K418" s="53"/>
      <c r="L418" s="53"/>
      <c r="M418" s="53"/>
      <c r="N418" s="171"/>
      <c r="O418" s="170"/>
      <c r="P418" s="53"/>
      <c r="Q418" s="53"/>
      <c r="R418" s="53"/>
      <c r="S418" s="171"/>
      <c r="T418" s="170"/>
      <c r="U418" s="53"/>
      <c r="V418" s="53"/>
      <c r="W418" s="53"/>
      <c r="X418" s="171"/>
      <c r="Y418" s="170"/>
      <c r="Z418" s="170"/>
      <c r="AA418" s="170"/>
      <c r="AB418" s="170"/>
      <c r="AC418" s="170"/>
      <c r="AD418" s="53"/>
      <c r="AE418" s="53"/>
    </row>
    <row r="419">
      <c r="A419" s="53"/>
      <c r="B419" s="53"/>
      <c r="C419" s="168"/>
      <c r="D419" s="169"/>
      <c r="E419" s="170"/>
      <c r="F419" s="53"/>
      <c r="G419" s="53"/>
      <c r="H419" s="53"/>
      <c r="I419" s="171"/>
      <c r="J419" s="170"/>
      <c r="K419" s="53"/>
      <c r="L419" s="53"/>
      <c r="M419" s="53"/>
      <c r="N419" s="171"/>
      <c r="O419" s="170"/>
      <c r="P419" s="53"/>
      <c r="Q419" s="53"/>
      <c r="R419" s="53"/>
      <c r="S419" s="171"/>
      <c r="T419" s="170"/>
      <c r="U419" s="53"/>
      <c r="V419" s="53"/>
      <c r="W419" s="53"/>
      <c r="X419" s="171"/>
      <c r="Y419" s="170"/>
      <c r="Z419" s="170"/>
      <c r="AA419" s="170"/>
      <c r="AB419" s="170"/>
      <c r="AC419" s="170"/>
      <c r="AD419" s="53"/>
      <c r="AE419" s="53"/>
    </row>
    <row r="420">
      <c r="A420" s="53"/>
      <c r="B420" s="53"/>
      <c r="C420" s="168"/>
      <c r="D420" s="169"/>
      <c r="E420" s="170"/>
      <c r="F420" s="53"/>
      <c r="G420" s="53"/>
      <c r="H420" s="53"/>
      <c r="I420" s="171"/>
      <c r="J420" s="170"/>
      <c r="K420" s="53"/>
      <c r="L420" s="53"/>
      <c r="M420" s="53"/>
      <c r="N420" s="171"/>
      <c r="O420" s="170"/>
      <c r="P420" s="53"/>
      <c r="Q420" s="53"/>
      <c r="R420" s="53"/>
      <c r="S420" s="171"/>
      <c r="T420" s="170"/>
      <c r="U420" s="53"/>
      <c r="V420" s="53"/>
      <c r="W420" s="53"/>
      <c r="X420" s="171"/>
      <c r="Y420" s="170"/>
      <c r="Z420" s="170"/>
      <c r="AA420" s="170"/>
      <c r="AB420" s="170"/>
      <c r="AC420" s="170"/>
      <c r="AD420" s="53"/>
      <c r="AE420" s="53"/>
    </row>
    <row r="421">
      <c r="A421" s="53"/>
      <c r="B421" s="53"/>
      <c r="C421" s="168"/>
      <c r="D421" s="169"/>
      <c r="E421" s="170"/>
      <c r="F421" s="53"/>
      <c r="G421" s="53"/>
      <c r="H421" s="53"/>
      <c r="I421" s="171"/>
      <c r="J421" s="170"/>
      <c r="K421" s="53"/>
      <c r="L421" s="53"/>
      <c r="M421" s="53"/>
      <c r="N421" s="171"/>
      <c r="O421" s="170"/>
      <c r="P421" s="53"/>
      <c r="Q421" s="53"/>
      <c r="R421" s="53"/>
      <c r="S421" s="171"/>
      <c r="T421" s="170"/>
      <c r="U421" s="53"/>
      <c r="V421" s="53"/>
      <c r="W421" s="53"/>
      <c r="X421" s="171"/>
      <c r="Y421" s="170"/>
      <c r="Z421" s="170"/>
      <c r="AA421" s="170"/>
      <c r="AB421" s="170"/>
      <c r="AC421" s="170"/>
      <c r="AD421" s="53"/>
      <c r="AE421" s="53"/>
    </row>
    <row r="422">
      <c r="A422" s="53"/>
      <c r="B422" s="53"/>
      <c r="C422" s="168"/>
      <c r="D422" s="169"/>
      <c r="E422" s="170"/>
      <c r="F422" s="53"/>
      <c r="G422" s="53"/>
      <c r="H422" s="53"/>
      <c r="I422" s="171"/>
      <c r="J422" s="170"/>
      <c r="K422" s="53"/>
      <c r="L422" s="53"/>
      <c r="M422" s="53"/>
      <c r="N422" s="171"/>
      <c r="O422" s="170"/>
      <c r="P422" s="53"/>
      <c r="Q422" s="53"/>
      <c r="R422" s="53"/>
      <c r="S422" s="171"/>
      <c r="T422" s="170"/>
      <c r="U422" s="53"/>
      <c r="V422" s="53"/>
      <c r="W422" s="53"/>
      <c r="X422" s="171"/>
      <c r="Y422" s="170"/>
      <c r="Z422" s="170"/>
      <c r="AA422" s="170"/>
      <c r="AB422" s="170"/>
      <c r="AC422" s="170"/>
      <c r="AD422" s="53"/>
      <c r="AE422" s="53"/>
    </row>
    <row r="423">
      <c r="A423" s="53"/>
      <c r="B423" s="53"/>
      <c r="C423" s="168"/>
      <c r="D423" s="169"/>
      <c r="E423" s="170"/>
      <c r="F423" s="53"/>
      <c r="G423" s="53"/>
      <c r="H423" s="53"/>
      <c r="I423" s="171"/>
      <c r="J423" s="170"/>
      <c r="K423" s="53"/>
      <c r="L423" s="53"/>
      <c r="M423" s="53"/>
      <c r="N423" s="171"/>
      <c r="O423" s="170"/>
      <c r="P423" s="53"/>
      <c r="Q423" s="53"/>
      <c r="R423" s="53"/>
      <c r="S423" s="171"/>
      <c r="T423" s="170"/>
      <c r="U423" s="53"/>
      <c r="V423" s="53"/>
      <c r="W423" s="53"/>
      <c r="X423" s="171"/>
      <c r="Y423" s="170"/>
      <c r="Z423" s="170"/>
      <c r="AA423" s="170"/>
      <c r="AB423" s="170"/>
      <c r="AC423" s="170"/>
      <c r="AD423" s="53"/>
      <c r="AE423" s="53"/>
    </row>
    <row r="424">
      <c r="A424" s="53"/>
      <c r="B424" s="53"/>
      <c r="C424" s="168"/>
      <c r="D424" s="169"/>
      <c r="E424" s="170"/>
      <c r="F424" s="53"/>
      <c r="G424" s="53"/>
      <c r="H424" s="53"/>
      <c r="I424" s="171"/>
      <c r="J424" s="170"/>
      <c r="K424" s="53"/>
      <c r="L424" s="53"/>
      <c r="M424" s="53"/>
      <c r="N424" s="171"/>
      <c r="O424" s="170"/>
      <c r="P424" s="53"/>
      <c r="Q424" s="53"/>
      <c r="R424" s="53"/>
      <c r="S424" s="171"/>
      <c r="T424" s="170"/>
      <c r="U424" s="53"/>
      <c r="V424" s="53"/>
      <c r="W424" s="53"/>
      <c r="X424" s="171"/>
      <c r="Y424" s="170"/>
      <c r="Z424" s="170"/>
      <c r="AA424" s="170"/>
      <c r="AB424" s="170"/>
      <c r="AC424" s="170"/>
      <c r="AD424" s="53"/>
      <c r="AE424" s="53"/>
    </row>
    <row r="425">
      <c r="A425" s="53"/>
      <c r="B425" s="53"/>
      <c r="C425" s="168"/>
      <c r="D425" s="169"/>
      <c r="E425" s="170"/>
      <c r="F425" s="53"/>
      <c r="G425" s="53"/>
      <c r="H425" s="53"/>
      <c r="I425" s="171"/>
      <c r="J425" s="170"/>
      <c r="K425" s="53"/>
      <c r="L425" s="53"/>
      <c r="M425" s="53"/>
      <c r="N425" s="171"/>
      <c r="O425" s="170"/>
      <c r="P425" s="53"/>
      <c r="Q425" s="53"/>
      <c r="R425" s="53"/>
      <c r="S425" s="171"/>
      <c r="T425" s="170"/>
      <c r="U425" s="53"/>
      <c r="V425" s="53"/>
      <c r="W425" s="53"/>
      <c r="X425" s="171"/>
      <c r="Y425" s="170"/>
      <c r="Z425" s="170"/>
      <c r="AA425" s="170"/>
      <c r="AB425" s="170"/>
      <c r="AC425" s="170"/>
      <c r="AD425" s="53"/>
      <c r="AE425" s="53"/>
    </row>
    <row r="426">
      <c r="A426" s="53"/>
      <c r="B426" s="53"/>
      <c r="C426" s="168"/>
      <c r="D426" s="169"/>
      <c r="E426" s="170"/>
      <c r="F426" s="53"/>
      <c r="G426" s="53"/>
      <c r="H426" s="53"/>
      <c r="I426" s="171"/>
      <c r="J426" s="170"/>
      <c r="K426" s="53"/>
      <c r="L426" s="53"/>
      <c r="M426" s="53"/>
      <c r="N426" s="171"/>
      <c r="O426" s="170"/>
      <c r="P426" s="53"/>
      <c r="Q426" s="53"/>
      <c r="R426" s="53"/>
      <c r="S426" s="171"/>
      <c r="T426" s="170"/>
      <c r="U426" s="53"/>
      <c r="V426" s="53"/>
      <c r="W426" s="53"/>
      <c r="X426" s="171"/>
      <c r="Y426" s="170"/>
      <c r="Z426" s="170"/>
      <c r="AA426" s="170"/>
      <c r="AB426" s="170"/>
      <c r="AC426" s="170"/>
      <c r="AD426" s="53"/>
      <c r="AE426" s="53"/>
    </row>
    <row r="427">
      <c r="A427" s="53"/>
      <c r="B427" s="53"/>
      <c r="C427" s="168"/>
      <c r="D427" s="169"/>
      <c r="E427" s="170"/>
      <c r="F427" s="53"/>
      <c r="G427" s="53"/>
      <c r="H427" s="53"/>
      <c r="I427" s="171"/>
      <c r="J427" s="170"/>
      <c r="K427" s="53"/>
      <c r="L427" s="53"/>
      <c r="M427" s="53"/>
      <c r="N427" s="171"/>
      <c r="O427" s="170"/>
      <c r="P427" s="53"/>
      <c r="Q427" s="53"/>
      <c r="R427" s="53"/>
      <c r="S427" s="171"/>
      <c r="T427" s="170"/>
      <c r="U427" s="53"/>
      <c r="V427" s="53"/>
      <c r="W427" s="53"/>
      <c r="X427" s="171"/>
      <c r="Y427" s="170"/>
      <c r="Z427" s="170"/>
      <c r="AA427" s="170"/>
      <c r="AB427" s="170"/>
      <c r="AC427" s="170"/>
      <c r="AD427" s="53"/>
      <c r="AE427" s="53"/>
    </row>
    <row r="428">
      <c r="A428" s="53"/>
      <c r="B428" s="53"/>
      <c r="C428" s="168"/>
      <c r="D428" s="169"/>
      <c r="E428" s="170"/>
      <c r="F428" s="53"/>
      <c r="G428" s="53"/>
      <c r="H428" s="53"/>
      <c r="I428" s="171"/>
      <c r="J428" s="170"/>
      <c r="K428" s="53"/>
      <c r="L428" s="53"/>
      <c r="M428" s="53"/>
      <c r="N428" s="171"/>
      <c r="O428" s="170"/>
      <c r="P428" s="53"/>
      <c r="Q428" s="53"/>
      <c r="R428" s="53"/>
      <c r="S428" s="171"/>
      <c r="T428" s="170"/>
      <c r="U428" s="53"/>
      <c r="V428" s="53"/>
      <c r="W428" s="53"/>
      <c r="X428" s="171"/>
      <c r="Y428" s="170"/>
      <c r="Z428" s="170"/>
      <c r="AA428" s="170"/>
      <c r="AB428" s="170"/>
      <c r="AC428" s="170"/>
      <c r="AD428" s="53"/>
      <c r="AE428" s="53"/>
    </row>
    <row r="429">
      <c r="A429" s="53"/>
      <c r="B429" s="53"/>
      <c r="C429" s="168"/>
      <c r="D429" s="169"/>
      <c r="E429" s="170"/>
      <c r="F429" s="53"/>
      <c r="G429" s="53"/>
      <c r="H429" s="53"/>
      <c r="I429" s="171"/>
      <c r="J429" s="170"/>
      <c r="K429" s="53"/>
      <c r="L429" s="53"/>
      <c r="M429" s="53"/>
      <c r="N429" s="171"/>
      <c r="O429" s="170"/>
      <c r="P429" s="53"/>
      <c r="Q429" s="53"/>
      <c r="R429" s="53"/>
      <c r="S429" s="171"/>
      <c r="T429" s="170"/>
      <c r="U429" s="53"/>
      <c r="V429" s="53"/>
      <c r="W429" s="53"/>
      <c r="X429" s="171"/>
      <c r="Y429" s="170"/>
      <c r="Z429" s="170"/>
      <c r="AA429" s="170"/>
      <c r="AB429" s="170"/>
      <c r="AC429" s="170"/>
      <c r="AD429" s="53"/>
      <c r="AE429" s="53"/>
    </row>
    <row r="430">
      <c r="A430" s="53"/>
      <c r="B430" s="53"/>
      <c r="C430" s="168"/>
      <c r="D430" s="169"/>
      <c r="E430" s="170"/>
      <c r="F430" s="53"/>
      <c r="G430" s="53"/>
      <c r="H430" s="53"/>
      <c r="I430" s="171"/>
      <c r="J430" s="170"/>
      <c r="K430" s="53"/>
      <c r="L430" s="53"/>
      <c r="M430" s="53"/>
      <c r="N430" s="171"/>
      <c r="O430" s="170"/>
      <c r="P430" s="53"/>
      <c r="Q430" s="53"/>
      <c r="R430" s="53"/>
      <c r="S430" s="171"/>
      <c r="T430" s="170"/>
      <c r="U430" s="53"/>
      <c r="V430" s="53"/>
      <c r="W430" s="53"/>
      <c r="X430" s="171"/>
      <c r="Y430" s="170"/>
      <c r="Z430" s="170"/>
      <c r="AA430" s="170"/>
      <c r="AB430" s="170"/>
      <c r="AC430" s="170"/>
      <c r="AD430" s="53"/>
      <c r="AE430" s="53"/>
    </row>
    <row r="431">
      <c r="A431" s="53"/>
      <c r="B431" s="53"/>
      <c r="C431" s="168"/>
      <c r="D431" s="169"/>
      <c r="E431" s="170"/>
      <c r="F431" s="53"/>
      <c r="G431" s="53"/>
      <c r="H431" s="53"/>
      <c r="I431" s="171"/>
      <c r="J431" s="170"/>
      <c r="K431" s="53"/>
      <c r="L431" s="53"/>
      <c r="M431" s="53"/>
      <c r="N431" s="171"/>
      <c r="O431" s="170"/>
      <c r="P431" s="53"/>
      <c r="Q431" s="53"/>
      <c r="R431" s="53"/>
      <c r="S431" s="171"/>
      <c r="T431" s="170"/>
      <c r="U431" s="53"/>
      <c r="V431" s="53"/>
      <c r="W431" s="53"/>
      <c r="X431" s="171"/>
      <c r="Y431" s="170"/>
      <c r="Z431" s="170"/>
      <c r="AA431" s="170"/>
      <c r="AB431" s="170"/>
      <c r="AC431" s="170"/>
      <c r="AD431" s="53"/>
      <c r="AE431" s="53"/>
    </row>
    <row r="432">
      <c r="A432" s="53"/>
      <c r="B432" s="53"/>
      <c r="C432" s="168"/>
      <c r="D432" s="169"/>
      <c r="E432" s="170"/>
      <c r="F432" s="53"/>
      <c r="G432" s="53"/>
      <c r="H432" s="53"/>
      <c r="I432" s="171"/>
      <c r="J432" s="170"/>
      <c r="K432" s="53"/>
      <c r="L432" s="53"/>
      <c r="M432" s="53"/>
      <c r="N432" s="171"/>
      <c r="O432" s="170"/>
      <c r="P432" s="53"/>
      <c r="Q432" s="53"/>
      <c r="R432" s="53"/>
      <c r="S432" s="171"/>
      <c r="T432" s="170"/>
      <c r="U432" s="53"/>
      <c r="V432" s="53"/>
      <c r="W432" s="53"/>
      <c r="X432" s="171"/>
      <c r="Y432" s="170"/>
      <c r="Z432" s="170"/>
      <c r="AA432" s="170"/>
      <c r="AB432" s="170"/>
      <c r="AC432" s="170"/>
      <c r="AD432" s="53"/>
      <c r="AE432" s="53"/>
    </row>
    <row r="433">
      <c r="A433" s="53"/>
      <c r="B433" s="53"/>
      <c r="C433" s="168"/>
      <c r="D433" s="169"/>
      <c r="E433" s="170"/>
      <c r="F433" s="53"/>
      <c r="G433" s="53"/>
      <c r="H433" s="53"/>
      <c r="I433" s="171"/>
      <c r="J433" s="170"/>
      <c r="K433" s="53"/>
      <c r="L433" s="53"/>
      <c r="M433" s="53"/>
      <c r="N433" s="171"/>
      <c r="O433" s="170"/>
      <c r="P433" s="53"/>
      <c r="Q433" s="53"/>
      <c r="R433" s="53"/>
      <c r="S433" s="171"/>
      <c r="T433" s="170"/>
      <c r="U433" s="53"/>
      <c r="V433" s="53"/>
      <c r="W433" s="53"/>
      <c r="X433" s="171"/>
      <c r="Y433" s="170"/>
      <c r="Z433" s="170"/>
      <c r="AA433" s="170"/>
      <c r="AB433" s="170"/>
      <c r="AC433" s="170"/>
      <c r="AD433" s="53"/>
      <c r="AE433" s="53"/>
    </row>
    <row r="434">
      <c r="A434" s="53"/>
      <c r="B434" s="53"/>
      <c r="C434" s="168"/>
      <c r="D434" s="169"/>
      <c r="E434" s="170"/>
      <c r="F434" s="53"/>
      <c r="G434" s="53"/>
      <c r="H434" s="53"/>
      <c r="I434" s="171"/>
      <c r="J434" s="170"/>
      <c r="K434" s="53"/>
      <c r="L434" s="53"/>
      <c r="M434" s="53"/>
      <c r="N434" s="171"/>
      <c r="O434" s="170"/>
      <c r="P434" s="53"/>
      <c r="Q434" s="53"/>
      <c r="R434" s="53"/>
      <c r="S434" s="171"/>
      <c r="T434" s="170"/>
      <c r="U434" s="53"/>
      <c r="V434" s="53"/>
      <c r="W434" s="53"/>
      <c r="X434" s="171"/>
      <c r="Y434" s="170"/>
      <c r="Z434" s="170"/>
      <c r="AA434" s="170"/>
      <c r="AB434" s="170"/>
      <c r="AC434" s="170"/>
      <c r="AD434" s="53"/>
      <c r="AE434" s="53"/>
    </row>
    <row r="435">
      <c r="A435" s="53"/>
      <c r="B435" s="53"/>
      <c r="C435" s="168"/>
      <c r="D435" s="169"/>
      <c r="E435" s="170"/>
      <c r="F435" s="53"/>
      <c r="G435" s="53"/>
      <c r="H435" s="53"/>
      <c r="I435" s="171"/>
      <c r="J435" s="170"/>
      <c r="K435" s="53"/>
      <c r="L435" s="53"/>
      <c r="M435" s="53"/>
      <c r="N435" s="171"/>
      <c r="O435" s="170"/>
      <c r="P435" s="53"/>
      <c r="Q435" s="53"/>
      <c r="R435" s="53"/>
      <c r="S435" s="171"/>
      <c r="T435" s="170"/>
      <c r="U435" s="53"/>
      <c r="V435" s="53"/>
      <c r="W435" s="53"/>
      <c r="X435" s="171"/>
      <c r="Y435" s="170"/>
      <c r="Z435" s="170"/>
      <c r="AA435" s="170"/>
      <c r="AB435" s="170"/>
      <c r="AC435" s="170"/>
      <c r="AD435" s="53"/>
      <c r="AE435" s="53"/>
    </row>
    <row r="436">
      <c r="A436" s="53"/>
      <c r="B436" s="53"/>
      <c r="C436" s="168"/>
      <c r="D436" s="169"/>
      <c r="E436" s="170"/>
      <c r="F436" s="53"/>
      <c r="G436" s="53"/>
      <c r="H436" s="53"/>
      <c r="I436" s="171"/>
      <c r="J436" s="170"/>
      <c r="K436" s="53"/>
      <c r="L436" s="53"/>
      <c r="M436" s="53"/>
      <c r="N436" s="171"/>
      <c r="O436" s="170"/>
      <c r="P436" s="53"/>
      <c r="Q436" s="53"/>
      <c r="R436" s="53"/>
      <c r="S436" s="171"/>
      <c r="T436" s="170"/>
      <c r="U436" s="53"/>
      <c r="V436" s="53"/>
      <c r="W436" s="53"/>
      <c r="X436" s="171"/>
      <c r="Y436" s="170"/>
      <c r="Z436" s="170"/>
      <c r="AA436" s="170"/>
      <c r="AB436" s="170"/>
      <c r="AC436" s="170"/>
      <c r="AD436" s="53"/>
      <c r="AE436" s="53"/>
    </row>
    <row r="437">
      <c r="A437" s="53"/>
      <c r="B437" s="53"/>
      <c r="C437" s="168"/>
      <c r="D437" s="169"/>
      <c r="E437" s="170"/>
      <c r="F437" s="53"/>
      <c r="G437" s="53"/>
      <c r="H437" s="53"/>
      <c r="I437" s="171"/>
      <c r="J437" s="170"/>
      <c r="K437" s="53"/>
      <c r="L437" s="53"/>
      <c r="M437" s="53"/>
      <c r="N437" s="171"/>
      <c r="O437" s="170"/>
      <c r="P437" s="53"/>
      <c r="Q437" s="53"/>
      <c r="R437" s="53"/>
      <c r="S437" s="171"/>
      <c r="T437" s="170"/>
      <c r="U437" s="53"/>
      <c r="V437" s="53"/>
      <c r="W437" s="53"/>
      <c r="X437" s="171"/>
      <c r="Y437" s="170"/>
      <c r="Z437" s="170"/>
      <c r="AA437" s="170"/>
      <c r="AB437" s="170"/>
      <c r="AC437" s="170"/>
      <c r="AD437" s="53"/>
      <c r="AE437" s="53"/>
    </row>
    <row r="438">
      <c r="A438" s="53"/>
      <c r="B438" s="53"/>
      <c r="C438" s="168"/>
      <c r="D438" s="169"/>
      <c r="E438" s="170"/>
      <c r="F438" s="53"/>
      <c r="G438" s="53"/>
      <c r="H438" s="53"/>
      <c r="I438" s="171"/>
      <c r="J438" s="170"/>
      <c r="K438" s="53"/>
      <c r="L438" s="53"/>
      <c r="M438" s="53"/>
      <c r="N438" s="171"/>
      <c r="O438" s="170"/>
      <c r="P438" s="53"/>
      <c r="Q438" s="53"/>
      <c r="R438" s="53"/>
      <c r="S438" s="171"/>
      <c r="T438" s="170"/>
      <c r="U438" s="53"/>
      <c r="V438" s="53"/>
      <c r="W438" s="53"/>
      <c r="X438" s="171"/>
      <c r="Y438" s="170"/>
      <c r="Z438" s="170"/>
      <c r="AA438" s="170"/>
      <c r="AB438" s="170"/>
      <c r="AC438" s="170"/>
      <c r="AD438" s="53"/>
      <c r="AE438" s="53"/>
    </row>
    <row r="439">
      <c r="A439" s="53"/>
      <c r="B439" s="53"/>
      <c r="C439" s="168"/>
      <c r="D439" s="169"/>
      <c r="E439" s="170"/>
      <c r="F439" s="53"/>
      <c r="G439" s="53"/>
      <c r="H439" s="53"/>
      <c r="I439" s="171"/>
      <c r="J439" s="170"/>
      <c r="K439" s="53"/>
      <c r="L439" s="53"/>
      <c r="M439" s="53"/>
      <c r="N439" s="171"/>
      <c r="O439" s="170"/>
      <c r="P439" s="53"/>
      <c r="Q439" s="53"/>
      <c r="R439" s="53"/>
      <c r="S439" s="171"/>
      <c r="T439" s="170"/>
      <c r="U439" s="53"/>
      <c r="V439" s="53"/>
      <c r="W439" s="53"/>
      <c r="X439" s="171"/>
      <c r="Y439" s="170"/>
      <c r="Z439" s="170"/>
      <c r="AA439" s="170"/>
      <c r="AB439" s="170"/>
      <c r="AC439" s="170"/>
      <c r="AD439" s="53"/>
      <c r="AE439" s="53"/>
    </row>
    <row r="440">
      <c r="A440" s="53"/>
      <c r="B440" s="53"/>
      <c r="C440" s="168"/>
      <c r="D440" s="169"/>
      <c r="E440" s="170"/>
      <c r="F440" s="53"/>
      <c r="G440" s="53"/>
      <c r="H440" s="53"/>
      <c r="I440" s="171"/>
      <c r="J440" s="170"/>
      <c r="K440" s="53"/>
      <c r="L440" s="53"/>
      <c r="M440" s="53"/>
      <c r="N440" s="171"/>
      <c r="O440" s="170"/>
      <c r="P440" s="53"/>
      <c r="Q440" s="53"/>
      <c r="R440" s="53"/>
      <c r="S440" s="171"/>
      <c r="T440" s="170"/>
      <c r="U440" s="53"/>
      <c r="V440" s="53"/>
      <c r="W440" s="53"/>
      <c r="X440" s="171"/>
      <c r="Y440" s="170"/>
      <c r="Z440" s="170"/>
      <c r="AA440" s="170"/>
      <c r="AB440" s="170"/>
      <c r="AC440" s="170"/>
      <c r="AD440" s="53"/>
      <c r="AE440" s="53"/>
    </row>
    <row r="441">
      <c r="A441" s="53"/>
      <c r="B441" s="53"/>
      <c r="C441" s="168"/>
      <c r="D441" s="169"/>
      <c r="E441" s="170"/>
      <c r="F441" s="53"/>
      <c r="G441" s="53"/>
      <c r="H441" s="53"/>
      <c r="I441" s="171"/>
      <c r="J441" s="170"/>
      <c r="K441" s="53"/>
      <c r="L441" s="53"/>
      <c r="M441" s="53"/>
      <c r="N441" s="171"/>
      <c r="O441" s="170"/>
      <c r="P441" s="53"/>
      <c r="Q441" s="53"/>
      <c r="R441" s="53"/>
      <c r="S441" s="171"/>
      <c r="T441" s="170"/>
      <c r="U441" s="53"/>
      <c r="V441" s="53"/>
      <c r="W441" s="53"/>
      <c r="X441" s="171"/>
      <c r="Y441" s="170"/>
      <c r="Z441" s="170"/>
      <c r="AA441" s="170"/>
      <c r="AB441" s="170"/>
      <c r="AC441" s="170"/>
      <c r="AD441" s="53"/>
      <c r="AE441" s="53"/>
    </row>
    <row r="442">
      <c r="A442" s="53"/>
      <c r="B442" s="53"/>
      <c r="C442" s="168"/>
      <c r="D442" s="169"/>
      <c r="E442" s="170"/>
      <c r="F442" s="53"/>
      <c r="G442" s="53"/>
      <c r="H442" s="53"/>
      <c r="I442" s="171"/>
      <c r="J442" s="170"/>
      <c r="K442" s="53"/>
      <c r="L442" s="53"/>
      <c r="M442" s="53"/>
      <c r="N442" s="171"/>
      <c r="O442" s="170"/>
      <c r="P442" s="53"/>
      <c r="Q442" s="53"/>
      <c r="R442" s="53"/>
      <c r="S442" s="171"/>
      <c r="T442" s="170"/>
      <c r="U442" s="53"/>
      <c r="V442" s="53"/>
      <c r="W442" s="53"/>
      <c r="X442" s="171"/>
      <c r="Y442" s="170"/>
      <c r="Z442" s="170"/>
      <c r="AA442" s="170"/>
      <c r="AB442" s="170"/>
      <c r="AC442" s="170"/>
      <c r="AD442" s="53"/>
      <c r="AE442" s="53"/>
    </row>
    <row r="443">
      <c r="A443" s="53"/>
      <c r="B443" s="53"/>
      <c r="C443" s="168"/>
      <c r="D443" s="169"/>
      <c r="E443" s="170"/>
      <c r="F443" s="53"/>
      <c r="G443" s="53"/>
      <c r="H443" s="53"/>
      <c r="I443" s="171"/>
      <c r="J443" s="170"/>
      <c r="K443" s="53"/>
      <c r="L443" s="53"/>
      <c r="M443" s="53"/>
      <c r="N443" s="171"/>
      <c r="O443" s="170"/>
      <c r="P443" s="53"/>
      <c r="Q443" s="53"/>
      <c r="R443" s="53"/>
      <c r="S443" s="171"/>
      <c r="T443" s="170"/>
      <c r="U443" s="53"/>
      <c r="V443" s="53"/>
      <c r="W443" s="53"/>
      <c r="X443" s="171"/>
      <c r="Y443" s="170"/>
      <c r="Z443" s="170"/>
      <c r="AA443" s="170"/>
      <c r="AB443" s="170"/>
      <c r="AC443" s="170"/>
      <c r="AD443" s="53"/>
      <c r="AE443" s="53"/>
    </row>
    <row r="444">
      <c r="A444" s="53"/>
      <c r="B444" s="53"/>
      <c r="C444" s="168"/>
      <c r="D444" s="169"/>
      <c r="E444" s="170"/>
      <c r="F444" s="53"/>
      <c r="G444" s="53"/>
      <c r="H444" s="53"/>
      <c r="I444" s="171"/>
      <c r="J444" s="170"/>
      <c r="K444" s="53"/>
      <c r="L444" s="53"/>
      <c r="M444" s="53"/>
      <c r="N444" s="171"/>
      <c r="O444" s="170"/>
      <c r="P444" s="53"/>
      <c r="Q444" s="53"/>
      <c r="R444" s="53"/>
      <c r="S444" s="171"/>
      <c r="T444" s="170"/>
      <c r="U444" s="53"/>
      <c r="V444" s="53"/>
      <c r="W444" s="53"/>
      <c r="X444" s="171"/>
      <c r="Y444" s="170"/>
      <c r="Z444" s="170"/>
      <c r="AA444" s="170"/>
      <c r="AB444" s="170"/>
      <c r="AC444" s="170"/>
      <c r="AD444" s="53"/>
      <c r="AE444" s="53"/>
    </row>
    <row r="445">
      <c r="A445" s="53"/>
      <c r="B445" s="53"/>
      <c r="C445" s="168"/>
      <c r="D445" s="169"/>
      <c r="E445" s="170"/>
      <c r="F445" s="53"/>
      <c r="G445" s="53"/>
      <c r="H445" s="53"/>
      <c r="I445" s="171"/>
      <c r="J445" s="170"/>
      <c r="K445" s="53"/>
      <c r="L445" s="53"/>
      <c r="M445" s="53"/>
      <c r="N445" s="171"/>
      <c r="O445" s="170"/>
      <c r="P445" s="53"/>
      <c r="Q445" s="53"/>
      <c r="R445" s="53"/>
      <c r="S445" s="171"/>
      <c r="T445" s="170"/>
      <c r="U445" s="53"/>
      <c r="V445" s="53"/>
      <c r="W445" s="53"/>
      <c r="X445" s="171"/>
      <c r="Y445" s="170"/>
      <c r="Z445" s="170"/>
      <c r="AA445" s="170"/>
      <c r="AB445" s="170"/>
      <c r="AC445" s="170"/>
      <c r="AD445" s="53"/>
      <c r="AE445" s="53"/>
    </row>
    <row r="446">
      <c r="A446" s="53"/>
      <c r="B446" s="53"/>
      <c r="C446" s="168"/>
      <c r="D446" s="169"/>
      <c r="E446" s="170"/>
      <c r="F446" s="53"/>
      <c r="G446" s="53"/>
      <c r="H446" s="53"/>
      <c r="I446" s="171"/>
      <c r="J446" s="170"/>
      <c r="K446" s="53"/>
      <c r="L446" s="53"/>
      <c r="M446" s="53"/>
      <c r="N446" s="171"/>
      <c r="O446" s="170"/>
      <c r="P446" s="53"/>
      <c r="Q446" s="53"/>
      <c r="R446" s="53"/>
      <c r="S446" s="171"/>
      <c r="T446" s="170"/>
      <c r="U446" s="53"/>
      <c r="V446" s="53"/>
      <c r="W446" s="53"/>
      <c r="X446" s="171"/>
      <c r="Y446" s="170"/>
      <c r="Z446" s="170"/>
      <c r="AA446" s="170"/>
      <c r="AB446" s="170"/>
      <c r="AC446" s="170"/>
      <c r="AD446" s="53"/>
      <c r="AE446" s="53"/>
    </row>
    <row r="447">
      <c r="A447" s="53"/>
      <c r="B447" s="53"/>
      <c r="C447" s="168"/>
      <c r="D447" s="169"/>
      <c r="E447" s="170"/>
      <c r="F447" s="53"/>
      <c r="G447" s="53"/>
      <c r="H447" s="53"/>
      <c r="I447" s="171"/>
      <c r="J447" s="170"/>
      <c r="K447" s="53"/>
      <c r="L447" s="53"/>
      <c r="M447" s="53"/>
      <c r="N447" s="171"/>
      <c r="O447" s="170"/>
      <c r="P447" s="53"/>
      <c r="Q447" s="53"/>
      <c r="R447" s="53"/>
      <c r="S447" s="171"/>
      <c r="T447" s="170"/>
      <c r="U447" s="53"/>
      <c r="V447" s="53"/>
      <c r="W447" s="53"/>
      <c r="X447" s="171"/>
      <c r="Y447" s="170"/>
      <c r="Z447" s="170"/>
      <c r="AA447" s="170"/>
      <c r="AB447" s="170"/>
      <c r="AC447" s="170"/>
      <c r="AD447" s="53"/>
      <c r="AE447" s="53"/>
    </row>
    <row r="448">
      <c r="A448" s="53"/>
      <c r="B448" s="53"/>
      <c r="C448" s="168"/>
      <c r="D448" s="169"/>
      <c r="E448" s="170"/>
      <c r="F448" s="53"/>
      <c r="G448" s="53"/>
      <c r="H448" s="53"/>
      <c r="I448" s="171"/>
      <c r="J448" s="170"/>
      <c r="K448" s="53"/>
      <c r="L448" s="53"/>
      <c r="M448" s="53"/>
      <c r="N448" s="171"/>
      <c r="O448" s="170"/>
      <c r="P448" s="53"/>
      <c r="Q448" s="53"/>
      <c r="R448" s="53"/>
      <c r="S448" s="171"/>
      <c r="T448" s="170"/>
      <c r="U448" s="53"/>
      <c r="V448" s="53"/>
      <c r="W448" s="53"/>
      <c r="X448" s="171"/>
      <c r="Y448" s="170"/>
      <c r="Z448" s="170"/>
      <c r="AA448" s="170"/>
      <c r="AB448" s="170"/>
      <c r="AC448" s="170"/>
      <c r="AD448" s="53"/>
      <c r="AE448" s="53"/>
    </row>
    <row r="449">
      <c r="A449" s="53"/>
      <c r="B449" s="53"/>
      <c r="C449" s="168"/>
      <c r="D449" s="169"/>
      <c r="E449" s="170"/>
      <c r="F449" s="53"/>
      <c r="G449" s="53"/>
      <c r="H449" s="53"/>
      <c r="I449" s="171"/>
      <c r="J449" s="170"/>
      <c r="K449" s="53"/>
      <c r="L449" s="53"/>
      <c r="M449" s="53"/>
      <c r="N449" s="171"/>
      <c r="O449" s="170"/>
      <c r="P449" s="53"/>
      <c r="Q449" s="53"/>
      <c r="R449" s="53"/>
      <c r="S449" s="171"/>
      <c r="T449" s="170"/>
      <c r="U449" s="53"/>
      <c r="V449" s="53"/>
      <c r="W449" s="53"/>
      <c r="X449" s="171"/>
      <c r="Y449" s="170"/>
      <c r="Z449" s="170"/>
      <c r="AA449" s="170"/>
      <c r="AB449" s="170"/>
      <c r="AC449" s="170"/>
      <c r="AD449" s="53"/>
      <c r="AE449" s="53"/>
    </row>
    <row r="450">
      <c r="A450" s="53"/>
      <c r="B450" s="53"/>
      <c r="C450" s="168"/>
      <c r="D450" s="169"/>
      <c r="E450" s="170"/>
      <c r="F450" s="53"/>
      <c r="G450" s="53"/>
      <c r="H450" s="53"/>
      <c r="I450" s="171"/>
      <c r="J450" s="170"/>
      <c r="K450" s="53"/>
      <c r="L450" s="53"/>
      <c r="M450" s="53"/>
      <c r="N450" s="171"/>
      <c r="O450" s="170"/>
      <c r="P450" s="53"/>
      <c r="Q450" s="53"/>
      <c r="R450" s="53"/>
      <c r="S450" s="171"/>
      <c r="T450" s="170"/>
      <c r="U450" s="53"/>
      <c r="V450" s="53"/>
      <c r="W450" s="53"/>
      <c r="X450" s="171"/>
      <c r="Y450" s="170"/>
      <c r="Z450" s="170"/>
      <c r="AA450" s="170"/>
      <c r="AB450" s="170"/>
      <c r="AC450" s="170"/>
      <c r="AD450" s="53"/>
      <c r="AE450" s="53"/>
    </row>
    <row r="451">
      <c r="A451" s="53"/>
      <c r="B451" s="53"/>
      <c r="C451" s="168"/>
      <c r="D451" s="169"/>
      <c r="E451" s="170"/>
      <c r="F451" s="53"/>
      <c r="G451" s="53"/>
      <c r="H451" s="53"/>
      <c r="I451" s="171"/>
      <c r="J451" s="170"/>
      <c r="K451" s="53"/>
      <c r="L451" s="53"/>
      <c r="M451" s="53"/>
      <c r="N451" s="171"/>
      <c r="O451" s="170"/>
      <c r="P451" s="53"/>
      <c r="Q451" s="53"/>
      <c r="R451" s="53"/>
      <c r="S451" s="171"/>
      <c r="T451" s="170"/>
      <c r="U451" s="53"/>
      <c r="V451" s="53"/>
      <c r="W451" s="53"/>
      <c r="X451" s="171"/>
      <c r="Y451" s="170"/>
      <c r="Z451" s="170"/>
      <c r="AA451" s="170"/>
      <c r="AB451" s="170"/>
      <c r="AC451" s="170"/>
      <c r="AD451" s="53"/>
      <c r="AE451" s="53"/>
    </row>
    <row r="452">
      <c r="A452" s="53"/>
      <c r="B452" s="53"/>
      <c r="C452" s="168"/>
      <c r="D452" s="169"/>
      <c r="E452" s="170"/>
      <c r="F452" s="53"/>
      <c r="G452" s="53"/>
      <c r="H452" s="53"/>
      <c r="I452" s="171"/>
      <c r="J452" s="170"/>
      <c r="K452" s="53"/>
      <c r="L452" s="53"/>
      <c r="M452" s="53"/>
      <c r="N452" s="171"/>
      <c r="O452" s="170"/>
      <c r="P452" s="53"/>
      <c r="Q452" s="53"/>
      <c r="R452" s="53"/>
      <c r="S452" s="171"/>
      <c r="T452" s="170"/>
      <c r="U452" s="53"/>
      <c r="V452" s="53"/>
      <c r="W452" s="53"/>
      <c r="X452" s="171"/>
      <c r="Y452" s="170"/>
      <c r="Z452" s="170"/>
      <c r="AA452" s="170"/>
      <c r="AB452" s="170"/>
      <c r="AC452" s="170"/>
      <c r="AD452" s="53"/>
      <c r="AE452" s="53"/>
    </row>
    <row r="453">
      <c r="A453" s="53"/>
      <c r="B453" s="53"/>
      <c r="C453" s="168"/>
      <c r="D453" s="169"/>
      <c r="E453" s="170"/>
      <c r="F453" s="53"/>
      <c r="G453" s="53"/>
      <c r="H453" s="53"/>
      <c r="I453" s="171"/>
      <c r="J453" s="170"/>
      <c r="K453" s="53"/>
      <c r="L453" s="53"/>
      <c r="M453" s="53"/>
      <c r="N453" s="171"/>
      <c r="O453" s="170"/>
      <c r="P453" s="53"/>
      <c r="Q453" s="53"/>
      <c r="R453" s="53"/>
      <c r="S453" s="171"/>
      <c r="T453" s="170"/>
      <c r="U453" s="53"/>
      <c r="V453" s="53"/>
      <c r="W453" s="53"/>
      <c r="X453" s="171"/>
      <c r="Y453" s="170"/>
      <c r="Z453" s="170"/>
      <c r="AA453" s="170"/>
      <c r="AB453" s="170"/>
      <c r="AC453" s="170"/>
      <c r="AD453" s="53"/>
      <c r="AE453" s="53"/>
    </row>
    <row r="454">
      <c r="A454" s="53"/>
      <c r="B454" s="53"/>
      <c r="C454" s="168"/>
      <c r="D454" s="169"/>
      <c r="E454" s="170"/>
      <c r="F454" s="53"/>
      <c r="G454" s="53"/>
      <c r="H454" s="53"/>
      <c r="I454" s="171"/>
      <c r="J454" s="170"/>
      <c r="K454" s="53"/>
      <c r="L454" s="53"/>
      <c r="M454" s="53"/>
      <c r="N454" s="171"/>
      <c r="O454" s="170"/>
      <c r="P454" s="53"/>
      <c r="Q454" s="53"/>
      <c r="R454" s="53"/>
      <c r="S454" s="171"/>
      <c r="T454" s="170"/>
      <c r="U454" s="53"/>
      <c r="V454" s="53"/>
      <c r="W454" s="53"/>
      <c r="X454" s="171"/>
      <c r="Y454" s="170"/>
      <c r="Z454" s="170"/>
      <c r="AA454" s="170"/>
      <c r="AB454" s="170"/>
      <c r="AC454" s="170"/>
      <c r="AD454" s="53"/>
      <c r="AE454" s="53"/>
    </row>
    <row r="455">
      <c r="A455" s="53"/>
      <c r="B455" s="53"/>
      <c r="C455" s="168"/>
      <c r="D455" s="169"/>
      <c r="E455" s="170"/>
      <c r="F455" s="53"/>
      <c r="G455" s="53"/>
      <c r="H455" s="53"/>
      <c r="I455" s="171"/>
      <c r="J455" s="170"/>
      <c r="K455" s="53"/>
      <c r="L455" s="53"/>
      <c r="M455" s="53"/>
      <c r="N455" s="171"/>
      <c r="O455" s="170"/>
      <c r="P455" s="53"/>
      <c r="Q455" s="53"/>
      <c r="R455" s="53"/>
      <c r="S455" s="171"/>
      <c r="T455" s="170"/>
      <c r="U455" s="53"/>
      <c r="V455" s="53"/>
      <c r="W455" s="53"/>
      <c r="X455" s="171"/>
      <c r="Y455" s="170"/>
      <c r="Z455" s="170"/>
      <c r="AA455" s="170"/>
      <c r="AB455" s="170"/>
      <c r="AC455" s="170"/>
      <c r="AD455" s="53"/>
      <c r="AE455" s="53"/>
    </row>
    <row r="456">
      <c r="A456" s="53"/>
      <c r="B456" s="53"/>
      <c r="C456" s="168"/>
      <c r="D456" s="169"/>
      <c r="E456" s="170"/>
      <c r="F456" s="53"/>
      <c r="G456" s="53"/>
      <c r="H456" s="53"/>
      <c r="I456" s="171"/>
      <c r="J456" s="170"/>
      <c r="K456" s="53"/>
      <c r="L456" s="53"/>
      <c r="M456" s="53"/>
      <c r="N456" s="171"/>
      <c r="O456" s="170"/>
      <c r="P456" s="53"/>
      <c r="Q456" s="53"/>
      <c r="R456" s="53"/>
      <c r="S456" s="171"/>
      <c r="T456" s="170"/>
      <c r="U456" s="53"/>
      <c r="V456" s="53"/>
      <c r="W456" s="53"/>
      <c r="X456" s="171"/>
      <c r="Y456" s="170"/>
      <c r="Z456" s="170"/>
      <c r="AA456" s="170"/>
      <c r="AB456" s="170"/>
      <c r="AC456" s="170"/>
      <c r="AD456" s="53"/>
      <c r="AE456" s="53"/>
    </row>
    <row r="457">
      <c r="A457" s="53"/>
      <c r="B457" s="53"/>
      <c r="C457" s="168"/>
      <c r="D457" s="169"/>
      <c r="E457" s="170"/>
      <c r="F457" s="53"/>
      <c r="G457" s="53"/>
      <c r="H457" s="53"/>
      <c r="I457" s="171"/>
      <c r="J457" s="170"/>
      <c r="K457" s="53"/>
      <c r="L457" s="53"/>
      <c r="M457" s="53"/>
      <c r="N457" s="171"/>
      <c r="O457" s="170"/>
      <c r="P457" s="53"/>
      <c r="Q457" s="53"/>
      <c r="R457" s="53"/>
      <c r="S457" s="171"/>
      <c r="T457" s="170"/>
      <c r="U457" s="53"/>
      <c r="V457" s="53"/>
      <c r="W457" s="53"/>
      <c r="X457" s="171"/>
      <c r="Y457" s="170"/>
      <c r="Z457" s="170"/>
      <c r="AA457" s="170"/>
      <c r="AB457" s="170"/>
      <c r="AC457" s="170"/>
      <c r="AD457" s="53"/>
      <c r="AE457" s="53"/>
    </row>
    <row r="458">
      <c r="A458" s="53"/>
      <c r="B458" s="53"/>
      <c r="C458" s="168"/>
      <c r="D458" s="169"/>
      <c r="E458" s="170"/>
      <c r="F458" s="53"/>
      <c r="G458" s="53"/>
      <c r="H458" s="53"/>
      <c r="I458" s="171"/>
      <c r="J458" s="170"/>
      <c r="K458" s="53"/>
      <c r="L458" s="53"/>
      <c r="M458" s="53"/>
      <c r="N458" s="171"/>
      <c r="O458" s="170"/>
      <c r="P458" s="53"/>
      <c r="Q458" s="53"/>
      <c r="R458" s="53"/>
      <c r="S458" s="171"/>
      <c r="T458" s="170"/>
      <c r="U458" s="53"/>
      <c r="V458" s="53"/>
      <c r="W458" s="53"/>
      <c r="X458" s="171"/>
      <c r="Y458" s="170"/>
      <c r="Z458" s="170"/>
      <c r="AA458" s="170"/>
      <c r="AB458" s="170"/>
      <c r="AC458" s="170"/>
      <c r="AD458" s="53"/>
      <c r="AE458" s="53"/>
    </row>
    <row r="459">
      <c r="A459" s="53"/>
      <c r="B459" s="53"/>
      <c r="C459" s="168"/>
      <c r="D459" s="169"/>
      <c r="E459" s="170"/>
      <c r="F459" s="53"/>
      <c r="G459" s="53"/>
      <c r="H459" s="53"/>
      <c r="I459" s="171"/>
      <c r="J459" s="170"/>
      <c r="K459" s="53"/>
      <c r="L459" s="53"/>
      <c r="M459" s="53"/>
      <c r="N459" s="171"/>
      <c r="O459" s="170"/>
      <c r="P459" s="53"/>
      <c r="Q459" s="53"/>
      <c r="R459" s="53"/>
      <c r="S459" s="171"/>
      <c r="T459" s="170"/>
      <c r="U459" s="53"/>
      <c r="V459" s="53"/>
      <c r="W459" s="53"/>
      <c r="X459" s="171"/>
      <c r="Y459" s="170"/>
      <c r="Z459" s="170"/>
      <c r="AA459" s="170"/>
      <c r="AB459" s="170"/>
      <c r="AC459" s="170"/>
      <c r="AD459" s="53"/>
      <c r="AE459" s="53"/>
    </row>
    <row r="460">
      <c r="A460" s="53"/>
      <c r="B460" s="53"/>
      <c r="C460" s="168"/>
      <c r="D460" s="169"/>
      <c r="E460" s="170"/>
      <c r="F460" s="53"/>
      <c r="G460" s="53"/>
      <c r="H460" s="53"/>
      <c r="I460" s="171"/>
      <c r="J460" s="170"/>
      <c r="K460" s="53"/>
      <c r="L460" s="53"/>
      <c r="M460" s="53"/>
      <c r="N460" s="171"/>
      <c r="O460" s="170"/>
      <c r="P460" s="53"/>
      <c r="Q460" s="53"/>
      <c r="R460" s="53"/>
      <c r="S460" s="171"/>
      <c r="T460" s="170"/>
      <c r="U460" s="53"/>
      <c r="V460" s="53"/>
      <c r="W460" s="53"/>
      <c r="X460" s="171"/>
      <c r="Y460" s="170"/>
      <c r="Z460" s="170"/>
      <c r="AA460" s="170"/>
      <c r="AB460" s="170"/>
      <c r="AC460" s="170"/>
      <c r="AD460" s="53"/>
      <c r="AE460" s="53"/>
    </row>
    <row r="461">
      <c r="A461" s="53"/>
      <c r="B461" s="53"/>
      <c r="C461" s="168"/>
      <c r="D461" s="169"/>
      <c r="E461" s="170"/>
      <c r="F461" s="53"/>
      <c r="G461" s="53"/>
      <c r="H461" s="53"/>
      <c r="I461" s="171"/>
      <c r="J461" s="170"/>
      <c r="K461" s="53"/>
      <c r="L461" s="53"/>
      <c r="M461" s="53"/>
      <c r="N461" s="171"/>
      <c r="O461" s="170"/>
      <c r="P461" s="53"/>
      <c r="Q461" s="53"/>
      <c r="R461" s="53"/>
      <c r="S461" s="171"/>
      <c r="T461" s="170"/>
      <c r="U461" s="53"/>
      <c r="V461" s="53"/>
      <c r="W461" s="53"/>
      <c r="X461" s="171"/>
      <c r="Y461" s="170"/>
      <c r="Z461" s="170"/>
      <c r="AA461" s="170"/>
      <c r="AB461" s="170"/>
      <c r="AC461" s="170"/>
      <c r="AD461" s="53"/>
      <c r="AE461" s="53"/>
    </row>
    <row r="462">
      <c r="A462" s="53"/>
      <c r="B462" s="53"/>
      <c r="C462" s="168"/>
      <c r="D462" s="169"/>
      <c r="E462" s="170"/>
      <c r="F462" s="53"/>
      <c r="G462" s="53"/>
      <c r="H462" s="53"/>
      <c r="I462" s="171"/>
      <c r="J462" s="170"/>
      <c r="K462" s="53"/>
      <c r="L462" s="53"/>
      <c r="M462" s="53"/>
      <c r="N462" s="171"/>
      <c r="O462" s="170"/>
      <c r="P462" s="53"/>
      <c r="Q462" s="53"/>
      <c r="R462" s="53"/>
      <c r="S462" s="171"/>
      <c r="T462" s="170"/>
      <c r="U462" s="53"/>
      <c r="V462" s="53"/>
      <c r="W462" s="53"/>
      <c r="X462" s="171"/>
      <c r="Y462" s="170"/>
      <c r="Z462" s="170"/>
      <c r="AA462" s="170"/>
      <c r="AB462" s="170"/>
      <c r="AC462" s="170"/>
      <c r="AD462" s="53"/>
      <c r="AE462" s="53"/>
    </row>
    <row r="463">
      <c r="A463" s="53"/>
      <c r="B463" s="53"/>
      <c r="C463" s="168"/>
      <c r="D463" s="169"/>
      <c r="E463" s="170"/>
      <c r="F463" s="53"/>
      <c r="G463" s="53"/>
      <c r="H463" s="53"/>
      <c r="I463" s="171"/>
      <c r="J463" s="170"/>
      <c r="K463" s="53"/>
      <c r="L463" s="53"/>
      <c r="M463" s="53"/>
      <c r="N463" s="171"/>
      <c r="O463" s="170"/>
      <c r="P463" s="53"/>
      <c r="Q463" s="53"/>
      <c r="R463" s="53"/>
      <c r="S463" s="171"/>
      <c r="T463" s="170"/>
      <c r="U463" s="53"/>
      <c r="V463" s="53"/>
      <c r="W463" s="53"/>
      <c r="X463" s="171"/>
      <c r="Y463" s="170"/>
      <c r="Z463" s="170"/>
      <c r="AA463" s="170"/>
      <c r="AB463" s="170"/>
      <c r="AC463" s="170"/>
      <c r="AD463" s="53"/>
      <c r="AE463" s="53"/>
    </row>
    <row r="464">
      <c r="A464" s="53"/>
      <c r="B464" s="53"/>
      <c r="C464" s="168"/>
      <c r="D464" s="169"/>
      <c r="E464" s="170"/>
      <c r="F464" s="53"/>
      <c r="G464" s="53"/>
      <c r="H464" s="53"/>
      <c r="I464" s="171"/>
      <c r="J464" s="170"/>
      <c r="K464" s="53"/>
      <c r="L464" s="53"/>
      <c r="M464" s="53"/>
      <c r="N464" s="171"/>
      <c r="O464" s="170"/>
      <c r="P464" s="53"/>
      <c r="Q464" s="53"/>
      <c r="R464" s="53"/>
      <c r="S464" s="171"/>
      <c r="T464" s="170"/>
      <c r="U464" s="53"/>
      <c r="V464" s="53"/>
      <c r="W464" s="53"/>
      <c r="X464" s="171"/>
      <c r="Y464" s="170"/>
      <c r="Z464" s="170"/>
      <c r="AA464" s="170"/>
      <c r="AB464" s="170"/>
      <c r="AC464" s="170"/>
      <c r="AD464" s="53"/>
      <c r="AE464" s="53"/>
    </row>
    <row r="465">
      <c r="A465" s="53"/>
      <c r="B465" s="53"/>
      <c r="C465" s="168"/>
      <c r="D465" s="169"/>
      <c r="E465" s="170"/>
      <c r="F465" s="53"/>
      <c r="G465" s="53"/>
      <c r="H465" s="53"/>
      <c r="I465" s="171"/>
      <c r="J465" s="170"/>
      <c r="K465" s="53"/>
      <c r="L465" s="53"/>
      <c r="M465" s="53"/>
      <c r="N465" s="171"/>
      <c r="O465" s="170"/>
      <c r="P465" s="53"/>
      <c r="Q465" s="53"/>
      <c r="R465" s="53"/>
      <c r="S465" s="171"/>
      <c r="T465" s="170"/>
      <c r="U465" s="53"/>
      <c r="V465" s="53"/>
      <c r="W465" s="53"/>
      <c r="X465" s="171"/>
      <c r="Y465" s="170"/>
      <c r="Z465" s="170"/>
      <c r="AA465" s="170"/>
      <c r="AB465" s="170"/>
      <c r="AC465" s="170"/>
      <c r="AD465" s="53"/>
      <c r="AE465" s="53"/>
    </row>
    <row r="466">
      <c r="A466" s="53"/>
      <c r="B466" s="53"/>
      <c r="C466" s="168"/>
      <c r="D466" s="169"/>
      <c r="E466" s="170"/>
      <c r="F466" s="53"/>
      <c r="G466" s="53"/>
      <c r="H466" s="53"/>
      <c r="I466" s="171"/>
      <c r="J466" s="170"/>
      <c r="K466" s="53"/>
      <c r="L466" s="53"/>
      <c r="M466" s="53"/>
      <c r="N466" s="171"/>
      <c r="O466" s="170"/>
      <c r="P466" s="53"/>
      <c r="Q466" s="53"/>
      <c r="R466" s="53"/>
      <c r="S466" s="171"/>
      <c r="T466" s="170"/>
      <c r="U466" s="53"/>
      <c r="V466" s="53"/>
      <c r="W466" s="53"/>
      <c r="X466" s="171"/>
      <c r="Y466" s="170"/>
      <c r="Z466" s="170"/>
      <c r="AA466" s="170"/>
      <c r="AB466" s="170"/>
      <c r="AC466" s="170"/>
      <c r="AD466" s="53"/>
      <c r="AE466" s="53"/>
    </row>
    <row r="467">
      <c r="A467" s="53"/>
      <c r="B467" s="53"/>
      <c r="C467" s="168"/>
      <c r="D467" s="169"/>
      <c r="E467" s="170"/>
      <c r="F467" s="53"/>
      <c r="G467" s="53"/>
      <c r="H467" s="53"/>
      <c r="I467" s="171"/>
      <c r="J467" s="170"/>
      <c r="K467" s="53"/>
      <c r="L467" s="53"/>
      <c r="M467" s="53"/>
      <c r="N467" s="171"/>
      <c r="O467" s="170"/>
      <c r="P467" s="53"/>
      <c r="Q467" s="53"/>
      <c r="R467" s="53"/>
      <c r="S467" s="171"/>
      <c r="T467" s="170"/>
      <c r="U467" s="53"/>
      <c r="V467" s="53"/>
      <c r="W467" s="53"/>
      <c r="X467" s="171"/>
      <c r="Y467" s="170"/>
      <c r="Z467" s="170"/>
      <c r="AA467" s="170"/>
      <c r="AB467" s="170"/>
      <c r="AC467" s="170"/>
      <c r="AD467" s="53"/>
      <c r="AE467" s="53"/>
    </row>
    <row r="468">
      <c r="A468" s="53"/>
      <c r="B468" s="53"/>
      <c r="C468" s="168"/>
      <c r="D468" s="169"/>
      <c r="E468" s="170"/>
      <c r="F468" s="53"/>
      <c r="G468" s="53"/>
      <c r="H468" s="53"/>
      <c r="I468" s="171"/>
      <c r="J468" s="170"/>
      <c r="K468" s="53"/>
      <c r="L468" s="53"/>
      <c r="M468" s="53"/>
      <c r="N468" s="171"/>
      <c r="O468" s="170"/>
      <c r="P468" s="53"/>
      <c r="Q468" s="53"/>
      <c r="R468" s="53"/>
      <c r="S468" s="171"/>
      <c r="T468" s="170"/>
      <c r="U468" s="53"/>
      <c r="V468" s="53"/>
      <c r="W468" s="53"/>
      <c r="X468" s="171"/>
      <c r="Y468" s="170"/>
      <c r="Z468" s="170"/>
      <c r="AA468" s="170"/>
      <c r="AB468" s="170"/>
      <c r="AC468" s="170"/>
      <c r="AD468" s="53"/>
      <c r="AE468" s="53"/>
    </row>
    <row r="469">
      <c r="A469" s="53"/>
      <c r="B469" s="53"/>
      <c r="C469" s="168"/>
      <c r="D469" s="169"/>
      <c r="E469" s="170"/>
      <c r="F469" s="53"/>
      <c r="G469" s="53"/>
      <c r="H469" s="53"/>
      <c r="I469" s="171"/>
      <c r="J469" s="170"/>
      <c r="K469" s="53"/>
      <c r="L469" s="53"/>
      <c r="M469" s="53"/>
      <c r="N469" s="171"/>
      <c r="O469" s="170"/>
      <c r="P469" s="53"/>
      <c r="Q469" s="53"/>
      <c r="R469" s="53"/>
      <c r="S469" s="171"/>
      <c r="T469" s="170"/>
      <c r="U469" s="53"/>
      <c r="V469" s="53"/>
      <c r="W469" s="53"/>
      <c r="X469" s="171"/>
      <c r="Y469" s="170"/>
      <c r="Z469" s="170"/>
      <c r="AA469" s="170"/>
      <c r="AB469" s="170"/>
      <c r="AC469" s="170"/>
      <c r="AD469" s="53"/>
      <c r="AE469" s="53"/>
    </row>
    <row r="470">
      <c r="A470" s="53"/>
      <c r="B470" s="53"/>
      <c r="C470" s="168"/>
      <c r="D470" s="169"/>
      <c r="E470" s="170"/>
      <c r="F470" s="53"/>
      <c r="G470" s="53"/>
      <c r="H470" s="53"/>
      <c r="I470" s="171"/>
      <c r="J470" s="170"/>
      <c r="K470" s="53"/>
      <c r="L470" s="53"/>
      <c r="M470" s="53"/>
      <c r="N470" s="171"/>
      <c r="O470" s="170"/>
      <c r="P470" s="53"/>
      <c r="Q470" s="53"/>
      <c r="R470" s="53"/>
      <c r="S470" s="171"/>
      <c r="T470" s="170"/>
      <c r="U470" s="53"/>
      <c r="V470" s="53"/>
      <c r="W470" s="53"/>
      <c r="X470" s="171"/>
      <c r="Y470" s="170"/>
      <c r="Z470" s="170"/>
      <c r="AA470" s="170"/>
      <c r="AB470" s="170"/>
      <c r="AC470" s="170"/>
      <c r="AD470" s="53"/>
      <c r="AE470" s="53"/>
    </row>
    <row r="471">
      <c r="A471" s="53"/>
      <c r="B471" s="53"/>
      <c r="C471" s="168"/>
      <c r="D471" s="169"/>
      <c r="E471" s="170"/>
      <c r="F471" s="53"/>
      <c r="G471" s="53"/>
      <c r="H471" s="53"/>
      <c r="I471" s="171"/>
      <c r="J471" s="170"/>
      <c r="K471" s="53"/>
      <c r="L471" s="53"/>
      <c r="M471" s="53"/>
      <c r="N471" s="171"/>
      <c r="O471" s="170"/>
      <c r="P471" s="53"/>
      <c r="Q471" s="53"/>
      <c r="R471" s="53"/>
      <c r="S471" s="171"/>
      <c r="T471" s="170"/>
      <c r="U471" s="53"/>
      <c r="V471" s="53"/>
      <c r="W471" s="53"/>
      <c r="X471" s="171"/>
      <c r="Y471" s="170"/>
      <c r="Z471" s="170"/>
      <c r="AA471" s="170"/>
      <c r="AB471" s="170"/>
      <c r="AC471" s="170"/>
      <c r="AD471" s="53"/>
      <c r="AE471" s="53"/>
    </row>
    <row r="472">
      <c r="A472" s="53"/>
      <c r="B472" s="53"/>
      <c r="C472" s="168"/>
      <c r="D472" s="169"/>
      <c r="E472" s="170"/>
      <c r="F472" s="53"/>
      <c r="G472" s="53"/>
      <c r="H472" s="53"/>
      <c r="I472" s="171"/>
      <c r="J472" s="170"/>
      <c r="K472" s="53"/>
      <c r="L472" s="53"/>
      <c r="M472" s="53"/>
      <c r="N472" s="171"/>
      <c r="O472" s="170"/>
      <c r="P472" s="53"/>
      <c r="Q472" s="53"/>
      <c r="R472" s="53"/>
      <c r="S472" s="171"/>
      <c r="T472" s="170"/>
      <c r="U472" s="53"/>
      <c r="V472" s="53"/>
      <c r="W472" s="53"/>
      <c r="X472" s="171"/>
      <c r="Y472" s="170"/>
      <c r="Z472" s="170"/>
      <c r="AA472" s="170"/>
      <c r="AB472" s="170"/>
      <c r="AC472" s="170"/>
      <c r="AD472" s="53"/>
      <c r="AE472" s="53"/>
    </row>
    <row r="473">
      <c r="A473" s="53"/>
      <c r="B473" s="53"/>
      <c r="C473" s="168"/>
      <c r="D473" s="169"/>
      <c r="E473" s="170"/>
      <c r="F473" s="53"/>
      <c r="G473" s="53"/>
      <c r="H473" s="53"/>
      <c r="I473" s="171"/>
      <c r="J473" s="170"/>
      <c r="K473" s="53"/>
      <c r="L473" s="53"/>
      <c r="M473" s="53"/>
      <c r="N473" s="171"/>
      <c r="O473" s="170"/>
      <c r="P473" s="53"/>
      <c r="Q473" s="53"/>
      <c r="R473" s="53"/>
      <c r="S473" s="171"/>
      <c r="T473" s="170"/>
      <c r="U473" s="53"/>
      <c r="V473" s="53"/>
      <c r="W473" s="53"/>
      <c r="X473" s="171"/>
      <c r="Y473" s="170"/>
      <c r="Z473" s="170"/>
      <c r="AA473" s="170"/>
      <c r="AB473" s="170"/>
      <c r="AC473" s="170"/>
      <c r="AD473" s="53"/>
      <c r="AE473" s="53"/>
    </row>
    <row r="474">
      <c r="A474" s="53"/>
      <c r="B474" s="53"/>
      <c r="C474" s="168"/>
      <c r="D474" s="169"/>
      <c r="E474" s="170"/>
      <c r="F474" s="53"/>
      <c r="G474" s="53"/>
      <c r="H474" s="53"/>
      <c r="I474" s="171"/>
      <c r="J474" s="170"/>
      <c r="K474" s="53"/>
      <c r="L474" s="53"/>
      <c r="M474" s="53"/>
      <c r="N474" s="171"/>
      <c r="O474" s="170"/>
      <c r="P474" s="53"/>
      <c r="Q474" s="53"/>
      <c r="R474" s="53"/>
      <c r="S474" s="171"/>
      <c r="T474" s="170"/>
      <c r="U474" s="53"/>
      <c r="V474" s="53"/>
      <c r="W474" s="53"/>
      <c r="X474" s="171"/>
      <c r="Y474" s="170"/>
      <c r="Z474" s="170"/>
      <c r="AA474" s="170"/>
      <c r="AB474" s="170"/>
      <c r="AC474" s="170"/>
      <c r="AD474" s="53"/>
      <c r="AE474" s="53"/>
    </row>
    <row r="475">
      <c r="A475" s="53"/>
      <c r="B475" s="53"/>
      <c r="C475" s="168"/>
      <c r="D475" s="169"/>
      <c r="E475" s="170"/>
      <c r="F475" s="53"/>
      <c r="G475" s="53"/>
      <c r="H475" s="53"/>
      <c r="I475" s="171"/>
      <c r="J475" s="170"/>
      <c r="K475" s="53"/>
      <c r="L475" s="53"/>
      <c r="M475" s="53"/>
      <c r="N475" s="171"/>
      <c r="O475" s="170"/>
      <c r="P475" s="53"/>
      <c r="Q475" s="53"/>
      <c r="R475" s="53"/>
      <c r="S475" s="171"/>
      <c r="T475" s="170"/>
      <c r="U475" s="53"/>
      <c r="V475" s="53"/>
      <c r="W475" s="53"/>
      <c r="X475" s="171"/>
      <c r="Y475" s="170"/>
      <c r="Z475" s="170"/>
      <c r="AA475" s="170"/>
      <c r="AB475" s="170"/>
      <c r="AC475" s="170"/>
      <c r="AD475" s="53"/>
      <c r="AE475" s="53"/>
    </row>
    <row r="476">
      <c r="A476" s="53"/>
      <c r="B476" s="53"/>
      <c r="C476" s="168"/>
      <c r="D476" s="169"/>
      <c r="E476" s="170"/>
      <c r="F476" s="53"/>
      <c r="G476" s="53"/>
      <c r="H476" s="53"/>
      <c r="I476" s="171"/>
      <c r="J476" s="170"/>
      <c r="K476" s="53"/>
      <c r="L476" s="53"/>
      <c r="M476" s="53"/>
      <c r="N476" s="171"/>
      <c r="O476" s="170"/>
      <c r="P476" s="53"/>
      <c r="Q476" s="53"/>
      <c r="R476" s="53"/>
      <c r="S476" s="171"/>
      <c r="T476" s="170"/>
      <c r="U476" s="53"/>
      <c r="V476" s="53"/>
      <c r="W476" s="53"/>
      <c r="X476" s="171"/>
      <c r="Y476" s="170"/>
      <c r="Z476" s="170"/>
      <c r="AA476" s="170"/>
      <c r="AB476" s="170"/>
      <c r="AC476" s="170"/>
      <c r="AD476" s="53"/>
      <c r="AE476" s="53"/>
    </row>
    <row r="477">
      <c r="A477" s="53"/>
      <c r="B477" s="53"/>
      <c r="C477" s="168"/>
      <c r="D477" s="169"/>
      <c r="E477" s="170"/>
      <c r="F477" s="53"/>
      <c r="G477" s="53"/>
      <c r="H477" s="53"/>
      <c r="I477" s="171"/>
      <c r="J477" s="170"/>
      <c r="K477" s="53"/>
      <c r="L477" s="53"/>
      <c r="M477" s="53"/>
      <c r="N477" s="171"/>
      <c r="O477" s="170"/>
      <c r="P477" s="53"/>
      <c r="Q477" s="53"/>
      <c r="R477" s="53"/>
      <c r="S477" s="171"/>
      <c r="T477" s="170"/>
      <c r="U477" s="53"/>
      <c r="V477" s="53"/>
      <c r="W477" s="53"/>
      <c r="X477" s="171"/>
      <c r="Y477" s="170"/>
      <c r="Z477" s="170"/>
      <c r="AA477" s="170"/>
      <c r="AB477" s="170"/>
      <c r="AC477" s="170"/>
      <c r="AD477" s="53"/>
      <c r="AE477" s="53"/>
    </row>
    <row r="478">
      <c r="A478" s="53"/>
      <c r="B478" s="53"/>
      <c r="C478" s="168"/>
      <c r="D478" s="169"/>
      <c r="E478" s="170"/>
      <c r="F478" s="53"/>
      <c r="G478" s="53"/>
      <c r="H478" s="53"/>
      <c r="I478" s="171"/>
      <c r="J478" s="170"/>
      <c r="K478" s="53"/>
      <c r="L478" s="53"/>
      <c r="M478" s="53"/>
      <c r="N478" s="171"/>
      <c r="O478" s="170"/>
      <c r="P478" s="53"/>
      <c r="Q478" s="53"/>
      <c r="R478" s="53"/>
      <c r="S478" s="171"/>
      <c r="T478" s="170"/>
      <c r="U478" s="53"/>
      <c r="V478" s="53"/>
      <c r="W478" s="53"/>
      <c r="X478" s="171"/>
      <c r="Y478" s="170"/>
      <c r="Z478" s="170"/>
      <c r="AA478" s="170"/>
      <c r="AB478" s="170"/>
      <c r="AC478" s="170"/>
      <c r="AD478" s="53"/>
      <c r="AE478" s="53"/>
    </row>
    <row r="479">
      <c r="A479" s="53"/>
      <c r="B479" s="53"/>
      <c r="C479" s="168"/>
      <c r="D479" s="169"/>
      <c r="E479" s="170"/>
      <c r="F479" s="53"/>
      <c r="G479" s="53"/>
      <c r="H479" s="53"/>
      <c r="I479" s="171"/>
      <c r="J479" s="170"/>
      <c r="K479" s="53"/>
      <c r="L479" s="53"/>
      <c r="M479" s="53"/>
      <c r="N479" s="171"/>
      <c r="O479" s="170"/>
      <c r="P479" s="53"/>
      <c r="Q479" s="53"/>
      <c r="R479" s="53"/>
      <c r="S479" s="171"/>
      <c r="T479" s="170"/>
      <c r="U479" s="53"/>
      <c r="V479" s="53"/>
      <c r="W479" s="53"/>
      <c r="X479" s="171"/>
      <c r="Y479" s="170"/>
      <c r="Z479" s="170"/>
      <c r="AA479" s="170"/>
      <c r="AB479" s="170"/>
      <c r="AC479" s="170"/>
      <c r="AD479" s="53"/>
      <c r="AE479" s="53"/>
    </row>
    <row r="480">
      <c r="A480" s="53"/>
      <c r="B480" s="53"/>
      <c r="C480" s="168"/>
      <c r="D480" s="169"/>
      <c r="E480" s="170"/>
      <c r="F480" s="53"/>
      <c r="G480" s="53"/>
      <c r="H480" s="53"/>
      <c r="I480" s="171"/>
      <c r="J480" s="170"/>
      <c r="K480" s="53"/>
      <c r="L480" s="53"/>
      <c r="M480" s="53"/>
      <c r="N480" s="171"/>
      <c r="O480" s="170"/>
      <c r="P480" s="53"/>
      <c r="Q480" s="53"/>
      <c r="R480" s="53"/>
      <c r="S480" s="171"/>
      <c r="T480" s="170"/>
      <c r="U480" s="53"/>
      <c r="V480" s="53"/>
      <c r="W480" s="53"/>
      <c r="X480" s="171"/>
      <c r="Y480" s="170"/>
      <c r="Z480" s="170"/>
      <c r="AA480" s="170"/>
      <c r="AB480" s="170"/>
      <c r="AC480" s="170"/>
      <c r="AD480" s="53"/>
      <c r="AE480" s="53"/>
    </row>
    <row r="481">
      <c r="A481" s="53"/>
      <c r="B481" s="53"/>
      <c r="C481" s="168"/>
      <c r="D481" s="169"/>
      <c r="E481" s="170"/>
      <c r="F481" s="53"/>
      <c r="G481" s="53"/>
      <c r="H481" s="53"/>
      <c r="I481" s="171"/>
      <c r="J481" s="170"/>
      <c r="K481" s="53"/>
      <c r="L481" s="53"/>
      <c r="M481" s="53"/>
      <c r="N481" s="171"/>
      <c r="O481" s="170"/>
      <c r="P481" s="53"/>
      <c r="Q481" s="53"/>
      <c r="R481" s="53"/>
      <c r="S481" s="171"/>
      <c r="T481" s="170"/>
      <c r="U481" s="53"/>
      <c r="V481" s="53"/>
      <c r="W481" s="53"/>
      <c r="X481" s="171"/>
      <c r="Y481" s="170"/>
      <c r="Z481" s="170"/>
      <c r="AA481" s="170"/>
      <c r="AB481" s="170"/>
      <c r="AC481" s="170"/>
      <c r="AD481" s="53"/>
      <c r="AE481" s="53"/>
    </row>
    <row r="482">
      <c r="A482" s="53"/>
      <c r="B482" s="53"/>
      <c r="C482" s="168"/>
      <c r="D482" s="169"/>
      <c r="E482" s="170"/>
      <c r="F482" s="53"/>
      <c r="G482" s="53"/>
      <c r="H482" s="53"/>
      <c r="I482" s="171"/>
      <c r="J482" s="170"/>
      <c r="K482" s="53"/>
      <c r="L482" s="53"/>
      <c r="M482" s="53"/>
      <c r="N482" s="171"/>
      <c r="O482" s="170"/>
      <c r="P482" s="53"/>
      <c r="Q482" s="53"/>
      <c r="R482" s="53"/>
      <c r="S482" s="171"/>
      <c r="T482" s="170"/>
      <c r="U482" s="53"/>
      <c r="V482" s="53"/>
      <c r="W482" s="53"/>
      <c r="X482" s="171"/>
      <c r="Y482" s="170"/>
      <c r="Z482" s="170"/>
      <c r="AA482" s="170"/>
      <c r="AB482" s="170"/>
      <c r="AC482" s="170"/>
      <c r="AD482" s="53"/>
      <c r="AE482" s="53"/>
    </row>
    <row r="483">
      <c r="A483" s="53"/>
      <c r="B483" s="53"/>
      <c r="C483" s="168"/>
      <c r="D483" s="169"/>
      <c r="E483" s="170"/>
      <c r="F483" s="53"/>
      <c r="G483" s="53"/>
      <c r="H483" s="53"/>
      <c r="I483" s="171"/>
      <c r="J483" s="170"/>
      <c r="K483" s="53"/>
      <c r="L483" s="53"/>
      <c r="M483" s="53"/>
      <c r="N483" s="171"/>
      <c r="O483" s="170"/>
      <c r="P483" s="53"/>
      <c r="Q483" s="53"/>
      <c r="R483" s="53"/>
      <c r="S483" s="171"/>
      <c r="T483" s="170"/>
      <c r="U483" s="53"/>
      <c r="V483" s="53"/>
      <c r="W483" s="53"/>
      <c r="X483" s="171"/>
      <c r="Y483" s="170"/>
      <c r="Z483" s="170"/>
      <c r="AA483" s="170"/>
      <c r="AB483" s="170"/>
      <c r="AC483" s="170"/>
      <c r="AD483" s="53"/>
      <c r="AE483" s="53"/>
    </row>
    <row r="484">
      <c r="A484" s="53"/>
      <c r="B484" s="53"/>
      <c r="C484" s="168"/>
      <c r="D484" s="169"/>
      <c r="E484" s="170"/>
      <c r="F484" s="53"/>
      <c r="G484" s="53"/>
      <c r="H484" s="53"/>
      <c r="I484" s="171"/>
      <c r="J484" s="170"/>
      <c r="K484" s="53"/>
      <c r="L484" s="53"/>
      <c r="M484" s="53"/>
      <c r="N484" s="171"/>
      <c r="O484" s="170"/>
      <c r="P484" s="53"/>
      <c r="Q484" s="53"/>
      <c r="R484" s="53"/>
      <c r="S484" s="171"/>
      <c r="T484" s="170"/>
      <c r="U484" s="53"/>
      <c r="V484" s="53"/>
      <c r="W484" s="53"/>
      <c r="X484" s="171"/>
      <c r="Y484" s="170"/>
      <c r="Z484" s="170"/>
      <c r="AA484" s="170"/>
      <c r="AB484" s="170"/>
      <c r="AC484" s="170"/>
      <c r="AD484" s="53"/>
      <c r="AE484" s="53"/>
    </row>
    <row r="485">
      <c r="A485" s="53"/>
      <c r="B485" s="53"/>
      <c r="C485" s="168"/>
      <c r="D485" s="169"/>
      <c r="E485" s="170"/>
      <c r="F485" s="53"/>
      <c r="G485" s="53"/>
      <c r="H485" s="53"/>
      <c r="I485" s="171"/>
      <c r="J485" s="170"/>
      <c r="K485" s="53"/>
      <c r="L485" s="53"/>
      <c r="M485" s="53"/>
      <c r="N485" s="171"/>
      <c r="O485" s="170"/>
      <c r="P485" s="53"/>
      <c r="Q485" s="53"/>
      <c r="R485" s="53"/>
      <c r="S485" s="171"/>
      <c r="T485" s="170"/>
      <c r="U485" s="53"/>
      <c r="V485" s="53"/>
      <c r="W485" s="53"/>
      <c r="X485" s="171"/>
      <c r="Y485" s="170"/>
      <c r="Z485" s="170"/>
      <c r="AA485" s="170"/>
      <c r="AB485" s="170"/>
      <c r="AC485" s="170"/>
      <c r="AD485" s="53"/>
      <c r="AE485" s="53"/>
    </row>
    <row r="486">
      <c r="A486" s="53"/>
      <c r="B486" s="53"/>
      <c r="C486" s="168"/>
      <c r="D486" s="169"/>
      <c r="E486" s="170"/>
      <c r="F486" s="53"/>
      <c r="G486" s="53"/>
      <c r="H486" s="53"/>
      <c r="I486" s="171"/>
      <c r="J486" s="170"/>
      <c r="K486" s="53"/>
      <c r="L486" s="53"/>
      <c r="M486" s="53"/>
      <c r="N486" s="171"/>
      <c r="O486" s="170"/>
      <c r="P486" s="53"/>
      <c r="Q486" s="53"/>
      <c r="R486" s="53"/>
      <c r="S486" s="171"/>
      <c r="T486" s="170"/>
      <c r="U486" s="53"/>
      <c r="V486" s="53"/>
      <c r="W486" s="53"/>
      <c r="X486" s="171"/>
      <c r="Y486" s="170"/>
      <c r="Z486" s="170"/>
      <c r="AA486" s="170"/>
      <c r="AB486" s="170"/>
      <c r="AC486" s="170"/>
      <c r="AD486" s="53"/>
      <c r="AE486" s="53"/>
    </row>
    <row r="487">
      <c r="A487" s="53"/>
      <c r="B487" s="53"/>
      <c r="C487" s="168"/>
      <c r="D487" s="169"/>
      <c r="E487" s="170"/>
      <c r="F487" s="53"/>
      <c r="G487" s="53"/>
      <c r="H487" s="53"/>
      <c r="I487" s="171"/>
      <c r="J487" s="170"/>
      <c r="K487" s="53"/>
      <c r="L487" s="53"/>
      <c r="M487" s="53"/>
      <c r="N487" s="171"/>
      <c r="O487" s="170"/>
      <c r="P487" s="53"/>
      <c r="Q487" s="53"/>
      <c r="R487" s="53"/>
      <c r="S487" s="171"/>
      <c r="T487" s="170"/>
      <c r="U487" s="53"/>
      <c r="V487" s="53"/>
      <c r="W487" s="53"/>
      <c r="X487" s="171"/>
      <c r="Y487" s="170"/>
      <c r="Z487" s="170"/>
      <c r="AA487" s="170"/>
      <c r="AB487" s="170"/>
      <c r="AC487" s="170"/>
      <c r="AD487" s="53"/>
      <c r="AE487" s="53"/>
    </row>
    <row r="488">
      <c r="A488" s="53"/>
      <c r="B488" s="53"/>
      <c r="C488" s="168"/>
      <c r="D488" s="169"/>
      <c r="E488" s="170"/>
      <c r="F488" s="53"/>
      <c r="G488" s="53"/>
      <c r="H488" s="53"/>
      <c r="I488" s="171"/>
      <c r="J488" s="170"/>
      <c r="K488" s="53"/>
      <c r="L488" s="53"/>
      <c r="M488" s="53"/>
      <c r="N488" s="171"/>
      <c r="O488" s="170"/>
      <c r="P488" s="53"/>
      <c r="Q488" s="53"/>
      <c r="R488" s="53"/>
      <c r="S488" s="171"/>
      <c r="T488" s="170"/>
      <c r="U488" s="53"/>
      <c r="V488" s="53"/>
      <c r="W488" s="53"/>
      <c r="X488" s="171"/>
      <c r="Y488" s="170"/>
      <c r="Z488" s="170"/>
      <c r="AA488" s="170"/>
      <c r="AB488" s="170"/>
      <c r="AC488" s="170"/>
      <c r="AD488" s="53"/>
      <c r="AE488" s="53"/>
    </row>
    <row r="489">
      <c r="A489" s="53"/>
      <c r="B489" s="53"/>
      <c r="C489" s="168"/>
      <c r="D489" s="169"/>
      <c r="E489" s="170"/>
      <c r="F489" s="53"/>
      <c r="G489" s="53"/>
      <c r="H489" s="53"/>
      <c r="I489" s="171"/>
      <c r="J489" s="170"/>
      <c r="K489" s="53"/>
      <c r="L489" s="53"/>
      <c r="M489" s="53"/>
      <c r="N489" s="171"/>
      <c r="O489" s="170"/>
      <c r="P489" s="53"/>
      <c r="Q489" s="53"/>
      <c r="R489" s="53"/>
      <c r="S489" s="171"/>
      <c r="T489" s="170"/>
      <c r="U489" s="53"/>
      <c r="V489" s="53"/>
      <c r="W489" s="53"/>
      <c r="X489" s="171"/>
      <c r="Y489" s="170"/>
      <c r="Z489" s="170"/>
      <c r="AA489" s="170"/>
      <c r="AB489" s="170"/>
      <c r="AC489" s="170"/>
      <c r="AD489" s="53"/>
      <c r="AE489" s="53"/>
    </row>
    <row r="490">
      <c r="A490" s="53"/>
      <c r="B490" s="53"/>
      <c r="C490" s="168"/>
      <c r="D490" s="169"/>
      <c r="E490" s="170"/>
      <c r="F490" s="53"/>
      <c r="G490" s="53"/>
      <c r="H490" s="53"/>
      <c r="I490" s="171"/>
      <c r="J490" s="170"/>
      <c r="K490" s="53"/>
      <c r="L490" s="53"/>
      <c r="M490" s="53"/>
      <c r="N490" s="171"/>
      <c r="O490" s="170"/>
      <c r="P490" s="53"/>
      <c r="Q490" s="53"/>
      <c r="R490" s="53"/>
      <c r="S490" s="171"/>
      <c r="T490" s="170"/>
      <c r="U490" s="53"/>
      <c r="V490" s="53"/>
      <c r="W490" s="53"/>
      <c r="X490" s="171"/>
      <c r="Y490" s="170"/>
      <c r="Z490" s="170"/>
      <c r="AA490" s="170"/>
      <c r="AB490" s="170"/>
      <c r="AC490" s="170"/>
      <c r="AD490" s="53"/>
      <c r="AE490" s="53"/>
    </row>
    <row r="491">
      <c r="A491" s="53"/>
      <c r="B491" s="53"/>
      <c r="C491" s="168"/>
      <c r="D491" s="169"/>
      <c r="E491" s="170"/>
      <c r="F491" s="53"/>
      <c r="G491" s="53"/>
      <c r="H491" s="53"/>
      <c r="I491" s="171"/>
      <c r="J491" s="170"/>
      <c r="K491" s="53"/>
      <c r="L491" s="53"/>
      <c r="M491" s="53"/>
      <c r="N491" s="171"/>
      <c r="O491" s="170"/>
      <c r="P491" s="53"/>
      <c r="Q491" s="53"/>
      <c r="R491" s="53"/>
      <c r="S491" s="171"/>
      <c r="T491" s="170"/>
      <c r="U491" s="53"/>
      <c r="V491" s="53"/>
      <c r="W491" s="53"/>
      <c r="X491" s="171"/>
      <c r="Y491" s="170"/>
      <c r="Z491" s="170"/>
      <c r="AA491" s="170"/>
      <c r="AB491" s="170"/>
      <c r="AC491" s="170"/>
      <c r="AD491" s="53"/>
      <c r="AE491" s="53"/>
    </row>
    <row r="492">
      <c r="A492" s="53"/>
      <c r="B492" s="53"/>
      <c r="C492" s="168"/>
      <c r="D492" s="169"/>
      <c r="E492" s="170"/>
      <c r="F492" s="53"/>
      <c r="G492" s="53"/>
      <c r="H492" s="53"/>
      <c r="I492" s="171"/>
      <c r="J492" s="170"/>
      <c r="K492" s="53"/>
      <c r="L492" s="53"/>
      <c r="M492" s="53"/>
      <c r="N492" s="171"/>
      <c r="O492" s="170"/>
      <c r="P492" s="53"/>
      <c r="Q492" s="53"/>
      <c r="R492" s="53"/>
      <c r="S492" s="171"/>
      <c r="T492" s="170"/>
      <c r="U492" s="53"/>
      <c r="V492" s="53"/>
      <c r="W492" s="53"/>
      <c r="X492" s="171"/>
      <c r="Y492" s="170"/>
      <c r="Z492" s="170"/>
      <c r="AA492" s="170"/>
      <c r="AB492" s="170"/>
      <c r="AC492" s="170"/>
      <c r="AD492" s="53"/>
      <c r="AE492" s="53"/>
    </row>
    <row r="493">
      <c r="A493" s="53"/>
      <c r="B493" s="53"/>
      <c r="C493" s="168"/>
      <c r="D493" s="169"/>
      <c r="E493" s="170"/>
      <c r="F493" s="53"/>
      <c r="G493" s="53"/>
      <c r="H493" s="53"/>
      <c r="I493" s="171"/>
      <c r="J493" s="170"/>
      <c r="K493" s="53"/>
      <c r="L493" s="53"/>
      <c r="M493" s="53"/>
      <c r="N493" s="171"/>
      <c r="O493" s="170"/>
      <c r="P493" s="53"/>
      <c r="Q493" s="53"/>
      <c r="R493" s="53"/>
      <c r="S493" s="171"/>
      <c r="T493" s="170"/>
      <c r="U493" s="53"/>
      <c r="V493" s="53"/>
      <c r="W493" s="53"/>
      <c r="X493" s="171"/>
      <c r="Y493" s="170"/>
      <c r="Z493" s="170"/>
      <c r="AA493" s="170"/>
      <c r="AB493" s="170"/>
      <c r="AC493" s="170"/>
      <c r="AD493" s="53"/>
      <c r="AE493" s="53"/>
    </row>
    <row r="494">
      <c r="A494" s="53"/>
      <c r="B494" s="53"/>
      <c r="C494" s="168"/>
      <c r="D494" s="169"/>
      <c r="E494" s="170"/>
      <c r="F494" s="53"/>
      <c r="G494" s="53"/>
      <c r="H494" s="53"/>
      <c r="I494" s="171"/>
      <c r="J494" s="170"/>
      <c r="K494" s="53"/>
      <c r="L494" s="53"/>
      <c r="M494" s="53"/>
      <c r="N494" s="171"/>
      <c r="O494" s="170"/>
      <c r="P494" s="53"/>
      <c r="Q494" s="53"/>
      <c r="R494" s="53"/>
      <c r="S494" s="171"/>
      <c r="T494" s="170"/>
      <c r="U494" s="53"/>
      <c r="V494" s="53"/>
      <c r="W494" s="53"/>
      <c r="X494" s="171"/>
      <c r="Y494" s="170"/>
      <c r="Z494" s="170"/>
      <c r="AA494" s="170"/>
      <c r="AB494" s="170"/>
      <c r="AC494" s="170"/>
      <c r="AD494" s="53"/>
      <c r="AE494" s="53"/>
    </row>
    <row r="495">
      <c r="A495" s="53"/>
      <c r="B495" s="53"/>
      <c r="C495" s="168"/>
      <c r="D495" s="169"/>
      <c r="E495" s="170"/>
      <c r="F495" s="53"/>
      <c r="G495" s="53"/>
      <c r="H495" s="53"/>
      <c r="I495" s="171"/>
      <c r="J495" s="170"/>
      <c r="K495" s="53"/>
      <c r="L495" s="53"/>
      <c r="M495" s="53"/>
      <c r="N495" s="171"/>
      <c r="O495" s="170"/>
      <c r="P495" s="53"/>
      <c r="Q495" s="53"/>
      <c r="R495" s="53"/>
      <c r="S495" s="171"/>
      <c r="T495" s="170"/>
      <c r="U495" s="53"/>
      <c r="V495" s="53"/>
      <c r="W495" s="53"/>
      <c r="X495" s="171"/>
      <c r="Y495" s="170"/>
      <c r="Z495" s="170"/>
      <c r="AA495" s="170"/>
      <c r="AB495" s="170"/>
      <c r="AC495" s="170"/>
      <c r="AD495" s="53"/>
      <c r="AE495" s="53"/>
    </row>
    <row r="496">
      <c r="A496" s="53"/>
      <c r="B496" s="53"/>
      <c r="C496" s="168"/>
      <c r="D496" s="169"/>
      <c r="E496" s="170"/>
      <c r="F496" s="53"/>
      <c r="G496" s="53"/>
      <c r="H496" s="53"/>
      <c r="I496" s="171"/>
      <c r="J496" s="170"/>
      <c r="K496" s="53"/>
      <c r="L496" s="53"/>
      <c r="M496" s="53"/>
      <c r="N496" s="171"/>
      <c r="O496" s="170"/>
      <c r="P496" s="53"/>
      <c r="Q496" s="53"/>
      <c r="R496" s="53"/>
      <c r="S496" s="171"/>
      <c r="T496" s="170"/>
      <c r="U496" s="53"/>
      <c r="V496" s="53"/>
      <c r="W496" s="53"/>
      <c r="X496" s="171"/>
      <c r="Y496" s="170"/>
      <c r="Z496" s="170"/>
      <c r="AA496" s="170"/>
      <c r="AB496" s="170"/>
      <c r="AC496" s="170"/>
      <c r="AD496" s="53"/>
      <c r="AE496" s="53"/>
    </row>
    <row r="497">
      <c r="A497" s="53"/>
      <c r="B497" s="53"/>
      <c r="C497" s="168"/>
      <c r="D497" s="169"/>
      <c r="E497" s="170"/>
      <c r="F497" s="53"/>
      <c r="G497" s="53"/>
      <c r="H497" s="53"/>
      <c r="I497" s="171"/>
      <c r="J497" s="170"/>
      <c r="K497" s="53"/>
      <c r="L497" s="53"/>
      <c r="M497" s="53"/>
      <c r="N497" s="171"/>
      <c r="O497" s="170"/>
      <c r="P497" s="53"/>
      <c r="Q497" s="53"/>
      <c r="R497" s="53"/>
      <c r="S497" s="171"/>
      <c r="T497" s="170"/>
      <c r="U497" s="53"/>
      <c r="V497" s="53"/>
      <c r="W497" s="53"/>
      <c r="X497" s="171"/>
      <c r="Y497" s="170"/>
      <c r="Z497" s="170"/>
      <c r="AA497" s="170"/>
      <c r="AB497" s="170"/>
      <c r="AC497" s="170"/>
      <c r="AD497" s="53"/>
      <c r="AE497" s="53"/>
    </row>
    <row r="498">
      <c r="A498" s="53"/>
      <c r="B498" s="53"/>
      <c r="C498" s="168"/>
      <c r="D498" s="169"/>
      <c r="E498" s="170"/>
      <c r="F498" s="53"/>
      <c r="G498" s="53"/>
      <c r="H498" s="53"/>
      <c r="I498" s="171"/>
      <c r="J498" s="170"/>
      <c r="K498" s="53"/>
      <c r="L498" s="53"/>
      <c r="M498" s="53"/>
      <c r="N498" s="171"/>
      <c r="O498" s="170"/>
      <c r="P498" s="53"/>
      <c r="Q498" s="53"/>
      <c r="R498" s="53"/>
      <c r="S498" s="171"/>
      <c r="T498" s="170"/>
      <c r="U498" s="53"/>
      <c r="V498" s="53"/>
      <c r="W498" s="53"/>
      <c r="X498" s="171"/>
      <c r="Y498" s="170"/>
      <c r="Z498" s="170"/>
      <c r="AA498" s="170"/>
      <c r="AB498" s="170"/>
      <c r="AC498" s="170"/>
      <c r="AD498" s="53"/>
      <c r="AE498" s="53"/>
    </row>
    <row r="499">
      <c r="A499" s="53"/>
      <c r="B499" s="53"/>
      <c r="C499" s="168"/>
      <c r="D499" s="169"/>
      <c r="E499" s="170"/>
      <c r="F499" s="53"/>
      <c r="G499" s="53"/>
      <c r="H499" s="53"/>
      <c r="I499" s="171"/>
      <c r="J499" s="170"/>
      <c r="K499" s="53"/>
      <c r="L499" s="53"/>
      <c r="M499" s="53"/>
      <c r="N499" s="171"/>
      <c r="O499" s="170"/>
      <c r="P499" s="53"/>
      <c r="Q499" s="53"/>
      <c r="R499" s="53"/>
      <c r="S499" s="171"/>
      <c r="T499" s="170"/>
      <c r="U499" s="53"/>
      <c r="V499" s="53"/>
      <c r="W499" s="53"/>
      <c r="X499" s="171"/>
      <c r="Y499" s="170"/>
      <c r="Z499" s="170"/>
      <c r="AA499" s="170"/>
      <c r="AB499" s="170"/>
      <c r="AC499" s="170"/>
      <c r="AD499" s="53"/>
      <c r="AE499" s="53"/>
    </row>
    <row r="500">
      <c r="A500" s="53"/>
      <c r="B500" s="53"/>
      <c r="C500" s="168"/>
      <c r="D500" s="169"/>
      <c r="E500" s="170"/>
      <c r="F500" s="53"/>
      <c r="G500" s="53"/>
      <c r="H500" s="53"/>
      <c r="I500" s="171"/>
      <c r="J500" s="170"/>
      <c r="K500" s="53"/>
      <c r="L500" s="53"/>
      <c r="M500" s="53"/>
      <c r="N500" s="171"/>
      <c r="O500" s="170"/>
      <c r="P500" s="53"/>
      <c r="Q500" s="53"/>
      <c r="R500" s="53"/>
      <c r="S500" s="171"/>
      <c r="T500" s="170"/>
      <c r="U500" s="53"/>
      <c r="V500" s="53"/>
      <c r="W500" s="53"/>
      <c r="X500" s="171"/>
      <c r="Y500" s="170"/>
      <c r="Z500" s="170"/>
      <c r="AA500" s="170"/>
      <c r="AB500" s="170"/>
      <c r="AC500" s="170"/>
      <c r="AD500" s="53"/>
      <c r="AE500" s="53"/>
    </row>
    <row r="501">
      <c r="A501" s="53"/>
      <c r="B501" s="53"/>
      <c r="C501" s="168"/>
      <c r="D501" s="169"/>
      <c r="E501" s="170"/>
      <c r="F501" s="53"/>
      <c r="G501" s="53"/>
      <c r="H501" s="53"/>
      <c r="I501" s="171"/>
      <c r="J501" s="170"/>
      <c r="K501" s="53"/>
      <c r="L501" s="53"/>
      <c r="M501" s="53"/>
      <c r="N501" s="171"/>
      <c r="O501" s="170"/>
      <c r="P501" s="53"/>
      <c r="Q501" s="53"/>
      <c r="R501" s="53"/>
      <c r="S501" s="171"/>
      <c r="T501" s="170"/>
      <c r="U501" s="53"/>
      <c r="V501" s="53"/>
      <c r="W501" s="53"/>
      <c r="X501" s="171"/>
      <c r="Y501" s="170"/>
      <c r="Z501" s="170"/>
      <c r="AA501" s="170"/>
      <c r="AB501" s="170"/>
      <c r="AC501" s="170"/>
      <c r="AD501" s="53"/>
      <c r="AE501" s="53"/>
    </row>
    <row r="502">
      <c r="A502" s="53"/>
      <c r="B502" s="53"/>
      <c r="C502" s="168"/>
      <c r="D502" s="169"/>
      <c r="E502" s="170"/>
      <c r="F502" s="53"/>
      <c r="G502" s="53"/>
      <c r="H502" s="53"/>
      <c r="I502" s="171"/>
      <c r="J502" s="170"/>
      <c r="K502" s="53"/>
      <c r="L502" s="53"/>
      <c r="M502" s="53"/>
      <c r="N502" s="171"/>
      <c r="O502" s="170"/>
      <c r="P502" s="53"/>
      <c r="Q502" s="53"/>
      <c r="R502" s="53"/>
      <c r="S502" s="171"/>
      <c r="T502" s="170"/>
      <c r="U502" s="53"/>
      <c r="V502" s="53"/>
      <c r="W502" s="53"/>
      <c r="X502" s="171"/>
      <c r="Y502" s="170"/>
      <c r="Z502" s="170"/>
      <c r="AA502" s="170"/>
      <c r="AB502" s="170"/>
      <c r="AC502" s="170"/>
      <c r="AD502" s="53"/>
      <c r="AE502" s="53"/>
    </row>
    <row r="503">
      <c r="A503" s="53"/>
      <c r="B503" s="53"/>
      <c r="C503" s="168"/>
      <c r="D503" s="169"/>
      <c r="E503" s="170"/>
      <c r="F503" s="53"/>
      <c r="G503" s="53"/>
      <c r="H503" s="53"/>
      <c r="I503" s="171"/>
      <c r="J503" s="170"/>
      <c r="K503" s="53"/>
      <c r="L503" s="53"/>
      <c r="M503" s="53"/>
      <c r="N503" s="171"/>
      <c r="O503" s="170"/>
      <c r="P503" s="53"/>
      <c r="Q503" s="53"/>
      <c r="R503" s="53"/>
      <c r="S503" s="171"/>
      <c r="T503" s="170"/>
      <c r="U503" s="53"/>
      <c r="V503" s="53"/>
      <c r="W503" s="53"/>
      <c r="X503" s="171"/>
      <c r="Y503" s="170"/>
      <c r="Z503" s="170"/>
      <c r="AA503" s="170"/>
      <c r="AB503" s="170"/>
      <c r="AC503" s="170"/>
      <c r="AD503" s="53"/>
      <c r="AE503" s="53"/>
    </row>
    <row r="504">
      <c r="A504" s="53"/>
      <c r="B504" s="53"/>
      <c r="C504" s="168"/>
      <c r="D504" s="169"/>
      <c r="E504" s="170"/>
      <c r="F504" s="53"/>
      <c r="G504" s="53"/>
      <c r="H504" s="53"/>
      <c r="I504" s="171"/>
      <c r="J504" s="170"/>
      <c r="K504" s="53"/>
      <c r="L504" s="53"/>
      <c r="M504" s="53"/>
      <c r="N504" s="171"/>
      <c r="O504" s="170"/>
      <c r="P504" s="53"/>
      <c r="Q504" s="53"/>
      <c r="R504" s="53"/>
      <c r="S504" s="171"/>
      <c r="T504" s="170"/>
      <c r="U504" s="53"/>
      <c r="V504" s="53"/>
      <c r="W504" s="53"/>
      <c r="X504" s="171"/>
      <c r="Y504" s="170"/>
      <c r="Z504" s="170"/>
      <c r="AA504" s="170"/>
      <c r="AB504" s="170"/>
      <c r="AC504" s="170"/>
      <c r="AD504" s="53"/>
      <c r="AE504" s="53"/>
    </row>
    <row r="505">
      <c r="A505" s="53"/>
      <c r="B505" s="53"/>
      <c r="C505" s="168"/>
      <c r="D505" s="169"/>
      <c r="E505" s="170"/>
      <c r="F505" s="53"/>
      <c r="G505" s="53"/>
      <c r="H505" s="53"/>
      <c r="I505" s="171"/>
      <c r="J505" s="170"/>
      <c r="K505" s="53"/>
      <c r="L505" s="53"/>
      <c r="M505" s="53"/>
      <c r="N505" s="171"/>
      <c r="O505" s="170"/>
      <c r="P505" s="53"/>
      <c r="Q505" s="53"/>
      <c r="R505" s="53"/>
      <c r="S505" s="171"/>
      <c r="T505" s="170"/>
      <c r="U505" s="53"/>
      <c r="V505" s="53"/>
      <c r="W505" s="53"/>
      <c r="X505" s="171"/>
      <c r="Y505" s="170"/>
      <c r="Z505" s="170"/>
      <c r="AA505" s="170"/>
      <c r="AB505" s="170"/>
      <c r="AC505" s="170"/>
      <c r="AD505" s="53"/>
      <c r="AE505" s="53"/>
    </row>
    <row r="506">
      <c r="A506" s="53"/>
      <c r="B506" s="53"/>
      <c r="C506" s="168"/>
      <c r="D506" s="169"/>
      <c r="E506" s="170"/>
      <c r="F506" s="53"/>
      <c r="G506" s="53"/>
      <c r="H506" s="53"/>
      <c r="I506" s="171"/>
      <c r="J506" s="170"/>
      <c r="K506" s="53"/>
      <c r="L506" s="53"/>
      <c r="M506" s="53"/>
      <c r="N506" s="171"/>
      <c r="O506" s="170"/>
      <c r="P506" s="53"/>
      <c r="Q506" s="53"/>
      <c r="R506" s="53"/>
      <c r="S506" s="171"/>
      <c r="T506" s="170"/>
      <c r="U506" s="53"/>
      <c r="V506" s="53"/>
      <c r="W506" s="53"/>
      <c r="X506" s="171"/>
      <c r="Y506" s="170"/>
      <c r="Z506" s="170"/>
      <c r="AA506" s="170"/>
      <c r="AB506" s="170"/>
      <c r="AC506" s="170"/>
      <c r="AD506" s="53"/>
      <c r="AE506" s="53"/>
    </row>
    <row r="507">
      <c r="A507" s="53"/>
      <c r="B507" s="53"/>
      <c r="C507" s="168"/>
      <c r="D507" s="169"/>
      <c r="E507" s="170"/>
      <c r="F507" s="53"/>
      <c r="G507" s="53"/>
      <c r="H507" s="53"/>
      <c r="I507" s="171"/>
      <c r="J507" s="170"/>
      <c r="K507" s="53"/>
      <c r="L507" s="53"/>
      <c r="M507" s="53"/>
      <c r="N507" s="171"/>
      <c r="O507" s="170"/>
      <c r="P507" s="53"/>
      <c r="Q507" s="53"/>
      <c r="R507" s="53"/>
      <c r="S507" s="171"/>
      <c r="T507" s="170"/>
      <c r="U507" s="53"/>
      <c r="V507" s="53"/>
      <c r="W507" s="53"/>
      <c r="X507" s="171"/>
      <c r="Y507" s="170"/>
      <c r="Z507" s="170"/>
      <c r="AA507" s="170"/>
      <c r="AB507" s="170"/>
      <c r="AC507" s="170"/>
      <c r="AD507" s="53"/>
      <c r="AE507" s="53"/>
    </row>
    <row r="508">
      <c r="A508" s="53"/>
      <c r="B508" s="53"/>
      <c r="C508" s="168"/>
      <c r="D508" s="169"/>
      <c r="E508" s="170"/>
      <c r="F508" s="53"/>
      <c r="G508" s="53"/>
      <c r="H508" s="53"/>
      <c r="I508" s="171"/>
      <c r="J508" s="170"/>
      <c r="K508" s="53"/>
      <c r="L508" s="53"/>
      <c r="M508" s="53"/>
      <c r="N508" s="171"/>
      <c r="O508" s="170"/>
      <c r="P508" s="53"/>
      <c r="Q508" s="53"/>
      <c r="R508" s="53"/>
      <c r="S508" s="171"/>
      <c r="T508" s="170"/>
      <c r="U508" s="53"/>
      <c r="V508" s="53"/>
      <c r="W508" s="53"/>
      <c r="X508" s="171"/>
      <c r="Y508" s="170"/>
      <c r="Z508" s="170"/>
      <c r="AA508" s="170"/>
      <c r="AB508" s="170"/>
      <c r="AC508" s="170"/>
      <c r="AD508" s="53"/>
      <c r="AE508" s="53"/>
    </row>
    <row r="509">
      <c r="A509" s="53"/>
      <c r="B509" s="53"/>
      <c r="C509" s="168"/>
      <c r="D509" s="169"/>
      <c r="E509" s="170"/>
      <c r="F509" s="53"/>
      <c r="G509" s="53"/>
      <c r="H509" s="53"/>
      <c r="I509" s="171"/>
      <c r="J509" s="170"/>
      <c r="K509" s="53"/>
      <c r="L509" s="53"/>
      <c r="M509" s="53"/>
      <c r="N509" s="171"/>
      <c r="O509" s="170"/>
      <c r="P509" s="53"/>
      <c r="Q509" s="53"/>
      <c r="R509" s="53"/>
      <c r="S509" s="171"/>
      <c r="T509" s="170"/>
      <c r="U509" s="53"/>
      <c r="V509" s="53"/>
      <c r="W509" s="53"/>
      <c r="X509" s="171"/>
      <c r="Y509" s="170"/>
      <c r="Z509" s="170"/>
      <c r="AA509" s="170"/>
      <c r="AB509" s="170"/>
      <c r="AC509" s="170"/>
      <c r="AD509" s="53"/>
      <c r="AE509" s="53"/>
    </row>
    <row r="510">
      <c r="A510" s="53"/>
      <c r="B510" s="53"/>
      <c r="C510" s="168"/>
      <c r="D510" s="169"/>
      <c r="E510" s="170"/>
      <c r="F510" s="53"/>
      <c r="G510" s="53"/>
      <c r="H510" s="53"/>
      <c r="I510" s="171"/>
      <c r="J510" s="170"/>
      <c r="K510" s="53"/>
      <c r="L510" s="53"/>
      <c r="M510" s="53"/>
      <c r="N510" s="171"/>
      <c r="O510" s="170"/>
      <c r="P510" s="53"/>
      <c r="Q510" s="53"/>
      <c r="R510" s="53"/>
      <c r="S510" s="171"/>
      <c r="T510" s="170"/>
      <c r="U510" s="53"/>
      <c r="V510" s="53"/>
      <c r="W510" s="53"/>
      <c r="X510" s="171"/>
      <c r="Y510" s="170"/>
      <c r="Z510" s="170"/>
      <c r="AA510" s="170"/>
      <c r="AB510" s="170"/>
      <c r="AC510" s="170"/>
      <c r="AD510" s="53"/>
      <c r="AE510" s="53"/>
    </row>
    <row r="511">
      <c r="A511" s="53"/>
      <c r="B511" s="53"/>
      <c r="C511" s="168"/>
      <c r="D511" s="169"/>
      <c r="E511" s="170"/>
      <c r="F511" s="53"/>
      <c r="G511" s="53"/>
      <c r="H511" s="53"/>
      <c r="I511" s="171"/>
      <c r="J511" s="170"/>
      <c r="K511" s="53"/>
      <c r="L511" s="53"/>
      <c r="M511" s="53"/>
      <c r="N511" s="171"/>
      <c r="O511" s="170"/>
      <c r="P511" s="53"/>
      <c r="Q511" s="53"/>
      <c r="R511" s="53"/>
      <c r="S511" s="171"/>
      <c r="T511" s="170"/>
      <c r="U511" s="53"/>
      <c r="V511" s="53"/>
      <c r="W511" s="53"/>
      <c r="X511" s="171"/>
      <c r="Y511" s="170"/>
      <c r="Z511" s="170"/>
      <c r="AA511" s="170"/>
      <c r="AB511" s="170"/>
      <c r="AC511" s="170"/>
      <c r="AD511" s="53"/>
      <c r="AE511" s="53"/>
    </row>
    <row r="512">
      <c r="A512" s="53"/>
      <c r="B512" s="53"/>
      <c r="C512" s="168"/>
      <c r="D512" s="169"/>
      <c r="E512" s="170"/>
      <c r="F512" s="53"/>
      <c r="G512" s="53"/>
      <c r="H512" s="53"/>
      <c r="I512" s="171"/>
      <c r="J512" s="170"/>
      <c r="K512" s="53"/>
      <c r="L512" s="53"/>
      <c r="M512" s="53"/>
      <c r="N512" s="171"/>
      <c r="O512" s="170"/>
      <c r="P512" s="53"/>
      <c r="Q512" s="53"/>
      <c r="R512" s="53"/>
      <c r="S512" s="171"/>
      <c r="T512" s="170"/>
      <c r="U512" s="53"/>
      <c r="V512" s="53"/>
      <c r="W512" s="53"/>
      <c r="X512" s="171"/>
      <c r="Y512" s="170"/>
      <c r="Z512" s="170"/>
      <c r="AA512" s="170"/>
      <c r="AB512" s="170"/>
      <c r="AC512" s="170"/>
      <c r="AD512" s="53"/>
      <c r="AE512" s="53"/>
    </row>
    <row r="513">
      <c r="A513" s="53"/>
      <c r="B513" s="53"/>
      <c r="C513" s="168"/>
      <c r="D513" s="169"/>
      <c r="E513" s="170"/>
      <c r="F513" s="53"/>
      <c r="G513" s="53"/>
      <c r="H513" s="53"/>
      <c r="I513" s="171"/>
      <c r="J513" s="170"/>
      <c r="K513" s="53"/>
      <c r="L513" s="53"/>
      <c r="M513" s="53"/>
      <c r="N513" s="171"/>
      <c r="O513" s="170"/>
      <c r="P513" s="53"/>
      <c r="Q513" s="53"/>
      <c r="R513" s="53"/>
      <c r="S513" s="171"/>
      <c r="T513" s="170"/>
      <c r="U513" s="53"/>
      <c r="V513" s="53"/>
      <c r="W513" s="53"/>
      <c r="X513" s="171"/>
      <c r="Y513" s="170"/>
      <c r="Z513" s="170"/>
      <c r="AA513" s="170"/>
      <c r="AB513" s="170"/>
      <c r="AC513" s="170"/>
      <c r="AD513" s="53"/>
      <c r="AE513" s="53"/>
    </row>
    <row r="514">
      <c r="A514" s="53"/>
      <c r="B514" s="53"/>
      <c r="C514" s="168"/>
      <c r="D514" s="169"/>
      <c r="E514" s="170"/>
      <c r="F514" s="53"/>
      <c r="G514" s="53"/>
      <c r="H514" s="53"/>
      <c r="I514" s="171"/>
      <c r="J514" s="170"/>
      <c r="K514" s="53"/>
      <c r="L514" s="53"/>
      <c r="M514" s="53"/>
      <c r="N514" s="171"/>
      <c r="O514" s="170"/>
      <c r="P514" s="53"/>
      <c r="Q514" s="53"/>
      <c r="R514" s="53"/>
      <c r="S514" s="171"/>
      <c r="T514" s="170"/>
      <c r="U514" s="53"/>
      <c r="V514" s="53"/>
      <c r="W514" s="53"/>
      <c r="X514" s="171"/>
      <c r="Y514" s="170"/>
      <c r="Z514" s="170"/>
      <c r="AA514" s="170"/>
      <c r="AB514" s="170"/>
      <c r="AC514" s="170"/>
      <c r="AD514" s="53"/>
      <c r="AE514" s="53"/>
    </row>
    <row r="515">
      <c r="A515" s="53"/>
      <c r="B515" s="53"/>
      <c r="C515" s="168"/>
      <c r="D515" s="169"/>
      <c r="E515" s="170"/>
      <c r="F515" s="53"/>
      <c r="G515" s="53"/>
      <c r="H515" s="53"/>
      <c r="I515" s="171"/>
      <c r="J515" s="170"/>
      <c r="K515" s="53"/>
      <c r="L515" s="53"/>
      <c r="M515" s="53"/>
      <c r="N515" s="171"/>
      <c r="O515" s="170"/>
      <c r="P515" s="53"/>
      <c r="Q515" s="53"/>
      <c r="R515" s="53"/>
      <c r="S515" s="171"/>
      <c r="T515" s="170"/>
      <c r="U515" s="53"/>
      <c r="V515" s="53"/>
      <c r="W515" s="53"/>
      <c r="X515" s="171"/>
      <c r="Y515" s="170"/>
      <c r="Z515" s="170"/>
      <c r="AA515" s="170"/>
      <c r="AB515" s="170"/>
      <c r="AC515" s="170"/>
      <c r="AD515" s="53"/>
      <c r="AE515" s="53"/>
    </row>
    <row r="516">
      <c r="A516" s="53"/>
      <c r="B516" s="53"/>
      <c r="C516" s="168"/>
      <c r="D516" s="169"/>
      <c r="E516" s="170"/>
      <c r="F516" s="53"/>
      <c r="G516" s="53"/>
      <c r="H516" s="53"/>
      <c r="I516" s="171"/>
      <c r="J516" s="170"/>
      <c r="K516" s="53"/>
      <c r="L516" s="53"/>
      <c r="M516" s="53"/>
      <c r="N516" s="171"/>
      <c r="O516" s="170"/>
      <c r="P516" s="53"/>
      <c r="Q516" s="53"/>
      <c r="R516" s="53"/>
      <c r="S516" s="171"/>
      <c r="T516" s="170"/>
      <c r="U516" s="53"/>
      <c r="V516" s="53"/>
      <c r="W516" s="53"/>
      <c r="X516" s="171"/>
      <c r="Y516" s="170"/>
      <c r="Z516" s="170"/>
      <c r="AA516" s="170"/>
      <c r="AB516" s="170"/>
      <c r="AC516" s="170"/>
      <c r="AD516" s="53"/>
      <c r="AE516" s="53"/>
    </row>
    <row r="517">
      <c r="A517" s="53"/>
      <c r="B517" s="53"/>
      <c r="C517" s="168"/>
      <c r="D517" s="169"/>
      <c r="E517" s="170"/>
      <c r="F517" s="53"/>
      <c r="G517" s="53"/>
      <c r="H517" s="53"/>
      <c r="I517" s="171"/>
      <c r="J517" s="170"/>
      <c r="K517" s="53"/>
      <c r="L517" s="53"/>
      <c r="M517" s="53"/>
      <c r="N517" s="171"/>
      <c r="O517" s="170"/>
      <c r="P517" s="53"/>
      <c r="Q517" s="53"/>
      <c r="R517" s="53"/>
      <c r="S517" s="171"/>
      <c r="T517" s="170"/>
      <c r="U517" s="53"/>
      <c r="V517" s="53"/>
      <c r="W517" s="53"/>
      <c r="X517" s="171"/>
      <c r="Y517" s="170"/>
      <c r="Z517" s="170"/>
      <c r="AA517" s="170"/>
      <c r="AB517" s="170"/>
      <c r="AC517" s="170"/>
      <c r="AD517" s="53"/>
      <c r="AE517" s="53"/>
    </row>
    <row r="518">
      <c r="A518" s="53"/>
      <c r="B518" s="53"/>
      <c r="C518" s="168"/>
      <c r="D518" s="169"/>
      <c r="E518" s="170"/>
      <c r="F518" s="53"/>
      <c r="G518" s="53"/>
      <c r="H518" s="53"/>
      <c r="I518" s="171"/>
      <c r="J518" s="170"/>
      <c r="K518" s="53"/>
      <c r="L518" s="53"/>
      <c r="M518" s="53"/>
      <c r="N518" s="171"/>
      <c r="O518" s="170"/>
      <c r="P518" s="53"/>
      <c r="Q518" s="53"/>
      <c r="R518" s="53"/>
      <c r="S518" s="171"/>
      <c r="T518" s="170"/>
      <c r="U518" s="53"/>
      <c r="V518" s="53"/>
      <c r="W518" s="53"/>
      <c r="X518" s="171"/>
      <c r="Y518" s="170"/>
      <c r="Z518" s="170"/>
      <c r="AA518" s="170"/>
      <c r="AB518" s="170"/>
      <c r="AC518" s="170"/>
      <c r="AD518" s="53"/>
      <c r="AE518" s="53"/>
    </row>
    <row r="519">
      <c r="A519" s="53"/>
      <c r="B519" s="53"/>
      <c r="C519" s="168"/>
      <c r="D519" s="169"/>
      <c r="E519" s="170"/>
      <c r="F519" s="53"/>
      <c r="G519" s="53"/>
      <c r="H519" s="53"/>
      <c r="I519" s="171"/>
      <c r="J519" s="170"/>
      <c r="K519" s="53"/>
      <c r="L519" s="53"/>
      <c r="M519" s="53"/>
      <c r="N519" s="171"/>
      <c r="O519" s="170"/>
      <c r="P519" s="53"/>
      <c r="Q519" s="53"/>
      <c r="R519" s="53"/>
      <c r="S519" s="171"/>
      <c r="T519" s="170"/>
      <c r="U519" s="53"/>
      <c r="V519" s="53"/>
      <c r="W519" s="53"/>
      <c r="X519" s="171"/>
      <c r="Y519" s="170"/>
      <c r="Z519" s="170"/>
      <c r="AA519" s="170"/>
      <c r="AB519" s="170"/>
      <c r="AC519" s="170"/>
      <c r="AD519" s="53"/>
      <c r="AE519" s="53"/>
    </row>
    <row r="520">
      <c r="A520" s="53"/>
      <c r="B520" s="53"/>
      <c r="C520" s="168"/>
      <c r="D520" s="169"/>
      <c r="E520" s="170"/>
      <c r="F520" s="53"/>
      <c r="G520" s="53"/>
      <c r="H520" s="53"/>
      <c r="I520" s="171"/>
      <c r="J520" s="170"/>
      <c r="K520" s="53"/>
      <c r="L520" s="53"/>
      <c r="M520" s="53"/>
      <c r="N520" s="171"/>
      <c r="O520" s="170"/>
      <c r="P520" s="53"/>
      <c r="Q520" s="53"/>
      <c r="R520" s="53"/>
      <c r="S520" s="171"/>
      <c r="T520" s="170"/>
      <c r="U520" s="53"/>
      <c r="V520" s="53"/>
      <c r="W520" s="53"/>
      <c r="X520" s="171"/>
      <c r="Y520" s="170"/>
      <c r="Z520" s="170"/>
      <c r="AA520" s="170"/>
      <c r="AB520" s="170"/>
      <c r="AC520" s="170"/>
      <c r="AD520" s="53"/>
      <c r="AE520" s="53"/>
    </row>
    <row r="521">
      <c r="A521" s="53"/>
      <c r="B521" s="53"/>
      <c r="C521" s="168"/>
      <c r="D521" s="169"/>
      <c r="E521" s="170"/>
      <c r="F521" s="53"/>
      <c r="G521" s="53"/>
      <c r="H521" s="53"/>
      <c r="I521" s="171"/>
      <c r="J521" s="170"/>
      <c r="K521" s="53"/>
      <c r="L521" s="53"/>
      <c r="M521" s="53"/>
      <c r="N521" s="171"/>
      <c r="O521" s="170"/>
      <c r="P521" s="53"/>
      <c r="Q521" s="53"/>
      <c r="R521" s="53"/>
      <c r="S521" s="171"/>
      <c r="T521" s="170"/>
      <c r="U521" s="53"/>
      <c r="V521" s="53"/>
      <c r="W521" s="53"/>
      <c r="X521" s="171"/>
      <c r="Y521" s="170"/>
      <c r="Z521" s="170"/>
      <c r="AA521" s="170"/>
      <c r="AB521" s="170"/>
      <c r="AC521" s="170"/>
      <c r="AD521" s="53"/>
      <c r="AE521" s="53"/>
    </row>
    <row r="522">
      <c r="A522" s="53"/>
      <c r="B522" s="53"/>
      <c r="C522" s="168"/>
      <c r="D522" s="169"/>
      <c r="E522" s="170"/>
      <c r="F522" s="53"/>
      <c r="G522" s="53"/>
      <c r="H522" s="53"/>
      <c r="I522" s="171"/>
      <c r="J522" s="170"/>
      <c r="K522" s="53"/>
      <c r="L522" s="53"/>
      <c r="M522" s="53"/>
      <c r="N522" s="171"/>
      <c r="O522" s="170"/>
      <c r="P522" s="53"/>
      <c r="Q522" s="53"/>
      <c r="R522" s="53"/>
      <c r="S522" s="171"/>
      <c r="T522" s="170"/>
      <c r="U522" s="53"/>
      <c r="V522" s="53"/>
      <c r="W522" s="53"/>
      <c r="X522" s="171"/>
      <c r="Y522" s="170"/>
      <c r="Z522" s="170"/>
      <c r="AA522" s="170"/>
      <c r="AB522" s="170"/>
      <c r="AC522" s="170"/>
      <c r="AD522" s="53"/>
      <c r="AE522" s="53"/>
    </row>
    <row r="523">
      <c r="A523" s="53"/>
      <c r="B523" s="53"/>
      <c r="C523" s="168"/>
      <c r="D523" s="169"/>
      <c r="E523" s="170"/>
      <c r="F523" s="53"/>
      <c r="G523" s="53"/>
      <c r="H523" s="53"/>
      <c r="I523" s="171"/>
      <c r="J523" s="170"/>
      <c r="K523" s="53"/>
      <c r="L523" s="53"/>
      <c r="M523" s="53"/>
      <c r="N523" s="171"/>
      <c r="O523" s="170"/>
      <c r="P523" s="53"/>
      <c r="Q523" s="53"/>
      <c r="R523" s="53"/>
      <c r="S523" s="171"/>
      <c r="T523" s="170"/>
      <c r="U523" s="53"/>
      <c r="V523" s="53"/>
      <c r="W523" s="53"/>
      <c r="X523" s="171"/>
      <c r="Y523" s="170"/>
      <c r="Z523" s="170"/>
      <c r="AA523" s="170"/>
      <c r="AB523" s="170"/>
      <c r="AC523" s="170"/>
      <c r="AD523" s="53"/>
      <c r="AE523" s="53"/>
    </row>
    <row r="524">
      <c r="A524" s="53"/>
      <c r="B524" s="53"/>
      <c r="C524" s="168"/>
      <c r="D524" s="169"/>
      <c r="E524" s="170"/>
      <c r="F524" s="53"/>
      <c r="G524" s="53"/>
      <c r="H524" s="53"/>
      <c r="I524" s="171"/>
      <c r="J524" s="170"/>
      <c r="K524" s="53"/>
      <c r="L524" s="53"/>
      <c r="M524" s="53"/>
      <c r="N524" s="171"/>
      <c r="O524" s="170"/>
      <c r="P524" s="53"/>
      <c r="Q524" s="53"/>
      <c r="R524" s="53"/>
      <c r="S524" s="171"/>
      <c r="T524" s="170"/>
      <c r="U524" s="53"/>
      <c r="V524" s="53"/>
      <c r="W524" s="53"/>
      <c r="X524" s="171"/>
      <c r="Y524" s="170"/>
      <c r="Z524" s="170"/>
      <c r="AA524" s="170"/>
      <c r="AB524" s="170"/>
      <c r="AC524" s="170"/>
      <c r="AD524" s="53"/>
      <c r="AE524" s="53"/>
    </row>
    <row r="525">
      <c r="A525" s="53"/>
      <c r="B525" s="53"/>
      <c r="C525" s="168"/>
      <c r="D525" s="169"/>
      <c r="E525" s="170"/>
      <c r="F525" s="53"/>
      <c r="G525" s="53"/>
      <c r="H525" s="53"/>
      <c r="I525" s="171"/>
      <c r="J525" s="170"/>
      <c r="K525" s="53"/>
      <c r="L525" s="53"/>
      <c r="M525" s="53"/>
      <c r="N525" s="171"/>
      <c r="O525" s="170"/>
      <c r="P525" s="53"/>
      <c r="Q525" s="53"/>
      <c r="R525" s="53"/>
      <c r="S525" s="171"/>
      <c r="T525" s="170"/>
      <c r="U525" s="53"/>
      <c r="V525" s="53"/>
      <c r="W525" s="53"/>
      <c r="X525" s="171"/>
      <c r="Y525" s="170"/>
      <c r="Z525" s="170"/>
      <c r="AA525" s="170"/>
      <c r="AB525" s="170"/>
      <c r="AC525" s="170"/>
      <c r="AD525" s="53"/>
      <c r="AE525" s="53"/>
    </row>
    <row r="526">
      <c r="A526" s="53"/>
      <c r="B526" s="53"/>
      <c r="C526" s="168"/>
      <c r="D526" s="169"/>
      <c r="E526" s="170"/>
      <c r="F526" s="53"/>
      <c r="G526" s="53"/>
      <c r="H526" s="53"/>
      <c r="I526" s="171"/>
      <c r="J526" s="170"/>
      <c r="K526" s="53"/>
      <c r="L526" s="53"/>
      <c r="M526" s="53"/>
      <c r="N526" s="171"/>
      <c r="O526" s="170"/>
      <c r="P526" s="53"/>
      <c r="Q526" s="53"/>
      <c r="R526" s="53"/>
      <c r="S526" s="171"/>
      <c r="T526" s="170"/>
      <c r="U526" s="53"/>
      <c r="V526" s="53"/>
      <c r="W526" s="53"/>
      <c r="X526" s="171"/>
      <c r="Y526" s="170"/>
      <c r="Z526" s="170"/>
      <c r="AA526" s="170"/>
      <c r="AB526" s="170"/>
      <c r="AC526" s="170"/>
      <c r="AD526" s="53"/>
      <c r="AE526" s="53"/>
    </row>
    <row r="527">
      <c r="A527" s="53"/>
      <c r="B527" s="53"/>
      <c r="C527" s="168"/>
      <c r="D527" s="169"/>
      <c r="E527" s="170"/>
      <c r="F527" s="53"/>
      <c r="G527" s="53"/>
      <c r="H527" s="53"/>
      <c r="I527" s="171"/>
      <c r="J527" s="170"/>
      <c r="K527" s="53"/>
      <c r="L527" s="53"/>
      <c r="M527" s="53"/>
      <c r="N527" s="171"/>
      <c r="O527" s="170"/>
      <c r="P527" s="53"/>
      <c r="Q527" s="53"/>
      <c r="R527" s="53"/>
      <c r="S527" s="171"/>
      <c r="T527" s="170"/>
      <c r="U527" s="53"/>
      <c r="V527" s="53"/>
      <c r="W527" s="53"/>
      <c r="X527" s="171"/>
      <c r="Y527" s="170"/>
      <c r="Z527" s="170"/>
      <c r="AA527" s="170"/>
      <c r="AB527" s="170"/>
      <c r="AC527" s="170"/>
      <c r="AD527" s="53"/>
      <c r="AE527" s="53"/>
    </row>
    <row r="528">
      <c r="A528" s="53"/>
      <c r="B528" s="53"/>
      <c r="C528" s="168"/>
      <c r="D528" s="169"/>
      <c r="E528" s="170"/>
      <c r="F528" s="53"/>
      <c r="G528" s="53"/>
      <c r="H528" s="53"/>
      <c r="I528" s="171"/>
      <c r="J528" s="170"/>
      <c r="K528" s="53"/>
      <c r="L528" s="53"/>
      <c r="M528" s="53"/>
      <c r="N528" s="171"/>
      <c r="O528" s="170"/>
      <c r="P528" s="53"/>
      <c r="Q528" s="53"/>
      <c r="R528" s="53"/>
      <c r="S528" s="171"/>
      <c r="T528" s="170"/>
      <c r="U528" s="53"/>
      <c r="V528" s="53"/>
      <c r="W528" s="53"/>
      <c r="X528" s="171"/>
      <c r="Y528" s="170"/>
      <c r="Z528" s="170"/>
      <c r="AA528" s="170"/>
      <c r="AB528" s="170"/>
      <c r="AC528" s="170"/>
      <c r="AD528" s="53"/>
      <c r="AE528" s="53"/>
    </row>
    <row r="529">
      <c r="A529" s="53"/>
      <c r="B529" s="53"/>
      <c r="C529" s="168"/>
      <c r="D529" s="169"/>
      <c r="E529" s="170"/>
      <c r="F529" s="53"/>
      <c r="G529" s="53"/>
      <c r="H529" s="53"/>
      <c r="I529" s="171"/>
      <c r="J529" s="170"/>
      <c r="K529" s="53"/>
      <c r="L529" s="53"/>
      <c r="M529" s="53"/>
      <c r="N529" s="171"/>
      <c r="O529" s="170"/>
      <c r="P529" s="53"/>
      <c r="Q529" s="53"/>
      <c r="R529" s="53"/>
      <c r="S529" s="171"/>
      <c r="T529" s="170"/>
      <c r="U529" s="53"/>
      <c r="V529" s="53"/>
      <c r="W529" s="53"/>
      <c r="X529" s="171"/>
      <c r="Y529" s="170"/>
      <c r="Z529" s="170"/>
      <c r="AA529" s="170"/>
      <c r="AB529" s="170"/>
      <c r="AC529" s="170"/>
      <c r="AD529" s="53"/>
      <c r="AE529" s="53"/>
    </row>
    <row r="530">
      <c r="A530" s="53"/>
      <c r="B530" s="53"/>
      <c r="C530" s="168"/>
      <c r="D530" s="169"/>
      <c r="E530" s="170"/>
      <c r="F530" s="53"/>
      <c r="G530" s="53"/>
      <c r="H530" s="53"/>
      <c r="I530" s="171"/>
      <c r="J530" s="170"/>
      <c r="K530" s="53"/>
      <c r="L530" s="53"/>
      <c r="M530" s="53"/>
      <c r="N530" s="171"/>
      <c r="O530" s="170"/>
      <c r="P530" s="53"/>
      <c r="Q530" s="53"/>
      <c r="R530" s="53"/>
      <c r="S530" s="171"/>
      <c r="T530" s="170"/>
      <c r="U530" s="53"/>
      <c r="V530" s="53"/>
      <c r="W530" s="53"/>
      <c r="X530" s="171"/>
      <c r="Y530" s="170"/>
      <c r="Z530" s="170"/>
      <c r="AA530" s="170"/>
      <c r="AB530" s="170"/>
      <c r="AC530" s="170"/>
      <c r="AD530" s="53"/>
      <c r="AE530" s="53"/>
    </row>
    <row r="531">
      <c r="A531" s="53"/>
      <c r="B531" s="53"/>
      <c r="C531" s="168"/>
      <c r="D531" s="169"/>
      <c r="E531" s="170"/>
      <c r="F531" s="53"/>
      <c r="G531" s="53"/>
      <c r="H531" s="53"/>
      <c r="I531" s="171"/>
      <c r="J531" s="170"/>
      <c r="K531" s="53"/>
      <c r="L531" s="53"/>
      <c r="M531" s="53"/>
      <c r="N531" s="171"/>
      <c r="O531" s="170"/>
      <c r="P531" s="53"/>
      <c r="Q531" s="53"/>
      <c r="R531" s="53"/>
      <c r="S531" s="171"/>
      <c r="T531" s="170"/>
      <c r="U531" s="53"/>
      <c r="V531" s="53"/>
      <c r="W531" s="53"/>
      <c r="X531" s="171"/>
      <c r="Y531" s="170"/>
      <c r="Z531" s="170"/>
      <c r="AA531" s="170"/>
      <c r="AB531" s="170"/>
      <c r="AC531" s="170"/>
      <c r="AD531" s="53"/>
      <c r="AE531" s="53"/>
    </row>
    <row r="532">
      <c r="A532" s="53"/>
      <c r="B532" s="53"/>
      <c r="C532" s="168"/>
      <c r="D532" s="169"/>
      <c r="E532" s="170"/>
      <c r="F532" s="53"/>
      <c r="G532" s="53"/>
      <c r="H532" s="53"/>
      <c r="I532" s="171"/>
      <c r="J532" s="170"/>
      <c r="K532" s="53"/>
      <c r="L532" s="53"/>
      <c r="M532" s="53"/>
      <c r="N532" s="171"/>
      <c r="O532" s="170"/>
      <c r="P532" s="53"/>
      <c r="Q532" s="53"/>
      <c r="R532" s="53"/>
      <c r="S532" s="171"/>
      <c r="T532" s="170"/>
      <c r="U532" s="53"/>
      <c r="V532" s="53"/>
      <c r="W532" s="53"/>
      <c r="X532" s="171"/>
      <c r="Y532" s="170"/>
      <c r="Z532" s="170"/>
      <c r="AA532" s="170"/>
      <c r="AB532" s="170"/>
      <c r="AC532" s="170"/>
      <c r="AD532" s="53"/>
      <c r="AE532" s="53"/>
    </row>
    <row r="533">
      <c r="A533" s="53"/>
      <c r="B533" s="53"/>
      <c r="C533" s="168"/>
      <c r="D533" s="169"/>
      <c r="E533" s="170"/>
      <c r="F533" s="53"/>
      <c r="G533" s="53"/>
      <c r="H533" s="53"/>
      <c r="I533" s="171"/>
      <c r="J533" s="170"/>
      <c r="K533" s="53"/>
      <c r="L533" s="53"/>
      <c r="M533" s="53"/>
      <c r="N533" s="171"/>
      <c r="O533" s="170"/>
      <c r="P533" s="53"/>
      <c r="Q533" s="53"/>
      <c r="R533" s="53"/>
      <c r="S533" s="171"/>
      <c r="T533" s="170"/>
      <c r="U533" s="53"/>
      <c r="V533" s="53"/>
      <c r="W533" s="53"/>
      <c r="X533" s="171"/>
      <c r="Y533" s="170"/>
      <c r="Z533" s="170"/>
      <c r="AA533" s="170"/>
      <c r="AB533" s="170"/>
      <c r="AC533" s="170"/>
      <c r="AD533" s="53"/>
      <c r="AE533" s="53"/>
    </row>
    <row r="534">
      <c r="A534" s="53"/>
      <c r="B534" s="53"/>
      <c r="C534" s="168"/>
      <c r="D534" s="169"/>
      <c r="E534" s="170"/>
      <c r="F534" s="53"/>
      <c r="G534" s="53"/>
      <c r="H534" s="53"/>
      <c r="I534" s="171"/>
      <c r="J534" s="170"/>
      <c r="K534" s="53"/>
      <c r="L534" s="53"/>
      <c r="M534" s="53"/>
      <c r="N534" s="171"/>
      <c r="O534" s="170"/>
      <c r="P534" s="53"/>
      <c r="Q534" s="53"/>
      <c r="R534" s="53"/>
      <c r="S534" s="171"/>
      <c r="T534" s="170"/>
      <c r="U534" s="53"/>
      <c r="V534" s="53"/>
      <c r="W534" s="53"/>
      <c r="X534" s="171"/>
      <c r="Y534" s="170"/>
      <c r="Z534" s="170"/>
      <c r="AA534" s="170"/>
      <c r="AB534" s="170"/>
      <c r="AC534" s="170"/>
      <c r="AD534" s="53"/>
      <c r="AE534" s="53"/>
    </row>
    <row r="535">
      <c r="A535" s="53"/>
      <c r="B535" s="53"/>
      <c r="C535" s="168"/>
      <c r="D535" s="169"/>
      <c r="E535" s="170"/>
      <c r="F535" s="53"/>
      <c r="G535" s="53"/>
      <c r="H535" s="53"/>
      <c r="I535" s="171"/>
      <c r="J535" s="170"/>
      <c r="K535" s="53"/>
      <c r="L535" s="53"/>
      <c r="M535" s="53"/>
      <c r="N535" s="171"/>
      <c r="O535" s="170"/>
      <c r="P535" s="53"/>
      <c r="Q535" s="53"/>
      <c r="R535" s="53"/>
      <c r="S535" s="171"/>
      <c r="T535" s="170"/>
      <c r="U535" s="53"/>
      <c r="V535" s="53"/>
      <c r="W535" s="53"/>
      <c r="X535" s="171"/>
      <c r="Y535" s="170"/>
      <c r="Z535" s="170"/>
      <c r="AA535" s="170"/>
      <c r="AB535" s="170"/>
      <c r="AC535" s="170"/>
      <c r="AD535" s="53"/>
      <c r="AE535" s="53"/>
    </row>
    <row r="536">
      <c r="A536" s="53"/>
      <c r="B536" s="53"/>
      <c r="C536" s="168"/>
      <c r="D536" s="169"/>
      <c r="E536" s="170"/>
      <c r="F536" s="53"/>
      <c r="G536" s="53"/>
      <c r="H536" s="53"/>
      <c r="I536" s="171"/>
      <c r="J536" s="170"/>
      <c r="K536" s="53"/>
      <c r="L536" s="53"/>
      <c r="M536" s="53"/>
      <c r="N536" s="171"/>
      <c r="O536" s="170"/>
      <c r="P536" s="53"/>
      <c r="Q536" s="53"/>
      <c r="R536" s="53"/>
      <c r="S536" s="171"/>
      <c r="T536" s="170"/>
      <c r="U536" s="53"/>
      <c r="V536" s="53"/>
      <c r="W536" s="53"/>
      <c r="X536" s="171"/>
      <c r="Y536" s="170"/>
      <c r="Z536" s="170"/>
      <c r="AA536" s="170"/>
      <c r="AB536" s="170"/>
      <c r="AC536" s="170"/>
      <c r="AD536" s="53"/>
      <c r="AE536" s="53"/>
    </row>
    <row r="537">
      <c r="A537" s="53"/>
      <c r="B537" s="53"/>
      <c r="C537" s="168"/>
      <c r="D537" s="169"/>
      <c r="E537" s="170"/>
      <c r="F537" s="53"/>
      <c r="G537" s="53"/>
      <c r="H537" s="53"/>
      <c r="I537" s="171"/>
      <c r="J537" s="170"/>
      <c r="K537" s="53"/>
      <c r="L537" s="53"/>
      <c r="M537" s="53"/>
      <c r="N537" s="171"/>
      <c r="O537" s="170"/>
      <c r="P537" s="53"/>
      <c r="Q537" s="53"/>
      <c r="R537" s="53"/>
      <c r="S537" s="171"/>
      <c r="T537" s="170"/>
      <c r="U537" s="53"/>
      <c r="V537" s="53"/>
      <c r="W537" s="53"/>
      <c r="X537" s="171"/>
      <c r="Y537" s="170"/>
      <c r="Z537" s="170"/>
      <c r="AA537" s="170"/>
      <c r="AB537" s="170"/>
      <c r="AC537" s="170"/>
      <c r="AD537" s="53"/>
      <c r="AE537" s="53"/>
    </row>
    <row r="538">
      <c r="A538" s="53"/>
      <c r="B538" s="53"/>
      <c r="C538" s="168"/>
      <c r="D538" s="169"/>
      <c r="E538" s="170"/>
      <c r="F538" s="53"/>
      <c r="G538" s="53"/>
      <c r="H538" s="53"/>
      <c r="I538" s="171"/>
      <c r="J538" s="170"/>
      <c r="K538" s="53"/>
      <c r="L538" s="53"/>
      <c r="M538" s="53"/>
      <c r="N538" s="171"/>
      <c r="O538" s="170"/>
      <c r="P538" s="53"/>
      <c r="Q538" s="53"/>
      <c r="R538" s="53"/>
      <c r="S538" s="171"/>
      <c r="T538" s="170"/>
      <c r="U538" s="53"/>
      <c r="V538" s="53"/>
      <c r="W538" s="53"/>
      <c r="X538" s="171"/>
      <c r="Y538" s="170"/>
      <c r="Z538" s="170"/>
      <c r="AA538" s="170"/>
      <c r="AB538" s="170"/>
      <c r="AC538" s="170"/>
      <c r="AD538" s="53"/>
      <c r="AE538" s="53"/>
    </row>
    <row r="539">
      <c r="A539" s="53"/>
      <c r="B539" s="53"/>
      <c r="C539" s="168"/>
      <c r="D539" s="169"/>
      <c r="E539" s="170"/>
      <c r="F539" s="53"/>
      <c r="G539" s="53"/>
      <c r="H539" s="53"/>
      <c r="I539" s="171"/>
      <c r="J539" s="170"/>
      <c r="K539" s="53"/>
      <c r="L539" s="53"/>
      <c r="M539" s="53"/>
      <c r="N539" s="171"/>
      <c r="O539" s="170"/>
      <c r="P539" s="53"/>
      <c r="Q539" s="53"/>
      <c r="R539" s="53"/>
      <c r="S539" s="171"/>
      <c r="T539" s="170"/>
      <c r="U539" s="53"/>
      <c r="V539" s="53"/>
      <c r="W539" s="53"/>
      <c r="X539" s="171"/>
      <c r="Y539" s="170"/>
      <c r="Z539" s="170"/>
      <c r="AA539" s="170"/>
      <c r="AB539" s="170"/>
      <c r="AC539" s="170"/>
      <c r="AD539" s="53"/>
      <c r="AE539" s="53"/>
    </row>
    <row r="540">
      <c r="A540" s="53"/>
      <c r="B540" s="53"/>
      <c r="C540" s="168"/>
      <c r="D540" s="169"/>
      <c r="E540" s="170"/>
      <c r="F540" s="53"/>
      <c r="G540" s="53"/>
      <c r="H540" s="53"/>
      <c r="I540" s="171"/>
      <c r="J540" s="170"/>
      <c r="K540" s="53"/>
      <c r="L540" s="53"/>
      <c r="M540" s="53"/>
      <c r="N540" s="171"/>
      <c r="O540" s="170"/>
      <c r="P540" s="53"/>
      <c r="Q540" s="53"/>
      <c r="R540" s="53"/>
      <c r="S540" s="171"/>
      <c r="T540" s="170"/>
      <c r="U540" s="53"/>
      <c r="V540" s="53"/>
      <c r="W540" s="53"/>
      <c r="X540" s="171"/>
      <c r="Y540" s="170"/>
      <c r="Z540" s="170"/>
      <c r="AA540" s="170"/>
      <c r="AB540" s="170"/>
      <c r="AC540" s="170"/>
      <c r="AD540" s="53"/>
      <c r="AE540" s="53"/>
    </row>
    <row r="541">
      <c r="A541" s="53"/>
      <c r="B541" s="53"/>
      <c r="C541" s="168"/>
      <c r="D541" s="169"/>
      <c r="E541" s="170"/>
      <c r="F541" s="53"/>
      <c r="G541" s="53"/>
      <c r="H541" s="53"/>
      <c r="I541" s="171"/>
      <c r="J541" s="170"/>
      <c r="K541" s="53"/>
      <c r="L541" s="53"/>
      <c r="M541" s="53"/>
      <c r="N541" s="171"/>
      <c r="O541" s="170"/>
      <c r="P541" s="53"/>
      <c r="Q541" s="53"/>
      <c r="R541" s="53"/>
      <c r="S541" s="171"/>
      <c r="T541" s="170"/>
      <c r="U541" s="53"/>
      <c r="V541" s="53"/>
      <c r="W541" s="53"/>
      <c r="X541" s="171"/>
      <c r="Y541" s="170"/>
      <c r="Z541" s="170"/>
      <c r="AA541" s="170"/>
      <c r="AB541" s="170"/>
      <c r="AC541" s="170"/>
      <c r="AD541" s="53"/>
      <c r="AE541" s="53"/>
    </row>
    <row r="542">
      <c r="A542" s="53"/>
      <c r="B542" s="53"/>
      <c r="C542" s="168"/>
      <c r="D542" s="169"/>
      <c r="E542" s="170"/>
      <c r="F542" s="53"/>
      <c r="G542" s="53"/>
      <c r="H542" s="53"/>
      <c r="I542" s="171"/>
      <c r="J542" s="170"/>
      <c r="K542" s="53"/>
      <c r="L542" s="53"/>
      <c r="M542" s="53"/>
      <c r="N542" s="171"/>
      <c r="O542" s="170"/>
      <c r="P542" s="53"/>
      <c r="Q542" s="53"/>
      <c r="R542" s="53"/>
      <c r="S542" s="171"/>
      <c r="T542" s="170"/>
      <c r="U542" s="53"/>
      <c r="V542" s="53"/>
      <c r="W542" s="53"/>
      <c r="X542" s="171"/>
      <c r="Y542" s="170"/>
      <c r="Z542" s="170"/>
      <c r="AA542" s="170"/>
      <c r="AB542" s="170"/>
      <c r="AC542" s="170"/>
      <c r="AD542" s="53"/>
      <c r="AE542" s="53"/>
    </row>
    <row r="543">
      <c r="A543" s="53"/>
      <c r="B543" s="53"/>
      <c r="C543" s="168"/>
      <c r="D543" s="169"/>
      <c r="E543" s="170"/>
      <c r="F543" s="53"/>
      <c r="G543" s="53"/>
      <c r="H543" s="53"/>
      <c r="I543" s="171"/>
      <c r="J543" s="170"/>
      <c r="K543" s="53"/>
      <c r="L543" s="53"/>
      <c r="M543" s="53"/>
      <c r="N543" s="171"/>
      <c r="O543" s="170"/>
      <c r="P543" s="53"/>
      <c r="Q543" s="53"/>
      <c r="R543" s="53"/>
      <c r="S543" s="171"/>
      <c r="T543" s="170"/>
      <c r="U543" s="53"/>
      <c r="V543" s="53"/>
      <c r="W543" s="53"/>
      <c r="X543" s="171"/>
      <c r="Y543" s="170"/>
      <c r="Z543" s="170"/>
      <c r="AA543" s="170"/>
      <c r="AB543" s="170"/>
      <c r="AC543" s="170"/>
      <c r="AD543" s="53"/>
      <c r="AE543" s="53"/>
    </row>
    <row r="544">
      <c r="A544" s="53"/>
      <c r="B544" s="53"/>
      <c r="C544" s="168"/>
      <c r="D544" s="169"/>
      <c r="E544" s="170"/>
      <c r="F544" s="53"/>
      <c r="G544" s="53"/>
      <c r="H544" s="53"/>
      <c r="I544" s="171"/>
      <c r="J544" s="170"/>
      <c r="K544" s="53"/>
      <c r="L544" s="53"/>
      <c r="M544" s="53"/>
      <c r="N544" s="171"/>
      <c r="O544" s="170"/>
      <c r="P544" s="53"/>
      <c r="Q544" s="53"/>
      <c r="R544" s="53"/>
      <c r="S544" s="171"/>
      <c r="T544" s="170"/>
      <c r="U544" s="53"/>
      <c r="V544" s="53"/>
      <c r="W544" s="53"/>
      <c r="X544" s="171"/>
      <c r="Y544" s="170"/>
      <c r="Z544" s="170"/>
      <c r="AA544" s="170"/>
      <c r="AB544" s="170"/>
      <c r="AC544" s="170"/>
      <c r="AD544" s="53"/>
      <c r="AE544" s="53"/>
    </row>
    <row r="545">
      <c r="A545" s="53"/>
      <c r="B545" s="53"/>
      <c r="C545" s="168"/>
      <c r="D545" s="169"/>
      <c r="E545" s="170"/>
      <c r="F545" s="53"/>
      <c r="G545" s="53"/>
      <c r="H545" s="53"/>
      <c r="I545" s="171"/>
      <c r="J545" s="170"/>
      <c r="K545" s="53"/>
      <c r="L545" s="53"/>
      <c r="M545" s="53"/>
      <c r="N545" s="171"/>
      <c r="O545" s="170"/>
      <c r="P545" s="53"/>
      <c r="Q545" s="53"/>
      <c r="R545" s="53"/>
      <c r="S545" s="171"/>
      <c r="T545" s="170"/>
      <c r="U545" s="53"/>
      <c r="V545" s="53"/>
      <c r="W545" s="53"/>
      <c r="X545" s="171"/>
      <c r="Y545" s="170"/>
      <c r="Z545" s="170"/>
      <c r="AA545" s="170"/>
      <c r="AB545" s="170"/>
      <c r="AC545" s="170"/>
      <c r="AD545" s="53"/>
      <c r="AE545" s="53"/>
    </row>
    <row r="546">
      <c r="A546" s="53"/>
      <c r="B546" s="53"/>
      <c r="C546" s="168"/>
      <c r="D546" s="169"/>
      <c r="E546" s="170"/>
      <c r="F546" s="53"/>
      <c r="G546" s="53"/>
      <c r="H546" s="53"/>
      <c r="I546" s="171"/>
      <c r="J546" s="170"/>
      <c r="K546" s="53"/>
      <c r="L546" s="53"/>
      <c r="M546" s="53"/>
      <c r="N546" s="171"/>
      <c r="O546" s="170"/>
      <c r="P546" s="53"/>
      <c r="Q546" s="53"/>
      <c r="R546" s="53"/>
      <c r="S546" s="171"/>
      <c r="T546" s="170"/>
      <c r="U546" s="53"/>
      <c r="V546" s="53"/>
      <c r="W546" s="53"/>
      <c r="X546" s="171"/>
      <c r="Y546" s="170"/>
      <c r="Z546" s="170"/>
      <c r="AA546" s="170"/>
      <c r="AB546" s="170"/>
      <c r="AC546" s="170"/>
      <c r="AD546" s="53"/>
      <c r="AE546" s="53"/>
    </row>
    <row r="547">
      <c r="A547" s="53"/>
      <c r="B547" s="53"/>
      <c r="C547" s="168"/>
      <c r="D547" s="169"/>
      <c r="E547" s="170"/>
      <c r="F547" s="53"/>
      <c r="G547" s="53"/>
      <c r="H547" s="53"/>
      <c r="I547" s="171"/>
      <c r="J547" s="170"/>
      <c r="K547" s="53"/>
      <c r="L547" s="53"/>
      <c r="M547" s="53"/>
      <c r="N547" s="171"/>
      <c r="O547" s="170"/>
      <c r="P547" s="53"/>
      <c r="Q547" s="53"/>
      <c r="R547" s="53"/>
      <c r="S547" s="171"/>
      <c r="T547" s="170"/>
      <c r="U547" s="53"/>
      <c r="V547" s="53"/>
      <c r="W547" s="53"/>
      <c r="X547" s="171"/>
      <c r="Y547" s="170"/>
      <c r="Z547" s="170"/>
      <c r="AA547" s="170"/>
      <c r="AB547" s="170"/>
      <c r="AC547" s="170"/>
      <c r="AD547" s="53"/>
      <c r="AE547" s="53"/>
    </row>
    <row r="548">
      <c r="A548" s="53"/>
      <c r="B548" s="53"/>
      <c r="C548" s="168"/>
      <c r="D548" s="169"/>
      <c r="E548" s="170"/>
      <c r="F548" s="53"/>
      <c r="G548" s="53"/>
      <c r="H548" s="53"/>
      <c r="I548" s="171"/>
      <c r="J548" s="170"/>
      <c r="K548" s="53"/>
      <c r="L548" s="53"/>
      <c r="M548" s="53"/>
      <c r="N548" s="171"/>
      <c r="O548" s="170"/>
      <c r="P548" s="53"/>
      <c r="Q548" s="53"/>
      <c r="R548" s="53"/>
      <c r="S548" s="171"/>
      <c r="T548" s="170"/>
      <c r="U548" s="53"/>
      <c r="V548" s="53"/>
      <c r="W548" s="53"/>
      <c r="X548" s="171"/>
      <c r="Y548" s="170"/>
      <c r="Z548" s="170"/>
      <c r="AA548" s="170"/>
      <c r="AB548" s="170"/>
      <c r="AC548" s="170"/>
      <c r="AD548" s="53"/>
      <c r="AE548" s="53"/>
    </row>
    <row r="549">
      <c r="A549" s="53"/>
      <c r="B549" s="53"/>
      <c r="C549" s="168"/>
      <c r="D549" s="169"/>
      <c r="E549" s="170"/>
      <c r="F549" s="53"/>
      <c r="G549" s="53"/>
      <c r="H549" s="53"/>
      <c r="I549" s="171"/>
      <c r="J549" s="170"/>
      <c r="K549" s="53"/>
      <c r="L549" s="53"/>
      <c r="M549" s="53"/>
      <c r="N549" s="171"/>
      <c r="O549" s="170"/>
      <c r="P549" s="53"/>
      <c r="Q549" s="53"/>
      <c r="R549" s="53"/>
      <c r="S549" s="171"/>
      <c r="T549" s="170"/>
      <c r="U549" s="53"/>
      <c r="V549" s="53"/>
      <c r="W549" s="53"/>
      <c r="X549" s="171"/>
      <c r="Y549" s="170"/>
      <c r="Z549" s="170"/>
      <c r="AA549" s="170"/>
      <c r="AB549" s="170"/>
      <c r="AC549" s="170"/>
      <c r="AD549" s="53"/>
      <c r="AE549" s="53"/>
    </row>
    <row r="550">
      <c r="A550" s="53"/>
      <c r="B550" s="53"/>
      <c r="C550" s="168"/>
      <c r="D550" s="169"/>
      <c r="E550" s="170"/>
      <c r="F550" s="53"/>
      <c r="G550" s="53"/>
      <c r="H550" s="53"/>
      <c r="I550" s="171"/>
      <c r="J550" s="170"/>
      <c r="K550" s="53"/>
      <c r="L550" s="53"/>
      <c r="M550" s="53"/>
      <c r="N550" s="171"/>
      <c r="O550" s="170"/>
      <c r="P550" s="53"/>
      <c r="Q550" s="53"/>
      <c r="R550" s="53"/>
      <c r="S550" s="171"/>
      <c r="T550" s="170"/>
      <c r="U550" s="53"/>
      <c r="V550" s="53"/>
      <c r="W550" s="53"/>
      <c r="X550" s="171"/>
      <c r="Y550" s="170"/>
      <c r="Z550" s="170"/>
      <c r="AA550" s="170"/>
      <c r="AB550" s="170"/>
      <c r="AC550" s="170"/>
      <c r="AD550" s="53"/>
      <c r="AE550" s="53"/>
    </row>
    <row r="551">
      <c r="A551" s="53"/>
      <c r="B551" s="53"/>
      <c r="C551" s="168"/>
      <c r="D551" s="169"/>
      <c r="E551" s="170"/>
      <c r="F551" s="53"/>
      <c r="G551" s="53"/>
      <c r="H551" s="53"/>
      <c r="I551" s="171"/>
      <c r="J551" s="170"/>
      <c r="K551" s="53"/>
      <c r="L551" s="53"/>
      <c r="M551" s="53"/>
      <c r="N551" s="171"/>
      <c r="O551" s="170"/>
      <c r="P551" s="53"/>
      <c r="Q551" s="53"/>
      <c r="R551" s="53"/>
      <c r="S551" s="171"/>
      <c r="T551" s="170"/>
      <c r="U551" s="53"/>
      <c r="V551" s="53"/>
      <c r="W551" s="53"/>
      <c r="X551" s="171"/>
      <c r="Y551" s="170"/>
      <c r="Z551" s="170"/>
      <c r="AA551" s="170"/>
      <c r="AB551" s="170"/>
      <c r="AC551" s="170"/>
      <c r="AD551" s="53"/>
      <c r="AE551" s="53"/>
    </row>
    <row r="552">
      <c r="A552" s="53"/>
      <c r="B552" s="53"/>
      <c r="C552" s="168"/>
      <c r="D552" s="169"/>
      <c r="E552" s="170"/>
      <c r="F552" s="53"/>
      <c r="G552" s="53"/>
      <c r="H552" s="53"/>
      <c r="I552" s="171"/>
      <c r="J552" s="170"/>
      <c r="K552" s="53"/>
      <c r="L552" s="53"/>
      <c r="M552" s="53"/>
      <c r="N552" s="171"/>
      <c r="O552" s="170"/>
      <c r="P552" s="53"/>
      <c r="Q552" s="53"/>
      <c r="R552" s="53"/>
      <c r="S552" s="171"/>
      <c r="T552" s="170"/>
      <c r="U552" s="53"/>
      <c r="V552" s="53"/>
      <c r="W552" s="53"/>
      <c r="X552" s="171"/>
      <c r="Y552" s="170"/>
      <c r="Z552" s="170"/>
      <c r="AA552" s="170"/>
      <c r="AB552" s="170"/>
      <c r="AC552" s="170"/>
      <c r="AD552" s="53"/>
      <c r="AE552" s="53"/>
    </row>
    <row r="553">
      <c r="A553" s="53"/>
      <c r="B553" s="53"/>
      <c r="C553" s="168"/>
      <c r="D553" s="169"/>
      <c r="E553" s="170"/>
      <c r="F553" s="53"/>
      <c r="G553" s="53"/>
      <c r="H553" s="53"/>
      <c r="I553" s="171"/>
      <c r="J553" s="170"/>
      <c r="K553" s="53"/>
      <c r="L553" s="53"/>
      <c r="M553" s="53"/>
      <c r="N553" s="171"/>
      <c r="O553" s="170"/>
      <c r="P553" s="53"/>
      <c r="Q553" s="53"/>
      <c r="R553" s="53"/>
      <c r="S553" s="171"/>
      <c r="T553" s="170"/>
      <c r="U553" s="53"/>
      <c r="V553" s="53"/>
      <c r="W553" s="53"/>
      <c r="X553" s="171"/>
      <c r="Y553" s="170"/>
      <c r="Z553" s="170"/>
      <c r="AA553" s="170"/>
      <c r="AB553" s="170"/>
      <c r="AC553" s="170"/>
      <c r="AD553" s="53"/>
      <c r="AE553" s="53"/>
    </row>
    <row r="554">
      <c r="A554" s="53"/>
      <c r="B554" s="53"/>
      <c r="C554" s="168"/>
      <c r="D554" s="169"/>
      <c r="E554" s="170"/>
      <c r="F554" s="53"/>
      <c r="G554" s="53"/>
      <c r="H554" s="53"/>
      <c r="I554" s="171"/>
      <c r="J554" s="170"/>
      <c r="K554" s="53"/>
      <c r="L554" s="53"/>
      <c r="M554" s="53"/>
      <c r="N554" s="171"/>
      <c r="O554" s="170"/>
      <c r="P554" s="53"/>
      <c r="Q554" s="53"/>
      <c r="R554" s="53"/>
      <c r="S554" s="171"/>
      <c r="T554" s="170"/>
      <c r="U554" s="53"/>
      <c r="V554" s="53"/>
      <c r="W554" s="53"/>
      <c r="X554" s="171"/>
      <c r="Y554" s="170"/>
      <c r="Z554" s="170"/>
      <c r="AA554" s="170"/>
      <c r="AB554" s="170"/>
      <c r="AC554" s="170"/>
      <c r="AD554" s="53"/>
      <c r="AE554" s="53"/>
    </row>
    <row r="555">
      <c r="A555" s="53"/>
      <c r="B555" s="53"/>
      <c r="C555" s="168"/>
      <c r="D555" s="169"/>
      <c r="E555" s="170"/>
      <c r="F555" s="53"/>
      <c r="G555" s="53"/>
      <c r="H555" s="53"/>
      <c r="I555" s="171"/>
      <c r="J555" s="170"/>
      <c r="K555" s="53"/>
      <c r="L555" s="53"/>
      <c r="M555" s="53"/>
      <c r="N555" s="171"/>
      <c r="O555" s="170"/>
      <c r="P555" s="53"/>
      <c r="Q555" s="53"/>
      <c r="R555" s="53"/>
      <c r="S555" s="171"/>
      <c r="T555" s="170"/>
      <c r="U555" s="53"/>
      <c r="V555" s="53"/>
      <c r="W555" s="53"/>
      <c r="X555" s="171"/>
      <c r="Y555" s="170"/>
      <c r="Z555" s="170"/>
      <c r="AA555" s="170"/>
      <c r="AB555" s="170"/>
      <c r="AC555" s="170"/>
      <c r="AD555" s="53"/>
      <c r="AE555" s="53"/>
    </row>
    <row r="556">
      <c r="A556" s="53"/>
      <c r="B556" s="53"/>
      <c r="C556" s="168"/>
      <c r="D556" s="169"/>
      <c r="E556" s="170"/>
      <c r="F556" s="53"/>
      <c r="G556" s="53"/>
      <c r="H556" s="53"/>
      <c r="I556" s="171"/>
      <c r="J556" s="170"/>
      <c r="K556" s="53"/>
      <c r="L556" s="53"/>
      <c r="M556" s="53"/>
      <c r="N556" s="171"/>
      <c r="O556" s="170"/>
      <c r="P556" s="53"/>
      <c r="Q556" s="53"/>
      <c r="R556" s="53"/>
      <c r="S556" s="171"/>
      <c r="T556" s="170"/>
      <c r="U556" s="53"/>
      <c r="V556" s="53"/>
      <c r="W556" s="53"/>
      <c r="X556" s="171"/>
      <c r="Y556" s="170"/>
      <c r="Z556" s="170"/>
      <c r="AA556" s="170"/>
      <c r="AB556" s="170"/>
      <c r="AC556" s="170"/>
      <c r="AD556" s="53"/>
      <c r="AE556" s="53"/>
    </row>
    <row r="557">
      <c r="A557" s="53"/>
      <c r="B557" s="53"/>
      <c r="C557" s="168"/>
      <c r="D557" s="169"/>
      <c r="E557" s="170"/>
      <c r="F557" s="53"/>
      <c r="G557" s="53"/>
      <c r="H557" s="53"/>
      <c r="I557" s="171"/>
      <c r="J557" s="170"/>
      <c r="K557" s="53"/>
      <c r="L557" s="53"/>
      <c r="M557" s="53"/>
      <c r="N557" s="171"/>
      <c r="O557" s="170"/>
      <c r="P557" s="53"/>
      <c r="Q557" s="53"/>
      <c r="R557" s="53"/>
      <c r="S557" s="171"/>
      <c r="T557" s="170"/>
      <c r="U557" s="53"/>
      <c r="V557" s="53"/>
      <c r="W557" s="53"/>
      <c r="X557" s="171"/>
      <c r="Y557" s="170"/>
      <c r="Z557" s="170"/>
      <c r="AA557" s="170"/>
      <c r="AB557" s="170"/>
      <c r="AC557" s="170"/>
      <c r="AD557" s="53"/>
      <c r="AE557" s="53"/>
    </row>
    <row r="558">
      <c r="A558" s="53"/>
      <c r="B558" s="53"/>
      <c r="C558" s="168"/>
      <c r="D558" s="169"/>
      <c r="E558" s="170"/>
      <c r="F558" s="53"/>
      <c r="G558" s="53"/>
      <c r="H558" s="53"/>
      <c r="I558" s="171"/>
      <c r="J558" s="170"/>
      <c r="K558" s="53"/>
      <c r="L558" s="53"/>
      <c r="M558" s="53"/>
      <c r="N558" s="171"/>
      <c r="O558" s="170"/>
      <c r="P558" s="53"/>
      <c r="Q558" s="53"/>
      <c r="R558" s="53"/>
      <c r="S558" s="171"/>
      <c r="T558" s="170"/>
      <c r="U558" s="53"/>
      <c r="V558" s="53"/>
      <c r="W558" s="53"/>
      <c r="X558" s="171"/>
      <c r="Y558" s="170"/>
      <c r="Z558" s="170"/>
      <c r="AA558" s="170"/>
      <c r="AB558" s="170"/>
      <c r="AC558" s="170"/>
      <c r="AD558" s="53"/>
      <c r="AE558" s="53"/>
    </row>
    <row r="559">
      <c r="A559" s="53"/>
      <c r="B559" s="53"/>
      <c r="C559" s="168"/>
      <c r="D559" s="169"/>
      <c r="E559" s="170"/>
      <c r="F559" s="53"/>
      <c r="G559" s="53"/>
      <c r="H559" s="53"/>
      <c r="I559" s="171"/>
      <c r="J559" s="170"/>
      <c r="K559" s="53"/>
      <c r="L559" s="53"/>
      <c r="M559" s="53"/>
      <c r="N559" s="171"/>
      <c r="O559" s="170"/>
      <c r="P559" s="53"/>
      <c r="Q559" s="53"/>
      <c r="R559" s="53"/>
      <c r="S559" s="171"/>
      <c r="T559" s="170"/>
      <c r="U559" s="53"/>
      <c r="V559" s="53"/>
      <c r="W559" s="53"/>
      <c r="X559" s="171"/>
      <c r="Y559" s="170"/>
      <c r="Z559" s="170"/>
      <c r="AA559" s="170"/>
      <c r="AB559" s="170"/>
      <c r="AC559" s="170"/>
      <c r="AD559" s="53"/>
      <c r="AE559" s="53"/>
    </row>
    <row r="560">
      <c r="A560" s="53"/>
      <c r="B560" s="53"/>
      <c r="C560" s="168"/>
      <c r="D560" s="169"/>
      <c r="E560" s="170"/>
      <c r="F560" s="53"/>
      <c r="G560" s="53"/>
      <c r="H560" s="53"/>
      <c r="I560" s="171"/>
      <c r="J560" s="170"/>
      <c r="K560" s="53"/>
      <c r="L560" s="53"/>
      <c r="M560" s="53"/>
      <c r="N560" s="171"/>
      <c r="O560" s="170"/>
      <c r="P560" s="53"/>
      <c r="Q560" s="53"/>
      <c r="R560" s="53"/>
      <c r="S560" s="171"/>
      <c r="T560" s="170"/>
      <c r="U560" s="53"/>
      <c r="V560" s="53"/>
      <c r="W560" s="53"/>
      <c r="X560" s="171"/>
      <c r="Y560" s="170"/>
      <c r="Z560" s="170"/>
      <c r="AA560" s="170"/>
      <c r="AB560" s="170"/>
      <c r="AC560" s="170"/>
      <c r="AD560" s="53"/>
      <c r="AE560" s="53"/>
    </row>
    <row r="561">
      <c r="A561" s="53"/>
      <c r="B561" s="53"/>
      <c r="C561" s="168"/>
      <c r="D561" s="169"/>
      <c r="E561" s="170"/>
      <c r="F561" s="53"/>
      <c r="G561" s="53"/>
      <c r="H561" s="53"/>
      <c r="I561" s="171"/>
      <c r="J561" s="170"/>
      <c r="K561" s="53"/>
      <c r="L561" s="53"/>
      <c r="M561" s="53"/>
      <c r="N561" s="171"/>
      <c r="O561" s="170"/>
      <c r="P561" s="53"/>
      <c r="Q561" s="53"/>
      <c r="R561" s="53"/>
      <c r="S561" s="171"/>
      <c r="T561" s="170"/>
      <c r="U561" s="53"/>
      <c r="V561" s="53"/>
      <c r="W561" s="53"/>
      <c r="X561" s="171"/>
      <c r="Y561" s="170"/>
      <c r="Z561" s="170"/>
      <c r="AA561" s="170"/>
      <c r="AB561" s="170"/>
      <c r="AC561" s="170"/>
      <c r="AD561" s="53"/>
      <c r="AE561" s="53"/>
    </row>
    <row r="562">
      <c r="A562" s="53"/>
      <c r="B562" s="53"/>
      <c r="C562" s="168"/>
      <c r="D562" s="169"/>
      <c r="E562" s="170"/>
      <c r="F562" s="53"/>
      <c r="G562" s="53"/>
      <c r="H562" s="53"/>
      <c r="I562" s="171"/>
      <c r="J562" s="170"/>
      <c r="K562" s="53"/>
      <c r="L562" s="53"/>
      <c r="M562" s="53"/>
      <c r="N562" s="171"/>
      <c r="O562" s="170"/>
      <c r="P562" s="53"/>
      <c r="Q562" s="53"/>
      <c r="R562" s="53"/>
      <c r="S562" s="171"/>
      <c r="T562" s="170"/>
      <c r="U562" s="53"/>
      <c r="V562" s="53"/>
      <c r="W562" s="53"/>
      <c r="X562" s="171"/>
      <c r="Y562" s="170"/>
      <c r="Z562" s="170"/>
      <c r="AA562" s="170"/>
      <c r="AB562" s="170"/>
      <c r="AC562" s="170"/>
      <c r="AD562" s="53"/>
      <c r="AE562" s="53"/>
    </row>
    <row r="563">
      <c r="A563" s="53"/>
      <c r="B563" s="53"/>
      <c r="C563" s="168"/>
      <c r="D563" s="169"/>
      <c r="E563" s="170"/>
      <c r="F563" s="53"/>
      <c r="G563" s="53"/>
      <c r="H563" s="53"/>
      <c r="I563" s="171"/>
      <c r="J563" s="170"/>
      <c r="K563" s="53"/>
      <c r="L563" s="53"/>
      <c r="M563" s="53"/>
      <c r="N563" s="171"/>
      <c r="O563" s="170"/>
      <c r="P563" s="53"/>
      <c r="Q563" s="53"/>
      <c r="R563" s="53"/>
      <c r="S563" s="171"/>
      <c r="T563" s="170"/>
      <c r="U563" s="53"/>
      <c r="V563" s="53"/>
      <c r="W563" s="53"/>
      <c r="X563" s="171"/>
      <c r="Y563" s="170"/>
      <c r="Z563" s="170"/>
      <c r="AA563" s="170"/>
      <c r="AB563" s="170"/>
      <c r="AC563" s="170"/>
      <c r="AD563" s="53"/>
      <c r="AE563" s="53"/>
    </row>
    <row r="564">
      <c r="A564" s="53"/>
      <c r="B564" s="53"/>
      <c r="C564" s="168"/>
      <c r="D564" s="169"/>
      <c r="E564" s="170"/>
      <c r="F564" s="53"/>
      <c r="G564" s="53"/>
      <c r="H564" s="53"/>
      <c r="I564" s="171"/>
      <c r="J564" s="170"/>
      <c r="K564" s="53"/>
      <c r="L564" s="53"/>
      <c r="M564" s="53"/>
      <c r="N564" s="171"/>
      <c r="O564" s="170"/>
      <c r="P564" s="53"/>
      <c r="Q564" s="53"/>
      <c r="R564" s="53"/>
      <c r="S564" s="171"/>
      <c r="T564" s="170"/>
      <c r="U564" s="53"/>
      <c r="V564" s="53"/>
      <c r="W564" s="53"/>
      <c r="X564" s="171"/>
      <c r="Y564" s="170"/>
      <c r="Z564" s="170"/>
      <c r="AA564" s="170"/>
      <c r="AB564" s="170"/>
      <c r="AC564" s="170"/>
      <c r="AD564" s="53"/>
      <c r="AE564" s="53"/>
    </row>
    <row r="565">
      <c r="A565" s="53"/>
      <c r="B565" s="53"/>
      <c r="C565" s="168"/>
      <c r="D565" s="169"/>
      <c r="E565" s="170"/>
      <c r="F565" s="53"/>
      <c r="G565" s="53"/>
      <c r="H565" s="53"/>
      <c r="I565" s="171"/>
      <c r="J565" s="170"/>
      <c r="K565" s="53"/>
      <c r="L565" s="53"/>
      <c r="M565" s="53"/>
      <c r="N565" s="171"/>
      <c r="O565" s="170"/>
      <c r="P565" s="53"/>
      <c r="Q565" s="53"/>
      <c r="R565" s="53"/>
      <c r="S565" s="171"/>
      <c r="T565" s="170"/>
      <c r="U565" s="53"/>
      <c r="V565" s="53"/>
      <c r="W565" s="53"/>
      <c r="X565" s="171"/>
      <c r="Y565" s="170"/>
      <c r="Z565" s="170"/>
      <c r="AA565" s="170"/>
      <c r="AB565" s="170"/>
      <c r="AC565" s="170"/>
      <c r="AD565" s="53"/>
      <c r="AE565" s="53"/>
    </row>
    <row r="566">
      <c r="A566" s="53"/>
      <c r="B566" s="53"/>
      <c r="C566" s="168"/>
      <c r="D566" s="169"/>
      <c r="E566" s="170"/>
      <c r="F566" s="53"/>
      <c r="G566" s="53"/>
      <c r="H566" s="53"/>
      <c r="I566" s="171"/>
      <c r="J566" s="170"/>
      <c r="K566" s="53"/>
      <c r="L566" s="53"/>
      <c r="M566" s="53"/>
      <c r="N566" s="171"/>
      <c r="O566" s="170"/>
      <c r="P566" s="53"/>
      <c r="Q566" s="53"/>
      <c r="R566" s="53"/>
      <c r="S566" s="171"/>
      <c r="T566" s="170"/>
      <c r="U566" s="53"/>
      <c r="V566" s="53"/>
      <c r="W566" s="53"/>
      <c r="X566" s="171"/>
      <c r="Y566" s="170"/>
      <c r="Z566" s="170"/>
      <c r="AA566" s="170"/>
      <c r="AB566" s="170"/>
      <c r="AC566" s="170"/>
      <c r="AD566" s="53"/>
      <c r="AE566" s="53"/>
    </row>
    <row r="567">
      <c r="A567" s="53"/>
      <c r="B567" s="53"/>
      <c r="C567" s="168"/>
      <c r="D567" s="169"/>
      <c r="E567" s="170"/>
      <c r="F567" s="53"/>
      <c r="G567" s="53"/>
      <c r="H567" s="53"/>
      <c r="I567" s="171"/>
      <c r="J567" s="170"/>
      <c r="K567" s="53"/>
      <c r="L567" s="53"/>
      <c r="M567" s="53"/>
      <c r="N567" s="171"/>
      <c r="O567" s="170"/>
      <c r="P567" s="53"/>
      <c r="Q567" s="53"/>
      <c r="R567" s="53"/>
      <c r="S567" s="171"/>
      <c r="T567" s="170"/>
      <c r="U567" s="53"/>
      <c r="V567" s="53"/>
      <c r="W567" s="53"/>
      <c r="X567" s="171"/>
      <c r="Y567" s="170"/>
      <c r="Z567" s="170"/>
      <c r="AA567" s="170"/>
      <c r="AB567" s="170"/>
      <c r="AC567" s="170"/>
      <c r="AD567" s="53"/>
      <c r="AE567" s="53"/>
    </row>
    <row r="568">
      <c r="A568" s="53"/>
      <c r="B568" s="53"/>
      <c r="C568" s="168"/>
      <c r="D568" s="169"/>
      <c r="E568" s="170"/>
      <c r="F568" s="53"/>
      <c r="G568" s="53"/>
      <c r="H568" s="53"/>
      <c r="I568" s="171"/>
      <c r="J568" s="170"/>
      <c r="K568" s="53"/>
      <c r="L568" s="53"/>
      <c r="M568" s="53"/>
      <c r="N568" s="171"/>
      <c r="O568" s="170"/>
      <c r="P568" s="53"/>
      <c r="Q568" s="53"/>
      <c r="R568" s="53"/>
      <c r="S568" s="171"/>
      <c r="T568" s="170"/>
      <c r="U568" s="53"/>
      <c r="V568" s="53"/>
      <c r="W568" s="53"/>
      <c r="X568" s="171"/>
      <c r="Y568" s="170"/>
      <c r="Z568" s="170"/>
      <c r="AA568" s="170"/>
      <c r="AB568" s="170"/>
      <c r="AC568" s="170"/>
      <c r="AD568" s="53"/>
      <c r="AE568" s="53"/>
    </row>
    <row r="569">
      <c r="A569" s="53"/>
      <c r="B569" s="53"/>
      <c r="C569" s="168"/>
      <c r="D569" s="169"/>
      <c r="E569" s="170"/>
      <c r="F569" s="53"/>
      <c r="G569" s="53"/>
      <c r="H569" s="53"/>
      <c r="I569" s="171"/>
      <c r="J569" s="170"/>
      <c r="K569" s="53"/>
      <c r="L569" s="53"/>
      <c r="M569" s="53"/>
      <c r="N569" s="171"/>
      <c r="O569" s="170"/>
      <c r="P569" s="53"/>
      <c r="Q569" s="53"/>
      <c r="R569" s="53"/>
      <c r="S569" s="171"/>
      <c r="T569" s="170"/>
      <c r="U569" s="53"/>
      <c r="V569" s="53"/>
      <c r="W569" s="53"/>
      <c r="X569" s="171"/>
      <c r="Y569" s="170"/>
      <c r="Z569" s="170"/>
      <c r="AA569" s="170"/>
      <c r="AB569" s="170"/>
      <c r="AC569" s="170"/>
      <c r="AD569" s="53"/>
      <c r="AE569" s="53"/>
    </row>
    <row r="570">
      <c r="A570" s="53"/>
      <c r="B570" s="53"/>
      <c r="C570" s="168"/>
      <c r="D570" s="169"/>
      <c r="E570" s="170"/>
      <c r="F570" s="53"/>
      <c r="G570" s="53"/>
      <c r="H570" s="53"/>
      <c r="I570" s="171"/>
      <c r="J570" s="170"/>
      <c r="K570" s="53"/>
      <c r="L570" s="53"/>
      <c r="M570" s="53"/>
      <c r="N570" s="171"/>
      <c r="O570" s="170"/>
      <c r="P570" s="53"/>
      <c r="Q570" s="53"/>
      <c r="R570" s="53"/>
      <c r="S570" s="171"/>
      <c r="T570" s="170"/>
      <c r="U570" s="53"/>
      <c r="V570" s="53"/>
      <c r="W570" s="53"/>
      <c r="X570" s="171"/>
      <c r="Y570" s="170"/>
      <c r="Z570" s="170"/>
      <c r="AA570" s="170"/>
      <c r="AB570" s="170"/>
      <c r="AC570" s="170"/>
      <c r="AD570" s="53"/>
      <c r="AE570" s="53"/>
    </row>
    <row r="571">
      <c r="A571" s="53"/>
      <c r="B571" s="53"/>
      <c r="C571" s="168"/>
      <c r="D571" s="169"/>
      <c r="E571" s="170"/>
      <c r="F571" s="53"/>
      <c r="G571" s="53"/>
      <c r="H571" s="53"/>
      <c r="I571" s="171"/>
      <c r="J571" s="170"/>
      <c r="K571" s="53"/>
      <c r="L571" s="53"/>
      <c r="M571" s="53"/>
      <c r="N571" s="171"/>
      <c r="O571" s="170"/>
      <c r="P571" s="53"/>
      <c r="Q571" s="53"/>
      <c r="R571" s="53"/>
      <c r="S571" s="171"/>
      <c r="T571" s="170"/>
      <c r="U571" s="53"/>
      <c r="V571" s="53"/>
      <c r="W571" s="53"/>
      <c r="X571" s="171"/>
      <c r="Y571" s="170"/>
      <c r="Z571" s="170"/>
      <c r="AA571" s="170"/>
      <c r="AB571" s="170"/>
      <c r="AC571" s="170"/>
      <c r="AD571" s="53"/>
      <c r="AE571" s="53"/>
    </row>
    <row r="572">
      <c r="A572" s="53"/>
      <c r="B572" s="53"/>
      <c r="C572" s="168"/>
      <c r="D572" s="169"/>
      <c r="E572" s="170"/>
      <c r="F572" s="53"/>
      <c r="G572" s="53"/>
      <c r="H572" s="53"/>
      <c r="I572" s="171"/>
      <c r="J572" s="170"/>
      <c r="K572" s="53"/>
      <c r="L572" s="53"/>
      <c r="M572" s="53"/>
      <c r="N572" s="171"/>
      <c r="O572" s="170"/>
      <c r="P572" s="53"/>
      <c r="Q572" s="53"/>
      <c r="R572" s="53"/>
      <c r="S572" s="171"/>
      <c r="T572" s="170"/>
      <c r="U572" s="53"/>
      <c r="V572" s="53"/>
      <c r="W572" s="53"/>
      <c r="X572" s="171"/>
      <c r="Y572" s="170"/>
      <c r="Z572" s="170"/>
      <c r="AA572" s="170"/>
      <c r="AB572" s="170"/>
      <c r="AC572" s="170"/>
      <c r="AD572" s="53"/>
      <c r="AE572" s="53"/>
    </row>
    <row r="573">
      <c r="A573" s="53"/>
      <c r="B573" s="53"/>
      <c r="C573" s="168"/>
      <c r="D573" s="169"/>
      <c r="E573" s="170"/>
      <c r="F573" s="53"/>
      <c r="G573" s="53"/>
      <c r="H573" s="53"/>
      <c r="I573" s="171"/>
      <c r="J573" s="170"/>
      <c r="K573" s="53"/>
      <c r="L573" s="53"/>
      <c r="M573" s="53"/>
      <c r="N573" s="171"/>
      <c r="O573" s="170"/>
      <c r="P573" s="53"/>
      <c r="Q573" s="53"/>
      <c r="R573" s="53"/>
      <c r="S573" s="171"/>
      <c r="T573" s="170"/>
      <c r="U573" s="53"/>
      <c r="V573" s="53"/>
      <c r="W573" s="53"/>
      <c r="X573" s="171"/>
      <c r="Y573" s="170"/>
      <c r="Z573" s="170"/>
      <c r="AA573" s="170"/>
      <c r="AB573" s="170"/>
      <c r="AC573" s="170"/>
      <c r="AD573" s="53"/>
      <c r="AE573" s="53"/>
    </row>
    <row r="574">
      <c r="A574" s="53"/>
      <c r="B574" s="53"/>
      <c r="C574" s="168"/>
      <c r="D574" s="169"/>
      <c r="E574" s="170"/>
      <c r="F574" s="53"/>
      <c r="G574" s="53"/>
      <c r="H574" s="53"/>
      <c r="I574" s="171"/>
      <c r="J574" s="170"/>
      <c r="K574" s="53"/>
      <c r="L574" s="53"/>
      <c r="M574" s="53"/>
      <c r="N574" s="171"/>
      <c r="O574" s="170"/>
      <c r="P574" s="53"/>
      <c r="Q574" s="53"/>
      <c r="R574" s="53"/>
      <c r="S574" s="171"/>
      <c r="T574" s="170"/>
      <c r="U574" s="53"/>
      <c r="V574" s="53"/>
      <c r="W574" s="53"/>
      <c r="X574" s="171"/>
      <c r="Y574" s="170"/>
      <c r="Z574" s="170"/>
      <c r="AA574" s="170"/>
      <c r="AB574" s="170"/>
      <c r="AC574" s="170"/>
      <c r="AD574" s="53"/>
      <c r="AE574" s="53"/>
    </row>
    <row r="575">
      <c r="A575" s="53"/>
      <c r="B575" s="53"/>
      <c r="C575" s="168"/>
      <c r="D575" s="169"/>
      <c r="E575" s="170"/>
      <c r="F575" s="53"/>
      <c r="G575" s="53"/>
      <c r="H575" s="53"/>
      <c r="I575" s="171"/>
      <c r="J575" s="170"/>
      <c r="K575" s="53"/>
      <c r="L575" s="53"/>
      <c r="M575" s="53"/>
      <c r="N575" s="171"/>
      <c r="O575" s="170"/>
      <c r="P575" s="53"/>
      <c r="Q575" s="53"/>
      <c r="R575" s="53"/>
      <c r="S575" s="171"/>
      <c r="T575" s="170"/>
      <c r="U575" s="53"/>
      <c r="V575" s="53"/>
      <c r="W575" s="53"/>
      <c r="X575" s="171"/>
      <c r="Y575" s="170"/>
      <c r="Z575" s="170"/>
      <c r="AA575" s="170"/>
      <c r="AB575" s="170"/>
      <c r="AC575" s="170"/>
      <c r="AD575" s="53"/>
      <c r="AE575" s="53"/>
    </row>
    <row r="576">
      <c r="A576" s="53"/>
      <c r="B576" s="53"/>
      <c r="C576" s="168"/>
      <c r="D576" s="169"/>
      <c r="E576" s="170"/>
      <c r="F576" s="53"/>
      <c r="G576" s="53"/>
      <c r="H576" s="53"/>
      <c r="I576" s="171"/>
      <c r="J576" s="170"/>
      <c r="K576" s="53"/>
      <c r="L576" s="53"/>
      <c r="M576" s="53"/>
      <c r="N576" s="171"/>
      <c r="O576" s="170"/>
      <c r="P576" s="53"/>
      <c r="Q576" s="53"/>
      <c r="R576" s="53"/>
      <c r="S576" s="171"/>
      <c r="T576" s="170"/>
      <c r="U576" s="53"/>
      <c r="V576" s="53"/>
      <c r="W576" s="53"/>
      <c r="X576" s="171"/>
      <c r="Y576" s="170"/>
      <c r="Z576" s="170"/>
      <c r="AA576" s="170"/>
      <c r="AB576" s="170"/>
      <c r="AC576" s="170"/>
      <c r="AD576" s="53"/>
      <c r="AE576" s="53"/>
    </row>
    <row r="577">
      <c r="A577" s="53"/>
      <c r="B577" s="53"/>
      <c r="C577" s="168"/>
      <c r="D577" s="169"/>
      <c r="E577" s="170"/>
      <c r="F577" s="53"/>
      <c r="G577" s="53"/>
      <c r="H577" s="53"/>
      <c r="I577" s="171"/>
      <c r="J577" s="170"/>
      <c r="K577" s="53"/>
      <c r="L577" s="53"/>
      <c r="M577" s="53"/>
      <c r="N577" s="171"/>
      <c r="O577" s="170"/>
      <c r="P577" s="53"/>
      <c r="Q577" s="53"/>
      <c r="R577" s="53"/>
      <c r="S577" s="171"/>
      <c r="T577" s="170"/>
      <c r="U577" s="53"/>
      <c r="V577" s="53"/>
      <c r="W577" s="53"/>
      <c r="X577" s="171"/>
      <c r="Y577" s="170"/>
      <c r="Z577" s="170"/>
      <c r="AA577" s="170"/>
      <c r="AB577" s="170"/>
      <c r="AC577" s="170"/>
      <c r="AD577" s="53"/>
      <c r="AE577" s="53"/>
    </row>
    <row r="578">
      <c r="A578" s="53"/>
      <c r="B578" s="53"/>
      <c r="C578" s="168"/>
      <c r="D578" s="169"/>
      <c r="E578" s="170"/>
      <c r="F578" s="53"/>
      <c r="G578" s="53"/>
      <c r="H578" s="53"/>
      <c r="I578" s="171"/>
      <c r="J578" s="170"/>
      <c r="K578" s="53"/>
      <c r="L578" s="53"/>
      <c r="M578" s="53"/>
      <c r="N578" s="171"/>
      <c r="O578" s="170"/>
      <c r="P578" s="53"/>
      <c r="Q578" s="53"/>
      <c r="R578" s="53"/>
      <c r="S578" s="171"/>
      <c r="T578" s="170"/>
      <c r="U578" s="53"/>
      <c r="V578" s="53"/>
      <c r="W578" s="53"/>
      <c r="X578" s="171"/>
      <c r="Y578" s="170"/>
      <c r="Z578" s="170"/>
      <c r="AA578" s="170"/>
      <c r="AB578" s="170"/>
      <c r="AC578" s="170"/>
      <c r="AD578" s="53"/>
      <c r="AE578" s="53"/>
    </row>
    <row r="579">
      <c r="A579" s="53"/>
      <c r="B579" s="53"/>
      <c r="C579" s="168"/>
      <c r="D579" s="169"/>
      <c r="E579" s="170"/>
      <c r="F579" s="53"/>
      <c r="G579" s="53"/>
      <c r="H579" s="53"/>
      <c r="I579" s="171"/>
      <c r="J579" s="170"/>
      <c r="K579" s="53"/>
      <c r="L579" s="53"/>
      <c r="M579" s="53"/>
      <c r="N579" s="171"/>
      <c r="O579" s="170"/>
      <c r="P579" s="53"/>
      <c r="Q579" s="53"/>
      <c r="R579" s="53"/>
      <c r="S579" s="171"/>
      <c r="T579" s="170"/>
      <c r="U579" s="53"/>
      <c r="V579" s="53"/>
      <c r="W579" s="53"/>
      <c r="X579" s="171"/>
      <c r="Y579" s="170"/>
      <c r="Z579" s="170"/>
      <c r="AA579" s="170"/>
      <c r="AB579" s="170"/>
      <c r="AC579" s="170"/>
      <c r="AD579" s="53"/>
      <c r="AE579" s="53"/>
    </row>
    <row r="580">
      <c r="A580" s="53"/>
      <c r="B580" s="53"/>
      <c r="C580" s="168"/>
      <c r="D580" s="169"/>
      <c r="E580" s="170"/>
      <c r="F580" s="53"/>
      <c r="G580" s="53"/>
      <c r="H580" s="53"/>
      <c r="I580" s="171"/>
      <c r="J580" s="170"/>
      <c r="K580" s="53"/>
      <c r="L580" s="53"/>
      <c r="M580" s="53"/>
      <c r="N580" s="171"/>
      <c r="O580" s="170"/>
      <c r="P580" s="53"/>
      <c r="Q580" s="53"/>
      <c r="R580" s="53"/>
      <c r="S580" s="171"/>
      <c r="T580" s="170"/>
      <c r="U580" s="53"/>
      <c r="V580" s="53"/>
      <c r="W580" s="53"/>
      <c r="X580" s="171"/>
      <c r="Y580" s="170"/>
      <c r="Z580" s="170"/>
      <c r="AA580" s="170"/>
      <c r="AB580" s="170"/>
      <c r="AC580" s="170"/>
      <c r="AD580" s="53"/>
      <c r="AE580" s="53"/>
    </row>
    <row r="581">
      <c r="A581" s="53"/>
      <c r="B581" s="53"/>
      <c r="C581" s="168"/>
      <c r="D581" s="169"/>
      <c r="E581" s="170"/>
      <c r="F581" s="53"/>
      <c r="G581" s="53"/>
      <c r="H581" s="53"/>
      <c r="I581" s="171"/>
      <c r="J581" s="170"/>
      <c r="K581" s="53"/>
      <c r="L581" s="53"/>
      <c r="M581" s="53"/>
      <c r="N581" s="171"/>
      <c r="O581" s="170"/>
      <c r="P581" s="53"/>
      <c r="Q581" s="53"/>
      <c r="R581" s="53"/>
      <c r="S581" s="171"/>
      <c r="T581" s="170"/>
      <c r="U581" s="53"/>
      <c r="V581" s="53"/>
      <c r="W581" s="53"/>
      <c r="X581" s="171"/>
      <c r="Y581" s="170"/>
      <c r="Z581" s="170"/>
      <c r="AA581" s="170"/>
      <c r="AB581" s="170"/>
      <c r="AC581" s="170"/>
      <c r="AD581" s="53"/>
      <c r="AE581" s="53"/>
    </row>
    <row r="582">
      <c r="A582" s="53"/>
      <c r="B582" s="53"/>
      <c r="C582" s="168"/>
      <c r="D582" s="169"/>
      <c r="E582" s="170"/>
      <c r="F582" s="53"/>
      <c r="G582" s="53"/>
      <c r="H582" s="53"/>
      <c r="I582" s="171"/>
      <c r="J582" s="170"/>
      <c r="K582" s="53"/>
      <c r="L582" s="53"/>
      <c r="M582" s="53"/>
      <c r="N582" s="171"/>
      <c r="O582" s="170"/>
      <c r="P582" s="53"/>
      <c r="Q582" s="53"/>
      <c r="R582" s="53"/>
      <c r="S582" s="171"/>
      <c r="T582" s="170"/>
      <c r="U582" s="53"/>
      <c r="V582" s="53"/>
      <c r="W582" s="53"/>
      <c r="X582" s="171"/>
      <c r="Y582" s="170"/>
      <c r="Z582" s="170"/>
      <c r="AA582" s="170"/>
      <c r="AB582" s="170"/>
      <c r="AC582" s="170"/>
      <c r="AD582" s="53"/>
      <c r="AE582" s="53"/>
    </row>
    <row r="583">
      <c r="A583" s="53"/>
      <c r="B583" s="53"/>
      <c r="C583" s="168"/>
      <c r="D583" s="169"/>
      <c r="E583" s="170"/>
      <c r="F583" s="53"/>
      <c r="G583" s="53"/>
      <c r="H583" s="53"/>
      <c r="I583" s="171"/>
      <c r="J583" s="170"/>
      <c r="K583" s="53"/>
      <c r="L583" s="53"/>
      <c r="M583" s="53"/>
      <c r="N583" s="171"/>
      <c r="O583" s="170"/>
      <c r="P583" s="53"/>
      <c r="Q583" s="53"/>
      <c r="R583" s="53"/>
      <c r="S583" s="171"/>
      <c r="T583" s="170"/>
      <c r="U583" s="53"/>
      <c r="V583" s="53"/>
      <c r="W583" s="53"/>
      <c r="X583" s="171"/>
      <c r="Y583" s="170"/>
      <c r="Z583" s="170"/>
      <c r="AA583" s="170"/>
      <c r="AB583" s="170"/>
      <c r="AC583" s="170"/>
      <c r="AD583" s="53"/>
      <c r="AE583" s="53"/>
    </row>
    <row r="584">
      <c r="A584" s="53"/>
      <c r="B584" s="53"/>
      <c r="C584" s="168"/>
      <c r="D584" s="169"/>
      <c r="E584" s="170"/>
      <c r="F584" s="53"/>
      <c r="G584" s="53"/>
      <c r="H584" s="53"/>
      <c r="I584" s="171"/>
      <c r="J584" s="170"/>
      <c r="K584" s="53"/>
      <c r="L584" s="53"/>
      <c r="M584" s="53"/>
      <c r="N584" s="171"/>
      <c r="O584" s="170"/>
      <c r="P584" s="53"/>
      <c r="Q584" s="53"/>
      <c r="R584" s="53"/>
      <c r="S584" s="171"/>
      <c r="T584" s="170"/>
      <c r="U584" s="53"/>
      <c r="V584" s="53"/>
      <c r="W584" s="53"/>
      <c r="X584" s="171"/>
      <c r="Y584" s="170"/>
      <c r="Z584" s="170"/>
      <c r="AA584" s="170"/>
      <c r="AB584" s="170"/>
      <c r="AC584" s="170"/>
      <c r="AD584" s="53"/>
      <c r="AE584" s="53"/>
    </row>
    <row r="585">
      <c r="A585" s="53"/>
      <c r="B585" s="53"/>
      <c r="C585" s="168"/>
      <c r="D585" s="169"/>
      <c r="E585" s="170"/>
      <c r="F585" s="53"/>
      <c r="G585" s="53"/>
      <c r="H585" s="53"/>
      <c r="I585" s="171"/>
      <c r="J585" s="170"/>
      <c r="K585" s="53"/>
      <c r="L585" s="53"/>
      <c r="M585" s="53"/>
      <c r="N585" s="171"/>
      <c r="O585" s="170"/>
      <c r="P585" s="53"/>
      <c r="Q585" s="53"/>
      <c r="R585" s="53"/>
      <c r="S585" s="171"/>
      <c r="T585" s="170"/>
      <c r="U585" s="53"/>
      <c r="V585" s="53"/>
      <c r="W585" s="53"/>
      <c r="X585" s="171"/>
      <c r="Y585" s="170"/>
      <c r="Z585" s="170"/>
      <c r="AA585" s="170"/>
      <c r="AB585" s="170"/>
      <c r="AC585" s="170"/>
      <c r="AD585" s="53"/>
      <c r="AE585" s="53"/>
    </row>
    <row r="586">
      <c r="A586" s="53"/>
      <c r="B586" s="53"/>
      <c r="C586" s="168"/>
      <c r="D586" s="169"/>
      <c r="E586" s="170"/>
      <c r="F586" s="53"/>
      <c r="G586" s="53"/>
      <c r="H586" s="53"/>
      <c r="I586" s="171"/>
      <c r="J586" s="170"/>
      <c r="K586" s="53"/>
      <c r="L586" s="53"/>
      <c r="M586" s="53"/>
      <c r="N586" s="171"/>
      <c r="O586" s="170"/>
      <c r="P586" s="53"/>
      <c r="Q586" s="53"/>
      <c r="R586" s="53"/>
      <c r="S586" s="171"/>
      <c r="T586" s="170"/>
      <c r="U586" s="53"/>
      <c r="V586" s="53"/>
      <c r="W586" s="53"/>
      <c r="X586" s="171"/>
      <c r="Y586" s="170"/>
      <c r="Z586" s="170"/>
      <c r="AA586" s="170"/>
      <c r="AB586" s="170"/>
      <c r="AC586" s="170"/>
      <c r="AD586" s="53"/>
      <c r="AE586" s="53"/>
    </row>
    <row r="587">
      <c r="A587" s="53"/>
      <c r="B587" s="53"/>
      <c r="C587" s="168"/>
      <c r="D587" s="169"/>
      <c r="E587" s="170"/>
      <c r="F587" s="53"/>
      <c r="G587" s="53"/>
      <c r="H587" s="53"/>
      <c r="I587" s="171"/>
      <c r="J587" s="170"/>
      <c r="K587" s="53"/>
      <c r="L587" s="53"/>
      <c r="M587" s="53"/>
      <c r="N587" s="171"/>
      <c r="O587" s="170"/>
      <c r="P587" s="53"/>
      <c r="Q587" s="53"/>
      <c r="R587" s="53"/>
      <c r="S587" s="171"/>
      <c r="T587" s="170"/>
      <c r="U587" s="53"/>
      <c r="V587" s="53"/>
      <c r="W587" s="53"/>
      <c r="X587" s="171"/>
      <c r="Y587" s="170"/>
      <c r="Z587" s="170"/>
      <c r="AA587" s="170"/>
      <c r="AB587" s="170"/>
      <c r="AC587" s="170"/>
      <c r="AD587" s="53"/>
      <c r="AE587" s="53"/>
    </row>
    <row r="588">
      <c r="A588" s="53"/>
      <c r="B588" s="53"/>
      <c r="C588" s="168"/>
      <c r="D588" s="169"/>
      <c r="E588" s="170"/>
      <c r="F588" s="53"/>
      <c r="G588" s="53"/>
      <c r="H588" s="53"/>
      <c r="I588" s="171"/>
      <c r="J588" s="170"/>
      <c r="K588" s="53"/>
      <c r="L588" s="53"/>
      <c r="M588" s="53"/>
      <c r="N588" s="171"/>
      <c r="O588" s="170"/>
      <c r="P588" s="53"/>
      <c r="Q588" s="53"/>
      <c r="R588" s="53"/>
      <c r="S588" s="171"/>
      <c r="T588" s="170"/>
      <c r="U588" s="53"/>
      <c r="V588" s="53"/>
      <c r="W588" s="53"/>
      <c r="X588" s="171"/>
      <c r="Y588" s="170"/>
      <c r="Z588" s="170"/>
      <c r="AA588" s="170"/>
      <c r="AB588" s="170"/>
      <c r="AC588" s="170"/>
      <c r="AD588" s="53"/>
      <c r="AE588" s="53"/>
    </row>
    <row r="589">
      <c r="A589" s="53"/>
      <c r="B589" s="53"/>
      <c r="C589" s="168"/>
      <c r="D589" s="169"/>
      <c r="E589" s="170"/>
      <c r="F589" s="53"/>
      <c r="G589" s="53"/>
      <c r="H589" s="53"/>
      <c r="I589" s="171"/>
      <c r="J589" s="170"/>
      <c r="K589" s="53"/>
      <c r="L589" s="53"/>
      <c r="M589" s="53"/>
      <c r="N589" s="171"/>
      <c r="O589" s="170"/>
      <c r="P589" s="53"/>
      <c r="Q589" s="53"/>
      <c r="R589" s="53"/>
      <c r="S589" s="171"/>
      <c r="T589" s="170"/>
      <c r="U589" s="53"/>
      <c r="V589" s="53"/>
      <c r="W589" s="53"/>
      <c r="X589" s="171"/>
      <c r="Y589" s="170"/>
      <c r="Z589" s="170"/>
      <c r="AA589" s="170"/>
      <c r="AB589" s="170"/>
      <c r="AC589" s="170"/>
      <c r="AD589" s="53"/>
      <c r="AE589" s="53"/>
    </row>
    <row r="590">
      <c r="A590" s="53"/>
      <c r="B590" s="53"/>
      <c r="C590" s="168"/>
      <c r="D590" s="169"/>
      <c r="E590" s="170"/>
      <c r="F590" s="53"/>
      <c r="G590" s="53"/>
      <c r="H590" s="53"/>
      <c r="I590" s="171"/>
      <c r="J590" s="170"/>
      <c r="K590" s="53"/>
      <c r="L590" s="53"/>
      <c r="M590" s="53"/>
      <c r="N590" s="171"/>
      <c r="O590" s="170"/>
      <c r="P590" s="53"/>
      <c r="Q590" s="53"/>
      <c r="R590" s="53"/>
      <c r="S590" s="171"/>
      <c r="T590" s="170"/>
      <c r="U590" s="53"/>
      <c r="V590" s="53"/>
      <c r="W590" s="53"/>
      <c r="X590" s="171"/>
      <c r="Y590" s="170"/>
      <c r="Z590" s="170"/>
      <c r="AA590" s="170"/>
      <c r="AB590" s="170"/>
      <c r="AC590" s="170"/>
      <c r="AD590" s="53"/>
      <c r="AE590" s="53"/>
    </row>
    <row r="591">
      <c r="A591" s="53"/>
      <c r="B591" s="53"/>
      <c r="C591" s="168"/>
      <c r="D591" s="169"/>
      <c r="E591" s="170"/>
      <c r="F591" s="53"/>
      <c r="G591" s="53"/>
      <c r="H591" s="53"/>
      <c r="I591" s="171"/>
      <c r="J591" s="170"/>
      <c r="K591" s="53"/>
      <c r="L591" s="53"/>
      <c r="M591" s="53"/>
      <c r="N591" s="171"/>
      <c r="O591" s="170"/>
      <c r="P591" s="53"/>
      <c r="Q591" s="53"/>
      <c r="R591" s="53"/>
      <c r="S591" s="171"/>
      <c r="T591" s="170"/>
      <c r="U591" s="53"/>
      <c r="V591" s="53"/>
      <c r="W591" s="53"/>
      <c r="X591" s="171"/>
      <c r="Y591" s="170"/>
      <c r="Z591" s="170"/>
      <c r="AA591" s="170"/>
      <c r="AB591" s="170"/>
      <c r="AC591" s="170"/>
      <c r="AD591" s="53"/>
      <c r="AE591" s="53"/>
    </row>
    <row r="592">
      <c r="A592" s="53"/>
      <c r="B592" s="53"/>
      <c r="C592" s="168"/>
      <c r="D592" s="169"/>
      <c r="E592" s="170"/>
      <c r="F592" s="53"/>
      <c r="G592" s="53"/>
      <c r="H592" s="53"/>
      <c r="I592" s="171"/>
      <c r="J592" s="170"/>
      <c r="K592" s="53"/>
      <c r="L592" s="53"/>
      <c r="M592" s="53"/>
      <c r="N592" s="171"/>
      <c r="O592" s="170"/>
      <c r="P592" s="53"/>
      <c r="Q592" s="53"/>
      <c r="R592" s="53"/>
      <c r="S592" s="171"/>
      <c r="T592" s="170"/>
      <c r="U592" s="53"/>
      <c r="V592" s="53"/>
      <c r="W592" s="53"/>
      <c r="X592" s="171"/>
      <c r="Y592" s="170"/>
      <c r="Z592" s="170"/>
      <c r="AA592" s="170"/>
      <c r="AB592" s="170"/>
      <c r="AC592" s="170"/>
      <c r="AD592" s="53"/>
      <c r="AE592" s="53"/>
    </row>
    <row r="593">
      <c r="A593" s="53"/>
      <c r="B593" s="53"/>
      <c r="C593" s="168"/>
      <c r="D593" s="169"/>
      <c r="E593" s="170"/>
      <c r="F593" s="53"/>
      <c r="G593" s="53"/>
      <c r="H593" s="53"/>
      <c r="I593" s="171"/>
      <c r="J593" s="170"/>
      <c r="K593" s="53"/>
      <c r="L593" s="53"/>
      <c r="M593" s="53"/>
      <c r="N593" s="171"/>
      <c r="O593" s="170"/>
      <c r="P593" s="53"/>
      <c r="Q593" s="53"/>
      <c r="R593" s="53"/>
      <c r="S593" s="171"/>
      <c r="T593" s="170"/>
      <c r="U593" s="53"/>
      <c r="V593" s="53"/>
      <c r="W593" s="53"/>
      <c r="X593" s="171"/>
      <c r="Y593" s="170"/>
      <c r="Z593" s="170"/>
      <c r="AA593" s="170"/>
      <c r="AB593" s="170"/>
      <c r="AC593" s="170"/>
      <c r="AD593" s="53"/>
      <c r="AE593" s="53"/>
    </row>
    <row r="594">
      <c r="A594" s="53"/>
      <c r="B594" s="53"/>
      <c r="C594" s="168"/>
      <c r="D594" s="169"/>
      <c r="E594" s="170"/>
      <c r="F594" s="53"/>
      <c r="G594" s="53"/>
      <c r="H594" s="53"/>
      <c r="I594" s="171"/>
      <c r="J594" s="170"/>
      <c r="K594" s="53"/>
      <c r="L594" s="53"/>
      <c r="M594" s="53"/>
      <c r="N594" s="171"/>
      <c r="O594" s="170"/>
      <c r="P594" s="53"/>
      <c r="Q594" s="53"/>
      <c r="R594" s="53"/>
      <c r="S594" s="171"/>
      <c r="T594" s="170"/>
      <c r="U594" s="53"/>
      <c r="V594" s="53"/>
      <c r="W594" s="53"/>
      <c r="X594" s="171"/>
      <c r="Y594" s="170"/>
      <c r="Z594" s="170"/>
      <c r="AA594" s="170"/>
      <c r="AB594" s="170"/>
      <c r="AC594" s="170"/>
      <c r="AD594" s="53"/>
      <c r="AE594" s="53"/>
    </row>
    <row r="595">
      <c r="A595" s="53"/>
      <c r="B595" s="53"/>
      <c r="C595" s="168"/>
      <c r="D595" s="169"/>
      <c r="E595" s="170"/>
      <c r="F595" s="53"/>
      <c r="G595" s="53"/>
      <c r="H595" s="53"/>
      <c r="I595" s="171"/>
      <c r="J595" s="170"/>
      <c r="K595" s="53"/>
      <c r="L595" s="53"/>
      <c r="M595" s="53"/>
      <c r="N595" s="171"/>
      <c r="O595" s="170"/>
      <c r="P595" s="53"/>
      <c r="Q595" s="53"/>
      <c r="R595" s="53"/>
      <c r="S595" s="171"/>
      <c r="T595" s="170"/>
      <c r="U595" s="53"/>
      <c r="V595" s="53"/>
      <c r="W595" s="53"/>
      <c r="X595" s="171"/>
      <c r="Y595" s="170"/>
      <c r="Z595" s="170"/>
      <c r="AA595" s="170"/>
      <c r="AB595" s="170"/>
      <c r="AC595" s="170"/>
      <c r="AD595" s="53"/>
      <c r="AE595" s="53"/>
    </row>
    <row r="596">
      <c r="A596" s="53"/>
      <c r="B596" s="53"/>
      <c r="C596" s="168"/>
      <c r="D596" s="169"/>
      <c r="E596" s="170"/>
      <c r="F596" s="53"/>
      <c r="G596" s="53"/>
      <c r="H596" s="53"/>
      <c r="I596" s="171"/>
      <c r="J596" s="170"/>
      <c r="K596" s="53"/>
      <c r="L596" s="53"/>
      <c r="M596" s="53"/>
      <c r="N596" s="171"/>
      <c r="O596" s="170"/>
      <c r="P596" s="53"/>
      <c r="Q596" s="53"/>
      <c r="R596" s="53"/>
      <c r="S596" s="171"/>
      <c r="T596" s="170"/>
      <c r="U596" s="53"/>
      <c r="V596" s="53"/>
      <c r="W596" s="53"/>
      <c r="X596" s="171"/>
      <c r="Y596" s="170"/>
      <c r="Z596" s="170"/>
      <c r="AA596" s="170"/>
      <c r="AB596" s="170"/>
      <c r="AC596" s="170"/>
      <c r="AD596" s="53"/>
      <c r="AE596" s="53"/>
    </row>
    <row r="597">
      <c r="A597" s="53"/>
      <c r="B597" s="53"/>
      <c r="C597" s="168"/>
      <c r="D597" s="169"/>
      <c r="E597" s="170"/>
      <c r="F597" s="53"/>
      <c r="G597" s="53"/>
      <c r="H597" s="53"/>
      <c r="I597" s="171"/>
      <c r="J597" s="170"/>
      <c r="K597" s="53"/>
      <c r="L597" s="53"/>
      <c r="M597" s="53"/>
      <c r="N597" s="171"/>
      <c r="O597" s="170"/>
      <c r="P597" s="53"/>
      <c r="Q597" s="53"/>
      <c r="R597" s="53"/>
      <c r="S597" s="171"/>
      <c r="T597" s="170"/>
      <c r="U597" s="53"/>
      <c r="V597" s="53"/>
      <c r="W597" s="53"/>
      <c r="X597" s="171"/>
      <c r="Y597" s="170"/>
      <c r="Z597" s="170"/>
      <c r="AA597" s="170"/>
      <c r="AB597" s="170"/>
      <c r="AC597" s="170"/>
      <c r="AD597" s="53"/>
      <c r="AE597" s="53"/>
    </row>
    <row r="598">
      <c r="A598" s="53"/>
      <c r="B598" s="53"/>
      <c r="C598" s="168"/>
      <c r="D598" s="169"/>
      <c r="E598" s="170"/>
      <c r="F598" s="53"/>
      <c r="G598" s="53"/>
      <c r="H598" s="53"/>
      <c r="I598" s="171"/>
      <c r="J598" s="170"/>
      <c r="K598" s="53"/>
      <c r="L598" s="53"/>
      <c r="M598" s="53"/>
      <c r="N598" s="171"/>
      <c r="O598" s="170"/>
      <c r="P598" s="53"/>
      <c r="Q598" s="53"/>
      <c r="R598" s="53"/>
      <c r="S598" s="171"/>
      <c r="T598" s="170"/>
      <c r="U598" s="53"/>
      <c r="V598" s="53"/>
      <c r="W598" s="53"/>
      <c r="X598" s="171"/>
      <c r="Y598" s="170"/>
      <c r="Z598" s="170"/>
      <c r="AA598" s="170"/>
      <c r="AB598" s="170"/>
      <c r="AC598" s="170"/>
      <c r="AD598" s="53"/>
      <c r="AE598" s="53"/>
    </row>
    <row r="599">
      <c r="A599" s="53"/>
      <c r="B599" s="53"/>
      <c r="C599" s="168"/>
      <c r="D599" s="169"/>
      <c r="E599" s="170"/>
      <c r="F599" s="53"/>
      <c r="G599" s="53"/>
      <c r="H599" s="53"/>
      <c r="I599" s="171"/>
      <c r="J599" s="170"/>
      <c r="K599" s="53"/>
      <c r="L599" s="53"/>
      <c r="M599" s="53"/>
      <c r="N599" s="171"/>
      <c r="O599" s="170"/>
      <c r="P599" s="53"/>
      <c r="Q599" s="53"/>
      <c r="R599" s="53"/>
      <c r="S599" s="171"/>
      <c r="T599" s="170"/>
      <c r="U599" s="53"/>
      <c r="V599" s="53"/>
      <c r="W599" s="53"/>
      <c r="X599" s="171"/>
      <c r="Y599" s="170"/>
      <c r="Z599" s="170"/>
      <c r="AA599" s="170"/>
      <c r="AB599" s="170"/>
      <c r="AC599" s="170"/>
      <c r="AD599" s="53"/>
      <c r="AE599" s="53"/>
    </row>
    <row r="600">
      <c r="A600" s="53"/>
      <c r="B600" s="53"/>
      <c r="C600" s="168"/>
      <c r="D600" s="169"/>
      <c r="E600" s="170"/>
      <c r="F600" s="53"/>
      <c r="G600" s="53"/>
      <c r="H600" s="53"/>
      <c r="I600" s="171"/>
      <c r="J600" s="170"/>
      <c r="K600" s="53"/>
      <c r="L600" s="53"/>
      <c r="M600" s="53"/>
      <c r="N600" s="171"/>
      <c r="O600" s="170"/>
      <c r="P600" s="53"/>
      <c r="Q600" s="53"/>
      <c r="R600" s="53"/>
      <c r="S600" s="171"/>
      <c r="T600" s="170"/>
      <c r="U600" s="53"/>
      <c r="V600" s="53"/>
      <c r="W600" s="53"/>
      <c r="X600" s="171"/>
      <c r="Y600" s="170"/>
      <c r="Z600" s="170"/>
      <c r="AA600" s="170"/>
      <c r="AB600" s="170"/>
      <c r="AC600" s="170"/>
      <c r="AD600" s="53"/>
      <c r="AE600" s="53"/>
    </row>
    <row r="601">
      <c r="A601" s="53"/>
      <c r="B601" s="53"/>
      <c r="C601" s="168"/>
      <c r="D601" s="169"/>
      <c r="E601" s="170"/>
      <c r="F601" s="53"/>
      <c r="G601" s="53"/>
      <c r="H601" s="53"/>
      <c r="I601" s="171"/>
      <c r="J601" s="170"/>
      <c r="K601" s="53"/>
      <c r="L601" s="53"/>
      <c r="M601" s="53"/>
      <c r="N601" s="171"/>
      <c r="O601" s="170"/>
      <c r="P601" s="53"/>
      <c r="Q601" s="53"/>
      <c r="R601" s="53"/>
      <c r="S601" s="171"/>
      <c r="T601" s="170"/>
      <c r="U601" s="53"/>
      <c r="V601" s="53"/>
      <c r="W601" s="53"/>
      <c r="X601" s="171"/>
      <c r="Y601" s="170"/>
      <c r="Z601" s="170"/>
      <c r="AA601" s="170"/>
      <c r="AB601" s="170"/>
      <c r="AC601" s="170"/>
      <c r="AD601" s="53"/>
      <c r="AE601" s="53"/>
    </row>
    <row r="602">
      <c r="A602" s="53"/>
      <c r="B602" s="53"/>
      <c r="C602" s="168"/>
      <c r="D602" s="169"/>
      <c r="E602" s="170"/>
      <c r="F602" s="53"/>
      <c r="G602" s="53"/>
      <c r="H602" s="53"/>
      <c r="I602" s="171"/>
      <c r="J602" s="170"/>
      <c r="K602" s="53"/>
      <c r="L602" s="53"/>
      <c r="M602" s="53"/>
      <c r="N602" s="171"/>
      <c r="O602" s="170"/>
      <c r="P602" s="53"/>
      <c r="Q602" s="53"/>
      <c r="R602" s="53"/>
      <c r="S602" s="171"/>
      <c r="T602" s="170"/>
      <c r="U602" s="53"/>
      <c r="V602" s="53"/>
      <c r="W602" s="53"/>
      <c r="X602" s="171"/>
      <c r="Y602" s="170"/>
      <c r="Z602" s="170"/>
      <c r="AA602" s="170"/>
      <c r="AB602" s="170"/>
      <c r="AC602" s="170"/>
      <c r="AD602" s="53"/>
      <c r="AE602" s="53"/>
    </row>
    <row r="603">
      <c r="A603" s="53"/>
      <c r="B603" s="53"/>
      <c r="C603" s="168"/>
      <c r="D603" s="169"/>
      <c r="E603" s="170"/>
      <c r="F603" s="53"/>
      <c r="G603" s="53"/>
      <c r="H603" s="53"/>
      <c r="I603" s="171"/>
      <c r="J603" s="170"/>
      <c r="K603" s="53"/>
      <c r="L603" s="53"/>
      <c r="M603" s="53"/>
      <c r="N603" s="171"/>
      <c r="O603" s="170"/>
      <c r="P603" s="53"/>
      <c r="Q603" s="53"/>
      <c r="R603" s="53"/>
      <c r="S603" s="171"/>
      <c r="T603" s="170"/>
      <c r="U603" s="53"/>
      <c r="V603" s="53"/>
      <c r="W603" s="53"/>
      <c r="X603" s="171"/>
      <c r="Y603" s="170"/>
      <c r="Z603" s="170"/>
      <c r="AA603" s="170"/>
      <c r="AB603" s="170"/>
      <c r="AC603" s="170"/>
      <c r="AD603" s="53"/>
      <c r="AE603" s="53"/>
    </row>
    <row r="604">
      <c r="A604" s="53"/>
      <c r="B604" s="53"/>
      <c r="C604" s="168"/>
      <c r="D604" s="169"/>
      <c r="E604" s="170"/>
      <c r="F604" s="53"/>
      <c r="G604" s="53"/>
      <c r="H604" s="53"/>
      <c r="I604" s="171"/>
      <c r="J604" s="170"/>
      <c r="K604" s="53"/>
      <c r="L604" s="53"/>
      <c r="M604" s="53"/>
      <c r="N604" s="171"/>
      <c r="O604" s="170"/>
      <c r="P604" s="53"/>
      <c r="Q604" s="53"/>
      <c r="R604" s="53"/>
      <c r="S604" s="171"/>
      <c r="T604" s="170"/>
      <c r="U604" s="53"/>
      <c r="V604" s="53"/>
      <c r="W604" s="53"/>
      <c r="X604" s="171"/>
      <c r="Y604" s="170"/>
      <c r="Z604" s="170"/>
      <c r="AA604" s="170"/>
      <c r="AB604" s="170"/>
      <c r="AC604" s="170"/>
      <c r="AD604" s="53"/>
      <c r="AE604" s="53"/>
    </row>
    <row r="605">
      <c r="A605" s="53"/>
      <c r="B605" s="53"/>
      <c r="C605" s="168"/>
      <c r="D605" s="169"/>
      <c r="E605" s="170"/>
      <c r="F605" s="53"/>
      <c r="G605" s="53"/>
      <c r="H605" s="53"/>
      <c r="I605" s="171"/>
      <c r="J605" s="170"/>
      <c r="K605" s="53"/>
      <c r="L605" s="53"/>
      <c r="M605" s="53"/>
      <c r="N605" s="171"/>
      <c r="O605" s="170"/>
      <c r="P605" s="53"/>
      <c r="Q605" s="53"/>
      <c r="R605" s="53"/>
      <c r="S605" s="171"/>
      <c r="T605" s="170"/>
      <c r="U605" s="53"/>
      <c r="V605" s="53"/>
      <c r="W605" s="53"/>
      <c r="X605" s="171"/>
      <c r="Y605" s="170"/>
      <c r="Z605" s="170"/>
      <c r="AA605" s="170"/>
      <c r="AB605" s="170"/>
      <c r="AC605" s="170"/>
      <c r="AD605" s="53"/>
      <c r="AE605" s="53"/>
    </row>
    <row r="606">
      <c r="A606" s="53"/>
      <c r="B606" s="53"/>
      <c r="C606" s="168"/>
      <c r="D606" s="169"/>
      <c r="E606" s="170"/>
      <c r="F606" s="53"/>
      <c r="G606" s="53"/>
      <c r="H606" s="53"/>
      <c r="I606" s="171"/>
      <c r="J606" s="170"/>
      <c r="K606" s="53"/>
      <c r="L606" s="53"/>
      <c r="M606" s="53"/>
      <c r="N606" s="171"/>
      <c r="O606" s="170"/>
      <c r="P606" s="53"/>
      <c r="Q606" s="53"/>
      <c r="R606" s="53"/>
      <c r="S606" s="171"/>
      <c r="T606" s="170"/>
      <c r="U606" s="53"/>
      <c r="V606" s="53"/>
      <c r="W606" s="53"/>
      <c r="X606" s="171"/>
      <c r="Y606" s="170"/>
      <c r="Z606" s="170"/>
      <c r="AA606" s="170"/>
      <c r="AB606" s="170"/>
      <c r="AC606" s="170"/>
      <c r="AD606" s="53"/>
      <c r="AE606" s="53"/>
    </row>
    <row r="607">
      <c r="A607" s="53"/>
      <c r="B607" s="53"/>
      <c r="C607" s="168"/>
      <c r="D607" s="169"/>
      <c r="E607" s="170"/>
      <c r="F607" s="53"/>
      <c r="G607" s="53"/>
      <c r="H607" s="53"/>
      <c r="I607" s="171"/>
      <c r="J607" s="170"/>
      <c r="K607" s="53"/>
      <c r="L607" s="53"/>
      <c r="M607" s="53"/>
      <c r="N607" s="171"/>
      <c r="O607" s="170"/>
      <c r="P607" s="53"/>
      <c r="Q607" s="53"/>
      <c r="R607" s="53"/>
      <c r="S607" s="171"/>
      <c r="T607" s="170"/>
      <c r="U607" s="53"/>
      <c r="V607" s="53"/>
      <c r="W607" s="53"/>
      <c r="X607" s="171"/>
      <c r="Y607" s="170"/>
      <c r="Z607" s="170"/>
      <c r="AA607" s="170"/>
      <c r="AB607" s="170"/>
      <c r="AC607" s="170"/>
      <c r="AD607" s="53"/>
      <c r="AE607" s="53"/>
    </row>
    <row r="608">
      <c r="A608" s="53"/>
      <c r="B608" s="53"/>
      <c r="C608" s="168"/>
      <c r="D608" s="169"/>
      <c r="E608" s="170"/>
      <c r="F608" s="53"/>
      <c r="G608" s="53"/>
      <c r="H608" s="53"/>
      <c r="I608" s="171"/>
      <c r="J608" s="170"/>
      <c r="K608" s="53"/>
      <c r="L608" s="53"/>
      <c r="M608" s="53"/>
      <c r="N608" s="171"/>
      <c r="O608" s="170"/>
      <c r="P608" s="53"/>
      <c r="Q608" s="53"/>
      <c r="R608" s="53"/>
      <c r="S608" s="171"/>
      <c r="T608" s="170"/>
      <c r="U608" s="53"/>
      <c r="V608" s="53"/>
      <c r="W608" s="53"/>
      <c r="X608" s="171"/>
      <c r="Y608" s="170"/>
      <c r="Z608" s="170"/>
      <c r="AA608" s="170"/>
      <c r="AB608" s="170"/>
      <c r="AC608" s="170"/>
      <c r="AD608" s="53"/>
      <c r="AE608" s="53"/>
    </row>
    <row r="609">
      <c r="A609" s="53"/>
      <c r="B609" s="53"/>
      <c r="C609" s="168"/>
      <c r="D609" s="169"/>
      <c r="E609" s="170"/>
      <c r="F609" s="53"/>
      <c r="G609" s="53"/>
      <c r="H609" s="53"/>
      <c r="I609" s="171"/>
      <c r="J609" s="170"/>
      <c r="K609" s="53"/>
      <c r="L609" s="53"/>
      <c r="M609" s="53"/>
      <c r="N609" s="171"/>
      <c r="O609" s="170"/>
      <c r="P609" s="53"/>
      <c r="Q609" s="53"/>
      <c r="R609" s="53"/>
      <c r="S609" s="171"/>
      <c r="T609" s="170"/>
      <c r="U609" s="53"/>
      <c r="V609" s="53"/>
      <c r="W609" s="53"/>
      <c r="X609" s="171"/>
      <c r="Y609" s="170"/>
      <c r="Z609" s="170"/>
      <c r="AA609" s="170"/>
      <c r="AB609" s="170"/>
      <c r="AC609" s="170"/>
      <c r="AD609" s="53"/>
      <c r="AE609" s="53"/>
    </row>
    <row r="610">
      <c r="A610" s="53"/>
      <c r="B610" s="53"/>
      <c r="C610" s="168"/>
      <c r="D610" s="169"/>
      <c r="E610" s="170"/>
      <c r="F610" s="53"/>
      <c r="G610" s="53"/>
      <c r="H610" s="53"/>
      <c r="I610" s="171"/>
      <c r="J610" s="170"/>
      <c r="K610" s="53"/>
      <c r="L610" s="53"/>
      <c r="M610" s="53"/>
      <c r="N610" s="171"/>
      <c r="O610" s="170"/>
      <c r="P610" s="53"/>
      <c r="Q610" s="53"/>
      <c r="R610" s="53"/>
      <c r="S610" s="171"/>
      <c r="T610" s="170"/>
      <c r="U610" s="53"/>
      <c r="V610" s="53"/>
      <c r="W610" s="53"/>
      <c r="X610" s="171"/>
      <c r="Y610" s="170"/>
      <c r="Z610" s="170"/>
      <c r="AA610" s="170"/>
      <c r="AB610" s="170"/>
      <c r="AC610" s="170"/>
      <c r="AD610" s="53"/>
      <c r="AE610" s="53"/>
    </row>
    <row r="611">
      <c r="A611" s="53"/>
      <c r="B611" s="53"/>
      <c r="C611" s="168"/>
      <c r="D611" s="169"/>
      <c r="E611" s="170"/>
      <c r="F611" s="53"/>
      <c r="G611" s="53"/>
      <c r="H611" s="53"/>
      <c r="I611" s="171"/>
      <c r="J611" s="170"/>
      <c r="K611" s="53"/>
      <c r="L611" s="53"/>
      <c r="M611" s="53"/>
      <c r="N611" s="171"/>
      <c r="O611" s="170"/>
      <c r="P611" s="53"/>
      <c r="Q611" s="53"/>
      <c r="R611" s="53"/>
      <c r="S611" s="171"/>
      <c r="T611" s="170"/>
      <c r="U611" s="53"/>
      <c r="V611" s="53"/>
      <c r="W611" s="53"/>
      <c r="X611" s="171"/>
      <c r="Y611" s="170"/>
      <c r="Z611" s="170"/>
      <c r="AA611" s="170"/>
      <c r="AB611" s="170"/>
      <c r="AC611" s="170"/>
      <c r="AD611" s="53"/>
      <c r="AE611" s="53"/>
    </row>
    <row r="612">
      <c r="A612" s="53"/>
      <c r="B612" s="53"/>
      <c r="C612" s="168"/>
      <c r="D612" s="169"/>
      <c r="E612" s="170"/>
      <c r="F612" s="53"/>
      <c r="G612" s="53"/>
      <c r="H612" s="53"/>
      <c r="I612" s="171"/>
      <c r="J612" s="170"/>
      <c r="K612" s="53"/>
      <c r="L612" s="53"/>
      <c r="M612" s="53"/>
      <c r="N612" s="171"/>
      <c r="O612" s="170"/>
      <c r="P612" s="53"/>
      <c r="Q612" s="53"/>
      <c r="R612" s="53"/>
      <c r="S612" s="171"/>
      <c r="T612" s="170"/>
      <c r="U612" s="53"/>
      <c r="V612" s="53"/>
      <c r="W612" s="53"/>
      <c r="X612" s="171"/>
      <c r="Y612" s="170"/>
      <c r="Z612" s="170"/>
      <c r="AA612" s="170"/>
      <c r="AB612" s="170"/>
      <c r="AC612" s="170"/>
      <c r="AD612" s="53"/>
      <c r="AE612" s="53"/>
    </row>
    <row r="613">
      <c r="A613" s="53"/>
      <c r="B613" s="53"/>
      <c r="C613" s="168"/>
      <c r="D613" s="169"/>
      <c r="E613" s="170"/>
      <c r="F613" s="53"/>
      <c r="G613" s="53"/>
      <c r="H613" s="53"/>
      <c r="I613" s="171"/>
      <c r="J613" s="170"/>
      <c r="K613" s="53"/>
      <c r="L613" s="53"/>
      <c r="M613" s="53"/>
      <c r="N613" s="171"/>
      <c r="O613" s="170"/>
      <c r="P613" s="53"/>
      <c r="Q613" s="53"/>
      <c r="R613" s="53"/>
      <c r="S613" s="171"/>
      <c r="T613" s="170"/>
      <c r="U613" s="53"/>
      <c r="V613" s="53"/>
      <c r="W613" s="53"/>
      <c r="X613" s="171"/>
      <c r="Y613" s="170"/>
      <c r="Z613" s="170"/>
      <c r="AA613" s="170"/>
      <c r="AB613" s="170"/>
      <c r="AC613" s="170"/>
      <c r="AD613" s="53"/>
      <c r="AE613" s="53"/>
    </row>
    <row r="614">
      <c r="A614" s="53"/>
      <c r="B614" s="53"/>
      <c r="C614" s="168"/>
      <c r="D614" s="169"/>
      <c r="E614" s="170"/>
      <c r="F614" s="53"/>
      <c r="G614" s="53"/>
      <c r="H614" s="53"/>
      <c r="I614" s="171"/>
      <c r="J614" s="170"/>
      <c r="K614" s="53"/>
      <c r="L614" s="53"/>
      <c r="M614" s="53"/>
      <c r="N614" s="171"/>
      <c r="O614" s="170"/>
      <c r="P614" s="53"/>
      <c r="Q614" s="53"/>
      <c r="R614" s="53"/>
      <c r="S614" s="171"/>
      <c r="T614" s="170"/>
      <c r="U614" s="53"/>
      <c r="V614" s="53"/>
      <c r="W614" s="53"/>
      <c r="X614" s="171"/>
      <c r="Y614" s="170"/>
      <c r="Z614" s="170"/>
      <c r="AA614" s="170"/>
      <c r="AB614" s="170"/>
      <c r="AC614" s="170"/>
      <c r="AD614" s="53"/>
      <c r="AE614" s="53"/>
    </row>
    <row r="615">
      <c r="A615" s="53"/>
      <c r="B615" s="53"/>
      <c r="C615" s="168"/>
      <c r="D615" s="169"/>
      <c r="E615" s="170"/>
      <c r="F615" s="53"/>
      <c r="G615" s="53"/>
      <c r="H615" s="53"/>
      <c r="I615" s="171"/>
      <c r="J615" s="170"/>
      <c r="K615" s="53"/>
      <c r="L615" s="53"/>
      <c r="M615" s="53"/>
      <c r="N615" s="171"/>
      <c r="O615" s="170"/>
      <c r="P615" s="53"/>
      <c r="Q615" s="53"/>
      <c r="R615" s="53"/>
      <c r="S615" s="171"/>
      <c r="T615" s="170"/>
      <c r="U615" s="53"/>
      <c r="V615" s="53"/>
      <c r="W615" s="53"/>
      <c r="X615" s="171"/>
      <c r="Y615" s="170"/>
      <c r="Z615" s="170"/>
      <c r="AA615" s="170"/>
      <c r="AB615" s="170"/>
      <c r="AC615" s="170"/>
      <c r="AD615" s="53"/>
      <c r="AE615" s="53"/>
    </row>
    <row r="616">
      <c r="A616" s="53"/>
      <c r="B616" s="53"/>
      <c r="C616" s="168"/>
      <c r="D616" s="169"/>
      <c r="E616" s="170"/>
      <c r="F616" s="53"/>
      <c r="G616" s="53"/>
      <c r="H616" s="53"/>
      <c r="I616" s="171"/>
      <c r="J616" s="170"/>
      <c r="K616" s="53"/>
      <c r="L616" s="53"/>
      <c r="M616" s="53"/>
      <c r="N616" s="171"/>
      <c r="O616" s="170"/>
      <c r="P616" s="53"/>
      <c r="Q616" s="53"/>
      <c r="R616" s="53"/>
      <c r="S616" s="171"/>
      <c r="T616" s="170"/>
      <c r="U616" s="53"/>
      <c r="V616" s="53"/>
      <c r="W616" s="53"/>
      <c r="X616" s="171"/>
      <c r="Y616" s="170"/>
      <c r="Z616" s="170"/>
      <c r="AA616" s="170"/>
      <c r="AB616" s="170"/>
      <c r="AC616" s="170"/>
      <c r="AD616" s="53"/>
      <c r="AE616" s="53"/>
    </row>
    <row r="617">
      <c r="A617" s="53"/>
      <c r="B617" s="53"/>
      <c r="C617" s="168"/>
      <c r="D617" s="169"/>
      <c r="E617" s="170"/>
      <c r="F617" s="53"/>
      <c r="G617" s="53"/>
      <c r="H617" s="53"/>
      <c r="I617" s="171"/>
      <c r="J617" s="170"/>
      <c r="K617" s="53"/>
      <c r="L617" s="53"/>
      <c r="M617" s="53"/>
      <c r="N617" s="171"/>
      <c r="O617" s="170"/>
      <c r="P617" s="53"/>
      <c r="Q617" s="53"/>
      <c r="R617" s="53"/>
      <c r="S617" s="171"/>
      <c r="T617" s="170"/>
      <c r="U617" s="53"/>
      <c r="V617" s="53"/>
      <c r="W617" s="53"/>
      <c r="X617" s="171"/>
      <c r="Y617" s="170"/>
      <c r="Z617" s="170"/>
      <c r="AA617" s="170"/>
      <c r="AB617" s="170"/>
      <c r="AC617" s="170"/>
      <c r="AD617" s="53"/>
      <c r="AE617" s="53"/>
    </row>
    <row r="618">
      <c r="A618" s="53"/>
      <c r="B618" s="53"/>
      <c r="C618" s="168"/>
      <c r="D618" s="169"/>
      <c r="E618" s="170"/>
      <c r="F618" s="53"/>
      <c r="G618" s="53"/>
      <c r="H618" s="53"/>
      <c r="I618" s="171"/>
      <c r="J618" s="170"/>
      <c r="K618" s="53"/>
      <c r="L618" s="53"/>
      <c r="M618" s="53"/>
      <c r="N618" s="171"/>
      <c r="O618" s="170"/>
      <c r="P618" s="53"/>
      <c r="Q618" s="53"/>
      <c r="R618" s="53"/>
      <c r="S618" s="171"/>
      <c r="T618" s="170"/>
      <c r="U618" s="53"/>
      <c r="V618" s="53"/>
      <c r="W618" s="53"/>
      <c r="X618" s="171"/>
      <c r="Y618" s="170"/>
      <c r="Z618" s="170"/>
      <c r="AA618" s="170"/>
      <c r="AB618" s="170"/>
      <c r="AC618" s="170"/>
      <c r="AD618" s="53"/>
      <c r="AE618" s="53"/>
    </row>
    <row r="619">
      <c r="A619" s="53"/>
      <c r="B619" s="53"/>
      <c r="C619" s="168"/>
      <c r="D619" s="169"/>
      <c r="E619" s="170"/>
      <c r="F619" s="53"/>
      <c r="G619" s="53"/>
      <c r="H619" s="53"/>
      <c r="I619" s="171"/>
      <c r="J619" s="170"/>
      <c r="K619" s="53"/>
      <c r="L619" s="53"/>
      <c r="M619" s="53"/>
      <c r="N619" s="171"/>
      <c r="O619" s="170"/>
      <c r="P619" s="53"/>
      <c r="Q619" s="53"/>
      <c r="R619" s="53"/>
      <c r="S619" s="171"/>
      <c r="T619" s="170"/>
      <c r="U619" s="53"/>
      <c r="V619" s="53"/>
      <c r="W619" s="53"/>
      <c r="X619" s="171"/>
      <c r="Y619" s="170"/>
      <c r="Z619" s="170"/>
      <c r="AA619" s="170"/>
      <c r="AB619" s="170"/>
      <c r="AC619" s="170"/>
      <c r="AD619" s="53"/>
      <c r="AE619" s="53"/>
    </row>
    <row r="620">
      <c r="A620" s="53"/>
      <c r="B620" s="53"/>
      <c r="C620" s="168"/>
      <c r="D620" s="169"/>
      <c r="E620" s="170"/>
      <c r="F620" s="53"/>
      <c r="G620" s="53"/>
      <c r="H620" s="53"/>
      <c r="I620" s="171"/>
      <c r="J620" s="170"/>
      <c r="K620" s="53"/>
      <c r="L620" s="53"/>
      <c r="M620" s="53"/>
      <c r="N620" s="171"/>
      <c r="O620" s="170"/>
      <c r="P620" s="53"/>
      <c r="Q620" s="53"/>
      <c r="R620" s="53"/>
      <c r="S620" s="171"/>
      <c r="T620" s="170"/>
      <c r="U620" s="53"/>
      <c r="V620" s="53"/>
      <c r="W620" s="53"/>
      <c r="X620" s="171"/>
      <c r="Y620" s="170"/>
      <c r="Z620" s="170"/>
      <c r="AA620" s="170"/>
      <c r="AB620" s="170"/>
      <c r="AC620" s="170"/>
      <c r="AD620" s="53"/>
      <c r="AE620" s="53"/>
    </row>
    <row r="621">
      <c r="A621" s="53"/>
      <c r="B621" s="53"/>
      <c r="C621" s="168"/>
      <c r="D621" s="169"/>
      <c r="E621" s="170"/>
      <c r="F621" s="53"/>
      <c r="G621" s="53"/>
      <c r="H621" s="53"/>
      <c r="I621" s="171"/>
      <c r="J621" s="170"/>
      <c r="K621" s="53"/>
      <c r="L621" s="53"/>
      <c r="M621" s="53"/>
      <c r="N621" s="171"/>
      <c r="O621" s="170"/>
      <c r="P621" s="53"/>
      <c r="Q621" s="53"/>
      <c r="R621" s="53"/>
      <c r="S621" s="171"/>
      <c r="T621" s="170"/>
      <c r="U621" s="53"/>
      <c r="V621" s="53"/>
      <c r="W621" s="53"/>
      <c r="X621" s="171"/>
      <c r="Y621" s="170"/>
      <c r="Z621" s="170"/>
      <c r="AA621" s="170"/>
      <c r="AB621" s="170"/>
      <c r="AC621" s="170"/>
      <c r="AD621" s="53"/>
      <c r="AE621" s="53"/>
    </row>
    <row r="622">
      <c r="A622" s="53"/>
      <c r="B622" s="53"/>
      <c r="C622" s="168"/>
      <c r="D622" s="169"/>
      <c r="E622" s="170"/>
      <c r="F622" s="53"/>
      <c r="G622" s="53"/>
      <c r="H622" s="53"/>
      <c r="I622" s="171"/>
      <c r="J622" s="170"/>
      <c r="K622" s="53"/>
      <c r="L622" s="53"/>
      <c r="M622" s="53"/>
      <c r="N622" s="171"/>
      <c r="O622" s="170"/>
      <c r="P622" s="53"/>
      <c r="Q622" s="53"/>
      <c r="R622" s="53"/>
      <c r="S622" s="171"/>
      <c r="T622" s="170"/>
      <c r="U622" s="53"/>
      <c r="V622" s="53"/>
      <c r="W622" s="53"/>
      <c r="X622" s="171"/>
      <c r="Y622" s="170"/>
      <c r="Z622" s="170"/>
      <c r="AA622" s="170"/>
      <c r="AB622" s="170"/>
      <c r="AC622" s="170"/>
      <c r="AD622" s="53"/>
      <c r="AE622" s="53"/>
    </row>
    <row r="623">
      <c r="A623" s="53"/>
      <c r="B623" s="53"/>
      <c r="C623" s="168"/>
      <c r="D623" s="169"/>
      <c r="E623" s="170"/>
      <c r="F623" s="53"/>
      <c r="G623" s="53"/>
      <c r="H623" s="53"/>
      <c r="I623" s="171"/>
      <c r="J623" s="170"/>
      <c r="K623" s="53"/>
      <c r="L623" s="53"/>
      <c r="M623" s="53"/>
      <c r="N623" s="171"/>
      <c r="O623" s="170"/>
      <c r="P623" s="53"/>
      <c r="Q623" s="53"/>
      <c r="R623" s="53"/>
      <c r="S623" s="171"/>
      <c r="T623" s="170"/>
      <c r="U623" s="53"/>
      <c r="V623" s="53"/>
      <c r="W623" s="53"/>
      <c r="X623" s="171"/>
      <c r="Y623" s="170"/>
      <c r="Z623" s="170"/>
      <c r="AA623" s="170"/>
      <c r="AB623" s="170"/>
      <c r="AC623" s="170"/>
      <c r="AD623" s="53"/>
      <c r="AE623" s="53"/>
    </row>
    <row r="624">
      <c r="A624" s="53"/>
      <c r="B624" s="53"/>
      <c r="C624" s="168"/>
      <c r="D624" s="169"/>
      <c r="E624" s="170"/>
      <c r="F624" s="53"/>
      <c r="G624" s="53"/>
      <c r="H624" s="53"/>
      <c r="I624" s="171"/>
      <c r="J624" s="170"/>
      <c r="K624" s="53"/>
      <c r="L624" s="53"/>
      <c r="M624" s="53"/>
      <c r="N624" s="171"/>
      <c r="O624" s="170"/>
      <c r="P624" s="53"/>
      <c r="Q624" s="53"/>
      <c r="R624" s="53"/>
      <c r="S624" s="171"/>
      <c r="T624" s="170"/>
      <c r="U624" s="53"/>
      <c r="V624" s="53"/>
      <c r="W624" s="53"/>
      <c r="X624" s="171"/>
      <c r="Y624" s="170"/>
      <c r="Z624" s="170"/>
      <c r="AA624" s="170"/>
      <c r="AB624" s="170"/>
      <c r="AC624" s="170"/>
      <c r="AD624" s="53"/>
      <c r="AE624" s="53"/>
    </row>
    <row r="625">
      <c r="A625" s="53"/>
      <c r="B625" s="53"/>
      <c r="C625" s="168"/>
      <c r="D625" s="169"/>
      <c r="E625" s="170"/>
      <c r="F625" s="53"/>
      <c r="G625" s="53"/>
      <c r="H625" s="53"/>
      <c r="I625" s="171"/>
      <c r="J625" s="170"/>
      <c r="K625" s="53"/>
      <c r="L625" s="53"/>
      <c r="M625" s="53"/>
      <c r="N625" s="171"/>
      <c r="O625" s="170"/>
      <c r="P625" s="53"/>
      <c r="Q625" s="53"/>
      <c r="R625" s="53"/>
      <c r="S625" s="171"/>
      <c r="T625" s="170"/>
      <c r="U625" s="53"/>
      <c r="V625" s="53"/>
      <c r="W625" s="53"/>
      <c r="X625" s="171"/>
      <c r="Y625" s="170"/>
      <c r="Z625" s="170"/>
      <c r="AA625" s="170"/>
      <c r="AB625" s="170"/>
      <c r="AC625" s="170"/>
      <c r="AD625" s="53"/>
      <c r="AE625" s="53"/>
    </row>
    <row r="626">
      <c r="A626" s="53"/>
      <c r="B626" s="53"/>
      <c r="C626" s="168"/>
      <c r="D626" s="169"/>
      <c r="E626" s="170"/>
      <c r="F626" s="53"/>
      <c r="G626" s="53"/>
      <c r="H626" s="53"/>
      <c r="I626" s="171"/>
      <c r="J626" s="170"/>
      <c r="K626" s="53"/>
      <c r="L626" s="53"/>
      <c r="M626" s="53"/>
      <c r="N626" s="171"/>
      <c r="O626" s="170"/>
      <c r="P626" s="53"/>
      <c r="Q626" s="53"/>
      <c r="R626" s="53"/>
      <c r="S626" s="171"/>
      <c r="T626" s="170"/>
      <c r="U626" s="53"/>
      <c r="V626" s="53"/>
      <c r="W626" s="53"/>
      <c r="X626" s="171"/>
      <c r="Y626" s="170"/>
      <c r="Z626" s="170"/>
      <c r="AA626" s="170"/>
      <c r="AB626" s="170"/>
      <c r="AC626" s="170"/>
      <c r="AD626" s="53"/>
      <c r="AE626" s="53"/>
    </row>
    <row r="627">
      <c r="A627" s="53"/>
      <c r="B627" s="53"/>
      <c r="C627" s="168"/>
      <c r="D627" s="169"/>
      <c r="E627" s="170"/>
      <c r="F627" s="53"/>
      <c r="G627" s="53"/>
      <c r="H627" s="53"/>
      <c r="I627" s="171"/>
      <c r="J627" s="170"/>
      <c r="K627" s="53"/>
      <c r="L627" s="53"/>
      <c r="M627" s="53"/>
      <c r="N627" s="171"/>
      <c r="O627" s="170"/>
      <c r="P627" s="53"/>
      <c r="Q627" s="53"/>
      <c r="R627" s="53"/>
      <c r="S627" s="171"/>
      <c r="T627" s="170"/>
      <c r="U627" s="53"/>
      <c r="V627" s="53"/>
      <c r="W627" s="53"/>
      <c r="X627" s="171"/>
      <c r="Y627" s="170"/>
      <c r="Z627" s="170"/>
      <c r="AA627" s="170"/>
      <c r="AB627" s="170"/>
      <c r="AC627" s="170"/>
      <c r="AD627" s="53"/>
      <c r="AE627" s="53"/>
    </row>
    <row r="628">
      <c r="A628" s="53"/>
      <c r="B628" s="53"/>
      <c r="C628" s="168"/>
      <c r="D628" s="169"/>
      <c r="E628" s="170"/>
      <c r="F628" s="53"/>
      <c r="G628" s="53"/>
      <c r="H628" s="53"/>
      <c r="I628" s="171"/>
      <c r="J628" s="170"/>
      <c r="K628" s="53"/>
      <c r="L628" s="53"/>
      <c r="M628" s="53"/>
      <c r="N628" s="171"/>
      <c r="O628" s="170"/>
      <c r="P628" s="53"/>
      <c r="Q628" s="53"/>
      <c r="R628" s="53"/>
      <c r="S628" s="171"/>
      <c r="T628" s="170"/>
      <c r="U628" s="53"/>
      <c r="V628" s="53"/>
      <c r="W628" s="53"/>
      <c r="X628" s="171"/>
      <c r="Y628" s="170"/>
      <c r="Z628" s="170"/>
      <c r="AA628" s="170"/>
      <c r="AB628" s="170"/>
      <c r="AC628" s="170"/>
      <c r="AD628" s="53"/>
      <c r="AE628" s="53"/>
    </row>
    <row r="629">
      <c r="A629" s="53"/>
      <c r="B629" s="53"/>
      <c r="C629" s="168"/>
      <c r="D629" s="169"/>
      <c r="E629" s="170"/>
      <c r="F629" s="53"/>
      <c r="G629" s="53"/>
      <c r="H629" s="53"/>
      <c r="I629" s="171"/>
      <c r="J629" s="170"/>
      <c r="K629" s="53"/>
      <c r="L629" s="53"/>
      <c r="M629" s="53"/>
      <c r="N629" s="171"/>
      <c r="O629" s="170"/>
      <c r="P629" s="53"/>
      <c r="Q629" s="53"/>
      <c r="R629" s="53"/>
      <c r="S629" s="171"/>
      <c r="T629" s="170"/>
      <c r="U629" s="53"/>
      <c r="V629" s="53"/>
      <c r="W629" s="53"/>
      <c r="X629" s="171"/>
      <c r="Y629" s="170"/>
      <c r="Z629" s="170"/>
      <c r="AA629" s="170"/>
      <c r="AB629" s="170"/>
      <c r="AC629" s="170"/>
      <c r="AD629" s="53"/>
      <c r="AE629" s="53"/>
    </row>
    <row r="630">
      <c r="A630" s="53"/>
      <c r="B630" s="53"/>
      <c r="C630" s="168"/>
      <c r="D630" s="169"/>
      <c r="E630" s="170"/>
      <c r="F630" s="53"/>
      <c r="G630" s="53"/>
      <c r="H630" s="53"/>
      <c r="I630" s="171"/>
      <c r="J630" s="170"/>
      <c r="K630" s="53"/>
      <c r="L630" s="53"/>
      <c r="M630" s="53"/>
      <c r="N630" s="171"/>
      <c r="O630" s="170"/>
      <c r="P630" s="53"/>
      <c r="Q630" s="53"/>
      <c r="R630" s="53"/>
      <c r="S630" s="171"/>
      <c r="T630" s="170"/>
      <c r="U630" s="53"/>
      <c r="V630" s="53"/>
      <c r="W630" s="53"/>
      <c r="X630" s="171"/>
      <c r="Y630" s="170"/>
      <c r="Z630" s="170"/>
      <c r="AA630" s="170"/>
      <c r="AB630" s="170"/>
      <c r="AC630" s="170"/>
      <c r="AD630" s="53"/>
      <c r="AE630" s="53"/>
    </row>
    <row r="631">
      <c r="A631" s="53"/>
      <c r="B631" s="53"/>
      <c r="C631" s="168"/>
      <c r="D631" s="169"/>
      <c r="E631" s="170"/>
      <c r="F631" s="53"/>
      <c r="G631" s="53"/>
      <c r="H631" s="53"/>
      <c r="I631" s="171"/>
      <c r="J631" s="170"/>
      <c r="K631" s="53"/>
      <c r="L631" s="53"/>
      <c r="M631" s="53"/>
      <c r="N631" s="171"/>
      <c r="O631" s="170"/>
      <c r="P631" s="53"/>
      <c r="Q631" s="53"/>
      <c r="R631" s="53"/>
      <c r="S631" s="171"/>
      <c r="T631" s="170"/>
      <c r="U631" s="53"/>
      <c r="V631" s="53"/>
      <c r="W631" s="53"/>
      <c r="X631" s="171"/>
      <c r="Y631" s="170"/>
      <c r="Z631" s="170"/>
      <c r="AA631" s="170"/>
      <c r="AB631" s="170"/>
      <c r="AC631" s="170"/>
      <c r="AD631" s="53"/>
      <c r="AE631" s="53"/>
    </row>
    <row r="632">
      <c r="A632" s="53"/>
      <c r="B632" s="53"/>
      <c r="C632" s="168"/>
      <c r="D632" s="169"/>
      <c r="E632" s="170"/>
      <c r="F632" s="53"/>
      <c r="G632" s="53"/>
      <c r="H632" s="53"/>
      <c r="I632" s="171"/>
      <c r="J632" s="170"/>
      <c r="K632" s="53"/>
      <c r="L632" s="53"/>
      <c r="M632" s="53"/>
      <c r="N632" s="171"/>
      <c r="O632" s="170"/>
      <c r="P632" s="53"/>
      <c r="Q632" s="53"/>
      <c r="R632" s="53"/>
      <c r="S632" s="171"/>
      <c r="T632" s="170"/>
      <c r="U632" s="53"/>
      <c r="V632" s="53"/>
      <c r="W632" s="53"/>
      <c r="X632" s="171"/>
      <c r="Y632" s="170"/>
      <c r="Z632" s="170"/>
      <c r="AA632" s="170"/>
      <c r="AB632" s="170"/>
      <c r="AC632" s="170"/>
      <c r="AD632" s="53"/>
      <c r="AE632" s="53"/>
    </row>
    <row r="633">
      <c r="A633" s="53"/>
      <c r="B633" s="53"/>
      <c r="C633" s="168"/>
      <c r="D633" s="169"/>
      <c r="E633" s="170"/>
      <c r="F633" s="53"/>
      <c r="G633" s="53"/>
      <c r="H633" s="53"/>
      <c r="I633" s="171"/>
      <c r="J633" s="170"/>
      <c r="K633" s="53"/>
      <c r="L633" s="53"/>
      <c r="M633" s="53"/>
      <c r="N633" s="171"/>
      <c r="O633" s="170"/>
      <c r="P633" s="53"/>
      <c r="Q633" s="53"/>
      <c r="R633" s="53"/>
      <c r="S633" s="171"/>
      <c r="T633" s="170"/>
      <c r="U633" s="53"/>
      <c r="V633" s="53"/>
      <c r="W633" s="53"/>
      <c r="X633" s="171"/>
      <c r="Y633" s="170"/>
      <c r="Z633" s="170"/>
      <c r="AA633" s="170"/>
      <c r="AB633" s="170"/>
      <c r="AC633" s="170"/>
      <c r="AD633" s="53"/>
      <c r="AE633" s="53"/>
    </row>
    <row r="634">
      <c r="A634" s="53"/>
      <c r="B634" s="53"/>
      <c r="C634" s="168"/>
      <c r="D634" s="169"/>
      <c r="E634" s="170"/>
      <c r="F634" s="53"/>
      <c r="G634" s="53"/>
      <c r="H634" s="53"/>
      <c r="I634" s="171"/>
      <c r="J634" s="170"/>
      <c r="K634" s="53"/>
      <c r="L634" s="53"/>
      <c r="M634" s="53"/>
      <c r="N634" s="171"/>
      <c r="O634" s="170"/>
      <c r="P634" s="53"/>
      <c r="Q634" s="53"/>
      <c r="R634" s="53"/>
      <c r="S634" s="171"/>
      <c r="T634" s="170"/>
      <c r="U634" s="53"/>
      <c r="V634" s="53"/>
      <c r="W634" s="53"/>
      <c r="X634" s="171"/>
      <c r="Y634" s="170"/>
      <c r="Z634" s="170"/>
      <c r="AA634" s="170"/>
      <c r="AB634" s="170"/>
      <c r="AC634" s="170"/>
      <c r="AD634" s="53"/>
      <c r="AE634" s="53"/>
    </row>
    <row r="635">
      <c r="A635" s="53"/>
      <c r="B635" s="53"/>
      <c r="C635" s="168"/>
      <c r="D635" s="169"/>
      <c r="E635" s="170"/>
      <c r="F635" s="53"/>
      <c r="G635" s="53"/>
      <c r="H635" s="53"/>
      <c r="I635" s="171"/>
      <c r="J635" s="170"/>
      <c r="K635" s="53"/>
      <c r="L635" s="53"/>
      <c r="M635" s="53"/>
      <c r="N635" s="171"/>
      <c r="O635" s="170"/>
      <c r="P635" s="53"/>
      <c r="Q635" s="53"/>
      <c r="R635" s="53"/>
      <c r="S635" s="171"/>
      <c r="T635" s="170"/>
      <c r="U635" s="53"/>
      <c r="V635" s="53"/>
      <c r="W635" s="53"/>
      <c r="X635" s="171"/>
      <c r="Y635" s="170"/>
      <c r="Z635" s="170"/>
      <c r="AA635" s="170"/>
      <c r="AB635" s="170"/>
      <c r="AC635" s="170"/>
      <c r="AD635" s="53"/>
      <c r="AE635" s="53"/>
    </row>
    <row r="636">
      <c r="A636" s="53"/>
      <c r="B636" s="53"/>
      <c r="C636" s="168"/>
      <c r="D636" s="169"/>
      <c r="E636" s="170"/>
      <c r="F636" s="53"/>
      <c r="G636" s="53"/>
      <c r="H636" s="53"/>
      <c r="I636" s="171"/>
      <c r="J636" s="170"/>
      <c r="K636" s="53"/>
      <c r="L636" s="53"/>
      <c r="M636" s="53"/>
      <c r="N636" s="171"/>
      <c r="O636" s="170"/>
      <c r="P636" s="53"/>
      <c r="Q636" s="53"/>
      <c r="R636" s="53"/>
      <c r="S636" s="171"/>
      <c r="T636" s="170"/>
      <c r="U636" s="53"/>
      <c r="V636" s="53"/>
      <c r="W636" s="53"/>
      <c r="X636" s="171"/>
      <c r="Y636" s="170"/>
      <c r="Z636" s="170"/>
      <c r="AA636" s="170"/>
      <c r="AB636" s="170"/>
      <c r="AC636" s="170"/>
      <c r="AD636" s="53"/>
      <c r="AE636" s="53"/>
    </row>
    <row r="637">
      <c r="A637" s="53"/>
      <c r="B637" s="53"/>
      <c r="C637" s="168"/>
      <c r="D637" s="169"/>
      <c r="E637" s="170"/>
      <c r="F637" s="53"/>
      <c r="G637" s="53"/>
      <c r="H637" s="53"/>
      <c r="I637" s="171"/>
      <c r="J637" s="170"/>
      <c r="K637" s="53"/>
      <c r="L637" s="53"/>
      <c r="M637" s="53"/>
      <c r="N637" s="171"/>
      <c r="O637" s="170"/>
      <c r="P637" s="53"/>
      <c r="Q637" s="53"/>
      <c r="R637" s="53"/>
      <c r="S637" s="171"/>
      <c r="T637" s="170"/>
      <c r="U637" s="53"/>
      <c r="V637" s="53"/>
      <c r="W637" s="53"/>
      <c r="X637" s="171"/>
      <c r="Y637" s="170"/>
      <c r="Z637" s="170"/>
      <c r="AA637" s="170"/>
      <c r="AB637" s="170"/>
      <c r="AC637" s="170"/>
      <c r="AD637" s="53"/>
      <c r="AE637" s="53"/>
    </row>
    <row r="638">
      <c r="A638" s="53"/>
      <c r="B638" s="53"/>
      <c r="C638" s="168"/>
      <c r="D638" s="169"/>
      <c r="E638" s="170"/>
      <c r="F638" s="53"/>
      <c r="G638" s="53"/>
      <c r="H638" s="53"/>
      <c r="I638" s="171"/>
      <c r="J638" s="170"/>
      <c r="K638" s="53"/>
      <c r="L638" s="53"/>
      <c r="M638" s="53"/>
      <c r="N638" s="171"/>
      <c r="O638" s="170"/>
      <c r="P638" s="53"/>
      <c r="Q638" s="53"/>
      <c r="R638" s="53"/>
      <c r="S638" s="171"/>
      <c r="T638" s="170"/>
      <c r="U638" s="53"/>
      <c r="V638" s="53"/>
      <c r="W638" s="53"/>
      <c r="X638" s="171"/>
      <c r="Y638" s="170"/>
      <c r="Z638" s="170"/>
      <c r="AA638" s="170"/>
      <c r="AB638" s="170"/>
      <c r="AC638" s="170"/>
      <c r="AD638" s="53"/>
      <c r="AE638" s="53"/>
    </row>
    <row r="639">
      <c r="A639" s="53"/>
      <c r="B639" s="53"/>
      <c r="C639" s="168"/>
      <c r="D639" s="169"/>
      <c r="E639" s="170"/>
      <c r="F639" s="53"/>
      <c r="G639" s="53"/>
      <c r="H639" s="53"/>
      <c r="I639" s="171"/>
      <c r="J639" s="170"/>
      <c r="K639" s="53"/>
      <c r="L639" s="53"/>
      <c r="M639" s="53"/>
      <c r="N639" s="171"/>
      <c r="O639" s="170"/>
      <c r="P639" s="53"/>
      <c r="Q639" s="53"/>
      <c r="R639" s="53"/>
      <c r="S639" s="171"/>
      <c r="T639" s="170"/>
      <c r="U639" s="53"/>
      <c r="V639" s="53"/>
      <c r="W639" s="53"/>
      <c r="X639" s="171"/>
      <c r="Y639" s="170"/>
      <c r="Z639" s="170"/>
      <c r="AA639" s="170"/>
      <c r="AB639" s="170"/>
      <c r="AC639" s="170"/>
      <c r="AD639" s="53"/>
      <c r="AE639" s="53"/>
    </row>
    <row r="640">
      <c r="A640" s="53"/>
      <c r="B640" s="53"/>
      <c r="C640" s="168"/>
      <c r="D640" s="169"/>
      <c r="E640" s="170"/>
      <c r="F640" s="53"/>
      <c r="G640" s="53"/>
      <c r="H640" s="53"/>
      <c r="I640" s="171"/>
      <c r="J640" s="170"/>
      <c r="K640" s="53"/>
      <c r="L640" s="53"/>
      <c r="M640" s="53"/>
      <c r="N640" s="171"/>
      <c r="O640" s="170"/>
      <c r="P640" s="53"/>
      <c r="Q640" s="53"/>
      <c r="R640" s="53"/>
      <c r="S640" s="171"/>
      <c r="T640" s="170"/>
      <c r="U640" s="53"/>
      <c r="V640" s="53"/>
      <c r="W640" s="53"/>
      <c r="X640" s="171"/>
      <c r="Y640" s="170"/>
      <c r="Z640" s="170"/>
      <c r="AA640" s="170"/>
      <c r="AB640" s="170"/>
      <c r="AC640" s="170"/>
      <c r="AD640" s="53"/>
      <c r="AE640" s="53"/>
    </row>
    <row r="641">
      <c r="A641" s="53"/>
      <c r="B641" s="53"/>
      <c r="C641" s="168"/>
      <c r="D641" s="169"/>
      <c r="E641" s="170"/>
      <c r="F641" s="53"/>
      <c r="G641" s="53"/>
      <c r="H641" s="53"/>
      <c r="I641" s="171"/>
      <c r="J641" s="170"/>
      <c r="K641" s="53"/>
      <c r="L641" s="53"/>
      <c r="M641" s="53"/>
      <c r="N641" s="171"/>
      <c r="O641" s="170"/>
      <c r="P641" s="53"/>
      <c r="Q641" s="53"/>
      <c r="R641" s="53"/>
      <c r="S641" s="171"/>
      <c r="T641" s="170"/>
      <c r="U641" s="53"/>
      <c r="V641" s="53"/>
      <c r="W641" s="53"/>
      <c r="X641" s="171"/>
      <c r="Y641" s="170"/>
      <c r="Z641" s="170"/>
      <c r="AA641" s="170"/>
      <c r="AB641" s="170"/>
      <c r="AC641" s="170"/>
      <c r="AD641" s="53"/>
      <c r="AE641" s="53"/>
    </row>
    <row r="642">
      <c r="A642" s="53"/>
      <c r="B642" s="53"/>
      <c r="C642" s="168"/>
      <c r="D642" s="169"/>
      <c r="E642" s="170"/>
      <c r="F642" s="53"/>
      <c r="G642" s="53"/>
      <c r="H642" s="53"/>
      <c r="I642" s="171"/>
      <c r="J642" s="170"/>
      <c r="K642" s="53"/>
      <c r="L642" s="53"/>
      <c r="M642" s="53"/>
      <c r="N642" s="171"/>
      <c r="O642" s="170"/>
      <c r="P642" s="53"/>
      <c r="Q642" s="53"/>
      <c r="R642" s="53"/>
      <c r="S642" s="171"/>
      <c r="T642" s="170"/>
      <c r="U642" s="53"/>
      <c r="V642" s="53"/>
      <c r="W642" s="53"/>
      <c r="X642" s="171"/>
      <c r="Y642" s="170"/>
      <c r="Z642" s="170"/>
      <c r="AA642" s="170"/>
      <c r="AB642" s="170"/>
      <c r="AC642" s="170"/>
      <c r="AD642" s="53"/>
      <c r="AE642" s="53"/>
    </row>
    <row r="643">
      <c r="A643" s="53"/>
      <c r="B643" s="53"/>
      <c r="C643" s="168"/>
      <c r="D643" s="169"/>
      <c r="E643" s="170"/>
      <c r="F643" s="53"/>
      <c r="G643" s="53"/>
      <c r="H643" s="53"/>
      <c r="I643" s="171"/>
      <c r="J643" s="170"/>
      <c r="K643" s="53"/>
      <c r="L643" s="53"/>
      <c r="M643" s="53"/>
      <c r="N643" s="171"/>
      <c r="O643" s="170"/>
      <c r="P643" s="53"/>
      <c r="Q643" s="53"/>
      <c r="R643" s="53"/>
      <c r="S643" s="171"/>
      <c r="T643" s="170"/>
      <c r="U643" s="53"/>
      <c r="V643" s="53"/>
      <c r="W643" s="53"/>
      <c r="X643" s="171"/>
      <c r="Y643" s="170"/>
      <c r="Z643" s="170"/>
      <c r="AA643" s="170"/>
      <c r="AB643" s="170"/>
      <c r="AC643" s="170"/>
      <c r="AD643" s="53"/>
      <c r="AE643" s="53"/>
    </row>
    <row r="644">
      <c r="A644" s="53"/>
      <c r="B644" s="53"/>
      <c r="C644" s="168"/>
      <c r="D644" s="169"/>
      <c r="E644" s="170"/>
      <c r="F644" s="53"/>
      <c r="G644" s="53"/>
      <c r="H644" s="53"/>
      <c r="I644" s="171"/>
      <c r="J644" s="170"/>
      <c r="K644" s="53"/>
      <c r="L644" s="53"/>
      <c r="M644" s="53"/>
      <c r="N644" s="171"/>
      <c r="O644" s="170"/>
      <c r="P644" s="53"/>
      <c r="Q644" s="53"/>
      <c r="R644" s="53"/>
      <c r="S644" s="171"/>
      <c r="T644" s="170"/>
      <c r="U644" s="53"/>
      <c r="V644" s="53"/>
      <c r="W644" s="53"/>
      <c r="X644" s="171"/>
      <c r="Y644" s="170"/>
      <c r="Z644" s="170"/>
      <c r="AA644" s="170"/>
      <c r="AB644" s="170"/>
      <c r="AC644" s="170"/>
      <c r="AD644" s="53"/>
      <c r="AE644" s="53"/>
    </row>
    <row r="645">
      <c r="A645" s="53"/>
      <c r="B645" s="53"/>
      <c r="C645" s="168"/>
      <c r="D645" s="169"/>
      <c r="E645" s="170"/>
      <c r="F645" s="53"/>
      <c r="G645" s="53"/>
      <c r="H645" s="53"/>
      <c r="I645" s="171"/>
      <c r="J645" s="170"/>
      <c r="K645" s="53"/>
      <c r="L645" s="53"/>
      <c r="M645" s="53"/>
      <c r="N645" s="171"/>
      <c r="O645" s="170"/>
      <c r="P645" s="53"/>
      <c r="Q645" s="53"/>
      <c r="R645" s="53"/>
      <c r="S645" s="171"/>
      <c r="T645" s="170"/>
      <c r="U645" s="53"/>
      <c r="V645" s="53"/>
      <c r="W645" s="53"/>
      <c r="X645" s="171"/>
      <c r="Y645" s="170"/>
      <c r="Z645" s="170"/>
      <c r="AA645" s="170"/>
      <c r="AB645" s="170"/>
      <c r="AC645" s="170"/>
      <c r="AD645" s="53"/>
      <c r="AE645" s="53"/>
    </row>
    <row r="646">
      <c r="A646" s="53"/>
      <c r="B646" s="53"/>
      <c r="C646" s="168"/>
      <c r="D646" s="169"/>
      <c r="E646" s="170"/>
      <c r="F646" s="53"/>
      <c r="G646" s="53"/>
      <c r="H646" s="53"/>
      <c r="I646" s="171"/>
      <c r="J646" s="170"/>
      <c r="K646" s="53"/>
      <c r="L646" s="53"/>
      <c r="M646" s="53"/>
      <c r="N646" s="171"/>
      <c r="O646" s="170"/>
      <c r="P646" s="53"/>
      <c r="Q646" s="53"/>
      <c r="R646" s="53"/>
      <c r="S646" s="171"/>
      <c r="T646" s="170"/>
      <c r="U646" s="53"/>
      <c r="V646" s="53"/>
      <c r="W646" s="53"/>
      <c r="X646" s="171"/>
      <c r="Y646" s="170"/>
      <c r="Z646" s="170"/>
      <c r="AA646" s="170"/>
      <c r="AB646" s="170"/>
      <c r="AC646" s="170"/>
      <c r="AD646" s="53"/>
      <c r="AE646" s="53"/>
    </row>
    <row r="647">
      <c r="A647" s="53"/>
      <c r="B647" s="53"/>
      <c r="C647" s="168"/>
      <c r="D647" s="169"/>
      <c r="E647" s="170"/>
      <c r="F647" s="53"/>
      <c r="G647" s="53"/>
      <c r="H647" s="53"/>
      <c r="I647" s="171"/>
      <c r="J647" s="170"/>
      <c r="K647" s="53"/>
      <c r="L647" s="53"/>
      <c r="M647" s="53"/>
      <c r="N647" s="171"/>
      <c r="O647" s="170"/>
      <c r="P647" s="53"/>
      <c r="Q647" s="53"/>
      <c r="R647" s="53"/>
      <c r="S647" s="171"/>
      <c r="T647" s="170"/>
      <c r="U647" s="53"/>
      <c r="V647" s="53"/>
      <c r="W647" s="53"/>
      <c r="X647" s="171"/>
      <c r="Y647" s="170"/>
      <c r="Z647" s="170"/>
      <c r="AA647" s="170"/>
      <c r="AB647" s="170"/>
      <c r="AC647" s="170"/>
      <c r="AD647" s="53"/>
      <c r="AE647" s="53"/>
    </row>
    <row r="648">
      <c r="A648" s="53"/>
      <c r="B648" s="53"/>
      <c r="C648" s="168"/>
      <c r="D648" s="169"/>
      <c r="E648" s="170"/>
      <c r="F648" s="53"/>
      <c r="G648" s="53"/>
      <c r="H648" s="53"/>
      <c r="I648" s="171"/>
      <c r="J648" s="170"/>
      <c r="K648" s="53"/>
      <c r="L648" s="53"/>
      <c r="M648" s="53"/>
      <c r="N648" s="171"/>
      <c r="O648" s="170"/>
      <c r="P648" s="53"/>
      <c r="Q648" s="53"/>
      <c r="R648" s="53"/>
      <c r="S648" s="171"/>
      <c r="T648" s="170"/>
      <c r="U648" s="53"/>
      <c r="V648" s="53"/>
      <c r="W648" s="53"/>
      <c r="X648" s="171"/>
      <c r="Y648" s="170"/>
      <c r="Z648" s="170"/>
      <c r="AA648" s="170"/>
      <c r="AB648" s="170"/>
      <c r="AC648" s="170"/>
      <c r="AD648" s="53"/>
      <c r="AE648" s="53"/>
    </row>
    <row r="649">
      <c r="A649" s="53"/>
      <c r="B649" s="53"/>
      <c r="C649" s="168"/>
      <c r="D649" s="169"/>
      <c r="E649" s="170"/>
      <c r="F649" s="53"/>
      <c r="G649" s="53"/>
      <c r="H649" s="53"/>
      <c r="I649" s="171"/>
      <c r="J649" s="170"/>
      <c r="K649" s="53"/>
      <c r="L649" s="53"/>
      <c r="M649" s="53"/>
      <c r="N649" s="171"/>
      <c r="O649" s="170"/>
      <c r="P649" s="53"/>
      <c r="Q649" s="53"/>
      <c r="R649" s="53"/>
      <c r="S649" s="171"/>
      <c r="T649" s="170"/>
      <c r="U649" s="53"/>
      <c r="V649" s="53"/>
      <c r="W649" s="53"/>
      <c r="X649" s="171"/>
      <c r="Y649" s="170"/>
      <c r="Z649" s="170"/>
      <c r="AA649" s="170"/>
      <c r="AB649" s="170"/>
      <c r="AC649" s="170"/>
      <c r="AD649" s="53"/>
      <c r="AE649" s="53"/>
    </row>
    <row r="650">
      <c r="A650" s="53"/>
      <c r="B650" s="53"/>
      <c r="C650" s="168"/>
      <c r="D650" s="169"/>
      <c r="E650" s="170"/>
      <c r="F650" s="53"/>
      <c r="G650" s="53"/>
      <c r="H650" s="53"/>
      <c r="I650" s="171"/>
      <c r="J650" s="170"/>
      <c r="K650" s="53"/>
      <c r="L650" s="53"/>
      <c r="M650" s="53"/>
      <c r="N650" s="171"/>
      <c r="O650" s="170"/>
      <c r="P650" s="53"/>
      <c r="Q650" s="53"/>
      <c r="R650" s="53"/>
      <c r="S650" s="171"/>
      <c r="T650" s="170"/>
      <c r="U650" s="53"/>
      <c r="V650" s="53"/>
      <c r="W650" s="53"/>
      <c r="X650" s="171"/>
      <c r="Y650" s="170"/>
      <c r="Z650" s="170"/>
      <c r="AA650" s="170"/>
      <c r="AB650" s="170"/>
      <c r="AC650" s="170"/>
      <c r="AD650" s="53"/>
      <c r="AE650" s="53"/>
    </row>
    <row r="651">
      <c r="A651" s="53"/>
      <c r="B651" s="53"/>
      <c r="C651" s="168"/>
      <c r="D651" s="169"/>
      <c r="E651" s="170"/>
      <c r="F651" s="53"/>
      <c r="G651" s="53"/>
      <c r="H651" s="53"/>
      <c r="I651" s="171"/>
      <c r="J651" s="170"/>
      <c r="K651" s="53"/>
      <c r="L651" s="53"/>
      <c r="M651" s="53"/>
      <c r="N651" s="171"/>
      <c r="O651" s="170"/>
      <c r="P651" s="53"/>
      <c r="Q651" s="53"/>
      <c r="R651" s="53"/>
      <c r="S651" s="171"/>
      <c r="T651" s="170"/>
      <c r="U651" s="53"/>
      <c r="V651" s="53"/>
      <c r="W651" s="53"/>
      <c r="X651" s="171"/>
      <c r="Y651" s="170"/>
      <c r="Z651" s="170"/>
      <c r="AA651" s="170"/>
      <c r="AB651" s="170"/>
      <c r="AC651" s="170"/>
      <c r="AD651" s="53"/>
      <c r="AE651" s="53"/>
    </row>
    <row r="652">
      <c r="A652" s="53"/>
      <c r="B652" s="53"/>
      <c r="C652" s="168"/>
      <c r="D652" s="169"/>
      <c r="E652" s="170"/>
      <c r="F652" s="53"/>
      <c r="G652" s="53"/>
      <c r="H652" s="53"/>
      <c r="I652" s="171"/>
      <c r="J652" s="170"/>
      <c r="K652" s="53"/>
      <c r="L652" s="53"/>
      <c r="M652" s="53"/>
      <c r="N652" s="171"/>
      <c r="O652" s="170"/>
      <c r="P652" s="53"/>
      <c r="Q652" s="53"/>
      <c r="R652" s="53"/>
      <c r="S652" s="171"/>
      <c r="T652" s="170"/>
      <c r="U652" s="53"/>
      <c r="V652" s="53"/>
      <c r="W652" s="53"/>
      <c r="X652" s="171"/>
      <c r="Y652" s="170"/>
      <c r="Z652" s="170"/>
      <c r="AA652" s="170"/>
      <c r="AB652" s="170"/>
      <c r="AC652" s="170"/>
      <c r="AD652" s="53"/>
      <c r="AE652" s="53"/>
    </row>
    <row r="653">
      <c r="A653" s="53"/>
      <c r="B653" s="53"/>
      <c r="C653" s="168"/>
      <c r="D653" s="169"/>
      <c r="E653" s="170"/>
      <c r="F653" s="53"/>
      <c r="G653" s="53"/>
      <c r="H653" s="53"/>
      <c r="I653" s="171"/>
      <c r="J653" s="170"/>
      <c r="K653" s="53"/>
      <c r="L653" s="53"/>
      <c r="M653" s="53"/>
      <c r="N653" s="171"/>
      <c r="O653" s="170"/>
      <c r="P653" s="53"/>
      <c r="Q653" s="53"/>
      <c r="R653" s="53"/>
      <c r="S653" s="171"/>
      <c r="T653" s="170"/>
      <c r="U653" s="53"/>
      <c r="V653" s="53"/>
      <c r="W653" s="53"/>
      <c r="X653" s="171"/>
      <c r="Y653" s="170"/>
      <c r="Z653" s="170"/>
      <c r="AA653" s="170"/>
      <c r="AB653" s="170"/>
      <c r="AC653" s="170"/>
      <c r="AD653" s="53"/>
      <c r="AE653" s="53"/>
    </row>
    <row r="654">
      <c r="A654" s="53"/>
      <c r="B654" s="53"/>
      <c r="C654" s="168"/>
      <c r="D654" s="169"/>
      <c r="E654" s="170"/>
      <c r="F654" s="53"/>
      <c r="G654" s="53"/>
      <c r="H654" s="53"/>
      <c r="I654" s="171"/>
      <c r="J654" s="170"/>
      <c r="K654" s="53"/>
      <c r="L654" s="53"/>
      <c r="M654" s="53"/>
      <c r="N654" s="171"/>
      <c r="O654" s="170"/>
      <c r="P654" s="53"/>
      <c r="Q654" s="53"/>
      <c r="R654" s="53"/>
      <c r="S654" s="171"/>
      <c r="T654" s="170"/>
      <c r="U654" s="53"/>
      <c r="V654" s="53"/>
      <c r="W654" s="53"/>
      <c r="X654" s="171"/>
      <c r="Y654" s="170"/>
      <c r="Z654" s="170"/>
      <c r="AA654" s="170"/>
      <c r="AB654" s="170"/>
      <c r="AC654" s="170"/>
      <c r="AD654" s="53"/>
      <c r="AE654" s="53"/>
    </row>
    <row r="655">
      <c r="A655" s="53"/>
      <c r="B655" s="53"/>
      <c r="C655" s="168"/>
      <c r="D655" s="169"/>
      <c r="E655" s="170"/>
      <c r="F655" s="53"/>
      <c r="G655" s="53"/>
      <c r="H655" s="53"/>
      <c r="I655" s="171"/>
      <c r="J655" s="170"/>
      <c r="K655" s="53"/>
      <c r="L655" s="53"/>
      <c r="M655" s="53"/>
      <c r="N655" s="171"/>
      <c r="O655" s="170"/>
      <c r="P655" s="53"/>
      <c r="Q655" s="53"/>
      <c r="R655" s="53"/>
      <c r="S655" s="171"/>
      <c r="T655" s="170"/>
      <c r="U655" s="53"/>
      <c r="V655" s="53"/>
      <c r="W655" s="53"/>
      <c r="X655" s="171"/>
      <c r="Y655" s="170"/>
      <c r="Z655" s="170"/>
      <c r="AA655" s="170"/>
      <c r="AB655" s="170"/>
      <c r="AC655" s="170"/>
      <c r="AD655" s="53"/>
      <c r="AE655" s="53"/>
    </row>
    <row r="656">
      <c r="A656" s="53"/>
      <c r="B656" s="53"/>
      <c r="C656" s="168"/>
      <c r="D656" s="169"/>
      <c r="E656" s="170"/>
      <c r="F656" s="53"/>
      <c r="G656" s="53"/>
      <c r="H656" s="53"/>
      <c r="I656" s="171"/>
      <c r="J656" s="170"/>
      <c r="K656" s="53"/>
      <c r="L656" s="53"/>
      <c r="M656" s="53"/>
      <c r="N656" s="171"/>
      <c r="O656" s="170"/>
      <c r="P656" s="53"/>
      <c r="Q656" s="53"/>
      <c r="R656" s="53"/>
      <c r="S656" s="171"/>
      <c r="T656" s="170"/>
      <c r="U656" s="53"/>
      <c r="V656" s="53"/>
      <c r="W656" s="53"/>
      <c r="X656" s="171"/>
      <c r="Y656" s="170"/>
      <c r="Z656" s="170"/>
      <c r="AA656" s="170"/>
      <c r="AB656" s="170"/>
      <c r="AC656" s="170"/>
      <c r="AD656" s="53"/>
      <c r="AE656" s="53"/>
    </row>
    <row r="657">
      <c r="A657" s="53"/>
      <c r="B657" s="53"/>
      <c r="C657" s="168"/>
      <c r="D657" s="169"/>
      <c r="E657" s="170"/>
      <c r="F657" s="53"/>
      <c r="G657" s="53"/>
      <c r="H657" s="53"/>
      <c r="I657" s="171"/>
      <c r="J657" s="170"/>
      <c r="K657" s="53"/>
      <c r="L657" s="53"/>
      <c r="M657" s="53"/>
      <c r="N657" s="171"/>
      <c r="O657" s="170"/>
      <c r="P657" s="53"/>
      <c r="Q657" s="53"/>
      <c r="R657" s="53"/>
      <c r="S657" s="171"/>
      <c r="T657" s="170"/>
      <c r="U657" s="53"/>
      <c r="V657" s="53"/>
      <c r="W657" s="53"/>
      <c r="X657" s="171"/>
      <c r="Y657" s="170"/>
      <c r="Z657" s="170"/>
      <c r="AA657" s="170"/>
      <c r="AB657" s="170"/>
      <c r="AC657" s="170"/>
      <c r="AD657" s="53"/>
      <c r="AE657" s="53"/>
    </row>
    <row r="658">
      <c r="A658" s="53"/>
      <c r="B658" s="53"/>
      <c r="C658" s="168"/>
      <c r="D658" s="169"/>
      <c r="E658" s="170"/>
      <c r="F658" s="53"/>
      <c r="G658" s="53"/>
      <c r="H658" s="53"/>
      <c r="I658" s="171"/>
      <c r="J658" s="170"/>
      <c r="K658" s="53"/>
      <c r="L658" s="53"/>
      <c r="M658" s="53"/>
      <c r="N658" s="171"/>
      <c r="O658" s="170"/>
      <c r="P658" s="53"/>
      <c r="Q658" s="53"/>
      <c r="R658" s="53"/>
      <c r="S658" s="171"/>
      <c r="T658" s="170"/>
      <c r="U658" s="53"/>
      <c r="V658" s="53"/>
      <c r="W658" s="53"/>
      <c r="X658" s="171"/>
      <c r="Y658" s="170"/>
      <c r="Z658" s="170"/>
      <c r="AA658" s="170"/>
      <c r="AB658" s="170"/>
      <c r="AC658" s="170"/>
      <c r="AD658" s="53"/>
      <c r="AE658" s="53"/>
    </row>
    <row r="659">
      <c r="A659" s="53"/>
      <c r="B659" s="53"/>
      <c r="C659" s="168"/>
      <c r="D659" s="169"/>
      <c r="E659" s="170"/>
      <c r="F659" s="53"/>
      <c r="G659" s="53"/>
      <c r="H659" s="53"/>
      <c r="I659" s="171"/>
      <c r="J659" s="170"/>
      <c r="K659" s="53"/>
      <c r="L659" s="53"/>
      <c r="M659" s="53"/>
      <c r="N659" s="171"/>
      <c r="O659" s="170"/>
      <c r="P659" s="53"/>
      <c r="Q659" s="53"/>
      <c r="R659" s="53"/>
      <c r="S659" s="171"/>
      <c r="T659" s="170"/>
      <c r="U659" s="53"/>
      <c r="V659" s="53"/>
      <c r="W659" s="53"/>
      <c r="X659" s="171"/>
      <c r="Y659" s="170"/>
      <c r="Z659" s="170"/>
      <c r="AA659" s="170"/>
      <c r="AB659" s="170"/>
      <c r="AC659" s="170"/>
      <c r="AD659" s="53"/>
      <c r="AE659" s="53"/>
    </row>
    <row r="660">
      <c r="A660" s="53"/>
      <c r="B660" s="53"/>
      <c r="C660" s="168"/>
      <c r="D660" s="169"/>
      <c r="E660" s="170"/>
      <c r="F660" s="53"/>
      <c r="G660" s="53"/>
      <c r="H660" s="53"/>
      <c r="I660" s="171"/>
      <c r="J660" s="170"/>
      <c r="K660" s="53"/>
      <c r="L660" s="53"/>
      <c r="M660" s="53"/>
      <c r="N660" s="171"/>
      <c r="O660" s="170"/>
      <c r="P660" s="53"/>
      <c r="Q660" s="53"/>
      <c r="R660" s="53"/>
      <c r="S660" s="171"/>
      <c r="T660" s="170"/>
      <c r="U660" s="53"/>
      <c r="V660" s="53"/>
      <c r="W660" s="53"/>
      <c r="X660" s="171"/>
      <c r="Y660" s="170"/>
      <c r="Z660" s="170"/>
      <c r="AA660" s="170"/>
      <c r="AB660" s="170"/>
      <c r="AC660" s="170"/>
      <c r="AD660" s="53"/>
      <c r="AE660" s="53"/>
    </row>
    <row r="661">
      <c r="A661" s="53"/>
      <c r="B661" s="53"/>
      <c r="C661" s="168"/>
      <c r="D661" s="169"/>
      <c r="E661" s="170"/>
      <c r="F661" s="53"/>
      <c r="G661" s="53"/>
      <c r="H661" s="53"/>
      <c r="I661" s="171"/>
      <c r="J661" s="170"/>
      <c r="K661" s="53"/>
      <c r="L661" s="53"/>
      <c r="M661" s="53"/>
      <c r="N661" s="171"/>
      <c r="O661" s="170"/>
      <c r="P661" s="53"/>
      <c r="Q661" s="53"/>
      <c r="R661" s="53"/>
      <c r="S661" s="171"/>
      <c r="T661" s="170"/>
      <c r="U661" s="53"/>
      <c r="V661" s="53"/>
      <c r="W661" s="53"/>
      <c r="X661" s="171"/>
      <c r="Y661" s="170"/>
      <c r="Z661" s="170"/>
      <c r="AA661" s="170"/>
      <c r="AB661" s="170"/>
      <c r="AC661" s="170"/>
      <c r="AD661" s="53"/>
      <c r="AE661" s="53"/>
    </row>
    <row r="662">
      <c r="A662" s="53"/>
      <c r="B662" s="53"/>
      <c r="C662" s="168"/>
      <c r="D662" s="169"/>
      <c r="E662" s="170"/>
      <c r="F662" s="53"/>
      <c r="G662" s="53"/>
      <c r="H662" s="53"/>
      <c r="I662" s="171"/>
      <c r="J662" s="170"/>
      <c r="K662" s="53"/>
      <c r="L662" s="53"/>
      <c r="M662" s="53"/>
      <c r="N662" s="171"/>
      <c r="O662" s="170"/>
      <c r="P662" s="53"/>
      <c r="Q662" s="53"/>
      <c r="R662" s="53"/>
      <c r="S662" s="171"/>
      <c r="T662" s="170"/>
      <c r="U662" s="53"/>
      <c r="V662" s="53"/>
      <c r="W662" s="53"/>
      <c r="X662" s="171"/>
      <c r="Y662" s="170"/>
      <c r="Z662" s="170"/>
      <c r="AA662" s="170"/>
      <c r="AB662" s="170"/>
      <c r="AC662" s="170"/>
      <c r="AD662" s="53"/>
      <c r="AE662" s="53"/>
    </row>
    <row r="663">
      <c r="A663" s="53"/>
      <c r="B663" s="53"/>
      <c r="C663" s="168"/>
      <c r="D663" s="169"/>
      <c r="E663" s="170"/>
      <c r="F663" s="53"/>
      <c r="G663" s="53"/>
      <c r="H663" s="53"/>
      <c r="I663" s="171"/>
      <c r="J663" s="170"/>
      <c r="K663" s="53"/>
      <c r="L663" s="53"/>
      <c r="M663" s="53"/>
      <c r="N663" s="171"/>
      <c r="O663" s="170"/>
      <c r="P663" s="53"/>
      <c r="Q663" s="53"/>
      <c r="R663" s="53"/>
      <c r="S663" s="171"/>
      <c r="T663" s="170"/>
      <c r="U663" s="53"/>
      <c r="V663" s="53"/>
      <c r="W663" s="53"/>
      <c r="X663" s="171"/>
      <c r="Y663" s="170"/>
      <c r="Z663" s="170"/>
      <c r="AA663" s="170"/>
      <c r="AB663" s="170"/>
      <c r="AC663" s="170"/>
      <c r="AD663" s="53"/>
      <c r="AE663" s="53"/>
    </row>
    <row r="664">
      <c r="A664" s="53"/>
      <c r="B664" s="53"/>
      <c r="C664" s="168"/>
      <c r="D664" s="169"/>
      <c r="E664" s="170"/>
      <c r="F664" s="53"/>
      <c r="G664" s="53"/>
      <c r="H664" s="53"/>
      <c r="I664" s="171"/>
      <c r="J664" s="170"/>
      <c r="K664" s="53"/>
      <c r="L664" s="53"/>
      <c r="M664" s="53"/>
      <c r="N664" s="171"/>
      <c r="O664" s="170"/>
      <c r="P664" s="53"/>
      <c r="Q664" s="53"/>
      <c r="R664" s="53"/>
      <c r="S664" s="171"/>
      <c r="T664" s="170"/>
      <c r="U664" s="53"/>
      <c r="V664" s="53"/>
      <c r="W664" s="53"/>
      <c r="X664" s="171"/>
      <c r="Y664" s="170"/>
      <c r="Z664" s="170"/>
      <c r="AA664" s="170"/>
      <c r="AB664" s="170"/>
      <c r="AC664" s="170"/>
      <c r="AD664" s="53"/>
      <c r="AE664" s="53"/>
    </row>
    <row r="665">
      <c r="A665" s="53"/>
      <c r="B665" s="53"/>
      <c r="C665" s="168"/>
      <c r="D665" s="169"/>
      <c r="E665" s="170"/>
      <c r="F665" s="53"/>
      <c r="G665" s="53"/>
      <c r="H665" s="53"/>
      <c r="I665" s="171"/>
      <c r="J665" s="170"/>
      <c r="K665" s="53"/>
      <c r="L665" s="53"/>
      <c r="M665" s="53"/>
      <c r="N665" s="171"/>
      <c r="O665" s="170"/>
      <c r="P665" s="53"/>
      <c r="Q665" s="53"/>
      <c r="R665" s="53"/>
      <c r="S665" s="171"/>
      <c r="T665" s="170"/>
      <c r="U665" s="53"/>
      <c r="V665" s="53"/>
      <c r="W665" s="53"/>
      <c r="X665" s="171"/>
      <c r="Y665" s="170"/>
      <c r="Z665" s="170"/>
      <c r="AA665" s="170"/>
      <c r="AB665" s="170"/>
      <c r="AC665" s="170"/>
      <c r="AD665" s="53"/>
      <c r="AE665" s="53"/>
    </row>
    <row r="666">
      <c r="A666" s="53"/>
      <c r="B666" s="53"/>
      <c r="C666" s="168"/>
      <c r="D666" s="169"/>
      <c r="E666" s="170"/>
      <c r="F666" s="53"/>
      <c r="G666" s="53"/>
      <c r="H666" s="53"/>
      <c r="I666" s="171"/>
      <c r="J666" s="170"/>
      <c r="K666" s="53"/>
      <c r="L666" s="53"/>
      <c r="M666" s="53"/>
      <c r="N666" s="171"/>
      <c r="O666" s="170"/>
      <c r="P666" s="53"/>
      <c r="Q666" s="53"/>
      <c r="R666" s="53"/>
      <c r="S666" s="171"/>
      <c r="T666" s="170"/>
      <c r="U666" s="53"/>
      <c r="V666" s="53"/>
      <c r="W666" s="53"/>
      <c r="X666" s="171"/>
      <c r="Y666" s="170"/>
      <c r="Z666" s="170"/>
      <c r="AA666" s="170"/>
      <c r="AB666" s="170"/>
      <c r="AC666" s="170"/>
      <c r="AD666" s="53"/>
      <c r="AE666" s="53"/>
    </row>
    <row r="667">
      <c r="A667" s="53"/>
      <c r="B667" s="53"/>
      <c r="C667" s="168"/>
      <c r="D667" s="169"/>
      <c r="E667" s="170"/>
      <c r="F667" s="53"/>
      <c r="G667" s="53"/>
      <c r="H667" s="53"/>
      <c r="I667" s="171"/>
      <c r="J667" s="170"/>
      <c r="K667" s="53"/>
      <c r="L667" s="53"/>
      <c r="M667" s="53"/>
      <c r="N667" s="171"/>
      <c r="O667" s="170"/>
      <c r="P667" s="53"/>
      <c r="Q667" s="53"/>
      <c r="R667" s="53"/>
      <c r="S667" s="171"/>
      <c r="T667" s="170"/>
      <c r="U667" s="53"/>
      <c r="V667" s="53"/>
      <c r="W667" s="53"/>
      <c r="X667" s="171"/>
      <c r="Y667" s="170"/>
      <c r="Z667" s="170"/>
      <c r="AA667" s="170"/>
      <c r="AB667" s="170"/>
      <c r="AC667" s="170"/>
      <c r="AD667" s="53"/>
      <c r="AE667" s="53"/>
    </row>
    <row r="668">
      <c r="A668" s="53"/>
      <c r="B668" s="53"/>
      <c r="C668" s="168"/>
      <c r="D668" s="169"/>
      <c r="E668" s="170"/>
      <c r="F668" s="53"/>
      <c r="G668" s="53"/>
      <c r="H668" s="53"/>
      <c r="I668" s="171"/>
      <c r="J668" s="170"/>
      <c r="K668" s="53"/>
      <c r="L668" s="53"/>
      <c r="M668" s="53"/>
      <c r="N668" s="171"/>
      <c r="O668" s="170"/>
      <c r="P668" s="53"/>
      <c r="Q668" s="53"/>
      <c r="R668" s="53"/>
      <c r="S668" s="171"/>
      <c r="T668" s="170"/>
      <c r="U668" s="53"/>
      <c r="V668" s="53"/>
      <c r="W668" s="53"/>
      <c r="X668" s="171"/>
      <c r="Y668" s="170"/>
      <c r="Z668" s="170"/>
      <c r="AA668" s="170"/>
      <c r="AB668" s="170"/>
      <c r="AC668" s="170"/>
      <c r="AD668" s="53"/>
      <c r="AE668" s="53"/>
    </row>
    <row r="669">
      <c r="A669" s="53"/>
      <c r="B669" s="53"/>
      <c r="C669" s="168"/>
      <c r="D669" s="169"/>
      <c r="E669" s="170"/>
      <c r="F669" s="53"/>
      <c r="G669" s="53"/>
      <c r="H669" s="53"/>
      <c r="I669" s="171"/>
      <c r="J669" s="170"/>
      <c r="K669" s="53"/>
      <c r="L669" s="53"/>
      <c r="M669" s="53"/>
      <c r="N669" s="171"/>
      <c r="O669" s="170"/>
      <c r="P669" s="53"/>
      <c r="Q669" s="53"/>
      <c r="R669" s="53"/>
      <c r="S669" s="171"/>
      <c r="T669" s="170"/>
      <c r="U669" s="53"/>
      <c r="V669" s="53"/>
      <c r="W669" s="53"/>
      <c r="X669" s="171"/>
      <c r="Y669" s="170"/>
      <c r="Z669" s="170"/>
      <c r="AA669" s="170"/>
      <c r="AB669" s="170"/>
      <c r="AC669" s="170"/>
      <c r="AD669" s="53"/>
      <c r="AE669" s="53"/>
    </row>
    <row r="670">
      <c r="A670" s="53"/>
      <c r="B670" s="53"/>
      <c r="C670" s="168"/>
      <c r="D670" s="169"/>
      <c r="E670" s="170"/>
      <c r="F670" s="53"/>
      <c r="G670" s="53"/>
      <c r="H670" s="53"/>
      <c r="I670" s="171"/>
      <c r="J670" s="170"/>
      <c r="K670" s="53"/>
      <c r="L670" s="53"/>
      <c r="M670" s="53"/>
      <c r="N670" s="171"/>
      <c r="O670" s="170"/>
      <c r="P670" s="53"/>
      <c r="Q670" s="53"/>
      <c r="R670" s="53"/>
      <c r="S670" s="171"/>
      <c r="T670" s="170"/>
      <c r="U670" s="53"/>
      <c r="V670" s="53"/>
      <c r="W670" s="53"/>
      <c r="X670" s="171"/>
      <c r="Y670" s="170"/>
      <c r="Z670" s="170"/>
      <c r="AA670" s="170"/>
      <c r="AB670" s="170"/>
      <c r="AC670" s="170"/>
      <c r="AD670" s="53"/>
      <c r="AE670" s="53"/>
    </row>
    <row r="671">
      <c r="A671" s="53"/>
      <c r="B671" s="53"/>
      <c r="C671" s="168"/>
      <c r="D671" s="169"/>
      <c r="E671" s="170"/>
      <c r="F671" s="53"/>
      <c r="G671" s="53"/>
      <c r="H671" s="53"/>
      <c r="I671" s="171"/>
      <c r="J671" s="170"/>
      <c r="K671" s="53"/>
      <c r="L671" s="53"/>
      <c r="M671" s="53"/>
      <c r="N671" s="171"/>
      <c r="O671" s="170"/>
      <c r="P671" s="53"/>
      <c r="Q671" s="53"/>
      <c r="R671" s="53"/>
      <c r="S671" s="171"/>
      <c r="T671" s="170"/>
      <c r="U671" s="53"/>
      <c r="V671" s="53"/>
      <c r="W671" s="53"/>
      <c r="X671" s="171"/>
      <c r="Y671" s="170"/>
      <c r="Z671" s="170"/>
      <c r="AA671" s="170"/>
      <c r="AB671" s="170"/>
      <c r="AC671" s="170"/>
      <c r="AD671" s="53"/>
      <c r="AE671" s="53"/>
    </row>
    <row r="672">
      <c r="A672" s="53"/>
      <c r="B672" s="53"/>
      <c r="C672" s="168"/>
      <c r="D672" s="169"/>
      <c r="E672" s="170"/>
      <c r="F672" s="53"/>
      <c r="G672" s="53"/>
      <c r="H672" s="53"/>
      <c r="I672" s="171"/>
      <c r="J672" s="170"/>
      <c r="K672" s="53"/>
      <c r="L672" s="53"/>
      <c r="M672" s="53"/>
      <c r="N672" s="171"/>
      <c r="O672" s="170"/>
      <c r="P672" s="53"/>
      <c r="Q672" s="53"/>
      <c r="R672" s="53"/>
      <c r="S672" s="171"/>
      <c r="T672" s="170"/>
      <c r="U672" s="53"/>
      <c r="V672" s="53"/>
      <c r="W672" s="53"/>
      <c r="X672" s="171"/>
      <c r="Y672" s="170"/>
      <c r="Z672" s="170"/>
      <c r="AA672" s="170"/>
      <c r="AB672" s="170"/>
      <c r="AC672" s="170"/>
      <c r="AD672" s="53"/>
      <c r="AE672" s="53"/>
    </row>
    <row r="673">
      <c r="A673" s="53"/>
      <c r="B673" s="53"/>
      <c r="C673" s="168"/>
      <c r="D673" s="169"/>
      <c r="E673" s="170"/>
      <c r="F673" s="53"/>
      <c r="G673" s="53"/>
      <c r="H673" s="53"/>
      <c r="I673" s="171"/>
      <c r="J673" s="170"/>
      <c r="K673" s="53"/>
      <c r="L673" s="53"/>
      <c r="M673" s="53"/>
      <c r="N673" s="171"/>
      <c r="O673" s="170"/>
      <c r="P673" s="53"/>
      <c r="Q673" s="53"/>
      <c r="R673" s="53"/>
      <c r="S673" s="171"/>
      <c r="T673" s="170"/>
      <c r="U673" s="53"/>
      <c r="V673" s="53"/>
      <c r="W673" s="53"/>
      <c r="X673" s="171"/>
      <c r="Y673" s="170"/>
      <c r="Z673" s="170"/>
      <c r="AA673" s="170"/>
      <c r="AB673" s="170"/>
      <c r="AC673" s="170"/>
      <c r="AD673" s="53"/>
      <c r="AE673" s="53"/>
    </row>
    <row r="674">
      <c r="A674" s="53"/>
      <c r="B674" s="53"/>
      <c r="C674" s="168"/>
      <c r="D674" s="169"/>
      <c r="E674" s="170"/>
      <c r="F674" s="53"/>
      <c r="G674" s="53"/>
      <c r="H674" s="53"/>
      <c r="I674" s="171"/>
      <c r="J674" s="170"/>
      <c r="K674" s="53"/>
      <c r="L674" s="53"/>
      <c r="M674" s="53"/>
      <c r="N674" s="171"/>
      <c r="O674" s="170"/>
      <c r="P674" s="53"/>
      <c r="Q674" s="53"/>
      <c r="R674" s="53"/>
      <c r="S674" s="171"/>
      <c r="T674" s="170"/>
      <c r="U674" s="53"/>
      <c r="V674" s="53"/>
      <c r="W674" s="53"/>
      <c r="X674" s="171"/>
      <c r="Y674" s="170"/>
      <c r="Z674" s="170"/>
      <c r="AA674" s="170"/>
      <c r="AB674" s="170"/>
      <c r="AC674" s="170"/>
      <c r="AD674" s="53"/>
      <c r="AE674" s="53"/>
    </row>
    <row r="675">
      <c r="A675" s="53"/>
      <c r="B675" s="53"/>
      <c r="C675" s="168"/>
      <c r="D675" s="169"/>
      <c r="E675" s="170"/>
      <c r="F675" s="53"/>
      <c r="G675" s="53"/>
      <c r="H675" s="53"/>
      <c r="I675" s="171"/>
      <c r="J675" s="170"/>
      <c r="K675" s="53"/>
      <c r="L675" s="53"/>
      <c r="M675" s="53"/>
      <c r="N675" s="171"/>
      <c r="O675" s="170"/>
      <c r="P675" s="53"/>
      <c r="Q675" s="53"/>
      <c r="R675" s="53"/>
      <c r="S675" s="171"/>
      <c r="T675" s="170"/>
      <c r="U675" s="53"/>
      <c r="V675" s="53"/>
      <c r="W675" s="53"/>
      <c r="X675" s="171"/>
      <c r="Y675" s="170"/>
      <c r="Z675" s="170"/>
      <c r="AA675" s="170"/>
      <c r="AB675" s="170"/>
      <c r="AC675" s="170"/>
      <c r="AD675" s="53"/>
      <c r="AE675" s="53"/>
    </row>
    <row r="676">
      <c r="A676" s="53"/>
      <c r="B676" s="53"/>
      <c r="C676" s="168"/>
      <c r="D676" s="169"/>
      <c r="E676" s="170"/>
      <c r="F676" s="53"/>
      <c r="G676" s="53"/>
      <c r="H676" s="53"/>
      <c r="I676" s="171"/>
      <c r="J676" s="170"/>
      <c r="K676" s="53"/>
      <c r="L676" s="53"/>
      <c r="M676" s="53"/>
      <c r="N676" s="171"/>
      <c r="O676" s="170"/>
      <c r="P676" s="53"/>
      <c r="Q676" s="53"/>
      <c r="R676" s="53"/>
      <c r="S676" s="171"/>
      <c r="T676" s="170"/>
      <c r="U676" s="53"/>
      <c r="V676" s="53"/>
      <c r="W676" s="53"/>
      <c r="X676" s="171"/>
      <c r="Y676" s="170"/>
      <c r="Z676" s="170"/>
      <c r="AA676" s="170"/>
      <c r="AB676" s="170"/>
      <c r="AC676" s="170"/>
      <c r="AD676" s="53"/>
      <c r="AE676" s="53"/>
    </row>
    <row r="677">
      <c r="A677" s="53"/>
      <c r="B677" s="53"/>
      <c r="C677" s="168"/>
      <c r="D677" s="169"/>
      <c r="E677" s="170"/>
      <c r="F677" s="53"/>
      <c r="G677" s="53"/>
      <c r="H677" s="53"/>
      <c r="I677" s="171"/>
      <c r="J677" s="170"/>
      <c r="K677" s="53"/>
      <c r="L677" s="53"/>
      <c r="M677" s="53"/>
      <c r="N677" s="171"/>
      <c r="O677" s="170"/>
      <c r="P677" s="53"/>
      <c r="Q677" s="53"/>
      <c r="R677" s="53"/>
      <c r="S677" s="171"/>
      <c r="T677" s="170"/>
      <c r="U677" s="53"/>
      <c r="V677" s="53"/>
      <c r="W677" s="53"/>
      <c r="X677" s="171"/>
      <c r="Y677" s="170"/>
      <c r="Z677" s="170"/>
      <c r="AA677" s="170"/>
      <c r="AB677" s="170"/>
      <c r="AC677" s="170"/>
      <c r="AD677" s="53"/>
      <c r="AE677" s="53"/>
    </row>
    <row r="678">
      <c r="A678" s="53"/>
      <c r="B678" s="53"/>
      <c r="C678" s="168"/>
      <c r="D678" s="169"/>
      <c r="E678" s="170"/>
      <c r="F678" s="53"/>
      <c r="G678" s="53"/>
      <c r="H678" s="53"/>
      <c r="I678" s="171"/>
      <c r="J678" s="170"/>
      <c r="K678" s="53"/>
      <c r="L678" s="53"/>
      <c r="M678" s="53"/>
      <c r="N678" s="171"/>
      <c r="O678" s="170"/>
      <c r="P678" s="53"/>
      <c r="Q678" s="53"/>
      <c r="R678" s="53"/>
      <c r="S678" s="171"/>
      <c r="T678" s="170"/>
      <c r="U678" s="53"/>
      <c r="V678" s="53"/>
      <c r="W678" s="53"/>
      <c r="X678" s="171"/>
      <c r="Y678" s="170"/>
      <c r="Z678" s="170"/>
      <c r="AA678" s="170"/>
      <c r="AB678" s="170"/>
      <c r="AC678" s="170"/>
      <c r="AD678" s="53"/>
      <c r="AE678" s="53"/>
    </row>
    <row r="679">
      <c r="A679" s="53"/>
      <c r="B679" s="53"/>
      <c r="C679" s="168"/>
      <c r="D679" s="169"/>
      <c r="E679" s="170"/>
      <c r="F679" s="53"/>
      <c r="G679" s="53"/>
      <c r="H679" s="53"/>
      <c r="I679" s="171"/>
      <c r="J679" s="170"/>
      <c r="K679" s="53"/>
      <c r="L679" s="53"/>
      <c r="M679" s="53"/>
      <c r="N679" s="171"/>
      <c r="O679" s="170"/>
      <c r="P679" s="53"/>
      <c r="Q679" s="53"/>
      <c r="R679" s="53"/>
      <c r="S679" s="171"/>
      <c r="T679" s="170"/>
      <c r="U679" s="53"/>
      <c r="V679" s="53"/>
      <c r="W679" s="53"/>
      <c r="X679" s="171"/>
      <c r="Y679" s="170"/>
      <c r="Z679" s="170"/>
      <c r="AA679" s="170"/>
      <c r="AB679" s="170"/>
      <c r="AC679" s="170"/>
      <c r="AD679" s="53"/>
      <c r="AE679" s="53"/>
    </row>
    <row r="680">
      <c r="A680" s="53"/>
      <c r="B680" s="53"/>
      <c r="C680" s="168"/>
      <c r="D680" s="169"/>
      <c r="E680" s="170"/>
      <c r="F680" s="53"/>
      <c r="G680" s="53"/>
      <c r="H680" s="53"/>
      <c r="I680" s="171"/>
      <c r="J680" s="170"/>
      <c r="K680" s="53"/>
      <c r="L680" s="53"/>
      <c r="M680" s="53"/>
      <c r="N680" s="171"/>
      <c r="O680" s="170"/>
      <c r="P680" s="53"/>
      <c r="Q680" s="53"/>
      <c r="R680" s="53"/>
      <c r="S680" s="171"/>
      <c r="T680" s="170"/>
      <c r="U680" s="53"/>
      <c r="V680" s="53"/>
      <c r="W680" s="53"/>
      <c r="X680" s="171"/>
      <c r="Y680" s="170"/>
      <c r="Z680" s="170"/>
      <c r="AA680" s="170"/>
      <c r="AB680" s="170"/>
      <c r="AC680" s="170"/>
      <c r="AD680" s="53"/>
      <c r="AE680" s="53"/>
    </row>
    <row r="681">
      <c r="A681" s="53"/>
      <c r="B681" s="53"/>
      <c r="C681" s="168"/>
      <c r="D681" s="169"/>
      <c r="E681" s="170"/>
      <c r="F681" s="53"/>
      <c r="G681" s="53"/>
      <c r="H681" s="53"/>
      <c r="I681" s="171"/>
      <c r="J681" s="170"/>
      <c r="K681" s="53"/>
      <c r="L681" s="53"/>
      <c r="M681" s="53"/>
      <c r="N681" s="171"/>
      <c r="O681" s="170"/>
      <c r="P681" s="53"/>
      <c r="Q681" s="53"/>
      <c r="R681" s="53"/>
      <c r="S681" s="171"/>
      <c r="T681" s="170"/>
      <c r="U681" s="53"/>
      <c r="V681" s="53"/>
      <c r="W681" s="53"/>
      <c r="X681" s="171"/>
      <c r="Y681" s="170"/>
      <c r="Z681" s="170"/>
      <c r="AA681" s="170"/>
      <c r="AB681" s="170"/>
      <c r="AC681" s="170"/>
      <c r="AD681" s="53"/>
      <c r="AE681" s="53"/>
    </row>
    <row r="682">
      <c r="A682" s="53"/>
      <c r="B682" s="53"/>
      <c r="C682" s="168"/>
      <c r="D682" s="169"/>
      <c r="E682" s="170"/>
      <c r="F682" s="53"/>
      <c r="G682" s="53"/>
      <c r="H682" s="53"/>
      <c r="I682" s="171"/>
      <c r="J682" s="170"/>
      <c r="K682" s="53"/>
      <c r="L682" s="53"/>
      <c r="M682" s="53"/>
      <c r="N682" s="171"/>
      <c r="O682" s="170"/>
      <c r="P682" s="53"/>
      <c r="Q682" s="53"/>
      <c r="R682" s="53"/>
      <c r="S682" s="171"/>
      <c r="T682" s="170"/>
      <c r="U682" s="53"/>
      <c r="V682" s="53"/>
      <c r="W682" s="53"/>
      <c r="X682" s="171"/>
      <c r="Y682" s="170"/>
      <c r="Z682" s="170"/>
      <c r="AA682" s="170"/>
      <c r="AB682" s="170"/>
      <c r="AC682" s="170"/>
      <c r="AD682" s="53"/>
      <c r="AE682" s="53"/>
    </row>
    <row r="683">
      <c r="A683" s="53"/>
      <c r="B683" s="53"/>
      <c r="C683" s="168"/>
      <c r="D683" s="169"/>
      <c r="E683" s="170"/>
      <c r="F683" s="53"/>
      <c r="G683" s="53"/>
      <c r="H683" s="53"/>
      <c r="I683" s="171"/>
      <c r="J683" s="170"/>
      <c r="K683" s="53"/>
      <c r="L683" s="53"/>
      <c r="M683" s="53"/>
      <c r="N683" s="171"/>
      <c r="O683" s="170"/>
      <c r="P683" s="53"/>
      <c r="Q683" s="53"/>
      <c r="R683" s="53"/>
      <c r="S683" s="171"/>
      <c r="T683" s="170"/>
      <c r="U683" s="53"/>
      <c r="V683" s="53"/>
      <c r="W683" s="53"/>
      <c r="X683" s="171"/>
      <c r="Y683" s="170"/>
      <c r="Z683" s="170"/>
      <c r="AA683" s="170"/>
      <c r="AB683" s="170"/>
      <c r="AC683" s="170"/>
      <c r="AD683" s="53"/>
      <c r="AE683" s="53"/>
    </row>
    <row r="684">
      <c r="A684" s="53"/>
      <c r="B684" s="53"/>
      <c r="C684" s="168"/>
      <c r="D684" s="169"/>
      <c r="E684" s="170"/>
      <c r="F684" s="53"/>
      <c r="G684" s="53"/>
      <c r="H684" s="53"/>
      <c r="I684" s="171"/>
      <c r="J684" s="170"/>
      <c r="K684" s="53"/>
      <c r="L684" s="53"/>
      <c r="M684" s="53"/>
      <c r="N684" s="171"/>
      <c r="O684" s="170"/>
      <c r="P684" s="53"/>
      <c r="Q684" s="53"/>
      <c r="R684" s="53"/>
      <c r="S684" s="171"/>
      <c r="T684" s="170"/>
      <c r="U684" s="53"/>
      <c r="V684" s="53"/>
      <c r="W684" s="53"/>
      <c r="X684" s="171"/>
      <c r="Y684" s="170"/>
      <c r="Z684" s="170"/>
      <c r="AA684" s="170"/>
      <c r="AB684" s="170"/>
      <c r="AC684" s="170"/>
      <c r="AD684" s="53"/>
      <c r="AE684" s="53"/>
    </row>
    <row r="685">
      <c r="A685" s="53"/>
      <c r="B685" s="53"/>
      <c r="C685" s="168"/>
      <c r="D685" s="169"/>
      <c r="E685" s="170"/>
      <c r="F685" s="53"/>
      <c r="G685" s="53"/>
      <c r="H685" s="53"/>
      <c r="I685" s="171"/>
      <c r="J685" s="170"/>
      <c r="K685" s="53"/>
      <c r="L685" s="53"/>
      <c r="M685" s="53"/>
      <c r="N685" s="171"/>
      <c r="O685" s="170"/>
      <c r="P685" s="53"/>
      <c r="Q685" s="53"/>
      <c r="R685" s="53"/>
      <c r="S685" s="171"/>
      <c r="T685" s="170"/>
      <c r="U685" s="53"/>
      <c r="V685" s="53"/>
      <c r="W685" s="53"/>
      <c r="X685" s="171"/>
      <c r="Y685" s="170"/>
      <c r="Z685" s="170"/>
      <c r="AA685" s="170"/>
      <c r="AB685" s="170"/>
      <c r="AC685" s="170"/>
      <c r="AD685" s="53"/>
      <c r="AE685" s="53"/>
    </row>
    <row r="686">
      <c r="A686" s="53"/>
      <c r="B686" s="53"/>
      <c r="C686" s="168"/>
      <c r="D686" s="169"/>
      <c r="E686" s="170"/>
      <c r="F686" s="53"/>
      <c r="G686" s="53"/>
      <c r="H686" s="53"/>
      <c r="I686" s="171"/>
      <c r="J686" s="170"/>
      <c r="K686" s="53"/>
      <c r="L686" s="53"/>
      <c r="M686" s="53"/>
      <c r="N686" s="171"/>
      <c r="O686" s="170"/>
      <c r="P686" s="53"/>
      <c r="Q686" s="53"/>
      <c r="R686" s="53"/>
      <c r="S686" s="171"/>
      <c r="T686" s="170"/>
      <c r="U686" s="53"/>
      <c r="V686" s="53"/>
      <c r="W686" s="53"/>
      <c r="X686" s="171"/>
      <c r="Y686" s="170"/>
      <c r="Z686" s="170"/>
      <c r="AA686" s="170"/>
      <c r="AB686" s="170"/>
      <c r="AC686" s="170"/>
      <c r="AD686" s="53"/>
      <c r="AE686" s="53"/>
    </row>
    <row r="687">
      <c r="A687" s="53"/>
      <c r="B687" s="53"/>
      <c r="C687" s="168"/>
      <c r="D687" s="169"/>
      <c r="E687" s="170"/>
      <c r="F687" s="53"/>
      <c r="G687" s="53"/>
      <c r="H687" s="53"/>
      <c r="I687" s="171"/>
      <c r="J687" s="170"/>
      <c r="K687" s="53"/>
      <c r="L687" s="53"/>
      <c r="M687" s="53"/>
      <c r="N687" s="171"/>
      <c r="O687" s="170"/>
      <c r="P687" s="53"/>
      <c r="Q687" s="53"/>
      <c r="R687" s="53"/>
      <c r="S687" s="171"/>
      <c r="T687" s="170"/>
      <c r="U687" s="53"/>
      <c r="V687" s="53"/>
      <c r="W687" s="53"/>
      <c r="X687" s="171"/>
      <c r="Y687" s="170"/>
      <c r="Z687" s="170"/>
      <c r="AA687" s="170"/>
      <c r="AB687" s="170"/>
      <c r="AC687" s="170"/>
      <c r="AD687" s="53"/>
      <c r="AE687" s="53"/>
    </row>
    <row r="688">
      <c r="A688" s="53"/>
      <c r="B688" s="53"/>
      <c r="C688" s="168"/>
      <c r="D688" s="169"/>
      <c r="E688" s="170"/>
      <c r="F688" s="53"/>
      <c r="G688" s="53"/>
      <c r="H688" s="53"/>
      <c r="I688" s="171"/>
      <c r="J688" s="170"/>
      <c r="K688" s="53"/>
      <c r="L688" s="53"/>
      <c r="M688" s="53"/>
      <c r="N688" s="171"/>
      <c r="O688" s="170"/>
      <c r="P688" s="53"/>
      <c r="Q688" s="53"/>
      <c r="R688" s="53"/>
      <c r="S688" s="171"/>
      <c r="T688" s="170"/>
      <c r="U688" s="53"/>
      <c r="V688" s="53"/>
      <c r="W688" s="53"/>
      <c r="X688" s="171"/>
      <c r="Y688" s="170"/>
      <c r="Z688" s="170"/>
      <c r="AA688" s="170"/>
      <c r="AB688" s="170"/>
      <c r="AC688" s="170"/>
      <c r="AD688" s="53"/>
      <c r="AE688" s="53"/>
    </row>
    <row r="689">
      <c r="A689" s="53"/>
      <c r="B689" s="53"/>
      <c r="C689" s="168"/>
      <c r="D689" s="169"/>
      <c r="E689" s="170"/>
      <c r="F689" s="53"/>
      <c r="G689" s="53"/>
      <c r="H689" s="53"/>
      <c r="I689" s="171"/>
      <c r="J689" s="170"/>
      <c r="K689" s="53"/>
      <c r="L689" s="53"/>
      <c r="M689" s="53"/>
      <c r="N689" s="171"/>
      <c r="O689" s="170"/>
      <c r="P689" s="53"/>
      <c r="Q689" s="53"/>
      <c r="R689" s="53"/>
      <c r="S689" s="171"/>
      <c r="T689" s="170"/>
      <c r="U689" s="53"/>
      <c r="V689" s="53"/>
      <c r="W689" s="53"/>
      <c r="X689" s="171"/>
      <c r="Y689" s="170"/>
      <c r="Z689" s="170"/>
      <c r="AA689" s="170"/>
      <c r="AB689" s="170"/>
      <c r="AC689" s="170"/>
      <c r="AD689" s="53"/>
      <c r="AE689" s="53"/>
    </row>
    <row r="690">
      <c r="A690" s="53"/>
      <c r="B690" s="53"/>
      <c r="C690" s="168"/>
      <c r="D690" s="169"/>
      <c r="E690" s="170"/>
      <c r="F690" s="53"/>
      <c r="G690" s="53"/>
      <c r="H690" s="53"/>
      <c r="I690" s="171"/>
      <c r="J690" s="170"/>
      <c r="K690" s="53"/>
      <c r="L690" s="53"/>
      <c r="M690" s="53"/>
      <c r="N690" s="171"/>
      <c r="O690" s="170"/>
      <c r="P690" s="53"/>
      <c r="Q690" s="53"/>
      <c r="R690" s="53"/>
      <c r="S690" s="171"/>
      <c r="T690" s="170"/>
      <c r="U690" s="53"/>
      <c r="V690" s="53"/>
      <c r="W690" s="53"/>
      <c r="X690" s="171"/>
      <c r="Y690" s="170"/>
      <c r="Z690" s="170"/>
      <c r="AA690" s="170"/>
      <c r="AB690" s="170"/>
      <c r="AC690" s="170"/>
      <c r="AD690" s="53"/>
      <c r="AE690" s="53"/>
    </row>
    <row r="691">
      <c r="A691" s="53"/>
      <c r="B691" s="53"/>
      <c r="C691" s="168"/>
      <c r="D691" s="169"/>
      <c r="E691" s="170"/>
      <c r="F691" s="53"/>
      <c r="G691" s="53"/>
      <c r="H691" s="53"/>
      <c r="I691" s="171"/>
      <c r="J691" s="170"/>
      <c r="K691" s="53"/>
      <c r="L691" s="53"/>
      <c r="M691" s="53"/>
      <c r="N691" s="171"/>
      <c r="O691" s="170"/>
      <c r="P691" s="53"/>
      <c r="Q691" s="53"/>
      <c r="R691" s="53"/>
      <c r="S691" s="171"/>
      <c r="T691" s="170"/>
      <c r="U691" s="53"/>
      <c r="V691" s="53"/>
      <c r="W691" s="53"/>
      <c r="X691" s="171"/>
      <c r="Y691" s="170"/>
      <c r="Z691" s="170"/>
      <c r="AA691" s="170"/>
      <c r="AB691" s="170"/>
      <c r="AC691" s="170"/>
      <c r="AD691" s="53"/>
      <c r="AE691" s="53"/>
    </row>
    <row r="692">
      <c r="A692" s="53"/>
      <c r="B692" s="53"/>
      <c r="C692" s="168"/>
      <c r="D692" s="169"/>
      <c r="E692" s="170"/>
      <c r="F692" s="53"/>
      <c r="G692" s="53"/>
      <c r="H692" s="53"/>
      <c r="I692" s="171"/>
      <c r="J692" s="170"/>
      <c r="K692" s="53"/>
      <c r="L692" s="53"/>
      <c r="M692" s="53"/>
      <c r="N692" s="171"/>
      <c r="O692" s="170"/>
      <c r="P692" s="53"/>
      <c r="Q692" s="53"/>
      <c r="R692" s="53"/>
      <c r="S692" s="171"/>
      <c r="T692" s="170"/>
      <c r="U692" s="53"/>
      <c r="V692" s="53"/>
      <c r="W692" s="53"/>
      <c r="X692" s="171"/>
      <c r="Y692" s="170"/>
      <c r="Z692" s="170"/>
      <c r="AA692" s="170"/>
      <c r="AB692" s="170"/>
      <c r="AC692" s="170"/>
      <c r="AD692" s="53"/>
      <c r="AE692" s="53"/>
    </row>
    <row r="693">
      <c r="A693" s="53"/>
      <c r="B693" s="53"/>
      <c r="C693" s="168"/>
      <c r="D693" s="169"/>
      <c r="E693" s="170"/>
      <c r="F693" s="53"/>
      <c r="G693" s="53"/>
      <c r="H693" s="53"/>
      <c r="I693" s="171"/>
      <c r="J693" s="170"/>
      <c r="K693" s="53"/>
      <c r="L693" s="53"/>
      <c r="M693" s="53"/>
      <c r="N693" s="171"/>
      <c r="O693" s="170"/>
      <c r="P693" s="53"/>
      <c r="Q693" s="53"/>
      <c r="R693" s="53"/>
      <c r="S693" s="171"/>
      <c r="T693" s="170"/>
      <c r="U693" s="53"/>
      <c r="V693" s="53"/>
      <c r="W693" s="53"/>
      <c r="X693" s="171"/>
      <c r="Y693" s="170"/>
      <c r="Z693" s="170"/>
      <c r="AA693" s="170"/>
      <c r="AB693" s="170"/>
      <c r="AC693" s="170"/>
      <c r="AD693" s="53"/>
      <c r="AE693" s="53"/>
    </row>
    <row r="694">
      <c r="A694" s="53"/>
      <c r="B694" s="53"/>
      <c r="C694" s="168"/>
      <c r="D694" s="169"/>
      <c r="E694" s="170"/>
      <c r="F694" s="53"/>
      <c r="G694" s="53"/>
      <c r="H694" s="53"/>
      <c r="I694" s="171"/>
      <c r="J694" s="170"/>
      <c r="K694" s="53"/>
      <c r="L694" s="53"/>
      <c r="M694" s="53"/>
      <c r="N694" s="171"/>
      <c r="O694" s="170"/>
      <c r="P694" s="53"/>
      <c r="Q694" s="53"/>
      <c r="R694" s="53"/>
      <c r="S694" s="171"/>
      <c r="T694" s="170"/>
      <c r="U694" s="53"/>
      <c r="V694" s="53"/>
      <c r="W694" s="53"/>
      <c r="X694" s="171"/>
      <c r="Y694" s="170"/>
      <c r="Z694" s="170"/>
      <c r="AA694" s="170"/>
      <c r="AB694" s="170"/>
      <c r="AC694" s="170"/>
      <c r="AD694" s="53"/>
      <c r="AE694" s="53"/>
    </row>
    <row r="695">
      <c r="A695" s="53"/>
      <c r="B695" s="53"/>
      <c r="C695" s="168"/>
      <c r="D695" s="169"/>
      <c r="E695" s="170"/>
      <c r="F695" s="53"/>
      <c r="G695" s="53"/>
      <c r="H695" s="53"/>
      <c r="I695" s="171"/>
      <c r="J695" s="170"/>
      <c r="K695" s="53"/>
      <c r="L695" s="53"/>
      <c r="M695" s="53"/>
      <c r="N695" s="171"/>
      <c r="O695" s="170"/>
      <c r="P695" s="53"/>
      <c r="Q695" s="53"/>
      <c r="R695" s="53"/>
      <c r="S695" s="171"/>
      <c r="T695" s="170"/>
      <c r="U695" s="53"/>
      <c r="V695" s="53"/>
      <c r="W695" s="53"/>
      <c r="X695" s="171"/>
      <c r="Y695" s="170"/>
      <c r="Z695" s="170"/>
      <c r="AA695" s="170"/>
      <c r="AB695" s="170"/>
      <c r="AC695" s="170"/>
      <c r="AD695" s="53"/>
      <c r="AE695" s="53"/>
    </row>
    <row r="696">
      <c r="A696" s="53"/>
      <c r="B696" s="53"/>
      <c r="C696" s="168"/>
      <c r="D696" s="169"/>
      <c r="E696" s="170"/>
      <c r="F696" s="53"/>
      <c r="G696" s="53"/>
      <c r="H696" s="53"/>
      <c r="I696" s="171"/>
      <c r="J696" s="170"/>
      <c r="K696" s="53"/>
      <c r="L696" s="53"/>
      <c r="M696" s="53"/>
      <c r="N696" s="171"/>
      <c r="O696" s="170"/>
      <c r="P696" s="53"/>
      <c r="Q696" s="53"/>
      <c r="R696" s="53"/>
      <c r="S696" s="171"/>
      <c r="T696" s="170"/>
      <c r="U696" s="53"/>
      <c r="V696" s="53"/>
      <c r="W696" s="53"/>
      <c r="X696" s="171"/>
      <c r="Y696" s="170"/>
      <c r="Z696" s="170"/>
      <c r="AA696" s="170"/>
      <c r="AB696" s="170"/>
      <c r="AC696" s="170"/>
      <c r="AD696" s="53"/>
      <c r="AE696" s="53"/>
    </row>
    <row r="697">
      <c r="A697" s="53"/>
      <c r="B697" s="53"/>
      <c r="C697" s="168"/>
      <c r="D697" s="169"/>
      <c r="E697" s="170"/>
      <c r="F697" s="53"/>
      <c r="G697" s="53"/>
      <c r="H697" s="53"/>
      <c r="I697" s="171"/>
      <c r="J697" s="170"/>
      <c r="K697" s="53"/>
      <c r="L697" s="53"/>
      <c r="M697" s="53"/>
      <c r="N697" s="171"/>
      <c r="O697" s="170"/>
      <c r="P697" s="53"/>
      <c r="Q697" s="53"/>
      <c r="R697" s="53"/>
      <c r="S697" s="171"/>
      <c r="T697" s="170"/>
      <c r="U697" s="53"/>
      <c r="V697" s="53"/>
      <c r="W697" s="53"/>
      <c r="X697" s="171"/>
      <c r="Y697" s="170"/>
      <c r="Z697" s="170"/>
      <c r="AA697" s="170"/>
      <c r="AB697" s="170"/>
      <c r="AC697" s="170"/>
      <c r="AD697" s="53"/>
      <c r="AE697" s="53"/>
    </row>
    <row r="698">
      <c r="A698" s="53"/>
      <c r="B698" s="53"/>
      <c r="C698" s="168"/>
      <c r="D698" s="169"/>
      <c r="E698" s="170"/>
      <c r="F698" s="53"/>
      <c r="G698" s="53"/>
      <c r="H698" s="53"/>
      <c r="I698" s="171"/>
      <c r="J698" s="170"/>
      <c r="K698" s="53"/>
      <c r="L698" s="53"/>
      <c r="M698" s="53"/>
      <c r="N698" s="171"/>
      <c r="O698" s="170"/>
      <c r="P698" s="53"/>
      <c r="Q698" s="53"/>
      <c r="R698" s="53"/>
      <c r="S698" s="171"/>
      <c r="T698" s="170"/>
      <c r="U698" s="53"/>
      <c r="V698" s="53"/>
      <c r="W698" s="53"/>
      <c r="X698" s="171"/>
      <c r="Y698" s="170"/>
      <c r="Z698" s="170"/>
      <c r="AA698" s="170"/>
      <c r="AB698" s="170"/>
      <c r="AC698" s="170"/>
      <c r="AD698" s="53"/>
      <c r="AE698" s="53"/>
    </row>
    <row r="699">
      <c r="A699" s="53"/>
      <c r="B699" s="53"/>
      <c r="C699" s="168"/>
      <c r="D699" s="169"/>
      <c r="E699" s="170"/>
      <c r="F699" s="53"/>
      <c r="G699" s="53"/>
      <c r="H699" s="53"/>
      <c r="I699" s="171"/>
      <c r="J699" s="170"/>
      <c r="K699" s="53"/>
      <c r="L699" s="53"/>
      <c r="M699" s="53"/>
      <c r="N699" s="171"/>
      <c r="O699" s="170"/>
      <c r="P699" s="53"/>
      <c r="Q699" s="53"/>
      <c r="R699" s="53"/>
      <c r="S699" s="171"/>
      <c r="T699" s="170"/>
      <c r="U699" s="53"/>
      <c r="V699" s="53"/>
      <c r="W699" s="53"/>
      <c r="X699" s="171"/>
      <c r="Y699" s="170"/>
      <c r="Z699" s="170"/>
      <c r="AA699" s="170"/>
      <c r="AB699" s="170"/>
      <c r="AC699" s="170"/>
      <c r="AD699" s="53"/>
      <c r="AE699" s="53"/>
    </row>
    <row r="700">
      <c r="A700" s="53"/>
      <c r="B700" s="53"/>
      <c r="C700" s="168"/>
      <c r="D700" s="169"/>
      <c r="E700" s="170"/>
      <c r="F700" s="53"/>
      <c r="G700" s="53"/>
      <c r="H700" s="53"/>
      <c r="I700" s="171"/>
      <c r="J700" s="170"/>
      <c r="K700" s="53"/>
      <c r="L700" s="53"/>
      <c r="M700" s="53"/>
      <c r="N700" s="171"/>
      <c r="O700" s="170"/>
      <c r="P700" s="53"/>
      <c r="Q700" s="53"/>
      <c r="R700" s="53"/>
      <c r="S700" s="171"/>
      <c r="T700" s="170"/>
      <c r="U700" s="53"/>
      <c r="V700" s="53"/>
      <c r="W700" s="53"/>
      <c r="X700" s="171"/>
      <c r="Y700" s="170"/>
      <c r="Z700" s="170"/>
      <c r="AA700" s="170"/>
      <c r="AB700" s="170"/>
      <c r="AC700" s="170"/>
      <c r="AD700" s="53"/>
      <c r="AE700" s="53"/>
    </row>
    <row r="701">
      <c r="A701" s="53"/>
      <c r="B701" s="53"/>
      <c r="C701" s="168"/>
      <c r="D701" s="169"/>
      <c r="E701" s="170"/>
      <c r="F701" s="53"/>
      <c r="G701" s="53"/>
      <c r="H701" s="53"/>
      <c r="I701" s="171"/>
      <c r="J701" s="170"/>
      <c r="K701" s="53"/>
      <c r="L701" s="53"/>
      <c r="M701" s="53"/>
      <c r="N701" s="171"/>
      <c r="O701" s="170"/>
      <c r="P701" s="53"/>
      <c r="Q701" s="53"/>
      <c r="R701" s="53"/>
      <c r="S701" s="171"/>
      <c r="T701" s="170"/>
      <c r="U701" s="53"/>
      <c r="V701" s="53"/>
      <c r="W701" s="53"/>
      <c r="X701" s="171"/>
      <c r="Y701" s="170"/>
      <c r="Z701" s="170"/>
      <c r="AA701" s="170"/>
      <c r="AB701" s="170"/>
      <c r="AC701" s="170"/>
      <c r="AD701" s="53"/>
      <c r="AE701" s="53"/>
    </row>
    <row r="702">
      <c r="A702" s="53"/>
      <c r="B702" s="53"/>
      <c r="C702" s="168"/>
      <c r="D702" s="169"/>
      <c r="E702" s="170"/>
      <c r="F702" s="53"/>
      <c r="G702" s="53"/>
      <c r="H702" s="53"/>
      <c r="I702" s="171"/>
      <c r="J702" s="170"/>
      <c r="K702" s="53"/>
      <c r="L702" s="53"/>
      <c r="M702" s="53"/>
      <c r="N702" s="171"/>
      <c r="O702" s="170"/>
      <c r="P702" s="53"/>
      <c r="Q702" s="53"/>
      <c r="R702" s="53"/>
      <c r="S702" s="171"/>
      <c r="T702" s="170"/>
      <c r="U702" s="53"/>
      <c r="V702" s="53"/>
      <c r="W702" s="53"/>
      <c r="X702" s="171"/>
      <c r="Y702" s="170"/>
      <c r="Z702" s="170"/>
      <c r="AA702" s="170"/>
      <c r="AB702" s="170"/>
      <c r="AC702" s="170"/>
      <c r="AD702" s="53"/>
      <c r="AE702" s="53"/>
    </row>
    <row r="703">
      <c r="A703" s="53"/>
      <c r="B703" s="53"/>
      <c r="C703" s="168"/>
      <c r="D703" s="169"/>
      <c r="E703" s="170"/>
      <c r="F703" s="53"/>
      <c r="G703" s="53"/>
      <c r="H703" s="53"/>
      <c r="I703" s="171"/>
      <c r="J703" s="170"/>
      <c r="K703" s="53"/>
      <c r="L703" s="53"/>
      <c r="M703" s="53"/>
      <c r="N703" s="171"/>
      <c r="O703" s="170"/>
      <c r="P703" s="53"/>
      <c r="Q703" s="53"/>
      <c r="R703" s="53"/>
      <c r="S703" s="171"/>
      <c r="T703" s="170"/>
      <c r="U703" s="53"/>
      <c r="V703" s="53"/>
      <c r="W703" s="53"/>
      <c r="X703" s="171"/>
      <c r="Y703" s="170"/>
      <c r="Z703" s="170"/>
      <c r="AA703" s="170"/>
      <c r="AB703" s="170"/>
      <c r="AC703" s="170"/>
      <c r="AD703" s="53"/>
      <c r="AE703" s="53"/>
    </row>
    <row r="704">
      <c r="A704" s="53"/>
      <c r="B704" s="53"/>
      <c r="C704" s="168"/>
      <c r="D704" s="169"/>
      <c r="E704" s="170"/>
      <c r="F704" s="53"/>
      <c r="G704" s="53"/>
      <c r="H704" s="53"/>
      <c r="I704" s="171"/>
      <c r="J704" s="170"/>
      <c r="K704" s="53"/>
      <c r="L704" s="53"/>
      <c r="M704" s="53"/>
      <c r="N704" s="171"/>
      <c r="O704" s="170"/>
      <c r="P704" s="53"/>
      <c r="Q704" s="53"/>
      <c r="R704" s="53"/>
      <c r="S704" s="171"/>
      <c r="T704" s="170"/>
      <c r="U704" s="53"/>
      <c r="V704" s="53"/>
      <c r="W704" s="53"/>
      <c r="X704" s="171"/>
      <c r="Y704" s="170"/>
      <c r="Z704" s="170"/>
      <c r="AA704" s="170"/>
      <c r="AB704" s="170"/>
      <c r="AC704" s="170"/>
      <c r="AD704" s="53"/>
      <c r="AE704" s="53"/>
    </row>
    <row r="705">
      <c r="A705" s="53"/>
      <c r="B705" s="53"/>
      <c r="C705" s="168"/>
      <c r="D705" s="169"/>
      <c r="E705" s="170"/>
      <c r="F705" s="53"/>
      <c r="G705" s="53"/>
      <c r="H705" s="53"/>
      <c r="I705" s="171"/>
      <c r="J705" s="170"/>
      <c r="K705" s="53"/>
      <c r="L705" s="53"/>
      <c r="M705" s="53"/>
      <c r="N705" s="171"/>
      <c r="O705" s="170"/>
      <c r="P705" s="53"/>
      <c r="Q705" s="53"/>
      <c r="R705" s="53"/>
      <c r="S705" s="171"/>
      <c r="T705" s="170"/>
      <c r="U705" s="53"/>
      <c r="V705" s="53"/>
      <c r="W705" s="53"/>
      <c r="X705" s="171"/>
      <c r="Y705" s="170"/>
      <c r="Z705" s="170"/>
      <c r="AA705" s="170"/>
      <c r="AB705" s="170"/>
      <c r="AC705" s="170"/>
      <c r="AD705" s="53"/>
      <c r="AE705" s="53"/>
    </row>
    <row r="706">
      <c r="A706" s="53"/>
      <c r="B706" s="53"/>
      <c r="C706" s="168"/>
      <c r="D706" s="169"/>
      <c r="E706" s="170"/>
      <c r="F706" s="53"/>
      <c r="G706" s="53"/>
      <c r="H706" s="53"/>
      <c r="I706" s="171"/>
      <c r="J706" s="170"/>
      <c r="K706" s="53"/>
      <c r="L706" s="53"/>
      <c r="M706" s="53"/>
      <c r="N706" s="171"/>
      <c r="O706" s="170"/>
      <c r="P706" s="53"/>
      <c r="Q706" s="53"/>
      <c r="R706" s="53"/>
      <c r="S706" s="171"/>
      <c r="T706" s="170"/>
      <c r="U706" s="53"/>
      <c r="V706" s="53"/>
      <c r="W706" s="53"/>
      <c r="X706" s="171"/>
      <c r="Y706" s="170"/>
      <c r="Z706" s="170"/>
      <c r="AA706" s="170"/>
      <c r="AB706" s="170"/>
      <c r="AC706" s="170"/>
      <c r="AD706" s="53"/>
      <c r="AE706" s="53"/>
    </row>
    <row r="707">
      <c r="A707" s="53"/>
      <c r="B707" s="53"/>
      <c r="C707" s="168"/>
      <c r="D707" s="169"/>
      <c r="E707" s="170"/>
      <c r="F707" s="53"/>
      <c r="G707" s="53"/>
      <c r="H707" s="53"/>
      <c r="I707" s="171"/>
      <c r="J707" s="170"/>
      <c r="K707" s="53"/>
      <c r="L707" s="53"/>
      <c r="M707" s="53"/>
      <c r="N707" s="171"/>
      <c r="O707" s="170"/>
      <c r="P707" s="53"/>
      <c r="Q707" s="53"/>
      <c r="R707" s="53"/>
      <c r="S707" s="171"/>
      <c r="T707" s="170"/>
      <c r="U707" s="53"/>
      <c r="V707" s="53"/>
      <c r="W707" s="53"/>
      <c r="X707" s="171"/>
      <c r="Y707" s="170"/>
      <c r="Z707" s="170"/>
      <c r="AA707" s="170"/>
      <c r="AB707" s="170"/>
      <c r="AC707" s="170"/>
      <c r="AD707" s="53"/>
      <c r="AE707" s="53"/>
    </row>
    <row r="708">
      <c r="A708" s="53"/>
      <c r="B708" s="53"/>
      <c r="C708" s="168"/>
      <c r="D708" s="169"/>
      <c r="E708" s="170"/>
      <c r="F708" s="53"/>
      <c r="G708" s="53"/>
      <c r="H708" s="53"/>
      <c r="I708" s="171"/>
      <c r="J708" s="170"/>
      <c r="K708" s="53"/>
      <c r="L708" s="53"/>
      <c r="M708" s="53"/>
      <c r="N708" s="171"/>
      <c r="O708" s="170"/>
      <c r="P708" s="53"/>
      <c r="Q708" s="53"/>
      <c r="R708" s="53"/>
      <c r="S708" s="171"/>
      <c r="T708" s="170"/>
      <c r="U708" s="53"/>
      <c r="V708" s="53"/>
      <c r="W708" s="53"/>
      <c r="X708" s="171"/>
      <c r="Y708" s="170"/>
      <c r="Z708" s="170"/>
      <c r="AA708" s="170"/>
      <c r="AB708" s="170"/>
      <c r="AC708" s="170"/>
      <c r="AD708" s="53"/>
      <c r="AE708" s="53"/>
    </row>
    <row r="709">
      <c r="A709" s="53"/>
      <c r="B709" s="53"/>
      <c r="C709" s="168"/>
      <c r="D709" s="169"/>
      <c r="E709" s="170"/>
      <c r="F709" s="53"/>
      <c r="G709" s="53"/>
      <c r="H709" s="53"/>
      <c r="I709" s="171"/>
      <c r="J709" s="170"/>
      <c r="K709" s="53"/>
      <c r="L709" s="53"/>
      <c r="M709" s="53"/>
      <c r="N709" s="171"/>
      <c r="O709" s="170"/>
      <c r="P709" s="53"/>
      <c r="Q709" s="53"/>
      <c r="R709" s="53"/>
      <c r="S709" s="171"/>
      <c r="T709" s="170"/>
      <c r="U709" s="53"/>
      <c r="V709" s="53"/>
      <c r="W709" s="53"/>
      <c r="X709" s="171"/>
      <c r="Y709" s="170"/>
      <c r="Z709" s="170"/>
      <c r="AA709" s="170"/>
      <c r="AB709" s="170"/>
      <c r="AC709" s="170"/>
      <c r="AD709" s="53"/>
      <c r="AE709" s="53"/>
    </row>
    <row r="710">
      <c r="A710" s="53"/>
      <c r="B710" s="53"/>
      <c r="C710" s="168"/>
      <c r="D710" s="169"/>
      <c r="E710" s="170"/>
      <c r="F710" s="53"/>
      <c r="G710" s="53"/>
      <c r="H710" s="53"/>
      <c r="I710" s="171"/>
      <c r="J710" s="170"/>
      <c r="K710" s="53"/>
      <c r="L710" s="53"/>
      <c r="M710" s="53"/>
      <c r="N710" s="171"/>
      <c r="O710" s="170"/>
      <c r="P710" s="53"/>
      <c r="Q710" s="53"/>
      <c r="R710" s="53"/>
      <c r="S710" s="171"/>
      <c r="T710" s="170"/>
      <c r="U710" s="53"/>
      <c r="V710" s="53"/>
      <c r="W710" s="53"/>
      <c r="X710" s="171"/>
      <c r="Y710" s="170"/>
      <c r="Z710" s="170"/>
      <c r="AA710" s="170"/>
      <c r="AB710" s="170"/>
      <c r="AC710" s="170"/>
      <c r="AD710" s="53"/>
      <c r="AE710" s="53"/>
    </row>
    <row r="711">
      <c r="A711" s="53"/>
      <c r="B711" s="53"/>
      <c r="C711" s="168"/>
      <c r="D711" s="169"/>
      <c r="E711" s="170"/>
      <c r="F711" s="53"/>
      <c r="G711" s="53"/>
      <c r="H711" s="53"/>
      <c r="I711" s="171"/>
      <c r="J711" s="170"/>
      <c r="K711" s="53"/>
      <c r="L711" s="53"/>
      <c r="M711" s="53"/>
      <c r="N711" s="171"/>
      <c r="O711" s="170"/>
      <c r="P711" s="53"/>
      <c r="Q711" s="53"/>
      <c r="R711" s="53"/>
      <c r="S711" s="171"/>
      <c r="T711" s="170"/>
      <c r="U711" s="53"/>
      <c r="V711" s="53"/>
      <c r="W711" s="53"/>
      <c r="X711" s="171"/>
      <c r="Y711" s="170"/>
      <c r="Z711" s="170"/>
      <c r="AA711" s="170"/>
      <c r="AB711" s="170"/>
      <c r="AC711" s="170"/>
      <c r="AD711" s="53"/>
      <c r="AE711" s="53"/>
    </row>
    <row r="712">
      <c r="A712" s="53"/>
      <c r="B712" s="53"/>
      <c r="C712" s="168"/>
      <c r="D712" s="169"/>
      <c r="E712" s="170"/>
      <c r="F712" s="53"/>
      <c r="G712" s="53"/>
      <c r="H712" s="53"/>
      <c r="I712" s="171"/>
      <c r="J712" s="170"/>
      <c r="K712" s="53"/>
      <c r="L712" s="53"/>
      <c r="M712" s="53"/>
      <c r="N712" s="171"/>
      <c r="O712" s="170"/>
      <c r="P712" s="53"/>
      <c r="Q712" s="53"/>
      <c r="R712" s="53"/>
      <c r="S712" s="171"/>
      <c r="T712" s="170"/>
      <c r="U712" s="53"/>
      <c r="V712" s="53"/>
      <c r="W712" s="53"/>
      <c r="X712" s="171"/>
      <c r="Y712" s="170"/>
      <c r="Z712" s="170"/>
      <c r="AA712" s="170"/>
      <c r="AB712" s="170"/>
      <c r="AC712" s="170"/>
      <c r="AD712" s="53"/>
      <c r="AE712" s="53"/>
    </row>
    <row r="713">
      <c r="A713" s="53"/>
      <c r="B713" s="53"/>
      <c r="C713" s="168"/>
      <c r="D713" s="169"/>
      <c r="E713" s="170"/>
      <c r="F713" s="53"/>
      <c r="G713" s="53"/>
      <c r="H713" s="53"/>
      <c r="I713" s="171"/>
      <c r="J713" s="170"/>
      <c r="K713" s="53"/>
      <c r="L713" s="53"/>
      <c r="M713" s="53"/>
      <c r="N713" s="171"/>
      <c r="O713" s="170"/>
      <c r="P713" s="53"/>
      <c r="Q713" s="53"/>
      <c r="R713" s="53"/>
      <c r="S713" s="171"/>
      <c r="T713" s="170"/>
      <c r="U713" s="53"/>
      <c r="V713" s="53"/>
      <c r="W713" s="53"/>
      <c r="X713" s="171"/>
      <c r="Y713" s="170"/>
      <c r="Z713" s="170"/>
      <c r="AA713" s="170"/>
      <c r="AB713" s="170"/>
      <c r="AC713" s="170"/>
      <c r="AD713" s="53"/>
      <c r="AE713" s="53"/>
    </row>
    <row r="714">
      <c r="A714" s="53"/>
      <c r="B714" s="53"/>
      <c r="C714" s="168"/>
      <c r="D714" s="169"/>
      <c r="E714" s="170"/>
      <c r="F714" s="53"/>
      <c r="G714" s="53"/>
      <c r="H714" s="53"/>
      <c r="I714" s="171"/>
      <c r="J714" s="170"/>
      <c r="K714" s="53"/>
      <c r="L714" s="53"/>
      <c r="M714" s="53"/>
      <c r="N714" s="171"/>
      <c r="O714" s="170"/>
      <c r="P714" s="53"/>
      <c r="Q714" s="53"/>
      <c r="R714" s="53"/>
      <c r="S714" s="171"/>
      <c r="T714" s="170"/>
      <c r="U714" s="53"/>
      <c r="V714" s="53"/>
      <c r="W714" s="53"/>
      <c r="X714" s="171"/>
      <c r="Y714" s="170"/>
      <c r="Z714" s="170"/>
      <c r="AA714" s="170"/>
      <c r="AB714" s="170"/>
      <c r="AC714" s="170"/>
      <c r="AD714" s="53"/>
      <c r="AE714" s="53"/>
    </row>
    <row r="715">
      <c r="A715" s="53"/>
      <c r="B715" s="53"/>
      <c r="C715" s="168"/>
      <c r="D715" s="169"/>
      <c r="E715" s="170"/>
      <c r="F715" s="53"/>
      <c r="G715" s="53"/>
      <c r="H715" s="53"/>
      <c r="I715" s="171"/>
      <c r="J715" s="170"/>
      <c r="K715" s="53"/>
      <c r="L715" s="53"/>
      <c r="M715" s="53"/>
      <c r="N715" s="171"/>
      <c r="O715" s="170"/>
      <c r="P715" s="53"/>
      <c r="Q715" s="53"/>
      <c r="R715" s="53"/>
      <c r="S715" s="171"/>
      <c r="T715" s="170"/>
      <c r="U715" s="53"/>
      <c r="V715" s="53"/>
      <c r="W715" s="53"/>
      <c r="X715" s="171"/>
      <c r="Y715" s="170"/>
      <c r="Z715" s="170"/>
      <c r="AA715" s="170"/>
      <c r="AB715" s="170"/>
      <c r="AC715" s="170"/>
      <c r="AD715" s="53"/>
      <c r="AE715" s="53"/>
    </row>
    <row r="716">
      <c r="A716" s="53"/>
      <c r="B716" s="53"/>
      <c r="C716" s="168"/>
      <c r="D716" s="169"/>
      <c r="E716" s="170"/>
      <c r="F716" s="53"/>
      <c r="G716" s="53"/>
      <c r="H716" s="53"/>
      <c r="I716" s="171"/>
      <c r="J716" s="170"/>
      <c r="K716" s="53"/>
      <c r="L716" s="53"/>
      <c r="M716" s="53"/>
      <c r="N716" s="171"/>
      <c r="O716" s="170"/>
      <c r="P716" s="53"/>
      <c r="Q716" s="53"/>
      <c r="R716" s="53"/>
      <c r="S716" s="171"/>
      <c r="T716" s="170"/>
      <c r="U716" s="53"/>
      <c r="V716" s="53"/>
      <c r="W716" s="53"/>
      <c r="X716" s="171"/>
      <c r="Y716" s="170"/>
      <c r="Z716" s="170"/>
      <c r="AA716" s="170"/>
      <c r="AB716" s="170"/>
      <c r="AC716" s="170"/>
      <c r="AD716" s="53"/>
      <c r="AE716" s="53"/>
    </row>
    <row r="717">
      <c r="A717" s="53"/>
      <c r="B717" s="53"/>
      <c r="C717" s="168"/>
      <c r="D717" s="169"/>
      <c r="E717" s="170"/>
      <c r="F717" s="53"/>
      <c r="G717" s="53"/>
      <c r="H717" s="53"/>
      <c r="I717" s="171"/>
      <c r="J717" s="170"/>
      <c r="K717" s="53"/>
      <c r="L717" s="53"/>
      <c r="M717" s="53"/>
      <c r="N717" s="171"/>
      <c r="O717" s="170"/>
      <c r="P717" s="53"/>
      <c r="Q717" s="53"/>
      <c r="R717" s="53"/>
      <c r="S717" s="171"/>
      <c r="T717" s="170"/>
      <c r="U717" s="53"/>
      <c r="V717" s="53"/>
      <c r="W717" s="53"/>
      <c r="X717" s="171"/>
      <c r="Y717" s="170"/>
      <c r="Z717" s="170"/>
      <c r="AA717" s="170"/>
      <c r="AB717" s="170"/>
      <c r="AC717" s="170"/>
      <c r="AD717" s="53"/>
      <c r="AE717" s="53"/>
    </row>
    <row r="718">
      <c r="A718" s="53"/>
      <c r="B718" s="53"/>
      <c r="C718" s="168"/>
      <c r="D718" s="169"/>
      <c r="E718" s="170"/>
      <c r="F718" s="53"/>
      <c r="G718" s="53"/>
      <c r="H718" s="53"/>
      <c r="I718" s="171"/>
      <c r="J718" s="170"/>
      <c r="K718" s="53"/>
      <c r="L718" s="53"/>
      <c r="M718" s="53"/>
      <c r="N718" s="171"/>
      <c r="O718" s="170"/>
      <c r="P718" s="53"/>
      <c r="Q718" s="53"/>
      <c r="R718" s="53"/>
      <c r="S718" s="171"/>
      <c r="T718" s="170"/>
      <c r="U718" s="53"/>
      <c r="V718" s="53"/>
      <c r="W718" s="53"/>
      <c r="X718" s="171"/>
      <c r="Y718" s="170"/>
      <c r="Z718" s="170"/>
      <c r="AA718" s="170"/>
      <c r="AB718" s="170"/>
      <c r="AC718" s="170"/>
      <c r="AD718" s="53"/>
      <c r="AE718" s="53"/>
    </row>
    <row r="719">
      <c r="A719" s="53"/>
      <c r="B719" s="53"/>
      <c r="C719" s="168"/>
      <c r="D719" s="169"/>
      <c r="E719" s="170"/>
      <c r="F719" s="53"/>
      <c r="G719" s="53"/>
      <c r="H719" s="53"/>
      <c r="I719" s="171"/>
      <c r="J719" s="170"/>
      <c r="K719" s="53"/>
      <c r="L719" s="53"/>
      <c r="M719" s="53"/>
      <c r="N719" s="171"/>
      <c r="O719" s="170"/>
      <c r="P719" s="53"/>
      <c r="Q719" s="53"/>
      <c r="R719" s="53"/>
      <c r="S719" s="171"/>
      <c r="T719" s="170"/>
      <c r="U719" s="53"/>
      <c r="V719" s="53"/>
      <c r="W719" s="53"/>
      <c r="X719" s="171"/>
      <c r="Y719" s="170"/>
      <c r="Z719" s="170"/>
      <c r="AA719" s="170"/>
      <c r="AB719" s="170"/>
      <c r="AC719" s="170"/>
      <c r="AD719" s="53"/>
      <c r="AE719" s="53"/>
    </row>
    <row r="720">
      <c r="A720" s="53"/>
      <c r="B720" s="53"/>
      <c r="C720" s="168"/>
      <c r="D720" s="169"/>
      <c r="E720" s="170"/>
      <c r="F720" s="53"/>
      <c r="G720" s="53"/>
      <c r="H720" s="53"/>
      <c r="I720" s="171"/>
      <c r="J720" s="170"/>
      <c r="K720" s="53"/>
      <c r="L720" s="53"/>
      <c r="M720" s="53"/>
      <c r="N720" s="171"/>
      <c r="O720" s="170"/>
      <c r="P720" s="53"/>
      <c r="Q720" s="53"/>
      <c r="R720" s="53"/>
      <c r="S720" s="171"/>
      <c r="T720" s="170"/>
      <c r="U720" s="53"/>
      <c r="V720" s="53"/>
      <c r="W720" s="53"/>
      <c r="X720" s="171"/>
      <c r="Y720" s="170"/>
      <c r="Z720" s="170"/>
      <c r="AA720" s="170"/>
      <c r="AB720" s="170"/>
      <c r="AC720" s="170"/>
      <c r="AD720" s="53"/>
      <c r="AE720" s="53"/>
    </row>
    <row r="721">
      <c r="A721" s="53"/>
      <c r="B721" s="53"/>
      <c r="C721" s="168"/>
      <c r="D721" s="169"/>
      <c r="E721" s="170"/>
      <c r="F721" s="53"/>
      <c r="G721" s="53"/>
      <c r="H721" s="53"/>
      <c r="I721" s="171"/>
      <c r="J721" s="170"/>
      <c r="K721" s="53"/>
      <c r="L721" s="53"/>
      <c r="M721" s="53"/>
      <c r="N721" s="171"/>
      <c r="O721" s="170"/>
      <c r="P721" s="53"/>
      <c r="Q721" s="53"/>
      <c r="R721" s="53"/>
      <c r="S721" s="171"/>
      <c r="T721" s="170"/>
      <c r="U721" s="53"/>
      <c r="V721" s="53"/>
      <c r="W721" s="53"/>
      <c r="X721" s="171"/>
      <c r="Y721" s="170"/>
      <c r="Z721" s="170"/>
      <c r="AA721" s="170"/>
      <c r="AB721" s="170"/>
      <c r="AC721" s="170"/>
      <c r="AD721" s="53"/>
      <c r="AE721" s="53"/>
    </row>
    <row r="722">
      <c r="A722" s="53"/>
      <c r="B722" s="53"/>
      <c r="C722" s="168"/>
      <c r="D722" s="169"/>
      <c r="E722" s="170"/>
      <c r="F722" s="53"/>
      <c r="G722" s="53"/>
      <c r="H722" s="53"/>
      <c r="I722" s="171"/>
      <c r="J722" s="170"/>
      <c r="K722" s="53"/>
      <c r="L722" s="53"/>
      <c r="M722" s="53"/>
      <c r="N722" s="171"/>
      <c r="O722" s="170"/>
      <c r="P722" s="53"/>
      <c r="Q722" s="53"/>
      <c r="R722" s="53"/>
      <c r="S722" s="171"/>
      <c r="T722" s="170"/>
      <c r="U722" s="53"/>
      <c r="V722" s="53"/>
      <c r="W722" s="53"/>
      <c r="X722" s="171"/>
      <c r="Y722" s="170"/>
      <c r="Z722" s="170"/>
      <c r="AA722" s="170"/>
      <c r="AB722" s="170"/>
      <c r="AC722" s="170"/>
      <c r="AD722" s="53"/>
      <c r="AE722" s="53"/>
    </row>
    <row r="723">
      <c r="A723" s="53"/>
      <c r="B723" s="53"/>
      <c r="C723" s="168"/>
      <c r="D723" s="169"/>
      <c r="E723" s="170"/>
      <c r="F723" s="53"/>
      <c r="G723" s="53"/>
      <c r="H723" s="53"/>
      <c r="I723" s="171"/>
      <c r="J723" s="170"/>
      <c r="K723" s="53"/>
      <c r="L723" s="53"/>
      <c r="M723" s="53"/>
      <c r="N723" s="171"/>
      <c r="O723" s="170"/>
      <c r="P723" s="53"/>
      <c r="Q723" s="53"/>
      <c r="R723" s="53"/>
      <c r="S723" s="171"/>
      <c r="T723" s="170"/>
      <c r="U723" s="53"/>
      <c r="V723" s="53"/>
      <c r="W723" s="53"/>
      <c r="X723" s="171"/>
      <c r="Y723" s="170"/>
      <c r="Z723" s="170"/>
      <c r="AA723" s="170"/>
      <c r="AB723" s="170"/>
      <c r="AC723" s="170"/>
      <c r="AD723" s="53"/>
      <c r="AE723" s="53"/>
    </row>
    <row r="724">
      <c r="A724" s="53"/>
      <c r="B724" s="53"/>
      <c r="C724" s="168"/>
      <c r="D724" s="169"/>
      <c r="E724" s="170"/>
      <c r="F724" s="53"/>
      <c r="G724" s="53"/>
      <c r="H724" s="53"/>
      <c r="I724" s="171"/>
      <c r="J724" s="170"/>
      <c r="K724" s="53"/>
      <c r="L724" s="53"/>
      <c r="M724" s="53"/>
      <c r="N724" s="171"/>
      <c r="O724" s="170"/>
      <c r="P724" s="53"/>
      <c r="Q724" s="53"/>
      <c r="R724" s="53"/>
      <c r="S724" s="171"/>
      <c r="T724" s="170"/>
      <c r="U724" s="53"/>
      <c r="V724" s="53"/>
      <c r="W724" s="53"/>
      <c r="X724" s="171"/>
      <c r="Y724" s="170"/>
      <c r="Z724" s="170"/>
      <c r="AA724" s="170"/>
      <c r="AB724" s="170"/>
      <c r="AC724" s="170"/>
      <c r="AD724" s="53"/>
      <c r="AE724" s="53"/>
    </row>
    <row r="725">
      <c r="A725" s="53"/>
      <c r="B725" s="53"/>
      <c r="C725" s="168"/>
      <c r="D725" s="169"/>
      <c r="E725" s="170"/>
      <c r="F725" s="53"/>
      <c r="G725" s="53"/>
      <c r="H725" s="53"/>
      <c r="I725" s="171"/>
      <c r="J725" s="170"/>
      <c r="K725" s="53"/>
      <c r="L725" s="53"/>
      <c r="M725" s="53"/>
      <c r="N725" s="171"/>
      <c r="O725" s="170"/>
      <c r="P725" s="53"/>
      <c r="Q725" s="53"/>
      <c r="R725" s="53"/>
      <c r="S725" s="171"/>
      <c r="T725" s="170"/>
      <c r="U725" s="53"/>
      <c r="V725" s="53"/>
      <c r="W725" s="53"/>
      <c r="X725" s="171"/>
      <c r="Y725" s="170"/>
      <c r="Z725" s="170"/>
      <c r="AA725" s="170"/>
      <c r="AB725" s="170"/>
      <c r="AC725" s="170"/>
      <c r="AD725" s="53"/>
      <c r="AE725" s="53"/>
    </row>
    <row r="726">
      <c r="A726" s="53"/>
      <c r="B726" s="53"/>
      <c r="C726" s="168"/>
      <c r="D726" s="169"/>
      <c r="E726" s="170"/>
      <c r="F726" s="53"/>
      <c r="G726" s="53"/>
      <c r="H726" s="53"/>
      <c r="I726" s="171"/>
      <c r="J726" s="170"/>
      <c r="K726" s="53"/>
      <c r="L726" s="53"/>
      <c r="M726" s="53"/>
      <c r="N726" s="171"/>
      <c r="O726" s="170"/>
      <c r="P726" s="53"/>
      <c r="Q726" s="53"/>
      <c r="R726" s="53"/>
      <c r="S726" s="171"/>
      <c r="T726" s="170"/>
      <c r="U726" s="53"/>
      <c r="V726" s="53"/>
      <c r="W726" s="53"/>
      <c r="X726" s="171"/>
      <c r="Y726" s="170"/>
      <c r="Z726" s="170"/>
      <c r="AA726" s="170"/>
      <c r="AB726" s="170"/>
      <c r="AC726" s="170"/>
      <c r="AD726" s="53"/>
      <c r="AE726" s="53"/>
    </row>
    <row r="727">
      <c r="A727" s="53"/>
      <c r="B727" s="53"/>
      <c r="C727" s="168"/>
      <c r="D727" s="169"/>
      <c r="E727" s="170"/>
      <c r="F727" s="53"/>
      <c r="G727" s="53"/>
      <c r="H727" s="53"/>
      <c r="I727" s="171"/>
      <c r="J727" s="170"/>
      <c r="K727" s="53"/>
      <c r="L727" s="53"/>
      <c r="M727" s="53"/>
      <c r="N727" s="171"/>
      <c r="O727" s="170"/>
      <c r="P727" s="53"/>
      <c r="Q727" s="53"/>
      <c r="R727" s="53"/>
      <c r="S727" s="171"/>
      <c r="T727" s="170"/>
      <c r="U727" s="53"/>
      <c r="V727" s="53"/>
      <c r="W727" s="53"/>
      <c r="X727" s="171"/>
      <c r="Y727" s="170"/>
      <c r="Z727" s="170"/>
      <c r="AA727" s="170"/>
      <c r="AB727" s="170"/>
      <c r="AC727" s="170"/>
      <c r="AD727" s="53"/>
      <c r="AE727" s="53"/>
    </row>
    <row r="728">
      <c r="A728" s="53"/>
      <c r="B728" s="53"/>
      <c r="C728" s="168"/>
      <c r="D728" s="169"/>
      <c r="E728" s="170"/>
      <c r="F728" s="53"/>
      <c r="G728" s="53"/>
      <c r="H728" s="53"/>
      <c r="I728" s="171"/>
      <c r="J728" s="170"/>
      <c r="K728" s="53"/>
      <c r="L728" s="53"/>
      <c r="M728" s="53"/>
      <c r="N728" s="171"/>
      <c r="O728" s="170"/>
      <c r="P728" s="53"/>
      <c r="Q728" s="53"/>
      <c r="R728" s="53"/>
      <c r="S728" s="171"/>
      <c r="T728" s="170"/>
      <c r="U728" s="53"/>
      <c r="V728" s="53"/>
      <c r="W728" s="53"/>
      <c r="X728" s="171"/>
      <c r="Y728" s="170"/>
      <c r="Z728" s="170"/>
      <c r="AA728" s="170"/>
      <c r="AB728" s="170"/>
      <c r="AC728" s="170"/>
      <c r="AD728" s="53"/>
      <c r="AE728" s="53"/>
    </row>
    <row r="729">
      <c r="A729" s="53"/>
      <c r="B729" s="53"/>
      <c r="C729" s="168"/>
      <c r="D729" s="169"/>
      <c r="E729" s="170"/>
      <c r="F729" s="53"/>
      <c r="G729" s="53"/>
      <c r="H729" s="53"/>
      <c r="I729" s="171"/>
      <c r="J729" s="170"/>
      <c r="K729" s="53"/>
      <c r="L729" s="53"/>
      <c r="M729" s="53"/>
      <c r="N729" s="171"/>
      <c r="O729" s="170"/>
      <c r="P729" s="53"/>
      <c r="Q729" s="53"/>
      <c r="R729" s="53"/>
      <c r="S729" s="171"/>
      <c r="T729" s="170"/>
      <c r="U729" s="53"/>
      <c r="V729" s="53"/>
      <c r="W729" s="53"/>
      <c r="X729" s="171"/>
      <c r="Y729" s="170"/>
      <c r="Z729" s="170"/>
      <c r="AA729" s="170"/>
      <c r="AB729" s="170"/>
      <c r="AC729" s="170"/>
      <c r="AD729" s="53"/>
      <c r="AE729" s="53"/>
    </row>
    <row r="730">
      <c r="A730" s="53"/>
      <c r="B730" s="53"/>
      <c r="C730" s="168"/>
      <c r="D730" s="169"/>
      <c r="E730" s="170"/>
      <c r="F730" s="53"/>
      <c r="G730" s="53"/>
      <c r="H730" s="53"/>
      <c r="I730" s="171"/>
      <c r="J730" s="170"/>
      <c r="K730" s="53"/>
      <c r="L730" s="53"/>
      <c r="M730" s="53"/>
      <c r="N730" s="171"/>
      <c r="O730" s="170"/>
      <c r="P730" s="53"/>
      <c r="Q730" s="53"/>
      <c r="R730" s="53"/>
      <c r="S730" s="171"/>
      <c r="T730" s="170"/>
      <c r="U730" s="53"/>
      <c r="V730" s="53"/>
      <c r="W730" s="53"/>
      <c r="X730" s="171"/>
      <c r="Y730" s="170"/>
      <c r="Z730" s="170"/>
      <c r="AA730" s="170"/>
      <c r="AB730" s="170"/>
      <c r="AC730" s="170"/>
      <c r="AD730" s="53"/>
      <c r="AE730" s="53"/>
    </row>
    <row r="731">
      <c r="A731" s="53"/>
      <c r="B731" s="53"/>
      <c r="C731" s="168"/>
      <c r="D731" s="169"/>
      <c r="E731" s="170"/>
      <c r="F731" s="53"/>
      <c r="G731" s="53"/>
      <c r="H731" s="53"/>
      <c r="I731" s="171"/>
      <c r="J731" s="170"/>
      <c r="K731" s="53"/>
      <c r="L731" s="53"/>
      <c r="M731" s="53"/>
      <c r="N731" s="171"/>
      <c r="O731" s="170"/>
      <c r="P731" s="53"/>
      <c r="Q731" s="53"/>
      <c r="R731" s="53"/>
      <c r="S731" s="171"/>
      <c r="T731" s="170"/>
      <c r="U731" s="53"/>
      <c r="V731" s="53"/>
      <c r="W731" s="53"/>
      <c r="X731" s="171"/>
      <c r="Y731" s="170"/>
      <c r="Z731" s="170"/>
      <c r="AA731" s="170"/>
      <c r="AB731" s="170"/>
      <c r="AC731" s="170"/>
      <c r="AD731" s="53"/>
      <c r="AE731" s="53"/>
    </row>
    <row r="732">
      <c r="A732" s="53"/>
      <c r="B732" s="53"/>
      <c r="C732" s="168"/>
      <c r="D732" s="169"/>
      <c r="E732" s="170"/>
      <c r="F732" s="53"/>
      <c r="G732" s="53"/>
      <c r="H732" s="53"/>
      <c r="I732" s="171"/>
      <c r="J732" s="170"/>
      <c r="K732" s="53"/>
      <c r="L732" s="53"/>
      <c r="M732" s="53"/>
      <c r="N732" s="171"/>
      <c r="O732" s="170"/>
      <c r="P732" s="53"/>
      <c r="Q732" s="53"/>
      <c r="R732" s="53"/>
      <c r="S732" s="171"/>
      <c r="T732" s="170"/>
      <c r="U732" s="53"/>
      <c r="V732" s="53"/>
      <c r="W732" s="53"/>
      <c r="X732" s="171"/>
      <c r="Y732" s="170"/>
      <c r="Z732" s="170"/>
      <c r="AA732" s="170"/>
      <c r="AB732" s="170"/>
      <c r="AC732" s="170"/>
      <c r="AD732" s="53"/>
      <c r="AE732" s="53"/>
    </row>
    <row r="733">
      <c r="A733" s="53"/>
      <c r="B733" s="53"/>
      <c r="C733" s="168"/>
      <c r="D733" s="169"/>
      <c r="E733" s="170"/>
      <c r="F733" s="53"/>
      <c r="G733" s="53"/>
      <c r="H733" s="53"/>
      <c r="I733" s="171"/>
      <c r="J733" s="170"/>
      <c r="K733" s="53"/>
      <c r="L733" s="53"/>
      <c r="M733" s="53"/>
      <c r="N733" s="171"/>
      <c r="O733" s="170"/>
      <c r="P733" s="53"/>
      <c r="Q733" s="53"/>
      <c r="R733" s="53"/>
      <c r="S733" s="171"/>
      <c r="T733" s="170"/>
      <c r="U733" s="53"/>
      <c r="V733" s="53"/>
      <c r="W733" s="53"/>
      <c r="X733" s="171"/>
      <c r="Y733" s="170"/>
      <c r="Z733" s="170"/>
      <c r="AA733" s="170"/>
      <c r="AB733" s="170"/>
      <c r="AC733" s="170"/>
      <c r="AD733" s="53"/>
      <c r="AE733" s="53"/>
    </row>
    <row r="734">
      <c r="A734" s="53"/>
      <c r="B734" s="53"/>
      <c r="C734" s="168"/>
      <c r="D734" s="169"/>
      <c r="E734" s="170"/>
      <c r="F734" s="53"/>
      <c r="G734" s="53"/>
      <c r="H734" s="53"/>
      <c r="I734" s="171"/>
      <c r="J734" s="170"/>
      <c r="K734" s="53"/>
      <c r="L734" s="53"/>
      <c r="M734" s="53"/>
      <c r="N734" s="171"/>
      <c r="O734" s="170"/>
      <c r="P734" s="53"/>
      <c r="Q734" s="53"/>
      <c r="R734" s="53"/>
      <c r="S734" s="171"/>
      <c r="T734" s="170"/>
      <c r="U734" s="53"/>
      <c r="V734" s="53"/>
      <c r="W734" s="53"/>
      <c r="X734" s="171"/>
      <c r="Y734" s="170"/>
      <c r="Z734" s="170"/>
      <c r="AA734" s="170"/>
      <c r="AB734" s="170"/>
      <c r="AC734" s="170"/>
      <c r="AD734" s="53"/>
      <c r="AE734" s="53"/>
    </row>
    <row r="735">
      <c r="A735" s="53"/>
      <c r="B735" s="53"/>
      <c r="C735" s="168"/>
      <c r="D735" s="169"/>
      <c r="E735" s="170"/>
      <c r="F735" s="53"/>
      <c r="G735" s="53"/>
      <c r="H735" s="53"/>
      <c r="I735" s="171"/>
      <c r="J735" s="170"/>
      <c r="K735" s="53"/>
      <c r="L735" s="53"/>
      <c r="M735" s="53"/>
      <c r="N735" s="171"/>
      <c r="O735" s="170"/>
      <c r="P735" s="53"/>
      <c r="Q735" s="53"/>
      <c r="R735" s="53"/>
      <c r="S735" s="171"/>
      <c r="T735" s="170"/>
      <c r="U735" s="53"/>
      <c r="V735" s="53"/>
      <c r="W735" s="53"/>
      <c r="X735" s="171"/>
      <c r="Y735" s="170"/>
      <c r="Z735" s="170"/>
      <c r="AA735" s="170"/>
      <c r="AB735" s="170"/>
      <c r="AC735" s="170"/>
      <c r="AD735" s="53"/>
      <c r="AE735" s="53"/>
    </row>
    <row r="736">
      <c r="A736" s="53"/>
      <c r="B736" s="53"/>
      <c r="C736" s="168"/>
      <c r="D736" s="169"/>
      <c r="E736" s="170"/>
      <c r="F736" s="53"/>
      <c r="G736" s="53"/>
      <c r="H736" s="53"/>
      <c r="I736" s="171"/>
      <c r="J736" s="170"/>
      <c r="K736" s="53"/>
      <c r="L736" s="53"/>
      <c r="M736" s="53"/>
      <c r="N736" s="171"/>
      <c r="O736" s="170"/>
      <c r="P736" s="53"/>
      <c r="Q736" s="53"/>
      <c r="R736" s="53"/>
      <c r="S736" s="171"/>
      <c r="T736" s="170"/>
      <c r="U736" s="53"/>
      <c r="V736" s="53"/>
      <c r="W736" s="53"/>
      <c r="X736" s="171"/>
      <c r="Y736" s="170"/>
      <c r="Z736" s="170"/>
      <c r="AA736" s="170"/>
      <c r="AB736" s="170"/>
      <c r="AC736" s="170"/>
      <c r="AD736" s="53"/>
      <c r="AE736" s="53"/>
    </row>
    <row r="737">
      <c r="A737" s="53"/>
      <c r="B737" s="53"/>
      <c r="C737" s="168"/>
      <c r="D737" s="169"/>
      <c r="E737" s="170"/>
      <c r="F737" s="53"/>
      <c r="G737" s="53"/>
      <c r="H737" s="53"/>
      <c r="I737" s="171"/>
      <c r="J737" s="170"/>
      <c r="K737" s="53"/>
      <c r="L737" s="53"/>
      <c r="M737" s="53"/>
      <c r="N737" s="171"/>
      <c r="O737" s="170"/>
      <c r="P737" s="53"/>
      <c r="Q737" s="53"/>
      <c r="R737" s="53"/>
      <c r="S737" s="171"/>
      <c r="T737" s="170"/>
      <c r="U737" s="53"/>
      <c r="V737" s="53"/>
      <c r="W737" s="53"/>
      <c r="X737" s="171"/>
      <c r="Y737" s="170"/>
      <c r="Z737" s="170"/>
      <c r="AA737" s="170"/>
      <c r="AB737" s="170"/>
      <c r="AC737" s="170"/>
      <c r="AD737" s="53"/>
      <c r="AE737" s="53"/>
    </row>
    <row r="738">
      <c r="A738" s="53"/>
      <c r="B738" s="53"/>
      <c r="C738" s="168"/>
      <c r="D738" s="169"/>
      <c r="E738" s="170"/>
      <c r="F738" s="53"/>
      <c r="G738" s="53"/>
      <c r="H738" s="53"/>
      <c r="I738" s="171"/>
      <c r="J738" s="170"/>
      <c r="K738" s="53"/>
      <c r="L738" s="53"/>
      <c r="M738" s="53"/>
      <c r="N738" s="171"/>
      <c r="O738" s="170"/>
      <c r="P738" s="53"/>
      <c r="Q738" s="53"/>
      <c r="R738" s="53"/>
      <c r="S738" s="171"/>
      <c r="T738" s="170"/>
      <c r="U738" s="53"/>
      <c r="V738" s="53"/>
      <c r="W738" s="53"/>
      <c r="X738" s="171"/>
      <c r="Y738" s="170"/>
      <c r="Z738" s="170"/>
      <c r="AA738" s="170"/>
      <c r="AB738" s="170"/>
      <c r="AC738" s="170"/>
      <c r="AD738" s="53"/>
      <c r="AE738" s="53"/>
    </row>
    <row r="739">
      <c r="A739" s="53"/>
      <c r="B739" s="53"/>
      <c r="C739" s="168"/>
      <c r="D739" s="169"/>
      <c r="E739" s="170"/>
      <c r="F739" s="53"/>
      <c r="G739" s="53"/>
      <c r="H739" s="53"/>
      <c r="I739" s="171"/>
      <c r="J739" s="170"/>
      <c r="K739" s="53"/>
      <c r="L739" s="53"/>
      <c r="M739" s="53"/>
      <c r="N739" s="171"/>
      <c r="O739" s="170"/>
      <c r="P739" s="53"/>
      <c r="Q739" s="53"/>
      <c r="R739" s="53"/>
      <c r="S739" s="171"/>
      <c r="T739" s="170"/>
      <c r="U739" s="53"/>
      <c r="V739" s="53"/>
      <c r="W739" s="53"/>
      <c r="X739" s="171"/>
      <c r="Y739" s="170"/>
      <c r="Z739" s="170"/>
      <c r="AA739" s="170"/>
      <c r="AB739" s="170"/>
      <c r="AC739" s="170"/>
      <c r="AD739" s="53"/>
      <c r="AE739" s="53"/>
    </row>
    <row r="740">
      <c r="A740" s="53"/>
      <c r="B740" s="53"/>
      <c r="C740" s="168"/>
      <c r="D740" s="169"/>
      <c r="E740" s="170"/>
      <c r="F740" s="53"/>
      <c r="G740" s="53"/>
      <c r="H740" s="53"/>
      <c r="I740" s="171"/>
      <c r="J740" s="170"/>
      <c r="K740" s="53"/>
      <c r="L740" s="53"/>
      <c r="M740" s="53"/>
      <c r="N740" s="171"/>
      <c r="O740" s="170"/>
      <c r="P740" s="53"/>
      <c r="Q740" s="53"/>
      <c r="R740" s="53"/>
      <c r="S740" s="171"/>
      <c r="T740" s="170"/>
      <c r="U740" s="53"/>
      <c r="V740" s="53"/>
      <c r="W740" s="53"/>
      <c r="X740" s="171"/>
      <c r="Y740" s="170"/>
      <c r="Z740" s="170"/>
      <c r="AA740" s="170"/>
      <c r="AB740" s="170"/>
      <c r="AC740" s="170"/>
      <c r="AD740" s="53"/>
      <c r="AE740" s="53"/>
    </row>
    <row r="741">
      <c r="A741" s="53"/>
      <c r="B741" s="53"/>
      <c r="C741" s="168"/>
      <c r="D741" s="169"/>
      <c r="E741" s="170"/>
      <c r="F741" s="53"/>
      <c r="G741" s="53"/>
      <c r="H741" s="53"/>
      <c r="I741" s="171"/>
      <c r="J741" s="170"/>
      <c r="K741" s="53"/>
      <c r="L741" s="53"/>
      <c r="M741" s="53"/>
      <c r="N741" s="171"/>
      <c r="O741" s="170"/>
      <c r="P741" s="53"/>
      <c r="Q741" s="53"/>
      <c r="R741" s="53"/>
      <c r="S741" s="171"/>
      <c r="T741" s="170"/>
      <c r="U741" s="53"/>
      <c r="V741" s="53"/>
      <c r="W741" s="53"/>
      <c r="X741" s="171"/>
      <c r="Y741" s="170"/>
      <c r="Z741" s="170"/>
      <c r="AA741" s="170"/>
      <c r="AB741" s="170"/>
      <c r="AC741" s="170"/>
      <c r="AD741" s="53"/>
      <c r="AE741" s="53"/>
    </row>
    <row r="742">
      <c r="A742" s="53"/>
      <c r="B742" s="53"/>
      <c r="C742" s="168"/>
      <c r="D742" s="169"/>
      <c r="E742" s="170"/>
      <c r="F742" s="53"/>
      <c r="G742" s="53"/>
      <c r="H742" s="53"/>
      <c r="I742" s="171"/>
      <c r="J742" s="170"/>
      <c r="K742" s="53"/>
      <c r="L742" s="53"/>
      <c r="M742" s="53"/>
      <c r="N742" s="171"/>
      <c r="O742" s="170"/>
      <c r="P742" s="53"/>
      <c r="Q742" s="53"/>
      <c r="R742" s="53"/>
      <c r="S742" s="171"/>
      <c r="T742" s="170"/>
      <c r="U742" s="53"/>
      <c r="V742" s="53"/>
      <c r="W742" s="53"/>
      <c r="X742" s="171"/>
      <c r="Y742" s="170"/>
      <c r="Z742" s="170"/>
      <c r="AA742" s="170"/>
      <c r="AB742" s="170"/>
      <c r="AC742" s="170"/>
      <c r="AD742" s="53"/>
      <c r="AE742" s="53"/>
    </row>
    <row r="743">
      <c r="A743" s="53"/>
      <c r="B743" s="53"/>
      <c r="C743" s="168"/>
      <c r="D743" s="169"/>
      <c r="E743" s="170"/>
      <c r="F743" s="53"/>
      <c r="G743" s="53"/>
      <c r="H743" s="53"/>
      <c r="I743" s="171"/>
      <c r="J743" s="170"/>
      <c r="K743" s="53"/>
      <c r="L743" s="53"/>
      <c r="M743" s="53"/>
      <c r="N743" s="171"/>
      <c r="O743" s="170"/>
      <c r="P743" s="53"/>
      <c r="Q743" s="53"/>
      <c r="R743" s="53"/>
      <c r="S743" s="171"/>
      <c r="T743" s="170"/>
      <c r="U743" s="53"/>
      <c r="V743" s="53"/>
      <c r="W743" s="53"/>
      <c r="X743" s="171"/>
      <c r="Y743" s="170"/>
      <c r="Z743" s="170"/>
      <c r="AA743" s="170"/>
      <c r="AB743" s="170"/>
      <c r="AC743" s="170"/>
      <c r="AD743" s="53"/>
      <c r="AE743" s="53"/>
    </row>
    <row r="744">
      <c r="A744" s="53"/>
      <c r="B744" s="53"/>
      <c r="C744" s="168"/>
      <c r="D744" s="169"/>
      <c r="E744" s="170"/>
      <c r="F744" s="53"/>
      <c r="G744" s="53"/>
      <c r="H744" s="53"/>
      <c r="I744" s="171"/>
      <c r="J744" s="170"/>
      <c r="K744" s="53"/>
      <c r="L744" s="53"/>
      <c r="M744" s="53"/>
      <c r="N744" s="171"/>
      <c r="O744" s="170"/>
      <c r="P744" s="53"/>
      <c r="Q744" s="53"/>
      <c r="R744" s="53"/>
      <c r="S744" s="171"/>
      <c r="T744" s="170"/>
      <c r="U744" s="53"/>
      <c r="V744" s="53"/>
      <c r="W744" s="53"/>
      <c r="X744" s="171"/>
      <c r="Y744" s="170"/>
      <c r="Z744" s="170"/>
      <c r="AA744" s="170"/>
      <c r="AB744" s="170"/>
      <c r="AC744" s="170"/>
      <c r="AD744" s="53"/>
      <c r="AE744" s="53"/>
    </row>
    <row r="745">
      <c r="A745" s="53"/>
      <c r="B745" s="53"/>
      <c r="C745" s="168"/>
      <c r="D745" s="169"/>
      <c r="E745" s="170"/>
      <c r="F745" s="53"/>
      <c r="G745" s="53"/>
      <c r="H745" s="53"/>
      <c r="I745" s="171"/>
      <c r="J745" s="170"/>
      <c r="K745" s="53"/>
      <c r="L745" s="53"/>
      <c r="M745" s="53"/>
      <c r="N745" s="171"/>
      <c r="O745" s="170"/>
      <c r="P745" s="53"/>
      <c r="Q745" s="53"/>
      <c r="R745" s="53"/>
      <c r="S745" s="171"/>
      <c r="T745" s="170"/>
      <c r="U745" s="53"/>
      <c r="V745" s="53"/>
      <c r="W745" s="53"/>
      <c r="X745" s="171"/>
      <c r="Y745" s="170"/>
      <c r="Z745" s="170"/>
      <c r="AA745" s="170"/>
      <c r="AB745" s="170"/>
      <c r="AC745" s="170"/>
      <c r="AD745" s="53"/>
      <c r="AE745" s="53"/>
    </row>
    <row r="746">
      <c r="A746" s="53"/>
      <c r="B746" s="53"/>
      <c r="C746" s="168"/>
      <c r="D746" s="169"/>
      <c r="E746" s="170"/>
      <c r="F746" s="53"/>
      <c r="G746" s="53"/>
      <c r="H746" s="53"/>
      <c r="I746" s="171"/>
      <c r="J746" s="170"/>
      <c r="K746" s="53"/>
      <c r="L746" s="53"/>
      <c r="M746" s="53"/>
      <c r="N746" s="171"/>
      <c r="O746" s="170"/>
      <c r="P746" s="53"/>
      <c r="Q746" s="53"/>
      <c r="R746" s="53"/>
      <c r="S746" s="171"/>
      <c r="T746" s="170"/>
      <c r="U746" s="53"/>
      <c r="V746" s="53"/>
      <c r="W746" s="53"/>
      <c r="X746" s="171"/>
      <c r="Y746" s="170"/>
      <c r="Z746" s="170"/>
      <c r="AA746" s="170"/>
      <c r="AB746" s="170"/>
      <c r="AC746" s="170"/>
      <c r="AD746" s="53"/>
      <c r="AE746" s="53"/>
    </row>
    <row r="747">
      <c r="A747" s="53"/>
      <c r="B747" s="53"/>
      <c r="C747" s="168"/>
      <c r="D747" s="169"/>
      <c r="E747" s="170"/>
      <c r="F747" s="53"/>
      <c r="G747" s="53"/>
      <c r="H747" s="53"/>
      <c r="I747" s="171"/>
      <c r="J747" s="170"/>
      <c r="K747" s="53"/>
      <c r="L747" s="53"/>
      <c r="M747" s="53"/>
      <c r="N747" s="171"/>
      <c r="O747" s="170"/>
      <c r="P747" s="53"/>
      <c r="Q747" s="53"/>
      <c r="R747" s="53"/>
      <c r="S747" s="171"/>
      <c r="T747" s="170"/>
      <c r="U747" s="53"/>
      <c r="V747" s="53"/>
      <c r="W747" s="53"/>
      <c r="X747" s="171"/>
      <c r="Y747" s="170"/>
      <c r="Z747" s="170"/>
      <c r="AA747" s="170"/>
      <c r="AB747" s="170"/>
      <c r="AC747" s="170"/>
      <c r="AD747" s="53"/>
      <c r="AE747" s="53"/>
    </row>
    <row r="748">
      <c r="A748" s="53"/>
      <c r="B748" s="53"/>
      <c r="C748" s="168"/>
      <c r="D748" s="169"/>
      <c r="E748" s="170"/>
      <c r="F748" s="53"/>
      <c r="G748" s="53"/>
      <c r="H748" s="53"/>
      <c r="I748" s="171"/>
      <c r="J748" s="170"/>
      <c r="K748" s="53"/>
      <c r="L748" s="53"/>
      <c r="M748" s="53"/>
      <c r="N748" s="171"/>
      <c r="O748" s="170"/>
      <c r="P748" s="53"/>
      <c r="Q748" s="53"/>
      <c r="R748" s="53"/>
      <c r="S748" s="171"/>
      <c r="T748" s="170"/>
      <c r="U748" s="53"/>
      <c r="V748" s="53"/>
      <c r="W748" s="53"/>
      <c r="X748" s="171"/>
      <c r="Y748" s="170"/>
      <c r="Z748" s="170"/>
      <c r="AA748" s="170"/>
      <c r="AB748" s="170"/>
      <c r="AC748" s="170"/>
      <c r="AD748" s="53"/>
      <c r="AE748" s="53"/>
    </row>
    <row r="749">
      <c r="A749" s="53"/>
      <c r="B749" s="53"/>
      <c r="C749" s="168"/>
      <c r="D749" s="169"/>
      <c r="E749" s="170"/>
      <c r="F749" s="53"/>
      <c r="G749" s="53"/>
      <c r="H749" s="53"/>
      <c r="I749" s="171"/>
      <c r="J749" s="170"/>
      <c r="K749" s="53"/>
      <c r="L749" s="53"/>
      <c r="M749" s="53"/>
      <c r="N749" s="171"/>
      <c r="O749" s="170"/>
      <c r="P749" s="53"/>
      <c r="Q749" s="53"/>
      <c r="R749" s="53"/>
      <c r="S749" s="171"/>
      <c r="T749" s="170"/>
      <c r="U749" s="53"/>
      <c r="V749" s="53"/>
      <c r="W749" s="53"/>
      <c r="X749" s="171"/>
      <c r="Y749" s="170"/>
      <c r="Z749" s="170"/>
      <c r="AA749" s="170"/>
      <c r="AB749" s="170"/>
      <c r="AC749" s="170"/>
      <c r="AD749" s="53"/>
      <c r="AE749" s="53"/>
    </row>
    <row r="750">
      <c r="A750" s="53"/>
      <c r="B750" s="53"/>
      <c r="C750" s="168"/>
      <c r="D750" s="169"/>
      <c r="E750" s="170"/>
      <c r="F750" s="53"/>
      <c r="G750" s="53"/>
      <c r="H750" s="53"/>
      <c r="I750" s="171"/>
      <c r="J750" s="170"/>
      <c r="K750" s="53"/>
      <c r="L750" s="53"/>
      <c r="M750" s="53"/>
      <c r="N750" s="171"/>
      <c r="O750" s="170"/>
      <c r="P750" s="53"/>
      <c r="Q750" s="53"/>
      <c r="R750" s="53"/>
      <c r="S750" s="171"/>
      <c r="T750" s="170"/>
      <c r="U750" s="53"/>
      <c r="V750" s="53"/>
      <c r="W750" s="53"/>
      <c r="X750" s="171"/>
      <c r="Y750" s="170"/>
      <c r="Z750" s="170"/>
      <c r="AA750" s="170"/>
      <c r="AB750" s="170"/>
      <c r="AC750" s="170"/>
      <c r="AD750" s="53"/>
      <c r="AE750" s="53"/>
    </row>
    <row r="751">
      <c r="A751" s="53"/>
      <c r="B751" s="53"/>
      <c r="C751" s="168"/>
      <c r="D751" s="169"/>
      <c r="E751" s="170"/>
      <c r="F751" s="53"/>
      <c r="G751" s="53"/>
      <c r="H751" s="53"/>
      <c r="I751" s="171"/>
      <c r="J751" s="170"/>
      <c r="K751" s="53"/>
      <c r="L751" s="53"/>
      <c r="M751" s="53"/>
      <c r="N751" s="171"/>
      <c r="O751" s="170"/>
      <c r="P751" s="53"/>
      <c r="Q751" s="53"/>
      <c r="R751" s="53"/>
      <c r="S751" s="171"/>
      <c r="T751" s="170"/>
      <c r="U751" s="53"/>
      <c r="V751" s="53"/>
      <c r="W751" s="53"/>
      <c r="X751" s="171"/>
      <c r="Y751" s="170"/>
      <c r="Z751" s="170"/>
      <c r="AA751" s="170"/>
      <c r="AB751" s="170"/>
      <c r="AC751" s="170"/>
      <c r="AD751" s="53"/>
      <c r="AE751" s="53"/>
    </row>
    <row r="752">
      <c r="A752" s="53"/>
      <c r="B752" s="53"/>
      <c r="C752" s="168"/>
      <c r="D752" s="169"/>
      <c r="E752" s="170"/>
      <c r="F752" s="53"/>
      <c r="G752" s="53"/>
      <c r="H752" s="53"/>
      <c r="I752" s="171"/>
      <c r="J752" s="170"/>
      <c r="K752" s="53"/>
      <c r="L752" s="53"/>
      <c r="M752" s="53"/>
      <c r="N752" s="171"/>
      <c r="O752" s="170"/>
      <c r="P752" s="53"/>
      <c r="Q752" s="53"/>
      <c r="R752" s="53"/>
      <c r="S752" s="171"/>
      <c r="T752" s="170"/>
      <c r="U752" s="53"/>
      <c r="V752" s="53"/>
      <c r="W752" s="53"/>
      <c r="X752" s="171"/>
      <c r="Y752" s="170"/>
      <c r="Z752" s="170"/>
      <c r="AA752" s="170"/>
      <c r="AB752" s="170"/>
      <c r="AC752" s="170"/>
      <c r="AD752" s="53"/>
      <c r="AE752" s="53"/>
    </row>
    <row r="753">
      <c r="A753" s="53"/>
      <c r="B753" s="53"/>
      <c r="C753" s="168"/>
      <c r="D753" s="169"/>
      <c r="E753" s="170"/>
      <c r="F753" s="53"/>
      <c r="G753" s="53"/>
      <c r="H753" s="53"/>
      <c r="I753" s="171"/>
      <c r="J753" s="170"/>
      <c r="K753" s="53"/>
      <c r="L753" s="53"/>
      <c r="M753" s="53"/>
      <c r="N753" s="171"/>
      <c r="O753" s="170"/>
      <c r="P753" s="53"/>
      <c r="Q753" s="53"/>
      <c r="R753" s="53"/>
      <c r="S753" s="171"/>
      <c r="T753" s="170"/>
      <c r="U753" s="53"/>
      <c r="V753" s="53"/>
      <c r="W753" s="53"/>
      <c r="X753" s="171"/>
      <c r="Y753" s="170"/>
      <c r="Z753" s="170"/>
      <c r="AA753" s="170"/>
      <c r="AB753" s="170"/>
      <c r="AC753" s="170"/>
      <c r="AD753" s="53"/>
      <c r="AE753" s="53"/>
    </row>
    <row r="754">
      <c r="A754" s="53"/>
      <c r="B754" s="53"/>
      <c r="C754" s="168"/>
      <c r="D754" s="169"/>
      <c r="E754" s="170"/>
      <c r="F754" s="53"/>
      <c r="G754" s="53"/>
      <c r="H754" s="53"/>
      <c r="I754" s="171"/>
      <c r="J754" s="170"/>
      <c r="K754" s="53"/>
      <c r="L754" s="53"/>
      <c r="M754" s="53"/>
      <c r="N754" s="171"/>
      <c r="O754" s="170"/>
      <c r="P754" s="53"/>
      <c r="Q754" s="53"/>
      <c r="R754" s="53"/>
      <c r="S754" s="171"/>
      <c r="T754" s="170"/>
      <c r="U754" s="53"/>
      <c r="V754" s="53"/>
      <c r="W754" s="53"/>
      <c r="X754" s="171"/>
      <c r="Y754" s="170"/>
      <c r="Z754" s="170"/>
      <c r="AA754" s="170"/>
      <c r="AB754" s="170"/>
      <c r="AC754" s="170"/>
      <c r="AD754" s="53"/>
      <c r="AE754" s="53"/>
    </row>
    <row r="755">
      <c r="A755" s="53"/>
      <c r="B755" s="53"/>
      <c r="C755" s="168"/>
      <c r="D755" s="169"/>
      <c r="E755" s="170"/>
      <c r="F755" s="53"/>
      <c r="G755" s="53"/>
      <c r="H755" s="53"/>
      <c r="I755" s="171"/>
      <c r="J755" s="170"/>
      <c r="K755" s="53"/>
      <c r="L755" s="53"/>
      <c r="M755" s="53"/>
      <c r="N755" s="171"/>
      <c r="O755" s="170"/>
      <c r="P755" s="53"/>
      <c r="Q755" s="53"/>
      <c r="R755" s="53"/>
      <c r="S755" s="171"/>
      <c r="T755" s="170"/>
      <c r="U755" s="53"/>
      <c r="V755" s="53"/>
      <c r="W755" s="53"/>
      <c r="X755" s="171"/>
      <c r="Y755" s="170"/>
      <c r="Z755" s="170"/>
      <c r="AA755" s="170"/>
      <c r="AB755" s="170"/>
      <c r="AC755" s="170"/>
      <c r="AD755" s="53"/>
      <c r="AE755" s="53"/>
    </row>
    <row r="756">
      <c r="A756" s="53"/>
      <c r="B756" s="53"/>
      <c r="C756" s="168"/>
      <c r="D756" s="169"/>
      <c r="E756" s="170"/>
      <c r="F756" s="53"/>
      <c r="G756" s="53"/>
      <c r="H756" s="53"/>
      <c r="I756" s="171"/>
      <c r="J756" s="170"/>
      <c r="K756" s="53"/>
      <c r="L756" s="53"/>
      <c r="M756" s="53"/>
      <c r="N756" s="171"/>
      <c r="O756" s="170"/>
      <c r="P756" s="53"/>
      <c r="Q756" s="53"/>
      <c r="R756" s="53"/>
      <c r="S756" s="171"/>
      <c r="T756" s="170"/>
      <c r="U756" s="53"/>
      <c r="V756" s="53"/>
      <c r="W756" s="53"/>
      <c r="X756" s="171"/>
      <c r="Y756" s="170"/>
      <c r="Z756" s="170"/>
      <c r="AA756" s="170"/>
      <c r="AB756" s="170"/>
      <c r="AC756" s="170"/>
      <c r="AD756" s="53"/>
      <c r="AE756" s="53"/>
    </row>
    <row r="757">
      <c r="A757" s="53"/>
      <c r="B757" s="53"/>
      <c r="C757" s="168"/>
      <c r="D757" s="169"/>
      <c r="E757" s="170"/>
      <c r="F757" s="53"/>
      <c r="G757" s="53"/>
      <c r="H757" s="53"/>
      <c r="I757" s="171"/>
      <c r="J757" s="170"/>
      <c r="K757" s="53"/>
      <c r="L757" s="53"/>
      <c r="M757" s="53"/>
      <c r="N757" s="171"/>
      <c r="O757" s="170"/>
      <c r="P757" s="53"/>
      <c r="Q757" s="53"/>
      <c r="R757" s="53"/>
      <c r="S757" s="171"/>
      <c r="T757" s="170"/>
      <c r="U757" s="53"/>
      <c r="V757" s="53"/>
      <c r="W757" s="53"/>
      <c r="X757" s="171"/>
      <c r="Y757" s="170"/>
      <c r="Z757" s="170"/>
      <c r="AA757" s="170"/>
      <c r="AB757" s="170"/>
      <c r="AC757" s="170"/>
      <c r="AD757" s="53"/>
      <c r="AE757" s="53"/>
    </row>
    <row r="758">
      <c r="A758" s="53"/>
      <c r="B758" s="53"/>
      <c r="C758" s="168"/>
      <c r="D758" s="169"/>
      <c r="E758" s="170"/>
      <c r="F758" s="53"/>
      <c r="G758" s="53"/>
      <c r="H758" s="53"/>
      <c r="I758" s="171"/>
      <c r="J758" s="170"/>
      <c r="K758" s="53"/>
      <c r="L758" s="53"/>
      <c r="M758" s="53"/>
      <c r="N758" s="171"/>
      <c r="O758" s="170"/>
      <c r="P758" s="53"/>
      <c r="Q758" s="53"/>
      <c r="R758" s="53"/>
      <c r="S758" s="171"/>
      <c r="T758" s="170"/>
      <c r="U758" s="53"/>
      <c r="V758" s="53"/>
      <c r="W758" s="53"/>
      <c r="X758" s="171"/>
      <c r="Y758" s="170"/>
      <c r="Z758" s="170"/>
      <c r="AA758" s="170"/>
      <c r="AB758" s="170"/>
      <c r="AC758" s="170"/>
      <c r="AD758" s="53"/>
      <c r="AE758" s="53"/>
    </row>
    <row r="759">
      <c r="A759" s="53"/>
      <c r="B759" s="53"/>
      <c r="C759" s="168"/>
      <c r="D759" s="169"/>
      <c r="E759" s="170"/>
      <c r="F759" s="53"/>
      <c r="G759" s="53"/>
      <c r="H759" s="53"/>
      <c r="I759" s="171"/>
      <c r="J759" s="170"/>
      <c r="K759" s="53"/>
      <c r="L759" s="53"/>
      <c r="M759" s="53"/>
      <c r="N759" s="171"/>
      <c r="O759" s="170"/>
      <c r="P759" s="53"/>
      <c r="Q759" s="53"/>
      <c r="R759" s="53"/>
      <c r="S759" s="171"/>
      <c r="T759" s="170"/>
      <c r="U759" s="53"/>
      <c r="V759" s="53"/>
      <c r="W759" s="53"/>
      <c r="X759" s="171"/>
      <c r="Y759" s="170"/>
      <c r="Z759" s="170"/>
      <c r="AA759" s="170"/>
      <c r="AB759" s="170"/>
      <c r="AC759" s="170"/>
      <c r="AD759" s="53"/>
      <c r="AE759" s="53"/>
    </row>
    <row r="760">
      <c r="A760" s="53"/>
      <c r="B760" s="53"/>
      <c r="C760" s="168"/>
      <c r="D760" s="169"/>
      <c r="E760" s="170"/>
      <c r="F760" s="53"/>
      <c r="G760" s="53"/>
      <c r="H760" s="53"/>
      <c r="I760" s="171"/>
      <c r="J760" s="170"/>
      <c r="K760" s="53"/>
      <c r="L760" s="53"/>
      <c r="M760" s="53"/>
      <c r="N760" s="171"/>
      <c r="O760" s="170"/>
      <c r="P760" s="53"/>
      <c r="Q760" s="53"/>
      <c r="R760" s="53"/>
      <c r="S760" s="171"/>
      <c r="T760" s="170"/>
      <c r="U760" s="53"/>
      <c r="V760" s="53"/>
      <c r="W760" s="53"/>
      <c r="X760" s="171"/>
      <c r="Y760" s="170"/>
      <c r="Z760" s="170"/>
      <c r="AA760" s="170"/>
      <c r="AB760" s="170"/>
      <c r="AC760" s="170"/>
      <c r="AD760" s="53"/>
      <c r="AE760" s="53"/>
    </row>
    <row r="761">
      <c r="A761" s="53"/>
      <c r="B761" s="53"/>
      <c r="C761" s="168"/>
      <c r="D761" s="169"/>
      <c r="E761" s="170"/>
      <c r="F761" s="53"/>
      <c r="G761" s="53"/>
      <c r="H761" s="53"/>
      <c r="I761" s="171"/>
      <c r="J761" s="170"/>
      <c r="K761" s="53"/>
      <c r="L761" s="53"/>
      <c r="M761" s="53"/>
      <c r="N761" s="171"/>
      <c r="O761" s="170"/>
      <c r="P761" s="53"/>
      <c r="Q761" s="53"/>
      <c r="R761" s="53"/>
      <c r="S761" s="171"/>
      <c r="T761" s="170"/>
      <c r="U761" s="53"/>
      <c r="V761" s="53"/>
      <c r="W761" s="53"/>
      <c r="X761" s="171"/>
      <c r="Y761" s="170"/>
      <c r="Z761" s="170"/>
      <c r="AA761" s="170"/>
      <c r="AB761" s="170"/>
      <c r="AC761" s="170"/>
      <c r="AD761" s="53"/>
      <c r="AE761" s="53"/>
    </row>
    <row r="762">
      <c r="A762" s="53"/>
      <c r="B762" s="53"/>
      <c r="C762" s="168"/>
      <c r="D762" s="169"/>
      <c r="E762" s="170"/>
      <c r="F762" s="53"/>
      <c r="G762" s="53"/>
      <c r="H762" s="53"/>
      <c r="I762" s="171"/>
      <c r="J762" s="170"/>
      <c r="K762" s="53"/>
      <c r="L762" s="53"/>
      <c r="M762" s="53"/>
      <c r="N762" s="171"/>
      <c r="O762" s="170"/>
      <c r="P762" s="53"/>
      <c r="Q762" s="53"/>
      <c r="R762" s="53"/>
      <c r="S762" s="171"/>
      <c r="T762" s="170"/>
      <c r="U762" s="53"/>
      <c r="V762" s="53"/>
      <c r="W762" s="53"/>
      <c r="X762" s="171"/>
      <c r="Y762" s="170"/>
      <c r="Z762" s="170"/>
      <c r="AA762" s="170"/>
      <c r="AB762" s="170"/>
      <c r="AC762" s="170"/>
      <c r="AD762" s="53"/>
      <c r="AE762" s="53"/>
    </row>
    <row r="763">
      <c r="A763" s="53"/>
      <c r="B763" s="53"/>
      <c r="C763" s="168"/>
      <c r="D763" s="169"/>
      <c r="E763" s="170"/>
      <c r="F763" s="53"/>
      <c r="G763" s="53"/>
      <c r="H763" s="53"/>
      <c r="I763" s="171"/>
      <c r="J763" s="170"/>
      <c r="K763" s="53"/>
      <c r="L763" s="53"/>
      <c r="M763" s="53"/>
      <c r="N763" s="171"/>
      <c r="O763" s="170"/>
      <c r="P763" s="53"/>
      <c r="Q763" s="53"/>
      <c r="R763" s="53"/>
      <c r="S763" s="171"/>
      <c r="T763" s="170"/>
      <c r="U763" s="53"/>
      <c r="V763" s="53"/>
      <c r="W763" s="53"/>
      <c r="X763" s="171"/>
      <c r="Y763" s="170"/>
      <c r="Z763" s="170"/>
      <c r="AA763" s="170"/>
      <c r="AB763" s="170"/>
      <c r="AC763" s="170"/>
      <c r="AD763" s="53"/>
      <c r="AE763" s="53"/>
    </row>
    <row r="764">
      <c r="A764" s="53"/>
      <c r="B764" s="53"/>
      <c r="C764" s="168"/>
      <c r="D764" s="169"/>
      <c r="E764" s="170"/>
      <c r="F764" s="53"/>
      <c r="G764" s="53"/>
      <c r="H764" s="53"/>
      <c r="I764" s="171"/>
      <c r="J764" s="170"/>
      <c r="K764" s="53"/>
      <c r="L764" s="53"/>
      <c r="M764" s="53"/>
      <c r="N764" s="171"/>
      <c r="O764" s="170"/>
      <c r="P764" s="53"/>
      <c r="Q764" s="53"/>
      <c r="R764" s="53"/>
      <c r="S764" s="171"/>
      <c r="T764" s="170"/>
      <c r="U764" s="53"/>
      <c r="V764" s="53"/>
      <c r="W764" s="53"/>
      <c r="X764" s="171"/>
      <c r="Y764" s="170"/>
      <c r="Z764" s="170"/>
      <c r="AA764" s="170"/>
      <c r="AB764" s="170"/>
      <c r="AC764" s="170"/>
      <c r="AD764" s="53"/>
      <c r="AE764" s="53"/>
    </row>
    <row r="765">
      <c r="A765" s="53"/>
      <c r="B765" s="53"/>
      <c r="C765" s="168"/>
      <c r="D765" s="169"/>
      <c r="E765" s="170"/>
      <c r="F765" s="53"/>
      <c r="G765" s="53"/>
      <c r="H765" s="53"/>
      <c r="I765" s="171"/>
      <c r="J765" s="170"/>
      <c r="K765" s="53"/>
      <c r="L765" s="53"/>
      <c r="M765" s="53"/>
      <c r="N765" s="171"/>
      <c r="O765" s="170"/>
      <c r="P765" s="53"/>
      <c r="Q765" s="53"/>
      <c r="R765" s="53"/>
      <c r="S765" s="171"/>
      <c r="T765" s="170"/>
      <c r="U765" s="53"/>
      <c r="V765" s="53"/>
      <c r="W765" s="53"/>
      <c r="X765" s="171"/>
      <c r="Y765" s="170"/>
      <c r="Z765" s="170"/>
      <c r="AA765" s="170"/>
      <c r="AB765" s="170"/>
      <c r="AC765" s="170"/>
      <c r="AD765" s="53"/>
      <c r="AE765" s="53"/>
    </row>
    <row r="766">
      <c r="A766" s="53"/>
      <c r="B766" s="53"/>
      <c r="C766" s="168"/>
      <c r="D766" s="169"/>
      <c r="E766" s="170"/>
      <c r="F766" s="53"/>
      <c r="G766" s="53"/>
      <c r="H766" s="53"/>
      <c r="I766" s="171"/>
      <c r="J766" s="170"/>
      <c r="K766" s="53"/>
      <c r="L766" s="53"/>
      <c r="M766" s="53"/>
      <c r="N766" s="171"/>
      <c r="O766" s="170"/>
      <c r="P766" s="53"/>
      <c r="Q766" s="53"/>
      <c r="R766" s="53"/>
      <c r="S766" s="171"/>
      <c r="T766" s="170"/>
      <c r="U766" s="53"/>
      <c r="V766" s="53"/>
      <c r="W766" s="53"/>
      <c r="X766" s="171"/>
      <c r="Y766" s="170"/>
      <c r="Z766" s="170"/>
      <c r="AA766" s="170"/>
      <c r="AB766" s="170"/>
      <c r="AC766" s="170"/>
      <c r="AD766" s="53"/>
      <c r="AE766" s="53"/>
    </row>
    <row r="767">
      <c r="A767" s="53"/>
      <c r="B767" s="53"/>
      <c r="C767" s="168"/>
      <c r="D767" s="169"/>
      <c r="E767" s="170"/>
      <c r="F767" s="53"/>
      <c r="G767" s="53"/>
      <c r="H767" s="53"/>
      <c r="I767" s="171"/>
      <c r="J767" s="170"/>
      <c r="K767" s="53"/>
      <c r="L767" s="53"/>
      <c r="M767" s="53"/>
      <c r="N767" s="171"/>
      <c r="O767" s="170"/>
      <c r="P767" s="53"/>
      <c r="Q767" s="53"/>
      <c r="R767" s="53"/>
      <c r="S767" s="171"/>
      <c r="T767" s="170"/>
      <c r="U767" s="53"/>
      <c r="V767" s="53"/>
      <c r="W767" s="53"/>
      <c r="X767" s="171"/>
      <c r="Y767" s="170"/>
      <c r="Z767" s="170"/>
      <c r="AA767" s="170"/>
      <c r="AB767" s="170"/>
      <c r="AC767" s="170"/>
      <c r="AD767" s="53"/>
      <c r="AE767" s="53"/>
    </row>
    <row r="768">
      <c r="A768" s="53"/>
      <c r="B768" s="53"/>
      <c r="C768" s="168"/>
      <c r="D768" s="169"/>
      <c r="E768" s="170"/>
      <c r="F768" s="53"/>
      <c r="G768" s="53"/>
      <c r="H768" s="53"/>
      <c r="I768" s="171"/>
      <c r="J768" s="170"/>
      <c r="K768" s="53"/>
      <c r="L768" s="53"/>
      <c r="M768" s="53"/>
      <c r="N768" s="171"/>
      <c r="O768" s="170"/>
      <c r="P768" s="53"/>
      <c r="Q768" s="53"/>
      <c r="R768" s="53"/>
      <c r="S768" s="171"/>
      <c r="T768" s="170"/>
      <c r="U768" s="53"/>
      <c r="V768" s="53"/>
      <c r="W768" s="53"/>
      <c r="X768" s="171"/>
      <c r="Y768" s="170"/>
      <c r="Z768" s="170"/>
      <c r="AA768" s="170"/>
      <c r="AB768" s="170"/>
      <c r="AC768" s="170"/>
      <c r="AD768" s="53"/>
      <c r="AE768" s="53"/>
    </row>
    <row r="769">
      <c r="A769" s="53"/>
      <c r="B769" s="53"/>
      <c r="C769" s="168"/>
      <c r="D769" s="169"/>
      <c r="E769" s="170"/>
      <c r="F769" s="53"/>
      <c r="G769" s="53"/>
      <c r="H769" s="53"/>
      <c r="I769" s="171"/>
      <c r="J769" s="170"/>
      <c r="K769" s="53"/>
      <c r="L769" s="53"/>
      <c r="M769" s="53"/>
      <c r="N769" s="171"/>
      <c r="O769" s="170"/>
      <c r="P769" s="53"/>
      <c r="Q769" s="53"/>
      <c r="R769" s="53"/>
      <c r="S769" s="171"/>
      <c r="T769" s="170"/>
      <c r="U769" s="53"/>
      <c r="V769" s="53"/>
      <c r="W769" s="53"/>
      <c r="X769" s="171"/>
      <c r="Y769" s="170"/>
      <c r="Z769" s="170"/>
      <c r="AA769" s="170"/>
      <c r="AB769" s="170"/>
      <c r="AC769" s="170"/>
      <c r="AD769" s="53"/>
      <c r="AE769" s="53"/>
    </row>
    <row r="770">
      <c r="A770" s="53"/>
      <c r="B770" s="53"/>
      <c r="C770" s="168"/>
      <c r="D770" s="169"/>
      <c r="E770" s="170"/>
      <c r="F770" s="53"/>
      <c r="G770" s="53"/>
      <c r="H770" s="53"/>
      <c r="I770" s="171"/>
      <c r="J770" s="170"/>
      <c r="K770" s="53"/>
      <c r="L770" s="53"/>
      <c r="M770" s="53"/>
      <c r="N770" s="171"/>
      <c r="O770" s="170"/>
      <c r="P770" s="53"/>
      <c r="Q770" s="53"/>
      <c r="R770" s="53"/>
      <c r="S770" s="171"/>
      <c r="T770" s="170"/>
      <c r="U770" s="53"/>
      <c r="V770" s="53"/>
      <c r="W770" s="53"/>
      <c r="X770" s="171"/>
      <c r="Y770" s="170"/>
      <c r="Z770" s="170"/>
      <c r="AA770" s="170"/>
      <c r="AB770" s="170"/>
      <c r="AC770" s="170"/>
      <c r="AD770" s="53"/>
      <c r="AE770" s="53"/>
    </row>
    <row r="771">
      <c r="A771" s="53"/>
      <c r="B771" s="53"/>
      <c r="C771" s="168"/>
      <c r="D771" s="169"/>
      <c r="E771" s="170"/>
      <c r="F771" s="53"/>
      <c r="G771" s="53"/>
      <c r="H771" s="53"/>
      <c r="I771" s="171"/>
      <c r="J771" s="170"/>
      <c r="K771" s="53"/>
      <c r="L771" s="53"/>
      <c r="M771" s="53"/>
      <c r="N771" s="171"/>
      <c r="O771" s="170"/>
      <c r="P771" s="53"/>
      <c r="Q771" s="53"/>
      <c r="R771" s="53"/>
      <c r="S771" s="171"/>
      <c r="T771" s="170"/>
      <c r="U771" s="53"/>
      <c r="V771" s="53"/>
      <c r="W771" s="53"/>
      <c r="X771" s="171"/>
      <c r="Y771" s="170"/>
      <c r="Z771" s="170"/>
      <c r="AA771" s="170"/>
      <c r="AB771" s="170"/>
      <c r="AC771" s="170"/>
      <c r="AD771" s="53"/>
      <c r="AE771" s="53"/>
    </row>
    <row r="772">
      <c r="A772" s="53"/>
      <c r="B772" s="53"/>
      <c r="C772" s="168"/>
      <c r="D772" s="169"/>
      <c r="E772" s="170"/>
      <c r="F772" s="53"/>
      <c r="G772" s="53"/>
      <c r="H772" s="53"/>
      <c r="I772" s="171"/>
      <c r="J772" s="170"/>
      <c r="K772" s="53"/>
      <c r="L772" s="53"/>
      <c r="M772" s="53"/>
      <c r="N772" s="171"/>
      <c r="O772" s="170"/>
      <c r="P772" s="53"/>
      <c r="Q772" s="53"/>
      <c r="R772" s="53"/>
      <c r="S772" s="171"/>
      <c r="T772" s="170"/>
      <c r="U772" s="53"/>
      <c r="V772" s="53"/>
      <c r="W772" s="53"/>
      <c r="X772" s="171"/>
      <c r="Y772" s="170"/>
      <c r="Z772" s="170"/>
      <c r="AA772" s="170"/>
      <c r="AB772" s="170"/>
      <c r="AC772" s="170"/>
      <c r="AD772" s="53"/>
      <c r="AE772" s="53"/>
    </row>
    <row r="773">
      <c r="A773" s="53"/>
      <c r="B773" s="53"/>
      <c r="C773" s="168"/>
      <c r="D773" s="169"/>
      <c r="E773" s="170"/>
      <c r="F773" s="53"/>
      <c r="G773" s="53"/>
      <c r="H773" s="53"/>
      <c r="I773" s="171"/>
      <c r="J773" s="170"/>
      <c r="K773" s="53"/>
      <c r="L773" s="53"/>
      <c r="M773" s="53"/>
      <c r="N773" s="171"/>
      <c r="O773" s="170"/>
      <c r="P773" s="53"/>
      <c r="Q773" s="53"/>
      <c r="R773" s="53"/>
      <c r="S773" s="171"/>
      <c r="T773" s="170"/>
      <c r="U773" s="53"/>
      <c r="V773" s="53"/>
      <c r="W773" s="53"/>
      <c r="X773" s="171"/>
      <c r="Y773" s="170"/>
      <c r="Z773" s="170"/>
      <c r="AA773" s="170"/>
      <c r="AB773" s="170"/>
      <c r="AC773" s="170"/>
      <c r="AD773" s="53"/>
      <c r="AE773" s="53"/>
    </row>
    <row r="774">
      <c r="A774" s="53"/>
      <c r="B774" s="53"/>
      <c r="C774" s="168"/>
      <c r="D774" s="169"/>
      <c r="E774" s="170"/>
      <c r="F774" s="53"/>
      <c r="G774" s="53"/>
      <c r="H774" s="53"/>
      <c r="I774" s="171"/>
      <c r="J774" s="170"/>
      <c r="K774" s="53"/>
      <c r="L774" s="53"/>
      <c r="M774" s="53"/>
      <c r="N774" s="171"/>
      <c r="O774" s="170"/>
      <c r="P774" s="53"/>
      <c r="Q774" s="53"/>
      <c r="R774" s="53"/>
      <c r="S774" s="171"/>
      <c r="T774" s="170"/>
      <c r="U774" s="53"/>
      <c r="V774" s="53"/>
      <c r="W774" s="53"/>
      <c r="X774" s="171"/>
      <c r="Y774" s="170"/>
      <c r="Z774" s="170"/>
      <c r="AA774" s="170"/>
      <c r="AB774" s="170"/>
      <c r="AC774" s="170"/>
      <c r="AD774" s="53"/>
      <c r="AE774" s="53"/>
    </row>
    <row r="775">
      <c r="A775" s="53"/>
      <c r="B775" s="53"/>
      <c r="C775" s="168"/>
      <c r="D775" s="169"/>
      <c r="E775" s="170"/>
      <c r="F775" s="53"/>
      <c r="G775" s="53"/>
      <c r="H775" s="53"/>
      <c r="I775" s="171"/>
      <c r="J775" s="170"/>
      <c r="K775" s="53"/>
      <c r="L775" s="53"/>
      <c r="M775" s="53"/>
      <c r="N775" s="171"/>
      <c r="O775" s="170"/>
      <c r="P775" s="53"/>
      <c r="Q775" s="53"/>
      <c r="R775" s="53"/>
      <c r="S775" s="171"/>
      <c r="T775" s="170"/>
      <c r="U775" s="53"/>
      <c r="V775" s="53"/>
      <c r="W775" s="53"/>
      <c r="X775" s="171"/>
      <c r="Y775" s="170"/>
      <c r="Z775" s="170"/>
      <c r="AA775" s="170"/>
      <c r="AB775" s="170"/>
      <c r="AC775" s="170"/>
      <c r="AD775" s="53"/>
      <c r="AE775" s="53"/>
    </row>
    <row r="776">
      <c r="A776" s="53"/>
      <c r="B776" s="53"/>
      <c r="C776" s="168"/>
      <c r="D776" s="169"/>
      <c r="E776" s="170"/>
      <c r="F776" s="53"/>
      <c r="G776" s="53"/>
      <c r="H776" s="53"/>
      <c r="I776" s="171"/>
      <c r="J776" s="170"/>
      <c r="K776" s="53"/>
      <c r="L776" s="53"/>
      <c r="M776" s="53"/>
      <c r="N776" s="171"/>
      <c r="O776" s="170"/>
      <c r="P776" s="53"/>
      <c r="Q776" s="53"/>
      <c r="R776" s="53"/>
      <c r="S776" s="171"/>
      <c r="T776" s="170"/>
      <c r="U776" s="53"/>
      <c r="V776" s="53"/>
      <c r="W776" s="53"/>
      <c r="X776" s="171"/>
      <c r="Y776" s="170"/>
      <c r="Z776" s="170"/>
      <c r="AA776" s="170"/>
      <c r="AB776" s="170"/>
      <c r="AC776" s="170"/>
      <c r="AD776" s="53"/>
      <c r="AE776" s="53"/>
    </row>
    <row r="777">
      <c r="A777" s="53"/>
      <c r="B777" s="53"/>
      <c r="C777" s="168"/>
      <c r="D777" s="169"/>
      <c r="E777" s="170"/>
      <c r="F777" s="53"/>
      <c r="G777" s="53"/>
      <c r="H777" s="53"/>
      <c r="I777" s="171"/>
      <c r="J777" s="170"/>
      <c r="K777" s="53"/>
      <c r="L777" s="53"/>
      <c r="M777" s="53"/>
      <c r="N777" s="171"/>
      <c r="O777" s="170"/>
      <c r="P777" s="53"/>
      <c r="Q777" s="53"/>
      <c r="R777" s="53"/>
      <c r="S777" s="171"/>
      <c r="T777" s="170"/>
      <c r="U777" s="53"/>
      <c r="V777" s="53"/>
      <c r="W777" s="53"/>
      <c r="X777" s="171"/>
      <c r="Y777" s="170"/>
      <c r="Z777" s="170"/>
      <c r="AA777" s="170"/>
      <c r="AB777" s="170"/>
      <c r="AC777" s="170"/>
      <c r="AD777" s="53"/>
      <c r="AE777" s="53"/>
    </row>
    <row r="778">
      <c r="A778" s="53"/>
      <c r="B778" s="53"/>
      <c r="C778" s="168"/>
      <c r="D778" s="169"/>
      <c r="E778" s="170"/>
      <c r="F778" s="53"/>
      <c r="G778" s="53"/>
      <c r="H778" s="53"/>
      <c r="I778" s="171"/>
      <c r="J778" s="170"/>
      <c r="K778" s="53"/>
      <c r="L778" s="53"/>
      <c r="M778" s="53"/>
      <c r="N778" s="171"/>
      <c r="O778" s="170"/>
      <c r="P778" s="53"/>
      <c r="Q778" s="53"/>
      <c r="R778" s="53"/>
      <c r="S778" s="171"/>
      <c r="T778" s="170"/>
      <c r="U778" s="53"/>
      <c r="V778" s="53"/>
      <c r="W778" s="53"/>
      <c r="X778" s="171"/>
      <c r="Y778" s="170"/>
      <c r="Z778" s="170"/>
      <c r="AA778" s="170"/>
      <c r="AB778" s="170"/>
      <c r="AC778" s="170"/>
      <c r="AD778" s="53"/>
      <c r="AE778" s="53"/>
    </row>
    <row r="779">
      <c r="A779" s="53"/>
      <c r="B779" s="53"/>
      <c r="C779" s="168"/>
      <c r="D779" s="169"/>
      <c r="E779" s="170"/>
      <c r="F779" s="53"/>
      <c r="G779" s="53"/>
      <c r="H779" s="53"/>
      <c r="I779" s="171"/>
      <c r="J779" s="170"/>
      <c r="K779" s="53"/>
      <c r="L779" s="53"/>
      <c r="M779" s="53"/>
      <c r="N779" s="171"/>
      <c r="O779" s="170"/>
      <c r="P779" s="53"/>
      <c r="Q779" s="53"/>
      <c r="R779" s="53"/>
      <c r="S779" s="171"/>
      <c r="T779" s="170"/>
      <c r="U779" s="53"/>
      <c r="V779" s="53"/>
      <c r="W779" s="53"/>
      <c r="X779" s="171"/>
      <c r="Y779" s="170"/>
      <c r="Z779" s="170"/>
      <c r="AA779" s="170"/>
      <c r="AB779" s="170"/>
      <c r="AC779" s="170"/>
      <c r="AD779" s="53"/>
      <c r="AE779" s="53"/>
    </row>
    <row r="780">
      <c r="A780" s="53"/>
      <c r="B780" s="53"/>
      <c r="C780" s="168"/>
      <c r="D780" s="169"/>
      <c r="E780" s="170"/>
      <c r="F780" s="53"/>
      <c r="G780" s="53"/>
      <c r="H780" s="53"/>
      <c r="I780" s="171"/>
      <c r="J780" s="170"/>
      <c r="K780" s="53"/>
      <c r="L780" s="53"/>
      <c r="M780" s="53"/>
      <c r="N780" s="171"/>
      <c r="O780" s="170"/>
      <c r="P780" s="53"/>
      <c r="Q780" s="53"/>
      <c r="R780" s="53"/>
      <c r="S780" s="171"/>
      <c r="T780" s="170"/>
      <c r="U780" s="53"/>
      <c r="V780" s="53"/>
      <c r="W780" s="53"/>
      <c r="X780" s="171"/>
      <c r="Y780" s="170"/>
      <c r="Z780" s="170"/>
      <c r="AA780" s="170"/>
      <c r="AB780" s="170"/>
      <c r="AC780" s="170"/>
      <c r="AD780" s="53"/>
      <c r="AE780" s="53"/>
    </row>
    <row r="781">
      <c r="A781" s="53"/>
      <c r="B781" s="53"/>
      <c r="C781" s="168"/>
      <c r="D781" s="169"/>
      <c r="E781" s="170"/>
      <c r="F781" s="53"/>
      <c r="G781" s="53"/>
      <c r="H781" s="53"/>
      <c r="I781" s="171"/>
      <c r="J781" s="170"/>
      <c r="K781" s="53"/>
      <c r="L781" s="53"/>
      <c r="M781" s="53"/>
      <c r="N781" s="171"/>
      <c r="O781" s="170"/>
      <c r="P781" s="53"/>
      <c r="Q781" s="53"/>
      <c r="R781" s="53"/>
      <c r="S781" s="171"/>
      <c r="T781" s="170"/>
      <c r="U781" s="53"/>
      <c r="V781" s="53"/>
      <c r="W781" s="53"/>
      <c r="X781" s="171"/>
      <c r="Y781" s="170"/>
      <c r="Z781" s="170"/>
      <c r="AA781" s="170"/>
      <c r="AB781" s="170"/>
      <c r="AC781" s="170"/>
      <c r="AD781" s="53"/>
      <c r="AE781" s="53"/>
    </row>
    <row r="782">
      <c r="A782" s="53"/>
      <c r="B782" s="53"/>
      <c r="C782" s="168"/>
      <c r="D782" s="169"/>
      <c r="E782" s="170"/>
      <c r="F782" s="53"/>
      <c r="G782" s="53"/>
      <c r="H782" s="53"/>
      <c r="I782" s="171"/>
      <c r="J782" s="170"/>
      <c r="K782" s="53"/>
      <c r="L782" s="53"/>
      <c r="M782" s="53"/>
      <c r="N782" s="171"/>
      <c r="O782" s="170"/>
      <c r="P782" s="53"/>
      <c r="Q782" s="53"/>
      <c r="R782" s="53"/>
      <c r="S782" s="171"/>
      <c r="T782" s="170"/>
      <c r="U782" s="53"/>
      <c r="V782" s="53"/>
      <c r="W782" s="53"/>
      <c r="X782" s="171"/>
      <c r="Y782" s="170"/>
      <c r="Z782" s="170"/>
      <c r="AA782" s="170"/>
      <c r="AB782" s="170"/>
      <c r="AC782" s="170"/>
      <c r="AD782" s="53"/>
      <c r="AE782" s="53"/>
    </row>
    <row r="783">
      <c r="A783" s="53"/>
      <c r="B783" s="53"/>
      <c r="C783" s="168"/>
      <c r="D783" s="169"/>
      <c r="E783" s="170"/>
      <c r="F783" s="53"/>
      <c r="G783" s="53"/>
      <c r="H783" s="53"/>
      <c r="I783" s="171"/>
      <c r="J783" s="170"/>
      <c r="K783" s="53"/>
      <c r="L783" s="53"/>
      <c r="M783" s="53"/>
      <c r="N783" s="171"/>
      <c r="O783" s="170"/>
      <c r="P783" s="53"/>
      <c r="Q783" s="53"/>
      <c r="R783" s="53"/>
      <c r="S783" s="171"/>
      <c r="T783" s="170"/>
      <c r="U783" s="53"/>
      <c r="V783" s="53"/>
      <c r="W783" s="53"/>
      <c r="X783" s="171"/>
      <c r="Y783" s="170"/>
      <c r="Z783" s="170"/>
      <c r="AA783" s="170"/>
      <c r="AB783" s="170"/>
      <c r="AC783" s="170"/>
      <c r="AD783" s="53"/>
      <c r="AE783" s="53"/>
    </row>
    <row r="784">
      <c r="A784" s="53"/>
      <c r="B784" s="53"/>
      <c r="C784" s="168"/>
      <c r="D784" s="169"/>
      <c r="E784" s="170"/>
      <c r="F784" s="53"/>
      <c r="G784" s="53"/>
      <c r="H784" s="53"/>
      <c r="I784" s="171"/>
      <c r="J784" s="170"/>
      <c r="K784" s="53"/>
      <c r="L784" s="53"/>
      <c r="M784" s="53"/>
      <c r="N784" s="171"/>
      <c r="O784" s="170"/>
      <c r="P784" s="53"/>
      <c r="Q784" s="53"/>
      <c r="R784" s="53"/>
      <c r="S784" s="171"/>
      <c r="T784" s="170"/>
      <c r="U784" s="53"/>
      <c r="V784" s="53"/>
      <c r="W784" s="53"/>
      <c r="X784" s="171"/>
      <c r="Y784" s="170"/>
      <c r="Z784" s="170"/>
      <c r="AA784" s="170"/>
      <c r="AB784" s="170"/>
      <c r="AC784" s="170"/>
      <c r="AD784" s="53"/>
      <c r="AE784" s="53"/>
    </row>
    <row r="785">
      <c r="A785" s="53"/>
      <c r="B785" s="53"/>
      <c r="C785" s="168"/>
      <c r="D785" s="169"/>
      <c r="E785" s="170"/>
      <c r="F785" s="53"/>
      <c r="G785" s="53"/>
      <c r="H785" s="53"/>
      <c r="I785" s="171"/>
      <c r="J785" s="170"/>
      <c r="K785" s="53"/>
      <c r="L785" s="53"/>
      <c r="M785" s="53"/>
      <c r="N785" s="171"/>
      <c r="O785" s="170"/>
      <c r="P785" s="53"/>
      <c r="Q785" s="53"/>
      <c r="R785" s="53"/>
      <c r="S785" s="171"/>
      <c r="T785" s="170"/>
      <c r="U785" s="53"/>
      <c r="V785" s="53"/>
      <c r="W785" s="53"/>
      <c r="X785" s="171"/>
      <c r="Y785" s="170"/>
      <c r="Z785" s="170"/>
      <c r="AA785" s="170"/>
      <c r="AB785" s="170"/>
      <c r="AC785" s="170"/>
      <c r="AD785" s="53"/>
      <c r="AE785" s="53"/>
    </row>
    <row r="786">
      <c r="A786" s="53"/>
      <c r="B786" s="53"/>
      <c r="C786" s="168"/>
      <c r="D786" s="169"/>
      <c r="E786" s="170"/>
      <c r="F786" s="53"/>
      <c r="G786" s="53"/>
      <c r="H786" s="53"/>
      <c r="I786" s="171"/>
      <c r="J786" s="170"/>
      <c r="K786" s="53"/>
      <c r="L786" s="53"/>
      <c r="M786" s="53"/>
      <c r="N786" s="171"/>
      <c r="O786" s="170"/>
      <c r="P786" s="53"/>
      <c r="Q786" s="53"/>
      <c r="R786" s="53"/>
      <c r="S786" s="171"/>
      <c r="T786" s="170"/>
      <c r="U786" s="53"/>
      <c r="V786" s="53"/>
      <c r="W786" s="53"/>
      <c r="X786" s="171"/>
      <c r="Y786" s="170"/>
      <c r="Z786" s="170"/>
      <c r="AA786" s="170"/>
      <c r="AB786" s="170"/>
      <c r="AC786" s="170"/>
      <c r="AD786" s="53"/>
      <c r="AE786" s="53"/>
    </row>
    <row r="787">
      <c r="A787" s="53"/>
      <c r="B787" s="53"/>
      <c r="C787" s="168"/>
      <c r="D787" s="169"/>
      <c r="E787" s="170"/>
      <c r="F787" s="53"/>
      <c r="G787" s="53"/>
      <c r="H787" s="53"/>
      <c r="I787" s="171"/>
      <c r="J787" s="170"/>
      <c r="K787" s="53"/>
      <c r="L787" s="53"/>
      <c r="M787" s="53"/>
      <c r="N787" s="171"/>
      <c r="O787" s="170"/>
      <c r="P787" s="53"/>
      <c r="Q787" s="53"/>
      <c r="R787" s="53"/>
      <c r="S787" s="171"/>
      <c r="T787" s="170"/>
      <c r="U787" s="53"/>
      <c r="V787" s="53"/>
      <c r="W787" s="53"/>
      <c r="X787" s="171"/>
      <c r="Y787" s="170"/>
      <c r="Z787" s="170"/>
      <c r="AA787" s="170"/>
      <c r="AB787" s="170"/>
      <c r="AC787" s="170"/>
      <c r="AD787" s="53"/>
      <c r="AE787" s="53"/>
    </row>
    <row r="788">
      <c r="A788" s="53"/>
      <c r="B788" s="53"/>
      <c r="C788" s="168"/>
      <c r="D788" s="169"/>
      <c r="E788" s="170"/>
      <c r="F788" s="53"/>
      <c r="G788" s="53"/>
      <c r="H788" s="53"/>
      <c r="I788" s="171"/>
      <c r="J788" s="170"/>
      <c r="K788" s="53"/>
      <c r="L788" s="53"/>
      <c r="M788" s="53"/>
      <c r="N788" s="171"/>
      <c r="O788" s="170"/>
      <c r="P788" s="53"/>
      <c r="Q788" s="53"/>
      <c r="R788" s="53"/>
      <c r="S788" s="171"/>
      <c r="T788" s="170"/>
      <c r="U788" s="53"/>
      <c r="V788" s="53"/>
      <c r="W788" s="53"/>
      <c r="X788" s="171"/>
      <c r="Y788" s="170"/>
      <c r="Z788" s="170"/>
      <c r="AA788" s="170"/>
      <c r="AB788" s="170"/>
      <c r="AC788" s="170"/>
      <c r="AD788" s="53"/>
      <c r="AE788" s="53"/>
    </row>
    <row r="789">
      <c r="A789" s="53"/>
      <c r="B789" s="53"/>
      <c r="C789" s="168"/>
      <c r="D789" s="169"/>
      <c r="E789" s="170"/>
      <c r="F789" s="53"/>
      <c r="G789" s="53"/>
      <c r="H789" s="53"/>
      <c r="I789" s="171"/>
      <c r="J789" s="170"/>
      <c r="K789" s="53"/>
      <c r="L789" s="53"/>
      <c r="M789" s="53"/>
      <c r="N789" s="171"/>
      <c r="O789" s="170"/>
      <c r="P789" s="53"/>
      <c r="Q789" s="53"/>
      <c r="R789" s="53"/>
      <c r="S789" s="171"/>
      <c r="T789" s="170"/>
      <c r="U789" s="53"/>
      <c r="V789" s="53"/>
      <c r="W789" s="53"/>
      <c r="X789" s="171"/>
      <c r="Y789" s="170"/>
      <c r="Z789" s="170"/>
      <c r="AA789" s="170"/>
      <c r="AB789" s="170"/>
      <c r="AC789" s="170"/>
      <c r="AD789" s="53"/>
      <c r="AE789" s="53"/>
    </row>
    <row r="790">
      <c r="A790" s="53"/>
      <c r="B790" s="53"/>
      <c r="C790" s="168"/>
      <c r="D790" s="169"/>
      <c r="E790" s="170"/>
      <c r="F790" s="53"/>
      <c r="G790" s="53"/>
      <c r="H790" s="53"/>
      <c r="I790" s="171"/>
      <c r="J790" s="170"/>
      <c r="K790" s="53"/>
      <c r="L790" s="53"/>
      <c r="M790" s="53"/>
      <c r="N790" s="171"/>
      <c r="O790" s="170"/>
      <c r="P790" s="53"/>
      <c r="Q790" s="53"/>
      <c r="R790" s="53"/>
      <c r="S790" s="171"/>
      <c r="T790" s="170"/>
      <c r="U790" s="53"/>
      <c r="V790" s="53"/>
      <c r="W790" s="53"/>
      <c r="X790" s="171"/>
      <c r="Y790" s="170"/>
      <c r="Z790" s="170"/>
      <c r="AA790" s="170"/>
      <c r="AB790" s="170"/>
      <c r="AC790" s="170"/>
      <c r="AD790" s="53"/>
      <c r="AE790" s="53"/>
    </row>
    <row r="791">
      <c r="A791" s="53"/>
      <c r="B791" s="53"/>
      <c r="C791" s="168"/>
      <c r="D791" s="169"/>
      <c r="E791" s="170"/>
      <c r="F791" s="53"/>
      <c r="G791" s="53"/>
      <c r="H791" s="53"/>
      <c r="I791" s="171"/>
      <c r="J791" s="170"/>
      <c r="K791" s="53"/>
      <c r="L791" s="53"/>
      <c r="M791" s="53"/>
      <c r="N791" s="171"/>
      <c r="O791" s="170"/>
      <c r="P791" s="53"/>
      <c r="Q791" s="53"/>
      <c r="R791" s="53"/>
      <c r="S791" s="171"/>
      <c r="T791" s="170"/>
      <c r="U791" s="53"/>
      <c r="V791" s="53"/>
      <c r="W791" s="53"/>
      <c r="X791" s="171"/>
      <c r="Y791" s="170"/>
      <c r="Z791" s="170"/>
      <c r="AA791" s="170"/>
      <c r="AB791" s="170"/>
      <c r="AC791" s="170"/>
      <c r="AD791" s="53"/>
      <c r="AE791" s="53"/>
    </row>
    <row r="792">
      <c r="A792" s="53"/>
      <c r="B792" s="53"/>
      <c r="C792" s="168"/>
      <c r="D792" s="169"/>
      <c r="E792" s="170"/>
      <c r="F792" s="53"/>
      <c r="G792" s="53"/>
      <c r="H792" s="53"/>
      <c r="I792" s="171"/>
      <c r="J792" s="170"/>
      <c r="K792" s="53"/>
      <c r="L792" s="53"/>
      <c r="M792" s="53"/>
      <c r="N792" s="171"/>
      <c r="O792" s="170"/>
      <c r="P792" s="53"/>
      <c r="Q792" s="53"/>
      <c r="R792" s="53"/>
      <c r="S792" s="171"/>
      <c r="T792" s="170"/>
      <c r="U792" s="53"/>
      <c r="V792" s="53"/>
      <c r="W792" s="53"/>
      <c r="X792" s="171"/>
      <c r="Y792" s="170"/>
      <c r="Z792" s="170"/>
      <c r="AA792" s="170"/>
      <c r="AB792" s="170"/>
      <c r="AC792" s="170"/>
      <c r="AD792" s="53"/>
      <c r="AE792" s="53"/>
    </row>
    <row r="793">
      <c r="A793" s="53"/>
      <c r="B793" s="53"/>
      <c r="C793" s="168"/>
      <c r="D793" s="169"/>
      <c r="E793" s="170"/>
      <c r="F793" s="53"/>
      <c r="G793" s="53"/>
      <c r="H793" s="53"/>
      <c r="I793" s="171"/>
      <c r="J793" s="170"/>
      <c r="K793" s="53"/>
      <c r="L793" s="53"/>
      <c r="M793" s="53"/>
      <c r="N793" s="171"/>
      <c r="O793" s="170"/>
      <c r="P793" s="53"/>
      <c r="Q793" s="53"/>
      <c r="R793" s="53"/>
      <c r="S793" s="171"/>
      <c r="T793" s="170"/>
      <c r="U793" s="53"/>
      <c r="V793" s="53"/>
      <c r="W793" s="53"/>
      <c r="X793" s="171"/>
      <c r="Y793" s="170"/>
      <c r="Z793" s="170"/>
      <c r="AA793" s="170"/>
      <c r="AB793" s="170"/>
      <c r="AC793" s="170"/>
      <c r="AD793" s="53"/>
      <c r="AE793" s="53"/>
    </row>
    <row r="794">
      <c r="A794" s="53"/>
      <c r="B794" s="53"/>
      <c r="C794" s="168"/>
      <c r="D794" s="169"/>
      <c r="E794" s="170"/>
      <c r="F794" s="53"/>
      <c r="G794" s="53"/>
      <c r="H794" s="53"/>
      <c r="I794" s="171"/>
      <c r="J794" s="170"/>
      <c r="K794" s="53"/>
      <c r="L794" s="53"/>
      <c r="M794" s="53"/>
      <c r="N794" s="171"/>
      <c r="O794" s="170"/>
      <c r="P794" s="53"/>
      <c r="Q794" s="53"/>
      <c r="R794" s="53"/>
      <c r="S794" s="171"/>
      <c r="T794" s="170"/>
      <c r="U794" s="53"/>
      <c r="V794" s="53"/>
      <c r="W794" s="53"/>
      <c r="X794" s="171"/>
      <c r="Y794" s="170"/>
      <c r="Z794" s="170"/>
      <c r="AA794" s="170"/>
      <c r="AB794" s="170"/>
      <c r="AC794" s="170"/>
      <c r="AD794" s="53"/>
      <c r="AE794" s="53"/>
    </row>
    <row r="795">
      <c r="A795" s="53"/>
      <c r="B795" s="53"/>
      <c r="C795" s="168"/>
      <c r="D795" s="169"/>
      <c r="E795" s="170"/>
      <c r="F795" s="53"/>
      <c r="G795" s="53"/>
      <c r="H795" s="53"/>
      <c r="I795" s="171"/>
      <c r="J795" s="170"/>
      <c r="K795" s="53"/>
      <c r="L795" s="53"/>
      <c r="M795" s="53"/>
      <c r="N795" s="171"/>
      <c r="O795" s="170"/>
      <c r="P795" s="53"/>
      <c r="Q795" s="53"/>
      <c r="R795" s="53"/>
      <c r="S795" s="171"/>
      <c r="T795" s="170"/>
      <c r="U795" s="53"/>
      <c r="V795" s="53"/>
      <c r="W795" s="53"/>
      <c r="X795" s="171"/>
      <c r="Y795" s="170"/>
      <c r="Z795" s="170"/>
      <c r="AA795" s="170"/>
      <c r="AB795" s="170"/>
      <c r="AC795" s="170"/>
      <c r="AD795" s="53"/>
      <c r="AE795" s="53"/>
    </row>
    <row r="796">
      <c r="A796" s="53"/>
      <c r="B796" s="53"/>
      <c r="C796" s="168"/>
      <c r="D796" s="169"/>
      <c r="E796" s="170"/>
      <c r="F796" s="53"/>
      <c r="G796" s="53"/>
      <c r="H796" s="53"/>
      <c r="I796" s="171"/>
      <c r="J796" s="170"/>
      <c r="K796" s="53"/>
      <c r="L796" s="53"/>
      <c r="M796" s="53"/>
      <c r="N796" s="171"/>
      <c r="O796" s="170"/>
      <c r="P796" s="53"/>
      <c r="Q796" s="53"/>
      <c r="R796" s="53"/>
      <c r="S796" s="171"/>
      <c r="T796" s="170"/>
      <c r="U796" s="53"/>
      <c r="V796" s="53"/>
      <c r="W796" s="53"/>
      <c r="X796" s="171"/>
      <c r="Y796" s="170"/>
      <c r="Z796" s="170"/>
      <c r="AA796" s="170"/>
      <c r="AB796" s="170"/>
      <c r="AC796" s="170"/>
      <c r="AD796" s="53"/>
      <c r="AE796" s="53"/>
    </row>
    <row r="797">
      <c r="A797" s="53"/>
      <c r="B797" s="53"/>
      <c r="C797" s="168"/>
      <c r="D797" s="169"/>
      <c r="E797" s="170"/>
      <c r="F797" s="53"/>
      <c r="G797" s="53"/>
      <c r="H797" s="53"/>
      <c r="I797" s="171"/>
      <c r="J797" s="170"/>
      <c r="K797" s="53"/>
      <c r="L797" s="53"/>
      <c r="M797" s="53"/>
      <c r="N797" s="171"/>
      <c r="O797" s="170"/>
      <c r="P797" s="53"/>
      <c r="Q797" s="53"/>
      <c r="R797" s="53"/>
      <c r="S797" s="171"/>
      <c r="T797" s="170"/>
      <c r="U797" s="53"/>
      <c r="V797" s="53"/>
      <c r="W797" s="53"/>
      <c r="X797" s="171"/>
      <c r="Y797" s="170"/>
      <c r="Z797" s="170"/>
      <c r="AA797" s="170"/>
      <c r="AB797" s="170"/>
      <c r="AC797" s="170"/>
      <c r="AD797" s="53"/>
      <c r="AE797" s="53"/>
    </row>
    <row r="798">
      <c r="A798" s="53"/>
      <c r="B798" s="53"/>
      <c r="C798" s="168"/>
      <c r="D798" s="169"/>
      <c r="E798" s="170"/>
      <c r="F798" s="53"/>
      <c r="G798" s="53"/>
      <c r="H798" s="53"/>
      <c r="I798" s="171"/>
      <c r="J798" s="170"/>
      <c r="K798" s="53"/>
      <c r="L798" s="53"/>
      <c r="M798" s="53"/>
      <c r="N798" s="171"/>
      <c r="O798" s="170"/>
      <c r="P798" s="53"/>
      <c r="Q798" s="53"/>
      <c r="R798" s="53"/>
      <c r="S798" s="171"/>
      <c r="T798" s="170"/>
      <c r="U798" s="53"/>
      <c r="V798" s="53"/>
      <c r="W798" s="53"/>
      <c r="X798" s="171"/>
      <c r="Y798" s="170"/>
      <c r="Z798" s="170"/>
      <c r="AA798" s="170"/>
      <c r="AB798" s="170"/>
      <c r="AC798" s="170"/>
      <c r="AD798" s="53"/>
      <c r="AE798" s="53"/>
    </row>
    <row r="799">
      <c r="A799" s="53"/>
      <c r="B799" s="53"/>
      <c r="C799" s="168"/>
      <c r="D799" s="169"/>
      <c r="E799" s="170"/>
      <c r="F799" s="53"/>
      <c r="G799" s="53"/>
      <c r="H799" s="53"/>
      <c r="I799" s="171"/>
      <c r="J799" s="170"/>
      <c r="K799" s="53"/>
      <c r="L799" s="53"/>
      <c r="M799" s="53"/>
      <c r="N799" s="171"/>
      <c r="O799" s="170"/>
      <c r="P799" s="53"/>
      <c r="Q799" s="53"/>
      <c r="R799" s="53"/>
      <c r="S799" s="171"/>
      <c r="T799" s="170"/>
      <c r="U799" s="53"/>
      <c r="V799" s="53"/>
      <c r="W799" s="53"/>
      <c r="X799" s="171"/>
      <c r="Y799" s="170"/>
      <c r="Z799" s="170"/>
      <c r="AA799" s="170"/>
      <c r="AB799" s="170"/>
      <c r="AC799" s="170"/>
      <c r="AD799" s="53"/>
      <c r="AE799" s="53"/>
    </row>
    <row r="800">
      <c r="A800" s="53"/>
      <c r="B800" s="53"/>
      <c r="C800" s="168"/>
      <c r="D800" s="169"/>
      <c r="E800" s="170"/>
      <c r="F800" s="53"/>
      <c r="G800" s="53"/>
      <c r="H800" s="53"/>
      <c r="I800" s="171"/>
      <c r="J800" s="170"/>
      <c r="K800" s="53"/>
      <c r="L800" s="53"/>
      <c r="M800" s="53"/>
      <c r="N800" s="171"/>
      <c r="O800" s="170"/>
      <c r="P800" s="53"/>
      <c r="Q800" s="53"/>
      <c r="R800" s="53"/>
      <c r="S800" s="171"/>
      <c r="T800" s="170"/>
      <c r="U800" s="53"/>
      <c r="V800" s="53"/>
      <c r="W800" s="53"/>
      <c r="X800" s="171"/>
      <c r="Y800" s="170"/>
      <c r="Z800" s="170"/>
      <c r="AA800" s="170"/>
      <c r="AB800" s="170"/>
      <c r="AC800" s="170"/>
      <c r="AD800" s="53"/>
      <c r="AE800" s="53"/>
    </row>
    <row r="801">
      <c r="A801" s="53"/>
      <c r="B801" s="53"/>
      <c r="C801" s="168"/>
      <c r="D801" s="169"/>
      <c r="E801" s="170"/>
      <c r="F801" s="53"/>
      <c r="G801" s="53"/>
      <c r="H801" s="53"/>
      <c r="I801" s="171"/>
      <c r="J801" s="170"/>
      <c r="K801" s="53"/>
      <c r="L801" s="53"/>
      <c r="M801" s="53"/>
      <c r="N801" s="171"/>
      <c r="O801" s="170"/>
      <c r="P801" s="53"/>
      <c r="Q801" s="53"/>
      <c r="R801" s="53"/>
      <c r="S801" s="171"/>
      <c r="T801" s="170"/>
      <c r="U801" s="53"/>
      <c r="V801" s="53"/>
      <c r="W801" s="53"/>
      <c r="X801" s="171"/>
      <c r="Y801" s="170"/>
      <c r="Z801" s="170"/>
      <c r="AA801" s="170"/>
      <c r="AB801" s="170"/>
      <c r="AC801" s="170"/>
      <c r="AD801" s="53"/>
      <c r="AE801" s="53"/>
    </row>
    <row r="802">
      <c r="A802" s="53"/>
      <c r="B802" s="53"/>
      <c r="C802" s="168"/>
      <c r="D802" s="169"/>
      <c r="E802" s="170"/>
      <c r="F802" s="53"/>
      <c r="G802" s="53"/>
      <c r="H802" s="53"/>
      <c r="I802" s="171"/>
      <c r="J802" s="170"/>
      <c r="K802" s="53"/>
      <c r="L802" s="53"/>
      <c r="M802" s="53"/>
      <c r="N802" s="171"/>
      <c r="O802" s="170"/>
      <c r="P802" s="53"/>
      <c r="Q802" s="53"/>
      <c r="R802" s="53"/>
      <c r="S802" s="171"/>
      <c r="T802" s="170"/>
      <c r="U802" s="53"/>
      <c r="V802" s="53"/>
      <c r="W802" s="53"/>
      <c r="X802" s="171"/>
      <c r="Y802" s="170"/>
      <c r="Z802" s="170"/>
      <c r="AA802" s="170"/>
      <c r="AB802" s="170"/>
      <c r="AC802" s="170"/>
      <c r="AD802" s="53"/>
      <c r="AE802" s="53"/>
    </row>
    <row r="803">
      <c r="A803" s="53"/>
      <c r="B803" s="53"/>
      <c r="C803" s="168"/>
      <c r="D803" s="169"/>
      <c r="E803" s="170"/>
      <c r="F803" s="53"/>
      <c r="G803" s="53"/>
      <c r="H803" s="53"/>
      <c r="I803" s="171"/>
      <c r="J803" s="170"/>
      <c r="K803" s="53"/>
      <c r="L803" s="53"/>
      <c r="M803" s="53"/>
      <c r="N803" s="171"/>
      <c r="O803" s="170"/>
      <c r="P803" s="53"/>
      <c r="Q803" s="53"/>
      <c r="R803" s="53"/>
      <c r="S803" s="171"/>
      <c r="T803" s="170"/>
      <c r="U803" s="53"/>
      <c r="V803" s="53"/>
      <c r="W803" s="53"/>
      <c r="X803" s="171"/>
      <c r="Y803" s="170"/>
      <c r="Z803" s="170"/>
      <c r="AA803" s="170"/>
      <c r="AB803" s="170"/>
      <c r="AC803" s="170"/>
      <c r="AD803" s="53"/>
      <c r="AE803" s="53"/>
    </row>
    <row r="804">
      <c r="A804" s="53"/>
      <c r="B804" s="53"/>
      <c r="C804" s="168"/>
      <c r="D804" s="169"/>
      <c r="E804" s="170"/>
      <c r="F804" s="53"/>
      <c r="G804" s="53"/>
      <c r="H804" s="53"/>
      <c r="I804" s="171"/>
      <c r="J804" s="170"/>
      <c r="K804" s="53"/>
      <c r="L804" s="53"/>
      <c r="M804" s="53"/>
      <c r="N804" s="171"/>
      <c r="O804" s="170"/>
      <c r="P804" s="53"/>
      <c r="Q804" s="53"/>
      <c r="R804" s="53"/>
      <c r="S804" s="171"/>
      <c r="T804" s="170"/>
      <c r="U804" s="53"/>
      <c r="V804" s="53"/>
      <c r="W804" s="53"/>
      <c r="X804" s="171"/>
      <c r="Y804" s="170"/>
      <c r="Z804" s="170"/>
      <c r="AA804" s="170"/>
      <c r="AB804" s="170"/>
      <c r="AC804" s="170"/>
      <c r="AD804" s="53"/>
      <c r="AE804" s="53"/>
    </row>
    <row r="805">
      <c r="A805" s="53"/>
      <c r="B805" s="53"/>
      <c r="C805" s="168"/>
      <c r="D805" s="169"/>
      <c r="E805" s="170"/>
      <c r="F805" s="53"/>
      <c r="G805" s="53"/>
      <c r="H805" s="53"/>
      <c r="I805" s="171"/>
      <c r="J805" s="170"/>
      <c r="K805" s="53"/>
      <c r="L805" s="53"/>
      <c r="M805" s="53"/>
      <c r="N805" s="171"/>
      <c r="O805" s="170"/>
      <c r="P805" s="53"/>
      <c r="Q805" s="53"/>
      <c r="R805" s="53"/>
      <c r="S805" s="171"/>
      <c r="T805" s="170"/>
      <c r="U805" s="53"/>
      <c r="V805" s="53"/>
      <c r="W805" s="53"/>
      <c r="X805" s="171"/>
      <c r="Y805" s="170"/>
      <c r="Z805" s="170"/>
      <c r="AA805" s="170"/>
      <c r="AB805" s="170"/>
      <c r="AC805" s="170"/>
      <c r="AD805" s="53"/>
      <c r="AE805" s="53"/>
    </row>
    <row r="806">
      <c r="A806" s="53"/>
      <c r="B806" s="53"/>
      <c r="C806" s="168"/>
      <c r="D806" s="169"/>
      <c r="E806" s="170"/>
      <c r="F806" s="53"/>
      <c r="G806" s="53"/>
      <c r="H806" s="53"/>
      <c r="I806" s="171"/>
      <c r="J806" s="170"/>
      <c r="K806" s="53"/>
      <c r="L806" s="53"/>
      <c r="M806" s="53"/>
      <c r="N806" s="171"/>
      <c r="O806" s="170"/>
      <c r="P806" s="53"/>
      <c r="Q806" s="53"/>
      <c r="R806" s="53"/>
      <c r="S806" s="171"/>
      <c r="T806" s="170"/>
      <c r="U806" s="53"/>
      <c r="V806" s="53"/>
      <c r="W806" s="53"/>
      <c r="X806" s="171"/>
      <c r="Y806" s="170"/>
      <c r="Z806" s="170"/>
      <c r="AA806" s="170"/>
      <c r="AB806" s="170"/>
      <c r="AC806" s="170"/>
      <c r="AD806" s="53"/>
      <c r="AE806" s="53"/>
    </row>
    <row r="807">
      <c r="A807" s="53"/>
      <c r="B807" s="53"/>
      <c r="C807" s="168"/>
      <c r="D807" s="169"/>
      <c r="E807" s="170"/>
      <c r="F807" s="53"/>
      <c r="G807" s="53"/>
      <c r="H807" s="53"/>
      <c r="I807" s="171"/>
      <c r="J807" s="170"/>
      <c r="K807" s="53"/>
      <c r="L807" s="53"/>
      <c r="M807" s="53"/>
      <c r="N807" s="171"/>
      <c r="O807" s="170"/>
      <c r="P807" s="53"/>
      <c r="Q807" s="53"/>
      <c r="R807" s="53"/>
      <c r="S807" s="171"/>
      <c r="T807" s="170"/>
      <c r="U807" s="53"/>
      <c r="V807" s="53"/>
      <c r="W807" s="53"/>
      <c r="X807" s="171"/>
      <c r="Y807" s="170"/>
      <c r="Z807" s="170"/>
      <c r="AA807" s="170"/>
      <c r="AB807" s="170"/>
      <c r="AC807" s="170"/>
      <c r="AD807" s="53"/>
      <c r="AE807" s="53"/>
    </row>
    <row r="808">
      <c r="A808" s="53"/>
      <c r="B808" s="53"/>
      <c r="C808" s="168"/>
      <c r="D808" s="169"/>
      <c r="E808" s="170"/>
      <c r="F808" s="53"/>
      <c r="G808" s="53"/>
      <c r="H808" s="53"/>
      <c r="I808" s="171"/>
      <c r="J808" s="170"/>
      <c r="K808" s="53"/>
      <c r="L808" s="53"/>
      <c r="M808" s="53"/>
      <c r="N808" s="171"/>
      <c r="O808" s="170"/>
      <c r="P808" s="53"/>
      <c r="Q808" s="53"/>
      <c r="R808" s="53"/>
      <c r="S808" s="171"/>
      <c r="T808" s="170"/>
      <c r="U808" s="53"/>
      <c r="V808" s="53"/>
      <c r="W808" s="53"/>
      <c r="X808" s="171"/>
      <c r="Y808" s="170"/>
      <c r="Z808" s="170"/>
      <c r="AA808" s="170"/>
      <c r="AB808" s="170"/>
      <c r="AC808" s="170"/>
      <c r="AD808" s="53"/>
      <c r="AE808" s="53"/>
    </row>
    <row r="809">
      <c r="A809" s="53"/>
      <c r="B809" s="53"/>
      <c r="C809" s="168"/>
      <c r="D809" s="169"/>
      <c r="E809" s="170"/>
      <c r="F809" s="53"/>
      <c r="G809" s="53"/>
      <c r="H809" s="53"/>
      <c r="I809" s="171"/>
      <c r="J809" s="170"/>
      <c r="K809" s="53"/>
      <c r="L809" s="53"/>
      <c r="M809" s="53"/>
      <c r="N809" s="171"/>
      <c r="O809" s="170"/>
      <c r="P809" s="53"/>
      <c r="Q809" s="53"/>
      <c r="R809" s="53"/>
      <c r="S809" s="171"/>
      <c r="T809" s="170"/>
      <c r="U809" s="53"/>
      <c r="V809" s="53"/>
      <c r="W809" s="53"/>
      <c r="X809" s="171"/>
      <c r="Y809" s="170"/>
      <c r="Z809" s="170"/>
      <c r="AA809" s="170"/>
      <c r="AB809" s="170"/>
      <c r="AC809" s="170"/>
      <c r="AD809" s="53"/>
      <c r="AE809" s="53"/>
    </row>
    <row r="810">
      <c r="A810" s="53"/>
      <c r="B810" s="53"/>
      <c r="C810" s="168"/>
      <c r="D810" s="169"/>
      <c r="E810" s="170"/>
      <c r="F810" s="53"/>
      <c r="G810" s="53"/>
      <c r="H810" s="53"/>
      <c r="I810" s="171"/>
      <c r="J810" s="170"/>
      <c r="K810" s="53"/>
      <c r="L810" s="53"/>
      <c r="M810" s="53"/>
      <c r="N810" s="171"/>
      <c r="O810" s="170"/>
      <c r="P810" s="53"/>
      <c r="Q810" s="53"/>
      <c r="R810" s="53"/>
      <c r="S810" s="171"/>
      <c r="T810" s="170"/>
      <c r="U810" s="53"/>
      <c r="V810" s="53"/>
      <c r="W810" s="53"/>
      <c r="X810" s="171"/>
      <c r="Y810" s="170"/>
      <c r="Z810" s="170"/>
      <c r="AA810" s="170"/>
      <c r="AB810" s="170"/>
      <c r="AC810" s="170"/>
      <c r="AD810" s="53"/>
      <c r="AE810" s="53"/>
    </row>
    <row r="811">
      <c r="A811" s="53"/>
      <c r="B811" s="53"/>
      <c r="C811" s="168"/>
      <c r="D811" s="169"/>
      <c r="E811" s="170"/>
      <c r="F811" s="53"/>
      <c r="G811" s="53"/>
      <c r="H811" s="53"/>
      <c r="I811" s="171"/>
      <c r="J811" s="170"/>
      <c r="K811" s="53"/>
      <c r="L811" s="53"/>
      <c r="M811" s="53"/>
      <c r="N811" s="171"/>
      <c r="O811" s="170"/>
      <c r="P811" s="53"/>
      <c r="Q811" s="53"/>
      <c r="R811" s="53"/>
      <c r="S811" s="171"/>
      <c r="T811" s="170"/>
      <c r="U811" s="53"/>
      <c r="V811" s="53"/>
      <c r="W811" s="53"/>
      <c r="X811" s="171"/>
      <c r="Y811" s="170"/>
      <c r="Z811" s="170"/>
      <c r="AA811" s="170"/>
      <c r="AB811" s="170"/>
      <c r="AC811" s="170"/>
      <c r="AD811" s="53"/>
      <c r="AE811" s="53"/>
    </row>
    <row r="812">
      <c r="A812" s="53"/>
      <c r="B812" s="53"/>
      <c r="C812" s="168"/>
      <c r="D812" s="169"/>
      <c r="E812" s="170"/>
      <c r="F812" s="53"/>
      <c r="G812" s="53"/>
      <c r="H812" s="53"/>
      <c r="I812" s="171"/>
      <c r="J812" s="170"/>
      <c r="K812" s="53"/>
      <c r="L812" s="53"/>
      <c r="M812" s="53"/>
      <c r="N812" s="171"/>
      <c r="O812" s="170"/>
      <c r="P812" s="53"/>
      <c r="Q812" s="53"/>
      <c r="R812" s="53"/>
      <c r="S812" s="171"/>
      <c r="T812" s="170"/>
      <c r="U812" s="53"/>
      <c r="V812" s="53"/>
      <c r="W812" s="53"/>
      <c r="X812" s="171"/>
      <c r="Y812" s="170"/>
      <c r="Z812" s="170"/>
      <c r="AA812" s="170"/>
      <c r="AB812" s="170"/>
      <c r="AC812" s="170"/>
      <c r="AD812" s="53"/>
      <c r="AE812" s="53"/>
    </row>
    <row r="813">
      <c r="A813" s="53"/>
      <c r="B813" s="53"/>
      <c r="C813" s="168"/>
      <c r="D813" s="169"/>
      <c r="E813" s="170"/>
      <c r="F813" s="53"/>
      <c r="G813" s="53"/>
      <c r="H813" s="53"/>
      <c r="I813" s="171"/>
      <c r="J813" s="170"/>
      <c r="K813" s="53"/>
      <c r="L813" s="53"/>
      <c r="M813" s="53"/>
      <c r="N813" s="171"/>
      <c r="O813" s="170"/>
      <c r="P813" s="53"/>
      <c r="Q813" s="53"/>
      <c r="R813" s="53"/>
      <c r="S813" s="171"/>
      <c r="T813" s="170"/>
      <c r="U813" s="53"/>
      <c r="V813" s="53"/>
      <c r="W813" s="53"/>
      <c r="X813" s="171"/>
      <c r="Y813" s="170"/>
      <c r="Z813" s="170"/>
      <c r="AA813" s="170"/>
      <c r="AB813" s="170"/>
      <c r="AC813" s="170"/>
      <c r="AD813" s="53"/>
      <c r="AE813" s="53"/>
    </row>
    <row r="814">
      <c r="A814" s="53"/>
      <c r="B814" s="53"/>
      <c r="C814" s="168"/>
      <c r="D814" s="169"/>
      <c r="E814" s="170"/>
      <c r="F814" s="53"/>
      <c r="G814" s="53"/>
      <c r="H814" s="53"/>
      <c r="I814" s="171"/>
      <c r="J814" s="170"/>
      <c r="K814" s="53"/>
      <c r="L814" s="53"/>
      <c r="M814" s="53"/>
      <c r="N814" s="171"/>
      <c r="O814" s="170"/>
      <c r="P814" s="53"/>
      <c r="Q814" s="53"/>
      <c r="R814" s="53"/>
      <c r="S814" s="171"/>
      <c r="T814" s="170"/>
      <c r="U814" s="53"/>
      <c r="V814" s="53"/>
      <c r="W814" s="53"/>
      <c r="X814" s="171"/>
      <c r="Y814" s="170"/>
      <c r="Z814" s="170"/>
      <c r="AA814" s="170"/>
      <c r="AB814" s="170"/>
      <c r="AC814" s="170"/>
      <c r="AD814" s="53"/>
      <c r="AE814" s="53"/>
    </row>
    <row r="815">
      <c r="A815" s="53"/>
      <c r="B815" s="53"/>
      <c r="C815" s="168"/>
      <c r="D815" s="169"/>
      <c r="E815" s="170"/>
      <c r="F815" s="53"/>
      <c r="G815" s="53"/>
      <c r="H815" s="53"/>
      <c r="I815" s="171"/>
      <c r="J815" s="170"/>
      <c r="K815" s="53"/>
      <c r="L815" s="53"/>
      <c r="M815" s="53"/>
      <c r="N815" s="171"/>
      <c r="O815" s="170"/>
      <c r="P815" s="53"/>
      <c r="Q815" s="53"/>
      <c r="R815" s="53"/>
      <c r="S815" s="171"/>
      <c r="T815" s="170"/>
      <c r="U815" s="53"/>
      <c r="V815" s="53"/>
      <c r="W815" s="53"/>
      <c r="X815" s="171"/>
      <c r="Y815" s="170"/>
      <c r="Z815" s="170"/>
      <c r="AA815" s="170"/>
      <c r="AB815" s="170"/>
      <c r="AC815" s="170"/>
      <c r="AD815" s="53"/>
      <c r="AE815" s="53"/>
    </row>
    <row r="816">
      <c r="A816" s="53"/>
      <c r="B816" s="53"/>
      <c r="C816" s="168"/>
      <c r="D816" s="169"/>
      <c r="E816" s="170"/>
      <c r="F816" s="53"/>
      <c r="G816" s="53"/>
      <c r="H816" s="53"/>
      <c r="I816" s="171"/>
      <c r="J816" s="170"/>
      <c r="K816" s="53"/>
      <c r="L816" s="53"/>
      <c r="M816" s="53"/>
      <c r="N816" s="171"/>
      <c r="O816" s="170"/>
      <c r="P816" s="53"/>
      <c r="Q816" s="53"/>
      <c r="R816" s="53"/>
      <c r="S816" s="171"/>
      <c r="T816" s="170"/>
      <c r="U816" s="53"/>
      <c r="V816" s="53"/>
      <c r="W816" s="53"/>
      <c r="X816" s="171"/>
      <c r="Y816" s="170"/>
      <c r="Z816" s="170"/>
      <c r="AA816" s="170"/>
      <c r="AB816" s="170"/>
      <c r="AC816" s="170"/>
      <c r="AD816" s="53"/>
      <c r="AE816" s="53"/>
    </row>
    <row r="817">
      <c r="A817" s="53"/>
      <c r="B817" s="53"/>
      <c r="C817" s="168"/>
      <c r="D817" s="169"/>
      <c r="E817" s="170"/>
      <c r="F817" s="53"/>
      <c r="G817" s="53"/>
      <c r="H817" s="53"/>
      <c r="I817" s="171"/>
      <c r="J817" s="170"/>
      <c r="K817" s="53"/>
      <c r="L817" s="53"/>
      <c r="M817" s="53"/>
      <c r="N817" s="171"/>
      <c r="O817" s="170"/>
      <c r="P817" s="53"/>
      <c r="Q817" s="53"/>
      <c r="R817" s="53"/>
      <c r="S817" s="171"/>
      <c r="T817" s="170"/>
      <c r="U817" s="53"/>
      <c r="V817" s="53"/>
      <c r="W817" s="53"/>
      <c r="X817" s="171"/>
      <c r="Y817" s="170"/>
      <c r="Z817" s="170"/>
      <c r="AA817" s="170"/>
      <c r="AB817" s="170"/>
      <c r="AC817" s="170"/>
      <c r="AD817" s="53"/>
      <c r="AE817" s="53"/>
    </row>
    <row r="818">
      <c r="A818" s="53"/>
      <c r="B818" s="53"/>
      <c r="C818" s="168"/>
      <c r="D818" s="169"/>
      <c r="E818" s="170"/>
      <c r="F818" s="53"/>
      <c r="G818" s="53"/>
      <c r="H818" s="53"/>
      <c r="I818" s="171"/>
      <c r="J818" s="170"/>
      <c r="K818" s="53"/>
      <c r="L818" s="53"/>
      <c r="M818" s="53"/>
      <c r="N818" s="171"/>
      <c r="O818" s="170"/>
      <c r="P818" s="53"/>
      <c r="Q818" s="53"/>
      <c r="R818" s="53"/>
      <c r="S818" s="171"/>
      <c r="T818" s="170"/>
      <c r="U818" s="53"/>
      <c r="V818" s="53"/>
      <c r="W818" s="53"/>
      <c r="X818" s="171"/>
      <c r="Y818" s="170"/>
      <c r="Z818" s="170"/>
      <c r="AA818" s="170"/>
      <c r="AB818" s="170"/>
      <c r="AC818" s="170"/>
      <c r="AD818" s="53"/>
      <c r="AE818" s="53"/>
    </row>
    <row r="819">
      <c r="A819" s="53"/>
      <c r="B819" s="53"/>
      <c r="C819" s="168"/>
      <c r="D819" s="169"/>
      <c r="E819" s="170"/>
      <c r="F819" s="53"/>
      <c r="G819" s="53"/>
      <c r="H819" s="53"/>
      <c r="I819" s="171"/>
      <c r="J819" s="170"/>
      <c r="K819" s="53"/>
      <c r="L819" s="53"/>
      <c r="M819" s="53"/>
      <c r="N819" s="171"/>
      <c r="O819" s="170"/>
      <c r="P819" s="53"/>
      <c r="Q819" s="53"/>
      <c r="R819" s="53"/>
      <c r="S819" s="171"/>
      <c r="T819" s="170"/>
      <c r="U819" s="53"/>
      <c r="V819" s="53"/>
      <c r="W819" s="53"/>
      <c r="X819" s="171"/>
      <c r="Y819" s="170"/>
      <c r="Z819" s="170"/>
      <c r="AA819" s="170"/>
      <c r="AB819" s="170"/>
      <c r="AC819" s="170"/>
      <c r="AD819" s="53"/>
      <c r="AE819" s="53"/>
    </row>
    <row r="820">
      <c r="A820" s="53"/>
      <c r="B820" s="53"/>
      <c r="C820" s="168"/>
      <c r="D820" s="169"/>
      <c r="E820" s="170"/>
      <c r="F820" s="53"/>
      <c r="G820" s="53"/>
      <c r="H820" s="53"/>
      <c r="I820" s="171"/>
      <c r="J820" s="170"/>
      <c r="K820" s="53"/>
      <c r="L820" s="53"/>
      <c r="M820" s="53"/>
      <c r="N820" s="171"/>
      <c r="O820" s="170"/>
      <c r="P820" s="53"/>
      <c r="Q820" s="53"/>
      <c r="R820" s="53"/>
      <c r="S820" s="171"/>
      <c r="T820" s="170"/>
      <c r="U820" s="53"/>
      <c r="V820" s="53"/>
      <c r="W820" s="53"/>
      <c r="X820" s="171"/>
      <c r="Y820" s="170"/>
      <c r="Z820" s="170"/>
      <c r="AA820" s="170"/>
      <c r="AB820" s="170"/>
      <c r="AC820" s="170"/>
      <c r="AD820" s="53"/>
      <c r="AE820" s="53"/>
    </row>
    <row r="821">
      <c r="A821" s="53"/>
      <c r="B821" s="53"/>
      <c r="C821" s="168"/>
      <c r="D821" s="169"/>
      <c r="E821" s="170"/>
      <c r="F821" s="53"/>
      <c r="G821" s="53"/>
      <c r="H821" s="53"/>
      <c r="I821" s="171"/>
      <c r="J821" s="170"/>
      <c r="K821" s="53"/>
      <c r="L821" s="53"/>
      <c r="M821" s="53"/>
      <c r="N821" s="171"/>
      <c r="O821" s="170"/>
      <c r="P821" s="53"/>
      <c r="Q821" s="53"/>
      <c r="R821" s="53"/>
      <c r="S821" s="171"/>
      <c r="T821" s="170"/>
      <c r="U821" s="53"/>
      <c r="V821" s="53"/>
      <c r="W821" s="53"/>
      <c r="X821" s="171"/>
      <c r="Y821" s="170"/>
      <c r="Z821" s="170"/>
      <c r="AA821" s="170"/>
      <c r="AB821" s="170"/>
      <c r="AC821" s="170"/>
      <c r="AD821" s="53"/>
      <c r="AE821" s="53"/>
    </row>
    <row r="822">
      <c r="A822" s="53"/>
      <c r="B822" s="53"/>
      <c r="C822" s="168"/>
      <c r="D822" s="169"/>
      <c r="E822" s="170"/>
      <c r="F822" s="53"/>
      <c r="G822" s="53"/>
      <c r="H822" s="53"/>
      <c r="I822" s="171"/>
      <c r="J822" s="170"/>
      <c r="K822" s="53"/>
      <c r="L822" s="53"/>
      <c r="M822" s="53"/>
      <c r="N822" s="171"/>
      <c r="O822" s="170"/>
      <c r="P822" s="53"/>
      <c r="Q822" s="53"/>
      <c r="R822" s="53"/>
      <c r="S822" s="171"/>
      <c r="T822" s="170"/>
      <c r="U822" s="53"/>
      <c r="V822" s="53"/>
      <c r="W822" s="53"/>
      <c r="X822" s="171"/>
      <c r="Y822" s="170"/>
      <c r="Z822" s="170"/>
      <c r="AA822" s="170"/>
      <c r="AB822" s="170"/>
      <c r="AC822" s="170"/>
      <c r="AD822" s="53"/>
      <c r="AE822" s="53"/>
    </row>
    <row r="823">
      <c r="A823" s="53"/>
      <c r="B823" s="53"/>
      <c r="C823" s="168"/>
      <c r="D823" s="169"/>
      <c r="E823" s="170"/>
      <c r="F823" s="53"/>
      <c r="G823" s="53"/>
      <c r="H823" s="53"/>
      <c r="I823" s="171"/>
      <c r="J823" s="170"/>
      <c r="K823" s="53"/>
      <c r="L823" s="53"/>
      <c r="M823" s="53"/>
      <c r="N823" s="171"/>
      <c r="O823" s="170"/>
      <c r="P823" s="53"/>
      <c r="Q823" s="53"/>
      <c r="R823" s="53"/>
      <c r="S823" s="171"/>
      <c r="T823" s="170"/>
      <c r="U823" s="53"/>
      <c r="V823" s="53"/>
      <c r="W823" s="53"/>
      <c r="X823" s="171"/>
      <c r="Y823" s="170"/>
      <c r="Z823" s="170"/>
      <c r="AA823" s="170"/>
      <c r="AB823" s="170"/>
      <c r="AC823" s="170"/>
      <c r="AD823" s="53"/>
      <c r="AE823" s="53"/>
    </row>
    <row r="824">
      <c r="A824" s="53"/>
      <c r="B824" s="53"/>
      <c r="C824" s="168"/>
      <c r="D824" s="169"/>
      <c r="E824" s="170"/>
      <c r="F824" s="53"/>
      <c r="G824" s="53"/>
      <c r="H824" s="53"/>
      <c r="I824" s="171"/>
      <c r="J824" s="170"/>
      <c r="K824" s="53"/>
      <c r="L824" s="53"/>
      <c r="M824" s="53"/>
      <c r="N824" s="171"/>
      <c r="O824" s="170"/>
      <c r="P824" s="53"/>
      <c r="Q824" s="53"/>
      <c r="R824" s="53"/>
      <c r="S824" s="171"/>
      <c r="T824" s="170"/>
      <c r="U824" s="53"/>
      <c r="V824" s="53"/>
      <c r="W824" s="53"/>
      <c r="X824" s="171"/>
      <c r="Y824" s="170"/>
      <c r="Z824" s="170"/>
      <c r="AA824" s="170"/>
      <c r="AB824" s="170"/>
      <c r="AC824" s="170"/>
      <c r="AD824" s="53"/>
      <c r="AE824" s="53"/>
    </row>
    <row r="825">
      <c r="A825" s="53"/>
      <c r="B825" s="53"/>
      <c r="C825" s="168"/>
      <c r="D825" s="169"/>
      <c r="E825" s="170"/>
      <c r="F825" s="53"/>
      <c r="G825" s="53"/>
      <c r="H825" s="53"/>
      <c r="I825" s="171"/>
      <c r="J825" s="170"/>
      <c r="K825" s="53"/>
      <c r="L825" s="53"/>
      <c r="M825" s="53"/>
      <c r="N825" s="171"/>
      <c r="O825" s="170"/>
      <c r="P825" s="53"/>
      <c r="Q825" s="53"/>
      <c r="R825" s="53"/>
      <c r="S825" s="171"/>
      <c r="T825" s="170"/>
      <c r="U825" s="53"/>
      <c r="V825" s="53"/>
      <c r="W825" s="53"/>
      <c r="X825" s="171"/>
      <c r="Y825" s="170"/>
      <c r="Z825" s="170"/>
      <c r="AA825" s="170"/>
      <c r="AB825" s="170"/>
      <c r="AC825" s="170"/>
      <c r="AD825" s="53"/>
      <c r="AE825" s="53"/>
    </row>
    <row r="826">
      <c r="A826" s="53"/>
      <c r="B826" s="53"/>
      <c r="C826" s="168"/>
      <c r="D826" s="169"/>
      <c r="E826" s="170"/>
      <c r="F826" s="53"/>
      <c r="G826" s="53"/>
      <c r="H826" s="53"/>
      <c r="I826" s="171"/>
      <c r="J826" s="170"/>
      <c r="K826" s="53"/>
      <c r="L826" s="53"/>
      <c r="M826" s="53"/>
      <c r="N826" s="171"/>
      <c r="O826" s="170"/>
      <c r="P826" s="53"/>
      <c r="Q826" s="53"/>
      <c r="R826" s="53"/>
      <c r="S826" s="171"/>
      <c r="T826" s="170"/>
      <c r="U826" s="53"/>
      <c r="V826" s="53"/>
      <c r="W826" s="53"/>
      <c r="X826" s="171"/>
      <c r="Y826" s="170"/>
      <c r="Z826" s="170"/>
      <c r="AA826" s="170"/>
      <c r="AB826" s="170"/>
      <c r="AC826" s="170"/>
      <c r="AD826" s="53"/>
      <c r="AE826" s="53"/>
    </row>
    <row r="827">
      <c r="A827" s="53"/>
      <c r="B827" s="53"/>
      <c r="C827" s="168"/>
      <c r="D827" s="169"/>
      <c r="E827" s="170"/>
      <c r="F827" s="53"/>
      <c r="G827" s="53"/>
      <c r="H827" s="53"/>
      <c r="I827" s="171"/>
      <c r="J827" s="170"/>
      <c r="K827" s="53"/>
      <c r="L827" s="53"/>
      <c r="M827" s="53"/>
      <c r="N827" s="171"/>
      <c r="O827" s="170"/>
      <c r="P827" s="53"/>
      <c r="Q827" s="53"/>
      <c r="R827" s="53"/>
      <c r="S827" s="171"/>
      <c r="T827" s="170"/>
      <c r="U827" s="53"/>
      <c r="V827" s="53"/>
      <c r="W827" s="53"/>
      <c r="X827" s="171"/>
      <c r="Y827" s="170"/>
      <c r="Z827" s="170"/>
      <c r="AA827" s="170"/>
      <c r="AB827" s="170"/>
      <c r="AC827" s="170"/>
      <c r="AD827" s="53"/>
      <c r="AE827" s="53"/>
    </row>
    <row r="828">
      <c r="A828" s="53"/>
      <c r="B828" s="53"/>
      <c r="C828" s="168"/>
      <c r="D828" s="169"/>
      <c r="E828" s="170"/>
      <c r="F828" s="53"/>
      <c r="G828" s="53"/>
      <c r="H828" s="53"/>
      <c r="I828" s="171"/>
      <c r="J828" s="170"/>
      <c r="K828" s="53"/>
      <c r="L828" s="53"/>
      <c r="M828" s="53"/>
      <c r="N828" s="171"/>
      <c r="O828" s="170"/>
      <c r="P828" s="53"/>
      <c r="Q828" s="53"/>
      <c r="R828" s="53"/>
      <c r="S828" s="171"/>
      <c r="T828" s="170"/>
      <c r="U828" s="53"/>
      <c r="V828" s="53"/>
      <c r="W828" s="53"/>
      <c r="X828" s="171"/>
      <c r="Y828" s="170"/>
      <c r="Z828" s="170"/>
      <c r="AA828" s="170"/>
      <c r="AB828" s="170"/>
      <c r="AC828" s="170"/>
      <c r="AD828" s="53"/>
      <c r="AE828" s="53"/>
    </row>
    <row r="829">
      <c r="A829" s="53"/>
      <c r="B829" s="53"/>
      <c r="C829" s="168"/>
      <c r="D829" s="169"/>
      <c r="E829" s="170"/>
      <c r="F829" s="53"/>
      <c r="G829" s="53"/>
      <c r="H829" s="53"/>
      <c r="I829" s="171"/>
      <c r="J829" s="170"/>
      <c r="K829" s="53"/>
      <c r="L829" s="53"/>
      <c r="M829" s="53"/>
      <c r="N829" s="171"/>
      <c r="O829" s="170"/>
      <c r="P829" s="53"/>
      <c r="Q829" s="53"/>
      <c r="R829" s="53"/>
      <c r="S829" s="171"/>
      <c r="T829" s="170"/>
      <c r="U829" s="53"/>
      <c r="V829" s="53"/>
      <c r="W829" s="53"/>
      <c r="X829" s="171"/>
      <c r="Y829" s="170"/>
      <c r="Z829" s="170"/>
      <c r="AA829" s="170"/>
      <c r="AB829" s="170"/>
      <c r="AC829" s="170"/>
      <c r="AD829" s="53"/>
      <c r="AE829" s="53"/>
    </row>
    <row r="830">
      <c r="A830" s="53"/>
      <c r="B830" s="53"/>
      <c r="C830" s="168"/>
      <c r="D830" s="169"/>
      <c r="E830" s="170"/>
      <c r="F830" s="53"/>
      <c r="G830" s="53"/>
      <c r="H830" s="53"/>
      <c r="I830" s="171"/>
      <c r="J830" s="170"/>
      <c r="K830" s="53"/>
      <c r="L830" s="53"/>
      <c r="M830" s="53"/>
      <c r="N830" s="171"/>
      <c r="O830" s="170"/>
      <c r="P830" s="53"/>
      <c r="Q830" s="53"/>
      <c r="R830" s="53"/>
      <c r="S830" s="171"/>
      <c r="T830" s="170"/>
      <c r="U830" s="53"/>
      <c r="V830" s="53"/>
      <c r="W830" s="53"/>
      <c r="X830" s="171"/>
      <c r="Y830" s="170"/>
      <c r="Z830" s="170"/>
      <c r="AA830" s="170"/>
      <c r="AB830" s="170"/>
      <c r="AC830" s="170"/>
      <c r="AD830" s="53"/>
      <c r="AE830" s="53"/>
    </row>
    <row r="831">
      <c r="A831" s="53"/>
      <c r="B831" s="53"/>
      <c r="C831" s="168"/>
      <c r="D831" s="169"/>
      <c r="E831" s="170"/>
      <c r="F831" s="53"/>
      <c r="G831" s="53"/>
      <c r="H831" s="53"/>
      <c r="I831" s="171"/>
      <c r="J831" s="170"/>
      <c r="K831" s="53"/>
      <c r="L831" s="53"/>
      <c r="M831" s="53"/>
      <c r="N831" s="171"/>
      <c r="O831" s="170"/>
      <c r="P831" s="53"/>
      <c r="Q831" s="53"/>
      <c r="R831" s="53"/>
      <c r="S831" s="171"/>
      <c r="T831" s="170"/>
      <c r="U831" s="53"/>
      <c r="V831" s="53"/>
      <c r="W831" s="53"/>
      <c r="X831" s="171"/>
      <c r="Y831" s="170"/>
      <c r="Z831" s="170"/>
      <c r="AA831" s="170"/>
      <c r="AB831" s="170"/>
      <c r="AC831" s="170"/>
      <c r="AD831" s="53"/>
      <c r="AE831" s="53"/>
    </row>
    <row r="832">
      <c r="A832" s="53"/>
      <c r="B832" s="53"/>
      <c r="C832" s="168"/>
      <c r="D832" s="169"/>
      <c r="E832" s="170"/>
      <c r="F832" s="53"/>
      <c r="G832" s="53"/>
      <c r="H832" s="53"/>
      <c r="I832" s="171"/>
      <c r="J832" s="170"/>
      <c r="K832" s="53"/>
      <c r="L832" s="53"/>
      <c r="M832" s="53"/>
      <c r="N832" s="171"/>
      <c r="O832" s="170"/>
      <c r="P832" s="53"/>
      <c r="Q832" s="53"/>
      <c r="R832" s="53"/>
      <c r="S832" s="171"/>
      <c r="T832" s="170"/>
      <c r="U832" s="53"/>
      <c r="V832" s="53"/>
      <c r="W832" s="53"/>
      <c r="X832" s="171"/>
      <c r="Y832" s="170"/>
      <c r="Z832" s="170"/>
      <c r="AA832" s="170"/>
      <c r="AB832" s="170"/>
      <c r="AC832" s="170"/>
      <c r="AD832" s="53"/>
      <c r="AE832" s="53"/>
    </row>
    <row r="833">
      <c r="A833" s="53"/>
      <c r="B833" s="53"/>
      <c r="C833" s="168"/>
      <c r="D833" s="169"/>
      <c r="E833" s="170"/>
      <c r="F833" s="53"/>
      <c r="G833" s="53"/>
      <c r="H833" s="53"/>
      <c r="I833" s="171"/>
      <c r="J833" s="170"/>
      <c r="K833" s="53"/>
      <c r="L833" s="53"/>
      <c r="M833" s="53"/>
      <c r="N833" s="171"/>
      <c r="O833" s="170"/>
      <c r="P833" s="53"/>
      <c r="Q833" s="53"/>
      <c r="R833" s="53"/>
      <c r="S833" s="171"/>
      <c r="T833" s="170"/>
      <c r="U833" s="53"/>
      <c r="V833" s="53"/>
      <c r="W833" s="53"/>
      <c r="X833" s="171"/>
      <c r="Y833" s="170"/>
      <c r="Z833" s="170"/>
      <c r="AA833" s="170"/>
      <c r="AB833" s="170"/>
      <c r="AC833" s="170"/>
      <c r="AD833" s="53"/>
      <c r="AE833" s="53"/>
    </row>
    <row r="834">
      <c r="A834" s="53"/>
      <c r="B834" s="53"/>
      <c r="C834" s="168"/>
      <c r="D834" s="169"/>
      <c r="E834" s="170"/>
      <c r="F834" s="53"/>
      <c r="G834" s="53"/>
      <c r="H834" s="53"/>
      <c r="I834" s="171"/>
      <c r="J834" s="170"/>
      <c r="K834" s="53"/>
      <c r="L834" s="53"/>
      <c r="M834" s="53"/>
      <c r="N834" s="171"/>
      <c r="O834" s="170"/>
      <c r="P834" s="53"/>
      <c r="Q834" s="53"/>
      <c r="R834" s="53"/>
      <c r="S834" s="171"/>
      <c r="T834" s="170"/>
      <c r="U834" s="53"/>
      <c r="V834" s="53"/>
      <c r="W834" s="53"/>
      <c r="X834" s="171"/>
      <c r="Y834" s="170"/>
      <c r="Z834" s="170"/>
      <c r="AA834" s="170"/>
      <c r="AB834" s="170"/>
      <c r="AC834" s="170"/>
      <c r="AD834" s="53"/>
      <c r="AE834" s="53"/>
    </row>
    <row r="835">
      <c r="A835" s="53"/>
      <c r="B835" s="53"/>
      <c r="C835" s="168"/>
      <c r="D835" s="169"/>
      <c r="E835" s="170"/>
      <c r="F835" s="53"/>
      <c r="G835" s="53"/>
      <c r="H835" s="53"/>
      <c r="I835" s="171"/>
      <c r="J835" s="170"/>
      <c r="K835" s="53"/>
      <c r="L835" s="53"/>
      <c r="M835" s="53"/>
      <c r="N835" s="171"/>
      <c r="O835" s="170"/>
      <c r="P835" s="53"/>
      <c r="Q835" s="53"/>
      <c r="R835" s="53"/>
      <c r="S835" s="171"/>
      <c r="T835" s="170"/>
      <c r="U835" s="53"/>
      <c r="V835" s="53"/>
      <c r="W835" s="53"/>
      <c r="X835" s="171"/>
      <c r="Y835" s="170"/>
      <c r="Z835" s="170"/>
      <c r="AA835" s="170"/>
      <c r="AB835" s="170"/>
      <c r="AC835" s="170"/>
      <c r="AD835" s="53"/>
      <c r="AE835" s="53"/>
    </row>
    <row r="836">
      <c r="A836" s="53"/>
      <c r="B836" s="53"/>
      <c r="C836" s="168"/>
      <c r="D836" s="169"/>
      <c r="E836" s="170"/>
      <c r="F836" s="53"/>
      <c r="G836" s="53"/>
      <c r="H836" s="53"/>
      <c r="I836" s="171"/>
      <c r="J836" s="170"/>
      <c r="K836" s="53"/>
      <c r="L836" s="53"/>
      <c r="M836" s="53"/>
      <c r="N836" s="171"/>
      <c r="O836" s="170"/>
      <c r="P836" s="53"/>
      <c r="Q836" s="53"/>
      <c r="R836" s="53"/>
      <c r="S836" s="171"/>
      <c r="T836" s="170"/>
      <c r="U836" s="53"/>
      <c r="V836" s="53"/>
      <c r="W836" s="53"/>
      <c r="X836" s="171"/>
      <c r="Y836" s="170"/>
      <c r="Z836" s="170"/>
      <c r="AA836" s="170"/>
      <c r="AB836" s="170"/>
      <c r="AC836" s="170"/>
      <c r="AD836" s="53"/>
      <c r="AE836" s="53"/>
    </row>
    <row r="837">
      <c r="A837" s="53"/>
      <c r="B837" s="53"/>
      <c r="C837" s="168"/>
      <c r="D837" s="169"/>
      <c r="E837" s="170"/>
      <c r="F837" s="53"/>
      <c r="G837" s="53"/>
      <c r="H837" s="53"/>
      <c r="I837" s="171"/>
      <c r="J837" s="170"/>
      <c r="K837" s="53"/>
      <c r="L837" s="53"/>
      <c r="M837" s="53"/>
      <c r="N837" s="171"/>
      <c r="O837" s="170"/>
      <c r="P837" s="53"/>
      <c r="Q837" s="53"/>
      <c r="R837" s="53"/>
      <c r="S837" s="171"/>
      <c r="T837" s="170"/>
      <c r="U837" s="53"/>
      <c r="V837" s="53"/>
      <c r="W837" s="53"/>
      <c r="X837" s="171"/>
      <c r="Y837" s="170"/>
      <c r="Z837" s="170"/>
      <c r="AA837" s="170"/>
      <c r="AB837" s="170"/>
      <c r="AC837" s="170"/>
      <c r="AD837" s="53"/>
      <c r="AE837" s="53"/>
    </row>
    <row r="838">
      <c r="A838" s="53"/>
      <c r="B838" s="53"/>
      <c r="C838" s="168"/>
      <c r="D838" s="169"/>
      <c r="E838" s="170"/>
      <c r="F838" s="53"/>
      <c r="G838" s="53"/>
      <c r="H838" s="53"/>
      <c r="I838" s="171"/>
      <c r="J838" s="170"/>
      <c r="K838" s="53"/>
      <c r="L838" s="53"/>
      <c r="M838" s="53"/>
      <c r="N838" s="171"/>
      <c r="O838" s="170"/>
      <c r="P838" s="53"/>
      <c r="Q838" s="53"/>
      <c r="R838" s="53"/>
      <c r="S838" s="171"/>
      <c r="T838" s="170"/>
      <c r="U838" s="53"/>
      <c r="V838" s="53"/>
      <c r="W838" s="53"/>
      <c r="X838" s="171"/>
      <c r="Y838" s="170"/>
      <c r="Z838" s="170"/>
      <c r="AA838" s="170"/>
      <c r="AB838" s="170"/>
      <c r="AC838" s="170"/>
      <c r="AD838" s="53"/>
      <c r="AE838" s="53"/>
    </row>
    <row r="839">
      <c r="A839" s="53"/>
      <c r="B839" s="53"/>
      <c r="C839" s="168"/>
      <c r="D839" s="169"/>
      <c r="E839" s="170"/>
      <c r="F839" s="53"/>
      <c r="G839" s="53"/>
      <c r="H839" s="53"/>
      <c r="I839" s="171"/>
      <c r="J839" s="170"/>
      <c r="K839" s="53"/>
      <c r="L839" s="53"/>
      <c r="M839" s="53"/>
      <c r="N839" s="171"/>
      <c r="O839" s="170"/>
      <c r="P839" s="53"/>
      <c r="Q839" s="53"/>
      <c r="R839" s="53"/>
      <c r="S839" s="171"/>
      <c r="T839" s="170"/>
      <c r="U839" s="53"/>
      <c r="V839" s="53"/>
      <c r="W839" s="53"/>
      <c r="X839" s="171"/>
      <c r="Y839" s="170"/>
      <c r="Z839" s="170"/>
      <c r="AA839" s="170"/>
      <c r="AB839" s="170"/>
      <c r="AC839" s="170"/>
      <c r="AD839" s="53"/>
      <c r="AE839" s="53"/>
    </row>
    <row r="840">
      <c r="A840" s="53"/>
      <c r="B840" s="53"/>
      <c r="C840" s="168"/>
      <c r="D840" s="169"/>
      <c r="E840" s="170"/>
      <c r="F840" s="53"/>
      <c r="G840" s="53"/>
      <c r="H840" s="53"/>
      <c r="I840" s="171"/>
      <c r="J840" s="170"/>
      <c r="K840" s="53"/>
      <c r="L840" s="53"/>
      <c r="M840" s="53"/>
      <c r="N840" s="171"/>
      <c r="O840" s="170"/>
      <c r="P840" s="53"/>
      <c r="Q840" s="53"/>
      <c r="R840" s="53"/>
      <c r="S840" s="171"/>
      <c r="T840" s="170"/>
      <c r="U840" s="53"/>
      <c r="V840" s="53"/>
      <c r="W840" s="53"/>
      <c r="X840" s="171"/>
      <c r="Y840" s="170"/>
      <c r="Z840" s="170"/>
      <c r="AA840" s="170"/>
      <c r="AB840" s="170"/>
      <c r="AC840" s="170"/>
      <c r="AD840" s="53"/>
      <c r="AE840" s="53"/>
    </row>
    <row r="841">
      <c r="A841" s="53"/>
      <c r="B841" s="53"/>
      <c r="C841" s="168"/>
      <c r="D841" s="169"/>
      <c r="E841" s="170"/>
      <c r="F841" s="53"/>
      <c r="G841" s="53"/>
      <c r="H841" s="53"/>
      <c r="I841" s="171"/>
      <c r="J841" s="170"/>
      <c r="K841" s="53"/>
      <c r="L841" s="53"/>
      <c r="M841" s="53"/>
      <c r="N841" s="171"/>
      <c r="O841" s="170"/>
      <c r="P841" s="53"/>
      <c r="Q841" s="53"/>
      <c r="R841" s="53"/>
      <c r="S841" s="171"/>
      <c r="T841" s="170"/>
      <c r="U841" s="53"/>
      <c r="V841" s="53"/>
      <c r="W841" s="53"/>
      <c r="X841" s="171"/>
      <c r="Y841" s="170"/>
      <c r="Z841" s="170"/>
      <c r="AA841" s="170"/>
      <c r="AB841" s="170"/>
      <c r="AC841" s="170"/>
      <c r="AD841" s="53"/>
      <c r="AE841" s="53"/>
    </row>
    <row r="842">
      <c r="A842" s="53"/>
      <c r="B842" s="53"/>
      <c r="C842" s="168"/>
      <c r="D842" s="169"/>
      <c r="E842" s="170"/>
      <c r="F842" s="53"/>
      <c r="G842" s="53"/>
      <c r="H842" s="53"/>
      <c r="I842" s="171"/>
      <c r="J842" s="170"/>
      <c r="K842" s="53"/>
      <c r="L842" s="53"/>
      <c r="M842" s="53"/>
      <c r="N842" s="171"/>
      <c r="O842" s="170"/>
      <c r="P842" s="53"/>
      <c r="Q842" s="53"/>
      <c r="R842" s="53"/>
      <c r="S842" s="171"/>
      <c r="T842" s="170"/>
      <c r="U842" s="53"/>
      <c r="V842" s="53"/>
      <c r="W842" s="53"/>
      <c r="X842" s="171"/>
      <c r="Y842" s="170"/>
      <c r="Z842" s="170"/>
      <c r="AA842" s="170"/>
      <c r="AB842" s="170"/>
      <c r="AC842" s="170"/>
      <c r="AD842" s="53"/>
      <c r="AE842" s="53"/>
    </row>
    <row r="843">
      <c r="A843" s="53"/>
      <c r="B843" s="53"/>
      <c r="C843" s="168"/>
      <c r="D843" s="169"/>
      <c r="E843" s="170"/>
      <c r="F843" s="53"/>
      <c r="G843" s="53"/>
      <c r="H843" s="53"/>
      <c r="I843" s="171"/>
      <c r="J843" s="170"/>
      <c r="K843" s="53"/>
      <c r="L843" s="53"/>
      <c r="M843" s="53"/>
      <c r="N843" s="171"/>
      <c r="O843" s="170"/>
      <c r="P843" s="53"/>
      <c r="Q843" s="53"/>
      <c r="R843" s="53"/>
      <c r="S843" s="171"/>
      <c r="T843" s="170"/>
      <c r="U843" s="53"/>
      <c r="V843" s="53"/>
      <c r="W843" s="53"/>
      <c r="X843" s="171"/>
      <c r="Y843" s="170"/>
      <c r="Z843" s="170"/>
      <c r="AA843" s="170"/>
      <c r="AB843" s="170"/>
      <c r="AC843" s="170"/>
      <c r="AD843" s="53"/>
      <c r="AE843" s="53"/>
    </row>
    <row r="844">
      <c r="A844" s="53"/>
      <c r="B844" s="53"/>
      <c r="C844" s="168"/>
      <c r="D844" s="169"/>
      <c r="E844" s="170"/>
      <c r="F844" s="53"/>
      <c r="G844" s="53"/>
      <c r="H844" s="53"/>
      <c r="I844" s="171"/>
      <c r="J844" s="170"/>
      <c r="K844" s="53"/>
      <c r="L844" s="53"/>
      <c r="M844" s="53"/>
      <c r="N844" s="171"/>
      <c r="O844" s="170"/>
      <c r="P844" s="53"/>
      <c r="Q844" s="53"/>
      <c r="R844" s="53"/>
      <c r="S844" s="171"/>
      <c r="T844" s="170"/>
      <c r="U844" s="53"/>
      <c r="V844" s="53"/>
      <c r="W844" s="53"/>
      <c r="X844" s="171"/>
      <c r="Y844" s="170"/>
      <c r="Z844" s="170"/>
      <c r="AA844" s="170"/>
      <c r="AB844" s="170"/>
      <c r="AC844" s="170"/>
      <c r="AD844" s="53"/>
      <c r="AE844" s="53"/>
    </row>
    <row r="845">
      <c r="A845" s="53"/>
      <c r="B845" s="53"/>
      <c r="C845" s="168"/>
      <c r="D845" s="169"/>
      <c r="E845" s="170"/>
      <c r="F845" s="53"/>
      <c r="G845" s="53"/>
      <c r="H845" s="53"/>
      <c r="I845" s="171"/>
      <c r="J845" s="170"/>
      <c r="K845" s="53"/>
      <c r="L845" s="53"/>
      <c r="M845" s="53"/>
      <c r="N845" s="171"/>
      <c r="O845" s="170"/>
      <c r="P845" s="53"/>
      <c r="Q845" s="53"/>
      <c r="R845" s="53"/>
      <c r="S845" s="171"/>
      <c r="T845" s="170"/>
      <c r="U845" s="53"/>
      <c r="V845" s="53"/>
      <c r="W845" s="53"/>
      <c r="X845" s="171"/>
      <c r="Y845" s="170"/>
      <c r="Z845" s="170"/>
      <c r="AA845" s="170"/>
      <c r="AB845" s="170"/>
      <c r="AC845" s="170"/>
      <c r="AD845" s="53"/>
      <c r="AE845" s="53"/>
    </row>
    <row r="846">
      <c r="A846" s="53"/>
      <c r="B846" s="53"/>
      <c r="C846" s="168"/>
      <c r="D846" s="169"/>
      <c r="E846" s="170"/>
      <c r="F846" s="53"/>
      <c r="G846" s="53"/>
      <c r="H846" s="53"/>
      <c r="I846" s="171"/>
      <c r="J846" s="170"/>
      <c r="K846" s="53"/>
      <c r="L846" s="53"/>
      <c r="M846" s="53"/>
      <c r="N846" s="171"/>
      <c r="O846" s="170"/>
      <c r="P846" s="53"/>
      <c r="Q846" s="53"/>
      <c r="R846" s="53"/>
      <c r="S846" s="171"/>
      <c r="T846" s="170"/>
      <c r="U846" s="53"/>
      <c r="V846" s="53"/>
      <c r="W846" s="53"/>
      <c r="X846" s="171"/>
      <c r="Y846" s="170"/>
      <c r="Z846" s="170"/>
      <c r="AA846" s="170"/>
      <c r="AB846" s="170"/>
      <c r="AC846" s="170"/>
      <c r="AD846" s="53"/>
      <c r="AE846" s="53"/>
    </row>
    <row r="847">
      <c r="A847" s="53"/>
      <c r="B847" s="53"/>
      <c r="C847" s="168"/>
      <c r="D847" s="169"/>
      <c r="E847" s="170"/>
      <c r="F847" s="53"/>
      <c r="G847" s="53"/>
      <c r="H847" s="53"/>
      <c r="I847" s="171"/>
      <c r="J847" s="170"/>
      <c r="K847" s="53"/>
      <c r="L847" s="53"/>
      <c r="M847" s="53"/>
      <c r="N847" s="171"/>
      <c r="O847" s="170"/>
      <c r="P847" s="53"/>
      <c r="Q847" s="53"/>
      <c r="R847" s="53"/>
      <c r="S847" s="171"/>
      <c r="T847" s="170"/>
      <c r="U847" s="53"/>
      <c r="V847" s="53"/>
      <c r="W847" s="53"/>
      <c r="X847" s="171"/>
      <c r="Y847" s="170"/>
      <c r="Z847" s="170"/>
      <c r="AA847" s="170"/>
      <c r="AB847" s="170"/>
      <c r="AC847" s="170"/>
      <c r="AD847" s="53"/>
      <c r="AE847" s="53"/>
    </row>
    <row r="848">
      <c r="A848" s="53"/>
      <c r="B848" s="53"/>
      <c r="C848" s="168"/>
      <c r="D848" s="169"/>
      <c r="E848" s="170"/>
      <c r="F848" s="53"/>
      <c r="G848" s="53"/>
      <c r="H848" s="53"/>
      <c r="I848" s="171"/>
      <c r="J848" s="170"/>
      <c r="K848" s="53"/>
      <c r="L848" s="53"/>
      <c r="M848" s="53"/>
      <c r="N848" s="171"/>
      <c r="O848" s="170"/>
      <c r="P848" s="53"/>
      <c r="Q848" s="53"/>
      <c r="R848" s="53"/>
      <c r="S848" s="171"/>
      <c r="T848" s="170"/>
      <c r="U848" s="53"/>
      <c r="V848" s="53"/>
      <c r="W848" s="53"/>
      <c r="X848" s="171"/>
      <c r="Y848" s="170"/>
      <c r="Z848" s="170"/>
      <c r="AA848" s="170"/>
      <c r="AB848" s="170"/>
      <c r="AC848" s="170"/>
      <c r="AD848" s="53"/>
      <c r="AE848" s="53"/>
    </row>
    <row r="849">
      <c r="A849" s="53"/>
      <c r="B849" s="53"/>
      <c r="C849" s="168"/>
      <c r="D849" s="169"/>
      <c r="E849" s="170"/>
      <c r="F849" s="53"/>
      <c r="G849" s="53"/>
      <c r="H849" s="53"/>
      <c r="I849" s="171"/>
      <c r="J849" s="170"/>
      <c r="K849" s="53"/>
      <c r="L849" s="53"/>
      <c r="M849" s="53"/>
      <c r="N849" s="171"/>
      <c r="O849" s="170"/>
      <c r="P849" s="53"/>
      <c r="Q849" s="53"/>
      <c r="R849" s="53"/>
      <c r="S849" s="171"/>
      <c r="T849" s="170"/>
      <c r="U849" s="53"/>
      <c r="V849" s="53"/>
      <c r="W849" s="53"/>
      <c r="X849" s="171"/>
      <c r="Y849" s="170"/>
      <c r="Z849" s="170"/>
      <c r="AA849" s="170"/>
      <c r="AB849" s="170"/>
      <c r="AC849" s="170"/>
      <c r="AD849" s="53"/>
      <c r="AE849" s="53"/>
    </row>
    <row r="850">
      <c r="A850" s="53"/>
      <c r="B850" s="53"/>
      <c r="C850" s="168"/>
      <c r="D850" s="169"/>
      <c r="E850" s="170"/>
      <c r="F850" s="53"/>
      <c r="G850" s="53"/>
      <c r="H850" s="53"/>
      <c r="I850" s="171"/>
      <c r="J850" s="170"/>
      <c r="K850" s="53"/>
      <c r="L850" s="53"/>
      <c r="M850" s="53"/>
      <c r="N850" s="171"/>
      <c r="O850" s="170"/>
      <c r="P850" s="53"/>
      <c r="Q850" s="53"/>
      <c r="R850" s="53"/>
      <c r="S850" s="171"/>
      <c r="T850" s="170"/>
      <c r="U850" s="53"/>
      <c r="V850" s="53"/>
      <c r="W850" s="53"/>
      <c r="X850" s="171"/>
      <c r="Y850" s="170"/>
      <c r="Z850" s="170"/>
      <c r="AA850" s="170"/>
      <c r="AB850" s="170"/>
      <c r="AC850" s="170"/>
      <c r="AD850" s="53"/>
      <c r="AE850" s="53"/>
    </row>
    <row r="851">
      <c r="A851" s="53"/>
      <c r="B851" s="53"/>
      <c r="C851" s="168"/>
      <c r="D851" s="169"/>
      <c r="E851" s="170"/>
      <c r="F851" s="53"/>
      <c r="G851" s="53"/>
      <c r="H851" s="53"/>
      <c r="I851" s="171"/>
      <c r="J851" s="170"/>
      <c r="K851" s="53"/>
      <c r="L851" s="53"/>
      <c r="M851" s="53"/>
      <c r="N851" s="171"/>
      <c r="O851" s="170"/>
      <c r="P851" s="53"/>
      <c r="Q851" s="53"/>
      <c r="R851" s="53"/>
      <c r="S851" s="171"/>
      <c r="T851" s="170"/>
      <c r="U851" s="53"/>
      <c r="V851" s="53"/>
      <c r="W851" s="53"/>
      <c r="X851" s="171"/>
      <c r="Y851" s="170"/>
      <c r="Z851" s="170"/>
      <c r="AA851" s="170"/>
      <c r="AB851" s="170"/>
      <c r="AC851" s="170"/>
      <c r="AD851" s="53"/>
      <c r="AE851" s="53"/>
    </row>
    <row r="852">
      <c r="A852" s="53"/>
      <c r="B852" s="53"/>
      <c r="C852" s="168"/>
      <c r="D852" s="169"/>
      <c r="E852" s="170"/>
      <c r="F852" s="53"/>
      <c r="G852" s="53"/>
      <c r="H852" s="53"/>
      <c r="I852" s="171"/>
      <c r="J852" s="170"/>
      <c r="K852" s="53"/>
      <c r="L852" s="53"/>
      <c r="M852" s="53"/>
      <c r="N852" s="171"/>
      <c r="O852" s="170"/>
      <c r="P852" s="53"/>
      <c r="Q852" s="53"/>
      <c r="R852" s="53"/>
      <c r="S852" s="171"/>
      <c r="T852" s="170"/>
      <c r="U852" s="53"/>
      <c r="V852" s="53"/>
      <c r="W852" s="53"/>
      <c r="X852" s="171"/>
      <c r="Y852" s="170"/>
      <c r="Z852" s="170"/>
      <c r="AA852" s="170"/>
      <c r="AB852" s="170"/>
      <c r="AC852" s="170"/>
      <c r="AD852" s="53"/>
      <c r="AE852" s="53"/>
    </row>
    <row r="853">
      <c r="A853" s="53"/>
      <c r="B853" s="53"/>
      <c r="C853" s="168"/>
      <c r="D853" s="169"/>
      <c r="E853" s="170"/>
      <c r="F853" s="53"/>
      <c r="G853" s="53"/>
      <c r="H853" s="53"/>
      <c r="I853" s="171"/>
      <c r="J853" s="170"/>
      <c r="K853" s="53"/>
      <c r="L853" s="53"/>
      <c r="M853" s="53"/>
      <c r="N853" s="171"/>
      <c r="O853" s="170"/>
      <c r="P853" s="53"/>
      <c r="Q853" s="53"/>
      <c r="R853" s="53"/>
      <c r="S853" s="171"/>
      <c r="T853" s="170"/>
      <c r="U853" s="53"/>
      <c r="V853" s="53"/>
      <c r="W853" s="53"/>
      <c r="X853" s="171"/>
      <c r="Y853" s="170"/>
      <c r="Z853" s="170"/>
      <c r="AA853" s="170"/>
      <c r="AB853" s="170"/>
      <c r="AC853" s="170"/>
      <c r="AD853" s="53"/>
      <c r="AE853" s="53"/>
    </row>
    <row r="854">
      <c r="A854" s="53"/>
      <c r="B854" s="53"/>
      <c r="C854" s="168"/>
      <c r="D854" s="169"/>
      <c r="E854" s="170"/>
      <c r="F854" s="53"/>
      <c r="G854" s="53"/>
      <c r="H854" s="53"/>
      <c r="I854" s="171"/>
      <c r="J854" s="170"/>
      <c r="K854" s="53"/>
      <c r="L854" s="53"/>
      <c r="M854" s="53"/>
      <c r="N854" s="171"/>
      <c r="O854" s="170"/>
      <c r="P854" s="53"/>
      <c r="Q854" s="53"/>
      <c r="R854" s="53"/>
      <c r="S854" s="171"/>
      <c r="T854" s="170"/>
      <c r="U854" s="53"/>
      <c r="V854" s="53"/>
      <c r="W854" s="53"/>
      <c r="X854" s="171"/>
      <c r="Y854" s="170"/>
      <c r="Z854" s="170"/>
      <c r="AA854" s="170"/>
      <c r="AB854" s="170"/>
      <c r="AC854" s="170"/>
      <c r="AD854" s="53"/>
      <c r="AE854" s="53"/>
    </row>
    <row r="855">
      <c r="A855" s="53"/>
      <c r="B855" s="53"/>
      <c r="C855" s="168"/>
      <c r="D855" s="169"/>
      <c r="E855" s="170"/>
      <c r="F855" s="53"/>
      <c r="G855" s="53"/>
      <c r="H855" s="53"/>
      <c r="I855" s="171"/>
      <c r="J855" s="170"/>
      <c r="K855" s="53"/>
      <c r="L855" s="53"/>
      <c r="M855" s="53"/>
      <c r="N855" s="171"/>
      <c r="O855" s="170"/>
      <c r="P855" s="53"/>
      <c r="Q855" s="53"/>
      <c r="R855" s="53"/>
      <c r="S855" s="171"/>
      <c r="T855" s="170"/>
      <c r="U855" s="53"/>
      <c r="V855" s="53"/>
      <c r="W855" s="53"/>
      <c r="X855" s="171"/>
      <c r="Y855" s="170"/>
      <c r="Z855" s="170"/>
      <c r="AA855" s="170"/>
      <c r="AB855" s="170"/>
      <c r="AC855" s="170"/>
      <c r="AD855" s="53"/>
      <c r="AE855" s="53"/>
    </row>
    <row r="856">
      <c r="A856" s="53"/>
      <c r="B856" s="53"/>
      <c r="C856" s="168"/>
      <c r="D856" s="169"/>
      <c r="E856" s="170"/>
      <c r="F856" s="53"/>
      <c r="G856" s="53"/>
      <c r="H856" s="53"/>
      <c r="I856" s="171"/>
      <c r="J856" s="170"/>
      <c r="K856" s="53"/>
      <c r="L856" s="53"/>
      <c r="M856" s="53"/>
      <c r="N856" s="171"/>
      <c r="O856" s="170"/>
      <c r="P856" s="53"/>
      <c r="Q856" s="53"/>
      <c r="R856" s="53"/>
      <c r="S856" s="171"/>
      <c r="T856" s="170"/>
      <c r="U856" s="53"/>
      <c r="V856" s="53"/>
      <c r="W856" s="53"/>
      <c r="X856" s="171"/>
      <c r="Y856" s="170"/>
      <c r="Z856" s="170"/>
      <c r="AA856" s="170"/>
      <c r="AB856" s="170"/>
      <c r="AC856" s="170"/>
      <c r="AD856" s="53"/>
      <c r="AE856" s="53"/>
    </row>
    <row r="857">
      <c r="A857" s="53"/>
      <c r="B857" s="53"/>
      <c r="C857" s="168"/>
      <c r="D857" s="169"/>
      <c r="E857" s="170"/>
      <c r="F857" s="53"/>
      <c r="G857" s="53"/>
      <c r="H857" s="53"/>
      <c r="I857" s="171"/>
      <c r="J857" s="170"/>
      <c r="K857" s="53"/>
      <c r="L857" s="53"/>
      <c r="M857" s="53"/>
      <c r="N857" s="171"/>
      <c r="O857" s="170"/>
      <c r="P857" s="53"/>
      <c r="Q857" s="53"/>
      <c r="R857" s="53"/>
      <c r="S857" s="171"/>
      <c r="T857" s="170"/>
      <c r="U857" s="53"/>
      <c r="V857" s="53"/>
      <c r="W857" s="53"/>
      <c r="X857" s="171"/>
      <c r="Y857" s="170"/>
      <c r="Z857" s="170"/>
      <c r="AA857" s="170"/>
      <c r="AB857" s="170"/>
      <c r="AC857" s="170"/>
      <c r="AD857" s="53"/>
      <c r="AE857" s="53"/>
    </row>
    <row r="858">
      <c r="A858" s="53"/>
      <c r="B858" s="53"/>
      <c r="C858" s="168"/>
      <c r="D858" s="169"/>
      <c r="E858" s="170"/>
      <c r="F858" s="53"/>
      <c r="G858" s="53"/>
      <c r="H858" s="53"/>
      <c r="I858" s="171"/>
      <c r="J858" s="170"/>
      <c r="K858" s="53"/>
      <c r="L858" s="53"/>
      <c r="M858" s="53"/>
      <c r="N858" s="171"/>
      <c r="O858" s="170"/>
      <c r="P858" s="53"/>
      <c r="Q858" s="53"/>
      <c r="R858" s="53"/>
      <c r="S858" s="171"/>
      <c r="T858" s="170"/>
      <c r="U858" s="53"/>
      <c r="V858" s="53"/>
      <c r="W858" s="53"/>
      <c r="X858" s="171"/>
      <c r="Y858" s="170"/>
      <c r="Z858" s="170"/>
      <c r="AA858" s="170"/>
      <c r="AB858" s="170"/>
      <c r="AC858" s="170"/>
      <c r="AD858" s="53"/>
      <c r="AE858" s="53"/>
    </row>
    <row r="859">
      <c r="A859" s="53"/>
      <c r="B859" s="53"/>
      <c r="C859" s="168"/>
      <c r="D859" s="169"/>
      <c r="E859" s="170"/>
      <c r="F859" s="53"/>
      <c r="G859" s="53"/>
      <c r="H859" s="53"/>
      <c r="I859" s="171"/>
      <c r="J859" s="170"/>
      <c r="K859" s="53"/>
      <c r="L859" s="53"/>
      <c r="M859" s="53"/>
      <c r="N859" s="171"/>
      <c r="O859" s="170"/>
      <c r="P859" s="53"/>
      <c r="Q859" s="53"/>
      <c r="R859" s="53"/>
      <c r="S859" s="171"/>
      <c r="T859" s="170"/>
      <c r="U859" s="53"/>
      <c r="V859" s="53"/>
      <c r="W859" s="53"/>
      <c r="X859" s="171"/>
      <c r="Y859" s="170"/>
      <c r="Z859" s="170"/>
      <c r="AA859" s="170"/>
      <c r="AB859" s="170"/>
      <c r="AC859" s="170"/>
      <c r="AD859" s="53"/>
      <c r="AE859" s="53"/>
    </row>
    <row r="860">
      <c r="A860" s="53"/>
      <c r="B860" s="53"/>
      <c r="C860" s="168"/>
      <c r="D860" s="169"/>
      <c r="E860" s="170"/>
      <c r="F860" s="53"/>
      <c r="G860" s="53"/>
      <c r="H860" s="53"/>
      <c r="I860" s="171"/>
      <c r="J860" s="170"/>
      <c r="K860" s="53"/>
      <c r="L860" s="53"/>
      <c r="M860" s="53"/>
      <c r="N860" s="171"/>
      <c r="O860" s="170"/>
      <c r="P860" s="53"/>
      <c r="Q860" s="53"/>
      <c r="R860" s="53"/>
      <c r="S860" s="171"/>
      <c r="T860" s="170"/>
      <c r="U860" s="53"/>
      <c r="V860" s="53"/>
      <c r="W860" s="53"/>
      <c r="X860" s="171"/>
      <c r="Y860" s="170"/>
      <c r="Z860" s="170"/>
      <c r="AA860" s="170"/>
      <c r="AB860" s="170"/>
      <c r="AC860" s="170"/>
      <c r="AD860" s="53"/>
      <c r="AE860" s="53"/>
    </row>
    <row r="861">
      <c r="A861" s="53"/>
      <c r="B861" s="53"/>
      <c r="C861" s="168"/>
      <c r="D861" s="169"/>
      <c r="E861" s="170"/>
      <c r="F861" s="53"/>
      <c r="G861" s="53"/>
      <c r="H861" s="53"/>
      <c r="I861" s="171"/>
      <c r="J861" s="170"/>
      <c r="K861" s="53"/>
      <c r="L861" s="53"/>
      <c r="M861" s="53"/>
      <c r="N861" s="171"/>
      <c r="O861" s="170"/>
      <c r="P861" s="53"/>
      <c r="Q861" s="53"/>
      <c r="R861" s="53"/>
      <c r="S861" s="171"/>
      <c r="T861" s="170"/>
      <c r="U861" s="53"/>
      <c r="V861" s="53"/>
      <c r="W861" s="53"/>
      <c r="X861" s="171"/>
      <c r="Y861" s="170"/>
      <c r="Z861" s="170"/>
      <c r="AA861" s="170"/>
      <c r="AB861" s="170"/>
      <c r="AC861" s="170"/>
      <c r="AD861" s="53"/>
      <c r="AE861" s="53"/>
    </row>
    <row r="862">
      <c r="A862" s="53"/>
      <c r="B862" s="53"/>
      <c r="C862" s="168"/>
      <c r="D862" s="169"/>
      <c r="E862" s="170"/>
      <c r="F862" s="53"/>
      <c r="G862" s="53"/>
      <c r="H862" s="53"/>
      <c r="I862" s="171"/>
      <c r="J862" s="170"/>
      <c r="K862" s="53"/>
      <c r="L862" s="53"/>
      <c r="M862" s="53"/>
      <c r="N862" s="171"/>
      <c r="O862" s="170"/>
      <c r="P862" s="53"/>
      <c r="Q862" s="53"/>
      <c r="R862" s="53"/>
      <c r="S862" s="171"/>
      <c r="T862" s="170"/>
      <c r="U862" s="53"/>
      <c r="V862" s="53"/>
      <c r="W862" s="53"/>
      <c r="X862" s="171"/>
      <c r="Y862" s="170"/>
      <c r="Z862" s="170"/>
      <c r="AA862" s="170"/>
      <c r="AB862" s="170"/>
      <c r="AC862" s="170"/>
      <c r="AD862" s="53"/>
      <c r="AE862" s="53"/>
    </row>
    <row r="863">
      <c r="A863" s="53"/>
      <c r="B863" s="53"/>
      <c r="C863" s="168"/>
      <c r="D863" s="169"/>
      <c r="E863" s="170"/>
      <c r="F863" s="53"/>
      <c r="G863" s="53"/>
      <c r="H863" s="53"/>
      <c r="I863" s="171"/>
      <c r="J863" s="170"/>
      <c r="K863" s="53"/>
      <c r="L863" s="53"/>
      <c r="M863" s="53"/>
      <c r="N863" s="171"/>
      <c r="O863" s="170"/>
      <c r="P863" s="53"/>
      <c r="Q863" s="53"/>
      <c r="R863" s="53"/>
      <c r="S863" s="171"/>
      <c r="T863" s="170"/>
      <c r="U863" s="53"/>
      <c r="V863" s="53"/>
      <c r="W863" s="53"/>
      <c r="X863" s="171"/>
      <c r="Y863" s="170"/>
      <c r="Z863" s="170"/>
      <c r="AA863" s="170"/>
      <c r="AB863" s="170"/>
      <c r="AC863" s="170"/>
      <c r="AD863" s="53"/>
      <c r="AE863" s="53"/>
    </row>
    <row r="864">
      <c r="A864" s="53"/>
      <c r="B864" s="53"/>
      <c r="C864" s="168"/>
      <c r="D864" s="169"/>
      <c r="E864" s="170"/>
      <c r="F864" s="53"/>
      <c r="G864" s="53"/>
      <c r="H864" s="53"/>
      <c r="I864" s="171"/>
      <c r="J864" s="170"/>
      <c r="K864" s="53"/>
      <c r="L864" s="53"/>
      <c r="M864" s="53"/>
      <c r="N864" s="171"/>
      <c r="O864" s="170"/>
      <c r="P864" s="53"/>
      <c r="Q864" s="53"/>
      <c r="R864" s="53"/>
      <c r="S864" s="171"/>
      <c r="T864" s="170"/>
      <c r="U864" s="53"/>
      <c r="V864" s="53"/>
      <c r="W864" s="53"/>
      <c r="X864" s="171"/>
      <c r="Y864" s="170"/>
      <c r="Z864" s="170"/>
      <c r="AA864" s="170"/>
      <c r="AB864" s="170"/>
      <c r="AC864" s="170"/>
      <c r="AD864" s="53"/>
      <c r="AE864" s="53"/>
    </row>
    <row r="865">
      <c r="A865" s="53"/>
      <c r="B865" s="53"/>
      <c r="C865" s="168"/>
      <c r="D865" s="169"/>
      <c r="E865" s="170"/>
      <c r="F865" s="53"/>
      <c r="G865" s="53"/>
      <c r="H865" s="53"/>
      <c r="I865" s="171"/>
      <c r="J865" s="170"/>
      <c r="K865" s="53"/>
      <c r="L865" s="53"/>
      <c r="M865" s="53"/>
      <c r="N865" s="171"/>
      <c r="O865" s="170"/>
      <c r="P865" s="53"/>
      <c r="Q865" s="53"/>
      <c r="R865" s="53"/>
      <c r="S865" s="171"/>
      <c r="T865" s="170"/>
      <c r="U865" s="53"/>
      <c r="V865" s="53"/>
      <c r="W865" s="53"/>
      <c r="X865" s="171"/>
      <c r="Y865" s="170"/>
      <c r="Z865" s="170"/>
      <c r="AA865" s="170"/>
      <c r="AB865" s="170"/>
      <c r="AC865" s="170"/>
      <c r="AD865" s="53"/>
      <c r="AE865" s="53"/>
    </row>
    <row r="866">
      <c r="A866" s="53"/>
      <c r="B866" s="53"/>
      <c r="C866" s="168"/>
      <c r="D866" s="169"/>
      <c r="E866" s="170"/>
      <c r="F866" s="53"/>
      <c r="G866" s="53"/>
      <c r="H866" s="53"/>
      <c r="I866" s="171"/>
      <c r="J866" s="170"/>
      <c r="K866" s="53"/>
      <c r="L866" s="53"/>
      <c r="M866" s="53"/>
      <c r="N866" s="171"/>
      <c r="O866" s="170"/>
      <c r="P866" s="53"/>
      <c r="Q866" s="53"/>
      <c r="R866" s="53"/>
      <c r="S866" s="171"/>
      <c r="T866" s="170"/>
      <c r="U866" s="53"/>
      <c r="V866" s="53"/>
      <c r="W866" s="53"/>
      <c r="X866" s="171"/>
      <c r="Y866" s="170"/>
      <c r="Z866" s="170"/>
      <c r="AA866" s="170"/>
      <c r="AB866" s="170"/>
      <c r="AC866" s="170"/>
      <c r="AD866" s="53"/>
      <c r="AE866" s="53"/>
    </row>
    <row r="867">
      <c r="A867" s="53"/>
      <c r="B867" s="53"/>
      <c r="C867" s="168"/>
      <c r="D867" s="169"/>
      <c r="E867" s="170"/>
      <c r="F867" s="53"/>
      <c r="G867" s="53"/>
      <c r="H867" s="53"/>
      <c r="I867" s="171"/>
      <c r="J867" s="170"/>
      <c r="K867" s="53"/>
      <c r="L867" s="53"/>
      <c r="M867" s="53"/>
      <c r="N867" s="171"/>
      <c r="O867" s="170"/>
      <c r="P867" s="53"/>
      <c r="Q867" s="53"/>
      <c r="R867" s="53"/>
      <c r="S867" s="171"/>
      <c r="T867" s="170"/>
      <c r="U867" s="53"/>
      <c r="V867" s="53"/>
      <c r="W867" s="53"/>
      <c r="X867" s="171"/>
      <c r="Y867" s="170"/>
      <c r="Z867" s="170"/>
      <c r="AA867" s="170"/>
      <c r="AB867" s="170"/>
      <c r="AC867" s="170"/>
      <c r="AD867" s="53"/>
      <c r="AE867" s="53"/>
    </row>
    <row r="868">
      <c r="A868" s="53"/>
      <c r="B868" s="53"/>
      <c r="C868" s="168"/>
      <c r="D868" s="169"/>
      <c r="E868" s="170"/>
      <c r="F868" s="53"/>
      <c r="G868" s="53"/>
      <c r="H868" s="53"/>
      <c r="I868" s="171"/>
      <c r="J868" s="170"/>
      <c r="K868" s="53"/>
      <c r="L868" s="53"/>
      <c r="M868" s="53"/>
      <c r="N868" s="171"/>
      <c r="O868" s="170"/>
      <c r="P868" s="53"/>
      <c r="Q868" s="53"/>
      <c r="R868" s="53"/>
      <c r="S868" s="171"/>
      <c r="T868" s="170"/>
      <c r="U868" s="53"/>
      <c r="V868" s="53"/>
      <c r="W868" s="53"/>
      <c r="X868" s="171"/>
      <c r="Y868" s="170"/>
      <c r="Z868" s="170"/>
      <c r="AA868" s="170"/>
      <c r="AB868" s="170"/>
      <c r="AC868" s="170"/>
      <c r="AD868" s="53"/>
      <c r="AE868" s="53"/>
    </row>
    <row r="869">
      <c r="A869" s="53"/>
      <c r="B869" s="53"/>
      <c r="C869" s="168"/>
      <c r="D869" s="169"/>
      <c r="E869" s="170"/>
      <c r="F869" s="53"/>
      <c r="G869" s="53"/>
      <c r="H869" s="53"/>
      <c r="I869" s="171"/>
      <c r="J869" s="170"/>
      <c r="K869" s="53"/>
      <c r="L869" s="53"/>
      <c r="M869" s="53"/>
      <c r="N869" s="171"/>
      <c r="O869" s="170"/>
      <c r="P869" s="53"/>
      <c r="Q869" s="53"/>
      <c r="R869" s="53"/>
      <c r="S869" s="171"/>
      <c r="T869" s="170"/>
      <c r="U869" s="53"/>
      <c r="V869" s="53"/>
      <c r="W869" s="53"/>
      <c r="X869" s="171"/>
      <c r="Y869" s="170"/>
      <c r="Z869" s="170"/>
      <c r="AA869" s="170"/>
      <c r="AB869" s="170"/>
      <c r="AC869" s="170"/>
      <c r="AD869" s="53"/>
      <c r="AE869" s="53"/>
    </row>
    <row r="870">
      <c r="A870" s="53"/>
      <c r="B870" s="53"/>
      <c r="C870" s="168"/>
      <c r="D870" s="169"/>
      <c r="E870" s="170"/>
      <c r="F870" s="53"/>
      <c r="G870" s="53"/>
      <c r="H870" s="53"/>
      <c r="I870" s="171"/>
      <c r="J870" s="170"/>
      <c r="K870" s="53"/>
      <c r="L870" s="53"/>
      <c r="M870" s="53"/>
      <c r="N870" s="171"/>
      <c r="O870" s="170"/>
      <c r="P870" s="53"/>
      <c r="Q870" s="53"/>
      <c r="R870" s="53"/>
      <c r="S870" s="171"/>
      <c r="T870" s="170"/>
      <c r="U870" s="53"/>
      <c r="V870" s="53"/>
      <c r="W870" s="53"/>
      <c r="X870" s="171"/>
      <c r="Y870" s="170"/>
      <c r="Z870" s="170"/>
      <c r="AA870" s="170"/>
      <c r="AB870" s="170"/>
      <c r="AC870" s="170"/>
      <c r="AD870" s="53"/>
      <c r="AE870" s="53"/>
    </row>
    <row r="871">
      <c r="A871" s="53"/>
      <c r="B871" s="53"/>
      <c r="C871" s="168"/>
      <c r="D871" s="169"/>
      <c r="E871" s="170"/>
      <c r="F871" s="53"/>
      <c r="G871" s="53"/>
      <c r="H871" s="53"/>
      <c r="I871" s="171"/>
      <c r="J871" s="170"/>
      <c r="K871" s="53"/>
      <c r="L871" s="53"/>
      <c r="M871" s="53"/>
      <c r="N871" s="171"/>
      <c r="O871" s="170"/>
      <c r="P871" s="53"/>
      <c r="Q871" s="53"/>
      <c r="R871" s="53"/>
      <c r="S871" s="171"/>
      <c r="T871" s="170"/>
      <c r="U871" s="53"/>
      <c r="V871" s="53"/>
      <c r="W871" s="53"/>
      <c r="X871" s="171"/>
      <c r="Y871" s="170"/>
      <c r="Z871" s="170"/>
      <c r="AA871" s="170"/>
      <c r="AB871" s="170"/>
      <c r="AC871" s="170"/>
      <c r="AD871" s="53"/>
      <c r="AE871" s="53"/>
    </row>
    <row r="872">
      <c r="A872" s="53"/>
      <c r="B872" s="53"/>
      <c r="C872" s="168"/>
      <c r="D872" s="169"/>
      <c r="E872" s="170"/>
      <c r="F872" s="53"/>
      <c r="G872" s="53"/>
      <c r="H872" s="53"/>
      <c r="I872" s="171"/>
      <c r="J872" s="170"/>
      <c r="K872" s="53"/>
      <c r="L872" s="53"/>
      <c r="M872" s="53"/>
      <c r="N872" s="171"/>
      <c r="O872" s="170"/>
      <c r="P872" s="53"/>
      <c r="Q872" s="53"/>
      <c r="R872" s="53"/>
      <c r="S872" s="171"/>
      <c r="T872" s="170"/>
      <c r="U872" s="53"/>
      <c r="V872" s="53"/>
      <c r="W872" s="53"/>
      <c r="X872" s="171"/>
      <c r="Y872" s="170"/>
      <c r="Z872" s="170"/>
      <c r="AA872" s="170"/>
      <c r="AB872" s="170"/>
      <c r="AC872" s="170"/>
      <c r="AD872" s="53"/>
      <c r="AE872" s="53"/>
    </row>
    <row r="873">
      <c r="A873" s="53"/>
      <c r="B873" s="53"/>
      <c r="C873" s="168"/>
      <c r="D873" s="169"/>
      <c r="E873" s="170"/>
      <c r="F873" s="53"/>
      <c r="G873" s="53"/>
      <c r="H873" s="53"/>
      <c r="I873" s="171"/>
      <c r="J873" s="170"/>
      <c r="K873" s="53"/>
      <c r="L873" s="53"/>
      <c r="M873" s="53"/>
      <c r="N873" s="171"/>
      <c r="O873" s="170"/>
      <c r="P873" s="53"/>
      <c r="Q873" s="53"/>
      <c r="R873" s="53"/>
      <c r="S873" s="171"/>
      <c r="T873" s="170"/>
      <c r="U873" s="53"/>
      <c r="V873" s="53"/>
      <c r="W873" s="53"/>
      <c r="X873" s="171"/>
      <c r="Y873" s="170"/>
      <c r="Z873" s="170"/>
      <c r="AA873" s="170"/>
      <c r="AB873" s="170"/>
      <c r="AC873" s="170"/>
      <c r="AD873" s="53"/>
      <c r="AE873" s="53"/>
    </row>
    <row r="874">
      <c r="A874" s="53"/>
      <c r="B874" s="53"/>
      <c r="C874" s="168"/>
      <c r="D874" s="169"/>
      <c r="E874" s="170"/>
      <c r="F874" s="53"/>
      <c r="G874" s="53"/>
      <c r="H874" s="53"/>
      <c r="I874" s="171"/>
      <c r="J874" s="170"/>
      <c r="K874" s="53"/>
      <c r="L874" s="53"/>
      <c r="M874" s="53"/>
      <c r="N874" s="171"/>
      <c r="O874" s="170"/>
      <c r="P874" s="53"/>
      <c r="Q874" s="53"/>
      <c r="R874" s="53"/>
      <c r="S874" s="171"/>
      <c r="T874" s="170"/>
      <c r="U874" s="53"/>
      <c r="V874" s="53"/>
      <c r="W874" s="53"/>
      <c r="X874" s="171"/>
      <c r="Y874" s="170"/>
      <c r="Z874" s="170"/>
      <c r="AA874" s="170"/>
      <c r="AB874" s="170"/>
      <c r="AC874" s="170"/>
      <c r="AD874" s="53"/>
      <c r="AE874" s="53"/>
    </row>
    <row r="875">
      <c r="A875" s="53"/>
      <c r="B875" s="53"/>
      <c r="C875" s="168"/>
      <c r="D875" s="169"/>
      <c r="E875" s="170"/>
      <c r="F875" s="53"/>
      <c r="G875" s="53"/>
      <c r="H875" s="53"/>
      <c r="I875" s="171"/>
      <c r="J875" s="170"/>
      <c r="K875" s="53"/>
      <c r="L875" s="53"/>
      <c r="M875" s="53"/>
      <c r="N875" s="171"/>
      <c r="O875" s="170"/>
      <c r="P875" s="53"/>
      <c r="Q875" s="53"/>
      <c r="R875" s="53"/>
      <c r="S875" s="171"/>
      <c r="T875" s="170"/>
      <c r="U875" s="53"/>
      <c r="V875" s="53"/>
      <c r="W875" s="53"/>
      <c r="X875" s="171"/>
      <c r="Y875" s="170"/>
      <c r="Z875" s="170"/>
      <c r="AA875" s="170"/>
      <c r="AB875" s="170"/>
      <c r="AC875" s="170"/>
      <c r="AD875" s="53"/>
      <c r="AE875" s="53"/>
    </row>
    <row r="876">
      <c r="A876" s="53"/>
      <c r="B876" s="53"/>
      <c r="C876" s="168"/>
      <c r="D876" s="169"/>
      <c r="E876" s="170"/>
      <c r="F876" s="53"/>
      <c r="G876" s="53"/>
      <c r="H876" s="53"/>
      <c r="I876" s="171"/>
      <c r="J876" s="170"/>
      <c r="K876" s="53"/>
      <c r="L876" s="53"/>
      <c r="M876" s="53"/>
      <c r="N876" s="171"/>
      <c r="O876" s="170"/>
      <c r="P876" s="53"/>
      <c r="Q876" s="53"/>
      <c r="R876" s="53"/>
      <c r="S876" s="171"/>
      <c r="T876" s="170"/>
      <c r="U876" s="53"/>
      <c r="V876" s="53"/>
      <c r="W876" s="53"/>
      <c r="X876" s="171"/>
      <c r="Y876" s="170"/>
      <c r="Z876" s="170"/>
      <c r="AA876" s="170"/>
      <c r="AB876" s="170"/>
      <c r="AC876" s="170"/>
      <c r="AD876" s="53"/>
      <c r="AE876" s="53"/>
    </row>
    <row r="877">
      <c r="A877" s="53"/>
      <c r="B877" s="53"/>
      <c r="C877" s="168"/>
      <c r="D877" s="169"/>
      <c r="E877" s="170"/>
      <c r="F877" s="53"/>
      <c r="G877" s="53"/>
      <c r="H877" s="53"/>
      <c r="I877" s="171"/>
      <c r="J877" s="170"/>
      <c r="K877" s="53"/>
      <c r="L877" s="53"/>
      <c r="M877" s="53"/>
      <c r="N877" s="171"/>
      <c r="O877" s="170"/>
      <c r="P877" s="53"/>
      <c r="Q877" s="53"/>
      <c r="R877" s="53"/>
      <c r="S877" s="171"/>
      <c r="T877" s="170"/>
      <c r="U877" s="53"/>
      <c r="V877" s="53"/>
      <c r="W877" s="53"/>
      <c r="X877" s="171"/>
      <c r="Y877" s="170"/>
      <c r="Z877" s="170"/>
      <c r="AA877" s="170"/>
      <c r="AB877" s="170"/>
      <c r="AC877" s="170"/>
      <c r="AD877" s="53"/>
      <c r="AE877" s="53"/>
    </row>
    <row r="878">
      <c r="A878" s="53"/>
      <c r="B878" s="53"/>
      <c r="C878" s="168"/>
      <c r="D878" s="169"/>
      <c r="E878" s="170"/>
      <c r="F878" s="53"/>
      <c r="G878" s="53"/>
      <c r="H878" s="53"/>
      <c r="I878" s="171"/>
      <c r="J878" s="170"/>
      <c r="K878" s="53"/>
      <c r="L878" s="53"/>
      <c r="M878" s="53"/>
      <c r="N878" s="171"/>
      <c r="O878" s="170"/>
      <c r="P878" s="53"/>
      <c r="Q878" s="53"/>
      <c r="R878" s="53"/>
      <c r="S878" s="171"/>
      <c r="T878" s="170"/>
      <c r="U878" s="53"/>
      <c r="V878" s="53"/>
      <c r="W878" s="53"/>
      <c r="X878" s="171"/>
      <c r="Y878" s="170"/>
      <c r="Z878" s="170"/>
      <c r="AA878" s="170"/>
      <c r="AB878" s="170"/>
      <c r="AC878" s="170"/>
      <c r="AD878" s="53"/>
      <c r="AE878" s="53"/>
    </row>
    <row r="879">
      <c r="A879" s="53"/>
      <c r="B879" s="53"/>
      <c r="C879" s="168"/>
      <c r="D879" s="169"/>
      <c r="E879" s="170"/>
      <c r="F879" s="53"/>
      <c r="G879" s="53"/>
      <c r="H879" s="53"/>
      <c r="I879" s="171"/>
      <c r="J879" s="170"/>
      <c r="K879" s="53"/>
      <c r="L879" s="53"/>
      <c r="M879" s="53"/>
      <c r="N879" s="171"/>
      <c r="O879" s="170"/>
      <c r="P879" s="53"/>
      <c r="Q879" s="53"/>
      <c r="R879" s="53"/>
      <c r="S879" s="171"/>
      <c r="T879" s="170"/>
      <c r="U879" s="53"/>
      <c r="V879" s="53"/>
      <c r="W879" s="53"/>
      <c r="X879" s="171"/>
      <c r="Y879" s="170"/>
      <c r="Z879" s="170"/>
      <c r="AA879" s="170"/>
      <c r="AB879" s="170"/>
      <c r="AC879" s="170"/>
      <c r="AD879" s="53"/>
      <c r="AE879" s="53"/>
    </row>
    <row r="880">
      <c r="A880" s="53"/>
      <c r="B880" s="53"/>
      <c r="C880" s="168"/>
      <c r="D880" s="169"/>
      <c r="E880" s="170"/>
      <c r="F880" s="53"/>
      <c r="G880" s="53"/>
      <c r="H880" s="53"/>
      <c r="I880" s="171"/>
      <c r="J880" s="170"/>
      <c r="K880" s="53"/>
      <c r="L880" s="53"/>
      <c r="M880" s="53"/>
      <c r="N880" s="171"/>
      <c r="O880" s="170"/>
      <c r="P880" s="53"/>
      <c r="Q880" s="53"/>
      <c r="R880" s="53"/>
      <c r="S880" s="171"/>
      <c r="T880" s="170"/>
      <c r="U880" s="53"/>
      <c r="V880" s="53"/>
      <c r="W880" s="53"/>
      <c r="X880" s="171"/>
      <c r="Y880" s="170"/>
      <c r="Z880" s="170"/>
      <c r="AA880" s="170"/>
      <c r="AB880" s="170"/>
      <c r="AC880" s="170"/>
      <c r="AD880" s="53"/>
      <c r="AE880" s="53"/>
    </row>
    <row r="881">
      <c r="A881" s="53"/>
      <c r="B881" s="53"/>
      <c r="C881" s="168"/>
      <c r="D881" s="169"/>
      <c r="E881" s="170"/>
      <c r="F881" s="53"/>
      <c r="G881" s="53"/>
      <c r="H881" s="53"/>
      <c r="I881" s="171"/>
      <c r="J881" s="170"/>
      <c r="K881" s="53"/>
      <c r="L881" s="53"/>
      <c r="M881" s="53"/>
      <c r="N881" s="171"/>
      <c r="O881" s="170"/>
      <c r="P881" s="53"/>
      <c r="Q881" s="53"/>
      <c r="R881" s="53"/>
      <c r="S881" s="171"/>
      <c r="T881" s="170"/>
      <c r="U881" s="53"/>
      <c r="V881" s="53"/>
      <c r="W881" s="53"/>
      <c r="X881" s="171"/>
      <c r="Y881" s="170"/>
      <c r="Z881" s="170"/>
      <c r="AA881" s="170"/>
      <c r="AB881" s="170"/>
      <c r="AC881" s="170"/>
      <c r="AD881" s="53"/>
      <c r="AE881" s="53"/>
    </row>
    <row r="882">
      <c r="A882" s="53"/>
      <c r="B882" s="53"/>
      <c r="C882" s="168"/>
      <c r="D882" s="169"/>
      <c r="E882" s="170"/>
      <c r="F882" s="53"/>
      <c r="G882" s="53"/>
      <c r="H882" s="53"/>
      <c r="I882" s="171"/>
      <c r="J882" s="170"/>
      <c r="K882" s="53"/>
      <c r="L882" s="53"/>
      <c r="M882" s="53"/>
      <c r="N882" s="171"/>
      <c r="O882" s="170"/>
      <c r="P882" s="53"/>
      <c r="Q882" s="53"/>
      <c r="R882" s="53"/>
      <c r="S882" s="171"/>
      <c r="T882" s="170"/>
      <c r="U882" s="53"/>
      <c r="V882" s="53"/>
      <c r="W882" s="53"/>
      <c r="X882" s="171"/>
      <c r="Y882" s="170"/>
      <c r="Z882" s="170"/>
      <c r="AA882" s="170"/>
      <c r="AB882" s="170"/>
      <c r="AC882" s="170"/>
      <c r="AD882" s="53"/>
      <c r="AE882" s="53"/>
    </row>
    <row r="883">
      <c r="A883" s="53"/>
      <c r="B883" s="53"/>
      <c r="C883" s="168"/>
      <c r="D883" s="169"/>
      <c r="E883" s="170"/>
      <c r="F883" s="53"/>
      <c r="G883" s="53"/>
      <c r="H883" s="53"/>
      <c r="I883" s="171"/>
      <c r="J883" s="170"/>
      <c r="K883" s="53"/>
      <c r="L883" s="53"/>
      <c r="M883" s="53"/>
      <c r="N883" s="171"/>
      <c r="O883" s="170"/>
      <c r="P883" s="53"/>
      <c r="Q883" s="53"/>
      <c r="R883" s="53"/>
      <c r="S883" s="171"/>
      <c r="T883" s="170"/>
      <c r="U883" s="53"/>
      <c r="V883" s="53"/>
      <c r="W883" s="53"/>
      <c r="X883" s="171"/>
      <c r="Y883" s="170"/>
      <c r="Z883" s="170"/>
      <c r="AA883" s="170"/>
      <c r="AB883" s="170"/>
      <c r="AC883" s="170"/>
      <c r="AD883" s="53"/>
      <c r="AE883" s="53"/>
    </row>
    <row r="884">
      <c r="A884" s="53"/>
      <c r="B884" s="53"/>
      <c r="C884" s="168"/>
      <c r="D884" s="169"/>
      <c r="E884" s="170"/>
      <c r="F884" s="53"/>
      <c r="G884" s="53"/>
      <c r="H884" s="53"/>
      <c r="I884" s="171"/>
      <c r="J884" s="170"/>
      <c r="K884" s="53"/>
      <c r="L884" s="53"/>
      <c r="M884" s="53"/>
      <c r="N884" s="171"/>
      <c r="O884" s="170"/>
      <c r="P884" s="53"/>
      <c r="Q884" s="53"/>
      <c r="R884" s="53"/>
      <c r="S884" s="171"/>
      <c r="T884" s="170"/>
      <c r="U884" s="53"/>
      <c r="V884" s="53"/>
      <c r="W884" s="53"/>
      <c r="X884" s="171"/>
      <c r="Y884" s="170"/>
      <c r="Z884" s="170"/>
      <c r="AA884" s="170"/>
      <c r="AB884" s="170"/>
      <c r="AC884" s="170"/>
      <c r="AD884" s="53"/>
      <c r="AE884" s="53"/>
    </row>
    <row r="885">
      <c r="A885" s="53"/>
      <c r="B885" s="53"/>
      <c r="C885" s="168"/>
      <c r="D885" s="169"/>
      <c r="E885" s="170"/>
      <c r="F885" s="53"/>
      <c r="G885" s="53"/>
      <c r="H885" s="53"/>
      <c r="I885" s="171"/>
      <c r="J885" s="170"/>
      <c r="K885" s="53"/>
      <c r="L885" s="53"/>
      <c r="M885" s="53"/>
      <c r="N885" s="171"/>
      <c r="O885" s="170"/>
      <c r="P885" s="53"/>
      <c r="Q885" s="53"/>
      <c r="R885" s="53"/>
      <c r="S885" s="171"/>
      <c r="T885" s="170"/>
      <c r="U885" s="53"/>
      <c r="V885" s="53"/>
      <c r="W885" s="53"/>
      <c r="X885" s="171"/>
      <c r="Y885" s="170"/>
      <c r="Z885" s="170"/>
      <c r="AA885" s="170"/>
      <c r="AB885" s="170"/>
      <c r="AC885" s="170"/>
      <c r="AD885" s="53"/>
      <c r="AE885" s="53"/>
    </row>
    <row r="886">
      <c r="A886" s="53"/>
      <c r="B886" s="53"/>
      <c r="C886" s="168"/>
      <c r="D886" s="169"/>
      <c r="E886" s="170"/>
      <c r="F886" s="53"/>
      <c r="G886" s="53"/>
      <c r="H886" s="53"/>
      <c r="I886" s="171"/>
      <c r="J886" s="170"/>
      <c r="K886" s="53"/>
      <c r="L886" s="53"/>
      <c r="M886" s="53"/>
      <c r="N886" s="171"/>
      <c r="O886" s="170"/>
      <c r="P886" s="53"/>
      <c r="Q886" s="53"/>
      <c r="R886" s="53"/>
      <c r="S886" s="171"/>
      <c r="T886" s="170"/>
      <c r="U886" s="53"/>
      <c r="V886" s="53"/>
      <c r="W886" s="53"/>
      <c r="X886" s="171"/>
      <c r="Y886" s="170"/>
      <c r="Z886" s="170"/>
      <c r="AA886" s="170"/>
      <c r="AB886" s="170"/>
      <c r="AC886" s="170"/>
      <c r="AD886" s="53"/>
      <c r="AE886" s="53"/>
    </row>
    <row r="887">
      <c r="A887" s="53"/>
      <c r="B887" s="53"/>
      <c r="C887" s="168"/>
      <c r="D887" s="169"/>
      <c r="E887" s="170"/>
      <c r="F887" s="53"/>
      <c r="G887" s="53"/>
      <c r="H887" s="53"/>
      <c r="I887" s="171"/>
      <c r="J887" s="170"/>
      <c r="K887" s="53"/>
      <c r="L887" s="53"/>
      <c r="M887" s="53"/>
      <c r="N887" s="171"/>
      <c r="O887" s="170"/>
      <c r="P887" s="53"/>
      <c r="Q887" s="53"/>
      <c r="R887" s="53"/>
      <c r="S887" s="171"/>
      <c r="T887" s="170"/>
      <c r="U887" s="53"/>
      <c r="V887" s="53"/>
      <c r="W887" s="53"/>
      <c r="X887" s="171"/>
      <c r="Y887" s="170"/>
      <c r="Z887" s="170"/>
      <c r="AA887" s="170"/>
      <c r="AB887" s="170"/>
      <c r="AC887" s="170"/>
      <c r="AD887" s="53"/>
      <c r="AE887" s="53"/>
    </row>
    <row r="888">
      <c r="A888" s="53"/>
      <c r="B888" s="53"/>
      <c r="C888" s="168"/>
      <c r="D888" s="169"/>
      <c r="E888" s="170"/>
      <c r="F888" s="53"/>
      <c r="G888" s="53"/>
      <c r="H888" s="53"/>
      <c r="I888" s="171"/>
      <c r="J888" s="170"/>
      <c r="K888" s="53"/>
      <c r="L888" s="53"/>
      <c r="M888" s="53"/>
      <c r="N888" s="171"/>
      <c r="O888" s="170"/>
      <c r="P888" s="53"/>
      <c r="Q888" s="53"/>
      <c r="R888" s="53"/>
      <c r="S888" s="171"/>
      <c r="T888" s="170"/>
      <c r="U888" s="53"/>
      <c r="V888" s="53"/>
      <c r="W888" s="53"/>
      <c r="X888" s="171"/>
      <c r="Y888" s="170"/>
      <c r="Z888" s="170"/>
      <c r="AA888" s="170"/>
      <c r="AB888" s="170"/>
      <c r="AC888" s="170"/>
      <c r="AD888" s="53"/>
      <c r="AE888" s="53"/>
    </row>
    <row r="889">
      <c r="A889" s="53"/>
      <c r="B889" s="53"/>
      <c r="C889" s="168"/>
      <c r="D889" s="169"/>
      <c r="E889" s="170"/>
      <c r="F889" s="53"/>
      <c r="G889" s="53"/>
      <c r="H889" s="53"/>
      <c r="I889" s="171"/>
      <c r="J889" s="170"/>
      <c r="K889" s="53"/>
      <c r="L889" s="53"/>
      <c r="M889" s="53"/>
      <c r="N889" s="171"/>
      <c r="O889" s="170"/>
      <c r="P889" s="53"/>
      <c r="Q889" s="53"/>
      <c r="R889" s="53"/>
      <c r="S889" s="171"/>
      <c r="T889" s="170"/>
      <c r="U889" s="53"/>
      <c r="V889" s="53"/>
      <c r="W889" s="53"/>
      <c r="X889" s="171"/>
      <c r="Y889" s="170"/>
      <c r="Z889" s="170"/>
      <c r="AA889" s="170"/>
      <c r="AB889" s="170"/>
      <c r="AC889" s="170"/>
      <c r="AD889" s="53"/>
      <c r="AE889" s="53"/>
    </row>
    <row r="890">
      <c r="A890" s="53"/>
      <c r="B890" s="53"/>
      <c r="C890" s="168"/>
      <c r="D890" s="169"/>
      <c r="E890" s="170"/>
      <c r="F890" s="53"/>
      <c r="G890" s="53"/>
      <c r="H890" s="53"/>
      <c r="I890" s="171"/>
      <c r="J890" s="170"/>
      <c r="K890" s="53"/>
      <c r="L890" s="53"/>
      <c r="M890" s="53"/>
      <c r="N890" s="171"/>
      <c r="O890" s="170"/>
      <c r="P890" s="53"/>
      <c r="Q890" s="53"/>
      <c r="R890" s="53"/>
      <c r="S890" s="171"/>
      <c r="T890" s="170"/>
      <c r="U890" s="53"/>
      <c r="V890" s="53"/>
      <c r="W890" s="53"/>
      <c r="X890" s="171"/>
      <c r="Y890" s="170"/>
      <c r="Z890" s="170"/>
      <c r="AA890" s="170"/>
      <c r="AB890" s="170"/>
      <c r="AC890" s="170"/>
      <c r="AD890" s="53"/>
      <c r="AE890" s="53"/>
    </row>
    <row r="891">
      <c r="A891" s="53"/>
      <c r="B891" s="53"/>
      <c r="C891" s="168"/>
      <c r="D891" s="169"/>
      <c r="E891" s="170"/>
      <c r="F891" s="53"/>
      <c r="G891" s="53"/>
      <c r="H891" s="53"/>
      <c r="I891" s="171"/>
      <c r="J891" s="170"/>
      <c r="K891" s="53"/>
      <c r="L891" s="53"/>
      <c r="M891" s="53"/>
      <c r="N891" s="171"/>
      <c r="O891" s="170"/>
      <c r="P891" s="53"/>
      <c r="Q891" s="53"/>
      <c r="R891" s="53"/>
      <c r="S891" s="171"/>
      <c r="T891" s="170"/>
      <c r="U891" s="53"/>
      <c r="V891" s="53"/>
      <c r="W891" s="53"/>
      <c r="X891" s="171"/>
      <c r="Y891" s="170"/>
      <c r="Z891" s="170"/>
      <c r="AA891" s="170"/>
      <c r="AB891" s="170"/>
      <c r="AC891" s="170"/>
      <c r="AD891" s="53"/>
      <c r="AE891" s="53"/>
    </row>
    <row r="892">
      <c r="A892" s="53"/>
      <c r="B892" s="53"/>
      <c r="C892" s="168"/>
      <c r="D892" s="169"/>
      <c r="E892" s="170"/>
      <c r="F892" s="53"/>
      <c r="G892" s="53"/>
      <c r="H892" s="53"/>
      <c r="I892" s="171"/>
      <c r="J892" s="170"/>
      <c r="K892" s="53"/>
      <c r="L892" s="53"/>
      <c r="M892" s="53"/>
      <c r="N892" s="171"/>
      <c r="O892" s="170"/>
      <c r="P892" s="53"/>
      <c r="Q892" s="53"/>
      <c r="R892" s="53"/>
      <c r="S892" s="171"/>
      <c r="T892" s="170"/>
      <c r="U892" s="53"/>
      <c r="V892" s="53"/>
      <c r="W892" s="53"/>
      <c r="X892" s="171"/>
      <c r="Y892" s="170"/>
      <c r="Z892" s="170"/>
      <c r="AA892" s="170"/>
      <c r="AB892" s="170"/>
      <c r="AC892" s="170"/>
      <c r="AD892" s="53"/>
      <c r="AE892" s="53"/>
    </row>
    <row r="893">
      <c r="A893" s="53"/>
      <c r="B893" s="53"/>
      <c r="C893" s="168"/>
      <c r="D893" s="169"/>
      <c r="E893" s="170"/>
      <c r="F893" s="53"/>
      <c r="G893" s="53"/>
      <c r="H893" s="53"/>
      <c r="I893" s="171"/>
      <c r="J893" s="170"/>
      <c r="K893" s="53"/>
      <c r="L893" s="53"/>
      <c r="M893" s="53"/>
      <c r="N893" s="171"/>
      <c r="O893" s="170"/>
      <c r="P893" s="53"/>
      <c r="Q893" s="53"/>
      <c r="R893" s="53"/>
      <c r="S893" s="171"/>
      <c r="T893" s="170"/>
      <c r="U893" s="53"/>
      <c r="V893" s="53"/>
      <c r="W893" s="53"/>
      <c r="X893" s="171"/>
      <c r="Y893" s="170"/>
      <c r="Z893" s="170"/>
      <c r="AA893" s="170"/>
      <c r="AB893" s="170"/>
      <c r="AC893" s="170"/>
      <c r="AD893" s="53"/>
      <c r="AE893" s="53"/>
    </row>
    <row r="894">
      <c r="A894" s="53"/>
      <c r="B894" s="53"/>
      <c r="C894" s="168"/>
      <c r="D894" s="169"/>
      <c r="E894" s="170"/>
      <c r="F894" s="53"/>
      <c r="G894" s="53"/>
      <c r="H894" s="53"/>
      <c r="I894" s="171"/>
      <c r="J894" s="170"/>
      <c r="K894" s="53"/>
      <c r="L894" s="53"/>
      <c r="M894" s="53"/>
      <c r="N894" s="171"/>
      <c r="O894" s="170"/>
      <c r="P894" s="53"/>
      <c r="Q894" s="53"/>
      <c r="R894" s="53"/>
      <c r="S894" s="171"/>
      <c r="T894" s="170"/>
      <c r="U894" s="53"/>
      <c r="V894" s="53"/>
      <c r="W894" s="53"/>
      <c r="X894" s="171"/>
      <c r="Y894" s="170"/>
      <c r="Z894" s="170"/>
      <c r="AA894" s="170"/>
      <c r="AB894" s="170"/>
      <c r="AC894" s="170"/>
      <c r="AD894" s="53"/>
      <c r="AE894" s="53"/>
    </row>
    <row r="895">
      <c r="A895" s="53"/>
      <c r="B895" s="53"/>
      <c r="C895" s="168"/>
      <c r="D895" s="169"/>
      <c r="E895" s="170"/>
      <c r="F895" s="53"/>
      <c r="G895" s="53"/>
      <c r="H895" s="53"/>
      <c r="I895" s="171"/>
      <c r="J895" s="170"/>
      <c r="K895" s="53"/>
      <c r="L895" s="53"/>
      <c r="M895" s="53"/>
      <c r="N895" s="171"/>
      <c r="O895" s="170"/>
      <c r="P895" s="53"/>
      <c r="Q895" s="53"/>
      <c r="R895" s="53"/>
      <c r="S895" s="171"/>
      <c r="T895" s="170"/>
      <c r="U895" s="53"/>
      <c r="V895" s="53"/>
      <c r="W895" s="53"/>
      <c r="X895" s="171"/>
      <c r="Y895" s="170"/>
      <c r="Z895" s="170"/>
      <c r="AA895" s="170"/>
      <c r="AB895" s="170"/>
      <c r="AC895" s="170"/>
      <c r="AD895" s="53"/>
      <c r="AE895" s="53"/>
    </row>
    <row r="896">
      <c r="A896" s="53"/>
      <c r="B896" s="53"/>
      <c r="C896" s="168"/>
      <c r="D896" s="169"/>
      <c r="E896" s="170"/>
      <c r="F896" s="53"/>
      <c r="G896" s="53"/>
      <c r="H896" s="53"/>
      <c r="I896" s="171"/>
      <c r="J896" s="170"/>
      <c r="K896" s="53"/>
      <c r="L896" s="53"/>
      <c r="M896" s="53"/>
      <c r="N896" s="171"/>
      <c r="O896" s="170"/>
      <c r="P896" s="53"/>
      <c r="Q896" s="53"/>
      <c r="R896" s="53"/>
      <c r="S896" s="171"/>
      <c r="T896" s="170"/>
      <c r="U896" s="53"/>
      <c r="V896" s="53"/>
      <c r="W896" s="53"/>
      <c r="X896" s="171"/>
      <c r="Y896" s="170"/>
      <c r="Z896" s="170"/>
      <c r="AA896" s="170"/>
      <c r="AB896" s="170"/>
      <c r="AC896" s="170"/>
      <c r="AD896" s="53"/>
      <c r="AE896" s="53"/>
    </row>
    <row r="897">
      <c r="A897" s="53"/>
      <c r="B897" s="53"/>
      <c r="C897" s="168"/>
      <c r="D897" s="169"/>
      <c r="E897" s="170"/>
      <c r="F897" s="53"/>
      <c r="G897" s="53"/>
      <c r="H897" s="53"/>
      <c r="I897" s="171"/>
      <c r="J897" s="170"/>
      <c r="K897" s="53"/>
      <c r="L897" s="53"/>
      <c r="M897" s="53"/>
      <c r="N897" s="171"/>
      <c r="O897" s="170"/>
      <c r="P897" s="53"/>
      <c r="Q897" s="53"/>
      <c r="R897" s="53"/>
      <c r="S897" s="171"/>
      <c r="T897" s="170"/>
      <c r="U897" s="53"/>
      <c r="V897" s="53"/>
      <c r="W897" s="53"/>
      <c r="X897" s="171"/>
      <c r="Y897" s="170"/>
      <c r="Z897" s="170"/>
      <c r="AA897" s="170"/>
      <c r="AB897" s="170"/>
      <c r="AC897" s="170"/>
      <c r="AD897" s="53"/>
      <c r="AE897" s="53"/>
    </row>
    <row r="898">
      <c r="A898" s="53"/>
      <c r="B898" s="53"/>
      <c r="C898" s="168"/>
      <c r="D898" s="169"/>
      <c r="E898" s="170"/>
      <c r="F898" s="53"/>
      <c r="G898" s="53"/>
      <c r="H898" s="53"/>
      <c r="I898" s="171"/>
      <c r="J898" s="170"/>
      <c r="K898" s="53"/>
      <c r="L898" s="53"/>
      <c r="M898" s="53"/>
      <c r="N898" s="171"/>
      <c r="O898" s="170"/>
      <c r="P898" s="53"/>
      <c r="Q898" s="53"/>
      <c r="R898" s="53"/>
      <c r="S898" s="171"/>
      <c r="T898" s="170"/>
      <c r="U898" s="53"/>
      <c r="V898" s="53"/>
      <c r="W898" s="53"/>
      <c r="X898" s="171"/>
      <c r="Y898" s="170"/>
      <c r="Z898" s="170"/>
      <c r="AA898" s="170"/>
      <c r="AB898" s="170"/>
      <c r="AC898" s="170"/>
      <c r="AD898" s="53"/>
      <c r="AE898" s="53"/>
    </row>
    <row r="899">
      <c r="A899" s="53"/>
      <c r="B899" s="53"/>
      <c r="C899" s="168"/>
      <c r="D899" s="169"/>
      <c r="E899" s="170"/>
      <c r="F899" s="53"/>
      <c r="G899" s="53"/>
      <c r="H899" s="53"/>
      <c r="I899" s="171"/>
      <c r="J899" s="170"/>
      <c r="K899" s="53"/>
      <c r="L899" s="53"/>
      <c r="M899" s="53"/>
      <c r="N899" s="171"/>
      <c r="O899" s="170"/>
      <c r="P899" s="53"/>
      <c r="Q899" s="53"/>
      <c r="R899" s="53"/>
      <c r="S899" s="171"/>
      <c r="T899" s="170"/>
      <c r="U899" s="53"/>
      <c r="V899" s="53"/>
      <c r="W899" s="53"/>
      <c r="X899" s="171"/>
      <c r="Y899" s="170"/>
      <c r="Z899" s="170"/>
      <c r="AA899" s="170"/>
      <c r="AB899" s="170"/>
      <c r="AC899" s="170"/>
      <c r="AD899" s="53"/>
      <c r="AE899" s="53"/>
    </row>
    <row r="900">
      <c r="A900" s="53"/>
      <c r="B900" s="53"/>
      <c r="C900" s="168"/>
      <c r="D900" s="169"/>
      <c r="E900" s="170"/>
      <c r="F900" s="53"/>
      <c r="G900" s="53"/>
      <c r="H900" s="53"/>
      <c r="I900" s="171"/>
      <c r="J900" s="170"/>
      <c r="K900" s="53"/>
      <c r="L900" s="53"/>
      <c r="M900" s="53"/>
      <c r="N900" s="171"/>
      <c r="O900" s="170"/>
      <c r="P900" s="53"/>
      <c r="Q900" s="53"/>
      <c r="R900" s="53"/>
      <c r="S900" s="171"/>
      <c r="T900" s="170"/>
      <c r="U900" s="53"/>
      <c r="V900" s="53"/>
      <c r="W900" s="53"/>
      <c r="X900" s="171"/>
      <c r="Y900" s="170"/>
      <c r="Z900" s="170"/>
      <c r="AA900" s="170"/>
      <c r="AB900" s="170"/>
      <c r="AC900" s="170"/>
      <c r="AD900" s="53"/>
      <c r="AE900" s="53"/>
    </row>
    <row r="901">
      <c r="A901" s="53"/>
      <c r="B901" s="53"/>
      <c r="C901" s="168"/>
      <c r="D901" s="169"/>
      <c r="E901" s="170"/>
      <c r="F901" s="53"/>
      <c r="G901" s="53"/>
      <c r="H901" s="53"/>
      <c r="I901" s="171"/>
      <c r="J901" s="170"/>
      <c r="K901" s="53"/>
      <c r="L901" s="53"/>
      <c r="M901" s="53"/>
      <c r="N901" s="171"/>
      <c r="O901" s="170"/>
      <c r="P901" s="53"/>
      <c r="Q901" s="53"/>
      <c r="R901" s="53"/>
      <c r="S901" s="171"/>
      <c r="T901" s="170"/>
      <c r="U901" s="53"/>
      <c r="V901" s="53"/>
      <c r="W901" s="53"/>
      <c r="X901" s="171"/>
      <c r="Y901" s="170"/>
      <c r="Z901" s="170"/>
      <c r="AA901" s="170"/>
      <c r="AB901" s="170"/>
      <c r="AC901" s="170"/>
      <c r="AD901" s="53"/>
      <c r="AE901" s="53"/>
    </row>
    <row r="902">
      <c r="A902" s="53"/>
      <c r="B902" s="53"/>
      <c r="C902" s="168"/>
      <c r="D902" s="169"/>
      <c r="E902" s="170"/>
      <c r="F902" s="53"/>
      <c r="G902" s="53"/>
      <c r="H902" s="53"/>
      <c r="I902" s="171"/>
      <c r="J902" s="170"/>
      <c r="K902" s="53"/>
      <c r="L902" s="53"/>
      <c r="M902" s="53"/>
      <c r="N902" s="171"/>
      <c r="O902" s="170"/>
      <c r="P902" s="53"/>
      <c r="Q902" s="53"/>
      <c r="R902" s="53"/>
      <c r="S902" s="171"/>
      <c r="T902" s="170"/>
      <c r="U902" s="53"/>
      <c r="V902" s="53"/>
      <c r="W902" s="53"/>
      <c r="X902" s="171"/>
      <c r="Y902" s="170"/>
      <c r="Z902" s="170"/>
      <c r="AA902" s="170"/>
      <c r="AB902" s="170"/>
      <c r="AC902" s="170"/>
      <c r="AD902" s="53"/>
      <c r="AE902" s="53"/>
    </row>
    <row r="903">
      <c r="A903" s="53"/>
      <c r="B903" s="53"/>
      <c r="C903" s="168"/>
      <c r="D903" s="169"/>
      <c r="E903" s="170"/>
      <c r="F903" s="53"/>
      <c r="G903" s="53"/>
      <c r="H903" s="53"/>
      <c r="I903" s="171"/>
      <c r="J903" s="170"/>
      <c r="K903" s="53"/>
      <c r="L903" s="53"/>
      <c r="M903" s="53"/>
      <c r="N903" s="171"/>
      <c r="O903" s="170"/>
      <c r="P903" s="53"/>
      <c r="Q903" s="53"/>
      <c r="R903" s="53"/>
      <c r="S903" s="171"/>
      <c r="T903" s="170"/>
      <c r="U903" s="53"/>
      <c r="V903" s="53"/>
      <c r="W903" s="53"/>
      <c r="X903" s="171"/>
      <c r="Y903" s="170"/>
      <c r="Z903" s="170"/>
      <c r="AA903" s="170"/>
      <c r="AB903" s="170"/>
      <c r="AC903" s="170"/>
      <c r="AD903" s="53"/>
      <c r="AE903" s="53"/>
    </row>
    <row r="904">
      <c r="A904" s="53"/>
      <c r="B904" s="53"/>
      <c r="C904" s="168"/>
      <c r="D904" s="169"/>
      <c r="E904" s="170"/>
      <c r="F904" s="53"/>
      <c r="G904" s="53"/>
      <c r="H904" s="53"/>
      <c r="I904" s="171"/>
      <c r="J904" s="170"/>
      <c r="K904" s="53"/>
      <c r="L904" s="53"/>
      <c r="M904" s="53"/>
      <c r="N904" s="171"/>
      <c r="O904" s="170"/>
      <c r="P904" s="53"/>
      <c r="Q904" s="53"/>
      <c r="R904" s="53"/>
      <c r="S904" s="171"/>
      <c r="T904" s="170"/>
      <c r="U904" s="53"/>
      <c r="V904" s="53"/>
      <c r="W904" s="53"/>
      <c r="X904" s="171"/>
      <c r="Y904" s="170"/>
      <c r="Z904" s="170"/>
      <c r="AA904" s="170"/>
      <c r="AB904" s="170"/>
      <c r="AC904" s="170"/>
      <c r="AD904" s="53"/>
      <c r="AE904" s="53"/>
    </row>
    <row r="905">
      <c r="A905" s="53"/>
      <c r="B905" s="53"/>
      <c r="C905" s="168"/>
      <c r="D905" s="169"/>
      <c r="E905" s="170"/>
      <c r="F905" s="53"/>
      <c r="G905" s="53"/>
      <c r="H905" s="53"/>
      <c r="I905" s="171"/>
      <c r="J905" s="170"/>
      <c r="K905" s="53"/>
      <c r="L905" s="53"/>
      <c r="M905" s="53"/>
      <c r="N905" s="171"/>
      <c r="O905" s="170"/>
      <c r="P905" s="53"/>
      <c r="Q905" s="53"/>
      <c r="R905" s="53"/>
      <c r="S905" s="171"/>
      <c r="T905" s="170"/>
      <c r="U905" s="53"/>
      <c r="V905" s="53"/>
      <c r="W905" s="53"/>
      <c r="X905" s="171"/>
      <c r="Y905" s="170"/>
      <c r="Z905" s="170"/>
      <c r="AA905" s="170"/>
      <c r="AB905" s="170"/>
      <c r="AC905" s="170"/>
      <c r="AD905" s="53"/>
      <c r="AE905" s="53"/>
    </row>
    <row r="906">
      <c r="A906" s="53"/>
      <c r="B906" s="53"/>
      <c r="C906" s="168"/>
      <c r="D906" s="169"/>
      <c r="E906" s="170"/>
      <c r="F906" s="53"/>
      <c r="G906" s="53"/>
      <c r="H906" s="53"/>
      <c r="I906" s="171"/>
      <c r="J906" s="170"/>
      <c r="K906" s="53"/>
      <c r="L906" s="53"/>
      <c r="M906" s="53"/>
      <c r="N906" s="171"/>
      <c r="O906" s="170"/>
      <c r="P906" s="53"/>
      <c r="Q906" s="53"/>
      <c r="R906" s="53"/>
      <c r="S906" s="171"/>
      <c r="T906" s="170"/>
      <c r="U906" s="53"/>
      <c r="V906" s="53"/>
      <c r="W906" s="53"/>
      <c r="X906" s="171"/>
      <c r="Y906" s="170"/>
      <c r="Z906" s="170"/>
      <c r="AA906" s="170"/>
      <c r="AB906" s="170"/>
      <c r="AC906" s="170"/>
      <c r="AD906" s="53"/>
      <c r="AE906" s="53"/>
    </row>
    <row r="907">
      <c r="A907" s="53"/>
      <c r="B907" s="53"/>
      <c r="C907" s="168"/>
      <c r="D907" s="169"/>
      <c r="E907" s="170"/>
      <c r="F907" s="53"/>
      <c r="G907" s="53"/>
      <c r="H907" s="53"/>
      <c r="I907" s="171"/>
      <c r="J907" s="170"/>
      <c r="K907" s="53"/>
      <c r="L907" s="53"/>
      <c r="M907" s="53"/>
      <c r="N907" s="171"/>
      <c r="O907" s="170"/>
      <c r="P907" s="53"/>
      <c r="Q907" s="53"/>
      <c r="R907" s="53"/>
      <c r="S907" s="171"/>
      <c r="T907" s="170"/>
      <c r="U907" s="53"/>
      <c r="V907" s="53"/>
      <c r="W907" s="53"/>
      <c r="X907" s="171"/>
      <c r="Y907" s="170"/>
      <c r="Z907" s="170"/>
      <c r="AA907" s="170"/>
      <c r="AB907" s="170"/>
      <c r="AC907" s="170"/>
      <c r="AD907" s="53"/>
      <c r="AE907" s="53"/>
    </row>
    <row r="908">
      <c r="A908" s="53"/>
      <c r="B908" s="53"/>
      <c r="C908" s="168"/>
      <c r="D908" s="169"/>
      <c r="E908" s="170"/>
      <c r="F908" s="53"/>
      <c r="G908" s="53"/>
      <c r="H908" s="53"/>
      <c r="I908" s="171"/>
      <c r="J908" s="170"/>
      <c r="K908" s="53"/>
      <c r="L908" s="53"/>
      <c r="M908" s="53"/>
      <c r="N908" s="171"/>
      <c r="O908" s="170"/>
      <c r="P908" s="53"/>
      <c r="Q908" s="53"/>
      <c r="R908" s="53"/>
      <c r="S908" s="171"/>
      <c r="T908" s="170"/>
      <c r="U908" s="53"/>
      <c r="V908" s="53"/>
      <c r="W908" s="53"/>
      <c r="X908" s="171"/>
      <c r="Y908" s="170"/>
      <c r="Z908" s="170"/>
      <c r="AA908" s="170"/>
      <c r="AB908" s="170"/>
      <c r="AC908" s="170"/>
      <c r="AD908" s="53"/>
      <c r="AE908" s="53"/>
    </row>
    <row r="909">
      <c r="A909" s="53"/>
      <c r="B909" s="53"/>
      <c r="C909" s="168"/>
      <c r="D909" s="169"/>
      <c r="E909" s="170"/>
      <c r="F909" s="53"/>
      <c r="G909" s="53"/>
      <c r="H909" s="53"/>
      <c r="I909" s="171"/>
      <c r="J909" s="170"/>
      <c r="K909" s="53"/>
      <c r="L909" s="53"/>
      <c r="M909" s="53"/>
      <c r="N909" s="171"/>
      <c r="O909" s="170"/>
      <c r="P909" s="53"/>
      <c r="Q909" s="53"/>
      <c r="R909" s="53"/>
      <c r="S909" s="171"/>
      <c r="T909" s="170"/>
      <c r="U909" s="53"/>
      <c r="V909" s="53"/>
      <c r="W909" s="53"/>
      <c r="X909" s="171"/>
      <c r="Y909" s="170"/>
      <c r="Z909" s="170"/>
      <c r="AA909" s="170"/>
      <c r="AB909" s="170"/>
      <c r="AC909" s="170"/>
      <c r="AD909" s="53"/>
      <c r="AE909" s="53"/>
    </row>
    <row r="910">
      <c r="A910" s="53"/>
      <c r="B910" s="53"/>
      <c r="C910" s="168"/>
      <c r="D910" s="169"/>
      <c r="E910" s="170"/>
      <c r="F910" s="53"/>
      <c r="G910" s="53"/>
      <c r="H910" s="53"/>
      <c r="I910" s="171"/>
      <c r="J910" s="170"/>
      <c r="K910" s="53"/>
      <c r="L910" s="53"/>
      <c r="M910" s="53"/>
      <c r="N910" s="171"/>
      <c r="O910" s="170"/>
      <c r="P910" s="53"/>
      <c r="Q910" s="53"/>
      <c r="R910" s="53"/>
      <c r="S910" s="171"/>
      <c r="T910" s="170"/>
      <c r="U910" s="53"/>
      <c r="V910" s="53"/>
      <c r="W910" s="53"/>
      <c r="X910" s="171"/>
      <c r="Y910" s="170"/>
      <c r="Z910" s="170"/>
      <c r="AA910" s="170"/>
      <c r="AB910" s="170"/>
      <c r="AC910" s="170"/>
      <c r="AD910" s="53"/>
      <c r="AE910" s="53"/>
    </row>
    <row r="911">
      <c r="A911" s="53"/>
      <c r="B911" s="53"/>
      <c r="C911" s="168"/>
      <c r="D911" s="169"/>
      <c r="E911" s="170"/>
      <c r="F911" s="53"/>
      <c r="G911" s="53"/>
      <c r="H911" s="53"/>
      <c r="I911" s="171"/>
      <c r="J911" s="170"/>
      <c r="K911" s="53"/>
      <c r="L911" s="53"/>
      <c r="M911" s="53"/>
      <c r="N911" s="171"/>
      <c r="O911" s="170"/>
      <c r="P911" s="53"/>
      <c r="Q911" s="53"/>
      <c r="R911" s="53"/>
      <c r="S911" s="171"/>
      <c r="T911" s="170"/>
      <c r="U911" s="53"/>
      <c r="V911" s="53"/>
      <c r="W911" s="53"/>
      <c r="X911" s="171"/>
      <c r="Y911" s="170"/>
      <c r="Z911" s="170"/>
      <c r="AA911" s="170"/>
      <c r="AB911" s="170"/>
      <c r="AC911" s="170"/>
      <c r="AD911" s="53"/>
      <c r="AE911" s="53"/>
    </row>
    <row r="912">
      <c r="A912" s="53"/>
      <c r="B912" s="53"/>
      <c r="C912" s="168"/>
      <c r="D912" s="169"/>
      <c r="E912" s="170"/>
      <c r="F912" s="53"/>
      <c r="G912" s="53"/>
      <c r="H912" s="53"/>
      <c r="I912" s="171"/>
      <c r="J912" s="170"/>
      <c r="K912" s="53"/>
      <c r="L912" s="53"/>
      <c r="M912" s="53"/>
      <c r="N912" s="171"/>
      <c r="O912" s="170"/>
      <c r="P912" s="53"/>
      <c r="Q912" s="53"/>
      <c r="R912" s="53"/>
      <c r="S912" s="171"/>
      <c r="T912" s="170"/>
      <c r="U912" s="53"/>
      <c r="V912" s="53"/>
      <c r="W912" s="53"/>
      <c r="X912" s="171"/>
      <c r="Y912" s="170"/>
      <c r="Z912" s="170"/>
      <c r="AA912" s="170"/>
      <c r="AB912" s="170"/>
      <c r="AC912" s="170"/>
      <c r="AD912" s="53"/>
      <c r="AE912" s="53"/>
    </row>
    <row r="913">
      <c r="A913" s="53"/>
      <c r="B913" s="53"/>
      <c r="C913" s="168"/>
      <c r="D913" s="169"/>
      <c r="E913" s="170"/>
      <c r="F913" s="53"/>
      <c r="G913" s="53"/>
      <c r="H913" s="53"/>
      <c r="I913" s="171"/>
      <c r="J913" s="170"/>
      <c r="K913" s="53"/>
      <c r="L913" s="53"/>
      <c r="M913" s="53"/>
      <c r="N913" s="171"/>
      <c r="O913" s="170"/>
      <c r="P913" s="53"/>
      <c r="Q913" s="53"/>
      <c r="R913" s="53"/>
      <c r="S913" s="171"/>
      <c r="T913" s="170"/>
      <c r="U913" s="53"/>
      <c r="V913" s="53"/>
      <c r="W913" s="53"/>
      <c r="X913" s="171"/>
      <c r="Y913" s="170"/>
      <c r="Z913" s="170"/>
      <c r="AA913" s="170"/>
      <c r="AB913" s="170"/>
      <c r="AC913" s="170"/>
      <c r="AD913" s="53"/>
      <c r="AE913" s="53"/>
    </row>
    <row r="914">
      <c r="A914" s="53"/>
      <c r="B914" s="53"/>
      <c r="C914" s="168"/>
      <c r="D914" s="169"/>
      <c r="E914" s="170"/>
      <c r="F914" s="53"/>
      <c r="G914" s="53"/>
      <c r="H914" s="53"/>
      <c r="I914" s="171"/>
      <c r="J914" s="170"/>
      <c r="K914" s="53"/>
      <c r="L914" s="53"/>
      <c r="M914" s="53"/>
      <c r="N914" s="171"/>
      <c r="O914" s="170"/>
      <c r="P914" s="53"/>
      <c r="Q914" s="53"/>
      <c r="R914" s="53"/>
      <c r="S914" s="171"/>
      <c r="T914" s="170"/>
      <c r="U914" s="53"/>
      <c r="V914" s="53"/>
      <c r="W914" s="53"/>
      <c r="X914" s="171"/>
      <c r="Y914" s="170"/>
      <c r="Z914" s="170"/>
      <c r="AA914" s="170"/>
      <c r="AB914" s="170"/>
      <c r="AC914" s="170"/>
      <c r="AD914" s="53"/>
      <c r="AE914" s="53"/>
    </row>
    <row r="915">
      <c r="A915" s="53"/>
      <c r="B915" s="53"/>
      <c r="C915" s="168"/>
      <c r="D915" s="169"/>
      <c r="E915" s="170"/>
      <c r="F915" s="53"/>
      <c r="G915" s="53"/>
      <c r="H915" s="53"/>
      <c r="I915" s="171"/>
      <c r="J915" s="170"/>
      <c r="K915" s="53"/>
      <c r="L915" s="53"/>
      <c r="M915" s="53"/>
      <c r="N915" s="171"/>
      <c r="O915" s="170"/>
      <c r="P915" s="53"/>
      <c r="Q915" s="53"/>
      <c r="R915" s="53"/>
      <c r="S915" s="171"/>
      <c r="T915" s="170"/>
      <c r="U915" s="53"/>
      <c r="V915" s="53"/>
      <c r="W915" s="53"/>
      <c r="X915" s="171"/>
      <c r="Y915" s="170"/>
      <c r="Z915" s="170"/>
      <c r="AA915" s="170"/>
      <c r="AB915" s="170"/>
      <c r="AC915" s="170"/>
      <c r="AD915" s="53"/>
      <c r="AE915" s="53"/>
    </row>
    <row r="916">
      <c r="A916" s="53"/>
      <c r="B916" s="53"/>
      <c r="C916" s="168"/>
      <c r="D916" s="169"/>
      <c r="E916" s="170"/>
      <c r="F916" s="53"/>
      <c r="G916" s="53"/>
      <c r="H916" s="53"/>
      <c r="I916" s="171"/>
      <c r="J916" s="170"/>
      <c r="K916" s="53"/>
      <c r="L916" s="53"/>
      <c r="M916" s="53"/>
      <c r="N916" s="171"/>
      <c r="O916" s="170"/>
      <c r="P916" s="53"/>
      <c r="Q916" s="53"/>
      <c r="R916" s="53"/>
      <c r="S916" s="171"/>
      <c r="T916" s="170"/>
      <c r="U916" s="53"/>
      <c r="V916" s="53"/>
      <c r="W916" s="53"/>
      <c r="X916" s="171"/>
      <c r="Y916" s="170"/>
      <c r="Z916" s="170"/>
      <c r="AA916" s="170"/>
      <c r="AB916" s="170"/>
      <c r="AC916" s="170"/>
      <c r="AD916" s="53"/>
      <c r="AE916" s="53"/>
    </row>
    <row r="917">
      <c r="A917" s="53"/>
      <c r="B917" s="53"/>
      <c r="C917" s="168"/>
      <c r="D917" s="169"/>
      <c r="E917" s="170"/>
      <c r="F917" s="53"/>
      <c r="G917" s="53"/>
      <c r="H917" s="53"/>
      <c r="I917" s="171"/>
      <c r="J917" s="170"/>
      <c r="K917" s="53"/>
      <c r="L917" s="53"/>
      <c r="M917" s="53"/>
      <c r="N917" s="171"/>
      <c r="O917" s="170"/>
      <c r="P917" s="53"/>
      <c r="Q917" s="53"/>
      <c r="R917" s="53"/>
      <c r="S917" s="171"/>
      <c r="T917" s="170"/>
      <c r="U917" s="53"/>
      <c r="V917" s="53"/>
      <c r="W917" s="53"/>
      <c r="X917" s="171"/>
      <c r="Y917" s="170"/>
      <c r="Z917" s="170"/>
      <c r="AA917" s="170"/>
      <c r="AB917" s="170"/>
      <c r="AC917" s="170"/>
      <c r="AD917" s="53"/>
      <c r="AE917" s="53"/>
    </row>
    <row r="918">
      <c r="A918" s="53"/>
      <c r="B918" s="53"/>
      <c r="C918" s="168"/>
      <c r="D918" s="169"/>
      <c r="E918" s="170"/>
      <c r="F918" s="53"/>
      <c r="G918" s="53"/>
      <c r="H918" s="53"/>
      <c r="I918" s="171"/>
      <c r="J918" s="170"/>
      <c r="K918" s="53"/>
      <c r="L918" s="53"/>
      <c r="M918" s="53"/>
      <c r="N918" s="171"/>
      <c r="O918" s="170"/>
      <c r="P918" s="53"/>
      <c r="Q918" s="53"/>
      <c r="R918" s="53"/>
      <c r="S918" s="171"/>
      <c r="T918" s="170"/>
      <c r="U918" s="53"/>
      <c r="V918" s="53"/>
      <c r="W918" s="53"/>
      <c r="X918" s="171"/>
      <c r="Y918" s="170"/>
      <c r="Z918" s="170"/>
      <c r="AA918" s="170"/>
      <c r="AB918" s="170"/>
      <c r="AC918" s="170"/>
      <c r="AD918" s="53"/>
      <c r="AE918" s="53"/>
    </row>
    <row r="919">
      <c r="A919" s="53"/>
      <c r="B919" s="53"/>
      <c r="C919" s="168"/>
      <c r="D919" s="169"/>
      <c r="E919" s="170"/>
      <c r="F919" s="53"/>
      <c r="G919" s="53"/>
      <c r="H919" s="53"/>
      <c r="I919" s="171"/>
      <c r="J919" s="170"/>
      <c r="K919" s="53"/>
      <c r="L919" s="53"/>
      <c r="M919" s="53"/>
      <c r="N919" s="171"/>
      <c r="O919" s="170"/>
      <c r="P919" s="53"/>
      <c r="Q919" s="53"/>
      <c r="R919" s="53"/>
      <c r="S919" s="171"/>
      <c r="T919" s="170"/>
      <c r="U919" s="53"/>
      <c r="V919" s="53"/>
      <c r="W919" s="53"/>
      <c r="X919" s="171"/>
      <c r="Y919" s="170"/>
      <c r="Z919" s="170"/>
      <c r="AA919" s="170"/>
      <c r="AB919" s="170"/>
      <c r="AC919" s="170"/>
      <c r="AD919" s="53"/>
      <c r="AE919" s="53"/>
    </row>
    <row r="920">
      <c r="A920" s="53"/>
      <c r="B920" s="53"/>
      <c r="C920" s="168"/>
      <c r="D920" s="169"/>
      <c r="E920" s="170"/>
      <c r="F920" s="53"/>
      <c r="G920" s="53"/>
      <c r="H920" s="53"/>
      <c r="I920" s="171"/>
      <c r="J920" s="170"/>
      <c r="K920" s="53"/>
      <c r="L920" s="53"/>
      <c r="M920" s="53"/>
      <c r="N920" s="171"/>
      <c r="O920" s="170"/>
      <c r="P920" s="53"/>
      <c r="Q920" s="53"/>
      <c r="R920" s="53"/>
      <c r="S920" s="171"/>
      <c r="T920" s="170"/>
      <c r="U920" s="53"/>
      <c r="V920" s="53"/>
      <c r="W920" s="53"/>
      <c r="X920" s="171"/>
      <c r="Y920" s="170"/>
      <c r="Z920" s="170"/>
      <c r="AA920" s="170"/>
      <c r="AB920" s="170"/>
      <c r="AC920" s="170"/>
      <c r="AD920" s="53"/>
      <c r="AE920" s="53"/>
    </row>
    <row r="921">
      <c r="A921" s="53"/>
      <c r="B921" s="53"/>
      <c r="C921" s="168"/>
      <c r="D921" s="169"/>
      <c r="E921" s="170"/>
      <c r="F921" s="53"/>
      <c r="G921" s="53"/>
      <c r="H921" s="53"/>
      <c r="I921" s="171"/>
      <c r="J921" s="170"/>
      <c r="K921" s="53"/>
      <c r="L921" s="53"/>
      <c r="M921" s="53"/>
      <c r="N921" s="171"/>
      <c r="O921" s="170"/>
      <c r="P921" s="53"/>
      <c r="Q921" s="53"/>
      <c r="R921" s="53"/>
      <c r="S921" s="171"/>
      <c r="T921" s="170"/>
      <c r="U921" s="53"/>
      <c r="V921" s="53"/>
      <c r="W921" s="53"/>
      <c r="X921" s="171"/>
      <c r="Y921" s="170"/>
      <c r="Z921" s="170"/>
      <c r="AA921" s="170"/>
      <c r="AB921" s="170"/>
      <c r="AC921" s="170"/>
      <c r="AD921" s="53"/>
      <c r="AE921" s="53"/>
    </row>
    <row r="922">
      <c r="A922" s="53"/>
      <c r="B922" s="53"/>
      <c r="C922" s="168"/>
      <c r="D922" s="169"/>
      <c r="E922" s="170"/>
      <c r="F922" s="53"/>
      <c r="G922" s="53"/>
      <c r="H922" s="53"/>
      <c r="I922" s="171"/>
      <c r="J922" s="170"/>
      <c r="K922" s="53"/>
      <c r="L922" s="53"/>
      <c r="M922" s="53"/>
      <c r="N922" s="171"/>
      <c r="O922" s="170"/>
      <c r="P922" s="53"/>
      <c r="Q922" s="53"/>
      <c r="R922" s="53"/>
      <c r="S922" s="171"/>
      <c r="T922" s="170"/>
      <c r="U922" s="53"/>
      <c r="V922" s="53"/>
      <c r="W922" s="53"/>
      <c r="X922" s="171"/>
      <c r="Y922" s="170"/>
      <c r="Z922" s="170"/>
      <c r="AA922" s="170"/>
      <c r="AB922" s="170"/>
      <c r="AC922" s="170"/>
      <c r="AD922" s="53"/>
      <c r="AE922" s="53"/>
    </row>
    <row r="923">
      <c r="A923" s="53"/>
      <c r="B923" s="53"/>
      <c r="C923" s="168"/>
      <c r="D923" s="169"/>
      <c r="E923" s="170"/>
      <c r="F923" s="53"/>
      <c r="G923" s="53"/>
      <c r="H923" s="53"/>
      <c r="I923" s="171"/>
      <c r="J923" s="170"/>
      <c r="K923" s="53"/>
      <c r="L923" s="53"/>
      <c r="M923" s="53"/>
      <c r="N923" s="171"/>
      <c r="O923" s="170"/>
      <c r="P923" s="53"/>
      <c r="Q923" s="53"/>
      <c r="R923" s="53"/>
      <c r="S923" s="171"/>
      <c r="T923" s="170"/>
      <c r="U923" s="53"/>
      <c r="V923" s="53"/>
      <c r="W923" s="53"/>
      <c r="X923" s="171"/>
      <c r="Y923" s="170"/>
      <c r="Z923" s="170"/>
      <c r="AA923" s="170"/>
      <c r="AB923" s="170"/>
      <c r="AC923" s="170"/>
      <c r="AD923" s="53"/>
      <c r="AE923" s="53"/>
    </row>
    <row r="924">
      <c r="A924" s="53"/>
      <c r="B924" s="53"/>
      <c r="C924" s="168"/>
      <c r="D924" s="169"/>
      <c r="E924" s="170"/>
      <c r="F924" s="53"/>
      <c r="G924" s="53"/>
      <c r="H924" s="53"/>
      <c r="I924" s="171"/>
      <c r="J924" s="170"/>
      <c r="K924" s="53"/>
      <c r="L924" s="53"/>
      <c r="M924" s="53"/>
      <c r="N924" s="171"/>
      <c r="O924" s="170"/>
      <c r="P924" s="53"/>
      <c r="Q924" s="53"/>
      <c r="R924" s="53"/>
      <c r="S924" s="171"/>
      <c r="T924" s="170"/>
      <c r="U924" s="53"/>
      <c r="V924" s="53"/>
      <c r="W924" s="53"/>
      <c r="X924" s="171"/>
      <c r="Y924" s="170"/>
      <c r="Z924" s="170"/>
      <c r="AA924" s="170"/>
      <c r="AB924" s="170"/>
      <c r="AC924" s="170"/>
      <c r="AD924" s="53"/>
      <c r="AE924" s="53"/>
    </row>
    <row r="925">
      <c r="A925" s="53"/>
      <c r="B925" s="53"/>
      <c r="C925" s="168"/>
      <c r="D925" s="169"/>
      <c r="E925" s="170"/>
      <c r="F925" s="53"/>
      <c r="G925" s="53"/>
      <c r="H925" s="53"/>
      <c r="I925" s="171"/>
      <c r="J925" s="170"/>
      <c r="K925" s="53"/>
      <c r="L925" s="53"/>
      <c r="M925" s="53"/>
      <c r="N925" s="171"/>
      <c r="O925" s="170"/>
      <c r="P925" s="53"/>
      <c r="Q925" s="53"/>
      <c r="R925" s="53"/>
      <c r="S925" s="171"/>
      <c r="T925" s="170"/>
      <c r="U925" s="53"/>
      <c r="V925" s="53"/>
      <c r="W925" s="53"/>
      <c r="X925" s="171"/>
      <c r="Y925" s="170"/>
      <c r="Z925" s="170"/>
      <c r="AA925" s="170"/>
      <c r="AB925" s="170"/>
      <c r="AC925" s="170"/>
      <c r="AD925" s="53"/>
      <c r="AE925" s="53"/>
    </row>
    <row r="926">
      <c r="A926" s="53"/>
      <c r="B926" s="53"/>
      <c r="C926" s="168"/>
      <c r="D926" s="169"/>
      <c r="E926" s="170"/>
      <c r="F926" s="53"/>
      <c r="G926" s="53"/>
      <c r="H926" s="53"/>
      <c r="I926" s="171"/>
      <c r="J926" s="170"/>
      <c r="K926" s="53"/>
      <c r="L926" s="53"/>
      <c r="M926" s="53"/>
      <c r="N926" s="171"/>
      <c r="O926" s="170"/>
      <c r="P926" s="53"/>
      <c r="Q926" s="53"/>
      <c r="R926" s="53"/>
      <c r="S926" s="171"/>
      <c r="T926" s="170"/>
      <c r="U926" s="53"/>
      <c r="V926" s="53"/>
      <c r="W926" s="53"/>
      <c r="X926" s="171"/>
      <c r="Y926" s="170"/>
      <c r="Z926" s="170"/>
      <c r="AA926" s="170"/>
      <c r="AB926" s="170"/>
      <c r="AC926" s="170"/>
      <c r="AD926" s="53"/>
      <c r="AE926" s="53"/>
    </row>
    <row r="927">
      <c r="A927" s="53"/>
      <c r="B927" s="53"/>
      <c r="C927" s="168"/>
      <c r="D927" s="169"/>
      <c r="E927" s="170"/>
      <c r="F927" s="53"/>
      <c r="G927" s="53"/>
      <c r="H927" s="53"/>
      <c r="I927" s="171"/>
      <c r="J927" s="170"/>
      <c r="K927" s="53"/>
      <c r="L927" s="53"/>
      <c r="M927" s="53"/>
      <c r="N927" s="171"/>
      <c r="O927" s="170"/>
      <c r="P927" s="53"/>
      <c r="Q927" s="53"/>
      <c r="R927" s="53"/>
      <c r="S927" s="171"/>
      <c r="T927" s="170"/>
      <c r="U927" s="53"/>
      <c r="V927" s="53"/>
      <c r="W927" s="53"/>
      <c r="X927" s="171"/>
      <c r="Y927" s="170"/>
      <c r="Z927" s="170"/>
      <c r="AA927" s="170"/>
      <c r="AB927" s="170"/>
      <c r="AC927" s="170"/>
      <c r="AD927" s="53"/>
      <c r="AE927" s="53"/>
    </row>
    <row r="928">
      <c r="A928" s="53"/>
      <c r="B928" s="53"/>
      <c r="C928" s="168"/>
      <c r="D928" s="169"/>
      <c r="E928" s="170"/>
      <c r="F928" s="53"/>
      <c r="G928" s="53"/>
      <c r="H928" s="53"/>
      <c r="I928" s="171"/>
      <c r="J928" s="170"/>
      <c r="K928" s="53"/>
      <c r="L928" s="53"/>
      <c r="M928" s="53"/>
      <c r="N928" s="171"/>
      <c r="O928" s="170"/>
      <c r="P928" s="53"/>
      <c r="Q928" s="53"/>
      <c r="R928" s="53"/>
      <c r="S928" s="171"/>
      <c r="T928" s="170"/>
      <c r="U928" s="53"/>
      <c r="V928" s="53"/>
      <c r="W928" s="53"/>
      <c r="X928" s="171"/>
      <c r="Y928" s="170"/>
      <c r="Z928" s="170"/>
      <c r="AA928" s="170"/>
      <c r="AB928" s="170"/>
      <c r="AC928" s="170"/>
      <c r="AD928" s="53"/>
      <c r="AE928" s="53"/>
    </row>
    <row r="929">
      <c r="A929" s="53"/>
      <c r="B929" s="53"/>
      <c r="C929" s="168"/>
      <c r="D929" s="169"/>
      <c r="E929" s="170"/>
      <c r="F929" s="53"/>
      <c r="G929" s="53"/>
      <c r="H929" s="53"/>
      <c r="I929" s="171"/>
      <c r="J929" s="170"/>
      <c r="K929" s="53"/>
      <c r="L929" s="53"/>
      <c r="M929" s="53"/>
      <c r="N929" s="171"/>
      <c r="O929" s="170"/>
      <c r="P929" s="53"/>
      <c r="Q929" s="53"/>
      <c r="R929" s="53"/>
      <c r="S929" s="171"/>
      <c r="T929" s="170"/>
      <c r="U929" s="53"/>
      <c r="V929" s="53"/>
      <c r="W929" s="53"/>
      <c r="X929" s="171"/>
      <c r="Y929" s="170"/>
      <c r="Z929" s="170"/>
      <c r="AA929" s="170"/>
      <c r="AB929" s="170"/>
      <c r="AC929" s="170"/>
      <c r="AD929" s="53"/>
      <c r="AE929" s="53"/>
    </row>
    <row r="930">
      <c r="A930" s="53"/>
      <c r="B930" s="53"/>
      <c r="C930" s="168"/>
      <c r="D930" s="169"/>
      <c r="E930" s="170"/>
      <c r="F930" s="53"/>
      <c r="G930" s="53"/>
      <c r="H930" s="53"/>
      <c r="I930" s="171"/>
      <c r="J930" s="170"/>
      <c r="K930" s="53"/>
      <c r="L930" s="53"/>
      <c r="M930" s="53"/>
      <c r="N930" s="171"/>
      <c r="O930" s="170"/>
      <c r="P930" s="53"/>
      <c r="Q930" s="53"/>
      <c r="R930" s="53"/>
      <c r="S930" s="171"/>
      <c r="T930" s="170"/>
      <c r="U930" s="53"/>
      <c r="V930" s="53"/>
      <c r="W930" s="53"/>
      <c r="X930" s="171"/>
      <c r="Y930" s="170"/>
      <c r="Z930" s="170"/>
      <c r="AA930" s="170"/>
      <c r="AB930" s="170"/>
      <c r="AC930" s="170"/>
      <c r="AD930" s="53"/>
      <c r="AE930" s="53"/>
    </row>
    <row r="931">
      <c r="A931" s="53"/>
      <c r="B931" s="53"/>
      <c r="C931" s="168"/>
      <c r="D931" s="169"/>
      <c r="E931" s="170"/>
      <c r="F931" s="53"/>
      <c r="G931" s="53"/>
      <c r="H931" s="53"/>
      <c r="I931" s="171"/>
      <c r="J931" s="170"/>
      <c r="K931" s="53"/>
      <c r="L931" s="53"/>
      <c r="M931" s="53"/>
      <c r="N931" s="171"/>
      <c r="O931" s="170"/>
      <c r="P931" s="53"/>
      <c r="Q931" s="53"/>
      <c r="R931" s="53"/>
      <c r="S931" s="171"/>
      <c r="T931" s="170"/>
      <c r="U931" s="53"/>
      <c r="V931" s="53"/>
      <c r="W931" s="53"/>
      <c r="X931" s="171"/>
      <c r="Y931" s="170"/>
      <c r="Z931" s="170"/>
      <c r="AA931" s="170"/>
      <c r="AB931" s="170"/>
      <c r="AC931" s="170"/>
      <c r="AD931" s="53"/>
      <c r="AE931" s="53"/>
    </row>
    <row r="932">
      <c r="A932" s="53"/>
      <c r="B932" s="53"/>
      <c r="C932" s="168"/>
      <c r="D932" s="169"/>
      <c r="E932" s="170"/>
      <c r="F932" s="53"/>
      <c r="G932" s="53"/>
      <c r="H932" s="53"/>
      <c r="I932" s="171"/>
      <c r="J932" s="170"/>
      <c r="K932" s="53"/>
      <c r="L932" s="53"/>
      <c r="M932" s="53"/>
      <c r="N932" s="171"/>
      <c r="O932" s="170"/>
      <c r="P932" s="53"/>
      <c r="Q932" s="53"/>
      <c r="R932" s="53"/>
      <c r="S932" s="171"/>
      <c r="T932" s="170"/>
      <c r="U932" s="53"/>
      <c r="V932" s="53"/>
      <c r="W932" s="53"/>
      <c r="X932" s="171"/>
      <c r="Y932" s="170"/>
      <c r="Z932" s="170"/>
      <c r="AA932" s="170"/>
      <c r="AB932" s="170"/>
      <c r="AC932" s="170"/>
      <c r="AD932" s="53"/>
      <c r="AE932" s="53"/>
    </row>
    <row r="933">
      <c r="A933" s="53"/>
      <c r="B933" s="53"/>
      <c r="C933" s="168"/>
      <c r="D933" s="169"/>
      <c r="E933" s="170"/>
      <c r="F933" s="53"/>
      <c r="G933" s="53"/>
      <c r="H933" s="53"/>
      <c r="I933" s="171"/>
      <c r="J933" s="170"/>
      <c r="K933" s="53"/>
      <c r="L933" s="53"/>
      <c r="M933" s="53"/>
      <c r="N933" s="171"/>
      <c r="O933" s="170"/>
      <c r="P933" s="53"/>
      <c r="Q933" s="53"/>
      <c r="R933" s="53"/>
      <c r="S933" s="171"/>
      <c r="T933" s="170"/>
      <c r="U933" s="53"/>
      <c r="V933" s="53"/>
      <c r="W933" s="53"/>
      <c r="X933" s="171"/>
      <c r="Y933" s="170"/>
      <c r="Z933" s="170"/>
      <c r="AA933" s="170"/>
      <c r="AB933" s="170"/>
      <c r="AC933" s="170"/>
      <c r="AD933" s="53"/>
      <c r="AE933" s="53"/>
    </row>
    <row r="934">
      <c r="A934" s="53"/>
      <c r="B934" s="53"/>
      <c r="C934" s="168"/>
      <c r="D934" s="169"/>
      <c r="E934" s="170"/>
      <c r="F934" s="53"/>
      <c r="G934" s="53"/>
      <c r="H934" s="53"/>
      <c r="I934" s="171"/>
      <c r="J934" s="170"/>
      <c r="K934" s="53"/>
      <c r="L934" s="53"/>
      <c r="M934" s="53"/>
      <c r="N934" s="171"/>
      <c r="O934" s="170"/>
      <c r="P934" s="53"/>
      <c r="Q934" s="53"/>
      <c r="R934" s="53"/>
      <c r="S934" s="171"/>
      <c r="T934" s="170"/>
      <c r="U934" s="53"/>
      <c r="V934" s="53"/>
      <c r="W934" s="53"/>
      <c r="X934" s="171"/>
      <c r="Y934" s="170"/>
      <c r="Z934" s="170"/>
      <c r="AA934" s="170"/>
      <c r="AB934" s="170"/>
      <c r="AC934" s="170"/>
      <c r="AD934" s="53"/>
      <c r="AE934" s="53"/>
    </row>
    <row r="935">
      <c r="A935" s="53"/>
      <c r="B935" s="53"/>
      <c r="C935" s="168"/>
      <c r="D935" s="169"/>
      <c r="E935" s="170"/>
      <c r="F935" s="53"/>
      <c r="G935" s="53"/>
      <c r="H935" s="53"/>
      <c r="I935" s="171"/>
      <c r="J935" s="170"/>
      <c r="K935" s="53"/>
      <c r="L935" s="53"/>
      <c r="M935" s="53"/>
      <c r="N935" s="171"/>
      <c r="O935" s="170"/>
      <c r="P935" s="53"/>
      <c r="Q935" s="53"/>
      <c r="R935" s="53"/>
      <c r="S935" s="171"/>
      <c r="T935" s="170"/>
      <c r="U935" s="53"/>
      <c r="V935" s="53"/>
      <c r="W935" s="53"/>
      <c r="X935" s="171"/>
      <c r="Y935" s="170"/>
      <c r="Z935" s="170"/>
      <c r="AA935" s="170"/>
      <c r="AB935" s="170"/>
      <c r="AC935" s="170"/>
      <c r="AD935" s="53"/>
      <c r="AE935" s="53"/>
    </row>
    <row r="936">
      <c r="A936" s="53"/>
      <c r="B936" s="53"/>
      <c r="C936" s="168"/>
      <c r="D936" s="169"/>
      <c r="E936" s="170"/>
      <c r="F936" s="53"/>
      <c r="G936" s="53"/>
      <c r="H936" s="53"/>
      <c r="I936" s="171"/>
      <c r="J936" s="170"/>
      <c r="K936" s="53"/>
      <c r="L936" s="53"/>
      <c r="M936" s="53"/>
      <c r="N936" s="171"/>
      <c r="O936" s="170"/>
      <c r="P936" s="53"/>
      <c r="Q936" s="53"/>
      <c r="R936" s="53"/>
      <c r="S936" s="171"/>
      <c r="T936" s="170"/>
      <c r="U936" s="53"/>
      <c r="V936" s="53"/>
      <c r="W936" s="53"/>
      <c r="X936" s="171"/>
      <c r="Y936" s="170"/>
      <c r="Z936" s="170"/>
      <c r="AA936" s="170"/>
      <c r="AB936" s="170"/>
      <c r="AC936" s="170"/>
      <c r="AD936" s="53"/>
      <c r="AE936" s="53"/>
    </row>
    <row r="937">
      <c r="A937" s="53"/>
      <c r="B937" s="53"/>
      <c r="C937" s="168"/>
      <c r="D937" s="169"/>
      <c r="E937" s="170"/>
      <c r="F937" s="53"/>
      <c r="G937" s="53"/>
      <c r="H937" s="53"/>
      <c r="I937" s="171"/>
      <c r="J937" s="170"/>
      <c r="K937" s="53"/>
      <c r="L937" s="53"/>
      <c r="M937" s="53"/>
      <c r="N937" s="171"/>
      <c r="O937" s="170"/>
      <c r="P937" s="53"/>
      <c r="Q937" s="53"/>
      <c r="R937" s="53"/>
      <c r="S937" s="171"/>
      <c r="T937" s="170"/>
      <c r="U937" s="53"/>
      <c r="V937" s="53"/>
      <c r="W937" s="53"/>
      <c r="X937" s="171"/>
      <c r="Y937" s="170"/>
      <c r="Z937" s="170"/>
      <c r="AA937" s="170"/>
      <c r="AB937" s="170"/>
      <c r="AC937" s="170"/>
      <c r="AD937" s="53"/>
      <c r="AE937" s="53"/>
    </row>
    <row r="938">
      <c r="A938" s="53"/>
      <c r="B938" s="53"/>
      <c r="C938" s="168"/>
      <c r="D938" s="169"/>
      <c r="E938" s="170"/>
      <c r="F938" s="53"/>
      <c r="G938" s="53"/>
      <c r="H938" s="53"/>
      <c r="I938" s="171"/>
      <c r="J938" s="170"/>
      <c r="K938" s="53"/>
      <c r="L938" s="53"/>
      <c r="M938" s="53"/>
      <c r="N938" s="171"/>
      <c r="O938" s="170"/>
      <c r="P938" s="53"/>
      <c r="Q938" s="53"/>
      <c r="R938" s="53"/>
      <c r="S938" s="171"/>
      <c r="T938" s="170"/>
      <c r="U938" s="53"/>
      <c r="V938" s="53"/>
      <c r="W938" s="53"/>
      <c r="X938" s="171"/>
      <c r="Y938" s="170"/>
      <c r="Z938" s="170"/>
      <c r="AA938" s="170"/>
      <c r="AB938" s="170"/>
      <c r="AC938" s="170"/>
      <c r="AD938" s="53"/>
      <c r="AE938" s="53"/>
    </row>
    <row r="939">
      <c r="A939" s="53"/>
      <c r="B939" s="53"/>
      <c r="C939" s="168"/>
      <c r="D939" s="169"/>
      <c r="E939" s="170"/>
      <c r="F939" s="53"/>
      <c r="G939" s="53"/>
      <c r="H939" s="53"/>
      <c r="I939" s="171"/>
      <c r="J939" s="170"/>
      <c r="K939" s="53"/>
      <c r="L939" s="53"/>
      <c r="M939" s="53"/>
      <c r="N939" s="171"/>
      <c r="O939" s="170"/>
      <c r="P939" s="53"/>
      <c r="Q939" s="53"/>
      <c r="R939" s="53"/>
      <c r="S939" s="171"/>
      <c r="T939" s="170"/>
      <c r="U939" s="53"/>
      <c r="V939" s="53"/>
      <c r="W939" s="53"/>
      <c r="X939" s="171"/>
      <c r="Y939" s="170"/>
      <c r="Z939" s="170"/>
      <c r="AA939" s="170"/>
      <c r="AB939" s="170"/>
      <c r="AC939" s="170"/>
      <c r="AD939" s="53"/>
      <c r="AE939" s="53"/>
    </row>
    <row r="940">
      <c r="A940" s="53"/>
      <c r="B940" s="53"/>
      <c r="C940" s="168"/>
      <c r="D940" s="169"/>
      <c r="E940" s="170"/>
      <c r="F940" s="53"/>
      <c r="G940" s="53"/>
      <c r="H940" s="53"/>
      <c r="I940" s="171"/>
      <c r="J940" s="170"/>
      <c r="K940" s="53"/>
      <c r="L940" s="53"/>
      <c r="M940" s="53"/>
      <c r="N940" s="171"/>
      <c r="O940" s="170"/>
      <c r="P940" s="53"/>
      <c r="Q940" s="53"/>
      <c r="R940" s="53"/>
      <c r="S940" s="171"/>
      <c r="T940" s="170"/>
      <c r="U940" s="53"/>
      <c r="V940" s="53"/>
      <c r="W940" s="53"/>
      <c r="X940" s="171"/>
      <c r="Y940" s="170"/>
      <c r="Z940" s="170"/>
      <c r="AA940" s="170"/>
      <c r="AB940" s="170"/>
      <c r="AC940" s="170"/>
      <c r="AD940" s="53"/>
      <c r="AE940" s="53"/>
    </row>
    <row r="941">
      <c r="A941" s="53"/>
      <c r="B941" s="53"/>
      <c r="C941" s="168"/>
      <c r="D941" s="169"/>
      <c r="E941" s="170"/>
      <c r="F941" s="53"/>
      <c r="G941" s="53"/>
      <c r="H941" s="53"/>
      <c r="I941" s="171"/>
      <c r="J941" s="170"/>
      <c r="K941" s="53"/>
      <c r="L941" s="53"/>
      <c r="M941" s="53"/>
      <c r="N941" s="171"/>
      <c r="O941" s="170"/>
      <c r="P941" s="53"/>
      <c r="Q941" s="53"/>
      <c r="R941" s="53"/>
      <c r="S941" s="171"/>
      <c r="T941" s="170"/>
      <c r="U941" s="53"/>
      <c r="V941" s="53"/>
      <c r="W941" s="53"/>
      <c r="X941" s="171"/>
      <c r="Y941" s="170"/>
      <c r="Z941" s="170"/>
      <c r="AA941" s="170"/>
      <c r="AB941" s="170"/>
      <c r="AC941" s="170"/>
      <c r="AD941" s="53"/>
      <c r="AE941" s="53"/>
    </row>
    <row r="942">
      <c r="A942" s="53"/>
      <c r="B942" s="53"/>
      <c r="C942" s="168"/>
      <c r="D942" s="169"/>
      <c r="E942" s="170"/>
      <c r="F942" s="53"/>
      <c r="G942" s="53"/>
      <c r="H942" s="53"/>
      <c r="I942" s="171"/>
      <c r="J942" s="170"/>
      <c r="K942" s="53"/>
      <c r="L942" s="53"/>
      <c r="M942" s="53"/>
      <c r="N942" s="171"/>
      <c r="O942" s="170"/>
      <c r="P942" s="53"/>
      <c r="Q942" s="53"/>
      <c r="R942" s="53"/>
      <c r="S942" s="171"/>
      <c r="T942" s="170"/>
      <c r="U942" s="53"/>
      <c r="V942" s="53"/>
      <c r="W942" s="53"/>
      <c r="X942" s="171"/>
      <c r="Y942" s="170"/>
      <c r="Z942" s="170"/>
      <c r="AA942" s="170"/>
      <c r="AB942" s="170"/>
      <c r="AC942" s="170"/>
      <c r="AD942" s="53"/>
      <c r="AE942" s="53"/>
    </row>
    <row r="943">
      <c r="A943" s="53"/>
      <c r="B943" s="53"/>
      <c r="C943" s="168"/>
      <c r="D943" s="169"/>
      <c r="E943" s="170"/>
      <c r="F943" s="53"/>
      <c r="G943" s="53"/>
      <c r="H943" s="53"/>
      <c r="I943" s="171"/>
      <c r="J943" s="170"/>
      <c r="K943" s="53"/>
      <c r="L943" s="53"/>
      <c r="M943" s="53"/>
      <c r="N943" s="171"/>
      <c r="O943" s="170"/>
      <c r="P943" s="53"/>
      <c r="Q943" s="53"/>
      <c r="R943" s="53"/>
      <c r="S943" s="171"/>
      <c r="T943" s="170"/>
      <c r="U943" s="53"/>
      <c r="V943" s="53"/>
      <c r="W943" s="53"/>
      <c r="X943" s="171"/>
      <c r="Y943" s="170"/>
      <c r="Z943" s="170"/>
      <c r="AA943" s="170"/>
      <c r="AB943" s="170"/>
      <c r="AC943" s="170"/>
      <c r="AD943" s="53"/>
      <c r="AE943" s="53"/>
    </row>
    <row r="944">
      <c r="A944" s="53"/>
      <c r="B944" s="53"/>
      <c r="C944" s="168"/>
      <c r="D944" s="169"/>
      <c r="E944" s="170"/>
      <c r="F944" s="53"/>
      <c r="G944" s="53"/>
      <c r="H944" s="53"/>
      <c r="I944" s="171"/>
      <c r="J944" s="170"/>
      <c r="K944" s="53"/>
      <c r="L944" s="53"/>
      <c r="M944" s="53"/>
      <c r="N944" s="171"/>
      <c r="O944" s="170"/>
      <c r="P944" s="53"/>
      <c r="Q944" s="53"/>
      <c r="R944" s="53"/>
      <c r="S944" s="171"/>
      <c r="T944" s="170"/>
      <c r="U944" s="53"/>
      <c r="V944" s="53"/>
      <c r="W944" s="53"/>
      <c r="X944" s="171"/>
      <c r="Y944" s="170"/>
      <c r="Z944" s="170"/>
      <c r="AA944" s="170"/>
      <c r="AB944" s="170"/>
      <c r="AC944" s="170"/>
      <c r="AD944" s="53"/>
      <c r="AE944" s="53"/>
    </row>
    <row r="945">
      <c r="A945" s="53"/>
      <c r="B945" s="53"/>
      <c r="C945" s="168"/>
      <c r="D945" s="169"/>
      <c r="E945" s="170"/>
      <c r="F945" s="53"/>
      <c r="G945" s="53"/>
      <c r="H945" s="53"/>
      <c r="I945" s="171"/>
      <c r="J945" s="170"/>
      <c r="K945" s="53"/>
      <c r="L945" s="53"/>
      <c r="M945" s="53"/>
      <c r="N945" s="171"/>
      <c r="O945" s="170"/>
      <c r="P945" s="53"/>
      <c r="Q945" s="53"/>
      <c r="R945" s="53"/>
      <c r="S945" s="171"/>
      <c r="T945" s="170"/>
      <c r="U945" s="53"/>
      <c r="V945" s="53"/>
      <c r="W945" s="53"/>
      <c r="X945" s="171"/>
      <c r="Y945" s="170"/>
      <c r="Z945" s="170"/>
      <c r="AA945" s="170"/>
      <c r="AB945" s="170"/>
      <c r="AC945" s="170"/>
      <c r="AD945" s="53"/>
      <c r="AE945" s="53"/>
    </row>
    <row r="946">
      <c r="A946" s="53"/>
      <c r="B946" s="53"/>
      <c r="C946" s="168"/>
      <c r="D946" s="169"/>
      <c r="E946" s="170"/>
      <c r="F946" s="53"/>
      <c r="G946" s="53"/>
      <c r="H946" s="53"/>
      <c r="I946" s="171"/>
      <c r="J946" s="170"/>
      <c r="K946" s="53"/>
      <c r="L946" s="53"/>
      <c r="M946" s="53"/>
      <c r="N946" s="171"/>
      <c r="O946" s="170"/>
      <c r="P946" s="53"/>
      <c r="Q946" s="53"/>
      <c r="R946" s="53"/>
      <c r="S946" s="171"/>
      <c r="T946" s="170"/>
      <c r="U946" s="53"/>
      <c r="V946" s="53"/>
      <c r="W946" s="53"/>
      <c r="X946" s="171"/>
      <c r="Y946" s="170"/>
      <c r="Z946" s="170"/>
      <c r="AA946" s="170"/>
      <c r="AB946" s="170"/>
      <c r="AC946" s="170"/>
      <c r="AD946" s="53"/>
      <c r="AE946" s="53"/>
    </row>
    <row r="947">
      <c r="A947" s="53"/>
      <c r="B947" s="53"/>
      <c r="C947" s="168"/>
      <c r="D947" s="169"/>
      <c r="E947" s="170"/>
      <c r="F947" s="53"/>
      <c r="G947" s="53"/>
      <c r="H947" s="53"/>
      <c r="I947" s="171"/>
      <c r="J947" s="170"/>
      <c r="K947" s="53"/>
      <c r="L947" s="53"/>
      <c r="M947" s="53"/>
      <c r="N947" s="171"/>
      <c r="O947" s="170"/>
      <c r="P947" s="53"/>
      <c r="Q947" s="53"/>
      <c r="R947" s="53"/>
      <c r="S947" s="171"/>
      <c r="T947" s="170"/>
      <c r="U947" s="53"/>
      <c r="V947" s="53"/>
      <c r="W947" s="53"/>
      <c r="X947" s="171"/>
      <c r="Y947" s="170"/>
      <c r="Z947" s="170"/>
      <c r="AA947" s="170"/>
      <c r="AB947" s="170"/>
      <c r="AC947" s="170"/>
      <c r="AD947" s="53"/>
      <c r="AE947" s="53"/>
    </row>
    <row r="948">
      <c r="A948" s="53"/>
      <c r="B948" s="53"/>
      <c r="C948" s="168"/>
      <c r="D948" s="169"/>
      <c r="E948" s="170"/>
      <c r="F948" s="53"/>
      <c r="G948" s="53"/>
      <c r="H948" s="53"/>
      <c r="I948" s="171"/>
      <c r="J948" s="170"/>
      <c r="K948" s="53"/>
      <c r="L948" s="53"/>
      <c r="M948" s="53"/>
      <c r="N948" s="171"/>
      <c r="O948" s="170"/>
      <c r="P948" s="53"/>
      <c r="Q948" s="53"/>
      <c r="R948" s="53"/>
      <c r="S948" s="171"/>
      <c r="T948" s="170"/>
      <c r="U948" s="53"/>
      <c r="V948" s="53"/>
      <c r="W948" s="53"/>
      <c r="X948" s="171"/>
      <c r="Y948" s="170"/>
      <c r="Z948" s="170"/>
      <c r="AA948" s="170"/>
      <c r="AB948" s="170"/>
      <c r="AC948" s="170"/>
      <c r="AD948" s="53"/>
      <c r="AE948" s="53"/>
    </row>
    <row r="949">
      <c r="A949" s="53"/>
      <c r="B949" s="53"/>
      <c r="C949" s="168"/>
      <c r="D949" s="169"/>
      <c r="E949" s="170"/>
      <c r="F949" s="53"/>
      <c r="G949" s="53"/>
      <c r="H949" s="53"/>
      <c r="I949" s="171"/>
      <c r="J949" s="170"/>
      <c r="K949" s="53"/>
      <c r="L949" s="53"/>
      <c r="M949" s="53"/>
      <c r="N949" s="171"/>
      <c r="O949" s="170"/>
      <c r="P949" s="53"/>
      <c r="Q949" s="53"/>
      <c r="R949" s="53"/>
      <c r="S949" s="171"/>
      <c r="T949" s="170"/>
      <c r="U949" s="53"/>
      <c r="V949" s="53"/>
      <c r="W949" s="53"/>
      <c r="X949" s="171"/>
      <c r="Y949" s="170"/>
      <c r="Z949" s="170"/>
      <c r="AA949" s="170"/>
      <c r="AB949" s="170"/>
      <c r="AC949" s="170"/>
      <c r="AD949" s="53"/>
      <c r="AE949" s="53"/>
    </row>
    <row r="950">
      <c r="A950" s="53"/>
      <c r="B950" s="53"/>
      <c r="C950" s="168"/>
      <c r="D950" s="169"/>
      <c r="E950" s="170"/>
      <c r="F950" s="53"/>
      <c r="G950" s="53"/>
      <c r="H950" s="53"/>
      <c r="I950" s="171"/>
      <c r="J950" s="170"/>
      <c r="K950" s="53"/>
      <c r="L950" s="53"/>
      <c r="M950" s="53"/>
      <c r="N950" s="171"/>
      <c r="O950" s="170"/>
      <c r="P950" s="53"/>
      <c r="Q950" s="53"/>
      <c r="R950" s="53"/>
      <c r="S950" s="171"/>
      <c r="T950" s="170"/>
      <c r="U950" s="53"/>
      <c r="V950" s="53"/>
      <c r="W950" s="53"/>
      <c r="X950" s="171"/>
      <c r="Y950" s="170"/>
      <c r="Z950" s="170"/>
      <c r="AA950" s="170"/>
      <c r="AB950" s="170"/>
      <c r="AC950" s="170"/>
      <c r="AD950" s="53"/>
      <c r="AE950" s="53"/>
    </row>
    <row r="951">
      <c r="A951" s="53"/>
      <c r="B951" s="53"/>
      <c r="C951" s="168"/>
      <c r="D951" s="169"/>
      <c r="E951" s="170"/>
      <c r="F951" s="53"/>
      <c r="G951" s="53"/>
      <c r="H951" s="53"/>
      <c r="I951" s="171"/>
      <c r="J951" s="170"/>
      <c r="K951" s="53"/>
      <c r="L951" s="53"/>
      <c r="M951" s="53"/>
      <c r="N951" s="171"/>
      <c r="O951" s="170"/>
      <c r="P951" s="53"/>
      <c r="Q951" s="53"/>
      <c r="R951" s="53"/>
      <c r="S951" s="171"/>
      <c r="T951" s="170"/>
      <c r="U951" s="53"/>
      <c r="V951" s="53"/>
      <c r="W951" s="53"/>
      <c r="X951" s="171"/>
      <c r="Y951" s="170"/>
      <c r="Z951" s="170"/>
      <c r="AA951" s="170"/>
      <c r="AB951" s="170"/>
      <c r="AC951" s="170"/>
      <c r="AD951" s="53"/>
      <c r="AE951" s="53"/>
    </row>
    <row r="952">
      <c r="A952" s="53"/>
      <c r="B952" s="53"/>
      <c r="C952" s="168"/>
      <c r="D952" s="169"/>
      <c r="E952" s="170"/>
      <c r="F952" s="53"/>
      <c r="G952" s="53"/>
      <c r="H952" s="53"/>
      <c r="I952" s="171"/>
      <c r="J952" s="170"/>
      <c r="K952" s="53"/>
      <c r="L952" s="53"/>
      <c r="M952" s="53"/>
      <c r="N952" s="171"/>
      <c r="O952" s="170"/>
      <c r="P952" s="53"/>
      <c r="Q952" s="53"/>
      <c r="R952" s="53"/>
      <c r="S952" s="171"/>
      <c r="T952" s="170"/>
      <c r="U952" s="53"/>
      <c r="V952" s="53"/>
      <c r="W952" s="53"/>
      <c r="X952" s="171"/>
      <c r="Y952" s="170"/>
      <c r="Z952" s="170"/>
      <c r="AA952" s="170"/>
      <c r="AB952" s="170"/>
      <c r="AC952" s="170"/>
      <c r="AD952" s="53"/>
      <c r="AE952" s="53"/>
    </row>
    <row r="953">
      <c r="A953" s="53"/>
      <c r="B953" s="53"/>
      <c r="C953" s="168"/>
      <c r="D953" s="169"/>
      <c r="E953" s="170"/>
      <c r="F953" s="53"/>
      <c r="G953" s="53"/>
      <c r="H953" s="53"/>
      <c r="I953" s="171"/>
      <c r="J953" s="170"/>
      <c r="K953" s="53"/>
      <c r="L953" s="53"/>
      <c r="M953" s="53"/>
      <c r="N953" s="171"/>
      <c r="O953" s="170"/>
      <c r="P953" s="53"/>
      <c r="Q953" s="53"/>
      <c r="R953" s="53"/>
      <c r="S953" s="171"/>
      <c r="T953" s="170"/>
      <c r="U953" s="53"/>
      <c r="V953" s="53"/>
      <c r="W953" s="53"/>
      <c r="X953" s="171"/>
      <c r="Y953" s="170"/>
      <c r="Z953" s="170"/>
      <c r="AA953" s="170"/>
      <c r="AB953" s="170"/>
      <c r="AC953" s="170"/>
      <c r="AD953" s="53"/>
      <c r="AE953" s="53"/>
    </row>
    <row r="954">
      <c r="A954" s="53"/>
      <c r="B954" s="53"/>
      <c r="C954" s="168"/>
      <c r="D954" s="169"/>
      <c r="E954" s="170"/>
      <c r="F954" s="53"/>
      <c r="G954" s="53"/>
      <c r="H954" s="53"/>
      <c r="I954" s="171"/>
      <c r="J954" s="170"/>
      <c r="K954" s="53"/>
      <c r="L954" s="53"/>
      <c r="M954" s="53"/>
      <c r="N954" s="171"/>
      <c r="O954" s="170"/>
      <c r="P954" s="53"/>
      <c r="Q954" s="53"/>
      <c r="R954" s="53"/>
      <c r="S954" s="171"/>
      <c r="T954" s="170"/>
      <c r="U954" s="53"/>
      <c r="V954" s="53"/>
      <c r="W954" s="53"/>
      <c r="X954" s="171"/>
      <c r="Y954" s="170"/>
      <c r="Z954" s="170"/>
      <c r="AA954" s="170"/>
      <c r="AB954" s="170"/>
      <c r="AC954" s="170"/>
      <c r="AD954" s="53"/>
      <c r="AE954" s="53"/>
    </row>
    <row r="955">
      <c r="A955" s="53"/>
      <c r="B955" s="53"/>
      <c r="C955" s="168"/>
      <c r="D955" s="169"/>
      <c r="E955" s="170"/>
      <c r="F955" s="53"/>
      <c r="G955" s="53"/>
      <c r="H955" s="53"/>
      <c r="I955" s="171"/>
      <c r="J955" s="170"/>
      <c r="K955" s="53"/>
      <c r="L955" s="53"/>
      <c r="M955" s="53"/>
      <c r="N955" s="171"/>
      <c r="O955" s="170"/>
      <c r="P955" s="53"/>
      <c r="Q955" s="53"/>
      <c r="R955" s="53"/>
      <c r="S955" s="171"/>
      <c r="T955" s="170"/>
      <c r="U955" s="53"/>
      <c r="V955" s="53"/>
      <c r="W955" s="53"/>
      <c r="X955" s="171"/>
      <c r="Y955" s="170"/>
      <c r="Z955" s="170"/>
      <c r="AA955" s="170"/>
      <c r="AB955" s="170"/>
      <c r="AC955" s="170"/>
      <c r="AD955" s="53"/>
      <c r="AE955" s="53"/>
    </row>
    <row r="956">
      <c r="A956" s="53"/>
      <c r="B956" s="53"/>
      <c r="C956" s="168"/>
      <c r="D956" s="169"/>
      <c r="E956" s="170"/>
      <c r="F956" s="53"/>
      <c r="G956" s="53"/>
      <c r="H956" s="53"/>
      <c r="I956" s="171"/>
      <c r="J956" s="170"/>
      <c r="K956" s="53"/>
      <c r="L956" s="53"/>
      <c r="M956" s="53"/>
      <c r="N956" s="171"/>
      <c r="O956" s="170"/>
      <c r="P956" s="53"/>
      <c r="Q956" s="53"/>
      <c r="R956" s="53"/>
      <c r="S956" s="171"/>
      <c r="T956" s="170"/>
      <c r="U956" s="53"/>
      <c r="V956" s="53"/>
      <c r="W956" s="53"/>
      <c r="X956" s="171"/>
      <c r="Y956" s="170"/>
      <c r="Z956" s="170"/>
      <c r="AA956" s="170"/>
      <c r="AB956" s="170"/>
      <c r="AC956" s="170"/>
      <c r="AD956" s="53"/>
      <c r="AE956" s="53"/>
    </row>
    <row r="957">
      <c r="A957" s="53"/>
      <c r="B957" s="53"/>
      <c r="C957" s="168"/>
      <c r="D957" s="169"/>
      <c r="E957" s="170"/>
      <c r="F957" s="53"/>
      <c r="G957" s="53"/>
      <c r="H957" s="53"/>
      <c r="I957" s="171"/>
      <c r="J957" s="170"/>
      <c r="K957" s="53"/>
      <c r="L957" s="53"/>
      <c r="M957" s="53"/>
      <c r="N957" s="171"/>
      <c r="O957" s="170"/>
      <c r="P957" s="53"/>
      <c r="Q957" s="53"/>
      <c r="R957" s="53"/>
      <c r="S957" s="171"/>
      <c r="T957" s="170"/>
      <c r="U957" s="53"/>
      <c r="V957" s="53"/>
      <c r="W957" s="53"/>
      <c r="X957" s="171"/>
      <c r="Y957" s="170"/>
      <c r="Z957" s="170"/>
      <c r="AA957" s="170"/>
      <c r="AB957" s="170"/>
      <c r="AC957" s="170"/>
      <c r="AD957" s="53"/>
      <c r="AE957" s="53"/>
    </row>
    <row r="958">
      <c r="A958" s="53"/>
      <c r="B958" s="53"/>
      <c r="C958" s="168"/>
      <c r="D958" s="169"/>
      <c r="E958" s="170"/>
      <c r="F958" s="53"/>
      <c r="G958" s="53"/>
      <c r="H958" s="53"/>
      <c r="I958" s="171"/>
      <c r="J958" s="170"/>
      <c r="K958" s="53"/>
      <c r="L958" s="53"/>
      <c r="M958" s="53"/>
      <c r="N958" s="171"/>
      <c r="O958" s="170"/>
      <c r="P958" s="53"/>
      <c r="Q958" s="53"/>
      <c r="R958" s="53"/>
      <c r="S958" s="171"/>
      <c r="T958" s="170"/>
      <c r="U958" s="53"/>
      <c r="V958" s="53"/>
      <c r="W958" s="53"/>
      <c r="X958" s="171"/>
      <c r="Y958" s="170"/>
      <c r="Z958" s="170"/>
      <c r="AA958" s="170"/>
      <c r="AB958" s="170"/>
      <c r="AC958" s="170"/>
      <c r="AD958" s="53"/>
      <c r="AE958" s="53"/>
    </row>
    <row r="959">
      <c r="A959" s="53"/>
      <c r="B959" s="53"/>
      <c r="C959" s="168"/>
      <c r="D959" s="169"/>
      <c r="E959" s="170"/>
      <c r="F959" s="53"/>
      <c r="G959" s="53"/>
      <c r="H959" s="53"/>
      <c r="I959" s="171"/>
      <c r="J959" s="170"/>
      <c r="K959" s="53"/>
      <c r="L959" s="53"/>
      <c r="M959" s="53"/>
      <c r="N959" s="171"/>
      <c r="O959" s="170"/>
      <c r="P959" s="53"/>
      <c r="Q959" s="53"/>
      <c r="R959" s="53"/>
      <c r="S959" s="171"/>
      <c r="T959" s="170"/>
      <c r="U959" s="53"/>
      <c r="V959" s="53"/>
      <c r="W959" s="53"/>
      <c r="X959" s="171"/>
      <c r="Y959" s="170"/>
      <c r="Z959" s="170"/>
      <c r="AA959" s="170"/>
      <c r="AB959" s="170"/>
      <c r="AC959" s="170"/>
      <c r="AD959" s="53"/>
      <c r="AE959" s="53"/>
    </row>
    <row r="960">
      <c r="A960" s="53"/>
      <c r="B960" s="53"/>
      <c r="C960" s="168"/>
      <c r="D960" s="169"/>
      <c r="E960" s="170"/>
      <c r="F960" s="53"/>
      <c r="G960" s="53"/>
      <c r="H960" s="53"/>
      <c r="I960" s="171"/>
      <c r="J960" s="170"/>
      <c r="K960" s="53"/>
      <c r="L960" s="53"/>
      <c r="M960" s="53"/>
      <c r="N960" s="171"/>
      <c r="O960" s="170"/>
      <c r="P960" s="53"/>
      <c r="Q960" s="53"/>
      <c r="R960" s="53"/>
      <c r="S960" s="171"/>
      <c r="T960" s="170"/>
      <c r="U960" s="53"/>
      <c r="V960" s="53"/>
      <c r="W960" s="53"/>
      <c r="X960" s="171"/>
      <c r="Y960" s="170"/>
      <c r="Z960" s="170"/>
      <c r="AA960" s="170"/>
      <c r="AB960" s="170"/>
      <c r="AC960" s="170"/>
      <c r="AD960" s="53"/>
      <c r="AE960" s="53"/>
    </row>
    <row r="961">
      <c r="A961" s="53"/>
      <c r="B961" s="53"/>
      <c r="C961" s="168"/>
      <c r="D961" s="169"/>
      <c r="E961" s="170"/>
      <c r="F961" s="53"/>
      <c r="G961" s="53"/>
      <c r="H961" s="53"/>
      <c r="I961" s="171"/>
      <c r="J961" s="170"/>
      <c r="K961" s="53"/>
      <c r="L961" s="53"/>
      <c r="M961" s="53"/>
      <c r="N961" s="171"/>
      <c r="O961" s="170"/>
      <c r="P961" s="53"/>
      <c r="Q961" s="53"/>
      <c r="R961" s="53"/>
      <c r="S961" s="171"/>
      <c r="T961" s="170"/>
      <c r="U961" s="53"/>
      <c r="V961" s="53"/>
      <c r="W961" s="53"/>
      <c r="X961" s="171"/>
      <c r="Y961" s="170"/>
      <c r="Z961" s="170"/>
      <c r="AA961" s="170"/>
      <c r="AB961" s="170"/>
      <c r="AC961" s="170"/>
      <c r="AD961" s="53"/>
      <c r="AE961" s="53"/>
    </row>
    <row r="962">
      <c r="A962" s="53"/>
      <c r="B962" s="53"/>
      <c r="C962" s="168"/>
      <c r="D962" s="169"/>
      <c r="E962" s="170"/>
      <c r="F962" s="53"/>
      <c r="G962" s="53"/>
      <c r="H962" s="53"/>
      <c r="I962" s="171"/>
      <c r="J962" s="170"/>
      <c r="K962" s="53"/>
      <c r="L962" s="53"/>
      <c r="M962" s="53"/>
      <c r="N962" s="171"/>
      <c r="O962" s="170"/>
      <c r="P962" s="53"/>
      <c r="Q962" s="53"/>
      <c r="R962" s="53"/>
      <c r="S962" s="171"/>
      <c r="T962" s="170"/>
      <c r="U962" s="53"/>
      <c r="V962" s="53"/>
      <c r="W962" s="53"/>
      <c r="X962" s="171"/>
      <c r="Y962" s="170"/>
      <c r="Z962" s="170"/>
      <c r="AA962" s="170"/>
      <c r="AB962" s="170"/>
      <c r="AC962" s="170"/>
      <c r="AD962" s="53"/>
      <c r="AE962" s="53"/>
    </row>
    <row r="963">
      <c r="A963" s="53"/>
      <c r="B963" s="53"/>
      <c r="C963" s="168"/>
      <c r="D963" s="169"/>
      <c r="E963" s="170"/>
      <c r="F963" s="53"/>
      <c r="G963" s="53"/>
      <c r="H963" s="53"/>
      <c r="I963" s="171"/>
      <c r="J963" s="170"/>
      <c r="K963" s="53"/>
      <c r="L963" s="53"/>
      <c r="M963" s="53"/>
      <c r="N963" s="171"/>
      <c r="O963" s="170"/>
      <c r="P963" s="53"/>
      <c r="Q963" s="53"/>
      <c r="R963" s="53"/>
      <c r="S963" s="171"/>
      <c r="T963" s="170"/>
      <c r="U963" s="53"/>
      <c r="V963" s="53"/>
      <c r="W963" s="53"/>
      <c r="X963" s="171"/>
      <c r="Y963" s="170"/>
      <c r="Z963" s="170"/>
      <c r="AA963" s="170"/>
      <c r="AB963" s="170"/>
      <c r="AC963" s="170"/>
      <c r="AD963" s="53"/>
      <c r="AE963" s="53"/>
    </row>
    <row r="964">
      <c r="A964" s="53"/>
      <c r="B964" s="53"/>
      <c r="C964" s="168"/>
      <c r="D964" s="169"/>
      <c r="E964" s="170"/>
      <c r="F964" s="53"/>
      <c r="G964" s="53"/>
      <c r="H964" s="53"/>
      <c r="I964" s="171"/>
      <c r="J964" s="170"/>
      <c r="K964" s="53"/>
      <c r="L964" s="53"/>
      <c r="M964" s="53"/>
      <c r="N964" s="171"/>
      <c r="O964" s="170"/>
      <c r="P964" s="53"/>
      <c r="Q964" s="53"/>
      <c r="R964" s="53"/>
      <c r="S964" s="171"/>
      <c r="T964" s="170"/>
      <c r="U964" s="53"/>
      <c r="V964" s="53"/>
      <c r="W964" s="53"/>
      <c r="X964" s="171"/>
      <c r="Y964" s="170"/>
      <c r="Z964" s="170"/>
      <c r="AA964" s="170"/>
      <c r="AB964" s="170"/>
      <c r="AC964" s="170"/>
      <c r="AD964" s="53"/>
      <c r="AE964" s="53"/>
    </row>
    <row r="965">
      <c r="A965" s="53"/>
      <c r="B965" s="53"/>
      <c r="C965" s="168"/>
      <c r="D965" s="169"/>
      <c r="E965" s="170"/>
      <c r="F965" s="53"/>
      <c r="G965" s="53"/>
      <c r="H965" s="53"/>
      <c r="I965" s="171"/>
      <c r="J965" s="170"/>
      <c r="K965" s="53"/>
      <c r="L965" s="53"/>
      <c r="M965" s="53"/>
      <c r="N965" s="171"/>
      <c r="O965" s="170"/>
      <c r="P965" s="53"/>
      <c r="Q965" s="53"/>
      <c r="R965" s="53"/>
      <c r="S965" s="171"/>
      <c r="T965" s="170"/>
      <c r="U965" s="53"/>
      <c r="V965" s="53"/>
      <c r="W965" s="53"/>
      <c r="X965" s="171"/>
      <c r="Y965" s="170"/>
      <c r="Z965" s="170"/>
      <c r="AA965" s="170"/>
      <c r="AB965" s="170"/>
      <c r="AC965" s="170"/>
      <c r="AD965" s="53"/>
      <c r="AE965" s="53"/>
    </row>
    <row r="966">
      <c r="A966" s="53"/>
      <c r="B966" s="53"/>
      <c r="C966" s="168"/>
      <c r="D966" s="169"/>
      <c r="E966" s="170"/>
      <c r="F966" s="53"/>
      <c r="G966" s="53"/>
      <c r="H966" s="53"/>
      <c r="I966" s="171"/>
      <c r="J966" s="170"/>
      <c r="K966" s="53"/>
      <c r="L966" s="53"/>
      <c r="M966" s="53"/>
      <c r="N966" s="171"/>
      <c r="O966" s="170"/>
      <c r="P966" s="53"/>
      <c r="Q966" s="53"/>
      <c r="R966" s="53"/>
      <c r="S966" s="171"/>
      <c r="T966" s="170"/>
      <c r="U966" s="53"/>
      <c r="V966" s="53"/>
      <c r="W966" s="53"/>
      <c r="X966" s="171"/>
      <c r="Y966" s="170"/>
      <c r="Z966" s="170"/>
      <c r="AA966" s="170"/>
      <c r="AB966" s="170"/>
      <c r="AC966" s="170"/>
      <c r="AD966" s="53"/>
      <c r="AE966" s="53"/>
    </row>
    <row r="967">
      <c r="A967" s="53"/>
      <c r="B967" s="53"/>
      <c r="C967" s="168"/>
      <c r="D967" s="169"/>
      <c r="E967" s="170"/>
      <c r="F967" s="53"/>
      <c r="G967" s="53"/>
      <c r="H967" s="53"/>
      <c r="I967" s="171"/>
      <c r="J967" s="170"/>
      <c r="K967" s="53"/>
      <c r="L967" s="53"/>
      <c r="M967" s="53"/>
      <c r="N967" s="171"/>
      <c r="O967" s="170"/>
      <c r="P967" s="53"/>
      <c r="Q967" s="53"/>
      <c r="R967" s="53"/>
      <c r="S967" s="171"/>
      <c r="T967" s="170"/>
      <c r="U967" s="53"/>
      <c r="V967" s="53"/>
      <c r="W967" s="53"/>
      <c r="X967" s="171"/>
      <c r="Y967" s="170"/>
      <c r="Z967" s="170"/>
      <c r="AA967" s="170"/>
      <c r="AB967" s="170"/>
      <c r="AC967" s="170"/>
      <c r="AD967" s="53"/>
      <c r="AE967" s="53"/>
    </row>
    <row r="968">
      <c r="A968" s="53"/>
      <c r="B968" s="53"/>
      <c r="C968" s="168"/>
      <c r="D968" s="169"/>
      <c r="E968" s="170"/>
      <c r="F968" s="53"/>
      <c r="G968" s="53"/>
      <c r="H968" s="53"/>
      <c r="I968" s="171"/>
      <c r="J968" s="170"/>
      <c r="K968" s="53"/>
      <c r="L968" s="53"/>
      <c r="M968" s="53"/>
      <c r="N968" s="171"/>
      <c r="O968" s="170"/>
      <c r="P968" s="53"/>
      <c r="Q968" s="53"/>
      <c r="R968" s="53"/>
      <c r="S968" s="171"/>
      <c r="T968" s="170"/>
      <c r="U968" s="53"/>
      <c r="V968" s="53"/>
      <c r="W968" s="53"/>
      <c r="X968" s="171"/>
      <c r="Y968" s="170"/>
      <c r="Z968" s="170"/>
      <c r="AA968" s="170"/>
      <c r="AB968" s="170"/>
      <c r="AC968" s="170"/>
      <c r="AD968" s="53"/>
      <c r="AE968" s="53"/>
    </row>
    <row r="969">
      <c r="A969" s="53"/>
      <c r="B969" s="53"/>
      <c r="C969" s="168"/>
      <c r="D969" s="169"/>
      <c r="E969" s="170"/>
      <c r="F969" s="53"/>
      <c r="G969" s="53"/>
      <c r="H969" s="53"/>
      <c r="I969" s="171"/>
      <c r="J969" s="170"/>
      <c r="K969" s="53"/>
      <c r="L969" s="53"/>
      <c r="M969" s="53"/>
      <c r="N969" s="171"/>
      <c r="O969" s="170"/>
      <c r="P969" s="53"/>
      <c r="Q969" s="53"/>
      <c r="R969" s="53"/>
      <c r="S969" s="171"/>
      <c r="T969" s="170"/>
      <c r="U969" s="53"/>
      <c r="V969" s="53"/>
      <c r="W969" s="53"/>
      <c r="X969" s="171"/>
      <c r="Y969" s="170"/>
      <c r="Z969" s="170"/>
      <c r="AA969" s="170"/>
      <c r="AB969" s="170"/>
      <c r="AC969" s="170"/>
      <c r="AD969" s="53"/>
      <c r="AE969" s="53"/>
    </row>
    <row r="970">
      <c r="A970" s="53"/>
      <c r="B970" s="53"/>
      <c r="C970" s="168"/>
      <c r="D970" s="169"/>
      <c r="E970" s="170"/>
      <c r="F970" s="53"/>
      <c r="G970" s="53"/>
      <c r="H970" s="53"/>
      <c r="I970" s="171"/>
      <c r="J970" s="170"/>
      <c r="K970" s="53"/>
      <c r="L970" s="53"/>
      <c r="M970" s="53"/>
      <c r="N970" s="171"/>
      <c r="O970" s="170"/>
      <c r="P970" s="53"/>
      <c r="Q970" s="53"/>
      <c r="R970" s="53"/>
      <c r="S970" s="171"/>
      <c r="T970" s="170"/>
      <c r="U970" s="53"/>
      <c r="V970" s="53"/>
      <c r="W970" s="53"/>
      <c r="X970" s="171"/>
      <c r="Y970" s="170"/>
      <c r="Z970" s="170"/>
      <c r="AA970" s="170"/>
      <c r="AB970" s="170"/>
      <c r="AC970" s="170"/>
      <c r="AD970" s="53"/>
      <c r="AE970" s="53"/>
    </row>
    <row r="971">
      <c r="A971" s="53"/>
      <c r="B971" s="53"/>
      <c r="C971" s="168"/>
      <c r="D971" s="169"/>
      <c r="E971" s="170"/>
      <c r="F971" s="53"/>
      <c r="G971" s="53"/>
      <c r="H971" s="53"/>
      <c r="I971" s="171"/>
      <c r="J971" s="170"/>
      <c r="K971" s="53"/>
      <c r="L971" s="53"/>
      <c r="M971" s="53"/>
      <c r="N971" s="171"/>
      <c r="O971" s="170"/>
      <c r="P971" s="53"/>
      <c r="Q971" s="53"/>
      <c r="R971" s="53"/>
      <c r="S971" s="171"/>
      <c r="T971" s="170"/>
      <c r="U971" s="53"/>
      <c r="V971" s="53"/>
      <c r="W971" s="53"/>
      <c r="X971" s="171"/>
      <c r="Y971" s="170"/>
      <c r="Z971" s="170"/>
      <c r="AA971" s="170"/>
      <c r="AB971" s="170"/>
      <c r="AC971" s="170"/>
      <c r="AD971" s="53"/>
      <c r="AE971" s="53"/>
    </row>
    <row r="972">
      <c r="A972" s="53"/>
      <c r="B972" s="53"/>
      <c r="C972" s="168"/>
      <c r="D972" s="169"/>
      <c r="E972" s="170"/>
      <c r="F972" s="53"/>
      <c r="G972" s="53"/>
      <c r="H972" s="53"/>
      <c r="I972" s="171"/>
      <c r="J972" s="170"/>
      <c r="K972" s="53"/>
      <c r="L972" s="53"/>
      <c r="M972" s="53"/>
      <c r="N972" s="171"/>
      <c r="O972" s="170"/>
      <c r="P972" s="53"/>
      <c r="Q972" s="53"/>
      <c r="R972" s="53"/>
      <c r="S972" s="171"/>
      <c r="T972" s="170"/>
      <c r="U972" s="53"/>
      <c r="V972" s="53"/>
      <c r="W972" s="53"/>
      <c r="X972" s="171"/>
      <c r="Y972" s="170"/>
      <c r="Z972" s="170"/>
      <c r="AA972" s="170"/>
      <c r="AB972" s="170"/>
      <c r="AC972" s="170"/>
      <c r="AD972" s="53"/>
      <c r="AE972" s="53"/>
    </row>
    <row r="973">
      <c r="A973" s="53"/>
      <c r="B973" s="53"/>
      <c r="C973" s="168"/>
      <c r="D973" s="169"/>
      <c r="E973" s="170"/>
      <c r="F973" s="53"/>
      <c r="G973" s="53"/>
      <c r="H973" s="53"/>
      <c r="I973" s="171"/>
      <c r="J973" s="170"/>
      <c r="K973" s="53"/>
      <c r="L973" s="53"/>
      <c r="M973" s="53"/>
      <c r="N973" s="171"/>
      <c r="O973" s="170"/>
      <c r="P973" s="53"/>
      <c r="Q973" s="53"/>
      <c r="R973" s="53"/>
      <c r="S973" s="171"/>
      <c r="T973" s="170"/>
      <c r="U973" s="53"/>
      <c r="V973" s="53"/>
      <c r="W973" s="53"/>
      <c r="X973" s="171"/>
      <c r="Y973" s="170"/>
      <c r="Z973" s="170"/>
      <c r="AA973" s="170"/>
      <c r="AB973" s="170"/>
      <c r="AC973" s="170"/>
      <c r="AD973" s="53"/>
      <c r="AE973" s="53"/>
    </row>
    <row r="974">
      <c r="A974" s="53"/>
      <c r="B974" s="53"/>
      <c r="C974" s="168"/>
      <c r="D974" s="169"/>
      <c r="E974" s="170"/>
      <c r="F974" s="53"/>
      <c r="G974" s="53"/>
      <c r="H974" s="53"/>
      <c r="I974" s="171"/>
      <c r="J974" s="170"/>
      <c r="K974" s="53"/>
      <c r="L974" s="53"/>
      <c r="M974" s="53"/>
      <c r="N974" s="171"/>
      <c r="O974" s="170"/>
      <c r="P974" s="53"/>
      <c r="Q974" s="53"/>
      <c r="R974" s="53"/>
      <c r="S974" s="171"/>
      <c r="T974" s="170"/>
      <c r="U974" s="53"/>
      <c r="V974" s="53"/>
      <c r="W974" s="53"/>
      <c r="X974" s="171"/>
      <c r="Y974" s="170"/>
      <c r="Z974" s="170"/>
      <c r="AA974" s="170"/>
      <c r="AB974" s="170"/>
      <c r="AC974" s="170"/>
      <c r="AD974" s="53"/>
      <c r="AE974" s="53"/>
    </row>
    <row r="975">
      <c r="A975" s="53"/>
      <c r="B975" s="53"/>
      <c r="C975" s="168"/>
      <c r="D975" s="169"/>
      <c r="E975" s="170"/>
      <c r="F975" s="53"/>
      <c r="G975" s="53"/>
      <c r="H975" s="53"/>
      <c r="I975" s="171"/>
      <c r="J975" s="170"/>
      <c r="K975" s="53"/>
      <c r="L975" s="53"/>
      <c r="M975" s="53"/>
      <c r="N975" s="171"/>
      <c r="O975" s="170"/>
      <c r="P975" s="53"/>
      <c r="Q975" s="53"/>
      <c r="R975" s="53"/>
      <c r="S975" s="171"/>
      <c r="T975" s="170"/>
      <c r="U975" s="53"/>
      <c r="V975" s="53"/>
      <c r="W975" s="53"/>
      <c r="X975" s="171"/>
      <c r="Y975" s="170"/>
      <c r="Z975" s="170"/>
      <c r="AA975" s="170"/>
      <c r="AB975" s="170"/>
      <c r="AC975" s="170"/>
      <c r="AD975" s="53"/>
      <c r="AE975" s="53"/>
    </row>
    <row r="976">
      <c r="A976" s="53"/>
      <c r="B976" s="53"/>
      <c r="C976" s="168"/>
      <c r="D976" s="169"/>
      <c r="E976" s="170"/>
      <c r="F976" s="53"/>
      <c r="G976" s="53"/>
      <c r="H976" s="53"/>
      <c r="I976" s="171"/>
      <c r="J976" s="170"/>
      <c r="K976" s="53"/>
      <c r="L976" s="53"/>
      <c r="M976" s="53"/>
      <c r="N976" s="171"/>
      <c r="O976" s="170"/>
      <c r="P976" s="53"/>
      <c r="Q976" s="53"/>
      <c r="R976" s="53"/>
      <c r="S976" s="171"/>
      <c r="T976" s="170"/>
      <c r="U976" s="53"/>
      <c r="V976" s="53"/>
      <c r="W976" s="53"/>
      <c r="X976" s="171"/>
      <c r="Y976" s="170"/>
      <c r="Z976" s="170"/>
      <c r="AA976" s="170"/>
      <c r="AB976" s="170"/>
      <c r="AC976" s="170"/>
      <c r="AD976" s="53"/>
      <c r="AE976" s="53"/>
    </row>
    <row r="977">
      <c r="A977" s="53"/>
      <c r="B977" s="53"/>
      <c r="C977" s="168"/>
      <c r="D977" s="169"/>
      <c r="E977" s="170"/>
      <c r="F977" s="53"/>
      <c r="G977" s="53"/>
      <c r="H977" s="53"/>
      <c r="I977" s="171"/>
      <c r="J977" s="170"/>
      <c r="K977" s="53"/>
      <c r="L977" s="53"/>
      <c r="M977" s="53"/>
      <c r="N977" s="171"/>
      <c r="O977" s="170"/>
      <c r="P977" s="53"/>
      <c r="Q977" s="53"/>
      <c r="R977" s="53"/>
      <c r="S977" s="171"/>
      <c r="T977" s="170"/>
      <c r="U977" s="53"/>
      <c r="V977" s="53"/>
      <c r="W977" s="53"/>
      <c r="X977" s="171"/>
      <c r="Y977" s="170"/>
      <c r="Z977" s="170"/>
      <c r="AA977" s="170"/>
      <c r="AB977" s="170"/>
      <c r="AC977" s="170"/>
      <c r="AD977" s="53"/>
      <c r="AE977" s="53"/>
    </row>
    <row r="978">
      <c r="A978" s="53"/>
      <c r="B978" s="53"/>
      <c r="C978" s="168"/>
      <c r="D978" s="169"/>
      <c r="E978" s="170"/>
      <c r="F978" s="53"/>
      <c r="G978" s="53"/>
      <c r="H978" s="53"/>
      <c r="I978" s="171"/>
      <c r="J978" s="170"/>
      <c r="K978" s="53"/>
      <c r="L978" s="53"/>
      <c r="M978" s="53"/>
      <c r="N978" s="171"/>
      <c r="O978" s="170"/>
      <c r="P978" s="53"/>
      <c r="Q978" s="53"/>
      <c r="R978" s="53"/>
      <c r="S978" s="171"/>
      <c r="T978" s="170"/>
      <c r="U978" s="53"/>
      <c r="V978" s="53"/>
      <c r="W978" s="53"/>
      <c r="X978" s="171"/>
      <c r="Y978" s="170"/>
      <c r="Z978" s="170"/>
      <c r="AA978" s="170"/>
      <c r="AB978" s="170"/>
      <c r="AC978" s="170"/>
      <c r="AD978" s="53"/>
      <c r="AE978" s="53"/>
    </row>
    <row r="979">
      <c r="A979" s="53"/>
      <c r="B979" s="53"/>
      <c r="C979" s="168"/>
      <c r="D979" s="169"/>
      <c r="E979" s="170"/>
      <c r="F979" s="53"/>
      <c r="G979" s="53"/>
      <c r="H979" s="53"/>
      <c r="I979" s="171"/>
      <c r="J979" s="170"/>
      <c r="K979" s="53"/>
      <c r="L979" s="53"/>
      <c r="M979" s="53"/>
      <c r="N979" s="171"/>
      <c r="O979" s="170"/>
      <c r="P979" s="53"/>
      <c r="Q979" s="53"/>
      <c r="R979" s="53"/>
      <c r="S979" s="171"/>
      <c r="T979" s="170"/>
      <c r="U979" s="53"/>
      <c r="V979" s="53"/>
      <c r="W979" s="53"/>
      <c r="X979" s="171"/>
      <c r="Y979" s="170"/>
      <c r="Z979" s="170"/>
      <c r="AA979" s="170"/>
      <c r="AB979" s="170"/>
      <c r="AC979" s="170"/>
      <c r="AD979" s="53"/>
      <c r="AE979" s="53"/>
    </row>
    <row r="980">
      <c r="A980" s="53"/>
      <c r="B980" s="53"/>
      <c r="C980" s="168"/>
      <c r="D980" s="169"/>
      <c r="E980" s="170"/>
      <c r="F980" s="53"/>
      <c r="G980" s="53"/>
      <c r="H980" s="53"/>
      <c r="I980" s="171"/>
      <c r="J980" s="170"/>
      <c r="K980" s="53"/>
      <c r="L980" s="53"/>
      <c r="M980" s="53"/>
      <c r="N980" s="171"/>
      <c r="O980" s="170"/>
      <c r="P980" s="53"/>
      <c r="Q980" s="53"/>
      <c r="R980" s="53"/>
      <c r="S980" s="171"/>
      <c r="T980" s="170"/>
      <c r="U980" s="53"/>
      <c r="V980" s="53"/>
      <c r="W980" s="53"/>
      <c r="X980" s="171"/>
      <c r="Y980" s="170"/>
      <c r="Z980" s="170"/>
      <c r="AA980" s="170"/>
      <c r="AB980" s="170"/>
      <c r="AC980" s="170"/>
      <c r="AD980" s="53"/>
      <c r="AE980" s="53"/>
    </row>
    <row r="981">
      <c r="A981" s="53"/>
      <c r="B981" s="53"/>
      <c r="C981" s="168"/>
      <c r="D981" s="169"/>
      <c r="E981" s="170"/>
      <c r="F981" s="53"/>
      <c r="G981" s="53"/>
      <c r="H981" s="53"/>
      <c r="I981" s="171"/>
      <c r="J981" s="170"/>
      <c r="K981" s="53"/>
      <c r="L981" s="53"/>
      <c r="M981" s="53"/>
      <c r="N981" s="171"/>
      <c r="O981" s="170"/>
      <c r="P981" s="53"/>
      <c r="Q981" s="53"/>
      <c r="R981" s="53"/>
      <c r="S981" s="171"/>
      <c r="T981" s="170"/>
      <c r="U981" s="53"/>
      <c r="V981" s="53"/>
      <c r="W981" s="53"/>
      <c r="X981" s="171"/>
      <c r="Y981" s="170"/>
      <c r="Z981" s="170"/>
      <c r="AA981" s="170"/>
      <c r="AB981" s="170"/>
      <c r="AC981" s="170"/>
      <c r="AD981" s="53"/>
      <c r="AE981" s="53"/>
    </row>
    <row r="982">
      <c r="A982" s="53"/>
      <c r="B982" s="53"/>
      <c r="C982" s="168"/>
      <c r="D982" s="169"/>
      <c r="E982" s="170"/>
      <c r="F982" s="53"/>
      <c r="G982" s="53"/>
      <c r="H982" s="53"/>
      <c r="I982" s="171"/>
      <c r="J982" s="170"/>
      <c r="K982" s="53"/>
      <c r="L982" s="53"/>
      <c r="M982" s="53"/>
      <c r="N982" s="171"/>
      <c r="O982" s="170"/>
      <c r="P982" s="53"/>
      <c r="Q982" s="53"/>
      <c r="R982" s="53"/>
      <c r="S982" s="171"/>
      <c r="T982" s="170"/>
      <c r="U982" s="53"/>
      <c r="V982" s="53"/>
      <c r="W982" s="53"/>
      <c r="X982" s="171"/>
      <c r="Y982" s="170"/>
      <c r="Z982" s="170"/>
      <c r="AA982" s="170"/>
      <c r="AB982" s="170"/>
      <c r="AC982" s="170"/>
      <c r="AD982" s="53"/>
      <c r="AE982" s="53"/>
    </row>
    <row r="983">
      <c r="A983" s="53"/>
      <c r="B983" s="53"/>
      <c r="C983" s="168"/>
      <c r="D983" s="169"/>
      <c r="E983" s="170"/>
      <c r="F983" s="53"/>
      <c r="G983" s="53"/>
      <c r="H983" s="53"/>
      <c r="I983" s="171"/>
      <c r="J983" s="170"/>
      <c r="K983" s="53"/>
      <c r="L983" s="53"/>
      <c r="M983" s="53"/>
      <c r="N983" s="171"/>
      <c r="O983" s="170"/>
      <c r="P983" s="53"/>
      <c r="Q983" s="53"/>
      <c r="R983" s="53"/>
      <c r="S983" s="171"/>
      <c r="T983" s="170"/>
      <c r="U983" s="53"/>
      <c r="V983" s="53"/>
      <c r="W983" s="53"/>
      <c r="X983" s="171"/>
      <c r="Y983" s="170"/>
      <c r="Z983" s="170"/>
      <c r="AA983" s="170"/>
      <c r="AB983" s="170"/>
      <c r="AC983" s="170"/>
      <c r="AD983" s="53"/>
      <c r="AE983" s="53"/>
    </row>
    <row r="984">
      <c r="A984" s="53"/>
      <c r="B984" s="53"/>
      <c r="C984" s="168"/>
      <c r="D984" s="169"/>
      <c r="E984" s="170"/>
      <c r="F984" s="53"/>
      <c r="G984" s="53"/>
      <c r="H984" s="53"/>
      <c r="I984" s="171"/>
      <c r="J984" s="170"/>
      <c r="K984" s="53"/>
      <c r="L984" s="53"/>
      <c r="M984" s="53"/>
      <c r="N984" s="171"/>
      <c r="O984" s="170"/>
      <c r="P984" s="53"/>
      <c r="Q984" s="53"/>
      <c r="R984" s="53"/>
      <c r="S984" s="171"/>
      <c r="T984" s="170"/>
      <c r="U984" s="53"/>
      <c r="V984" s="53"/>
      <c r="W984" s="53"/>
      <c r="X984" s="171"/>
      <c r="Y984" s="170"/>
      <c r="Z984" s="170"/>
      <c r="AA984" s="170"/>
      <c r="AB984" s="170"/>
      <c r="AC984" s="170"/>
      <c r="AD984" s="53"/>
      <c r="AE984" s="53"/>
    </row>
    <row r="985">
      <c r="A985" s="53"/>
      <c r="B985" s="53"/>
      <c r="C985" s="168"/>
      <c r="D985" s="169"/>
      <c r="E985" s="170"/>
      <c r="F985" s="53"/>
      <c r="G985" s="53"/>
      <c r="H985" s="53"/>
      <c r="I985" s="171"/>
      <c r="J985" s="170"/>
      <c r="K985" s="53"/>
      <c r="L985" s="53"/>
      <c r="M985" s="53"/>
      <c r="N985" s="171"/>
      <c r="O985" s="170"/>
      <c r="P985" s="53"/>
      <c r="Q985" s="53"/>
      <c r="R985" s="53"/>
      <c r="S985" s="171"/>
      <c r="T985" s="170"/>
      <c r="U985" s="53"/>
      <c r="V985" s="53"/>
      <c r="W985" s="53"/>
      <c r="X985" s="171"/>
      <c r="Y985" s="170"/>
      <c r="Z985" s="170"/>
      <c r="AA985" s="170"/>
      <c r="AB985" s="170"/>
      <c r="AC985" s="170"/>
      <c r="AD985" s="53"/>
      <c r="AE985" s="53"/>
    </row>
    <row r="986">
      <c r="A986" s="53"/>
      <c r="B986" s="53"/>
      <c r="C986" s="168"/>
      <c r="D986" s="169"/>
      <c r="E986" s="170"/>
      <c r="F986" s="53"/>
      <c r="G986" s="53"/>
      <c r="H986" s="53"/>
      <c r="I986" s="171"/>
      <c r="J986" s="170"/>
      <c r="K986" s="53"/>
      <c r="L986" s="53"/>
      <c r="M986" s="53"/>
      <c r="N986" s="171"/>
      <c r="O986" s="170"/>
      <c r="P986" s="53"/>
      <c r="Q986" s="53"/>
      <c r="R986" s="53"/>
      <c r="S986" s="171"/>
      <c r="T986" s="170"/>
      <c r="U986" s="53"/>
      <c r="V986" s="53"/>
      <c r="W986" s="53"/>
      <c r="X986" s="171"/>
      <c r="Y986" s="170"/>
      <c r="Z986" s="170"/>
      <c r="AA986" s="170"/>
      <c r="AB986" s="170"/>
      <c r="AC986" s="170"/>
      <c r="AD986" s="53"/>
      <c r="AE986" s="53"/>
    </row>
    <row r="987">
      <c r="A987" s="53"/>
      <c r="B987" s="53"/>
      <c r="C987" s="168"/>
      <c r="D987" s="169"/>
      <c r="E987" s="170"/>
      <c r="F987" s="53"/>
      <c r="G987" s="53"/>
      <c r="H987" s="53"/>
      <c r="I987" s="171"/>
      <c r="J987" s="170"/>
      <c r="K987" s="53"/>
      <c r="L987" s="53"/>
      <c r="M987" s="53"/>
      <c r="N987" s="171"/>
      <c r="O987" s="170"/>
      <c r="P987" s="53"/>
      <c r="Q987" s="53"/>
      <c r="R987" s="53"/>
      <c r="S987" s="171"/>
      <c r="T987" s="170"/>
      <c r="U987" s="53"/>
      <c r="V987" s="53"/>
      <c r="W987" s="53"/>
      <c r="X987" s="171"/>
      <c r="Y987" s="170"/>
      <c r="Z987" s="170"/>
      <c r="AA987" s="170"/>
      <c r="AB987" s="170"/>
      <c r="AC987" s="170"/>
      <c r="AD987" s="53"/>
      <c r="AE987" s="53"/>
    </row>
    <row r="988">
      <c r="A988" s="53"/>
      <c r="B988" s="53"/>
      <c r="C988" s="168"/>
      <c r="D988" s="169"/>
      <c r="E988" s="170"/>
      <c r="F988" s="53"/>
      <c r="G988" s="53"/>
      <c r="H988" s="53"/>
      <c r="I988" s="171"/>
      <c r="J988" s="170"/>
      <c r="K988" s="53"/>
      <c r="L988" s="53"/>
      <c r="M988" s="53"/>
      <c r="N988" s="171"/>
      <c r="O988" s="170"/>
      <c r="P988" s="53"/>
      <c r="Q988" s="53"/>
      <c r="R988" s="53"/>
      <c r="S988" s="171"/>
      <c r="T988" s="170"/>
      <c r="U988" s="53"/>
      <c r="V988" s="53"/>
      <c r="W988" s="53"/>
      <c r="X988" s="171"/>
      <c r="Y988" s="170"/>
      <c r="Z988" s="170"/>
      <c r="AA988" s="170"/>
      <c r="AB988" s="170"/>
      <c r="AC988" s="170"/>
      <c r="AD988" s="53"/>
      <c r="AE988" s="53"/>
    </row>
    <row r="989">
      <c r="A989" s="53"/>
      <c r="B989" s="53"/>
      <c r="C989" s="168"/>
      <c r="D989" s="169"/>
      <c r="E989" s="170"/>
      <c r="F989" s="53"/>
      <c r="G989" s="53"/>
      <c r="H989" s="53"/>
      <c r="I989" s="171"/>
      <c r="J989" s="170"/>
      <c r="K989" s="53"/>
      <c r="L989" s="53"/>
      <c r="M989" s="53"/>
      <c r="N989" s="171"/>
      <c r="O989" s="170"/>
      <c r="P989" s="53"/>
      <c r="Q989" s="53"/>
      <c r="R989" s="53"/>
      <c r="S989" s="171"/>
      <c r="T989" s="170"/>
      <c r="U989" s="53"/>
      <c r="V989" s="53"/>
      <c r="W989" s="53"/>
      <c r="X989" s="171"/>
      <c r="Y989" s="170"/>
      <c r="Z989" s="170"/>
      <c r="AA989" s="170"/>
      <c r="AB989" s="170"/>
      <c r="AC989" s="170"/>
      <c r="AD989" s="53"/>
      <c r="AE989" s="53"/>
    </row>
    <row r="990">
      <c r="A990" s="53"/>
      <c r="B990" s="53"/>
      <c r="C990" s="168"/>
      <c r="D990" s="169"/>
      <c r="E990" s="170"/>
      <c r="F990" s="53"/>
      <c r="G990" s="53"/>
      <c r="H990" s="53"/>
      <c r="I990" s="171"/>
      <c r="J990" s="170"/>
      <c r="K990" s="53"/>
      <c r="L990" s="53"/>
      <c r="M990" s="53"/>
      <c r="N990" s="171"/>
      <c r="O990" s="170"/>
      <c r="P990" s="53"/>
      <c r="Q990" s="53"/>
      <c r="R990" s="53"/>
      <c r="S990" s="171"/>
      <c r="T990" s="170"/>
      <c r="U990" s="53"/>
      <c r="V990" s="53"/>
      <c r="W990" s="53"/>
      <c r="X990" s="171"/>
      <c r="Y990" s="170"/>
      <c r="Z990" s="170"/>
      <c r="AA990" s="170"/>
      <c r="AB990" s="170"/>
      <c r="AC990" s="170"/>
      <c r="AD990" s="53"/>
      <c r="AE990" s="53"/>
    </row>
    <row r="991">
      <c r="A991" s="53"/>
      <c r="B991" s="53"/>
      <c r="C991" s="168"/>
      <c r="D991" s="169"/>
      <c r="E991" s="170"/>
      <c r="F991" s="53"/>
      <c r="G991" s="53"/>
      <c r="H991" s="53"/>
      <c r="I991" s="171"/>
      <c r="J991" s="170"/>
      <c r="K991" s="53"/>
      <c r="L991" s="53"/>
      <c r="M991" s="53"/>
      <c r="N991" s="171"/>
      <c r="O991" s="170"/>
      <c r="P991" s="53"/>
      <c r="Q991" s="53"/>
      <c r="R991" s="53"/>
      <c r="S991" s="171"/>
      <c r="T991" s="170"/>
      <c r="U991" s="53"/>
      <c r="V991" s="53"/>
      <c r="W991" s="53"/>
      <c r="X991" s="171"/>
      <c r="Y991" s="170"/>
      <c r="Z991" s="170"/>
      <c r="AA991" s="170"/>
      <c r="AB991" s="170"/>
      <c r="AC991" s="170"/>
      <c r="AD991" s="53"/>
      <c r="AE991" s="53"/>
    </row>
    <row r="992">
      <c r="A992" s="53"/>
      <c r="B992" s="53"/>
      <c r="C992" s="168"/>
      <c r="D992" s="169"/>
      <c r="E992" s="170"/>
      <c r="F992" s="53"/>
      <c r="G992" s="53"/>
      <c r="H992" s="53"/>
      <c r="I992" s="171"/>
      <c r="J992" s="170"/>
      <c r="K992" s="53"/>
      <c r="L992" s="53"/>
      <c r="M992" s="53"/>
      <c r="N992" s="171"/>
      <c r="O992" s="170"/>
      <c r="P992" s="53"/>
      <c r="Q992" s="53"/>
      <c r="R992" s="53"/>
      <c r="S992" s="171"/>
      <c r="T992" s="170"/>
      <c r="U992" s="53"/>
      <c r="V992" s="53"/>
      <c r="W992" s="53"/>
      <c r="X992" s="171"/>
      <c r="Y992" s="170"/>
      <c r="Z992" s="170"/>
      <c r="AA992" s="170"/>
      <c r="AB992" s="170"/>
      <c r="AC992" s="170"/>
      <c r="AD992" s="53"/>
      <c r="AE992" s="53"/>
    </row>
    <row r="993">
      <c r="A993" s="53"/>
      <c r="B993" s="53"/>
      <c r="C993" s="168"/>
      <c r="D993" s="169"/>
      <c r="E993" s="170"/>
      <c r="F993" s="53"/>
      <c r="G993" s="53"/>
      <c r="H993" s="53"/>
      <c r="I993" s="171"/>
      <c r="J993" s="170"/>
      <c r="K993" s="53"/>
      <c r="L993" s="53"/>
      <c r="M993" s="53"/>
      <c r="N993" s="171"/>
      <c r="O993" s="170"/>
      <c r="P993" s="53"/>
      <c r="Q993" s="53"/>
      <c r="R993" s="53"/>
      <c r="S993" s="171"/>
      <c r="T993" s="170"/>
      <c r="U993" s="53"/>
      <c r="V993" s="53"/>
      <c r="W993" s="53"/>
      <c r="X993" s="171"/>
      <c r="Y993" s="170"/>
      <c r="Z993" s="170"/>
      <c r="AA993" s="170"/>
      <c r="AB993" s="170"/>
      <c r="AC993" s="170"/>
      <c r="AD993" s="53"/>
      <c r="AE993" s="53"/>
    </row>
    <row r="994">
      <c r="A994" s="53"/>
      <c r="B994" s="53"/>
      <c r="C994" s="168"/>
      <c r="D994" s="169"/>
      <c r="E994" s="170"/>
      <c r="F994" s="53"/>
      <c r="G994" s="53"/>
      <c r="H994" s="53"/>
      <c r="I994" s="171"/>
      <c r="J994" s="170"/>
      <c r="K994" s="53"/>
      <c r="L994" s="53"/>
      <c r="M994" s="53"/>
      <c r="N994" s="171"/>
      <c r="O994" s="170"/>
      <c r="P994" s="53"/>
      <c r="Q994" s="53"/>
      <c r="R994" s="53"/>
      <c r="S994" s="171"/>
      <c r="T994" s="170"/>
      <c r="U994" s="53"/>
      <c r="V994" s="53"/>
      <c r="W994" s="53"/>
      <c r="X994" s="171"/>
      <c r="Y994" s="170"/>
      <c r="Z994" s="170"/>
      <c r="AA994" s="170"/>
      <c r="AB994" s="170"/>
      <c r="AC994" s="170"/>
      <c r="AD994" s="53"/>
      <c r="AE994" s="53"/>
    </row>
    <row r="995">
      <c r="A995" s="53"/>
      <c r="B995" s="53"/>
      <c r="C995" s="168"/>
      <c r="D995" s="169"/>
      <c r="E995" s="170"/>
      <c r="F995" s="53"/>
      <c r="G995" s="53"/>
      <c r="H995" s="53"/>
      <c r="I995" s="171"/>
      <c r="J995" s="170"/>
      <c r="K995" s="53"/>
      <c r="L995" s="53"/>
      <c r="M995" s="53"/>
      <c r="N995" s="171"/>
      <c r="O995" s="170"/>
      <c r="P995" s="53"/>
      <c r="Q995" s="53"/>
      <c r="R995" s="53"/>
      <c r="S995" s="171"/>
      <c r="T995" s="170"/>
      <c r="U995" s="53"/>
      <c r="V995" s="53"/>
      <c r="W995" s="53"/>
      <c r="X995" s="171"/>
      <c r="Y995" s="170"/>
      <c r="Z995" s="170"/>
      <c r="AA995" s="170"/>
      <c r="AB995" s="170"/>
      <c r="AC995" s="170"/>
      <c r="AD995" s="53"/>
      <c r="AE995" s="53"/>
    </row>
    <row r="996">
      <c r="A996" s="53"/>
      <c r="B996" s="53"/>
      <c r="C996" s="168"/>
      <c r="D996" s="169"/>
      <c r="E996" s="170"/>
      <c r="F996" s="53"/>
      <c r="G996" s="53"/>
      <c r="H996" s="53"/>
      <c r="I996" s="171"/>
      <c r="J996" s="170"/>
      <c r="K996" s="53"/>
      <c r="L996" s="53"/>
      <c r="M996" s="53"/>
      <c r="N996" s="171"/>
      <c r="O996" s="170"/>
      <c r="P996" s="53"/>
      <c r="Q996" s="53"/>
      <c r="R996" s="53"/>
      <c r="S996" s="171"/>
      <c r="T996" s="170"/>
      <c r="U996" s="53"/>
      <c r="V996" s="53"/>
      <c r="W996" s="53"/>
      <c r="X996" s="171"/>
      <c r="Y996" s="170"/>
      <c r="Z996" s="170"/>
      <c r="AA996" s="170"/>
      <c r="AB996" s="170"/>
      <c r="AC996" s="170"/>
      <c r="AD996" s="53"/>
      <c r="AE996" s="53"/>
    </row>
    <row r="997">
      <c r="A997" s="53"/>
      <c r="B997" s="53"/>
      <c r="C997" s="168"/>
      <c r="D997" s="169"/>
      <c r="E997" s="170"/>
      <c r="F997" s="53"/>
      <c r="G997" s="53"/>
      <c r="H997" s="53"/>
      <c r="I997" s="171"/>
      <c r="J997" s="170"/>
      <c r="K997" s="53"/>
      <c r="L997" s="53"/>
      <c r="M997" s="53"/>
      <c r="N997" s="171"/>
      <c r="O997" s="170"/>
      <c r="P997" s="53"/>
      <c r="Q997" s="53"/>
      <c r="R997" s="53"/>
      <c r="S997" s="171"/>
      <c r="T997" s="170"/>
      <c r="U997" s="53"/>
      <c r="V997" s="53"/>
      <c r="W997" s="53"/>
      <c r="X997" s="171"/>
      <c r="Y997" s="170"/>
      <c r="Z997" s="170"/>
      <c r="AA997" s="170"/>
      <c r="AB997" s="170"/>
      <c r="AC997" s="170"/>
      <c r="AD997" s="53"/>
      <c r="AE997" s="53"/>
    </row>
    <row r="998">
      <c r="A998" s="53"/>
      <c r="B998" s="53"/>
      <c r="C998" s="168"/>
      <c r="D998" s="169"/>
      <c r="E998" s="170"/>
      <c r="F998" s="53"/>
      <c r="G998" s="53"/>
      <c r="H998" s="53"/>
      <c r="I998" s="171"/>
      <c r="J998" s="170"/>
      <c r="K998" s="53"/>
      <c r="L998" s="53"/>
      <c r="M998" s="53"/>
      <c r="N998" s="171"/>
      <c r="O998" s="170"/>
      <c r="P998" s="53"/>
      <c r="Q998" s="53"/>
      <c r="R998" s="53"/>
      <c r="S998" s="171"/>
      <c r="T998" s="170"/>
      <c r="U998" s="53"/>
      <c r="V998" s="53"/>
      <c r="W998" s="53"/>
      <c r="X998" s="171"/>
      <c r="Y998" s="170"/>
      <c r="Z998" s="170"/>
      <c r="AA998" s="170"/>
      <c r="AB998" s="170"/>
      <c r="AC998" s="170"/>
      <c r="AD998" s="53"/>
      <c r="AE998" s="53"/>
    </row>
    <row r="999">
      <c r="A999" s="53"/>
      <c r="B999" s="53"/>
      <c r="C999" s="168"/>
      <c r="D999" s="169"/>
      <c r="E999" s="170"/>
      <c r="F999" s="53"/>
      <c r="G999" s="53"/>
      <c r="H999" s="53"/>
      <c r="I999" s="171"/>
      <c r="J999" s="170"/>
      <c r="K999" s="53"/>
      <c r="L999" s="53"/>
      <c r="M999" s="53"/>
      <c r="N999" s="171"/>
      <c r="O999" s="170"/>
      <c r="P999" s="53"/>
      <c r="Q999" s="53"/>
      <c r="R999" s="53"/>
      <c r="S999" s="171"/>
      <c r="T999" s="170"/>
      <c r="U999" s="53"/>
      <c r="V999" s="53"/>
      <c r="W999" s="53"/>
      <c r="X999" s="171"/>
      <c r="Y999" s="170"/>
      <c r="Z999" s="170"/>
      <c r="AA999" s="170"/>
      <c r="AB999" s="170"/>
      <c r="AC999" s="170"/>
      <c r="AD999" s="53"/>
      <c r="AE999" s="53"/>
    </row>
    <row r="1000">
      <c r="A1000" s="53"/>
      <c r="B1000" s="53"/>
      <c r="C1000" s="168"/>
      <c r="D1000" s="169"/>
      <c r="E1000" s="170"/>
      <c r="F1000" s="53"/>
      <c r="G1000" s="53"/>
      <c r="H1000" s="53"/>
      <c r="I1000" s="171"/>
      <c r="J1000" s="170"/>
      <c r="K1000" s="53"/>
      <c r="L1000" s="53"/>
      <c r="M1000" s="53"/>
      <c r="N1000" s="171"/>
      <c r="O1000" s="170"/>
      <c r="P1000" s="53"/>
      <c r="Q1000" s="53"/>
      <c r="R1000" s="53"/>
      <c r="S1000" s="171"/>
      <c r="T1000" s="170"/>
      <c r="U1000" s="53"/>
      <c r="V1000" s="53"/>
      <c r="W1000" s="53"/>
      <c r="X1000" s="171"/>
      <c r="Y1000" s="170"/>
      <c r="Z1000" s="170"/>
      <c r="AA1000" s="170"/>
      <c r="AB1000" s="170"/>
      <c r="AC1000" s="170"/>
      <c r="AD1000" s="53"/>
      <c r="AE1000" s="53"/>
    </row>
    <row r="1001">
      <c r="A1001" s="53"/>
      <c r="B1001" s="53"/>
      <c r="C1001" s="168"/>
      <c r="D1001" s="169"/>
      <c r="E1001" s="170"/>
      <c r="F1001" s="53"/>
      <c r="G1001" s="53"/>
      <c r="H1001" s="53"/>
      <c r="I1001" s="171"/>
      <c r="J1001" s="170"/>
      <c r="K1001" s="53"/>
      <c r="L1001" s="53"/>
      <c r="M1001" s="53"/>
      <c r="N1001" s="171"/>
      <c r="O1001" s="170"/>
      <c r="P1001" s="53"/>
      <c r="Q1001" s="53"/>
      <c r="R1001" s="53"/>
      <c r="S1001" s="171"/>
      <c r="T1001" s="170"/>
      <c r="U1001" s="53"/>
      <c r="V1001" s="53"/>
      <c r="W1001" s="53"/>
      <c r="X1001" s="171"/>
      <c r="Y1001" s="170"/>
      <c r="Z1001" s="170"/>
      <c r="AA1001" s="170"/>
      <c r="AB1001" s="170"/>
      <c r="AC1001" s="170"/>
      <c r="AD1001" s="53"/>
      <c r="AE1001" s="53"/>
    </row>
    <row r="1002">
      <c r="A1002" s="53"/>
      <c r="B1002" s="53"/>
      <c r="C1002" s="168"/>
      <c r="D1002" s="169"/>
      <c r="E1002" s="170"/>
      <c r="F1002" s="53"/>
      <c r="G1002" s="53"/>
      <c r="H1002" s="53"/>
      <c r="I1002" s="171"/>
      <c r="J1002" s="170"/>
      <c r="K1002" s="53"/>
      <c r="L1002" s="53"/>
      <c r="M1002" s="53"/>
      <c r="N1002" s="171"/>
      <c r="O1002" s="170"/>
      <c r="P1002" s="53"/>
      <c r="Q1002" s="53"/>
      <c r="R1002" s="53"/>
      <c r="S1002" s="171"/>
      <c r="T1002" s="170"/>
      <c r="U1002" s="53"/>
      <c r="V1002" s="53"/>
      <c r="W1002" s="53"/>
      <c r="X1002" s="171"/>
      <c r="Y1002" s="170"/>
      <c r="Z1002" s="170"/>
      <c r="AA1002" s="170"/>
      <c r="AB1002" s="170"/>
      <c r="AC1002" s="170"/>
      <c r="AD1002" s="53"/>
      <c r="AE1002" s="53"/>
    </row>
    <row r="1003">
      <c r="A1003" s="53"/>
      <c r="B1003" s="53"/>
      <c r="C1003" s="168"/>
      <c r="D1003" s="169"/>
      <c r="E1003" s="170"/>
      <c r="F1003" s="53"/>
      <c r="G1003" s="53"/>
      <c r="H1003" s="53"/>
      <c r="I1003" s="171"/>
      <c r="J1003" s="170"/>
      <c r="K1003" s="53"/>
      <c r="L1003" s="53"/>
      <c r="M1003" s="53"/>
      <c r="N1003" s="171"/>
      <c r="O1003" s="170"/>
      <c r="P1003" s="53"/>
      <c r="Q1003" s="53"/>
      <c r="R1003" s="53"/>
      <c r="S1003" s="171"/>
      <c r="T1003" s="170"/>
      <c r="U1003" s="53"/>
      <c r="V1003" s="53"/>
      <c r="W1003" s="53"/>
      <c r="X1003" s="171"/>
      <c r="Y1003" s="170"/>
      <c r="Z1003" s="170"/>
      <c r="AA1003" s="170"/>
      <c r="AB1003" s="170"/>
      <c r="AC1003" s="170"/>
      <c r="AD1003" s="53"/>
      <c r="AE1003" s="53"/>
    </row>
  </sheetData>
  <hyperlinks>
    <hyperlink r:id="rId1" ref="E4"/>
    <hyperlink r:id="rId2" ref="J4"/>
    <hyperlink r:id="rId3" ref="O4"/>
    <hyperlink r:id="rId4" ref="T4"/>
    <hyperlink r:id="rId5" ref="E5"/>
    <hyperlink r:id="rId6" ref="J5"/>
    <hyperlink r:id="rId7" ref="O5"/>
    <hyperlink r:id="rId8" ref="T5"/>
    <hyperlink r:id="rId9" ref="E6"/>
    <hyperlink r:id="rId10" ref="J6"/>
    <hyperlink r:id="rId11" ref="O6"/>
    <hyperlink r:id="rId12" ref="T6"/>
    <hyperlink r:id="rId13" ref="E7"/>
    <hyperlink r:id="rId14" ref="J7"/>
    <hyperlink r:id="rId15" ref="O7"/>
    <hyperlink r:id="rId16" ref="E8"/>
    <hyperlink r:id="rId17" ref="J8"/>
    <hyperlink r:id="rId18" ref="O8"/>
    <hyperlink r:id="rId19" location="heading=h.a9kqk3xbyygu" ref="E9"/>
    <hyperlink r:id="rId20" ref="J9"/>
    <hyperlink r:id="rId21" ref="O9"/>
    <hyperlink r:id="rId22" ref="E10"/>
    <hyperlink r:id="rId23" ref="J10"/>
    <hyperlink r:id="rId24" ref="E11"/>
    <hyperlink r:id="rId25" ref="J11"/>
    <hyperlink r:id="rId26" ref="E12"/>
    <hyperlink r:id="rId27" ref="J12"/>
    <hyperlink r:id="rId28" ref="E13"/>
    <hyperlink r:id="rId29" ref="J13"/>
    <hyperlink r:id="rId30" ref="E14"/>
    <hyperlink r:id="rId31" ref="J14"/>
    <hyperlink r:id="rId32" ref="E15"/>
    <hyperlink r:id="rId33" ref="J15"/>
    <hyperlink r:id="rId34" ref="E16"/>
    <hyperlink r:id="rId35" ref="J16"/>
    <hyperlink r:id="rId36" ref="E17"/>
    <hyperlink r:id="rId37" ref="J17"/>
    <hyperlink r:id="rId38" ref="E18"/>
    <hyperlink r:id="rId39" ref="J18"/>
    <hyperlink r:id="rId40" ref="E19"/>
    <hyperlink r:id="rId41" ref="J19"/>
    <hyperlink r:id="rId42" ref="E20"/>
    <hyperlink r:id="rId43" ref="J20"/>
    <hyperlink r:id="rId44" ref="E21"/>
    <hyperlink r:id="rId45" ref="J21"/>
    <hyperlink r:id="rId46" ref="E22"/>
    <hyperlink r:id="rId47" ref="J22"/>
    <hyperlink r:id="rId48" ref="E23"/>
    <hyperlink r:id="rId49" ref="E24"/>
    <hyperlink r:id="rId50" ref="E25"/>
    <hyperlink r:id="rId51" ref="E26"/>
    <hyperlink r:id="rId52" ref="E27"/>
    <hyperlink r:id="rId53" ref="E28"/>
    <hyperlink r:id="rId54" ref="E29"/>
    <hyperlink r:id="rId55" ref="E30"/>
    <hyperlink r:id="rId56" ref="E31"/>
    <hyperlink r:id="rId57" ref="E32"/>
    <hyperlink r:id="rId58" ref="E33"/>
    <hyperlink r:id="rId59" ref="E34"/>
    <hyperlink r:id="rId60" ref="E35"/>
    <hyperlink r:id="rId61" ref="E36"/>
    <hyperlink r:id="rId62" ref="E37"/>
    <hyperlink r:id="rId63" ref="E38"/>
    <hyperlink r:id="rId64" ref="E39"/>
    <hyperlink r:id="rId65" ref="E40"/>
    <hyperlink r:id="rId66" ref="E41"/>
    <hyperlink r:id="rId67" ref="E42"/>
    <hyperlink r:id="rId68" ref="E43"/>
    <hyperlink r:id="rId69" ref="E44"/>
    <hyperlink r:id="rId70" ref="E45"/>
    <hyperlink r:id="rId71" ref="E46"/>
    <hyperlink r:id="rId72" ref="E47"/>
    <hyperlink r:id="rId73" ref="E48"/>
    <hyperlink r:id="rId74" ref="E49"/>
    <hyperlink r:id="rId75" ref="E50"/>
    <hyperlink r:id="rId76" ref="E51"/>
  </hyperlinks>
  <drawing r:id="rId77"/>
  <tableParts count="6">
    <tablePart r:id="rId84"/>
    <tablePart r:id="rId85"/>
    <tablePart r:id="rId86"/>
    <tablePart r:id="rId87"/>
    <tablePart r:id="rId88"/>
    <tablePart r:id="rId8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0" width="12.0"/>
    <col customWidth="1" min="12" max="12" width="4.25"/>
    <col customWidth="1" min="13" max="13" width="14.0"/>
  </cols>
  <sheetData>
    <row r="1">
      <c r="A1" s="189" t="s">
        <v>1</v>
      </c>
      <c r="B1" s="190" t="s">
        <v>10179</v>
      </c>
      <c r="C1" s="190" t="s">
        <v>10180</v>
      </c>
      <c r="D1" s="190" t="s">
        <v>10181</v>
      </c>
      <c r="E1" s="190" t="s">
        <v>10182</v>
      </c>
      <c r="F1" s="190" t="s">
        <v>10183</v>
      </c>
      <c r="G1" s="190" t="s">
        <v>10184</v>
      </c>
      <c r="H1" s="190" t="s">
        <v>10185</v>
      </c>
      <c r="I1" s="190" t="s">
        <v>10186</v>
      </c>
      <c r="J1" s="190" t="s">
        <v>10187</v>
      </c>
    </row>
    <row r="2">
      <c r="A2" s="191">
        <f t="array" ref="A2:A222">SORT(UNIQUE('Input Data'!B2:B1001))</f>
        <v>38858</v>
      </c>
      <c r="B2" s="130">
        <f t="array" ref="B2:B1001">IF(A2:A1001="", "", COUNTIF('Input Data'!B:B, A2:A1001))</f>
        <v>1</v>
      </c>
      <c r="C2" s="130">
        <f t="array" ref="C2:C1001">IF($A2:$A1001="", "", COUNTIFS('Input Data'!$B:$B, $A2:$A1001, 'Input Data'!$E:$E, "Website"))</f>
        <v>0</v>
      </c>
      <c r="D2" s="130">
        <f t="array" ref="D2:D1001">IF($A2:$A1001="", "", COUNTIFS('Input Data'!$B:$B, $A2:$A1001, 'Input Data'!$E:$E, "Instagram"))</f>
        <v>1</v>
      </c>
      <c r="E2" s="130">
        <f t="array" ref="E2:E1001">IF($A2:$A1001="", "", COUNTIFS('Input Data'!$B:$B, $A2:$A1001, 'Input Data'!$E:$E, "Tiktok"))</f>
        <v>0</v>
      </c>
      <c r="F2" s="130">
        <f t="array" ref="F2:F1001">IF($A2:$A1001="", "", COUNTIFS('Input Data'!$B:$B, $A2:$A1001, 'Input Data'!$E:$E, "Rekomendasi"))</f>
        <v>0</v>
      </c>
      <c r="G2" s="130">
        <f t="array" ref="G2:G1001">IF($A2:$A1001="", "", COUNTIFS('Input Data'!$B:$B, $A2:$A1001, 'Input Data'!$E:$E, "Lainnya"))</f>
        <v>0</v>
      </c>
      <c r="H2" s="130">
        <f t="array" ref="H2:H1001">IF($A2:$A1001="", "", COUNTIFS('Input Data'!$B:$B, $A2:$A1001, 'Input Data'!$F:$F, "Dela"))</f>
        <v>1</v>
      </c>
      <c r="I2" s="130">
        <f t="array" ref="I2:I1001">IF($A2:$A1001="", "", COUNTIFS('Input Data'!$B:$B, $A2:$A1001, 'Input Data'!$F:$F, "Alvin"))</f>
        <v>0</v>
      </c>
      <c r="J2" s="130">
        <f t="array" ref="J2:J1001">IF($A2:$A1001="", "", COUNTIFS('Input Data'!$B:$B, $A2:$A1001, 'Input Data'!$F:$F, "Holiday"))</f>
        <v>0</v>
      </c>
      <c r="L2" s="68" t="s">
        <v>6719</v>
      </c>
      <c r="M2" s="192" t="s">
        <v>1</v>
      </c>
    </row>
    <row r="3">
      <c r="A3" s="191">
        <v>42538.0</v>
      </c>
      <c r="B3" s="130">
        <v>1.0</v>
      </c>
      <c r="C3" s="130">
        <v>0.0</v>
      </c>
      <c r="D3" s="130">
        <v>1.0</v>
      </c>
      <c r="E3" s="130">
        <v>0.0</v>
      </c>
      <c r="F3" s="130">
        <v>0.0</v>
      </c>
      <c r="G3" s="130">
        <v>0.0</v>
      </c>
      <c r="H3" s="130">
        <v>1.0</v>
      </c>
      <c r="I3" s="130">
        <v>0.0</v>
      </c>
      <c r="J3" s="130">
        <v>0.0</v>
      </c>
      <c r="L3" s="68" t="s">
        <v>10188</v>
      </c>
      <c r="M3" s="193" t="s">
        <v>10179</v>
      </c>
    </row>
    <row r="4">
      <c r="A4" s="191">
        <v>45767.0</v>
      </c>
      <c r="B4" s="130">
        <v>1.0</v>
      </c>
      <c r="C4" s="130">
        <v>0.0</v>
      </c>
      <c r="D4" s="130">
        <v>0.0</v>
      </c>
      <c r="E4" s="130">
        <v>0.0</v>
      </c>
      <c r="F4" s="130">
        <v>1.0</v>
      </c>
      <c r="G4" s="130">
        <v>0.0</v>
      </c>
      <c r="H4" s="130">
        <v>1.0</v>
      </c>
      <c r="I4" s="130">
        <v>0.0</v>
      </c>
      <c r="J4" s="130">
        <v>0.0</v>
      </c>
      <c r="L4" s="68" t="s">
        <v>10189</v>
      </c>
      <c r="M4" s="193" t="s">
        <v>10180</v>
      </c>
    </row>
    <row r="5">
      <c r="A5" s="191">
        <v>45770.0</v>
      </c>
      <c r="B5" s="130">
        <v>1.0</v>
      </c>
      <c r="C5" s="130">
        <v>0.0</v>
      </c>
      <c r="D5" s="130">
        <v>1.0</v>
      </c>
      <c r="E5" s="130">
        <v>0.0</v>
      </c>
      <c r="F5" s="130">
        <v>0.0</v>
      </c>
      <c r="G5" s="130">
        <v>0.0</v>
      </c>
      <c r="H5" s="130">
        <v>1.0</v>
      </c>
      <c r="I5" s="130">
        <v>0.0</v>
      </c>
      <c r="J5" s="130">
        <v>0.0</v>
      </c>
      <c r="L5" s="68" t="s">
        <v>10190</v>
      </c>
      <c r="M5" s="193" t="s">
        <v>10181</v>
      </c>
    </row>
    <row r="6">
      <c r="A6" s="191">
        <v>45938.0</v>
      </c>
      <c r="B6" s="130">
        <v>1.0</v>
      </c>
      <c r="C6" s="130">
        <v>0.0</v>
      </c>
      <c r="D6" s="130">
        <v>1.0</v>
      </c>
      <c r="E6" s="130">
        <v>0.0</v>
      </c>
      <c r="F6" s="130">
        <v>0.0</v>
      </c>
      <c r="G6" s="130">
        <v>0.0</v>
      </c>
      <c r="H6" s="130">
        <v>1.0</v>
      </c>
      <c r="I6" s="130">
        <v>0.0</v>
      </c>
      <c r="J6" s="130">
        <v>0.0</v>
      </c>
      <c r="L6" s="68" t="s">
        <v>9319</v>
      </c>
      <c r="M6" s="193" t="s">
        <v>10182</v>
      </c>
    </row>
    <row r="7">
      <c r="A7" s="191">
        <v>45969.0</v>
      </c>
      <c r="B7" s="130">
        <v>1.0</v>
      </c>
      <c r="C7" s="130">
        <v>1.0</v>
      </c>
      <c r="D7" s="130">
        <v>0.0</v>
      </c>
      <c r="E7" s="130">
        <v>0.0</v>
      </c>
      <c r="F7" s="130">
        <v>0.0</v>
      </c>
      <c r="G7" s="130">
        <v>0.0</v>
      </c>
      <c r="H7" s="130">
        <v>0.0</v>
      </c>
      <c r="I7" s="130">
        <v>1.0</v>
      </c>
      <c r="J7" s="130">
        <v>0.0</v>
      </c>
      <c r="L7" s="68" t="s">
        <v>10000</v>
      </c>
      <c r="M7" s="193" t="s">
        <v>10183</v>
      </c>
    </row>
    <row r="8">
      <c r="A8" s="191">
        <v>45996.0</v>
      </c>
      <c r="B8" s="130">
        <v>1.0</v>
      </c>
      <c r="C8" s="130">
        <v>1.0</v>
      </c>
      <c r="D8" s="130">
        <v>0.0</v>
      </c>
      <c r="E8" s="130">
        <v>0.0</v>
      </c>
      <c r="F8" s="130">
        <v>0.0</v>
      </c>
      <c r="G8" s="130">
        <v>0.0</v>
      </c>
      <c r="H8" s="130">
        <v>0.0</v>
      </c>
      <c r="I8" s="130">
        <v>1.0</v>
      </c>
      <c r="J8" s="130">
        <v>0.0</v>
      </c>
      <c r="L8" s="68" t="s">
        <v>10191</v>
      </c>
      <c r="M8" s="193" t="s">
        <v>10184</v>
      </c>
    </row>
    <row r="9">
      <c r="A9" s="191">
        <v>46003.0</v>
      </c>
      <c r="B9" s="130">
        <v>1.0</v>
      </c>
      <c r="C9" s="130">
        <v>1.0</v>
      </c>
      <c r="D9" s="130">
        <v>0.0</v>
      </c>
      <c r="E9" s="130">
        <v>0.0</v>
      </c>
      <c r="F9" s="130">
        <v>0.0</v>
      </c>
      <c r="G9" s="130">
        <v>0.0</v>
      </c>
      <c r="H9" s="130">
        <v>0.0</v>
      </c>
      <c r="I9" s="130">
        <v>0.0</v>
      </c>
      <c r="J9" s="130">
        <v>1.0</v>
      </c>
      <c r="L9" s="68" t="s">
        <v>10192</v>
      </c>
      <c r="M9" s="68" t="s">
        <v>10185</v>
      </c>
    </row>
    <row r="10">
      <c r="A10" s="191">
        <v>46021.0</v>
      </c>
      <c r="B10" s="130">
        <v>1.0</v>
      </c>
      <c r="C10" s="130">
        <v>1.0</v>
      </c>
      <c r="D10" s="130">
        <v>0.0</v>
      </c>
      <c r="E10" s="130">
        <v>0.0</v>
      </c>
      <c r="F10" s="130">
        <v>0.0</v>
      </c>
      <c r="G10" s="130">
        <v>0.0</v>
      </c>
      <c r="H10" s="130">
        <v>0.0</v>
      </c>
      <c r="I10" s="130">
        <v>1.0</v>
      </c>
      <c r="J10" s="130">
        <v>0.0</v>
      </c>
      <c r="L10" s="68" t="s">
        <v>10193</v>
      </c>
      <c r="M10" s="68" t="s">
        <v>10186</v>
      </c>
    </row>
    <row r="11">
      <c r="A11" s="191">
        <v>46022.0</v>
      </c>
      <c r="B11" s="130">
        <v>1.0</v>
      </c>
      <c r="C11" s="130">
        <v>1.0</v>
      </c>
      <c r="D11" s="130">
        <v>0.0</v>
      </c>
      <c r="E11" s="130">
        <v>0.0</v>
      </c>
      <c r="F11" s="130">
        <v>0.0</v>
      </c>
      <c r="G11" s="130">
        <v>0.0</v>
      </c>
      <c r="H11" s="130">
        <v>0.0</v>
      </c>
      <c r="I11" s="130">
        <v>0.0</v>
      </c>
      <c r="J11" s="130">
        <v>1.0</v>
      </c>
      <c r="L11" s="68" t="s">
        <v>8679</v>
      </c>
      <c r="M11" s="68" t="s">
        <v>10187</v>
      </c>
    </row>
    <row r="12">
      <c r="A12" s="191">
        <v>46023.0</v>
      </c>
      <c r="B12" s="130">
        <v>12.0</v>
      </c>
      <c r="C12" s="130">
        <v>6.0</v>
      </c>
      <c r="D12" s="130">
        <v>6.0</v>
      </c>
      <c r="E12" s="130">
        <v>0.0</v>
      </c>
      <c r="F12" s="130">
        <v>0.0</v>
      </c>
      <c r="G12" s="130">
        <v>0.0</v>
      </c>
      <c r="H12" s="130">
        <v>8.0</v>
      </c>
      <c r="I12" s="130">
        <v>3.0</v>
      </c>
      <c r="J12" s="130">
        <v>1.0</v>
      </c>
    </row>
    <row r="13">
      <c r="A13" s="191">
        <v>46024.0</v>
      </c>
      <c r="B13" s="130">
        <v>12.0</v>
      </c>
      <c r="C13" s="130">
        <v>6.0</v>
      </c>
      <c r="D13" s="130">
        <v>5.0</v>
      </c>
      <c r="E13" s="130">
        <v>0.0</v>
      </c>
      <c r="F13" s="130">
        <v>0.0</v>
      </c>
      <c r="G13" s="130">
        <v>1.0</v>
      </c>
      <c r="H13" s="130">
        <v>10.0</v>
      </c>
      <c r="I13" s="130">
        <v>2.0</v>
      </c>
      <c r="J13" s="130">
        <v>0.0</v>
      </c>
    </row>
    <row r="14">
      <c r="A14" s="191">
        <v>46025.0</v>
      </c>
      <c r="B14" s="130">
        <v>11.0</v>
      </c>
      <c r="C14" s="130">
        <v>4.0</v>
      </c>
      <c r="D14" s="130">
        <v>6.0</v>
      </c>
      <c r="E14" s="130">
        <v>0.0</v>
      </c>
      <c r="F14" s="130">
        <v>0.0</v>
      </c>
      <c r="G14" s="130">
        <v>1.0</v>
      </c>
      <c r="H14" s="130">
        <v>11.0</v>
      </c>
      <c r="I14" s="130">
        <v>0.0</v>
      </c>
      <c r="J14" s="130">
        <v>0.0</v>
      </c>
    </row>
    <row r="15">
      <c r="A15" s="191">
        <v>46026.0</v>
      </c>
      <c r="B15" s="130">
        <v>10.0</v>
      </c>
      <c r="C15" s="130">
        <v>4.0</v>
      </c>
      <c r="D15" s="130">
        <v>6.0</v>
      </c>
      <c r="E15" s="130">
        <v>0.0</v>
      </c>
      <c r="F15" s="130">
        <v>0.0</v>
      </c>
      <c r="G15" s="130">
        <v>0.0</v>
      </c>
      <c r="H15" s="130">
        <v>9.0</v>
      </c>
      <c r="I15" s="130">
        <v>1.0</v>
      </c>
      <c r="J15" s="130">
        <v>0.0</v>
      </c>
    </row>
    <row r="16">
      <c r="A16" s="191">
        <v>46027.0</v>
      </c>
      <c r="B16" s="130">
        <v>17.0</v>
      </c>
      <c r="C16" s="130">
        <v>9.0</v>
      </c>
      <c r="D16" s="130">
        <v>5.0</v>
      </c>
      <c r="E16" s="130">
        <v>0.0</v>
      </c>
      <c r="F16" s="130">
        <v>0.0</v>
      </c>
      <c r="G16" s="130">
        <v>3.0</v>
      </c>
      <c r="H16" s="130">
        <v>14.0</v>
      </c>
      <c r="I16" s="130">
        <v>2.0</v>
      </c>
      <c r="J16" s="130">
        <v>1.0</v>
      </c>
    </row>
    <row r="17">
      <c r="A17" s="191">
        <v>46028.0</v>
      </c>
      <c r="B17" s="130">
        <v>9.0</v>
      </c>
      <c r="C17" s="130">
        <v>4.0</v>
      </c>
      <c r="D17" s="130">
        <v>5.0</v>
      </c>
      <c r="E17" s="130">
        <v>0.0</v>
      </c>
      <c r="F17" s="130">
        <v>0.0</v>
      </c>
      <c r="G17" s="130">
        <v>0.0</v>
      </c>
      <c r="H17" s="130">
        <v>9.0</v>
      </c>
      <c r="I17" s="130">
        <v>0.0</v>
      </c>
      <c r="J17" s="130">
        <v>0.0</v>
      </c>
    </row>
    <row r="18">
      <c r="A18" s="191">
        <v>46029.0</v>
      </c>
      <c r="B18" s="130">
        <v>3.0</v>
      </c>
      <c r="C18" s="130">
        <v>1.0</v>
      </c>
      <c r="D18" s="130">
        <v>1.0</v>
      </c>
      <c r="E18" s="130">
        <v>0.0</v>
      </c>
      <c r="F18" s="130">
        <v>0.0</v>
      </c>
      <c r="G18" s="130">
        <v>1.0</v>
      </c>
      <c r="H18" s="130">
        <v>2.0</v>
      </c>
      <c r="I18" s="130">
        <v>1.0</v>
      </c>
      <c r="J18" s="130">
        <v>0.0</v>
      </c>
    </row>
    <row r="19">
      <c r="A19" s="191">
        <v>46030.0</v>
      </c>
      <c r="B19" s="130">
        <v>11.0</v>
      </c>
      <c r="C19" s="130">
        <v>2.0</v>
      </c>
      <c r="D19" s="130">
        <v>5.0</v>
      </c>
      <c r="E19" s="130">
        <v>0.0</v>
      </c>
      <c r="F19" s="130">
        <v>0.0</v>
      </c>
      <c r="G19" s="130">
        <v>4.0</v>
      </c>
      <c r="H19" s="130">
        <v>9.0</v>
      </c>
      <c r="I19" s="130">
        <v>2.0</v>
      </c>
      <c r="J19" s="130">
        <v>0.0</v>
      </c>
    </row>
    <row r="20">
      <c r="A20" s="191">
        <v>46031.0</v>
      </c>
      <c r="B20" s="130">
        <v>11.0</v>
      </c>
      <c r="C20" s="130">
        <v>2.0</v>
      </c>
      <c r="D20" s="130">
        <v>6.0</v>
      </c>
      <c r="E20" s="130">
        <v>0.0</v>
      </c>
      <c r="F20" s="130">
        <v>0.0</v>
      </c>
      <c r="G20" s="130">
        <v>3.0</v>
      </c>
      <c r="H20" s="130">
        <v>8.0</v>
      </c>
      <c r="I20" s="130">
        <v>3.0</v>
      </c>
      <c r="J20" s="130">
        <v>0.0</v>
      </c>
    </row>
    <row r="21">
      <c r="A21" s="191">
        <v>46032.0</v>
      </c>
      <c r="B21" s="130">
        <v>7.0</v>
      </c>
      <c r="C21" s="130">
        <v>2.0</v>
      </c>
      <c r="D21" s="130">
        <v>3.0</v>
      </c>
      <c r="E21" s="130">
        <v>0.0</v>
      </c>
      <c r="F21" s="130">
        <v>0.0</v>
      </c>
      <c r="G21" s="130">
        <v>2.0</v>
      </c>
      <c r="H21" s="130">
        <v>6.0</v>
      </c>
      <c r="I21" s="130">
        <v>1.0</v>
      </c>
      <c r="J21" s="130">
        <v>0.0</v>
      </c>
    </row>
    <row r="22">
      <c r="A22" s="191">
        <v>46033.0</v>
      </c>
      <c r="B22" s="130">
        <v>12.0</v>
      </c>
      <c r="C22" s="130">
        <v>4.0</v>
      </c>
      <c r="D22" s="130">
        <v>4.0</v>
      </c>
      <c r="E22" s="130">
        <v>0.0</v>
      </c>
      <c r="F22" s="130">
        <v>0.0</v>
      </c>
      <c r="G22" s="130">
        <v>4.0</v>
      </c>
      <c r="H22" s="130">
        <v>9.0</v>
      </c>
      <c r="I22" s="130">
        <v>2.0</v>
      </c>
      <c r="J22" s="130">
        <v>1.0</v>
      </c>
    </row>
    <row r="23">
      <c r="A23" s="191">
        <v>46034.0</v>
      </c>
      <c r="B23" s="130">
        <v>7.0</v>
      </c>
      <c r="C23" s="130">
        <v>3.0</v>
      </c>
      <c r="D23" s="130">
        <v>3.0</v>
      </c>
      <c r="E23" s="130">
        <v>0.0</v>
      </c>
      <c r="F23" s="130">
        <v>0.0</v>
      </c>
      <c r="G23" s="130">
        <v>1.0</v>
      </c>
      <c r="H23" s="130">
        <v>4.0</v>
      </c>
      <c r="I23" s="130">
        <v>0.0</v>
      </c>
      <c r="J23" s="130">
        <v>3.0</v>
      </c>
    </row>
    <row r="24">
      <c r="A24" s="191">
        <v>46035.0</v>
      </c>
      <c r="B24" s="130">
        <v>10.0</v>
      </c>
      <c r="C24" s="130">
        <v>2.0</v>
      </c>
      <c r="D24" s="130">
        <v>5.0</v>
      </c>
      <c r="E24" s="130">
        <v>0.0</v>
      </c>
      <c r="F24" s="130">
        <v>0.0</v>
      </c>
      <c r="G24" s="130">
        <v>3.0</v>
      </c>
      <c r="H24" s="130">
        <v>8.0</v>
      </c>
      <c r="I24" s="130">
        <v>1.0</v>
      </c>
      <c r="J24" s="130">
        <v>1.0</v>
      </c>
    </row>
    <row r="25">
      <c r="A25" s="191">
        <v>46036.0</v>
      </c>
      <c r="B25" s="130">
        <v>11.0</v>
      </c>
      <c r="C25" s="130">
        <v>9.0</v>
      </c>
      <c r="D25" s="130">
        <v>2.0</v>
      </c>
      <c r="E25" s="130">
        <v>0.0</v>
      </c>
      <c r="F25" s="130">
        <v>0.0</v>
      </c>
      <c r="G25" s="130">
        <v>0.0</v>
      </c>
      <c r="H25" s="130">
        <v>3.0</v>
      </c>
      <c r="I25" s="130">
        <v>2.0</v>
      </c>
      <c r="J25" s="130">
        <v>6.0</v>
      </c>
    </row>
    <row r="26">
      <c r="A26" s="191">
        <v>46037.0</v>
      </c>
      <c r="B26" s="130">
        <v>10.0</v>
      </c>
      <c r="C26" s="130">
        <v>6.0</v>
      </c>
      <c r="D26" s="130">
        <v>4.0</v>
      </c>
      <c r="E26" s="130">
        <v>0.0</v>
      </c>
      <c r="F26" s="130">
        <v>0.0</v>
      </c>
      <c r="G26" s="130">
        <v>0.0</v>
      </c>
      <c r="H26" s="130">
        <v>9.0</v>
      </c>
      <c r="I26" s="130">
        <v>1.0</v>
      </c>
      <c r="J26" s="130">
        <v>0.0</v>
      </c>
    </row>
    <row r="27">
      <c r="A27" s="191">
        <v>46038.0</v>
      </c>
      <c r="B27" s="130">
        <v>13.0</v>
      </c>
      <c r="C27" s="130">
        <v>4.0</v>
      </c>
      <c r="D27" s="130">
        <v>9.0</v>
      </c>
      <c r="E27" s="130">
        <v>0.0</v>
      </c>
      <c r="F27" s="130">
        <v>0.0</v>
      </c>
      <c r="G27" s="130">
        <v>0.0</v>
      </c>
      <c r="H27" s="130">
        <v>9.0</v>
      </c>
      <c r="I27" s="130">
        <v>1.0</v>
      </c>
      <c r="J27" s="130">
        <v>3.0</v>
      </c>
    </row>
    <row r="28">
      <c r="A28" s="191">
        <v>46039.0</v>
      </c>
      <c r="B28" s="130">
        <v>8.0</v>
      </c>
      <c r="C28" s="130">
        <v>3.0</v>
      </c>
      <c r="D28" s="130">
        <v>3.0</v>
      </c>
      <c r="E28" s="130">
        <v>0.0</v>
      </c>
      <c r="F28" s="130">
        <v>0.0</v>
      </c>
      <c r="G28" s="130">
        <v>2.0</v>
      </c>
      <c r="H28" s="130">
        <v>4.0</v>
      </c>
      <c r="I28" s="130">
        <v>2.0</v>
      </c>
      <c r="J28" s="130">
        <v>2.0</v>
      </c>
    </row>
    <row r="29">
      <c r="A29" s="191">
        <v>46040.0</v>
      </c>
      <c r="B29" s="130">
        <v>7.0</v>
      </c>
      <c r="C29" s="130">
        <v>0.0</v>
      </c>
      <c r="D29" s="130">
        <v>7.0</v>
      </c>
      <c r="E29" s="130">
        <v>0.0</v>
      </c>
      <c r="F29" s="130">
        <v>0.0</v>
      </c>
      <c r="G29" s="130">
        <v>0.0</v>
      </c>
      <c r="H29" s="130">
        <v>7.0</v>
      </c>
      <c r="I29" s="130">
        <v>0.0</v>
      </c>
      <c r="J29" s="130">
        <v>0.0</v>
      </c>
    </row>
    <row r="30">
      <c r="A30" s="191">
        <v>46041.0</v>
      </c>
      <c r="B30" s="130">
        <v>15.0</v>
      </c>
      <c r="C30" s="130">
        <v>11.0</v>
      </c>
      <c r="D30" s="130">
        <v>2.0</v>
      </c>
      <c r="E30" s="130">
        <v>0.0</v>
      </c>
      <c r="F30" s="130">
        <v>0.0</v>
      </c>
      <c r="G30" s="130">
        <v>2.0</v>
      </c>
      <c r="H30" s="130">
        <v>5.0</v>
      </c>
      <c r="I30" s="130">
        <v>6.0</v>
      </c>
      <c r="J30" s="130">
        <v>4.0</v>
      </c>
    </row>
    <row r="31">
      <c r="A31" s="191">
        <v>46042.0</v>
      </c>
      <c r="B31" s="130">
        <v>8.0</v>
      </c>
      <c r="C31" s="130">
        <v>7.0</v>
      </c>
      <c r="D31" s="130">
        <v>0.0</v>
      </c>
      <c r="E31" s="130">
        <v>0.0</v>
      </c>
      <c r="F31" s="130">
        <v>1.0</v>
      </c>
      <c r="G31" s="130">
        <v>0.0</v>
      </c>
      <c r="H31" s="130">
        <v>3.0</v>
      </c>
      <c r="I31" s="130">
        <v>5.0</v>
      </c>
      <c r="J31" s="130">
        <v>0.0</v>
      </c>
    </row>
    <row r="32">
      <c r="A32" s="191">
        <v>46043.0</v>
      </c>
      <c r="B32" s="130">
        <v>14.0</v>
      </c>
      <c r="C32" s="130">
        <v>10.0</v>
      </c>
      <c r="D32" s="130">
        <v>0.0</v>
      </c>
      <c r="E32" s="130">
        <v>0.0</v>
      </c>
      <c r="F32" s="130">
        <v>0.0</v>
      </c>
      <c r="G32" s="130">
        <v>4.0</v>
      </c>
      <c r="H32" s="130">
        <v>8.0</v>
      </c>
      <c r="I32" s="130">
        <v>3.0</v>
      </c>
      <c r="J32" s="130">
        <v>3.0</v>
      </c>
    </row>
    <row r="33">
      <c r="A33" s="191">
        <v>46044.0</v>
      </c>
      <c r="B33" s="130">
        <v>7.0</v>
      </c>
      <c r="C33" s="130">
        <v>7.0</v>
      </c>
      <c r="D33" s="130">
        <v>0.0</v>
      </c>
      <c r="E33" s="130">
        <v>0.0</v>
      </c>
      <c r="F33" s="130">
        <v>0.0</v>
      </c>
      <c r="G33" s="130">
        <v>0.0</v>
      </c>
      <c r="H33" s="130">
        <v>2.0</v>
      </c>
      <c r="I33" s="130">
        <v>5.0</v>
      </c>
      <c r="J33" s="130">
        <v>0.0</v>
      </c>
    </row>
    <row r="34">
      <c r="A34" s="191">
        <v>46045.0</v>
      </c>
      <c r="B34" s="130">
        <v>9.0</v>
      </c>
      <c r="C34" s="130">
        <v>8.0</v>
      </c>
      <c r="D34" s="130">
        <v>0.0</v>
      </c>
      <c r="E34" s="130">
        <v>0.0</v>
      </c>
      <c r="F34" s="130">
        <v>0.0</v>
      </c>
      <c r="G34" s="130">
        <v>1.0</v>
      </c>
      <c r="H34" s="130">
        <v>5.0</v>
      </c>
      <c r="I34" s="130">
        <v>3.0</v>
      </c>
      <c r="J34" s="130">
        <v>1.0</v>
      </c>
    </row>
    <row r="35">
      <c r="A35" s="191">
        <v>46046.0</v>
      </c>
      <c r="B35" s="130">
        <v>6.0</v>
      </c>
      <c r="C35" s="130">
        <v>5.0</v>
      </c>
      <c r="D35" s="130">
        <v>0.0</v>
      </c>
      <c r="E35" s="130">
        <v>0.0</v>
      </c>
      <c r="F35" s="130">
        <v>0.0</v>
      </c>
      <c r="G35" s="130">
        <v>1.0</v>
      </c>
      <c r="H35" s="130">
        <v>0.0</v>
      </c>
      <c r="I35" s="130">
        <v>4.0</v>
      </c>
      <c r="J35" s="130">
        <v>2.0</v>
      </c>
    </row>
    <row r="36">
      <c r="A36" s="191">
        <v>46047.0</v>
      </c>
      <c r="B36" s="130">
        <v>9.0</v>
      </c>
      <c r="C36" s="130">
        <v>7.0</v>
      </c>
      <c r="D36" s="130">
        <v>0.0</v>
      </c>
      <c r="E36" s="130">
        <v>0.0</v>
      </c>
      <c r="F36" s="130">
        <v>0.0</v>
      </c>
      <c r="G36" s="130">
        <v>2.0</v>
      </c>
      <c r="H36" s="130">
        <v>3.0</v>
      </c>
      <c r="I36" s="130">
        <v>2.0</v>
      </c>
      <c r="J36" s="130">
        <v>4.0</v>
      </c>
    </row>
    <row r="37">
      <c r="A37" s="191">
        <v>46048.0</v>
      </c>
      <c r="B37" s="130">
        <v>8.0</v>
      </c>
      <c r="C37" s="130">
        <v>7.0</v>
      </c>
      <c r="D37" s="130">
        <v>0.0</v>
      </c>
      <c r="E37" s="130">
        <v>0.0</v>
      </c>
      <c r="F37" s="130">
        <v>0.0</v>
      </c>
      <c r="G37" s="130">
        <v>1.0</v>
      </c>
      <c r="H37" s="130">
        <v>4.0</v>
      </c>
      <c r="I37" s="130">
        <v>4.0</v>
      </c>
      <c r="J37" s="130">
        <v>0.0</v>
      </c>
    </row>
    <row r="38">
      <c r="A38" s="191">
        <v>46049.0</v>
      </c>
      <c r="B38" s="130">
        <v>6.0</v>
      </c>
      <c r="C38" s="130">
        <v>5.0</v>
      </c>
      <c r="D38" s="130">
        <v>0.0</v>
      </c>
      <c r="E38" s="130">
        <v>0.0</v>
      </c>
      <c r="F38" s="130">
        <v>0.0</v>
      </c>
      <c r="G38" s="130">
        <v>1.0</v>
      </c>
      <c r="H38" s="130">
        <v>2.0</v>
      </c>
      <c r="I38" s="130">
        <v>4.0</v>
      </c>
      <c r="J38" s="130">
        <v>0.0</v>
      </c>
    </row>
    <row r="39">
      <c r="A39" s="191">
        <v>46050.0</v>
      </c>
      <c r="B39" s="130">
        <v>10.0</v>
      </c>
      <c r="C39" s="130">
        <v>7.0</v>
      </c>
      <c r="D39" s="130">
        <v>0.0</v>
      </c>
      <c r="E39" s="130">
        <v>0.0</v>
      </c>
      <c r="F39" s="130">
        <v>0.0</v>
      </c>
      <c r="G39" s="130">
        <v>3.0</v>
      </c>
      <c r="H39" s="130">
        <v>5.0</v>
      </c>
      <c r="I39" s="130">
        <v>2.0</v>
      </c>
      <c r="J39" s="130">
        <v>3.0</v>
      </c>
    </row>
    <row r="40">
      <c r="A40" s="191">
        <v>46051.0</v>
      </c>
      <c r="B40" s="130">
        <v>10.0</v>
      </c>
      <c r="C40" s="130">
        <v>8.0</v>
      </c>
      <c r="D40" s="130">
        <v>0.0</v>
      </c>
      <c r="E40" s="130">
        <v>0.0</v>
      </c>
      <c r="F40" s="130">
        <v>0.0</v>
      </c>
      <c r="G40" s="130">
        <v>2.0</v>
      </c>
      <c r="H40" s="130">
        <v>6.0</v>
      </c>
      <c r="I40" s="130">
        <v>2.0</v>
      </c>
      <c r="J40" s="130">
        <v>2.0</v>
      </c>
    </row>
    <row r="41">
      <c r="A41" s="191">
        <v>46052.0</v>
      </c>
      <c r="B41" s="130">
        <v>4.0</v>
      </c>
      <c r="C41" s="130">
        <v>1.0</v>
      </c>
      <c r="D41" s="130">
        <v>0.0</v>
      </c>
      <c r="E41" s="130">
        <v>0.0</v>
      </c>
      <c r="F41" s="130">
        <v>0.0</v>
      </c>
      <c r="G41" s="130">
        <v>3.0</v>
      </c>
      <c r="H41" s="130">
        <v>1.0</v>
      </c>
      <c r="I41" s="130">
        <v>1.0</v>
      </c>
      <c r="J41" s="130">
        <v>2.0</v>
      </c>
    </row>
    <row r="42">
      <c r="A42" s="191">
        <v>46053.0</v>
      </c>
      <c r="B42" s="130">
        <v>7.0</v>
      </c>
      <c r="C42" s="130">
        <v>4.0</v>
      </c>
      <c r="D42" s="130">
        <v>1.0</v>
      </c>
      <c r="E42" s="130">
        <v>0.0</v>
      </c>
      <c r="F42" s="130">
        <v>0.0</v>
      </c>
      <c r="G42" s="130">
        <v>2.0</v>
      </c>
      <c r="H42" s="130">
        <v>3.0</v>
      </c>
      <c r="I42" s="130">
        <v>4.0</v>
      </c>
      <c r="J42" s="130">
        <v>0.0</v>
      </c>
    </row>
    <row r="43">
      <c r="A43" s="191">
        <v>46054.0</v>
      </c>
      <c r="B43" s="130">
        <v>6.0</v>
      </c>
      <c r="C43" s="130">
        <v>2.0</v>
      </c>
      <c r="D43" s="130">
        <v>1.0</v>
      </c>
      <c r="E43" s="130">
        <v>0.0</v>
      </c>
      <c r="F43" s="130">
        <v>0.0</v>
      </c>
      <c r="G43" s="130">
        <v>3.0</v>
      </c>
      <c r="H43" s="130">
        <v>4.0</v>
      </c>
      <c r="I43" s="130">
        <v>1.0</v>
      </c>
      <c r="J43" s="130">
        <v>1.0</v>
      </c>
    </row>
    <row r="44">
      <c r="A44" s="191">
        <v>46055.0</v>
      </c>
      <c r="B44" s="130">
        <v>8.0</v>
      </c>
      <c r="C44" s="130">
        <v>4.0</v>
      </c>
      <c r="D44" s="130">
        <v>0.0</v>
      </c>
      <c r="E44" s="130">
        <v>0.0</v>
      </c>
      <c r="F44" s="130">
        <v>0.0</v>
      </c>
      <c r="G44" s="130">
        <v>4.0</v>
      </c>
      <c r="H44" s="130">
        <v>6.0</v>
      </c>
      <c r="I44" s="130">
        <v>1.0</v>
      </c>
      <c r="J44" s="130">
        <v>1.0</v>
      </c>
    </row>
    <row r="45">
      <c r="A45" s="191">
        <v>46056.0</v>
      </c>
      <c r="B45" s="130">
        <v>5.0</v>
      </c>
      <c r="C45" s="130">
        <v>1.0</v>
      </c>
      <c r="D45" s="130">
        <v>0.0</v>
      </c>
      <c r="E45" s="130">
        <v>0.0</v>
      </c>
      <c r="F45" s="130">
        <v>0.0</v>
      </c>
      <c r="G45" s="130">
        <v>4.0</v>
      </c>
      <c r="H45" s="130">
        <v>3.0</v>
      </c>
      <c r="I45" s="130">
        <v>1.0</v>
      </c>
      <c r="J45" s="130">
        <v>1.0</v>
      </c>
    </row>
    <row r="46">
      <c r="A46" s="191">
        <v>46057.0</v>
      </c>
      <c r="B46" s="130">
        <v>8.0</v>
      </c>
      <c r="C46" s="130">
        <v>4.0</v>
      </c>
      <c r="D46" s="130">
        <v>0.0</v>
      </c>
      <c r="E46" s="130">
        <v>0.0</v>
      </c>
      <c r="F46" s="130">
        <v>0.0</v>
      </c>
      <c r="G46" s="130">
        <v>4.0</v>
      </c>
      <c r="H46" s="130">
        <v>6.0</v>
      </c>
      <c r="I46" s="130">
        <v>1.0</v>
      </c>
      <c r="J46" s="130">
        <v>1.0</v>
      </c>
    </row>
    <row r="47">
      <c r="A47" s="191">
        <v>46058.0</v>
      </c>
      <c r="B47" s="130">
        <v>14.0</v>
      </c>
      <c r="C47" s="130">
        <v>7.0</v>
      </c>
      <c r="D47" s="130">
        <v>1.0</v>
      </c>
      <c r="E47" s="130">
        <v>0.0</v>
      </c>
      <c r="F47" s="130">
        <v>0.0</v>
      </c>
      <c r="G47" s="130">
        <v>6.0</v>
      </c>
      <c r="H47" s="130">
        <v>5.0</v>
      </c>
      <c r="I47" s="130">
        <v>3.0</v>
      </c>
      <c r="J47" s="130">
        <v>6.0</v>
      </c>
    </row>
    <row r="48">
      <c r="A48" s="191">
        <v>46059.0</v>
      </c>
      <c r="B48" s="130">
        <v>3.0</v>
      </c>
      <c r="C48" s="130">
        <v>2.0</v>
      </c>
      <c r="D48" s="130">
        <v>0.0</v>
      </c>
      <c r="E48" s="130">
        <v>0.0</v>
      </c>
      <c r="F48" s="130">
        <v>0.0</v>
      </c>
      <c r="G48" s="130">
        <v>1.0</v>
      </c>
      <c r="H48" s="130">
        <v>2.0</v>
      </c>
      <c r="I48" s="130">
        <v>1.0</v>
      </c>
      <c r="J48" s="130">
        <v>0.0</v>
      </c>
    </row>
    <row r="49">
      <c r="A49" s="191">
        <v>46060.0</v>
      </c>
      <c r="B49" s="130">
        <v>4.0</v>
      </c>
      <c r="C49" s="130">
        <v>2.0</v>
      </c>
      <c r="D49" s="130">
        <v>0.0</v>
      </c>
      <c r="E49" s="130">
        <v>0.0</v>
      </c>
      <c r="F49" s="130">
        <v>0.0</v>
      </c>
      <c r="G49" s="130">
        <v>2.0</v>
      </c>
      <c r="H49" s="130">
        <v>2.0</v>
      </c>
      <c r="I49" s="130">
        <v>2.0</v>
      </c>
      <c r="J49" s="130">
        <v>0.0</v>
      </c>
    </row>
    <row r="50">
      <c r="A50" s="191">
        <v>46061.0</v>
      </c>
      <c r="B50" s="130">
        <v>11.0</v>
      </c>
      <c r="C50" s="130">
        <v>2.0</v>
      </c>
      <c r="D50" s="130">
        <v>0.0</v>
      </c>
      <c r="E50" s="130">
        <v>0.0</v>
      </c>
      <c r="F50" s="130">
        <v>0.0</v>
      </c>
      <c r="G50" s="130">
        <v>9.0</v>
      </c>
      <c r="H50" s="130">
        <v>7.0</v>
      </c>
      <c r="I50" s="130">
        <v>2.0</v>
      </c>
      <c r="J50" s="130">
        <v>2.0</v>
      </c>
    </row>
    <row r="51">
      <c r="A51" s="191">
        <v>46062.0</v>
      </c>
      <c r="B51" s="130">
        <v>11.0</v>
      </c>
      <c r="C51" s="130">
        <v>5.0</v>
      </c>
      <c r="D51" s="130">
        <v>1.0</v>
      </c>
      <c r="E51" s="130">
        <v>0.0</v>
      </c>
      <c r="F51" s="130">
        <v>0.0</v>
      </c>
      <c r="G51" s="130">
        <v>5.0</v>
      </c>
      <c r="H51" s="130">
        <v>4.0</v>
      </c>
      <c r="I51" s="130">
        <v>4.0</v>
      </c>
      <c r="J51" s="130">
        <v>3.0</v>
      </c>
    </row>
    <row r="52">
      <c r="A52" s="191">
        <v>46063.0</v>
      </c>
      <c r="B52" s="130">
        <v>5.0</v>
      </c>
      <c r="C52" s="130">
        <v>3.0</v>
      </c>
      <c r="D52" s="130">
        <v>0.0</v>
      </c>
      <c r="E52" s="130">
        <v>0.0</v>
      </c>
      <c r="F52" s="130">
        <v>0.0</v>
      </c>
      <c r="G52" s="130">
        <v>2.0</v>
      </c>
      <c r="H52" s="130">
        <v>3.0</v>
      </c>
      <c r="I52" s="130">
        <v>2.0</v>
      </c>
      <c r="J52" s="130">
        <v>0.0</v>
      </c>
    </row>
    <row r="53">
      <c r="A53" s="191">
        <v>46064.0</v>
      </c>
      <c r="B53" s="130">
        <v>3.0</v>
      </c>
      <c r="C53" s="130">
        <v>0.0</v>
      </c>
      <c r="D53" s="130">
        <v>0.0</v>
      </c>
      <c r="E53" s="130">
        <v>0.0</v>
      </c>
      <c r="F53" s="130">
        <v>0.0</v>
      </c>
      <c r="G53" s="130">
        <v>3.0</v>
      </c>
      <c r="H53" s="130">
        <v>3.0</v>
      </c>
      <c r="I53" s="130">
        <v>0.0</v>
      </c>
      <c r="J53" s="130">
        <v>0.0</v>
      </c>
    </row>
    <row r="54">
      <c r="A54" s="191">
        <v>46065.0</v>
      </c>
      <c r="B54" s="130">
        <v>5.0</v>
      </c>
      <c r="C54" s="130">
        <v>1.0</v>
      </c>
      <c r="D54" s="130">
        <v>0.0</v>
      </c>
      <c r="E54" s="130">
        <v>0.0</v>
      </c>
      <c r="F54" s="130">
        <v>0.0</v>
      </c>
      <c r="G54" s="130">
        <v>4.0</v>
      </c>
      <c r="H54" s="130">
        <v>2.0</v>
      </c>
      <c r="I54" s="130">
        <v>0.0</v>
      </c>
      <c r="J54" s="130">
        <v>3.0</v>
      </c>
    </row>
    <row r="55">
      <c r="A55" s="191">
        <v>46066.0</v>
      </c>
      <c r="B55" s="130">
        <v>5.0</v>
      </c>
      <c r="C55" s="130">
        <v>3.0</v>
      </c>
      <c r="D55" s="130">
        <v>1.0</v>
      </c>
      <c r="E55" s="130">
        <v>0.0</v>
      </c>
      <c r="F55" s="130">
        <v>0.0</v>
      </c>
      <c r="G55" s="130">
        <v>1.0</v>
      </c>
      <c r="H55" s="130">
        <v>2.0</v>
      </c>
      <c r="I55" s="130">
        <v>3.0</v>
      </c>
      <c r="J55" s="130">
        <v>0.0</v>
      </c>
    </row>
    <row r="56">
      <c r="A56" s="191">
        <v>46067.0</v>
      </c>
      <c r="B56" s="130">
        <v>8.0</v>
      </c>
      <c r="C56" s="130">
        <v>4.0</v>
      </c>
      <c r="D56" s="130">
        <v>1.0</v>
      </c>
      <c r="E56" s="130">
        <v>0.0</v>
      </c>
      <c r="F56" s="130">
        <v>0.0</v>
      </c>
      <c r="G56" s="130">
        <v>3.0</v>
      </c>
      <c r="H56" s="130">
        <v>3.0</v>
      </c>
      <c r="I56" s="130">
        <v>3.0</v>
      </c>
      <c r="J56" s="130">
        <v>2.0</v>
      </c>
    </row>
    <row r="57">
      <c r="A57" s="191">
        <v>46068.0</v>
      </c>
      <c r="B57" s="130">
        <v>10.0</v>
      </c>
      <c r="C57" s="130">
        <v>0.0</v>
      </c>
      <c r="D57" s="130">
        <v>0.0</v>
      </c>
      <c r="E57" s="130">
        <v>2.0</v>
      </c>
      <c r="F57" s="130">
        <v>0.0</v>
      </c>
      <c r="G57" s="130">
        <v>8.0</v>
      </c>
      <c r="H57" s="130">
        <v>8.0</v>
      </c>
      <c r="I57" s="130">
        <v>0.0</v>
      </c>
      <c r="J57" s="130">
        <v>2.0</v>
      </c>
    </row>
    <row r="58">
      <c r="A58" s="191">
        <v>46069.0</v>
      </c>
      <c r="B58" s="130">
        <v>13.0</v>
      </c>
      <c r="C58" s="130">
        <v>3.0</v>
      </c>
      <c r="D58" s="130">
        <v>0.0</v>
      </c>
      <c r="E58" s="130">
        <v>0.0</v>
      </c>
      <c r="F58" s="130">
        <v>0.0</v>
      </c>
      <c r="G58" s="130">
        <v>10.0</v>
      </c>
      <c r="H58" s="130">
        <v>9.0</v>
      </c>
      <c r="I58" s="130">
        <v>3.0</v>
      </c>
      <c r="J58" s="130">
        <v>1.0</v>
      </c>
    </row>
    <row r="59">
      <c r="A59" s="191">
        <v>46070.0</v>
      </c>
      <c r="B59" s="130">
        <v>15.0</v>
      </c>
      <c r="C59" s="130">
        <v>5.0</v>
      </c>
      <c r="D59" s="130">
        <v>9.0</v>
      </c>
      <c r="E59" s="130">
        <v>0.0</v>
      </c>
      <c r="F59" s="130">
        <v>0.0</v>
      </c>
      <c r="G59" s="130">
        <v>1.0</v>
      </c>
      <c r="H59" s="130">
        <v>11.0</v>
      </c>
      <c r="I59" s="130">
        <v>3.0</v>
      </c>
      <c r="J59" s="130">
        <v>1.0</v>
      </c>
    </row>
    <row r="60">
      <c r="A60" s="191">
        <v>46071.0</v>
      </c>
      <c r="B60" s="130">
        <v>13.0</v>
      </c>
      <c r="C60" s="130">
        <v>1.0</v>
      </c>
      <c r="D60" s="130">
        <v>3.0</v>
      </c>
      <c r="E60" s="130">
        <v>0.0</v>
      </c>
      <c r="F60" s="130">
        <v>0.0</v>
      </c>
      <c r="G60" s="130">
        <v>9.0</v>
      </c>
      <c r="H60" s="130">
        <v>7.0</v>
      </c>
      <c r="I60" s="130">
        <v>4.0</v>
      </c>
      <c r="J60" s="130">
        <v>2.0</v>
      </c>
    </row>
    <row r="61">
      <c r="A61" s="191">
        <v>46072.0</v>
      </c>
      <c r="B61" s="130">
        <v>7.0</v>
      </c>
      <c r="C61" s="130">
        <v>2.0</v>
      </c>
      <c r="D61" s="130">
        <v>2.0</v>
      </c>
      <c r="E61" s="130">
        <v>1.0</v>
      </c>
      <c r="F61" s="130">
        <v>0.0</v>
      </c>
      <c r="G61" s="130">
        <v>2.0</v>
      </c>
      <c r="H61" s="130">
        <v>2.0</v>
      </c>
      <c r="I61" s="130">
        <v>3.0</v>
      </c>
      <c r="J61" s="130">
        <v>2.0</v>
      </c>
    </row>
    <row r="62">
      <c r="A62" s="191">
        <v>46073.0</v>
      </c>
      <c r="B62" s="130">
        <v>9.0</v>
      </c>
      <c r="C62" s="130">
        <v>2.0</v>
      </c>
      <c r="D62" s="130">
        <v>3.0</v>
      </c>
      <c r="E62" s="130">
        <v>0.0</v>
      </c>
      <c r="F62" s="130">
        <v>0.0</v>
      </c>
      <c r="G62" s="130">
        <v>4.0</v>
      </c>
      <c r="H62" s="130">
        <v>6.0</v>
      </c>
      <c r="I62" s="130">
        <v>1.0</v>
      </c>
      <c r="J62" s="130">
        <v>2.0</v>
      </c>
    </row>
    <row r="63">
      <c r="A63" s="191">
        <v>46074.0</v>
      </c>
      <c r="B63" s="130">
        <v>8.0</v>
      </c>
      <c r="C63" s="130">
        <v>1.0</v>
      </c>
      <c r="D63" s="130">
        <v>5.0</v>
      </c>
      <c r="E63" s="130">
        <v>0.0</v>
      </c>
      <c r="F63" s="130">
        <v>0.0</v>
      </c>
      <c r="G63" s="130">
        <v>2.0</v>
      </c>
      <c r="H63" s="130">
        <v>2.0</v>
      </c>
      <c r="I63" s="130">
        <v>3.0</v>
      </c>
      <c r="J63" s="130">
        <v>3.0</v>
      </c>
    </row>
    <row r="64">
      <c r="A64" s="191">
        <v>46075.0</v>
      </c>
      <c r="B64" s="130">
        <v>6.0</v>
      </c>
      <c r="C64" s="130">
        <v>1.0</v>
      </c>
      <c r="D64" s="130">
        <v>3.0</v>
      </c>
      <c r="E64" s="130">
        <v>0.0</v>
      </c>
      <c r="F64" s="130">
        <v>0.0</v>
      </c>
      <c r="G64" s="130">
        <v>2.0</v>
      </c>
      <c r="H64" s="130">
        <v>3.0</v>
      </c>
      <c r="I64" s="130">
        <v>3.0</v>
      </c>
      <c r="J64" s="130">
        <v>0.0</v>
      </c>
    </row>
    <row r="65">
      <c r="A65" s="191">
        <v>46076.0</v>
      </c>
      <c r="B65" s="130">
        <v>12.0</v>
      </c>
      <c r="C65" s="130">
        <v>5.0</v>
      </c>
      <c r="D65" s="130">
        <v>4.0</v>
      </c>
      <c r="E65" s="130">
        <v>1.0</v>
      </c>
      <c r="F65" s="130">
        <v>0.0</v>
      </c>
      <c r="G65" s="130">
        <v>2.0</v>
      </c>
      <c r="H65" s="130">
        <v>8.0</v>
      </c>
      <c r="I65" s="130">
        <v>3.0</v>
      </c>
      <c r="J65" s="130">
        <v>1.0</v>
      </c>
    </row>
    <row r="66">
      <c r="A66" s="191">
        <v>46077.0</v>
      </c>
      <c r="B66" s="130">
        <v>7.0</v>
      </c>
      <c r="C66" s="130">
        <v>1.0</v>
      </c>
      <c r="D66" s="130">
        <v>5.0</v>
      </c>
      <c r="E66" s="130">
        <v>0.0</v>
      </c>
      <c r="F66" s="130">
        <v>0.0</v>
      </c>
      <c r="G66" s="130">
        <v>1.0</v>
      </c>
      <c r="H66" s="130">
        <v>6.0</v>
      </c>
      <c r="I66" s="130">
        <v>1.0</v>
      </c>
      <c r="J66" s="130">
        <v>0.0</v>
      </c>
    </row>
    <row r="67">
      <c r="A67" s="191">
        <v>46078.0</v>
      </c>
      <c r="B67" s="130">
        <v>8.0</v>
      </c>
      <c r="C67" s="130">
        <v>5.0</v>
      </c>
      <c r="D67" s="130">
        <v>1.0</v>
      </c>
      <c r="E67" s="130">
        <v>0.0</v>
      </c>
      <c r="F67" s="130">
        <v>0.0</v>
      </c>
      <c r="G67" s="130">
        <v>2.0</v>
      </c>
      <c r="H67" s="130">
        <v>4.0</v>
      </c>
      <c r="I67" s="130">
        <v>1.0</v>
      </c>
      <c r="J67" s="130">
        <v>3.0</v>
      </c>
    </row>
    <row r="68">
      <c r="A68" s="191">
        <v>46079.0</v>
      </c>
      <c r="B68" s="130">
        <v>8.0</v>
      </c>
      <c r="C68" s="130">
        <v>1.0</v>
      </c>
      <c r="D68" s="130">
        <v>3.0</v>
      </c>
      <c r="E68" s="130">
        <v>0.0</v>
      </c>
      <c r="F68" s="130">
        <v>0.0</v>
      </c>
      <c r="G68" s="130">
        <v>4.0</v>
      </c>
      <c r="H68" s="130">
        <v>6.0</v>
      </c>
      <c r="I68" s="130">
        <v>2.0</v>
      </c>
      <c r="J68" s="130">
        <v>0.0</v>
      </c>
    </row>
    <row r="69">
      <c r="A69" s="191">
        <v>46080.0</v>
      </c>
      <c r="B69" s="130">
        <v>14.0</v>
      </c>
      <c r="C69" s="130">
        <v>3.0</v>
      </c>
      <c r="D69" s="130">
        <v>3.0</v>
      </c>
      <c r="E69" s="130">
        <v>1.0</v>
      </c>
      <c r="F69" s="130">
        <v>0.0</v>
      </c>
      <c r="G69" s="130">
        <v>7.0</v>
      </c>
      <c r="H69" s="130">
        <v>9.0</v>
      </c>
      <c r="I69" s="130">
        <v>1.0</v>
      </c>
      <c r="J69" s="130">
        <v>4.0</v>
      </c>
    </row>
    <row r="70">
      <c r="A70" s="191">
        <v>46081.0</v>
      </c>
      <c r="B70" s="130">
        <v>3.0</v>
      </c>
      <c r="C70" s="130">
        <v>0.0</v>
      </c>
      <c r="D70" s="130">
        <v>1.0</v>
      </c>
      <c r="E70" s="130">
        <v>0.0</v>
      </c>
      <c r="F70" s="130">
        <v>0.0</v>
      </c>
      <c r="G70" s="130">
        <v>2.0</v>
      </c>
      <c r="H70" s="130">
        <v>3.0</v>
      </c>
      <c r="I70" s="130">
        <v>0.0</v>
      </c>
      <c r="J70" s="130">
        <v>0.0</v>
      </c>
    </row>
    <row r="71">
      <c r="A71" s="191">
        <v>46082.0</v>
      </c>
      <c r="B71" s="130">
        <v>9.0</v>
      </c>
      <c r="C71" s="130">
        <v>1.0</v>
      </c>
      <c r="D71" s="130">
        <v>6.0</v>
      </c>
      <c r="E71" s="130">
        <v>0.0</v>
      </c>
      <c r="F71" s="130">
        <v>0.0</v>
      </c>
      <c r="G71" s="130">
        <v>2.0</v>
      </c>
      <c r="H71" s="130">
        <v>4.0</v>
      </c>
      <c r="I71" s="130">
        <v>4.0</v>
      </c>
      <c r="J71" s="130">
        <v>1.0</v>
      </c>
    </row>
    <row r="72">
      <c r="A72" s="191">
        <v>46083.0</v>
      </c>
      <c r="B72" s="130">
        <v>7.0</v>
      </c>
      <c r="C72" s="130">
        <v>0.0</v>
      </c>
      <c r="D72" s="130">
        <v>3.0</v>
      </c>
      <c r="E72" s="130">
        <v>0.0</v>
      </c>
      <c r="F72" s="130">
        <v>0.0</v>
      </c>
      <c r="G72" s="130">
        <v>4.0</v>
      </c>
      <c r="H72" s="130">
        <v>7.0</v>
      </c>
      <c r="I72" s="130">
        <v>0.0</v>
      </c>
      <c r="J72" s="130">
        <v>0.0</v>
      </c>
    </row>
    <row r="73">
      <c r="A73" s="191">
        <v>46084.0</v>
      </c>
      <c r="B73" s="130">
        <v>4.0</v>
      </c>
      <c r="C73" s="130">
        <v>0.0</v>
      </c>
      <c r="D73" s="130">
        <v>4.0</v>
      </c>
      <c r="E73" s="130">
        <v>0.0</v>
      </c>
      <c r="F73" s="130">
        <v>0.0</v>
      </c>
      <c r="G73" s="130">
        <v>0.0</v>
      </c>
      <c r="H73" s="130">
        <v>3.0</v>
      </c>
      <c r="I73" s="130">
        <v>1.0</v>
      </c>
      <c r="J73" s="130">
        <v>0.0</v>
      </c>
    </row>
    <row r="74">
      <c r="A74" s="191">
        <v>46085.0</v>
      </c>
      <c r="B74" s="130">
        <v>8.0</v>
      </c>
      <c r="C74" s="130">
        <v>0.0</v>
      </c>
      <c r="D74" s="130">
        <v>5.0</v>
      </c>
      <c r="E74" s="130">
        <v>1.0</v>
      </c>
      <c r="F74" s="130">
        <v>1.0</v>
      </c>
      <c r="G74" s="130">
        <v>1.0</v>
      </c>
      <c r="H74" s="130">
        <v>7.0</v>
      </c>
      <c r="I74" s="130">
        <v>1.0</v>
      </c>
      <c r="J74" s="130">
        <v>0.0</v>
      </c>
    </row>
    <row r="75">
      <c r="A75" s="191">
        <v>46086.0</v>
      </c>
      <c r="B75" s="130">
        <v>7.0</v>
      </c>
      <c r="C75" s="130">
        <v>2.0</v>
      </c>
      <c r="D75" s="130">
        <v>3.0</v>
      </c>
      <c r="E75" s="130">
        <v>0.0</v>
      </c>
      <c r="F75" s="130">
        <v>0.0</v>
      </c>
      <c r="G75" s="130">
        <v>2.0</v>
      </c>
      <c r="H75" s="130">
        <v>5.0</v>
      </c>
      <c r="I75" s="130">
        <v>2.0</v>
      </c>
      <c r="J75" s="130">
        <v>0.0</v>
      </c>
    </row>
    <row r="76">
      <c r="A76" s="191">
        <v>46087.0</v>
      </c>
      <c r="B76" s="130">
        <v>7.0</v>
      </c>
      <c r="C76" s="130">
        <v>2.0</v>
      </c>
      <c r="D76" s="130">
        <v>5.0</v>
      </c>
      <c r="E76" s="130">
        <v>0.0</v>
      </c>
      <c r="F76" s="130">
        <v>0.0</v>
      </c>
      <c r="G76" s="130">
        <v>0.0</v>
      </c>
      <c r="H76" s="130">
        <v>4.0</v>
      </c>
      <c r="I76" s="130">
        <v>3.0</v>
      </c>
      <c r="J76" s="130">
        <v>0.0</v>
      </c>
    </row>
    <row r="77">
      <c r="A77" s="191">
        <v>46088.0</v>
      </c>
      <c r="B77" s="130">
        <v>8.0</v>
      </c>
      <c r="C77" s="130">
        <v>2.0</v>
      </c>
      <c r="D77" s="130">
        <v>6.0</v>
      </c>
      <c r="E77" s="130">
        <v>0.0</v>
      </c>
      <c r="F77" s="130">
        <v>0.0</v>
      </c>
      <c r="G77" s="130">
        <v>0.0</v>
      </c>
      <c r="H77" s="130">
        <v>4.0</v>
      </c>
      <c r="I77" s="130">
        <v>4.0</v>
      </c>
      <c r="J77" s="130">
        <v>0.0</v>
      </c>
    </row>
    <row r="78">
      <c r="A78" s="191">
        <v>46089.0</v>
      </c>
      <c r="B78" s="130">
        <v>8.0</v>
      </c>
      <c r="C78" s="130">
        <v>2.0</v>
      </c>
      <c r="D78" s="130">
        <v>5.0</v>
      </c>
      <c r="E78" s="130">
        <v>0.0</v>
      </c>
      <c r="F78" s="130">
        <v>0.0</v>
      </c>
      <c r="G78" s="130">
        <v>1.0</v>
      </c>
      <c r="H78" s="130">
        <v>4.0</v>
      </c>
      <c r="I78" s="130">
        <v>3.0</v>
      </c>
      <c r="J78" s="130">
        <v>1.0</v>
      </c>
    </row>
    <row r="79">
      <c r="A79" s="191">
        <v>46090.0</v>
      </c>
      <c r="B79" s="130">
        <v>4.0</v>
      </c>
      <c r="C79" s="130">
        <v>1.0</v>
      </c>
      <c r="D79" s="130">
        <v>0.0</v>
      </c>
      <c r="E79" s="130">
        <v>0.0</v>
      </c>
      <c r="F79" s="130">
        <v>0.0</v>
      </c>
      <c r="G79" s="130">
        <v>3.0</v>
      </c>
      <c r="H79" s="130">
        <v>2.0</v>
      </c>
      <c r="I79" s="130">
        <v>1.0</v>
      </c>
      <c r="J79" s="130">
        <v>1.0</v>
      </c>
    </row>
    <row r="80">
      <c r="A80" s="191">
        <v>46091.0</v>
      </c>
      <c r="B80" s="130">
        <v>5.0</v>
      </c>
      <c r="C80" s="130">
        <v>1.0</v>
      </c>
      <c r="D80" s="130">
        <v>4.0</v>
      </c>
      <c r="E80" s="130">
        <v>0.0</v>
      </c>
      <c r="F80" s="130">
        <v>0.0</v>
      </c>
      <c r="G80" s="130">
        <v>0.0</v>
      </c>
      <c r="H80" s="130">
        <v>4.0</v>
      </c>
      <c r="I80" s="130">
        <v>1.0</v>
      </c>
      <c r="J80" s="130">
        <v>0.0</v>
      </c>
    </row>
    <row r="81">
      <c r="A81" s="191">
        <v>46092.0</v>
      </c>
      <c r="B81" s="130">
        <v>12.0</v>
      </c>
      <c r="C81" s="130">
        <v>3.0</v>
      </c>
      <c r="D81" s="130">
        <v>5.0</v>
      </c>
      <c r="E81" s="130">
        <v>0.0</v>
      </c>
      <c r="F81" s="130">
        <v>0.0</v>
      </c>
      <c r="G81" s="130">
        <v>4.0</v>
      </c>
      <c r="H81" s="130">
        <v>8.0</v>
      </c>
      <c r="I81" s="130">
        <v>0.0</v>
      </c>
      <c r="J81" s="130">
        <v>4.0</v>
      </c>
    </row>
    <row r="82">
      <c r="A82" s="191">
        <v>46093.0</v>
      </c>
      <c r="B82" s="130">
        <v>5.0</v>
      </c>
      <c r="C82" s="130">
        <v>2.0</v>
      </c>
      <c r="D82" s="130">
        <v>2.0</v>
      </c>
      <c r="E82" s="130">
        <v>0.0</v>
      </c>
      <c r="F82" s="130">
        <v>0.0</v>
      </c>
      <c r="G82" s="130">
        <v>1.0</v>
      </c>
      <c r="H82" s="130">
        <v>2.0</v>
      </c>
      <c r="I82" s="130">
        <v>2.0</v>
      </c>
      <c r="J82" s="130">
        <v>1.0</v>
      </c>
    </row>
    <row r="83">
      <c r="A83" s="191">
        <v>46094.0</v>
      </c>
      <c r="B83" s="130">
        <v>11.0</v>
      </c>
      <c r="C83" s="130">
        <v>1.0</v>
      </c>
      <c r="D83" s="130">
        <v>6.0</v>
      </c>
      <c r="E83" s="130">
        <v>0.0</v>
      </c>
      <c r="F83" s="130">
        <v>0.0</v>
      </c>
      <c r="G83" s="130">
        <v>4.0</v>
      </c>
      <c r="H83" s="130">
        <v>3.0</v>
      </c>
      <c r="I83" s="130">
        <v>5.0</v>
      </c>
      <c r="J83" s="130">
        <v>3.0</v>
      </c>
    </row>
    <row r="84">
      <c r="A84" s="191">
        <v>46095.0</v>
      </c>
      <c r="B84" s="130">
        <v>10.0</v>
      </c>
      <c r="C84" s="130">
        <v>2.0</v>
      </c>
      <c r="D84" s="130">
        <v>5.0</v>
      </c>
      <c r="E84" s="130">
        <v>0.0</v>
      </c>
      <c r="F84" s="130">
        <v>0.0</v>
      </c>
      <c r="G84" s="130">
        <v>3.0</v>
      </c>
      <c r="H84" s="130">
        <v>5.0</v>
      </c>
      <c r="I84" s="130">
        <v>2.0</v>
      </c>
      <c r="J84" s="130">
        <v>3.0</v>
      </c>
    </row>
    <row r="85">
      <c r="A85" s="191">
        <v>46096.0</v>
      </c>
      <c r="B85" s="130">
        <v>9.0</v>
      </c>
      <c r="C85" s="130">
        <v>0.0</v>
      </c>
      <c r="D85" s="130">
        <v>7.0</v>
      </c>
      <c r="E85" s="130">
        <v>0.0</v>
      </c>
      <c r="F85" s="130">
        <v>0.0</v>
      </c>
      <c r="G85" s="130">
        <v>2.0</v>
      </c>
      <c r="H85" s="130">
        <v>2.0</v>
      </c>
      <c r="I85" s="130">
        <v>5.0</v>
      </c>
      <c r="J85" s="130">
        <v>2.0</v>
      </c>
    </row>
    <row r="86">
      <c r="A86" s="191">
        <v>46097.0</v>
      </c>
      <c r="B86" s="130">
        <v>13.0</v>
      </c>
      <c r="C86" s="130">
        <v>2.0</v>
      </c>
      <c r="D86" s="130">
        <v>8.0</v>
      </c>
      <c r="E86" s="130">
        <v>0.0</v>
      </c>
      <c r="F86" s="130">
        <v>1.0</v>
      </c>
      <c r="G86" s="130">
        <v>2.0</v>
      </c>
      <c r="H86" s="130">
        <v>4.0</v>
      </c>
      <c r="I86" s="130">
        <v>7.0</v>
      </c>
      <c r="J86" s="130">
        <v>2.0</v>
      </c>
    </row>
    <row r="87">
      <c r="A87" s="191">
        <v>46098.0</v>
      </c>
      <c r="B87" s="130">
        <v>9.0</v>
      </c>
      <c r="C87" s="130">
        <v>3.0</v>
      </c>
      <c r="D87" s="130">
        <v>5.0</v>
      </c>
      <c r="E87" s="130">
        <v>0.0</v>
      </c>
      <c r="F87" s="130">
        <v>0.0</v>
      </c>
      <c r="G87" s="130">
        <v>1.0</v>
      </c>
      <c r="H87" s="130">
        <v>5.0</v>
      </c>
      <c r="I87" s="130">
        <v>4.0</v>
      </c>
      <c r="J87" s="130">
        <v>0.0</v>
      </c>
    </row>
    <row r="88">
      <c r="A88" s="191">
        <v>46099.0</v>
      </c>
      <c r="B88" s="130">
        <v>7.0</v>
      </c>
      <c r="C88" s="130">
        <v>2.0</v>
      </c>
      <c r="D88" s="130">
        <v>3.0</v>
      </c>
      <c r="E88" s="130">
        <v>0.0</v>
      </c>
      <c r="F88" s="130">
        <v>0.0</v>
      </c>
      <c r="G88" s="130">
        <v>2.0</v>
      </c>
      <c r="H88" s="130">
        <v>4.0</v>
      </c>
      <c r="I88" s="130">
        <v>0.0</v>
      </c>
      <c r="J88" s="130">
        <v>3.0</v>
      </c>
    </row>
    <row r="89">
      <c r="A89" s="191">
        <v>46100.0</v>
      </c>
      <c r="B89" s="130">
        <v>17.0</v>
      </c>
      <c r="C89" s="130">
        <v>5.0</v>
      </c>
      <c r="D89" s="130">
        <v>8.0</v>
      </c>
      <c r="E89" s="130">
        <v>0.0</v>
      </c>
      <c r="F89" s="130">
        <v>0.0</v>
      </c>
      <c r="G89" s="130">
        <v>4.0</v>
      </c>
      <c r="H89" s="130">
        <v>6.0</v>
      </c>
      <c r="I89" s="130">
        <v>8.0</v>
      </c>
      <c r="J89" s="130">
        <v>3.0</v>
      </c>
    </row>
    <row r="90">
      <c r="A90" s="191">
        <v>46101.0</v>
      </c>
      <c r="B90" s="130">
        <v>18.0</v>
      </c>
      <c r="C90" s="130">
        <v>4.0</v>
      </c>
      <c r="D90" s="130">
        <v>10.0</v>
      </c>
      <c r="E90" s="130">
        <v>0.0</v>
      </c>
      <c r="F90" s="130">
        <v>0.0</v>
      </c>
      <c r="G90" s="130">
        <v>4.0</v>
      </c>
      <c r="H90" s="130">
        <v>9.0</v>
      </c>
      <c r="I90" s="130">
        <v>7.0</v>
      </c>
      <c r="J90" s="130">
        <v>2.0</v>
      </c>
    </row>
    <row r="91">
      <c r="A91" s="191">
        <v>46102.0</v>
      </c>
      <c r="B91" s="130">
        <v>15.0</v>
      </c>
      <c r="C91" s="130">
        <v>2.0</v>
      </c>
      <c r="D91" s="130">
        <v>9.0</v>
      </c>
      <c r="E91" s="130">
        <v>0.0</v>
      </c>
      <c r="F91" s="130">
        <v>2.0</v>
      </c>
      <c r="G91" s="130">
        <v>2.0</v>
      </c>
      <c r="H91" s="130">
        <v>7.0</v>
      </c>
      <c r="I91" s="130">
        <v>7.0</v>
      </c>
      <c r="J91" s="130">
        <v>1.0</v>
      </c>
    </row>
    <row r="92">
      <c r="A92" s="191">
        <v>46103.0</v>
      </c>
      <c r="B92" s="130">
        <v>7.0</v>
      </c>
      <c r="C92" s="130">
        <v>1.0</v>
      </c>
      <c r="D92" s="130">
        <v>3.0</v>
      </c>
      <c r="E92" s="130">
        <v>0.0</v>
      </c>
      <c r="F92" s="130">
        <v>0.0</v>
      </c>
      <c r="G92" s="130">
        <v>3.0</v>
      </c>
      <c r="H92" s="130">
        <v>3.0</v>
      </c>
      <c r="I92" s="130">
        <v>2.0</v>
      </c>
      <c r="J92" s="130">
        <v>2.0</v>
      </c>
    </row>
    <row r="93">
      <c r="A93" s="191">
        <v>46104.0</v>
      </c>
      <c r="B93" s="130">
        <v>15.0</v>
      </c>
      <c r="C93" s="130">
        <v>2.0</v>
      </c>
      <c r="D93" s="130">
        <v>10.0</v>
      </c>
      <c r="E93" s="130">
        <v>0.0</v>
      </c>
      <c r="F93" s="130">
        <v>0.0</v>
      </c>
      <c r="G93" s="130">
        <v>3.0</v>
      </c>
      <c r="H93" s="130">
        <v>5.0</v>
      </c>
      <c r="I93" s="130">
        <v>9.0</v>
      </c>
      <c r="J93" s="130">
        <v>1.0</v>
      </c>
    </row>
    <row r="94">
      <c r="A94" s="191">
        <v>46105.0</v>
      </c>
      <c r="B94" s="130">
        <v>19.0</v>
      </c>
      <c r="C94" s="130">
        <v>4.0</v>
      </c>
      <c r="D94" s="130">
        <v>12.0</v>
      </c>
      <c r="E94" s="130">
        <v>0.0</v>
      </c>
      <c r="F94" s="130">
        <v>0.0</v>
      </c>
      <c r="G94" s="130">
        <v>3.0</v>
      </c>
      <c r="H94" s="130">
        <v>11.0</v>
      </c>
      <c r="I94" s="130">
        <v>8.0</v>
      </c>
      <c r="J94" s="130">
        <v>0.0</v>
      </c>
    </row>
    <row r="95">
      <c r="A95" s="191">
        <v>46106.0</v>
      </c>
      <c r="B95" s="130">
        <v>5.0</v>
      </c>
      <c r="C95" s="130">
        <v>1.0</v>
      </c>
      <c r="D95" s="130">
        <v>3.0</v>
      </c>
      <c r="E95" s="130">
        <v>0.0</v>
      </c>
      <c r="F95" s="130">
        <v>0.0</v>
      </c>
      <c r="G95" s="130">
        <v>1.0</v>
      </c>
      <c r="H95" s="130">
        <v>4.0</v>
      </c>
      <c r="I95" s="130">
        <v>1.0</v>
      </c>
      <c r="J95" s="130">
        <v>0.0</v>
      </c>
    </row>
    <row r="96">
      <c r="A96" s="191">
        <v>46107.0</v>
      </c>
      <c r="B96" s="130">
        <v>6.0</v>
      </c>
      <c r="C96" s="130">
        <v>1.0</v>
      </c>
      <c r="D96" s="130">
        <v>2.0</v>
      </c>
      <c r="E96" s="130">
        <v>1.0</v>
      </c>
      <c r="F96" s="130">
        <v>1.0</v>
      </c>
      <c r="G96" s="130">
        <v>1.0</v>
      </c>
      <c r="H96" s="130">
        <v>4.0</v>
      </c>
      <c r="I96" s="130">
        <v>1.0</v>
      </c>
      <c r="J96" s="130">
        <v>1.0</v>
      </c>
    </row>
    <row r="97">
      <c r="A97" s="191">
        <v>46108.0</v>
      </c>
      <c r="B97" s="130">
        <v>6.0</v>
      </c>
      <c r="C97" s="130">
        <v>2.0</v>
      </c>
      <c r="D97" s="130">
        <v>0.0</v>
      </c>
      <c r="E97" s="130">
        <v>0.0</v>
      </c>
      <c r="F97" s="130">
        <v>0.0</v>
      </c>
      <c r="G97" s="130">
        <v>4.0</v>
      </c>
      <c r="H97" s="130">
        <v>3.0</v>
      </c>
      <c r="I97" s="130">
        <v>2.0</v>
      </c>
      <c r="J97" s="130">
        <v>1.0</v>
      </c>
    </row>
    <row r="98">
      <c r="A98" s="191">
        <v>46109.0</v>
      </c>
      <c r="B98" s="130">
        <v>11.0</v>
      </c>
      <c r="C98" s="130">
        <v>3.0</v>
      </c>
      <c r="D98" s="130">
        <v>2.0</v>
      </c>
      <c r="E98" s="130">
        <v>1.0</v>
      </c>
      <c r="F98" s="130">
        <v>0.0</v>
      </c>
      <c r="G98" s="130">
        <v>5.0</v>
      </c>
      <c r="H98" s="130">
        <v>4.0</v>
      </c>
      <c r="I98" s="130">
        <v>4.0</v>
      </c>
      <c r="J98" s="130">
        <v>3.0</v>
      </c>
    </row>
    <row r="99">
      <c r="A99" s="191">
        <v>46110.0</v>
      </c>
      <c r="B99" s="130">
        <v>6.0</v>
      </c>
      <c r="C99" s="130">
        <v>1.0</v>
      </c>
      <c r="D99" s="130">
        <v>1.0</v>
      </c>
      <c r="E99" s="130">
        <v>0.0</v>
      </c>
      <c r="F99" s="130">
        <v>0.0</v>
      </c>
      <c r="G99" s="130">
        <v>4.0</v>
      </c>
      <c r="H99" s="130">
        <v>3.0</v>
      </c>
      <c r="I99" s="130">
        <v>1.0</v>
      </c>
      <c r="J99" s="130">
        <v>2.0</v>
      </c>
    </row>
    <row r="100">
      <c r="A100" s="191">
        <v>46111.0</v>
      </c>
      <c r="B100" s="130">
        <v>8.0</v>
      </c>
      <c r="C100" s="130">
        <v>1.0</v>
      </c>
      <c r="D100" s="130">
        <v>5.0</v>
      </c>
      <c r="E100" s="130">
        <v>0.0</v>
      </c>
      <c r="F100" s="130">
        <v>0.0</v>
      </c>
      <c r="G100" s="130">
        <v>2.0</v>
      </c>
      <c r="H100" s="130">
        <v>5.0</v>
      </c>
      <c r="I100" s="130">
        <v>2.0</v>
      </c>
      <c r="J100" s="130">
        <v>1.0</v>
      </c>
    </row>
    <row r="101">
      <c r="A101" s="191">
        <v>46112.0</v>
      </c>
      <c r="B101" s="130">
        <v>9.0</v>
      </c>
      <c r="C101" s="130">
        <v>1.0</v>
      </c>
      <c r="D101" s="130">
        <v>7.0</v>
      </c>
      <c r="E101" s="130">
        <v>0.0</v>
      </c>
      <c r="F101" s="130">
        <v>0.0</v>
      </c>
      <c r="G101" s="130">
        <v>1.0</v>
      </c>
      <c r="H101" s="130">
        <v>4.0</v>
      </c>
      <c r="I101" s="130">
        <v>5.0</v>
      </c>
      <c r="J101" s="130">
        <v>0.0</v>
      </c>
    </row>
    <row r="102">
      <c r="A102" s="191">
        <v>46113.0</v>
      </c>
      <c r="B102" s="130">
        <v>7.0</v>
      </c>
      <c r="C102" s="130">
        <v>2.0</v>
      </c>
      <c r="D102" s="130">
        <v>4.0</v>
      </c>
      <c r="E102" s="130">
        <v>0.0</v>
      </c>
      <c r="F102" s="130">
        <v>0.0</v>
      </c>
      <c r="G102" s="130">
        <v>1.0</v>
      </c>
      <c r="H102" s="130">
        <v>2.0</v>
      </c>
      <c r="I102" s="130">
        <v>5.0</v>
      </c>
      <c r="J102" s="130">
        <v>0.0</v>
      </c>
    </row>
    <row r="103">
      <c r="A103" s="191">
        <v>46114.0</v>
      </c>
      <c r="B103" s="130">
        <v>6.0</v>
      </c>
      <c r="C103" s="130">
        <v>0.0</v>
      </c>
      <c r="D103" s="130">
        <v>3.0</v>
      </c>
      <c r="E103" s="130">
        <v>0.0</v>
      </c>
      <c r="F103" s="130">
        <v>0.0</v>
      </c>
      <c r="G103" s="130">
        <v>3.0</v>
      </c>
      <c r="H103" s="130">
        <v>3.0</v>
      </c>
      <c r="I103" s="130">
        <v>3.0</v>
      </c>
      <c r="J103" s="130">
        <v>0.0</v>
      </c>
    </row>
    <row r="104">
      <c r="A104" s="191">
        <v>46115.0</v>
      </c>
      <c r="B104" s="130">
        <v>8.0</v>
      </c>
      <c r="C104" s="130">
        <v>1.0</v>
      </c>
      <c r="D104" s="130">
        <v>6.0</v>
      </c>
      <c r="E104" s="130">
        <v>0.0</v>
      </c>
      <c r="F104" s="130">
        <v>0.0</v>
      </c>
      <c r="G104" s="130">
        <v>1.0</v>
      </c>
      <c r="H104" s="130">
        <v>6.0</v>
      </c>
      <c r="I104" s="130">
        <v>2.0</v>
      </c>
      <c r="J104" s="130">
        <v>0.0</v>
      </c>
    </row>
    <row r="105">
      <c r="A105" s="191">
        <v>46116.0</v>
      </c>
      <c r="B105" s="130">
        <v>13.0</v>
      </c>
      <c r="C105" s="130">
        <v>3.0</v>
      </c>
      <c r="D105" s="130">
        <v>6.0</v>
      </c>
      <c r="E105" s="130">
        <v>0.0</v>
      </c>
      <c r="F105" s="130">
        <v>0.0</v>
      </c>
      <c r="G105" s="130">
        <v>4.0</v>
      </c>
      <c r="H105" s="130">
        <v>7.0</v>
      </c>
      <c r="I105" s="130">
        <v>2.0</v>
      </c>
      <c r="J105" s="130">
        <v>4.0</v>
      </c>
    </row>
    <row r="106">
      <c r="A106" s="191">
        <v>46117.0</v>
      </c>
      <c r="B106" s="130">
        <v>4.0</v>
      </c>
      <c r="C106" s="130">
        <v>3.0</v>
      </c>
      <c r="D106" s="130">
        <v>0.0</v>
      </c>
      <c r="E106" s="130">
        <v>1.0</v>
      </c>
      <c r="F106" s="130">
        <v>0.0</v>
      </c>
      <c r="G106" s="130">
        <v>0.0</v>
      </c>
      <c r="H106" s="130">
        <v>3.0</v>
      </c>
      <c r="I106" s="130">
        <v>0.0</v>
      </c>
      <c r="J106" s="130">
        <v>1.0</v>
      </c>
    </row>
    <row r="107">
      <c r="A107" s="191">
        <v>46118.0</v>
      </c>
      <c r="B107" s="130">
        <v>11.0</v>
      </c>
      <c r="C107" s="130">
        <v>4.0</v>
      </c>
      <c r="D107" s="130">
        <v>4.0</v>
      </c>
      <c r="E107" s="130">
        <v>0.0</v>
      </c>
      <c r="F107" s="130">
        <v>0.0</v>
      </c>
      <c r="G107" s="130">
        <v>3.0</v>
      </c>
      <c r="H107" s="130">
        <v>2.0</v>
      </c>
      <c r="I107" s="130">
        <v>5.0</v>
      </c>
      <c r="J107" s="130">
        <v>4.0</v>
      </c>
    </row>
    <row r="108">
      <c r="A108" s="191">
        <v>46119.0</v>
      </c>
      <c r="B108" s="130">
        <v>17.0</v>
      </c>
      <c r="C108" s="130">
        <v>2.0</v>
      </c>
      <c r="D108" s="130">
        <v>8.0</v>
      </c>
      <c r="E108" s="130">
        <v>0.0</v>
      </c>
      <c r="F108" s="130">
        <v>0.0</v>
      </c>
      <c r="G108" s="130">
        <v>7.0</v>
      </c>
      <c r="H108" s="130">
        <v>10.0</v>
      </c>
      <c r="I108" s="130">
        <v>4.0</v>
      </c>
      <c r="J108" s="130">
        <v>3.0</v>
      </c>
    </row>
    <row r="109">
      <c r="A109" s="191">
        <v>46120.0</v>
      </c>
      <c r="B109" s="130">
        <v>19.0</v>
      </c>
      <c r="C109" s="130">
        <v>5.0</v>
      </c>
      <c r="D109" s="130">
        <v>9.0</v>
      </c>
      <c r="E109" s="130">
        <v>0.0</v>
      </c>
      <c r="F109" s="130">
        <v>0.0</v>
      </c>
      <c r="G109" s="130">
        <v>5.0</v>
      </c>
      <c r="H109" s="130">
        <v>10.0</v>
      </c>
      <c r="I109" s="130">
        <v>7.0</v>
      </c>
      <c r="J109" s="130">
        <v>2.0</v>
      </c>
    </row>
    <row r="110">
      <c r="A110" s="191">
        <v>46121.0</v>
      </c>
      <c r="B110" s="130">
        <v>12.0</v>
      </c>
      <c r="C110" s="130">
        <v>1.0</v>
      </c>
      <c r="D110" s="130">
        <v>5.0</v>
      </c>
      <c r="E110" s="130">
        <v>0.0</v>
      </c>
      <c r="F110" s="130">
        <v>1.0</v>
      </c>
      <c r="G110" s="130">
        <v>5.0</v>
      </c>
      <c r="H110" s="130">
        <v>4.0</v>
      </c>
      <c r="I110" s="130">
        <v>4.0</v>
      </c>
      <c r="J110" s="130">
        <v>4.0</v>
      </c>
    </row>
    <row r="111">
      <c r="A111" s="191">
        <v>46122.0</v>
      </c>
      <c r="B111" s="130">
        <v>9.0</v>
      </c>
      <c r="C111" s="130">
        <v>1.0</v>
      </c>
      <c r="D111" s="130">
        <v>5.0</v>
      </c>
      <c r="E111" s="130">
        <v>0.0</v>
      </c>
      <c r="F111" s="130">
        <v>0.0</v>
      </c>
      <c r="G111" s="130">
        <v>3.0</v>
      </c>
      <c r="H111" s="130">
        <v>5.0</v>
      </c>
      <c r="I111" s="130">
        <v>2.0</v>
      </c>
      <c r="J111" s="130">
        <v>2.0</v>
      </c>
    </row>
    <row r="112">
      <c r="A112" s="191">
        <v>46123.0</v>
      </c>
      <c r="B112" s="130">
        <v>15.0</v>
      </c>
      <c r="C112" s="130">
        <v>7.0</v>
      </c>
      <c r="D112" s="130">
        <v>8.0</v>
      </c>
      <c r="E112" s="130">
        <v>0.0</v>
      </c>
      <c r="F112" s="130">
        <v>0.0</v>
      </c>
      <c r="G112" s="130">
        <v>0.0</v>
      </c>
      <c r="H112" s="130">
        <v>8.0</v>
      </c>
      <c r="I112" s="130">
        <v>6.0</v>
      </c>
      <c r="J112" s="130">
        <v>1.0</v>
      </c>
    </row>
    <row r="113">
      <c r="A113" s="191">
        <v>46124.0</v>
      </c>
      <c r="B113" s="130">
        <v>12.0</v>
      </c>
      <c r="C113" s="130">
        <v>3.0</v>
      </c>
      <c r="D113" s="130">
        <v>6.0</v>
      </c>
      <c r="E113" s="130">
        <v>0.0</v>
      </c>
      <c r="F113" s="130">
        <v>0.0</v>
      </c>
      <c r="G113" s="130">
        <v>3.0</v>
      </c>
      <c r="H113" s="130">
        <v>4.0</v>
      </c>
      <c r="I113" s="130">
        <v>6.0</v>
      </c>
      <c r="J113" s="130">
        <v>2.0</v>
      </c>
    </row>
    <row r="114">
      <c r="A114" s="191">
        <v>46125.0</v>
      </c>
      <c r="B114" s="130">
        <v>14.0</v>
      </c>
      <c r="C114" s="130">
        <v>3.0</v>
      </c>
      <c r="D114" s="130">
        <v>7.0</v>
      </c>
      <c r="E114" s="130">
        <v>0.0</v>
      </c>
      <c r="F114" s="130">
        <v>0.0</v>
      </c>
      <c r="G114" s="130">
        <v>4.0</v>
      </c>
      <c r="H114" s="130">
        <v>10.0</v>
      </c>
      <c r="I114" s="130">
        <v>1.0</v>
      </c>
      <c r="J114" s="130">
        <v>3.0</v>
      </c>
    </row>
    <row r="115">
      <c r="A115" s="191">
        <v>46126.0</v>
      </c>
      <c r="B115" s="130">
        <v>13.0</v>
      </c>
      <c r="C115" s="130">
        <v>5.0</v>
      </c>
      <c r="D115" s="130">
        <v>4.0</v>
      </c>
      <c r="E115" s="130">
        <v>0.0</v>
      </c>
      <c r="F115" s="130">
        <v>0.0</v>
      </c>
      <c r="G115" s="130">
        <v>4.0</v>
      </c>
      <c r="H115" s="130">
        <v>5.0</v>
      </c>
      <c r="I115" s="130">
        <v>6.0</v>
      </c>
      <c r="J115" s="130">
        <v>2.0</v>
      </c>
    </row>
    <row r="116">
      <c r="A116" s="191">
        <v>46127.0</v>
      </c>
      <c r="B116" s="130">
        <v>7.0</v>
      </c>
      <c r="C116" s="130">
        <v>1.0</v>
      </c>
      <c r="D116" s="130">
        <v>4.0</v>
      </c>
      <c r="E116" s="130">
        <v>0.0</v>
      </c>
      <c r="F116" s="130">
        <v>0.0</v>
      </c>
      <c r="G116" s="130">
        <v>2.0</v>
      </c>
      <c r="H116" s="130">
        <v>6.0</v>
      </c>
      <c r="I116" s="130">
        <v>1.0</v>
      </c>
      <c r="J116" s="130">
        <v>0.0</v>
      </c>
    </row>
    <row r="117">
      <c r="A117" s="191">
        <v>46128.0</v>
      </c>
      <c r="B117" s="130">
        <v>16.0</v>
      </c>
      <c r="C117" s="130">
        <v>2.0</v>
      </c>
      <c r="D117" s="130">
        <v>9.0</v>
      </c>
      <c r="E117" s="130">
        <v>0.0</v>
      </c>
      <c r="F117" s="130">
        <v>2.0</v>
      </c>
      <c r="G117" s="130">
        <v>3.0</v>
      </c>
      <c r="H117" s="130">
        <v>8.0</v>
      </c>
      <c r="I117" s="130">
        <v>2.0</v>
      </c>
      <c r="J117" s="130">
        <v>6.0</v>
      </c>
    </row>
    <row r="118">
      <c r="A118" s="191">
        <v>46129.0</v>
      </c>
      <c r="B118" s="130">
        <v>9.0</v>
      </c>
      <c r="C118" s="130">
        <v>1.0</v>
      </c>
      <c r="D118" s="130">
        <v>4.0</v>
      </c>
      <c r="E118" s="130">
        <v>0.0</v>
      </c>
      <c r="F118" s="130">
        <v>0.0</v>
      </c>
      <c r="G118" s="130">
        <v>4.0</v>
      </c>
      <c r="H118" s="130">
        <v>4.0</v>
      </c>
      <c r="I118" s="130">
        <v>2.0</v>
      </c>
      <c r="J118" s="130">
        <v>3.0</v>
      </c>
    </row>
    <row r="119">
      <c r="A119" s="191">
        <v>46130.0</v>
      </c>
      <c r="B119" s="130">
        <v>6.0</v>
      </c>
      <c r="C119" s="130">
        <v>2.0</v>
      </c>
      <c r="D119" s="130">
        <v>3.0</v>
      </c>
      <c r="E119" s="130">
        <v>0.0</v>
      </c>
      <c r="F119" s="130">
        <v>0.0</v>
      </c>
      <c r="G119" s="130">
        <v>1.0</v>
      </c>
      <c r="H119" s="130">
        <v>2.0</v>
      </c>
      <c r="I119" s="130">
        <v>3.0</v>
      </c>
      <c r="J119" s="130">
        <v>1.0</v>
      </c>
    </row>
    <row r="120">
      <c r="A120" s="191">
        <v>46131.0</v>
      </c>
      <c r="B120" s="130">
        <v>17.0</v>
      </c>
      <c r="C120" s="130">
        <v>3.0</v>
      </c>
      <c r="D120" s="130">
        <v>10.0</v>
      </c>
      <c r="E120" s="130">
        <v>1.0</v>
      </c>
      <c r="F120" s="130">
        <v>1.0</v>
      </c>
      <c r="G120" s="130">
        <v>2.0</v>
      </c>
      <c r="H120" s="130">
        <v>4.0</v>
      </c>
      <c r="I120" s="130">
        <v>10.0</v>
      </c>
      <c r="J120" s="130">
        <v>3.0</v>
      </c>
    </row>
    <row r="121">
      <c r="A121" s="191">
        <v>46132.0</v>
      </c>
      <c r="B121" s="130">
        <v>4.0</v>
      </c>
      <c r="C121" s="130">
        <v>0.0</v>
      </c>
      <c r="D121" s="130">
        <v>2.0</v>
      </c>
      <c r="E121" s="130">
        <v>0.0</v>
      </c>
      <c r="F121" s="130">
        <v>0.0</v>
      </c>
      <c r="G121" s="130">
        <v>2.0</v>
      </c>
      <c r="H121" s="130">
        <v>2.0</v>
      </c>
      <c r="I121" s="130">
        <v>2.0</v>
      </c>
      <c r="J121" s="130">
        <v>0.0</v>
      </c>
    </row>
    <row r="122">
      <c r="A122" s="191">
        <v>46133.0</v>
      </c>
      <c r="B122" s="130">
        <v>12.0</v>
      </c>
      <c r="C122" s="130">
        <v>2.0</v>
      </c>
      <c r="D122" s="130">
        <v>8.0</v>
      </c>
      <c r="E122" s="130">
        <v>0.0</v>
      </c>
      <c r="F122" s="130">
        <v>0.0</v>
      </c>
      <c r="G122" s="130">
        <v>2.0</v>
      </c>
      <c r="H122" s="130">
        <v>4.0</v>
      </c>
      <c r="I122" s="130">
        <v>5.0</v>
      </c>
      <c r="J122" s="130">
        <v>3.0</v>
      </c>
    </row>
    <row r="123">
      <c r="A123" s="191">
        <v>46134.0</v>
      </c>
      <c r="B123" s="130">
        <v>11.0</v>
      </c>
      <c r="C123" s="130">
        <v>3.0</v>
      </c>
      <c r="D123" s="130">
        <v>5.0</v>
      </c>
      <c r="E123" s="130">
        <v>0.0</v>
      </c>
      <c r="F123" s="130">
        <v>0.0</v>
      </c>
      <c r="G123" s="130">
        <v>3.0</v>
      </c>
      <c r="H123" s="130">
        <v>4.0</v>
      </c>
      <c r="I123" s="130">
        <v>4.0</v>
      </c>
      <c r="J123" s="130">
        <v>3.0</v>
      </c>
    </row>
    <row r="124">
      <c r="A124" s="191">
        <v>46135.0</v>
      </c>
      <c r="B124" s="130">
        <v>5.0</v>
      </c>
      <c r="C124" s="130">
        <v>2.0</v>
      </c>
      <c r="D124" s="130">
        <v>1.0</v>
      </c>
      <c r="E124" s="130">
        <v>0.0</v>
      </c>
      <c r="F124" s="130">
        <v>1.0</v>
      </c>
      <c r="G124" s="130">
        <v>1.0</v>
      </c>
      <c r="H124" s="130">
        <v>3.0</v>
      </c>
      <c r="I124" s="130">
        <v>2.0</v>
      </c>
      <c r="J124" s="130">
        <v>0.0</v>
      </c>
    </row>
    <row r="125">
      <c r="A125" s="191">
        <v>46136.0</v>
      </c>
      <c r="B125" s="130">
        <v>9.0</v>
      </c>
      <c r="C125" s="130">
        <v>4.0</v>
      </c>
      <c r="D125" s="130">
        <v>3.0</v>
      </c>
      <c r="E125" s="130">
        <v>0.0</v>
      </c>
      <c r="F125" s="130">
        <v>0.0</v>
      </c>
      <c r="G125" s="130">
        <v>2.0</v>
      </c>
      <c r="H125" s="130">
        <v>1.0</v>
      </c>
      <c r="I125" s="130">
        <v>5.0</v>
      </c>
      <c r="J125" s="130">
        <v>3.0</v>
      </c>
    </row>
    <row r="126">
      <c r="A126" s="191">
        <v>46137.0</v>
      </c>
      <c r="B126" s="130">
        <v>11.0</v>
      </c>
      <c r="C126" s="130">
        <v>5.0</v>
      </c>
      <c r="D126" s="130">
        <v>3.0</v>
      </c>
      <c r="E126" s="130">
        <v>0.0</v>
      </c>
      <c r="F126" s="130">
        <v>0.0</v>
      </c>
      <c r="G126" s="130">
        <v>3.0</v>
      </c>
      <c r="H126" s="130">
        <v>3.0</v>
      </c>
      <c r="I126" s="130">
        <v>7.0</v>
      </c>
      <c r="J126" s="130">
        <v>1.0</v>
      </c>
    </row>
    <row r="127">
      <c r="A127" s="191">
        <v>46138.0</v>
      </c>
      <c r="B127" s="130">
        <v>11.0</v>
      </c>
      <c r="C127" s="130">
        <v>3.0</v>
      </c>
      <c r="D127" s="130">
        <v>6.0</v>
      </c>
      <c r="E127" s="130">
        <v>0.0</v>
      </c>
      <c r="F127" s="130">
        <v>0.0</v>
      </c>
      <c r="G127" s="130">
        <v>2.0</v>
      </c>
      <c r="H127" s="130">
        <v>4.0</v>
      </c>
      <c r="I127" s="130">
        <v>6.0</v>
      </c>
      <c r="J127" s="130">
        <v>1.0</v>
      </c>
    </row>
    <row r="128">
      <c r="A128" s="191">
        <v>46139.0</v>
      </c>
      <c r="B128" s="130">
        <v>11.0</v>
      </c>
      <c r="C128" s="130">
        <v>4.0</v>
      </c>
      <c r="D128" s="130">
        <v>5.0</v>
      </c>
      <c r="E128" s="130">
        <v>0.0</v>
      </c>
      <c r="F128" s="130">
        <v>0.0</v>
      </c>
      <c r="G128" s="130">
        <v>2.0</v>
      </c>
      <c r="H128" s="130">
        <v>2.0</v>
      </c>
      <c r="I128" s="130">
        <v>6.0</v>
      </c>
      <c r="J128" s="130">
        <v>3.0</v>
      </c>
    </row>
    <row r="129">
      <c r="A129" s="191">
        <v>46140.0</v>
      </c>
      <c r="B129" s="130">
        <v>6.0</v>
      </c>
      <c r="C129" s="130">
        <v>2.0</v>
      </c>
      <c r="D129" s="130">
        <v>3.0</v>
      </c>
      <c r="E129" s="130">
        <v>0.0</v>
      </c>
      <c r="F129" s="130">
        <v>0.0</v>
      </c>
      <c r="G129" s="130">
        <v>1.0</v>
      </c>
      <c r="H129" s="130">
        <v>1.0</v>
      </c>
      <c r="I129" s="130">
        <v>4.0</v>
      </c>
      <c r="J129" s="130">
        <v>1.0</v>
      </c>
    </row>
    <row r="130">
      <c r="A130" s="191">
        <v>46141.0</v>
      </c>
      <c r="B130" s="130">
        <v>8.0</v>
      </c>
      <c r="C130" s="130">
        <v>2.0</v>
      </c>
      <c r="D130" s="130">
        <v>4.0</v>
      </c>
      <c r="E130" s="130">
        <v>0.0</v>
      </c>
      <c r="F130" s="130">
        <v>0.0</v>
      </c>
      <c r="G130" s="130">
        <v>2.0</v>
      </c>
      <c r="H130" s="130">
        <v>4.0</v>
      </c>
      <c r="I130" s="130">
        <v>3.0</v>
      </c>
      <c r="J130" s="130">
        <v>1.0</v>
      </c>
    </row>
    <row r="131">
      <c r="A131" s="191">
        <v>46142.0</v>
      </c>
      <c r="B131" s="130">
        <v>10.0</v>
      </c>
      <c r="C131" s="130">
        <v>5.0</v>
      </c>
      <c r="D131" s="130">
        <v>3.0</v>
      </c>
      <c r="E131" s="130">
        <v>0.0</v>
      </c>
      <c r="F131" s="130">
        <v>0.0</v>
      </c>
      <c r="G131" s="130">
        <v>2.0</v>
      </c>
      <c r="H131" s="130">
        <v>4.0</v>
      </c>
      <c r="I131" s="130">
        <v>3.0</v>
      </c>
      <c r="J131" s="130">
        <v>3.0</v>
      </c>
    </row>
    <row r="132">
      <c r="A132" s="191">
        <v>46143.0</v>
      </c>
      <c r="B132" s="130">
        <v>13.0</v>
      </c>
      <c r="C132" s="130">
        <v>4.0</v>
      </c>
      <c r="D132" s="130">
        <v>5.0</v>
      </c>
      <c r="E132" s="130">
        <v>0.0</v>
      </c>
      <c r="F132" s="130">
        <v>1.0</v>
      </c>
      <c r="G132" s="130">
        <v>3.0</v>
      </c>
      <c r="H132" s="130">
        <v>3.0</v>
      </c>
      <c r="I132" s="130">
        <v>8.0</v>
      </c>
      <c r="J132" s="130">
        <v>2.0</v>
      </c>
    </row>
    <row r="133">
      <c r="A133" s="191">
        <v>46144.0</v>
      </c>
      <c r="B133" s="130">
        <v>7.0</v>
      </c>
      <c r="C133" s="130">
        <v>0.0</v>
      </c>
      <c r="D133" s="130">
        <v>2.0</v>
      </c>
      <c r="E133" s="130">
        <v>0.0</v>
      </c>
      <c r="F133" s="130">
        <v>0.0</v>
      </c>
      <c r="G133" s="130">
        <v>5.0</v>
      </c>
      <c r="H133" s="130">
        <v>4.0</v>
      </c>
      <c r="I133" s="130">
        <v>3.0</v>
      </c>
      <c r="J133" s="130">
        <v>0.0</v>
      </c>
    </row>
    <row r="134">
      <c r="A134" s="191">
        <v>46145.0</v>
      </c>
      <c r="B134" s="130">
        <v>13.0</v>
      </c>
      <c r="C134" s="130">
        <v>0.0</v>
      </c>
      <c r="D134" s="130">
        <v>11.0</v>
      </c>
      <c r="E134" s="130">
        <v>0.0</v>
      </c>
      <c r="F134" s="130">
        <v>0.0</v>
      </c>
      <c r="G134" s="130">
        <v>2.0</v>
      </c>
      <c r="H134" s="130">
        <v>3.0</v>
      </c>
      <c r="I134" s="130">
        <v>10.0</v>
      </c>
      <c r="J134" s="130">
        <v>0.0</v>
      </c>
    </row>
    <row r="135">
      <c r="A135" s="191">
        <v>46146.0</v>
      </c>
      <c r="B135" s="130">
        <v>12.0</v>
      </c>
      <c r="C135" s="130">
        <v>1.0</v>
      </c>
      <c r="D135" s="130">
        <v>6.0</v>
      </c>
      <c r="E135" s="130">
        <v>1.0</v>
      </c>
      <c r="F135" s="130">
        <v>0.0</v>
      </c>
      <c r="G135" s="130">
        <v>4.0</v>
      </c>
      <c r="H135" s="130">
        <v>6.0</v>
      </c>
      <c r="I135" s="130">
        <v>5.0</v>
      </c>
      <c r="J135" s="130">
        <v>1.0</v>
      </c>
    </row>
    <row r="136">
      <c r="A136" s="191">
        <v>46147.0</v>
      </c>
      <c r="B136" s="130">
        <v>11.0</v>
      </c>
      <c r="C136" s="130">
        <v>0.0</v>
      </c>
      <c r="D136" s="130">
        <v>8.0</v>
      </c>
      <c r="E136" s="130">
        <v>0.0</v>
      </c>
      <c r="F136" s="130">
        <v>0.0</v>
      </c>
      <c r="G136" s="130">
        <v>3.0</v>
      </c>
      <c r="H136" s="130">
        <v>4.0</v>
      </c>
      <c r="I136" s="130">
        <v>7.0</v>
      </c>
      <c r="J136" s="130">
        <v>0.0</v>
      </c>
    </row>
    <row r="137">
      <c r="A137" s="191">
        <v>46148.0</v>
      </c>
      <c r="B137" s="130">
        <v>10.0</v>
      </c>
      <c r="C137" s="130">
        <v>0.0</v>
      </c>
      <c r="D137" s="130">
        <v>5.0</v>
      </c>
      <c r="E137" s="130">
        <v>0.0</v>
      </c>
      <c r="F137" s="130">
        <v>0.0</v>
      </c>
      <c r="G137" s="130">
        <v>5.0</v>
      </c>
      <c r="H137" s="130">
        <v>5.0</v>
      </c>
      <c r="I137" s="130">
        <v>4.0</v>
      </c>
      <c r="J137" s="130">
        <v>1.0</v>
      </c>
    </row>
    <row r="138">
      <c r="A138" s="191">
        <v>46149.0</v>
      </c>
      <c r="B138" s="130">
        <v>7.0</v>
      </c>
      <c r="C138" s="130">
        <v>2.0</v>
      </c>
      <c r="D138" s="130">
        <v>1.0</v>
      </c>
      <c r="E138" s="130">
        <v>0.0</v>
      </c>
      <c r="F138" s="130">
        <v>0.0</v>
      </c>
      <c r="G138" s="130">
        <v>4.0</v>
      </c>
      <c r="H138" s="130">
        <v>2.0</v>
      </c>
      <c r="I138" s="130">
        <v>5.0</v>
      </c>
      <c r="J138" s="130">
        <v>0.0</v>
      </c>
    </row>
    <row r="139">
      <c r="A139" s="191">
        <v>46150.0</v>
      </c>
      <c r="B139" s="130">
        <v>7.0</v>
      </c>
      <c r="C139" s="130">
        <v>0.0</v>
      </c>
      <c r="D139" s="130">
        <v>3.0</v>
      </c>
      <c r="E139" s="130">
        <v>0.0</v>
      </c>
      <c r="F139" s="130">
        <v>1.0</v>
      </c>
      <c r="G139" s="130">
        <v>3.0</v>
      </c>
      <c r="H139" s="130">
        <v>1.0</v>
      </c>
      <c r="I139" s="130">
        <v>4.0</v>
      </c>
      <c r="J139" s="130">
        <v>2.0</v>
      </c>
    </row>
    <row r="140">
      <c r="A140" s="191">
        <v>46151.0</v>
      </c>
      <c r="B140" s="130">
        <v>4.0</v>
      </c>
      <c r="C140" s="130">
        <v>0.0</v>
      </c>
      <c r="D140" s="130">
        <v>2.0</v>
      </c>
      <c r="E140" s="130">
        <v>0.0</v>
      </c>
      <c r="F140" s="130">
        <v>0.0</v>
      </c>
      <c r="G140" s="130">
        <v>2.0</v>
      </c>
      <c r="H140" s="130">
        <v>1.0</v>
      </c>
      <c r="I140" s="130">
        <v>3.0</v>
      </c>
      <c r="J140" s="130">
        <v>0.0</v>
      </c>
    </row>
    <row r="141">
      <c r="A141" s="191">
        <v>46152.0</v>
      </c>
      <c r="B141" s="130">
        <v>12.0</v>
      </c>
      <c r="C141" s="130">
        <v>4.0</v>
      </c>
      <c r="D141" s="130">
        <v>5.0</v>
      </c>
      <c r="E141" s="130">
        <v>0.0</v>
      </c>
      <c r="F141" s="130">
        <v>0.0</v>
      </c>
      <c r="G141" s="130">
        <v>3.0</v>
      </c>
      <c r="H141" s="130">
        <v>5.0</v>
      </c>
      <c r="I141" s="130">
        <v>7.0</v>
      </c>
      <c r="J141" s="130">
        <v>0.0</v>
      </c>
    </row>
    <row r="142">
      <c r="A142" s="191">
        <v>46153.0</v>
      </c>
      <c r="B142" s="130">
        <v>12.0</v>
      </c>
      <c r="C142" s="130">
        <v>6.0</v>
      </c>
      <c r="D142" s="130">
        <v>5.0</v>
      </c>
      <c r="E142" s="130">
        <v>0.0</v>
      </c>
      <c r="F142" s="130">
        <v>0.0</v>
      </c>
      <c r="G142" s="130">
        <v>1.0</v>
      </c>
      <c r="H142" s="130">
        <v>7.0</v>
      </c>
      <c r="I142" s="130">
        <v>3.0</v>
      </c>
      <c r="J142" s="130">
        <v>2.0</v>
      </c>
    </row>
    <row r="143">
      <c r="A143" s="191">
        <v>46154.0</v>
      </c>
      <c r="B143" s="130">
        <v>19.0</v>
      </c>
      <c r="C143" s="130">
        <v>2.0</v>
      </c>
      <c r="D143" s="130">
        <v>9.0</v>
      </c>
      <c r="E143" s="130">
        <v>0.0</v>
      </c>
      <c r="F143" s="130">
        <v>0.0</v>
      </c>
      <c r="G143" s="130">
        <v>8.0</v>
      </c>
      <c r="H143" s="130">
        <v>8.0</v>
      </c>
      <c r="I143" s="130">
        <v>5.0</v>
      </c>
      <c r="J143" s="130">
        <v>6.0</v>
      </c>
    </row>
    <row r="144">
      <c r="A144" s="191">
        <v>46155.0</v>
      </c>
      <c r="B144" s="130">
        <v>16.0</v>
      </c>
      <c r="C144" s="130">
        <v>6.0</v>
      </c>
      <c r="D144" s="130">
        <v>7.0</v>
      </c>
      <c r="E144" s="130">
        <v>0.0</v>
      </c>
      <c r="F144" s="130">
        <v>0.0</v>
      </c>
      <c r="G144" s="130">
        <v>3.0</v>
      </c>
      <c r="H144" s="130">
        <v>6.0</v>
      </c>
      <c r="I144" s="130">
        <v>7.0</v>
      </c>
      <c r="J144" s="130">
        <v>3.0</v>
      </c>
    </row>
    <row r="145">
      <c r="A145" s="191">
        <v>46156.0</v>
      </c>
      <c r="B145" s="130">
        <v>15.0</v>
      </c>
      <c r="C145" s="130">
        <v>5.0</v>
      </c>
      <c r="D145" s="130">
        <v>7.0</v>
      </c>
      <c r="E145" s="130">
        <v>0.0</v>
      </c>
      <c r="F145" s="130">
        <v>0.0</v>
      </c>
      <c r="G145" s="130">
        <v>3.0</v>
      </c>
      <c r="H145" s="130">
        <v>7.0</v>
      </c>
      <c r="I145" s="130">
        <v>4.0</v>
      </c>
      <c r="J145" s="130">
        <v>4.0</v>
      </c>
    </row>
    <row r="146">
      <c r="A146" s="191">
        <v>46157.0</v>
      </c>
      <c r="B146" s="130">
        <v>19.0</v>
      </c>
      <c r="C146" s="130">
        <v>4.0</v>
      </c>
      <c r="D146" s="130">
        <v>8.0</v>
      </c>
      <c r="E146" s="130">
        <v>1.0</v>
      </c>
      <c r="F146" s="130">
        <v>0.0</v>
      </c>
      <c r="G146" s="130">
        <v>6.0</v>
      </c>
      <c r="H146" s="130">
        <v>5.0</v>
      </c>
      <c r="I146" s="130">
        <v>11.0</v>
      </c>
      <c r="J146" s="130">
        <v>3.0</v>
      </c>
    </row>
    <row r="147">
      <c r="A147" s="191">
        <v>46158.0</v>
      </c>
      <c r="B147" s="130">
        <v>16.0</v>
      </c>
      <c r="C147" s="130">
        <v>7.0</v>
      </c>
      <c r="D147" s="130">
        <v>2.0</v>
      </c>
      <c r="E147" s="130">
        <v>1.0</v>
      </c>
      <c r="F147" s="130">
        <v>0.0</v>
      </c>
      <c r="G147" s="130">
        <v>6.0</v>
      </c>
      <c r="H147" s="130">
        <v>4.0</v>
      </c>
      <c r="I147" s="130">
        <v>8.0</v>
      </c>
      <c r="J147" s="130">
        <v>4.0</v>
      </c>
    </row>
    <row r="148">
      <c r="A148" s="191">
        <v>46159.0</v>
      </c>
      <c r="B148" s="130">
        <v>19.0</v>
      </c>
      <c r="C148" s="130">
        <v>7.0</v>
      </c>
      <c r="D148" s="130">
        <v>5.0</v>
      </c>
      <c r="E148" s="130">
        <v>0.0</v>
      </c>
      <c r="F148" s="130">
        <v>0.0</v>
      </c>
      <c r="G148" s="130">
        <v>7.0</v>
      </c>
      <c r="H148" s="130">
        <v>4.0</v>
      </c>
      <c r="I148" s="130">
        <v>12.0</v>
      </c>
      <c r="J148" s="130">
        <v>3.0</v>
      </c>
    </row>
    <row r="149">
      <c r="A149" s="191">
        <v>46160.0</v>
      </c>
      <c r="B149" s="130">
        <v>19.0</v>
      </c>
      <c r="C149" s="130">
        <v>7.0</v>
      </c>
      <c r="D149" s="130">
        <v>8.0</v>
      </c>
      <c r="E149" s="130">
        <v>1.0</v>
      </c>
      <c r="F149" s="130">
        <v>0.0</v>
      </c>
      <c r="G149" s="130">
        <v>3.0</v>
      </c>
      <c r="H149" s="130">
        <v>10.0</v>
      </c>
      <c r="I149" s="130">
        <v>8.0</v>
      </c>
      <c r="J149" s="130">
        <v>1.0</v>
      </c>
    </row>
    <row r="150">
      <c r="A150" s="191">
        <v>46161.0</v>
      </c>
      <c r="B150" s="130">
        <v>17.0</v>
      </c>
      <c r="C150" s="130">
        <v>7.0</v>
      </c>
      <c r="D150" s="130">
        <v>6.0</v>
      </c>
      <c r="E150" s="130">
        <v>0.0</v>
      </c>
      <c r="F150" s="130">
        <v>0.0</v>
      </c>
      <c r="G150" s="130">
        <v>4.0</v>
      </c>
      <c r="H150" s="130">
        <v>4.0</v>
      </c>
      <c r="I150" s="130">
        <v>9.0</v>
      </c>
      <c r="J150" s="130">
        <v>4.0</v>
      </c>
    </row>
    <row r="151">
      <c r="A151" s="191">
        <v>46162.0</v>
      </c>
      <c r="B151" s="130">
        <v>15.0</v>
      </c>
      <c r="C151" s="130">
        <v>5.0</v>
      </c>
      <c r="D151" s="130">
        <v>8.0</v>
      </c>
      <c r="E151" s="130">
        <v>0.0</v>
      </c>
      <c r="F151" s="130">
        <v>0.0</v>
      </c>
      <c r="G151" s="130">
        <v>2.0</v>
      </c>
      <c r="H151" s="130">
        <v>7.0</v>
      </c>
      <c r="I151" s="130">
        <v>7.0</v>
      </c>
      <c r="J151" s="130">
        <v>1.0</v>
      </c>
    </row>
    <row r="152">
      <c r="A152" s="191">
        <v>46163.0</v>
      </c>
      <c r="B152" s="130">
        <v>12.0</v>
      </c>
      <c r="C152" s="130">
        <v>3.0</v>
      </c>
      <c r="D152" s="130">
        <v>5.0</v>
      </c>
      <c r="E152" s="130">
        <v>0.0</v>
      </c>
      <c r="F152" s="130">
        <v>0.0</v>
      </c>
      <c r="G152" s="130">
        <v>4.0</v>
      </c>
      <c r="H152" s="130">
        <v>6.0</v>
      </c>
      <c r="I152" s="130">
        <v>4.0</v>
      </c>
      <c r="J152" s="130">
        <v>2.0</v>
      </c>
    </row>
    <row r="153">
      <c r="A153" s="191">
        <v>46164.0</v>
      </c>
      <c r="B153" s="130">
        <v>15.0</v>
      </c>
      <c r="C153" s="130">
        <v>5.0</v>
      </c>
      <c r="D153" s="130">
        <v>4.0</v>
      </c>
      <c r="E153" s="130">
        <v>2.0</v>
      </c>
      <c r="F153" s="130">
        <v>0.0</v>
      </c>
      <c r="G153" s="130">
        <v>4.0</v>
      </c>
      <c r="H153" s="130">
        <v>6.0</v>
      </c>
      <c r="I153" s="130">
        <v>6.0</v>
      </c>
      <c r="J153" s="130">
        <v>3.0</v>
      </c>
    </row>
    <row r="154">
      <c r="A154" s="191">
        <v>46165.0</v>
      </c>
      <c r="B154" s="130">
        <v>19.0</v>
      </c>
      <c r="C154" s="130">
        <v>7.0</v>
      </c>
      <c r="D154" s="130">
        <v>11.0</v>
      </c>
      <c r="E154" s="130">
        <v>0.0</v>
      </c>
      <c r="F154" s="130">
        <v>0.0</v>
      </c>
      <c r="G154" s="130">
        <v>1.0</v>
      </c>
      <c r="H154" s="130">
        <v>12.0</v>
      </c>
      <c r="I154" s="130">
        <v>7.0</v>
      </c>
      <c r="J154" s="130">
        <v>0.0</v>
      </c>
    </row>
    <row r="155">
      <c r="A155" s="191">
        <v>46166.0</v>
      </c>
      <c r="B155" s="130">
        <v>20.0</v>
      </c>
      <c r="C155" s="130">
        <v>9.0</v>
      </c>
      <c r="D155" s="130">
        <v>7.0</v>
      </c>
      <c r="E155" s="130">
        <v>0.0</v>
      </c>
      <c r="F155" s="130">
        <v>0.0</v>
      </c>
      <c r="G155" s="130">
        <v>4.0</v>
      </c>
      <c r="H155" s="130">
        <v>11.0</v>
      </c>
      <c r="I155" s="130">
        <v>7.0</v>
      </c>
      <c r="J155" s="130">
        <v>2.0</v>
      </c>
    </row>
    <row r="156">
      <c r="A156" s="191">
        <v>46167.0</v>
      </c>
      <c r="B156" s="130">
        <v>21.0</v>
      </c>
      <c r="C156" s="130">
        <v>5.0</v>
      </c>
      <c r="D156" s="130">
        <v>12.0</v>
      </c>
      <c r="E156" s="130">
        <v>0.0</v>
      </c>
      <c r="F156" s="130">
        <v>0.0</v>
      </c>
      <c r="G156" s="130">
        <v>4.0</v>
      </c>
      <c r="H156" s="130">
        <v>10.0</v>
      </c>
      <c r="I156" s="130">
        <v>8.0</v>
      </c>
      <c r="J156" s="130">
        <v>3.0</v>
      </c>
    </row>
    <row r="157">
      <c r="A157" s="191">
        <v>46168.0</v>
      </c>
      <c r="B157" s="130">
        <v>16.0</v>
      </c>
      <c r="C157" s="130">
        <v>8.0</v>
      </c>
      <c r="D157" s="130">
        <v>4.0</v>
      </c>
      <c r="E157" s="130">
        <v>1.0</v>
      </c>
      <c r="F157" s="130">
        <v>0.0</v>
      </c>
      <c r="G157" s="130">
        <v>3.0</v>
      </c>
      <c r="H157" s="130">
        <v>8.0</v>
      </c>
      <c r="I157" s="130">
        <v>5.0</v>
      </c>
      <c r="J157" s="130">
        <v>3.0</v>
      </c>
    </row>
    <row r="158">
      <c r="A158" s="191">
        <v>46169.0</v>
      </c>
      <c r="B158" s="130">
        <v>11.0</v>
      </c>
      <c r="C158" s="130">
        <v>0.0</v>
      </c>
      <c r="D158" s="130">
        <v>9.0</v>
      </c>
      <c r="E158" s="130">
        <v>0.0</v>
      </c>
      <c r="F158" s="130">
        <v>0.0</v>
      </c>
      <c r="G158" s="130">
        <v>2.0</v>
      </c>
      <c r="H158" s="130">
        <v>5.0</v>
      </c>
      <c r="I158" s="130">
        <v>5.0</v>
      </c>
      <c r="J158" s="130">
        <v>1.0</v>
      </c>
    </row>
    <row r="159">
      <c r="A159" s="191">
        <v>46170.0</v>
      </c>
      <c r="B159" s="130">
        <v>16.0</v>
      </c>
      <c r="C159" s="130">
        <v>5.0</v>
      </c>
      <c r="D159" s="130">
        <v>8.0</v>
      </c>
      <c r="E159" s="130">
        <v>0.0</v>
      </c>
      <c r="F159" s="130">
        <v>0.0</v>
      </c>
      <c r="G159" s="130">
        <v>3.0</v>
      </c>
      <c r="H159" s="130">
        <v>9.0</v>
      </c>
      <c r="I159" s="130">
        <v>4.0</v>
      </c>
      <c r="J159" s="130">
        <v>3.0</v>
      </c>
    </row>
    <row r="160">
      <c r="A160" s="191">
        <v>46171.0</v>
      </c>
      <c r="B160" s="130">
        <v>14.0</v>
      </c>
      <c r="C160" s="130">
        <v>2.0</v>
      </c>
      <c r="D160" s="130">
        <v>7.0</v>
      </c>
      <c r="E160" s="130">
        <v>0.0</v>
      </c>
      <c r="F160" s="130">
        <v>0.0</v>
      </c>
      <c r="G160" s="130">
        <v>5.0</v>
      </c>
      <c r="H160" s="130">
        <v>4.0</v>
      </c>
      <c r="I160" s="130">
        <v>7.0</v>
      </c>
      <c r="J160" s="130">
        <v>3.0</v>
      </c>
    </row>
    <row r="161">
      <c r="A161" s="191">
        <v>46172.0</v>
      </c>
      <c r="B161" s="130">
        <v>16.0</v>
      </c>
      <c r="C161" s="130">
        <v>4.0</v>
      </c>
      <c r="D161" s="130">
        <v>9.0</v>
      </c>
      <c r="E161" s="130">
        <v>0.0</v>
      </c>
      <c r="F161" s="130">
        <v>0.0</v>
      </c>
      <c r="G161" s="130">
        <v>3.0</v>
      </c>
      <c r="H161" s="130">
        <v>5.0</v>
      </c>
      <c r="I161" s="130">
        <v>7.0</v>
      </c>
      <c r="J161" s="130">
        <v>4.0</v>
      </c>
    </row>
    <row r="162">
      <c r="A162" s="191">
        <v>46173.0</v>
      </c>
      <c r="B162" s="130">
        <v>16.0</v>
      </c>
      <c r="C162" s="130">
        <v>6.0</v>
      </c>
      <c r="D162" s="130">
        <v>5.0</v>
      </c>
      <c r="E162" s="130">
        <v>1.0</v>
      </c>
      <c r="F162" s="130">
        <v>0.0</v>
      </c>
      <c r="G162" s="130">
        <v>4.0</v>
      </c>
      <c r="H162" s="130">
        <v>6.0</v>
      </c>
      <c r="I162" s="130">
        <v>6.0</v>
      </c>
      <c r="J162" s="130">
        <v>4.0</v>
      </c>
    </row>
    <row r="163">
      <c r="A163" s="191">
        <v>46174.0</v>
      </c>
      <c r="B163" s="130">
        <v>13.0</v>
      </c>
      <c r="C163" s="130">
        <v>3.0</v>
      </c>
      <c r="D163" s="130">
        <v>7.0</v>
      </c>
      <c r="E163" s="130">
        <v>0.0</v>
      </c>
      <c r="F163" s="130">
        <v>1.0</v>
      </c>
      <c r="G163" s="130">
        <v>2.0</v>
      </c>
      <c r="H163" s="130">
        <v>6.0</v>
      </c>
      <c r="I163" s="130">
        <v>6.0</v>
      </c>
      <c r="J163" s="130">
        <v>1.0</v>
      </c>
    </row>
    <row r="164">
      <c r="A164" s="191">
        <v>46175.0</v>
      </c>
      <c r="B164" s="130">
        <v>16.0</v>
      </c>
      <c r="C164" s="130">
        <v>2.0</v>
      </c>
      <c r="D164" s="130">
        <v>9.0</v>
      </c>
      <c r="E164" s="130">
        <v>2.0</v>
      </c>
      <c r="F164" s="130">
        <v>0.0</v>
      </c>
      <c r="G164" s="130">
        <v>3.0</v>
      </c>
      <c r="H164" s="130">
        <v>10.0</v>
      </c>
      <c r="I164" s="130">
        <v>4.0</v>
      </c>
      <c r="J164" s="130">
        <v>2.0</v>
      </c>
    </row>
    <row r="165">
      <c r="A165" s="191">
        <v>46176.0</v>
      </c>
      <c r="B165" s="130">
        <v>14.0</v>
      </c>
      <c r="C165" s="130">
        <v>6.0</v>
      </c>
      <c r="D165" s="130">
        <v>7.0</v>
      </c>
      <c r="E165" s="130">
        <v>0.0</v>
      </c>
      <c r="F165" s="130">
        <v>0.0</v>
      </c>
      <c r="G165" s="130">
        <v>1.0</v>
      </c>
      <c r="H165" s="130">
        <v>7.0</v>
      </c>
      <c r="I165" s="130">
        <v>6.0</v>
      </c>
      <c r="J165" s="130">
        <v>1.0</v>
      </c>
    </row>
    <row r="166">
      <c r="A166" s="191">
        <v>46177.0</v>
      </c>
      <c r="B166" s="130">
        <v>13.0</v>
      </c>
      <c r="C166" s="130">
        <v>3.0</v>
      </c>
      <c r="D166" s="130">
        <v>9.0</v>
      </c>
      <c r="E166" s="130">
        <v>0.0</v>
      </c>
      <c r="F166" s="130">
        <v>0.0</v>
      </c>
      <c r="G166" s="130">
        <v>1.0</v>
      </c>
      <c r="H166" s="130">
        <v>8.0</v>
      </c>
      <c r="I166" s="130">
        <v>5.0</v>
      </c>
      <c r="J166" s="130">
        <v>0.0</v>
      </c>
    </row>
    <row r="167">
      <c r="A167" s="191">
        <v>46178.0</v>
      </c>
      <c r="B167" s="130">
        <v>20.0</v>
      </c>
      <c r="C167" s="130">
        <v>6.0</v>
      </c>
      <c r="D167" s="130">
        <v>10.0</v>
      </c>
      <c r="E167" s="130">
        <v>0.0</v>
      </c>
      <c r="F167" s="130">
        <v>0.0</v>
      </c>
      <c r="G167" s="130">
        <v>4.0</v>
      </c>
      <c r="H167" s="130">
        <v>13.0</v>
      </c>
      <c r="I167" s="130">
        <v>5.0</v>
      </c>
      <c r="J167" s="130">
        <v>2.0</v>
      </c>
    </row>
    <row r="168">
      <c r="A168" s="191">
        <v>46179.0</v>
      </c>
      <c r="B168" s="130">
        <v>21.0</v>
      </c>
      <c r="C168" s="130">
        <v>5.0</v>
      </c>
      <c r="D168" s="130">
        <v>12.0</v>
      </c>
      <c r="E168" s="130">
        <v>0.0</v>
      </c>
      <c r="F168" s="130">
        <v>1.0</v>
      </c>
      <c r="G168" s="130">
        <v>3.0</v>
      </c>
      <c r="H168" s="130">
        <v>9.0</v>
      </c>
      <c r="I168" s="130">
        <v>10.0</v>
      </c>
      <c r="J168" s="130">
        <v>2.0</v>
      </c>
    </row>
    <row r="169">
      <c r="A169" s="191">
        <v>46180.0</v>
      </c>
      <c r="B169" s="130">
        <v>14.0</v>
      </c>
      <c r="C169" s="130">
        <v>5.0</v>
      </c>
      <c r="D169" s="130">
        <v>7.0</v>
      </c>
      <c r="E169" s="130">
        <v>1.0</v>
      </c>
      <c r="F169" s="130">
        <v>0.0</v>
      </c>
      <c r="G169" s="130">
        <v>1.0</v>
      </c>
      <c r="H169" s="130">
        <v>6.0</v>
      </c>
      <c r="I169" s="130">
        <v>6.0</v>
      </c>
      <c r="J169" s="130">
        <v>2.0</v>
      </c>
    </row>
    <row r="170">
      <c r="A170" s="191">
        <v>46181.0</v>
      </c>
      <c r="B170" s="130">
        <v>17.0</v>
      </c>
      <c r="C170" s="130">
        <v>6.0</v>
      </c>
      <c r="D170" s="130">
        <v>8.0</v>
      </c>
      <c r="E170" s="130">
        <v>0.0</v>
      </c>
      <c r="F170" s="130">
        <v>0.0</v>
      </c>
      <c r="G170" s="130">
        <v>3.0</v>
      </c>
      <c r="H170" s="130">
        <v>7.0</v>
      </c>
      <c r="I170" s="130">
        <v>9.0</v>
      </c>
      <c r="J170" s="130">
        <v>1.0</v>
      </c>
    </row>
    <row r="171">
      <c r="A171" s="191">
        <v>46182.0</v>
      </c>
      <c r="B171" s="130">
        <v>15.0</v>
      </c>
      <c r="C171" s="130">
        <v>6.0</v>
      </c>
      <c r="D171" s="130">
        <v>7.0</v>
      </c>
      <c r="E171" s="130">
        <v>0.0</v>
      </c>
      <c r="F171" s="130">
        <v>0.0</v>
      </c>
      <c r="G171" s="130">
        <v>2.0</v>
      </c>
      <c r="H171" s="130">
        <v>9.0</v>
      </c>
      <c r="I171" s="130">
        <v>5.0</v>
      </c>
      <c r="J171" s="130">
        <v>1.0</v>
      </c>
    </row>
    <row r="172">
      <c r="A172" s="191">
        <v>46183.0</v>
      </c>
      <c r="B172" s="130">
        <v>20.0</v>
      </c>
      <c r="C172" s="130">
        <v>4.0</v>
      </c>
      <c r="D172" s="130">
        <v>12.0</v>
      </c>
      <c r="E172" s="130">
        <v>1.0</v>
      </c>
      <c r="F172" s="130">
        <v>0.0</v>
      </c>
      <c r="G172" s="130">
        <v>3.0</v>
      </c>
      <c r="H172" s="130">
        <v>9.0</v>
      </c>
      <c r="I172" s="130">
        <v>7.0</v>
      </c>
      <c r="J172" s="130">
        <v>4.0</v>
      </c>
    </row>
    <row r="173">
      <c r="A173" s="191">
        <v>46184.0</v>
      </c>
      <c r="B173" s="130">
        <v>20.0</v>
      </c>
      <c r="C173" s="130">
        <v>6.0</v>
      </c>
      <c r="D173" s="130">
        <v>10.0</v>
      </c>
      <c r="E173" s="130">
        <v>0.0</v>
      </c>
      <c r="F173" s="130">
        <v>2.0</v>
      </c>
      <c r="G173" s="130">
        <v>2.0</v>
      </c>
      <c r="H173" s="130">
        <v>12.0</v>
      </c>
      <c r="I173" s="130">
        <v>5.0</v>
      </c>
      <c r="J173" s="130">
        <v>3.0</v>
      </c>
    </row>
    <row r="174">
      <c r="A174" s="191">
        <v>46185.0</v>
      </c>
      <c r="B174" s="130">
        <v>16.0</v>
      </c>
      <c r="C174" s="130">
        <v>5.0</v>
      </c>
      <c r="D174" s="130">
        <v>9.0</v>
      </c>
      <c r="E174" s="130">
        <v>1.0</v>
      </c>
      <c r="F174" s="130">
        <v>0.0</v>
      </c>
      <c r="G174" s="130">
        <v>1.0</v>
      </c>
      <c r="H174" s="130">
        <v>7.0</v>
      </c>
      <c r="I174" s="130">
        <v>8.0</v>
      </c>
      <c r="J174" s="130">
        <v>1.0</v>
      </c>
    </row>
    <row r="175">
      <c r="A175" s="191">
        <v>46186.0</v>
      </c>
      <c r="B175" s="130">
        <v>12.0</v>
      </c>
      <c r="C175" s="130">
        <v>4.0</v>
      </c>
      <c r="D175" s="130">
        <v>6.0</v>
      </c>
      <c r="E175" s="130">
        <v>1.0</v>
      </c>
      <c r="F175" s="130">
        <v>0.0</v>
      </c>
      <c r="G175" s="130">
        <v>1.0</v>
      </c>
      <c r="H175" s="130">
        <v>8.0</v>
      </c>
      <c r="I175" s="130">
        <v>4.0</v>
      </c>
      <c r="J175" s="130">
        <v>0.0</v>
      </c>
    </row>
    <row r="176">
      <c r="A176" s="191">
        <v>46187.0</v>
      </c>
      <c r="B176" s="130">
        <v>18.0</v>
      </c>
      <c r="C176" s="130">
        <v>4.0</v>
      </c>
      <c r="D176" s="130">
        <v>9.0</v>
      </c>
      <c r="E176" s="130">
        <v>1.0</v>
      </c>
      <c r="F176" s="130">
        <v>0.0</v>
      </c>
      <c r="G176" s="130">
        <v>4.0</v>
      </c>
      <c r="H176" s="130">
        <v>4.0</v>
      </c>
      <c r="I176" s="130">
        <v>9.0</v>
      </c>
      <c r="J176" s="130">
        <v>5.0</v>
      </c>
    </row>
    <row r="177">
      <c r="A177" s="191">
        <v>46188.0</v>
      </c>
      <c r="B177" s="130">
        <v>14.0</v>
      </c>
      <c r="C177" s="130">
        <v>8.0</v>
      </c>
      <c r="D177" s="130">
        <v>6.0</v>
      </c>
      <c r="E177" s="130">
        <v>0.0</v>
      </c>
      <c r="F177" s="130">
        <v>0.0</v>
      </c>
      <c r="G177" s="130">
        <v>0.0</v>
      </c>
      <c r="H177" s="130">
        <v>5.0</v>
      </c>
      <c r="I177" s="130">
        <v>5.0</v>
      </c>
      <c r="J177" s="130">
        <v>4.0</v>
      </c>
    </row>
    <row r="178">
      <c r="A178" s="191">
        <v>46189.0</v>
      </c>
      <c r="B178" s="130">
        <v>13.0</v>
      </c>
      <c r="C178" s="130">
        <v>5.0</v>
      </c>
      <c r="D178" s="130">
        <v>8.0</v>
      </c>
      <c r="E178" s="130">
        <v>0.0</v>
      </c>
      <c r="F178" s="130">
        <v>0.0</v>
      </c>
      <c r="G178" s="130">
        <v>0.0</v>
      </c>
      <c r="H178" s="130">
        <v>7.0</v>
      </c>
      <c r="I178" s="130">
        <v>6.0</v>
      </c>
      <c r="J178" s="130">
        <v>0.0</v>
      </c>
    </row>
    <row r="179">
      <c r="A179" s="191">
        <v>46190.0</v>
      </c>
      <c r="B179" s="130">
        <v>14.0</v>
      </c>
      <c r="C179" s="130">
        <v>7.0</v>
      </c>
      <c r="D179" s="130">
        <v>7.0</v>
      </c>
      <c r="E179" s="130">
        <v>0.0</v>
      </c>
      <c r="F179" s="130">
        <v>0.0</v>
      </c>
      <c r="G179" s="130">
        <v>0.0</v>
      </c>
      <c r="H179" s="130">
        <v>6.0</v>
      </c>
      <c r="I179" s="130">
        <v>4.0</v>
      </c>
      <c r="J179" s="130">
        <v>4.0</v>
      </c>
    </row>
    <row r="180">
      <c r="A180" s="191">
        <v>46191.0</v>
      </c>
      <c r="B180" s="130">
        <v>15.0</v>
      </c>
      <c r="C180" s="130">
        <v>9.0</v>
      </c>
      <c r="D180" s="130">
        <v>3.0</v>
      </c>
      <c r="E180" s="130">
        <v>0.0</v>
      </c>
      <c r="F180" s="130">
        <v>0.0</v>
      </c>
      <c r="G180" s="130">
        <v>3.0</v>
      </c>
      <c r="H180" s="130">
        <v>5.0</v>
      </c>
      <c r="I180" s="130">
        <v>7.0</v>
      </c>
      <c r="J180" s="130">
        <v>3.0</v>
      </c>
    </row>
    <row r="181">
      <c r="A181" s="191">
        <v>46192.0</v>
      </c>
      <c r="B181" s="130">
        <v>22.0</v>
      </c>
      <c r="C181" s="130">
        <v>7.0</v>
      </c>
      <c r="D181" s="130">
        <v>12.0</v>
      </c>
      <c r="E181" s="130">
        <v>1.0</v>
      </c>
      <c r="F181" s="130">
        <v>0.0</v>
      </c>
      <c r="G181" s="130">
        <v>2.0</v>
      </c>
      <c r="H181" s="130">
        <v>9.0</v>
      </c>
      <c r="I181" s="130">
        <v>9.0</v>
      </c>
      <c r="J181" s="130">
        <v>4.0</v>
      </c>
    </row>
    <row r="182">
      <c r="A182" s="191">
        <v>46193.0</v>
      </c>
      <c r="B182" s="130">
        <v>17.0</v>
      </c>
      <c r="C182" s="130">
        <v>6.0</v>
      </c>
      <c r="D182" s="130">
        <v>9.0</v>
      </c>
      <c r="E182" s="130">
        <v>0.0</v>
      </c>
      <c r="F182" s="130">
        <v>0.0</v>
      </c>
      <c r="G182" s="130">
        <v>2.0</v>
      </c>
      <c r="H182" s="130">
        <v>10.0</v>
      </c>
      <c r="I182" s="130">
        <v>3.0</v>
      </c>
      <c r="J182" s="130">
        <v>4.0</v>
      </c>
    </row>
    <row r="183">
      <c r="A183" s="191">
        <v>46194.0</v>
      </c>
      <c r="B183" s="130">
        <v>19.0</v>
      </c>
      <c r="C183" s="130">
        <v>8.0</v>
      </c>
      <c r="D183" s="130">
        <v>10.0</v>
      </c>
      <c r="E183" s="130">
        <v>0.0</v>
      </c>
      <c r="F183" s="130">
        <v>0.0</v>
      </c>
      <c r="G183" s="130">
        <v>1.0</v>
      </c>
      <c r="H183" s="130">
        <v>9.0</v>
      </c>
      <c r="I183" s="130">
        <v>7.0</v>
      </c>
      <c r="J183" s="130">
        <v>3.0</v>
      </c>
    </row>
    <row r="184">
      <c r="A184" s="191">
        <v>46195.0</v>
      </c>
      <c r="B184" s="130">
        <v>17.0</v>
      </c>
      <c r="C184" s="130">
        <v>9.0</v>
      </c>
      <c r="D184" s="130">
        <v>7.0</v>
      </c>
      <c r="E184" s="130">
        <v>0.0</v>
      </c>
      <c r="F184" s="130">
        <v>0.0</v>
      </c>
      <c r="G184" s="130">
        <v>1.0</v>
      </c>
      <c r="H184" s="130">
        <v>10.0</v>
      </c>
      <c r="I184" s="130">
        <v>6.0</v>
      </c>
      <c r="J184" s="130">
        <v>1.0</v>
      </c>
    </row>
    <row r="185">
      <c r="A185" s="191">
        <v>46196.0</v>
      </c>
      <c r="B185" s="130">
        <v>19.0</v>
      </c>
      <c r="C185" s="130">
        <v>6.0</v>
      </c>
      <c r="D185" s="130">
        <v>8.0</v>
      </c>
      <c r="E185" s="130">
        <v>2.0</v>
      </c>
      <c r="F185" s="130">
        <v>0.0</v>
      </c>
      <c r="G185" s="130">
        <v>3.0</v>
      </c>
      <c r="H185" s="130">
        <v>9.0</v>
      </c>
      <c r="I185" s="130">
        <v>4.0</v>
      </c>
      <c r="J185" s="130">
        <v>6.0</v>
      </c>
    </row>
    <row r="186">
      <c r="A186" s="191">
        <v>46197.0</v>
      </c>
      <c r="B186" s="130">
        <v>23.0</v>
      </c>
      <c r="C186" s="130">
        <v>12.0</v>
      </c>
      <c r="D186" s="130">
        <v>9.0</v>
      </c>
      <c r="E186" s="130">
        <v>0.0</v>
      </c>
      <c r="F186" s="130">
        <v>0.0</v>
      </c>
      <c r="G186" s="130">
        <v>2.0</v>
      </c>
      <c r="H186" s="130">
        <v>10.0</v>
      </c>
      <c r="I186" s="130">
        <v>9.0</v>
      </c>
      <c r="J186" s="130">
        <v>4.0</v>
      </c>
    </row>
    <row r="187">
      <c r="A187" s="191">
        <v>46198.0</v>
      </c>
      <c r="B187" s="130">
        <v>20.0</v>
      </c>
      <c r="C187" s="130">
        <v>6.0</v>
      </c>
      <c r="D187" s="130">
        <v>12.0</v>
      </c>
      <c r="E187" s="130">
        <v>1.0</v>
      </c>
      <c r="F187" s="130">
        <v>1.0</v>
      </c>
      <c r="G187" s="130">
        <v>0.0</v>
      </c>
      <c r="H187" s="130">
        <v>15.0</v>
      </c>
      <c r="I187" s="130">
        <v>2.0</v>
      </c>
      <c r="J187" s="130">
        <v>3.0</v>
      </c>
    </row>
    <row r="188">
      <c r="A188" s="191">
        <v>46199.0</v>
      </c>
      <c r="B188" s="130">
        <v>24.0</v>
      </c>
      <c r="C188" s="130">
        <v>11.0</v>
      </c>
      <c r="D188" s="130">
        <v>12.0</v>
      </c>
      <c r="E188" s="130">
        <v>0.0</v>
      </c>
      <c r="F188" s="130">
        <v>0.0</v>
      </c>
      <c r="G188" s="130">
        <v>1.0</v>
      </c>
      <c r="H188" s="130">
        <v>13.0</v>
      </c>
      <c r="I188" s="130">
        <v>7.0</v>
      </c>
      <c r="J188" s="130">
        <v>4.0</v>
      </c>
    </row>
    <row r="189">
      <c r="A189" s="191">
        <v>46200.0</v>
      </c>
      <c r="B189" s="130">
        <v>15.0</v>
      </c>
      <c r="C189" s="130">
        <v>6.0</v>
      </c>
      <c r="D189" s="130">
        <v>8.0</v>
      </c>
      <c r="E189" s="130">
        <v>0.0</v>
      </c>
      <c r="F189" s="130">
        <v>1.0</v>
      </c>
      <c r="G189" s="130">
        <v>0.0</v>
      </c>
      <c r="H189" s="130">
        <v>6.0</v>
      </c>
      <c r="I189" s="130">
        <v>6.0</v>
      </c>
      <c r="J189" s="130">
        <v>3.0</v>
      </c>
    </row>
    <row r="190">
      <c r="A190" s="191">
        <v>46201.0</v>
      </c>
      <c r="B190" s="130">
        <v>19.0</v>
      </c>
      <c r="C190" s="130">
        <v>10.0</v>
      </c>
      <c r="D190" s="130">
        <v>6.0</v>
      </c>
      <c r="E190" s="130">
        <v>0.0</v>
      </c>
      <c r="F190" s="130">
        <v>0.0</v>
      </c>
      <c r="G190" s="130">
        <v>3.0</v>
      </c>
      <c r="H190" s="130">
        <v>8.0</v>
      </c>
      <c r="I190" s="130">
        <v>7.0</v>
      </c>
      <c r="J190" s="130">
        <v>4.0</v>
      </c>
    </row>
    <row r="191">
      <c r="A191" s="191">
        <v>46202.0</v>
      </c>
      <c r="B191" s="130">
        <v>20.0</v>
      </c>
      <c r="C191" s="130">
        <v>8.0</v>
      </c>
      <c r="D191" s="130">
        <v>10.0</v>
      </c>
      <c r="E191" s="130">
        <v>0.0</v>
      </c>
      <c r="F191" s="130">
        <v>0.0</v>
      </c>
      <c r="G191" s="130">
        <v>2.0</v>
      </c>
      <c r="H191" s="130">
        <v>9.0</v>
      </c>
      <c r="I191" s="130">
        <v>8.0</v>
      </c>
      <c r="J191" s="130">
        <v>3.0</v>
      </c>
    </row>
    <row r="192">
      <c r="A192" s="191">
        <v>46203.0</v>
      </c>
      <c r="B192" s="130">
        <v>28.0</v>
      </c>
      <c r="C192" s="130">
        <v>7.0</v>
      </c>
      <c r="D192" s="130">
        <v>18.0</v>
      </c>
      <c r="E192" s="130">
        <v>0.0</v>
      </c>
      <c r="F192" s="130">
        <v>0.0</v>
      </c>
      <c r="G192" s="130">
        <v>3.0</v>
      </c>
      <c r="H192" s="130">
        <v>9.0</v>
      </c>
      <c r="I192" s="130">
        <v>12.0</v>
      </c>
      <c r="J192" s="130">
        <v>7.0</v>
      </c>
    </row>
    <row r="193">
      <c r="A193" s="191">
        <v>46204.0</v>
      </c>
      <c r="B193" s="130">
        <v>23.0</v>
      </c>
      <c r="C193" s="130">
        <v>12.0</v>
      </c>
      <c r="D193" s="130">
        <v>11.0</v>
      </c>
      <c r="E193" s="130">
        <v>0.0</v>
      </c>
      <c r="F193" s="130">
        <v>0.0</v>
      </c>
      <c r="G193" s="130">
        <v>0.0</v>
      </c>
      <c r="H193" s="130">
        <v>6.0</v>
      </c>
      <c r="I193" s="130">
        <v>11.0</v>
      </c>
      <c r="J193" s="130">
        <v>6.0</v>
      </c>
    </row>
    <row r="194">
      <c r="A194" s="191">
        <v>46205.0</v>
      </c>
      <c r="B194" s="130">
        <v>27.0</v>
      </c>
      <c r="C194" s="130">
        <v>13.0</v>
      </c>
      <c r="D194" s="130">
        <v>12.0</v>
      </c>
      <c r="E194" s="130">
        <v>0.0</v>
      </c>
      <c r="F194" s="130">
        <v>1.0</v>
      </c>
      <c r="G194" s="130">
        <v>1.0</v>
      </c>
      <c r="H194" s="130">
        <v>14.0</v>
      </c>
      <c r="I194" s="130">
        <v>11.0</v>
      </c>
      <c r="J194" s="130">
        <v>2.0</v>
      </c>
    </row>
    <row r="195">
      <c r="A195" s="191">
        <v>46206.0</v>
      </c>
      <c r="B195" s="130">
        <v>15.0</v>
      </c>
      <c r="C195" s="130">
        <v>6.0</v>
      </c>
      <c r="D195" s="130">
        <v>8.0</v>
      </c>
      <c r="E195" s="130">
        <v>0.0</v>
      </c>
      <c r="F195" s="130">
        <v>0.0</v>
      </c>
      <c r="G195" s="130">
        <v>1.0</v>
      </c>
      <c r="H195" s="130">
        <v>5.0</v>
      </c>
      <c r="I195" s="130">
        <v>8.0</v>
      </c>
      <c r="J195" s="130">
        <v>2.0</v>
      </c>
    </row>
    <row r="196">
      <c r="A196" s="191">
        <v>46207.0</v>
      </c>
      <c r="B196" s="130">
        <v>18.0</v>
      </c>
      <c r="C196" s="130">
        <v>6.0</v>
      </c>
      <c r="D196" s="130">
        <v>9.0</v>
      </c>
      <c r="E196" s="130">
        <v>0.0</v>
      </c>
      <c r="F196" s="130">
        <v>1.0</v>
      </c>
      <c r="G196" s="130">
        <v>2.0</v>
      </c>
      <c r="H196" s="130">
        <v>10.0</v>
      </c>
      <c r="I196" s="130">
        <v>7.0</v>
      </c>
      <c r="J196" s="130">
        <v>1.0</v>
      </c>
    </row>
    <row r="197">
      <c r="A197" s="191">
        <v>46208.0</v>
      </c>
      <c r="B197" s="130">
        <v>9.0</v>
      </c>
      <c r="C197" s="130">
        <v>5.0</v>
      </c>
      <c r="D197" s="130">
        <v>2.0</v>
      </c>
      <c r="E197" s="130">
        <v>0.0</v>
      </c>
      <c r="F197" s="130">
        <v>0.0</v>
      </c>
      <c r="G197" s="130">
        <v>2.0</v>
      </c>
      <c r="H197" s="130">
        <v>1.0</v>
      </c>
      <c r="I197" s="130">
        <v>5.0</v>
      </c>
      <c r="J197" s="130">
        <v>3.0</v>
      </c>
    </row>
    <row r="198">
      <c r="A198" s="191">
        <v>46209.0</v>
      </c>
      <c r="B198" s="130">
        <v>16.0</v>
      </c>
      <c r="C198" s="130">
        <v>6.0</v>
      </c>
      <c r="D198" s="130">
        <v>9.0</v>
      </c>
      <c r="E198" s="130">
        <v>0.0</v>
      </c>
      <c r="F198" s="130">
        <v>0.0</v>
      </c>
      <c r="G198" s="130">
        <v>0.0</v>
      </c>
      <c r="H198" s="130">
        <v>6.0</v>
      </c>
      <c r="I198" s="130">
        <v>7.0</v>
      </c>
      <c r="J198" s="130">
        <v>3.0</v>
      </c>
    </row>
    <row r="199">
      <c r="A199" s="191">
        <v>46210.0</v>
      </c>
      <c r="B199" s="130">
        <v>19.0</v>
      </c>
      <c r="C199" s="130">
        <v>6.0</v>
      </c>
      <c r="D199" s="130">
        <v>12.0</v>
      </c>
      <c r="E199" s="130">
        <v>0.0</v>
      </c>
      <c r="F199" s="130">
        <v>1.0</v>
      </c>
      <c r="G199" s="130">
        <v>0.0</v>
      </c>
      <c r="H199" s="130">
        <v>14.0</v>
      </c>
      <c r="I199" s="130">
        <v>4.0</v>
      </c>
      <c r="J199" s="130">
        <v>1.0</v>
      </c>
    </row>
    <row r="200">
      <c r="A200" s="191">
        <v>46211.0</v>
      </c>
      <c r="B200" s="130">
        <v>20.0</v>
      </c>
      <c r="C200" s="130">
        <v>7.0</v>
      </c>
      <c r="D200" s="130">
        <v>11.0</v>
      </c>
      <c r="E200" s="130">
        <v>1.0</v>
      </c>
      <c r="F200" s="130">
        <v>0.0</v>
      </c>
      <c r="G200" s="130">
        <v>1.0</v>
      </c>
      <c r="H200" s="130">
        <v>14.0</v>
      </c>
      <c r="I200" s="130">
        <v>6.0</v>
      </c>
      <c r="J200" s="130">
        <v>0.0</v>
      </c>
    </row>
    <row r="201">
      <c r="A201" s="191">
        <v>46212.0</v>
      </c>
      <c r="B201" s="130">
        <v>23.0</v>
      </c>
      <c r="C201" s="130">
        <v>6.0</v>
      </c>
      <c r="D201" s="130">
        <v>12.0</v>
      </c>
      <c r="E201" s="130">
        <v>1.0</v>
      </c>
      <c r="F201" s="130">
        <v>0.0</v>
      </c>
      <c r="G201" s="130">
        <v>4.0</v>
      </c>
      <c r="H201" s="130">
        <v>7.0</v>
      </c>
      <c r="I201" s="130">
        <v>12.0</v>
      </c>
      <c r="J201" s="130">
        <v>4.0</v>
      </c>
    </row>
    <row r="202">
      <c r="A202" s="191">
        <v>46213.0</v>
      </c>
      <c r="B202" s="130">
        <v>9.0</v>
      </c>
      <c r="C202" s="130">
        <v>3.0</v>
      </c>
      <c r="D202" s="130">
        <v>5.0</v>
      </c>
      <c r="E202" s="130">
        <v>0.0</v>
      </c>
      <c r="F202" s="130">
        <v>0.0</v>
      </c>
      <c r="G202" s="130">
        <v>1.0</v>
      </c>
      <c r="H202" s="130">
        <v>5.0</v>
      </c>
      <c r="I202" s="130">
        <v>4.0</v>
      </c>
      <c r="J202" s="130">
        <v>0.0</v>
      </c>
    </row>
    <row r="203">
      <c r="A203" s="191">
        <v>46214.0</v>
      </c>
      <c r="B203" s="130">
        <v>8.0</v>
      </c>
      <c r="C203" s="130">
        <v>0.0</v>
      </c>
      <c r="D203" s="130">
        <v>7.0</v>
      </c>
      <c r="E203" s="130">
        <v>1.0</v>
      </c>
      <c r="F203" s="130">
        <v>0.0</v>
      </c>
      <c r="G203" s="130">
        <v>0.0</v>
      </c>
      <c r="H203" s="130">
        <v>4.0</v>
      </c>
      <c r="I203" s="130">
        <v>3.0</v>
      </c>
      <c r="J203" s="130">
        <v>1.0</v>
      </c>
    </row>
    <row r="204">
      <c r="A204" s="191">
        <v>46215.0</v>
      </c>
      <c r="B204" s="130">
        <v>7.0</v>
      </c>
      <c r="C204" s="130">
        <v>0.0</v>
      </c>
      <c r="D204" s="130">
        <v>4.0</v>
      </c>
      <c r="E204" s="130">
        <v>0.0</v>
      </c>
      <c r="F204" s="130">
        <v>0.0</v>
      </c>
      <c r="G204" s="130">
        <v>3.0</v>
      </c>
      <c r="H204" s="130">
        <v>2.0</v>
      </c>
      <c r="I204" s="130">
        <v>4.0</v>
      </c>
      <c r="J204" s="130">
        <v>1.0</v>
      </c>
    </row>
    <row r="205">
      <c r="A205" s="191">
        <v>46216.0</v>
      </c>
      <c r="B205" s="130">
        <v>8.0</v>
      </c>
      <c r="C205" s="130">
        <v>3.0</v>
      </c>
      <c r="D205" s="130">
        <v>5.0</v>
      </c>
      <c r="E205" s="130">
        <v>0.0</v>
      </c>
      <c r="F205" s="130">
        <v>0.0</v>
      </c>
      <c r="G205" s="130">
        <v>0.0</v>
      </c>
      <c r="H205" s="130">
        <v>6.0</v>
      </c>
      <c r="I205" s="130">
        <v>2.0</v>
      </c>
      <c r="J205" s="130">
        <v>0.0</v>
      </c>
    </row>
    <row r="206">
      <c r="A206" s="191">
        <v>46217.0</v>
      </c>
      <c r="B206" s="130">
        <v>10.0</v>
      </c>
      <c r="C206" s="130">
        <v>4.0</v>
      </c>
      <c r="D206" s="130">
        <v>6.0</v>
      </c>
      <c r="E206" s="130">
        <v>0.0</v>
      </c>
      <c r="F206" s="130">
        <v>0.0</v>
      </c>
      <c r="G206" s="130">
        <v>0.0</v>
      </c>
      <c r="H206" s="130">
        <v>4.0</v>
      </c>
      <c r="I206" s="130">
        <v>6.0</v>
      </c>
      <c r="J206" s="130">
        <v>0.0</v>
      </c>
    </row>
    <row r="207">
      <c r="A207" s="191">
        <v>46218.0</v>
      </c>
      <c r="B207" s="130">
        <v>16.0</v>
      </c>
      <c r="C207" s="130">
        <v>0.0</v>
      </c>
      <c r="D207" s="130">
        <v>10.0</v>
      </c>
      <c r="E207" s="130">
        <v>0.0</v>
      </c>
      <c r="F207" s="130">
        <v>3.0</v>
      </c>
      <c r="G207" s="130">
        <v>3.0</v>
      </c>
      <c r="H207" s="130">
        <v>7.0</v>
      </c>
      <c r="I207" s="130">
        <v>7.0</v>
      </c>
      <c r="J207" s="130">
        <v>2.0</v>
      </c>
    </row>
    <row r="208">
      <c r="A208" s="191">
        <v>46219.0</v>
      </c>
      <c r="B208" s="130">
        <v>12.0</v>
      </c>
      <c r="C208" s="130">
        <v>2.0</v>
      </c>
      <c r="D208" s="130">
        <v>9.0</v>
      </c>
      <c r="E208" s="130">
        <v>0.0</v>
      </c>
      <c r="F208" s="130">
        <v>0.0</v>
      </c>
      <c r="G208" s="130">
        <v>1.0</v>
      </c>
      <c r="H208" s="130">
        <v>7.0</v>
      </c>
      <c r="I208" s="130">
        <v>5.0</v>
      </c>
      <c r="J208" s="130">
        <v>0.0</v>
      </c>
    </row>
    <row r="209">
      <c r="A209" s="191">
        <v>46220.0</v>
      </c>
      <c r="B209" s="130">
        <v>8.0</v>
      </c>
      <c r="C209" s="130">
        <v>2.0</v>
      </c>
      <c r="D209" s="130">
        <v>5.0</v>
      </c>
      <c r="E209" s="130">
        <v>0.0</v>
      </c>
      <c r="F209" s="130">
        <v>0.0</v>
      </c>
      <c r="G209" s="130">
        <v>1.0</v>
      </c>
      <c r="H209" s="130">
        <v>3.0</v>
      </c>
      <c r="I209" s="130">
        <v>5.0</v>
      </c>
      <c r="J209" s="130">
        <v>0.0</v>
      </c>
    </row>
    <row r="210">
      <c r="A210" s="191">
        <v>46221.0</v>
      </c>
      <c r="B210" s="130">
        <v>10.0</v>
      </c>
      <c r="C210" s="130">
        <v>3.0</v>
      </c>
      <c r="D210" s="130">
        <v>6.0</v>
      </c>
      <c r="E210" s="130">
        <v>0.0</v>
      </c>
      <c r="F210" s="130">
        <v>0.0</v>
      </c>
      <c r="G210" s="130">
        <v>1.0</v>
      </c>
      <c r="H210" s="130">
        <v>6.0</v>
      </c>
      <c r="I210" s="130">
        <v>3.0</v>
      </c>
      <c r="J210" s="130">
        <v>1.0</v>
      </c>
    </row>
    <row r="211">
      <c r="A211" s="191">
        <v>46222.0</v>
      </c>
      <c r="B211" s="130">
        <v>13.0</v>
      </c>
      <c r="C211" s="130">
        <v>6.0</v>
      </c>
      <c r="D211" s="130">
        <v>5.0</v>
      </c>
      <c r="E211" s="130">
        <v>0.0</v>
      </c>
      <c r="F211" s="130">
        <v>1.0</v>
      </c>
      <c r="G211" s="130">
        <v>1.0</v>
      </c>
      <c r="H211" s="130">
        <v>7.0</v>
      </c>
      <c r="I211" s="130">
        <v>3.0</v>
      </c>
      <c r="J211" s="130">
        <v>3.0</v>
      </c>
    </row>
    <row r="212">
      <c r="A212" s="191">
        <v>46223.0</v>
      </c>
      <c r="B212" s="130">
        <v>11.0</v>
      </c>
      <c r="C212" s="130">
        <v>6.0</v>
      </c>
      <c r="D212" s="130">
        <v>5.0</v>
      </c>
      <c r="E212" s="130">
        <v>0.0</v>
      </c>
      <c r="F212" s="130">
        <v>0.0</v>
      </c>
      <c r="G212" s="130">
        <v>0.0</v>
      </c>
      <c r="H212" s="130">
        <v>4.0</v>
      </c>
      <c r="I212" s="130">
        <v>4.0</v>
      </c>
      <c r="J212" s="130">
        <v>3.0</v>
      </c>
    </row>
    <row r="213">
      <c r="A213" s="191">
        <v>46224.0</v>
      </c>
      <c r="B213" s="130">
        <v>15.0</v>
      </c>
      <c r="C213" s="130">
        <v>6.0</v>
      </c>
      <c r="D213" s="130">
        <v>9.0</v>
      </c>
      <c r="E213" s="130">
        <v>0.0</v>
      </c>
      <c r="F213" s="130">
        <v>0.0</v>
      </c>
      <c r="G213" s="130">
        <v>0.0</v>
      </c>
      <c r="H213" s="130">
        <v>11.0</v>
      </c>
      <c r="I213" s="130">
        <v>4.0</v>
      </c>
      <c r="J213" s="130">
        <v>0.0</v>
      </c>
    </row>
    <row r="214">
      <c r="A214" s="191">
        <v>46225.0</v>
      </c>
      <c r="B214" s="130">
        <v>10.0</v>
      </c>
      <c r="C214" s="130">
        <v>3.0</v>
      </c>
      <c r="D214" s="130">
        <v>6.0</v>
      </c>
      <c r="E214" s="130">
        <v>0.0</v>
      </c>
      <c r="F214" s="130">
        <v>1.0</v>
      </c>
      <c r="G214" s="130">
        <v>0.0</v>
      </c>
      <c r="H214" s="130">
        <v>5.0</v>
      </c>
      <c r="I214" s="130">
        <v>3.0</v>
      </c>
      <c r="J214" s="130">
        <v>2.0</v>
      </c>
    </row>
    <row r="215">
      <c r="A215" s="191">
        <v>46226.0</v>
      </c>
      <c r="B215" s="130">
        <v>14.0</v>
      </c>
      <c r="C215" s="130">
        <v>3.0</v>
      </c>
      <c r="D215" s="130">
        <v>10.0</v>
      </c>
      <c r="E215" s="130">
        <v>0.0</v>
      </c>
      <c r="F215" s="130">
        <v>0.0</v>
      </c>
      <c r="G215" s="130">
        <v>1.0</v>
      </c>
      <c r="H215" s="130">
        <v>10.0</v>
      </c>
      <c r="I215" s="130">
        <v>2.0</v>
      </c>
      <c r="J215" s="130">
        <v>2.0</v>
      </c>
    </row>
    <row r="216">
      <c r="A216" s="191">
        <v>46227.0</v>
      </c>
      <c r="B216" s="130">
        <v>14.0</v>
      </c>
      <c r="C216" s="130">
        <v>5.0</v>
      </c>
      <c r="D216" s="130">
        <v>9.0</v>
      </c>
      <c r="E216" s="130">
        <v>0.0</v>
      </c>
      <c r="F216" s="130">
        <v>0.0</v>
      </c>
      <c r="G216" s="130">
        <v>0.0</v>
      </c>
      <c r="H216" s="130">
        <v>6.0</v>
      </c>
      <c r="I216" s="130">
        <v>4.0</v>
      </c>
      <c r="J216" s="130">
        <v>4.0</v>
      </c>
    </row>
    <row r="217">
      <c r="A217" s="191">
        <v>46228.0</v>
      </c>
      <c r="B217" s="130">
        <v>6.0</v>
      </c>
      <c r="C217" s="130">
        <v>2.0</v>
      </c>
      <c r="D217" s="130">
        <v>3.0</v>
      </c>
      <c r="E217" s="130">
        <v>0.0</v>
      </c>
      <c r="F217" s="130">
        <v>0.0</v>
      </c>
      <c r="G217" s="130">
        <v>1.0</v>
      </c>
      <c r="H217" s="130">
        <v>2.0</v>
      </c>
      <c r="I217" s="130">
        <v>1.0</v>
      </c>
      <c r="J217" s="130">
        <v>3.0</v>
      </c>
    </row>
    <row r="218">
      <c r="A218" s="191">
        <v>46229.0</v>
      </c>
      <c r="B218" s="130">
        <v>6.0</v>
      </c>
      <c r="C218" s="130">
        <v>3.0</v>
      </c>
      <c r="D218" s="130">
        <v>3.0</v>
      </c>
      <c r="E218" s="130">
        <v>0.0</v>
      </c>
      <c r="F218" s="130">
        <v>0.0</v>
      </c>
      <c r="G218" s="130">
        <v>0.0</v>
      </c>
      <c r="H218" s="130">
        <v>1.0</v>
      </c>
      <c r="I218" s="130">
        <v>4.0</v>
      </c>
      <c r="J218" s="130">
        <v>1.0</v>
      </c>
    </row>
    <row r="219">
      <c r="A219" s="191">
        <v>46230.0</v>
      </c>
      <c r="B219" s="130">
        <v>15.0</v>
      </c>
      <c r="C219" s="130">
        <v>1.0</v>
      </c>
      <c r="D219" s="130">
        <v>12.0</v>
      </c>
      <c r="E219" s="130">
        <v>0.0</v>
      </c>
      <c r="F219" s="130">
        <v>1.0</v>
      </c>
      <c r="G219" s="130">
        <v>1.0</v>
      </c>
      <c r="H219" s="130">
        <v>9.0</v>
      </c>
      <c r="I219" s="130">
        <v>3.0</v>
      </c>
      <c r="J219" s="130">
        <v>3.0</v>
      </c>
    </row>
    <row r="220">
      <c r="A220" s="191">
        <v>46231.0</v>
      </c>
      <c r="B220" s="130">
        <v>4.0</v>
      </c>
      <c r="C220" s="130">
        <v>2.0</v>
      </c>
      <c r="D220" s="130">
        <v>2.0</v>
      </c>
      <c r="E220" s="130">
        <v>0.0</v>
      </c>
      <c r="F220" s="130">
        <v>0.0</v>
      </c>
      <c r="G220" s="130">
        <v>0.0</v>
      </c>
      <c r="H220" s="130">
        <v>0.0</v>
      </c>
      <c r="I220" s="130">
        <v>2.0</v>
      </c>
      <c r="J220" s="130">
        <v>2.0</v>
      </c>
    </row>
    <row r="221">
      <c r="A221" s="191">
        <v>46831.0</v>
      </c>
      <c r="B221" s="130">
        <v>1.0</v>
      </c>
      <c r="C221" s="130">
        <v>0.0</v>
      </c>
      <c r="D221" s="130">
        <v>0.0</v>
      </c>
      <c r="E221" s="130">
        <v>0.0</v>
      </c>
      <c r="F221" s="130">
        <v>0.0</v>
      </c>
      <c r="G221" s="130">
        <v>1.0</v>
      </c>
      <c r="H221" s="130">
        <v>1.0</v>
      </c>
      <c r="I221" s="130">
        <v>0.0</v>
      </c>
      <c r="J221" s="130">
        <v>0.0</v>
      </c>
    </row>
    <row r="222">
      <c r="A222" s="191"/>
      <c r="B222" s="130" t="s">
        <v>10178</v>
      </c>
      <c r="C222" s="130" t="s">
        <v>10178</v>
      </c>
      <c r="D222" s="130" t="s">
        <v>10178</v>
      </c>
      <c r="E222" s="130" t="s">
        <v>10178</v>
      </c>
      <c r="F222" s="130" t="s">
        <v>10178</v>
      </c>
      <c r="G222" s="130" t="s">
        <v>10178</v>
      </c>
      <c r="H222" s="130" t="s">
        <v>10178</v>
      </c>
      <c r="I222" s="130" t="s">
        <v>10178</v>
      </c>
      <c r="J222" s="130" t="s">
        <v>10178</v>
      </c>
    </row>
    <row r="223">
      <c r="A223" s="191"/>
      <c r="B223" s="130" t="s">
        <v>10178</v>
      </c>
      <c r="C223" s="130" t="s">
        <v>10178</v>
      </c>
      <c r="D223" s="130" t="s">
        <v>10178</v>
      </c>
      <c r="E223" s="130" t="s">
        <v>10178</v>
      </c>
      <c r="F223" s="130" t="s">
        <v>10178</v>
      </c>
      <c r="G223" s="130" t="s">
        <v>10178</v>
      </c>
      <c r="H223" s="130" t="s">
        <v>10178</v>
      </c>
      <c r="I223" s="130" t="s">
        <v>10178</v>
      </c>
      <c r="J223" s="130" t="s">
        <v>10178</v>
      </c>
    </row>
    <row r="224">
      <c r="A224" s="191"/>
      <c r="B224" s="130" t="s">
        <v>10178</v>
      </c>
      <c r="C224" s="130" t="s">
        <v>10178</v>
      </c>
      <c r="D224" s="130" t="s">
        <v>10178</v>
      </c>
      <c r="E224" s="130" t="s">
        <v>10178</v>
      </c>
      <c r="F224" s="130" t="s">
        <v>10178</v>
      </c>
      <c r="G224" s="130" t="s">
        <v>10178</v>
      </c>
      <c r="H224" s="130" t="s">
        <v>10178</v>
      </c>
      <c r="I224" s="130" t="s">
        <v>10178</v>
      </c>
      <c r="J224" s="130" t="s">
        <v>10178</v>
      </c>
    </row>
    <row r="225">
      <c r="A225" s="191"/>
      <c r="B225" s="130" t="s">
        <v>10178</v>
      </c>
      <c r="C225" s="130" t="s">
        <v>10178</v>
      </c>
      <c r="D225" s="130" t="s">
        <v>10178</v>
      </c>
      <c r="E225" s="130" t="s">
        <v>10178</v>
      </c>
      <c r="F225" s="130" t="s">
        <v>10178</v>
      </c>
      <c r="G225" s="130" t="s">
        <v>10178</v>
      </c>
      <c r="H225" s="130" t="s">
        <v>10178</v>
      </c>
      <c r="I225" s="130" t="s">
        <v>10178</v>
      </c>
      <c r="J225" s="130" t="s">
        <v>10178</v>
      </c>
    </row>
    <row r="226">
      <c r="A226" s="191"/>
      <c r="B226" s="130" t="s">
        <v>10178</v>
      </c>
      <c r="C226" s="130" t="s">
        <v>10178</v>
      </c>
      <c r="D226" s="130" t="s">
        <v>10178</v>
      </c>
      <c r="E226" s="130" t="s">
        <v>10178</v>
      </c>
      <c r="F226" s="130" t="s">
        <v>10178</v>
      </c>
      <c r="G226" s="130" t="s">
        <v>10178</v>
      </c>
      <c r="H226" s="130" t="s">
        <v>10178</v>
      </c>
      <c r="I226" s="130" t="s">
        <v>10178</v>
      </c>
      <c r="J226" s="130" t="s">
        <v>10178</v>
      </c>
    </row>
    <row r="227">
      <c r="A227" s="191"/>
      <c r="B227" s="130" t="s">
        <v>10178</v>
      </c>
      <c r="C227" s="130" t="s">
        <v>10178</v>
      </c>
      <c r="D227" s="130" t="s">
        <v>10178</v>
      </c>
      <c r="E227" s="130" t="s">
        <v>10178</v>
      </c>
      <c r="F227" s="130" t="s">
        <v>10178</v>
      </c>
      <c r="G227" s="130" t="s">
        <v>10178</v>
      </c>
      <c r="H227" s="130" t="s">
        <v>10178</v>
      </c>
      <c r="I227" s="130" t="s">
        <v>10178</v>
      </c>
      <c r="J227" s="130" t="s">
        <v>10178</v>
      </c>
    </row>
    <row r="228">
      <c r="A228" s="191"/>
      <c r="B228" s="130" t="s">
        <v>10178</v>
      </c>
      <c r="C228" s="130" t="s">
        <v>10178</v>
      </c>
      <c r="D228" s="130" t="s">
        <v>10178</v>
      </c>
      <c r="E228" s="130" t="s">
        <v>10178</v>
      </c>
      <c r="F228" s="130" t="s">
        <v>10178</v>
      </c>
      <c r="G228" s="130" t="s">
        <v>10178</v>
      </c>
      <c r="H228" s="130" t="s">
        <v>10178</v>
      </c>
      <c r="I228" s="130" t="s">
        <v>10178</v>
      </c>
      <c r="J228" s="130" t="s">
        <v>10178</v>
      </c>
    </row>
    <row r="229">
      <c r="A229" s="191"/>
      <c r="B229" s="130" t="s">
        <v>10178</v>
      </c>
      <c r="C229" s="130" t="s">
        <v>10178</v>
      </c>
      <c r="D229" s="130" t="s">
        <v>10178</v>
      </c>
      <c r="E229" s="130" t="s">
        <v>10178</v>
      </c>
      <c r="F229" s="130" t="s">
        <v>10178</v>
      </c>
      <c r="G229" s="130" t="s">
        <v>10178</v>
      </c>
      <c r="H229" s="130" t="s">
        <v>10178</v>
      </c>
      <c r="I229" s="130" t="s">
        <v>10178</v>
      </c>
      <c r="J229" s="130" t="s">
        <v>10178</v>
      </c>
    </row>
    <row r="230">
      <c r="A230" s="191"/>
      <c r="B230" s="130" t="s">
        <v>10178</v>
      </c>
      <c r="C230" s="130" t="s">
        <v>10178</v>
      </c>
      <c r="D230" s="130" t="s">
        <v>10178</v>
      </c>
      <c r="E230" s="130" t="s">
        <v>10178</v>
      </c>
      <c r="F230" s="130" t="s">
        <v>10178</v>
      </c>
      <c r="G230" s="130" t="s">
        <v>10178</v>
      </c>
      <c r="H230" s="130" t="s">
        <v>10178</v>
      </c>
      <c r="I230" s="130" t="s">
        <v>10178</v>
      </c>
      <c r="J230" s="130" t="s">
        <v>10178</v>
      </c>
    </row>
    <row r="231">
      <c r="A231" s="191"/>
      <c r="B231" s="130" t="s">
        <v>10178</v>
      </c>
      <c r="C231" s="130" t="s">
        <v>10178</v>
      </c>
      <c r="D231" s="130" t="s">
        <v>10178</v>
      </c>
      <c r="E231" s="130" t="s">
        <v>10178</v>
      </c>
      <c r="F231" s="130" t="s">
        <v>10178</v>
      </c>
      <c r="G231" s="130" t="s">
        <v>10178</v>
      </c>
      <c r="H231" s="130" t="s">
        <v>10178</v>
      </c>
      <c r="I231" s="130" t="s">
        <v>10178</v>
      </c>
      <c r="J231" s="130" t="s">
        <v>10178</v>
      </c>
    </row>
    <row r="232">
      <c r="A232" s="191"/>
      <c r="B232" s="130" t="s">
        <v>10178</v>
      </c>
      <c r="C232" s="130" t="s">
        <v>10178</v>
      </c>
      <c r="D232" s="130" t="s">
        <v>10178</v>
      </c>
      <c r="E232" s="130" t="s">
        <v>10178</v>
      </c>
      <c r="F232" s="130" t="s">
        <v>10178</v>
      </c>
      <c r="G232" s="130" t="s">
        <v>10178</v>
      </c>
      <c r="H232" s="130" t="s">
        <v>10178</v>
      </c>
      <c r="I232" s="130" t="s">
        <v>10178</v>
      </c>
      <c r="J232" s="130" t="s">
        <v>10178</v>
      </c>
    </row>
    <row r="233">
      <c r="A233" s="191"/>
      <c r="B233" s="130" t="s">
        <v>10178</v>
      </c>
      <c r="C233" s="130" t="s">
        <v>10178</v>
      </c>
      <c r="D233" s="130" t="s">
        <v>10178</v>
      </c>
      <c r="E233" s="130" t="s">
        <v>10178</v>
      </c>
      <c r="F233" s="130" t="s">
        <v>10178</v>
      </c>
      <c r="G233" s="130" t="s">
        <v>10178</v>
      </c>
      <c r="H233" s="130" t="s">
        <v>10178</v>
      </c>
      <c r="I233" s="130" t="s">
        <v>10178</v>
      </c>
      <c r="J233" s="130" t="s">
        <v>10178</v>
      </c>
    </row>
    <row r="234">
      <c r="A234" s="191"/>
      <c r="B234" s="130" t="s">
        <v>10178</v>
      </c>
      <c r="C234" s="130" t="s">
        <v>10178</v>
      </c>
      <c r="D234" s="130" t="s">
        <v>10178</v>
      </c>
      <c r="E234" s="130" t="s">
        <v>10178</v>
      </c>
      <c r="F234" s="130" t="s">
        <v>10178</v>
      </c>
      <c r="G234" s="130" t="s">
        <v>10178</v>
      </c>
      <c r="H234" s="130" t="s">
        <v>10178</v>
      </c>
      <c r="I234" s="130" t="s">
        <v>10178</v>
      </c>
      <c r="J234" s="130" t="s">
        <v>10178</v>
      </c>
    </row>
    <row r="235">
      <c r="A235" s="191"/>
      <c r="B235" s="130" t="s">
        <v>10178</v>
      </c>
      <c r="C235" s="130" t="s">
        <v>10178</v>
      </c>
      <c r="D235" s="130" t="s">
        <v>10178</v>
      </c>
      <c r="E235" s="130" t="s">
        <v>10178</v>
      </c>
      <c r="F235" s="130" t="s">
        <v>10178</v>
      </c>
      <c r="G235" s="130" t="s">
        <v>10178</v>
      </c>
      <c r="H235" s="130" t="s">
        <v>10178</v>
      </c>
      <c r="I235" s="130" t="s">
        <v>10178</v>
      </c>
      <c r="J235" s="130" t="s">
        <v>10178</v>
      </c>
    </row>
    <row r="236">
      <c r="A236" s="191"/>
      <c r="B236" s="130" t="s">
        <v>10178</v>
      </c>
      <c r="C236" s="130" t="s">
        <v>10178</v>
      </c>
      <c r="D236" s="130" t="s">
        <v>10178</v>
      </c>
      <c r="E236" s="130" t="s">
        <v>10178</v>
      </c>
      <c r="F236" s="130" t="s">
        <v>10178</v>
      </c>
      <c r="G236" s="130" t="s">
        <v>10178</v>
      </c>
      <c r="H236" s="130" t="s">
        <v>10178</v>
      </c>
      <c r="I236" s="130" t="s">
        <v>10178</v>
      </c>
      <c r="J236" s="130" t="s">
        <v>10178</v>
      </c>
    </row>
    <row r="237">
      <c r="A237" s="191"/>
      <c r="B237" s="130" t="s">
        <v>10178</v>
      </c>
      <c r="C237" s="130" t="s">
        <v>10178</v>
      </c>
      <c r="D237" s="130" t="s">
        <v>10178</v>
      </c>
      <c r="E237" s="130" t="s">
        <v>10178</v>
      </c>
      <c r="F237" s="130" t="s">
        <v>10178</v>
      </c>
      <c r="G237" s="130" t="s">
        <v>10178</v>
      </c>
      <c r="H237" s="130" t="s">
        <v>10178</v>
      </c>
      <c r="I237" s="130" t="s">
        <v>10178</v>
      </c>
      <c r="J237" s="130" t="s">
        <v>10178</v>
      </c>
    </row>
    <row r="238">
      <c r="A238" s="191"/>
      <c r="B238" s="130" t="s">
        <v>10178</v>
      </c>
      <c r="C238" s="130" t="s">
        <v>10178</v>
      </c>
      <c r="D238" s="130" t="s">
        <v>10178</v>
      </c>
      <c r="E238" s="130" t="s">
        <v>10178</v>
      </c>
      <c r="F238" s="130" t="s">
        <v>10178</v>
      </c>
      <c r="G238" s="130" t="s">
        <v>10178</v>
      </c>
      <c r="H238" s="130" t="s">
        <v>10178</v>
      </c>
      <c r="I238" s="130" t="s">
        <v>10178</v>
      </c>
      <c r="J238" s="130" t="s">
        <v>10178</v>
      </c>
    </row>
    <row r="239">
      <c r="A239" s="191"/>
      <c r="B239" s="130" t="s">
        <v>10178</v>
      </c>
      <c r="C239" s="130" t="s">
        <v>10178</v>
      </c>
      <c r="D239" s="130" t="s">
        <v>10178</v>
      </c>
      <c r="E239" s="130" t="s">
        <v>10178</v>
      </c>
      <c r="F239" s="130" t="s">
        <v>10178</v>
      </c>
      <c r="G239" s="130" t="s">
        <v>10178</v>
      </c>
      <c r="H239" s="130" t="s">
        <v>10178</v>
      </c>
      <c r="I239" s="130" t="s">
        <v>10178</v>
      </c>
      <c r="J239" s="130" t="s">
        <v>10178</v>
      </c>
    </row>
    <row r="240">
      <c r="A240" s="191"/>
      <c r="B240" s="130" t="s">
        <v>10178</v>
      </c>
      <c r="C240" s="130" t="s">
        <v>10178</v>
      </c>
      <c r="D240" s="130" t="s">
        <v>10178</v>
      </c>
      <c r="E240" s="130" t="s">
        <v>10178</v>
      </c>
      <c r="F240" s="130" t="s">
        <v>10178</v>
      </c>
      <c r="G240" s="130" t="s">
        <v>10178</v>
      </c>
      <c r="H240" s="130" t="s">
        <v>10178</v>
      </c>
      <c r="I240" s="130" t="s">
        <v>10178</v>
      </c>
      <c r="J240" s="130" t="s">
        <v>10178</v>
      </c>
    </row>
    <row r="241">
      <c r="A241" s="191"/>
      <c r="B241" s="130" t="s">
        <v>10178</v>
      </c>
      <c r="C241" s="130" t="s">
        <v>10178</v>
      </c>
      <c r="D241" s="130" t="s">
        <v>10178</v>
      </c>
      <c r="E241" s="130" t="s">
        <v>10178</v>
      </c>
      <c r="F241" s="130" t="s">
        <v>10178</v>
      </c>
      <c r="G241" s="130" t="s">
        <v>10178</v>
      </c>
      <c r="H241" s="130" t="s">
        <v>10178</v>
      </c>
      <c r="I241" s="130" t="s">
        <v>10178</v>
      </c>
      <c r="J241" s="130" t="s">
        <v>10178</v>
      </c>
    </row>
    <row r="242">
      <c r="A242" s="191"/>
      <c r="B242" s="130" t="s">
        <v>10178</v>
      </c>
      <c r="C242" s="130" t="s">
        <v>10178</v>
      </c>
      <c r="D242" s="130" t="s">
        <v>10178</v>
      </c>
      <c r="E242" s="130" t="s">
        <v>10178</v>
      </c>
      <c r="F242" s="130" t="s">
        <v>10178</v>
      </c>
      <c r="G242" s="130" t="s">
        <v>10178</v>
      </c>
      <c r="H242" s="130" t="s">
        <v>10178</v>
      </c>
      <c r="I242" s="130" t="s">
        <v>10178</v>
      </c>
      <c r="J242" s="130" t="s">
        <v>10178</v>
      </c>
    </row>
    <row r="243">
      <c r="A243" s="191"/>
      <c r="B243" s="130" t="s">
        <v>10178</v>
      </c>
      <c r="C243" s="130" t="s">
        <v>10178</v>
      </c>
      <c r="D243" s="130" t="s">
        <v>10178</v>
      </c>
      <c r="E243" s="130" t="s">
        <v>10178</v>
      </c>
      <c r="F243" s="130" t="s">
        <v>10178</v>
      </c>
      <c r="G243" s="130" t="s">
        <v>10178</v>
      </c>
      <c r="H243" s="130" t="s">
        <v>10178</v>
      </c>
      <c r="I243" s="130" t="s">
        <v>10178</v>
      </c>
      <c r="J243" s="130" t="s">
        <v>10178</v>
      </c>
    </row>
    <row r="244">
      <c r="A244" s="191"/>
      <c r="B244" s="130" t="s">
        <v>10178</v>
      </c>
      <c r="C244" s="130" t="s">
        <v>10178</v>
      </c>
      <c r="D244" s="130" t="s">
        <v>10178</v>
      </c>
      <c r="E244" s="130" t="s">
        <v>10178</v>
      </c>
      <c r="F244" s="130" t="s">
        <v>10178</v>
      </c>
      <c r="G244" s="130" t="s">
        <v>10178</v>
      </c>
      <c r="H244" s="130" t="s">
        <v>10178</v>
      </c>
      <c r="I244" s="130" t="s">
        <v>10178</v>
      </c>
      <c r="J244" s="130" t="s">
        <v>10178</v>
      </c>
    </row>
    <row r="245">
      <c r="A245" s="191"/>
      <c r="B245" s="130" t="s">
        <v>10178</v>
      </c>
      <c r="C245" s="130" t="s">
        <v>10178</v>
      </c>
      <c r="D245" s="130" t="s">
        <v>10178</v>
      </c>
      <c r="E245" s="130" t="s">
        <v>10178</v>
      </c>
      <c r="F245" s="130" t="s">
        <v>10178</v>
      </c>
      <c r="G245" s="130" t="s">
        <v>10178</v>
      </c>
      <c r="H245" s="130" t="s">
        <v>10178</v>
      </c>
      <c r="I245" s="130" t="s">
        <v>10178</v>
      </c>
      <c r="J245" s="130" t="s">
        <v>10178</v>
      </c>
    </row>
    <row r="246">
      <c r="A246" s="191"/>
      <c r="B246" s="130" t="s">
        <v>10178</v>
      </c>
      <c r="C246" s="130" t="s">
        <v>10178</v>
      </c>
      <c r="D246" s="130" t="s">
        <v>10178</v>
      </c>
      <c r="E246" s="130" t="s">
        <v>10178</v>
      </c>
      <c r="F246" s="130" t="s">
        <v>10178</v>
      </c>
      <c r="G246" s="130" t="s">
        <v>10178</v>
      </c>
      <c r="H246" s="130" t="s">
        <v>10178</v>
      </c>
      <c r="I246" s="130" t="s">
        <v>10178</v>
      </c>
      <c r="J246" s="130" t="s">
        <v>10178</v>
      </c>
    </row>
    <row r="247">
      <c r="A247" s="191"/>
      <c r="B247" s="130" t="s">
        <v>10178</v>
      </c>
      <c r="C247" s="130" t="s">
        <v>10178</v>
      </c>
      <c r="D247" s="130" t="s">
        <v>10178</v>
      </c>
      <c r="E247" s="130" t="s">
        <v>10178</v>
      </c>
      <c r="F247" s="130" t="s">
        <v>10178</v>
      </c>
      <c r="G247" s="130" t="s">
        <v>10178</v>
      </c>
      <c r="H247" s="130" t="s">
        <v>10178</v>
      </c>
      <c r="I247" s="130" t="s">
        <v>10178</v>
      </c>
      <c r="J247" s="130" t="s">
        <v>10178</v>
      </c>
    </row>
    <row r="248">
      <c r="A248" s="191"/>
      <c r="B248" s="130" t="s">
        <v>10178</v>
      </c>
      <c r="C248" s="130" t="s">
        <v>10178</v>
      </c>
      <c r="D248" s="130" t="s">
        <v>10178</v>
      </c>
      <c r="E248" s="130" t="s">
        <v>10178</v>
      </c>
      <c r="F248" s="130" t="s">
        <v>10178</v>
      </c>
      <c r="G248" s="130" t="s">
        <v>10178</v>
      </c>
      <c r="H248" s="130" t="s">
        <v>10178</v>
      </c>
      <c r="I248" s="130" t="s">
        <v>10178</v>
      </c>
      <c r="J248" s="130" t="s">
        <v>10178</v>
      </c>
    </row>
    <row r="249">
      <c r="A249" s="191"/>
      <c r="B249" s="130" t="s">
        <v>10178</v>
      </c>
      <c r="C249" s="130" t="s">
        <v>10178</v>
      </c>
      <c r="D249" s="130" t="s">
        <v>10178</v>
      </c>
      <c r="E249" s="130" t="s">
        <v>10178</v>
      </c>
      <c r="F249" s="130" t="s">
        <v>10178</v>
      </c>
      <c r="G249" s="130" t="s">
        <v>10178</v>
      </c>
      <c r="H249" s="130" t="s">
        <v>10178</v>
      </c>
      <c r="I249" s="130" t="s">
        <v>10178</v>
      </c>
      <c r="J249" s="130" t="s">
        <v>10178</v>
      </c>
    </row>
    <row r="250">
      <c r="A250" s="191"/>
      <c r="B250" s="130" t="s">
        <v>10178</v>
      </c>
      <c r="C250" s="130" t="s">
        <v>10178</v>
      </c>
      <c r="D250" s="130" t="s">
        <v>10178</v>
      </c>
      <c r="E250" s="130" t="s">
        <v>10178</v>
      </c>
      <c r="F250" s="130" t="s">
        <v>10178</v>
      </c>
      <c r="G250" s="130" t="s">
        <v>10178</v>
      </c>
      <c r="H250" s="130" t="s">
        <v>10178</v>
      </c>
      <c r="I250" s="130" t="s">
        <v>10178</v>
      </c>
      <c r="J250" s="130" t="s">
        <v>10178</v>
      </c>
    </row>
    <row r="251">
      <c r="A251" s="191"/>
      <c r="B251" s="130" t="s">
        <v>10178</v>
      </c>
      <c r="C251" s="130" t="s">
        <v>10178</v>
      </c>
      <c r="D251" s="130" t="s">
        <v>10178</v>
      </c>
      <c r="E251" s="130" t="s">
        <v>10178</v>
      </c>
      <c r="F251" s="130" t="s">
        <v>10178</v>
      </c>
      <c r="G251" s="130" t="s">
        <v>10178</v>
      </c>
      <c r="H251" s="130" t="s">
        <v>10178</v>
      </c>
      <c r="I251" s="130" t="s">
        <v>10178</v>
      </c>
      <c r="J251" s="130" t="s">
        <v>10178</v>
      </c>
    </row>
    <row r="252">
      <c r="A252" s="191"/>
      <c r="B252" s="130" t="s">
        <v>10178</v>
      </c>
      <c r="C252" s="130" t="s">
        <v>10178</v>
      </c>
      <c r="D252" s="130" t="s">
        <v>10178</v>
      </c>
      <c r="E252" s="130" t="s">
        <v>10178</v>
      </c>
      <c r="F252" s="130" t="s">
        <v>10178</v>
      </c>
      <c r="G252" s="130" t="s">
        <v>10178</v>
      </c>
      <c r="H252" s="130" t="s">
        <v>10178</v>
      </c>
      <c r="I252" s="130" t="s">
        <v>10178</v>
      </c>
      <c r="J252" s="130" t="s">
        <v>10178</v>
      </c>
    </row>
    <row r="253">
      <c r="A253" s="191"/>
      <c r="B253" s="130" t="s">
        <v>10178</v>
      </c>
      <c r="C253" s="130" t="s">
        <v>10178</v>
      </c>
      <c r="D253" s="130" t="s">
        <v>10178</v>
      </c>
      <c r="E253" s="130" t="s">
        <v>10178</v>
      </c>
      <c r="F253" s="130" t="s">
        <v>10178</v>
      </c>
      <c r="G253" s="130" t="s">
        <v>10178</v>
      </c>
      <c r="H253" s="130" t="s">
        <v>10178</v>
      </c>
      <c r="I253" s="130" t="s">
        <v>10178</v>
      </c>
      <c r="J253" s="130" t="s">
        <v>10178</v>
      </c>
    </row>
    <row r="254">
      <c r="A254" s="191"/>
      <c r="B254" s="130" t="s">
        <v>10178</v>
      </c>
      <c r="C254" s="130" t="s">
        <v>10178</v>
      </c>
      <c r="D254" s="130" t="s">
        <v>10178</v>
      </c>
      <c r="E254" s="130" t="s">
        <v>10178</v>
      </c>
      <c r="F254" s="130" t="s">
        <v>10178</v>
      </c>
      <c r="G254" s="130" t="s">
        <v>10178</v>
      </c>
      <c r="H254" s="130" t="s">
        <v>10178</v>
      </c>
      <c r="I254" s="130" t="s">
        <v>10178</v>
      </c>
      <c r="J254" s="130" t="s">
        <v>10178</v>
      </c>
    </row>
    <row r="255">
      <c r="A255" s="191"/>
      <c r="B255" s="130" t="s">
        <v>10178</v>
      </c>
      <c r="C255" s="130" t="s">
        <v>10178</v>
      </c>
      <c r="D255" s="130" t="s">
        <v>10178</v>
      </c>
      <c r="E255" s="130" t="s">
        <v>10178</v>
      </c>
      <c r="F255" s="130" t="s">
        <v>10178</v>
      </c>
      <c r="G255" s="130" t="s">
        <v>10178</v>
      </c>
      <c r="H255" s="130" t="s">
        <v>10178</v>
      </c>
      <c r="I255" s="130" t="s">
        <v>10178</v>
      </c>
      <c r="J255" s="130" t="s">
        <v>10178</v>
      </c>
    </row>
    <row r="256">
      <c r="A256" s="191"/>
      <c r="B256" s="130" t="s">
        <v>10178</v>
      </c>
      <c r="C256" s="130" t="s">
        <v>10178</v>
      </c>
      <c r="D256" s="130" t="s">
        <v>10178</v>
      </c>
      <c r="E256" s="130" t="s">
        <v>10178</v>
      </c>
      <c r="F256" s="130" t="s">
        <v>10178</v>
      </c>
      <c r="G256" s="130" t="s">
        <v>10178</v>
      </c>
      <c r="H256" s="130" t="s">
        <v>10178</v>
      </c>
      <c r="I256" s="130" t="s">
        <v>10178</v>
      </c>
      <c r="J256" s="130" t="s">
        <v>10178</v>
      </c>
    </row>
    <row r="257">
      <c r="A257" s="191"/>
      <c r="B257" s="130" t="s">
        <v>10178</v>
      </c>
      <c r="C257" s="130" t="s">
        <v>10178</v>
      </c>
      <c r="D257" s="130" t="s">
        <v>10178</v>
      </c>
      <c r="E257" s="130" t="s">
        <v>10178</v>
      </c>
      <c r="F257" s="130" t="s">
        <v>10178</v>
      </c>
      <c r="G257" s="130" t="s">
        <v>10178</v>
      </c>
      <c r="H257" s="130" t="s">
        <v>10178</v>
      </c>
      <c r="I257" s="130" t="s">
        <v>10178</v>
      </c>
      <c r="J257" s="130" t="s">
        <v>10178</v>
      </c>
    </row>
    <row r="258">
      <c r="A258" s="191"/>
      <c r="B258" s="130" t="s">
        <v>10178</v>
      </c>
      <c r="C258" s="130" t="s">
        <v>10178</v>
      </c>
      <c r="D258" s="130" t="s">
        <v>10178</v>
      </c>
      <c r="E258" s="130" t="s">
        <v>10178</v>
      </c>
      <c r="F258" s="130" t="s">
        <v>10178</v>
      </c>
      <c r="G258" s="130" t="s">
        <v>10178</v>
      </c>
      <c r="H258" s="130" t="s">
        <v>10178</v>
      </c>
      <c r="I258" s="130" t="s">
        <v>10178</v>
      </c>
      <c r="J258" s="130" t="s">
        <v>10178</v>
      </c>
    </row>
    <row r="259">
      <c r="A259" s="191"/>
      <c r="B259" s="130" t="s">
        <v>10178</v>
      </c>
      <c r="C259" s="130" t="s">
        <v>10178</v>
      </c>
      <c r="D259" s="130" t="s">
        <v>10178</v>
      </c>
      <c r="E259" s="130" t="s">
        <v>10178</v>
      </c>
      <c r="F259" s="130" t="s">
        <v>10178</v>
      </c>
      <c r="G259" s="130" t="s">
        <v>10178</v>
      </c>
      <c r="H259" s="130" t="s">
        <v>10178</v>
      </c>
      <c r="I259" s="130" t="s">
        <v>10178</v>
      </c>
      <c r="J259" s="130" t="s">
        <v>10178</v>
      </c>
    </row>
    <row r="260">
      <c r="A260" s="191"/>
      <c r="B260" s="130" t="s">
        <v>10178</v>
      </c>
      <c r="C260" s="130" t="s">
        <v>10178</v>
      </c>
      <c r="D260" s="130" t="s">
        <v>10178</v>
      </c>
      <c r="E260" s="130" t="s">
        <v>10178</v>
      </c>
      <c r="F260" s="130" t="s">
        <v>10178</v>
      </c>
      <c r="G260" s="130" t="s">
        <v>10178</v>
      </c>
      <c r="H260" s="130" t="s">
        <v>10178</v>
      </c>
      <c r="I260" s="130" t="s">
        <v>10178</v>
      </c>
      <c r="J260" s="130" t="s">
        <v>10178</v>
      </c>
    </row>
    <row r="261">
      <c r="A261" s="191"/>
      <c r="B261" s="130" t="s">
        <v>10178</v>
      </c>
      <c r="C261" s="130" t="s">
        <v>10178</v>
      </c>
      <c r="D261" s="130" t="s">
        <v>10178</v>
      </c>
      <c r="E261" s="130" t="s">
        <v>10178</v>
      </c>
      <c r="F261" s="130" t="s">
        <v>10178</v>
      </c>
      <c r="G261" s="130" t="s">
        <v>10178</v>
      </c>
      <c r="H261" s="130" t="s">
        <v>10178</v>
      </c>
      <c r="I261" s="130" t="s">
        <v>10178</v>
      </c>
      <c r="J261" s="130" t="s">
        <v>10178</v>
      </c>
    </row>
    <row r="262">
      <c r="A262" s="191"/>
      <c r="B262" s="130" t="s">
        <v>10178</v>
      </c>
      <c r="C262" s="130" t="s">
        <v>10178</v>
      </c>
      <c r="D262" s="130" t="s">
        <v>10178</v>
      </c>
      <c r="E262" s="130" t="s">
        <v>10178</v>
      </c>
      <c r="F262" s="130" t="s">
        <v>10178</v>
      </c>
      <c r="G262" s="130" t="s">
        <v>10178</v>
      </c>
      <c r="H262" s="130" t="s">
        <v>10178</v>
      </c>
      <c r="I262" s="130" t="s">
        <v>10178</v>
      </c>
      <c r="J262" s="130" t="s">
        <v>10178</v>
      </c>
    </row>
    <row r="263">
      <c r="A263" s="191"/>
      <c r="B263" s="130" t="s">
        <v>10178</v>
      </c>
      <c r="C263" s="130" t="s">
        <v>10178</v>
      </c>
      <c r="D263" s="130" t="s">
        <v>10178</v>
      </c>
      <c r="E263" s="130" t="s">
        <v>10178</v>
      </c>
      <c r="F263" s="130" t="s">
        <v>10178</v>
      </c>
      <c r="G263" s="130" t="s">
        <v>10178</v>
      </c>
      <c r="H263" s="130" t="s">
        <v>10178</v>
      </c>
      <c r="I263" s="130" t="s">
        <v>10178</v>
      </c>
      <c r="J263" s="130" t="s">
        <v>10178</v>
      </c>
    </row>
    <row r="264">
      <c r="A264" s="191"/>
      <c r="B264" s="130" t="s">
        <v>10178</v>
      </c>
      <c r="C264" s="130" t="s">
        <v>10178</v>
      </c>
      <c r="D264" s="130" t="s">
        <v>10178</v>
      </c>
      <c r="E264" s="130" t="s">
        <v>10178</v>
      </c>
      <c r="F264" s="130" t="s">
        <v>10178</v>
      </c>
      <c r="G264" s="130" t="s">
        <v>10178</v>
      </c>
      <c r="H264" s="130" t="s">
        <v>10178</v>
      </c>
      <c r="I264" s="130" t="s">
        <v>10178</v>
      </c>
      <c r="J264" s="130" t="s">
        <v>10178</v>
      </c>
    </row>
    <row r="265">
      <c r="A265" s="191"/>
      <c r="B265" s="130" t="s">
        <v>10178</v>
      </c>
      <c r="C265" s="130" t="s">
        <v>10178</v>
      </c>
      <c r="D265" s="130" t="s">
        <v>10178</v>
      </c>
      <c r="E265" s="130" t="s">
        <v>10178</v>
      </c>
      <c r="F265" s="130" t="s">
        <v>10178</v>
      </c>
      <c r="G265" s="130" t="s">
        <v>10178</v>
      </c>
      <c r="H265" s="130" t="s">
        <v>10178</v>
      </c>
      <c r="I265" s="130" t="s">
        <v>10178</v>
      </c>
      <c r="J265" s="130" t="s">
        <v>10178</v>
      </c>
    </row>
    <row r="266">
      <c r="A266" s="191"/>
      <c r="B266" s="130" t="s">
        <v>10178</v>
      </c>
      <c r="C266" s="130" t="s">
        <v>10178</v>
      </c>
      <c r="D266" s="130" t="s">
        <v>10178</v>
      </c>
      <c r="E266" s="130" t="s">
        <v>10178</v>
      </c>
      <c r="F266" s="130" t="s">
        <v>10178</v>
      </c>
      <c r="G266" s="130" t="s">
        <v>10178</v>
      </c>
      <c r="H266" s="130" t="s">
        <v>10178</v>
      </c>
      <c r="I266" s="130" t="s">
        <v>10178</v>
      </c>
      <c r="J266" s="130" t="s">
        <v>10178</v>
      </c>
    </row>
    <row r="267">
      <c r="A267" s="191"/>
      <c r="B267" s="130" t="s">
        <v>10178</v>
      </c>
      <c r="C267" s="130" t="s">
        <v>10178</v>
      </c>
      <c r="D267" s="130" t="s">
        <v>10178</v>
      </c>
      <c r="E267" s="130" t="s">
        <v>10178</v>
      </c>
      <c r="F267" s="130" t="s">
        <v>10178</v>
      </c>
      <c r="G267" s="130" t="s">
        <v>10178</v>
      </c>
      <c r="H267" s="130" t="s">
        <v>10178</v>
      </c>
      <c r="I267" s="130" t="s">
        <v>10178</v>
      </c>
      <c r="J267" s="130" t="s">
        <v>10178</v>
      </c>
    </row>
    <row r="268">
      <c r="A268" s="191"/>
      <c r="B268" s="130" t="s">
        <v>10178</v>
      </c>
      <c r="C268" s="130" t="s">
        <v>10178</v>
      </c>
      <c r="D268" s="130" t="s">
        <v>10178</v>
      </c>
      <c r="E268" s="130" t="s">
        <v>10178</v>
      </c>
      <c r="F268" s="130" t="s">
        <v>10178</v>
      </c>
      <c r="G268" s="130" t="s">
        <v>10178</v>
      </c>
      <c r="H268" s="130" t="s">
        <v>10178</v>
      </c>
      <c r="I268" s="130" t="s">
        <v>10178</v>
      </c>
      <c r="J268" s="130" t="s">
        <v>10178</v>
      </c>
    </row>
    <row r="269">
      <c r="A269" s="191"/>
      <c r="B269" s="130" t="s">
        <v>10178</v>
      </c>
      <c r="C269" s="130" t="s">
        <v>10178</v>
      </c>
      <c r="D269" s="130" t="s">
        <v>10178</v>
      </c>
      <c r="E269" s="130" t="s">
        <v>10178</v>
      </c>
      <c r="F269" s="130" t="s">
        <v>10178</v>
      </c>
      <c r="G269" s="130" t="s">
        <v>10178</v>
      </c>
      <c r="H269" s="130" t="s">
        <v>10178</v>
      </c>
      <c r="I269" s="130" t="s">
        <v>10178</v>
      </c>
      <c r="J269" s="130" t="s">
        <v>10178</v>
      </c>
    </row>
    <row r="270">
      <c r="A270" s="191"/>
      <c r="B270" s="130" t="s">
        <v>10178</v>
      </c>
      <c r="C270" s="130" t="s">
        <v>10178</v>
      </c>
      <c r="D270" s="130" t="s">
        <v>10178</v>
      </c>
      <c r="E270" s="130" t="s">
        <v>10178</v>
      </c>
      <c r="F270" s="130" t="s">
        <v>10178</v>
      </c>
      <c r="G270" s="130" t="s">
        <v>10178</v>
      </c>
      <c r="H270" s="130" t="s">
        <v>10178</v>
      </c>
      <c r="I270" s="130" t="s">
        <v>10178</v>
      </c>
      <c r="J270" s="130" t="s">
        <v>10178</v>
      </c>
    </row>
    <row r="271">
      <c r="A271" s="191"/>
      <c r="B271" s="130" t="s">
        <v>10178</v>
      </c>
      <c r="C271" s="130" t="s">
        <v>10178</v>
      </c>
      <c r="D271" s="130" t="s">
        <v>10178</v>
      </c>
      <c r="E271" s="130" t="s">
        <v>10178</v>
      </c>
      <c r="F271" s="130" t="s">
        <v>10178</v>
      </c>
      <c r="G271" s="130" t="s">
        <v>10178</v>
      </c>
      <c r="H271" s="130" t="s">
        <v>10178</v>
      </c>
      <c r="I271" s="130" t="s">
        <v>10178</v>
      </c>
      <c r="J271" s="130" t="s">
        <v>10178</v>
      </c>
    </row>
    <row r="272">
      <c r="A272" s="191"/>
      <c r="B272" s="130" t="s">
        <v>10178</v>
      </c>
      <c r="C272" s="130" t="s">
        <v>10178</v>
      </c>
      <c r="D272" s="130" t="s">
        <v>10178</v>
      </c>
      <c r="E272" s="130" t="s">
        <v>10178</v>
      </c>
      <c r="F272" s="130" t="s">
        <v>10178</v>
      </c>
      <c r="G272" s="130" t="s">
        <v>10178</v>
      </c>
      <c r="H272" s="130" t="s">
        <v>10178</v>
      </c>
      <c r="I272" s="130" t="s">
        <v>10178</v>
      </c>
      <c r="J272" s="130" t="s">
        <v>10178</v>
      </c>
    </row>
    <row r="273">
      <c r="A273" s="191"/>
      <c r="B273" s="130" t="s">
        <v>10178</v>
      </c>
      <c r="C273" s="130" t="s">
        <v>10178</v>
      </c>
      <c r="D273" s="130" t="s">
        <v>10178</v>
      </c>
      <c r="E273" s="130" t="s">
        <v>10178</v>
      </c>
      <c r="F273" s="130" t="s">
        <v>10178</v>
      </c>
      <c r="G273" s="130" t="s">
        <v>10178</v>
      </c>
      <c r="H273" s="130" t="s">
        <v>10178</v>
      </c>
      <c r="I273" s="130" t="s">
        <v>10178</v>
      </c>
      <c r="J273" s="130" t="s">
        <v>10178</v>
      </c>
    </row>
    <row r="274">
      <c r="A274" s="191"/>
      <c r="B274" s="130" t="s">
        <v>10178</v>
      </c>
      <c r="C274" s="130" t="s">
        <v>10178</v>
      </c>
      <c r="D274" s="130" t="s">
        <v>10178</v>
      </c>
      <c r="E274" s="130" t="s">
        <v>10178</v>
      </c>
      <c r="F274" s="130" t="s">
        <v>10178</v>
      </c>
      <c r="G274" s="130" t="s">
        <v>10178</v>
      </c>
      <c r="H274" s="130" t="s">
        <v>10178</v>
      </c>
      <c r="I274" s="130" t="s">
        <v>10178</v>
      </c>
      <c r="J274" s="130" t="s">
        <v>10178</v>
      </c>
    </row>
    <row r="275">
      <c r="A275" s="191"/>
      <c r="B275" s="130" t="s">
        <v>10178</v>
      </c>
      <c r="C275" s="130" t="s">
        <v>10178</v>
      </c>
      <c r="D275" s="130" t="s">
        <v>10178</v>
      </c>
      <c r="E275" s="130" t="s">
        <v>10178</v>
      </c>
      <c r="F275" s="130" t="s">
        <v>10178</v>
      </c>
      <c r="G275" s="130" t="s">
        <v>10178</v>
      </c>
      <c r="H275" s="130" t="s">
        <v>10178</v>
      </c>
      <c r="I275" s="130" t="s">
        <v>10178</v>
      </c>
      <c r="J275" s="130" t="s">
        <v>10178</v>
      </c>
    </row>
    <row r="276">
      <c r="A276" s="191"/>
      <c r="B276" s="130" t="s">
        <v>10178</v>
      </c>
      <c r="C276" s="130" t="s">
        <v>10178</v>
      </c>
      <c r="D276" s="130" t="s">
        <v>10178</v>
      </c>
      <c r="E276" s="130" t="s">
        <v>10178</v>
      </c>
      <c r="F276" s="130" t="s">
        <v>10178</v>
      </c>
      <c r="G276" s="130" t="s">
        <v>10178</v>
      </c>
      <c r="H276" s="130" t="s">
        <v>10178</v>
      </c>
      <c r="I276" s="130" t="s">
        <v>10178</v>
      </c>
      <c r="J276" s="130" t="s">
        <v>10178</v>
      </c>
    </row>
    <row r="277">
      <c r="A277" s="191"/>
      <c r="B277" s="130" t="s">
        <v>10178</v>
      </c>
      <c r="C277" s="130" t="s">
        <v>10178</v>
      </c>
      <c r="D277" s="130" t="s">
        <v>10178</v>
      </c>
      <c r="E277" s="130" t="s">
        <v>10178</v>
      </c>
      <c r="F277" s="130" t="s">
        <v>10178</v>
      </c>
      <c r="G277" s="130" t="s">
        <v>10178</v>
      </c>
      <c r="H277" s="130" t="s">
        <v>10178</v>
      </c>
      <c r="I277" s="130" t="s">
        <v>10178</v>
      </c>
      <c r="J277" s="130" t="s">
        <v>10178</v>
      </c>
    </row>
    <row r="278">
      <c r="A278" s="191"/>
      <c r="B278" s="130" t="s">
        <v>10178</v>
      </c>
      <c r="C278" s="130" t="s">
        <v>10178</v>
      </c>
      <c r="D278" s="130" t="s">
        <v>10178</v>
      </c>
      <c r="E278" s="130" t="s">
        <v>10178</v>
      </c>
      <c r="F278" s="130" t="s">
        <v>10178</v>
      </c>
      <c r="G278" s="130" t="s">
        <v>10178</v>
      </c>
      <c r="H278" s="130" t="s">
        <v>10178</v>
      </c>
      <c r="I278" s="130" t="s">
        <v>10178</v>
      </c>
      <c r="J278" s="130" t="s">
        <v>10178</v>
      </c>
    </row>
    <row r="279">
      <c r="A279" s="191"/>
      <c r="B279" s="130" t="s">
        <v>10178</v>
      </c>
      <c r="C279" s="130" t="s">
        <v>10178</v>
      </c>
      <c r="D279" s="130" t="s">
        <v>10178</v>
      </c>
      <c r="E279" s="130" t="s">
        <v>10178</v>
      </c>
      <c r="F279" s="130" t="s">
        <v>10178</v>
      </c>
      <c r="G279" s="130" t="s">
        <v>10178</v>
      </c>
      <c r="H279" s="130" t="s">
        <v>10178</v>
      </c>
      <c r="I279" s="130" t="s">
        <v>10178</v>
      </c>
      <c r="J279" s="130" t="s">
        <v>10178</v>
      </c>
    </row>
    <row r="280">
      <c r="A280" s="191"/>
      <c r="B280" s="130" t="s">
        <v>10178</v>
      </c>
      <c r="C280" s="130" t="s">
        <v>10178</v>
      </c>
      <c r="D280" s="130" t="s">
        <v>10178</v>
      </c>
      <c r="E280" s="130" t="s">
        <v>10178</v>
      </c>
      <c r="F280" s="130" t="s">
        <v>10178</v>
      </c>
      <c r="G280" s="130" t="s">
        <v>10178</v>
      </c>
      <c r="H280" s="130" t="s">
        <v>10178</v>
      </c>
      <c r="I280" s="130" t="s">
        <v>10178</v>
      </c>
      <c r="J280" s="130" t="s">
        <v>10178</v>
      </c>
    </row>
    <row r="281">
      <c r="A281" s="191"/>
      <c r="B281" s="130" t="s">
        <v>10178</v>
      </c>
      <c r="C281" s="130" t="s">
        <v>10178</v>
      </c>
      <c r="D281" s="130" t="s">
        <v>10178</v>
      </c>
      <c r="E281" s="130" t="s">
        <v>10178</v>
      </c>
      <c r="F281" s="130" t="s">
        <v>10178</v>
      </c>
      <c r="G281" s="130" t="s">
        <v>10178</v>
      </c>
      <c r="H281" s="130" t="s">
        <v>10178</v>
      </c>
      <c r="I281" s="130" t="s">
        <v>10178</v>
      </c>
      <c r="J281" s="130" t="s">
        <v>10178</v>
      </c>
    </row>
    <row r="282">
      <c r="A282" s="191"/>
      <c r="B282" s="130" t="s">
        <v>10178</v>
      </c>
      <c r="C282" s="130" t="s">
        <v>10178</v>
      </c>
      <c r="D282" s="130" t="s">
        <v>10178</v>
      </c>
      <c r="E282" s="130" t="s">
        <v>10178</v>
      </c>
      <c r="F282" s="130" t="s">
        <v>10178</v>
      </c>
      <c r="G282" s="130" t="s">
        <v>10178</v>
      </c>
      <c r="H282" s="130" t="s">
        <v>10178</v>
      </c>
      <c r="I282" s="130" t="s">
        <v>10178</v>
      </c>
      <c r="J282" s="130" t="s">
        <v>10178</v>
      </c>
    </row>
    <row r="283">
      <c r="A283" s="191"/>
      <c r="B283" s="130" t="s">
        <v>10178</v>
      </c>
      <c r="C283" s="130" t="s">
        <v>10178</v>
      </c>
      <c r="D283" s="130" t="s">
        <v>10178</v>
      </c>
      <c r="E283" s="130" t="s">
        <v>10178</v>
      </c>
      <c r="F283" s="130" t="s">
        <v>10178</v>
      </c>
      <c r="G283" s="130" t="s">
        <v>10178</v>
      </c>
      <c r="H283" s="130" t="s">
        <v>10178</v>
      </c>
      <c r="I283" s="130" t="s">
        <v>10178</v>
      </c>
      <c r="J283" s="130" t="s">
        <v>10178</v>
      </c>
    </row>
    <row r="284">
      <c r="A284" s="191"/>
      <c r="B284" s="130" t="s">
        <v>10178</v>
      </c>
      <c r="C284" s="130" t="s">
        <v>10178</v>
      </c>
      <c r="D284" s="130" t="s">
        <v>10178</v>
      </c>
      <c r="E284" s="130" t="s">
        <v>10178</v>
      </c>
      <c r="F284" s="130" t="s">
        <v>10178</v>
      </c>
      <c r="G284" s="130" t="s">
        <v>10178</v>
      </c>
      <c r="H284" s="130" t="s">
        <v>10178</v>
      </c>
      <c r="I284" s="130" t="s">
        <v>10178</v>
      </c>
      <c r="J284" s="130" t="s">
        <v>10178</v>
      </c>
    </row>
    <row r="285">
      <c r="A285" s="191"/>
      <c r="B285" s="130" t="s">
        <v>10178</v>
      </c>
      <c r="C285" s="130" t="s">
        <v>10178</v>
      </c>
      <c r="D285" s="130" t="s">
        <v>10178</v>
      </c>
      <c r="E285" s="130" t="s">
        <v>10178</v>
      </c>
      <c r="F285" s="130" t="s">
        <v>10178</v>
      </c>
      <c r="G285" s="130" t="s">
        <v>10178</v>
      </c>
      <c r="H285" s="130" t="s">
        <v>10178</v>
      </c>
      <c r="I285" s="130" t="s">
        <v>10178</v>
      </c>
      <c r="J285" s="130" t="s">
        <v>10178</v>
      </c>
    </row>
    <row r="286">
      <c r="A286" s="191"/>
      <c r="B286" s="130" t="s">
        <v>10178</v>
      </c>
      <c r="C286" s="130" t="s">
        <v>10178</v>
      </c>
      <c r="D286" s="130" t="s">
        <v>10178</v>
      </c>
      <c r="E286" s="130" t="s">
        <v>10178</v>
      </c>
      <c r="F286" s="130" t="s">
        <v>10178</v>
      </c>
      <c r="G286" s="130" t="s">
        <v>10178</v>
      </c>
      <c r="H286" s="130" t="s">
        <v>10178</v>
      </c>
      <c r="I286" s="130" t="s">
        <v>10178</v>
      </c>
      <c r="J286" s="130" t="s">
        <v>10178</v>
      </c>
    </row>
    <row r="287">
      <c r="A287" s="191"/>
      <c r="B287" s="130" t="s">
        <v>10178</v>
      </c>
      <c r="C287" s="130" t="s">
        <v>10178</v>
      </c>
      <c r="D287" s="130" t="s">
        <v>10178</v>
      </c>
      <c r="E287" s="130" t="s">
        <v>10178</v>
      </c>
      <c r="F287" s="130" t="s">
        <v>10178</v>
      </c>
      <c r="G287" s="130" t="s">
        <v>10178</v>
      </c>
      <c r="H287" s="130" t="s">
        <v>10178</v>
      </c>
      <c r="I287" s="130" t="s">
        <v>10178</v>
      </c>
      <c r="J287" s="130" t="s">
        <v>10178</v>
      </c>
    </row>
    <row r="288">
      <c r="A288" s="191"/>
      <c r="B288" s="130" t="s">
        <v>10178</v>
      </c>
      <c r="C288" s="130" t="s">
        <v>10178</v>
      </c>
      <c r="D288" s="130" t="s">
        <v>10178</v>
      </c>
      <c r="E288" s="130" t="s">
        <v>10178</v>
      </c>
      <c r="F288" s="130" t="s">
        <v>10178</v>
      </c>
      <c r="G288" s="130" t="s">
        <v>10178</v>
      </c>
      <c r="H288" s="130" t="s">
        <v>10178</v>
      </c>
      <c r="I288" s="130" t="s">
        <v>10178</v>
      </c>
      <c r="J288" s="130" t="s">
        <v>10178</v>
      </c>
    </row>
    <row r="289">
      <c r="A289" s="191"/>
      <c r="B289" s="130" t="s">
        <v>10178</v>
      </c>
      <c r="C289" s="130" t="s">
        <v>10178</v>
      </c>
      <c r="D289" s="130" t="s">
        <v>10178</v>
      </c>
      <c r="E289" s="130" t="s">
        <v>10178</v>
      </c>
      <c r="F289" s="130" t="s">
        <v>10178</v>
      </c>
      <c r="G289" s="130" t="s">
        <v>10178</v>
      </c>
      <c r="H289" s="130" t="s">
        <v>10178</v>
      </c>
      <c r="I289" s="130" t="s">
        <v>10178</v>
      </c>
      <c r="J289" s="130" t="s">
        <v>10178</v>
      </c>
    </row>
    <row r="290">
      <c r="A290" s="191"/>
      <c r="B290" s="130" t="s">
        <v>10178</v>
      </c>
      <c r="C290" s="130" t="s">
        <v>10178</v>
      </c>
      <c r="D290" s="130" t="s">
        <v>10178</v>
      </c>
      <c r="E290" s="130" t="s">
        <v>10178</v>
      </c>
      <c r="F290" s="130" t="s">
        <v>10178</v>
      </c>
      <c r="G290" s="130" t="s">
        <v>10178</v>
      </c>
      <c r="H290" s="130" t="s">
        <v>10178</v>
      </c>
      <c r="I290" s="130" t="s">
        <v>10178</v>
      </c>
      <c r="J290" s="130" t="s">
        <v>10178</v>
      </c>
    </row>
    <row r="291">
      <c r="A291" s="191"/>
      <c r="B291" s="130" t="s">
        <v>10178</v>
      </c>
      <c r="C291" s="130" t="s">
        <v>10178</v>
      </c>
      <c r="D291" s="130" t="s">
        <v>10178</v>
      </c>
      <c r="E291" s="130" t="s">
        <v>10178</v>
      </c>
      <c r="F291" s="130" t="s">
        <v>10178</v>
      </c>
      <c r="G291" s="130" t="s">
        <v>10178</v>
      </c>
      <c r="H291" s="130" t="s">
        <v>10178</v>
      </c>
      <c r="I291" s="130" t="s">
        <v>10178</v>
      </c>
      <c r="J291" s="130" t="s">
        <v>10178</v>
      </c>
    </row>
    <row r="292">
      <c r="A292" s="191"/>
      <c r="B292" s="130" t="s">
        <v>10178</v>
      </c>
      <c r="C292" s="130" t="s">
        <v>10178</v>
      </c>
      <c r="D292" s="130" t="s">
        <v>10178</v>
      </c>
      <c r="E292" s="130" t="s">
        <v>10178</v>
      </c>
      <c r="F292" s="130" t="s">
        <v>10178</v>
      </c>
      <c r="G292" s="130" t="s">
        <v>10178</v>
      </c>
      <c r="H292" s="130" t="s">
        <v>10178</v>
      </c>
      <c r="I292" s="130" t="s">
        <v>10178</v>
      </c>
      <c r="J292" s="130" t="s">
        <v>10178</v>
      </c>
    </row>
    <row r="293">
      <c r="A293" s="191"/>
      <c r="B293" s="130" t="s">
        <v>10178</v>
      </c>
      <c r="C293" s="130" t="s">
        <v>10178</v>
      </c>
      <c r="D293" s="130" t="s">
        <v>10178</v>
      </c>
      <c r="E293" s="130" t="s">
        <v>10178</v>
      </c>
      <c r="F293" s="130" t="s">
        <v>10178</v>
      </c>
      <c r="G293" s="130" t="s">
        <v>10178</v>
      </c>
      <c r="H293" s="130" t="s">
        <v>10178</v>
      </c>
      <c r="I293" s="130" t="s">
        <v>10178</v>
      </c>
      <c r="J293" s="130" t="s">
        <v>10178</v>
      </c>
    </row>
    <row r="294">
      <c r="A294" s="191"/>
      <c r="B294" s="130" t="s">
        <v>10178</v>
      </c>
      <c r="C294" s="130" t="s">
        <v>10178</v>
      </c>
      <c r="D294" s="130" t="s">
        <v>10178</v>
      </c>
      <c r="E294" s="130" t="s">
        <v>10178</v>
      </c>
      <c r="F294" s="130" t="s">
        <v>10178</v>
      </c>
      <c r="G294" s="130" t="s">
        <v>10178</v>
      </c>
      <c r="H294" s="130" t="s">
        <v>10178</v>
      </c>
      <c r="I294" s="130" t="s">
        <v>10178</v>
      </c>
      <c r="J294" s="130" t="s">
        <v>10178</v>
      </c>
    </row>
    <row r="295">
      <c r="A295" s="191"/>
      <c r="B295" s="130" t="s">
        <v>10178</v>
      </c>
      <c r="C295" s="130" t="s">
        <v>10178</v>
      </c>
      <c r="D295" s="130" t="s">
        <v>10178</v>
      </c>
      <c r="E295" s="130" t="s">
        <v>10178</v>
      </c>
      <c r="F295" s="130" t="s">
        <v>10178</v>
      </c>
      <c r="G295" s="130" t="s">
        <v>10178</v>
      </c>
      <c r="H295" s="130" t="s">
        <v>10178</v>
      </c>
      <c r="I295" s="130" t="s">
        <v>10178</v>
      </c>
      <c r="J295" s="130" t="s">
        <v>10178</v>
      </c>
    </row>
    <row r="296">
      <c r="A296" s="191"/>
      <c r="B296" s="130" t="s">
        <v>10178</v>
      </c>
      <c r="C296" s="130" t="s">
        <v>10178</v>
      </c>
      <c r="D296" s="130" t="s">
        <v>10178</v>
      </c>
      <c r="E296" s="130" t="s">
        <v>10178</v>
      </c>
      <c r="F296" s="130" t="s">
        <v>10178</v>
      </c>
      <c r="G296" s="130" t="s">
        <v>10178</v>
      </c>
      <c r="H296" s="130" t="s">
        <v>10178</v>
      </c>
      <c r="I296" s="130" t="s">
        <v>10178</v>
      </c>
      <c r="J296" s="130" t="s">
        <v>10178</v>
      </c>
    </row>
    <row r="297">
      <c r="A297" s="191"/>
      <c r="B297" s="130" t="s">
        <v>10178</v>
      </c>
      <c r="C297" s="130" t="s">
        <v>10178</v>
      </c>
      <c r="D297" s="130" t="s">
        <v>10178</v>
      </c>
      <c r="E297" s="130" t="s">
        <v>10178</v>
      </c>
      <c r="F297" s="130" t="s">
        <v>10178</v>
      </c>
      <c r="G297" s="130" t="s">
        <v>10178</v>
      </c>
      <c r="H297" s="130" t="s">
        <v>10178</v>
      </c>
      <c r="I297" s="130" t="s">
        <v>10178</v>
      </c>
      <c r="J297" s="130" t="s">
        <v>10178</v>
      </c>
    </row>
    <row r="298">
      <c r="A298" s="191"/>
      <c r="B298" s="130" t="s">
        <v>10178</v>
      </c>
      <c r="C298" s="130" t="s">
        <v>10178</v>
      </c>
      <c r="D298" s="130" t="s">
        <v>10178</v>
      </c>
      <c r="E298" s="130" t="s">
        <v>10178</v>
      </c>
      <c r="F298" s="130" t="s">
        <v>10178</v>
      </c>
      <c r="G298" s="130" t="s">
        <v>10178</v>
      </c>
      <c r="H298" s="130" t="s">
        <v>10178</v>
      </c>
      <c r="I298" s="130" t="s">
        <v>10178</v>
      </c>
      <c r="J298" s="130" t="s">
        <v>10178</v>
      </c>
    </row>
    <row r="299">
      <c r="A299" s="191"/>
      <c r="B299" s="130" t="s">
        <v>10178</v>
      </c>
      <c r="C299" s="130" t="s">
        <v>10178</v>
      </c>
      <c r="D299" s="130" t="s">
        <v>10178</v>
      </c>
      <c r="E299" s="130" t="s">
        <v>10178</v>
      </c>
      <c r="F299" s="130" t="s">
        <v>10178</v>
      </c>
      <c r="G299" s="130" t="s">
        <v>10178</v>
      </c>
      <c r="H299" s="130" t="s">
        <v>10178</v>
      </c>
      <c r="I299" s="130" t="s">
        <v>10178</v>
      </c>
      <c r="J299" s="130" t="s">
        <v>10178</v>
      </c>
    </row>
    <row r="300">
      <c r="A300" s="191"/>
      <c r="B300" s="130" t="s">
        <v>10178</v>
      </c>
      <c r="C300" s="130" t="s">
        <v>10178</v>
      </c>
      <c r="D300" s="130" t="s">
        <v>10178</v>
      </c>
      <c r="E300" s="130" t="s">
        <v>10178</v>
      </c>
      <c r="F300" s="130" t="s">
        <v>10178</v>
      </c>
      <c r="G300" s="130" t="s">
        <v>10178</v>
      </c>
      <c r="H300" s="130" t="s">
        <v>10178</v>
      </c>
      <c r="I300" s="130" t="s">
        <v>10178</v>
      </c>
      <c r="J300" s="130" t="s">
        <v>10178</v>
      </c>
    </row>
    <row r="301">
      <c r="A301" s="191"/>
      <c r="B301" s="130" t="s">
        <v>10178</v>
      </c>
      <c r="C301" s="130" t="s">
        <v>10178</v>
      </c>
      <c r="D301" s="130" t="s">
        <v>10178</v>
      </c>
      <c r="E301" s="130" t="s">
        <v>10178</v>
      </c>
      <c r="F301" s="130" t="s">
        <v>10178</v>
      </c>
      <c r="G301" s="130" t="s">
        <v>10178</v>
      </c>
      <c r="H301" s="130" t="s">
        <v>10178</v>
      </c>
      <c r="I301" s="130" t="s">
        <v>10178</v>
      </c>
      <c r="J301" s="130" t="s">
        <v>10178</v>
      </c>
    </row>
    <row r="302">
      <c r="A302" s="191"/>
      <c r="B302" s="130" t="s">
        <v>10178</v>
      </c>
      <c r="C302" s="130" t="s">
        <v>10178</v>
      </c>
      <c r="D302" s="130" t="s">
        <v>10178</v>
      </c>
      <c r="E302" s="130" t="s">
        <v>10178</v>
      </c>
      <c r="F302" s="130" t="s">
        <v>10178</v>
      </c>
      <c r="G302" s="130" t="s">
        <v>10178</v>
      </c>
      <c r="H302" s="130" t="s">
        <v>10178</v>
      </c>
      <c r="I302" s="130" t="s">
        <v>10178</v>
      </c>
      <c r="J302" s="130" t="s">
        <v>10178</v>
      </c>
    </row>
    <row r="303">
      <c r="A303" s="191"/>
      <c r="B303" s="130" t="s">
        <v>10178</v>
      </c>
      <c r="C303" s="130" t="s">
        <v>10178</v>
      </c>
      <c r="D303" s="130" t="s">
        <v>10178</v>
      </c>
      <c r="E303" s="130" t="s">
        <v>10178</v>
      </c>
      <c r="F303" s="130" t="s">
        <v>10178</v>
      </c>
      <c r="G303" s="130" t="s">
        <v>10178</v>
      </c>
      <c r="H303" s="130" t="s">
        <v>10178</v>
      </c>
      <c r="I303" s="130" t="s">
        <v>10178</v>
      </c>
      <c r="J303" s="130" t="s">
        <v>10178</v>
      </c>
    </row>
    <row r="304">
      <c r="A304" s="191"/>
      <c r="B304" s="130" t="s">
        <v>10178</v>
      </c>
      <c r="C304" s="130" t="s">
        <v>10178</v>
      </c>
      <c r="D304" s="130" t="s">
        <v>10178</v>
      </c>
      <c r="E304" s="130" t="s">
        <v>10178</v>
      </c>
      <c r="F304" s="130" t="s">
        <v>10178</v>
      </c>
      <c r="G304" s="130" t="s">
        <v>10178</v>
      </c>
      <c r="H304" s="130" t="s">
        <v>10178</v>
      </c>
      <c r="I304" s="130" t="s">
        <v>10178</v>
      </c>
      <c r="J304" s="130" t="s">
        <v>10178</v>
      </c>
    </row>
    <row r="305">
      <c r="A305" s="191"/>
      <c r="B305" s="130" t="s">
        <v>10178</v>
      </c>
      <c r="C305" s="130" t="s">
        <v>10178</v>
      </c>
      <c r="D305" s="130" t="s">
        <v>10178</v>
      </c>
      <c r="E305" s="130" t="s">
        <v>10178</v>
      </c>
      <c r="F305" s="130" t="s">
        <v>10178</v>
      </c>
      <c r="G305" s="130" t="s">
        <v>10178</v>
      </c>
      <c r="H305" s="130" t="s">
        <v>10178</v>
      </c>
      <c r="I305" s="130" t="s">
        <v>10178</v>
      </c>
      <c r="J305" s="130" t="s">
        <v>10178</v>
      </c>
    </row>
    <row r="306">
      <c r="A306" s="191"/>
      <c r="B306" s="130" t="s">
        <v>10178</v>
      </c>
      <c r="C306" s="130" t="s">
        <v>10178</v>
      </c>
      <c r="D306" s="130" t="s">
        <v>10178</v>
      </c>
      <c r="E306" s="130" t="s">
        <v>10178</v>
      </c>
      <c r="F306" s="130" t="s">
        <v>10178</v>
      </c>
      <c r="G306" s="130" t="s">
        <v>10178</v>
      </c>
      <c r="H306" s="130" t="s">
        <v>10178</v>
      </c>
      <c r="I306" s="130" t="s">
        <v>10178</v>
      </c>
      <c r="J306" s="130" t="s">
        <v>10178</v>
      </c>
    </row>
    <row r="307">
      <c r="A307" s="191"/>
      <c r="B307" s="130" t="s">
        <v>10178</v>
      </c>
      <c r="C307" s="130" t="s">
        <v>10178</v>
      </c>
      <c r="D307" s="130" t="s">
        <v>10178</v>
      </c>
      <c r="E307" s="130" t="s">
        <v>10178</v>
      </c>
      <c r="F307" s="130" t="s">
        <v>10178</v>
      </c>
      <c r="G307" s="130" t="s">
        <v>10178</v>
      </c>
      <c r="H307" s="130" t="s">
        <v>10178</v>
      </c>
      <c r="I307" s="130" t="s">
        <v>10178</v>
      </c>
      <c r="J307" s="130" t="s">
        <v>10178</v>
      </c>
    </row>
    <row r="308">
      <c r="A308" s="191"/>
      <c r="B308" s="130" t="s">
        <v>10178</v>
      </c>
      <c r="C308" s="130" t="s">
        <v>10178</v>
      </c>
      <c r="D308" s="130" t="s">
        <v>10178</v>
      </c>
      <c r="E308" s="130" t="s">
        <v>10178</v>
      </c>
      <c r="F308" s="130" t="s">
        <v>10178</v>
      </c>
      <c r="G308" s="130" t="s">
        <v>10178</v>
      </c>
      <c r="H308" s="130" t="s">
        <v>10178</v>
      </c>
      <c r="I308" s="130" t="s">
        <v>10178</v>
      </c>
      <c r="J308" s="130" t="s">
        <v>10178</v>
      </c>
    </row>
    <row r="309">
      <c r="A309" s="191"/>
      <c r="B309" s="130" t="s">
        <v>10178</v>
      </c>
      <c r="C309" s="130" t="s">
        <v>10178</v>
      </c>
      <c r="D309" s="130" t="s">
        <v>10178</v>
      </c>
      <c r="E309" s="130" t="s">
        <v>10178</v>
      </c>
      <c r="F309" s="130" t="s">
        <v>10178</v>
      </c>
      <c r="G309" s="130" t="s">
        <v>10178</v>
      </c>
      <c r="H309" s="130" t="s">
        <v>10178</v>
      </c>
      <c r="I309" s="130" t="s">
        <v>10178</v>
      </c>
      <c r="J309" s="130" t="s">
        <v>10178</v>
      </c>
    </row>
    <row r="310">
      <c r="A310" s="191"/>
      <c r="B310" s="130" t="s">
        <v>10178</v>
      </c>
      <c r="C310" s="130" t="s">
        <v>10178</v>
      </c>
      <c r="D310" s="130" t="s">
        <v>10178</v>
      </c>
      <c r="E310" s="130" t="s">
        <v>10178</v>
      </c>
      <c r="F310" s="130" t="s">
        <v>10178</v>
      </c>
      <c r="G310" s="130" t="s">
        <v>10178</v>
      </c>
      <c r="H310" s="130" t="s">
        <v>10178</v>
      </c>
      <c r="I310" s="130" t="s">
        <v>10178</v>
      </c>
      <c r="J310" s="130" t="s">
        <v>10178</v>
      </c>
    </row>
    <row r="311">
      <c r="A311" s="191"/>
      <c r="B311" s="130" t="s">
        <v>10178</v>
      </c>
      <c r="C311" s="130" t="s">
        <v>10178</v>
      </c>
      <c r="D311" s="130" t="s">
        <v>10178</v>
      </c>
      <c r="E311" s="130" t="s">
        <v>10178</v>
      </c>
      <c r="F311" s="130" t="s">
        <v>10178</v>
      </c>
      <c r="G311" s="130" t="s">
        <v>10178</v>
      </c>
      <c r="H311" s="130" t="s">
        <v>10178</v>
      </c>
      <c r="I311" s="130" t="s">
        <v>10178</v>
      </c>
      <c r="J311" s="130" t="s">
        <v>10178</v>
      </c>
    </row>
    <row r="312">
      <c r="A312" s="191"/>
      <c r="B312" s="130" t="s">
        <v>10178</v>
      </c>
      <c r="C312" s="130" t="s">
        <v>10178</v>
      </c>
      <c r="D312" s="130" t="s">
        <v>10178</v>
      </c>
      <c r="E312" s="130" t="s">
        <v>10178</v>
      </c>
      <c r="F312" s="130" t="s">
        <v>10178</v>
      </c>
      <c r="G312" s="130" t="s">
        <v>10178</v>
      </c>
      <c r="H312" s="130" t="s">
        <v>10178</v>
      </c>
      <c r="I312" s="130" t="s">
        <v>10178</v>
      </c>
      <c r="J312" s="130" t="s">
        <v>10178</v>
      </c>
    </row>
    <row r="313">
      <c r="A313" s="191"/>
      <c r="B313" s="130" t="s">
        <v>10178</v>
      </c>
      <c r="C313" s="130" t="s">
        <v>10178</v>
      </c>
      <c r="D313" s="130" t="s">
        <v>10178</v>
      </c>
      <c r="E313" s="130" t="s">
        <v>10178</v>
      </c>
      <c r="F313" s="130" t="s">
        <v>10178</v>
      </c>
      <c r="G313" s="130" t="s">
        <v>10178</v>
      </c>
      <c r="H313" s="130" t="s">
        <v>10178</v>
      </c>
      <c r="I313" s="130" t="s">
        <v>10178</v>
      </c>
      <c r="J313" s="130" t="s">
        <v>10178</v>
      </c>
    </row>
    <row r="314">
      <c r="A314" s="191"/>
      <c r="B314" s="130" t="s">
        <v>10178</v>
      </c>
      <c r="C314" s="130" t="s">
        <v>10178</v>
      </c>
      <c r="D314" s="130" t="s">
        <v>10178</v>
      </c>
      <c r="E314" s="130" t="s">
        <v>10178</v>
      </c>
      <c r="F314" s="130" t="s">
        <v>10178</v>
      </c>
      <c r="G314" s="130" t="s">
        <v>10178</v>
      </c>
      <c r="H314" s="130" t="s">
        <v>10178</v>
      </c>
      <c r="I314" s="130" t="s">
        <v>10178</v>
      </c>
      <c r="J314" s="130" t="s">
        <v>10178</v>
      </c>
    </row>
    <row r="315">
      <c r="A315" s="191"/>
      <c r="B315" s="130" t="s">
        <v>10178</v>
      </c>
      <c r="C315" s="130" t="s">
        <v>10178</v>
      </c>
      <c r="D315" s="130" t="s">
        <v>10178</v>
      </c>
      <c r="E315" s="130" t="s">
        <v>10178</v>
      </c>
      <c r="F315" s="130" t="s">
        <v>10178</v>
      </c>
      <c r="G315" s="130" t="s">
        <v>10178</v>
      </c>
      <c r="H315" s="130" t="s">
        <v>10178</v>
      </c>
      <c r="I315" s="130" t="s">
        <v>10178</v>
      </c>
      <c r="J315" s="130" t="s">
        <v>10178</v>
      </c>
    </row>
    <row r="316">
      <c r="A316" s="191"/>
      <c r="B316" s="130" t="s">
        <v>10178</v>
      </c>
      <c r="C316" s="130" t="s">
        <v>10178</v>
      </c>
      <c r="D316" s="130" t="s">
        <v>10178</v>
      </c>
      <c r="E316" s="130" t="s">
        <v>10178</v>
      </c>
      <c r="F316" s="130" t="s">
        <v>10178</v>
      </c>
      <c r="G316" s="130" t="s">
        <v>10178</v>
      </c>
      <c r="H316" s="130" t="s">
        <v>10178</v>
      </c>
      <c r="I316" s="130" t="s">
        <v>10178</v>
      </c>
      <c r="J316" s="130" t="s">
        <v>10178</v>
      </c>
    </row>
    <row r="317">
      <c r="A317" s="191"/>
      <c r="B317" s="130" t="s">
        <v>10178</v>
      </c>
      <c r="C317" s="130" t="s">
        <v>10178</v>
      </c>
      <c r="D317" s="130" t="s">
        <v>10178</v>
      </c>
      <c r="E317" s="130" t="s">
        <v>10178</v>
      </c>
      <c r="F317" s="130" t="s">
        <v>10178</v>
      </c>
      <c r="G317" s="130" t="s">
        <v>10178</v>
      </c>
      <c r="H317" s="130" t="s">
        <v>10178</v>
      </c>
      <c r="I317" s="130" t="s">
        <v>10178</v>
      </c>
      <c r="J317" s="130" t="s">
        <v>10178</v>
      </c>
    </row>
    <row r="318">
      <c r="A318" s="191"/>
      <c r="B318" s="130" t="s">
        <v>10178</v>
      </c>
      <c r="C318" s="130" t="s">
        <v>10178</v>
      </c>
      <c r="D318" s="130" t="s">
        <v>10178</v>
      </c>
      <c r="E318" s="130" t="s">
        <v>10178</v>
      </c>
      <c r="F318" s="130" t="s">
        <v>10178</v>
      </c>
      <c r="G318" s="130" t="s">
        <v>10178</v>
      </c>
      <c r="H318" s="130" t="s">
        <v>10178</v>
      </c>
      <c r="I318" s="130" t="s">
        <v>10178</v>
      </c>
      <c r="J318" s="130" t="s">
        <v>10178</v>
      </c>
    </row>
    <row r="319">
      <c r="A319" s="191"/>
      <c r="B319" s="130" t="s">
        <v>10178</v>
      </c>
      <c r="C319" s="130" t="s">
        <v>10178</v>
      </c>
      <c r="D319" s="130" t="s">
        <v>10178</v>
      </c>
      <c r="E319" s="130" t="s">
        <v>10178</v>
      </c>
      <c r="F319" s="130" t="s">
        <v>10178</v>
      </c>
      <c r="G319" s="130" t="s">
        <v>10178</v>
      </c>
      <c r="H319" s="130" t="s">
        <v>10178</v>
      </c>
      <c r="I319" s="130" t="s">
        <v>10178</v>
      </c>
      <c r="J319" s="130" t="s">
        <v>10178</v>
      </c>
    </row>
    <row r="320">
      <c r="A320" s="191"/>
      <c r="B320" s="130" t="s">
        <v>10178</v>
      </c>
      <c r="C320" s="130" t="s">
        <v>10178</v>
      </c>
      <c r="D320" s="130" t="s">
        <v>10178</v>
      </c>
      <c r="E320" s="130" t="s">
        <v>10178</v>
      </c>
      <c r="F320" s="130" t="s">
        <v>10178</v>
      </c>
      <c r="G320" s="130" t="s">
        <v>10178</v>
      </c>
      <c r="H320" s="130" t="s">
        <v>10178</v>
      </c>
      <c r="I320" s="130" t="s">
        <v>10178</v>
      </c>
      <c r="J320" s="130" t="s">
        <v>10178</v>
      </c>
    </row>
    <row r="321">
      <c r="A321" s="191"/>
      <c r="B321" s="130" t="s">
        <v>10178</v>
      </c>
      <c r="C321" s="130" t="s">
        <v>10178</v>
      </c>
      <c r="D321" s="130" t="s">
        <v>10178</v>
      </c>
      <c r="E321" s="130" t="s">
        <v>10178</v>
      </c>
      <c r="F321" s="130" t="s">
        <v>10178</v>
      </c>
      <c r="G321" s="130" t="s">
        <v>10178</v>
      </c>
      <c r="H321" s="130" t="s">
        <v>10178</v>
      </c>
      <c r="I321" s="130" t="s">
        <v>10178</v>
      </c>
      <c r="J321" s="130" t="s">
        <v>10178</v>
      </c>
    </row>
    <row r="322">
      <c r="A322" s="191"/>
      <c r="B322" s="130" t="s">
        <v>10178</v>
      </c>
      <c r="C322" s="130" t="s">
        <v>10178</v>
      </c>
      <c r="D322" s="130" t="s">
        <v>10178</v>
      </c>
      <c r="E322" s="130" t="s">
        <v>10178</v>
      </c>
      <c r="F322" s="130" t="s">
        <v>10178</v>
      </c>
      <c r="G322" s="130" t="s">
        <v>10178</v>
      </c>
      <c r="H322" s="130" t="s">
        <v>10178</v>
      </c>
      <c r="I322" s="130" t="s">
        <v>10178</v>
      </c>
      <c r="J322" s="130" t="s">
        <v>10178</v>
      </c>
    </row>
    <row r="323">
      <c r="A323" s="191"/>
      <c r="B323" s="130" t="s">
        <v>10178</v>
      </c>
      <c r="C323" s="130" t="s">
        <v>10178</v>
      </c>
      <c r="D323" s="130" t="s">
        <v>10178</v>
      </c>
      <c r="E323" s="130" t="s">
        <v>10178</v>
      </c>
      <c r="F323" s="130" t="s">
        <v>10178</v>
      </c>
      <c r="G323" s="130" t="s">
        <v>10178</v>
      </c>
      <c r="H323" s="130" t="s">
        <v>10178</v>
      </c>
      <c r="I323" s="130" t="s">
        <v>10178</v>
      </c>
      <c r="J323" s="130" t="s">
        <v>10178</v>
      </c>
    </row>
    <row r="324">
      <c r="A324" s="191"/>
      <c r="B324" s="130" t="s">
        <v>10178</v>
      </c>
      <c r="C324" s="130" t="s">
        <v>10178</v>
      </c>
      <c r="D324" s="130" t="s">
        <v>10178</v>
      </c>
      <c r="E324" s="130" t="s">
        <v>10178</v>
      </c>
      <c r="F324" s="130" t="s">
        <v>10178</v>
      </c>
      <c r="G324" s="130" t="s">
        <v>10178</v>
      </c>
      <c r="H324" s="130" t="s">
        <v>10178</v>
      </c>
      <c r="I324" s="130" t="s">
        <v>10178</v>
      </c>
      <c r="J324" s="130" t="s">
        <v>10178</v>
      </c>
    </row>
    <row r="325">
      <c r="A325" s="191"/>
      <c r="B325" s="130" t="s">
        <v>10178</v>
      </c>
      <c r="C325" s="130" t="s">
        <v>10178</v>
      </c>
      <c r="D325" s="130" t="s">
        <v>10178</v>
      </c>
      <c r="E325" s="130" t="s">
        <v>10178</v>
      </c>
      <c r="F325" s="130" t="s">
        <v>10178</v>
      </c>
      <c r="G325" s="130" t="s">
        <v>10178</v>
      </c>
      <c r="H325" s="130" t="s">
        <v>10178</v>
      </c>
      <c r="I325" s="130" t="s">
        <v>10178</v>
      </c>
      <c r="J325" s="130" t="s">
        <v>10178</v>
      </c>
    </row>
    <row r="326">
      <c r="A326" s="191"/>
      <c r="B326" s="130" t="s">
        <v>10178</v>
      </c>
      <c r="C326" s="130" t="s">
        <v>10178</v>
      </c>
      <c r="D326" s="130" t="s">
        <v>10178</v>
      </c>
      <c r="E326" s="130" t="s">
        <v>10178</v>
      </c>
      <c r="F326" s="130" t="s">
        <v>10178</v>
      </c>
      <c r="G326" s="130" t="s">
        <v>10178</v>
      </c>
      <c r="H326" s="130" t="s">
        <v>10178</v>
      </c>
      <c r="I326" s="130" t="s">
        <v>10178</v>
      </c>
      <c r="J326" s="130" t="s">
        <v>10178</v>
      </c>
    </row>
    <row r="327">
      <c r="A327" s="191"/>
      <c r="B327" s="130" t="s">
        <v>10178</v>
      </c>
      <c r="C327" s="130" t="s">
        <v>10178</v>
      </c>
      <c r="D327" s="130" t="s">
        <v>10178</v>
      </c>
      <c r="E327" s="130" t="s">
        <v>10178</v>
      </c>
      <c r="F327" s="130" t="s">
        <v>10178</v>
      </c>
      <c r="G327" s="130" t="s">
        <v>10178</v>
      </c>
      <c r="H327" s="130" t="s">
        <v>10178</v>
      </c>
      <c r="I327" s="130" t="s">
        <v>10178</v>
      </c>
      <c r="J327" s="130" t="s">
        <v>10178</v>
      </c>
    </row>
    <row r="328">
      <c r="A328" s="191"/>
      <c r="B328" s="130" t="s">
        <v>10178</v>
      </c>
      <c r="C328" s="130" t="s">
        <v>10178</v>
      </c>
      <c r="D328" s="130" t="s">
        <v>10178</v>
      </c>
      <c r="E328" s="130" t="s">
        <v>10178</v>
      </c>
      <c r="F328" s="130" t="s">
        <v>10178</v>
      </c>
      <c r="G328" s="130" t="s">
        <v>10178</v>
      </c>
      <c r="H328" s="130" t="s">
        <v>10178</v>
      </c>
      <c r="I328" s="130" t="s">
        <v>10178</v>
      </c>
      <c r="J328" s="130" t="s">
        <v>10178</v>
      </c>
    </row>
    <row r="329">
      <c r="A329" s="191"/>
      <c r="B329" s="130" t="s">
        <v>10178</v>
      </c>
      <c r="C329" s="130" t="s">
        <v>10178</v>
      </c>
      <c r="D329" s="130" t="s">
        <v>10178</v>
      </c>
      <c r="E329" s="130" t="s">
        <v>10178</v>
      </c>
      <c r="F329" s="130" t="s">
        <v>10178</v>
      </c>
      <c r="G329" s="130" t="s">
        <v>10178</v>
      </c>
      <c r="H329" s="130" t="s">
        <v>10178</v>
      </c>
      <c r="I329" s="130" t="s">
        <v>10178</v>
      </c>
      <c r="J329" s="130" t="s">
        <v>10178</v>
      </c>
    </row>
    <row r="330">
      <c r="A330" s="191"/>
      <c r="B330" s="130" t="s">
        <v>10178</v>
      </c>
      <c r="C330" s="130" t="s">
        <v>10178</v>
      </c>
      <c r="D330" s="130" t="s">
        <v>10178</v>
      </c>
      <c r="E330" s="130" t="s">
        <v>10178</v>
      </c>
      <c r="F330" s="130" t="s">
        <v>10178</v>
      </c>
      <c r="G330" s="130" t="s">
        <v>10178</v>
      </c>
      <c r="H330" s="130" t="s">
        <v>10178</v>
      </c>
      <c r="I330" s="130" t="s">
        <v>10178</v>
      </c>
      <c r="J330" s="130" t="s">
        <v>10178</v>
      </c>
    </row>
    <row r="331">
      <c r="A331" s="191"/>
      <c r="B331" s="130" t="s">
        <v>10178</v>
      </c>
      <c r="C331" s="130" t="s">
        <v>10178</v>
      </c>
      <c r="D331" s="130" t="s">
        <v>10178</v>
      </c>
      <c r="E331" s="130" t="s">
        <v>10178</v>
      </c>
      <c r="F331" s="130" t="s">
        <v>10178</v>
      </c>
      <c r="G331" s="130" t="s">
        <v>10178</v>
      </c>
      <c r="H331" s="130" t="s">
        <v>10178</v>
      </c>
      <c r="I331" s="130" t="s">
        <v>10178</v>
      </c>
      <c r="J331" s="130" t="s">
        <v>10178</v>
      </c>
    </row>
    <row r="332">
      <c r="A332" s="191"/>
      <c r="B332" s="130" t="s">
        <v>10178</v>
      </c>
      <c r="C332" s="130" t="s">
        <v>10178</v>
      </c>
      <c r="D332" s="130" t="s">
        <v>10178</v>
      </c>
      <c r="E332" s="130" t="s">
        <v>10178</v>
      </c>
      <c r="F332" s="130" t="s">
        <v>10178</v>
      </c>
      <c r="G332" s="130" t="s">
        <v>10178</v>
      </c>
      <c r="H332" s="130" t="s">
        <v>10178</v>
      </c>
      <c r="I332" s="130" t="s">
        <v>10178</v>
      </c>
      <c r="J332" s="130" t="s">
        <v>10178</v>
      </c>
    </row>
    <row r="333">
      <c r="A333" s="191"/>
      <c r="B333" s="130" t="s">
        <v>10178</v>
      </c>
      <c r="C333" s="130" t="s">
        <v>10178</v>
      </c>
      <c r="D333" s="130" t="s">
        <v>10178</v>
      </c>
      <c r="E333" s="130" t="s">
        <v>10178</v>
      </c>
      <c r="F333" s="130" t="s">
        <v>10178</v>
      </c>
      <c r="G333" s="130" t="s">
        <v>10178</v>
      </c>
      <c r="H333" s="130" t="s">
        <v>10178</v>
      </c>
      <c r="I333" s="130" t="s">
        <v>10178</v>
      </c>
      <c r="J333" s="130" t="s">
        <v>10178</v>
      </c>
    </row>
    <row r="334">
      <c r="A334" s="191"/>
      <c r="B334" s="130" t="s">
        <v>10178</v>
      </c>
      <c r="C334" s="130" t="s">
        <v>10178</v>
      </c>
      <c r="D334" s="130" t="s">
        <v>10178</v>
      </c>
      <c r="E334" s="130" t="s">
        <v>10178</v>
      </c>
      <c r="F334" s="130" t="s">
        <v>10178</v>
      </c>
      <c r="G334" s="130" t="s">
        <v>10178</v>
      </c>
      <c r="H334" s="130" t="s">
        <v>10178</v>
      </c>
      <c r="I334" s="130" t="s">
        <v>10178</v>
      </c>
      <c r="J334" s="130" t="s">
        <v>10178</v>
      </c>
    </row>
    <row r="335">
      <c r="A335" s="191"/>
      <c r="B335" s="130" t="s">
        <v>10178</v>
      </c>
      <c r="C335" s="130" t="s">
        <v>10178</v>
      </c>
      <c r="D335" s="130" t="s">
        <v>10178</v>
      </c>
      <c r="E335" s="130" t="s">
        <v>10178</v>
      </c>
      <c r="F335" s="130" t="s">
        <v>10178</v>
      </c>
      <c r="G335" s="130" t="s">
        <v>10178</v>
      </c>
      <c r="H335" s="130" t="s">
        <v>10178</v>
      </c>
      <c r="I335" s="130" t="s">
        <v>10178</v>
      </c>
      <c r="J335" s="130" t="s">
        <v>10178</v>
      </c>
    </row>
    <row r="336">
      <c r="A336" s="191"/>
      <c r="B336" s="130" t="s">
        <v>10178</v>
      </c>
      <c r="C336" s="130" t="s">
        <v>10178</v>
      </c>
      <c r="D336" s="130" t="s">
        <v>10178</v>
      </c>
      <c r="E336" s="130" t="s">
        <v>10178</v>
      </c>
      <c r="F336" s="130" t="s">
        <v>10178</v>
      </c>
      <c r="G336" s="130" t="s">
        <v>10178</v>
      </c>
      <c r="H336" s="130" t="s">
        <v>10178</v>
      </c>
      <c r="I336" s="130" t="s">
        <v>10178</v>
      </c>
      <c r="J336" s="130" t="s">
        <v>10178</v>
      </c>
    </row>
    <row r="337">
      <c r="A337" s="191"/>
      <c r="B337" s="130" t="s">
        <v>10178</v>
      </c>
      <c r="C337" s="130" t="s">
        <v>10178</v>
      </c>
      <c r="D337" s="130" t="s">
        <v>10178</v>
      </c>
      <c r="E337" s="130" t="s">
        <v>10178</v>
      </c>
      <c r="F337" s="130" t="s">
        <v>10178</v>
      </c>
      <c r="G337" s="130" t="s">
        <v>10178</v>
      </c>
      <c r="H337" s="130" t="s">
        <v>10178</v>
      </c>
      <c r="I337" s="130" t="s">
        <v>10178</v>
      </c>
      <c r="J337" s="130" t="s">
        <v>10178</v>
      </c>
    </row>
    <row r="338">
      <c r="A338" s="191"/>
      <c r="B338" s="130" t="s">
        <v>10178</v>
      </c>
      <c r="C338" s="130" t="s">
        <v>10178</v>
      </c>
      <c r="D338" s="130" t="s">
        <v>10178</v>
      </c>
      <c r="E338" s="130" t="s">
        <v>10178</v>
      </c>
      <c r="F338" s="130" t="s">
        <v>10178</v>
      </c>
      <c r="G338" s="130" t="s">
        <v>10178</v>
      </c>
      <c r="H338" s="130" t="s">
        <v>10178</v>
      </c>
      <c r="I338" s="130" t="s">
        <v>10178</v>
      </c>
      <c r="J338" s="130" t="s">
        <v>10178</v>
      </c>
    </row>
    <row r="339">
      <c r="A339" s="191"/>
      <c r="B339" s="130" t="s">
        <v>10178</v>
      </c>
      <c r="C339" s="130" t="s">
        <v>10178</v>
      </c>
      <c r="D339" s="130" t="s">
        <v>10178</v>
      </c>
      <c r="E339" s="130" t="s">
        <v>10178</v>
      </c>
      <c r="F339" s="130" t="s">
        <v>10178</v>
      </c>
      <c r="G339" s="130" t="s">
        <v>10178</v>
      </c>
      <c r="H339" s="130" t="s">
        <v>10178</v>
      </c>
      <c r="I339" s="130" t="s">
        <v>10178</v>
      </c>
      <c r="J339" s="130" t="s">
        <v>10178</v>
      </c>
    </row>
    <row r="340">
      <c r="A340" s="191"/>
      <c r="B340" s="130" t="s">
        <v>10178</v>
      </c>
      <c r="C340" s="130" t="s">
        <v>10178</v>
      </c>
      <c r="D340" s="130" t="s">
        <v>10178</v>
      </c>
      <c r="E340" s="130" t="s">
        <v>10178</v>
      </c>
      <c r="F340" s="130" t="s">
        <v>10178</v>
      </c>
      <c r="G340" s="130" t="s">
        <v>10178</v>
      </c>
      <c r="H340" s="130" t="s">
        <v>10178</v>
      </c>
      <c r="I340" s="130" t="s">
        <v>10178</v>
      </c>
      <c r="J340" s="130" t="s">
        <v>10178</v>
      </c>
    </row>
    <row r="341">
      <c r="A341" s="191"/>
      <c r="B341" s="130" t="s">
        <v>10178</v>
      </c>
      <c r="C341" s="130" t="s">
        <v>10178</v>
      </c>
      <c r="D341" s="130" t="s">
        <v>10178</v>
      </c>
      <c r="E341" s="130" t="s">
        <v>10178</v>
      </c>
      <c r="F341" s="130" t="s">
        <v>10178</v>
      </c>
      <c r="G341" s="130" t="s">
        <v>10178</v>
      </c>
      <c r="H341" s="130" t="s">
        <v>10178</v>
      </c>
      <c r="I341" s="130" t="s">
        <v>10178</v>
      </c>
      <c r="J341" s="130" t="s">
        <v>10178</v>
      </c>
    </row>
    <row r="342">
      <c r="A342" s="191"/>
      <c r="B342" s="130" t="s">
        <v>10178</v>
      </c>
      <c r="C342" s="130" t="s">
        <v>10178</v>
      </c>
      <c r="D342" s="130" t="s">
        <v>10178</v>
      </c>
      <c r="E342" s="130" t="s">
        <v>10178</v>
      </c>
      <c r="F342" s="130" t="s">
        <v>10178</v>
      </c>
      <c r="G342" s="130" t="s">
        <v>10178</v>
      </c>
      <c r="H342" s="130" t="s">
        <v>10178</v>
      </c>
      <c r="I342" s="130" t="s">
        <v>10178</v>
      </c>
      <c r="J342" s="130" t="s">
        <v>10178</v>
      </c>
    </row>
    <row r="343">
      <c r="A343" s="191"/>
      <c r="B343" s="130" t="s">
        <v>10178</v>
      </c>
      <c r="C343" s="130" t="s">
        <v>10178</v>
      </c>
      <c r="D343" s="130" t="s">
        <v>10178</v>
      </c>
      <c r="E343" s="130" t="s">
        <v>10178</v>
      </c>
      <c r="F343" s="130" t="s">
        <v>10178</v>
      </c>
      <c r="G343" s="130" t="s">
        <v>10178</v>
      </c>
      <c r="H343" s="130" t="s">
        <v>10178</v>
      </c>
      <c r="I343" s="130" t="s">
        <v>10178</v>
      </c>
      <c r="J343" s="130" t="s">
        <v>10178</v>
      </c>
    </row>
    <row r="344">
      <c r="A344" s="191"/>
      <c r="B344" s="130" t="s">
        <v>10178</v>
      </c>
      <c r="C344" s="130" t="s">
        <v>10178</v>
      </c>
      <c r="D344" s="130" t="s">
        <v>10178</v>
      </c>
      <c r="E344" s="130" t="s">
        <v>10178</v>
      </c>
      <c r="F344" s="130" t="s">
        <v>10178</v>
      </c>
      <c r="G344" s="130" t="s">
        <v>10178</v>
      </c>
      <c r="H344" s="130" t="s">
        <v>10178</v>
      </c>
      <c r="I344" s="130" t="s">
        <v>10178</v>
      </c>
      <c r="J344" s="130" t="s">
        <v>10178</v>
      </c>
    </row>
    <row r="345">
      <c r="A345" s="191"/>
      <c r="B345" s="130" t="s">
        <v>10178</v>
      </c>
      <c r="C345" s="130" t="s">
        <v>10178</v>
      </c>
      <c r="D345" s="130" t="s">
        <v>10178</v>
      </c>
      <c r="E345" s="130" t="s">
        <v>10178</v>
      </c>
      <c r="F345" s="130" t="s">
        <v>10178</v>
      </c>
      <c r="G345" s="130" t="s">
        <v>10178</v>
      </c>
      <c r="H345" s="130" t="s">
        <v>10178</v>
      </c>
      <c r="I345" s="130" t="s">
        <v>10178</v>
      </c>
      <c r="J345" s="130" t="s">
        <v>10178</v>
      </c>
    </row>
    <row r="346">
      <c r="A346" s="191"/>
      <c r="B346" s="130" t="s">
        <v>10178</v>
      </c>
      <c r="C346" s="130" t="s">
        <v>10178</v>
      </c>
      <c r="D346" s="130" t="s">
        <v>10178</v>
      </c>
      <c r="E346" s="130" t="s">
        <v>10178</v>
      </c>
      <c r="F346" s="130" t="s">
        <v>10178</v>
      </c>
      <c r="G346" s="130" t="s">
        <v>10178</v>
      </c>
      <c r="H346" s="130" t="s">
        <v>10178</v>
      </c>
      <c r="I346" s="130" t="s">
        <v>10178</v>
      </c>
      <c r="J346" s="130" t="s">
        <v>10178</v>
      </c>
    </row>
    <row r="347">
      <c r="A347" s="191"/>
      <c r="B347" s="130" t="s">
        <v>10178</v>
      </c>
      <c r="C347" s="130" t="s">
        <v>10178</v>
      </c>
      <c r="D347" s="130" t="s">
        <v>10178</v>
      </c>
      <c r="E347" s="130" t="s">
        <v>10178</v>
      </c>
      <c r="F347" s="130" t="s">
        <v>10178</v>
      </c>
      <c r="G347" s="130" t="s">
        <v>10178</v>
      </c>
      <c r="H347" s="130" t="s">
        <v>10178</v>
      </c>
      <c r="I347" s="130" t="s">
        <v>10178</v>
      </c>
      <c r="J347" s="130" t="s">
        <v>10178</v>
      </c>
    </row>
    <row r="348">
      <c r="A348" s="191"/>
      <c r="B348" s="130" t="s">
        <v>10178</v>
      </c>
      <c r="C348" s="130" t="s">
        <v>10178</v>
      </c>
      <c r="D348" s="130" t="s">
        <v>10178</v>
      </c>
      <c r="E348" s="130" t="s">
        <v>10178</v>
      </c>
      <c r="F348" s="130" t="s">
        <v>10178</v>
      </c>
      <c r="G348" s="130" t="s">
        <v>10178</v>
      </c>
      <c r="H348" s="130" t="s">
        <v>10178</v>
      </c>
      <c r="I348" s="130" t="s">
        <v>10178</v>
      </c>
      <c r="J348" s="130" t="s">
        <v>10178</v>
      </c>
    </row>
    <row r="349">
      <c r="A349" s="191"/>
      <c r="B349" s="130" t="s">
        <v>10178</v>
      </c>
      <c r="C349" s="130" t="s">
        <v>10178</v>
      </c>
      <c r="D349" s="130" t="s">
        <v>10178</v>
      </c>
      <c r="E349" s="130" t="s">
        <v>10178</v>
      </c>
      <c r="F349" s="130" t="s">
        <v>10178</v>
      </c>
      <c r="G349" s="130" t="s">
        <v>10178</v>
      </c>
      <c r="H349" s="130" t="s">
        <v>10178</v>
      </c>
      <c r="I349" s="130" t="s">
        <v>10178</v>
      </c>
      <c r="J349" s="130" t="s">
        <v>10178</v>
      </c>
    </row>
    <row r="350">
      <c r="A350" s="191"/>
      <c r="B350" s="130" t="s">
        <v>10178</v>
      </c>
      <c r="C350" s="130" t="s">
        <v>10178</v>
      </c>
      <c r="D350" s="130" t="s">
        <v>10178</v>
      </c>
      <c r="E350" s="130" t="s">
        <v>10178</v>
      </c>
      <c r="F350" s="130" t="s">
        <v>10178</v>
      </c>
      <c r="G350" s="130" t="s">
        <v>10178</v>
      </c>
      <c r="H350" s="130" t="s">
        <v>10178</v>
      </c>
      <c r="I350" s="130" t="s">
        <v>10178</v>
      </c>
      <c r="J350" s="130" t="s">
        <v>10178</v>
      </c>
    </row>
    <row r="351">
      <c r="A351" s="191"/>
      <c r="B351" s="130" t="s">
        <v>10178</v>
      </c>
      <c r="C351" s="130" t="s">
        <v>10178</v>
      </c>
      <c r="D351" s="130" t="s">
        <v>10178</v>
      </c>
      <c r="E351" s="130" t="s">
        <v>10178</v>
      </c>
      <c r="F351" s="130" t="s">
        <v>10178</v>
      </c>
      <c r="G351" s="130" t="s">
        <v>10178</v>
      </c>
      <c r="H351" s="130" t="s">
        <v>10178</v>
      </c>
      <c r="I351" s="130" t="s">
        <v>10178</v>
      </c>
      <c r="J351" s="130" t="s">
        <v>10178</v>
      </c>
    </row>
    <row r="352">
      <c r="A352" s="191"/>
      <c r="B352" s="130" t="s">
        <v>10178</v>
      </c>
      <c r="C352" s="130" t="s">
        <v>10178</v>
      </c>
      <c r="D352" s="130" t="s">
        <v>10178</v>
      </c>
      <c r="E352" s="130" t="s">
        <v>10178</v>
      </c>
      <c r="F352" s="130" t="s">
        <v>10178</v>
      </c>
      <c r="G352" s="130" t="s">
        <v>10178</v>
      </c>
      <c r="H352" s="130" t="s">
        <v>10178</v>
      </c>
      <c r="I352" s="130" t="s">
        <v>10178</v>
      </c>
      <c r="J352" s="130" t="s">
        <v>10178</v>
      </c>
    </row>
    <row r="353">
      <c r="A353" s="191"/>
      <c r="B353" s="130" t="s">
        <v>10178</v>
      </c>
      <c r="C353" s="130" t="s">
        <v>10178</v>
      </c>
      <c r="D353" s="130" t="s">
        <v>10178</v>
      </c>
      <c r="E353" s="130" t="s">
        <v>10178</v>
      </c>
      <c r="F353" s="130" t="s">
        <v>10178</v>
      </c>
      <c r="G353" s="130" t="s">
        <v>10178</v>
      </c>
      <c r="H353" s="130" t="s">
        <v>10178</v>
      </c>
      <c r="I353" s="130" t="s">
        <v>10178</v>
      </c>
      <c r="J353" s="130" t="s">
        <v>10178</v>
      </c>
    </row>
    <row r="354">
      <c r="A354" s="191"/>
      <c r="B354" s="130" t="s">
        <v>10178</v>
      </c>
      <c r="C354" s="130" t="s">
        <v>10178</v>
      </c>
      <c r="D354" s="130" t="s">
        <v>10178</v>
      </c>
      <c r="E354" s="130" t="s">
        <v>10178</v>
      </c>
      <c r="F354" s="130" t="s">
        <v>10178</v>
      </c>
      <c r="G354" s="130" t="s">
        <v>10178</v>
      </c>
      <c r="H354" s="130" t="s">
        <v>10178</v>
      </c>
      <c r="I354" s="130" t="s">
        <v>10178</v>
      </c>
      <c r="J354" s="130" t="s">
        <v>10178</v>
      </c>
    </row>
    <row r="355">
      <c r="A355" s="191"/>
      <c r="B355" s="130" t="s">
        <v>10178</v>
      </c>
      <c r="C355" s="130" t="s">
        <v>10178</v>
      </c>
      <c r="D355" s="130" t="s">
        <v>10178</v>
      </c>
      <c r="E355" s="130" t="s">
        <v>10178</v>
      </c>
      <c r="F355" s="130" t="s">
        <v>10178</v>
      </c>
      <c r="G355" s="130" t="s">
        <v>10178</v>
      </c>
      <c r="H355" s="130" t="s">
        <v>10178</v>
      </c>
      <c r="I355" s="130" t="s">
        <v>10178</v>
      </c>
      <c r="J355" s="130" t="s">
        <v>10178</v>
      </c>
    </row>
    <row r="356">
      <c r="A356" s="191"/>
      <c r="B356" s="130" t="s">
        <v>10178</v>
      </c>
      <c r="C356" s="130" t="s">
        <v>10178</v>
      </c>
      <c r="D356" s="130" t="s">
        <v>10178</v>
      </c>
      <c r="E356" s="130" t="s">
        <v>10178</v>
      </c>
      <c r="F356" s="130" t="s">
        <v>10178</v>
      </c>
      <c r="G356" s="130" t="s">
        <v>10178</v>
      </c>
      <c r="H356" s="130" t="s">
        <v>10178</v>
      </c>
      <c r="I356" s="130" t="s">
        <v>10178</v>
      </c>
      <c r="J356" s="130" t="s">
        <v>10178</v>
      </c>
    </row>
    <row r="357">
      <c r="A357" s="191"/>
      <c r="B357" s="130" t="s">
        <v>10178</v>
      </c>
      <c r="C357" s="130" t="s">
        <v>10178</v>
      </c>
      <c r="D357" s="130" t="s">
        <v>10178</v>
      </c>
      <c r="E357" s="130" t="s">
        <v>10178</v>
      </c>
      <c r="F357" s="130" t="s">
        <v>10178</v>
      </c>
      <c r="G357" s="130" t="s">
        <v>10178</v>
      </c>
      <c r="H357" s="130" t="s">
        <v>10178</v>
      </c>
      <c r="I357" s="130" t="s">
        <v>10178</v>
      </c>
      <c r="J357" s="130" t="s">
        <v>10178</v>
      </c>
    </row>
    <row r="358">
      <c r="A358" s="191"/>
      <c r="B358" s="130" t="s">
        <v>10178</v>
      </c>
      <c r="C358" s="130" t="s">
        <v>10178</v>
      </c>
      <c r="D358" s="130" t="s">
        <v>10178</v>
      </c>
      <c r="E358" s="130" t="s">
        <v>10178</v>
      </c>
      <c r="F358" s="130" t="s">
        <v>10178</v>
      </c>
      <c r="G358" s="130" t="s">
        <v>10178</v>
      </c>
      <c r="H358" s="130" t="s">
        <v>10178</v>
      </c>
      <c r="I358" s="130" t="s">
        <v>10178</v>
      </c>
      <c r="J358" s="130" t="s">
        <v>10178</v>
      </c>
    </row>
    <row r="359">
      <c r="A359" s="191"/>
      <c r="B359" s="130" t="s">
        <v>10178</v>
      </c>
      <c r="C359" s="130" t="s">
        <v>10178</v>
      </c>
      <c r="D359" s="130" t="s">
        <v>10178</v>
      </c>
      <c r="E359" s="130" t="s">
        <v>10178</v>
      </c>
      <c r="F359" s="130" t="s">
        <v>10178</v>
      </c>
      <c r="G359" s="130" t="s">
        <v>10178</v>
      </c>
      <c r="H359" s="130" t="s">
        <v>10178</v>
      </c>
      <c r="I359" s="130" t="s">
        <v>10178</v>
      </c>
      <c r="J359" s="130" t="s">
        <v>10178</v>
      </c>
    </row>
    <row r="360">
      <c r="A360" s="191"/>
      <c r="B360" s="130" t="s">
        <v>10178</v>
      </c>
      <c r="C360" s="130" t="s">
        <v>10178</v>
      </c>
      <c r="D360" s="130" t="s">
        <v>10178</v>
      </c>
      <c r="E360" s="130" t="s">
        <v>10178</v>
      </c>
      <c r="F360" s="130" t="s">
        <v>10178</v>
      </c>
      <c r="G360" s="130" t="s">
        <v>10178</v>
      </c>
      <c r="H360" s="130" t="s">
        <v>10178</v>
      </c>
      <c r="I360" s="130" t="s">
        <v>10178</v>
      </c>
      <c r="J360" s="130" t="s">
        <v>10178</v>
      </c>
    </row>
    <row r="361">
      <c r="A361" s="191"/>
      <c r="B361" s="130" t="s">
        <v>10178</v>
      </c>
      <c r="C361" s="130" t="s">
        <v>10178</v>
      </c>
      <c r="D361" s="130" t="s">
        <v>10178</v>
      </c>
      <c r="E361" s="130" t="s">
        <v>10178</v>
      </c>
      <c r="F361" s="130" t="s">
        <v>10178</v>
      </c>
      <c r="G361" s="130" t="s">
        <v>10178</v>
      </c>
      <c r="H361" s="130" t="s">
        <v>10178</v>
      </c>
      <c r="I361" s="130" t="s">
        <v>10178</v>
      </c>
      <c r="J361" s="130" t="s">
        <v>10178</v>
      </c>
    </row>
    <row r="362">
      <c r="A362" s="191"/>
      <c r="B362" s="130" t="s">
        <v>10178</v>
      </c>
      <c r="C362" s="130" t="s">
        <v>10178</v>
      </c>
      <c r="D362" s="130" t="s">
        <v>10178</v>
      </c>
      <c r="E362" s="130" t="s">
        <v>10178</v>
      </c>
      <c r="F362" s="130" t="s">
        <v>10178</v>
      </c>
      <c r="G362" s="130" t="s">
        <v>10178</v>
      </c>
      <c r="H362" s="130" t="s">
        <v>10178</v>
      </c>
      <c r="I362" s="130" t="s">
        <v>10178</v>
      </c>
      <c r="J362" s="130" t="s">
        <v>10178</v>
      </c>
    </row>
    <row r="363">
      <c r="A363" s="191"/>
      <c r="B363" s="130" t="s">
        <v>10178</v>
      </c>
      <c r="C363" s="130" t="s">
        <v>10178</v>
      </c>
      <c r="D363" s="130" t="s">
        <v>10178</v>
      </c>
      <c r="E363" s="130" t="s">
        <v>10178</v>
      </c>
      <c r="F363" s="130" t="s">
        <v>10178</v>
      </c>
      <c r="G363" s="130" t="s">
        <v>10178</v>
      </c>
      <c r="H363" s="130" t="s">
        <v>10178</v>
      </c>
      <c r="I363" s="130" t="s">
        <v>10178</v>
      </c>
      <c r="J363" s="130" t="s">
        <v>10178</v>
      </c>
    </row>
    <row r="364">
      <c r="A364" s="191"/>
      <c r="B364" s="130" t="s">
        <v>10178</v>
      </c>
      <c r="C364" s="130" t="s">
        <v>10178</v>
      </c>
      <c r="D364" s="130" t="s">
        <v>10178</v>
      </c>
      <c r="E364" s="130" t="s">
        <v>10178</v>
      </c>
      <c r="F364" s="130" t="s">
        <v>10178</v>
      </c>
      <c r="G364" s="130" t="s">
        <v>10178</v>
      </c>
      <c r="H364" s="130" t="s">
        <v>10178</v>
      </c>
      <c r="I364" s="130" t="s">
        <v>10178</v>
      </c>
      <c r="J364" s="130" t="s">
        <v>10178</v>
      </c>
    </row>
    <row r="365">
      <c r="A365" s="191"/>
      <c r="B365" s="130" t="s">
        <v>10178</v>
      </c>
      <c r="C365" s="130" t="s">
        <v>10178</v>
      </c>
      <c r="D365" s="130" t="s">
        <v>10178</v>
      </c>
      <c r="E365" s="130" t="s">
        <v>10178</v>
      </c>
      <c r="F365" s="130" t="s">
        <v>10178</v>
      </c>
      <c r="G365" s="130" t="s">
        <v>10178</v>
      </c>
      <c r="H365" s="130" t="s">
        <v>10178</v>
      </c>
      <c r="I365" s="130" t="s">
        <v>10178</v>
      </c>
      <c r="J365" s="130" t="s">
        <v>10178</v>
      </c>
    </row>
    <row r="366">
      <c r="A366" s="191"/>
      <c r="B366" s="130" t="s">
        <v>10178</v>
      </c>
      <c r="C366" s="130" t="s">
        <v>10178</v>
      </c>
      <c r="D366" s="130" t="s">
        <v>10178</v>
      </c>
      <c r="E366" s="130" t="s">
        <v>10178</v>
      </c>
      <c r="F366" s="130" t="s">
        <v>10178</v>
      </c>
      <c r="G366" s="130" t="s">
        <v>10178</v>
      </c>
      <c r="H366" s="130" t="s">
        <v>10178</v>
      </c>
      <c r="I366" s="130" t="s">
        <v>10178</v>
      </c>
      <c r="J366" s="130" t="s">
        <v>10178</v>
      </c>
    </row>
    <row r="367">
      <c r="A367" s="191"/>
      <c r="B367" s="130" t="s">
        <v>10178</v>
      </c>
      <c r="C367" s="130" t="s">
        <v>10178</v>
      </c>
      <c r="D367" s="130" t="s">
        <v>10178</v>
      </c>
      <c r="E367" s="130" t="s">
        <v>10178</v>
      </c>
      <c r="F367" s="130" t="s">
        <v>10178</v>
      </c>
      <c r="G367" s="130" t="s">
        <v>10178</v>
      </c>
      <c r="H367" s="130" t="s">
        <v>10178</v>
      </c>
      <c r="I367" s="130" t="s">
        <v>10178</v>
      </c>
      <c r="J367" s="130" t="s">
        <v>10178</v>
      </c>
    </row>
    <row r="368">
      <c r="A368" s="191"/>
      <c r="B368" s="130" t="s">
        <v>10178</v>
      </c>
      <c r="C368" s="130" t="s">
        <v>10178</v>
      </c>
      <c r="D368" s="130" t="s">
        <v>10178</v>
      </c>
      <c r="E368" s="130" t="s">
        <v>10178</v>
      </c>
      <c r="F368" s="130" t="s">
        <v>10178</v>
      </c>
      <c r="G368" s="130" t="s">
        <v>10178</v>
      </c>
      <c r="H368" s="130" t="s">
        <v>10178</v>
      </c>
      <c r="I368" s="130" t="s">
        <v>10178</v>
      </c>
      <c r="J368" s="130" t="s">
        <v>10178</v>
      </c>
    </row>
    <row r="369">
      <c r="A369" s="191"/>
      <c r="B369" s="130" t="s">
        <v>10178</v>
      </c>
      <c r="C369" s="130" t="s">
        <v>10178</v>
      </c>
      <c r="D369" s="130" t="s">
        <v>10178</v>
      </c>
      <c r="E369" s="130" t="s">
        <v>10178</v>
      </c>
      <c r="F369" s="130" t="s">
        <v>10178</v>
      </c>
      <c r="G369" s="130" t="s">
        <v>10178</v>
      </c>
      <c r="H369" s="130" t="s">
        <v>10178</v>
      </c>
      <c r="I369" s="130" t="s">
        <v>10178</v>
      </c>
      <c r="J369" s="130" t="s">
        <v>10178</v>
      </c>
    </row>
    <row r="370">
      <c r="A370" s="191"/>
      <c r="B370" s="130" t="s">
        <v>10178</v>
      </c>
      <c r="C370" s="130" t="s">
        <v>10178</v>
      </c>
      <c r="D370" s="130" t="s">
        <v>10178</v>
      </c>
      <c r="E370" s="130" t="s">
        <v>10178</v>
      </c>
      <c r="F370" s="130" t="s">
        <v>10178</v>
      </c>
      <c r="G370" s="130" t="s">
        <v>10178</v>
      </c>
      <c r="H370" s="130" t="s">
        <v>10178</v>
      </c>
      <c r="I370" s="130" t="s">
        <v>10178</v>
      </c>
      <c r="J370" s="130" t="s">
        <v>10178</v>
      </c>
    </row>
    <row r="371">
      <c r="A371" s="191"/>
      <c r="B371" s="130" t="s">
        <v>10178</v>
      </c>
      <c r="C371" s="130" t="s">
        <v>10178</v>
      </c>
      <c r="D371" s="130" t="s">
        <v>10178</v>
      </c>
      <c r="E371" s="130" t="s">
        <v>10178</v>
      </c>
      <c r="F371" s="130" t="s">
        <v>10178</v>
      </c>
      <c r="G371" s="130" t="s">
        <v>10178</v>
      </c>
      <c r="H371" s="130" t="s">
        <v>10178</v>
      </c>
      <c r="I371" s="130" t="s">
        <v>10178</v>
      </c>
      <c r="J371" s="130" t="s">
        <v>10178</v>
      </c>
    </row>
    <row r="372">
      <c r="A372" s="191"/>
      <c r="B372" s="130" t="s">
        <v>10178</v>
      </c>
      <c r="C372" s="130" t="s">
        <v>10178</v>
      </c>
      <c r="D372" s="130" t="s">
        <v>10178</v>
      </c>
      <c r="E372" s="130" t="s">
        <v>10178</v>
      </c>
      <c r="F372" s="130" t="s">
        <v>10178</v>
      </c>
      <c r="G372" s="130" t="s">
        <v>10178</v>
      </c>
      <c r="H372" s="130" t="s">
        <v>10178</v>
      </c>
      <c r="I372" s="130" t="s">
        <v>10178</v>
      </c>
      <c r="J372" s="130" t="s">
        <v>10178</v>
      </c>
    </row>
    <row r="373">
      <c r="A373" s="191"/>
      <c r="B373" s="130" t="s">
        <v>10178</v>
      </c>
      <c r="C373" s="130" t="s">
        <v>10178</v>
      </c>
      <c r="D373" s="130" t="s">
        <v>10178</v>
      </c>
      <c r="E373" s="130" t="s">
        <v>10178</v>
      </c>
      <c r="F373" s="130" t="s">
        <v>10178</v>
      </c>
      <c r="G373" s="130" t="s">
        <v>10178</v>
      </c>
      <c r="H373" s="130" t="s">
        <v>10178</v>
      </c>
      <c r="I373" s="130" t="s">
        <v>10178</v>
      </c>
      <c r="J373" s="130" t="s">
        <v>10178</v>
      </c>
    </row>
    <row r="374">
      <c r="A374" s="191"/>
      <c r="B374" s="130" t="s">
        <v>10178</v>
      </c>
      <c r="C374" s="130" t="s">
        <v>10178</v>
      </c>
      <c r="D374" s="130" t="s">
        <v>10178</v>
      </c>
      <c r="E374" s="130" t="s">
        <v>10178</v>
      </c>
      <c r="F374" s="130" t="s">
        <v>10178</v>
      </c>
      <c r="G374" s="130" t="s">
        <v>10178</v>
      </c>
      <c r="H374" s="130" t="s">
        <v>10178</v>
      </c>
      <c r="I374" s="130" t="s">
        <v>10178</v>
      </c>
      <c r="J374" s="130" t="s">
        <v>10178</v>
      </c>
    </row>
    <row r="375">
      <c r="A375" s="191"/>
      <c r="B375" s="130" t="s">
        <v>10178</v>
      </c>
      <c r="C375" s="130" t="s">
        <v>10178</v>
      </c>
      <c r="D375" s="130" t="s">
        <v>10178</v>
      </c>
      <c r="E375" s="130" t="s">
        <v>10178</v>
      </c>
      <c r="F375" s="130" t="s">
        <v>10178</v>
      </c>
      <c r="G375" s="130" t="s">
        <v>10178</v>
      </c>
      <c r="H375" s="130" t="s">
        <v>10178</v>
      </c>
      <c r="I375" s="130" t="s">
        <v>10178</v>
      </c>
      <c r="J375" s="130" t="s">
        <v>10178</v>
      </c>
    </row>
    <row r="376">
      <c r="A376" s="191"/>
      <c r="B376" s="130" t="s">
        <v>10178</v>
      </c>
      <c r="C376" s="130" t="s">
        <v>10178</v>
      </c>
      <c r="D376" s="130" t="s">
        <v>10178</v>
      </c>
      <c r="E376" s="130" t="s">
        <v>10178</v>
      </c>
      <c r="F376" s="130" t="s">
        <v>10178</v>
      </c>
      <c r="G376" s="130" t="s">
        <v>10178</v>
      </c>
      <c r="H376" s="130" t="s">
        <v>10178</v>
      </c>
      <c r="I376" s="130" t="s">
        <v>10178</v>
      </c>
      <c r="J376" s="130" t="s">
        <v>10178</v>
      </c>
    </row>
    <row r="377">
      <c r="A377" s="191"/>
      <c r="B377" s="130" t="s">
        <v>10178</v>
      </c>
      <c r="C377" s="130" t="s">
        <v>10178</v>
      </c>
      <c r="D377" s="130" t="s">
        <v>10178</v>
      </c>
      <c r="E377" s="130" t="s">
        <v>10178</v>
      </c>
      <c r="F377" s="130" t="s">
        <v>10178</v>
      </c>
      <c r="G377" s="130" t="s">
        <v>10178</v>
      </c>
      <c r="H377" s="130" t="s">
        <v>10178</v>
      </c>
      <c r="I377" s="130" t="s">
        <v>10178</v>
      </c>
      <c r="J377" s="130" t="s">
        <v>10178</v>
      </c>
    </row>
    <row r="378">
      <c r="A378" s="191"/>
      <c r="B378" s="130" t="s">
        <v>10178</v>
      </c>
      <c r="C378" s="130" t="s">
        <v>10178</v>
      </c>
      <c r="D378" s="130" t="s">
        <v>10178</v>
      </c>
      <c r="E378" s="130" t="s">
        <v>10178</v>
      </c>
      <c r="F378" s="130" t="s">
        <v>10178</v>
      </c>
      <c r="G378" s="130" t="s">
        <v>10178</v>
      </c>
      <c r="H378" s="130" t="s">
        <v>10178</v>
      </c>
      <c r="I378" s="130" t="s">
        <v>10178</v>
      </c>
      <c r="J378" s="130" t="s">
        <v>10178</v>
      </c>
    </row>
    <row r="379">
      <c r="A379" s="191"/>
      <c r="B379" s="130" t="s">
        <v>10178</v>
      </c>
      <c r="C379" s="130" t="s">
        <v>10178</v>
      </c>
      <c r="D379" s="130" t="s">
        <v>10178</v>
      </c>
      <c r="E379" s="130" t="s">
        <v>10178</v>
      </c>
      <c r="F379" s="130" t="s">
        <v>10178</v>
      </c>
      <c r="G379" s="130" t="s">
        <v>10178</v>
      </c>
      <c r="H379" s="130" t="s">
        <v>10178</v>
      </c>
      <c r="I379" s="130" t="s">
        <v>10178</v>
      </c>
      <c r="J379" s="130" t="s">
        <v>10178</v>
      </c>
    </row>
    <row r="380">
      <c r="A380" s="191"/>
      <c r="B380" s="130" t="s">
        <v>10178</v>
      </c>
      <c r="C380" s="130" t="s">
        <v>10178</v>
      </c>
      <c r="D380" s="130" t="s">
        <v>10178</v>
      </c>
      <c r="E380" s="130" t="s">
        <v>10178</v>
      </c>
      <c r="F380" s="130" t="s">
        <v>10178</v>
      </c>
      <c r="G380" s="130" t="s">
        <v>10178</v>
      </c>
      <c r="H380" s="130" t="s">
        <v>10178</v>
      </c>
      <c r="I380" s="130" t="s">
        <v>10178</v>
      </c>
      <c r="J380" s="130" t="s">
        <v>10178</v>
      </c>
    </row>
    <row r="381">
      <c r="A381" s="191"/>
      <c r="B381" s="130" t="s">
        <v>10178</v>
      </c>
      <c r="C381" s="130" t="s">
        <v>10178</v>
      </c>
      <c r="D381" s="130" t="s">
        <v>10178</v>
      </c>
      <c r="E381" s="130" t="s">
        <v>10178</v>
      </c>
      <c r="F381" s="130" t="s">
        <v>10178</v>
      </c>
      <c r="G381" s="130" t="s">
        <v>10178</v>
      </c>
      <c r="H381" s="130" t="s">
        <v>10178</v>
      </c>
      <c r="I381" s="130" t="s">
        <v>10178</v>
      </c>
      <c r="J381" s="130" t="s">
        <v>10178</v>
      </c>
    </row>
    <row r="382">
      <c r="A382" s="191"/>
      <c r="B382" s="130" t="s">
        <v>10178</v>
      </c>
      <c r="C382" s="130" t="s">
        <v>10178</v>
      </c>
      <c r="D382" s="130" t="s">
        <v>10178</v>
      </c>
      <c r="E382" s="130" t="s">
        <v>10178</v>
      </c>
      <c r="F382" s="130" t="s">
        <v>10178</v>
      </c>
      <c r="G382" s="130" t="s">
        <v>10178</v>
      </c>
      <c r="H382" s="130" t="s">
        <v>10178</v>
      </c>
      <c r="I382" s="130" t="s">
        <v>10178</v>
      </c>
      <c r="J382" s="130" t="s">
        <v>10178</v>
      </c>
    </row>
    <row r="383">
      <c r="A383" s="191"/>
      <c r="B383" s="130" t="s">
        <v>10178</v>
      </c>
      <c r="C383" s="130" t="s">
        <v>10178</v>
      </c>
      <c r="D383" s="130" t="s">
        <v>10178</v>
      </c>
      <c r="E383" s="130" t="s">
        <v>10178</v>
      </c>
      <c r="F383" s="130" t="s">
        <v>10178</v>
      </c>
      <c r="G383" s="130" t="s">
        <v>10178</v>
      </c>
      <c r="H383" s="130" t="s">
        <v>10178</v>
      </c>
      <c r="I383" s="130" t="s">
        <v>10178</v>
      </c>
      <c r="J383" s="130" t="s">
        <v>10178</v>
      </c>
    </row>
    <row r="384">
      <c r="A384" s="191"/>
      <c r="B384" s="130" t="s">
        <v>10178</v>
      </c>
      <c r="C384" s="130" t="s">
        <v>10178</v>
      </c>
      <c r="D384" s="130" t="s">
        <v>10178</v>
      </c>
      <c r="E384" s="130" t="s">
        <v>10178</v>
      </c>
      <c r="F384" s="130" t="s">
        <v>10178</v>
      </c>
      <c r="G384" s="130" t="s">
        <v>10178</v>
      </c>
      <c r="H384" s="130" t="s">
        <v>10178</v>
      </c>
      <c r="I384" s="130" t="s">
        <v>10178</v>
      </c>
      <c r="J384" s="130" t="s">
        <v>10178</v>
      </c>
    </row>
    <row r="385">
      <c r="A385" s="191"/>
      <c r="B385" s="130" t="s">
        <v>10178</v>
      </c>
      <c r="C385" s="130" t="s">
        <v>10178</v>
      </c>
      <c r="D385" s="130" t="s">
        <v>10178</v>
      </c>
      <c r="E385" s="130" t="s">
        <v>10178</v>
      </c>
      <c r="F385" s="130" t="s">
        <v>10178</v>
      </c>
      <c r="G385" s="130" t="s">
        <v>10178</v>
      </c>
      <c r="H385" s="130" t="s">
        <v>10178</v>
      </c>
      <c r="I385" s="130" t="s">
        <v>10178</v>
      </c>
      <c r="J385" s="130" t="s">
        <v>10178</v>
      </c>
    </row>
    <row r="386">
      <c r="A386" s="191"/>
      <c r="B386" s="130" t="s">
        <v>10178</v>
      </c>
      <c r="C386" s="130" t="s">
        <v>10178</v>
      </c>
      <c r="D386" s="130" t="s">
        <v>10178</v>
      </c>
      <c r="E386" s="130" t="s">
        <v>10178</v>
      </c>
      <c r="F386" s="130" t="s">
        <v>10178</v>
      </c>
      <c r="G386" s="130" t="s">
        <v>10178</v>
      </c>
      <c r="H386" s="130" t="s">
        <v>10178</v>
      </c>
      <c r="I386" s="130" t="s">
        <v>10178</v>
      </c>
      <c r="J386" s="130" t="s">
        <v>10178</v>
      </c>
    </row>
    <row r="387">
      <c r="A387" s="191"/>
      <c r="B387" s="130" t="s">
        <v>10178</v>
      </c>
      <c r="C387" s="130" t="s">
        <v>10178</v>
      </c>
      <c r="D387" s="130" t="s">
        <v>10178</v>
      </c>
      <c r="E387" s="130" t="s">
        <v>10178</v>
      </c>
      <c r="F387" s="130" t="s">
        <v>10178</v>
      </c>
      <c r="G387" s="130" t="s">
        <v>10178</v>
      </c>
      <c r="H387" s="130" t="s">
        <v>10178</v>
      </c>
      <c r="I387" s="130" t="s">
        <v>10178</v>
      </c>
      <c r="J387" s="130" t="s">
        <v>10178</v>
      </c>
    </row>
    <row r="388">
      <c r="A388" s="191"/>
      <c r="B388" s="130" t="s">
        <v>10178</v>
      </c>
      <c r="C388" s="130" t="s">
        <v>10178</v>
      </c>
      <c r="D388" s="130" t="s">
        <v>10178</v>
      </c>
      <c r="E388" s="130" t="s">
        <v>10178</v>
      </c>
      <c r="F388" s="130" t="s">
        <v>10178</v>
      </c>
      <c r="G388" s="130" t="s">
        <v>10178</v>
      </c>
      <c r="H388" s="130" t="s">
        <v>10178</v>
      </c>
      <c r="I388" s="130" t="s">
        <v>10178</v>
      </c>
      <c r="J388" s="130" t="s">
        <v>10178</v>
      </c>
    </row>
    <row r="389">
      <c r="A389" s="191"/>
      <c r="B389" s="130" t="s">
        <v>10178</v>
      </c>
      <c r="C389" s="130" t="s">
        <v>10178</v>
      </c>
      <c r="D389" s="130" t="s">
        <v>10178</v>
      </c>
      <c r="E389" s="130" t="s">
        <v>10178</v>
      </c>
      <c r="F389" s="130" t="s">
        <v>10178</v>
      </c>
      <c r="G389" s="130" t="s">
        <v>10178</v>
      </c>
      <c r="H389" s="130" t="s">
        <v>10178</v>
      </c>
      <c r="I389" s="130" t="s">
        <v>10178</v>
      </c>
      <c r="J389" s="130" t="s">
        <v>10178</v>
      </c>
    </row>
    <row r="390">
      <c r="A390" s="191"/>
      <c r="B390" s="130" t="s">
        <v>10178</v>
      </c>
      <c r="C390" s="130" t="s">
        <v>10178</v>
      </c>
      <c r="D390" s="130" t="s">
        <v>10178</v>
      </c>
      <c r="E390" s="130" t="s">
        <v>10178</v>
      </c>
      <c r="F390" s="130" t="s">
        <v>10178</v>
      </c>
      <c r="G390" s="130" t="s">
        <v>10178</v>
      </c>
      <c r="H390" s="130" t="s">
        <v>10178</v>
      </c>
      <c r="I390" s="130" t="s">
        <v>10178</v>
      </c>
      <c r="J390" s="130" t="s">
        <v>10178</v>
      </c>
    </row>
    <row r="391">
      <c r="A391" s="191"/>
      <c r="B391" s="130" t="s">
        <v>10178</v>
      </c>
      <c r="C391" s="130" t="s">
        <v>10178</v>
      </c>
      <c r="D391" s="130" t="s">
        <v>10178</v>
      </c>
      <c r="E391" s="130" t="s">
        <v>10178</v>
      </c>
      <c r="F391" s="130" t="s">
        <v>10178</v>
      </c>
      <c r="G391" s="130" t="s">
        <v>10178</v>
      </c>
      <c r="H391" s="130" t="s">
        <v>10178</v>
      </c>
      <c r="I391" s="130" t="s">
        <v>10178</v>
      </c>
      <c r="J391" s="130" t="s">
        <v>10178</v>
      </c>
    </row>
    <row r="392">
      <c r="A392" s="191"/>
      <c r="B392" s="130" t="s">
        <v>10178</v>
      </c>
      <c r="C392" s="130" t="s">
        <v>10178</v>
      </c>
      <c r="D392" s="130" t="s">
        <v>10178</v>
      </c>
      <c r="E392" s="130" t="s">
        <v>10178</v>
      </c>
      <c r="F392" s="130" t="s">
        <v>10178</v>
      </c>
      <c r="G392" s="130" t="s">
        <v>10178</v>
      </c>
      <c r="H392" s="130" t="s">
        <v>10178</v>
      </c>
      <c r="I392" s="130" t="s">
        <v>10178</v>
      </c>
      <c r="J392" s="130" t="s">
        <v>10178</v>
      </c>
    </row>
    <row r="393">
      <c r="A393" s="191"/>
      <c r="B393" s="130" t="s">
        <v>10178</v>
      </c>
      <c r="C393" s="130" t="s">
        <v>10178</v>
      </c>
      <c r="D393" s="130" t="s">
        <v>10178</v>
      </c>
      <c r="E393" s="130" t="s">
        <v>10178</v>
      </c>
      <c r="F393" s="130" t="s">
        <v>10178</v>
      </c>
      <c r="G393" s="130" t="s">
        <v>10178</v>
      </c>
      <c r="H393" s="130" t="s">
        <v>10178</v>
      </c>
      <c r="I393" s="130" t="s">
        <v>10178</v>
      </c>
      <c r="J393" s="130" t="s">
        <v>10178</v>
      </c>
    </row>
    <row r="394">
      <c r="A394" s="191"/>
      <c r="B394" s="130" t="s">
        <v>10178</v>
      </c>
      <c r="C394" s="130" t="s">
        <v>10178</v>
      </c>
      <c r="D394" s="130" t="s">
        <v>10178</v>
      </c>
      <c r="E394" s="130" t="s">
        <v>10178</v>
      </c>
      <c r="F394" s="130" t="s">
        <v>10178</v>
      </c>
      <c r="G394" s="130" t="s">
        <v>10178</v>
      </c>
      <c r="H394" s="130" t="s">
        <v>10178</v>
      </c>
      <c r="I394" s="130" t="s">
        <v>10178</v>
      </c>
      <c r="J394" s="130" t="s">
        <v>10178</v>
      </c>
    </row>
    <row r="395">
      <c r="A395" s="191"/>
      <c r="B395" s="130" t="s">
        <v>10178</v>
      </c>
      <c r="C395" s="130" t="s">
        <v>10178</v>
      </c>
      <c r="D395" s="130" t="s">
        <v>10178</v>
      </c>
      <c r="E395" s="130" t="s">
        <v>10178</v>
      </c>
      <c r="F395" s="130" t="s">
        <v>10178</v>
      </c>
      <c r="G395" s="130" t="s">
        <v>10178</v>
      </c>
      <c r="H395" s="130" t="s">
        <v>10178</v>
      </c>
      <c r="I395" s="130" t="s">
        <v>10178</v>
      </c>
      <c r="J395" s="130" t="s">
        <v>10178</v>
      </c>
    </row>
    <row r="396">
      <c r="A396" s="191"/>
      <c r="B396" s="130" t="s">
        <v>10178</v>
      </c>
      <c r="C396" s="130" t="s">
        <v>10178</v>
      </c>
      <c r="D396" s="130" t="s">
        <v>10178</v>
      </c>
      <c r="E396" s="130" t="s">
        <v>10178</v>
      </c>
      <c r="F396" s="130" t="s">
        <v>10178</v>
      </c>
      <c r="G396" s="130" t="s">
        <v>10178</v>
      </c>
      <c r="H396" s="130" t="s">
        <v>10178</v>
      </c>
      <c r="I396" s="130" t="s">
        <v>10178</v>
      </c>
      <c r="J396" s="130" t="s">
        <v>10178</v>
      </c>
    </row>
    <row r="397">
      <c r="A397" s="191"/>
      <c r="B397" s="130" t="s">
        <v>10178</v>
      </c>
      <c r="C397" s="130" t="s">
        <v>10178</v>
      </c>
      <c r="D397" s="130" t="s">
        <v>10178</v>
      </c>
      <c r="E397" s="130" t="s">
        <v>10178</v>
      </c>
      <c r="F397" s="130" t="s">
        <v>10178</v>
      </c>
      <c r="G397" s="130" t="s">
        <v>10178</v>
      </c>
      <c r="H397" s="130" t="s">
        <v>10178</v>
      </c>
      <c r="I397" s="130" t="s">
        <v>10178</v>
      </c>
      <c r="J397" s="130" t="s">
        <v>10178</v>
      </c>
    </row>
    <row r="398">
      <c r="A398" s="191"/>
      <c r="B398" s="130" t="s">
        <v>10178</v>
      </c>
      <c r="C398" s="130" t="s">
        <v>10178</v>
      </c>
      <c r="D398" s="130" t="s">
        <v>10178</v>
      </c>
      <c r="E398" s="130" t="s">
        <v>10178</v>
      </c>
      <c r="F398" s="130" t="s">
        <v>10178</v>
      </c>
      <c r="G398" s="130" t="s">
        <v>10178</v>
      </c>
      <c r="H398" s="130" t="s">
        <v>10178</v>
      </c>
      <c r="I398" s="130" t="s">
        <v>10178</v>
      </c>
      <c r="J398" s="130" t="s">
        <v>10178</v>
      </c>
    </row>
    <row r="399">
      <c r="A399" s="191"/>
      <c r="B399" s="130" t="s">
        <v>10178</v>
      </c>
      <c r="C399" s="130" t="s">
        <v>10178</v>
      </c>
      <c r="D399" s="130" t="s">
        <v>10178</v>
      </c>
      <c r="E399" s="130" t="s">
        <v>10178</v>
      </c>
      <c r="F399" s="130" t="s">
        <v>10178</v>
      </c>
      <c r="G399" s="130" t="s">
        <v>10178</v>
      </c>
      <c r="H399" s="130" t="s">
        <v>10178</v>
      </c>
      <c r="I399" s="130" t="s">
        <v>10178</v>
      </c>
      <c r="J399" s="130" t="s">
        <v>10178</v>
      </c>
    </row>
    <row r="400">
      <c r="A400" s="191"/>
      <c r="B400" s="130" t="s">
        <v>10178</v>
      </c>
      <c r="C400" s="130" t="s">
        <v>10178</v>
      </c>
      <c r="D400" s="130" t="s">
        <v>10178</v>
      </c>
      <c r="E400" s="130" t="s">
        <v>10178</v>
      </c>
      <c r="F400" s="130" t="s">
        <v>10178</v>
      </c>
      <c r="G400" s="130" t="s">
        <v>10178</v>
      </c>
      <c r="H400" s="130" t="s">
        <v>10178</v>
      </c>
      <c r="I400" s="130" t="s">
        <v>10178</v>
      </c>
      <c r="J400" s="130" t="s">
        <v>10178</v>
      </c>
    </row>
    <row r="401">
      <c r="A401" s="191"/>
      <c r="B401" s="130" t="s">
        <v>10178</v>
      </c>
      <c r="C401" s="130" t="s">
        <v>10178</v>
      </c>
      <c r="D401" s="130" t="s">
        <v>10178</v>
      </c>
      <c r="E401" s="130" t="s">
        <v>10178</v>
      </c>
      <c r="F401" s="130" t="s">
        <v>10178</v>
      </c>
      <c r="G401" s="130" t="s">
        <v>10178</v>
      </c>
      <c r="H401" s="130" t="s">
        <v>10178</v>
      </c>
      <c r="I401" s="130" t="s">
        <v>10178</v>
      </c>
      <c r="J401" s="130" t="s">
        <v>10178</v>
      </c>
    </row>
    <row r="402">
      <c r="A402" s="191"/>
      <c r="B402" s="130" t="s">
        <v>10178</v>
      </c>
      <c r="C402" s="130" t="s">
        <v>10178</v>
      </c>
      <c r="D402" s="130" t="s">
        <v>10178</v>
      </c>
      <c r="E402" s="130" t="s">
        <v>10178</v>
      </c>
      <c r="F402" s="130" t="s">
        <v>10178</v>
      </c>
      <c r="G402" s="130" t="s">
        <v>10178</v>
      </c>
      <c r="H402" s="130" t="s">
        <v>10178</v>
      </c>
      <c r="I402" s="130" t="s">
        <v>10178</v>
      </c>
      <c r="J402" s="130" t="s">
        <v>10178</v>
      </c>
    </row>
    <row r="403">
      <c r="A403" s="191"/>
      <c r="B403" s="130" t="s">
        <v>10178</v>
      </c>
      <c r="C403" s="130" t="s">
        <v>10178</v>
      </c>
      <c r="D403" s="130" t="s">
        <v>10178</v>
      </c>
      <c r="E403" s="130" t="s">
        <v>10178</v>
      </c>
      <c r="F403" s="130" t="s">
        <v>10178</v>
      </c>
      <c r="G403" s="130" t="s">
        <v>10178</v>
      </c>
      <c r="H403" s="130" t="s">
        <v>10178</v>
      </c>
      <c r="I403" s="130" t="s">
        <v>10178</v>
      </c>
      <c r="J403" s="130" t="s">
        <v>10178</v>
      </c>
    </row>
    <row r="404">
      <c r="A404" s="191"/>
      <c r="B404" s="130" t="s">
        <v>10178</v>
      </c>
      <c r="C404" s="130" t="s">
        <v>10178</v>
      </c>
      <c r="D404" s="130" t="s">
        <v>10178</v>
      </c>
      <c r="E404" s="130" t="s">
        <v>10178</v>
      </c>
      <c r="F404" s="130" t="s">
        <v>10178</v>
      </c>
      <c r="G404" s="130" t="s">
        <v>10178</v>
      </c>
      <c r="H404" s="130" t="s">
        <v>10178</v>
      </c>
      <c r="I404" s="130" t="s">
        <v>10178</v>
      </c>
      <c r="J404" s="130" t="s">
        <v>10178</v>
      </c>
    </row>
    <row r="405">
      <c r="A405" s="191"/>
      <c r="B405" s="130" t="s">
        <v>10178</v>
      </c>
      <c r="C405" s="130" t="s">
        <v>10178</v>
      </c>
      <c r="D405" s="130" t="s">
        <v>10178</v>
      </c>
      <c r="E405" s="130" t="s">
        <v>10178</v>
      </c>
      <c r="F405" s="130" t="s">
        <v>10178</v>
      </c>
      <c r="G405" s="130" t="s">
        <v>10178</v>
      </c>
      <c r="H405" s="130" t="s">
        <v>10178</v>
      </c>
      <c r="I405" s="130" t="s">
        <v>10178</v>
      </c>
      <c r="J405" s="130" t="s">
        <v>10178</v>
      </c>
    </row>
    <row r="406">
      <c r="A406" s="191"/>
      <c r="B406" s="130" t="s">
        <v>10178</v>
      </c>
      <c r="C406" s="130" t="s">
        <v>10178</v>
      </c>
      <c r="D406" s="130" t="s">
        <v>10178</v>
      </c>
      <c r="E406" s="130" t="s">
        <v>10178</v>
      </c>
      <c r="F406" s="130" t="s">
        <v>10178</v>
      </c>
      <c r="G406" s="130" t="s">
        <v>10178</v>
      </c>
      <c r="H406" s="130" t="s">
        <v>10178</v>
      </c>
      <c r="I406" s="130" t="s">
        <v>10178</v>
      </c>
      <c r="J406" s="130" t="s">
        <v>10178</v>
      </c>
    </row>
    <row r="407">
      <c r="A407" s="191"/>
      <c r="B407" s="130" t="s">
        <v>10178</v>
      </c>
      <c r="C407" s="130" t="s">
        <v>10178</v>
      </c>
      <c r="D407" s="130" t="s">
        <v>10178</v>
      </c>
      <c r="E407" s="130" t="s">
        <v>10178</v>
      </c>
      <c r="F407" s="130" t="s">
        <v>10178</v>
      </c>
      <c r="G407" s="130" t="s">
        <v>10178</v>
      </c>
      <c r="H407" s="130" t="s">
        <v>10178</v>
      </c>
      <c r="I407" s="130" t="s">
        <v>10178</v>
      </c>
      <c r="J407" s="130" t="s">
        <v>10178</v>
      </c>
    </row>
    <row r="408">
      <c r="A408" s="191"/>
      <c r="B408" s="130" t="s">
        <v>10178</v>
      </c>
      <c r="C408" s="130" t="s">
        <v>10178</v>
      </c>
      <c r="D408" s="130" t="s">
        <v>10178</v>
      </c>
      <c r="E408" s="130" t="s">
        <v>10178</v>
      </c>
      <c r="F408" s="130" t="s">
        <v>10178</v>
      </c>
      <c r="G408" s="130" t="s">
        <v>10178</v>
      </c>
      <c r="H408" s="130" t="s">
        <v>10178</v>
      </c>
      <c r="I408" s="130" t="s">
        <v>10178</v>
      </c>
      <c r="J408" s="130" t="s">
        <v>10178</v>
      </c>
    </row>
    <row r="409">
      <c r="A409" s="191"/>
      <c r="B409" s="130" t="s">
        <v>10178</v>
      </c>
      <c r="C409" s="130" t="s">
        <v>10178</v>
      </c>
      <c r="D409" s="130" t="s">
        <v>10178</v>
      </c>
      <c r="E409" s="130" t="s">
        <v>10178</v>
      </c>
      <c r="F409" s="130" t="s">
        <v>10178</v>
      </c>
      <c r="G409" s="130" t="s">
        <v>10178</v>
      </c>
      <c r="H409" s="130" t="s">
        <v>10178</v>
      </c>
      <c r="I409" s="130" t="s">
        <v>10178</v>
      </c>
      <c r="J409" s="130" t="s">
        <v>10178</v>
      </c>
    </row>
    <row r="410">
      <c r="A410" s="191"/>
      <c r="B410" s="130" t="s">
        <v>10178</v>
      </c>
      <c r="C410" s="130" t="s">
        <v>10178</v>
      </c>
      <c r="D410" s="130" t="s">
        <v>10178</v>
      </c>
      <c r="E410" s="130" t="s">
        <v>10178</v>
      </c>
      <c r="F410" s="130" t="s">
        <v>10178</v>
      </c>
      <c r="G410" s="130" t="s">
        <v>10178</v>
      </c>
      <c r="H410" s="130" t="s">
        <v>10178</v>
      </c>
      <c r="I410" s="130" t="s">
        <v>10178</v>
      </c>
      <c r="J410" s="130" t="s">
        <v>10178</v>
      </c>
    </row>
    <row r="411">
      <c r="A411" s="191"/>
      <c r="B411" s="130" t="s">
        <v>10178</v>
      </c>
      <c r="C411" s="130" t="s">
        <v>10178</v>
      </c>
      <c r="D411" s="130" t="s">
        <v>10178</v>
      </c>
      <c r="E411" s="130" t="s">
        <v>10178</v>
      </c>
      <c r="F411" s="130" t="s">
        <v>10178</v>
      </c>
      <c r="G411" s="130" t="s">
        <v>10178</v>
      </c>
      <c r="H411" s="130" t="s">
        <v>10178</v>
      </c>
      <c r="I411" s="130" t="s">
        <v>10178</v>
      </c>
      <c r="J411" s="130" t="s">
        <v>10178</v>
      </c>
    </row>
    <row r="412">
      <c r="A412" s="191"/>
      <c r="B412" s="130" t="s">
        <v>10178</v>
      </c>
      <c r="C412" s="130" t="s">
        <v>10178</v>
      </c>
      <c r="D412" s="130" t="s">
        <v>10178</v>
      </c>
      <c r="E412" s="130" t="s">
        <v>10178</v>
      </c>
      <c r="F412" s="130" t="s">
        <v>10178</v>
      </c>
      <c r="G412" s="130" t="s">
        <v>10178</v>
      </c>
      <c r="H412" s="130" t="s">
        <v>10178</v>
      </c>
      <c r="I412" s="130" t="s">
        <v>10178</v>
      </c>
      <c r="J412" s="130" t="s">
        <v>10178</v>
      </c>
    </row>
    <row r="413">
      <c r="A413" s="191"/>
      <c r="B413" s="130" t="s">
        <v>10178</v>
      </c>
      <c r="C413" s="130" t="s">
        <v>10178</v>
      </c>
      <c r="D413" s="130" t="s">
        <v>10178</v>
      </c>
      <c r="E413" s="130" t="s">
        <v>10178</v>
      </c>
      <c r="F413" s="130" t="s">
        <v>10178</v>
      </c>
      <c r="G413" s="130" t="s">
        <v>10178</v>
      </c>
      <c r="H413" s="130" t="s">
        <v>10178</v>
      </c>
      <c r="I413" s="130" t="s">
        <v>10178</v>
      </c>
      <c r="J413" s="130" t="s">
        <v>10178</v>
      </c>
    </row>
    <row r="414">
      <c r="A414" s="191"/>
      <c r="B414" s="130" t="s">
        <v>10178</v>
      </c>
      <c r="C414" s="130" t="s">
        <v>10178</v>
      </c>
      <c r="D414" s="130" t="s">
        <v>10178</v>
      </c>
      <c r="E414" s="130" t="s">
        <v>10178</v>
      </c>
      <c r="F414" s="130" t="s">
        <v>10178</v>
      </c>
      <c r="G414" s="130" t="s">
        <v>10178</v>
      </c>
      <c r="H414" s="130" t="s">
        <v>10178</v>
      </c>
      <c r="I414" s="130" t="s">
        <v>10178</v>
      </c>
      <c r="J414" s="130" t="s">
        <v>10178</v>
      </c>
    </row>
    <row r="415">
      <c r="A415" s="191"/>
      <c r="B415" s="130" t="s">
        <v>10178</v>
      </c>
      <c r="C415" s="130" t="s">
        <v>10178</v>
      </c>
      <c r="D415" s="130" t="s">
        <v>10178</v>
      </c>
      <c r="E415" s="130" t="s">
        <v>10178</v>
      </c>
      <c r="F415" s="130" t="s">
        <v>10178</v>
      </c>
      <c r="G415" s="130" t="s">
        <v>10178</v>
      </c>
      <c r="H415" s="130" t="s">
        <v>10178</v>
      </c>
      <c r="I415" s="130" t="s">
        <v>10178</v>
      </c>
      <c r="J415" s="130" t="s">
        <v>10178</v>
      </c>
    </row>
    <row r="416">
      <c r="A416" s="191"/>
      <c r="B416" s="130" t="s">
        <v>10178</v>
      </c>
      <c r="C416" s="130" t="s">
        <v>10178</v>
      </c>
      <c r="D416" s="130" t="s">
        <v>10178</v>
      </c>
      <c r="E416" s="130" t="s">
        <v>10178</v>
      </c>
      <c r="F416" s="130" t="s">
        <v>10178</v>
      </c>
      <c r="G416" s="130" t="s">
        <v>10178</v>
      </c>
      <c r="H416" s="130" t="s">
        <v>10178</v>
      </c>
      <c r="I416" s="130" t="s">
        <v>10178</v>
      </c>
      <c r="J416" s="130" t="s">
        <v>10178</v>
      </c>
    </row>
    <row r="417">
      <c r="A417" s="191"/>
      <c r="B417" s="130" t="s">
        <v>10178</v>
      </c>
      <c r="C417" s="130" t="s">
        <v>10178</v>
      </c>
      <c r="D417" s="130" t="s">
        <v>10178</v>
      </c>
      <c r="E417" s="130" t="s">
        <v>10178</v>
      </c>
      <c r="F417" s="130" t="s">
        <v>10178</v>
      </c>
      <c r="G417" s="130" t="s">
        <v>10178</v>
      </c>
      <c r="H417" s="130" t="s">
        <v>10178</v>
      </c>
      <c r="I417" s="130" t="s">
        <v>10178</v>
      </c>
      <c r="J417" s="130" t="s">
        <v>10178</v>
      </c>
    </row>
    <row r="418">
      <c r="A418" s="191"/>
      <c r="B418" s="130" t="s">
        <v>10178</v>
      </c>
      <c r="C418" s="130" t="s">
        <v>10178</v>
      </c>
      <c r="D418" s="130" t="s">
        <v>10178</v>
      </c>
      <c r="E418" s="130" t="s">
        <v>10178</v>
      </c>
      <c r="F418" s="130" t="s">
        <v>10178</v>
      </c>
      <c r="G418" s="130" t="s">
        <v>10178</v>
      </c>
      <c r="H418" s="130" t="s">
        <v>10178</v>
      </c>
      <c r="I418" s="130" t="s">
        <v>10178</v>
      </c>
      <c r="J418" s="130" t="s">
        <v>10178</v>
      </c>
    </row>
    <row r="419">
      <c r="A419" s="191"/>
      <c r="B419" s="130" t="s">
        <v>10178</v>
      </c>
      <c r="C419" s="130" t="s">
        <v>10178</v>
      </c>
      <c r="D419" s="130" t="s">
        <v>10178</v>
      </c>
      <c r="E419" s="130" t="s">
        <v>10178</v>
      </c>
      <c r="F419" s="130" t="s">
        <v>10178</v>
      </c>
      <c r="G419" s="130" t="s">
        <v>10178</v>
      </c>
      <c r="H419" s="130" t="s">
        <v>10178</v>
      </c>
      <c r="I419" s="130" t="s">
        <v>10178</v>
      </c>
      <c r="J419" s="130" t="s">
        <v>10178</v>
      </c>
    </row>
    <row r="420">
      <c r="A420" s="191"/>
      <c r="B420" s="130" t="s">
        <v>10178</v>
      </c>
      <c r="C420" s="130" t="s">
        <v>10178</v>
      </c>
      <c r="D420" s="130" t="s">
        <v>10178</v>
      </c>
      <c r="E420" s="130" t="s">
        <v>10178</v>
      </c>
      <c r="F420" s="130" t="s">
        <v>10178</v>
      </c>
      <c r="G420" s="130" t="s">
        <v>10178</v>
      </c>
      <c r="H420" s="130" t="s">
        <v>10178</v>
      </c>
      <c r="I420" s="130" t="s">
        <v>10178</v>
      </c>
      <c r="J420" s="130" t="s">
        <v>10178</v>
      </c>
    </row>
    <row r="421">
      <c r="A421" s="191"/>
      <c r="B421" s="130" t="s">
        <v>10178</v>
      </c>
      <c r="C421" s="130" t="s">
        <v>10178</v>
      </c>
      <c r="D421" s="130" t="s">
        <v>10178</v>
      </c>
      <c r="E421" s="130" t="s">
        <v>10178</v>
      </c>
      <c r="F421" s="130" t="s">
        <v>10178</v>
      </c>
      <c r="G421" s="130" t="s">
        <v>10178</v>
      </c>
      <c r="H421" s="130" t="s">
        <v>10178</v>
      </c>
      <c r="I421" s="130" t="s">
        <v>10178</v>
      </c>
      <c r="J421" s="130" t="s">
        <v>10178</v>
      </c>
    </row>
    <row r="422">
      <c r="A422" s="191"/>
      <c r="B422" s="130" t="s">
        <v>10178</v>
      </c>
      <c r="C422" s="130" t="s">
        <v>10178</v>
      </c>
      <c r="D422" s="130" t="s">
        <v>10178</v>
      </c>
      <c r="E422" s="130" t="s">
        <v>10178</v>
      </c>
      <c r="F422" s="130" t="s">
        <v>10178</v>
      </c>
      <c r="G422" s="130" t="s">
        <v>10178</v>
      </c>
      <c r="H422" s="130" t="s">
        <v>10178</v>
      </c>
      <c r="I422" s="130" t="s">
        <v>10178</v>
      </c>
      <c r="J422" s="130" t="s">
        <v>10178</v>
      </c>
    </row>
    <row r="423">
      <c r="A423" s="191"/>
      <c r="B423" s="130" t="s">
        <v>10178</v>
      </c>
      <c r="C423" s="130" t="s">
        <v>10178</v>
      </c>
      <c r="D423" s="130" t="s">
        <v>10178</v>
      </c>
      <c r="E423" s="130" t="s">
        <v>10178</v>
      </c>
      <c r="F423" s="130" t="s">
        <v>10178</v>
      </c>
      <c r="G423" s="130" t="s">
        <v>10178</v>
      </c>
      <c r="H423" s="130" t="s">
        <v>10178</v>
      </c>
      <c r="I423" s="130" t="s">
        <v>10178</v>
      </c>
      <c r="J423" s="130" t="s">
        <v>10178</v>
      </c>
    </row>
    <row r="424">
      <c r="A424" s="191"/>
      <c r="B424" s="130" t="s">
        <v>10178</v>
      </c>
      <c r="C424" s="130" t="s">
        <v>10178</v>
      </c>
      <c r="D424" s="130" t="s">
        <v>10178</v>
      </c>
      <c r="E424" s="130" t="s">
        <v>10178</v>
      </c>
      <c r="F424" s="130" t="s">
        <v>10178</v>
      </c>
      <c r="G424" s="130" t="s">
        <v>10178</v>
      </c>
      <c r="H424" s="130" t="s">
        <v>10178</v>
      </c>
      <c r="I424" s="130" t="s">
        <v>10178</v>
      </c>
      <c r="J424" s="130" t="s">
        <v>10178</v>
      </c>
    </row>
    <row r="425">
      <c r="A425" s="191"/>
      <c r="B425" s="130" t="s">
        <v>10178</v>
      </c>
      <c r="C425" s="130" t="s">
        <v>10178</v>
      </c>
      <c r="D425" s="130" t="s">
        <v>10178</v>
      </c>
      <c r="E425" s="130" t="s">
        <v>10178</v>
      </c>
      <c r="F425" s="130" t="s">
        <v>10178</v>
      </c>
      <c r="G425" s="130" t="s">
        <v>10178</v>
      </c>
      <c r="H425" s="130" t="s">
        <v>10178</v>
      </c>
      <c r="I425" s="130" t="s">
        <v>10178</v>
      </c>
      <c r="J425" s="130" t="s">
        <v>10178</v>
      </c>
    </row>
    <row r="426">
      <c r="A426" s="191"/>
      <c r="B426" s="130" t="s">
        <v>10178</v>
      </c>
      <c r="C426" s="130" t="s">
        <v>10178</v>
      </c>
      <c r="D426" s="130" t="s">
        <v>10178</v>
      </c>
      <c r="E426" s="130" t="s">
        <v>10178</v>
      </c>
      <c r="F426" s="130" t="s">
        <v>10178</v>
      </c>
      <c r="G426" s="130" t="s">
        <v>10178</v>
      </c>
      <c r="H426" s="130" t="s">
        <v>10178</v>
      </c>
      <c r="I426" s="130" t="s">
        <v>10178</v>
      </c>
      <c r="J426" s="130" t="s">
        <v>10178</v>
      </c>
    </row>
    <row r="427">
      <c r="A427" s="191"/>
      <c r="B427" s="130" t="s">
        <v>10178</v>
      </c>
      <c r="C427" s="130" t="s">
        <v>10178</v>
      </c>
      <c r="D427" s="130" t="s">
        <v>10178</v>
      </c>
      <c r="E427" s="130" t="s">
        <v>10178</v>
      </c>
      <c r="F427" s="130" t="s">
        <v>10178</v>
      </c>
      <c r="G427" s="130" t="s">
        <v>10178</v>
      </c>
      <c r="H427" s="130" t="s">
        <v>10178</v>
      </c>
      <c r="I427" s="130" t="s">
        <v>10178</v>
      </c>
      <c r="J427" s="130" t="s">
        <v>10178</v>
      </c>
    </row>
    <row r="428">
      <c r="A428" s="191"/>
      <c r="B428" s="130" t="s">
        <v>10178</v>
      </c>
      <c r="C428" s="130" t="s">
        <v>10178</v>
      </c>
      <c r="D428" s="130" t="s">
        <v>10178</v>
      </c>
      <c r="E428" s="130" t="s">
        <v>10178</v>
      </c>
      <c r="F428" s="130" t="s">
        <v>10178</v>
      </c>
      <c r="G428" s="130" t="s">
        <v>10178</v>
      </c>
      <c r="H428" s="130" t="s">
        <v>10178</v>
      </c>
      <c r="I428" s="130" t="s">
        <v>10178</v>
      </c>
      <c r="J428" s="130" t="s">
        <v>10178</v>
      </c>
    </row>
    <row r="429">
      <c r="A429" s="191"/>
      <c r="B429" s="130" t="s">
        <v>10178</v>
      </c>
      <c r="C429" s="130" t="s">
        <v>10178</v>
      </c>
      <c r="D429" s="130" t="s">
        <v>10178</v>
      </c>
      <c r="E429" s="130" t="s">
        <v>10178</v>
      </c>
      <c r="F429" s="130" t="s">
        <v>10178</v>
      </c>
      <c r="G429" s="130" t="s">
        <v>10178</v>
      </c>
      <c r="H429" s="130" t="s">
        <v>10178</v>
      </c>
      <c r="I429" s="130" t="s">
        <v>10178</v>
      </c>
      <c r="J429" s="130" t="s">
        <v>10178</v>
      </c>
    </row>
    <row r="430">
      <c r="A430" s="191"/>
      <c r="B430" s="130" t="s">
        <v>10178</v>
      </c>
      <c r="C430" s="130" t="s">
        <v>10178</v>
      </c>
      <c r="D430" s="130" t="s">
        <v>10178</v>
      </c>
      <c r="E430" s="130" t="s">
        <v>10178</v>
      </c>
      <c r="F430" s="130" t="s">
        <v>10178</v>
      </c>
      <c r="G430" s="130" t="s">
        <v>10178</v>
      </c>
      <c r="H430" s="130" t="s">
        <v>10178</v>
      </c>
      <c r="I430" s="130" t="s">
        <v>10178</v>
      </c>
      <c r="J430" s="130" t="s">
        <v>10178</v>
      </c>
    </row>
    <row r="431">
      <c r="A431" s="191"/>
      <c r="B431" s="130" t="s">
        <v>10178</v>
      </c>
      <c r="C431" s="130" t="s">
        <v>10178</v>
      </c>
      <c r="D431" s="130" t="s">
        <v>10178</v>
      </c>
      <c r="E431" s="130" t="s">
        <v>10178</v>
      </c>
      <c r="F431" s="130" t="s">
        <v>10178</v>
      </c>
      <c r="G431" s="130" t="s">
        <v>10178</v>
      </c>
      <c r="H431" s="130" t="s">
        <v>10178</v>
      </c>
      <c r="I431" s="130" t="s">
        <v>10178</v>
      </c>
      <c r="J431" s="130" t="s">
        <v>10178</v>
      </c>
    </row>
    <row r="432">
      <c r="A432" s="191"/>
      <c r="B432" s="130" t="s">
        <v>10178</v>
      </c>
      <c r="C432" s="130" t="s">
        <v>10178</v>
      </c>
      <c r="D432" s="130" t="s">
        <v>10178</v>
      </c>
      <c r="E432" s="130" t="s">
        <v>10178</v>
      </c>
      <c r="F432" s="130" t="s">
        <v>10178</v>
      </c>
      <c r="G432" s="130" t="s">
        <v>10178</v>
      </c>
      <c r="H432" s="130" t="s">
        <v>10178</v>
      </c>
      <c r="I432" s="130" t="s">
        <v>10178</v>
      </c>
      <c r="J432" s="130" t="s">
        <v>10178</v>
      </c>
    </row>
    <row r="433">
      <c r="A433" s="191"/>
      <c r="B433" s="130" t="s">
        <v>10178</v>
      </c>
      <c r="C433" s="130" t="s">
        <v>10178</v>
      </c>
      <c r="D433" s="130" t="s">
        <v>10178</v>
      </c>
      <c r="E433" s="130" t="s">
        <v>10178</v>
      </c>
      <c r="F433" s="130" t="s">
        <v>10178</v>
      </c>
      <c r="G433" s="130" t="s">
        <v>10178</v>
      </c>
      <c r="H433" s="130" t="s">
        <v>10178</v>
      </c>
      <c r="I433" s="130" t="s">
        <v>10178</v>
      </c>
      <c r="J433" s="130" t="s">
        <v>10178</v>
      </c>
    </row>
    <row r="434">
      <c r="A434" s="191"/>
      <c r="B434" s="130" t="s">
        <v>10178</v>
      </c>
      <c r="C434" s="130" t="s">
        <v>10178</v>
      </c>
      <c r="D434" s="130" t="s">
        <v>10178</v>
      </c>
      <c r="E434" s="130" t="s">
        <v>10178</v>
      </c>
      <c r="F434" s="130" t="s">
        <v>10178</v>
      </c>
      <c r="G434" s="130" t="s">
        <v>10178</v>
      </c>
      <c r="H434" s="130" t="s">
        <v>10178</v>
      </c>
      <c r="I434" s="130" t="s">
        <v>10178</v>
      </c>
      <c r="J434" s="130" t="s">
        <v>10178</v>
      </c>
    </row>
    <row r="435">
      <c r="A435" s="191"/>
      <c r="B435" s="130" t="s">
        <v>10178</v>
      </c>
      <c r="C435" s="130" t="s">
        <v>10178</v>
      </c>
      <c r="D435" s="130" t="s">
        <v>10178</v>
      </c>
      <c r="E435" s="130" t="s">
        <v>10178</v>
      </c>
      <c r="F435" s="130" t="s">
        <v>10178</v>
      </c>
      <c r="G435" s="130" t="s">
        <v>10178</v>
      </c>
      <c r="H435" s="130" t="s">
        <v>10178</v>
      </c>
      <c r="I435" s="130" t="s">
        <v>10178</v>
      </c>
      <c r="J435" s="130" t="s">
        <v>10178</v>
      </c>
    </row>
    <row r="436">
      <c r="A436" s="191"/>
      <c r="B436" s="130" t="s">
        <v>10178</v>
      </c>
      <c r="C436" s="130" t="s">
        <v>10178</v>
      </c>
      <c r="D436" s="130" t="s">
        <v>10178</v>
      </c>
      <c r="E436" s="130" t="s">
        <v>10178</v>
      </c>
      <c r="F436" s="130" t="s">
        <v>10178</v>
      </c>
      <c r="G436" s="130" t="s">
        <v>10178</v>
      </c>
      <c r="H436" s="130" t="s">
        <v>10178</v>
      </c>
      <c r="I436" s="130" t="s">
        <v>10178</v>
      </c>
      <c r="J436" s="130" t="s">
        <v>10178</v>
      </c>
    </row>
    <row r="437">
      <c r="A437" s="191"/>
      <c r="B437" s="130" t="s">
        <v>10178</v>
      </c>
      <c r="C437" s="130" t="s">
        <v>10178</v>
      </c>
      <c r="D437" s="130" t="s">
        <v>10178</v>
      </c>
      <c r="E437" s="130" t="s">
        <v>10178</v>
      </c>
      <c r="F437" s="130" t="s">
        <v>10178</v>
      </c>
      <c r="G437" s="130" t="s">
        <v>10178</v>
      </c>
      <c r="H437" s="130" t="s">
        <v>10178</v>
      </c>
      <c r="I437" s="130" t="s">
        <v>10178</v>
      </c>
      <c r="J437" s="130" t="s">
        <v>10178</v>
      </c>
    </row>
    <row r="438">
      <c r="A438" s="191"/>
      <c r="B438" s="130" t="s">
        <v>10178</v>
      </c>
      <c r="C438" s="130" t="s">
        <v>10178</v>
      </c>
      <c r="D438" s="130" t="s">
        <v>10178</v>
      </c>
      <c r="E438" s="130" t="s">
        <v>10178</v>
      </c>
      <c r="F438" s="130" t="s">
        <v>10178</v>
      </c>
      <c r="G438" s="130" t="s">
        <v>10178</v>
      </c>
      <c r="H438" s="130" t="s">
        <v>10178</v>
      </c>
      <c r="I438" s="130" t="s">
        <v>10178</v>
      </c>
      <c r="J438" s="130" t="s">
        <v>10178</v>
      </c>
    </row>
    <row r="439">
      <c r="A439" s="191"/>
      <c r="B439" s="130" t="s">
        <v>10178</v>
      </c>
      <c r="C439" s="130" t="s">
        <v>10178</v>
      </c>
      <c r="D439" s="130" t="s">
        <v>10178</v>
      </c>
      <c r="E439" s="130" t="s">
        <v>10178</v>
      </c>
      <c r="F439" s="130" t="s">
        <v>10178</v>
      </c>
      <c r="G439" s="130" t="s">
        <v>10178</v>
      </c>
      <c r="H439" s="130" t="s">
        <v>10178</v>
      </c>
      <c r="I439" s="130" t="s">
        <v>10178</v>
      </c>
      <c r="J439" s="130" t="s">
        <v>10178</v>
      </c>
    </row>
    <row r="440">
      <c r="A440" s="191"/>
      <c r="B440" s="130" t="s">
        <v>10178</v>
      </c>
      <c r="C440" s="130" t="s">
        <v>10178</v>
      </c>
      <c r="D440" s="130" t="s">
        <v>10178</v>
      </c>
      <c r="E440" s="130" t="s">
        <v>10178</v>
      </c>
      <c r="F440" s="130" t="s">
        <v>10178</v>
      </c>
      <c r="G440" s="130" t="s">
        <v>10178</v>
      </c>
      <c r="H440" s="130" t="s">
        <v>10178</v>
      </c>
      <c r="I440" s="130" t="s">
        <v>10178</v>
      </c>
      <c r="J440" s="130" t="s">
        <v>10178</v>
      </c>
    </row>
    <row r="441">
      <c r="A441" s="191"/>
      <c r="B441" s="130" t="s">
        <v>10178</v>
      </c>
      <c r="C441" s="130" t="s">
        <v>10178</v>
      </c>
      <c r="D441" s="130" t="s">
        <v>10178</v>
      </c>
      <c r="E441" s="130" t="s">
        <v>10178</v>
      </c>
      <c r="F441" s="130" t="s">
        <v>10178</v>
      </c>
      <c r="G441" s="130" t="s">
        <v>10178</v>
      </c>
      <c r="H441" s="130" t="s">
        <v>10178</v>
      </c>
      <c r="I441" s="130" t="s">
        <v>10178</v>
      </c>
      <c r="J441" s="130" t="s">
        <v>10178</v>
      </c>
    </row>
    <row r="442">
      <c r="A442" s="191"/>
      <c r="B442" s="130" t="s">
        <v>10178</v>
      </c>
      <c r="C442" s="130" t="s">
        <v>10178</v>
      </c>
      <c r="D442" s="130" t="s">
        <v>10178</v>
      </c>
      <c r="E442" s="130" t="s">
        <v>10178</v>
      </c>
      <c r="F442" s="130" t="s">
        <v>10178</v>
      </c>
      <c r="G442" s="130" t="s">
        <v>10178</v>
      </c>
      <c r="H442" s="130" t="s">
        <v>10178</v>
      </c>
      <c r="I442" s="130" t="s">
        <v>10178</v>
      </c>
      <c r="J442" s="130" t="s">
        <v>10178</v>
      </c>
    </row>
    <row r="443">
      <c r="A443" s="191"/>
      <c r="B443" s="130" t="s">
        <v>10178</v>
      </c>
      <c r="C443" s="130" t="s">
        <v>10178</v>
      </c>
      <c r="D443" s="130" t="s">
        <v>10178</v>
      </c>
      <c r="E443" s="130" t="s">
        <v>10178</v>
      </c>
      <c r="F443" s="130" t="s">
        <v>10178</v>
      </c>
      <c r="G443" s="130" t="s">
        <v>10178</v>
      </c>
      <c r="H443" s="130" t="s">
        <v>10178</v>
      </c>
      <c r="I443" s="130" t="s">
        <v>10178</v>
      </c>
      <c r="J443" s="130" t="s">
        <v>10178</v>
      </c>
    </row>
    <row r="444">
      <c r="A444" s="191"/>
      <c r="B444" s="130" t="s">
        <v>10178</v>
      </c>
      <c r="C444" s="130" t="s">
        <v>10178</v>
      </c>
      <c r="D444" s="130" t="s">
        <v>10178</v>
      </c>
      <c r="E444" s="130" t="s">
        <v>10178</v>
      </c>
      <c r="F444" s="130" t="s">
        <v>10178</v>
      </c>
      <c r="G444" s="130" t="s">
        <v>10178</v>
      </c>
      <c r="H444" s="130" t="s">
        <v>10178</v>
      </c>
      <c r="I444" s="130" t="s">
        <v>10178</v>
      </c>
      <c r="J444" s="130" t="s">
        <v>10178</v>
      </c>
    </row>
    <row r="445">
      <c r="A445" s="191"/>
      <c r="B445" s="130" t="s">
        <v>10178</v>
      </c>
      <c r="C445" s="130" t="s">
        <v>10178</v>
      </c>
      <c r="D445" s="130" t="s">
        <v>10178</v>
      </c>
      <c r="E445" s="130" t="s">
        <v>10178</v>
      </c>
      <c r="F445" s="130" t="s">
        <v>10178</v>
      </c>
      <c r="G445" s="130" t="s">
        <v>10178</v>
      </c>
      <c r="H445" s="130" t="s">
        <v>10178</v>
      </c>
      <c r="I445" s="130" t="s">
        <v>10178</v>
      </c>
      <c r="J445" s="130" t="s">
        <v>10178</v>
      </c>
    </row>
    <row r="446">
      <c r="A446" s="191"/>
      <c r="B446" s="130" t="s">
        <v>10178</v>
      </c>
      <c r="C446" s="130" t="s">
        <v>10178</v>
      </c>
      <c r="D446" s="130" t="s">
        <v>10178</v>
      </c>
      <c r="E446" s="130" t="s">
        <v>10178</v>
      </c>
      <c r="F446" s="130" t="s">
        <v>10178</v>
      </c>
      <c r="G446" s="130" t="s">
        <v>10178</v>
      </c>
      <c r="H446" s="130" t="s">
        <v>10178</v>
      </c>
      <c r="I446" s="130" t="s">
        <v>10178</v>
      </c>
      <c r="J446" s="130" t="s">
        <v>10178</v>
      </c>
    </row>
    <row r="447">
      <c r="A447" s="191"/>
      <c r="B447" s="130" t="s">
        <v>10178</v>
      </c>
      <c r="C447" s="130" t="s">
        <v>10178</v>
      </c>
      <c r="D447" s="130" t="s">
        <v>10178</v>
      </c>
      <c r="E447" s="130" t="s">
        <v>10178</v>
      </c>
      <c r="F447" s="130" t="s">
        <v>10178</v>
      </c>
      <c r="G447" s="130" t="s">
        <v>10178</v>
      </c>
      <c r="H447" s="130" t="s">
        <v>10178</v>
      </c>
      <c r="I447" s="130" t="s">
        <v>10178</v>
      </c>
      <c r="J447" s="130" t="s">
        <v>10178</v>
      </c>
    </row>
    <row r="448">
      <c r="A448" s="191"/>
      <c r="B448" s="130" t="s">
        <v>10178</v>
      </c>
      <c r="C448" s="130" t="s">
        <v>10178</v>
      </c>
      <c r="D448" s="130" t="s">
        <v>10178</v>
      </c>
      <c r="E448" s="130" t="s">
        <v>10178</v>
      </c>
      <c r="F448" s="130" t="s">
        <v>10178</v>
      </c>
      <c r="G448" s="130" t="s">
        <v>10178</v>
      </c>
      <c r="H448" s="130" t="s">
        <v>10178</v>
      </c>
      <c r="I448" s="130" t="s">
        <v>10178</v>
      </c>
      <c r="J448" s="130" t="s">
        <v>10178</v>
      </c>
    </row>
    <row r="449">
      <c r="A449" s="191"/>
      <c r="B449" s="130" t="s">
        <v>10178</v>
      </c>
      <c r="C449" s="130" t="s">
        <v>10178</v>
      </c>
      <c r="D449" s="130" t="s">
        <v>10178</v>
      </c>
      <c r="E449" s="130" t="s">
        <v>10178</v>
      </c>
      <c r="F449" s="130" t="s">
        <v>10178</v>
      </c>
      <c r="G449" s="130" t="s">
        <v>10178</v>
      </c>
      <c r="H449" s="130" t="s">
        <v>10178</v>
      </c>
      <c r="I449" s="130" t="s">
        <v>10178</v>
      </c>
      <c r="J449" s="130" t="s">
        <v>10178</v>
      </c>
    </row>
    <row r="450">
      <c r="A450" s="191"/>
      <c r="B450" s="130" t="s">
        <v>10178</v>
      </c>
      <c r="C450" s="130" t="s">
        <v>10178</v>
      </c>
      <c r="D450" s="130" t="s">
        <v>10178</v>
      </c>
      <c r="E450" s="130" t="s">
        <v>10178</v>
      </c>
      <c r="F450" s="130" t="s">
        <v>10178</v>
      </c>
      <c r="G450" s="130" t="s">
        <v>10178</v>
      </c>
      <c r="H450" s="130" t="s">
        <v>10178</v>
      </c>
      <c r="I450" s="130" t="s">
        <v>10178</v>
      </c>
      <c r="J450" s="130" t="s">
        <v>10178</v>
      </c>
    </row>
    <row r="451">
      <c r="A451" s="191"/>
      <c r="B451" s="130" t="s">
        <v>10178</v>
      </c>
      <c r="C451" s="130" t="s">
        <v>10178</v>
      </c>
      <c r="D451" s="130" t="s">
        <v>10178</v>
      </c>
      <c r="E451" s="130" t="s">
        <v>10178</v>
      </c>
      <c r="F451" s="130" t="s">
        <v>10178</v>
      </c>
      <c r="G451" s="130" t="s">
        <v>10178</v>
      </c>
      <c r="H451" s="130" t="s">
        <v>10178</v>
      </c>
      <c r="I451" s="130" t="s">
        <v>10178</v>
      </c>
      <c r="J451" s="130" t="s">
        <v>10178</v>
      </c>
    </row>
    <row r="452">
      <c r="A452" s="191"/>
      <c r="B452" s="130" t="s">
        <v>10178</v>
      </c>
      <c r="C452" s="130" t="s">
        <v>10178</v>
      </c>
      <c r="D452" s="130" t="s">
        <v>10178</v>
      </c>
      <c r="E452" s="130" t="s">
        <v>10178</v>
      </c>
      <c r="F452" s="130" t="s">
        <v>10178</v>
      </c>
      <c r="G452" s="130" t="s">
        <v>10178</v>
      </c>
      <c r="H452" s="130" t="s">
        <v>10178</v>
      </c>
      <c r="I452" s="130" t="s">
        <v>10178</v>
      </c>
      <c r="J452" s="130" t="s">
        <v>10178</v>
      </c>
    </row>
    <row r="453">
      <c r="A453" s="191"/>
      <c r="B453" s="130" t="s">
        <v>10178</v>
      </c>
      <c r="C453" s="130" t="s">
        <v>10178</v>
      </c>
      <c r="D453" s="130" t="s">
        <v>10178</v>
      </c>
      <c r="E453" s="130" t="s">
        <v>10178</v>
      </c>
      <c r="F453" s="130" t="s">
        <v>10178</v>
      </c>
      <c r="G453" s="130" t="s">
        <v>10178</v>
      </c>
      <c r="H453" s="130" t="s">
        <v>10178</v>
      </c>
      <c r="I453" s="130" t="s">
        <v>10178</v>
      </c>
      <c r="J453" s="130" t="s">
        <v>10178</v>
      </c>
    </row>
    <row r="454">
      <c r="A454" s="191"/>
      <c r="B454" s="130" t="s">
        <v>10178</v>
      </c>
      <c r="C454" s="130" t="s">
        <v>10178</v>
      </c>
      <c r="D454" s="130" t="s">
        <v>10178</v>
      </c>
      <c r="E454" s="130" t="s">
        <v>10178</v>
      </c>
      <c r="F454" s="130" t="s">
        <v>10178</v>
      </c>
      <c r="G454" s="130" t="s">
        <v>10178</v>
      </c>
      <c r="H454" s="130" t="s">
        <v>10178</v>
      </c>
      <c r="I454" s="130" t="s">
        <v>10178</v>
      </c>
      <c r="J454" s="130" t="s">
        <v>10178</v>
      </c>
    </row>
    <row r="455">
      <c r="A455" s="191"/>
      <c r="B455" s="130" t="s">
        <v>10178</v>
      </c>
      <c r="C455" s="130" t="s">
        <v>10178</v>
      </c>
      <c r="D455" s="130" t="s">
        <v>10178</v>
      </c>
      <c r="E455" s="130" t="s">
        <v>10178</v>
      </c>
      <c r="F455" s="130" t="s">
        <v>10178</v>
      </c>
      <c r="G455" s="130" t="s">
        <v>10178</v>
      </c>
      <c r="H455" s="130" t="s">
        <v>10178</v>
      </c>
      <c r="I455" s="130" t="s">
        <v>10178</v>
      </c>
      <c r="J455" s="130" t="s">
        <v>10178</v>
      </c>
    </row>
    <row r="456">
      <c r="A456" s="191"/>
      <c r="B456" s="130" t="s">
        <v>10178</v>
      </c>
      <c r="C456" s="130" t="s">
        <v>10178</v>
      </c>
      <c r="D456" s="130" t="s">
        <v>10178</v>
      </c>
      <c r="E456" s="130" t="s">
        <v>10178</v>
      </c>
      <c r="F456" s="130" t="s">
        <v>10178</v>
      </c>
      <c r="G456" s="130" t="s">
        <v>10178</v>
      </c>
      <c r="H456" s="130" t="s">
        <v>10178</v>
      </c>
      <c r="I456" s="130" t="s">
        <v>10178</v>
      </c>
      <c r="J456" s="130" t="s">
        <v>10178</v>
      </c>
    </row>
    <row r="457">
      <c r="A457" s="191"/>
      <c r="B457" s="130" t="s">
        <v>10178</v>
      </c>
      <c r="C457" s="130" t="s">
        <v>10178</v>
      </c>
      <c r="D457" s="130" t="s">
        <v>10178</v>
      </c>
      <c r="E457" s="130" t="s">
        <v>10178</v>
      </c>
      <c r="F457" s="130" t="s">
        <v>10178</v>
      </c>
      <c r="G457" s="130" t="s">
        <v>10178</v>
      </c>
      <c r="H457" s="130" t="s">
        <v>10178</v>
      </c>
      <c r="I457" s="130" t="s">
        <v>10178</v>
      </c>
      <c r="J457" s="130" t="s">
        <v>10178</v>
      </c>
    </row>
    <row r="458">
      <c r="A458" s="191"/>
      <c r="B458" s="130" t="s">
        <v>10178</v>
      </c>
      <c r="C458" s="130" t="s">
        <v>10178</v>
      </c>
      <c r="D458" s="130" t="s">
        <v>10178</v>
      </c>
      <c r="E458" s="130" t="s">
        <v>10178</v>
      </c>
      <c r="F458" s="130" t="s">
        <v>10178</v>
      </c>
      <c r="G458" s="130" t="s">
        <v>10178</v>
      </c>
      <c r="H458" s="130" t="s">
        <v>10178</v>
      </c>
      <c r="I458" s="130" t="s">
        <v>10178</v>
      </c>
      <c r="J458" s="130" t="s">
        <v>10178</v>
      </c>
    </row>
    <row r="459">
      <c r="A459" s="191"/>
      <c r="B459" s="130" t="s">
        <v>10178</v>
      </c>
      <c r="C459" s="130" t="s">
        <v>10178</v>
      </c>
      <c r="D459" s="130" t="s">
        <v>10178</v>
      </c>
      <c r="E459" s="130" t="s">
        <v>10178</v>
      </c>
      <c r="F459" s="130" t="s">
        <v>10178</v>
      </c>
      <c r="G459" s="130" t="s">
        <v>10178</v>
      </c>
      <c r="H459" s="130" t="s">
        <v>10178</v>
      </c>
      <c r="I459" s="130" t="s">
        <v>10178</v>
      </c>
      <c r="J459" s="130" t="s">
        <v>10178</v>
      </c>
    </row>
    <row r="460">
      <c r="A460" s="191"/>
      <c r="B460" s="130" t="s">
        <v>10178</v>
      </c>
      <c r="C460" s="130" t="s">
        <v>10178</v>
      </c>
      <c r="D460" s="130" t="s">
        <v>10178</v>
      </c>
      <c r="E460" s="130" t="s">
        <v>10178</v>
      </c>
      <c r="F460" s="130" t="s">
        <v>10178</v>
      </c>
      <c r="G460" s="130" t="s">
        <v>10178</v>
      </c>
      <c r="H460" s="130" t="s">
        <v>10178</v>
      </c>
      <c r="I460" s="130" t="s">
        <v>10178</v>
      </c>
      <c r="J460" s="130" t="s">
        <v>10178</v>
      </c>
    </row>
    <row r="461">
      <c r="A461" s="191"/>
      <c r="B461" s="130" t="s">
        <v>10178</v>
      </c>
      <c r="C461" s="130" t="s">
        <v>10178</v>
      </c>
      <c r="D461" s="130" t="s">
        <v>10178</v>
      </c>
      <c r="E461" s="130" t="s">
        <v>10178</v>
      </c>
      <c r="F461" s="130" t="s">
        <v>10178</v>
      </c>
      <c r="G461" s="130" t="s">
        <v>10178</v>
      </c>
      <c r="H461" s="130" t="s">
        <v>10178</v>
      </c>
      <c r="I461" s="130" t="s">
        <v>10178</v>
      </c>
      <c r="J461" s="130" t="s">
        <v>10178</v>
      </c>
    </row>
    <row r="462">
      <c r="A462" s="191"/>
      <c r="B462" s="130" t="s">
        <v>10178</v>
      </c>
      <c r="C462" s="130" t="s">
        <v>10178</v>
      </c>
      <c r="D462" s="130" t="s">
        <v>10178</v>
      </c>
      <c r="E462" s="130" t="s">
        <v>10178</v>
      </c>
      <c r="F462" s="130" t="s">
        <v>10178</v>
      </c>
      <c r="G462" s="130" t="s">
        <v>10178</v>
      </c>
      <c r="H462" s="130" t="s">
        <v>10178</v>
      </c>
      <c r="I462" s="130" t="s">
        <v>10178</v>
      </c>
      <c r="J462" s="130" t="s">
        <v>10178</v>
      </c>
    </row>
    <row r="463">
      <c r="A463" s="191"/>
      <c r="B463" s="130" t="s">
        <v>10178</v>
      </c>
      <c r="C463" s="130" t="s">
        <v>10178</v>
      </c>
      <c r="D463" s="130" t="s">
        <v>10178</v>
      </c>
      <c r="E463" s="130" t="s">
        <v>10178</v>
      </c>
      <c r="F463" s="130" t="s">
        <v>10178</v>
      </c>
      <c r="G463" s="130" t="s">
        <v>10178</v>
      </c>
      <c r="H463" s="130" t="s">
        <v>10178</v>
      </c>
      <c r="I463" s="130" t="s">
        <v>10178</v>
      </c>
      <c r="J463" s="130" t="s">
        <v>10178</v>
      </c>
    </row>
    <row r="464">
      <c r="A464" s="191"/>
      <c r="B464" s="130" t="s">
        <v>10178</v>
      </c>
      <c r="C464" s="130" t="s">
        <v>10178</v>
      </c>
      <c r="D464" s="130" t="s">
        <v>10178</v>
      </c>
      <c r="E464" s="130" t="s">
        <v>10178</v>
      </c>
      <c r="F464" s="130" t="s">
        <v>10178</v>
      </c>
      <c r="G464" s="130" t="s">
        <v>10178</v>
      </c>
      <c r="H464" s="130" t="s">
        <v>10178</v>
      </c>
      <c r="I464" s="130" t="s">
        <v>10178</v>
      </c>
      <c r="J464" s="130" t="s">
        <v>10178</v>
      </c>
    </row>
    <row r="465">
      <c r="A465" s="191"/>
      <c r="B465" s="130" t="s">
        <v>10178</v>
      </c>
      <c r="C465" s="130" t="s">
        <v>10178</v>
      </c>
      <c r="D465" s="130" t="s">
        <v>10178</v>
      </c>
      <c r="E465" s="130" t="s">
        <v>10178</v>
      </c>
      <c r="F465" s="130" t="s">
        <v>10178</v>
      </c>
      <c r="G465" s="130" t="s">
        <v>10178</v>
      </c>
      <c r="H465" s="130" t="s">
        <v>10178</v>
      </c>
      <c r="I465" s="130" t="s">
        <v>10178</v>
      </c>
      <c r="J465" s="130" t="s">
        <v>10178</v>
      </c>
    </row>
    <row r="466">
      <c r="A466" s="191"/>
      <c r="B466" s="130" t="s">
        <v>10178</v>
      </c>
      <c r="C466" s="130" t="s">
        <v>10178</v>
      </c>
      <c r="D466" s="130" t="s">
        <v>10178</v>
      </c>
      <c r="E466" s="130" t="s">
        <v>10178</v>
      </c>
      <c r="F466" s="130" t="s">
        <v>10178</v>
      </c>
      <c r="G466" s="130" t="s">
        <v>10178</v>
      </c>
      <c r="H466" s="130" t="s">
        <v>10178</v>
      </c>
      <c r="I466" s="130" t="s">
        <v>10178</v>
      </c>
      <c r="J466" s="130" t="s">
        <v>10178</v>
      </c>
    </row>
    <row r="467">
      <c r="A467" s="191"/>
      <c r="B467" s="130" t="s">
        <v>10178</v>
      </c>
      <c r="C467" s="130" t="s">
        <v>10178</v>
      </c>
      <c r="D467" s="130" t="s">
        <v>10178</v>
      </c>
      <c r="E467" s="130" t="s">
        <v>10178</v>
      </c>
      <c r="F467" s="130" t="s">
        <v>10178</v>
      </c>
      <c r="G467" s="130" t="s">
        <v>10178</v>
      </c>
      <c r="H467" s="130" t="s">
        <v>10178</v>
      </c>
      <c r="I467" s="130" t="s">
        <v>10178</v>
      </c>
      <c r="J467" s="130" t="s">
        <v>10178</v>
      </c>
    </row>
    <row r="468">
      <c r="A468" s="191"/>
      <c r="B468" s="130" t="s">
        <v>10178</v>
      </c>
      <c r="C468" s="130" t="s">
        <v>10178</v>
      </c>
      <c r="D468" s="130" t="s">
        <v>10178</v>
      </c>
      <c r="E468" s="130" t="s">
        <v>10178</v>
      </c>
      <c r="F468" s="130" t="s">
        <v>10178</v>
      </c>
      <c r="G468" s="130" t="s">
        <v>10178</v>
      </c>
      <c r="H468" s="130" t="s">
        <v>10178</v>
      </c>
      <c r="I468" s="130" t="s">
        <v>10178</v>
      </c>
      <c r="J468" s="130" t="s">
        <v>10178</v>
      </c>
    </row>
    <row r="469">
      <c r="A469" s="191"/>
      <c r="B469" s="130" t="s">
        <v>10178</v>
      </c>
      <c r="C469" s="130" t="s">
        <v>10178</v>
      </c>
      <c r="D469" s="130" t="s">
        <v>10178</v>
      </c>
      <c r="E469" s="130" t="s">
        <v>10178</v>
      </c>
      <c r="F469" s="130" t="s">
        <v>10178</v>
      </c>
      <c r="G469" s="130" t="s">
        <v>10178</v>
      </c>
      <c r="H469" s="130" t="s">
        <v>10178</v>
      </c>
      <c r="I469" s="130" t="s">
        <v>10178</v>
      </c>
      <c r="J469" s="130" t="s">
        <v>10178</v>
      </c>
    </row>
    <row r="470">
      <c r="A470" s="191"/>
      <c r="B470" s="130" t="s">
        <v>10178</v>
      </c>
      <c r="C470" s="130" t="s">
        <v>10178</v>
      </c>
      <c r="D470" s="130" t="s">
        <v>10178</v>
      </c>
      <c r="E470" s="130" t="s">
        <v>10178</v>
      </c>
      <c r="F470" s="130" t="s">
        <v>10178</v>
      </c>
      <c r="G470" s="130" t="s">
        <v>10178</v>
      </c>
      <c r="H470" s="130" t="s">
        <v>10178</v>
      </c>
      <c r="I470" s="130" t="s">
        <v>10178</v>
      </c>
      <c r="J470" s="130" t="s">
        <v>10178</v>
      </c>
    </row>
    <row r="471">
      <c r="A471" s="191"/>
      <c r="B471" s="130" t="s">
        <v>10178</v>
      </c>
      <c r="C471" s="130" t="s">
        <v>10178</v>
      </c>
      <c r="D471" s="130" t="s">
        <v>10178</v>
      </c>
      <c r="E471" s="130" t="s">
        <v>10178</v>
      </c>
      <c r="F471" s="130" t="s">
        <v>10178</v>
      </c>
      <c r="G471" s="130" t="s">
        <v>10178</v>
      </c>
      <c r="H471" s="130" t="s">
        <v>10178</v>
      </c>
      <c r="I471" s="130" t="s">
        <v>10178</v>
      </c>
      <c r="J471" s="130" t="s">
        <v>10178</v>
      </c>
    </row>
    <row r="472">
      <c r="A472" s="191"/>
      <c r="B472" s="130" t="s">
        <v>10178</v>
      </c>
      <c r="C472" s="130" t="s">
        <v>10178</v>
      </c>
      <c r="D472" s="130" t="s">
        <v>10178</v>
      </c>
      <c r="E472" s="130" t="s">
        <v>10178</v>
      </c>
      <c r="F472" s="130" t="s">
        <v>10178</v>
      </c>
      <c r="G472" s="130" t="s">
        <v>10178</v>
      </c>
      <c r="H472" s="130" t="s">
        <v>10178</v>
      </c>
      <c r="I472" s="130" t="s">
        <v>10178</v>
      </c>
      <c r="J472" s="130" t="s">
        <v>10178</v>
      </c>
    </row>
    <row r="473">
      <c r="A473" s="191"/>
      <c r="B473" s="130" t="s">
        <v>10178</v>
      </c>
      <c r="C473" s="130" t="s">
        <v>10178</v>
      </c>
      <c r="D473" s="130" t="s">
        <v>10178</v>
      </c>
      <c r="E473" s="130" t="s">
        <v>10178</v>
      </c>
      <c r="F473" s="130" t="s">
        <v>10178</v>
      </c>
      <c r="G473" s="130" t="s">
        <v>10178</v>
      </c>
      <c r="H473" s="130" t="s">
        <v>10178</v>
      </c>
      <c r="I473" s="130" t="s">
        <v>10178</v>
      </c>
      <c r="J473" s="130" t="s">
        <v>10178</v>
      </c>
    </row>
    <row r="474">
      <c r="A474" s="191"/>
      <c r="B474" s="130" t="s">
        <v>10178</v>
      </c>
      <c r="C474" s="130" t="s">
        <v>10178</v>
      </c>
      <c r="D474" s="130" t="s">
        <v>10178</v>
      </c>
      <c r="E474" s="130" t="s">
        <v>10178</v>
      </c>
      <c r="F474" s="130" t="s">
        <v>10178</v>
      </c>
      <c r="G474" s="130" t="s">
        <v>10178</v>
      </c>
      <c r="H474" s="130" t="s">
        <v>10178</v>
      </c>
      <c r="I474" s="130" t="s">
        <v>10178</v>
      </c>
      <c r="J474" s="130" t="s">
        <v>10178</v>
      </c>
    </row>
    <row r="475">
      <c r="A475" s="191"/>
      <c r="B475" s="130" t="s">
        <v>10178</v>
      </c>
      <c r="C475" s="130" t="s">
        <v>10178</v>
      </c>
      <c r="D475" s="130" t="s">
        <v>10178</v>
      </c>
      <c r="E475" s="130" t="s">
        <v>10178</v>
      </c>
      <c r="F475" s="130" t="s">
        <v>10178</v>
      </c>
      <c r="G475" s="130" t="s">
        <v>10178</v>
      </c>
      <c r="H475" s="130" t="s">
        <v>10178</v>
      </c>
      <c r="I475" s="130" t="s">
        <v>10178</v>
      </c>
      <c r="J475" s="130" t="s">
        <v>10178</v>
      </c>
    </row>
    <row r="476">
      <c r="A476" s="191"/>
      <c r="B476" s="130" t="s">
        <v>10178</v>
      </c>
      <c r="C476" s="130" t="s">
        <v>10178</v>
      </c>
      <c r="D476" s="130" t="s">
        <v>10178</v>
      </c>
      <c r="E476" s="130" t="s">
        <v>10178</v>
      </c>
      <c r="F476" s="130" t="s">
        <v>10178</v>
      </c>
      <c r="G476" s="130" t="s">
        <v>10178</v>
      </c>
      <c r="H476" s="130" t="s">
        <v>10178</v>
      </c>
      <c r="I476" s="130" t="s">
        <v>10178</v>
      </c>
      <c r="J476" s="130" t="s">
        <v>10178</v>
      </c>
    </row>
    <row r="477">
      <c r="A477" s="191"/>
      <c r="B477" s="130" t="s">
        <v>10178</v>
      </c>
      <c r="C477" s="130" t="s">
        <v>10178</v>
      </c>
      <c r="D477" s="130" t="s">
        <v>10178</v>
      </c>
      <c r="E477" s="130" t="s">
        <v>10178</v>
      </c>
      <c r="F477" s="130" t="s">
        <v>10178</v>
      </c>
      <c r="G477" s="130" t="s">
        <v>10178</v>
      </c>
      <c r="H477" s="130" t="s">
        <v>10178</v>
      </c>
      <c r="I477" s="130" t="s">
        <v>10178</v>
      </c>
      <c r="J477" s="130" t="s">
        <v>10178</v>
      </c>
    </row>
    <row r="478">
      <c r="A478" s="191"/>
      <c r="B478" s="130" t="s">
        <v>10178</v>
      </c>
      <c r="C478" s="130" t="s">
        <v>10178</v>
      </c>
      <c r="D478" s="130" t="s">
        <v>10178</v>
      </c>
      <c r="E478" s="130" t="s">
        <v>10178</v>
      </c>
      <c r="F478" s="130" t="s">
        <v>10178</v>
      </c>
      <c r="G478" s="130" t="s">
        <v>10178</v>
      </c>
      <c r="H478" s="130" t="s">
        <v>10178</v>
      </c>
      <c r="I478" s="130" t="s">
        <v>10178</v>
      </c>
      <c r="J478" s="130" t="s">
        <v>10178</v>
      </c>
    </row>
    <row r="479">
      <c r="A479" s="191"/>
      <c r="B479" s="130" t="s">
        <v>10178</v>
      </c>
      <c r="C479" s="130" t="s">
        <v>10178</v>
      </c>
      <c r="D479" s="130" t="s">
        <v>10178</v>
      </c>
      <c r="E479" s="130" t="s">
        <v>10178</v>
      </c>
      <c r="F479" s="130" t="s">
        <v>10178</v>
      </c>
      <c r="G479" s="130" t="s">
        <v>10178</v>
      </c>
      <c r="H479" s="130" t="s">
        <v>10178</v>
      </c>
      <c r="I479" s="130" t="s">
        <v>10178</v>
      </c>
      <c r="J479" s="130" t="s">
        <v>10178</v>
      </c>
    </row>
    <row r="480">
      <c r="A480" s="191"/>
      <c r="B480" s="130" t="s">
        <v>10178</v>
      </c>
      <c r="C480" s="130" t="s">
        <v>10178</v>
      </c>
      <c r="D480" s="130" t="s">
        <v>10178</v>
      </c>
      <c r="E480" s="130" t="s">
        <v>10178</v>
      </c>
      <c r="F480" s="130" t="s">
        <v>10178</v>
      </c>
      <c r="G480" s="130" t="s">
        <v>10178</v>
      </c>
      <c r="H480" s="130" t="s">
        <v>10178</v>
      </c>
      <c r="I480" s="130" t="s">
        <v>10178</v>
      </c>
      <c r="J480" s="130" t="s">
        <v>10178</v>
      </c>
    </row>
    <row r="481">
      <c r="A481" s="191"/>
      <c r="B481" s="130" t="s">
        <v>10178</v>
      </c>
      <c r="C481" s="130" t="s">
        <v>10178</v>
      </c>
      <c r="D481" s="130" t="s">
        <v>10178</v>
      </c>
      <c r="E481" s="130" t="s">
        <v>10178</v>
      </c>
      <c r="F481" s="130" t="s">
        <v>10178</v>
      </c>
      <c r="G481" s="130" t="s">
        <v>10178</v>
      </c>
      <c r="H481" s="130" t="s">
        <v>10178</v>
      </c>
      <c r="I481" s="130" t="s">
        <v>10178</v>
      </c>
      <c r="J481" s="130" t="s">
        <v>10178</v>
      </c>
    </row>
    <row r="482">
      <c r="A482" s="191"/>
      <c r="B482" s="130" t="s">
        <v>10178</v>
      </c>
      <c r="C482" s="130" t="s">
        <v>10178</v>
      </c>
      <c r="D482" s="130" t="s">
        <v>10178</v>
      </c>
      <c r="E482" s="130" t="s">
        <v>10178</v>
      </c>
      <c r="F482" s="130" t="s">
        <v>10178</v>
      </c>
      <c r="G482" s="130" t="s">
        <v>10178</v>
      </c>
      <c r="H482" s="130" t="s">
        <v>10178</v>
      </c>
      <c r="I482" s="130" t="s">
        <v>10178</v>
      </c>
      <c r="J482" s="130" t="s">
        <v>10178</v>
      </c>
    </row>
    <row r="483">
      <c r="A483" s="191"/>
      <c r="B483" s="130" t="s">
        <v>10178</v>
      </c>
      <c r="C483" s="130" t="s">
        <v>10178</v>
      </c>
      <c r="D483" s="130" t="s">
        <v>10178</v>
      </c>
      <c r="E483" s="130" t="s">
        <v>10178</v>
      </c>
      <c r="F483" s="130" t="s">
        <v>10178</v>
      </c>
      <c r="G483" s="130" t="s">
        <v>10178</v>
      </c>
      <c r="H483" s="130" t="s">
        <v>10178</v>
      </c>
      <c r="I483" s="130" t="s">
        <v>10178</v>
      </c>
      <c r="J483" s="130" t="s">
        <v>10178</v>
      </c>
    </row>
    <row r="484">
      <c r="A484" s="191"/>
      <c r="B484" s="130" t="s">
        <v>10178</v>
      </c>
      <c r="C484" s="130" t="s">
        <v>10178</v>
      </c>
      <c r="D484" s="130" t="s">
        <v>10178</v>
      </c>
      <c r="E484" s="130" t="s">
        <v>10178</v>
      </c>
      <c r="F484" s="130" t="s">
        <v>10178</v>
      </c>
      <c r="G484" s="130" t="s">
        <v>10178</v>
      </c>
      <c r="H484" s="130" t="s">
        <v>10178</v>
      </c>
      <c r="I484" s="130" t="s">
        <v>10178</v>
      </c>
      <c r="J484" s="130" t="s">
        <v>10178</v>
      </c>
    </row>
    <row r="485">
      <c r="A485" s="191"/>
      <c r="B485" s="130" t="s">
        <v>10178</v>
      </c>
      <c r="C485" s="130" t="s">
        <v>10178</v>
      </c>
      <c r="D485" s="130" t="s">
        <v>10178</v>
      </c>
      <c r="E485" s="130" t="s">
        <v>10178</v>
      </c>
      <c r="F485" s="130" t="s">
        <v>10178</v>
      </c>
      <c r="G485" s="130" t="s">
        <v>10178</v>
      </c>
      <c r="H485" s="130" t="s">
        <v>10178</v>
      </c>
      <c r="I485" s="130" t="s">
        <v>10178</v>
      </c>
      <c r="J485" s="130" t="s">
        <v>10178</v>
      </c>
    </row>
    <row r="486">
      <c r="A486" s="191"/>
      <c r="B486" s="130" t="s">
        <v>10178</v>
      </c>
      <c r="C486" s="130" t="s">
        <v>10178</v>
      </c>
      <c r="D486" s="130" t="s">
        <v>10178</v>
      </c>
      <c r="E486" s="130" t="s">
        <v>10178</v>
      </c>
      <c r="F486" s="130" t="s">
        <v>10178</v>
      </c>
      <c r="G486" s="130" t="s">
        <v>10178</v>
      </c>
      <c r="H486" s="130" t="s">
        <v>10178</v>
      </c>
      <c r="I486" s="130" t="s">
        <v>10178</v>
      </c>
      <c r="J486" s="130" t="s">
        <v>10178</v>
      </c>
    </row>
    <row r="487">
      <c r="A487" s="191"/>
      <c r="B487" s="130" t="s">
        <v>10178</v>
      </c>
      <c r="C487" s="130" t="s">
        <v>10178</v>
      </c>
      <c r="D487" s="130" t="s">
        <v>10178</v>
      </c>
      <c r="E487" s="130" t="s">
        <v>10178</v>
      </c>
      <c r="F487" s="130" t="s">
        <v>10178</v>
      </c>
      <c r="G487" s="130" t="s">
        <v>10178</v>
      </c>
      <c r="H487" s="130" t="s">
        <v>10178</v>
      </c>
      <c r="I487" s="130" t="s">
        <v>10178</v>
      </c>
      <c r="J487" s="130" t="s">
        <v>10178</v>
      </c>
    </row>
    <row r="488">
      <c r="A488" s="191"/>
      <c r="B488" s="130" t="s">
        <v>10178</v>
      </c>
      <c r="C488" s="130" t="s">
        <v>10178</v>
      </c>
      <c r="D488" s="130" t="s">
        <v>10178</v>
      </c>
      <c r="E488" s="130" t="s">
        <v>10178</v>
      </c>
      <c r="F488" s="130" t="s">
        <v>10178</v>
      </c>
      <c r="G488" s="130" t="s">
        <v>10178</v>
      </c>
      <c r="H488" s="130" t="s">
        <v>10178</v>
      </c>
      <c r="I488" s="130" t="s">
        <v>10178</v>
      </c>
      <c r="J488" s="130" t="s">
        <v>10178</v>
      </c>
    </row>
    <row r="489">
      <c r="A489" s="191"/>
      <c r="B489" s="130" t="s">
        <v>10178</v>
      </c>
      <c r="C489" s="130" t="s">
        <v>10178</v>
      </c>
      <c r="D489" s="130" t="s">
        <v>10178</v>
      </c>
      <c r="E489" s="130" t="s">
        <v>10178</v>
      </c>
      <c r="F489" s="130" t="s">
        <v>10178</v>
      </c>
      <c r="G489" s="130" t="s">
        <v>10178</v>
      </c>
      <c r="H489" s="130" t="s">
        <v>10178</v>
      </c>
      <c r="I489" s="130" t="s">
        <v>10178</v>
      </c>
      <c r="J489" s="130" t="s">
        <v>10178</v>
      </c>
    </row>
    <row r="490">
      <c r="A490" s="191"/>
      <c r="B490" s="130" t="s">
        <v>10178</v>
      </c>
      <c r="C490" s="130" t="s">
        <v>10178</v>
      </c>
      <c r="D490" s="130" t="s">
        <v>10178</v>
      </c>
      <c r="E490" s="130" t="s">
        <v>10178</v>
      </c>
      <c r="F490" s="130" t="s">
        <v>10178</v>
      </c>
      <c r="G490" s="130" t="s">
        <v>10178</v>
      </c>
      <c r="H490" s="130" t="s">
        <v>10178</v>
      </c>
      <c r="I490" s="130" t="s">
        <v>10178</v>
      </c>
      <c r="J490" s="130" t="s">
        <v>10178</v>
      </c>
    </row>
    <row r="491">
      <c r="A491" s="191"/>
      <c r="B491" s="130" t="s">
        <v>10178</v>
      </c>
      <c r="C491" s="130" t="s">
        <v>10178</v>
      </c>
      <c r="D491" s="130" t="s">
        <v>10178</v>
      </c>
      <c r="E491" s="130" t="s">
        <v>10178</v>
      </c>
      <c r="F491" s="130" t="s">
        <v>10178</v>
      </c>
      <c r="G491" s="130" t="s">
        <v>10178</v>
      </c>
      <c r="H491" s="130" t="s">
        <v>10178</v>
      </c>
      <c r="I491" s="130" t="s">
        <v>10178</v>
      </c>
      <c r="J491" s="130" t="s">
        <v>10178</v>
      </c>
    </row>
    <row r="492">
      <c r="A492" s="191"/>
      <c r="B492" s="130" t="s">
        <v>10178</v>
      </c>
      <c r="C492" s="130" t="s">
        <v>10178</v>
      </c>
      <c r="D492" s="130" t="s">
        <v>10178</v>
      </c>
      <c r="E492" s="130" t="s">
        <v>10178</v>
      </c>
      <c r="F492" s="130" t="s">
        <v>10178</v>
      </c>
      <c r="G492" s="130" t="s">
        <v>10178</v>
      </c>
      <c r="H492" s="130" t="s">
        <v>10178</v>
      </c>
      <c r="I492" s="130" t="s">
        <v>10178</v>
      </c>
      <c r="J492" s="130" t="s">
        <v>10178</v>
      </c>
    </row>
    <row r="493">
      <c r="A493" s="191"/>
      <c r="B493" s="130" t="s">
        <v>10178</v>
      </c>
      <c r="C493" s="130" t="s">
        <v>10178</v>
      </c>
      <c r="D493" s="130" t="s">
        <v>10178</v>
      </c>
      <c r="E493" s="130" t="s">
        <v>10178</v>
      </c>
      <c r="F493" s="130" t="s">
        <v>10178</v>
      </c>
      <c r="G493" s="130" t="s">
        <v>10178</v>
      </c>
      <c r="H493" s="130" t="s">
        <v>10178</v>
      </c>
      <c r="I493" s="130" t="s">
        <v>10178</v>
      </c>
      <c r="J493" s="130" t="s">
        <v>10178</v>
      </c>
    </row>
    <row r="494">
      <c r="A494" s="191"/>
      <c r="B494" s="130" t="s">
        <v>10178</v>
      </c>
      <c r="C494" s="130" t="s">
        <v>10178</v>
      </c>
      <c r="D494" s="130" t="s">
        <v>10178</v>
      </c>
      <c r="E494" s="130" t="s">
        <v>10178</v>
      </c>
      <c r="F494" s="130" t="s">
        <v>10178</v>
      </c>
      <c r="G494" s="130" t="s">
        <v>10178</v>
      </c>
      <c r="H494" s="130" t="s">
        <v>10178</v>
      </c>
      <c r="I494" s="130" t="s">
        <v>10178</v>
      </c>
      <c r="J494" s="130" t="s">
        <v>10178</v>
      </c>
    </row>
    <row r="495">
      <c r="A495" s="191"/>
      <c r="B495" s="130" t="s">
        <v>10178</v>
      </c>
      <c r="C495" s="130" t="s">
        <v>10178</v>
      </c>
      <c r="D495" s="130" t="s">
        <v>10178</v>
      </c>
      <c r="E495" s="130" t="s">
        <v>10178</v>
      </c>
      <c r="F495" s="130" t="s">
        <v>10178</v>
      </c>
      <c r="G495" s="130" t="s">
        <v>10178</v>
      </c>
      <c r="H495" s="130" t="s">
        <v>10178</v>
      </c>
      <c r="I495" s="130" t="s">
        <v>10178</v>
      </c>
      <c r="J495" s="130" t="s">
        <v>10178</v>
      </c>
    </row>
    <row r="496">
      <c r="A496" s="191"/>
      <c r="B496" s="130" t="s">
        <v>10178</v>
      </c>
      <c r="C496" s="130" t="s">
        <v>10178</v>
      </c>
      <c r="D496" s="130" t="s">
        <v>10178</v>
      </c>
      <c r="E496" s="130" t="s">
        <v>10178</v>
      </c>
      <c r="F496" s="130" t="s">
        <v>10178</v>
      </c>
      <c r="G496" s="130" t="s">
        <v>10178</v>
      </c>
      <c r="H496" s="130" t="s">
        <v>10178</v>
      </c>
      <c r="I496" s="130" t="s">
        <v>10178</v>
      </c>
      <c r="J496" s="130" t="s">
        <v>10178</v>
      </c>
    </row>
    <row r="497">
      <c r="A497" s="191"/>
      <c r="B497" s="130" t="s">
        <v>10178</v>
      </c>
      <c r="C497" s="130" t="s">
        <v>10178</v>
      </c>
      <c r="D497" s="130" t="s">
        <v>10178</v>
      </c>
      <c r="E497" s="130" t="s">
        <v>10178</v>
      </c>
      <c r="F497" s="130" t="s">
        <v>10178</v>
      </c>
      <c r="G497" s="130" t="s">
        <v>10178</v>
      </c>
      <c r="H497" s="130" t="s">
        <v>10178</v>
      </c>
      <c r="I497" s="130" t="s">
        <v>10178</v>
      </c>
      <c r="J497" s="130" t="s">
        <v>10178</v>
      </c>
    </row>
    <row r="498">
      <c r="A498" s="191"/>
      <c r="B498" s="130" t="s">
        <v>10178</v>
      </c>
      <c r="C498" s="130" t="s">
        <v>10178</v>
      </c>
      <c r="D498" s="130" t="s">
        <v>10178</v>
      </c>
      <c r="E498" s="130" t="s">
        <v>10178</v>
      </c>
      <c r="F498" s="130" t="s">
        <v>10178</v>
      </c>
      <c r="G498" s="130" t="s">
        <v>10178</v>
      </c>
      <c r="H498" s="130" t="s">
        <v>10178</v>
      </c>
      <c r="I498" s="130" t="s">
        <v>10178</v>
      </c>
      <c r="J498" s="130" t="s">
        <v>10178</v>
      </c>
    </row>
    <row r="499">
      <c r="A499" s="191"/>
      <c r="B499" s="130" t="s">
        <v>10178</v>
      </c>
      <c r="C499" s="130" t="s">
        <v>10178</v>
      </c>
      <c r="D499" s="130" t="s">
        <v>10178</v>
      </c>
      <c r="E499" s="130" t="s">
        <v>10178</v>
      </c>
      <c r="F499" s="130" t="s">
        <v>10178</v>
      </c>
      <c r="G499" s="130" t="s">
        <v>10178</v>
      </c>
      <c r="H499" s="130" t="s">
        <v>10178</v>
      </c>
      <c r="I499" s="130" t="s">
        <v>10178</v>
      </c>
      <c r="J499" s="130" t="s">
        <v>10178</v>
      </c>
    </row>
    <row r="500">
      <c r="A500" s="191"/>
      <c r="B500" s="130" t="s">
        <v>10178</v>
      </c>
      <c r="C500" s="130" t="s">
        <v>10178</v>
      </c>
      <c r="D500" s="130" t="s">
        <v>10178</v>
      </c>
      <c r="E500" s="130" t="s">
        <v>10178</v>
      </c>
      <c r="F500" s="130" t="s">
        <v>10178</v>
      </c>
      <c r="G500" s="130" t="s">
        <v>10178</v>
      </c>
      <c r="H500" s="130" t="s">
        <v>10178</v>
      </c>
      <c r="I500" s="130" t="s">
        <v>10178</v>
      </c>
      <c r="J500" s="130" t="s">
        <v>10178</v>
      </c>
    </row>
    <row r="501">
      <c r="A501" s="191"/>
      <c r="B501" s="130" t="s">
        <v>10178</v>
      </c>
      <c r="C501" s="130" t="s">
        <v>10178</v>
      </c>
      <c r="D501" s="130" t="s">
        <v>10178</v>
      </c>
      <c r="E501" s="130" t="s">
        <v>10178</v>
      </c>
      <c r="F501" s="130" t="s">
        <v>10178</v>
      </c>
      <c r="G501" s="130" t="s">
        <v>10178</v>
      </c>
      <c r="H501" s="130" t="s">
        <v>10178</v>
      </c>
      <c r="I501" s="130" t="s">
        <v>10178</v>
      </c>
      <c r="J501" s="130" t="s">
        <v>10178</v>
      </c>
    </row>
    <row r="502">
      <c r="A502" s="191"/>
      <c r="B502" s="130" t="s">
        <v>10178</v>
      </c>
      <c r="C502" s="130" t="s">
        <v>10178</v>
      </c>
      <c r="D502" s="130" t="s">
        <v>10178</v>
      </c>
      <c r="E502" s="130" t="s">
        <v>10178</v>
      </c>
      <c r="F502" s="130" t="s">
        <v>10178</v>
      </c>
      <c r="G502" s="130" t="s">
        <v>10178</v>
      </c>
      <c r="H502" s="130" t="s">
        <v>10178</v>
      </c>
      <c r="I502" s="130" t="s">
        <v>10178</v>
      </c>
      <c r="J502" s="130" t="s">
        <v>10178</v>
      </c>
    </row>
    <row r="503">
      <c r="A503" s="191"/>
      <c r="B503" s="130" t="s">
        <v>10178</v>
      </c>
      <c r="C503" s="130" t="s">
        <v>10178</v>
      </c>
      <c r="D503" s="130" t="s">
        <v>10178</v>
      </c>
      <c r="E503" s="130" t="s">
        <v>10178</v>
      </c>
      <c r="F503" s="130" t="s">
        <v>10178</v>
      </c>
      <c r="G503" s="130" t="s">
        <v>10178</v>
      </c>
      <c r="H503" s="130" t="s">
        <v>10178</v>
      </c>
      <c r="I503" s="130" t="s">
        <v>10178</v>
      </c>
      <c r="J503" s="130" t="s">
        <v>10178</v>
      </c>
    </row>
    <row r="504">
      <c r="A504" s="191"/>
      <c r="B504" s="130" t="s">
        <v>10178</v>
      </c>
      <c r="C504" s="130" t="s">
        <v>10178</v>
      </c>
      <c r="D504" s="130" t="s">
        <v>10178</v>
      </c>
      <c r="E504" s="130" t="s">
        <v>10178</v>
      </c>
      <c r="F504" s="130" t="s">
        <v>10178</v>
      </c>
      <c r="G504" s="130" t="s">
        <v>10178</v>
      </c>
      <c r="H504" s="130" t="s">
        <v>10178</v>
      </c>
      <c r="I504" s="130" t="s">
        <v>10178</v>
      </c>
      <c r="J504" s="130" t="s">
        <v>10178</v>
      </c>
    </row>
    <row r="505">
      <c r="A505" s="191"/>
      <c r="B505" s="130" t="s">
        <v>10178</v>
      </c>
      <c r="C505" s="130" t="s">
        <v>10178</v>
      </c>
      <c r="D505" s="130" t="s">
        <v>10178</v>
      </c>
      <c r="E505" s="130" t="s">
        <v>10178</v>
      </c>
      <c r="F505" s="130" t="s">
        <v>10178</v>
      </c>
      <c r="G505" s="130" t="s">
        <v>10178</v>
      </c>
      <c r="H505" s="130" t="s">
        <v>10178</v>
      </c>
      <c r="I505" s="130" t="s">
        <v>10178</v>
      </c>
      <c r="J505" s="130" t="s">
        <v>10178</v>
      </c>
    </row>
    <row r="506">
      <c r="A506" s="191"/>
      <c r="B506" s="130" t="s">
        <v>10178</v>
      </c>
      <c r="C506" s="130" t="s">
        <v>10178</v>
      </c>
      <c r="D506" s="130" t="s">
        <v>10178</v>
      </c>
      <c r="E506" s="130" t="s">
        <v>10178</v>
      </c>
      <c r="F506" s="130" t="s">
        <v>10178</v>
      </c>
      <c r="G506" s="130" t="s">
        <v>10178</v>
      </c>
      <c r="H506" s="130" t="s">
        <v>10178</v>
      </c>
      <c r="I506" s="130" t="s">
        <v>10178</v>
      </c>
      <c r="J506" s="130" t="s">
        <v>10178</v>
      </c>
    </row>
    <row r="507">
      <c r="A507" s="191"/>
      <c r="B507" s="130" t="s">
        <v>10178</v>
      </c>
      <c r="C507" s="130" t="s">
        <v>10178</v>
      </c>
      <c r="D507" s="130" t="s">
        <v>10178</v>
      </c>
      <c r="E507" s="130" t="s">
        <v>10178</v>
      </c>
      <c r="F507" s="130" t="s">
        <v>10178</v>
      </c>
      <c r="G507" s="130" t="s">
        <v>10178</v>
      </c>
      <c r="H507" s="130" t="s">
        <v>10178</v>
      </c>
      <c r="I507" s="130" t="s">
        <v>10178</v>
      </c>
      <c r="J507" s="130" t="s">
        <v>10178</v>
      </c>
    </row>
    <row r="508">
      <c r="A508" s="191"/>
      <c r="B508" s="130" t="s">
        <v>10178</v>
      </c>
      <c r="C508" s="130" t="s">
        <v>10178</v>
      </c>
      <c r="D508" s="130" t="s">
        <v>10178</v>
      </c>
      <c r="E508" s="130" t="s">
        <v>10178</v>
      </c>
      <c r="F508" s="130" t="s">
        <v>10178</v>
      </c>
      <c r="G508" s="130" t="s">
        <v>10178</v>
      </c>
      <c r="H508" s="130" t="s">
        <v>10178</v>
      </c>
      <c r="I508" s="130" t="s">
        <v>10178</v>
      </c>
      <c r="J508" s="130" t="s">
        <v>10178</v>
      </c>
    </row>
    <row r="509">
      <c r="A509" s="191"/>
      <c r="B509" s="130" t="s">
        <v>10178</v>
      </c>
      <c r="C509" s="130" t="s">
        <v>10178</v>
      </c>
      <c r="D509" s="130" t="s">
        <v>10178</v>
      </c>
      <c r="E509" s="130" t="s">
        <v>10178</v>
      </c>
      <c r="F509" s="130" t="s">
        <v>10178</v>
      </c>
      <c r="G509" s="130" t="s">
        <v>10178</v>
      </c>
      <c r="H509" s="130" t="s">
        <v>10178</v>
      </c>
      <c r="I509" s="130" t="s">
        <v>10178</v>
      </c>
      <c r="J509" s="130" t="s">
        <v>10178</v>
      </c>
    </row>
    <row r="510">
      <c r="A510" s="191"/>
      <c r="B510" s="130" t="s">
        <v>10178</v>
      </c>
      <c r="C510" s="130" t="s">
        <v>10178</v>
      </c>
      <c r="D510" s="130" t="s">
        <v>10178</v>
      </c>
      <c r="E510" s="130" t="s">
        <v>10178</v>
      </c>
      <c r="F510" s="130" t="s">
        <v>10178</v>
      </c>
      <c r="G510" s="130" t="s">
        <v>10178</v>
      </c>
      <c r="H510" s="130" t="s">
        <v>10178</v>
      </c>
      <c r="I510" s="130" t="s">
        <v>10178</v>
      </c>
      <c r="J510" s="130" t="s">
        <v>10178</v>
      </c>
    </row>
    <row r="511">
      <c r="A511" s="191"/>
      <c r="B511" s="130" t="s">
        <v>10178</v>
      </c>
      <c r="C511" s="130" t="s">
        <v>10178</v>
      </c>
      <c r="D511" s="130" t="s">
        <v>10178</v>
      </c>
      <c r="E511" s="130" t="s">
        <v>10178</v>
      </c>
      <c r="F511" s="130" t="s">
        <v>10178</v>
      </c>
      <c r="G511" s="130" t="s">
        <v>10178</v>
      </c>
      <c r="H511" s="130" t="s">
        <v>10178</v>
      </c>
      <c r="I511" s="130" t="s">
        <v>10178</v>
      </c>
      <c r="J511" s="130" t="s">
        <v>10178</v>
      </c>
    </row>
    <row r="512">
      <c r="A512" s="191"/>
      <c r="B512" s="130" t="s">
        <v>10178</v>
      </c>
      <c r="C512" s="130" t="s">
        <v>10178</v>
      </c>
      <c r="D512" s="130" t="s">
        <v>10178</v>
      </c>
      <c r="E512" s="130" t="s">
        <v>10178</v>
      </c>
      <c r="F512" s="130" t="s">
        <v>10178</v>
      </c>
      <c r="G512" s="130" t="s">
        <v>10178</v>
      </c>
      <c r="H512" s="130" t="s">
        <v>10178</v>
      </c>
      <c r="I512" s="130" t="s">
        <v>10178</v>
      </c>
      <c r="J512" s="130" t="s">
        <v>10178</v>
      </c>
    </row>
    <row r="513">
      <c r="A513" s="191"/>
      <c r="B513" s="130" t="s">
        <v>10178</v>
      </c>
      <c r="C513" s="130" t="s">
        <v>10178</v>
      </c>
      <c r="D513" s="130" t="s">
        <v>10178</v>
      </c>
      <c r="E513" s="130" t="s">
        <v>10178</v>
      </c>
      <c r="F513" s="130" t="s">
        <v>10178</v>
      </c>
      <c r="G513" s="130" t="s">
        <v>10178</v>
      </c>
      <c r="H513" s="130" t="s">
        <v>10178</v>
      </c>
      <c r="I513" s="130" t="s">
        <v>10178</v>
      </c>
      <c r="J513" s="130" t="s">
        <v>10178</v>
      </c>
    </row>
    <row r="514">
      <c r="A514" s="191"/>
      <c r="B514" s="130" t="s">
        <v>10178</v>
      </c>
      <c r="C514" s="130" t="s">
        <v>10178</v>
      </c>
      <c r="D514" s="130" t="s">
        <v>10178</v>
      </c>
      <c r="E514" s="130" t="s">
        <v>10178</v>
      </c>
      <c r="F514" s="130" t="s">
        <v>10178</v>
      </c>
      <c r="G514" s="130" t="s">
        <v>10178</v>
      </c>
      <c r="H514" s="130" t="s">
        <v>10178</v>
      </c>
      <c r="I514" s="130" t="s">
        <v>10178</v>
      </c>
      <c r="J514" s="130" t="s">
        <v>10178</v>
      </c>
    </row>
    <row r="515">
      <c r="A515" s="191"/>
      <c r="B515" s="130" t="s">
        <v>10178</v>
      </c>
      <c r="C515" s="130" t="s">
        <v>10178</v>
      </c>
      <c r="D515" s="130" t="s">
        <v>10178</v>
      </c>
      <c r="E515" s="130" t="s">
        <v>10178</v>
      </c>
      <c r="F515" s="130" t="s">
        <v>10178</v>
      </c>
      <c r="G515" s="130" t="s">
        <v>10178</v>
      </c>
      <c r="H515" s="130" t="s">
        <v>10178</v>
      </c>
      <c r="I515" s="130" t="s">
        <v>10178</v>
      </c>
      <c r="J515" s="130" t="s">
        <v>10178</v>
      </c>
    </row>
    <row r="516">
      <c r="A516" s="191"/>
      <c r="B516" s="130" t="s">
        <v>10178</v>
      </c>
      <c r="C516" s="130" t="s">
        <v>10178</v>
      </c>
      <c r="D516" s="130" t="s">
        <v>10178</v>
      </c>
      <c r="E516" s="130" t="s">
        <v>10178</v>
      </c>
      <c r="F516" s="130" t="s">
        <v>10178</v>
      </c>
      <c r="G516" s="130" t="s">
        <v>10178</v>
      </c>
      <c r="H516" s="130" t="s">
        <v>10178</v>
      </c>
      <c r="I516" s="130" t="s">
        <v>10178</v>
      </c>
      <c r="J516" s="130" t="s">
        <v>10178</v>
      </c>
    </row>
    <row r="517">
      <c r="A517" s="191"/>
      <c r="B517" s="130" t="s">
        <v>10178</v>
      </c>
      <c r="C517" s="130" t="s">
        <v>10178</v>
      </c>
      <c r="D517" s="130" t="s">
        <v>10178</v>
      </c>
      <c r="E517" s="130" t="s">
        <v>10178</v>
      </c>
      <c r="F517" s="130" t="s">
        <v>10178</v>
      </c>
      <c r="G517" s="130" t="s">
        <v>10178</v>
      </c>
      <c r="H517" s="130" t="s">
        <v>10178</v>
      </c>
      <c r="I517" s="130" t="s">
        <v>10178</v>
      </c>
      <c r="J517" s="130" t="s">
        <v>10178</v>
      </c>
    </row>
    <row r="518">
      <c r="A518" s="191"/>
      <c r="B518" s="130" t="s">
        <v>10178</v>
      </c>
      <c r="C518" s="130" t="s">
        <v>10178</v>
      </c>
      <c r="D518" s="130" t="s">
        <v>10178</v>
      </c>
      <c r="E518" s="130" t="s">
        <v>10178</v>
      </c>
      <c r="F518" s="130" t="s">
        <v>10178</v>
      </c>
      <c r="G518" s="130" t="s">
        <v>10178</v>
      </c>
      <c r="H518" s="130" t="s">
        <v>10178</v>
      </c>
      <c r="I518" s="130" t="s">
        <v>10178</v>
      </c>
      <c r="J518" s="130" t="s">
        <v>10178</v>
      </c>
    </row>
    <row r="519">
      <c r="A519" s="191"/>
      <c r="B519" s="130" t="s">
        <v>10178</v>
      </c>
      <c r="C519" s="130" t="s">
        <v>10178</v>
      </c>
      <c r="D519" s="130" t="s">
        <v>10178</v>
      </c>
      <c r="E519" s="130" t="s">
        <v>10178</v>
      </c>
      <c r="F519" s="130" t="s">
        <v>10178</v>
      </c>
      <c r="G519" s="130" t="s">
        <v>10178</v>
      </c>
      <c r="H519" s="130" t="s">
        <v>10178</v>
      </c>
      <c r="I519" s="130" t="s">
        <v>10178</v>
      </c>
      <c r="J519" s="130" t="s">
        <v>10178</v>
      </c>
    </row>
    <row r="520">
      <c r="A520" s="191"/>
      <c r="B520" s="130" t="s">
        <v>10178</v>
      </c>
      <c r="C520" s="130" t="s">
        <v>10178</v>
      </c>
      <c r="D520" s="130" t="s">
        <v>10178</v>
      </c>
      <c r="E520" s="130" t="s">
        <v>10178</v>
      </c>
      <c r="F520" s="130" t="s">
        <v>10178</v>
      </c>
      <c r="G520" s="130" t="s">
        <v>10178</v>
      </c>
      <c r="H520" s="130" t="s">
        <v>10178</v>
      </c>
      <c r="I520" s="130" t="s">
        <v>10178</v>
      </c>
      <c r="J520" s="130" t="s">
        <v>10178</v>
      </c>
    </row>
    <row r="521">
      <c r="A521" s="191"/>
      <c r="B521" s="130" t="s">
        <v>10178</v>
      </c>
      <c r="C521" s="130" t="s">
        <v>10178</v>
      </c>
      <c r="D521" s="130" t="s">
        <v>10178</v>
      </c>
      <c r="E521" s="130" t="s">
        <v>10178</v>
      </c>
      <c r="F521" s="130" t="s">
        <v>10178</v>
      </c>
      <c r="G521" s="130" t="s">
        <v>10178</v>
      </c>
      <c r="H521" s="130" t="s">
        <v>10178</v>
      </c>
      <c r="I521" s="130" t="s">
        <v>10178</v>
      </c>
      <c r="J521" s="130" t="s">
        <v>10178</v>
      </c>
    </row>
    <row r="522">
      <c r="A522" s="191"/>
      <c r="B522" s="130" t="s">
        <v>10178</v>
      </c>
      <c r="C522" s="130" t="s">
        <v>10178</v>
      </c>
      <c r="D522" s="130" t="s">
        <v>10178</v>
      </c>
      <c r="E522" s="130" t="s">
        <v>10178</v>
      </c>
      <c r="F522" s="130" t="s">
        <v>10178</v>
      </c>
      <c r="G522" s="130" t="s">
        <v>10178</v>
      </c>
      <c r="H522" s="130" t="s">
        <v>10178</v>
      </c>
      <c r="I522" s="130" t="s">
        <v>10178</v>
      </c>
      <c r="J522" s="130" t="s">
        <v>10178</v>
      </c>
    </row>
    <row r="523">
      <c r="A523" s="191"/>
      <c r="B523" s="130" t="s">
        <v>10178</v>
      </c>
      <c r="C523" s="130" t="s">
        <v>10178</v>
      </c>
      <c r="D523" s="130" t="s">
        <v>10178</v>
      </c>
      <c r="E523" s="130" t="s">
        <v>10178</v>
      </c>
      <c r="F523" s="130" t="s">
        <v>10178</v>
      </c>
      <c r="G523" s="130" t="s">
        <v>10178</v>
      </c>
      <c r="H523" s="130" t="s">
        <v>10178</v>
      </c>
      <c r="I523" s="130" t="s">
        <v>10178</v>
      </c>
      <c r="J523" s="130" t="s">
        <v>10178</v>
      </c>
    </row>
    <row r="524">
      <c r="A524" s="191"/>
      <c r="B524" s="130" t="s">
        <v>10178</v>
      </c>
      <c r="C524" s="130" t="s">
        <v>10178</v>
      </c>
      <c r="D524" s="130" t="s">
        <v>10178</v>
      </c>
      <c r="E524" s="130" t="s">
        <v>10178</v>
      </c>
      <c r="F524" s="130" t="s">
        <v>10178</v>
      </c>
      <c r="G524" s="130" t="s">
        <v>10178</v>
      </c>
      <c r="H524" s="130" t="s">
        <v>10178</v>
      </c>
      <c r="I524" s="130" t="s">
        <v>10178</v>
      </c>
      <c r="J524" s="130" t="s">
        <v>10178</v>
      </c>
    </row>
    <row r="525">
      <c r="A525" s="191"/>
      <c r="B525" s="130" t="s">
        <v>10178</v>
      </c>
      <c r="C525" s="130" t="s">
        <v>10178</v>
      </c>
      <c r="D525" s="130" t="s">
        <v>10178</v>
      </c>
      <c r="E525" s="130" t="s">
        <v>10178</v>
      </c>
      <c r="F525" s="130" t="s">
        <v>10178</v>
      </c>
      <c r="G525" s="130" t="s">
        <v>10178</v>
      </c>
      <c r="H525" s="130" t="s">
        <v>10178</v>
      </c>
      <c r="I525" s="130" t="s">
        <v>10178</v>
      </c>
      <c r="J525" s="130" t="s">
        <v>10178</v>
      </c>
    </row>
    <row r="526">
      <c r="A526" s="191"/>
      <c r="B526" s="130" t="s">
        <v>10178</v>
      </c>
      <c r="C526" s="130" t="s">
        <v>10178</v>
      </c>
      <c r="D526" s="130" t="s">
        <v>10178</v>
      </c>
      <c r="E526" s="130" t="s">
        <v>10178</v>
      </c>
      <c r="F526" s="130" t="s">
        <v>10178</v>
      </c>
      <c r="G526" s="130" t="s">
        <v>10178</v>
      </c>
      <c r="H526" s="130" t="s">
        <v>10178</v>
      </c>
      <c r="I526" s="130" t="s">
        <v>10178</v>
      </c>
      <c r="J526" s="130" t="s">
        <v>10178</v>
      </c>
    </row>
    <row r="527">
      <c r="A527" s="191"/>
      <c r="B527" s="130" t="s">
        <v>10178</v>
      </c>
      <c r="C527" s="130" t="s">
        <v>10178</v>
      </c>
      <c r="D527" s="130" t="s">
        <v>10178</v>
      </c>
      <c r="E527" s="130" t="s">
        <v>10178</v>
      </c>
      <c r="F527" s="130" t="s">
        <v>10178</v>
      </c>
      <c r="G527" s="130" t="s">
        <v>10178</v>
      </c>
      <c r="H527" s="130" t="s">
        <v>10178</v>
      </c>
      <c r="I527" s="130" t="s">
        <v>10178</v>
      </c>
      <c r="J527" s="130" t="s">
        <v>10178</v>
      </c>
    </row>
    <row r="528">
      <c r="A528" s="191"/>
      <c r="B528" s="130" t="s">
        <v>10178</v>
      </c>
      <c r="C528" s="130" t="s">
        <v>10178</v>
      </c>
      <c r="D528" s="130" t="s">
        <v>10178</v>
      </c>
      <c r="E528" s="130" t="s">
        <v>10178</v>
      </c>
      <c r="F528" s="130" t="s">
        <v>10178</v>
      </c>
      <c r="G528" s="130" t="s">
        <v>10178</v>
      </c>
      <c r="H528" s="130" t="s">
        <v>10178</v>
      </c>
      <c r="I528" s="130" t="s">
        <v>10178</v>
      </c>
      <c r="J528" s="130" t="s">
        <v>10178</v>
      </c>
    </row>
    <row r="529">
      <c r="A529" s="191"/>
      <c r="B529" s="130" t="s">
        <v>10178</v>
      </c>
      <c r="C529" s="130" t="s">
        <v>10178</v>
      </c>
      <c r="D529" s="130" t="s">
        <v>10178</v>
      </c>
      <c r="E529" s="130" t="s">
        <v>10178</v>
      </c>
      <c r="F529" s="130" t="s">
        <v>10178</v>
      </c>
      <c r="G529" s="130" t="s">
        <v>10178</v>
      </c>
      <c r="H529" s="130" t="s">
        <v>10178</v>
      </c>
      <c r="I529" s="130" t="s">
        <v>10178</v>
      </c>
      <c r="J529" s="130" t="s">
        <v>10178</v>
      </c>
    </row>
    <row r="530">
      <c r="A530" s="191"/>
      <c r="B530" s="130" t="s">
        <v>10178</v>
      </c>
      <c r="C530" s="130" t="s">
        <v>10178</v>
      </c>
      <c r="D530" s="130" t="s">
        <v>10178</v>
      </c>
      <c r="E530" s="130" t="s">
        <v>10178</v>
      </c>
      <c r="F530" s="130" t="s">
        <v>10178</v>
      </c>
      <c r="G530" s="130" t="s">
        <v>10178</v>
      </c>
      <c r="H530" s="130" t="s">
        <v>10178</v>
      </c>
      <c r="I530" s="130" t="s">
        <v>10178</v>
      </c>
      <c r="J530" s="130" t="s">
        <v>10178</v>
      </c>
    </row>
    <row r="531">
      <c r="A531" s="191"/>
      <c r="B531" s="130" t="s">
        <v>10178</v>
      </c>
      <c r="C531" s="130" t="s">
        <v>10178</v>
      </c>
      <c r="D531" s="130" t="s">
        <v>10178</v>
      </c>
      <c r="E531" s="130" t="s">
        <v>10178</v>
      </c>
      <c r="F531" s="130" t="s">
        <v>10178</v>
      </c>
      <c r="G531" s="130" t="s">
        <v>10178</v>
      </c>
      <c r="H531" s="130" t="s">
        <v>10178</v>
      </c>
      <c r="I531" s="130" t="s">
        <v>10178</v>
      </c>
      <c r="J531" s="130" t="s">
        <v>10178</v>
      </c>
    </row>
    <row r="532">
      <c r="A532" s="191"/>
      <c r="B532" s="130" t="s">
        <v>10178</v>
      </c>
      <c r="C532" s="130" t="s">
        <v>10178</v>
      </c>
      <c r="D532" s="130" t="s">
        <v>10178</v>
      </c>
      <c r="E532" s="130" t="s">
        <v>10178</v>
      </c>
      <c r="F532" s="130" t="s">
        <v>10178</v>
      </c>
      <c r="G532" s="130" t="s">
        <v>10178</v>
      </c>
      <c r="H532" s="130" t="s">
        <v>10178</v>
      </c>
      <c r="I532" s="130" t="s">
        <v>10178</v>
      </c>
      <c r="J532" s="130" t="s">
        <v>10178</v>
      </c>
    </row>
    <row r="533">
      <c r="A533" s="191"/>
      <c r="B533" s="130" t="s">
        <v>10178</v>
      </c>
      <c r="C533" s="130" t="s">
        <v>10178</v>
      </c>
      <c r="D533" s="130" t="s">
        <v>10178</v>
      </c>
      <c r="E533" s="130" t="s">
        <v>10178</v>
      </c>
      <c r="F533" s="130" t="s">
        <v>10178</v>
      </c>
      <c r="G533" s="130" t="s">
        <v>10178</v>
      </c>
      <c r="H533" s="130" t="s">
        <v>10178</v>
      </c>
      <c r="I533" s="130" t="s">
        <v>10178</v>
      </c>
      <c r="J533" s="130" t="s">
        <v>10178</v>
      </c>
    </row>
    <row r="534">
      <c r="A534" s="191"/>
      <c r="B534" s="130" t="s">
        <v>10178</v>
      </c>
      <c r="C534" s="130" t="s">
        <v>10178</v>
      </c>
      <c r="D534" s="130" t="s">
        <v>10178</v>
      </c>
      <c r="E534" s="130" t="s">
        <v>10178</v>
      </c>
      <c r="F534" s="130" t="s">
        <v>10178</v>
      </c>
      <c r="G534" s="130" t="s">
        <v>10178</v>
      </c>
      <c r="H534" s="130" t="s">
        <v>10178</v>
      </c>
      <c r="I534" s="130" t="s">
        <v>10178</v>
      </c>
      <c r="J534" s="130" t="s">
        <v>10178</v>
      </c>
    </row>
    <row r="535">
      <c r="A535" s="191"/>
      <c r="B535" s="130" t="s">
        <v>10178</v>
      </c>
      <c r="C535" s="130" t="s">
        <v>10178</v>
      </c>
      <c r="D535" s="130" t="s">
        <v>10178</v>
      </c>
      <c r="E535" s="130" t="s">
        <v>10178</v>
      </c>
      <c r="F535" s="130" t="s">
        <v>10178</v>
      </c>
      <c r="G535" s="130" t="s">
        <v>10178</v>
      </c>
      <c r="H535" s="130" t="s">
        <v>10178</v>
      </c>
      <c r="I535" s="130" t="s">
        <v>10178</v>
      </c>
      <c r="J535" s="130" t="s">
        <v>10178</v>
      </c>
    </row>
    <row r="536">
      <c r="A536" s="191"/>
      <c r="B536" s="130" t="s">
        <v>10178</v>
      </c>
      <c r="C536" s="130" t="s">
        <v>10178</v>
      </c>
      <c r="D536" s="130" t="s">
        <v>10178</v>
      </c>
      <c r="E536" s="130" t="s">
        <v>10178</v>
      </c>
      <c r="F536" s="130" t="s">
        <v>10178</v>
      </c>
      <c r="G536" s="130" t="s">
        <v>10178</v>
      </c>
      <c r="H536" s="130" t="s">
        <v>10178</v>
      </c>
      <c r="I536" s="130" t="s">
        <v>10178</v>
      </c>
      <c r="J536" s="130" t="s">
        <v>10178</v>
      </c>
    </row>
    <row r="537">
      <c r="A537" s="191"/>
      <c r="B537" s="130" t="s">
        <v>10178</v>
      </c>
      <c r="C537" s="130" t="s">
        <v>10178</v>
      </c>
      <c r="D537" s="130" t="s">
        <v>10178</v>
      </c>
      <c r="E537" s="130" t="s">
        <v>10178</v>
      </c>
      <c r="F537" s="130" t="s">
        <v>10178</v>
      </c>
      <c r="G537" s="130" t="s">
        <v>10178</v>
      </c>
      <c r="H537" s="130" t="s">
        <v>10178</v>
      </c>
      <c r="I537" s="130" t="s">
        <v>10178</v>
      </c>
      <c r="J537" s="130" t="s">
        <v>10178</v>
      </c>
    </row>
    <row r="538">
      <c r="A538" s="191"/>
      <c r="B538" s="130" t="s">
        <v>10178</v>
      </c>
      <c r="C538" s="130" t="s">
        <v>10178</v>
      </c>
      <c r="D538" s="130" t="s">
        <v>10178</v>
      </c>
      <c r="E538" s="130" t="s">
        <v>10178</v>
      </c>
      <c r="F538" s="130" t="s">
        <v>10178</v>
      </c>
      <c r="G538" s="130" t="s">
        <v>10178</v>
      </c>
      <c r="H538" s="130" t="s">
        <v>10178</v>
      </c>
      <c r="I538" s="130" t="s">
        <v>10178</v>
      </c>
      <c r="J538" s="130" t="s">
        <v>10178</v>
      </c>
    </row>
    <row r="539">
      <c r="A539" s="191"/>
      <c r="B539" s="130" t="s">
        <v>10178</v>
      </c>
      <c r="C539" s="130" t="s">
        <v>10178</v>
      </c>
      <c r="D539" s="130" t="s">
        <v>10178</v>
      </c>
      <c r="E539" s="130" t="s">
        <v>10178</v>
      </c>
      <c r="F539" s="130" t="s">
        <v>10178</v>
      </c>
      <c r="G539" s="130" t="s">
        <v>10178</v>
      </c>
      <c r="H539" s="130" t="s">
        <v>10178</v>
      </c>
      <c r="I539" s="130" t="s">
        <v>10178</v>
      </c>
      <c r="J539" s="130" t="s">
        <v>10178</v>
      </c>
    </row>
    <row r="540">
      <c r="A540" s="191"/>
      <c r="B540" s="130" t="s">
        <v>10178</v>
      </c>
      <c r="C540" s="130" t="s">
        <v>10178</v>
      </c>
      <c r="D540" s="130" t="s">
        <v>10178</v>
      </c>
      <c r="E540" s="130" t="s">
        <v>10178</v>
      </c>
      <c r="F540" s="130" t="s">
        <v>10178</v>
      </c>
      <c r="G540" s="130" t="s">
        <v>10178</v>
      </c>
      <c r="H540" s="130" t="s">
        <v>10178</v>
      </c>
      <c r="I540" s="130" t="s">
        <v>10178</v>
      </c>
      <c r="J540" s="130" t="s">
        <v>10178</v>
      </c>
    </row>
    <row r="541">
      <c r="A541" s="191"/>
      <c r="B541" s="130" t="s">
        <v>10178</v>
      </c>
      <c r="C541" s="130" t="s">
        <v>10178</v>
      </c>
      <c r="D541" s="130" t="s">
        <v>10178</v>
      </c>
      <c r="E541" s="130" t="s">
        <v>10178</v>
      </c>
      <c r="F541" s="130" t="s">
        <v>10178</v>
      </c>
      <c r="G541" s="130" t="s">
        <v>10178</v>
      </c>
      <c r="H541" s="130" t="s">
        <v>10178</v>
      </c>
      <c r="I541" s="130" t="s">
        <v>10178</v>
      </c>
      <c r="J541" s="130" t="s">
        <v>10178</v>
      </c>
    </row>
    <row r="542">
      <c r="A542" s="191"/>
      <c r="B542" s="130" t="s">
        <v>10178</v>
      </c>
      <c r="C542" s="130" t="s">
        <v>10178</v>
      </c>
      <c r="D542" s="130" t="s">
        <v>10178</v>
      </c>
      <c r="E542" s="130" t="s">
        <v>10178</v>
      </c>
      <c r="F542" s="130" t="s">
        <v>10178</v>
      </c>
      <c r="G542" s="130" t="s">
        <v>10178</v>
      </c>
      <c r="H542" s="130" t="s">
        <v>10178</v>
      </c>
      <c r="I542" s="130" t="s">
        <v>10178</v>
      </c>
      <c r="J542" s="130" t="s">
        <v>10178</v>
      </c>
    </row>
    <row r="543">
      <c r="A543" s="191"/>
      <c r="B543" s="130" t="s">
        <v>10178</v>
      </c>
      <c r="C543" s="130" t="s">
        <v>10178</v>
      </c>
      <c r="D543" s="130" t="s">
        <v>10178</v>
      </c>
      <c r="E543" s="130" t="s">
        <v>10178</v>
      </c>
      <c r="F543" s="130" t="s">
        <v>10178</v>
      </c>
      <c r="G543" s="130" t="s">
        <v>10178</v>
      </c>
      <c r="H543" s="130" t="s">
        <v>10178</v>
      </c>
      <c r="I543" s="130" t="s">
        <v>10178</v>
      </c>
      <c r="J543" s="130" t="s">
        <v>10178</v>
      </c>
    </row>
    <row r="544">
      <c r="A544" s="191"/>
      <c r="B544" s="130" t="s">
        <v>10178</v>
      </c>
      <c r="C544" s="130" t="s">
        <v>10178</v>
      </c>
      <c r="D544" s="130" t="s">
        <v>10178</v>
      </c>
      <c r="E544" s="130" t="s">
        <v>10178</v>
      </c>
      <c r="F544" s="130" t="s">
        <v>10178</v>
      </c>
      <c r="G544" s="130" t="s">
        <v>10178</v>
      </c>
      <c r="H544" s="130" t="s">
        <v>10178</v>
      </c>
      <c r="I544" s="130" t="s">
        <v>10178</v>
      </c>
      <c r="J544" s="130" t="s">
        <v>10178</v>
      </c>
    </row>
    <row r="545">
      <c r="A545" s="191"/>
      <c r="B545" s="130" t="s">
        <v>10178</v>
      </c>
      <c r="C545" s="130" t="s">
        <v>10178</v>
      </c>
      <c r="D545" s="130" t="s">
        <v>10178</v>
      </c>
      <c r="E545" s="130" t="s">
        <v>10178</v>
      </c>
      <c r="F545" s="130" t="s">
        <v>10178</v>
      </c>
      <c r="G545" s="130" t="s">
        <v>10178</v>
      </c>
      <c r="H545" s="130" t="s">
        <v>10178</v>
      </c>
      <c r="I545" s="130" t="s">
        <v>10178</v>
      </c>
      <c r="J545" s="130" t="s">
        <v>10178</v>
      </c>
    </row>
    <row r="546">
      <c r="A546" s="191"/>
      <c r="B546" s="130" t="s">
        <v>10178</v>
      </c>
      <c r="C546" s="130" t="s">
        <v>10178</v>
      </c>
      <c r="D546" s="130" t="s">
        <v>10178</v>
      </c>
      <c r="E546" s="130" t="s">
        <v>10178</v>
      </c>
      <c r="F546" s="130" t="s">
        <v>10178</v>
      </c>
      <c r="G546" s="130" t="s">
        <v>10178</v>
      </c>
      <c r="H546" s="130" t="s">
        <v>10178</v>
      </c>
      <c r="I546" s="130" t="s">
        <v>10178</v>
      </c>
      <c r="J546" s="130" t="s">
        <v>10178</v>
      </c>
    </row>
    <row r="547">
      <c r="A547" s="191"/>
      <c r="B547" s="130" t="s">
        <v>10178</v>
      </c>
      <c r="C547" s="130" t="s">
        <v>10178</v>
      </c>
      <c r="D547" s="130" t="s">
        <v>10178</v>
      </c>
      <c r="E547" s="130" t="s">
        <v>10178</v>
      </c>
      <c r="F547" s="130" t="s">
        <v>10178</v>
      </c>
      <c r="G547" s="130" t="s">
        <v>10178</v>
      </c>
      <c r="H547" s="130" t="s">
        <v>10178</v>
      </c>
      <c r="I547" s="130" t="s">
        <v>10178</v>
      </c>
      <c r="J547" s="130" t="s">
        <v>10178</v>
      </c>
    </row>
    <row r="548">
      <c r="A548" s="191"/>
      <c r="B548" s="130" t="s">
        <v>10178</v>
      </c>
      <c r="C548" s="130" t="s">
        <v>10178</v>
      </c>
      <c r="D548" s="130" t="s">
        <v>10178</v>
      </c>
      <c r="E548" s="130" t="s">
        <v>10178</v>
      </c>
      <c r="F548" s="130" t="s">
        <v>10178</v>
      </c>
      <c r="G548" s="130" t="s">
        <v>10178</v>
      </c>
      <c r="H548" s="130" t="s">
        <v>10178</v>
      </c>
      <c r="I548" s="130" t="s">
        <v>10178</v>
      </c>
      <c r="J548" s="130" t="s">
        <v>10178</v>
      </c>
    </row>
    <row r="549">
      <c r="A549" s="191"/>
      <c r="B549" s="130" t="s">
        <v>10178</v>
      </c>
      <c r="C549" s="130" t="s">
        <v>10178</v>
      </c>
      <c r="D549" s="130" t="s">
        <v>10178</v>
      </c>
      <c r="E549" s="130" t="s">
        <v>10178</v>
      </c>
      <c r="F549" s="130" t="s">
        <v>10178</v>
      </c>
      <c r="G549" s="130" t="s">
        <v>10178</v>
      </c>
      <c r="H549" s="130" t="s">
        <v>10178</v>
      </c>
      <c r="I549" s="130" t="s">
        <v>10178</v>
      </c>
      <c r="J549" s="130" t="s">
        <v>10178</v>
      </c>
    </row>
    <row r="550">
      <c r="A550" s="191"/>
      <c r="B550" s="130" t="s">
        <v>10178</v>
      </c>
      <c r="C550" s="130" t="s">
        <v>10178</v>
      </c>
      <c r="D550" s="130" t="s">
        <v>10178</v>
      </c>
      <c r="E550" s="130" t="s">
        <v>10178</v>
      </c>
      <c r="F550" s="130" t="s">
        <v>10178</v>
      </c>
      <c r="G550" s="130" t="s">
        <v>10178</v>
      </c>
      <c r="H550" s="130" t="s">
        <v>10178</v>
      </c>
      <c r="I550" s="130" t="s">
        <v>10178</v>
      </c>
      <c r="J550" s="130" t="s">
        <v>10178</v>
      </c>
    </row>
    <row r="551">
      <c r="A551" s="191"/>
      <c r="B551" s="130" t="s">
        <v>10178</v>
      </c>
      <c r="C551" s="130" t="s">
        <v>10178</v>
      </c>
      <c r="D551" s="130" t="s">
        <v>10178</v>
      </c>
      <c r="E551" s="130" t="s">
        <v>10178</v>
      </c>
      <c r="F551" s="130" t="s">
        <v>10178</v>
      </c>
      <c r="G551" s="130" t="s">
        <v>10178</v>
      </c>
      <c r="H551" s="130" t="s">
        <v>10178</v>
      </c>
      <c r="I551" s="130" t="s">
        <v>10178</v>
      </c>
      <c r="J551" s="130" t="s">
        <v>10178</v>
      </c>
    </row>
    <row r="552">
      <c r="A552" s="191"/>
      <c r="B552" s="130" t="s">
        <v>10178</v>
      </c>
      <c r="C552" s="130" t="s">
        <v>10178</v>
      </c>
      <c r="D552" s="130" t="s">
        <v>10178</v>
      </c>
      <c r="E552" s="130" t="s">
        <v>10178</v>
      </c>
      <c r="F552" s="130" t="s">
        <v>10178</v>
      </c>
      <c r="G552" s="130" t="s">
        <v>10178</v>
      </c>
      <c r="H552" s="130" t="s">
        <v>10178</v>
      </c>
      <c r="I552" s="130" t="s">
        <v>10178</v>
      </c>
      <c r="J552" s="130" t="s">
        <v>10178</v>
      </c>
    </row>
    <row r="553">
      <c r="A553" s="191"/>
      <c r="B553" s="130" t="s">
        <v>10178</v>
      </c>
      <c r="C553" s="130" t="s">
        <v>10178</v>
      </c>
      <c r="D553" s="130" t="s">
        <v>10178</v>
      </c>
      <c r="E553" s="130" t="s">
        <v>10178</v>
      </c>
      <c r="F553" s="130" t="s">
        <v>10178</v>
      </c>
      <c r="G553" s="130" t="s">
        <v>10178</v>
      </c>
      <c r="H553" s="130" t="s">
        <v>10178</v>
      </c>
      <c r="I553" s="130" t="s">
        <v>10178</v>
      </c>
      <c r="J553" s="130" t="s">
        <v>10178</v>
      </c>
    </row>
    <row r="554">
      <c r="A554" s="191"/>
      <c r="B554" s="130" t="s">
        <v>10178</v>
      </c>
      <c r="C554" s="130" t="s">
        <v>10178</v>
      </c>
      <c r="D554" s="130" t="s">
        <v>10178</v>
      </c>
      <c r="E554" s="130" t="s">
        <v>10178</v>
      </c>
      <c r="F554" s="130" t="s">
        <v>10178</v>
      </c>
      <c r="G554" s="130" t="s">
        <v>10178</v>
      </c>
      <c r="H554" s="130" t="s">
        <v>10178</v>
      </c>
      <c r="I554" s="130" t="s">
        <v>10178</v>
      </c>
      <c r="J554" s="130" t="s">
        <v>10178</v>
      </c>
    </row>
    <row r="555">
      <c r="A555" s="191"/>
      <c r="B555" s="130" t="s">
        <v>10178</v>
      </c>
      <c r="C555" s="130" t="s">
        <v>10178</v>
      </c>
      <c r="D555" s="130" t="s">
        <v>10178</v>
      </c>
      <c r="E555" s="130" t="s">
        <v>10178</v>
      </c>
      <c r="F555" s="130" t="s">
        <v>10178</v>
      </c>
      <c r="G555" s="130" t="s">
        <v>10178</v>
      </c>
      <c r="H555" s="130" t="s">
        <v>10178</v>
      </c>
      <c r="I555" s="130" t="s">
        <v>10178</v>
      </c>
      <c r="J555" s="130" t="s">
        <v>10178</v>
      </c>
    </row>
    <row r="556">
      <c r="A556" s="191"/>
      <c r="B556" s="130" t="s">
        <v>10178</v>
      </c>
      <c r="C556" s="130" t="s">
        <v>10178</v>
      </c>
      <c r="D556" s="130" t="s">
        <v>10178</v>
      </c>
      <c r="E556" s="130" t="s">
        <v>10178</v>
      </c>
      <c r="F556" s="130" t="s">
        <v>10178</v>
      </c>
      <c r="G556" s="130" t="s">
        <v>10178</v>
      </c>
      <c r="H556" s="130" t="s">
        <v>10178</v>
      </c>
      <c r="I556" s="130" t="s">
        <v>10178</v>
      </c>
      <c r="J556" s="130" t="s">
        <v>10178</v>
      </c>
    </row>
    <row r="557">
      <c r="A557" s="191"/>
      <c r="B557" s="130" t="s">
        <v>10178</v>
      </c>
      <c r="C557" s="130" t="s">
        <v>10178</v>
      </c>
      <c r="D557" s="130" t="s">
        <v>10178</v>
      </c>
      <c r="E557" s="130" t="s">
        <v>10178</v>
      </c>
      <c r="F557" s="130" t="s">
        <v>10178</v>
      </c>
      <c r="G557" s="130" t="s">
        <v>10178</v>
      </c>
      <c r="H557" s="130" t="s">
        <v>10178</v>
      </c>
      <c r="I557" s="130" t="s">
        <v>10178</v>
      </c>
      <c r="J557" s="130" t="s">
        <v>10178</v>
      </c>
    </row>
    <row r="558">
      <c r="A558" s="191"/>
      <c r="B558" s="130" t="s">
        <v>10178</v>
      </c>
      <c r="C558" s="130" t="s">
        <v>10178</v>
      </c>
      <c r="D558" s="130" t="s">
        <v>10178</v>
      </c>
      <c r="E558" s="130" t="s">
        <v>10178</v>
      </c>
      <c r="F558" s="130" t="s">
        <v>10178</v>
      </c>
      <c r="G558" s="130" t="s">
        <v>10178</v>
      </c>
      <c r="H558" s="130" t="s">
        <v>10178</v>
      </c>
      <c r="I558" s="130" t="s">
        <v>10178</v>
      </c>
      <c r="J558" s="130" t="s">
        <v>10178</v>
      </c>
    </row>
    <row r="559">
      <c r="A559" s="191"/>
      <c r="B559" s="130" t="s">
        <v>10178</v>
      </c>
      <c r="C559" s="130" t="s">
        <v>10178</v>
      </c>
      <c r="D559" s="130" t="s">
        <v>10178</v>
      </c>
      <c r="E559" s="130" t="s">
        <v>10178</v>
      </c>
      <c r="F559" s="130" t="s">
        <v>10178</v>
      </c>
      <c r="G559" s="130" t="s">
        <v>10178</v>
      </c>
      <c r="H559" s="130" t="s">
        <v>10178</v>
      </c>
      <c r="I559" s="130" t="s">
        <v>10178</v>
      </c>
      <c r="J559" s="130" t="s">
        <v>10178</v>
      </c>
    </row>
    <row r="560">
      <c r="A560" s="191"/>
      <c r="B560" s="130" t="s">
        <v>10178</v>
      </c>
      <c r="C560" s="130" t="s">
        <v>10178</v>
      </c>
      <c r="D560" s="130" t="s">
        <v>10178</v>
      </c>
      <c r="E560" s="130" t="s">
        <v>10178</v>
      </c>
      <c r="F560" s="130" t="s">
        <v>10178</v>
      </c>
      <c r="G560" s="130" t="s">
        <v>10178</v>
      </c>
      <c r="H560" s="130" t="s">
        <v>10178</v>
      </c>
      <c r="I560" s="130" t="s">
        <v>10178</v>
      </c>
      <c r="J560" s="130" t="s">
        <v>10178</v>
      </c>
    </row>
    <row r="561">
      <c r="A561" s="191"/>
      <c r="B561" s="130" t="s">
        <v>10178</v>
      </c>
      <c r="C561" s="130" t="s">
        <v>10178</v>
      </c>
      <c r="D561" s="130" t="s">
        <v>10178</v>
      </c>
      <c r="E561" s="130" t="s">
        <v>10178</v>
      </c>
      <c r="F561" s="130" t="s">
        <v>10178</v>
      </c>
      <c r="G561" s="130" t="s">
        <v>10178</v>
      </c>
      <c r="H561" s="130" t="s">
        <v>10178</v>
      </c>
      <c r="I561" s="130" t="s">
        <v>10178</v>
      </c>
      <c r="J561" s="130" t="s">
        <v>10178</v>
      </c>
    </row>
    <row r="562">
      <c r="A562" s="191"/>
      <c r="B562" s="130" t="s">
        <v>10178</v>
      </c>
      <c r="C562" s="130" t="s">
        <v>10178</v>
      </c>
      <c r="D562" s="130" t="s">
        <v>10178</v>
      </c>
      <c r="E562" s="130" t="s">
        <v>10178</v>
      </c>
      <c r="F562" s="130" t="s">
        <v>10178</v>
      </c>
      <c r="G562" s="130" t="s">
        <v>10178</v>
      </c>
      <c r="H562" s="130" t="s">
        <v>10178</v>
      </c>
      <c r="I562" s="130" t="s">
        <v>10178</v>
      </c>
      <c r="J562" s="130" t="s">
        <v>10178</v>
      </c>
    </row>
    <row r="563">
      <c r="A563" s="191"/>
      <c r="B563" s="130" t="s">
        <v>10178</v>
      </c>
      <c r="C563" s="130" t="s">
        <v>10178</v>
      </c>
      <c r="D563" s="130" t="s">
        <v>10178</v>
      </c>
      <c r="E563" s="130" t="s">
        <v>10178</v>
      </c>
      <c r="F563" s="130" t="s">
        <v>10178</v>
      </c>
      <c r="G563" s="130" t="s">
        <v>10178</v>
      </c>
      <c r="H563" s="130" t="s">
        <v>10178</v>
      </c>
      <c r="I563" s="130" t="s">
        <v>10178</v>
      </c>
      <c r="J563" s="130" t="s">
        <v>10178</v>
      </c>
    </row>
    <row r="564">
      <c r="A564" s="191"/>
      <c r="B564" s="130" t="s">
        <v>10178</v>
      </c>
      <c r="C564" s="130" t="s">
        <v>10178</v>
      </c>
      <c r="D564" s="130" t="s">
        <v>10178</v>
      </c>
      <c r="E564" s="130" t="s">
        <v>10178</v>
      </c>
      <c r="F564" s="130" t="s">
        <v>10178</v>
      </c>
      <c r="G564" s="130" t="s">
        <v>10178</v>
      </c>
      <c r="H564" s="130" t="s">
        <v>10178</v>
      </c>
      <c r="I564" s="130" t="s">
        <v>10178</v>
      </c>
      <c r="J564" s="130" t="s">
        <v>10178</v>
      </c>
    </row>
    <row r="565">
      <c r="A565" s="191"/>
      <c r="B565" s="130" t="s">
        <v>10178</v>
      </c>
      <c r="C565" s="130" t="s">
        <v>10178</v>
      </c>
      <c r="D565" s="130" t="s">
        <v>10178</v>
      </c>
      <c r="E565" s="130" t="s">
        <v>10178</v>
      </c>
      <c r="F565" s="130" t="s">
        <v>10178</v>
      </c>
      <c r="G565" s="130" t="s">
        <v>10178</v>
      </c>
      <c r="H565" s="130" t="s">
        <v>10178</v>
      </c>
      <c r="I565" s="130" t="s">
        <v>10178</v>
      </c>
      <c r="J565" s="130" t="s">
        <v>10178</v>
      </c>
    </row>
    <row r="566">
      <c r="A566" s="191"/>
      <c r="B566" s="130" t="s">
        <v>10178</v>
      </c>
      <c r="C566" s="130" t="s">
        <v>10178</v>
      </c>
      <c r="D566" s="130" t="s">
        <v>10178</v>
      </c>
      <c r="E566" s="130" t="s">
        <v>10178</v>
      </c>
      <c r="F566" s="130" t="s">
        <v>10178</v>
      </c>
      <c r="G566" s="130" t="s">
        <v>10178</v>
      </c>
      <c r="H566" s="130" t="s">
        <v>10178</v>
      </c>
      <c r="I566" s="130" t="s">
        <v>10178</v>
      </c>
      <c r="J566" s="130" t="s">
        <v>10178</v>
      </c>
    </row>
    <row r="567">
      <c r="A567" s="191"/>
      <c r="B567" s="130" t="s">
        <v>10178</v>
      </c>
      <c r="C567" s="130" t="s">
        <v>10178</v>
      </c>
      <c r="D567" s="130" t="s">
        <v>10178</v>
      </c>
      <c r="E567" s="130" t="s">
        <v>10178</v>
      </c>
      <c r="F567" s="130" t="s">
        <v>10178</v>
      </c>
      <c r="G567" s="130" t="s">
        <v>10178</v>
      </c>
      <c r="H567" s="130" t="s">
        <v>10178</v>
      </c>
      <c r="I567" s="130" t="s">
        <v>10178</v>
      </c>
      <c r="J567" s="130" t="s">
        <v>10178</v>
      </c>
    </row>
    <row r="568">
      <c r="A568" s="191"/>
      <c r="B568" s="130" t="s">
        <v>10178</v>
      </c>
      <c r="C568" s="130" t="s">
        <v>10178</v>
      </c>
      <c r="D568" s="130" t="s">
        <v>10178</v>
      </c>
      <c r="E568" s="130" t="s">
        <v>10178</v>
      </c>
      <c r="F568" s="130" t="s">
        <v>10178</v>
      </c>
      <c r="G568" s="130" t="s">
        <v>10178</v>
      </c>
      <c r="H568" s="130" t="s">
        <v>10178</v>
      </c>
      <c r="I568" s="130" t="s">
        <v>10178</v>
      </c>
      <c r="J568" s="130" t="s">
        <v>10178</v>
      </c>
    </row>
    <row r="569">
      <c r="A569" s="191"/>
      <c r="B569" s="130" t="s">
        <v>10178</v>
      </c>
      <c r="C569" s="130" t="s">
        <v>10178</v>
      </c>
      <c r="D569" s="130" t="s">
        <v>10178</v>
      </c>
      <c r="E569" s="130" t="s">
        <v>10178</v>
      </c>
      <c r="F569" s="130" t="s">
        <v>10178</v>
      </c>
      <c r="G569" s="130" t="s">
        <v>10178</v>
      </c>
      <c r="H569" s="130" t="s">
        <v>10178</v>
      </c>
      <c r="I569" s="130" t="s">
        <v>10178</v>
      </c>
      <c r="J569" s="130" t="s">
        <v>10178</v>
      </c>
    </row>
    <row r="570">
      <c r="A570" s="191"/>
      <c r="B570" s="130" t="s">
        <v>10178</v>
      </c>
      <c r="C570" s="130" t="s">
        <v>10178</v>
      </c>
      <c r="D570" s="130" t="s">
        <v>10178</v>
      </c>
      <c r="E570" s="130" t="s">
        <v>10178</v>
      </c>
      <c r="F570" s="130" t="s">
        <v>10178</v>
      </c>
      <c r="G570" s="130" t="s">
        <v>10178</v>
      </c>
      <c r="H570" s="130" t="s">
        <v>10178</v>
      </c>
      <c r="I570" s="130" t="s">
        <v>10178</v>
      </c>
      <c r="J570" s="130" t="s">
        <v>10178</v>
      </c>
    </row>
    <row r="571">
      <c r="A571" s="191"/>
      <c r="B571" s="130" t="s">
        <v>10178</v>
      </c>
      <c r="C571" s="130" t="s">
        <v>10178</v>
      </c>
      <c r="D571" s="130" t="s">
        <v>10178</v>
      </c>
      <c r="E571" s="130" t="s">
        <v>10178</v>
      </c>
      <c r="F571" s="130" t="s">
        <v>10178</v>
      </c>
      <c r="G571" s="130" t="s">
        <v>10178</v>
      </c>
      <c r="H571" s="130" t="s">
        <v>10178</v>
      </c>
      <c r="I571" s="130" t="s">
        <v>10178</v>
      </c>
      <c r="J571" s="130" t="s">
        <v>10178</v>
      </c>
    </row>
    <row r="572">
      <c r="A572" s="191"/>
      <c r="B572" s="130" t="s">
        <v>10178</v>
      </c>
      <c r="C572" s="130" t="s">
        <v>10178</v>
      </c>
      <c r="D572" s="130" t="s">
        <v>10178</v>
      </c>
      <c r="E572" s="130" t="s">
        <v>10178</v>
      </c>
      <c r="F572" s="130" t="s">
        <v>10178</v>
      </c>
      <c r="G572" s="130" t="s">
        <v>10178</v>
      </c>
      <c r="H572" s="130" t="s">
        <v>10178</v>
      </c>
      <c r="I572" s="130" t="s">
        <v>10178</v>
      </c>
      <c r="J572" s="130" t="s">
        <v>10178</v>
      </c>
    </row>
    <row r="573">
      <c r="A573" s="191"/>
      <c r="B573" s="130" t="s">
        <v>10178</v>
      </c>
      <c r="C573" s="130" t="s">
        <v>10178</v>
      </c>
      <c r="D573" s="130" t="s">
        <v>10178</v>
      </c>
      <c r="E573" s="130" t="s">
        <v>10178</v>
      </c>
      <c r="F573" s="130" t="s">
        <v>10178</v>
      </c>
      <c r="G573" s="130" t="s">
        <v>10178</v>
      </c>
      <c r="H573" s="130" t="s">
        <v>10178</v>
      </c>
      <c r="I573" s="130" t="s">
        <v>10178</v>
      </c>
      <c r="J573" s="130" t="s">
        <v>10178</v>
      </c>
    </row>
    <row r="574">
      <c r="A574" s="191"/>
      <c r="B574" s="130" t="s">
        <v>10178</v>
      </c>
      <c r="C574" s="130" t="s">
        <v>10178</v>
      </c>
      <c r="D574" s="130" t="s">
        <v>10178</v>
      </c>
      <c r="E574" s="130" t="s">
        <v>10178</v>
      </c>
      <c r="F574" s="130" t="s">
        <v>10178</v>
      </c>
      <c r="G574" s="130" t="s">
        <v>10178</v>
      </c>
      <c r="H574" s="130" t="s">
        <v>10178</v>
      </c>
      <c r="I574" s="130" t="s">
        <v>10178</v>
      </c>
      <c r="J574" s="130" t="s">
        <v>10178</v>
      </c>
    </row>
    <row r="575">
      <c r="A575" s="191"/>
      <c r="B575" s="130" t="s">
        <v>10178</v>
      </c>
      <c r="C575" s="130" t="s">
        <v>10178</v>
      </c>
      <c r="D575" s="130" t="s">
        <v>10178</v>
      </c>
      <c r="E575" s="130" t="s">
        <v>10178</v>
      </c>
      <c r="F575" s="130" t="s">
        <v>10178</v>
      </c>
      <c r="G575" s="130" t="s">
        <v>10178</v>
      </c>
      <c r="H575" s="130" t="s">
        <v>10178</v>
      </c>
      <c r="I575" s="130" t="s">
        <v>10178</v>
      </c>
      <c r="J575" s="130" t="s">
        <v>10178</v>
      </c>
    </row>
    <row r="576">
      <c r="A576" s="191"/>
      <c r="B576" s="130" t="s">
        <v>10178</v>
      </c>
      <c r="C576" s="130" t="s">
        <v>10178</v>
      </c>
      <c r="D576" s="130" t="s">
        <v>10178</v>
      </c>
      <c r="E576" s="130" t="s">
        <v>10178</v>
      </c>
      <c r="F576" s="130" t="s">
        <v>10178</v>
      </c>
      <c r="G576" s="130" t="s">
        <v>10178</v>
      </c>
      <c r="H576" s="130" t="s">
        <v>10178</v>
      </c>
      <c r="I576" s="130" t="s">
        <v>10178</v>
      </c>
      <c r="J576" s="130" t="s">
        <v>10178</v>
      </c>
    </row>
    <row r="577">
      <c r="A577" s="191"/>
      <c r="B577" s="130" t="s">
        <v>10178</v>
      </c>
      <c r="C577" s="130" t="s">
        <v>10178</v>
      </c>
      <c r="D577" s="130" t="s">
        <v>10178</v>
      </c>
      <c r="E577" s="130" t="s">
        <v>10178</v>
      </c>
      <c r="F577" s="130" t="s">
        <v>10178</v>
      </c>
      <c r="G577" s="130" t="s">
        <v>10178</v>
      </c>
      <c r="H577" s="130" t="s">
        <v>10178</v>
      </c>
      <c r="I577" s="130" t="s">
        <v>10178</v>
      </c>
      <c r="J577" s="130" t="s">
        <v>10178</v>
      </c>
    </row>
    <row r="578">
      <c r="A578" s="191"/>
      <c r="B578" s="130" t="s">
        <v>10178</v>
      </c>
      <c r="C578" s="130" t="s">
        <v>10178</v>
      </c>
      <c r="D578" s="130" t="s">
        <v>10178</v>
      </c>
      <c r="E578" s="130" t="s">
        <v>10178</v>
      </c>
      <c r="F578" s="130" t="s">
        <v>10178</v>
      </c>
      <c r="G578" s="130" t="s">
        <v>10178</v>
      </c>
      <c r="H578" s="130" t="s">
        <v>10178</v>
      </c>
      <c r="I578" s="130" t="s">
        <v>10178</v>
      </c>
      <c r="J578" s="130" t="s">
        <v>10178</v>
      </c>
    </row>
    <row r="579">
      <c r="A579" s="191"/>
      <c r="B579" s="130" t="s">
        <v>10178</v>
      </c>
      <c r="C579" s="130" t="s">
        <v>10178</v>
      </c>
      <c r="D579" s="130" t="s">
        <v>10178</v>
      </c>
      <c r="E579" s="130" t="s">
        <v>10178</v>
      </c>
      <c r="F579" s="130" t="s">
        <v>10178</v>
      </c>
      <c r="G579" s="130" t="s">
        <v>10178</v>
      </c>
      <c r="H579" s="130" t="s">
        <v>10178</v>
      </c>
      <c r="I579" s="130" t="s">
        <v>10178</v>
      </c>
      <c r="J579" s="130" t="s">
        <v>10178</v>
      </c>
    </row>
    <row r="580">
      <c r="A580" s="191"/>
      <c r="B580" s="130" t="s">
        <v>10178</v>
      </c>
      <c r="C580" s="130" t="s">
        <v>10178</v>
      </c>
      <c r="D580" s="130" t="s">
        <v>10178</v>
      </c>
      <c r="E580" s="130" t="s">
        <v>10178</v>
      </c>
      <c r="F580" s="130" t="s">
        <v>10178</v>
      </c>
      <c r="G580" s="130" t="s">
        <v>10178</v>
      </c>
      <c r="H580" s="130" t="s">
        <v>10178</v>
      </c>
      <c r="I580" s="130" t="s">
        <v>10178</v>
      </c>
      <c r="J580" s="130" t="s">
        <v>10178</v>
      </c>
    </row>
    <row r="581">
      <c r="A581" s="191"/>
      <c r="B581" s="130" t="s">
        <v>10178</v>
      </c>
      <c r="C581" s="130" t="s">
        <v>10178</v>
      </c>
      <c r="D581" s="130" t="s">
        <v>10178</v>
      </c>
      <c r="E581" s="130" t="s">
        <v>10178</v>
      </c>
      <c r="F581" s="130" t="s">
        <v>10178</v>
      </c>
      <c r="G581" s="130" t="s">
        <v>10178</v>
      </c>
      <c r="H581" s="130" t="s">
        <v>10178</v>
      </c>
      <c r="I581" s="130" t="s">
        <v>10178</v>
      </c>
      <c r="J581" s="130" t="s">
        <v>10178</v>
      </c>
    </row>
    <row r="582">
      <c r="A582" s="191"/>
      <c r="B582" s="130" t="s">
        <v>10178</v>
      </c>
      <c r="C582" s="130" t="s">
        <v>10178</v>
      </c>
      <c r="D582" s="130" t="s">
        <v>10178</v>
      </c>
      <c r="E582" s="130" t="s">
        <v>10178</v>
      </c>
      <c r="F582" s="130" t="s">
        <v>10178</v>
      </c>
      <c r="G582" s="130" t="s">
        <v>10178</v>
      </c>
      <c r="H582" s="130" t="s">
        <v>10178</v>
      </c>
      <c r="I582" s="130" t="s">
        <v>10178</v>
      </c>
      <c r="J582" s="130" t="s">
        <v>10178</v>
      </c>
    </row>
    <row r="583">
      <c r="A583" s="191"/>
      <c r="B583" s="130" t="s">
        <v>10178</v>
      </c>
      <c r="C583" s="130" t="s">
        <v>10178</v>
      </c>
      <c r="D583" s="130" t="s">
        <v>10178</v>
      </c>
      <c r="E583" s="130" t="s">
        <v>10178</v>
      </c>
      <c r="F583" s="130" t="s">
        <v>10178</v>
      </c>
      <c r="G583" s="130" t="s">
        <v>10178</v>
      </c>
      <c r="H583" s="130" t="s">
        <v>10178</v>
      </c>
      <c r="I583" s="130" t="s">
        <v>10178</v>
      </c>
      <c r="J583" s="130" t="s">
        <v>10178</v>
      </c>
    </row>
    <row r="584">
      <c r="A584" s="191"/>
      <c r="B584" s="130" t="s">
        <v>10178</v>
      </c>
      <c r="C584" s="130" t="s">
        <v>10178</v>
      </c>
      <c r="D584" s="130" t="s">
        <v>10178</v>
      </c>
      <c r="E584" s="130" t="s">
        <v>10178</v>
      </c>
      <c r="F584" s="130" t="s">
        <v>10178</v>
      </c>
      <c r="G584" s="130" t="s">
        <v>10178</v>
      </c>
      <c r="H584" s="130" t="s">
        <v>10178</v>
      </c>
      <c r="I584" s="130" t="s">
        <v>10178</v>
      </c>
      <c r="J584" s="130" t="s">
        <v>10178</v>
      </c>
    </row>
    <row r="585">
      <c r="A585" s="191"/>
      <c r="B585" s="130" t="s">
        <v>10178</v>
      </c>
      <c r="C585" s="130" t="s">
        <v>10178</v>
      </c>
      <c r="D585" s="130" t="s">
        <v>10178</v>
      </c>
      <c r="E585" s="130" t="s">
        <v>10178</v>
      </c>
      <c r="F585" s="130" t="s">
        <v>10178</v>
      </c>
      <c r="G585" s="130" t="s">
        <v>10178</v>
      </c>
      <c r="H585" s="130" t="s">
        <v>10178</v>
      </c>
      <c r="I585" s="130" t="s">
        <v>10178</v>
      </c>
      <c r="J585" s="130" t="s">
        <v>10178</v>
      </c>
    </row>
    <row r="586">
      <c r="A586" s="191"/>
      <c r="B586" s="130" t="s">
        <v>10178</v>
      </c>
      <c r="C586" s="130" t="s">
        <v>10178</v>
      </c>
      <c r="D586" s="130" t="s">
        <v>10178</v>
      </c>
      <c r="E586" s="130" t="s">
        <v>10178</v>
      </c>
      <c r="F586" s="130" t="s">
        <v>10178</v>
      </c>
      <c r="G586" s="130" t="s">
        <v>10178</v>
      </c>
      <c r="H586" s="130" t="s">
        <v>10178</v>
      </c>
      <c r="I586" s="130" t="s">
        <v>10178</v>
      </c>
      <c r="J586" s="130" t="s">
        <v>10178</v>
      </c>
    </row>
    <row r="587">
      <c r="A587" s="191"/>
      <c r="B587" s="130" t="s">
        <v>10178</v>
      </c>
      <c r="C587" s="130" t="s">
        <v>10178</v>
      </c>
      <c r="D587" s="130" t="s">
        <v>10178</v>
      </c>
      <c r="E587" s="130" t="s">
        <v>10178</v>
      </c>
      <c r="F587" s="130" t="s">
        <v>10178</v>
      </c>
      <c r="G587" s="130" t="s">
        <v>10178</v>
      </c>
      <c r="H587" s="130" t="s">
        <v>10178</v>
      </c>
      <c r="I587" s="130" t="s">
        <v>10178</v>
      </c>
      <c r="J587" s="130" t="s">
        <v>10178</v>
      </c>
    </row>
    <row r="588">
      <c r="A588" s="191"/>
      <c r="B588" s="130" t="s">
        <v>10178</v>
      </c>
      <c r="C588" s="130" t="s">
        <v>10178</v>
      </c>
      <c r="D588" s="130" t="s">
        <v>10178</v>
      </c>
      <c r="E588" s="130" t="s">
        <v>10178</v>
      </c>
      <c r="F588" s="130" t="s">
        <v>10178</v>
      </c>
      <c r="G588" s="130" t="s">
        <v>10178</v>
      </c>
      <c r="H588" s="130" t="s">
        <v>10178</v>
      </c>
      <c r="I588" s="130" t="s">
        <v>10178</v>
      </c>
      <c r="J588" s="130" t="s">
        <v>10178</v>
      </c>
    </row>
    <row r="589">
      <c r="A589" s="191"/>
      <c r="B589" s="130" t="s">
        <v>10178</v>
      </c>
      <c r="C589" s="130" t="s">
        <v>10178</v>
      </c>
      <c r="D589" s="130" t="s">
        <v>10178</v>
      </c>
      <c r="E589" s="130" t="s">
        <v>10178</v>
      </c>
      <c r="F589" s="130" t="s">
        <v>10178</v>
      </c>
      <c r="G589" s="130" t="s">
        <v>10178</v>
      </c>
      <c r="H589" s="130" t="s">
        <v>10178</v>
      </c>
      <c r="I589" s="130" t="s">
        <v>10178</v>
      </c>
      <c r="J589" s="130" t="s">
        <v>10178</v>
      </c>
    </row>
    <row r="590">
      <c r="A590" s="191"/>
      <c r="B590" s="130" t="s">
        <v>10178</v>
      </c>
      <c r="C590" s="130" t="s">
        <v>10178</v>
      </c>
      <c r="D590" s="130" t="s">
        <v>10178</v>
      </c>
      <c r="E590" s="130" t="s">
        <v>10178</v>
      </c>
      <c r="F590" s="130" t="s">
        <v>10178</v>
      </c>
      <c r="G590" s="130" t="s">
        <v>10178</v>
      </c>
      <c r="H590" s="130" t="s">
        <v>10178</v>
      </c>
      <c r="I590" s="130" t="s">
        <v>10178</v>
      </c>
      <c r="J590" s="130" t="s">
        <v>10178</v>
      </c>
    </row>
    <row r="591">
      <c r="A591" s="191"/>
      <c r="B591" s="130" t="s">
        <v>10178</v>
      </c>
      <c r="C591" s="130" t="s">
        <v>10178</v>
      </c>
      <c r="D591" s="130" t="s">
        <v>10178</v>
      </c>
      <c r="E591" s="130" t="s">
        <v>10178</v>
      </c>
      <c r="F591" s="130" t="s">
        <v>10178</v>
      </c>
      <c r="G591" s="130" t="s">
        <v>10178</v>
      </c>
      <c r="H591" s="130" t="s">
        <v>10178</v>
      </c>
      <c r="I591" s="130" t="s">
        <v>10178</v>
      </c>
      <c r="J591" s="130" t="s">
        <v>10178</v>
      </c>
    </row>
    <row r="592">
      <c r="A592" s="191"/>
      <c r="B592" s="130" t="s">
        <v>10178</v>
      </c>
      <c r="C592" s="130" t="s">
        <v>10178</v>
      </c>
      <c r="D592" s="130" t="s">
        <v>10178</v>
      </c>
      <c r="E592" s="130" t="s">
        <v>10178</v>
      </c>
      <c r="F592" s="130" t="s">
        <v>10178</v>
      </c>
      <c r="G592" s="130" t="s">
        <v>10178</v>
      </c>
      <c r="H592" s="130" t="s">
        <v>10178</v>
      </c>
      <c r="I592" s="130" t="s">
        <v>10178</v>
      </c>
      <c r="J592" s="130" t="s">
        <v>10178</v>
      </c>
    </row>
    <row r="593">
      <c r="A593" s="191"/>
      <c r="B593" s="130" t="s">
        <v>10178</v>
      </c>
      <c r="C593" s="130" t="s">
        <v>10178</v>
      </c>
      <c r="D593" s="130" t="s">
        <v>10178</v>
      </c>
      <c r="E593" s="130" t="s">
        <v>10178</v>
      </c>
      <c r="F593" s="130" t="s">
        <v>10178</v>
      </c>
      <c r="G593" s="130" t="s">
        <v>10178</v>
      </c>
      <c r="H593" s="130" t="s">
        <v>10178</v>
      </c>
      <c r="I593" s="130" t="s">
        <v>10178</v>
      </c>
      <c r="J593" s="130" t="s">
        <v>10178</v>
      </c>
    </row>
    <row r="594">
      <c r="A594" s="191"/>
      <c r="B594" s="130" t="s">
        <v>10178</v>
      </c>
      <c r="C594" s="130" t="s">
        <v>10178</v>
      </c>
      <c r="D594" s="130" t="s">
        <v>10178</v>
      </c>
      <c r="E594" s="130" t="s">
        <v>10178</v>
      </c>
      <c r="F594" s="130" t="s">
        <v>10178</v>
      </c>
      <c r="G594" s="130" t="s">
        <v>10178</v>
      </c>
      <c r="H594" s="130" t="s">
        <v>10178</v>
      </c>
      <c r="I594" s="130" t="s">
        <v>10178</v>
      </c>
      <c r="J594" s="130" t="s">
        <v>10178</v>
      </c>
    </row>
    <row r="595">
      <c r="A595" s="191"/>
      <c r="B595" s="130" t="s">
        <v>10178</v>
      </c>
      <c r="C595" s="130" t="s">
        <v>10178</v>
      </c>
      <c r="D595" s="130" t="s">
        <v>10178</v>
      </c>
      <c r="E595" s="130" t="s">
        <v>10178</v>
      </c>
      <c r="F595" s="130" t="s">
        <v>10178</v>
      </c>
      <c r="G595" s="130" t="s">
        <v>10178</v>
      </c>
      <c r="H595" s="130" t="s">
        <v>10178</v>
      </c>
      <c r="I595" s="130" t="s">
        <v>10178</v>
      </c>
      <c r="J595" s="130" t="s">
        <v>10178</v>
      </c>
    </row>
    <row r="596">
      <c r="A596" s="191"/>
      <c r="B596" s="130" t="s">
        <v>10178</v>
      </c>
      <c r="C596" s="130" t="s">
        <v>10178</v>
      </c>
      <c r="D596" s="130" t="s">
        <v>10178</v>
      </c>
      <c r="E596" s="130" t="s">
        <v>10178</v>
      </c>
      <c r="F596" s="130" t="s">
        <v>10178</v>
      </c>
      <c r="G596" s="130" t="s">
        <v>10178</v>
      </c>
      <c r="H596" s="130" t="s">
        <v>10178</v>
      </c>
      <c r="I596" s="130" t="s">
        <v>10178</v>
      </c>
      <c r="J596" s="130" t="s">
        <v>10178</v>
      </c>
    </row>
    <row r="597">
      <c r="A597" s="191"/>
      <c r="B597" s="130" t="s">
        <v>10178</v>
      </c>
      <c r="C597" s="130" t="s">
        <v>10178</v>
      </c>
      <c r="D597" s="130" t="s">
        <v>10178</v>
      </c>
      <c r="E597" s="130" t="s">
        <v>10178</v>
      </c>
      <c r="F597" s="130" t="s">
        <v>10178</v>
      </c>
      <c r="G597" s="130" t="s">
        <v>10178</v>
      </c>
      <c r="H597" s="130" t="s">
        <v>10178</v>
      </c>
      <c r="I597" s="130" t="s">
        <v>10178</v>
      </c>
      <c r="J597" s="130" t="s">
        <v>10178</v>
      </c>
    </row>
    <row r="598">
      <c r="A598" s="191"/>
      <c r="B598" s="130" t="s">
        <v>10178</v>
      </c>
      <c r="C598" s="130" t="s">
        <v>10178</v>
      </c>
      <c r="D598" s="130" t="s">
        <v>10178</v>
      </c>
      <c r="E598" s="130" t="s">
        <v>10178</v>
      </c>
      <c r="F598" s="130" t="s">
        <v>10178</v>
      </c>
      <c r="G598" s="130" t="s">
        <v>10178</v>
      </c>
      <c r="H598" s="130" t="s">
        <v>10178</v>
      </c>
      <c r="I598" s="130" t="s">
        <v>10178</v>
      </c>
      <c r="J598" s="130" t="s">
        <v>10178</v>
      </c>
    </row>
    <row r="599">
      <c r="A599" s="191"/>
      <c r="B599" s="130" t="s">
        <v>10178</v>
      </c>
      <c r="C599" s="130" t="s">
        <v>10178</v>
      </c>
      <c r="D599" s="130" t="s">
        <v>10178</v>
      </c>
      <c r="E599" s="130" t="s">
        <v>10178</v>
      </c>
      <c r="F599" s="130" t="s">
        <v>10178</v>
      </c>
      <c r="G599" s="130" t="s">
        <v>10178</v>
      </c>
      <c r="H599" s="130" t="s">
        <v>10178</v>
      </c>
      <c r="I599" s="130" t="s">
        <v>10178</v>
      </c>
      <c r="J599" s="130" t="s">
        <v>10178</v>
      </c>
    </row>
    <row r="600">
      <c r="A600" s="191"/>
      <c r="B600" s="130" t="s">
        <v>10178</v>
      </c>
      <c r="C600" s="130" t="s">
        <v>10178</v>
      </c>
      <c r="D600" s="130" t="s">
        <v>10178</v>
      </c>
      <c r="E600" s="130" t="s">
        <v>10178</v>
      </c>
      <c r="F600" s="130" t="s">
        <v>10178</v>
      </c>
      <c r="G600" s="130" t="s">
        <v>10178</v>
      </c>
      <c r="H600" s="130" t="s">
        <v>10178</v>
      </c>
      <c r="I600" s="130" t="s">
        <v>10178</v>
      </c>
      <c r="J600" s="130" t="s">
        <v>10178</v>
      </c>
    </row>
    <row r="601">
      <c r="A601" s="191"/>
      <c r="B601" s="130" t="s">
        <v>10178</v>
      </c>
      <c r="C601" s="130" t="s">
        <v>10178</v>
      </c>
      <c r="D601" s="130" t="s">
        <v>10178</v>
      </c>
      <c r="E601" s="130" t="s">
        <v>10178</v>
      </c>
      <c r="F601" s="130" t="s">
        <v>10178</v>
      </c>
      <c r="G601" s="130" t="s">
        <v>10178</v>
      </c>
      <c r="H601" s="130" t="s">
        <v>10178</v>
      </c>
      <c r="I601" s="130" t="s">
        <v>10178</v>
      </c>
      <c r="J601" s="130" t="s">
        <v>10178</v>
      </c>
    </row>
    <row r="602">
      <c r="A602" s="191"/>
      <c r="B602" s="130" t="s">
        <v>10178</v>
      </c>
      <c r="C602" s="130" t="s">
        <v>10178</v>
      </c>
      <c r="D602" s="130" t="s">
        <v>10178</v>
      </c>
      <c r="E602" s="130" t="s">
        <v>10178</v>
      </c>
      <c r="F602" s="130" t="s">
        <v>10178</v>
      </c>
      <c r="G602" s="130" t="s">
        <v>10178</v>
      </c>
      <c r="H602" s="130" t="s">
        <v>10178</v>
      </c>
      <c r="I602" s="130" t="s">
        <v>10178</v>
      </c>
      <c r="J602" s="130" t="s">
        <v>10178</v>
      </c>
    </row>
    <row r="603">
      <c r="A603" s="191"/>
      <c r="B603" s="130" t="s">
        <v>10178</v>
      </c>
      <c r="C603" s="130" t="s">
        <v>10178</v>
      </c>
      <c r="D603" s="130" t="s">
        <v>10178</v>
      </c>
      <c r="E603" s="130" t="s">
        <v>10178</v>
      </c>
      <c r="F603" s="130" t="s">
        <v>10178</v>
      </c>
      <c r="G603" s="130" t="s">
        <v>10178</v>
      </c>
      <c r="H603" s="130" t="s">
        <v>10178</v>
      </c>
      <c r="I603" s="130" t="s">
        <v>10178</v>
      </c>
      <c r="J603" s="130" t="s">
        <v>10178</v>
      </c>
    </row>
    <row r="604">
      <c r="A604" s="191"/>
      <c r="B604" s="130" t="s">
        <v>10178</v>
      </c>
      <c r="C604" s="130" t="s">
        <v>10178</v>
      </c>
      <c r="D604" s="130" t="s">
        <v>10178</v>
      </c>
      <c r="E604" s="130" t="s">
        <v>10178</v>
      </c>
      <c r="F604" s="130" t="s">
        <v>10178</v>
      </c>
      <c r="G604" s="130" t="s">
        <v>10178</v>
      </c>
      <c r="H604" s="130" t="s">
        <v>10178</v>
      </c>
      <c r="I604" s="130" t="s">
        <v>10178</v>
      </c>
      <c r="J604" s="130" t="s">
        <v>10178</v>
      </c>
    </row>
    <row r="605">
      <c r="A605" s="191"/>
      <c r="B605" s="130" t="s">
        <v>10178</v>
      </c>
      <c r="C605" s="130" t="s">
        <v>10178</v>
      </c>
      <c r="D605" s="130" t="s">
        <v>10178</v>
      </c>
      <c r="E605" s="130" t="s">
        <v>10178</v>
      </c>
      <c r="F605" s="130" t="s">
        <v>10178</v>
      </c>
      <c r="G605" s="130" t="s">
        <v>10178</v>
      </c>
      <c r="H605" s="130" t="s">
        <v>10178</v>
      </c>
      <c r="I605" s="130" t="s">
        <v>10178</v>
      </c>
      <c r="J605" s="130" t="s">
        <v>10178</v>
      </c>
    </row>
    <row r="606">
      <c r="A606" s="191"/>
      <c r="B606" s="130" t="s">
        <v>10178</v>
      </c>
      <c r="C606" s="130" t="s">
        <v>10178</v>
      </c>
      <c r="D606" s="130" t="s">
        <v>10178</v>
      </c>
      <c r="E606" s="130" t="s">
        <v>10178</v>
      </c>
      <c r="F606" s="130" t="s">
        <v>10178</v>
      </c>
      <c r="G606" s="130" t="s">
        <v>10178</v>
      </c>
      <c r="H606" s="130" t="s">
        <v>10178</v>
      </c>
      <c r="I606" s="130" t="s">
        <v>10178</v>
      </c>
      <c r="J606" s="130" t="s">
        <v>10178</v>
      </c>
    </row>
    <row r="607">
      <c r="A607" s="191"/>
      <c r="B607" s="130" t="s">
        <v>10178</v>
      </c>
      <c r="C607" s="130" t="s">
        <v>10178</v>
      </c>
      <c r="D607" s="130" t="s">
        <v>10178</v>
      </c>
      <c r="E607" s="130" t="s">
        <v>10178</v>
      </c>
      <c r="F607" s="130" t="s">
        <v>10178</v>
      </c>
      <c r="G607" s="130" t="s">
        <v>10178</v>
      </c>
      <c r="H607" s="130" t="s">
        <v>10178</v>
      </c>
      <c r="I607" s="130" t="s">
        <v>10178</v>
      </c>
      <c r="J607" s="130" t="s">
        <v>10178</v>
      </c>
    </row>
    <row r="608">
      <c r="A608" s="191"/>
      <c r="B608" s="130" t="s">
        <v>10178</v>
      </c>
      <c r="C608" s="130" t="s">
        <v>10178</v>
      </c>
      <c r="D608" s="130" t="s">
        <v>10178</v>
      </c>
      <c r="E608" s="130" t="s">
        <v>10178</v>
      </c>
      <c r="F608" s="130" t="s">
        <v>10178</v>
      </c>
      <c r="G608" s="130" t="s">
        <v>10178</v>
      </c>
      <c r="H608" s="130" t="s">
        <v>10178</v>
      </c>
      <c r="I608" s="130" t="s">
        <v>10178</v>
      </c>
      <c r="J608" s="130" t="s">
        <v>10178</v>
      </c>
    </row>
    <row r="609">
      <c r="A609" s="191"/>
      <c r="B609" s="130" t="s">
        <v>10178</v>
      </c>
      <c r="C609" s="130" t="s">
        <v>10178</v>
      </c>
      <c r="D609" s="130" t="s">
        <v>10178</v>
      </c>
      <c r="E609" s="130" t="s">
        <v>10178</v>
      </c>
      <c r="F609" s="130" t="s">
        <v>10178</v>
      </c>
      <c r="G609" s="130" t="s">
        <v>10178</v>
      </c>
      <c r="H609" s="130" t="s">
        <v>10178</v>
      </c>
      <c r="I609" s="130" t="s">
        <v>10178</v>
      </c>
      <c r="J609" s="130" t="s">
        <v>10178</v>
      </c>
    </row>
    <row r="610">
      <c r="A610" s="191"/>
      <c r="B610" s="130" t="s">
        <v>10178</v>
      </c>
      <c r="C610" s="130" t="s">
        <v>10178</v>
      </c>
      <c r="D610" s="130" t="s">
        <v>10178</v>
      </c>
      <c r="E610" s="130" t="s">
        <v>10178</v>
      </c>
      <c r="F610" s="130" t="s">
        <v>10178</v>
      </c>
      <c r="G610" s="130" t="s">
        <v>10178</v>
      </c>
      <c r="H610" s="130" t="s">
        <v>10178</v>
      </c>
      <c r="I610" s="130" t="s">
        <v>10178</v>
      </c>
      <c r="J610" s="130" t="s">
        <v>10178</v>
      </c>
    </row>
    <row r="611">
      <c r="A611" s="191"/>
      <c r="B611" s="130" t="s">
        <v>10178</v>
      </c>
      <c r="C611" s="130" t="s">
        <v>10178</v>
      </c>
      <c r="D611" s="130" t="s">
        <v>10178</v>
      </c>
      <c r="E611" s="130" t="s">
        <v>10178</v>
      </c>
      <c r="F611" s="130" t="s">
        <v>10178</v>
      </c>
      <c r="G611" s="130" t="s">
        <v>10178</v>
      </c>
      <c r="H611" s="130" t="s">
        <v>10178</v>
      </c>
      <c r="I611" s="130" t="s">
        <v>10178</v>
      </c>
      <c r="J611" s="130" t="s">
        <v>10178</v>
      </c>
    </row>
    <row r="612">
      <c r="A612" s="191"/>
      <c r="B612" s="130" t="s">
        <v>10178</v>
      </c>
      <c r="C612" s="130" t="s">
        <v>10178</v>
      </c>
      <c r="D612" s="130" t="s">
        <v>10178</v>
      </c>
      <c r="E612" s="130" t="s">
        <v>10178</v>
      </c>
      <c r="F612" s="130" t="s">
        <v>10178</v>
      </c>
      <c r="G612" s="130" t="s">
        <v>10178</v>
      </c>
      <c r="H612" s="130" t="s">
        <v>10178</v>
      </c>
      <c r="I612" s="130" t="s">
        <v>10178</v>
      </c>
      <c r="J612" s="130" t="s">
        <v>10178</v>
      </c>
    </row>
    <row r="613">
      <c r="A613" s="191"/>
      <c r="B613" s="130" t="s">
        <v>10178</v>
      </c>
      <c r="C613" s="130" t="s">
        <v>10178</v>
      </c>
      <c r="D613" s="130" t="s">
        <v>10178</v>
      </c>
      <c r="E613" s="130" t="s">
        <v>10178</v>
      </c>
      <c r="F613" s="130" t="s">
        <v>10178</v>
      </c>
      <c r="G613" s="130" t="s">
        <v>10178</v>
      </c>
      <c r="H613" s="130" t="s">
        <v>10178</v>
      </c>
      <c r="I613" s="130" t="s">
        <v>10178</v>
      </c>
      <c r="J613" s="130" t="s">
        <v>10178</v>
      </c>
    </row>
    <row r="614">
      <c r="A614" s="191"/>
      <c r="B614" s="130" t="s">
        <v>10178</v>
      </c>
      <c r="C614" s="130" t="s">
        <v>10178</v>
      </c>
      <c r="D614" s="130" t="s">
        <v>10178</v>
      </c>
      <c r="E614" s="130" t="s">
        <v>10178</v>
      </c>
      <c r="F614" s="130" t="s">
        <v>10178</v>
      </c>
      <c r="G614" s="130" t="s">
        <v>10178</v>
      </c>
      <c r="H614" s="130" t="s">
        <v>10178</v>
      </c>
      <c r="I614" s="130" t="s">
        <v>10178</v>
      </c>
      <c r="J614" s="130" t="s">
        <v>10178</v>
      </c>
    </row>
    <row r="615">
      <c r="A615" s="191"/>
      <c r="B615" s="130" t="s">
        <v>10178</v>
      </c>
      <c r="C615" s="130" t="s">
        <v>10178</v>
      </c>
      <c r="D615" s="130" t="s">
        <v>10178</v>
      </c>
      <c r="E615" s="130" t="s">
        <v>10178</v>
      </c>
      <c r="F615" s="130" t="s">
        <v>10178</v>
      </c>
      <c r="G615" s="130" t="s">
        <v>10178</v>
      </c>
      <c r="H615" s="130" t="s">
        <v>10178</v>
      </c>
      <c r="I615" s="130" t="s">
        <v>10178</v>
      </c>
      <c r="J615" s="130" t="s">
        <v>10178</v>
      </c>
    </row>
    <row r="616">
      <c r="A616" s="191"/>
      <c r="B616" s="130" t="s">
        <v>10178</v>
      </c>
      <c r="C616" s="130" t="s">
        <v>10178</v>
      </c>
      <c r="D616" s="130" t="s">
        <v>10178</v>
      </c>
      <c r="E616" s="130" t="s">
        <v>10178</v>
      </c>
      <c r="F616" s="130" t="s">
        <v>10178</v>
      </c>
      <c r="G616" s="130" t="s">
        <v>10178</v>
      </c>
      <c r="H616" s="130" t="s">
        <v>10178</v>
      </c>
      <c r="I616" s="130" t="s">
        <v>10178</v>
      </c>
      <c r="J616" s="130" t="s">
        <v>10178</v>
      </c>
    </row>
    <row r="617">
      <c r="A617" s="191"/>
      <c r="B617" s="130" t="s">
        <v>10178</v>
      </c>
      <c r="C617" s="130" t="s">
        <v>10178</v>
      </c>
      <c r="D617" s="130" t="s">
        <v>10178</v>
      </c>
      <c r="E617" s="130" t="s">
        <v>10178</v>
      </c>
      <c r="F617" s="130" t="s">
        <v>10178</v>
      </c>
      <c r="G617" s="130" t="s">
        <v>10178</v>
      </c>
      <c r="H617" s="130" t="s">
        <v>10178</v>
      </c>
      <c r="I617" s="130" t="s">
        <v>10178</v>
      </c>
      <c r="J617" s="130" t="s">
        <v>10178</v>
      </c>
    </row>
    <row r="618">
      <c r="A618" s="191"/>
      <c r="B618" s="130" t="s">
        <v>10178</v>
      </c>
      <c r="C618" s="130" t="s">
        <v>10178</v>
      </c>
      <c r="D618" s="130" t="s">
        <v>10178</v>
      </c>
      <c r="E618" s="130" t="s">
        <v>10178</v>
      </c>
      <c r="F618" s="130" t="s">
        <v>10178</v>
      </c>
      <c r="G618" s="130" t="s">
        <v>10178</v>
      </c>
      <c r="H618" s="130" t="s">
        <v>10178</v>
      </c>
      <c r="I618" s="130" t="s">
        <v>10178</v>
      </c>
      <c r="J618" s="130" t="s">
        <v>10178</v>
      </c>
    </row>
    <row r="619">
      <c r="A619" s="191"/>
      <c r="B619" s="130" t="s">
        <v>10178</v>
      </c>
      <c r="C619" s="130" t="s">
        <v>10178</v>
      </c>
      <c r="D619" s="130" t="s">
        <v>10178</v>
      </c>
      <c r="E619" s="130" t="s">
        <v>10178</v>
      </c>
      <c r="F619" s="130" t="s">
        <v>10178</v>
      </c>
      <c r="G619" s="130" t="s">
        <v>10178</v>
      </c>
      <c r="H619" s="130" t="s">
        <v>10178</v>
      </c>
      <c r="I619" s="130" t="s">
        <v>10178</v>
      </c>
      <c r="J619" s="130" t="s">
        <v>10178</v>
      </c>
    </row>
    <row r="620">
      <c r="A620" s="191"/>
      <c r="B620" s="130" t="s">
        <v>10178</v>
      </c>
      <c r="C620" s="130" t="s">
        <v>10178</v>
      </c>
      <c r="D620" s="130" t="s">
        <v>10178</v>
      </c>
      <c r="E620" s="130" t="s">
        <v>10178</v>
      </c>
      <c r="F620" s="130" t="s">
        <v>10178</v>
      </c>
      <c r="G620" s="130" t="s">
        <v>10178</v>
      </c>
      <c r="H620" s="130" t="s">
        <v>10178</v>
      </c>
      <c r="I620" s="130" t="s">
        <v>10178</v>
      </c>
      <c r="J620" s="130" t="s">
        <v>10178</v>
      </c>
    </row>
    <row r="621">
      <c r="A621" s="191"/>
      <c r="B621" s="130" t="s">
        <v>10178</v>
      </c>
      <c r="C621" s="130" t="s">
        <v>10178</v>
      </c>
      <c r="D621" s="130" t="s">
        <v>10178</v>
      </c>
      <c r="E621" s="130" t="s">
        <v>10178</v>
      </c>
      <c r="F621" s="130" t="s">
        <v>10178</v>
      </c>
      <c r="G621" s="130" t="s">
        <v>10178</v>
      </c>
      <c r="H621" s="130" t="s">
        <v>10178</v>
      </c>
      <c r="I621" s="130" t="s">
        <v>10178</v>
      </c>
      <c r="J621" s="130" t="s">
        <v>10178</v>
      </c>
    </row>
    <row r="622">
      <c r="A622" s="191"/>
      <c r="B622" s="130" t="s">
        <v>10178</v>
      </c>
      <c r="C622" s="130" t="s">
        <v>10178</v>
      </c>
      <c r="D622" s="130" t="s">
        <v>10178</v>
      </c>
      <c r="E622" s="130" t="s">
        <v>10178</v>
      </c>
      <c r="F622" s="130" t="s">
        <v>10178</v>
      </c>
      <c r="G622" s="130" t="s">
        <v>10178</v>
      </c>
      <c r="H622" s="130" t="s">
        <v>10178</v>
      </c>
      <c r="I622" s="130" t="s">
        <v>10178</v>
      </c>
      <c r="J622" s="130" t="s">
        <v>10178</v>
      </c>
    </row>
    <row r="623">
      <c r="A623" s="191"/>
      <c r="B623" s="130" t="s">
        <v>10178</v>
      </c>
      <c r="C623" s="130" t="s">
        <v>10178</v>
      </c>
      <c r="D623" s="130" t="s">
        <v>10178</v>
      </c>
      <c r="E623" s="130" t="s">
        <v>10178</v>
      </c>
      <c r="F623" s="130" t="s">
        <v>10178</v>
      </c>
      <c r="G623" s="130" t="s">
        <v>10178</v>
      </c>
      <c r="H623" s="130" t="s">
        <v>10178</v>
      </c>
      <c r="I623" s="130" t="s">
        <v>10178</v>
      </c>
      <c r="J623" s="130" t="s">
        <v>10178</v>
      </c>
    </row>
    <row r="624">
      <c r="A624" s="191"/>
      <c r="B624" s="130" t="s">
        <v>10178</v>
      </c>
      <c r="C624" s="130" t="s">
        <v>10178</v>
      </c>
      <c r="D624" s="130" t="s">
        <v>10178</v>
      </c>
      <c r="E624" s="130" t="s">
        <v>10178</v>
      </c>
      <c r="F624" s="130" t="s">
        <v>10178</v>
      </c>
      <c r="G624" s="130" t="s">
        <v>10178</v>
      </c>
      <c r="H624" s="130" t="s">
        <v>10178</v>
      </c>
      <c r="I624" s="130" t="s">
        <v>10178</v>
      </c>
      <c r="J624" s="130" t="s">
        <v>10178</v>
      </c>
    </row>
    <row r="625">
      <c r="A625" s="191"/>
      <c r="B625" s="130" t="s">
        <v>10178</v>
      </c>
      <c r="C625" s="130" t="s">
        <v>10178</v>
      </c>
      <c r="D625" s="130" t="s">
        <v>10178</v>
      </c>
      <c r="E625" s="130" t="s">
        <v>10178</v>
      </c>
      <c r="F625" s="130" t="s">
        <v>10178</v>
      </c>
      <c r="G625" s="130" t="s">
        <v>10178</v>
      </c>
      <c r="H625" s="130" t="s">
        <v>10178</v>
      </c>
      <c r="I625" s="130" t="s">
        <v>10178</v>
      </c>
      <c r="J625" s="130" t="s">
        <v>10178</v>
      </c>
    </row>
    <row r="626">
      <c r="A626" s="191"/>
      <c r="B626" s="130" t="s">
        <v>10178</v>
      </c>
      <c r="C626" s="130" t="s">
        <v>10178</v>
      </c>
      <c r="D626" s="130" t="s">
        <v>10178</v>
      </c>
      <c r="E626" s="130" t="s">
        <v>10178</v>
      </c>
      <c r="F626" s="130" t="s">
        <v>10178</v>
      </c>
      <c r="G626" s="130" t="s">
        <v>10178</v>
      </c>
      <c r="H626" s="130" t="s">
        <v>10178</v>
      </c>
      <c r="I626" s="130" t="s">
        <v>10178</v>
      </c>
      <c r="J626" s="130" t="s">
        <v>10178</v>
      </c>
    </row>
    <row r="627">
      <c r="A627" s="191"/>
      <c r="B627" s="130" t="s">
        <v>10178</v>
      </c>
      <c r="C627" s="130" t="s">
        <v>10178</v>
      </c>
      <c r="D627" s="130" t="s">
        <v>10178</v>
      </c>
      <c r="E627" s="130" t="s">
        <v>10178</v>
      </c>
      <c r="F627" s="130" t="s">
        <v>10178</v>
      </c>
      <c r="G627" s="130" t="s">
        <v>10178</v>
      </c>
      <c r="H627" s="130" t="s">
        <v>10178</v>
      </c>
      <c r="I627" s="130" t="s">
        <v>10178</v>
      </c>
      <c r="J627" s="130" t="s">
        <v>10178</v>
      </c>
    </row>
    <row r="628">
      <c r="A628" s="191"/>
      <c r="B628" s="130" t="s">
        <v>10178</v>
      </c>
      <c r="C628" s="130" t="s">
        <v>10178</v>
      </c>
      <c r="D628" s="130" t="s">
        <v>10178</v>
      </c>
      <c r="E628" s="130" t="s">
        <v>10178</v>
      </c>
      <c r="F628" s="130" t="s">
        <v>10178</v>
      </c>
      <c r="G628" s="130" t="s">
        <v>10178</v>
      </c>
      <c r="H628" s="130" t="s">
        <v>10178</v>
      </c>
      <c r="I628" s="130" t="s">
        <v>10178</v>
      </c>
      <c r="J628" s="130" t="s">
        <v>10178</v>
      </c>
    </row>
    <row r="629">
      <c r="A629" s="191"/>
      <c r="B629" s="130" t="s">
        <v>10178</v>
      </c>
      <c r="C629" s="130" t="s">
        <v>10178</v>
      </c>
      <c r="D629" s="130" t="s">
        <v>10178</v>
      </c>
      <c r="E629" s="130" t="s">
        <v>10178</v>
      </c>
      <c r="F629" s="130" t="s">
        <v>10178</v>
      </c>
      <c r="G629" s="130" t="s">
        <v>10178</v>
      </c>
      <c r="H629" s="130" t="s">
        <v>10178</v>
      </c>
      <c r="I629" s="130" t="s">
        <v>10178</v>
      </c>
      <c r="J629" s="130" t="s">
        <v>10178</v>
      </c>
    </row>
    <row r="630">
      <c r="A630" s="191"/>
      <c r="B630" s="130" t="s">
        <v>10178</v>
      </c>
      <c r="C630" s="130" t="s">
        <v>10178</v>
      </c>
      <c r="D630" s="130" t="s">
        <v>10178</v>
      </c>
      <c r="E630" s="130" t="s">
        <v>10178</v>
      </c>
      <c r="F630" s="130" t="s">
        <v>10178</v>
      </c>
      <c r="G630" s="130" t="s">
        <v>10178</v>
      </c>
      <c r="H630" s="130" t="s">
        <v>10178</v>
      </c>
      <c r="I630" s="130" t="s">
        <v>10178</v>
      </c>
      <c r="J630" s="130" t="s">
        <v>10178</v>
      </c>
    </row>
    <row r="631">
      <c r="A631" s="191"/>
      <c r="B631" s="130" t="s">
        <v>10178</v>
      </c>
      <c r="C631" s="130" t="s">
        <v>10178</v>
      </c>
      <c r="D631" s="130" t="s">
        <v>10178</v>
      </c>
      <c r="E631" s="130" t="s">
        <v>10178</v>
      </c>
      <c r="F631" s="130" t="s">
        <v>10178</v>
      </c>
      <c r="G631" s="130" t="s">
        <v>10178</v>
      </c>
      <c r="H631" s="130" t="s">
        <v>10178</v>
      </c>
      <c r="I631" s="130" t="s">
        <v>10178</v>
      </c>
      <c r="J631" s="130" t="s">
        <v>10178</v>
      </c>
    </row>
    <row r="632">
      <c r="A632" s="191"/>
      <c r="B632" s="130" t="s">
        <v>10178</v>
      </c>
      <c r="C632" s="130" t="s">
        <v>10178</v>
      </c>
      <c r="D632" s="130" t="s">
        <v>10178</v>
      </c>
      <c r="E632" s="130" t="s">
        <v>10178</v>
      </c>
      <c r="F632" s="130" t="s">
        <v>10178</v>
      </c>
      <c r="G632" s="130" t="s">
        <v>10178</v>
      </c>
      <c r="H632" s="130" t="s">
        <v>10178</v>
      </c>
      <c r="I632" s="130" t="s">
        <v>10178</v>
      </c>
      <c r="J632" s="130" t="s">
        <v>10178</v>
      </c>
    </row>
    <row r="633">
      <c r="A633" s="191"/>
      <c r="B633" s="130" t="s">
        <v>10178</v>
      </c>
      <c r="C633" s="130" t="s">
        <v>10178</v>
      </c>
      <c r="D633" s="130" t="s">
        <v>10178</v>
      </c>
      <c r="E633" s="130" t="s">
        <v>10178</v>
      </c>
      <c r="F633" s="130" t="s">
        <v>10178</v>
      </c>
      <c r="G633" s="130" t="s">
        <v>10178</v>
      </c>
      <c r="H633" s="130" t="s">
        <v>10178</v>
      </c>
      <c r="I633" s="130" t="s">
        <v>10178</v>
      </c>
      <c r="J633" s="130" t="s">
        <v>10178</v>
      </c>
    </row>
    <row r="634">
      <c r="A634" s="191"/>
      <c r="B634" s="130" t="s">
        <v>10178</v>
      </c>
      <c r="C634" s="130" t="s">
        <v>10178</v>
      </c>
      <c r="D634" s="130" t="s">
        <v>10178</v>
      </c>
      <c r="E634" s="130" t="s">
        <v>10178</v>
      </c>
      <c r="F634" s="130" t="s">
        <v>10178</v>
      </c>
      <c r="G634" s="130" t="s">
        <v>10178</v>
      </c>
      <c r="H634" s="130" t="s">
        <v>10178</v>
      </c>
      <c r="I634" s="130" t="s">
        <v>10178</v>
      </c>
      <c r="J634" s="130" t="s">
        <v>10178</v>
      </c>
    </row>
    <row r="635">
      <c r="A635" s="191"/>
      <c r="B635" s="130" t="s">
        <v>10178</v>
      </c>
      <c r="C635" s="130" t="s">
        <v>10178</v>
      </c>
      <c r="D635" s="130" t="s">
        <v>10178</v>
      </c>
      <c r="E635" s="130" t="s">
        <v>10178</v>
      </c>
      <c r="F635" s="130" t="s">
        <v>10178</v>
      </c>
      <c r="G635" s="130" t="s">
        <v>10178</v>
      </c>
      <c r="H635" s="130" t="s">
        <v>10178</v>
      </c>
      <c r="I635" s="130" t="s">
        <v>10178</v>
      </c>
      <c r="J635" s="130" t="s">
        <v>10178</v>
      </c>
    </row>
    <row r="636">
      <c r="A636" s="191"/>
      <c r="B636" s="130" t="s">
        <v>10178</v>
      </c>
      <c r="C636" s="130" t="s">
        <v>10178</v>
      </c>
      <c r="D636" s="130" t="s">
        <v>10178</v>
      </c>
      <c r="E636" s="130" t="s">
        <v>10178</v>
      </c>
      <c r="F636" s="130" t="s">
        <v>10178</v>
      </c>
      <c r="G636" s="130" t="s">
        <v>10178</v>
      </c>
      <c r="H636" s="130" t="s">
        <v>10178</v>
      </c>
      <c r="I636" s="130" t="s">
        <v>10178</v>
      </c>
      <c r="J636" s="130" t="s">
        <v>10178</v>
      </c>
    </row>
    <row r="637">
      <c r="A637" s="191"/>
      <c r="B637" s="130" t="s">
        <v>10178</v>
      </c>
      <c r="C637" s="130" t="s">
        <v>10178</v>
      </c>
      <c r="D637" s="130" t="s">
        <v>10178</v>
      </c>
      <c r="E637" s="130" t="s">
        <v>10178</v>
      </c>
      <c r="F637" s="130" t="s">
        <v>10178</v>
      </c>
      <c r="G637" s="130" t="s">
        <v>10178</v>
      </c>
      <c r="H637" s="130" t="s">
        <v>10178</v>
      </c>
      <c r="I637" s="130" t="s">
        <v>10178</v>
      </c>
      <c r="J637" s="130" t="s">
        <v>10178</v>
      </c>
    </row>
    <row r="638">
      <c r="A638" s="191"/>
      <c r="B638" s="130" t="s">
        <v>10178</v>
      </c>
      <c r="C638" s="130" t="s">
        <v>10178</v>
      </c>
      <c r="D638" s="130" t="s">
        <v>10178</v>
      </c>
      <c r="E638" s="130" t="s">
        <v>10178</v>
      </c>
      <c r="F638" s="130" t="s">
        <v>10178</v>
      </c>
      <c r="G638" s="130" t="s">
        <v>10178</v>
      </c>
      <c r="H638" s="130" t="s">
        <v>10178</v>
      </c>
      <c r="I638" s="130" t="s">
        <v>10178</v>
      </c>
      <c r="J638" s="130" t="s">
        <v>10178</v>
      </c>
    </row>
    <row r="639">
      <c r="A639" s="191"/>
      <c r="B639" s="130" t="s">
        <v>10178</v>
      </c>
      <c r="C639" s="130" t="s">
        <v>10178</v>
      </c>
      <c r="D639" s="130" t="s">
        <v>10178</v>
      </c>
      <c r="E639" s="130" t="s">
        <v>10178</v>
      </c>
      <c r="F639" s="130" t="s">
        <v>10178</v>
      </c>
      <c r="G639" s="130" t="s">
        <v>10178</v>
      </c>
      <c r="H639" s="130" t="s">
        <v>10178</v>
      </c>
      <c r="I639" s="130" t="s">
        <v>10178</v>
      </c>
      <c r="J639" s="130" t="s">
        <v>10178</v>
      </c>
    </row>
    <row r="640">
      <c r="A640" s="191"/>
      <c r="B640" s="130" t="s">
        <v>10178</v>
      </c>
      <c r="C640" s="130" t="s">
        <v>10178</v>
      </c>
      <c r="D640" s="130" t="s">
        <v>10178</v>
      </c>
      <c r="E640" s="130" t="s">
        <v>10178</v>
      </c>
      <c r="F640" s="130" t="s">
        <v>10178</v>
      </c>
      <c r="G640" s="130" t="s">
        <v>10178</v>
      </c>
      <c r="H640" s="130" t="s">
        <v>10178</v>
      </c>
      <c r="I640" s="130" t="s">
        <v>10178</v>
      </c>
      <c r="J640" s="130" t="s">
        <v>10178</v>
      </c>
    </row>
    <row r="641">
      <c r="A641" s="191"/>
      <c r="B641" s="130" t="s">
        <v>10178</v>
      </c>
      <c r="C641" s="130" t="s">
        <v>10178</v>
      </c>
      <c r="D641" s="130" t="s">
        <v>10178</v>
      </c>
      <c r="E641" s="130" t="s">
        <v>10178</v>
      </c>
      <c r="F641" s="130" t="s">
        <v>10178</v>
      </c>
      <c r="G641" s="130" t="s">
        <v>10178</v>
      </c>
      <c r="H641" s="130" t="s">
        <v>10178</v>
      </c>
      <c r="I641" s="130" t="s">
        <v>10178</v>
      </c>
      <c r="J641" s="130" t="s">
        <v>10178</v>
      </c>
    </row>
    <row r="642">
      <c r="A642" s="191"/>
      <c r="B642" s="130" t="s">
        <v>10178</v>
      </c>
      <c r="C642" s="130" t="s">
        <v>10178</v>
      </c>
      <c r="D642" s="130" t="s">
        <v>10178</v>
      </c>
      <c r="E642" s="130" t="s">
        <v>10178</v>
      </c>
      <c r="F642" s="130" t="s">
        <v>10178</v>
      </c>
      <c r="G642" s="130" t="s">
        <v>10178</v>
      </c>
      <c r="H642" s="130" t="s">
        <v>10178</v>
      </c>
      <c r="I642" s="130" t="s">
        <v>10178</v>
      </c>
      <c r="J642" s="130" t="s">
        <v>10178</v>
      </c>
    </row>
    <row r="643">
      <c r="A643" s="191"/>
      <c r="B643" s="130" t="s">
        <v>10178</v>
      </c>
      <c r="C643" s="130" t="s">
        <v>10178</v>
      </c>
      <c r="D643" s="130" t="s">
        <v>10178</v>
      </c>
      <c r="E643" s="130" t="s">
        <v>10178</v>
      </c>
      <c r="F643" s="130" t="s">
        <v>10178</v>
      </c>
      <c r="G643" s="130" t="s">
        <v>10178</v>
      </c>
      <c r="H643" s="130" t="s">
        <v>10178</v>
      </c>
      <c r="I643" s="130" t="s">
        <v>10178</v>
      </c>
      <c r="J643" s="130" t="s">
        <v>10178</v>
      </c>
    </row>
    <row r="644">
      <c r="A644" s="191"/>
      <c r="B644" s="130" t="s">
        <v>10178</v>
      </c>
      <c r="C644" s="130" t="s">
        <v>10178</v>
      </c>
      <c r="D644" s="130" t="s">
        <v>10178</v>
      </c>
      <c r="E644" s="130" t="s">
        <v>10178</v>
      </c>
      <c r="F644" s="130" t="s">
        <v>10178</v>
      </c>
      <c r="G644" s="130" t="s">
        <v>10178</v>
      </c>
      <c r="H644" s="130" t="s">
        <v>10178</v>
      </c>
      <c r="I644" s="130" t="s">
        <v>10178</v>
      </c>
      <c r="J644" s="130" t="s">
        <v>10178</v>
      </c>
    </row>
    <row r="645">
      <c r="A645" s="191"/>
      <c r="B645" s="130" t="s">
        <v>10178</v>
      </c>
      <c r="C645" s="130" t="s">
        <v>10178</v>
      </c>
      <c r="D645" s="130" t="s">
        <v>10178</v>
      </c>
      <c r="E645" s="130" t="s">
        <v>10178</v>
      </c>
      <c r="F645" s="130" t="s">
        <v>10178</v>
      </c>
      <c r="G645" s="130" t="s">
        <v>10178</v>
      </c>
      <c r="H645" s="130" t="s">
        <v>10178</v>
      </c>
      <c r="I645" s="130" t="s">
        <v>10178</v>
      </c>
      <c r="J645" s="130" t="s">
        <v>10178</v>
      </c>
    </row>
    <row r="646">
      <c r="A646" s="191"/>
      <c r="B646" s="130" t="s">
        <v>10178</v>
      </c>
      <c r="C646" s="130" t="s">
        <v>10178</v>
      </c>
      <c r="D646" s="130" t="s">
        <v>10178</v>
      </c>
      <c r="E646" s="130" t="s">
        <v>10178</v>
      </c>
      <c r="F646" s="130" t="s">
        <v>10178</v>
      </c>
      <c r="G646" s="130" t="s">
        <v>10178</v>
      </c>
      <c r="H646" s="130" t="s">
        <v>10178</v>
      </c>
      <c r="I646" s="130" t="s">
        <v>10178</v>
      </c>
      <c r="J646" s="130" t="s">
        <v>10178</v>
      </c>
    </row>
    <row r="647">
      <c r="A647" s="191"/>
      <c r="B647" s="130" t="s">
        <v>10178</v>
      </c>
      <c r="C647" s="130" t="s">
        <v>10178</v>
      </c>
      <c r="D647" s="130" t="s">
        <v>10178</v>
      </c>
      <c r="E647" s="130" t="s">
        <v>10178</v>
      </c>
      <c r="F647" s="130" t="s">
        <v>10178</v>
      </c>
      <c r="G647" s="130" t="s">
        <v>10178</v>
      </c>
      <c r="H647" s="130" t="s">
        <v>10178</v>
      </c>
      <c r="I647" s="130" t="s">
        <v>10178</v>
      </c>
      <c r="J647" s="130" t="s">
        <v>10178</v>
      </c>
    </row>
    <row r="648">
      <c r="A648" s="191"/>
      <c r="B648" s="130" t="s">
        <v>10178</v>
      </c>
      <c r="C648" s="130" t="s">
        <v>10178</v>
      </c>
      <c r="D648" s="130" t="s">
        <v>10178</v>
      </c>
      <c r="E648" s="130" t="s">
        <v>10178</v>
      </c>
      <c r="F648" s="130" t="s">
        <v>10178</v>
      </c>
      <c r="G648" s="130" t="s">
        <v>10178</v>
      </c>
      <c r="H648" s="130" t="s">
        <v>10178</v>
      </c>
      <c r="I648" s="130" t="s">
        <v>10178</v>
      </c>
      <c r="J648" s="130" t="s">
        <v>10178</v>
      </c>
    </row>
    <row r="649">
      <c r="A649" s="191"/>
      <c r="B649" s="130" t="s">
        <v>10178</v>
      </c>
      <c r="C649" s="130" t="s">
        <v>10178</v>
      </c>
      <c r="D649" s="130" t="s">
        <v>10178</v>
      </c>
      <c r="E649" s="130" t="s">
        <v>10178</v>
      </c>
      <c r="F649" s="130" t="s">
        <v>10178</v>
      </c>
      <c r="G649" s="130" t="s">
        <v>10178</v>
      </c>
      <c r="H649" s="130" t="s">
        <v>10178</v>
      </c>
      <c r="I649" s="130" t="s">
        <v>10178</v>
      </c>
      <c r="J649" s="130" t="s">
        <v>10178</v>
      </c>
    </row>
    <row r="650">
      <c r="A650" s="191"/>
      <c r="B650" s="130" t="s">
        <v>10178</v>
      </c>
      <c r="C650" s="130" t="s">
        <v>10178</v>
      </c>
      <c r="D650" s="130" t="s">
        <v>10178</v>
      </c>
      <c r="E650" s="130" t="s">
        <v>10178</v>
      </c>
      <c r="F650" s="130" t="s">
        <v>10178</v>
      </c>
      <c r="G650" s="130" t="s">
        <v>10178</v>
      </c>
      <c r="H650" s="130" t="s">
        <v>10178</v>
      </c>
      <c r="I650" s="130" t="s">
        <v>10178</v>
      </c>
      <c r="J650" s="130" t="s">
        <v>10178</v>
      </c>
    </row>
    <row r="651">
      <c r="A651" s="191"/>
      <c r="B651" s="130" t="s">
        <v>10178</v>
      </c>
      <c r="C651" s="130" t="s">
        <v>10178</v>
      </c>
      <c r="D651" s="130" t="s">
        <v>10178</v>
      </c>
      <c r="E651" s="130" t="s">
        <v>10178</v>
      </c>
      <c r="F651" s="130" t="s">
        <v>10178</v>
      </c>
      <c r="G651" s="130" t="s">
        <v>10178</v>
      </c>
      <c r="H651" s="130" t="s">
        <v>10178</v>
      </c>
      <c r="I651" s="130" t="s">
        <v>10178</v>
      </c>
      <c r="J651" s="130" t="s">
        <v>10178</v>
      </c>
    </row>
    <row r="652">
      <c r="A652" s="191"/>
      <c r="B652" s="130" t="s">
        <v>10178</v>
      </c>
      <c r="C652" s="130" t="s">
        <v>10178</v>
      </c>
      <c r="D652" s="130" t="s">
        <v>10178</v>
      </c>
      <c r="E652" s="130" t="s">
        <v>10178</v>
      </c>
      <c r="F652" s="130" t="s">
        <v>10178</v>
      </c>
      <c r="G652" s="130" t="s">
        <v>10178</v>
      </c>
      <c r="H652" s="130" t="s">
        <v>10178</v>
      </c>
      <c r="I652" s="130" t="s">
        <v>10178</v>
      </c>
      <c r="J652" s="130" t="s">
        <v>10178</v>
      </c>
    </row>
    <row r="653">
      <c r="A653" s="191"/>
      <c r="B653" s="130" t="s">
        <v>10178</v>
      </c>
      <c r="C653" s="130" t="s">
        <v>10178</v>
      </c>
      <c r="D653" s="130" t="s">
        <v>10178</v>
      </c>
      <c r="E653" s="130" t="s">
        <v>10178</v>
      </c>
      <c r="F653" s="130" t="s">
        <v>10178</v>
      </c>
      <c r="G653" s="130" t="s">
        <v>10178</v>
      </c>
      <c r="H653" s="130" t="s">
        <v>10178</v>
      </c>
      <c r="I653" s="130" t="s">
        <v>10178</v>
      </c>
      <c r="J653" s="130" t="s">
        <v>10178</v>
      </c>
    </row>
    <row r="654">
      <c r="A654" s="191"/>
      <c r="B654" s="130" t="s">
        <v>10178</v>
      </c>
      <c r="C654" s="130" t="s">
        <v>10178</v>
      </c>
      <c r="D654" s="130" t="s">
        <v>10178</v>
      </c>
      <c r="E654" s="130" t="s">
        <v>10178</v>
      </c>
      <c r="F654" s="130" t="s">
        <v>10178</v>
      </c>
      <c r="G654" s="130" t="s">
        <v>10178</v>
      </c>
      <c r="H654" s="130" t="s">
        <v>10178</v>
      </c>
      <c r="I654" s="130" t="s">
        <v>10178</v>
      </c>
      <c r="J654" s="130" t="s">
        <v>10178</v>
      </c>
    </row>
    <row r="655">
      <c r="A655" s="191"/>
      <c r="B655" s="130" t="s">
        <v>10178</v>
      </c>
      <c r="C655" s="130" t="s">
        <v>10178</v>
      </c>
      <c r="D655" s="130" t="s">
        <v>10178</v>
      </c>
      <c r="E655" s="130" t="s">
        <v>10178</v>
      </c>
      <c r="F655" s="130" t="s">
        <v>10178</v>
      </c>
      <c r="G655" s="130" t="s">
        <v>10178</v>
      </c>
      <c r="H655" s="130" t="s">
        <v>10178</v>
      </c>
      <c r="I655" s="130" t="s">
        <v>10178</v>
      </c>
      <c r="J655" s="130" t="s">
        <v>10178</v>
      </c>
    </row>
    <row r="656">
      <c r="A656" s="191"/>
      <c r="B656" s="130" t="s">
        <v>10178</v>
      </c>
      <c r="C656" s="130" t="s">
        <v>10178</v>
      </c>
      <c r="D656" s="130" t="s">
        <v>10178</v>
      </c>
      <c r="E656" s="130" t="s">
        <v>10178</v>
      </c>
      <c r="F656" s="130" t="s">
        <v>10178</v>
      </c>
      <c r="G656" s="130" t="s">
        <v>10178</v>
      </c>
      <c r="H656" s="130" t="s">
        <v>10178</v>
      </c>
      <c r="I656" s="130" t="s">
        <v>10178</v>
      </c>
      <c r="J656" s="130" t="s">
        <v>10178</v>
      </c>
    </row>
    <row r="657">
      <c r="A657" s="191"/>
      <c r="B657" s="130" t="s">
        <v>10178</v>
      </c>
      <c r="C657" s="130" t="s">
        <v>10178</v>
      </c>
      <c r="D657" s="130" t="s">
        <v>10178</v>
      </c>
      <c r="E657" s="130" t="s">
        <v>10178</v>
      </c>
      <c r="F657" s="130" t="s">
        <v>10178</v>
      </c>
      <c r="G657" s="130" t="s">
        <v>10178</v>
      </c>
      <c r="H657" s="130" t="s">
        <v>10178</v>
      </c>
      <c r="I657" s="130" t="s">
        <v>10178</v>
      </c>
      <c r="J657" s="130" t="s">
        <v>10178</v>
      </c>
    </row>
    <row r="658">
      <c r="A658" s="191"/>
      <c r="B658" s="130" t="s">
        <v>10178</v>
      </c>
      <c r="C658" s="130" t="s">
        <v>10178</v>
      </c>
      <c r="D658" s="130" t="s">
        <v>10178</v>
      </c>
      <c r="E658" s="130" t="s">
        <v>10178</v>
      </c>
      <c r="F658" s="130" t="s">
        <v>10178</v>
      </c>
      <c r="G658" s="130" t="s">
        <v>10178</v>
      </c>
      <c r="H658" s="130" t="s">
        <v>10178</v>
      </c>
      <c r="I658" s="130" t="s">
        <v>10178</v>
      </c>
      <c r="J658" s="130" t="s">
        <v>10178</v>
      </c>
    </row>
    <row r="659">
      <c r="A659" s="191"/>
      <c r="B659" s="130" t="s">
        <v>10178</v>
      </c>
      <c r="C659" s="130" t="s">
        <v>10178</v>
      </c>
      <c r="D659" s="130" t="s">
        <v>10178</v>
      </c>
      <c r="E659" s="130" t="s">
        <v>10178</v>
      </c>
      <c r="F659" s="130" t="s">
        <v>10178</v>
      </c>
      <c r="G659" s="130" t="s">
        <v>10178</v>
      </c>
      <c r="H659" s="130" t="s">
        <v>10178</v>
      </c>
      <c r="I659" s="130" t="s">
        <v>10178</v>
      </c>
      <c r="J659" s="130" t="s">
        <v>10178</v>
      </c>
    </row>
    <row r="660">
      <c r="A660" s="191"/>
      <c r="B660" s="130" t="s">
        <v>10178</v>
      </c>
      <c r="C660" s="130" t="s">
        <v>10178</v>
      </c>
      <c r="D660" s="130" t="s">
        <v>10178</v>
      </c>
      <c r="E660" s="130" t="s">
        <v>10178</v>
      </c>
      <c r="F660" s="130" t="s">
        <v>10178</v>
      </c>
      <c r="G660" s="130" t="s">
        <v>10178</v>
      </c>
      <c r="H660" s="130" t="s">
        <v>10178</v>
      </c>
      <c r="I660" s="130" t="s">
        <v>10178</v>
      </c>
      <c r="J660" s="130" t="s">
        <v>10178</v>
      </c>
    </row>
    <row r="661">
      <c r="A661" s="191"/>
      <c r="B661" s="130" t="s">
        <v>10178</v>
      </c>
      <c r="C661" s="130" t="s">
        <v>10178</v>
      </c>
      <c r="D661" s="130" t="s">
        <v>10178</v>
      </c>
      <c r="E661" s="130" t="s">
        <v>10178</v>
      </c>
      <c r="F661" s="130" t="s">
        <v>10178</v>
      </c>
      <c r="G661" s="130" t="s">
        <v>10178</v>
      </c>
      <c r="H661" s="130" t="s">
        <v>10178</v>
      </c>
      <c r="I661" s="130" t="s">
        <v>10178</v>
      </c>
      <c r="J661" s="130" t="s">
        <v>10178</v>
      </c>
    </row>
    <row r="662">
      <c r="A662" s="191"/>
      <c r="B662" s="130" t="s">
        <v>10178</v>
      </c>
      <c r="C662" s="130" t="s">
        <v>10178</v>
      </c>
      <c r="D662" s="130" t="s">
        <v>10178</v>
      </c>
      <c r="E662" s="130" t="s">
        <v>10178</v>
      </c>
      <c r="F662" s="130" t="s">
        <v>10178</v>
      </c>
      <c r="G662" s="130" t="s">
        <v>10178</v>
      </c>
      <c r="H662" s="130" t="s">
        <v>10178</v>
      </c>
      <c r="I662" s="130" t="s">
        <v>10178</v>
      </c>
      <c r="J662" s="130" t="s">
        <v>10178</v>
      </c>
    </row>
    <row r="663">
      <c r="A663" s="191"/>
      <c r="B663" s="130" t="s">
        <v>10178</v>
      </c>
      <c r="C663" s="130" t="s">
        <v>10178</v>
      </c>
      <c r="D663" s="130" t="s">
        <v>10178</v>
      </c>
      <c r="E663" s="130" t="s">
        <v>10178</v>
      </c>
      <c r="F663" s="130" t="s">
        <v>10178</v>
      </c>
      <c r="G663" s="130" t="s">
        <v>10178</v>
      </c>
      <c r="H663" s="130" t="s">
        <v>10178</v>
      </c>
      <c r="I663" s="130" t="s">
        <v>10178</v>
      </c>
      <c r="J663" s="130" t="s">
        <v>10178</v>
      </c>
    </row>
    <row r="664">
      <c r="A664" s="191"/>
      <c r="B664" s="130" t="s">
        <v>10178</v>
      </c>
      <c r="C664" s="130" t="s">
        <v>10178</v>
      </c>
      <c r="D664" s="130" t="s">
        <v>10178</v>
      </c>
      <c r="E664" s="130" t="s">
        <v>10178</v>
      </c>
      <c r="F664" s="130" t="s">
        <v>10178</v>
      </c>
      <c r="G664" s="130" t="s">
        <v>10178</v>
      </c>
      <c r="H664" s="130" t="s">
        <v>10178</v>
      </c>
      <c r="I664" s="130" t="s">
        <v>10178</v>
      </c>
      <c r="J664" s="130" t="s">
        <v>10178</v>
      </c>
    </row>
    <row r="665">
      <c r="A665" s="191"/>
      <c r="B665" s="130" t="s">
        <v>10178</v>
      </c>
      <c r="C665" s="130" t="s">
        <v>10178</v>
      </c>
      <c r="D665" s="130" t="s">
        <v>10178</v>
      </c>
      <c r="E665" s="130" t="s">
        <v>10178</v>
      </c>
      <c r="F665" s="130" t="s">
        <v>10178</v>
      </c>
      <c r="G665" s="130" t="s">
        <v>10178</v>
      </c>
      <c r="H665" s="130" t="s">
        <v>10178</v>
      </c>
      <c r="I665" s="130" t="s">
        <v>10178</v>
      </c>
      <c r="J665" s="130" t="s">
        <v>10178</v>
      </c>
    </row>
    <row r="666">
      <c r="A666" s="191"/>
      <c r="B666" s="130" t="s">
        <v>10178</v>
      </c>
      <c r="C666" s="130" t="s">
        <v>10178</v>
      </c>
      <c r="D666" s="130" t="s">
        <v>10178</v>
      </c>
      <c r="E666" s="130" t="s">
        <v>10178</v>
      </c>
      <c r="F666" s="130" t="s">
        <v>10178</v>
      </c>
      <c r="G666" s="130" t="s">
        <v>10178</v>
      </c>
      <c r="H666" s="130" t="s">
        <v>10178</v>
      </c>
      <c r="I666" s="130" t="s">
        <v>10178</v>
      </c>
      <c r="J666" s="130" t="s">
        <v>10178</v>
      </c>
    </row>
    <row r="667">
      <c r="A667" s="191"/>
      <c r="B667" s="130" t="s">
        <v>10178</v>
      </c>
      <c r="C667" s="130" t="s">
        <v>10178</v>
      </c>
      <c r="D667" s="130" t="s">
        <v>10178</v>
      </c>
      <c r="E667" s="130" t="s">
        <v>10178</v>
      </c>
      <c r="F667" s="130" t="s">
        <v>10178</v>
      </c>
      <c r="G667" s="130" t="s">
        <v>10178</v>
      </c>
      <c r="H667" s="130" t="s">
        <v>10178</v>
      </c>
      <c r="I667" s="130" t="s">
        <v>10178</v>
      </c>
      <c r="J667" s="130" t="s">
        <v>10178</v>
      </c>
    </row>
    <row r="668">
      <c r="A668" s="191"/>
      <c r="B668" s="130" t="s">
        <v>10178</v>
      </c>
      <c r="C668" s="130" t="s">
        <v>10178</v>
      </c>
      <c r="D668" s="130" t="s">
        <v>10178</v>
      </c>
      <c r="E668" s="130" t="s">
        <v>10178</v>
      </c>
      <c r="F668" s="130" t="s">
        <v>10178</v>
      </c>
      <c r="G668" s="130" t="s">
        <v>10178</v>
      </c>
      <c r="H668" s="130" t="s">
        <v>10178</v>
      </c>
      <c r="I668" s="130" t="s">
        <v>10178</v>
      </c>
      <c r="J668" s="130" t="s">
        <v>10178</v>
      </c>
    </row>
    <row r="669">
      <c r="A669" s="191"/>
      <c r="B669" s="130" t="s">
        <v>10178</v>
      </c>
      <c r="C669" s="130" t="s">
        <v>10178</v>
      </c>
      <c r="D669" s="130" t="s">
        <v>10178</v>
      </c>
      <c r="E669" s="130" t="s">
        <v>10178</v>
      </c>
      <c r="F669" s="130" t="s">
        <v>10178</v>
      </c>
      <c r="G669" s="130" t="s">
        <v>10178</v>
      </c>
      <c r="H669" s="130" t="s">
        <v>10178</v>
      </c>
      <c r="I669" s="130" t="s">
        <v>10178</v>
      </c>
      <c r="J669" s="130" t="s">
        <v>10178</v>
      </c>
    </row>
    <row r="670">
      <c r="A670" s="191"/>
      <c r="B670" s="130" t="s">
        <v>10178</v>
      </c>
      <c r="C670" s="130" t="s">
        <v>10178</v>
      </c>
      <c r="D670" s="130" t="s">
        <v>10178</v>
      </c>
      <c r="E670" s="130" t="s">
        <v>10178</v>
      </c>
      <c r="F670" s="130" t="s">
        <v>10178</v>
      </c>
      <c r="G670" s="130" t="s">
        <v>10178</v>
      </c>
      <c r="H670" s="130" t="s">
        <v>10178</v>
      </c>
      <c r="I670" s="130" t="s">
        <v>10178</v>
      </c>
      <c r="J670" s="130" t="s">
        <v>10178</v>
      </c>
    </row>
    <row r="671">
      <c r="A671" s="191"/>
      <c r="B671" s="130" t="s">
        <v>10178</v>
      </c>
      <c r="C671" s="130" t="s">
        <v>10178</v>
      </c>
      <c r="D671" s="130" t="s">
        <v>10178</v>
      </c>
      <c r="E671" s="130" t="s">
        <v>10178</v>
      </c>
      <c r="F671" s="130" t="s">
        <v>10178</v>
      </c>
      <c r="G671" s="130" t="s">
        <v>10178</v>
      </c>
      <c r="H671" s="130" t="s">
        <v>10178</v>
      </c>
      <c r="I671" s="130" t="s">
        <v>10178</v>
      </c>
      <c r="J671" s="130" t="s">
        <v>10178</v>
      </c>
    </row>
    <row r="672">
      <c r="A672" s="191"/>
      <c r="B672" s="130" t="s">
        <v>10178</v>
      </c>
      <c r="C672" s="130" t="s">
        <v>10178</v>
      </c>
      <c r="D672" s="130" t="s">
        <v>10178</v>
      </c>
      <c r="E672" s="130" t="s">
        <v>10178</v>
      </c>
      <c r="F672" s="130" t="s">
        <v>10178</v>
      </c>
      <c r="G672" s="130" t="s">
        <v>10178</v>
      </c>
      <c r="H672" s="130" t="s">
        <v>10178</v>
      </c>
      <c r="I672" s="130" t="s">
        <v>10178</v>
      </c>
      <c r="J672" s="130" t="s">
        <v>10178</v>
      </c>
    </row>
    <row r="673">
      <c r="A673" s="191"/>
      <c r="B673" s="130" t="s">
        <v>10178</v>
      </c>
      <c r="C673" s="130" t="s">
        <v>10178</v>
      </c>
      <c r="D673" s="130" t="s">
        <v>10178</v>
      </c>
      <c r="E673" s="130" t="s">
        <v>10178</v>
      </c>
      <c r="F673" s="130" t="s">
        <v>10178</v>
      </c>
      <c r="G673" s="130" t="s">
        <v>10178</v>
      </c>
      <c r="H673" s="130" t="s">
        <v>10178</v>
      </c>
      <c r="I673" s="130" t="s">
        <v>10178</v>
      </c>
      <c r="J673" s="130" t="s">
        <v>10178</v>
      </c>
    </row>
    <row r="674">
      <c r="A674" s="191"/>
      <c r="B674" s="130" t="s">
        <v>10178</v>
      </c>
      <c r="C674" s="130" t="s">
        <v>10178</v>
      </c>
      <c r="D674" s="130" t="s">
        <v>10178</v>
      </c>
      <c r="E674" s="130" t="s">
        <v>10178</v>
      </c>
      <c r="F674" s="130" t="s">
        <v>10178</v>
      </c>
      <c r="G674" s="130" t="s">
        <v>10178</v>
      </c>
      <c r="H674" s="130" t="s">
        <v>10178</v>
      </c>
      <c r="I674" s="130" t="s">
        <v>10178</v>
      </c>
      <c r="J674" s="130" t="s">
        <v>10178</v>
      </c>
    </row>
    <row r="675">
      <c r="A675" s="191"/>
      <c r="B675" s="130" t="s">
        <v>10178</v>
      </c>
      <c r="C675" s="130" t="s">
        <v>10178</v>
      </c>
      <c r="D675" s="130" t="s">
        <v>10178</v>
      </c>
      <c r="E675" s="130" t="s">
        <v>10178</v>
      </c>
      <c r="F675" s="130" t="s">
        <v>10178</v>
      </c>
      <c r="G675" s="130" t="s">
        <v>10178</v>
      </c>
      <c r="H675" s="130" t="s">
        <v>10178</v>
      </c>
      <c r="I675" s="130" t="s">
        <v>10178</v>
      </c>
      <c r="J675" s="130" t="s">
        <v>10178</v>
      </c>
    </row>
    <row r="676">
      <c r="A676" s="191"/>
      <c r="B676" s="130" t="s">
        <v>10178</v>
      </c>
      <c r="C676" s="130" t="s">
        <v>10178</v>
      </c>
      <c r="D676" s="130" t="s">
        <v>10178</v>
      </c>
      <c r="E676" s="130" t="s">
        <v>10178</v>
      </c>
      <c r="F676" s="130" t="s">
        <v>10178</v>
      </c>
      <c r="G676" s="130" t="s">
        <v>10178</v>
      </c>
      <c r="H676" s="130" t="s">
        <v>10178</v>
      </c>
      <c r="I676" s="130" t="s">
        <v>10178</v>
      </c>
      <c r="J676" s="130" t="s">
        <v>10178</v>
      </c>
    </row>
    <row r="677">
      <c r="A677" s="191"/>
      <c r="B677" s="130" t="s">
        <v>10178</v>
      </c>
      <c r="C677" s="130" t="s">
        <v>10178</v>
      </c>
      <c r="D677" s="130" t="s">
        <v>10178</v>
      </c>
      <c r="E677" s="130" t="s">
        <v>10178</v>
      </c>
      <c r="F677" s="130" t="s">
        <v>10178</v>
      </c>
      <c r="G677" s="130" t="s">
        <v>10178</v>
      </c>
      <c r="H677" s="130" t="s">
        <v>10178</v>
      </c>
      <c r="I677" s="130" t="s">
        <v>10178</v>
      </c>
      <c r="J677" s="130" t="s">
        <v>10178</v>
      </c>
    </row>
    <row r="678">
      <c r="A678" s="191"/>
      <c r="B678" s="130" t="s">
        <v>10178</v>
      </c>
      <c r="C678" s="130" t="s">
        <v>10178</v>
      </c>
      <c r="D678" s="130" t="s">
        <v>10178</v>
      </c>
      <c r="E678" s="130" t="s">
        <v>10178</v>
      </c>
      <c r="F678" s="130" t="s">
        <v>10178</v>
      </c>
      <c r="G678" s="130" t="s">
        <v>10178</v>
      </c>
      <c r="H678" s="130" t="s">
        <v>10178</v>
      </c>
      <c r="I678" s="130" t="s">
        <v>10178</v>
      </c>
      <c r="J678" s="130" t="s">
        <v>10178</v>
      </c>
    </row>
    <row r="679">
      <c r="A679" s="191"/>
      <c r="B679" s="130" t="s">
        <v>10178</v>
      </c>
      <c r="C679" s="130" t="s">
        <v>10178</v>
      </c>
      <c r="D679" s="130" t="s">
        <v>10178</v>
      </c>
      <c r="E679" s="130" t="s">
        <v>10178</v>
      </c>
      <c r="F679" s="130" t="s">
        <v>10178</v>
      </c>
      <c r="G679" s="130" t="s">
        <v>10178</v>
      </c>
      <c r="H679" s="130" t="s">
        <v>10178</v>
      </c>
      <c r="I679" s="130" t="s">
        <v>10178</v>
      </c>
      <c r="J679" s="130" t="s">
        <v>10178</v>
      </c>
    </row>
    <row r="680">
      <c r="A680" s="191"/>
      <c r="B680" s="130" t="s">
        <v>10178</v>
      </c>
      <c r="C680" s="130" t="s">
        <v>10178</v>
      </c>
      <c r="D680" s="130" t="s">
        <v>10178</v>
      </c>
      <c r="E680" s="130" t="s">
        <v>10178</v>
      </c>
      <c r="F680" s="130" t="s">
        <v>10178</v>
      </c>
      <c r="G680" s="130" t="s">
        <v>10178</v>
      </c>
      <c r="H680" s="130" t="s">
        <v>10178</v>
      </c>
      <c r="I680" s="130" t="s">
        <v>10178</v>
      </c>
      <c r="J680" s="130" t="s">
        <v>10178</v>
      </c>
    </row>
    <row r="681">
      <c r="A681" s="191"/>
      <c r="B681" s="130" t="s">
        <v>10178</v>
      </c>
      <c r="C681" s="130" t="s">
        <v>10178</v>
      </c>
      <c r="D681" s="130" t="s">
        <v>10178</v>
      </c>
      <c r="E681" s="130" t="s">
        <v>10178</v>
      </c>
      <c r="F681" s="130" t="s">
        <v>10178</v>
      </c>
      <c r="G681" s="130" t="s">
        <v>10178</v>
      </c>
      <c r="H681" s="130" t="s">
        <v>10178</v>
      </c>
      <c r="I681" s="130" t="s">
        <v>10178</v>
      </c>
      <c r="J681" s="130" t="s">
        <v>10178</v>
      </c>
    </row>
    <row r="682">
      <c r="A682" s="191"/>
      <c r="B682" s="130" t="s">
        <v>10178</v>
      </c>
      <c r="C682" s="130" t="s">
        <v>10178</v>
      </c>
      <c r="D682" s="130" t="s">
        <v>10178</v>
      </c>
      <c r="E682" s="130" t="s">
        <v>10178</v>
      </c>
      <c r="F682" s="130" t="s">
        <v>10178</v>
      </c>
      <c r="G682" s="130" t="s">
        <v>10178</v>
      </c>
      <c r="H682" s="130" t="s">
        <v>10178</v>
      </c>
      <c r="I682" s="130" t="s">
        <v>10178</v>
      </c>
      <c r="J682" s="130" t="s">
        <v>10178</v>
      </c>
    </row>
    <row r="683">
      <c r="A683" s="191"/>
      <c r="B683" s="130" t="s">
        <v>10178</v>
      </c>
      <c r="C683" s="130" t="s">
        <v>10178</v>
      </c>
      <c r="D683" s="130" t="s">
        <v>10178</v>
      </c>
      <c r="E683" s="130" t="s">
        <v>10178</v>
      </c>
      <c r="F683" s="130" t="s">
        <v>10178</v>
      </c>
      <c r="G683" s="130" t="s">
        <v>10178</v>
      </c>
      <c r="H683" s="130" t="s">
        <v>10178</v>
      </c>
      <c r="I683" s="130" t="s">
        <v>10178</v>
      </c>
      <c r="J683" s="130" t="s">
        <v>10178</v>
      </c>
    </row>
    <row r="684">
      <c r="A684" s="191"/>
      <c r="B684" s="130" t="s">
        <v>10178</v>
      </c>
      <c r="C684" s="130" t="s">
        <v>10178</v>
      </c>
      <c r="D684" s="130" t="s">
        <v>10178</v>
      </c>
      <c r="E684" s="130" t="s">
        <v>10178</v>
      </c>
      <c r="F684" s="130" t="s">
        <v>10178</v>
      </c>
      <c r="G684" s="130" t="s">
        <v>10178</v>
      </c>
      <c r="H684" s="130" t="s">
        <v>10178</v>
      </c>
      <c r="I684" s="130" t="s">
        <v>10178</v>
      </c>
      <c r="J684" s="130" t="s">
        <v>10178</v>
      </c>
    </row>
    <row r="685">
      <c r="A685" s="191"/>
      <c r="B685" s="130" t="s">
        <v>10178</v>
      </c>
      <c r="C685" s="130" t="s">
        <v>10178</v>
      </c>
      <c r="D685" s="130" t="s">
        <v>10178</v>
      </c>
      <c r="E685" s="130" t="s">
        <v>10178</v>
      </c>
      <c r="F685" s="130" t="s">
        <v>10178</v>
      </c>
      <c r="G685" s="130" t="s">
        <v>10178</v>
      </c>
      <c r="H685" s="130" t="s">
        <v>10178</v>
      </c>
      <c r="I685" s="130" t="s">
        <v>10178</v>
      </c>
      <c r="J685" s="130" t="s">
        <v>10178</v>
      </c>
    </row>
    <row r="686">
      <c r="A686" s="191"/>
      <c r="B686" s="130" t="s">
        <v>10178</v>
      </c>
      <c r="C686" s="130" t="s">
        <v>10178</v>
      </c>
      <c r="D686" s="130" t="s">
        <v>10178</v>
      </c>
      <c r="E686" s="130" t="s">
        <v>10178</v>
      </c>
      <c r="F686" s="130" t="s">
        <v>10178</v>
      </c>
      <c r="G686" s="130" t="s">
        <v>10178</v>
      </c>
      <c r="H686" s="130" t="s">
        <v>10178</v>
      </c>
      <c r="I686" s="130" t="s">
        <v>10178</v>
      </c>
      <c r="J686" s="130" t="s">
        <v>10178</v>
      </c>
    </row>
    <row r="687">
      <c r="A687" s="191"/>
      <c r="B687" s="130" t="s">
        <v>10178</v>
      </c>
      <c r="C687" s="130" t="s">
        <v>10178</v>
      </c>
      <c r="D687" s="130" t="s">
        <v>10178</v>
      </c>
      <c r="E687" s="130" t="s">
        <v>10178</v>
      </c>
      <c r="F687" s="130" t="s">
        <v>10178</v>
      </c>
      <c r="G687" s="130" t="s">
        <v>10178</v>
      </c>
      <c r="H687" s="130" t="s">
        <v>10178</v>
      </c>
      <c r="I687" s="130" t="s">
        <v>10178</v>
      </c>
      <c r="J687" s="130" t="s">
        <v>10178</v>
      </c>
    </row>
    <row r="688">
      <c r="A688" s="191"/>
      <c r="B688" s="130" t="s">
        <v>10178</v>
      </c>
      <c r="C688" s="130" t="s">
        <v>10178</v>
      </c>
      <c r="D688" s="130" t="s">
        <v>10178</v>
      </c>
      <c r="E688" s="130" t="s">
        <v>10178</v>
      </c>
      <c r="F688" s="130" t="s">
        <v>10178</v>
      </c>
      <c r="G688" s="130" t="s">
        <v>10178</v>
      </c>
      <c r="H688" s="130" t="s">
        <v>10178</v>
      </c>
      <c r="I688" s="130" t="s">
        <v>10178</v>
      </c>
      <c r="J688" s="130" t="s">
        <v>10178</v>
      </c>
    </row>
    <row r="689">
      <c r="A689" s="191"/>
      <c r="B689" s="130" t="s">
        <v>10178</v>
      </c>
      <c r="C689" s="130" t="s">
        <v>10178</v>
      </c>
      <c r="D689" s="130" t="s">
        <v>10178</v>
      </c>
      <c r="E689" s="130" t="s">
        <v>10178</v>
      </c>
      <c r="F689" s="130" t="s">
        <v>10178</v>
      </c>
      <c r="G689" s="130" t="s">
        <v>10178</v>
      </c>
      <c r="H689" s="130" t="s">
        <v>10178</v>
      </c>
      <c r="I689" s="130" t="s">
        <v>10178</v>
      </c>
      <c r="J689" s="130" t="s">
        <v>10178</v>
      </c>
    </row>
    <row r="690">
      <c r="A690" s="191"/>
      <c r="B690" s="130" t="s">
        <v>10178</v>
      </c>
      <c r="C690" s="130" t="s">
        <v>10178</v>
      </c>
      <c r="D690" s="130" t="s">
        <v>10178</v>
      </c>
      <c r="E690" s="130" t="s">
        <v>10178</v>
      </c>
      <c r="F690" s="130" t="s">
        <v>10178</v>
      </c>
      <c r="G690" s="130" t="s">
        <v>10178</v>
      </c>
      <c r="H690" s="130" t="s">
        <v>10178</v>
      </c>
      <c r="I690" s="130" t="s">
        <v>10178</v>
      </c>
      <c r="J690" s="130" t="s">
        <v>10178</v>
      </c>
    </row>
    <row r="691">
      <c r="A691" s="191"/>
      <c r="B691" s="130" t="s">
        <v>10178</v>
      </c>
      <c r="C691" s="130" t="s">
        <v>10178</v>
      </c>
      <c r="D691" s="130" t="s">
        <v>10178</v>
      </c>
      <c r="E691" s="130" t="s">
        <v>10178</v>
      </c>
      <c r="F691" s="130" t="s">
        <v>10178</v>
      </c>
      <c r="G691" s="130" t="s">
        <v>10178</v>
      </c>
      <c r="H691" s="130" t="s">
        <v>10178</v>
      </c>
      <c r="I691" s="130" t="s">
        <v>10178</v>
      </c>
      <c r="J691" s="130" t="s">
        <v>10178</v>
      </c>
    </row>
    <row r="692">
      <c r="A692" s="191"/>
      <c r="B692" s="130" t="s">
        <v>10178</v>
      </c>
      <c r="C692" s="130" t="s">
        <v>10178</v>
      </c>
      <c r="D692" s="130" t="s">
        <v>10178</v>
      </c>
      <c r="E692" s="130" t="s">
        <v>10178</v>
      </c>
      <c r="F692" s="130" t="s">
        <v>10178</v>
      </c>
      <c r="G692" s="130" t="s">
        <v>10178</v>
      </c>
      <c r="H692" s="130" t="s">
        <v>10178</v>
      </c>
      <c r="I692" s="130" t="s">
        <v>10178</v>
      </c>
      <c r="J692" s="130" t="s">
        <v>10178</v>
      </c>
    </row>
    <row r="693">
      <c r="A693" s="191"/>
      <c r="B693" s="130" t="s">
        <v>10178</v>
      </c>
      <c r="C693" s="130" t="s">
        <v>10178</v>
      </c>
      <c r="D693" s="130" t="s">
        <v>10178</v>
      </c>
      <c r="E693" s="130" t="s">
        <v>10178</v>
      </c>
      <c r="F693" s="130" t="s">
        <v>10178</v>
      </c>
      <c r="G693" s="130" t="s">
        <v>10178</v>
      </c>
      <c r="H693" s="130" t="s">
        <v>10178</v>
      </c>
      <c r="I693" s="130" t="s">
        <v>10178</v>
      </c>
      <c r="J693" s="130" t="s">
        <v>10178</v>
      </c>
    </row>
    <row r="694">
      <c r="A694" s="191"/>
      <c r="B694" s="130" t="s">
        <v>10178</v>
      </c>
      <c r="C694" s="130" t="s">
        <v>10178</v>
      </c>
      <c r="D694" s="130" t="s">
        <v>10178</v>
      </c>
      <c r="E694" s="130" t="s">
        <v>10178</v>
      </c>
      <c r="F694" s="130" t="s">
        <v>10178</v>
      </c>
      <c r="G694" s="130" t="s">
        <v>10178</v>
      </c>
      <c r="H694" s="130" t="s">
        <v>10178</v>
      </c>
      <c r="I694" s="130" t="s">
        <v>10178</v>
      </c>
      <c r="J694" s="130" t="s">
        <v>10178</v>
      </c>
    </row>
    <row r="695">
      <c r="A695" s="191"/>
      <c r="B695" s="130" t="s">
        <v>10178</v>
      </c>
      <c r="C695" s="130" t="s">
        <v>10178</v>
      </c>
      <c r="D695" s="130" t="s">
        <v>10178</v>
      </c>
      <c r="E695" s="130" t="s">
        <v>10178</v>
      </c>
      <c r="F695" s="130" t="s">
        <v>10178</v>
      </c>
      <c r="G695" s="130" t="s">
        <v>10178</v>
      </c>
      <c r="H695" s="130" t="s">
        <v>10178</v>
      </c>
      <c r="I695" s="130" t="s">
        <v>10178</v>
      </c>
      <c r="J695" s="130" t="s">
        <v>10178</v>
      </c>
    </row>
    <row r="696">
      <c r="A696" s="191"/>
      <c r="B696" s="130" t="s">
        <v>10178</v>
      </c>
      <c r="C696" s="130" t="s">
        <v>10178</v>
      </c>
      <c r="D696" s="130" t="s">
        <v>10178</v>
      </c>
      <c r="E696" s="130" t="s">
        <v>10178</v>
      </c>
      <c r="F696" s="130" t="s">
        <v>10178</v>
      </c>
      <c r="G696" s="130" t="s">
        <v>10178</v>
      </c>
      <c r="H696" s="130" t="s">
        <v>10178</v>
      </c>
      <c r="I696" s="130" t="s">
        <v>10178</v>
      </c>
      <c r="J696" s="130" t="s">
        <v>10178</v>
      </c>
    </row>
    <row r="697">
      <c r="A697" s="191"/>
      <c r="B697" s="130" t="s">
        <v>10178</v>
      </c>
      <c r="C697" s="130" t="s">
        <v>10178</v>
      </c>
      <c r="D697" s="130" t="s">
        <v>10178</v>
      </c>
      <c r="E697" s="130" t="s">
        <v>10178</v>
      </c>
      <c r="F697" s="130" t="s">
        <v>10178</v>
      </c>
      <c r="G697" s="130" t="s">
        <v>10178</v>
      </c>
      <c r="H697" s="130" t="s">
        <v>10178</v>
      </c>
      <c r="I697" s="130" t="s">
        <v>10178</v>
      </c>
      <c r="J697" s="130" t="s">
        <v>10178</v>
      </c>
    </row>
    <row r="698">
      <c r="A698" s="191"/>
      <c r="B698" s="130" t="s">
        <v>10178</v>
      </c>
      <c r="C698" s="130" t="s">
        <v>10178</v>
      </c>
      <c r="D698" s="130" t="s">
        <v>10178</v>
      </c>
      <c r="E698" s="130" t="s">
        <v>10178</v>
      </c>
      <c r="F698" s="130" t="s">
        <v>10178</v>
      </c>
      <c r="G698" s="130" t="s">
        <v>10178</v>
      </c>
      <c r="H698" s="130" t="s">
        <v>10178</v>
      </c>
      <c r="I698" s="130" t="s">
        <v>10178</v>
      </c>
      <c r="J698" s="130" t="s">
        <v>10178</v>
      </c>
    </row>
    <row r="699">
      <c r="A699" s="191"/>
      <c r="B699" s="130" t="s">
        <v>10178</v>
      </c>
      <c r="C699" s="130" t="s">
        <v>10178</v>
      </c>
      <c r="D699" s="130" t="s">
        <v>10178</v>
      </c>
      <c r="E699" s="130" t="s">
        <v>10178</v>
      </c>
      <c r="F699" s="130" t="s">
        <v>10178</v>
      </c>
      <c r="G699" s="130" t="s">
        <v>10178</v>
      </c>
      <c r="H699" s="130" t="s">
        <v>10178</v>
      </c>
      <c r="I699" s="130" t="s">
        <v>10178</v>
      </c>
      <c r="J699" s="130" t="s">
        <v>10178</v>
      </c>
    </row>
    <row r="700">
      <c r="A700" s="191"/>
      <c r="B700" s="130" t="s">
        <v>10178</v>
      </c>
      <c r="C700" s="130" t="s">
        <v>10178</v>
      </c>
      <c r="D700" s="130" t="s">
        <v>10178</v>
      </c>
      <c r="E700" s="130" t="s">
        <v>10178</v>
      </c>
      <c r="F700" s="130" t="s">
        <v>10178</v>
      </c>
      <c r="G700" s="130" t="s">
        <v>10178</v>
      </c>
      <c r="H700" s="130" t="s">
        <v>10178</v>
      </c>
      <c r="I700" s="130" t="s">
        <v>10178</v>
      </c>
      <c r="J700" s="130" t="s">
        <v>10178</v>
      </c>
    </row>
    <row r="701">
      <c r="A701" s="191"/>
      <c r="B701" s="130" t="s">
        <v>10178</v>
      </c>
      <c r="C701" s="130" t="s">
        <v>10178</v>
      </c>
      <c r="D701" s="130" t="s">
        <v>10178</v>
      </c>
      <c r="E701" s="130" t="s">
        <v>10178</v>
      </c>
      <c r="F701" s="130" t="s">
        <v>10178</v>
      </c>
      <c r="G701" s="130" t="s">
        <v>10178</v>
      </c>
      <c r="H701" s="130" t="s">
        <v>10178</v>
      </c>
      <c r="I701" s="130" t="s">
        <v>10178</v>
      </c>
      <c r="J701" s="130" t="s">
        <v>10178</v>
      </c>
    </row>
    <row r="702">
      <c r="A702" s="191"/>
      <c r="B702" s="130" t="s">
        <v>10178</v>
      </c>
      <c r="C702" s="130" t="s">
        <v>10178</v>
      </c>
      <c r="D702" s="130" t="s">
        <v>10178</v>
      </c>
      <c r="E702" s="130" t="s">
        <v>10178</v>
      </c>
      <c r="F702" s="130" t="s">
        <v>10178</v>
      </c>
      <c r="G702" s="130" t="s">
        <v>10178</v>
      </c>
      <c r="H702" s="130" t="s">
        <v>10178</v>
      </c>
      <c r="I702" s="130" t="s">
        <v>10178</v>
      </c>
      <c r="J702" s="130" t="s">
        <v>10178</v>
      </c>
    </row>
    <row r="703">
      <c r="A703" s="191"/>
      <c r="B703" s="130" t="s">
        <v>10178</v>
      </c>
      <c r="C703" s="130" t="s">
        <v>10178</v>
      </c>
      <c r="D703" s="130" t="s">
        <v>10178</v>
      </c>
      <c r="E703" s="130" t="s">
        <v>10178</v>
      </c>
      <c r="F703" s="130" t="s">
        <v>10178</v>
      </c>
      <c r="G703" s="130" t="s">
        <v>10178</v>
      </c>
      <c r="H703" s="130" t="s">
        <v>10178</v>
      </c>
      <c r="I703" s="130" t="s">
        <v>10178</v>
      </c>
      <c r="J703" s="130" t="s">
        <v>10178</v>
      </c>
    </row>
    <row r="704">
      <c r="A704" s="191"/>
      <c r="B704" s="130" t="s">
        <v>10178</v>
      </c>
      <c r="C704" s="130" t="s">
        <v>10178</v>
      </c>
      <c r="D704" s="130" t="s">
        <v>10178</v>
      </c>
      <c r="E704" s="130" t="s">
        <v>10178</v>
      </c>
      <c r="F704" s="130" t="s">
        <v>10178</v>
      </c>
      <c r="G704" s="130" t="s">
        <v>10178</v>
      </c>
      <c r="H704" s="130" t="s">
        <v>10178</v>
      </c>
      <c r="I704" s="130" t="s">
        <v>10178</v>
      </c>
      <c r="J704" s="130" t="s">
        <v>10178</v>
      </c>
    </row>
    <row r="705">
      <c r="A705" s="191"/>
      <c r="B705" s="130" t="s">
        <v>10178</v>
      </c>
      <c r="C705" s="130" t="s">
        <v>10178</v>
      </c>
      <c r="D705" s="130" t="s">
        <v>10178</v>
      </c>
      <c r="E705" s="130" t="s">
        <v>10178</v>
      </c>
      <c r="F705" s="130" t="s">
        <v>10178</v>
      </c>
      <c r="G705" s="130" t="s">
        <v>10178</v>
      </c>
      <c r="H705" s="130" t="s">
        <v>10178</v>
      </c>
      <c r="I705" s="130" t="s">
        <v>10178</v>
      </c>
      <c r="J705" s="130" t="s">
        <v>10178</v>
      </c>
    </row>
    <row r="706">
      <c r="A706" s="191"/>
      <c r="B706" s="130" t="s">
        <v>10178</v>
      </c>
      <c r="C706" s="130" t="s">
        <v>10178</v>
      </c>
      <c r="D706" s="130" t="s">
        <v>10178</v>
      </c>
      <c r="E706" s="130" t="s">
        <v>10178</v>
      </c>
      <c r="F706" s="130" t="s">
        <v>10178</v>
      </c>
      <c r="G706" s="130" t="s">
        <v>10178</v>
      </c>
      <c r="H706" s="130" t="s">
        <v>10178</v>
      </c>
      <c r="I706" s="130" t="s">
        <v>10178</v>
      </c>
      <c r="J706" s="130" t="s">
        <v>10178</v>
      </c>
    </row>
    <row r="707">
      <c r="A707" s="191"/>
      <c r="B707" s="130" t="s">
        <v>10178</v>
      </c>
      <c r="C707" s="130" t="s">
        <v>10178</v>
      </c>
      <c r="D707" s="130" t="s">
        <v>10178</v>
      </c>
      <c r="E707" s="130" t="s">
        <v>10178</v>
      </c>
      <c r="F707" s="130" t="s">
        <v>10178</v>
      </c>
      <c r="G707" s="130" t="s">
        <v>10178</v>
      </c>
      <c r="H707" s="130" t="s">
        <v>10178</v>
      </c>
      <c r="I707" s="130" t="s">
        <v>10178</v>
      </c>
      <c r="J707" s="130" t="s">
        <v>10178</v>
      </c>
    </row>
    <row r="708">
      <c r="A708" s="191"/>
      <c r="B708" s="130" t="s">
        <v>10178</v>
      </c>
      <c r="C708" s="130" t="s">
        <v>10178</v>
      </c>
      <c r="D708" s="130" t="s">
        <v>10178</v>
      </c>
      <c r="E708" s="130" t="s">
        <v>10178</v>
      </c>
      <c r="F708" s="130" t="s">
        <v>10178</v>
      </c>
      <c r="G708" s="130" t="s">
        <v>10178</v>
      </c>
      <c r="H708" s="130" t="s">
        <v>10178</v>
      </c>
      <c r="I708" s="130" t="s">
        <v>10178</v>
      </c>
      <c r="J708" s="130" t="s">
        <v>10178</v>
      </c>
    </row>
    <row r="709">
      <c r="A709" s="191"/>
      <c r="B709" s="130" t="s">
        <v>10178</v>
      </c>
      <c r="C709" s="130" t="s">
        <v>10178</v>
      </c>
      <c r="D709" s="130" t="s">
        <v>10178</v>
      </c>
      <c r="E709" s="130" t="s">
        <v>10178</v>
      </c>
      <c r="F709" s="130" t="s">
        <v>10178</v>
      </c>
      <c r="G709" s="130" t="s">
        <v>10178</v>
      </c>
      <c r="H709" s="130" t="s">
        <v>10178</v>
      </c>
      <c r="I709" s="130" t="s">
        <v>10178</v>
      </c>
      <c r="J709" s="130" t="s">
        <v>10178</v>
      </c>
    </row>
    <row r="710">
      <c r="A710" s="191"/>
      <c r="B710" s="130" t="s">
        <v>10178</v>
      </c>
      <c r="C710" s="130" t="s">
        <v>10178</v>
      </c>
      <c r="D710" s="130" t="s">
        <v>10178</v>
      </c>
      <c r="E710" s="130" t="s">
        <v>10178</v>
      </c>
      <c r="F710" s="130" t="s">
        <v>10178</v>
      </c>
      <c r="G710" s="130" t="s">
        <v>10178</v>
      </c>
      <c r="H710" s="130" t="s">
        <v>10178</v>
      </c>
      <c r="I710" s="130" t="s">
        <v>10178</v>
      </c>
      <c r="J710" s="130" t="s">
        <v>10178</v>
      </c>
    </row>
    <row r="711">
      <c r="A711" s="191"/>
      <c r="B711" s="130" t="s">
        <v>10178</v>
      </c>
      <c r="C711" s="130" t="s">
        <v>10178</v>
      </c>
      <c r="D711" s="130" t="s">
        <v>10178</v>
      </c>
      <c r="E711" s="130" t="s">
        <v>10178</v>
      </c>
      <c r="F711" s="130" t="s">
        <v>10178</v>
      </c>
      <c r="G711" s="130" t="s">
        <v>10178</v>
      </c>
      <c r="H711" s="130" t="s">
        <v>10178</v>
      </c>
      <c r="I711" s="130" t="s">
        <v>10178</v>
      </c>
      <c r="J711" s="130" t="s">
        <v>10178</v>
      </c>
    </row>
    <row r="712">
      <c r="A712" s="191"/>
      <c r="B712" s="130" t="s">
        <v>10178</v>
      </c>
      <c r="C712" s="130" t="s">
        <v>10178</v>
      </c>
      <c r="D712" s="130" t="s">
        <v>10178</v>
      </c>
      <c r="E712" s="130" t="s">
        <v>10178</v>
      </c>
      <c r="F712" s="130" t="s">
        <v>10178</v>
      </c>
      <c r="G712" s="130" t="s">
        <v>10178</v>
      </c>
      <c r="H712" s="130" t="s">
        <v>10178</v>
      </c>
      <c r="I712" s="130" t="s">
        <v>10178</v>
      </c>
      <c r="J712" s="130" t="s">
        <v>10178</v>
      </c>
    </row>
    <row r="713">
      <c r="A713" s="191"/>
      <c r="B713" s="130" t="s">
        <v>10178</v>
      </c>
      <c r="C713" s="130" t="s">
        <v>10178</v>
      </c>
      <c r="D713" s="130" t="s">
        <v>10178</v>
      </c>
      <c r="E713" s="130" t="s">
        <v>10178</v>
      </c>
      <c r="F713" s="130" t="s">
        <v>10178</v>
      </c>
      <c r="G713" s="130" t="s">
        <v>10178</v>
      </c>
      <c r="H713" s="130" t="s">
        <v>10178</v>
      </c>
      <c r="I713" s="130" t="s">
        <v>10178</v>
      </c>
      <c r="J713" s="130" t="s">
        <v>10178</v>
      </c>
    </row>
    <row r="714">
      <c r="A714" s="191"/>
      <c r="B714" s="130" t="s">
        <v>10178</v>
      </c>
      <c r="C714" s="130" t="s">
        <v>10178</v>
      </c>
      <c r="D714" s="130" t="s">
        <v>10178</v>
      </c>
      <c r="E714" s="130" t="s">
        <v>10178</v>
      </c>
      <c r="F714" s="130" t="s">
        <v>10178</v>
      </c>
      <c r="G714" s="130" t="s">
        <v>10178</v>
      </c>
      <c r="H714" s="130" t="s">
        <v>10178</v>
      </c>
      <c r="I714" s="130" t="s">
        <v>10178</v>
      </c>
      <c r="J714" s="130" t="s">
        <v>10178</v>
      </c>
    </row>
    <row r="715">
      <c r="A715" s="191"/>
      <c r="B715" s="130" t="s">
        <v>10178</v>
      </c>
      <c r="C715" s="130" t="s">
        <v>10178</v>
      </c>
      <c r="D715" s="130" t="s">
        <v>10178</v>
      </c>
      <c r="E715" s="130" t="s">
        <v>10178</v>
      </c>
      <c r="F715" s="130" t="s">
        <v>10178</v>
      </c>
      <c r="G715" s="130" t="s">
        <v>10178</v>
      </c>
      <c r="H715" s="130" t="s">
        <v>10178</v>
      </c>
      <c r="I715" s="130" t="s">
        <v>10178</v>
      </c>
      <c r="J715" s="130" t="s">
        <v>10178</v>
      </c>
    </row>
    <row r="716">
      <c r="A716" s="191"/>
      <c r="B716" s="130" t="s">
        <v>10178</v>
      </c>
      <c r="C716" s="130" t="s">
        <v>10178</v>
      </c>
      <c r="D716" s="130" t="s">
        <v>10178</v>
      </c>
      <c r="E716" s="130" t="s">
        <v>10178</v>
      </c>
      <c r="F716" s="130" t="s">
        <v>10178</v>
      </c>
      <c r="G716" s="130" t="s">
        <v>10178</v>
      </c>
      <c r="H716" s="130" t="s">
        <v>10178</v>
      </c>
      <c r="I716" s="130" t="s">
        <v>10178</v>
      </c>
      <c r="J716" s="130" t="s">
        <v>10178</v>
      </c>
    </row>
    <row r="717">
      <c r="A717" s="191"/>
      <c r="B717" s="130" t="s">
        <v>10178</v>
      </c>
      <c r="C717" s="130" t="s">
        <v>10178</v>
      </c>
      <c r="D717" s="130" t="s">
        <v>10178</v>
      </c>
      <c r="E717" s="130" t="s">
        <v>10178</v>
      </c>
      <c r="F717" s="130" t="s">
        <v>10178</v>
      </c>
      <c r="G717" s="130" t="s">
        <v>10178</v>
      </c>
      <c r="H717" s="130" t="s">
        <v>10178</v>
      </c>
      <c r="I717" s="130" t="s">
        <v>10178</v>
      </c>
      <c r="J717" s="130" t="s">
        <v>10178</v>
      </c>
    </row>
    <row r="718">
      <c r="A718" s="191"/>
      <c r="B718" s="130" t="s">
        <v>10178</v>
      </c>
      <c r="C718" s="130" t="s">
        <v>10178</v>
      </c>
      <c r="D718" s="130" t="s">
        <v>10178</v>
      </c>
      <c r="E718" s="130" t="s">
        <v>10178</v>
      </c>
      <c r="F718" s="130" t="s">
        <v>10178</v>
      </c>
      <c r="G718" s="130" t="s">
        <v>10178</v>
      </c>
      <c r="H718" s="130" t="s">
        <v>10178</v>
      </c>
      <c r="I718" s="130" t="s">
        <v>10178</v>
      </c>
      <c r="J718" s="130" t="s">
        <v>10178</v>
      </c>
    </row>
    <row r="719">
      <c r="A719" s="191"/>
      <c r="B719" s="130" t="s">
        <v>10178</v>
      </c>
      <c r="C719" s="130" t="s">
        <v>10178</v>
      </c>
      <c r="D719" s="130" t="s">
        <v>10178</v>
      </c>
      <c r="E719" s="130" t="s">
        <v>10178</v>
      </c>
      <c r="F719" s="130" t="s">
        <v>10178</v>
      </c>
      <c r="G719" s="130" t="s">
        <v>10178</v>
      </c>
      <c r="H719" s="130" t="s">
        <v>10178</v>
      </c>
      <c r="I719" s="130" t="s">
        <v>10178</v>
      </c>
      <c r="J719" s="130" t="s">
        <v>10178</v>
      </c>
    </row>
    <row r="720">
      <c r="A720" s="191"/>
      <c r="B720" s="130" t="s">
        <v>10178</v>
      </c>
      <c r="C720" s="130" t="s">
        <v>10178</v>
      </c>
      <c r="D720" s="130" t="s">
        <v>10178</v>
      </c>
      <c r="E720" s="130" t="s">
        <v>10178</v>
      </c>
      <c r="F720" s="130" t="s">
        <v>10178</v>
      </c>
      <c r="G720" s="130" t="s">
        <v>10178</v>
      </c>
      <c r="H720" s="130" t="s">
        <v>10178</v>
      </c>
      <c r="I720" s="130" t="s">
        <v>10178</v>
      </c>
      <c r="J720" s="130" t="s">
        <v>10178</v>
      </c>
    </row>
    <row r="721">
      <c r="A721" s="191"/>
      <c r="B721" s="130" t="s">
        <v>10178</v>
      </c>
      <c r="C721" s="130" t="s">
        <v>10178</v>
      </c>
      <c r="D721" s="130" t="s">
        <v>10178</v>
      </c>
      <c r="E721" s="130" t="s">
        <v>10178</v>
      </c>
      <c r="F721" s="130" t="s">
        <v>10178</v>
      </c>
      <c r="G721" s="130" t="s">
        <v>10178</v>
      </c>
      <c r="H721" s="130" t="s">
        <v>10178</v>
      </c>
      <c r="I721" s="130" t="s">
        <v>10178</v>
      </c>
      <c r="J721" s="130" t="s">
        <v>10178</v>
      </c>
    </row>
    <row r="722">
      <c r="A722" s="191"/>
      <c r="B722" s="130" t="s">
        <v>10178</v>
      </c>
      <c r="C722" s="130" t="s">
        <v>10178</v>
      </c>
      <c r="D722" s="130" t="s">
        <v>10178</v>
      </c>
      <c r="E722" s="130" t="s">
        <v>10178</v>
      </c>
      <c r="F722" s="130" t="s">
        <v>10178</v>
      </c>
      <c r="G722" s="130" t="s">
        <v>10178</v>
      </c>
      <c r="H722" s="130" t="s">
        <v>10178</v>
      </c>
      <c r="I722" s="130" t="s">
        <v>10178</v>
      </c>
      <c r="J722" s="130" t="s">
        <v>10178</v>
      </c>
    </row>
    <row r="723">
      <c r="A723" s="191"/>
      <c r="B723" s="130" t="s">
        <v>10178</v>
      </c>
      <c r="C723" s="130" t="s">
        <v>10178</v>
      </c>
      <c r="D723" s="130" t="s">
        <v>10178</v>
      </c>
      <c r="E723" s="130" t="s">
        <v>10178</v>
      </c>
      <c r="F723" s="130" t="s">
        <v>10178</v>
      </c>
      <c r="G723" s="130" t="s">
        <v>10178</v>
      </c>
      <c r="H723" s="130" t="s">
        <v>10178</v>
      </c>
      <c r="I723" s="130" t="s">
        <v>10178</v>
      </c>
      <c r="J723" s="130" t="s">
        <v>10178</v>
      </c>
    </row>
    <row r="724">
      <c r="A724" s="191"/>
      <c r="B724" s="130" t="s">
        <v>10178</v>
      </c>
      <c r="C724" s="130" t="s">
        <v>10178</v>
      </c>
      <c r="D724" s="130" t="s">
        <v>10178</v>
      </c>
      <c r="E724" s="130" t="s">
        <v>10178</v>
      </c>
      <c r="F724" s="130" t="s">
        <v>10178</v>
      </c>
      <c r="G724" s="130" t="s">
        <v>10178</v>
      </c>
      <c r="H724" s="130" t="s">
        <v>10178</v>
      </c>
      <c r="I724" s="130" t="s">
        <v>10178</v>
      </c>
      <c r="J724" s="130" t="s">
        <v>10178</v>
      </c>
    </row>
    <row r="725">
      <c r="A725" s="191"/>
      <c r="B725" s="130" t="s">
        <v>10178</v>
      </c>
      <c r="C725" s="130" t="s">
        <v>10178</v>
      </c>
      <c r="D725" s="130" t="s">
        <v>10178</v>
      </c>
      <c r="E725" s="130" t="s">
        <v>10178</v>
      </c>
      <c r="F725" s="130" t="s">
        <v>10178</v>
      </c>
      <c r="G725" s="130" t="s">
        <v>10178</v>
      </c>
      <c r="H725" s="130" t="s">
        <v>10178</v>
      </c>
      <c r="I725" s="130" t="s">
        <v>10178</v>
      </c>
      <c r="J725" s="130" t="s">
        <v>10178</v>
      </c>
    </row>
    <row r="726">
      <c r="A726" s="191"/>
      <c r="B726" s="130" t="s">
        <v>10178</v>
      </c>
      <c r="C726" s="130" t="s">
        <v>10178</v>
      </c>
      <c r="D726" s="130" t="s">
        <v>10178</v>
      </c>
      <c r="E726" s="130" t="s">
        <v>10178</v>
      </c>
      <c r="F726" s="130" t="s">
        <v>10178</v>
      </c>
      <c r="G726" s="130" t="s">
        <v>10178</v>
      </c>
      <c r="H726" s="130" t="s">
        <v>10178</v>
      </c>
      <c r="I726" s="130" t="s">
        <v>10178</v>
      </c>
      <c r="J726" s="130" t="s">
        <v>10178</v>
      </c>
    </row>
    <row r="727">
      <c r="A727" s="191"/>
      <c r="B727" s="130" t="s">
        <v>10178</v>
      </c>
      <c r="C727" s="130" t="s">
        <v>10178</v>
      </c>
      <c r="D727" s="130" t="s">
        <v>10178</v>
      </c>
      <c r="E727" s="130" t="s">
        <v>10178</v>
      </c>
      <c r="F727" s="130" t="s">
        <v>10178</v>
      </c>
      <c r="G727" s="130" t="s">
        <v>10178</v>
      </c>
      <c r="H727" s="130" t="s">
        <v>10178</v>
      </c>
      <c r="I727" s="130" t="s">
        <v>10178</v>
      </c>
      <c r="J727" s="130" t="s">
        <v>10178</v>
      </c>
    </row>
    <row r="728">
      <c r="A728" s="191"/>
      <c r="B728" s="130" t="s">
        <v>10178</v>
      </c>
      <c r="C728" s="130" t="s">
        <v>10178</v>
      </c>
      <c r="D728" s="130" t="s">
        <v>10178</v>
      </c>
      <c r="E728" s="130" t="s">
        <v>10178</v>
      </c>
      <c r="F728" s="130" t="s">
        <v>10178</v>
      </c>
      <c r="G728" s="130" t="s">
        <v>10178</v>
      </c>
      <c r="H728" s="130" t="s">
        <v>10178</v>
      </c>
      <c r="I728" s="130" t="s">
        <v>10178</v>
      </c>
      <c r="J728" s="130" t="s">
        <v>10178</v>
      </c>
    </row>
    <row r="729">
      <c r="A729" s="191"/>
      <c r="B729" s="130" t="s">
        <v>10178</v>
      </c>
      <c r="C729" s="130" t="s">
        <v>10178</v>
      </c>
      <c r="D729" s="130" t="s">
        <v>10178</v>
      </c>
      <c r="E729" s="130" t="s">
        <v>10178</v>
      </c>
      <c r="F729" s="130" t="s">
        <v>10178</v>
      </c>
      <c r="G729" s="130" t="s">
        <v>10178</v>
      </c>
      <c r="H729" s="130" t="s">
        <v>10178</v>
      </c>
      <c r="I729" s="130" t="s">
        <v>10178</v>
      </c>
      <c r="J729" s="130" t="s">
        <v>10178</v>
      </c>
    </row>
    <row r="730">
      <c r="A730" s="191"/>
      <c r="B730" s="130" t="s">
        <v>10178</v>
      </c>
      <c r="C730" s="130" t="s">
        <v>10178</v>
      </c>
      <c r="D730" s="130" t="s">
        <v>10178</v>
      </c>
      <c r="E730" s="130" t="s">
        <v>10178</v>
      </c>
      <c r="F730" s="130" t="s">
        <v>10178</v>
      </c>
      <c r="G730" s="130" t="s">
        <v>10178</v>
      </c>
      <c r="H730" s="130" t="s">
        <v>10178</v>
      </c>
      <c r="I730" s="130" t="s">
        <v>10178</v>
      </c>
      <c r="J730" s="130" t="s">
        <v>10178</v>
      </c>
    </row>
    <row r="731">
      <c r="A731" s="191"/>
      <c r="B731" s="130" t="s">
        <v>10178</v>
      </c>
      <c r="C731" s="130" t="s">
        <v>10178</v>
      </c>
      <c r="D731" s="130" t="s">
        <v>10178</v>
      </c>
      <c r="E731" s="130" t="s">
        <v>10178</v>
      </c>
      <c r="F731" s="130" t="s">
        <v>10178</v>
      </c>
      <c r="G731" s="130" t="s">
        <v>10178</v>
      </c>
      <c r="H731" s="130" t="s">
        <v>10178</v>
      </c>
      <c r="I731" s="130" t="s">
        <v>10178</v>
      </c>
      <c r="J731" s="130" t="s">
        <v>10178</v>
      </c>
    </row>
    <row r="732">
      <c r="A732" s="191"/>
      <c r="B732" s="130" t="s">
        <v>10178</v>
      </c>
      <c r="C732" s="130" t="s">
        <v>10178</v>
      </c>
      <c r="D732" s="130" t="s">
        <v>10178</v>
      </c>
      <c r="E732" s="130" t="s">
        <v>10178</v>
      </c>
      <c r="F732" s="130" t="s">
        <v>10178</v>
      </c>
      <c r="G732" s="130" t="s">
        <v>10178</v>
      </c>
      <c r="H732" s="130" t="s">
        <v>10178</v>
      </c>
      <c r="I732" s="130" t="s">
        <v>10178</v>
      </c>
      <c r="J732" s="130" t="s">
        <v>10178</v>
      </c>
    </row>
    <row r="733">
      <c r="A733" s="191"/>
      <c r="B733" s="130" t="s">
        <v>10178</v>
      </c>
      <c r="C733" s="130" t="s">
        <v>10178</v>
      </c>
      <c r="D733" s="130" t="s">
        <v>10178</v>
      </c>
      <c r="E733" s="130" t="s">
        <v>10178</v>
      </c>
      <c r="F733" s="130" t="s">
        <v>10178</v>
      </c>
      <c r="G733" s="130" t="s">
        <v>10178</v>
      </c>
      <c r="H733" s="130" t="s">
        <v>10178</v>
      </c>
      <c r="I733" s="130" t="s">
        <v>10178</v>
      </c>
      <c r="J733" s="130" t="s">
        <v>10178</v>
      </c>
    </row>
    <row r="734">
      <c r="A734" s="191"/>
      <c r="B734" s="130" t="s">
        <v>10178</v>
      </c>
      <c r="C734" s="130" t="s">
        <v>10178</v>
      </c>
      <c r="D734" s="130" t="s">
        <v>10178</v>
      </c>
      <c r="E734" s="130" t="s">
        <v>10178</v>
      </c>
      <c r="F734" s="130" t="s">
        <v>10178</v>
      </c>
      <c r="G734" s="130" t="s">
        <v>10178</v>
      </c>
      <c r="H734" s="130" t="s">
        <v>10178</v>
      </c>
      <c r="I734" s="130" t="s">
        <v>10178</v>
      </c>
      <c r="J734" s="130" t="s">
        <v>10178</v>
      </c>
    </row>
    <row r="735">
      <c r="A735" s="191"/>
      <c r="B735" s="130" t="s">
        <v>10178</v>
      </c>
      <c r="C735" s="130" t="s">
        <v>10178</v>
      </c>
      <c r="D735" s="130" t="s">
        <v>10178</v>
      </c>
      <c r="E735" s="130" t="s">
        <v>10178</v>
      </c>
      <c r="F735" s="130" t="s">
        <v>10178</v>
      </c>
      <c r="G735" s="130" t="s">
        <v>10178</v>
      </c>
      <c r="H735" s="130" t="s">
        <v>10178</v>
      </c>
      <c r="I735" s="130" t="s">
        <v>10178</v>
      </c>
      <c r="J735" s="130" t="s">
        <v>10178</v>
      </c>
    </row>
    <row r="736">
      <c r="A736" s="191"/>
      <c r="B736" s="130" t="s">
        <v>10178</v>
      </c>
      <c r="C736" s="130" t="s">
        <v>10178</v>
      </c>
      <c r="D736" s="130" t="s">
        <v>10178</v>
      </c>
      <c r="E736" s="130" t="s">
        <v>10178</v>
      </c>
      <c r="F736" s="130" t="s">
        <v>10178</v>
      </c>
      <c r="G736" s="130" t="s">
        <v>10178</v>
      </c>
      <c r="H736" s="130" t="s">
        <v>10178</v>
      </c>
      <c r="I736" s="130" t="s">
        <v>10178</v>
      </c>
      <c r="J736" s="130" t="s">
        <v>10178</v>
      </c>
    </row>
    <row r="737">
      <c r="A737" s="191"/>
      <c r="B737" s="130" t="s">
        <v>10178</v>
      </c>
      <c r="C737" s="130" t="s">
        <v>10178</v>
      </c>
      <c r="D737" s="130" t="s">
        <v>10178</v>
      </c>
      <c r="E737" s="130" t="s">
        <v>10178</v>
      </c>
      <c r="F737" s="130" t="s">
        <v>10178</v>
      </c>
      <c r="G737" s="130" t="s">
        <v>10178</v>
      </c>
      <c r="H737" s="130" t="s">
        <v>10178</v>
      </c>
      <c r="I737" s="130" t="s">
        <v>10178</v>
      </c>
      <c r="J737" s="130" t="s">
        <v>10178</v>
      </c>
    </row>
    <row r="738">
      <c r="A738" s="191"/>
      <c r="B738" s="130" t="s">
        <v>10178</v>
      </c>
      <c r="C738" s="130" t="s">
        <v>10178</v>
      </c>
      <c r="D738" s="130" t="s">
        <v>10178</v>
      </c>
      <c r="E738" s="130" t="s">
        <v>10178</v>
      </c>
      <c r="F738" s="130" t="s">
        <v>10178</v>
      </c>
      <c r="G738" s="130" t="s">
        <v>10178</v>
      </c>
      <c r="H738" s="130" t="s">
        <v>10178</v>
      </c>
      <c r="I738" s="130" t="s">
        <v>10178</v>
      </c>
      <c r="J738" s="130" t="s">
        <v>10178</v>
      </c>
    </row>
    <row r="739">
      <c r="A739" s="191"/>
      <c r="B739" s="130" t="s">
        <v>10178</v>
      </c>
      <c r="C739" s="130" t="s">
        <v>10178</v>
      </c>
      <c r="D739" s="130" t="s">
        <v>10178</v>
      </c>
      <c r="E739" s="130" t="s">
        <v>10178</v>
      </c>
      <c r="F739" s="130" t="s">
        <v>10178</v>
      </c>
      <c r="G739" s="130" t="s">
        <v>10178</v>
      </c>
      <c r="H739" s="130" t="s">
        <v>10178</v>
      </c>
      <c r="I739" s="130" t="s">
        <v>10178</v>
      </c>
      <c r="J739" s="130" t="s">
        <v>10178</v>
      </c>
    </row>
    <row r="740">
      <c r="A740" s="191"/>
      <c r="B740" s="130" t="s">
        <v>10178</v>
      </c>
      <c r="C740" s="130" t="s">
        <v>10178</v>
      </c>
      <c r="D740" s="130" t="s">
        <v>10178</v>
      </c>
      <c r="E740" s="130" t="s">
        <v>10178</v>
      </c>
      <c r="F740" s="130" t="s">
        <v>10178</v>
      </c>
      <c r="G740" s="130" t="s">
        <v>10178</v>
      </c>
      <c r="H740" s="130" t="s">
        <v>10178</v>
      </c>
      <c r="I740" s="130" t="s">
        <v>10178</v>
      </c>
      <c r="J740" s="130" t="s">
        <v>10178</v>
      </c>
    </row>
    <row r="741">
      <c r="A741" s="191"/>
      <c r="B741" s="130" t="s">
        <v>10178</v>
      </c>
      <c r="C741" s="130" t="s">
        <v>10178</v>
      </c>
      <c r="D741" s="130" t="s">
        <v>10178</v>
      </c>
      <c r="E741" s="130" t="s">
        <v>10178</v>
      </c>
      <c r="F741" s="130" t="s">
        <v>10178</v>
      </c>
      <c r="G741" s="130" t="s">
        <v>10178</v>
      </c>
      <c r="H741" s="130" t="s">
        <v>10178</v>
      </c>
      <c r="I741" s="130" t="s">
        <v>10178</v>
      </c>
      <c r="J741" s="130" t="s">
        <v>10178</v>
      </c>
    </row>
    <row r="742">
      <c r="A742" s="191"/>
      <c r="B742" s="130" t="s">
        <v>10178</v>
      </c>
      <c r="C742" s="130" t="s">
        <v>10178</v>
      </c>
      <c r="D742" s="130" t="s">
        <v>10178</v>
      </c>
      <c r="E742" s="130" t="s">
        <v>10178</v>
      </c>
      <c r="F742" s="130" t="s">
        <v>10178</v>
      </c>
      <c r="G742" s="130" t="s">
        <v>10178</v>
      </c>
      <c r="H742" s="130" t="s">
        <v>10178</v>
      </c>
      <c r="I742" s="130" t="s">
        <v>10178</v>
      </c>
      <c r="J742" s="130" t="s">
        <v>10178</v>
      </c>
    </row>
    <row r="743">
      <c r="A743" s="191"/>
      <c r="B743" s="130" t="s">
        <v>10178</v>
      </c>
      <c r="C743" s="130" t="s">
        <v>10178</v>
      </c>
      <c r="D743" s="130" t="s">
        <v>10178</v>
      </c>
      <c r="E743" s="130" t="s">
        <v>10178</v>
      </c>
      <c r="F743" s="130" t="s">
        <v>10178</v>
      </c>
      <c r="G743" s="130" t="s">
        <v>10178</v>
      </c>
      <c r="H743" s="130" t="s">
        <v>10178</v>
      </c>
      <c r="I743" s="130" t="s">
        <v>10178</v>
      </c>
      <c r="J743" s="130" t="s">
        <v>10178</v>
      </c>
    </row>
    <row r="744">
      <c r="A744" s="191"/>
      <c r="B744" s="130" t="s">
        <v>10178</v>
      </c>
      <c r="C744" s="130" t="s">
        <v>10178</v>
      </c>
      <c r="D744" s="130" t="s">
        <v>10178</v>
      </c>
      <c r="E744" s="130" t="s">
        <v>10178</v>
      </c>
      <c r="F744" s="130" t="s">
        <v>10178</v>
      </c>
      <c r="G744" s="130" t="s">
        <v>10178</v>
      </c>
      <c r="H744" s="130" t="s">
        <v>10178</v>
      </c>
      <c r="I744" s="130" t="s">
        <v>10178</v>
      </c>
      <c r="J744" s="130" t="s">
        <v>10178</v>
      </c>
    </row>
    <row r="745">
      <c r="A745" s="191"/>
      <c r="B745" s="130" t="s">
        <v>10178</v>
      </c>
      <c r="C745" s="130" t="s">
        <v>10178</v>
      </c>
      <c r="D745" s="130" t="s">
        <v>10178</v>
      </c>
      <c r="E745" s="130" t="s">
        <v>10178</v>
      </c>
      <c r="F745" s="130" t="s">
        <v>10178</v>
      </c>
      <c r="G745" s="130" t="s">
        <v>10178</v>
      </c>
      <c r="H745" s="130" t="s">
        <v>10178</v>
      </c>
      <c r="I745" s="130" t="s">
        <v>10178</v>
      </c>
      <c r="J745" s="130" t="s">
        <v>10178</v>
      </c>
    </row>
    <row r="746">
      <c r="A746" s="191"/>
      <c r="B746" s="130" t="s">
        <v>10178</v>
      </c>
      <c r="C746" s="130" t="s">
        <v>10178</v>
      </c>
      <c r="D746" s="130" t="s">
        <v>10178</v>
      </c>
      <c r="E746" s="130" t="s">
        <v>10178</v>
      </c>
      <c r="F746" s="130" t="s">
        <v>10178</v>
      </c>
      <c r="G746" s="130" t="s">
        <v>10178</v>
      </c>
      <c r="H746" s="130" t="s">
        <v>10178</v>
      </c>
      <c r="I746" s="130" t="s">
        <v>10178</v>
      </c>
      <c r="J746" s="130" t="s">
        <v>10178</v>
      </c>
    </row>
    <row r="747">
      <c r="A747" s="191"/>
      <c r="B747" s="130" t="s">
        <v>10178</v>
      </c>
      <c r="C747" s="130" t="s">
        <v>10178</v>
      </c>
      <c r="D747" s="130" t="s">
        <v>10178</v>
      </c>
      <c r="E747" s="130" t="s">
        <v>10178</v>
      </c>
      <c r="F747" s="130" t="s">
        <v>10178</v>
      </c>
      <c r="G747" s="130" t="s">
        <v>10178</v>
      </c>
      <c r="H747" s="130" t="s">
        <v>10178</v>
      </c>
      <c r="I747" s="130" t="s">
        <v>10178</v>
      </c>
      <c r="J747" s="130" t="s">
        <v>10178</v>
      </c>
    </row>
    <row r="748">
      <c r="A748" s="191"/>
      <c r="B748" s="130" t="s">
        <v>10178</v>
      </c>
      <c r="C748" s="130" t="s">
        <v>10178</v>
      </c>
      <c r="D748" s="130" t="s">
        <v>10178</v>
      </c>
      <c r="E748" s="130" t="s">
        <v>10178</v>
      </c>
      <c r="F748" s="130" t="s">
        <v>10178</v>
      </c>
      <c r="G748" s="130" t="s">
        <v>10178</v>
      </c>
      <c r="H748" s="130" t="s">
        <v>10178</v>
      </c>
      <c r="I748" s="130" t="s">
        <v>10178</v>
      </c>
      <c r="J748" s="130" t="s">
        <v>10178</v>
      </c>
    </row>
    <row r="749">
      <c r="A749" s="191"/>
      <c r="B749" s="130" t="s">
        <v>10178</v>
      </c>
      <c r="C749" s="130" t="s">
        <v>10178</v>
      </c>
      <c r="D749" s="130" t="s">
        <v>10178</v>
      </c>
      <c r="E749" s="130" t="s">
        <v>10178</v>
      </c>
      <c r="F749" s="130" t="s">
        <v>10178</v>
      </c>
      <c r="G749" s="130" t="s">
        <v>10178</v>
      </c>
      <c r="H749" s="130" t="s">
        <v>10178</v>
      </c>
      <c r="I749" s="130" t="s">
        <v>10178</v>
      </c>
      <c r="J749" s="130" t="s">
        <v>10178</v>
      </c>
    </row>
    <row r="750">
      <c r="A750" s="191"/>
      <c r="B750" s="130" t="s">
        <v>10178</v>
      </c>
      <c r="C750" s="130" t="s">
        <v>10178</v>
      </c>
      <c r="D750" s="130" t="s">
        <v>10178</v>
      </c>
      <c r="E750" s="130" t="s">
        <v>10178</v>
      </c>
      <c r="F750" s="130" t="s">
        <v>10178</v>
      </c>
      <c r="G750" s="130" t="s">
        <v>10178</v>
      </c>
      <c r="H750" s="130" t="s">
        <v>10178</v>
      </c>
      <c r="I750" s="130" t="s">
        <v>10178</v>
      </c>
      <c r="J750" s="130" t="s">
        <v>10178</v>
      </c>
    </row>
    <row r="751">
      <c r="A751" s="191"/>
      <c r="B751" s="130" t="s">
        <v>10178</v>
      </c>
      <c r="C751" s="130" t="s">
        <v>10178</v>
      </c>
      <c r="D751" s="130" t="s">
        <v>10178</v>
      </c>
      <c r="E751" s="130" t="s">
        <v>10178</v>
      </c>
      <c r="F751" s="130" t="s">
        <v>10178</v>
      </c>
      <c r="G751" s="130" t="s">
        <v>10178</v>
      </c>
      <c r="H751" s="130" t="s">
        <v>10178</v>
      </c>
      <c r="I751" s="130" t="s">
        <v>10178</v>
      </c>
      <c r="J751" s="130" t="s">
        <v>10178</v>
      </c>
    </row>
    <row r="752">
      <c r="A752" s="191"/>
      <c r="B752" s="130" t="s">
        <v>10178</v>
      </c>
      <c r="C752" s="130" t="s">
        <v>10178</v>
      </c>
      <c r="D752" s="130" t="s">
        <v>10178</v>
      </c>
      <c r="E752" s="130" t="s">
        <v>10178</v>
      </c>
      <c r="F752" s="130" t="s">
        <v>10178</v>
      </c>
      <c r="G752" s="130" t="s">
        <v>10178</v>
      </c>
      <c r="H752" s="130" t="s">
        <v>10178</v>
      </c>
      <c r="I752" s="130" t="s">
        <v>10178</v>
      </c>
      <c r="J752" s="130" t="s">
        <v>10178</v>
      </c>
    </row>
    <row r="753">
      <c r="A753" s="191"/>
      <c r="B753" s="130" t="s">
        <v>10178</v>
      </c>
      <c r="C753" s="130" t="s">
        <v>10178</v>
      </c>
      <c r="D753" s="130" t="s">
        <v>10178</v>
      </c>
      <c r="E753" s="130" t="s">
        <v>10178</v>
      </c>
      <c r="F753" s="130" t="s">
        <v>10178</v>
      </c>
      <c r="G753" s="130" t="s">
        <v>10178</v>
      </c>
      <c r="H753" s="130" t="s">
        <v>10178</v>
      </c>
      <c r="I753" s="130" t="s">
        <v>10178</v>
      </c>
      <c r="J753" s="130" t="s">
        <v>10178</v>
      </c>
    </row>
    <row r="754">
      <c r="A754" s="191"/>
      <c r="B754" s="130" t="s">
        <v>10178</v>
      </c>
      <c r="C754" s="130" t="s">
        <v>10178</v>
      </c>
      <c r="D754" s="130" t="s">
        <v>10178</v>
      </c>
      <c r="E754" s="130" t="s">
        <v>10178</v>
      </c>
      <c r="F754" s="130" t="s">
        <v>10178</v>
      </c>
      <c r="G754" s="130" t="s">
        <v>10178</v>
      </c>
      <c r="H754" s="130" t="s">
        <v>10178</v>
      </c>
      <c r="I754" s="130" t="s">
        <v>10178</v>
      </c>
      <c r="J754" s="130" t="s">
        <v>10178</v>
      </c>
    </row>
    <row r="755">
      <c r="A755" s="191"/>
      <c r="B755" s="130" t="s">
        <v>10178</v>
      </c>
      <c r="C755" s="130" t="s">
        <v>10178</v>
      </c>
      <c r="D755" s="130" t="s">
        <v>10178</v>
      </c>
      <c r="E755" s="130" t="s">
        <v>10178</v>
      </c>
      <c r="F755" s="130" t="s">
        <v>10178</v>
      </c>
      <c r="G755" s="130" t="s">
        <v>10178</v>
      </c>
      <c r="H755" s="130" t="s">
        <v>10178</v>
      </c>
      <c r="I755" s="130" t="s">
        <v>10178</v>
      </c>
      <c r="J755" s="130" t="s">
        <v>10178</v>
      </c>
    </row>
    <row r="756">
      <c r="A756" s="191"/>
      <c r="B756" s="130" t="s">
        <v>10178</v>
      </c>
      <c r="C756" s="130" t="s">
        <v>10178</v>
      </c>
      <c r="D756" s="130" t="s">
        <v>10178</v>
      </c>
      <c r="E756" s="130" t="s">
        <v>10178</v>
      </c>
      <c r="F756" s="130" t="s">
        <v>10178</v>
      </c>
      <c r="G756" s="130" t="s">
        <v>10178</v>
      </c>
      <c r="H756" s="130" t="s">
        <v>10178</v>
      </c>
      <c r="I756" s="130" t="s">
        <v>10178</v>
      </c>
      <c r="J756" s="130" t="s">
        <v>10178</v>
      </c>
    </row>
    <row r="757">
      <c r="A757" s="191"/>
      <c r="B757" s="130" t="s">
        <v>10178</v>
      </c>
      <c r="C757" s="130" t="s">
        <v>10178</v>
      </c>
      <c r="D757" s="130" t="s">
        <v>10178</v>
      </c>
      <c r="E757" s="130" t="s">
        <v>10178</v>
      </c>
      <c r="F757" s="130" t="s">
        <v>10178</v>
      </c>
      <c r="G757" s="130" t="s">
        <v>10178</v>
      </c>
      <c r="H757" s="130" t="s">
        <v>10178</v>
      </c>
      <c r="I757" s="130" t="s">
        <v>10178</v>
      </c>
      <c r="J757" s="130" t="s">
        <v>10178</v>
      </c>
    </row>
    <row r="758">
      <c r="A758" s="191"/>
      <c r="B758" s="130" t="s">
        <v>10178</v>
      </c>
      <c r="C758" s="130" t="s">
        <v>10178</v>
      </c>
      <c r="D758" s="130" t="s">
        <v>10178</v>
      </c>
      <c r="E758" s="130" t="s">
        <v>10178</v>
      </c>
      <c r="F758" s="130" t="s">
        <v>10178</v>
      </c>
      <c r="G758" s="130" t="s">
        <v>10178</v>
      </c>
      <c r="H758" s="130" t="s">
        <v>10178</v>
      </c>
      <c r="I758" s="130" t="s">
        <v>10178</v>
      </c>
      <c r="J758" s="130" t="s">
        <v>10178</v>
      </c>
    </row>
    <row r="759">
      <c r="A759" s="191"/>
      <c r="B759" s="130" t="s">
        <v>10178</v>
      </c>
      <c r="C759" s="130" t="s">
        <v>10178</v>
      </c>
      <c r="D759" s="130" t="s">
        <v>10178</v>
      </c>
      <c r="E759" s="130" t="s">
        <v>10178</v>
      </c>
      <c r="F759" s="130" t="s">
        <v>10178</v>
      </c>
      <c r="G759" s="130" t="s">
        <v>10178</v>
      </c>
      <c r="H759" s="130" t="s">
        <v>10178</v>
      </c>
      <c r="I759" s="130" t="s">
        <v>10178</v>
      </c>
      <c r="J759" s="130" t="s">
        <v>10178</v>
      </c>
    </row>
    <row r="760">
      <c r="A760" s="191"/>
      <c r="B760" s="130" t="s">
        <v>10178</v>
      </c>
      <c r="C760" s="130" t="s">
        <v>10178</v>
      </c>
      <c r="D760" s="130" t="s">
        <v>10178</v>
      </c>
      <c r="E760" s="130" t="s">
        <v>10178</v>
      </c>
      <c r="F760" s="130" t="s">
        <v>10178</v>
      </c>
      <c r="G760" s="130" t="s">
        <v>10178</v>
      </c>
      <c r="H760" s="130" t="s">
        <v>10178</v>
      </c>
      <c r="I760" s="130" t="s">
        <v>10178</v>
      </c>
      <c r="J760" s="130" t="s">
        <v>10178</v>
      </c>
    </row>
    <row r="761">
      <c r="A761" s="191"/>
      <c r="B761" s="130" t="s">
        <v>10178</v>
      </c>
      <c r="C761" s="130" t="s">
        <v>10178</v>
      </c>
      <c r="D761" s="130" t="s">
        <v>10178</v>
      </c>
      <c r="E761" s="130" t="s">
        <v>10178</v>
      </c>
      <c r="F761" s="130" t="s">
        <v>10178</v>
      </c>
      <c r="G761" s="130" t="s">
        <v>10178</v>
      </c>
      <c r="H761" s="130" t="s">
        <v>10178</v>
      </c>
      <c r="I761" s="130" t="s">
        <v>10178</v>
      </c>
      <c r="J761" s="130" t="s">
        <v>10178</v>
      </c>
    </row>
    <row r="762">
      <c r="A762" s="191"/>
      <c r="B762" s="130" t="s">
        <v>10178</v>
      </c>
      <c r="C762" s="130" t="s">
        <v>10178</v>
      </c>
      <c r="D762" s="130" t="s">
        <v>10178</v>
      </c>
      <c r="E762" s="130" t="s">
        <v>10178</v>
      </c>
      <c r="F762" s="130" t="s">
        <v>10178</v>
      </c>
      <c r="G762" s="130" t="s">
        <v>10178</v>
      </c>
      <c r="H762" s="130" t="s">
        <v>10178</v>
      </c>
      <c r="I762" s="130" t="s">
        <v>10178</v>
      </c>
      <c r="J762" s="130" t="s">
        <v>10178</v>
      </c>
    </row>
    <row r="763">
      <c r="A763" s="191"/>
      <c r="B763" s="130" t="s">
        <v>10178</v>
      </c>
      <c r="C763" s="130" t="s">
        <v>10178</v>
      </c>
      <c r="D763" s="130" t="s">
        <v>10178</v>
      </c>
      <c r="E763" s="130" t="s">
        <v>10178</v>
      </c>
      <c r="F763" s="130" t="s">
        <v>10178</v>
      </c>
      <c r="G763" s="130" t="s">
        <v>10178</v>
      </c>
      <c r="H763" s="130" t="s">
        <v>10178</v>
      </c>
      <c r="I763" s="130" t="s">
        <v>10178</v>
      </c>
      <c r="J763" s="130" t="s">
        <v>10178</v>
      </c>
    </row>
    <row r="764">
      <c r="A764" s="191"/>
      <c r="B764" s="130" t="s">
        <v>10178</v>
      </c>
      <c r="C764" s="130" t="s">
        <v>10178</v>
      </c>
      <c r="D764" s="130" t="s">
        <v>10178</v>
      </c>
      <c r="E764" s="130" t="s">
        <v>10178</v>
      </c>
      <c r="F764" s="130" t="s">
        <v>10178</v>
      </c>
      <c r="G764" s="130" t="s">
        <v>10178</v>
      </c>
      <c r="H764" s="130" t="s">
        <v>10178</v>
      </c>
      <c r="I764" s="130" t="s">
        <v>10178</v>
      </c>
      <c r="J764" s="130" t="s">
        <v>10178</v>
      </c>
    </row>
    <row r="765">
      <c r="A765" s="191"/>
      <c r="B765" s="130" t="s">
        <v>10178</v>
      </c>
      <c r="C765" s="130" t="s">
        <v>10178</v>
      </c>
      <c r="D765" s="130" t="s">
        <v>10178</v>
      </c>
      <c r="E765" s="130" t="s">
        <v>10178</v>
      </c>
      <c r="F765" s="130" t="s">
        <v>10178</v>
      </c>
      <c r="G765" s="130" t="s">
        <v>10178</v>
      </c>
      <c r="H765" s="130" t="s">
        <v>10178</v>
      </c>
      <c r="I765" s="130" t="s">
        <v>10178</v>
      </c>
      <c r="J765" s="130" t="s">
        <v>10178</v>
      </c>
    </row>
    <row r="766">
      <c r="A766" s="191"/>
      <c r="B766" s="130" t="s">
        <v>10178</v>
      </c>
      <c r="C766" s="130" t="s">
        <v>10178</v>
      </c>
      <c r="D766" s="130" t="s">
        <v>10178</v>
      </c>
      <c r="E766" s="130" t="s">
        <v>10178</v>
      </c>
      <c r="F766" s="130" t="s">
        <v>10178</v>
      </c>
      <c r="G766" s="130" t="s">
        <v>10178</v>
      </c>
      <c r="H766" s="130" t="s">
        <v>10178</v>
      </c>
      <c r="I766" s="130" t="s">
        <v>10178</v>
      </c>
      <c r="J766" s="130" t="s">
        <v>10178</v>
      </c>
    </row>
    <row r="767">
      <c r="A767" s="191"/>
      <c r="B767" s="130" t="s">
        <v>10178</v>
      </c>
      <c r="C767" s="130" t="s">
        <v>10178</v>
      </c>
      <c r="D767" s="130" t="s">
        <v>10178</v>
      </c>
      <c r="E767" s="130" t="s">
        <v>10178</v>
      </c>
      <c r="F767" s="130" t="s">
        <v>10178</v>
      </c>
      <c r="G767" s="130" t="s">
        <v>10178</v>
      </c>
      <c r="H767" s="130" t="s">
        <v>10178</v>
      </c>
      <c r="I767" s="130" t="s">
        <v>10178</v>
      </c>
      <c r="J767" s="130" t="s">
        <v>10178</v>
      </c>
    </row>
    <row r="768">
      <c r="A768" s="191"/>
      <c r="B768" s="130" t="s">
        <v>10178</v>
      </c>
      <c r="C768" s="130" t="s">
        <v>10178</v>
      </c>
      <c r="D768" s="130" t="s">
        <v>10178</v>
      </c>
      <c r="E768" s="130" t="s">
        <v>10178</v>
      </c>
      <c r="F768" s="130" t="s">
        <v>10178</v>
      </c>
      <c r="G768" s="130" t="s">
        <v>10178</v>
      </c>
      <c r="H768" s="130" t="s">
        <v>10178</v>
      </c>
      <c r="I768" s="130" t="s">
        <v>10178</v>
      </c>
      <c r="J768" s="130" t="s">
        <v>10178</v>
      </c>
    </row>
    <row r="769">
      <c r="A769" s="191"/>
      <c r="B769" s="130" t="s">
        <v>10178</v>
      </c>
      <c r="C769" s="130" t="s">
        <v>10178</v>
      </c>
      <c r="D769" s="130" t="s">
        <v>10178</v>
      </c>
      <c r="E769" s="130" t="s">
        <v>10178</v>
      </c>
      <c r="F769" s="130" t="s">
        <v>10178</v>
      </c>
      <c r="G769" s="130" t="s">
        <v>10178</v>
      </c>
      <c r="H769" s="130" t="s">
        <v>10178</v>
      </c>
      <c r="I769" s="130" t="s">
        <v>10178</v>
      </c>
      <c r="J769" s="130" t="s">
        <v>10178</v>
      </c>
    </row>
    <row r="770">
      <c r="A770" s="191"/>
      <c r="B770" s="130" t="s">
        <v>10178</v>
      </c>
      <c r="C770" s="130" t="s">
        <v>10178</v>
      </c>
      <c r="D770" s="130" t="s">
        <v>10178</v>
      </c>
      <c r="E770" s="130" t="s">
        <v>10178</v>
      </c>
      <c r="F770" s="130" t="s">
        <v>10178</v>
      </c>
      <c r="G770" s="130" t="s">
        <v>10178</v>
      </c>
      <c r="H770" s="130" t="s">
        <v>10178</v>
      </c>
      <c r="I770" s="130" t="s">
        <v>10178</v>
      </c>
      <c r="J770" s="130" t="s">
        <v>10178</v>
      </c>
    </row>
    <row r="771">
      <c r="A771" s="191"/>
      <c r="B771" s="130" t="s">
        <v>10178</v>
      </c>
      <c r="C771" s="130" t="s">
        <v>10178</v>
      </c>
      <c r="D771" s="130" t="s">
        <v>10178</v>
      </c>
      <c r="E771" s="130" t="s">
        <v>10178</v>
      </c>
      <c r="F771" s="130" t="s">
        <v>10178</v>
      </c>
      <c r="G771" s="130" t="s">
        <v>10178</v>
      </c>
      <c r="H771" s="130" t="s">
        <v>10178</v>
      </c>
      <c r="I771" s="130" t="s">
        <v>10178</v>
      </c>
      <c r="J771" s="130" t="s">
        <v>10178</v>
      </c>
    </row>
    <row r="772">
      <c r="A772" s="191"/>
      <c r="B772" s="130" t="s">
        <v>10178</v>
      </c>
      <c r="C772" s="130" t="s">
        <v>10178</v>
      </c>
      <c r="D772" s="130" t="s">
        <v>10178</v>
      </c>
      <c r="E772" s="130" t="s">
        <v>10178</v>
      </c>
      <c r="F772" s="130" t="s">
        <v>10178</v>
      </c>
      <c r="G772" s="130" t="s">
        <v>10178</v>
      </c>
      <c r="H772" s="130" t="s">
        <v>10178</v>
      </c>
      <c r="I772" s="130" t="s">
        <v>10178</v>
      </c>
      <c r="J772" s="130" t="s">
        <v>10178</v>
      </c>
    </row>
    <row r="773">
      <c r="A773" s="191"/>
      <c r="B773" s="130" t="s">
        <v>10178</v>
      </c>
      <c r="C773" s="130" t="s">
        <v>10178</v>
      </c>
      <c r="D773" s="130" t="s">
        <v>10178</v>
      </c>
      <c r="E773" s="130" t="s">
        <v>10178</v>
      </c>
      <c r="F773" s="130" t="s">
        <v>10178</v>
      </c>
      <c r="G773" s="130" t="s">
        <v>10178</v>
      </c>
      <c r="H773" s="130" t="s">
        <v>10178</v>
      </c>
      <c r="I773" s="130" t="s">
        <v>10178</v>
      </c>
      <c r="J773" s="130" t="s">
        <v>10178</v>
      </c>
    </row>
    <row r="774">
      <c r="A774" s="191"/>
      <c r="B774" s="130" t="s">
        <v>10178</v>
      </c>
      <c r="C774" s="130" t="s">
        <v>10178</v>
      </c>
      <c r="D774" s="130" t="s">
        <v>10178</v>
      </c>
      <c r="E774" s="130" t="s">
        <v>10178</v>
      </c>
      <c r="F774" s="130" t="s">
        <v>10178</v>
      </c>
      <c r="G774" s="130" t="s">
        <v>10178</v>
      </c>
      <c r="H774" s="130" t="s">
        <v>10178</v>
      </c>
      <c r="I774" s="130" t="s">
        <v>10178</v>
      </c>
      <c r="J774" s="130" t="s">
        <v>10178</v>
      </c>
    </row>
    <row r="775">
      <c r="A775" s="191"/>
      <c r="B775" s="130" t="s">
        <v>10178</v>
      </c>
      <c r="C775" s="130" t="s">
        <v>10178</v>
      </c>
      <c r="D775" s="130" t="s">
        <v>10178</v>
      </c>
      <c r="E775" s="130" t="s">
        <v>10178</v>
      </c>
      <c r="F775" s="130" t="s">
        <v>10178</v>
      </c>
      <c r="G775" s="130" t="s">
        <v>10178</v>
      </c>
      <c r="H775" s="130" t="s">
        <v>10178</v>
      </c>
      <c r="I775" s="130" t="s">
        <v>10178</v>
      </c>
      <c r="J775" s="130" t="s">
        <v>10178</v>
      </c>
    </row>
    <row r="776">
      <c r="A776" s="191"/>
      <c r="B776" s="130" t="s">
        <v>10178</v>
      </c>
      <c r="C776" s="130" t="s">
        <v>10178</v>
      </c>
      <c r="D776" s="130" t="s">
        <v>10178</v>
      </c>
      <c r="E776" s="130" t="s">
        <v>10178</v>
      </c>
      <c r="F776" s="130" t="s">
        <v>10178</v>
      </c>
      <c r="G776" s="130" t="s">
        <v>10178</v>
      </c>
      <c r="H776" s="130" t="s">
        <v>10178</v>
      </c>
      <c r="I776" s="130" t="s">
        <v>10178</v>
      </c>
      <c r="J776" s="130" t="s">
        <v>10178</v>
      </c>
    </row>
    <row r="777">
      <c r="A777" s="191"/>
      <c r="B777" s="130" t="s">
        <v>10178</v>
      </c>
      <c r="C777" s="130" t="s">
        <v>10178</v>
      </c>
      <c r="D777" s="130" t="s">
        <v>10178</v>
      </c>
      <c r="E777" s="130" t="s">
        <v>10178</v>
      </c>
      <c r="F777" s="130" t="s">
        <v>10178</v>
      </c>
      <c r="G777" s="130" t="s">
        <v>10178</v>
      </c>
      <c r="H777" s="130" t="s">
        <v>10178</v>
      </c>
      <c r="I777" s="130" t="s">
        <v>10178</v>
      </c>
      <c r="J777" s="130" t="s">
        <v>10178</v>
      </c>
    </row>
    <row r="778">
      <c r="A778" s="191"/>
      <c r="B778" s="130" t="s">
        <v>10178</v>
      </c>
      <c r="C778" s="130" t="s">
        <v>10178</v>
      </c>
      <c r="D778" s="130" t="s">
        <v>10178</v>
      </c>
      <c r="E778" s="130" t="s">
        <v>10178</v>
      </c>
      <c r="F778" s="130" t="s">
        <v>10178</v>
      </c>
      <c r="G778" s="130" t="s">
        <v>10178</v>
      </c>
      <c r="H778" s="130" t="s">
        <v>10178</v>
      </c>
      <c r="I778" s="130" t="s">
        <v>10178</v>
      </c>
      <c r="J778" s="130" t="s">
        <v>10178</v>
      </c>
    </row>
    <row r="779">
      <c r="A779" s="191"/>
      <c r="B779" s="130" t="s">
        <v>10178</v>
      </c>
      <c r="C779" s="130" t="s">
        <v>10178</v>
      </c>
      <c r="D779" s="130" t="s">
        <v>10178</v>
      </c>
      <c r="E779" s="130" t="s">
        <v>10178</v>
      </c>
      <c r="F779" s="130" t="s">
        <v>10178</v>
      </c>
      <c r="G779" s="130" t="s">
        <v>10178</v>
      </c>
      <c r="H779" s="130" t="s">
        <v>10178</v>
      </c>
      <c r="I779" s="130" t="s">
        <v>10178</v>
      </c>
      <c r="J779" s="130" t="s">
        <v>10178</v>
      </c>
    </row>
    <row r="780">
      <c r="A780" s="191"/>
      <c r="B780" s="130" t="s">
        <v>10178</v>
      </c>
      <c r="C780" s="130" t="s">
        <v>10178</v>
      </c>
      <c r="D780" s="130" t="s">
        <v>10178</v>
      </c>
      <c r="E780" s="130" t="s">
        <v>10178</v>
      </c>
      <c r="F780" s="130" t="s">
        <v>10178</v>
      </c>
      <c r="G780" s="130" t="s">
        <v>10178</v>
      </c>
      <c r="H780" s="130" t="s">
        <v>10178</v>
      </c>
      <c r="I780" s="130" t="s">
        <v>10178</v>
      </c>
      <c r="J780" s="130" t="s">
        <v>10178</v>
      </c>
    </row>
    <row r="781">
      <c r="A781" s="191"/>
      <c r="B781" s="130" t="s">
        <v>10178</v>
      </c>
      <c r="C781" s="130" t="s">
        <v>10178</v>
      </c>
      <c r="D781" s="130" t="s">
        <v>10178</v>
      </c>
      <c r="E781" s="130" t="s">
        <v>10178</v>
      </c>
      <c r="F781" s="130" t="s">
        <v>10178</v>
      </c>
      <c r="G781" s="130" t="s">
        <v>10178</v>
      </c>
      <c r="H781" s="130" t="s">
        <v>10178</v>
      </c>
      <c r="I781" s="130" t="s">
        <v>10178</v>
      </c>
      <c r="J781" s="130" t="s">
        <v>10178</v>
      </c>
    </row>
    <row r="782">
      <c r="A782" s="191"/>
      <c r="B782" s="130" t="s">
        <v>10178</v>
      </c>
      <c r="C782" s="130" t="s">
        <v>10178</v>
      </c>
      <c r="D782" s="130" t="s">
        <v>10178</v>
      </c>
      <c r="E782" s="130" t="s">
        <v>10178</v>
      </c>
      <c r="F782" s="130" t="s">
        <v>10178</v>
      </c>
      <c r="G782" s="130" t="s">
        <v>10178</v>
      </c>
      <c r="H782" s="130" t="s">
        <v>10178</v>
      </c>
      <c r="I782" s="130" t="s">
        <v>10178</v>
      </c>
      <c r="J782" s="130" t="s">
        <v>10178</v>
      </c>
    </row>
    <row r="783">
      <c r="A783" s="191"/>
      <c r="B783" s="130" t="s">
        <v>10178</v>
      </c>
      <c r="C783" s="130" t="s">
        <v>10178</v>
      </c>
      <c r="D783" s="130" t="s">
        <v>10178</v>
      </c>
      <c r="E783" s="130" t="s">
        <v>10178</v>
      </c>
      <c r="F783" s="130" t="s">
        <v>10178</v>
      </c>
      <c r="G783" s="130" t="s">
        <v>10178</v>
      </c>
      <c r="H783" s="130" t="s">
        <v>10178</v>
      </c>
      <c r="I783" s="130" t="s">
        <v>10178</v>
      </c>
      <c r="J783" s="130" t="s">
        <v>10178</v>
      </c>
    </row>
    <row r="784">
      <c r="A784" s="191"/>
      <c r="B784" s="130" t="s">
        <v>10178</v>
      </c>
      <c r="C784" s="130" t="s">
        <v>10178</v>
      </c>
      <c r="D784" s="130" t="s">
        <v>10178</v>
      </c>
      <c r="E784" s="130" t="s">
        <v>10178</v>
      </c>
      <c r="F784" s="130" t="s">
        <v>10178</v>
      </c>
      <c r="G784" s="130" t="s">
        <v>10178</v>
      </c>
      <c r="H784" s="130" t="s">
        <v>10178</v>
      </c>
      <c r="I784" s="130" t="s">
        <v>10178</v>
      </c>
      <c r="J784" s="130" t="s">
        <v>10178</v>
      </c>
    </row>
    <row r="785">
      <c r="A785" s="191"/>
      <c r="B785" s="130" t="s">
        <v>10178</v>
      </c>
      <c r="C785" s="130" t="s">
        <v>10178</v>
      </c>
      <c r="D785" s="130" t="s">
        <v>10178</v>
      </c>
      <c r="E785" s="130" t="s">
        <v>10178</v>
      </c>
      <c r="F785" s="130" t="s">
        <v>10178</v>
      </c>
      <c r="G785" s="130" t="s">
        <v>10178</v>
      </c>
      <c r="H785" s="130" t="s">
        <v>10178</v>
      </c>
      <c r="I785" s="130" t="s">
        <v>10178</v>
      </c>
      <c r="J785" s="130" t="s">
        <v>10178</v>
      </c>
    </row>
    <row r="786">
      <c r="A786" s="191"/>
      <c r="B786" s="130" t="s">
        <v>10178</v>
      </c>
      <c r="C786" s="130" t="s">
        <v>10178</v>
      </c>
      <c r="D786" s="130" t="s">
        <v>10178</v>
      </c>
      <c r="E786" s="130" t="s">
        <v>10178</v>
      </c>
      <c r="F786" s="130" t="s">
        <v>10178</v>
      </c>
      <c r="G786" s="130" t="s">
        <v>10178</v>
      </c>
      <c r="H786" s="130" t="s">
        <v>10178</v>
      </c>
      <c r="I786" s="130" t="s">
        <v>10178</v>
      </c>
      <c r="J786" s="130" t="s">
        <v>10178</v>
      </c>
    </row>
    <row r="787">
      <c r="A787" s="191"/>
      <c r="B787" s="130" t="s">
        <v>10178</v>
      </c>
      <c r="C787" s="130" t="s">
        <v>10178</v>
      </c>
      <c r="D787" s="130" t="s">
        <v>10178</v>
      </c>
      <c r="E787" s="130" t="s">
        <v>10178</v>
      </c>
      <c r="F787" s="130" t="s">
        <v>10178</v>
      </c>
      <c r="G787" s="130" t="s">
        <v>10178</v>
      </c>
      <c r="H787" s="130" t="s">
        <v>10178</v>
      </c>
      <c r="I787" s="130" t="s">
        <v>10178</v>
      </c>
      <c r="J787" s="130" t="s">
        <v>10178</v>
      </c>
    </row>
    <row r="788">
      <c r="A788" s="191"/>
      <c r="B788" s="130" t="s">
        <v>10178</v>
      </c>
      <c r="C788" s="130" t="s">
        <v>10178</v>
      </c>
      <c r="D788" s="130" t="s">
        <v>10178</v>
      </c>
      <c r="E788" s="130" t="s">
        <v>10178</v>
      </c>
      <c r="F788" s="130" t="s">
        <v>10178</v>
      </c>
      <c r="G788" s="130" t="s">
        <v>10178</v>
      </c>
      <c r="H788" s="130" t="s">
        <v>10178</v>
      </c>
      <c r="I788" s="130" t="s">
        <v>10178</v>
      </c>
      <c r="J788" s="130" t="s">
        <v>10178</v>
      </c>
    </row>
    <row r="789">
      <c r="A789" s="191"/>
      <c r="B789" s="130" t="s">
        <v>10178</v>
      </c>
      <c r="C789" s="130" t="s">
        <v>10178</v>
      </c>
      <c r="D789" s="130" t="s">
        <v>10178</v>
      </c>
      <c r="E789" s="130" t="s">
        <v>10178</v>
      </c>
      <c r="F789" s="130" t="s">
        <v>10178</v>
      </c>
      <c r="G789" s="130" t="s">
        <v>10178</v>
      </c>
      <c r="H789" s="130" t="s">
        <v>10178</v>
      </c>
      <c r="I789" s="130" t="s">
        <v>10178</v>
      </c>
      <c r="J789" s="130" t="s">
        <v>10178</v>
      </c>
    </row>
    <row r="790">
      <c r="A790" s="191"/>
      <c r="B790" s="130" t="s">
        <v>10178</v>
      </c>
      <c r="C790" s="130" t="s">
        <v>10178</v>
      </c>
      <c r="D790" s="130" t="s">
        <v>10178</v>
      </c>
      <c r="E790" s="130" t="s">
        <v>10178</v>
      </c>
      <c r="F790" s="130" t="s">
        <v>10178</v>
      </c>
      <c r="G790" s="130" t="s">
        <v>10178</v>
      </c>
      <c r="H790" s="130" t="s">
        <v>10178</v>
      </c>
      <c r="I790" s="130" t="s">
        <v>10178</v>
      </c>
      <c r="J790" s="130" t="s">
        <v>10178</v>
      </c>
    </row>
    <row r="791">
      <c r="A791" s="191"/>
      <c r="B791" s="130" t="s">
        <v>10178</v>
      </c>
      <c r="C791" s="130" t="s">
        <v>10178</v>
      </c>
      <c r="D791" s="130" t="s">
        <v>10178</v>
      </c>
      <c r="E791" s="130" t="s">
        <v>10178</v>
      </c>
      <c r="F791" s="130" t="s">
        <v>10178</v>
      </c>
      <c r="G791" s="130" t="s">
        <v>10178</v>
      </c>
      <c r="H791" s="130" t="s">
        <v>10178</v>
      </c>
      <c r="I791" s="130" t="s">
        <v>10178</v>
      </c>
      <c r="J791" s="130" t="s">
        <v>10178</v>
      </c>
    </row>
    <row r="792">
      <c r="A792" s="191"/>
      <c r="B792" s="130" t="s">
        <v>10178</v>
      </c>
      <c r="C792" s="130" t="s">
        <v>10178</v>
      </c>
      <c r="D792" s="130" t="s">
        <v>10178</v>
      </c>
      <c r="E792" s="130" t="s">
        <v>10178</v>
      </c>
      <c r="F792" s="130" t="s">
        <v>10178</v>
      </c>
      <c r="G792" s="130" t="s">
        <v>10178</v>
      </c>
      <c r="H792" s="130" t="s">
        <v>10178</v>
      </c>
      <c r="I792" s="130" t="s">
        <v>10178</v>
      </c>
      <c r="J792" s="130" t="s">
        <v>10178</v>
      </c>
    </row>
    <row r="793">
      <c r="A793" s="191"/>
      <c r="B793" s="130" t="s">
        <v>10178</v>
      </c>
      <c r="C793" s="130" t="s">
        <v>10178</v>
      </c>
      <c r="D793" s="130" t="s">
        <v>10178</v>
      </c>
      <c r="E793" s="130" t="s">
        <v>10178</v>
      </c>
      <c r="F793" s="130" t="s">
        <v>10178</v>
      </c>
      <c r="G793" s="130" t="s">
        <v>10178</v>
      </c>
      <c r="H793" s="130" t="s">
        <v>10178</v>
      </c>
      <c r="I793" s="130" t="s">
        <v>10178</v>
      </c>
      <c r="J793" s="130" t="s">
        <v>10178</v>
      </c>
    </row>
    <row r="794">
      <c r="A794" s="191"/>
      <c r="B794" s="130" t="s">
        <v>10178</v>
      </c>
      <c r="C794" s="130" t="s">
        <v>10178</v>
      </c>
      <c r="D794" s="130" t="s">
        <v>10178</v>
      </c>
      <c r="E794" s="130" t="s">
        <v>10178</v>
      </c>
      <c r="F794" s="130" t="s">
        <v>10178</v>
      </c>
      <c r="G794" s="130" t="s">
        <v>10178</v>
      </c>
      <c r="H794" s="130" t="s">
        <v>10178</v>
      </c>
      <c r="I794" s="130" t="s">
        <v>10178</v>
      </c>
      <c r="J794" s="130" t="s">
        <v>10178</v>
      </c>
    </row>
    <row r="795">
      <c r="A795" s="191"/>
      <c r="B795" s="130" t="s">
        <v>10178</v>
      </c>
      <c r="C795" s="130" t="s">
        <v>10178</v>
      </c>
      <c r="D795" s="130" t="s">
        <v>10178</v>
      </c>
      <c r="E795" s="130" t="s">
        <v>10178</v>
      </c>
      <c r="F795" s="130" t="s">
        <v>10178</v>
      </c>
      <c r="G795" s="130" t="s">
        <v>10178</v>
      </c>
      <c r="H795" s="130" t="s">
        <v>10178</v>
      </c>
      <c r="I795" s="130" t="s">
        <v>10178</v>
      </c>
      <c r="J795" s="130" t="s">
        <v>10178</v>
      </c>
    </row>
    <row r="796">
      <c r="A796" s="191"/>
      <c r="B796" s="130" t="s">
        <v>10178</v>
      </c>
      <c r="C796" s="130" t="s">
        <v>10178</v>
      </c>
      <c r="D796" s="130" t="s">
        <v>10178</v>
      </c>
      <c r="E796" s="130" t="s">
        <v>10178</v>
      </c>
      <c r="F796" s="130" t="s">
        <v>10178</v>
      </c>
      <c r="G796" s="130" t="s">
        <v>10178</v>
      </c>
      <c r="H796" s="130" t="s">
        <v>10178</v>
      </c>
      <c r="I796" s="130" t="s">
        <v>10178</v>
      </c>
      <c r="J796" s="130" t="s">
        <v>10178</v>
      </c>
    </row>
    <row r="797">
      <c r="A797" s="191"/>
      <c r="B797" s="130" t="s">
        <v>10178</v>
      </c>
      <c r="C797" s="130" t="s">
        <v>10178</v>
      </c>
      <c r="D797" s="130" t="s">
        <v>10178</v>
      </c>
      <c r="E797" s="130" t="s">
        <v>10178</v>
      </c>
      <c r="F797" s="130" t="s">
        <v>10178</v>
      </c>
      <c r="G797" s="130" t="s">
        <v>10178</v>
      </c>
      <c r="H797" s="130" t="s">
        <v>10178</v>
      </c>
      <c r="I797" s="130" t="s">
        <v>10178</v>
      </c>
      <c r="J797" s="130" t="s">
        <v>10178</v>
      </c>
    </row>
    <row r="798">
      <c r="A798" s="191"/>
      <c r="B798" s="130" t="s">
        <v>10178</v>
      </c>
      <c r="C798" s="130" t="s">
        <v>10178</v>
      </c>
      <c r="D798" s="130" t="s">
        <v>10178</v>
      </c>
      <c r="E798" s="130" t="s">
        <v>10178</v>
      </c>
      <c r="F798" s="130" t="s">
        <v>10178</v>
      </c>
      <c r="G798" s="130" t="s">
        <v>10178</v>
      </c>
      <c r="H798" s="130" t="s">
        <v>10178</v>
      </c>
      <c r="I798" s="130" t="s">
        <v>10178</v>
      </c>
      <c r="J798" s="130" t="s">
        <v>10178</v>
      </c>
    </row>
    <row r="799">
      <c r="A799" s="191"/>
      <c r="B799" s="130" t="s">
        <v>10178</v>
      </c>
      <c r="C799" s="130" t="s">
        <v>10178</v>
      </c>
      <c r="D799" s="130" t="s">
        <v>10178</v>
      </c>
      <c r="E799" s="130" t="s">
        <v>10178</v>
      </c>
      <c r="F799" s="130" t="s">
        <v>10178</v>
      </c>
      <c r="G799" s="130" t="s">
        <v>10178</v>
      </c>
      <c r="H799" s="130" t="s">
        <v>10178</v>
      </c>
      <c r="I799" s="130" t="s">
        <v>10178</v>
      </c>
      <c r="J799" s="130" t="s">
        <v>10178</v>
      </c>
    </row>
    <row r="800">
      <c r="A800" s="191"/>
      <c r="B800" s="130" t="s">
        <v>10178</v>
      </c>
      <c r="C800" s="130" t="s">
        <v>10178</v>
      </c>
      <c r="D800" s="130" t="s">
        <v>10178</v>
      </c>
      <c r="E800" s="130" t="s">
        <v>10178</v>
      </c>
      <c r="F800" s="130" t="s">
        <v>10178</v>
      </c>
      <c r="G800" s="130" t="s">
        <v>10178</v>
      </c>
      <c r="H800" s="130" t="s">
        <v>10178</v>
      </c>
      <c r="I800" s="130" t="s">
        <v>10178</v>
      </c>
      <c r="J800" s="130" t="s">
        <v>10178</v>
      </c>
    </row>
    <row r="801">
      <c r="A801" s="191"/>
      <c r="B801" s="130" t="s">
        <v>10178</v>
      </c>
      <c r="C801" s="130" t="s">
        <v>10178</v>
      </c>
      <c r="D801" s="130" t="s">
        <v>10178</v>
      </c>
      <c r="E801" s="130" t="s">
        <v>10178</v>
      </c>
      <c r="F801" s="130" t="s">
        <v>10178</v>
      </c>
      <c r="G801" s="130" t="s">
        <v>10178</v>
      </c>
      <c r="H801" s="130" t="s">
        <v>10178</v>
      </c>
      <c r="I801" s="130" t="s">
        <v>10178</v>
      </c>
      <c r="J801" s="130" t="s">
        <v>10178</v>
      </c>
    </row>
    <row r="802">
      <c r="A802" s="191"/>
      <c r="B802" s="130" t="s">
        <v>10178</v>
      </c>
      <c r="C802" s="130" t="s">
        <v>10178</v>
      </c>
      <c r="D802" s="130" t="s">
        <v>10178</v>
      </c>
      <c r="E802" s="130" t="s">
        <v>10178</v>
      </c>
      <c r="F802" s="130" t="s">
        <v>10178</v>
      </c>
      <c r="G802" s="130" t="s">
        <v>10178</v>
      </c>
      <c r="H802" s="130" t="s">
        <v>10178</v>
      </c>
      <c r="I802" s="130" t="s">
        <v>10178</v>
      </c>
      <c r="J802" s="130" t="s">
        <v>10178</v>
      </c>
    </row>
    <row r="803">
      <c r="A803" s="191"/>
      <c r="B803" s="130" t="s">
        <v>10178</v>
      </c>
      <c r="C803" s="130" t="s">
        <v>10178</v>
      </c>
      <c r="D803" s="130" t="s">
        <v>10178</v>
      </c>
      <c r="E803" s="130" t="s">
        <v>10178</v>
      </c>
      <c r="F803" s="130" t="s">
        <v>10178</v>
      </c>
      <c r="G803" s="130" t="s">
        <v>10178</v>
      </c>
      <c r="H803" s="130" t="s">
        <v>10178</v>
      </c>
      <c r="I803" s="130" t="s">
        <v>10178</v>
      </c>
      <c r="J803" s="130" t="s">
        <v>10178</v>
      </c>
    </row>
    <row r="804">
      <c r="A804" s="191"/>
      <c r="B804" s="130" t="s">
        <v>10178</v>
      </c>
      <c r="C804" s="130" t="s">
        <v>10178</v>
      </c>
      <c r="D804" s="130" t="s">
        <v>10178</v>
      </c>
      <c r="E804" s="130" t="s">
        <v>10178</v>
      </c>
      <c r="F804" s="130" t="s">
        <v>10178</v>
      </c>
      <c r="G804" s="130" t="s">
        <v>10178</v>
      </c>
      <c r="H804" s="130" t="s">
        <v>10178</v>
      </c>
      <c r="I804" s="130" t="s">
        <v>10178</v>
      </c>
      <c r="J804" s="130" t="s">
        <v>10178</v>
      </c>
    </row>
    <row r="805">
      <c r="A805" s="191"/>
      <c r="B805" s="130" t="s">
        <v>10178</v>
      </c>
      <c r="C805" s="130" t="s">
        <v>10178</v>
      </c>
      <c r="D805" s="130" t="s">
        <v>10178</v>
      </c>
      <c r="E805" s="130" t="s">
        <v>10178</v>
      </c>
      <c r="F805" s="130" t="s">
        <v>10178</v>
      </c>
      <c r="G805" s="130" t="s">
        <v>10178</v>
      </c>
      <c r="H805" s="130" t="s">
        <v>10178</v>
      </c>
      <c r="I805" s="130" t="s">
        <v>10178</v>
      </c>
      <c r="J805" s="130" t="s">
        <v>10178</v>
      </c>
    </row>
    <row r="806">
      <c r="A806" s="191"/>
      <c r="B806" s="130" t="s">
        <v>10178</v>
      </c>
      <c r="C806" s="130" t="s">
        <v>10178</v>
      </c>
      <c r="D806" s="130" t="s">
        <v>10178</v>
      </c>
      <c r="E806" s="130" t="s">
        <v>10178</v>
      </c>
      <c r="F806" s="130" t="s">
        <v>10178</v>
      </c>
      <c r="G806" s="130" t="s">
        <v>10178</v>
      </c>
      <c r="H806" s="130" t="s">
        <v>10178</v>
      </c>
      <c r="I806" s="130" t="s">
        <v>10178</v>
      </c>
      <c r="J806" s="130" t="s">
        <v>10178</v>
      </c>
    </row>
    <row r="807">
      <c r="A807" s="191"/>
      <c r="B807" s="130" t="s">
        <v>10178</v>
      </c>
      <c r="C807" s="130" t="s">
        <v>10178</v>
      </c>
      <c r="D807" s="130" t="s">
        <v>10178</v>
      </c>
      <c r="E807" s="130" t="s">
        <v>10178</v>
      </c>
      <c r="F807" s="130" t="s">
        <v>10178</v>
      </c>
      <c r="G807" s="130" t="s">
        <v>10178</v>
      </c>
      <c r="H807" s="130" t="s">
        <v>10178</v>
      </c>
      <c r="I807" s="130" t="s">
        <v>10178</v>
      </c>
      <c r="J807" s="130" t="s">
        <v>10178</v>
      </c>
    </row>
    <row r="808">
      <c r="A808" s="191"/>
      <c r="B808" s="130" t="s">
        <v>10178</v>
      </c>
      <c r="C808" s="130" t="s">
        <v>10178</v>
      </c>
      <c r="D808" s="130" t="s">
        <v>10178</v>
      </c>
      <c r="E808" s="130" t="s">
        <v>10178</v>
      </c>
      <c r="F808" s="130" t="s">
        <v>10178</v>
      </c>
      <c r="G808" s="130" t="s">
        <v>10178</v>
      </c>
      <c r="H808" s="130" t="s">
        <v>10178</v>
      </c>
      <c r="I808" s="130" t="s">
        <v>10178</v>
      </c>
      <c r="J808" s="130" t="s">
        <v>10178</v>
      </c>
    </row>
    <row r="809">
      <c r="A809" s="191"/>
      <c r="B809" s="130" t="s">
        <v>10178</v>
      </c>
      <c r="C809" s="130" t="s">
        <v>10178</v>
      </c>
      <c r="D809" s="130" t="s">
        <v>10178</v>
      </c>
      <c r="E809" s="130" t="s">
        <v>10178</v>
      </c>
      <c r="F809" s="130" t="s">
        <v>10178</v>
      </c>
      <c r="G809" s="130" t="s">
        <v>10178</v>
      </c>
      <c r="H809" s="130" t="s">
        <v>10178</v>
      </c>
      <c r="I809" s="130" t="s">
        <v>10178</v>
      </c>
      <c r="J809" s="130" t="s">
        <v>10178</v>
      </c>
    </row>
    <row r="810">
      <c r="A810" s="191"/>
      <c r="B810" s="130" t="s">
        <v>10178</v>
      </c>
      <c r="C810" s="130" t="s">
        <v>10178</v>
      </c>
      <c r="D810" s="130" t="s">
        <v>10178</v>
      </c>
      <c r="E810" s="130" t="s">
        <v>10178</v>
      </c>
      <c r="F810" s="130" t="s">
        <v>10178</v>
      </c>
      <c r="G810" s="130" t="s">
        <v>10178</v>
      </c>
      <c r="H810" s="130" t="s">
        <v>10178</v>
      </c>
      <c r="I810" s="130" t="s">
        <v>10178</v>
      </c>
      <c r="J810" s="130" t="s">
        <v>10178</v>
      </c>
    </row>
    <row r="811">
      <c r="A811" s="191"/>
      <c r="B811" s="130" t="s">
        <v>10178</v>
      </c>
      <c r="C811" s="130" t="s">
        <v>10178</v>
      </c>
      <c r="D811" s="130" t="s">
        <v>10178</v>
      </c>
      <c r="E811" s="130" t="s">
        <v>10178</v>
      </c>
      <c r="F811" s="130" t="s">
        <v>10178</v>
      </c>
      <c r="G811" s="130" t="s">
        <v>10178</v>
      </c>
      <c r="H811" s="130" t="s">
        <v>10178</v>
      </c>
      <c r="I811" s="130" t="s">
        <v>10178</v>
      </c>
      <c r="J811" s="130" t="s">
        <v>10178</v>
      </c>
    </row>
    <row r="812">
      <c r="A812" s="191"/>
      <c r="B812" s="130" t="s">
        <v>10178</v>
      </c>
      <c r="C812" s="130" t="s">
        <v>10178</v>
      </c>
      <c r="D812" s="130" t="s">
        <v>10178</v>
      </c>
      <c r="E812" s="130" t="s">
        <v>10178</v>
      </c>
      <c r="F812" s="130" t="s">
        <v>10178</v>
      </c>
      <c r="G812" s="130" t="s">
        <v>10178</v>
      </c>
      <c r="H812" s="130" t="s">
        <v>10178</v>
      </c>
      <c r="I812" s="130" t="s">
        <v>10178</v>
      </c>
      <c r="J812" s="130" t="s">
        <v>10178</v>
      </c>
    </row>
    <row r="813">
      <c r="A813" s="191"/>
      <c r="B813" s="130" t="s">
        <v>10178</v>
      </c>
      <c r="C813" s="130" t="s">
        <v>10178</v>
      </c>
      <c r="D813" s="130" t="s">
        <v>10178</v>
      </c>
      <c r="E813" s="130" t="s">
        <v>10178</v>
      </c>
      <c r="F813" s="130" t="s">
        <v>10178</v>
      </c>
      <c r="G813" s="130" t="s">
        <v>10178</v>
      </c>
      <c r="H813" s="130" t="s">
        <v>10178</v>
      </c>
      <c r="I813" s="130" t="s">
        <v>10178</v>
      </c>
      <c r="J813" s="130" t="s">
        <v>10178</v>
      </c>
    </row>
    <row r="814">
      <c r="A814" s="191"/>
      <c r="B814" s="130" t="s">
        <v>10178</v>
      </c>
      <c r="C814" s="130" t="s">
        <v>10178</v>
      </c>
      <c r="D814" s="130" t="s">
        <v>10178</v>
      </c>
      <c r="E814" s="130" t="s">
        <v>10178</v>
      </c>
      <c r="F814" s="130" t="s">
        <v>10178</v>
      </c>
      <c r="G814" s="130" t="s">
        <v>10178</v>
      </c>
      <c r="H814" s="130" t="s">
        <v>10178</v>
      </c>
      <c r="I814" s="130" t="s">
        <v>10178</v>
      </c>
      <c r="J814" s="130" t="s">
        <v>10178</v>
      </c>
    </row>
    <row r="815">
      <c r="A815" s="191"/>
      <c r="B815" s="130" t="s">
        <v>10178</v>
      </c>
      <c r="C815" s="130" t="s">
        <v>10178</v>
      </c>
      <c r="D815" s="130" t="s">
        <v>10178</v>
      </c>
      <c r="E815" s="130" t="s">
        <v>10178</v>
      </c>
      <c r="F815" s="130" t="s">
        <v>10178</v>
      </c>
      <c r="G815" s="130" t="s">
        <v>10178</v>
      </c>
      <c r="H815" s="130" t="s">
        <v>10178</v>
      </c>
      <c r="I815" s="130" t="s">
        <v>10178</v>
      </c>
      <c r="J815" s="130" t="s">
        <v>10178</v>
      </c>
    </row>
    <row r="816">
      <c r="A816" s="191"/>
      <c r="B816" s="130" t="s">
        <v>10178</v>
      </c>
      <c r="C816" s="130" t="s">
        <v>10178</v>
      </c>
      <c r="D816" s="130" t="s">
        <v>10178</v>
      </c>
      <c r="E816" s="130" t="s">
        <v>10178</v>
      </c>
      <c r="F816" s="130" t="s">
        <v>10178</v>
      </c>
      <c r="G816" s="130" t="s">
        <v>10178</v>
      </c>
      <c r="H816" s="130" t="s">
        <v>10178</v>
      </c>
      <c r="I816" s="130" t="s">
        <v>10178</v>
      </c>
      <c r="J816" s="130" t="s">
        <v>10178</v>
      </c>
    </row>
    <row r="817">
      <c r="A817" s="191"/>
      <c r="B817" s="130" t="s">
        <v>10178</v>
      </c>
      <c r="C817" s="130" t="s">
        <v>10178</v>
      </c>
      <c r="D817" s="130" t="s">
        <v>10178</v>
      </c>
      <c r="E817" s="130" t="s">
        <v>10178</v>
      </c>
      <c r="F817" s="130" t="s">
        <v>10178</v>
      </c>
      <c r="G817" s="130" t="s">
        <v>10178</v>
      </c>
      <c r="H817" s="130" t="s">
        <v>10178</v>
      </c>
      <c r="I817" s="130" t="s">
        <v>10178</v>
      </c>
      <c r="J817" s="130" t="s">
        <v>10178</v>
      </c>
    </row>
    <row r="818">
      <c r="A818" s="191"/>
      <c r="B818" s="130" t="s">
        <v>10178</v>
      </c>
      <c r="C818" s="130" t="s">
        <v>10178</v>
      </c>
      <c r="D818" s="130" t="s">
        <v>10178</v>
      </c>
      <c r="E818" s="130" t="s">
        <v>10178</v>
      </c>
      <c r="F818" s="130" t="s">
        <v>10178</v>
      </c>
      <c r="G818" s="130" t="s">
        <v>10178</v>
      </c>
      <c r="H818" s="130" t="s">
        <v>10178</v>
      </c>
      <c r="I818" s="130" t="s">
        <v>10178</v>
      </c>
      <c r="J818" s="130" t="s">
        <v>10178</v>
      </c>
    </row>
    <row r="819">
      <c r="A819" s="191"/>
      <c r="B819" s="130" t="s">
        <v>10178</v>
      </c>
      <c r="C819" s="130" t="s">
        <v>10178</v>
      </c>
      <c r="D819" s="130" t="s">
        <v>10178</v>
      </c>
      <c r="E819" s="130" t="s">
        <v>10178</v>
      </c>
      <c r="F819" s="130" t="s">
        <v>10178</v>
      </c>
      <c r="G819" s="130" t="s">
        <v>10178</v>
      </c>
      <c r="H819" s="130" t="s">
        <v>10178</v>
      </c>
      <c r="I819" s="130" t="s">
        <v>10178</v>
      </c>
      <c r="J819" s="130" t="s">
        <v>10178</v>
      </c>
    </row>
    <row r="820">
      <c r="A820" s="191"/>
      <c r="B820" s="130" t="s">
        <v>10178</v>
      </c>
      <c r="C820" s="130" t="s">
        <v>10178</v>
      </c>
      <c r="D820" s="130" t="s">
        <v>10178</v>
      </c>
      <c r="E820" s="130" t="s">
        <v>10178</v>
      </c>
      <c r="F820" s="130" t="s">
        <v>10178</v>
      </c>
      <c r="G820" s="130" t="s">
        <v>10178</v>
      </c>
      <c r="H820" s="130" t="s">
        <v>10178</v>
      </c>
      <c r="I820" s="130" t="s">
        <v>10178</v>
      </c>
      <c r="J820" s="130" t="s">
        <v>10178</v>
      </c>
    </row>
    <row r="821">
      <c r="A821" s="191"/>
      <c r="B821" s="130" t="s">
        <v>10178</v>
      </c>
      <c r="C821" s="130" t="s">
        <v>10178</v>
      </c>
      <c r="D821" s="130" t="s">
        <v>10178</v>
      </c>
      <c r="E821" s="130" t="s">
        <v>10178</v>
      </c>
      <c r="F821" s="130" t="s">
        <v>10178</v>
      </c>
      <c r="G821" s="130" t="s">
        <v>10178</v>
      </c>
      <c r="H821" s="130" t="s">
        <v>10178</v>
      </c>
      <c r="I821" s="130" t="s">
        <v>10178</v>
      </c>
      <c r="J821" s="130" t="s">
        <v>10178</v>
      </c>
    </row>
    <row r="822">
      <c r="A822" s="191"/>
      <c r="B822" s="130" t="s">
        <v>10178</v>
      </c>
      <c r="C822" s="130" t="s">
        <v>10178</v>
      </c>
      <c r="D822" s="130" t="s">
        <v>10178</v>
      </c>
      <c r="E822" s="130" t="s">
        <v>10178</v>
      </c>
      <c r="F822" s="130" t="s">
        <v>10178</v>
      </c>
      <c r="G822" s="130" t="s">
        <v>10178</v>
      </c>
      <c r="H822" s="130" t="s">
        <v>10178</v>
      </c>
      <c r="I822" s="130" t="s">
        <v>10178</v>
      </c>
      <c r="J822" s="130" t="s">
        <v>10178</v>
      </c>
    </row>
    <row r="823">
      <c r="A823" s="191"/>
      <c r="B823" s="130" t="s">
        <v>10178</v>
      </c>
      <c r="C823" s="130" t="s">
        <v>10178</v>
      </c>
      <c r="D823" s="130" t="s">
        <v>10178</v>
      </c>
      <c r="E823" s="130" t="s">
        <v>10178</v>
      </c>
      <c r="F823" s="130" t="s">
        <v>10178</v>
      </c>
      <c r="G823" s="130" t="s">
        <v>10178</v>
      </c>
      <c r="H823" s="130" t="s">
        <v>10178</v>
      </c>
      <c r="I823" s="130" t="s">
        <v>10178</v>
      </c>
      <c r="J823" s="130" t="s">
        <v>10178</v>
      </c>
    </row>
    <row r="824">
      <c r="A824" s="191"/>
      <c r="B824" s="130" t="s">
        <v>10178</v>
      </c>
      <c r="C824" s="130" t="s">
        <v>10178</v>
      </c>
      <c r="D824" s="130" t="s">
        <v>10178</v>
      </c>
      <c r="E824" s="130" t="s">
        <v>10178</v>
      </c>
      <c r="F824" s="130" t="s">
        <v>10178</v>
      </c>
      <c r="G824" s="130" t="s">
        <v>10178</v>
      </c>
      <c r="H824" s="130" t="s">
        <v>10178</v>
      </c>
      <c r="I824" s="130" t="s">
        <v>10178</v>
      </c>
      <c r="J824" s="130" t="s">
        <v>10178</v>
      </c>
    </row>
    <row r="825">
      <c r="A825" s="191"/>
      <c r="B825" s="130" t="s">
        <v>10178</v>
      </c>
      <c r="C825" s="130" t="s">
        <v>10178</v>
      </c>
      <c r="D825" s="130" t="s">
        <v>10178</v>
      </c>
      <c r="E825" s="130" t="s">
        <v>10178</v>
      </c>
      <c r="F825" s="130" t="s">
        <v>10178</v>
      </c>
      <c r="G825" s="130" t="s">
        <v>10178</v>
      </c>
      <c r="H825" s="130" t="s">
        <v>10178</v>
      </c>
      <c r="I825" s="130" t="s">
        <v>10178</v>
      </c>
      <c r="J825" s="130" t="s">
        <v>10178</v>
      </c>
    </row>
    <row r="826">
      <c r="A826" s="191"/>
      <c r="B826" s="130" t="s">
        <v>10178</v>
      </c>
      <c r="C826" s="130" t="s">
        <v>10178</v>
      </c>
      <c r="D826" s="130" t="s">
        <v>10178</v>
      </c>
      <c r="E826" s="130" t="s">
        <v>10178</v>
      </c>
      <c r="F826" s="130" t="s">
        <v>10178</v>
      </c>
      <c r="G826" s="130" t="s">
        <v>10178</v>
      </c>
      <c r="H826" s="130" t="s">
        <v>10178</v>
      </c>
      <c r="I826" s="130" t="s">
        <v>10178</v>
      </c>
      <c r="J826" s="130" t="s">
        <v>10178</v>
      </c>
    </row>
    <row r="827">
      <c r="A827" s="191"/>
      <c r="B827" s="130" t="s">
        <v>10178</v>
      </c>
      <c r="C827" s="130" t="s">
        <v>10178</v>
      </c>
      <c r="D827" s="130" t="s">
        <v>10178</v>
      </c>
      <c r="E827" s="130" t="s">
        <v>10178</v>
      </c>
      <c r="F827" s="130" t="s">
        <v>10178</v>
      </c>
      <c r="G827" s="130" t="s">
        <v>10178</v>
      </c>
      <c r="H827" s="130" t="s">
        <v>10178</v>
      </c>
      <c r="I827" s="130" t="s">
        <v>10178</v>
      </c>
      <c r="J827" s="130" t="s">
        <v>10178</v>
      </c>
    </row>
    <row r="828">
      <c r="A828" s="191"/>
      <c r="B828" s="130" t="s">
        <v>10178</v>
      </c>
      <c r="C828" s="130" t="s">
        <v>10178</v>
      </c>
      <c r="D828" s="130" t="s">
        <v>10178</v>
      </c>
      <c r="E828" s="130" t="s">
        <v>10178</v>
      </c>
      <c r="F828" s="130" t="s">
        <v>10178</v>
      </c>
      <c r="G828" s="130" t="s">
        <v>10178</v>
      </c>
      <c r="H828" s="130" t="s">
        <v>10178</v>
      </c>
      <c r="I828" s="130" t="s">
        <v>10178</v>
      </c>
      <c r="J828" s="130" t="s">
        <v>10178</v>
      </c>
    </row>
    <row r="829">
      <c r="A829" s="191"/>
      <c r="B829" s="130" t="s">
        <v>10178</v>
      </c>
      <c r="C829" s="130" t="s">
        <v>10178</v>
      </c>
      <c r="D829" s="130" t="s">
        <v>10178</v>
      </c>
      <c r="E829" s="130" t="s">
        <v>10178</v>
      </c>
      <c r="F829" s="130" t="s">
        <v>10178</v>
      </c>
      <c r="G829" s="130" t="s">
        <v>10178</v>
      </c>
      <c r="H829" s="130" t="s">
        <v>10178</v>
      </c>
      <c r="I829" s="130" t="s">
        <v>10178</v>
      </c>
      <c r="J829" s="130" t="s">
        <v>10178</v>
      </c>
    </row>
    <row r="830">
      <c r="A830" s="191"/>
      <c r="B830" s="130" t="s">
        <v>10178</v>
      </c>
      <c r="C830" s="130" t="s">
        <v>10178</v>
      </c>
      <c r="D830" s="130" t="s">
        <v>10178</v>
      </c>
      <c r="E830" s="130" t="s">
        <v>10178</v>
      </c>
      <c r="F830" s="130" t="s">
        <v>10178</v>
      </c>
      <c r="G830" s="130" t="s">
        <v>10178</v>
      </c>
      <c r="H830" s="130" t="s">
        <v>10178</v>
      </c>
      <c r="I830" s="130" t="s">
        <v>10178</v>
      </c>
      <c r="J830" s="130" t="s">
        <v>10178</v>
      </c>
    </row>
    <row r="831">
      <c r="A831" s="191"/>
      <c r="B831" s="130" t="s">
        <v>10178</v>
      </c>
      <c r="C831" s="130" t="s">
        <v>10178</v>
      </c>
      <c r="D831" s="130" t="s">
        <v>10178</v>
      </c>
      <c r="E831" s="130" t="s">
        <v>10178</v>
      </c>
      <c r="F831" s="130" t="s">
        <v>10178</v>
      </c>
      <c r="G831" s="130" t="s">
        <v>10178</v>
      </c>
      <c r="H831" s="130" t="s">
        <v>10178</v>
      </c>
      <c r="I831" s="130" t="s">
        <v>10178</v>
      </c>
      <c r="J831" s="130" t="s">
        <v>10178</v>
      </c>
    </row>
    <row r="832">
      <c r="A832" s="191"/>
      <c r="B832" s="130" t="s">
        <v>10178</v>
      </c>
      <c r="C832" s="130" t="s">
        <v>10178</v>
      </c>
      <c r="D832" s="130" t="s">
        <v>10178</v>
      </c>
      <c r="E832" s="130" t="s">
        <v>10178</v>
      </c>
      <c r="F832" s="130" t="s">
        <v>10178</v>
      </c>
      <c r="G832" s="130" t="s">
        <v>10178</v>
      </c>
      <c r="H832" s="130" t="s">
        <v>10178</v>
      </c>
      <c r="I832" s="130" t="s">
        <v>10178</v>
      </c>
      <c r="J832" s="130" t="s">
        <v>10178</v>
      </c>
    </row>
    <row r="833">
      <c r="A833" s="191"/>
      <c r="B833" s="130" t="s">
        <v>10178</v>
      </c>
      <c r="C833" s="130" t="s">
        <v>10178</v>
      </c>
      <c r="D833" s="130" t="s">
        <v>10178</v>
      </c>
      <c r="E833" s="130" t="s">
        <v>10178</v>
      </c>
      <c r="F833" s="130" t="s">
        <v>10178</v>
      </c>
      <c r="G833" s="130" t="s">
        <v>10178</v>
      </c>
      <c r="H833" s="130" t="s">
        <v>10178</v>
      </c>
      <c r="I833" s="130" t="s">
        <v>10178</v>
      </c>
      <c r="J833" s="130" t="s">
        <v>10178</v>
      </c>
    </row>
    <row r="834">
      <c r="A834" s="191"/>
      <c r="B834" s="130" t="s">
        <v>10178</v>
      </c>
      <c r="C834" s="130" t="s">
        <v>10178</v>
      </c>
      <c r="D834" s="130" t="s">
        <v>10178</v>
      </c>
      <c r="E834" s="130" t="s">
        <v>10178</v>
      </c>
      <c r="F834" s="130" t="s">
        <v>10178</v>
      </c>
      <c r="G834" s="130" t="s">
        <v>10178</v>
      </c>
      <c r="H834" s="130" t="s">
        <v>10178</v>
      </c>
      <c r="I834" s="130" t="s">
        <v>10178</v>
      </c>
      <c r="J834" s="130" t="s">
        <v>10178</v>
      </c>
    </row>
    <row r="835">
      <c r="A835" s="191"/>
      <c r="B835" s="130" t="s">
        <v>10178</v>
      </c>
      <c r="C835" s="130" t="s">
        <v>10178</v>
      </c>
      <c r="D835" s="130" t="s">
        <v>10178</v>
      </c>
      <c r="E835" s="130" t="s">
        <v>10178</v>
      </c>
      <c r="F835" s="130" t="s">
        <v>10178</v>
      </c>
      <c r="G835" s="130" t="s">
        <v>10178</v>
      </c>
      <c r="H835" s="130" t="s">
        <v>10178</v>
      </c>
      <c r="I835" s="130" t="s">
        <v>10178</v>
      </c>
      <c r="J835" s="130" t="s">
        <v>10178</v>
      </c>
    </row>
    <row r="836">
      <c r="A836" s="191"/>
      <c r="B836" s="130" t="s">
        <v>10178</v>
      </c>
      <c r="C836" s="130" t="s">
        <v>10178</v>
      </c>
      <c r="D836" s="130" t="s">
        <v>10178</v>
      </c>
      <c r="E836" s="130" t="s">
        <v>10178</v>
      </c>
      <c r="F836" s="130" t="s">
        <v>10178</v>
      </c>
      <c r="G836" s="130" t="s">
        <v>10178</v>
      </c>
      <c r="H836" s="130" t="s">
        <v>10178</v>
      </c>
      <c r="I836" s="130" t="s">
        <v>10178</v>
      </c>
      <c r="J836" s="130" t="s">
        <v>10178</v>
      </c>
    </row>
    <row r="837">
      <c r="A837" s="191"/>
      <c r="B837" s="130" t="s">
        <v>10178</v>
      </c>
      <c r="C837" s="130" t="s">
        <v>10178</v>
      </c>
      <c r="D837" s="130" t="s">
        <v>10178</v>
      </c>
      <c r="E837" s="130" t="s">
        <v>10178</v>
      </c>
      <c r="F837" s="130" t="s">
        <v>10178</v>
      </c>
      <c r="G837" s="130" t="s">
        <v>10178</v>
      </c>
      <c r="H837" s="130" t="s">
        <v>10178</v>
      </c>
      <c r="I837" s="130" t="s">
        <v>10178</v>
      </c>
      <c r="J837" s="130" t="s">
        <v>10178</v>
      </c>
    </row>
    <row r="838">
      <c r="A838" s="191"/>
      <c r="B838" s="130" t="s">
        <v>10178</v>
      </c>
      <c r="C838" s="130" t="s">
        <v>10178</v>
      </c>
      <c r="D838" s="130" t="s">
        <v>10178</v>
      </c>
      <c r="E838" s="130" t="s">
        <v>10178</v>
      </c>
      <c r="F838" s="130" t="s">
        <v>10178</v>
      </c>
      <c r="G838" s="130" t="s">
        <v>10178</v>
      </c>
      <c r="H838" s="130" t="s">
        <v>10178</v>
      </c>
      <c r="I838" s="130" t="s">
        <v>10178</v>
      </c>
      <c r="J838" s="130" t="s">
        <v>10178</v>
      </c>
    </row>
    <row r="839">
      <c r="A839" s="191"/>
      <c r="B839" s="130" t="s">
        <v>10178</v>
      </c>
      <c r="C839" s="130" t="s">
        <v>10178</v>
      </c>
      <c r="D839" s="130" t="s">
        <v>10178</v>
      </c>
      <c r="E839" s="130" t="s">
        <v>10178</v>
      </c>
      <c r="F839" s="130" t="s">
        <v>10178</v>
      </c>
      <c r="G839" s="130" t="s">
        <v>10178</v>
      </c>
      <c r="H839" s="130" t="s">
        <v>10178</v>
      </c>
      <c r="I839" s="130" t="s">
        <v>10178</v>
      </c>
      <c r="J839" s="130" t="s">
        <v>10178</v>
      </c>
    </row>
    <row r="840">
      <c r="A840" s="191"/>
      <c r="B840" s="130" t="s">
        <v>10178</v>
      </c>
      <c r="C840" s="130" t="s">
        <v>10178</v>
      </c>
      <c r="D840" s="130" t="s">
        <v>10178</v>
      </c>
      <c r="E840" s="130" t="s">
        <v>10178</v>
      </c>
      <c r="F840" s="130" t="s">
        <v>10178</v>
      </c>
      <c r="G840" s="130" t="s">
        <v>10178</v>
      </c>
      <c r="H840" s="130" t="s">
        <v>10178</v>
      </c>
      <c r="I840" s="130" t="s">
        <v>10178</v>
      </c>
      <c r="J840" s="130" t="s">
        <v>10178</v>
      </c>
    </row>
    <row r="841">
      <c r="A841" s="191"/>
      <c r="B841" s="130" t="s">
        <v>10178</v>
      </c>
      <c r="C841" s="130" t="s">
        <v>10178</v>
      </c>
      <c r="D841" s="130" t="s">
        <v>10178</v>
      </c>
      <c r="E841" s="130" t="s">
        <v>10178</v>
      </c>
      <c r="F841" s="130" t="s">
        <v>10178</v>
      </c>
      <c r="G841" s="130" t="s">
        <v>10178</v>
      </c>
      <c r="H841" s="130" t="s">
        <v>10178</v>
      </c>
      <c r="I841" s="130" t="s">
        <v>10178</v>
      </c>
      <c r="J841" s="130" t="s">
        <v>10178</v>
      </c>
    </row>
    <row r="842">
      <c r="A842" s="191"/>
      <c r="B842" s="130" t="s">
        <v>10178</v>
      </c>
      <c r="C842" s="130" t="s">
        <v>10178</v>
      </c>
      <c r="D842" s="130" t="s">
        <v>10178</v>
      </c>
      <c r="E842" s="130" t="s">
        <v>10178</v>
      </c>
      <c r="F842" s="130" t="s">
        <v>10178</v>
      </c>
      <c r="G842" s="130" t="s">
        <v>10178</v>
      </c>
      <c r="H842" s="130" t="s">
        <v>10178</v>
      </c>
      <c r="I842" s="130" t="s">
        <v>10178</v>
      </c>
      <c r="J842" s="130" t="s">
        <v>10178</v>
      </c>
    </row>
    <row r="843">
      <c r="A843" s="191"/>
      <c r="B843" s="130" t="s">
        <v>10178</v>
      </c>
      <c r="C843" s="130" t="s">
        <v>10178</v>
      </c>
      <c r="D843" s="130" t="s">
        <v>10178</v>
      </c>
      <c r="E843" s="130" t="s">
        <v>10178</v>
      </c>
      <c r="F843" s="130" t="s">
        <v>10178</v>
      </c>
      <c r="G843" s="130" t="s">
        <v>10178</v>
      </c>
      <c r="H843" s="130" t="s">
        <v>10178</v>
      </c>
      <c r="I843" s="130" t="s">
        <v>10178</v>
      </c>
      <c r="J843" s="130" t="s">
        <v>10178</v>
      </c>
    </row>
    <row r="844">
      <c r="A844" s="191"/>
      <c r="B844" s="130" t="s">
        <v>10178</v>
      </c>
      <c r="C844" s="130" t="s">
        <v>10178</v>
      </c>
      <c r="D844" s="130" t="s">
        <v>10178</v>
      </c>
      <c r="E844" s="130" t="s">
        <v>10178</v>
      </c>
      <c r="F844" s="130" t="s">
        <v>10178</v>
      </c>
      <c r="G844" s="130" t="s">
        <v>10178</v>
      </c>
      <c r="H844" s="130" t="s">
        <v>10178</v>
      </c>
      <c r="I844" s="130" t="s">
        <v>10178</v>
      </c>
      <c r="J844" s="130" t="s">
        <v>10178</v>
      </c>
    </row>
    <row r="845">
      <c r="A845" s="191"/>
      <c r="B845" s="130" t="s">
        <v>10178</v>
      </c>
      <c r="C845" s="130" t="s">
        <v>10178</v>
      </c>
      <c r="D845" s="130" t="s">
        <v>10178</v>
      </c>
      <c r="E845" s="130" t="s">
        <v>10178</v>
      </c>
      <c r="F845" s="130" t="s">
        <v>10178</v>
      </c>
      <c r="G845" s="130" t="s">
        <v>10178</v>
      </c>
      <c r="H845" s="130" t="s">
        <v>10178</v>
      </c>
      <c r="I845" s="130" t="s">
        <v>10178</v>
      </c>
      <c r="J845" s="130" t="s">
        <v>10178</v>
      </c>
    </row>
    <row r="846">
      <c r="A846" s="191"/>
      <c r="B846" s="130" t="s">
        <v>10178</v>
      </c>
      <c r="C846" s="130" t="s">
        <v>10178</v>
      </c>
      <c r="D846" s="130" t="s">
        <v>10178</v>
      </c>
      <c r="E846" s="130" t="s">
        <v>10178</v>
      </c>
      <c r="F846" s="130" t="s">
        <v>10178</v>
      </c>
      <c r="G846" s="130" t="s">
        <v>10178</v>
      </c>
      <c r="H846" s="130" t="s">
        <v>10178</v>
      </c>
      <c r="I846" s="130" t="s">
        <v>10178</v>
      </c>
      <c r="J846" s="130" t="s">
        <v>10178</v>
      </c>
    </row>
    <row r="847">
      <c r="A847" s="191"/>
      <c r="B847" s="130" t="s">
        <v>10178</v>
      </c>
      <c r="C847" s="130" t="s">
        <v>10178</v>
      </c>
      <c r="D847" s="130" t="s">
        <v>10178</v>
      </c>
      <c r="E847" s="130" t="s">
        <v>10178</v>
      </c>
      <c r="F847" s="130" t="s">
        <v>10178</v>
      </c>
      <c r="G847" s="130" t="s">
        <v>10178</v>
      </c>
      <c r="H847" s="130" t="s">
        <v>10178</v>
      </c>
      <c r="I847" s="130" t="s">
        <v>10178</v>
      </c>
      <c r="J847" s="130" t="s">
        <v>10178</v>
      </c>
    </row>
    <row r="848">
      <c r="A848" s="191"/>
      <c r="B848" s="130" t="s">
        <v>10178</v>
      </c>
      <c r="C848" s="130" t="s">
        <v>10178</v>
      </c>
      <c r="D848" s="130" t="s">
        <v>10178</v>
      </c>
      <c r="E848" s="130" t="s">
        <v>10178</v>
      </c>
      <c r="F848" s="130" t="s">
        <v>10178</v>
      </c>
      <c r="G848" s="130" t="s">
        <v>10178</v>
      </c>
      <c r="H848" s="130" t="s">
        <v>10178</v>
      </c>
      <c r="I848" s="130" t="s">
        <v>10178</v>
      </c>
      <c r="J848" s="130" t="s">
        <v>10178</v>
      </c>
    </row>
    <row r="849">
      <c r="A849" s="191"/>
      <c r="B849" s="130" t="s">
        <v>10178</v>
      </c>
      <c r="C849" s="130" t="s">
        <v>10178</v>
      </c>
      <c r="D849" s="130" t="s">
        <v>10178</v>
      </c>
      <c r="E849" s="130" t="s">
        <v>10178</v>
      </c>
      <c r="F849" s="130" t="s">
        <v>10178</v>
      </c>
      <c r="G849" s="130" t="s">
        <v>10178</v>
      </c>
      <c r="H849" s="130" t="s">
        <v>10178</v>
      </c>
      <c r="I849" s="130" t="s">
        <v>10178</v>
      </c>
      <c r="J849" s="130" t="s">
        <v>10178</v>
      </c>
    </row>
    <row r="850">
      <c r="A850" s="191"/>
      <c r="B850" s="130" t="s">
        <v>10178</v>
      </c>
      <c r="C850" s="130" t="s">
        <v>10178</v>
      </c>
      <c r="D850" s="130" t="s">
        <v>10178</v>
      </c>
      <c r="E850" s="130" t="s">
        <v>10178</v>
      </c>
      <c r="F850" s="130" t="s">
        <v>10178</v>
      </c>
      <c r="G850" s="130" t="s">
        <v>10178</v>
      </c>
      <c r="H850" s="130" t="s">
        <v>10178</v>
      </c>
      <c r="I850" s="130" t="s">
        <v>10178</v>
      </c>
      <c r="J850" s="130" t="s">
        <v>10178</v>
      </c>
    </row>
    <row r="851">
      <c r="A851" s="191"/>
      <c r="B851" s="130" t="s">
        <v>10178</v>
      </c>
      <c r="C851" s="130" t="s">
        <v>10178</v>
      </c>
      <c r="D851" s="130" t="s">
        <v>10178</v>
      </c>
      <c r="E851" s="130" t="s">
        <v>10178</v>
      </c>
      <c r="F851" s="130" t="s">
        <v>10178</v>
      </c>
      <c r="G851" s="130" t="s">
        <v>10178</v>
      </c>
      <c r="H851" s="130" t="s">
        <v>10178</v>
      </c>
      <c r="I851" s="130" t="s">
        <v>10178</v>
      </c>
      <c r="J851" s="130" t="s">
        <v>10178</v>
      </c>
    </row>
    <row r="852">
      <c r="A852" s="191"/>
      <c r="B852" s="130" t="s">
        <v>10178</v>
      </c>
      <c r="C852" s="130" t="s">
        <v>10178</v>
      </c>
      <c r="D852" s="130" t="s">
        <v>10178</v>
      </c>
      <c r="E852" s="130" t="s">
        <v>10178</v>
      </c>
      <c r="F852" s="130" t="s">
        <v>10178</v>
      </c>
      <c r="G852" s="130" t="s">
        <v>10178</v>
      </c>
      <c r="H852" s="130" t="s">
        <v>10178</v>
      </c>
      <c r="I852" s="130" t="s">
        <v>10178</v>
      </c>
      <c r="J852" s="130" t="s">
        <v>10178</v>
      </c>
    </row>
    <row r="853">
      <c r="A853" s="191"/>
      <c r="B853" s="130" t="s">
        <v>10178</v>
      </c>
      <c r="C853" s="130" t="s">
        <v>10178</v>
      </c>
      <c r="D853" s="130" t="s">
        <v>10178</v>
      </c>
      <c r="E853" s="130" t="s">
        <v>10178</v>
      </c>
      <c r="F853" s="130" t="s">
        <v>10178</v>
      </c>
      <c r="G853" s="130" t="s">
        <v>10178</v>
      </c>
      <c r="H853" s="130" t="s">
        <v>10178</v>
      </c>
      <c r="I853" s="130" t="s">
        <v>10178</v>
      </c>
      <c r="J853" s="130" t="s">
        <v>10178</v>
      </c>
    </row>
    <row r="854">
      <c r="A854" s="191"/>
      <c r="B854" s="130" t="s">
        <v>10178</v>
      </c>
      <c r="C854" s="130" t="s">
        <v>10178</v>
      </c>
      <c r="D854" s="130" t="s">
        <v>10178</v>
      </c>
      <c r="E854" s="130" t="s">
        <v>10178</v>
      </c>
      <c r="F854" s="130" t="s">
        <v>10178</v>
      </c>
      <c r="G854" s="130" t="s">
        <v>10178</v>
      </c>
      <c r="H854" s="130" t="s">
        <v>10178</v>
      </c>
      <c r="I854" s="130" t="s">
        <v>10178</v>
      </c>
      <c r="J854" s="130" t="s">
        <v>10178</v>
      </c>
    </row>
    <row r="855">
      <c r="A855" s="191"/>
      <c r="B855" s="130" t="s">
        <v>10178</v>
      </c>
      <c r="C855" s="130" t="s">
        <v>10178</v>
      </c>
      <c r="D855" s="130" t="s">
        <v>10178</v>
      </c>
      <c r="E855" s="130" t="s">
        <v>10178</v>
      </c>
      <c r="F855" s="130" t="s">
        <v>10178</v>
      </c>
      <c r="G855" s="130" t="s">
        <v>10178</v>
      </c>
      <c r="H855" s="130" t="s">
        <v>10178</v>
      </c>
      <c r="I855" s="130" t="s">
        <v>10178</v>
      </c>
      <c r="J855" s="130" t="s">
        <v>10178</v>
      </c>
    </row>
    <row r="856">
      <c r="A856" s="191"/>
      <c r="B856" s="130" t="s">
        <v>10178</v>
      </c>
      <c r="C856" s="130" t="s">
        <v>10178</v>
      </c>
      <c r="D856" s="130" t="s">
        <v>10178</v>
      </c>
      <c r="E856" s="130" t="s">
        <v>10178</v>
      </c>
      <c r="F856" s="130" t="s">
        <v>10178</v>
      </c>
      <c r="G856" s="130" t="s">
        <v>10178</v>
      </c>
      <c r="H856" s="130" t="s">
        <v>10178</v>
      </c>
      <c r="I856" s="130" t="s">
        <v>10178</v>
      </c>
      <c r="J856" s="130" t="s">
        <v>10178</v>
      </c>
    </row>
    <row r="857">
      <c r="A857" s="191"/>
      <c r="B857" s="130" t="s">
        <v>10178</v>
      </c>
      <c r="C857" s="130" t="s">
        <v>10178</v>
      </c>
      <c r="D857" s="130" t="s">
        <v>10178</v>
      </c>
      <c r="E857" s="130" t="s">
        <v>10178</v>
      </c>
      <c r="F857" s="130" t="s">
        <v>10178</v>
      </c>
      <c r="G857" s="130" t="s">
        <v>10178</v>
      </c>
      <c r="H857" s="130" t="s">
        <v>10178</v>
      </c>
      <c r="I857" s="130" t="s">
        <v>10178</v>
      </c>
      <c r="J857" s="130" t="s">
        <v>10178</v>
      </c>
    </row>
    <row r="858">
      <c r="A858" s="191"/>
      <c r="B858" s="130" t="s">
        <v>10178</v>
      </c>
      <c r="C858" s="130" t="s">
        <v>10178</v>
      </c>
      <c r="D858" s="130" t="s">
        <v>10178</v>
      </c>
      <c r="E858" s="130" t="s">
        <v>10178</v>
      </c>
      <c r="F858" s="130" t="s">
        <v>10178</v>
      </c>
      <c r="G858" s="130" t="s">
        <v>10178</v>
      </c>
      <c r="H858" s="130" t="s">
        <v>10178</v>
      </c>
      <c r="I858" s="130" t="s">
        <v>10178</v>
      </c>
      <c r="J858" s="130" t="s">
        <v>10178</v>
      </c>
    </row>
    <row r="859">
      <c r="A859" s="191"/>
      <c r="B859" s="130" t="s">
        <v>10178</v>
      </c>
      <c r="C859" s="130" t="s">
        <v>10178</v>
      </c>
      <c r="D859" s="130" t="s">
        <v>10178</v>
      </c>
      <c r="E859" s="130" t="s">
        <v>10178</v>
      </c>
      <c r="F859" s="130" t="s">
        <v>10178</v>
      </c>
      <c r="G859" s="130" t="s">
        <v>10178</v>
      </c>
      <c r="H859" s="130" t="s">
        <v>10178</v>
      </c>
      <c r="I859" s="130" t="s">
        <v>10178</v>
      </c>
      <c r="J859" s="130" t="s">
        <v>10178</v>
      </c>
    </row>
    <row r="860">
      <c r="A860" s="191"/>
      <c r="B860" s="130" t="s">
        <v>10178</v>
      </c>
      <c r="C860" s="130" t="s">
        <v>10178</v>
      </c>
      <c r="D860" s="130" t="s">
        <v>10178</v>
      </c>
      <c r="E860" s="130" t="s">
        <v>10178</v>
      </c>
      <c r="F860" s="130" t="s">
        <v>10178</v>
      </c>
      <c r="G860" s="130" t="s">
        <v>10178</v>
      </c>
      <c r="H860" s="130" t="s">
        <v>10178</v>
      </c>
      <c r="I860" s="130" t="s">
        <v>10178</v>
      </c>
      <c r="J860" s="130" t="s">
        <v>10178</v>
      </c>
    </row>
    <row r="861">
      <c r="A861" s="191"/>
      <c r="B861" s="130" t="s">
        <v>10178</v>
      </c>
      <c r="C861" s="130" t="s">
        <v>10178</v>
      </c>
      <c r="D861" s="130" t="s">
        <v>10178</v>
      </c>
      <c r="E861" s="130" t="s">
        <v>10178</v>
      </c>
      <c r="F861" s="130" t="s">
        <v>10178</v>
      </c>
      <c r="G861" s="130" t="s">
        <v>10178</v>
      </c>
      <c r="H861" s="130" t="s">
        <v>10178</v>
      </c>
      <c r="I861" s="130" t="s">
        <v>10178</v>
      </c>
      <c r="J861" s="130" t="s">
        <v>10178</v>
      </c>
    </row>
    <row r="862">
      <c r="A862" s="191"/>
      <c r="B862" s="130" t="s">
        <v>10178</v>
      </c>
      <c r="C862" s="130" t="s">
        <v>10178</v>
      </c>
      <c r="D862" s="130" t="s">
        <v>10178</v>
      </c>
      <c r="E862" s="130" t="s">
        <v>10178</v>
      </c>
      <c r="F862" s="130" t="s">
        <v>10178</v>
      </c>
      <c r="G862" s="130" t="s">
        <v>10178</v>
      </c>
      <c r="H862" s="130" t="s">
        <v>10178</v>
      </c>
      <c r="I862" s="130" t="s">
        <v>10178</v>
      </c>
      <c r="J862" s="130" t="s">
        <v>10178</v>
      </c>
    </row>
    <row r="863">
      <c r="A863" s="191"/>
      <c r="B863" s="130" t="s">
        <v>10178</v>
      </c>
      <c r="C863" s="130" t="s">
        <v>10178</v>
      </c>
      <c r="D863" s="130" t="s">
        <v>10178</v>
      </c>
      <c r="E863" s="130" t="s">
        <v>10178</v>
      </c>
      <c r="F863" s="130" t="s">
        <v>10178</v>
      </c>
      <c r="G863" s="130" t="s">
        <v>10178</v>
      </c>
      <c r="H863" s="130" t="s">
        <v>10178</v>
      </c>
      <c r="I863" s="130" t="s">
        <v>10178</v>
      </c>
      <c r="J863" s="130" t="s">
        <v>10178</v>
      </c>
    </row>
    <row r="864">
      <c r="A864" s="191"/>
      <c r="B864" s="130" t="s">
        <v>10178</v>
      </c>
      <c r="C864" s="130" t="s">
        <v>10178</v>
      </c>
      <c r="D864" s="130" t="s">
        <v>10178</v>
      </c>
      <c r="E864" s="130" t="s">
        <v>10178</v>
      </c>
      <c r="F864" s="130" t="s">
        <v>10178</v>
      </c>
      <c r="G864" s="130" t="s">
        <v>10178</v>
      </c>
      <c r="H864" s="130" t="s">
        <v>10178</v>
      </c>
      <c r="I864" s="130" t="s">
        <v>10178</v>
      </c>
      <c r="J864" s="130" t="s">
        <v>10178</v>
      </c>
    </row>
    <row r="865">
      <c r="A865" s="191"/>
      <c r="B865" s="130" t="s">
        <v>10178</v>
      </c>
      <c r="C865" s="130" t="s">
        <v>10178</v>
      </c>
      <c r="D865" s="130" t="s">
        <v>10178</v>
      </c>
      <c r="E865" s="130" t="s">
        <v>10178</v>
      </c>
      <c r="F865" s="130" t="s">
        <v>10178</v>
      </c>
      <c r="G865" s="130" t="s">
        <v>10178</v>
      </c>
      <c r="H865" s="130" t="s">
        <v>10178</v>
      </c>
      <c r="I865" s="130" t="s">
        <v>10178</v>
      </c>
      <c r="J865" s="130" t="s">
        <v>10178</v>
      </c>
    </row>
    <row r="866">
      <c r="A866" s="191"/>
      <c r="B866" s="130" t="s">
        <v>10178</v>
      </c>
      <c r="C866" s="130" t="s">
        <v>10178</v>
      </c>
      <c r="D866" s="130" t="s">
        <v>10178</v>
      </c>
      <c r="E866" s="130" t="s">
        <v>10178</v>
      </c>
      <c r="F866" s="130" t="s">
        <v>10178</v>
      </c>
      <c r="G866" s="130" t="s">
        <v>10178</v>
      </c>
      <c r="H866" s="130" t="s">
        <v>10178</v>
      </c>
      <c r="I866" s="130" t="s">
        <v>10178</v>
      </c>
      <c r="J866" s="130" t="s">
        <v>10178</v>
      </c>
    </row>
    <row r="867">
      <c r="A867" s="191"/>
      <c r="B867" s="130" t="s">
        <v>10178</v>
      </c>
      <c r="C867" s="130" t="s">
        <v>10178</v>
      </c>
      <c r="D867" s="130" t="s">
        <v>10178</v>
      </c>
      <c r="E867" s="130" t="s">
        <v>10178</v>
      </c>
      <c r="F867" s="130" t="s">
        <v>10178</v>
      </c>
      <c r="G867" s="130" t="s">
        <v>10178</v>
      </c>
      <c r="H867" s="130" t="s">
        <v>10178</v>
      </c>
      <c r="I867" s="130" t="s">
        <v>10178</v>
      </c>
      <c r="J867" s="130" t="s">
        <v>10178</v>
      </c>
    </row>
    <row r="868">
      <c r="A868" s="191"/>
      <c r="B868" s="130" t="s">
        <v>10178</v>
      </c>
      <c r="C868" s="130" t="s">
        <v>10178</v>
      </c>
      <c r="D868" s="130" t="s">
        <v>10178</v>
      </c>
      <c r="E868" s="130" t="s">
        <v>10178</v>
      </c>
      <c r="F868" s="130" t="s">
        <v>10178</v>
      </c>
      <c r="G868" s="130" t="s">
        <v>10178</v>
      </c>
      <c r="H868" s="130" t="s">
        <v>10178</v>
      </c>
      <c r="I868" s="130" t="s">
        <v>10178</v>
      </c>
      <c r="J868" s="130" t="s">
        <v>10178</v>
      </c>
    </row>
    <row r="869">
      <c r="A869" s="191"/>
      <c r="B869" s="130" t="s">
        <v>10178</v>
      </c>
      <c r="C869" s="130" t="s">
        <v>10178</v>
      </c>
      <c r="D869" s="130" t="s">
        <v>10178</v>
      </c>
      <c r="E869" s="130" t="s">
        <v>10178</v>
      </c>
      <c r="F869" s="130" t="s">
        <v>10178</v>
      </c>
      <c r="G869" s="130" t="s">
        <v>10178</v>
      </c>
      <c r="H869" s="130" t="s">
        <v>10178</v>
      </c>
      <c r="I869" s="130" t="s">
        <v>10178</v>
      </c>
      <c r="J869" s="130" t="s">
        <v>10178</v>
      </c>
    </row>
    <row r="870">
      <c r="A870" s="191"/>
      <c r="B870" s="130" t="s">
        <v>10178</v>
      </c>
      <c r="C870" s="130" t="s">
        <v>10178</v>
      </c>
      <c r="D870" s="130" t="s">
        <v>10178</v>
      </c>
      <c r="E870" s="130" t="s">
        <v>10178</v>
      </c>
      <c r="F870" s="130" t="s">
        <v>10178</v>
      </c>
      <c r="G870" s="130" t="s">
        <v>10178</v>
      </c>
      <c r="H870" s="130" t="s">
        <v>10178</v>
      </c>
      <c r="I870" s="130" t="s">
        <v>10178</v>
      </c>
      <c r="J870" s="130" t="s">
        <v>10178</v>
      </c>
    </row>
    <row r="871">
      <c r="A871" s="191"/>
      <c r="B871" s="130" t="s">
        <v>10178</v>
      </c>
      <c r="C871" s="130" t="s">
        <v>10178</v>
      </c>
      <c r="D871" s="130" t="s">
        <v>10178</v>
      </c>
      <c r="E871" s="130" t="s">
        <v>10178</v>
      </c>
      <c r="F871" s="130" t="s">
        <v>10178</v>
      </c>
      <c r="G871" s="130" t="s">
        <v>10178</v>
      </c>
      <c r="H871" s="130" t="s">
        <v>10178</v>
      </c>
      <c r="I871" s="130" t="s">
        <v>10178</v>
      </c>
      <c r="J871" s="130" t="s">
        <v>10178</v>
      </c>
    </row>
    <row r="872">
      <c r="A872" s="191"/>
      <c r="B872" s="130" t="s">
        <v>10178</v>
      </c>
      <c r="C872" s="130" t="s">
        <v>10178</v>
      </c>
      <c r="D872" s="130" t="s">
        <v>10178</v>
      </c>
      <c r="E872" s="130" t="s">
        <v>10178</v>
      </c>
      <c r="F872" s="130" t="s">
        <v>10178</v>
      </c>
      <c r="G872" s="130" t="s">
        <v>10178</v>
      </c>
      <c r="H872" s="130" t="s">
        <v>10178</v>
      </c>
      <c r="I872" s="130" t="s">
        <v>10178</v>
      </c>
      <c r="J872" s="130" t="s">
        <v>10178</v>
      </c>
    </row>
    <row r="873">
      <c r="A873" s="191"/>
      <c r="B873" s="130" t="s">
        <v>10178</v>
      </c>
      <c r="C873" s="130" t="s">
        <v>10178</v>
      </c>
      <c r="D873" s="130" t="s">
        <v>10178</v>
      </c>
      <c r="E873" s="130" t="s">
        <v>10178</v>
      </c>
      <c r="F873" s="130" t="s">
        <v>10178</v>
      </c>
      <c r="G873" s="130" t="s">
        <v>10178</v>
      </c>
      <c r="H873" s="130" t="s">
        <v>10178</v>
      </c>
      <c r="I873" s="130" t="s">
        <v>10178</v>
      </c>
      <c r="J873" s="130" t="s">
        <v>10178</v>
      </c>
    </row>
    <row r="874">
      <c r="A874" s="191"/>
      <c r="B874" s="130" t="s">
        <v>10178</v>
      </c>
      <c r="C874" s="130" t="s">
        <v>10178</v>
      </c>
      <c r="D874" s="130" t="s">
        <v>10178</v>
      </c>
      <c r="E874" s="130" t="s">
        <v>10178</v>
      </c>
      <c r="F874" s="130" t="s">
        <v>10178</v>
      </c>
      <c r="G874" s="130" t="s">
        <v>10178</v>
      </c>
      <c r="H874" s="130" t="s">
        <v>10178</v>
      </c>
      <c r="I874" s="130" t="s">
        <v>10178</v>
      </c>
      <c r="J874" s="130" t="s">
        <v>10178</v>
      </c>
    </row>
    <row r="875">
      <c r="A875" s="191"/>
      <c r="B875" s="130" t="s">
        <v>10178</v>
      </c>
      <c r="C875" s="130" t="s">
        <v>10178</v>
      </c>
      <c r="D875" s="130" t="s">
        <v>10178</v>
      </c>
      <c r="E875" s="130" t="s">
        <v>10178</v>
      </c>
      <c r="F875" s="130" t="s">
        <v>10178</v>
      </c>
      <c r="G875" s="130" t="s">
        <v>10178</v>
      </c>
      <c r="H875" s="130" t="s">
        <v>10178</v>
      </c>
      <c r="I875" s="130" t="s">
        <v>10178</v>
      </c>
      <c r="J875" s="130" t="s">
        <v>10178</v>
      </c>
    </row>
    <row r="876">
      <c r="A876" s="191"/>
      <c r="B876" s="130" t="s">
        <v>10178</v>
      </c>
      <c r="C876" s="130" t="s">
        <v>10178</v>
      </c>
      <c r="D876" s="130" t="s">
        <v>10178</v>
      </c>
      <c r="E876" s="130" t="s">
        <v>10178</v>
      </c>
      <c r="F876" s="130" t="s">
        <v>10178</v>
      </c>
      <c r="G876" s="130" t="s">
        <v>10178</v>
      </c>
      <c r="H876" s="130" t="s">
        <v>10178</v>
      </c>
      <c r="I876" s="130" t="s">
        <v>10178</v>
      </c>
      <c r="J876" s="130" t="s">
        <v>10178</v>
      </c>
    </row>
    <row r="877">
      <c r="A877" s="191"/>
      <c r="B877" s="130" t="s">
        <v>10178</v>
      </c>
      <c r="C877" s="130" t="s">
        <v>10178</v>
      </c>
      <c r="D877" s="130" t="s">
        <v>10178</v>
      </c>
      <c r="E877" s="130" t="s">
        <v>10178</v>
      </c>
      <c r="F877" s="130" t="s">
        <v>10178</v>
      </c>
      <c r="G877" s="130" t="s">
        <v>10178</v>
      </c>
      <c r="H877" s="130" t="s">
        <v>10178</v>
      </c>
      <c r="I877" s="130" t="s">
        <v>10178</v>
      </c>
      <c r="J877" s="130" t="s">
        <v>10178</v>
      </c>
    </row>
    <row r="878">
      <c r="A878" s="191"/>
      <c r="B878" s="130" t="s">
        <v>10178</v>
      </c>
      <c r="C878" s="130" t="s">
        <v>10178</v>
      </c>
      <c r="D878" s="130" t="s">
        <v>10178</v>
      </c>
      <c r="E878" s="130" t="s">
        <v>10178</v>
      </c>
      <c r="F878" s="130" t="s">
        <v>10178</v>
      </c>
      <c r="G878" s="130" t="s">
        <v>10178</v>
      </c>
      <c r="H878" s="130" t="s">
        <v>10178</v>
      </c>
      <c r="I878" s="130" t="s">
        <v>10178</v>
      </c>
      <c r="J878" s="130" t="s">
        <v>10178</v>
      </c>
    </row>
    <row r="879">
      <c r="A879" s="191"/>
      <c r="B879" s="130" t="s">
        <v>10178</v>
      </c>
      <c r="C879" s="130" t="s">
        <v>10178</v>
      </c>
      <c r="D879" s="130" t="s">
        <v>10178</v>
      </c>
      <c r="E879" s="130" t="s">
        <v>10178</v>
      </c>
      <c r="F879" s="130" t="s">
        <v>10178</v>
      </c>
      <c r="G879" s="130" t="s">
        <v>10178</v>
      </c>
      <c r="H879" s="130" t="s">
        <v>10178</v>
      </c>
      <c r="I879" s="130" t="s">
        <v>10178</v>
      </c>
      <c r="J879" s="130" t="s">
        <v>10178</v>
      </c>
    </row>
    <row r="880">
      <c r="A880" s="191"/>
      <c r="B880" s="130" t="s">
        <v>10178</v>
      </c>
      <c r="C880" s="130" t="s">
        <v>10178</v>
      </c>
      <c r="D880" s="130" t="s">
        <v>10178</v>
      </c>
      <c r="E880" s="130" t="s">
        <v>10178</v>
      </c>
      <c r="F880" s="130" t="s">
        <v>10178</v>
      </c>
      <c r="G880" s="130" t="s">
        <v>10178</v>
      </c>
      <c r="H880" s="130" t="s">
        <v>10178</v>
      </c>
      <c r="I880" s="130" t="s">
        <v>10178</v>
      </c>
      <c r="J880" s="130" t="s">
        <v>10178</v>
      </c>
    </row>
    <row r="881">
      <c r="A881" s="191"/>
      <c r="B881" s="130" t="s">
        <v>10178</v>
      </c>
      <c r="C881" s="130" t="s">
        <v>10178</v>
      </c>
      <c r="D881" s="130" t="s">
        <v>10178</v>
      </c>
      <c r="E881" s="130" t="s">
        <v>10178</v>
      </c>
      <c r="F881" s="130" t="s">
        <v>10178</v>
      </c>
      <c r="G881" s="130" t="s">
        <v>10178</v>
      </c>
      <c r="H881" s="130" t="s">
        <v>10178</v>
      </c>
      <c r="I881" s="130" t="s">
        <v>10178</v>
      </c>
      <c r="J881" s="130" t="s">
        <v>10178</v>
      </c>
    </row>
    <row r="882">
      <c r="A882" s="191"/>
      <c r="B882" s="130" t="s">
        <v>10178</v>
      </c>
      <c r="C882" s="130" t="s">
        <v>10178</v>
      </c>
      <c r="D882" s="130" t="s">
        <v>10178</v>
      </c>
      <c r="E882" s="130" t="s">
        <v>10178</v>
      </c>
      <c r="F882" s="130" t="s">
        <v>10178</v>
      </c>
      <c r="G882" s="130" t="s">
        <v>10178</v>
      </c>
      <c r="H882" s="130" t="s">
        <v>10178</v>
      </c>
      <c r="I882" s="130" t="s">
        <v>10178</v>
      </c>
      <c r="J882" s="130" t="s">
        <v>10178</v>
      </c>
    </row>
    <row r="883">
      <c r="A883" s="191"/>
      <c r="B883" s="130" t="s">
        <v>10178</v>
      </c>
      <c r="C883" s="130" t="s">
        <v>10178</v>
      </c>
      <c r="D883" s="130" t="s">
        <v>10178</v>
      </c>
      <c r="E883" s="130" t="s">
        <v>10178</v>
      </c>
      <c r="F883" s="130" t="s">
        <v>10178</v>
      </c>
      <c r="G883" s="130" t="s">
        <v>10178</v>
      </c>
      <c r="H883" s="130" t="s">
        <v>10178</v>
      </c>
      <c r="I883" s="130" t="s">
        <v>10178</v>
      </c>
      <c r="J883" s="130" t="s">
        <v>10178</v>
      </c>
    </row>
    <row r="884">
      <c r="A884" s="191"/>
      <c r="B884" s="130" t="s">
        <v>10178</v>
      </c>
      <c r="C884" s="130" t="s">
        <v>10178</v>
      </c>
      <c r="D884" s="130" t="s">
        <v>10178</v>
      </c>
      <c r="E884" s="130" t="s">
        <v>10178</v>
      </c>
      <c r="F884" s="130" t="s">
        <v>10178</v>
      </c>
      <c r="G884" s="130" t="s">
        <v>10178</v>
      </c>
      <c r="H884" s="130" t="s">
        <v>10178</v>
      </c>
      <c r="I884" s="130" t="s">
        <v>10178</v>
      </c>
      <c r="J884" s="130" t="s">
        <v>10178</v>
      </c>
    </row>
    <row r="885">
      <c r="A885" s="191"/>
      <c r="B885" s="130" t="s">
        <v>10178</v>
      </c>
      <c r="C885" s="130" t="s">
        <v>10178</v>
      </c>
      <c r="D885" s="130" t="s">
        <v>10178</v>
      </c>
      <c r="E885" s="130" t="s">
        <v>10178</v>
      </c>
      <c r="F885" s="130" t="s">
        <v>10178</v>
      </c>
      <c r="G885" s="130" t="s">
        <v>10178</v>
      </c>
      <c r="H885" s="130" t="s">
        <v>10178</v>
      </c>
      <c r="I885" s="130" t="s">
        <v>10178</v>
      </c>
      <c r="J885" s="130" t="s">
        <v>10178</v>
      </c>
    </row>
    <row r="886">
      <c r="A886" s="191"/>
      <c r="B886" s="130" t="s">
        <v>10178</v>
      </c>
      <c r="C886" s="130" t="s">
        <v>10178</v>
      </c>
      <c r="D886" s="130" t="s">
        <v>10178</v>
      </c>
      <c r="E886" s="130" t="s">
        <v>10178</v>
      </c>
      <c r="F886" s="130" t="s">
        <v>10178</v>
      </c>
      <c r="G886" s="130" t="s">
        <v>10178</v>
      </c>
      <c r="H886" s="130" t="s">
        <v>10178</v>
      </c>
      <c r="I886" s="130" t="s">
        <v>10178</v>
      </c>
      <c r="J886" s="130" t="s">
        <v>10178</v>
      </c>
    </row>
    <row r="887">
      <c r="A887" s="191"/>
      <c r="B887" s="130" t="s">
        <v>10178</v>
      </c>
      <c r="C887" s="130" t="s">
        <v>10178</v>
      </c>
      <c r="D887" s="130" t="s">
        <v>10178</v>
      </c>
      <c r="E887" s="130" t="s">
        <v>10178</v>
      </c>
      <c r="F887" s="130" t="s">
        <v>10178</v>
      </c>
      <c r="G887" s="130" t="s">
        <v>10178</v>
      </c>
      <c r="H887" s="130" t="s">
        <v>10178</v>
      </c>
      <c r="I887" s="130" t="s">
        <v>10178</v>
      </c>
      <c r="J887" s="130" t="s">
        <v>10178</v>
      </c>
    </row>
    <row r="888">
      <c r="A888" s="191"/>
      <c r="B888" s="130" t="s">
        <v>10178</v>
      </c>
      <c r="C888" s="130" t="s">
        <v>10178</v>
      </c>
      <c r="D888" s="130" t="s">
        <v>10178</v>
      </c>
      <c r="E888" s="130" t="s">
        <v>10178</v>
      </c>
      <c r="F888" s="130" t="s">
        <v>10178</v>
      </c>
      <c r="G888" s="130" t="s">
        <v>10178</v>
      </c>
      <c r="H888" s="130" t="s">
        <v>10178</v>
      </c>
      <c r="I888" s="130" t="s">
        <v>10178</v>
      </c>
      <c r="J888" s="130" t="s">
        <v>10178</v>
      </c>
    </row>
    <row r="889">
      <c r="A889" s="191"/>
      <c r="B889" s="130" t="s">
        <v>10178</v>
      </c>
      <c r="C889" s="130" t="s">
        <v>10178</v>
      </c>
      <c r="D889" s="130" t="s">
        <v>10178</v>
      </c>
      <c r="E889" s="130" t="s">
        <v>10178</v>
      </c>
      <c r="F889" s="130" t="s">
        <v>10178</v>
      </c>
      <c r="G889" s="130" t="s">
        <v>10178</v>
      </c>
      <c r="H889" s="130" t="s">
        <v>10178</v>
      </c>
      <c r="I889" s="130" t="s">
        <v>10178</v>
      </c>
      <c r="J889" s="130" t="s">
        <v>10178</v>
      </c>
    </row>
    <row r="890">
      <c r="A890" s="191"/>
      <c r="B890" s="130" t="s">
        <v>10178</v>
      </c>
      <c r="C890" s="130" t="s">
        <v>10178</v>
      </c>
      <c r="D890" s="130" t="s">
        <v>10178</v>
      </c>
      <c r="E890" s="130" t="s">
        <v>10178</v>
      </c>
      <c r="F890" s="130" t="s">
        <v>10178</v>
      </c>
      <c r="G890" s="130" t="s">
        <v>10178</v>
      </c>
      <c r="H890" s="130" t="s">
        <v>10178</v>
      </c>
      <c r="I890" s="130" t="s">
        <v>10178</v>
      </c>
      <c r="J890" s="130" t="s">
        <v>10178</v>
      </c>
    </row>
    <row r="891">
      <c r="A891" s="191"/>
      <c r="B891" s="130" t="s">
        <v>10178</v>
      </c>
      <c r="C891" s="130" t="s">
        <v>10178</v>
      </c>
      <c r="D891" s="130" t="s">
        <v>10178</v>
      </c>
      <c r="E891" s="130" t="s">
        <v>10178</v>
      </c>
      <c r="F891" s="130" t="s">
        <v>10178</v>
      </c>
      <c r="G891" s="130" t="s">
        <v>10178</v>
      </c>
      <c r="H891" s="130" t="s">
        <v>10178</v>
      </c>
      <c r="I891" s="130" t="s">
        <v>10178</v>
      </c>
      <c r="J891" s="130" t="s">
        <v>10178</v>
      </c>
    </row>
    <row r="892">
      <c r="A892" s="191"/>
      <c r="B892" s="130" t="s">
        <v>10178</v>
      </c>
      <c r="C892" s="130" t="s">
        <v>10178</v>
      </c>
      <c r="D892" s="130" t="s">
        <v>10178</v>
      </c>
      <c r="E892" s="130" t="s">
        <v>10178</v>
      </c>
      <c r="F892" s="130" t="s">
        <v>10178</v>
      </c>
      <c r="G892" s="130" t="s">
        <v>10178</v>
      </c>
      <c r="H892" s="130" t="s">
        <v>10178</v>
      </c>
      <c r="I892" s="130" t="s">
        <v>10178</v>
      </c>
      <c r="J892" s="130" t="s">
        <v>10178</v>
      </c>
    </row>
    <row r="893">
      <c r="A893" s="191"/>
      <c r="B893" s="130" t="s">
        <v>10178</v>
      </c>
      <c r="C893" s="130" t="s">
        <v>10178</v>
      </c>
      <c r="D893" s="130" t="s">
        <v>10178</v>
      </c>
      <c r="E893" s="130" t="s">
        <v>10178</v>
      </c>
      <c r="F893" s="130" t="s">
        <v>10178</v>
      </c>
      <c r="G893" s="130" t="s">
        <v>10178</v>
      </c>
      <c r="H893" s="130" t="s">
        <v>10178</v>
      </c>
      <c r="I893" s="130" t="s">
        <v>10178</v>
      </c>
      <c r="J893" s="130" t="s">
        <v>10178</v>
      </c>
    </row>
    <row r="894">
      <c r="A894" s="191"/>
      <c r="B894" s="130" t="s">
        <v>10178</v>
      </c>
      <c r="C894" s="130" t="s">
        <v>10178</v>
      </c>
      <c r="D894" s="130" t="s">
        <v>10178</v>
      </c>
      <c r="E894" s="130" t="s">
        <v>10178</v>
      </c>
      <c r="F894" s="130" t="s">
        <v>10178</v>
      </c>
      <c r="G894" s="130" t="s">
        <v>10178</v>
      </c>
      <c r="H894" s="130" t="s">
        <v>10178</v>
      </c>
      <c r="I894" s="130" t="s">
        <v>10178</v>
      </c>
      <c r="J894" s="130" t="s">
        <v>10178</v>
      </c>
    </row>
    <row r="895">
      <c r="A895" s="191"/>
      <c r="B895" s="130" t="s">
        <v>10178</v>
      </c>
      <c r="C895" s="130" t="s">
        <v>10178</v>
      </c>
      <c r="D895" s="130" t="s">
        <v>10178</v>
      </c>
      <c r="E895" s="130" t="s">
        <v>10178</v>
      </c>
      <c r="F895" s="130" t="s">
        <v>10178</v>
      </c>
      <c r="G895" s="130" t="s">
        <v>10178</v>
      </c>
      <c r="H895" s="130" t="s">
        <v>10178</v>
      </c>
      <c r="I895" s="130" t="s">
        <v>10178</v>
      </c>
      <c r="J895" s="130" t="s">
        <v>10178</v>
      </c>
    </row>
    <row r="896">
      <c r="A896" s="191"/>
      <c r="B896" s="130" t="s">
        <v>10178</v>
      </c>
      <c r="C896" s="130" t="s">
        <v>10178</v>
      </c>
      <c r="D896" s="130" t="s">
        <v>10178</v>
      </c>
      <c r="E896" s="130" t="s">
        <v>10178</v>
      </c>
      <c r="F896" s="130" t="s">
        <v>10178</v>
      </c>
      <c r="G896" s="130" t="s">
        <v>10178</v>
      </c>
      <c r="H896" s="130" t="s">
        <v>10178</v>
      </c>
      <c r="I896" s="130" t="s">
        <v>10178</v>
      </c>
      <c r="J896" s="130" t="s">
        <v>10178</v>
      </c>
    </row>
    <row r="897">
      <c r="A897" s="191"/>
      <c r="B897" s="130" t="s">
        <v>10178</v>
      </c>
      <c r="C897" s="130" t="s">
        <v>10178</v>
      </c>
      <c r="D897" s="130" t="s">
        <v>10178</v>
      </c>
      <c r="E897" s="130" t="s">
        <v>10178</v>
      </c>
      <c r="F897" s="130" t="s">
        <v>10178</v>
      </c>
      <c r="G897" s="130" t="s">
        <v>10178</v>
      </c>
      <c r="H897" s="130" t="s">
        <v>10178</v>
      </c>
      <c r="I897" s="130" t="s">
        <v>10178</v>
      </c>
      <c r="J897" s="130" t="s">
        <v>10178</v>
      </c>
    </row>
    <row r="898">
      <c r="A898" s="191"/>
      <c r="B898" s="130" t="s">
        <v>10178</v>
      </c>
      <c r="C898" s="130" t="s">
        <v>10178</v>
      </c>
      <c r="D898" s="130" t="s">
        <v>10178</v>
      </c>
      <c r="E898" s="130" t="s">
        <v>10178</v>
      </c>
      <c r="F898" s="130" t="s">
        <v>10178</v>
      </c>
      <c r="G898" s="130" t="s">
        <v>10178</v>
      </c>
      <c r="H898" s="130" t="s">
        <v>10178</v>
      </c>
      <c r="I898" s="130" t="s">
        <v>10178</v>
      </c>
      <c r="J898" s="130" t="s">
        <v>10178</v>
      </c>
    </row>
    <row r="899">
      <c r="A899" s="191"/>
      <c r="B899" s="130" t="s">
        <v>10178</v>
      </c>
      <c r="C899" s="130" t="s">
        <v>10178</v>
      </c>
      <c r="D899" s="130" t="s">
        <v>10178</v>
      </c>
      <c r="E899" s="130" t="s">
        <v>10178</v>
      </c>
      <c r="F899" s="130" t="s">
        <v>10178</v>
      </c>
      <c r="G899" s="130" t="s">
        <v>10178</v>
      </c>
      <c r="H899" s="130" t="s">
        <v>10178</v>
      </c>
      <c r="I899" s="130" t="s">
        <v>10178</v>
      </c>
      <c r="J899" s="130" t="s">
        <v>10178</v>
      </c>
    </row>
    <row r="900">
      <c r="A900" s="191"/>
      <c r="B900" s="130" t="s">
        <v>10178</v>
      </c>
      <c r="C900" s="130" t="s">
        <v>10178</v>
      </c>
      <c r="D900" s="130" t="s">
        <v>10178</v>
      </c>
      <c r="E900" s="130" t="s">
        <v>10178</v>
      </c>
      <c r="F900" s="130" t="s">
        <v>10178</v>
      </c>
      <c r="G900" s="130" t="s">
        <v>10178</v>
      </c>
      <c r="H900" s="130" t="s">
        <v>10178</v>
      </c>
      <c r="I900" s="130" t="s">
        <v>10178</v>
      </c>
      <c r="J900" s="130" t="s">
        <v>10178</v>
      </c>
    </row>
    <row r="901">
      <c r="A901" s="191"/>
      <c r="B901" s="130" t="s">
        <v>10178</v>
      </c>
      <c r="C901" s="130" t="s">
        <v>10178</v>
      </c>
      <c r="D901" s="130" t="s">
        <v>10178</v>
      </c>
      <c r="E901" s="130" t="s">
        <v>10178</v>
      </c>
      <c r="F901" s="130" t="s">
        <v>10178</v>
      </c>
      <c r="G901" s="130" t="s">
        <v>10178</v>
      </c>
      <c r="H901" s="130" t="s">
        <v>10178</v>
      </c>
      <c r="I901" s="130" t="s">
        <v>10178</v>
      </c>
      <c r="J901" s="130" t="s">
        <v>10178</v>
      </c>
    </row>
    <row r="902">
      <c r="A902" s="191"/>
      <c r="B902" s="130" t="s">
        <v>10178</v>
      </c>
      <c r="C902" s="130" t="s">
        <v>10178</v>
      </c>
      <c r="D902" s="130" t="s">
        <v>10178</v>
      </c>
      <c r="E902" s="130" t="s">
        <v>10178</v>
      </c>
      <c r="F902" s="130" t="s">
        <v>10178</v>
      </c>
      <c r="G902" s="130" t="s">
        <v>10178</v>
      </c>
      <c r="H902" s="130" t="s">
        <v>10178</v>
      </c>
      <c r="I902" s="130" t="s">
        <v>10178</v>
      </c>
      <c r="J902" s="130" t="s">
        <v>10178</v>
      </c>
    </row>
    <row r="903">
      <c r="A903" s="191"/>
      <c r="B903" s="130" t="s">
        <v>10178</v>
      </c>
      <c r="C903" s="130" t="s">
        <v>10178</v>
      </c>
      <c r="D903" s="130" t="s">
        <v>10178</v>
      </c>
      <c r="E903" s="130" t="s">
        <v>10178</v>
      </c>
      <c r="F903" s="130" t="s">
        <v>10178</v>
      </c>
      <c r="G903" s="130" t="s">
        <v>10178</v>
      </c>
      <c r="H903" s="130" t="s">
        <v>10178</v>
      </c>
      <c r="I903" s="130" t="s">
        <v>10178</v>
      </c>
      <c r="J903" s="130" t="s">
        <v>10178</v>
      </c>
    </row>
    <row r="904">
      <c r="A904" s="191"/>
      <c r="B904" s="130" t="s">
        <v>10178</v>
      </c>
      <c r="C904" s="130" t="s">
        <v>10178</v>
      </c>
      <c r="D904" s="130" t="s">
        <v>10178</v>
      </c>
      <c r="E904" s="130" t="s">
        <v>10178</v>
      </c>
      <c r="F904" s="130" t="s">
        <v>10178</v>
      </c>
      <c r="G904" s="130" t="s">
        <v>10178</v>
      </c>
      <c r="H904" s="130" t="s">
        <v>10178</v>
      </c>
      <c r="I904" s="130" t="s">
        <v>10178</v>
      </c>
      <c r="J904" s="130" t="s">
        <v>10178</v>
      </c>
    </row>
    <row r="905">
      <c r="A905" s="191"/>
      <c r="B905" s="130" t="s">
        <v>10178</v>
      </c>
      <c r="C905" s="130" t="s">
        <v>10178</v>
      </c>
      <c r="D905" s="130" t="s">
        <v>10178</v>
      </c>
      <c r="E905" s="130" t="s">
        <v>10178</v>
      </c>
      <c r="F905" s="130" t="s">
        <v>10178</v>
      </c>
      <c r="G905" s="130" t="s">
        <v>10178</v>
      </c>
      <c r="H905" s="130" t="s">
        <v>10178</v>
      </c>
      <c r="I905" s="130" t="s">
        <v>10178</v>
      </c>
      <c r="J905" s="130" t="s">
        <v>10178</v>
      </c>
    </row>
    <row r="906">
      <c r="A906" s="191"/>
      <c r="B906" s="130" t="s">
        <v>10178</v>
      </c>
      <c r="C906" s="130" t="s">
        <v>10178</v>
      </c>
      <c r="D906" s="130" t="s">
        <v>10178</v>
      </c>
      <c r="E906" s="130" t="s">
        <v>10178</v>
      </c>
      <c r="F906" s="130" t="s">
        <v>10178</v>
      </c>
      <c r="G906" s="130" t="s">
        <v>10178</v>
      </c>
      <c r="H906" s="130" t="s">
        <v>10178</v>
      </c>
      <c r="I906" s="130" t="s">
        <v>10178</v>
      </c>
      <c r="J906" s="130" t="s">
        <v>10178</v>
      </c>
    </row>
    <row r="907">
      <c r="A907" s="191"/>
      <c r="B907" s="130" t="s">
        <v>10178</v>
      </c>
      <c r="C907" s="130" t="s">
        <v>10178</v>
      </c>
      <c r="D907" s="130" t="s">
        <v>10178</v>
      </c>
      <c r="E907" s="130" t="s">
        <v>10178</v>
      </c>
      <c r="F907" s="130" t="s">
        <v>10178</v>
      </c>
      <c r="G907" s="130" t="s">
        <v>10178</v>
      </c>
      <c r="H907" s="130" t="s">
        <v>10178</v>
      </c>
      <c r="I907" s="130" t="s">
        <v>10178</v>
      </c>
      <c r="J907" s="130" t="s">
        <v>10178</v>
      </c>
    </row>
    <row r="908">
      <c r="A908" s="191"/>
      <c r="B908" s="130" t="s">
        <v>10178</v>
      </c>
      <c r="C908" s="130" t="s">
        <v>10178</v>
      </c>
      <c r="D908" s="130" t="s">
        <v>10178</v>
      </c>
      <c r="E908" s="130" t="s">
        <v>10178</v>
      </c>
      <c r="F908" s="130" t="s">
        <v>10178</v>
      </c>
      <c r="G908" s="130" t="s">
        <v>10178</v>
      </c>
      <c r="H908" s="130" t="s">
        <v>10178</v>
      </c>
      <c r="I908" s="130" t="s">
        <v>10178</v>
      </c>
      <c r="J908" s="130" t="s">
        <v>10178</v>
      </c>
    </row>
    <row r="909">
      <c r="A909" s="191"/>
      <c r="B909" s="130" t="s">
        <v>10178</v>
      </c>
      <c r="C909" s="130" t="s">
        <v>10178</v>
      </c>
      <c r="D909" s="130" t="s">
        <v>10178</v>
      </c>
      <c r="E909" s="130" t="s">
        <v>10178</v>
      </c>
      <c r="F909" s="130" t="s">
        <v>10178</v>
      </c>
      <c r="G909" s="130" t="s">
        <v>10178</v>
      </c>
      <c r="H909" s="130" t="s">
        <v>10178</v>
      </c>
      <c r="I909" s="130" t="s">
        <v>10178</v>
      </c>
      <c r="J909" s="130" t="s">
        <v>10178</v>
      </c>
    </row>
    <row r="910">
      <c r="A910" s="191"/>
      <c r="B910" s="130" t="s">
        <v>10178</v>
      </c>
      <c r="C910" s="130" t="s">
        <v>10178</v>
      </c>
      <c r="D910" s="130" t="s">
        <v>10178</v>
      </c>
      <c r="E910" s="130" t="s">
        <v>10178</v>
      </c>
      <c r="F910" s="130" t="s">
        <v>10178</v>
      </c>
      <c r="G910" s="130" t="s">
        <v>10178</v>
      </c>
      <c r="H910" s="130" t="s">
        <v>10178</v>
      </c>
      <c r="I910" s="130" t="s">
        <v>10178</v>
      </c>
      <c r="J910" s="130" t="s">
        <v>10178</v>
      </c>
    </row>
    <row r="911">
      <c r="A911" s="191"/>
      <c r="B911" s="130" t="s">
        <v>10178</v>
      </c>
      <c r="C911" s="130" t="s">
        <v>10178</v>
      </c>
      <c r="D911" s="130" t="s">
        <v>10178</v>
      </c>
      <c r="E911" s="130" t="s">
        <v>10178</v>
      </c>
      <c r="F911" s="130" t="s">
        <v>10178</v>
      </c>
      <c r="G911" s="130" t="s">
        <v>10178</v>
      </c>
      <c r="H911" s="130" t="s">
        <v>10178</v>
      </c>
      <c r="I911" s="130" t="s">
        <v>10178</v>
      </c>
      <c r="J911" s="130" t="s">
        <v>10178</v>
      </c>
    </row>
    <row r="912">
      <c r="A912" s="191"/>
      <c r="B912" s="130" t="s">
        <v>10178</v>
      </c>
      <c r="C912" s="130" t="s">
        <v>10178</v>
      </c>
      <c r="D912" s="130" t="s">
        <v>10178</v>
      </c>
      <c r="E912" s="130" t="s">
        <v>10178</v>
      </c>
      <c r="F912" s="130" t="s">
        <v>10178</v>
      </c>
      <c r="G912" s="130" t="s">
        <v>10178</v>
      </c>
      <c r="H912" s="130" t="s">
        <v>10178</v>
      </c>
      <c r="I912" s="130" t="s">
        <v>10178</v>
      </c>
      <c r="J912" s="130" t="s">
        <v>10178</v>
      </c>
    </row>
    <row r="913">
      <c r="A913" s="191"/>
      <c r="B913" s="130" t="s">
        <v>10178</v>
      </c>
      <c r="C913" s="130" t="s">
        <v>10178</v>
      </c>
      <c r="D913" s="130" t="s">
        <v>10178</v>
      </c>
      <c r="E913" s="130" t="s">
        <v>10178</v>
      </c>
      <c r="F913" s="130" t="s">
        <v>10178</v>
      </c>
      <c r="G913" s="130" t="s">
        <v>10178</v>
      </c>
      <c r="H913" s="130" t="s">
        <v>10178</v>
      </c>
      <c r="I913" s="130" t="s">
        <v>10178</v>
      </c>
      <c r="J913" s="130" t="s">
        <v>10178</v>
      </c>
    </row>
    <row r="914">
      <c r="A914" s="191"/>
      <c r="B914" s="130" t="s">
        <v>10178</v>
      </c>
      <c r="C914" s="130" t="s">
        <v>10178</v>
      </c>
      <c r="D914" s="130" t="s">
        <v>10178</v>
      </c>
      <c r="E914" s="130" t="s">
        <v>10178</v>
      </c>
      <c r="F914" s="130" t="s">
        <v>10178</v>
      </c>
      <c r="G914" s="130" t="s">
        <v>10178</v>
      </c>
      <c r="H914" s="130" t="s">
        <v>10178</v>
      </c>
      <c r="I914" s="130" t="s">
        <v>10178</v>
      </c>
      <c r="J914" s="130" t="s">
        <v>10178</v>
      </c>
    </row>
    <row r="915">
      <c r="A915" s="191"/>
      <c r="B915" s="130" t="s">
        <v>10178</v>
      </c>
      <c r="C915" s="130" t="s">
        <v>10178</v>
      </c>
      <c r="D915" s="130" t="s">
        <v>10178</v>
      </c>
      <c r="E915" s="130" t="s">
        <v>10178</v>
      </c>
      <c r="F915" s="130" t="s">
        <v>10178</v>
      </c>
      <c r="G915" s="130" t="s">
        <v>10178</v>
      </c>
      <c r="H915" s="130" t="s">
        <v>10178</v>
      </c>
      <c r="I915" s="130" t="s">
        <v>10178</v>
      </c>
      <c r="J915" s="130" t="s">
        <v>10178</v>
      </c>
    </row>
    <row r="916">
      <c r="A916" s="191"/>
      <c r="B916" s="130" t="s">
        <v>10178</v>
      </c>
      <c r="C916" s="130" t="s">
        <v>10178</v>
      </c>
      <c r="D916" s="130" t="s">
        <v>10178</v>
      </c>
      <c r="E916" s="130" t="s">
        <v>10178</v>
      </c>
      <c r="F916" s="130" t="s">
        <v>10178</v>
      </c>
      <c r="G916" s="130" t="s">
        <v>10178</v>
      </c>
      <c r="H916" s="130" t="s">
        <v>10178</v>
      </c>
      <c r="I916" s="130" t="s">
        <v>10178</v>
      </c>
      <c r="J916" s="130" t="s">
        <v>10178</v>
      </c>
    </row>
    <row r="917">
      <c r="A917" s="191"/>
      <c r="B917" s="130" t="s">
        <v>10178</v>
      </c>
      <c r="C917" s="130" t="s">
        <v>10178</v>
      </c>
      <c r="D917" s="130" t="s">
        <v>10178</v>
      </c>
      <c r="E917" s="130" t="s">
        <v>10178</v>
      </c>
      <c r="F917" s="130" t="s">
        <v>10178</v>
      </c>
      <c r="G917" s="130" t="s">
        <v>10178</v>
      </c>
      <c r="H917" s="130" t="s">
        <v>10178</v>
      </c>
      <c r="I917" s="130" t="s">
        <v>10178</v>
      </c>
      <c r="J917" s="130" t="s">
        <v>10178</v>
      </c>
    </row>
    <row r="918">
      <c r="A918" s="191"/>
      <c r="B918" s="130" t="s">
        <v>10178</v>
      </c>
      <c r="C918" s="130" t="s">
        <v>10178</v>
      </c>
      <c r="D918" s="130" t="s">
        <v>10178</v>
      </c>
      <c r="E918" s="130" t="s">
        <v>10178</v>
      </c>
      <c r="F918" s="130" t="s">
        <v>10178</v>
      </c>
      <c r="G918" s="130" t="s">
        <v>10178</v>
      </c>
      <c r="H918" s="130" t="s">
        <v>10178</v>
      </c>
      <c r="I918" s="130" t="s">
        <v>10178</v>
      </c>
      <c r="J918" s="130" t="s">
        <v>10178</v>
      </c>
    </row>
    <row r="919">
      <c r="A919" s="191"/>
      <c r="B919" s="130" t="s">
        <v>10178</v>
      </c>
      <c r="C919" s="130" t="s">
        <v>10178</v>
      </c>
      <c r="D919" s="130" t="s">
        <v>10178</v>
      </c>
      <c r="E919" s="130" t="s">
        <v>10178</v>
      </c>
      <c r="F919" s="130" t="s">
        <v>10178</v>
      </c>
      <c r="G919" s="130" t="s">
        <v>10178</v>
      </c>
      <c r="H919" s="130" t="s">
        <v>10178</v>
      </c>
      <c r="I919" s="130" t="s">
        <v>10178</v>
      </c>
      <c r="J919" s="130" t="s">
        <v>10178</v>
      </c>
    </row>
    <row r="920">
      <c r="A920" s="191"/>
      <c r="B920" s="130" t="s">
        <v>10178</v>
      </c>
      <c r="C920" s="130" t="s">
        <v>10178</v>
      </c>
      <c r="D920" s="130" t="s">
        <v>10178</v>
      </c>
      <c r="E920" s="130" t="s">
        <v>10178</v>
      </c>
      <c r="F920" s="130" t="s">
        <v>10178</v>
      </c>
      <c r="G920" s="130" t="s">
        <v>10178</v>
      </c>
      <c r="H920" s="130" t="s">
        <v>10178</v>
      </c>
      <c r="I920" s="130" t="s">
        <v>10178</v>
      </c>
      <c r="J920" s="130" t="s">
        <v>10178</v>
      </c>
    </row>
    <row r="921">
      <c r="A921" s="191"/>
      <c r="B921" s="130" t="s">
        <v>10178</v>
      </c>
      <c r="C921" s="130" t="s">
        <v>10178</v>
      </c>
      <c r="D921" s="130" t="s">
        <v>10178</v>
      </c>
      <c r="E921" s="130" t="s">
        <v>10178</v>
      </c>
      <c r="F921" s="130" t="s">
        <v>10178</v>
      </c>
      <c r="G921" s="130" t="s">
        <v>10178</v>
      </c>
      <c r="H921" s="130" t="s">
        <v>10178</v>
      </c>
      <c r="I921" s="130" t="s">
        <v>10178</v>
      </c>
      <c r="J921" s="130" t="s">
        <v>10178</v>
      </c>
    </row>
    <row r="922">
      <c r="A922" s="191"/>
      <c r="B922" s="130" t="s">
        <v>10178</v>
      </c>
      <c r="C922" s="130" t="s">
        <v>10178</v>
      </c>
      <c r="D922" s="130" t="s">
        <v>10178</v>
      </c>
      <c r="E922" s="130" t="s">
        <v>10178</v>
      </c>
      <c r="F922" s="130" t="s">
        <v>10178</v>
      </c>
      <c r="G922" s="130" t="s">
        <v>10178</v>
      </c>
      <c r="H922" s="130" t="s">
        <v>10178</v>
      </c>
      <c r="I922" s="130" t="s">
        <v>10178</v>
      </c>
      <c r="J922" s="130" t="s">
        <v>10178</v>
      </c>
    </row>
    <row r="923">
      <c r="A923" s="191"/>
      <c r="B923" s="130" t="s">
        <v>10178</v>
      </c>
      <c r="C923" s="130" t="s">
        <v>10178</v>
      </c>
      <c r="D923" s="130" t="s">
        <v>10178</v>
      </c>
      <c r="E923" s="130" t="s">
        <v>10178</v>
      </c>
      <c r="F923" s="130" t="s">
        <v>10178</v>
      </c>
      <c r="G923" s="130" t="s">
        <v>10178</v>
      </c>
      <c r="H923" s="130" t="s">
        <v>10178</v>
      </c>
      <c r="I923" s="130" t="s">
        <v>10178</v>
      </c>
      <c r="J923" s="130" t="s">
        <v>10178</v>
      </c>
    </row>
    <row r="924">
      <c r="A924" s="191"/>
      <c r="B924" s="130" t="s">
        <v>10178</v>
      </c>
      <c r="C924" s="130" t="s">
        <v>10178</v>
      </c>
      <c r="D924" s="130" t="s">
        <v>10178</v>
      </c>
      <c r="E924" s="130" t="s">
        <v>10178</v>
      </c>
      <c r="F924" s="130" t="s">
        <v>10178</v>
      </c>
      <c r="G924" s="130" t="s">
        <v>10178</v>
      </c>
      <c r="H924" s="130" t="s">
        <v>10178</v>
      </c>
      <c r="I924" s="130" t="s">
        <v>10178</v>
      </c>
      <c r="J924" s="130" t="s">
        <v>10178</v>
      </c>
    </row>
    <row r="925">
      <c r="A925" s="191"/>
      <c r="B925" s="130" t="s">
        <v>10178</v>
      </c>
      <c r="C925" s="130" t="s">
        <v>10178</v>
      </c>
      <c r="D925" s="130" t="s">
        <v>10178</v>
      </c>
      <c r="E925" s="130" t="s">
        <v>10178</v>
      </c>
      <c r="F925" s="130" t="s">
        <v>10178</v>
      </c>
      <c r="G925" s="130" t="s">
        <v>10178</v>
      </c>
      <c r="H925" s="130" t="s">
        <v>10178</v>
      </c>
      <c r="I925" s="130" t="s">
        <v>10178</v>
      </c>
      <c r="J925" s="130" t="s">
        <v>10178</v>
      </c>
    </row>
    <row r="926">
      <c r="A926" s="191"/>
      <c r="B926" s="130" t="s">
        <v>10178</v>
      </c>
      <c r="C926" s="130" t="s">
        <v>10178</v>
      </c>
      <c r="D926" s="130" t="s">
        <v>10178</v>
      </c>
      <c r="E926" s="130" t="s">
        <v>10178</v>
      </c>
      <c r="F926" s="130" t="s">
        <v>10178</v>
      </c>
      <c r="G926" s="130" t="s">
        <v>10178</v>
      </c>
      <c r="H926" s="130" t="s">
        <v>10178</v>
      </c>
      <c r="I926" s="130" t="s">
        <v>10178</v>
      </c>
      <c r="J926" s="130" t="s">
        <v>10178</v>
      </c>
    </row>
    <row r="927">
      <c r="A927" s="191"/>
      <c r="B927" s="130" t="s">
        <v>10178</v>
      </c>
      <c r="C927" s="130" t="s">
        <v>10178</v>
      </c>
      <c r="D927" s="130" t="s">
        <v>10178</v>
      </c>
      <c r="E927" s="130" t="s">
        <v>10178</v>
      </c>
      <c r="F927" s="130" t="s">
        <v>10178</v>
      </c>
      <c r="G927" s="130" t="s">
        <v>10178</v>
      </c>
      <c r="H927" s="130" t="s">
        <v>10178</v>
      </c>
      <c r="I927" s="130" t="s">
        <v>10178</v>
      </c>
      <c r="J927" s="130" t="s">
        <v>10178</v>
      </c>
    </row>
    <row r="928">
      <c r="A928" s="191"/>
      <c r="B928" s="130" t="s">
        <v>10178</v>
      </c>
      <c r="C928" s="130" t="s">
        <v>10178</v>
      </c>
      <c r="D928" s="130" t="s">
        <v>10178</v>
      </c>
      <c r="E928" s="130" t="s">
        <v>10178</v>
      </c>
      <c r="F928" s="130" t="s">
        <v>10178</v>
      </c>
      <c r="G928" s="130" t="s">
        <v>10178</v>
      </c>
      <c r="H928" s="130" t="s">
        <v>10178</v>
      </c>
      <c r="I928" s="130" t="s">
        <v>10178</v>
      </c>
      <c r="J928" s="130" t="s">
        <v>10178</v>
      </c>
    </row>
    <row r="929">
      <c r="A929" s="191"/>
      <c r="B929" s="130" t="s">
        <v>10178</v>
      </c>
      <c r="C929" s="130" t="s">
        <v>10178</v>
      </c>
      <c r="D929" s="130" t="s">
        <v>10178</v>
      </c>
      <c r="E929" s="130" t="s">
        <v>10178</v>
      </c>
      <c r="F929" s="130" t="s">
        <v>10178</v>
      </c>
      <c r="G929" s="130" t="s">
        <v>10178</v>
      </c>
      <c r="H929" s="130" t="s">
        <v>10178</v>
      </c>
      <c r="I929" s="130" t="s">
        <v>10178</v>
      </c>
      <c r="J929" s="130" t="s">
        <v>10178</v>
      </c>
    </row>
    <row r="930">
      <c r="A930" s="191"/>
      <c r="B930" s="130" t="s">
        <v>10178</v>
      </c>
      <c r="C930" s="130" t="s">
        <v>10178</v>
      </c>
      <c r="D930" s="130" t="s">
        <v>10178</v>
      </c>
      <c r="E930" s="130" t="s">
        <v>10178</v>
      </c>
      <c r="F930" s="130" t="s">
        <v>10178</v>
      </c>
      <c r="G930" s="130" t="s">
        <v>10178</v>
      </c>
      <c r="H930" s="130" t="s">
        <v>10178</v>
      </c>
      <c r="I930" s="130" t="s">
        <v>10178</v>
      </c>
      <c r="J930" s="130" t="s">
        <v>10178</v>
      </c>
    </row>
    <row r="931">
      <c r="A931" s="191"/>
      <c r="B931" s="130" t="s">
        <v>10178</v>
      </c>
      <c r="C931" s="130" t="s">
        <v>10178</v>
      </c>
      <c r="D931" s="130" t="s">
        <v>10178</v>
      </c>
      <c r="E931" s="130" t="s">
        <v>10178</v>
      </c>
      <c r="F931" s="130" t="s">
        <v>10178</v>
      </c>
      <c r="G931" s="130" t="s">
        <v>10178</v>
      </c>
      <c r="H931" s="130" t="s">
        <v>10178</v>
      </c>
      <c r="I931" s="130" t="s">
        <v>10178</v>
      </c>
      <c r="J931" s="130" t="s">
        <v>10178</v>
      </c>
    </row>
    <row r="932">
      <c r="A932" s="191"/>
      <c r="B932" s="130" t="s">
        <v>10178</v>
      </c>
      <c r="C932" s="130" t="s">
        <v>10178</v>
      </c>
      <c r="D932" s="130" t="s">
        <v>10178</v>
      </c>
      <c r="E932" s="130" t="s">
        <v>10178</v>
      </c>
      <c r="F932" s="130" t="s">
        <v>10178</v>
      </c>
      <c r="G932" s="130" t="s">
        <v>10178</v>
      </c>
      <c r="H932" s="130" t="s">
        <v>10178</v>
      </c>
      <c r="I932" s="130" t="s">
        <v>10178</v>
      </c>
      <c r="J932" s="130" t="s">
        <v>10178</v>
      </c>
    </row>
    <row r="933">
      <c r="A933" s="191"/>
      <c r="B933" s="130" t="s">
        <v>10178</v>
      </c>
      <c r="C933" s="130" t="s">
        <v>10178</v>
      </c>
      <c r="D933" s="130" t="s">
        <v>10178</v>
      </c>
      <c r="E933" s="130" t="s">
        <v>10178</v>
      </c>
      <c r="F933" s="130" t="s">
        <v>10178</v>
      </c>
      <c r="G933" s="130" t="s">
        <v>10178</v>
      </c>
      <c r="H933" s="130" t="s">
        <v>10178</v>
      </c>
      <c r="I933" s="130" t="s">
        <v>10178</v>
      </c>
      <c r="J933" s="130" t="s">
        <v>10178</v>
      </c>
    </row>
    <row r="934">
      <c r="A934" s="191"/>
      <c r="B934" s="130" t="s">
        <v>10178</v>
      </c>
      <c r="C934" s="130" t="s">
        <v>10178</v>
      </c>
      <c r="D934" s="130" t="s">
        <v>10178</v>
      </c>
      <c r="E934" s="130" t="s">
        <v>10178</v>
      </c>
      <c r="F934" s="130" t="s">
        <v>10178</v>
      </c>
      <c r="G934" s="130" t="s">
        <v>10178</v>
      </c>
      <c r="H934" s="130" t="s">
        <v>10178</v>
      </c>
      <c r="I934" s="130" t="s">
        <v>10178</v>
      </c>
      <c r="J934" s="130" t="s">
        <v>10178</v>
      </c>
    </row>
    <row r="935">
      <c r="A935" s="191"/>
      <c r="B935" s="130" t="s">
        <v>10178</v>
      </c>
      <c r="C935" s="130" t="s">
        <v>10178</v>
      </c>
      <c r="D935" s="130" t="s">
        <v>10178</v>
      </c>
      <c r="E935" s="130" t="s">
        <v>10178</v>
      </c>
      <c r="F935" s="130" t="s">
        <v>10178</v>
      </c>
      <c r="G935" s="130" t="s">
        <v>10178</v>
      </c>
      <c r="H935" s="130" t="s">
        <v>10178</v>
      </c>
      <c r="I935" s="130" t="s">
        <v>10178</v>
      </c>
      <c r="J935" s="130" t="s">
        <v>10178</v>
      </c>
    </row>
    <row r="936">
      <c r="A936" s="191"/>
      <c r="B936" s="130" t="s">
        <v>10178</v>
      </c>
      <c r="C936" s="130" t="s">
        <v>10178</v>
      </c>
      <c r="D936" s="130" t="s">
        <v>10178</v>
      </c>
      <c r="E936" s="130" t="s">
        <v>10178</v>
      </c>
      <c r="F936" s="130" t="s">
        <v>10178</v>
      </c>
      <c r="G936" s="130" t="s">
        <v>10178</v>
      </c>
      <c r="H936" s="130" t="s">
        <v>10178</v>
      </c>
      <c r="I936" s="130" t="s">
        <v>10178</v>
      </c>
      <c r="J936" s="130" t="s">
        <v>10178</v>
      </c>
    </row>
    <row r="937">
      <c r="A937" s="191"/>
      <c r="B937" s="130" t="s">
        <v>10178</v>
      </c>
      <c r="C937" s="130" t="s">
        <v>10178</v>
      </c>
      <c r="D937" s="130" t="s">
        <v>10178</v>
      </c>
      <c r="E937" s="130" t="s">
        <v>10178</v>
      </c>
      <c r="F937" s="130" t="s">
        <v>10178</v>
      </c>
      <c r="G937" s="130" t="s">
        <v>10178</v>
      </c>
      <c r="H937" s="130" t="s">
        <v>10178</v>
      </c>
      <c r="I937" s="130" t="s">
        <v>10178</v>
      </c>
      <c r="J937" s="130" t="s">
        <v>10178</v>
      </c>
    </row>
    <row r="938">
      <c r="A938" s="191"/>
      <c r="B938" s="130" t="s">
        <v>10178</v>
      </c>
      <c r="C938" s="130" t="s">
        <v>10178</v>
      </c>
      <c r="D938" s="130" t="s">
        <v>10178</v>
      </c>
      <c r="E938" s="130" t="s">
        <v>10178</v>
      </c>
      <c r="F938" s="130" t="s">
        <v>10178</v>
      </c>
      <c r="G938" s="130" t="s">
        <v>10178</v>
      </c>
      <c r="H938" s="130" t="s">
        <v>10178</v>
      </c>
      <c r="I938" s="130" t="s">
        <v>10178</v>
      </c>
      <c r="J938" s="130" t="s">
        <v>10178</v>
      </c>
    </row>
    <row r="939">
      <c r="A939" s="191"/>
      <c r="B939" s="130" t="s">
        <v>10178</v>
      </c>
      <c r="C939" s="130" t="s">
        <v>10178</v>
      </c>
      <c r="D939" s="130" t="s">
        <v>10178</v>
      </c>
      <c r="E939" s="130" t="s">
        <v>10178</v>
      </c>
      <c r="F939" s="130" t="s">
        <v>10178</v>
      </c>
      <c r="G939" s="130" t="s">
        <v>10178</v>
      </c>
      <c r="H939" s="130" t="s">
        <v>10178</v>
      </c>
      <c r="I939" s="130" t="s">
        <v>10178</v>
      </c>
      <c r="J939" s="130" t="s">
        <v>10178</v>
      </c>
    </row>
    <row r="940">
      <c r="A940" s="191"/>
      <c r="B940" s="130" t="s">
        <v>10178</v>
      </c>
      <c r="C940" s="130" t="s">
        <v>10178</v>
      </c>
      <c r="D940" s="130" t="s">
        <v>10178</v>
      </c>
      <c r="E940" s="130" t="s">
        <v>10178</v>
      </c>
      <c r="F940" s="130" t="s">
        <v>10178</v>
      </c>
      <c r="G940" s="130" t="s">
        <v>10178</v>
      </c>
      <c r="H940" s="130" t="s">
        <v>10178</v>
      </c>
      <c r="I940" s="130" t="s">
        <v>10178</v>
      </c>
      <c r="J940" s="130" t="s">
        <v>10178</v>
      </c>
    </row>
    <row r="941">
      <c r="A941" s="191"/>
      <c r="B941" s="130" t="s">
        <v>10178</v>
      </c>
      <c r="C941" s="130" t="s">
        <v>10178</v>
      </c>
      <c r="D941" s="130" t="s">
        <v>10178</v>
      </c>
      <c r="E941" s="130" t="s">
        <v>10178</v>
      </c>
      <c r="F941" s="130" t="s">
        <v>10178</v>
      </c>
      <c r="G941" s="130" t="s">
        <v>10178</v>
      </c>
      <c r="H941" s="130" t="s">
        <v>10178</v>
      </c>
      <c r="I941" s="130" t="s">
        <v>10178</v>
      </c>
      <c r="J941" s="130" t="s">
        <v>10178</v>
      </c>
    </row>
    <row r="942">
      <c r="A942" s="191"/>
      <c r="B942" s="130" t="s">
        <v>10178</v>
      </c>
      <c r="C942" s="130" t="s">
        <v>10178</v>
      </c>
      <c r="D942" s="130" t="s">
        <v>10178</v>
      </c>
      <c r="E942" s="130" t="s">
        <v>10178</v>
      </c>
      <c r="F942" s="130" t="s">
        <v>10178</v>
      </c>
      <c r="G942" s="130" t="s">
        <v>10178</v>
      </c>
      <c r="H942" s="130" t="s">
        <v>10178</v>
      </c>
      <c r="I942" s="130" t="s">
        <v>10178</v>
      </c>
      <c r="J942" s="130" t="s">
        <v>10178</v>
      </c>
    </row>
    <row r="943">
      <c r="A943" s="191"/>
      <c r="B943" s="130" t="s">
        <v>10178</v>
      </c>
      <c r="C943" s="130" t="s">
        <v>10178</v>
      </c>
      <c r="D943" s="130" t="s">
        <v>10178</v>
      </c>
      <c r="E943" s="130" t="s">
        <v>10178</v>
      </c>
      <c r="F943" s="130" t="s">
        <v>10178</v>
      </c>
      <c r="G943" s="130" t="s">
        <v>10178</v>
      </c>
      <c r="H943" s="130" t="s">
        <v>10178</v>
      </c>
      <c r="I943" s="130" t="s">
        <v>10178</v>
      </c>
      <c r="J943" s="130" t="s">
        <v>10178</v>
      </c>
    </row>
    <row r="944">
      <c r="A944" s="191"/>
      <c r="B944" s="130" t="s">
        <v>10178</v>
      </c>
      <c r="C944" s="130" t="s">
        <v>10178</v>
      </c>
      <c r="D944" s="130" t="s">
        <v>10178</v>
      </c>
      <c r="E944" s="130" t="s">
        <v>10178</v>
      </c>
      <c r="F944" s="130" t="s">
        <v>10178</v>
      </c>
      <c r="G944" s="130" t="s">
        <v>10178</v>
      </c>
      <c r="H944" s="130" t="s">
        <v>10178</v>
      </c>
      <c r="I944" s="130" t="s">
        <v>10178</v>
      </c>
      <c r="J944" s="130" t="s">
        <v>10178</v>
      </c>
    </row>
    <row r="945">
      <c r="A945" s="191"/>
      <c r="B945" s="130" t="s">
        <v>10178</v>
      </c>
      <c r="C945" s="130" t="s">
        <v>10178</v>
      </c>
      <c r="D945" s="130" t="s">
        <v>10178</v>
      </c>
      <c r="E945" s="130" t="s">
        <v>10178</v>
      </c>
      <c r="F945" s="130" t="s">
        <v>10178</v>
      </c>
      <c r="G945" s="130" t="s">
        <v>10178</v>
      </c>
      <c r="H945" s="130" t="s">
        <v>10178</v>
      </c>
      <c r="I945" s="130" t="s">
        <v>10178</v>
      </c>
      <c r="J945" s="130" t="s">
        <v>10178</v>
      </c>
    </row>
    <row r="946">
      <c r="A946" s="191"/>
      <c r="B946" s="130" t="s">
        <v>10178</v>
      </c>
      <c r="C946" s="130" t="s">
        <v>10178</v>
      </c>
      <c r="D946" s="130" t="s">
        <v>10178</v>
      </c>
      <c r="E946" s="130" t="s">
        <v>10178</v>
      </c>
      <c r="F946" s="130" t="s">
        <v>10178</v>
      </c>
      <c r="G946" s="130" t="s">
        <v>10178</v>
      </c>
      <c r="H946" s="130" t="s">
        <v>10178</v>
      </c>
      <c r="I946" s="130" t="s">
        <v>10178</v>
      </c>
      <c r="J946" s="130" t="s">
        <v>10178</v>
      </c>
    </row>
    <row r="947">
      <c r="A947" s="191"/>
      <c r="B947" s="130" t="s">
        <v>10178</v>
      </c>
      <c r="C947" s="130" t="s">
        <v>10178</v>
      </c>
      <c r="D947" s="130" t="s">
        <v>10178</v>
      </c>
      <c r="E947" s="130" t="s">
        <v>10178</v>
      </c>
      <c r="F947" s="130" t="s">
        <v>10178</v>
      </c>
      <c r="G947" s="130" t="s">
        <v>10178</v>
      </c>
      <c r="H947" s="130" t="s">
        <v>10178</v>
      </c>
      <c r="I947" s="130" t="s">
        <v>10178</v>
      </c>
      <c r="J947" s="130" t="s">
        <v>10178</v>
      </c>
    </row>
    <row r="948">
      <c r="A948" s="191"/>
      <c r="B948" s="130" t="s">
        <v>10178</v>
      </c>
      <c r="C948" s="130" t="s">
        <v>10178</v>
      </c>
      <c r="D948" s="130" t="s">
        <v>10178</v>
      </c>
      <c r="E948" s="130" t="s">
        <v>10178</v>
      </c>
      <c r="F948" s="130" t="s">
        <v>10178</v>
      </c>
      <c r="G948" s="130" t="s">
        <v>10178</v>
      </c>
      <c r="H948" s="130" t="s">
        <v>10178</v>
      </c>
      <c r="I948" s="130" t="s">
        <v>10178</v>
      </c>
      <c r="J948" s="130" t="s">
        <v>10178</v>
      </c>
    </row>
    <row r="949">
      <c r="A949" s="191"/>
      <c r="B949" s="130" t="s">
        <v>10178</v>
      </c>
      <c r="C949" s="130" t="s">
        <v>10178</v>
      </c>
      <c r="D949" s="130" t="s">
        <v>10178</v>
      </c>
      <c r="E949" s="130" t="s">
        <v>10178</v>
      </c>
      <c r="F949" s="130" t="s">
        <v>10178</v>
      </c>
      <c r="G949" s="130" t="s">
        <v>10178</v>
      </c>
      <c r="H949" s="130" t="s">
        <v>10178</v>
      </c>
      <c r="I949" s="130" t="s">
        <v>10178</v>
      </c>
      <c r="J949" s="130" t="s">
        <v>10178</v>
      </c>
    </row>
    <row r="950">
      <c r="A950" s="191"/>
      <c r="B950" s="130" t="s">
        <v>10178</v>
      </c>
      <c r="C950" s="130" t="s">
        <v>10178</v>
      </c>
      <c r="D950" s="130" t="s">
        <v>10178</v>
      </c>
      <c r="E950" s="130" t="s">
        <v>10178</v>
      </c>
      <c r="F950" s="130" t="s">
        <v>10178</v>
      </c>
      <c r="G950" s="130" t="s">
        <v>10178</v>
      </c>
      <c r="H950" s="130" t="s">
        <v>10178</v>
      </c>
      <c r="I950" s="130" t="s">
        <v>10178</v>
      </c>
      <c r="J950" s="130" t="s">
        <v>10178</v>
      </c>
    </row>
    <row r="951">
      <c r="A951" s="191"/>
      <c r="B951" s="130" t="s">
        <v>10178</v>
      </c>
      <c r="C951" s="130" t="s">
        <v>10178</v>
      </c>
      <c r="D951" s="130" t="s">
        <v>10178</v>
      </c>
      <c r="E951" s="130" t="s">
        <v>10178</v>
      </c>
      <c r="F951" s="130" t="s">
        <v>10178</v>
      </c>
      <c r="G951" s="130" t="s">
        <v>10178</v>
      </c>
      <c r="H951" s="130" t="s">
        <v>10178</v>
      </c>
      <c r="I951" s="130" t="s">
        <v>10178</v>
      </c>
      <c r="J951" s="130" t="s">
        <v>10178</v>
      </c>
    </row>
    <row r="952">
      <c r="A952" s="191"/>
      <c r="B952" s="130" t="s">
        <v>10178</v>
      </c>
      <c r="C952" s="130" t="s">
        <v>10178</v>
      </c>
      <c r="D952" s="130" t="s">
        <v>10178</v>
      </c>
      <c r="E952" s="130" t="s">
        <v>10178</v>
      </c>
      <c r="F952" s="130" t="s">
        <v>10178</v>
      </c>
      <c r="G952" s="130" t="s">
        <v>10178</v>
      </c>
      <c r="H952" s="130" t="s">
        <v>10178</v>
      </c>
      <c r="I952" s="130" t="s">
        <v>10178</v>
      </c>
      <c r="J952" s="130" t="s">
        <v>10178</v>
      </c>
    </row>
    <row r="953">
      <c r="A953" s="191"/>
      <c r="B953" s="130" t="s">
        <v>10178</v>
      </c>
      <c r="C953" s="130" t="s">
        <v>10178</v>
      </c>
      <c r="D953" s="130" t="s">
        <v>10178</v>
      </c>
      <c r="E953" s="130" t="s">
        <v>10178</v>
      </c>
      <c r="F953" s="130" t="s">
        <v>10178</v>
      </c>
      <c r="G953" s="130" t="s">
        <v>10178</v>
      </c>
      <c r="H953" s="130" t="s">
        <v>10178</v>
      </c>
      <c r="I953" s="130" t="s">
        <v>10178</v>
      </c>
      <c r="J953" s="130" t="s">
        <v>10178</v>
      </c>
    </row>
    <row r="954">
      <c r="A954" s="191"/>
      <c r="B954" s="130" t="s">
        <v>10178</v>
      </c>
      <c r="C954" s="130" t="s">
        <v>10178</v>
      </c>
      <c r="D954" s="130" t="s">
        <v>10178</v>
      </c>
      <c r="E954" s="130" t="s">
        <v>10178</v>
      </c>
      <c r="F954" s="130" t="s">
        <v>10178</v>
      </c>
      <c r="G954" s="130" t="s">
        <v>10178</v>
      </c>
      <c r="H954" s="130" t="s">
        <v>10178</v>
      </c>
      <c r="I954" s="130" t="s">
        <v>10178</v>
      </c>
      <c r="J954" s="130" t="s">
        <v>10178</v>
      </c>
    </row>
    <row r="955">
      <c r="A955" s="191"/>
      <c r="B955" s="130" t="s">
        <v>10178</v>
      </c>
      <c r="C955" s="130" t="s">
        <v>10178</v>
      </c>
      <c r="D955" s="130" t="s">
        <v>10178</v>
      </c>
      <c r="E955" s="130" t="s">
        <v>10178</v>
      </c>
      <c r="F955" s="130" t="s">
        <v>10178</v>
      </c>
      <c r="G955" s="130" t="s">
        <v>10178</v>
      </c>
      <c r="H955" s="130" t="s">
        <v>10178</v>
      </c>
      <c r="I955" s="130" t="s">
        <v>10178</v>
      </c>
      <c r="J955" s="130" t="s">
        <v>10178</v>
      </c>
    </row>
    <row r="956">
      <c r="A956" s="191"/>
      <c r="B956" s="130" t="s">
        <v>10178</v>
      </c>
      <c r="C956" s="130" t="s">
        <v>10178</v>
      </c>
      <c r="D956" s="130" t="s">
        <v>10178</v>
      </c>
      <c r="E956" s="130" t="s">
        <v>10178</v>
      </c>
      <c r="F956" s="130" t="s">
        <v>10178</v>
      </c>
      <c r="G956" s="130" t="s">
        <v>10178</v>
      </c>
      <c r="H956" s="130" t="s">
        <v>10178</v>
      </c>
      <c r="I956" s="130" t="s">
        <v>10178</v>
      </c>
      <c r="J956" s="130" t="s">
        <v>10178</v>
      </c>
    </row>
    <row r="957">
      <c r="A957" s="191"/>
      <c r="B957" s="130" t="s">
        <v>10178</v>
      </c>
      <c r="C957" s="130" t="s">
        <v>10178</v>
      </c>
      <c r="D957" s="130" t="s">
        <v>10178</v>
      </c>
      <c r="E957" s="130" t="s">
        <v>10178</v>
      </c>
      <c r="F957" s="130" t="s">
        <v>10178</v>
      </c>
      <c r="G957" s="130" t="s">
        <v>10178</v>
      </c>
      <c r="H957" s="130" t="s">
        <v>10178</v>
      </c>
      <c r="I957" s="130" t="s">
        <v>10178</v>
      </c>
      <c r="J957" s="130" t="s">
        <v>10178</v>
      </c>
    </row>
    <row r="958">
      <c r="A958" s="191"/>
      <c r="B958" s="130" t="s">
        <v>10178</v>
      </c>
      <c r="C958" s="130" t="s">
        <v>10178</v>
      </c>
      <c r="D958" s="130" t="s">
        <v>10178</v>
      </c>
      <c r="E958" s="130" t="s">
        <v>10178</v>
      </c>
      <c r="F958" s="130" t="s">
        <v>10178</v>
      </c>
      <c r="G958" s="130" t="s">
        <v>10178</v>
      </c>
      <c r="H958" s="130" t="s">
        <v>10178</v>
      </c>
      <c r="I958" s="130" t="s">
        <v>10178</v>
      </c>
      <c r="J958" s="130" t="s">
        <v>10178</v>
      </c>
    </row>
    <row r="959">
      <c r="A959" s="191"/>
      <c r="B959" s="130" t="s">
        <v>10178</v>
      </c>
      <c r="C959" s="130" t="s">
        <v>10178</v>
      </c>
      <c r="D959" s="130" t="s">
        <v>10178</v>
      </c>
      <c r="E959" s="130" t="s">
        <v>10178</v>
      </c>
      <c r="F959" s="130" t="s">
        <v>10178</v>
      </c>
      <c r="G959" s="130" t="s">
        <v>10178</v>
      </c>
      <c r="H959" s="130" t="s">
        <v>10178</v>
      </c>
      <c r="I959" s="130" t="s">
        <v>10178</v>
      </c>
      <c r="J959" s="130" t="s">
        <v>10178</v>
      </c>
    </row>
    <row r="960">
      <c r="A960" s="191"/>
      <c r="B960" s="130" t="s">
        <v>10178</v>
      </c>
      <c r="C960" s="130" t="s">
        <v>10178</v>
      </c>
      <c r="D960" s="130" t="s">
        <v>10178</v>
      </c>
      <c r="E960" s="130" t="s">
        <v>10178</v>
      </c>
      <c r="F960" s="130" t="s">
        <v>10178</v>
      </c>
      <c r="G960" s="130" t="s">
        <v>10178</v>
      </c>
      <c r="H960" s="130" t="s">
        <v>10178</v>
      </c>
      <c r="I960" s="130" t="s">
        <v>10178</v>
      </c>
      <c r="J960" s="130" t="s">
        <v>10178</v>
      </c>
    </row>
    <row r="961">
      <c r="A961" s="191"/>
      <c r="B961" s="130" t="s">
        <v>10178</v>
      </c>
      <c r="C961" s="130" t="s">
        <v>10178</v>
      </c>
      <c r="D961" s="130" t="s">
        <v>10178</v>
      </c>
      <c r="E961" s="130" t="s">
        <v>10178</v>
      </c>
      <c r="F961" s="130" t="s">
        <v>10178</v>
      </c>
      <c r="G961" s="130" t="s">
        <v>10178</v>
      </c>
      <c r="H961" s="130" t="s">
        <v>10178</v>
      </c>
      <c r="I961" s="130" t="s">
        <v>10178</v>
      </c>
      <c r="J961" s="130" t="s">
        <v>10178</v>
      </c>
    </row>
    <row r="962">
      <c r="A962" s="191"/>
      <c r="B962" s="130" t="s">
        <v>10178</v>
      </c>
      <c r="C962" s="130" t="s">
        <v>10178</v>
      </c>
      <c r="D962" s="130" t="s">
        <v>10178</v>
      </c>
      <c r="E962" s="130" t="s">
        <v>10178</v>
      </c>
      <c r="F962" s="130" t="s">
        <v>10178</v>
      </c>
      <c r="G962" s="130" t="s">
        <v>10178</v>
      </c>
      <c r="H962" s="130" t="s">
        <v>10178</v>
      </c>
      <c r="I962" s="130" t="s">
        <v>10178</v>
      </c>
      <c r="J962" s="130" t="s">
        <v>10178</v>
      </c>
    </row>
    <row r="963">
      <c r="A963" s="191"/>
      <c r="B963" s="130" t="s">
        <v>10178</v>
      </c>
      <c r="C963" s="130" t="s">
        <v>10178</v>
      </c>
      <c r="D963" s="130" t="s">
        <v>10178</v>
      </c>
      <c r="E963" s="130" t="s">
        <v>10178</v>
      </c>
      <c r="F963" s="130" t="s">
        <v>10178</v>
      </c>
      <c r="G963" s="130" t="s">
        <v>10178</v>
      </c>
      <c r="H963" s="130" t="s">
        <v>10178</v>
      </c>
      <c r="I963" s="130" t="s">
        <v>10178</v>
      </c>
      <c r="J963" s="130" t="s">
        <v>10178</v>
      </c>
    </row>
    <row r="964">
      <c r="A964" s="191"/>
      <c r="B964" s="130" t="s">
        <v>10178</v>
      </c>
      <c r="C964" s="130" t="s">
        <v>10178</v>
      </c>
      <c r="D964" s="130" t="s">
        <v>10178</v>
      </c>
      <c r="E964" s="130" t="s">
        <v>10178</v>
      </c>
      <c r="F964" s="130" t="s">
        <v>10178</v>
      </c>
      <c r="G964" s="130" t="s">
        <v>10178</v>
      </c>
      <c r="H964" s="130" t="s">
        <v>10178</v>
      </c>
      <c r="I964" s="130" t="s">
        <v>10178</v>
      </c>
      <c r="J964" s="130" t="s">
        <v>10178</v>
      </c>
    </row>
    <row r="965">
      <c r="A965" s="191"/>
      <c r="B965" s="130" t="s">
        <v>10178</v>
      </c>
      <c r="C965" s="130" t="s">
        <v>10178</v>
      </c>
      <c r="D965" s="130" t="s">
        <v>10178</v>
      </c>
      <c r="E965" s="130" t="s">
        <v>10178</v>
      </c>
      <c r="F965" s="130" t="s">
        <v>10178</v>
      </c>
      <c r="G965" s="130" t="s">
        <v>10178</v>
      </c>
      <c r="H965" s="130" t="s">
        <v>10178</v>
      </c>
      <c r="I965" s="130" t="s">
        <v>10178</v>
      </c>
      <c r="J965" s="130" t="s">
        <v>10178</v>
      </c>
    </row>
    <row r="966">
      <c r="A966" s="191"/>
      <c r="B966" s="130" t="s">
        <v>10178</v>
      </c>
      <c r="C966" s="130" t="s">
        <v>10178</v>
      </c>
      <c r="D966" s="130" t="s">
        <v>10178</v>
      </c>
      <c r="E966" s="130" t="s">
        <v>10178</v>
      </c>
      <c r="F966" s="130" t="s">
        <v>10178</v>
      </c>
      <c r="G966" s="130" t="s">
        <v>10178</v>
      </c>
      <c r="H966" s="130" t="s">
        <v>10178</v>
      </c>
      <c r="I966" s="130" t="s">
        <v>10178</v>
      </c>
      <c r="J966" s="130" t="s">
        <v>10178</v>
      </c>
    </row>
    <row r="967">
      <c r="A967" s="191"/>
      <c r="B967" s="130" t="s">
        <v>10178</v>
      </c>
      <c r="C967" s="130" t="s">
        <v>10178</v>
      </c>
      <c r="D967" s="130" t="s">
        <v>10178</v>
      </c>
      <c r="E967" s="130" t="s">
        <v>10178</v>
      </c>
      <c r="F967" s="130" t="s">
        <v>10178</v>
      </c>
      <c r="G967" s="130" t="s">
        <v>10178</v>
      </c>
      <c r="H967" s="130" t="s">
        <v>10178</v>
      </c>
      <c r="I967" s="130" t="s">
        <v>10178</v>
      </c>
      <c r="J967" s="130" t="s">
        <v>10178</v>
      </c>
    </row>
    <row r="968">
      <c r="A968" s="191"/>
      <c r="B968" s="130" t="s">
        <v>10178</v>
      </c>
      <c r="C968" s="130" t="s">
        <v>10178</v>
      </c>
      <c r="D968" s="130" t="s">
        <v>10178</v>
      </c>
      <c r="E968" s="130" t="s">
        <v>10178</v>
      </c>
      <c r="F968" s="130" t="s">
        <v>10178</v>
      </c>
      <c r="G968" s="130" t="s">
        <v>10178</v>
      </c>
      <c r="H968" s="130" t="s">
        <v>10178</v>
      </c>
      <c r="I968" s="130" t="s">
        <v>10178</v>
      </c>
      <c r="J968" s="130" t="s">
        <v>10178</v>
      </c>
    </row>
    <row r="969">
      <c r="A969" s="191"/>
      <c r="B969" s="130" t="s">
        <v>10178</v>
      </c>
      <c r="C969" s="130" t="s">
        <v>10178</v>
      </c>
      <c r="D969" s="130" t="s">
        <v>10178</v>
      </c>
      <c r="E969" s="130" t="s">
        <v>10178</v>
      </c>
      <c r="F969" s="130" t="s">
        <v>10178</v>
      </c>
      <c r="G969" s="130" t="s">
        <v>10178</v>
      </c>
      <c r="H969" s="130" t="s">
        <v>10178</v>
      </c>
      <c r="I969" s="130" t="s">
        <v>10178</v>
      </c>
      <c r="J969" s="130" t="s">
        <v>10178</v>
      </c>
    </row>
    <row r="970">
      <c r="A970" s="191"/>
      <c r="B970" s="130" t="s">
        <v>10178</v>
      </c>
      <c r="C970" s="130" t="s">
        <v>10178</v>
      </c>
      <c r="D970" s="130" t="s">
        <v>10178</v>
      </c>
      <c r="E970" s="130" t="s">
        <v>10178</v>
      </c>
      <c r="F970" s="130" t="s">
        <v>10178</v>
      </c>
      <c r="G970" s="130" t="s">
        <v>10178</v>
      </c>
      <c r="H970" s="130" t="s">
        <v>10178</v>
      </c>
      <c r="I970" s="130" t="s">
        <v>10178</v>
      </c>
      <c r="J970" s="130" t="s">
        <v>10178</v>
      </c>
    </row>
    <row r="971">
      <c r="A971" s="191"/>
      <c r="B971" s="130" t="s">
        <v>10178</v>
      </c>
      <c r="C971" s="130" t="s">
        <v>10178</v>
      </c>
      <c r="D971" s="130" t="s">
        <v>10178</v>
      </c>
      <c r="E971" s="130" t="s">
        <v>10178</v>
      </c>
      <c r="F971" s="130" t="s">
        <v>10178</v>
      </c>
      <c r="G971" s="130" t="s">
        <v>10178</v>
      </c>
      <c r="H971" s="130" t="s">
        <v>10178</v>
      </c>
      <c r="I971" s="130" t="s">
        <v>10178</v>
      </c>
      <c r="J971" s="130" t="s">
        <v>10178</v>
      </c>
    </row>
    <row r="972">
      <c r="A972" s="191"/>
      <c r="B972" s="130" t="s">
        <v>10178</v>
      </c>
      <c r="C972" s="130" t="s">
        <v>10178</v>
      </c>
      <c r="D972" s="130" t="s">
        <v>10178</v>
      </c>
      <c r="E972" s="130" t="s">
        <v>10178</v>
      </c>
      <c r="F972" s="130" t="s">
        <v>10178</v>
      </c>
      <c r="G972" s="130" t="s">
        <v>10178</v>
      </c>
      <c r="H972" s="130" t="s">
        <v>10178</v>
      </c>
      <c r="I972" s="130" t="s">
        <v>10178</v>
      </c>
      <c r="J972" s="130" t="s">
        <v>10178</v>
      </c>
    </row>
    <row r="973">
      <c r="A973" s="191"/>
      <c r="B973" s="130" t="s">
        <v>10178</v>
      </c>
      <c r="C973" s="130" t="s">
        <v>10178</v>
      </c>
      <c r="D973" s="130" t="s">
        <v>10178</v>
      </c>
      <c r="E973" s="130" t="s">
        <v>10178</v>
      </c>
      <c r="F973" s="130" t="s">
        <v>10178</v>
      </c>
      <c r="G973" s="130" t="s">
        <v>10178</v>
      </c>
      <c r="H973" s="130" t="s">
        <v>10178</v>
      </c>
      <c r="I973" s="130" t="s">
        <v>10178</v>
      </c>
      <c r="J973" s="130" t="s">
        <v>10178</v>
      </c>
    </row>
    <row r="974">
      <c r="A974" s="191"/>
      <c r="B974" s="130" t="s">
        <v>10178</v>
      </c>
      <c r="C974" s="130" t="s">
        <v>10178</v>
      </c>
      <c r="D974" s="130" t="s">
        <v>10178</v>
      </c>
      <c r="E974" s="130" t="s">
        <v>10178</v>
      </c>
      <c r="F974" s="130" t="s">
        <v>10178</v>
      </c>
      <c r="G974" s="130" t="s">
        <v>10178</v>
      </c>
      <c r="H974" s="130" t="s">
        <v>10178</v>
      </c>
      <c r="I974" s="130" t="s">
        <v>10178</v>
      </c>
      <c r="J974" s="130" t="s">
        <v>10178</v>
      </c>
    </row>
    <row r="975">
      <c r="A975" s="191"/>
      <c r="B975" s="130" t="s">
        <v>10178</v>
      </c>
      <c r="C975" s="130" t="s">
        <v>10178</v>
      </c>
      <c r="D975" s="130" t="s">
        <v>10178</v>
      </c>
      <c r="E975" s="130" t="s">
        <v>10178</v>
      </c>
      <c r="F975" s="130" t="s">
        <v>10178</v>
      </c>
      <c r="G975" s="130" t="s">
        <v>10178</v>
      </c>
      <c r="H975" s="130" t="s">
        <v>10178</v>
      </c>
      <c r="I975" s="130" t="s">
        <v>10178</v>
      </c>
      <c r="J975" s="130" t="s">
        <v>10178</v>
      </c>
    </row>
    <row r="976">
      <c r="A976" s="191"/>
      <c r="B976" s="130" t="s">
        <v>10178</v>
      </c>
      <c r="C976" s="130" t="s">
        <v>10178</v>
      </c>
      <c r="D976" s="130" t="s">
        <v>10178</v>
      </c>
      <c r="E976" s="130" t="s">
        <v>10178</v>
      </c>
      <c r="F976" s="130" t="s">
        <v>10178</v>
      </c>
      <c r="G976" s="130" t="s">
        <v>10178</v>
      </c>
      <c r="H976" s="130" t="s">
        <v>10178</v>
      </c>
      <c r="I976" s="130" t="s">
        <v>10178</v>
      </c>
      <c r="J976" s="130" t="s">
        <v>10178</v>
      </c>
    </row>
    <row r="977">
      <c r="A977" s="191"/>
      <c r="B977" s="130" t="s">
        <v>10178</v>
      </c>
      <c r="C977" s="130" t="s">
        <v>10178</v>
      </c>
      <c r="D977" s="130" t="s">
        <v>10178</v>
      </c>
      <c r="E977" s="130" t="s">
        <v>10178</v>
      </c>
      <c r="F977" s="130" t="s">
        <v>10178</v>
      </c>
      <c r="G977" s="130" t="s">
        <v>10178</v>
      </c>
      <c r="H977" s="130" t="s">
        <v>10178</v>
      </c>
      <c r="I977" s="130" t="s">
        <v>10178</v>
      </c>
      <c r="J977" s="130" t="s">
        <v>10178</v>
      </c>
    </row>
    <row r="978">
      <c r="A978" s="191"/>
      <c r="B978" s="130" t="s">
        <v>10178</v>
      </c>
      <c r="C978" s="130" t="s">
        <v>10178</v>
      </c>
      <c r="D978" s="130" t="s">
        <v>10178</v>
      </c>
      <c r="E978" s="130" t="s">
        <v>10178</v>
      </c>
      <c r="F978" s="130" t="s">
        <v>10178</v>
      </c>
      <c r="G978" s="130" t="s">
        <v>10178</v>
      </c>
      <c r="H978" s="130" t="s">
        <v>10178</v>
      </c>
      <c r="I978" s="130" t="s">
        <v>10178</v>
      </c>
      <c r="J978" s="130" t="s">
        <v>10178</v>
      </c>
    </row>
    <row r="979">
      <c r="A979" s="191"/>
      <c r="B979" s="130" t="s">
        <v>10178</v>
      </c>
      <c r="C979" s="130" t="s">
        <v>10178</v>
      </c>
      <c r="D979" s="130" t="s">
        <v>10178</v>
      </c>
      <c r="E979" s="130" t="s">
        <v>10178</v>
      </c>
      <c r="F979" s="130" t="s">
        <v>10178</v>
      </c>
      <c r="G979" s="130" t="s">
        <v>10178</v>
      </c>
      <c r="H979" s="130" t="s">
        <v>10178</v>
      </c>
      <c r="I979" s="130" t="s">
        <v>10178</v>
      </c>
      <c r="J979" s="130" t="s">
        <v>10178</v>
      </c>
    </row>
    <row r="980">
      <c r="A980" s="191"/>
      <c r="B980" s="130" t="s">
        <v>10178</v>
      </c>
      <c r="C980" s="130" t="s">
        <v>10178</v>
      </c>
      <c r="D980" s="130" t="s">
        <v>10178</v>
      </c>
      <c r="E980" s="130" t="s">
        <v>10178</v>
      </c>
      <c r="F980" s="130" t="s">
        <v>10178</v>
      </c>
      <c r="G980" s="130" t="s">
        <v>10178</v>
      </c>
      <c r="H980" s="130" t="s">
        <v>10178</v>
      </c>
      <c r="I980" s="130" t="s">
        <v>10178</v>
      </c>
      <c r="J980" s="130" t="s">
        <v>10178</v>
      </c>
    </row>
    <row r="981">
      <c r="A981" s="191"/>
      <c r="B981" s="130" t="s">
        <v>10178</v>
      </c>
      <c r="C981" s="130" t="s">
        <v>10178</v>
      </c>
      <c r="D981" s="130" t="s">
        <v>10178</v>
      </c>
      <c r="E981" s="130" t="s">
        <v>10178</v>
      </c>
      <c r="F981" s="130" t="s">
        <v>10178</v>
      </c>
      <c r="G981" s="130" t="s">
        <v>10178</v>
      </c>
      <c r="H981" s="130" t="s">
        <v>10178</v>
      </c>
      <c r="I981" s="130" t="s">
        <v>10178</v>
      </c>
      <c r="J981" s="130" t="s">
        <v>10178</v>
      </c>
    </row>
    <row r="982">
      <c r="A982" s="191"/>
      <c r="B982" s="130" t="s">
        <v>10178</v>
      </c>
      <c r="C982" s="130" t="s">
        <v>10178</v>
      </c>
      <c r="D982" s="130" t="s">
        <v>10178</v>
      </c>
      <c r="E982" s="130" t="s">
        <v>10178</v>
      </c>
      <c r="F982" s="130" t="s">
        <v>10178</v>
      </c>
      <c r="G982" s="130" t="s">
        <v>10178</v>
      </c>
      <c r="H982" s="130" t="s">
        <v>10178</v>
      </c>
      <c r="I982" s="130" t="s">
        <v>10178</v>
      </c>
      <c r="J982" s="130" t="s">
        <v>10178</v>
      </c>
    </row>
    <row r="983">
      <c r="A983" s="191"/>
      <c r="B983" s="130" t="s">
        <v>10178</v>
      </c>
      <c r="C983" s="130" t="s">
        <v>10178</v>
      </c>
      <c r="D983" s="130" t="s">
        <v>10178</v>
      </c>
      <c r="E983" s="130" t="s">
        <v>10178</v>
      </c>
      <c r="F983" s="130" t="s">
        <v>10178</v>
      </c>
      <c r="G983" s="130" t="s">
        <v>10178</v>
      </c>
      <c r="H983" s="130" t="s">
        <v>10178</v>
      </c>
      <c r="I983" s="130" t="s">
        <v>10178</v>
      </c>
      <c r="J983" s="130" t="s">
        <v>10178</v>
      </c>
    </row>
    <row r="984">
      <c r="A984" s="191"/>
      <c r="B984" s="130" t="s">
        <v>10178</v>
      </c>
      <c r="C984" s="130" t="s">
        <v>10178</v>
      </c>
      <c r="D984" s="130" t="s">
        <v>10178</v>
      </c>
      <c r="E984" s="130" t="s">
        <v>10178</v>
      </c>
      <c r="F984" s="130" t="s">
        <v>10178</v>
      </c>
      <c r="G984" s="130" t="s">
        <v>10178</v>
      </c>
      <c r="H984" s="130" t="s">
        <v>10178</v>
      </c>
      <c r="I984" s="130" t="s">
        <v>10178</v>
      </c>
      <c r="J984" s="130" t="s">
        <v>10178</v>
      </c>
    </row>
    <row r="985">
      <c r="A985" s="191"/>
      <c r="B985" s="130" t="s">
        <v>10178</v>
      </c>
      <c r="C985" s="130" t="s">
        <v>10178</v>
      </c>
      <c r="D985" s="130" t="s">
        <v>10178</v>
      </c>
      <c r="E985" s="130" t="s">
        <v>10178</v>
      </c>
      <c r="F985" s="130" t="s">
        <v>10178</v>
      </c>
      <c r="G985" s="130" t="s">
        <v>10178</v>
      </c>
      <c r="H985" s="130" t="s">
        <v>10178</v>
      </c>
      <c r="I985" s="130" t="s">
        <v>10178</v>
      </c>
      <c r="J985" s="130" t="s">
        <v>10178</v>
      </c>
    </row>
    <row r="986">
      <c r="A986" s="191"/>
      <c r="B986" s="130" t="s">
        <v>10178</v>
      </c>
      <c r="C986" s="130" t="s">
        <v>10178</v>
      </c>
      <c r="D986" s="130" t="s">
        <v>10178</v>
      </c>
      <c r="E986" s="130" t="s">
        <v>10178</v>
      </c>
      <c r="F986" s="130" t="s">
        <v>10178</v>
      </c>
      <c r="G986" s="130" t="s">
        <v>10178</v>
      </c>
      <c r="H986" s="130" t="s">
        <v>10178</v>
      </c>
      <c r="I986" s="130" t="s">
        <v>10178</v>
      </c>
      <c r="J986" s="130" t="s">
        <v>10178</v>
      </c>
    </row>
    <row r="987">
      <c r="A987" s="191"/>
      <c r="B987" s="130" t="s">
        <v>10178</v>
      </c>
      <c r="C987" s="130" t="s">
        <v>10178</v>
      </c>
      <c r="D987" s="130" t="s">
        <v>10178</v>
      </c>
      <c r="E987" s="130" t="s">
        <v>10178</v>
      </c>
      <c r="F987" s="130" t="s">
        <v>10178</v>
      </c>
      <c r="G987" s="130" t="s">
        <v>10178</v>
      </c>
      <c r="H987" s="130" t="s">
        <v>10178</v>
      </c>
      <c r="I987" s="130" t="s">
        <v>10178</v>
      </c>
      <c r="J987" s="130" t="s">
        <v>10178</v>
      </c>
    </row>
    <row r="988">
      <c r="A988" s="191"/>
      <c r="B988" s="130" t="s">
        <v>10178</v>
      </c>
      <c r="C988" s="130" t="s">
        <v>10178</v>
      </c>
      <c r="D988" s="130" t="s">
        <v>10178</v>
      </c>
      <c r="E988" s="130" t="s">
        <v>10178</v>
      </c>
      <c r="F988" s="130" t="s">
        <v>10178</v>
      </c>
      <c r="G988" s="130" t="s">
        <v>10178</v>
      </c>
      <c r="H988" s="130" t="s">
        <v>10178</v>
      </c>
      <c r="I988" s="130" t="s">
        <v>10178</v>
      </c>
      <c r="J988" s="130" t="s">
        <v>10178</v>
      </c>
    </row>
    <row r="989">
      <c r="A989" s="191"/>
      <c r="B989" s="130" t="s">
        <v>10178</v>
      </c>
      <c r="C989" s="130" t="s">
        <v>10178</v>
      </c>
      <c r="D989" s="130" t="s">
        <v>10178</v>
      </c>
      <c r="E989" s="130" t="s">
        <v>10178</v>
      </c>
      <c r="F989" s="130" t="s">
        <v>10178</v>
      </c>
      <c r="G989" s="130" t="s">
        <v>10178</v>
      </c>
      <c r="H989" s="130" t="s">
        <v>10178</v>
      </c>
      <c r="I989" s="130" t="s">
        <v>10178</v>
      </c>
      <c r="J989" s="130" t="s">
        <v>10178</v>
      </c>
    </row>
    <row r="990">
      <c r="A990" s="191"/>
      <c r="B990" s="130" t="s">
        <v>10178</v>
      </c>
      <c r="C990" s="130" t="s">
        <v>10178</v>
      </c>
      <c r="D990" s="130" t="s">
        <v>10178</v>
      </c>
      <c r="E990" s="130" t="s">
        <v>10178</v>
      </c>
      <c r="F990" s="130" t="s">
        <v>10178</v>
      </c>
      <c r="G990" s="130" t="s">
        <v>10178</v>
      </c>
      <c r="H990" s="130" t="s">
        <v>10178</v>
      </c>
      <c r="I990" s="130" t="s">
        <v>10178</v>
      </c>
      <c r="J990" s="130" t="s">
        <v>10178</v>
      </c>
    </row>
    <row r="991">
      <c r="A991" s="191"/>
      <c r="B991" s="130" t="s">
        <v>10178</v>
      </c>
      <c r="C991" s="130" t="s">
        <v>10178</v>
      </c>
      <c r="D991" s="130" t="s">
        <v>10178</v>
      </c>
      <c r="E991" s="130" t="s">
        <v>10178</v>
      </c>
      <c r="F991" s="130" t="s">
        <v>10178</v>
      </c>
      <c r="G991" s="130" t="s">
        <v>10178</v>
      </c>
      <c r="H991" s="130" t="s">
        <v>10178</v>
      </c>
      <c r="I991" s="130" t="s">
        <v>10178</v>
      </c>
      <c r="J991" s="130" t="s">
        <v>10178</v>
      </c>
    </row>
    <row r="992">
      <c r="A992" s="191"/>
      <c r="B992" s="130" t="s">
        <v>10178</v>
      </c>
      <c r="C992" s="130" t="s">
        <v>10178</v>
      </c>
      <c r="D992" s="130" t="s">
        <v>10178</v>
      </c>
      <c r="E992" s="130" t="s">
        <v>10178</v>
      </c>
      <c r="F992" s="130" t="s">
        <v>10178</v>
      </c>
      <c r="G992" s="130" t="s">
        <v>10178</v>
      </c>
      <c r="H992" s="130" t="s">
        <v>10178</v>
      </c>
      <c r="I992" s="130" t="s">
        <v>10178</v>
      </c>
      <c r="J992" s="130" t="s">
        <v>10178</v>
      </c>
    </row>
    <row r="993">
      <c r="A993" s="191"/>
      <c r="B993" s="130" t="s">
        <v>10178</v>
      </c>
      <c r="C993" s="130" t="s">
        <v>10178</v>
      </c>
      <c r="D993" s="130" t="s">
        <v>10178</v>
      </c>
      <c r="E993" s="130" t="s">
        <v>10178</v>
      </c>
      <c r="F993" s="130" t="s">
        <v>10178</v>
      </c>
      <c r="G993" s="130" t="s">
        <v>10178</v>
      </c>
      <c r="H993" s="130" t="s">
        <v>10178</v>
      </c>
      <c r="I993" s="130" t="s">
        <v>10178</v>
      </c>
      <c r="J993" s="130" t="s">
        <v>10178</v>
      </c>
    </row>
    <row r="994">
      <c r="A994" s="191"/>
      <c r="B994" s="130" t="s">
        <v>10178</v>
      </c>
      <c r="C994" s="130" t="s">
        <v>10178</v>
      </c>
      <c r="D994" s="130" t="s">
        <v>10178</v>
      </c>
      <c r="E994" s="130" t="s">
        <v>10178</v>
      </c>
      <c r="F994" s="130" t="s">
        <v>10178</v>
      </c>
      <c r="G994" s="130" t="s">
        <v>10178</v>
      </c>
      <c r="H994" s="130" t="s">
        <v>10178</v>
      </c>
      <c r="I994" s="130" t="s">
        <v>10178</v>
      </c>
      <c r="J994" s="130" t="s">
        <v>10178</v>
      </c>
    </row>
    <row r="995">
      <c r="A995" s="191"/>
      <c r="B995" s="130" t="s">
        <v>10178</v>
      </c>
      <c r="C995" s="130" t="s">
        <v>10178</v>
      </c>
      <c r="D995" s="130" t="s">
        <v>10178</v>
      </c>
      <c r="E995" s="130" t="s">
        <v>10178</v>
      </c>
      <c r="F995" s="130" t="s">
        <v>10178</v>
      </c>
      <c r="G995" s="130" t="s">
        <v>10178</v>
      </c>
      <c r="H995" s="130" t="s">
        <v>10178</v>
      </c>
      <c r="I995" s="130" t="s">
        <v>10178</v>
      </c>
      <c r="J995" s="130" t="s">
        <v>10178</v>
      </c>
    </row>
    <row r="996">
      <c r="A996" s="191"/>
      <c r="B996" s="130" t="s">
        <v>10178</v>
      </c>
      <c r="C996" s="130" t="s">
        <v>10178</v>
      </c>
      <c r="D996" s="130" t="s">
        <v>10178</v>
      </c>
      <c r="E996" s="130" t="s">
        <v>10178</v>
      </c>
      <c r="F996" s="130" t="s">
        <v>10178</v>
      </c>
      <c r="G996" s="130" t="s">
        <v>10178</v>
      </c>
      <c r="H996" s="130" t="s">
        <v>10178</v>
      </c>
      <c r="I996" s="130" t="s">
        <v>10178</v>
      </c>
      <c r="J996" s="130" t="s">
        <v>10178</v>
      </c>
    </row>
    <row r="997">
      <c r="A997" s="191"/>
      <c r="B997" s="130" t="s">
        <v>10178</v>
      </c>
      <c r="C997" s="130" t="s">
        <v>10178</v>
      </c>
      <c r="D997" s="130" t="s">
        <v>10178</v>
      </c>
      <c r="E997" s="130" t="s">
        <v>10178</v>
      </c>
      <c r="F997" s="130" t="s">
        <v>10178</v>
      </c>
      <c r="G997" s="130" t="s">
        <v>10178</v>
      </c>
      <c r="H997" s="130" t="s">
        <v>10178</v>
      </c>
      <c r="I997" s="130" t="s">
        <v>10178</v>
      </c>
      <c r="J997" s="130" t="s">
        <v>10178</v>
      </c>
    </row>
    <row r="998">
      <c r="A998" s="191"/>
      <c r="B998" s="130" t="s">
        <v>10178</v>
      </c>
      <c r="C998" s="130" t="s">
        <v>10178</v>
      </c>
      <c r="D998" s="130" t="s">
        <v>10178</v>
      </c>
      <c r="E998" s="130" t="s">
        <v>10178</v>
      </c>
      <c r="F998" s="130" t="s">
        <v>10178</v>
      </c>
      <c r="G998" s="130" t="s">
        <v>10178</v>
      </c>
      <c r="H998" s="130" t="s">
        <v>10178</v>
      </c>
      <c r="I998" s="130" t="s">
        <v>10178</v>
      </c>
      <c r="J998" s="130" t="s">
        <v>10178</v>
      </c>
    </row>
    <row r="999">
      <c r="A999" s="191"/>
      <c r="B999" s="130" t="s">
        <v>10178</v>
      </c>
      <c r="C999" s="130" t="s">
        <v>10178</v>
      </c>
      <c r="D999" s="130" t="s">
        <v>10178</v>
      </c>
      <c r="E999" s="130" t="s">
        <v>10178</v>
      </c>
      <c r="F999" s="130" t="s">
        <v>10178</v>
      </c>
      <c r="G999" s="130" t="s">
        <v>10178</v>
      </c>
      <c r="H999" s="130" t="s">
        <v>10178</v>
      </c>
      <c r="I999" s="130" t="s">
        <v>10178</v>
      </c>
      <c r="J999" s="130" t="s">
        <v>10178</v>
      </c>
    </row>
    <row r="1000">
      <c r="A1000" s="191"/>
      <c r="B1000" s="130" t="s">
        <v>10178</v>
      </c>
      <c r="C1000" s="130" t="s">
        <v>10178</v>
      </c>
      <c r="D1000" s="130" t="s">
        <v>10178</v>
      </c>
      <c r="E1000" s="130" t="s">
        <v>10178</v>
      </c>
      <c r="F1000" s="130" t="s">
        <v>10178</v>
      </c>
      <c r="G1000" s="130" t="s">
        <v>10178</v>
      </c>
      <c r="H1000" s="130" t="s">
        <v>10178</v>
      </c>
      <c r="I1000" s="130" t="s">
        <v>10178</v>
      </c>
      <c r="J1000" s="130" t="s">
        <v>10178</v>
      </c>
    </row>
    <row r="1001">
      <c r="A1001" s="191"/>
      <c r="B1001" s="130" t="s">
        <v>10178</v>
      </c>
      <c r="C1001" s="130" t="s">
        <v>10178</v>
      </c>
      <c r="D1001" s="130" t="s">
        <v>10178</v>
      </c>
      <c r="E1001" s="130" t="s">
        <v>10178</v>
      </c>
      <c r="F1001" s="130" t="s">
        <v>10178</v>
      </c>
      <c r="G1001" s="130" t="s">
        <v>10178</v>
      </c>
      <c r="H1001" s="130" t="s">
        <v>10178</v>
      </c>
      <c r="I1001" s="130" t="s">
        <v>10178</v>
      </c>
      <c r="J1001" s="130" t="s">
        <v>10178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3" width="9.75"/>
    <col customWidth="1" min="4" max="4" width="5.75"/>
    <col customWidth="1" min="5" max="6" width="9.75"/>
    <col customWidth="1" min="7" max="7" width="5.75"/>
    <col customWidth="1" min="8" max="9" width="9.75"/>
    <col customWidth="1" min="10" max="10" width="5.75"/>
    <col customWidth="1" min="11" max="12" width="9.75"/>
    <col customWidth="1" min="13" max="13" width="5.75"/>
    <col customWidth="1" min="14" max="15" width="9.75"/>
    <col customWidth="1" min="16" max="16" width="5.75"/>
    <col customWidth="1" min="17" max="25" width="9.75"/>
    <col customWidth="1" min="26" max="26" width="13.88"/>
    <col customWidth="1" min="27" max="27" width="12.5"/>
    <col customWidth="1" min="28" max="28" width="8.63"/>
    <col customWidth="1" min="29" max="29" width="10.75"/>
    <col customWidth="1" min="30" max="30" width="15.5"/>
    <col customWidth="1" min="31" max="31" width="14.88"/>
    <col customWidth="1" min="32" max="32" width="10.5"/>
    <col customWidth="1" min="33" max="39" width="9.75"/>
  </cols>
  <sheetData>
    <row r="2">
      <c r="B2" s="194" t="s">
        <v>10194</v>
      </c>
      <c r="C2" s="195"/>
      <c r="E2" s="194" t="s">
        <v>10195</v>
      </c>
      <c r="F2" s="195"/>
      <c r="H2" s="194" t="s">
        <v>10196</v>
      </c>
      <c r="I2" s="195"/>
      <c r="K2" s="194" t="s">
        <v>10197</v>
      </c>
      <c r="L2" s="195"/>
      <c r="N2" s="194" t="s">
        <v>10198</v>
      </c>
      <c r="O2" s="195"/>
      <c r="Q2" s="194" t="s">
        <v>10199</v>
      </c>
      <c r="R2" s="195"/>
    </row>
    <row r="3">
      <c r="B3" s="196">
        <f>COUNTA('Input Data'!A2:A1007)</f>
        <v>2465</v>
      </c>
      <c r="C3" s="197"/>
      <c r="E3" s="196">
        <f>COUNTIF('Input Data'!G:GG, "Closing")</f>
        <v>345</v>
      </c>
      <c r="F3" s="197"/>
      <c r="H3" s="198">
        <f>E3/B3</f>
        <v>0.139959432</v>
      </c>
      <c r="I3" s="197"/>
      <c r="K3" s="199">
        <f>SUMIF('Input Data'!G:G, "Closing", 'Input Data'!K:K)</f>
        <v>1474871200</v>
      </c>
      <c r="L3" s="197"/>
      <c r="N3" s="199">
        <f>SUMIFS('Input Data'!K:K, 'Input Data'!G:G, "&lt;&gt;Closing", 'Input Data'!G:G, "&lt;&gt;Gagal")</f>
        <v>3929422788</v>
      </c>
      <c r="O3" s="197"/>
      <c r="Q3" s="199">
        <f>SUMIF('Input Data'!G:G, "Gagal", 'Input Data'!K:K)</f>
        <v>4018686012</v>
      </c>
      <c r="R3" s="197"/>
      <c r="Z3" s="200" t="s">
        <v>10200</v>
      </c>
    </row>
    <row r="4">
      <c r="B4" s="201"/>
      <c r="C4" s="202"/>
      <c r="E4" s="201"/>
      <c r="F4" s="202"/>
      <c r="H4" s="201"/>
      <c r="I4" s="202"/>
      <c r="K4" s="201"/>
      <c r="L4" s="202"/>
      <c r="N4" s="201"/>
      <c r="O4" s="202"/>
      <c r="Q4" s="201"/>
      <c r="R4" s="202"/>
      <c r="Z4" s="203" t="s">
        <v>10201</v>
      </c>
      <c r="AA4" s="204">
        <f>COUNTIF('Input Data'!G2:G1007,"Leads Baru")
</f>
        <v>511</v>
      </c>
    </row>
    <row r="5">
      <c r="Z5" s="205" t="s">
        <v>34</v>
      </c>
      <c r="AA5" s="206">
        <f>COUNTIF('Input Data'!G2:G1007,"Qualified")
</f>
        <v>173</v>
      </c>
    </row>
    <row r="6">
      <c r="Z6" s="207" t="s">
        <v>43</v>
      </c>
      <c r="AA6" s="208">
        <f>COUNTIF('Input Data'!G2:G1007,"Prospek")
</f>
        <v>24</v>
      </c>
    </row>
    <row r="7">
      <c r="B7" s="209"/>
      <c r="D7" s="210"/>
      <c r="Z7" s="211" t="s">
        <v>49</v>
      </c>
      <c r="AA7" s="212">
        <f>COUNTIF('Input Data'!G2:G1007,"Follow Up")
</f>
        <v>8</v>
      </c>
    </row>
    <row r="8">
      <c r="B8" s="209"/>
      <c r="Z8" s="213" t="s">
        <v>57</v>
      </c>
      <c r="AA8" s="214">
        <f>COUNTIF('Input Data'!G2:G1007,"Warm Leads")
</f>
        <v>2</v>
      </c>
    </row>
    <row r="9">
      <c r="B9" s="215"/>
      <c r="Z9" s="216" t="s">
        <v>64</v>
      </c>
      <c r="AA9" s="217">
        <f>COUNTIF('Input Data'!G2:G1007,"Hot Leads")
</f>
        <v>2</v>
      </c>
    </row>
    <row r="10">
      <c r="B10" s="218"/>
      <c r="Z10" s="219" t="s">
        <v>19</v>
      </c>
      <c r="AA10" s="220">
        <f>COUNTIF('Input Data'!G2:G1007, "Closing")</f>
        <v>343</v>
      </c>
    </row>
    <row r="11">
      <c r="B11" s="218"/>
      <c r="Z11" s="221" t="s">
        <v>42</v>
      </c>
      <c r="AA11" s="222">
        <f>COUNTIF('Input Data'!G2:G1007,"Gagal")
</f>
        <v>1381</v>
      </c>
    </row>
    <row r="12">
      <c r="B12" s="218"/>
      <c r="Z12" s="68" t="s">
        <v>10202</v>
      </c>
      <c r="AA12" s="130">
        <f>sum(AA4:AA9)</f>
        <v>720</v>
      </c>
    </row>
    <row r="15">
      <c r="Z15" s="200" t="s">
        <v>10203</v>
      </c>
    </row>
    <row r="16">
      <c r="Z16" s="223" t="s">
        <v>5</v>
      </c>
      <c r="AA16" s="223" t="s">
        <v>10204</v>
      </c>
      <c r="AB16" s="223" t="s">
        <v>10205</v>
      </c>
      <c r="AC16" s="223" t="s">
        <v>10206</v>
      </c>
      <c r="AD16" s="223" t="s">
        <v>10207</v>
      </c>
      <c r="AE16" s="223" t="s">
        <v>10208</v>
      </c>
    </row>
    <row r="17">
      <c r="Z17" s="68" t="s">
        <v>129</v>
      </c>
      <c r="AA17" s="224">
        <f>COUNTIF('Input Data'!F:F, "Dela")</f>
        <v>1217</v>
      </c>
      <c r="AB17" s="224">
        <f>COUNTIFS('Input Data'!F:F, "Dela", 'Input Data'!G:G, "Closing")</f>
        <v>173</v>
      </c>
      <c r="AC17" s="225">
        <f t="shared" ref="AC17:AC19" si="1">IFERROR(AB17/AA17, 0)</f>
        <v>0.1421528348</v>
      </c>
      <c r="AD17" s="226">
        <f>IFERROR(AVERAGEIFS('Input Data'!K:K, 'Input Data'!F:F, "Dela", 'Input Data'!G:G, "Closing"), 0)</f>
        <v>4627280.745</v>
      </c>
      <c r="AE17" s="227">
        <f>SUMIFS('Input Data'!K:K, 'Input Data'!F:F, "Dela", 'Input Data'!G:G, "Closing")</f>
        <v>744992200</v>
      </c>
      <c r="AF17" s="228">
        <f t="shared" ref="AF17:AF19" si="2">AE17/AB17</f>
        <v>4306313.295</v>
      </c>
    </row>
    <row r="18">
      <c r="Z18" s="68" t="s">
        <v>18</v>
      </c>
      <c r="AA18" s="224">
        <f>COUNTIF('Input Data'!F:F, "Alvin")</f>
        <v>871</v>
      </c>
      <c r="AB18" s="224">
        <f>COUNTIFS('Input Data'!F:F, "Alvin", 'Input Data'!G:G, "Closing")</f>
        <v>113</v>
      </c>
      <c r="AC18" s="225">
        <f t="shared" si="1"/>
        <v>0.1297359357</v>
      </c>
      <c r="AD18" s="226">
        <f>IFERROR(AVERAGEIFS('Input Data'!K:K, 'Input Data'!F:F, "Alvin", 'Input Data'!G:G, "Closing"), 0)</f>
        <v>4702377.551</v>
      </c>
      <c r="AE18" s="227">
        <f>SUMIFS('Input Data'!K:K, 'Input Data'!F:F, "Alvin", 'Input Data'!G:G, "Closing")</f>
        <v>460833000</v>
      </c>
      <c r="AF18" s="228">
        <f t="shared" si="2"/>
        <v>4078168.142</v>
      </c>
    </row>
    <row r="19">
      <c r="Z19" s="68" t="s">
        <v>983</v>
      </c>
      <c r="AA19" s="224">
        <f>COUNTIF('Input Data'!F:F, "Holiday")</f>
        <v>377</v>
      </c>
      <c r="AB19" s="224">
        <f>COUNTIFS('Input Data'!F:F, "Holiday", 'Input Data'!G:G, "Closing")</f>
        <v>57</v>
      </c>
      <c r="AC19" s="225">
        <f t="shared" si="1"/>
        <v>0.151193634</v>
      </c>
      <c r="AD19" s="226">
        <f>IFERROR(AVERAGEIFS('Input Data'!K:K, 'Input Data'!F:F, "Holiday", 'Input Data'!G:G, "Closing"), 0)</f>
        <v>5380920</v>
      </c>
      <c r="AE19" s="227">
        <f>SUMIFS('Input Data'!K:K, 'Input Data'!F:F, "Holiday", 'Input Data'!G:G, "Closing")</f>
        <v>269046000</v>
      </c>
      <c r="AF19" s="228">
        <f t="shared" si="2"/>
        <v>4720105.263</v>
      </c>
    </row>
    <row r="22">
      <c r="Z22" s="200" t="s">
        <v>10209</v>
      </c>
    </row>
    <row r="23">
      <c r="Z23" s="223" t="s">
        <v>4</v>
      </c>
      <c r="AA23" s="223" t="s">
        <v>10204</v>
      </c>
      <c r="AB23" s="223" t="s">
        <v>10205</v>
      </c>
      <c r="AC23" s="223" t="s">
        <v>10206</v>
      </c>
      <c r="AD23" s="223" t="s">
        <v>10207</v>
      </c>
      <c r="AE23" s="223" t="s">
        <v>10208</v>
      </c>
    </row>
    <row r="24">
      <c r="Z24" s="68" t="s">
        <v>17</v>
      </c>
      <c r="AA24" s="130">
        <f>COUNTIF('Input Data'!E:E, "Website")</f>
        <v>800</v>
      </c>
      <c r="AB24" s="130">
        <f>COUNTIFS('Input Data'!E:E, "Website", 'Input Data'!G:G, "Closing")</f>
        <v>123</v>
      </c>
      <c r="AC24" s="229">
        <f t="shared" ref="AC24:AC28" si="3">IFERROR(AB24/AA24, 0)</f>
        <v>0.15375</v>
      </c>
      <c r="AD24" s="226">
        <f>IFERROR(AVERAGEIFS('Input Data'!K:K, 'Input Data'!E:E, "Website", 'Input Data'!G:G, "Closing"), 0)</f>
        <v>5411780.18</v>
      </c>
      <c r="AE24" s="226">
        <f>SUMIFS('Input Data'!K:K, 'Input Data'!E:E, "Website", 'Input Data'!G:G, "Closing")</f>
        <v>600707600</v>
      </c>
    </row>
    <row r="25">
      <c r="Z25" s="68" t="s">
        <v>128</v>
      </c>
      <c r="AA25" s="130">
        <f>COUNTIF('Input Data'!E:E, "Instagram")</f>
        <v>1109</v>
      </c>
      <c r="AB25" s="130">
        <f>COUNTIFS('Input Data'!E:E, "Instagram", 'Input Data'!G:G, "Closing")</f>
        <v>140</v>
      </c>
      <c r="AC25" s="229">
        <f t="shared" si="3"/>
        <v>0.1262398557</v>
      </c>
      <c r="AD25" s="226">
        <f>IFERROR(AVERAGEIFS('Input Data'!K:K, 'Input Data'!E:E, "Instagram", 'Input Data'!G:G, "Closing"), 0)</f>
        <v>3434687.5</v>
      </c>
      <c r="AE25" s="226">
        <f>SUMIFS('Input Data'!K:K, 'Input Data'!E:E, "Instagram", 'Input Data'!G:G, "Closing")</f>
        <v>439640000</v>
      </c>
    </row>
    <row r="26">
      <c r="Z26" s="68" t="s">
        <v>1877</v>
      </c>
      <c r="AA26" s="130">
        <f>COUNTIF('Input Data'!E:E, "Tiktok")</f>
        <v>32</v>
      </c>
      <c r="AB26" s="130">
        <f>COUNTIFS('Input Data'!E:E, "Tiktok", 'Input Data'!G:G, "Closing")</f>
        <v>5</v>
      </c>
      <c r="AC26" s="229">
        <f t="shared" si="3"/>
        <v>0.15625</v>
      </c>
      <c r="AD26" s="226">
        <f>IFERROR(AVERAGEIFS('Input Data'!K:K, 'Input Data'!E:E, "Tiktok", 'Input Data'!G:G, "Closing"), 0)</f>
        <v>2944800</v>
      </c>
      <c r="AE26" s="226">
        <f>SUMIFS('Input Data'!K:K, 'Input Data'!E:E, "Tiktok", 'Input Data'!G:G, "Closing")</f>
        <v>14724000</v>
      </c>
    </row>
    <row r="27">
      <c r="Z27" s="68" t="s">
        <v>869</v>
      </c>
      <c r="AA27" s="130">
        <f>COUNTIF('Input Data'!E:E, "Rekomendasi")</f>
        <v>29</v>
      </c>
      <c r="AB27" s="130">
        <f>COUNTIFS('Input Data'!E:E, "Rekomendasi", 'Input Data'!G:G, "Closing")</f>
        <v>17</v>
      </c>
      <c r="AC27" s="229">
        <f t="shared" si="3"/>
        <v>0.5862068966</v>
      </c>
      <c r="AD27" s="226">
        <f>IFERROR(AVERAGEIFS('Input Data'!K:K, 'Input Data'!E:E, "Rekomendasi", 'Input Data'!G:G, "Closing"), 0)</f>
        <v>8551428.571</v>
      </c>
      <c r="AE27" s="226">
        <f>SUMIFS('Input Data'!K:K, 'Input Data'!E:E, "Rekomendasi", 'Input Data'!G:G, "Closing")</f>
        <v>119720000</v>
      </c>
    </row>
    <row r="28">
      <c r="Z28" s="68" t="s">
        <v>122</v>
      </c>
      <c r="AA28" s="130">
        <f>COUNTIF('Input Data'!E:E, "Lainnya")</f>
        <v>494</v>
      </c>
      <c r="AB28" s="130">
        <f>COUNTIFS('Input Data'!E:E, "Lainnya", 'Input Data'!G:G, "Closing")</f>
        <v>58</v>
      </c>
      <c r="AC28" s="229">
        <f t="shared" si="3"/>
        <v>0.1174089069</v>
      </c>
      <c r="AD28" s="226">
        <f>IFERROR(AVERAGEIFS('Input Data'!K:K, 'Input Data'!E:E, "lainnya", 'Input Data'!G:G, "Closing"), 0)</f>
        <v>5883913.725</v>
      </c>
      <c r="AE28" s="226">
        <f>SUMIFS('Input Data'!K:K, 'Input Data'!E:E, "Lainnya", 'Input Data'!G:G, "Closing")</f>
        <v>300079600</v>
      </c>
    </row>
  </sheetData>
  <mergeCells count="14">
    <mergeCell ref="H2:I2"/>
    <mergeCell ref="H3:I4"/>
    <mergeCell ref="N2:O2"/>
    <mergeCell ref="N3:O4"/>
    <mergeCell ref="Z15:AA15"/>
    <mergeCell ref="Z22:AA22"/>
    <mergeCell ref="B2:C2"/>
    <mergeCell ref="E2:F2"/>
    <mergeCell ref="K2:L2"/>
    <mergeCell ref="Q2:R2"/>
    <mergeCell ref="B3:C4"/>
    <mergeCell ref="E3:F4"/>
    <mergeCell ref="K3:L4"/>
    <mergeCell ref="Q3:R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7.63"/>
    <col customWidth="1" min="3" max="3" width="18.88"/>
    <col customWidth="1" min="4" max="4" width="16.5"/>
    <col customWidth="1" min="5" max="5" width="14.5"/>
    <col customWidth="1" min="6" max="6" width="11.63"/>
    <col customWidth="1" min="7" max="7" width="17.63"/>
    <col customWidth="1" min="8" max="8" width="18.88"/>
    <col customWidth="1" min="9" max="9" width="16.5"/>
    <col customWidth="1" min="10" max="10" width="14.5"/>
    <col customWidth="1" min="12" max="12" width="17.63"/>
    <col customWidth="1" min="13" max="13" width="18.88"/>
    <col customWidth="1" min="14" max="14" width="16.5"/>
    <col customWidth="1" min="15" max="15" width="14.5"/>
    <col customWidth="1" min="17" max="17" width="17.63"/>
    <col customWidth="1" min="18" max="18" width="18.88"/>
    <col customWidth="1" min="19" max="19" width="16.5"/>
    <col customWidth="1" min="20" max="20" width="14.5"/>
    <col customWidth="1" min="22" max="22" width="17.63"/>
    <col customWidth="1" min="23" max="23" width="18.88"/>
    <col customWidth="1" min="24" max="24" width="16.5"/>
    <col customWidth="1" min="25" max="25" width="14.5"/>
    <col customWidth="1" min="27" max="27" width="17.63"/>
    <col customWidth="1" min="28" max="28" width="18.88"/>
    <col customWidth="1" min="29" max="29" width="16.5"/>
    <col customWidth="1" min="30" max="30" width="14.5"/>
  </cols>
  <sheetData>
    <row r="1">
      <c r="A1" s="230"/>
      <c r="B1" s="53"/>
      <c r="C1" s="168"/>
      <c r="D1" s="169"/>
      <c r="E1" s="170"/>
      <c r="F1" s="53"/>
      <c r="G1" s="53"/>
      <c r="H1" s="53"/>
      <c r="I1" s="171"/>
      <c r="J1" s="170"/>
      <c r="K1" s="53"/>
      <c r="L1" s="53"/>
      <c r="M1" s="53"/>
      <c r="N1" s="171"/>
      <c r="O1" s="170"/>
      <c r="P1" s="53"/>
      <c r="Q1" s="53"/>
      <c r="R1" s="53"/>
      <c r="S1" s="171"/>
      <c r="T1" s="170"/>
      <c r="U1" s="53"/>
      <c r="V1" s="53"/>
      <c r="W1" s="53"/>
      <c r="X1" s="171"/>
      <c r="Y1" s="170"/>
      <c r="Z1" s="170"/>
      <c r="AA1" s="170"/>
      <c r="AB1" s="170"/>
      <c r="AC1" s="170"/>
      <c r="AD1" s="53"/>
      <c r="AE1" s="53"/>
    </row>
    <row r="2">
      <c r="A2" s="53"/>
      <c r="B2" s="53"/>
      <c r="C2" s="168"/>
      <c r="D2" s="169"/>
      <c r="E2" s="172">
        <f>COUNTA(B4:B1003)</f>
        <v>104</v>
      </c>
      <c r="F2" s="53"/>
      <c r="G2" s="53"/>
      <c r="H2" s="53"/>
      <c r="I2" s="171"/>
      <c r="J2" s="172">
        <f>COUNTA(G4:G1003)</f>
        <v>87</v>
      </c>
      <c r="K2" s="53"/>
      <c r="L2" s="53"/>
      <c r="M2" s="53"/>
      <c r="N2" s="171"/>
      <c r="O2" s="172">
        <f>COUNTA(L4:L1003)</f>
        <v>9</v>
      </c>
      <c r="P2" s="53"/>
      <c r="Q2" s="53"/>
      <c r="R2" s="53"/>
      <c r="S2" s="171"/>
      <c r="T2" s="172">
        <f>COUNTA(Q4:Q1003)</f>
        <v>4</v>
      </c>
      <c r="U2" s="53"/>
      <c r="V2" s="53"/>
      <c r="W2" s="53"/>
      <c r="X2" s="171"/>
      <c r="Y2" s="172">
        <f>COUNTA(V4:V1003)</f>
        <v>2</v>
      </c>
      <c r="Z2" s="170"/>
      <c r="AA2" s="170"/>
      <c r="AB2" s="170"/>
      <c r="AC2" s="170"/>
      <c r="AD2" s="231">
        <f>COUNTA(AA4:AA1003)</f>
        <v>1</v>
      </c>
      <c r="AE2" s="53"/>
    </row>
    <row r="3" ht="34.5" customHeight="1">
      <c r="A3" s="53"/>
      <c r="B3" s="37" t="s">
        <v>9769</v>
      </c>
      <c r="C3" s="37" t="s">
        <v>9771</v>
      </c>
      <c r="D3" s="38" t="s">
        <v>9773</v>
      </c>
      <c r="E3" s="37" t="s">
        <v>9774</v>
      </c>
      <c r="F3" s="53"/>
      <c r="G3" s="37" t="s">
        <v>9769</v>
      </c>
      <c r="H3" s="37" t="s">
        <v>9771</v>
      </c>
      <c r="I3" s="38" t="s">
        <v>9773</v>
      </c>
      <c r="J3" s="37" t="s">
        <v>9774</v>
      </c>
      <c r="K3" s="53"/>
      <c r="L3" s="37" t="s">
        <v>9769</v>
      </c>
      <c r="M3" s="37" t="s">
        <v>9771</v>
      </c>
      <c r="N3" s="38" t="s">
        <v>9773</v>
      </c>
      <c r="O3" s="37" t="s">
        <v>9774</v>
      </c>
      <c r="P3" s="53"/>
      <c r="Q3" s="37" t="s">
        <v>9769</v>
      </c>
      <c r="R3" s="37" t="s">
        <v>9771</v>
      </c>
      <c r="S3" s="38" t="s">
        <v>9773</v>
      </c>
      <c r="T3" s="37" t="s">
        <v>9774</v>
      </c>
      <c r="U3" s="53"/>
      <c r="V3" s="37" t="s">
        <v>9769</v>
      </c>
      <c r="W3" s="37" t="s">
        <v>9771</v>
      </c>
      <c r="X3" s="38" t="s">
        <v>9773</v>
      </c>
      <c r="Y3" s="37" t="s">
        <v>9774</v>
      </c>
      <c r="Z3" s="174"/>
      <c r="AA3" s="37" t="s">
        <v>9769</v>
      </c>
      <c r="AB3" s="37" t="s">
        <v>9771</v>
      </c>
      <c r="AC3" s="38" t="s">
        <v>9773</v>
      </c>
      <c r="AD3" s="37" t="s">
        <v>9774</v>
      </c>
      <c r="AE3" s="53"/>
    </row>
    <row r="4" ht="22.5" customHeight="1">
      <c r="A4" s="53"/>
      <c r="B4" s="175" t="str">
        <f>IFERROR(__xludf.DUMMYFUNCTION("QUERY(
  {
    ARRAYFORMULA(
      Leads_Alvin!B:B&amp;CHAR(10)&amp;
      Leads_Alvin!C:C&amp;CHAR(10)&amp;
      Leads_Alvin!D:D&amp;CHAR(10)&amp;
      Leads_Alvin!E:E
    ),
    ARRAYFORMULA(
      Leads_Alvin!G:G&amp;CHAR(10)&amp;
      Leads_Alvin!H:H&amp;CHAR(10)&amp;
      Leads_Alvin!I"&amp;":I&amp;"" pax""&amp;CHAR(10)&amp;
      TEXT(Leads_Alvin!J:J,""Rp#,##0"")
    ),
    Leads_Alvin!K:K,
    Leads_Alvin!L:L,
    Leads_Alvin!F:F
  },
  ""select Col1, Col2, Col3, Col4 
   where Col5 = 'Leads Baru'"",
  0
)"),"2605A076
PAWON MAMI / Diajeng TAri
081904031152
Lainnya")</f>
        <v>2605A076
PAWON MAMI / Diajeng TAri
081904031152
Lainnya</v>
      </c>
      <c r="C4" s="176" t="str">
        <f>IFERROR(__xludf.DUMMYFUNCTION("""COMPUTED_VALUE"""),"3h2m
2 pax
Rp0")</f>
        <v>3h2m
2 pax
Rp0</v>
      </c>
      <c r="D4" s="177" t="str">
        <f>IFERROR(__xludf.DUMMYFUNCTION("""COMPUTED_VALUE"""),"fu 15 november")</f>
        <v>fu 15 november</v>
      </c>
      <c r="E4" s="183"/>
      <c r="F4" s="53"/>
      <c r="G4" s="179" t="str">
        <f>IFERROR(__xludf.DUMMYFUNCTION("QUERY(
  {
    ARRAYFORMULA(
      Leads_Alvin!B:B&amp;CHAR(10)&amp;
      Leads_Alvin!C:C&amp;CHAR(10)&amp;
      Leads_Alvin!D:D&amp;CHAR(10)&amp;
      Leads_Alvin!E:E
    ),
    ARRAYFORMULA(
      Leads_Alvin!G:G&amp;CHAR(10)&amp;
      Leads_Alvin!H:H&amp;CHAR(10)&amp;
      Leads_Alvin!I"&amp;":I&amp;"" pax""&amp;CHAR(10)&amp;
      TEXT(Leads_Alvin!J:J,""Rp#,##0"")
    ),
    Leads_Alvin!K:K,
    Leads_Alvin!L:L,
    Leads_Alvin!F:F
  },
  ""select Col1, Col2, Col3, Col4 
   where Col5 = 'Qualified'"",
  0
)"),"2602A037
ine resmisari
089689976234‬
Website")</f>
        <v>2602A037
ine resmisari
089689976234‬
Website</v>
      </c>
      <c r="H4" s="179" t="str">
        <f>IFERROR(__xludf.DUMMYFUNCTION("""COMPUTED_VALUE"""),"4H3M
48 pax
Rp79.200.000")</f>
        <v>4H3M
48 pax
Rp79.200.000</v>
      </c>
      <c r="I4" s="180" t="str">
        <f>IFERROR(__xludf.DUMMYFUNCTION("""COMPUTED_VALUE"""),"buat penawaran, fu mei")</f>
        <v>buat penawaran, fu mei</v>
      </c>
      <c r="J4" s="181" t="str">
        <f>IFERROR(__xludf.DUMMYFUNCTION("""COMPUTED_VALUE"""),"https://docs.google.com/document/d/15qIbL8EqkYecD8xmNsC_kTkMe29yBIrWPoEF_6kHtto/edit?usp=sharing")</f>
        <v>https://docs.google.com/document/d/15qIbL8EqkYecD8xmNsC_kTkMe29yBIrWPoEF_6kHtto/edit?usp=sharing</v>
      </c>
      <c r="K4" s="53"/>
      <c r="L4" s="183" t="str">
        <f>IFERROR(__xludf.DUMMYFUNCTION("QUERY(
  {
    ARRAYFORMULA(
      Leads_Alvin!B:B&amp;CHAR(10)&amp;
      Leads_Alvin!C:C&amp;CHAR(10)&amp;
      Leads_Alvin!D:D&amp;CHAR(10)&amp;
      Leads_Alvin!E:E
    ),
    ARRAYFORMULA(
      Leads_Alvin!G:G&amp;CHAR(10)&amp;
      Leads_Alvin!H:H&amp;CHAR(10)&amp;
      Leads_Alvin!I"&amp;":I&amp;"" pax""&amp;CHAR(10)&amp;
      TEXT(Leads_Alvin!J:J,""Rp#,##0"")
    ),
    Leads_Alvin!K:K,
    Leads_Alvin!L:L,
    Leads_Alvin!F:F
  },
  ""select Col1, Col2, Col3, Col4 
   where Col5 = 'Prospek'"",
  0
)"),"2605A035
Veny
081384777185
Instagram")</f>
        <v>2605A035
Veny
081384777185
Instagram</v>
      </c>
      <c r="M4" s="183" t="str">
        <f>IFERROR(__xludf.DUMMYFUNCTION("""COMPUTED_VALUE"""),"2H1M
4 pax
Rp4.000.000")</f>
        <v>2H1M
4 pax
Rp4.000.000</v>
      </c>
      <c r="N4" s="184" t="str">
        <f>IFERROR(__xludf.DUMMYFUNCTION("""COMPUTED_VALUE"""),"fu 15 mei")</f>
        <v>fu 15 mei</v>
      </c>
      <c r="O4" s="183"/>
      <c r="P4" s="53"/>
      <c r="Q4" s="183" t="str">
        <f>IFERROR(__xludf.DUMMYFUNCTION("QUERY(
  {
    ARRAYFORMULA(
      Leads_Alvin!B:B&amp;CHAR(10)&amp;
      Leads_Alvin!C:C&amp;CHAR(10)&amp;
      Leads_Alvin!D:D&amp;CHAR(10)&amp;
      Leads_Alvin!E:E
    ),
    ARRAYFORMULA(
      Leads_Alvin!G:G&amp;CHAR(10)&amp;
      Leads_Alvin!H:H&amp;CHAR(10)&amp;
      Leads_Alvin!I"&amp;":I&amp;"" pax""&amp;CHAR(10)&amp;
      TEXT(Leads_Alvin!J:J,""Rp#,##0"")
    ),
    Leads_Alvin!K:K,
    Leads_Alvin!L:L,
    Leads_Alvin!F:F
  },
  ""select Col1, Col2, Col3, Col4 
   where Col5 = 'Follow Up'"",
  0
)"),"2607A018
Antonius
08164885392
Website")</f>
        <v>2607A018
Antonius
08164885392
Website</v>
      </c>
      <c r="R4" s="183" t="str">
        <f>IFERROR(__xludf.DUMMYFUNCTION("""COMPUTED_VALUE"""),"2h1m opsi b
2 pax
Rp0")</f>
        <v>2h1m opsi b
2 pax
Rp0</v>
      </c>
      <c r="S4" s="184"/>
      <c r="T4" s="183"/>
      <c r="U4" s="53"/>
      <c r="V4" s="183" t="str">
        <f>IFERROR(__xludf.DUMMYFUNCTION("QUERY(
  {
    ARRAYFORMULA(
      Leads_Alvin!B:B&amp;CHAR(10)&amp;
      Leads_Alvin!C:C&amp;CHAR(10)&amp;
      Leads_Alvin!D:D&amp;CHAR(10)&amp;
      Leads_Alvin!E:E
    ),
    ARRAYFORMULA(
      Leads_Alvin!G:G&amp;CHAR(10)&amp;
      Leads_Alvin!H:H&amp;CHAR(10)&amp;
      Leads_Alvin!I"&amp;":I&amp;"" pax""&amp;CHAR(10)&amp;
      TEXT(Leads_Alvin!J:J,""Rp#,##0"")
    ),
    Leads_Alvin!K:K,
    Leads_Alvin!L:L,
    Leads_Alvin!F:F
  },
  ""select Col1, Col2, Col3, Col4 
   where Col5 = 'Warm Leads'"",
  0
)"),"2512A001
Kian Djiang(Agus setia budi)
0895603297486
Website")</f>
        <v>2512A001
Kian Djiang(Agus setia budi)
0895603297486
Website</v>
      </c>
      <c r="W4" s="183" t="str">
        <f>IFERROR(__xludf.DUMMYFUNCTION("""COMPUTED_VALUE"""),"4H3M
50 pax
Rp125.700.000")</f>
        <v>4H3M
50 pax
Rp125.700.000</v>
      </c>
      <c r="X4" s="184" t="str">
        <f>IFERROR(__xludf.DUMMYFUNCTION("""COMPUTED_VALUE"""),"DP bulan Juli (Trip bulan Agustus)")</f>
        <v>DP bulan Juli (Trip bulan Agustus)</v>
      </c>
      <c r="Y4" s="183"/>
      <c r="Z4" s="170"/>
      <c r="AA4" s="183" t="str">
        <f>IFERROR(__xludf.DUMMYFUNCTION("QUERY(
  {
    ARRAYFORMULA(
      Leads_Alvin!B:B&amp;CHAR(10)&amp;
      Leads_Alvin!C:C&amp;CHAR(10)&amp;
      Leads_Alvin!D:D&amp;CHAR(10)&amp;
      Leads_Alvin!E:E
    ),
    ARRAYFORMULA(
      Leads_Alvin!G:G&amp;CHAR(10)&amp;
      Leads_Alvin!H:H&amp;CHAR(10)&amp;
      Leads_Alvin!I"&amp;":I&amp;"" pax""&amp;CHAR(10)&amp;
      TEXT(Leads_Alvin!J:J,""Rp#,##0"")
    ),
    Leads_Alvin!K:K,
    Leads_Alvin!L:L,
    Leads_Alvin!F:F
  },
  ""select Col1, Col2, Col3, Col4 
   where Col5 = 'Hot Leads'"",
  0
)"),"2607A144
Ria Pradita
082210031502
Instagram")</f>
        <v>2607A144
Ria Pradita
082210031502
Instagram</v>
      </c>
      <c r="AB4" s="183" t="str">
        <f>IFERROR(__xludf.DUMMYFUNCTION("""COMPUTED_VALUE"""),"ot menjangan tabuhann
46239
2 pax
Rp800.000")</f>
        <v>ot menjangan tabuhann
46239
2 pax
Rp800.000</v>
      </c>
      <c r="AC4" s="183"/>
      <c r="AD4" s="183"/>
      <c r="AE4" s="53"/>
    </row>
    <row r="5" ht="22.5" customHeight="1">
      <c r="A5" s="53"/>
      <c r="B5" s="232" t="str">
        <f>IFERROR(__xludf.DUMMYFUNCTION("""COMPUTED_VALUE"""),"2606A032
Nonny
082150000898
Lainnya")</f>
        <v>2606A032
Nonny
082150000898
Lainnya</v>
      </c>
      <c r="C5" s="176" t="str">
        <f>IFERROR(__xludf.DUMMYFUNCTION("""COMPUTED_VALUE"""),"
2 pax
Rp0")</f>
        <v>
2 pax
Rp0</v>
      </c>
      <c r="D5" s="177"/>
      <c r="E5" s="183"/>
      <c r="F5" s="53"/>
      <c r="G5" s="183" t="str">
        <f>IFERROR(__xludf.DUMMYFUNCTION("""COMPUTED_VALUE"""),"2603A100
Johannes andri
081585091369
Instagram")</f>
        <v>2603A100
Johannes andri
081585091369
Instagram</v>
      </c>
      <c r="H5" s="183" t="str">
        <f>IFERROR(__xludf.DUMMYFUNCTION("""COMPUTED_VALUE"""),"2h1m custom
5 pax
Rp4.500.000")</f>
        <v>2h1m custom
5 pax
Rp4.500.000</v>
      </c>
      <c r="I5" s="184" t="str">
        <f>IFERROR(__xludf.DUMMYFUNCTION("""COMPUTED_VALUE"""),"fu 26 juli")</f>
        <v>fu 26 juli</v>
      </c>
      <c r="J5" s="178" t="str">
        <f>IFERROR(__xludf.DUMMYFUNCTION("""COMPUTED_VALUE"""),"https://docs.google.com/document/d/1uAH3ykAbKawbzM_wfwn9AYQ_fp4j1HibtJPXpJZtjOU/edit?usp=sharing")</f>
        <v>https://docs.google.com/document/d/1uAH3ykAbKawbzM_wfwn9AYQ_fp4j1HibtJPXpJZtjOU/edit?usp=sharing</v>
      </c>
      <c r="K5" s="53"/>
      <c r="L5" s="183" t="str">
        <f>IFERROR(__xludf.DUMMYFUNCTION("""COMPUTED_VALUE"""),"2605A100
Ardi
087809404555
Instagram")</f>
        <v>2605A100
Ardi
087809404555
Instagram</v>
      </c>
      <c r="M5" s="183" t="str">
        <f>IFERROR(__xludf.DUMMYFUNCTION("""COMPUTED_VALUE"""),"3h2m a
75 pax
Rp135.000.000")</f>
        <v>3h2m a
75 pax
Rp135.000.000</v>
      </c>
      <c r="N5" s="184" t="str">
        <f>IFERROR(__xludf.DUMMYFUNCTION("""COMPUTED_VALUE"""),"fu 8 agustus")</f>
        <v>fu 8 agustus</v>
      </c>
      <c r="O5" s="183"/>
      <c r="P5" s="53"/>
      <c r="Q5" s="183" t="str">
        <f>IFERROR(__xludf.DUMMYFUNCTION("""COMPUTED_VALUE"""),"2607A024
Firdaus Ramadhan
081213484025
Website")</f>
        <v>2607A024
Firdaus Ramadhan
081213484025
Website</v>
      </c>
      <c r="R5" s="183" t="str">
        <f>IFERROR(__xludf.DUMMYFUNCTION("""COMPUTED_VALUE"""),"ot3h2m
1 pax
Rp1.600.000")</f>
        <v>ot3h2m
1 pax
Rp1.600.000</v>
      </c>
      <c r="S5" s="184"/>
      <c r="T5" s="183"/>
      <c r="U5" s="53"/>
      <c r="V5" s="183" t="str">
        <f>IFERROR(__xludf.DUMMYFUNCTION("""COMPUTED_VALUE"""),"2606A123
Nabila
085771173990
Instagram")</f>
        <v>2606A123
Nabila
085771173990
Instagram</v>
      </c>
      <c r="W5" s="183" t="str">
        <f>IFERROR(__xludf.DUMMYFUNCTION("""COMPUTED_VALUE"""),"ot menjangan-tabuhan
1 pax
Rp0")</f>
        <v>ot menjangan-tabuhan
1 pax
Rp0</v>
      </c>
      <c r="X5" s="184" t="str">
        <f>IFERROR(__xludf.DUMMYFUNCTION("""COMPUTED_VALUE"""),"FU 27 juli")</f>
        <v>FU 27 juli</v>
      </c>
      <c r="Y5" s="183"/>
      <c r="Z5" s="170"/>
      <c r="AA5" s="170"/>
      <c r="AB5" s="170"/>
      <c r="AC5" s="170"/>
      <c r="AD5" s="53"/>
      <c r="AE5" s="53"/>
    </row>
    <row r="6" ht="22.5" customHeight="1">
      <c r="A6" s="53"/>
      <c r="B6" s="183" t="str">
        <f>IFERROR(__xludf.DUMMYFUNCTION("""COMPUTED_VALUE"""),"2606A065
Sinta Rossita
081399313391
Instagram")</f>
        <v>2606A065
Sinta Rossita
081399313391
Instagram</v>
      </c>
      <c r="C6" s="176" t="str">
        <f>IFERROR(__xludf.DUMMYFUNCTION("""COMPUTED_VALUE"""),"
 pax
Rp0")</f>
        <v>
 pax
Rp0</v>
      </c>
      <c r="D6" s="177" t="str">
        <f>IFERROR(__xludf.DUMMYFUNCTION("""COMPUTED_VALUE"""),"fu 26 juli")</f>
        <v>fu 26 juli</v>
      </c>
      <c r="E6" s="183"/>
      <c r="F6" s="53"/>
      <c r="G6" s="183" t="str">
        <f>IFERROR(__xludf.DUMMYFUNCTION("""COMPUTED_VALUE"""),"2604A010
Fany
081283753936
Instagram")</f>
        <v>2604A010
Fany
081283753936
Instagram</v>
      </c>
      <c r="H6" s="183" t="str">
        <f>IFERROR(__xludf.DUMMYFUNCTION("""COMPUTED_VALUE"""),"3h2m opsi B
5 pax
Rp5.225.000")</f>
        <v>3h2m opsi B
5 pax
Rp5.225.000</v>
      </c>
      <c r="I6" s="184" t="str">
        <f>IFERROR(__xludf.DUMMYFUNCTION("""COMPUTED_VALUE"""),"fu mei")</f>
        <v>fu mei</v>
      </c>
      <c r="J6" s="178" t="str">
        <f>IFERROR(__xludf.DUMMYFUNCTION("""COMPUTED_VALUE"""),"https://docs.google.com/document/d/1REAXMG0es5KNvHeF-KAsTxul7WHsXn6y-H12x460mng/edit?usp=sharing")</f>
        <v>https://docs.google.com/document/d/1REAXMG0es5KNvHeF-KAsTxul7WHsXn6y-H12x460mng/edit?usp=sharing</v>
      </c>
      <c r="K6" s="53"/>
      <c r="L6" s="183" t="str">
        <f>IFERROR(__xludf.DUMMYFUNCTION("""COMPUTED_VALUE"""),"2605A174
Inggrid
081807130203
Lainnya")</f>
        <v>2605A174
Inggrid
081807130203
Lainnya</v>
      </c>
      <c r="M6" s="183" t="str">
        <f>IFERROR(__xludf.DUMMYFUNCTION("""COMPUTED_VALUE"""),"3h2m
 pax
Rp0")</f>
        <v>3h2m
 pax
Rp0</v>
      </c>
      <c r="N6" s="184" t="str">
        <f>IFERROR(__xludf.DUMMYFUNCTION("""COMPUTED_VALUE"""),"fu 12 juni")</f>
        <v>fu 12 juni</v>
      </c>
      <c r="O6" s="183"/>
      <c r="P6" s="53"/>
      <c r="Q6" s="183" t="str">
        <f>IFERROR(__xludf.DUMMYFUNCTION("""COMPUTED_VALUE"""),"2606A052
Dayat
08986944442
Instagram")</f>
        <v>2606A052
Dayat
08986944442
Instagram</v>
      </c>
      <c r="R6" s="183" t="str">
        <f>IFERROR(__xludf.DUMMYFUNCTION("""COMPUTED_VALUE"""),"ot mt
46218
2 pax
Rp0")</f>
        <v>ot mt
46218
2 pax
Rp0</v>
      </c>
      <c r="S6" s="184"/>
      <c r="T6" s="183"/>
      <c r="U6" s="53"/>
      <c r="V6" s="183"/>
      <c r="W6" s="183"/>
      <c r="X6" s="184"/>
      <c r="Y6" s="183"/>
      <c r="Z6" s="170"/>
      <c r="AA6" s="170"/>
      <c r="AB6" s="170"/>
      <c r="AC6" s="170"/>
      <c r="AD6" s="53"/>
      <c r="AE6" s="53"/>
    </row>
    <row r="7" ht="22.5" customHeight="1">
      <c r="A7" s="53"/>
      <c r="B7" s="183" t="str">
        <f>IFERROR(__xludf.DUMMYFUNCTION("""COMPUTED_VALUE"""),"2606A072
Debby
08979381708
Website")</f>
        <v>2606A072
Debby
08979381708
Website</v>
      </c>
      <c r="C7" s="176" t="str">
        <f>IFERROR(__xludf.DUMMYFUNCTION("""COMPUTED_VALUE"""),"3h2m
3 pax
Rp0")</f>
        <v>3h2m
3 pax
Rp0</v>
      </c>
      <c r="D7" s="177" t="str">
        <f>IFERROR(__xludf.DUMMYFUNCTION("""COMPUTED_VALUE"""),"fu 28 september")</f>
        <v>fu 28 september</v>
      </c>
      <c r="E7" s="183"/>
      <c r="F7" s="53"/>
      <c r="G7" s="183" t="str">
        <f>IFERROR(__xludf.DUMMYFUNCTION("""COMPUTED_VALUE"""),"2604A018
Guntur Dwi Prakoso
082121655422‬
Instagram")</f>
        <v>2604A018
Guntur Dwi Prakoso
082121655422‬
Instagram</v>
      </c>
      <c r="H7" s="183" t="str">
        <f>IFERROR(__xludf.DUMMYFUNCTION("""COMPUTED_VALUE"""),"2h1m Custom
3 pax
Rp0")</f>
        <v>2h1m Custom
3 pax
Rp0</v>
      </c>
      <c r="I7" s="184" t="str">
        <f>IFERROR(__xludf.DUMMYFUNCTION("""COMPUTED_VALUE"""),"di reschedule. fu 18 juni")</f>
        <v>di reschedule. fu 18 juni</v>
      </c>
      <c r="J7" s="178" t="str">
        <f>IFERROR(__xludf.DUMMYFUNCTION("""COMPUTED_VALUE"""),"https://docs.google.com/document/d/1nlkDUjK4f2dbu3E3yMwYkk8VhWAlpqNkTprb-q4o_rw/edit?usp=sharing")</f>
        <v>https://docs.google.com/document/d/1nlkDUjK4f2dbu3E3yMwYkk8VhWAlpqNkTprb-q4o_rw/edit?usp=sharing</v>
      </c>
      <c r="K7" s="53"/>
      <c r="L7" s="183" t="str">
        <f>IFERROR(__xludf.DUMMYFUNCTION("""COMPUTED_VALUE"""),"2606A002
Andin
08388605526
Instagram")</f>
        <v>2606A002
Andin
08388605526
Instagram</v>
      </c>
      <c r="M7" s="183" t="str">
        <f>IFERROR(__xludf.DUMMYFUNCTION("""COMPUTED_VALUE"""),"3h2m opsi a
2 pax
Rp6.128.000")</f>
        <v>3h2m opsi a
2 pax
Rp6.128.000</v>
      </c>
      <c r="N7" s="184" t="str">
        <f>IFERROR(__xludf.DUMMYFUNCTION("""COMPUTED_VALUE"""),"fu 6 agustus")</f>
        <v>fu 6 agustus</v>
      </c>
      <c r="O7" s="183"/>
      <c r="P7" s="53"/>
      <c r="Q7" s="183" t="str">
        <f>IFERROR(__xludf.DUMMYFUNCTION("""COMPUTED_VALUE"""),"2607A122
Brian
081234544110
Instagram")</f>
        <v>2607A122
Brian
081234544110
Instagram</v>
      </c>
      <c r="R7" s="183" t="str">
        <f>IFERROR(__xludf.DUMMYFUNCTION("""COMPUTED_VALUE"""),"2h1m paketan 1 day trip
2 pax
Rp1.700.000")</f>
        <v>2h1m paketan 1 day trip
2 pax
Rp1.700.000</v>
      </c>
      <c r="S7" s="184" t="str">
        <f>IFERROR(__xludf.DUMMYFUNCTION("""COMPUTED_VALUE"""),"fu 30 juli")</f>
        <v>fu 30 juli</v>
      </c>
      <c r="T7" s="183"/>
      <c r="U7" s="53"/>
      <c r="V7" s="183"/>
      <c r="W7" s="183"/>
      <c r="X7" s="184"/>
      <c r="Y7" s="183"/>
      <c r="Z7" s="170"/>
      <c r="AA7" s="170"/>
      <c r="AB7" s="170"/>
      <c r="AC7" s="170"/>
      <c r="AD7" s="53"/>
      <c r="AE7" s="53"/>
    </row>
    <row r="8" ht="22.5" customHeight="1">
      <c r="A8" s="53"/>
      <c r="B8" s="183" t="str">
        <f>IFERROR(__xludf.DUMMYFUNCTION("""COMPUTED_VALUE"""),"2606A144
Indri Wilson
085200007722
Website")</f>
        <v>2606A144
Indri Wilson
085200007722
Website</v>
      </c>
      <c r="C8" s="176" t="str">
        <f>IFERROR(__xludf.DUMMYFUNCTION("""COMPUTED_VALUE"""),"
 pax
Rp0")</f>
        <v>
 pax
Rp0</v>
      </c>
      <c r="D8" s="177"/>
      <c r="E8" s="183"/>
      <c r="F8" s="53"/>
      <c r="G8" s="183" t="str">
        <f>IFERROR(__xludf.DUMMYFUNCTION("""COMPUTED_VALUE"""),"2604A019
Laili Maghfiroh
085730946704
Instagram")</f>
        <v>2604A019
Laili Maghfiroh
085730946704
Instagram</v>
      </c>
      <c r="H8" s="183" t="str">
        <f>IFERROR(__xludf.DUMMYFUNCTION("""COMPUTED_VALUE"""),"Trip M, B
3 pax
Rp3.516.000")</f>
        <v>Trip M, B
3 pax
Rp3.516.000</v>
      </c>
      <c r="I8" s="184" t="str">
        <f>IFERROR(__xludf.DUMMYFUNCTION("""COMPUTED_VALUE"""),"FU Awal mei")</f>
        <v>FU Awal mei</v>
      </c>
      <c r="J8" s="178" t="str">
        <f>IFERROR(__xludf.DUMMYFUNCTION("""COMPUTED_VALUE"""),"https://docs.google.com/document/d/1p6FbS35eOdJX4G5UmJlySPAi66eKpChvJtpZ2RCtn0s/edit?usp=sharing")</f>
        <v>https://docs.google.com/document/d/1p6FbS35eOdJX4G5UmJlySPAi66eKpChvJtpZ2RCtn0s/edit?usp=sharing</v>
      </c>
      <c r="K8" s="53"/>
      <c r="L8" s="183" t="str">
        <f>IFERROR(__xludf.DUMMYFUNCTION("""COMPUTED_VALUE"""),"2606A008
Shanty.Fitria.id
087751821466
Instagram")</f>
        <v>2606A008
Shanty.Fitria.id
087751821466
Instagram</v>
      </c>
      <c r="M8" s="183" t="str">
        <f>IFERROR(__xludf.DUMMYFUNCTION("""COMPUTED_VALUE"""),"ot djabal 
1 pax
Rp550.000")</f>
        <v>ot djabal 
1 pax
Rp550.000</v>
      </c>
      <c r="N8" s="184" t="str">
        <f>IFERROR(__xludf.DUMMYFUNCTION("""COMPUTED_VALUE"""),"fu 15 juni hanya menyapa")</f>
        <v>fu 15 juni hanya menyapa</v>
      </c>
      <c r="O8" s="183"/>
      <c r="P8" s="53"/>
      <c r="Q8" s="183"/>
      <c r="R8" s="183"/>
      <c r="S8" s="184"/>
      <c r="T8" s="183"/>
      <c r="U8" s="53"/>
      <c r="V8" s="53"/>
      <c r="W8" s="53"/>
      <c r="X8" s="171"/>
      <c r="Y8" s="170"/>
      <c r="Z8" s="170"/>
      <c r="AA8" s="170"/>
      <c r="AB8" s="170"/>
      <c r="AC8" s="170"/>
      <c r="AD8" s="53"/>
      <c r="AE8" s="53"/>
    </row>
    <row r="9" ht="22.5" customHeight="1">
      <c r="A9" s="53"/>
      <c r="B9" s="183" t="str">
        <f>IFERROR(__xludf.DUMMYFUNCTION("""COMPUTED_VALUE"""),"2606A145
Suryo Hardiono
0818210453
Website")</f>
        <v>2606A145
Suryo Hardiono
0818210453
Website</v>
      </c>
      <c r="C9" s="176" t="str">
        <f>IFERROR(__xludf.DUMMYFUNCTION("""COMPUTED_VALUE"""),"3h2m
46205
 pax
Rp0")</f>
        <v>3h2m
46205
 pax
Rp0</v>
      </c>
      <c r="D9" s="177"/>
      <c r="E9" s="183"/>
      <c r="F9" s="53"/>
      <c r="G9" s="183" t="str">
        <f>IFERROR(__xludf.DUMMYFUNCTION("""COMPUTED_VALUE"""),"2604A022
Suvi
08127519858
Instagram")</f>
        <v>2604A022
Suvi
08127519858
Instagram</v>
      </c>
      <c r="H9" s="183" t="str">
        <f>IFERROR(__xludf.DUMMYFUNCTION("""COMPUTED_VALUE"""),"3H2M / 4H3M
6 pax
Rp0")</f>
        <v>3H2M / 4H3M
6 pax
Rp0</v>
      </c>
      <c r="I9" s="184" t="str">
        <f>IFERROR(__xludf.DUMMYFUNCTION("""COMPUTED_VALUE"""),"FU 10 mei")</f>
        <v>FU 10 mei</v>
      </c>
      <c r="J9" s="178" t="str">
        <f>IFERROR(__xludf.DUMMYFUNCTION("""COMPUTED_VALUE"""),"https://docs.google.com/document/d/13AGnN7-A4DwLwb8t7WqtzcF3aSk3R5f5pEdD2SMe_dE/edit?usp=sharing")</f>
        <v>https://docs.google.com/document/d/13AGnN7-A4DwLwb8t7WqtzcF3aSk3R5f5pEdD2SMe_dE/edit?usp=sharing</v>
      </c>
      <c r="K9" s="53"/>
      <c r="L9" s="183" t="str">
        <f>IFERROR(__xludf.DUMMYFUNCTION("""COMPUTED_VALUE"""),"2606A016
Erna
08568698886
Instagram")</f>
        <v>2606A016
Erna
08568698886
Instagram</v>
      </c>
      <c r="M9" s="183" t="str">
        <f>IFERROR(__xludf.DUMMYFUNCTION("""COMPUTED_VALUE"""),"3h2m
4 pax
Rp3.060.000")</f>
        <v>3h2m
4 pax
Rp3.060.000</v>
      </c>
      <c r="N9" s="184" t="str">
        <f>IFERROR(__xludf.DUMMYFUNCTION("""COMPUTED_VALUE"""),"fu 22 juni")</f>
        <v>fu 22 juni</v>
      </c>
      <c r="O9" s="183"/>
      <c r="P9" s="53"/>
      <c r="Q9" s="183"/>
      <c r="R9" s="183"/>
      <c r="S9" s="184"/>
      <c r="T9" s="183"/>
      <c r="U9" s="53"/>
      <c r="V9" s="53"/>
      <c r="W9" s="53"/>
      <c r="X9" s="171"/>
      <c r="Y9" s="170"/>
      <c r="Z9" s="170"/>
      <c r="AA9" s="170"/>
      <c r="AB9" s="170"/>
      <c r="AC9" s="170"/>
      <c r="AD9" s="53"/>
      <c r="AE9" s="53"/>
    </row>
    <row r="10" ht="22.5" customHeight="1">
      <c r="A10" s="53"/>
      <c r="B10" s="183" t="str">
        <f>IFERROR(__xludf.DUMMYFUNCTION("""COMPUTED_VALUE"""),"2606A146
Rius Bukit
081382395521
Instagram")</f>
        <v>2606A146
Rius Bukit
081382395521
Instagram</v>
      </c>
      <c r="C10" s="176" t="str">
        <f>IFERROR(__xludf.DUMMYFUNCTION("""COMPUTED_VALUE"""),"3h2m
1 pax
Rp0")</f>
        <v>3h2m
1 pax
Rp0</v>
      </c>
      <c r="D10" s="177"/>
      <c r="E10" s="183"/>
      <c r="F10" s="53"/>
      <c r="G10" s="183" t="str">
        <f>IFERROR(__xludf.DUMMYFUNCTION("""COMPUTED_VALUE"""),"2604A037
tanti
08121429009
Website")</f>
        <v>2604A037
tanti
08121429009
Website</v>
      </c>
      <c r="H10" s="183" t="str">
        <f>IFERROR(__xludf.DUMMYFUNCTION("""COMPUTED_VALUE"""),"OT 3H2M
2 pax
Rp3.200.000")</f>
        <v>OT 3H2M
2 pax
Rp3.200.000</v>
      </c>
      <c r="I10" s="184" t="str">
        <f>IFERROR(__xludf.DUMMYFUNCTION("""COMPUTED_VALUE"""),"fu 10  mei")</f>
        <v>fu 10  mei</v>
      </c>
      <c r="J10" s="178" t="str">
        <f>IFERROR(__xludf.DUMMYFUNCTION("""COMPUTED_VALUE"""),"https://docs.google.com/document/d/1tw1BYXESqh0wP9bkhQBi4V1R3etBrR0QP_d9R6VH1fU/edit?usp=sharing")</f>
        <v>https://docs.google.com/document/d/1tw1BYXESqh0wP9bkhQBi4V1R3etBrR0QP_d9R6VH1fU/edit?usp=sharing</v>
      </c>
      <c r="K10" s="53"/>
      <c r="L10" s="183" t="str">
        <f>IFERROR(__xludf.DUMMYFUNCTION("""COMPUTED_VALUE"""),"2606A031
Evelyn Patricia
082255427210
Instagram")</f>
        <v>2606A031
Evelyn Patricia
082255427210
Instagram</v>
      </c>
      <c r="M10" s="183" t="str">
        <f>IFERROR(__xludf.DUMMYFUNCTION("""COMPUTED_VALUE"""),"ot 3h2m
3 pax
Rp4.800.000")</f>
        <v>ot 3h2m
3 pax
Rp4.800.000</v>
      </c>
      <c r="N10" s="184" t="str">
        <f>IFERROR(__xludf.DUMMYFUNCTION("""COMPUTED_VALUE"""),"fu 5 agustus")</f>
        <v>fu 5 agustus</v>
      </c>
      <c r="O10" s="183"/>
      <c r="P10" s="53"/>
      <c r="Q10" s="53"/>
      <c r="R10" s="53"/>
      <c r="S10" s="171"/>
      <c r="T10" s="170"/>
      <c r="U10" s="53"/>
      <c r="V10" s="53"/>
      <c r="W10" s="53"/>
      <c r="X10" s="171"/>
      <c r="Y10" s="170"/>
      <c r="Z10" s="170"/>
      <c r="AA10" s="170"/>
      <c r="AB10" s="170"/>
      <c r="AC10" s="170"/>
      <c r="AD10" s="53"/>
      <c r="AE10" s="53"/>
    </row>
    <row r="11" ht="22.5" customHeight="1">
      <c r="A11" s="53"/>
      <c r="B11" s="183" t="str">
        <f>IFERROR(__xludf.DUMMYFUNCTION("""COMPUTED_VALUE"""),"2606A147
Sufathonah
082248437101
Instagram")</f>
        <v>2606A147
Sufathonah
082248437101
Instagram</v>
      </c>
      <c r="C11" s="176" t="str">
        <f>IFERROR(__xludf.DUMMYFUNCTION("""COMPUTED_VALUE"""),"
 pax
Rp0")</f>
        <v>
 pax
Rp0</v>
      </c>
      <c r="D11" s="177"/>
      <c r="E11" s="183"/>
      <c r="F11" s="53"/>
      <c r="G11" s="183" t="str">
        <f>IFERROR(__xludf.DUMMYFUNCTION("""COMPUTED_VALUE"""),"2604A045
Celine
087813520145
Instagram")</f>
        <v>2604A045
Celine
087813520145
Instagram</v>
      </c>
      <c r="H11" s="183" t="str">
        <f>IFERROR(__xludf.DUMMYFUNCTION("""COMPUTED_VALUE"""),"Trip D, B, PM, Kawah wurung
3 pax
Rp3.540.000")</f>
        <v>Trip D, B, PM, Kawah wurung
3 pax
Rp3.540.000</v>
      </c>
      <c r="I11" s="184" t="str">
        <f>IFERROR(__xludf.DUMMYFUNCTION("""COMPUTED_VALUE"""),"FU 5 mei")</f>
        <v>FU 5 mei</v>
      </c>
      <c r="J11" s="178" t="str">
        <f>IFERROR(__xludf.DUMMYFUNCTION("""COMPUTED_VALUE"""),"https://docs.google.com/document/d/1kA7lEu7PdLCfWjo5mzgEk9bw7rm4B8A2fmokR6EtvjI/edit?usp=sharing")</f>
        <v>https://docs.google.com/document/d/1kA7lEu7PdLCfWjo5mzgEk9bw7rm4B8A2fmokR6EtvjI/edit?usp=sharing</v>
      </c>
      <c r="K11" s="53"/>
      <c r="L11" s="183" t="str">
        <f>IFERROR(__xludf.DUMMYFUNCTION("""COMPUTED_VALUE"""),"2607A090
elies
082117699364
Instagram")</f>
        <v>2607A090
elies
082117699364
Instagram</v>
      </c>
      <c r="M11" s="183" t="str">
        <f>IFERROR(__xludf.DUMMYFUNCTION("""COMPUTED_VALUE"""),"2h1m custom
46260
2 pax
Rp5.740.000")</f>
        <v>2h1m custom
46260
2 pax
Rp5.740.000</v>
      </c>
      <c r="N11" s="184" t="str">
        <f>IFERROR(__xludf.DUMMYFUNCTION("""COMPUTED_VALUE"""),"fu 27 Juli")</f>
        <v>fu 27 Juli</v>
      </c>
      <c r="O11" s="183"/>
      <c r="P11" s="53"/>
      <c r="Q11" s="53"/>
      <c r="R11" s="53"/>
      <c r="S11" s="171"/>
      <c r="T11" s="170"/>
      <c r="U11" s="53"/>
      <c r="V11" s="53"/>
      <c r="W11" s="53"/>
      <c r="X11" s="171"/>
      <c r="Y11" s="170"/>
      <c r="Z11" s="170"/>
      <c r="AA11" s="170"/>
      <c r="AB11" s="170"/>
      <c r="AC11" s="170"/>
      <c r="AD11" s="53"/>
      <c r="AE11" s="53"/>
    </row>
    <row r="12" ht="22.5" customHeight="1">
      <c r="A12" s="53"/>
      <c r="B12" s="183" t="str">
        <f>IFERROR(__xludf.DUMMYFUNCTION("""COMPUTED_VALUE"""),"2606A148
Puspita
081217386148
Instagram")</f>
        <v>2606A148
Puspita
081217386148
Instagram</v>
      </c>
      <c r="C12" s="176" t="str">
        <f>IFERROR(__xludf.DUMMYFUNCTION("""COMPUTED_VALUE"""),"
 pax
Rp0")</f>
        <v>
 pax
Rp0</v>
      </c>
      <c r="D12" s="177"/>
      <c r="E12" s="183"/>
      <c r="F12" s="53"/>
      <c r="G12" s="183" t="str">
        <f>IFERROR(__xludf.DUMMYFUNCTION("""COMPUTED_VALUE"""),"2604A047
Fina
089514536194
Website")</f>
        <v>2604A047
Fina
089514536194
Website</v>
      </c>
      <c r="H12" s="183" t="str">
        <f>IFERROR(__xludf.DUMMYFUNCTION("""COMPUTED_VALUE"""),"3h2m opsi A
8 pax
Rp15.000.000")</f>
        <v>3h2m opsi A
8 pax
Rp15.000.000</v>
      </c>
      <c r="I12" s="184" t="str">
        <f>IFERROR(__xludf.DUMMYFUNCTION("""COMPUTED_VALUE"""),"masih dishare ke grup, Fu 2 mei")</f>
        <v>masih dishare ke grup, Fu 2 mei</v>
      </c>
      <c r="J12" s="178" t="str">
        <f>IFERROR(__xludf.DUMMYFUNCTION("""COMPUTED_VALUE"""),"https://docs.google.com/document/d/1paIhZipVKAvm_NxzkVLzS3a8DtPRoJonkdvzfHoWmrI/edit?usp=sharing")</f>
        <v>https://docs.google.com/document/d/1paIhZipVKAvm_NxzkVLzS3a8DtPRoJonkdvzfHoWmrI/edit?usp=sharing</v>
      </c>
      <c r="K12" s="53"/>
      <c r="L12" s="183" t="str">
        <f>IFERROR(__xludf.DUMMYFUNCTION("""COMPUTED_VALUE"""),"2607A102
Melan
08111563390
Website")</f>
        <v>2607A102
Melan
08111563390
Website</v>
      </c>
      <c r="M12" s="183" t="str">
        <f>IFERROR(__xludf.DUMMYFUNCTION("""COMPUTED_VALUE"""),"3h2m
2 pax
Rp6.200.000")</f>
        <v>3h2m
2 pax
Rp6.200.000</v>
      </c>
      <c r="N12" s="184" t="str">
        <f>IFERROR(__xludf.DUMMYFUNCTION("""COMPUTED_VALUE"""),"fu 30 juli")</f>
        <v>fu 30 juli</v>
      </c>
      <c r="O12" s="183"/>
      <c r="P12" s="53"/>
      <c r="Q12" s="53"/>
      <c r="R12" s="53"/>
      <c r="S12" s="171"/>
      <c r="T12" s="170"/>
      <c r="U12" s="53"/>
      <c r="V12" s="53"/>
      <c r="W12" s="53"/>
      <c r="X12" s="171"/>
      <c r="Y12" s="170"/>
      <c r="Z12" s="170"/>
      <c r="AA12" s="170"/>
      <c r="AB12" s="170"/>
      <c r="AC12" s="170"/>
      <c r="AD12" s="53"/>
      <c r="AE12" s="53"/>
    </row>
    <row r="13" ht="22.5" customHeight="1">
      <c r="A13" s="53"/>
      <c r="B13" s="183" t="str">
        <f>IFERROR(__xludf.DUMMYFUNCTION("""COMPUTED_VALUE"""),"2606A149
Ghea Aprilia
081310054097
Instagram")</f>
        <v>2606A149
Ghea Aprilia
081310054097
Instagram</v>
      </c>
      <c r="C13" s="176" t="str">
        <f>IFERROR(__xludf.DUMMYFUNCTION("""COMPUTED_VALUE"""),"
 pax
Rp0")</f>
        <v>
 pax
Rp0</v>
      </c>
      <c r="D13" s="177"/>
      <c r="E13" s="183"/>
      <c r="F13" s="53"/>
      <c r="G13" s="183" t="str">
        <f>IFERROR(__xludf.DUMMYFUNCTION("""COMPUTED_VALUE"""),"2604A051
Indriya
082271637123
Instagram")</f>
        <v>2604A051
Indriya
082271637123
Instagram</v>
      </c>
      <c r="H13" s="183" t="str">
        <f>IFERROR(__xludf.DUMMYFUNCTION("""COMPUTED_VALUE"""),"4H3M
46223
4 pax
Rp8.460.000")</f>
        <v>4H3M
46223
4 pax
Rp8.460.000</v>
      </c>
      <c r="I13" s="184"/>
      <c r="J13" s="178" t="str">
        <f>IFERROR(__xludf.DUMMYFUNCTION("""COMPUTED_VALUE"""),"https://docs.google.com/document/d/16HUEAj4hDXhu6YcxeOlYhOKJyT8jY-eWNZLthHortcw/edit?usp=sharing")</f>
        <v>https://docs.google.com/document/d/16HUEAj4hDXhu6YcxeOlYhOKJyT8jY-eWNZLthHortcw/edit?usp=sharing</v>
      </c>
      <c r="K13" s="53"/>
      <c r="L13" s="183"/>
      <c r="M13" s="183"/>
      <c r="N13" s="184"/>
      <c r="O13" s="183"/>
      <c r="P13" s="53"/>
      <c r="Q13" s="53"/>
      <c r="R13" s="53"/>
      <c r="S13" s="171"/>
      <c r="T13" s="170"/>
      <c r="U13" s="53"/>
      <c r="V13" s="53"/>
      <c r="W13" s="53"/>
      <c r="X13" s="171"/>
      <c r="Y13" s="170"/>
      <c r="Z13" s="170"/>
      <c r="AA13" s="170"/>
      <c r="AB13" s="170"/>
      <c r="AC13" s="170"/>
      <c r="AD13" s="53"/>
      <c r="AE13" s="53"/>
    </row>
    <row r="14" ht="22.5" customHeight="1">
      <c r="A14" s="53"/>
      <c r="B14" s="183" t="str">
        <f>IFERROR(__xludf.DUMMYFUNCTION("""COMPUTED_VALUE"""),"2606A152
Ela
08561669566
Lainnya")</f>
        <v>2606A152
Ela
08561669566
Lainnya</v>
      </c>
      <c r="C14" s="176" t="str">
        <f>IFERROR(__xludf.DUMMYFUNCTION("""COMPUTED_VALUE"""),"
 pax
Rp0")</f>
        <v>
 pax
Rp0</v>
      </c>
      <c r="D14" s="177"/>
      <c r="E14" s="183"/>
      <c r="F14" s="53"/>
      <c r="G14" s="183" t="str">
        <f>IFERROR(__xludf.DUMMYFUNCTION("""COMPUTED_VALUE"""),"2604A053
No Name
089654451424
Instagram")</f>
        <v>2604A053
No Name
089654451424
Instagram</v>
      </c>
      <c r="H14" s="183" t="str">
        <f>IFERROR(__xludf.DUMMYFUNCTION("""COMPUTED_VALUE"""),"3H2M Opsi A
3 pax
Rp6.402.000")</f>
        <v>3H2M Opsi A
3 pax
Rp6.402.000</v>
      </c>
      <c r="I14" s="184"/>
      <c r="J14" s="178" t="str">
        <f>IFERROR(__xludf.DUMMYFUNCTION("""COMPUTED_VALUE"""),"https://docs.google.com/document/d/1aOPRpMvvQewirm47rXVCTEB-xFW7SKdTHnDsy40Ie0o/edit?usp=sharing")</f>
        <v>https://docs.google.com/document/d/1aOPRpMvvQewirm47rXVCTEB-xFW7SKdTHnDsy40Ie0o/edit?usp=sharing</v>
      </c>
      <c r="K14" s="53"/>
      <c r="L14" s="183"/>
      <c r="M14" s="183"/>
      <c r="N14" s="184"/>
      <c r="O14" s="183"/>
      <c r="P14" s="53"/>
      <c r="Q14" s="53"/>
      <c r="R14" s="53"/>
      <c r="S14" s="171"/>
      <c r="T14" s="170"/>
      <c r="U14" s="53"/>
      <c r="V14" s="53"/>
      <c r="W14" s="53"/>
      <c r="X14" s="171"/>
      <c r="Y14" s="170"/>
      <c r="Z14" s="170"/>
      <c r="AA14" s="170"/>
      <c r="AB14" s="170"/>
      <c r="AC14" s="170"/>
      <c r="AD14" s="53"/>
      <c r="AE14" s="53"/>
    </row>
    <row r="15" ht="22.5" customHeight="1">
      <c r="A15" s="53"/>
      <c r="B15" s="183" t="str">
        <f>IFERROR(__xludf.DUMMYFUNCTION("""COMPUTED_VALUE"""),"2606A155
Roy Desimoko
081903974096
Instagram")</f>
        <v>2606A155
Roy Desimoko
081903974096
Instagram</v>
      </c>
      <c r="C15" s="176" t="str">
        <f>IFERROR(__xludf.DUMMYFUNCTION("""COMPUTED_VALUE"""),"3h2m
 pax
Rp0")</f>
        <v>3h2m
 pax
Rp0</v>
      </c>
      <c r="D15" s="177"/>
      <c r="E15" s="183"/>
      <c r="F15" s="53"/>
      <c r="G15" s="183" t="str">
        <f>IFERROR(__xludf.DUMMYFUNCTION("""COMPUTED_VALUE"""),"2604A058
Ambar
082141083242
Instagram")</f>
        <v>2604A058
Ambar
082141083242
Instagram</v>
      </c>
      <c r="H15" s="183" t="str">
        <f>IFERROR(__xludf.DUMMYFUNCTION("""COMPUTED_VALUE"""),"OT D, B, M , T
2 pax
Rp1.100.000")</f>
        <v>OT D, B, M , T
2 pax
Rp1.100.000</v>
      </c>
      <c r="I15" s="184"/>
      <c r="J15" s="178" t="str">
        <f>IFERROR(__xludf.DUMMYFUNCTION("""COMPUTED_VALUE"""),"https://docs.google.com/document/d/1quEnHGdTJcq9hhALJ1AJUKQ-azpep4kmgHwXiKRMJ5A/edit?usp=sharing")</f>
        <v>https://docs.google.com/document/d/1quEnHGdTJcq9hhALJ1AJUKQ-azpep4kmgHwXiKRMJ5A/edit?usp=sharing</v>
      </c>
      <c r="K15" s="53"/>
      <c r="L15" s="183"/>
      <c r="M15" s="183"/>
      <c r="N15" s="184"/>
      <c r="O15" s="183"/>
      <c r="P15" s="53"/>
      <c r="Q15" s="53"/>
      <c r="R15" s="53"/>
      <c r="S15" s="171"/>
      <c r="T15" s="170"/>
      <c r="U15" s="53"/>
      <c r="V15" s="53"/>
      <c r="W15" s="53"/>
      <c r="X15" s="171"/>
      <c r="Y15" s="170"/>
      <c r="Z15" s="170"/>
      <c r="AA15" s="170"/>
      <c r="AB15" s="170"/>
      <c r="AC15" s="170"/>
      <c r="AD15" s="53"/>
      <c r="AE15" s="53"/>
    </row>
    <row r="16" ht="22.5" customHeight="1">
      <c r="A16" s="53"/>
      <c r="B16" s="183" t="str">
        <f>IFERROR(__xludf.DUMMYFUNCTION("""COMPUTED_VALUE"""),"2606A157
Kantor
081225210005
Instagram")</f>
        <v>2606A157
Kantor
081225210005
Instagram</v>
      </c>
      <c r="C16" s="176" t="str">
        <f>IFERROR(__xludf.DUMMYFUNCTION("""COMPUTED_VALUE"""),"
 pax
Rp0")</f>
        <v>
 pax
Rp0</v>
      </c>
      <c r="D16" s="177"/>
      <c r="E16" s="183"/>
      <c r="F16" s="53"/>
      <c r="G16" s="183" t="str">
        <f>IFERROR(__xludf.DUMMYFUNCTION("""COMPUTED_VALUE"""),"2604A061
Juniffia
085524734259
Instagram")</f>
        <v>2604A061
Juniffia
085524734259
Instagram</v>
      </c>
      <c r="H16" s="183" t="str">
        <f>IFERROR(__xludf.DUMMYFUNCTION("""COMPUTED_VALUE"""),"2h1m
46185
2 pax
Rp3.780.000")</f>
        <v>2h1m
46185
2 pax
Rp3.780.000</v>
      </c>
      <c r="I16" s="184" t="str">
        <f>IFERROR(__xludf.DUMMYFUNCTION("""COMPUTED_VALUE"""),"kirim penawaran, Akhir mei")</f>
        <v>kirim penawaran, Akhir mei</v>
      </c>
      <c r="J16" s="178" t="str">
        <f>IFERROR(__xludf.DUMMYFUNCTION("""COMPUTED_VALUE"""),"https://docs.google.com/document/d/1LHtpVf3NdAI-vAH9vaeB8Rj2K3uRud5DL47eGjvvoxU/edit?usp=sharing")</f>
        <v>https://docs.google.com/document/d/1LHtpVf3NdAI-vAH9vaeB8Rj2K3uRud5DL47eGjvvoxU/edit?usp=sharing</v>
      </c>
      <c r="K16" s="53"/>
      <c r="L16" s="183"/>
      <c r="M16" s="183"/>
      <c r="N16" s="184"/>
      <c r="O16" s="183"/>
      <c r="P16" s="53"/>
      <c r="Q16" s="53"/>
      <c r="R16" s="53"/>
      <c r="S16" s="171"/>
      <c r="T16" s="170"/>
      <c r="U16" s="53"/>
      <c r="V16" s="53"/>
      <c r="W16" s="53"/>
      <c r="X16" s="171"/>
      <c r="Y16" s="170"/>
      <c r="Z16" s="170"/>
      <c r="AA16" s="170"/>
      <c r="AB16" s="170"/>
      <c r="AC16" s="170"/>
      <c r="AD16" s="53"/>
      <c r="AE16" s="53"/>
    </row>
    <row r="17" ht="22.5" customHeight="1">
      <c r="A17" s="53"/>
      <c r="B17" s="183" t="str">
        <f>IFERROR(__xludf.DUMMYFUNCTION("""COMPUTED_VALUE"""),"2606A158
Kh
089601224903
Instagram")</f>
        <v>2606A158
Kh
089601224903
Instagram</v>
      </c>
      <c r="C17" s="176" t="str">
        <f>IFERROR(__xludf.DUMMYFUNCTION("""COMPUTED_VALUE"""),"
 pax
Rp0")</f>
        <v>
 pax
Rp0</v>
      </c>
      <c r="D17" s="177"/>
      <c r="E17" s="183"/>
      <c r="F17" s="53"/>
      <c r="G17" s="183" t="str">
        <f>IFERROR(__xludf.DUMMYFUNCTION("""COMPUTED_VALUE"""),"2604A063
Sky
08156960491
Instagram")</f>
        <v>2604A063
Sky
08156960491
Instagram</v>
      </c>
      <c r="H17" s="183" t="str">
        <f>IFERROR(__xludf.DUMMYFUNCTION("""COMPUTED_VALUE"""),"3H2M opsi A
2 pax
Rp6.828.000")</f>
        <v>3H2M opsi A
2 pax
Rp6.828.000</v>
      </c>
      <c r="I17" s="184" t="str">
        <f>IFERROR(__xludf.DUMMYFUNCTION("""COMPUTED_VALUE"""),"kirim penawaran, FU Akhir mei")</f>
        <v>kirim penawaran, FU Akhir mei</v>
      </c>
      <c r="J17" s="178" t="str">
        <f>IFERROR(__xludf.DUMMYFUNCTION("""COMPUTED_VALUE"""),"https://docs.google.com/document/d/1NMY6AVs3XJ5H-UpmXMShvrtxwceCqEsZREFZ0ipc56Y/edit?usp=sharing")</f>
        <v>https://docs.google.com/document/d/1NMY6AVs3XJ5H-UpmXMShvrtxwceCqEsZREFZ0ipc56Y/edit?usp=sharing</v>
      </c>
      <c r="K17" s="53"/>
      <c r="L17" s="183"/>
      <c r="M17" s="183"/>
      <c r="N17" s="184"/>
      <c r="O17" s="183"/>
      <c r="P17" s="53"/>
      <c r="Q17" s="53"/>
      <c r="R17" s="53"/>
      <c r="S17" s="171"/>
      <c r="T17" s="170"/>
      <c r="U17" s="53"/>
      <c r="V17" s="53"/>
      <c r="W17" s="53"/>
      <c r="X17" s="171"/>
      <c r="Y17" s="170"/>
      <c r="Z17" s="170"/>
      <c r="AA17" s="170"/>
      <c r="AB17" s="170"/>
      <c r="AC17" s="170"/>
      <c r="AD17" s="53"/>
      <c r="AE17" s="53"/>
    </row>
    <row r="18" ht="22.5" customHeight="1">
      <c r="A18" s="53"/>
      <c r="B18" s="183" t="str">
        <f>IFERROR(__xludf.DUMMYFUNCTION("""COMPUTED_VALUE"""),"2606A160
Ela
08561669566
Website")</f>
        <v>2606A160
Ela
08561669566
Website</v>
      </c>
      <c r="C18" s="176" t="str">
        <f>IFERROR(__xludf.DUMMYFUNCTION("""COMPUTED_VALUE"""),"
 pax
Rp0")</f>
        <v>
 pax
Rp0</v>
      </c>
      <c r="D18" s="177"/>
      <c r="E18" s="183"/>
      <c r="F18" s="53"/>
      <c r="G18" s="183" t="str">
        <f>IFERROR(__xludf.DUMMYFUNCTION("""COMPUTED_VALUE"""),"2604A074
Ivan
085213014214
Instagram")</f>
        <v>2604A074
Ivan
085213014214
Instagram</v>
      </c>
      <c r="H18" s="183" t="str">
        <f>IFERROR(__xludf.DUMMYFUNCTION("""COMPUTED_VALUE"""),"OT 3H2M
6 pax
Rp9.600.000")</f>
        <v>OT 3H2M
6 pax
Rp9.600.000</v>
      </c>
      <c r="I18" s="184" t="str">
        <f>IFERROR(__xludf.DUMMYFUNCTION("""COMPUTED_VALUE"""),"nanti diinfokan kembali, FU 10 mei")</f>
        <v>nanti diinfokan kembali, FU 10 mei</v>
      </c>
      <c r="J18" s="178" t="str">
        <f>IFERROR(__xludf.DUMMYFUNCTION("""COMPUTED_VALUE"""),"https://docs.google.com/document/d/1BRzmkPrY-4K7f9NS6fTkubITgAmZ4yesMYBT3sI5Mdc/edit?usp=sharing")</f>
        <v>https://docs.google.com/document/d/1BRzmkPrY-4K7f9NS6fTkubITgAmZ4yesMYBT3sI5Mdc/edit?usp=sharing</v>
      </c>
      <c r="K18" s="53"/>
      <c r="L18" s="183"/>
      <c r="M18" s="183"/>
      <c r="N18" s="184"/>
      <c r="O18" s="183"/>
      <c r="P18" s="53"/>
      <c r="Q18" s="53"/>
      <c r="R18" s="53"/>
      <c r="S18" s="171"/>
      <c r="T18" s="170"/>
      <c r="U18" s="53"/>
      <c r="V18" s="53"/>
      <c r="W18" s="53"/>
      <c r="X18" s="171"/>
      <c r="Y18" s="170"/>
      <c r="Z18" s="170"/>
      <c r="AA18" s="170"/>
      <c r="AB18" s="170"/>
      <c r="AC18" s="170"/>
      <c r="AD18" s="53"/>
      <c r="AE18" s="53"/>
    </row>
    <row r="19" ht="22.5" customHeight="1">
      <c r="A19" s="53"/>
      <c r="B19" s="183" t="str">
        <f>IFERROR(__xludf.DUMMYFUNCTION("""COMPUTED_VALUE"""),"2606A162
Nova Liyanti
082388478881
Instagram")</f>
        <v>2606A162
Nova Liyanti
082388478881
Instagram</v>
      </c>
      <c r="C19" s="176" t="str">
        <f>IFERROR(__xludf.DUMMYFUNCTION("""COMPUTED_VALUE"""),"3h2m a
 pax
Rp0")</f>
        <v>3h2m a
 pax
Rp0</v>
      </c>
      <c r="D19" s="177"/>
      <c r="E19" s="183"/>
      <c r="F19" s="53"/>
      <c r="G19" s="183" t="str">
        <f>IFERROR(__xludf.DUMMYFUNCTION("""COMPUTED_VALUE"""),"2604A080
Shinta
0811218443
Instagram")</f>
        <v>2604A080
Shinta
0811218443
Instagram</v>
      </c>
      <c r="H19" s="183" t="str">
        <f>IFERROR(__xludf.DUMMYFUNCTION("""COMPUTED_VALUE"""),"Trip D, MU, PM
10 pax
Rp2.980.000")</f>
        <v>Trip D, MU, PM
10 pax
Rp2.980.000</v>
      </c>
      <c r="I19" s="184" t="str">
        <f>IFERROR(__xludf.DUMMYFUNCTION("""COMPUTED_VALUE"""),"dipelajari dlu")</f>
        <v>dipelajari dlu</v>
      </c>
      <c r="J19" s="178" t="str">
        <f>IFERROR(__xludf.DUMMYFUNCTION("""COMPUTED_VALUE"""),"https://docs.google.com/document/d/1crEyDPG7f_0XqK0KInVWj3it23s284T7IZ-leajieXA/edit?usp=sharing")</f>
        <v>https://docs.google.com/document/d/1crEyDPG7f_0XqK0KInVWj3it23s284T7IZ-leajieXA/edit?usp=sharing</v>
      </c>
      <c r="K19" s="53"/>
      <c r="L19" s="183"/>
      <c r="M19" s="183"/>
      <c r="N19" s="184"/>
      <c r="O19" s="183"/>
      <c r="P19" s="53"/>
      <c r="Q19" s="53"/>
      <c r="R19" s="53"/>
      <c r="S19" s="171"/>
      <c r="T19" s="170"/>
      <c r="U19" s="53"/>
      <c r="V19" s="53"/>
      <c r="W19" s="53"/>
      <c r="X19" s="171"/>
      <c r="Y19" s="170"/>
      <c r="Z19" s="170"/>
      <c r="AA19" s="170"/>
      <c r="AB19" s="170"/>
      <c r="AC19" s="170"/>
      <c r="AD19" s="53"/>
      <c r="AE19" s="53"/>
    </row>
    <row r="20" ht="22.5" customHeight="1">
      <c r="A20" s="53"/>
      <c r="B20" s="183" t="str">
        <f>IFERROR(__xludf.DUMMYFUNCTION("""COMPUTED_VALUE"""),"2606A163
Tulus
085640344085
Website")</f>
        <v>2606A163
Tulus
085640344085
Website</v>
      </c>
      <c r="C20" s="176" t="str">
        <f>IFERROR(__xludf.DUMMYFUNCTION("""COMPUTED_VALUE"""),"2h1m
4 pax
Rp4.148.000")</f>
        <v>2h1m
4 pax
Rp4.148.000</v>
      </c>
      <c r="D20" s="177" t="str">
        <f>IFERROR(__xludf.DUMMYFUNCTION("""COMPUTED_VALUE"""),"fu 4 juli")</f>
        <v>fu 4 juli</v>
      </c>
      <c r="E20" s="183"/>
      <c r="F20" s="53"/>
      <c r="G20" s="183" t="str">
        <f>IFERROR(__xludf.DUMMYFUNCTION("""COMPUTED_VALUE"""),"2604A082
Adela
088233811775
Instagram")</f>
        <v>2604A082
Adela
088233811775
Instagram</v>
      </c>
      <c r="H20" s="183" t="str">
        <f>IFERROR(__xludf.DUMMYFUNCTION("""COMPUTED_VALUE"""),"
46272 pax
Rp12.150.000")</f>
        <v>
46272 pax
Rp12.150.000</v>
      </c>
      <c r="I20" s="184" t="str">
        <f>IFERROR(__xludf.DUMMYFUNCTION("""COMPUTED_VALUE"""),"fu 5 mei")</f>
        <v>fu 5 mei</v>
      </c>
      <c r="J20" s="178" t="str">
        <f>IFERROR(__xludf.DUMMYFUNCTION("""COMPUTED_VALUE"""),"https://docs.google.com/document/d/1nAJHVlz5vRjq3zLEU_XS0DhSy4iXhXydO4qH5MOImQE/edit?usp=sharing")</f>
        <v>https://docs.google.com/document/d/1nAJHVlz5vRjq3zLEU_XS0DhSy4iXhXydO4qH5MOImQE/edit?usp=sharing</v>
      </c>
      <c r="K20" s="53"/>
      <c r="L20" s="53"/>
      <c r="M20" s="53"/>
      <c r="N20" s="171"/>
      <c r="O20" s="170"/>
      <c r="P20" s="53"/>
      <c r="Q20" s="53"/>
      <c r="R20" s="53"/>
      <c r="S20" s="171"/>
      <c r="T20" s="170"/>
      <c r="U20" s="53"/>
      <c r="V20" s="53"/>
      <c r="W20" s="53"/>
      <c r="X20" s="171"/>
      <c r="Y20" s="170"/>
      <c r="Z20" s="170"/>
      <c r="AA20" s="170"/>
      <c r="AB20" s="170"/>
      <c r="AC20" s="170"/>
      <c r="AD20" s="53"/>
      <c r="AE20" s="53"/>
    </row>
    <row r="21" ht="22.5" customHeight="1">
      <c r="A21" s="53"/>
      <c r="B21" s="183" t="str">
        <f>IFERROR(__xludf.DUMMYFUNCTION("""COMPUTED_VALUE"""),"2606A164
Ayuda
08155188661
Website")</f>
        <v>2606A164
Ayuda
08155188661
Website</v>
      </c>
      <c r="C21" s="176" t="str">
        <f>IFERROR(__xludf.DUMMYFUNCTION("""COMPUTED_VALUE"""),"
 pax
Rp0")</f>
        <v>
 pax
Rp0</v>
      </c>
      <c r="D21" s="177"/>
      <c r="E21" s="183"/>
      <c r="F21" s="53"/>
      <c r="G21" s="183" t="str">
        <f>IFERROR(__xludf.DUMMYFUNCTION("""COMPUTED_VALUE"""),"2604A085
ohandjohari
087898652288
Lainnya")</f>
        <v>2604A085
ohandjohari
087898652288
Lainnya</v>
      </c>
      <c r="H21" s="183" t="str">
        <f>IFERROR(__xludf.DUMMYFUNCTION("""COMPUTED_VALUE"""),"2H1M
15 pax
Rp12.750.000")</f>
        <v>2H1M
15 pax
Rp12.750.000</v>
      </c>
      <c r="I21" s="184" t="str">
        <f>IFERROR(__xludf.DUMMYFUNCTION("""COMPUTED_VALUE"""),"fu 25 april")</f>
        <v>fu 25 april</v>
      </c>
      <c r="J21" s="178" t="str">
        <f>IFERROR(__xludf.DUMMYFUNCTION("""COMPUTED_VALUE"""),"https://docs.google.com/document/d/1Q3qTaUazgE9lLwQqm8vUURZqmMuH72E1TFQW2NQG2kY/edit?usp=sharing")</f>
        <v>https://docs.google.com/document/d/1Q3qTaUazgE9lLwQqm8vUURZqmMuH72E1TFQW2NQG2kY/edit?usp=sharing</v>
      </c>
      <c r="K21" s="53"/>
      <c r="L21" s="53"/>
      <c r="M21" s="53"/>
      <c r="N21" s="171"/>
      <c r="O21" s="170"/>
      <c r="P21" s="53"/>
      <c r="Q21" s="53"/>
      <c r="R21" s="53"/>
      <c r="S21" s="171"/>
      <c r="T21" s="170"/>
      <c r="U21" s="53"/>
      <c r="V21" s="53"/>
      <c r="W21" s="53"/>
      <c r="X21" s="171"/>
      <c r="Y21" s="170"/>
      <c r="Z21" s="170"/>
      <c r="AA21" s="170"/>
      <c r="AB21" s="170"/>
      <c r="AC21" s="170"/>
      <c r="AD21" s="53"/>
      <c r="AE21" s="53"/>
    </row>
    <row r="22" ht="22.5" customHeight="1">
      <c r="A22" s="53"/>
      <c r="B22" s="183" t="str">
        <f>IFERROR(__xludf.DUMMYFUNCTION("""COMPUTED_VALUE"""),"2606A168
Eva Meutia
082298063585
Website")</f>
        <v>2606A168
Eva Meutia
082298063585
Website</v>
      </c>
      <c r="C22" s="176" t="str">
        <f>IFERROR(__xludf.DUMMYFUNCTION("""COMPUTED_VALUE"""),"ot menjangan tabuhan
 pax
Rp0")</f>
        <v>ot menjangan tabuhan
 pax
Rp0</v>
      </c>
      <c r="D22" s="177"/>
      <c r="E22" s="183"/>
      <c r="F22" s="53"/>
      <c r="G22" s="183" t="str">
        <f>IFERROR(__xludf.DUMMYFUNCTION("""COMPUTED_VALUE"""),"2604A086
dee
082124668365
Instagram")</f>
        <v>2604A086
dee
082124668365
Instagram</v>
      </c>
      <c r="H22" s="183" t="str">
        <f>IFERROR(__xludf.DUMMYFUNCTION("""COMPUTED_VALUE"""),"OT M T
46144
10 pax
Rp2.950.000")</f>
        <v>OT M T
46144
10 pax
Rp2.950.000</v>
      </c>
      <c r="I22" s="184" t="str">
        <f>IFERROR(__xludf.DUMMYFUNCTION("""COMPUTED_VALUE"""),"FU 25 April")</f>
        <v>FU 25 April</v>
      </c>
      <c r="J22" s="178" t="str">
        <f>IFERROR(__xludf.DUMMYFUNCTION("""COMPUTED_VALUE"""),"https://docs.google.com/document/d/1-MhHQT8Z0Ma1W4qm-jLxesBmHCQwtRm0kGn27JMhQGU/edit?usp=sharing")</f>
        <v>https://docs.google.com/document/d/1-MhHQT8Z0Ma1W4qm-jLxesBmHCQwtRm0kGn27JMhQGU/edit?usp=sharing</v>
      </c>
      <c r="K22" s="53"/>
      <c r="L22" s="53"/>
      <c r="M22" s="53"/>
      <c r="N22" s="171"/>
      <c r="O22" s="170"/>
      <c r="P22" s="53"/>
      <c r="Q22" s="53"/>
      <c r="R22" s="53"/>
      <c r="S22" s="171"/>
      <c r="T22" s="170"/>
      <c r="U22" s="53"/>
      <c r="V22" s="53"/>
      <c r="W22" s="53"/>
      <c r="X22" s="171"/>
      <c r="Y22" s="170"/>
      <c r="Z22" s="170"/>
      <c r="AA22" s="170"/>
      <c r="AB22" s="170"/>
      <c r="AC22" s="170"/>
      <c r="AD22" s="53"/>
      <c r="AE22" s="53"/>
    </row>
    <row r="23" ht="22.5" customHeight="1">
      <c r="A23" s="53"/>
      <c r="B23" s="183" t="str">
        <f>IFERROR(__xludf.DUMMYFUNCTION("""COMPUTED_VALUE"""),"2606A172
Farhan
085737678028
Instagram")</f>
        <v>2606A172
Farhan
085737678028
Instagram</v>
      </c>
      <c r="C23" s="176" t="str">
        <f>IFERROR(__xludf.DUMMYFUNCTION("""COMPUTED_VALUE"""),"
 pax
Rp0")</f>
        <v>
 pax
Rp0</v>
      </c>
      <c r="D23" s="177"/>
      <c r="E23" s="183"/>
      <c r="F23" s="53"/>
      <c r="G23" s="183" t="str">
        <f>IFERROR(__xludf.DUMMYFUNCTION("""COMPUTED_VALUE"""),"2604A087
fitri
0811213038
Instagram")</f>
        <v>2604A087
fitri
0811213038
Instagram</v>
      </c>
      <c r="H23" s="183" t="str">
        <f>IFERROR(__xludf.DUMMYFUNCTION("""COMPUTED_VALUE"""),"Trip GI BD
46157
4 pax
Rp1.540.000")</f>
        <v>Trip GI BD
46157
4 pax
Rp1.540.000</v>
      </c>
      <c r="I23" s="184" t="str">
        <f>IFERROR(__xludf.DUMMYFUNCTION("""COMPUTED_VALUE"""),"Kirim penawaran")</f>
        <v>Kirim penawaran</v>
      </c>
      <c r="J23" s="178" t="str">
        <f>IFERROR(__xludf.DUMMYFUNCTION("""COMPUTED_VALUE"""),"https://docs.google.com/document/d/1ubk1wW-1mElYA-372--VhpvqOQiUdh5QFXC_BduMTa0/edit?usp=sharing")</f>
        <v>https://docs.google.com/document/d/1ubk1wW-1mElYA-372--VhpvqOQiUdh5QFXC_BduMTa0/edit?usp=sharing</v>
      </c>
      <c r="K23" s="53"/>
      <c r="L23" s="53"/>
      <c r="M23" s="53"/>
      <c r="N23" s="171"/>
      <c r="O23" s="170"/>
      <c r="P23" s="53"/>
      <c r="Q23" s="53"/>
      <c r="R23" s="53"/>
      <c r="S23" s="171"/>
      <c r="T23" s="170"/>
      <c r="U23" s="53"/>
      <c r="V23" s="53"/>
      <c r="W23" s="53"/>
      <c r="X23" s="171"/>
      <c r="Y23" s="170"/>
      <c r="Z23" s="170"/>
      <c r="AA23" s="170"/>
      <c r="AB23" s="170"/>
      <c r="AC23" s="170"/>
      <c r="AD23" s="53"/>
      <c r="AE23" s="53"/>
    </row>
    <row r="24" ht="22.5" customHeight="1">
      <c r="A24" s="53"/>
      <c r="B24" s="183" t="str">
        <f>IFERROR(__xludf.DUMMYFUNCTION("""COMPUTED_VALUE"""),"2606A179
Jessica
082316352135
Instagram")</f>
        <v>2606A179
Jessica
082316352135
Instagram</v>
      </c>
      <c r="C24" s="176" t="str">
        <f>IFERROR(__xludf.DUMMYFUNCTION("""COMPUTED_VALUE"""),"
 pax
Rp0")</f>
        <v>
 pax
Rp0</v>
      </c>
      <c r="D24" s="177"/>
      <c r="E24" s="183"/>
      <c r="F24" s="53"/>
      <c r="G24" s="183" t="str">
        <f>IFERROR(__xludf.DUMMYFUNCTION("""COMPUTED_VALUE"""),"2604A091
Dhisty
081283753989
Instagram")</f>
        <v>2604A091
Dhisty
081283753989
Instagram</v>
      </c>
      <c r="H24" s="183" t="str">
        <f>IFERROR(__xludf.DUMMYFUNCTION("""COMPUTED_VALUE"""),"OT M T
46158
5 pax
Rp1.475.000")</f>
        <v>OT M T
46158
5 pax
Rp1.475.000</v>
      </c>
      <c r="I24" s="184"/>
      <c r="J24" s="178" t="str">
        <f>IFERROR(__xludf.DUMMYFUNCTION("""COMPUTED_VALUE"""),"https://docs.google.com/document/d/1L9HSPspX9R4zKi8QK1MZuYY0iQp2DRH5GFRrvjkeOLs/edit?usp=sharing")</f>
        <v>https://docs.google.com/document/d/1L9HSPspX9R4zKi8QK1MZuYY0iQp2DRH5GFRrvjkeOLs/edit?usp=sharing</v>
      </c>
      <c r="K24" s="53"/>
      <c r="L24" s="53"/>
      <c r="M24" s="53"/>
      <c r="N24" s="171"/>
      <c r="O24" s="170"/>
      <c r="P24" s="53"/>
      <c r="Q24" s="53"/>
      <c r="R24" s="53"/>
      <c r="S24" s="171"/>
      <c r="T24" s="170"/>
      <c r="U24" s="53"/>
      <c r="V24" s="53"/>
      <c r="W24" s="53"/>
      <c r="X24" s="171"/>
      <c r="Y24" s="170"/>
      <c r="Z24" s="170"/>
      <c r="AA24" s="170"/>
      <c r="AB24" s="170"/>
      <c r="AC24" s="170"/>
      <c r="AD24" s="53"/>
      <c r="AE24" s="53"/>
    </row>
    <row r="25" ht="22.5" customHeight="1">
      <c r="A25" s="53"/>
      <c r="B25" s="183" t="str">
        <f>IFERROR(__xludf.DUMMYFUNCTION("""COMPUTED_VALUE"""),"2606A180
Waaa
082223083995
Instagram")</f>
        <v>2606A180
Waaa
082223083995
Instagram</v>
      </c>
      <c r="C25" s="176" t="str">
        <f>IFERROR(__xludf.DUMMYFUNCTION("""COMPUTED_VALUE"""),"
 pax
Rp0")</f>
        <v>
 pax
Rp0</v>
      </c>
      <c r="D25" s="177"/>
      <c r="E25" s="183"/>
      <c r="F25" s="53"/>
      <c r="G25" s="183" t="str">
        <f>IFERROR(__xludf.DUMMYFUNCTION("""COMPUTED_VALUE"""),"2604A092
Abednego
081284386772
Website")</f>
        <v>2604A092
Abednego
081284386772
Website</v>
      </c>
      <c r="H25" s="183" t="str">
        <f>IFERROR(__xludf.DUMMYFUNCTION("""COMPUTED_VALUE"""),"2H1M custom
46170
3 pax
Rp5.985.000")</f>
        <v>2H1M custom
46170
3 pax
Rp5.985.000</v>
      </c>
      <c r="I25" s="184" t="str">
        <f>IFERROR(__xludf.DUMMYFUNCTION("""COMPUTED_VALUE"""),"masih sounding ke klg")</f>
        <v>masih sounding ke klg</v>
      </c>
      <c r="J25" s="178" t="str">
        <f>IFERROR(__xludf.DUMMYFUNCTION("""COMPUTED_VALUE"""),"https://docs.google.com/document/d/1vteeac6aA8eiuiUJ8iHe6n1MzFrmrTpdV2sh0idIupY/edit?usp=sharing")</f>
        <v>https://docs.google.com/document/d/1vteeac6aA8eiuiUJ8iHe6n1MzFrmrTpdV2sh0idIupY/edit?usp=sharing</v>
      </c>
      <c r="K25" s="53"/>
      <c r="L25" s="53"/>
      <c r="M25" s="53"/>
      <c r="N25" s="171"/>
      <c r="O25" s="170"/>
      <c r="P25" s="53"/>
      <c r="Q25" s="53"/>
      <c r="R25" s="53"/>
      <c r="S25" s="171"/>
      <c r="T25" s="170"/>
      <c r="U25" s="53"/>
      <c r="V25" s="53"/>
      <c r="W25" s="53"/>
      <c r="X25" s="171"/>
      <c r="Y25" s="170"/>
      <c r="Z25" s="170"/>
      <c r="AA25" s="170"/>
      <c r="AB25" s="170"/>
      <c r="AC25" s="170"/>
      <c r="AD25" s="53"/>
      <c r="AE25" s="53"/>
    </row>
    <row r="26" ht="22.5" customHeight="1">
      <c r="A26" s="53"/>
      <c r="B26" s="183" t="str">
        <f>IFERROR(__xludf.DUMMYFUNCTION("""COMPUTED_VALUE"""),"2606A181
AH
089669687979
Instagram")</f>
        <v>2606A181
AH
089669687979
Instagram</v>
      </c>
      <c r="C26" s="176" t="str">
        <f>IFERROR(__xludf.DUMMYFUNCTION("""COMPUTED_VALUE"""),"2H1M
 pax
Rp0")</f>
        <v>2H1M
 pax
Rp0</v>
      </c>
      <c r="D26" s="177"/>
      <c r="E26" s="183"/>
      <c r="F26" s="53"/>
      <c r="G26" s="183" t="str">
        <f>IFERROR(__xludf.DUMMYFUNCTION("""COMPUTED_VALUE"""),"2604A093
Daryanto
081910237755
Website")</f>
        <v>2604A093
Daryanto
081910237755
Website</v>
      </c>
      <c r="H26" s="183" t="str">
        <f>IFERROR(__xludf.DUMMYFUNCTION("""COMPUTED_VALUE"""),"3H2M 
2 pax
Rp4.500.000")</f>
        <v>3H2M 
2 pax
Rp4.500.000</v>
      </c>
      <c r="I26" s="184"/>
      <c r="J26" s="178" t="str">
        <f>IFERROR(__xludf.DUMMYFUNCTION("""COMPUTED_VALUE"""),"https://docs.google.com/document/d/1cXkin868abmMBNGqgxRbfwpBvp__EyksqLQ9mPJaLxA/edit?usp=sharing")</f>
        <v>https://docs.google.com/document/d/1cXkin868abmMBNGqgxRbfwpBvp__EyksqLQ9mPJaLxA/edit?usp=sharing</v>
      </c>
      <c r="K26" s="53"/>
      <c r="L26" s="53"/>
      <c r="M26" s="53"/>
      <c r="N26" s="171"/>
      <c r="O26" s="170"/>
      <c r="P26" s="53"/>
      <c r="Q26" s="53"/>
      <c r="R26" s="53"/>
      <c r="S26" s="171"/>
      <c r="T26" s="170"/>
      <c r="U26" s="53"/>
      <c r="V26" s="53"/>
      <c r="W26" s="53"/>
      <c r="X26" s="171"/>
      <c r="Y26" s="170"/>
      <c r="Z26" s="170"/>
      <c r="AA26" s="170"/>
      <c r="AB26" s="170"/>
      <c r="AC26" s="170"/>
      <c r="AD26" s="53"/>
      <c r="AE26" s="53"/>
    </row>
    <row r="27" ht="22.5" customHeight="1">
      <c r="A27" s="53"/>
      <c r="B27" s="183" t="str">
        <f>IFERROR(__xludf.DUMMYFUNCTION("""COMPUTED_VALUE"""),"2606A182
Irmayani
082218341333
Instagram")</f>
        <v>2606A182
Irmayani
082218341333
Instagram</v>
      </c>
      <c r="C27" s="176" t="str">
        <f>IFERROR(__xludf.DUMMYFUNCTION("""COMPUTED_VALUE"""),"green island, tabuhan, menjangan
 pax
Rp0")</f>
        <v>green island, tabuhan, menjangan
 pax
Rp0</v>
      </c>
      <c r="D27" s="177"/>
      <c r="E27" s="183"/>
      <c r="F27" s="53"/>
      <c r="G27" s="183" t="str">
        <f>IFERROR(__xludf.DUMMYFUNCTION("""COMPUTED_VALUE"""),"2604A099
Tazkia
081585349602
Lainnya")</f>
        <v>2604A099
Tazkia
081585349602
Lainnya</v>
      </c>
      <c r="H27" s="183" t="str">
        <f>IFERROR(__xludf.DUMMYFUNCTION("""COMPUTED_VALUE"""),"2H1M B
5 pax
Rp4.430.000")</f>
        <v>2H1M B
5 pax
Rp4.430.000</v>
      </c>
      <c r="I27" s="184" t="str">
        <f>IFERROR(__xludf.DUMMYFUNCTION("""COMPUTED_VALUE"""),"masih diskusi")</f>
        <v>masih diskusi</v>
      </c>
      <c r="J27" s="178" t="str">
        <f>IFERROR(__xludf.DUMMYFUNCTION("""COMPUTED_VALUE"""),"https://docs.google.com/document/d/14l3RtkaGRNNZ_I7ulRJYn7dDOhlXgk4hre3-ij3lRbQ/edit?usp=sharing")</f>
        <v>https://docs.google.com/document/d/14l3RtkaGRNNZ_I7ulRJYn7dDOhlXgk4hre3-ij3lRbQ/edit?usp=sharing</v>
      </c>
      <c r="K27" s="53"/>
      <c r="L27" s="53"/>
      <c r="M27" s="53"/>
      <c r="N27" s="171"/>
      <c r="O27" s="170"/>
      <c r="P27" s="53"/>
      <c r="Q27" s="53"/>
      <c r="R27" s="53"/>
      <c r="S27" s="171"/>
      <c r="T27" s="170"/>
      <c r="U27" s="53"/>
      <c r="V27" s="53"/>
      <c r="W27" s="53"/>
      <c r="X27" s="171"/>
      <c r="Y27" s="170"/>
      <c r="Z27" s="170"/>
      <c r="AA27" s="170"/>
      <c r="AB27" s="170"/>
      <c r="AC27" s="170"/>
      <c r="AD27" s="53"/>
      <c r="AE27" s="53"/>
    </row>
    <row r="28" ht="22.5" customHeight="1">
      <c r="A28" s="53"/>
      <c r="B28" s="183" t="str">
        <f>IFERROR(__xludf.DUMMYFUNCTION("""COMPUTED_VALUE"""),"2606A183
Rosmalia
08158102702
Instagram")</f>
        <v>2606A183
Rosmalia
08158102702
Instagram</v>
      </c>
      <c r="C28" s="176" t="str">
        <f>IFERROR(__xludf.DUMMYFUNCTION("""COMPUTED_VALUE"""),"ot 3h2m
 pax
Rp0")</f>
        <v>ot 3h2m
 pax
Rp0</v>
      </c>
      <c r="D28" s="177"/>
      <c r="E28" s="183"/>
      <c r="F28" s="53"/>
      <c r="G28" s="183" t="str">
        <f>IFERROR(__xludf.DUMMYFUNCTION("""COMPUTED_VALUE"""),"2604A103
Adela
082134085922
Website")</f>
        <v>2604A103
Adela
082134085922
Website</v>
      </c>
      <c r="H28" s="183" t="str">
        <f>IFERROR(__xludf.DUMMYFUNCTION("""COMPUTED_VALUE"""),"3H2M A
2 pax
Rp6.128.000")</f>
        <v>3H2M A
2 pax
Rp6.128.000</v>
      </c>
      <c r="I28" s="184" t="str">
        <f>IFERROR(__xludf.DUMMYFUNCTION("""COMPUTED_VALUE"""),"buat penawaran")</f>
        <v>buat penawaran</v>
      </c>
      <c r="J28" s="178" t="str">
        <f>IFERROR(__xludf.DUMMYFUNCTION("""COMPUTED_VALUE"""),"https://docs.google.com/document/d/1SKPH9CgKJRwvJtRhzpxB_dS6MlzgksszSCgZPThJZQk/edit?usp=sharing")</f>
        <v>https://docs.google.com/document/d/1SKPH9CgKJRwvJtRhzpxB_dS6MlzgksszSCgZPThJZQk/edit?usp=sharing</v>
      </c>
      <c r="K28" s="53"/>
      <c r="L28" s="53"/>
      <c r="M28" s="53"/>
      <c r="N28" s="171"/>
      <c r="O28" s="170"/>
      <c r="P28" s="53"/>
      <c r="Q28" s="53"/>
      <c r="R28" s="53"/>
      <c r="S28" s="171"/>
      <c r="T28" s="170"/>
      <c r="U28" s="53"/>
      <c r="V28" s="53"/>
      <c r="W28" s="53"/>
      <c r="X28" s="171"/>
      <c r="Y28" s="170"/>
      <c r="Z28" s="170"/>
      <c r="AA28" s="170"/>
      <c r="AB28" s="170"/>
      <c r="AC28" s="170"/>
      <c r="AD28" s="53"/>
      <c r="AE28" s="53"/>
    </row>
    <row r="29" ht="22.5" customHeight="1">
      <c r="A29" s="53"/>
      <c r="B29" s="183" t="str">
        <f>IFERROR(__xludf.DUMMYFUNCTION("""COMPUTED_VALUE"""),"2606A184
Ruth Velani
08121582928
Instagram")</f>
        <v>2606A184
Ruth Velani
08121582928
Instagram</v>
      </c>
      <c r="C29" s="176" t="str">
        <f>IFERROR(__xludf.DUMMYFUNCTION("""COMPUTED_VALUE"""),"2h1m
 pax
Rp0")</f>
        <v>2h1m
 pax
Rp0</v>
      </c>
      <c r="D29" s="177"/>
      <c r="E29" s="183"/>
      <c r="F29" s="53"/>
      <c r="G29" s="183" t="str">
        <f>IFERROR(__xludf.DUMMYFUNCTION("""COMPUTED_VALUE"""),"2604A104
Wati
081291435110
Website")</f>
        <v>2604A104
Wati
081291435110
Website</v>
      </c>
      <c r="H29" s="183" t="str">
        <f>IFERROR(__xludf.DUMMYFUNCTION("""COMPUTED_VALUE"""),"2h1m
46324
12 pax
Rp11.700.000")</f>
        <v>2h1m
46324
12 pax
Rp11.700.000</v>
      </c>
      <c r="I29" s="184" t="str">
        <f>IFERROR(__xludf.DUMMYFUNCTION("""COMPUTED_VALUE"""),"buat penawaran")</f>
        <v>buat penawaran</v>
      </c>
      <c r="J29" s="178" t="str">
        <f>IFERROR(__xludf.DUMMYFUNCTION("""COMPUTED_VALUE"""),"https://docs.google.com/document/d/1-OPncysgZtsXtKEyiniZ2gSmzQDiG_DgZ38ohiQ24kM/edit?usp=sharing")</f>
        <v>https://docs.google.com/document/d/1-OPncysgZtsXtKEyiniZ2gSmzQDiG_DgZ38ohiQ24kM/edit?usp=sharing</v>
      </c>
      <c r="K29" s="53"/>
      <c r="L29" s="53"/>
      <c r="M29" s="53"/>
      <c r="N29" s="171"/>
      <c r="O29" s="170"/>
      <c r="P29" s="53"/>
      <c r="Q29" s="53"/>
      <c r="R29" s="53"/>
      <c r="S29" s="171"/>
      <c r="T29" s="170"/>
      <c r="U29" s="53"/>
      <c r="V29" s="53"/>
      <c r="W29" s="53"/>
      <c r="X29" s="171"/>
      <c r="Y29" s="170"/>
      <c r="Z29" s="170"/>
      <c r="AA29" s="170"/>
      <c r="AB29" s="170"/>
      <c r="AC29" s="170"/>
      <c r="AD29" s="53"/>
      <c r="AE29" s="53"/>
    </row>
    <row r="30" ht="22.5" customHeight="1">
      <c r="A30" s="53"/>
      <c r="B30" s="183" t="str">
        <f>IFERROR(__xludf.DUMMYFUNCTION("""COMPUTED_VALUE"""),"2606A185
Oktii Sahwati
082314162612
Instagram")</f>
        <v>2606A185
Oktii Sahwati
082314162612
Instagram</v>
      </c>
      <c r="C30" s="176" t="str">
        <f>IFERROR(__xludf.DUMMYFUNCTION("""COMPUTED_VALUE"""),"ot mt
 pax
Rp0")</f>
        <v>ot mt
 pax
Rp0</v>
      </c>
      <c r="D30" s="177"/>
      <c r="E30" s="183"/>
      <c r="F30" s="53"/>
      <c r="G30" s="183" t="str">
        <f>IFERROR(__xludf.DUMMYFUNCTION("""COMPUTED_VALUE"""),"2604A106
Velin
081215488294
Instagram")</f>
        <v>2604A106
Velin
081215488294
Instagram</v>
      </c>
      <c r="H30" s="183" t="str">
        <f>IFERROR(__xludf.DUMMYFUNCTION("""COMPUTED_VALUE"""),"3H2M
2 pax
Rp6.920.000")</f>
        <v>3H2M
2 pax
Rp6.920.000</v>
      </c>
      <c r="I30" s="184" t="str">
        <f>IFERROR(__xludf.DUMMYFUNCTION("""COMPUTED_VALUE"""),"buat penawaran")</f>
        <v>buat penawaran</v>
      </c>
      <c r="J30" s="178" t="str">
        <f>IFERROR(__xludf.DUMMYFUNCTION("""COMPUTED_VALUE"""),"https://docs.google.com/document/d/1FYLPBZh9jqZeJJiQgqAdfOq1nQPZSFqldtD-swYXk0s/edit?usp=sharing")</f>
        <v>https://docs.google.com/document/d/1FYLPBZh9jqZeJJiQgqAdfOq1nQPZSFqldtD-swYXk0s/edit?usp=sharing</v>
      </c>
      <c r="K30" s="53"/>
      <c r="L30" s="53"/>
      <c r="M30" s="53"/>
      <c r="N30" s="171"/>
      <c r="O30" s="170"/>
      <c r="P30" s="53"/>
      <c r="Q30" s="53"/>
      <c r="R30" s="53"/>
      <c r="S30" s="171"/>
      <c r="T30" s="170"/>
      <c r="U30" s="53"/>
      <c r="V30" s="53"/>
      <c r="W30" s="53"/>
      <c r="X30" s="171"/>
      <c r="Y30" s="170"/>
      <c r="Z30" s="170"/>
      <c r="AA30" s="170"/>
      <c r="AB30" s="170"/>
      <c r="AC30" s="170"/>
      <c r="AD30" s="53"/>
      <c r="AE30" s="53"/>
    </row>
    <row r="31" ht="22.5" customHeight="1">
      <c r="A31" s="53"/>
      <c r="B31" s="183" t="str">
        <f>IFERROR(__xludf.DUMMYFUNCTION("""COMPUTED_VALUE"""),"2606A186
Arief Cahyadi
081381620825
Instagram")</f>
        <v>2606A186
Arief Cahyadi
081381620825
Instagram</v>
      </c>
      <c r="C31" s="176" t="str">
        <f>IFERROR(__xludf.DUMMYFUNCTION("""COMPUTED_VALUE"""),"
 pax
Rp0")</f>
        <v>
 pax
Rp0</v>
      </c>
      <c r="D31" s="177"/>
      <c r="E31" s="183"/>
      <c r="F31" s="53"/>
      <c r="G31" s="183" t="str">
        <f>IFERROR(__xludf.DUMMYFUNCTION("""COMPUTED_VALUE"""),"2604A110
Sylvi
0811324349
Website")</f>
        <v>2604A110
Sylvi
0811324349
Website</v>
      </c>
      <c r="H31" s="183" t="str">
        <f>IFERROR(__xludf.DUMMYFUNCTION("""COMPUTED_VALUE"""),"trip 1D AP, D, PM
46157
2 pax
Rp1.768.000")</f>
        <v>trip 1D AP, D, PM
46157
2 pax
Rp1.768.000</v>
      </c>
      <c r="I31" s="184" t="str">
        <f>IFERROR(__xludf.DUMMYFUNCTION("""COMPUTED_VALUE"""),"reschadule, masih opname")</f>
        <v>reschadule, masih opname</v>
      </c>
      <c r="J31" s="178" t="str">
        <f>IFERROR(__xludf.DUMMYFUNCTION("""COMPUTED_VALUE"""),"https://docs.google.com/document/d/12LmUlhImDvJNn0V1MKO4HEy6bRM_N22I7irWYQHppRQ/edit?usp=sharing")</f>
        <v>https://docs.google.com/document/d/12LmUlhImDvJNn0V1MKO4HEy6bRM_N22I7irWYQHppRQ/edit?usp=sharing</v>
      </c>
      <c r="K31" s="53"/>
      <c r="L31" s="53"/>
      <c r="M31" s="53"/>
      <c r="N31" s="171"/>
      <c r="O31" s="170"/>
      <c r="P31" s="53"/>
      <c r="Q31" s="53"/>
      <c r="R31" s="53"/>
      <c r="S31" s="171"/>
      <c r="T31" s="170"/>
      <c r="U31" s="53"/>
      <c r="V31" s="53"/>
      <c r="W31" s="53"/>
      <c r="X31" s="171"/>
      <c r="Y31" s="170"/>
      <c r="Z31" s="170"/>
      <c r="AA31" s="170"/>
      <c r="AB31" s="170"/>
      <c r="AC31" s="170"/>
      <c r="AD31" s="53"/>
      <c r="AE31" s="53"/>
    </row>
    <row r="32" ht="22.5" customHeight="1">
      <c r="A32" s="53"/>
      <c r="B32" s="183" t="str">
        <f>IFERROR(__xludf.DUMMYFUNCTION("""COMPUTED_VALUE"""),"2606A187
Maurilla S Imron
31616653777
Instagram")</f>
        <v>2606A187
Maurilla S Imron
31616653777
Instagram</v>
      </c>
      <c r="C32" s="176" t="str">
        <f>IFERROR(__xludf.DUMMYFUNCTION("""COMPUTED_VALUE"""),"trip green island
 pax
Rp0")</f>
        <v>trip green island
 pax
Rp0</v>
      </c>
      <c r="D32" s="177"/>
      <c r="E32" s="183"/>
      <c r="F32" s="53"/>
      <c r="G32" s="183" t="str">
        <f>IFERROR(__xludf.DUMMYFUNCTION("""COMPUTED_VALUE"""),"2604A112
Bu Minar
081310320316
Website")</f>
        <v>2604A112
Bu Minar
081310320316
Website</v>
      </c>
      <c r="H32" s="183" t="str">
        <f>IFERROR(__xludf.DUMMYFUNCTION("""COMPUTED_VALUE"""),"4H3M
4 pax
Rp8.460.000")</f>
        <v>4H3M
4 pax
Rp8.460.000</v>
      </c>
      <c r="I32" s="184" t="str">
        <f>IFERROR(__xludf.DUMMYFUNCTION("""COMPUTED_VALUE"""),"Reschadule juli. FU pertengahan juni")</f>
        <v>Reschadule juli. FU pertengahan juni</v>
      </c>
      <c r="J32" s="178" t="str">
        <f>IFERROR(__xludf.DUMMYFUNCTION("""COMPUTED_VALUE"""),"https://docs.google.com/document/d/1AEURLeT-OST2QAG-jZMSk3SeOSMAZYVFkJ2p4yrSbkw/edit?usp=sharing")</f>
        <v>https://docs.google.com/document/d/1AEURLeT-OST2QAG-jZMSk3SeOSMAZYVFkJ2p4yrSbkw/edit?usp=sharing</v>
      </c>
      <c r="K32" s="53"/>
      <c r="L32" s="53"/>
      <c r="M32" s="53"/>
      <c r="N32" s="171"/>
      <c r="O32" s="170"/>
      <c r="P32" s="53"/>
      <c r="Q32" s="53"/>
      <c r="R32" s="53"/>
      <c r="S32" s="171"/>
      <c r="T32" s="170"/>
      <c r="U32" s="53"/>
      <c r="V32" s="53"/>
      <c r="W32" s="53"/>
      <c r="X32" s="171"/>
      <c r="Y32" s="170"/>
      <c r="Z32" s="170"/>
      <c r="AA32" s="170"/>
      <c r="AB32" s="170"/>
      <c r="AC32" s="170"/>
      <c r="AD32" s="53"/>
      <c r="AE32" s="53"/>
    </row>
    <row r="33" ht="22.5" customHeight="1">
      <c r="A33" s="53"/>
      <c r="B33" s="183" t="str">
        <f>IFERROR(__xludf.DUMMYFUNCTION("""COMPUTED_VALUE"""),"2606A188
Defi
081369148426
Instagram")</f>
        <v>2606A188
Defi
081369148426
Instagram</v>
      </c>
      <c r="C33" s="176" t="str">
        <f>IFERROR(__xludf.DUMMYFUNCTION("""COMPUTED_VALUE"""),"ot 3h2m
2 pax
Rp0")</f>
        <v>ot 3h2m
2 pax
Rp0</v>
      </c>
      <c r="D33" s="177"/>
      <c r="E33" s="183"/>
      <c r="F33" s="53"/>
      <c r="G33" s="183" t="str">
        <f>IFERROR(__xludf.DUMMYFUNCTION("""COMPUTED_VALUE"""),"2604A119
Bambang
08112484200
Website")</f>
        <v>2604A119
Bambang
08112484200
Website</v>
      </c>
      <c r="H33" s="183" t="str">
        <f>IFERROR(__xludf.DUMMYFUNCTION("""COMPUTED_VALUE"""),"3H2M A/B
30 pax
Rp44.400.000")</f>
        <v>3H2M A/B
30 pax
Rp44.400.000</v>
      </c>
      <c r="I33" s="184" t="str">
        <f>IFERROR(__xludf.DUMMYFUNCTION("""COMPUTED_VALUE"""),"FU1 juni")</f>
        <v>FU1 juni</v>
      </c>
      <c r="J33" s="183"/>
      <c r="K33" s="53"/>
      <c r="L33" s="53"/>
      <c r="M33" s="53"/>
      <c r="N33" s="171"/>
      <c r="O33" s="170"/>
      <c r="P33" s="53"/>
      <c r="Q33" s="53"/>
      <c r="R33" s="53"/>
      <c r="S33" s="171"/>
      <c r="T33" s="170"/>
      <c r="U33" s="53"/>
      <c r="V33" s="53"/>
      <c r="W33" s="53"/>
      <c r="X33" s="171"/>
      <c r="Y33" s="170"/>
      <c r="Z33" s="170"/>
      <c r="AA33" s="170"/>
      <c r="AB33" s="170"/>
      <c r="AC33" s="170"/>
      <c r="AD33" s="53"/>
      <c r="AE33" s="53"/>
    </row>
    <row r="34" ht="22.5" customHeight="1">
      <c r="A34" s="53"/>
      <c r="B34" s="183" t="str">
        <f>IFERROR(__xludf.DUMMYFUNCTION("""COMPUTED_VALUE"""),"2606A191
Nicolas Viondra
087841507976
Lainnya")</f>
        <v>2606A191
Nicolas Viondra
087841507976
Lainnya</v>
      </c>
      <c r="C34" s="176" t="str">
        <f>IFERROR(__xludf.DUMMYFUNCTION("""COMPUTED_VALUE"""),"kawah wurung
 pax
Rp0")</f>
        <v>kawah wurung
 pax
Rp0</v>
      </c>
      <c r="D34" s="177"/>
      <c r="E34" s="183"/>
      <c r="F34" s="53"/>
      <c r="G34" s="183" t="str">
        <f>IFERROR(__xludf.DUMMYFUNCTION("""COMPUTED_VALUE"""),"2605A001
Henda
081290016726
Website")</f>
        <v>2605A001
Henda
081290016726
Website</v>
      </c>
      <c r="H34" s="183" t="str">
        <f>IFERROR(__xludf.DUMMYFUNCTION("""COMPUTED_VALUE"""),"OT 3H2M
3 pax
Rp4.800.000")</f>
        <v>OT 3H2M
3 pax
Rp4.800.000</v>
      </c>
      <c r="I34" s="184" t="str">
        <f>IFERROR(__xludf.DUMMYFUNCTION("""COMPUTED_VALUE"""),"FU 20 Juni")</f>
        <v>FU 20 Juni</v>
      </c>
      <c r="J34" s="183"/>
      <c r="K34" s="53"/>
      <c r="L34" s="53"/>
      <c r="M34" s="53"/>
      <c r="N34" s="171"/>
      <c r="O34" s="170"/>
      <c r="P34" s="53"/>
      <c r="Q34" s="53"/>
      <c r="R34" s="53"/>
      <c r="S34" s="171"/>
      <c r="T34" s="170"/>
      <c r="U34" s="53"/>
      <c r="V34" s="53"/>
      <c r="W34" s="53"/>
      <c r="X34" s="171"/>
      <c r="Y34" s="170"/>
      <c r="Z34" s="170"/>
      <c r="AA34" s="170"/>
      <c r="AB34" s="170"/>
      <c r="AC34" s="170"/>
      <c r="AD34" s="53"/>
      <c r="AE34" s="53"/>
    </row>
    <row r="35" ht="22.5" customHeight="1">
      <c r="A35" s="53"/>
      <c r="B35" s="183" t="str">
        <f>IFERROR(__xludf.DUMMYFUNCTION("""COMPUTED_VALUE"""),"2606A192
Tania
081246383680
Instagram")</f>
        <v>2606A192
Tania
081246383680
Instagram</v>
      </c>
      <c r="C35" s="176" t="str">
        <f>IFERROR(__xludf.DUMMYFUNCTION("""COMPUTED_VALUE"""),"kawah ijen, baluran
 pax
Rp0")</f>
        <v>kawah ijen, baluran
 pax
Rp0</v>
      </c>
      <c r="D35" s="177"/>
      <c r="E35" s="183"/>
      <c r="F35" s="53"/>
      <c r="G35" s="183" t="str">
        <f>IFERROR(__xludf.DUMMYFUNCTION("""COMPUTED_VALUE"""),"2605A007
Rahayoe
081269731661
Website")</f>
        <v>2605A007
Rahayoe
081269731661
Website</v>
      </c>
      <c r="H35" s="183" t="str">
        <f>IFERROR(__xludf.DUMMYFUNCTION("""COMPUTED_VALUE"""),"3H2M
5 pax
Rp0")</f>
        <v>3H2M
5 pax
Rp0</v>
      </c>
      <c r="I35" s="184" t="str">
        <f>IFERROR(__xludf.DUMMYFUNCTION("""COMPUTED_VALUE"""),"fu 28 mei")</f>
        <v>fu 28 mei</v>
      </c>
      <c r="J35" s="183"/>
      <c r="K35" s="53"/>
      <c r="L35" s="53"/>
      <c r="M35" s="53"/>
      <c r="N35" s="171"/>
      <c r="O35" s="170"/>
      <c r="P35" s="53"/>
      <c r="Q35" s="53"/>
      <c r="R35" s="53"/>
      <c r="S35" s="171"/>
      <c r="T35" s="170"/>
      <c r="U35" s="53"/>
      <c r="V35" s="53"/>
      <c r="W35" s="53"/>
      <c r="X35" s="171"/>
      <c r="Y35" s="170"/>
      <c r="Z35" s="170"/>
      <c r="AA35" s="170"/>
      <c r="AB35" s="170"/>
      <c r="AC35" s="170"/>
      <c r="AD35" s="53"/>
      <c r="AE35" s="53"/>
    </row>
    <row r="36" ht="22.5" customHeight="1">
      <c r="A36" s="53"/>
      <c r="B36" s="183" t="str">
        <f>IFERROR(__xludf.DUMMYFUNCTION("""COMPUTED_VALUE"""),"2607A001
Kurnia
08995212646
Instagram")</f>
        <v>2607A001
Kurnia
08995212646
Instagram</v>
      </c>
      <c r="C36" s="176" t="str">
        <f>IFERROR(__xludf.DUMMYFUNCTION("""COMPUTED_VALUE"""),"ot menjangan tabuhan
 pax
Rp0")</f>
        <v>ot menjangan tabuhan
 pax
Rp0</v>
      </c>
      <c r="D36" s="177"/>
      <c r="E36" s="183"/>
      <c r="F36" s="53"/>
      <c r="G36" s="183" t="str">
        <f>IFERROR(__xludf.DUMMYFUNCTION("""COMPUTED_VALUE"""),"2605A009
Ameena
082334704822
Instagram")</f>
        <v>2605A009
Ameena
082334704822
Instagram</v>
      </c>
      <c r="H36" s="183" t="str">
        <f>IFERROR(__xludf.DUMMYFUNCTION("""COMPUTED_VALUE"""),"Trip T
4 pax
Rp2.000.000")</f>
        <v>Trip T
4 pax
Rp2.000.000</v>
      </c>
      <c r="I36" s="184" t="str">
        <f>IFERROR(__xludf.DUMMYFUNCTION("""COMPUTED_VALUE"""),"masih komfir ke temannnya")</f>
        <v>masih komfir ke temannnya</v>
      </c>
      <c r="J36" s="183"/>
      <c r="K36" s="53"/>
      <c r="L36" s="53"/>
      <c r="M36" s="53"/>
      <c r="N36" s="171"/>
      <c r="O36" s="170"/>
      <c r="P36" s="53"/>
      <c r="Q36" s="53"/>
      <c r="R36" s="53"/>
      <c r="S36" s="171"/>
      <c r="T36" s="170"/>
      <c r="U36" s="53"/>
      <c r="V36" s="53"/>
      <c r="W36" s="53"/>
      <c r="X36" s="171"/>
      <c r="Y36" s="170"/>
      <c r="Z36" s="170"/>
      <c r="AA36" s="170"/>
      <c r="AB36" s="170"/>
      <c r="AC36" s="170"/>
      <c r="AD36" s="53"/>
      <c r="AE36" s="53"/>
    </row>
    <row r="37" ht="22.5" customHeight="1">
      <c r="A37" s="53"/>
      <c r="B37" s="183" t="str">
        <f>IFERROR(__xludf.DUMMYFUNCTION("""COMPUTED_VALUE"""),"2607A002
Ryo
081285321367
Website")</f>
        <v>2607A002
Ryo
081285321367
Website</v>
      </c>
      <c r="C37" s="176" t="str">
        <f>IFERROR(__xludf.DUMMYFUNCTION("""COMPUTED_VALUE"""),"ot 3h2m
 pax
Rp0")</f>
        <v>ot 3h2m
 pax
Rp0</v>
      </c>
      <c r="D37" s="177"/>
      <c r="E37" s="183"/>
      <c r="F37" s="53"/>
      <c r="G37" s="183" t="str">
        <f>IFERROR(__xludf.DUMMYFUNCTION("""COMPUTED_VALUE"""),"2605A016
Adi
081234584744‬
Instagram")</f>
        <v>2605A016
Adi
081234584744‬
Instagram</v>
      </c>
      <c r="H37" s="183" t="str">
        <f>IFERROR(__xludf.DUMMYFUNCTION("""COMPUTED_VALUE"""),"2H1M Custom
3 pax
Rp2.970.000")</f>
        <v>2H1M Custom
3 pax
Rp2.970.000</v>
      </c>
      <c r="I37" s="184" t="str">
        <f>IFERROR(__xludf.DUMMYFUNCTION("""COMPUTED_VALUE"""),"masih dipertimbangkan")</f>
        <v>masih dipertimbangkan</v>
      </c>
      <c r="J37" s="183"/>
      <c r="K37" s="53"/>
      <c r="L37" s="53"/>
      <c r="M37" s="53"/>
      <c r="N37" s="171"/>
      <c r="O37" s="170"/>
      <c r="P37" s="53"/>
      <c r="Q37" s="53"/>
      <c r="R37" s="53"/>
      <c r="S37" s="171"/>
      <c r="T37" s="170"/>
      <c r="U37" s="53"/>
      <c r="V37" s="53"/>
      <c r="W37" s="53"/>
      <c r="X37" s="171"/>
      <c r="Y37" s="170"/>
      <c r="Z37" s="170"/>
      <c r="AA37" s="170"/>
      <c r="AB37" s="170"/>
      <c r="AC37" s="170"/>
      <c r="AD37" s="53"/>
      <c r="AE37" s="53"/>
    </row>
    <row r="38" ht="22.5" customHeight="1">
      <c r="A38" s="53"/>
      <c r="B38" s="183" t="str">
        <f>IFERROR(__xludf.DUMMYFUNCTION("""COMPUTED_VALUE"""),"2607A003
Azwa
085100655098
Website")</f>
        <v>2607A003
Azwa
085100655098
Website</v>
      </c>
      <c r="C38" s="176" t="str">
        <f>IFERROR(__xludf.DUMMYFUNCTION("""COMPUTED_VALUE"""),"
 pax
Rp0")</f>
        <v>
 pax
Rp0</v>
      </c>
      <c r="D38" s="177"/>
      <c r="E38" s="183"/>
      <c r="F38" s="53"/>
      <c r="G38" s="183" t="str">
        <f>IFERROR(__xludf.DUMMYFUNCTION("""COMPUTED_VALUE"""),"2605A020
Elok
082295407134‬
Instagram")</f>
        <v>2605A020
Elok
082295407134‬
Instagram</v>
      </c>
      <c r="H38" s="183" t="str">
        <f>IFERROR(__xludf.DUMMYFUNCTION("""COMPUTED_VALUE"""),"2H1M / 3H2M
2 pax
Rp7.200.000")</f>
        <v>2H1M / 3H2M
2 pax
Rp7.200.000</v>
      </c>
      <c r="I38" s="184" t="str">
        <f>IFERROR(__xludf.DUMMYFUNCTION("""COMPUTED_VALUE"""),"FU 7 Mei")</f>
        <v>FU 7 Mei</v>
      </c>
      <c r="J38" s="183"/>
      <c r="K38" s="53"/>
      <c r="L38" s="53"/>
      <c r="M38" s="53"/>
      <c r="N38" s="171"/>
      <c r="O38" s="170"/>
      <c r="P38" s="53"/>
      <c r="Q38" s="53"/>
      <c r="R38" s="53"/>
      <c r="S38" s="171"/>
      <c r="T38" s="170"/>
      <c r="U38" s="53"/>
      <c r="V38" s="53"/>
      <c r="W38" s="53"/>
      <c r="X38" s="171"/>
      <c r="Y38" s="170"/>
      <c r="Z38" s="170"/>
      <c r="AA38" s="170"/>
      <c r="AB38" s="170"/>
      <c r="AC38" s="170"/>
      <c r="AD38" s="53"/>
      <c r="AE38" s="53"/>
    </row>
    <row r="39" ht="22.5" customHeight="1">
      <c r="A39" s="53"/>
      <c r="B39" s="183" t="str">
        <f>IFERROR(__xludf.DUMMYFUNCTION("""COMPUTED_VALUE"""),"2607A004
Slamet Wardoyo
08111526846
Website")</f>
        <v>2607A004
Slamet Wardoyo
08111526846
Website</v>
      </c>
      <c r="C39" s="176" t="str">
        <f>IFERROR(__xludf.DUMMYFUNCTION("""COMPUTED_VALUE"""),"menjangan
 pax
Rp0")</f>
        <v>menjangan
 pax
Rp0</v>
      </c>
      <c r="D39" s="177"/>
      <c r="E39" s="183"/>
      <c r="F39" s="53"/>
      <c r="G39" s="183" t="str">
        <f>IFERROR(__xludf.DUMMYFUNCTION("""COMPUTED_VALUE"""),"2605A024
Adi
081234584744
Instagram")</f>
        <v>2605A024
Adi
081234584744
Instagram</v>
      </c>
      <c r="H39" s="183" t="str">
        <f>IFERROR(__xludf.DUMMYFUNCTION("""COMPUTED_VALUE"""),"2h1m z
 pax
Rp2.970.000")</f>
        <v>2h1m z
 pax
Rp2.970.000</v>
      </c>
      <c r="I39" s="184" t="str">
        <f>IFERROR(__xludf.DUMMYFUNCTION("""COMPUTED_VALUE"""),"masih dipertimbangkan. fu 4 juni")</f>
        <v>masih dipertimbangkan. fu 4 juni</v>
      </c>
      <c r="J39" s="183"/>
      <c r="K39" s="53"/>
      <c r="L39" s="53"/>
      <c r="M39" s="53"/>
      <c r="N39" s="171"/>
      <c r="O39" s="170"/>
      <c r="P39" s="53"/>
      <c r="Q39" s="53"/>
      <c r="R39" s="53"/>
      <c r="S39" s="171"/>
      <c r="T39" s="170"/>
      <c r="U39" s="53"/>
      <c r="V39" s="53"/>
      <c r="W39" s="53"/>
      <c r="X39" s="171"/>
      <c r="Y39" s="170"/>
      <c r="Z39" s="170"/>
      <c r="AA39" s="170"/>
      <c r="AB39" s="170"/>
      <c r="AC39" s="170"/>
      <c r="AD39" s="53"/>
      <c r="AE39" s="53"/>
    </row>
    <row r="40" ht="22.5" customHeight="1">
      <c r="A40" s="53"/>
      <c r="B40" s="183" t="str">
        <f>IFERROR(__xludf.DUMMYFUNCTION("""COMPUTED_VALUE"""),"2607A005
Cucu Nabi
082236936558
Instagram")</f>
        <v>2607A005
Cucu Nabi
082236936558
Instagram</v>
      </c>
      <c r="C40" s="176" t="str">
        <f>IFERROR(__xludf.DUMMYFUNCTION("""COMPUTED_VALUE"""),"ot kawah ijen, p bedil
 pax
Rp0")</f>
        <v>ot kawah ijen, p bedil
 pax
Rp0</v>
      </c>
      <c r="D40" s="177"/>
      <c r="E40" s="183"/>
      <c r="F40" s="53"/>
      <c r="G40" s="183" t="str">
        <f>IFERROR(__xludf.DUMMYFUNCTION("""COMPUTED_VALUE"""),"2605A027
Nuraini
083893689355
Lainnya")</f>
        <v>2605A027
Nuraini
083893689355
Lainnya</v>
      </c>
      <c r="H40" s="183" t="str">
        <f>IFERROR(__xludf.DUMMYFUNCTION("""COMPUTED_VALUE"""),"OTMT
46158
2 pax
Rp590.000")</f>
        <v>OTMT
46158
2 pax
Rp590.000</v>
      </c>
      <c r="I40" s="184" t="str">
        <f>IFERROR(__xludf.DUMMYFUNCTION("""COMPUTED_VALUE"""),"blm balas lagi")</f>
        <v>blm balas lagi</v>
      </c>
      <c r="J40" s="183"/>
      <c r="K40" s="53"/>
      <c r="L40" s="53"/>
      <c r="M40" s="53"/>
      <c r="N40" s="171"/>
      <c r="O40" s="170"/>
      <c r="P40" s="53"/>
      <c r="Q40" s="53"/>
      <c r="R40" s="53"/>
      <c r="S40" s="171"/>
      <c r="T40" s="170"/>
      <c r="U40" s="53"/>
      <c r="V40" s="53"/>
      <c r="W40" s="53"/>
      <c r="X40" s="171"/>
      <c r="Y40" s="170"/>
      <c r="Z40" s="170"/>
      <c r="AA40" s="170"/>
      <c r="AB40" s="170"/>
      <c r="AC40" s="170"/>
      <c r="AD40" s="53"/>
      <c r="AE40" s="53"/>
    </row>
    <row r="41" ht="22.5" customHeight="1">
      <c r="A41" s="53"/>
      <c r="B41" s="183" t="str">
        <f>IFERROR(__xludf.DUMMYFUNCTION("""COMPUTED_VALUE"""),"2607A006
Ana CC Ari
081338720600
Instagram")</f>
        <v>2607A006
Ana CC Ari
081338720600
Instagram</v>
      </c>
      <c r="C41" s="176" t="str">
        <f>IFERROR(__xludf.DUMMYFUNCTION("""COMPUTED_VALUE"""),"3h2m
2 pax
Rp0")</f>
        <v>3h2m
2 pax
Rp0</v>
      </c>
      <c r="D41" s="177"/>
      <c r="E41" s="183"/>
      <c r="F41" s="53"/>
      <c r="G41" s="183" t="str">
        <f>IFERROR(__xludf.DUMMYFUNCTION("""COMPUTED_VALUE"""),"2605A030
Ery Hikmawati
085285143243
Lainnya")</f>
        <v>2605A030
Ery Hikmawati
085285143243
Lainnya</v>
      </c>
      <c r="H41" s="183" t="str">
        <f>IFERROR(__xludf.DUMMYFUNCTION("""COMPUTED_VALUE"""),"ot 3h2m
4 pax
Rp6.400.000")</f>
        <v>ot 3h2m
4 pax
Rp6.400.000</v>
      </c>
      <c r="I41" s="184" t="str">
        <f>IFERROR(__xludf.DUMMYFUNCTION("""COMPUTED_VALUE"""),"kasi tau travel sby-bwi. fu 4 juli")</f>
        <v>kasi tau travel sby-bwi. fu 4 juli</v>
      </c>
      <c r="J41" s="183"/>
      <c r="K41" s="53"/>
      <c r="L41" s="53"/>
      <c r="M41" s="53"/>
      <c r="N41" s="171"/>
      <c r="O41" s="170"/>
      <c r="P41" s="53"/>
      <c r="Q41" s="53"/>
      <c r="R41" s="53"/>
      <c r="S41" s="171"/>
      <c r="T41" s="170"/>
      <c r="U41" s="53"/>
      <c r="V41" s="53"/>
      <c r="W41" s="53"/>
      <c r="X41" s="171"/>
      <c r="Y41" s="170"/>
      <c r="Z41" s="170"/>
      <c r="AA41" s="170"/>
      <c r="AB41" s="170"/>
      <c r="AC41" s="170"/>
      <c r="AD41" s="53"/>
      <c r="AE41" s="53"/>
    </row>
    <row r="42" ht="22.5" customHeight="1">
      <c r="A42" s="53"/>
      <c r="B42" s="183" t="str">
        <f>IFERROR(__xludf.DUMMYFUNCTION("""COMPUTED_VALUE"""),"2607A007
Kisty Trahendra
081233086945
Instagram")</f>
        <v>2607A007
Kisty Trahendra
081233086945
Instagram</v>
      </c>
      <c r="C42" s="176" t="str">
        <f>IFERROR(__xludf.DUMMYFUNCTION("""COMPUTED_VALUE"""),"3h2m
46206
3 pax
Rp0")</f>
        <v>3h2m
46206
3 pax
Rp0</v>
      </c>
      <c r="D42" s="177"/>
      <c r="E42" s="183"/>
      <c r="F42" s="53"/>
      <c r="G42" s="183" t="str">
        <f>IFERROR(__xludf.DUMMYFUNCTION("""COMPUTED_VALUE"""),"2605A032
Kak Ayu PT Lombok Traveling Tours
082236869216
Website")</f>
        <v>2605A032
Kak Ayu PT Lombok Traveling Tours
082236869216
Website</v>
      </c>
      <c r="H42" s="183" t="str">
        <f>IFERROR(__xludf.DUMMYFUNCTION("""COMPUTED_VALUE"""),"4h3m
55 pax
Rp277.750.000")</f>
        <v>4h3m
55 pax
Rp277.750.000</v>
      </c>
      <c r="I42" s="184" t="str">
        <f>IFERROR(__xludf.DUMMYFUNCTION("""COMPUTED_VALUE"""),"fu 14 mei")</f>
        <v>fu 14 mei</v>
      </c>
      <c r="J42" s="183"/>
      <c r="K42" s="53"/>
      <c r="L42" s="53"/>
      <c r="M42" s="53"/>
      <c r="N42" s="171"/>
      <c r="O42" s="170"/>
      <c r="P42" s="53"/>
      <c r="Q42" s="53"/>
      <c r="R42" s="53"/>
      <c r="S42" s="171"/>
      <c r="T42" s="170"/>
      <c r="U42" s="53"/>
      <c r="V42" s="53"/>
      <c r="W42" s="53"/>
      <c r="X42" s="171"/>
      <c r="Y42" s="170"/>
      <c r="Z42" s="170"/>
      <c r="AA42" s="170"/>
      <c r="AB42" s="170"/>
      <c r="AC42" s="170"/>
      <c r="AD42" s="53"/>
      <c r="AE42" s="53"/>
    </row>
    <row r="43" ht="22.5" customHeight="1">
      <c r="A43" s="53"/>
      <c r="B43" s="53" t="str">
        <f>IFERROR(__xludf.DUMMYFUNCTION("""COMPUTED_VALUE"""),"2607A011
Fizara
082134045075
Instagram")</f>
        <v>2607A011
Fizara
082134045075
Instagram</v>
      </c>
      <c r="C43" s="168" t="str">
        <f>IFERROR(__xludf.DUMMYFUNCTION("""COMPUTED_VALUE"""),"mt
46209
4 pax
Rp0")</f>
        <v>mt
46209
4 pax
Rp0</v>
      </c>
      <c r="D43" s="169"/>
      <c r="E43" s="170"/>
      <c r="F43" s="53"/>
      <c r="G43" s="183" t="str">
        <f>IFERROR(__xludf.DUMMYFUNCTION("""COMPUTED_VALUE"""),"2605A040
Sarah
08988700324
Lainnya")</f>
        <v>2605A040
Sarah
08988700324
Lainnya</v>
      </c>
      <c r="H43" s="183" t="str">
        <f>IFERROR(__xludf.DUMMYFUNCTION("""COMPUTED_VALUE"""),"Open trip
2 pax
Rp0")</f>
        <v>Open trip
2 pax
Rp0</v>
      </c>
      <c r="I43" s="184" t="str">
        <f>IFERROR(__xludf.DUMMYFUNCTION("""COMPUTED_VALUE"""),"fu 2 agustus")</f>
        <v>fu 2 agustus</v>
      </c>
      <c r="J43" s="183"/>
      <c r="K43" s="53"/>
      <c r="L43" s="53"/>
      <c r="M43" s="53"/>
      <c r="N43" s="171"/>
      <c r="O43" s="170"/>
      <c r="P43" s="53"/>
      <c r="Q43" s="53"/>
      <c r="R43" s="53"/>
      <c r="S43" s="171"/>
      <c r="T43" s="170"/>
      <c r="U43" s="53"/>
      <c r="V43" s="53"/>
      <c r="W43" s="53"/>
      <c r="X43" s="171"/>
      <c r="Y43" s="170"/>
      <c r="Z43" s="170"/>
      <c r="AA43" s="170"/>
      <c r="AB43" s="170"/>
      <c r="AC43" s="170"/>
      <c r="AD43" s="53"/>
      <c r="AE43" s="53"/>
    </row>
    <row r="44" ht="22.5" customHeight="1">
      <c r="A44" s="53"/>
      <c r="B44" s="53" t="str">
        <f>IFERROR(__xludf.DUMMYFUNCTION("""COMPUTED_VALUE"""),"2607A013
Nani Tresnaningsih
081220806992
Website")</f>
        <v>2607A013
Nani Tresnaningsih
081220806992
Website</v>
      </c>
      <c r="C44" s="168" t="str">
        <f>IFERROR(__xludf.DUMMYFUNCTION("""COMPUTED_VALUE"""),"3h2m
10 pax
Rp0")</f>
        <v>3h2m
10 pax
Rp0</v>
      </c>
      <c r="D44" s="169"/>
      <c r="E44" s="170"/>
      <c r="F44" s="53"/>
      <c r="G44" s="183" t="str">
        <f>IFERROR(__xludf.DUMMYFUNCTION("""COMPUTED_VALUE"""),"2605A041
Anabel
08112121232
Lainnya")</f>
        <v>2605A041
Anabel
08112121232
Lainnya</v>
      </c>
      <c r="H44" s="183" t="str">
        <f>IFERROR(__xludf.DUMMYFUNCTION("""COMPUTED_VALUE"""),"1d djawatan green island
46186
4 pax
Rp2.300.000")</f>
        <v>1d djawatan green island
46186
4 pax
Rp2.300.000</v>
      </c>
      <c r="I44" s="184" t="str">
        <f>IFERROR(__xludf.DUMMYFUNCTION("""COMPUTED_VALUE"""),"fu 28 mei")</f>
        <v>fu 28 mei</v>
      </c>
      <c r="J44" s="183"/>
      <c r="K44" s="53"/>
      <c r="L44" s="53"/>
      <c r="M44" s="53"/>
      <c r="N44" s="171"/>
      <c r="O44" s="170"/>
      <c r="P44" s="53"/>
      <c r="Q44" s="53"/>
      <c r="R44" s="53"/>
      <c r="S44" s="171"/>
      <c r="T44" s="170"/>
      <c r="U44" s="53"/>
      <c r="V44" s="53"/>
      <c r="W44" s="53"/>
      <c r="X44" s="171"/>
      <c r="Y44" s="170"/>
      <c r="Z44" s="170"/>
      <c r="AA44" s="170"/>
      <c r="AB44" s="170"/>
      <c r="AC44" s="170"/>
      <c r="AD44" s="53"/>
      <c r="AE44" s="53"/>
    </row>
    <row r="45" ht="22.5" customHeight="1">
      <c r="A45" s="53"/>
      <c r="B45" s="53" t="str">
        <f>IFERROR(__xludf.DUMMYFUNCTION("""COMPUTED_VALUE"""),"2607A015
Tiwie
082136255566
Website")</f>
        <v>2607A015
Tiwie
082136255566
Website</v>
      </c>
      <c r="C45" s="168" t="str">
        <f>IFERROR(__xludf.DUMMYFUNCTION("""COMPUTED_VALUE"""),"
 pax
Rp0")</f>
        <v>
 pax
Rp0</v>
      </c>
      <c r="D45" s="169"/>
      <c r="E45" s="170"/>
      <c r="F45" s="53"/>
      <c r="G45" s="183" t="str">
        <f>IFERROR(__xludf.DUMMYFUNCTION("""COMPUTED_VALUE"""),"2605A050
Mita
0895339162517
Lainnya")</f>
        <v>2605A050
Mita
0895339162517
Lainnya</v>
      </c>
      <c r="H45" s="183" t="str">
        <f>IFERROR(__xludf.DUMMYFUNCTION("""COMPUTED_VALUE"""),"2H1M CUSTOM
2 pax
Rp4.540.000")</f>
        <v>2H1M CUSTOM
2 pax
Rp4.540.000</v>
      </c>
      <c r="I45" s="184" t="str">
        <f>IFERROR(__xludf.DUMMYFUNCTION("""COMPUTED_VALUE"""),"fu 10 mei")</f>
        <v>fu 10 mei</v>
      </c>
      <c r="J45" s="183"/>
      <c r="K45" s="53"/>
      <c r="L45" s="53"/>
      <c r="M45" s="53"/>
      <c r="N45" s="171"/>
      <c r="O45" s="170"/>
      <c r="P45" s="53"/>
      <c r="Q45" s="53"/>
      <c r="R45" s="53"/>
      <c r="S45" s="171"/>
      <c r="T45" s="170"/>
      <c r="U45" s="53"/>
      <c r="V45" s="53"/>
      <c r="W45" s="53"/>
      <c r="X45" s="171"/>
      <c r="Y45" s="170"/>
      <c r="Z45" s="170"/>
      <c r="AA45" s="170"/>
      <c r="AB45" s="170"/>
      <c r="AC45" s="170"/>
      <c r="AD45" s="53"/>
      <c r="AE45" s="53"/>
    </row>
    <row r="46" ht="22.5" customHeight="1">
      <c r="A46" s="53"/>
      <c r="B46" s="53" t="str">
        <f>IFERROR(__xludf.DUMMYFUNCTION("""COMPUTED_VALUE"""),"2607A016
Farah Pangestuty
0895805321900
Lainnya")</f>
        <v>2607A016
Farah Pangestuty
0895805321900
Lainnya</v>
      </c>
      <c r="C46" s="168" t="str">
        <f>IFERROR(__xludf.DUMMYFUNCTION("""COMPUTED_VALUE"""),"
 pax
Rp0")</f>
        <v>
 pax
Rp0</v>
      </c>
      <c r="D46" s="169"/>
      <c r="E46" s="170"/>
      <c r="F46" s="53"/>
      <c r="G46" s="183" t="str">
        <f>IFERROR(__xludf.DUMMYFUNCTION("""COMPUTED_VALUE"""),"2605A052
Ade
089699870731
Instagram")</f>
        <v>2605A052
Ade
089699870731
Instagram</v>
      </c>
      <c r="H46" s="183" t="str">
        <f>IFERROR(__xludf.DUMMYFUNCTION("""COMPUTED_VALUE"""),"ot 2h1m
4 pax
Rp3.900.000")</f>
        <v>ot 2h1m
4 pax
Rp3.900.000</v>
      </c>
      <c r="I46" s="184" t="str">
        <f>IFERROR(__xludf.DUMMYFUNCTION("""COMPUTED_VALUE"""),"fu 14 mei")</f>
        <v>fu 14 mei</v>
      </c>
      <c r="J46" s="183"/>
      <c r="K46" s="53"/>
      <c r="L46" s="53"/>
      <c r="M46" s="53"/>
      <c r="N46" s="171"/>
      <c r="O46" s="170"/>
      <c r="P46" s="53"/>
      <c r="Q46" s="53"/>
      <c r="R46" s="53"/>
      <c r="S46" s="171"/>
      <c r="T46" s="170"/>
      <c r="U46" s="53"/>
      <c r="V46" s="53"/>
      <c r="W46" s="53"/>
      <c r="X46" s="171"/>
      <c r="Y46" s="170"/>
      <c r="Z46" s="170"/>
      <c r="AA46" s="170"/>
      <c r="AB46" s="170"/>
      <c r="AC46" s="170"/>
      <c r="AD46" s="53"/>
      <c r="AE46" s="53"/>
    </row>
    <row r="47">
      <c r="A47" s="53"/>
      <c r="B47" s="53" t="str">
        <f>IFERROR(__xludf.DUMMYFUNCTION("""COMPUTED_VALUE"""),"2607A017
Beby
081938069369
Instagram")</f>
        <v>2607A017
Beby
081938069369
Instagram</v>
      </c>
      <c r="C47" s="168" t="str">
        <f>IFERROR(__xludf.DUMMYFUNCTION("""COMPUTED_VALUE"""),"ot menjangan tabuhan
 pax
Rp0")</f>
        <v>ot menjangan tabuhan
 pax
Rp0</v>
      </c>
      <c r="D47" s="169"/>
      <c r="E47" s="170"/>
      <c r="F47" s="53"/>
      <c r="G47" s="53" t="str">
        <f>IFERROR(__xludf.DUMMYFUNCTION("""COMPUTED_VALUE"""),"2605A054
Hana Harsyika
081299148988
Website")</f>
        <v>2605A054
Hana Harsyika
081299148988
Website</v>
      </c>
      <c r="H47" s="53" t="str">
        <f>IFERROR(__xludf.DUMMYFUNCTION("""COMPUTED_VALUE"""),"3h2m custom
5 pax
Rp0")</f>
        <v>3h2m custom
5 pax
Rp0</v>
      </c>
      <c r="I47" s="171" t="str">
        <f>IFERROR(__xludf.DUMMYFUNCTION("""COMPUTED_VALUE"""),"fu 25 mei. hitung paket")</f>
        <v>fu 25 mei. hitung paket</v>
      </c>
      <c r="J47" s="170"/>
      <c r="K47" s="53"/>
      <c r="L47" s="53"/>
      <c r="M47" s="53"/>
      <c r="N47" s="171"/>
      <c r="O47" s="170"/>
      <c r="P47" s="53"/>
      <c r="Q47" s="53"/>
      <c r="R47" s="53"/>
      <c r="S47" s="171"/>
      <c r="T47" s="170"/>
      <c r="U47" s="53"/>
      <c r="V47" s="53"/>
      <c r="W47" s="53"/>
      <c r="X47" s="171"/>
      <c r="Y47" s="170"/>
      <c r="Z47" s="170"/>
      <c r="AA47" s="170"/>
      <c r="AB47" s="170"/>
      <c r="AC47" s="170"/>
      <c r="AD47" s="53"/>
      <c r="AE47" s="53"/>
    </row>
    <row r="48">
      <c r="A48" s="53"/>
      <c r="B48" s="53" t="str">
        <f>IFERROR(__xludf.DUMMYFUNCTION("""COMPUTED_VALUE"""),"2607A019
Nurita Pratama sari
081225783915
Instagram")</f>
        <v>2607A019
Nurita Pratama sari
081225783915
Instagram</v>
      </c>
      <c r="C48" s="168" t="str">
        <f>IFERROR(__xludf.DUMMYFUNCTION("""COMPUTED_VALUE"""),"ot mt
46214
5 pax
Rp1.375.000")</f>
        <v>ot mt
46214
5 pax
Rp1.375.000</v>
      </c>
      <c r="D48" s="169"/>
      <c r="E48" s="170"/>
      <c r="F48" s="53"/>
      <c r="G48" s="53" t="str">
        <f>IFERROR(__xludf.DUMMYFUNCTION("""COMPUTED_VALUE"""),"2605A055
Sabita
089663948105
Lainnya")</f>
        <v>2605A055
Sabita
089663948105
Lainnya</v>
      </c>
      <c r="H48" s="53" t="str">
        <f>IFERROR(__xludf.DUMMYFUNCTION("""COMPUTED_VALUE"""),"open trip 2h1m
2 pax
Rp1.650.000")</f>
        <v>open trip 2h1m
2 pax
Rp1.650.000</v>
      </c>
      <c r="I48" s="171" t="str">
        <f>IFERROR(__xludf.DUMMYFUNCTION("""COMPUTED_VALUE"""),"fu 7 juni")</f>
        <v>fu 7 juni</v>
      </c>
      <c r="J48" s="170"/>
      <c r="K48" s="53"/>
      <c r="L48" s="53"/>
      <c r="M48" s="53"/>
      <c r="N48" s="171"/>
      <c r="O48" s="170"/>
      <c r="P48" s="53"/>
      <c r="Q48" s="53"/>
      <c r="R48" s="53"/>
      <c r="S48" s="171"/>
      <c r="T48" s="170"/>
      <c r="U48" s="53"/>
      <c r="V48" s="53"/>
      <c r="W48" s="53"/>
      <c r="X48" s="171"/>
      <c r="Y48" s="170"/>
      <c r="Z48" s="170"/>
      <c r="AA48" s="170"/>
      <c r="AB48" s="170"/>
      <c r="AC48" s="170"/>
      <c r="AD48" s="53"/>
      <c r="AE48" s="53"/>
    </row>
    <row r="49">
      <c r="A49" s="53"/>
      <c r="B49" s="53" t="str">
        <f>IFERROR(__xludf.DUMMYFUNCTION("""COMPUTED_VALUE"""),"2607A020
Herwandasantoso (Angga)
089696696312
Website")</f>
        <v>2607A020
Herwandasantoso (Angga)
089696696312
Website</v>
      </c>
      <c r="C49" s="168" t="str">
        <f>IFERROR(__xludf.DUMMYFUNCTION("""COMPUTED_VALUE"""),"one day trip Green island, djawatan
 pax
Rp0")</f>
        <v>one day trip Green island, djawatan
 pax
Rp0</v>
      </c>
      <c r="D49" s="169"/>
      <c r="E49" s="170"/>
      <c r="F49" s="53"/>
      <c r="G49" s="53" t="str">
        <f>IFERROR(__xludf.DUMMYFUNCTION("""COMPUTED_VALUE"""),"2605A057
Faisal
081903870457
Instagram")</f>
        <v>2605A057
Faisal
081903870457
Instagram</v>
      </c>
      <c r="H49" s="53" t="str">
        <f>IFERROR(__xludf.DUMMYFUNCTION("""COMPUTED_VALUE"""),"menjangan tabuhan
46207
15 pax
Rp4.425.000")</f>
        <v>menjangan tabuhan
46207
15 pax
Rp4.425.000</v>
      </c>
      <c r="I49" s="171" t="str">
        <f>IFERROR(__xludf.DUMMYFUNCTION("""COMPUTED_VALUE"""),"fu 1 juli")</f>
        <v>fu 1 juli</v>
      </c>
      <c r="J49" s="170"/>
      <c r="K49" s="53"/>
      <c r="L49" s="53"/>
      <c r="M49" s="53"/>
      <c r="N49" s="171"/>
      <c r="O49" s="170"/>
      <c r="P49" s="53"/>
      <c r="Q49" s="53"/>
      <c r="R49" s="53"/>
      <c r="S49" s="171"/>
      <c r="T49" s="170"/>
      <c r="U49" s="53"/>
      <c r="V49" s="53"/>
      <c r="W49" s="53"/>
      <c r="X49" s="171"/>
      <c r="Y49" s="170"/>
      <c r="Z49" s="170"/>
      <c r="AA49" s="170"/>
      <c r="AB49" s="170"/>
      <c r="AC49" s="170"/>
      <c r="AD49" s="53"/>
      <c r="AE49" s="53"/>
    </row>
    <row r="50">
      <c r="A50" s="53"/>
      <c r="B50" s="53" t="str">
        <f>IFERROR(__xludf.DUMMYFUNCTION("""COMPUTED_VALUE"""),"2607A022
May
089693246388
Instagram")</f>
        <v>2607A022
May
089693246388
Instagram</v>
      </c>
      <c r="C50" s="168" t="str">
        <f>IFERROR(__xludf.DUMMYFUNCTION("""COMPUTED_VALUE"""),"ot 3h2m
 pax
Rp0")</f>
        <v>ot 3h2m
 pax
Rp0</v>
      </c>
      <c r="D50" s="169"/>
      <c r="E50" s="170"/>
      <c r="F50" s="53"/>
      <c r="G50" s="53" t="str">
        <f>IFERROR(__xludf.DUMMYFUNCTION("""COMPUTED_VALUE"""),"2605A061
Deltaforce
085212014707
Lainnya")</f>
        <v>2605A061
Deltaforce
085212014707
Lainnya</v>
      </c>
      <c r="H50" s="53" t="str">
        <f>IFERROR(__xludf.DUMMYFUNCTION("""COMPUTED_VALUE"""),"ot menjangan tabuhan
46158
2 pax
Rp550.000")</f>
        <v>ot menjangan tabuhan
46158
2 pax
Rp550.000</v>
      </c>
      <c r="I50" s="171" t="str">
        <f>IFERROR(__xludf.DUMMYFUNCTION("""COMPUTED_VALUE"""),"belum ada balasan. fu 13 mei")</f>
        <v>belum ada balasan. fu 13 mei</v>
      </c>
      <c r="J50" s="170"/>
      <c r="K50" s="53"/>
      <c r="L50" s="53"/>
      <c r="M50" s="53"/>
      <c r="N50" s="171"/>
      <c r="O50" s="170"/>
      <c r="P50" s="53"/>
      <c r="Q50" s="53"/>
      <c r="R50" s="53"/>
      <c r="S50" s="171"/>
      <c r="T50" s="170"/>
      <c r="U50" s="53"/>
      <c r="V50" s="53"/>
      <c r="W50" s="53"/>
      <c r="X50" s="171"/>
      <c r="Y50" s="170"/>
      <c r="Z50" s="170"/>
      <c r="AA50" s="170"/>
      <c r="AB50" s="170"/>
      <c r="AC50" s="170"/>
      <c r="AD50" s="53"/>
      <c r="AE50" s="53"/>
    </row>
    <row r="51">
      <c r="A51" s="53"/>
      <c r="B51" s="53" t="str">
        <f>IFERROR(__xludf.DUMMYFUNCTION("""COMPUTED_VALUE"""),"2607A023
Strawberry
081573100206
Instagram")</f>
        <v>2607A023
Strawberry
081573100206
Instagram</v>
      </c>
      <c r="C51" s="168" t="str">
        <f>IFERROR(__xludf.DUMMYFUNCTION("""COMPUTED_VALUE"""),"ot mt
46207
 pax
Rp0")</f>
        <v>ot mt
46207
 pax
Rp0</v>
      </c>
      <c r="D51" s="169"/>
      <c r="E51" s="170"/>
      <c r="F51" s="53"/>
      <c r="G51" s="53" t="str">
        <f>IFERROR(__xludf.DUMMYFUNCTION("""COMPUTED_VALUE"""),"2605A069
Jess
089508748886
Lainnya")</f>
        <v>2605A069
Jess
089508748886
Lainnya</v>
      </c>
      <c r="H51" s="53" t="str">
        <f>IFERROR(__xludf.DUMMYFUNCTION("""COMPUTED_VALUE"""),"menjangan tabuhan
46202
2 pax
Rp800.000")</f>
        <v>menjangan tabuhan
46202
2 pax
Rp800.000</v>
      </c>
      <c r="I51" s="171" t="str">
        <f>IFERROR(__xludf.DUMMYFUNCTION("""COMPUTED_VALUE"""),"fu 14 mei")</f>
        <v>fu 14 mei</v>
      </c>
      <c r="J51" s="170"/>
      <c r="K51" s="53"/>
      <c r="L51" s="53"/>
      <c r="M51" s="53"/>
      <c r="N51" s="171"/>
      <c r="O51" s="170"/>
      <c r="P51" s="53"/>
      <c r="Q51" s="53"/>
      <c r="R51" s="53"/>
      <c r="S51" s="171"/>
      <c r="T51" s="170"/>
      <c r="U51" s="53"/>
      <c r="V51" s="53"/>
      <c r="W51" s="53"/>
      <c r="X51" s="171"/>
      <c r="Y51" s="170"/>
      <c r="Z51" s="170"/>
      <c r="AA51" s="170"/>
      <c r="AB51" s="170"/>
      <c r="AC51" s="170"/>
      <c r="AD51" s="53"/>
      <c r="AE51" s="53"/>
    </row>
    <row r="52">
      <c r="A52" s="53"/>
      <c r="B52" s="53" t="str">
        <f>IFERROR(__xludf.DUMMYFUNCTION("""COMPUTED_VALUE"""),"2607A028
Rydha G Mayaudy
081327357783
Instagram")</f>
        <v>2607A028
Rydha G Mayaudy
081327357783
Instagram</v>
      </c>
      <c r="C52" s="168" t="str">
        <f>IFERROR(__xludf.DUMMYFUNCTION("""COMPUTED_VALUE"""),"ot mt
 pax
Rp0")</f>
        <v>ot mt
 pax
Rp0</v>
      </c>
      <c r="D52" s="169"/>
      <c r="E52" s="170"/>
      <c r="F52" s="53"/>
      <c r="G52" s="53" t="str">
        <f>IFERROR(__xludf.DUMMYFUNCTION("""COMPUTED_VALUE"""),"2605A070
Alma Tiara Cindy
081214064884
Instagram")</f>
        <v>2605A070
Alma Tiara Cindy
081214064884
Instagram</v>
      </c>
      <c r="H52" s="53" t="str">
        <f>IFERROR(__xludf.DUMMYFUNCTION("""COMPUTED_VALUE"""),"3h2m ot alas purwo
5 pax
Rp8.000.000")</f>
        <v>3h2m ot alas purwo
5 pax
Rp8.000.000</v>
      </c>
      <c r="I52" s="171" t="str">
        <f>IFERROR(__xludf.DUMMYFUNCTION("""COMPUTED_VALUE"""),"fu 14 mei")</f>
        <v>fu 14 mei</v>
      </c>
      <c r="J52" s="170"/>
      <c r="K52" s="53"/>
      <c r="L52" s="53"/>
      <c r="M52" s="53"/>
      <c r="N52" s="171"/>
      <c r="O52" s="170"/>
      <c r="P52" s="53"/>
      <c r="Q52" s="53"/>
      <c r="R52" s="53"/>
      <c r="S52" s="171"/>
      <c r="T52" s="170"/>
      <c r="U52" s="53"/>
      <c r="V52" s="53"/>
      <c r="W52" s="53"/>
      <c r="X52" s="171"/>
      <c r="Y52" s="170"/>
      <c r="Z52" s="170"/>
      <c r="AA52" s="170"/>
      <c r="AB52" s="170"/>
      <c r="AC52" s="170"/>
      <c r="AD52" s="53"/>
      <c r="AE52" s="53"/>
    </row>
    <row r="53">
      <c r="A53" s="53"/>
      <c r="B53" s="53" t="str">
        <f>IFERROR(__xludf.DUMMYFUNCTION("""COMPUTED_VALUE"""),"2607A029
Herry Fahamsyah
081294234000
Instagram")</f>
        <v>2607A029
Herry Fahamsyah
081294234000
Instagram</v>
      </c>
      <c r="C53" s="168" t="str">
        <f>IFERROR(__xludf.DUMMYFUNCTION("""COMPUTED_VALUE"""),"ot mt
 pax
Rp0")</f>
        <v>ot mt
 pax
Rp0</v>
      </c>
      <c r="D53" s="169" t="str">
        <f>IFERROR(__xludf.DUMMYFUNCTION("""COMPUTED_VALUE"""),"1")</f>
        <v>1</v>
      </c>
      <c r="E53" s="170"/>
      <c r="F53" s="53"/>
      <c r="G53" s="53" t="str">
        <f>IFERROR(__xludf.DUMMYFUNCTION("""COMPUTED_VALUE"""),"2605A071
Dewi Tyas
08170621716
Website")</f>
        <v>2605A071
Dewi Tyas
08170621716
Website</v>
      </c>
      <c r="H53" s="53" t="str">
        <f>IFERROR(__xludf.DUMMYFUNCTION("""COMPUTED_VALUE"""),"2h1m opsi b
3 pax
Rp3.867.000")</f>
        <v>2h1m opsi b
3 pax
Rp3.867.000</v>
      </c>
      <c r="I53" s="171" t="str">
        <f>IFERROR(__xludf.DUMMYFUNCTION("""COMPUTED_VALUE"""),"fu 14 mei")</f>
        <v>fu 14 mei</v>
      </c>
      <c r="J53" s="170"/>
      <c r="K53" s="53"/>
      <c r="L53" s="53"/>
      <c r="M53" s="53"/>
      <c r="N53" s="171"/>
      <c r="O53" s="170"/>
      <c r="P53" s="53"/>
      <c r="Q53" s="53"/>
      <c r="R53" s="53"/>
      <c r="S53" s="171"/>
      <c r="T53" s="170"/>
      <c r="U53" s="53"/>
      <c r="V53" s="53"/>
      <c r="W53" s="53"/>
      <c r="X53" s="171"/>
      <c r="Y53" s="170"/>
      <c r="Z53" s="170"/>
      <c r="AA53" s="170"/>
      <c r="AB53" s="170"/>
      <c r="AC53" s="170"/>
      <c r="AD53" s="53"/>
      <c r="AE53" s="53"/>
    </row>
    <row r="54">
      <c r="A54" s="53"/>
      <c r="B54" s="53" t="str">
        <f>IFERROR(__xludf.DUMMYFUNCTION("""COMPUTED_VALUE"""),"2607A030
Egi Gigih
08985999948
Instagram")</f>
        <v>2607A030
Egi Gigih
08985999948
Instagram</v>
      </c>
      <c r="C54" s="168" t="str">
        <f>IFERROR(__xludf.DUMMYFUNCTION("""COMPUTED_VALUE"""),"
 pax
Rp0")</f>
        <v>
 pax
Rp0</v>
      </c>
      <c r="D54" s="169"/>
      <c r="E54" s="170"/>
      <c r="F54" s="53"/>
      <c r="G54" s="53" t="str">
        <f>IFERROR(__xludf.DUMMYFUNCTION("""COMPUTED_VALUE"""),"2605A090
Bu'e Herni
081226689898
Website")</f>
        <v>2605A090
Bu'e Herni
081226689898
Website</v>
      </c>
      <c r="H54" s="53" t="str">
        <f>IFERROR(__xludf.DUMMYFUNCTION("""COMPUTED_VALUE"""),"4h3m
10 pax
Rp14.180.000")</f>
        <v>4h3m
10 pax
Rp14.180.000</v>
      </c>
      <c r="I54" s="171" t="str">
        <f>IFERROR(__xludf.DUMMYFUNCTION("""COMPUTED_VALUE"""),"fu 4 september")</f>
        <v>fu 4 september</v>
      </c>
      <c r="J54" s="170"/>
      <c r="K54" s="53"/>
      <c r="L54" s="53"/>
      <c r="M54" s="53"/>
      <c r="N54" s="171"/>
      <c r="O54" s="170"/>
      <c r="P54" s="53"/>
      <c r="Q54" s="53"/>
      <c r="R54" s="53"/>
      <c r="S54" s="171"/>
      <c r="T54" s="170"/>
      <c r="U54" s="53"/>
      <c r="V54" s="53"/>
      <c r="W54" s="53"/>
      <c r="X54" s="171"/>
      <c r="Y54" s="170"/>
      <c r="Z54" s="170"/>
      <c r="AA54" s="170"/>
      <c r="AB54" s="170"/>
      <c r="AC54" s="170"/>
      <c r="AD54" s="53"/>
      <c r="AE54" s="53"/>
    </row>
    <row r="55">
      <c r="A55" s="53"/>
      <c r="B55" s="53" t="str">
        <f>IFERROR(__xludf.DUMMYFUNCTION("""COMPUTED_VALUE"""),"2607A031
Abe
08111895858
Website")</f>
        <v>2607A031
Abe
08111895858
Website</v>
      </c>
      <c r="C55" s="168" t="str">
        <f>IFERROR(__xludf.DUMMYFUNCTION("""COMPUTED_VALUE"""),"
 pax
Rp0")</f>
        <v>
 pax
Rp0</v>
      </c>
      <c r="D55" s="169"/>
      <c r="E55" s="170"/>
      <c r="F55" s="53"/>
      <c r="G55" s="53" t="str">
        <f>IFERROR(__xludf.DUMMYFUNCTION("""COMPUTED_VALUE"""),"2605A091
Esti
08118779374
Website")</f>
        <v>2605A091
Esti
08118779374
Website</v>
      </c>
      <c r="H55" s="53" t="str">
        <f>IFERROR(__xludf.DUMMYFUNCTION("""COMPUTED_VALUE"""),"3h2m opsi b
7 pax
Rp8.603.000")</f>
        <v>3h2m opsi b
7 pax
Rp8.603.000</v>
      </c>
      <c r="I55" s="171" t="str">
        <f>IFERROR(__xludf.DUMMYFUNCTION("""COMPUTED_VALUE"""),"fu 28 juni ")</f>
        <v>fu 28 juni </v>
      </c>
      <c r="J55" s="170"/>
      <c r="K55" s="53"/>
      <c r="L55" s="53"/>
      <c r="M55" s="53"/>
      <c r="N55" s="171"/>
      <c r="O55" s="170"/>
      <c r="P55" s="53"/>
      <c r="Q55" s="53"/>
      <c r="R55" s="53"/>
      <c r="S55" s="171"/>
      <c r="T55" s="170"/>
      <c r="U55" s="53"/>
      <c r="V55" s="53"/>
      <c r="W55" s="53"/>
      <c r="X55" s="171"/>
      <c r="Y55" s="170"/>
      <c r="Z55" s="170"/>
      <c r="AA55" s="170"/>
      <c r="AB55" s="170"/>
      <c r="AC55" s="170"/>
      <c r="AD55" s="53"/>
      <c r="AE55" s="53"/>
    </row>
    <row r="56">
      <c r="A56" s="53"/>
      <c r="B56" s="53" t="str">
        <f>IFERROR(__xludf.DUMMYFUNCTION("""COMPUTED_VALUE"""),"2607A033
Dian Fitria
085810088687
Instagram")</f>
        <v>2607A033
Dian Fitria
085810088687
Instagram</v>
      </c>
      <c r="C56" s="168" t="str">
        <f>IFERROR(__xludf.DUMMYFUNCTION("""COMPUTED_VALUE"""),"
 pax
Rp0")</f>
        <v>
 pax
Rp0</v>
      </c>
      <c r="D56" s="169"/>
      <c r="E56" s="170"/>
      <c r="F56" s="53"/>
      <c r="G56" s="53" t="str">
        <f>IFERROR(__xludf.DUMMYFUNCTION("""COMPUTED_VALUE"""),"2605A095
Rina Noor
085287379772
Website")</f>
        <v>2605A095
Rina Noor
085287379772
Website</v>
      </c>
      <c r="H56" s="53" t="str">
        <f>IFERROR(__xludf.DUMMYFUNCTION("""COMPUTED_VALUE"""),"3h2m
50 pax
Rp74.500.000")</f>
        <v>3h2m
50 pax
Rp74.500.000</v>
      </c>
      <c r="I56" s="171" t="str">
        <f>IFERROR(__xludf.DUMMYFUNCTION("""COMPUTED_VALUE"""),"fu 23 mei")</f>
        <v>fu 23 mei</v>
      </c>
      <c r="J56" s="170"/>
      <c r="K56" s="53"/>
      <c r="L56" s="53"/>
      <c r="M56" s="53"/>
      <c r="N56" s="171"/>
      <c r="O56" s="170"/>
      <c r="P56" s="53"/>
      <c r="Q56" s="53"/>
      <c r="R56" s="53"/>
      <c r="S56" s="171"/>
      <c r="T56" s="170"/>
      <c r="U56" s="53"/>
      <c r="V56" s="53"/>
      <c r="W56" s="53"/>
      <c r="X56" s="171"/>
      <c r="Y56" s="170"/>
      <c r="Z56" s="170"/>
      <c r="AA56" s="170"/>
      <c r="AB56" s="170"/>
      <c r="AC56" s="170"/>
      <c r="AD56" s="53"/>
      <c r="AE56" s="53"/>
    </row>
    <row r="57">
      <c r="A57" s="53"/>
      <c r="B57" s="53" t="str">
        <f>IFERROR(__xludf.DUMMYFUNCTION("""COMPUTED_VALUE"""),"2607A034
Rahma Dj
085293971113
Website")</f>
        <v>2607A034
Rahma Dj
085293971113
Website</v>
      </c>
      <c r="C57" s="168" t="str">
        <f>IFERROR(__xludf.DUMMYFUNCTION("""COMPUTED_VALUE"""),"
 pax
Rp0")</f>
        <v>
 pax
Rp0</v>
      </c>
      <c r="D57" s="169"/>
      <c r="E57" s="170"/>
      <c r="F57" s="53"/>
      <c r="G57" s="53" t="str">
        <f>IFERROR(__xludf.DUMMYFUNCTION("""COMPUTED_VALUE"""),"2605A155
Diandra
081382032024
Instagram")</f>
        <v>2605A155
Diandra
081382032024
Instagram</v>
      </c>
      <c r="H57" s="53" t="str">
        <f>IFERROR(__xludf.DUMMYFUNCTION("""COMPUTED_VALUE"""),"3h2m
2 pax
Rp6.128.000")</f>
        <v>3h2m
2 pax
Rp6.128.000</v>
      </c>
      <c r="I57" s="171" t="str">
        <f>IFERROR(__xludf.DUMMYFUNCTION("""COMPUTED_VALUE"""),"fu 5 juli")</f>
        <v>fu 5 juli</v>
      </c>
      <c r="J57" s="170"/>
      <c r="K57" s="53"/>
      <c r="L57" s="53"/>
      <c r="M57" s="53"/>
      <c r="N57" s="171"/>
      <c r="O57" s="170"/>
      <c r="P57" s="53"/>
      <c r="Q57" s="53"/>
      <c r="R57" s="53"/>
      <c r="S57" s="171"/>
      <c r="T57" s="170"/>
      <c r="U57" s="53"/>
      <c r="V57" s="53"/>
      <c r="W57" s="53"/>
      <c r="X57" s="171"/>
      <c r="Y57" s="170"/>
      <c r="Z57" s="170"/>
      <c r="AA57" s="170"/>
      <c r="AB57" s="170"/>
      <c r="AC57" s="170"/>
      <c r="AD57" s="53"/>
      <c r="AE57" s="53"/>
    </row>
    <row r="58">
      <c r="A58" s="53"/>
      <c r="B58" s="53" t="str">
        <f>IFERROR(__xludf.DUMMYFUNCTION("""COMPUTED_VALUE"""),"2607A035
Dian fitria
085810088687
Instagram")</f>
        <v>2607A035
Dian fitria
085810088687
Instagram</v>
      </c>
      <c r="C58" s="168" t="str">
        <f>IFERROR(__xludf.DUMMYFUNCTION("""COMPUTED_VALUE"""),"djawatan, green island
 pax
Rp0")</f>
        <v>djawatan, green island
 pax
Rp0</v>
      </c>
      <c r="D58" s="169"/>
      <c r="E58" s="170"/>
      <c r="F58" s="53"/>
      <c r="G58" s="53" t="str">
        <f>IFERROR(__xludf.DUMMYFUNCTION("""COMPUTED_VALUE"""),"2605A182
Tio Martha
081398976079
Instagram")</f>
        <v>2605A182
Tio Martha
081398976079
Instagram</v>
      </c>
      <c r="H58" s="53" t="str">
        <f>IFERROR(__xludf.DUMMYFUNCTION("""COMPUTED_VALUE"""),"3h2m a
46256
6 pax
Rp0")</f>
        <v>3h2m a
46256
6 pax
Rp0</v>
      </c>
      <c r="I58" s="171" t="str">
        <f>IFERROR(__xludf.DUMMYFUNCTION("""COMPUTED_VALUE"""),"buat penawaran 31 mei")</f>
        <v>buat penawaran 31 mei</v>
      </c>
      <c r="J58" s="170"/>
      <c r="K58" s="53"/>
      <c r="L58" s="53"/>
      <c r="M58" s="53"/>
      <c r="N58" s="171"/>
      <c r="O58" s="170"/>
      <c r="P58" s="53"/>
      <c r="Q58" s="53"/>
      <c r="R58" s="53"/>
      <c r="S58" s="171"/>
      <c r="T58" s="170"/>
      <c r="U58" s="53"/>
      <c r="V58" s="53"/>
      <c r="W58" s="53"/>
      <c r="X58" s="171"/>
      <c r="Y58" s="170"/>
      <c r="Z58" s="170"/>
      <c r="AA58" s="170"/>
      <c r="AB58" s="170"/>
      <c r="AC58" s="170"/>
      <c r="AD58" s="53"/>
      <c r="AE58" s="53"/>
    </row>
    <row r="59">
      <c r="A59" s="53"/>
      <c r="B59" s="53" t="str">
        <f>IFERROR(__xludf.DUMMYFUNCTION("""COMPUTED_VALUE"""),"2607A038
Fifi
085156269850
Instagram")</f>
        <v>2607A038
Fifi
085156269850
Instagram</v>
      </c>
      <c r="C59" s="168" t="str">
        <f>IFERROR(__xludf.DUMMYFUNCTION("""COMPUTED_VALUE"""),"3h2m
 pax
Rp0")</f>
        <v>3h2m
 pax
Rp0</v>
      </c>
      <c r="D59" s="169"/>
      <c r="E59" s="170"/>
      <c r="F59" s="53"/>
      <c r="G59" s="53" t="str">
        <f>IFERROR(__xludf.DUMMYFUNCTION("""COMPUTED_VALUE"""),"2605A185
Atik Haidar Hernawan
085335015678
Lainnya")</f>
        <v>2605A185
Atik Haidar Hernawan
085335015678
Lainnya</v>
      </c>
      <c r="H59" s="53" t="str">
        <f>IFERROR(__xludf.DUMMYFUNCTION("""COMPUTED_VALUE"""),"3h2m
3 pax
Rp0")</f>
        <v>3h2m
3 pax
Rp0</v>
      </c>
      <c r="I59" s="171" t="str">
        <f>IFERROR(__xludf.DUMMYFUNCTION("""COMPUTED_VALUE"""),"fu 20 juni")</f>
        <v>fu 20 juni</v>
      </c>
      <c r="J59" s="170"/>
      <c r="K59" s="53"/>
      <c r="L59" s="53"/>
      <c r="M59" s="53"/>
      <c r="N59" s="171"/>
      <c r="O59" s="170"/>
      <c r="P59" s="53"/>
      <c r="Q59" s="53"/>
      <c r="R59" s="53"/>
      <c r="S59" s="171"/>
      <c r="T59" s="170"/>
      <c r="U59" s="53"/>
      <c r="V59" s="53"/>
      <c r="W59" s="53"/>
      <c r="X59" s="171"/>
      <c r="Y59" s="170"/>
      <c r="Z59" s="170"/>
      <c r="AA59" s="170"/>
      <c r="AB59" s="170"/>
      <c r="AC59" s="170"/>
      <c r="AD59" s="53"/>
      <c r="AE59" s="53"/>
    </row>
    <row r="60">
      <c r="A60" s="53"/>
      <c r="B60" s="53" t="str">
        <f>IFERROR(__xludf.DUMMYFUNCTION("""COMPUTED_VALUE"""),"2607A039
Benny
081371627539
Website")</f>
        <v>2607A039
Benny
081371627539
Website</v>
      </c>
      <c r="C60" s="168" t="str">
        <f>IFERROR(__xludf.DUMMYFUNCTION("""COMPUTED_VALUE"""),"trip menjangan tabuhan
 pax
Rp0")</f>
        <v>trip menjangan tabuhan
 pax
Rp0</v>
      </c>
      <c r="D60" s="169"/>
      <c r="E60" s="170"/>
      <c r="F60" s="53"/>
      <c r="G60" s="53" t="str">
        <f>IFERROR(__xludf.DUMMYFUNCTION("""COMPUTED_VALUE"""),"2606A009
Amel
081336558887
Website")</f>
        <v>2606A009
Amel
081336558887
Website</v>
      </c>
      <c r="H60" s="53" t="str">
        <f>IFERROR(__xludf.DUMMYFUNCTION("""COMPUTED_VALUE"""),"2h1m custome
2 pax
Rp4.840.000")</f>
        <v>2h1m custome
2 pax
Rp4.840.000</v>
      </c>
      <c r="I60" s="171" t="str">
        <f>IFERROR(__xludf.DUMMYFUNCTION("""COMPUTED_VALUE"""),"fu 19 juni hanya menyapa")</f>
        <v>fu 19 juni hanya menyapa</v>
      </c>
      <c r="J60" s="170"/>
      <c r="K60" s="53"/>
      <c r="L60" s="53"/>
      <c r="M60" s="53"/>
      <c r="N60" s="171"/>
      <c r="O60" s="170"/>
      <c r="P60" s="53"/>
      <c r="Q60" s="53"/>
      <c r="R60" s="53"/>
      <c r="S60" s="171"/>
      <c r="T60" s="170"/>
      <c r="U60" s="53"/>
      <c r="V60" s="53"/>
      <c r="W60" s="53"/>
      <c r="X60" s="171"/>
      <c r="Y60" s="170"/>
      <c r="Z60" s="170"/>
      <c r="AA60" s="170"/>
      <c r="AB60" s="170"/>
      <c r="AC60" s="170"/>
      <c r="AD60" s="53"/>
      <c r="AE60" s="53"/>
    </row>
    <row r="61">
      <c r="A61" s="53"/>
      <c r="B61" s="53" t="str">
        <f>IFERROR(__xludf.DUMMYFUNCTION("""COMPUTED_VALUE"""),"2607A040
Husnul utami
08567215141
Website")</f>
        <v>2607A040
Husnul utami
08567215141
Website</v>
      </c>
      <c r="C61" s="168" t="str">
        <f>IFERROR(__xludf.DUMMYFUNCTION("""COMPUTED_VALUE"""),"
 pax
Rp0")</f>
        <v>
 pax
Rp0</v>
      </c>
      <c r="D61" s="169"/>
      <c r="E61" s="170"/>
      <c r="F61" s="53"/>
      <c r="G61" s="53" t="str">
        <f>IFERROR(__xludf.DUMMYFUNCTION("""COMPUTED_VALUE"""),"2606A010
Ahmad Yasin Yusuf
082140573838
Website")</f>
        <v>2606A010
Ahmad Yasin Yusuf
082140573838
Website</v>
      </c>
      <c r="H61" s="53" t="str">
        <f>IFERROR(__xludf.DUMMYFUNCTION("""COMPUTED_VALUE"""),"1d ijen
46249
14 pax
Rp3.920.000")</f>
        <v>1d ijen
46249
14 pax
Rp3.920.000</v>
      </c>
      <c r="I61" s="171" t="str">
        <f>IFERROR(__xludf.DUMMYFUNCTION("""COMPUTED_VALUE"""),"fu 27 juni")</f>
        <v>fu 27 juni</v>
      </c>
      <c r="J61" s="170"/>
      <c r="K61" s="53"/>
      <c r="L61" s="53"/>
      <c r="M61" s="53"/>
      <c r="N61" s="171"/>
      <c r="O61" s="170"/>
      <c r="P61" s="53"/>
      <c r="Q61" s="53"/>
      <c r="R61" s="53"/>
      <c r="S61" s="171"/>
      <c r="T61" s="170"/>
      <c r="U61" s="53"/>
      <c r="V61" s="53"/>
      <c r="W61" s="53"/>
      <c r="X61" s="171"/>
      <c r="Y61" s="170"/>
      <c r="Z61" s="170"/>
      <c r="AA61" s="170"/>
      <c r="AB61" s="170"/>
      <c r="AC61" s="170"/>
      <c r="AD61" s="53"/>
      <c r="AE61" s="53"/>
    </row>
    <row r="62">
      <c r="A62" s="53"/>
      <c r="B62" s="53" t="str">
        <f>IFERROR(__xludf.DUMMYFUNCTION("""COMPUTED_VALUE"""),"2607A045
Obi
089650694886
Instagram")</f>
        <v>2607A045
Obi
089650694886
Instagram</v>
      </c>
      <c r="C62" s="168" t="str">
        <f>IFERROR(__xludf.DUMMYFUNCTION("""COMPUTED_VALUE"""),"3h2m
6 pax
Rp0")</f>
        <v>3h2m
6 pax
Rp0</v>
      </c>
      <c r="D62" s="169"/>
      <c r="E62" s="170"/>
      <c r="F62" s="53"/>
      <c r="G62" s="53" t="str">
        <f>IFERROR(__xludf.DUMMYFUNCTION("""COMPUTED_VALUE"""),"2606A011
Shinta Ayu
082132838971
Instagram")</f>
        <v>2606A011
Shinta Ayu
082132838971
Instagram</v>
      </c>
      <c r="H62" s="53" t="str">
        <f>IFERROR(__xludf.DUMMYFUNCTION("""COMPUTED_VALUE"""),"3h2m a
46184
2 pax
Rp4.540.000")</f>
        <v>3h2m a
46184
2 pax
Rp4.540.000</v>
      </c>
      <c r="I62" s="171" t="str">
        <f>IFERROR(__xludf.DUMMYFUNCTION("""COMPUTED_VALUE"""),"fu 5 juni")</f>
        <v>fu 5 juni</v>
      </c>
      <c r="J62" s="170"/>
      <c r="K62" s="53"/>
      <c r="L62" s="53"/>
      <c r="M62" s="53"/>
      <c r="N62" s="171"/>
      <c r="O62" s="170"/>
      <c r="P62" s="53"/>
      <c r="Q62" s="53"/>
      <c r="R62" s="53"/>
      <c r="S62" s="171"/>
      <c r="T62" s="170"/>
      <c r="U62" s="53"/>
      <c r="V62" s="53"/>
      <c r="W62" s="53"/>
      <c r="X62" s="171"/>
      <c r="Y62" s="170"/>
      <c r="Z62" s="170"/>
      <c r="AA62" s="170"/>
      <c r="AB62" s="170"/>
      <c r="AC62" s="170"/>
      <c r="AD62" s="53"/>
      <c r="AE62" s="53"/>
    </row>
    <row r="63">
      <c r="A63" s="53"/>
      <c r="B63" s="53" t="str">
        <f>IFERROR(__xludf.DUMMYFUNCTION("""COMPUTED_VALUE"""),"2607A046
Rizky Ardhian
087710103785
Instagram")</f>
        <v>2607A046
Rizky Ardhian
087710103785
Instagram</v>
      </c>
      <c r="C63" s="168" t="str">
        <f>IFERROR(__xludf.DUMMYFUNCTION("""COMPUTED_VALUE"""),"2h1m
 pax
Rp0")</f>
        <v>2h1m
 pax
Rp0</v>
      </c>
      <c r="D63" s="169"/>
      <c r="E63" s="170"/>
      <c r="F63" s="53"/>
      <c r="G63" s="53" t="str">
        <f>IFERROR(__xludf.DUMMYFUNCTION("""COMPUTED_VALUE"""),"2606A012
Reee
081231263678
Lainnya")</f>
        <v>2606A012
Reee
081231263678
Lainnya</v>
      </c>
      <c r="H63" s="53" t="str">
        <f>IFERROR(__xludf.DUMMYFUNCTION("""COMPUTED_VALUE"""),"pvt mt
46186
5 pax
Rp2.300.000")</f>
        <v>pvt mt
46186
5 pax
Rp2.300.000</v>
      </c>
      <c r="I63" s="171" t="str">
        <f>IFERROR(__xludf.DUMMYFUNCTION("""COMPUTED_VALUE"""),"fu 5 juni")</f>
        <v>fu 5 juni</v>
      </c>
      <c r="J63" s="170"/>
      <c r="K63" s="53"/>
      <c r="L63" s="53"/>
      <c r="M63" s="53"/>
      <c r="N63" s="171"/>
      <c r="O63" s="170"/>
      <c r="P63" s="53"/>
      <c r="Q63" s="53"/>
      <c r="R63" s="53"/>
      <c r="S63" s="171"/>
      <c r="T63" s="170"/>
      <c r="U63" s="53"/>
      <c r="V63" s="53"/>
      <c r="W63" s="53"/>
      <c r="X63" s="171"/>
      <c r="Y63" s="170"/>
      <c r="Z63" s="170"/>
      <c r="AA63" s="170"/>
      <c r="AB63" s="170"/>
      <c r="AC63" s="170"/>
      <c r="AD63" s="53"/>
      <c r="AE63" s="53"/>
    </row>
    <row r="64">
      <c r="A64" s="53"/>
      <c r="B64" s="53" t="str">
        <f>IFERROR(__xludf.DUMMYFUNCTION("""COMPUTED_VALUE"""),"2607A047
Hotline
0811222037
Website")</f>
        <v>2607A047
Hotline
0811222037
Website</v>
      </c>
      <c r="C64" s="168" t="str">
        <f>IFERROR(__xludf.DUMMYFUNCTION("""COMPUTED_VALUE"""),"
 pax
Rp0")</f>
        <v>
 pax
Rp0</v>
      </c>
      <c r="D64" s="169"/>
      <c r="E64" s="170"/>
      <c r="F64" s="53"/>
      <c r="G64" s="53" t="str">
        <f>IFERROR(__xludf.DUMMYFUNCTION("""COMPUTED_VALUE"""),"2606A050
Erma Nurfajriah
085762982172
Instagram")</f>
        <v>2606A050
Erma Nurfajriah
085762982172
Instagram</v>
      </c>
      <c r="H64" s="53" t="str">
        <f>IFERROR(__xludf.DUMMYFUNCTION("""COMPUTED_VALUE"""),"
46184
 pax
Rp0")</f>
        <v>
46184
 pax
Rp0</v>
      </c>
      <c r="I64" s="171"/>
      <c r="J64" s="170"/>
      <c r="K64" s="53"/>
      <c r="L64" s="53"/>
      <c r="M64" s="53"/>
      <c r="N64" s="171"/>
      <c r="O64" s="170"/>
      <c r="P64" s="53"/>
      <c r="Q64" s="53"/>
      <c r="R64" s="53"/>
      <c r="S64" s="171"/>
      <c r="T64" s="170"/>
      <c r="U64" s="53"/>
      <c r="V64" s="53"/>
      <c r="W64" s="53"/>
      <c r="X64" s="171"/>
      <c r="Y64" s="170"/>
      <c r="Z64" s="170"/>
      <c r="AA64" s="170"/>
      <c r="AB64" s="170"/>
      <c r="AC64" s="170"/>
      <c r="AD64" s="53"/>
      <c r="AE64" s="53"/>
    </row>
    <row r="65">
      <c r="A65" s="53"/>
      <c r="B65" s="53" t="str">
        <f>IFERROR(__xludf.DUMMYFUNCTION("""COMPUTED_VALUE"""),"2606A051
Kat
081290273672
Instagram")</f>
        <v>2606A051
Kat
081290273672
Instagram</v>
      </c>
      <c r="C65" s="168" t="str">
        <f>IFERROR(__xludf.DUMMYFUNCTION("""COMPUTED_VALUE"""),"
 pax
Rp0")</f>
        <v>
 pax
Rp0</v>
      </c>
      <c r="D65" s="169"/>
      <c r="E65" s="170"/>
      <c r="F65" s="53"/>
      <c r="G65" s="53" t="str">
        <f>IFERROR(__xludf.DUMMYFUNCTION("""COMPUTED_VALUE"""),"2606A127
Shabrina Kamila
082228618585
Instagram")</f>
        <v>2606A127
Shabrina Kamila
082228618585
Instagram</v>
      </c>
      <c r="H65" s="53" t="str">
        <f>IFERROR(__xludf.DUMMYFUNCTION("""COMPUTED_VALUE"""),"ot menjangan tabuhan
46273
2 pax
Rp800.000")</f>
        <v>ot menjangan tabuhan
46273
2 pax
Rp800.000</v>
      </c>
      <c r="I65" s="171" t="str">
        <f>IFERROR(__xludf.DUMMYFUNCTION("""COMPUTED_VALUE"""),"fu 1 agustus")</f>
        <v>fu 1 agustus</v>
      </c>
      <c r="J65" s="170"/>
      <c r="K65" s="53"/>
      <c r="L65" s="53"/>
      <c r="M65" s="53"/>
      <c r="N65" s="171"/>
      <c r="O65" s="170"/>
      <c r="P65" s="53"/>
      <c r="Q65" s="53"/>
      <c r="R65" s="53"/>
      <c r="S65" s="171"/>
      <c r="T65" s="170"/>
      <c r="U65" s="53"/>
      <c r="V65" s="53"/>
      <c r="W65" s="53"/>
      <c r="X65" s="171"/>
      <c r="Y65" s="170"/>
      <c r="Z65" s="170"/>
      <c r="AA65" s="170"/>
      <c r="AB65" s="170"/>
      <c r="AC65" s="170"/>
      <c r="AD65" s="53"/>
      <c r="AE65" s="53"/>
    </row>
    <row r="66">
      <c r="A66" s="53"/>
      <c r="B66" s="53" t="str">
        <f>IFERROR(__xludf.DUMMYFUNCTION("""COMPUTED_VALUE"""),"2607A056
Tina
081385621094
Instagram")</f>
        <v>2607A056
Tina
081385621094
Instagram</v>
      </c>
      <c r="C66" s="168" t="str">
        <f>IFERROR(__xludf.DUMMYFUNCTION("""COMPUTED_VALUE"""),"2h1m
 pax
Rp0")</f>
        <v>2h1m
 pax
Rp0</v>
      </c>
      <c r="D66" s="169"/>
      <c r="E66" s="170"/>
      <c r="F66" s="53"/>
      <c r="G66" s="53" t="str">
        <f>IFERROR(__xludf.DUMMYFUNCTION("""COMPUTED_VALUE"""),"2606A128
Adist
089524036828
Instagram")</f>
        <v>2606A128
Adist
089524036828
Instagram</v>
      </c>
      <c r="H66" s="53" t="str">
        <f>IFERROR(__xludf.DUMMYFUNCTION("""COMPUTED_VALUE"""),"kawah wurung baluran
2 pax
Rp2.154.000")</f>
        <v>kawah wurung baluran
2 pax
Rp2.154.000</v>
      </c>
      <c r="I66" s="171" t="str">
        <f>IFERROR(__xludf.DUMMYFUNCTION("""COMPUTED_VALUE"""),"fu 8 agustus")</f>
        <v>fu 8 agustus</v>
      </c>
      <c r="J66" s="170"/>
      <c r="K66" s="53"/>
      <c r="L66" s="53"/>
      <c r="M66" s="53"/>
      <c r="N66" s="171"/>
      <c r="O66" s="170"/>
      <c r="P66" s="53"/>
      <c r="Q66" s="53"/>
      <c r="R66" s="53"/>
      <c r="S66" s="171"/>
      <c r="T66" s="170"/>
      <c r="U66" s="53"/>
      <c r="V66" s="53"/>
      <c r="W66" s="53"/>
      <c r="X66" s="171"/>
      <c r="Y66" s="170"/>
      <c r="Z66" s="170"/>
      <c r="AA66" s="170"/>
      <c r="AB66" s="170"/>
      <c r="AC66" s="170"/>
      <c r="AD66" s="53"/>
      <c r="AE66" s="53"/>
    </row>
    <row r="67">
      <c r="A67" s="53"/>
      <c r="B67" s="53" t="str">
        <f>IFERROR(__xludf.DUMMYFUNCTION("""COMPUTED_VALUE"""),"2607A058
Anja
089502185680
Instagram")</f>
        <v>2607A058
Anja
089502185680
Instagram</v>
      </c>
      <c r="C67" s="168" t="str">
        <f>IFERROR(__xludf.DUMMYFUNCTION("""COMPUTED_VALUE"""),"3h2m
81 pax
Rp0")</f>
        <v>3h2m
81 pax
Rp0</v>
      </c>
      <c r="D67" s="169"/>
      <c r="E67" s="170"/>
      <c r="F67" s="53"/>
      <c r="G67" s="53" t="str">
        <f>IFERROR(__xludf.DUMMYFUNCTION("""COMPUTED_VALUE"""),"2606A153
Nora
082277733031
Instagram")</f>
        <v>2606A153
Nora
082277733031
Instagram</v>
      </c>
      <c r="H67" s="53" t="str">
        <f>IFERROR(__xludf.DUMMYFUNCTION("""COMPUTED_VALUE"""),"ot menjangan-tabuhan
46201
1 pax
Rp0")</f>
        <v>ot menjangan-tabuhan
46201
1 pax
Rp0</v>
      </c>
      <c r="I67" s="171"/>
      <c r="J67" s="170"/>
      <c r="K67" s="53"/>
      <c r="L67" s="53"/>
      <c r="M67" s="53"/>
      <c r="N67" s="171"/>
      <c r="O67" s="170"/>
      <c r="P67" s="53"/>
      <c r="Q67" s="53"/>
      <c r="R67" s="53"/>
      <c r="S67" s="171"/>
      <c r="T67" s="170"/>
      <c r="U67" s="53"/>
      <c r="V67" s="53"/>
      <c r="W67" s="53"/>
      <c r="X67" s="171"/>
      <c r="Y67" s="170"/>
      <c r="Z67" s="170"/>
      <c r="AA67" s="170"/>
      <c r="AB67" s="170"/>
      <c r="AC67" s="170"/>
      <c r="AD67" s="53"/>
      <c r="AE67" s="53"/>
    </row>
    <row r="68">
      <c r="A68" s="53"/>
      <c r="B68" s="53" t="str">
        <f>IFERROR(__xludf.DUMMYFUNCTION("""COMPUTED_VALUE"""),"2607A059
Welan
081286863086
Instagram")</f>
        <v>2607A059
Welan
081286863086
Instagram</v>
      </c>
      <c r="C68" s="168" t="str">
        <f>IFERROR(__xludf.DUMMYFUNCTION("""COMPUTED_VALUE"""),"
 pax
Rp0")</f>
        <v>
 pax
Rp0</v>
      </c>
      <c r="D68" s="169"/>
      <c r="E68" s="170"/>
      <c r="F68" s="53"/>
      <c r="G68" s="53" t="str">
        <f>IFERROR(__xludf.DUMMYFUNCTION("""COMPUTED_VALUE"""),"2606A159
Retno puspo dewi
085741929888
Instagram")</f>
        <v>2606A159
Retno puspo dewi
085741929888
Instagram</v>
      </c>
      <c r="H68" s="53" t="str">
        <f>IFERROR(__xludf.DUMMYFUNCTION("""COMPUTED_VALUE"""),"ot menjangan tabuhan
46213
9 pax
Rp0")</f>
        <v>ot menjangan tabuhan
46213
9 pax
Rp0</v>
      </c>
      <c r="I68" s="171"/>
      <c r="J68" s="170"/>
      <c r="K68" s="53"/>
      <c r="L68" s="53"/>
      <c r="M68" s="53"/>
      <c r="N68" s="171"/>
      <c r="O68" s="170"/>
      <c r="P68" s="53"/>
      <c r="Q68" s="53"/>
      <c r="R68" s="53"/>
      <c r="S68" s="171"/>
      <c r="T68" s="170"/>
      <c r="U68" s="53"/>
      <c r="V68" s="53"/>
      <c r="W68" s="53"/>
      <c r="X68" s="171"/>
      <c r="Y68" s="170"/>
      <c r="Z68" s="170"/>
      <c r="AA68" s="170"/>
      <c r="AB68" s="170"/>
      <c r="AC68" s="170"/>
      <c r="AD68" s="53"/>
      <c r="AE68" s="53"/>
    </row>
    <row r="69">
      <c r="A69" s="53"/>
      <c r="B69" s="53" t="str">
        <f>IFERROR(__xludf.DUMMYFUNCTION("""COMPUTED_VALUE"""),"2607A061
Nawal
087727562567
Lainnya")</f>
        <v>2607A061
Nawal
087727562567
Lainnya</v>
      </c>
      <c r="C69" s="168" t="str">
        <f>IFERROR(__xludf.DUMMYFUNCTION("""COMPUTED_VALUE"""),"
 pax
Rp0")</f>
        <v>
 pax
Rp0</v>
      </c>
      <c r="D69" s="169" t="str">
        <f>IFERROR(__xludf.DUMMYFUNCTION("""COMPUTED_VALUE"""),"lanjutan si arif")</f>
        <v>lanjutan si arif</v>
      </c>
      <c r="E69" s="170"/>
      <c r="F69" s="53"/>
      <c r="G69" s="53" t="str">
        <f>IFERROR(__xludf.DUMMYFUNCTION("""COMPUTED_VALUE"""),"2606A189
Rheina
087878473633
Instagram")</f>
        <v>2606A189
Rheina
087878473633
Instagram</v>
      </c>
      <c r="H69" s="53" t="str">
        <f>IFERROR(__xludf.DUMMYFUNCTION("""COMPUTED_VALUE"""),"ot 3h2m
5 pax
Rp0")</f>
        <v>ot 3h2m
5 pax
Rp0</v>
      </c>
      <c r="I69" s="171"/>
      <c r="J69" s="170"/>
      <c r="K69" s="53"/>
      <c r="L69" s="53"/>
      <c r="M69" s="53"/>
      <c r="N69" s="171"/>
      <c r="O69" s="170"/>
      <c r="P69" s="53"/>
      <c r="Q69" s="53"/>
      <c r="R69" s="53"/>
      <c r="S69" s="171"/>
      <c r="T69" s="170"/>
      <c r="U69" s="53"/>
      <c r="V69" s="53"/>
      <c r="W69" s="53"/>
      <c r="X69" s="171"/>
      <c r="Y69" s="170"/>
      <c r="Z69" s="170"/>
      <c r="AA69" s="170"/>
      <c r="AB69" s="170"/>
      <c r="AC69" s="170"/>
      <c r="AD69" s="53"/>
      <c r="AE69" s="53"/>
    </row>
    <row r="70">
      <c r="A70" s="53"/>
      <c r="B70" s="53" t="str">
        <f>IFERROR(__xludf.DUMMYFUNCTION("""COMPUTED_VALUE"""),"2607A064
iip
082113782323
Website")</f>
        <v>2607A064
iip
082113782323
Website</v>
      </c>
      <c r="C70" s="168" t="str">
        <f>IFERROR(__xludf.DUMMYFUNCTION("""COMPUTED_VALUE"""),"4h3m
4 pax
Rp0")</f>
        <v>4h3m
4 pax
Rp0</v>
      </c>
      <c r="D70" s="169"/>
      <c r="E70" s="170"/>
      <c r="F70" s="53"/>
      <c r="G70" s="53" t="str">
        <f>IFERROR(__xludf.DUMMYFUNCTION("""COMPUTED_VALUE"""),"2607A010
Maya louise
082117667550
Website")</f>
        <v>2607A010
Maya louise
082117667550
Website</v>
      </c>
      <c r="H70" s="53" t="str">
        <f>IFERROR(__xludf.DUMMYFUNCTION("""COMPUTED_VALUE"""),"3h2m
 pax
Rp0")</f>
        <v>3h2m
 pax
Rp0</v>
      </c>
      <c r="I70" s="171"/>
      <c r="J70" s="170"/>
      <c r="K70" s="53"/>
      <c r="L70" s="53"/>
      <c r="M70" s="53"/>
      <c r="N70" s="171"/>
      <c r="O70" s="170"/>
      <c r="P70" s="53"/>
      <c r="Q70" s="53"/>
      <c r="R70" s="53"/>
      <c r="S70" s="171"/>
      <c r="T70" s="170"/>
      <c r="U70" s="53"/>
      <c r="V70" s="53"/>
      <c r="W70" s="53"/>
      <c r="X70" s="171"/>
      <c r="Y70" s="170"/>
      <c r="Z70" s="170"/>
      <c r="AA70" s="170"/>
      <c r="AB70" s="170"/>
      <c r="AC70" s="170"/>
      <c r="AD70" s="53"/>
      <c r="AE70" s="53"/>
    </row>
    <row r="71">
      <c r="A71" s="53"/>
      <c r="B71" s="53" t="str">
        <f>IFERROR(__xludf.DUMMYFUNCTION("""COMPUTED_VALUE"""),"2607A065
SAP
088215224940
Lainnya")</f>
        <v>2607A065
SAP
088215224940
Lainnya</v>
      </c>
      <c r="C71" s="168" t="str">
        <f>IFERROR(__xludf.DUMMYFUNCTION("""COMPUTED_VALUE"""),"ot 3h2m
46216
1 pax
Rp1.600.000")</f>
        <v>ot 3h2m
46216
1 pax
Rp1.600.000</v>
      </c>
      <c r="D71" s="169" t="str">
        <f>IFERROR(__xludf.DUMMYFUNCTION("""COMPUTED_VALUE"""),"fu kalau ada ot 3h2m juli")</f>
        <v>fu kalau ada ot 3h2m juli</v>
      </c>
      <c r="E71" s="170"/>
      <c r="F71" s="53"/>
      <c r="G71" s="53" t="str">
        <f>IFERROR(__xludf.DUMMYFUNCTION("""COMPUTED_VALUE"""),"2607A027
Bella Fahillah
081319895179
Instagram")</f>
        <v>2607A027
Bella Fahillah
081319895179
Instagram</v>
      </c>
      <c r="H71" s="53" t="str">
        <f>IFERROR(__xludf.DUMMYFUNCTION("""COMPUTED_VALUE"""),"ot 3h2m
2 pax
Rp3.200.000")</f>
        <v>ot 3h2m
2 pax
Rp3.200.000</v>
      </c>
      <c r="I71" s="171"/>
      <c r="J71" s="170"/>
      <c r="K71" s="53"/>
      <c r="L71" s="53"/>
      <c r="M71" s="53"/>
      <c r="N71" s="171"/>
      <c r="O71" s="170"/>
      <c r="P71" s="53"/>
      <c r="Q71" s="53"/>
      <c r="R71" s="53"/>
      <c r="S71" s="171"/>
      <c r="T71" s="170"/>
      <c r="U71" s="53"/>
      <c r="V71" s="53"/>
      <c r="W71" s="53"/>
      <c r="X71" s="171"/>
      <c r="Y71" s="170"/>
      <c r="Z71" s="170"/>
      <c r="AA71" s="170"/>
      <c r="AB71" s="170"/>
      <c r="AC71" s="170"/>
      <c r="AD71" s="53"/>
      <c r="AE71" s="53"/>
    </row>
    <row r="72">
      <c r="A72" s="53"/>
      <c r="B72" s="53" t="str">
        <f>IFERROR(__xludf.DUMMYFUNCTION("""COMPUTED_VALUE"""),"2607A067
Ria
082160925717
Tiktok")</f>
        <v>2607A067
Ria
082160925717
Tiktok</v>
      </c>
      <c r="C72" s="168" t="str">
        <f>IFERROR(__xludf.DUMMYFUNCTION("""COMPUTED_VALUE"""),"ot mt
46231
4 pax
Rp1.900.000")</f>
        <v>ot mt
46231
4 pax
Rp1.900.000</v>
      </c>
      <c r="D72" s="169" t="str">
        <f>IFERROR(__xludf.DUMMYFUNCTION("""COMPUTED_VALUE"""),"belum ada jawaban. fu 27 juli")</f>
        <v>belum ada jawaban. fu 27 juli</v>
      </c>
      <c r="E72" s="170"/>
      <c r="F72" s="53"/>
      <c r="G72" s="53" t="str">
        <f>IFERROR(__xludf.DUMMYFUNCTION("""COMPUTED_VALUE"""),"2607A036
Tri Asti
085704142819
Instagram")</f>
        <v>2607A036
Tri Asti
085704142819
Instagram</v>
      </c>
      <c r="H72" s="53" t="str">
        <f>IFERROR(__xludf.DUMMYFUNCTION("""COMPUTED_VALUE"""),"ot mt
46249
100 pax
Rp0")</f>
        <v>ot mt
46249
100 pax
Rp0</v>
      </c>
      <c r="I72" s="171"/>
      <c r="J72" s="170"/>
      <c r="K72" s="53"/>
      <c r="L72" s="53"/>
      <c r="M72" s="53"/>
      <c r="N72" s="171"/>
      <c r="O72" s="170"/>
      <c r="P72" s="53"/>
      <c r="Q72" s="53"/>
      <c r="R72" s="53"/>
      <c r="S72" s="171"/>
      <c r="T72" s="170"/>
      <c r="U72" s="53"/>
      <c r="V72" s="53"/>
      <c r="W72" s="53"/>
      <c r="X72" s="171"/>
      <c r="Y72" s="170"/>
      <c r="Z72" s="170"/>
      <c r="AA72" s="170"/>
      <c r="AB72" s="170"/>
      <c r="AC72" s="170"/>
      <c r="AD72" s="53"/>
      <c r="AE72" s="53"/>
    </row>
    <row r="73">
      <c r="A73" s="53"/>
      <c r="B73" s="53" t="str">
        <f>IFERROR(__xludf.DUMMYFUNCTION("""COMPUTED_VALUE"""),"2607A068
Ririn
081395097278
Instagram")</f>
        <v>2607A068
Ririn
081395097278
Instagram</v>
      </c>
      <c r="C73" s="168" t="str">
        <f>IFERROR(__xludf.DUMMYFUNCTION("""COMPUTED_VALUE"""),"ot 3h2m
2 pax
Rp0")</f>
        <v>ot 3h2m
2 pax
Rp0</v>
      </c>
      <c r="D73" s="169" t="str">
        <f>IFERROR(__xludf.DUMMYFUNCTION("""COMPUTED_VALUE"""),"fu 31 juli")</f>
        <v>fu 31 juli</v>
      </c>
      <c r="E73" s="170"/>
      <c r="F73" s="53"/>
      <c r="G73" s="53" t="str">
        <f>IFERROR(__xludf.DUMMYFUNCTION("""COMPUTED_VALUE"""),"2607A037
Raditya Hadi
089669300224
Website")</f>
        <v>2607A037
Raditya Hadi
089669300224
Website</v>
      </c>
      <c r="H73" s="53" t="str">
        <f>IFERROR(__xludf.DUMMYFUNCTION("""COMPUTED_VALUE"""),"3h2m custom
46247
2 pax
Rp0")</f>
        <v>3h2m custom
46247
2 pax
Rp0</v>
      </c>
      <c r="I73" s="171" t="str">
        <f>IFERROR(__xludf.DUMMYFUNCTION("""COMPUTED_VALUE"""),"fu 1 gustus")</f>
        <v>fu 1 gustus</v>
      </c>
      <c r="J73" s="170"/>
      <c r="K73" s="53"/>
      <c r="L73" s="53"/>
      <c r="M73" s="53"/>
      <c r="N73" s="171"/>
      <c r="O73" s="170"/>
      <c r="P73" s="53"/>
      <c r="Q73" s="53"/>
      <c r="R73" s="53"/>
      <c r="S73" s="171"/>
      <c r="T73" s="170"/>
      <c r="U73" s="53"/>
      <c r="V73" s="53"/>
      <c r="W73" s="53"/>
      <c r="X73" s="171"/>
      <c r="Y73" s="170"/>
      <c r="Z73" s="170"/>
      <c r="AA73" s="170"/>
      <c r="AB73" s="170"/>
      <c r="AC73" s="170"/>
      <c r="AD73" s="53"/>
      <c r="AE73" s="53"/>
    </row>
    <row r="74">
      <c r="A74" s="53"/>
      <c r="B74" s="53" t="str">
        <f>IFERROR(__xludf.DUMMYFUNCTION("""COMPUTED_VALUE"""),"2607A070
Yafi Diningrat
081461138919
Instagram")</f>
        <v>2607A070
Yafi Diningrat
081461138919
Instagram</v>
      </c>
      <c r="C74" s="168" t="str">
        <f>IFERROR(__xludf.DUMMYFUNCTION("""COMPUTED_VALUE"""),"3h2m
 pax
Rp0")</f>
        <v>3h2m
 pax
Rp0</v>
      </c>
      <c r="D74" s="169"/>
      <c r="E74" s="170"/>
      <c r="F74" s="53"/>
      <c r="G74" s="53" t="str">
        <f>IFERROR(__xludf.DUMMYFUNCTION("""COMPUTED_VALUE"""),"2607A053
Ryo
08170929888
Instagram")</f>
        <v>2607A053
Ryo
08170929888
Instagram</v>
      </c>
      <c r="H74" s="53" t="str">
        <f>IFERROR(__xludf.DUMMYFUNCTION("""COMPUTED_VALUE"""),"ot mt, ot kawah ijen
 pax
Rp0")</f>
        <v>ot mt, ot kawah ijen
 pax
Rp0</v>
      </c>
      <c r="I74" s="171"/>
      <c r="J74" s="170"/>
      <c r="K74" s="53"/>
      <c r="L74" s="53"/>
      <c r="M74" s="53"/>
      <c r="N74" s="171"/>
      <c r="O74" s="170"/>
      <c r="P74" s="53"/>
      <c r="Q74" s="53"/>
      <c r="R74" s="53"/>
      <c r="S74" s="171"/>
      <c r="T74" s="170"/>
      <c r="U74" s="53"/>
      <c r="V74" s="53"/>
      <c r="W74" s="53"/>
      <c r="X74" s="171"/>
      <c r="Y74" s="170"/>
      <c r="Z74" s="170"/>
      <c r="AA74" s="170"/>
      <c r="AB74" s="170"/>
      <c r="AC74" s="170"/>
      <c r="AD74" s="53"/>
      <c r="AE74" s="53"/>
    </row>
    <row r="75">
      <c r="A75" s="53"/>
      <c r="B75" s="53" t="str">
        <f>IFERROR(__xludf.DUMMYFUNCTION("""COMPUTED_VALUE"""),"2607A071
Dindanh
0895611937365
Instagram")</f>
        <v>2607A071
Dindanh
0895611937365
Instagram</v>
      </c>
      <c r="C75" s="168" t="str">
        <f>IFERROR(__xludf.DUMMYFUNCTION("""COMPUTED_VALUE"""),"ot mt
 pax
Rp0")</f>
        <v>ot mt
 pax
Rp0</v>
      </c>
      <c r="D75" s="169"/>
      <c r="E75" s="170"/>
      <c r="F75" s="53"/>
      <c r="G75" s="53" t="str">
        <f>IFERROR(__xludf.DUMMYFUNCTION("""COMPUTED_VALUE"""),"2607A060
Arif
085156825258
Website")</f>
        <v>2607A060
Arif
085156825258
Website</v>
      </c>
      <c r="H75" s="53" t="str">
        <f>IFERROR(__xludf.DUMMYFUNCTION("""COMPUTED_VALUE"""),"2h1m
 pax
Rp0")</f>
        <v>2h1m
 pax
Rp0</v>
      </c>
      <c r="I75" s="171"/>
      <c r="J75" s="170"/>
      <c r="K75" s="53"/>
      <c r="L75" s="53"/>
      <c r="M75" s="53"/>
      <c r="N75" s="171"/>
      <c r="O75" s="170"/>
      <c r="P75" s="53"/>
      <c r="Q75" s="53"/>
      <c r="R75" s="53"/>
      <c r="S75" s="171"/>
      <c r="T75" s="170"/>
      <c r="U75" s="53"/>
      <c r="V75" s="53"/>
      <c r="W75" s="53"/>
      <c r="X75" s="171"/>
      <c r="Y75" s="170"/>
      <c r="Z75" s="170"/>
      <c r="AA75" s="170"/>
      <c r="AB75" s="170"/>
      <c r="AC75" s="170"/>
      <c r="AD75" s="53"/>
      <c r="AE75" s="53"/>
    </row>
    <row r="76">
      <c r="A76" s="53"/>
      <c r="B76" s="53" t="str">
        <f>IFERROR(__xludf.DUMMYFUNCTION("""COMPUTED_VALUE"""),"2607A072
Kiki D Tamara
085280034034
Instagram")</f>
        <v>2607A072
Kiki D Tamara
085280034034
Instagram</v>
      </c>
      <c r="C76" s="168" t="str">
        <f>IFERROR(__xludf.DUMMYFUNCTION("""COMPUTED_VALUE"""),"one day trip baluran
 pax
Rp0")</f>
        <v>one day trip baluran
 pax
Rp0</v>
      </c>
      <c r="D76" s="169"/>
      <c r="E76" s="170"/>
      <c r="F76" s="53"/>
      <c r="G76" s="53" t="str">
        <f>IFERROR(__xludf.DUMMYFUNCTION("""COMPUTED_VALUE"""),"2607A075
Anggita
089633806802
Instagram")</f>
        <v>2607A075
Anggita
089633806802
Instagram</v>
      </c>
      <c r="H76" s="53" t="str">
        <f>IFERROR(__xludf.DUMMYFUNCTION("""COMPUTED_VALUE"""),"ot 3h2m
2 pax
Rp3.200.000")</f>
        <v>ot 3h2m
2 pax
Rp3.200.000</v>
      </c>
      <c r="I76" s="171" t="str">
        <f>IFERROR(__xludf.DUMMYFUNCTION("""COMPUTED_VALUE"""),"fu 1 november")</f>
        <v>fu 1 november</v>
      </c>
      <c r="J76" s="170"/>
      <c r="K76" s="53"/>
      <c r="L76" s="53"/>
      <c r="M76" s="53"/>
      <c r="N76" s="171"/>
      <c r="O76" s="170"/>
      <c r="P76" s="53"/>
      <c r="Q76" s="53"/>
      <c r="R76" s="53"/>
      <c r="S76" s="171"/>
      <c r="T76" s="170"/>
      <c r="U76" s="53"/>
      <c r="V76" s="53"/>
      <c r="W76" s="53"/>
      <c r="X76" s="171"/>
      <c r="Y76" s="170"/>
      <c r="Z76" s="170"/>
      <c r="AA76" s="170"/>
      <c r="AB76" s="170"/>
      <c r="AC76" s="170"/>
      <c r="AD76" s="53"/>
      <c r="AE76" s="53"/>
    </row>
    <row r="77">
      <c r="A77" s="53"/>
      <c r="B77" s="53" t="str">
        <f>IFERROR(__xludf.DUMMYFUNCTION("""COMPUTED_VALUE"""),"2607A073
Sahwa F
087883257780
Instagram")</f>
        <v>2607A073
Sahwa F
087883257780
Instagram</v>
      </c>
      <c r="C77" s="168" t="str">
        <f>IFERROR(__xludf.DUMMYFUNCTION("""COMPUTED_VALUE"""),"ot 2h1m
 pax
Rp0")</f>
        <v>ot 2h1m
 pax
Rp0</v>
      </c>
      <c r="D77" s="169"/>
      <c r="E77" s="170"/>
      <c r="F77" s="53"/>
      <c r="G77" s="53" t="str">
        <f>IFERROR(__xludf.DUMMYFUNCTION("""COMPUTED_VALUE"""),"2607A082
Angle
082199531598
Instagram")</f>
        <v>2607A082
Angle
082199531598
Instagram</v>
      </c>
      <c r="H77" s="53" t="str">
        <f>IFERROR(__xludf.DUMMYFUNCTION("""COMPUTED_VALUE"""),"3h2m
46225
5 pax
Rp0")</f>
        <v>3h2m
46225
5 pax
Rp0</v>
      </c>
      <c r="I77" s="171"/>
      <c r="J77" s="170"/>
      <c r="K77" s="53"/>
      <c r="L77" s="53"/>
      <c r="M77" s="53"/>
      <c r="N77" s="171"/>
      <c r="O77" s="170"/>
      <c r="P77" s="53"/>
      <c r="Q77" s="53"/>
      <c r="R77" s="53"/>
      <c r="S77" s="171"/>
      <c r="T77" s="170"/>
      <c r="U77" s="53"/>
      <c r="V77" s="53"/>
      <c r="W77" s="53"/>
      <c r="X77" s="171"/>
      <c r="Y77" s="170"/>
      <c r="Z77" s="170"/>
      <c r="AA77" s="170"/>
      <c r="AB77" s="170"/>
      <c r="AC77" s="170"/>
      <c r="AD77" s="53"/>
      <c r="AE77" s="53"/>
    </row>
    <row r="78">
      <c r="A78" s="53"/>
      <c r="B78" s="53" t="str">
        <f>IFERROR(__xludf.DUMMYFUNCTION("""COMPUTED_VALUE"""),"2607A074
Alviona
081360338914
Instagram")</f>
        <v>2607A074
Alviona
081360338914
Instagram</v>
      </c>
      <c r="C78" s="168" t="str">
        <f>IFERROR(__xludf.DUMMYFUNCTION("""COMPUTED_VALUE"""),"ot mt
46215
5 pax
Rp0")</f>
        <v>ot mt
46215
5 pax
Rp0</v>
      </c>
      <c r="D78" s="169"/>
      <c r="E78" s="170"/>
      <c r="F78" s="53"/>
      <c r="G78" s="53" t="str">
        <f>IFERROR(__xludf.DUMMYFUNCTION("""COMPUTED_VALUE"""),"2607A088
Lindhuet
082136993306
Website")</f>
        <v>2607A088
Lindhuet
082136993306
Website</v>
      </c>
      <c r="H78" s="53" t="str">
        <f>IFERROR(__xludf.DUMMYFUNCTION("""COMPUTED_VALUE"""),"3h2m
4 pax
Rp6.808.000")</f>
        <v>3h2m
4 pax
Rp6.808.000</v>
      </c>
      <c r="I78" s="171" t="str">
        <f>IFERROR(__xludf.DUMMYFUNCTION("""COMPUTED_VALUE"""),"fu 5 november")</f>
        <v>fu 5 november</v>
      </c>
      <c r="J78" s="170"/>
      <c r="K78" s="53"/>
      <c r="L78" s="53"/>
      <c r="M78" s="53"/>
      <c r="N78" s="171"/>
      <c r="O78" s="170"/>
      <c r="P78" s="53"/>
      <c r="Q78" s="53"/>
      <c r="R78" s="53"/>
      <c r="S78" s="171"/>
      <c r="T78" s="170"/>
      <c r="U78" s="53"/>
      <c r="V78" s="53"/>
      <c r="W78" s="53"/>
      <c r="X78" s="171"/>
      <c r="Y78" s="170"/>
      <c r="Z78" s="170"/>
      <c r="AA78" s="170"/>
      <c r="AB78" s="170"/>
      <c r="AC78" s="170"/>
      <c r="AD78" s="53"/>
      <c r="AE78" s="53"/>
    </row>
    <row r="79">
      <c r="A79" s="53"/>
      <c r="B79" s="53" t="str">
        <f>IFERROR(__xludf.DUMMYFUNCTION("""COMPUTED_VALUE"""),"2607A076
Nita
0895810866664
Instagram")</f>
        <v>2607A076
Nita
0895810866664
Instagram</v>
      </c>
      <c r="C79" s="168" t="str">
        <f>IFERROR(__xludf.DUMMYFUNCTION("""COMPUTED_VALUE"""),"2h1m
 pax
Rp0")</f>
        <v>2h1m
 pax
Rp0</v>
      </c>
      <c r="D79" s="169"/>
      <c r="E79" s="170"/>
      <c r="F79" s="53"/>
      <c r="G79" s="53" t="str">
        <f>IFERROR(__xludf.DUMMYFUNCTION("""COMPUTED_VALUE"""),"2607A092
Yohana Alfine
085133290757
Website")</f>
        <v>2607A092
Yohana Alfine
085133290757
Website</v>
      </c>
      <c r="H79" s="53" t="str">
        <f>IFERROR(__xludf.DUMMYFUNCTION("""COMPUTED_VALUE"""),"2h1m custom
6 pax
Rp6.120.000")</f>
        <v>2h1m custom
6 pax
Rp6.120.000</v>
      </c>
      <c r="I79" s="171" t="str">
        <f>IFERROR(__xludf.DUMMYFUNCTION("""COMPUTED_VALUE"""),"fu 18 Juli")</f>
        <v>fu 18 Juli</v>
      </c>
      <c r="J79" s="170"/>
      <c r="K79" s="53"/>
      <c r="L79" s="53"/>
      <c r="M79" s="53"/>
      <c r="N79" s="171"/>
      <c r="O79" s="170"/>
      <c r="P79" s="53"/>
      <c r="Q79" s="53"/>
      <c r="R79" s="53"/>
      <c r="S79" s="171"/>
      <c r="T79" s="170"/>
      <c r="U79" s="53"/>
      <c r="V79" s="53"/>
      <c r="W79" s="53"/>
      <c r="X79" s="171"/>
      <c r="Y79" s="170"/>
      <c r="Z79" s="170"/>
      <c r="AA79" s="170"/>
      <c r="AB79" s="170"/>
      <c r="AC79" s="170"/>
      <c r="AD79" s="53"/>
      <c r="AE79" s="53"/>
    </row>
    <row r="80">
      <c r="A80" s="53"/>
      <c r="B80" s="53" t="str">
        <f>IFERROR(__xludf.DUMMYFUNCTION("""COMPUTED_VALUE"""),"2607A078
S
0816522962
Lainnya")</f>
        <v>2607A078
S
0816522962
Lainnya</v>
      </c>
      <c r="C80" s="168" t="str">
        <f>IFERROR(__xludf.DUMMYFUNCTION("""COMPUTED_VALUE"""),"
 pax
Rp0")</f>
        <v>
 pax
Rp0</v>
      </c>
      <c r="D80" s="169"/>
      <c r="E80" s="170"/>
      <c r="F80" s="53"/>
      <c r="G80" s="53" t="str">
        <f>IFERROR(__xludf.DUMMYFUNCTION("""COMPUTED_VALUE"""),"2607A095
Indri
081287471173
Instagram")</f>
        <v>2607A095
Indri
081287471173
Instagram</v>
      </c>
      <c r="H80" s="53" t="str">
        <f>IFERROR(__xludf.DUMMYFUNCTION("""COMPUTED_VALUE"""),"2h1m custome
46260
4 pax
Rp5.000.000")</f>
        <v>2h1m custome
46260
4 pax
Rp5.000.000</v>
      </c>
      <c r="I80" s="171" t="str">
        <f>IFERROR(__xludf.DUMMYFUNCTION("""COMPUTED_VALUE"""),"fu 1 agustus")</f>
        <v>fu 1 agustus</v>
      </c>
      <c r="J80" s="170"/>
      <c r="K80" s="53"/>
      <c r="L80" s="53"/>
      <c r="M80" s="53"/>
      <c r="N80" s="171"/>
      <c r="O80" s="170"/>
      <c r="P80" s="53"/>
      <c r="Q80" s="53"/>
      <c r="R80" s="53"/>
      <c r="S80" s="171"/>
      <c r="T80" s="170"/>
      <c r="U80" s="53"/>
      <c r="V80" s="53"/>
      <c r="W80" s="53"/>
      <c r="X80" s="171"/>
      <c r="Y80" s="170"/>
      <c r="Z80" s="170"/>
      <c r="AA80" s="170"/>
      <c r="AB80" s="170"/>
      <c r="AC80" s="170"/>
      <c r="AD80" s="53"/>
      <c r="AE80" s="53"/>
    </row>
    <row r="81">
      <c r="A81" s="53"/>
      <c r="B81" s="53" t="str">
        <f>IFERROR(__xludf.DUMMYFUNCTION("""COMPUTED_VALUE"""),"2607A079
Weriyanti
082130675113
Instagram")</f>
        <v>2607A079
Weriyanti
082130675113
Instagram</v>
      </c>
      <c r="C81" s="168" t="str">
        <f>IFERROR(__xludf.DUMMYFUNCTION("""COMPUTED_VALUE"""),"
 pax
Rp0")</f>
        <v>
 pax
Rp0</v>
      </c>
      <c r="D81" s="169"/>
      <c r="E81" s="170"/>
      <c r="F81" s="53"/>
      <c r="G81" s="53" t="str">
        <f>IFERROR(__xludf.DUMMYFUNCTION("""COMPUTED_VALUE"""),"2607A096
Rahmawati.nurf
085524477985
Instagram")</f>
        <v>2607A096
Rahmawati.nurf
085524477985
Instagram</v>
      </c>
      <c r="H81" s="53" t="str">
        <f>IFERROR(__xludf.DUMMYFUNCTION("""COMPUTED_VALUE"""),"3h2m opsi a
2 pax
Rp6.128.000")</f>
        <v>3h2m opsi a
2 pax
Rp6.128.000</v>
      </c>
      <c r="I81" s="171" t="str">
        <f>IFERROR(__xludf.DUMMYFUNCTION("""COMPUTED_VALUE"""),"fu 25 november")</f>
        <v>fu 25 november</v>
      </c>
      <c r="J81" s="170"/>
      <c r="K81" s="53"/>
      <c r="L81" s="53"/>
      <c r="M81" s="53"/>
      <c r="N81" s="171"/>
      <c r="O81" s="170"/>
      <c r="P81" s="53"/>
      <c r="Q81" s="53"/>
      <c r="R81" s="53"/>
      <c r="S81" s="171"/>
      <c r="T81" s="170"/>
      <c r="U81" s="53"/>
      <c r="V81" s="53"/>
      <c r="W81" s="53"/>
      <c r="X81" s="171"/>
      <c r="Y81" s="170"/>
      <c r="Z81" s="170"/>
      <c r="AA81" s="170"/>
      <c r="AB81" s="170"/>
      <c r="AC81" s="170"/>
      <c r="AD81" s="53"/>
      <c r="AE81" s="53"/>
    </row>
    <row r="82">
      <c r="A82" s="53"/>
      <c r="B82" s="53" t="str">
        <f>IFERROR(__xludf.DUMMYFUNCTION("""COMPUTED_VALUE"""),"2607A080
Ayut
081328286644
Instagram")</f>
        <v>2607A080
Ayut
081328286644
Instagram</v>
      </c>
      <c r="C82" s="168" t="str">
        <f>IFERROR(__xludf.DUMMYFUNCTION("""COMPUTED_VALUE"""),"ot mt
46215
4 pax
Rp0")</f>
        <v>ot mt
46215
4 pax
Rp0</v>
      </c>
      <c r="D82" s="169"/>
      <c r="E82" s="170"/>
      <c r="F82" s="53"/>
      <c r="G82" s="53" t="str">
        <f>IFERROR(__xludf.DUMMYFUNCTION("""COMPUTED_VALUE"""),"2607A100
Suyati Edisun
08158845650
Lainnya")</f>
        <v>2607A100
Suyati Edisun
08158845650
Lainnya</v>
      </c>
      <c r="H82" s="53" t="str">
        <f>IFERROR(__xludf.DUMMYFUNCTION("""COMPUTED_VALUE"""),"3h2m opsi a
10 pax
Rp11.320.000")</f>
        <v>3h2m opsi a
10 pax
Rp11.320.000</v>
      </c>
      <c r="I82" s="171" t="str">
        <f>IFERROR(__xludf.DUMMYFUNCTION("""COMPUTED_VALUE"""),"fu 27 juli")</f>
        <v>fu 27 juli</v>
      </c>
      <c r="J82" s="170"/>
      <c r="K82" s="53"/>
      <c r="L82" s="53"/>
      <c r="M82" s="53"/>
      <c r="N82" s="171"/>
      <c r="O82" s="170"/>
      <c r="P82" s="53"/>
      <c r="Q82" s="53"/>
      <c r="R82" s="53"/>
      <c r="S82" s="171"/>
      <c r="T82" s="170"/>
      <c r="U82" s="53"/>
      <c r="V82" s="53"/>
      <c r="W82" s="53"/>
      <c r="X82" s="171"/>
      <c r="Y82" s="170"/>
      <c r="Z82" s="170"/>
      <c r="AA82" s="170"/>
      <c r="AB82" s="170"/>
      <c r="AC82" s="170"/>
      <c r="AD82" s="53"/>
      <c r="AE82" s="53"/>
    </row>
    <row r="83">
      <c r="A83" s="53"/>
      <c r="B83" s="53" t="str">
        <f>IFERROR(__xludf.DUMMYFUNCTION("""COMPUTED_VALUE"""),"2607A081
Jovanka
085121509059
Tiktok")</f>
        <v>2607A081
Jovanka
085121509059
Tiktok</v>
      </c>
      <c r="C83" s="168" t="str">
        <f>IFERROR(__xludf.DUMMYFUNCTION("""COMPUTED_VALUE"""),"ot djawatan baluran
46225
1 pax
Rp0")</f>
        <v>ot djawatan baluran
46225
1 pax
Rp0</v>
      </c>
      <c r="D83" s="169"/>
      <c r="E83" s="170"/>
      <c r="F83" s="53"/>
      <c r="G83" s="53" t="str">
        <f>IFERROR(__xludf.DUMMYFUNCTION("""COMPUTED_VALUE"""),"2607A106
Sindi Monica
081111815532
Instagram")</f>
        <v>2607A106
Sindi Monica
081111815532
Instagram</v>
      </c>
      <c r="H83" s="53" t="str">
        <f>IFERROR(__xludf.DUMMYFUNCTION("""COMPUTED_VALUE"""),"Djawatan baluran
46257
2 pax
Rp1.100.000")</f>
        <v>Djawatan baluran
46257
2 pax
Rp1.100.000</v>
      </c>
      <c r="I83" s="171" t="str">
        <f>IFERROR(__xludf.DUMMYFUNCTION("""COMPUTED_VALUE"""),"fu 4 agustus ")</f>
        <v>fu 4 agustus </v>
      </c>
      <c r="J83" s="170"/>
      <c r="K83" s="53"/>
      <c r="L83" s="53"/>
      <c r="M83" s="53"/>
      <c r="N83" s="171"/>
      <c r="O83" s="170"/>
      <c r="P83" s="53"/>
      <c r="Q83" s="53"/>
      <c r="R83" s="53"/>
      <c r="S83" s="171"/>
      <c r="T83" s="170"/>
      <c r="U83" s="53"/>
      <c r="V83" s="53"/>
      <c r="W83" s="53"/>
      <c r="X83" s="171"/>
      <c r="Y83" s="170"/>
      <c r="Z83" s="170"/>
      <c r="AA83" s="170"/>
      <c r="AB83" s="170"/>
      <c r="AC83" s="170"/>
      <c r="AD83" s="53"/>
      <c r="AE83" s="53"/>
    </row>
    <row r="84">
      <c r="A84" s="53"/>
      <c r="B84" s="53" t="str">
        <f>IFERROR(__xludf.DUMMYFUNCTION("""COMPUTED_VALUE"""),"2607A083
Anna Jannah
081233420014
Instagram")</f>
        <v>2607A083
Anna Jannah
081233420014
Instagram</v>
      </c>
      <c r="C84" s="168" t="str">
        <f>IFERROR(__xludf.DUMMYFUNCTION("""COMPUTED_VALUE"""),"3h2m
 pax
Rp0")</f>
        <v>3h2m
 pax
Rp0</v>
      </c>
      <c r="D84" s="169"/>
      <c r="E84" s="170"/>
      <c r="F84" s="53"/>
      <c r="G84" s="53" t="str">
        <f>IFERROR(__xludf.DUMMYFUNCTION("""COMPUTED_VALUE"""),"2607A107
Dhevy Ayuningrum
083832561912
Instagram")</f>
        <v>2607A107
Dhevy Ayuningrum
083832561912
Instagram</v>
      </c>
      <c r="H84" s="53" t="str">
        <f>IFERROR(__xludf.DUMMYFUNCTION("""COMPUTED_VALUE"""),"ot mt
46254
2 pax
Rp800.000")</f>
        <v>ot mt
46254
2 pax
Rp800.000</v>
      </c>
      <c r="I84" s="171" t="str">
        <f>IFERROR(__xludf.DUMMYFUNCTION("""COMPUTED_VALUE"""),"fu 30 juli")</f>
        <v>fu 30 juli</v>
      </c>
      <c r="J84" s="170"/>
      <c r="K84" s="53"/>
      <c r="L84" s="53"/>
      <c r="M84" s="53"/>
      <c r="N84" s="171"/>
      <c r="O84" s="170"/>
      <c r="P84" s="53"/>
      <c r="Q84" s="53"/>
      <c r="R84" s="53"/>
      <c r="S84" s="171"/>
      <c r="T84" s="170"/>
      <c r="U84" s="53"/>
      <c r="V84" s="53"/>
      <c r="W84" s="53"/>
      <c r="X84" s="171"/>
      <c r="Y84" s="170"/>
      <c r="Z84" s="170"/>
      <c r="AA84" s="170"/>
      <c r="AB84" s="170"/>
      <c r="AC84" s="170"/>
      <c r="AD84" s="53"/>
      <c r="AE84" s="53"/>
    </row>
    <row r="85">
      <c r="A85" s="53"/>
      <c r="B85" s="53" t="str">
        <f>IFERROR(__xludf.DUMMYFUNCTION("""COMPUTED_VALUE"""),"2607A085
Azra Yasmin
081370919897
Instagram")</f>
        <v>2607A085
Azra Yasmin
081370919897
Instagram</v>
      </c>
      <c r="C85" s="168" t="str">
        <f>IFERROR(__xludf.DUMMYFUNCTION("""COMPUTED_VALUE"""),"ot 3h2m
46283
1 pax
Rp1.600.000")</f>
        <v>ot 3h2m
46283
1 pax
Rp1.600.000</v>
      </c>
      <c r="D85" s="169" t="str">
        <f>IFERROR(__xludf.DUMMYFUNCTION("""COMPUTED_VALUE"""),"fu 28 agustus")</f>
        <v>fu 28 agustus</v>
      </c>
      <c r="E85" s="170"/>
      <c r="F85" s="53"/>
      <c r="G85" s="53" t="str">
        <f>IFERROR(__xludf.DUMMYFUNCTION("""COMPUTED_VALUE"""),"2607A116
Hani
081294961561
Instagram")</f>
        <v>2607A116
Hani
081294961561
Instagram</v>
      </c>
      <c r="H85" s="53" t="str">
        <f>IFERROR(__xludf.DUMMYFUNCTION("""COMPUTED_VALUE"""),"4h3m custom
18 pax
Rp0")</f>
        <v>4h3m custom
18 pax
Rp0</v>
      </c>
      <c r="I85" s="171" t="str">
        <f>IFERROR(__xludf.DUMMYFUNCTION("""COMPUTED_VALUE"""),"fu 1 Agustus")</f>
        <v>fu 1 Agustus</v>
      </c>
      <c r="J85" s="170"/>
      <c r="K85" s="53"/>
      <c r="L85" s="53"/>
      <c r="M85" s="53"/>
      <c r="N85" s="171"/>
      <c r="O85" s="170"/>
      <c r="P85" s="53"/>
      <c r="Q85" s="53"/>
      <c r="R85" s="53"/>
      <c r="S85" s="171"/>
      <c r="T85" s="170"/>
      <c r="U85" s="53"/>
      <c r="V85" s="53"/>
      <c r="W85" s="53"/>
      <c r="X85" s="171"/>
      <c r="Y85" s="170"/>
      <c r="Z85" s="170"/>
      <c r="AA85" s="170"/>
      <c r="AB85" s="170"/>
      <c r="AC85" s="170"/>
      <c r="AD85" s="53"/>
      <c r="AE85" s="53"/>
    </row>
    <row r="86">
      <c r="A86" s="53"/>
      <c r="B86" s="53" t="str">
        <f>IFERROR(__xludf.DUMMYFUNCTION("""COMPUTED_VALUE"""),"2607A086
Novianti Nurniah
082112952018
Instagram")</f>
        <v>2607A086
Novianti Nurniah
082112952018
Instagram</v>
      </c>
      <c r="C86" s="168" t="str">
        <f>IFERROR(__xludf.DUMMYFUNCTION("""COMPUTED_VALUE"""),"2h1m djabal mt
2 pax
Rp5.230.000")</f>
        <v>2h1m djabal mt
2 pax
Rp5.230.000</v>
      </c>
      <c r="D86" s="169" t="str">
        <f>IFERROR(__xludf.DUMMYFUNCTION("""COMPUTED_VALUE"""),"fu 3 agustus")</f>
        <v>fu 3 agustus</v>
      </c>
      <c r="E86" s="170"/>
      <c r="F86" s="53"/>
      <c r="G86" s="53" t="str">
        <f>IFERROR(__xludf.DUMMYFUNCTION("""COMPUTED_VALUE"""),"2607A119
Grasella
081333539750
Instagram")</f>
        <v>2607A119
Grasella
081333539750
Instagram</v>
      </c>
      <c r="H86" s="53" t="str">
        <f>IFERROR(__xludf.DUMMYFUNCTION("""COMPUTED_VALUE"""),"ot menjangan tabuhan
46250
3 pax
Rp3.510.000")</f>
        <v>ot menjangan tabuhan
46250
3 pax
Rp3.510.000</v>
      </c>
      <c r="I86" s="171" t="str">
        <f>IFERROR(__xludf.DUMMYFUNCTION("""COMPUTED_VALUE"""),"fu 3 agustus")</f>
        <v>fu 3 agustus</v>
      </c>
      <c r="J86" s="170"/>
      <c r="K86" s="53"/>
      <c r="L86" s="53"/>
      <c r="M86" s="53"/>
      <c r="N86" s="171"/>
      <c r="O86" s="170"/>
      <c r="P86" s="53"/>
      <c r="Q86" s="53"/>
      <c r="R86" s="53"/>
      <c r="S86" s="171"/>
      <c r="T86" s="170"/>
      <c r="U86" s="53"/>
      <c r="V86" s="53"/>
      <c r="W86" s="53"/>
      <c r="X86" s="171"/>
      <c r="Y86" s="170"/>
      <c r="Z86" s="170"/>
      <c r="AA86" s="170"/>
      <c r="AB86" s="170"/>
      <c r="AC86" s="170"/>
      <c r="AD86" s="53"/>
      <c r="AE86" s="53"/>
    </row>
    <row r="87">
      <c r="A87" s="53"/>
      <c r="B87" s="53" t="str">
        <f>IFERROR(__xludf.DUMMYFUNCTION("""COMPUTED_VALUE"""),"2607A098
Susy T
085817439701
Lainnya")</f>
        <v>2607A098
Susy T
085817439701
Lainnya</v>
      </c>
      <c r="C87" s="168" t="str">
        <f>IFERROR(__xludf.DUMMYFUNCTION("""COMPUTED_VALUE"""),"ot ijen
3 pax
Rp750.000")</f>
        <v>ot ijen
3 pax
Rp750.000</v>
      </c>
      <c r="D87" s="169" t="str">
        <f>IFERROR(__xludf.DUMMYFUNCTION("""COMPUTED_VALUE"""),"fu 18 juli")</f>
        <v>fu 18 juli</v>
      </c>
      <c r="E87" s="170"/>
      <c r="F87" s="53"/>
      <c r="G87" s="53" t="str">
        <f>IFERROR(__xludf.DUMMYFUNCTION("""COMPUTED_VALUE"""),"2607A127
Ulfah
085790757388
Instagram")</f>
        <v>2607A127
Ulfah
085790757388
Instagram</v>
      </c>
      <c r="H87" s="53" t="str">
        <f>IFERROR(__xludf.DUMMYFUNCTION("""COMPUTED_VALUE"""),"ot djawatan baluran, ot kawah ijen
2 pax
Rp0")</f>
        <v>ot djawatan baluran, ot kawah ijen
2 pax
Rp0</v>
      </c>
      <c r="I87" s="171"/>
      <c r="J87" s="170"/>
      <c r="K87" s="53"/>
      <c r="L87" s="53"/>
      <c r="M87" s="53"/>
      <c r="N87" s="171"/>
      <c r="O87" s="170"/>
      <c r="P87" s="53"/>
      <c r="Q87" s="53"/>
      <c r="R87" s="53"/>
      <c r="S87" s="171"/>
      <c r="T87" s="170"/>
      <c r="U87" s="53"/>
      <c r="V87" s="53"/>
      <c r="W87" s="53"/>
      <c r="X87" s="171"/>
      <c r="Y87" s="170"/>
      <c r="Z87" s="170"/>
      <c r="AA87" s="170"/>
      <c r="AB87" s="170"/>
      <c r="AC87" s="170"/>
      <c r="AD87" s="53"/>
      <c r="AE87" s="53"/>
    </row>
    <row r="88">
      <c r="A88" s="53"/>
      <c r="B88" s="53" t="str">
        <f>IFERROR(__xludf.DUMMYFUNCTION("""COMPUTED_VALUE"""),"2607A109
Tina
085249058336
Website")</f>
        <v>2607A109
Tina
085249058336
Website</v>
      </c>
      <c r="C88" s="168" t="str">
        <f>IFERROR(__xludf.DUMMYFUNCTION("""COMPUTED_VALUE"""),"2h1m opsi b
4 pax
Rp0")</f>
        <v>2h1m opsi b
4 pax
Rp0</v>
      </c>
      <c r="D88" s="169" t="str">
        <f>IFERROR(__xludf.DUMMYFUNCTION("""COMPUTED_VALUE"""),"fu 18 juli")</f>
        <v>fu 18 juli</v>
      </c>
      <c r="E88" s="170"/>
      <c r="F88" s="53"/>
      <c r="G88" s="53" t="str">
        <f>IFERROR(__xludf.DUMMYFUNCTION("""COMPUTED_VALUE"""),"2607A130
Mochammad Rifqy
081233361003
Instagram")</f>
        <v>2607A130
Mochammad Rifqy
081233361003
Instagram</v>
      </c>
      <c r="H88" s="53" t="str">
        <f>IFERROR(__xludf.DUMMYFUNCTION("""COMPUTED_VALUE"""),"ot mt 
46232
2 pax
Rp800.000")</f>
        <v>ot mt 
46232
2 pax
Rp800.000</v>
      </c>
      <c r="I88" s="171" t="str">
        <f>IFERROR(__xludf.DUMMYFUNCTION("""COMPUTED_VALUE"""),"fu 27 Juli")</f>
        <v>fu 27 Juli</v>
      </c>
      <c r="J88" s="170"/>
      <c r="K88" s="53"/>
      <c r="L88" s="53"/>
      <c r="M88" s="53"/>
      <c r="N88" s="171"/>
      <c r="O88" s="170"/>
      <c r="P88" s="53"/>
      <c r="Q88" s="53"/>
      <c r="R88" s="53"/>
      <c r="S88" s="171"/>
      <c r="T88" s="170"/>
      <c r="U88" s="53"/>
      <c r="V88" s="53"/>
      <c r="W88" s="53"/>
      <c r="X88" s="171"/>
      <c r="Y88" s="170"/>
      <c r="Z88" s="170"/>
      <c r="AA88" s="170"/>
      <c r="AB88" s="170"/>
      <c r="AC88" s="170"/>
      <c r="AD88" s="53"/>
      <c r="AE88" s="53"/>
    </row>
    <row r="89">
      <c r="A89" s="53"/>
      <c r="B89" s="53" t="str">
        <f>IFERROR(__xludf.DUMMYFUNCTION("""COMPUTED_VALUE"""),"2607A111
Aida S
08992971712
Instagram")</f>
        <v>2607A111
Aida S
08992971712
Instagram</v>
      </c>
      <c r="C89" s="168" t="str">
        <f>IFERROR(__xludf.DUMMYFUNCTION("""COMPUTED_VALUE"""),"2h1m
2 pax
Rp4.200.000")</f>
        <v>2h1m
2 pax
Rp4.200.000</v>
      </c>
      <c r="D89" s="169" t="str">
        <f>IFERROR(__xludf.DUMMYFUNCTION("""COMPUTED_VALUE"""),"fu 29 juli")</f>
        <v>fu 29 juli</v>
      </c>
      <c r="E89" s="170"/>
      <c r="F89" s="53"/>
      <c r="G89" s="53" t="str">
        <f>IFERROR(__xludf.DUMMYFUNCTION("""COMPUTED_VALUE"""),"2607A131
Dedy Simon
085865559424
Website")</f>
        <v>2607A131
Dedy Simon
085865559424
Website</v>
      </c>
      <c r="H89" s="53" t="str">
        <f>IFERROR(__xludf.DUMMYFUNCTION("""COMPUTED_VALUE"""),"3h2m custom
2 pax
Rp6.700.000")</f>
        <v>3h2m custom
2 pax
Rp6.700.000</v>
      </c>
      <c r="I89" s="171" t="str">
        <f>IFERROR(__xludf.DUMMYFUNCTION("""COMPUTED_VALUE"""),"fu 28 juli")</f>
        <v>fu 28 juli</v>
      </c>
      <c r="J89" s="170"/>
      <c r="K89" s="53"/>
      <c r="L89" s="53"/>
      <c r="M89" s="53"/>
      <c r="N89" s="171"/>
      <c r="O89" s="170"/>
      <c r="P89" s="53"/>
      <c r="Q89" s="53"/>
      <c r="R89" s="53"/>
      <c r="S89" s="171"/>
      <c r="T89" s="170"/>
      <c r="U89" s="53"/>
      <c r="V89" s="53"/>
      <c r="W89" s="53"/>
      <c r="X89" s="171"/>
      <c r="Y89" s="170"/>
      <c r="Z89" s="170"/>
      <c r="AA89" s="170"/>
      <c r="AB89" s="170"/>
      <c r="AC89" s="170"/>
      <c r="AD89" s="53"/>
      <c r="AE89" s="53"/>
    </row>
    <row r="90">
      <c r="A90" s="53"/>
      <c r="B90" s="53" t="str">
        <f>IFERROR(__xludf.DUMMYFUNCTION("""COMPUTED_VALUE"""),"2607A112
Rahma
082216649126
Instagram")</f>
        <v>2607A112
Rahma
082216649126
Instagram</v>
      </c>
      <c r="C90" s="168" t="str">
        <f>IFERROR(__xludf.DUMMYFUNCTION("""COMPUTED_VALUE"""),"ot 3h2m
 pax
Rp0")</f>
        <v>ot 3h2m
 pax
Rp0</v>
      </c>
      <c r="D90" s="169"/>
      <c r="E90" s="170"/>
      <c r="F90" s="53"/>
      <c r="G90" s="53" t="str">
        <f>IFERROR(__xludf.DUMMYFUNCTION("""COMPUTED_VALUE"""),"2607A136
Ananda Akbar
081313588468
Website")</f>
        <v>2607A136
Ananda Akbar
081313588468
Website</v>
      </c>
      <c r="H90" s="53" t="str">
        <f>IFERROR(__xludf.DUMMYFUNCTION("""COMPUTED_VALUE"""),"Menjangan Tabuhan
46235
7 pax
Rp0")</f>
        <v>Menjangan Tabuhan
46235
7 pax
Rp0</v>
      </c>
      <c r="I90" s="171"/>
      <c r="J90" s="170"/>
      <c r="K90" s="53"/>
      <c r="L90" s="53"/>
      <c r="M90" s="53"/>
      <c r="N90" s="171"/>
      <c r="O90" s="170"/>
      <c r="P90" s="53"/>
      <c r="Q90" s="53"/>
      <c r="R90" s="53"/>
      <c r="S90" s="171"/>
      <c r="T90" s="170"/>
      <c r="U90" s="53"/>
      <c r="V90" s="53"/>
      <c r="W90" s="53"/>
      <c r="X90" s="171"/>
      <c r="Y90" s="170"/>
      <c r="Z90" s="170"/>
      <c r="AA90" s="170"/>
      <c r="AB90" s="170"/>
      <c r="AC90" s="170"/>
      <c r="AD90" s="53"/>
      <c r="AE90" s="53"/>
    </row>
    <row r="91">
      <c r="A91" s="53"/>
      <c r="B91" s="53" t="str">
        <f>IFERROR(__xludf.DUMMYFUNCTION("""COMPUTED_VALUE"""),"2607A115
Rani Advokat
082112809533
Website")</f>
        <v>2607A115
Rani Advokat
082112809533
Website</v>
      </c>
      <c r="C91" s="168" t="str">
        <f>IFERROR(__xludf.DUMMYFUNCTION("""COMPUTED_VALUE"""),"one day trip
4 pax
Rp0")</f>
        <v>one day trip
4 pax
Rp0</v>
      </c>
      <c r="D91" s="169" t="str">
        <f>IFERROR(__xludf.DUMMYFUNCTION("""COMPUTED_VALUE"""),"fu 30 Juli")</f>
        <v>fu 30 Juli</v>
      </c>
      <c r="E91" s="170"/>
      <c r="F91" s="53"/>
      <c r="G91" s="53"/>
      <c r="H91" s="53"/>
      <c r="I91" s="171"/>
      <c r="J91" s="170"/>
      <c r="K91" s="53"/>
      <c r="L91" s="53"/>
      <c r="M91" s="53"/>
      <c r="N91" s="171"/>
      <c r="O91" s="170"/>
      <c r="P91" s="53"/>
      <c r="Q91" s="53"/>
      <c r="R91" s="53"/>
      <c r="S91" s="171"/>
      <c r="T91" s="170"/>
      <c r="U91" s="53"/>
      <c r="V91" s="53"/>
      <c r="W91" s="53"/>
      <c r="X91" s="171"/>
      <c r="Y91" s="170"/>
      <c r="Z91" s="170"/>
      <c r="AA91" s="170"/>
      <c r="AB91" s="170"/>
      <c r="AC91" s="170"/>
      <c r="AD91" s="53"/>
      <c r="AE91" s="53"/>
    </row>
    <row r="92">
      <c r="A92" s="53"/>
      <c r="B92" s="53" t="str">
        <f>IFERROR(__xludf.DUMMYFUNCTION("""COMPUTED_VALUE"""),"2607A117
Naufal
082211161338
Website")</f>
        <v>2607A117
Naufal
082211161338
Website</v>
      </c>
      <c r="C92" s="168" t="str">
        <f>IFERROR(__xludf.DUMMYFUNCTION("""COMPUTED_VALUE"""),"
 pax
Rp0")</f>
        <v>
 pax
Rp0</v>
      </c>
      <c r="D92" s="169" t="str">
        <f>IFERROR(__xludf.DUMMYFUNCTION("""COMPUTED_VALUE"""),"fu 16 Oktobber")</f>
        <v>fu 16 Oktobber</v>
      </c>
      <c r="E92" s="170"/>
      <c r="F92" s="53"/>
      <c r="G92" s="53"/>
      <c r="H92" s="53"/>
      <c r="I92" s="171"/>
      <c r="J92" s="170"/>
      <c r="K92" s="53"/>
      <c r="L92" s="53"/>
      <c r="M92" s="53"/>
      <c r="N92" s="171"/>
      <c r="O92" s="170"/>
      <c r="P92" s="53"/>
      <c r="Q92" s="53"/>
      <c r="R92" s="53"/>
      <c r="S92" s="171"/>
      <c r="T92" s="170"/>
      <c r="U92" s="53"/>
      <c r="V92" s="53"/>
      <c r="W92" s="53"/>
      <c r="X92" s="171"/>
      <c r="Y92" s="170"/>
      <c r="Z92" s="170"/>
      <c r="AA92" s="170"/>
      <c r="AB92" s="170"/>
      <c r="AC92" s="170"/>
      <c r="AD92" s="53"/>
      <c r="AE92" s="53"/>
    </row>
    <row r="93">
      <c r="A93" s="53"/>
      <c r="B93" s="53" t="str">
        <f>IFERROR(__xludf.DUMMYFUNCTION("""COMPUTED_VALUE"""),"2607A118
Dewi
081314046102
Website")</f>
        <v>2607A118
Dewi
081314046102
Website</v>
      </c>
      <c r="C93" s="168" t="str">
        <f>IFERROR(__xludf.DUMMYFUNCTION("""COMPUTED_VALUE"""),"ot 3h2m
2 pax
Rp0")</f>
        <v>ot 3h2m
2 pax
Rp0</v>
      </c>
      <c r="D93" s="169"/>
      <c r="E93" s="170"/>
      <c r="F93" s="53"/>
      <c r="G93" s="53"/>
      <c r="H93" s="53"/>
      <c r="I93" s="171"/>
      <c r="J93" s="170"/>
      <c r="K93" s="53"/>
      <c r="L93" s="53"/>
      <c r="M93" s="53"/>
      <c r="N93" s="171"/>
      <c r="O93" s="170"/>
      <c r="P93" s="53"/>
      <c r="Q93" s="53"/>
      <c r="R93" s="53"/>
      <c r="S93" s="171"/>
      <c r="T93" s="170"/>
      <c r="U93" s="53"/>
      <c r="V93" s="53"/>
      <c r="W93" s="53"/>
      <c r="X93" s="171"/>
      <c r="Y93" s="170"/>
      <c r="Z93" s="170"/>
      <c r="AA93" s="170"/>
      <c r="AB93" s="170"/>
      <c r="AC93" s="170"/>
      <c r="AD93" s="53"/>
      <c r="AE93" s="53"/>
    </row>
    <row r="94">
      <c r="A94" s="53"/>
      <c r="B94" s="53" t="str">
        <f>IFERROR(__xludf.DUMMYFUNCTION("""COMPUTED_VALUE"""),"2607A121
Elsa
087888218814
Instagram")</f>
        <v>2607A121
Elsa
087888218814
Instagram</v>
      </c>
      <c r="C94" s="168" t="str">
        <f>IFERROR(__xludf.DUMMYFUNCTION("""COMPUTED_VALUE"""),"2h1m opsi b
2 pax
Rp6.128.000")</f>
        <v>2h1m opsi b
2 pax
Rp6.128.000</v>
      </c>
      <c r="D94" s="169" t="str">
        <f>IFERROR(__xludf.DUMMYFUNCTION("""COMPUTED_VALUE"""),"fu 28 juli")</f>
        <v>fu 28 juli</v>
      </c>
      <c r="E94" s="170"/>
      <c r="F94" s="53"/>
      <c r="G94" s="53"/>
      <c r="H94" s="53"/>
      <c r="I94" s="171"/>
      <c r="J94" s="170"/>
      <c r="K94" s="53"/>
      <c r="L94" s="53"/>
      <c r="M94" s="53"/>
      <c r="N94" s="171"/>
      <c r="O94" s="170"/>
      <c r="P94" s="53"/>
      <c r="Q94" s="53"/>
      <c r="R94" s="53"/>
      <c r="S94" s="171"/>
      <c r="T94" s="170"/>
      <c r="U94" s="53"/>
      <c r="V94" s="53"/>
      <c r="W94" s="53"/>
      <c r="X94" s="171"/>
      <c r="Y94" s="170"/>
      <c r="Z94" s="170"/>
      <c r="AA94" s="170"/>
      <c r="AB94" s="170"/>
      <c r="AC94" s="170"/>
      <c r="AD94" s="53"/>
      <c r="AE94" s="53"/>
    </row>
    <row r="95">
      <c r="A95" s="53"/>
      <c r="B95" s="53" t="str">
        <f>IFERROR(__xludf.DUMMYFUNCTION("""COMPUTED_VALUE"""),"2607A123
Ria
089690908261
Instagram")</f>
        <v>2607A123
Ria
089690908261
Instagram</v>
      </c>
      <c r="C95" s="168" t="str">
        <f>IFERROR(__xludf.DUMMYFUNCTION("""COMPUTED_VALUE"""),"1 day baluran
2 pax
Rp0")</f>
        <v>1 day baluran
2 pax
Rp0</v>
      </c>
      <c r="D95" s="169" t="str">
        <f>IFERROR(__xludf.DUMMYFUNCTION("""COMPUTED_VALUE"""),"fu 27 juli")</f>
        <v>fu 27 juli</v>
      </c>
      <c r="E95" s="170"/>
      <c r="F95" s="53"/>
      <c r="G95" s="53"/>
      <c r="H95" s="53"/>
      <c r="I95" s="171"/>
      <c r="J95" s="170"/>
      <c r="K95" s="53"/>
      <c r="L95" s="53"/>
      <c r="M95" s="53"/>
      <c r="N95" s="171"/>
      <c r="O95" s="170"/>
      <c r="P95" s="53"/>
      <c r="Q95" s="53"/>
      <c r="R95" s="53"/>
      <c r="S95" s="171"/>
      <c r="T95" s="170"/>
      <c r="U95" s="53"/>
      <c r="V95" s="53"/>
      <c r="W95" s="53"/>
      <c r="X95" s="171"/>
      <c r="Y95" s="170"/>
      <c r="Z95" s="170"/>
      <c r="AA95" s="170"/>
      <c r="AB95" s="170"/>
      <c r="AC95" s="170"/>
      <c r="AD95" s="53"/>
      <c r="AE95" s="53"/>
    </row>
    <row r="96">
      <c r="A96" s="53"/>
      <c r="B96" s="53" t="str">
        <f>IFERROR(__xludf.DUMMYFUNCTION("""COMPUTED_VALUE"""),"2607A126
Iqbal
085191202656
Instagram")</f>
        <v>2607A126
Iqbal
085191202656
Instagram</v>
      </c>
      <c r="C96" s="168" t="str">
        <f>IFERROR(__xludf.DUMMYFUNCTION("""COMPUTED_VALUE"""),"private trip menjangan tabuhan
2 pax
Rp1.700.000")</f>
        <v>private trip menjangan tabuhan
2 pax
Rp1.700.000</v>
      </c>
      <c r="D96" s="169" t="str">
        <f>IFERROR(__xludf.DUMMYFUNCTION("""COMPUTED_VALUE"""),"fu 28 Juli")</f>
        <v>fu 28 Juli</v>
      </c>
      <c r="E96" s="170"/>
      <c r="F96" s="53"/>
      <c r="G96" s="53"/>
      <c r="H96" s="53"/>
      <c r="I96" s="171"/>
      <c r="J96" s="170"/>
      <c r="K96" s="53"/>
      <c r="L96" s="53"/>
      <c r="M96" s="53"/>
      <c r="N96" s="171"/>
      <c r="O96" s="170"/>
      <c r="P96" s="53"/>
      <c r="Q96" s="53"/>
      <c r="R96" s="53"/>
      <c r="S96" s="171"/>
      <c r="T96" s="170"/>
      <c r="U96" s="53"/>
      <c r="V96" s="53"/>
      <c r="W96" s="53"/>
      <c r="X96" s="171"/>
      <c r="Y96" s="170"/>
      <c r="Z96" s="170"/>
      <c r="AA96" s="170"/>
      <c r="AB96" s="170"/>
      <c r="AC96" s="170"/>
      <c r="AD96" s="53"/>
      <c r="AE96" s="53"/>
    </row>
    <row r="97">
      <c r="A97" s="53"/>
      <c r="B97" s="53" t="str">
        <f>IFERROR(__xludf.DUMMYFUNCTION("""COMPUTED_VALUE"""),"2607A128
Rihma
087873048893
Instagram")</f>
        <v>2607A128
Rihma
087873048893
Instagram</v>
      </c>
      <c r="C97" s="168" t="str">
        <f>IFERROR(__xludf.DUMMYFUNCTION("""COMPUTED_VALUE"""),"djawatan baluran
46254
2 pax
Rp0")</f>
        <v>djawatan baluran
46254
2 pax
Rp0</v>
      </c>
      <c r="D97" s="169"/>
      <c r="E97" s="170"/>
      <c r="F97" s="53"/>
      <c r="G97" s="53"/>
      <c r="H97" s="53"/>
      <c r="I97" s="171"/>
      <c r="J97" s="170"/>
      <c r="K97" s="53"/>
      <c r="L97" s="53"/>
      <c r="M97" s="53"/>
      <c r="N97" s="171"/>
      <c r="O97" s="170"/>
      <c r="P97" s="53"/>
      <c r="Q97" s="53"/>
      <c r="R97" s="53"/>
      <c r="S97" s="171"/>
      <c r="T97" s="170"/>
      <c r="U97" s="53"/>
      <c r="V97" s="53"/>
      <c r="W97" s="53"/>
      <c r="X97" s="171"/>
      <c r="Y97" s="170"/>
      <c r="Z97" s="170"/>
      <c r="AA97" s="170"/>
      <c r="AB97" s="170"/>
      <c r="AC97" s="170"/>
      <c r="AD97" s="53"/>
      <c r="AE97" s="53"/>
    </row>
    <row r="98">
      <c r="A98" s="53"/>
      <c r="B98" s="53" t="str">
        <f>IFERROR(__xludf.DUMMYFUNCTION("""COMPUTED_VALUE"""),"2607A132
Susan
081211966196
Lainnya")</f>
        <v>2607A132
Susan
081211966196
Lainnya</v>
      </c>
      <c r="C98" s="168" t="str">
        <f>IFERROR(__xludf.DUMMYFUNCTION("""COMPUTED_VALUE"""),"3H2M
 pax
Rp0")</f>
        <v>3H2M
 pax
Rp0</v>
      </c>
      <c r="D98" s="169" t="str">
        <f>IFERROR(__xludf.DUMMYFUNCTION("""COMPUTED_VALUE"""),"fu 30 juli")</f>
        <v>fu 30 juli</v>
      </c>
      <c r="E98" s="170"/>
      <c r="F98" s="53"/>
      <c r="G98" s="53"/>
      <c r="H98" s="53"/>
      <c r="I98" s="171"/>
      <c r="J98" s="170"/>
      <c r="K98" s="53"/>
      <c r="L98" s="53"/>
      <c r="M98" s="53"/>
      <c r="N98" s="171"/>
      <c r="O98" s="170"/>
      <c r="P98" s="53"/>
      <c r="Q98" s="53"/>
      <c r="R98" s="53"/>
      <c r="S98" s="171"/>
      <c r="T98" s="170"/>
      <c r="U98" s="53"/>
      <c r="V98" s="53"/>
      <c r="W98" s="53"/>
      <c r="X98" s="171"/>
      <c r="Y98" s="170"/>
      <c r="Z98" s="170"/>
      <c r="AA98" s="170"/>
      <c r="AB98" s="170"/>
      <c r="AC98" s="170"/>
      <c r="AD98" s="53"/>
      <c r="AE98" s="53"/>
    </row>
    <row r="99">
      <c r="A99" s="53"/>
      <c r="B99" s="53" t="str">
        <f>IFERROR(__xludf.DUMMYFUNCTION("""COMPUTED_VALUE"""),"2607A134
Astuti Istiningsih
085865549483
Instagram")</f>
        <v>2607A134
Astuti Istiningsih
085865549483
Instagram</v>
      </c>
      <c r="C99" s="168" t="str">
        <f>IFERROR(__xludf.DUMMYFUNCTION("""COMPUTED_VALUE"""),"2H1M 
 pax
Rp0")</f>
        <v>2H1M 
 pax
Rp0</v>
      </c>
      <c r="D99" s="169"/>
      <c r="E99" s="170"/>
      <c r="F99" s="53"/>
      <c r="G99" s="53"/>
      <c r="H99" s="53"/>
      <c r="I99" s="171"/>
      <c r="J99" s="170"/>
      <c r="K99" s="53"/>
      <c r="L99" s="53"/>
      <c r="M99" s="53"/>
      <c r="N99" s="171"/>
      <c r="O99" s="170"/>
      <c r="P99" s="53"/>
      <c r="Q99" s="53"/>
      <c r="R99" s="53"/>
      <c r="S99" s="171"/>
      <c r="T99" s="170"/>
      <c r="U99" s="53"/>
      <c r="V99" s="53"/>
      <c r="W99" s="53"/>
      <c r="X99" s="171"/>
      <c r="Y99" s="170"/>
      <c r="Z99" s="170"/>
      <c r="AA99" s="170"/>
      <c r="AB99" s="170"/>
      <c r="AC99" s="170"/>
      <c r="AD99" s="53"/>
      <c r="AE99" s="53"/>
    </row>
    <row r="100">
      <c r="A100" s="53"/>
      <c r="B100" s="53" t="str">
        <f>IFERROR(__xludf.DUMMYFUNCTION("""COMPUTED_VALUE"""),"2607A135
Wilo / Graciatri
087871797151
Instagram")</f>
        <v>2607A135
Wilo / Graciatri
087871797151
Instagram</v>
      </c>
      <c r="C100" s="168" t="str">
        <f>IFERROR(__xludf.DUMMYFUNCTION("""COMPUTED_VALUE"""),"OT Baluran
46232
2 pax
Rp700.000")</f>
        <v>OT Baluran
46232
2 pax
Rp700.000</v>
      </c>
      <c r="D100" s="169" t="str">
        <f>IFERROR(__xludf.DUMMYFUNCTION("""COMPUTED_VALUE"""),"orderr")</f>
        <v>orderr</v>
      </c>
      <c r="E100" s="170"/>
      <c r="F100" s="53"/>
      <c r="G100" s="53"/>
      <c r="H100" s="53"/>
      <c r="I100" s="171"/>
      <c r="J100" s="170"/>
      <c r="K100" s="53"/>
      <c r="L100" s="53"/>
      <c r="M100" s="53"/>
      <c r="N100" s="171"/>
      <c r="O100" s="170"/>
      <c r="P100" s="53"/>
      <c r="Q100" s="53"/>
      <c r="R100" s="53"/>
      <c r="S100" s="171"/>
      <c r="T100" s="170"/>
      <c r="U100" s="53"/>
      <c r="V100" s="53"/>
      <c r="W100" s="53"/>
      <c r="X100" s="171"/>
      <c r="Y100" s="170"/>
      <c r="Z100" s="170"/>
      <c r="AA100" s="170"/>
      <c r="AB100" s="170"/>
      <c r="AC100" s="170"/>
      <c r="AD100" s="53"/>
      <c r="AE100" s="53"/>
    </row>
    <row r="101">
      <c r="A101" s="53"/>
      <c r="B101" s="53" t="str">
        <f>IFERROR(__xludf.DUMMYFUNCTION("""COMPUTED_VALUE"""),"2607A137
Mita Septiani
085283226164
Website")</f>
        <v>2607A137
Mita Septiani
085283226164
Website</v>
      </c>
      <c r="C101" s="168" t="str">
        <f>IFERROR(__xludf.DUMMYFUNCTION("""COMPUTED_VALUE"""),"OT Djawatan Baluran
46238
2 pax
Rp0")</f>
        <v>OT Djawatan Baluran
46238
2 pax
Rp0</v>
      </c>
      <c r="D101" s="169"/>
      <c r="E101" s="170"/>
      <c r="F101" s="53"/>
      <c r="G101" s="53"/>
      <c r="H101" s="53"/>
      <c r="I101" s="171"/>
      <c r="J101" s="170"/>
      <c r="K101" s="53"/>
      <c r="L101" s="53"/>
      <c r="M101" s="53"/>
      <c r="N101" s="171"/>
      <c r="O101" s="170"/>
      <c r="P101" s="53"/>
      <c r="Q101" s="53"/>
      <c r="R101" s="53"/>
      <c r="S101" s="171"/>
      <c r="T101" s="170"/>
      <c r="U101" s="53"/>
      <c r="V101" s="53"/>
      <c r="W101" s="53"/>
      <c r="X101" s="171"/>
      <c r="Y101" s="170"/>
      <c r="Z101" s="170"/>
      <c r="AA101" s="170"/>
      <c r="AB101" s="170"/>
      <c r="AC101" s="170"/>
      <c r="AD101" s="53"/>
      <c r="AE101" s="53"/>
    </row>
    <row r="102">
      <c r="A102" s="53"/>
      <c r="B102" s="53" t="str">
        <f>IFERROR(__xludf.DUMMYFUNCTION("""COMPUTED_VALUE"""),"2607A138
Eka Annisa
085814145826
Instagram")</f>
        <v>2607A138
Eka Annisa
085814145826
Instagram</v>
      </c>
      <c r="C102" s="168" t="str">
        <f>IFERROR(__xludf.DUMMYFUNCTION("""COMPUTED_VALUE"""),"OT Djawatan Baluran
 pax
Rp0")</f>
        <v>OT Djawatan Baluran
 pax
Rp0</v>
      </c>
      <c r="D102" s="169"/>
      <c r="E102" s="170"/>
      <c r="F102" s="53"/>
      <c r="G102" s="53"/>
      <c r="H102" s="53"/>
      <c r="I102" s="171"/>
      <c r="J102" s="170"/>
      <c r="K102" s="53"/>
      <c r="L102" s="53"/>
      <c r="M102" s="53"/>
      <c r="N102" s="171"/>
      <c r="O102" s="170"/>
      <c r="P102" s="53"/>
      <c r="Q102" s="53"/>
      <c r="R102" s="53"/>
      <c r="S102" s="171"/>
      <c r="T102" s="170"/>
      <c r="U102" s="53"/>
      <c r="V102" s="53"/>
      <c r="W102" s="53"/>
      <c r="X102" s="171"/>
      <c r="Y102" s="170"/>
      <c r="Z102" s="170"/>
      <c r="AA102" s="170"/>
      <c r="AB102" s="170"/>
      <c r="AC102" s="170"/>
      <c r="AD102" s="53"/>
      <c r="AE102" s="53"/>
    </row>
    <row r="103">
      <c r="A103" s="53"/>
      <c r="B103" s="53" t="str">
        <f>IFERROR(__xludf.DUMMYFUNCTION("""COMPUTED_VALUE"""),"2607A139
Febrina Nanda Arviani
085643364720
Instagram")</f>
        <v>2607A139
Febrina Nanda Arviani
085643364720
Instagram</v>
      </c>
      <c r="C103" s="168" t="str">
        <f>IFERROR(__xludf.DUMMYFUNCTION("""COMPUTED_VALUE"""),"2H1M
46375
14 pax
Rp0")</f>
        <v>2H1M
46375
14 pax
Rp0</v>
      </c>
      <c r="D103" s="169"/>
      <c r="E103" s="170"/>
      <c r="F103" s="53"/>
      <c r="G103" s="53"/>
      <c r="H103" s="53"/>
      <c r="I103" s="171"/>
      <c r="J103" s="170"/>
      <c r="K103" s="53"/>
      <c r="L103" s="53"/>
      <c r="M103" s="53"/>
      <c r="N103" s="171"/>
      <c r="O103" s="170"/>
      <c r="P103" s="53"/>
      <c r="Q103" s="53"/>
      <c r="R103" s="53"/>
      <c r="S103" s="171"/>
      <c r="T103" s="170"/>
      <c r="U103" s="53"/>
      <c r="V103" s="53"/>
      <c r="W103" s="53"/>
      <c r="X103" s="171"/>
      <c r="Y103" s="170"/>
      <c r="Z103" s="170"/>
      <c r="AA103" s="170"/>
      <c r="AB103" s="170"/>
      <c r="AC103" s="170"/>
      <c r="AD103" s="53"/>
      <c r="AE103" s="53"/>
    </row>
    <row r="104">
      <c r="A104" s="53"/>
      <c r="B104" s="53" t="str">
        <f>IFERROR(__xludf.DUMMYFUNCTION("""COMPUTED_VALUE"""),"2607A140
Elvi Dwi Yunitasari
0895366571911
Instagram")</f>
        <v>2607A140
Elvi Dwi Yunitasari
0895366571911
Instagram</v>
      </c>
      <c r="C104" s="168" t="str">
        <f>IFERROR(__xludf.DUMMYFUNCTION("""COMPUTED_VALUE"""),"Menjangan Tabuhan
 pax
Rp0")</f>
        <v>Menjangan Tabuhan
 pax
Rp0</v>
      </c>
      <c r="D104" s="169"/>
      <c r="E104" s="170"/>
      <c r="F104" s="53"/>
      <c r="G104" s="53"/>
      <c r="H104" s="53"/>
      <c r="I104" s="171"/>
      <c r="J104" s="170"/>
      <c r="K104" s="53"/>
      <c r="L104" s="53"/>
      <c r="M104" s="53"/>
      <c r="N104" s="171"/>
      <c r="O104" s="170"/>
      <c r="P104" s="53"/>
      <c r="Q104" s="53"/>
      <c r="R104" s="53"/>
      <c r="S104" s="171"/>
      <c r="T104" s="170"/>
      <c r="U104" s="53"/>
      <c r="V104" s="53"/>
      <c r="W104" s="53"/>
      <c r="X104" s="171"/>
      <c r="Y104" s="170"/>
      <c r="Z104" s="170"/>
      <c r="AA104" s="170"/>
      <c r="AB104" s="170"/>
      <c r="AC104" s="170"/>
      <c r="AD104" s="53"/>
      <c r="AE104" s="53"/>
    </row>
    <row r="105">
      <c r="A105" s="53"/>
      <c r="B105" s="53" t="str">
        <f>IFERROR(__xludf.DUMMYFUNCTION("""COMPUTED_VALUE"""),"2607A141
Izmaa
081909392890
Instagram")</f>
        <v>2607A141
Izmaa
081909392890
Instagram</v>
      </c>
      <c r="C105" s="168" t="str">
        <f>IFERROR(__xludf.DUMMYFUNCTION("""COMPUTED_VALUE"""),"2h1m
 pax
Rp0")</f>
        <v>2h1m
 pax
Rp0</v>
      </c>
      <c r="D105" s="169"/>
      <c r="E105" s="170"/>
      <c r="F105" s="53"/>
      <c r="G105" s="53"/>
      <c r="H105" s="53"/>
      <c r="I105" s="171"/>
      <c r="J105" s="170"/>
      <c r="K105" s="53"/>
      <c r="L105" s="53"/>
      <c r="M105" s="53"/>
      <c r="N105" s="171"/>
      <c r="O105" s="170"/>
      <c r="P105" s="53"/>
      <c r="Q105" s="53"/>
      <c r="R105" s="53"/>
      <c r="S105" s="171"/>
      <c r="T105" s="170"/>
      <c r="U105" s="53"/>
      <c r="V105" s="53"/>
      <c r="W105" s="53"/>
      <c r="X105" s="171"/>
      <c r="Y105" s="170"/>
      <c r="Z105" s="170"/>
      <c r="AA105" s="170"/>
      <c r="AB105" s="170"/>
      <c r="AC105" s="170"/>
      <c r="AD105" s="53"/>
      <c r="AE105" s="53"/>
    </row>
    <row r="106">
      <c r="A106" s="53"/>
      <c r="B106" s="53" t="str">
        <f>IFERROR(__xludf.DUMMYFUNCTION("""COMPUTED_VALUE"""),"2607A142
Ina
085921732936
Instagram")</f>
        <v>2607A142
Ina
085921732936
Instagram</v>
      </c>
      <c r="C106" s="168" t="str">
        <f>IFERROR(__xludf.DUMMYFUNCTION("""COMPUTED_VALUE"""),"ot 3h2m
 pax
Rp0")</f>
        <v>ot 3h2m
 pax
Rp0</v>
      </c>
      <c r="D106" s="169"/>
      <c r="E106" s="170"/>
      <c r="F106" s="53"/>
      <c r="G106" s="53"/>
      <c r="H106" s="53"/>
      <c r="I106" s="171"/>
      <c r="J106" s="170"/>
      <c r="K106" s="53"/>
      <c r="L106" s="53"/>
      <c r="M106" s="53"/>
      <c r="N106" s="171"/>
      <c r="O106" s="170"/>
      <c r="P106" s="53"/>
      <c r="Q106" s="53"/>
      <c r="R106" s="53"/>
      <c r="S106" s="171"/>
      <c r="T106" s="170"/>
      <c r="U106" s="53"/>
      <c r="V106" s="53"/>
      <c r="W106" s="53"/>
      <c r="X106" s="171"/>
      <c r="Y106" s="170"/>
      <c r="Z106" s="170"/>
      <c r="AA106" s="170"/>
      <c r="AB106" s="170"/>
      <c r="AC106" s="170"/>
      <c r="AD106" s="53"/>
      <c r="AE106" s="53"/>
    </row>
    <row r="107">
      <c r="A107" s="53"/>
      <c r="B107" s="53" t="str">
        <f>IFERROR(__xludf.DUMMYFUNCTION("""COMPUTED_VALUE"""),"2607A143
Nadra
081218670190
Instagram")</f>
        <v>2607A143
Nadra
081218670190
Instagram</v>
      </c>
      <c r="C107" s="168" t="str">
        <f>IFERROR(__xludf.DUMMYFUNCTION("""COMPUTED_VALUE"""),"ot 3h2m
 pax
Rp0")</f>
        <v>ot 3h2m
 pax
Rp0</v>
      </c>
      <c r="D107" s="169"/>
      <c r="E107" s="170"/>
      <c r="F107" s="53"/>
      <c r="G107" s="53"/>
      <c r="H107" s="53"/>
      <c r="I107" s="171"/>
      <c r="J107" s="170"/>
      <c r="K107" s="53"/>
      <c r="L107" s="53"/>
      <c r="M107" s="53"/>
      <c r="N107" s="171"/>
      <c r="O107" s="170"/>
      <c r="P107" s="53"/>
      <c r="Q107" s="53"/>
      <c r="R107" s="53"/>
      <c r="S107" s="171"/>
      <c r="T107" s="170"/>
      <c r="U107" s="53"/>
      <c r="V107" s="53"/>
      <c r="W107" s="53"/>
      <c r="X107" s="171"/>
      <c r="Y107" s="170"/>
      <c r="Z107" s="170"/>
      <c r="AA107" s="170"/>
      <c r="AB107" s="170"/>
      <c r="AC107" s="170"/>
      <c r="AD107" s="53"/>
      <c r="AE107" s="53"/>
    </row>
    <row r="108">
      <c r="A108" s="53"/>
      <c r="B108" s="53"/>
      <c r="C108" s="168"/>
      <c r="D108" s="169"/>
      <c r="E108" s="170"/>
      <c r="F108" s="53"/>
      <c r="G108" s="53"/>
      <c r="H108" s="53"/>
      <c r="I108" s="171"/>
      <c r="J108" s="170"/>
      <c r="K108" s="53"/>
      <c r="L108" s="53"/>
      <c r="M108" s="53"/>
      <c r="N108" s="171"/>
      <c r="O108" s="170"/>
      <c r="P108" s="53"/>
      <c r="Q108" s="53"/>
      <c r="R108" s="53"/>
      <c r="S108" s="171"/>
      <c r="T108" s="170"/>
      <c r="U108" s="53"/>
      <c r="V108" s="53"/>
      <c r="W108" s="53"/>
      <c r="X108" s="171"/>
      <c r="Y108" s="170"/>
      <c r="Z108" s="170"/>
      <c r="AA108" s="170"/>
      <c r="AB108" s="170"/>
      <c r="AC108" s="170"/>
      <c r="AD108" s="53"/>
      <c r="AE108" s="53"/>
    </row>
    <row r="109">
      <c r="A109" s="53"/>
      <c r="B109" s="53"/>
      <c r="C109" s="168"/>
      <c r="D109" s="169"/>
      <c r="E109" s="170"/>
      <c r="F109" s="53"/>
      <c r="G109" s="53"/>
      <c r="H109" s="53"/>
      <c r="I109" s="171"/>
      <c r="J109" s="170"/>
      <c r="K109" s="53"/>
      <c r="L109" s="53"/>
      <c r="M109" s="53"/>
      <c r="N109" s="171"/>
      <c r="O109" s="170"/>
      <c r="P109" s="53"/>
      <c r="Q109" s="53"/>
      <c r="R109" s="53"/>
      <c r="S109" s="171"/>
      <c r="T109" s="170"/>
      <c r="U109" s="53"/>
      <c r="V109" s="53"/>
      <c r="W109" s="53"/>
      <c r="X109" s="171"/>
      <c r="Y109" s="170"/>
      <c r="Z109" s="170"/>
      <c r="AA109" s="170"/>
      <c r="AB109" s="170"/>
      <c r="AC109" s="170"/>
      <c r="AD109" s="53"/>
      <c r="AE109" s="53"/>
    </row>
    <row r="110">
      <c r="A110" s="53"/>
      <c r="B110" s="53"/>
      <c r="C110" s="168"/>
      <c r="D110" s="169"/>
      <c r="E110" s="170"/>
      <c r="F110" s="53"/>
      <c r="G110" s="53"/>
      <c r="H110" s="53"/>
      <c r="I110" s="171"/>
      <c r="J110" s="170"/>
      <c r="K110" s="53"/>
      <c r="L110" s="53"/>
      <c r="M110" s="53"/>
      <c r="N110" s="171"/>
      <c r="O110" s="170"/>
      <c r="P110" s="53"/>
      <c r="Q110" s="53"/>
      <c r="R110" s="53"/>
      <c r="S110" s="171"/>
      <c r="T110" s="170"/>
      <c r="U110" s="53"/>
      <c r="V110" s="53"/>
      <c r="W110" s="53"/>
      <c r="X110" s="171"/>
      <c r="Y110" s="170"/>
      <c r="Z110" s="170"/>
      <c r="AA110" s="170"/>
      <c r="AB110" s="170"/>
      <c r="AC110" s="170"/>
      <c r="AD110" s="53"/>
      <c r="AE110" s="53"/>
    </row>
    <row r="111">
      <c r="A111" s="53"/>
      <c r="B111" s="53"/>
      <c r="C111" s="168"/>
      <c r="D111" s="169"/>
      <c r="E111" s="170"/>
      <c r="F111" s="53"/>
      <c r="G111" s="53"/>
      <c r="H111" s="53"/>
      <c r="I111" s="171"/>
      <c r="J111" s="170"/>
      <c r="K111" s="53"/>
      <c r="L111" s="53"/>
      <c r="M111" s="53"/>
      <c r="N111" s="171"/>
      <c r="O111" s="170"/>
      <c r="P111" s="53"/>
      <c r="Q111" s="53"/>
      <c r="R111" s="53"/>
      <c r="S111" s="171"/>
      <c r="T111" s="170"/>
      <c r="U111" s="53"/>
      <c r="V111" s="53"/>
      <c r="W111" s="53"/>
      <c r="X111" s="171"/>
      <c r="Y111" s="170"/>
      <c r="Z111" s="170"/>
      <c r="AA111" s="170"/>
      <c r="AB111" s="170"/>
      <c r="AC111" s="170"/>
      <c r="AD111" s="53"/>
      <c r="AE111" s="53"/>
    </row>
    <row r="112">
      <c r="A112" s="53"/>
      <c r="B112" s="53"/>
      <c r="C112" s="168"/>
      <c r="D112" s="169"/>
      <c r="E112" s="170"/>
      <c r="F112" s="53"/>
      <c r="G112" s="53"/>
      <c r="H112" s="53"/>
      <c r="I112" s="171"/>
      <c r="J112" s="170"/>
      <c r="K112" s="53"/>
      <c r="L112" s="53"/>
      <c r="M112" s="53"/>
      <c r="N112" s="171"/>
      <c r="O112" s="170"/>
      <c r="P112" s="53"/>
      <c r="Q112" s="53"/>
      <c r="R112" s="53"/>
      <c r="S112" s="171"/>
      <c r="T112" s="170"/>
      <c r="U112" s="53"/>
      <c r="V112" s="53"/>
      <c r="W112" s="53"/>
      <c r="X112" s="171"/>
      <c r="Y112" s="170"/>
      <c r="Z112" s="170"/>
      <c r="AA112" s="170"/>
      <c r="AB112" s="170"/>
      <c r="AC112" s="170"/>
      <c r="AD112" s="53"/>
      <c r="AE112" s="53"/>
    </row>
    <row r="113">
      <c r="A113" s="53"/>
      <c r="B113" s="53"/>
      <c r="C113" s="168"/>
      <c r="D113" s="169"/>
      <c r="E113" s="170"/>
      <c r="F113" s="53"/>
      <c r="G113" s="53"/>
      <c r="H113" s="53"/>
      <c r="I113" s="171"/>
      <c r="J113" s="170"/>
      <c r="K113" s="53"/>
      <c r="L113" s="53"/>
      <c r="M113" s="53"/>
      <c r="N113" s="171"/>
      <c r="O113" s="170"/>
      <c r="P113" s="53"/>
      <c r="Q113" s="53"/>
      <c r="R113" s="53"/>
      <c r="S113" s="171"/>
      <c r="T113" s="170"/>
      <c r="U113" s="53"/>
      <c r="V113" s="53"/>
      <c r="W113" s="53"/>
      <c r="X113" s="171"/>
      <c r="Y113" s="170"/>
      <c r="Z113" s="170"/>
      <c r="AA113" s="170"/>
      <c r="AB113" s="170"/>
      <c r="AC113" s="170"/>
      <c r="AD113" s="53"/>
      <c r="AE113" s="53"/>
    </row>
    <row r="114">
      <c r="A114" s="53"/>
      <c r="B114" s="53"/>
      <c r="C114" s="168"/>
      <c r="D114" s="169"/>
      <c r="E114" s="170"/>
      <c r="F114" s="53"/>
      <c r="G114" s="53"/>
      <c r="H114" s="53"/>
      <c r="I114" s="171"/>
      <c r="J114" s="170"/>
      <c r="K114" s="53"/>
      <c r="L114" s="53"/>
      <c r="M114" s="53"/>
      <c r="N114" s="171"/>
      <c r="O114" s="170"/>
      <c r="P114" s="53"/>
      <c r="Q114" s="53"/>
      <c r="R114" s="53"/>
      <c r="S114" s="171"/>
      <c r="T114" s="170"/>
      <c r="U114" s="53"/>
      <c r="V114" s="53"/>
      <c r="W114" s="53"/>
      <c r="X114" s="171"/>
      <c r="Y114" s="170"/>
      <c r="Z114" s="170"/>
      <c r="AA114" s="170"/>
      <c r="AB114" s="170"/>
      <c r="AC114" s="170"/>
      <c r="AD114" s="53"/>
      <c r="AE114" s="53"/>
    </row>
    <row r="115">
      <c r="A115" s="53"/>
      <c r="B115" s="53"/>
      <c r="C115" s="168"/>
      <c r="D115" s="169"/>
      <c r="E115" s="170"/>
      <c r="F115" s="53"/>
      <c r="G115" s="53"/>
      <c r="H115" s="53"/>
      <c r="I115" s="171"/>
      <c r="J115" s="170"/>
      <c r="K115" s="53"/>
      <c r="L115" s="53"/>
      <c r="M115" s="53"/>
      <c r="N115" s="171"/>
      <c r="O115" s="170"/>
      <c r="P115" s="53"/>
      <c r="Q115" s="53"/>
      <c r="R115" s="53"/>
      <c r="S115" s="171"/>
      <c r="T115" s="170"/>
      <c r="U115" s="53"/>
      <c r="V115" s="53"/>
      <c r="W115" s="53"/>
      <c r="X115" s="171"/>
      <c r="Y115" s="170"/>
      <c r="Z115" s="170"/>
      <c r="AA115" s="170"/>
      <c r="AB115" s="170"/>
      <c r="AC115" s="170"/>
      <c r="AD115" s="53"/>
      <c r="AE115" s="53"/>
    </row>
    <row r="116">
      <c r="A116" s="53"/>
      <c r="B116" s="53"/>
      <c r="C116" s="168"/>
      <c r="D116" s="169"/>
      <c r="E116" s="170"/>
      <c r="F116" s="53"/>
      <c r="G116" s="53"/>
      <c r="H116" s="53"/>
      <c r="I116" s="171"/>
      <c r="J116" s="170"/>
      <c r="K116" s="53"/>
      <c r="L116" s="53"/>
      <c r="M116" s="53"/>
      <c r="N116" s="171"/>
      <c r="O116" s="170"/>
      <c r="P116" s="53"/>
      <c r="Q116" s="53"/>
      <c r="R116" s="53"/>
      <c r="S116" s="171"/>
      <c r="T116" s="170"/>
      <c r="U116" s="53"/>
      <c r="V116" s="53"/>
      <c r="W116" s="53"/>
      <c r="X116" s="171"/>
      <c r="Y116" s="170"/>
      <c r="Z116" s="170"/>
      <c r="AA116" s="170"/>
      <c r="AB116" s="170"/>
      <c r="AC116" s="170"/>
      <c r="AD116" s="53"/>
      <c r="AE116" s="53"/>
    </row>
    <row r="117">
      <c r="A117" s="53"/>
      <c r="B117" s="53"/>
      <c r="C117" s="168"/>
      <c r="D117" s="169"/>
      <c r="E117" s="170"/>
      <c r="F117" s="53"/>
      <c r="G117" s="53"/>
      <c r="H117" s="53"/>
      <c r="I117" s="171"/>
      <c r="J117" s="170"/>
      <c r="K117" s="53"/>
      <c r="L117" s="53"/>
      <c r="M117" s="53"/>
      <c r="N117" s="171"/>
      <c r="O117" s="170"/>
      <c r="P117" s="53"/>
      <c r="Q117" s="53"/>
      <c r="R117" s="53"/>
      <c r="S117" s="171"/>
      <c r="T117" s="170"/>
      <c r="U117" s="53"/>
      <c r="V117" s="53"/>
      <c r="W117" s="53"/>
      <c r="X117" s="171"/>
      <c r="Y117" s="170"/>
      <c r="Z117" s="170"/>
      <c r="AA117" s="170"/>
      <c r="AB117" s="170"/>
      <c r="AC117" s="170"/>
      <c r="AD117" s="53"/>
      <c r="AE117" s="53"/>
    </row>
    <row r="118">
      <c r="A118" s="53"/>
      <c r="B118" s="53"/>
      <c r="C118" s="168"/>
      <c r="D118" s="169"/>
      <c r="E118" s="170"/>
      <c r="F118" s="53"/>
      <c r="G118" s="53"/>
      <c r="H118" s="53"/>
      <c r="I118" s="171"/>
      <c r="J118" s="170"/>
      <c r="K118" s="53"/>
      <c r="L118" s="53"/>
      <c r="M118" s="53"/>
      <c r="N118" s="171"/>
      <c r="O118" s="170"/>
      <c r="P118" s="53"/>
      <c r="Q118" s="53"/>
      <c r="R118" s="53"/>
      <c r="S118" s="171"/>
      <c r="T118" s="170"/>
      <c r="U118" s="53"/>
      <c r="V118" s="53"/>
      <c r="W118" s="53"/>
      <c r="X118" s="171"/>
      <c r="Y118" s="170"/>
      <c r="Z118" s="170"/>
      <c r="AA118" s="170"/>
      <c r="AB118" s="170"/>
      <c r="AC118" s="170"/>
      <c r="AD118" s="53"/>
      <c r="AE118" s="53"/>
    </row>
    <row r="119">
      <c r="A119" s="53"/>
      <c r="B119" s="53"/>
      <c r="C119" s="168"/>
      <c r="D119" s="169"/>
      <c r="E119" s="170"/>
      <c r="F119" s="53"/>
      <c r="G119" s="53"/>
      <c r="H119" s="53"/>
      <c r="I119" s="171"/>
      <c r="J119" s="170"/>
      <c r="K119" s="53"/>
      <c r="L119" s="53"/>
      <c r="M119" s="53"/>
      <c r="N119" s="171"/>
      <c r="O119" s="170"/>
      <c r="P119" s="53"/>
      <c r="Q119" s="53"/>
      <c r="R119" s="53"/>
      <c r="S119" s="171"/>
      <c r="T119" s="170"/>
      <c r="U119" s="53"/>
      <c r="V119" s="53"/>
      <c r="W119" s="53"/>
      <c r="X119" s="171"/>
      <c r="Y119" s="170"/>
      <c r="Z119" s="170"/>
      <c r="AA119" s="170"/>
      <c r="AB119" s="170"/>
      <c r="AC119" s="170"/>
      <c r="AD119" s="53"/>
      <c r="AE119" s="53"/>
    </row>
    <row r="120">
      <c r="A120" s="53"/>
      <c r="B120" s="53"/>
      <c r="C120" s="168"/>
      <c r="D120" s="169"/>
      <c r="E120" s="170"/>
      <c r="F120" s="53"/>
      <c r="G120" s="53"/>
      <c r="H120" s="53"/>
      <c r="I120" s="171"/>
      <c r="J120" s="170"/>
      <c r="K120" s="53"/>
      <c r="L120" s="53"/>
      <c r="M120" s="53"/>
      <c r="N120" s="171"/>
      <c r="O120" s="170"/>
      <c r="P120" s="53"/>
      <c r="Q120" s="53"/>
      <c r="R120" s="53"/>
      <c r="S120" s="171"/>
      <c r="T120" s="170"/>
      <c r="U120" s="53"/>
      <c r="V120" s="53"/>
      <c r="W120" s="53"/>
      <c r="X120" s="171"/>
      <c r="Y120" s="170"/>
      <c r="Z120" s="170"/>
      <c r="AA120" s="170"/>
      <c r="AB120" s="170"/>
      <c r="AC120" s="170"/>
      <c r="AD120" s="53"/>
      <c r="AE120" s="53"/>
    </row>
    <row r="121">
      <c r="A121" s="53"/>
      <c r="B121" s="53"/>
      <c r="C121" s="168"/>
      <c r="D121" s="169"/>
      <c r="E121" s="170"/>
      <c r="F121" s="53"/>
      <c r="G121" s="53"/>
      <c r="H121" s="53"/>
      <c r="I121" s="171"/>
      <c r="J121" s="170"/>
      <c r="K121" s="53"/>
      <c r="L121" s="53"/>
      <c r="M121" s="53"/>
      <c r="N121" s="171"/>
      <c r="O121" s="170"/>
      <c r="P121" s="53"/>
      <c r="Q121" s="53"/>
      <c r="R121" s="53"/>
      <c r="S121" s="171"/>
      <c r="T121" s="170"/>
      <c r="U121" s="53"/>
      <c r="V121" s="53"/>
      <c r="W121" s="53"/>
      <c r="X121" s="171"/>
      <c r="Y121" s="170"/>
      <c r="Z121" s="170"/>
      <c r="AA121" s="170"/>
      <c r="AB121" s="170"/>
      <c r="AC121" s="170"/>
      <c r="AD121" s="53"/>
      <c r="AE121" s="53"/>
    </row>
    <row r="122">
      <c r="A122" s="53"/>
      <c r="B122" s="53"/>
      <c r="C122" s="168"/>
      <c r="D122" s="169"/>
      <c r="E122" s="170"/>
      <c r="F122" s="53"/>
      <c r="G122" s="53"/>
      <c r="H122" s="53"/>
      <c r="I122" s="171"/>
      <c r="J122" s="170"/>
      <c r="K122" s="53"/>
      <c r="L122" s="53"/>
      <c r="M122" s="53"/>
      <c r="N122" s="171"/>
      <c r="O122" s="170"/>
      <c r="P122" s="53"/>
      <c r="Q122" s="53"/>
      <c r="R122" s="53"/>
      <c r="S122" s="171"/>
      <c r="T122" s="170"/>
      <c r="U122" s="53"/>
      <c r="V122" s="53"/>
      <c r="W122" s="53"/>
      <c r="X122" s="171"/>
      <c r="Y122" s="170"/>
      <c r="Z122" s="170"/>
      <c r="AA122" s="170"/>
      <c r="AB122" s="170"/>
      <c r="AC122" s="170"/>
      <c r="AD122" s="53"/>
      <c r="AE122" s="53"/>
    </row>
    <row r="123">
      <c r="A123" s="53"/>
      <c r="B123" s="53"/>
      <c r="C123" s="168"/>
      <c r="D123" s="169"/>
      <c r="E123" s="170"/>
      <c r="F123" s="53"/>
      <c r="G123" s="53"/>
      <c r="H123" s="53"/>
      <c r="I123" s="171"/>
      <c r="J123" s="170"/>
      <c r="K123" s="53"/>
      <c r="L123" s="53"/>
      <c r="M123" s="53"/>
      <c r="N123" s="171"/>
      <c r="O123" s="170"/>
      <c r="P123" s="53"/>
      <c r="Q123" s="53"/>
      <c r="R123" s="53"/>
      <c r="S123" s="171"/>
      <c r="T123" s="170"/>
      <c r="U123" s="53"/>
      <c r="V123" s="53"/>
      <c r="W123" s="53"/>
      <c r="X123" s="171"/>
      <c r="Y123" s="170"/>
      <c r="Z123" s="170"/>
      <c r="AA123" s="170"/>
      <c r="AB123" s="170"/>
      <c r="AC123" s="170"/>
      <c r="AD123" s="53"/>
      <c r="AE123" s="53"/>
    </row>
    <row r="124">
      <c r="A124" s="53"/>
      <c r="B124" s="53"/>
      <c r="C124" s="168"/>
      <c r="D124" s="169"/>
      <c r="E124" s="170"/>
      <c r="F124" s="53"/>
      <c r="G124" s="53"/>
      <c r="H124" s="53"/>
      <c r="I124" s="171"/>
      <c r="J124" s="170"/>
      <c r="K124" s="53"/>
      <c r="L124" s="53"/>
      <c r="M124" s="53"/>
      <c r="N124" s="171"/>
      <c r="O124" s="170"/>
      <c r="P124" s="53"/>
      <c r="Q124" s="53"/>
      <c r="R124" s="53"/>
      <c r="S124" s="171"/>
      <c r="T124" s="170"/>
      <c r="U124" s="53"/>
      <c r="V124" s="53"/>
      <c r="W124" s="53"/>
      <c r="X124" s="171"/>
      <c r="Y124" s="170"/>
      <c r="Z124" s="170"/>
      <c r="AA124" s="170"/>
      <c r="AB124" s="170"/>
      <c r="AC124" s="170"/>
      <c r="AD124" s="53"/>
      <c r="AE124" s="53"/>
    </row>
    <row r="125">
      <c r="A125" s="53"/>
      <c r="B125" s="53"/>
      <c r="C125" s="168"/>
      <c r="D125" s="169"/>
      <c r="E125" s="170"/>
      <c r="F125" s="53"/>
      <c r="G125" s="53"/>
      <c r="H125" s="53"/>
      <c r="I125" s="171"/>
      <c r="J125" s="170"/>
      <c r="K125" s="53"/>
      <c r="L125" s="53"/>
      <c r="M125" s="53"/>
      <c r="N125" s="171"/>
      <c r="O125" s="170"/>
      <c r="P125" s="53"/>
      <c r="Q125" s="53"/>
      <c r="R125" s="53"/>
      <c r="S125" s="171"/>
      <c r="T125" s="170"/>
      <c r="U125" s="53"/>
      <c r="V125" s="53"/>
      <c r="W125" s="53"/>
      <c r="X125" s="171"/>
      <c r="Y125" s="170"/>
      <c r="Z125" s="170"/>
      <c r="AA125" s="170"/>
      <c r="AB125" s="170"/>
      <c r="AC125" s="170"/>
      <c r="AD125" s="53"/>
      <c r="AE125" s="53"/>
    </row>
    <row r="126">
      <c r="A126" s="53"/>
      <c r="B126" s="53"/>
      <c r="C126" s="168"/>
      <c r="D126" s="169"/>
      <c r="E126" s="170"/>
      <c r="F126" s="53"/>
      <c r="G126" s="53"/>
      <c r="H126" s="53"/>
      <c r="I126" s="171"/>
      <c r="J126" s="170"/>
      <c r="K126" s="53"/>
      <c r="L126" s="53"/>
      <c r="M126" s="53"/>
      <c r="N126" s="171"/>
      <c r="O126" s="170"/>
      <c r="P126" s="53"/>
      <c r="Q126" s="53"/>
      <c r="R126" s="53"/>
      <c r="S126" s="171"/>
      <c r="T126" s="170"/>
      <c r="U126" s="53"/>
      <c r="V126" s="53"/>
      <c r="W126" s="53"/>
      <c r="X126" s="171"/>
      <c r="Y126" s="170"/>
      <c r="Z126" s="170"/>
      <c r="AA126" s="170"/>
      <c r="AB126" s="170"/>
      <c r="AC126" s="170"/>
      <c r="AD126" s="53"/>
      <c r="AE126" s="53"/>
    </row>
    <row r="127">
      <c r="A127" s="53"/>
      <c r="B127" s="53"/>
      <c r="C127" s="168"/>
      <c r="D127" s="169"/>
      <c r="E127" s="170"/>
      <c r="F127" s="53"/>
      <c r="G127" s="53"/>
      <c r="H127" s="53"/>
      <c r="I127" s="171"/>
      <c r="J127" s="170"/>
      <c r="K127" s="53"/>
      <c r="L127" s="53"/>
      <c r="M127" s="53"/>
      <c r="N127" s="171"/>
      <c r="O127" s="170"/>
      <c r="P127" s="53"/>
      <c r="Q127" s="53"/>
      <c r="R127" s="53"/>
      <c r="S127" s="171"/>
      <c r="T127" s="170"/>
      <c r="U127" s="53"/>
      <c r="V127" s="53"/>
      <c r="W127" s="53"/>
      <c r="X127" s="171"/>
      <c r="Y127" s="170"/>
      <c r="Z127" s="170"/>
      <c r="AA127" s="170"/>
      <c r="AB127" s="170"/>
      <c r="AC127" s="170"/>
      <c r="AD127" s="53"/>
      <c r="AE127" s="53"/>
    </row>
    <row r="128">
      <c r="A128" s="53"/>
      <c r="B128" s="53"/>
      <c r="C128" s="168"/>
      <c r="D128" s="169"/>
      <c r="E128" s="170"/>
      <c r="F128" s="53"/>
      <c r="G128" s="53"/>
      <c r="H128" s="53"/>
      <c r="I128" s="171"/>
      <c r="J128" s="170"/>
      <c r="K128" s="53"/>
      <c r="L128" s="53"/>
      <c r="M128" s="53"/>
      <c r="N128" s="171"/>
      <c r="O128" s="170"/>
      <c r="P128" s="53"/>
      <c r="Q128" s="53"/>
      <c r="R128" s="53"/>
      <c r="S128" s="171"/>
      <c r="T128" s="170"/>
      <c r="U128" s="53"/>
      <c r="V128" s="53"/>
      <c r="W128" s="53"/>
      <c r="X128" s="171"/>
      <c r="Y128" s="170"/>
      <c r="Z128" s="170"/>
      <c r="AA128" s="170"/>
      <c r="AB128" s="170"/>
      <c r="AC128" s="170"/>
      <c r="AD128" s="53"/>
      <c r="AE128" s="53"/>
    </row>
    <row r="129">
      <c r="A129" s="53"/>
      <c r="B129" s="53"/>
      <c r="C129" s="168"/>
      <c r="D129" s="169"/>
      <c r="E129" s="170"/>
      <c r="F129" s="53"/>
      <c r="G129" s="53"/>
      <c r="H129" s="53"/>
      <c r="I129" s="171"/>
      <c r="J129" s="170"/>
      <c r="K129" s="53"/>
      <c r="L129" s="53"/>
      <c r="M129" s="53"/>
      <c r="N129" s="171"/>
      <c r="O129" s="170"/>
      <c r="P129" s="53"/>
      <c r="Q129" s="53"/>
      <c r="R129" s="53"/>
      <c r="S129" s="171"/>
      <c r="T129" s="170"/>
      <c r="U129" s="53"/>
      <c r="V129" s="53"/>
      <c r="W129" s="53"/>
      <c r="X129" s="171"/>
      <c r="Y129" s="170"/>
      <c r="Z129" s="170"/>
      <c r="AA129" s="170"/>
      <c r="AB129" s="170"/>
      <c r="AC129" s="170"/>
      <c r="AD129" s="53"/>
      <c r="AE129" s="53"/>
    </row>
    <row r="130">
      <c r="A130" s="53"/>
      <c r="B130" s="53"/>
      <c r="C130" s="168"/>
      <c r="D130" s="169"/>
      <c r="E130" s="170"/>
      <c r="F130" s="53"/>
      <c r="G130" s="53"/>
      <c r="H130" s="53"/>
      <c r="I130" s="171"/>
      <c r="J130" s="170"/>
      <c r="K130" s="53"/>
      <c r="L130" s="53"/>
      <c r="M130" s="53"/>
      <c r="N130" s="171"/>
      <c r="O130" s="170"/>
      <c r="P130" s="53"/>
      <c r="Q130" s="53"/>
      <c r="R130" s="53"/>
      <c r="S130" s="171"/>
      <c r="T130" s="170"/>
      <c r="U130" s="53"/>
      <c r="V130" s="53"/>
      <c r="W130" s="53"/>
      <c r="X130" s="171"/>
      <c r="Y130" s="170"/>
      <c r="Z130" s="170"/>
      <c r="AA130" s="170"/>
      <c r="AB130" s="170"/>
      <c r="AC130" s="170"/>
      <c r="AD130" s="53"/>
      <c r="AE130" s="53"/>
    </row>
    <row r="131">
      <c r="A131" s="53"/>
      <c r="B131" s="53"/>
      <c r="C131" s="168"/>
      <c r="D131" s="169"/>
      <c r="E131" s="170"/>
      <c r="F131" s="53"/>
      <c r="G131" s="53"/>
      <c r="H131" s="53"/>
      <c r="I131" s="171"/>
      <c r="J131" s="170"/>
      <c r="K131" s="53"/>
      <c r="L131" s="53"/>
      <c r="M131" s="53"/>
      <c r="N131" s="171"/>
      <c r="O131" s="170"/>
      <c r="P131" s="53"/>
      <c r="Q131" s="53"/>
      <c r="R131" s="53"/>
      <c r="S131" s="171"/>
      <c r="T131" s="170"/>
      <c r="U131" s="53"/>
      <c r="V131" s="53"/>
      <c r="W131" s="53"/>
      <c r="X131" s="171"/>
      <c r="Y131" s="170"/>
      <c r="Z131" s="170"/>
      <c r="AA131" s="170"/>
      <c r="AB131" s="170"/>
      <c r="AC131" s="170"/>
      <c r="AD131" s="53"/>
      <c r="AE131" s="53"/>
    </row>
    <row r="132">
      <c r="A132" s="53"/>
      <c r="B132" s="53"/>
      <c r="C132" s="168"/>
      <c r="D132" s="169"/>
      <c r="E132" s="170"/>
      <c r="F132" s="53"/>
      <c r="G132" s="53"/>
      <c r="H132" s="53"/>
      <c r="I132" s="171"/>
      <c r="J132" s="170"/>
      <c r="K132" s="53"/>
      <c r="L132" s="53"/>
      <c r="M132" s="53"/>
      <c r="N132" s="171"/>
      <c r="O132" s="170"/>
      <c r="P132" s="53"/>
      <c r="Q132" s="53"/>
      <c r="R132" s="53"/>
      <c r="S132" s="171"/>
      <c r="T132" s="170"/>
      <c r="U132" s="53"/>
      <c r="V132" s="53"/>
      <c r="W132" s="53"/>
      <c r="X132" s="171"/>
      <c r="Y132" s="170"/>
      <c r="Z132" s="170"/>
      <c r="AA132" s="170"/>
      <c r="AB132" s="170"/>
      <c r="AC132" s="170"/>
      <c r="AD132" s="53"/>
      <c r="AE132" s="53"/>
    </row>
    <row r="133">
      <c r="A133" s="53"/>
      <c r="B133" s="53"/>
      <c r="C133" s="168"/>
      <c r="D133" s="169"/>
      <c r="E133" s="170"/>
      <c r="F133" s="53"/>
      <c r="G133" s="53"/>
      <c r="H133" s="53"/>
      <c r="I133" s="171"/>
      <c r="J133" s="170"/>
      <c r="K133" s="53"/>
      <c r="L133" s="53"/>
      <c r="M133" s="53"/>
      <c r="N133" s="171"/>
      <c r="O133" s="170"/>
      <c r="P133" s="53"/>
      <c r="Q133" s="53"/>
      <c r="R133" s="53"/>
      <c r="S133" s="171"/>
      <c r="T133" s="170"/>
      <c r="U133" s="53"/>
      <c r="V133" s="53"/>
      <c r="W133" s="53"/>
      <c r="X133" s="171"/>
      <c r="Y133" s="170"/>
      <c r="Z133" s="170"/>
      <c r="AA133" s="170"/>
      <c r="AB133" s="170"/>
      <c r="AC133" s="170"/>
      <c r="AD133" s="53"/>
      <c r="AE133" s="53"/>
    </row>
    <row r="134">
      <c r="A134" s="53"/>
      <c r="B134" s="53"/>
      <c r="C134" s="168"/>
      <c r="D134" s="169"/>
      <c r="E134" s="170"/>
      <c r="F134" s="53"/>
      <c r="G134" s="53"/>
      <c r="H134" s="53"/>
      <c r="I134" s="171"/>
      <c r="J134" s="170"/>
      <c r="K134" s="53"/>
      <c r="L134" s="53"/>
      <c r="M134" s="53"/>
      <c r="N134" s="171"/>
      <c r="O134" s="170"/>
      <c r="P134" s="53"/>
      <c r="Q134" s="53"/>
      <c r="R134" s="53"/>
      <c r="S134" s="171"/>
      <c r="T134" s="170"/>
      <c r="U134" s="53"/>
      <c r="V134" s="53"/>
      <c r="W134" s="53"/>
      <c r="X134" s="171"/>
      <c r="Y134" s="170"/>
      <c r="Z134" s="170"/>
      <c r="AA134" s="170"/>
      <c r="AB134" s="170"/>
      <c r="AC134" s="170"/>
      <c r="AD134" s="53"/>
      <c r="AE134" s="53"/>
    </row>
    <row r="135">
      <c r="A135" s="53"/>
      <c r="B135" s="53"/>
      <c r="C135" s="168"/>
      <c r="D135" s="169"/>
      <c r="E135" s="170"/>
      <c r="F135" s="53"/>
      <c r="G135" s="53"/>
      <c r="H135" s="53"/>
      <c r="I135" s="171"/>
      <c r="J135" s="170"/>
      <c r="K135" s="53"/>
      <c r="L135" s="53"/>
      <c r="M135" s="53"/>
      <c r="N135" s="171"/>
      <c r="O135" s="170"/>
      <c r="P135" s="53"/>
      <c r="Q135" s="53"/>
      <c r="R135" s="53"/>
      <c r="S135" s="171"/>
      <c r="T135" s="170"/>
      <c r="U135" s="53"/>
      <c r="V135" s="53"/>
      <c r="W135" s="53"/>
      <c r="X135" s="171"/>
      <c r="Y135" s="170"/>
      <c r="Z135" s="170"/>
      <c r="AA135" s="170"/>
      <c r="AB135" s="170"/>
      <c r="AC135" s="170"/>
      <c r="AD135" s="53"/>
      <c r="AE135" s="53"/>
    </row>
    <row r="136">
      <c r="A136" s="53"/>
      <c r="B136" s="53"/>
      <c r="C136" s="168"/>
      <c r="D136" s="169"/>
      <c r="E136" s="170"/>
      <c r="F136" s="53"/>
      <c r="G136" s="53"/>
      <c r="H136" s="53"/>
      <c r="I136" s="171"/>
      <c r="J136" s="170"/>
      <c r="K136" s="53"/>
      <c r="L136" s="53"/>
      <c r="M136" s="53"/>
      <c r="N136" s="171"/>
      <c r="O136" s="170"/>
      <c r="P136" s="53"/>
      <c r="Q136" s="53"/>
      <c r="R136" s="53"/>
      <c r="S136" s="171"/>
      <c r="T136" s="170"/>
      <c r="U136" s="53"/>
      <c r="V136" s="53"/>
      <c r="W136" s="53"/>
      <c r="X136" s="171"/>
      <c r="Y136" s="170"/>
      <c r="Z136" s="170"/>
      <c r="AA136" s="170"/>
      <c r="AB136" s="170"/>
      <c r="AC136" s="170"/>
      <c r="AD136" s="53"/>
      <c r="AE136" s="53"/>
    </row>
    <row r="137">
      <c r="A137" s="53"/>
      <c r="B137" s="53"/>
      <c r="C137" s="168"/>
      <c r="D137" s="169"/>
      <c r="E137" s="170"/>
      <c r="F137" s="53"/>
      <c r="G137" s="53"/>
      <c r="H137" s="53"/>
      <c r="I137" s="171"/>
      <c r="J137" s="170"/>
      <c r="K137" s="53"/>
      <c r="L137" s="53"/>
      <c r="M137" s="53"/>
      <c r="N137" s="171"/>
      <c r="O137" s="170"/>
      <c r="P137" s="53"/>
      <c r="Q137" s="53"/>
      <c r="R137" s="53"/>
      <c r="S137" s="171"/>
      <c r="T137" s="170"/>
      <c r="U137" s="53"/>
      <c r="V137" s="53"/>
      <c r="W137" s="53"/>
      <c r="X137" s="171"/>
      <c r="Y137" s="170"/>
      <c r="Z137" s="170"/>
      <c r="AA137" s="170"/>
      <c r="AB137" s="170"/>
      <c r="AC137" s="170"/>
      <c r="AD137" s="53"/>
      <c r="AE137" s="53"/>
    </row>
    <row r="138">
      <c r="A138" s="53"/>
      <c r="B138" s="53"/>
      <c r="C138" s="168"/>
      <c r="D138" s="169"/>
      <c r="E138" s="170"/>
      <c r="F138" s="53"/>
      <c r="G138" s="53"/>
      <c r="H138" s="53"/>
      <c r="I138" s="171"/>
      <c r="J138" s="170"/>
      <c r="K138" s="53"/>
      <c r="L138" s="53"/>
      <c r="M138" s="53"/>
      <c r="N138" s="171"/>
      <c r="O138" s="170"/>
      <c r="P138" s="53"/>
      <c r="Q138" s="53"/>
      <c r="R138" s="53"/>
      <c r="S138" s="171"/>
      <c r="T138" s="170"/>
      <c r="U138" s="53"/>
      <c r="V138" s="53"/>
      <c r="W138" s="53"/>
      <c r="X138" s="171"/>
      <c r="Y138" s="170"/>
      <c r="Z138" s="170"/>
      <c r="AA138" s="170"/>
      <c r="AB138" s="170"/>
      <c r="AC138" s="170"/>
      <c r="AD138" s="53"/>
      <c r="AE138" s="53"/>
    </row>
    <row r="139">
      <c r="A139" s="53"/>
      <c r="B139" s="53"/>
      <c r="C139" s="168"/>
      <c r="D139" s="169"/>
      <c r="E139" s="170"/>
      <c r="F139" s="53"/>
      <c r="G139" s="53"/>
      <c r="H139" s="53"/>
      <c r="I139" s="171"/>
      <c r="J139" s="170"/>
      <c r="K139" s="53"/>
      <c r="L139" s="53"/>
      <c r="M139" s="53"/>
      <c r="N139" s="171"/>
      <c r="O139" s="170"/>
      <c r="P139" s="53"/>
      <c r="Q139" s="53"/>
      <c r="R139" s="53"/>
      <c r="S139" s="171"/>
      <c r="T139" s="170"/>
      <c r="U139" s="53"/>
      <c r="V139" s="53"/>
      <c r="W139" s="53"/>
      <c r="X139" s="171"/>
      <c r="Y139" s="170"/>
      <c r="Z139" s="170"/>
      <c r="AA139" s="170"/>
      <c r="AB139" s="170"/>
      <c r="AC139" s="170"/>
      <c r="AD139" s="53"/>
      <c r="AE139" s="53"/>
    </row>
    <row r="140">
      <c r="A140" s="53"/>
      <c r="B140" s="53"/>
      <c r="C140" s="168"/>
      <c r="D140" s="169"/>
      <c r="E140" s="170"/>
      <c r="F140" s="53"/>
      <c r="G140" s="53"/>
      <c r="H140" s="53"/>
      <c r="I140" s="171"/>
      <c r="J140" s="170"/>
      <c r="K140" s="53"/>
      <c r="L140" s="53"/>
      <c r="M140" s="53"/>
      <c r="N140" s="171"/>
      <c r="O140" s="170"/>
      <c r="P140" s="53"/>
      <c r="Q140" s="53"/>
      <c r="R140" s="53"/>
      <c r="S140" s="171"/>
      <c r="T140" s="170"/>
      <c r="U140" s="53"/>
      <c r="V140" s="53"/>
      <c r="W140" s="53"/>
      <c r="X140" s="171"/>
      <c r="Y140" s="170"/>
      <c r="Z140" s="170"/>
      <c r="AA140" s="170"/>
      <c r="AB140" s="170"/>
      <c r="AC140" s="170"/>
      <c r="AD140" s="53"/>
      <c r="AE140" s="53"/>
    </row>
    <row r="141">
      <c r="A141" s="53"/>
      <c r="B141" s="53"/>
      <c r="C141" s="168"/>
      <c r="D141" s="169"/>
      <c r="E141" s="170"/>
      <c r="F141" s="53"/>
      <c r="G141" s="53"/>
      <c r="H141" s="53"/>
      <c r="I141" s="171"/>
      <c r="J141" s="170"/>
      <c r="K141" s="53"/>
      <c r="L141" s="53"/>
      <c r="M141" s="53"/>
      <c r="N141" s="171"/>
      <c r="O141" s="170"/>
      <c r="P141" s="53"/>
      <c r="Q141" s="53"/>
      <c r="R141" s="53"/>
      <c r="S141" s="171"/>
      <c r="T141" s="170"/>
      <c r="U141" s="53"/>
      <c r="V141" s="53"/>
      <c r="W141" s="53"/>
      <c r="X141" s="171"/>
      <c r="Y141" s="170"/>
      <c r="Z141" s="170"/>
      <c r="AA141" s="170"/>
      <c r="AB141" s="170"/>
      <c r="AC141" s="170"/>
      <c r="AD141" s="53"/>
      <c r="AE141" s="53"/>
    </row>
    <row r="142">
      <c r="A142" s="53"/>
      <c r="B142" s="53"/>
      <c r="C142" s="168"/>
      <c r="D142" s="169"/>
      <c r="E142" s="170"/>
      <c r="F142" s="53"/>
      <c r="G142" s="53"/>
      <c r="H142" s="53"/>
      <c r="I142" s="171"/>
      <c r="J142" s="170"/>
      <c r="K142" s="53"/>
      <c r="L142" s="53"/>
      <c r="M142" s="53"/>
      <c r="N142" s="171"/>
      <c r="O142" s="170"/>
      <c r="P142" s="53"/>
      <c r="Q142" s="53"/>
      <c r="R142" s="53"/>
      <c r="S142" s="171"/>
      <c r="T142" s="170"/>
      <c r="U142" s="53"/>
      <c r="V142" s="53"/>
      <c r="W142" s="53"/>
      <c r="X142" s="171"/>
      <c r="Y142" s="170"/>
      <c r="Z142" s="170"/>
      <c r="AA142" s="170"/>
      <c r="AB142" s="170"/>
      <c r="AC142" s="170"/>
      <c r="AD142" s="53"/>
      <c r="AE142" s="53"/>
    </row>
    <row r="143">
      <c r="A143" s="53"/>
      <c r="B143" s="53"/>
      <c r="C143" s="168"/>
      <c r="D143" s="169"/>
      <c r="E143" s="170"/>
      <c r="F143" s="53"/>
      <c r="G143" s="53"/>
      <c r="H143" s="53"/>
      <c r="I143" s="171"/>
      <c r="J143" s="170"/>
      <c r="K143" s="53"/>
      <c r="L143" s="53"/>
      <c r="M143" s="53"/>
      <c r="N143" s="171"/>
      <c r="O143" s="170"/>
      <c r="P143" s="53"/>
      <c r="Q143" s="53"/>
      <c r="R143" s="53"/>
      <c r="S143" s="171"/>
      <c r="T143" s="170"/>
      <c r="U143" s="53"/>
      <c r="V143" s="53"/>
      <c r="W143" s="53"/>
      <c r="X143" s="171"/>
      <c r="Y143" s="170"/>
      <c r="Z143" s="170"/>
      <c r="AA143" s="170"/>
      <c r="AB143" s="170"/>
      <c r="AC143" s="170"/>
      <c r="AD143" s="53"/>
      <c r="AE143" s="53"/>
    </row>
    <row r="144">
      <c r="A144" s="53"/>
      <c r="B144" s="53"/>
      <c r="C144" s="168"/>
      <c r="D144" s="169"/>
      <c r="E144" s="170"/>
      <c r="F144" s="53"/>
      <c r="G144" s="53"/>
      <c r="H144" s="53"/>
      <c r="I144" s="171"/>
      <c r="J144" s="170"/>
      <c r="K144" s="53"/>
      <c r="L144" s="53"/>
      <c r="M144" s="53"/>
      <c r="N144" s="171"/>
      <c r="O144" s="170"/>
      <c r="P144" s="53"/>
      <c r="Q144" s="53"/>
      <c r="R144" s="53"/>
      <c r="S144" s="171"/>
      <c r="T144" s="170"/>
      <c r="U144" s="53"/>
      <c r="V144" s="53"/>
      <c r="W144" s="53"/>
      <c r="X144" s="171"/>
      <c r="Y144" s="170"/>
      <c r="Z144" s="170"/>
      <c r="AA144" s="170"/>
      <c r="AB144" s="170"/>
      <c r="AC144" s="170"/>
      <c r="AD144" s="53"/>
      <c r="AE144" s="53"/>
    </row>
    <row r="145">
      <c r="A145" s="53"/>
      <c r="B145" s="53"/>
      <c r="C145" s="168"/>
      <c r="D145" s="169"/>
      <c r="E145" s="170"/>
      <c r="F145" s="53"/>
      <c r="G145" s="53"/>
      <c r="H145" s="53"/>
      <c r="I145" s="171"/>
      <c r="J145" s="170"/>
      <c r="K145" s="53"/>
      <c r="L145" s="53"/>
      <c r="M145" s="53"/>
      <c r="N145" s="171"/>
      <c r="O145" s="170"/>
      <c r="P145" s="53"/>
      <c r="Q145" s="53"/>
      <c r="R145" s="53"/>
      <c r="S145" s="171"/>
      <c r="T145" s="170"/>
      <c r="U145" s="53"/>
      <c r="V145" s="53"/>
      <c r="W145" s="53"/>
      <c r="X145" s="171"/>
      <c r="Y145" s="170"/>
      <c r="Z145" s="170"/>
      <c r="AA145" s="170"/>
      <c r="AB145" s="170"/>
      <c r="AC145" s="170"/>
      <c r="AD145" s="53"/>
      <c r="AE145" s="53"/>
    </row>
    <row r="146">
      <c r="A146" s="53"/>
      <c r="B146" s="53"/>
      <c r="C146" s="168"/>
      <c r="D146" s="169"/>
      <c r="E146" s="170"/>
      <c r="F146" s="53"/>
      <c r="G146" s="53"/>
      <c r="H146" s="53"/>
      <c r="I146" s="171"/>
      <c r="J146" s="170"/>
      <c r="K146" s="53"/>
      <c r="L146" s="53"/>
      <c r="M146" s="53"/>
      <c r="N146" s="171"/>
      <c r="O146" s="170"/>
      <c r="P146" s="53"/>
      <c r="Q146" s="53"/>
      <c r="R146" s="53"/>
      <c r="S146" s="171"/>
      <c r="T146" s="170"/>
      <c r="U146" s="53"/>
      <c r="V146" s="53"/>
      <c r="W146" s="53"/>
      <c r="X146" s="171"/>
      <c r="Y146" s="170"/>
      <c r="Z146" s="170"/>
      <c r="AA146" s="170"/>
      <c r="AB146" s="170"/>
      <c r="AC146" s="170"/>
      <c r="AD146" s="53"/>
      <c r="AE146" s="53"/>
    </row>
    <row r="147">
      <c r="A147" s="53"/>
      <c r="B147" s="53"/>
      <c r="C147" s="168"/>
      <c r="D147" s="169"/>
      <c r="E147" s="170"/>
      <c r="F147" s="53"/>
      <c r="G147" s="53"/>
      <c r="H147" s="53"/>
      <c r="I147" s="171"/>
      <c r="J147" s="170"/>
      <c r="K147" s="53"/>
      <c r="L147" s="53"/>
      <c r="M147" s="53"/>
      <c r="N147" s="171"/>
      <c r="O147" s="170"/>
      <c r="P147" s="53"/>
      <c r="Q147" s="53"/>
      <c r="R147" s="53"/>
      <c r="S147" s="171"/>
      <c r="T147" s="170"/>
      <c r="U147" s="53"/>
      <c r="V147" s="53"/>
      <c r="W147" s="53"/>
      <c r="X147" s="171"/>
      <c r="Y147" s="170"/>
      <c r="Z147" s="170"/>
      <c r="AA147" s="170"/>
      <c r="AB147" s="170"/>
      <c r="AC147" s="170"/>
      <c r="AD147" s="53"/>
      <c r="AE147" s="53"/>
    </row>
    <row r="148">
      <c r="A148" s="53"/>
      <c r="B148" s="53"/>
      <c r="C148" s="168"/>
      <c r="D148" s="169"/>
      <c r="E148" s="170"/>
      <c r="F148" s="53"/>
      <c r="G148" s="53"/>
      <c r="H148" s="53"/>
      <c r="I148" s="171"/>
      <c r="J148" s="170"/>
      <c r="K148" s="53"/>
      <c r="L148" s="53"/>
      <c r="M148" s="53"/>
      <c r="N148" s="171"/>
      <c r="O148" s="170"/>
      <c r="P148" s="53"/>
      <c r="Q148" s="53"/>
      <c r="R148" s="53"/>
      <c r="S148" s="171"/>
      <c r="T148" s="170"/>
      <c r="U148" s="53"/>
      <c r="V148" s="53"/>
      <c r="W148" s="53"/>
      <c r="X148" s="171"/>
      <c r="Y148" s="170"/>
      <c r="Z148" s="170"/>
      <c r="AA148" s="170"/>
      <c r="AB148" s="170"/>
      <c r="AC148" s="170"/>
      <c r="AD148" s="53"/>
      <c r="AE148" s="53"/>
    </row>
    <row r="149">
      <c r="A149" s="53"/>
      <c r="B149" s="53"/>
      <c r="C149" s="168"/>
      <c r="D149" s="169"/>
      <c r="E149" s="170"/>
      <c r="F149" s="53"/>
      <c r="G149" s="53"/>
      <c r="H149" s="53"/>
      <c r="I149" s="171"/>
      <c r="J149" s="170"/>
      <c r="K149" s="53"/>
      <c r="L149" s="53"/>
      <c r="M149" s="53"/>
      <c r="N149" s="171"/>
      <c r="O149" s="170"/>
      <c r="P149" s="53"/>
      <c r="Q149" s="53"/>
      <c r="R149" s="53"/>
      <c r="S149" s="171"/>
      <c r="T149" s="170"/>
      <c r="U149" s="53"/>
      <c r="V149" s="53"/>
      <c r="W149" s="53"/>
      <c r="X149" s="171"/>
      <c r="Y149" s="170"/>
      <c r="Z149" s="170"/>
      <c r="AA149" s="170"/>
      <c r="AB149" s="170"/>
      <c r="AC149" s="170"/>
      <c r="AD149" s="53"/>
      <c r="AE149" s="53"/>
    </row>
    <row r="150">
      <c r="A150" s="53"/>
      <c r="B150" s="53"/>
      <c r="C150" s="168"/>
      <c r="D150" s="169"/>
      <c r="E150" s="170"/>
      <c r="F150" s="53"/>
      <c r="G150" s="53"/>
      <c r="H150" s="53"/>
      <c r="I150" s="171"/>
      <c r="J150" s="170"/>
      <c r="K150" s="53"/>
      <c r="L150" s="53"/>
      <c r="M150" s="53"/>
      <c r="N150" s="171"/>
      <c r="O150" s="170"/>
      <c r="P150" s="53"/>
      <c r="Q150" s="53"/>
      <c r="R150" s="53"/>
      <c r="S150" s="171"/>
      <c r="T150" s="170"/>
      <c r="U150" s="53"/>
      <c r="V150" s="53"/>
      <c r="W150" s="53"/>
      <c r="X150" s="171"/>
      <c r="Y150" s="170"/>
      <c r="Z150" s="170"/>
      <c r="AA150" s="170"/>
      <c r="AB150" s="170"/>
      <c r="AC150" s="170"/>
      <c r="AD150" s="53"/>
      <c r="AE150" s="53"/>
    </row>
    <row r="151">
      <c r="A151" s="53"/>
      <c r="B151" s="53"/>
      <c r="C151" s="168"/>
      <c r="D151" s="169"/>
      <c r="E151" s="170"/>
      <c r="F151" s="53"/>
      <c r="G151" s="53"/>
      <c r="H151" s="53"/>
      <c r="I151" s="171"/>
      <c r="J151" s="170"/>
      <c r="K151" s="53"/>
      <c r="L151" s="53"/>
      <c r="M151" s="53"/>
      <c r="N151" s="171"/>
      <c r="O151" s="170"/>
      <c r="P151" s="53"/>
      <c r="Q151" s="53"/>
      <c r="R151" s="53"/>
      <c r="S151" s="171"/>
      <c r="T151" s="170"/>
      <c r="U151" s="53"/>
      <c r="V151" s="53"/>
      <c r="W151" s="53"/>
      <c r="X151" s="171"/>
      <c r="Y151" s="170"/>
      <c r="Z151" s="170"/>
      <c r="AA151" s="170"/>
      <c r="AB151" s="170"/>
      <c r="AC151" s="170"/>
      <c r="AD151" s="53"/>
      <c r="AE151" s="53"/>
    </row>
    <row r="152">
      <c r="A152" s="53"/>
      <c r="B152" s="53"/>
      <c r="C152" s="168"/>
      <c r="D152" s="169"/>
      <c r="E152" s="170"/>
      <c r="F152" s="53"/>
      <c r="G152" s="53"/>
      <c r="H152" s="53"/>
      <c r="I152" s="171"/>
      <c r="J152" s="170"/>
      <c r="K152" s="53"/>
      <c r="L152" s="53"/>
      <c r="M152" s="53"/>
      <c r="N152" s="171"/>
      <c r="O152" s="170"/>
      <c r="P152" s="53"/>
      <c r="Q152" s="53"/>
      <c r="R152" s="53"/>
      <c r="S152" s="171"/>
      <c r="T152" s="170"/>
      <c r="U152" s="53"/>
      <c r="V152" s="53"/>
      <c r="W152" s="53"/>
      <c r="X152" s="171"/>
      <c r="Y152" s="170"/>
      <c r="Z152" s="170"/>
      <c r="AA152" s="170"/>
      <c r="AB152" s="170"/>
      <c r="AC152" s="170"/>
      <c r="AD152" s="53"/>
      <c r="AE152" s="53"/>
    </row>
    <row r="153">
      <c r="A153" s="53"/>
      <c r="B153" s="53"/>
      <c r="C153" s="168"/>
      <c r="D153" s="169"/>
      <c r="E153" s="170"/>
      <c r="F153" s="53"/>
      <c r="G153" s="53"/>
      <c r="H153" s="53"/>
      <c r="I153" s="171"/>
      <c r="J153" s="170"/>
      <c r="K153" s="53"/>
      <c r="L153" s="53"/>
      <c r="M153" s="53"/>
      <c r="N153" s="171"/>
      <c r="O153" s="170"/>
      <c r="P153" s="53"/>
      <c r="Q153" s="53"/>
      <c r="R153" s="53"/>
      <c r="S153" s="171"/>
      <c r="T153" s="170"/>
      <c r="U153" s="53"/>
      <c r="V153" s="53"/>
      <c r="W153" s="53"/>
      <c r="X153" s="171"/>
      <c r="Y153" s="170"/>
      <c r="Z153" s="170"/>
      <c r="AA153" s="170"/>
      <c r="AB153" s="170"/>
      <c r="AC153" s="170"/>
      <c r="AD153" s="53"/>
      <c r="AE153" s="53"/>
    </row>
    <row r="154">
      <c r="A154" s="53"/>
      <c r="B154" s="53"/>
      <c r="C154" s="168"/>
      <c r="D154" s="169"/>
      <c r="E154" s="170"/>
      <c r="F154" s="53"/>
      <c r="G154" s="53"/>
      <c r="H154" s="53"/>
      <c r="I154" s="171"/>
      <c r="J154" s="170"/>
      <c r="K154" s="53"/>
      <c r="L154" s="53"/>
      <c r="M154" s="53"/>
      <c r="N154" s="171"/>
      <c r="O154" s="170"/>
      <c r="P154" s="53"/>
      <c r="Q154" s="53"/>
      <c r="R154" s="53"/>
      <c r="S154" s="171"/>
      <c r="T154" s="170"/>
      <c r="U154" s="53"/>
      <c r="V154" s="53"/>
      <c r="W154" s="53"/>
      <c r="X154" s="171"/>
      <c r="Y154" s="170"/>
      <c r="Z154" s="170"/>
      <c r="AA154" s="170"/>
      <c r="AB154" s="170"/>
      <c r="AC154" s="170"/>
      <c r="AD154" s="53"/>
      <c r="AE154" s="53"/>
    </row>
    <row r="155">
      <c r="A155" s="53"/>
      <c r="B155" s="53"/>
      <c r="C155" s="168"/>
      <c r="D155" s="169"/>
      <c r="E155" s="170"/>
      <c r="F155" s="53"/>
      <c r="G155" s="53"/>
      <c r="H155" s="53"/>
      <c r="I155" s="171"/>
      <c r="J155" s="170"/>
      <c r="K155" s="53"/>
      <c r="L155" s="53"/>
      <c r="M155" s="53"/>
      <c r="N155" s="171"/>
      <c r="O155" s="170"/>
      <c r="P155" s="53"/>
      <c r="Q155" s="53"/>
      <c r="R155" s="53"/>
      <c r="S155" s="171"/>
      <c r="T155" s="170"/>
      <c r="U155" s="53"/>
      <c r="V155" s="53"/>
      <c r="W155" s="53"/>
      <c r="X155" s="171"/>
      <c r="Y155" s="170"/>
      <c r="Z155" s="170"/>
      <c r="AA155" s="170"/>
      <c r="AB155" s="170"/>
      <c r="AC155" s="170"/>
      <c r="AD155" s="53"/>
      <c r="AE155" s="53"/>
    </row>
    <row r="156">
      <c r="A156" s="53"/>
      <c r="B156" s="53"/>
      <c r="C156" s="168"/>
      <c r="D156" s="169"/>
      <c r="E156" s="170"/>
      <c r="F156" s="53"/>
      <c r="G156" s="53"/>
      <c r="H156" s="53"/>
      <c r="I156" s="171"/>
      <c r="J156" s="170"/>
      <c r="K156" s="53"/>
      <c r="L156" s="53"/>
      <c r="M156" s="53"/>
      <c r="N156" s="171"/>
      <c r="O156" s="170"/>
      <c r="P156" s="53"/>
      <c r="Q156" s="53"/>
      <c r="R156" s="53"/>
      <c r="S156" s="171"/>
      <c r="T156" s="170"/>
      <c r="U156" s="53"/>
      <c r="V156" s="53"/>
      <c r="W156" s="53"/>
      <c r="X156" s="171"/>
      <c r="Y156" s="170"/>
      <c r="Z156" s="170"/>
      <c r="AA156" s="170"/>
      <c r="AB156" s="170"/>
      <c r="AC156" s="170"/>
      <c r="AD156" s="53"/>
      <c r="AE156" s="53"/>
    </row>
    <row r="157">
      <c r="A157" s="53"/>
      <c r="B157" s="53"/>
      <c r="C157" s="168"/>
      <c r="D157" s="169"/>
      <c r="E157" s="170"/>
      <c r="F157" s="53"/>
      <c r="G157" s="53"/>
      <c r="H157" s="53"/>
      <c r="I157" s="171"/>
      <c r="J157" s="170"/>
      <c r="K157" s="53"/>
      <c r="L157" s="53"/>
      <c r="M157" s="53"/>
      <c r="N157" s="171"/>
      <c r="O157" s="170"/>
      <c r="P157" s="53"/>
      <c r="Q157" s="53"/>
      <c r="R157" s="53"/>
      <c r="S157" s="171"/>
      <c r="T157" s="170"/>
      <c r="U157" s="53"/>
      <c r="V157" s="53"/>
      <c r="W157" s="53"/>
      <c r="X157" s="171"/>
      <c r="Y157" s="170"/>
      <c r="Z157" s="170"/>
      <c r="AA157" s="170"/>
      <c r="AB157" s="170"/>
      <c r="AC157" s="170"/>
      <c r="AD157" s="53"/>
      <c r="AE157" s="53"/>
    </row>
    <row r="158">
      <c r="A158" s="53"/>
      <c r="B158" s="53"/>
      <c r="C158" s="168"/>
      <c r="D158" s="169"/>
      <c r="E158" s="170"/>
      <c r="F158" s="53"/>
      <c r="G158" s="53"/>
      <c r="H158" s="53"/>
      <c r="I158" s="171"/>
      <c r="J158" s="170"/>
      <c r="K158" s="53"/>
      <c r="L158" s="53"/>
      <c r="M158" s="53"/>
      <c r="N158" s="171"/>
      <c r="O158" s="170"/>
      <c r="P158" s="53"/>
      <c r="Q158" s="53"/>
      <c r="R158" s="53"/>
      <c r="S158" s="171"/>
      <c r="T158" s="170"/>
      <c r="U158" s="53"/>
      <c r="V158" s="53"/>
      <c r="W158" s="53"/>
      <c r="X158" s="171"/>
      <c r="Y158" s="170"/>
      <c r="Z158" s="170"/>
      <c r="AA158" s="170"/>
      <c r="AB158" s="170"/>
      <c r="AC158" s="170"/>
      <c r="AD158" s="53"/>
      <c r="AE158" s="53"/>
    </row>
    <row r="159">
      <c r="A159" s="53"/>
      <c r="B159" s="53"/>
      <c r="C159" s="168"/>
      <c r="D159" s="169"/>
      <c r="E159" s="170"/>
      <c r="F159" s="53"/>
      <c r="G159" s="53"/>
      <c r="H159" s="53"/>
      <c r="I159" s="171"/>
      <c r="J159" s="170"/>
      <c r="K159" s="53"/>
      <c r="L159" s="53"/>
      <c r="M159" s="53"/>
      <c r="N159" s="171"/>
      <c r="O159" s="170"/>
      <c r="P159" s="53"/>
      <c r="Q159" s="53"/>
      <c r="R159" s="53"/>
      <c r="S159" s="171"/>
      <c r="T159" s="170"/>
      <c r="U159" s="53"/>
      <c r="V159" s="53"/>
      <c r="W159" s="53"/>
      <c r="X159" s="171"/>
      <c r="Y159" s="170"/>
      <c r="Z159" s="170"/>
      <c r="AA159" s="170"/>
      <c r="AB159" s="170"/>
      <c r="AC159" s="170"/>
      <c r="AD159" s="53"/>
      <c r="AE159" s="53"/>
    </row>
    <row r="160">
      <c r="A160" s="53"/>
      <c r="B160" s="53"/>
      <c r="C160" s="168"/>
      <c r="D160" s="169"/>
      <c r="E160" s="170"/>
      <c r="F160" s="53"/>
      <c r="G160" s="53"/>
      <c r="H160" s="53"/>
      <c r="I160" s="171"/>
      <c r="J160" s="170"/>
      <c r="K160" s="53"/>
      <c r="L160" s="53"/>
      <c r="M160" s="53"/>
      <c r="N160" s="171"/>
      <c r="O160" s="170"/>
      <c r="P160" s="53"/>
      <c r="Q160" s="53"/>
      <c r="R160" s="53"/>
      <c r="S160" s="171"/>
      <c r="T160" s="170"/>
      <c r="U160" s="53"/>
      <c r="V160" s="53"/>
      <c r="W160" s="53"/>
      <c r="X160" s="171"/>
      <c r="Y160" s="170"/>
      <c r="Z160" s="170"/>
      <c r="AA160" s="170"/>
      <c r="AB160" s="170"/>
      <c r="AC160" s="170"/>
      <c r="AD160" s="53"/>
      <c r="AE160" s="53"/>
    </row>
    <row r="161">
      <c r="A161" s="53"/>
      <c r="B161" s="53"/>
      <c r="C161" s="168"/>
      <c r="D161" s="169"/>
      <c r="E161" s="170"/>
      <c r="F161" s="53"/>
      <c r="G161" s="53"/>
      <c r="H161" s="53"/>
      <c r="I161" s="171"/>
      <c r="J161" s="170"/>
      <c r="K161" s="53"/>
      <c r="L161" s="53"/>
      <c r="M161" s="53"/>
      <c r="N161" s="171"/>
      <c r="O161" s="170"/>
      <c r="P161" s="53"/>
      <c r="Q161" s="53"/>
      <c r="R161" s="53"/>
      <c r="S161" s="171"/>
      <c r="T161" s="170"/>
      <c r="U161" s="53"/>
      <c r="V161" s="53"/>
      <c r="W161" s="53"/>
      <c r="X161" s="171"/>
      <c r="Y161" s="170"/>
      <c r="Z161" s="170"/>
      <c r="AA161" s="170"/>
      <c r="AB161" s="170"/>
      <c r="AC161" s="170"/>
      <c r="AD161" s="53"/>
      <c r="AE161" s="53"/>
    </row>
    <row r="162">
      <c r="A162" s="53"/>
      <c r="B162" s="53"/>
      <c r="C162" s="168"/>
      <c r="D162" s="169"/>
      <c r="E162" s="170"/>
      <c r="F162" s="53"/>
      <c r="G162" s="53"/>
      <c r="H162" s="53"/>
      <c r="I162" s="171"/>
      <c r="J162" s="170"/>
      <c r="K162" s="53"/>
      <c r="L162" s="53"/>
      <c r="M162" s="53"/>
      <c r="N162" s="171"/>
      <c r="O162" s="170"/>
      <c r="P162" s="53"/>
      <c r="Q162" s="53"/>
      <c r="R162" s="53"/>
      <c r="S162" s="171"/>
      <c r="T162" s="170"/>
      <c r="U162" s="53"/>
      <c r="V162" s="53"/>
      <c r="W162" s="53"/>
      <c r="X162" s="171"/>
      <c r="Y162" s="170"/>
      <c r="Z162" s="170"/>
      <c r="AA162" s="170"/>
      <c r="AB162" s="170"/>
      <c r="AC162" s="170"/>
      <c r="AD162" s="53"/>
      <c r="AE162" s="53"/>
    </row>
    <row r="163">
      <c r="A163" s="53"/>
      <c r="B163" s="53"/>
      <c r="C163" s="168"/>
      <c r="D163" s="169"/>
      <c r="E163" s="170"/>
      <c r="F163" s="53"/>
      <c r="G163" s="53"/>
      <c r="H163" s="53"/>
      <c r="I163" s="171"/>
      <c r="J163" s="170"/>
      <c r="K163" s="53"/>
      <c r="L163" s="53"/>
      <c r="M163" s="53"/>
      <c r="N163" s="171"/>
      <c r="O163" s="170"/>
      <c r="P163" s="53"/>
      <c r="Q163" s="53"/>
      <c r="R163" s="53"/>
      <c r="S163" s="171"/>
      <c r="T163" s="170"/>
      <c r="U163" s="53"/>
      <c r="V163" s="53"/>
      <c r="W163" s="53"/>
      <c r="X163" s="171"/>
      <c r="Y163" s="170"/>
      <c r="Z163" s="170"/>
      <c r="AA163" s="170"/>
      <c r="AB163" s="170"/>
      <c r="AC163" s="170"/>
      <c r="AD163" s="53"/>
      <c r="AE163" s="53"/>
    </row>
    <row r="164">
      <c r="A164" s="53"/>
      <c r="B164" s="53"/>
      <c r="C164" s="168"/>
      <c r="D164" s="169"/>
      <c r="E164" s="170"/>
      <c r="F164" s="53"/>
      <c r="G164" s="53"/>
      <c r="H164" s="53"/>
      <c r="I164" s="171"/>
      <c r="J164" s="170"/>
      <c r="K164" s="53"/>
      <c r="L164" s="53"/>
      <c r="M164" s="53"/>
      <c r="N164" s="171"/>
      <c r="O164" s="170"/>
      <c r="P164" s="53"/>
      <c r="Q164" s="53"/>
      <c r="R164" s="53"/>
      <c r="S164" s="171"/>
      <c r="T164" s="170"/>
      <c r="U164" s="53"/>
      <c r="V164" s="53"/>
      <c r="W164" s="53"/>
      <c r="X164" s="171"/>
      <c r="Y164" s="170"/>
      <c r="Z164" s="170"/>
      <c r="AA164" s="170"/>
      <c r="AB164" s="170"/>
      <c r="AC164" s="170"/>
      <c r="AD164" s="53"/>
      <c r="AE164" s="53"/>
    </row>
    <row r="165">
      <c r="A165" s="53"/>
      <c r="B165" s="53"/>
      <c r="C165" s="168"/>
      <c r="D165" s="169"/>
      <c r="E165" s="170"/>
      <c r="F165" s="53"/>
      <c r="G165" s="53"/>
      <c r="H165" s="53"/>
      <c r="I165" s="171"/>
      <c r="J165" s="170"/>
      <c r="K165" s="53"/>
      <c r="L165" s="53"/>
      <c r="M165" s="53"/>
      <c r="N165" s="171"/>
      <c r="O165" s="170"/>
      <c r="P165" s="53"/>
      <c r="Q165" s="53"/>
      <c r="R165" s="53"/>
      <c r="S165" s="171"/>
      <c r="T165" s="170"/>
      <c r="U165" s="53"/>
      <c r="V165" s="53"/>
      <c r="W165" s="53"/>
      <c r="X165" s="171"/>
      <c r="Y165" s="170"/>
      <c r="Z165" s="170"/>
      <c r="AA165" s="170"/>
      <c r="AB165" s="170"/>
      <c r="AC165" s="170"/>
      <c r="AD165" s="53"/>
      <c r="AE165" s="53"/>
    </row>
    <row r="166">
      <c r="A166" s="53"/>
      <c r="B166" s="53"/>
      <c r="C166" s="168"/>
      <c r="D166" s="169"/>
      <c r="E166" s="170"/>
      <c r="F166" s="53"/>
      <c r="G166" s="53"/>
      <c r="H166" s="53"/>
      <c r="I166" s="171"/>
      <c r="J166" s="170"/>
      <c r="K166" s="53"/>
      <c r="L166" s="53"/>
      <c r="M166" s="53"/>
      <c r="N166" s="171"/>
      <c r="O166" s="170"/>
      <c r="P166" s="53"/>
      <c r="Q166" s="53"/>
      <c r="R166" s="53"/>
      <c r="S166" s="171"/>
      <c r="T166" s="170"/>
      <c r="U166" s="53"/>
      <c r="V166" s="53"/>
      <c r="W166" s="53"/>
      <c r="X166" s="171"/>
      <c r="Y166" s="170"/>
      <c r="Z166" s="170"/>
      <c r="AA166" s="170"/>
      <c r="AB166" s="170"/>
      <c r="AC166" s="170"/>
      <c r="AD166" s="53"/>
      <c r="AE166" s="53"/>
    </row>
    <row r="167">
      <c r="A167" s="53"/>
      <c r="B167" s="53"/>
      <c r="C167" s="168"/>
      <c r="D167" s="169"/>
      <c r="E167" s="170"/>
      <c r="F167" s="53"/>
      <c r="G167" s="53"/>
      <c r="H167" s="53"/>
      <c r="I167" s="171"/>
      <c r="J167" s="170"/>
      <c r="K167" s="53"/>
      <c r="L167" s="53"/>
      <c r="M167" s="53"/>
      <c r="N167" s="171"/>
      <c r="O167" s="170"/>
      <c r="P167" s="53"/>
      <c r="Q167" s="53"/>
      <c r="R167" s="53"/>
      <c r="S167" s="171"/>
      <c r="T167" s="170"/>
      <c r="U167" s="53"/>
      <c r="V167" s="53"/>
      <c r="W167" s="53"/>
      <c r="X167" s="171"/>
      <c r="Y167" s="170"/>
      <c r="Z167" s="170"/>
      <c r="AA167" s="170"/>
      <c r="AB167" s="170"/>
      <c r="AC167" s="170"/>
      <c r="AD167" s="53"/>
      <c r="AE167" s="53"/>
    </row>
    <row r="168">
      <c r="A168" s="53"/>
      <c r="B168" s="53"/>
      <c r="C168" s="168"/>
      <c r="D168" s="169"/>
      <c r="E168" s="170"/>
      <c r="F168" s="53"/>
      <c r="G168" s="53"/>
      <c r="H168" s="53"/>
      <c r="I168" s="171"/>
      <c r="J168" s="170"/>
      <c r="K168" s="53"/>
      <c r="L168" s="53"/>
      <c r="M168" s="53"/>
      <c r="N168" s="171"/>
      <c r="O168" s="170"/>
      <c r="P168" s="53"/>
      <c r="Q168" s="53"/>
      <c r="R168" s="53"/>
      <c r="S168" s="171"/>
      <c r="T168" s="170"/>
      <c r="U168" s="53"/>
      <c r="V168" s="53"/>
      <c r="W168" s="53"/>
      <c r="X168" s="171"/>
      <c r="Y168" s="170"/>
      <c r="Z168" s="170"/>
      <c r="AA168" s="170"/>
      <c r="AB168" s="170"/>
      <c r="AC168" s="170"/>
      <c r="AD168" s="53"/>
      <c r="AE168" s="53"/>
    </row>
    <row r="169">
      <c r="A169" s="53"/>
      <c r="B169" s="53"/>
      <c r="C169" s="168"/>
      <c r="D169" s="169"/>
      <c r="E169" s="170"/>
      <c r="F169" s="53"/>
      <c r="G169" s="53"/>
      <c r="H169" s="53"/>
      <c r="I169" s="171"/>
      <c r="J169" s="170"/>
      <c r="K169" s="53"/>
      <c r="L169" s="53"/>
      <c r="M169" s="53"/>
      <c r="N169" s="171"/>
      <c r="O169" s="170"/>
      <c r="P169" s="53"/>
      <c r="Q169" s="53"/>
      <c r="R169" s="53"/>
      <c r="S169" s="171"/>
      <c r="T169" s="170"/>
      <c r="U169" s="53"/>
      <c r="V169" s="53"/>
      <c r="W169" s="53"/>
      <c r="X169" s="171"/>
      <c r="Y169" s="170"/>
      <c r="Z169" s="170"/>
      <c r="AA169" s="170"/>
      <c r="AB169" s="170"/>
      <c r="AC169" s="170"/>
      <c r="AD169" s="53"/>
      <c r="AE169" s="53"/>
    </row>
    <row r="170">
      <c r="A170" s="53"/>
      <c r="B170" s="53"/>
      <c r="C170" s="168"/>
      <c r="D170" s="169"/>
      <c r="E170" s="170"/>
      <c r="F170" s="53"/>
      <c r="G170" s="53"/>
      <c r="H170" s="53"/>
      <c r="I170" s="171"/>
      <c r="J170" s="170"/>
      <c r="K170" s="53"/>
      <c r="L170" s="53"/>
      <c r="M170" s="53"/>
      <c r="N170" s="171"/>
      <c r="O170" s="170"/>
      <c r="P170" s="53"/>
      <c r="Q170" s="53"/>
      <c r="R170" s="53"/>
      <c r="S170" s="171"/>
      <c r="T170" s="170"/>
      <c r="U170" s="53"/>
      <c r="V170" s="53"/>
      <c r="W170" s="53"/>
      <c r="X170" s="171"/>
      <c r="Y170" s="170"/>
      <c r="Z170" s="170"/>
      <c r="AA170" s="170"/>
      <c r="AB170" s="170"/>
      <c r="AC170" s="170"/>
      <c r="AD170" s="53"/>
      <c r="AE170" s="53"/>
    </row>
    <row r="171">
      <c r="A171" s="53"/>
      <c r="B171" s="53"/>
      <c r="C171" s="168"/>
      <c r="D171" s="169"/>
      <c r="E171" s="170"/>
      <c r="F171" s="53"/>
      <c r="G171" s="53"/>
      <c r="H171" s="53"/>
      <c r="I171" s="171"/>
      <c r="J171" s="170"/>
      <c r="K171" s="53"/>
      <c r="L171" s="53"/>
      <c r="M171" s="53"/>
      <c r="N171" s="171"/>
      <c r="O171" s="170"/>
      <c r="P171" s="53"/>
      <c r="Q171" s="53"/>
      <c r="R171" s="53"/>
      <c r="S171" s="171"/>
      <c r="T171" s="170"/>
      <c r="U171" s="53"/>
      <c r="V171" s="53"/>
      <c r="W171" s="53"/>
      <c r="X171" s="171"/>
      <c r="Y171" s="170"/>
      <c r="Z171" s="170"/>
      <c r="AA171" s="170"/>
      <c r="AB171" s="170"/>
      <c r="AC171" s="170"/>
      <c r="AD171" s="53"/>
      <c r="AE171" s="53"/>
    </row>
    <row r="172">
      <c r="A172" s="53"/>
      <c r="B172" s="53"/>
      <c r="C172" s="168"/>
      <c r="D172" s="169"/>
      <c r="E172" s="170"/>
      <c r="F172" s="53"/>
      <c r="G172" s="53"/>
      <c r="H172" s="53"/>
      <c r="I172" s="171"/>
      <c r="J172" s="170"/>
      <c r="K172" s="53"/>
      <c r="L172" s="53"/>
      <c r="M172" s="53"/>
      <c r="N172" s="171"/>
      <c r="O172" s="170"/>
      <c r="P172" s="53"/>
      <c r="Q172" s="53"/>
      <c r="R172" s="53"/>
      <c r="S172" s="171"/>
      <c r="T172" s="170"/>
      <c r="U172" s="53"/>
      <c r="V172" s="53"/>
      <c r="W172" s="53"/>
      <c r="X172" s="171"/>
      <c r="Y172" s="170"/>
      <c r="Z172" s="170"/>
      <c r="AA172" s="170"/>
      <c r="AB172" s="170"/>
      <c r="AC172" s="170"/>
      <c r="AD172" s="53"/>
      <c r="AE172" s="53"/>
    </row>
    <row r="173">
      <c r="A173" s="53"/>
      <c r="B173" s="53"/>
      <c r="C173" s="168"/>
      <c r="D173" s="169"/>
      <c r="E173" s="170"/>
      <c r="F173" s="53"/>
      <c r="G173" s="53"/>
      <c r="H173" s="53"/>
      <c r="I173" s="171"/>
      <c r="J173" s="170"/>
      <c r="K173" s="53"/>
      <c r="L173" s="53"/>
      <c r="M173" s="53"/>
      <c r="N173" s="171"/>
      <c r="O173" s="170"/>
      <c r="P173" s="53"/>
      <c r="Q173" s="53"/>
      <c r="R173" s="53"/>
      <c r="S173" s="171"/>
      <c r="T173" s="170"/>
      <c r="U173" s="53"/>
      <c r="V173" s="53"/>
      <c r="W173" s="53"/>
      <c r="X173" s="171"/>
      <c r="Y173" s="170"/>
      <c r="Z173" s="170"/>
      <c r="AA173" s="170"/>
      <c r="AB173" s="170"/>
      <c r="AC173" s="170"/>
      <c r="AD173" s="53"/>
      <c r="AE173" s="53"/>
    </row>
    <row r="174">
      <c r="A174" s="53"/>
      <c r="B174" s="53"/>
      <c r="C174" s="168"/>
      <c r="D174" s="169"/>
      <c r="E174" s="170"/>
      <c r="F174" s="53"/>
      <c r="G174" s="53"/>
      <c r="H174" s="53"/>
      <c r="I174" s="171"/>
      <c r="J174" s="170"/>
      <c r="K174" s="53"/>
      <c r="L174" s="53"/>
      <c r="M174" s="53"/>
      <c r="N174" s="171"/>
      <c r="O174" s="170"/>
      <c r="P174" s="53"/>
      <c r="Q174" s="53"/>
      <c r="R174" s="53"/>
      <c r="S174" s="171"/>
      <c r="T174" s="170"/>
      <c r="U174" s="53"/>
      <c r="V174" s="53"/>
      <c r="W174" s="53"/>
      <c r="X174" s="171"/>
      <c r="Y174" s="170"/>
      <c r="Z174" s="170"/>
      <c r="AA174" s="170"/>
      <c r="AB174" s="170"/>
      <c r="AC174" s="170"/>
      <c r="AD174" s="53"/>
      <c r="AE174" s="53"/>
    </row>
    <row r="175">
      <c r="A175" s="53"/>
      <c r="B175" s="53"/>
      <c r="C175" s="168"/>
      <c r="D175" s="169"/>
      <c r="E175" s="170"/>
      <c r="F175" s="53"/>
      <c r="G175" s="53"/>
      <c r="H175" s="53"/>
      <c r="I175" s="171"/>
      <c r="J175" s="170"/>
      <c r="K175" s="53"/>
      <c r="L175" s="53"/>
      <c r="M175" s="53"/>
      <c r="N175" s="171"/>
      <c r="O175" s="170"/>
      <c r="P175" s="53"/>
      <c r="Q175" s="53"/>
      <c r="R175" s="53"/>
      <c r="S175" s="171"/>
      <c r="T175" s="170"/>
      <c r="U175" s="53"/>
      <c r="V175" s="53"/>
      <c r="W175" s="53"/>
      <c r="X175" s="171"/>
      <c r="Y175" s="170"/>
      <c r="Z175" s="170"/>
      <c r="AA175" s="170"/>
      <c r="AB175" s="170"/>
      <c r="AC175" s="170"/>
      <c r="AD175" s="53"/>
      <c r="AE175" s="53"/>
    </row>
    <row r="176">
      <c r="A176" s="53"/>
      <c r="B176" s="53"/>
      <c r="C176" s="168"/>
      <c r="D176" s="169"/>
      <c r="E176" s="170"/>
      <c r="F176" s="53"/>
      <c r="G176" s="53"/>
      <c r="H176" s="53"/>
      <c r="I176" s="171"/>
      <c r="J176" s="170"/>
      <c r="K176" s="53"/>
      <c r="L176" s="53"/>
      <c r="M176" s="53"/>
      <c r="N176" s="171"/>
      <c r="O176" s="170"/>
      <c r="P176" s="53"/>
      <c r="Q176" s="53"/>
      <c r="R176" s="53"/>
      <c r="S176" s="171"/>
      <c r="T176" s="170"/>
      <c r="U176" s="53"/>
      <c r="V176" s="53"/>
      <c r="W176" s="53"/>
      <c r="X176" s="171"/>
      <c r="Y176" s="170"/>
      <c r="Z176" s="170"/>
      <c r="AA176" s="170"/>
      <c r="AB176" s="170"/>
      <c r="AC176" s="170"/>
      <c r="AD176" s="53"/>
      <c r="AE176" s="53"/>
    </row>
    <row r="177">
      <c r="A177" s="53"/>
      <c r="B177" s="53"/>
      <c r="C177" s="168"/>
      <c r="D177" s="169"/>
      <c r="E177" s="170"/>
      <c r="F177" s="53"/>
      <c r="G177" s="53"/>
      <c r="H177" s="53"/>
      <c r="I177" s="171"/>
      <c r="J177" s="170"/>
      <c r="K177" s="53"/>
      <c r="L177" s="53"/>
      <c r="M177" s="53"/>
      <c r="N177" s="171"/>
      <c r="O177" s="170"/>
      <c r="P177" s="53"/>
      <c r="Q177" s="53"/>
      <c r="R177" s="53"/>
      <c r="S177" s="171"/>
      <c r="T177" s="170"/>
      <c r="U177" s="53"/>
      <c r="V177" s="53"/>
      <c r="W177" s="53"/>
      <c r="X177" s="171"/>
      <c r="Y177" s="170"/>
      <c r="Z177" s="170"/>
      <c r="AA177" s="170"/>
      <c r="AB177" s="170"/>
      <c r="AC177" s="170"/>
      <c r="AD177" s="53"/>
      <c r="AE177" s="53"/>
    </row>
    <row r="178">
      <c r="A178" s="53"/>
      <c r="B178" s="53"/>
      <c r="C178" s="168"/>
      <c r="D178" s="169"/>
      <c r="E178" s="170"/>
      <c r="F178" s="53"/>
      <c r="G178" s="53"/>
      <c r="H178" s="53"/>
      <c r="I178" s="171"/>
      <c r="J178" s="170"/>
      <c r="K178" s="53"/>
      <c r="L178" s="53"/>
      <c r="M178" s="53"/>
      <c r="N178" s="171"/>
      <c r="O178" s="170"/>
      <c r="P178" s="53"/>
      <c r="Q178" s="53"/>
      <c r="R178" s="53"/>
      <c r="S178" s="171"/>
      <c r="T178" s="170"/>
      <c r="U178" s="53"/>
      <c r="V178" s="53"/>
      <c r="W178" s="53"/>
      <c r="X178" s="171"/>
      <c r="Y178" s="170"/>
      <c r="Z178" s="170"/>
      <c r="AA178" s="170"/>
      <c r="AB178" s="170"/>
      <c r="AC178" s="170"/>
      <c r="AD178" s="53"/>
      <c r="AE178" s="53"/>
    </row>
    <row r="179">
      <c r="A179" s="53"/>
      <c r="B179" s="53"/>
      <c r="C179" s="168"/>
      <c r="D179" s="169"/>
      <c r="E179" s="170"/>
      <c r="F179" s="53"/>
      <c r="G179" s="53"/>
      <c r="H179" s="53"/>
      <c r="I179" s="171"/>
      <c r="J179" s="170"/>
      <c r="K179" s="53"/>
      <c r="L179" s="53"/>
      <c r="M179" s="53"/>
      <c r="N179" s="171"/>
      <c r="O179" s="170"/>
      <c r="P179" s="53"/>
      <c r="Q179" s="53"/>
      <c r="R179" s="53"/>
      <c r="S179" s="171"/>
      <c r="T179" s="170"/>
      <c r="U179" s="53"/>
      <c r="V179" s="53"/>
      <c r="W179" s="53"/>
      <c r="X179" s="171"/>
      <c r="Y179" s="170"/>
      <c r="Z179" s="170"/>
      <c r="AA179" s="170"/>
      <c r="AB179" s="170"/>
      <c r="AC179" s="170"/>
      <c r="AD179" s="53"/>
      <c r="AE179" s="53"/>
    </row>
    <row r="180">
      <c r="A180" s="53"/>
      <c r="B180" s="53"/>
      <c r="C180" s="168"/>
      <c r="D180" s="169"/>
      <c r="E180" s="170"/>
      <c r="F180" s="53"/>
      <c r="G180" s="53"/>
      <c r="H180" s="53"/>
      <c r="I180" s="171"/>
      <c r="J180" s="170"/>
      <c r="K180" s="53"/>
      <c r="L180" s="53"/>
      <c r="M180" s="53"/>
      <c r="N180" s="171"/>
      <c r="O180" s="170"/>
      <c r="P180" s="53"/>
      <c r="Q180" s="53"/>
      <c r="R180" s="53"/>
      <c r="S180" s="171"/>
      <c r="T180" s="170"/>
      <c r="U180" s="53"/>
      <c r="V180" s="53"/>
      <c r="W180" s="53"/>
      <c r="X180" s="171"/>
      <c r="Y180" s="170"/>
      <c r="Z180" s="170"/>
      <c r="AA180" s="170"/>
      <c r="AB180" s="170"/>
      <c r="AC180" s="170"/>
      <c r="AD180" s="53"/>
      <c r="AE180" s="53"/>
    </row>
    <row r="181">
      <c r="A181" s="53"/>
      <c r="B181" s="53"/>
      <c r="C181" s="168"/>
      <c r="D181" s="169"/>
      <c r="E181" s="170"/>
      <c r="F181" s="53"/>
      <c r="G181" s="53"/>
      <c r="H181" s="53"/>
      <c r="I181" s="171"/>
      <c r="J181" s="170"/>
      <c r="K181" s="53"/>
      <c r="L181" s="53"/>
      <c r="M181" s="53"/>
      <c r="N181" s="171"/>
      <c r="O181" s="170"/>
      <c r="P181" s="53"/>
      <c r="Q181" s="53"/>
      <c r="R181" s="53"/>
      <c r="S181" s="171"/>
      <c r="T181" s="170"/>
      <c r="U181" s="53"/>
      <c r="V181" s="53"/>
      <c r="W181" s="53"/>
      <c r="X181" s="171"/>
      <c r="Y181" s="170"/>
      <c r="Z181" s="170"/>
      <c r="AA181" s="170"/>
      <c r="AB181" s="170"/>
      <c r="AC181" s="170"/>
      <c r="AD181" s="53"/>
      <c r="AE181" s="53"/>
    </row>
    <row r="182">
      <c r="A182" s="53"/>
      <c r="B182" s="53"/>
      <c r="C182" s="168"/>
      <c r="D182" s="169"/>
      <c r="E182" s="170"/>
      <c r="F182" s="53"/>
      <c r="G182" s="53"/>
      <c r="H182" s="53"/>
      <c r="I182" s="171"/>
      <c r="J182" s="170"/>
      <c r="K182" s="53"/>
      <c r="L182" s="53"/>
      <c r="M182" s="53"/>
      <c r="N182" s="171"/>
      <c r="O182" s="170"/>
      <c r="P182" s="53"/>
      <c r="Q182" s="53"/>
      <c r="R182" s="53"/>
      <c r="S182" s="171"/>
      <c r="T182" s="170"/>
      <c r="U182" s="53"/>
      <c r="V182" s="53"/>
      <c r="W182" s="53"/>
      <c r="X182" s="171"/>
      <c r="Y182" s="170"/>
      <c r="Z182" s="170"/>
      <c r="AA182" s="170"/>
      <c r="AB182" s="170"/>
      <c r="AC182" s="170"/>
      <c r="AD182" s="53"/>
      <c r="AE182" s="53"/>
    </row>
    <row r="183">
      <c r="A183" s="53"/>
      <c r="B183" s="53"/>
      <c r="C183" s="168"/>
      <c r="D183" s="169"/>
      <c r="E183" s="170"/>
      <c r="F183" s="53"/>
      <c r="G183" s="53"/>
      <c r="H183" s="53"/>
      <c r="I183" s="171"/>
      <c r="J183" s="170"/>
      <c r="K183" s="53"/>
      <c r="L183" s="53"/>
      <c r="M183" s="53"/>
      <c r="N183" s="171"/>
      <c r="O183" s="170"/>
      <c r="P183" s="53"/>
      <c r="Q183" s="53"/>
      <c r="R183" s="53"/>
      <c r="S183" s="171"/>
      <c r="T183" s="170"/>
      <c r="U183" s="53"/>
      <c r="V183" s="53"/>
      <c r="W183" s="53"/>
      <c r="X183" s="171"/>
      <c r="Y183" s="170"/>
      <c r="Z183" s="170"/>
      <c r="AA183" s="170"/>
      <c r="AB183" s="170"/>
      <c r="AC183" s="170"/>
      <c r="AD183" s="53"/>
      <c r="AE183" s="53"/>
    </row>
    <row r="184">
      <c r="A184" s="53"/>
      <c r="B184" s="53"/>
      <c r="C184" s="168"/>
      <c r="D184" s="169"/>
      <c r="E184" s="170"/>
      <c r="F184" s="53"/>
      <c r="G184" s="53"/>
      <c r="H184" s="53"/>
      <c r="I184" s="171"/>
      <c r="J184" s="170"/>
      <c r="K184" s="53"/>
      <c r="L184" s="53"/>
      <c r="M184" s="53"/>
      <c r="N184" s="171"/>
      <c r="O184" s="170"/>
      <c r="P184" s="53"/>
      <c r="Q184" s="53"/>
      <c r="R184" s="53"/>
      <c r="S184" s="171"/>
      <c r="T184" s="170"/>
      <c r="U184" s="53"/>
      <c r="V184" s="53"/>
      <c r="W184" s="53"/>
      <c r="X184" s="171"/>
      <c r="Y184" s="170"/>
      <c r="Z184" s="170"/>
      <c r="AA184" s="170"/>
      <c r="AB184" s="170"/>
      <c r="AC184" s="170"/>
      <c r="AD184" s="53"/>
      <c r="AE184" s="53"/>
    </row>
    <row r="185">
      <c r="A185" s="53"/>
      <c r="B185" s="53"/>
      <c r="C185" s="168"/>
      <c r="D185" s="169"/>
      <c r="E185" s="170"/>
      <c r="F185" s="53"/>
      <c r="G185" s="53"/>
      <c r="H185" s="53"/>
      <c r="I185" s="171"/>
      <c r="J185" s="170"/>
      <c r="K185" s="53"/>
      <c r="L185" s="53"/>
      <c r="M185" s="53"/>
      <c r="N185" s="171"/>
      <c r="O185" s="170"/>
      <c r="P185" s="53"/>
      <c r="Q185" s="53"/>
      <c r="R185" s="53"/>
      <c r="S185" s="171"/>
      <c r="T185" s="170"/>
      <c r="U185" s="53"/>
      <c r="V185" s="53"/>
      <c r="W185" s="53"/>
      <c r="X185" s="171"/>
      <c r="Y185" s="170"/>
      <c r="Z185" s="170"/>
      <c r="AA185" s="170"/>
      <c r="AB185" s="170"/>
      <c r="AC185" s="170"/>
      <c r="AD185" s="53"/>
      <c r="AE185" s="53"/>
    </row>
    <row r="186">
      <c r="A186" s="53"/>
      <c r="B186" s="53"/>
      <c r="C186" s="168"/>
      <c r="D186" s="169"/>
      <c r="E186" s="170"/>
      <c r="F186" s="53"/>
      <c r="G186" s="53"/>
      <c r="H186" s="53"/>
      <c r="I186" s="171"/>
      <c r="J186" s="170"/>
      <c r="K186" s="53"/>
      <c r="L186" s="53"/>
      <c r="M186" s="53"/>
      <c r="N186" s="171"/>
      <c r="O186" s="170"/>
      <c r="P186" s="53"/>
      <c r="Q186" s="53"/>
      <c r="R186" s="53"/>
      <c r="S186" s="171"/>
      <c r="T186" s="170"/>
      <c r="U186" s="53"/>
      <c r="V186" s="53"/>
      <c r="W186" s="53"/>
      <c r="X186" s="171"/>
      <c r="Y186" s="170"/>
      <c r="Z186" s="170"/>
      <c r="AA186" s="170"/>
      <c r="AB186" s="170"/>
      <c r="AC186" s="170"/>
      <c r="AD186" s="53"/>
      <c r="AE186" s="53"/>
    </row>
    <row r="187">
      <c r="A187" s="53"/>
      <c r="B187" s="53"/>
      <c r="C187" s="168"/>
      <c r="D187" s="169"/>
      <c r="E187" s="170"/>
      <c r="F187" s="53"/>
      <c r="G187" s="53"/>
      <c r="H187" s="53"/>
      <c r="I187" s="171"/>
      <c r="J187" s="170"/>
      <c r="K187" s="53"/>
      <c r="L187" s="53"/>
      <c r="M187" s="53"/>
      <c r="N187" s="171"/>
      <c r="O187" s="170"/>
      <c r="P187" s="53"/>
      <c r="Q187" s="53"/>
      <c r="R187" s="53"/>
      <c r="S187" s="171"/>
      <c r="T187" s="170"/>
      <c r="U187" s="53"/>
      <c r="V187" s="53"/>
      <c r="W187" s="53"/>
      <c r="X187" s="171"/>
      <c r="Y187" s="170"/>
      <c r="Z187" s="170"/>
      <c r="AA187" s="170"/>
      <c r="AB187" s="170"/>
      <c r="AC187" s="170"/>
      <c r="AD187" s="53"/>
      <c r="AE187" s="53"/>
    </row>
    <row r="188">
      <c r="A188" s="53"/>
      <c r="B188" s="53"/>
      <c r="C188" s="168"/>
      <c r="D188" s="169"/>
      <c r="E188" s="170"/>
      <c r="F188" s="53"/>
      <c r="G188" s="53"/>
      <c r="H188" s="53"/>
      <c r="I188" s="171"/>
      <c r="J188" s="170"/>
      <c r="K188" s="53"/>
      <c r="L188" s="53"/>
      <c r="M188" s="53"/>
      <c r="N188" s="171"/>
      <c r="O188" s="170"/>
      <c r="P188" s="53"/>
      <c r="Q188" s="53"/>
      <c r="R188" s="53"/>
      <c r="S188" s="171"/>
      <c r="T188" s="170"/>
      <c r="U188" s="53"/>
      <c r="V188" s="53"/>
      <c r="W188" s="53"/>
      <c r="X188" s="171"/>
      <c r="Y188" s="170"/>
      <c r="Z188" s="170"/>
      <c r="AA188" s="170"/>
      <c r="AB188" s="170"/>
      <c r="AC188" s="170"/>
      <c r="AD188" s="53"/>
      <c r="AE188" s="53"/>
    </row>
    <row r="189">
      <c r="A189" s="53"/>
      <c r="B189" s="53"/>
      <c r="C189" s="168"/>
      <c r="D189" s="169"/>
      <c r="E189" s="170"/>
      <c r="F189" s="53"/>
      <c r="G189" s="53"/>
      <c r="H189" s="53"/>
      <c r="I189" s="171"/>
      <c r="J189" s="170"/>
      <c r="K189" s="53"/>
      <c r="L189" s="53"/>
      <c r="M189" s="53"/>
      <c r="N189" s="171"/>
      <c r="O189" s="170"/>
      <c r="P189" s="53"/>
      <c r="Q189" s="53"/>
      <c r="R189" s="53"/>
      <c r="S189" s="171"/>
      <c r="T189" s="170"/>
      <c r="U189" s="53"/>
      <c r="V189" s="53"/>
      <c r="W189" s="53"/>
      <c r="X189" s="171"/>
      <c r="Y189" s="170"/>
      <c r="Z189" s="170"/>
      <c r="AA189" s="170"/>
      <c r="AB189" s="170"/>
      <c r="AC189" s="170"/>
      <c r="AD189" s="53"/>
      <c r="AE189" s="53"/>
    </row>
    <row r="190">
      <c r="A190" s="53"/>
      <c r="B190" s="53"/>
      <c r="C190" s="168"/>
      <c r="D190" s="169"/>
      <c r="E190" s="170"/>
      <c r="F190" s="53"/>
      <c r="G190" s="53"/>
      <c r="H190" s="53"/>
      <c r="I190" s="171"/>
      <c r="J190" s="170"/>
      <c r="K190" s="53"/>
      <c r="L190" s="53"/>
      <c r="M190" s="53"/>
      <c r="N190" s="171"/>
      <c r="O190" s="170"/>
      <c r="P190" s="53"/>
      <c r="Q190" s="53"/>
      <c r="R190" s="53"/>
      <c r="S190" s="171"/>
      <c r="T190" s="170"/>
      <c r="U190" s="53"/>
      <c r="V190" s="53"/>
      <c r="W190" s="53"/>
      <c r="X190" s="171"/>
      <c r="Y190" s="170"/>
      <c r="Z190" s="170"/>
      <c r="AA190" s="170"/>
      <c r="AB190" s="170"/>
      <c r="AC190" s="170"/>
      <c r="AD190" s="53"/>
      <c r="AE190" s="53"/>
    </row>
    <row r="191">
      <c r="A191" s="53"/>
      <c r="B191" s="53"/>
      <c r="C191" s="168"/>
      <c r="D191" s="169"/>
      <c r="E191" s="170"/>
      <c r="F191" s="53"/>
      <c r="G191" s="53"/>
      <c r="H191" s="53"/>
      <c r="I191" s="171"/>
      <c r="J191" s="170"/>
      <c r="K191" s="53"/>
      <c r="L191" s="53"/>
      <c r="M191" s="53"/>
      <c r="N191" s="171"/>
      <c r="O191" s="170"/>
      <c r="P191" s="53"/>
      <c r="Q191" s="53"/>
      <c r="R191" s="53"/>
      <c r="S191" s="171"/>
      <c r="T191" s="170"/>
      <c r="U191" s="53"/>
      <c r="V191" s="53"/>
      <c r="W191" s="53"/>
      <c r="X191" s="171"/>
      <c r="Y191" s="170"/>
      <c r="Z191" s="170"/>
      <c r="AA191" s="170"/>
      <c r="AB191" s="170"/>
      <c r="AC191" s="170"/>
      <c r="AD191" s="53"/>
      <c r="AE191" s="53"/>
    </row>
    <row r="192">
      <c r="A192" s="53"/>
      <c r="B192" s="53"/>
      <c r="C192" s="168"/>
      <c r="D192" s="169"/>
      <c r="E192" s="170"/>
      <c r="F192" s="53"/>
      <c r="G192" s="53"/>
      <c r="H192" s="53"/>
      <c r="I192" s="171"/>
      <c r="J192" s="170"/>
      <c r="K192" s="53"/>
      <c r="L192" s="53"/>
      <c r="M192" s="53"/>
      <c r="N192" s="171"/>
      <c r="O192" s="170"/>
      <c r="P192" s="53"/>
      <c r="Q192" s="53"/>
      <c r="R192" s="53"/>
      <c r="S192" s="171"/>
      <c r="T192" s="170"/>
      <c r="U192" s="53"/>
      <c r="V192" s="53"/>
      <c r="W192" s="53"/>
      <c r="X192" s="171"/>
      <c r="Y192" s="170"/>
      <c r="Z192" s="170"/>
      <c r="AA192" s="170"/>
      <c r="AB192" s="170"/>
      <c r="AC192" s="170"/>
      <c r="AD192" s="53"/>
      <c r="AE192" s="53"/>
    </row>
    <row r="193">
      <c r="A193" s="53"/>
      <c r="B193" s="53"/>
      <c r="C193" s="168"/>
      <c r="D193" s="169"/>
      <c r="E193" s="170"/>
      <c r="F193" s="53"/>
      <c r="G193" s="53"/>
      <c r="H193" s="53"/>
      <c r="I193" s="171"/>
      <c r="J193" s="170"/>
      <c r="K193" s="53"/>
      <c r="L193" s="53"/>
      <c r="M193" s="53"/>
      <c r="N193" s="171"/>
      <c r="O193" s="170"/>
      <c r="P193" s="53"/>
      <c r="Q193" s="53"/>
      <c r="R193" s="53"/>
      <c r="S193" s="171"/>
      <c r="T193" s="170"/>
      <c r="U193" s="53"/>
      <c r="V193" s="53"/>
      <c r="W193" s="53"/>
      <c r="X193" s="171"/>
      <c r="Y193" s="170"/>
      <c r="Z193" s="170"/>
      <c r="AA193" s="170"/>
      <c r="AB193" s="170"/>
      <c r="AC193" s="170"/>
      <c r="AD193" s="53"/>
      <c r="AE193" s="53"/>
    </row>
    <row r="194">
      <c r="A194" s="53"/>
      <c r="B194" s="53"/>
      <c r="C194" s="168"/>
      <c r="D194" s="169"/>
      <c r="E194" s="170"/>
      <c r="F194" s="53"/>
      <c r="G194" s="53"/>
      <c r="H194" s="53"/>
      <c r="I194" s="171"/>
      <c r="J194" s="170"/>
      <c r="K194" s="53"/>
      <c r="L194" s="53"/>
      <c r="M194" s="53"/>
      <c r="N194" s="171"/>
      <c r="O194" s="170"/>
      <c r="P194" s="53"/>
      <c r="Q194" s="53"/>
      <c r="R194" s="53"/>
      <c r="S194" s="171"/>
      <c r="T194" s="170"/>
      <c r="U194" s="53"/>
      <c r="V194" s="53"/>
      <c r="W194" s="53"/>
      <c r="X194" s="171"/>
      <c r="Y194" s="170"/>
      <c r="Z194" s="170"/>
      <c r="AA194" s="170"/>
      <c r="AB194" s="170"/>
      <c r="AC194" s="170"/>
      <c r="AD194" s="53"/>
      <c r="AE194" s="53"/>
    </row>
    <row r="195">
      <c r="A195" s="53"/>
      <c r="B195" s="53"/>
      <c r="C195" s="168"/>
      <c r="D195" s="169"/>
      <c r="E195" s="170"/>
      <c r="F195" s="53"/>
      <c r="G195" s="53"/>
      <c r="H195" s="53"/>
      <c r="I195" s="171"/>
      <c r="J195" s="170"/>
      <c r="K195" s="53"/>
      <c r="L195" s="53"/>
      <c r="M195" s="53"/>
      <c r="N195" s="171"/>
      <c r="O195" s="170"/>
      <c r="P195" s="53"/>
      <c r="Q195" s="53"/>
      <c r="R195" s="53"/>
      <c r="S195" s="171"/>
      <c r="T195" s="170"/>
      <c r="U195" s="53"/>
      <c r="V195" s="53"/>
      <c r="W195" s="53"/>
      <c r="X195" s="171"/>
      <c r="Y195" s="170"/>
      <c r="Z195" s="170"/>
      <c r="AA195" s="170"/>
      <c r="AB195" s="170"/>
      <c r="AC195" s="170"/>
      <c r="AD195" s="53"/>
      <c r="AE195" s="53"/>
    </row>
    <row r="196">
      <c r="A196" s="53"/>
      <c r="B196" s="53"/>
      <c r="C196" s="168"/>
      <c r="D196" s="169"/>
      <c r="E196" s="170"/>
      <c r="F196" s="53"/>
      <c r="G196" s="53"/>
      <c r="H196" s="53"/>
      <c r="I196" s="171"/>
      <c r="J196" s="170"/>
      <c r="K196" s="53"/>
      <c r="L196" s="53"/>
      <c r="M196" s="53"/>
      <c r="N196" s="171"/>
      <c r="O196" s="170"/>
      <c r="P196" s="53"/>
      <c r="Q196" s="53"/>
      <c r="R196" s="53"/>
      <c r="S196" s="171"/>
      <c r="T196" s="170"/>
      <c r="U196" s="53"/>
      <c r="V196" s="53"/>
      <c r="W196" s="53"/>
      <c r="X196" s="171"/>
      <c r="Y196" s="170"/>
      <c r="Z196" s="170"/>
      <c r="AA196" s="170"/>
      <c r="AB196" s="170"/>
      <c r="AC196" s="170"/>
      <c r="AD196" s="53"/>
      <c r="AE196" s="53"/>
    </row>
    <row r="197">
      <c r="A197" s="53"/>
      <c r="B197" s="53"/>
      <c r="C197" s="168"/>
      <c r="D197" s="169"/>
      <c r="E197" s="170"/>
      <c r="F197" s="53"/>
      <c r="G197" s="53"/>
      <c r="H197" s="53"/>
      <c r="I197" s="171"/>
      <c r="J197" s="170"/>
      <c r="K197" s="53"/>
      <c r="L197" s="53"/>
      <c r="M197" s="53"/>
      <c r="N197" s="171"/>
      <c r="O197" s="170"/>
      <c r="P197" s="53"/>
      <c r="Q197" s="53"/>
      <c r="R197" s="53"/>
      <c r="S197" s="171"/>
      <c r="T197" s="170"/>
      <c r="U197" s="53"/>
      <c r="V197" s="53"/>
      <c r="W197" s="53"/>
      <c r="X197" s="171"/>
      <c r="Y197" s="170"/>
      <c r="Z197" s="170"/>
      <c r="AA197" s="170"/>
      <c r="AB197" s="170"/>
      <c r="AC197" s="170"/>
      <c r="AD197" s="53"/>
      <c r="AE197" s="53"/>
    </row>
    <row r="198">
      <c r="A198" s="53"/>
      <c r="B198" s="53"/>
      <c r="C198" s="168"/>
      <c r="D198" s="169"/>
      <c r="E198" s="170"/>
      <c r="F198" s="53"/>
      <c r="G198" s="53"/>
      <c r="H198" s="53"/>
      <c r="I198" s="171"/>
      <c r="J198" s="170"/>
      <c r="K198" s="53"/>
      <c r="L198" s="53"/>
      <c r="M198" s="53"/>
      <c r="N198" s="171"/>
      <c r="O198" s="170"/>
      <c r="P198" s="53"/>
      <c r="Q198" s="53"/>
      <c r="R198" s="53"/>
      <c r="S198" s="171"/>
      <c r="T198" s="170"/>
      <c r="U198" s="53"/>
      <c r="V198" s="53"/>
      <c r="W198" s="53"/>
      <c r="X198" s="171"/>
      <c r="Y198" s="170"/>
      <c r="Z198" s="170"/>
      <c r="AA198" s="170"/>
      <c r="AB198" s="170"/>
      <c r="AC198" s="170"/>
      <c r="AD198" s="53"/>
      <c r="AE198" s="53"/>
    </row>
    <row r="199">
      <c r="A199" s="53"/>
      <c r="B199" s="53"/>
      <c r="C199" s="168"/>
      <c r="D199" s="169"/>
      <c r="E199" s="170"/>
      <c r="F199" s="53"/>
      <c r="G199" s="53"/>
      <c r="H199" s="53"/>
      <c r="I199" s="171"/>
      <c r="J199" s="170"/>
      <c r="K199" s="53"/>
      <c r="L199" s="53"/>
      <c r="M199" s="53"/>
      <c r="N199" s="171"/>
      <c r="O199" s="170"/>
      <c r="P199" s="53"/>
      <c r="Q199" s="53"/>
      <c r="R199" s="53"/>
      <c r="S199" s="171"/>
      <c r="T199" s="170"/>
      <c r="U199" s="53"/>
      <c r="V199" s="53"/>
      <c r="W199" s="53"/>
      <c r="X199" s="171"/>
      <c r="Y199" s="170"/>
      <c r="Z199" s="170"/>
      <c r="AA199" s="170"/>
      <c r="AB199" s="170"/>
      <c r="AC199" s="170"/>
      <c r="AD199" s="53"/>
      <c r="AE199" s="53"/>
    </row>
    <row r="200">
      <c r="A200" s="53"/>
      <c r="B200" s="53"/>
      <c r="C200" s="168"/>
      <c r="D200" s="169"/>
      <c r="E200" s="170"/>
      <c r="F200" s="53"/>
      <c r="G200" s="53"/>
      <c r="H200" s="53"/>
      <c r="I200" s="171"/>
      <c r="J200" s="170"/>
      <c r="K200" s="53"/>
      <c r="L200" s="53"/>
      <c r="M200" s="53"/>
      <c r="N200" s="171"/>
      <c r="O200" s="170"/>
      <c r="P200" s="53"/>
      <c r="Q200" s="53"/>
      <c r="R200" s="53"/>
      <c r="S200" s="171"/>
      <c r="T200" s="170"/>
      <c r="U200" s="53"/>
      <c r="V200" s="53"/>
      <c r="W200" s="53"/>
      <c r="X200" s="171"/>
      <c r="Y200" s="170"/>
      <c r="Z200" s="170"/>
      <c r="AA200" s="170"/>
      <c r="AB200" s="170"/>
      <c r="AC200" s="170"/>
      <c r="AD200" s="53"/>
      <c r="AE200" s="53"/>
    </row>
    <row r="201">
      <c r="A201" s="53"/>
      <c r="B201" s="53"/>
      <c r="C201" s="168"/>
      <c r="D201" s="169"/>
      <c r="E201" s="170"/>
      <c r="F201" s="53"/>
      <c r="G201" s="53"/>
      <c r="H201" s="53"/>
      <c r="I201" s="171"/>
      <c r="J201" s="170"/>
      <c r="K201" s="53"/>
      <c r="L201" s="53"/>
      <c r="M201" s="53"/>
      <c r="N201" s="171"/>
      <c r="O201" s="170"/>
      <c r="P201" s="53"/>
      <c r="Q201" s="53"/>
      <c r="R201" s="53"/>
      <c r="S201" s="171"/>
      <c r="T201" s="170"/>
      <c r="U201" s="53"/>
      <c r="V201" s="53"/>
      <c r="W201" s="53"/>
      <c r="X201" s="171"/>
      <c r="Y201" s="170"/>
      <c r="Z201" s="170"/>
      <c r="AA201" s="170"/>
      <c r="AB201" s="170"/>
      <c r="AC201" s="170"/>
      <c r="AD201" s="53"/>
      <c r="AE201" s="53"/>
    </row>
    <row r="202">
      <c r="A202" s="53"/>
      <c r="B202" s="53"/>
      <c r="C202" s="168"/>
      <c r="D202" s="169"/>
      <c r="E202" s="170"/>
      <c r="F202" s="53"/>
      <c r="G202" s="53"/>
      <c r="H202" s="53"/>
      <c r="I202" s="171"/>
      <c r="J202" s="170"/>
      <c r="K202" s="53"/>
      <c r="L202" s="53"/>
      <c r="M202" s="53"/>
      <c r="N202" s="171"/>
      <c r="O202" s="170"/>
      <c r="P202" s="53"/>
      <c r="Q202" s="53"/>
      <c r="R202" s="53"/>
      <c r="S202" s="171"/>
      <c r="T202" s="170"/>
      <c r="U202" s="53"/>
      <c r="V202" s="53"/>
      <c r="W202" s="53"/>
      <c r="X202" s="171"/>
      <c r="Y202" s="170"/>
      <c r="Z202" s="170"/>
      <c r="AA202" s="170"/>
      <c r="AB202" s="170"/>
      <c r="AC202" s="170"/>
      <c r="AD202" s="53"/>
      <c r="AE202" s="53"/>
    </row>
    <row r="203">
      <c r="A203" s="53"/>
      <c r="B203" s="53"/>
      <c r="C203" s="168"/>
      <c r="D203" s="169"/>
      <c r="E203" s="170"/>
      <c r="F203" s="53"/>
      <c r="G203" s="53"/>
      <c r="H203" s="53"/>
      <c r="I203" s="171"/>
      <c r="J203" s="170"/>
      <c r="K203" s="53"/>
      <c r="L203" s="53"/>
      <c r="M203" s="53"/>
      <c r="N203" s="171"/>
      <c r="O203" s="170"/>
      <c r="P203" s="53"/>
      <c r="Q203" s="53"/>
      <c r="R203" s="53"/>
      <c r="S203" s="171"/>
      <c r="T203" s="170"/>
      <c r="U203" s="53"/>
      <c r="V203" s="53"/>
      <c r="W203" s="53"/>
      <c r="X203" s="171"/>
      <c r="Y203" s="170"/>
      <c r="Z203" s="170"/>
      <c r="AA203" s="170"/>
      <c r="AB203" s="170"/>
      <c r="AC203" s="170"/>
      <c r="AD203" s="53"/>
      <c r="AE203" s="53"/>
    </row>
    <row r="204">
      <c r="A204" s="53"/>
      <c r="B204" s="53"/>
      <c r="C204" s="168"/>
      <c r="D204" s="169"/>
      <c r="E204" s="170"/>
      <c r="F204" s="53"/>
      <c r="G204" s="53"/>
      <c r="H204" s="53"/>
      <c r="I204" s="171"/>
      <c r="J204" s="170"/>
      <c r="K204" s="53"/>
      <c r="L204" s="53"/>
      <c r="M204" s="53"/>
      <c r="N204" s="171"/>
      <c r="O204" s="170"/>
      <c r="P204" s="53"/>
      <c r="Q204" s="53"/>
      <c r="R204" s="53"/>
      <c r="S204" s="171"/>
      <c r="T204" s="170"/>
      <c r="U204" s="53"/>
      <c r="V204" s="53"/>
      <c r="W204" s="53"/>
      <c r="X204" s="171"/>
      <c r="Y204" s="170"/>
      <c r="Z204" s="170"/>
      <c r="AA204" s="170"/>
      <c r="AB204" s="170"/>
      <c r="AC204" s="170"/>
      <c r="AD204" s="53"/>
      <c r="AE204" s="53"/>
    </row>
    <row r="205">
      <c r="A205" s="53"/>
      <c r="B205" s="53"/>
      <c r="C205" s="168"/>
      <c r="D205" s="169"/>
      <c r="E205" s="170"/>
      <c r="F205" s="53"/>
      <c r="G205" s="53"/>
      <c r="H205" s="53"/>
      <c r="I205" s="171"/>
      <c r="J205" s="170"/>
      <c r="K205" s="53"/>
      <c r="L205" s="53"/>
      <c r="M205" s="53"/>
      <c r="N205" s="171"/>
      <c r="O205" s="170"/>
      <c r="P205" s="53"/>
      <c r="Q205" s="53"/>
      <c r="R205" s="53"/>
      <c r="S205" s="171"/>
      <c r="T205" s="170"/>
      <c r="U205" s="53"/>
      <c r="V205" s="53"/>
      <c r="W205" s="53"/>
      <c r="X205" s="171"/>
      <c r="Y205" s="170"/>
      <c r="Z205" s="170"/>
      <c r="AA205" s="170"/>
      <c r="AB205" s="170"/>
      <c r="AC205" s="170"/>
      <c r="AD205" s="53"/>
      <c r="AE205" s="53"/>
    </row>
    <row r="206">
      <c r="A206" s="53"/>
      <c r="B206" s="53"/>
      <c r="C206" s="168"/>
      <c r="D206" s="169"/>
      <c r="E206" s="170"/>
      <c r="F206" s="53"/>
      <c r="G206" s="53"/>
      <c r="H206" s="53"/>
      <c r="I206" s="171"/>
      <c r="J206" s="170"/>
      <c r="K206" s="53"/>
      <c r="L206" s="53"/>
      <c r="M206" s="53"/>
      <c r="N206" s="171"/>
      <c r="O206" s="170"/>
      <c r="P206" s="53"/>
      <c r="Q206" s="53"/>
      <c r="R206" s="53"/>
      <c r="S206" s="171"/>
      <c r="T206" s="170"/>
      <c r="U206" s="53"/>
      <c r="V206" s="53"/>
      <c r="W206" s="53"/>
      <c r="X206" s="171"/>
      <c r="Y206" s="170"/>
      <c r="Z206" s="170"/>
      <c r="AA206" s="170"/>
      <c r="AB206" s="170"/>
      <c r="AC206" s="170"/>
      <c r="AD206" s="53"/>
      <c r="AE206" s="53"/>
    </row>
    <row r="207">
      <c r="A207" s="53"/>
      <c r="B207" s="53"/>
      <c r="C207" s="168"/>
      <c r="D207" s="169"/>
      <c r="E207" s="170"/>
      <c r="F207" s="53"/>
      <c r="G207" s="53"/>
      <c r="H207" s="53"/>
      <c r="I207" s="171"/>
      <c r="J207" s="170"/>
      <c r="K207" s="53"/>
      <c r="L207" s="53"/>
      <c r="M207" s="53"/>
      <c r="N207" s="171"/>
      <c r="O207" s="170"/>
      <c r="P207" s="53"/>
      <c r="Q207" s="53"/>
      <c r="R207" s="53"/>
      <c r="S207" s="171"/>
      <c r="T207" s="170"/>
      <c r="U207" s="53"/>
      <c r="V207" s="53"/>
      <c r="W207" s="53"/>
      <c r="X207" s="171"/>
      <c r="Y207" s="170"/>
      <c r="Z207" s="170"/>
      <c r="AA207" s="170"/>
      <c r="AB207" s="170"/>
      <c r="AC207" s="170"/>
      <c r="AD207" s="53"/>
      <c r="AE207" s="53"/>
    </row>
    <row r="208">
      <c r="A208" s="53"/>
      <c r="B208" s="53"/>
      <c r="C208" s="168"/>
      <c r="D208" s="169"/>
      <c r="E208" s="170"/>
      <c r="F208" s="53"/>
      <c r="G208" s="53"/>
      <c r="H208" s="53"/>
      <c r="I208" s="171"/>
      <c r="J208" s="170"/>
      <c r="K208" s="53"/>
      <c r="L208" s="53"/>
      <c r="M208" s="53"/>
      <c r="N208" s="171"/>
      <c r="O208" s="170"/>
      <c r="P208" s="53"/>
      <c r="Q208" s="53"/>
      <c r="R208" s="53"/>
      <c r="S208" s="171"/>
      <c r="T208" s="170"/>
      <c r="U208" s="53"/>
      <c r="V208" s="53"/>
      <c r="W208" s="53"/>
      <c r="X208" s="171"/>
      <c r="Y208" s="170"/>
      <c r="Z208" s="170"/>
      <c r="AA208" s="170"/>
      <c r="AB208" s="170"/>
      <c r="AC208" s="170"/>
      <c r="AD208" s="53"/>
      <c r="AE208" s="53"/>
    </row>
    <row r="209">
      <c r="A209" s="53"/>
      <c r="B209" s="53"/>
      <c r="C209" s="168"/>
      <c r="D209" s="169"/>
      <c r="E209" s="170"/>
      <c r="F209" s="53"/>
      <c r="G209" s="53"/>
      <c r="H209" s="53"/>
      <c r="I209" s="171"/>
      <c r="J209" s="170"/>
      <c r="K209" s="53"/>
      <c r="L209" s="53"/>
      <c r="M209" s="53"/>
      <c r="N209" s="171"/>
      <c r="O209" s="170"/>
      <c r="P209" s="53"/>
      <c r="Q209" s="53"/>
      <c r="R209" s="53"/>
      <c r="S209" s="171"/>
      <c r="T209" s="170"/>
      <c r="U209" s="53"/>
      <c r="V209" s="53"/>
      <c r="W209" s="53"/>
      <c r="X209" s="171"/>
      <c r="Y209" s="170"/>
      <c r="Z209" s="170"/>
      <c r="AA209" s="170"/>
      <c r="AB209" s="170"/>
      <c r="AC209" s="170"/>
      <c r="AD209" s="53"/>
      <c r="AE209" s="53"/>
    </row>
    <row r="210">
      <c r="A210" s="53"/>
      <c r="B210" s="53"/>
      <c r="C210" s="168"/>
      <c r="D210" s="169"/>
      <c r="E210" s="170"/>
      <c r="F210" s="53"/>
      <c r="G210" s="53"/>
      <c r="H210" s="53"/>
      <c r="I210" s="171"/>
      <c r="J210" s="170"/>
      <c r="K210" s="53"/>
      <c r="L210" s="53"/>
      <c r="M210" s="53"/>
      <c r="N210" s="171"/>
      <c r="O210" s="170"/>
      <c r="P210" s="53"/>
      <c r="Q210" s="53"/>
      <c r="R210" s="53"/>
      <c r="S210" s="171"/>
      <c r="T210" s="170"/>
      <c r="U210" s="53"/>
      <c r="V210" s="53"/>
      <c r="W210" s="53"/>
      <c r="X210" s="171"/>
      <c r="Y210" s="170"/>
      <c r="Z210" s="170"/>
      <c r="AA210" s="170"/>
      <c r="AB210" s="170"/>
      <c r="AC210" s="170"/>
      <c r="AD210" s="53"/>
      <c r="AE210" s="53"/>
    </row>
    <row r="211">
      <c r="A211" s="53"/>
      <c r="B211" s="53"/>
      <c r="C211" s="168"/>
      <c r="D211" s="169"/>
      <c r="E211" s="170"/>
      <c r="F211" s="53"/>
      <c r="G211" s="53"/>
      <c r="H211" s="53"/>
      <c r="I211" s="171"/>
      <c r="J211" s="170"/>
      <c r="K211" s="53"/>
      <c r="L211" s="53"/>
      <c r="M211" s="53"/>
      <c r="N211" s="171"/>
      <c r="O211" s="170"/>
      <c r="P211" s="53"/>
      <c r="Q211" s="53"/>
      <c r="R211" s="53"/>
      <c r="S211" s="171"/>
      <c r="T211" s="170"/>
      <c r="U211" s="53"/>
      <c r="V211" s="53"/>
      <c r="W211" s="53"/>
      <c r="X211" s="171"/>
      <c r="Y211" s="170"/>
      <c r="Z211" s="170"/>
      <c r="AA211" s="170"/>
      <c r="AB211" s="170"/>
      <c r="AC211" s="170"/>
      <c r="AD211" s="53"/>
      <c r="AE211" s="53"/>
    </row>
    <row r="212">
      <c r="A212" s="53"/>
      <c r="B212" s="53"/>
      <c r="C212" s="168"/>
      <c r="D212" s="169"/>
      <c r="E212" s="170"/>
      <c r="F212" s="53"/>
      <c r="G212" s="53"/>
      <c r="H212" s="53"/>
      <c r="I212" s="171"/>
      <c r="J212" s="170"/>
      <c r="K212" s="53"/>
      <c r="L212" s="53"/>
      <c r="M212" s="53"/>
      <c r="N212" s="171"/>
      <c r="O212" s="170"/>
      <c r="P212" s="53"/>
      <c r="Q212" s="53"/>
      <c r="R212" s="53"/>
      <c r="S212" s="171"/>
      <c r="T212" s="170"/>
      <c r="U212" s="53"/>
      <c r="V212" s="53"/>
      <c r="W212" s="53"/>
      <c r="X212" s="171"/>
      <c r="Y212" s="170"/>
      <c r="Z212" s="170"/>
      <c r="AA212" s="170"/>
      <c r="AB212" s="170"/>
      <c r="AC212" s="170"/>
      <c r="AD212" s="53"/>
      <c r="AE212" s="53"/>
    </row>
    <row r="213">
      <c r="A213" s="53"/>
      <c r="B213" s="53"/>
      <c r="C213" s="168"/>
      <c r="D213" s="169"/>
      <c r="E213" s="170"/>
      <c r="F213" s="53"/>
      <c r="G213" s="53"/>
      <c r="H213" s="53"/>
      <c r="I213" s="171"/>
      <c r="J213" s="170"/>
      <c r="K213" s="53"/>
      <c r="L213" s="53"/>
      <c r="M213" s="53"/>
      <c r="N213" s="171"/>
      <c r="O213" s="170"/>
      <c r="P213" s="53"/>
      <c r="Q213" s="53"/>
      <c r="R213" s="53"/>
      <c r="S213" s="171"/>
      <c r="T213" s="170"/>
      <c r="U213" s="53"/>
      <c r="V213" s="53"/>
      <c r="W213" s="53"/>
      <c r="X213" s="171"/>
      <c r="Y213" s="170"/>
      <c r="Z213" s="170"/>
      <c r="AA213" s="170"/>
      <c r="AB213" s="170"/>
      <c r="AC213" s="170"/>
      <c r="AD213" s="53"/>
      <c r="AE213" s="53"/>
    </row>
    <row r="214">
      <c r="A214" s="53"/>
      <c r="B214" s="53"/>
      <c r="C214" s="168"/>
      <c r="D214" s="169"/>
      <c r="E214" s="170"/>
      <c r="F214" s="53"/>
      <c r="G214" s="53"/>
      <c r="H214" s="53"/>
      <c r="I214" s="171"/>
      <c r="J214" s="170"/>
      <c r="K214" s="53"/>
      <c r="L214" s="53"/>
      <c r="M214" s="53"/>
      <c r="N214" s="171"/>
      <c r="O214" s="170"/>
      <c r="P214" s="53"/>
      <c r="Q214" s="53"/>
      <c r="R214" s="53"/>
      <c r="S214" s="171"/>
      <c r="T214" s="170"/>
      <c r="U214" s="53"/>
      <c r="V214" s="53"/>
      <c r="W214" s="53"/>
      <c r="X214" s="171"/>
      <c r="Y214" s="170"/>
      <c r="Z214" s="170"/>
      <c r="AA214" s="170"/>
      <c r="AB214" s="170"/>
      <c r="AC214" s="170"/>
      <c r="AD214" s="53"/>
      <c r="AE214" s="53"/>
    </row>
    <row r="215">
      <c r="A215" s="53"/>
      <c r="B215" s="53"/>
      <c r="C215" s="168"/>
      <c r="D215" s="169"/>
      <c r="E215" s="170"/>
      <c r="F215" s="53"/>
      <c r="G215" s="53"/>
      <c r="H215" s="53"/>
      <c r="I215" s="171"/>
      <c r="J215" s="170"/>
      <c r="K215" s="53"/>
      <c r="L215" s="53"/>
      <c r="M215" s="53"/>
      <c r="N215" s="171"/>
      <c r="O215" s="170"/>
      <c r="P215" s="53"/>
      <c r="Q215" s="53"/>
      <c r="R215" s="53"/>
      <c r="S215" s="171"/>
      <c r="T215" s="170"/>
      <c r="U215" s="53"/>
      <c r="V215" s="53"/>
      <c r="W215" s="53"/>
      <c r="X215" s="171"/>
      <c r="Y215" s="170"/>
      <c r="Z215" s="170"/>
      <c r="AA215" s="170"/>
      <c r="AB215" s="170"/>
      <c r="AC215" s="170"/>
      <c r="AD215" s="53"/>
      <c r="AE215" s="53"/>
    </row>
    <row r="216">
      <c r="A216" s="53"/>
      <c r="B216" s="53"/>
      <c r="C216" s="168"/>
      <c r="D216" s="169"/>
      <c r="E216" s="170"/>
      <c r="F216" s="53"/>
      <c r="G216" s="53"/>
      <c r="H216" s="53"/>
      <c r="I216" s="171"/>
      <c r="J216" s="170"/>
      <c r="K216" s="53"/>
      <c r="L216" s="53"/>
      <c r="M216" s="53"/>
      <c r="N216" s="171"/>
      <c r="O216" s="170"/>
      <c r="P216" s="53"/>
      <c r="Q216" s="53"/>
      <c r="R216" s="53"/>
      <c r="S216" s="171"/>
      <c r="T216" s="170"/>
      <c r="U216" s="53"/>
      <c r="V216" s="53"/>
      <c r="W216" s="53"/>
      <c r="X216" s="171"/>
      <c r="Y216" s="170"/>
      <c r="Z216" s="170"/>
      <c r="AA216" s="170"/>
      <c r="AB216" s="170"/>
      <c r="AC216" s="170"/>
      <c r="AD216" s="53"/>
      <c r="AE216" s="53"/>
    </row>
    <row r="217">
      <c r="A217" s="53"/>
      <c r="B217" s="53"/>
      <c r="C217" s="168"/>
      <c r="D217" s="169"/>
      <c r="E217" s="170"/>
      <c r="F217" s="53"/>
      <c r="G217" s="53"/>
      <c r="H217" s="53"/>
      <c r="I217" s="171"/>
      <c r="J217" s="170"/>
      <c r="K217" s="53"/>
      <c r="L217" s="53"/>
      <c r="M217" s="53"/>
      <c r="N217" s="171"/>
      <c r="O217" s="170"/>
      <c r="P217" s="53"/>
      <c r="Q217" s="53"/>
      <c r="R217" s="53"/>
      <c r="S217" s="171"/>
      <c r="T217" s="170"/>
      <c r="U217" s="53"/>
      <c r="V217" s="53"/>
      <c r="W217" s="53"/>
      <c r="X217" s="171"/>
      <c r="Y217" s="170"/>
      <c r="Z217" s="170"/>
      <c r="AA217" s="170"/>
      <c r="AB217" s="170"/>
      <c r="AC217" s="170"/>
      <c r="AD217" s="53"/>
      <c r="AE217" s="53"/>
    </row>
    <row r="218">
      <c r="A218" s="53"/>
      <c r="B218" s="53"/>
      <c r="C218" s="168"/>
      <c r="D218" s="169"/>
      <c r="E218" s="170"/>
      <c r="F218" s="53"/>
      <c r="G218" s="53"/>
      <c r="H218" s="53"/>
      <c r="I218" s="171"/>
      <c r="J218" s="170"/>
      <c r="K218" s="53"/>
      <c r="L218" s="53"/>
      <c r="M218" s="53"/>
      <c r="N218" s="171"/>
      <c r="O218" s="170"/>
      <c r="P218" s="53"/>
      <c r="Q218" s="53"/>
      <c r="R218" s="53"/>
      <c r="S218" s="171"/>
      <c r="T218" s="170"/>
      <c r="U218" s="53"/>
      <c r="V218" s="53"/>
      <c r="W218" s="53"/>
      <c r="X218" s="171"/>
      <c r="Y218" s="170"/>
      <c r="Z218" s="170"/>
      <c r="AA218" s="170"/>
      <c r="AB218" s="170"/>
      <c r="AC218" s="170"/>
      <c r="AD218" s="53"/>
      <c r="AE218" s="53"/>
    </row>
    <row r="219">
      <c r="A219" s="53"/>
      <c r="B219" s="53"/>
      <c r="C219" s="168"/>
      <c r="D219" s="169"/>
      <c r="E219" s="170"/>
      <c r="F219" s="53"/>
      <c r="G219" s="53"/>
      <c r="H219" s="53"/>
      <c r="I219" s="171"/>
      <c r="J219" s="170"/>
      <c r="K219" s="53"/>
      <c r="L219" s="53"/>
      <c r="M219" s="53"/>
      <c r="N219" s="171"/>
      <c r="O219" s="170"/>
      <c r="P219" s="53"/>
      <c r="Q219" s="53"/>
      <c r="R219" s="53"/>
      <c r="S219" s="171"/>
      <c r="T219" s="170"/>
      <c r="U219" s="53"/>
      <c r="V219" s="53"/>
      <c r="W219" s="53"/>
      <c r="X219" s="171"/>
      <c r="Y219" s="170"/>
      <c r="Z219" s="170"/>
      <c r="AA219" s="170"/>
      <c r="AB219" s="170"/>
      <c r="AC219" s="170"/>
      <c r="AD219" s="53"/>
      <c r="AE219" s="53"/>
    </row>
    <row r="220">
      <c r="A220" s="53"/>
      <c r="B220" s="53"/>
      <c r="C220" s="168"/>
      <c r="D220" s="169"/>
      <c r="E220" s="170"/>
      <c r="F220" s="53"/>
      <c r="G220" s="53"/>
      <c r="H220" s="53"/>
      <c r="I220" s="171"/>
      <c r="J220" s="170"/>
      <c r="K220" s="53"/>
      <c r="L220" s="53"/>
      <c r="M220" s="53"/>
      <c r="N220" s="171"/>
      <c r="O220" s="170"/>
      <c r="P220" s="53"/>
      <c r="Q220" s="53"/>
      <c r="R220" s="53"/>
      <c r="S220" s="171"/>
      <c r="T220" s="170"/>
      <c r="U220" s="53"/>
      <c r="V220" s="53"/>
      <c r="W220" s="53"/>
      <c r="X220" s="171"/>
      <c r="Y220" s="170"/>
      <c r="Z220" s="170"/>
      <c r="AA220" s="170"/>
      <c r="AB220" s="170"/>
      <c r="AC220" s="170"/>
      <c r="AD220" s="53"/>
      <c r="AE220" s="53"/>
    </row>
    <row r="221">
      <c r="A221" s="53"/>
      <c r="B221" s="53"/>
      <c r="C221" s="168"/>
      <c r="D221" s="169"/>
      <c r="E221" s="170"/>
      <c r="F221" s="53"/>
      <c r="G221" s="53"/>
      <c r="H221" s="53"/>
      <c r="I221" s="171"/>
      <c r="J221" s="170"/>
      <c r="K221" s="53"/>
      <c r="L221" s="53"/>
      <c r="M221" s="53"/>
      <c r="N221" s="171"/>
      <c r="O221" s="170"/>
      <c r="P221" s="53"/>
      <c r="Q221" s="53"/>
      <c r="R221" s="53"/>
      <c r="S221" s="171"/>
      <c r="T221" s="170"/>
      <c r="U221" s="53"/>
      <c r="V221" s="53"/>
      <c r="W221" s="53"/>
      <c r="X221" s="171"/>
      <c r="Y221" s="170"/>
      <c r="Z221" s="170"/>
      <c r="AA221" s="170"/>
      <c r="AB221" s="170"/>
      <c r="AC221" s="170"/>
      <c r="AD221" s="53"/>
      <c r="AE221" s="53"/>
    </row>
    <row r="222">
      <c r="A222" s="53"/>
      <c r="B222" s="53"/>
      <c r="C222" s="168"/>
      <c r="D222" s="169"/>
      <c r="E222" s="170"/>
      <c r="F222" s="53"/>
      <c r="G222" s="53"/>
      <c r="H222" s="53"/>
      <c r="I222" s="171"/>
      <c r="J222" s="170"/>
      <c r="K222" s="53"/>
      <c r="L222" s="53"/>
      <c r="M222" s="53"/>
      <c r="N222" s="171"/>
      <c r="O222" s="170"/>
      <c r="P222" s="53"/>
      <c r="Q222" s="53"/>
      <c r="R222" s="53"/>
      <c r="S222" s="171"/>
      <c r="T222" s="170"/>
      <c r="U222" s="53"/>
      <c r="V222" s="53"/>
      <c r="W222" s="53"/>
      <c r="X222" s="171"/>
      <c r="Y222" s="170"/>
      <c r="Z222" s="170"/>
      <c r="AA222" s="170"/>
      <c r="AB222" s="170"/>
      <c r="AC222" s="170"/>
      <c r="AD222" s="53"/>
      <c r="AE222" s="53"/>
    </row>
    <row r="223">
      <c r="A223" s="53"/>
      <c r="B223" s="53"/>
      <c r="C223" s="168"/>
      <c r="D223" s="169"/>
      <c r="E223" s="170"/>
      <c r="F223" s="53"/>
      <c r="G223" s="53"/>
      <c r="H223" s="53"/>
      <c r="I223" s="171"/>
      <c r="J223" s="170"/>
      <c r="K223" s="53"/>
      <c r="L223" s="53"/>
      <c r="M223" s="53"/>
      <c r="N223" s="171"/>
      <c r="O223" s="170"/>
      <c r="P223" s="53"/>
      <c r="Q223" s="53"/>
      <c r="R223" s="53"/>
      <c r="S223" s="171"/>
      <c r="T223" s="170"/>
      <c r="U223" s="53"/>
      <c r="V223" s="53"/>
      <c r="W223" s="53"/>
      <c r="X223" s="171"/>
      <c r="Y223" s="170"/>
      <c r="Z223" s="170"/>
      <c r="AA223" s="170"/>
      <c r="AB223" s="170"/>
      <c r="AC223" s="170"/>
      <c r="AD223" s="53"/>
      <c r="AE223" s="53"/>
    </row>
    <row r="224">
      <c r="A224" s="53"/>
      <c r="B224" s="53"/>
      <c r="C224" s="168"/>
      <c r="D224" s="169"/>
      <c r="E224" s="170"/>
      <c r="F224" s="53"/>
      <c r="G224" s="53"/>
      <c r="H224" s="53"/>
      <c r="I224" s="171"/>
      <c r="J224" s="170"/>
      <c r="K224" s="53"/>
      <c r="L224" s="53"/>
      <c r="M224" s="53"/>
      <c r="N224" s="171"/>
      <c r="O224" s="170"/>
      <c r="P224" s="53"/>
      <c r="Q224" s="53"/>
      <c r="R224" s="53"/>
      <c r="S224" s="171"/>
      <c r="T224" s="170"/>
      <c r="U224" s="53"/>
      <c r="V224" s="53"/>
      <c r="W224" s="53"/>
      <c r="X224" s="171"/>
      <c r="Y224" s="170"/>
      <c r="Z224" s="170"/>
      <c r="AA224" s="170"/>
      <c r="AB224" s="170"/>
      <c r="AC224" s="170"/>
      <c r="AD224" s="53"/>
      <c r="AE224" s="53"/>
    </row>
    <row r="225">
      <c r="A225" s="53"/>
      <c r="B225" s="53"/>
      <c r="C225" s="168"/>
      <c r="D225" s="169"/>
      <c r="E225" s="170"/>
      <c r="F225" s="53"/>
      <c r="G225" s="53"/>
      <c r="H225" s="53"/>
      <c r="I225" s="171"/>
      <c r="J225" s="170"/>
      <c r="K225" s="53"/>
      <c r="L225" s="53"/>
      <c r="M225" s="53"/>
      <c r="N225" s="171"/>
      <c r="O225" s="170"/>
      <c r="P225" s="53"/>
      <c r="Q225" s="53"/>
      <c r="R225" s="53"/>
      <c r="S225" s="171"/>
      <c r="T225" s="170"/>
      <c r="U225" s="53"/>
      <c r="V225" s="53"/>
      <c r="W225" s="53"/>
      <c r="X225" s="171"/>
      <c r="Y225" s="170"/>
      <c r="Z225" s="170"/>
      <c r="AA225" s="170"/>
      <c r="AB225" s="170"/>
      <c r="AC225" s="170"/>
      <c r="AD225" s="53"/>
      <c r="AE225" s="53"/>
    </row>
    <row r="226">
      <c r="A226" s="53"/>
      <c r="B226" s="53"/>
      <c r="C226" s="168"/>
      <c r="D226" s="169"/>
      <c r="E226" s="170"/>
      <c r="F226" s="53"/>
      <c r="G226" s="53"/>
      <c r="H226" s="53"/>
      <c r="I226" s="171"/>
      <c r="J226" s="170"/>
      <c r="K226" s="53"/>
      <c r="L226" s="53"/>
      <c r="M226" s="53"/>
      <c r="N226" s="171"/>
      <c r="O226" s="170"/>
      <c r="P226" s="53"/>
      <c r="Q226" s="53"/>
      <c r="R226" s="53"/>
      <c r="S226" s="171"/>
      <c r="T226" s="170"/>
      <c r="U226" s="53"/>
      <c r="V226" s="53"/>
      <c r="W226" s="53"/>
      <c r="X226" s="171"/>
      <c r="Y226" s="170"/>
      <c r="Z226" s="170"/>
      <c r="AA226" s="170"/>
      <c r="AB226" s="170"/>
      <c r="AC226" s="170"/>
      <c r="AD226" s="53"/>
      <c r="AE226" s="53"/>
    </row>
    <row r="227">
      <c r="A227" s="53"/>
      <c r="B227" s="53"/>
      <c r="C227" s="168"/>
      <c r="D227" s="169"/>
      <c r="E227" s="170"/>
      <c r="F227" s="53"/>
      <c r="G227" s="53"/>
      <c r="H227" s="53"/>
      <c r="I227" s="171"/>
      <c r="J227" s="170"/>
      <c r="K227" s="53"/>
      <c r="L227" s="53"/>
      <c r="M227" s="53"/>
      <c r="N227" s="171"/>
      <c r="O227" s="170"/>
      <c r="P227" s="53"/>
      <c r="Q227" s="53"/>
      <c r="R227" s="53"/>
      <c r="S227" s="171"/>
      <c r="T227" s="170"/>
      <c r="U227" s="53"/>
      <c r="V227" s="53"/>
      <c r="W227" s="53"/>
      <c r="X227" s="171"/>
      <c r="Y227" s="170"/>
      <c r="Z227" s="170"/>
      <c r="AA227" s="170"/>
      <c r="AB227" s="170"/>
      <c r="AC227" s="170"/>
      <c r="AD227" s="53"/>
      <c r="AE227" s="53"/>
    </row>
    <row r="228">
      <c r="A228" s="53"/>
      <c r="B228" s="53"/>
      <c r="C228" s="168"/>
      <c r="D228" s="169"/>
      <c r="E228" s="170"/>
      <c r="F228" s="53"/>
      <c r="G228" s="53"/>
      <c r="H228" s="53"/>
      <c r="I228" s="171"/>
      <c r="J228" s="170"/>
      <c r="K228" s="53"/>
      <c r="L228" s="53"/>
      <c r="M228" s="53"/>
      <c r="N228" s="171"/>
      <c r="O228" s="170"/>
      <c r="P228" s="53"/>
      <c r="Q228" s="53"/>
      <c r="R228" s="53"/>
      <c r="S228" s="171"/>
      <c r="T228" s="170"/>
      <c r="U228" s="53"/>
      <c r="V228" s="53"/>
      <c r="W228" s="53"/>
      <c r="X228" s="171"/>
      <c r="Y228" s="170"/>
      <c r="Z228" s="170"/>
      <c r="AA228" s="170"/>
      <c r="AB228" s="170"/>
      <c r="AC228" s="170"/>
      <c r="AD228" s="53"/>
      <c r="AE228" s="53"/>
    </row>
    <row r="229">
      <c r="A229" s="53"/>
      <c r="B229" s="53"/>
      <c r="C229" s="168"/>
      <c r="D229" s="169"/>
      <c r="E229" s="170"/>
      <c r="F229" s="53"/>
      <c r="G229" s="53"/>
      <c r="H229" s="53"/>
      <c r="I229" s="171"/>
      <c r="J229" s="170"/>
      <c r="K229" s="53"/>
      <c r="L229" s="53"/>
      <c r="M229" s="53"/>
      <c r="N229" s="171"/>
      <c r="O229" s="170"/>
      <c r="P229" s="53"/>
      <c r="Q229" s="53"/>
      <c r="R229" s="53"/>
      <c r="S229" s="171"/>
      <c r="T229" s="170"/>
      <c r="U229" s="53"/>
      <c r="V229" s="53"/>
      <c r="W229" s="53"/>
      <c r="X229" s="171"/>
      <c r="Y229" s="170"/>
      <c r="Z229" s="170"/>
      <c r="AA229" s="170"/>
      <c r="AB229" s="170"/>
      <c r="AC229" s="170"/>
      <c r="AD229" s="53"/>
      <c r="AE229" s="53"/>
    </row>
    <row r="230">
      <c r="A230" s="53"/>
      <c r="B230" s="53"/>
      <c r="C230" s="168"/>
      <c r="D230" s="169"/>
      <c r="E230" s="170"/>
      <c r="F230" s="53"/>
      <c r="G230" s="53"/>
      <c r="H230" s="53"/>
      <c r="I230" s="171"/>
      <c r="J230" s="170"/>
      <c r="K230" s="53"/>
      <c r="L230" s="53"/>
      <c r="M230" s="53"/>
      <c r="N230" s="171"/>
      <c r="O230" s="170"/>
      <c r="P230" s="53"/>
      <c r="Q230" s="53"/>
      <c r="R230" s="53"/>
      <c r="S230" s="171"/>
      <c r="T230" s="170"/>
      <c r="U230" s="53"/>
      <c r="V230" s="53"/>
      <c r="W230" s="53"/>
      <c r="X230" s="171"/>
      <c r="Y230" s="170"/>
      <c r="Z230" s="170"/>
      <c r="AA230" s="170"/>
      <c r="AB230" s="170"/>
      <c r="AC230" s="170"/>
      <c r="AD230" s="53"/>
      <c r="AE230" s="53"/>
    </row>
    <row r="231">
      <c r="A231" s="53"/>
      <c r="B231" s="53"/>
      <c r="C231" s="168"/>
      <c r="D231" s="169"/>
      <c r="E231" s="170"/>
      <c r="F231" s="53"/>
      <c r="G231" s="53"/>
      <c r="H231" s="53"/>
      <c r="I231" s="171"/>
      <c r="J231" s="170"/>
      <c r="K231" s="53"/>
      <c r="L231" s="53"/>
      <c r="M231" s="53"/>
      <c r="N231" s="171"/>
      <c r="O231" s="170"/>
      <c r="P231" s="53"/>
      <c r="Q231" s="53"/>
      <c r="R231" s="53"/>
      <c r="S231" s="171"/>
      <c r="T231" s="170"/>
      <c r="U231" s="53"/>
      <c r="V231" s="53"/>
      <c r="W231" s="53"/>
      <c r="X231" s="171"/>
      <c r="Y231" s="170"/>
      <c r="Z231" s="170"/>
      <c r="AA231" s="170"/>
      <c r="AB231" s="170"/>
      <c r="AC231" s="170"/>
      <c r="AD231" s="53"/>
      <c r="AE231" s="53"/>
    </row>
    <row r="232">
      <c r="A232" s="53"/>
      <c r="B232" s="53"/>
      <c r="C232" s="168"/>
      <c r="D232" s="169"/>
      <c r="E232" s="170"/>
      <c r="F232" s="53"/>
      <c r="G232" s="53"/>
      <c r="H232" s="53"/>
      <c r="I232" s="171"/>
      <c r="J232" s="170"/>
      <c r="K232" s="53"/>
      <c r="L232" s="53"/>
      <c r="M232" s="53"/>
      <c r="N232" s="171"/>
      <c r="O232" s="170"/>
      <c r="P232" s="53"/>
      <c r="Q232" s="53"/>
      <c r="R232" s="53"/>
      <c r="S232" s="171"/>
      <c r="T232" s="170"/>
      <c r="U232" s="53"/>
      <c r="V232" s="53"/>
      <c r="W232" s="53"/>
      <c r="X232" s="171"/>
      <c r="Y232" s="170"/>
      <c r="Z232" s="170"/>
      <c r="AA232" s="170"/>
      <c r="AB232" s="170"/>
      <c r="AC232" s="170"/>
      <c r="AD232" s="53"/>
      <c r="AE232" s="53"/>
    </row>
    <row r="233">
      <c r="A233" s="53"/>
      <c r="B233" s="53"/>
      <c r="C233" s="168"/>
      <c r="D233" s="169"/>
      <c r="E233" s="170"/>
      <c r="F233" s="53"/>
      <c r="G233" s="53"/>
      <c r="H233" s="53"/>
      <c r="I233" s="171"/>
      <c r="J233" s="170"/>
      <c r="K233" s="53"/>
      <c r="L233" s="53"/>
      <c r="M233" s="53"/>
      <c r="N233" s="171"/>
      <c r="O233" s="170"/>
      <c r="P233" s="53"/>
      <c r="Q233" s="53"/>
      <c r="R233" s="53"/>
      <c r="S233" s="171"/>
      <c r="T233" s="170"/>
      <c r="U233" s="53"/>
      <c r="V233" s="53"/>
      <c r="W233" s="53"/>
      <c r="X233" s="171"/>
      <c r="Y233" s="170"/>
      <c r="Z233" s="170"/>
      <c r="AA233" s="170"/>
      <c r="AB233" s="170"/>
      <c r="AC233" s="170"/>
      <c r="AD233" s="53"/>
      <c r="AE233" s="53"/>
    </row>
    <row r="234">
      <c r="A234" s="53"/>
      <c r="B234" s="53"/>
      <c r="C234" s="168"/>
      <c r="D234" s="169"/>
      <c r="E234" s="170"/>
      <c r="F234" s="53"/>
      <c r="G234" s="53"/>
      <c r="H234" s="53"/>
      <c r="I234" s="171"/>
      <c r="J234" s="170"/>
      <c r="K234" s="53"/>
      <c r="L234" s="53"/>
      <c r="M234" s="53"/>
      <c r="N234" s="171"/>
      <c r="O234" s="170"/>
      <c r="P234" s="53"/>
      <c r="Q234" s="53"/>
      <c r="R234" s="53"/>
      <c r="S234" s="171"/>
      <c r="T234" s="170"/>
      <c r="U234" s="53"/>
      <c r="V234" s="53"/>
      <c r="W234" s="53"/>
      <c r="X234" s="171"/>
      <c r="Y234" s="170"/>
      <c r="Z234" s="170"/>
      <c r="AA234" s="170"/>
      <c r="AB234" s="170"/>
      <c r="AC234" s="170"/>
      <c r="AD234" s="53"/>
      <c r="AE234" s="53"/>
    </row>
    <row r="235">
      <c r="A235" s="53"/>
      <c r="B235" s="53"/>
      <c r="C235" s="168"/>
      <c r="D235" s="169"/>
      <c r="E235" s="170"/>
      <c r="F235" s="53"/>
      <c r="G235" s="53"/>
      <c r="H235" s="53"/>
      <c r="I235" s="171"/>
      <c r="J235" s="170"/>
      <c r="K235" s="53"/>
      <c r="L235" s="53"/>
      <c r="M235" s="53"/>
      <c r="N235" s="171"/>
      <c r="O235" s="170"/>
      <c r="P235" s="53"/>
      <c r="Q235" s="53"/>
      <c r="R235" s="53"/>
      <c r="S235" s="171"/>
      <c r="T235" s="170"/>
      <c r="U235" s="53"/>
      <c r="V235" s="53"/>
      <c r="W235" s="53"/>
      <c r="X235" s="171"/>
      <c r="Y235" s="170"/>
      <c r="Z235" s="170"/>
      <c r="AA235" s="170"/>
      <c r="AB235" s="170"/>
      <c r="AC235" s="170"/>
      <c r="AD235" s="53"/>
      <c r="AE235" s="53"/>
    </row>
    <row r="236">
      <c r="A236" s="53"/>
      <c r="B236" s="53"/>
      <c r="C236" s="168"/>
      <c r="D236" s="169"/>
      <c r="E236" s="170"/>
      <c r="F236" s="53"/>
      <c r="G236" s="53"/>
      <c r="H236" s="53"/>
      <c r="I236" s="171"/>
      <c r="J236" s="170"/>
      <c r="K236" s="53"/>
      <c r="L236" s="53"/>
      <c r="M236" s="53"/>
      <c r="N236" s="171"/>
      <c r="O236" s="170"/>
      <c r="P236" s="53"/>
      <c r="Q236" s="53"/>
      <c r="R236" s="53"/>
      <c r="S236" s="171"/>
      <c r="T236" s="170"/>
      <c r="U236" s="53"/>
      <c r="V236" s="53"/>
      <c r="W236" s="53"/>
      <c r="X236" s="171"/>
      <c r="Y236" s="170"/>
      <c r="Z236" s="170"/>
      <c r="AA236" s="170"/>
      <c r="AB236" s="170"/>
      <c r="AC236" s="170"/>
      <c r="AD236" s="53"/>
      <c r="AE236" s="53"/>
    </row>
    <row r="237">
      <c r="A237" s="53"/>
      <c r="B237" s="53"/>
      <c r="C237" s="168"/>
      <c r="D237" s="169"/>
      <c r="E237" s="170"/>
      <c r="F237" s="53"/>
      <c r="G237" s="53"/>
      <c r="H237" s="53"/>
      <c r="I237" s="171"/>
      <c r="J237" s="170"/>
      <c r="K237" s="53"/>
      <c r="L237" s="53"/>
      <c r="M237" s="53"/>
      <c r="N237" s="171"/>
      <c r="O237" s="170"/>
      <c r="P237" s="53"/>
      <c r="Q237" s="53"/>
      <c r="R237" s="53"/>
      <c r="S237" s="171"/>
      <c r="T237" s="170"/>
      <c r="U237" s="53"/>
      <c r="V237" s="53"/>
      <c r="W237" s="53"/>
      <c r="X237" s="171"/>
      <c r="Y237" s="170"/>
      <c r="Z237" s="170"/>
      <c r="AA237" s="170"/>
      <c r="AB237" s="170"/>
      <c r="AC237" s="170"/>
      <c r="AD237" s="53"/>
      <c r="AE237" s="53"/>
    </row>
    <row r="238">
      <c r="A238" s="53"/>
      <c r="B238" s="53"/>
      <c r="C238" s="168"/>
      <c r="D238" s="169"/>
      <c r="E238" s="170"/>
      <c r="F238" s="53"/>
      <c r="G238" s="53"/>
      <c r="H238" s="53"/>
      <c r="I238" s="171"/>
      <c r="J238" s="170"/>
      <c r="K238" s="53"/>
      <c r="L238" s="53"/>
      <c r="M238" s="53"/>
      <c r="N238" s="171"/>
      <c r="O238" s="170"/>
      <c r="P238" s="53"/>
      <c r="Q238" s="53"/>
      <c r="R238" s="53"/>
      <c r="S238" s="171"/>
      <c r="T238" s="170"/>
      <c r="U238" s="53"/>
      <c r="V238" s="53"/>
      <c r="W238" s="53"/>
      <c r="X238" s="171"/>
      <c r="Y238" s="170"/>
      <c r="Z238" s="170"/>
      <c r="AA238" s="170"/>
      <c r="AB238" s="170"/>
      <c r="AC238" s="170"/>
      <c r="AD238" s="53"/>
      <c r="AE238" s="53"/>
    </row>
    <row r="239">
      <c r="A239" s="53"/>
      <c r="B239" s="53"/>
      <c r="C239" s="168"/>
      <c r="D239" s="169"/>
      <c r="E239" s="170"/>
      <c r="F239" s="53"/>
      <c r="G239" s="53"/>
      <c r="H239" s="53"/>
      <c r="I239" s="171"/>
      <c r="J239" s="170"/>
      <c r="K239" s="53"/>
      <c r="L239" s="53"/>
      <c r="M239" s="53"/>
      <c r="N239" s="171"/>
      <c r="O239" s="170"/>
      <c r="P239" s="53"/>
      <c r="Q239" s="53"/>
      <c r="R239" s="53"/>
      <c r="S239" s="171"/>
      <c r="T239" s="170"/>
      <c r="U239" s="53"/>
      <c r="V239" s="53"/>
      <c r="W239" s="53"/>
      <c r="X239" s="171"/>
      <c r="Y239" s="170"/>
      <c r="Z239" s="170"/>
      <c r="AA239" s="170"/>
      <c r="AB239" s="170"/>
      <c r="AC239" s="170"/>
      <c r="AD239" s="53"/>
      <c r="AE239" s="53"/>
    </row>
    <row r="240">
      <c r="A240" s="53"/>
      <c r="B240" s="53"/>
      <c r="C240" s="168"/>
      <c r="D240" s="169"/>
      <c r="E240" s="170"/>
      <c r="F240" s="53"/>
      <c r="G240" s="53"/>
      <c r="H240" s="53"/>
      <c r="I240" s="171"/>
      <c r="J240" s="170"/>
      <c r="K240" s="53"/>
      <c r="L240" s="53"/>
      <c r="M240" s="53"/>
      <c r="N240" s="171"/>
      <c r="O240" s="170"/>
      <c r="P240" s="53"/>
      <c r="Q240" s="53"/>
      <c r="R240" s="53"/>
      <c r="S240" s="171"/>
      <c r="T240" s="170"/>
      <c r="U240" s="53"/>
      <c r="V240" s="53"/>
      <c r="W240" s="53"/>
      <c r="X240" s="171"/>
      <c r="Y240" s="170"/>
      <c r="Z240" s="170"/>
      <c r="AA240" s="170"/>
      <c r="AB240" s="170"/>
      <c r="AC240" s="170"/>
      <c r="AD240" s="53"/>
      <c r="AE240" s="53"/>
    </row>
    <row r="241">
      <c r="A241" s="53"/>
      <c r="B241" s="53"/>
      <c r="C241" s="168"/>
      <c r="D241" s="169"/>
      <c r="E241" s="170"/>
      <c r="F241" s="53"/>
      <c r="G241" s="53"/>
      <c r="H241" s="53"/>
      <c r="I241" s="171"/>
      <c r="J241" s="170"/>
      <c r="K241" s="53"/>
      <c r="L241" s="53"/>
      <c r="M241" s="53"/>
      <c r="N241" s="171"/>
      <c r="O241" s="170"/>
      <c r="P241" s="53"/>
      <c r="Q241" s="53"/>
      <c r="R241" s="53"/>
      <c r="S241" s="171"/>
      <c r="T241" s="170"/>
      <c r="U241" s="53"/>
      <c r="V241" s="53"/>
      <c r="W241" s="53"/>
      <c r="X241" s="171"/>
      <c r="Y241" s="170"/>
      <c r="Z241" s="170"/>
      <c r="AA241" s="170"/>
      <c r="AB241" s="170"/>
      <c r="AC241" s="170"/>
      <c r="AD241" s="53"/>
      <c r="AE241" s="53"/>
    </row>
    <row r="242">
      <c r="A242" s="53"/>
      <c r="B242" s="53"/>
      <c r="C242" s="168"/>
      <c r="D242" s="169"/>
      <c r="E242" s="170"/>
      <c r="F242" s="53"/>
      <c r="G242" s="53"/>
      <c r="H242" s="53"/>
      <c r="I242" s="171"/>
      <c r="J242" s="170"/>
      <c r="K242" s="53"/>
      <c r="L242" s="53"/>
      <c r="M242" s="53"/>
      <c r="N242" s="171"/>
      <c r="O242" s="170"/>
      <c r="P242" s="53"/>
      <c r="Q242" s="53"/>
      <c r="R242" s="53"/>
      <c r="S242" s="171"/>
      <c r="T242" s="170"/>
      <c r="U242" s="53"/>
      <c r="V242" s="53"/>
      <c r="W242" s="53"/>
      <c r="X242" s="171"/>
      <c r="Y242" s="170"/>
      <c r="Z242" s="170"/>
      <c r="AA242" s="170"/>
      <c r="AB242" s="170"/>
      <c r="AC242" s="170"/>
      <c r="AD242" s="53"/>
      <c r="AE242" s="53"/>
    </row>
    <row r="243">
      <c r="A243" s="53"/>
      <c r="B243" s="53"/>
      <c r="C243" s="168"/>
      <c r="D243" s="169"/>
      <c r="E243" s="170"/>
      <c r="F243" s="53"/>
      <c r="G243" s="53"/>
      <c r="H243" s="53"/>
      <c r="I243" s="171"/>
      <c r="J243" s="170"/>
      <c r="K243" s="53"/>
      <c r="L243" s="53"/>
      <c r="M243" s="53"/>
      <c r="N243" s="171"/>
      <c r="O243" s="170"/>
      <c r="P243" s="53"/>
      <c r="Q243" s="53"/>
      <c r="R243" s="53"/>
      <c r="S243" s="171"/>
      <c r="T243" s="170"/>
      <c r="U243" s="53"/>
      <c r="V243" s="53"/>
      <c r="W243" s="53"/>
      <c r="X243" s="171"/>
      <c r="Y243" s="170"/>
      <c r="Z243" s="170"/>
      <c r="AA243" s="170"/>
      <c r="AB243" s="170"/>
      <c r="AC243" s="170"/>
      <c r="AD243" s="53"/>
      <c r="AE243" s="53"/>
    </row>
    <row r="244">
      <c r="A244" s="53"/>
      <c r="B244" s="53"/>
      <c r="C244" s="168"/>
      <c r="D244" s="169"/>
      <c r="E244" s="170"/>
      <c r="F244" s="53"/>
      <c r="G244" s="53"/>
      <c r="H244" s="53"/>
      <c r="I244" s="171"/>
      <c r="J244" s="170"/>
      <c r="K244" s="53"/>
      <c r="L244" s="53"/>
      <c r="M244" s="53"/>
      <c r="N244" s="171"/>
      <c r="O244" s="170"/>
      <c r="P244" s="53"/>
      <c r="Q244" s="53"/>
      <c r="R244" s="53"/>
      <c r="S244" s="171"/>
      <c r="T244" s="170"/>
      <c r="U244" s="53"/>
      <c r="V244" s="53"/>
      <c r="W244" s="53"/>
      <c r="X244" s="171"/>
      <c r="Y244" s="170"/>
      <c r="Z244" s="170"/>
      <c r="AA244" s="170"/>
      <c r="AB244" s="170"/>
      <c r="AC244" s="170"/>
      <c r="AD244" s="53"/>
      <c r="AE244" s="53"/>
    </row>
    <row r="245">
      <c r="A245" s="53"/>
      <c r="B245" s="53"/>
      <c r="C245" s="168"/>
      <c r="D245" s="169"/>
      <c r="E245" s="170"/>
      <c r="F245" s="53"/>
      <c r="G245" s="53"/>
      <c r="H245" s="53"/>
      <c r="I245" s="171"/>
      <c r="J245" s="170"/>
      <c r="K245" s="53"/>
      <c r="L245" s="53"/>
      <c r="M245" s="53"/>
      <c r="N245" s="171"/>
      <c r="O245" s="170"/>
      <c r="P245" s="53"/>
      <c r="Q245" s="53"/>
      <c r="R245" s="53"/>
      <c r="S245" s="171"/>
      <c r="T245" s="170"/>
      <c r="U245" s="53"/>
      <c r="V245" s="53"/>
      <c r="W245" s="53"/>
      <c r="X245" s="171"/>
      <c r="Y245" s="170"/>
      <c r="Z245" s="170"/>
      <c r="AA245" s="170"/>
      <c r="AB245" s="170"/>
      <c r="AC245" s="170"/>
      <c r="AD245" s="53"/>
      <c r="AE245" s="53"/>
    </row>
    <row r="246">
      <c r="A246" s="53"/>
      <c r="B246" s="53"/>
      <c r="C246" s="168"/>
      <c r="D246" s="169"/>
      <c r="E246" s="170"/>
      <c r="F246" s="53"/>
      <c r="G246" s="53"/>
      <c r="H246" s="53"/>
      <c r="I246" s="171"/>
      <c r="J246" s="170"/>
      <c r="K246" s="53"/>
      <c r="L246" s="53"/>
      <c r="M246" s="53"/>
      <c r="N246" s="171"/>
      <c r="O246" s="170"/>
      <c r="P246" s="53"/>
      <c r="Q246" s="53"/>
      <c r="R246" s="53"/>
      <c r="S246" s="171"/>
      <c r="T246" s="170"/>
      <c r="U246" s="53"/>
      <c r="V246" s="53"/>
      <c r="W246" s="53"/>
      <c r="X246" s="171"/>
      <c r="Y246" s="170"/>
      <c r="Z246" s="170"/>
      <c r="AA246" s="170"/>
      <c r="AB246" s="170"/>
      <c r="AC246" s="170"/>
      <c r="AD246" s="53"/>
      <c r="AE246" s="53"/>
    </row>
    <row r="247">
      <c r="A247" s="53"/>
      <c r="B247" s="53"/>
      <c r="C247" s="168"/>
      <c r="D247" s="169"/>
      <c r="E247" s="170"/>
      <c r="F247" s="53"/>
      <c r="G247" s="53"/>
      <c r="H247" s="53"/>
      <c r="I247" s="171"/>
      <c r="J247" s="170"/>
      <c r="K247" s="53"/>
      <c r="L247" s="53"/>
      <c r="M247" s="53"/>
      <c r="N247" s="171"/>
      <c r="O247" s="170"/>
      <c r="P247" s="53"/>
      <c r="Q247" s="53"/>
      <c r="R247" s="53"/>
      <c r="S247" s="171"/>
      <c r="T247" s="170"/>
      <c r="U247" s="53"/>
      <c r="V247" s="53"/>
      <c r="W247" s="53"/>
      <c r="X247" s="171"/>
      <c r="Y247" s="170"/>
      <c r="Z247" s="170"/>
      <c r="AA247" s="170"/>
      <c r="AB247" s="170"/>
      <c r="AC247" s="170"/>
      <c r="AD247" s="53"/>
      <c r="AE247" s="53"/>
    </row>
    <row r="248">
      <c r="A248" s="53"/>
      <c r="B248" s="53"/>
      <c r="C248" s="168"/>
      <c r="D248" s="169"/>
      <c r="E248" s="170"/>
      <c r="F248" s="53"/>
      <c r="G248" s="53"/>
      <c r="H248" s="53"/>
      <c r="I248" s="171"/>
      <c r="J248" s="170"/>
      <c r="K248" s="53"/>
      <c r="L248" s="53"/>
      <c r="M248" s="53"/>
      <c r="N248" s="171"/>
      <c r="O248" s="170"/>
      <c r="P248" s="53"/>
      <c r="Q248" s="53"/>
      <c r="R248" s="53"/>
      <c r="S248" s="171"/>
      <c r="T248" s="170"/>
      <c r="U248" s="53"/>
      <c r="V248" s="53"/>
      <c r="W248" s="53"/>
      <c r="X248" s="171"/>
      <c r="Y248" s="170"/>
      <c r="Z248" s="170"/>
      <c r="AA248" s="170"/>
      <c r="AB248" s="170"/>
      <c r="AC248" s="170"/>
      <c r="AD248" s="53"/>
      <c r="AE248" s="53"/>
    </row>
    <row r="249">
      <c r="A249" s="53"/>
      <c r="B249" s="53"/>
      <c r="C249" s="168"/>
      <c r="D249" s="169"/>
      <c r="E249" s="170"/>
      <c r="F249" s="53"/>
      <c r="G249" s="53"/>
      <c r="H249" s="53"/>
      <c r="I249" s="171"/>
      <c r="J249" s="170"/>
      <c r="K249" s="53"/>
      <c r="L249" s="53"/>
      <c r="M249" s="53"/>
      <c r="N249" s="171"/>
      <c r="O249" s="170"/>
      <c r="P249" s="53"/>
      <c r="Q249" s="53"/>
      <c r="R249" s="53"/>
      <c r="S249" s="171"/>
      <c r="T249" s="170"/>
      <c r="U249" s="53"/>
      <c r="V249" s="53"/>
      <c r="W249" s="53"/>
      <c r="X249" s="171"/>
      <c r="Y249" s="170"/>
      <c r="Z249" s="170"/>
      <c r="AA249" s="170"/>
      <c r="AB249" s="170"/>
      <c r="AC249" s="170"/>
      <c r="AD249" s="53"/>
      <c r="AE249" s="53"/>
    </row>
    <row r="250">
      <c r="A250" s="53"/>
      <c r="B250" s="53"/>
      <c r="C250" s="168"/>
      <c r="D250" s="169"/>
      <c r="E250" s="170"/>
      <c r="F250" s="53"/>
      <c r="G250" s="53"/>
      <c r="H250" s="53"/>
      <c r="I250" s="171"/>
      <c r="J250" s="170"/>
      <c r="K250" s="53"/>
      <c r="L250" s="53"/>
      <c r="M250" s="53"/>
      <c r="N250" s="171"/>
      <c r="O250" s="170"/>
      <c r="P250" s="53"/>
      <c r="Q250" s="53"/>
      <c r="R250" s="53"/>
      <c r="S250" s="171"/>
      <c r="T250" s="170"/>
      <c r="U250" s="53"/>
      <c r="V250" s="53"/>
      <c r="W250" s="53"/>
      <c r="X250" s="171"/>
      <c r="Y250" s="170"/>
      <c r="Z250" s="170"/>
      <c r="AA250" s="170"/>
      <c r="AB250" s="170"/>
      <c r="AC250" s="170"/>
      <c r="AD250" s="53"/>
      <c r="AE250" s="53"/>
    </row>
    <row r="251">
      <c r="A251" s="53"/>
      <c r="B251" s="53"/>
      <c r="C251" s="168"/>
      <c r="D251" s="169"/>
      <c r="E251" s="170"/>
      <c r="F251" s="53"/>
      <c r="G251" s="53"/>
      <c r="H251" s="53"/>
      <c r="I251" s="171"/>
      <c r="J251" s="170"/>
      <c r="K251" s="53"/>
      <c r="L251" s="53"/>
      <c r="M251" s="53"/>
      <c r="N251" s="171"/>
      <c r="O251" s="170"/>
      <c r="P251" s="53"/>
      <c r="Q251" s="53"/>
      <c r="R251" s="53"/>
      <c r="S251" s="171"/>
      <c r="T251" s="170"/>
      <c r="U251" s="53"/>
      <c r="V251" s="53"/>
      <c r="W251" s="53"/>
      <c r="X251" s="171"/>
      <c r="Y251" s="170"/>
      <c r="Z251" s="170"/>
      <c r="AA251" s="170"/>
      <c r="AB251" s="170"/>
      <c r="AC251" s="170"/>
      <c r="AD251" s="53"/>
      <c r="AE251" s="53"/>
    </row>
    <row r="252">
      <c r="A252" s="53"/>
      <c r="B252" s="53"/>
      <c r="C252" s="168"/>
      <c r="D252" s="169"/>
      <c r="E252" s="170"/>
      <c r="F252" s="53"/>
      <c r="G252" s="53"/>
      <c r="H252" s="53"/>
      <c r="I252" s="171"/>
      <c r="J252" s="170"/>
      <c r="K252" s="53"/>
      <c r="L252" s="53"/>
      <c r="M252" s="53"/>
      <c r="N252" s="171"/>
      <c r="O252" s="170"/>
      <c r="P252" s="53"/>
      <c r="Q252" s="53"/>
      <c r="R252" s="53"/>
      <c r="S252" s="171"/>
      <c r="T252" s="170"/>
      <c r="U252" s="53"/>
      <c r="V252" s="53"/>
      <c r="W252" s="53"/>
      <c r="X252" s="171"/>
      <c r="Y252" s="170"/>
      <c r="Z252" s="170"/>
      <c r="AA252" s="170"/>
      <c r="AB252" s="170"/>
      <c r="AC252" s="170"/>
      <c r="AD252" s="53"/>
      <c r="AE252" s="53"/>
    </row>
    <row r="253">
      <c r="A253" s="53"/>
      <c r="B253" s="53"/>
      <c r="C253" s="168"/>
      <c r="D253" s="169"/>
      <c r="E253" s="170"/>
      <c r="F253" s="53"/>
      <c r="G253" s="53"/>
      <c r="H253" s="53"/>
      <c r="I253" s="171"/>
      <c r="J253" s="170"/>
      <c r="K253" s="53"/>
      <c r="L253" s="53"/>
      <c r="M253" s="53"/>
      <c r="N253" s="171"/>
      <c r="O253" s="170"/>
      <c r="P253" s="53"/>
      <c r="Q253" s="53"/>
      <c r="R253" s="53"/>
      <c r="S253" s="171"/>
      <c r="T253" s="170"/>
      <c r="U253" s="53"/>
      <c r="V253" s="53"/>
      <c r="W253" s="53"/>
      <c r="X253" s="171"/>
      <c r="Y253" s="170"/>
      <c r="Z253" s="170"/>
      <c r="AA253" s="170"/>
      <c r="AB253" s="170"/>
      <c r="AC253" s="170"/>
      <c r="AD253" s="53"/>
      <c r="AE253" s="53"/>
    </row>
    <row r="254">
      <c r="A254" s="53"/>
      <c r="B254" s="53"/>
      <c r="C254" s="168"/>
      <c r="D254" s="169"/>
      <c r="E254" s="170"/>
      <c r="F254" s="53"/>
      <c r="G254" s="53"/>
      <c r="H254" s="53"/>
      <c r="I254" s="171"/>
      <c r="J254" s="170"/>
      <c r="K254" s="53"/>
      <c r="L254" s="53"/>
      <c r="M254" s="53"/>
      <c r="N254" s="171"/>
      <c r="O254" s="170"/>
      <c r="P254" s="53"/>
      <c r="Q254" s="53"/>
      <c r="R254" s="53"/>
      <c r="S254" s="171"/>
      <c r="T254" s="170"/>
      <c r="U254" s="53"/>
      <c r="V254" s="53"/>
      <c r="W254" s="53"/>
      <c r="X254" s="171"/>
      <c r="Y254" s="170"/>
      <c r="Z254" s="170"/>
      <c r="AA254" s="170"/>
      <c r="AB254" s="170"/>
      <c r="AC254" s="170"/>
      <c r="AD254" s="53"/>
      <c r="AE254" s="53"/>
    </row>
    <row r="255">
      <c r="A255" s="53"/>
      <c r="B255" s="53"/>
      <c r="C255" s="168"/>
      <c r="D255" s="169"/>
      <c r="E255" s="170"/>
      <c r="F255" s="53"/>
      <c r="G255" s="53"/>
      <c r="H255" s="53"/>
      <c r="I255" s="171"/>
      <c r="J255" s="170"/>
      <c r="K255" s="53"/>
      <c r="L255" s="53"/>
      <c r="M255" s="53"/>
      <c r="N255" s="171"/>
      <c r="O255" s="170"/>
      <c r="P255" s="53"/>
      <c r="Q255" s="53"/>
      <c r="R255" s="53"/>
      <c r="S255" s="171"/>
      <c r="T255" s="170"/>
      <c r="U255" s="53"/>
      <c r="V255" s="53"/>
      <c r="W255" s="53"/>
      <c r="X255" s="171"/>
      <c r="Y255" s="170"/>
      <c r="Z255" s="170"/>
      <c r="AA255" s="170"/>
      <c r="AB255" s="170"/>
      <c r="AC255" s="170"/>
      <c r="AD255" s="53"/>
      <c r="AE255" s="53"/>
    </row>
    <row r="256">
      <c r="A256" s="53"/>
      <c r="B256" s="53"/>
      <c r="C256" s="168"/>
      <c r="D256" s="169"/>
      <c r="E256" s="170"/>
      <c r="F256" s="53"/>
      <c r="G256" s="53"/>
      <c r="H256" s="53"/>
      <c r="I256" s="171"/>
      <c r="J256" s="170"/>
      <c r="K256" s="53"/>
      <c r="L256" s="53"/>
      <c r="M256" s="53"/>
      <c r="N256" s="171"/>
      <c r="O256" s="170"/>
      <c r="P256" s="53"/>
      <c r="Q256" s="53"/>
      <c r="R256" s="53"/>
      <c r="S256" s="171"/>
      <c r="T256" s="170"/>
      <c r="U256" s="53"/>
      <c r="V256" s="53"/>
      <c r="W256" s="53"/>
      <c r="X256" s="171"/>
      <c r="Y256" s="170"/>
      <c r="Z256" s="170"/>
      <c r="AA256" s="170"/>
      <c r="AB256" s="170"/>
      <c r="AC256" s="170"/>
      <c r="AD256" s="53"/>
      <c r="AE256" s="53"/>
    </row>
    <row r="257">
      <c r="A257" s="53"/>
      <c r="B257" s="53"/>
      <c r="C257" s="168"/>
      <c r="D257" s="169"/>
      <c r="E257" s="170"/>
      <c r="F257" s="53"/>
      <c r="G257" s="53"/>
      <c r="H257" s="53"/>
      <c r="I257" s="171"/>
      <c r="J257" s="170"/>
      <c r="K257" s="53"/>
      <c r="L257" s="53"/>
      <c r="M257" s="53"/>
      <c r="N257" s="171"/>
      <c r="O257" s="170"/>
      <c r="P257" s="53"/>
      <c r="Q257" s="53"/>
      <c r="R257" s="53"/>
      <c r="S257" s="171"/>
      <c r="T257" s="170"/>
      <c r="U257" s="53"/>
      <c r="V257" s="53"/>
      <c r="W257" s="53"/>
      <c r="X257" s="171"/>
      <c r="Y257" s="170"/>
      <c r="Z257" s="170"/>
      <c r="AA257" s="170"/>
      <c r="AB257" s="170"/>
      <c r="AC257" s="170"/>
      <c r="AD257" s="53"/>
      <c r="AE257" s="53"/>
    </row>
    <row r="258">
      <c r="A258" s="53"/>
      <c r="B258" s="53"/>
      <c r="C258" s="168"/>
      <c r="D258" s="169"/>
      <c r="E258" s="170"/>
      <c r="F258" s="53"/>
      <c r="G258" s="53"/>
      <c r="H258" s="53"/>
      <c r="I258" s="171"/>
      <c r="J258" s="170"/>
      <c r="K258" s="53"/>
      <c r="L258" s="53"/>
      <c r="M258" s="53"/>
      <c r="N258" s="171"/>
      <c r="O258" s="170"/>
      <c r="P258" s="53"/>
      <c r="Q258" s="53"/>
      <c r="R258" s="53"/>
      <c r="S258" s="171"/>
      <c r="T258" s="170"/>
      <c r="U258" s="53"/>
      <c r="V258" s="53"/>
      <c r="W258" s="53"/>
      <c r="X258" s="171"/>
      <c r="Y258" s="170"/>
      <c r="Z258" s="170"/>
      <c r="AA258" s="170"/>
      <c r="AB258" s="170"/>
      <c r="AC258" s="170"/>
      <c r="AD258" s="53"/>
      <c r="AE258" s="53"/>
    </row>
    <row r="259">
      <c r="A259" s="53"/>
      <c r="B259" s="53"/>
      <c r="C259" s="168"/>
      <c r="D259" s="169"/>
      <c r="E259" s="170"/>
      <c r="F259" s="53"/>
      <c r="G259" s="53"/>
      <c r="H259" s="53"/>
      <c r="I259" s="171"/>
      <c r="J259" s="170"/>
      <c r="K259" s="53"/>
      <c r="L259" s="53"/>
      <c r="M259" s="53"/>
      <c r="N259" s="171"/>
      <c r="O259" s="170"/>
      <c r="P259" s="53"/>
      <c r="Q259" s="53"/>
      <c r="R259" s="53"/>
      <c r="S259" s="171"/>
      <c r="T259" s="170"/>
      <c r="U259" s="53"/>
      <c r="V259" s="53"/>
      <c r="W259" s="53"/>
      <c r="X259" s="171"/>
      <c r="Y259" s="170"/>
      <c r="Z259" s="170"/>
      <c r="AA259" s="170"/>
      <c r="AB259" s="170"/>
      <c r="AC259" s="170"/>
      <c r="AD259" s="53"/>
      <c r="AE259" s="53"/>
    </row>
    <row r="260">
      <c r="A260" s="53"/>
      <c r="B260" s="53"/>
      <c r="C260" s="168"/>
      <c r="D260" s="169"/>
      <c r="E260" s="170"/>
      <c r="F260" s="53"/>
      <c r="G260" s="53"/>
      <c r="H260" s="53"/>
      <c r="I260" s="171"/>
      <c r="J260" s="170"/>
      <c r="K260" s="53"/>
      <c r="L260" s="53"/>
      <c r="M260" s="53"/>
      <c r="N260" s="171"/>
      <c r="O260" s="170"/>
      <c r="P260" s="53"/>
      <c r="Q260" s="53"/>
      <c r="R260" s="53"/>
      <c r="S260" s="171"/>
      <c r="T260" s="170"/>
      <c r="U260" s="53"/>
      <c r="V260" s="53"/>
      <c r="W260" s="53"/>
      <c r="X260" s="171"/>
      <c r="Y260" s="170"/>
      <c r="Z260" s="170"/>
      <c r="AA260" s="170"/>
      <c r="AB260" s="170"/>
      <c r="AC260" s="170"/>
      <c r="AD260" s="53"/>
      <c r="AE260" s="53"/>
    </row>
    <row r="261">
      <c r="A261" s="53"/>
      <c r="B261" s="53"/>
      <c r="C261" s="168"/>
      <c r="D261" s="169"/>
      <c r="E261" s="170"/>
      <c r="F261" s="53"/>
      <c r="G261" s="53"/>
      <c r="H261" s="53"/>
      <c r="I261" s="171"/>
      <c r="J261" s="170"/>
      <c r="K261" s="53"/>
      <c r="L261" s="53"/>
      <c r="M261" s="53"/>
      <c r="N261" s="171"/>
      <c r="O261" s="170"/>
      <c r="P261" s="53"/>
      <c r="Q261" s="53"/>
      <c r="R261" s="53"/>
      <c r="S261" s="171"/>
      <c r="T261" s="170"/>
      <c r="U261" s="53"/>
      <c r="V261" s="53"/>
      <c r="W261" s="53"/>
      <c r="X261" s="171"/>
      <c r="Y261" s="170"/>
      <c r="Z261" s="170"/>
      <c r="AA261" s="170"/>
      <c r="AB261" s="170"/>
      <c r="AC261" s="170"/>
      <c r="AD261" s="53"/>
      <c r="AE261" s="53"/>
    </row>
    <row r="262">
      <c r="A262" s="53"/>
      <c r="B262" s="53"/>
      <c r="C262" s="168"/>
      <c r="D262" s="169"/>
      <c r="E262" s="170"/>
      <c r="F262" s="53"/>
      <c r="G262" s="53"/>
      <c r="H262" s="53"/>
      <c r="I262" s="171"/>
      <c r="J262" s="170"/>
      <c r="K262" s="53"/>
      <c r="L262" s="53"/>
      <c r="M262" s="53"/>
      <c r="N262" s="171"/>
      <c r="O262" s="170"/>
      <c r="P262" s="53"/>
      <c r="Q262" s="53"/>
      <c r="R262" s="53"/>
      <c r="S262" s="171"/>
      <c r="T262" s="170"/>
      <c r="U262" s="53"/>
      <c r="V262" s="53"/>
      <c r="W262" s="53"/>
      <c r="X262" s="171"/>
      <c r="Y262" s="170"/>
      <c r="Z262" s="170"/>
      <c r="AA262" s="170"/>
      <c r="AB262" s="170"/>
      <c r="AC262" s="170"/>
      <c r="AD262" s="53"/>
      <c r="AE262" s="53"/>
    </row>
    <row r="263">
      <c r="A263" s="53"/>
      <c r="B263" s="53"/>
      <c r="C263" s="168"/>
      <c r="D263" s="169"/>
      <c r="E263" s="170"/>
      <c r="F263" s="53"/>
      <c r="G263" s="53"/>
      <c r="H263" s="53"/>
      <c r="I263" s="171"/>
      <c r="J263" s="170"/>
      <c r="K263" s="53"/>
      <c r="L263" s="53"/>
      <c r="M263" s="53"/>
      <c r="N263" s="171"/>
      <c r="O263" s="170"/>
      <c r="P263" s="53"/>
      <c r="Q263" s="53"/>
      <c r="R263" s="53"/>
      <c r="S263" s="171"/>
      <c r="T263" s="170"/>
      <c r="U263" s="53"/>
      <c r="V263" s="53"/>
      <c r="W263" s="53"/>
      <c r="X263" s="171"/>
      <c r="Y263" s="170"/>
      <c r="Z263" s="170"/>
      <c r="AA263" s="170"/>
      <c r="AB263" s="170"/>
      <c r="AC263" s="170"/>
      <c r="AD263" s="53"/>
      <c r="AE263" s="53"/>
    </row>
    <row r="264">
      <c r="A264" s="53"/>
      <c r="B264" s="53"/>
      <c r="C264" s="168"/>
      <c r="D264" s="169"/>
      <c r="E264" s="170"/>
      <c r="F264" s="53"/>
      <c r="G264" s="53"/>
      <c r="H264" s="53"/>
      <c r="I264" s="171"/>
      <c r="J264" s="170"/>
      <c r="K264" s="53"/>
      <c r="L264" s="53"/>
      <c r="M264" s="53"/>
      <c r="N264" s="171"/>
      <c r="O264" s="170"/>
      <c r="P264" s="53"/>
      <c r="Q264" s="53"/>
      <c r="R264" s="53"/>
      <c r="S264" s="171"/>
      <c r="T264" s="170"/>
      <c r="U264" s="53"/>
      <c r="V264" s="53"/>
      <c r="W264" s="53"/>
      <c r="X264" s="171"/>
      <c r="Y264" s="170"/>
      <c r="Z264" s="170"/>
      <c r="AA264" s="170"/>
      <c r="AB264" s="170"/>
      <c r="AC264" s="170"/>
      <c r="AD264" s="53"/>
      <c r="AE264" s="53"/>
    </row>
    <row r="265">
      <c r="A265" s="53"/>
      <c r="B265" s="53"/>
      <c r="C265" s="168"/>
      <c r="D265" s="169"/>
      <c r="E265" s="170"/>
      <c r="F265" s="53"/>
      <c r="G265" s="53"/>
      <c r="H265" s="53"/>
      <c r="I265" s="171"/>
      <c r="J265" s="170"/>
      <c r="K265" s="53"/>
      <c r="L265" s="53"/>
      <c r="M265" s="53"/>
      <c r="N265" s="171"/>
      <c r="O265" s="170"/>
      <c r="P265" s="53"/>
      <c r="Q265" s="53"/>
      <c r="R265" s="53"/>
      <c r="S265" s="171"/>
      <c r="T265" s="170"/>
      <c r="U265" s="53"/>
      <c r="V265" s="53"/>
      <c r="W265" s="53"/>
      <c r="X265" s="171"/>
      <c r="Y265" s="170"/>
      <c r="Z265" s="170"/>
      <c r="AA265" s="170"/>
      <c r="AB265" s="170"/>
      <c r="AC265" s="170"/>
      <c r="AD265" s="53"/>
      <c r="AE265" s="53"/>
    </row>
    <row r="266">
      <c r="A266" s="53"/>
      <c r="B266" s="53"/>
      <c r="C266" s="168"/>
      <c r="D266" s="169"/>
      <c r="E266" s="170"/>
      <c r="F266" s="53"/>
      <c r="G266" s="53"/>
      <c r="H266" s="53"/>
      <c r="I266" s="171"/>
      <c r="J266" s="170"/>
      <c r="K266" s="53"/>
      <c r="L266" s="53"/>
      <c r="M266" s="53"/>
      <c r="N266" s="171"/>
      <c r="O266" s="170"/>
      <c r="P266" s="53"/>
      <c r="Q266" s="53"/>
      <c r="R266" s="53"/>
      <c r="S266" s="171"/>
      <c r="T266" s="170"/>
      <c r="U266" s="53"/>
      <c r="V266" s="53"/>
      <c r="W266" s="53"/>
      <c r="X266" s="171"/>
      <c r="Y266" s="170"/>
      <c r="Z266" s="170"/>
      <c r="AA266" s="170"/>
      <c r="AB266" s="170"/>
      <c r="AC266" s="170"/>
      <c r="AD266" s="53"/>
      <c r="AE266" s="53"/>
    </row>
    <row r="267">
      <c r="A267" s="53"/>
      <c r="B267" s="53"/>
      <c r="C267" s="168"/>
      <c r="D267" s="169"/>
      <c r="E267" s="170"/>
      <c r="F267" s="53"/>
      <c r="G267" s="53"/>
      <c r="H267" s="53"/>
      <c r="I267" s="171"/>
      <c r="J267" s="170"/>
      <c r="K267" s="53"/>
      <c r="L267" s="53"/>
      <c r="M267" s="53"/>
      <c r="N267" s="171"/>
      <c r="O267" s="170"/>
      <c r="P267" s="53"/>
      <c r="Q267" s="53"/>
      <c r="R267" s="53"/>
      <c r="S267" s="171"/>
      <c r="T267" s="170"/>
      <c r="U267" s="53"/>
      <c r="V267" s="53"/>
      <c r="W267" s="53"/>
      <c r="X267" s="171"/>
      <c r="Y267" s="170"/>
      <c r="Z267" s="170"/>
      <c r="AA267" s="170"/>
      <c r="AB267" s="170"/>
      <c r="AC267" s="170"/>
      <c r="AD267" s="53"/>
      <c r="AE267" s="53"/>
    </row>
    <row r="268">
      <c r="A268" s="53"/>
      <c r="B268" s="53"/>
      <c r="C268" s="168"/>
      <c r="D268" s="169"/>
      <c r="E268" s="170"/>
      <c r="F268" s="53"/>
      <c r="G268" s="53"/>
      <c r="H268" s="53"/>
      <c r="I268" s="171"/>
      <c r="J268" s="170"/>
      <c r="K268" s="53"/>
      <c r="L268" s="53"/>
      <c r="M268" s="53"/>
      <c r="N268" s="171"/>
      <c r="O268" s="170"/>
      <c r="P268" s="53"/>
      <c r="Q268" s="53"/>
      <c r="R268" s="53"/>
      <c r="S268" s="171"/>
      <c r="T268" s="170"/>
      <c r="U268" s="53"/>
      <c r="V268" s="53"/>
      <c r="W268" s="53"/>
      <c r="X268" s="171"/>
      <c r="Y268" s="170"/>
      <c r="Z268" s="170"/>
      <c r="AA268" s="170"/>
      <c r="AB268" s="170"/>
      <c r="AC268" s="170"/>
      <c r="AD268" s="53"/>
      <c r="AE268" s="53"/>
    </row>
    <row r="269">
      <c r="A269" s="53"/>
      <c r="B269" s="53"/>
      <c r="C269" s="168"/>
      <c r="D269" s="169"/>
      <c r="E269" s="170"/>
      <c r="F269" s="53"/>
      <c r="G269" s="53"/>
      <c r="H269" s="53"/>
      <c r="I269" s="171"/>
      <c r="J269" s="170"/>
      <c r="K269" s="53"/>
      <c r="L269" s="53"/>
      <c r="M269" s="53"/>
      <c r="N269" s="171"/>
      <c r="O269" s="170"/>
      <c r="P269" s="53"/>
      <c r="Q269" s="53"/>
      <c r="R269" s="53"/>
      <c r="S269" s="171"/>
      <c r="T269" s="170"/>
      <c r="U269" s="53"/>
      <c r="V269" s="53"/>
      <c r="W269" s="53"/>
      <c r="X269" s="171"/>
      <c r="Y269" s="170"/>
      <c r="Z269" s="170"/>
      <c r="AA269" s="170"/>
      <c r="AB269" s="170"/>
      <c r="AC269" s="170"/>
      <c r="AD269" s="53"/>
      <c r="AE269" s="53"/>
    </row>
    <row r="270">
      <c r="A270" s="53"/>
      <c r="B270" s="53"/>
      <c r="C270" s="168"/>
      <c r="D270" s="169"/>
      <c r="E270" s="170"/>
      <c r="F270" s="53"/>
      <c r="G270" s="53"/>
      <c r="H270" s="53"/>
      <c r="I270" s="171"/>
      <c r="J270" s="170"/>
      <c r="K270" s="53"/>
      <c r="L270" s="53"/>
      <c r="M270" s="53"/>
      <c r="N270" s="171"/>
      <c r="O270" s="170"/>
      <c r="P270" s="53"/>
      <c r="Q270" s="53"/>
      <c r="R270" s="53"/>
      <c r="S270" s="171"/>
      <c r="T270" s="170"/>
      <c r="U270" s="53"/>
      <c r="V270" s="53"/>
      <c r="W270" s="53"/>
      <c r="X270" s="171"/>
      <c r="Y270" s="170"/>
      <c r="Z270" s="170"/>
      <c r="AA270" s="170"/>
      <c r="AB270" s="170"/>
      <c r="AC270" s="170"/>
      <c r="AD270" s="53"/>
      <c r="AE270" s="53"/>
    </row>
    <row r="271">
      <c r="A271" s="53"/>
      <c r="B271" s="53"/>
      <c r="C271" s="168"/>
      <c r="D271" s="169"/>
      <c r="E271" s="170"/>
      <c r="F271" s="53"/>
      <c r="G271" s="53"/>
      <c r="H271" s="53"/>
      <c r="I271" s="171"/>
      <c r="J271" s="170"/>
      <c r="K271" s="53"/>
      <c r="L271" s="53"/>
      <c r="M271" s="53"/>
      <c r="N271" s="171"/>
      <c r="O271" s="170"/>
      <c r="P271" s="53"/>
      <c r="Q271" s="53"/>
      <c r="R271" s="53"/>
      <c r="S271" s="171"/>
      <c r="T271" s="170"/>
      <c r="U271" s="53"/>
      <c r="V271" s="53"/>
      <c r="W271" s="53"/>
      <c r="X271" s="171"/>
      <c r="Y271" s="170"/>
      <c r="Z271" s="170"/>
      <c r="AA271" s="170"/>
      <c r="AB271" s="170"/>
      <c r="AC271" s="170"/>
      <c r="AD271" s="53"/>
      <c r="AE271" s="53"/>
    </row>
    <row r="272">
      <c r="A272" s="53"/>
      <c r="B272" s="53"/>
      <c r="C272" s="168"/>
      <c r="D272" s="169"/>
      <c r="E272" s="170"/>
      <c r="F272" s="53"/>
      <c r="G272" s="53"/>
      <c r="H272" s="53"/>
      <c r="I272" s="171"/>
      <c r="J272" s="170"/>
      <c r="K272" s="53"/>
      <c r="L272" s="53"/>
      <c r="M272" s="53"/>
      <c r="N272" s="171"/>
      <c r="O272" s="170"/>
      <c r="P272" s="53"/>
      <c r="Q272" s="53"/>
      <c r="R272" s="53"/>
      <c r="S272" s="171"/>
      <c r="T272" s="170"/>
      <c r="U272" s="53"/>
      <c r="V272" s="53"/>
      <c r="W272" s="53"/>
      <c r="X272" s="171"/>
      <c r="Y272" s="170"/>
      <c r="Z272" s="170"/>
      <c r="AA272" s="170"/>
      <c r="AB272" s="170"/>
      <c r="AC272" s="170"/>
      <c r="AD272" s="53"/>
      <c r="AE272" s="53"/>
    </row>
    <row r="273">
      <c r="A273" s="53"/>
      <c r="B273" s="53"/>
      <c r="C273" s="168"/>
      <c r="D273" s="169"/>
      <c r="E273" s="170"/>
      <c r="F273" s="53"/>
      <c r="G273" s="53"/>
      <c r="H273" s="53"/>
      <c r="I273" s="171"/>
      <c r="J273" s="170"/>
      <c r="K273" s="53"/>
      <c r="L273" s="53"/>
      <c r="M273" s="53"/>
      <c r="N273" s="171"/>
      <c r="O273" s="170"/>
      <c r="P273" s="53"/>
      <c r="Q273" s="53"/>
      <c r="R273" s="53"/>
      <c r="S273" s="171"/>
      <c r="T273" s="170"/>
      <c r="U273" s="53"/>
      <c r="V273" s="53"/>
      <c r="W273" s="53"/>
      <c r="X273" s="171"/>
      <c r="Y273" s="170"/>
      <c r="Z273" s="170"/>
      <c r="AA273" s="170"/>
      <c r="AB273" s="170"/>
      <c r="AC273" s="170"/>
      <c r="AD273" s="53"/>
      <c r="AE273" s="53"/>
    </row>
    <row r="274">
      <c r="A274" s="53"/>
      <c r="B274" s="53"/>
      <c r="C274" s="168"/>
      <c r="D274" s="169"/>
      <c r="E274" s="170"/>
      <c r="F274" s="53"/>
      <c r="G274" s="53"/>
      <c r="H274" s="53"/>
      <c r="I274" s="171"/>
      <c r="J274" s="170"/>
      <c r="K274" s="53"/>
      <c r="L274" s="53"/>
      <c r="M274" s="53"/>
      <c r="N274" s="171"/>
      <c r="O274" s="170"/>
      <c r="P274" s="53"/>
      <c r="Q274" s="53"/>
      <c r="R274" s="53"/>
      <c r="S274" s="171"/>
      <c r="T274" s="170"/>
      <c r="U274" s="53"/>
      <c r="V274" s="53"/>
      <c r="W274" s="53"/>
      <c r="X274" s="171"/>
      <c r="Y274" s="170"/>
      <c r="Z274" s="170"/>
      <c r="AA274" s="170"/>
      <c r="AB274" s="170"/>
      <c r="AC274" s="170"/>
      <c r="AD274" s="53"/>
      <c r="AE274" s="53"/>
    </row>
    <row r="275">
      <c r="A275" s="53"/>
      <c r="B275" s="53"/>
      <c r="C275" s="168"/>
      <c r="D275" s="169"/>
      <c r="E275" s="170"/>
      <c r="F275" s="53"/>
      <c r="G275" s="53"/>
      <c r="H275" s="53"/>
      <c r="I275" s="171"/>
      <c r="J275" s="170"/>
      <c r="K275" s="53"/>
      <c r="L275" s="53"/>
      <c r="M275" s="53"/>
      <c r="N275" s="171"/>
      <c r="O275" s="170"/>
      <c r="P275" s="53"/>
      <c r="Q275" s="53"/>
      <c r="R275" s="53"/>
      <c r="S275" s="171"/>
      <c r="T275" s="170"/>
      <c r="U275" s="53"/>
      <c r="V275" s="53"/>
      <c r="W275" s="53"/>
      <c r="X275" s="171"/>
      <c r="Y275" s="170"/>
      <c r="Z275" s="170"/>
      <c r="AA275" s="170"/>
      <c r="AB275" s="170"/>
      <c r="AC275" s="170"/>
      <c r="AD275" s="53"/>
      <c r="AE275" s="53"/>
    </row>
    <row r="276">
      <c r="A276" s="53"/>
      <c r="B276" s="53"/>
      <c r="C276" s="168"/>
      <c r="D276" s="169"/>
      <c r="E276" s="170"/>
      <c r="F276" s="53"/>
      <c r="G276" s="53"/>
      <c r="H276" s="53"/>
      <c r="I276" s="171"/>
      <c r="J276" s="170"/>
      <c r="K276" s="53"/>
      <c r="L276" s="53"/>
      <c r="M276" s="53"/>
      <c r="N276" s="171"/>
      <c r="O276" s="170"/>
      <c r="P276" s="53"/>
      <c r="Q276" s="53"/>
      <c r="R276" s="53"/>
      <c r="S276" s="171"/>
      <c r="T276" s="170"/>
      <c r="U276" s="53"/>
      <c r="V276" s="53"/>
      <c r="W276" s="53"/>
      <c r="X276" s="171"/>
      <c r="Y276" s="170"/>
      <c r="Z276" s="170"/>
      <c r="AA276" s="170"/>
      <c r="AB276" s="170"/>
      <c r="AC276" s="170"/>
      <c r="AD276" s="53"/>
      <c r="AE276" s="53"/>
    </row>
    <row r="277">
      <c r="A277" s="53"/>
      <c r="B277" s="53"/>
      <c r="C277" s="168"/>
      <c r="D277" s="169"/>
      <c r="E277" s="170"/>
      <c r="F277" s="53"/>
      <c r="G277" s="53"/>
      <c r="H277" s="53"/>
      <c r="I277" s="171"/>
      <c r="J277" s="170"/>
      <c r="K277" s="53"/>
      <c r="L277" s="53"/>
      <c r="M277" s="53"/>
      <c r="N277" s="171"/>
      <c r="O277" s="170"/>
      <c r="P277" s="53"/>
      <c r="Q277" s="53"/>
      <c r="R277" s="53"/>
      <c r="S277" s="171"/>
      <c r="T277" s="170"/>
      <c r="U277" s="53"/>
      <c r="V277" s="53"/>
      <c r="W277" s="53"/>
      <c r="X277" s="171"/>
      <c r="Y277" s="170"/>
      <c r="Z277" s="170"/>
      <c r="AA277" s="170"/>
      <c r="AB277" s="170"/>
      <c r="AC277" s="170"/>
      <c r="AD277" s="53"/>
      <c r="AE277" s="53"/>
    </row>
    <row r="278">
      <c r="A278" s="53"/>
      <c r="B278" s="53"/>
      <c r="C278" s="168"/>
      <c r="D278" s="169"/>
      <c r="E278" s="170"/>
      <c r="F278" s="53"/>
      <c r="G278" s="53"/>
      <c r="H278" s="53"/>
      <c r="I278" s="171"/>
      <c r="J278" s="170"/>
      <c r="K278" s="53"/>
      <c r="L278" s="53"/>
      <c r="M278" s="53"/>
      <c r="N278" s="171"/>
      <c r="O278" s="170"/>
      <c r="P278" s="53"/>
      <c r="Q278" s="53"/>
      <c r="R278" s="53"/>
      <c r="S278" s="171"/>
      <c r="T278" s="170"/>
      <c r="U278" s="53"/>
      <c r="V278" s="53"/>
      <c r="W278" s="53"/>
      <c r="X278" s="171"/>
      <c r="Y278" s="170"/>
      <c r="Z278" s="170"/>
      <c r="AA278" s="170"/>
      <c r="AB278" s="170"/>
      <c r="AC278" s="170"/>
      <c r="AD278" s="53"/>
      <c r="AE278" s="53"/>
    </row>
    <row r="279">
      <c r="A279" s="53"/>
      <c r="B279" s="53"/>
      <c r="C279" s="168"/>
      <c r="D279" s="169"/>
      <c r="E279" s="170"/>
      <c r="F279" s="53"/>
      <c r="G279" s="53"/>
      <c r="H279" s="53"/>
      <c r="I279" s="171"/>
      <c r="J279" s="170"/>
      <c r="K279" s="53"/>
      <c r="L279" s="53"/>
      <c r="M279" s="53"/>
      <c r="N279" s="171"/>
      <c r="O279" s="170"/>
      <c r="P279" s="53"/>
      <c r="Q279" s="53"/>
      <c r="R279" s="53"/>
      <c r="S279" s="171"/>
      <c r="T279" s="170"/>
      <c r="U279" s="53"/>
      <c r="V279" s="53"/>
      <c r="W279" s="53"/>
      <c r="X279" s="171"/>
      <c r="Y279" s="170"/>
      <c r="Z279" s="170"/>
      <c r="AA279" s="170"/>
      <c r="AB279" s="170"/>
      <c r="AC279" s="170"/>
      <c r="AD279" s="53"/>
      <c r="AE279" s="53"/>
    </row>
    <row r="280">
      <c r="A280" s="53"/>
      <c r="B280" s="53"/>
      <c r="C280" s="168"/>
      <c r="D280" s="169"/>
      <c r="E280" s="170"/>
      <c r="F280" s="53"/>
      <c r="G280" s="53"/>
      <c r="H280" s="53"/>
      <c r="I280" s="171"/>
      <c r="J280" s="170"/>
      <c r="K280" s="53"/>
      <c r="L280" s="53"/>
      <c r="M280" s="53"/>
      <c r="N280" s="171"/>
      <c r="O280" s="170"/>
      <c r="P280" s="53"/>
      <c r="Q280" s="53"/>
      <c r="R280" s="53"/>
      <c r="S280" s="171"/>
      <c r="T280" s="170"/>
      <c r="U280" s="53"/>
      <c r="V280" s="53"/>
      <c r="W280" s="53"/>
      <c r="X280" s="171"/>
      <c r="Y280" s="170"/>
      <c r="Z280" s="170"/>
      <c r="AA280" s="170"/>
      <c r="AB280" s="170"/>
      <c r="AC280" s="170"/>
      <c r="AD280" s="53"/>
      <c r="AE280" s="53"/>
    </row>
    <row r="281">
      <c r="A281" s="53"/>
      <c r="B281" s="53"/>
      <c r="C281" s="168"/>
      <c r="D281" s="169"/>
      <c r="E281" s="170"/>
      <c r="F281" s="53"/>
      <c r="G281" s="53"/>
      <c r="H281" s="53"/>
      <c r="I281" s="171"/>
      <c r="J281" s="170"/>
      <c r="K281" s="53"/>
      <c r="L281" s="53"/>
      <c r="M281" s="53"/>
      <c r="N281" s="171"/>
      <c r="O281" s="170"/>
      <c r="P281" s="53"/>
      <c r="Q281" s="53"/>
      <c r="R281" s="53"/>
      <c r="S281" s="171"/>
      <c r="T281" s="170"/>
      <c r="U281" s="53"/>
      <c r="V281" s="53"/>
      <c r="W281" s="53"/>
      <c r="X281" s="171"/>
      <c r="Y281" s="170"/>
      <c r="Z281" s="170"/>
      <c r="AA281" s="170"/>
      <c r="AB281" s="170"/>
      <c r="AC281" s="170"/>
      <c r="AD281" s="53"/>
      <c r="AE281" s="53"/>
    </row>
    <row r="282">
      <c r="A282" s="53"/>
      <c r="B282" s="53"/>
      <c r="C282" s="168"/>
      <c r="D282" s="169"/>
      <c r="E282" s="170"/>
      <c r="F282" s="53"/>
      <c r="G282" s="53"/>
      <c r="H282" s="53"/>
      <c r="I282" s="171"/>
      <c r="J282" s="170"/>
      <c r="K282" s="53"/>
      <c r="L282" s="53"/>
      <c r="M282" s="53"/>
      <c r="N282" s="171"/>
      <c r="O282" s="170"/>
      <c r="P282" s="53"/>
      <c r="Q282" s="53"/>
      <c r="R282" s="53"/>
      <c r="S282" s="171"/>
      <c r="T282" s="170"/>
      <c r="U282" s="53"/>
      <c r="V282" s="53"/>
      <c r="W282" s="53"/>
      <c r="X282" s="171"/>
      <c r="Y282" s="170"/>
      <c r="Z282" s="170"/>
      <c r="AA282" s="170"/>
      <c r="AB282" s="170"/>
      <c r="AC282" s="170"/>
      <c r="AD282" s="53"/>
      <c r="AE282" s="53"/>
    </row>
    <row r="283">
      <c r="A283" s="53"/>
      <c r="B283" s="53"/>
      <c r="C283" s="168"/>
      <c r="D283" s="169"/>
      <c r="E283" s="170"/>
      <c r="F283" s="53"/>
      <c r="G283" s="53"/>
      <c r="H283" s="53"/>
      <c r="I283" s="171"/>
      <c r="J283" s="170"/>
      <c r="K283" s="53"/>
      <c r="L283" s="53"/>
      <c r="M283" s="53"/>
      <c r="N283" s="171"/>
      <c r="O283" s="170"/>
      <c r="P283" s="53"/>
      <c r="Q283" s="53"/>
      <c r="R283" s="53"/>
      <c r="S283" s="171"/>
      <c r="T283" s="170"/>
      <c r="U283" s="53"/>
      <c r="V283" s="53"/>
      <c r="W283" s="53"/>
      <c r="X283" s="171"/>
      <c r="Y283" s="170"/>
      <c r="Z283" s="170"/>
      <c r="AA283" s="170"/>
      <c r="AB283" s="170"/>
      <c r="AC283" s="170"/>
      <c r="AD283" s="53"/>
      <c r="AE283" s="53"/>
    </row>
    <row r="284">
      <c r="A284" s="53"/>
      <c r="B284" s="53"/>
      <c r="C284" s="168"/>
      <c r="D284" s="169"/>
      <c r="E284" s="170"/>
      <c r="F284" s="53"/>
      <c r="G284" s="53"/>
      <c r="H284" s="53"/>
      <c r="I284" s="171"/>
      <c r="J284" s="170"/>
      <c r="K284" s="53"/>
      <c r="L284" s="53"/>
      <c r="M284" s="53"/>
      <c r="N284" s="171"/>
      <c r="O284" s="170"/>
      <c r="P284" s="53"/>
      <c r="Q284" s="53"/>
      <c r="R284" s="53"/>
      <c r="S284" s="171"/>
      <c r="T284" s="170"/>
      <c r="U284" s="53"/>
      <c r="V284" s="53"/>
      <c r="W284" s="53"/>
      <c r="X284" s="171"/>
      <c r="Y284" s="170"/>
      <c r="Z284" s="170"/>
      <c r="AA284" s="170"/>
      <c r="AB284" s="170"/>
      <c r="AC284" s="170"/>
      <c r="AD284" s="53"/>
      <c r="AE284" s="53"/>
    </row>
    <row r="285">
      <c r="A285" s="53"/>
      <c r="B285" s="53"/>
      <c r="C285" s="168"/>
      <c r="D285" s="169"/>
      <c r="E285" s="170"/>
      <c r="F285" s="53"/>
      <c r="G285" s="53"/>
      <c r="H285" s="53"/>
      <c r="I285" s="171"/>
      <c r="J285" s="170"/>
      <c r="K285" s="53"/>
      <c r="L285" s="53"/>
      <c r="M285" s="53"/>
      <c r="N285" s="171"/>
      <c r="O285" s="170"/>
      <c r="P285" s="53"/>
      <c r="Q285" s="53"/>
      <c r="R285" s="53"/>
      <c r="S285" s="171"/>
      <c r="T285" s="170"/>
      <c r="U285" s="53"/>
      <c r="V285" s="53"/>
      <c r="W285" s="53"/>
      <c r="X285" s="171"/>
      <c r="Y285" s="170"/>
      <c r="Z285" s="170"/>
      <c r="AA285" s="170"/>
      <c r="AB285" s="170"/>
      <c r="AC285" s="170"/>
      <c r="AD285" s="53"/>
      <c r="AE285" s="53"/>
    </row>
    <row r="286">
      <c r="A286" s="53"/>
      <c r="B286" s="53"/>
      <c r="C286" s="168"/>
      <c r="D286" s="169"/>
      <c r="E286" s="170"/>
      <c r="F286" s="53"/>
      <c r="G286" s="53"/>
      <c r="H286" s="53"/>
      <c r="I286" s="171"/>
      <c r="J286" s="170"/>
      <c r="K286" s="53"/>
      <c r="L286" s="53"/>
      <c r="M286" s="53"/>
      <c r="N286" s="171"/>
      <c r="O286" s="170"/>
      <c r="P286" s="53"/>
      <c r="Q286" s="53"/>
      <c r="R286" s="53"/>
      <c r="S286" s="171"/>
      <c r="T286" s="170"/>
      <c r="U286" s="53"/>
      <c r="V286" s="53"/>
      <c r="W286" s="53"/>
      <c r="X286" s="171"/>
      <c r="Y286" s="170"/>
      <c r="Z286" s="170"/>
      <c r="AA286" s="170"/>
      <c r="AB286" s="170"/>
      <c r="AC286" s="170"/>
      <c r="AD286" s="53"/>
      <c r="AE286" s="53"/>
    </row>
    <row r="287">
      <c r="A287" s="53"/>
      <c r="B287" s="53"/>
      <c r="C287" s="168"/>
      <c r="D287" s="169"/>
      <c r="E287" s="170"/>
      <c r="F287" s="53"/>
      <c r="G287" s="53"/>
      <c r="H287" s="53"/>
      <c r="I287" s="171"/>
      <c r="J287" s="170"/>
      <c r="K287" s="53"/>
      <c r="L287" s="53"/>
      <c r="M287" s="53"/>
      <c r="N287" s="171"/>
      <c r="O287" s="170"/>
      <c r="P287" s="53"/>
      <c r="Q287" s="53"/>
      <c r="R287" s="53"/>
      <c r="S287" s="171"/>
      <c r="T287" s="170"/>
      <c r="U287" s="53"/>
      <c r="V287" s="53"/>
      <c r="W287" s="53"/>
      <c r="X287" s="171"/>
      <c r="Y287" s="170"/>
      <c r="Z287" s="170"/>
      <c r="AA287" s="170"/>
      <c r="AB287" s="170"/>
      <c r="AC287" s="170"/>
      <c r="AD287" s="53"/>
      <c r="AE287" s="53"/>
    </row>
    <row r="288">
      <c r="A288" s="53"/>
      <c r="B288" s="53"/>
      <c r="C288" s="168"/>
      <c r="D288" s="169"/>
      <c r="E288" s="170"/>
      <c r="F288" s="53"/>
      <c r="G288" s="53"/>
      <c r="H288" s="53"/>
      <c r="I288" s="171"/>
      <c r="J288" s="170"/>
      <c r="K288" s="53"/>
      <c r="L288" s="53"/>
      <c r="M288" s="53"/>
      <c r="N288" s="171"/>
      <c r="O288" s="170"/>
      <c r="P288" s="53"/>
      <c r="Q288" s="53"/>
      <c r="R288" s="53"/>
      <c r="S288" s="171"/>
      <c r="T288" s="170"/>
      <c r="U288" s="53"/>
      <c r="V288" s="53"/>
      <c r="W288" s="53"/>
      <c r="X288" s="171"/>
      <c r="Y288" s="170"/>
      <c r="Z288" s="170"/>
      <c r="AA288" s="170"/>
      <c r="AB288" s="170"/>
      <c r="AC288" s="170"/>
      <c r="AD288" s="53"/>
      <c r="AE288" s="53"/>
    </row>
    <row r="289">
      <c r="A289" s="53"/>
      <c r="B289" s="53"/>
      <c r="C289" s="168"/>
      <c r="D289" s="169"/>
      <c r="E289" s="170"/>
      <c r="F289" s="53"/>
      <c r="G289" s="53"/>
      <c r="H289" s="53"/>
      <c r="I289" s="171"/>
      <c r="J289" s="170"/>
      <c r="K289" s="53"/>
      <c r="L289" s="53"/>
      <c r="M289" s="53"/>
      <c r="N289" s="171"/>
      <c r="O289" s="170"/>
      <c r="P289" s="53"/>
      <c r="Q289" s="53"/>
      <c r="R289" s="53"/>
      <c r="S289" s="171"/>
      <c r="T289" s="170"/>
      <c r="U289" s="53"/>
      <c r="V289" s="53"/>
      <c r="W289" s="53"/>
      <c r="X289" s="171"/>
      <c r="Y289" s="170"/>
      <c r="Z289" s="170"/>
      <c r="AA289" s="170"/>
      <c r="AB289" s="170"/>
      <c r="AC289" s="170"/>
      <c r="AD289" s="53"/>
      <c r="AE289" s="53"/>
    </row>
    <row r="290">
      <c r="A290" s="53"/>
      <c r="B290" s="53"/>
      <c r="C290" s="168"/>
      <c r="D290" s="169"/>
      <c r="E290" s="170"/>
      <c r="F290" s="53"/>
      <c r="G290" s="53"/>
      <c r="H290" s="53"/>
      <c r="I290" s="171"/>
      <c r="J290" s="170"/>
      <c r="K290" s="53"/>
      <c r="L290" s="53"/>
      <c r="M290" s="53"/>
      <c r="N290" s="171"/>
      <c r="O290" s="170"/>
      <c r="P290" s="53"/>
      <c r="Q290" s="53"/>
      <c r="R290" s="53"/>
      <c r="S290" s="171"/>
      <c r="T290" s="170"/>
      <c r="U290" s="53"/>
      <c r="V290" s="53"/>
      <c r="W290" s="53"/>
      <c r="X290" s="171"/>
      <c r="Y290" s="170"/>
      <c r="Z290" s="170"/>
      <c r="AA290" s="170"/>
      <c r="AB290" s="170"/>
      <c r="AC290" s="170"/>
      <c r="AD290" s="53"/>
      <c r="AE290" s="53"/>
    </row>
    <row r="291">
      <c r="A291" s="53"/>
      <c r="B291" s="53"/>
      <c r="C291" s="168"/>
      <c r="D291" s="169"/>
      <c r="E291" s="170"/>
      <c r="F291" s="53"/>
      <c r="G291" s="53"/>
      <c r="H291" s="53"/>
      <c r="I291" s="171"/>
      <c r="J291" s="170"/>
      <c r="K291" s="53"/>
      <c r="L291" s="53"/>
      <c r="M291" s="53"/>
      <c r="N291" s="171"/>
      <c r="O291" s="170"/>
      <c r="P291" s="53"/>
      <c r="Q291" s="53"/>
      <c r="R291" s="53"/>
      <c r="S291" s="171"/>
      <c r="T291" s="170"/>
      <c r="U291" s="53"/>
      <c r="V291" s="53"/>
      <c r="W291" s="53"/>
      <c r="X291" s="171"/>
      <c r="Y291" s="170"/>
      <c r="Z291" s="170"/>
      <c r="AA291" s="170"/>
      <c r="AB291" s="170"/>
      <c r="AC291" s="170"/>
      <c r="AD291" s="53"/>
      <c r="AE291" s="53"/>
    </row>
    <row r="292">
      <c r="A292" s="53"/>
      <c r="B292" s="53"/>
      <c r="C292" s="168"/>
      <c r="D292" s="169"/>
      <c r="E292" s="170"/>
      <c r="F292" s="53"/>
      <c r="G292" s="53"/>
      <c r="H292" s="53"/>
      <c r="I292" s="171"/>
      <c r="J292" s="170"/>
      <c r="K292" s="53"/>
      <c r="L292" s="53"/>
      <c r="M292" s="53"/>
      <c r="N292" s="171"/>
      <c r="O292" s="170"/>
      <c r="P292" s="53"/>
      <c r="Q292" s="53"/>
      <c r="R292" s="53"/>
      <c r="S292" s="171"/>
      <c r="T292" s="170"/>
      <c r="U292" s="53"/>
      <c r="V292" s="53"/>
      <c r="W292" s="53"/>
      <c r="X292" s="171"/>
      <c r="Y292" s="170"/>
      <c r="Z292" s="170"/>
      <c r="AA292" s="170"/>
      <c r="AB292" s="170"/>
      <c r="AC292" s="170"/>
      <c r="AD292" s="53"/>
      <c r="AE292" s="53"/>
    </row>
    <row r="293">
      <c r="A293" s="53"/>
      <c r="B293" s="53"/>
      <c r="C293" s="168"/>
      <c r="D293" s="169"/>
      <c r="E293" s="170"/>
      <c r="F293" s="53"/>
      <c r="G293" s="53"/>
      <c r="H293" s="53"/>
      <c r="I293" s="171"/>
      <c r="J293" s="170"/>
      <c r="K293" s="53"/>
      <c r="L293" s="53"/>
      <c r="M293" s="53"/>
      <c r="N293" s="171"/>
      <c r="O293" s="170"/>
      <c r="P293" s="53"/>
      <c r="Q293" s="53"/>
      <c r="R293" s="53"/>
      <c r="S293" s="171"/>
      <c r="T293" s="170"/>
      <c r="U293" s="53"/>
      <c r="V293" s="53"/>
      <c r="W293" s="53"/>
      <c r="X293" s="171"/>
      <c r="Y293" s="170"/>
      <c r="Z293" s="170"/>
      <c r="AA293" s="170"/>
      <c r="AB293" s="170"/>
      <c r="AC293" s="170"/>
      <c r="AD293" s="53"/>
      <c r="AE293" s="53"/>
    </row>
    <row r="294">
      <c r="A294" s="53"/>
      <c r="B294" s="53"/>
      <c r="C294" s="168"/>
      <c r="D294" s="169"/>
      <c r="E294" s="170"/>
      <c r="F294" s="53"/>
      <c r="G294" s="53"/>
      <c r="H294" s="53"/>
      <c r="I294" s="171"/>
      <c r="J294" s="170"/>
      <c r="K294" s="53"/>
      <c r="L294" s="53"/>
      <c r="M294" s="53"/>
      <c r="N294" s="171"/>
      <c r="O294" s="170"/>
      <c r="P294" s="53"/>
      <c r="Q294" s="53"/>
      <c r="R294" s="53"/>
      <c r="S294" s="171"/>
      <c r="T294" s="170"/>
      <c r="U294" s="53"/>
      <c r="V294" s="53"/>
      <c r="W294" s="53"/>
      <c r="X294" s="171"/>
      <c r="Y294" s="170"/>
      <c r="Z294" s="170"/>
      <c r="AA294" s="170"/>
      <c r="AB294" s="170"/>
      <c r="AC294" s="170"/>
      <c r="AD294" s="53"/>
      <c r="AE294" s="53"/>
    </row>
    <row r="295">
      <c r="A295" s="53"/>
      <c r="B295" s="53"/>
      <c r="C295" s="168"/>
      <c r="D295" s="169"/>
      <c r="E295" s="170"/>
      <c r="F295" s="53"/>
      <c r="G295" s="53"/>
      <c r="H295" s="53"/>
      <c r="I295" s="171"/>
      <c r="J295" s="170"/>
      <c r="K295" s="53"/>
      <c r="L295" s="53"/>
      <c r="M295" s="53"/>
      <c r="N295" s="171"/>
      <c r="O295" s="170"/>
      <c r="P295" s="53"/>
      <c r="Q295" s="53"/>
      <c r="R295" s="53"/>
      <c r="S295" s="171"/>
      <c r="T295" s="170"/>
      <c r="U295" s="53"/>
      <c r="V295" s="53"/>
      <c r="W295" s="53"/>
      <c r="X295" s="171"/>
      <c r="Y295" s="170"/>
      <c r="Z295" s="170"/>
      <c r="AA295" s="170"/>
      <c r="AB295" s="170"/>
      <c r="AC295" s="170"/>
      <c r="AD295" s="53"/>
      <c r="AE295" s="53"/>
    </row>
    <row r="296">
      <c r="A296" s="53"/>
      <c r="B296" s="53"/>
      <c r="C296" s="168"/>
      <c r="D296" s="169"/>
      <c r="E296" s="170"/>
      <c r="F296" s="53"/>
      <c r="G296" s="53"/>
      <c r="H296" s="53"/>
      <c r="I296" s="171"/>
      <c r="J296" s="170"/>
      <c r="K296" s="53"/>
      <c r="L296" s="53"/>
      <c r="M296" s="53"/>
      <c r="N296" s="171"/>
      <c r="O296" s="170"/>
      <c r="P296" s="53"/>
      <c r="Q296" s="53"/>
      <c r="R296" s="53"/>
      <c r="S296" s="171"/>
      <c r="T296" s="170"/>
      <c r="U296" s="53"/>
      <c r="V296" s="53"/>
      <c r="W296" s="53"/>
      <c r="X296" s="171"/>
      <c r="Y296" s="170"/>
      <c r="Z296" s="170"/>
      <c r="AA296" s="170"/>
      <c r="AB296" s="170"/>
      <c r="AC296" s="170"/>
      <c r="AD296" s="53"/>
      <c r="AE296" s="53"/>
    </row>
    <row r="297">
      <c r="A297" s="53"/>
      <c r="B297" s="53"/>
      <c r="C297" s="168"/>
      <c r="D297" s="169"/>
      <c r="E297" s="170"/>
      <c r="F297" s="53"/>
      <c r="G297" s="53"/>
      <c r="H297" s="53"/>
      <c r="I297" s="171"/>
      <c r="J297" s="170"/>
      <c r="K297" s="53"/>
      <c r="L297" s="53"/>
      <c r="M297" s="53"/>
      <c r="N297" s="171"/>
      <c r="O297" s="170"/>
      <c r="P297" s="53"/>
      <c r="Q297" s="53"/>
      <c r="R297" s="53"/>
      <c r="S297" s="171"/>
      <c r="T297" s="170"/>
      <c r="U297" s="53"/>
      <c r="V297" s="53"/>
      <c r="W297" s="53"/>
      <c r="X297" s="171"/>
      <c r="Y297" s="170"/>
      <c r="Z297" s="170"/>
      <c r="AA297" s="170"/>
      <c r="AB297" s="170"/>
      <c r="AC297" s="170"/>
      <c r="AD297" s="53"/>
      <c r="AE297" s="53"/>
    </row>
    <row r="298">
      <c r="A298" s="53"/>
      <c r="B298" s="53"/>
      <c r="C298" s="168"/>
      <c r="D298" s="169"/>
      <c r="E298" s="170"/>
      <c r="F298" s="53"/>
      <c r="G298" s="53"/>
      <c r="H298" s="53"/>
      <c r="I298" s="171"/>
      <c r="J298" s="170"/>
      <c r="K298" s="53"/>
      <c r="L298" s="53"/>
      <c r="M298" s="53"/>
      <c r="N298" s="171"/>
      <c r="O298" s="170"/>
      <c r="P298" s="53"/>
      <c r="Q298" s="53"/>
      <c r="R298" s="53"/>
      <c r="S298" s="171"/>
      <c r="T298" s="170"/>
      <c r="U298" s="53"/>
      <c r="V298" s="53"/>
      <c r="W298" s="53"/>
      <c r="X298" s="171"/>
      <c r="Y298" s="170"/>
      <c r="Z298" s="170"/>
      <c r="AA298" s="170"/>
      <c r="AB298" s="170"/>
      <c r="AC298" s="170"/>
      <c r="AD298" s="53"/>
      <c r="AE298" s="53"/>
    </row>
    <row r="299">
      <c r="A299" s="53"/>
      <c r="B299" s="53"/>
      <c r="C299" s="168"/>
      <c r="D299" s="169"/>
      <c r="E299" s="170"/>
      <c r="F299" s="53"/>
      <c r="G299" s="53"/>
      <c r="H299" s="53"/>
      <c r="I299" s="171"/>
      <c r="J299" s="170"/>
      <c r="K299" s="53"/>
      <c r="L299" s="53"/>
      <c r="M299" s="53"/>
      <c r="N299" s="171"/>
      <c r="O299" s="170"/>
      <c r="P299" s="53"/>
      <c r="Q299" s="53"/>
      <c r="R299" s="53"/>
      <c r="S299" s="171"/>
      <c r="T299" s="170"/>
      <c r="U299" s="53"/>
      <c r="V299" s="53"/>
      <c r="W299" s="53"/>
      <c r="X299" s="171"/>
      <c r="Y299" s="170"/>
      <c r="Z299" s="170"/>
      <c r="AA299" s="170"/>
      <c r="AB299" s="170"/>
      <c r="AC299" s="170"/>
      <c r="AD299" s="53"/>
      <c r="AE299" s="53"/>
    </row>
    <row r="300">
      <c r="A300" s="53"/>
      <c r="B300" s="53"/>
      <c r="C300" s="168"/>
      <c r="D300" s="169"/>
      <c r="E300" s="170"/>
      <c r="F300" s="53"/>
      <c r="G300" s="53"/>
      <c r="H300" s="53"/>
      <c r="I300" s="171"/>
      <c r="J300" s="170"/>
      <c r="K300" s="53"/>
      <c r="L300" s="53"/>
      <c r="M300" s="53"/>
      <c r="N300" s="171"/>
      <c r="O300" s="170"/>
      <c r="P300" s="53"/>
      <c r="Q300" s="53"/>
      <c r="R300" s="53"/>
      <c r="S300" s="171"/>
      <c r="T300" s="170"/>
      <c r="U300" s="53"/>
      <c r="V300" s="53"/>
      <c r="W300" s="53"/>
      <c r="X300" s="171"/>
      <c r="Y300" s="170"/>
      <c r="Z300" s="170"/>
      <c r="AA300" s="170"/>
      <c r="AB300" s="170"/>
      <c r="AC300" s="170"/>
      <c r="AD300" s="53"/>
      <c r="AE300" s="53"/>
    </row>
    <row r="301">
      <c r="A301" s="53"/>
      <c r="B301" s="53"/>
      <c r="C301" s="168"/>
      <c r="D301" s="169"/>
      <c r="E301" s="170"/>
      <c r="F301" s="53"/>
      <c r="G301" s="53"/>
      <c r="H301" s="53"/>
      <c r="I301" s="171"/>
      <c r="J301" s="170"/>
      <c r="K301" s="53"/>
      <c r="L301" s="53"/>
      <c r="M301" s="53"/>
      <c r="N301" s="171"/>
      <c r="O301" s="170"/>
      <c r="P301" s="53"/>
      <c r="Q301" s="53"/>
      <c r="R301" s="53"/>
      <c r="S301" s="171"/>
      <c r="T301" s="170"/>
      <c r="U301" s="53"/>
      <c r="V301" s="53"/>
      <c r="W301" s="53"/>
      <c r="X301" s="171"/>
      <c r="Y301" s="170"/>
      <c r="Z301" s="170"/>
      <c r="AA301" s="170"/>
      <c r="AB301" s="170"/>
      <c r="AC301" s="170"/>
      <c r="AD301" s="53"/>
      <c r="AE301" s="53"/>
    </row>
    <row r="302">
      <c r="A302" s="53"/>
      <c r="B302" s="53"/>
      <c r="C302" s="168"/>
      <c r="D302" s="169"/>
      <c r="E302" s="170"/>
      <c r="F302" s="53"/>
      <c r="G302" s="53"/>
      <c r="H302" s="53"/>
      <c r="I302" s="171"/>
      <c r="J302" s="170"/>
      <c r="K302" s="53"/>
      <c r="L302" s="53"/>
      <c r="M302" s="53"/>
      <c r="N302" s="171"/>
      <c r="O302" s="170"/>
      <c r="P302" s="53"/>
      <c r="Q302" s="53"/>
      <c r="R302" s="53"/>
      <c r="S302" s="171"/>
      <c r="T302" s="170"/>
      <c r="U302" s="53"/>
      <c r="V302" s="53"/>
      <c r="W302" s="53"/>
      <c r="X302" s="171"/>
      <c r="Y302" s="170"/>
      <c r="Z302" s="170"/>
      <c r="AA302" s="170"/>
      <c r="AB302" s="170"/>
      <c r="AC302" s="170"/>
      <c r="AD302" s="53"/>
      <c r="AE302" s="53"/>
    </row>
    <row r="303">
      <c r="A303" s="53"/>
      <c r="B303" s="53"/>
      <c r="C303" s="168"/>
      <c r="D303" s="169"/>
      <c r="E303" s="170"/>
      <c r="F303" s="53"/>
      <c r="G303" s="53"/>
      <c r="H303" s="53"/>
      <c r="I303" s="171"/>
      <c r="J303" s="170"/>
      <c r="K303" s="53"/>
      <c r="L303" s="53"/>
      <c r="M303" s="53"/>
      <c r="N303" s="171"/>
      <c r="O303" s="170"/>
      <c r="P303" s="53"/>
      <c r="Q303" s="53"/>
      <c r="R303" s="53"/>
      <c r="S303" s="171"/>
      <c r="T303" s="170"/>
      <c r="U303" s="53"/>
      <c r="V303" s="53"/>
      <c r="W303" s="53"/>
      <c r="X303" s="171"/>
      <c r="Y303" s="170"/>
      <c r="Z303" s="170"/>
      <c r="AA303" s="170"/>
      <c r="AB303" s="170"/>
      <c r="AC303" s="170"/>
      <c r="AD303" s="53"/>
      <c r="AE303" s="53"/>
    </row>
    <row r="304">
      <c r="A304" s="53"/>
      <c r="B304" s="53"/>
      <c r="C304" s="168"/>
      <c r="D304" s="169"/>
      <c r="E304" s="170"/>
      <c r="F304" s="53"/>
      <c r="G304" s="53"/>
      <c r="H304" s="53"/>
      <c r="I304" s="171"/>
      <c r="J304" s="170"/>
      <c r="K304" s="53"/>
      <c r="L304" s="53"/>
      <c r="M304" s="53"/>
      <c r="N304" s="171"/>
      <c r="O304" s="170"/>
      <c r="P304" s="53"/>
      <c r="Q304" s="53"/>
      <c r="R304" s="53"/>
      <c r="S304" s="171"/>
      <c r="T304" s="170"/>
      <c r="U304" s="53"/>
      <c r="V304" s="53"/>
      <c r="W304" s="53"/>
      <c r="X304" s="171"/>
      <c r="Y304" s="170"/>
      <c r="Z304" s="170"/>
      <c r="AA304" s="170"/>
      <c r="AB304" s="170"/>
      <c r="AC304" s="170"/>
      <c r="AD304" s="53"/>
      <c r="AE304" s="53"/>
    </row>
    <row r="305">
      <c r="A305" s="53"/>
      <c r="B305" s="53"/>
      <c r="C305" s="168"/>
      <c r="D305" s="169"/>
      <c r="E305" s="170"/>
      <c r="F305" s="53"/>
      <c r="G305" s="53"/>
      <c r="H305" s="53"/>
      <c r="I305" s="171"/>
      <c r="J305" s="170"/>
      <c r="K305" s="53"/>
      <c r="L305" s="53"/>
      <c r="M305" s="53"/>
      <c r="N305" s="171"/>
      <c r="O305" s="170"/>
      <c r="P305" s="53"/>
      <c r="Q305" s="53"/>
      <c r="R305" s="53"/>
      <c r="S305" s="171"/>
      <c r="T305" s="170"/>
      <c r="U305" s="53"/>
      <c r="V305" s="53"/>
      <c r="W305" s="53"/>
      <c r="X305" s="171"/>
      <c r="Y305" s="170"/>
      <c r="Z305" s="170"/>
      <c r="AA305" s="170"/>
      <c r="AB305" s="170"/>
      <c r="AC305" s="170"/>
      <c r="AD305" s="53"/>
      <c r="AE305" s="53"/>
    </row>
    <row r="306">
      <c r="A306" s="53"/>
      <c r="B306" s="53"/>
      <c r="C306" s="168"/>
      <c r="D306" s="169"/>
      <c r="E306" s="170"/>
      <c r="F306" s="53"/>
      <c r="G306" s="53"/>
      <c r="H306" s="53"/>
      <c r="I306" s="171"/>
      <c r="J306" s="170"/>
      <c r="K306" s="53"/>
      <c r="L306" s="53"/>
      <c r="M306" s="53"/>
      <c r="N306" s="171"/>
      <c r="O306" s="170"/>
      <c r="P306" s="53"/>
      <c r="Q306" s="53"/>
      <c r="R306" s="53"/>
      <c r="S306" s="171"/>
      <c r="T306" s="170"/>
      <c r="U306" s="53"/>
      <c r="V306" s="53"/>
      <c r="W306" s="53"/>
      <c r="X306" s="171"/>
      <c r="Y306" s="170"/>
      <c r="Z306" s="170"/>
      <c r="AA306" s="170"/>
      <c r="AB306" s="170"/>
      <c r="AC306" s="170"/>
      <c r="AD306" s="53"/>
      <c r="AE306" s="53"/>
    </row>
    <row r="307">
      <c r="A307" s="53"/>
      <c r="B307" s="53"/>
      <c r="C307" s="168"/>
      <c r="D307" s="169"/>
      <c r="E307" s="170"/>
      <c r="F307" s="53"/>
      <c r="G307" s="53"/>
      <c r="H307" s="53"/>
      <c r="I307" s="171"/>
      <c r="J307" s="170"/>
      <c r="K307" s="53"/>
      <c r="L307" s="53"/>
      <c r="M307" s="53"/>
      <c r="N307" s="171"/>
      <c r="O307" s="170"/>
      <c r="P307" s="53"/>
      <c r="Q307" s="53"/>
      <c r="R307" s="53"/>
      <c r="S307" s="171"/>
      <c r="T307" s="170"/>
      <c r="U307" s="53"/>
      <c r="V307" s="53"/>
      <c r="W307" s="53"/>
      <c r="X307" s="171"/>
      <c r="Y307" s="170"/>
      <c r="Z307" s="170"/>
      <c r="AA307" s="170"/>
      <c r="AB307" s="170"/>
      <c r="AC307" s="170"/>
      <c r="AD307" s="53"/>
      <c r="AE307" s="53"/>
    </row>
    <row r="308">
      <c r="A308" s="53"/>
      <c r="B308" s="53"/>
      <c r="C308" s="168"/>
      <c r="D308" s="169"/>
      <c r="E308" s="170"/>
      <c r="F308" s="53"/>
      <c r="G308" s="53"/>
      <c r="H308" s="53"/>
      <c r="I308" s="171"/>
      <c r="J308" s="170"/>
      <c r="K308" s="53"/>
      <c r="L308" s="53"/>
      <c r="M308" s="53"/>
      <c r="N308" s="171"/>
      <c r="O308" s="170"/>
      <c r="P308" s="53"/>
      <c r="Q308" s="53"/>
      <c r="R308" s="53"/>
      <c r="S308" s="171"/>
      <c r="T308" s="170"/>
      <c r="U308" s="53"/>
      <c r="V308" s="53"/>
      <c r="W308" s="53"/>
      <c r="X308" s="171"/>
      <c r="Y308" s="170"/>
      <c r="Z308" s="170"/>
      <c r="AA308" s="170"/>
      <c r="AB308" s="170"/>
      <c r="AC308" s="170"/>
      <c r="AD308" s="53"/>
      <c r="AE308" s="53"/>
    </row>
    <row r="309">
      <c r="A309" s="53"/>
      <c r="B309" s="53"/>
      <c r="C309" s="168"/>
      <c r="D309" s="169"/>
      <c r="E309" s="170"/>
      <c r="F309" s="53"/>
      <c r="G309" s="53"/>
      <c r="H309" s="53"/>
      <c r="I309" s="171"/>
      <c r="J309" s="170"/>
      <c r="K309" s="53"/>
      <c r="L309" s="53"/>
      <c r="M309" s="53"/>
      <c r="N309" s="171"/>
      <c r="O309" s="170"/>
      <c r="P309" s="53"/>
      <c r="Q309" s="53"/>
      <c r="R309" s="53"/>
      <c r="S309" s="171"/>
      <c r="T309" s="170"/>
      <c r="U309" s="53"/>
      <c r="V309" s="53"/>
      <c r="W309" s="53"/>
      <c r="X309" s="171"/>
      <c r="Y309" s="170"/>
      <c r="Z309" s="170"/>
      <c r="AA309" s="170"/>
      <c r="AB309" s="170"/>
      <c r="AC309" s="170"/>
      <c r="AD309" s="53"/>
      <c r="AE309" s="53"/>
    </row>
    <row r="310">
      <c r="A310" s="53"/>
      <c r="B310" s="53"/>
      <c r="C310" s="168"/>
      <c r="D310" s="169"/>
      <c r="E310" s="170"/>
      <c r="F310" s="53"/>
      <c r="G310" s="53"/>
      <c r="H310" s="53"/>
      <c r="I310" s="171"/>
      <c r="J310" s="170"/>
      <c r="K310" s="53"/>
      <c r="L310" s="53"/>
      <c r="M310" s="53"/>
      <c r="N310" s="171"/>
      <c r="O310" s="170"/>
      <c r="P310" s="53"/>
      <c r="Q310" s="53"/>
      <c r="R310" s="53"/>
      <c r="S310" s="171"/>
      <c r="T310" s="170"/>
      <c r="U310" s="53"/>
      <c r="V310" s="53"/>
      <c r="W310" s="53"/>
      <c r="X310" s="171"/>
      <c r="Y310" s="170"/>
      <c r="Z310" s="170"/>
      <c r="AA310" s="170"/>
      <c r="AB310" s="170"/>
      <c r="AC310" s="170"/>
      <c r="AD310" s="53"/>
      <c r="AE310" s="53"/>
    </row>
    <row r="311">
      <c r="A311" s="53"/>
      <c r="B311" s="53"/>
      <c r="C311" s="168"/>
      <c r="D311" s="169"/>
      <c r="E311" s="170"/>
      <c r="F311" s="53"/>
      <c r="G311" s="53"/>
      <c r="H311" s="53"/>
      <c r="I311" s="171"/>
      <c r="J311" s="170"/>
      <c r="K311" s="53"/>
      <c r="L311" s="53"/>
      <c r="M311" s="53"/>
      <c r="N311" s="171"/>
      <c r="O311" s="170"/>
      <c r="P311" s="53"/>
      <c r="Q311" s="53"/>
      <c r="R311" s="53"/>
      <c r="S311" s="171"/>
      <c r="T311" s="170"/>
      <c r="U311" s="53"/>
      <c r="V311" s="53"/>
      <c r="W311" s="53"/>
      <c r="X311" s="171"/>
      <c r="Y311" s="170"/>
      <c r="Z311" s="170"/>
      <c r="AA311" s="170"/>
      <c r="AB311" s="170"/>
      <c r="AC311" s="170"/>
      <c r="AD311" s="53"/>
      <c r="AE311" s="53"/>
    </row>
    <row r="312">
      <c r="A312" s="53"/>
      <c r="B312" s="53"/>
      <c r="C312" s="168"/>
      <c r="D312" s="169"/>
      <c r="E312" s="170"/>
      <c r="F312" s="53"/>
      <c r="G312" s="53"/>
      <c r="H312" s="53"/>
      <c r="I312" s="171"/>
      <c r="J312" s="170"/>
      <c r="K312" s="53"/>
      <c r="L312" s="53"/>
      <c r="M312" s="53"/>
      <c r="N312" s="171"/>
      <c r="O312" s="170"/>
      <c r="P312" s="53"/>
      <c r="Q312" s="53"/>
      <c r="R312" s="53"/>
      <c r="S312" s="171"/>
      <c r="T312" s="170"/>
      <c r="U312" s="53"/>
      <c r="V312" s="53"/>
      <c r="W312" s="53"/>
      <c r="X312" s="171"/>
      <c r="Y312" s="170"/>
      <c r="Z312" s="170"/>
      <c r="AA312" s="170"/>
      <c r="AB312" s="170"/>
      <c r="AC312" s="170"/>
      <c r="AD312" s="53"/>
      <c r="AE312" s="53"/>
    </row>
    <row r="313">
      <c r="A313" s="53"/>
      <c r="B313" s="53"/>
      <c r="C313" s="168"/>
      <c r="D313" s="169"/>
      <c r="E313" s="170"/>
      <c r="F313" s="53"/>
      <c r="G313" s="53"/>
      <c r="H313" s="53"/>
      <c r="I313" s="171"/>
      <c r="J313" s="170"/>
      <c r="K313" s="53"/>
      <c r="L313" s="53"/>
      <c r="M313" s="53"/>
      <c r="N313" s="171"/>
      <c r="O313" s="170"/>
      <c r="P313" s="53"/>
      <c r="Q313" s="53"/>
      <c r="R313" s="53"/>
      <c r="S313" s="171"/>
      <c r="T313" s="170"/>
      <c r="U313" s="53"/>
      <c r="V313" s="53"/>
      <c r="W313" s="53"/>
      <c r="X313" s="171"/>
      <c r="Y313" s="170"/>
      <c r="Z313" s="170"/>
      <c r="AA313" s="170"/>
      <c r="AB313" s="170"/>
      <c r="AC313" s="170"/>
      <c r="AD313" s="53"/>
      <c r="AE313" s="53"/>
    </row>
    <row r="314">
      <c r="A314" s="53"/>
      <c r="B314" s="53"/>
      <c r="C314" s="168"/>
      <c r="D314" s="169"/>
      <c r="E314" s="170"/>
      <c r="F314" s="53"/>
      <c r="G314" s="53"/>
      <c r="H314" s="53"/>
      <c r="I314" s="171"/>
      <c r="J314" s="170"/>
      <c r="K314" s="53"/>
      <c r="L314" s="53"/>
      <c r="M314" s="53"/>
      <c r="N314" s="171"/>
      <c r="O314" s="170"/>
      <c r="P314" s="53"/>
      <c r="Q314" s="53"/>
      <c r="R314" s="53"/>
      <c r="S314" s="171"/>
      <c r="T314" s="170"/>
      <c r="U314" s="53"/>
      <c r="V314" s="53"/>
      <c r="W314" s="53"/>
      <c r="X314" s="171"/>
      <c r="Y314" s="170"/>
      <c r="Z314" s="170"/>
      <c r="AA314" s="170"/>
      <c r="AB314" s="170"/>
      <c r="AC314" s="170"/>
      <c r="AD314" s="53"/>
      <c r="AE314" s="53"/>
    </row>
    <row r="315">
      <c r="A315" s="53"/>
      <c r="B315" s="53"/>
      <c r="C315" s="168"/>
      <c r="D315" s="169"/>
      <c r="E315" s="170"/>
      <c r="F315" s="53"/>
      <c r="G315" s="53"/>
      <c r="H315" s="53"/>
      <c r="I315" s="171"/>
      <c r="J315" s="170"/>
      <c r="K315" s="53"/>
      <c r="L315" s="53"/>
      <c r="M315" s="53"/>
      <c r="N315" s="171"/>
      <c r="O315" s="170"/>
      <c r="P315" s="53"/>
      <c r="Q315" s="53"/>
      <c r="R315" s="53"/>
      <c r="S315" s="171"/>
      <c r="T315" s="170"/>
      <c r="U315" s="53"/>
      <c r="V315" s="53"/>
      <c r="W315" s="53"/>
      <c r="X315" s="171"/>
      <c r="Y315" s="170"/>
      <c r="Z315" s="170"/>
      <c r="AA315" s="170"/>
      <c r="AB315" s="170"/>
      <c r="AC315" s="170"/>
      <c r="AD315" s="53"/>
      <c r="AE315" s="53"/>
    </row>
    <row r="316">
      <c r="A316" s="53"/>
      <c r="B316" s="53"/>
      <c r="C316" s="168"/>
      <c r="D316" s="169"/>
      <c r="E316" s="170"/>
      <c r="F316" s="53"/>
      <c r="G316" s="53"/>
      <c r="H316" s="53"/>
      <c r="I316" s="171"/>
      <c r="J316" s="170"/>
      <c r="K316" s="53"/>
      <c r="L316" s="53"/>
      <c r="M316" s="53"/>
      <c r="N316" s="171"/>
      <c r="O316" s="170"/>
      <c r="P316" s="53"/>
      <c r="Q316" s="53"/>
      <c r="R316" s="53"/>
      <c r="S316" s="171"/>
      <c r="T316" s="170"/>
      <c r="U316" s="53"/>
      <c r="V316" s="53"/>
      <c r="W316" s="53"/>
      <c r="X316" s="171"/>
      <c r="Y316" s="170"/>
      <c r="Z316" s="170"/>
      <c r="AA316" s="170"/>
      <c r="AB316" s="170"/>
      <c r="AC316" s="170"/>
      <c r="AD316" s="53"/>
      <c r="AE316" s="53"/>
    </row>
    <row r="317">
      <c r="A317" s="53"/>
      <c r="B317" s="53"/>
      <c r="C317" s="168"/>
      <c r="D317" s="169"/>
      <c r="E317" s="170"/>
      <c r="F317" s="53"/>
      <c r="G317" s="53"/>
      <c r="H317" s="53"/>
      <c r="I317" s="171"/>
      <c r="J317" s="170"/>
      <c r="K317" s="53"/>
      <c r="L317" s="53"/>
      <c r="M317" s="53"/>
      <c r="N317" s="171"/>
      <c r="O317" s="170"/>
      <c r="P317" s="53"/>
      <c r="Q317" s="53"/>
      <c r="R317" s="53"/>
      <c r="S317" s="171"/>
      <c r="T317" s="170"/>
      <c r="U317" s="53"/>
      <c r="V317" s="53"/>
      <c r="W317" s="53"/>
      <c r="X317" s="171"/>
      <c r="Y317" s="170"/>
      <c r="Z317" s="170"/>
      <c r="AA317" s="170"/>
      <c r="AB317" s="170"/>
      <c r="AC317" s="170"/>
      <c r="AD317" s="53"/>
      <c r="AE317" s="53"/>
    </row>
    <row r="318">
      <c r="A318" s="53"/>
      <c r="B318" s="53"/>
      <c r="C318" s="168"/>
      <c r="D318" s="169"/>
      <c r="E318" s="170"/>
      <c r="F318" s="53"/>
      <c r="G318" s="53"/>
      <c r="H318" s="53"/>
      <c r="I318" s="171"/>
      <c r="J318" s="170"/>
      <c r="K318" s="53"/>
      <c r="L318" s="53"/>
      <c r="M318" s="53"/>
      <c r="N318" s="171"/>
      <c r="O318" s="170"/>
      <c r="P318" s="53"/>
      <c r="Q318" s="53"/>
      <c r="R318" s="53"/>
      <c r="S318" s="171"/>
      <c r="T318" s="170"/>
      <c r="U318" s="53"/>
      <c r="V318" s="53"/>
      <c r="W318" s="53"/>
      <c r="X318" s="171"/>
      <c r="Y318" s="170"/>
      <c r="Z318" s="170"/>
      <c r="AA318" s="170"/>
      <c r="AB318" s="170"/>
      <c r="AC318" s="170"/>
      <c r="AD318" s="53"/>
      <c r="AE318" s="53"/>
    </row>
    <row r="319">
      <c r="A319" s="53"/>
      <c r="B319" s="53"/>
      <c r="C319" s="168"/>
      <c r="D319" s="169"/>
      <c r="E319" s="170"/>
      <c r="F319" s="53"/>
      <c r="G319" s="53"/>
      <c r="H319" s="53"/>
      <c r="I319" s="171"/>
      <c r="J319" s="170"/>
      <c r="K319" s="53"/>
      <c r="L319" s="53"/>
      <c r="M319" s="53"/>
      <c r="N319" s="171"/>
      <c r="O319" s="170"/>
      <c r="P319" s="53"/>
      <c r="Q319" s="53"/>
      <c r="R319" s="53"/>
      <c r="S319" s="171"/>
      <c r="T319" s="170"/>
      <c r="U319" s="53"/>
      <c r="V319" s="53"/>
      <c r="W319" s="53"/>
      <c r="X319" s="171"/>
      <c r="Y319" s="170"/>
      <c r="Z319" s="170"/>
      <c r="AA319" s="170"/>
      <c r="AB319" s="170"/>
      <c r="AC319" s="170"/>
      <c r="AD319" s="53"/>
      <c r="AE319" s="53"/>
    </row>
    <row r="320">
      <c r="A320" s="53"/>
      <c r="B320" s="53"/>
      <c r="C320" s="168"/>
      <c r="D320" s="169"/>
      <c r="E320" s="170"/>
      <c r="F320" s="53"/>
      <c r="G320" s="53"/>
      <c r="H320" s="53"/>
      <c r="I320" s="171"/>
      <c r="J320" s="170"/>
      <c r="K320" s="53"/>
      <c r="L320" s="53"/>
      <c r="M320" s="53"/>
      <c r="N320" s="171"/>
      <c r="O320" s="170"/>
      <c r="P320" s="53"/>
      <c r="Q320" s="53"/>
      <c r="R320" s="53"/>
      <c r="S320" s="171"/>
      <c r="T320" s="170"/>
      <c r="U320" s="53"/>
      <c r="V320" s="53"/>
      <c r="W320" s="53"/>
      <c r="X320" s="171"/>
      <c r="Y320" s="170"/>
      <c r="Z320" s="170"/>
      <c r="AA320" s="170"/>
      <c r="AB320" s="170"/>
      <c r="AC320" s="170"/>
      <c r="AD320" s="53"/>
      <c r="AE320" s="53"/>
    </row>
    <row r="321">
      <c r="A321" s="53"/>
      <c r="B321" s="53"/>
      <c r="C321" s="168"/>
      <c r="D321" s="169"/>
      <c r="E321" s="170"/>
      <c r="F321" s="53"/>
      <c r="G321" s="53"/>
      <c r="H321" s="53"/>
      <c r="I321" s="171"/>
      <c r="J321" s="170"/>
      <c r="K321" s="53"/>
      <c r="L321" s="53"/>
      <c r="M321" s="53"/>
      <c r="N321" s="171"/>
      <c r="O321" s="170"/>
      <c r="P321" s="53"/>
      <c r="Q321" s="53"/>
      <c r="R321" s="53"/>
      <c r="S321" s="171"/>
      <c r="T321" s="170"/>
      <c r="U321" s="53"/>
      <c r="V321" s="53"/>
      <c r="W321" s="53"/>
      <c r="X321" s="171"/>
      <c r="Y321" s="170"/>
      <c r="Z321" s="170"/>
      <c r="AA321" s="170"/>
      <c r="AB321" s="170"/>
      <c r="AC321" s="170"/>
      <c r="AD321" s="53"/>
      <c r="AE321" s="53"/>
    </row>
    <row r="322">
      <c r="A322" s="53"/>
      <c r="B322" s="53"/>
      <c r="C322" s="168"/>
      <c r="D322" s="169"/>
      <c r="E322" s="170"/>
      <c r="F322" s="53"/>
      <c r="G322" s="53"/>
      <c r="H322" s="53"/>
      <c r="I322" s="171"/>
      <c r="J322" s="170"/>
      <c r="K322" s="53"/>
      <c r="L322" s="53"/>
      <c r="M322" s="53"/>
      <c r="N322" s="171"/>
      <c r="O322" s="170"/>
      <c r="P322" s="53"/>
      <c r="Q322" s="53"/>
      <c r="R322" s="53"/>
      <c r="S322" s="171"/>
      <c r="T322" s="170"/>
      <c r="U322" s="53"/>
      <c r="V322" s="53"/>
      <c r="W322" s="53"/>
      <c r="X322" s="171"/>
      <c r="Y322" s="170"/>
      <c r="Z322" s="170"/>
      <c r="AA322" s="170"/>
      <c r="AB322" s="170"/>
      <c r="AC322" s="170"/>
      <c r="AD322" s="53"/>
      <c r="AE322" s="53"/>
    </row>
    <row r="323">
      <c r="A323" s="53"/>
      <c r="B323" s="53"/>
      <c r="C323" s="168"/>
      <c r="D323" s="169"/>
      <c r="E323" s="170"/>
      <c r="F323" s="53"/>
      <c r="G323" s="53"/>
      <c r="H323" s="53"/>
      <c r="I323" s="171"/>
      <c r="J323" s="170"/>
      <c r="K323" s="53"/>
      <c r="L323" s="53"/>
      <c r="M323" s="53"/>
      <c r="N323" s="171"/>
      <c r="O323" s="170"/>
      <c r="P323" s="53"/>
      <c r="Q323" s="53"/>
      <c r="R323" s="53"/>
      <c r="S323" s="171"/>
      <c r="T323" s="170"/>
      <c r="U323" s="53"/>
      <c r="V323" s="53"/>
      <c r="W323" s="53"/>
      <c r="X323" s="171"/>
      <c r="Y323" s="170"/>
      <c r="Z323" s="170"/>
      <c r="AA323" s="170"/>
      <c r="AB323" s="170"/>
      <c r="AC323" s="170"/>
      <c r="AD323" s="53"/>
      <c r="AE323" s="53"/>
    </row>
    <row r="324">
      <c r="A324" s="53"/>
      <c r="B324" s="53"/>
      <c r="C324" s="168"/>
      <c r="D324" s="169"/>
      <c r="E324" s="170"/>
      <c r="F324" s="53"/>
      <c r="G324" s="53"/>
      <c r="H324" s="53"/>
      <c r="I324" s="171"/>
      <c r="J324" s="170"/>
      <c r="K324" s="53"/>
      <c r="L324" s="53"/>
      <c r="M324" s="53"/>
      <c r="N324" s="171"/>
      <c r="O324" s="170"/>
      <c r="P324" s="53"/>
      <c r="Q324" s="53"/>
      <c r="R324" s="53"/>
      <c r="S324" s="171"/>
      <c r="T324" s="170"/>
      <c r="U324" s="53"/>
      <c r="V324" s="53"/>
      <c r="W324" s="53"/>
      <c r="X324" s="171"/>
      <c r="Y324" s="170"/>
      <c r="Z324" s="170"/>
      <c r="AA324" s="170"/>
      <c r="AB324" s="170"/>
      <c r="AC324" s="170"/>
      <c r="AD324" s="53"/>
      <c r="AE324" s="53"/>
    </row>
    <row r="325">
      <c r="A325" s="53"/>
      <c r="B325" s="53"/>
      <c r="C325" s="168"/>
      <c r="D325" s="169"/>
      <c r="E325" s="170"/>
      <c r="F325" s="53"/>
      <c r="G325" s="53"/>
      <c r="H325" s="53"/>
      <c r="I325" s="171"/>
      <c r="J325" s="170"/>
      <c r="K325" s="53"/>
      <c r="L325" s="53"/>
      <c r="M325" s="53"/>
      <c r="N325" s="171"/>
      <c r="O325" s="170"/>
      <c r="P325" s="53"/>
      <c r="Q325" s="53"/>
      <c r="R325" s="53"/>
      <c r="S325" s="171"/>
      <c r="T325" s="170"/>
      <c r="U325" s="53"/>
      <c r="V325" s="53"/>
      <c r="W325" s="53"/>
      <c r="X325" s="171"/>
      <c r="Y325" s="170"/>
      <c r="Z325" s="170"/>
      <c r="AA325" s="170"/>
      <c r="AB325" s="170"/>
      <c r="AC325" s="170"/>
      <c r="AD325" s="53"/>
      <c r="AE325" s="53"/>
    </row>
    <row r="326">
      <c r="A326" s="53"/>
      <c r="B326" s="53"/>
      <c r="C326" s="168"/>
      <c r="D326" s="169"/>
      <c r="E326" s="170"/>
      <c r="F326" s="53"/>
      <c r="G326" s="53"/>
      <c r="H326" s="53"/>
      <c r="I326" s="171"/>
      <c r="J326" s="170"/>
      <c r="K326" s="53"/>
      <c r="L326" s="53"/>
      <c r="M326" s="53"/>
      <c r="N326" s="171"/>
      <c r="O326" s="170"/>
      <c r="P326" s="53"/>
      <c r="Q326" s="53"/>
      <c r="R326" s="53"/>
      <c r="S326" s="171"/>
      <c r="T326" s="170"/>
      <c r="U326" s="53"/>
      <c r="V326" s="53"/>
      <c r="W326" s="53"/>
      <c r="X326" s="171"/>
      <c r="Y326" s="170"/>
      <c r="Z326" s="170"/>
      <c r="AA326" s="170"/>
      <c r="AB326" s="170"/>
      <c r="AC326" s="170"/>
      <c r="AD326" s="53"/>
      <c r="AE326" s="53"/>
    </row>
    <row r="327">
      <c r="A327" s="53"/>
      <c r="B327" s="53"/>
      <c r="C327" s="168"/>
      <c r="D327" s="169"/>
      <c r="E327" s="170"/>
      <c r="F327" s="53"/>
      <c r="G327" s="53"/>
      <c r="H327" s="53"/>
      <c r="I327" s="171"/>
      <c r="J327" s="170"/>
      <c r="K327" s="53"/>
      <c r="L327" s="53"/>
      <c r="M327" s="53"/>
      <c r="N327" s="171"/>
      <c r="O327" s="170"/>
      <c r="P327" s="53"/>
      <c r="Q327" s="53"/>
      <c r="R327" s="53"/>
      <c r="S327" s="171"/>
      <c r="T327" s="170"/>
      <c r="U327" s="53"/>
      <c r="V327" s="53"/>
      <c r="W327" s="53"/>
      <c r="X327" s="171"/>
      <c r="Y327" s="170"/>
      <c r="Z327" s="170"/>
      <c r="AA327" s="170"/>
      <c r="AB327" s="170"/>
      <c r="AC327" s="170"/>
      <c r="AD327" s="53"/>
      <c r="AE327" s="53"/>
    </row>
    <row r="328">
      <c r="A328" s="53"/>
      <c r="B328" s="53"/>
      <c r="C328" s="168"/>
      <c r="D328" s="169"/>
      <c r="E328" s="170"/>
      <c r="F328" s="53"/>
      <c r="G328" s="53"/>
      <c r="H328" s="53"/>
      <c r="I328" s="171"/>
      <c r="J328" s="170"/>
      <c r="K328" s="53"/>
      <c r="L328" s="53"/>
      <c r="M328" s="53"/>
      <c r="N328" s="171"/>
      <c r="O328" s="170"/>
      <c r="P328" s="53"/>
      <c r="Q328" s="53"/>
      <c r="R328" s="53"/>
      <c r="S328" s="171"/>
      <c r="T328" s="170"/>
      <c r="U328" s="53"/>
      <c r="V328" s="53"/>
      <c r="W328" s="53"/>
      <c r="X328" s="171"/>
      <c r="Y328" s="170"/>
      <c r="Z328" s="170"/>
      <c r="AA328" s="170"/>
      <c r="AB328" s="170"/>
      <c r="AC328" s="170"/>
      <c r="AD328" s="53"/>
      <c r="AE328" s="53"/>
    </row>
    <row r="329">
      <c r="A329" s="53"/>
      <c r="B329" s="53"/>
      <c r="C329" s="168"/>
      <c r="D329" s="169"/>
      <c r="E329" s="170"/>
      <c r="F329" s="53"/>
      <c r="G329" s="53"/>
      <c r="H329" s="53"/>
      <c r="I329" s="171"/>
      <c r="J329" s="170"/>
      <c r="K329" s="53"/>
      <c r="L329" s="53"/>
      <c r="M329" s="53"/>
      <c r="N329" s="171"/>
      <c r="O329" s="170"/>
      <c r="P329" s="53"/>
      <c r="Q329" s="53"/>
      <c r="R329" s="53"/>
      <c r="S329" s="171"/>
      <c r="T329" s="170"/>
      <c r="U329" s="53"/>
      <c r="V329" s="53"/>
      <c r="W329" s="53"/>
      <c r="X329" s="171"/>
      <c r="Y329" s="170"/>
      <c r="Z329" s="170"/>
      <c r="AA329" s="170"/>
      <c r="AB329" s="170"/>
      <c r="AC329" s="170"/>
      <c r="AD329" s="53"/>
      <c r="AE329" s="53"/>
    </row>
    <row r="330">
      <c r="A330" s="53"/>
      <c r="B330" s="53"/>
      <c r="C330" s="168"/>
      <c r="D330" s="169"/>
      <c r="E330" s="170"/>
      <c r="F330" s="53"/>
      <c r="G330" s="53"/>
      <c r="H330" s="53"/>
      <c r="I330" s="171"/>
      <c r="J330" s="170"/>
      <c r="K330" s="53"/>
      <c r="L330" s="53"/>
      <c r="M330" s="53"/>
      <c r="N330" s="171"/>
      <c r="O330" s="170"/>
      <c r="P330" s="53"/>
      <c r="Q330" s="53"/>
      <c r="R330" s="53"/>
      <c r="S330" s="171"/>
      <c r="T330" s="170"/>
      <c r="U330" s="53"/>
      <c r="V330" s="53"/>
      <c r="W330" s="53"/>
      <c r="X330" s="171"/>
      <c r="Y330" s="170"/>
      <c r="Z330" s="170"/>
      <c r="AA330" s="170"/>
      <c r="AB330" s="170"/>
      <c r="AC330" s="170"/>
      <c r="AD330" s="53"/>
      <c r="AE330" s="53"/>
    </row>
    <row r="331">
      <c r="A331" s="53"/>
      <c r="B331" s="53"/>
      <c r="C331" s="168"/>
      <c r="D331" s="169"/>
      <c r="E331" s="170"/>
      <c r="F331" s="53"/>
      <c r="G331" s="53"/>
      <c r="H331" s="53"/>
      <c r="I331" s="171"/>
      <c r="J331" s="170"/>
      <c r="K331" s="53"/>
      <c r="L331" s="53"/>
      <c r="M331" s="53"/>
      <c r="N331" s="171"/>
      <c r="O331" s="170"/>
      <c r="P331" s="53"/>
      <c r="Q331" s="53"/>
      <c r="R331" s="53"/>
      <c r="S331" s="171"/>
      <c r="T331" s="170"/>
      <c r="U331" s="53"/>
      <c r="V331" s="53"/>
      <c r="W331" s="53"/>
      <c r="X331" s="171"/>
      <c r="Y331" s="170"/>
      <c r="Z331" s="170"/>
      <c r="AA331" s="170"/>
      <c r="AB331" s="170"/>
      <c r="AC331" s="170"/>
      <c r="AD331" s="53"/>
      <c r="AE331" s="53"/>
    </row>
    <row r="332">
      <c r="A332" s="53"/>
      <c r="B332" s="53"/>
      <c r="C332" s="168"/>
      <c r="D332" s="169"/>
      <c r="E332" s="170"/>
      <c r="F332" s="53"/>
      <c r="G332" s="53"/>
      <c r="H332" s="53"/>
      <c r="I332" s="171"/>
      <c r="J332" s="170"/>
      <c r="K332" s="53"/>
      <c r="L332" s="53"/>
      <c r="M332" s="53"/>
      <c r="N332" s="171"/>
      <c r="O332" s="170"/>
      <c r="P332" s="53"/>
      <c r="Q332" s="53"/>
      <c r="R332" s="53"/>
      <c r="S332" s="171"/>
      <c r="T332" s="170"/>
      <c r="U332" s="53"/>
      <c r="V332" s="53"/>
      <c r="W332" s="53"/>
      <c r="X332" s="171"/>
      <c r="Y332" s="170"/>
      <c r="Z332" s="170"/>
      <c r="AA332" s="170"/>
      <c r="AB332" s="170"/>
      <c r="AC332" s="170"/>
      <c r="AD332" s="53"/>
      <c r="AE332" s="53"/>
    </row>
    <row r="333">
      <c r="A333" s="53"/>
      <c r="B333" s="53"/>
      <c r="C333" s="168"/>
      <c r="D333" s="169"/>
      <c r="E333" s="170"/>
      <c r="F333" s="53"/>
      <c r="G333" s="53"/>
      <c r="H333" s="53"/>
      <c r="I333" s="171"/>
      <c r="J333" s="170"/>
      <c r="K333" s="53"/>
      <c r="L333" s="53"/>
      <c r="M333" s="53"/>
      <c r="N333" s="171"/>
      <c r="O333" s="170"/>
      <c r="P333" s="53"/>
      <c r="Q333" s="53"/>
      <c r="R333" s="53"/>
      <c r="S333" s="171"/>
      <c r="T333" s="170"/>
      <c r="U333" s="53"/>
      <c r="V333" s="53"/>
      <c r="W333" s="53"/>
      <c r="X333" s="171"/>
      <c r="Y333" s="170"/>
      <c r="Z333" s="170"/>
      <c r="AA333" s="170"/>
      <c r="AB333" s="170"/>
      <c r="AC333" s="170"/>
      <c r="AD333" s="53"/>
      <c r="AE333" s="53"/>
    </row>
    <row r="334">
      <c r="A334" s="53"/>
      <c r="B334" s="53"/>
      <c r="C334" s="168"/>
      <c r="D334" s="169"/>
      <c r="E334" s="170"/>
      <c r="F334" s="53"/>
      <c r="G334" s="53"/>
      <c r="H334" s="53"/>
      <c r="I334" s="171"/>
      <c r="J334" s="170"/>
      <c r="K334" s="53"/>
      <c r="L334" s="53"/>
      <c r="M334" s="53"/>
      <c r="N334" s="171"/>
      <c r="O334" s="170"/>
      <c r="P334" s="53"/>
      <c r="Q334" s="53"/>
      <c r="R334" s="53"/>
      <c r="S334" s="171"/>
      <c r="T334" s="170"/>
      <c r="U334" s="53"/>
      <c r="V334" s="53"/>
      <c r="W334" s="53"/>
      <c r="X334" s="171"/>
      <c r="Y334" s="170"/>
      <c r="Z334" s="170"/>
      <c r="AA334" s="170"/>
      <c r="AB334" s="170"/>
      <c r="AC334" s="170"/>
      <c r="AD334" s="53"/>
      <c r="AE334" s="53"/>
    </row>
    <row r="335">
      <c r="A335" s="53"/>
      <c r="B335" s="53"/>
      <c r="C335" s="168"/>
      <c r="D335" s="169"/>
      <c r="E335" s="170"/>
      <c r="F335" s="53"/>
      <c r="G335" s="53"/>
      <c r="H335" s="53"/>
      <c r="I335" s="171"/>
      <c r="J335" s="170"/>
      <c r="K335" s="53"/>
      <c r="L335" s="53"/>
      <c r="M335" s="53"/>
      <c r="N335" s="171"/>
      <c r="O335" s="170"/>
      <c r="P335" s="53"/>
      <c r="Q335" s="53"/>
      <c r="R335" s="53"/>
      <c r="S335" s="171"/>
      <c r="T335" s="170"/>
      <c r="U335" s="53"/>
      <c r="V335" s="53"/>
      <c r="W335" s="53"/>
      <c r="X335" s="171"/>
      <c r="Y335" s="170"/>
      <c r="Z335" s="170"/>
      <c r="AA335" s="170"/>
      <c r="AB335" s="170"/>
      <c r="AC335" s="170"/>
      <c r="AD335" s="53"/>
      <c r="AE335" s="53"/>
    </row>
    <row r="336">
      <c r="A336" s="53"/>
      <c r="B336" s="53"/>
      <c r="C336" s="168"/>
      <c r="D336" s="169"/>
      <c r="E336" s="170"/>
      <c r="F336" s="53"/>
      <c r="G336" s="53"/>
      <c r="H336" s="53"/>
      <c r="I336" s="171"/>
      <c r="J336" s="170"/>
      <c r="K336" s="53"/>
      <c r="L336" s="53"/>
      <c r="M336" s="53"/>
      <c r="N336" s="171"/>
      <c r="O336" s="170"/>
      <c r="P336" s="53"/>
      <c r="Q336" s="53"/>
      <c r="R336" s="53"/>
      <c r="S336" s="171"/>
      <c r="T336" s="170"/>
      <c r="U336" s="53"/>
      <c r="V336" s="53"/>
      <c r="W336" s="53"/>
      <c r="X336" s="171"/>
      <c r="Y336" s="170"/>
      <c r="Z336" s="170"/>
      <c r="AA336" s="170"/>
      <c r="AB336" s="170"/>
      <c r="AC336" s="170"/>
      <c r="AD336" s="53"/>
      <c r="AE336" s="53"/>
    </row>
    <row r="337">
      <c r="A337" s="53"/>
      <c r="B337" s="53"/>
      <c r="C337" s="168"/>
      <c r="D337" s="169"/>
      <c r="E337" s="170"/>
      <c r="F337" s="53"/>
      <c r="G337" s="53"/>
      <c r="H337" s="53"/>
      <c r="I337" s="171"/>
      <c r="J337" s="170"/>
      <c r="K337" s="53"/>
      <c r="L337" s="53"/>
      <c r="M337" s="53"/>
      <c r="N337" s="171"/>
      <c r="O337" s="170"/>
      <c r="P337" s="53"/>
      <c r="Q337" s="53"/>
      <c r="R337" s="53"/>
      <c r="S337" s="171"/>
      <c r="T337" s="170"/>
      <c r="U337" s="53"/>
      <c r="V337" s="53"/>
      <c r="W337" s="53"/>
      <c r="X337" s="171"/>
      <c r="Y337" s="170"/>
      <c r="Z337" s="170"/>
      <c r="AA337" s="170"/>
      <c r="AB337" s="170"/>
      <c r="AC337" s="170"/>
      <c r="AD337" s="53"/>
      <c r="AE337" s="53"/>
    </row>
    <row r="338">
      <c r="A338" s="53"/>
      <c r="B338" s="53"/>
      <c r="C338" s="168"/>
      <c r="D338" s="169"/>
      <c r="E338" s="170"/>
      <c r="F338" s="53"/>
      <c r="G338" s="53"/>
      <c r="H338" s="53"/>
      <c r="I338" s="171"/>
      <c r="J338" s="170"/>
      <c r="K338" s="53"/>
      <c r="L338" s="53"/>
      <c r="M338" s="53"/>
      <c r="N338" s="171"/>
      <c r="O338" s="170"/>
      <c r="P338" s="53"/>
      <c r="Q338" s="53"/>
      <c r="R338" s="53"/>
      <c r="S338" s="171"/>
      <c r="T338" s="170"/>
      <c r="U338" s="53"/>
      <c r="V338" s="53"/>
      <c r="W338" s="53"/>
      <c r="X338" s="171"/>
      <c r="Y338" s="170"/>
      <c r="Z338" s="170"/>
      <c r="AA338" s="170"/>
      <c r="AB338" s="170"/>
      <c r="AC338" s="170"/>
      <c r="AD338" s="53"/>
      <c r="AE338" s="53"/>
    </row>
    <row r="339">
      <c r="A339" s="53"/>
      <c r="B339" s="53"/>
      <c r="C339" s="168"/>
      <c r="D339" s="169"/>
      <c r="E339" s="170"/>
      <c r="F339" s="53"/>
      <c r="G339" s="53"/>
      <c r="H339" s="53"/>
      <c r="I339" s="171"/>
      <c r="J339" s="170"/>
      <c r="K339" s="53"/>
      <c r="L339" s="53"/>
      <c r="M339" s="53"/>
      <c r="N339" s="171"/>
      <c r="O339" s="170"/>
      <c r="P339" s="53"/>
      <c r="Q339" s="53"/>
      <c r="R339" s="53"/>
      <c r="S339" s="171"/>
      <c r="T339" s="170"/>
      <c r="U339" s="53"/>
      <c r="V339" s="53"/>
      <c r="W339" s="53"/>
      <c r="X339" s="171"/>
      <c r="Y339" s="170"/>
      <c r="Z339" s="170"/>
      <c r="AA339" s="170"/>
      <c r="AB339" s="170"/>
      <c r="AC339" s="170"/>
      <c r="AD339" s="53"/>
      <c r="AE339" s="53"/>
    </row>
    <row r="340">
      <c r="A340" s="53"/>
      <c r="B340" s="53"/>
      <c r="C340" s="168"/>
      <c r="D340" s="169"/>
      <c r="E340" s="170"/>
      <c r="F340" s="53"/>
      <c r="G340" s="53"/>
      <c r="H340" s="53"/>
      <c r="I340" s="171"/>
      <c r="J340" s="170"/>
      <c r="K340" s="53"/>
      <c r="L340" s="53"/>
      <c r="M340" s="53"/>
      <c r="N340" s="171"/>
      <c r="O340" s="170"/>
      <c r="P340" s="53"/>
      <c r="Q340" s="53"/>
      <c r="R340" s="53"/>
      <c r="S340" s="171"/>
      <c r="T340" s="170"/>
      <c r="U340" s="53"/>
      <c r="V340" s="53"/>
      <c r="W340" s="53"/>
      <c r="X340" s="171"/>
      <c r="Y340" s="170"/>
      <c r="Z340" s="170"/>
      <c r="AA340" s="170"/>
      <c r="AB340" s="170"/>
      <c r="AC340" s="170"/>
      <c r="AD340" s="53"/>
      <c r="AE340" s="53"/>
    </row>
    <row r="341">
      <c r="A341" s="53"/>
      <c r="B341" s="53"/>
      <c r="C341" s="168"/>
      <c r="D341" s="169"/>
      <c r="E341" s="170"/>
      <c r="F341" s="53"/>
      <c r="G341" s="53"/>
      <c r="H341" s="53"/>
      <c r="I341" s="171"/>
      <c r="J341" s="170"/>
      <c r="K341" s="53"/>
      <c r="L341" s="53"/>
      <c r="M341" s="53"/>
      <c r="N341" s="171"/>
      <c r="O341" s="170"/>
      <c r="P341" s="53"/>
      <c r="Q341" s="53"/>
      <c r="R341" s="53"/>
      <c r="S341" s="171"/>
      <c r="T341" s="170"/>
      <c r="U341" s="53"/>
      <c r="V341" s="53"/>
      <c r="W341" s="53"/>
      <c r="X341" s="171"/>
      <c r="Y341" s="170"/>
      <c r="Z341" s="170"/>
      <c r="AA341" s="170"/>
      <c r="AB341" s="170"/>
      <c r="AC341" s="170"/>
      <c r="AD341" s="53"/>
      <c r="AE341" s="53"/>
    </row>
    <row r="342">
      <c r="A342" s="53"/>
      <c r="B342" s="53"/>
      <c r="C342" s="168"/>
      <c r="D342" s="169"/>
      <c r="E342" s="170"/>
      <c r="F342" s="53"/>
      <c r="G342" s="53"/>
      <c r="H342" s="53"/>
      <c r="I342" s="171"/>
      <c r="J342" s="170"/>
      <c r="K342" s="53"/>
      <c r="L342" s="53"/>
      <c r="M342" s="53"/>
      <c r="N342" s="171"/>
      <c r="O342" s="170"/>
      <c r="P342" s="53"/>
      <c r="Q342" s="53"/>
      <c r="R342" s="53"/>
      <c r="S342" s="171"/>
      <c r="T342" s="170"/>
      <c r="U342" s="53"/>
      <c r="V342" s="53"/>
      <c r="W342" s="53"/>
      <c r="X342" s="171"/>
      <c r="Y342" s="170"/>
      <c r="Z342" s="170"/>
      <c r="AA342" s="170"/>
      <c r="AB342" s="170"/>
      <c r="AC342" s="170"/>
      <c r="AD342" s="53"/>
      <c r="AE342" s="53"/>
    </row>
    <row r="343">
      <c r="A343" s="53"/>
      <c r="B343" s="53"/>
      <c r="C343" s="168"/>
      <c r="D343" s="169"/>
      <c r="E343" s="170"/>
      <c r="F343" s="53"/>
      <c r="G343" s="53"/>
      <c r="H343" s="53"/>
      <c r="I343" s="171"/>
      <c r="J343" s="170"/>
      <c r="K343" s="53"/>
      <c r="L343" s="53"/>
      <c r="M343" s="53"/>
      <c r="N343" s="171"/>
      <c r="O343" s="170"/>
      <c r="P343" s="53"/>
      <c r="Q343" s="53"/>
      <c r="R343" s="53"/>
      <c r="S343" s="171"/>
      <c r="T343" s="170"/>
      <c r="U343" s="53"/>
      <c r="V343" s="53"/>
      <c r="W343" s="53"/>
      <c r="X343" s="171"/>
      <c r="Y343" s="170"/>
      <c r="Z343" s="170"/>
      <c r="AA343" s="170"/>
      <c r="AB343" s="170"/>
      <c r="AC343" s="170"/>
      <c r="AD343" s="53"/>
      <c r="AE343" s="53"/>
    </row>
    <row r="344">
      <c r="A344" s="53"/>
      <c r="B344" s="53"/>
      <c r="C344" s="168"/>
      <c r="D344" s="169"/>
      <c r="E344" s="170"/>
      <c r="F344" s="53"/>
      <c r="G344" s="53"/>
      <c r="H344" s="53"/>
      <c r="I344" s="171"/>
      <c r="J344" s="170"/>
      <c r="K344" s="53"/>
      <c r="L344" s="53"/>
      <c r="M344" s="53"/>
      <c r="N344" s="171"/>
      <c r="O344" s="170"/>
      <c r="P344" s="53"/>
      <c r="Q344" s="53"/>
      <c r="R344" s="53"/>
      <c r="S344" s="171"/>
      <c r="T344" s="170"/>
      <c r="U344" s="53"/>
      <c r="V344" s="53"/>
      <c r="W344" s="53"/>
      <c r="X344" s="171"/>
      <c r="Y344" s="170"/>
      <c r="Z344" s="170"/>
      <c r="AA344" s="170"/>
      <c r="AB344" s="170"/>
      <c r="AC344" s="170"/>
      <c r="AD344" s="53"/>
      <c r="AE344" s="53"/>
    </row>
    <row r="345">
      <c r="A345" s="53"/>
      <c r="B345" s="53"/>
      <c r="C345" s="168"/>
      <c r="D345" s="169"/>
      <c r="E345" s="170"/>
      <c r="F345" s="53"/>
      <c r="G345" s="53"/>
      <c r="H345" s="53"/>
      <c r="I345" s="171"/>
      <c r="J345" s="170"/>
      <c r="K345" s="53"/>
      <c r="L345" s="53"/>
      <c r="M345" s="53"/>
      <c r="N345" s="171"/>
      <c r="O345" s="170"/>
      <c r="P345" s="53"/>
      <c r="Q345" s="53"/>
      <c r="R345" s="53"/>
      <c r="S345" s="171"/>
      <c r="T345" s="170"/>
      <c r="U345" s="53"/>
      <c r="V345" s="53"/>
      <c r="W345" s="53"/>
      <c r="X345" s="171"/>
      <c r="Y345" s="170"/>
      <c r="Z345" s="170"/>
      <c r="AA345" s="170"/>
      <c r="AB345" s="170"/>
      <c r="AC345" s="170"/>
      <c r="AD345" s="53"/>
      <c r="AE345" s="53"/>
    </row>
    <row r="346">
      <c r="A346" s="53"/>
      <c r="B346" s="53"/>
      <c r="C346" s="168"/>
      <c r="D346" s="169"/>
      <c r="E346" s="170"/>
      <c r="F346" s="53"/>
      <c r="G346" s="53"/>
      <c r="H346" s="53"/>
      <c r="I346" s="171"/>
      <c r="J346" s="170"/>
      <c r="K346" s="53"/>
      <c r="L346" s="53"/>
      <c r="M346" s="53"/>
      <c r="N346" s="171"/>
      <c r="O346" s="170"/>
      <c r="P346" s="53"/>
      <c r="Q346" s="53"/>
      <c r="R346" s="53"/>
      <c r="S346" s="171"/>
      <c r="T346" s="170"/>
      <c r="U346" s="53"/>
      <c r="V346" s="53"/>
      <c r="W346" s="53"/>
      <c r="X346" s="171"/>
      <c r="Y346" s="170"/>
      <c r="Z346" s="170"/>
      <c r="AA346" s="170"/>
      <c r="AB346" s="170"/>
      <c r="AC346" s="170"/>
      <c r="AD346" s="53"/>
      <c r="AE346" s="53"/>
    </row>
    <row r="347">
      <c r="A347" s="53"/>
      <c r="B347" s="53"/>
      <c r="C347" s="168"/>
      <c r="D347" s="169"/>
      <c r="E347" s="170"/>
      <c r="F347" s="53"/>
      <c r="G347" s="53"/>
      <c r="H347" s="53"/>
      <c r="I347" s="171"/>
      <c r="J347" s="170"/>
      <c r="K347" s="53"/>
      <c r="L347" s="53"/>
      <c r="M347" s="53"/>
      <c r="N347" s="171"/>
      <c r="O347" s="170"/>
      <c r="P347" s="53"/>
      <c r="Q347" s="53"/>
      <c r="R347" s="53"/>
      <c r="S347" s="171"/>
      <c r="T347" s="170"/>
      <c r="U347" s="53"/>
      <c r="V347" s="53"/>
      <c r="W347" s="53"/>
      <c r="X347" s="171"/>
      <c r="Y347" s="170"/>
      <c r="Z347" s="170"/>
      <c r="AA347" s="170"/>
      <c r="AB347" s="170"/>
      <c r="AC347" s="170"/>
      <c r="AD347" s="53"/>
      <c r="AE347" s="53"/>
    </row>
    <row r="348">
      <c r="A348" s="53"/>
      <c r="B348" s="53"/>
      <c r="C348" s="168"/>
      <c r="D348" s="169"/>
      <c r="E348" s="170"/>
      <c r="F348" s="53"/>
      <c r="G348" s="53"/>
      <c r="H348" s="53"/>
      <c r="I348" s="171"/>
      <c r="J348" s="170"/>
      <c r="K348" s="53"/>
      <c r="L348" s="53"/>
      <c r="M348" s="53"/>
      <c r="N348" s="171"/>
      <c r="O348" s="170"/>
      <c r="P348" s="53"/>
      <c r="Q348" s="53"/>
      <c r="R348" s="53"/>
      <c r="S348" s="171"/>
      <c r="T348" s="170"/>
      <c r="U348" s="53"/>
      <c r="V348" s="53"/>
      <c r="W348" s="53"/>
      <c r="X348" s="171"/>
      <c r="Y348" s="170"/>
      <c r="Z348" s="170"/>
      <c r="AA348" s="170"/>
      <c r="AB348" s="170"/>
      <c r="AC348" s="170"/>
      <c r="AD348" s="53"/>
      <c r="AE348" s="53"/>
    </row>
    <row r="349">
      <c r="A349" s="53"/>
      <c r="B349" s="53"/>
      <c r="C349" s="168"/>
      <c r="D349" s="169"/>
      <c r="E349" s="170"/>
      <c r="F349" s="53"/>
      <c r="G349" s="53"/>
      <c r="H349" s="53"/>
      <c r="I349" s="171"/>
      <c r="J349" s="170"/>
      <c r="K349" s="53"/>
      <c r="L349" s="53"/>
      <c r="M349" s="53"/>
      <c r="N349" s="171"/>
      <c r="O349" s="170"/>
      <c r="P349" s="53"/>
      <c r="Q349" s="53"/>
      <c r="R349" s="53"/>
      <c r="S349" s="171"/>
      <c r="T349" s="170"/>
      <c r="U349" s="53"/>
      <c r="V349" s="53"/>
      <c r="W349" s="53"/>
      <c r="X349" s="171"/>
      <c r="Y349" s="170"/>
      <c r="Z349" s="170"/>
      <c r="AA349" s="170"/>
      <c r="AB349" s="170"/>
      <c r="AC349" s="170"/>
      <c r="AD349" s="53"/>
      <c r="AE349" s="53"/>
    </row>
    <row r="350">
      <c r="A350" s="53"/>
      <c r="B350" s="53"/>
      <c r="C350" s="168"/>
      <c r="D350" s="169"/>
      <c r="E350" s="170"/>
      <c r="F350" s="53"/>
      <c r="G350" s="53"/>
      <c r="H350" s="53"/>
      <c r="I350" s="171"/>
      <c r="J350" s="170"/>
      <c r="K350" s="53"/>
      <c r="L350" s="53"/>
      <c r="M350" s="53"/>
      <c r="N350" s="171"/>
      <c r="O350" s="170"/>
      <c r="P350" s="53"/>
      <c r="Q350" s="53"/>
      <c r="R350" s="53"/>
      <c r="S350" s="171"/>
      <c r="T350" s="170"/>
      <c r="U350" s="53"/>
      <c r="V350" s="53"/>
      <c r="W350" s="53"/>
      <c r="X350" s="171"/>
      <c r="Y350" s="170"/>
      <c r="Z350" s="170"/>
      <c r="AA350" s="170"/>
      <c r="AB350" s="170"/>
      <c r="AC350" s="170"/>
      <c r="AD350" s="53"/>
      <c r="AE350" s="53"/>
    </row>
    <row r="351">
      <c r="A351" s="53"/>
      <c r="B351" s="53"/>
      <c r="C351" s="168"/>
      <c r="D351" s="169"/>
      <c r="E351" s="170"/>
      <c r="F351" s="53"/>
      <c r="G351" s="53"/>
      <c r="H351" s="53"/>
      <c r="I351" s="171"/>
      <c r="J351" s="170"/>
      <c r="K351" s="53"/>
      <c r="L351" s="53"/>
      <c r="M351" s="53"/>
      <c r="N351" s="171"/>
      <c r="O351" s="170"/>
      <c r="P351" s="53"/>
      <c r="Q351" s="53"/>
      <c r="R351" s="53"/>
      <c r="S351" s="171"/>
      <c r="T351" s="170"/>
      <c r="U351" s="53"/>
      <c r="V351" s="53"/>
      <c r="W351" s="53"/>
      <c r="X351" s="171"/>
      <c r="Y351" s="170"/>
      <c r="Z351" s="170"/>
      <c r="AA351" s="170"/>
      <c r="AB351" s="170"/>
      <c r="AC351" s="170"/>
      <c r="AD351" s="53"/>
      <c r="AE351" s="53"/>
    </row>
    <row r="352">
      <c r="A352" s="53"/>
      <c r="B352" s="53"/>
      <c r="C352" s="168"/>
      <c r="D352" s="169"/>
      <c r="E352" s="170"/>
      <c r="F352" s="53"/>
      <c r="G352" s="53"/>
      <c r="H352" s="53"/>
      <c r="I352" s="171"/>
      <c r="J352" s="170"/>
      <c r="K352" s="53"/>
      <c r="L352" s="53"/>
      <c r="M352" s="53"/>
      <c r="N352" s="171"/>
      <c r="O352" s="170"/>
      <c r="P352" s="53"/>
      <c r="Q352" s="53"/>
      <c r="R352" s="53"/>
      <c r="S352" s="171"/>
      <c r="T352" s="170"/>
      <c r="U352" s="53"/>
      <c r="V352" s="53"/>
      <c r="W352" s="53"/>
      <c r="X352" s="171"/>
      <c r="Y352" s="170"/>
      <c r="Z352" s="170"/>
      <c r="AA352" s="170"/>
      <c r="AB352" s="170"/>
      <c r="AC352" s="170"/>
      <c r="AD352" s="53"/>
      <c r="AE352" s="53"/>
    </row>
    <row r="353">
      <c r="A353" s="53"/>
      <c r="B353" s="53"/>
      <c r="C353" s="168"/>
      <c r="D353" s="169"/>
      <c r="E353" s="170"/>
      <c r="F353" s="53"/>
      <c r="G353" s="53"/>
      <c r="H353" s="53"/>
      <c r="I353" s="171"/>
      <c r="J353" s="170"/>
      <c r="K353" s="53"/>
      <c r="L353" s="53"/>
      <c r="M353" s="53"/>
      <c r="N353" s="171"/>
      <c r="O353" s="170"/>
      <c r="P353" s="53"/>
      <c r="Q353" s="53"/>
      <c r="R353" s="53"/>
      <c r="S353" s="171"/>
      <c r="T353" s="170"/>
      <c r="U353" s="53"/>
      <c r="V353" s="53"/>
      <c r="W353" s="53"/>
      <c r="X353" s="171"/>
      <c r="Y353" s="170"/>
      <c r="Z353" s="170"/>
      <c r="AA353" s="170"/>
      <c r="AB353" s="170"/>
      <c r="AC353" s="170"/>
      <c r="AD353" s="53"/>
      <c r="AE353" s="53"/>
    </row>
    <row r="354">
      <c r="A354" s="53"/>
      <c r="B354" s="53"/>
      <c r="C354" s="168"/>
      <c r="D354" s="169"/>
      <c r="E354" s="170"/>
      <c r="F354" s="53"/>
      <c r="G354" s="53"/>
      <c r="H354" s="53"/>
      <c r="I354" s="171"/>
      <c r="J354" s="170"/>
      <c r="K354" s="53"/>
      <c r="L354" s="53"/>
      <c r="M354" s="53"/>
      <c r="N354" s="171"/>
      <c r="O354" s="170"/>
      <c r="P354" s="53"/>
      <c r="Q354" s="53"/>
      <c r="R354" s="53"/>
      <c r="S354" s="171"/>
      <c r="T354" s="170"/>
      <c r="U354" s="53"/>
      <c r="V354" s="53"/>
      <c r="W354" s="53"/>
      <c r="X354" s="171"/>
      <c r="Y354" s="170"/>
      <c r="Z354" s="170"/>
      <c r="AA354" s="170"/>
      <c r="AB354" s="170"/>
      <c r="AC354" s="170"/>
      <c r="AD354" s="53"/>
      <c r="AE354" s="53"/>
    </row>
    <row r="355">
      <c r="A355" s="53"/>
      <c r="B355" s="53"/>
      <c r="C355" s="168"/>
      <c r="D355" s="169"/>
      <c r="E355" s="170"/>
      <c r="F355" s="53"/>
      <c r="G355" s="53"/>
      <c r="H355" s="53"/>
      <c r="I355" s="171"/>
      <c r="J355" s="170"/>
      <c r="K355" s="53"/>
      <c r="L355" s="53"/>
      <c r="M355" s="53"/>
      <c r="N355" s="171"/>
      <c r="O355" s="170"/>
      <c r="P355" s="53"/>
      <c r="Q355" s="53"/>
      <c r="R355" s="53"/>
      <c r="S355" s="171"/>
      <c r="T355" s="170"/>
      <c r="U355" s="53"/>
      <c r="V355" s="53"/>
      <c r="W355" s="53"/>
      <c r="X355" s="171"/>
      <c r="Y355" s="170"/>
      <c r="Z355" s="170"/>
      <c r="AA355" s="170"/>
      <c r="AB355" s="170"/>
      <c r="AC355" s="170"/>
      <c r="AD355" s="53"/>
      <c r="AE355" s="53"/>
    </row>
    <row r="356">
      <c r="A356" s="53"/>
      <c r="B356" s="53"/>
      <c r="C356" s="168"/>
      <c r="D356" s="169"/>
      <c r="E356" s="170"/>
      <c r="F356" s="53"/>
      <c r="G356" s="53"/>
      <c r="H356" s="53"/>
      <c r="I356" s="171"/>
      <c r="J356" s="170"/>
      <c r="K356" s="53"/>
      <c r="L356" s="53"/>
      <c r="M356" s="53"/>
      <c r="N356" s="171"/>
      <c r="O356" s="170"/>
      <c r="P356" s="53"/>
      <c r="Q356" s="53"/>
      <c r="R356" s="53"/>
      <c r="S356" s="171"/>
      <c r="T356" s="170"/>
      <c r="U356" s="53"/>
      <c r="V356" s="53"/>
      <c r="W356" s="53"/>
      <c r="X356" s="171"/>
      <c r="Y356" s="170"/>
      <c r="Z356" s="170"/>
      <c r="AA356" s="170"/>
      <c r="AB356" s="170"/>
      <c r="AC356" s="170"/>
      <c r="AD356" s="53"/>
      <c r="AE356" s="53"/>
    </row>
    <row r="357">
      <c r="A357" s="53"/>
      <c r="B357" s="53"/>
      <c r="C357" s="168"/>
      <c r="D357" s="169"/>
      <c r="E357" s="170"/>
      <c r="F357" s="53"/>
      <c r="G357" s="53"/>
      <c r="H357" s="53"/>
      <c r="I357" s="171"/>
      <c r="J357" s="170"/>
      <c r="K357" s="53"/>
      <c r="L357" s="53"/>
      <c r="M357" s="53"/>
      <c r="N357" s="171"/>
      <c r="O357" s="170"/>
      <c r="P357" s="53"/>
      <c r="Q357" s="53"/>
      <c r="R357" s="53"/>
      <c r="S357" s="171"/>
      <c r="T357" s="170"/>
      <c r="U357" s="53"/>
      <c r="V357" s="53"/>
      <c r="W357" s="53"/>
      <c r="X357" s="171"/>
      <c r="Y357" s="170"/>
      <c r="Z357" s="170"/>
      <c r="AA357" s="170"/>
      <c r="AB357" s="170"/>
      <c r="AC357" s="170"/>
      <c r="AD357" s="53"/>
      <c r="AE357" s="53"/>
    </row>
    <row r="358">
      <c r="A358" s="53"/>
      <c r="B358" s="53"/>
      <c r="C358" s="168"/>
      <c r="D358" s="169"/>
      <c r="E358" s="170"/>
      <c r="F358" s="53"/>
      <c r="G358" s="53"/>
      <c r="H358" s="53"/>
      <c r="I358" s="171"/>
      <c r="J358" s="170"/>
      <c r="K358" s="53"/>
      <c r="L358" s="53"/>
      <c r="M358" s="53"/>
      <c r="N358" s="171"/>
      <c r="O358" s="170"/>
      <c r="P358" s="53"/>
      <c r="Q358" s="53"/>
      <c r="R358" s="53"/>
      <c r="S358" s="171"/>
      <c r="T358" s="170"/>
      <c r="U358" s="53"/>
      <c r="V358" s="53"/>
      <c r="W358" s="53"/>
      <c r="X358" s="171"/>
      <c r="Y358" s="170"/>
      <c r="Z358" s="170"/>
      <c r="AA358" s="170"/>
      <c r="AB358" s="170"/>
      <c r="AC358" s="170"/>
      <c r="AD358" s="53"/>
      <c r="AE358" s="53"/>
    </row>
    <row r="359">
      <c r="A359" s="53"/>
      <c r="B359" s="53"/>
      <c r="C359" s="168"/>
      <c r="D359" s="169"/>
      <c r="E359" s="170"/>
      <c r="F359" s="53"/>
      <c r="G359" s="53"/>
      <c r="H359" s="53"/>
      <c r="I359" s="171"/>
      <c r="J359" s="170"/>
      <c r="K359" s="53"/>
      <c r="L359" s="53"/>
      <c r="M359" s="53"/>
      <c r="N359" s="171"/>
      <c r="O359" s="170"/>
      <c r="P359" s="53"/>
      <c r="Q359" s="53"/>
      <c r="R359" s="53"/>
      <c r="S359" s="171"/>
      <c r="T359" s="170"/>
      <c r="U359" s="53"/>
      <c r="V359" s="53"/>
      <c r="W359" s="53"/>
      <c r="X359" s="171"/>
      <c r="Y359" s="170"/>
      <c r="Z359" s="170"/>
      <c r="AA359" s="170"/>
      <c r="AB359" s="170"/>
      <c r="AC359" s="170"/>
      <c r="AD359" s="53"/>
      <c r="AE359" s="53"/>
    </row>
    <row r="360">
      <c r="A360" s="53"/>
      <c r="B360" s="53"/>
      <c r="C360" s="168"/>
      <c r="D360" s="169"/>
      <c r="E360" s="170"/>
      <c r="F360" s="53"/>
      <c r="G360" s="53"/>
      <c r="H360" s="53"/>
      <c r="I360" s="171"/>
      <c r="J360" s="170"/>
      <c r="K360" s="53"/>
      <c r="L360" s="53"/>
      <c r="M360" s="53"/>
      <c r="N360" s="171"/>
      <c r="O360" s="170"/>
      <c r="P360" s="53"/>
      <c r="Q360" s="53"/>
      <c r="R360" s="53"/>
      <c r="S360" s="171"/>
      <c r="T360" s="170"/>
      <c r="U360" s="53"/>
      <c r="V360" s="53"/>
      <c r="W360" s="53"/>
      <c r="X360" s="171"/>
      <c r="Y360" s="170"/>
      <c r="Z360" s="170"/>
      <c r="AA360" s="170"/>
      <c r="AB360" s="170"/>
      <c r="AC360" s="170"/>
      <c r="AD360" s="53"/>
      <c r="AE360" s="53"/>
    </row>
    <row r="361">
      <c r="A361" s="53"/>
      <c r="B361" s="53"/>
      <c r="C361" s="168"/>
      <c r="D361" s="169"/>
      <c r="E361" s="170"/>
      <c r="F361" s="53"/>
      <c r="G361" s="53"/>
      <c r="H361" s="53"/>
      <c r="I361" s="171"/>
      <c r="J361" s="170"/>
      <c r="K361" s="53"/>
      <c r="L361" s="53"/>
      <c r="M361" s="53"/>
      <c r="N361" s="171"/>
      <c r="O361" s="170"/>
      <c r="P361" s="53"/>
      <c r="Q361" s="53"/>
      <c r="R361" s="53"/>
      <c r="S361" s="171"/>
      <c r="T361" s="170"/>
      <c r="U361" s="53"/>
      <c r="V361" s="53"/>
      <c r="W361" s="53"/>
      <c r="X361" s="171"/>
      <c r="Y361" s="170"/>
      <c r="Z361" s="170"/>
      <c r="AA361" s="170"/>
      <c r="AB361" s="170"/>
      <c r="AC361" s="170"/>
      <c r="AD361" s="53"/>
      <c r="AE361" s="53"/>
    </row>
    <row r="362">
      <c r="A362" s="53"/>
      <c r="B362" s="53"/>
      <c r="C362" s="168"/>
      <c r="D362" s="169"/>
      <c r="E362" s="170"/>
      <c r="F362" s="53"/>
      <c r="G362" s="53"/>
      <c r="H362" s="53"/>
      <c r="I362" s="171"/>
      <c r="J362" s="170"/>
      <c r="K362" s="53"/>
      <c r="L362" s="53"/>
      <c r="M362" s="53"/>
      <c r="N362" s="171"/>
      <c r="O362" s="170"/>
      <c r="P362" s="53"/>
      <c r="Q362" s="53"/>
      <c r="R362" s="53"/>
      <c r="S362" s="171"/>
      <c r="T362" s="170"/>
      <c r="U362" s="53"/>
      <c r="V362" s="53"/>
      <c r="W362" s="53"/>
      <c r="X362" s="171"/>
      <c r="Y362" s="170"/>
      <c r="Z362" s="170"/>
      <c r="AA362" s="170"/>
      <c r="AB362" s="170"/>
      <c r="AC362" s="170"/>
      <c r="AD362" s="53"/>
      <c r="AE362" s="53"/>
    </row>
    <row r="363">
      <c r="A363" s="53"/>
      <c r="B363" s="53"/>
      <c r="C363" s="168"/>
      <c r="D363" s="169"/>
      <c r="E363" s="170"/>
      <c r="F363" s="53"/>
      <c r="G363" s="53"/>
      <c r="H363" s="53"/>
      <c r="I363" s="171"/>
      <c r="J363" s="170"/>
      <c r="K363" s="53"/>
      <c r="L363" s="53"/>
      <c r="M363" s="53"/>
      <c r="N363" s="171"/>
      <c r="O363" s="170"/>
      <c r="P363" s="53"/>
      <c r="Q363" s="53"/>
      <c r="R363" s="53"/>
      <c r="S363" s="171"/>
      <c r="T363" s="170"/>
      <c r="U363" s="53"/>
      <c r="V363" s="53"/>
      <c r="W363" s="53"/>
      <c r="X363" s="171"/>
      <c r="Y363" s="170"/>
      <c r="Z363" s="170"/>
      <c r="AA363" s="170"/>
      <c r="AB363" s="170"/>
      <c r="AC363" s="170"/>
      <c r="AD363" s="53"/>
      <c r="AE363" s="53"/>
    </row>
    <row r="364">
      <c r="A364" s="53"/>
      <c r="B364" s="53"/>
      <c r="C364" s="168"/>
      <c r="D364" s="169"/>
      <c r="E364" s="170"/>
      <c r="F364" s="53"/>
      <c r="G364" s="53"/>
      <c r="H364" s="53"/>
      <c r="I364" s="171"/>
      <c r="J364" s="170"/>
      <c r="K364" s="53"/>
      <c r="L364" s="53"/>
      <c r="M364" s="53"/>
      <c r="N364" s="171"/>
      <c r="O364" s="170"/>
      <c r="P364" s="53"/>
      <c r="Q364" s="53"/>
      <c r="R364" s="53"/>
      <c r="S364" s="171"/>
      <c r="T364" s="170"/>
      <c r="U364" s="53"/>
      <c r="V364" s="53"/>
      <c r="W364" s="53"/>
      <c r="X364" s="171"/>
      <c r="Y364" s="170"/>
      <c r="Z364" s="170"/>
      <c r="AA364" s="170"/>
      <c r="AB364" s="170"/>
      <c r="AC364" s="170"/>
      <c r="AD364" s="53"/>
      <c r="AE364" s="53"/>
    </row>
    <row r="365">
      <c r="A365" s="53"/>
      <c r="B365" s="53"/>
      <c r="C365" s="168"/>
      <c r="D365" s="169"/>
      <c r="E365" s="170"/>
      <c r="F365" s="53"/>
      <c r="G365" s="53"/>
      <c r="H365" s="53"/>
      <c r="I365" s="171"/>
      <c r="J365" s="170"/>
      <c r="K365" s="53"/>
      <c r="L365" s="53"/>
      <c r="M365" s="53"/>
      <c r="N365" s="171"/>
      <c r="O365" s="170"/>
      <c r="P365" s="53"/>
      <c r="Q365" s="53"/>
      <c r="R365" s="53"/>
      <c r="S365" s="171"/>
      <c r="T365" s="170"/>
      <c r="U365" s="53"/>
      <c r="V365" s="53"/>
      <c r="W365" s="53"/>
      <c r="X365" s="171"/>
      <c r="Y365" s="170"/>
      <c r="Z365" s="170"/>
      <c r="AA365" s="170"/>
      <c r="AB365" s="170"/>
      <c r="AC365" s="170"/>
      <c r="AD365" s="53"/>
      <c r="AE365" s="53"/>
    </row>
    <row r="366">
      <c r="A366" s="53"/>
      <c r="B366" s="53"/>
      <c r="C366" s="168"/>
      <c r="D366" s="169"/>
      <c r="E366" s="170"/>
      <c r="F366" s="53"/>
      <c r="G366" s="53"/>
      <c r="H366" s="53"/>
      <c r="I366" s="171"/>
      <c r="J366" s="170"/>
      <c r="K366" s="53"/>
      <c r="L366" s="53"/>
      <c r="M366" s="53"/>
      <c r="N366" s="171"/>
      <c r="O366" s="170"/>
      <c r="P366" s="53"/>
      <c r="Q366" s="53"/>
      <c r="R366" s="53"/>
      <c r="S366" s="171"/>
      <c r="T366" s="170"/>
      <c r="U366" s="53"/>
      <c r="V366" s="53"/>
      <c r="W366" s="53"/>
      <c r="X366" s="171"/>
      <c r="Y366" s="170"/>
      <c r="Z366" s="170"/>
      <c r="AA366" s="170"/>
      <c r="AB366" s="170"/>
      <c r="AC366" s="170"/>
      <c r="AD366" s="53"/>
      <c r="AE366" s="53"/>
    </row>
    <row r="367">
      <c r="A367" s="53"/>
      <c r="B367" s="53"/>
      <c r="C367" s="168"/>
      <c r="D367" s="169"/>
      <c r="E367" s="170"/>
      <c r="F367" s="53"/>
      <c r="G367" s="53"/>
      <c r="H367" s="53"/>
      <c r="I367" s="171"/>
      <c r="J367" s="170"/>
      <c r="K367" s="53"/>
      <c r="L367" s="53"/>
      <c r="M367" s="53"/>
      <c r="N367" s="171"/>
      <c r="O367" s="170"/>
      <c r="P367" s="53"/>
      <c r="Q367" s="53"/>
      <c r="R367" s="53"/>
      <c r="S367" s="171"/>
      <c r="T367" s="170"/>
      <c r="U367" s="53"/>
      <c r="V367" s="53"/>
      <c r="W367" s="53"/>
      <c r="X367" s="171"/>
      <c r="Y367" s="170"/>
      <c r="Z367" s="170"/>
      <c r="AA367" s="170"/>
      <c r="AB367" s="170"/>
      <c r="AC367" s="170"/>
      <c r="AD367" s="53"/>
      <c r="AE367" s="53"/>
    </row>
    <row r="368">
      <c r="A368" s="53"/>
      <c r="B368" s="53"/>
      <c r="C368" s="168"/>
      <c r="D368" s="169"/>
      <c r="E368" s="170"/>
      <c r="F368" s="53"/>
      <c r="G368" s="53"/>
      <c r="H368" s="53"/>
      <c r="I368" s="171"/>
      <c r="J368" s="170"/>
      <c r="K368" s="53"/>
      <c r="L368" s="53"/>
      <c r="M368" s="53"/>
      <c r="N368" s="171"/>
      <c r="O368" s="170"/>
      <c r="P368" s="53"/>
      <c r="Q368" s="53"/>
      <c r="R368" s="53"/>
      <c r="S368" s="171"/>
      <c r="T368" s="170"/>
      <c r="U368" s="53"/>
      <c r="V368" s="53"/>
      <c r="W368" s="53"/>
      <c r="X368" s="171"/>
      <c r="Y368" s="170"/>
      <c r="Z368" s="170"/>
      <c r="AA368" s="170"/>
      <c r="AB368" s="170"/>
      <c r="AC368" s="170"/>
      <c r="AD368" s="53"/>
      <c r="AE368" s="53"/>
    </row>
    <row r="369">
      <c r="A369" s="53"/>
      <c r="B369" s="53"/>
      <c r="C369" s="168"/>
      <c r="D369" s="169"/>
      <c r="E369" s="170"/>
      <c r="F369" s="53"/>
      <c r="G369" s="53"/>
      <c r="H369" s="53"/>
      <c r="I369" s="171"/>
      <c r="J369" s="170"/>
      <c r="K369" s="53"/>
      <c r="L369" s="53"/>
      <c r="M369" s="53"/>
      <c r="N369" s="171"/>
      <c r="O369" s="170"/>
      <c r="P369" s="53"/>
      <c r="Q369" s="53"/>
      <c r="R369" s="53"/>
      <c r="S369" s="171"/>
      <c r="T369" s="170"/>
      <c r="U369" s="53"/>
      <c r="V369" s="53"/>
      <c r="W369" s="53"/>
      <c r="X369" s="171"/>
      <c r="Y369" s="170"/>
      <c r="Z369" s="170"/>
      <c r="AA369" s="170"/>
      <c r="AB369" s="170"/>
      <c r="AC369" s="170"/>
      <c r="AD369" s="53"/>
      <c r="AE369" s="53"/>
    </row>
    <row r="370">
      <c r="A370" s="53"/>
      <c r="B370" s="53"/>
      <c r="C370" s="168"/>
      <c r="D370" s="169"/>
      <c r="E370" s="170"/>
      <c r="F370" s="53"/>
      <c r="G370" s="53"/>
      <c r="H370" s="53"/>
      <c r="I370" s="171"/>
      <c r="J370" s="170"/>
      <c r="K370" s="53"/>
      <c r="L370" s="53"/>
      <c r="M370" s="53"/>
      <c r="N370" s="171"/>
      <c r="O370" s="170"/>
      <c r="P370" s="53"/>
      <c r="Q370" s="53"/>
      <c r="R370" s="53"/>
      <c r="S370" s="171"/>
      <c r="T370" s="170"/>
      <c r="U370" s="53"/>
      <c r="V370" s="53"/>
      <c r="W370" s="53"/>
      <c r="X370" s="171"/>
      <c r="Y370" s="170"/>
      <c r="Z370" s="170"/>
      <c r="AA370" s="170"/>
      <c r="AB370" s="170"/>
      <c r="AC370" s="170"/>
      <c r="AD370" s="53"/>
      <c r="AE370" s="53"/>
    </row>
    <row r="371">
      <c r="A371" s="53"/>
      <c r="B371" s="53"/>
      <c r="C371" s="168"/>
      <c r="D371" s="169"/>
      <c r="E371" s="170"/>
      <c r="F371" s="53"/>
      <c r="G371" s="53"/>
      <c r="H371" s="53"/>
      <c r="I371" s="171"/>
      <c r="J371" s="170"/>
      <c r="K371" s="53"/>
      <c r="L371" s="53"/>
      <c r="M371" s="53"/>
      <c r="N371" s="171"/>
      <c r="O371" s="170"/>
      <c r="P371" s="53"/>
      <c r="Q371" s="53"/>
      <c r="R371" s="53"/>
      <c r="S371" s="171"/>
      <c r="T371" s="170"/>
      <c r="U371" s="53"/>
      <c r="V371" s="53"/>
      <c r="W371" s="53"/>
      <c r="X371" s="171"/>
      <c r="Y371" s="170"/>
      <c r="Z371" s="170"/>
      <c r="AA371" s="170"/>
      <c r="AB371" s="170"/>
      <c r="AC371" s="170"/>
      <c r="AD371" s="53"/>
      <c r="AE371" s="53"/>
    </row>
    <row r="372">
      <c r="A372" s="53"/>
      <c r="B372" s="53"/>
      <c r="C372" s="168"/>
      <c r="D372" s="169"/>
      <c r="E372" s="170"/>
      <c r="F372" s="53"/>
      <c r="G372" s="53"/>
      <c r="H372" s="53"/>
      <c r="I372" s="171"/>
      <c r="J372" s="170"/>
      <c r="K372" s="53"/>
      <c r="L372" s="53"/>
      <c r="M372" s="53"/>
      <c r="N372" s="171"/>
      <c r="O372" s="170"/>
      <c r="P372" s="53"/>
      <c r="Q372" s="53"/>
      <c r="R372" s="53"/>
      <c r="S372" s="171"/>
      <c r="T372" s="170"/>
      <c r="U372" s="53"/>
      <c r="V372" s="53"/>
      <c r="W372" s="53"/>
      <c r="X372" s="171"/>
      <c r="Y372" s="170"/>
      <c r="Z372" s="170"/>
      <c r="AA372" s="170"/>
      <c r="AB372" s="170"/>
      <c r="AC372" s="170"/>
      <c r="AD372" s="53"/>
      <c r="AE372" s="53"/>
    </row>
    <row r="373">
      <c r="A373" s="53"/>
      <c r="B373" s="53"/>
      <c r="C373" s="168"/>
      <c r="D373" s="169"/>
      <c r="E373" s="170"/>
      <c r="F373" s="53"/>
      <c r="G373" s="53"/>
      <c r="H373" s="53"/>
      <c r="I373" s="171"/>
      <c r="J373" s="170"/>
      <c r="K373" s="53"/>
      <c r="L373" s="53"/>
      <c r="M373" s="53"/>
      <c r="N373" s="171"/>
      <c r="O373" s="170"/>
      <c r="P373" s="53"/>
      <c r="Q373" s="53"/>
      <c r="R373" s="53"/>
      <c r="S373" s="171"/>
      <c r="T373" s="170"/>
      <c r="U373" s="53"/>
      <c r="V373" s="53"/>
      <c r="W373" s="53"/>
      <c r="X373" s="171"/>
      <c r="Y373" s="170"/>
      <c r="Z373" s="170"/>
      <c r="AA373" s="170"/>
      <c r="AB373" s="170"/>
      <c r="AC373" s="170"/>
      <c r="AD373" s="53"/>
      <c r="AE373" s="53"/>
    </row>
    <row r="374">
      <c r="A374" s="53"/>
      <c r="B374" s="53"/>
      <c r="C374" s="168"/>
      <c r="D374" s="169"/>
      <c r="E374" s="170"/>
      <c r="F374" s="53"/>
      <c r="G374" s="53"/>
      <c r="H374" s="53"/>
      <c r="I374" s="171"/>
      <c r="J374" s="170"/>
      <c r="K374" s="53"/>
      <c r="L374" s="53"/>
      <c r="M374" s="53"/>
      <c r="N374" s="171"/>
      <c r="O374" s="170"/>
      <c r="P374" s="53"/>
      <c r="Q374" s="53"/>
      <c r="R374" s="53"/>
      <c r="S374" s="171"/>
      <c r="T374" s="170"/>
      <c r="U374" s="53"/>
      <c r="V374" s="53"/>
      <c r="W374" s="53"/>
      <c r="X374" s="171"/>
      <c r="Y374" s="170"/>
      <c r="Z374" s="170"/>
      <c r="AA374" s="170"/>
      <c r="AB374" s="170"/>
      <c r="AC374" s="170"/>
      <c r="AD374" s="53"/>
      <c r="AE374" s="53"/>
    </row>
    <row r="375">
      <c r="A375" s="53"/>
      <c r="B375" s="53"/>
      <c r="C375" s="168"/>
      <c r="D375" s="169"/>
      <c r="E375" s="170"/>
      <c r="F375" s="53"/>
      <c r="G375" s="53"/>
      <c r="H375" s="53"/>
      <c r="I375" s="171"/>
      <c r="J375" s="170"/>
      <c r="K375" s="53"/>
      <c r="L375" s="53"/>
      <c r="M375" s="53"/>
      <c r="N375" s="171"/>
      <c r="O375" s="170"/>
      <c r="P375" s="53"/>
      <c r="Q375" s="53"/>
      <c r="R375" s="53"/>
      <c r="S375" s="171"/>
      <c r="T375" s="170"/>
      <c r="U375" s="53"/>
      <c r="V375" s="53"/>
      <c r="W375" s="53"/>
      <c r="X375" s="171"/>
      <c r="Y375" s="170"/>
      <c r="Z375" s="170"/>
      <c r="AA375" s="170"/>
      <c r="AB375" s="170"/>
      <c r="AC375" s="170"/>
      <c r="AD375" s="53"/>
      <c r="AE375" s="53"/>
    </row>
    <row r="376">
      <c r="A376" s="53"/>
      <c r="B376" s="53"/>
      <c r="C376" s="168"/>
      <c r="D376" s="169"/>
      <c r="E376" s="170"/>
      <c r="F376" s="53"/>
      <c r="G376" s="53"/>
      <c r="H376" s="53"/>
      <c r="I376" s="171"/>
      <c r="J376" s="170"/>
      <c r="K376" s="53"/>
      <c r="L376" s="53"/>
      <c r="M376" s="53"/>
      <c r="N376" s="171"/>
      <c r="O376" s="170"/>
      <c r="P376" s="53"/>
      <c r="Q376" s="53"/>
      <c r="R376" s="53"/>
      <c r="S376" s="171"/>
      <c r="T376" s="170"/>
      <c r="U376" s="53"/>
      <c r="V376" s="53"/>
      <c r="W376" s="53"/>
      <c r="X376" s="171"/>
      <c r="Y376" s="170"/>
      <c r="Z376" s="170"/>
      <c r="AA376" s="170"/>
      <c r="AB376" s="170"/>
      <c r="AC376" s="170"/>
      <c r="AD376" s="53"/>
      <c r="AE376" s="53"/>
    </row>
    <row r="377">
      <c r="A377" s="53"/>
      <c r="B377" s="53"/>
      <c r="C377" s="168"/>
      <c r="D377" s="169"/>
      <c r="E377" s="170"/>
      <c r="F377" s="53"/>
      <c r="G377" s="53"/>
      <c r="H377" s="53"/>
      <c r="I377" s="171"/>
      <c r="J377" s="170"/>
      <c r="K377" s="53"/>
      <c r="L377" s="53"/>
      <c r="M377" s="53"/>
      <c r="N377" s="171"/>
      <c r="O377" s="170"/>
      <c r="P377" s="53"/>
      <c r="Q377" s="53"/>
      <c r="R377" s="53"/>
      <c r="S377" s="171"/>
      <c r="T377" s="170"/>
      <c r="U377" s="53"/>
      <c r="V377" s="53"/>
      <c r="W377" s="53"/>
      <c r="X377" s="171"/>
      <c r="Y377" s="170"/>
      <c r="Z377" s="170"/>
      <c r="AA377" s="170"/>
      <c r="AB377" s="170"/>
      <c r="AC377" s="170"/>
      <c r="AD377" s="53"/>
      <c r="AE377" s="53"/>
    </row>
    <row r="378">
      <c r="A378" s="53"/>
      <c r="B378" s="53"/>
      <c r="C378" s="168"/>
      <c r="D378" s="169"/>
      <c r="E378" s="170"/>
      <c r="F378" s="53"/>
      <c r="G378" s="53"/>
      <c r="H378" s="53"/>
      <c r="I378" s="171"/>
      <c r="J378" s="170"/>
      <c r="K378" s="53"/>
      <c r="L378" s="53"/>
      <c r="M378" s="53"/>
      <c r="N378" s="171"/>
      <c r="O378" s="170"/>
      <c r="P378" s="53"/>
      <c r="Q378" s="53"/>
      <c r="R378" s="53"/>
      <c r="S378" s="171"/>
      <c r="T378" s="170"/>
      <c r="U378" s="53"/>
      <c r="V378" s="53"/>
      <c r="W378" s="53"/>
      <c r="X378" s="171"/>
      <c r="Y378" s="170"/>
      <c r="Z378" s="170"/>
      <c r="AA378" s="170"/>
      <c r="AB378" s="170"/>
      <c r="AC378" s="170"/>
      <c r="AD378" s="53"/>
      <c r="AE378" s="53"/>
    </row>
    <row r="379">
      <c r="A379" s="53"/>
      <c r="B379" s="53"/>
      <c r="C379" s="168"/>
      <c r="D379" s="169"/>
      <c r="E379" s="170"/>
      <c r="F379" s="53"/>
      <c r="G379" s="53"/>
      <c r="H379" s="53"/>
      <c r="I379" s="171"/>
      <c r="J379" s="170"/>
      <c r="K379" s="53"/>
      <c r="L379" s="53"/>
      <c r="M379" s="53"/>
      <c r="N379" s="171"/>
      <c r="O379" s="170"/>
      <c r="P379" s="53"/>
      <c r="Q379" s="53"/>
      <c r="R379" s="53"/>
      <c r="S379" s="171"/>
      <c r="T379" s="170"/>
      <c r="U379" s="53"/>
      <c r="V379" s="53"/>
      <c r="W379" s="53"/>
      <c r="X379" s="171"/>
      <c r="Y379" s="170"/>
      <c r="Z379" s="170"/>
      <c r="AA379" s="170"/>
      <c r="AB379" s="170"/>
      <c r="AC379" s="170"/>
      <c r="AD379" s="53"/>
      <c r="AE379" s="53"/>
    </row>
    <row r="380">
      <c r="A380" s="53"/>
      <c r="B380" s="53"/>
      <c r="C380" s="168"/>
      <c r="D380" s="169"/>
      <c r="E380" s="170"/>
      <c r="F380" s="53"/>
      <c r="G380" s="53"/>
      <c r="H380" s="53"/>
      <c r="I380" s="171"/>
      <c r="J380" s="170"/>
      <c r="K380" s="53"/>
      <c r="L380" s="53"/>
      <c r="M380" s="53"/>
      <c r="N380" s="171"/>
      <c r="O380" s="170"/>
      <c r="P380" s="53"/>
      <c r="Q380" s="53"/>
      <c r="R380" s="53"/>
      <c r="S380" s="171"/>
      <c r="T380" s="170"/>
      <c r="U380" s="53"/>
      <c r="V380" s="53"/>
      <c r="W380" s="53"/>
      <c r="X380" s="171"/>
      <c r="Y380" s="170"/>
      <c r="Z380" s="170"/>
      <c r="AA380" s="170"/>
      <c r="AB380" s="170"/>
      <c r="AC380" s="170"/>
      <c r="AD380" s="53"/>
      <c r="AE380" s="53"/>
    </row>
    <row r="381">
      <c r="A381" s="53"/>
      <c r="B381" s="53"/>
      <c r="C381" s="168"/>
      <c r="D381" s="169"/>
      <c r="E381" s="170"/>
      <c r="F381" s="53"/>
      <c r="G381" s="53"/>
      <c r="H381" s="53"/>
      <c r="I381" s="171"/>
      <c r="J381" s="170"/>
      <c r="K381" s="53"/>
      <c r="L381" s="53"/>
      <c r="M381" s="53"/>
      <c r="N381" s="171"/>
      <c r="O381" s="170"/>
      <c r="P381" s="53"/>
      <c r="Q381" s="53"/>
      <c r="R381" s="53"/>
      <c r="S381" s="171"/>
      <c r="T381" s="170"/>
      <c r="U381" s="53"/>
      <c r="V381" s="53"/>
      <c r="W381" s="53"/>
      <c r="X381" s="171"/>
      <c r="Y381" s="170"/>
      <c r="Z381" s="170"/>
      <c r="AA381" s="170"/>
      <c r="AB381" s="170"/>
      <c r="AC381" s="170"/>
      <c r="AD381" s="53"/>
      <c r="AE381" s="53"/>
    </row>
    <row r="382">
      <c r="A382" s="53"/>
      <c r="B382" s="53"/>
      <c r="C382" s="168"/>
      <c r="D382" s="169"/>
      <c r="E382" s="170"/>
      <c r="F382" s="53"/>
      <c r="G382" s="53"/>
      <c r="H382" s="53"/>
      <c r="I382" s="171"/>
      <c r="J382" s="170"/>
      <c r="K382" s="53"/>
      <c r="L382" s="53"/>
      <c r="M382" s="53"/>
      <c r="N382" s="171"/>
      <c r="O382" s="170"/>
      <c r="P382" s="53"/>
      <c r="Q382" s="53"/>
      <c r="R382" s="53"/>
      <c r="S382" s="171"/>
      <c r="T382" s="170"/>
      <c r="U382" s="53"/>
      <c r="V382" s="53"/>
      <c r="W382" s="53"/>
      <c r="X382" s="171"/>
      <c r="Y382" s="170"/>
      <c r="Z382" s="170"/>
      <c r="AA382" s="170"/>
      <c r="AB382" s="170"/>
      <c r="AC382" s="170"/>
      <c r="AD382" s="53"/>
      <c r="AE382" s="53"/>
    </row>
    <row r="383">
      <c r="A383" s="53"/>
      <c r="B383" s="53"/>
      <c r="C383" s="168"/>
      <c r="D383" s="169"/>
      <c r="E383" s="170"/>
      <c r="F383" s="53"/>
      <c r="G383" s="53"/>
      <c r="H383" s="53"/>
      <c r="I383" s="171"/>
      <c r="J383" s="170"/>
      <c r="K383" s="53"/>
      <c r="L383" s="53"/>
      <c r="M383" s="53"/>
      <c r="N383" s="171"/>
      <c r="O383" s="170"/>
      <c r="P383" s="53"/>
      <c r="Q383" s="53"/>
      <c r="R383" s="53"/>
      <c r="S383" s="171"/>
      <c r="T383" s="170"/>
      <c r="U383" s="53"/>
      <c r="V383" s="53"/>
      <c r="W383" s="53"/>
      <c r="X383" s="171"/>
      <c r="Y383" s="170"/>
      <c r="Z383" s="170"/>
      <c r="AA383" s="170"/>
      <c r="AB383" s="170"/>
      <c r="AC383" s="170"/>
      <c r="AD383" s="53"/>
      <c r="AE383" s="53"/>
    </row>
    <row r="384">
      <c r="A384" s="53"/>
      <c r="B384" s="53"/>
      <c r="C384" s="168"/>
      <c r="D384" s="169"/>
      <c r="E384" s="170"/>
      <c r="F384" s="53"/>
      <c r="G384" s="53"/>
      <c r="H384" s="53"/>
      <c r="I384" s="171"/>
      <c r="J384" s="170"/>
      <c r="K384" s="53"/>
      <c r="L384" s="53"/>
      <c r="M384" s="53"/>
      <c r="N384" s="171"/>
      <c r="O384" s="170"/>
      <c r="P384" s="53"/>
      <c r="Q384" s="53"/>
      <c r="R384" s="53"/>
      <c r="S384" s="171"/>
      <c r="T384" s="170"/>
      <c r="U384" s="53"/>
      <c r="V384" s="53"/>
      <c r="W384" s="53"/>
      <c r="X384" s="171"/>
      <c r="Y384" s="170"/>
      <c r="Z384" s="170"/>
      <c r="AA384" s="170"/>
      <c r="AB384" s="170"/>
      <c r="AC384" s="170"/>
      <c r="AD384" s="53"/>
      <c r="AE384" s="53"/>
    </row>
    <row r="385">
      <c r="A385" s="53"/>
      <c r="B385" s="53"/>
      <c r="C385" s="168"/>
      <c r="D385" s="169"/>
      <c r="E385" s="170"/>
      <c r="F385" s="53"/>
      <c r="G385" s="53"/>
      <c r="H385" s="53"/>
      <c r="I385" s="171"/>
      <c r="J385" s="170"/>
      <c r="K385" s="53"/>
      <c r="L385" s="53"/>
      <c r="M385" s="53"/>
      <c r="N385" s="171"/>
      <c r="O385" s="170"/>
      <c r="P385" s="53"/>
      <c r="Q385" s="53"/>
      <c r="R385" s="53"/>
      <c r="S385" s="171"/>
      <c r="T385" s="170"/>
      <c r="U385" s="53"/>
      <c r="V385" s="53"/>
      <c r="W385" s="53"/>
      <c r="X385" s="171"/>
      <c r="Y385" s="170"/>
      <c r="Z385" s="170"/>
      <c r="AA385" s="170"/>
      <c r="AB385" s="170"/>
      <c r="AC385" s="170"/>
      <c r="AD385" s="53"/>
      <c r="AE385" s="53"/>
    </row>
    <row r="386">
      <c r="A386" s="53"/>
      <c r="B386" s="53"/>
      <c r="C386" s="168"/>
      <c r="D386" s="169"/>
      <c r="E386" s="170"/>
      <c r="F386" s="53"/>
      <c r="G386" s="53"/>
      <c r="H386" s="53"/>
      <c r="I386" s="171"/>
      <c r="J386" s="170"/>
      <c r="K386" s="53"/>
      <c r="L386" s="53"/>
      <c r="M386" s="53"/>
      <c r="N386" s="171"/>
      <c r="O386" s="170"/>
      <c r="P386" s="53"/>
      <c r="Q386" s="53"/>
      <c r="R386" s="53"/>
      <c r="S386" s="171"/>
      <c r="T386" s="170"/>
      <c r="U386" s="53"/>
      <c r="V386" s="53"/>
      <c r="W386" s="53"/>
      <c r="X386" s="171"/>
      <c r="Y386" s="170"/>
      <c r="Z386" s="170"/>
      <c r="AA386" s="170"/>
      <c r="AB386" s="170"/>
      <c r="AC386" s="170"/>
      <c r="AD386" s="53"/>
      <c r="AE386" s="53"/>
    </row>
    <row r="387">
      <c r="A387" s="53"/>
      <c r="B387" s="53"/>
      <c r="C387" s="168"/>
      <c r="D387" s="169"/>
      <c r="E387" s="170"/>
      <c r="F387" s="53"/>
      <c r="G387" s="53"/>
      <c r="H387" s="53"/>
      <c r="I387" s="171"/>
      <c r="J387" s="170"/>
      <c r="K387" s="53"/>
      <c r="L387" s="53"/>
      <c r="M387" s="53"/>
      <c r="N387" s="171"/>
      <c r="O387" s="170"/>
      <c r="P387" s="53"/>
      <c r="Q387" s="53"/>
      <c r="R387" s="53"/>
      <c r="S387" s="171"/>
      <c r="T387" s="170"/>
      <c r="U387" s="53"/>
      <c r="V387" s="53"/>
      <c r="W387" s="53"/>
      <c r="X387" s="171"/>
      <c r="Y387" s="170"/>
      <c r="Z387" s="170"/>
      <c r="AA387" s="170"/>
      <c r="AB387" s="170"/>
      <c r="AC387" s="170"/>
      <c r="AD387" s="53"/>
      <c r="AE387" s="53"/>
    </row>
    <row r="388">
      <c r="A388" s="53"/>
      <c r="B388" s="53"/>
      <c r="C388" s="168"/>
      <c r="D388" s="169"/>
      <c r="E388" s="170"/>
      <c r="F388" s="53"/>
      <c r="G388" s="53"/>
      <c r="H388" s="53"/>
      <c r="I388" s="171"/>
      <c r="J388" s="170"/>
      <c r="K388" s="53"/>
      <c r="L388" s="53"/>
      <c r="M388" s="53"/>
      <c r="N388" s="171"/>
      <c r="O388" s="170"/>
      <c r="P388" s="53"/>
      <c r="Q388" s="53"/>
      <c r="R388" s="53"/>
      <c r="S388" s="171"/>
      <c r="T388" s="170"/>
      <c r="U388" s="53"/>
      <c r="V388" s="53"/>
      <c r="W388" s="53"/>
      <c r="X388" s="171"/>
      <c r="Y388" s="170"/>
      <c r="Z388" s="170"/>
      <c r="AA388" s="170"/>
      <c r="AB388" s="170"/>
      <c r="AC388" s="170"/>
      <c r="AD388" s="53"/>
      <c r="AE388" s="53"/>
    </row>
    <row r="389">
      <c r="A389" s="53"/>
      <c r="B389" s="53"/>
      <c r="C389" s="168"/>
      <c r="D389" s="169"/>
      <c r="E389" s="170"/>
      <c r="F389" s="53"/>
      <c r="G389" s="53"/>
      <c r="H389" s="53"/>
      <c r="I389" s="171"/>
      <c r="J389" s="170"/>
      <c r="K389" s="53"/>
      <c r="L389" s="53"/>
      <c r="M389" s="53"/>
      <c r="N389" s="171"/>
      <c r="O389" s="170"/>
      <c r="P389" s="53"/>
      <c r="Q389" s="53"/>
      <c r="R389" s="53"/>
      <c r="S389" s="171"/>
      <c r="T389" s="170"/>
      <c r="U389" s="53"/>
      <c r="V389" s="53"/>
      <c r="W389" s="53"/>
      <c r="X389" s="171"/>
      <c r="Y389" s="170"/>
      <c r="Z389" s="170"/>
      <c r="AA389" s="170"/>
      <c r="AB389" s="170"/>
      <c r="AC389" s="170"/>
      <c r="AD389" s="53"/>
      <c r="AE389" s="53"/>
    </row>
    <row r="390">
      <c r="A390" s="53"/>
      <c r="B390" s="53"/>
      <c r="C390" s="168"/>
      <c r="D390" s="169"/>
      <c r="E390" s="170"/>
      <c r="F390" s="53"/>
      <c r="G390" s="53"/>
      <c r="H390" s="53"/>
      <c r="I390" s="171"/>
      <c r="J390" s="170"/>
      <c r="K390" s="53"/>
      <c r="L390" s="53"/>
      <c r="M390" s="53"/>
      <c r="N390" s="171"/>
      <c r="O390" s="170"/>
      <c r="P390" s="53"/>
      <c r="Q390" s="53"/>
      <c r="R390" s="53"/>
      <c r="S390" s="171"/>
      <c r="T390" s="170"/>
      <c r="U390" s="53"/>
      <c r="V390" s="53"/>
      <c r="W390" s="53"/>
      <c r="X390" s="171"/>
      <c r="Y390" s="170"/>
      <c r="Z390" s="170"/>
      <c r="AA390" s="170"/>
      <c r="AB390" s="170"/>
      <c r="AC390" s="170"/>
      <c r="AD390" s="53"/>
      <c r="AE390" s="53"/>
    </row>
    <row r="391">
      <c r="A391" s="53"/>
      <c r="B391" s="53"/>
      <c r="C391" s="168"/>
      <c r="D391" s="169"/>
      <c r="E391" s="170"/>
      <c r="F391" s="53"/>
      <c r="G391" s="53"/>
      <c r="H391" s="53"/>
      <c r="I391" s="171"/>
      <c r="J391" s="170"/>
      <c r="K391" s="53"/>
      <c r="L391" s="53"/>
      <c r="M391" s="53"/>
      <c r="N391" s="171"/>
      <c r="O391" s="170"/>
      <c r="P391" s="53"/>
      <c r="Q391" s="53"/>
      <c r="R391" s="53"/>
      <c r="S391" s="171"/>
      <c r="T391" s="170"/>
      <c r="U391" s="53"/>
      <c r="V391" s="53"/>
      <c r="W391" s="53"/>
      <c r="X391" s="171"/>
      <c r="Y391" s="170"/>
      <c r="Z391" s="170"/>
      <c r="AA391" s="170"/>
      <c r="AB391" s="170"/>
      <c r="AC391" s="170"/>
      <c r="AD391" s="53"/>
      <c r="AE391" s="53"/>
    </row>
    <row r="392">
      <c r="A392" s="53"/>
      <c r="B392" s="53"/>
      <c r="C392" s="168"/>
      <c r="D392" s="169"/>
      <c r="E392" s="170"/>
      <c r="F392" s="53"/>
      <c r="G392" s="53"/>
      <c r="H392" s="53"/>
      <c r="I392" s="171"/>
      <c r="J392" s="170"/>
      <c r="K392" s="53"/>
      <c r="L392" s="53"/>
      <c r="M392" s="53"/>
      <c r="N392" s="171"/>
      <c r="O392" s="170"/>
      <c r="P392" s="53"/>
      <c r="Q392" s="53"/>
      <c r="R392" s="53"/>
      <c r="S392" s="171"/>
      <c r="T392" s="170"/>
      <c r="U392" s="53"/>
      <c r="V392" s="53"/>
      <c r="W392" s="53"/>
      <c r="X392" s="171"/>
      <c r="Y392" s="170"/>
      <c r="Z392" s="170"/>
      <c r="AA392" s="170"/>
      <c r="AB392" s="170"/>
      <c r="AC392" s="170"/>
      <c r="AD392" s="53"/>
      <c r="AE392" s="53"/>
    </row>
    <row r="393">
      <c r="A393" s="53"/>
      <c r="B393" s="53"/>
      <c r="C393" s="168"/>
      <c r="D393" s="169"/>
      <c r="E393" s="170"/>
      <c r="F393" s="53"/>
      <c r="G393" s="53"/>
      <c r="H393" s="53"/>
      <c r="I393" s="171"/>
      <c r="J393" s="170"/>
      <c r="K393" s="53"/>
      <c r="L393" s="53"/>
      <c r="M393" s="53"/>
      <c r="N393" s="171"/>
      <c r="O393" s="170"/>
      <c r="P393" s="53"/>
      <c r="Q393" s="53"/>
      <c r="R393" s="53"/>
      <c r="S393" s="171"/>
      <c r="T393" s="170"/>
      <c r="U393" s="53"/>
      <c r="V393" s="53"/>
      <c r="W393" s="53"/>
      <c r="X393" s="171"/>
      <c r="Y393" s="170"/>
      <c r="Z393" s="170"/>
      <c r="AA393" s="170"/>
      <c r="AB393" s="170"/>
      <c r="AC393" s="170"/>
      <c r="AD393" s="53"/>
      <c r="AE393" s="53"/>
    </row>
    <row r="394">
      <c r="A394" s="53"/>
      <c r="B394" s="53"/>
      <c r="C394" s="168"/>
      <c r="D394" s="169"/>
      <c r="E394" s="170"/>
      <c r="F394" s="53"/>
      <c r="G394" s="53"/>
      <c r="H394" s="53"/>
      <c r="I394" s="171"/>
      <c r="J394" s="170"/>
      <c r="K394" s="53"/>
      <c r="L394" s="53"/>
      <c r="M394" s="53"/>
      <c r="N394" s="171"/>
      <c r="O394" s="170"/>
      <c r="P394" s="53"/>
      <c r="Q394" s="53"/>
      <c r="R394" s="53"/>
      <c r="S394" s="171"/>
      <c r="T394" s="170"/>
      <c r="U394" s="53"/>
      <c r="V394" s="53"/>
      <c r="W394" s="53"/>
      <c r="X394" s="171"/>
      <c r="Y394" s="170"/>
      <c r="Z394" s="170"/>
      <c r="AA394" s="170"/>
      <c r="AB394" s="170"/>
      <c r="AC394" s="170"/>
      <c r="AD394" s="53"/>
      <c r="AE394" s="53"/>
    </row>
    <row r="395">
      <c r="A395" s="53"/>
      <c r="B395" s="53"/>
      <c r="C395" s="168"/>
      <c r="D395" s="169"/>
      <c r="E395" s="170"/>
      <c r="F395" s="53"/>
      <c r="G395" s="53"/>
      <c r="H395" s="53"/>
      <c r="I395" s="171"/>
      <c r="J395" s="170"/>
      <c r="K395" s="53"/>
      <c r="L395" s="53"/>
      <c r="M395" s="53"/>
      <c r="N395" s="171"/>
      <c r="O395" s="170"/>
      <c r="P395" s="53"/>
      <c r="Q395" s="53"/>
      <c r="R395" s="53"/>
      <c r="S395" s="171"/>
      <c r="T395" s="170"/>
      <c r="U395" s="53"/>
      <c r="V395" s="53"/>
      <c r="W395" s="53"/>
      <c r="X395" s="171"/>
      <c r="Y395" s="170"/>
      <c r="Z395" s="170"/>
      <c r="AA395" s="170"/>
      <c r="AB395" s="170"/>
      <c r="AC395" s="170"/>
      <c r="AD395" s="53"/>
      <c r="AE395" s="53"/>
    </row>
    <row r="396">
      <c r="A396" s="53"/>
      <c r="B396" s="53"/>
      <c r="C396" s="168"/>
      <c r="D396" s="169"/>
      <c r="E396" s="170"/>
      <c r="F396" s="53"/>
      <c r="G396" s="53"/>
      <c r="H396" s="53"/>
      <c r="I396" s="171"/>
      <c r="J396" s="170"/>
      <c r="K396" s="53"/>
      <c r="L396" s="53"/>
      <c r="M396" s="53"/>
      <c r="N396" s="171"/>
      <c r="O396" s="170"/>
      <c r="P396" s="53"/>
      <c r="Q396" s="53"/>
      <c r="R396" s="53"/>
      <c r="S396" s="171"/>
      <c r="T396" s="170"/>
      <c r="U396" s="53"/>
      <c r="V396" s="53"/>
      <c r="W396" s="53"/>
      <c r="X396" s="171"/>
      <c r="Y396" s="170"/>
      <c r="Z396" s="170"/>
      <c r="AA396" s="170"/>
      <c r="AB396" s="170"/>
      <c r="AC396" s="170"/>
      <c r="AD396" s="53"/>
      <c r="AE396" s="53"/>
    </row>
    <row r="397">
      <c r="A397" s="53"/>
      <c r="B397" s="53"/>
      <c r="C397" s="168"/>
      <c r="D397" s="169"/>
      <c r="E397" s="170"/>
      <c r="F397" s="53"/>
      <c r="G397" s="53"/>
      <c r="H397" s="53"/>
      <c r="I397" s="171"/>
      <c r="J397" s="170"/>
      <c r="K397" s="53"/>
      <c r="L397" s="53"/>
      <c r="M397" s="53"/>
      <c r="N397" s="171"/>
      <c r="O397" s="170"/>
      <c r="P397" s="53"/>
      <c r="Q397" s="53"/>
      <c r="R397" s="53"/>
      <c r="S397" s="171"/>
      <c r="T397" s="170"/>
      <c r="U397" s="53"/>
      <c r="V397" s="53"/>
      <c r="W397" s="53"/>
      <c r="X397" s="171"/>
      <c r="Y397" s="170"/>
      <c r="Z397" s="170"/>
      <c r="AA397" s="170"/>
      <c r="AB397" s="170"/>
      <c r="AC397" s="170"/>
      <c r="AD397" s="53"/>
      <c r="AE397" s="53"/>
    </row>
    <row r="398">
      <c r="A398" s="53"/>
      <c r="B398" s="53"/>
      <c r="C398" s="168"/>
      <c r="D398" s="169"/>
      <c r="E398" s="170"/>
      <c r="F398" s="53"/>
      <c r="G398" s="53"/>
      <c r="H398" s="53"/>
      <c r="I398" s="171"/>
      <c r="J398" s="170"/>
      <c r="K398" s="53"/>
      <c r="L398" s="53"/>
      <c r="M398" s="53"/>
      <c r="N398" s="171"/>
      <c r="O398" s="170"/>
      <c r="P398" s="53"/>
      <c r="Q398" s="53"/>
      <c r="R398" s="53"/>
      <c r="S398" s="171"/>
      <c r="T398" s="170"/>
      <c r="U398" s="53"/>
      <c r="V398" s="53"/>
      <c r="W398" s="53"/>
      <c r="X398" s="171"/>
      <c r="Y398" s="170"/>
      <c r="Z398" s="170"/>
      <c r="AA398" s="170"/>
      <c r="AB398" s="170"/>
      <c r="AC398" s="170"/>
      <c r="AD398" s="53"/>
      <c r="AE398" s="53"/>
    </row>
    <row r="399">
      <c r="A399" s="53"/>
      <c r="B399" s="53"/>
      <c r="C399" s="168"/>
      <c r="D399" s="169"/>
      <c r="E399" s="170"/>
      <c r="F399" s="53"/>
      <c r="G399" s="53"/>
      <c r="H399" s="53"/>
      <c r="I399" s="171"/>
      <c r="J399" s="170"/>
      <c r="K399" s="53"/>
      <c r="L399" s="53"/>
      <c r="M399" s="53"/>
      <c r="N399" s="171"/>
      <c r="O399" s="170"/>
      <c r="P399" s="53"/>
      <c r="Q399" s="53"/>
      <c r="R399" s="53"/>
      <c r="S399" s="171"/>
      <c r="T399" s="170"/>
      <c r="U399" s="53"/>
      <c r="V399" s="53"/>
      <c r="W399" s="53"/>
      <c r="X399" s="171"/>
      <c r="Y399" s="170"/>
      <c r="Z399" s="170"/>
      <c r="AA399" s="170"/>
      <c r="AB399" s="170"/>
      <c r="AC399" s="170"/>
      <c r="AD399" s="53"/>
      <c r="AE399" s="53"/>
    </row>
    <row r="400">
      <c r="A400" s="53"/>
      <c r="B400" s="53"/>
      <c r="C400" s="168"/>
      <c r="D400" s="169"/>
      <c r="E400" s="170"/>
      <c r="F400" s="53"/>
      <c r="G400" s="53"/>
      <c r="H400" s="53"/>
      <c r="I400" s="171"/>
      <c r="J400" s="170"/>
      <c r="K400" s="53"/>
      <c r="L400" s="53"/>
      <c r="M400" s="53"/>
      <c r="N400" s="171"/>
      <c r="O400" s="170"/>
      <c r="P400" s="53"/>
      <c r="Q400" s="53"/>
      <c r="R400" s="53"/>
      <c r="S400" s="171"/>
      <c r="T400" s="170"/>
      <c r="U400" s="53"/>
      <c r="V400" s="53"/>
      <c r="W400" s="53"/>
      <c r="X400" s="171"/>
      <c r="Y400" s="170"/>
      <c r="Z400" s="170"/>
      <c r="AA400" s="170"/>
      <c r="AB400" s="170"/>
      <c r="AC400" s="170"/>
      <c r="AD400" s="53"/>
      <c r="AE400" s="53"/>
    </row>
    <row r="401">
      <c r="A401" s="53"/>
      <c r="B401" s="53"/>
      <c r="C401" s="168"/>
      <c r="D401" s="169"/>
      <c r="E401" s="170"/>
      <c r="F401" s="53"/>
      <c r="G401" s="53"/>
      <c r="H401" s="53"/>
      <c r="I401" s="171"/>
      <c r="J401" s="170"/>
      <c r="K401" s="53"/>
      <c r="L401" s="53"/>
      <c r="M401" s="53"/>
      <c r="N401" s="171"/>
      <c r="O401" s="170"/>
      <c r="P401" s="53"/>
      <c r="Q401" s="53"/>
      <c r="R401" s="53"/>
      <c r="S401" s="171"/>
      <c r="T401" s="170"/>
      <c r="U401" s="53"/>
      <c r="V401" s="53"/>
      <c r="W401" s="53"/>
      <c r="X401" s="171"/>
      <c r="Y401" s="170"/>
      <c r="Z401" s="170"/>
      <c r="AA401" s="170"/>
      <c r="AB401" s="170"/>
      <c r="AC401" s="170"/>
      <c r="AD401" s="53"/>
      <c r="AE401" s="53"/>
    </row>
    <row r="402">
      <c r="A402" s="53"/>
      <c r="B402" s="53"/>
      <c r="C402" s="168"/>
      <c r="D402" s="169"/>
      <c r="E402" s="170"/>
      <c r="F402" s="53"/>
      <c r="G402" s="53"/>
      <c r="H402" s="53"/>
      <c r="I402" s="171"/>
      <c r="J402" s="170"/>
      <c r="K402" s="53"/>
      <c r="L402" s="53"/>
      <c r="M402" s="53"/>
      <c r="N402" s="171"/>
      <c r="O402" s="170"/>
      <c r="P402" s="53"/>
      <c r="Q402" s="53"/>
      <c r="R402" s="53"/>
      <c r="S402" s="171"/>
      <c r="T402" s="170"/>
      <c r="U402" s="53"/>
      <c r="V402" s="53"/>
      <c r="W402" s="53"/>
      <c r="X402" s="171"/>
      <c r="Y402" s="170"/>
      <c r="Z402" s="170"/>
      <c r="AA402" s="170"/>
      <c r="AB402" s="170"/>
      <c r="AC402" s="170"/>
      <c r="AD402" s="53"/>
      <c r="AE402" s="53"/>
    </row>
    <row r="403">
      <c r="A403" s="53"/>
      <c r="B403" s="53"/>
      <c r="C403" s="168"/>
      <c r="D403" s="169"/>
      <c r="E403" s="170"/>
      <c r="F403" s="53"/>
      <c r="G403" s="53"/>
      <c r="H403" s="53"/>
      <c r="I403" s="171"/>
      <c r="J403" s="170"/>
      <c r="K403" s="53"/>
      <c r="L403" s="53"/>
      <c r="M403" s="53"/>
      <c r="N403" s="171"/>
      <c r="O403" s="170"/>
      <c r="P403" s="53"/>
      <c r="Q403" s="53"/>
      <c r="R403" s="53"/>
      <c r="S403" s="171"/>
      <c r="T403" s="170"/>
      <c r="U403" s="53"/>
      <c r="V403" s="53"/>
      <c r="W403" s="53"/>
      <c r="X403" s="171"/>
      <c r="Y403" s="170"/>
      <c r="Z403" s="170"/>
      <c r="AA403" s="170"/>
      <c r="AB403" s="170"/>
      <c r="AC403" s="170"/>
      <c r="AD403" s="53"/>
      <c r="AE403" s="53"/>
    </row>
    <row r="404">
      <c r="A404" s="53"/>
      <c r="B404" s="53"/>
      <c r="C404" s="168"/>
      <c r="D404" s="169"/>
      <c r="E404" s="170"/>
      <c r="F404" s="53"/>
      <c r="G404" s="53"/>
      <c r="H404" s="53"/>
      <c r="I404" s="171"/>
      <c r="J404" s="170"/>
      <c r="K404" s="53"/>
      <c r="L404" s="53"/>
      <c r="M404" s="53"/>
      <c r="N404" s="171"/>
      <c r="O404" s="170"/>
      <c r="P404" s="53"/>
      <c r="Q404" s="53"/>
      <c r="R404" s="53"/>
      <c r="S404" s="171"/>
      <c r="T404" s="170"/>
      <c r="U404" s="53"/>
      <c r="V404" s="53"/>
      <c r="W404" s="53"/>
      <c r="X404" s="171"/>
      <c r="Y404" s="170"/>
      <c r="Z404" s="170"/>
      <c r="AA404" s="170"/>
      <c r="AB404" s="170"/>
      <c r="AC404" s="170"/>
      <c r="AD404" s="53"/>
      <c r="AE404" s="53"/>
    </row>
    <row r="405">
      <c r="A405" s="53"/>
      <c r="B405" s="53"/>
      <c r="C405" s="168"/>
      <c r="D405" s="169"/>
      <c r="E405" s="170"/>
      <c r="F405" s="53"/>
      <c r="G405" s="53"/>
      <c r="H405" s="53"/>
      <c r="I405" s="171"/>
      <c r="J405" s="170"/>
      <c r="K405" s="53"/>
      <c r="L405" s="53"/>
      <c r="M405" s="53"/>
      <c r="N405" s="171"/>
      <c r="O405" s="170"/>
      <c r="P405" s="53"/>
      <c r="Q405" s="53"/>
      <c r="R405" s="53"/>
      <c r="S405" s="171"/>
      <c r="T405" s="170"/>
      <c r="U405" s="53"/>
      <c r="V405" s="53"/>
      <c r="W405" s="53"/>
      <c r="X405" s="171"/>
      <c r="Y405" s="170"/>
      <c r="Z405" s="170"/>
      <c r="AA405" s="170"/>
      <c r="AB405" s="170"/>
      <c r="AC405" s="170"/>
      <c r="AD405" s="53"/>
      <c r="AE405" s="53"/>
    </row>
    <row r="406">
      <c r="A406" s="53"/>
      <c r="B406" s="53"/>
      <c r="C406" s="168"/>
      <c r="D406" s="169"/>
      <c r="E406" s="170"/>
      <c r="F406" s="53"/>
      <c r="G406" s="53"/>
      <c r="H406" s="53"/>
      <c r="I406" s="171"/>
      <c r="J406" s="170"/>
      <c r="K406" s="53"/>
      <c r="L406" s="53"/>
      <c r="M406" s="53"/>
      <c r="N406" s="171"/>
      <c r="O406" s="170"/>
      <c r="P406" s="53"/>
      <c r="Q406" s="53"/>
      <c r="R406" s="53"/>
      <c r="S406" s="171"/>
      <c r="T406" s="170"/>
      <c r="U406" s="53"/>
      <c r="V406" s="53"/>
      <c r="W406" s="53"/>
      <c r="X406" s="171"/>
      <c r="Y406" s="170"/>
      <c r="Z406" s="170"/>
      <c r="AA406" s="170"/>
      <c r="AB406" s="170"/>
      <c r="AC406" s="170"/>
      <c r="AD406" s="53"/>
      <c r="AE406" s="53"/>
    </row>
    <row r="407">
      <c r="A407" s="53"/>
      <c r="B407" s="53"/>
      <c r="C407" s="168"/>
      <c r="D407" s="169"/>
      <c r="E407" s="170"/>
      <c r="F407" s="53"/>
      <c r="G407" s="53"/>
      <c r="H407" s="53"/>
      <c r="I407" s="171"/>
      <c r="J407" s="170"/>
      <c r="K407" s="53"/>
      <c r="L407" s="53"/>
      <c r="M407" s="53"/>
      <c r="N407" s="171"/>
      <c r="O407" s="170"/>
      <c r="P407" s="53"/>
      <c r="Q407" s="53"/>
      <c r="R407" s="53"/>
      <c r="S407" s="171"/>
      <c r="T407" s="170"/>
      <c r="U407" s="53"/>
      <c r="V407" s="53"/>
      <c r="W407" s="53"/>
      <c r="X407" s="171"/>
      <c r="Y407" s="170"/>
      <c r="Z407" s="170"/>
      <c r="AA407" s="170"/>
      <c r="AB407" s="170"/>
      <c r="AC407" s="170"/>
      <c r="AD407" s="53"/>
      <c r="AE407" s="53"/>
    </row>
    <row r="408">
      <c r="A408" s="53"/>
      <c r="B408" s="53"/>
      <c r="C408" s="168"/>
      <c r="D408" s="169"/>
      <c r="E408" s="170"/>
      <c r="F408" s="53"/>
      <c r="G408" s="53"/>
      <c r="H408" s="53"/>
      <c r="I408" s="171"/>
      <c r="J408" s="170"/>
      <c r="K408" s="53"/>
      <c r="L408" s="53"/>
      <c r="M408" s="53"/>
      <c r="N408" s="171"/>
      <c r="O408" s="170"/>
      <c r="P408" s="53"/>
      <c r="Q408" s="53"/>
      <c r="R408" s="53"/>
      <c r="S408" s="171"/>
      <c r="T408" s="170"/>
      <c r="U408" s="53"/>
      <c r="V408" s="53"/>
      <c r="W408" s="53"/>
      <c r="X408" s="171"/>
      <c r="Y408" s="170"/>
      <c r="Z408" s="170"/>
      <c r="AA408" s="170"/>
      <c r="AB408" s="170"/>
      <c r="AC408" s="170"/>
      <c r="AD408" s="53"/>
      <c r="AE408" s="53"/>
    </row>
    <row r="409">
      <c r="A409" s="53"/>
      <c r="B409" s="53"/>
      <c r="C409" s="168"/>
      <c r="D409" s="169"/>
      <c r="E409" s="170"/>
      <c r="F409" s="53"/>
      <c r="G409" s="53"/>
      <c r="H409" s="53"/>
      <c r="I409" s="171"/>
      <c r="J409" s="170"/>
      <c r="K409" s="53"/>
      <c r="L409" s="53"/>
      <c r="M409" s="53"/>
      <c r="N409" s="171"/>
      <c r="O409" s="170"/>
      <c r="P409" s="53"/>
      <c r="Q409" s="53"/>
      <c r="R409" s="53"/>
      <c r="S409" s="171"/>
      <c r="T409" s="170"/>
      <c r="U409" s="53"/>
      <c r="V409" s="53"/>
      <c r="W409" s="53"/>
      <c r="X409" s="171"/>
      <c r="Y409" s="170"/>
      <c r="Z409" s="170"/>
      <c r="AA409" s="170"/>
      <c r="AB409" s="170"/>
      <c r="AC409" s="170"/>
      <c r="AD409" s="53"/>
      <c r="AE409" s="53"/>
    </row>
    <row r="410">
      <c r="A410" s="53"/>
      <c r="B410" s="53"/>
      <c r="C410" s="168"/>
      <c r="D410" s="169"/>
      <c r="E410" s="170"/>
      <c r="F410" s="53"/>
      <c r="G410" s="53"/>
      <c r="H410" s="53"/>
      <c r="I410" s="171"/>
      <c r="J410" s="170"/>
      <c r="K410" s="53"/>
      <c r="L410" s="53"/>
      <c r="M410" s="53"/>
      <c r="N410" s="171"/>
      <c r="O410" s="170"/>
      <c r="P410" s="53"/>
      <c r="Q410" s="53"/>
      <c r="R410" s="53"/>
      <c r="S410" s="171"/>
      <c r="T410" s="170"/>
      <c r="U410" s="53"/>
      <c r="V410" s="53"/>
      <c r="W410" s="53"/>
      <c r="X410" s="171"/>
      <c r="Y410" s="170"/>
      <c r="Z410" s="170"/>
      <c r="AA410" s="170"/>
      <c r="AB410" s="170"/>
      <c r="AC410" s="170"/>
      <c r="AD410" s="53"/>
      <c r="AE410" s="53"/>
    </row>
    <row r="411">
      <c r="A411" s="53"/>
      <c r="B411" s="53"/>
      <c r="C411" s="168"/>
      <c r="D411" s="169"/>
      <c r="E411" s="170"/>
      <c r="F411" s="53"/>
      <c r="G411" s="53"/>
      <c r="H411" s="53"/>
      <c r="I411" s="171"/>
      <c r="J411" s="170"/>
      <c r="K411" s="53"/>
      <c r="L411" s="53"/>
      <c r="M411" s="53"/>
      <c r="N411" s="171"/>
      <c r="O411" s="170"/>
      <c r="P411" s="53"/>
      <c r="Q411" s="53"/>
      <c r="R411" s="53"/>
      <c r="S411" s="171"/>
      <c r="T411" s="170"/>
      <c r="U411" s="53"/>
      <c r="V411" s="53"/>
      <c r="W411" s="53"/>
      <c r="X411" s="171"/>
      <c r="Y411" s="170"/>
      <c r="Z411" s="170"/>
      <c r="AA411" s="170"/>
      <c r="AB411" s="170"/>
      <c r="AC411" s="170"/>
      <c r="AD411" s="53"/>
      <c r="AE411" s="53"/>
    </row>
    <row r="412">
      <c r="A412" s="53"/>
      <c r="B412" s="53"/>
      <c r="C412" s="168"/>
      <c r="D412" s="169"/>
      <c r="E412" s="170"/>
      <c r="F412" s="53"/>
      <c r="G412" s="53"/>
      <c r="H412" s="53"/>
      <c r="I412" s="171"/>
      <c r="J412" s="170"/>
      <c r="K412" s="53"/>
      <c r="L412" s="53"/>
      <c r="M412" s="53"/>
      <c r="N412" s="171"/>
      <c r="O412" s="170"/>
      <c r="P412" s="53"/>
      <c r="Q412" s="53"/>
      <c r="R412" s="53"/>
      <c r="S412" s="171"/>
      <c r="T412" s="170"/>
      <c r="U412" s="53"/>
      <c r="V412" s="53"/>
      <c r="W412" s="53"/>
      <c r="X412" s="171"/>
      <c r="Y412" s="170"/>
      <c r="Z412" s="170"/>
      <c r="AA412" s="170"/>
      <c r="AB412" s="170"/>
      <c r="AC412" s="170"/>
      <c r="AD412" s="53"/>
      <c r="AE412" s="53"/>
    </row>
    <row r="413">
      <c r="A413" s="53"/>
      <c r="B413" s="53"/>
      <c r="C413" s="168"/>
      <c r="D413" s="169"/>
      <c r="E413" s="170"/>
      <c r="F413" s="53"/>
      <c r="G413" s="53"/>
      <c r="H413" s="53"/>
      <c r="I413" s="171"/>
      <c r="J413" s="170"/>
      <c r="K413" s="53"/>
      <c r="L413" s="53"/>
      <c r="M413" s="53"/>
      <c r="N413" s="171"/>
      <c r="O413" s="170"/>
      <c r="P413" s="53"/>
      <c r="Q413" s="53"/>
      <c r="R413" s="53"/>
      <c r="S413" s="171"/>
      <c r="T413" s="170"/>
      <c r="U413" s="53"/>
      <c r="V413" s="53"/>
      <c r="W413" s="53"/>
      <c r="X413" s="171"/>
      <c r="Y413" s="170"/>
      <c r="Z413" s="170"/>
      <c r="AA413" s="170"/>
      <c r="AB413" s="170"/>
      <c r="AC413" s="170"/>
      <c r="AD413" s="53"/>
      <c r="AE413" s="53"/>
    </row>
    <row r="414">
      <c r="A414" s="53"/>
      <c r="B414" s="53"/>
      <c r="C414" s="168"/>
      <c r="D414" s="169"/>
      <c r="E414" s="170"/>
      <c r="F414" s="53"/>
      <c r="G414" s="53"/>
      <c r="H414" s="53"/>
      <c r="I414" s="171"/>
      <c r="J414" s="170"/>
      <c r="K414" s="53"/>
      <c r="L414" s="53"/>
      <c r="M414" s="53"/>
      <c r="N414" s="171"/>
      <c r="O414" s="170"/>
      <c r="P414" s="53"/>
      <c r="Q414" s="53"/>
      <c r="R414" s="53"/>
      <c r="S414" s="171"/>
      <c r="T414" s="170"/>
      <c r="U414" s="53"/>
      <c r="V414" s="53"/>
      <c r="W414" s="53"/>
      <c r="X414" s="171"/>
      <c r="Y414" s="170"/>
      <c r="Z414" s="170"/>
      <c r="AA414" s="170"/>
      <c r="AB414" s="170"/>
      <c r="AC414" s="170"/>
      <c r="AD414" s="53"/>
      <c r="AE414" s="53"/>
    </row>
    <row r="415">
      <c r="A415" s="53"/>
      <c r="B415" s="53"/>
      <c r="C415" s="168"/>
      <c r="D415" s="169"/>
      <c r="E415" s="170"/>
      <c r="F415" s="53"/>
      <c r="G415" s="53"/>
      <c r="H415" s="53"/>
      <c r="I415" s="171"/>
      <c r="J415" s="170"/>
      <c r="K415" s="53"/>
      <c r="L415" s="53"/>
      <c r="M415" s="53"/>
      <c r="N415" s="171"/>
      <c r="O415" s="170"/>
      <c r="P415" s="53"/>
      <c r="Q415" s="53"/>
      <c r="R415" s="53"/>
      <c r="S415" s="171"/>
      <c r="T415" s="170"/>
      <c r="U415" s="53"/>
      <c r="V415" s="53"/>
      <c r="W415" s="53"/>
      <c r="X415" s="171"/>
      <c r="Y415" s="170"/>
      <c r="Z415" s="170"/>
      <c r="AA415" s="170"/>
      <c r="AB415" s="170"/>
      <c r="AC415" s="170"/>
      <c r="AD415" s="53"/>
      <c r="AE415" s="53"/>
    </row>
    <row r="416">
      <c r="A416" s="53"/>
      <c r="B416" s="53"/>
      <c r="C416" s="168"/>
      <c r="D416" s="169"/>
      <c r="E416" s="170"/>
      <c r="F416" s="53"/>
      <c r="G416" s="53"/>
      <c r="H416" s="53"/>
      <c r="I416" s="171"/>
      <c r="J416" s="170"/>
      <c r="K416" s="53"/>
      <c r="L416" s="53"/>
      <c r="M416" s="53"/>
      <c r="N416" s="171"/>
      <c r="O416" s="170"/>
      <c r="P416" s="53"/>
      <c r="Q416" s="53"/>
      <c r="R416" s="53"/>
      <c r="S416" s="171"/>
      <c r="T416" s="170"/>
      <c r="U416" s="53"/>
      <c r="V416" s="53"/>
      <c r="W416" s="53"/>
      <c r="X416" s="171"/>
      <c r="Y416" s="170"/>
      <c r="Z416" s="170"/>
      <c r="AA416" s="170"/>
      <c r="AB416" s="170"/>
      <c r="AC416" s="170"/>
      <c r="AD416" s="53"/>
      <c r="AE416" s="53"/>
    </row>
    <row r="417">
      <c r="A417" s="53"/>
      <c r="B417" s="53"/>
      <c r="C417" s="168"/>
      <c r="D417" s="169"/>
      <c r="E417" s="170"/>
      <c r="F417" s="53"/>
      <c r="G417" s="53"/>
      <c r="H417" s="53"/>
      <c r="I417" s="171"/>
      <c r="J417" s="170"/>
      <c r="K417" s="53"/>
      <c r="L417" s="53"/>
      <c r="M417" s="53"/>
      <c r="N417" s="171"/>
      <c r="O417" s="170"/>
      <c r="P417" s="53"/>
      <c r="Q417" s="53"/>
      <c r="R417" s="53"/>
      <c r="S417" s="171"/>
      <c r="T417" s="170"/>
      <c r="U417" s="53"/>
      <c r="V417" s="53"/>
      <c r="W417" s="53"/>
      <c r="X417" s="171"/>
      <c r="Y417" s="170"/>
      <c r="Z417" s="170"/>
      <c r="AA417" s="170"/>
      <c r="AB417" s="170"/>
      <c r="AC417" s="170"/>
      <c r="AD417" s="53"/>
      <c r="AE417" s="53"/>
    </row>
    <row r="418">
      <c r="A418" s="53"/>
      <c r="B418" s="53"/>
      <c r="C418" s="168"/>
      <c r="D418" s="169"/>
      <c r="E418" s="170"/>
      <c r="F418" s="53"/>
      <c r="G418" s="53"/>
      <c r="H418" s="53"/>
      <c r="I418" s="171"/>
      <c r="J418" s="170"/>
      <c r="K418" s="53"/>
      <c r="L418" s="53"/>
      <c r="M418" s="53"/>
      <c r="N418" s="171"/>
      <c r="O418" s="170"/>
      <c r="P418" s="53"/>
      <c r="Q418" s="53"/>
      <c r="R418" s="53"/>
      <c r="S418" s="171"/>
      <c r="T418" s="170"/>
      <c r="U418" s="53"/>
      <c r="V418" s="53"/>
      <c r="W418" s="53"/>
      <c r="X418" s="171"/>
      <c r="Y418" s="170"/>
      <c r="Z418" s="170"/>
      <c r="AA418" s="170"/>
      <c r="AB418" s="170"/>
      <c r="AC418" s="170"/>
      <c r="AD418" s="53"/>
      <c r="AE418" s="53"/>
    </row>
    <row r="419">
      <c r="A419" s="53"/>
      <c r="B419" s="53"/>
      <c r="C419" s="168"/>
      <c r="D419" s="169"/>
      <c r="E419" s="170"/>
      <c r="F419" s="53"/>
      <c r="G419" s="53"/>
      <c r="H419" s="53"/>
      <c r="I419" s="171"/>
      <c r="J419" s="170"/>
      <c r="K419" s="53"/>
      <c r="L419" s="53"/>
      <c r="M419" s="53"/>
      <c r="N419" s="171"/>
      <c r="O419" s="170"/>
      <c r="P419" s="53"/>
      <c r="Q419" s="53"/>
      <c r="R419" s="53"/>
      <c r="S419" s="171"/>
      <c r="T419" s="170"/>
      <c r="U419" s="53"/>
      <c r="V419" s="53"/>
      <c r="W419" s="53"/>
      <c r="X419" s="171"/>
      <c r="Y419" s="170"/>
      <c r="Z419" s="170"/>
      <c r="AA419" s="170"/>
      <c r="AB419" s="170"/>
      <c r="AC419" s="170"/>
      <c r="AD419" s="53"/>
      <c r="AE419" s="53"/>
    </row>
    <row r="420">
      <c r="A420" s="53"/>
      <c r="B420" s="53"/>
      <c r="C420" s="168"/>
      <c r="D420" s="169"/>
      <c r="E420" s="170"/>
      <c r="F420" s="53"/>
      <c r="G420" s="53"/>
      <c r="H420" s="53"/>
      <c r="I420" s="171"/>
      <c r="J420" s="170"/>
      <c r="K420" s="53"/>
      <c r="L420" s="53"/>
      <c r="M420" s="53"/>
      <c r="N420" s="171"/>
      <c r="O420" s="170"/>
      <c r="P420" s="53"/>
      <c r="Q420" s="53"/>
      <c r="R420" s="53"/>
      <c r="S420" s="171"/>
      <c r="T420" s="170"/>
      <c r="U420" s="53"/>
      <c r="V420" s="53"/>
      <c r="W420" s="53"/>
      <c r="X420" s="171"/>
      <c r="Y420" s="170"/>
      <c r="Z420" s="170"/>
      <c r="AA420" s="170"/>
      <c r="AB420" s="170"/>
      <c r="AC420" s="170"/>
      <c r="AD420" s="53"/>
      <c r="AE420" s="53"/>
    </row>
    <row r="421">
      <c r="A421" s="53"/>
      <c r="B421" s="53"/>
      <c r="C421" s="168"/>
      <c r="D421" s="169"/>
      <c r="E421" s="170"/>
      <c r="F421" s="53"/>
      <c r="G421" s="53"/>
      <c r="H421" s="53"/>
      <c r="I421" s="171"/>
      <c r="J421" s="170"/>
      <c r="K421" s="53"/>
      <c r="L421" s="53"/>
      <c r="M421" s="53"/>
      <c r="N421" s="171"/>
      <c r="O421" s="170"/>
      <c r="P421" s="53"/>
      <c r="Q421" s="53"/>
      <c r="R421" s="53"/>
      <c r="S421" s="171"/>
      <c r="T421" s="170"/>
      <c r="U421" s="53"/>
      <c r="V421" s="53"/>
      <c r="W421" s="53"/>
      <c r="X421" s="171"/>
      <c r="Y421" s="170"/>
      <c r="Z421" s="170"/>
      <c r="AA421" s="170"/>
      <c r="AB421" s="170"/>
      <c r="AC421" s="170"/>
      <c r="AD421" s="53"/>
      <c r="AE421" s="53"/>
    </row>
    <row r="422">
      <c r="A422" s="53"/>
      <c r="B422" s="53"/>
      <c r="C422" s="168"/>
      <c r="D422" s="169"/>
      <c r="E422" s="170"/>
      <c r="F422" s="53"/>
      <c r="G422" s="53"/>
      <c r="H422" s="53"/>
      <c r="I422" s="171"/>
      <c r="J422" s="170"/>
      <c r="K422" s="53"/>
      <c r="L422" s="53"/>
      <c r="M422" s="53"/>
      <c r="N422" s="171"/>
      <c r="O422" s="170"/>
      <c r="P422" s="53"/>
      <c r="Q422" s="53"/>
      <c r="R422" s="53"/>
      <c r="S422" s="171"/>
      <c r="T422" s="170"/>
      <c r="U422" s="53"/>
      <c r="V422" s="53"/>
      <c r="W422" s="53"/>
      <c r="X422" s="171"/>
      <c r="Y422" s="170"/>
      <c r="Z422" s="170"/>
      <c r="AA422" s="170"/>
      <c r="AB422" s="170"/>
      <c r="AC422" s="170"/>
      <c r="AD422" s="53"/>
      <c r="AE422" s="53"/>
    </row>
    <row r="423">
      <c r="A423" s="53"/>
      <c r="B423" s="53"/>
      <c r="C423" s="168"/>
      <c r="D423" s="169"/>
      <c r="E423" s="170"/>
      <c r="F423" s="53"/>
      <c r="G423" s="53"/>
      <c r="H423" s="53"/>
      <c r="I423" s="171"/>
      <c r="J423" s="170"/>
      <c r="K423" s="53"/>
      <c r="L423" s="53"/>
      <c r="M423" s="53"/>
      <c r="N423" s="171"/>
      <c r="O423" s="170"/>
      <c r="P423" s="53"/>
      <c r="Q423" s="53"/>
      <c r="R423" s="53"/>
      <c r="S423" s="171"/>
      <c r="T423" s="170"/>
      <c r="U423" s="53"/>
      <c r="V423" s="53"/>
      <c r="W423" s="53"/>
      <c r="X423" s="171"/>
      <c r="Y423" s="170"/>
      <c r="Z423" s="170"/>
      <c r="AA423" s="170"/>
      <c r="AB423" s="170"/>
      <c r="AC423" s="170"/>
      <c r="AD423" s="53"/>
      <c r="AE423" s="53"/>
    </row>
    <row r="424">
      <c r="A424" s="53"/>
      <c r="B424" s="53"/>
      <c r="C424" s="168"/>
      <c r="D424" s="169"/>
      <c r="E424" s="170"/>
      <c r="F424" s="53"/>
      <c r="G424" s="53"/>
      <c r="H424" s="53"/>
      <c r="I424" s="171"/>
      <c r="J424" s="170"/>
      <c r="K424" s="53"/>
      <c r="L424" s="53"/>
      <c r="M424" s="53"/>
      <c r="N424" s="171"/>
      <c r="O424" s="170"/>
      <c r="P424" s="53"/>
      <c r="Q424" s="53"/>
      <c r="R424" s="53"/>
      <c r="S424" s="171"/>
      <c r="T424" s="170"/>
      <c r="U424" s="53"/>
      <c r="V424" s="53"/>
      <c r="W424" s="53"/>
      <c r="X424" s="171"/>
      <c r="Y424" s="170"/>
      <c r="Z424" s="170"/>
      <c r="AA424" s="170"/>
      <c r="AB424" s="170"/>
      <c r="AC424" s="170"/>
      <c r="AD424" s="53"/>
      <c r="AE424" s="53"/>
    </row>
    <row r="425">
      <c r="A425" s="53"/>
      <c r="B425" s="53"/>
      <c r="C425" s="168"/>
      <c r="D425" s="169"/>
      <c r="E425" s="170"/>
      <c r="F425" s="53"/>
      <c r="G425" s="53"/>
      <c r="H425" s="53"/>
      <c r="I425" s="171"/>
      <c r="J425" s="170"/>
      <c r="K425" s="53"/>
      <c r="L425" s="53"/>
      <c r="M425" s="53"/>
      <c r="N425" s="171"/>
      <c r="O425" s="170"/>
      <c r="P425" s="53"/>
      <c r="Q425" s="53"/>
      <c r="R425" s="53"/>
      <c r="S425" s="171"/>
      <c r="T425" s="170"/>
      <c r="U425" s="53"/>
      <c r="V425" s="53"/>
      <c r="W425" s="53"/>
      <c r="X425" s="171"/>
      <c r="Y425" s="170"/>
      <c r="Z425" s="170"/>
      <c r="AA425" s="170"/>
      <c r="AB425" s="170"/>
      <c r="AC425" s="170"/>
      <c r="AD425" s="53"/>
      <c r="AE425" s="53"/>
    </row>
    <row r="426">
      <c r="A426" s="53"/>
      <c r="B426" s="53"/>
      <c r="C426" s="168"/>
      <c r="D426" s="169"/>
      <c r="E426" s="170"/>
      <c r="F426" s="53"/>
      <c r="G426" s="53"/>
      <c r="H426" s="53"/>
      <c r="I426" s="171"/>
      <c r="J426" s="170"/>
      <c r="K426" s="53"/>
      <c r="L426" s="53"/>
      <c r="M426" s="53"/>
      <c r="N426" s="171"/>
      <c r="O426" s="170"/>
      <c r="P426" s="53"/>
      <c r="Q426" s="53"/>
      <c r="R426" s="53"/>
      <c r="S426" s="171"/>
      <c r="T426" s="170"/>
      <c r="U426" s="53"/>
      <c r="V426" s="53"/>
      <c r="W426" s="53"/>
      <c r="X426" s="171"/>
      <c r="Y426" s="170"/>
      <c r="Z426" s="170"/>
      <c r="AA426" s="170"/>
      <c r="AB426" s="170"/>
      <c r="AC426" s="170"/>
      <c r="AD426" s="53"/>
      <c r="AE426" s="53"/>
    </row>
    <row r="427">
      <c r="A427" s="53"/>
      <c r="B427" s="53"/>
      <c r="C427" s="168"/>
      <c r="D427" s="169"/>
      <c r="E427" s="170"/>
      <c r="F427" s="53"/>
      <c r="G427" s="53"/>
      <c r="H427" s="53"/>
      <c r="I427" s="171"/>
      <c r="J427" s="170"/>
      <c r="K427" s="53"/>
      <c r="L427" s="53"/>
      <c r="M427" s="53"/>
      <c r="N427" s="171"/>
      <c r="O427" s="170"/>
      <c r="P427" s="53"/>
      <c r="Q427" s="53"/>
      <c r="R427" s="53"/>
      <c r="S427" s="171"/>
      <c r="T427" s="170"/>
      <c r="U427" s="53"/>
      <c r="V427" s="53"/>
      <c r="W427" s="53"/>
      <c r="X427" s="171"/>
      <c r="Y427" s="170"/>
      <c r="Z427" s="170"/>
      <c r="AA427" s="170"/>
      <c r="AB427" s="170"/>
      <c r="AC427" s="170"/>
      <c r="AD427" s="53"/>
      <c r="AE427" s="53"/>
    </row>
    <row r="428">
      <c r="A428" s="53"/>
      <c r="B428" s="53"/>
      <c r="C428" s="168"/>
      <c r="D428" s="169"/>
      <c r="E428" s="170"/>
      <c r="F428" s="53"/>
      <c r="G428" s="53"/>
      <c r="H428" s="53"/>
      <c r="I428" s="171"/>
      <c r="J428" s="170"/>
      <c r="K428" s="53"/>
      <c r="L428" s="53"/>
      <c r="M428" s="53"/>
      <c r="N428" s="171"/>
      <c r="O428" s="170"/>
      <c r="P428" s="53"/>
      <c r="Q428" s="53"/>
      <c r="R428" s="53"/>
      <c r="S428" s="171"/>
      <c r="T428" s="170"/>
      <c r="U428" s="53"/>
      <c r="V428" s="53"/>
      <c r="W428" s="53"/>
      <c r="X428" s="171"/>
      <c r="Y428" s="170"/>
      <c r="Z428" s="170"/>
      <c r="AA428" s="170"/>
      <c r="AB428" s="170"/>
      <c r="AC428" s="170"/>
      <c r="AD428" s="53"/>
      <c r="AE428" s="53"/>
    </row>
    <row r="429">
      <c r="A429" s="53"/>
      <c r="B429" s="53"/>
      <c r="C429" s="168"/>
      <c r="D429" s="169"/>
      <c r="E429" s="170"/>
      <c r="F429" s="53"/>
      <c r="G429" s="53"/>
      <c r="H429" s="53"/>
      <c r="I429" s="171"/>
      <c r="J429" s="170"/>
      <c r="K429" s="53"/>
      <c r="L429" s="53"/>
      <c r="M429" s="53"/>
      <c r="N429" s="171"/>
      <c r="O429" s="170"/>
      <c r="P429" s="53"/>
      <c r="Q429" s="53"/>
      <c r="R429" s="53"/>
      <c r="S429" s="171"/>
      <c r="T429" s="170"/>
      <c r="U429" s="53"/>
      <c r="V429" s="53"/>
      <c r="W429" s="53"/>
      <c r="X429" s="171"/>
      <c r="Y429" s="170"/>
      <c r="Z429" s="170"/>
      <c r="AA429" s="170"/>
      <c r="AB429" s="170"/>
      <c r="AC429" s="170"/>
      <c r="AD429" s="53"/>
      <c r="AE429" s="53"/>
    </row>
    <row r="430">
      <c r="A430" s="53"/>
      <c r="B430" s="53"/>
      <c r="C430" s="168"/>
      <c r="D430" s="169"/>
      <c r="E430" s="170"/>
      <c r="F430" s="53"/>
      <c r="G430" s="53"/>
      <c r="H430" s="53"/>
      <c r="I430" s="171"/>
      <c r="J430" s="170"/>
      <c r="K430" s="53"/>
      <c r="L430" s="53"/>
      <c r="M430" s="53"/>
      <c r="N430" s="171"/>
      <c r="O430" s="170"/>
      <c r="P430" s="53"/>
      <c r="Q430" s="53"/>
      <c r="R430" s="53"/>
      <c r="S430" s="171"/>
      <c r="T430" s="170"/>
      <c r="U430" s="53"/>
      <c r="V430" s="53"/>
      <c r="W430" s="53"/>
      <c r="X430" s="171"/>
      <c r="Y430" s="170"/>
      <c r="Z430" s="170"/>
      <c r="AA430" s="170"/>
      <c r="AB430" s="170"/>
      <c r="AC430" s="170"/>
      <c r="AD430" s="53"/>
      <c r="AE430" s="53"/>
    </row>
    <row r="431">
      <c r="A431" s="53"/>
      <c r="B431" s="53"/>
      <c r="C431" s="168"/>
      <c r="D431" s="169"/>
      <c r="E431" s="170"/>
      <c r="F431" s="53"/>
      <c r="G431" s="53"/>
      <c r="H431" s="53"/>
      <c r="I431" s="171"/>
      <c r="J431" s="170"/>
      <c r="K431" s="53"/>
      <c r="L431" s="53"/>
      <c r="M431" s="53"/>
      <c r="N431" s="171"/>
      <c r="O431" s="170"/>
      <c r="P431" s="53"/>
      <c r="Q431" s="53"/>
      <c r="R431" s="53"/>
      <c r="S431" s="171"/>
      <c r="T431" s="170"/>
      <c r="U431" s="53"/>
      <c r="V431" s="53"/>
      <c r="W431" s="53"/>
      <c r="X431" s="171"/>
      <c r="Y431" s="170"/>
      <c r="Z431" s="170"/>
      <c r="AA431" s="170"/>
      <c r="AB431" s="170"/>
      <c r="AC431" s="170"/>
      <c r="AD431" s="53"/>
      <c r="AE431" s="53"/>
    </row>
    <row r="432">
      <c r="A432" s="53"/>
      <c r="B432" s="53"/>
      <c r="C432" s="168"/>
      <c r="D432" s="169"/>
      <c r="E432" s="170"/>
      <c r="F432" s="53"/>
      <c r="G432" s="53"/>
      <c r="H432" s="53"/>
      <c r="I432" s="171"/>
      <c r="J432" s="170"/>
      <c r="K432" s="53"/>
      <c r="L432" s="53"/>
      <c r="M432" s="53"/>
      <c r="N432" s="171"/>
      <c r="O432" s="170"/>
      <c r="P432" s="53"/>
      <c r="Q432" s="53"/>
      <c r="R432" s="53"/>
      <c r="S432" s="171"/>
      <c r="T432" s="170"/>
      <c r="U432" s="53"/>
      <c r="V432" s="53"/>
      <c r="W432" s="53"/>
      <c r="X432" s="171"/>
      <c r="Y432" s="170"/>
      <c r="Z432" s="170"/>
      <c r="AA432" s="170"/>
      <c r="AB432" s="170"/>
      <c r="AC432" s="170"/>
      <c r="AD432" s="53"/>
      <c r="AE432" s="53"/>
    </row>
    <row r="433">
      <c r="A433" s="53"/>
      <c r="B433" s="53"/>
      <c r="C433" s="168"/>
      <c r="D433" s="169"/>
      <c r="E433" s="170"/>
      <c r="F433" s="53"/>
      <c r="G433" s="53"/>
      <c r="H433" s="53"/>
      <c r="I433" s="171"/>
      <c r="J433" s="170"/>
      <c r="K433" s="53"/>
      <c r="L433" s="53"/>
      <c r="M433" s="53"/>
      <c r="N433" s="171"/>
      <c r="O433" s="170"/>
      <c r="P433" s="53"/>
      <c r="Q433" s="53"/>
      <c r="R433" s="53"/>
      <c r="S433" s="171"/>
      <c r="T433" s="170"/>
      <c r="U433" s="53"/>
      <c r="V433" s="53"/>
      <c r="W433" s="53"/>
      <c r="X433" s="171"/>
      <c r="Y433" s="170"/>
      <c r="Z433" s="170"/>
      <c r="AA433" s="170"/>
      <c r="AB433" s="170"/>
      <c r="AC433" s="170"/>
      <c r="AD433" s="53"/>
      <c r="AE433" s="53"/>
    </row>
    <row r="434">
      <c r="A434" s="53"/>
      <c r="B434" s="53"/>
      <c r="C434" s="168"/>
      <c r="D434" s="169"/>
      <c r="E434" s="170"/>
      <c r="F434" s="53"/>
      <c r="G434" s="53"/>
      <c r="H434" s="53"/>
      <c r="I434" s="171"/>
      <c r="J434" s="170"/>
      <c r="K434" s="53"/>
      <c r="L434" s="53"/>
      <c r="M434" s="53"/>
      <c r="N434" s="171"/>
      <c r="O434" s="170"/>
      <c r="P434" s="53"/>
      <c r="Q434" s="53"/>
      <c r="R434" s="53"/>
      <c r="S434" s="171"/>
      <c r="T434" s="170"/>
      <c r="U434" s="53"/>
      <c r="V434" s="53"/>
      <c r="W434" s="53"/>
      <c r="X434" s="171"/>
      <c r="Y434" s="170"/>
      <c r="Z434" s="170"/>
      <c r="AA434" s="170"/>
      <c r="AB434" s="170"/>
      <c r="AC434" s="170"/>
      <c r="AD434" s="53"/>
      <c r="AE434" s="53"/>
    </row>
    <row r="435">
      <c r="A435" s="53"/>
      <c r="B435" s="53"/>
      <c r="C435" s="168"/>
      <c r="D435" s="169"/>
      <c r="E435" s="170"/>
      <c r="F435" s="53"/>
      <c r="G435" s="53"/>
      <c r="H435" s="53"/>
      <c r="I435" s="171"/>
      <c r="J435" s="170"/>
      <c r="K435" s="53"/>
      <c r="L435" s="53"/>
      <c r="M435" s="53"/>
      <c r="N435" s="171"/>
      <c r="O435" s="170"/>
      <c r="P435" s="53"/>
      <c r="Q435" s="53"/>
      <c r="R435" s="53"/>
      <c r="S435" s="171"/>
      <c r="T435" s="170"/>
      <c r="U435" s="53"/>
      <c r="V435" s="53"/>
      <c r="W435" s="53"/>
      <c r="X435" s="171"/>
      <c r="Y435" s="170"/>
      <c r="Z435" s="170"/>
      <c r="AA435" s="170"/>
      <c r="AB435" s="170"/>
      <c r="AC435" s="170"/>
      <c r="AD435" s="53"/>
      <c r="AE435" s="53"/>
    </row>
    <row r="436">
      <c r="A436" s="53"/>
      <c r="B436" s="53"/>
      <c r="C436" s="168"/>
      <c r="D436" s="169"/>
      <c r="E436" s="170"/>
      <c r="F436" s="53"/>
      <c r="G436" s="53"/>
      <c r="H436" s="53"/>
      <c r="I436" s="171"/>
      <c r="J436" s="170"/>
      <c r="K436" s="53"/>
      <c r="L436" s="53"/>
      <c r="M436" s="53"/>
      <c r="N436" s="171"/>
      <c r="O436" s="170"/>
      <c r="P436" s="53"/>
      <c r="Q436" s="53"/>
      <c r="R436" s="53"/>
      <c r="S436" s="171"/>
      <c r="T436" s="170"/>
      <c r="U436" s="53"/>
      <c r="V436" s="53"/>
      <c r="W436" s="53"/>
      <c r="X436" s="171"/>
      <c r="Y436" s="170"/>
      <c r="Z436" s="170"/>
      <c r="AA436" s="170"/>
      <c r="AB436" s="170"/>
      <c r="AC436" s="170"/>
      <c r="AD436" s="53"/>
      <c r="AE436" s="53"/>
    </row>
    <row r="437">
      <c r="A437" s="53"/>
      <c r="B437" s="53"/>
      <c r="C437" s="168"/>
      <c r="D437" s="169"/>
      <c r="E437" s="170"/>
      <c r="F437" s="53"/>
      <c r="G437" s="53"/>
      <c r="H437" s="53"/>
      <c r="I437" s="171"/>
      <c r="J437" s="170"/>
      <c r="K437" s="53"/>
      <c r="L437" s="53"/>
      <c r="M437" s="53"/>
      <c r="N437" s="171"/>
      <c r="O437" s="170"/>
      <c r="P437" s="53"/>
      <c r="Q437" s="53"/>
      <c r="R437" s="53"/>
      <c r="S437" s="171"/>
      <c r="T437" s="170"/>
      <c r="U437" s="53"/>
      <c r="V437" s="53"/>
      <c r="W437" s="53"/>
      <c r="X437" s="171"/>
      <c r="Y437" s="170"/>
      <c r="Z437" s="170"/>
      <c r="AA437" s="170"/>
      <c r="AB437" s="170"/>
      <c r="AC437" s="170"/>
      <c r="AD437" s="53"/>
      <c r="AE437" s="53"/>
    </row>
    <row r="438">
      <c r="A438" s="53"/>
      <c r="B438" s="53"/>
      <c r="C438" s="168"/>
      <c r="D438" s="169"/>
      <c r="E438" s="170"/>
      <c r="F438" s="53"/>
      <c r="G438" s="53"/>
      <c r="H438" s="53"/>
      <c r="I438" s="171"/>
      <c r="J438" s="170"/>
      <c r="K438" s="53"/>
      <c r="L438" s="53"/>
      <c r="M438" s="53"/>
      <c r="N438" s="171"/>
      <c r="O438" s="170"/>
      <c r="P438" s="53"/>
      <c r="Q438" s="53"/>
      <c r="R438" s="53"/>
      <c r="S438" s="171"/>
      <c r="T438" s="170"/>
      <c r="U438" s="53"/>
      <c r="V438" s="53"/>
      <c r="W438" s="53"/>
      <c r="X438" s="171"/>
      <c r="Y438" s="170"/>
      <c r="Z438" s="170"/>
      <c r="AA438" s="170"/>
      <c r="AB438" s="170"/>
      <c r="AC438" s="170"/>
      <c r="AD438" s="53"/>
      <c r="AE438" s="53"/>
    </row>
    <row r="439">
      <c r="A439" s="53"/>
      <c r="B439" s="53"/>
      <c r="C439" s="168"/>
      <c r="D439" s="169"/>
      <c r="E439" s="170"/>
      <c r="F439" s="53"/>
      <c r="G439" s="53"/>
      <c r="H439" s="53"/>
      <c r="I439" s="171"/>
      <c r="J439" s="170"/>
      <c r="K439" s="53"/>
      <c r="L439" s="53"/>
      <c r="M439" s="53"/>
      <c r="N439" s="171"/>
      <c r="O439" s="170"/>
      <c r="P439" s="53"/>
      <c r="Q439" s="53"/>
      <c r="R439" s="53"/>
      <c r="S439" s="171"/>
      <c r="T439" s="170"/>
      <c r="U439" s="53"/>
      <c r="V439" s="53"/>
      <c r="W439" s="53"/>
      <c r="X439" s="171"/>
      <c r="Y439" s="170"/>
      <c r="Z439" s="170"/>
      <c r="AA439" s="170"/>
      <c r="AB439" s="170"/>
      <c r="AC439" s="170"/>
      <c r="AD439" s="53"/>
      <c r="AE439" s="53"/>
    </row>
    <row r="440">
      <c r="A440" s="53"/>
      <c r="B440" s="53"/>
      <c r="C440" s="168"/>
      <c r="D440" s="169"/>
      <c r="E440" s="170"/>
      <c r="F440" s="53"/>
      <c r="G440" s="53"/>
      <c r="H440" s="53"/>
      <c r="I440" s="171"/>
      <c r="J440" s="170"/>
      <c r="K440" s="53"/>
      <c r="L440" s="53"/>
      <c r="M440" s="53"/>
      <c r="N440" s="171"/>
      <c r="O440" s="170"/>
      <c r="P440" s="53"/>
      <c r="Q440" s="53"/>
      <c r="R440" s="53"/>
      <c r="S440" s="171"/>
      <c r="T440" s="170"/>
      <c r="U440" s="53"/>
      <c r="V440" s="53"/>
      <c r="W440" s="53"/>
      <c r="X440" s="171"/>
      <c r="Y440" s="170"/>
      <c r="Z440" s="170"/>
      <c r="AA440" s="170"/>
      <c r="AB440" s="170"/>
      <c r="AC440" s="170"/>
      <c r="AD440" s="53"/>
      <c r="AE440" s="53"/>
    </row>
    <row r="441">
      <c r="A441" s="53"/>
      <c r="B441" s="53"/>
      <c r="C441" s="168"/>
      <c r="D441" s="169"/>
      <c r="E441" s="170"/>
      <c r="F441" s="53"/>
      <c r="G441" s="53"/>
      <c r="H441" s="53"/>
      <c r="I441" s="171"/>
      <c r="J441" s="170"/>
      <c r="K441" s="53"/>
      <c r="L441" s="53"/>
      <c r="M441" s="53"/>
      <c r="N441" s="171"/>
      <c r="O441" s="170"/>
      <c r="P441" s="53"/>
      <c r="Q441" s="53"/>
      <c r="R441" s="53"/>
      <c r="S441" s="171"/>
      <c r="T441" s="170"/>
      <c r="U441" s="53"/>
      <c r="V441" s="53"/>
      <c r="W441" s="53"/>
      <c r="X441" s="171"/>
      <c r="Y441" s="170"/>
      <c r="Z441" s="170"/>
      <c r="AA441" s="170"/>
      <c r="AB441" s="170"/>
      <c r="AC441" s="170"/>
      <c r="AD441" s="53"/>
      <c r="AE441" s="53"/>
    </row>
    <row r="442">
      <c r="A442" s="53"/>
      <c r="B442" s="53"/>
      <c r="C442" s="168"/>
      <c r="D442" s="169"/>
      <c r="E442" s="170"/>
      <c r="F442" s="53"/>
      <c r="G442" s="53"/>
      <c r="H442" s="53"/>
      <c r="I442" s="171"/>
      <c r="J442" s="170"/>
      <c r="K442" s="53"/>
      <c r="L442" s="53"/>
      <c r="M442" s="53"/>
      <c r="N442" s="171"/>
      <c r="O442" s="170"/>
      <c r="P442" s="53"/>
      <c r="Q442" s="53"/>
      <c r="R442" s="53"/>
      <c r="S442" s="171"/>
      <c r="T442" s="170"/>
      <c r="U442" s="53"/>
      <c r="V442" s="53"/>
      <c r="W442" s="53"/>
      <c r="X442" s="171"/>
      <c r="Y442" s="170"/>
      <c r="Z442" s="170"/>
      <c r="AA442" s="170"/>
      <c r="AB442" s="170"/>
      <c r="AC442" s="170"/>
      <c r="AD442" s="53"/>
      <c r="AE442" s="53"/>
    </row>
    <row r="443">
      <c r="A443" s="53"/>
      <c r="B443" s="53"/>
      <c r="C443" s="168"/>
      <c r="D443" s="169"/>
      <c r="E443" s="170"/>
      <c r="F443" s="53"/>
      <c r="G443" s="53"/>
      <c r="H443" s="53"/>
      <c r="I443" s="171"/>
      <c r="J443" s="170"/>
      <c r="K443" s="53"/>
      <c r="L443" s="53"/>
      <c r="M443" s="53"/>
      <c r="N443" s="171"/>
      <c r="O443" s="170"/>
      <c r="P443" s="53"/>
      <c r="Q443" s="53"/>
      <c r="R443" s="53"/>
      <c r="S443" s="171"/>
      <c r="T443" s="170"/>
      <c r="U443" s="53"/>
      <c r="V443" s="53"/>
      <c r="W443" s="53"/>
      <c r="X443" s="171"/>
      <c r="Y443" s="170"/>
      <c r="Z443" s="170"/>
      <c r="AA443" s="170"/>
      <c r="AB443" s="170"/>
      <c r="AC443" s="170"/>
      <c r="AD443" s="53"/>
      <c r="AE443" s="53"/>
    </row>
    <row r="444">
      <c r="A444" s="53"/>
      <c r="B444" s="53"/>
      <c r="C444" s="168"/>
      <c r="D444" s="169"/>
      <c r="E444" s="170"/>
      <c r="F444" s="53"/>
      <c r="G444" s="53"/>
      <c r="H444" s="53"/>
      <c r="I444" s="171"/>
      <c r="J444" s="170"/>
      <c r="K444" s="53"/>
      <c r="L444" s="53"/>
      <c r="M444" s="53"/>
      <c r="N444" s="171"/>
      <c r="O444" s="170"/>
      <c r="P444" s="53"/>
      <c r="Q444" s="53"/>
      <c r="R444" s="53"/>
      <c r="S444" s="171"/>
      <c r="T444" s="170"/>
      <c r="U444" s="53"/>
      <c r="V444" s="53"/>
      <c r="W444" s="53"/>
      <c r="X444" s="171"/>
      <c r="Y444" s="170"/>
      <c r="Z444" s="170"/>
      <c r="AA444" s="170"/>
      <c r="AB444" s="170"/>
      <c r="AC444" s="170"/>
      <c r="AD444" s="53"/>
      <c r="AE444" s="53"/>
    </row>
    <row r="445">
      <c r="A445" s="53"/>
      <c r="B445" s="53"/>
      <c r="C445" s="168"/>
      <c r="D445" s="169"/>
      <c r="E445" s="170"/>
      <c r="F445" s="53"/>
      <c r="G445" s="53"/>
      <c r="H445" s="53"/>
      <c r="I445" s="171"/>
      <c r="J445" s="170"/>
      <c r="K445" s="53"/>
      <c r="L445" s="53"/>
      <c r="M445" s="53"/>
      <c r="N445" s="171"/>
      <c r="O445" s="170"/>
      <c r="P445" s="53"/>
      <c r="Q445" s="53"/>
      <c r="R445" s="53"/>
      <c r="S445" s="171"/>
      <c r="T445" s="170"/>
      <c r="U445" s="53"/>
      <c r="V445" s="53"/>
      <c r="W445" s="53"/>
      <c r="X445" s="171"/>
      <c r="Y445" s="170"/>
      <c r="Z445" s="170"/>
      <c r="AA445" s="170"/>
      <c r="AB445" s="170"/>
      <c r="AC445" s="170"/>
      <c r="AD445" s="53"/>
      <c r="AE445" s="53"/>
    </row>
    <row r="446">
      <c r="A446" s="53"/>
      <c r="B446" s="53"/>
      <c r="C446" s="168"/>
      <c r="D446" s="169"/>
      <c r="E446" s="170"/>
      <c r="F446" s="53"/>
      <c r="G446" s="53"/>
      <c r="H446" s="53"/>
      <c r="I446" s="171"/>
      <c r="J446" s="170"/>
      <c r="K446" s="53"/>
      <c r="L446" s="53"/>
      <c r="M446" s="53"/>
      <c r="N446" s="171"/>
      <c r="O446" s="170"/>
      <c r="P446" s="53"/>
      <c r="Q446" s="53"/>
      <c r="R446" s="53"/>
      <c r="S446" s="171"/>
      <c r="T446" s="170"/>
      <c r="U446" s="53"/>
      <c r="V446" s="53"/>
      <c r="W446" s="53"/>
      <c r="X446" s="171"/>
      <c r="Y446" s="170"/>
      <c r="Z446" s="170"/>
      <c r="AA446" s="170"/>
      <c r="AB446" s="170"/>
      <c r="AC446" s="170"/>
      <c r="AD446" s="53"/>
      <c r="AE446" s="53"/>
    </row>
    <row r="447">
      <c r="A447" s="53"/>
      <c r="B447" s="53"/>
      <c r="C447" s="168"/>
      <c r="D447" s="169"/>
      <c r="E447" s="170"/>
      <c r="F447" s="53"/>
      <c r="G447" s="53"/>
      <c r="H447" s="53"/>
      <c r="I447" s="171"/>
      <c r="J447" s="170"/>
      <c r="K447" s="53"/>
      <c r="L447" s="53"/>
      <c r="M447" s="53"/>
      <c r="N447" s="171"/>
      <c r="O447" s="170"/>
      <c r="P447" s="53"/>
      <c r="Q447" s="53"/>
      <c r="R447" s="53"/>
      <c r="S447" s="171"/>
      <c r="T447" s="170"/>
      <c r="U447" s="53"/>
      <c r="V447" s="53"/>
      <c r="W447" s="53"/>
      <c r="X447" s="171"/>
      <c r="Y447" s="170"/>
      <c r="Z447" s="170"/>
      <c r="AA447" s="170"/>
      <c r="AB447" s="170"/>
      <c r="AC447" s="170"/>
      <c r="AD447" s="53"/>
      <c r="AE447" s="53"/>
    </row>
    <row r="448">
      <c r="A448" s="53"/>
      <c r="B448" s="53"/>
      <c r="C448" s="168"/>
      <c r="D448" s="169"/>
      <c r="E448" s="170"/>
      <c r="F448" s="53"/>
      <c r="G448" s="53"/>
      <c r="H448" s="53"/>
      <c r="I448" s="171"/>
      <c r="J448" s="170"/>
      <c r="K448" s="53"/>
      <c r="L448" s="53"/>
      <c r="M448" s="53"/>
      <c r="N448" s="171"/>
      <c r="O448" s="170"/>
      <c r="P448" s="53"/>
      <c r="Q448" s="53"/>
      <c r="R448" s="53"/>
      <c r="S448" s="171"/>
      <c r="T448" s="170"/>
      <c r="U448" s="53"/>
      <c r="V448" s="53"/>
      <c r="W448" s="53"/>
      <c r="X448" s="171"/>
      <c r="Y448" s="170"/>
      <c r="Z448" s="170"/>
      <c r="AA448" s="170"/>
      <c r="AB448" s="170"/>
      <c r="AC448" s="170"/>
      <c r="AD448" s="53"/>
      <c r="AE448" s="53"/>
    </row>
    <row r="449">
      <c r="A449" s="53"/>
      <c r="B449" s="53"/>
      <c r="C449" s="168"/>
      <c r="D449" s="169"/>
      <c r="E449" s="170"/>
      <c r="F449" s="53"/>
      <c r="G449" s="53"/>
      <c r="H449" s="53"/>
      <c r="I449" s="171"/>
      <c r="J449" s="170"/>
      <c r="K449" s="53"/>
      <c r="L449" s="53"/>
      <c r="M449" s="53"/>
      <c r="N449" s="171"/>
      <c r="O449" s="170"/>
      <c r="P449" s="53"/>
      <c r="Q449" s="53"/>
      <c r="R449" s="53"/>
      <c r="S449" s="171"/>
      <c r="T449" s="170"/>
      <c r="U449" s="53"/>
      <c r="V449" s="53"/>
      <c r="W449" s="53"/>
      <c r="X449" s="171"/>
      <c r="Y449" s="170"/>
      <c r="Z449" s="170"/>
      <c r="AA449" s="170"/>
      <c r="AB449" s="170"/>
      <c r="AC449" s="170"/>
      <c r="AD449" s="53"/>
      <c r="AE449" s="53"/>
    </row>
    <row r="450">
      <c r="A450" s="53"/>
      <c r="B450" s="53"/>
      <c r="C450" s="168"/>
      <c r="D450" s="169"/>
      <c r="E450" s="170"/>
      <c r="F450" s="53"/>
      <c r="G450" s="53"/>
      <c r="H450" s="53"/>
      <c r="I450" s="171"/>
      <c r="J450" s="170"/>
      <c r="K450" s="53"/>
      <c r="L450" s="53"/>
      <c r="M450" s="53"/>
      <c r="N450" s="171"/>
      <c r="O450" s="170"/>
      <c r="P450" s="53"/>
      <c r="Q450" s="53"/>
      <c r="R450" s="53"/>
      <c r="S450" s="171"/>
      <c r="T450" s="170"/>
      <c r="U450" s="53"/>
      <c r="V450" s="53"/>
      <c r="W450" s="53"/>
      <c r="X450" s="171"/>
      <c r="Y450" s="170"/>
      <c r="Z450" s="170"/>
      <c r="AA450" s="170"/>
      <c r="AB450" s="170"/>
      <c r="AC450" s="170"/>
      <c r="AD450" s="53"/>
      <c r="AE450" s="53"/>
    </row>
    <row r="451">
      <c r="A451" s="53"/>
      <c r="B451" s="53"/>
      <c r="C451" s="168"/>
      <c r="D451" s="169"/>
      <c r="E451" s="170"/>
      <c r="F451" s="53"/>
      <c r="G451" s="53"/>
      <c r="H451" s="53"/>
      <c r="I451" s="171"/>
      <c r="J451" s="170"/>
      <c r="K451" s="53"/>
      <c r="L451" s="53"/>
      <c r="M451" s="53"/>
      <c r="N451" s="171"/>
      <c r="O451" s="170"/>
      <c r="P451" s="53"/>
      <c r="Q451" s="53"/>
      <c r="R451" s="53"/>
      <c r="S451" s="171"/>
      <c r="T451" s="170"/>
      <c r="U451" s="53"/>
      <c r="V451" s="53"/>
      <c r="W451" s="53"/>
      <c r="X451" s="171"/>
      <c r="Y451" s="170"/>
      <c r="Z451" s="170"/>
      <c r="AA451" s="170"/>
      <c r="AB451" s="170"/>
      <c r="AC451" s="170"/>
      <c r="AD451" s="53"/>
      <c r="AE451" s="53"/>
    </row>
    <row r="452">
      <c r="A452" s="53"/>
      <c r="B452" s="53"/>
      <c r="C452" s="168"/>
      <c r="D452" s="169"/>
      <c r="E452" s="170"/>
      <c r="F452" s="53"/>
      <c r="G452" s="53"/>
      <c r="H452" s="53"/>
      <c r="I452" s="171"/>
      <c r="J452" s="170"/>
      <c r="K452" s="53"/>
      <c r="L452" s="53"/>
      <c r="M452" s="53"/>
      <c r="N452" s="171"/>
      <c r="O452" s="170"/>
      <c r="P452" s="53"/>
      <c r="Q452" s="53"/>
      <c r="R452" s="53"/>
      <c r="S452" s="171"/>
      <c r="T452" s="170"/>
      <c r="U452" s="53"/>
      <c r="V452" s="53"/>
      <c r="W452" s="53"/>
      <c r="X452" s="171"/>
      <c r="Y452" s="170"/>
      <c r="Z452" s="170"/>
      <c r="AA452" s="170"/>
      <c r="AB452" s="170"/>
      <c r="AC452" s="170"/>
      <c r="AD452" s="53"/>
      <c r="AE452" s="53"/>
    </row>
    <row r="453">
      <c r="A453" s="53"/>
      <c r="B453" s="53"/>
      <c r="C453" s="168"/>
      <c r="D453" s="169"/>
      <c r="E453" s="170"/>
      <c r="F453" s="53"/>
      <c r="G453" s="53"/>
      <c r="H453" s="53"/>
      <c r="I453" s="171"/>
      <c r="J453" s="170"/>
      <c r="K453" s="53"/>
      <c r="L453" s="53"/>
      <c r="M453" s="53"/>
      <c r="N453" s="171"/>
      <c r="O453" s="170"/>
      <c r="P453" s="53"/>
      <c r="Q453" s="53"/>
      <c r="R453" s="53"/>
      <c r="S453" s="171"/>
      <c r="T453" s="170"/>
      <c r="U453" s="53"/>
      <c r="V453" s="53"/>
      <c r="W453" s="53"/>
      <c r="X453" s="171"/>
      <c r="Y453" s="170"/>
      <c r="Z453" s="170"/>
      <c r="AA453" s="170"/>
      <c r="AB453" s="170"/>
      <c r="AC453" s="170"/>
      <c r="AD453" s="53"/>
      <c r="AE453" s="53"/>
    </row>
    <row r="454">
      <c r="A454" s="53"/>
      <c r="B454" s="53"/>
      <c r="C454" s="168"/>
      <c r="D454" s="169"/>
      <c r="E454" s="170"/>
      <c r="F454" s="53"/>
      <c r="G454" s="53"/>
      <c r="H454" s="53"/>
      <c r="I454" s="171"/>
      <c r="J454" s="170"/>
      <c r="K454" s="53"/>
      <c r="L454" s="53"/>
      <c r="M454" s="53"/>
      <c r="N454" s="171"/>
      <c r="O454" s="170"/>
      <c r="P454" s="53"/>
      <c r="Q454" s="53"/>
      <c r="R454" s="53"/>
      <c r="S454" s="171"/>
      <c r="T454" s="170"/>
      <c r="U454" s="53"/>
      <c r="V454" s="53"/>
      <c r="W454" s="53"/>
      <c r="X454" s="171"/>
      <c r="Y454" s="170"/>
      <c r="Z454" s="170"/>
      <c r="AA454" s="170"/>
      <c r="AB454" s="170"/>
      <c r="AC454" s="170"/>
      <c r="AD454" s="53"/>
      <c r="AE454" s="53"/>
    </row>
    <row r="455">
      <c r="A455" s="53"/>
      <c r="B455" s="53"/>
      <c r="C455" s="168"/>
      <c r="D455" s="169"/>
      <c r="E455" s="170"/>
      <c r="F455" s="53"/>
      <c r="G455" s="53"/>
      <c r="H455" s="53"/>
      <c r="I455" s="171"/>
      <c r="J455" s="170"/>
      <c r="K455" s="53"/>
      <c r="L455" s="53"/>
      <c r="M455" s="53"/>
      <c r="N455" s="171"/>
      <c r="O455" s="170"/>
      <c r="P455" s="53"/>
      <c r="Q455" s="53"/>
      <c r="R455" s="53"/>
      <c r="S455" s="171"/>
      <c r="T455" s="170"/>
      <c r="U455" s="53"/>
      <c r="V455" s="53"/>
      <c r="W455" s="53"/>
      <c r="X455" s="171"/>
      <c r="Y455" s="170"/>
      <c r="Z455" s="170"/>
      <c r="AA455" s="170"/>
      <c r="AB455" s="170"/>
      <c r="AC455" s="170"/>
      <c r="AD455" s="53"/>
      <c r="AE455" s="53"/>
    </row>
    <row r="456">
      <c r="A456" s="53"/>
      <c r="B456" s="53"/>
      <c r="C456" s="168"/>
      <c r="D456" s="169"/>
      <c r="E456" s="170"/>
      <c r="F456" s="53"/>
      <c r="G456" s="53"/>
      <c r="H456" s="53"/>
      <c r="I456" s="171"/>
      <c r="J456" s="170"/>
      <c r="K456" s="53"/>
      <c r="L456" s="53"/>
      <c r="M456" s="53"/>
      <c r="N456" s="171"/>
      <c r="O456" s="170"/>
      <c r="P456" s="53"/>
      <c r="Q456" s="53"/>
      <c r="R456" s="53"/>
      <c r="S456" s="171"/>
      <c r="T456" s="170"/>
      <c r="U456" s="53"/>
      <c r="V456" s="53"/>
      <c r="W456" s="53"/>
      <c r="X456" s="171"/>
      <c r="Y456" s="170"/>
      <c r="Z456" s="170"/>
      <c r="AA456" s="170"/>
      <c r="AB456" s="170"/>
      <c r="AC456" s="170"/>
      <c r="AD456" s="53"/>
      <c r="AE456" s="53"/>
    </row>
    <row r="457">
      <c r="A457" s="53"/>
      <c r="B457" s="53"/>
      <c r="C457" s="168"/>
      <c r="D457" s="169"/>
      <c r="E457" s="170"/>
      <c r="F457" s="53"/>
      <c r="G457" s="53"/>
      <c r="H457" s="53"/>
      <c r="I457" s="171"/>
      <c r="J457" s="170"/>
      <c r="K457" s="53"/>
      <c r="L457" s="53"/>
      <c r="M457" s="53"/>
      <c r="N457" s="171"/>
      <c r="O457" s="170"/>
      <c r="P457" s="53"/>
      <c r="Q457" s="53"/>
      <c r="R457" s="53"/>
      <c r="S457" s="171"/>
      <c r="T457" s="170"/>
      <c r="U457" s="53"/>
      <c r="V457" s="53"/>
      <c r="W457" s="53"/>
      <c r="X457" s="171"/>
      <c r="Y457" s="170"/>
      <c r="Z457" s="170"/>
      <c r="AA457" s="170"/>
      <c r="AB457" s="170"/>
      <c r="AC457" s="170"/>
      <c r="AD457" s="53"/>
      <c r="AE457" s="53"/>
    </row>
    <row r="458">
      <c r="A458" s="53"/>
      <c r="B458" s="53"/>
      <c r="C458" s="168"/>
      <c r="D458" s="169"/>
      <c r="E458" s="170"/>
      <c r="F458" s="53"/>
      <c r="G458" s="53"/>
      <c r="H458" s="53"/>
      <c r="I458" s="171"/>
      <c r="J458" s="170"/>
      <c r="K458" s="53"/>
      <c r="L458" s="53"/>
      <c r="M458" s="53"/>
      <c r="N458" s="171"/>
      <c r="O458" s="170"/>
      <c r="P458" s="53"/>
      <c r="Q458" s="53"/>
      <c r="R458" s="53"/>
      <c r="S458" s="171"/>
      <c r="T458" s="170"/>
      <c r="U458" s="53"/>
      <c r="V458" s="53"/>
      <c r="W458" s="53"/>
      <c r="X458" s="171"/>
      <c r="Y458" s="170"/>
      <c r="Z458" s="170"/>
      <c r="AA458" s="170"/>
      <c r="AB458" s="170"/>
      <c r="AC458" s="170"/>
      <c r="AD458" s="53"/>
      <c r="AE458" s="53"/>
    </row>
    <row r="459">
      <c r="A459" s="53"/>
      <c r="B459" s="53"/>
      <c r="C459" s="168"/>
      <c r="D459" s="169"/>
      <c r="E459" s="170"/>
      <c r="F459" s="53"/>
      <c r="G459" s="53"/>
      <c r="H459" s="53"/>
      <c r="I459" s="171"/>
      <c r="J459" s="170"/>
      <c r="K459" s="53"/>
      <c r="L459" s="53"/>
      <c r="M459" s="53"/>
      <c r="N459" s="171"/>
      <c r="O459" s="170"/>
      <c r="P459" s="53"/>
      <c r="Q459" s="53"/>
      <c r="R459" s="53"/>
      <c r="S459" s="171"/>
      <c r="T459" s="170"/>
      <c r="U459" s="53"/>
      <c r="V459" s="53"/>
      <c r="W459" s="53"/>
      <c r="X459" s="171"/>
      <c r="Y459" s="170"/>
      <c r="Z459" s="170"/>
      <c r="AA459" s="170"/>
      <c r="AB459" s="170"/>
      <c r="AC459" s="170"/>
      <c r="AD459" s="53"/>
      <c r="AE459" s="53"/>
    </row>
    <row r="460">
      <c r="A460" s="53"/>
      <c r="B460" s="53"/>
      <c r="C460" s="168"/>
      <c r="D460" s="169"/>
      <c r="E460" s="170"/>
      <c r="F460" s="53"/>
      <c r="G460" s="53"/>
      <c r="H460" s="53"/>
      <c r="I460" s="171"/>
      <c r="J460" s="170"/>
      <c r="K460" s="53"/>
      <c r="L460" s="53"/>
      <c r="M460" s="53"/>
      <c r="N460" s="171"/>
      <c r="O460" s="170"/>
      <c r="P460" s="53"/>
      <c r="Q460" s="53"/>
      <c r="R460" s="53"/>
      <c r="S460" s="171"/>
      <c r="T460" s="170"/>
      <c r="U460" s="53"/>
      <c r="V460" s="53"/>
      <c r="W460" s="53"/>
      <c r="X460" s="171"/>
      <c r="Y460" s="170"/>
      <c r="Z460" s="170"/>
      <c r="AA460" s="170"/>
      <c r="AB460" s="170"/>
      <c r="AC460" s="170"/>
      <c r="AD460" s="53"/>
      <c r="AE460" s="53"/>
    </row>
    <row r="461">
      <c r="A461" s="53"/>
      <c r="B461" s="53"/>
      <c r="C461" s="168"/>
      <c r="D461" s="169"/>
      <c r="E461" s="170"/>
      <c r="F461" s="53"/>
      <c r="G461" s="53"/>
      <c r="H461" s="53"/>
      <c r="I461" s="171"/>
      <c r="J461" s="170"/>
      <c r="K461" s="53"/>
      <c r="L461" s="53"/>
      <c r="M461" s="53"/>
      <c r="N461" s="171"/>
      <c r="O461" s="170"/>
      <c r="P461" s="53"/>
      <c r="Q461" s="53"/>
      <c r="R461" s="53"/>
      <c r="S461" s="171"/>
      <c r="T461" s="170"/>
      <c r="U461" s="53"/>
      <c r="V461" s="53"/>
      <c r="W461" s="53"/>
      <c r="X461" s="171"/>
      <c r="Y461" s="170"/>
      <c r="Z461" s="170"/>
      <c r="AA461" s="170"/>
      <c r="AB461" s="170"/>
      <c r="AC461" s="170"/>
      <c r="AD461" s="53"/>
      <c r="AE461" s="53"/>
    </row>
    <row r="462">
      <c r="A462" s="53"/>
      <c r="B462" s="53"/>
      <c r="C462" s="168"/>
      <c r="D462" s="169"/>
      <c r="E462" s="170"/>
      <c r="F462" s="53"/>
      <c r="G462" s="53"/>
      <c r="H462" s="53"/>
      <c r="I462" s="171"/>
      <c r="J462" s="170"/>
      <c r="K462" s="53"/>
      <c r="L462" s="53"/>
      <c r="M462" s="53"/>
      <c r="N462" s="171"/>
      <c r="O462" s="170"/>
      <c r="P462" s="53"/>
      <c r="Q462" s="53"/>
      <c r="R462" s="53"/>
      <c r="S462" s="171"/>
      <c r="T462" s="170"/>
      <c r="U462" s="53"/>
      <c r="V462" s="53"/>
      <c r="W462" s="53"/>
      <c r="X462" s="171"/>
      <c r="Y462" s="170"/>
      <c r="Z462" s="170"/>
      <c r="AA462" s="170"/>
      <c r="AB462" s="170"/>
      <c r="AC462" s="170"/>
      <c r="AD462" s="53"/>
      <c r="AE462" s="53"/>
    </row>
    <row r="463">
      <c r="A463" s="53"/>
      <c r="B463" s="53"/>
      <c r="C463" s="168"/>
      <c r="D463" s="169"/>
      <c r="E463" s="170"/>
      <c r="F463" s="53"/>
      <c r="G463" s="53"/>
      <c r="H463" s="53"/>
      <c r="I463" s="171"/>
      <c r="J463" s="170"/>
      <c r="K463" s="53"/>
      <c r="L463" s="53"/>
      <c r="M463" s="53"/>
      <c r="N463" s="171"/>
      <c r="O463" s="170"/>
      <c r="P463" s="53"/>
      <c r="Q463" s="53"/>
      <c r="R463" s="53"/>
      <c r="S463" s="171"/>
      <c r="T463" s="170"/>
      <c r="U463" s="53"/>
      <c r="V463" s="53"/>
      <c r="W463" s="53"/>
      <c r="X463" s="171"/>
      <c r="Y463" s="170"/>
      <c r="Z463" s="170"/>
      <c r="AA463" s="170"/>
      <c r="AB463" s="170"/>
      <c r="AC463" s="170"/>
      <c r="AD463" s="53"/>
      <c r="AE463" s="53"/>
    </row>
    <row r="464">
      <c r="A464" s="53"/>
      <c r="B464" s="53"/>
      <c r="C464" s="168"/>
      <c r="D464" s="169"/>
      <c r="E464" s="170"/>
      <c r="F464" s="53"/>
      <c r="G464" s="53"/>
      <c r="H464" s="53"/>
      <c r="I464" s="171"/>
      <c r="J464" s="170"/>
      <c r="K464" s="53"/>
      <c r="L464" s="53"/>
      <c r="M464" s="53"/>
      <c r="N464" s="171"/>
      <c r="O464" s="170"/>
      <c r="P464" s="53"/>
      <c r="Q464" s="53"/>
      <c r="R464" s="53"/>
      <c r="S464" s="171"/>
      <c r="T464" s="170"/>
      <c r="U464" s="53"/>
      <c r="V464" s="53"/>
      <c r="W464" s="53"/>
      <c r="X464" s="171"/>
      <c r="Y464" s="170"/>
      <c r="Z464" s="170"/>
      <c r="AA464" s="170"/>
      <c r="AB464" s="170"/>
      <c r="AC464" s="170"/>
      <c r="AD464" s="53"/>
      <c r="AE464" s="53"/>
    </row>
    <row r="465">
      <c r="A465" s="53"/>
      <c r="B465" s="53"/>
      <c r="C465" s="168"/>
      <c r="D465" s="169"/>
      <c r="E465" s="170"/>
      <c r="F465" s="53"/>
      <c r="G465" s="53"/>
      <c r="H465" s="53"/>
      <c r="I465" s="171"/>
      <c r="J465" s="170"/>
      <c r="K465" s="53"/>
      <c r="L465" s="53"/>
      <c r="M465" s="53"/>
      <c r="N465" s="171"/>
      <c r="O465" s="170"/>
      <c r="P465" s="53"/>
      <c r="Q465" s="53"/>
      <c r="R465" s="53"/>
      <c r="S465" s="171"/>
      <c r="T465" s="170"/>
      <c r="U465" s="53"/>
      <c r="V465" s="53"/>
      <c r="W465" s="53"/>
      <c r="X465" s="171"/>
      <c r="Y465" s="170"/>
      <c r="Z465" s="170"/>
      <c r="AA465" s="170"/>
      <c r="AB465" s="170"/>
      <c r="AC465" s="170"/>
      <c r="AD465" s="53"/>
      <c r="AE465" s="53"/>
    </row>
    <row r="466">
      <c r="A466" s="53"/>
      <c r="B466" s="53"/>
      <c r="C466" s="168"/>
      <c r="D466" s="169"/>
      <c r="E466" s="170"/>
      <c r="F466" s="53"/>
      <c r="G466" s="53"/>
      <c r="H466" s="53"/>
      <c r="I466" s="171"/>
      <c r="J466" s="170"/>
      <c r="K466" s="53"/>
      <c r="L466" s="53"/>
      <c r="M466" s="53"/>
      <c r="N466" s="171"/>
      <c r="O466" s="170"/>
      <c r="P466" s="53"/>
      <c r="Q466" s="53"/>
      <c r="R466" s="53"/>
      <c r="S466" s="171"/>
      <c r="T466" s="170"/>
      <c r="U466" s="53"/>
      <c r="V466" s="53"/>
      <c r="W466" s="53"/>
      <c r="X466" s="171"/>
      <c r="Y466" s="170"/>
      <c r="Z466" s="170"/>
      <c r="AA466" s="170"/>
      <c r="AB466" s="170"/>
      <c r="AC466" s="170"/>
      <c r="AD466" s="53"/>
      <c r="AE466" s="53"/>
    </row>
    <row r="467">
      <c r="A467" s="53"/>
      <c r="B467" s="53"/>
      <c r="C467" s="168"/>
      <c r="D467" s="169"/>
      <c r="E467" s="170"/>
      <c r="F467" s="53"/>
      <c r="G467" s="53"/>
      <c r="H467" s="53"/>
      <c r="I467" s="171"/>
      <c r="J467" s="170"/>
      <c r="K467" s="53"/>
      <c r="L467" s="53"/>
      <c r="M467" s="53"/>
      <c r="N467" s="171"/>
      <c r="O467" s="170"/>
      <c r="P467" s="53"/>
      <c r="Q467" s="53"/>
      <c r="R467" s="53"/>
      <c r="S467" s="171"/>
      <c r="T467" s="170"/>
      <c r="U467" s="53"/>
      <c r="V467" s="53"/>
      <c r="W467" s="53"/>
      <c r="X467" s="171"/>
      <c r="Y467" s="170"/>
      <c r="Z467" s="170"/>
      <c r="AA467" s="170"/>
      <c r="AB467" s="170"/>
      <c r="AC467" s="170"/>
      <c r="AD467" s="53"/>
      <c r="AE467" s="53"/>
    </row>
    <row r="468">
      <c r="A468" s="53"/>
      <c r="B468" s="53"/>
      <c r="C468" s="168"/>
      <c r="D468" s="169"/>
      <c r="E468" s="170"/>
      <c r="F468" s="53"/>
      <c r="G468" s="53"/>
      <c r="H468" s="53"/>
      <c r="I468" s="171"/>
      <c r="J468" s="170"/>
      <c r="K468" s="53"/>
      <c r="L468" s="53"/>
      <c r="M468" s="53"/>
      <c r="N468" s="171"/>
      <c r="O468" s="170"/>
      <c r="P468" s="53"/>
      <c r="Q468" s="53"/>
      <c r="R468" s="53"/>
      <c r="S468" s="171"/>
      <c r="T468" s="170"/>
      <c r="U468" s="53"/>
      <c r="V468" s="53"/>
      <c r="W468" s="53"/>
      <c r="X468" s="171"/>
      <c r="Y468" s="170"/>
      <c r="Z468" s="170"/>
      <c r="AA468" s="170"/>
      <c r="AB468" s="170"/>
      <c r="AC468" s="170"/>
      <c r="AD468" s="53"/>
      <c r="AE468" s="53"/>
    </row>
    <row r="469">
      <c r="A469" s="53"/>
      <c r="B469" s="53"/>
      <c r="C469" s="168"/>
      <c r="D469" s="169"/>
      <c r="E469" s="170"/>
      <c r="F469" s="53"/>
      <c r="G469" s="53"/>
      <c r="H469" s="53"/>
      <c r="I469" s="171"/>
      <c r="J469" s="170"/>
      <c r="K469" s="53"/>
      <c r="L469" s="53"/>
      <c r="M469" s="53"/>
      <c r="N469" s="171"/>
      <c r="O469" s="170"/>
      <c r="P469" s="53"/>
      <c r="Q469" s="53"/>
      <c r="R469" s="53"/>
      <c r="S469" s="171"/>
      <c r="T469" s="170"/>
      <c r="U469" s="53"/>
      <c r="V469" s="53"/>
      <c r="W469" s="53"/>
      <c r="X469" s="171"/>
      <c r="Y469" s="170"/>
      <c r="Z469" s="170"/>
      <c r="AA469" s="170"/>
      <c r="AB469" s="170"/>
      <c r="AC469" s="170"/>
      <c r="AD469" s="53"/>
      <c r="AE469" s="53"/>
    </row>
    <row r="470">
      <c r="A470" s="53"/>
      <c r="B470" s="53"/>
      <c r="C470" s="168"/>
      <c r="D470" s="169"/>
      <c r="E470" s="170"/>
      <c r="F470" s="53"/>
      <c r="G470" s="53"/>
      <c r="H470" s="53"/>
      <c r="I470" s="171"/>
      <c r="J470" s="170"/>
      <c r="K470" s="53"/>
      <c r="L470" s="53"/>
      <c r="M470" s="53"/>
      <c r="N470" s="171"/>
      <c r="O470" s="170"/>
      <c r="P470" s="53"/>
      <c r="Q470" s="53"/>
      <c r="R470" s="53"/>
      <c r="S470" s="171"/>
      <c r="T470" s="170"/>
      <c r="U470" s="53"/>
      <c r="V470" s="53"/>
      <c r="W470" s="53"/>
      <c r="X470" s="171"/>
      <c r="Y470" s="170"/>
      <c r="Z470" s="170"/>
      <c r="AA470" s="170"/>
      <c r="AB470" s="170"/>
      <c r="AC470" s="170"/>
      <c r="AD470" s="53"/>
      <c r="AE470" s="53"/>
    </row>
    <row r="471">
      <c r="A471" s="53"/>
      <c r="B471" s="53"/>
      <c r="C471" s="168"/>
      <c r="D471" s="169"/>
      <c r="E471" s="170"/>
      <c r="F471" s="53"/>
      <c r="G471" s="53"/>
      <c r="H471" s="53"/>
      <c r="I471" s="171"/>
      <c r="J471" s="170"/>
      <c r="K471" s="53"/>
      <c r="L471" s="53"/>
      <c r="M471" s="53"/>
      <c r="N471" s="171"/>
      <c r="O471" s="170"/>
      <c r="P471" s="53"/>
      <c r="Q471" s="53"/>
      <c r="R471" s="53"/>
      <c r="S471" s="171"/>
      <c r="T471" s="170"/>
      <c r="U471" s="53"/>
      <c r="V471" s="53"/>
      <c r="W471" s="53"/>
      <c r="X471" s="171"/>
      <c r="Y471" s="170"/>
      <c r="Z471" s="170"/>
      <c r="AA471" s="170"/>
      <c r="AB471" s="170"/>
      <c r="AC471" s="170"/>
      <c r="AD471" s="53"/>
      <c r="AE471" s="53"/>
    </row>
    <row r="472">
      <c r="A472" s="53"/>
      <c r="B472" s="53"/>
      <c r="C472" s="168"/>
      <c r="D472" s="169"/>
      <c r="E472" s="170"/>
      <c r="F472" s="53"/>
      <c r="G472" s="53"/>
      <c r="H472" s="53"/>
      <c r="I472" s="171"/>
      <c r="J472" s="170"/>
      <c r="K472" s="53"/>
      <c r="L472" s="53"/>
      <c r="M472" s="53"/>
      <c r="N472" s="171"/>
      <c r="O472" s="170"/>
      <c r="P472" s="53"/>
      <c r="Q472" s="53"/>
      <c r="R472" s="53"/>
      <c r="S472" s="171"/>
      <c r="T472" s="170"/>
      <c r="U472" s="53"/>
      <c r="V472" s="53"/>
      <c r="W472" s="53"/>
      <c r="X472" s="171"/>
      <c r="Y472" s="170"/>
      <c r="Z472" s="170"/>
      <c r="AA472" s="170"/>
      <c r="AB472" s="170"/>
      <c r="AC472" s="170"/>
      <c r="AD472" s="53"/>
      <c r="AE472" s="53"/>
    </row>
    <row r="473">
      <c r="A473" s="53"/>
      <c r="B473" s="53"/>
      <c r="C473" s="168"/>
      <c r="D473" s="169"/>
      <c r="E473" s="170"/>
      <c r="F473" s="53"/>
      <c r="G473" s="53"/>
      <c r="H473" s="53"/>
      <c r="I473" s="171"/>
      <c r="J473" s="170"/>
      <c r="K473" s="53"/>
      <c r="L473" s="53"/>
      <c r="M473" s="53"/>
      <c r="N473" s="171"/>
      <c r="O473" s="170"/>
      <c r="P473" s="53"/>
      <c r="Q473" s="53"/>
      <c r="R473" s="53"/>
      <c r="S473" s="171"/>
      <c r="T473" s="170"/>
      <c r="U473" s="53"/>
      <c r="V473" s="53"/>
      <c r="W473" s="53"/>
      <c r="X473" s="171"/>
      <c r="Y473" s="170"/>
      <c r="Z473" s="170"/>
      <c r="AA473" s="170"/>
      <c r="AB473" s="170"/>
      <c r="AC473" s="170"/>
      <c r="AD473" s="53"/>
      <c r="AE473" s="53"/>
    </row>
    <row r="474">
      <c r="A474" s="53"/>
      <c r="B474" s="53"/>
      <c r="C474" s="168"/>
      <c r="D474" s="169"/>
      <c r="E474" s="170"/>
      <c r="F474" s="53"/>
      <c r="G474" s="53"/>
      <c r="H474" s="53"/>
      <c r="I474" s="171"/>
      <c r="J474" s="170"/>
      <c r="K474" s="53"/>
      <c r="L474" s="53"/>
      <c r="M474" s="53"/>
      <c r="N474" s="171"/>
      <c r="O474" s="170"/>
      <c r="P474" s="53"/>
      <c r="Q474" s="53"/>
      <c r="R474" s="53"/>
      <c r="S474" s="171"/>
      <c r="T474" s="170"/>
      <c r="U474" s="53"/>
      <c r="V474" s="53"/>
      <c r="W474" s="53"/>
      <c r="X474" s="171"/>
      <c r="Y474" s="170"/>
      <c r="Z474" s="170"/>
      <c r="AA474" s="170"/>
      <c r="AB474" s="170"/>
      <c r="AC474" s="170"/>
      <c r="AD474" s="53"/>
      <c r="AE474" s="53"/>
    </row>
    <row r="475">
      <c r="A475" s="53"/>
      <c r="B475" s="53"/>
      <c r="C475" s="168"/>
      <c r="D475" s="169"/>
      <c r="E475" s="170"/>
      <c r="F475" s="53"/>
      <c r="G475" s="53"/>
      <c r="H475" s="53"/>
      <c r="I475" s="171"/>
      <c r="J475" s="170"/>
      <c r="K475" s="53"/>
      <c r="L475" s="53"/>
      <c r="M475" s="53"/>
      <c r="N475" s="171"/>
      <c r="O475" s="170"/>
      <c r="P475" s="53"/>
      <c r="Q475" s="53"/>
      <c r="R475" s="53"/>
      <c r="S475" s="171"/>
      <c r="T475" s="170"/>
      <c r="U475" s="53"/>
      <c r="V475" s="53"/>
      <c r="W475" s="53"/>
      <c r="X475" s="171"/>
      <c r="Y475" s="170"/>
      <c r="Z475" s="170"/>
      <c r="AA475" s="170"/>
      <c r="AB475" s="170"/>
      <c r="AC475" s="170"/>
      <c r="AD475" s="53"/>
      <c r="AE475" s="53"/>
    </row>
    <row r="476">
      <c r="A476" s="53"/>
      <c r="B476" s="53"/>
      <c r="C476" s="168"/>
      <c r="D476" s="169"/>
      <c r="E476" s="170"/>
      <c r="F476" s="53"/>
      <c r="G476" s="53"/>
      <c r="H476" s="53"/>
      <c r="I476" s="171"/>
      <c r="J476" s="170"/>
      <c r="K476" s="53"/>
      <c r="L476" s="53"/>
      <c r="M476" s="53"/>
      <c r="N476" s="171"/>
      <c r="O476" s="170"/>
      <c r="P476" s="53"/>
      <c r="Q476" s="53"/>
      <c r="R476" s="53"/>
      <c r="S476" s="171"/>
      <c r="T476" s="170"/>
      <c r="U476" s="53"/>
      <c r="V476" s="53"/>
      <c r="W476" s="53"/>
      <c r="X476" s="171"/>
      <c r="Y476" s="170"/>
      <c r="Z476" s="170"/>
      <c r="AA476" s="170"/>
      <c r="AB476" s="170"/>
      <c r="AC476" s="170"/>
      <c r="AD476" s="53"/>
      <c r="AE476" s="53"/>
    </row>
    <row r="477">
      <c r="A477" s="53"/>
      <c r="B477" s="53"/>
      <c r="C477" s="168"/>
      <c r="D477" s="169"/>
      <c r="E477" s="170"/>
      <c r="F477" s="53"/>
      <c r="G477" s="53"/>
      <c r="H477" s="53"/>
      <c r="I477" s="171"/>
      <c r="J477" s="170"/>
      <c r="K477" s="53"/>
      <c r="L477" s="53"/>
      <c r="M477" s="53"/>
      <c r="N477" s="171"/>
      <c r="O477" s="170"/>
      <c r="P477" s="53"/>
      <c r="Q477" s="53"/>
      <c r="R477" s="53"/>
      <c r="S477" s="171"/>
      <c r="T477" s="170"/>
      <c r="U477" s="53"/>
      <c r="V477" s="53"/>
      <c r="W477" s="53"/>
      <c r="X477" s="171"/>
      <c r="Y477" s="170"/>
      <c r="Z477" s="170"/>
      <c r="AA477" s="170"/>
      <c r="AB477" s="170"/>
      <c r="AC477" s="170"/>
      <c r="AD477" s="53"/>
      <c r="AE477" s="53"/>
    </row>
    <row r="478">
      <c r="A478" s="53"/>
      <c r="B478" s="53"/>
      <c r="C478" s="168"/>
      <c r="D478" s="169"/>
      <c r="E478" s="170"/>
      <c r="F478" s="53"/>
      <c r="G478" s="53"/>
      <c r="H478" s="53"/>
      <c r="I478" s="171"/>
      <c r="J478" s="170"/>
      <c r="K478" s="53"/>
      <c r="L478" s="53"/>
      <c r="M478" s="53"/>
      <c r="N478" s="171"/>
      <c r="O478" s="170"/>
      <c r="P478" s="53"/>
      <c r="Q478" s="53"/>
      <c r="R478" s="53"/>
      <c r="S478" s="171"/>
      <c r="T478" s="170"/>
      <c r="U478" s="53"/>
      <c r="V478" s="53"/>
      <c r="W478" s="53"/>
      <c r="X478" s="171"/>
      <c r="Y478" s="170"/>
      <c r="Z478" s="170"/>
      <c r="AA478" s="170"/>
      <c r="AB478" s="170"/>
      <c r="AC478" s="170"/>
      <c r="AD478" s="53"/>
      <c r="AE478" s="53"/>
    </row>
    <row r="479">
      <c r="A479" s="53"/>
      <c r="B479" s="53"/>
      <c r="C479" s="168"/>
      <c r="D479" s="169"/>
      <c r="E479" s="170"/>
      <c r="F479" s="53"/>
      <c r="G479" s="53"/>
      <c r="H479" s="53"/>
      <c r="I479" s="171"/>
      <c r="J479" s="170"/>
      <c r="K479" s="53"/>
      <c r="L479" s="53"/>
      <c r="M479" s="53"/>
      <c r="N479" s="171"/>
      <c r="O479" s="170"/>
      <c r="P479" s="53"/>
      <c r="Q479" s="53"/>
      <c r="R479" s="53"/>
      <c r="S479" s="171"/>
      <c r="T479" s="170"/>
      <c r="U479" s="53"/>
      <c r="V479" s="53"/>
      <c r="W479" s="53"/>
      <c r="X479" s="171"/>
      <c r="Y479" s="170"/>
      <c r="Z479" s="170"/>
      <c r="AA479" s="170"/>
      <c r="AB479" s="170"/>
      <c r="AC479" s="170"/>
      <c r="AD479" s="53"/>
      <c r="AE479" s="53"/>
    </row>
    <row r="480">
      <c r="A480" s="53"/>
      <c r="B480" s="53"/>
      <c r="C480" s="168"/>
      <c r="D480" s="169"/>
      <c r="E480" s="170"/>
      <c r="F480" s="53"/>
      <c r="G480" s="53"/>
      <c r="H480" s="53"/>
      <c r="I480" s="171"/>
      <c r="J480" s="170"/>
      <c r="K480" s="53"/>
      <c r="L480" s="53"/>
      <c r="M480" s="53"/>
      <c r="N480" s="171"/>
      <c r="O480" s="170"/>
      <c r="P480" s="53"/>
      <c r="Q480" s="53"/>
      <c r="R480" s="53"/>
      <c r="S480" s="171"/>
      <c r="T480" s="170"/>
      <c r="U480" s="53"/>
      <c r="V480" s="53"/>
      <c r="W480" s="53"/>
      <c r="X480" s="171"/>
      <c r="Y480" s="170"/>
      <c r="Z480" s="170"/>
      <c r="AA480" s="170"/>
      <c r="AB480" s="170"/>
      <c r="AC480" s="170"/>
      <c r="AD480" s="53"/>
      <c r="AE480" s="53"/>
    </row>
    <row r="481">
      <c r="A481" s="53"/>
      <c r="B481" s="53"/>
      <c r="C481" s="168"/>
      <c r="D481" s="169"/>
      <c r="E481" s="170"/>
      <c r="F481" s="53"/>
      <c r="G481" s="53"/>
      <c r="H481" s="53"/>
      <c r="I481" s="171"/>
      <c r="J481" s="170"/>
      <c r="K481" s="53"/>
      <c r="L481" s="53"/>
      <c r="M481" s="53"/>
      <c r="N481" s="171"/>
      <c r="O481" s="170"/>
      <c r="P481" s="53"/>
      <c r="Q481" s="53"/>
      <c r="R481" s="53"/>
      <c r="S481" s="171"/>
      <c r="T481" s="170"/>
      <c r="U481" s="53"/>
      <c r="V481" s="53"/>
      <c r="W481" s="53"/>
      <c r="X481" s="171"/>
      <c r="Y481" s="170"/>
      <c r="Z481" s="170"/>
      <c r="AA481" s="170"/>
      <c r="AB481" s="170"/>
      <c r="AC481" s="170"/>
      <c r="AD481" s="53"/>
      <c r="AE481" s="53"/>
    </row>
    <row r="482">
      <c r="A482" s="53"/>
      <c r="B482" s="53"/>
      <c r="C482" s="168"/>
      <c r="D482" s="169"/>
      <c r="E482" s="170"/>
      <c r="F482" s="53"/>
      <c r="G482" s="53"/>
      <c r="H482" s="53"/>
      <c r="I482" s="171"/>
      <c r="J482" s="170"/>
      <c r="K482" s="53"/>
      <c r="L482" s="53"/>
      <c r="M482" s="53"/>
      <c r="N482" s="171"/>
      <c r="O482" s="170"/>
      <c r="P482" s="53"/>
      <c r="Q482" s="53"/>
      <c r="R482" s="53"/>
      <c r="S482" s="171"/>
      <c r="T482" s="170"/>
      <c r="U482" s="53"/>
      <c r="V482" s="53"/>
      <c r="W482" s="53"/>
      <c r="X482" s="171"/>
      <c r="Y482" s="170"/>
      <c r="Z482" s="170"/>
      <c r="AA482" s="170"/>
      <c r="AB482" s="170"/>
      <c r="AC482" s="170"/>
      <c r="AD482" s="53"/>
      <c r="AE482" s="53"/>
    </row>
    <row r="483">
      <c r="A483" s="53"/>
      <c r="B483" s="53"/>
      <c r="C483" s="168"/>
      <c r="D483" s="169"/>
      <c r="E483" s="170"/>
      <c r="F483" s="53"/>
      <c r="G483" s="53"/>
      <c r="H483" s="53"/>
      <c r="I483" s="171"/>
      <c r="J483" s="170"/>
      <c r="K483" s="53"/>
      <c r="L483" s="53"/>
      <c r="M483" s="53"/>
      <c r="N483" s="171"/>
      <c r="O483" s="170"/>
      <c r="P483" s="53"/>
      <c r="Q483" s="53"/>
      <c r="R483" s="53"/>
      <c r="S483" s="171"/>
      <c r="T483" s="170"/>
      <c r="U483" s="53"/>
      <c r="V483" s="53"/>
      <c r="W483" s="53"/>
      <c r="X483" s="171"/>
      <c r="Y483" s="170"/>
      <c r="Z483" s="170"/>
      <c r="AA483" s="170"/>
      <c r="AB483" s="170"/>
      <c r="AC483" s="170"/>
      <c r="AD483" s="53"/>
      <c r="AE483" s="53"/>
    </row>
    <row r="484">
      <c r="A484" s="53"/>
      <c r="B484" s="53"/>
      <c r="C484" s="168"/>
      <c r="D484" s="169"/>
      <c r="E484" s="170"/>
      <c r="F484" s="53"/>
      <c r="G484" s="53"/>
      <c r="H484" s="53"/>
      <c r="I484" s="171"/>
      <c r="J484" s="170"/>
      <c r="K484" s="53"/>
      <c r="L484" s="53"/>
      <c r="M484" s="53"/>
      <c r="N484" s="171"/>
      <c r="O484" s="170"/>
      <c r="P484" s="53"/>
      <c r="Q484" s="53"/>
      <c r="R484" s="53"/>
      <c r="S484" s="171"/>
      <c r="T484" s="170"/>
      <c r="U484" s="53"/>
      <c r="V484" s="53"/>
      <c r="W484" s="53"/>
      <c r="X484" s="171"/>
      <c r="Y484" s="170"/>
      <c r="Z484" s="170"/>
      <c r="AA484" s="170"/>
      <c r="AB484" s="170"/>
      <c r="AC484" s="170"/>
      <c r="AD484" s="53"/>
      <c r="AE484" s="53"/>
    </row>
    <row r="485">
      <c r="A485" s="53"/>
      <c r="B485" s="53"/>
      <c r="C485" s="168"/>
      <c r="D485" s="169"/>
      <c r="E485" s="170"/>
      <c r="F485" s="53"/>
      <c r="G485" s="53"/>
      <c r="H485" s="53"/>
      <c r="I485" s="171"/>
      <c r="J485" s="170"/>
      <c r="K485" s="53"/>
      <c r="L485" s="53"/>
      <c r="M485" s="53"/>
      <c r="N485" s="171"/>
      <c r="O485" s="170"/>
      <c r="P485" s="53"/>
      <c r="Q485" s="53"/>
      <c r="R485" s="53"/>
      <c r="S485" s="171"/>
      <c r="T485" s="170"/>
      <c r="U485" s="53"/>
      <c r="V485" s="53"/>
      <c r="W485" s="53"/>
      <c r="X485" s="171"/>
      <c r="Y485" s="170"/>
      <c r="Z485" s="170"/>
      <c r="AA485" s="170"/>
      <c r="AB485" s="170"/>
      <c r="AC485" s="170"/>
      <c r="AD485" s="53"/>
      <c r="AE485" s="53"/>
    </row>
    <row r="486">
      <c r="A486" s="53"/>
      <c r="B486" s="53"/>
      <c r="C486" s="168"/>
      <c r="D486" s="169"/>
      <c r="E486" s="170"/>
      <c r="F486" s="53"/>
      <c r="G486" s="53"/>
      <c r="H486" s="53"/>
      <c r="I486" s="171"/>
      <c r="J486" s="170"/>
      <c r="K486" s="53"/>
      <c r="L486" s="53"/>
      <c r="M486" s="53"/>
      <c r="N486" s="171"/>
      <c r="O486" s="170"/>
      <c r="P486" s="53"/>
      <c r="Q486" s="53"/>
      <c r="R486" s="53"/>
      <c r="S486" s="171"/>
      <c r="T486" s="170"/>
      <c r="U486" s="53"/>
      <c r="V486" s="53"/>
      <c r="W486" s="53"/>
      <c r="X486" s="171"/>
      <c r="Y486" s="170"/>
      <c r="Z486" s="170"/>
      <c r="AA486" s="170"/>
      <c r="AB486" s="170"/>
      <c r="AC486" s="170"/>
      <c r="AD486" s="53"/>
      <c r="AE486" s="53"/>
    </row>
    <row r="487">
      <c r="A487" s="53"/>
      <c r="B487" s="53"/>
      <c r="C487" s="168"/>
      <c r="D487" s="169"/>
      <c r="E487" s="170"/>
      <c r="F487" s="53"/>
      <c r="G487" s="53"/>
      <c r="H487" s="53"/>
      <c r="I487" s="171"/>
      <c r="J487" s="170"/>
      <c r="K487" s="53"/>
      <c r="L487" s="53"/>
      <c r="M487" s="53"/>
      <c r="N487" s="171"/>
      <c r="O487" s="170"/>
      <c r="P487" s="53"/>
      <c r="Q487" s="53"/>
      <c r="R487" s="53"/>
      <c r="S487" s="171"/>
      <c r="T487" s="170"/>
      <c r="U487" s="53"/>
      <c r="V487" s="53"/>
      <c r="W487" s="53"/>
      <c r="X487" s="171"/>
      <c r="Y487" s="170"/>
      <c r="Z487" s="170"/>
      <c r="AA487" s="170"/>
      <c r="AB487" s="170"/>
      <c r="AC487" s="170"/>
      <c r="AD487" s="53"/>
      <c r="AE487" s="53"/>
    </row>
    <row r="488">
      <c r="A488" s="53"/>
      <c r="B488" s="53"/>
      <c r="C488" s="168"/>
      <c r="D488" s="169"/>
      <c r="E488" s="170"/>
      <c r="F488" s="53"/>
      <c r="G488" s="53"/>
      <c r="H488" s="53"/>
      <c r="I488" s="171"/>
      <c r="J488" s="170"/>
      <c r="K488" s="53"/>
      <c r="L488" s="53"/>
      <c r="M488" s="53"/>
      <c r="N488" s="171"/>
      <c r="O488" s="170"/>
      <c r="P488" s="53"/>
      <c r="Q488" s="53"/>
      <c r="R488" s="53"/>
      <c r="S488" s="171"/>
      <c r="T488" s="170"/>
      <c r="U488" s="53"/>
      <c r="V488" s="53"/>
      <c r="W488" s="53"/>
      <c r="X488" s="171"/>
      <c r="Y488" s="170"/>
      <c r="Z488" s="170"/>
      <c r="AA488" s="170"/>
      <c r="AB488" s="170"/>
      <c r="AC488" s="170"/>
      <c r="AD488" s="53"/>
      <c r="AE488" s="53"/>
    </row>
    <row r="489">
      <c r="A489" s="53"/>
      <c r="B489" s="53"/>
      <c r="C489" s="168"/>
      <c r="D489" s="169"/>
      <c r="E489" s="170"/>
      <c r="F489" s="53"/>
      <c r="G489" s="53"/>
      <c r="H489" s="53"/>
      <c r="I489" s="171"/>
      <c r="J489" s="170"/>
      <c r="K489" s="53"/>
      <c r="L489" s="53"/>
      <c r="M489" s="53"/>
      <c r="N489" s="171"/>
      <c r="O489" s="170"/>
      <c r="P489" s="53"/>
      <c r="Q489" s="53"/>
      <c r="R489" s="53"/>
      <c r="S489" s="171"/>
      <c r="T489" s="170"/>
      <c r="U489" s="53"/>
      <c r="V489" s="53"/>
      <c r="W489" s="53"/>
      <c r="X489" s="171"/>
      <c r="Y489" s="170"/>
      <c r="Z489" s="170"/>
      <c r="AA489" s="170"/>
      <c r="AB489" s="170"/>
      <c r="AC489" s="170"/>
      <c r="AD489" s="53"/>
      <c r="AE489" s="53"/>
    </row>
    <row r="490">
      <c r="A490" s="53"/>
      <c r="B490" s="53"/>
      <c r="C490" s="168"/>
      <c r="D490" s="169"/>
      <c r="E490" s="170"/>
      <c r="F490" s="53"/>
      <c r="G490" s="53"/>
      <c r="H490" s="53"/>
      <c r="I490" s="171"/>
      <c r="J490" s="170"/>
      <c r="K490" s="53"/>
      <c r="L490" s="53"/>
      <c r="M490" s="53"/>
      <c r="N490" s="171"/>
      <c r="O490" s="170"/>
      <c r="P490" s="53"/>
      <c r="Q490" s="53"/>
      <c r="R490" s="53"/>
      <c r="S490" s="171"/>
      <c r="T490" s="170"/>
      <c r="U490" s="53"/>
      <c r="V490" s="53"/>
      <c r="W490" s="53"/>
      <c r="X490" s="171"/>
      <c r="Y490" s="170"/>
      <c r="Z490" s="170"/>
      <c r="AA490" s="170"/>
      <c r="AB490" s="170"/>
      <c r="AC490" s="170"/>
      <c r="AD490" s="53"/>
      <c r="AE490" s="53"/>
    </row>
    <row r="491">
      <c r="A491" s="53"/>
      <c r="B491" s="53"/>
      <c r="C491" s="168"/>
      <c r="D491" s="169"/>
      <c r="E491" s="170"/>
      <c r="F491" s="53"/>
      <c r="G491" s="53"/>
      <c r="H491" s="53"/>
      <c r="I491" s="171"/>
      <c r="J491" s="170"/>
      <c r="K491" s="53"/>
      <c r="L491" s="53"/>
      <c r="M491" s="53"/>
      <c r="N491" s="171"/>
      <c r="O491" s="170"/>
      <c r="P491" s="53"/>
      <c r="Q491" s="53"/>
      <c r="R491" s="53"/>
      <c r="S491" s="171"/>
      <c r="T491" s="170"/>
      <c r="U491" s="53"/>
      <c r="V491" s="53"/>
      <c r="W491" s="53"/>
      <c r="X491" s="171"/>
      <c r="Y491" s="170"/>
      <c r="Z491" s="170"/>
      <c r="AA491" s="170"/>
      <c r="AB491" s="170"/>
      <c r="AC491" s="170"/>
      <c r="AD491" s="53"/>
      <c r="AE491" s="53"/>
    </row>
    <row r="492">
      <c r="A492" s="53"/>
      <c r="B492" s="53"/>
      <c r="C492" s="168"/>
      <c r="D492" s="169"/>
      <c r="E492" s="170"/>
      <c r="F492" s="53"/>
      <c r="G492" s="53"/>
      <c r="H492" s="53"/>
      <c r="I492" s="171"/>
      <c r="J492" s="170"/>
      <c r="K492" s="53"/>
      <c r="L492" s="53"/>
      <c r="M492" s="53"/>
      <c r="N492" s="171"/>
      <c r="O492" s="170"/>
      <c r="P492" s="53"/>
      <c r="Q492" s="53"/>
      <c r="R492" s="53"/>
      <c r="S492" s="171"/>
      <c r="T492" s="170"/>
      <c r="U492" s="53"/>
      <c r="V492" s="53"/>
      <c r="W492" s="53"/>
      <c r="X492" s="171"/>
      <c r="Y492" s="170"/>
      <c r="Z492" s="170"/>
      <c r="AA492" s="170"/>
      <c r="AB492" s="170"/>
      <c r="AC492" s="170"/>
      <c r="AD492" s="53"/>
      <c r="AE492" s="53"/>
    </row>
    <row r="493">
      <c r="A493" s="53"/>
      <c r="B493" s="53"/>
      <c r="C493" s="168"/>
      <c r="D493" s="169"/>
      <c r="E493" s="170"/>
      <c r="F493" s="53"/>
      <c r="G493" s="53"/>
      <c r="H493" s="53"/>
      <c r="I493" s="171"/>
      <c r="J493" s="170"/>
      <c r="K493" s="53"/>
      <c r="L493" s="53"/>
      <c r="M493" s="53"/>
      <c r="N493" s="171"/>
      <c r="O493" s="170"/>
      <c r="P493" s="53"/>
      <c r="Q493" s="53"/>
      <c r="R493" s="53"/>
      <c r="S493" s="171"/>
      <c r="T493" s="170"/>
      <c r="U493" s="53"/>
      <c r="V493" s="53"/>
      <c r="W493" s="53"/>
      <c r="X493" s="171"/>
      <c r="Y493" s="170"/>
      <c r="Z493" s="170"/>
      <c r="AA493" s="170"/>
      <c r="AB493" s="170"/>
      <c r="AC493" s="170"/>
      <c r="AD493" s="53"/>
      <c r="AE493" s="53"/>
    </row>
    <row r="494">
      <c r="A494" s="53"/>
      <c r="B494" s="53"/>
      <c r="C494" s="168"/>
      <c r="D494" s="169"/>
      <c r="E494" s="170"/>
      <c r="F494" s="53"/>
      <c r="G494" s="53"/>
      <c r="H494" s="53"/>
      <c r="I494" s="171"/>
      <c r="J494" s="170"/>
      <c r="K494" s="53"/>
      <c r="L494" s="53"/>
      <c r="M494" s="53"/>
      <c r="N494" s="171"/>
      <c r="O494" s="170"/>
      <c r="P494" s="53"/>
      <c r="Q494" s="53"/>
      <c r="R494" s="53"/>
      <c r="S494" s="171"/>
      <c r="T494" s="170"/>
      <c r="U494" s="53"/>
      <c r="V494" s="53"/>
      <c r="W494" s="53"/>
      <c r="X494" s="171"/>
      <c r="Y494" s="170"/>
      <c r="Z494" s="170"/>
      <c r="AA494" s="170"/>
      <c r="AB494" s="170"/>
      <c r="AC494" s="170"/>
      <c r="AD494" s="53"/>
      <c r="AE494" s="53"/>
    </row>
    <row r="495">
      <c r="A495" s="53"/>
      <c r="B495" s="53"/>
      <c r="C495" s="168"/>
      <c r="D495" s="169"/>
      <c r="E495" s="170"/>
      <c r="F495" s="53"/>
      <c r="G495" s="53"/>
      <c r="H495" s="53"/>
      <c r="I495" s="171"/>
      <c r="J495" s="170"/>
      <c r="K495" s="53"/>
      <c r="L495" s="53"/>
      <c r="M495" s="53"/>
      <c r="N495" s="171"/>
      <c r="O495" s="170"/>
      <c r="P495" s="53"/>
      <c r="Q495" s="53"/>
      <c r="R495" s="53"/>
      <c r="S495" s="171"/>
      <c r="T495" s="170"/>
      <c r="U495" s="53"/>
      <c r="V495" s="53"/>
      <c r="W495" s="53"/>
      <c r="X495" s="171"/>
      <c r="Y495" s="170"/>
      <c r="Z495" s="170"/>
      <c r="AA495" s="170"/>
      <c r="AB495" s="170"/>
      <c r="AC495" s="170"/>
      <c r="AD495" s="53"/>
      <c r="AE495" s="53"/>
    </row>
    <row r="496">
      <c r="A496" s="53"/>
      <c r="B496" s="53"/>
      <c r="C496" s="168"/>
      <c r="D496" s="169"/>
      <c r="E496" s="170"/>
      <c r="F496" s="53"/>
      <c r="G496" s="53"/>
      <c r="H496" s="53"/>
      <c r="I496" s="171"/>
      <c r="J496" s="170"/>
      <c r="K496" s="53"/>
      <c r="L496" s="53"/>
      <c r="M496" s="53"/>
      <c r="N496" s="171"/>
      <c r="O496" s="170"/>
      <c r="P496" s="53"/>
      <c r="Q496" s="53"/>
      <c r="R496" s="53"/>
      <c r="S496" s="171"/>
      <c r="T496" s="170"/>
      <c r="U496" s="53"/>
      <c r="V496" s="53"/>
      <c r="W496" s="53"/>
      <c r="X496" s="171"/>
      <c r="Y496" s="170"/>
      <c r="Z496" s="170"/>
      <c r="AA496" s="170"/>
      <c r="AB496" s="170"/>
      <c r="AC496" s="170"/>
      <c r="AD496" s="53"/>
      <c r="AE496" s="53"/>
    </row>
    <row r="497">
      <c r="A497" s="53"/>
      <c r="B497" s="53"/>
      <c r="C497" s="168"/>
      <c r="D497" s="169"/>
      <c r="E497" s="170"/>
      <c r="F497" s="53"/>
      <c r="G497" s="53"/>
      <c r="H497" s="53"/>
      <c r="I497" s="171"/>
      <c r="J497" s="170"/>
      <c r="K497" s="53"/>
      <c r="L497" s="53"/>
      <c r="M497" s="53"/>
      <c r="N497" s="171"/>
      <c r="O497" s="170"/>
      <c r="P497" s="53"/>
      <c r="Q497" s="53"/>
      <c r="R497" s="53"/>
      <c r="S497" s="171"/>
      <c r="T497" s="170"/>
      <c r="U497" s="53"/>
      <c r="V497" s="53"/>
      <c r="W497" s="53"/>
      <c r="X497" s="171"/>
      <c r="Y497" s="170"/>
      <c r="Z497" s="170"/>
      <c r="AA497" s="170"/>
      <c r="AB497" s="170"/>
      <c r="AC497" s="170"/>
      <c r="AD497" s="53"/>
      <c r="AE497" s="53"/>
    </row>
    <row r="498">
      <c r="A498" s="53"/>
      <c r="B498" s="53"/>
      <c r="C498" s="168"/>
      <c r="D498" s="169"/>
      <c r="E498" s="170"/>
      <c r="F498" s="53"/>
      <c r="G498" s="53"/>
      <c r="H498" s="53"/>
      <c r="I498" s="171"/>
      <c r="J498" s="170"/>
      <c r="K498" s="53"/>
      <c r="L498" s="53"/>
      <c r="M498" s="53"/>
      <c r="N498" s="171"/>
      <c r="O498" s="170"/>
      <c r="P498" s="53"/>
      <c r="Q498" s="53"/>
      <c r="R498" s="53"/>
      <c r="S498" s="171"/>
      <c r="T498" s="170"/>
      <c r="U498" s="53"/>
      <c r="V498" s="53"/>
      <c r="W498" s="53"/>
      <c r="X498" s="171"/>
      <c r="Y498" s="170"/>
      <c r="Z498" s="170"/>
      <c r="AA498" s="170"/>
      <c r="AB498" s="170"/>
      <c r="AC498" s="170"/>
      <c r="AD498" s="53"/>
      <c r="AE498" s="53"/>
    </row>
    <row r="499">
      <c r="A499" s="53"/>
      <c r="B499" s="53"/>
      <c r="C499" s="168"/>
      <c r="D499" s="169"/>
      <c r="E499" s="170"/>
      <c r="F499" s="53"/>
      <c r="G499" s="53"/>
      <c r="H499" s="53"/>
      <c r="I499" s="171"/>
      <c r="J499" s="170"/>
      <c r="K499" s="53"/>
      <c r="L499" s="53"/>
      <c r="M499" s="53"/>
      <c r="N499" s="171"/>
      <c r="O499" s="170"/>
      <c r="P499" s="53"/>
      <c r="Q499" s="53"/>
      <c r="R499" s="53"/>
      <c r="S499" s="171"/>
      <c r="T499" s="170"/>
      <c r="U499" s="53"/>
      <c r="V499" s="53"/>
      <c r="W499" s="53"/>
      <c r="X499" s="171"/>
      <c r="Y499" s="170"/>
      <c r="Z499" s="170"/>
      <c r="AA499" s="170"/>
      <c r="AB499" s="170"/>
      <c r="AC499" s="170"/>
      <c r="AD499" s="53"/>
      <c r="AE499" s="53"/>
    </row>
    <row r="500">
      <c r="A500" s="53"/>
      <c r="B500" s="53"/>
      <c r="C500" s="168"/>
      <c r="D500" s="169"/>
      <c r="E500" s="170"/>
      <c r="F500" s="53"/>
      <c r="G500" s="53"/>
      <c r="H500" s="53"/>
      <c r="I500" s="171"/>
      <c r="J500" s="170"/>
      <c r="K500" s="53"/>
      <c r="L500" s="53"/>
      <c r="M500" s="53"/>
      <c r="N500" s="171"/>
      <c r="O500" s="170"/>
      <c r="P500" s="53"/>
      <c r="Q500" s="53"/>
      <c r="R500" s="53"/>
      <c r="S500" s="171"/>
      <c r="T500" s="170"/>
      <c r="U500" s="53"/>
      <c r="V500" s="53"/>
      <c r="W500" s="53"/>
      <c r="X500" s="171"/>
      <c r="Y500" s="170"/>
      <c r="Z500" s="170"/>
      <c r="AA500" s="170"/>
      <c r="AB500" s="170"/>
      <c r="AC500" s="170"/>
      <c r="AD500" s="53"/>
      <c r="AE500" s="53"/>
    </row>
    <row r="501">
      <c r="A501" s="53"/>
      <c r="B501" s="53"/>
      <c r="C501" s="168"/>
      <c r="D501" s="169"/>
      <c r="E501" s="170"/>
      <c r="F501" s="53"/>
      <c r="G501" s="53"/>
      <c r="H501" s="53"/>
      <c r="I501" s="171"/>
      <c r="J501" s="170"/>
      <c r="K501" s="53"/>
      <c r="L501" s="53"/>
      <c r="M501" s="53"/>
      <c r="N501" s="171"/>
      <c r="O501" s="170"/>
      <c r="P501" s="53"/>
      <c r="Q501" s="53"/>
      <c r="R501" s="53"/>
      <c r="S501" s="171"/>
      <c r="T501" s="170"/>
      <c r="U501" s="53"/>
      <c r="V501" s="53"/>
      <c r="W501" s="53"/>
      <c r="X501" s="171"/>
      <c r="Y501" s="170"/>
      <c r="Z501" s="170"/>
      <c r="AA501" s="170"/>
      <c r="AB501" s="170"/>
      <c r="AC501" s="170"/>
      <c r="AD501" s="53"/>
      <c r="AE501" s="53"/>
    </row>
    <row r="502">
      <c r="A502" s="53"/>
      <c r="B502" s="53"/>
      <c r="C502" s="168"/>
      <c r="D502" s="169"/>
      <c r="E502" s="170"/>
      <c r="F502" s="53"/>
      <c r="G502" s="53"/>
      <c r="H502" s="53"/>
      <c r="I502" s="171"/>
      <c r="J502" s="170"/>
      <c r="K502" s="53"/>
      <c r="L502" s="53"/>
      <c r="M502" s="53"/>
      <c r="N502" s="171"/>
      <c r="O502" s="170"/>
      <c r="P502" s="53"/>
      <c r="Q502" s="53"/>
      <c r="R502" s="53"/>
      <c r="S502" s="171"/>
      <c r="T502" s="170"/>
      <c r="U502" s="53"/>
      <c r="V502" s="53"/>
      <c r="W502" s="53"/>
      <c r="X502" s="171"/>
      <c r="Y502" s="170"/>
      <c r="Z502" s="170"/>
      <c r="AA502" s="170"/>
      <c r="AB502" s="170"/>
      <c r="AC502" s="170"/>
      <c r="AD502" s="53"/>
      <c r="AE502" s="53"/>
    </row>
    <row r="503">
      <c r="A503" s="53"/>
      <c r="B503" s="53"/>
      <c r="C503" s="168"/>
      <c r="D503" s="169"/>
      <c r="E503" s="170"/>
      <c r="F503" s="53"/>
      <c r="G503" s="53"/>
      <c r="H503" s="53"/>
      <c r="I503" s="171"/>
      <c r="J503" s="170"/>
      <c r="K503" s="53"/>
      <c r="L503" s="53"/>
      <c r="M503" s="53"/>
      <c r="N503" s="171"/>
      <c r="O503" s="170"/>
      <c r="P503" s="53"/>
      <c r="Q503" s="53"/>
      <c r="R503" s="53"/>
      <c r="S503" s="171"/>
      <c r="T503" s="170"/>
      <c r="U503" s="53"/>
      <c r="V503" s="53"/>
      <c r="W503" s="53"/>
      <c r="X503" s="171"/>
      <c r="Y503" s="170"/>
      <c r="Z503" s="170"/>
      <c r="AA503" s="170"/>
      <c r="AB503" s="170"/>
      <c r="AC503" s="170"/>
      <c r="AD503" s="53"/>
      <c r="AE503" s="53"/>
    </row>
    <row r="504">
      <c r="A504" s="53"/>
      <c r="B504" s="53"/>
      <c r="C504" s="168"/>
      <c r="D504" s="169"/>
      <c r="E504" s="170"/>
      <c r="F504" s="53"/>
      <c r="G504" s="53"/>
      <c r="H504" s="53"/>
      <c r="I504" s="171"/>
      <c r="J504" s="170"/>
      <c r="K504" s="53"/>
      <c r="L504" s="53"/>
      <c r="M504" s="53"/>
      <c r="N504" s="171"/>
      <c r="O504" s="170"/>
      <c r="P504" s="53"/>
      <c r="Q504" s="53"/>
      <c r="R504" s="53"/>
      <c r="S504" s="171"/>
      <c r="T504" s="170"/>
      <c r="U504" s="53"/>
      <c r="V504" s="53"/>
      <c r="W504" s="53"/>
      <c r="X504" s="171"/>
      <c r="Y504" s="170"/>
      <c r="Z504" s="170"/>
      <c r="AA504" s="170"/>
      <c r="AB504" s="170"/>
      <c r="AC504" s="170"/>
      <c r="AD504" s="53"/>
      <c r="AE504" s="53"/>
    </row>
    <row r="505">
      <c r="A505" s="53"/>
      <c r="B505" s="53"/>
      <c r="C505" s="168"/>
      <c r="D505" s="169"/>
      <c r="E505" s="170"/>
      <c r="F505" s="53"/>
      <c r="G505" s="53"/>
      <c r="H505" s="53"/>
      <c r="I505" s="171"/>
      <c r="J505" s="170"/>
      <c r="K505" s="53"/>
      <c r="L505" s="53"/>
      <c r="M505" s="53"/>
      <c r="N505" s="171"/>
      <c r="O505" s="170"/>
      <c r="P505" s="53"/>
      <c r="Q505" s="53"/>
      <c r="R505" s="53"/>
      <c r="S505" s="171"/>
      <c r="T505" s="170"/>
      <c r="U505" s="53"/>
      <c r="V505" s="53"/>
      <c r="W505" s="53"/>
      <c r="X505" s="171"/>
      <c r="Y505" s="170"/>
      <c r="Z505" s="170"/>
      <c r="AA505" s="170"/>
      <c r="AB505" s="170"/>
      <c r="AC505" s="170"/>
      <c r="AD505" s="53"/>
      <c r="AE505" s="53"/>
    </row>
    <row r="506">
      <c r="A506" s="53"/>
      <c r="B506" s="53"/>
      <c r="C506" s="168"/>
      <c r="D506" s="169"/>
      <c r="E506" s="170"/>
      <c r="F506" s="53"/>
      <c r="G506" s="53"/>
      <c r="H506" s="53"/>
      <c r="I506" s="171"/>
      <c r="J506" s="170"/>
      <c r="K506" s="53"/>
      <c r="L506" s="53"/>
      <c r="M506" s="53"/>
      <c r="N506" s="171"/>
      <c r="O506" s="170"/>
      <c r="P506" s="53"/>
      <c r="Q506" s="53"/>
      <c r="R506" s="53"/>
      <c r="S506" s="171"/>
      <c r="T506" s="170"/>
      <c r="U506" s="53"/>
      <c r="V506" s="53"/>
      <c r="W506" s="53"/>
      <c r="X506" s="171"/>
      <c r="Y506" s="170"/>
      <c r="Z506" s="170"/>
      <c r="AA506" s="170"/>
      <c r="AB506" s="170"/>
      <c r="AC506" s="170"/>
      <c r="AD506" s="53"/>
      <c r="AE506" s="53"/>
    </row>
    <row r="507">
      <c r="A507" s="53"/>
      <c r="B507" s="53"/>
      <c r="C507" s="168"/>
      <c r="D507" s="169"/>
      <c r="E507" s="170"/>
      <c r="F507" s="53"/>
      <c r="G507" s="53"/>
      <c r="H507" s="53"/>
      <c r="I507" s="171"/>
      <c r="J507" s="170"/>
      <c r="K507" s="53"/>
      <c r="L507" s="53"/>
      <c r="M507" s="53"/>
      <c r="N507" s="171"/>
      <c r="O507" s="170"/>
      <c r="P507" s="53"/>
      <c r="Q507" s="53"/>
      <c r="R507" s="53"/>
      <c r="S507" s="171"/>
      <c r="T507" s="170"/>
      <c r="U507" s="53"/>
      <c r="V507" s="53"/>
      <c r="W507" s="53"/>
      <c r="X507" s="171"/>
      <c r="Y507" s="170"/>
      <c r="Z507" s="170"/>
      <c r="AA507" s="170"/>
      <c r="AB507" s="170"/>
      <c r="AC507" s="170"/>
      <c r="AD507" s="53"/>
      <c r="AE507" s="53"/>
    </row>
    <row r="508">
      <c r="A508" s="53"/>
      <c r="B508" s="53"/>
      <c r="C508" s="168"/>
      <c r="D508" s="169"/>
      <c r="E508" s="170"/>
      <c r="F508" s="53"/>
      <c r="G508" s="53"/>
      <c r="H508" s="53"/>
      <c r="I508" s="171"/>
      <c r="J508" s="170"/>
      <c r="K508" s="53"/>
      <c r="L508" s="53"/>
      <c r="M508" s="53"/>
      <c r="N508" s="171"/>
      <c r="O508" s="170"/>
      <c r="P508" s="53"/>
      <c r="Q508" s="53"/>
      <c r="R508" s="53"/>
      <c r="S508" s="171"/>
      <c r="T508" s="170"/>
      <c r="U508" s="53"/>
      <c r="V508" s="53"/>
      <c r="W508" s="53"/>
      <c r="X508" s="171"/>
      <c r="Y508" s="170"/>
      <c r="Z508" s="170"/>
      <c r="AA508" s="170"/>
      <c r="AB508" s="170"/>
      <c r="AC508" s="170"/>
      <c r="AD508" s="53"/>
      <c r="AE508" s="53"/>
    </row>
    <row r="509">
      <c r="A509" s="53"/>
      <c r="B509" s="53"/>
      <c r="C509" s="168"/>
      <c r="D509" s="169"/>
      <c r="E509" s="170"/>
      <c r="F509" s="53"/>
      <c r="G509" s="53"/>
      <c r="H509" s="53"/>
      <c r="I509" s="171"/>
      <c r="J509" s="170"/>
      <c r="K509" s="53"/>
      <c r="L509" s="53"/>
      <c r="M509" s="53"/>
      <c r="N509" s="171"/>
      <c r="O509" s="170"/>
      <c r="P509" s="53"/>
      <c r="Q509" s="53"/>
      <c r="R509" s="53"/>
      <c r="S509" s="171"/>
      <c r="T509" s="170"/>
      <c r="U509" s="53"/>
      <c r="V509" s="53"/>
      <c r="W509" s="53"/>
      <c r="X509" s="171"/>
      <c r="Y509" s="170"/>
      <c r="Z509" s="170"/>
      <c r="AA509" s="170"/>
      <c r="AB509" s="170"/>
      <c r="AC509" s="170"/>
      <c r="AD509" s="53"/>
      <c r="AE509" s="53"/>
    </row>
    <row r="510">
      <c r="A510" s="53"/>
      <c r="B510" s="53"/>
      <c r="C510" s="168"/>
      <c r="D510" s="169"/>
      <c r="E510" s="170"/>
      <c r="F510" s="53"/>
      <c r="G510" s="53"/>
      <c r="H510" s="53"/>
      <c r="I510" s="171"/>
      <c r="J510" s="170"/>
      <c r="K510" s="53"/>
      <c r="L510" s="53"/>
      <c r="M510" s="53"/>
      <c r="N510" s="171"/>
      <c r="O510" s="170"/>
      <c r="P510" s="53"/>
      <c r="Q510" s="53"/>
      <c r="R510" s="53"/>
      <c r="S510" s="171"/>
      <c r="T510" s="170"/>
      <c r="U510" s="53"/>
      <c r="V510" s="53"/>
      <c r="W510" s="53"/>
      <c r="X510" s="171"/>
      <c r="Y510" s="170"/>
      <c r="Z510" s="170"/>
      <c r="AA510" s="170"/>
      <c r="AB510" s="170"/>
      <c r="AC510" s="170"/>
      <c r="AD510" s="53"/>
      <c r="AE510" s="53"/>
    </row>
    <row r="511">
      <c r="A511" s="53"/>
      <c r="B511" s="53"/>
      <c r="C511" s="168"/>
      <c r="D511" s="169"/>
      <c r="E511" s="170"/>
      <c r="F511" s="53"/>
      <c r="G511" s="53"/>
      <c r="H511" s="53"/>
      <c r="I511" s="171"/>
      <c r="J511" s="170"/>
      <c r="K511" s="53"/>
      <c r="L511" s="53"/>
      <c r="M511" s="53"/>
      <c r="N511" s="171"/>
      <c r="O511" s="170"/>
      <c r="P511" s="53"/>
      <c r="Q511" s="53"/>
      <c r="R511" s="53"/>
      <c r="S511" s="171"/>
      <c r="T511" s="170"/>
      <c r="U511" s="53"/>
      <c r="V511" s="53"/>
      <c r="W511" s="53"/>
      <c r="X511" s="171"/>
      <c r="Y511" s="170"/>
      <c r="Z511" s="170"/>
      <c r="AA511" s="170"/>
      <c r="AB511" s="170"/>
      <c r="AC511" s="170"/>
      <c r="AD511" s="53"/>
      <c r="AE511" s="53"/>
    </row>
    <row r="512">
      <c r="A512" s="53"/>
      <c r="B512" s="53"/>
      <c r="C512" s="168"/>
      <c r="D512" s="169"/>
      <c r="E512" s="170"/>
      <c r="F512" s="53"/>
      <c r="G512" s="53"/>
      <c r="H512" s="53"/>
      <c r="I512" s="171"/>
      <c r="J512" s="170"/>
      <c r="K512" s="53"/>
      <c r="L512" s="53"/>
      <c r="M512" s="53"/>
      <c r="N512" s="171"/>
      <c r="O512" s="170"/>
      <c r="P512" s="53"/>
      <c r="Q512" s="53"/>
      <c r="R512" s="53"/>
      <c r="S512" s="171"/>
      <c r="T512" s="170"/>
      <c r="U512" s="53"/>
      <c r="V512" s="53"/>
      <c r="W512" s="53"/>
      <c r="X512" s="171"/>
      <c r="Y512" s="170"/>
      <c r="Z512" s="170"/>
      <c r="AA512" s="170"/>
      <c r="AB512" s="170"/>
      <c r="AC512" s="170"/>
      <c r="AD512" s="53"/>
      <c r="AE512" s="53"/>
    </row>
    <row r="513">
      <c r="A513" s="53"/>
      <c r="B513" s="53"/>
      <c r="C513" s="168"/>
      <c r="D513" s="169"/>
      <c r="E513" s="170"/>
      <c r="F513" s="53"/>
      <c r="G513" s="53"/>
      <c r="H513" s="53"/>
      <c r="I513" s="171"/>
      <c r="J513" s="170"/>
      <c r="K513" s="53"/>
      <c r="L513" s="53"/>
      <c r="M513" s="53"/>
      <c r="N513" s="171"/>
      <c r="O513" s="170"/>
      <c r="P513" s="53"/>
      <c r="Q513" s="53"/>
      <c r="R513" s="53"/>
      <c r="S513" s="171"/>
      <c r="T513" s="170"/>
      <c r="U513" s="53"/>
      <c r="V513" s="53"/>
      <c r="W513" s="53"/>
      <c r="X513" s="171"/>
      <c r="Y513" s="170"/>
      <c r="Z513" s="170"/>
      <c r="AA513" s="170"/>
      <c r="AB513" s="170"/>
      <c r="AC513" s="170"/>
      <c r="AD513" s="53"/>
      <c r="AE513" s="53"/>
    </row>
    <row r="514">
      <c r="A514" s="53"/>
      <c r="B514" s="53"/>
      <c r="C514" s="168"/>
      <c r="D514" s="169"/>
      <c r="E514" s="170"/>
      <c r="F514" s="53"/>
      <c r="G514" s="53"/>
      <c r="H514" s="53"/>
      <c r="I514" s="171"/>
      <c r="J514" s="170"/>
      <c r="K514" s="53"/>
      <c r="L514" s="53"/>
      <c r="M514" s="53"/>
      <c r="N514" s="171"/>
      <c r="O514" s="170"/>
      <c r="P514" s="53"/>
      <c r="Q514" s="53"/>
      <c r="R514" s="53"/>
      <c r="S514" s="171"/>
      <c r="T514" s="170"/>
      <c r="U514" s="53"/>
      <c r="V514" s="53"/>
      <c r="W514" s="53"/>
      <c r="X514" s="171"/>
      <c r="Y514" s="170"/>
      <c r="Z514" s="170"/>
      <c r="AA514" s="170"/>
      <c r="AB514" s="170"/>
      <c r="AC514" s="170"/>
      <c r="AD514" s="53"/>
      <c r="AE514" s="53"/>
    </row>
    <row r="515">
      <c r="A515" s="53"/>
      <c r="B515" s="53"/>
      <c r="C515" s="168"/>
      <c r="D515" s="169"/>
      <c r="E515" s="170"/>
      <c r="F515" s="53"/>
      <c r="G515" s="53"/>
      <c r="H515" s="53"/>
      <c r="I515" s="171"/>
      <c r="J515" s="170"/>
      <c r="K515" s="53"/>
      <c r="L515" s="53"/>
      <c r="M515" s="53"/>
      <c r="N515" s="171"/>
      <c r="O515" s="170"/>
      <c r="P515" s="53"/>
      <c r="Q515" s="53"/>
      <c r="R515" s="53"/>
      <c r="S515" s="171"/>
      <c r="T515" s="170"/>
      <c r="U515" s="53"/>
      <c r="V515" s="53"/>
      <c r="W515" s="53"/>
      <c r="X515" s="171"/>
      <c r="Y515" s="170"/>
      <c r="Z515" s="170"/>
      <c r="AA515" s="170"/>
      <c r="AB515" s="170"/>
      <c r="AC515" s="170"/>
      <c r="AD515" s="53"/>
      <c r="AE515" s="53"/>
    </row>
    <row r="516">
      <c r="A516" s="53"/>
      <c r="B516" s="53"/>
      <c r="C516" s="168"/>
      <c r="D516" s="169"/>
      <c r="E516" s="170"/>
      <c r="F516" s="53"/>
      <c r="G516" s="53"/>
      <c r="H516" s="53"/>
      <c r="I516" s="171"/>
      <c r="J516" s="170"/>
      <c r="K516" s="53"/>
      <c r="L516" s="53"/>
      <c r="M516" s="53"/>
      <c r="N516" s="171"/>
      <c r="O516" s="170"/>
      <c r="P516" s="53"/>
      <c r="Q516" s="53"/>
      <c r="R516" s="53"/>
      <c r="S516" s="171"/>
      <c r="T516" s="170"/>
      <c r="U516" s="53"/>
      <c r="V516" s="53"/>
      <c r="W516" s="53"/>
      <c r="X516" s="171"/>
      <c r="Y516" s="170"/>
      <c r="Z516" s="170"/>
      <c r="AA516" s="170"/>
      <c r="AB516" s="170"/>
      <c r="AC516" s="170"/>
      <c r="AD516" s="53"/>
      <c r="AE516" s="53"/>
    </row>
    <row r="517">
      <c r="A517" s="53"/>
      <c r="B517" s="53"/>
      <c r="C517" s="168"/>
      <c r="D517" s="169"/>
      <c r="E517" s="170"/>
      <c r="F517" s="53"/>
      <c r="G517" s="53"/>
      <c r="H517" s="53"/>
      <c r="I517" s="171"/>
      <c r="J517" s="170"/>
      <c r="K517" s="53"/>
      <c r="L517" s="53"/>
      <c r="M517" s="53"/>
      <c r="N517" s="171"/>
      <c r="O517" s="170"/>
      <c r="P517" s="53"/>
      <c r="Q517" s="53"/>
      <c r="R517" s="53"/>
      <c r="S517" s="171"/>
      <c r="T517" s="170"/>
      <c r="U517" s="53"/>
      <c r="V517" s="53"/>
      <c r="W517" s="53"/>
      <c r="X517" s="171"/>
      <c r="Y517" s="170"/>
      <c r="Z517" s="170"/>
      <c r="AA517" s="170"/>
      <c r="AB517" s="170"/>
      <c r="AC517" s="170"/>
      <c r="AD517" s="53"/>
      <c r="AE517" s="53"/>
    </row>
    <row r="518">
      <c r="A518" s="53"/>
      <c r="B518" s="53"/>
      <c r="C518" s="168"/>
      <c r="D518" s="169"/>
      <c r="E518" s="170"/>
      <c r="F518" s="53"/>
      <c r="G518" s="53"/>
      <c r="H518" s="53"/>
      <c r="I518" s="171"/>
      <c r="J518" s="170"/>
      <c r="K518" s="53"/>
      <c r="L518" s="53"/>
      <c r="M518" s="53"/>
      <c r="N518" s="171"/>
      <c r="O518" s="170"/>
      <c r="P518" s="53"/>
      <c r="Q518" s="53"/>
      <c r="R518" s="53"/>
      <c r="S518" s="171"/>
      <c r="T518" s="170"/>
      <c r="U518" s="53"/>
      <c r="V518" s="53"/>
      <c r="W518" s="53"/>
      <c r="X518" s="171"/>
      <c r="Y518" s="170"/>
      <c r="Z518" s="170"/>
      <c r="AA518" s="170"/>
      <c r="AB518" s="170"/>
      <c r="AC518" s="170"/>
      <c r="AD518" s="53"/>
      <c r="AE518" s="53"/>
    </row>
    <row r="519">
      <c r="A519" s="53"/>
      <c r="B519" s="53"/>
      <c r="C519" s="168"/>
      <c r="D519" s="169"/>
      <c r="E519" s="170"/>
      <c r="F519" s="53"/>
      <c r="G519" s="53"/>
      <c r="H519" s="53"/>
      <c r="I519" s="171"/>
      <c r="J519" s="170"/>
      <c r="K519" s="53"/>
      <c r="L519" s="53"/>
      <c r="M519" s="53"/>
      <c r="N519" s="171"/>
      <c r="O519" s="170"/>
      <c r="P519" s="53"/>
      <c r="Q519" s="53"/>
      <c r="R519" s="53"/>
      <c r="S519" s="171"/>
      <c r="T519" s="170"/>
      <c r="U519" s="53"/>
      <c r="V519" s="53"/>
      <c r="W519" s="53"/>
      <c r="X519" s="171"/>
      <c r="Y519" s="170"/>
      <c r="Z519" s="170"/>
      <c r="AA519" s="170"/>
      <c r="AB519" s="170"/>
      <c r="AC519" s="170"/>
      <c r="AD519" s="53"/>
      <c r="AE519" s="53"/>
    </row>
    <row r="520">
      <c r="A520" s="53"/>
      <c r="B520" s="53"/>
      <c r="C520" s="168"/>
      <c r="D520" s="169"/>
      <c r="E520" s="170"/>
      <c r="F520" s="53"/>
      <c r="G520" s="53"/>
      <c r="H520" s="53"/>
      <c r="I520" s="171"/>
      <c r="J520" s="170"/>
      <c r="K520" s="53"/>
      <c r="L520" s="53"/>
      <c r="M520" s="53"/>
      <c r="N520" s="171"/>
      <c r="O520" s="170"/>
      <c r="P520" s="53"/>
      <c r="Q520" s="53"/>
      <c r="R520" s="53"/>
      <c r="S520" s="171"/>
      <c r="T520" s="170"/>
      <c r="U520" s="53"/>
      <c r="V520" s="53"/>
      <c r="W520" s="53"/>
      <c r="X520" s="171"/>
      <c r="Y520" s="170"/>
      <c r="Z520" s="170"/>
      <c r="AA520" s="170"/>
      <c r="AB520" s="170"/>
      <c r="AC520" s="170"/>
      <c r="AD520" s="53"/>
      <c r="AE520" s="53"/>
    </row>
    <row r="521">
      <c r="A521" s="53"/>
      <c r="B521" s="53"/>
      <c r="C521" s="168"/>
      <c r="D521" s="169"/>
      <c r="E521" s="170"/>
      <c r="F521" s="53"/>
      <c r="G521" s="53"/>
      <c r="H521" s="53"/>
      <c r="I521" s="171"/>
      <c r="J521" s="170"/>
      <c r="K521" s="53"/>
      <c r="L521" s="53"/>
      <c r="M521" s="53"/>
      <c r="N521" s="171"/>
      <c r="O521" s="170"/>
      <c r="P521" s="53"/>
      <c r="Q521" s="53"/>
      <c r="R521" s="53"/>
      <c r="S521" s="171"/>
      <c r="T521" s="170"/>
      <c r="U521" s="53"/>
      <c r="V521" s="53"/>
      <c r="W521" s="53"/>
      <c r="X521" s="171"/>
      <c r="Y521" s="170"/>
      <c r="Z521" s="170"/>
      <c r="AA521" s="170"/>
      <c r="AB521" s="170"/>
      <c r="AC521" s="170"/>
      <c r="AD521" s="53"/>
      <c r="AE521" s="53"/>
    </row>
    <row r="522">
      <c r="A522" s="53"/>
      <c r="B522" s="53"/>
      <c r="C522" s="168"/>
      <c r="D522" s="169"/>
      <c r="E522" s="170"/>
      <c r="F522" s="53"/>
      <c r="G522" s="53"/>
      <c r="H522" s="53"/>
      <c r="I522" s="171"/>
      <c r="J522" s="170"/>
      <c r="K522" s="53"/>
      <c r="L522" s="53"/>
      <c r="M522" s="53"/>
      <c r="N522" s="171"/>
      <c r="O522" s="170"/>
      <c r="P522" s="53"/>
      <c r="Q522" s="53"/>
      <c r="R522" s="53"/>
      <c r="S522" s="171"/>
      <c r="T522" s="170"/>
      <c r="U522" s="53"/>
      <c r="V522" s="53"/>
      <c r="W522" s="53"/>
      <c r="X522" s="171"/>
      <c r="Y522" s="170"/>
      <c r="Z522" s="170"/>
      <c r="AA522" s="170"/>
      <c r="AB522" s="170"/>
      <c r="AC522" s="170"/>
      <c r="AD522" s="53"/>
      <c r="AE522" s="53"/>
    </row>
    <row r="523">
      <c r="A523" s="53"/>
      <c r="B523" s="53"/>
      <c r="C523" s="168"/>
      <c r="D523" s="169"/>
      <c r="E523" s="170"/>
      <c r="F523" s="53"/>
      <c r="G523" s="53"/>
      <c r="H523" s="53"/>
      <c r="I523" s="171"/>
      <c r="J523" s="170"/>
      <c r="K523" s="53"/>
      <c r="L523" s="53"/>
      <c r="M523" s="53"/>
      <c r="N523" s="171"/>
      <c r="O523" s="170"/>
      <c r="P523" s="53"/>
      <c r="Q523" s="53"/>
      <c r="R523" s="53"/>
      <c r="S523" s="171"/>
      <c r="T523" s="170"/>
      <c r="U523" s="53"/>
      <c r="V523" s="53"/>
      <c r="W523" s="53"/>
      <c r="X523" s="171"/>
      <c r="Y523" s="170"/>
      <c r="Z523" s="170"/>
      <c r="AA523" s="170"/>
      <c r="AB523" s="170"/>
      <c r="AC523" s="170"/>
      <c r="AD523" s="53"/>
      <c r="AE523" s="53"/>
    </row>
    <row r="524">
      <c r="A524" s="53"/>
      <c r="B524" s="53"/>
      <c r="C524" s="168"/>
      <c r="D524" s="169"/>
      <c r="E524" s="170"/>
      <c r="F524" s="53"/>
      <c r="G524" s="53"/>
      <c r="H524" s="53"/>
      <c r="I524" s="171"/>
      <c r="J524" s="170"/>
      <c r="K524" s="53"/>
      <c r="L524" s="53"/>
      <c r="M524" s="53"/>
      <c r="N524" s="171"/>
      <c r="O524" s="170"/>
      <c r="P524" s="53"/>
      <c r="Q524" s="53"/>
      <c r="R524" s="53"/>
      <c r="S524" s="171"/>
      <c r="T524" s="170"/>
      <c r="U524" s="53"/>
      <c r="V524" s="53"/>
      <c r="W524" s="53"/>
      <c r="X524" s="171"/>
      <c r="Y524" s="170"/>
      <c r="Z524" s="170"/>
      <c r="AA524" s="170"/>
      <c r="AB524" s="170"/>
      <c r="AC524" s="170"/>
      <c r="AD524" s="53"/>
      <c r="AE524" s="53"/>
    </row>
    <row r="525">
      <c r="A525" s="53"/>
      <c r="B525" s="53"/>
      <c r="C525" s="168"/>
      <c r="D525" s="169"/>
      <c r="E525" s="170"/>
      <c r="F525" s="53"/>
      <c r="G525" s="53"/>
      <c r="H525" s="53"/>
      <c r="I525" s="171"/>
      <c r="J525" s="170"/>
      <c r="K525" s="53"/>
      <c r="L525" s="53"/>
      <c r="M525" s="53"/>
      <c r="N525" s="171"/>
      <c r="O525" s="170"/>
      <c r="P525" s="53"/>
      <c r="Q525" s="53"/>
      <c r="R525" s="53"/>
      <c r="S525" s="171"/>
      <c r="T525" s="170"/>
      <c r="U525" s="53"/>
      <c r="V525" s="53"/>
      <c r="W525" s="53"/>
      <c r="X525" s="171"/>
      <c r="Y525" s="170"/>
      <c r="Z525" s="170"/>
      <c r="AA525" s="170"/>
      <c r="AB525" s="170"/>
      <c r="AC525" s="170"/>
      <c r="AD525" s="53"/>
      <c r="AE525" s="53"/>
    </row>
    <row r="526">
      <c r="A526" s="53"/>
      <c r="B526" s="53"/>
      <c r="C526" s="168"/>
      <c r="D526" s="169"/>
      <c r="E526" s="170"/>
      <c r="F526" s="53"/>
      <c r="G526" s="53"/>
      <c r="H526" s="53"/>
      <c r="I526" s="171"/>
      <c r="J526" s="170"/>
      <c r="K526" s="53"/>
      <c r="L526" s="53"/>
      <c r="M526" s="53"/>
      <c r="N526" s="171"/>
      <c r="O526" s="170"/>
      <c r="P526" s="53"/>
      <c r="Q526" s="53"/>
      <c r="R526" s="53"/>
      <c r="S526" s="171"/>
      <c r="T526" s="170"/>
      <c r="U526" s="53"/>
      <c r="V526" s="53"/>
      <c r="W526" s="53"/>
      <c r="X526" s="171"/>
      <c r="Y526" s="170"/>
      <c r="Z526" s="170"/>
      <c r="AA526" s="170"/>
      <c r="AB526" s="170"/>
      <c r="AC526" s="170"/>
      <c r="AD526" s="53"/>
      <c r="AE526" s="53"/>
    </row>
    <row r="527">
      <c r="A527" s="53"/>
      <c r="B527" s="53"/>
      <c r="C527" s="168"/>
      <c r="D527" s="169"/>
      <c r="E527" s="170"/>
      <c r="F527" s="53"/>
      <c r="G527" s="53"/>
      <c r="H527" s="53"/>
      <c r="I527" s="171"/>
      <c r="J527" s="170"/>
      <c r="K527" s="53"/>
      <c r="L527" s="53"/>
      <c r="M527" s="53"/>
      <c r="N527" s="171"/>
      <c r="O527" s="170"/>
      <c r="P527" s="53"/>
      <c r="Q527" s="53"/>
      <c r="R527" s="53"/>
      <c r="S527" s="171"/>
      <c r="T527" s="170"/>
      <c r="U527" s="53"/>
      <c r="V527" s="53"/>
      <c r="W527" s="53"/>
      <c r="X527" s="171"/>
      <c r="Y527" s="170"/>
      <c r="Z527" s="170"/>
      <c r="AA527" s="170"/>
      <c r="AB527" s="170"/>
      <c r="AC527" s="170"/>
      <c r="AD527" s="53"/>
      <c r="AE527" s="53"/>
    </row>
    <row r="528">
      <c r="A528" s="53"/>
      <c r="B528" s="53"/>
      <c r="C528" s="168"/>
      <c r="D528" s="169"/>
      <c r="E528" s="170"/>
      <c r="F528" s="53"/>
      <c r="G528" s="53"/>
      <c r="H528" s="53"/>
      <c r="I528" s="171"/>
      <c r="J528" s="170"/>
      <c r="K528" s="53"/>
      <c r="L528" s="53"/>
      <c r="M528" s="53"/>
      <c r="N528" s="171"/>
      <c r="O528" s="170"/>
      <c r="P528" s="53"/>
      <c r="Q528" s="53"/>
      <c r="R528" s="53"/>
      <c r="S528" s="171"/>
      <c r="T528" s="170"/>
      <c r="U528" s="53"/>
      <c r="V528" s="53"/>
      <c r="W528" s="53"/>
      <c r="X528" s="171"/>
      <c r="Y528" s="170"/>
      <c r="Z528" s="170"/>
      <c r="AA528" s="170"/>
      <c r="AB528" s="170"/>
      <c r="AC528" s="170"/>
      <c r="AD528" s="53"/>
      <c r="AE528" s="53"/>
    </row>
    <row r="529">
      <c r="A529" s="53"/>
      <c r="B529" s="53"/>
      <c r="C529" s="168"/>
      <c r="D529" s="169"/>
      <c r="E529" s="170"/>
      <c r="F529" s="53"/>
      <c r="G529" s="53"/>
      <c r="H529" s="53"/>
      <c r="I529" s="171"/>
      <c r="J529" s="170"/>
      <c r="K529" s="53"/>
      <c r="L529" s="53"/>
      <c r="M529" s="53"/>
      <c r="N529" s="171"/>
      <c r="O529" s="170"/>
      <c r="P529" s="53"/>
      <c r="Q529" s="53"/>
      <c r="R529" s="53"/>
      <c r="S529" s="171"/>
      <c r="T529" s="170"/>
      <c r="U529" s="53"/>
      <c r="V529" s="53"/>
      <c r="W529" s="53"/>
      <c r="X529" s="171"/>
      <c r="Y529" s="170"/>
      <c r="Z529" s="170"/>
      <c r="AA529" s="170"/>
      <c r="AB529" s="170"/>
      <c r="AC529" s="170"/>
      <c r="AD529" s="53"/>
      <c r="AE529" s="53"/>
    </row>
    <row r="530">
      <c r="A530" s="53"/>
      <c r="B530" s="53"/>
      <c r="C530" s="168"/>
      <c r="D530" s="169"/>
      <c r="E530" s="170"/>
      <c r="F530" s="53"/>
      <c r="G530" s="53"/>
      <c r="H530" s="53"/>
      <c r="I530" s="171"/>
      <c r="J530" s="170"/>
      <c r="K530" s="53"/>
      <c r="L530" s="53"/>
      <c r="M530" s="53"/>
      <c r="N530" s="171"/>
      <c r="O530" s="170"/>
      <c r="P530" s="53"/>
      <c r="Q530" s="53"/>
      <c r="R530" s="53"/>
      <c r="S530" s="171"/>
      <c r="T530" s="170"/>
      <c r="U530" s="53"/>
      <c r="V530" s="53"/>
      <c r="W530" s="53"/>
      <c r="X530" s="171"/>
      <c r="Y530" s="170"/>
      <c r="Z530" s="170"/>
      <c r="AA530" s="170"/>
      <c r="AB530" s="170"/>
      <c r="AC530" s="170"/>
      <c r="AD530" s="53"/>
      <c r="AE530" s="53"/>
    </row>
    <row r="531">
      <c r="A531" s="53"/>
      <c r="B531" s="53"/>
      <c r="C531" s="168"/>
      <c r="D531" s="169"/>
      <c r="E531" s="170"/>
      <c r="F531" s="53"/>
      <c r="G531" s="53"/>
      <c r="H531" s="53"/>
      <c r="I531" s="171"/>
      <c r="J531" s="170"/>
      <c r="K531" s="53"/>
      <c r="L531" s="53"/>
      <c r="M531" s="53"/>
      <c r="N531" s="171"/>
      <c r="O531" s="170"/>
      <c r="P531" s="53"/>
      <c r="Q531" s="53"/>
      <c r="R531" s="53"/>
      <c r="S531" s="171"/>
      <c r="T531" s="170"/>
      <c r="U531" s="53"/>
      <c r="V531" s="53"/>
      <c r="W531" s="53"/>
      <c r="X531" s="171"/>
      <c r="Y531" s="170"/>
      <c r="Z531" s="170"/>
      <c r="AA531" s="170"/>
      <c r="AB531" s="170"/>
      <c r="AC531" s="170"/>
      <c r="AD531" s="53"/>
      <c r="AE531" s="53"/>
    </row>
    <row r="532">
      <c r="A532" s="53"/>
      <c r="B532" s="53"/>
      <c r="C532" s="168"/>
      <c r="D532" s="169"/>
      <c r="E532" s="170"/>
      <c r="F532" s="53"/>
      <c r="G532" s="53"/>
      <c r="H532" s="53"/>
      <c r="I532" s="171"/>
      <c r="J532" s="170"/>
      <c r="K532" s="53"/>
      <c r="L532" s="53"/>
      <c r="M532" s="53"/>
      <c r="N532" s="171"/>
      <c r="O532" s="170"/>
      <c r="P532" s="53"/>
      <c r="Q532" s="53"/>
      <c r="R532" s="53"/>
      <c r="S532" s="171"/>
      <c r="T532" s="170"/>
      <c r="U532" s="53"/>
      <c r="V532" s="53"/>
      <c r="W532" s="53"/>
      <c r="X532" s="171"/>
      <c r="Y532" s="170"/>
      <c r="Z532" s="170"/>
      <c r="AA532" s="170"/>
      <c r="AB532" s="170"/>
      <c r="AC532" s="170"/>
      <c r="AD532" s="53"/>
      <c r="AE532" s="53"/>
    </row>
    <row r="533">
      <c r="A533" s="53"/>
      <c r="B533" s="53"/>
      <c r="C533" s="168"/>
      <c r="D533" s="169"/>
      <c r="E533" s="170"/>
      <c r="F533" s="53"/>
      <c r="G533" s="53"/>
      <c r="H533" s="53"/>
      <c r="I533" s="171"/>
      <c r="J533" s="170"/>
      <c r="K533" s="53"/>
      <c r="L533" s="53"/>
      <c r="M533" s="53"/>
      <c r="N533" s="171"/>
      <c r="O533" s="170"/>
      <c r="P533" s="53"/>
      <c r="Q533" s="53"/>
      <c r="R533" s="53"/>
      <c r="S533" s="171"/>
      <c r="T533" s="170"/>
      <c r="U533" s="53"/>
      <c r="V533" s="53"/>
      <c r="W533" s="53"/>
      <c r="X533" s="171"/>
      <c r="Y533" s="170"/>
      <c r="Z533" s="170"/>
      <c r="AA533" s="170"/>
      <c r="AB533" s="170"/>
      <c r="AC533" s="170"/>
      <c r="AD533" s="53"/>
      <c r="AE533" s="53"/>
    </row>
    <row r="534">
      <c r="A534" s="53"/>
      <c r="B534" s="53"/>
      <c r="C534" s="168"/>
      <c r="D534" s="169"/>
      <c r="E534" s="170"/>
      <c r="F534" s="53"/>
      <c r="G534" s="53"/>
      <c r="H534" s="53"/>
      <c r="I534" s="171"/>
      <c r="J534" s="170"/>
      <c r="K534" s="53"/>
      <c r="L534" s="53"/>
      <c r="M534" s="53"/>
      <c r="N534" s="171"/>
      <c r="O534" s="170"/>
      <c r="P534" s="53"/>
      <c r="Q534" s="53"/>
      <c r="R534" s="53"/>
      <c r="S534" s="171"/>
      <c r="T534" s="170"/>
      <c r="U534" s="53"/>
      <c r="V534" s="53"/>
      <c r="W534" s="53"/>
      <c r="X534" s="171"/>
      <c r="Y534" s="170"/>
      <c r="Z534" s="170"/>
      <c r="AA534" s="170"/>
      <c r="AB534" s="170"/>
      <c r="AC534" s="170"/>
      <c r="AD534" s="53"/>
      <c r="AE534" s="53"/>
    </row>
    <row r="535">
      <c r="A535" s="53"/>
      <c r="B535" s="53"/>
      <c r="C535" s="168"/>
      <c r="D535" s="169"/>
      <c r="E535" s="170"/>
      <c r="F535" s="53"/>
      <c r="G535" s="53"/>
      <c r="H535" s="53"/>
      <c r="I535" s="171"/>
      <c r="J535" s="170"/>
      <c r="K535" s="53"/>
      <c r="L535" s="53"/>
      <c r="M535" s="53"/>
      <c r="N535" s="171"/>
      <c r="O535" s="170"/>
      <c r="P535" s="53"/>
      <c r="Q535" s="53"/>
      <c r="R535" s="53"/>
      <c r="S535" s="171"/>
      <c r="T535" s="170"/>
      <c r="U535" s="53"/>
      <c r="V535" s="53"/>
      <c r="W535" s="53"/>
      <c r="X535" s="171"/>
      <c r="Y535" s="170"/>
      <c r="Z535" s="170"/>
      <c r="AA535" s="170"/>
      <c r="AB535" s="170"/>
      <c r="AC535" s="170"/>
      <c r="AD535" s="53"/>
      <c r="AE535" s="53"/>
    </row>
    <row r="536">
      <c r="A536" s="53"/>
      <c r="B536" s="53"/>
      <c r="C536" s="168"/>
      <c r="D536" s="169"/>
      <c r="E536" s="170"/>
      <c r="F536" s="53"/>
      <c r="G536" s="53"/>
      <c r="H536" s="53"/>
      <c r="I536" s="171"/>
      <c r="J536" s="170"/>
      <c r="K536" s="53"/>
      <c r="L536" s="53"/>
      <c r="M536" s="53"/>
      <c r="N536" s="171"/>
      <c r="O536" s="170"/>
      <c r="P536" s="53"/>
      <c r="Q536" s="53"/>
      <c r="R536" s="53"/>
      <c r="S536" s="171"/>
      <c r="T536" s="170"/>
      <c r="U536" s="53"/>
      <c r="V536" s="53"/>
      <c r="W536" s="53"/>
      <c r="X536" s="171"/>
      <c r="Y536" s="170"/>
      <c r="Z536" s="170"/>
      <c r="AA536" s="170"/>
      <c r="AB536" s="170"/>
      <c r="AC536" s="170"/>
      <c r="AD536" s="53"/>
      <c r="AE536" s="53"/>
    </row>
    <row r="537">
      <c r="A537" s="53"/>
      <c r="B537" s="53"/>
      <c r="C537" s="168"/>
      <c r="D537" s="169"/>
      <c r="E537" s="170"/>
      <c r="F537" s="53"/>
      <c r="G537" s="53"/>
      <c r="H537" s="53"/>
      <c r="I537" s="171"/>
      <c r="J537" s="170"/>
      <c r="K537" s="53"/>
      <c r="L537" s="53"/>
      <c r="M537" s="53"/>
      <c r="N537" s="171"/>
      <c r="O537" s="170"/>
      <c r="P537" s="53"/>
      <c r="Q537" s="53"/>
      <c r="R537" s="53"/>
      <c r="S537" s="171"/>
      <c r="T537" s="170"/>
      <c r="U537" s="53"/>
      <c r="V537" s="53"/>
      <c r="W537" s="53"/>
      <c r="X537" s="171"/>
      <c r="Y537" s="170"/>
      <c r="Z537" s="170"/>
      <c r="AA537" s="170"/>
      <c r="AB537" s="170"/>
      <c r="AC537" s="170"/>
      <c r="AD537" s="53"/>
      <c r="AE537" s="53"/>
    </row>
    <row r="538">
      <c r="A538" s="53"/>
      <c r="B538" s="53"/>
      <c r="C538" s="168"/>
      <c r="D538" s="169"/>
      <c r="E538" s="170"/>
      <c r="F538" s="53"/>
      <c r="G538" s="53"/>
      <c r="H538" s="53"/>
      <c r="I538" s="171"/>
      <c r="J538" s="170"/>
      <c r="K538" s="53"/>
      <c r="L538" s="53"/>
      <c r="M538" s="53"/>
      <c r="N538" s="171"/>
      <c r="O538" s="170"/>
      <c r="P538" s="53"/>
      <c r="Q538" s="53"/>
      <c r="R538" s="53"/>
      <c r="S538" s="171"/>
      <c r="T538" s="170"/>
      <c r="U538" s="53"/>
      <c r="V538" s="53"/>
      <c r="W538" s="53"/>
      <c r="X538" s="171"/>
      <c r="Y538" s="170"/>
      <c r="Z538" s="170"/>
      <c r="AA538" s="170"/>
      <c r="AB538" s="170"/>
      <c r="AC538" s="170"/>
      <c r="AD538" s="53"/>
      <c r="AE538" s="53"/>
    </row>
    <row r="539">
      <c r="A539" s="53"/>
      <c r="B539" s="53"/>
      <c r="C539" s="168"/>
      <c r="D539" s="169"/>
      <c r="E539" s="170"/>
      <c r="F539" s="53"/>
      <c r="G539" s="53"/>
      <c r="H539" s="53"/>
      <c r="I539" s="171"/>
      <c r="J539" s="170"/>
      <c r="K539" s="53"/>
      <c r="L539" s="53"/>
      <c r="M539" s="53"/>
      <c r="N539" s="171"/>
      <c r="O539" s="170"/>
      <c r="P539" s="53"/>
      <c r="Q539" s="53"/>
      <c r="R539" s="53"/>
      <c r="S539" s="171"/>
      <c r="T539" s="170"/>
      <c r="U539" s="53"/>
      <c r="V539" s="53"/>
      <c r="W539" s="53"/>
      <c r="X539" s="171"/>
      <c r="Y539" s="170"/>
      <c r="Z539" s="170"/>
      <c r="AA539" s="170"/>
      <c r="AB539" s="170"/>
      <c r="AC539" s="170"/>
      <c r="AD539" s="53"/>
      <c r="AE539" s="53"/>
    </row>
    <row r="540">
      <c r="A540" s="53"/>
      <c r="B540" s="53"/>
      <c r="C540" s="168"/>
      <c r="D540" s="169"/>
      <c r="E540" s="170"/>
      <c r="F540" s="53"/>
      <c r="G540" s="53"/>
      <c r="H540" s="53"/>
      <c r="I540" s="171"/>
      <c r="J540" s="170"/>
      <c r="K540" s="53"/>
      <c r="L540" s="53"/>
      <c r="M540" s="53"/>
      <c r="N540" s="171"/>
      <c r="O540" s="170"/>
      <c r="P540" s="53"/>
      <c r="Q540" s="53"/>
      <c r="R540" s="53"/>
      <c r="S540" s="171"/>
      <c r="T540" s="170"/>
      <c r="U540" s="53"/>
      <c r="V540" s="53"/>
      <c r="W540" s="53"/>
      <c r="X540" s="171"/>
      <c r="Y540" s="170"/>
      <c r="Z540" s="170"/>
      <c r="AA540" s="170"/>
      <c r="AB540" s="170"/>
      <c r="AC540" s="170"/>
      <c r="AD540" s="53"/>
      <c r="AE540" s="53"/>
    </row>
    <row r="541">
      <c r="A541" s="53"/>
      <c r="B541" s="53"/>
      <c r="C541" s="168"/>
      <c r="D541" s="169"/>
      <c r="E541" s="170"/>
      <c r="F541" s="53"/>
      <c r="G541" s="53"/>
      <c r="H541" s="53"/>
      <c r="I541" s="171"/>
      <c r="J541" s="170"/>
      <c r="K541" s="53"/>
      <c r="L541" s="53"/>
      <c r="M541" s="53"/>
      <c r="N541" s="171"/>
      <c r="O541" s="170"/>
      <c r="P541" s="53"/>
      <c r="Q541" s="53"/>
      <c r="R541" s="53"/>
      <c r="S541" s="171"/>
      <c r="T541" s="170"/>
      <c r="U541" s="53"/>
      <c r="V541" s="53"/>
      <c r="W541" s="53"/>
      <c r="X541" s="171"/>
      <c r="Y541" s="170"/>
      <c r="Z541" s="170"/>
      <c r="AA541" s="170"/>
      <c r="AB541" s="170"/>
      <c r="AC541" s="170"/>
      <c r="AD541" s="53"/>
      <c r="AE541" s="53"/>
    </row>
    <row r="542">
      <c r="A542" s="53"/>
      <c r="B542" s="53"/>
      <c r="C542" s="168"/>
      <c r="D542" s="169"/>
      <c r="E542" s="170"/>
      <c r="F542" s="53"/>
      <c r="G542" s="53"/>
      <c r="H542" s="53"/>
      <c r="I542" s="171"/>
      <c r="J542" s="170"/>
      <c r="K542" s="53"/>
      <c r="L542" s="53"/>
      <c r="M542" s="53"/>
      <c r="N542" s="171"/>
      <c r="O542" s="170"/>
      <c r="P542" s="53"/>
      <c r="Q542" s="53"/>
      <c r="R542" s="53"/>
      <c r="S542" s="171"/>
      <c r="T542" s="170"/>
      <c r="U542" s="53"/>
      <c r="V542" s="53"/>
      <c r="W542" s="53"/>
      <c r="X542" s="171"/>
      <c r="Y542" s="170"/>
      <c r="Z542" s="170"/>
      <c r="AA542" s="170"/>
      <c r="AB542" s="170"/>
      <c r="AC542" s="170"/>
      <c r="AD542" s="53"/>
      <c r="AE542" s="53"/>
    </row>
    <row r="543">
      <c r="A543" s="53"/>
      <c r="B543" s="53"/>
      <c r="C543" s="168"/>
      <c r="D543" s="169"/>
      <c r="E543" s="170"/>
      <c r="F543" s="53"/>
      <c r="G543" s="53"/>
      <c r="H543" s="53"/>
      <c r="I543" s="171"/>
      <c r="J543" s="170"/>
      <c r="K543" s="53"/>
      <c r="L543" s="53"/>
      <c r="M543" s="53"/>
      <c r="N543" s="171"/>
      <c r="O543" s="170"/>
      <c r="P543" s="53"/>
      <c r="Q543" s="53"/>
      <c r="R543" s="53"/>
      <c r="S543" s="171"/>
      <c r="T543" s="170"/>
      <c r="U543" s="53"/>
      <c r="V543" s="53"/>
      <c r="W543" s="53"/>
      <c r="X543" s="171"/>
      <c r="Y543" s="170"/>
      <c r="Z543" s="170"/>
      <c r="AA543" s="170"/>
      <c r="AB543" s="170"/>
      <c r="AC543" s="170"/>
      <c r="AD543" s="53"/>
      <c r="AE543" s="53"/>
    </row>
    <row r="544">
      <c r="A544" s="53"/>
      <c r="B544" s="53"/>
      <c r="C544" s="168"/>
      <c r="D544" s="169"/>
      <c r="E544" s="170"/>
      <c r="F544" s="53"/>
      <c r="G544" s="53"/>
      <c r="H544" s="53"/>
      <c r="I544" s="171"/>
      <c r="J544" s="170"/>
      <c r="K544" s="53"/>
      <c r="L544" s="53"/>
      <c r="M544" s="53"/>
      <c r="N544" s="171"/>
      <c r="O544" s="170"/>
      <c r="P544" s="53"/>
      <c r="Q544" s="53"/>
      <c r="R544" s="53"/>
      <c r="S544" s="171"/>
      <c r="T544" s="170"/>
      <c r="U544" s="53"/>
      <c r="V544" s="53"/>
      <c r="W544" s="53"/>
      <c r="X544" s="171"/>
      <c r="Y544" s="170"/>
      <c r="Z544" s="170"/>
      <c r="AA544" s="170"/>
      <c r="AB544" s="170"/>
      <c r="AC544" s="170"/>
      <c r="AD544" s="53"/>
      <c r="AE544" s="53"/>
    </row>
    <row r="545">
      <c r="A545" s="53"/>
      <c r="B545" s="53"/>
      <c r="C545" s="168"/>
      <c r="D545" s="169"/>
      <c r="E545" s="170"/>
      <c r="F545" s="53"/>
      <c r="G545" s="53"/>
      <c r="H545" s="53"/>
      <c r="I545" s="171"/>
      <c r="J545" s="170"/>
      <c r="K545" s="53"/>
      <c r="L545" s="53"/>
      <c r="M545" s="53"/>
      <c r="N545" s="171"/>
      <c r="O545" s="170"/>
      <c r="P545" s="53"/>
      <c r="Q545" s="53"/>
      <c r="R545" s="53"/>
      <c r="S545" s="171"/>
      <c r="T545" s="170"/>
      <c r="U545" s="53"/>
      <c r="V545" s="53"/>
      <c r="W545" s="53"/>
      <c r="X545" s="171"/>
      <c r="Y545" s="170"/>
      <c r="Z545" s="170"/>
      <c r="AA545" s="170"/>
      <c r="AB545" s="170"/>
      <c r="AC545" s="170"/>
      <c r="AD545" s="53"/>
      <c r="AE545" s="53"/>
    </row>
    <row r="546">
      <c r="A546" s="53"/>
      <c r="B546" s="53"/>
      <c r="C546" s="168"/>
      <c r="D546" s="169"/>
      <c r="E546" s="170"/>
      <c r="F546" s="53"/>
      <c r="G546" s="53"/>
      <c r="H546" s="53"/>
      <c r="I546" s="171"/>
      <c r="J546" s="170"/>
      <c r="K546" s="53"/>
      <c r="L546" s="53"/>
      <c r="M546" s="53"/>
      <c r="N546" s="171"/>
      <c r="O546" s="170"/>
      <c r="P546" s="53"/>
      <c r="Q546" s="53"/>
      <c r="R546" s="53"/>
      <c r="S546" s="171"/>
      <c r="T546" s="170"/>
      <c r="U546" s="53"/>
      <c r="V546" s="53"/>
      <c r="W546" s="53"/>
      <c r="X546" s="171"/>
      <c r="Y546" s="170"/>
      <c r="Z546" s="170"/>
      <c r="AA546" s="170"/>
      <c r="AB546" s="170"/>
      <c r="AC546" s="170"/>
      <c r="AD546" s="53"/>
      <c r="AE546" s="53"/>
    </row>
    <row r="547">
      <c r="A547" s="53"/>
      <c r="B547" s="53"/>
      <c r="C547" s="168"/>
      <c r="D547" s="169"/>
      <c r="E547" s="170"/>
      <c r="F547" s="53"/>
      <c r="G547" s="53"/>
      <c r="H547" s="53"/>
      <c r="I547" s="171"/>
      <c r="J547" s="170"/>
      <c r="K547" s="53"/>
      <c r="L547" s="53"/>
      <c r="M547" s="53"/>
      <c r="N547" s="171"/>
      <c r="O547" s="170"/>
      <c r="P547" s="53"/>
      <c r="Q547" s="53"/>
      <c r="R547" s="53"/>
      <c r="S547" s="171"/>
      <c r="T547" s="170"/>
      <c r="U547" s="53"/>
      <c r="V547" s="53"/>
      <c r="W547" s="53"/>
      <c r="X547" s="171"/>
      <c r="Y547" s="170"/>
      <c r="Z547" s="170"/>
      <c r="AA547" s="170"/>
      <c r="AB547" s="170"/>
      <c r="AC547" s="170"/>
      <c r="AD547" s="53"/>
      <c r="AE547" s="53"/>
    </row>
    <row r="548">
      <c r="A548" s="53"/>
      <c r="B548" s="53"/>
      <c r="C548" s="168"/>
      <c r="D548" s="169"/>
      <c r="E548" s="170"/>
      <c r="F548" s="53"/>
      <c r="G548" s="53"/>
      <c r="H548" s="53"/>
      <c r="I548" s="171"/>
      <c r="J548" s="170"/>
      <c r="K548" s="53"/>
      <c r="L548" s="53"/>
      <c r="M548" s="53"/>
      <c r="N548" s="171"/>
      <c r="O548" s="170"/>
      <c r="P548" s="53"/>
      <c r="Q548" s="53"/>
      <c r="R548" s="53"/>
      <c r="S548" s="171"/>
      <c r="T548" s="170"/>
      <c r="U548" s="53"/>
      <c r="V548" s="53"/>
      <c r="W548" s="53"/>
      <c r="X548" s="171"/>
      <c r="Y548" s="170"/>
      <c r="Z548" s="170"/>
      <c r="AA548" s="170"/>
      <c r="AB548" s="170"/>
      <c r="AC548" s="170"/>
      <c r="AD548" s="53"/>
      <c r="AE548" s="53"/>
    </row>
    <row r="549">
      <c r="A549" s="53"/>
      <c r="B549" s="53"/>
      <c r="C549" s="168"/>
      <c r="D549" s="169"/>
      <c r="E549" s="170"/>
      <c r="F549" s="53"/>
      <c r="G549" s="53"/>
      <c r="H549" s="53"/>
      <c r="I549" s="171"/>
      <c r="J549" s="170"/>
      <c r="K549" s="53"/>
      <c r="L549" s="53"/>
      <c r="M549" s="53"/>
      <c r="N549" s="171"/>
      <c r="O549" s="170"/>
      <c r="P549" s="53"/>
      <c r="Q549" s="53"/>
      <c r="R549" s="53"/>
      <c r="S549" s="171"/>
      <c r="T549" s="170"/>
      <c r="U549" s="53"/>
      <c r="V549" s="53"/>
      <c r="W549" s="53"/>
      <c r="X549" s="171"/>
      <c r="Y549" s="170"/>
      <c r="Z549" s="170"/>
      <c r="AA549" s="170"/>
      <c r="AB549" s="170"/>
      <c r="AC549" s="170"/>
      <c r="AD549" s="53"/>
      <c r="AE549" s="53"/>
    </row>
    <row r="550">
      <c r="A550" s="53"/>
      <c r="B550" s="53"/>
      <c r="C550" s="168"/>
      <c r="D550" s="169"/>
      <c r="E550" s="170"/>
      <c r="F550" s="53"/>
      <c r="G550" s="53"/>
      <c r="H550" s="53"/>
      <c r="I550" s="171"/>
      <c r="J550" s="170"/>
      <c r="K550" s="53"/>
      <c r="L550" s="53"/>
      <c r="M550" s="53"/>
      <c r="N550" s="171"/>
      <c r="O550" s="170"/>
      <c r="P550" s="53"/>
      <c r="Q550" s="53"/>
      <c r="R550" s="53"/>
      <c r="S550" s="171"/>
      <c r="T550" s="170"/>
      <c r="U550" s="53"/>
      <c r="V550" s="53"/>
      <c r="W550" s="53"/>
      <c r="X550" s="171"/>
      <c r="Y550" s="170"/>
      <c r="Z550" s="170"/>
      <c r="AA550" s="170"/>
      <c r="AB550" s="170"/>
      <c r="AC550" s="170"/>
      <c r="AD550" s="53"/>
      <c r="AE550" s="53"/>
    </row>
    <row r="551">
      <c r="A551" s="53"/>
      <c r="B551" s="53"/>
      <c r="C551" s="168"/>
      <c r="D551" s="169"/>
      <c r="E551" s="170"/>
      <c r="F551" s="53"/>
      <c r="G551" s="53"/>
      <c r="H551" s="53"/>
      <c r="I551" s="171"/>
      <c r="J551" s="170"/>
      <c r="K551" s="53"/>
      <c r="L551" s="53"/>
      <c r="M551" s="53"/>
      <c r="N551" s="171"/>
      <c r="O551" s="170"/>
      <c r="P551" s="53"/>
      <c r="Q551" s="53"/>
      <c r="R551" s="53"/>
      <c r="S551" s="171"/>
      <c r="T551" s="170"/>
      <c r="U551" s="53"/>
      <c r="V551" s="53"/>
      <c r="W551" s="53"/>
      <c r="X551" s="171"/>
      <c r="Y551" s="170"/>
      <c r="Z551" s="170"/>
      <c r="AA551" s="170"/>
      <c r="AB551" s="170"/>
      <c r="AC551" s="170"/>
      <c r="AD551" s="53"/>
      <c r="AE551" s="53"/>
    </row>
    <row r="552">
      <c r="A552" s="53"/>
      <c r="B552" s="53"/>
      <c r="C552" s="168"/>
      <c r="D552" s="169"/>
      <c r="E552" s="170"/>
      <c r="F552" s="53"/>
      <c r="G552" s="53"/>
      <c r="H552" s="53"/>
      <c r="I552" s="171"/>
      <c r="J552" s="170"/>
      <c r="K552" s="53"/>
      <c r="L552" s="53"/>
      <c r="M552" s="53"/>
      <c r="N552" s="171"/>
      <c r="O552" s="170"/>
      <c r="P552" s="53"/>
      <c r="Q552" s="53"/>
      <c r="R552" s="53"/>
      <c r="S552" s="171"/>
      <c r="T552" s="170"/>
      <c r="U552" s="53"/>
      <c r="V552" s="53"/>
      <c r="W552" s="53"/>
      <c r="X552" s="171"/>
      <c r="Y552" s="170"/>
      <c r="Z552" s="170"/>
      <c r="AA552" s="170"/>
      <c r="AB552" s="170"/>
      <c r="AC552" s="170"/>
      <c r="AD552" s="53"/>
      <c r="AE552" s="53"/>
    </row>
    <row r="553">
      <c r="A553" s="53"/>
      <c r="B553" s="53"/>
      <c r="C553" s="168"/>
      <c r="D553" s="169"/>
      <c r="E553" s="170"/>
      <c r="F553" s="53"/>
      <c r="G553" s="53"/>
      <c r="H553" s="53"/>
      <c r="I553" s="171"/>
      <c r="J553" s="170"/>
      <c r="K553" s="53"/>
      <c r="L553" s="53"/>
      <c r="M553" s="53"/>
      <c r="N553" s="171"/>
      <c r="O553" s="170"/>
      <c r="P553" s="53"/>
      <c r="Q553" s="53"/>
      <c r="R553" s="53"/>
      <c r="S553" s="171"/>
      <c r="T553" s="170"/>
      <c r="U553" s="53"/>
      <c r="V553" s="53"/>
      <c r="W553" s="53"/>
      <c r="X553" s="171"/>
      <c r="Y553" s="170"/>
      <c r="Z553" s="170"/>
      <c r="AA553" s="170"/>
      <c r="AB553" s="170"/>
      <c r="AC553" s="170"/>
      <c r="AD553" s="53"/>
      <c r="AE553" s="53"/>
    </row>
    <row r="554">
      <c r="A554" s="53"/>
      <c r="B554" s="53"/>
      <c r="C554" s="168"/>
      <c r="D554" s="169"/>
      <c r="E554" s="170"/>
      <c r="F554" s="53"/>
      <c r="G554" s="53"/>
      <c r="H554" s="53"/>
      <c r="I554" s="171"/>
      <c r="J554" s="170"/>
      <c r="K554" s="53"/>
      <c r="L554" s="53"/>
      <c r="M554" s="53"/>
      <c r="N554" s="171"/>
      <c r="O554" s="170"/>
      <c r="P554" s="53"/>
      <c r="Q554" s="53"/>
      <c r="R554" s="53"/>
      <c r="S554" s="171"/>
      <c r="T554" s="170"/>
      <c r="U554" s="53"/>
      <c r="V554" s="53"/>
      <c r="W554" s="53"/>
      <c r="X554" s="171"/>
      <c r="Y554" s="170"/>
      <c r="Z554" s="170"/>
      <c r="AA554" s="170"/>
      <c r="AB554" s="170"/>
      <c r="AC554" s="170"/>
      <c r="AD554" s="53"/>
      <c r="AE554" s="53"/>
    </row>
    <row r="555">
      <c r="A555" s="53"/>
      <c r="B555" s="53"/>
      <c r="C555" s="168"/>
      <c r="D555" s="169"/>
      <c r="E555" s="170"/>
      <c r="F555" s="53"/>
      <c r="G555" s="53"/>
      <c r="H555" s="53"/>
      <c r="I555" s="171"/>
      <c r="J555" s="170"/>
      <c r="K555" s="53"/>
      <c r="L555" s="53"/>
      <c r="M555" s="53"/>
      <c r="N555" s="171"/>
      <c r="O555" s="170"/>
      <c r="P555" s="53"/>
      <c r="Q555" s="53"/>
      <c r="R555" s="53"/>
      <c r="S555" s="171"/>
      <c r="T555" s="170"/>
      <c r="U555" s="53"/>
      <c r="V555" s="53"/>
      <c r="W555" s="53"/>
      <c r="X555" s="171"/>
      <c r="Y555" s="170"/>
      <c r="Z555" s="170"/>
      <c r="AA555" s="170"/>
      <c r="AB555" s="170"/>
      <c r="AC555" s="170"/>
      <c r="AD555" s="53"/>
      <c r="AE555" s="53"/>
    </row>
    <row r="556">
      <c r="A556" s="53"/>
      <c r="B556" s="53"/>
      <c r="C556" s="168"/>
      <c r="D556" s="169"/>
      <c r="E556" s="170"/>
      <c r="F556" s="53"/>
      <c r="G556" s="53"/>
      <c r="H556" s="53"/>
      <c r="I556" s="171"/>
      <c r="J556" s="170"/>
      <c r="K556" s="53"/>
      <c r="L556" s="53"/>
      <c r="M556" s="53"/>
      <c r="N556" s="171"/>
      <c r="O556" s="170"/>
      <c r="P556" s="53"/>
      <c r="Q556" s="53"/>
      <c r="R556" s="53"/>
      <c r="S556" s="171"/>
      <c r="T556" s="170"/>
      <c r="U556" s="53"/>
      <c r="V556" s="53"/>
      <c r="W556" s="53"/>
      <c r="X556" s="171"/>
      <c r="Y556" s="170"/>
      <c r="Z556" s="170"/>
      <c r="AA556" s="170"/>
      <c r="AB556" s="170"/>
      <c r="AC556" s="170"/>
      <c r="AD556" s="53"/>
      <c r="AE556" s="53"/>
    </row>
    <row r="557">
      <c r="A557" s="53"/>
      <c r="B557" s="53"/>
      <c r="C557" s="168"/>
      <c r="D557" s="169"/>
      <c r="E557" s="170"/>
      <c r="F557" s="53"/>
      <c r="G557" s="53"/>
      <c r="H557" s="53"/>
      <c r="I557" s="171"/>
      <c r="J557" s="170"/>
      <c r="K557" s="53"/>
      <c r="L557" s="53"/>
      <c r="M557" s="53"/>
      <c r="N557" s="171"/>
      <c r="O557" s="170"/>
      <c r="P557" s="53"/>
      <c r="Q557" s="53"/>
      <c r="R557" s="53"/>
      <c r="S557" s="171"/>
      <c r="T557" s="170"/>
      <c r="U557" s="53"/>
      <c r="V557" s="53"/>
      <c r="W557" s="53"/>
      <c r="X557" s="171"/>
      <c r="Y557" s="170"/>
      <c r="Z557" s="170"/>
      <c r="AA557" s="170"/>
      <c r="AB557" s="170"/>
      <c r="AC557" s="170"/>
      <c r="AD557" s="53"/>
      <c r="AE557" s="53"/>
    </row>
    <row r="558">
      <c r="A558" s="53"/>
      <c r="B558" s="53"/>
      <c r="C558" s="168"/>
      <c r="D558" s="169"/>
      <c r="E558" s="170"/>
      <c r="F558" s="53"/>
      <c r="G558" s="53"/>
      <c r="H558" s="53"/>
      <c r="I558" s="171"/>
      <c r="J558" s="170"/>
      <c r="K558" s="53"/>
      <c r="L558" s="53"/>
      <c r="M558" s="53"/>
      <c r="N558" s="171"/>
      <c r="O558" s="170"/>
      <c r="P558" s="53"/>
      <c r="Q558" s="53"/>
      <c r="R558" s="53"/>
      <c r="S558" s="171"/>
      <c r="T558" s="170"/>
      <c r="U558" s="53"/>
      <c r="V558" s="53"/>
      <c r="W558" s="53"/>
      <c r="X558" s="171"/>
      <c r="Y558" s="170"/>
      <c r="Z558" s="170"/>
      <c r="AA558" s="170"/>
      <c r="AB558" s="170"/>
      <c r="AC558" s="170"/>
      <c r="AD558" s="53"/>
      <c r="AE558" s="53"/>
    </row>
    <row r="559">
      <c r="A559" s="53"/>
      <c r="B559" s="53"/>
      <c r="C559" s="168"/>
      <c r="D559" s="169"/>
      <c r="E559" s="170"/>
      <c r="F559" s="53"/>
      <c r="G559" s="53"/>
      <c r="H559" s="53"/>
      <c r="I559" s="171"/>
      <c r="J559" s="170"/>
      <c r="K559" s="53"/>
      <c r="L559" s="53"/>
      <c r="M559" s="53"/>
      <c r="N559" s="171"/>
      <c r="O559" s="170"/>
      <c r="P559" s="53"/>
      <c r="Q559" s="53"/>
      <c r="R559" s="53"/>
      <c r="S559" s="171"/>
      <c r="T559" s="170"/>
      <c r="U559" s="53"/>
      <c r="V559" s="53"/>
      <c r="W559" s="53"/>
      <c r="X559" s="171"/>
      <c r="Y559" s="170"/>
      <c r="Z559" s="170"/>
      <c r="AA559" s="170"/>
      <c r="AB559" s="170"/>
      <c r="AC559" s="170"/>
      <c r="AD559" s="53"/>
      <c r="AE559" s="53"/>
    </row>
    <row r="560">
      <c r="A560" s="53"/>
      <c r="B560" s="53"/>
      <c r="C560" s="168"/>
      <c r="D560" s="169"/>
      <c r="E560" s="170"/>
      <c r="F560" s="53"/>
      <c r="G560" s="53"/>
      <c r="H560" s="53"/>
      <c r="I560" s="171"/>
      <c r="J560" s="170"/>
      <c r="K560" s="53"/>
      <c r="L560" s="53"/>
      <c r="M560" s="53"/>
      <c r="N560" s="171"/>
      <c r="O560" s="170"/>
      <c r="P560" s="53"/>
      <c r="Q560" s="53"/>
      <c r="R560" s="53"/>
      <c r="S560" s="171"/>
      <c r="T560" s="170"/>
      <c r="U560" s="53"/>
      <c r="V560" s="53"/>
      <c r="W560" s="53"/>
      <c r="X560" s="171"/>
      <c r="Y560" s="170"/>
      <c r="Z560" s="170"/>
      <c r="AA560" s="170"/>
      <c r="AB560" s="170"/>
      <c r="AC560" s="170"/>
      <c r="AD560" s="53"/>
      <c r="AE560" s="53"/>
    </row>
    <row r="561">
      <c r="A561" s="53"/>
      <c r="B561" s="53"/>
      <c r="C561" s="168"/>
      <c r="D561" s="169"/>
      <c r="E561" s="170"/>
      <c r="F561" s="53"/>
      <c r="G561" s="53"/>
      <c r="H561" s="53"/>
      <c r="I561" s="171"/>
      <c r="J561" s="170"/>
      <c r="K561" s="53"/>
      <c r="L561" s="53"/>
      <c r="M561" s="53"/>
      <c r="N561" s="171"/>
      <c r="O561" s="170"/>
      <c r="P561" s="53"/>
      <c r="Q561" s="53"/>
      <c r="R561" s="53"/>
      <c r="S561" s="171"/>
      <c r="T561" s="170"/>
      <c r="U561" s="53"/>
      <c r="V561" s="53"/>
      <c r="W561" s="53"/>
      <c r="X561" s="171"/>
      <c r="Y561" s="170"/>
      <c r="Z561" s="170"/>
      <c r="AA561" s="170"/>
      <c r="AB561" s="170"/>
      <c r="AC561" s="170"/>
      <c r="AD561" s="53"/>
      <c r="AE561" s="53"/>
    </row>
    <row r="562">
      <c r="A562" s="53"/>
      <c r="B562" s="53"/>
      <c r="C562" s="168"/>
      <c r="D562" s="169"/>
      <c r="E562" s="170"/>
      <c r="F562" s="53"/>
      <c r="G562" s="53"/>
      <c r="H562" s="53"/>
      <c r="I562" s="171"/>
      <c r="J562" s="170"/>
      <c r="K562" s="53"/>
      <c r="L562" s="53"/>
      <c r="M562" s="53"/>
      <c r="N562" s="171"/>
      <c r="O562" s="170"/>
      <c r="P562" s="53"/>
      <c r="Q562" s="53"/>
      <c r="R562" s="53"/>
      <c r="S562" s="171"/>
      <c r="T562" s="170"/>
      <c r="U562" s="53"/>
      <c r="V562" s="53"/>
      <c r="W562" s="53"/>
      <c r="X562" s="171"/>
      <c r="Y562" s="170"/>
      <c r="Z562" s="170"/>
      <c r="AA562" s="170"/>
      <c r="AB562" s="170"/>
      <c r="AC562" s="170"/>
      <c r="AD562" s="53"/>
      <c r="AE562" s="53"/>
    </row>
    <row r="563">
      <c r="A563" s="53"/>
      <c r="B563" s="53"/>
      <c r="C563" s="168"/>
      <c r="D563" s="169"/>
      <c r="E563" s="170"/>
      <c r="F563" s="53"/>
      <c r="G563" s="53"/>
      <c r="H563" s="53"/>
      <c r="I563" s="171"/>
      <c r="J563" s="170"/>
      <c r="K563" s="53"/>
      <c r="L563" s="53"/>
      <c r="M563" s="53"/>
      <c r="N563" s="171"/>
      <c r="O563" s="170"/>
      <c r="P563" s="53"/>
      <c r="Q563" s="53"/>
      <c r="R563" s="53"/>
      <c r="S563" s="171"/>
      <c r="T563" s="170"/>
      <c r="U563" s="53"/>
      <c r="V563" s="53"/>
      <c r="W563" s="53"/>
      <c r="X563" s="171"/>
      <c r="Y563" s="170"/>
      <c r="Z563" s="170"/>
      <c r="AA563" s="170"/>
      <c r="AB563" s="170"/>
      <c r="AC563" s="170"/>
      <c r="AD563" s="53"/>
      <c r="AE563" s="53"/>
    </row>
    <row r="564">
      <c r="A564" s="53"/>
      <c r="B564" s="53"/>
      <c r="C564" s="168"/>
      <c r="D564" s="169"/>
      <c r="E564" s="170"/>
      <c r="F564" s="53"/>
      <c r="G564" s="53"/>
      <c r="H564" s="53"/>
      <c r="I564" s="171"/>
      <c r="J564" s="170"/>
      <c r="K564" s="53"/>
      <c r="L564" s="53"/>
      <c r="M564" s="53"/>
      <c r="N564" s="171"/>
      <c r="O564" s="170"/>
      <c r="P564" s="53"/>
      <c r="Q564" s="53"/>
      <c r="R564" s="53"/>
      <c r="S564" s="171"/>
      <c r="T564" s="170"/>
      <c r="U564" s="53"/>
      <c r="V564" s="53"/>
      <c r="W564" s="53"/>
      <c r="X564" s="171"/>
      <c r="Y564" s="170"/>
      <c r="Z564" s="170"/>
      <c r="AA564" s="170"/>
      <c r="AB564" s="170"/>
      <c r="AC564" s="170"/>
      <c r="AD564" s="53"/>
      <c r="AE564" s="53"/>
    </row>
    <row r="565">
      <c r="A565" s="53"/>
      <c r="B565" s="53"/>
      <c r="C565" s="168"/>
      <c r="D565" s="169"/>
      <c r="E565" s="170"/>
      <c r="F565" s="53"/>
      <c r="G565" s="53"/>
      <c r="H565" s="53"/>
      <c r="I565" s="171"/>
      <c r="J565" s="170"/>
      <c r="K565" s="53"/>
      <c r="L565" s="53"/>
      <c r="M565" s="53"/>
      <c r="N565" s="171"/>
      <c r="O565" s="170"/>
      <c r="P565" s="53"/>
      <c r="Q565" s="53"/>
      <c r="R565" s="53"/>
      <c r="S565" s="171"/>
      <c r="T565" s="170"/>
      <c r="U565" s="53"/>
      <c r="V565" s="53"/>
      <c r="W565" s="53"/>
      <c r="X565" s="171"/>
      <c r="Y565" s="170"/>
      <c r="Z565" s="170"/>
      <c r="AA565" s="170"/>
      <c r="AB565" s="170"/>
      <c r="AC565" s="170"/>
      <c r="AD565" s="53"/>
      <c r="AE565" s="53"/>
    </row>
    <row r="566">
      <c r="A566" s="53"/>
      <c r="B566" s="53"/>
      <c r="C566" s="168"/>
      <c r="D566" s="169"/>
      <c r="E566" s="170"/>
      <c r="F566" s="53"/>
      <c r="G566" s="53"/>
      <c r="H566" s="53"/>
      <c r="I566" s="171"/>
      <c r="J566" s="170"/>
      <c r="K566" s="53"/>
      <c r="L566" s="53"/>
      <c r="M566" s="53"/>
      <c r="N566" s="171"/>
      <c r="O566" s="170"/>
      <c r="P566" s="53"/>
      <c r="Q566" s="53"/>
      <c r="R566" s="53"/>
      <c r="S566" s="171"/>
      <c r="T566" s="170"/>
      <c r="U566" s="53"/>
      <c r="V566" s="53"/>
      <c r="W566" s="53"/>
      <c r="X566" s="171"/>
      <c r="Y566" s="170"/>
      <c r="Z566" s="170"/>
      <c r="AA566" s="170"/>
      <c r="AB566" s="170"/>
      <c r="AC566" s="170"/>
      <c r="AD566" s="53"/>
      <c r="AE566" s="53"/>
    </row>
    <row r="567">
      <c r="A567" s="53"/>
      <c r="B567" s="53"/>
      <c r="C567" s="168"/>
      <c r="D567" s="169"/>
      <c r="E567" s="170"/>
      <c r="F567" s="53"/>
      <c r="G567" s="53"/>
      <c r="H567" s="53"/>
      <c r="I567" s="171"/>
      <c r="J567" s="170"/>
      <c r="K567" s="53"/>
      <c r="L567" s="53"/>
      <c r="M567" s="53"/>
      <c r="N567" s="171"/>
      <c r="O567" s="170"/>
      <c r="P567" s="53"/>
      <c r="Q567" s="53"/>
      <c r="R567" s="53"/>
      <c r="S567" s="171"/>
      <c r="T567" s="170"/>
      <c r="U567" s="53"/>
      <c r="V567" s="53"/>
      <c r="W567" s="53"/>
      <c r="X567" s="171"/>
      <c r="Y567" s="170"/>
      <c r="Z567" s="170"/>
      <c r="AA567" s="170"/>
      <c r="AB567" s="170"/>
      <c r="AC567" s="170"/>
      <c r="AD567" s="53"/>
      <c r="AE567" s="53"/>
    </row>
    <row r="568">
      <c r="A568" s="53"/>
      <c r="B568" s="53"/>
      <c r="C568" s="168"/>
      <c r="D568" s="169"/>
      <c r="E568" s="170"/>
      <c r="F568" s="53"/>
      <c r="G568" s="53"/>
      <c r="H568" s="53"/>
      <c r="I568" s="171"/>
      <c r="J568" s="170"/>
      <c r="K568" s="53"/>
      <c r="L568" s="53"/>
      <c r="M568" s="53"/>
      <c r="N568" s="171"/>
      <c r="O568" s="170"/>
      <c r="P568" s="53"/>
      <c r="Q568" s="53"/>
      <c r="R568" s="53"/>
      <c r="S568" s="171"/>
      <c r="T568" s="170"/>
      <c r="U568" s="53"/>
      <c r="V568" s="53"/>
      <c r="W568" s="53"/>
      <c r="X568" s="171"/>
      <c r="Y568" s="170"/>
      <c r="Z568" s="170"/>
      <c r="AA568" s="170"/>
      <c r="AB568" s="170"/>
      <c r="AC568" s="170"/>
      <c r="AD568" s="53"/>
      <c r="AE568" s="53"/>
    </row>
    <row r="569">
      <c r="A569" s="53"/>
      <c r="B569" s="53"/>
      <c r="C569" s="168"/>
      <c r="D569" s="169"/>
      <c r="E569" s="170"/>
      <c r="F569" s="53"/>
      <c r="G569" s="53"/>
      <c r="H569" s="53"/>
      <c r="I569" s="171"/>
      <c r="J569" s="170"/>
      <c r="K569" s="53"/>
      <c r="L569" s="53"/>
      <c r="M569" s="53"/>
      <c r="N569" s="171"/>
      <c r="O569" s="170"/>
      <c r="P569" s="53"/>
      <c r="Q569" s="53"/>
      <c r="R569" s="53"/>
      <c r="S569" s="171"/>
      <c r="T569" s="170"/>
      <c r="U569" s="53"/>
      <c r="V569" s="53"/>
      <c r="W569" s="53"/>
      <c r="X569" s="171"/>
      <c r="Y569" s="170"/>
      <c r="Z569" s="170"/>
      <c r="AA569" s="170"/>
      <c r="AB569" s="170"/>
      <c r="AC569" s="170"/>
      <c r="AD569" s="53"/>
      <c r="AE569" s="53"/>
    </row>
    <row r="570">
      <c r="A570" s="53"/>
      <c r="B570" s="53"/>
      <c r="C570" s="168"/>
      <c r="D570" s="169"/>
      <c r="E570" s="170"/>
      <c r="F570" s="53"/>
      <c r="G570" s="53"/>
      <c r="H570" s="53"/>
      <c r="I570" s="171"/>
      <c r="J570" s="170"/>
      <c r="K570" s="53"/>
      <c r="L570" s="53"/>
      <c r="M570" s="53"/>
      <c r="N570" s="171"/>
      <c r="O570" s="170"/>
      <c r="P570" s="53"/>
      <c r="Q570" s="53"/>
      <c r="R570" s="53"/>
      <c r="S570" s="171"/>
      <c r="T570" s="170"/>
      <c r="U570" s="53"/>
      <c r="V570" s="53"/>
      <c r="W570" s="53"/>
      <c r="X570" s="171"/>
      <c r="Y570" s="170"/>
      <c r="Z570" s="170"/>
      <c r="AA570" s="170"/>
      <c r="AB570" s="170"/>
      <c r="AC570" s="170"/>
      <c r="AD570" s="53"/>
      <c r="AE570" s="53"/>
    </row>
    <row r="571">
      <c r="A571" s="53"/>
      <c r="B571" s="53"/>
      <c r="C571" s="168"/>
      <c r="D571" s="169"/>
      <c r="E571" s="170"/>
      <c r="F571" s="53"/>
      <c r="G571" s="53"/>
      <c r="H571" s="53"/>
      <c r="I571" s="171"/>
      <c r="J571" s="170"/>
      <c r="K571" s="53"/>
      <c r="L571" s="53"/>
      <c r="M571" s="53"/>
      <c r="N571" s="171"/>
      <c r="O571" s="170"/>
      <c r="P571" s="53"/>
      <c r="Q571" s="53"/>
      <c r="R571" s="53"/>
      <c r="S571" s="171"/>
      <c r="T571" s="170"/>
      <c r="U571" s="53"/>
      <c r="V571" s="53"/>
      <c r="W571" s="53"/>
      <c r="X571" s="171"/>
      <c r="Y571" s="170"/>
      <c r="Z571" s="170"/>
      <c r="AA571" s="170"/>
      <c r="AB571" s="170"/>
      <c r="AC571" s="170"/>
      <c r="AD571" s="53"/>
      <c r="AE571" s="53"/>
    </row>
    <row r="572">
      <c r="A572" s="53"/>
      <c r="B572" s="53"/>
      <c r="C572" s="168"/>
      <c r="D572" s="169"/>
      <c r="E572" s="170"/>
      <c r="F572" s="53"/>
      <c r="G572" s="53"/>
      <c r="H572" s="53"/>
      <c r="I572" s="171"/>
      <c r="J572" s="170"/>
      <c r="K572" s="53"/>
      <c r="L572" s="53"/>
      <c r="M572" s="53"/>
      <c r="N572" s="171"/>
      <c r="O572" s="170"/>
      <c r="P572" s="53"/>
      <c r="Q572" s="53"/>
      <c r="R572" s="53"/>
      <c r="S572" s="171"/>
      <c r="T572" s="170"/>
      <c r="U572" s="53"/>
      <c r="V572" s="53"/>
      <c r="W572" s="53"/>
      <c r="X572" s="171"/>
      <c r="Y572" s="170"/>
      <c r="Z572" s="170"/>
      <c r="AA572" s="170"/>
      <c r="AB572" s="170"/>
      <c r="AC572" s="170"/>
      <c r="AD572" s="53"/>
      <c r="AE572" s="53"/>
    </row>
    <row r="573">
      <c r="A573" s="53"/>
      <c r="B573" s="53"/>
      <c r="C573" s="168"/>
      <c r="D573" s="169"/>
      <c r="E573" s="170"/>
      <c r="F573" s="53"/>
      <c r="G573" s="53"/>
      <c r="H573" s="53"/>
      <c r="I573" s="171"/>
      <c r="J573" s="170"/>
      <c r="K573" s="53"/>
      <c r="L573" s="53"/>
      <c r="M573" s="53"/>
      <c r="N573" s="171"/>
      <c r="O573" s="170"/>
      <c r="P573" s="53"/>
      <c r="Q573" s="53"/>
      <c r="R573" s="53"/>
      <c r="S573" s="171"/>
      <c r="T573" s="170"/>
      <c r="U573" s="53"/>
      <c r="V573" s="53"/>
      <c r="W573" s="53"/>
      <c r="X573" s="171"/>
      <c r="Y573" s="170"/>
      <c r="Z573" s="170"/>
      <c r="AA573" s="170"/>
      <c r="AB573" s="170"/>
      <c r="AC573" s="170"/>
      <c r="AD573" s="53"/>
      <c r="AE573" s="53"/>
    </row>
    <row r="574">
      <c r="A574" s="53"/>
      <c r="B574" s="53"/>
      <c r="C574" s="168"/>
      <c r="D574" s="169"/>
      <c r="E574" s="170"/>
      <c r="F574" s="53"/>
      <c r="G574" s="53"/>
      <c r="H574" s="53"/>
      <c r="I574" s="171"/>
      <c r="J574" s="170"/>
      <c r="K574" s="53"/>
      <c r="L574" s="53"/>
      <c r="M574" s="53"/>
      <c r="N574" s="171"/>
      <c r="O574" s="170"/>
      <c r="P574" s="53"/>
      <c r="Q574" s="53"/>
      <c r="R574" s="53"/>
      <c r="S574" s="171"/>
      <c r="T574" s="170"/>
      <c r="U574" s="53"/>
      <c r="V574" s="53"/>
      <c r="W574" s="53"/>
      <c r="X574" s="171"/>
      <c r="Y574" s="170"/>
      <c r="Z574" s="170"/>
      <c r="AA574" s="170"/>
      <c r="AB574" s="170"/>
      <c r="AC574" s="170"/>
      <c r="AD574" s="53"/>
      <c r="AE574" s="53"/>
    </row>
    <row r="575">
      <c r="A575" s="53"/>
      <c r="B575" s="53"/>
      <c r="C575" s="168"/>
      <c r="D575" s="169"/>
      <c r="E575" s="170"/>
      <c r="F575" s="53"/>
      <c r="G575" s="53"/>
      <c r="H575" s="53"/>
      <c r="I575" s="171"/>
      <c r="J575" s="170"/>
      <c r="K575" s="53"/>
      <c r="L575" s="53"/>
      <c r="M575" s="53"/>
      <c r="N575" s="171"/>
      <c r="O575" s="170"/>
      <c r="P575" s="53"/>
      <c r="Q575" s="53"/>
      <c r="R575" s="53"/>
      <c r="S575" s="171"/>
      <c r="T575" s="170"/>
      <c r="U575" s="53"/>
      <c r="V575" s="53"/>
      <c r="W575" s="53"/>
      <c r="X575" s="171"/>
      <c r="Y575" s="170"/>
      <c r="Z575" s="170"/>
      <c r="AA575" s="170"/>
      <c r="AB575" s="170"/>
      <c r="AC575" s="170"/>
      <c r="AD575" s="53"/>
      <c r="AE575" s="53"/>
    </row>
    <row r="576">
      <c r="A576" s="53"/>
      <c r="B576" s="53"/>
      <c r="C576" s="168"/>
      <c r="D576" s="169"/>
      <c r="E576" s="170"/>
      <c r="F576" s="53"/>
      <c r="G576" s="53"/>
      <c r="H576" s="53"/>
      <c r="I576" s="171"/>
      <c r="J576" s="170"/>
      <c r="K576" s="53"/>
      <c r="L576" s="53"/>
      <c r="M576" s="53"/>
      <c r="N576" s="171"/>
      <c r="O576" s="170"/>
      <c r="P576" s="53"/>
      <c r="Q576" s="53"/>
      <c r="R576" s="53"/>
      <c r="S576" s="171"/>
      <c r="T576" s="170"/>
      <c r="U576" s="53"/>
      <c r="V576" s="53"/>
      <c r="W576" s="53"/>
      <c r="X576" s="171"/>
      <c r="Y576" s="170"/>
      <c r="Z576" s="170"/>
      <c r="AA576" s="170"/>
      <c r="AB576" s="170"/>
      <c r="AC576" s="170"/>
      <c r="AD576" s="53"/>
      <c r="AE576" s="53"/>
    </row>
    <row r="577">
      <c r="A577" s="53"/>
      <c r="B577" s="53"/>
      <c r="C577" s="168"/>
      <c r="D577" s="169"/>
      <c r="E577" s="170"/>
      <c r="F577" s="53"/>
      <c r="G577" s="53"/>
      <c r="H577" s="53"/>
      <c r="I577" s="171"/>
      <c r="J577" s="170"/>
      <c r="K577" s="53"/>
      <c r="L577" s="53"/>
      <c r="M577" s="53"/>
      <c r="N577" s="171"/>
      <c r="O577" s="170"/>
      <c r="P577" s="53"/>
      <c r="Q577" s="53"/>
      <c r="R577" s="53"/>
      <c r="S577" s="171"/>
      <c r="T577" s="170"/>
      <c r="U577" s="53"/>
      <c r="V577" s="53"/>
      <c r="W577" s="53"/>
      <c r="X577" s="171"/>
      <c r="Y577" s="170"/>
      <c r="Z577" s="170"/>
      <c r="AA577" s="170"/>
      <c r="AB577" s="170"/>
      <c r="AC577" s="170"/>
      <c r="AD577" s="53"/>
      <c r="AE577" s="53"/>
    </row>
    <row r="578">
      <c r="A578" s="53"/>
      <c r="B578" s="53"/>
      <c r="C578" s="168"/>
      <c r="D578" s="169"/>
      <c r="E578" s="170"/>
      <c r="F578" s="53"/>
      <c r="G578" s="53"/>
      <c r="H578" s="53"/>
      <c r="I578" s="171"/>
      <c r="J578" s="170"/>
      <c r="K578" s="53"/>
      <c r="L578" s="53"/>
      <c r="M578" s="53"/>
      <c r="N578" s="171"/>
      <c r="O578" s="170"/>
      <c r="P578" s="53"/>
      <c r="Q578" s="53"/>
      <c r="R578" s="53"/>
      <c r="S578" s="171"/>
      <c r="T578" s="170"/>
      <c r="U578" s="53"/>
      <c r="V578" s="53"/>
      <c r="W578" s="53"/>
      <c r="X578" s="171"/>
      <c r="Y578" s="170"/>
      <c r="Z578" s="170"/>
      <c r="AA578" s="170"/>
      <c r="AB578" s="170"/>
      <c r="AC578" s="170"/>
      <c r="AD578" s="53"/>
      <c r="AE578" s="53"/>
    </row>
    <row r="579">
      <c r="A579" s="53"/>
      <c r="B579" s="53"/>
      <c r="C579" s="168"/>
      <c r="D579" s="169"/>
      <c r="E579" s="170"/>
      <c r="F579" s="53"/>
      <c r="G579" s="53"/>
      <c r="H579" s="53"/>
      <c r="I579" s="171"/>
      <c r="J579" s="170"/>
      <c r="K579" s="53"/>
      <c r="L579" s="53"/>
      <c r="M579" s="53"/>
      <c r="N579" s="171"/>
      <c r="O579" s="170"/>
      <c r="P579" s="53"/>
      <c r="Q579" s="53"/>
      <c r="R579" s="53"/>
      <c r="S579" s="171"/>
      <c r="T579" s="170"/>
      <c r="U579" s="53"/>
      <c r="V579" s="53"/>
      <c r="W579" s="53"/>
      <c r="X579" s="171"/>
      <c r="Y579" s="170"/>
      <c r="Z579" s="170"/>
      <c r="AA579" s="170"/>
      <c r="AB579" s="170"/>
      <c r="AC579" s="170"/>
      <c r="AD579" s="53"/>
      <c r="AE579" s="53"/>
    </row>
    <row r="580">
      <c r="A580" s="53"/>
      <c r="B580" s="53"/>
      <c r="C580" s="168"/>
      <c r="D580" s="169"/>
      <c r="E580" s="170"/>
      <c r="F580" s="53"/>
      <c r="G580" s="53"/>
      <c r="H580" s="53"/>
      <c r="I580" s="171"/>
      <c r="J580" s="170"/>
      <c r="K580" s="53"/>
      <c r="L580" s="53"/>
      <c r="M580" s="53"/>
      <c r="N580" s="171"/>
      <c r="O580" s="170"/>
      <c r="P580" s="53"/>
      <c r="Q580" s="53"/>
      <c r="R580" s="53"/>
      <c r="S580" s="171"/>
      <c r="T580" s="170"/>
      <c r="U580" s="53"/>
      <c r="V580" s="53"/>
      <c r="W580" s="53"/>
      <c r="X580" s="171"/>
      <c r="Y580" s="170"/>
      <c r="Z580" s="170"/>
      <c r="AA580" s="170"/>
      <c r="AB580" s="170"/>
      <c r="AC580" s="170"/>
      <c r="AD580" s="53"/>
      <c r="AE580" s="53"/>
    </row>
    <row r="581">
      <c r="A581" s="53"/>
      <c r="B581" s="53"/>
      <c r="C581" s="168"/>
      <c r="D581" s="169"/>
      <c r="E581" s="170"/>
      <c r="F581" s="53"/>
      <c r="G581" s="53"/>
      <c r="H581" s="53"/>
      <c r="I581" s="171"/>
      <c r="J581" s="170"/>
      <c r="K581" s="53"/>
      <c r="L581" s="53"/>
      <c r="M581" s="53"/>
      <c r="N581" s="171"/>
      <c r="O581" s="170"/>
      <c r="P581" s="53"/>
      <c r="Q581" s="53"/>
      <c r="R581" s="53"/>
      <c r="S581" s="171"/>
      <c r="T581" s="170"/>
      <c r="U581" s="53"/>
      <c r="V581" s="53"/>
      <c r="W581" s="53"/>
      <c r="X581" s="171"/>
      <c r="Y581" s="170"/>
      <c r="Z581" s="170"/>
      <c r="AA581" s="170"/>
      <c r="AB581" s="170"/>
      <c r="AC581" s="170"/>
      <c r="AD581" s="53"/>
      <c r="AE581" s="53"/>
    </row>
    <row r="582">
      <c r="A582" s="53"/>
      <c r="B582" s="53"/>
      <c r="C582" s="168"/>
      <c r="D582" s="169"/>
      <c r="E582" s="170"/>
      <c r="F582" s="53"/>
      <c r="G582" s="53"/>
      <c r="H582" s="53"/>
      <c r="I582" s="171"/>
      <c r="J582" s="170"/>
      <c r="K582" s="53"/>
      <c r="L582" s="53"/>
      <c r="M582" s="53"/>
      <c r="N582" s="171"/>
      <c r="O582" s="170"/>
      <c r="P582" s="53"/>
      <c r="Q582" s="53"/>
      <c r="R582" s="53"/>
      <c r="S582" s="171"/>
      <c r="T582" s="170"/>
      <c r="U582" s="53"/>
      <c r="V582" s="53"/>
      <c r="W582" s="53"/>
      <c r="X582" s="171"/>
      <c r="Y582" s="170"/>
      <c r="Z582" s="170"/>
      <c r="AA582" s="170"/>
      <c r="AB582" s="170"/>
      <c r="AC582" s="170"/>
      <c r="AD582" s="53"/>
      <c r="AE582" s="53"/>
    </row>
    <row r="583">
      <c r="A583" s="53"/>
      <c r="B583" s="53"/>
      <c r="C583" s="168"/>
      <c r="D583" s="169"/>
      <c r="E583" s="170"/>
      <c r="F583" s="53"/>
      <c r="G583" s="53"/>
      <c r="H583" s="53"/>
      <c r="I583" s="171"/>
      <c r="J583" s="170"/>
      <c r="K583" s="53"/>
      <c r="L583" s="53"/>
      <c r="M583" s="53"/>
      <c r="N583" s="171"/>
      <c r="O583" s="170"/>
      <c r="P583" s="53"/>
      <c r="Q583" s="53"/>
      <c r="R583" s="53"/>
      <c r="S583" s="171"/>
      <c r="T583" s="170"/>
      <c r="U583" s="53"/>
      <c r="V583" s="53"/>
      <c r="W583" s="53"/>
      <c r="X583" s="171"/>
      <c r="Y583" s="170"/>
      <c r="Z583" s="170"/>
      <c r="AA583" s="170"/>
      <c r="AB583" s="170"/>
      <c r="AC583" s="170"/>
      <c r="AD583" s="53"/>
      <c r="AE583" s="53"/>
    </row>
    <row r="584">
      <c r="A584" s="53"/>
      <c r="B584" s="53"/>
      <c r="C584" s="168"/>
      <c r="D584" s="169"/>
      <c r="E584" s="170"/>
      <c r="F584" s="53"/>
      <c r="G584" s="53"/>
      <c r="H584" s="53"/>
      <c r="I584" s="171"/>
      <c r="J584" s="170"/>
      <c r="K584" s="53"/>
      <c r="L584" s="53"/>
      <c r="M584" s="53"/>
      <c r="N584" s="171"/>
      <c r="O584" s="170"/>
      <c r="P584" s="53"/>
      <c r="Q584" s="53"/>
      <c r="R584" s="53"/>
      <c r="S584" s="171"/>
      <c r="T584" s="170"/>
      <c r="U584" s="53"/>
      <c r="V584" s="53"/>
      <c r="W584" s="53"/>
      <c r="X584" s="171"/>
      <c r="Y584" s="170"/>
      <c r="Z584" s="170"/>
      <c r="AA584" s="170"/>
      <c r="AB584" s="170"/>
      <c r="AC584" s="170"/>
      <c r="AD584" s="53"/>
      <c r="AE584" s="53"/>
    </row>
    <row r="585">
      <c r="A585" s="53"/>
      <c r="B585" s="53"/>
      <c r="C585" s="168"/>
      <c r="D585" s="169"/>
      <c r="E585" s="170"/>
      <c r="F585" s="53"/>
      <c r="G585" s="53"/>
      <c r="H585" s="53"/>
      <c r="I585" s="171"/>
      <c r="J585" s="170"/>
      <c r="K585" s="53"/>
      <c r="L585" s="53"/>
      <c r="M585" s="53"/>
      <c r="N585" s="171"/>
      <c r="O585" s="170"/>
      <c r="P585" s="53"/>
      <c r="Q585" s="53"/>
      <c r="R585" s="53"/>
      <c r="S585" s="171"/>
      <c r="T585" s="170"/>
      <c r="U585" s="53"/>
      <c r="V585" s="53"/>
      <c r="W585" s="53"/>
      <c r="X585" s="171"/>
      <c r="Y585" s="170"/>
      <c r="Z585" s="170"/>
      <c r="AA585" s="170"/>
      <c r="AB585" s="170"/>
      <c r="AC585" s="170"/>
      <c r="AD585" s="53"/>
      <c r="AE585" s="53"/>
    </row>
    <row r="586">
      <c r="A586" s="53"/>
      <c r="B586" s="53"/>
      <c r="C586" s="168"/>
      <c r="D586" s="169"/>
      <c r="E586" s="170"/>
      <c r="F586" s="53"/>
      <c r="G586" s="53"/>
      <c r="H586" s="53"/>
      <c r="I586" s="171"/>
      <c r="J586" s="170"/>
      <c r="K586" s="53"/>
      <c r="L586" s="53"/>
      <c r="M586" s="53"/>
      <c r="N586" s="171"/>
      <c r="O586" s="170"/>
      <c r="P586" s="53"/>
      <c r="Q586" s="53"/>
      <c r="R586" s="53"/>
      <c r="S586" s="171"/>
      <c r="T586" s="170"/>
      <c r="U586" s="53"/>
      <c r="V586" s="53"/>
      <c r="W586" s="53"/>
      <c r="X586" s="171"/>
      <c r="Y586" s="170"/>
      <c r="Z586" s="170"/>
      <c r="AA586" s="170"/>
      <c r="AB586" s="170"/>
      <c r="AC586" s="170"/>
      <c r="AD586" s="53"/>
      <c r="AE586" s="53"/>
    </row>
    <row r="587">
      <c r="A587" s="53"/>
      <c r="B587" s="53"/>
      <c r="C587" s="168"/>
      <c r="D587" s="169"/>
      <c r="E587" s="170"/>
      <c r="F587" s="53"/>
      <c r="G587" s="53"/>
      <c r="H587" s="53"/>
      <c r="I587" s="171"/>
      <c r="J587" s="170"/>
      <c r="K587" s="53"/>
      <c r="L587" s="53"/>
      <c r="M587" s="53"/>
      <c r="N587" s="171"/>
      <c r="O587" s="170"/>
      <c r="P587" s="53"/>
      <c r="Q587" s="53"/>
      <c r="R587" s="53"/>
      <c r="S587" s="171"/>
      <c r="T587" s="170"/>
      <c r="U587" s="53"/>
      <c r="V587" s="53"/>
      <c r="W587" s="53"/>
      <c r="X587" s="171"/>
      <c r="Y587" s="170"/>
      <c r="Z587" s="170"/>
      <c r="AA587" s="170"/>
      <c r="AB587" s="170"/>
      <c r="AC587" s="170"/>
      <c r="AD587" s="53"/>
      <c r="AE587" s="53"/>
    </row>
    <row r="588">
      <c r="A588" s="53"/>
      <c r="B588" s="53"/>
      <c r="C588" s="168"/>
      <c r="D588" s="169"/>
      <c r="E588" s="170"/>
      <c r="F588" s="53"/>
      <c r="G588" s="53"/>
      <c r="H588" s="53"/>
      <c r="I588" s="171"/>
      <c r="J588" s="170"/>
      <c r="K588" s="53"/>
      <c r="L588" s="53"/>
      <c r="M588" s="53"/>
      <c r="N588" s="171"/>
      <c r="O588" s="170"/>
      <c r="P588" s="53"/>
      <c r="Q588" s="53"/>
      <c r="R588" s="53"/>
      <c r="S588" s="171"/>
      <c r="T588" s="170"/>
      <c r="U588" s="53"/>
      <c r="V588" s="53"/>
      <c r="W588" s="53"/>
      <c r="X588" s="171"/>
      <c r="Y588" s="170"/>
      <c r="Z588" s="170"/>
      <c r="AA588" s="170"/>
      <c r="AB588" s="170"/>
      <c r="AC588" s="170"/>
      <c r="AD588" s="53"/>
      <c r="AE588" s="53"/>
    </row>
    <row r="589">
      <c r="A589" s="53"/>
      <c r="B589" s="53"/>
      <c r="C589" s="168"/>
      <c r="D589" s="169"/>
      <c r="E589" s="170"/>
      <c r="F589" s="53"/>
      <c r="G589" s="53"/>
      <c r="H589" s="53"/>
      <c r="I589" s="171"/>
      <c r="J589" s="170"/>
      <c r="K589" s="53"/>
      <c r="L589" s="53"/>
      <c r="M589" s="53"/>
      <c r="N589" s="171"/>
      <c r="O589" s="170"/>
      <c r="P589" s="53"/>
      <c r="Q589" s="53"/>
      <c r="R589" s="53"/>
      <c r="S589" s="171"/>
      <c r="T589" s="170"/>
      <c r="U589" s="53"/>
      <c r="V589" s="53"/>
      <c r="W589" s="53"/>
      <c r="X589" s="171"/>
      <c r="Y589" s="170"/>
      <c r="Z589" s="170"/>
      <c r="AA589" s="170"/>
      <c r="AB589" s="170"/>
      <c r="AC589" s="170"/>
      <c r="AD589" s="53"/>
      <c r="AE589" s="53"/>
    </row>
    <row r="590">
      <c r="A590" s="53"/>
      <c r="B590" s="53"/>
      <c r="C590" s="168"/>
      <c r="D590" s="169"/>
      <c r="E590" s="170"/>
      <c r="F590" s="53"/>
      <c r="G590" s="53"/>
      <c r="H590" s="53"/>
      <c r="I590" s="171"/>
      <c r="J590" s="170"/>
      <c r="K590" s="53"/>
      <c r="L590" s="53"/>
      <c r="M590" s="53"/>
      <c r="N590" s="171"/>
      <c r="O590" s="170"/>
      <c r="P590" s="53"/>
      <c r="Q590" s="53"/>
      <c r="R590" s="53"/>
      <c r="S590" s="171"/>
      <c r="T590" s="170"/>
      <c r="U590" s="53"/>
      <c r="V590" s="53"/>
      <c r="W590" s="53"/>
      <c r="X590" s="171"/>
      <c r="Y590" s="170"/>
      <c r="Z590" s="170"/>
      <c r="AA590" s="170"/>
      <c r="AB590" s="170"/>
      <c r="AC590" s="170"/>
      <c r="AD590" s="53"/>
      <c r="AE590" s="53"/>
    </row>
    <row r="591">
      <c r="A591" s="53"/>
      <c r="B591" s="53"/>
      <c r="C591" s="168"/>
      <c r="D591" s="169"/>
      <c r="E591" s="170"/>
      <c r="F591" s="53"/>
      <c r="G591" s="53"/>
      <c r="H591" s="53"/>
      <c r="I591" s="171"/>
      <c r="J591" s="170"/>
      <c r="K591" s="53"/>
      <c r="L591" s="53"/>
      <c r="M591" s="53"/>
      <c r="N591" s="171"/>
      <c r="O591" s="170"/>
      <c r="P591" s="53"/>
      <c r="Q591" s="53"/>
      <c r="R591" s="53"/>
      <c r="S591" s="171"/>
      <c r="T591" s="170"/>
      <c r="U591" s="53"/>
      <c r="V591" s="53"/>
      <c r="W591" s="53"/>
      <c r="X591" s="171"/>
      <c r="Y591" s="170"/>
      <c r="Z591" s="170"/>
      <c r="AA591" s="170"/>
      <c r="AB591" s="170"/>
      <c r="AC591" s="170"/>
      <c r="AD591" s="53"/>
      <c r="AE591" s="53"/>
    </row>
    <row r="592">
      <c r="A592" s="53"/>
      <c r="B592" s="53"/>
      <c r="C592" s="168"/>
      <c r="D592" s="169"/>
      <c r="E592" s="170"/>
      <c r="F592" s="53"/>
      <c r="G592" s="53"/>
      <c r="H592" s="53"/>
      <c r="I592" s="171"/>
      <c r="J592" s="170"/>
      <c r="K592" s="53"/>
      <c r="L592" s="53"/>
      <c r="M592" s="53"/>
      <c r="N592" s="171"/>
      <c r="O592" s="170"/>
      <c r="P592" s="53"/>
      <c r="Q592" s="53"/>
      <c r="R592" s="53"/>
      <c r="S592" s="171"/>
      <c r="T592" s="170"/>
      <c r="U592" s="53"/>
      <c r="V592" s="53"/>
      <c r="W592" s="53"/>
      <c r="X592" s="171"/>
      <c r="Y592" s="170"/>
      <c r="Z592" s="170"/>
      <c r="AA592" s="170"/>
      <c r="AB592" s="170"/>
      <c r="AC592" s="170"/>
      <c r="AD592" s="53"/>
      <c r="AE592" s="53"/>
    </row>
    <row r="593">
      <c r="A593" s="53"/>
      <c r="B593" s="53"/>
      <c r="C593" s="168"/>
      <c r="D593" s="169"/>
      <c r="E593" s="170"/>
      <c r="F593" s="53"/>
      <c r="G593" s="53"/>
      <c r="H593" s="53"/>
      <c r="I593" s="171"/>
      <c r="J593" s="170"/>
      <c r="K593" s="53"/>
      <c r="L593" s="53"/>
      <c r="M593" s="53"/>
      <c r="N593" s="171"/>
      <c r="O593" s="170"/>
      <c r="P593" s="53"/>
      <c r="Q593" s="53"/>
      <c r="R593" s="53"/>
      <c r="S593" s="171"/>
      <c r="T593" s="170"/>
      <c r="U593" s="53"/>
      <c r="V593" s="53"/>
      <c r="W593" s="53"/>
      <c r="X593" s="171"/>
      <c r="Y593" s="170"/>
      <c r="Z593" s="170"/>
      <c r="AA593" s="170"/>
      <c r="AB593" s="170"/>
      <c r="AC593" s="170"/>
      <c r="AD593" s="53"/>
      <c r="AE593" s="53"/>
    </row>
    <row r="594">
      <c r="A594" s="53"/>
      <c r="B594" s="53"/>
      <c r="C594" s="168"/>
      <c r="D594" s="169"/>
      <c r="E594" s="170"/>
      <c r="F594" s="53"/>
      <c r="G594" s="53"/>
      <c r="H594" s="53"/>
      <c r="I594" s="171"/>
      <c r="J594" s="170"/>
      <c r="K594" s="53"/>
      <c r="L594" s="53"/>
      <c r="M594" s="53"/>
      <c r="N594" s="171"/>
      <c r="O594" s="170"/>
      <c r="P594" s="53"/>
      <c r="Q594" s="53"/>
      <c r="R594" s="53"/>
      <c r="S594" s="171"/>
      <c r="T594" s="170"/>
      <c r="U594" s="53"/>
      <c r="V594" s="53"/>
      <c r="W594" s="53"/>
      <c r="X594" s="171"/>
      <c r="Y594" s="170"/>
      <c r="Z594" s="170"/>
      <c r="AA594" s="170"/>
      <c r="AB594" s="170"/>
      <c r="AC594" s="170"/>
      <c r="AD594" s="53"/>
      <c r="AE594" s="53"/>
    </row>
    <row r="595">
      <c r="A595" s="53"/>
      <c r="B595" s="53"/>
      <c r="C595" s="168"/>
      <c r="D595" s="169"/>
      <c r="E595" s="170"/>
      <c r="F595" s="53"/>
      <c r="G595" s="53"/>
      <c r="H595" s="53"/>
      <c r="I595" s="171"/>
      <c r="J595" s="170"/>
      <c r="K595" s="53"/>
      <c r="L595" s="53"/>
      <c r="M595" s="53"/>
      <c r="N595" s="171"/>
      <c r="O595" s="170"/>
      <c r="P595" s="53"/>
      <c r="Q595" s="53"/>
      <c r="R595" s="53"/>
      <c r="S595" s="171"/>
      <c r="T595" s="170"/>
      <c r="U595" s="53"/>
      <c r="V595" s="53"/>
      <c r="W595" s="53"/>
      <c r="X595" s="171"/>
      <c r="Y595" s="170"/>
      <c r="Z595" s="170"/>
      <c r="AA595" s="170"/>
      <c r="AB595" s="170"/>
      <c r="AC595" s="170"/>
      <c r="AD595" s="53"/>
      <c r="AE595" s="53"/>
    </row>
    <row r="596">
      <c r="A596" s="53"/>
      <c r="B596" s="53"/>
      <c r="C596" s="168"/>
      <c r="D596" s="169"/>
      <c r="E596" s="170"/>
      <c r="F596" s="53"/>
      <c r="G596" s="53"/>
      <c r="H596" s="53"/>
      <c r="I596" s="171"/>
      <c r="J596" s="170"/>
      <c r="K596" s="53"/>
      <c r="L596" s="53"/>
      <c r="M596" s="53"/>
      <c r="N596" s="171"/>
      <c r="O596" s="170"/>
      <c r="P596" s="53"/>
      <c r="Q596" s="53"/>
      <c r="R596" s="53"/>
      <c r="S596" s="171"/>
      <c r="T596" s="170"/>
      <c r="U596" s="53"/>
      <c r="V596" s="53"/>
      <c r="W596" s="53"/>
      <c r="X596" s="171"/>
      <c r="Y596" s="170"/>
      <c r="Z596" s="170"/>
      <c r="AA596" s="170"/>
      <c r="AB596" s="170"/>
      <c r="AC596" s="170"/>
      <c r="AD596" s="53"/>
      <c r="AE596" s="53"/>
    </row>
    <row r="597">
      <c r="A597" s="53"/>
      <c r="B597" s="53"/>
      <c r="C597" s="168"/>
      <c r="D597" s="169"/>
      <c r="E597" s="170"/>
      <c r="F597" s="53"/>
      <c r="G597" s="53"/>
      <c r="H597" s="53"/>
      <c r="I597" s="171"/>
      <c r="J597" s="170"/>
      <c r="K597" s="53"/>
      <c r="L597" s="53"/>
      <c r="M597" s="53"/>
      <c r="N597" s="171"/>
      <c r="O597" s="170"/>
      <c r="P597" s="53"/>
      <c r="Q597" s="53"/>
      <c r="R597" s="53"/>
      <c r="S597" s="171"/>
      <c r="T597" s="170"/>
      <c r="U597" s="53"/>
      <c r="V597" s="53"/>
      <c r="W597" s="53"/>
      <c r="X597" s="171"/>
      <c r="Y597" s="170"/>
      <c r="Z597" s="170"/>
      <c r="AA597" s="170"/>
      <c r="AB597" s="170"/>
      <c r="AC597" s="170"/>
      <c r="AD597" s="53"/>
      <c r="AE597" s="53"/>
    </row>
    <row r="598">
      <c r="A598" s="53"/>
      <c r="B598" s="53"/>
      <c r="C598" s="168"/>
      <c r="D598" s="169"/>
      <c r="E598" s="170"/>
      <c r="F598" s="53"/>
      <c r="G598" s="53"/>
      <c r="H598" s="53"/>
      <c r="I598" s="171"/>
      <c r="J598" s="170"/>
      <c r="K598" s="53"/>
      <c r="L598" s="53"/>
      <c r="M598" s="53"/>
      <c r="N598" s="171"/>
      <c r="O598" s="170"/>
      <c r="P598" s="53"/>
      <c r="Q598" s="53"/>
      <c r="R598" s="53"/>
      <c r="S598" s="171"/>
      <c r="T598" s="170"/>
      <c r="U598" s="53"/>
      <c r="V598" s="53"/>
      <c r="W598" s="53"/>
      <c r="X598" s="171"/>
      <c r="Y598" s="170"/>
      <c r="Z598" s="170"/>
      <c r="AA598" s="170"/>
      <c r="AB598" s="170"/>
      <c r="AC598" s="170"/>
      <c r="AD598" s="53"/>
      <c r="AE598" s="53"/>
    </row>
    <row r="599">
      <c r="A599" s="53"/>
      <c r="B599" s="53"/>
      <c r="C599" s="168"/>
      <c r="D599" s="169"/>
      <c r="E599" s="170"/>
      <c r="F599" s="53"/>
      <c r="G599" s="53"/>
      <c r="H599" s="53"/>
      <c r="I599" s="171"/>
      <c r="J599" s="170"/>
      <c r="K599" s="53"/>
      <c r="L599" s="53"/>
      <c r="M599" s="53"/>
      <c r="N599" s="171"/>
      <c r="O599" s="170"/>
      <c r="P599" s="53"/>
      <c r="Q599" s="53"/>
      <c r="R599" s="53"/>
      <c r="S599" s="171"/>
      <c r="T599" s="170"/>
      <c r="U599" s="53"/>
      <c r="V599" s="53"/>
      <c r="W599" s="53"/>
      <c r="X599" s="171"/>
      <c r="Y599" s="170"/>
      <c r="Z599" s="170"/>
      <c r="AA599" s="170"/>
      <c r="AB599" s="170"/>
      <c r="AC599" s="170"/>
      <c r="AD599" s="53"/>
      <c r="AE599" s="53"/>
    </row>
    <row r="600">
      <c r="A600" s="53"/>
      <c r="B600" s="53"/>
      <c r="C600" s="168"/>
      <c r="D600" s="169"/>
      <c r="E600" s="170"/>
      <c r="F600" s="53"/>
      <c r="G600" s="53"/>
      <c r="H600" s="53"/>
      <c r="I600" s="171"/>
      <c r="J600" s="170"/>
      <c r="K600" s="53"/>
      <c r="L600" s="53"/>
      <c r="M600" s="53"/>
      <c r="N600" s="171"/>
      <c r="O600" s="170"/>
      <c r="P600" s="53"/>
      <c r="Q600" s="53"/>
      <c r="R600" s="53"/>
      <c r="S600" s="171"/>
      <c r="T600" s="170"/>
      <c r="U600" s="53"/>
      <c r="V600" s="53"/>
      <c r="W600" s="53"/>
      <c r="X600" s="171"/>
      <c r="Y600" s="170"/>
      <c r="Z600" s="170"/>
      <c r="AA600" s="170"/>
      <c r="AB600" s="170"/>
      <c r="AC600" s="170"/>
      <c r="AD600" s="53"/>
      <c r="AE600" s="53"/>
    </row>
    <row r="601">
      <c r="A601" s="53"/>
      <c r="B601" s="53"/>
      <c r="C601" s="168"/>
      <c r="D601" s="169"/>
      <c r="E601" s="170"/>
      <c r="F601" s="53"/>
      <c r="G601" s="53"/>
      <c r="H601" s="53"/>
      <c r="I601" s="171"/>
      <c r="J601" s="170"/>
      <c r="K601" s="53"/>
      <c r="L601" s="53"/>
      <c r="M601" s="53"/>
      <c r="N601" s="171"/>
      <c r="O601" s="170"/>
      <c r="P601" s="53"/>
      <c r="Q601" s="53"/>
      <c r="R601" s="53"/>
      <c r="S601" s="171"/>
      <c r="T601" s="170"/>
      <c r="U601" s="53"/>
      <c r="V601" s="53"/>
      <c r="W601" s="53"/>
      <c r="X601" s="171"/>
      <c r="Y601" s="170"/>
      <c r="Z601" s="170"/>
      <c r="AA601" s="170"/>
      <c r="AB601" s="170"/>
      <c r="AC601" s="170"/>
      <c r="AD601" s="53"/>
      <c r="AE601" s="53"/>
    </row>
    <row r="602">
      <c r="A602" s="53"/>
      <c r="B602" s="53"/>
      <c r="C602" s="168"/>
      <c r="D602" s="169"/>
      <c r="E602" s="170"/>
      <c r="F602" s="53"/>
      <c r="G602" s="53"/>
      <c r="H602" s="53"/>
      <c r="I602" s="171"/>
      <c r="J602" s="170"/>
      <c r="K602" s="53"/>
      <c r="L602" s="53"/>
      <c r="M602" s="53"/>
      <c r="N602" s="171"/>
      <c r="O602" s="170"/>
      <c r="P602" s="53"/>
      <c r="Q602" s="53"/>
      <c r="R602" s="53"/>
      <c r="S602" s="171"/>
      <c r="T602" s="170"/>
      <c r="U602" s="53"/>
      <c r="V602" s="53"/>
      <c r="W602" s="53"/>
      <c r="X602" s="171"/>
      <c r="Y602" s="170"/>
      <c r="Z602" s="170"/>
      <c r="AA602" s="170"/>
      <c r="AB602" s="170"/>
      <c r="AC602" s="170"/>
      <c r="AD602" s="53"/>
      <c r="AE602" s="53"/>
    </row>
    <row r="603">
      <c r="A603" s="53"/>
      <c r="B603" s="53"/>
      <c r="C603" s="168"/>
      <c r="D603" s="169"/>
      <c r="E603" s="170"/>
      <c r="F603" s="53"/>
      <c r="G603" s="53"/>
      <c r="H603" s="53"/>
      <c r="I603" s="171"/>
      <c r="J603" s="170"/>
      <c r="K603" s="53"/>
      <c r="L603" s="53"/>
      <c r="M603" s="53"/>
      <c r="N603" s="171"/>
      <c r="O603" s="170"/>
      <c r="P603" s="53"/>
      <c r="Q603" s="53"/>
      <c r="R603" s="53"/>
      <c r="S603" s="171"/>
      <c r="T603" s="170"/>
      <c r="U603" s="53"/>
      <c r="V603" s="53"/>
      <c r="W603" s="53"/>
      <c r="X603" s="171"/>
      <c r="Y603" s="170"/>
      <c r="Z603" s="170"/>
      <c r="AA603" s="170"/>
      <c r="AB603" s="170"/>
      <c r="AC603" s="170"/>
      <c r="AD603" s="53"/>
      <c r="AE603" s="53"/>
    </row>
    <row r="604">
      <c r="A604" s="53"/>
      <c r="B604" s="53"/>
      <c r="C604" s="168"/>
      <c r="D604" s="169"/>
      <c r="E604" s="170"/>
      <c r="F604" s="53"/>
      <c r="G604" s="53"/>
      <c r="H604" s="53"/>
      <c r="I604" s="171"/>
      <c r="J604" s="170"/>
      <c r="K604" s="53"/>
      <c r="L604" s="53"/>
      <c r="M604" s="53"/>
      <c r="N604" s="171"/>
      <c r="O604" s="170"/>
      <c r="P604" s="53"/>
      <c r="Q604" s="53"/>
      <c r="R604" s="53"/>
      <c r="S604" s="171"/>
      <c r="T604" s="170"/>
      <c r="U604" s="53"/>
      <c r="V604" s="53"/>
      <c r="W604" s="53"/>
      <c r="X604" s="171"/>
      <c r="Y604" s="170"/>
      <c r="Z604" s="170"/>
      <c r="AA604" s="170"/>
      <c r="AB604" s="170"/>
      <c r="AC604" s="170"/>
      <c r="AD604" s="53"/>
      <c r="AE604" s="53"/>
    </row>
    <row r="605">
      <c r="A605" s="53"/>
      <c r="B605" s="53"/>
      <c r="C605" s="168"/>
      <c r="D605" s="169"/>
      <c r="E605" s="170"/>
      <c r="F605" s="53"/>
      <c r="G605" s="53"/>
      <c r="H605" s="53"/>
      <c r="I605" s="171"/>
      <c r="J605" s="170"/>
      <c r="K605" s="53"/>
      <c r="L605" s="53"/>
      <c r="M605" s="53"/>
      <c r="N605" s="171"/>
      <c r="O605" s="170"/>
      <c r="P605" s="53"/>
      <c r="Q605" s="53"/>
      <c r="R605" s="53"/>
      <c r="S605" s="171"/>
      <c r="T605" s="170"/>
      <c r="U605" s="53"/>
      <c r="V605" s="53"/>
      <c r="W605" s="53"/>
      <c r="X605" s="171"/>
      <c r="Y605" s="170"/>
      <c r="Z605" s="170"/>
      <c r="AA605" s="170"/>
      <c r="AB605" s="170"/>
      <c r="AC605" s="170"/>
      <c r="AD605" s="53"/>
      <c r="AE605" s="53"/>
    </row>
    <row r="606">
      <c r="A606" s="53"/>
      <c r="B606" s="53"/>
      <c r="C606" s="168"/>
      <c r="D606" s="169"/>
      <c r="E606" s="170"/>
      <c r="F606" s="53"/>
      <c r="G606" s="53"/>
      <c r="H606" s="53"/>
      <c r="I606" s="171"/>
      <c r="J606" s="170"/>
      <c r="K606" s="53"/>
      <c r="L606" s="53"/>
      <c r="M606" s="53"/>
      <c r="N606" s="171"/>
      <c r="O606" s="170"/>
      <c r="P606" s="53"/>
      <c r="Q606" s="53"/>
      <c r="R606" s="53"/>
      <c r="S606" s="171"/>
      <c r="T606" s="170"/>
      <c r="U606" s="53"/>
      <c r="V606" s="53"/>
      <c r="W606" s="53"/>
      <c r="X606" s="171"/>
      <c r="Y606" s="170"/>
      <c r="Z606" s="170"/>
      <c r="AA606" s="170"/>
      <c r="AB606" s="170"/>
      <c r="AC606" s="170"/>
      <c r="AD606" s="53"/>
      <c r="AE606" s="53"/>
    </row>
    <row r="607">
      <c r="A607" s="53"/>
      <c r="B607" s="53"/>
      <c r="C607" s="168"/>
      <c r="D607" s="169"/>
      <c r="E607" s="170"/>
      <c r="F607" s="53"/>
      <c r="G607" s="53"/>
      <c r="H607" s="53"/>
      <c r="I607" s="171"/>
      <c r="J607" s="170"/>
      <c r="K607" s="53"/>
      <c r="L607" s="53"/>
      <c r="M607" s="53"/>
      <c r="N607" s="171"/>
      <c r="O607" s="170"/>
      <c r="P607" s="53"/>
      <c r="Q607" s="53"/>
      <c r="R607" s="53"/>
      <c r="S607" s="171"/>
      <c r="T607" s="170"/>
      <c r="U607" s="53"/>
      <c r="V607" s="53"/>
      <c r="W607" s="53"/>
      <c r="X607" s="171"/>
      <c r="Y607" s="170"/>
      <c r="Z607" s="170"/>
      <c r="AA607" s="170"/>
      <c r="AB607" s="170"/>
      <c r="AC607" s="170"/>
      <c r="AD607" s="53"/>
      <c r="AE607" s="53"/>
    </row>
    <row r="608">
      <c r="A608" s="53"/>
      <c r="B608" s="53"/>
      <c r="C608" s="168"/>
      <c r="D608" s="169"/>
      <c r="E608" s="170"/>
      <c r="F608" s="53"/>
      <c r="G608" s="53"/>
      <c r="H608" s="53"/>
      <c r="I608" s="171"/>
      <c r="J608" s="170"/>
      <c r="K608" s="53"/>
      <c r="L608" s="53"/>
      <c r="M608" s="53"/>
      <c r="N608" s="171"/>
      <c r="O608" s="170"/>
      <c r="P608" s="53"/>
      <c r="Q608" s="53"/>
      <c r="R608" s="53"/>
      <c r="S608" s="171"/>
      <c r="T608" s="170"/>
      <c r="U608" s="53"/>
      <c r="V608" s="53"/>
      <c r="W608" s="53"/>
      <c r="X608" s="171"/>
      <c r="Y608" s="170"/>
      <c r="Z608" s="170"/>
      <c r="AA608" s="170"/>
      <c r="AB608" s="170"/>
      <c r="AC608" s="170"/>
      <c r="AD608" s="53"/>
      <c r="AE608" s="53"/>
    </row>
    <row r="609">
      <c r="A609" s="53"/>
      <c r="B609" s="53"/>
      <c r="C609" s="168"/>
      <c r="D609" s="169"/>
      <c r="E609" s="170"/>
      <c r="F609" s="53"/>
      <c r="G609" s="53"/>
      <c r="H609" s="53"/>
      <c r="I609" s="171"/>
      <c r="J609" s="170"/>
      <c r="K609" s="53"/>
      <c r="L609" s="53"/>
      <c r="M609" s="53"/>
      <c r="N609" s="171"/>
      <c r="O609" s="170"/>
      <c r="P609" s="53"/>
      <c r="Q609" s="53"/>
      <c r="R609" s="53"/>
      <c r="S609" s="171"/>
      <c r="T609" s="170"/>
      <c r="U609" s="53"/>
      <c r="V609" s="53"/>
      <c r="W609" s="53"/>
      <c r="X609" s="171"/>
      <c r="Y609" s="170"/>
      <c r="Z609" s="170"/>
      <c r="AA609" s="170"/>
      <c r="AB609" s="170"/>
      <c r="AC609" s="170"/>
      <c r="AD609" s="53"/>
      <c r="AE609" s="53"/>
    </row>
    <row r="610">
      <c r="A610" s="53"/>
      <c r="B610" s="53"/>
      <c r="C610" s="168"/>
      <c r="D610" s="169"/>
      <c r="E610" s="170"/>
      <c r="F610" s="53"/>
      <c r="G610" s="53"/>
      <c r="H610" s="53"/>
      <c r="I610" s="171"/>
      <c r="J610" s="170"/>
      <c r="K610" s="53"/>
      <c r="L610" s="53"/>
      <c r="M610" s="53"/>
      <c r="N610" s="171"/>
      <c r="O610" s="170"/>
      <c r="P610" s="53"/>
      <c r="Q610" s="53"/>
      <c r="R610" s="53"/>
      <c r="S610" s="171"/>
      <c r="T610" s="170"/>
      <c r="U610" s="53"/>
      <c r="V610" s="53"/>
      <c r="W610" s="53"/>
      <c r="X610" s="171"/>
      <c r="Y610" s="170"/>
      <c r="Z610" s="170"/>
      <c r="AA610" s="170"/>
      <c r="AB610" s="170"/>
      <c r="AC610" s="170"/>
      <c r="AD610" s="53"/>
      <c r="AE610" s="53"/>
    </row>
    <row r="611">
      <c r="A611" s="53"/>
      <c r="B611" s="53"/>
      <c r="C611" s="168"/>
      <c r="D611" s="169"/>
      <c r="E611" s="170"/>
      <c r="F611" s="53"/>
      <c r="G611" s="53"/>
      <c r="H611" s="53"/>
      <c r="I611" s="171"/>
      <c r="J611" s="170"/>
      <c r="K611" s="53"/>
      <c r="L611" s="53"/>
      <c r="M611" s="53"/>
      <c r="N611" s="171"/>
      <c r="O611" s="170"/>
      <c r="P611" s="53"/>
      <c r="Q611" s="53"/>
      <c r="R611" s="53"/>
      <c r="S611" s="171"/>
      <c r="T611" s="170"/>
      <c r="U611" s="53"/>
      <c r="V611" s="53"/>
      <c r="W611" s="53"/>
      <c r="X611" s="171"/>
      <c r="Y611" s="170"/>
      <c r="Z611" s="170"/>
      <c r="AA611" s="170"/>
      <c r="AB611" s="170"/>
      <c r="AC611" s="170"/>
      <c r="AD611" s="53"/>
      <c r="AE611" s="53"/>
    </row>
    <row r="612">
      <c r="A612" s="53"/>
      <c r="B612" s="53"/>
      <c r="C612" s="168"/>
      <c r="D612" s="169"/>
      <c r="E612" s="170"/>
      <c r="F612" s="53"/>
      <c r="G612" s="53"/>
      <c r="H612" s="53"/>
      <c r="I612" s="171"/>
      <c r="J612" s="170"/>
      <c r="K612" s="53"/>
      <c r="L612" s="53"/>
      <c r="M612" s="53"/>
      <c r="N612" s="171"/>
      <c r="O612" s="170"/>
      <c r="P612" s="53"/>
      <c r="Q612" s="53"/>
      <c r="R612" s="53"/>
      <c r="S612" s="171"/>
      <c r="T612" s="170"/>
      <c r="U612" s="53"/>
      <c r="V612" s="53"/>
      <c r="W612" s="53"/>
      <c r="X612" s="171"/>
      <c r="Y612" s="170"/>
      <c r="Z612" s="170"/>
      <c r="AA612" s="170"/>
      <c r="AB612" s="170"/>
      <c r="AC612" s="170"/>
      <c r="AD612" s="53"/>
      <c r="AE612" s="53"/>
    </row>
    <row r="613">
      <c r="A613" s="53"/>
      <c r="B613" s="53"/>
      <c r="C613" s="168"/>
      <c r="D613" s="169"/>
      <c r="E613" s="170"/>
      <c r="F613" s="53"/>
      <c r="G613" s="53"/>
      <c r="H613" s="53"/>
      <c r="I613" s="171"/>
      <c r="J613" s="170"/>
      <c r="K613" s="53"/>
      <c r="L613" s="53"/>
      <c r="M613" s="53"/>
      <c r="N613" s="171"/>
      <c r="O613" s="170"/>
      <c r="P613" s="53"/>
      <c r="Q613" s="53"/>
      <c r="R613" s="53"/>
      <c r="S613" s="171"/>
      <c r="T613" s="170"/>
      <c r="U613" s="53"/>
      <c r="V613" s="53"/>
      <c r="W613" s="53"/>
      <c r="X613" s="171"/>
      <c r="Y613" s="170"/>
      <c r="Z613" s="170"/>
      <c r="AA613" s="170"/>
      <c r="AB613" s="170"/>
      <c r="AC613" s="170"/>
      <c r="AD613" s="53"/>
      <c r="AE613" s="53"/>
    </row>
    <row r="614">
      <c r="A614" s="53"/>
      <c r="B614" s="53"/>
      <c r="C614" s="168"/>
      <c r="D614" s="169"/>
      <c r="E614" s="170"/>
      <c r="F614" s="53"/>
      <c r="G614" s="53"/>
      <c r="H614" s="53"/>
      <c r="I614" s="171"/>
      <c r="J614" s="170"/>
      <c r="K614" s="53"/>
      <c r="L614" s="53"/>
      <c r="M614" s="53"/>
      <c r="N614" s="171"/>
      <c r="O614" s="170"/>
      <c r="P614" s="53"/>
      <c r="Q614" s="53"/>
      <c r="R614" s="53"/>
      <c r="S614" s="171"/>
      <c r="T614" s="170"/>
      <c r="U614" s="53"/>
      <c r="V614" s="53"/>
      <c r="W614" s="53"/>
      <c r="X614" s="171"/>
      <c r="Y614" s="170"/>
      <c r="Z614" s="170"/>
      <c r="AA614" s="170"/>
      <c r="AB614" s="170"/>
      <c r="AC614" s="170"/>
      <c r="AD614" s="53"/>
      <c r="AE614" s="53"/>
    </row>
    <row r="615">
      <c r="A615" s="53"/>
      <c r="B615" s="53"/>
      <c r="C615" s="168"/>
      <c r="D615" s="169"/>
      <c r="E615" s="170"/>
      <c r="F615" s="53"/>
      <c r="G615" s="53"/>
      <c r="H615" s="53"/>
      <c r="I615" s="171"/>
      <c r="J615" s="170"/>
      <c r="K615" s="53"/>
      <c r="L615" s="53"/>
      <c r="M615" s="53"/>
      <c r="N615" s="171"/>
      <c r="O615" s="170"/>
      <c r="P615" s="53"/>
      <c r="Q615" s="53"/>
      <c r="R615" s="53"/>
      <c r="S615" s="171"/>
      <c r="T615" s="170"/>
      <c r="U615" s="53"/>
      <c r="V615" s="53"/>
      <c r="W615" s="53"/>
      <c r="X615" s="171"/>
      <c r="Y615" s="170"/>
      <c r="Z615" s="170"/>
      <c r="AA615" s="170"/>
      <c r="AB615" s="170"/>
      <c r="AC615" s="170"/>
      <c r="AD615" s="53"/>
      <c r="AE615" s="53"/>
    </row>
    <row r="616">
      <c r="A616" s="53"/>
      <c r="B616" s="53"/>
      <c r="C616" s="168"/>
      <c r="D616" s="169"/>
      <c r="E616" s="170"/>
      <c r="F616" s="53"/>
      <c r="G616" s="53"/>
      <c r="H616" s="53"/>
      <c r="I616" s="171"/>
      <c r="J616" s="170"/>
      <c r="K616" s="53"/>
      <c r="L616" s="53"/>
      <c r="M616" s="53"/>
      <c r="N616" s="171"/>
      <c r="O616" s="170"/>
      <c r="P616" s="53"/>
      <c r="Q616" s="53"/>
      <c r="R616" s="53"/>
      <c r="S616" s="171"/>
      <c r="T616" s="170"/>
      <c r="U616" s="53"/>
      <c r="V616" s="53"/>
      <c r="W616" s="53"/>
      <c r="X616" s="171"/>
      <c r="Y616" s="170"/>
      <c r="Z616" s="170"/>
      <c r="AA616" s="170"/>
      <c r="AB616" s="170"/>
      <c r="AC616" s="170"/>
      <c r="AD616" s="53"/>
      <c r="AE616" s="53"/>
    </row>
    <row r="617">
      <c r="A617" s="53"/>
      <c r="B617" s="53"/>
      <c r="C617" s="168"/>
      <c r="D617" s="169"/>
      <c r="E617" s="170"/>
      <c r="F617" s="53"/>
      <c r="G617" s="53"/>
      <c r="H617" s="53"/>
      <c r="I617" s="171"/>
      <c r="J617" s="170"/>
      <c r="K617" s="53"/>
      <c r="L617" s="53"/>
      <c r="M617" s="53"/>
      <c r="N617" s="171"/>
      <c r="O617" s="170"/>
      <c r="P617" s="53"/>
      <c r="Q617" s="53"/>
      <c r="R617" s="53"/>
      <c r="S617" s="171"/>
      <c r="T617" s="170"/>
      <c r="U617" s="53"/>
      <c r="V617" s="53"/>
      <c r="W617" s="53"/>
      <c r="X617" s="171"/>
      <c r="Y617" s="170"/>
      <c r="Z617" s="170"/>
      <c r="AA617" s="170"/>
      <c r="AB617" s="170"/>
      <c r="AC617" s="170"/>
      <c r="AD617" s="53"/>
      <c r="AE617" s="53"/>
    </row>
    <row r="618">
      <c r="A618" s="53"/>
      <c r="B618" s="53"/>
      <c r="C618" s="168"/>
      <c r="D618" s="169"/>
      <c r="E618" s="170"/>
      <c r="F618" s="53"/>
      <c r="G618" s="53"/>
      <c r="H618" s="53"/>
      <c r="I618" s="171"/>
      <c r="J618" s="170"/>
      <c r="K618" s="53"/>
      <c r="L618" s="53"/>
      <c r="M618" s="53"/>
      <c r="N618" s="171"/>
      <c r="O618" s="170"/>
      <c r="P618" s="53"/>
      <c r="Q618" s="53"/>
      <c r="R618" s="53"/>
      <c r="S618" s="171"/>
      <c r="T618" s="170"/>
      <c r="U618" s="53"/>
      <c r="V618" s="53"/>
      <c r="W618" s="53"/>
      <c r="X618" s="171"/>
      <c r="Y618" s="170"/>
      <c r="Z618" s="170"/>
      <c r="AA618" s="170"/>
      <c r="AB618" s="170"/>
      <c r="AC618" s="170"/>
      <c r="AD618" s="53"/>
      <c r="AE618" s="53"/>
    </row>
    <row r="619">
      <c r="A619" s="53"/>
      <c r="B619" s="53"/>
      <c r="C619" s="168"/>
      <c r="D619" s="169"/>
      <c r="E619" s="170"/>
      <c r="F619" s="53"/>
      <c r="G619" s="53"/>
      <c r="H619" s="53"/>
      <c r="I619" s="171"/>
      <c r="J619" s="170"/>
      <c r="K619" s="53"/>
      <c r="L619" s="53"/>
      <c r="M619" s="53"/>
      <c r="N619" s="171"/>
      <c r="O619" s="170"/>
      <c r="P619" s="53"/>
      <c r="Q619" s="53"/>
      <c r="R619" s="53"/>
      <c r="S619" s="171"/>
      <c r="T619" s="170"/>
      <c r="U619" s="53"/>
      <c r="V619" s="53"/>
      <c r="W619" s="53"/>
      <c r="X619" s="171"/>
      <c r="Y619" s="170"/>
      <c r="Z619" s="170"/>
      <c r="AA619" s="170"/>
      <c r="AB619" s="170"/>
      <c r="AC619" s="170"/>
      <c r="AD619" s="53"/>
      <c r="AE619" s="53"/>
    </row>
    <row r="620">
      <c r="A620" s="53"/>
      <c r="B620" s="53"/>
      <c r="C620" s="168"/>
      <c r="D620" s="169"/>
      <c r="E620" s="170"/>
      <c r="F620" s="53"/>
      <c r="G620" s="53"/>
      <c r="H620" s="53"/>
      <c r="I620" s="171"/>
      <c r="J620" s="170"/>
      <c r="K620" s="53"/>
      <c r="L620" s="53"/>
      <c r="M620" s="53"/>
      <c r="N620" s="171"/>
      <c r="O620" s="170"/>
      <c r="P620" s="53"/>
      <c r="Q620" s="53"/>
      <c r="R620" s="53"/>
      <c r="S620" s="171"/>
      <c r="T620" s="170"/>
      <c r="U620" s="53"/>
      <c r="V620" s="53"/>
      <c r="W620" s="53"/>
      <c r="X620" s="171"/>
      <c r="Y620" s="170"/>
      <c r="Z620" s="170"/>
      <c r="AA620" s="170"/>
      <c r="AB620" s="170"/>
      <c r="AC620" s="170"/>
      <c r="AD620" s="53"/>
      <c r="AE620" s="53"/>
    </row>
    <row r="621">
      <c r="A621" s="53"/>
      <c r="B621" s="53"/>
      <c r="C621" s="168"/>
      <c r="D621" s="169"/>
      <c r="E621" s="170"/>
      <c r="F621" s="53"/>
      <c r="G621" s="53"/>
      <c r="H621" s="53"/>
      <c r="I621" s="171"/>
      <c r="J621" s="170"/>
      <c r="K621" s="53"/>
      <c r="L621" s="53"/>
      <c r="M621" s="53"/>
      <c r="N621" s="171"/>
      <c r="O621" s="170"/>
      <c r="P621" s="53"/>
      <c r="Q621" s="53"/>
      <c r="R621" s="53"/>
      <c r="S621" s="171"/>
      <c r="T621" s="170"/>
      <c r="U621" s="53"/>
      <c r="V621" s="53"/>
      <c r="W621" s="53"/>
      <c r="X621" s="171"/>
      <c r="Y621" s="170"/>
      <c r="Z621" s="170"/>
      <c r="AA621" s="170"/>
      <c r="AB621" s="170"/>
      <c r="AC621" s="170"/>
      <c r="AD621" s="53"/>
      <c r="AE621" s="53"/>
    </row>
    <row r="622">
      <c r="A622" s="53"/>
      <c r="B622" s="53"/>
      <c r="C622" s="168"/>
      <c r="D622" s="169"/>
      <c r="E622" s="170"/>
      <c r="F622" s="53"/>
      <c r="G622" s="53"/>
      <c r="H622" s="53"/>
      <c r="I622" s="171"/>
      <c r="J622" s="170"/>
      <c r="K622" s="53"/>
      <c r="L622" s="53"/>
      <c r="M622" s="53"/>
      <c r="N622" s="171"/>
      <c r="O622" s="170"/>
      <c r="P622" s="53"/>
      <c r="Q622" s="53"/>
      <c r="R622" s="53"/>
      <c r="S622" s="171"/>
      <c r="T622" s="170"/>
      <c r="U622" s="53"/>
      <c r="V622" s="53"/>
      <c r="W622" s="53"/>
      <c r="X622" s="171"/>
      <c r="Y622" s="170"/>
      <c r="Z622" s="170"/>
      <c r="AA622" s="170"/>
      <c r="AB622" s="170"/>
      <c r="AC622" s="170"/>
      <c r="AD622" s="53"/>
      <c r="AE622" s="53"/>
    </row>
    <row r="623">
      <c r="A623" s="53"/>
      <c r="B623" s="53"/>
      <c r="C623" s="168"/>
      <c r="D623" s="169"/>
      <c r="E623" s="170"/>
      <c r="F623" s="53"/>
      <c r="G623" s="53"/>
      <c r="H623" s="53"/>
      <c r="I623" s="171"/>
      <c r="J623" s="170"/>
      <c r="K623" s="53"/>
      <c r="L623" s="53"/>
      <c r="M623" s="53"/>
      <c r="N623" s="171"/>
      <c r="O623" s="170"/>
      <c r="P623" s="53"/>
      <c r="Q623" s="53"/>
      <c r="R623" s="53"/>
      <c r="S623" s="171"/>
      <c r="T623" s="170"/>
      <c r="U623" s="53"/>
      <c r="V623" s="53"/>
      <c r="W623" s="53"/>
      <c r="X623" s="171"/>
      <c r="Y623" s="170"/>
      <c r="Z623" s="170"/>
      <c r="AA623" s="170"/>
      <c r="AB623" s="170"/>
      <c r="AC623" s="170"/>
      <c r="AD623" s="53"/>
      <c r="AE623" s="53"/>
    </row>
    <row r="624">
      <c r="A624" s="53"/>
      <c r="B624" s="53"/>
      <c r="C624" s="168"/>
      <c r="D624" s="169"/>
      <c r="E624" s="170"/>
      <c r="F624" s="53"/>
      <c r="G624" s="53"/>
      <c r="H624" s="53"/>
      <c r="I624" s="171"/>
      <c r="J624" s="170"/>
      <c r="K624" s="53"/>
      <c r="L624" s="53"/>
      <c r="M624" s="53"/>
      <c r="N624" s="171"/>
      <c r="O624" s="170"/>
      <c r="P624" s="53"/>
      <c r="Q624" s="53"/>
      <c r="R624" s="53"/>
      <c r="S624" s="171"/>
      <c r="T624" s="170"/>
      <c r="U624" s="53"/>
      <c r="V624" s="53"/>
      <c r="W624" s="53"/>
      <c r="X624" s="171"/>
      <c r="Y624" s="170"/>
      <c r="Z624" s="170"/>
      <c r="AA624" s="170"/>
      <c r="AB624" s="170"/>
      <c r="AC624" s="170"/>
      <c r="AD624" s="53"/>
      <c r="AE624" s="53"/>
    </row>
    <row r="625">
      <c r="A625" s="53"/>
      <c r="B625" s="53"/>
      <c r="C625" s="168"/>
      <c r="D625" s="169"/>
      <c r="E625" s="170"/>
      <c r="F625" s="53"/>
      <c r="G625" s="53"/>
      <c r="H625" s="53"/>
      <c r="I625" s="171"/>
      <c r="J625" s="170"/>
      <c r="K625" s="53"/>
      <c r="L625" s="53"/>
      <c r="M625" s="53"/>
      <c r="N625" s="171"/>
      <c r="O625" s="170"/>
      <c r="P625" s="53"/>
      <c r="Q625" s="53"/>
      <c r="R625" s="53"/>
      <c r="S625" s="171"/>
      <c r="T625" s="170"/>
      <c r="U625" s="53"/>
      <c r="V625" s="53"/>
      <c r="W625" s="53"/>
      <c r="X625" s="171"/>
      <c r="Y625" s="170"/>
      <c r="Z625" s="170"/>
      <c r="AA625" s="170"/>
      <c r="AB625" s="170"/>
      <c r="AC625" s="170"/>
      <c r="AD625" s="53"/>
      <c r="AE625" s="53"/>
    </row>
    <row r="626">
      <c r="A626" s="53"/>
      <c r="B626" s="53"/>
      <c r="C626" s="168"/>
      <c r="D626" s="169"/>
      <c r="E626" s="170"/>
      <c r="F626" s="53"/>
      <c r="G626" s="53"/>
      <c r="H626" s="53"/>
      <c r="I626" s="171"/>
      <c r="J626" s="170"/>
      <c r="K626" s="53"/>
      <c r="L626" s="53"/>
      <c r="M626" s="53"/>
      <c r="N626" s="171"/>
      <c r="O626" s="170"/>
      <c r="P626" s="53"/>
      <c r="Q626" s="53"/>
      <c r="R626" s="53"/>
      <c r="S626" s="171"/>
      <c r="T626" s="170"/>
      <c r="U626" s="53"/>
      <c r="V626" s="53"/>
      <c r="W626" s="53"/>
      <c r="X626" s="171"/>
      <c r="Y626" s="170"/>
      <c r="Z626" s="170"/>
      <c r="AA626" s="170"/>
      <c r="AB626" s="170"/>
      <c r="AC626" s="170"/>
      <c r="AD626" s="53"/>
      <c r="AE626" s="53"/>
    </row>
    <row r="627">
      <c r="A627" s="53"/>
      <c r="B627" s="53"/>
      <c r="C627" s="168"/>
      <c r="D627" s="169"/>
      <c r="E627" s="170"/>
      <c r="F627" s="53"/>
      <c r="G627" s="53"/>
      <c r="H627" s="53"/>
      <c r="I627" s="171"/>
      <c r="J627" s="170"/>
      <c r="K627" s="53"/>
      <c r="L627" s="53"/>
      <c r="M627" s="53"/>
      <c r="N627" s="171"/>
      <c r="O627" s="170"/>
      <c r="P627" s="53"/>
      <c r="Q627" s="53"/>
      <c r="R627" s="53"/>
      <c r="S627" s="171"/>
      <c r="T627" s="170"/>
      <c r="U627" s="53"/>
      <c r="V627" s="53"/>
      <c r="W627" s="53"/>
      <c r="X627" s="171"/>
      <c r="Y627" s="170"/>
      <c r="Z627" s="170"/>
      <c r="AA627" s="170"/>
      <c r="AB627" s="170"/>
      <c r="AC627" s="170"/>
      <c r="AD627" s="53"/>
      <c r="AE627" s="53"/>
    </row>
    <row r="628">
      <c r="A628" s="53"/>
      <c r="B628" s="53"/>
      <c r="C628" s="168"/>
      <c r="D628" s="169"/>
      <c r="E628" s="170"/>
      <c r="F628" s="53"/>
      <c r="G628" s="53"/>
      <c r="H628" s="53"/>
      <c r="I628" s="171"/>
      <c r="J628" s="170"/>
      <c r="K628" s="53"/>
      <c r="L628" s="53"/>
      <c r="M628" s="53"/>
      <c r="N628" s="171"/>
      <c r="O628" s="170"/>
      <c r="P628" s="53"/>
      <c r="Q628" s="53"/>
      <c r="R628" s="53"/>
      <c r="S628" s="171"/>
      <c r="T628" s="170"/>
      <c r="U628" s="53"/>
      <c r="V628" s="53"/>
      <c r="W628" s="53"/>
      <c r="X628" s="171"/>
      <c r="Y628" s="170"/>
      <c r="Z628" s="170"/>
      <c r="AA628" s="170"/>
      <c r="AB628" s="170"/>
      <c r="AC628" s="170"/>
      <c r="AD628" s="53"/>
      <c r="AE628" s="53"/>
    </row>
    <row r="629">
      <c r="A629" s="53"/>
      <c r="B629" s="53"/>
      <c r="C629" s="168"/>
      <c r="D629" s="169"/>
      <c r="E629" s="170"/>
      <c r="F629" s="53"/>
      <c r="G629" s="53"/>
      <c r="H629" s="53"/>
      <c r="I629" s="171"/>
      <c r="J629" s="170"/>
      <c r="K629" s="53"/>
      <c r="L629" s="53"/>
      <c r="M629" s="53"/>
      <c r="N629" s="171"/>
      <c r="O629" s="170"/>
      <c r="P629" s="53"/>
      <c r="Q629" s="53"/>
      <c r="R629" s="53"/>
      <c r="S629" s="171"/>
      <c r="T629" s="170"/>
      <c r="U629" s="53"/>
      <c r="V629" s="53"/>
      <c r="W629" s="53"/>
      <c r="X629" s="171"/>
      <c r="Y629" s="170"/>
      <c r="Z629" s="170"/>
      <c r="AA629" s="170"/>
      <c r="AB629" s="170"/>
      <c r="AC629" s="170"/>
      <c r="AD629" s="53"/>
      <c r="AE629" s="53"/>
    </row>
    <row r="630">
      <c r="A630" s="53"/>
      <c r="B630" s="53"/>
      <c r="C630" s="168"/>
      <c r="D630" s="169"/>
      <c r="E630" s="170"/>
      <c r="F630" s="53"/>
      <c r="G630" s="53"/>
      <c r="H630" s="53"/>
      <c r="I630" s="171"/>
      <c r="J630" s="170"/>
      <c r="K630" s="53"/>
      <c r="L630" s="53"/>
      <c r="M630" s="53"/>
      <c r="N630" s="171"/>
      <c r="O630" s="170"/>
      <c r="P630" s="53"/>
      <c r="Q630" s="53"/>
      <c r="R630" s="53"/>
      <c r="S630" s="171"/>
      <c r="T630" s="170"/>
      <c r="U630" s="53"/>
      <c r="V630" s="53"/>
      <c r="W630" s="53"/>
      <c r="X630" s="171"/>
      <c r="Y630" s="170"/>
      <c r="Z630" s="170"/>
      <c r="AA630" s="170"/>
      <c r="AB630" s="170"/>
      <c r="AC630" s="170"/>
      <c r="AD630" s="53"/>
      <c r="AE630" s="53"/>
    </row>
    <row r="631">
      <c r="A631" s="53"/>
      <c r="B631" s="53"/>
      <c r="C631" s="168"/>
      <c r="D631" s="169"/>
      <c r="E631" s="170"/>
      <c r="F631" s="53"/>
      <c r="G631" s="53"/>
      <c r="H631" s="53"/>
      <c r="I631" s="171"/>
      <c r="J631" s="170"/>
      <c r="K631" s="53"/>
      <c r="L631" s="53"/>
      <c r="M631" s="53"/>
      <c r="N631" s="171"/>
      <c r="O631" s="170"/>
      <c r="P631" s="53"/>
      <c r="Q631" s="53"/>
      <c r="R631" s="53"/>
      <c r="S631" s="171"/>
      <c r="T631" s="170"/>
      <c r="U631" s="53"/>
      <c r="V631" s="53"/>
      <c r="W631" s="53"/>
      <c r="X631" s="171"/>
      <c r="Y631" s="170"/>
      <c r="Z631" s="170"/>
      <c r="AA631" s="170"/>
      <c r="AB631" s="170"/>
      <c r="AC631" s="170"/>
      <c r="AD631" s="53"/>
      <c r="AE631" s="53"/>
    </row>
    <row r="632">
      <c r="A632" s="53"/>
      <c r="B632" s="53"/>
      <c r="C632" s="168"/>
      <c r="D632" s="169"/>
      <c r="E632" s="170"/>
      <c r="F632" s="53"/>
      <c r="G632" s="53"/>
      <c r="H632" s="53"/>
      <c r="I632" s="171"/>
      <c r="J632" s="170"/>
      <c r="K632" s="53"/>
      <c r="L632" s="53"/>
      <c r="M632" s="53"/>
      <c r="N632" s="171"/>
      <c r="O632" s="170"/>
      <c r="P632" s="53"/>
      <c r="Q632" s="53"/>
      <c r="R632" s="53"/>
      <c r="S632" s="171"/>
      <c r="T632" s="170"/>
      <c r="U632" s="53"/>
      <c r="V632" s="53"/>
      <c r="W632" s="53"/>
      <c r="X632" s="171"/>
      <c r="Y632" s="170"/>
      <c r="Z632" s="170"/>
      <c r="AA632" s="170"/>
      <c r="AB632" s="170"/>
      <c r="AC632" s="170"/>
      <c r="AD632" s="53"/>
      <c r="AE632" s="53"/>
    </row>
    <row r="633">
      <c r="A633" s="53"/>
      <c r="B633" s="53"/>
      <c r="C633" s="168"/>
      <c r="D633" s="169"/>
      <c r="E633" s="170"/>
      <c r="F633" s="53"/>
      <c r="G633" s="53"/>
      <c r="H633" s="53"/>
      <c r="I633" s="171"/>
      <c r="J633" s="170"/>
      <c r="K633" s="53"/>
      <c r="L633" s="53"/>
      <c r="M633" s="53"/>
      <c r="N633" s="171"/>
      <c r="O633" s="170"/>
      <c r="P633" s="53"/>
      <c r="Q633" s="53"/>
      <c r="R633" s="53"/>
      <c r="S633" s="171"/>
      <c r="T633" s="170"/>
      <c r="U633" s="53"/>
      <c r="V633" s="53"/>
      <c r="W633" s="53"/>
      <c r="X633" s="171"/>
      <c r="Y633" s="170"/>
      <c r="Z633" s="170"/>
      <c r="AA633" s="170"/>
      <c r="AB633" s="170"/>
      <c r="AC633" s="170"/>
      <c r="AD633" s="53"/>
      <c r="AE633" s="53"/>
    </row>
    <row r="634">
      <c r="A634" s="53"/>
      <c r="B634" s="53"/>
      <c r="C634" s="168"/>
      <c r="D634" s="169"/>
      <c r="E634" s="170"/>
      <c r="F634" s="53"/>
      <c r="G634" s="53"/>
      <c r="H634" s="53"/>
      <c r="I634" s="171"/>
      <c r="J634" s="170"/>
      <c r="K634" s="53"/>
      <c r="L634" s="53"/>
      <c r="M634" s="53"/>
      <c r="N634" s="171"/>
      <c r="O634" s="170"/>
      <c r="P634" s="53"/>
      <c r="Q634" s="53"/>
      <c r="R634" s="53"/>
      <c r="S634" s="171"/>
      <c r="T634" s="170"/>
      <c r="U634" s="53"/>
      <c r="V634" s="53"/>
      <c r="W634" s="53"/>
      <c r="X634" s="171"/>
      <c r="Y634" s="170"/>
      <c r="Z634" s="170"/>
      <c r="AA634" s="170"/>
      <c r="AB634" s="170"/>
      <c r="AC634" s="170"/>
      <c r="AD634" s="53"/>
      <c r="AE634" s="53"/>
    </row>
    <row r="635">
      <c r="A635" s="53"/>
      <c r="B635" s="53"/>
      <c r="C635" s="168"/>
      <c r="D635" s="169"/>
      <c r="E635" s="170"/>
      <c r="F635" s="53"/>
      <c r="G635" s="53"/>
      <c r="H635" s="53"/>
      <c r="I635" s="171"/>
      <c r="J635" s="170"/>
      <c r="K635" s="53"/>
      <c r="L635" s="53"/>
      <c r="M635" s="53"/>
      <c r="N635" s="171"/>
      <c r="O635" s="170"/>
      <c r="P635" s="53"/>
      <c r="Q635" s="53"/>
      <c r="R635" s="53"/>
      <c r="S635" s="171"/>
      <c r="T635" s="170"/>
      <c r="U635" s="53"/>
      <c r="V635" s="53"/>
      <c r="W635" s="53"/>
      <c r="X635" s="171"/>
      <c r="Y635" s="170"/>
      <c r="Z635" s="170"/>
      <c r="AA635" s="170"/>
      <c r="AB635" s="170"/>
      <c r="AC635" s="170"/>
      <c r="AD635" s="53"/>
      <c r="AE635" s="53"/>
    </row>
    <row r="636">
      <c r="A636" s="53"/>
      <c r="B636" s="53"/>
      <c r="C636" s="168"/>
      <c r="D636" s="169"/>
      <c r="E636" s="170"/>
      <c r="F636" s="53"/>
      <c r="G636" s="53"/>
      <c r="H636" s="53"/>
      <c r="I636" s="171"/>
      <c r="J636" s="170"/>
      <c r="K636" s="53"/>
      <c r="L636" s="53"/>
      <c r="M636" s="53"/>
      <c r="N636" s="171"/>
      <c r="O636" s="170"/>
      <c r="P636" s="53"/>
      <c r="Q636" s="53"/>
      <c r="R636" s="53"/>
      <c r="S636" s="171"/>
      <c r="T636" s="170"/>
      <c r="U636" s="53"/>
      <c r="V636" s="53"/>
      <c r="W636" s="53"/>
      <c r="X636" s="171"/>
      <c r="Y636" s="170"/>
      <c r="Z636" s="170"/>
      <c r="AA636" s="170"/>
      <c r="AB636" s="170"/>
      <c r="AC636" s="170"/>
      <c r="AD636" s="53"/>
      <c r="AE636" s="53"/>
    </row>
    <row r="637">
      <c r="A637" s="53"/>
      <c r="B637" s="53"/>
      <c r="C637" s="168"/>
      <c r="D637" s="169"/>
      <c r="E637" s="170"/>
      <c r="F637" s="53"/>
      <c r="G637" s="53"/>
      <c r="H637" s="53"/>
      <c r="I637" s="171"/>
      <c r="J637" s="170"/>
      <c r="K637" s="53"/>
      <c r="L637" s="53"/>
      <c r="M637" s="53"/>
      <c r="N637" s="171"/>
      <c r="O637" s="170"/>
      <c r="P637" s="53"/>
      <c r="Q637" s="53"/>
      <c r="R637" s="53"/>
      <c r="S637" s="171"/>
      <c r="T637" s="170"/>
      <c r="U637" s="53"/>
      <c r="V637" s="53"/>
      <c r="W637" s="53"/>
      <c r="X637" s="171"/>
      <c r="Y637" s="170"/>
      <c r="Z637" s="170"/>
      <c r="AA637" s="170"/>
      <c r="AB637" s="170"/>
      <c r="AC637" s="170"/>
      <c r="AD637" s="53"/>
      <c r="AE637" s="53"/>
    </row>
    <row r="638">
      <c r="A638" s="53"/>
      <c r="B638" s="53"/>
      <c r="C638" s="168"/>
      <c r="D638" s="169"/>
      <c r="E638" s="170"/>
      <c r="F638" s="53"/>
      <c r="G638" s="53"/>
      <c r="H638" s="53"/>
      <c r="I638" s="171"/>
      <c r="J638" s="170"/>
      <c r="K638" s="53"/>
      <c r="L638" s="53"/>
      <c r="M638" s="53"/>
      <c r="N638" s="171"/>
      <c r="O638" s="170"/>
      <c r="P638" s="53"/>
      <c r="Q638" s="53"/>
      <c r="R638" s="53"/>
      <c r="S638" s="171"/>
      <c r="T638" s="170"/>
      <c r="U638" s="53"/>
      <c r="V638" s="53"/>
      <c r="W638" s="53"/>
      <c r="X638" s="171"/>
      <c r="Y638" s="170"/>
      <c r="Z638" s="170"/>
      <c r="AA638" s="170"/>
      <c r="AB638" s="170"/>
      <c r="AC638" s="170"/>
      <c r="AD638" s="53"/>
      <c r="AE638" s="53"/>
    </row>
    <row r="639">
      <c r="A639" s="53"/>
      <c r="B639" s="53"/>
      <c r="C639" s="168"/>
      <c r="D639" s="169"/>
      <c r="E639" s="170"/>
      <c r="F639" s="53"/>
      <c r="G639" s="53"/>
      <c r="H639" s="53"/>
      <c r="I639" s="171"/>
      <c r="J639" s="170"/>
      <c r="K639" s="53"/>
      <c r="L639" s="53"/>
      <c r="M639" s="53"/>
      <c r="N639" s="171"/>
      <c r="O639" s="170"/>
      <c r="P639" s="53"/>
      <c r="Q639" s="53"/>
      <c r="R639" s="53"/>
      <c r="S639" s="171"/>
      <c r="T639" s="170"/>
      <c r="U639" s="53"/>
      <c r="V639" s="53"/>
      <c r="W639" s="53"/>
      <c r="X639" s="171"/>
      <c r="Y639" s="170"/>
      <c r="Z639" s="170"/>
      <c r="AA639" s="170"/>
      <c r="AB639" s="170"/>
      <c r="AC639" s="170"/>
      <c r="AD639" s="53"/>
      <c r="AE639" s="53"/>
    </row>
    <row r="640">
      <c r="A640" s="53"/>
      <c r="B640" s="53"/>
      <c r="C640" s="168"/>
      <c r="D640" s="169"/>
      <c r="E640" s="170"/>
      <c r="F640" s="53"/>
      <c r="G640" s="53"/>
      <c r="H640" s="53"/>
      <c r="I640" s="171"/>
      <c r="J640" s="170"/>
      <c r="K640" s="53"/>
      <c r="L640" s="53"/>
      <c r="M640" s="53"/>
      <c r="N640" s="171"/>
      <c r="O640" s="170"/>
      <c r="P640" s="53"/>
      <c r="Q640" s="53"/>
      <c r="R640" s="53"/>
      <c r="S640" s="171"/>
      <c r="T640" s="170"/>
      <c r="U640" s="53"/>
      <c r="V640" s="53"/>
      <c r="W640" s="53"/>
      <c r="X640" s="171"/>
      <c r="Y640" s="170"/>
      <c r="Z640" s="170"/>
      <c r="AA640" s="170"/>
      <c r="AB640" s="170"/>
      <c r="AC640" s="170"/>
      <c r="AD640" s="53"/>
      <c r="AE640" s="53"/>
    </row>
    <row r="641">
      <c r="A641" s="53"/>
      <c r="B641" s="53"/>
      <c r="C641" s="168"/>
      <c r="D641" s="169"/>
      <c r="E641" s="170"/>
      <c r="F641" s="53"/>
      <c r="G641" s="53"/>
      <c r="H641" s="53"/>
      <c r="I641" s="171"/>
      <c r="J641" s="170"/>
      <c r="K641" s="53"/>
      <c r="L641" s="53"/>
      <c r="M641" s="53"/>
      <c r="N641" s="171"/>
      <c r="O641" s="170"/>
      <c r="P641" s="53"/>
      <c r="Q641" s="53"/>
      <c r="R641" s="53"/>
      <c r="S641" s="171"/>
      <c r="T641" s="170"/>
      <c r="U641" s="53"/>
      <c r="V641" s="53"/>
      <c r="W641" s="53"/>
      <c r="X641" s="171"/>
      <c r="Y641" s="170"/>
      <c r="Z641" s="170"/>
      <c r="AA641" s="170"/>
      <c r="AB641" s="170"/>
      <c r="AC641" s="170"/>
      <c r="AD641" s="53"/>
      <c r="AE641" s="53"/>
    </row>
    <row r="642">
      <c r="A642" s="53"/>
      <c r="B642" s="53"/>
      <c r="C642" s="168"/>
      <c r="D642" s="169"/>
      <c r="E642" s="170"/>
      <c r="F642" s="53"/>
      <c r="G642" s="53"/>
      <c r="H642" s="53"/>
      <c r="I642" s="171"/>
      <c r="J642" s="170"/>
      <c r="K642" s="53"/>
      <c r="L642" s="53"/>
      <c r="M642" s="53"/>
      <c r="N642" s="171"/>
      <c r="O642" s="170"/>
      <c r="P642" s="53"/>
      <c r="Q642" s="53"/>
      <c r="R642" s="53"/>
      <c r="S642" s="171"/>
      <c r="T642" s="170"/>
      <c r="U642" s="53"/>
      <c r="V642" s="53"/>
      <c r="W642" s="53"/>
      <c r="X642" s="171"/>
      <c r="Y642" s="170"/>
      <c r="Z642" s="170"/>
      <c r="AA642" s="170"/>
      <c r="AB642" s="170"/>
      <c r="AC642" s="170"/>
      <c r="AD642" s="53"/>
      <c r="AE642" s="53"/>
    </row>
    <row r="643">
      <c r="A643" s="53"/>
      <c r="B643" s="53"/>
      <c r="C643" s="168"/>
      <c r="D643" s="169"/>
      <c r="E643" s="170"/>
      <c r="F643" s="53"/>
      <c r="G643" s="53"/>
      <c r="H643" s="53"/>
      <c r="I643" s="171"/>
      <c r="J643" s="170"/>
      <c r="K643" s="53"/>
      <c r="L643" s="53"/>
      <c r="M643" s="53"/>
      <c r="N643" s="171"/>
      <c r="O643" s="170"/>
      <c r="P643" s="53"/>
      <c r="Q643" s="53"/>
      <c r="R643" s="53"/>
      <c r="S643" s="171"/>
      <c r="T643" s="170"/>
      <c r="U643" s="53"/>
      <c r="V643" s="53"/>
      <c r="W643" s="53"/>
      <c r="X643" s="171"/>
      <c r="Y643" s="170"/>
      <c r="Z643" s="170"/>
      <c r="AA643" s="170"/>
      <c r="AB643" s="170"/>
      <c r="AC643" s="170"/>
      <c r="AD643" s="53"/>
      <c r="AE643" s="53"/>
    </row>
    <row r="644">
      <c r="A644" s="53"/>
      <c r="B644" s="53"/>
      <c r="C644" s="168"/>
      <c r="D644" s="169"/>
      <c r="E644" s="170"/>
      <c r="F644" s="53"/>
      <c r="G644" s="53"/>
      <c r="H644" s="53"/>
      <c r="I644" s="171"/>
      <c r="J644" s="170"/>
      <c r="K644" s="53"/>
      <c r="L644" s="53"/>
      <c r="M644" s="53"/>
      <c r="N644" s="171"/>
      <c r="O644" s="170"/>
      <c r="P644" s="53"/>
      <c r="Q644" s="53"/>
      <c r="R644" s="53"/>
      <c r="S644" s="171"/>
      <c r="T644" s="170"/>
      <c r="U644" s="53"/>
      <c r="V644" s="53"/>
      <c r="W644" s="53"/>
      <c r="X644" s="171"/>
      <c r="Y644" s="170"/>
      <c r="Z644" s="170"/>
      <c r="AA644" s="170"/>
      <c r="AB644" s="170"/>
      <c r="AC644" s="170"/>
      <c r="AD644" s="53"/>
      <c r="AE644" s="53"/>
    </row>
    <row r="645">
      <c r="A645" s="53"/>
      <c r="B645" s="53"/>
      <c r="C645" s="168"/>
      <c r="D645" s="169"/>
      <c r="E645" s="170"/>
      <c r="F645" s="53"/>
      <c r="G645" s="53"/>
      <c r="H645" s="53"/>
      <c r="I645" s="171"/>
      <c r="J645" s="170"/>
      <c r="K645" s="53"/>
      <c r="L645" s="53"/>
      <c r="M645" s="53"/>
      <c r="N645" s="171"/>
      <c r="O645" s="170"/>
      <c r="P645" s="53"/>
      <c r="Q645" s="53"/>
      <c r="R645" s="53"/>
      <c r="S645" s="171"/>
      <c r="T645" s="170"/>
      <c r="U645" s="53"/>
      <c r="V645" s="53"/>
      <c r="W645" s="53"/>
      <c r="X645" s="171"/>
      <c r="Y645" s="170"/>
      <c r="Z645" s="170"/>
      <c r="AA645" s="170"/>
      <c r="AB645" s="170"/>
      <c r="AC645" s="170"/>
      <c r="AD645" s="53"/>
      <c r="AE645" s="53"/>
    </row>
    <row r="646">
      <c r="A646" s="53"/>
      <c r="B646" s="53"/>
      <c r="C646" s="168"/>
      <c r="D646" s="169"/>
      <c r="E646" s="170"/>
      <c r="F646" s="53"/>
      <c r="G646" s="53"/>
      <c r="H646" s="53"/>
      <c r="I646" s="171"/>
      <c r="J646" s="170"/>
      <c r="K646" s="53"/>
      <c r="L646" s="53"/>
      <c r="M646" s="53"/>
      <c r="N646" s="171"/>
      <c r="O646" s="170"/>
      <c r="P646" s="53"/>
      <c r="Q646" s="53"/>
      <c r="R646" s="53"/>
      <c r="S646" s="171"/>
      <c r="T646" s="170"/>
      <c r="U646" s="53"/>
      <c r="V646" s="53"/>
      <c r="W646" s="53"/>
      <c r="X646" s="171"/>
      <c r="Y646" s="170"/>
      <c r="Z646" s="170"/>
      <c r="AA646" s="170"/>
      <c r="AB646" s="170"/>
      <c r="AC646" s="170"/>
      <c r="AD646" s="53"/>
      <c r="AE646" s="53"/>
    </row>
    <row r="647">
      <c r="A647" s="53"/>
      <c r="B647" s="53"/>
      <c r="C647" s="168"/>
      <c r="D647" s="169"/>
      <c r="E647" s="170"/>
      <c r="F647" s="53"/>
      <c r="G647" s="53"/>
      <c r="H647" s="53"/>
      <c r="I647" s="171"/>
      <c r="J647" s="170"/>
      <c r="K647" s="53"/>
      <c r="L647" s="53"/>
      <c r="M647" s="53"/>
      <c r="N647" s="171"/>
      <c r="O647" s="170"/>
      <c r="P647" s="53"/>
      <c r="Q647" s="53"/>
      <c r="R647" s="53"/>
      <c r="S647" s="171"/>
      <c r="T647" s="170"/>
      <c r="U647" s="53"/>
      <c r="V647" s="53"/>
      <c r="W647" s="53"/>
      <c r="X647" s="171"/>
      <c r="Y647" s="170"/>
      <c r="Z647" s="170"/>
      <c r="AA647" s="170"/>
      <c r="AB647" s="170"/>
      <c r="AC647" s="170"/>
      <c r="AD647" s="53"/>
      <c r="AE647" s="53"/>
    </row>
    <row r="648">
      <c r="A648" s="53"/>
      <c r="B648" s="53"/>
      <c r="C648" s="168"/>
      <c r="D648" s="169"/>
      <c r="E648" s="170"/>
      <c r="F648" s="53"/>
      <c r="G648" s="53"/>
      <c r="H648" s="53"/>
      <c r="I648" s="171"/>
      <c r="J648" s="170"/>
      <c r="K648" s="53"/>
      <c r="L648" s="53"/>
      <c r="M648" s="53"/>
      <c r="N648" s="171"/>
      <c r="O648" s="170"/>
      <c r="P648" s="53"/>
      <c r="Q648" s="53"/>
      <c r="R648" s="53"/>
      <c r="S648" s="171"/>
      <c r="T648" s="170"/>
      <c r="U648" s="53"/>
      <c r="V648" s="53"/>
      <c r="W648" s="53"/>
      <c r="X648" s="171"/>
      <c r="Y648" s="170"/>
      <c r="Z648" s="170"/>
      <c r="AA648" s="170"/>
      <c r="AB648" s="170"/>
      <c r="AC648" s="170"/>
      <c r="AD648" s="53"/>
      <c r="AE648" s="53"/>
    </row>
    <row r="649">
      <c r="A649" s="53"/>
      <c r="B649" s="53"/>
      <c r="C649" s="168"/>
      <c r="D649" s="169"/>
      <c r="E649" s="170"/>
      <c r="F649" s="53"/>
      <c r="G649" s="53"/>
      <c r="H649" s="53"/>
      <c r="I649" s="171"/>
      <c r="J649" s="170"/>
      <c r="K649" s="53"/>
      <c r="L649" s="53"/>
      <c r="M649" s="53"/>
      <c r="N649" s="171"/>
      <c r="O649" s="170"/>
      <c r="P649" s="53"/>
      <c r="Q649" s="53"/>
      <c r="R649" s="53"/>
      <c r="S649" s="171"/>
      <c r="T649" s="170"/>
      <c r="U649" s="53"/>
      <c r="V649" s="53"/>
      <c r="W649" s="53"/>
      <c r="X649" s="171"/>
      <c r="Y649" s="170"/>
      <c r="Z649" s="170"/>
      <c r="AA649" s="170"/>
      <c r="AB649" s="170"/>
      <c r="AC649" s="170"/>
      <c r="AD649" s="53"/>
      <c r="AE649" s="53"/>
    </row>
    <row r="650">
      <c r="A650" s="53"/>
      <c r="B650" s="53"/>
      <c r="C650" s="168"/>
      <c r="D650" s="169"/>
      <c r="E650" s="170"/>
      <c r="F650" s="53"/>
      <c r="G650" s="53"/>
      <c r="H650" s="53"/>
      <c r="I650" s="171"/>
      <c r="J650" s="170"/>
      <c r="K650" s="53"/>
      <c r="L650" s="53"/>
      <c r="M650" s="53"/>
      <c r="N650" s="171"/>
      <c r="O650" s="170"/>
      <c r="P650" s="53"/>
      <c r="Q650" s="53"/>
      <c r="R650" s="53"/>
      <c r="S650" s="171"/>
      <c r="T650" s="170"/>
      <c r="U650" s="53"/>
      <c r="V650" s="53"/>
      <c r="W650" s="53"/>
      <c r="X650" s="171"/>
      <c r="Y650" s="170"/>
      <c r="Z650" s="170"/>
      <c r="AA650" s="170"/>
      <c r="AB650" s="170"/>
      <c r="AC650" s="170"/>
      <c r="AD650" s="53"/>
      <c r="AE650" s="53"/>
    </row>
    <row r="651">
      <c r="A651" s="53"/>
      <c r="B651" s="53"/>
      <c r="C651" s="168"/>
      <c r="D651" s="169"/>
      <c r="E651" s="170"/>
      <c r="F651" s="53"/>
      <c r="G651" s="53"/>
      <c r="H651" s="53"/>
      <c r="I651" s="171"/>
      <c r="J651" s="170"/>
      <c r="K651" s="53"/>
      <c r="L651" s="53"/>
      <c r="M651" s="53"/>
      <c r="N651" s="171"/>
      <c r="O651" s="170"/>
      <c r="P651" s="53"/>
      <c r="Q651" s="53"/>
      <c r="R651" s="53"/>
      <c r="S651" s="171"/>
      <c r="T651" s="170"/>
      <c r="U651" s="53"/>
      <c r="V651" s="53"/>
      <c r="W651" s="53"/>
      <c r="X651" s="171"/>
      <c r="Y651" s="170"/>
      <c r="Z651" s="170"/>
      <c r="AA651" s="170"/>
      <c r="AB651" s="170"/>
      <c r="AC651" s="170"/>
      <c r="AD651" s="53"/>
      <c r="AE651" s="53"/>
    </row>
    <row r="652">
      <c r="A652" s="53"/>
      <c r="B652" s="53"/>
      <c r="C652" s="168"/>
      <c r="D652" s="169"/>
      <c r="E652" s="170"/>
      <c r="F652" s="53"/>
      <c r="G652" s="53"/>
      <c r="H652" s="53"/>
      <c r="I652" s="171"/>
      <c r="J652" s="170"/>
      <c r="K652" s="53"/>
      <c r="L652" s="53"/>
      <c r="M652" s="53"/>
      <c r="N652" s="171"/>
      <c r="O652" s="170"/>
      <c r="P652" s="53"/>
      <c r="Q652" s="53"/>
      <c r="R652" s="53"/>
      <c r="S652" s="171"/>
      <c r="T652" s="170"/>
      <c r="U652" s="53"/>
      <c r="V652" s="53"/>
      <c r="W652" s="53"/>
      <c r="X652" s="171"/>
      <c r="Y652" s="170"/>
      <c r="Z652" s="170"/>
      <c r="AA652" s="170"/>
      <c r="AB652" s="170"/>
      <c r="AC652" s="170"/>
      <c r="AD652" s="53"/>
      <c r="AE652" s="53"/>
    </row>
    <row r="653">
      <c r="A653" s="53"/>
      <c r="B653" s="53"/>
      <c r="C653" s="168"/>
      <c r="D653" s="169"/>
      <c r="E653" s="170"/>
      <c r="F653" s="53"/>
      <c r="G653" s="53"/>
      <c r="H653" s="53"/>
      <c r="I653" s="171"/>
      <c r="J653" s="170"/>
      <c r="K653" s="53"/>
      <c r="L653" s="53"/>
      <c r="M653" s="53"/>
      <c r="N653" s="171"/>
      <c r="O653" s="170"/>
      <c r="P653" s="53"/>
      <c r="Q653" s="53"/>
      <c r="R653" s="53"/>
      <c r="S653" s="171"/>
      <c r="T653" s="170"/>
      <c r="U653" s="53"/>
      <c r="V653" s="53"/>
      <c r="W653" s="53"/>
      <c r="X653" s="171"/>
      <c r="Y653" s="170"/>
      <c r="Z653" s="170"/>
      <c r="AA653" s="170"/>
      <c r="AB653" s="170"/>
      <c r="AC653" s="170"/>
      <c r="AD653" s="53"/>
      <c r="AE653" s="53"/>
    </row>
    <row r="654">
      <c r="A654" s="53"/>
      <c r="B654" s="53"/>
      <c r="C654" s="168"/>
      <c r="D654" s="169"/>
      <c r="E654" s="170"/>
      <c r="F654" s="53"/>
      <c r="G654" s="53"/>
      <c r="H654" s="53"/>
      <c r="I654" s="171"/>
      <c r="J654" s="170"/>
      <c r="K654" s="53"/>
      <c r="L654" s="53"/>
      <c r="M654" s="53"/>
      <c r="N654" s="171"/>
      <c r="O654" s="170"/>
      <c r="P654" s="53"/>
      <c r="Q654" s="53"/>
      <c r="R654" s="53"/>
      <c r="S654" s="171"/>
      <c r="T654" s="170"/>
      <c r="U654" s="53"/>
      <c r="V654" s="53"/>
      <c r="W654" s="53"/>
      <c r="X654" s="171"/>
      <c r="Y654" s="170"/>
      <c r="Z654" s="170"/>
      <c r="AA654" s="170"/>
      <c r="AB654" s="170"/>
      <c r="AC654" s="170"/>
      <c r="AD654" s="53"/>
      <c r="AE654" s="53"/>
    </row>
    <row r="655">
      <c r="A655" s="53"/>
      <c r="B655" s="53"/>
      <c r="C655" s="168"/>
      <c r="D655" s="169"/>
      <c r="E655" s="170"/>
      <c r="F655" s="53"/>
      <c r="G655" s="53"/>
      <c r="H655" s="53"/>
      <c r="I655" s="171"/>
      <c r="J655" s="170"/>
      <c r="K655" s="53"/>
      <c r="L655" s="53"/>
      <c r="M655" s="53"/>
      <c r="N655" s="171"/>
      <c r="O655" s="170"/>
      <c r="P655" s="53"/>
      <c r="Q655" s="53"/>
      <c r="R655" s="53"/>
      <c r="S655" s="171"/>
      <c r="T655" s="170"/>
      <c r="U655" s="53"/>
      <c r="V655" s="53"/>
      <c r="W655" s="53"/>
      <c r="X655" s="171"/>
      <c r="Y655" s="170"/>
      <c r="Z655" s="170"/>
      <c r="AA655" s="170"/>
      <c r="AB655" s="170"/>
      <c r="AC655" s="170"/>
      <c r="AD655" s="53"/>
      <c r="AE655" s="53"/>
    </row>
    <row r="656">
      <c r="A656" s="53"/>
      <c r="B656" s="53"/>
      <c r="C656" s="168"/>
      <c r="D656" s="169"/>
      <c r="E656" s="170"/>
      <c r="F656" s="53"/>
      <c r="G656" s="53"/>
      <c r="H656" s="53"/>
      <c r="I656" s="171"/>
      <c r="J656" s="170"/>
      <c r="K656" s="53"/>
      <c r="L656" s="53"/>
      <c r="M656" s="53"/>
      <c r="N656" s="171"/>
      <c r="O656" s="170"/>
      <c r="P656" s="53"/>
      <c r="Q656" s="53"/>
      <c r="R656" s="53"/>
      <c r="S656" s="171"/>
      <c r="T656" s="170"/>
      <c r="U656" s="53"/>
      <c r="V656" s="53"/>
      <c r="W656" s="53"/>
      <c r="X656" s="171"/>
      <c r="Y656" s="170"/>
      <c r="Z656" s="170"/>
      <c r="AA656" s="170"/>
      <c r="AB656" s="170"/>
      <c r="AC656" s="170"/>
      <c r="AD656" s="53"/>
      <c r="AE656" s="53"/>
    </row>
    <row r="657">
      <c r="A657" s="53"/>
      <c r="B657" s="53"/>
      <c r="C657" s="168"/>
      <c r="D657" s="169"/>
      <c r="E657" s="170"/>
      <c r="F657" s="53"/>
      <c r="G657" s="53"/>
      <c r="H657" s="53"/>
      <c r="I657" s="171"/>
      <c r="J657" s="170"/>
      <c r="K657" s="53"/>
      <c r="L657" s="53"/>
      <c r="M657" s="53"/>
      <c r="N657" s="171"/>
      <c r="O657" s="170"/>
      <c r="P657" s="53"/>
      <c r="Q657" s="53"/>
      <c r="R657" s="53"/>
      <c r="S657" s="171"/>
      <c r="T657" s="170"/>
      <c r="U657" s="53"/>
      <c r="V657" s="53"/>
      <c r="W657" s="53"/>
      <c r="X657" s="171"/>
      <c r="Y657" s="170"/>
      <c r="Z657" s="170"/>
      <c r="AA657" s="170"/>
      <c r="AB657" s="170"/>
      <c r="AC657" s="170"/>
      <c r="AD657" s="53"/>
      <c r="AE657" s="53"/>
    </row>
    <row r="658">
      <c r="A658" s="53"/>
      <c r="B658" s="53"/>
      <c r="C658" s="168"/>
      <c r="D658" s="169"/>
      <c r="E658" s="170"/>
      <c r="F658" s="53"/>
      <c r="G658" s="53"/>
      <c r="H658" s="53"/>
      <c r="I658" s="171"/>
      <c r="J658" s="170"/>
      <c r="K658" s="53"/>
      <c r="L658" s="53"/>
      <c r="M658" s="53"/>
      <c r="N658" s="171"/>
      <c r="O658" s="170"/>
      <c r="P658" s="53"/>
      <c r="Q658" s="53"/>
      <c r="R658" s="53"/>
      <c r="S658" s="171"/>
      <c r="T658" s="170"/>
      <c r="U658" s="53"/>
      <c r="V658" s="53"/>
      <c r="W658" s="53"/>
      <c r="X658" s="171"/>
      <c r="Y658" s="170"/>
      <c r="Z658" s="170"/>
      <c r="AA658" s="170"/>
      <c r="AB658" s="170"/>
      <c r="AC658" s="170"/>
      <c r="AD658" s="53"/>
      <c r="AE658" s="53"/>
    </row>
    <row r="659">
      <c r="A659" s="53"/>
      <c r="B659" s="53"/>
      <c r="C659" s="168"/>
      <c r="D659" s="169"/>
      <c r="E659" s="170"/>
      <c r="F659" s="53"/>
      <c r="G659" s="53"/>
      <c r="H659" s="53"/>
      <c r="I659" s="171"/>
      <c r="J659" s="170"/>
      <c r="K659" s="53"/>
      <c r="L659" s="53"/>
      <c r="M659" s="53"/>
      <c r="N659" s="171"/>
      <c r="O659" s="170"/>
      <c r="P659" s="53"/>
      <c r="Q659" s="53"/>
      <c r="R659" s="53"/>
      <c r="S659" s="171"/>
      <c r="T659" s="170"/>
      <c r="U659" s="53"/>
      <c r="V659" s="53"/>
      <c r="W659" s="53"/>
      <c r="X659" s="171"/>
      <c r="Y659" s="170"/>
      <c r="Z659" s="170"/>
      <c r="AA659" s="170"/>
      <c r="AB659" s="170"/>
      <c r="AC659" s="170"/>
      <c r="AD659" s="53"/>
      <c r="AE659" s="53"/>
    </row>
    <row r="660">
      <c r="A660" s="53"/>
      <c r="B660" s="53"/>
      <c r="C660" s="168"/>
      <c r="D660" s="169"/>
      <c r="E660" s="170"/>
      <c r="F660" s="53"/>
      <c r="G660" s="53"/>
      <c r="H660" s="53"/>
      <c r="I660" s="171"/>
      <c r="J660" s="170"/>
      <c r="K660" s="53"/>
      <c r="L660" s="53"/>
      <c r="M660" s="53"/>
      <c r="N660" s="171"/>
      <c r="O660" s="170"/>
      <c r="P660" s="53"/>
      <c r="Q660" s="53"/>
      <c r="R660" s="53"/>
      <c r="S660" s="171"/>
      <c r="T660" s="170"/>
      <c r="U660" s="53"/>
      <c r="V660" s="53"/>
      <c r="W660" s="53"/>
      <c r="X660" s="171"/>
      <c r="Y660" s="170"/>
      <c r="Z660" s="170"/>
      <c r="AA660" s="170"/>
      <c r="AB660" s="170"/>
      <c r="AC660" s="170"/>
      <c r="AD660" s="53"/>
      <c r="AE660" s="53"/>
    </row>
    <row r="661">
      <c r="A661" s="53"/>
      <c r="B661" s="53"/>
      <c r="C661" s="168"/>
      <c r="D661" s="169"/>
      <c r="E661" s="170"/>
      <c r="F661" s="53"/>
      <c r="G661" s="53"/>
      <c r="H661" s="53"/>
      <c r="I661" s="171"/>
      <c r="J661" s="170"/>
      <c r="K661" s="53"/>
      <c r="L661" s="53"/>
      <c r="M661" s="53"/>
      <c r="N661" s="171"/>
      <c r="O661" s="170"/>
      <c r="P661" s="53"/>
      <c r="Q661" s="53"/>
      <c r="R661" s="53"/>
      <c r="S661" s="171"/>
      <c r="T661" s="170"/>
      <c r="U661" s="53"/>
      <c r="V661" s="53"/>
      <c r="W661" s="53"/>
      <c r="X661" s="171"/>
      <c r="Y661" s="170"/>
      <c r="Z661" s="170"/>
      <c r="AA661" s="170"/>
      <c r="AB661" s="170"/>
      <c r="AC661" s="170"/>
      <c r="AD661" s="53"/>
      <c r="AE661" s="53"/>
    </row>
    <row r="662">
      <c r="A662" s="53"/>
      <c r="B662" s="53"/>
      <c r="C662" s="168"/>
      <c r="D662" s="169"/>
      <c r="E662" s="170"/>
      <c r="F662" s="53"/>
      <c r="G662" s="53"/>
      <c r="H662" s="53"/>
      <c r="I662" s="171"/>
      <c r="J662" s="170"/>
      <c r="K662" s="53"/>
      <c r="L662" s="53"/>
      <c r="M662" s="53"/>
      <c r="N662" s="171"/>
      <c r="O662" s="170"/>
      <c r="P662" s="53"/>
      <c r="Q662" s="53"/>
      <c r="R662" s="53"/>
      <c r="S662" s="171"/>
      <c r="T662" s="170"/>
      <c r="U662" s="53"/>
      <c r="V662" s="53"/>
      <c r="W662" s="53"/>
      <c r="X662" s="171"/>
      <c r="Y662" s="170"/>
      <c r="Z662" s="170"/>
      <c r="AA662" s="170"/>
      <c r="AB662" s="170"/>
      <c r="AC662" s="170"/>
      <c r="AD662" s="53"/>
      <c r="AE662" s="53"/>
    </row>
    <row r="663">
      <c r="A663" s="53"/>
      <c r="B663" s="53"/>
      <c r="C663" s="168"/>
      <c r="D663" s="169"/>
      <c r="E663" s="170"/>
      <c r="F663" s="53"/>
      <c r="G663" s="53"/>
      <c r="H663" s="53"/>
      <c r="I663" s="171"/>
      <c r="J663" s="170"/>
      <c r="K663" s="53"/>
      <c r="L663" s="53"/>
      <c r="M663" s="53"/>
      <c r="N663" s="171"/>
      <c r="O663" s="170"/>
      <c r="P663" s="53"/>
      <c r="Q663" s="53"/>
      <c r="R663" s="53"/>
      <c r="S663" s="171"/>
      <c r="T663" s="170"/>
      <c r="U663" s="53"/>
      <c r="V663" s="53"/>
      <c r="W663" s="53"/>
      <c r="X663" s="171"/>
      <c r="Y663" s="170"/>
      <c r="Z663" s="170"/>
      <c r="AA663" s="170"/>
      <c r="AB663" s="170"/>
      <c r="AC663" s="170"/>
      <c r="AD663" s="53"/>
      <c r="AE663" s="53"/>
    </row>
    <row r="664">
      <c r="A664" s="53"/>
      <c r="B664" s="53"/>
      <c r="C664" s="168"/>
      <c r="D664" s="169"/>
      <c r="E664" s="170"/>
      <c r="F664" s="53"/>
      <c r="G664" s="53"/>
      <c r="H664" s="53"/>
      <c r="I664" s="171"/>
      <c r="J664" s="170"/>
      <c r="K664" s="53"/>
      <c r="L664" s="53"/>
      <c r="M664" s="53"/>
      <c r="N664" s="171"/>
      <c r="O664" s="170"/>
      <c r="P664" s="53"/>
      <c r="Q664" s="53"/>
      <c r="R664" s="53"/>
      <c r="S664" s="171"/>
      <c r="T664" s="170"/>
      <c r="U664" s="53"/>
      <c r="V664" s="53"/>
      <c r="W664" s="53"/>
      <c r="X664" s="171"/>
      <c r="Y664" s="170"/>
      <c r="Z664" s="170"/>
      <c r="AA664" s="170"/>
      <c r="AB664" s="170"/>
      <c r="AC664" s="170"/>
      <c r="AD664" s="53"/>
      <c r="AE664" s="53"/>
    </row>
    <row r="665">
      <c r="A665" s="53"/>
      <c r="B665" s="53"/>
      <c r="C665" s="168"/>
      <c r="D665" s="169"/>
      <c r="E665" s="170"/>
      <c r="F665" s="53"/>
      <c r="G665" s="53"/>
      <c r="H665" s="53"/>
      <c r="I665" s="171"/>
      <c r="J665" s="170"/>
      <c r="K665" s="53"/>
      <c r="L665" s="53"/>
      <c r="M665" s="53"/>
      <c r="N665" s="171"/>
      <c r="O665" s="170"/>
      <c r="P665" s="53"/>
      <c r="Q665" s="53"/>
      <c r="R665" s="53"/>
      <c r="S665" s="171"/>
      <c r="T665" s="170"/>
      <c r="U665" s="53"/>
      <c r="V665" s="53"/>
      <c r="W665" s="53"/>
      <c r="X665" s="171"/>
      <c r="Y665" s="170"/>
      <c r="Z665" s="170"/>
      <c r="AA665" s="170"/>
      <c r="AB665" s="170"/>
      <c r="AC665" s="170"/>
      <c r="AD665" s="53"/>
      <c r="AE665" s="53"/>
    </row>
    <row r="666">
      <c r="A666" s="53"/>
      <c r="B666" s="53"/>
      <c r="C666" s="168"/>
      <c r="D666" s="169"/>
      <c r="E666" s="170"/>
      <c r="F666" s="53"/>
      <c r="G666" s="53"/>
      <c r="H666" s="53"/>
      <c r="I666" s="171"/>
      <c r="J666" s="170"/>
      <c r="K666" s="53"/>
      <c r="L666" s="53"/>
      <c r="M666" s="53"/>
      <c r="N666" s="171"/>
      <c r="O666" s="170"/>
      <c r="P666" s="53"/>
      <c r="Q666" s="53"/>
      <c r="R666" s="53"/>
      <c r="S666" s="171"/>
      <c r="T666" s="170"/>
      <c r="U666" s="53"/>
      <c r="V666" s="53"/>
      <c r="W666" s="53"/>
      <c r="X666" s="171"/>
      <c r="Y666" s="170"/>
      <c r="Z666" s="170"/>
      <c r="AA666" s="170"/>
      <c r="AB666" s="170"/>
      <c r="AC666" s="170"/>
      <c r="AD666" s="53"/>
      <c r="AE666" s="53"/>
    </row>
    <row r="667">
      <c r="A667" s="53"/>
      <c r="B667" s="53"/>
      <c r="C667" s="168"/>
      <c r="D667" s="169"/>
      <c r="E667" s="170"/>
      <c r="F667" s="53"/>
      <c r="G667" s="53"/>
      <c r="H667" s="53"/>
      <c r="I667" s="171"/>
      <c r="J667" s="170"/>
      <c r="K667" s="53"/>
      <c r="L667" s="53"/>
      <c r="M667" s="53"/>
      <c r="N667" s="171"/>
      <c r="O667" s="170"/>
      <c r="P667" s="53"/>
      <c r="Q667" s="53"/>
      <c r="R667" s="53"/>
      <c r="S667" s="171"/>
      <c r="T667" s="170"/>
      <c r="U667" s="53"/>
      <c r="V667" s="53"/>
      <c r="W667" s="53"/>
      <c r="X667" s="171"/>
      <c r="Y667" s="170"/>
      <c r="Z667" s="170"/>
      <c r="AA667" s="170"/>
      <c r="AB667" s="170"/>
      <c r="AC667" s="170"/>
      <c r="AD667" s="53"/>
      <c r="AE667" s="53"/>
    </row>
    <row r="668">
      <c r="A668" s="53"/>
      <c r="B668" s="53"/>
      <c r="C668" s="168"/>
      <c r="D668" s="169"/>
      <c r="E668" s="170"/>
      <c r="F668" s="53"/>
      <c r="G668" s="53"/>
      <c r="H668" s="53"/>
      <c r="I668" s="171"/>
      <c r="J668" s="170"/>
      <c r="K668" s="53"/>
      <c r="L668" s="53"/>
      <c r="M668" s="53"/>
      <c r="N668" s="171"/>
      <c r="O668" s="170"/>
      <c r="P668" s="53"/>
      <c r="Q668" s="53"/>
      <c r="R668" s="53"/>
      <c r="S668" s="171"/>
      <c r="T668" s="170"/>
      <c r="U668" s="53"/>
      <c r="V668" s="53"/>
      <c r="W668" s="53"/>
      <c r="X668" s="171"/>
      <c r="Y668" s="170"/>
      <c r="Z668" s="170"/>
      <c r="AA668" s="170"/>
      <c r="AB668" s="170"/>
      <c r="AC668" s="170"/>
      <c r="AD668" s="53"/>
      <c r="AE668" s="53"/>
    </row>
    <row r="669">
      <c r="A669" s="53"/>
      <c r="B669" s="53"/>
      <c r="C669" s="168"/>
      <c r="D669" s="169"/>
      <c r="E669" s="170"/>
      <c r="F669" s="53"/>
      <c r="G669" s="53"/>
      <c r="H669" s="53"/>
      <c r="I669" s="171"/>
      <c r="J669" s="170"/>
      <c r="K669" s="53"/>
      <c r="L669" s="53"/>
      <c r="M669" s="53"/>
      <c r="N669" s="171"/>
      <c r="O669" s="170"/>
      <c r="P669" s="53"/>
      <c r="Q669" s="53"/>
      <c r="R669" s="53"/>
      <c r="S669" s="171"/>
      <c r="T669" s="170"/>
      <c r="U669" s="53"/>
      <c r="V669" s="53"/>
      <c r="W669" s="53"/>
      <c r="X669" s="171"/>
      <c r="Y669" s="170"/>
      <c r="Z669" s="170"/>
      <c r="AA669" s="170"/>
      <c r="AB669" s="170"/>
      <c r="AC669" s="170"/>
      <c r="AD669" s="53"/>
      <c r="AE669" s="53"/>
    </row>
    <row r="670">
      <c r="A670" s="53"/>
      <c r="B670" s="53"/>
      <c r="C670" s="168"/>
      <c r="D670" s="169"/>
      <c r="E670" s="170"/>
      <c r="F670" s="53"/>
      <c r="G670" s="53"/>
      <c r="H670" s="53"/>
      <c r="I670" s="171"/>
      <c r="J670" s="170"/>
      <c r="K670" s="53"/>
      <c r="L670" s="53"/>
      <c r="M670" s="53"/>
      <c r="N670" s="171"/>
      <c r="O670" s="170"/>
      <c r="P670" s="53"/>
      <c r="Q670" s="53"/>
      <c r="R670" s="53"/>
      <c r="S670" s="171"/>
      <c r="T670" s="170"/>
      <c r="U670" s="53"/>
      <c r="V670" s="53"/>
      <c r="W670" s="53"/>
      <c r="X670" s="171"/>
      <c r="Y670" s="170"/>
      <c r="Z670" s="170"/>
      <c r="AA670" s="170"/>
      <c r="AB670" s="170"/>
      <c r="AC670" s="170"/>
      <c r="AD670" s="53"/>
      <c r="AE670" s="53"/>
    </row>
    <row r="671">
      <c r="A671" s="53"/>
      <c r="B671" s="53"/>
      <c r="C671" s="168"/>
      <c r="D671" s="169"/>
      <c r="E671" s="170"/>
      <c r="F671" s="53"/>
      <c r="G671" s="53"/>
      <c r="H671" s="53"/>
      <c r="I671" s="171"/>
      <c r="J671" s="170"/>
      <c r="K671" s="53"/>
      <c r="L671" s="53"/>
      <c r="M671" s="53"/>
      <c r="N671" s="171"/>
      <c r="O671" s="170"/>
      <c r="P671" s="53"/>
      <c r="Q671" s="53"/>
      <c r="R671" s="53"/>
      <c r="S671" s="171"/>
      <c r="T671" s="170"/>
      <c r="U671" s="53"/>
      <c r="V671" s="53"/>
      <c r="W671" s="53"/>
      <c r="X671" s="171"/>
      <c r="Y671" s="170"/>
      <c r="Z671" s="170"/>
      <c r="AA671" s="170"/>
      <c r="AB671" s="170"/>
      <c r="AC671" s="170"/>
      <c r="AD671" s="53"/>
      <c r="AE671" s="53"/>
    </row>
    <row r="672">
      <c r="A672" s="53"/>
      <c r="B672" s="53"/>
      <c r="C672" s="168"/>
      <c r="D672" s="169"/>
      <c r="E672" s="170"/>
      <c r="F672" s="53"/>
      <c r="G672" s="53"/>
      <c r="H672" s="53"/>
      <c r="I672" s="171"/>
      <c r="J672" s="170"/>
      <c r="K672" s="53"/>
      <c r="L672" s="53"/>
      <c r="M672" s="53"/>
      <c r="N672" s="171"/>
      <c r="O672" s="170"/>
      <c r="P672" s="53"/>
      <c r="Q672" s="53"/>
      <c r="R672" s="53"/>
      <c r="S672" s="171"/>
      <c r="T672" s="170"/>
      <c r="U672" s="53"/>
      <c r="V672" s="53"/>
      <c r="W672" s="53"/>
      <c r="X672" s="171"/>
      <c r="Y672" s="170"/>
      <c r="Z672" s="170"/>
      <c r="AA672" s="170"/>
      <c r="AB672" s="170"/>
      <c r="AC672" s="170"/>
      <c r="AD672" s="53"/>
      <c r="AE672" s="53"/>
    </row>
    <row r="673">
      <c r="A673" s="53"/>
      <c r="B673" s="53"/>
      <c r="C673" s="168"/>
      <c r="D673" s="169"/>
      <c r="E673" s="170"/>
      <c r="F673" s="53"/>
      <c r="G673" s="53"/>
      <c r="H673" s="53"/>
      <c r="I673" s="171"/>
      <c r="J673" s="170"/>
      <c r="K673" s="53"/>
      <c r="L673" s="53"/>
      <c r="M673" s="53"/>
      <c r="N673" s="171"/>
      <c r="O673" s="170"/>
      <c r="P673" s="53"/>
      <c r="Q673" s="53"/>
      <c r="R673" s="53"/>
      <c r="S673" s="171"/>
      <c r="T673" s="170"/>
      <c r="U673" s="53"/>
      <c r="V673" s="53"/>
      <c r="W673" s="53"/>
      <c r="X673" s="171"/>
      <c r="Y673" s="170"/>
      <c r="Z673" s="170"/>
      <c r="AA673" s="170"/>
      <c r="AB673" s="170"/>
      <c r="AC673" s="170"/>
      <c r="AD673" s="53"/>
      <c r="AE673" s="53"/>
    </row>
    <row r="674">
      <c r="A674" s="53"/>
      <c r="B674" s="53"/>
      <c r="C674" s="168"/>
      <c r="D674" s="169"/>
      <c r="E674" s="170"/>
      <c r="F674" s="53"/>
      <c r="G674" s="53"/>
      <c r="H674" s="53"/>
      <c r="I674" s="171"/>
      <c r="J674" s="170"/>
      <c r="K674" s="53"/>
      <c r="L674" s="53"/>
      <c r="M674" s="53"/>
      <c r="N674" s="171"/>
      <c r="O674" s="170"/>
      <c r="P674" s="53"/>
      <c r="Q674" s="53"/>
      <c r="R674" s="53"/>
      <c r="S674" s="171"/>
      <c r="T674" s="170"/>
      <c r="U674" s="53"/>
      <c r="V674" s="53"/>
      <c r="W674" s="53"/>
      <c r="X674" s="171"/>
      <c r="Y674" s="170"/>
      <c r="Z674" s="170"/>
      <c r="AA674" s="170"/>
      <c r="AB674" s="170"/>
      <c r="AC674" s="170"/>
      <c r="AD674" s="53"/>
      <c r="AE674" s="53"/>
    </row>
    <row r="675">
      <c r="A675" s="53"/>
      <c r="B675" s="53"/>
      <c r="C675" s="168"/>
      <c r="D675" s="169"/>
      <c r="E675" s="170"/>
      <c r="F675" s="53"/>
      <c r="G675" s="53"/>
      <c r="H675" s="53"/>
      <c r="I675" s="171"/>
      <c r="J675" s="170"/>
      <c r="K675" s="53"/>
      <c r="L675" s="53"/>
      <c r="M675" s="53"/>
      <c r="N675" s="171"/>
      <c r="O675" s="170"/>
      <c r="P675" s="53"/>
      <c r="Q675" s="53"/>
      <c r="R675" s="53"/>
      <c r="S675" s="171"/>
      <c r="T675" s="170"/>
      <c r="U675" s="53"/>
      <c r="V675" s="53"/>
      <c r="W675" s="53"/>
      <c r="X675" s="171"/>
      <c r="Y675" s="170"/>
      <c r="Z675" s="170"/>
      <c r="AA675" s="170"/>
      <c r="AB675" s="170"/>
      <c r="AC675" s="170"/>
      <c r="AD675" s="53"/>
      <c r="AE675" s="53"/>
    </row>
    <row r="676">
      <c r="A676" s="53"/>
      <c r="B676" s="53"/>
      <c r="C676" s="168"/>
      <c r="D676" s="169"/>
      <c r="E676" s="170"/>
      <c r="F676" s="53"/>
      <c r="G676" s="53"/>
      <c r="H676" s="53"/>
      <c r="I676" s="171"/>
      <c r="J676" s="170"/>
      <c r="K676" s="53"/>
      <c r="L676" s="53"/>
      <c r="M676" s="53"/>
      <c r="N676" s="171"/>
      <c r="O676" s="170"/>
      <c r="P676" s="53"/>
      <c r="Q676" s="53"/>
      <c r="R676" s="53"/>
      <c r="S676" s="171"/>
      <c r="T676" s="170"/>
      <c r="U676" s="53"/>
      <c r="V676" s="53"/>
      <c r="W676" s="53"/>
      <c r="X676" s="171"/>
      <c r="Y676" s="170"/>
      <c r="Z676" s="170"/>
      <c r="AA676" s="170"/>
      <c r="AB676" s="170"/>
      <c r="AC676" s="170"/>
      <c r="AD676" s="53"/>
      <c r="AE676" s="53"/>
    </row>
    <row r="677">
      <c r="A677" s="53"/>
      <c r="B677" s="53"/>
      <c r="C677" s="168"/>
      <c r="D677" s="169"/>
      <c r="E677" s="170"/>
      <c r="F677" s="53"/>
      <c r="G677" s="53"/>
      <c r="H677" s="53"/>
      <c r="I677" s="171"/>
      <c r="J677" s="170"/>
      <c r="K677" s="53"/>
      <c r="L677" s="53"/>
      <c r="M677" s="53"/>
      <c r="N677" s="171"/>
      <c r="O677" s="170"/>
      <c r="P677" s="53"/>
      <c r="Q677" s="53"/>
      <c r="R677" s="53"/>
      <c r="S677" s="171"/>
      <c r="T677" s="170"/>
      <c r="U677" s="53"/>
      <c r="V677" s="53"/>
      <c r="W677" s="53"/>
      <c r="X677" s="171"/>
      <c r="Y677" s="170"/>
      <c r="Z677" s="170"/>
      <c r="AA677" s="170"/>
      <c r="AB677" s="170"/>
      <c r="AC677" s="170"/>
      <c r="AD677" s="53"/>
      <c r="AE677" s="53"/>
    </row>
    <row r="678">
      <c r="A678" s="53"/>
      <c r="B678" s="53"/>
      <c r="C678" s="168"/>
      <c r="D678" s="169"/>
      <c r="E678" s="170"/>
      <c r="F678" s="53"/>
      <c r="G678" s="53"/>
      <c r="H678" s="53"/>
      <c r="I678" s="171"/>
      <c r="J678" s="170"/>
      <c r="K678" s="53"/>
      <c r="L678" s="53"/>
      <c r="M678" s="53"/>
      <c r="N678" s="171"/>
      <c r="O678" s="170"/>
      <c r="P678" s="53"/>
      <c r="Q678" s="53"/>
      <c r="R678" s="53"/>
      <c r="S678" s="171"/>
      <c r="T678" s="170"/>
      <c r="U678" s="53"/>
      <c r="V678" s="53"/>
      <c r="W678" s="53"/>
      <c r="X678" s="171"/>
      <c r="Y678" s="170"/>
      <c r="Z678" s="170"/>
      <c r="AA678" s="170"/>
      <c r="AB678" s="170"/>
      <c r="AC678" s="170"/>
      <c r="AD678" s="53"/>
      <c r="AE678" s="53"/>
    </row>
    <row r="679">
      <c r="A679" s="53"/>
      <c r="B679" s="53"/>
      <c r="C679" s="168"/>
      <c r="D679" s="169"/>
      <c r="E679" s="170"/>
      <c r="F679" s="53"/>
      <c r="G679" s="53"/>
      <c r="H679" s="53"/>
      <c r="I679" s="171"/>
      <c r="J679" s="170"/>
      <c r="K679" s="53"/>
      <c r="L679" s="53"/>
      <c r="M679" s="53"/>
      <c r="N679" s="171"/>
      <c r="O679" s="170"/>
      <c r="P679" s="53"/>
      <c r="Q679" s="53"/>
      <c r="R679" s="53"/>
      <c r="S679" s="171"/>
      <c r="T679" s="170"/>
      <c r="U679" s="53"/>
      <c r="V679" s="53"/>
      <c r="W679" s="53"/>
      <c r="X679" s="171"/>
      <c r="Y679" s="170"/>
      <c r="Z679" s="170"/>
      <c r="AA679" s="170"/>
      <c r="AB679" s="170"/>
      <c r="AC679" s="170"/>
      <c r="AD679" s="53"/>
      <c r="AE679" s="53"/>
    </row>
    <row r="680">
      <c r="A680" s="53"/>
      <c r="B680" s="53"/>
      <c r="C680" s="168"/>
      <c r="D680" s="169"/>
      <c r="E680" s="170"/>
      <c r="F680" s="53"/>
      <c r="G680" s="53"/>
      <c r="H680" s="53"/>
      <c r="I680" s="171"/>
      <c r="J680" s="170"/>
      <c r="K680" s="53"/>
      <c r="L680" s="53"/>
      <c r="M680" s="53"/>
      <c r="N680" s="171"/>
      <c r="O680" s="170"/>
      <c r="P680" s="53"/>
      <c r="Q680" s="53"/>
      <c r="R680" s="53"/>
      <c r="S680" s="171"/>
      <c r="T680" s="170"/>
      <c r="U680" s="53"/>
      <c r="V680" s="53"/>
      <c r="W680" s="53"/>
      <c r="X680" s="171"/>
      <c r="Y680" s="170"/>
      <c r="Z680" s="170"/>
      <c r="AA680" s="170"/>
      <c r="AB680" s="170"/>
      <c r="AC680" s="170"/>
      <c r="AD680" s="53"/>
      <c r="AE680" s="53"/>
    </row>
    <row r="681">
      <c r="A681" s="53"/>
      <c r="B681" s="53"/>
      <c r="C681" s="168"/>
      <c r="D681" s="169"/>
      <c r="E681" s="170"/>
      <c r="F681" s="53"/>
      <c r="G681" s="53"/>
      <c r="H681" s="53"/>
      <c r="I681" s="171"/>
      <c r="J681" s="170"/>
      <c r="K681" s="53"/>
      <c r="L681" s="53"/>
      <c r="M681" s="53"/>
      <c r="N681" s="171"/>
      <c r="O681" s="170"/>
      <c r="P681" s="53"/>
      <c r="Q681" s="53"/>
      <c r="R681" s="53"/>
      <c r="S681" s="171"/>
      <c r="T681" s="170"/>
      <c r="U681" s="53"/>
      <c r="V681" s="53"/>
      <c r="W681" s="53"/>
      <c r="X681" s="171"/>
      <c r="Y681" s="170"/>
      <c r="Z681" s="170"/>
      <c r="AA681" s="170"/>
      <c r="AB681" s="170"/>
      <c r="AC681" s="170"/>
      <c r="AD681" s="53"/>
      <c r="AE681" s="53"/>
    </row>
    <row r="682">
      <c r="A682" s="53"/>
      <c r="B682" s="53"/>
      <c r="C682" s="168"/>
      <c r="D682" s="169"/>
      <c r="E682" s="170"/>
      <c r="F682" s="53"/>
      <c r="G682" s="53"/>
      <c r="H682" s="53"/>
      <c r="I682" s="171"/>
      <c r="J682" s="170"/>
      <c r="K682" s="53"/>
      <c r="L682" s="53"/>
      <c r="M682" s="53"/>
      <c r="N682" s="171"/>
      <c r="O682" s="170"/>
      <c r="P682" s="53"/>
      <c r="Q682" s="53"/>
      <c r="R682" s="53"/>
      <c r="S682" s="171"/>
      <c r="T682" s="170"/>
      <c r="U682" s="53"/>
      <c r="V682" s="53"/>
      <c r="W682" s="53"/>
      <c r="X682" s="171"/>
      <c r="Y682" s="170"/>
      <c r="Z682" s="170"/>
      <c r="AA682" s="170"/>
      <c r="AB682" s="170"/>
      <c r="AC682" s="170"/>
      <c r="AD682" s="53"/>
      <c r="AE682" s="53"/>
    </row>
    <row r="683">
      <c r="A683" s="53"/>
      <c r="B683" s="53"/>
      <c r="C683" s="168"/>
      <c r="D683" s="169"/>
      <c r="E683" s="170"/>
      <c r="F683" s="53"/>
      <c r="G683" s="53"/>
      <c r="H683" s="53"/>
      <c r="I683" s="171"/>
      <c r="J683" s="170"/>
      <c r="K683" s="53"/>
      <c r="L683" s="53"/>
      <c r="M683" s="53"/>
      <c r="N683" s="171"/>
      <c r="O683" s="170"/>
      <c r="P683" s="53"/>
      <c r="Q683" s="53"/>
      <c r="R683" s="53"/>
      <c r="S683" s="171"/>
      <c r="T683" s="170"/>
      <c r="U683" s="53"/>
      <c r="V683" s="53"/>
      <c r="W683" s="53"/>
      <c r="X683" s="171"/>
      <c r="Y683" s="170"/>
      <c r="Z683" s="170"/>
      <c r="AA683" s="170"/>
      <c r="AB683" s="170"/>
      <c r="AC683" s="170"/>
      <c r="AD683" s="53"/>
      <c r="AE683" s="53"/>
    </row>
    <row r="684">
      <c r="A684" s="53"/>
      <c r="B684" s="53"/>
      <c r="C684" s="168"/>
      <c r="D684" s="169"/>
      <c r="E684" s="170"/>
      <c r="F684" s="53"/>
      <c r="G684" s="53"/>
      <c r="H684" s="53"/>
      <c r="I684" s="171"/>
      <c r="J684" s="170"/>
      <c r="K684" s="53"/>
      <c r="L684" s="53"/>
      <c r="M684" s="53"/>
      <c r="N684" s="171"/>
      <c r="O684" s="170"/>
      <c r="P684" s="53"/>
      <c r="Q684" s="53"/>
      <c r="R684" s="53"/>
      <c r="S684" s="171"/>
      <c r="T684" s="170"/>
      <c r="U684" s="53"/>
      <c r="V684" s="53"/>
      <c r="W684" s="53"/>
      <c r="X684" s="171"/>
      <c r="Y684" s="170"/>
      <c r="Z684" s="170"/>
      <c r="AA684" s="170"/>
      <c r="AB684" s="170"/>
      <c r="AC684" s="170"/>
      <c r="AD684" s="53"/>
      <c r="AE684" s="53"/>
    </row>
    <row r="685">
      <c r="A685" s="53"/>
      <c r="B685" s="53"/>
      <c r="C685" s="168"/>
      <c r="D685" s="169"/>
      <c r="E685" s="170"/>
      <c r="F685" s="53"/>
      <c r="G685" s="53"/>
      <c r="H685" s="53"/>
      <c r="I685" s="171"/>
      <c r="J685" s="170"/>
      <c r="K685" s="53"/>
      <c r="L685" s="53"/>
      <c r="M685" s="53"/>
      <c r="N685" s="171"/>
      <c r="O685" s="170"/>
      <c r="P685" s="53"/>
      <c r="Q685" s="53"/>
      <c r="R685" s="53"/>
      <c r="S685" s="171"/>
      <c r="T685" s="170"/>
      <c r="U685" s="53"/>
      <c r="V685" s="53"/>
      <c r="W685" s="53"/>
      <c r="X685" s="171"/>
      <c r="Y685" s="170"/>
      <c r="Z685" s="170"/>
      <c r="AA685" s="170"/>
      <c r="AB685" s="170"/>
      <c r="AC685" s="170"/>
      <c r="AD685" s="53"/>
      <c r="AE685" s="53"/>
    </row>
    <row r="686">
      <c r="A686" s="53"/>
      <c r="B686" s="53"/>
      <c r="C686" s="168"/>
      <c r="D686" s="169"/>
      <c r="E686" s="170"/>
      <c r="F686" s="53"/>
      <c r="G686" s="53"/>
      <c r="H686" s="53"/>
      <c r="I686" s="171"/>
      <c r="J686" s="170"/>
      <c r="K686" s="53"/>
      <c r="L686" s="53"/>
      <c r="M686" s="53"/>
      <c r="N686" s="171"/>
      <c r="O686" s="170"/>
      <c r="P686" s="53"/>
      <c r="Q686" s="53"/>
      <c r="R686" s="53"/>
      <c r="S686" s="171"/>
      <c r="T686" s="170"/>
      <c r="U686" s="53"/>
      <c r="V686" s="53"/>
      <c r="W686" s="53"/>
      <c r="X686" s="171"/>
      <c r="Y686" s="170"/>
      <c r="Z686" s="170"/>
      <c r="AA686" s="170"/>
      <c r="AB686" s="170"/>
      <c r="AC686" s="170"/>
      <c r="AD686" s="53"/>
      <c r="AE686" s="53"/>
    </row>
    <row r="687">
      <c r="A687" s="53"/>
      <c r="B687" s="53"/>
      <c r="C687" s="168"/>
      <c r="D687" s="169"/>
      <c r="E687" s="170"/>
      <c r="F687" s="53"/>
      <c r="G687" s="53"/>
      <c r="H687" s="53"/>
      <c r="I687" s="171"/>
      <c r="J687" s="170"/>
      <c r="K687" s="53"/>
      <c r="L687" s="53"/>
      <c r="M687" s="53"/>
      <c r="N687" s="171"/>
      <c r="O687" s="170"/>
      <c r="P687" s="53"/>
      <c r="Q687" s="53"/>
      <c r="R687" s="53"/>
      <c r="S687" s="171"/>
      <c r="T687" s="170"/>
      <c r="U687" s="53"/>
      <c r="V687" s="53"/>
      <c r="W687" s="53"/>
      <c r="X687" s="171"/>
      <c r="Y687" s="170"/>
      <c r="Z687" s="170"/>
      <c r="AA687" s="170"/>
      <c r="AB687" s="170"/>
      <c r="AC687" s="170"/>
      <c r="AD687" s="53"/>
      <c r="AE687" s="53"/>
    </row>
    <row r="688">
      <c r="A688" s="53"/>
      <c r="B688" s="53"/>
      <c r="C688" s="168"/>
      <c r="D688" s="169"/>
      <c r="E688" s="170"/>
      <c r="F688" s="53"/>
      <c r="G688" s="53"/>
      <c r="H688" s="53"/>
      <c r="I688" s="171"/>
      <c r="J688" s="170"/>
      <c r="K688" s="53"/>
      <c r="L688" s="53"/>
      <c r="M688" s="53"/>
      <c r="N688" s="171"/>
      <c r="O688" s="170"/>
      <c r="P688" s="53"/>
      <c r="Q688" s="53"/>
      <c r="R688" s="53"/>
      <c r="S688" s="171"/>
      <c r="T688" s="170"/>
      <c r="U688" s="53"/>
      <c r="V688" s="53"/>
      <c r="W688" s="53"/>
      <c r="X688" s="171"/>
      <c r="Y688" s="170"/>
      <c r="Z688" s="170"/>
      <c r="AA688" s="170"/>
      <c r="AB688" s="170"/>
      <c r="AC688" s="170"/>
      <c r="AD688" s="53"/>
      <c r="AE688" s="53"/>
    </row>
    <row r="689">
      <c r="A689" s="53"/>
      <c r="B689" s="53"/>
      <c r="C689" s="168"/>
      <c r="D689" s="169"/>
      <c r="E689" s="170"/>
      <c r="F689" s="53"/>
      <c r="G689" s="53"/>
      <c r="H689" s="53"/>
      <c r="I689" s="171"/>
      <c r="J689" s="170"/>
      <c r="K689" s="53"/>
      <c r="L689" s="53"/>
      <c r="M689" s="53"/>
      <c r="N689" s="171"/>
      <c r="O689" s="170"/>
      <c r="P689" s="53"/>
      <c r="Q689" s="53"/>
      <c r="R689" s="53"/>
      <c r="S689" s="171"/>
      <c r="T689" s="170"/>
      <c r="U689" s="53"/>
      <c r="V689" s="53"/>
      <c r="W689" s="53"/>
      <c r="X689" s="171"/>
      <c r="Y689" s="170"/>
      <c r="Z689" s="170"/>
      <c r="AA689" s="170"/>
      <c r="AB689" s="170"/>
      <c r="AC689" s="170"/>
      <c r="AD689" s="53"/>
      <c r="AE689" s="53"/>
    </row>
    <row r="690">
      <c r="A690" s="53"/>
      <c r="B690" s="53"/>
      <c r="C690" s="168"/>
      <c r="D690" s="169"/>
      <c r="E690" s="170"/>
      <c r="F690" s="53"/>
      <c r="G690" s="53"/>
      <c r="H690" s="53"/>
      <c r="I690" s="171"/>
      <c r="J690" s="170"/>
      <c r="K690" s="53"/>
      <c r="L690" s="53"/>
      <c r="M690" s="53"/>
      <c r="N690" s="171"/>
      <c r="O690" s="170"/>
      <c r="P690" s="53"/>
      <c r="Q690" s="53"/>
      <c r="R690" s="53"/>
      <c r="S690" s="171"/>
      <c r="T690" s="170"/>
      <c r="U690" s="53"/>
      <c r="V690" s="53"/>
      <c r="W690" s="53"/>
      <c r="X690" s="171"/>
      <c r="Y690" s="170"/>
      <c r="Z690" s="170"/>
      <c r="AA690" s="170"/>
      <c r="AB690" s="170"/>
      <c r="AC690" s="170"/>
      <c r="AD690" s="53"/>
      <c r="AE690" s="53"/>
    </row>
    <row r="691">
      <c r="A691" s="53"/>
      <c r="B691" s="53"/>
      <c r="C691" s="168"/>
      <c r="D691" s="169"/>
      <c r="E691" s="170"/>
      <c r="F691" s="53"/>
      <c r="G691" s="53"/>
      <c r="H691" s="53"/>
      <c r="I691" s="171"/>
      <c r="J691" s="170"/>
      <c r="K691" s="53"/>
      <c r="L691" s="53"/>
      <c r="M691" s="53"/>
      <c r="N691" s="171"/>
      <c r="O691" s="170"/>
      <c r="P691" s="53"/>
      <c r="Q691" s="53"/>
      <c r="R691" s="53"/>
      <c r="S691" s="171"/>
      <c r="T691" s="170"/>
      <c r="U691" s="53"/>
      <c r="V691" s="53"/>
      <c r="W691" s="53"/>
      <c r="X691" s="171"/>
      <c r="Y691" s="170"/>
      <c r="Z691" s="170"/>
      <c r="AA691" s="170"/>
      <c r="AB691" s="170"/>
      <c r="AC691" s="170"/>
      <c r="AD691" s="53"/>
      <c r="AE691" s="53"/>
    </row>
    <row r="692">
      <c r="A692" s="53"/>
      <c r="B692" s="53"/>
      <c r="C692" s="168"/>
      <c r="D692" s="169"/>
      <c r="E692" s="170"/>
      <c r="F692" s="53"/>
      <c r="G692" s="53"/>
      <c r="H692" s="53"/>
      <c r="I692" s="171"/>
      <c r="J692" s="170"/>
      <c r="K692" s="53"/>
      <c r="L692" s="53"/>
      <c r="M692" s="53"/>
      <c r="N692" s="171"/>
      <c r="O692" s="170"/>
      <c r="P692" s="53"/>
      <c r="Q692" s="53"/>
      <c r="R692" s="53"/>
      <c r="S692" s="171"/>
      <c r="T692" s="170"/>
      <c r="U692" s="53"/>
      <c r="V692" s="53"/>
      <c r="W692" s="53"/>
      <c r="X692" s="171"/>
      <c r="Y692" s="170"/>
      <c r="Z692" s="170"/>
      <c r="AA692" s="170"/>
      <c r="AB692" s="170"/>
      <c r="AC692" s="170"/>
      <c r="AD692" s="53"/>
      <c r="AE692" s="53"/>
    </row>
    <row r="693">
      <c r="A693" s="53"/>
      <c r="B693" s="53"/>
      <c r="C693" s="168"/>
      <c r="D693" s="169"/>
      <c r="E693" s="170"/>
      <c r="F693" s="53"/>
      <c r="G693" s="53"/>
      <c r="H693" s="53"/>
      <c r="I693" s="171"/>
      <c r="J693" s="170"/>
      <c r="K693" s="53"/>
      <c r="L693" s="53"/>
      <c r="M693" s="53"/>
      <c r="N693" s="171"/>
      <c r="O693" s="170"/>
      <c r="P693" s="53"/>
      <c r="Q693" s="53"/>
      <c r="R693" s="53"/>
      <c r="S693" s="171"/>
      <c r="T693" s="170"/>
      <c r="U693" s="53"/>
      <c r="V693" s="53"/>
      <c r="W693" s="53"/>
      <c r="X693" s="171"/>
      <c r="Y693" s="170"/>
      <c r="Z693" s="170"/>
      <c r="AA693" s="170"/>
      <c r="AB693" s="170"/>
      <c r="AC693" s="170"/>
      <c r="AD693" s="53"/>
      <c r="AE693" s="53"/>
    </row>
    <row r="694">
      <c r="A694" s="53"/>
      <c r="B694" s="53"/>
      <c r="C694" s="168"/>
      <c r="D694" s="169"/>
      <c r="E694" s="170"/>
      <c r="F694" s="53"/>
      <c r="G694" s="53"/>
      <c r="H694" s="53"/>
      <c r="I694" s="171"/>
      <c r="J694" s="170"/>
      <c r="K694" s="53"/>
      <c r="L694" s="53"/>
      <c r="M694" s="53"/>
      <c r="N694" s="171"/>
      <c r="O694" s="170"/>
      <c r="P694" s="53"/>
      <c r="Q694" s="53"/>
      <c r="R694" s="53"/>
      <c r="S694" s="171"/>
      <c r="T694" s="170"/>
      <c r="U694" s="53"/>
      <c r="V694" s="53"/>
      <c r="W694" s="53"/>
      <c r="X694" s="171"/>
      <c r="Y694" s="170"/>
      <c r="Z694" s="170"/>
      <c r="AA694" s="170"/>
      <c r="AB694" s="170"/>
      <c r="AC694" s="170"/>
      <c r="AD694" s="53"/>
      <c r="AE694" s="53"/>
    </row>
    <row r="695">
      <c r="A695" s="53"/>
      <c r="B695" s="53"/>
      <c r="C695" s="168"/>
      <c r="D695" s="169"/>
      <c r="E695" s="170"/>
      <c r="F695" s="53"/>
      <c r="G695" s="53"/>
      <c r="H695" s="53"/>
      <c r="I695" s="171"/>
      <c r="J695" s="170"/>
      <c r="K695" s="53"/>
      <c r="L695" s="53"/>
      <c r="M695" s="53"/>
      <c r="N695" s="171"/>
      <c r="O695" s="170"/>
      <c r="P695" s="53"/>
      <c r="Q695" s="53"/>
      <c r="R695" s="53"/>
      <c r="S695" s="171"/>
      <c r="T695" s="170"/>
      <c r="U695" s="53"/>
      <c r="V695" s="53"/>
      <c r="W695" s="53"/>
      <c r="X695" s="171"/>
      <c r="Y695" s="170"/>
      <c r="Z695" s="170"/>
      <c r="AA695" s="170"/>
      <c r="AB695" s="170"/>
      <c r="AC695" s="170"/>
      <c r="AD695" s="53"/>
      <c r="AE695" s="53"/>
    </row>
    <row r="696">
      <c r="A696" s="53"/>
      <c r="B696" s="53"/>
      <c r="C696" s="168"/>
      <c r="D696" s="169"/>
      <c r="E696" s="170"/>
      <c r="F696" s="53"/>
      <c r="G696" s="53"/>
      <c r="H696" s="53"/>
      <c r="I696" s="171"/>
      <c r="J696" s="170"/>
      <c r="K696" s="53"/>
      <c r="L696" s="53"/>
      <c r="M696" s="53"/>
      <c r="N696" s="171"/>
      <c r="O696" s="170"/>
      <c r="P696" s="53"/>
      <c r="Q696" s="53"/>
      <c r="R696" s="53"/>
      <c r="S696" s="171"/>
      <c r="T696" s="170"/>
      <c r="U696" s="53"/>
      <c r="V696" s="53"/>
      <c r="W696" s="53"/>
      <c r="X696" s="171"/>
      <c r="Y696" s="170"/>
      <c r="Z696" s="170"/>
      <c r="AA696" s="170"/>
      <c r="AB696" s="170"/>
      <c r="AC696" s="170"/>
      <c r="AD696" s="53"/>
      <c r="AE696" s="53"/>
    </row>
    <row r="697">
      <c r="A697" s="53"/>
      <c r="B697" s="53"/>
      <c r="C697" s="168"/>
      <c r="D697" s="169"/>
      <c r="E697" s="170"/>
      <c r="F697" s="53"/>
      <c r="G697" s="53"/>
      <c r="H697" s="53"/>
      <c r="I697" s="171"/>
      <c r="J697" s="170"/>
      <c r="K697" s="53"/>
      <c r="L697" s="53"/>
      <c r="M697" s="53"/>
      <c r="N697" s="171"/>
      <c r="O697" s="170"/>
      <c r="P697" s="53"/>
      <c r="Q697" s="53"/>
      <c r="R697" s="53"/>
      <c r="S697" s="171"/>
      <c r="T697" s="170"/>
      <c r="U697" s="53"/>
      <c r="V697" s="53"/>
      <c r="W697" s="53"/>
      <c r="X697" s="171"/>
      <c r="Y697" s="170"/>
      <c r="Z697" s="170"/>
      <c r="AA697" s="170"/>
      <c r="AB697" s="170"/>
      <c r="AC697" s="170"/>
      <c r="AD697" s="53"/>
      <c r="AE697" s="53"/>
    </row>
    <row r="698">
      <c r="A698" s="53"/>
      <c r="B698" s="53"/>
      <c r="C698" s="168"/>
      <c r="D698" s="169"/>
      <c r="E698" s="170"/>
      <c r="F698" s="53"/>
      <c r="G698" s="53"/>
      <c r="H698" s="53"/>
      <c r="I698" s="171"/>
      <c r="J698" s="170"/>
      <c r="K698" s="53"/>
      <c r="L698" s="53"/>
      <c r="M698" s="53"/>
      <c r="N698" s="171"/>
      <c r="O698" s="170"/>
      <c r="P698" s="53"/>
      <c r="Q698" s="53"/>
      <c r="R698" s="53"/>
      <c r="S698" s="171"/>
      <c r="T698" s="170"/>
      <c r="U698" s="53"/>
      <c r="V698" s="53"/>
      <c r="W698" s="53"/>
      <c r="X698" s="171"/>
      <c r="Y698" s="170"/>
      <c r="Z698" s="170"/>
      <c r="AA698" s="170"/>
      <c r="AB698" s="170"/>
      <c r="AC698" s="170"/>
      <c r="AD698" s="53"/>
      <c r="AE698" s="53"/>
    </row>
    <row r="699">
      <c r="A699" s="53"/>
      <c r="B699" s="53"/>
      <c r="C699" s="168"/>
      <c r="D699" s="169"/>
      <c r="E699" s="170"/>
      <c r="F699" s="53"/>
      <c r="G699" s="53"/>
      <c r="H699" s="53"/>
      <c r="I699" s="171"/>
      <c r="J699" s="170"/>
      <c r="K699" s="53"/>
      <c r="L699" s="53"/>
      <c r="M699" s="53"/>
      <c r="N699" s="171"/>
      <c r="O699" s="170"/>
      <c r="P699" s="53"/>
      <c r="Q699" s="53"/>
      <c r="R699" s="53"/>
      <c r="S699" s="171"/>
      <c r="T699" s="170"/>
      <c r="U699" s="53"/>
      <c r="V699" s="53"/>
      <c r="W699" s="53"/>
      <c r="X699" s="171"/>
      <c r="Y699" s="170"/>
      <c r="Z699" s="170"/>
      <c r="AA699" s="170"/>
      <c r="AB699" s="170"/>
      <c r="AC699" s="170"/>
      <c r="AD699" s="53"/>
      <c r="AE699" s="53"/>
    </row>
    <row r="700">
      <c r="A700" s="53"/>
      <c r="B700" s="53"/>
      <c r="C700" s="168"/>
      <c r="D700" s="169"/>
      <c r="E700" s="170"/>
      <c r="F700" s="53"/>
      <c r="G700" s="53"/>
      <c r="H700" s="53"/>
      <c r="I700" s="171"/>
      <c r="J700" s="170"/>
      <c r="K700" s="53"/>
      <c r="L700" s="53"/>
      <c r="M700" s="53"/>
      <c r="N700" s="171"/>
      <c r="O700" s="170"/>
      <c r="P700" s="53"/>
      <c r="Q700" s="53"/>
      <c r="R700" s="53"/>
      <c r="S700" s="171"/>
      <c r="T700" s="170"/>
      <c r="U700" s="53"/>
      <c r="V700" s="53"/>
      <c r="W700" s="53"/>
      <c r="X700" s="171"/>
      <c r="Y700" s="170"/>
      <c r="Z700" s="170"/>
      <c r="AA700" s="170"/>
      <c r="AB700" s="170"/>
      <c r="AC700" s="170"/>
      <c r="AD700" s="53"/>
      <c r="AE700" s="53"/>
    </row>
    <row r="701">
      <c r="A701" s="53"/>
      <c r="B701" s="53"/>
      <c r="C701" s="168"/>
      <c r="D701" s="169"/>
      <c r="E701" s="170"/>
      <c r="F701" s="53"/>
      <c r="G701" s="53"/>
      <c r="H701" s="53"/>
      <c r="I701" s="171"/>
      <c r="J701" s="170"/>
      <c r="K701" s="53"/>
      <c r="L701" s="53"/>
      <c r="M701" s="53"/>
      <c r="N701" s="171"/>
      <c r="O701" s="170"/>
      <c r="P701" s="53"/>
      <c r="Q701" s="53"/>
      <c r="R701" s="53"/>
      <c r="S701" s="171"/>
      <c r="T701" s="170"/>
      <c r="U701" s="53"/>
      <c r="V701" s="53"/>
      <c r="W701" s="53"/>
      <c r="X701" s="171"/>
      <c r="Y701" s="170"/>
      <c r="Z701" s="170"/>
      <c r="AA701" s="170"/>
      <c r="AB701" s="170"/>
      <c r="AC701" s="170"/>
      <c r="AD701" s="53"/>
      <c r="AE701" s="53"/>
    </row>
    <row r="702">
      <c r="A702" s="53"/>
      <c r="B702" s="53"/>
      <c r="C702" s="168"/>
      <c r="D702" s="169"/>
      <c r="E702" s="170"/>
      <c r="F702" s="53"/>
      <c r="G702" s="53"/>
      <c r="H702" s="53"/>
      <c r="I702" s="171"/>
      <c r="J702" s="170"/>
      <c r="K702" s="53"/>
      <c r="L702" s="53"/>
      <c r="M702" s="53"/>
      <c r="N702" s="171"/>
      <c r="O702" s="170"/>
      <c r="P702" s="53"/>
      <c r="Q702" s="53"/>
      <c r="R702" s="53"/>
      <c r="S702" s="171"/>
      <c r="T702" s="170"/>
      <c r="U702" s="53"/>
      <c r="V702" s="53"/>
      <c r="W702" s="53"/>
      <c r="X702" s="171"/>
      <c r="Y702" s="170"/>
      <c r="Z702" s="170"/>
      <c r="AA702" s="170"/>
      <c r="AB702" s="170"/>
      <c r="AC702" s="170"/>
      <c r="AD702" s="53"/>
      <c r="AE702" s="53"/>
    </row>
    <row r="703">
      <c r="A703" s="53"/>
      <c r="B703" s="53"/>
      <c r="C703" s="168"/>
      <c r="D703" s="169"/>
      <c r="E703" s="170"/>
      <c r="F703" s="53"/>
      <c r="G703" s="53"/>
      <c r="H703" s="53"/>
      <c r="I703" s="171"/>
      <c r="J703" s="170"/>
      <c r="K703" s="53"/>
      <c r="L703" s="53"/>
      <c r="M703" s="53"/>
      <c r="N703" s="171"/>
      <c r="O703" s="170"/>
      <c r="P703" s="53"/>
      <c r="Q703" s="53"/>
      <c r="R703" s="53"/>
      <c r="S703" s="171"/>
      <c r="T703" s="170"/>
      <c r="U703" s="53"/>
      <c r="V703" s="53"/>
      <c r="W703" s="53"/>
      <c r="X703" s="171"/>
      <c r="Y703" s="170"/>
      <c r="Z703" s="170"/>
      <c r="AA703" s="170"/>
      <c r="AB703" s="170"/>
      <c r="AC703" s="170"/>
      <c r="AD703" s="53"/>
      <c r="AE703" s="53"/>
    </row>
    <row r="704">
      <c r="A704" s="53"/>
      <c r="B704" s="53"/>
      <c r="C704" s="168"/>
      <c r="D704" s="169"/>
      <c r="E704" s="170"/>
      <c r="F704" s="53"/>
      <c r="G704" s="53"/>
      <c r="H704" s="53"/>
      <c r="I704" s="171"/>
      <c r="J704" s="170"/>
      <c r="K704" s="53"/>
      <c r="L704" s="53"/>
      <c r="M704" s="53"/>
      <c r="N704" s="171"/>
      <c r="O704" s="170"/>
      <c r="P704" s="53"/>
      <c r="Q704" s="53"/>
      <c r="R704" s="53"/>
      <c r="S704" s="171"/>
      <c r="T704" s="170"/>
      <c r="U704" s="53"/>
      <c r="V704" s="53"/>
      <c r="W704" s="53"/>
      <c r="X704" s="171"/>
      <c r="Y704" s="170"/>
      <c r="Z704" s="170"/>
      <c r="AA704" s="170"/>
      <c r="AB704" s="170"/>
      <c r="AC704" s="170"/>
      <c r="AD704" s="53"/>
      <c r="AE704" s="53"/>
    </row>
    <row r="705">
      <c r="A705" s="53"/>
      <c r="B705" s="53"/>
      <c r="C705" s="168"/>
      <c r="D705" s="169"/>
      <c r="E705" s="170"/>
      <c r="F705" s="53"/>
      <c r="G705" s="53"/>
      <c r="H705" s="53"/>
      <c r="I705" s="171"/>
      <c r="J705" s="170"/>
      <c r="K705" s="53"/>
      <c r="L705" s="53"/>
      <c r="M705" s="53"/>
      <c r="N705" s="171"/>
      <c r="O705" s="170"/>
      <c r="P705" s="53"/>
      <c r="Q705" s="53"/>
      <c r="R705" s="53"/>
      <c r="S705" s="171"/>
      <c r="T705" s="170"/>
      <c r="U705" s="53"/>
      <c r="V705" s="53"/>
      <c r="W705" s="53"/>
      <c r="X705" s="171"/>
      <c r="Y705" s="170"/>
      <c r="Z705" s="170"/>
      <c r="AA705" s="170"/>
      <c r="AB705" s="170"/>
      <c r="AC705" s="170"/>
      <c r="AD705" s="53"/>
      <c r="AE705" s="53"/>
    </row>
    <row r="706">
      <c r="A706" s="53"/>
      <c r="B706" s="53"/>
      <c r="C706" s="168"/>
      <c r="D706" s="169"/>
      <c r="E706" s="170"/>
      <c r="F706" s="53"/>
      <c r="G706" s="53"/>
      <c r="H706" s="53"/>
      <c r="I706" s="171"/>
      <c r="J706" s="170"/>
      <c r="K706" s="53"/>
      <c r="L706" s="53"/>
      <c r="M706" s="53"/>
      <c r="N706" s="171"/>
      <c r="O706" s="170"/>
      <c r="P706" s="53"/>
      <c r="Q706" s="53"/>
      <c r="R706" s="53"/>
      <c r="S706" s="171"/>
      <c r="T706" s="170"/>
      <c r="U706" s="53"/>
      <c r="V706" s="53"/>
      <c r="W706" s="53"/>
      <c r="X706" s="171"/>
      <c r="Y706" s="170"/>
      <c r="Z706" s="170"/>
      <c r="AA706" s="170"/>
      <c r="AB706" s="170"/>
      <c r="AC706" s="170"/>
      <c r="AD706" s="53"/>
      <c r="AE706" s="53"/>
    </row>
    <row r="707">
      <c r="A707" s="53"/>
      <c r="B707" s="53"/>
      <c r="C707" s="168"/>
      <c r="D707" s="169"/>
      <c r="E707" s="170"/>
      <c r="F707" s="53"/>
      <c r="G707" s="53"/>
      <c r="H707" s="53"/>
      <c r="I707" s="171"/>
      <c r="J707" s="170"/>
      <c r="K707" s="53"/>
      <c r="L707" s="53"/>
      <c r="M707" s="53"/>
      <c r="N707" s="171"/>
      <c r="O707" s="170"/>
      <c r="P707" s="53"/>
      <c r="Q707" s="53"/>
      <c r="R707" s="53"/>
      <c r="S707" s="171"/>
      <c r="T707" s="170"/>
      <c r="U707" s="53"/>
      <c r="V707" s="53"/>
      <c r="W707" s="53"/>
      <c r="X707" s="171"/>
      <c r="Y707" s="170"/>
      <c r="Z707" s="170"/>
      <c r="AA707" s="170"/>
      <c r="AB707" s="170"/>
      <c r="AC707" s="170"/>
      <c r="AD707" s="53"/>
      <c r="AE707" s="53"/>
    </row>
    <row r="708">
      <c r="A708" s="53"/>
      <c r="B708" s="53"/>
      <c r="C708" s="168"/>
      <c r="D708" s="169"/>
      <c r="E708" s="170"/>
      <c r="F708" s="53"/>
      <c r="G708" s="53"/>
      <c r="H708" s="53"/>
      <c r="I708" s="171"/>
      <c r="J708" s="170"/>
      <c r="K708" s="53"/>
      <c r="L708" s="53"/>
      <c r="M708" s="53"/>
      <c r="N708" s="171"/>
      <c r="O708" s="170"/>
      <c r="P708" s="53"/>
      <c r="Q708" s="53"/>
      <c r="R708" s="53"/>
      <c r="S708" s="171"/>
      <c r="T708" s="170"/>
      <c r="U708" s="53"/>
      <c r="V708" s="53"/>
      <c r="W708" s="53"/>
      <c r="X708" s="171"/>
      <c r="Y708" s="170"/>
      <c r="Z708" s="170"/>
      <c r="AA708" s="170"/>
      <c r="AB708" s="170"/>
      <c r="AC708" s="170"/>
      <c r="AD708" s="53"/>
      <c r="AE708" s="53"/>
    </row>
    <row r="709">
      <c r="A709" s="53"/>
      <c r="B709" s="53"/>
      <c r="C709" s="168"/>
      <c r="D709" s="169"/>
      <c r="E709" s="170"/>
      <c r="F709" s="53"/>
      <c r="G709" s="53"/>
      <c r="H709" s="53"/>
      <c r="I709" s="171"/>
      <c r="J709" s="170"/>
      <c r="K709" s="53"/>
      <c r="L709" s="53"/>
      <c r="M709" s="53"/>
      <c r="N709" s="171"/>
      <c r="O709" s="170"/>
      <c r="P709" s="53"/>
      <c r="Q709" s="53"/>
      <c r="R709" s="53"/>
      <c r="S709" s="171"/>
      <c r="T709" s="170"/>
      <c r="U709" s="53"/>
      <c r="V709" s="53"/>
      <c r="W709" s="53"/>
      <c r="X709" s="171"/>
      <c r="Y709" s="170"/>
      <c r="Z709" s="170"/>
      <c r="AA709" s="170"/>
      <c r="AB709" s="170"/>
      <c r="AC709" s="170"/>
      <c r="AD709" s="53"/>
      <c r="AE709" s="53"/>
    </row>
    <row r="710">
      <c r="A710" s="53"/>
      <c r="B710" s="53"/>
      <c r="C710" s="168"/>
      <c r="D710" s="169"/>
      <c r="E710" s="170"/>
      <c r="F710" s="53"/>
      <c r="G710" s="53"/>
      <c r="H710" s="53"/>
      <c r="I710" s="171"/>
      <c r="J710" s="170"/>
      <c r="K710" s="53"/>
      <c r="L710" s="53"/>
      <c r="M710" s="53"/>
      <c r="N710" s="171"/>
      <c r="O710" s="170"/>
      <c r="P710" s="53"/>
      <c r="Q710" s="53"/>
      <c r="R710" s="53"/>
      <c r="S710" s="171"/>
      <c r="T710" s="170"/>
      <c r="U710" s="53"/>
      <c r="V710" s="53"/>
      <c r="W710" s="53"/>
      <c r="X710" s="171"/>
      <c r="Y710" s="170"/>
      <c r="Z710" s="170"/>
      <c r="AA710" s="170"/>
      <c r="AB710" s="170"/>
      <c r="AC710" s="170"/>
      <c r="AD710" s="53"/>
      <c r="AE710" s="53"/>
    </row>
    <row r="711">
      <c r="A711" s="53"/>
      <c r="B711" s="53"/>
      <c r="C711" s="168"/>
      <c r="D711" s="169"/>
      <c r="E711" s="170"/>
      <c r="F711" s="53"/>
      <c r="G711" s="53"/>
      <c r="H711" s="53"/>
      <c r="I711" s="171"/>
      <c r="J711" s="170"/>
      <c r="K711" s="53"/>
      <c r="L711" s="53"/>
      <c r="M711" s="53"/>
      <c r="N711" s="171"/>
      <c r="O711" s="170"/>
      <c r="P711" s="53"/>
      <c r="Q711" s="53"/>
      <c r="R711" s="53"/>
      <c r="S711" s="171"/>
      <c r="T711" s="170"/>
      <c r="U711" s="53"/>
      <c r="V711" s="53"/>
      <c r="W711" s="53"/>
      <c r="X711" s="171"/>
      <c r="Y711" s="170"/>
      <c r="Z711" s="170"/>
      <c r="AA711" s="170"/>
      <c r="AB711" s="170"/>
      <c r="AC711" s="170"/>
      <c r="AD711" s="53"/>
      <c r="AE711" s="53"/>
    </row>
    <row r="712">
      <c r="A712" s="53"/>
      <c r="B712" s="53"/>
      <c r="C712" s="168"/>
      <c r="D712" s="169"/>
      <c r="E712" s="170"/>
      <c r="F712" s="53"/>
      <c r="G712" s="53"/>
      <c r="H712" s="53"/>
      <c r="I712" s="171"/>
      <c r="J712" s="170"/>
      <c r="K712" s="53"/>
      <c r="L712" s="53"/>
      <c r="M712" s="53"/>
      <c r="N712" s="171"/>
      <c r="O712" s="170"/>
      <c r="P712" s="53"/>
      <c r="Q712" s="53"/>
      <c r="R712" s="53"/>
      <c r="S712" s="171"/>
      <c r="T712" s="170"/>
      <c r="U712" s="53"/>
      <c r="V712" s="53"/>
      <c r="W712" s="53"/>
      <c r="X712" s="171"/>
      <c r="Y712" s="170"/>
      <c r="Z712" s="170"/>
      <c r="AA712" s="170"/>
      <c r="AB712" s="170"/>
      <c r="AC712" s="170"/>
      <c r="AD712" s="53"/>
      <c r="AE712" s="53"/>
    </row>
    <row r="713">
      <c r="A713" s="53"/>
      <c r="B713" s="53"/>
      <c r="C713" s="168"/>
      <c r="D713" s="169"/>
      <c r="E713" s="170"/>
      <c r="F713" s="53"/>
      <c r="G713" s="53"/>
      <c r="H713" s="53"/>
      <c r="I713" s="171"/>
      <c r="J713" s="170"/>
      <c r="K713" s="53"/>
      <c r="L713" s="53"/>
      <c r="M713" s="53"/>
      <c r="N713" s="171"/>
      <c r="O713" s="170"/>
      <c r="P713" s="53"/>
      <c r="Q713" s="53"/>
      <c r="R713" s="53"/>
      <c r="S713" s="171"/>
      <c r="T713" s="170"/>
      <c r="U713" s="53"/>
      <c r="V713" s="53"/>
      <c r="W713" s="53"/>
      <c r="X713" s="171"/>
      <c r="Y713" s="170"/>
      <c r="Z713" s="170"/>
      <c r="AA713" s="170"/>
      <c r="AB713" s="170"/>
      <c r="AC713" s="170"/>
      <c r="AD713" s="53"/>
      <c r="AE713" s="53"/>
    </row>
    <row r="714">
      <c r="A714" s="53"/>
      <c r="B714" s="53"/>
      <c r="C714" s="168"/>
      <c r="D714" s="169"/>
      <c r="E714" s="170"/>
      <c r="F714" s="53"/>
      <c r="G714" s="53"/>
      <c r="H714" s="53"/>
      <c r="I714" s="171"/>
      <c r="J714" s="170"/>
      <c r="K714" s="53"/>
      <c r="L714" s="53"/>
      <c r="M714" s="53"/>
      <c r="N714" s="171"/>
      <c r="O714" s="170"/>
      <c r="P714" s="53"/>
      <c r="Q714" s="53"/>
      <c r="R714" s="53"/>
      <c r="S714" s="171"/>
      <c r="T714" s="170"/>
      <c r="U714" s="53"/>
      <c r="V714" s="53"/>
      <c r="W714" s="53"/>
      <c r="X714" s="171"/>
      <c r="Y714" s="170"/>
      <c r="Z714" s="170"/>
      <c r="AA714" s="170"/>
      <c r="AB714" s="170"/>
      <c r="AC714" s="170"/>
      <c r="AD714" s="53"/>
      <c r="AE714" s="53"/>
    </row>
    <row r="715">
      <c r="A715" s="53"/>
      <c r="B715" s="53"/>
      <c r="C715" s="168"/>
      <c r="D715" s="169"/>
      <c r="E715" s="170"/>
      <c r="F715" s="53"/>
      <c r="G715" s="53"/>
      <c r="H715" s="53"/>
      <c r="I715" s="171"/>
      <c r="J715" s="170"/>
      <c r="K715" s="53"/>
      <c r="L715" s="53"/>
      <c r="M715" s="53"/>
      <c r="N715" s="171"/>
      <c r="O715" s="170"/>
      <c r="P715" s="53"/>
      <c r="Q715" s="53"/>
      <c r="R715" s="53"/>
      <c r="S715" s="171"/>
      <c r="T715" s="170"/>
      <c r="U715" s="53"/>
      <c r="V715" s="53"/>
      <c r="W715" s="53"/>
      <c r="X715" s="171"/>
      <c r="Y715" s="170"/>
      <c r="Z715" s="170"/>
      <c r="AA715" s="170"/>
      <c r="AB715" s="170"/>
      <c r="AC715" s="170"/>
      <c r="AD715" s="53"/>
      <c r="AE715" s="53"/>
    </row>
    <row r="716">
      <c r="A716" s="53"/>
      <c r="B716" s="53"/>
      <c r="C716" s="168"/>
      <c r="D716" s="169"/>
      <c r="E716" s="170"/>
      <c r="F716" s="53"/>
      <c r="G716" s="53"/>
      <c r="H716" s="53"/>
      <c r="I716" s="171"/>
      <c r="J716" s="170"/>
      <c r="K716" s="53"/>
      <c r="L716" s="53"/>
      <c r="M716" s="53"/>
      <c r="N716" s="171"/>
      <c r="O716" s="170"/>
      <c r="P716" s="53"/>
      <c r="Q716" s="53"/>
      <c r="R716" s="53"/>
      <c r="S716" s="171"/>
      <c r="T716" s="170"/>
      <c r="U716" s="53"/>
      <c r="V716" s="53"/>
      <c r="W716" s="53"/>
      <c r="X716" s="171"/>
      <c r="Y716" s="170"/>
      <c r="Z716" s="170"/>
      <c r="AA716" s="170"/>
      <c r="AB716" s="170"/>
      <c r="AC716" s="170"/>
      <c r="AD716" s="53"/>
      <c r="AE716" s="53"/>
    </row>
    <row r="717">
      <c r="A717" s="53"/>
      <c r="B717" s="53"/>
      <c r="C717" s="168"/>
      <c r="D717" s="169"/>
      <c r="E717" s="170"/>
      <c r="F717" s="53"/>
      <c r="G717" s="53"/>
      <c r="H717" s="53"/>
      <c r="I717" s="171"/>
      <c r="J717" s="170"/>
      <c r="K717" s="53"/>
      <c r="L717" s="53"/>
      <c r="M717" s="53"/>
      <c r="N717" s="171"/>
      <c r="O717" s="170"/>
      <c r="P717" s="53"/>
      <c r="Q717" s="53"/>
      <c r="R717" s="53"/>
      <c r="S717" s="171"/>
      <c r="T717" s="170"/>
      <c r="U717" s="53"/>
      <c r="V717" s="53"/>
      <c r="W717" s="53"/>
      <c r="X717" s="171"/>
      <c r="Y717" s="170"/>
      <c r="Z717" s="170"/>
      <c r="AA717" s="170"/>
      <c r="AB717" s="170"/>
      <c r="AC717" s="170"/>
      <c r="AD717" s="53"/>
      <c r="AE717" s="53"/>
    </row>
    <row r="718">
      <c r="A718" s="53"/>
      <c r="B718" s="53"/>
      <c r="C718" s="168"/>
      <c r="D718" s="169"/>
      <c r="E718" s="170"/>
      <c r="F718" s="53"/>
      <c r="G718" s="53"/>
      <c r="H718" s="53"/>
      <c r="I718" s="171"/>
      <c r="J718" s="170"/>
      <c r="K718" s="53"/>
      <c r="L718" s="53"/>
      <c r="M718" s="53"/>
      <c r="N718" s="171"/>
      <c r="O718" s="170"/>
      <c r="P718" s="53"/>
      <c r="Q718" s="53"/>
      <c r="R718" s="53"/>
      <c r="S718" s="171"/>
      <c r="T718" s="170"/>
      <c r="U718" s="53"/>
      <c r="V718" s="53"/>
      <c r="W718" s="53"/>
      <c r="X718" s="171"/>
      <c r="Y718" s="170"/>
      <c r="Z718" s="170"/>
      <c r="AA718" s="170"/>
      <c r="AB718" s="170"/>
      <c r="AC718" s="170"/>
      <c r="AD718" s="53"/>
      <c r="AE718" s="53"/>
    </row>
    <row r="719">
      <c r="A719" s="53"/>
      <c r="B719" s="53"/>
      <c r="C719" s="168"/>
      <c r="D719" s="169"/>
      <c r="E719" s="170"/>
      <c r="F719" s="53"/>
      <c r="G719" s="53"/>
      <c r="H719" s="53"/>
      <c r="I719" s="171"/>
      <c r="J719" s="170"/>
      <c r="K719" s="53"/>
      <c r="L719" s="53"/>
      <c r="M719" s="53"/>
      <c r="N719" s="171"/>
      <c r="O719" s="170"/>
      <c r="P719" s="53"/>
      <c r="Q719" s="53"/>
      <c r="R719" s="53"/>
      <c r="S719" s="171"/>
      <c r="T719" s="170"/>
      <c r="U719" s="53"/>
      <c r="V719" s="53"/>
      <c r="W719" s="53"/>
      <c r="X719" s="171"/>
      <c r="Y719" s="170"/>
      <c r="Z719" s="170"/>
      <c r="AA719" s="170"/>
      <c r="AB719" s="170"/>
      <c r="AC719" s="170"/>
      <c r="AD719" s="53"/>
      <c r="AE719" s="53"/>
    </row>
    <row r="720">
      <c r="A720" s="53"/>
      <c r="B720" s="53"/>
      <c r="C720" s="168"/>
      <c r="D720" s="169"/>
      <c r="E720" s="170"/>
      <c r="F720" s="53"/>
      <c r="G720" s="53"/>
      <c r="H720" s="53"/>
      <c r="I720" s="171"/>
      <c r="J720" s="170"/>
      <c r="K720" s="53"/>
      <c r="L720" s="53"/>
      <c r="M720" s="53"/>
      <c r="N720" s="171"/>
      <c r="O720" s="170"/>
      <c r="P720" s="53"/>
      <c r="Q720" s="53"/>
      <c r="R720" s="53"/>
      <c r="S720" s="171"/>
      <c r="T720" s="170"/>
      <c r="U720" s="53"/>
      <c r="V720" s="53"/>
      <c r="W720" s="53"/>
      <c r="X720" s="171"/>
      <c r="Y720" s="170"/>
      <c r="Z720" s="170"/>
      <c r="AA720" s="170"/>
      <c r="AB720" s="170"/>
      <c r="AC720" s="170"/>
      <c r="AD720" s="53"/>
      <c r="AE720" s="53"/>
    </row>
    <row r="721">
      <c r="A721" s="53"/>
      <c r="B721" s="53"/>
      <c r="C721" s="168"/>
      <c r="D721" s="169"/>
      <c r="E721" s="170"/>
      <c r="F721" s="53"/>
      <c r="G721" s="53"/>
      <c r="H721" s="53"/>
      <c r="I721" s="171"/>
      <c r="J721" s="170"/>
      <c r="K721" s="53"/>
      <c r="L721" s="53"/>
      <c r="M721" s="53"/>
      <c r="N721" s="171"/>
      <c r="O721" s="170"/>
      <c r="P721" s="53"/>
      <c r="Q721" s="53"/>
      <c r="R721" s="53"/>
      <c r="S721" s="171"/>
      <c r="T721" s="170"/>
      <c r="U721" s="53"/>
      <c r="V721" s="53"/>
      <c r="W721" s="53"/>
      <c r="X721" s="171"/>
      <c r="Y721" s="170"/>
      <c r="Z721" s="170"/>
      <c r="AA721" s="170"/>
      <c r="AB721" s="170"/>
      <c r="AC721" s="170"/>
      <c r="AD721" s="53"/>
      <c r="AE721" s="53"/>
    </row>
    <row r="722">
      <c r="A722" s="53"/>
      <c r="B722" s="53"/>
      <c r="C722" s="168"/>
      <c r="D722" s="169"/>
      <c r="E722" s="170"/>
      <c r="F722" s="53"/>
      <c r="G722" s="53"/>
      <c r="H722" s="53"/>
      <c r="I722" s="171"/>
      <c r="J722" s="170"/>
      <c r="K722" s="53"/>
      <c r="L722" s="53"/>
      <c r="M722" s="53"/>
      <c r="N722" s="171"/>
      <c r="O722" s="170"/>
      <c r="P722" s="53"/>
      <c r="Q722" s="53"/>
      <c r="R722" s="53"/>
      <c r="S722" s="171"/>
      <c r="T722" s="170"/>
      <c r="U722" s="53"/>
      <c r="V722" s="53"/>
      <c r="W722" s="53"/>
      <c r="X722" s="171"/>
      <c r="Y722" s="170"/>
      <c r="Z722" s="170"/>
      <c r="AA722" s="170"/>
      <c r="AB722" s="170"/>
      <c r="AC722" s="170"/>
      <c r="AD722" s="53"/>
      <c r="AE722" s="53"/>
    </row>
    <row r="723">
      <c r="A723" s="53"/>
      <c r="B723" s="53"/>
      <c r="C723" s="168"/>
      <c r="D723" s="169"/>
      <c r="E723" s="170"/>
      <c r="F723" s="53"/>
      <c r="G723" s="53"/>
      <c r="H723" s="53"/>
      <c r="I723" s="171"/>
      <c r="J723" s="170"/>
      <c r="K723" s="53"/>
      <c r="L723" s="53"/>
      <c r="M723" s="53"/>
      <c r="N723" s="171"/>
      <c r="O723" s="170"/>
      <c r="P723" s="53"/>
      <c r="Q723" s="53"/>
      <c r="R723" s="53"/>
      <c r="S723" s="171"/>
      <c r="T723" s="170"/>
      <c r="U723" s="53"/>
      <c r="V723" s="53"/>
      <c r="W723" s="53"/>
      <c r="X723" s="171"/>
      <c r="Y723" s="170"/>
      <c r="Z723" s="170"/>
      <c r="AA723" s="170"/>
      <c r="AB723" s="170"/>
      <c r="AC723" s="170"/>
      <c r="AD723" s="53"/>
      <c r="AE723" s="53"/>
    </row>
    <row r="724">
      <c r="A724" s="53"/>
      <c r="B724" s="53"/>
      <c r="C724" s="168"/>
      <c r="D724" s="169"/>
      <c r="E724" s="170"/>
      <c r="F724" s="53"/>
      <c r="G724" s="53"/>
      <c r="H724" s="53"/>
      <c r="I724" s="171"/>
      <c r="J724" s="170"/>
      <c r="K724" s="53"/>
      <c r="L724" s="53"/>
      <c r="M724" s="53"/>
      <c r="N724" s="171"/>
      <c r="O724" s="170"/>
      <c r="P724" s="53"/>
      <c r="Q724" s="53"/>
      <c r="R724" s="53"/>
      <c r="S724" s="171"/>
      <c r="T724" s="170"/>
      <c r="U724" s="53"/>
      <c r="V724" s="53"/>
      <c r="W724" s="53"/>
      <c r="X724" s="171"/>
      <c r="Y724" s="170"/>
      <c r="Z724" s="170"/>
      <c r="AA724" s="170"/>
      <c r="AB724" s="170"/>
      <c r="AC724" s="170"/>
      <c r="AD724" s="53"/>
      <c r="AE724" s="53"/>
    </row>
    <row r="725">
      <c r="A725" s="53"/>
      <c r="B725" s="53"/>
      <c r="C725" s="168"/>
      <c r="D725" s="169"/>
      <c r="E725" s="170"/>
      <c r="F725" s="53"/>
      <c r="G725" s="53"/>
      <c r="H725" s="53"/>
      <c r="I725" s="171"/>
      <c r="J725" s="170"/>
      <c r="K725" s="53"/>
      <c r="L725" s="53"/>
      <c r="M725" s="53"/>
      <c r="N725" s="171"/>
      <c r="O725" s="170"/>
      <c r="P725" s="53"/>
      <c r="Q725" s="53"/>
      <c r="R725" s="53"/>
      <c r="S725" s="171"/>
      <c r="T725" s="170"/>
      <c r="U725" s="53"/>
      <c r="V725" s="53"/>
      <c r="W725" s="53"/>
      <c r="X725" s="171"/>
      <c r="Y725" s="170"/>
      <c r="Z725" s="170"/>
      <c r="AA725" s="170"/>
      <c r="AB725" s="170"/>
      <c r="AC725" s="170"/>
      <c r="AD725" s="53"/>
      <c r="AE725" s="53"/>
    </row>
    <row r="726">
      <c r="A726" s="53"/>
      <c r="B726" s="53"/>
      <c r="C726" s="168"/>
      <c r="D726" s="169"/>
      <c r="E726" s="170"/>
      <c r="F726" s="53"/>
      <c r="G726" s="53"/>
      <c r="H726" s="53"/>
      <c r="I726" s="171"/>
      <c r="J726" s="170"/>
      <c r="K726" s="53"/>
      <c r="L726" s="53"/>
      <c r="M726" s="53"/>
      <c r="N726" s="171"/>
      <c r="O726" s="170"/>
      <c r="P726" s="53"/>
      <c r="Q726" s="53"/>
      <c r="R726" s="53"/>
      <c r="S726" s="171"/>
      <c r="T726" s="170"/>
      <c r="U726" s="53"/>
      <c r="V726" s="53"/>
      <c r="W726" s="53"/>
      <c r="X726" s="171"/>
      <c r="Y726" s="170"/>
      <c r="Z726" s="170"/>
      <c r="AA726" s="170"/>
      <c r="AB726" s="170"/>
      <c r="AC726" s="170"/>
      <c r="AD726" s="53"/>
      <c r="AE726" s="53"/>
    </row>
    <row r="727">
      <c r="A727" s="53"/>
      <c r="B727" s="53"/>
      <c r="C727" s="168"/>
      <c r="D727" s="169"/>
      <c r="E727" s="170"/>
      <c r="F727" s="53"/>
      <c r="G727" s="53"/>
      <c r="H727" s="53"/>
      <c r="I727" s="171"/>
      <c r="J727" s="170"/>
      <c r="K727" s="53"/>
      <c r="L727" s="53"/>
      <c r="M727" s="53"/>
      <c r="N727" s="171"/>
      <c r="O727" s="170"/>
      <c r="P727" s="53"/>
      <c r="Q727" s="53"/>
      <c r="R727" s="53"/>
      <c r="S727" s="171"/>
      <c r="T727" s="170"/>
      <c r="U727" s="53"/>
      <c r="V727" s="53"/>
      <c r="W727" s="53"/>
      <c r="X727" s="171"/>
      <c r="Y727" s="170"/>
      <c r="Z727" s="170"/>
      <c r="AA727" s="170"/>
      <c r="AB727" s="170"/>
      <c r="AC727" s="170"/>
      <c r="AD727" s="53"/>
      <c r="AE727" s="53"/>
    </row>
    <row r="728">
      <c r="A728" s="53"/>
      <c r="B728" s="53"/>
      <c r="C728" s="168"/>
      <c r="D728" s="169"/>
      <c r="E728" s="170"/>
      <c r="F728" s="53"/>
      <c r="G728" s="53"/>
      <c r="H728" s="53"/>
      <c r="I728" s="171"/>
      <c r="J728" s="170"/>
      <c r="K728" s="53"/>
      <c r="L728" s="53"/>
      <c r="M728" s="53"/>
      <c r="N728" s="171"/>
      <c r="O728" s="170"/>
      <c r="P728" s="53"/>
      <c r="Q728" s="53"/>
      <c r="R728" s="53"/>
      <c r="S728" s="171"/>
      <c r="T728" s="170"/>
      <c r="U728" s="53"/>
      <c r="V728" s="53"/>
      <c r="W728" s="53"/>
      <c r="X728" s="171"/>
      <c r="Y728" s="170"/>
      <c r="Z728" s="170"/>
      <c r="AA728" s="170"/>
      <c r="AB728" s="170"/>
      <c r="AC728" s="170"/>
      <c r="AD728" s="53"/>
      <c r="AE728" s="53"/>
    </row>
    <row r="729">
      <c r="A729" s="53"/>
      <c r="B729" s="53"/>
      <c r="C729" s="168"/>
      <c r="D729" s="169"/>
      <c r="E729" s="170"/>
      <c r="F729" s="53"/>
      <c r="G729" s="53"/>
      <c r="H729" s="53"/>
      <c r="I729" s="171"/>
      <c r="J729" s="170"/>
      <c r="K729" s="53"/>
      <c r="L729" s="53"/>
      <c r="M729" s="53"/>
      <c r="N729" s="171"/>
      <c r="O729" s="170"/>
      <c r="P729" s="53"/>
      <c r="Q729" s="53"/>
      <c r="R729" s="53"/>
      <c r="S729" s="171"/>
      <c r="T729" s="170"/>
      <c r="U729" s="53"/>
      <c r="V729" s="53"/>
      <c r="W729" s="53"/>
      <c r="X729" s="171"/>
      <c r="Y729" s="170"/>
      <c r="Z729" s="170"/>
      <c r="AA729" s="170"/>
      <c r="AB729" s="170"/>
      <c r="AC729" s="170"/>
      <c r="AD729" s="53"/>
      <c r="AE729" s="53"/>
    </row>
    <row r="730">
      <c r="A730" s="53"/>
      <c r="B730" s="53"/>
      <c r="C730" s="168"/>
      <c r="D730" s="169"/>
      <c r="E730" s="170"/>
      <c r="F730" s="53"/>
      <c r="G730" s="53"/>
      <c r="H730" s="53"/>
      <c r="I730" s="171"/>
      <c r="J730" s="170"/>
      <c r="K730" s="53"/>
      <c r="L730" s="53"/>
      <c r="M730" s="53"/>
      <c r="N730" s="171"/>
      <c r="O730" s="170"/>
      <c r="P730" s="53"/>
      <c r="Q730" s="53"/>
      <c r="R730" s="53"/>
      <c r="S730" s="171"/>
      <c r="T730" s="170"/>
      <c r="U730" s="53"/>
      <c r="V730" s="53"/>
      <c r="W730" s="53"/>
      <c r="X730" s="171"/>
      <c r="Y730" s="170"/>
      <c r="Z730" s="170"/>
      <c r="AA730" s="170"/>
      <c r="AB730" s="170"/>
      <c r="AC730" s="170"/>
      <c r="AD730" s="53"/>
      <c r="AE730" s="53"/>
    </row>
    <row r="731">
      <c r="A731" s="53"/>
      <c r="B731" s="53"/>
      <c r="C731" s="168"/>
      <c r="D731" s="169"/>
      <c r="E731" s="170"/>
      <c r="F731" s="53"/>
      <c r="G731" s="53"/>
      <c r="H731" s="53"/>
      <c r="I731" s="171"/>
      <c r="J731" s="170"/>
      <c r="K731" s="53"/>
      <c r="L731" s="53"/>
      <c r="M731" s="53"/>
      <c r="N731" s="171"/>
      <c r="O731" s="170"/>
      <c r="P731" s="53"/>
      <c r="Q731" s="53"/>
      <c r="R731" s="53"/>
      <c r="S731" s="171"/>
      <c r="T731" s="170"/>
      <c r="U731" s="53"/>
      <c r="V731" s="53"/>
      <c r="W731" s="53"/>
      <c r="X731" s="171"/>
      <c r="Y731" s="170"/>
      <c r="Z731" s="170"/>
      <c r="AA731" s="170"/>
      <c r="AB731" s="170"/>
      <c r="AC731" s="170"/>
      <c r="AD731" s="53"/>
      <c r="AE731" s="53"/>
    </row>
    <row r="732">
      <c r="A732" s="53"/>
      <c r="B732" s="53"/>
      <c r="C732" s="168"/>
      <c r="D732" s="169"/>
      <c r="E732" s="170"/>
      <c r="F732" s="53"/>
      <c r="G732" s="53"/>
      <c r="H732" s="53"/>
      <c r="I732" s="171"/>
      <c r="J732" s="170"/>
      <c r="K732" s="53"/>
      <c r="L732" s="53"/>
      <c r="M732" s="53"/>
      <c r="N732" s="171"/>
      <c r="O732" s="170"/>
      <c r="P732" s="53"/>
      <c r="Q732" s="53"/>
      <c r="R732" s="53"/>
      <c r="S732" s="171"/>
      <c r="T732" s="170"/>
      <c r="U732" s="53"/>
      <c r="V732" s="53"/>
      <c r="W732" s="53"/>
      <c r="X732" s="171"/>
      <c r="Y732" s="170"/>
      <c r="Z732" s="170"/>
      <c r="AA732" s="170"/>
      <c r="AB732" s="170"/>
      <c r="AC732" s="170"/>
      <c r="AD732" s="53"/>
      <c r="AE732" s="53"/>
    </row>
    <row r="733">
      <c r="A733" s="53"/>
      <c r="B733" s="53"/>
      <c r="C733" s="168"/>
      <c r="D733" s="169"/>
      <c r="E733" s="170"/>
      <c r="F733" s="53"/>
      <c r="G733" s="53"/>
      <c r="H733" s="53"/>
      <c r="I733" s="171"/>
      <c r="J733" s="170"/>
      <c r="K733" s="53"/>
      <c r="L733" s="53"/>
      <c r="M733" s="53"/>
      <c r="N733" s="171"/>
      <c r="O733" s="170"/>
      <c r="P733" s="53"/>
      <c r="Q733" s="53"/>
      <c r="R733" s="53"/>
      <c r="S733" s="171"/>
      <c r="T733" s="170"/>
      <c r="U733" s="53"/>
      <c r="V733" s="53"/>
      <c r="W733" s="53"/>
      <c r="X733" s="171"/>
      <c r="Y733" s="170"/>
      <c r="Z733" s="170"/>
      <c r="AA733" s="170"/>
      <c r="AB733" s="170"/>
      <c r="AC733" s="170"/>
      <c r="AD733" s="53"/>
      <c r="AE733" s="53"/>
    </row>
    <row r="734">
      <c r="A734" s="53"/>
      <c r="B734" s="53"/>
      <c r="C734" s="168"/>
      <c r="D734" s="169"/>
      <c r="E734" s="170"/>
      <c r="F734" s="53"/>
      <c r="G734" s="53"/>
      <c r="H734" s="53"/>
      <c r="I734" s="171"/>
      <c r="J734" s="170"/>
      <c r="K734" s="53"/>
      <c r="L734" s="53"/>
      <c r="M734" s="53"/>
      <c r="N734" s="171"/>
      <c r="O734" s="170"/>
      <c r="P734" s="53"/>
      <c r="Q734" s="53"/>
      <c r="R734" s="53"/>
      <c r="S734" s="171"/>
      <c r="T734" s="170"/>
      <c r="U734" s="53"/>
      <c r="V734" s="53"/>
      <c r="W734" s="53"/>
      <c r="X734" s="171"/>
      <c r="Y734" s="170"/>
      <c r="Z734" s="170"/>
      <c r="AA734" s="170"/>
      <c r="AB734" s="170"/>
      <c r="AC734" s="170"/>
      <c r="AD734" s="53"/>
      <c r="AE734" s="53"/>
    </row>
    <row r="735">
      <c r="A735" s="53"/>
      <c r="B735" s="53"/>
      <c r="C735" s="168"/>
      <c r="D735" s="169"/>
      <c r="E735" s="170"/>
      <c r="F735" s="53"/>
      <c r="G735" s="53"/>
      <c r="H735" s="53"/>
      <c r="I735" s="171"/>
      <c r="J735" s="170"/>
      <c r="K735" s="53"/>
      <c r="L735" s="53"/>
      <c r="M735" s="53"/>
      <c r="N735" s="171"/>
      <c r="O735" s="170"/>
      <c r="P735" s="53"/>
      <c r="Q735" s="53"/>
      <c r="R735" s="53"/>
      <c r="S735" s="171"/>
      <c r="T735" s="170"/>
      <c r="U735" s="53"/>
      <c r="V735" s="53"/>
      <c r="W735" s="53"/>
      <c r="X735" s="171"/>
      <c r="Y735" s="170"/>
      <c r="Z735" s="170"/>
      <c r="AA735" s="170"/>
      <c r="AB735" s="170"/>
      <c r="AC735" s="170"/>
      <c r="AD735" s="53"/>
      <c r="AE735" s="53"/>
    </row>
    <row r="736">
      <c r="A736" s="53"/>
      <c r="B736" s="53"/>
      <c r="C736" s="168"/>
      <c r="D736" s="169"/>
      <c r="E736" s="170"/>
      <c r="F736" s="53"/>
      <c r="G736" s="53"/>
      <c r="H736" s="53"/>
      <c r="I736" s="171"/>
      <c r="J736" s="170"/>
      <c r="K736" s="53"/>
      <c r="L736" s="53"/>
      <c r="M736" s="53"/>
      <c r="N736" s="171"/>
      <c r="O736" s="170"/>
      <c r="P736" s="53"/>
      <c r="Q736" s="53"/>
      <c r="R736" s="53"/>
      <c r="S736" s="171"/>
      <c r="T736" s="170"/>
      <c r="U736" s="53"/>
      <c r="V736" s="53"/>
      <c r="W736" s="53"/>
      <c r="X736" s="171"/>
      <c r="Y736" s="170"/>
      <c r="Z736" s="170"/>
      <c r="AA736" s="170"/>
      <c r="AB736" s="170"/>
      <c r="AC736" s="170"/>
      <c r="AD736" s="53"/>
      <c r="AE736" s="53"/>
    </row>
    <row r="737">
      <c r="A737" s="53"/>
      <c r="B737" s="53"/>
      <c r="C737" s="168"/>
      <c r="D737" s="169"/>
      <c r="E737" s="170"/>
      <c r="F737" s="53"/>
      <c r="G737" s="53"/>
      <c r="H737" s="53"/>
      <c r="I737" s="171"/>
      <c r="J737" s="170"/>
      <c r="K737" s="53"/>
      <c r="L737" s="53"/>
      <c r="M737" s="53"/>
      <c r="N737" s="171"/>
      <c r="O737" s="170"/>
      <c r="P737" s="53"/>
      <c r="Q737" s="53"/>
      <c r="R737" s="53"/>
      <c r="S737" s="171"/>
      <c r="T737" s="170"/>
      <c r="U737" s="53"/>
      <c r="V737" s="53"/>
      <c r="W737" s="53"/>
      <c r="X737" s="171"/>
      <c r="Y737" s="170"/>
      <c r="Z737" s="170"/>
      <c r="AA737" s="170"/>
      <c r="AB737" s="170"/>
      <c r="AC737" s="170"/>
      <c r="AD737" s="53"/>
      <c r="AE737" s="53"/>
    </row>
    <row r="738">
      <c r="A738" s="53"/>
      <c r="B738" s="53"/>
      <c r="C738" s="168"/>
      <c r="D738" s="169"/>
      <c r="E738" s="170"/>
      <c r="F738" s="53"/>
      <c r="G738" s="53"/>
      <c r="H738" s="53"/>
      <c r="I738" s="171"/>
      <c r="J738" s="170"/>
      <c r="K738" s="53"/>
      <c r="L738" s="53"/>
      <c r="M738" s="53"/>
      <c r="N738" s="171"/>
      <c r="O738" s="170"/>
      <c r="P738" s="53"/>
      <c r="Q738" s="53"/>
      <c r="R738" s="53"/>
      <c r="S738" s="171"/>
      <c r="T738" s="170"/>
      <c r="U738" s="53"/>
      <c r="V738" s="53"/>
      <c r="W738" s="53"/>
      <c r="X738" s="171"/>
      <c r="Y738" s="170"/>
      <c r="Z738" s="170"/>
      <c r="AA738" s="170"/>
      <c r="AB738" s="170"/>
      <c r="AC738" s="170"/>
      <c r="AD738" s="53"/>
      <c r="AE738" s="53"/>
    </row>
    <row r="739">
      <c r="A739" s="53"/>
      <c r="B739" s="53"/>
      <c r="C739" s="168"/>
      <c r="D739" s="169"/>
      <c r="E739" s="170"/>
      <c r="F739" s="53"/>
      <c r="G739" s="53"/>
      <c r="H739" s="53"/>
      <c r="I739" s="171"/>
      <c r="J739" s="170"/>
      <c r="K739" s="53"/>
      <c r="L739" s="53"/>
      <c r="M739" s="53"/>
      <c r="N739" s="171"/>
      <c r="O739" s="170"/>
      <c r="P739" s="53"/>
      <c r="Q739" s="53"/>
      <c r="R739" s="53"/>
      <c r="S739" s="171"/>
      <c r="T739" s="170"/>
      <c r="U739" s="53"/>
      <c r="V739" s="53"/>
      <c r="W739" s="53"/>
      <c r="X739" s="171"/>
      <c r="Y739" s="170"/>
      <c r="Z739" s="170"/>
      <c r="AA739" s="170"/>
      <c r="AB739" s="170"/>
      <c r="AC739" s="170"/>
      <c r="AD739" s="53"/>
      <c r="AE739" s="53"/>
    </row>
    <row r="740">
      <c r="A740" s="53"/>
      <c r="B740" s="53"/>
      <c r="C740" s="168"/>
      <c r="D740" s="169"/>
      <c r="E740" s="170"/>
      <c r="F740" s="53"/>
      <c r="G740" s="53"/>
      <c r="H740" s="53"/>
      <c r="I740" s="171"/>
      <c r="J740" s="170"/>
      <c r="K740" s="53"/>
      <c r="L740" s="53"/>
      <c r="M740" s="53"/>
      <c r="N740" s="171"/>
      <c r="O740" s="170"/>
      <c r="P740" s="53"/>
      <c r="Q740" s="53"/>
      <c r="R740" s="53"/>
      <c r="S740" s="171"/>
      <c r="T740" s="170"/>
      <c r="U740" s="53"/>
      <c r="V740" s="53"/>
      <c r="W740" s="53"/>
      <c r="X740" s="171"/>
      <c r="Y740" s="170"/>
      <c r="Z740" s="170"/>
      <c r="AA740" s="170"/>
      <c r="AB740" s="170"/>
      <c r="AC740" s="170"/>
      <c r="AD740" s="53"/>
      <c r="AE740" s="53"/>
    </row>
    <row r="741">
      <c r="A741" s="53"/>
      <c r="B741" s="53"/>
      <c r="C741" s="168"/>
      <c r="D741" s="169"/>
      <c r="E741" s="170"/>
      <c r="F741" s="53"/>
      <c r="G741" s="53"/>
      <c r="H741" s="53"/>
      <c r="I741" s="171"/>
      <c r="J741" s="170"/>
      <c r="K741" s="53"/>
      <c r="L741" s="53"/>
      <c r="M741" s="53"/>
      <c r="N741" s="171"/>
      <c r="O741" s="170"/>
      <c r="P741" s="53"/>
      <c r="Q741" s="53"/>
      <c r="R741" s="53"/>
      <c r="S741" s="171"/>
      <c r="T741" s="170"/>
      <c r="U741" s="53"/>
      <c r="V741" s="53"/>
      <c r="W741" s="53"/>
      <c r="X741" s="171"/>
      <c r="Y741" s="170"/>
      <c r="Z741" s="170"/>
      <c r="AA741" s="170"/>
      <c r="AB741" s="170"/>
      <c r="AC741" s="170"/>
      <c r="AD741" s="53"/>
      <c r="AE741" s="53"/>
    </row>
    <row r="742">
      <c r="A742" s="53"/>
      <c r="B742" s="53"/>
      <c r="C742" s="168"/>
      <c r="D742" s="169"/>
      <c r="E742" s="170"/>
      <c r="F742" s="53"/>
      <c r="G742" s="53"/>
      <c r="H742" s="53"/>
      <c r="I742" s="171"/>
      <c r="J742" s="170"/>
      <c r="K742" s="53"/>
      <c r="L742" s="53"/>
      <c r="M742" s="53"/>
      <c r="N742" s="171"/>
      <c r="O742" s="170"/>
      <c r="P742" s="53"/>
      <c r="Q742" s="53"/>
      <c r="R742" s="53"/>
      <c r="S742" s="171"/>
      <c r="T742" s="170"/>
      <c r="U742" s="53"/>
      <c r="V742" s="53"/>
      <c r="W742" s="53"/>
      <c r="X742" s="171"/>
      <c r="Y742" s="170"/>
      <c r="Z742" s="170"/>
      <c r="AA742" s="170"/>
      <c r="AB742" s="170"/>
      <c r="AC742" s="170"/>
      <c r="AD742" s="53"/>
      <c r="AE742" s="53"/>
    </row>
    <row r="743">
      <c r="A743" s="53"/>
      <c r="B743" s="53"/>
      <c r="C743" s="168"/>
      <c r="D743" s="169"/>
      <c r="E743" s="170"/>
      <c r="F743" s="53"/>
      <c r="G743" s="53"/>
      <c r="H743" s="53"/>
      <c r="I743" s="171"/>
      <c r="J743" s="170"/>
      <c r="K743" s="53"/>
      <c r="L743" s="53"/>
      <c r="M743" s="53"/>
      <c r="N743" s="171"/>
      <c r="O743" s="170"/>
      <c r="P743" s="53"/>
      <c r="Q743" s="53"/>
      <c r="R743" s="53"/>
      <c r="S743" s="171"/>
      <c r="T743" s="170"/>
      <c r="U743" s="53"/>
      <c r="V743" s="53"/>
      <c r="W743" s="53"/>
      <c r="X743" s="171"/>
      <c r="Y743" s="170"/>
      <c r="Z743" s="170"/>
      <c r="AA743" s="170"/>
      <c r="AB743" s="170"/>
      <c r="AC743" s="170"/>
      <c r="AD743" s="53"/>
      <c r="AE743" s="53"/>
    </row>
    <row r="744">
      <c r="A744" s="53"/>
      <c r="B744" s="53"/>
      <c r="C744" s="168"/>
      <c r="D744" s="169"/>
      <c r="E744" s="170"/>
      <c r="F744" s="53"/>
      <c r="G744" s="53"/>
      <c r="H744" s="53"/>
      <c r="I744" s="171"/>
      <c r="J744" s="170"/>
      <c r="K744" s="53"/>
      <c r="L744" s="53"/>
      <c r="M744" s="53"/>
      <c r="N744" s="171"/>
      <c r="O744" s="170"/>
      <c r="P744" s="53"/>
      <c r="Q744" s="53"/>
      <c r="R744" s="53"/>
      <c r="S744" s="171"/>
      <c r="T744" s="170"/>
      <c r="U744" s="53"/>
      <c r="V744" s="53"/>
      <c r="W744" s="53"/>
      <c r="X744" s="171"/>
      <c r="Y744" s="170"/>
      <c r="Z744" s="170"/>
      <c r="AA744" s="170"/>
      <c r="AB744" s="170"/>
      <c r="AC744" s="170"/>
      <c r="AD744" s="53"/>
      <c r="AE744" s="53"/>
    </row>
    <row r="745">
      <c r="A745" s="53"/>
      <c r="B745" s="53"/>
      <c r="C745" s="168"/>
      <c r="D745" s="169"/>
      <c r="E745" s="170"/>
      <c r="F745" s="53"/>
      <c r="G745" s="53"/>
      <c r="H745" s="53"/>
      <c r="I745" s="171"/>
      <c r="J745" s="170"/>
      <c r="K745" s="53"/>
      <c r="L745" s="53"/>
      <c r="M745" s="53"/>
      <c r="N745" s="171"/>
      <c r="O745" s="170"/>
      <c r="P745" s="53"/>
      <c r="Q745" s="53"/>
      <c r="R745" s="53"/>
      <c r="S745" s="171"/>
      <c r="T745" s="170"/>
      <c r="U745" s="53"/>
      <c r="V745" s="53"/>
      <c r="W745" s="53"/>
      <c r="X745" s="171"/>
      <c r="Y745" s="170"/>
      <c r="Z745" s="170"/>
      <c r="AA745" s="170"/>
      <c r="AB745" s="170"/>
      <c r="AC745" s="170"/>
      <c r="AD745" s="53"/>
      <c r="AE745" s="53"/>
    </row>
    <row r="746">
      <c r="A746" s="53"/>
      <c r="B746" s="53"/>
      <c r="C746" s="168"/>
      <c r="D746" s="169"/>
      <c r="E746" s="170"/>
      <c r="F746" s="53"/>
      <c r="G746" s="53"/>
      <c r="H746" s="53"/>
      <c r="I746" s="171"/>
      <c r="J746" s="170"/>
      <c r="K746" s="53"/>
      <c r="L746" s="53"/>
      <c r="M746" s="53"/>
      <c r="N746" s="171"/>
      <c r="O746" s="170"/>
      <c r="P746" s="53"/>
      <c r="Q746" s="53"/>
      <c r="R746" s="53"/>
      <c r="S746" s="171"/>
      <c r="T746" s="170"/>
      <c r="U746" s="53"/>
      <c r="V746" s="53"/>
      <c r="W746" s="53"/>
      <c r="X746" s="171"/>
      <c r="Y746" s="170"/>
      <c r="Z746" s="170"/>
      <c r="AA746" s="170"/>
      <c r="AB746" s="170"/>
      <c r="AC746" s="170"/>
      <c r="AD746" s="53"/>
      <c r="AE746" s="53"/>
    </row>
    <row r="747">
      <c r="A747" s="53"/>
      <c r="B747" s="53"/>
      <c r="C747" s="168"/>
      <c r="D747" s="169"/>
      <c r="E747" s="170"/>
      <c r="F747" s="53"/>
      <c r="G747" s="53"/>
      <c r="H747" s="53"/>
      <c r="I747" s="171"/>
      <c r="J747" s="170"/>
      <c r="K747" s="53"/>
      <c r="L747" s="53"/>
      <c r="M747" s="53"/>
      <c r="N747" s="171"/>
      <c r="O747" s="170"/>
      <c r="P747" s="53"/>
      <c r="Q747" s="53"/>
      <c r="R747" s="53"/>
      <c r="S747" s="171"/>
      <c r="T747" s="170"/>
      <c r="U747" s="53"/>
      <c r="V747" s="53"/>
      <c r="W747" s="53"/>
      <c r="X747" s="171"/>
      <c r="Y747" s="170"/>
      <c r="Z747" s="170"/>
      <c r="AA747" s="170"/>
      <c r="AB747" s="170"/>
      <c r="AC747" s="170"/>
      <c r="AD747" s="53"/>
      <c r="AE747" s="53"/>
    </row>
    <row r="748">
      <c r="A748" s="53"/>
      <c r="B748" s="53"/>
      <c r="C748" s="168"/>
      <c r="D748" s="169"/>
      <c r="E748" s="170"/>
      <c r="F748" s="53"/>
      <c r="G748" s="53"/>
      <c r="H748" s="53"/>
      <c r="I748" s="171"/>
      <c r="J748" s="170"/>
      <c r="K748" s="53"/>
      <c r="L748" s="53"/>
      <c r="M748" s="53"/>
      <c r="N748" s="171"/>
      <c r="O748" s="170"/>
      <c r="P748" s="53"/>
      <c r="Q748" s="53"/>
      <c r="R748" s="53"/>
      <c r="S748" s="171"/>
      <c r="T748" s="170"/>
      <c r="U748" s="53"/>
      <c r="V748" s="53"/>
      <c r="W748" s="53"/>
      <c r="X748" s="171"/>
      <c r="Y748" s="170"/>
      <c r="Z748" s="170"/>
      <c r="AA748" s="170"/>
      <c r="AB748" s="170"/>
      <c r="AC748" s="170"/>
      <c r="AD748" s="53"/>
      <c r="AE748" s="53"/>
    </row>
    <row r="749">
      <c r="A749" s="53"/>
      <c r="B749" s="53"/>
      <c r="C749" s="168"/>
      <c r="D749" s="169"/>
      <c r="E749" s="170"/>
      <c r="F749" s="53"/>
      <c r="G749" s="53"/>
      <c r="H749" s="53"/>
      <c r="I749" s="171"/>
      <c r="J749" s="170"/>
      <c r="K749" s="53"/>
      <c r="L749" s="53"/>
      <c r="M749" s="53"/>
      <c r="N749" s="171"/>
      <c r="O749" s="170"/>
      <c r="P749" s="53"/>
      <c r="Q749" s="53"/>
      <c r="R749" s="53"/>
      <c r="S749" s="171"/>
      <c r="T749" s="170"/>
      <c r="U749" s="53"/>
      <c r="V749" s="53"/>
      <c r="W749" s="53"/>
      <c r="X749" s="171"/>
      <c r="Y749" s="170"/>
      <c r="Z749" s="170"/>
      <c r="AA749" s="170"/>
      <c r="AB749" s="170"/>
      <c r="AC749" s="170"/>
      <c r="AD749" s="53"/>
      <c r="AE749" s="53"/>
    </row>
    <row r="750">
      <c r="A750" s="53"/>
      <c r="B750" s="53"/>
      <c r="C750" s="168"/>
      <c r="D750" s="169"/>
      <c r="E750" s="170"/>
      <c r="F750" s="53"/>
      <c r="G750" s="53"/>
      <c r="H750" s="53"/>
      <c r="I750" s="171"/>
      <c r="J750" s="170"/>
      <c r="K750" s="53"/>
      <c r="L750" s="53"/>
      <c r="M750" s="53"/>
      <c r="N750" s="171"/>
      <c r="O750" s="170"/>
      <c r="P750" s="53"/>
      <c r="Q750" s="53"/>
      <c r="R750" s="53"/>
      <c r="S750" s="171"/>
      <c r="T750" s="170"/>
      <c r="U750" s="53"/>
      <c r="V750" s="53"/>
      <c r="W750" s="53"/>
      <c r="X750" s="171"/>
      <c r="Y750" s="170"/>
      <c r="Z750" s="170"/>
      <c r="AA750" s="170"/>
      <c r="AB750" s="170"/>
      <c r="AC750" s="170"/>
      <c r="AD750" s="53"/>
      <c r="AE750" s="53"/>
    </row>
    <row r="751">
      <c r="A751" s="53"/>
      <c r="B751" s="53"/>
      <c r="C751" s="168"/>
      <c r="D751" s="169"/>
      <c r="E751" s="170"/>
      <c r="F751" s="53"/>
      <c r="G751" s="53"/>
      <c r="H751" s="53"/>
      <c r="I751" s="171"/>
      <c r="J751" s="170"/>
      <c r="K751" s="53"/>
      <c r="L751" s="53"/>
      <c r="M751" s="53"/>
      <c r="N751" s="171"/>
      <c r="O751" s="170"/>
      <c r="P751" s="53"/>
      <c r="Q751" s="53"/>
      <c r="R751" s="53"/>
      <c r="S751" s="171"/>
      <c r="T751" s="170"/>
      <c r="U751" s="53"/>
      <c r="V751" s="53"/>
      <c r="W751" s="53"/>
      <c r="X751" s="171"/>
      <c r="Y751" s="170"/>
      <c r="Z751" s="170"/>
      <c r="AA751" s="170"/>
      <c r="AB751" s="170"/>
      <c r="AC751" s="170"/>
      <c r="AD751" s="53"/>
      <c r="AE751" s="53"/>
    </row>
    <row r="752">
      <c r="A752" s="53"/>
      <c r="B752" s="53"/>
      <c r="C752" s="168"/>
      <c r="D752" s="169"/>
      <c r="E752" s="170"/>
      <c r="F752" s="53"/>
      <c r="G752" s="53"/>
      <c r="H752" s="53"/>
      <c r="I752" s="171"/>
      <c r="J752" s="170"/>
      <c r="K752" s="53"/>
      <c r="L752" s="53"/>
      <c r="M752" s="53"/>
      <c r="N752" s="171"/>
      <c r="O752" s="170"/>
      <c r="P752" s="53"/>
      <c r="Q752" s="53"/>
      <c r="R752" s="53"/>
      <c r="S752" s="171"/>
      <c r="T752" s="170"/>
      <c r="U752" s="53"/>
      <c r="V752" s="53"/>
      <c r="W752" s="53"/>
      <c r="X752" s="171"/>
      <c r="Y752" s="170"/>
      <c r="Z752" s="170"/>
      <c r="AA752" s="170"/>
      <c r="AB752" s="170"/>
      <c r="AC752" s="170"/>
      <c r="AD752" s="53"/>
      <c r="AE752" s="53"/>
    </row>
    <row r="753">
      <c r="A753" s="53"/>
      <c r="B753" s="53"/>
      <c r="C753" s="168"/>
      <c r="D753" s="169"/>
      <c r="E753" s="170"/>
      <c r="F753" s="53"/>
      <c r="G753" s="53"/>
      <c r="H753" s="53"/>
      <c r="I753" s="171"/>
      <c r="J753" s="170"/>
      <c r="K753" s="53"/>
      <c r="L753" s="53"/>
      <c r="M753" s="53"/>
      <c r="N753" s="171"/>
      <c r="O753" s="170"/>
      <c r="P753" s="53"/>
      <c r="Q753" s="53"/>
      <c r="R753" s="53"/>
      <c r="S753" s="171"/>
      <c r="T753" s="170"/>
      <c r="U753" s="53"/>
      <c r="V753" s="53"/>
      <c r="W753" s="53"/>
      <c r="X753" s="171"/>
      <c r="Y753" s="170"/>
      <c r="Z753" s="170"/>
      <c r="AA753" s="170"/>
      <c r="AB753" s="170"/>
      <c r="AC753" s="170"/>
      <c r="AD753" s="53"/>
      <c r="AE753" s="53"/>
    </row>
    <row r="754">
      <c r="A754" s="53"/>
      <c r="B754" s="53"/>
      <c r="C754" s="168"/>
      <c r="D754" s="169"/>
      <c r="E754" s="170"/>
      <c r="F754" s="53"/>
      <c r="G754" s="53"/>
      <c r="H754" s="53"/>
      <c r="I754" s="171"/>
      <c r="J754" s="170"/>
      <c r="K754" s="53"/>
      <c r="L754" s="53"/>
      <c r="M754" s="53"/>
      <c r="N754" s="171"/>
      <c r="O754" s="170"/>
      <c r="P754" s="53"/>
      <c r="Q754" s="53"/>
      <c r="R754" s="53"/>
      <c r="S754" s="171"/>
      <c r="T754" s="170"/>
      <c r="U754" s="53"/>
      <c r="V754" s="53"/>
      <c r="W754" s="53"/>
      <c r="X754" s="171"/>
      <c r="Y754" s="170"/>
      <c r="Z754" s="170"/>
      <c r="AA754" s="170"/>
      <c r="AB754" s="170"/>
      <c r="AC754" s="170"/>
      <c r="AD754" s="53"/>
      <c r="AE754" s="53"/>
    </row>
    <row r="755">
      <c r="A755" s="53"/>
      <c r="B755" s="53"/>
      <c r="C755" s="168"/>
      <c r="D755" s="169"/>
      <c r="E755" s="170"/>
      <c r="F755" s="53"/>
      <c r="G755" s="53"/>
      <c r="H755" s="53"/>
      <c r="I755" s="171"/>
      <c r="J755" s="170"/>
      <c r="K755" s="53"/>
      <c r="L755" s="53"/>
      <c r="M755" s="53"/>
      <c r="N755" s="171"/>
      <c r="O755" s="170"/>
      <c r="P755" s="53"/>
      <c r="Q755" s="53"/>
      <c r="R755" s="53"/>
      <c r="S755" s="171"/>
      <c r="T755" s="170"/>
      <c r="U755" s="53"/>
      <c r="V755" s="53"/>
      <c r="W755" s="53"/>
      <c r="X755" s="171"/>
      <c r="Y755" s="170"/>
      <c r="Z755" s="170"/>
      <c r="AA755" s="170"/>
      <c r="AB755" s="170"/>
      <c r="AC755" s="170"/>
      <c r="AD755" s="53"/>
      <c r="AE755" s="53"/>
    </row>
    <row r="756">
      <c r="A756" s="53"/>
      <c r="B756" s="53"/>
      <c r="C756" s="168"/>
      <c r="D756" s="169"/>
      <c r="E756" s="170"/>
      <c r="F756" s="53"/>
      <c r="G756" s="53"/>
      <c r="H756" s="53"/>
      <c r="I756" s="171"/>
      <c r="J756" s="170"/>
      <c r="K756" s="53"/>
      <c r="L756" s="53"/>
      <c r="M756" s="53"/>
      <c r="N756" s="171"/>
      <c r="O756" s="170"/>
      <c r="P756" s="53"/>
      <c r="Q756" s="53"/>
      <c r="R756" s="53"/>
      <c r="S756" s="171"/>
      <c r="T756" s="170"/>
      <c r="U756" s="53"/>
      <c r="V756" s="53"/>
      <c r="W756" s="53"/>
      <c r="X756" s="171"/>
      <c r="Y756" s="170"/>
      <c r="Z756" s="170"/>
      <c r="AA756" s="170"/>
      <c r="AB756" s="170"/>
      <c r="AC756" s="170"/>
      <c r="AD756" s="53"/>
      <c r="AE756" s="53"/>
    </row>
    <row r="757">
      <c r="A757" s="53"/>
      <c r="B757" s="53"/>
      <c r="C757" s="168"/>
      <c r="D757" s="169"/>
      <c r="E757" s="170"/>
      <c r="F757" s="53"/>
      <c r="G757" s="53"/>
      <c r="H757" s="53"/>
      <c r="I757" s="171"/>
      <c r="J757" s="170"/>
      <c r="K757" s="53"/>
      <c r="L757" s="53"/>
      <c r="M757" s="53"/>
      <c r="N757" s="171"/>
      <c r="O757" s="170"/>
      <c r="P757" s="53"/>
      <c r="Q757" s="53"/>
      <c r="R757" s="53"/>
      <c r="S757" s="171"/>
      <c r="T757" s="170"/>
      <c r="U757" s="53"/>
      <c r="V757" s="53"/>
      <c r="W757" s="53"/>
      <c r="X757" s="171"/>
      <c r="Y757" s="170"/>
      <c r="Z757" s="170"/>
      <c r="AA757" s="170"/>
      <c r="AB757" s="170"/>
      <c r="AC757" s="170"/>
      <c r="AD757" s="53"/>
      <c r="AE757" s="53"/>
    </row>
    <row r="758">
      <c r="A758" s="53"/>
      <c r="B758" s="53"/>
      <c r="C758" s="168"/>
      <c r="D758" s="169"/>
      <c r="E758" s="170"/>
      <c r="F758" s="53"/>
      <c r="G758" s="53"/>
      <c r="H758" s="53"/>
      <c r="I758" s="171"/>
      <c r="J758" s="170"/>
      <c r="K758" s="53"/>
      <c r="L758" s="53"/>
      <c r="M758" s="53"/>
      <c r="N758" s="171"/>
      <c r="O758" s="170"/>
      <c r="P758" s="53"/>
      <c r="Q758" s="53"/>
      <c r="R758" s="53"/>
      <c r="S758" s="171"/>
      <c r="T758" s="170"/>
      <c r="U758" s="53"/>
      <c r="V758" s="53"/>
      <c r="W758" s="53"/>
      <c r="X758" s="171"/>
      <c r="Y758" s="170"/>
      <c r="Z758" s="170"/>
      <c r="AA758" s="170"/>
      <c r="AB758" s="170"/>
      <c r="AC758" s="170"/>
      <c r="AD758" s="53"/>
      <c r="AE758" s="53"/>
    </row>
    <row r="759">
      <c r="A759" s="53"/>
      <c r="B759" s="53"/>
      <c r="C759" s="168"/>
      <c r="D759" s="169"/>
      <c r="E759" s="170"/>
      <c r="F759" s="53"/>
      <c r="G759" s="53"/>
      <c r="H759" s="53"/>
      <c r="I759" s="171"/>
      <c r="J759" s="170"/>
      <c r="K759" s="53"/>
      <c r="L759" s="53"/>
      <c r="M759" s="53"/>
      <c r="N759" s="171"/>
      <c r="O759" s="170"/>
      <c r="P759" s="53"/>
      <c r="Q759" s="53"/>
      <c r="R759" s="53"/>
      <c r="S759" s="171"/>
      <c r="T759" s="170"/>
      <c r="U759" s="53"/>
      <c r="V759" s="53"/>
      <c r="W759" s="53"/>
      <c r="X759" s="171"/>
      <c r="Y759" s="170"/>
      <c r="Z759" s="170"/>
      <c r="AA759" s="170"/>
      <c r="AB759" s="170"/>
      <c r="AC759" s="170"/>
      <c r="AD759" s="53"/>
      <c r="AE759" s="53"/>
    </row>
    <row r="760">
      <c r="A760" s="53"/>
      <c r="B760" s="53"/>
      <c r="C760" s="168"/>
      <c r="D760" s="169"/>
      <c r="E760" s="170"/>
      <c r="F760" s="53"/>
      <c r="G760" s="53"/>
      <c r="H760" s="53"/>
      <c r="I760" s="171"/>
      <c r="J760" s="170"/>
      <c r="K760" s="53"/>
      <c r="L760" s="53"/>
      <c r="M760" s="53"/>
      <c r="N760" s="171"/>
      <c r="O760" s="170"/>
      <c r="P760" s="53"/>
      <c r="Q760" s="53"/>
      <c r="R760" s="53"/>
      <c r="S760" s="171"/>
      <c r="T760" s="170"/>
      <c r="U760" s="53"/>
      <c r="V760" s="53"/>
      <c r="W760" s="53"/>
      <c r="X760" s="171"/>
      <c r="Y760" s="170"/>
      <c r="Z760" s="170"/>
      <c r="AA760" s="170"/>
      <c r="AB760" s="170"/>
      <c r="AC760" s="170"/>
      <c r="AD760" s="53"/>
      <c r="AE760" s="53"/>
    </row>
    <row r="761">
      <c r="A761" s="53"/>
      <c r="B761" s="53"/>
      <c r="C761" s="168"/>
      <c r="D761" s="169"/>
      <c r="E761" s="170"/>
      <c r="F761" s="53"/>
      <c r="G761" s="53"/>
      <c r="H761" s="53"/>
      <c r="I761" s="171"/>
      <c r="J761" s="170"/>
      <c r="K761" s="53"/>
      <c r="L761" s="53"/>
      <c r="M761" s="53"/>
      <c r="N761" s="171"/>
      <c r="O761" s="170"/>
      <c r="P761" s="53"/>
      <c r="Q761" s="53"/>
      <c r="R761" s="53"/>
      <c r="S761" s="171"/>
      <c r="T761" s="170"/>
      <c r="U761" s="53"/>
      <c r="V761" s="53"/>
      <c r="W761" s="53"/>
      <c r="X761" s="171"/>
      <c r="Y761" s="170"/>
      <c r="Z761" s="170"/>
      <c r="AA761" s="170"/>
      <c r="AB761" s="170"/>
      <c r="AC761" s="170"/>
      <c r="AD761" s="53"/>
      <c r="AE761" s="53"/>
    </row>
    <row r="762">
      <c r="A762" s="53"/>
      <c r="B762" s="53"/>
      <c r="C762" s="168"/>
      <c r="D762" s="169"/>
      <c r="E762" s="170"/>
      <c r="F762" s="53"/>
      <c r="G762" s="53"/>
      <c r="H762" s="53"/>
      <c r="I762" s="171"/>
      <c r="J762" s="170"/>
      <c r="K762" s="53"/>
      <c r="L762" s="53"/>
      <c r="M762" s="53"/>
      <c r="N762" s="171"/>
      <c r="O762" s="170"/>
      <c r="P762" s="53"/>
      <c r="Q762" s="53"/>
      <c r="R762" s="53"/>
      <c r="S762" s="171"/>
      <c r="T762" s="170"/>
      <c r="U762" s="53"/>
      <c r="V762" s="53"/>
      <c r="W762" s="53"/>
      <c r="X762" s="171"/>
      <c r="Y762" s="170"/>
      <c r="Z762" s="170"/>
      <c r="AA762" s="170"/>
      <c r="AB762" s="170"/>
      <c r="AC762" s="170"/>
      <c r="AD762" s="53"/>
      <c r="AE762" s="53"/>
    </row>
    <row r="763">
      <c r="A763" s="53"/>
      <c r="B763" s="53"/>
      <c r="C763" s="168"/>
      <c r="D763" s="169"/>
      <c r="E763" s="170"/>
      <c r="F763" s="53"/>
      <c r="G763" s="53"/>
      <c r="H763" s="53"/>
      <c r="I763" s="171"/>
      <c r="J763" s="170"/>
      <c r="K763" s="53"/>
      <c r="L763" s="53"/>
      <c r="M763" s="53"/>
      <c r="N763" s="171"/>
      <c r="O763" s="170"/>
      <c r="P763" s="53"/>
      <c r="Q763" s="53"/>
      <c r="R763" s="53"/>
      <c r="S763" s="171"/>
      <c r="T763" s="170"/>
      <c r="U763" s="53"/>
      <c r="V763" s="53"/>
      <c r="W763" s="53"/>
      <c r="X763" s="171"/>
      <c r="Y763" s="170"/>
      <c r="Z763" s="170"/>
      <c r="AA763" s="170"/>
      <c r="AB763" s="170"/>
      <c r="AC763" s="170"/>
      <c r="AD763" s="53"/>
      <c r="AE763" s="53"/>
    </row>
    <row r="764">
      <c r="A764" s="53"/>
      <c r="B764" s="53"/>
      <c r="C764" s="168"/>
      <c r="D764" s="169"/>
      <c r="E764" s="170"/>
      <c r="F764" s="53"/>
      <c r="G764" s="53"/>
      <c r="H764" s="53"/>
      <c r="I764" s="171"/>
      <c r="J764" s="170"/>
      <c r="K764" s="53"/>
      <c r="L764" s="53"/>
      <c r="M764" s="53"/>
      <c r="N764" s="171"/>
      <c r="O764" s="170"/>
      <c r="P764" s="53"/>
      <c r="Q764" s="53"/>
      <c r="R764" s="53"/>
      <c r="S764" s="171"/>
      <c r="T764" s="170"/>
      <c r="U764" s="53"/>
      <c r="V764" s="53"/>
      <c r="W764" s="53"/>
      <c r="X764" s="171"/>
      <c r="Y764" s="170"/>
      <c r="Z764" s="170"/>
      <c r="AA764" s="170"/>
      <c r="AB764" s="170"/>
      <c r="AC764" s="170"/>
      <c r="AD764" s="53"/>
      <c r="AE764" s="53"/>
    </row>
    <row r="765">
      <c r="A765" s="53"/>
      <c r="B765" s="53"/>
      <c r="C765" s="168"/>
      <c r="D765" s="169"/>
      <c r="E765" s="170"/>
      <c r="F765" s="53"/>
      <c r="G765" s="53"/>
      <c r="H765" s="53"/>
      <c r="I765" s="171"/>
      <c r="J765" s="170"/>
      <c r="K765" s="53"/>
      <c r="L765" s="53"/>
      <c r="M765" s="53"/>
      <c r="N765" s="171"/>
      <c r="O765" s="170"/>
      <c r="P765" s="53"/>
      <c r="Q765" s="53"/>
      <c r="R765" s="53"/>
      <c r="S765" s="171"/>
      <c r="T765" s="170"/>
      <c r="U765" s="53"/>
      <c r="V765" s="53"/>
      <c r="W765" s="53"/>
      <c r="X765" s="171"/>
      <c r="Y765" s="170"/>
      <c r="Z765" s="170"/>
      <c r="AA765" s="170"/>
      <c r="AB765" s="170"/>
      <c r="AC765" s="170"/>
      <c r="AD765" s="53"/>
      <c r="AE765" s="53"/>
    </row>
    <row r="766">
      <c r="A766" s="53"/>
      <c r="B766" s="53"/>
      <c r="C766" s="168"/>
      <c r="D766" s="169"/>
      <c r="E766" s="170"/>
      <c r="F766" s="53"/>
      <c r="G766" s="53"/>
      <c r="H766" s="53"/>
      <c r="I766" s="171"/>
      <c r="J766" s="170"/>
      <c r="K766" s="53"/>
      <c r="L766" s="53"/>
      <c r="M766" s="53"/>
      <c r="N766" s="171"/>
      <c r="O766" s="170"/>
      <c r="P766" s="53"/>
      <c r="Q766" s="53"/>
      <c r="R766" s="53"/>
      <c r="S766" s="171"/>
      <c r="T766" s="170"/>
      <c r="U766" s="53"/>
      <c r="V766" s="53"/>
      <c r="W766" s="53"/>
      <c r="X766" s="171"/>
      <c r="Y766" s="170"/>
      <c r="Z766" s="170"/>
      <c r="AA766" s="170"/>
      <c r="AB766" s="170"/>
      <c r="AC766" s="170"/>
      <c r="AD766" s="53"/>
      <c r="AE766" s="53"/>
    </row>
    <row r="767">
      <c r="A767" s="53"/>
      <c r="B767" s="53"/>
      <c r="C767" s="168"/>
      <c r="D767" s="169"/>
      <c r="E767" s="170"/>
      <c r="F767" s="53"/>
      <c r="G767" s="53"/>
      <c r="H767" s="53"/>
      <c r="I767" s="171"/>
      <c r="J767" s="170"/>
      <c r="K767" s="53"/>
      <c r="L767" s="53"/>
      <c r="M767" s="53"/>
      <c r="N767" s="171"/>
      <c r="O767" s="170"/>
      <c r="P767" s="53"/>
      <c r="Q767" s="53"/>
      <c r="R767" s="53"/>
      <c r="S767" s="171"/>
      <c r="T767" s="170"/>
      <c r="U767" s="53"/>
      <c r="V767" s="53"/>
      <c r="W767" s="53"/>
      <c r="X767" s="171"/>
      <c r="Y767" s="170"/>
      <c r="Z767" s="170"/>
      <c r="AA767" s="170"/>
      <c r="AB767" s="170"/>
      <c r="AC767" s="170"/>
      <c r="AD767" s="53"/>
      <c r="AE767" s="53"/>
    </row>
    <row r="768">
      <c r="A768" s="53"/>
      <c r="B768" s="53"/>
      <c r="C768" s="168"/>
      <c r="D768" s="169"/>
      <c r="E768" s="170"/>
      <c r="F768" s="53"/>
      <c r="G768" s="53"/>
      <c r="H768" s="53"/>
      <c r="I768" s="171"/>
      <c r="J768" s="170"/>
      <c r="K768" s="53"/>
      <c r="L768" s="53"/>
      <c r="M768" s="53"/>
      <c r="N768" s="171"/>
      <c r="O768" s="170"/>
      <c r="P768" s="53"/>
      <c r="Q768" s="53"/>
      <c r="R768" s="53"/>
      <c r="S768" s="171"/>
      <c r="T768" s="170"/>
      <c r="U768" s="53"/>
      <c r="V768" s="53"/>
      <c r="W768" s="53"/>
      <c r="X768" s="171"/>
      <c r="Y768" s="170"/>
      <c r="Z768" s="170"/>
      <c r="AA768" s="170"/>
      <c r="AB768" s="170"/>
      <c r="AC768" s="170"/>
      <c r="AD768" s="53"/>
      <c r="AE768" s="53"/>
    </row>
    <row r="769">
      <c r="A769" s="53"/>
      <c r="B769" s="53"/>
      <c r="C769" s="168"/>
      <c r="D769" s="169"/>
      <c r="E769" s="170"/>
      <c r="F769" s="53"/>
      <c r="G769" s="53"/>
      <c r="H769" s="53"/>
      <c r="I769" s="171"/>
      <c r="J769" s="170"/>
      <c r="K769" s="53"/>
      <c r="L769" s="53"/>
      <c r="M769" s="53"/>
      <c r="N769" s="171"/>
      <c r="O769" s="170"/>
      <c r="P769" s="53"/>
      <c r="Q769" s="53"/>
      <c r="R769" s="53"/>
      <c r="S769" s="171"/>
      <c r="T769" s="170"/>
      <c r="U769" s="53"/>
      <c r="V769" s="53"/>
      <c r="W769" s="53"/>
      <c r="X769" s="171"/>
      <c r="Y769" s="170"/>
      <c r="Z769" s="170"/>
      <c r="AA769" s="170"/>
      <c r="AB769" s="170"/>
      <c r="AC769" s="170"/>
      <c r="AD769" s="53"/>
      <c r="AE769" s="53"/>
    </row>
    <row r="770">
      <c r="A770" s="53"/>
      <c r="B770" s="53"/>
      <c r="C770" s="168"/>
      <c r="D770" s="169"/>
      <c r="E770" s="170"/>
      <c r="F770" s="53"/>
      <c r="G770" s="53"/>
      <c r="H770" s="53"/>
      <c r="I770" s="171"/>
      <c r="J770" s="170"/>
      <c r="K770" s="53"/>
      <c r="L770" s="53"/>
      <c r="M770" s="53"/>
      <c r="N770" s="171"/>
      <c r="O770" s="170"/>
      <c r="P770" s="53"/>
      <c r="Q770" s="53"/>
      <c r="R770" s="53"/>
      <c r="S770" s="171"/>
      <c r="T770" s="170"/>
      <c r="U770" s="53"/>
      <c r="V770" s="53"/>
      <c r="W770" s="53"/>
      <c r="X770" s="171"/>
      <c r="Y770" s="170"/>
      <c r="Z770" s="170"/>
      <c r="AA770" s="170"/>
      <c r="AB770" s="170"/>
      <c r="AC770" s="170"/>
      <c r="AD770" s="53"/>
      <c r="AE770" s="53"/>
    </row>
    <row r="771">
      <c r="A771" s="53"/>
      <c r="B771" s="53"/>
      <c r="C771" s="168"/>
      <c r="D771" s="169"/>
      <c r="E771" s="170"/>
      <c r="F771" s="53"/>
      <c r="G771" s="53"/>
      <c r="H771" s="53"/>
      <c r="I771" s="171"/>
      <c r="J771" s="170"/>
      <c r="K771" s="53"/>
      <c r="L771" s="53"/>
      <c r="M771" s="53"/>
      <c r="N771" s="171"/>
      <c r="O771" s="170"/>
      <c r="P771" s="53"/>
      <c r="Q771" s="53"/>
      <c r="R771" s="53"/>
      <c r="S771" s="171"/>
      <c r="T771" s="170"/>
      <c r="U771" s="53"/>
      <c r="V771" s="53"/>
      <c r="W771" s="53"/>
      <c r="X771" s="171"/>
      <c r="Y771" s="170"/>
      <c r="Z771" s="170"/>
      <c r="AA771" s="170"/>
      <c r="AB771" s="170"/>
      <c r="AC771" s="170"/>
      <c r="AD771" s="53"/>
      <c r="AE771" s="53"/>
    </row>
    <row r="772">
      <c r="A772" s="53"/>
      <c r="B772" s="53"/>
      <c r="C772" s="168"/>
      <c r="D772" s="169"/>
      <c r="E772" s="170"/>
      <c r="F772" s="53"/>
      <c r="G772" s="53"/>
      <c r="H772" s="53"/>
      <c r="I772" s="171"/>
      <c r="J772" s="170"/>
      <c r="K772" s="53"/>
      <c r="L772" s="53"/>
      <c r="M772" s="53"/>
      <c r="N772" s="171"/>
      <c r="O772" s="170"/>
      <c r="P772" s="53"/>
      <c r="Q772" s="53"/>
      <c r="R772" s="53"/>
      <c r="S772" s="171"/>
      <c r="T772" s="170"/>
      <c r="U772" s="53"/>
      <c r="V772" s="53"/>
      <c r="W772" s="53"/>
      <c r="X772" s="171"/>
      <c r="Y772" s="170"/>
      <c r="Z772" s="170"/>
      <c r="AA772" s="170"/>
      <c r="AB772" s="170"/>
      <c r="AC772" s="170"/>
      <c r="AD772" s="53"/>
      <c r="AE772" s="53"/>
    </row>
    <row r="773">
      <c r="A773" s="53"/>
      <c r="B773" s="53"/>
      <c r="C773" s="168"/>
      <c r="D773" s="169"/>
      <c r="E773" s="170"/>
      <c r="F773" s="53"/>
      <c r="G773" s="53"/>
      <c r="H773" s="53"/>
      <c r="I773" s="171"/>
      <c r="J773" s="170"/>
      <c r="K773" s="53"/>
      <c r="L773" s="53"/>
      <c r="M773" s="53"/>
      <c r="N773" s="171"/>
      <c r="O773" s="170"/>
      <c r="P773" s="53"/>
      <c r="Q773" s="53"/>
      <c r="R773" s="53"/>
      <c r="S773" s="171"/>
      <c r="T773" s="170"/>
      <c r="U773" s="53"/>
      <c r="V773" s="53"/>
      <c r="W773" s="53"/>
      <c r="X773" s="171"/>
      <c r="Y773" s="170"/>
      <c r="Z773" s="170"/>
      <c r="AA773" s="170"/>
      <c r="AB773" s="170"/>
      <c r="AC773" s="170"/>
      <c r="AD773" s="53"/>
      <c r="AE773" s="53"/>
    </row>
    <row r="774">
      <c r="A774" s="53"/>
      <c r="B774" s="53"/>
      <c r="C774" s="168"/>
      <c r="D774" s="169"/>
      <c r="E774" s="170"/>
      <c r="F774" s="53"/>
      <c r="G774" s="53"/>
      <c r="H774" s="53"/>
      <c r="I774" s="171"/>
      <c r="J774" s="170"/>
      <c r="K774" s="53"/>
      <c r="L774" s="53"/>
      <c r="M774" s="53"/>
      <c r="N774" s="171"/>
      <c r="O774" s="170"/>
      <c r="P774" s="53"/>
      <c r="Q774" s="53"/>
      <c r="R774" s="53"/>
      <c r="S774" s="171"/>
      <c r="T774" s="170"/>
      <c r="U774" s="53"/>
      <c r="V774" s="53"/>
      <c r="W774" s="53"/>
      <c r="X774" s="171"/>
      <c r="Y774" s="170"/>
      <c r="Z774" s="170"/>
      <c r="AA774" s="170"/>
      <c r="AB774" s="170"/>
      <c r="AC774" s="170"/>
      <c r="AD774" s="53"/>
      <c r="AE774" s="53"/>
    </row>
    <row r="775">
      <c r="A775" s="53"/>
      <c r="B775" s="53"/>
      <c r="C775" s="168"/>
      <c r="D775" s="169"/>
      <c r="E775" s="170"/>
      <c r="F775" s="53"/>
      <c r="G775" s="53"/>
      <c r="H775" s="53"/>
      <c r="I775" s="171"/>
      <c r="J775" s="170"/>
      <c r="K775" s="53"/>
      <c r="L775" s="53"/>
      <c r="M775" s="53"/>
      <c r="N775" s="171"/>
      <c r="O775" s="170"/>
      <c r="P775" s="53"/>
      <c r="Q775" s="53"/>
      <c r="R775" s="53"/>
      <c r="S775" s="171"/>
      <c r="T775" s="170"/>
      <c r="U775" s="53"/>
      <c r="V775" s="53"/>
      <c r="W775" s="53"/>
      <c r="X775" s="171"/>
      <c r="Y775" s="170"/>
      <c r="Z775" s="170"/>
      <c r="AA775" s="170"/>
      <c r="AB775" s="170"/>
      <c r="AC775" s="170"/>
      <c r="AD775" s="53"/>
      <c r="AE775" s="53"/>
    </row>
    <row r="776">
      <c r="A776" s="53"/>
      <c r="B776" s="53"/>
      <c r="C776" s="168"/>
      <c r="D776" s="169"/>
      <c r="E776" s="170"/>
      <c r="F776" s="53"/>
      <c r="G776" s="53"/>
      <c r="H776" s="53"/>
      <c r="I776" s="171"/>
      <c r="J776" s="170"/>
      <c r="K776" s="53"/>
      <c r="L776" s="53"/>
      <c r="M776" s="53"/>
      <c r="N776" s="171"/>
      <c r="O776" s="170"/>
      <c r="P776" s="53"/>
      <c r="Q776" s="53"/>
      <c r="R776" s="53"/>
      <c r="S776" s="171"/>
      <c r="T776" s="170"/>
      <c r="U776" s="53"/>
      <c r="V776" s="53"/>
      <c r="W776" s="53"/>
      <c r="X776" s="171"/>
      <c r="Y776" s="170"/>
      <c r="Z776" s="170"/>
      <c r="AA776" s="170"/>
      <c r="AB776" s="170"/>
      <c r="AC776" s="170"/>
      <c r="AD776" s="53"/>
      <c r="AE776" s="53"/>
    </row>
    <row r="777">
      <c r="A777" s="53"/>
      <c r="B777" s="53"/>
      <c r="C777" s="168"/>
      <c r="D777" s="169"/>
      <c r="E777" s="170"/>
      <c r="F777" s="53"/>
      <c r="G777" s="53"/>
      <c r="H777" s="53"/>
      <c r="I777" s="171"/>
      <c r="J777" s="170"/>
      <c r="K777" s="53"/>
      <c r="L777" s="53"/>
      <c r="M777" s="53"/>
      <c r="N777" s="171"/>
      <c r="O777" s="170"/>
      <c r="P777" s="53"/>
      <c r="Q777" s="53"/>
      <c r="R777" s="53"/>
      <c r="S777" s="171"/>
      <c r="T777" s="170"/>
      <c r="U777" s="53"/>
      <c r="V777" s="53"/>
      <c r="W777" s="53"/>
      <c r="X777" s="171"/>
      <c r="Y777" s="170"/>
      <c r="Z777" s="170"/>
      <c r="AA777" s="170"/>
      <c r="AB777" s="170"/>
      <c r="AC777" s="170"/>
      <c r="AD777" s="53"/>
      <c r="AE777" s="53"/>
    </row>
    <row r="778">
      <c r="A778" s="53"/>
      <c r="B778" s="53"/>
      <c r="C778" s="168"/>
      <c r="D778" s="169"/>
      <c r="E778" s="170"/>
      <c r="F778" s="53"/>
      <c r="G778" s="53"/>
      <c r="H778" s="53"/>
      <c r="I778" s="171"/>
      <c r="J778" s="170"/>
      <c r="K778" s="53"/>
      <c r="L778" s="53"/>
      <c r="M778" s="53"/>
      <c r="N778" s="171"/>
      <c r="O778" s="170"/>
      <c r="P778" s="53"/>
      <c r="Q778" s="53"/>
      <c r="R778" s="53"/>
      <c r="S778" s="171"/>
      <c r="T778" s="170"/>
      <c r="U778" s="53"/>
      <c r="V778" s="53"/>
      <c r="W778" s="53"/>
      <c r="X778" s="171"/>
      <c r="Y778" s="170"/>
      <c r="Z778" s="170"/>
      <c r="AA778" s="170"/>
      <c r="AB778" s="170"/>
      <c r="AC778" s="170"/>
      <c r="AD778" s="53"/>
      <c r="AE778" s="53"/>
    </row>
    <row r="779">
      <c r="A779" s="53"/>
      <c r="B779" s="53"/>
      <c r="C779" s="168"/>
      <c r="D779" s="169"/>
      <c r="E779" s="170"/>
      <c r="F779" s="53"/>
      <c r="G779" s="53"/>
      <c r="H779" s="53"/>
      <c r="I779" s="171"/>
      <c r="J779" s="170"/>
      <c r="K779" s="53"/>
      <c r="L779" s="53"/>
      <c r="M779" s="53"/>
      <c r="N779" s="171"/>
      <c r="O779" s="170"/>
      <c r="P779" s="53"/>
      <c r="Q779" s="53"/>
      <c r="R779" s="53"/>
      <c r="S779" s="171"/>
      <c r="T779" s="170"/>
      <c r="U779" s="53"/>
      <c r="V779" s="53"/>
      <c r="W779" s="53"/>
      <c r="X779" s="171"/>
      <c r="Y779" s="170"/>
      <c r="Z779" s="170"/>
      <c r="AA779" s="170"/>
      <c r="AB779" s="170"/>
      <c r="AC779" s="170"/>
      <c r="AD779" s="53"/>
      <c r="AE779" s="53"/>
    </row>
    <row r="780">
      <c r="A780" s="53"/>
      <c r="B780" s="53"/>
      <c r="C780" s="168"/>
      <c r="D780" s="169"/>
      <c r="E780" s="170"/>
      <c r="F780" s="53"/>
      <c r="G780" s="53"/>
      <c r="H780" s="53"/>
      <c r="I780" s="171"/>
      <c r="J780" s="170"/>
      <c r="K780" s="53"/>
      <c r="L780" s="53"/>
      <c r="M780" s="53"/>
      <c r="N780" s="171"/>
      <c r="O780" s="170"/>
      <c r="P780" s="53"/>
      <c r="Q780" s="53"/>
      <c r="R780" s="53"/>
      <c r="S780" s="171"/>
      <c r="T780" s="170"/>
      <c r="U780" s="53"/>
      <c r="V780" s="53"/>
      <c r="W780" s="53"/>
      <c r="X780" s="171"/>
      <c r="Y780" s="170"/>
      <c r="Z780" s="170"/>
      <c r="AA780" s="170"/>
      <c r="AB780" s="170"/>
      <c r="AC780" s="170"/>
      <c r="AD780" s="53"/>
      <c r="AE780" s="53"/>
    </row>
    <row r="781">
      <c r="A781" s="53"/>
      <c r="B781" s="53"/>
      <c r="C781" s="168"/>
      <c r="D781" s="169"/>
      <c r="E781" s="170"/>
      <c r="F781" s="53"/>
      <c r="G781" s="53"/>
      <c r="H781" s="53"/>
      <c r="I781" s="171"/>
      <c r="J781" s="170"/>
      <c r="K781" s="53"/>
      <c r="L781" s="53"/>
      <c r="M781" s="53"/>
      <c r="N781" s="171"/>
      <c r="O781" s="170"/>
      <c r="P781" s="53"/>
      <c r="Q781" s="53"/>
      <c r="R781" s="53"/>
      <c r="S781" s="171"/>
      <c r="T781" s="170"/>
      <c r="U781" s="53"/>
      <c r="V781" s="53"/>
      <c r="W781" s="53"/>
      <c r="X781" s="171"/>
      <c r="Y781" s="170"/>
      <c r="Z781" s="170"/>
      <c r="AA781" s="170"/>
      <c r="AB781" s="170"/>
      <c r="AC781" s="170"/>
      <c r="AD781" s="53"/>
      <c r="AE781" s="53"/>
    </row>
    <row r="782">
      <c r="A782" s="53"/>
      <c r="B782" s="53"/>
      <c r="C782" s="168"/>
      <c r="D782" s="169"/>
      <c r="E782" s="170"/>
      <c r="F782" s="53"/>
      <c r="G782" s="53"/>
      <c r="H782" s="53"/>
      <c r="I782" s="171"/>
      <c r="J782" s="170"/>
      <c r="K782" s="53"/>
      <c r="L782" s="53"/>
      <c r="M782" s="53"/>
      <c r="N782" s="171"/>
      <c r="O782" s="170"/>
      <c r="P782" s="53"/>
      <c r="Q782" s="53"/>
      <c r="R782" s="53"/>
      <c r="S782" s="171"/>
      <c r="T782" s="170"/>
      <c r="U782" s="53"/>
      <c r="V782" s="53"/>
      <c r="W782" s="53"/>
      <c r="X782" s="171"/>
      <c r="Y782" s="170"/>
      <c r="Z782" s="170"/>
      <c r="AA782" s="170"/>
      <c r="AB782" s="170"/>
      <c r="AC782" s="170"/>
      <c r="AD782" s="53"/>
      <c r="AE782" s="53"/>
    </row>
    <row r="783">
      <c r="A783" s="53"/>
      <c r="B783" s="53"/>
      <c r="C783" s="168"/>
      <c r="D783" s="169"/>
      <c r="E783" s="170"/>
      <c r="F783" s="53"/>
      <c r="G783" s="53"/>
      <c r="H783" s="53"/>
      <c r="I783" s="171"/>
      <c r="J783" s="170"/>
      <c r="K783" s="53"/>
      <c r="L783" s="53"/>
      <c r="M783" s="53"/>
      <c r="N783" s="171"/>
      <c r="O783" s="170"/>
      <c r="P783" s="53"/>
      <c r="Q783" s="53"/>
      <c r="R783" s="53"/>
      <c r="S783" s="171"/>
      <c r="T783" s="170"/>
      <c r="U783" s="53"/>
      <c r="V783" s="53"/>
      <c r="W783" s="53"/>
      <c r="X783" s="171"/>
      <c r="Y783" s="170"/>
      <c r="Z783" s="170"/>
      <c r="AA783" s="170"/>
      <c r="AB783" s="170"/>
      <c r="AC783" s="170"/>
      <c r="AD783" s="53"/>
      <c r="AE783" s="53"/>
    </row>
    <row r="784">
      <c r="A784" s="53"/>
      <c r="B784" s="53"/>
      <c r="C784" s="168"/>
      <c r="D784" s="169"/>
      <c r="E784" s="170"/>
      <c r="F784" s="53"/>
      <c r="G784" s="53"/>
      <c r="H784" s="53"/>
      <c r="I784" s="171"/>
      <c r="J784" s="170"/>
      <c r="K784" s="53"/>
      <c r="L784" s="53"/>
      <c r="M784" s="53"/>
      <c r="N784" s="171"/>
      <c r="O784" s="170"/>
      <c r="P784" s="53"/>
      <c r="Q784" s="53"/>
      <c r="R784" s="53"/>
      <c r="S784" s="171"/>
      <c r="T784" s="170"/>
      <c r="U784" s="53"/>
      <c r="V784" s="53"/>
      <c r="W784" s="53"/>
      <c r="X784" s="171"/>
      <c r="Y784" s="170"/>
      <c r="Z784" s="170"/>
      <c r="AA784" s="170"/>
      <c r="AB784" s="170"/>
      <c r="AC784" s="170"/>
      <c r="AD784" s="53"/>
      <c r="AE784" s="53"/>
    </row>
    <row r="785">
      <c r="A785" s="53"/>
      <c r="B785" s="53"/>
      <c r="C785" s="168"/>
      <c r="D785" s="169"/>
      <c r="E785" s="170"/>
      <c r="F785" s="53"/>
      <c r="G785" s="53"/>
      <c r="H785" s="53"/>
      <c r="I785" s="171"/>
      <c r="J785" s="170"/>
      <c r="K785" s="53"/>
      <c r="L785" s="53"/>
      <c r="M785" s="53"/>
      <c r="N785" s="171"/>
      <c r="O785" s="170"/>
      <c r="P785" s="53"/>
      <c r="Q785" s="53"/>
      <c r="R785" s="53"/>
      <c r="S785" s="171"/>
      <c r="T785" s="170"/>
      <c r="U785" s="53"/>
      <c r="V785" s="53"/>
      <c r="W785" s="53"/>
      <c r="X785" s="171"/>
      <c r="Y785" s="170"/>
      <c r="Z785" s="170"/>
      <c r="AA785" s="170"/>
      <c r="AB785" s="170"/>
      <c r="AC785" s="170"/>
      <c r="AD785" s="53"/>
      <c r="AE785" s="53"/>
    </row>
    <row r="786">
      <c r="A786" s="53"/>
      <c r="B786" s="53"/>
      <c r="C786" s="168"/>
      <c r="D786" s="169"/>
      <c r="E786" s="170"/>
      <c r="F786" s="53"/>
      <c r="G786" s="53"/>
      <c r="H786" s="53"/>
      <c r="I786" s="171"/>
      <c r="J786" s="170"/>
      <c r="K786" s="53"/>
      <c r="L786" s="53"/>
      <c r="M786" s="53"/>
      <c r="N786" s="171"/>
      <c r="O786" s="170"/>
      <c r="P786" s="53"/>
      <c r="Q786" s="53"/>
      <c r="R786" s="53"/>
      <c r="S786" s="171"/>
      <c r="T786" s="170"/>
      <c r="U786" s="53"/>
      <c r="V786" s="53"/>
      <c r="W786" s="53"/>
      <c r="X786" s="171"/>
      <c r="Y786" s="170"/>
      <c r="Z786" s="170"/>
      <c r="AA786" s="170"/>
      <c r="AB786" s="170"/>
      <c r="AC786" s="170"/>
      <c r="AD786" s="53"/>
      <c r="AE786" s="53"/>
    </row>
    <row r="787">
      <c r="A787" s="53"/>
      <c r="B787" s="53"/>
      <c r="C787" s="168"/>
      <c r="D787" s="169"/>
      <c r="E787" s="170"/>
      <c r="F787" s="53"/>
      <c r="G787" s="53"/>
      <c r="H787" s="53"/>
      <c r="I787" s="171"/>
      <c r="J787" s="170"/>
      <c r="K787" s="53"/>
      <c r="L787" s="53"/>
      <c r="M787" s="53"/>
      <c r="N787" s="171"/>
      <c r="O787" s="170"/>
      <c r="P787" s="53"/>
      <c r="Q787" s="53"/>
      <c r="R787" s="53"/>
      <c r="S787" s="171"/>
      <c r="T787" s="170"/>
      <c r="U787" s="53"/>
      <c r="V787" s="53"/>
      <c r="W787" s="53"/>
      <c r="X787" s="171"/>
      <c r="Y787" s="170"/>
      <c r="Z787" s="170"/>
      <c r="AA787" s="170"/>
      <c r="AB787" s="170"/>
      <c r="AC787" s="170"/>
      <c r="AD787" s="53"/>
      <c r="AE787" s="53"/>
    </row>
    <row r="788">
      <c r="A788" s="53"/>
      <c r="B788" s="53"/>
      <c r="C788" s="168"/>
      <c r="D788" s="169"/>
      <c r="E788" s="170"/>
      <c r="F788" s="53"/>
      <c r="G788" s="53"/>
      <c r="H788" s="53"/>
      <c r="I788" s="171"/>
      <c r="J788" s="170"/>
      <c r="K788" s="53"/>
      <c r="L788" s="53"/>
      <c r="M788" s="53"/>
      <c r="N788" s="171"/>
      <c r="O788" s="170"/>
      <c r="P788" s="53"/>
      <c r="Q788" s="53"/>
      <c r="R788" s="53"/>
      <c r="S788" s="171"/>
      <c r="T788" s="170"/>
      <c r="U788" s="53"/>
      <c r="V788" s="53"/>
      <c r="W788" s="53"/>
      <c r="X788" s="171"/>
      <c r="Y788" s="170"/>
      <c r="Z788" s="170"/>
      <c r="AA788" s="170"/>
      <c r="AB788" s="170"/>
      <c r="AC788" s="170"/>
      <c r="AD788" s="53"/>
      <c r="AE788" s="53"/>
    </row>
    <row r="789">
      <c r="A789" s="53"/>
      <c r="B789" s="53"/>
      <c r="C789" s="168"/>
      <c r="D789" s="169"/>
      <c r="E789" s="170"/>
      <c r="F789" s="53"/>
      <c r="G789" s="53"/>
      <c r="H789" s="53"/>
      <c r="I789" s="171"/>
      <c r="J789" s="170"/>
      <c r="K789" s="53"/>
      <c r="L789" s="53"/>
      <c r="M789" s="53"/>
      <c r="N789" s="171"/>
      <c r="O789" s="170"/>
      <c r="P789" s="53"/>
      <c r="Q789" s="53"/>
      <c r="R789" s="53"/>
      <c r="S789" s="171"/>
      <c r="T789" s="170"/>
      <c r="U789" s="53"/>
      <c r="V789" s="53"/>
      <c r="W789" s="53"/>
      <c r="X789" s="171"/>
      <c r="Y789" s="170"/>
      <c r="Z789" s="170"/>
      <c r="AA789" s="170"/>
      <c r="AB789" s="170"/>
      <c r="AC789" s="170"/>
      <c r="AD789" s="53"/>
      <c r="AE789" s="53"/>
    </row>
    <row r="790">
      <c r="A790" s="53"/>
      <c r="B790" s="53"/>
      <c r="C790" s="168"/>
      <c r="D790" s="169"/>
      <c r="E790" s="170"/>
      <c r="F790" s="53"/>
      <c r="G790" s="53"/>
      <c r="H790" s="53"/>
      <c r="I790" s="171"/>
      <c r="J790" s="170"/>
      <c r="K790" s="53"/>
      <c r="L790" s="53"/>
      <c r="M790" s="53"/>
      <c r="N790" s="171"/>
      <c r="O790" s="170"/>
      <c r="P790" s="53"/>
      <c r="Q790" s="53"/>
      <c r="R790" s="53"/>
      <c r="S790" s="171"/>
      <c r="T790" s="170"/>
      <c r="U790" s="53"/>
      <c r="V790" s="53"/>
      <c r="W790" s="53"/>
      <c r="X790" s="171"/>
      <c r="Y790" s="170"/>
      <c r="Z790" s="170"/>
      <c r="AA790" s="170"/>
      <c r="AB790" s="170"/>
      <c r="AC790" s="170"/>
      <c r="AD790" s="53"/>
      <c r="AE790" s="53"/>
    </row>
    <row r="791">
      <c r="A791" s="53"/>
      <c r="B791" s="53"/>
      <c r="C791" s="168"/>
      <c r="D791" s="169"/>
      <c r="E791" s="170"/>
      <c r="F791" s="53"/>
      <c r="G791" s="53"/>
      <c r="H791" s="53"/>
      <c r="I791" s="171"/>
      <c r="J791" s="170"/>
      <c r="K791" s="53"/>
      <c r="L791" s="53"/>
      <c r="M791" s="53"/>
      <c r="N791" s="171"/>
      <c r="O791" s="170"/>
      <c r="P791" s="53"/>
      <c r="Q791" s="53"/>
      <c r="R791" s="53"/>
      <c r="S791" s="171"/>
      <c r="T791" s="170"/>
      <c r="U791" s="53"/>
      <c r="V791" s="53"/>
      <c r="W791" s="53"/>
      <c r="X791" s="171"/>
      <c r="Y791" s="170"/>
      <c r="Z791" s="170"/>
      <c r="AA791" s="170"/>
      <c r="AB791" s="170"/>
      <c r="AC791" s="170"/>
      <c r="AD791" s="53"/>
      <c r="AE791" s="53"/>
    </row>
    <row r="792">
      <c r="A792" s="53"/>
      <c r="B792" s="53"/>
      <c r="C792" s="168"/>
      <c r="D792" s="169"/>
      <c r="E792" s="170"/>
      <c r="F792" s="53"/>
      <c r="G792" s="53"/>
      <c r="H792" s="53"/>
      <c r="I792" s="171"/>
      <c r="J792" s="170"/>
      <c r="K792" s="53"/>
      <c r="L792" s="53"/>
      <c r="M792" s="53"/>
      <c r="N792" s="171"/>
      <c r="O792" s="170"/>
      <c r="P792" s="53"/>
      <c r="Q792" s="53"/>
      <c r="R792" s="53"/>
      <c r="S792" s="171"/>
      <c r="T792" s="170"/>
      <c r="U792" s="53"/>
      <c r="V792" s="53"/>
      <c r="W792" s="53"/>
      <c r="X792" s="171"/>
      <c r="Y792" s="170"/>
      <c r="Z792" s="170"/>
      <c r="AA792" s="170"/>
      <c r="AB792" s="170"/>
      <c r="AC792" s="170"/>
      <c r="AD792" s="53"/>
      <c r="AE792" s="53"/>
    </row>
    <row r="793">
      <c r="A793" s="53"/>
      <c r="B793" s="53"/>
      <c r="C793" s="168"/>
      <c r="D793" s="169"/>
      <c r="E793" s="170"/>
      <c r="F793" s="53"/>
      <c r="G793" s="53"/>
      <c r="H793" s="53"/>
      <c r="I793" s="171"/>
      <c r="J793" s="170"/>
      <c r="K793" s="53"/>
      <c r="L793" s="53"/>
      <c r="M793" s="53"/>
      <c r="N793" s="171"/>
      <c r="O793" s="170"/>
      <c r="P793" s="53"/>
      <c r="Q793" s="53"/>
      <c r="R793" s="53"/>
      <c r="S793" s="171"/>
      <c r="T793" s="170"/>
      <c r="U793" s="53"/>
      <c r="V793" s="53"/>
      <c r="W793" s="53"/>
      <c r="X793" s="171"/>
      <c r="Y793" s="170"/>
      <c r="Z793" s="170"/>
      <c r="AA793" s="170"/>
      <c r="AB793" s="170"/>
      <c r="AC793" s="170"/>
      <c r="AD793" s="53"/>
      <c r="AE793" s="53"/>
    </row>
    <row r="794">
      <c r="A794" s="53"/>
      <c r="B794" s="53"/>
      <c r="C794" s="168"/>
      <c r="D794" s="169"/>
      <c r="E794" s="170"/>
      <c r="F794" s="53"/>
      <c r="G794" s="53"/>
      <c r="H794" s="53"/>
      <c r="I794" s="171"/>
      <c r="J794" s="170"/>
      <c r="K794" s="53"/>
      <c r="L794" s="53"/>
      <c r="M794" s="53"/>
      <c r="N794" s="171"/>
      <c r="O794" s="170"/>
      <c r="P794" s="53"/>
      <c r="Q794" s="53"/>
      <c r="R794" s="53"/>
      <c r="S794" s="171"/>
      <c r="T794" s="170"/>
      <c r="U794" s="53"/>
      <c r="V794" s="53"/>
      <c r="W794" s="53"/>
      <c r="X794" s="171"/>
      <c r="Y794" s="170"/>
      <c r="Z794" s="170"/>
      <c r="AA794" s="170"/>
      <c r="AB794" s="170"/>
      <c r="AC794" s="170"/>
      <c r="AD794" s="53"/>
      <c r="AE794" s="53"/>
    </row>
    <row r="795">
      <c r="A795" s="53"/>
      <c r="B795" s="53"/>
      <c r="C795" s="168"/>
      <c r="D795" s="169"/>
      <c r="E795" s="170"/>
      <c r="F795" s="53"/>
      <c r="G795" s="53"/>
      <c r="H795" s="53"/>
      <c r="I795" s="171"/>
      <c r="J795" s="170"/>
      <c r="K795" s="53"/>
      <c r="L795" s="53"/>
      <c r="M795" s="53"/>
      <c r="N795" s="171"/>
      <c r="O795" s="170"/>
      <c r="P795" s="53"/>
      <c r="Q795" s="53"/>
      <c r="R795" s="53"/>
      <c r="S795" s="171"/>
      <c r="T795" s="170"/>
      <c r="U795" s="53"/>
      <c r="V795" s="53"/>
      <c r="W795" s="53"/>
      <c r="X795" s="171"/>
      <c r="Y795" s="170"/>
      <c r="Z795" s="170"/>
      <c r="AA795" s="170"/>
      <c r="AB795" s="170"/>
      <c r="AC795" s="170"/>
      <c r="AD795" s="53"/>
      <c r="AE795" s="53"/>
    </row>
    <row r="796">
      <c r="A796" s="53"/>
      <c r="B796" s="53"/>
      <c r="C796" s="168"/>
      <c r="D796" s="169"/>
      <c r="E796" s="170"/>
      <c r="F796" s="53"/>
      <c r="G796" s="53"/>
      <c r="H796" s="53"/>
      <c r="I796" s="171"/>
      <c r="J796" s="170"/>
      <c r="K796" s="53"/>
      <c r="L796" s="53"/>
      <c r="M796" s="53"/>
      <c r="N796" s="171"/>
      <c r="O796" s="170"/>
      <c r="P796" s="53"/>
      <c r="Q796" s="53"/>
      <c r="R796" s="53"/>
      <c r="S796" s="171"/>
      <c r="T796" s="170"/>
      <c r="U796" s="53"/>
      <c r="V796" s="53"/>
      <c r="W796" s="53"/>
      <c r="X796" s="171"/>
      <c r="Y796" s="170"/>
      <c r="Z796" s="170"/>
      <c r="AA796" s="170"/>
      <c r="AB796" s="170"/>
      <c r="AC796" s="170"/>
      <c r="AD796" s="53"/>
      <c r="AE796" s="53"/>
    </row>
    <row r="797">
      <c r="A797" s="53"/>
      <c r="B797" s="53"/>
      <c r="C797" s="168"/>
      <c r="D797" s="169"/>
      <c r="E797" s="170"/>
      <c r="F797" s="53"/>
      <c r="G797" s="53"/>
      <c r="H797" s="53"/>
      <c r="I797" s="171"/>
      <c r="J797" s="170"/>
      <c r="K797" s="53"/>
      <c r="L797" s="53"/>
      <c r="M797" s="53"/>
      <c r="N797" s="171"/>
      <c r="O797" s="170"/>
      <c r="P797" s="53"/>
      <c r="Q797" s="53"/>
      <c r="R797" s="53"/>
      <c r="S797" s="171"/>
      <c r="T797" s="170"/>
      <c r="U797" s="53"/>
      <c r="V797" s="53"/>
      <c r="W797" s="53"/>
      <c r="X797" s="171"/>
      <c r="Y797" s="170"/>
      <c r="Z797" s="170"/>
      <c r="AA797" s="170"/>
      <c r="AB797" s="170"/>
      <c r="AC797" s="170"/>
      <c r="AD797" s="53"/>
      <c r="AE797" s="53"/>
    </row>
    <row r="798">
      <c r="A798" s="53"/>
      <c r="B798" s="53"/>
      <c r="C798" s="168"/>
      <c r="D798" s="169"/>
      <c r="E798" s="170"/>
      <c r="F798" s="53"/>
      <c r="G798" s="53"/>
      <c r="H798" s="53"/>
      <c r="I798" s="171"/>
      <c r="J798" s="170"/>
      <c r="K798" s="53"/>
      <c r="L798" s="53"/>
      <c r="M798" s="53"/>
      <c r="N798" s="171"/>
      <c r="O798" s="170"/>
      <c r="P798" s="53"/>
      <c r="Q798" s="53"/>
      <c r="R798" s="53"/>
      <c r="S798" s="171"/>
      <c r="T798" s="170"/>
      <c r="U798" s="53"/>
      <c r="V798" s="53"/>
      <c r="W798" s="53"/>
      <c r="X798" s="171"/>
      <c r="Y798" s="170"/>
      <c r="Z798" s="170"/>
      <c r="AA798" s="170"/>
      <c r="AB798" s="170"/>
      <c r="AC798" s="170"/>
      <c r="AD798" s="53"/>
      <c r="AE798" s="53"/>
    </row>
    <row r="799">
      <c r="A799" s="53"/>
      <c r="B799" s="53"/>
      <c r="C799" s="168"/>
      <c r="D799" s="169"/>
      <c r="E799" s="170"/>
      <c r="F799" s="53"/>
      <c r="G799" s="53"/>
      <c r="H799" s="53"/>
      <c r="I799" s="171"/>
      <c r="J799" s="170"/>
      <c r="K799" s="53"/>
      <c r="L799" s="53"/>
      <c r="M799" s="53"/>
      <c r="N799" s="171"/>
      <c r="O799" s="170"/>
      <c r="P799" s="53"/>
      <c r="Q799" s="53"/>
      <c r="R799" s="53"/>
      <c r="S799" s="171"/>
      <c r="T799" s="170"/>
      <c r="U799" s="53"/>
      <c r="V799" s="53"/>
      <c r="W799" s="53"/>
      <c r="X799" s="171"/>
      <c r="Y799" s="170"/>
      <c r="Z799" s="170"/>
      <c r="AA799" s="170"/>
      <c r="AB799" s="170"/>
      <c r="AC799" s="170"/>
      <c r="AD799" s="53"/>
      <c r="AE799" s="53"/>
    </row>
    <row r="800">
      <c r="A800" s="53"/>
      <c r="B800" s="53"/>
      <c r="C800" s="168"/>
      <c r="D800" s="169"/>
      <c r="E800" s="170"/>
      <c r="F800" s="53"/>
      <c r="G800" s="53"/>
      <c r="H800" s="53"/>
      <c r="I800" s="171"/>
      <c r="J800" s="170"/>
      <c r="K800" s="53"/>
      <c r="L800" s="53"/>
      <c r="M800" s="53"/>
      <c r="N800" s="171"/>
      <c r="O800" s="170"/>
      <c r="P800" s="53"/>
      <c r="Q800" s="53"/>
      <c r="R800" s="53"/>
      <c r="S800" s="171"/>
      <c r="T800" s="170"/>
      <c r="U800" s="53"/>
      <c r="V800" s="53"/>
      <c r="W800" s="53"/>
      <c r="X800" s="171"/>
      <c r="Y800" s="170"/>
      <c r="Z800" s="170"/>
      <c r="AA800" s="170"/>
      <c r="AB800" s="170"/>
      <c r="AC800" s="170"/>
      <c r="AD800" s="53"/>
      <c r="AE800" s="53"/>
    </row>
    <row r="801">
      <c r="A801" s="53"/>
      <c r="B801" s="53"/>
      <c r="C801" s="168"/>
      <c r="D801" s="169"/>
      <c r="E801" s="170"/>
      <c r="F801" s="53"/>
      <c r="G801" s="53"/>
      <c r="H801" s="53"/>
      <c r="I801" s="171"/>
      <c r="J801" s="170"/>
      <c r="K801" s="53"/>
      <c r="L801" s="53"/>
      <c r="M801" s="53"/>
      <c r="N801" s="171"/>
      <c r="O801" s="170"/>
      <c r="P801" s="53"/>
      <c r="Q801" s="53"/>
      <c r="R801" s="53"/>
      <c r="S801" s="171"/>
      <c r="T801" s="170"/>
      <c r="U801" s="53"/>
      <c r="V801" s="53"/>
      <c r="W801" s="53"/>
      <c r="X801" s="171"/>
      <c r="Y801" s="170"/>
      <c r="Z801" s="170"/>
      <c r="AA801" s="170"/>
      <c r="AB801" s="170"/>
      <c r="AC801" s="170"/>
      <c r="AD801" s="53"/>
      <c r="AE801" s="53"/>
    </row>
    <row r="802">
      <c r="A802" s="53"/>
      <c r="B802" s="53"/>
      <c r="C802" s="168"/>
      <c r="D802" s="169"/>
      <c r="E802" s="170"/>
      <c r="F802" s="53"/>
      <c r="G802" s="53"/>
      <c r="H802" s="53"/>
      <c r="I802" s="171"/>
      <c r="J802" s="170"/>
      <c r="K802" s="53"/>
      <c r="L802" s="53"/>
      <c r="M802" s="53"/>
      <c r="N802" s="171"/>
      <c r="O802" s="170"/>
      <c r="P802" s="53"/>
      <c r="Q802" s="53"/>
      <c r="R802" s="53"/>
      <c r="S802" s="171"/>
      <c r="T802" s="170"/>
      <c r="U802" s="53"/>
      <c r="V802" s="53"/>
      <c r="W802" s="53"/>
      <c r="X802" s="171"/>
      <c r="Y802" s="170"/>
      <c r="Z802" s="170"/>
      <c r="AA802" s="170"/>
      <c r="AB802" s="170"/>
      <c r="AC802" s="170"/>
      <c r="AD802" s="53"/>
      <c r="AE802" s="53"/>
    </row>
    <row r="803">
      <c r="A803" s="53"/>
      <c r="B803" s="53"/>
      <c r="C803" s="168"/>
      <c r="D803" s="169"/>
      <c r="E803" s="170"/>
      <c r="F803" s="53"/>
      <c r="G803" s="53"/>
      <c r="H803" s="53"/>
      <c r="I803" s="171"/>
      <c r="J803" s="170"/>
      <c r="K803" s="53"/>
      <c r="L803" s="53"/>
      <c r="M803" s="53"/>
      <c r="N803" s="171"/>
      <c r="O803" s="170"/>
      <c r="P803" s="53"/>
      <c r="Q803" s="53"/>
      <c r="R803" s="53"/>
      <c r="S803" s="171"/>
      <c r="T803" s="170"/>
      <c r="U803" s="53"/>
      <c r="V803" s="53"/>
      <c r="W803" s="53"/>
      <c r="X803" s="171"/>
      <c r="Y803" s="170"/>
      <c r="Z803" s="170"/>
      <c r="AA803" s="170"/>
      <c r="AB803" s="170"/>
      <c r="AC803" s="170"/>
      <c r="AD803" s="53"/>
      <c r="AE803" s="53"/>
    </row>
    <row r="804">
      <c r="A804" s="53"/>
      <c r="B804" s="53"/>
      <c r="C804" s="168"/>
      <c r="D804" s="169"/>
      <c r="E804" s="170"/>
      <c r="F804" s="53"/>
      <c r="G804" s="53"/>
      <c r="H804" s="53"/>
      <c r="I804" s="171"/>
      <c r="J804" s="170"/>
      <c r="K804" s="53"/>
      <c r="L804" s="53"/>
      <c r="M804" s="53"/>
      <c r="N804" s="171"/>
      <c r="O804" s="170"/>
      <c r="P804" s="53"/>
      <c r="Q804" s="53"/>
      <c r="R804" s="53"/>
      <c r="S804" s="171"/>
      <c r="T804" s="170"/>
      <c r="U804" s="53"/>
      <c r="V804" s="53"/>
      <c r="W804" s="53"/>
      <c r="X804" s="171"/>
      <c r="Y804" s="170"/>
      <c r="Z804" s="170"/>
      <c r="AA804" s="170"/>
      <c r="AB804" s="170"/>
      <c r="AC804" s="170"/>
      <c r="AD804" s="53"/>
      <c r="AE804" s="53"/>
    </row>
    <row r="805">
      <c r="A805" s="53"/>
      <c r="B805" s="53"/>
      <c r="C805" s="168"/>
      <c r="D805" s="169"/>
      <c r="E805" s="170"/>
      <c r="F805" s="53"/>
      <c r="G805" s="53"/>
      <c r="H805" s="53"/>
      <c r="I805" s="171"/>
      <c r="J805" s="170"/>
      <c r="K805" s="53"/>
      <c r="L805" s="53"/>
      <c r="M805" s="53"/>
      <c r="N805" s="171"/>
      <c r="O805" s="170"/>
      <c r="P805" s="53"/>
      <c r="Q805" s="53"/>
      <c r="R805" s="53"/>
      <c r="S805" s="171"/>
      <c r="T805" s="170"/>
      <c r="U805" s="53"/>
      <c r="V805" s="53"/>
      <c r="W805" s="53"/>
      <c r="X805" s="171"/>
      <c r="Y805" s="170"/>
      <c r="Z805" s="170"/>
      <c r="AA805" s="170"/>
      <c r="AB805" s="170"/>
      <c r="AC805" s="170"/>
      <c r="AD805" s="53"/>
      <c r="AE805" s="53"/>
    </row>
    <row r="806">
      <c r="A806" s="53"/>
      <c r="B806" s="53"/>
      <c r="C806" s="168"/>
      <c r="D806" s="169"/>
      <c r="E806" s="170"/>
      <c r="F806" s="53"/>
      <c r="G806" s="53"/>
      <c r="H806" s="53"/>
      <c r="I806" s="171"/>
      <c r="J806" s="170"/>
      <c r="K806" s="53"/>
      <c r="L806" s="53"/>
      <c r="M806" s="53"/>
      <c r="N806" s="171"/>
      <c r="O806" s="170"/>
      <c r="P806" s="53"/>
      <c r="Q806" s="53"/>
      <c r="R806" s="53"/>
      <c r="S806" s="171"/>
      <c r="T806" s="170"/>
      <c r="U806" s="53"/>
      <c r="V806" s="53"/>
      <c r="W806" s="53"/>
      <c r="X806" s="171"/>
      <c r="Y806" s="170"/>
      <c r="Z806" s="170"/>
      <c r="AA806" s="170"/>
      <c r="AB806" s="170"/>
      <c r="AC806" s="170"/>
      <c r="AD806" s="53"/>
      <c r="AE806" s="53"/>
    </row>
    <row r="807">
      <c r="A807" s="53"/>
      <c r="B807" s="53"/>
      <c r="C807" s="168"/>
      <c r="D807" s="169"/>
      <c r="E807" s="170"/>
      <c r="F807" s="53"/>
      <c r="G807" s="53"/>
      <c r="H807" s="53"/>
      <c r="I807" s="171"/>
      <c r="J807" s="170"/>
      <c r="K807" s="53"/>
      <c r="L807" s="53"/>
      <c r="M807" s="53"/>
      <c r="N807" s="171"/>
      <c r="O807" s="170"/>
      <c r="P807" s="53"/>
      <c r="Q807" s="53"/>
      <c r="R807" s="53"/>
      <c r="S807" s="171"/>
      <c r="T807" s="170"/>
      <c r="U807" s="53"/>
      <c r="V807" s="53"/>
      <c r="W807" s="53"/>
      <c r="X807" s="171"/>
      <c r="Y807" s="170"/>
      <c r="Z807" s="170"/>
      <c r="AA807" s="170"/>
      <c r="AB807" s="170"/>
      <c r="AC807" s="170"/>
      <c r="AD807" s="53"/>
      <c r="AE807" s="53"/>
    </row>
    <row r="808">
      <c r="A808" s="53"/>
      <c r="B808" s="53"/>
      <c r="C808" s="168"/>
      <c r="D808" s="169"/>
      <c r="E808" s="170"/>
      <c r="F808" s="53"/>
      <c r="G808" s="53"/>
      <c r="H808" s="53"/>
      <c r="I808" s="171"/>
      <c r="J808" s="170"/>
      <c r="K808" s="53"/>
      <c r="L808" s="53"/>
      <c r="M808" s="53"/>
      <c r="N808" s="171"/>
      <c r="O808" s="170"/>
      <c r="P808" s="53"/>
      <c r="Q808" s="53"/>
      <c r="R808" s="53"/>
      <c r="S808" s="171"/>
      <c r="T808" s="170"/>
      <c r="U808" s="53"/>
      <c r="V808" s="53"/>
      <c r="W808" s="53"/>
      <c r="X808" s="171"/>
      <c r="Y808" s="170"/>
      <c r="Z808" s="170"/>
      <c r="AA808" s="170"/>
      <c r="AB808" s="170"/>
      <c r="AC808" s="170"/>
      <c r="AD808" s="53"/>
      <c r="AE808" s="53"/>
    </row>
    <row r="809">
      <c r="A809" s="53"/>
      <c r="B809" s="53"/>
      <c r="C809" s="168"/>
      <c r="D809" s="169"/>
      <c r="E809" s="170"/>
      <c r="F809" s="53"/>
      <c r="G809" s="53"/>
      <c r="H809" s="53"/>
      <c r="I809" s="171"/>
      <c r="J809" s="170"/>
      <c r="K809" s="53"/>
      <c r="L809" s="53"/>
      <c r="M809" s="53"/>
      <c r="N809" s="171"/>
      <c r="O809" s="170"/>
      <c r="P809" s="53"/>
      <c r="Q809" s="53"/>
      <c r="R809" s="53"/>
      <c r="S809" s="171"/>
      <c r="T809" s="170"/>
      <c r="U809" s="53"/>
      <c r="V809" s="53"/>
      <c r="W809" s="53"/>
      <c r="X809" s="171"/>
      <c r="Y809" s="170"/>
      <c r="Z809" s="170"/>
      <c r="AA809" s="170"/>
      <c r="AB809" s="170"/>
      <c r="AC809" s="170"/>
      <c r="AD809" s="53"/>
      <c r="AE809" s="53"/>
    </row>
    <row r="810">
      <c r="A810" s="53"/>
      <c r="B810" s="53"/>
      <c r="C810" s="168"/>
      <c r="D810" s="169"/>
      <c r="E810" s="170"/>
      <c r="F810" s="53"/>
      <c r="G810" s="53"/>
      <c r="H810" s="53"/>
      <c r="I810" s="171"/>
      <c r="J810" s="170"/>
      <c r="K810" s="53"/>
      <c r="L810" s="53"/>
      <c r="M810" s="53"/>
      <c r="N810" s="171"/>
      <c r="O810" s="170"/>
      <c r="P810" s="53"/>
      <c r="Q810" s="53"/>
      <c r="R810" s="53"/>
      <c r="S810" s="171"/>
      <c r="T810" s="170"/>
      <c r="U810" s="53"/>
      <c r="V810" s="53"/>
      <c r="W810" s="53"/>
      <c r="X810" s="171"/>
      <c r="Y810" s="170"/>
      <c r="Z810" s="170"/>
      <c r="AA810" s="170"/>
      <c r="AB810" s="170"/>
      <c r="AC810" s="170"/>
      <c r="AD810" s="53"/>
      <c r="AE810" s="53"/>
    </row>
    <row r="811">
      <c r="A811" s="53"/>
      <c r="B811" s="53"/>
      <c r="C811" s="168"/>
      <c r="D811" s="169"/>
      <c r="E811" s="170"/>
      <c r="F811" s="53"/>
      <c r="G811" s="53"/>
      <c r="H811" s="53"/>
      <c r="I811" s="171"/>
      <c r="J811" s="170"/>
      <c r="K811" s="53"/>
      <c r="L811" s="53"/>
      <c r="M811" s="53"/>
      <c r="N811" s="171"/>
      <c r="O811" s="170"/>
      <c r="P811" s="53"/>
      <c r="Q811" s="53"/>
      <c r="R811" s="53"/>
      <c r="S811" s="171"/>
      <c r="T811" s="170"/>
      <c r="U811" s="53"/>
      <c r="V811" s="53"/>
      <c r="W811" s="53"/>
      <c r="X811" s="171"/>
      <c r="Y811" s="170"/>
      <c r="Z811" s="170"/>
      <c r="AA811" s="170"/>
      <c r="AB811" s="170"/>
      <c r="AC811" s="170"/>
      <c r="AD811" s="53"/>
      <c r="AE811" s="53"/>
    </row>
    <row r="812">
      <c r="A812" s="53"/>
      <c r="B812" s="53"/>
      <c r="C812" s="168"/>
      <c r="D812" s="169"/>
      <c r="E812" s="170"/>
      <c r="F812" s="53"/>
      <c r="G812" s="53"/>
      <c r="H812" s="53"/>
      <c r="I812" s="171"/>
      <c r="J812" s="170"/>
      <c r="K812" s="53"/>
      <c r="L812" s="53"/>
      <c r="M812" s="53"/>
      <c r="N812" s="171"/>
      <c r="O812" s="170"/>
      <c r="P812" s="53"/>
      <c r="Q812" s="53"/>
      <c r="R812" s="53"/>
      <c r="S812" s="171"/>
      <c r="T812" s="170"/>
      <c r="U812" s="53"/>
      <c r="V812" s="53"/>
      <c r="W812" s="53"/>
      <c r="X812" s="171"/>
      <c r="Y812" s="170"/>
      <c r="Z812" s="170"/>
      <c r="AA812" s="170"/>
      <c r="AB812" s="170"/>
      <c r="AC812" s="170"/>
      <c r="AD812" s="53"/>
      <c r="AE812" s="53"/>
    </row>
    <row r="813">
      <c r="A813" s="53"/>
      <c r="B813" s="53"/>
      <c r="C813" s="168"/>
      <c r="D813" s="169"/>
      <c r="E813" s="170"/>
      <c r="F813" s="53"/>
      <c r="G813" s="53"/>
      <c r="H813" s="53"/>
      <c r="I813" s="171"/>
      <c r="J813" s="170"/>
      <c r="K813" s="53"/>
      <c r="L813" s="53"/>
      <c r="M813" s="53"/>
      <c r="N813" s="171"/>
      <c r="O813" s="170"/>
      <c r="P813" s="53"/>
      <c r="Q813" s="53"/>
      <c r="R813" s="53"/>
      <c r="S813" s="171"/>
      <c r="T813" s="170"/>
      <c r="U813" s="53"/>
      <c r="V813" s="53"/>
      <c r="W813" s="53"/>
      <c r="X813" s="171"/>
      <c r="Y813" s="170"/>
      <c r="Z813" s="170"/>
      <c r="AA813" s="170"/>
      <c r="AB813" s="170"/>
      <c r="AC813" s="170"/>
      <c r="AD813" s="53"/>
      <c r="AE813" s="53"/>
    </row>
    <row r="814">
      <c r="A814" s="53"/>
      <c r="B814" s="53"/>
      <c r="C814" s="168"/>
      <c r="D814" s="169"/>
      <c r="E814" s="170"/>
      <c r="F814" s="53"/>
      <c r="G814" s="53"/>
      <c r="H814" s="53"/>
      <c r="I814" s="171"/>
      <c r="J814" s="170"/>
      <c r="K814" s="53"/>
      <c r="L814" s="53"/>
      <c r="M814" s="53"/>
      <c r="N814" s="171"/>
      <c r="O814" s="170"/>
      <c r="P814" s="53"/>
      <c r="Q814" s="53"/>
      <c r="R814" s="53"/>
      <c r="S814" s="171"/>
      <c r="T814" s="170"/>
      <c r="U814" s="53"/>
      <c r="V814" s="53"/>
      <c r="W814" s="53"/>
      <c r="X814" s="171"/>
      <c r="Y814" s="170"/>
      <c r="Z814" s="170"/>
      <c r="AA814" s="170"/>
      <c r="AB814" s="170"/>
      <c r="AC814" s="170"/>
      <c r="AD814" s="53"/>
      <c r="AE814" s="53"/>
    </row>
    <row r="815">
      <c r="A815" s="53"/>
      <c r="B815" s="53"/>
      <c r="C815" s="168"/>
      <c r="D815" s="169"/>
      <c r="E815" s="170"/>
      <c r="F815" s="53"/>
      <c r="G815" s="53"/>
      <c r="H815" s="53"/>
      <c r="I815" s="171"/>
      <c r="J815" s="170"/>
      <c r="K815" s="53"/>
      <c r="L815" s="53"/>
      <c r="M815" s="53"/>
      <c r="N815" s="171"/>
      <c r="O815" s="170"/>
      <c r="P815" s="53"/>
      <c r="Q815" s="53"/>
      <c r="R815" s="53"/>
      <c r="S815" s="171"/>
      <c r="T815" s="170"/>
      <c r="U815" s="53"/>
      <c r="V815" s="53"/>
      <c r="W815" s="53"/>
      <c r="X815" s="171"/>
      <c r="Y815" s="170"/>
      <c r="Z815" s="170"/>
      <c r="AA815" s="170"/>
      <c r="AB815" s="170"/>
      <c r="AC815" s="170"/>
      <c r="AD815" s="53"/>
      <c r="AE815" s="53"/>
    </row>
    <row r="816">
      <c r="A816" s="53"/>
      <c r="B816" s="53"/>
      <c r="C816" s="168"/>
      <c r="D816" s="169"/>
      <c r="E816" s="170"/>
      <c r="F816" s="53"/>
      <c r="G816" s="53"/>
      <c r="H816" s="53"/>
      <c r="I816" s="171"/>
      <c r="J816" s="170"/>
      <c r="K816" s="53"/>
      <c r="L816" s="53"/>
      <c r="M816" s="53"/>
      <c r="N816" s="171"/>
      <c r="O816" s="170"/>
      <c r="P816" s="53"/>
      <c r="Q816" s="53"/>
      <c r="R816" s="53"/>
      <c r="S816" s="171"/>
      <c r="T816" s="170"/>
      <c r="U816" s="53"/>
      <c r="V816" s="53"/>
      <c r="W816" s="53"/>
      <c r="X816" s="171"/>
      <c r="Y816" s="170"/>
      <c r="Z816" s="170"/>
      <c r="AA816" s="170"/>
      <c r="AB816" s="170"/>
      <c r="AC816" s="170"/>
      <c r="AD816" s="53"/>
      <c r="AE816" s="53"/>
    </row>
    <row r="817">
      <c r="A817" s="53"/>
      <c r="B817" s="53"/>
      <c r="C817" s="168"/>
      <c r="D817" s="169"/>
      <c r="E817" s="170"/>
      <c r="F817" s="53"/>
      <c r="G817" s="53"/>
      <c r="H817" s="53"/>
      <c r="I817" s="171"/>
      <c r="J817" s="170"/>
      <c r="K817" s="53"/>
      <c r="L817" s="53"/>
      <c r="M817" s="53"/>
      <c r="N817" s="171"/>
      <c r="O817" s="170"/>
      <c r="P817" s="53"/>
      <c r="Q817" s="53"/>
      <c r="R817" s="53"/>
      <c r="S817" s="171"/>
      <c r="T817" s="170"/>
      <c r="U817" s="53"/>
      <c r="V817" s="53"/>
      <c r="W817" s="53"/>
      <c r="X817" s="171"/>
      <c r="Y817" s="170"/>
      <c r="Z817" s="170"/>
      <c r="AA817" s="170"/>
      <c r="AB817" s="170"/>
      <c r="AC817" s="170"/>
      <c r="AD817" s="53"/>
      <c r="AE817" s="53"/>
    </row>
    <row r="818">
      <c r="A818" s="53"/>
      <c r="B818" s="53"/>
      <c r="C818" s="168"/>
      <c r="D818" s="169"/>
      <c r="E818" s="170"/>
      <c r="F818" s="53"/>
      <c r="G818" s="53"/>
      <c r="H818" s="53"/>
      <c r="I818" s="171"/>
      <c r="J818" s="170"/>
      <c r="K818" s="53"/>
      <c r="L818" s="53"/>
      <c r="M818" s="53"/>
      <c r="N818" s="171"/>
      <c r="O818" s="170"/>
      <c r="P818" s="53"/>
      <c r="Q818" s="53"/>
      <c r="R818" s="53"/>
      <c r="S818" s="171"/>
      <c r="T818" s="170"/>
      <c r="U818" s="53"/>
      <c r="V818" s="53"/>
      <c r="W818" s="53"/>
      <c r="X818" s="171"/>
      <c r="Y818" s="170"/>
      <c r="Z818" s="170"/>
      <c r="AA818" s="170"/>
      <c r="AB818" s="170"/>
      <c r="AC818" s="170"/>
      <c r="AD818" s="53"/>
      <c r="AE818" s="53"/>
    </row>
    <row r="819">
      <c r="A819" s="53"/>
      <c r="B819" s="53"/>
      <c r="C819" s="168"/>
      <c r="D819" s="169"/>
      <c r="E819" s="170"/>
      <c r="F819" s="53"/>
      <c r="G819" s="53"/>
      <c r="H819" s="53"/>
      <c r="I819" s="171"/>
      <c r="J819" s="170"/>
      <c r="K819" s="53"/>
      <c r="L819" s="53"/>
      <c r="M819" s="53"/>
      <c r="N819" s="171"/>
      <c r="O819" s="170"/>
      <c r="P819" s="53"/>
      <c r="Q819" s="53"/>
      <c r="R819" s="53"/>
      <c r="S819" s="171"/>
      <c r="T819" s="170"/>
      <c r="U819" s="53"/>
      <c r="V819" s="53"/>
      <c r="W819" s="53"/>
      <c r="X819" s="171"/>
      <c r="Y819" s="170"/>
      <c r="Z819" s="170"/>
      <c r="AA819" s="170"/>
      <c r="AB819" s="170"/>
      <c r="AC819" s="170"/>
      <c r="AD819" s="53"/>
      <c r="AE819" s="53"/>
    </row>
    <row r="820">
      <c r="A820" s="53"/>
      <c r="B820" s="53"/>
      <c r="C820" s="168"/>
      <c r="D820" s="169"/>
      <c r="E820" s="170"/>
      <c r="F820" s="53"/>
      <c r="G820" s="53"/>
      <c r="H820" s="53"/>
      <c r="I820" s="171"/>
      <c r="J820" s="170"/>
      <c r="K820" s="53"/>
      <c r="L820" s="53"/>
      <c r="M820" s="53"/>
      <c r="N820" s="171"/>
      <c r="O820" s="170"/>
      <c r="P820" s="53"/>
      <c r="Q820" s="53"/>
      <c r="R820" s="53"/>
      <c r="S820" s="171"/>
      <c r="T820" s="170"/>
      <c r="U820" s="53"/>
      <c r="V820" s="53"/>
      <c r="W820" s="53"/>
      <c r="X820" s="171"/>
      <c r="Y820" s="170"/>
      <c r="Z820" s="170"/>
      <c r="AA820" s="170"/>
      <c r="AB820" s="170"/>
      <c r="AC820" s="170"/>
      <c r="AD820" s="53"/>
      <c r="AE820" s="53"/>
    </row>
    <row r="821">
      <c r="A821" s="53"/>
      <c r="B821" s="53"/>
      <c r="C821" s="168"/>
      <c r="D821" s="169"/>
      <c r="E821" s="170"/>
      <c r="F821" s="53"/>
      <c r="G821" s="53"/>
      <c r="H821" s="53"/>
      <c r="I821" s="171"/>
      <c r="J821" s="170"/>
      <c r="K821" s="53"/>
      <c r="L821" s="53"/>
      <c r="M821" s="53"/>
      <c r="N821" s="171"/>
      <c r="O821" s="170"/>
      <c r="P821" s="53"/>
      <c r="Q821" s="53"/>
      <c r="R821" s="53"/>
      <c r="S821" s="171"/>
      <c r="T821" s="170"/>
      <c r="U821" s="53"/>
      <c r="V821" s="53"/>
      <c r="W821" s="53"/>
      <c r="X821" s="171"/>
      <c r="Y821" s="170"/>
      <c r="Z821" s="170"/>
      <c r="AA821" s="170"/>
      <c r="AB821" s="170"/>
      <c r="AC821" s="170"/>
      <c r="AD821" s="53"/>
      <c r="AE821" s="53"/>
    </row>
    <row r="822">
      <c r="A822" s="53"/>
      <c r="B822" s="53"/>
      <c r="C822" s="168"/>
      <c r="D822" s="169"/>
      <c r="E822" s="170"/>
      <c r="F822" s="53"/>
      <c r="G822" s="53"/>
      <c r="H822" s="53"/>
      <c r="I822" s="171"/>
      <c r="J822" s="170"/>
      <c r="K822" s="53"/>
      <c r="L822" s="53"/>
      <c r="M822" s="53"/>
      <c r="N822" s="171"/>
      <c r="O822" s="170"/>
      <c r="P822" s="53"/>
      <c r="Q822" s="53"/>
      <c r="R822" s="53"/>
      <c r="S822" s="171"/>
      <c r="T822" s="170"/>
      <c r="U822" s="53"/>
      <c r="V822" s="53"/>
      <c r="W822" s="53"/>
      <c r="X822" s="171"/>
      <c r="Y822" s="170"/>
      <c r="Z822" s="170"/>
      <c r="AA822" s="170"/>
      <c r="AB822" s="170"/>
      <c r="AC822" s="170"/>
      <c r="AD822" s="53"/>
      <c r="AE822" s="53"/>
    </row>
    <row r="823">
      <c r="A823" s="53"/>
      <c r="B823" s="53"/>
      <c r="C823" s="168"/>
      <c r="D823" s="169"/>
      <c r="E823" s="170"/>
      <c r="F823" s="53"/>
      <c r="G823" s="53"/>
      <c r="H823" s="53"/>
      <c r="I823" s="171"/>
      <c r="J823" s="170"/>
      <c r="K823" s="53"/>
      <c r="L823" s="53"/>
      <c r="M823" s="53"/>
      <c r="N823" s="171"/>
      <c r="O823" s="170"/>
      <c r="P823" s="53"/>
      <c r="Q823" s="53"/>
      <c r="R823" s="53"/>
      <c r="S823" s="171"/>
      <c r="T823" s="170"/>
      <c r="U823" s="53"/>
      <c r="V823" s="53"/>
      <c r="W823" s="53"/>
      <c r="X823" s="171"/>
      <c r="Y823" s="170"/>
      <c r="Z823" s="170"/>
      <c r="AA823" s="170"/>
      <c r="AB823" s="170"/>
      <c r="AC823" s="170"/>
      <c r="AD823" s="53"/>
      <c r="AE823" s="53"/>
    </row>
    <row r="824">
      <c r="A824" s="53"/>
      <c r="B824" s="53"/>
      <c r="C824" s="168"/>
      <c r="D824" s="169"/>
      <c r="E824" s="170"/>
      <c r="F824" s="53"/>
      <c r="G824" s="53"/>
      <c r="H824" s="53"/>
      <c r="I824" s="171"/>
      <c r="J824" s="170"/>
      <c r="K824" s="53"/>
      <c r="L824" s="53"/>
      <c r="M824" s="53"/>
      <c r="N824" s="171"/>
      <c r="O824" s="170"/>
      <c r="P824" s="53"/>
      <c r="Q824" s="53"/>
      <c r="R824" s="53"/>
      <c r="S824" s="171"/>
      <c r="T824" s="170"/>
      <c r="U824" s="53"/>
      <c r="V824" s="53"/>
      <c r="W824" s="53"/>
      <c r="X824" s="171"/>
      <c r="Y824" s="170"/>
      <c r="Z824" s="170"/>
      <c r="AA824" s="170"/>
      <c r="AB824" s="170"/>
      <c r="AC824" s="170"/>
      <c r="AD824" s="53"/>
      <c r="AE824" s="53"/>
    </row>
    <row r="825">
      <c r="A825" s="53"/>
      <c r="B825" s="53"/>
      <c r="C825" s="168"/>
      <c r="D825" s="169"/>
      <c r="E825" s="170"/>
      <c r="F825" s="53"/>
      <c r="G825" s="53"/>
      <c r="H825" s="53"/>
      <c r="I825" s="171"/>
      <c r="J825" s="170"/>
      <c r="K825" s="53"/>
      <c r="L825" s="53"/>
      <c r="M825" s="53"/>
      <c r="N825" s="171"/>
      <c r="O825" s="170"/>
      <c r="P825" s="53"/>
      <c r="Q825" s="53"/>
      <c r="R825" s="53"/>
      <c r="S825" s="171"/>
      <c r="T825" s="170"/>
      <c r="U825" s="53"/>
      <c r="V825" s="53"/>
      <c r="W825" s="53"/>
      <c r="X825" s="171"/>
      <c r="Y825" s="170"/>
      <c r="Z825" s="170"/>
      <c r="AA825" s="170"/>
      <c r="AB825" s="170"/>
      <c r="AC825" s="170"/>
      <c r="AD825" s="53"/>
      <c r="AE825" s="53"/>
    </row>
    <row r="826">
      <c r="A826" s="53"/>
      <c r="B826" s="53"/>
      <c r="C826" s="168"/>
      <c r="D826" s="169"/>
      <c r="E826" s="170"/>
      <c r="F826" s="53"/>
      <c r="G826" s="53"/>
      <c r="H826" s="53"/>
      <c r="I826" s="171"/>
      <c r="J826" s="170"/>
      <c r="K826" s="53"/>
      <c r="L826" s="53"/>
      <c r="M826" s="53"/>
      <c r="N826" s="171"/>
      <c r="O826" s="170"/>
      <c r="P826" s="53"/>
      <c r="Q826" s="53"/>
      <c r="R826" s="53"/>
      <c r="S826" s="171"/>
      <c r="T826" s="170"/>
      <c r="U826" s="53"/>
      <c r="V826" s="53"/>
      <c r="W826" s="53"/>
      <c r="X826" s="171"/>
      <c r="Y826" s="170"/>
      <c r="Z826" s="170"/>
      <c r="AA826" s="170"/>
      <c r="AB826" s="170"/>
      <c r="AC826" s="170"/>
      <c r="AD826" s="53"/>
      <c r="AE826" s="53"/>
    </row>
    <row r="827">
      <c r="A827" s="53"/>
      <c r="B827" s="53"/>
      <c r="C827" s="168"/>
      <c r="D827" s="169"/>
      <c r="E827" s="170"/>
      <c r="F827" s="53"/>
      <c r="G827" s="53"/>
      <c r="H827" s="53"/>
      <c r="I827" s="171"/>
      <c r="J827" s="170"/>
      <c r="K827" s="53"/>
      <c r="L827" s="53"/>
      <c r="M827" s="53"/>
      <c r="N827" s="171"/>
      <c r="O827" s="170"/>
      <c r="P827" s="53"/>
      <c r="Q827" s="53"/>
      <c r="R827" s="53"/>
      <c r="S827" s="171"/>
      <c r="T827" s="170"/>
      <c r="U827" s="53"/>
      <c r="V827" s="53"/>
      <c r="W827" s="53"/>
      <c r="X827" s="171"/>
      <c r="Y827" s="170"/>
      <c r="Z827" s="170"/>
      <c r="AA827" s="170"/>
      <c r="AB827" s="170"/>
      <c r="AC827" s="170"/>
      <c r="AD827" s="53"/>
      <c r="AE827" s="53"/>
    </row>
    <row r="828">
      <c r="A828" s="53"/>
      <c r="B828" s="53"/>
      <c r="C828" s="168"/>
      <c r="D828" s="169"/>
      <c r="E828" s="170"/>
      <c r="F828" s="53"/>
      <c r="G828" s="53"/>
      <c r="H828" s="53"/>
      <c r="I828" s="171"/>
      <c r="J828" s="170"/>
      <c r="K828" s="53"/>
      <c r="L828" s="53"/>
      <c r="M828" s="53"/>
      <c r="N828" s="171"/>
      <c r="O828" s="170"/>
      <c r="P828" s="53"/>
      <c r="Q828" s="53"/>
      <c r="R828" s="53"/>
      <c r="S828" s="171"/>
      <c r="T828" s="170"/>
      <c r="U828" s="53"/>
      <c r="V828" s="53"/>
      <c r="W828" s="53"/>
      <c r="X828" s="171"/>
      <c r="Y828" s="170"/>
      <c r="Z828" s="170"/>
      <c r="AA828" s="170"/>
      <c r="AB828" s="170"/>
      <c r="AC828" s="170"/>
      <c r="AD828" s="53"/>
      <c r="AE828" s="53"/>
    </row>
    <row r="829">
      <c r="A829" s="53"/>
      <c r="B829" s="53"/>
      <c r="C829" s="168"/>
      <c r="D829" s="169"/>
      <c r="E829" s="170"/>
      <c r="F829" s="53"/>
      <c r="G829" s="53"/>
      <c r="H829" s="53"/>
      <c r="I829" s="171"/>
      <c r="J829" s="170"/>
      <c r="K829" s="53"/>
      <c r="L829" s="53"/>
      <c r="M829" s="53"/>
      <c r="N829" s="171"/>
      <c r="O829" s="170"/>
      <c r="P829" s="53"/>
      <c r="Q829" s="53"/>
      <c r="R829" s="53"/>
      <c r="S829" s="171"/>
      <c r="T829" s="170"/>
      <c r="U829" s="53"/>
      <c r="V829" s="53"/>
      <c r="W829" s="53"/>
      <c r="X829" s="171"/>
      <c r="Y829" s="170"/>
      <c r="Z829" s="170"/>
      <c r="AA829" s="170"/>
      <c r="AB829" s="170"/>
      <c r="AC829" s="170"/>
      <c r="AD829" s="53"/>
      <c r="AE829" s="53"/>
    </row>
    <row r="830">
      <c r="A830" s="53"/>
      <c r="B830" s="53"/>
      <c r="C830" s="168"/>
      <c r="D830" s="169"/>
      <c r="E830" s="170"/>
      <c r="F830" s="53"/>
      <c r="G830" s="53"/>
      <c r="H830" s="53"/>
      <c r="I830" s="171"/>
      <c r="J830" s="170"/>
      <c r="K830" s="53"/>
      <c r="L830" s="53"/>
      <c r="M830" s="53"/>
      <c r="N830" s="171"/>
      <c r="O830" s="170"/>
      <c r="P830" s="53"/>
      <c r="Q830" s="53"/>
      <c r="R830" s="53"/>
      <c r="S830" s="171"/>
      <c r="T830" s="170"/>
      <c r="U830" s="53"/>
      <c r="V830" s="53"/>
      <c r="W830" s="53"/>
      <c r="X830" s="171"/>
      <c r="Y830" s="170"/>
      <c r="Z830" s="170"/>
      <c r="AA830" s="170"/>
      <c r="AB830" s="170"/>
      <c r="AC830" s="170"/>
      <c r="AD830" s="53"/>
      <c r="AE830" s="53"/>
    </row>
    <row r="831">
      <c r="A831" s="53"/>
      <c r="B831" s="53"/>
      <c r="C831" s="168"/>
      <c r="D831" s="169"/>
      <c r="E831" s="170"/>
      <c r="F831" s="53"/>
      <c r="G831" s="53"/>
      <c r="H831" s="53"/>
      <c r="I831" s="171"/>
      <c r="J831" s="170"/>
      <c r="K831" s="53"/>
      <c r="L831" s="53"/>
      <c r="M831" s="53"/>
      <c r="N831" s="171"/>
      <c r="O831" s="170"/>
      <c r="P831" s="53"/>
      <c r="Q831" s="53"/>
      <c r="R831" s="53"/>
      <c r="S831" s="171"/>
      <c r="T831" s="170"/>
      <c r="U831" s="53"/>
      <c r="V831" s="53"/>
      <c r="W831" s="53"/>
      <c r="X831" s="171"/>
      <c r="Y831" s="170"/>
      <c r="Z831" s="170"/>
      <c r="AA831" s="170"/>
      <c r="AB831" s="170"/>
      <c r="AC831" s="170"/>
      <c r="AD831" s="53"/>
      <c r="AE831" s="53"/>
    </row>
    <row r="832">
      <c r="A832" s="53"/>
      <c r="B832" s="53"/>
      <c r="C832" s="168"/>
      <c r="D832" s="169"/>
      <c r="E832" s="170"/>
      <c r="F832" s="53"/>
      <c r="G832" s="53"/>
      <c r="H832" s="53"/>
      <c r="I832" s="171"/>
      <c r="J832" s="170"/>
      <c r="K832" s="53"/>
      <c r="L832" s="53"/>
      <c r="M832" s="53"/>
      <c r="N832" s="171"/>
      <c r="O832" s="170"/>
      <c r="P832" s="53"/>
      <c r="Q832" s="53"/>
      <c r="R832" s="53"/>
      <c r="S832" s="171"/>
      <c r="T832" s="170"/>
      <c r="U832" s="53"/>
      <c r="V832" s="53"/>
      <c r="W832" s="53"/>
      <c r="X832" s="171"/>
      <c r="Y832" s="170"/>
      <c r="Z832" s="170"/>
      <c r="AA832" s="170"/>
      <c r="AB832" s="170"/>
      <c r="AC832" s="170"/>
      <c r="AD832" s="53"/>
      <c r="AE832" s="53"/>
    </row>
    <row r="833">
      <c r="A833" s="53"/>
      <c r="B833" s="53"/>
      <c r="C833" s="168"/>
      <c r="D833" s="169"/>
      <c r="E833" s="170"/>
      <c r="F833" s="53"/>
      <c r="G833" s="53"/>
      <c r="H833" s="53"/>
      <c r="I833" s="171"/>
      <c r="J833" s="170"/>
      <c r="K833" s="53"/>
      <c r="L833" s="53"/>
      <c r="M833" s="53"/>
      <c r="N833" s="171"/>
      <c r="O833" s="170"/>
      <c r="P833" s="53"/>
      <c r="Q833" s="53"/>
      <c r="R833" s="53"/>
      <c r="S833" s="171"/>
      <c r="T833" s="170"/>
      <c r="U833" s="53"/>
      <c r="V833" s="53"/>
      <c r="W833" s="53"/>
      <c r="X833" s="171"/>
      <c r="Y833" s="170"/>
      <c r="Z833" s="170"/>
      <c r="AA833" s="170"/>
      <c r="AB833" s="170"/>
      <c r="AC833" s="170"/>
      <c r="AD833" s="53"/>
      <c r="AE833" s="53"/>
    </row>
    <row r="834">
      <c r="A834" s="53"/>
      <c r="B834" s="53"/>
      <c r="C834" s="168"/>
      <c r="D834" s="169"/>
      <c r="E834" s="170"/>
      <c r="F834" s="53"/>
      <c r="G834" s="53"/>
      <c r="H834" s="53"/>
      <c r="I834" s="171"/>
      <c r="J834" s="170"/>
      <c r="K834" s="53"/>
      <c r="L834" s="53"/>
      <c r="M834" s="53"/>
      <c r="N834" s="171"/>
      <c r="O834" s="170"/>
      <c r="P834" s="53"/>
      <c r="Q834" s="53"/>
      <c r="R834" s="53"/>
      <c r="S834" s="171"/>
      <c r="T834" s="170"/>
      <c r="U834" s="53"/>
      <c r="V834" s="53"/>
      <c r="W834" s="53"/>
      <c r="X834" s="171"/>
      <c r="Y834" s="170"/>
      <c r="Z834" s="170"/>
      <c r="AA834" s="170"/>
      <c r="AB834" s="170"/>
      <c r="AC834" s="170"/>
      <c r="AD834" s="53"/>
      <c r="AE834" s="53"/>
    </row>
    <row r="835">
      <c r="A835" s="53"/>
      <c r="B835" s="53"/>
      <c r="C835" s="168"/>
      <c r="D835" s="169"/>
      <c r="E835" s="170"/>
      <c r="F835" s="53"/>
      <c r="G835" s="53"/>
      <c r="H835" s="53"/>
      <c r="I835" s="171"/>
      <c r="J835" s="170"/>
      <c r="K835" s="53"/>
      <c r="L835" s="53"/>
      <c r="M835" s="53"/>
      <c r="N835" s="171"/>
      <c r="O835" s="170"/>
      <c r="P835" s="53"/>
      <c r="Q835" s="53"/>
      <c r="R835" s="53"/>
      <c r="S835" s="171"/>
      <c r="T835" s="170"/>
      <c r="U835" s="53"/>
      <c r="V835" s="53"/>
      <c r="W835" s="53"/>
      <c r="X835" s="171"/>
      <c r="Y835" s="170"/>
      <c r="Z835" s="170"/>
      <c r="AA835" s="170"/>
      <c r="AB835" s="170"/>
      <c r="AC835" s="170"/>
      <c r="AD835" s="53"/>
      <c r="AE835" s="53"/>
    </row>
    <row r="836">
      <c r="A836" s="53"/>
      <c r="B836" s="53"/>
      <c r="C836" s="168"/>
      <c r="D836" s="169"/>
      <c r="E836" s="170"/>
      <c r="F836" s="53"/>
      <c r="G836" s="53"/>
      <c r="H836" s="53"/>
      <c r="I836" s="171"/>
      <c r="J836" s="170"/>
      <c r="K836" s="53"/>
      <c r="L836" s="53"/>
      <c r="M836" s="53"/>
      <c r="N836" s="171"/>
      <c r="O836" s="170"/>
      <c r="P836" s="53"/>
      <c r="Q836" s="53"/>
      <c r="R836" s="53"/>
      <c r="S836" s="171"/>
      <c r="T836" s="170"/>
      <c r="U836" s="53"/>
      <c r="V836" s="53"/>
      <c r="W836" s="53"/>
      <c r="X836" s="171"/>
      <c r="Y836" s="170"/>
      <c r="Z836" s="170"/>
      <c r="AA836" s="170"/>
      <c r="AB836" s="170"/>
      <c r="AC836" s="170"/>
      <c r="AD836" s="53"/>
      <c r="AE836" s="53"/>
    </row>
    <row r="837">
      <c r="A837" s="53"/>
      <c r="B837" s="53"/>
      <c r="C837" s="168"/>
      <c r="D837" s="169"/>
      <c r="E837" s="170"/>
      <c r="F837" s="53"/>
      <c r="G837" s="53"/>
      <c r="H837" s="53"/>
      <c r="I837" s="171"/>
      <c r="J837" s="170"/>
      <c r="K837" s="53"/>
      <c r="L837" s="53"/>
      <c r="M837" s="53"/>
      <c r="N837" s="171"/>
      <c r="O837" s="170"/>
      <c r="P837" s="53"/>
      <c r="Q837" s="53"/>
      <c r="R837" s="53"/>
      <c r="S837" s="171"/>
      <c r="T837" s="170"/>
      <c r="U837" s="53"/>
      <c r="V837" s="53"/>
      <c r="W837" s="53"/>
      <c r="X837" s="171"/>
      <c r="Y837" s="170"/>
      <c r="Z837" s="170"/>
      <c r="AA837" s="170"/>
      <c r="AB837" s="170"/>
      <c r="AC837" s="170"/>
      <c r="AD837" s="53"/>
      <c r="AE837" s="53"/>
    </row>
    <row r="838">
      <c r="A838" s="53"/>
      <c r="B838" s="53"/>
      <c r="C838" s="168"/>
      <c r="D838" s="169"/>
      <c r="E838" s="170"/>
      <c r="F838" s="53"/>
      <c r="G838" s="53"/>
      <c r="H838" s="53"/>
      <c r="I838" s="171"/>
      <c r="J838" s="170"/>
      <c r="K838" s="53"/>
      <c r="L838" s="53"/>
      <c r="M838" s="53"/>
      <c r="N838" s="171"/>
      <c r="O838" s="170"/>
      <c r="P838" s="53"/>
      <c r="Q838" s="53"/>
      <c r="R838" s="53"/>
      <c r="S838" s="171"/>
      <c r="T838" s="170"/>
      <c r="U838" s="53"/>
      <c r="V838" s="53"/>
      <c r="W838" s="53"/>
      <c r="X838" s="171"/>
      <c r="Y838" s="170"/>
      <c r="Z838" s="170"/>
      <c r="AA838" s="170"/>
      <c r="AB838" s="170"/>
      <c r="AC838" s="170"/>
      <c r="AD838" s="53"/>
      <c r="AE838" s="53"/>
    </row>
    <row r="839">
      <c r="A839" s="53"/>
      <c r="B839" s="53"/>
      <c r="C839" s="168"/>
      <c r="D839" s="169"/>
      <c r="E839" s="170"/>
      <c r="F839" s="53"/>
      <c r="G839" s="53"/>
      <c r="H839" s="53"/>
      <c r="I839" s="171"/>
      <c r="J839" s="170"/>
      <c r="K839" s="53"/>
      <c r="L839" s="53"/>
      <c r="M839" s="53"/>
      <c r="N839" s="171"/>
      <c r="O839" s="170"/>
      <c r="P839" s="53"/>
      <c r="Q839" s="53"/>
      <c r="R839" s="53"/>
      <c r="S839" s="171"/>
      <c r="T839" s="170"/>
      <c r="U839" s="53"/>
      <c r="V839" s="53"/>
      <c r="W839" s="53"/>
      <c r="X839" s="171"/>
      <c r="Y839" s="170"/>
      <c r="Z839" s="170"/>
      <c r="AA839" s="170"/>
      <c r="AB839" s="170"/>
      <c r="AC839" s="170"/>
      <c r="AD839" s="53"/>
      <c r="AE839" s="53"/>
    </row>
    <row r="840">
      <c r="A840" s="53"/>
      <c r="B840" s="53"/>
      <c r="C840" s="168"/>
      <c r="D840" s="169"/>
      <c r="E840" s="170"/>
      <c r="F840" s="53"/>
      <c r="G840" s="53"/>
      <c r="H840" s="53"/>
      <c r="I840" s="171"/>
      <c r="J840" s="170"/>
      <c r="K840" s="53"/>
      <c r="L840" s="53"/>
      <c r="M840" s="53"/>
      <c r="N840" s="171"/>
      <c r="O840" s="170"/>
      <c r="P840" s="53"/>
      <c r="Q840" s="53"/>
      <c r="R840" s="53"/>
      <c r="S840" s="171"/>
      <c r="T840" s="170"/>
      <c r="U840" s="53"/>
      <c r="V840" s="53"/>
      <c r="W840" s="53"/>
      <c r="X840" s="171"/>
      <c r="Y840" s="170"/>
      <c r="Z840" s="170"/>
      <c r="AA840" s="170"/>
      <c r="AB840" s="170"/>
      <c r="AC840" s="170"/>
      <c r="AD840" s="53"/>
      <c r="AE840" s="53"/>
    </row>
    <row r="841">
      <c r="A841" s="53"/>
      <c r="B841" s="53"/>
      <c r="C841" s="168"/>
      <c r="D841" s="169"/>
      <c r="E841" s="170"/>
      <c r="F841" s="53"/>
      <c r="G841" s="53"/>
      <c r="H841" s="53"/>
      <c r="I841" s="171"/>
      <c r="J841" s="170"/>
      <c r="K841" s="53"/>
      <c r="L841" s="53"/>
      <c r="M841" s="53"/>
      <c r="N841" s="171"/>
      <c r="O841" s="170"/>
      <c r="P841" s="53"/>
      <c r="Q841" s="53"/>
      <c r="R841" s="53"/>
      <c r="S841" s="171"/>
      <c r="T841" s="170"/>
      <c r="U841" s="53"/>
      <c r="V841" s="53"/>
      <c r="W841" s="53"/>
      <c r="X841" s="171"/>
      <c r="Y841" s="170"/>
      <c r="Z841" s="170"/>
      <c r="AA841" s="170"/>
      <c r="AB841" s="170"/>
      <c r="AC841" s="170"/>
      <c r="AD841" s="53"/>
      <c r="AE841" s="53"/>
    </row>
    <row r="842">
      <c r="A842" s="53"/>
      <c r="B842" s="53"/>
      <c r="C842" s="168"/>
      <c r="D842" s="169"/>
      <c r="E842" s="170"/>
      <c r="F842" s="53"/>
      <c r="G842" s="53"/>
      <c r="H842" s="53"/>
      <c r="I842" s="171"/>
      <c r="J842" s="170"/>
      <c r="K842" s="53"/>
      <c r="L842" s="53"/>
      <c r="M842" s="53"/>
      <c r="N842" s="171"/>
      <c r="O842" s="170"/>
      <c r="P842" s="53"/>
      <c r="Q842" s="53"/>
      <c r="R842" s="53"/>
      <c r="S842" s="171"/>
      <c r="T842" s="170"/>
      <c r="U842" s="53"/>
      <c r="V842" s="53"/>
      <c r="W842" s="53"/>
      <c r="X842" s="171"/>
      <c r="Y842" s="170"/>
      <c r="Z842" s="170"/>
      <c r="AA842" s="170"/>
      <c r="AB842" s="170"/>
      <c r="AC842" s="170"/>
      <c r="AD842" s="53"/>
      <c r="AE842" s="53"/>
    </row>
    <row r="843">
      <c r="A843" s="53"/>
      <c r="B843" s="53"/>
      <c r="C843" s="168"/>
      <c r="D843" s="169"/>
      <c r="E843" s="170"/>
      <c r="F843" s="53"/>
      <c r="G843" s="53"/>
      <c r="H843" s="53"/>
      <c r="I843" s="171"/>
      <c r="J843" s="170"/>
      <c r="K843" s="53"/>
      <c r="L843" s="53"/>
      <c r="M843" s="53"/>
      <c r="N843" s="171"/>
      <c r="O843" s="170"/>
      <c r="P843" s="53"/>
      <c r="Q843" s="53"/>
      <c r="R843" s="53"/>
      <c r="S843" s="171"/>
      <c r="T843" s="170"/>
      <c r="U843" s="53"/>
      <c r="V843" s="53"/>
      <c r="W843" s="53"/>
      <c r="X843" s="171"/>
      <c r="Y843" s="170"/>
      <c r="Z843" s="170"/>
      <c r="AA843" s="170"/>
      <c r="AB843" s="170"/>
      <c r="AC843" s="170"/>
      <c r="AD843" s="53"/>
      <c r="AE843" s="53"/>
    </row>
    <row r="844">
      <c r="A844" s="53"/>
      <c r="B844" s="53"/>
      <c r="C844" s="168"/>
      <c r="D844" s="169"/>
      <c r="E844" s="170"/>
      <c r="F844" s="53"/>
      <c r="G844" s="53"/>
      <c r="H844" s="53"/>
      <c r="I844" s="171"/>
      <c r="J844" s="170"/>
      <c r="K844" s="53"/>
      <c r="L844" s="53"/>
      <c r="M844" s="53"/>
      <c r="N844" s="171"/>
      <c r="O844" s="170"/>
      <c r="P844" s="53"/>
      <c r="Q844" s="53"/>
      <c r="R844" s="53"/>
      <c r="S844" s="171"/>
      <c r="T844" s="170"/>
      <c r="U844" s="53"/>
      <c r="V844" s="53"/>
      <c r="W844" s="53"/>
      <c r="X844" s="171"/>
      <c r="Y844" s="170"/>
      <c r="Z844" s="170"/>
      <c r="AA844" s="170"/>
      <c r="AB844" s="170"/>
      <c r="AC844" s="170"/>
      <c r="AD844" s="53"/>
      <c r="AE844" s="53"/>
    </row>
    <row r="845">
      <c r="A845" s="53"/>
      <c r="B845" s="53"/>
      <c r="C845" s="168"/>
      <c r="D845" s="169"/>
      <c r="E845" s="170"/>
      <c r="F845" s="53"/>
      <c r="G845" s="53"/>
      <c r="H845" s="53"/>
      <c r="I845" s="171"/>
      <c r="J845" s="170"/>
      <c r="K845" s="53"/>
      <c r="L845" s="53"/>
      <c r="M845" s="53"/>
      <c r="N845" s="171"/>
      <c r="O845" s="170"/>
      <c r="P845" s="53"/>
      <c r="Q845" s="53"/>
      <c r="R845" s="53"/>
      <c r="S845" s="171"/>
      <c r="T845" s="170"/>
      <c r="U845" s="53"/>
      <c r="V845" s="53"/>
      <c r="W845" s="53"/>
      <c r="X845" s="171"/>
      <c r="Y845" s="170"/>
      <c r="Z845" s="170"/>
      <c r="AA845" s="170"/>
      <c r="AB845" s="170"/>
      <c r="AC845" s="170"/>
      <c r="AD845" s="53"/>
      <c r="AE845" s="53"/>
    </row>
    <row r="846">
      <c r="A846" s="53"/>
      <c r="B846" s="53"/>
      <c r="C846" s="168"/>
      <c r="D846" s="169"/>
      <c r="E846" s="170"/>
      <c r="F846" s="53"/>
      <c r="G846" s="53"/>
      <c r="H846" s="53"/>
      <c r="I846" s="171"/>
      <c r="J846" s="170"/>
      <c r="K846" s="53"/>
      <c r="L846" s="53"/>
      <c r="M846" s="53"/>
      <c r="N846" s="171"/>
      <c r="O846" s="170"/>
      <c r="P846" s="53"/>
      <c r="Q846" s="53"/>
      <c r="R846" s="53"/>
      <c r="S846" s="171"/>
      <c r="T846" s="170"/>
      <c r="U846" s="53"/>
      <c r="V846" s="53"/>
      <c r="W846" s="53"/>
      <c r="X846" s="171"/>
      <c r="Y846" s="170"/>
      <c r="Z846" s="170"/>
      <c r="AA846" s="170"/>
      <c r="AB846" s="170"/>
      <c r="AC846" s="170"/>
      <c r="AD846" s="53"/>
      <c r="AE846" s="53"/>
    </row>
    <row r="847">
      <c r="A847" s="53"/>
      <c r="B847" s="53"/>
      <c r="C847" s="168"/>
      <c r="D847" s="169"/>
      <c r="E847" s="170"/>
      <c r="F847" s="53"/>
      <c r="G847" s="53"/>
      <c r="H847" s="53"/>
      <c r="I847" s="171"/>
      <c r="J847" s="170"/>
      <c r="K847" s="53"/>
      <c r="L847" s="53"/>
      <c r="M847" s="53"/>
      <c r="N847" s="171"/>
      <c r="O847" s="170"/>
      <c r="P847" s="53"/>
      <c r="Q847" s="53"/>
      <c r="R847" s="53"/>
      <c r="S847" s="171"/>
      <c r="T847" s="170"/>
      <c r="U847" s="53"/>
      <c r="V847" s="53"/>
      <c r="W847" s="53"/>
      <c r="X847" s="171"/>
      <c r="Y847" s="170"/>
      <c r="Z847" s="170"/>
      <c r="AA847" s="170"/>
      <c r="AB847" s="170"/>
      <c r="AC847" s="170"/>
      <c r="AD847" s="53"/>
      <c r="AE847" s="53"/>
    </row>
    <row r="848">
      <c r="A848" s="53"/>
      <c r="B848" s="53"/>
      <c r="C848" s="168"/>
      <c r="D848" s="169"/>
      <c r="E848" s="170"/>
      <c r="F848" s="53"/>
      <c r="G848" s="53"/>
      <c r="H848" s="53"/>
      <c r="I848" s="171"/>
      <c r="J848" s="170"/>
      <c r="K848" s="53"/>
      <c r="L848" s="53"/>
      <c r="M848" s="53"/>
      <c r="N848" s="171"/>
      <c r="O848" s="170"/>
      <c r="P848" s="53"/>
      <c r="Q848" s="53"/>
      <c r="R848" s="53"/>
      <c r="S848" s="171"/>
      <c r="T848" s="170"/>
      <c r="U848" s="53"/>
      <c r="V848" s="53"/>
      <c r="W848" s="53"/>
      <c r="X848" s="171"/>
      <c r="Y848" s="170"/>
      <c r="Z848" s="170"/>
      <c r="AA848" s="170"/>
      <c r="AB848" s="170"/>
      <c r="AC848" s="170"/>
      <c r="AD848" s="53"/>
      <c r="AE848" s="53"/>
    </row>
    <row r="849">
      <c r="A849" s="53"/>
      <c r="B849" s="53"/>
      <c r="C849" s="168"/>
      <c r="D849" s="169"/>
      <c r="E849" s="170"/>
      <c r="F849" s="53"/>
      <c r="G849" s="53"/>
      <c r="H849" s="53"/>
      <c r="I849" s="171"/>
      <c r="J849" s="170"/>
      <c r="K849" s="53"/>
      <c r="L849" s="53"/>
      <c r="M849" s="53"/>
      <c r="N849" s="171"/>
      <c r="O849" s="170"/>
      <c r="P849" s="53"/>
      <c r="Q849" s="53"/>
      <c r="R849" s="53"/>
      <c r="S849" s="171"/>
      <c r="T849" s="170"/>
      <c r="U849" s="53"/>
      <c r="V849" s="53"/>
      <c r="W849" s="53"/>
      <c r="X849" s="171"/>
      <c r="Y849" s="170"/>
      <c r="Z849" s="170"/>
      <c r="AA849" s="170"/>
      <c r="AB849" s="170"/>
      <c r="AC849" s="170"/>
      <c r="AD849" s="53"/>
      <c r="AE849" s="53"/>
    </row>
    <row r="850">
      <c r="A850" s="53"/>
      <c r="B850" s="53"/>
      <c r="C850" s="168"/>
      <c r="D850" s="169"/>
      <c r="E850" s="170"/>
      <c r="F850" s="53"/>
      <c r="G850" s="53"/>
      <c r="H850" s="53"/>
      <c r="I850" s="171"/>
      <c r="J850" s="170"/>
      <c r="K850" s="53"/>
      <c r="L850" s="53"/>
      <c r="M850" s="53"/>
      <c r="N850" s="171"/>
      <c r="O850" s="170"/>
      <c r="P850" s="53"/>
      <c r="Q850" s="53"/>
      <c r="R850" s="53"/>
      <c r="S850" s="171"/>
      <c r="T850" s="170"/>
      <c r="U850" s="53"/>
      <c r="V850" s="53"/>
      <c r="W850" s="53"/>
      <c r="X850" s="171"/>
      <c r="Y850" s="170"/>
      <c r="Z850" s="170"/>
      <c r="AA850" s="170"/>
      <c r="AB850" s="170"/>
      <c r="AC850" s="170"/>
      <c r="AD850" s="53"/>
      <c r="AE850" s="53"/>
    </row>
    <row r="851">
      <c r="A851" s="53"/>
      <c r="B851" s="53"/>
      <c r="C851" s="168"/>
      <c r="D851" s="169"/>
      <c r="E851" s="170"/>
      <c r="F851" s="53"/>
      <c r="G851" s="53"/>
      <c r="H851" s="53"/>
      <c r="I851" s="171"/>
      <c r="J851" s="170"/>
      <c r="K851" s="53"/>
      <c r="L851" s="53"/>
      <c r="M851" s="53"/>
      <c r="N851" s="171"/>
      <c r="O851" s="170"/>
      <c r="P851" s="53"/>
      <c r="Q851" s="53"/>
      <c r="R851" s="53"/>
      <c r="S851" s="171"/>
      <c r="T851" s="170"/>
      <c r="U851" s="53"/>
      <c r="V851" s="53"/>
      <c r="W851" s="53"/>
      <c r="X851" s="171"/>
      <c r="Y851" s="170"/>
      <c r="Z851" s="170"/>
      <c r="AA851" s="170"/>
      <c r="AB851" s="170"/>
      <c r="AC851" s="170"/>
      <c r="AD851" s="53"/>
      <c r="AE851" s="53"/>
    </row>
    <row r="852">
      <c r="A852" s="53"/>
      <c r="B852" s="53"/>
      <c r="C852" s="168"/>
      <c r="D852" s="169"/>
      <c r="E852" s="170"/>
      <c r="F852" s="53"/>
      <c r="G852" s="53"/>
      <c r="H852" s="53"/>
      <c r="I852" s="171"/>
      <c r="J852" s="170"/>
      <c r="K852" s="53"/>
      <c r="L852" s="53"/>
      <c r="M852" s="53"/>
      <c r="N852" s="171"/>
      <c r="O852" s="170"/>
      <c r="P852" s="53"/>
      <c r="Q852" s="53"/>
      <c r="R852" s="53"/>
      <c r="S852" s="171"/>
      <c r="T852" s="170"/>
      <c r="U852" s="53"/>
      <c r="V852" s="53"/>
      <c r="W852" s="53"/>
      <c r="X852" s="171"/>
      <c r="Y852" s="170"/>
      <c r="Z852" s="170"/>
      <c r="AA852" s="170"/>
      <c r="AB852" s="170"/>
      <c r="AC852" s="170"/>
      <c r="AD852" s="53"/>
      <c r="AE852" s="53"/>
    </row>
    <row r="853">
      <c r="A853" s="53"/>
      <c r="B853" s="53"/>
      <c r="C853" s="168"/>
      <c r="D853" s="169"/>
      <c r="E853" s="170"/>
      <c r="F853" s="53"/>
      <c r="G853" s="53"/>
      <c r="H853" s="53"/>
      <c r="I853" s="171"/>
      <c r="J853" s="170"/>
      <c r="K853" s="53"/>
      <c r="L853" s="53"/>
      <c r="M853" s="53"/>
      <c r="N853" s="171"/>
      <c r="O853" s="170"/>
      <c r="P853" s="53"/>
      <c r="Q853" s="53"/>
      <c r="R853" s="53"/>
      <c r="S853" s="171"/>
      <c r="T853" s="170"/>
      <c r="U853" s="53"/>
      <c r="V853" s="53"/>
      <c r="W853" s="53"/>
      <c r="X853" s="171"/>
      <c r="Y853" s="170"/>
      <c r="Z853" s="170"/>
      <c r="AA853" s="170"/>
      <c r="AB853" s="170"/>
      <c r="AC853" s="170"/>
      <c r="AD853" s="53"/>
      <c r="AE853" s="53"/>
    </row>
    <row r="854">
      <c r="A854" s="53"/>
      <c r="B854" s="53"/>
      <c r="C854" s="168"/>
      <c r="D854" s="169"/>
      <c r="E854" s="170"/>
      <c r="F854" s="53"/>
      <c r="G854" s="53"/>
      <c r="H854" s="53"/>
      <c r="I854" s="171"/>
      <c r="J854" s="170"/>
      <c r="K854" s="53"/>
      <c r="L854" s="53"/>
      <c r="M854" s="53"/>
      <c r="N854" s="171"/>
      <c r="O854" s="170"/>
      <c r="P854" s="53"/>
      <c r="Q854" s="53"/>
      <c r="R854" s="53"/>
      <c r="S854" s="171"/>
      <c r="T854" s="170"/>
      <c r="U854" s="53"/>
      <c r="V854" s="53"/>
      <c r="W854" s="53"/>
      <c r="X854" s="171"/>
      <c r="Y854" s="170"/>
      <c r="Z854" s="170"/>
      <c r="AA854" s="170"/>
      <c r="AB854" s="170"/>
      <c r="AC854" s="170"/>
      <c r="AD854" s="53"/>
      <c r="AE854" s="53"/>
    </row>
    <row r="855">
      <c r="A855" s="53"/>
      <c r="B855" s="53"/>
      <c r="C855" s="168"/>
      <c r="D855" s="169"/>
      <c r="E855" s="170"/>
      <c r="F855" s="53"/>
      <c r="G855" s="53"/>
      <c r="H855" s="53"/>
      <c r="I855" s="171"/>
      <c r="J855" s="170"/>
      <c r="K855" s="53"/>
      <c r="L855" s="53"/>
      <c r="M855" s="53"/>
      <c r="N855" s="171"/>
      <c r="O855" s="170"/>
      <c r="P855" s="53"/>
      <c r="Q855" s="53"/>
      <c r="R855" s="53"/>
      <c r="S855" s="171"/>
      <c r="T855" s="170"/>
      <c r="U855" s="53"/>
      <c r="V855" s="53"/>
      <c r="W855" s="53"/>
      <c r="X855" s="171"/>
      <c r="Y855" s="170"/>
      <c r="Z855" s="170"/>
      <c r="AA855" s="170"/>
      <c r="AB855" s="170"/>
      <c r="AC855" s="170"/>
      <c r="AD855" s="53"/>
      <c r="AE855" s="53"/>
    </row>
    <row r="856">
      <c r="A856" s="53"/>
      <c r="B856" s="53"/>
      <c r="C856" s="168"/>
      <c r="D856" s="169"/>
      <c r="E856" s="170"/>
      <c r="F856" s="53"/>
      <c r="G856" s="53"/>
      <c r="H856" s="53"/>
      <c r="I856" s="171"/>
      <c r="J856" s="170"/>
      <c r="K856" s="53"/>
      <c r="L856" s="53"/>
      <c r="M856" s="53"/>
      <c r="N856" s="171"/>
      <c r="O856" s="170"/>
      <c r="P856" s="53"/>
      <c r="Q856" s="53"/>
      <c r="R856" s="53"/>
      <c r="S856" s="171"/>
      <c r="T856" s="170"/>
      <c r="U856" s="53"/>
      <c r="V856" s="53"/>
      <c r="W856" s="53"/>
      <c r="X856" s="171"/>
      <c r="Y856" s="170"/>
      <c r="Z856" s="170"/>
      <c r="AA856" s="170"/>
      <c r="AB856" s="170"/>
      <c r="AC856" s="170"/>
      <c r="AD856" s="53"/>
      <c r="AE856" s="53"/>
    </row>
    <row r="857">
      <c r="A857" s="53"/>
      <c r="B857" s="53"/>
      <c r="C857" s="168"/>
      <c r="D857" s="169"/>
      <c r="E857" s="170"/>
      <c r="F857" s="53"/>
      <c r="G857" s="53"/>
      <c r="H857" s="53"/>
      <c r="I857" s="171"/>
      <c r="J857" s="170"/>
      <c r="K857" s="53"/>
      <c r="L857" s="53"/>
      <c r="M857" s="53"/>
      <c r="N857" s="171"/>
      <c r="O857" s="170"/>
      <c r="P857" s="53"/>
      <c r="Q857" s="53"/>
      <c r="R857" s="53"/>
      <c r="S857" s="171"/>
      <c r="T857" s="170"/>
      <c r="U857" s="53"/>
      <c r="V857" s="53"/>
      <c r="W857" s="53"/>
      <c r="X857" s="171"/>
      <c r="Y857" s="170"/>
      <c r="Z857" s="170"/>
      <c r="AA857" s="170"/>
      <c r="AB857" s="170"/>
      <c r="AC857" s="170"/>
      <c r="AD857" s="53"/>
      <c r="AE857" s="53"/>
    </row>
    <row r="858">
      <c r="A858" s="53"/>
      <c r="B858" s="53"/>
      <c r="C858" s="168"/>
      <c r="D858" s="169"/>
      <c r="E858" s="170"/>
      <c r="F858" s="53"/>
      <c r="G858" s="53"/>
      <c r="H858" s="53"/>
      <c r="I858" s="171"/>
      <c r="J858" s="170"/>
      <c r="K858" s="53"/>
      <c r="L858" s="53"/>
      <c r="M858" s="53"/>
      <c r="N858" s="171"/>
      <c r="O858" s="170"/>
      <c r="P858" s="53"/>
      <c r="Q858" s="53"/>
      <c r="R858" s="53"/>
      <c r="S858" s="171"/>
      <c r="T858" s="170"/>
      <c r="U858" s="53"/>
      <c r="V858" s="53"/>
      <c r="W858" s="53"/>
      <c r="X858" s="171"/>
      <c r="Y858" s="170"/>
      <c r="Z858" s="170"/>
      <c r="AA858" s="170"/>
      <c r="AB858" s="170"/>
      <c r="AC858" s="170"/>
      <c r="AD858" s="53"/>
      <c r="AE858" s="53"/>
    </row>
    <row r="859">
      <c r="A859" s="53"/>
      <c r="B859" s="53"/>
      <c r="C859" s="168"/>
      <c r="D859" s="169"/>
      <c r="E859" s="170"/>
      <c r="F859" s="53"/>
      <c r="G859" s="53"/>
      <c r="H859" s="53"/>
      <c r="I859" s="171"/>
      <c r="J859" s="170"/>
      <c r="K859" s="53"/>
      <c r="L859" s="53"/>
      <c r="M859" s="53"/>
      <c r="N859" s="171"/>
      <c r="O859" s="170"/>
      <c r="P859" s="53"/>
      <c r="Q859" s="53"/>
      <c r="R859" s="53"/>
      <c r="S859" s="171"/>
      <c r="T859" s="170"/>
      <c r="U859" s="53"/>
      <c r="V859" s="53"/>
      <c r="W859" s="53"/>
      <c r="X859" s="171"/>
      <c r="Y859" s="170"/>
      <c r="Z859" s="170"/>
      <c r="AA859" s="170"/>
      <c r="AB859" s="170"/>
      <c r="AC859" s="170"/>
      <c r="AD859" s="53"/>
      <c r="AE859" s="53"/>
    </row>
    <row r="860">
      <c r="A860" s="53"/>
      <c r="B860" s="53"/>
      <c r="C860" s="168"/>
      <c r="D860" s="169"/>
      <c r="E860" s="170"/>
      <c r="F860" s="53"/>
      <c r="G860" s="53"/>
      <c r="H860" s="53"/>
      <c r="I860" s="171"/>
      <c r="J860" s="170"/>
      <c r="K860" s="53"/>
      <c r="L860" s="53"/>
      <c r="M860" s="53"/>
      <c r="N860" s="171"/>
      <c r="O860" s="170"/>
      <c r="P860" s="53"/>
      <c r="Q860" s="53"/>
      <c r="R860" s="53"/>
      <c r="S860" s="171"/>
      <c r="T860" s="170"/>
      <c r="U860" s="53"/>
      <c r="V860" s="53"/>
      <c r="W860" s="53"/>
      <c r="X860" s="171"/>
      <c r="Y860" s="170"/>
      <c r="Z860" s="170"/>
      <c r="AA860" s="170"/>
      <c r="AB860" s="170"/>
      <c r="AC860" s="170"/>
      <c r="AD860" s="53"/>
      <c r="AE860" s="53"/>
    </row>
    <row r="861">
      <c r="A861" s="53"/>
      <c r="B861" s="53"/>
      <c r="C861" s="168"/>
      <c r="D861" s="169"/>
      <c r="E861" s="170"/>
      <c r="F861" s="53"/>
      <c r="G861" s="53"/>
      <c r="H861" s="53"/>
      <c r="I861" s="171"/>
      <c r="J861" s="170"/>
      <c r="K861" s="53"/>
      <c r="L861" s="53"/>
      <c r="M861" s="53"/>
      <c r="N861" s="171"/>
      <c r="O861" s="170"/>
      <c r="P861" s="53"/>
      <c r="Q861" s="53"/>
      <c r="R861" s="53"/>
      <c r="S861" s="171"/>
      <c r="T861" s="170"/>
      <c r="U861" s="53"/>
      <c r="V861" s="53"/>
      <c r="W861" s="53"/>
      <c r="X861" s="171"/>
      <c r="Y861" s="170"/>
      <c r="Z861" s="170"/>
      <c r="AA861" s="170"/>
      <c r="AB861" s="170"/>
      <c r="AC861" s="170"/>
      <c r="AD861" s="53"/>
      <c r="AE861" s="53"/>
    </row>
    <row r="862">
      <c r="A862" s="53"/>
      <c r="B862" s="53"/>
      <c r="C862" s="168"/>
      <c r="D862" s="169"/>
      <c r="E862" s="170"/>
      <c r="F862" s="53"/>
      <c r="G862" s="53"/>
      <c r="H862" s="53"/>
      <c r="I862" s="171"/>
      <c r="J862" s="170"/>
      <c r="K862" s="53"/>
      <c r="L862" s="53"/>
      <c r="M862" s="53"/>
      <c r="N862" s="171"/>
      <c r="O862" s="170"/>
      <c r="P862" s="53"/>
      <c r="Q862" s="53"/>
      <c r="R862" s="53"/>
      <c r="S862" s="171"/>
      <c r="T862" s="170"/>
      <c r="U862" s="53"/>
      <c r="V862" s="53"/>
      <c r="W862" s="53"/>
      <c r="X862" s="171"/>
      <c r="Y862" s="170"/>
      <c r="Z862" s="170"/>
      <c r="AA862" s="170"/>
      <c r="AB862" s="170"/>
      <c r="AC862" s="170"/>
      <c r="AD862" s="53"/>
      <c r="AE862" s="53"/>
    </row>
    <row r="863">
      <c r="A863" s="53"/>
      <c r="B863" s="53"/>
      <c r="C863" s="168"/>
      <c r="D863" s="169"/>
      <c r="E863" s="170"/>
      <c r="F863" s="53"/>
      <c r="G863" s="53"/>
      <c r="H863" s="53"/>
      <c r="I863" s="171"/>
      <c r="J863" s="170"/>
      <c r="K863" s="53"/>
      <c r="L863" s="53"/>
      <c r="M863" s="53"/>
      <c r="N863" s="171"/>
      <c r="O863" s="170"/>
      <c r="P863" s="53"/>
      <c r="Q863" s="53"/>
      <c r="R863" s="53"/>
      <c r="S863" s="171"/>
      <c r="T863" s="170"/>
      <c r="U863" s="53"/>
      <c r="V863" s="53"/>
      <c r="W863" s="53"/>
      <c r="X863" s="171"/>
      <c r="Y863" s="170"/>
      <c r="Z863" s="170"/>
      <c r="AA863" s="170"/>
      <c r="AB863" s="170"/>
      <c r="AC863" s="170"/>
      <c r="AD863" s="53"/>
      <c r="AE863" s="53"/>
    </row>
    <row r="864">
      <c r="A864" s="53"/>
      <c r="B864" s="53"/>
      <c r="C864" s="168"/>
      <c r="D864" s="169"/>
      <c r="E864" s="170"/>
      <c r="F864" s="53"/>
      <c r="G864" s="53"/>
      <c r="H864" s="53"/>
      <c r="I864" s="171"/>
      <c r="J864" s="170"/>
      <c r="K864" s="53"/>
      <c r="L864" s="53"/>
      <c r="M864" s="53"/>
      <c r="N864" s="171"/>
      <c r="O864" s="170"/>
      <c r="P864" s="53"/>
      <c r="Q864" s="53"/>
      <c r="R864" s="53"/>
      <c r="S864" s="171"/>
      <c r="T864" s="170"/>
      <c r="U864" s="53"/>
      <c r="V864" s="53"/>
      <c r="W864" s="53"/>
      <c r="X864" s="171"/>
      <c r="Y864" s="170"/>
      <c r="Z864" s="170"/>
      <c r="AA864" s="170"/>
      <c r="AB864" s="170"/>
      <c r="AC864" s="170"/>
      <c r="AD864" s="53"/>
      <c r="AE864" s="53"/>
    </row>
    <row r="865">
      <c r="A865" s="53"/>
      <c r="B865" s="53"/>
      <c r="C865" s="168"/>
      <c r="D865" s="169"/>
      <c r="E865" s="170"/>
      <c r="F865" s="53"/>
      <c r="G865" s="53"/>
      <c r="H865" s="53"/>
      <c r="I865" s="171"/>
      <c r="J865" s="170"/>
      <c r="K865" s="53"/>
      <c r="L865" s="53"/>
      <c r="M865" s="53"/>
      <c r="N865" s="171"/>
      <c r="O865" s="170"/>
      <c r="P865" s="53"/>
      <c r="Q865" s="53"/>
      <c r="R865" s="53"/>
      <c r="S865" s="171"/>
      <c r="T865" s="170"/>
      <c r="U865" s="53"/>
      <c r="V865" s="53"/>
      <c r="W865" s="53"/>
      <c r="X865" s="171"/>
      <c r="Y865" s="170"/>
      <c r="Z865" s="170"/>
      <c r="AA865" s="170"/>
      <c r="AB865" s="170"/>
      <c r="AC865" s="170"/>
      <c r="AD865" s="53"/>
      <c r="AE865" s="53"/>
    </row>
    <row r="866">
      <c r="A866" s="53"/>
      <c r="B866" s="53"/>
      <c r="C866" s="168"/>
      <c r="D866" s="169"/>
      <c r="E866" s="170"/>
      <c r="F866" s="53"/>
      <c r="G866" s="53"/>
      <c r="H866" s="53"/>
      <c r="I866" s="171"/>
      <c r="J866" s="170"/>
      <c r="K866" s="53"/>
      <c r="L866" s="53"/>
      <c r="M866" s="53"/>
      <c r="N866" s="171"/>
      <c r="O866" s="170"/>
      <c r="P866" s="53"/>
      <c r="Q866" s="53"/>
      <c r="R866" s="53"/>
      <c r="S866" s="171"/>
      <c r="T866" s="170"/>
      <c r="U866" s="53"/>
      <c r="V866" s="53"/>
      <c r="W866" s="53"/>
      <c r="X866" s="171"/>
      <c r="Y866" s="170"/>
      <c r="Z866" s="170"/>
      <c r="AA866" s="170"/>
      <c r="AB866" s="170"/>
      <c r="AC866" s="170"/>
      <c r="AD866" s="53"/>
      <c r="AE866" s="53"/>
    </row>
    <row r="867">
      <c r="A867" s="53"/>
      <c r="B867" s="53"/>
      <c r="C867" s="168"/>
      <c r="D867" s="169"/>
      <c r="E867" s="170"/>
      <c r="F867" s="53"/>
      <c r="G867" s="53"/>
      <c r="H867" s="53"/>
      <c r="I867" s="171"/>
      <c r="J867" s="170"/>
      <c r="K867" s="53"/>
      <c r="L867" s="53"/>
      <c r="M867" s="53"/>
      <c r="N867" s="171"/>
      <c r="O867" s="170"/>
      <c r="P867" s="53"/>
      <c r="Q867" s="53"/>
      <c r="R867" s="53"/>
      <c r="S867" s="171"/>
      <c r="T867" s="170"/>
      <c r="U867" s="53"/>
      <c r="V867" s="53"/>
      <c r="W867" s="53"/>
      <c r="X867" s="171"/>
      <c r="Y867" s="170"/>
      <c r="Z867" s="170"/>
      <c r="AA867" s="170"/>
      <c r="AB867" s="170"/>
      <c r="AC867" s="170"/>
      <c r="AD867" s="53"/>
      <c r="AE867" s="53"/>
    </row>
    <row r="868">
      <c r="A868" s="53"/>
      <c r="B868" s="53"/>
      <c r="C868" s="168"/>
      <c r="D868" s="169"/>
      <c r="E868" s="170"/>
      <c r="F868" s="53"/>
      <c r="G868" s="53"/>
      <c r="H868" s="53"/>
      <c r="I868" s="171"/>
      <c r="J868" s="170"/>
      <c r="K868" s="53"/>
      <c r="L868" s="53"/>
      <c r="M868" s="53"/>
      <c r="N868" s="171"/>
      <c r="O868" s="170"/>
      <c r="P868" s="53"/>
      <c r="Q868" s="53"/>
      <c r="R868" s="53"/>
      <c r="S868" s="171"/>
      <c r="T868" s="170"/>
      <c r="U868" s="53"/>
      <c r="V868" s="53"/>
      <c r="W868" s="53"/>
      <c r="X868" s="171"/>
      <c r="Y868" s="170"/>
      <c r="Z868" s="170"/>
      <c r="AA868" s="170"/>
      <c r="AB868" s="170"/>
      <c r="AC868" s="170"/>
      <c r="AD868" s="53"/>
      <c r="AE868" s="53"/>
    </row>
    <row r="869">
      <c r="A869" s="53"/>
      <c r="B869" s="53"/>
      <c r="C869" s="168"/>
      <c r="D869" s="169"/>
      <c r="E869" s="170"/>
      <c r="F869" s="53"/>
      <c r="G869" s="53"/>
      <c r="H869" s="53"/>
      <c r="I869" s="171"/>
      <c r="J869" s="170"/>
      <c r="K869" s="53"/>
      <c r="L869" s="53"/>
      <c r="M869" s="53"/>
      <c r="N869" s="171"/>
      <c r="O869" s="170"/>
      <c r="P869" s="53"/>
      <c r="Q869" s="53"/>
      <c r="R869" s="53"/>
      <c r="S869" s="171"/>
      <c r="T869" s="170"/>
      <c r="U869" s="53"/>
      <c r="V869" s="53"/>
      <c r="W869" s="53"/>
      <c r="X869" s="171"/>
      <c r="Y869" s="170"/>
      <c r="Z869" s="170"/>
      <c r="AA869" s="170"/>
      <c r="AB869" s="170"/>
      <c r="AC869" s="170"/>
      <c r="AD869" s="53"/>
      <c r="AE869" s="53"/>
    </row>
    <row r="870">
      <c r="A870" s="53"/>
      <c r="B870" s="53"/>
      <c r="C870" s="168"/>
      <c r="D870" s="169"/>
      <c r="E870" s="170"/>
      <c r="F870" s="53"/>
      <c r="G870" s="53"/>
      <c r="H870" s="53"/>
      <c r="I870" s="171"/>
      <c r="J870" s="170"/>
      <c r="K870" s="53"/>
      <c r="L870" s="53"/>
      <c r="M870" s="53"/>
      <c r="N870" s="171"/>
      <c r="O870" s="170"/>
      <c r="P870" s="53"/>
      <c r="Q870" s="53"/>
      <c r="R870" s="53"/>
      <c r="S870" s="171"/>
      <c r="T870" s="170"/>
      <c r="U870" s="53"/>
      <c r="V870" s="53"/>
      <c r="W870" s="53"/>
      <c r="X870" s="171"/>
      <c r="Y870" s="170"/>
      <c r="Z870" s="170"/>
      <c r="AA870" s="170"/>
      <c r="AB870" s="170"/>
      <c r="AC870" s="170"/>
      <c r="AD870" s="53"/>
      <c r="AE870" s="53"/>
    </row>
    <row r="871">
      <c r="A871" s="53"/>
      <c r="B871" s="53"/>
      <c r="C871" s="168"/>
      <c r="D871" s="169"/>
      <c r="E871" s="170"/>
      <c r="F871" s="53"/>
      <c r="G871" s="53"/>
      <c r="H871" s="53"/>
      <c r="I871" s="171"/>
      <c r="J871" s="170"/>
      <c r="K871" s="53"/>
      <c r="L871" s="53"/>
      <c r="M871" s="53"/>
      <c r="N871" s="171"/>
      <c r="O871" s="170"/>
      <c r="P871" s="53"/>
      <c r="Q871" s="53"/>
      <c r="R871" s="53"/>
      <c r="S871" s="171"/>
      <c r="T871" s="170"/>
      <c r="U871" s="53"/>
      <c r="V871" s="53"/>
      <c r="W871" s="53"/>
      <c r="X871" s="171"/>
      <c r="Y871" s="170"/>
      <c r="Z871" s="170"/>
      <c r="AA871" s="170"/>
      <c r="AB871" s="170"/>
      <c r="AC871" s="170"/>
      <c r="AD871" s="53"/>
      <c r="AE871" s="53"/>
    </row>
    <row r="872">
      <c r="A872" s="53"/>
      <c r="B872" s="53"/>
      <c r="C872" s="168"/>
      <c r="D872" s="169"/>
      <c r="E872" s="170"/>
      <c r="F872" s="53"/>
      <c r="G872" s="53"/>
      <c r="H872" s="53"/>
      <c r="I872" s="171"/>
      <c r="J872" s="170"/>
      <c r="K872" s="53"/>
      <c r="L872" s="53"/>
      <c r="M872" s="53"/>
      <c r="N872" s="171"/>
      <c r="O872" s="170"/>
      <c r="P872" s="53"/>
      <c r="Q872" s="53"/>
      <c r="R872" s="53"/>
      <c r="S872" s="171"/>
      <c r="T872" s="170"/>
      <c r="U872" s="53"/>
      <c r="V872" s="53"/>
      <c r="W872" s="53"/>
      <c r="X872" s="171"/>
      <c r="Y872" s="170"/>
      <c r="Z872" s="170"/>
      <c r="AA872" s="170"/>
      <c r="AB872" s="170"/>
      <c r="AC872" s="170"/>
      <c r="AD872" s="53"/>
      <c r="AE872" s="53"/>
    </row>
    <row r="873">
      <c r="A873" s="53"/>
      <c r="B873" s="53"/>
      <c r="C873" s="168"/>
      <c r="D873" s="169"/>
      <c r="E873" s="170"/>
      <c r="F873" s="53"/>
      <c r="G873" s="53"/>
      <c r="H873" s="53"/>
      <c r="I873" s="171"/>
      <c r="J873" s="170"/>
      <c r="K873" s="53"/>
      <c r="L873" s="53"/>
      <c r="M873" s="53"/>
      <c r="N873" s="171"/>
      <c r="O873" s="170"/>
      <c r="P873" s="53"/>
      <c r="Q873" s="53"/>
      <c r="R873" s="53"/>
      <c r="S873" s="171"/>
      <c r="T873" s="170"/>
      <c r="U873" s="53"/>
      <c r="V873" s="53"/>
      <c r="W873" s="53"/>
      <c r="X873" s="171"/>
      <c r="Y873" s="170"/>
      <c r="Z873" s="170"/>
      <c r="AA873" s="170"/>
      <c r="AB873" s="170"/>
      <c r="AC873" s="170"/>
      <c r="AD873" s="53"/>
      <c r="AE873" s="53"/>
    </row>
    <row r="874">
      <c r="A874" s="53"/>
      <c r="B874" s="53"/>
      <c r="C874" s="168"/>
      <c r="D874" s="169"/>
      <c r="E874" s="170"/>
      <c r="F874" s="53"/>
      <c r="G874" s="53"/>
      <c r="H874" s="53"/>
      <c r="I874" s="171"/>
      <c r="J874" s="170"/>
      <c r="K874" s="53"/>
      <c r="L874" s="53"/>
      <c r="M874" s="53"/>
      <c r="N874" s="171"/>
      <c r="O874" s="170"/>
      <c r="P874" s="53"/>
      <c r="Q874" s="53"/>
      <c r="R874" s="53"/>
      <c r="S874" s="171"/>
      <c r="T874" s="170"/>
      <c r="U874" s="53"/>
      <c r="V874" s="53"/>
      <c r="W874" s="53"/>
      <c r="X874" s="171"/>
      <c r="Y874" s="170"/>
      <c r="Z874" s="170"/>
      <c r="AA874" s="170"/>
      <c r="AB874" s="170"/>
      <c r="AC874" s="170"/>
      <c r="AD874" s="53"/>
      <c r="AE874" s="53"/>
    </row>
    <row r="875">
      <c r="A875" s="53"/>
      <c r="B875" s="53"/>
      <c r="C875" s="168"/>
      <c r="D875" s="169"/>
      <c r="E875" s="170"/>
      <c r="F875" s="53"/>
      <c r="G875" s="53"/>
      <c r="H875" s="53"/>
      <c r="I875" s="171"/>
      <c r="J875" s="170"/>
      <c r="K875" s="53"/>
      <c r="L875" s="53"/>
      <c r="M875" s="53"/>
      <c r="N875" s="171"/>
      <c r="O875" s="170"/>
      <c r="P875" s="53"/>
      <c r="Q875" s="53"/>
      <c r="R875" s="53"/>
      <c r="S875" s="171"/>
      <c r="T875" s="170"/>
      <c r="U875" s="53"/>
      <c r="V875" s="53"/>
      <c r="W875" s="53"/>
      <c r="X875" s="171"/>
      <c r="Y875" s="170"/>
      <c r="Z875" s="170"/>
      <c r="AA875" s="170"/>
      <c r="AB875" s="170"/>
      <c r="AC875" s="170"/>
      <c r="AD875" s="53"/>
      <c r="AE875" s="53"/>
    </row>
    <row r="876">
      <c r="A876" s="53"/>
      <c r="B876" s="53"/>
      <c r="C876" s="168"/>
      <c r="D876" s="169"/>
      <c r="E876" s="170"/>
      <c r="F876" s="53"/>
      <c r="G876" s="53"/>
      <c r="H876" s="53"/>
      <c r="I876" s="171"/>
      <c r="J876" s="170"/>
      <c r="K876" s="53"/>
      <c r="L876" s="53"/>
      <c r="M876" s="53"/>
      <c r="N876" s="171"/>
      <c r="O876" s="170"/>
      <c r="P876" s="53"/>
      <c r="Q876" s="53"/>
      <c r="R876" s="53"/>
      <c r="S876" s="171"/>
      <c r="T876" s="170"/>
      <c r="U876" s="53"/>
      <c r="V876" s="53"/>
      <c r="W876" s="53"/>
      <c r="X876" s="171"/>
      <c r="Y876" s="170"/>
      <c r="Z876" s="170"/>
      <c r="AA876" s="170"/>
      <c r="AB876" s="170"/>
      <c r="AC876" s="170"/>
      <c r="AD876" s="53"/>
      <c r="AE876" s="53"/>
    </row>
    <row r="877">
      <c r="A877" s="53"/>
      <c r="B877" s="53"/>
      <c r="C877" s="168"/>
      <c r="D877" s="169"/>
      <c r="E877" s="170"/>
      <c r="F877" s="53"/>
      <c r="G877" s="53"/>
      <c r="H877" s="53"/>
      <c r="I877" s="171"/>
      <c r="J877" s="170"/>
      <c r="K877" s="53"/>
      <c r="L877" s="53"/>
      <c r="M877" s="53"/>
      <c r="N877" s="171"/>
      <c r="O877" s="170"/>
      <c r="P877" s="53"/>
      <c r="Q877" s="53"/>
      <c r="R877" s="53"/>
      <c r="S877" s="171"/>
      <c r="T877" s="170"/>
      <c r="U877" s="53"/>
      <c r="V877" s="53"/>
      <c r="W877" s="53"/>
      <c r="X877" s="171"/>
      <c r="Y877" s="170"/>
      <c r="Z877" s="170"/>
      <c r="AA877" s="170"/>
      <c r="AB877" s="170"/>
      <c r="AC877" s="170"/>
      <c r="AD877" s="53"/>
      <c r="AE877" s="53"/>
    </row>
    <row r="878">
      <c r="A878" s="53"/>
      <c r="B878" s="53"/>
      <c r="C878" s="168"/>
      <c r="D878" s="169"/>
      <c r="E878" s="170"/>
      <c r="F878" s="53"/>
      <c r="G878" s="53"/>
      <c r="H878" s="53"/>
      <c r="I878" s="171"/>
      <c r="J878" s="170"/>
      <c r="K878" s="53"/>
      <c r="L878" s="53"/>
      <c r="M878" s="53"/>
      <c r="N878" s="171"/>
      <c r="O878" s="170"/>
      <c r="P878" s="53"/>
      <c r="Q878" s="53"/>
      <c r="R878" s="53"/>
      <c r="S878" s="171"/>
      <c r="T878" s="170"/>
      <c r="U878" s="53"/>
      <c r="V878" s="53"/>
      <c r="W878" s="53"/>
      <c r="X878" s="171"/>
      <c r="Y878" s="170"/>
      <c r="Z878" s="170"/>
      <c r="AA878" s="170"/>
      <c r="AB878" s="170"/>
      <c r="AC878" s="170"/>
      <c r="AD878" s="53"/>
      <c r="AE878" s="53"/>
    </row>
    <row r="879">
      <c r="A879" s="53"/>
      <c r="B879" s="53"/>
      <c r="C879" s="168"/>
      <c r="D879" s="169"/>
      <c r="E879" s="170"/>
      <c r="F879" s="53"/>
      <c r="G879" s="53"/>
      <c r="H879" s="53"/>
      <c r="I879" s="171"/>
      <c r="J879" s="170"/>
      <c r="K879" s="53"/>
      <c r="L879" s="53"/>
      <c r="M879" s="53"/>
      <c r="N879" s="171"/>
      <c r="O879" s="170"/>
      <c r="P879" s="53"/>
      <c r="Q879" s="53"/>
      <c r="R879" s="53"/>
      <c r="S879" s="171"/>
      <c r="T879" s="170"/>
      <c r="U879" s="53"/>
      <c r="V879" s="53"/>
      <c r="W879" s="53"/>
      <c r="X879" s="171"/>
      <c r="Y879" s="170"/>
      <c r="Z879" s="170"/>
      <c r="AA879" s="170"/>
      <c r="AB879" s="170"/>
      <c r="AC879" s="170"/>
      <c r="AD879" s="53"/>
      <c r="AE879" s="53"/>
    </row>
    <row r="880">
      <c r="A880" s="53"/>
      <c r="B880" s="53"/>
      <c r="C880" s="168"/>
      <c r="D880" s="169"/>
      <c r="E880" s="170"/>
      <c r="F880" s="53"/>
      <c r="G880" s="53"/>
      <c r="H880" s="53"/>
      <c r="I880" s="171"/>
      <c r="J880" s="170"/>
      <c r="K880" s="53"/>
      <c r="L880" s="53"/>
      <c r="M880" s="53"/>
      <c r="N880" s="171"/>
      <c r="O880" s="170"/>
      <c r="P880" s="53"/>
      <c r="Q880" s="53"/>
      <c r="R880" s="53"/>
      <c r="S880" s="171"/>
      <c r="T880" s="170"/>
      <c r="U880" s="53"/>
      <c r="V880" s="53"/>
      <c r="W880" s="53"/>
      <c r="X880" s="171"/>
      <c r="Y880" s="170"/>
      <c r="Z880" s="170"/>
      <c r="AA880" s="170"/>
      <c r="AB880" s="170"/>
      <c r="AC880" s="170"/>
      <c r="AD880" s="53"/>
      <c r="AE880" s="53"/>
    </row>
    <row r="881">
      <c r="A881" s="53"/>
      <c r="B881" s="53"/>
      <c r="C881" s="168"/>
      <c r="D881" s="169"/>
      <c r="E881" s="170"/>
      <c r="F881" s="53"/>
      <c r="G881" s="53"/>
      <c r="H881" s="53"/>
      <c r="I881" s="171"/>
      <c r="J881" s="170"/>
      <c r="K881" s="53"/>
      <c r="L881" s="53"/>
      <c r="M881" s="53"/>
      <c r="N881" s="171"/>
      <c r="O881" s="170"/>
      <c r="P881" s="53"/>
      <c r="Q881" s="53"/>
      <c r="R881" s="53"/>
      <c r="S881" s="171"/>
      <c r="T881" s="170"/>
      <c r="U881" s="53"/>
      <c r="V881" s="53"/>
      <c r="W881" s="53"/>
      <c r="X881" s="171"/>
      <c r="Y881" s="170"/>
      <c r="Z881" s="170"/>
      <c r="AA881" s="170"/>
      <c r="AB881" s="170"/>
      <c r="AC881" s="170"/>
      <c r="AD881" s="53"/>
      <c r="AE881" s="53"/>
    </row>
    <row r="882">
      <c r="A882" s="53"/>
      <c r="B882" s="53"/>
      <c r="C882" s="168"/>
      <c r="D882" s="169"/>
      <c r="E882" s="170"/>
      <c r="F882" s="53"/>
      <c r="G882" s="53"/>
      <c r="H882" s="53"/>
      <c r="I882" s="171"/>
      <c r="J882" s="170"/>
      <c r="K882" s="53"/>
      <c r="L882" s="53"/>
      <c r="M882" s="53"/>
      <c r="N882" s="171"/>
      <c r="O882" s="170"/>
      <c r="P882" s="53"/>
      <c r="Q882" s="53"/>
      <c r="R882" s="53"/>
      <c r="S882" s="171"/>
      <c r="T882" s="170"/>
      <c r="U882" s="53"/>
      <c r="V882" s="53"/>
      <c r="W882" s="53"/>
      <c r="X882" s="171"/>
      <c r="Y882" s="170"/>
      <c r="Z882" s="170"/>
      <c r="AA882" s="170"/>
      <c r="AB882" s="170"/>
      <c r="AC882" s="170"/>
      <c r="AD882" s="53"/>
      <c r="AE882" s="53"/>
    </row>
    <row r="883">
      <c r="A883" s="53"/>
      <c r="B883" s="53"/>
      <c r="C883" s="168"/>
      <c r="D883" s="169"/>
      <c r="E883" s="170"/>
      <c r="F883" s="53"/>
      <c r="G883" s="53"/>
      <c r="H883" s="53"/>
      <c r="I883" s="171"/>
      <c r="J883" s="170"/>
      <c r="K883" s="53"/>
      <c r="L883" s="53"/>
      <c r="M883" s="53"/>
      <c r="N883" s="171"/>
      <c r="O883" s="170"/>
      <c r="P883" s="53"/>
      <c r="Q883" s="53"/>
      <c r="R883" s="53"/>
      <c r="S883" s="171"/>
      <c r="T883" s="170"/>
      <c r="U883" s="53"/>
      <c r="V883" s="53"/>
      <c r="W883" s="53"/>
      <c r="X883" s="171"/>
      <c r="Y883" s="170"/>
      <c r="Z883" s="170"/>
      <c r="AA883" s="170"/>
      <c r="AB883" s="170"/>
      <c r="AC883" s="170"/>
      <c r="AD883" s="53"/>
      <c r="AE883" s="53"/>
    </row>
    <row r="884">
      <c r="A884" s="53"/>
      <c r="B884" s="53"/>
      <c r="C884" s="168"/>
      <c r="D884" s="169"/>
      <c r="E884" s="170"/>
      <c r="F884" s="53"/>
      <c r="G884" s="53"/>
      <c r="H884" s="53"/>
      <c r="I884" s="171"/>
      <c r="J884" s="170"/>
      <c r="K884" s="53"/>
      <c r="L884" s="53"/>
      <c r="M884" s="53"/>
      <c r="N884" s="171"/>
      <c r="O884" s="170"/>
      <c r="P884" s="53"/>
      <c r="Q884" s="53"/>
      <c r="R884" s="53"/>
      <c r="S884" s="171"/>
      <c r="T884" s="170"/>
      <c r="U884" s="53"/>
      <c r="V884" s="53"/>
      <c r="W884" s="53"/>
      <c r="X884" s="171"/>
      <c r="Y884" s="170"/>
      <c r="Z884" s="170"/>
      <c r="AA884" s="170"/>
      <c r="AB884" s="170"/>
      <c r="AC884" s="170"/>
      <c r="AD884" s="53"/>
      <c r="AE884" s="53"/>
    </row>
    <row r="885">
      <c r="A885" s="53"/>
      <c r="B885" s="53"/>
      <c r="C885" s="168"/>
      <c r="D885" s="169"/>
      <c r="E885" s="170"/>
      <c r="F885" s="53"/>
      <c r="G885" s="53"/>
      <c r="H885" s="53"/>
      <c r="I885" s="171"/>
      <c r="J885" s="170"/>
      <c r="K885" s="53"/>
      <c r="L885" s="53"/>
      <c r="M885" s="53"/>
      <c r="N885" s="171"/>
      <c r="O885" s="170"/>
      <c r="P885" s="53"/>
      <c r="Q885" s="53"/>
      <c r="R885" s="53"/>
      <c r="S885" s="171"/>
      <c r="T885" s="170"/>
      <c r="U885" s="53"/>
      <c r="V885" s="53"/>
      <c r="W885" s="53"/>
      <c r="X885" s="171"/>
      <c r="Y885" s="170"/>
      <c r="Z885" s="170"/>
      <c r="AA885" s="170"/>
      <c r="AB885" s="170"/>
      <c r="AC885" s="170"/>
      <c r="AD885" s="53"/>
      <c r="AE885" s="53"/>
    </row>
    <row r="886">
      <c r="A886" s="53"/>
      <c r="B886" s="53"/>
      <c r="C886" s="168"/>
      <c r="D886" s="169"/>
      <c r="E886" s="170"/>
      <c r="F886" s="53"/>
      <c r="G886" s="53"/>
      <c r="H886" s="53"/>
      <c r="I886" s="171"/>
      <c r="J886" s="170"/>
      <c r="K886" s="53"/>
      <c r="L886" s="53"/>
      <c r="M886" s="53"/>
      <c r="N886" s="171"/>
      <c r="O886" s="170"/>
      <c r="P886" s="53"/>
      <c r="Q886" s="53"/>
      <c r="R886" s="53"/>
      <c r="S886" s="171"/>
      <c r="T886" s="170"/>
      <c r="U886" s="53"/>
      <c r="V886" s="53"/>
      <c r="W886" s="53"/>
      <c r="X886" s="171"/>
      <c r="Y886" s="170"/>
      <c r="Z886" s="170"/>
      <c r="AA886" s="170"/>
      <c r="AB886" s="170"/>
      <c r="AC886" s="170"/>
      <c r="AD886" s="53"/>
      <c r="AE886" s="53"/>
    </row>
    <row r="887">
      <c r="A887" s="53"/>
      <c r="B887" s="53"/>
      <c r="C887" s="168"/>
      <c r="D887" s="169"/>
      <c r="E887" s="170"/>
      <c r="F887" s="53"/>
      <c r="G887" s="53"/>
      <c r="H887" s="53"/>
      <c r="I887" s="171"/>
      <c r="J887" s="170"/>
      <c r="K887" s="53"/>
      <c r="L887" s="53"/>
      <c r="M887" s="53"/>
      <c r="N887" s="171"/>
      <c r="O887" s="170"/>
      <c r="P887" s="53"/>
      <c r="Q887" s="53"/>
      <c r="R887" s="53"/>
      <c r="S887" s="171"/>
      <c r="T887" s="170"/>
      <c r="U887" s="53"/>
      <c r="V887" s="53"/>
      <c r="W887" s="53"/>
      <c r="X887" s="171"/>
      <c r="Y887" s="170"/>
      <c r="Z887" s="170"/>
      <c r="AA887" s="170"/>
      <c r="AB887" s="170"/>
      <c r="AC887" s="170"/>
      <c r="AD887" s="53"/>
      <c r="AE887" s="53"/>
    </row>
    <row r="888">
      <c r="A888" s="53"/>
      <c r="B888" s="53"/>
      <c r="C888" s="168"/>
      <c r="D888" s="169"/>
      <c r="E888" s="170"/>
      <c r="F888" s="53"/>
      <c r="G888" s="53"/>
      <c r="H888" s="53"/>
      <c r="I888" s="171"/>
      <c r="J888" s="170"/>
      <c r="K888" s="53"/>
      <c r="L888" s="53"/>
      <c r="M888" s="53"/>
      <c r="N888" s="171"/>
      <c r="O888" s="170"/>
      <c r="P888" s="53"/>
      <c r="Q888" s="53"/>
      <c r="R888" s="53"/>
      <c r="S888" s="171"/>
      <c r="T888" s="170"/>
      <c r="U888" s="53"/>
      <c r="V888" s="53"/>
      <c r="W888" s="53"/>
      <c r="X888" s="171"/>
      <c r="Y888" s="170"/>
      <c r="Z888" s="170"/>
      <c r="AA888" s="170"/>
      <c r="AB888" s="170"/>
      <c r="AC888" s="170"/>
      <c r="AD888" s="53"/>
      <c r="AE888" s="53"/>
    </row>
    <row r="889">
      <c r="A889" s="53"/>
      <c r="B889" s="53"/>
      <c r="C889" s="168"/>
      <c r="D889" s="169"/>
      <c r="E889" s="170"/>
      <c r="F889" s="53"/>
      <c r="G889" s="53"/>
      <c r="H889" s="53"/>
      <c r="I889" s="171"/>
      <c r="J889" s="170"/>
      <c r="K889" s="53"/>
      <c r="L889" s="53"/>
      <c r="M889" s="53"/>
      <c r="N889" s="171"/>
      <c r="O889" s="170"/>
      <c r="P889" s="53"/>
      <c r="Q889" s="53"/>
      <c r="R889" s="53"/>
      <c r="S889" s="171"/>
      <c r="T889" s="170"/>
      <c r="U889" s="53"/>
      <c r="V889" s="53"/>
      <c r="W889" s="53"/>
      <c r="X889" s="171"/>
      <c r="Y889" s="170"/>
      <c r="Z889" s="170"/>
      <c r="AA889" s="170"/>
      <c r="AB889" s="170"/>
      <c r="AC889" s="170"/>
      <c r="AD889" s="53"/>
      <c r="AE889" s="53"/>
    </row>
    <row r="890">
      <c r="A890" s="53"/>
      <c r="B890" s="53"/>
      <c r="C890" s="168"/>
      <c r="D890" s="169"/>
      <c r="E890" s="170"/>
      <c r="F890" s="53"/>
      <c r="G890" s="53"/>
      <c r="H890" s="53"/>
      <c r="I890" s="171"/>
      <c r="J890" s="170"/>
      <c r="K890" s="53"/>
      <c r="L890" s="53"/>
      <c r="M890" s="53"/>
      <c r="N890" s="171"/>
      <c r="O890" s="170"/>
      <c r="P890" s="53"/>
      <c r="Q890" s="53"/>
      <c r="R890" s="53"/>
      <c r="S890" s="171"/>
      <c r="T890" s="170"/>
      <c r="U890" s="53"/>
      <c r="V890" s="53"/>
      <c r="W890" s="53"/>
      <c r="X890" s="171"/>
      <c r="Y890" s="170"/>
      <c r="Z890" s="170"/>
      <c r="AA890" s="170"/>
      <c r="AB890" s="170"/>
      <c r="AC890" s="170"/>
      <c r="AD890" s="53"/>
      <c r="AE890" s="53"/>
    </row>
    <row r="891">
      <c r="A891" s="53"/>
      <c r="B891" s="53"/>
      <c r="C891" s="168"/>
      <c r="D891" s="169"/>
      <c r="E891" s="170"/>
      <c r="F891" s="53"/>
      <c r="G891" s="53"/>
      <c r="H891" s="53"/>
      <c r="I891" s="171"/>
      <c r="J891" s="170"/>
      <c r="K891" s="53"/>
      <c r="L891" s="53"/>
      <c r="M891" s="53"/>
      <c r="N891" s="171"/>
      <c r="O891" s="170"/>
      <c r="P891" s="53"/>
      <c r="Q891" s="53"/>
      <c r="R891" s="53"/>
      <c r="S891" s="171"/>
      <c r="T891" s="170"/>
      <c r="U891" s="53"/>
      <c r="V891" s="53"/>
      <c r="W891" s="53"/>
      <c r="X891" s="171"/>
      <c r="Y891" s="170"/>
      <c r="Z891" s="170"/>
      <c r="AA891" s="170"/>
      <c r="AB891" s="170"/>
      <c r="AC891" s="170"/>
      <c r="AD891" s="53"/>
      <c r="AE891" s="53"/>
    </row>
    <row r="892">
      <c r="A892" s="53"/>
      <c r="B892" s="53"/>
      <c r="C892" s="168"/>
      <c r="D892" s="169"/>
      <c r="E892" s="170"/>
      <c r="F892" s="53"/>
      <c r="G892" s="53"/>
      <c r="H892" s="53"/>
      <c r="I892" s="171"/>
      <c r="J892" s="170"/>
      <c r="K892" s="53"/>
      <c r="L892" s="53"/>
      <c r="M892" s="53"/>
      <c r="N892" s="171"/>
      <c r="O892" s="170"/>
      <c r="P892" s="53"/>
      <c r="Q892" s="53"/>
      <c r="R892" s="53"/>
      <c r="S892" s="171"/>
      <c r="T892" s="170"/>
      <c r="U892" s="53"/>
      <c r="V892" s="53"/>
      <c r="W892" s="53"/>
      <c r="X892" s="171"/>
      <c r="Y892" s="170"/>
      <c r="Z892" s="170"/>
      <c r="AA892" s="170"/>
      <c r="AB892" s="170"/>
      <c r="AC892" s="170"/>
      <c r="AD892" s="53"/>
      <c r="AE892" s="53"/>
    </row>
    <row r="893">
      <c r="A893" s="53"/>
      <c r="B893" s="53"/>
      <c r="C893" s="168"/>
      <c r="D893" s="169"/>
      <c r="E893" s="170"/>
      <c r="F893" s="53"/>
      <c r="G893" s="53"/>
      <c r="H893" s="53"/>
      <c r="I893" s="171"/>
      <c r="J893" s="170"/>
      <c r="K893" s="53"/>
      <c r="L893" s="53"/>
      <c r="M893" s="53"/>
      <c r="N893" s="171"/>
      <c r="O893" s="170"/>
      <c r="P893" s="53"/>
      <c r="Q893" s="53"/>
      <c r="R893" s="53"/>
      <c r="S893" s="171"/>
      <c r="T893" s="170"/>
      <c r="U893" s="53"/>
      <c r="V893" s="53"/>
      <c r="W893" s="53"/>
      <c r="X893" s="171"/>
      <c r="Y893" s="170"/>
      <c r="Z893" s="170"/>
      <c r="AA893" s="170"/>
      <c r="AB893" s="170"/>
      <c r="AC893" s="170"/>
      <c r="AD893" s="53"/>
      <c r="AE893" s="53"/>
    </row>
    <row r="894">
      <c r="A894" s="53"/>
      <c r="B894" s="53"/>
      <c r="C894" s="168"/>
      <c r="D894" s="169"/>
      <c r="E894" s="170"/>
      <c r="F894" s="53"/>
      <c r="G894" s="53"/>
      <c r="H894" s="53"/>
      <c r="I894" s="171"/>
      <c r="J894" s="170"/>
      <c r="K894" s="53"/>
      <c r="L894" s="53"/>
      <c r="M894" s="53"/>
      <c r="N894" s="171"/>
      <c r="O894" s="170"/>
      <c r="P894" s="53"/>
      <c r="Q894" s="53"/>
      <c r="R894" s="53"/>
      <c r="S894" s="171"/>
      <c r="T894" s="170"/>
      <c r="U894" s="53"/>
      <c r="V894" s="53"/>
      <c r="W894" s="53"/>
      <c r="X894" s="171"/>
      <c r="Y894" s="170"/>
      <c r="Z894" s="170"/>
      <c r="AA894" s="170"/>
      <c r="AB894" s="170"/>
      <c r="AC894" s="170"/>
      <c r="AD894" s="53"/>
      <c r="AE894" s="53"/>
    </row>
    <row r="895">
      <c r="A895" s="53"/>
      <c r="B895" s="53"/>
      <c r="C895" s="168"/>
      <c r="D895" s="169"/>
      <c r="E895" s="170"/>
      <c r="F895" s="53"/>
      <c r="G895" s="53"/>
      <c r="H895" s="53"/>
      <c r="I895" s="171"/>
      <c r="J895" s="170"/>
      <c r="K895" s="53"/>
      <c r="L895" s="53"/>
      <c r="M895" s="53"/>
      <c r="N895" s="171"/>
      <c r="O895" s="170"/>
      <c r="P895" s="53"/>
      <c r="Q895" s="53"/>
      <c r="R895" s="53"/>
      <c r="S895" s="171"/>
      <c r="T895" s="170"/>
      <c r="U895" s="53"/>
      <c r="V895" s="53"/>
      <c r="W895" s="53"/>
      <c r="X895" s="171"/>
      <c r="Y895" s="170"/>
      <c r="Z895" s="170"/>
      <c r="AA895" s="170"/>
      <c r="AB895" s="170"/>
      <c r="AC895" s="170"/>
      <c r="AD895" s="53"/>
      <c r="AE895" s="53"/>
    </row>
    <row r="896">
      <c r="A896" s="53"/>
      <c r="B896" s="53"/>
      <c r="C896" s="168"/>
      <c r="D896" s="169"/>
      <c r="E896" s="170"/>
      <c r="F896" s="53"/>
      <c r="G896" s="53"/>
      <c r="H896" s="53"/>
      <c r="I896" s="171"/>
      <c r="J896" s="170"/>
      <c r="K896" s="53"/>
      <c r="L896" s="53"/>
      <c r="M896" s="53"/>
      <c r="N896" s="171"/>
      <c r="O896" s="170"/>
      <c r="P896" s="53"/>
      <c r="Q896" s="53"/>
      <c r="R896" s="53"/>
      <c r="S896" s="171"/>
      <c r="T896" s="170"/>
      <c r="U896" s="53"/>
      <c r="V896" s="53"/>
      <c r="W896" s="53"/>
      <c r="X896" s="171"/>
      <c r="Y896" s="170"/>
      <c r="Z896" s="170"/>
      <c r="AA896" s="170"/>
      <c r="AB896" s="170"/>
      <c r="AC896" s="170"/>
      <c r="AD896" s="53"/>
      <c r="AE896" s="53"/>
    </row>
    <row r="897">
      <c r="A897" s="53"/>
      <c r="B897" s="53"/>
      <c r="C897" s="168"/>
      <c r="D897" s="169"/>
      <c r="E897" s="170"/>
      <c r="F897" s="53"/>
      <c r="G897" s="53"/>
      <c r="H897" s="53"/>
      <c r="I897" s="171"/>
      <c r="J897" s="170"/>
      <c r="K897" s="53"/>
      <c r="L897" s="53"/>
      <c r="M897" s="53"/>
      <c r="N897" s="171"/>
      <c r="O897" s="170"/>
      <c r="P897" s="53"/>
      <c r="Q897" s="53"/>
      <c r="R897" s="53"/>
      <c r="S897" s="171"/>
      <c r="T897" s="170"/>
      <c r="U897" s="53"/>
      <c r="V897" s="53"/>
      <c r="W897" s="53"/>
      <c r="X897" s="171"/>
      <c r="Y897" s="170"/>
      <c r="Z897" s="170"/>
      <c r="AA897" s="170"/>
      <c r="AB897" s="170"/>
      <c r="AC897" s="170"/>
      <c r="AD897" s="53"/>
      <c r="AE897" s="53"/>
    </row>
    <row r="898">
      <c r="A898" s="53"/>
      <c r="B898" s="53"/>
      <c r="C898" s="168"/>
      <c r="D898" s="169"/>
      <c r="E898" s="170"/>
      <c r="F898" s="53"/>
      <c r="G898" s="53"/>
      <c r="H898" s="53"/>
      <c r="I898" s="171"/>
      <c r="J898" s="170"/>
      <c r="K898" s="53"/>
      <c r="L898" s="53"/>
      <c r="M898" s="53"/>
      <c r="N898" s="171"/>
      <c r="O898" s="170"/>
      <c r="P898" s="53"/>
      <c r="Q898" s="53"/>
      <c r="R898" s="53"/>
      <c r="S898" s="171"/>
      <c r="T898" s="170"/>
      <c r="U898" s="53"/>
      <c r="V898" s="53"/>
      <c r="W898" s="53"/>
      <c r="X898" s="171"/>
      <c r="Y898" s="170"/>
      <c r="Z898" s="170"/>
      <c r="AA898" s="170"/>
      <c r="AB898" s="170"/>
      <c r="AC898" s="170"/>
      <c r="AD898" s="53"/>
      <c r="AE898" s="53"/>
    </row>
    <row r="899">
      <c r="A899" s="53"/>
      <c r="B899" s="53"/>
      <c r="C899" s="168"/>
      <c r="D899" s="169"/>
      <c r="E899" s="170"/>
      <c r="F899" s="53"/>
      <c r="G899" s="53"/>
      <c r="H899" s="53"/>
      <c r="I899" s="171"/>
      <c r="J899" s="170"/>
      <c r="K899" s="53"/>
      <c r="L899" s="53"/>
      <c r="M899" s="53"/>
      <c r="N899" s="171"/>
      <c r="O899" s="170"/>
      <c r="P899" s="53"/>
      <c r="Q899" s="53"/>
      <c r="R899" s="53"/>
      <c r="S899" s="171"/>
      <c r="T899" s="170"/>
      <c r="U899" s="53"/>
      <c r="V899" s="53"/>
      <c r="W899" s="53"/>
      <c r="X899" s="171"/>
      <c r="Y899" s="170"/>
      <c r="Z899" s="170"/>
      <c r="AA899" s="170"/>
      <c r="AB899" s="170"/>
      <c r="AC899" s="170"/>
      <c r="AD899" s="53"/>
      <c r="AE899" s="53"/>
    </row>
    <row r="900">
      <c r="A900" s="53"/>
      <c r="B900" s="53"/>
      <c r="C900" s="168"/>
      <c r="D900" s="169"/>
      <c r="E900" s="170"/>
      <c r="F900" s="53"/>
      <c r="G900" s="53"/>
      <c r="H900" s="53"/>
      <c r="I900" s="171"/>
      <c r="J900" s="170"/>
      <c r="K900" s="53"/>
      <c r="L900" s="53"/>
      <c r="M900" s="53"/>
      <c r="N900" s="171"/>
      <c r="O900" s="170"/>
      <c r="P900" s="53"/>
      <c r="Q900" s="53"/>
      <c r="R900" s="53"/>
      <c r="S900" s="171"/>
      <c r="T900" s="170"/>
      <c r="U900" s="53"/>
      <c r="V900" s="53"/>
      <c r="W900" s="53"/>
      <c r="X900" s="171"/>
      <c r="Y900" s="170"/>
      <c r="Z900" s="170"/>
      <c r="AA900" s="170"/>
      <c r="AB900" s="170"/>
      <c r="AC900" s="170"/>
      <c r="AD900" s="53"/>
      <c r="AE900" s="53"/>
    </row>
    <row r="901">
      <c r="A901" s="53"/>
      <c r="B901" s="53"/>
      <c r="C901" s="168"/>
      <c r="D901" s="169"/>
      <c r="E901" s="170"/>
      <c r="F901" s="53"/>
      <c r="G901" s="53"/>
      <c r="H901" s="53"/>
      <c r="I901" s="171"/>
      <c r="J901" s="170"/>
      <c r="K901" s="53"/>
      <c r="L901" s="53"/>
      <c r="M901" s="53"/>
      <c r="N901" s="171"/>
      <c r="O901" s="170"/>
      <c r="P901" s="53"/>
      <c r="Q901" s="53"/>
      <c r="R901" s="53"/>
      <c r="S901" s="171"/>
      <c r="T901" s="170"/>
      <c r="U901" s="53"/>
      <c r="V901" s="53"/>
      <c r="W901" s="53"/>
      <c r="X901" s="171"/>
      <c r="Y901" s="170"/>
      <c r="Z901" s="170"/>
      <c r="AA901" s="170"/>
      <c r="AB901" s="170"/>
      <c r="AC901" s="170"/>
      <c r="AD901" s="53"/>
      <c r="AE901" s="53"/>
    </row>
    <row r="902">
      <c r="A902" s="53"/>
      <c r="B902" s="53"/>
      <c r="C902" s="168"/>
      <c r="D902" s="169"/>
      <c r="E902" s="170"/>
      <c r="F902" s="53"/>
      <c r="G902" s="53"/>
      <c r="H902" s="53"/>
      <c r="I902" s="171"/>
      <c r="J902" s="170"/>
      <c r="K902" s="53"/>
      <c r="L902" s="53"/>
      <c r="M902" s="53"/>
      <c r="N902" s="171"/>
      <c r="O902" s="170"/>
      <c r="P902" s="53"/>
      <c r="Q902" s="53"/>
      <c r="R902" s="53"/>
      <c r="S902" s="171"/>
      <c r="T902" s="170"/>
      <c r="U902" s="53"/>
      <c r="V902" s="53"/>
      <c r="W902" s="53"/>
      <c r="X902" s="171"/>
      <c r="Y902" s="170"/>
      <c r="Z902" s="170"/>
      <c r="AA902" s="170"/>
      <c r="AB902" s="170"/>
      <c r="AC902" s="170"/>
      <c r="AD902" s="53"/>
      <c r="AE902" s="53"/>
    </row>
    <row r="903">
      <c r="A903" s="53"/>
      <c r="B903" s="53"/>
      <c r="C903" s="168"/>
      <c r="D903" s="169"/>
      <c r="E903" s="170"/>
      <c r="F903" s="53"/>
      <c r="G903" s="53"/>
      <c r="H903" s="53"/>
      <c r="I903" s="171"/>
      <c r="J903" s="170"/>
      <c r="K903" s="53"/>
      <c r="L903" s="53"/>
      <c r="M903" s="53"/>
      <c r="N903" s="171"/>
      <c r="O903" s="170"/>
      <c r="P903" s="53"/>
      <c r="Q903" s="53"/>
      <c r="R903" s="53"/>
      <c r="S903" s="171"/>
      <c r="T903" s="170"/>
      <c r="U903" s="53"/>
      <c r="V903" s="53"/>
      <c r="W903" s="53"/>
      <c r="X903" s="171"/>
      <c r="Y903" s="170"/>
      <c r="Z903" s="170"/>
      <c r="AA903" s="170"/>
      <c r="AB903" s="170"/>
      <c r="AC903" s="170"/>
      <c r="AD903" s="53"/>
      <c r="AE903" s="53"/>
    </row>
    <row r="904">
      <c r="A904" s="53"/>
      <c r="B904" s="53"/>
      <c r="C904" s="168"/>
      <c r="D904" s="169"/>
      <c r="E904" s="170"/>
      <c r="F904" s="53"/>
      <c r="G904" s="53"/>
      <c r="H904" s="53"/>
      <c r="I904" s="171"/>
      <c r="J904" s="170"/>
      <c r="K904" s="53"/>
      <c r="L904" s="53"/>
      <c r="M904" s="53"/>
      <c r="N904" s="171"/>
      <c r="O904" s="170"/>
      <c r="P904" s="53"/>
      <c r="Q904" s="53"/>
      <c r="R904" s="53"/>
      <c r="S904" s="171"/>
      <c r="T904" s="170"/>
      <c r="U904" s="53"/>
      <c r="V904" s="53"/>
      <c r="W904" s="53"/>
      <c r="X904" s="171"/>
      <c r="Y904" s="170"/>
      <c r="Z904" s="170"/>
      <c r="AA904" s="170"/>
      <c r="AB904" s="170"/>
      <c r="AC904" s="170"/>
      <c r="AD904" s="53"/>
      <c r="AE904" s="53"/>
    </row>
    <row r="905">
      <c r="A905" s="53"/>
      <c r="B905" s="53"/>
      <c r="C905" s="168"/>
      <c r="D905" s="169"/>
      <c r="E905" s="170"/>
      <c r="F905" s="53"/>
      <c r="G905" s="53"/>
      <c r="H905" s="53"/>
      <c r="I905" s="171"/>
      <c r="J905" s="170"/>
      <c r="K905" s="53"/>
      <c r="L905" s="53"/>
      <c r="M905" s="53"/>
      <c r="N905" s="171"/>
      <c r="O905" s="170"/>
      <c r="P905" s="53"/>
      <c r="Q905" s="53"/>
      <c r="R905" s="53"/>
      <c r="S905" s="171"/>
      <c r="T905" s="170"/>
      <c r="U905" s="53"/>
      <c r="V905" s="53"/>
      <c r="W905" s="53"/>
      <c r="X905" s="171"/>
      <c r="Y905" s="170"/>
      <c r="Z905" s="170"/>
      <c r="AA905" s="170"/>
      <c r="AB905" s="170"/>
      <c r="AC905" s="170"/>
      <c r="AD905" s="53"/>
      <c r="AE905" s="53"/>
    </row>
    <row r="906">
      <c r="A906" s="53"/>
      <c r="B906" s="53"/>
      <c r="C906" s="168"/>
      <c r="D906" s="169"/>
      <c r="E906" s="170"/>
      <c r="F906" s="53"/>
      <c r="G906" s="53"/>
      <c r="H906" s="53"/>
      <c r="I906" s="171"/>
      <c r="J906" s="170"/>
      <c r="K906" s="53"/>
      <c r="L906" s="53"/>
      <c r="M906" s="53"/>
      <c r="N906" s="171"/>
      <c r="O906" s="170"/>
      <c r="P906" s="53"/>
      <c r="Q906" s="53"/>
      <c r="R906" s="53"/>
      <c r="S906" s="171"/>
      <c r="T906" s="170"/>
      <c r="U906" s="53"/>
      <c r="V906" s="53"/>
      <c r="W906" s="53"/>
      <c r="X906" s="171"/>
      <c r="Y906" s="170"/>
      <c r="Z906" s="170"/>
      <c r="AA906" s="170"/>
      <c r="AB906" s="170"/>
      <c r="AC906" s="170"/>
      <c r="AD906" s="53"/>
      <c r="AE906" s="53"/>
    </row>
    <row r="907">
      <c r="A907" s="53"/>
      <c r="B907" s="53"/>
      <c r="C907" s="168"/>
      <c r="D907" s="169"/>
      <c r="E907" s="170"/>
      <c r="F907" s="53"/>
      <c r="G907" s="53"/>
      <c r="H907" s="53"/>
      <c r="I907" s="171"/>
      <c r="J907" s="170"/>
      <c r="K907" s="53"/>
      <c r="L907" s="53"/>
      <c r="M907" s="53"/>
      <c r="N907" s="171"/>
      <c r="O907" s="170"/>
      <c r="P907" s="53"/>
      <c r="Q907" s="53"/>
      <c r="R907" s="53"/>
      <c r="S907" s="171"/>
      <c r="T907" s="170"/>
      <c r="U907" s="53"/>
      <c r="V907" s="53"/>
      <c r="W907" s="53"/>
      <c r="X907" s="171"/>
      <c r="Y907" s="170"/>
      <c r="Z907" s="170"/>
      <c r="AA907" s="170"/>
      <c r="AB907" s="170"/>
      <c r="AC907" s="170"/>
      <c r="AD907" s="53"/>
      <c r="AE907" s="53"/>
    </row>
    <row r="908">
      <c r="A908" s="53"/>
      <c r="B908" s="53"/>
      <c r="C908" s="168"/>
      <c r="D908" s="169"/>
      <c r="E908" s="170"/>
      <c r="F908" s="53"/>
      <c r="G908" s="53"/>
      <c r="H908" s="53"/>
      <c r="I908" s="171"/>
      <c r="J908" s="170"/>
      <c r="K908" s="53"/>
      <c r="L908" s="53"/>
      <c r="M908" s="53"/>
      <c r="N908" s="171"/>
      <c r="O908" s="170"/>
      <c r="P908" s="53"/>
      <c r="Q908" s="53"/>
      <c r="R908" s="53"/>
      <c r="S908" s="171"/>
      <c r="T908" s="170"/>
      <c r="U908" s="53"/>
      <c r="V908" s="53"/>
      <c r="W908" s="53"/>
      <c r="X908" s="171"/>
      <c r="Y908" s="170"/>
      <c r="Z908" s="170"/>
      <c r="AA908" s="170"/>
      <c r="AB908" s="170"/>
      <c r="AC908" s="170"/>
      <c r="AD908" s="53"/>
      <c r="AE908" s="53"/>
    </row>
    <row r="909">
      <c r="A909" s="53"/>
      <c r="B909" s="53"/>
      <c r="C909" s="168"/>
      <c r="D909" s="169"/>
      <c r="E909" s="170"/>
      <c r="F909" s="53"/>
      <c r="G909" s="53"/>
      <c r="H909" s="53"/>
      <c r="I909" s="171"/>
      <c r="J909" s="170"/>
      <c r="K909" s="53"/>
      <c r="L909" s="53"/>
      <c r="M909" s="53"/>
      <c r="N909" s="171"/>
      <c r="O909" s="170"/>
      <c r="P909" s="53"/>
      <c r="Q909" s="53"/>
      <c r="R909" s="53"/>
      <c r="S909" s="171"/>
      <c r="T909" s="170"/>
      <c r="U909" s="53"/>
      <c r="V909" s="53"/>
      <c r="W909" s="53"/>
      <c r="X909" s="171"/>
      <c r="Y909" s="170"/>
      <c r="Z909" s="170"/>
      <c r="AA909" s="170"/>
      <c r="AB909" s="170"/>
      <c r="AC909" s="170"/>
      <c r="AD909" s="53"/>
      <c r="AE909" s="53"/>
    </row>
    <row r="910">
      <c r="A910" s="53"/>
      <c r="B910" s="53"/>
      <c r="C910" s="168"/>
      <c r="D910" s="169"/>
      <c r="E910" s="170"/>
      <c r="F910" s="53"/>
      <c r="G910" s="53"/>
      <c r="H910" s="53"/>
      <c r="I910" s="171"/>
      <c r="J910" s="170"/>
      <c r="K910" s="53"/>
      <c r="L910" s="53"/>
      <c r="M910" s="53"/>
      <c r="N910" s="171"/>
      <c r="O910" s="170"/>
      <c r="P910" s="53"/>
      <c r="Q910" s="53"/>
      <c r="R910" s="53"/>
      <c r="S910" s="171"/>
      <c r="T910" s="170"/>
      <c r="U910" s="53"/>
      <c r="V910" s="53"/>
      <c r="W910" s="53"/>
      <c r="X910" s="171"/>
      <c r="Y910" s="170"/>
      <c r="Z910" s="170"/>
      <c r="AA910" s="170"/>
      <c r="AB910" s="170"/>
      <c r="AC910" s="170"/>
      <c r="AD910" s="53"/>
      <c r="AE910" s="53"/>
    </row>
    <row r="911">
      <c r="A911" s="53"/>
      <c r="B911" s="53"/>
      <c r="C911" s="168"/>
      <c r="D911" s="169"/>
      <c r="E911" s="170"/>
      <c r="F911" s="53"/>
      <c r="G911" s="53"/>
      <c r="H911" s="53"/>
      <c r="I911" s="171"/>
      <c r="J911" s="170"/>
      <c r="K911" s="53"/>
      <c r="L911" s="53"/>
      <c r="M911" s="53"/>
      <c r="N911" s="171"/>
      <c r="O911" s="170"/>
      <c r="P911" s="53"/>
      <c r="Q911" s="53"/>
      <c r="R911" s="53"/>
      <c r="S911" s="171"/>
      <c r="T911" s="170"/>
      <c r="U911" s="53"/>
      <c r="V911" s="53"/>
      <c r="W911" s="53"/>
      <c r="X911" s="171"/>
      <c r="Y911" s="170"/>
      <c r="Z911" s="170"/>
      <c r="AA911" s="170"/>
      <c r="AB911" s="170"/>
      <c r="AC911" s="170"/>
      <c r="AD911" s="53"/>
      <c r="AE911" s="53"/>
    </row>
    <row r="912">
      <c r="A912" s="53"/>
      <c r="B912" s="53"/>
      <c r="C912" s="168"/>
      <c r="D912" s="169"/>
      <c r="E912" s="170"/>
      <c r="F912" s="53"/>
      <c r="G912" s="53"/>
      <c r="H912" s="53"/>
      <c r="I912" s="171"/>
      <c r="J912" s="170"/>
      <c r="K912" s="53"/>
      <c r="L912" s="53"/>
      <c r="M912" s="53"/>
      <c r="N912" s="171"/>
      <c r="O912" s="170"/>
      <c r="P912" s="53"/>
      <c r="Q912" s="53"/>
      <c r="R912" s="53"/>
      <c r="S912" s="171"/>
      <c r="T912" s="170"/>
      <c r="U912" s="53"/>
      <c r="V912" s="53"/>
      <c r="W912" s="53"/>
      <c r="X912" s="171"/>
      <c r="Y912" s="170"/>
      <c r="Z912" s="170"/>
      <c r="AA912" s="170"/>
      <c r="AB912" s="170"/>
      <c r="AC912" s="170"/>
      <c r="AD912" s="53"/>
      <c r="AE912" s="53"/>
    </row>
    <row r="913">
      <c r="A913" s="53"/>
      <c r="B913" s="53"/>
      <c r="C913" s="168"/>
      <c r="D913" s="169"/>
      <c r="E913" s="170"/>
      <c r="F913" s="53"/>
      <c r="G913" s="53"/>
      <c r="H913" s="53"/>
      <c r="I913" s="171"/>
      <c r="J913" s="170"/>
      <c r="K913" s="53"/>
      <c r="L913" s="53"/>
      <c r="M913" s="53"/>
      <c r="N913" s="171"/>
      <c r="O913" s="170"/>
      <c r="P913" s="53"/>
      <c r="Q913" s="53"/>
      <c r="R913" s="53"/>
      <c r="S913" s="171"/>
      <c r="T913" s="170"/>
      <c r="U913" s="53"/>
      <c r="V913" s="53"/>
      <c r="W913" s="53"/>
      <c r="X913" s="171"/>
      <c r="Y913" s="170"/>
      <c r="Z913" s="170"/>
      <c r="AA913" s="170"/>
      <c r="AB913" s="170"/>
      <c r="AC913" s="170"/>
      <c r="AD913" s="53"/>
      <c r="AE913" s="53"/>
    </row>
    <row r="914">
      <c r="A914" s="53"/>
      <c r="B914" s="53"/>
      <c r="C914" s="168"/>
      <c r="D914" s="169"/>
      <c r="E914" s="170"/>
      <c r="F914" s="53"/>
      <c r="G914" s="53"/>
      <c r="H914" s="53"/>
      <c r="I914" s="171"/>
      <c r="J914" s="170"/>
      <c r="K914" s="53"/>
      <c r="L914" s="53"/>
      <c r="M914" s="53"/>
      <c r="N914" s="171"/>
      <c r="O914" s="170"/>
      <c r="P914" s="53"/>
      <c r="Q914" s="53"/>
      <c r="R914" s="53"/>
      <c r="S914" s="171"/>
      <c r="T914" s="170"/>
      <c r="U914" s="53"/>
      <c r="V914" s="53"/>
      <c r="W914" s="53"/>
      <c r="X914" s="171"/>
      <c r="Y914" s="170"/>
      <c r="Z914" s="170"/>
      <c r="AA914" s="170"/>
      <c r="AB914" s="170"/>
      <c r="AC914" s="170"/>
      <c r="AD914" s="53"/>
      <c r="AE914" s="53"/>
    </row>
    <row r="915">
      <c r="A915" s="53"/>
      <c r="B915" s="53"/>
      <c r="C915" s="168"/>
      <c r="D915" s="169"/>
      <c r="E915" s="170"/>
      <c r="F915" s="53"/>
      <c r="G915" s="53"/>
      <c r="H915" s="53"/>
      <c r="I915" s="171"/>
      <c r="J915" s="170"/>
      <c r="K915" s="53"/>
      <c r="L915" s="53"/>
      <c r="M915" s="53"/>
      <c r="N915" s="171"/>
      <c r="O915" s="170"/>
      <c r="P915" s="53"/>
      <c r="Q915" s="53"/>
      <c r="R915" s="53"/>
      <c r="S915" s="171"/>
      <c r="T915" s="170"/>
      <c r="U915" s="53"/>
      <c r="V915" s="53"/>
      <c r="W915" s="53"/>
      <c r="X915" s="171"/>
      <c r="Y915" s="170"/>
      <c r="Z915" s="170"/>
      <c r="AA915" s="170"/>
      <c r="AB915" s="170"/>
      <c r="AC915" s="170"/>
      <c r="AD915" s="53"/>
      <c r="AE915" s="53"/>
    </row>
    <row r="916">
      <c r="A916" s="53"/>
      <c r="B916" s="53"/>
      <c r="C916" s="168"/>
      <c r="D916" s="169"/>
      <c r="E916" s="170"/>
      <c r="F916" s="53"/>
      <c r="G916" s="53"/>
      <c r="H916" s="53"/>
      <c r="I916" s="171"/>
      <c r="J916" s="170"/>
      <c r="K916" s="53"/>
      <c r="L916" s="53"/>
      <c r="M916" s="53"/>
      <c r="N916" s="171"/>
      <c r="O916" s="170"/>
      <c r="P916" s="53"/>
      <c r="Q916" s="53"/>
      <c r="R916" s="53"/>
      <c r="S916" s="171"/>
      <c r="T916" s="170"/>
      <c r="U916" s="53"/>
      <c r="V916" s="53"/>
      <c r="W916" s="53"/>
      <c r="X916" s="171"/>
      <c r="Y916" s="170"/>
      <c r="Z916" s="170"/>
      <c r="AA916" s="170"/>
      <c r="AB916" s="170"/>
      <c r="AC916" s="170"/>
      <c r="AD916" s="53"/>
      <c r="AE916" s="53"/>
    </row>
    <row r="917">
      <c r="A917" s="53"/>
      <c r="B917" s="53"/>
      <c r="C917" s="168"/>
      <c r="D917" s="169"/>
      <c r="E917" s="170"/>
      <c r="F917" s="53"/>
      <c r="G917" s="53"/>
      <c r="H917" s="53"/>
      <c r="I917" s="171"/>
      <c r="J917" s="170"/>
      <c r="K917" s="53"/>
      <c r="L917" s="53"/>
      <c r="M917" s="53"/>
      <c r="N917" s="171"/>
      <c r="O917" s="170"/>
      <c r="P917" s="53"/>
      <c r="Q917" s="53"/>
      <c r="R917" s="53"/>
      <c r="S917" s="171"/>
      <c r="T917" s="170"/>
      <c r="U917" s="53"/>
      <c r="V917" s="53"/>
      <c r="W917" s="53"/>
      <c r="X917" s="171"/>
      <c r="Y917" s="170"/>
      <c r="Z917" s="170"/>
      <c r="AA917" s="170"/>
      <c r="AB917" s="170"/>
      <c r="AC917" s="170"/>
      <c r="AD917" s="53"/>
      <c r="AE917" s="53"/>
    </row>
    <row r="918">
      <c r="A918" s="53"/>
      <c r="B918" s="53"/>
      <c r="C918" s="168"/>
      <c r="D918" s="169"/>
      <c r="E918" s="170"/>
      <c r="F918" s="53"/>
      <c r="G918" s="53"/>
      <c r="H918" s="53"/>
      <c r="I918" s="171"/>
      <c r="J918" s="170"/>
      <c r="K918" s="53"/>
      <c r="L918" s="53"/>
      <c r="M918" s="53"/>
      <c r="N918" s="171"/>
      <c r="O918" s="170"/>
      <c r="P918" s="53"/>
      <c r="Q918" s="53"/>
      <c r="R918" s="53"/>
      <c r="S918" s="171"/>
      <c r="T918" s="170"/>
      <c r="U918" s="53"/>
      <c r="V918" s="53"/>
      <c r="W918" s="53"/>
      <c r="X918" s="171"/>
      <c r="Y918" s="170"/>
      <c r="Z918" s="170"/>
      <c r="AA918" s="170"/>
      <c r="AB918" s="170"/>
      <c r="AC918" s="170"/>
      <c r="AD918" s="53"/>
      <c r="AE918" s="53"/>
    </row>
    <row r="919">
      <c r="A919" s="53"/>
      <c r="B919" s="53"/>
      <c r="C919" s="168"/>
      <c r="D919" s="169"/>
      <c r="E919" s="170"/>
      <c r="F919" s="53"/>
      <c r="G919" s="53"/>
      <c r="H919" s="53"/>
      <c r="I919" s="171"/>
      <c r="J919" s="170"/>
      <c r="K919" s="53"/>
      <c r="L919" s="53"/>
      <c r="M919" s="53"/>
      <c r="N919" s="171"/>
      <c r="O919" s="170"/>
      <c r="P919" s="53"/>
      <c r="Q919" s="53"/>
      <c r="R919" s="53"/>
      <c r="S919" s="171"/>
      <c r="T919" s="170"/>
      <c r="U919" s="53"/>
      <c r="V919" s="53"/>
      <c r="W919" s="53"/>
      <c r="X919" s="171"/>
      <c r="Y919" s="170"/>
      <c r="Z919" s="170"/>
      <c r="AA919" s="170"/>
      <c r="AB919" s="170"/>
      <c r="AC919" s="170"/>
      <c r="AD919" s="53"/>
      <c r="AE919" s="53"/>
    </row>
    <row r="920">
      <c r="A920" s="53"/>
      <c r="B920" s="53"/>
      <c r="C920" s="168"/>
      <c r="D920" s="169"/>
      <c r="E920" s="170"/>
      <c r="F920" s="53"/>
      <c r="G920" s="53"/>
      <c r="H920" s="53"/>
      <c r="I920" s="171"/>
      <c r="J920" s="170"/>
      <c r="K920" s="53"/>
      <c r="L920" s="53"/>
      <c r="M920" s="53"/>
      <c r="N920" s="171"/>
      <c r="O920" s="170"/>
      <c r="P920" s="53"/>
      <c r="Q920" s="53"/>
      <c r="R920" s="53"/>
      <c r="S920" s="171"/>
      <c r="T920" s="170"/>
      <c r="U920" s="53"/>
      <c r="V920" s="53"/>
      <c r="W920" s="53"/>
      <c r="X920" s="171"/>
      <c r="Y920" s="170"/>
      <c r="Z920" s="170"/>
      <c r="AA920" s="170"/>
      <c r="AB920" s="170"/>
      <c r="AC920" s="170"/>
      <c r="AD920" s="53"/>
      <c r="AE920" s="53"/>
    </row>
    <row r="921">
      <c r="A921" s="53"/>
      <c r="B921" s="53"/>
      <c r="C921" s="168"/>
      <c r="D921" s="169"/>
      <c r="E921" s="170"/>
      <c r="F921" s="53"/>
      <c r="G921" s="53"/>
      <c r="H921" s="53"/>
      <c r="I921" s="171"/>
      <c r="J921" s="170"/>
      <c r="K921" s="53"/>
      <c r="L921" s="53"/>
      <c r="M921" s="53"/>
      <c r="N921" s="171"/>
      <c r="O921" s="170"/>
      <c r="P921" s="53"/>
      <c r="Q921" s="53"/>
      <c r="R921" s="53"/>
      <c r="S921" s="171"/>
      <c r="T921" s="170"/>
      <c r="U921" s="53"/>
      <c r="V921" s="53"/>
      <c r="W921" s="53"/>
      <c r="X921" s="171"/>
      <c r="Y921" s="170"/>
      <c r="Z921" s="170"/>
      <c r="AA921" s="170"/>
      <c r="AB921" s="170"/>
      <c r="AC921" s="170"/>
      <c r="AD921" s="53"/>
      <c r="AE921" s="53"/>
    </row>
    <row r="922">
      <c r="A922" s="53"/>
      <c r="B922" s="53"/>
      <c r="C922" s="168"/>
      <c r="D922" s="169"/>
      <c r="E922" s="170"/>
      <c r="F922" s="53"/>
      <c r="G922" s="53"/>
      <c r="H922" s="53"/>
      <c r="I922" s="171"/>
      <c r="J922" s="170"/>
      <c r="K922" s="53"/>
      <c r="L922" s="53"/>
      <c r="M922" s="53"/>
      <c r="N922" s="171"/>
      <c r="O922" s="170"/>
      <c r="P922" s="53"/>
      <c r="Q922" s="53"/>
      <c r="R922" s="53"/>
      <c r="S922" s="171"/>
      <c r="T922" s="170"/>
      <c r="U922" s="53"/>
      <c r="V922" s="53"/>
      <c r="W922" s="53"/>
      <c r="X922" s="171"/>
      <c r="Y922" s="170"/>
      <c r="Z922" s="170"/>
      <c r="AA922" s="170"/>
      <c r="AB922" s="170"/>
      <c r="AC922" s="170"/>
      <c r="AD922" s="53"/>
      <c r="AE922" s="53"/>
    </row>
    <row r="923">
      <c r="A923" s="53"/>
      <c r="B923" s="53"/>
      <c r="C923" s="168"/>
      <c r="D923" s="169"/>
      <c r="E923" s="170"/>
      <c r="F923" s="53"/>
      <c r="G923" s="53"/>
      <c r="H923" s="53"/>
      <c r="I923" s="171"/>
      <c r="J923" s="170"/>
      <c r="K923" s="53"/>
      <c r="L923" s="53"/>
      <c r="M923" s="53"/>
      <c r="N923" s="171"/>
      <c r="O923" s="170"/>
      <c r="P923" s="53"/>
      <c r="Q923" s="53"/>
      <c r="R923" s="53"/>
      <c r="S923" s="171"/>
      <c r="T923" s="170"/>
      <c r="U923" s="53"/>
      <c r="V923" s="53"/>
      <c r="W923" s="53"/>
      <c r="X923" s="171"/>
      <c r="Y923" s="170"/>
      <c r="Z923" s="170"/>
      <c r="AA923" s="170"/>
      <c r="AB923" s="170"/>
      <c r="AC923" s="170"/>
      <c r="AD923" s="53"/>
      <c r="AE923" s="53"/>
    </row>
    <row r="924">
      <c r="A924" s="53"/>
      <c r="B924" s="53"/>
      <c r="C924" s="168"/>
      <c r="D924" s="169"/>
      <c r="E924" s="170"/>
      <c r="F924" s="53"/>
      <c r="G924" s="53"/>
      <c r="H924" s="53"/>
      <c r="I924" s="171"/>
      <c r="J924" s="170"/>
      <c r="K924" s="53"/>
      <c r="L924" s="53"/>
      <c r="M924" s="53"/>
      <c r="N924" s="171"/>
      <c r="O924" s="170"/>
      <c r="P924" s="53"/>
      <c r="Q924" s="53"/>
      <c r="R924" s="53"/>
      <c r="S924" s="171"/>
      <c r="T924" s="170"/>
      <c r="U924" s="53"/>
      <c r="V924" s="53"/>
      <c r="W924" s="53"/>
      <c r="X924" s="171"/>
      <c r="Y924" s="170"/>
      <c r="Z924" s="170"/>
      <c r="AA924" s="170"/>
      <c r="AB924" s="170"/>
      <c r="AC924" s="170"/>
      <c r="AD924" s="53"/>
      <c r="AE924" s="53"/>
    </row>
    <row r="925">
      <c r="A925" s="53"/>
      <c r="B925" s="53"/>
      <c r="C925" s="168"/>
      <c r="D925" s="169"/>
      <c r="E925" s="170"/>
      <c r="F925" s="53"/>
      <c r="G925" s="53"/>
      <c r="H925" s="53"/>
      <c r="I925" s="171"/>
      <c r="J925" s="170"/>
      <c r="K925" s="53"/>
      <c r="L925" s="53"/>
      <c r="M925" s="53"/>
      <c r="N925" s="171"/>
      <c r="O925" s="170"/>
      <c r="P925" s="53"/>
      <c r="Q925" s="53"/>
      <c r="R925" s="53"/>
      <c r="S925" s="171"/>
      <c r="T925" s="170"/>
      <c r="U925" s="53"/>
      <c r="V925" s="53"/>
      <c r="W925" s="53"/>
      <c r="X925" s="171"/>
      <c r="Y925" s="170"/>
      <c r="Z925" s="170"/>
      <c r="AA925" s="170"/>
      <c r="AB925" s="170"/>
      <c r="AC925" s="170"/>
      <c r="AD925" s="53"/>
      <c r="AE925" s="53"/>
    </row>
    <row r="926">
      <c r="A926" s="53"/>
      <c r="B926" s="53"/>
      <c r="C926" s="168"/>
      <c r="D926" s="169"/>
      <c r="E926" s="170"/>
      <c r="F926" s="53"/>
      <c r="G926" s="53"/>
      <c r="H926" s="53"/>
      <c r="I926" s="171"/>
      <c r="J926" s="170"/>
      <c r="K926" s="53"/>
      <c r="L926" s="53"/>
      <c r="M926" s="53"/>
      <c r="N926" s="171"/>
      <c r="O926" s="170"/>
      <c r="P926" s="53"/>
      <c r="Q926" s="53"/>
      <c r="R926" s="53"/>
      <c r="S926" s="171"/>
      <c r="T926" s="170"/>
      <c r="U926" s="53"/>
      <c r="V926" s="53"/>
      <c r="W926" s="53"/>
      <c r="X926" s="171"/>
      <c r="Y926" s="170"/>
      <c r="Z926" s="170"/>
      <c r="AA926" s="170"/>
      <c r="AB926" s="170"/>
      <c r="AC926" s="170"/>
      <c r="AD926" s="53"/>
      <c r="AE926" s="53"/>
    </row>
    <row r="927">
      <c r="A927" s="53"/>
      <c r="B927" s="53"/>
      <c r="C927" s="168"/>
      <c r="D927" s="169"/>
      <c r="E927" s="170"/>
      <c r="F927" s="53"/>
      <c r="G927" s="53"/>
      <c r="H927" s="53"/>
      <c r="I927" s="171"/>
      <c r="J927" s="170"/>
      <c r="K927" s="53"/>
      <c r="L927" s="53"/>
      <c r="M927" s="53"/>
      <c r="N927" s="171"/>
      <c r="O927" s="170"/>
      <c r="P927" s="53"/>
      <c r="Q927" s="53"/>
      <c r="R927" s="53"/>
      <c r="S927" s="171"/>
      <c r="T927" s="170"/>
      <c r="U927" s="53"/>
      <c r="V927" s="53"/>
      <c r="W927" s="53"/>
      <c r="X927" s="171"/>
      <c r="Y927" s="170"/>
      <c r="Z927" s="170"/>
      <c r="AA927" s="170"/>
      <c r="AB927" s="170"/>
      <c r="AC927" s="170"/>
      <c r="AD927" s="53"/>
      <c r="AE927" s="53"/>
    </row>
    <row r="928">
      <c r="A928" s="53"/>
      <c r="B928" s="53"/>
      <c r="C928" s="168"/>
      <c r="D928" s="169"/>
      <c r="E928" s="170"/>
      <c r="F928" s="53"/>
      <c r="G928" s="53"/>
      <c r="H928" s="53"/>
      <c r="I928" s="171"/>
      <c r="J928" s="170"/>
      <c r="K928" s="53"/>
      <c r="L928" s="53"/>
      <c r="M928" s="53"/>
      <c r="N928" s="171"/>
      <c r="O928" s="170"/>
      <c r="P928" s="53"/>
      <c r="Q928" s="53"/>
      <c r="R928" s="53"/>
      <c r="S928" s="171"/>
      <c r="T928" s="170"/>
      <c r="U928" s="53"/>
      <c r="V928" s="53"/>
      <c r="W928" s="53"/>
      <c r="X928" s="171"/>
      <c r="Y928" s="170"/>
      <c r="Z928" s="170"/>
      <c r="AA928" s="170"/>
      <c r="AB928" s="170"/>
      <c r="AC928" s="170"/>
      <c r="AD928" s="53"/>
      <c r="AE928" s="53"/>
    </row>
    <row r="929">
      <c r="A929" s="53"/>
      <c r="B929" s="53"/>
      <c r="C929" s="168"/>
      <c r="D929" s="169"/>
      <c r="E929" s="170"/>
      <c r="F929" s="53"/>
      <c r="G929" s="53"/>
      <c r="H929" s="53"/>
      <c r="I929" s="171"/>
      <c r="J929" s="170"/>
      <c r="K929" s="53"/>
      <c r="L929" s="53"/>
      <c r="M929" s="53"/>
      <c r="N929" s="171"/>
      <c r="O929" s="170"/>
      <c r="P929" s="53"/>
      <c r="Q929" s="53"/>
      <c r="R929" s="53"/>
      <c r="S929" s="171"/>
      <c r="T929" s="170"/>
      <c r="U929" s="53"/>
      <c r="V929" s="53"/>
      <c r="W929" s="53"/>
      <c r="X929" s="171"/>
      <c r="Y929" s="170"/>
      <c r="Z929" s="170"/>
      <c r="AA929" s="170"/>
      <c r="AB929" s="170"/>
      <c r="AC929" s="170"/>
      <c r="AD929" s="53"/>
      <c r="AE929" s="53"/>
    </row>
    <row r="930">
      <c r="A930" s="53"/>
      <c r="B930" s="53"/>
      <c r="C930" s="168"/>
      <c r="D930" s="169"/>
      <c r="E930" s="170"/>
      <c r="F930" s="53"/>
      <c r="G930" s="53"/>
      <c r="H930" s="53"/>
      <c r="I930" s="171"/>
      <c r="J930" s="170"/>
      <c r="K930" s="53"/>
      <c r="L930" s="53"/>
      <c r="M930" s="53"/>
      <c r="N930" s="171"/>
      <c r="O930" s="170"/>
      <c r="P930" s="53"/>
      <c r="Q930" s="53"/>
      <c r="R930" s="53"/>
      <c r="S930" s="171"/>
      <c r="T930" s="170"/>
      <c r="U930" s="53"/>
      <c r="V930" s="53"/>
      <c r="W930" s="53"/>
      <c r="X930" s="171"/>
      <c r="Y930" s="170"/>
      <c r="Z930" s="170"/>
      <c r="AA930" s="170"/>
      <c r="AB930" s="170"/>
      <c r="AC930" s="170"/>
      <c r="AD930" s="53"/>
      <c r="AE930" s="53"/>
    </row>
    <row r="931">
      <c r="A931" s="53"/>
      <c r="B931" s="53"/>
      <c r="C931" s="168"/>
      <c r="D931" s="169"/>
      <c r="E931" s="170"/>
      <c r="F931" s="53"/>
      <c r="G931" s="53"/>
      <c r="H931" s="53"/>
      <c r="I931" s="171"/>
      <c r="J931" s="170"/>
      <c r="K931" s="53"/>
      <c r="L931" s="53"/>
      <c r="M931" s="53"/>
      <c r="N931" s="171"/>
      <c r="O931" s="170"/>
      <c r="P931" s="53"/>
      <c r="Q931" s="53"/>
      <c r="R931" s="53"/>
      <c r="S931" s="171"/>
      <c r="T931" s="170"/>
      <c r="U931" s="53"/>
      <c r="V931" s="53"/>
      <c r="W931" s="53"/>
      <c r="X931" s="171"/>
      <c r="Y931" s="170"/>
      <c r="Z931" s="170"/>
      <c r="AA931" s="170"/>
      <c r="AB931" s="170"/>
      <c r="AC931" s="170"/>
      <c r="AD931" s="53"/>
      <c r="AE931" s="53"/>
    </row>
    <row r="932">
      <c r="A932" s="53"/>
      <c r="B932" s="53"/>
      <c r="C932" s="168"/>
      <c r="D932" s="169"/>
      <c r="E932" s="170"/>
      <c r="F932" s="53"/>
      <c r="G932" s="53"/>
      <c r="H932" s="53"/>
      <c r="I932" s="171"/>
      <c r="J932" s="170"/>
      <c r="K932" s="53"/>
      <c r="L932" s="53"/>
      <c r="M932" s="53"/>
      <c r="N932" s="171"/>
      <c r="O932" s="170"/>
      <c r="P932" s="53"/>
      <c r="Q932" s="53"/>
      <c r="R932" s="53"/>
      <c r="S932" s="171"/>
      <c r="T932" s="170"/>
      <c r="U932" s="53"/>
      <c r="V932" s="53"/>
      <c r="W932" s="53"/>
      <c r="X932" s="171"/>
      <c r="Y932" s="170"/>
      <c r="Z932" s="170"/>
      <c r="AA932" s="170"/>
      <c r="AB932" s="170"/>
      <c r="AC932" s="170"/>
      <c r="AD932" s="53"/>
      <c r="AE932" s="53"/>
    </row>
    <row r="933">
      <c r="A933" s="53"/>
      <c r="B933" s="53"/>
      <c r="C933" s="168"/>
      <c r="D933" s="169"/>
      <c r="E933" s="170"/>
      <c r="F933" s="53"/>
      <c r="G933" s="53"/>
      <c r="H933" s="53"/>
      <c r="I933" s="171"/>
      <c r="J933" s="170"/>
      <c r="K933" s="53"/>
      <c r="L933" s="53"/>
      <c r="M933" s="53"/>
      <c r="N933" s="171"/>
      <c r="O933" s="170"/>
      <c r="P933" s="53"/>
      <c r="Q933" s="53"/>
      <c r="R933" s="53"/>
      <c r="S933" s="171"/>
      <c r="T933" s="170"/>
      <c r="U933" s="53"/>
      <c r="V933" s="53"/>
      <c r="W933" s="53"/>
      <c r="X933" s="171"/>
      <c r="Y933" s="170"/>
      <c r="Z933" s="170"/>
      <c r="AA933" s="170"/>
      <c r="AB933" s="170"/>
      <c r="AC933" s="170"/>
      <c r="AD933" s="53"/>
      <c r="AE933" s="53"/>
    </row>
    <row r="934">
      <c r="A934" s="53"/>
      <c r="B934" s="53"/>
      <c r="C934" s="168"/>
      <c r="D934" s="169"/>
      <c r="E934" s="170"/>
      <c r="F934" s="53"/>
      <c r="G934" s="53"/>
      <c r="H934" s="53"/>
      <c r="I934" s="171"/>
      <c r="J934" s="170"/>
      <c r="K934" s="53"/>
      <c r="L934" s="53"/>
      <c r="M934" s="53"/>
      <c r="N934" s="171"/>
      <c r="O934" s="170"/>
      <c r="P934" s="53"/>
      <c r="Q934" s="53"/>
      <c r="R934" s="53"/>
      <c r="S934" s="171"/>
      <c r="T934" s="170"/>
      <c r="U934" s="53"/>
      <c r="V934" s="53"/>
      <c r="W934" s="53"/>
      <c r="X934" s="171"/>
      <c r="Y934" s="170"/>
      <c r="Z934" s="170"/>
      <c r="AA934" s="170"/>
      <c r="AB934" s="170"/>
      <c r="AC934" s="170"/>
      <c r="AD934" s="53"/>
      <c r="AE934" s="53"/>
    </row>
    <row r="935">
      <c r="A935" s="53"/>
      <c r="B935" s="53"/>
      <c r="C935" s="168"/>
      <c r="D935" s="169"/>
      <c r="E935" s="170"/>
      <c r="F935" s="53"/>
      <c r="G935" s="53"/>
      <c r="H935" s="53"/>
      <c r="I935" s="171"/>
      <c r="J935" s="170"/>
      <c r="K935" s="53"/>
      <c r="L935" s="53"/>
      <c r="M935" s="53"/>
      <c r="N935" s="171"/>
      <c r="O935" s="170"/>
      <c r="P935" s="53"/>
      <c r="Q935" s="53"/>
      <c r="R935" s="53"/>
      <c r="S935" s="171"/>
      <c r="T935" s="170"/>
      <c r="U935" s="53"/>
      <c r="V935" s="53"/>
      <c r="W935" s="53"/>
      <c r="X935" s="171"/>
      <c r="Y935" s="170"/>
      <c r="Z935" s="170"/>
      <c r="AA935" s="170"/>
      <c r="AB935" s="170"/>
      <c r="AC935" s="170"/>
      <c r="AD935" s="53"/>
      <c r="AE935" s="53"/>
    </row>
    <row r="936">
      <c r="A936" s="53"/>
      <c r="B936" s="53"/>
      <c r="C936" s="168"/>
      <c r="D936" s="169"/>
      <c r="E936" s="170"/>
      <c r="F936" s="53"/>
      <c r="G936" s="53"/>
      <c r="H936" s="53"/>
      <c r="I936" s="171"/>
      <c r="J936" s="170"/>
      <c r="K936" s="53"/>
      <c r="L936" s="53"/>
      <c r="M936" s="53"/>
      <c r="N936" s="171"/>
      <c r="O936" s="170"/>
      <c r="P936" s="53"/>
      <c r="Q936" s="53"/>
      <c r="R936" s="53"/>
      <c r="S936" s="171"/>
      <c r="T936" s="170"/>
      <c r="U936" s="53"/>
      <c r="V936" s="53"/>
      <c r="W936" s="53"/>
      <c r="X936" s="171"/>
      <c r="Y936" s="170"/>
      <c r="Z936" s="170"/>
      <c r="AA936" s="170"/>
      <c r="AB936" s="170"/>
      <c r="AC936" s="170"/>
      <c r="AD936" s="53"/>
      <c r="AE936" s="53"/>
    </row>
    <row r="937">
      <c r="A937" s="53"/>
      <c r="B937" s="53"/>
      <c r="C937" s="168"/>
      <c r="D937" s="169"/>
      <c r="E937" s="170"/>
      <c r="F937" s="53"/>
      <c r="G937" s="53"/>
      <c r="H937" s="53"/>
      <c r="I937" s="171"/>
      <c r="J937" s="170"/>
      <c r="K937" s="53"/>
      <c r="L937" s="53"/>
      <c r="M937" s="53"/>
      <c r="N937" s="171"/>
      <c r="O937" s="170"/>
      <c r="P937" s="53"/>
      <c r="Q937" s="53"/>
      <c r="R937" s="53"/>
      <c r="S937" s="171"/>
      <c r="T937" s="170"/>
      <c r="U937" s="53"/>
      <c r="V937" s="53"/>
      <c r="W937" s="53"/>
      <c r="X937" s="171"/>
      <c r="Y937" s="170"/>
      <c r="Z937" s="170"/>
      <c r="AA937" s="170"/>
      <c r="AB937" s="170"/>
      <c r="AC937" s="170"/>
      <c r="AD937" s="53"/>
      <c r="AE937" s="53"/>
    </row>
    <row r="938">
      <c r="A938" s="53"/>
      <c r="B938" s="53"/>
      <c r="C938" s="168"/>
      <c r="D938" s="169"/>
      <c r="E938" s="170"/>
      <c r="F938" s="53"/>
      <c r="G938" s="53"/>
      <c r="H938" s="53"/>
      <c r="I938" s="171"/>
      <c r="J938" s="170"/>
      <c r="K938" s="53"/>
      <c r="L938" s="53"/>
      <c r="M938" s="53"/>
      <c r="N938" s="171"/>
      <c r="O938" s="170"/>
      <c r="P938" s="53"/>
      <c r="Q938" s="53"/>
      <c r="R938" s="53"/>
      <c r="S938" s="171"/>
      <c r="T938" s="170"/>
      <c r="U938" s="53"/>
      <c r="V938" s="53"/>
      <c r="W938" s="53"/>
      <c r="X938" s="171"/>
      <c r="Y938" s="170"/>
      <c r="Z938" s="170"/>
      <c r="AA938" s="170"/>
      <c r="AB938" s="170"/>
      <c r="AC938" s="170"/>
      <c r="AD938" s="53"/>
      <c r="AE938" s="53"/>
    </row>
    <row r="939">
      <c r="A939" s="53"/>
      <c r="B939" s="53"/>
      <c r="C939" s="168"/>
      <c r="D939" s="169"/>
      <c r="E939" s="170"/>
      <c r="F939" s="53"/>
      <c r="G939" s="53"/>
      <c r="H939" s="53"/>
      <c r="I939" s="171"/>
      <c r="J939" s="170"/>
      <c r="K939" s="53"/>
      <c r="L939" s="53"/>
      <c r="M939" s="53"/>
      <c r="N939" s="171"/>
      <c r="O939" s="170"/>
      <c r="P939" s="53"/>
      <c r="Q939" s="53"/>
      <c r="R939" s="53"/>
      <c r="S939" s="171"/>
      <c r="T939" s="170"/>
      <c r="U939" s="53"/>
      <c r="V939" s="53"/>
      <c r="W939" s="53"/>
      <c r="X939" s="171"/>
      <c r="Y939" s="170"/>
      <c r="Z939" s="170"/>
      <c r="AA939" s="170"/>
      <c r="AB939" s="170"/>
      <c r="AC939" s="170"/>
      <c r="AD939" s="53"/>
      <c r="AE939" s="53"/>
    </row>
    <row r="940">
      <c r="A940" s="53"/>
      <c r="B940" s="53"/>
      <c r="C940" s="168"/>
      <c r="D940" s="169"/>
      <c r="E940" s="170"/>
      <c r="F940" s="53"/>
      <c r="G940" s="53"/>
      <c r="H940" s="53"/>
      <c r="I940" s="171"/>
      <c r="J940" s="170"/>
      <c r="K940" s="53"/>
      <c r="L940" s="53"/>
      <c r="M940" s="53"/>
      <c r="N940" s="171"/>
      <c r="O940" s="170"/>
      <c r="P940" s="53"/>
      <c r="Q940" s="53"/>
      <c r="R940" s="53"/>
      <c r="S940" s="171"/>
      <c r="T940" s="170"/>
      <c r="U940" s="53"/>
      <c r="V940" s="53"/>
      <c r="W940" s="53"/>
      <c r="X940" s="171"/>
      <c r="Y940" s="170"/>
      <c r="Z940" s="170"/>
      <c r="AA940" s="170"/>
      <c r="AB940" s="170"/>
      <c r="AC940" s="170"/>
      <c r="AD940" s="53"/>
      <c r="AE940" s="53"/>
    </row>
    <row r="941">
      <c r="A941" s="53"/>
      <c r="B941" s="53"/>
      <c r="C941" s="168"/>
      <c r="D941" s="169"/>
      <c r="E941" s="170"/>
      <c r="F941" s="53"/>
      <c r="G941" s="53"/>
      <c r="H941" s="53"/>
      <c r="I941" s="171"/>
      <c r="J941" s="170"/>
      <c r="K941" s="53"/>
      <c r="L941" s="53"/>
      <c r="M941" s="53"/>
      <c r="N941" s="171"/>
      <c r="O941" s="170"/>
      <c r="P941" s="53"/>
      <c r="Q941" s="53"/>
      <c r="R941" s="53"/>
      <c r="S941" s="171"/>
      <c r="T941" s="170"/>
      <c r="U941" s="53"/>
      <c r="V941" s="53"/>
      <c r="W941" s="53"/>
      <c r="X941" s="171"/>
      <c r="Y941" s="170"/>
      <c r="Z941" s="170"/>
      <c r="AA941" s="170"/>
      <c r="AB941" s="170"/>
      <c r="AC941" s="170"/>
      <c r="AD941" s="53"/>
      <c r="AE941" s="53"/>
    </row>
    <row r="942">
      <c r="A942" s="53"/>
      <c r="B942" s="53"/>
      <c r="C942" s="168"/>
      <c r="D942" s="169"/>
      <c r="E942" s="170"/>
      <c r="F942" s="53"/>
      <c r="G942" s="53"/>
      <c r="H942" s="53"/>
      <c r="I942" s="171"/>
      <c r="J942" s="170"/>
      <c r="K942" s="53"/>
      <c r="L942" s="53"/>
      <c r="M942" s="53"/>
      <c r="N942" s="171"/>
      <c r="O942" s="170"/>
      <c r="P942" s="53"/>
      <c r="Q942" s="53"/>
      <c r="R942" s="53"/>
      <c r="S942" s="171"/>
      <c r="T942" s="170"/>
      <c r="U942" s="53"/>
      <c r="V942" s="53"/>
      <c r="W942" s="53"/>
      <c r="X942" s="171"/>
      <c r="Y942" s="170"/>
      <c r="Z942" s="170"/>
      <c r="AA942" s="170"/>
      <c r="AB942" s="170"/>
      <c r="AC942" s="170"/>
      <c r="AD942" s="53"/>
      <c r="AE942" s="53"/>
    </row>
    <row r="943">
      <c r="A943" s="53"/>
      <c r="B943" s="53"/>
      <c r="C943" s="168"/>
      <c r="D943" s="169"/>
      <c r="E943" s="170"/>
      <c r="F943" s="53"/>
      <c r="G943" s="53"/>
      <c r="H943" s="53"/>
      <c r="I943" s="171"/>
      <c r="J943" s="170"/>
      <c r="K943" s="53"/>
      <c r="L943" s="53"/>
      <c r="M943" s="53"/>
      <c r="N943" s="171"/>
      <c r="O943" s="170"/>
      <c r="P943" s="53"/>
      <c r="Q943" s="53"/>
      <c r="R943" s="53"/>
      <c r="S943" s="171"/>
      <c r="T943" s="170"/>
      <c r="U943" s="53"/>
      <c r="V943" s="53"/>
      <c r="W943" s="53"/>
      <c r="X943" s="171"/>
      <c r="Y943" s="170"/>
      <c r="Z943" s="170"/>
      <c r="AA943" s="170"/>
      <c r="AB943" s="170"/>
      <c r="AC943" s="170"/>
      <c r="AD943" s="53"/>
      <c r="AE943" s="53"/>
    </row>
    <row r="944">
      <c r="A944" s="53"/>
      <c r="B944" s="53"/>
      <c r="C944" s="168"/>
      <c r="D944" s="169"/>
      <c r="E944" s="170"/>
      <c r="F944" s="53"/>
      <c r="G944" s="53"/>
      <c r="H944" s="53"/>
      <c r="I944" s="171"/>
      <c r="J944" s="170"/>
      <c r="K944" s="53"/>
      <c r="L944" s="53"/>
      <c r="M944" s="53"/>
      <c r="N944" s="171"/>
      <c r="O944" s="170"/>
      <c r="P944" s="53"/>
      <c r="Q944" s="53"/>
      <c r="R944" s="53"/>
      <c r="S944" s="171"/>
      <c r="T944" s="170"/>
      <c r="U944" s="53"/>
      <c r="V944" s="53"/>
      <c r="W944" s="53"/>
      <c r="X944" s="171"/>
      <c r="Y944" s="170"/>
      <c r="Z944" s="170"/>
      <c r="AA944" s="170"/>
      <c r="AB944" s="170"/>
      <c r="AC944" s="170"/>
      <c r="AD944" s="53"/>
      <c r="AE944" s="53"/>
    </row>
    <row r="945">
      <c r="A945" s="53"/>
      <c r="B945" s="53"/>
      <c r="C945" s="168"/>
      <c r="D945" s="169"/>
      <c r="E945" s="170"/>
      <c r="F945" s="53"/>
      <c r="G945" s="53"/>
      <c r="H945" s="53"/>
      <c r="I945" s="171"/>
      <c r="J945" s="170"/>
      <c r="K945" s="53"/>
      <c r="L945" s="53"/>
      <c r="M945" s="53"/>
      <c r="N945" s="171"/>
      <c r="O945" s="170"/>
      <c r="P945" s="53"/>
      <c r="Q945" s="53"/>
      <c r="R945" s="53"/>
      <c r="S945" s="171"/>
      <c r="T945" s="170"/>
      <c r="U945" s="53"/>
      <c r="V945" s="53"/>
      <c r="W945" s="53"/>
      <c r="X945" s="171"/>
      <c r="Y945" s="170"/>
      <c r="Z945" s="170"/>
      <c r="AA945" s="170"/>
      <c r="AB945" s="170"/>
      <c r="AC945" s="170"/>
      <c r="AD945" s="53"/>
      <c r="AE945" s="53"/>
    </row>
    <row r="946">
      <c r="A946" s="53"/>
      <c r="B946" s="53"/>
      <c r="C946" s="168"/>
      <c r="D946" s="169"/>
      <c r="E946" s="170"/>
      <c r="F946" s="53"/>
      <c r="G946" s="53"/>
      <c r="H946" s="53"/>
      <c r="I946" s="171"/>
      <c r="J946" s="170"/>
      <c r="K946" s="53"/>
      <c r="L946" s="53"/>
      <c r="M946" s="53"/>
      <c r="N946" s="171"/>
      <c r="O946" s="170"/>
      <c r="P946" s="53"/>
      <c r="Q946" s="53"/>
      <c r="R946" s="53"/>
      <c r="S946" s="171"/>
      <c r="T946" s="170"/>
      <c r="U946" s="53"/>
      <c r="V946" s="53"/>
      <c r="W946" s="53"/>
      <c r="X946" s="171"/>
      <c r="Y946" s="170"/>
      <c r="Z946" s="170"/>
      <c r="AA946" s="170"/>
      <c r="AB946" s="170"/>
      <c r="AC946" s="170"/>
      <c r="AD946" s="53"/>
      <c r="AE946" s="53"/>
    </row>
    <row r="947">
      <c r="A947" s="53"/>
      <c r="B947" s="53"/>
      <c r="C947" s="168"/>
      <c r="D947" s="169"/>
      <c r="E947" s="170"/>
      <c r="F947" s="53"/>
      <c r="G947" s="53"/>
      <c r="H947" s="53"/>
      <c r="I947" s="171"/>
      <c r="J947" s="170"/>
      <c r="K947" s="53"/>
      <c r="L947" s="53"/>
      <c r="M947" s="53"/>
      <c r="N947" s="171"/>
      <c r="O947" s="170"/>
      <c r="P947" s="53"/>
      <c r="Q947" s="53"/>
      <c r="R947" s="53"/>
      <c r="S947" s="171"/>
      <c r="T947" s="170"/>
      <c r="U947" s="53"/>
      <c r="V947" s="53"/>
      <c r="W947" s="53"/>
      <c r="X947" s="171"/>
      <c r="Y947" s="170"/>
      <c r="Z947" s="170"/>
      <c r="AA947" s="170"/>
      <c r="AB947" s="170"/>
      <c r="AC947" s="170"/>
      <c r="AD947" s="53"/>
      <c r="AE947" s="53"/>
    </row>
    <row r="948">
      <c r="A948" s="53"/>
      <c r="B948" s="53"/>
      <c r="C948" s="168"/>
      <c r="D948" s="169"/>
      <c r="E948" s="170"/>
      <c r="F948" s="53"/>
      <c r="G948" s="53"/>
      <c r="H948" s="53"/>
      <c r="I948" s="171"/>
      <c r="J948" s="170"/>
      <c r="K948" s="53"/>
      <c r="L948" s="53"/>
      <c r="M948" s="53"/>
      <c r="N948" s="171"/>
      <c r="O948" s="170"/>
      <c r="P948" s="53"/>
      <c r="Q948" s="53"/>
      <c r="R948" s="53"/>
      <c r="S948" s="171"/>
      <c r="T948" s="170"/>
      <c r="U948" s="53"/>
      <c r="V948" s="53"/>
      <c r="W948" s="53"/>
      <c r="X948" s="171"/>
      <c r="Y948" s="170"/>
      <c r="Z948" s="170"/>
      <c r="AA948" s="170"/>
      <c r="AB948" s="170"/>
      <c r="AC948" s="170"/>
      <c r="AD948" s="53"/>
      <c r="AE948" s="53"/>
    </row>
    <row r="949">
      <c r="A949" s="53"/>
      <c r="B949" s="53"/>
      <c r="C949" s="168"/>
      <c r="D949" s="169"/>
      <c r="E949" s="170"/>
      <c r="F949" s="53"/>
      <c r="G949" s="53"/>
      <c r="H949" s="53"/>
      <c r="I949" s="171"/>
      <c r="J949" s="170"/>
      <c r="K949" s="53"/>
      <c r="L949" s="53"/>
      <c r="M949" s="53"/>
      <c r="N949" s="171"/>
      <c r="O949" s="170"/>
      <c r="P949" s="53"/>
      <c r="Q949" s="53"/>
      <c r="R949" s="53"/>
      <c r="S949" s="171"/>
      <c r="T949" s="170"/>
      <c r="U949" s="53"/>
      <c r="V949" s="53"/>
      <c r="W949" s="53"/>
      <c r="X949" s="171"/>
      <c r="Y949" s="170"/>
      <c r="Z949" s="170"/>
      <c r="AA949" s="170"/>
      <c r="AB949" s="170"/>
      <c r="AC949" s="170"/>
      <c r="AD949" s="53"/>
      <c r="AE949" s="53"/>
    </row>
    <row r="950">
      <c r="A950" s="53"/>
      <c r="B950" s="53"/>
      <c r="C950" s="168"/>
      <c r="D950" s="169"/>
      <c r="E950" s="170"/>
      <c r="F950" s="53"/>
      <c r="G950" s="53"/>
      <c r="H950" s="53"/>
      <c r="I950" s="171"/>
      <c r="J950" s="170"/>
      <c r="K950" s="53"/>
      <c r="L950" s="53"/>
      <c r="M950" s="53"/>
      <c r="N950" s="171"/>
      <c r="O950" s="170"/>
      <c r="P950" s="53"/>
      <c r="Q950" s="53"/>
      <c r="R950" s="53"/>
      <c r="S950" s="171"/>
      <c r="T950" s="170"/>
      <c r="U950" s="53"/>
      <c r="V950" s="53"/>
      <c r="W950" s="53"/>
      <c r="X950" s="171"/>
      <c r="Y950" s="170"/>
      <c r="Z950" s="170"/>
      <c r="AA950" s="170"/>
      <c r="AB950" s="170"/>
      <c r="AC950" s="170"/>
      <c r="AD950" s="53"/>
      <c r="AE950" s="53"/>
    </row>
    <row r="951">
      <c r="A951" s="53"/>
      <c r="B951" s="53"/>
      <c r="C951" s="168"/>
      <c r="D951" s="169"/>
      <c r="E951" s="170"/>
      <c r="F951" s="53"/>
      <c r="G951" s="53"/>
      <c r="H951" s="53"/>
      <c r="I951" s="171"/>
      <c r="J951" s="170"/>
      <c r="K951" s="53"/>
      <c r="L951" s="53"/>
      <c r="M951" s="53"/>
      <c r="N951" s="171"/>
      <c r="O951" s="170"/>
      <c r="P951" s="53"/>
      <c r="Q951" s="53"/>
      <c r="R951" s="53"/>
      <c r="S951" s="171"/>
      <c r="T951" s="170"/>
      <c r="U951" s="53"/>
      <c r="V951" s="53"/>
      <c r="W951" s="53"/>
      <c r="X951" s="171"/>
      <c r="Y951" s="170"/>
      <c r="Z951" s="170"/>
      <c r="AA951" s="170"/>
      <c r="AB951" s="170"/>
      <c r="AC951" s="170"/>
      <c r="AD951" s="53"/>
      <c r="AE951" s="53"/>
    </row>
    <row r="952">
      <c r="A952" s="53"/>
      <c r="B952" s="53"/>
      <c r="C952" s="168"/>
      <c r="D952" s="169"/>
      <c r="E952" s="170"/>
      <c r="F952" s="53"/>
      <c r="G952" s="53"/>
      <c r="H952" s="53"/>
      <c r="I952" s="171"/>
      <c r="J952" s="170"/>
      <c r="K952" s="53"/>
      <c r="L952" s="53"/>
      <c r="M952" s="53"/>
      <c r="N952" s="171"/>
      <c r="O952" s="170"/>
      <c r="P952" s="53"/>
      <c r="Q952" s="53"/>
      <c r="R952" s="53"/>
      <c r="S952" s="171"/>
      <c r="T952" s="170"/>
      <c r="U952" s="53"/>
      <c r="V952" s="53"/>
      <c r="W952" s="53"/>
      <c r="X952" s="171"/>
      <c r="Y952" s="170"/>
      <c r="Z952" s="170"/>
      <c r="AA952" s="170"/>
      <c r="AB952" s="170"/>
      <c r="AC952" s="170"/>
      <c r="AD952" s="53"/>
      <c r="AE952" s="53"/>
    </row>
    <row r="953">
      <c r="A953" s="53"/>
      <c r="B953" s="53"/>
      <c r="C953" s="168"/>
      <c r="D953" s="169"/>
      <c r="E953" s="170"/>
      <c r="F953" s="53"/>
      <c r="G953" s="53"/>
      <c r="H953" s="53"/>
      <c r="I953" s="171"/>
      <c r="J953" s="170"/>
      <c r="K953" s="53"/>
      <c r="L953" s="53"/>
      <c r="M953" s="53"/>
      <c r="N953" s="171"/>
      <c r="O953" s="170"/>
      <c r="P953" s="53"/>
      <c r="Q953" s="53"/>
      <c r="R953" s="53"/>
      <c r="S953" s="171"/>
      <c r="T953" s="170"/>
      <c r="U953" s="53"/>
      <c r="V953" s="53"/>
      <c r="W953" s="53"/>
      <c r="X953" s="171"/>
      <c r="Y953" s="170"/>
      <c r="Z953" s="170"/>
      <c r="AA953" s="170"/>
      <c r="AB953" s="170"/>
      <c r="AC953" s="170"/>
      <c r="AD953" s="53"/>
      <c r="AE953" s="53"/>
    </row>
    <row r="954">
      <c r="A954" s="53"/>
      <c r="B954" s="53"/>
      <c r="C954" s="168"/>
      <c r="D954" s="169"/>
      <c r="E954" s="170"/>
      <c r="F954" s="53"/>
      <c r="G954" s="53"/>
      <c r="H954" s="53"/>
      <c r="I954" s="171"/>
      <c r="J954" s="170"/>
      <c r="K954" s="53"/>
      <c r="L954" s="53"/>
      <c r="M954" s="53"/>
      <c r="N954" s="171"/>
      <c r="O954" s="170"/>
      <c r="P954" s="53"/>
      <c r="Q954" s="53"/>
      <c r="R954" s="53"/>
      <c r="S954" s="171"/>
      <c r="T954" s="170"/>
      <c r="U954" s="53"/>
      <c r="V954" s="53"/>
      <c r="W954" s="53"/>
      <c r="X954" s="171"/>
      <c r="Y954" s="170"/>
      <c r="Z954" s="170"/>
      <c r="AA954" s="170"/>
      <c r="AB954" s="170"/>
      <c r="AC954" s="170"/>
      <c r="AD954" s="53"/>
      <c r="AE954" s="53"/>
    </row>
    <row r="955">
      <c r="A955" s="53"/>
      <c r="B955" s="53"/>
      <c r="C955" s="168"/>
      <c r="D955" s="169"/>
      <c r="E955" s="170"/>
      <c r="F955" s="53"/>
      <c r="G955" s="53"/>
      <c r="H955" s="53"/>
      <c r="I955" s="171"/>
      <c r="J955" s="170"/>
      <c r="K955" s="53"/>
      <c r="L955" s="53"/>
      <c r="M955" s="53"/>
      <c r="N955" s="171"/>
      <c r="O955" s="170"/>
      <c r="P955" s="53"/>
      <c r="Q955" s="53"/>
      <c r="R955" s="53"/>
      <c r="S955" s="171"/>
      <c r="T955" s="170"/>
      <c r="U955" s="53"/>
      <c r="V955" s="53"/>
      <c r="W955" s="53"/>
      <c r="X955" s="171"/>
      <c r="Y955" s="170"/>
      <c r="Z955" s="170"/>
      <c r="AA955" s="170"/>
      <c r="AB955" s="170"/>
      <c r="AC955" s="170"/>
      <c r="AD955" s="53"/>
      <c r="AE955" s="53"/>
    </row>
    <row r="956">
      <c r="A956" s="53"/>
      <c r="B956" s="53"/>
      <c r="C956" s="168"/>
      <c r="D956" s="169"/>
      <c r="E956" s="170"/>
      <c r="F956" s="53"/>
      <c r="G956" s="53"/>
      <c r="H956" s="53"/>
      <c r="I956" s="171"/>
      <c r="J956" s="170"/>
      <c r="K956" s="53"/>
      <c r="L956" s="53"/>
      <c r="M956" s="53"/>
      <c r="N956" s="171"/>
      <c r="O956" s="170"/>
      <c r="P956" s="53"/>
      <c r="Q956" s="53"/>
      <c r="R956" s="53"/>
      <c r="S956" s="171"/>
      <c r="T956" s="170"/>
      <c r="U956" s="53"/>
      <c r="V956" s="53"/>
      <c r="W956" s="53"/>
      <c r="X956" s="171"/>
      <c r="Y956" s="170"/>
      <c r="Z956" s="170"/>
      <c r="AA956" s="170"/>
      <c r="AB956" s="170"/>
      <c r="AC956" s="170"/>
      <c r="AD956" s="53"/>
      <c r="AE956" s="53"/>
    </row>
    <row r="957">
      <c r="A957" s="53"/>
      <c r="B957" s="53"/>
      <c r="C957" s="168"/>
      <c r="D957" s="169"/>
      <c r="E957" s="170"/>
      <c r="F957" s="53"/>
      <c r="G957" s="53"/>
      <c r="H957" s="53"/>
      <c r="I957" s="171"/>
      <c r="J957" s="170"/>
      <c r="K957" s="53"/>
      <c r="L957" s="53"/>
      <c r="M957" s="53"/>
      <c r="N957" s="171"/>
      <c r="O957" s="170"/>
      <c r="P957" s="53"/>
      <c r="Q957" s="53"/>
      <c r="R957" s="53"/>
      <c r="S957" s="171"/>
      <c r="T957" s="170"/>
      <c r="U957" s="53"/>
      <c r="V957" s="53"/>
      <c r="W957" s="53"/>
      <c r="X957" s="171"/>
      <c r="Y957" s="170"/>
      <c r="Z957" s="170"/>
      <c r="AA957" s="170"/>
      <c r="AB957" s="170"/>
      <c r="AC957" s="170"/>
      <c r="AD957" s="53"/>
      <c r="AE957" s="53"/>
    </row>
    <row r="958">
      <c r="A958" s="53"/>
      <c r="B958" s="53"/>
      <c r="C958" s="168"/>
      <c r="D958" s="169"/>
      <c r="E958" s="170"/>
      <c r="F958" s="53"/>
      <c r="G958" s="53"/>
      <c r="H958" s="53"/>
      <c r="I958" s="171"/>
      <c r="J958" s="170"/>
      <c r="K958" s="53"/>
      <c r="L958" s="53"/>
      <c r="M958" s="53"/>
      <c r="N958" s="171"/>
      <c r="O958" s="170"/>
      <c r="P958" s="53"/>
      <c r="Q958" s="53"/>
      <c r="R958" s="53"/>
      <c r="S958" s="171"/>
      <c r="T958" s="170"/>
      <c r="U958" s="53"/>
      <c r="V958" s="53"/>
      <c r="W958" s="53"/>
      <c r="X958" s="171"/>
      <c r="Y958" s="170"/>
      <c r="Z958" s="170"/>
      <c r="AA958" s="170"/>
      <c r="AB958" s="170"/>
      <c r="AC958" s="170"/>
      <c r="AD958" s="53"/>
      <c r="AE958" s="53"/>
    </row>
    <row r="959">
      <c r="A959" s="53"/>
      <c r="B959" s="53"/>
      <c r="C959" s="168"/>
      <c r="D959" s="169"/>
      <c r="E959" s="170"/>
      <c r="F959" s="53"/>
      <c r="G959" s="53"/>
      <c r="H959" s="53"/>
      <c r="I959" s="171"/>
      <c r="J959" s="170"/>
      <c r="K959" s="53"/>
      <c r="L959" s="53"/>
      <c r="M959" s="53"/>
      <c r="N959" s="171"/>
      <c r="O959" s="170"/>
      <c r="P959" s="53"/>
      <c r="Q959" s="53"/>
      <c r="R959" s="53"/>
      <c r="S959" s="171"/>
      <c r="T959" s="170"/>
      <c r="U959" s="53"/>
      <c r="V959" s="53"/>
      <c r="W959" s="53"/>
      <c r="X959" s="171"/>
      <c r="Y959" s="170"/>
      <c r="Z959" s="170"/>
      <c r="AA959" s="170"/>
      <c r="AB959" s="170"/>
      <c r="AC959" s="170"/>
      <c r="AD959" s="53"/>
      <c r="AE959" s="53"/>
    </row>
    <row r="960">
      <c r="A960" s="53"/>
      <c r="B960" s="53"/>
      <c r="C960" s="168"/>
      <c r="D960" s="169"/>
      <c r="E960" s="170"/>
      <c r="F960" s="53"/>
      <c r="G960" s="53"/>
      <c r="H960" s="53"/>
      <c r="I960" s="171"/>
      <c r="J960" s="170"/>
      <c r="K960" s="53"/>
      <c r="L960" s="53"/>
      <c r="M960" s="53"/>
      <c r="N960" s="171"/>
      <c r="O960" s="170"/>
      <c r="P960" s="53"/>
      <c r="Q960" s="53"/>
      <c r="R960" s="53"/>
      <c r="S960" s="171"/>
      <c r="T960" s="170"/>
      <c r="U960" s="53"/>
      <c r="V960" s="53"/>
      <c r="W960" s="53"/>
      <c r="X960" s="171"/>
      <c r="Y960" s="170"/>
      <c r="Z960" s="170"/>
      <c r="AA960" s="170"/>
      <c r="AB960" s="170"/>
      <c r="AC960" s="170"/>
      <c r="AD960" s="53"/>
      <c r="AE960" s="53"/>
    </row>
    <row r="961">
      <c r="A961" s="53"/>
      <c r="B961" s="53"/>
      <c r="C961" s="168"/>
      <c r="D961" s="169"/>
      <c r="E961" s="170"/>
      <c r="F961" s="53"/>
      <c r="G961" s="53"/>
      <c r="H961" s="53"/>
      <c r="I961" s="171"/>
      <c r="J961" s="170"/>
      <c r="K961" s="53"/>
      <c r="L961" s="53"/>
      <c r="M961" s="53"/>
      <c r="N961" s="171"/>
      <c r="O961" s="170"/>
      <c r="P961" s="53"/>
      <c r="Q961" s="53"/>
      <c r="R961" s="53"/>
      <c r="S961" s="171"/>
      <c r="T961" s="170"/>
      <c r="U961" s="53"/>
      <c r="V961" s="53"/>
      <c r="W961" s="53"/>
      <c r="X961" s="171"/>
      <c r="Y961" s="170"/>
      <c r="Z961" s="170"/>
      <c r="AA961" s="170"/>
      <c r="AB961" s="170"/>
      <c r="AC961" s="170"/>
      <c r="AD961" s="53"/>
      <c r="AE961" s="53"/>
    </row>
    <row r="962">
      <c r="A962" s="53"/>
      <c r="B962" s="53"/>
      <c r="C962" s="168"/>
      <c r="D962" s="169"/>
      <c r="E962" s="170"/>
      <c r="F962" s="53"/>
      <c r="G962" s="53"/>
      <c r="H962" s="53"/>
      <c r="I962" s="171"/>
      <c r="J962" s="170"/>
      <c r="K962" s="53"/>
      <c r="L962" s="53"/>
      <c r="M962" s="53"/>
      <c r="N962" s="171"/>
      <c r="O962" s="170"/>
      <c r="P962" s="53"/>
      <c r="Q962" s="53"/>
      <c r="R962" s="53"/>
      <c r="S962" s="171"/>
      <c r="T962" s="170"/>
      <c r="U962" s="53"/>
      <c r="V962" s="53"/>
      <c r="W962" s="53"/>
      <c r="X962" s="171"/>
      <c r="Y962" s="170"/>
      <c r="Z962" s="170"/>
      <c r="AA962" s="170"/>
      <c r="AB962" s="170"/>
      <c r="AC962" s="170"/>
      <c r="AD962" s="53"/>
      <c r="AE962" s="53"/>
    </row>
    <row r="963">
      <c r="A963" s="53"/>
      <c r="B963" s="53"/>
      <c r="C963" s="168"/>
      <c r="D963" s="169"/>
      <c r="E963" s="170"/>
      <c r="F963" s="53"/>
      <c r="G963" s="53"/>
      <c r="H963" s="53"/>
      <c r="I963" s="171"/>
      <c r="J963" s="170"/>
      <c r="K963" s="53"/>
      <c r="L963" s="53"/>
      <c r="M963" s="53"/>
      <c r="N963" s="171"/>
      <c r="O963" s="170"/>
      <c r="P963" s="53"/>
      <c r="Q963" s="53"/>
      <c r="R963" s="53"/>
      <c r="S963" s="171"/>
      <c r="T963" s="170"/>
      <c r="U963" s="53"/>
      <c r="V963" s="53"/>
      <c r="W963" s="53"/>
      <c r="X963" s="171"/>
      <c r="Y963" s="170"/>
      <c r="Z963" s="170"/>
      <c r="AA963" s="170"/>
      <c r="AB963" s="170"/>
      <c r="AC963" s="170"/>
      <c r="AD963" s="53"/>
      <c r="AE963" s="53"/>
    </row>
    <row r="964">
      <c r="A964" s="53"/>
      <c r="B964" s="53"/>
      <c r="C964" s="168"/>
      <c r="D964" s="169"/>
      <c r="E964" s="170"/>
      <c r="F964" s="53"/>
      <c r="G964" s="53"/>
      <c r="H964" s="53"/>
      <c r="I964" s="171"/>
      <c r="J964" s="170"/>
      <c r="K964" s="53"/>
      <c r="L964" s="53"/>
      <c r="M964" s="53"/>
      <c r="N964" s="171"/>
      <c r="O964" s="170"/>
      <c r="P964" s="53"/>
      <c r="Q964" s="53"/>
      <c r="R964" s="53"/>
      <c r="S964" s="171"/>
      <c r="T964" s="170"/>
      <c r="U964" s="53"/>
      <c r="V964" s="53"/>
      <c r="W964" s="53"/>
      <c r="X964" s="171"/>
      <c r="Y964" s="170"/>
      <c r="Z964" s="170"/>
      <c r="AA964" s="170"/>
      <c r="AB964" s="170"/>
      <c r="AC964" s="170"/>
      <c r="AD964" s="53"/>
      <c r="AE964" s="53"/>
    </row>
    <row r="965">
      <c r="A965" s="53"/>
      <c r="B965" s="53"/>
      <c r="C965" s="168"/>
      <c r="D965" s="169"/>
      <c r="E965" s="170"/>
      <c r="F965" s="53"/>
      <c r="G965" s="53"/>
      <c r="H965" s="53"/>
      <c r="I965" s="171"/>
      <c r="J965" s="170"/>
      <c r="K965" s="53"/>
      <c r="L965" s="53"/>
      <c r="M965" s="53"/>
      <c r="N965" s="171"/>
      <c r="O965" s="170"/>
      <c r="P965" s="53"/>
      <c r="Q965" s="53"/>
      <c r="R965" s="53"/>
      <c r="S965" s="171"/>
      <c r="T965" s="170"/>
      <c r="U965" s="53"/>
      <c r="V965" s="53"/>
      <c r="W965" s="53"/>
      <c r="X965" s="171"/>
      <c r="Y965" s="170"/>
      <c r="Z965" s="170"/>
      <c r="AA965" s="170"/>
      <c r="AB965" s="170"/>
      <c r="AC965" s="170"/>
      <c r="AD965" s="53"/>
      <c r="AE965" s="53"/>
    </row>
    <row r="966">
      <c r="A966" s="53"/>
      <c r="B966" s="53"/>
      <c r="C966" s="168"/>
      <c r="D966" s="169"/>
      <c r="E966" s="170"/>
      <c r="F966" s="53"/>
      <c r="G966" s="53"/>
      <c r="H966" s="53"/>
      <c r="I966" s="171"/>
      <c r="J966" s="170"/>
      <c r="K966" s="53"/>
      <c r="L966" s="53"/>
      <c r="M966" s="53"/>
      <c r="N966" s="171"/>
      <c r="O966" s="170"/>
      <c r="P966" s="53"/>
      <c r="Q966" s="53"/>
      <c r="R966" s="53"/>
      <c r="S966" s="171"/>
      <c r="T966" s="170"/>
      <c r="U966" s="53"/>
      <c r="V966" s="53"/>
      <c r="W966" s="53"/>
      <c r="X966" s="171"/>
      <c r="Y966" s="170"/>
      <c r="Z966" s="170"/>
      <c r="AA966" s="170"/>
      <c r="AB966" s="170"/>
      <c r="AC966" s="170"/>
      <c r="AD966" s="53"/>
      <c r="AE966" s="53"/>
    </row>
    <row r="967">
      <c r="A967" s="53"/>
      <c r="B967" s="53"/>
      <c r="C967" s="168"/>
      <c r="D967" s="169"/>
      <c r="E967" s="170"/>
      <c r="F967" s="53"/>
      <c r="G967" s="53"/>
      <c r="H967" s="53"/>
      <c r="I967" s="171"/>
      <c r="J967" s="170"/>
      <c r="K967" s="53"/>
      <c r="L967" s="53"/>
      <c r="M967" s="53"/>
      <c r="N967" s="171"/>
      <c r="O967" s="170"/>
      <c r="P967" s="53"/>
      <c r="Q967" s="53"/>
      <c r="R967" s="53"/>
      <c r="S967" s="171"/>
      <c r="T967" s="170"/>
      <c r="U967" s="53"/>
      <c r="V967" s="53"/>
      <c r="W967" s="53"/>
      <c r="X967" s="171"/>
      <c r="Y967" s="170"/>
      <c r="Z967" s="170"/>
      <c r="AA967" s="170"/>
      <c r="AB967" s="170"/>
      <c r="AC967" s="170"/>
      <c r="AD967" s="53"/>
      <c r="AE967" s="53"/>
    </row>
    <row r="968">
      <c r="A968" s="53"/>
      <c r="B968" s="53"/>
      <c r="C968" s="168"/>
      <c r="D968" s="169"/>
      <c r="E968" s="170"/>
      <c r="F968" s="53"/>
      <c r="G968" s="53"/>
      <c r="H968" s="53"/>
      <c r="I968" s="171"/>
      <c r="J968" s="170"/>
      <c r="K968" s="53"/>
      <c r="L968" s="53"/>
      <c r="M968" s="53"/>
      <c r="N968" s="171"/>
      <c r="O968" s="170"/>
      <c r="P968" s="53"/>
      <c r="Q968" s="53"/>
      <c r="R968" s="53"/>
      <c r="S968" s="171"/>
      <c r="T968" s="170"/>
      <c r="U968" s="53"/>
      <c r="V968" s="53"/>
      <c r="W968" s="53"/>
      <c r="X968" s="171"/>
      <c r="Y968" s="170"/>
      <c r="Z968" s="170"/>
      <c r="AA968" s="170"/>
      <c r="AB968" s="170"/>
      <c r="AC968" s="170"/>
      <c r="AD968" s="53"/>
      <c r="AE968" s="53"/>
    </row>
    <row r="969">
      <c r="A969" s="53"/>
      <c r="B969" s="53"/>
      <c r="C969" s="168"/>
      <c r="D969" s="169"/>
      <c r="E969" s="170"/>
      <c r="F969" s="53"/>
      <c r="G969" s="53"/>
      <c r="H969" s="53"/>
      <c r="I969" s="171"/>
      <c r="J969" s="170"/>
      <c r="K969" s="53"/>
      <c r="L969" s="53"/>
      <c r="M969" s="53"/>
      <c r="N969" s="171"/>
      <c r="O969" s="170"/>
      <c r="P969" s="53"/>
      <c r="Q969" s="53"/>
      <c r="R969" s="53"/>
      <c r="S969" s="171"/>
      <c r="T969" s="170"/>
      <c r="U969" s="53"/>
      <c r="V969" s="53"/>
      <c r="W969" s="53"/>
      <c r="X969" s="171"/>
      <c r="Y969" s="170"/>
      <c r="Z969" s="170"/>
      <c r="AA969" s="170"/>
      <c r="AB969" s="170"/>
      <c r="AC969" s="170"/>
      <c r="AD969" s="53"/>
      <c r="AE969" s="53"/>
    </row>
    <row r="970">
      <c r="A970" s="53"/>
      <c r="B970" s="53"/>
      <c r="C970" s="168"/>
      <c r="D970" s="169"/>
      <c r="E970" s="170"/>
      <c r="F970" s="53"/>
      <c r="G970" s="53"/>
      <c r="H970" s="53"/>
      <c r="I970" s="171"/>
      <c r="J970" s="170"/>
      <c r="K970" s="53"/>
      <c r="L970" s="53"/>
      <c r="M970" s="53"/>
      <c r="N970" s="171"/>
      <c r="O970" s="170"/>
      <c r="P970" s="53"/>
      <c r="Q970" s="53"/>
      <c r="R970" s="53"/>
      <c r="S970" s="171"/>
      <c r="T970" s="170"/>
      <c r="U970" s="53"/>
      <c r="V970" s="53"/>
      <c r="W970" s="53"/>
      <c r="X970" s="171"/>
      <c r="Y970" s="170"/>
      <c r="Z970" s="170"/>
      <c r="AA970" s="170"/>
      <c r="AB970" s="170"/>
      <c r="AC970" s="170"/>
      <c r="AD970" s="53"/>
      <c r="AE970" s="53"/>
    </row>
    <row r="971">
      <c r="A971" s="53"/>
      <c r="B971" s="53"/>
      <c r="C971" s="168"/>
      <c r="D971" s="169"/>
      <c r="E971" s="170"/>
      <c r="F971" s="53"/>
      <c r="G971" s="53"/>
      <c r="H971" s="53"/>
      <c r="I971" s="171"/>
      <c r="J971" s="170"/>
      <c r="K971" s="53"/>
      <c r="L971" s="53"/>
      <c r="M971" s="53"/>
      <c r="N971" s="171"/>
      <c r="O971" s="170"/>
      <c r="P971" s="53"/>
      <c r="Q971" s="53"/>
      <c r="R971" s="53"/>
      <c r="S971" s="171"/>
      <c r="T971" s="170"/>
      <c r="U971" s="53"/>
      <c r="V971" s="53"/>
      <c r="W971" s="53"/>
      <c r="X971" s="171"/>
      <c r="Y971" s="170"/>
      <c r="Z971" s="170"/>
      <c r="AA971" s="170"/>
      <c r="AB971" s="170"/>
      <c r="AC971" s="170"/>
      <c r="AD971" s="53"/>
      <c r="AE971" s="53"/>
    </row>
    <row r="972">
      <c r="A972" s="53"/>
      <c r="B972" s="53"/>
      <c r="C972" s="168"/>
      <c r="D972" s="169"/>
      <c r="E972" s="170"/>
      <c r="F972" s="53"/>
      <c r="G972" s="53"/>
      <c r="H972" s="53"/>
      <c r="I972" s="171"/>
      <c r="J972" s="170"/>
      <c r="K972" s="53"/>
      <c r="L972" s="53"/>
      <c r="M972" s="53"/>
      <c r="N972" s="171"/>
      <c r="O972" s="170"/>
      <c r="P972" s="53"/>
      <c r="Q972" s="53"/>
      <c r="R972" s="53"/>
      <c r="S972" s="171"/>
      <c r="T972" s="170"/>
      <c r="U972" s="53"/>
      <c r="V972" s="53"/>
      <c r="W972" s="53"/>
      <c r="X972" s="171"/>
      <c r="Y972" s="170"/>
      <c r="Z972" s="170"/>
      <c r="AA972" s="170"/>
      <c r="AB972" s="170"/>
      <c r="AC972" s="170"/>
      <c r="AD972" s="53"/>
      <c r="AE972" s="53"/>
    </row>
    <row r="973">
      <c r="A973" s="53"/>
      <c r="B973" s="53"/>
      <c r="C973" s="168"/>
      <c r="D973" s="169"/>
      <c r="E973" s="170"/>
      <c r="F973" s="53"/>
      <c r="G973" s="53"/>
      <c r="H973" s="53"/>
      <c r="I973" s="171"/>
      <c r="J973" s="170"/>
      <c r="K973" s="53"/>
      <c r="L973" s="53"/>
      <c r="M973" s="53"/>
      <c r="N973" s="171"/>
      <c r="O973" s="170"/>
      <c r="P973" s="53"/>
      <c r="Q973" s="53"/>
      <c r="R973" s="53"/>
      <c r="S973" s="171"/>
      <c r="T973" s="170"/>
      <c r="U973" s="53"/>
      <c r="V973" s="53"/>
      <c r="W973" s="53"/>
      <c r="X973" s="171"/>
      <c r="Y973" s="170"/>
      <c r="Z973" s="170"/>
      <c r="AA973" s="170"/>
      <c r="AB973" s="170"/>
      <c r="AC973" s="170"/>
      <c r="AD973" s="53"/>
      <c r="AE973" s="53"/>
    </row>
    <row r="974">
      <c r="A974" s="53"/>
      <c r="B974" s="53"/>
      <c r="C974" s="168"/>
      <c r="D974" s="169"/>
      <c r="E974" s="170"/>
      <c r="F974" s="53"/>
      <c r="G974" s="53"/>
      <c r="H974" s="53"/>
      <c r="I974" s="171"/>
      <c r="J974" s="170"/>
      <c r="K974" s="53"/>
      <c r="L974" s="53"/>
      <c r="M974" s="53"/>
      <c r="N974" s="171"/>
      <c r="O974" s="170"/>
      <c r="P974" s="53"/>
      <c r="Q974" s="53"/>
      <c r="R974" s="53"/>
      <c r="S974" s="171"/>
      <c r="T974" s="170"/>
      <c r="U974" s="53"/>
      <c r="V974" s="53"/>
      <c r="W974" s="53"/>
      <c r="X974" s="171"/>
      <c r="Y974" s="170"/>
      <c r="Z974" s="170"/>
      <c r="AA974" s="170"/>
      <c r="AB974" s="170"/>
      <c r="AC974" s="170"/>
      <c r="AD974" s="53"/>
      <c r="AE974" s="53"/>
    </row>
    <row r="975">
      <c r="A975" s="53"/>
      <c r="B975" s="53"/>
      <c r="C975" s="168"/>
      <c r="D975" s="169"/>
      <c r="E975" s="170"/>
      <c r="F975" s="53"/>
      <c r="G975" s="53"/>
      <c r="H975" s="53"/>
      <c r="I975" s="171"/>
      <c r="J975" s="170"/>
      <c r="K975" s="53"/>
      <c r="L975" s="53"/>
      <c r="M975" s="53"/>
      <c r="N975" s="171"/>
      <c r="O975" s="170"/>
      <c r="P975" s="53"/>
      <c r="Q975" s="53"/>
      <c r="R975" s="53"/>
      <c r="S975" s="171"/>
      <c r="T975" s="170"/>
      <c r="U975" s="53"/>
      <c r="V975" s="53"/>
      <c r="W975" s="53"/>
      <c r="X975" s="171"/>
      <c r="Y975" s="170"/>
      <c r="Z975" s="170"/>
      <c r="AA975" s="170"/>
      <c r="AB975" s="170"/>
      <c r="AC975" s="170"/>
      <c r="AD975" s="53"/>
      <c r="AE975" s="53"/>
    </row>
    <row r="976">
      <c r="A976" s="53"/>
      <c r="B976" s="53"/>
      <c r="C976" s="168"/>
      <c r="D976" s="169"/>
      <c r="E976" s="170"/>
      <c r="F976" s="53"/>
      <c r="G976" s="53"/>
      <c r="H976" s="53"/>
      <c r="I976" s="171"/>
      <c r="J976" s="170"/>
      <c r="K976" s="53"/>
      <c r="L976" s="53"/>
      <c r="M976" s="53"/>
      <c r="N976" s="171"/>
      <c r="O976" s="170"/>
      <c r="P976" s="53"/>
      <c r="Q976" s="53"/>
      <c r="R976" s="53"/>
      <c r="S976" s="171"/>
      <c r="T976" s="170"/>
      <c r="U976" s="53"/>
      <c r="V976" s="53"/>
      <c r="W976" s="53"/>
      <c r="X976" s="171"/>
      <c r="Y976" s="170"/>
      <c r="Z976" s="170"/>
      <c r="AA976" s="170"/>
      <c r="AB976" s="170"/>
      <c r="AC976" s="170"/>
      <c r="AD976" s="53"/>
      <c r="AE976" s="53"/>
    </row>
    <row r="977">
      <c r="A977" s="53"/>
      <c r="B977" s="53"/>
      <c r="C977" s="168"/>
      <c r="D977" s="169"/>
      <c r="E977" s="170"/>
      <c r="F977" s="53"/>
      <c r="G977" s="53"/>
      <c r="H977" s="53"/>
      <c r="I977" s="171"/>
      <c r="J977" s="170"/>
      <c r="K977" s="53"/>
      <c r="L977" s="53"/>
      <c r="M977" s="53"/>
      <c r="N977" s="171"/>
      <c r="O977" s="170"/>
      <c r="P977" s="53"/>
      <c r="Q977" s="53"/>
      <c r="R977" s="53"/>
      <c r="S977" s="171"/>
      <c r="T977" s="170"/>
      <c r="U977" s="53"/>
      <c r="V977" s="53"/>
      <c r="W977" s="53"/>
      <c r="X977" s="171"/>
      <c r="Y977" s="170"/>
      <c r="Z977" s="170"/>
      <c r="AA977" s="170"/>
      <c r="AB977" s="170"/>
      <c r="AC977" s="170"/>
      <c r="AD977" s="53"/>
      <c r="AE977" s="53"/>
    </row>
    <row r="978">
      <c r="A978" s="53"/>
      <c r="B978" s="53"/>
      <c r="C978" s="168"/>
      <c r="D978" s="169"/>
      <c r="E978" s="170"/>
      <c r="F978" s="53"/>
      <c r="G978" s="53"/>
      <c r="H978" s="53"/>
      <c r="I978" s="171"/>
      <c r="J978" s="170"/>
      <c r="K978" s="53"/>
      <c r="L978" s="53"/>
      <c r="M978" s="53"/>
      <c r="N978" s="171"/>
      <c r="O978" s="170"/>
      <c r="P978" s="53"/>
      <c r="Q978" s="53"/>
      <c r="R978" s="53"/>
      <c r="S978" s="171"/>
      <c r="T978" s="170"/>
      <c r="U978" s="53"/>
      <c r="V978" s="53"/>
      <c r="W978" s="53"/>
      <c r="X978" s="171"/>
      <c r="Y978" s="170"/>
      <c r="Z978" s="170"/>
      <c r="AA978" s="170"/>
      <c r="AB978" s="170"/>
      <c r="AC978" s="170"/>
      <c r="AD978" s="53"/>
      <c r="AE978" s="53"/>
    </row>
    <row r="979">
      <c r="A979" s="53"/>
      <c r="B979" s="53"/>
      <c r="C979" s="168"/>
      <c r="D979" s="169"/>
      <c r="E979" s="170"/>
      <c r="F979" s="53"/>
      <c r="G979" s="53"/>
      <c r="H979" s="53"/>
      <c r="I979" s="171"/>
      <c r="J979" s="170"/>
      <c r="K979" s="53"/>
      <c r="L979" s="53"/>
      <c r="M979" s="53"/>
      <c r="N979" s="171"/>
      <c r="O979" s="170"/>
      <c r="P979" s="53"/>
      <c r="Q979" s="53"/>
      <c r="R979" s="53"/>
      <c r="S979" s="171"/>
      <c r="T979" s="170"/>
      <c r="U979" s="53"/>
      <c r="V979" s="53"/>
      <c r="W979" s="53"/>
      <c r="X979" s="171"/>
      <c r="Y979" s="170"/>
      <c r="Z979" s="170"/>
      <c r="AA979" s="170"/>
      <c r="AB979" s="170"/>
      <c r="AC979" s="170"/>
      <c r="AD979" s="53"/>
      <c r="AE979" s="53"/>
    </row>
    <row r="980">
      <c r="A980" s="53"/>
      <c r="B980" s="53"/>
      <c r="C980" s="168"/>
      <c r="D980" s="169"/>
      <c r="E980" s="170"/>
      <c r="F980" s="53"/>
      <c r="G980" s="53"/>
      <c r="H980" s="53"/>
      <c r="I980" s="171"/>
      <c r="J980" s="170"/>
      <c r="K980" s="53"/>
      <c r="L980" s="53"/>
      <c r="M980" s="53"/>
      <c r="N980" s="171"/>
      <c r="O980" s="170"/>
      <c r="P980" s="53"/>
      <c r="Q980" s="53"/>
      <c r="R980" s="53"/>
      <c r="S980" s="171"/>
      <c r="T980" s="170"/>
      <c r="U980" s="53"/>
      <c r="V980" s="53"/>
      <c r="W980" s="53"/>
      <c r="X980" s="171"/>
      <c r="Y980" s="170"/>
      <c r="Z980" s="170"/>
      <c r="AA980" s="170"/>
      <c r="AB980" s="170"/>
      <c r="AC980" s="170"/>
      <c r="AD980" s="53"/>
      <c r="AE980" s="53"/>
    </row>
    <row r="981">
      <c r="A981" s="53"/>
      <c r="B981" s="53"/>
      <c r="C981" s="168"/>
      <c r="D981" s="169"/>
      <c r="E981" s="170"/>
      <c r="F981" s="53"/>
      <c r="G981" s="53"/>
      <c r="H981" s="53"/>
      <c r="I981" s="171"/>
      <c r="J981" s="170"/>
      <c r="K981" s="53"/>
      <c r="L981" s="53"/>
      <c r="M981" s="53"/>
      <c r="N981" s="171"/>
      <c r="O981" s="170"/>
      <c r="P981" s="53"/>
      <c r="Q981" s="53"/>
      <c r="R981" s="53"/>
      <c r="S981" s="171"/>
      <c r="T981" s="170"/>
      <c r="U981" s="53"/>
      <c r="V981" s="53"/>
      <c r="W981" s="53"/>
      <c r="X981" s="171"/>
      <c r="Y981" s="170"/>
      <c r="Z981" s="170"/>
      <c r="AA981" s="170"/>
      <c r="AB981" s="170"/>
      <c r="AC981" s="170"/>
      <c r="AD981" s="53"/>
      <c r="AE981" s="53"/>
    </row>
    <row r="982">
      <c r="A982" s="53"/>
      <c r="B982" s="53"/>
      <c r="C982" s="168"/>
      <c r="D982" s="169"/>
      <c r="E982" s="170"/>
      <c r="F982" s="53"/>
      <c r="G982" s="53"/>
      <c r="H982" s="53"/>
      <c r="I982" s="171"/>
      <c r="J982" s="170"/>
      <c r="K982" s="53"/>
      <c r="L982" s="53"/>
      <c r="M982" s="53"/>
      <c r="N982" s="171"/>
      <c r="O982" s="170"/>
      <c r="P982" s="53"/>
      <c r="Q982" s="53"/>
      <c r="R982" s="53"/>
      <c r="S982" s="171"/>
      <c r="T982" s="170"/>
      <c r="U982" s="53"/>
      <c r="V982" s="53"/>
      <c r="W982" s="53"/>
      <c r="X982" s="171"/>
      <c r="Y982" s="170"/>
      <c r="Z982" s="170"/>
      <c r="AA982" s="170"/>
      <c r="AB982" s="170"/>
      <c r="AC982" s="170"/>
      <c r="AD982" s="53"/>
      <c r="AE982" s="53"/>
    </row>
    <row r="983">
      <c r="A983" s="53"/>
      <c r="B983" s="53"/>
      <c r="C983" s="168"/>
      <c r="D983" s="169"/>
      <c r="E983" s="170"/>
      <c r="F983" s="53"/>
      <c r="G983" s="53"/>
      <c r="H983" s="53"/>
      <c r="I983" s="171"/>
      <c r="J983" s="170"/>
      <c r="K983" s="53"/>
      <c r="L983" s="53"/>
      <c r="M983" s="53"/>
      <c r="N983" s="171"/>
      <c r="O983" s="170"/>
      <c r="P983" s="53"/>
      <c r="Q983" s="53"/>
      <c r="R983" s="53"/>
      <c r="S983" s="171"/>
      <c r="T983" s="170"/>
      <c r="U983" s="53"/>
      <c r="V983" s="53"/>
      <c r="W983" s="53"/>
      <c r="X983" s="171"/>
      <c r="Y983" s="170"/>
      <c r="Z983" s="170"/>
      <c r="AA983" s="170"/>
      <c r="AB983" s="170"/>
      <c r="AC983" s="170"/>
      <c r="AD983" s="53"/>
      <c r="AE983" s="53"/>
    </row>
    <row r="984">
      <c r="A984" s="53"/>
      <c r="B984" s="53"/>
      <c r="C984" s="168"/>
      <c r="D984" s="169"/>
      <c r="E984" s="170"/>
      <c r="F984" s="53"/>
      <c r="G984" s="53"/>
      <c r="H984" s="53"/>
      <c r="I984" s="171"/>
      <c r="J984" s="170"/>
      <c r="K984" s="53"/>
      <c r="L984" s="53"/>
      <c r="M984" s="53"/>
      <c r="N984" s="171"/>
      <c r="O984" s="170"/>
      <c r="P984" s="53"/>
      <c r="Q984" s="53"/>
      <c r="R984" s="53"/>
      <c r="S984" s="171"/>
      <c r="T984" s="170"/>
      <c r="U984" s="53"/>
      <c r="V984" s="53"/>
      <c r="W984" s="53"/>
      <c r="X984" s="171"/>
      <c r="Y984" s="170"/>
      <c r="Z984" s="170"/>
      <c r="AA984" s="170"/>
      <c r="AB984" s="170"/>
      <c r="AC984" s="170"/>
      <c r="AD984" s="53"/>
      <c r="AE984" s="53"/>
    </row>
    <row r="985">
      <c r="A985" s="53"/>
      <c r="B985" s="53"/>
      <c r="C985" s="168"/>
      <c r="D985" s="169"/>
      <c r="E985" s="170"/>
      <c r="F985" s="53"/>
      <c r="G985" s="53"/>
      <c r="H985" s="53"/>
      <c r="I985" s="171"/>
      <c r="J985" s="170"/>
      <c r="K985" s="53"/>
      <c r="L985" s="53"/>
      <c r="M985" s="53"/>
      <c r="N985" s="171"/>
      <c r="O985" s="170"/>
      <c r="P985" s="53"/>
      <c r="Q985" s="53"/>
      <c r="R985" s="53"/>
      <c r="S985" s="171"/>
      <c r="T985" s="170"/>
      <c r="U985" s="53"/>
      <c r="V985" s="53"/>
      <c r="W985" s="53"/>
      <c r="X985" s="171"/>
      <c r="Y985" s="170"/>
      <c r="Z985" s="170"/>
      <c r="AA985" s="170"/>
      <c r="AB985" s="170"/>
      <c r="AC985" s="170"/>
      <c r="AD985" s="53"/>
      <c r="AE985" s="53"/>
    </row>
    <row r="986">
      <c r="A986" s="53"/>
      <c r="B986" s="53"/>
      <c r="C986" s="168"/>
      <c r="D986" s="169"/>
      <c r="E986" s="170"/>
      <c r="F986" s="53"/>
      <c r="G986" s="53"/>
      <c r="H986" s="53"/>
      <c r="I986" s="171"/>
      <c r="J986" s="170"/>
      <c r="K986" s="53"/>
      <c r="L986" s="53"/>
      <c r="M986" s="53"/>
      <c r="N986" s="171"/>
      <c r="O986" s="170"/>
      <c r="P986" s="53"/>
      <c r="Q986" s="53"/>
      <c r="R986" s="53"/>
      <c r="S986" s="171"/>
      <c r="T986" s="170"/>
      <c r="U986" s="53"/>
      <c r="V986" s="53"/>
      <c r="W986" s="53"/>
      <c r="X986" s="171"/>
      <c r="Y986" s="170"/>
      <c r="Z986" s="170"/>
      <c r="AA986" s="170"/>
      <c r="AB986" s="170"/>
      <c r="AC986" s="170"/>
      <c r="AD986" s="53"/>
      <c r="AE986" s="53"/>
    </row>
    <row r="987">
      <c r="A987" s="53"/>
      <c r="B987" s="53"/>
      <c r="C987" s="168"/>
      <c r="D987" s="169"/>
      <c r="E987" s="170"/>
      <c r="F987" s="53"/>
      <c r="G987" s="53"/>
      <c r="H987" s="53"/>
      <c r="I987" s="171"/>
      <c r="J987" s="170"/>
      <c r="K987" s="53"/>
      <c r="L987" s="53"/>
      <c r="M987" s="53"/>
      <c r="N987" s="171"/>
      <c r="O987" s="170"/>
      <c r="P987" s="53"/>
      <c r="Q987" s="53"/>
      <c r="R987" s="53"/>
      <c r="S987" s="171"/>
      <c r="T987" s="170"/>
      <c r="U987" s="53"/>
      <c r="V987" s="53"/>
      <c r="W987" s="53"/>
      <c r="X987" s="171"/>
      <c r="Y987" s="170"/>
      <c r="Z987" s="170"/>
      <c r="AA987" s="170"/>
      <c r="AB987" s="170"/>
      <c r="AC987" s="170"/>
      <c r="AD987" s="53"/>
      <c r="AE987" s="53"/>
    </row>
    <row r="988">
      <c r="A988" s="53"/>
      <c r="B988" s="53"/>
      <c r="C988" s="168"/>
      <c r="D988" s="169"/>
      <c r="E988" s="170"/>
      <c r="F988" s="53"/>
      <c r="G988" s="53"/>
      <c r="H988" s="53"/>
      <c r="I988" s="171"/>
      <c r="J988" s="170"/>
      <c r="K988" s="53"/>
      <c r="L988" s="53"/>
      <c r="M988" s="53"/>
      <c r="N988" s="171"/>
      <c r="O988" s="170"/>
      <c r="P988" s="53"/>
      <c r="Q988" s="53"/>
      <c r="R988" s="53"/>
      <c r="S988" s="171"/>
      <c r="T988" s="170"/>
      <c r="U988" s="53"/>
      <c r="V988" s="53"/>
      <c r="W988" s="53"/>
      <c r="X988" s="171"/>
      <c r="Y988" s="170"/>
      <c r="Z988" s="170"/>
      <c r="AA988" s="170"/>
      <c r="AB988" s="170"/>
      <c r="AC988" s="170"/>
      <c r="AD988" s="53"/>
      <c r="AE988" s="53"/>
    </row>
    <row r="989">
      <c r="A989" s="53"/>
      <c r="B989" s="53"/>
      <c r="C989" s="168"/>
      <c r="D989" s="169"/>
      <c r="E989" s="170"/>
      <c r="F989" s="53"/>
      <c r="G989" s="53"/>
      <c r="H989" s="53"/>
      <c r="I989" s="171"/>
      <c r="J989" s="170"/>
      <c r="K989" s="53"/>
      <c r="L989" s="53"/>
      <c r="M989" s="53"/>
      <c r="N989" s="171"/>
      <c r="O989" s="170"/>
      <c r="P989" s="53"/>
      <c r="Q989" s="53"/>
      <c r="R989" s="53"/>
      <c r="S989" s="171"/>
      <c r="T989" s="170"/>
      <c r="U989" s="53"/>
      <c r="V989" s="53"/>
      <c r="W989" s="53"/>
      <c r="X989" s="171"/>
      <c r="Y989" s="170"/>
      <c r="Z989" s="170"/>
      <c r="AA989" s="170"/>
      <c r="AB989" s="170"/>
      <c r="AC989" s="170"/>
      <c r="AD989" s="53"/>
      <c r="AE989" s="53"/>
    </row>
    <row r="990">
      <c r="A990" s="53"/>
      <c r="B990" s="53"/>
      <c r="C990" s="168"/>
      <c r="D990" s="169"/>
      <c r="E990" s="170"/>
      <c r="F990" s="53"/>
      <c r="G990" s="53"/>
      <c r="H990" s="53"/>
      <c r="I990" s="171"/>
      <c r="J990" s="170"/>
      <c r="K990" s="53"/>
      <c r="L990" s="53"/>
      <c r="M990" s="53"/>
      <c r="N990" s="171"/>
      <c r="O990" s="170"/>
      <c r="P990" s="53"/>
      <c r="Q990" s="53"/>
      <c r="R990" s="53"/>
      <c r="S990" s="171"/>
      <c r="T990" s="170"/>
      <c r="U990" s="53"/>
      <c r="V990" s="53"/>
      <c r="W990" s="53"/>
      <c r="X990" s="171"/>
      <c r="Y990" s="170"/>
      <c r="Z990" s="170"/>
      <c r="AA990" s="170"/>
      <c r="AB990" s="170"/>
      <c r="AC990" s="170"/>
      <c r="AD990" s="53"/>
      <c r="AE990" s="53"/>
    </row>
    <row r="991">
      <c r="A991" s="53"/>
      <c r="B991" s="53"/>
      <c r="C991" s="168"/>
      <c r="D991" s="169"/>
      <c r="E991" s="170"/>
      <c r="F991" s="53"/>
      <c r="G991" s="53"/>
      <c r="H991" s="53"/>
      <c r="I991" s="171"/>
      <c r="J991" s="170"/>
      <c r="K991" s="53"/>
      <c r="L991" s="53"/>
      <c r="M991" s="53"/>
      <c r="N991" s="171"/>
      <c r="O991" s="170"/>
      <c r="P991" s="53"/>
      <c r="Q991" s="53"/>
      <c r="R991" s="53"/>
      <c r="S991" s="171"/>
      <c r="T991" s="170"/>
      <c r="U991" s="53"/>
      <c r="V991" s="53"/>
      <c r="W991" s="53"/>
      <c r="X991" s="171"/>
      <c r="Y991" s="170"/>
      <c r="Z991" s="170"/>
      <c r="AA991" s="170"/>
      <c r="AB991" s="170"/>
      <c r="AC991" s="170"/>
      <c r="AD991" s="53"/>
      <c r="AE991" s="53"/>
    </row>
    <row r="992">
      <c r="A992" s="53"/>
      <c r="B992" s="53"/>
      <c r="C992" s="168"/>
      <c r="D992" s="169"/>
      <c r="E992" s="170"/>
      <c r="F992" s="53"/>
      <c r="G992" s="53"/>
      <c r="H992" s="53"/>
      <c r="I992" s="171"/>
      <c r="J992" s="170"/>
      <c r="K992" s="53"/>
      <c r="L992" s="53"/>
      <c r="M992" s="53"/>
      <c r="N992" s="171"/>
      <c r="O992" s="170"/>
      <c r="P992" s="53"/>
      <c r="Q992" s="53"/>
      <c r="R992" s="53"/>
      <c r="S992" s="171"/>
      <c r="T992" s="170"/>
      <c r="U992" s="53"/>
      <c r="V992" s="53"/>
      <c r="W992" s="53"/>
      <c r="X992" s="171"/>
      <c r="Y992" s="170"/>
      <c r="Z992" s="170"/>
      <c r="AA992" s="170"/>
      <c r="AB992" s="170"/>
      <c r="AC992" s="170"/>
      <c r="AD992" s="53"/>
      <c r="AE992" s="53"/>
    </row>
    <row r="993">
      <c r="A993" s="53"/>
      <c r="B993" s="53"/>
      <c r="C993" s="168"/>
      <c r="D993" s="169"/>
      <c r="E993" s="170"/>
      <c r="F993" s="53"/>
      <c r="G993" s="53"/>
      <c r="H993" s="53"/>
      <c r="I993" s="171"/>
      <c r="J993" s="170"/>
      <c r="K993" s="53"/>
      <c r="L993" s="53"/>
      <c r="M993" s="53"/>
      <c r="N993" s="171"/>
      <c r="O993" s="170"/>
      <c r="P993" s="53"/>
      <c r="Q993" s="53"/>
      <c r="R993" s="53"/>
      <c r="S993" s="171"/>
      <c r="T993" s="170"/>
      <c r="U993" s="53"/>
      <c r="V993" s="53"/>
      <c r="W993" s="53"/>
      <c r="X993" s="171"/>
      <c r="Y993" s="170"/>
      <c r="Z993" s="170"/>
      <c r="AA993" s="170"/>
      <c r="AB993" s="170"/>
      <c r="AC993" s="170"/>
      <c r="AD993" s="53"/>
      <c r="AE993" s="53"/>
    </row>
    <row r="994">
      <c r="A994" s="53"/>
      <c r="B994" s="53"/>
      <c r="C994" s="168"/>
      <c r="D994" s="169"/>
      <c r="E994" s="170"/>
      <c r="F994" s="53"/>
      <c r="G994" s="53"/>
      <c r="H994" s="53"/>
      <c r="I994" s="171"/>
      <c r="J994" s="170"/>
      <c r="K994" s="53"/>
      <c r="L994" s="53"/>
      <c r="M994" s="53"/>
      <c r="N994" s="171"/>
      <c r="O994" s="170"/>
      <c r="P994" s="53"/>
      <c r="Q994" s="53"/>
      <c r="R994" s="53"/>
      <c r="S994" s="171"/>
      <c r="T994" s="170"/>
      <c r="U994" s="53"/>
      <c r="V994" s="53"/>
      <c r="W994" s="53"/>
      <c r="X994" s="171"/>
      <c r="Y994" s="170"/>
      <c r="Z994" s="170"/>
      <c r="AA994" s="170"/>
      <c r="AB994" s="170"/>
      <c r="AC994" s="170"/>
      <c r="AD994" s="53"/>
      <c r="AE994" s="53"/>
    </row>
    <row r="995">
      <c r="A995" s="53"/>
      <c r="B995" s="53"/>
      <c r="C995" s="168"/>
      <c r="D995" s="169"/>
      <c r="E995" s="170"/>
      <c r="F995" s="53"/>
      <c r="G995" s="53"/>
      <c r="H995" s="53"/>
      <c r="I995" s="171"/>
      <c r="J995" s="170"/>
      <c r="K995" s="53"/>
      <c r="L995" s="53"/>
      <c r="M995" s="53"/>
      <c r="N995" s="171"/>
      <c r="O995" s="170"/>
      <c r="P995" s="53"/>
      <c r="Q995" s="53"/>
      <c r="R995" s="53"/>
      <c r="S995" s="171"/>
      <c r="T995" s="170"/>
      <c r="U995" s="53"/>
      <c r="V995" s="53"/>
      <c r="W995" s="53"/>
      <c r="X995" s="171"/>
      <c r="Y995" s="170"/>
      <c r="Z995" s="170"/>
      <c r="AA995" s="170"/>
      <c r="AB995" s="170"/>
      <c r="AC995" s="170"/>
      <c r="AD995" s="53"/>
      <c r="AE995" s="53"/>
    </row>
    <row r="996">
      <c r="A996" s="53"/>
      <c r="B996" s="53"/>
      <c r="C996" s="168"/>
      <c r="D996" s="169"/>
      <c r="E996" s="170"/>
      <c r="F996" s="53"/>
      <c r="G996" s="53"/>
      <c r="H996" s="53"/>
      <c r="I996" s="171"/>
      <c r="J996" s="170"/>
      <c r="K996" s="53"/>
      <c r="L996" s="53"/>
      <c r="M996" s="53"/>
      <c r="N996" s="171"/>
      <c r="O996" s="170"/>
      <c r="P996" s="53"/>
      <c r="Q996" s="53"/>
      <c r="R996" s="53"/>
      <c r="S996" s="171"/>
      <c r="T996" s="170"/>
      <c r="U996" s="53"/>
      <c r="V996" s="53"/>
      <c r="W996" s="53"/>
      <c r="X996" s="171"/>
      <c r="Y996" s="170"/>
      <c r="Z996" s="170"/>
      <c r="AA996" s="170"/>
      <c r="AB996" s="170"/>
      <c r="AC996" s="170"/>
      <c r="AD996" s="53"/>
      <c r="AE996" s="53"/>
    </row>
    <row r="997">
      <c r="A997" s="53"/>
      <c r="B997" s="53"/>
      <c r="C997" s="168"/>
      <c r="D997" s="169"/>
      <c r="E997" s="170"/>
      <c r="F997" s="53"/>
      <c r="G997" s="53"/>
      <c r="H997" s="53"/>
      <c r="I997" s="171"/>
      <c r="J997" s="170"/>
      <c r="K997" s="53"/>
      <c r="L997" s="53"/>
      <c r="M997" s="53"/>
      <c r="N997" s="171"/>
      <c r="O997" s="170"/>
      <c r="P997" s="53"/>
      <c r="Q997" s="53"/>
      <c r="R997" s="53"/>
      <c r="S997" s="171"/>
      <c r="T997" s="170"/>
      <c r="U997" s="53"/>
      <c r="V997" s="53"/>
      <c r="W997" s="53"/>
      <c r="X997" s="171"/>
      <c r="Y997" s="170"/>
      <c r="Z997" s="170"/>
      <c r="AA997" s="170"/>
      <c r="AB997" s="170"/>
      <c r="AC997" s="170"/>
      <c r="AD997" s="53"/>
      <c r="AE997" s="53"/>
    </row>
    <row r="998">
      <c r="A998" s="53"/>
      <c r="B998" s="53"/>
      <c r="C998" s="168"/>
      <c r="D998" s="169"/>
      <c r="E998" s="170"/>
      <c r="F998" s="53"/>
      <c r="G998" s="53"/>
      <c r="H998" s="53"/>
      <c r="I998" s="171"/>
      <c r="J998" s="170"/>
      <c r="K998" s="53"/>
      <c r="L998" s="53"/>
      <c r="M998" s="53"/>
      <c r="N998" s="171"/>
      <c r="O998" s="170"/>
      <c r="P998" s="53"/>
      <c r="Q998" s="53"/>
      <c r="R998" s="53"/>
      <c r="S998" s="171"/>
      <c r="T998" s="170"/>
      <c r="U998" s="53"/>
      <c r="V998" s="53"/>
      <c r="W998" s="53"/>
      <c r="X998" s="171"/>
      <c r="Y998" s="170"/>
      <c r="Z998" s="170"/>
      <c r="AA998" s="170"/>
      <c r="AB998" s="170"/>
      <c r="AC998" s="170"/>
      <c r="AD998" s="53"/>
      <c r="AE998" s="53"/>
    </row>
    <row r="999">
      <c r="A999" s="53"/>
      <c r="B999" s="53"/>
      <c r="C999" s="168"/>
      <c r="D999" s="169"/>
      <c r="E999" s="170"/>
      <c r="F999" s="53"/>
      <c r="G999" s="53"/>
      <c r="H999" s="53"/>
      <c r="I999" s="171"/>
      <c r="J999" s="170"/>
      <c r="K999" s="53"/>
      <c r="L999" s="53"/>
      <c r="M999" s="53"/>
      <c r="N999" s="171"/>
      <c r="O999" s="170"/>
      <c r="P999" s="53"/>
      <c r="Q999" s="53"/>
      <c r="R999" s="53"/>
      <c r="S999" s="171"/>
      <c r="T999" s="170"/>
      <c r="U999" s="53"/>
      <c r="V999" s="53"/>
      <c r="W999" s="53"/>
      <c r="X999" s="171"/>
      <c r="Y999" s="170"/>
      <c r="Z999" s="170"/>
      <c r="AA999" s="170"/>
      <c r="AB999" s="170"/>
      <c r="AC999" s="170"/>
      <c r="AD999" s="53"/>
      <c r="AE999" s="53"/>
    </row>
    <row r="1000">
      <c r="A1000" s="53"/>
      <c r="B1000" s="53"/>
      <c r="C1000" s="168"/>
      <c r="D1000" s="169"/>
      <c r="E1000" s="170"/>
      <c r="F1000" s="53"/>
      <c r="G1000" s="53"/>
      <c r="H1000" s="53"/>
      <c r="I1000" s="171"/>
      <c r="J1000" s="170"/>
      <c r="K1000" s="53"/>
      <c r="L1000" s="53"/>
      <c r="M1000" s="53"/>
      <c r="N1000" s="171"/>
      <c r="O1000" s="170"/>
      <c r="P1000" s="53"/>
      <c r="Q1000" s="53"/>
      <c r="R1000" s="53"/>
      <c r="S1000" s="171"/>
      <c r="T1000" s="170"/>
      <c r="U1000" s="53"/>
      <c r="V1000" s="53"/>
      <c r="W1000" s="53"/>
      <c r="X1000" s="171"/>
      <c r="Y1000" s="170"/>
      <c r="Z1000" s="170"/>
      <c r="AA1000" s="170"/>
      <c r="AB1000" s="170"/>
      <c r="AC1000" s="170"/>
      <c r="AD1000" s="53"/>
      <c r="AE1000" s="53"/>
    </row>
    <row r="1001">
      <c r="A1001" s="53"/>
      <c r="B1001" s="53"/>
      <c r="C1001" s="168"/>
      <c r="D1001" s="169"/>
      <c r="E1001" s="170"/>
      <c r="F1001" s="53"/>
      <c r="G1001" s="53"/>
      <c r="H1001" s="53"/>
      <c r="I1001" s="171"/>
      <c r="J1001" s="170"/>
      <c r="K1001" s="53"/>
      <c r="L1001" s="53"/>
      <c r="M1001" s="53"/>
      <c r="N1001" s="171"/>
      <c r="O1001" s="170"/>
      <c r="P1001" s="53"/>
      <c r="Q1001" s="53"/>
      <c r="R1001" s="53"/>
      <c r="S1001" s="171"/>
      <c r="T1001" s="170"/>
      <c r="U1001" s="53"/>
      <c r="V1001" s="53"/>
      <c r="W1001" s="53"/>
      <c r="X1001" s="171"/>
      <c r="Y1001" s="170"/>
      <c r="Z1001" s="170"/>
      <c r="AA1001" s="170"/>
      <c r="AB1001" s="170"/>
      <c r="AC1001" s="170"/>
      <c r="AD1001" s="53"/>
      <c r="AE1001" s="53"/>
    </row>
    <row r="1002">
      <c r="A1002" s="53"/>
      <c r="B1002" s="53"/>
      <c r="C1002" s="168"/>
      <c r="D1002" s="169"/>
      <c r="E1002" s="170"/>
      <c r="F1002" s="53"/>
      <c r="G1002" s="53"/>
      <c r="H1002" s="53"/>
      <c r="I1002" s="171"/>
      <c r="J1002" s="170"/>
      <c r="K1002" s="53"/>
      <c r="L1002" s="53"/>
      <c r="M1002" s="53"/>
      <c r="N1002" s="171"/>
      <c r="O1002" s="170"/>
      <c r="P1002" s="53"/>
      <c r="Q1002" s="53"/>
      <c r="R1002" s="53"/>
      <c r="S1002" s="171"/>
      <c r="T1002" s="170"/>
      <c r="U1002" s="53"/>
      <c r="V1002" s="53"/>
      <c r="W1002" s="53"/>
      <c r="X1002" s="171"/>
      <c r="Y1002" s="170"/>
      <c r="Z1002" s="170"/>
      <c r="AA1002" s="170"/>
      <c r="AB1002" s="170"/>
      <c r="AC1002" s="170"/>
      <c r="AD1002" s="53"/>
      <c r="AE1002" s="53"/>
    </row>
    <row r="1003">
      <c r="A1003" s="53"/>
      <c r="B1003" s="53"/>
      <c r="C1003" s="168"/>
      <c r="D1003" s="169"/>
      <c r="E1003" s="170"/>
      <c r="F1003" s="53"/>
      <c r="G1003" s="53"/>
      <c r="H1003" s="53"/>
      <c r="I1003" s="171"/>
      <c r="J1003" s="170"/>
      <c r="K1003" s="53"/>
      <c r="L1003" s="53"/>
      <c r="M1003" s="53"/>
      <c r="N1003" s="171"/>
      <c r="O1003" s="170"/>
      <c r="P1003" s="53"/>
      <c r="Q1003" s="53"/>
      <c r="R1003" s="53"/>
      <c r="S1003" s="171"/>
      <c r="T1003" s="170"/>
      <c r="U1003" s="53"/>
      <c r="V1003" s="53"/>
      <c r="W1003" s="53"/>
      <c r="X1003" s="171"/>
      <c r="Y1003" s="170"/>
      <c r="Z1003" s="170"/>
      <c r="AA1003" s="170"/>
      <c r="AB1003" s="170"/>
      <c r="AC1003" s="170"/>
      <c r="AD1003" s="53"/>
      <c r="AE1003" s="53"/>
    </row>
  </sheetData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</hyperlinks>
  <drawing r:id="rId30"/>
  <tableParts count="6">
    <tablePart r:id="rId37"/>
    <tablePart r:id="rId38"/>
    <tablePart r:id="rId39"/>
    <tablePart r:id="rId40"/>
    <tablePart r:id="rId41"/>
    <tablePart r:id="rId4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7.63"/>
    <col customWidth="1" min="3" max="3" width="18.88"/>
    <col customWidth="1" min="4" max="4" width="16.5"/>
    <col customWidth="1" min="5" max="5" width="14.5"/>
    <col customWidth="1" min="6" max="6" width="11.63"/>
    <col customWidth="1" min="7" max="7" width="17.63"/>
    <col customWidth="1" min="8" max="8" width="18.88"/>
    <col customWidth="1" min="9" max="9" width="16.5"/>
    <col customWidth="1" min="10" max="10" width="14.5"/>
    <col customWidth="1" min="12" max="12" width="17.63"/>
    <col customWidth="1" min="13" max="13" width="18.88"/>
    <col customWidth="1" min="14" max="14" width="16.5"/>
    <col customWidth="1" min="15" max="15" width="14.5"/>
    <col customWidth="1" min="17" max="17" width="17.63"/>
    <col customWidth="1" min="18" max="18" width="18.88"/>
    <col customWidth="1" min="19" max="19" width="16.5"/>
    <col customWidth="1" min="20" max="20" width="14.5"/>
    <col customWidth="1" min="22" max="22" width="17.63"/>
    <col customWidth="1" min="23" max="23" width="18.88"/>
    <col customWidth="1" min="24" max="24" width="16.5"/>
    <col customWidth="1" min="25" max="25" width="14.5"/>
    <col customWidth="1" min="27" max="27" width="17.63"/>
    <col customWidth="1" min="28" max="28" width="18.88"/>
    <col customWidth="1" min="29" max="29" width="16.5"/>
    <col customWidth="1" min="30" max="30" width="14.5"/>
  </cols>
  <sheetData>
    <row r="1">
      <c r="A1" s="230" t="s">
        <v>6749</v>
      </c>
      <c r="B1" s="53"/>
      <c r="C1" s="168"/>
      <c r="D1" s="169"/>
      <c r="E1" s="170"/>
      <c r="F1" s="53"/>
      <c r="G1" s="53"/>
      <c r="H1" s="53"/>
      <c r="I1" s="171"/>
      <c r="J1" s="170"/>
      <c r="K1" s="53"/>
      <c r="L1" s="53"/>
      <c r="M1" s="53"/>
      <c r="N1" s="171"/>
      <c r="O1" s="170"/>
      <c r="P1" s="53"/>
      <c r="Q1" s="53"/>
      <c r="R1" s="53"/>
      <c r="S1" s="171"/>
      <c r="T1" s="170"/>
      <c r="U1" s="53"/>
      <c r="V1" s="53"/>
      <c r="W1" s="53"/>
      <c r="X1" s="171"/>
      <c r="Y1" s="170"/>
      <c r="Z1" s="170"/>
      <c r="AA1" s="170"/>
      <c r="AB1" s="170"/>
      <c r="AC1" s="170"/>
      <c r="AD1" s="53"/>
      <c r="AE1" s="53"/>
    </row>
    <row r="2">
      <c r="A2" s="53"/>
      <c r="B2" s="53"/>
      <c r="C2" s="168"/>
      <c r="D2" s="169"/>
      <c r="E2" s="172">
        <f>COUNTA(B4:B1003)</f>
        <v>35</v>
      </c>
      <c r="F2" s="53"/>
      <c r="G2" s="53"/>
      <c r="H2" s="53"/>
      <c r="I2" s="171"/>
      <c r="J2" s="172">
        <f>COUNTA(G4:G1003)</f>
        <v>55</v>
      </c>
      <c r="K2" s="53"/>
      <c r="L2" s="53"/>
      <c r="M2" s="53"/>
      <c r="N2" s="171"/>
      <c r="O2" s="172">
        <f>COUNTA(L4:L1003)</f>
        <v>7</v>
      </c>
      <c r="P2" s="53"/>
      <c r="Q2" s="53"/>
      <c r="R2" s="53"/>
      <c r="S2" s="171"/>
      <c r="T2" s="172">
        <f>COUNTA(Q4:Q1003)</f>
        <v>1</v>
      </c>
      <c r="U2" s="53"/>
      <c r="V2" s="53"/>
      <c r="W2" s="53"/>
      <c r="X2" s="171"/>
      <c r="Y2" s="172">
        <f>COUNTA(V4:V1003)</f>
        <v>1</v>
      </c>
      <c r="Z2" s="170"/>
      <c r="AA2" s="170"/>
      <c r="AB2" s="170"/>
      <c r="AC2" s="170"/>
      <c r="AD2" s="231">
        <f>COUNTA(AA4:AA1003)</f>
        <v>1</v>
      </c>
      <c r="AE2" s="53"/>
    </row>
    <row r="3" ht="34.5" customHeight="1">
      <c r="A3" s="53"/>
      <c r="B3" s="37" t="s">
        <v>9769</v>
      </c>
      <c r="C3" s="37" t="s">
        <v>9771</v>
      </c>
      <c r="D3" s="38" t="s">
        <v>9773</v>
      </c>
      <c r="E3" s="37" t="s">
        <v>9774</v>
      </c>
      <c r="F3" s="53"/>
      <c r="G3" s="37" t="s">
        <v>9769</v>
      </c>
      <c r="H3" s="37" t="s">
        <v>9771</v>
      </c>
      <c r="I3" s="38" t="s">
        <v>9773</v>
      </c>
      <c r="J3" s="37" t="s">
        <v>9774</v>
      </c>
      <c r="K3" s="53"/>
      <c r="L3" s="37" t="s">
        <v>9769</v>
      </c>
      <c r="M3" s="37" t="s">
        <v>9771</v>
      </c>
      <c r="N3" s="38" t="s">
        <v>9773</v>
      </c>
      <c r="O3" s="37" t="s">
        <v>9774</v>
      </c>
      <c r="P3" s="53"/>
      <c r="Q3" s="37" t="s">
        <v>9769</v>
      </c>
      <c r="R3" s="37" t="s">
        <v>9771</v>
      </c>
      <c r="S3" s="38" t="s">
        <v>9773</v>
      </c>
      <c r="T3" s="37" t="s">
        <v>9774</v>
      </c>
      <c r="U3" s="53"/>
      <c r="V3" s="37" t="s">
        <v>9769</v>
      </c>
      <c r="W3" s="37" t="s">
        <v>9771</v>
      </c>
      <c r="X3" s="38" t="s">
        <v>9773</v>
      </c>
      <c r="Y3" s="37" t="s">
        <v>9774</v>
      </c>
      <c r="Z3" s="174"/>
      <c r="AA3" s="37" t="s">
        <v>9769</v>
      </c>
      <c r="AB3" s="37" t="s">
        <v>9771</v>
      </c>
      <c r="AC3" s="38" t="s">
        <v>9773</v>
      </c>
      <c r="AD3" s="37" t="s">
        <v>9774</v>
      </c>
      <c r="AE3" s="53"/>
    </row>
    <row r="4" ht="22.5" customHeight="1">
      <c r="A4" s="53"/>
      <c r="B4" s="175" t="str">
        <f>IFERROR(__xludf.DUMMYFUNCTION("QUERY(
  {
    ARRAYFORMULA(
      Leads_Holiday!B:B&amp;CHAR(10)&amp;
      Leads_Holiday!C:C&amp;CHAR(10)&amp;
      Leads_Holiday!D:D&amp;CHAR(10)&amp;
      Leads_Holiday!E:E
    ),
    ARRAYFORMULA(
      Leads_Holiday!G:G&amp;CHAR(10)&amp;
      Leads_Holiday!H:H&amp;CHAR(10)&amp;
      L"&amp;"eads_Holiday!I:I&amp;"" pax""&amp;CHAR(10)&amp;
      TEXT(Leads_Holiday!J:J,""Rp#,##0"")
    ),
    Leads_Holiday!K:K,
    Leads_Holiday!L:L,
    Leads_Holiday!F:F
  },
  ""select Col1, Col2, Col3, Col4 
   where Col5 = 'Leads Baru'"",
  0
)"),"2604H037
Iqbal WP
082210722324
Lainnya")</f>
        <v>2604H037
Iqbal WP
082210722324
Lainnya</v>
      </c>
      <c r="C4" s="176" t="str">
        <f>IFERROR(__xludf.DUMMYFUNCTION("""COMPUTED_VALUE"""),"3h2m opsi b
150 pax
Rp210.750.000")</f>
        <v>3h2m opsi b
150 pax
Rp210.750.000</v>
      </c>
      <c r="D4" s="177" t="str">
        <f>IFERROR(__xludf.DUMMYFUNCTION("""COMPUTED_VALUE"""),"Fu nanti")</f>
        <v>Fu nanti</v>
      </c>
      <c r="E4" s="178" t="str">
        <f>IFERROR(__xludf.DUMMYFUNCTION("""COMPUTED_VALUE"""),"https://docs.google.com/document/d/1jNNWQMM1K-JNX3kpQHr-uTGcWSe-418PO4kp2KM2Mek/edit?usp=drivesdk")</f>
        <v>https://docs.google.com/document/d/1jNNWQMM1K-JNX3kpQHr-uTGcWSe-418PO4kp2KM2Mek/edit?usp=drivesdk</v>
      </c>
      <c r="F4" s="53"/>
      <c r="G4" s="179" t="str">
        <f>IFERROR(__xludf.DUMMYFUNCTION("QUERY(
  {
    ARRAYFORMULA(
      Leads_Holiday!B:B&amp;CHAR(10)&amp;
      Leads_Holiday!C:C&amp;CHAR(10)&amp;
      Leads_Holiday!D:D&amp;CHAR(10)&amp;
      Leads_Holiday!E:E
    ),
    ARRAYFORMULA(
      Leads_Holiday!G:G&amp;CHAR(10)&amp;
      Leads_Holiday!H:H&amp;CHAR(10)&amp;
      L"&amp;"eads_Holiday!I:I&amp;"" pax""&amp;CHAR(10)&amp;
      TEXT(Leads_Holiday!J:J,""Rp#,##0"")
    ),
    Leads_Holiday!K:K,
    Leads_Holiday!L:L,
    Leads_Holiday!F:F
  },
  ""select Col1, Col2, Col3, Col4 
   where Col5 = 'Qualified'"",
  0
)"),"2601H015
Neneng Juraidah
08111339362
Website")</f>
        <v>2601H015
Neneng Juraidah
08111339362
Website</v>
      </c>
      <c r="H4" s="179" t="str">
        <f>IFERROR(__xludf.DUMMYFUNCTION("""COMPUTED_VALUE"""),"3H2M Custom
7 pax
Rp17.108.888")</f>
        <v>3H2M Custom
7 pax
Rp17.108.888</v>
      </c>
      <c r="I4" s="180" t="str">
        <f>IFERROR(__xludf.DUMMYFUNCTION("""COMPUTED_VALUE"""),"FU lagi setelah lebaran, fu 1 juli")</f>
        <v>FU lagi setelah lebaran, fu 1 juli</v>
      </c>
      <c r="J4" s="181" t="str">
        <f>IFERROR(__xludf.DUMMYFUNCTION("""COMPUTED_VALUE"""),"https://docs.google.com/document/d/12c3T3MfymkdkNi76muU-IvFXF9oY3jOtG4N7_5v9-OI/edit?usp=drivesdk")</f>
        <v>https://docs.google.com/document/d/12c3T3MfymkdkNi76muU-IvFXF9oY3jOtG4N7_5v9-OI/edit?usp=drivesdk</v>
      </c>
      <c r="K4" s="53"/>
      <c r="L4" s="183" t="str">
        <f>IFERROR(__xludf.DUMMYFUNCTION("QUERY(
  {
    ARRAYFORMULA(
      Leads_Holiday!B:B&amp;CHAR(10)&amp;
      Leads_Holiday!C:C&amp;CHAR(10)&amp;
      Leads_Holiday!D:D&amp;CHAR(10)&amp;
      Leads_Holiday!E:E
    ),
    ARRAYFORMULA(
      Leads_Holiday!G:G&amp;CHAR(10)&amp;
      Leads_Holiday!H:H&amp;CHAR(10)&amp;
      L"&amp;"eads_Holiday!I:I&amp;"" pax""&amp;CHAR(10)&amp;
      TEXT(Leads_Holiday!J:J,""Rp#,##0"")
    ),
    Leads_Holiday!K:K,
    Leads_Holiday!L:L,
    Leads_Holiday!F:F
  },
  ""select Col1, Col2, Col3, Col4 
   where Col5 = 'Prospek'"",
  0
)"),"2601H036
Guruh Tolowijoyo
081932057178
Lainnya")</f>
        <v>2601H036
Guruh Tolowijoyo
081932057178
Lainnya</v>
      </c>
      <c r="M4" s="183" t="str">
        <f>IFERROR(__xludf.DUMMYFUNCTION("""COMPUTED_VALUE"""),"2D1N Custom
30 pax
Rp53.550.000")</f>
        <v>2D1N Custom
30 pax
Rp53.550.000</v>
      </c>
      <c r="N4" s="184" t="str">
        <f>IFERROR(__xludf.DUMMYFUNCTION("""COMPUTED_VALUE"""),"FU kembali tgl 7 juni")</f>
        <v>FU kembali tgl 7 juni</v>
      </c>
      <c r="O4" s="178" t="str">
        <f>IFERROR(__xludf.DUMMYFUNCTION("""COMPUTED_VALUE"""),"https://docs.google.com/document/d/1H4CnDuuDwcwMg5JS9tgRXEIQo7OZMjjmlc73xCMdph8/edit?usp=drivesdk")</f>
        <v>https://docs.google.com/document/d/1H4CnDuuDwcwMg5JS9tgRXEIQo7OZMjjmlc73xCMdph8/edit?usp=drivesdk</v>
      </c>
      <c r="P4" s="53"/>
      <c r="Q4" s="183" t="str">
        <f>IFERROR(__xludf.DUMMYFUNCTION("QUERY(
  {
    ARRAYFORMULA(
      Leads_Holiday!B:B&amp;CHAR(10)&amp;
      Leads_Holiday!C:C&amp;CHAR(10)&amp;
      Leads_Holiday!D:D&amp;CHAR(10)&amp;
      Leads_Holiday!E:E
    ),
    ARRAYFORMULA(
      Leads_Holiday!G:G&amp;CHAR(10)&amp;
      Leads_Holiday!H:H&amp;CHAR(10)&amp;
      L"&amp;"eads_Holiday!I:I&amp;"" pax""&amp;CHAR(10)&amp;
      TEXT(Leads_Holiday!J:J,""Rp#,##0"")
    ),
    Leads_Holiday!K:K,
    Leads_Holiday!L:L,
    Leads_Holiday!F:F
  },
  ""select Col1, Col2, Col3, Col4 
   where Col5 = 'Follow Up'"",
  0
)"),"2606A024
Dhiana
085882731012
Lainnya")</f>
        <v>2606A024
Dhiana
085882731012
Lainnya</v>
      </c>
      <c r="R4" s="183" t="str">
        <f>IFERROR(__xludf.DUMMYFUNCTION("""COMPUTED_VALUE"""),"ot green island
46190
2 pax
Rp1.100.000")</f>
        <v>ot green island
46190
2 pax
Rp1.100.000</v>
      </c>
      <c r="S4" s="184" t="str">
        <f>IFERROR(__xludf.DUMMYFUNCTION("""COMPUTED_VALUE"""),"fu 16 juni")</f>
        <v>fu 16 juni</v>
      </c>
      <c r="T4" s="183"/>
      <c r="U4" s="53"/>
      <c r="V4" s="183" t="str">
        <f>IFERROR(__xludf.DUMMYFUNCTION("QUERY(
  {
    ARRAYFORMULA(
      Leads_Holiday!B:B&amp;CHAR(10)&amp;
      Leads_Holiday!C:C&amp;CHAR(10)&amp;
      Leads_Holiday!D:D&amp;CHAR(10)&amp;
      Leads_Holiday!E:E
    ),
    ARRAYFORMULA(
      Leads_Holiday!G:G&amp;CHAR(10)&amp;
      Leads_Holiday!H:H&amp;CHAR(10)&amp;
      L"&amp;"eads_Holiday!I:I&amp;"" pax""&amp;CHAR(10)&amp;
      TEXT(Leads_Holiday!J:J,""Rp#,##0"")
    ),
    Leads_Holiday!K:K,
    Leads_Holiday!L:L,
    Leads_Holiday!F:F
  },
  ""select Col1, Col2, Col3, Col4 
   where Col5 = 'Warm Leads'"",
  0
)"),"#N/A")</f>
        <v>#N/A</v>
      </c>
      <c r="W4" s="183"/>
      <c r="X4" s="184"/>
      <c r="Y4" s="183"/>
      <c r="Z4" s="170"/>
      <c r="AA4" s="183" t="str">
        <f>IFERROR(__xludf.DUMMYFUNCTION("QUERY(
  {
    ARRAYFORMULA(
      Leads_Holiday!B:B&amp;CHAR(10)&amp;
      Leads_Holiday!C:C&amp;CHAR(10)&amp;
      Leads_Holiday!D:D&amp;CHAR(10)&amp;
      Leads_Holiday!E:E
    ),
    ARRAYFORMULA(
      Leads_Holiday!G:G&amp;CHAR(10)&amp;
      Leads_Holiday!H:H&amp;CHAR(10)&amp;
      L"&amp;"eads_Holiday!I:I&amp;"" pax""&amp;CHAR(10)&amp;
      TEXT(Leads_Holiday!J:J,""Rp#,##0"")
    ),
    Leads_Holiday!K:K,
    Leads_Holiday!L:L,
    Leads_Holiday!F:F
  },
  ""select Col1, Col2, Col3, Col4 
   where Col5 = 'Hot Leads'"",
  0
)"),"#N/A")</f>
        <v>#N/A</v>
      </c>
      <c r="AB4" s="183"/>
      <c r="AC4" s="183"/>
      <c r="AD4" s="183"/>
      <c r="AE4" s="53"/>
    </row>
    <row r="5" ht="22.5" customHeight="1">
      <c r="A5" s="53"/>
      <c r="B5" s="232" t="str">
        <f>IFERROR(__xludf.DUMMYFUNCTION("""COMPUTED_VALUE"""),"2604H053
Rizky BtoB
081281102660
Lainnya")</f>
        <v>2604H053
Rizky BtoB
081281102660
Lainnya</v>
      </c>
      <c r="C5" s="176" t="str">
        <f>IFERROR(__xludf.DUMMYFUNCTION("""COMPUTED_VALUE"""),"ijen Baluran 
 pax
Rp0")</f>
        <v>ijen Baluran 
 pax
Rp0</v>
      </c>
      <c r="D5" s="177" t="str">
        <f>IFERROR(__xludf.DUMMYFUNCTION("""COMPUTED_VALUE"""),"fu 1 juli")</f>
        <v>fu 1 juli</v>
      </c>
      <c r="E5" s="183"/>
      <c r="F5" s="53"/>
      <c r="G5" s="183" t="str">
        <f>IFERROR(__xludf.DUMMYFUNCTION("""COMPUTED_VALUE"""),"2601H027
Titin Karyati
085285949394
Lainnya")</f>
        <v>2601H027
Titin Karyati
085285949394
Lainnya</v>
      </c>
      <c r="H5" s="183" t="str">
        <f>IFERROR(__xludf.DUMMYFUNCTION("""COMPUTED_VALUE"""),"2D1N Custom
25 pax
Rp31.750.000")</f>
        <v>2D1N Custom
25 pax
Rp31.750.000</v>
      </c>
      <c r="I5" s="184" t="str">
        <f>IFERROR(__xludf.DUMMYFUNCTION("""COMPUTED_VALUE"""),"FU lagi mendekati FU 20 Agustus ")</f>
        <v>FU lagi mendekati FU 20 Agustus </v>
      </c>
      <c r="J5" s="183"/>
      <c r="K5" s="53"/>
      <c r="L5" s="183" t="str">
        <f>IFERROR(__xludf.DUMMYFUNCTION("""COMPUTED_VALUE"""),"2602H009
Aweng
0817125048
Website")</f>
        <v>2602H009
Aweng
0817125048
Website</v>
      </c>
      <c r="M5" s="183" t="str">
        <f>IFERROR(__xludf.DUMMYFUNCTION("""COMPUTED_VALUE"""),"custom 2H1M
12 pax
Rp12.000.000")</f>
        <v>custom 2H1M
12 pax
Rp12.000.000</v>
      </c>
      <c r="N5" s="184" t="str">
        <f>IFERROR(__xludf.DUMMYFUNCTION("""COMPUTED_VALUE"""),"FU kembali tgl 10 Juli")</f>
        <v>FU kembali tgl 10 Juli</v>
      </c>
      <c r="O5" s="183"/>
      <c r="P5" s="53"/>
      <c r="Q5" s="183"/>
      <c r="R5" s="183"/>
      <c r="S5" s="184"/>
      <c r="T5" s="183"/>
      <c r="U5" s="53"/>
      <c r="V5" s="183"/>
      <c r="W5" s="183"/>
      <c r="X5" s="184"/>
      <c r="Y5" s="183"/>
      <c r="Z5" s="170"/>
      <c r="AA5" s="170"/>
      <c r="AB5" s="170"/>
      <c r="AC5" s="170"/>
      <c r="AD5" s="53"/>
      <c r="AE5" s="53"/>
    </row>
    <row r="6" ht="22.5" customHeight="1">
      <c r="A6" s="53"/>
      <c r="B6" s="183" t="str">
        <f>IFERROR(__xludf.DUMMYFUNCTION("""COMPUTED_VALUE"""),"2605H024
Denny Bagus
0818900058
Website")</f>
        <v>2605H024
Denny Bagus
0818900058
Website</v>
      </c>
      <c r="C6" s="176" t="str">
        <f>IFERROR(__xludf.DUMMYFUNCTION("""COMPUTED_VALUE"""),"Ijen
 pax
Rp0")</f>
        <v>Ijen
 pax
Rp0</v>
      </c>
      <c r="D6" s="177" t="str">
        <f>IFERROR(__xludf.DUMMYFUNCTION("""COMPUTED_VALUE"""),"tanya blue fire. kabarin kalau bluefire buka")</f>
        <v>tanya blue fire. kabarin kalau bluefire buka</v>
      </c>
      <c r="E6" s="183"/>
      <c r="F6" s="53"/>
      <c r="G6" s="183" t="str">
        <f>IFERROR(__xludf.DUMMYFUNCTION("""COMPUTED_VALUE"""),"2602H004
Dhesy aryanti
08128504020
Lainnya")</f>
        <v>2602H004
Dhesy aryanti
08128504020
Lainnya</v>
      </c>
      <c r="H6" s="183" t="str">
        <f>IFERROR(__xludf.DUMMYFUNCTION("""COMPUTED_VALUE"""),"1 day trip
46382
4 pax
Rp1.940.000")</f>
        <v>1 day trip
46382
4 pax
Rp1.940.000</v>
      </c>
      <c r="I6" s="184" t="str">
        <f>IFERROR(__xludf.DUMMYFUNCTION("""COMPUTED_VALUE"""),"FU 20 September, tunggu informasi selanjutnya")</f>
        <v>FU 20 September, tunggu informasi selanjutnya</v>
      </c>
      <c r="J6" s="183"/>
      <c r="K6" s="53"/>
      <c r="L6" s="183" t="str">
        <f>IFERROR(__xludf.DUMMYFUNCTION("""COMPUTED_VALUE"""),"2603H013 
Fadli
087877926169
Lainnya")</f>
        <v>2603H013 
Fadli
087877926169
Lainnya</v>
      </c>
      <c r="M6" s="183" t="str">
        <f>IFERROR(__xludf.DUMMYFUNCTION("""COMPUTED_VALUE"""),"3H2M
140 pax
Rp630.000.000")</f>
        <v>3H2M
140 pax
Rp630.000.000</v>
      </c>
      <c r="N6" s="184" t="str">
        <f>IFERROR(__xludf.DUMMYFUNCTION("""COMPUTED_VALUE"""),"FU 7 juni")</f>
        <v>FU 7 juni</v>
      </c>
      <c r="O6" s="183"/>
      <c r="P6" s="53"/>
      <c r="Q6" s="183"/>
      <c r="R6" s="183"/>
      <c r="S6" s="184"/>
      <c r="T6" s="183"/>
      <c r="U6" s="53"/>
      <c r="V6" s="183"/>
      <c r="W6" s="183"/>
      <c r="X6" s="184"/>
      <c r="Y6" s="183"/>
      <c r="Z6" s="170"/>
      <c r="AA6" s="170"/>
      <c r="AB6" s="170"/>
      <c r="AC6" s="170"/>
      <c r="AD6" s="53"/>
      <c r="AE6" s="53"/>
    </row>
    <row r="7" ht="22.5" customHeight="1">
      <c r="A7" s="53"/>
      <c r="B7" s="183" t="str">
        <f>IFERROR(__xludf.DUMMYFUNCTION("""COMPUTED_VALUE"""),"2605H032
Asna Ruhmiyati
081290257006
Lainnya")</f>
        <v>2605H032
Asna Ruhmiyati
081290257006
Lainnya</v>
      </c>
      <c r="C7" s="176" t="str">
        <f>IFERROR(__xludf.DUMMYFUNCTION("""COMPUTED_VALUE"""),"open trip
 pax
Rp0")</f>
        <v>open trip
 pax
Rp0</v>
      </c>
      <c r="D7" s="177" t="str">
        <f>IFERROR(__xludf.DUMMYFUNCTION("""COMPUTED_VALUE"""),"fu 2 juli")</f>
        <v>fu 2 juli</v>
      </c>
      <c r="E7" s="183"/>
      <c r="F7" s="53"/>
      <c r="G7" s="183" t="str">
        <f>IFERROR(__xludf.DUMMYFUNCTION("""COMPUTED_VALUE"""),"2602H016
Resi Milawati 
085284074321
Lainnya")</f>
        <v>2602H016
Resi Milawati 
085284074321
Lainnya</v>
      </c>
      <c r="H7" s="183" t="str">
        <f>IFERROR(__xludf.DUMMYFUNCTION("""COMPUTED_VALUE"""),"3H2M
2 pax
Rp6.270.000")</f>
        <v>3H2M
2 pax
Rp6.270.000</v>
      </c>
      <c r="I7" s="184" t="str">
        <f>IFERROR(__xludf.DUMMYFUNCTION("""COMPUTED_VALUE"""),"FU tgl 2 juli. nunggu cuti")</f>
        <v>FU tgl 2 juli. nunggu cuti</v>
      </c>
      <c r="J7" s="183"/>
      <c r="K7" s="53"/>
      <c r="L7" s="183" t="str">
        <f>IFERROR(__xludf.DUMMYFUNCTION("""COMPUTED_VALUE"""),"2604H026
Ayutria
081290960337
Instagram")</f>
        <v>2604H026
Ayutria
081290960337
Instagram</v>
      </c>
      <c r="M7" s="183" t="str">
        <f>IFERROR(__xludf.DUMMYFUNCTION("""COMPUTED_VALUE"""),"one day trip wurung djabal
4 pax
Rp1.632.000")</f>
        <v>one day trip wurung djabal
4 pax
Rp1.632.000</v>
      </c>
      <c r="N7" s="184" t="str">
        <f>IFERROR(__xludf.DUMMYFUNCTION("""COMPUTED_VALUE"""),"fu 2 juli")</f>
        <v>fu 2 juli</v>
      </c>
      <c r="O7" s="178" t="str">
        <f>IFERROR(__xludf.DUMMYFUNCTION("""COMPUTED_VALUE"""),"https://docs.google.com/document/d/1viCTTSEkRINnsUpDAAQSdL7f8x23hma-4fUulDojJfw/edit?usp=drivesdk")</f>
        <v>https://docs.google.com/document/d/1viCTTSEkRINnsUpDAAQSdL7f8x23hma-4fUulDojJfw/edit?usp=drivesdk</v>
      </c>
      <c r="P7" s="53"/>
      <c r="Q7" s="183"/>
      <c r="R7" s="183"/>
      <c r="S7" s="184"/>
      <c r="T7" s="183"/>
      <c r="U7" s="53"/>
      <c r="V7" s="183"/>
      <c r="W7" s="183"/>
      <c r="X7" s="184"/>
      <c r="Y7" s="183"/>
      <c r="Z7" s="170"/>
      <c r="AA7" s="170"/>
      <c r="AB7" s="170"/>
      <c r="AC7" s="170"/>
      <c r="AD7" s="53"/>
      <c r="AE7" s="53"/>
    </row>
    <row r="8" ht="22.5" customHeight="1">
      <c r="A8" s="53"/>
      <c r="B8" s="183" t="str">
        <f>IFERROR(__xludf.DUMMYFUNCTION("""COMPUTED_VALUE"""),"2605H036
Arifuddin Alie
08179019300
Lainnya")</f>
        <v>2605H036
Arifuddin Alie
08179019300
Lainnya</v>
      </c>
      <c r="C8" s="176" t="str">
        <f>IFERROR(__xludf.DUMMYFUNCTION("""COMPUTED_VALUE"""),"3h2m
15 pax
Rp0")</f>
        <v>3h2m
15 pax
Rp0</v>
      </c>
      <c r="D8" s="177" t="str">
        <f>IFERROR(__xludf.DUMMYFUNCTION("""COMPUTED_VALUE"""),"buat penawaran dulu. fu 10 september")</f>
        <v>buat penawaran dulu. fu 10 september</v>
      </c>
      <c r="E8" s="183"/>
      <c r="F8" s="53"/>
      <c r="G8" s="183" t="str">
        <f>IFERROR(__xludf.DUMMYFUNCTION("""COMPUTED_VALUE"""),"2602H038
Annisa Syarifah 
082110566678
Lainnya")</f>
        <v>2602H038
Annisa Syarifah 
082110566678
Lainnya</v>
      </c>
      <c r="H8" s="183" t="str">
        <f>IFERROR(__xludf.DUMMYFUNCTION("""COMPUTED_VALUE"""),"trip 2H2M
46214
3 pax
Rp4.050.000")</f>
        <v>trip 2H2M
46214
3 pax
Rp4.050.000</v>
      </c>
      <c r="I8" s="184" t="str">
        <f>IFERROR(__xludf.DUMMYFUNCTION("""COMPUTED_VALUE"""),"buat penawaran, fu 25 juni")</f>
        <v>buat penawaran, fu 25 juni</v>
      </c>
      <c r="J8" s="183"/>
      <c r="K8" s="53"/>
      <c r="L8" s="183" t="str">
        <f>IFERROR(__xludf.DUMMYFUNCTION("""COMPUTED_VALUE"""),"2604H033
Fie KOL SPECIALIST
081210688493
Instagram")</f>
        <v>2604H033
Fie KOL SPECIALIST
081210688493
Instagram</v>
      </c>
      <c r="M8" s="183" t="str">
        <f>IFERROR(__xludf.DUMMYFUNCTION("""COMPUTED_VALUE"""),"3H2M
46261
2 pax
Rp3.200.000")</f>
        <v>3H2M
46261
2 pax
Rp3.200.000</v>
      </c>
      <c r="N8" s="184" t="str">
        <f>IFERROR(__xludf.DUMMYFUNCTION("""COMPUTED_VALUE"""),"fu 2 juli")</f>
        <v>fu 2 juli</v>
      </c>
      <c r="O8" s="178" t="str">
        <f>IFERROR(__xludf.DUMMYFUNCTION("""COMPUTED_VALUE"""),"https://docs.google.com/document/d/18MWgO1buvWk8nQI37xxjszKjW0ggDc9z9OWFCC9FOSE/edit?usp=drivesdk")</f>
        <v>https://docs.google.com/document/d/18MWgO1buvWk8nQI37xxjszKjW0ggDc9z9OWFCC9FOSE/edit?usp=drivesdk</v>
      </c>
      <c r="P8" s="53"/>
      <c r="Q8" s="183"/>
      <c r="R8" s="183"/>
      <c r="S8" s="184"/>
      <c r="T8" s="183"/>
      <c r="U8" s="53"/>
      <c r="V8" s="53"/>
      <c r="W8" s="53"/>
      <c r="X8" s="171"/>
      <c r="Y8" s="170"/>
      <c r="Z8" s="170"/>
      <c r="AA8" s="170"/>
      <c r="AB8" s="170"/>
      <c r="AC8" s="170"/>
      <c r="AD8" s="53"/>
      <c r="AE8" s="53"/>
    </row>
    <row r="9" ht="22.5" customHeight="1">
      <c r="A9" s="53"/>
      <c r="B9" s="183" t="str">
        <f>IFERROR(__xludf.DUMMYFUNCTION("""COMPUTED_VALUE"""),"2605H037
Yani YN Snack
081291902737
Lainnya")</f>
        <v>2605H037
Yani YN Snack
081291902737
Lainnya</v>
      </c>
      <c r="C9" s="176" t="str">
        <f>IFERROR(__xludf.DUMMYFUNCTION("""COMPUTED_VALUE"""),"
2027
 pax
Rp0")</f>
        <v>
2027
 pax
Rp0</v>
      </c>
      <c r="D9" s="177" t="str">
        <f>IFERROR(__xludf.DUMMYFUNCTION("""COMPUTED_VALUE"""),"fu 25 desember ")</f>
        <v>fu 25 desember </v>
      </c>
      <c r="E9" s="183"/>
      <c r="F9" s="53"/>
      <c r="G9" s="183" t="str">
        <f>IFERROR(__xludf.DUMMYFUNCTION("""COMPUTED_VALUE"""),"2602H041
Putri 
081568478359
Website")</f>
        <v>2602H041
Putri 
081568478359
Website</v>
      </c>
      <c r="H9" s="183" t="str">
        <f>IFERROR(__xludf.DUMMYFUNCTION("""COMPUTED_VALUE"""),"trip 4H3M
22 pax
Rp29.240.000")</f>
        <v>trip 4H3M
22 pax
Rp29.240.000</v>
      </c>
      <c r="I9" s="184" t="str">
        <f>IFERROR(__xludf.DUMMYFUNCTION("""COMPUTED_VALUE"""),"nanya pricelist paket, fu 25 juni")</f>
        <v>nanya pricelist paket, fu 25 juni</v>
      </c>
      <c r="J9" s="183"/>
      <c r="K9" s="53"/>
      <c r="L9" s="183" t="str">
        <f>IFERROR(__xludf.DUMMYFUNCTION("""COMPUTED_VALUE"""),"2606H020
Rita
081380107830
Instagram")</f>
        <v>2606H020
Rita
081380107830
Instagram</v>
      </c>
      <c r="M9" s="183" t="str">
        <f>IFERROR(__xludf.DUMMYFUNCTION("""COMPUTED_VALUE"""),"3h2m opsi a
46195
5 pax
Rp7.000.000")</f>
        <v>3h2m opsi a
46195
5 pax
Rp7.000.000</v>
      </c>
      <c r="N9" s="184" t="str">
        <f>IFERROR(__xludf.DUMMYFUNCTION("""COMPUTED_VALUE"""),"fu 19 juni")</f>
        <v>fu 19 juni</v>
      </c>
      <c r="O9" s="183"/>
      <c r="P9" s="53"/>
      <c r="Q9" s="183"/>
      <c r="R9" s="183"/>
      <c r="S9" s="184"/>
      <c r="T9" s="183"/>
      <c r="U9" s="53"/>
      <c r="V9" s="53"/>
      <c r="W9" s="53"/>
      <c r="X9" s="171"/>
      <c r="Y9" s="170"/>
      <c r="Z9" s="170"/>
      <c r="AA9" s="170"/>
      <c r="AB9" s="170"/>
      <c r="AC9" s="170"/>
      <c r="AD9" s="53"/>
      <c r="AE9" s="53"/>
    </row>
    <row r="10" ht="22.5" customHeight="1">
      <c r="A10" s="53"/>
      <c r="B10" s="183" t="str">
        <f>IFERROR(__xludf.DUMMYFUNCTION("""COMPUTED_VALUE"""),"2605H040
Titi Murni
081218470810
Lainnya")</f>
        <v>2605H040
Titi Murni
081218470810
Lainnya</v>
      </c>
      <c r="C10" s="176" t="str">
        <f>IFERROR(__xludf.DUMMYFUNCTION("""COMPUTED_VALUE"""),"
 pax
Rp0")</f>
        <v>
 pax
Rp0</v>
      </c>
      <c r="D10" s="177" t="str">
        <f>IFERROR(__xludf.DUMMYFUNCTION("""COMPUTED_VALUE"""),"masih tanya tanya, fu19 juni")</f>
        <v>masih tanya tanya, fu19 juni</v>
      </c>
      <c r="E10" s="183"/>
      <c r="F10" s="53"/>
      <c r="G10" s="183" t="str">
        <f>IFERROR(__xludf.DUMMYFUNCTION("""COMPUTED_VALUE"""),"2604H006
Susilowati
081291435110
Lainnya")</f>
        <v>2604H006
Susilowati
081291435110
Lainnya</v>
      </c>
      <c r="H10" s="183" t="str">
        <f>IFERROR(__xludf.DUMMYFUNCTION("""COMPUTED_VALUE"""),"3h2m
10 pax
Rp17.000.000")</f>
        <v>3h2m
10 pax
Rp17.000.000</v>
      </c>
      <c r="I10" s="184" t="str">
        <f>IFERROR(__xludf.DUMMYFUNCTION("""COMPUTED_VALUE"""),"blm balas. fu lagi 27 juli")</f>
        <v>blm balas. fu lagi 27 juli</v>
      </c>
      <c r="J10" s="178" t="str">
        <f>IFERROR(__xludf.DUMMYFUNCTION("""COMPUTED_VALUE"""),"https://docs.google.com/document/d/1qskYbktmW1TouXvT76GUk6i_0WL2Id-O1eVL9uxQc6g/edit?usp=drivesdk")</f>
        <v>https://docs.google.com/document/d/1qskYbktmW1TouXvT76GUk6i_0WL2Id-O1eVL9uxQc6g/edit?usp=drivesdk</v>
      </c>
      <c r="K10" s="53"/>
      <c r="L10" s="183" t="str">
        <f>IFERROR(__xludf.DUMMYFUNCTION("""COMPUTED_VALUE"""),"2606H082
Diana
085715229706
Website")</f>
        <v>2606H082
Diana
085715229706
Website</v>
      </c>
      <c r="M10" s="183" t="str">
        <f>IFERROR(__xludf.DUMMYFUNCTION("""COMPUTED_VALUE"""),"ijen
46382
4 pax
Rp1.160.000")</f>
        <v>ijen
46382
4 pax
Rp1.160.000</v>
      </c>
      <c r="N10" s="184" t="str">
        <f>IFERROR(__xludf.DUMMYFUNCTION("""COMPUTED_VALUE"""),"fu 1 desember")</f>
        <v>fu 1 desember</v>
      </c>
      <c r="O10" s="183"/>
      <c r="P10" s="53"/>
      <c r="Q10" s="53"/>
      <c r="R10" s="53"/>
      <c r="S10" s="171"/>
      <c r="T10" s="170"/>
      <c r="U10" s="53"/>
      <c r="V10" s="53"/>
      <c r="W10" s="53"/>
      <c r="X10" s="171"/>
      <c r="Y10" s="170"/>
      <c r="Z10" s="170"/>
      <c r="AA10" s="170"/>
      <c r="AB10" s="170"/>
      <c r="AC10" s="170"/>
      <c r="AD10" s="53"/>
      <c r="AE10" s="53"/>
    </row>
    <row r="11" ht="22.5" customHeight="1">
      <c r="A11" s="53"/>
      <c r="B11" s="183" t="str">
        <f>IFERROR(__xludf.DUMMYFUNCTION("""COMPUTED_VALUE"""),"2605H056
Letsman Tendy
081908168888
Lainnya")</f>
        <v>2605H056
Letsman Tendy
081908168888
Lainnya</v>
      </c>
      <c r="C11" s="176" t="str">
        <f>IFERROR(__xludf.DUMMYFUNCTION("""COMPUTED_VALUE"""),"3h2m
10 pax
Rp9.530.000")</f>
        <v>3h2m
10 pax
Rp9.530.000</v>
      </c>
      <c r="D11" s="177" t="str">
        <f>IFERROR(__xludf.DUMMYFUNCTION("""COMPUTED_VALUE"""),"fu 7 juni")</f>
        <v>fu 7 juni</v>
      </c>
      <c r="E11" s="183"/>
      <c r="F11" s="53"/>
      <c r="G11" s="183" t="str">
        <f>IFERROR(__xludf.DUMMYFUNCTION("""COMPUTED_VALUE"""),"2604H024
Michael Rully
085156580342
Lainnya")</f>
        <v>2604H024
Michael Rully
085156580342
Lainnya</v>
      </c>
      <c r="H11" s="183" t="str">
        <f>IFERROR(__xludf.DUMMYFUNCTION("""COMPUTED_VALUE"""),"3h2m opsi b
2 pax
Rp5.664.000")</f>
        <v>3h2m opsi b
2 pax
Rp5.664.000</v>
      </c>
      <c r="I11" s="184" t="str">
        <f>IFERROR(__xludf.DUMMYFUNCTION("""COMPUTED_VALUE"""),"fu 18 juni")</f>
        <v>fu 18 juni</v>
      </c>
      <c r="J11" s="183"/>
      <c r="K11" s="53"/>
      <c r="L11" s="183"/>
      <c r="M11" s="183"/>
      <c r="N11" s="184"/>
      <c r="O11" s="183"/>
      <c r="P11" s="53"/>
      <c r="Q11" s="53"/>
      <c r="R11" s="53"/>
      <c r="S11" s="171"/>
      <c r="T11" s="170"/>
      <c r="U11" s="53"/>
      <c r="V11" s="53"/>
      <c r="W11" s="53"/>
      <c r="X11" s="171"/>
      <c r="Y11" s="170"/>
      <c r="Z11" s="170"/>
      <c r="AA11" s="170"/>
      <c r="AB11" s="170"/>
      <c r="AC11" s="170"/>
      <c r="AD11" s="53"/>
      <c r="AE11" s="53"/>
    </row>
    <row r="12" ht="22.5" customHeight="1">
      <c r="A12" s="53"/>
      <c r="B12" s="183" t="str">
        <f>IFERROR(__xludf.DUMMYFUNCTION("""COMPUTED_VALUE"""),"2605H061
Heri Budiono
0817834730
Website")</f>
        <v>2605H061
Heri Budiono
0817834730
Website</v>
      </c>
      <c r="C12" s="176" t="str">
        <f>IFERROR(__xludf.DUMMYFUNCTION("""COMPUTED_VALUE"""),"
 pax
Rp0")</f>
        <v>
 pax
Rp0</v>
      </c>
      <c r="D12" s="177" t="str">
        <f>IFERROR(__xludf.DUMMYFUNCTION("""COMPUTED_VALUE"""),"hanya menyapa. fu juni")</f>
        <v>hanya menyapa. fu juni</v>
      </c>
      <c r="E12" s="183"/>
      <c r="F12" s="53"/>
      <c r="G12" s="183" t="str">
        <f>IFERROR(__xludf.DUMMYFUNCTION("""COMPUTED_VALUE"""),"2604H047
DENIS
08128534418
Lainnya")</f>
        <v>2604H047
DENIS
08128534418
Lainnya</v>
      </c>
      <c r="H12" s="183" t="str">
        <f>IFERROR(__xludf.DUMMYFUNCTION("""COMPUTED_VALUE"""),"3h2m
40 pax
Rp84.000.000")</f>
        <v>3h2m
40 pax
Rp84.000.000</v>
      </c>
      <c r="I12" s="184" t="str">
        <f>IFERROR(__xludf.DUMMYFUNCTION("""COMPUTED_VALUE"""),"FU 18 juni")</f>
        <v>FU 18 juni</v>
      </c>
      <c r="J12" s="178" t="str">
        <f>IFERROR(__xludf.DUMMYFUNCTION("""COMPUTED_VALUE"""),"https://docs.google.com/document/d/1azcgmQvYmry9OxnQr7Un_vB01TziFdSuhiNj2Yth5hM/edit?usp=drivesdk")</f>
        <v>https://docs.google.com/document/d/1azcgmQvYmry9OxnQr7Un_vB01TziFdSuhiNj2Yth5hM/edit?usp=drivesdk</v>
      </c>
      <c r="K12" s="53"/>
      <c r="L12" s="183"/>
      <c r="M12" s="183"/>
      <c r="N12" s="184"/>
      <c r="O12" s="183"/>
      <c r="P12" s="53"/>
      <c r="Q12" s="53"/>
      <c r="R12" s="53"/>
      <c r="S12" s="171"/>
      <c r="T12" s="170"/>
      <c r="U12" s="53"/>
      <c r="V12" s="53"/>
      <c r="W12" s="53"/>
      <c r="X12" s="171"/>
      <c r="Y12" s="170"/>
      <c r="Z12" s="170"/>
      <c r="AA12" s="170"/>
      <c r="AB12" s="170"/>
      <c r="AC12" s="170"/>
      <c r="AD12" s="53"/>
      <c r="AE12" s="53"/>
    </row>
    <row r="13" ht="22.5" customHeight="1">
      <c r="A13" s="53"/>
      <c r="B13" s="183" t="str">
        <f>IFERROR(__xludf.DUMMYFUNCTION("""COMPUTED_VALUE"""),"2605H062
Masdar
08111334507
Website")</f>
        <v>2605H062
Masdar
08111334507
Website</v>
      </c>
      <c r="C13" s="176" t="str">
        <f>IFERROR(__xludf.DUMMYFUNCTION("""COMPUTED_VALUE"""),"
 pax
Rp0")</f>
        <v>
 pax
Rp0</v>
      </c>
      <c r="D13" s="177" t="str">
        <f>IFERROR(__xludf.DUMMYFUNCTION("""COMPUTED_VALUE"""),"hanya menyapa. fu 7 juni")</f>
        <v>hanya menyapa. fu 7 juni</v>
      </c>
      <c r="E13" s="183"/>
      <c r="F13" s="53"/>
      <c r="G13" s="183" t="str">
        <f>IFERROR(__xludf.DUMMYFUNCTION("""COMPUTED_VALUE"""),"2604H052
Tyo
081519481132
Lainnya")</f>
        <v>2604H052
Tyo
081519481132
Lainnya</v>
      </c>
      <c r="H13" s="183" t="str">
        <f>IFERROR(__xludf.DUMMYFUNCTION("""COMPUTED_VALUE"""),"one day wurung baluran
46207
2 pax
Rp1.550.000")</f>
        <v>one day wurung baluran
46207
2 pax
Rp1.550.000</v>
      </c>
      <c r="I13" s="184" t="str">
        <f>IFERROR(__xludf.DUMMYFUNCTION("""COMPUTED_VALUE"""),"fu 26 juni")</f>
        <v>fu 26 juni</v>
      </c>
      <c r="J13" s="183"/>
      <c r="K13" s="53"/>
      <c r="L13" s="183"/>
      <c r="M13" s="183"/>
      <c r="N13" s="184"/>
      <c r="O13" s="183"/>
      <c r="P13" s="53"/>
      <c r="Q13" s="53"/>
      <c r="R13" s="53"/>
      <c r="S13" s="171"/>
      <c r="T13" s="170"/>
      <c r="U13" s="53"/>
      <c r="V13" s="53"/>
      <c r="W13" s="53"/>
      <c r="X13" s="171"/>
      <c r="Y13" s="170"/>
      <c r="Z13" s="170"/>
      <c r="AA13" s="170"/>
      <c r="AB13" s="170"/>
      <c r="AC13" s="170"/>
      <c r="AD13" s="53"/>
      <c r="AE13" s="53"/>
    </row>
    <row r="14" ht="22.5" customHeight="1">
      <c r="A14" s="53"/>
      <c r="B14" s="183" t="str">
        <f>IFERROR(__xludf.DUMMYFUNCTION("""COMPUTED_VALUE"""),"2605H063
Liza Icha
081314233382
Lainnya")</f>
        <v>2605H063
Liza Icha
081314233382
Lainnya</v>
      </c>
      <c r="C14" s="176" t="str">
        <f>IFERROR(__xludf.DUMMYFUNCTION("""COMPUTED_VALUE"""),"
 pax
Rp0")</f>
        <v>
 pax
Rp0</v>
      </c>
      <c r="D14" s="177" t="str">
        <f>IFERROR(__xludf.DUMMYFUNCTION("""COMPUTED_VALUE"""),"fu 7 juni")</f>
        <v>fu 7 juni</v>
      </c>
      <c r="E14" s="183"/>
      <c r="F14" s="53"/>
      <c r="G14" s="183" t="str">
        <f>IFERROR(__xludf.DUMMYFUNCTION("""COMPUTED_VALUE"""),"2604H059
Febri
088221153498
Lainnya")</f>
        <v>2604H059
Febri
088221153498
Lainnya</v>
      </c>
      <c r="H14" s="183" t="str">
        <f>IFERROR(__xludf.DUMMYFUNCTION("""COMPUTED_VALUE"""),"full day ijen wurung baluran
3 pax
Rp2.106.000")</f>
        <v>full day ijen wurung baluran
3 pax
Rp2.106.000</v>
      </c>
      <c r="I14" s="184" t="str">
        <f>IFERROR(__xludf.DUMMYFUNCTION("""COMPUTED_VALUE"""),"masih tanya2 open trip juga. fu 26 juni")</f>
        <v>masih tanya2 open trip juga. fu 26 juni</v>
      </c>
      <c r="J14" s="183"/>
      <c r="K14" s="53"/>
      <c r="L14" s="183"/>
      <c r="M14" s="183"/>
      <c r="N14" s="184"/>
      <c r="O14" s="183"/>
      <c r="P14" s="53"/>
      <c r="Q14" s="53"/>
      <c r="R14" s="53"/>
      <c r="S14" s="171"/>
      <c r="T14" s="170"/>
      <c r="U14" s="53"/>
      <c r="V14" s="53"/>
      <c r="W14" s="53"/>
      <c r="X14" s="171"/>
      <c r="Y14" s="170"/>
      <c r="Z14" s="170"/>
      <c r="AA14" s="170"/>
      <c r="AB14" s="170"/>
      <c r="AC14" s="170"/>
      <c r="AD14" s="53"/>
      <c r="AE14" s="53"/>
    </row>
    <row r="15" ht="22.5" customHeight="1">
      <c r="A15" s="53"/>
      <c r="B15" s="183" t="str">
        <f>IFERROR(__xludf.DUMMYFUNCTION("""COMPUTED_VALUE"""),"2606H007
David Barlian
087878934431
Website")</f>
        <v>2606H007
David Barlian
087878934431
Website</v>
      </c>
      <c r="C15" s="176" t="str">
        <f>IFERROR(__xludf.DUMMYFUNCTION("""COMPUTED_VALUE"""),"3h2m opsi b
25 pax
Rp0")</f>
        <v>3h2m opsi b
25 pax
Rp0</v>
      </c>
      <c r="D15" s="177" t="str">
        <f>IFERROR(__xludf.DUMMYFUNCTION("""COMPUTED_VALUE"""),"buat penawaran tanggal 7 juni")</f>
        <v>buat penawaran tanggal 7 juni</v>
      </c>
      <c r="E15" s="183"/>
      <c r="F15" s="53"/>
      <c r="G15" s="183" t="str">
        <f>IFERROR(__xludf.DUMMYFUNCTION("""COMPUTED_VALUE"""),"2605H002
Widya
085706144955
Lainnya")</f>
        <v>2605H002
Widya
085706144955
Lainnya</v>
      </c>
      <c r="H15" s="183" t="str">
        <f>IFERROR(__xludf.DUMMYFUNCTION("""COMPUTED_VALUE"""),"OT Green Island
 pax
Rp0")</f>
        <v>OT Green Island
 pax
Rp0</v>
      </c>
      <c r="I15" s="184" t="str">
        <f>IFERROR(__xludf.DUMMYFUNCTION("""COMPUTED_VALUE"""),"fu 19 juni")</f>
        <v>fu 19 juni</v>
      </c>
      <c r="J15" s="178" t="str">
        <f>IFERROR(__xludf.DUMMYFUNCTION("""COMPUTED_VALUE"""),"https://docs.google.com/document/d/10d1_HNFhLrWa0RFBNQ9sJiYjG9EEHCqfSvV537DNSD4/edit?usp=drivesdk")</f>
        <v>https://docs.google.com/document/d/10d1_HNFhLrWa0RFBNQ9sJiYjG9EEHCqfSvV537DNSD4/edit?usp=drivesdk</v>
      </c>
      <c r="K15" s="53"/>
      <c r="L15" s="183"/>
      <c r="M15" s="183"/>
      <c r="N15" s="184"/>
      <c r="O15" s="183"/>
      <c r="P15" s="53"/>
      <c r="Q15" s="53"/>
      <c r="R15" s="53"/>
      <c r="S15" s="171"/>
      <c r="T15" s="170"/>
      <c r="U15" s="53"/>
      <c r="V15" s="53"/>
      <c r="W15" s="53"/>
      <c r="X15" s="171"/>
      <c r="Y15" s="170"/>
      <c r="Z15" s="170"/>
      <c r="AA15" s="170"/>
      <c r="AB15" s="170"/>
      <c r="AC15" s="170"/>
      <c r="AD15" s="53"/>
      <c r="AE15" s="53"/>
    </row>
    <row r="16" ht="22.5" customHeight="1">
      <c r="A16" s="53"/>
      <c r="B16" s="183" t="str">
        <f>IFERROR(__xludf.DUMMYFUNCTION("""COMPUTED_VALUE"""),"2606H040
Tardi Simatupang
0811855219
Website")</f>
        <v>2606H040
Tardi Simatupang
0811855219
Website</v>
      </c>
      <c r="C16" s="176" t="str">
        <f>IFERROR(__xludf.DUMMYFUNCTION("""COMPUTED_VALUE"""),"pulau merah
 pax
Rp0")</f>
        <v>pulau merah
 pax
Rp0</v>
      </c>
      <c r="D16" s="177" t="str">
        <f>IFERROR(__xludf.DUMMYFUNCTION("""COMPUTED_VALUE"""),"belum ada kelanjutan")</f>
        <v>belum ada kelanjutan</v>
      </c>
      <c r="E16" s="183"/>
      <c r="F16" s="53"/>
      <c r="G16" s="183" t="str">
        <f>IFERROR(__xludf.DUMMYFUNCTION("""COMPUTED_VALUE"""),"2605H008
cy ncy
082124589606
Lainnya")</f>
        <v>2605H008
cy ncy
082124589606
Lainnya</v>
      </c>
      <c r="H16" s="183" t="str">
        <f>IFERROR(__xludf.DUMMYFUNCTION("""COMPUTED_VALUE"""),"3h2m
30 pax
Rp51.750.000")</f>
        <v>3h2m
30 pax
Rp51.750.000</v>
      </c>
      <c r="I16" s="184" t="str">
        <f>IFERROR(__xludf.DUMMYFUNCTION("""COMPUTED_VALUE"""),"fu 26 Juni")</f>
        <v>fu 26 Juni</v>
      </c>
      <c r="J16" s="183"/>
      <c r="K16" s="53"/>
      <c r="L16" s="183"/>
      <c r="M16" s="183"/>
      <c r="N16" s="184"/>
      <c r="O16" s="183"/>
      <c r="P16" s="53"/>
      <c r="Q16" s="53"/>
      <c r="R16" s="53"/>
      <c r="S16" s="171"/>
      <c r="T16" s="170"/>
      <c r="U16" s="53"/>
      <c r="V16" s="53"/>
      <c r="W16" s="53"/>
      <c r="X16" s="171"/>
      <c r="Y16" s="170"/>
      <c r="Z16" s="170"/>
      <c r="AA16" s="170"/>
      <c r="AB16" s="170"/>
      <c r="AC16" s="170"/>
      <c r="AD16" s="53"/>
      <c r="AE16" s="53"/>
    </row>
    <row r="17" ht="22.5" customHeight="1">
      <c r="A17" s="53"/>
      <c r="B17" s="183" t="str">
        <f>IFERROR(__xludf.DUMMYFUNCTION("""COMPUTED_VALUE"""),"2606H042
Geri
0895328886777
Lainnya")</f>
        <v>2606H042
Geri
0895328886777
Lainnya</v>
      </c>
      <c r="C17" s="176" t="str">
        <f>IFERROR(__xludf.DUMMYFUNCTION("""COMPUTED_VALUE"""),"ijen
 pax
Rp0")</f>
        <v>ijen
 pax
Rp0</v>
      </c>
      <c r="D17" s="177" t="str">
        <f>IFERROR(__xludf.DUMMYFUNCTION("""COMPUTED_VALUE"""),"gada balasan. fu 21 juni")</f>
        <v>gada balasan. fu 21 juni</v>
      </c>
      <c r="E17" s="183"/>
      <c r="F17" s="53"/>
      <c r="G17" s="183" t="str">
        <f>IFERROR(__xludf.DUMMYFUNCTION("""COMPUTED_VALUE"""),"2605H010
Bayu (ikan)
085718258132
Website")</f>
        <v>2605H010
Bayu (ikan)
085718258132
Website</v>
      </c>
      <c r="H17" s="183" t="str">
        <f>IFERROR(__xludf.DUMMYFUNCTION("""COMPUTED_VALUE"""),"3h2m b
2 pax
Rp5.664.000")</f>
        <v>3h2m b
2 pax
Rp5.664.000</v>
      </c>
      <c r="I17" s="184" t="str">
        <f>IFERROR(__xludf.DUMMYFUNCTION("""COMPUTED_VALUE"""),"fu 18 juni")</f>
        <v>fu 18 juni</v>
      </c>
      <c r="J17" s="183"/>
      <c r="K17" s="53"/>
      <c r="L17" s="183"/>
      <c r="M17" s="183"/>
      <c r="N17" s="184"/>
      <c r="O17" s="183"/>
      <c r="P17" s="53"/>
      <c r="Q17" s="53"/>
      <c r="R17" s="53"/>
      <c r="S17" s="171"/>
      <c r="T17" s="170"/>
      <c r="U17" s="53"/>
      <c r="V17" s="53"/>
      <c r="W17" s="53"/>
      <c r="X17" s="171"/>
      <c r="Y17" s="170"/>
      <c r="Z17" s="170"/>
      <c r="AA17" s="170"/>
      <c r="AB17" s="170"/>
      <c r="AC17" s="170"/>
      <c r="AD17" s="53"/>
      <c r="AE17" s="53"/>
    </row>
    <row r="18" ht="22.5" customHeight="1">
      <c r="A18" s="53"/>
      <c r="B18" s="183" t="str">
        <f>IFERROR(__xludf.DUMMYFUNCTION("""COMPUTED_VALUE"""),"2606H050
Nike Zulfarli Mawardi
08111001580
Website")</f>
        <v>2606H050
Nike Zulfarli Mawardi
08111001580
Website</v>
      </c>
      <c r="C18" s="176" t="str">
        <f>IFERROR(__xludf.DUMMYFUNCTION("""COMPUTED_VALUE"""),"3h2m
46264
16 pax
Rp0")</f>
        <v>3h2m
46264
16 pax
Rp0</v>
      </c>
      <c r="D18" s="177"/>
      <c r="E18" s="183"/>
      <c r="F18" s="53"/>
      <c r="G18" s="183" t="str">
        <f>IFERROR(__xludf.DUMMYFUNCTION("""COMPUTED_VALUE"""),"2605H021
Henda M E
081290016726
Instagram")</f>
        <v>2605H021
Henda M E
081290016726
Instagram</v>
      </c>
      <c r="H18" s="183" t="str">
        <f>IFERROR(__xludf.DUMMYFUNCTION("""COMPUTED_VALUE"""),"2h1m opsi c + ijen
6 pax
Rp7.380.000")</f>
        <v>2h1m opsi c + ijen
6 pax
Rp7.380.000</v>
      </c>
      <c r="I18" s="184" t="str">
        <f>IFERROR(__xludf.DUMMYFUNCTION("""COMPUTED_VALUE"""),"fu 18 juni")</f>
        <v>fu 18 juni</v>
      </c>
      <c r="J18" s="183"/>
      <c r="K18" s="53"/>
      <c r="L18" s="183"/>
      <c r="M18" s="183"/>
      <c r="N18" s="184"/>
      <c r="O18" s="183"/>
      <c r="P18" s="53"/>
      <c r="Q18" s="53"/>
      <c r="R18" s="53"/>
      <c r="S18" s="171"/>
      <c r="T18" s="170"/>
      <c r="U18" s="53"/>
      <c r="V18" s="53"/>
      <c r="W18" s="53"/>
      <c r="X18" s="171"/>
      <c r="Y18" s="170"/>
      <c r="Z18" s="170"/>
      <c r="AA18" s="170"/>
      <c r="AB18" s="170"/>
      <c r="AC18" s="170"/>
      <c r="AD18" s="53"/>
      <c r="AE18" s="53"/>
    </row>
    <row r="19" ht="22.5" customHeight="1">
      <c r="A19" s="53"/>
      <c r="B19" s="183" t="str">
        <f>IFERROR(__xludf.DUMMYFUNCTION("""COMPUTED_VALUE"""),"2606H052
Andhika Gembul
087852485097
Website")</f>
        <v>2606H052
Andhika Gembul
087852485097
Website</v>
      </c>
      <c r="C19" s="176" t="str">
        <f>IFERROR(__xludf.DUMMYFUNCTION("""COMPUTED_VALUE"""),"3h2m custom
2 pax
Rp0")</f>
        <v>3h2m custom
2 pax
Rp0</v>
      </c>
      <c r="D19" s="177"/>
      <c r="E19" s="183"/>
      <c r="F19" s="53"/>
      <c r="G19" s="183" t="str">
        <f>IFERROR(__xludf.DUMMYFUNCTION("""COMPUTED_VALUE"""),"2605H025
Emil
082299201440
Lainnya")</f>
        <v>2605H025
Emil
082299201440
Lainnya</v>
      </c>
      <c r="H19" s="183" t="str">
        <f>IFERROR(__xludf.DUMMYFUNCTION("""COMPUTED_VALUE"""),"3h2m
6 pax
Rp9.672.000")</f>
        <v>3h2m
6 pax
Rp9.672.000</v>
      </c>
      <c r="I19" s="184" t="str">
        <f>IFERROR(__xludf.DUMMYFUNCTION("""COMPUTED_VALUE"""),"masih belum ada balasan. fu 25 juli")</f>
        <v>masih belum ada balasan. fu 25 juli</v>
      </c>
      <c r="J19" s="183"/>
      <c r="K19" s="53"/>
      <c r="L19" s="183"/>
      <c r="M19" s="183"/>
      <c r="N19" s="184"/>
      <c r="O19" s="183"/>
      <c r="P19" s="53"/>
      <c r="Q19" s="53"/>
      <c r="R19" s="53"/>
      <c r="S19" s="171"/>
      <c r="T19" s="170"/>
      <c r="U19" s="53"/>
      <c r="V19" s="53"/>
      <c r="W19" s="53"/>
      <c r="X19" s="171"/>
      <c r="Y19" s="170"/>
      <c r="Z19" s="170"/>
      <c r="AA19" s="170"/>
      <c r="AB19" s="170"/>
      <c r="AC19" s="170"/>
      <c r="AD19" s="53"/>
      <c r="AE19" s="53"/>
    </row>
    <row r="20" ht="22.5" customHeight="1">
      <c r="A20" s="53"/>
      <c r="B20" s="183" t="str">
        <f>IFERROR(__xludf.DUMMYFUNCTION("""COMPUTED_VALUE"""),"2606H065
Ririen Indrasari
08118984499
Website")</f>
        <v>2606H065
Ririen Indrasari
08118984499
Website</v>
      </c>
      <c r="C20" s="176" t="str">
        <f>IFERROR(__xludf.DUMMYFUNCTION("""COMPUTED_VALUE"""),"2h1m pp sby
 pax
Rp0")</f>
        <v>2h1m pp sby
 pax
Rp0</v>
      </c>
      <c r="D20" s="177"/>
      <c r="E20" s="183"/>
      <c r="F20" s="53"/>
      <c r="G20" s="183" t="str">
        <f>IFERROR(__xludf.DUMMYFUNCTION("""COMPUTED_VALUE"""),"2605H041
Indriana
087875147180
Lainnya")</f>
        <v>2605H041
Indriana
087875147180
Lainnya</v>
      </c>
      <c r="H20" s="183" t="str">
        <f>IFERROR(__xludf.DUMMYFUNCTION("""COMPUTED_VALUE"""),"baluran
46204
2 pax
Rp1.550.000")</f>
        <v>baluran
46204
2 pax
Rp1.550.000</v>
      </c>
      <c r="I20" s="184" t="str">
        <f>IFERROR(__xludf.DUMMYFUNCTION("""COMPUTED_VALUE"""),"fu 20 juni")</f>
        <v>fu 20 juni</v>
      </c>
      <c r="J20" s="183"/>
      <c r="K20" s="53"/>
      <c r="L20" s="53"/>
      <c r="M20" s="53"/>
      <c r="N20" s="171"/>
      <c r="O20" s="170"/>
      <c r="P20" s="53"/>
      <c r="Q20" s="53"/>
      <c r="R20" s="53"/>
      <c r="S20" s="171"/>
      <c r="T20" s="170"/>
      <c r="U20" s="53"/>
      <c r="V20" s="53"/>
      <c r="W20" s="53"/>
      <c r="X20" s="171"/>
      <c r="Y20" s="170"/>
      <c r="Z20" s="170"/>
      <c r="AA20" s="170"/>
      <c r="AB20" s="170"/>
      <c r="AC20" s="170"/>
      <c r="AD20" s="53"/>
      <c r="AE20" s="53"/>
    </row>
    <row r="21" ht="22.5" customHeight="1">
      <c r="A21" s="53"/>
      <c r="B21" s="183" t="str">
        <f>IFERROR(__xludf.DUMMYFUNCTION("""COMPUTED_VALUE"""),"2606H066
Ima Z
082230577700
Website")</f>
        <v>2606H066
Ima Z
082230577700
Website</v>
      </c>
      <c r="C21" s="176" t="str">
        <f>IFERROR(__xludf.DUMMYFUNCTION("""COMPUTED_VALUE"""),"3h2m
7 pax
Rp0")</f>
        <v>3h2m
7 pax
Rp0</v>
      </c>
      <c r="D21" s="177"/>
      <c r="E21" s="183"/>
      <c r="F21" s="53"/>
      <c r="G21" s="183" t="str">
        <f>IFERROR(__xludf.DUMMYFUNCTION("""COMPUTED_VALUE"""),"2605H045
Elly/Mamah Fadil
085924584545
Lainnya")</f>
        <v>2605H045
Elly/Mamah Fadil
085924584545
Lainnya</v>
      </c>
      <c r="H21" s="183" t="str">
        <f>IFERROR(__xludf.DUMMYFUNCTION("""COMPUTED_VALUE"""),"3h2m
46661
48 pax
Rp88.800.000")</f>
        <v>3h2m
46661
48 pax
Rp88.800.000</v>
      </c>
      <c r="I21" s="184" t="str">
        <f>IFERROR(__xludf.DUMMYFUNCTION("""COMPUTED_VALUE"""),"fu 7 desember 2026")</f>
        <v>fu 7 desember 2026</v>
      </c>
      <c r="J21" s="183"/>
      <c r="K21" s="53"/>
      <c r="L21" s="53"/>
      <c r="M21" s="53"/>
      <c r="N21" s="171"/>
      <c r="O21" s="170"/>
      <c r="P21" s="53"/>
      <c r="Q21" s="53"/>
      <c r="R21" s="53"/>
      <c r="S21" s="171"/>
      <c r="T21" s="170"/>
      <c r="U21" s="53"/>
      <c r="V21" s="53"/>
      <c r="W21" s="53"/>
      <c r="X21" s="171"/>
      <c r="Y21" s="170"/>
      <c r="Z21" s="170"/>
      <c r="AA21" s="170"/>
      <c r="AB21" s="170"/>
      <c r="AC21" s="170"/>
      <c r="AD21" s="53"/>
      <c r="AE21" s="53"/>
    </row>
    <row r="22" ht="22.5" customHeight="1">
      <c r="A22" s="53"/>
      <c r="B22" s="183" t="str">
        <f>IFERROR(__xludf.DUMMYFUNCTION("""COMPUTED_VALUE"""),"2606H067
Tjiptaningsih
08161801862
Website")</f>
        <v>2606H067
Tjiptaningsih
08161801862
Website</v>
      </c>
      <c r="C22" s="176" t="str">
        <f>IFERROR(__xludf.DUMMYFUNCTION("""COMPUTED_VALUE"""),"ot3h2m
2 pax
Rp0")</f>
        <v>ot3h2m
2 pax
Rp0</v>
      </c>
      <c r="D22" s="177"/>
      <c r="E22" s="183"/>
      <c r="F22" s="53"/>
      <c r="G22" s="183" t="str">
        <f>IFERROR(__xludf.DUMMYFUNCTION("""COMPUTED_VALUE"""),"2605H046
Iis Wasitoh
0811865752
Lainnya")</f>
        <v>2605H046
Iis Wasitoh
0811865752
Lainnya</v>
      </c>
      <c r="H22" s="183" t="str">
        <f>IFERROR(__xludf.DUMMYFUNCTION("""COMPUTED_VALUE"""),"4h3m
5 pax
Rp11.250.000")</f>
        <v>4h3m
5 pax
Rp11.250.000</v>
      </c>
      <c r="I22" s="184" t="str">
        <f>IFERROR(__xludf.DUMMYFUNCTION("""COMPUTED_VALUE"""),"fu 18 juni")</f>
        <v>fu 18 juni</v>
      </c>
      <c r="J22" s="183"/>
      <c r="K22" s="53"/>
      <c r="L22" s="53"/>
      <c r="M22" s="53"/>
      <c r="N22" s="171"/>
      <c r="O22" s="170"/>
      <c r="P22" s="53"/>
      <c r="Q22" s="53"/>
      <c r="R22" s="53"/>
      <c r="S22" s="171"/>
      <c r="T22" s="170"/>
      <c r="U22" s="53"/>
      <c r="V22" s="53"/>
      <c r="W22" s="53"/>
      <c r="X22" s="171"/>
      <c r="Y22" s="170"/>
      <c r="Z22" s="170"/>
      <c r="AA22" s="170"/>
      <c r="AB22" s="170"/>
      <c r="AC22" s="170"/>
      <c r="AD22" s="53"/>
      <c r="AE22" s="53"/>
    </row>
    <row r="23" ht="22.5" customHeight="1">
      <c r="A23" s="53"/>
      <c r="B23" s="183" t="str">
        <f>IFERROR(__xludf.DUMMYFUNCTION("""COMPUTED_VALUE"""),"2606H069
Candra Libriyanto
085779936276
Website")</f>
        <v>2606H069
Candra Libriyanto
085779936276
Website</v>
      </c>
      <c r="C23" s="176" t="str">
        <f>IFERROR(__xludf.DUMMYFUNCTION("""COMPUTED_VALUE"""),"
 pax
Rp0")</f>
        <v>
 pax
Rp0</v>
      </c>
      <c r="D23" s="177" t="str">
        <f>IFERROR(__xludf.DUMMYFUNCTION("""COMPUTED_VALUE"""),"hanya menyapa. fu 6 juli")</f>
        <v>hanya menyapa. fu 6 juli</v>
      </c>
      <c r="E23" s="183"/>
      <c r="F23" s="53"/>
      <c r="G23" s="183" t="str">
        <f>IFERROR(__xludf.DUMMYFUNCTION("""COMPUTED_VALUE"""),"2606H013
Evi (Netty)
087825224105
Lainnya")</f>
        <v>2606H013
Evi (Netty)
087825224105
Lainnya</v>
      </c>
      <c r="H23" s="183" t="str">
        <f>IFERROR(__xludf.DUMMYFUNCTION("""COMPUTED_VALUE"""),"3h2m a
46198
8 pax
Rp10.840.000")</f>
        <v>3h2m a
46198
8 pax
Rp10.840.000</v>
      </c>
      <c r="I23" s="184" t="str">
        <f>IFERROR(__xludf.DUMMYFUNCTION("""COMPUTED_VALUE"""),"FU 21 JUNI")</f>
        <v>FU 21 JUNI</v>
      </c>
      <c r="J23" s="183"/>
      <c r="K23" s="53"/>
      <c r="L23" s="53"/>
      <c r="M23" s="53"/>
      <c r="N23" s="171"/>
      <c r="O23" s="170"/>
      <c r="P23" s="53"/>
      <c r="Q23" s="53"/>
      <c r="R23" s="53"/>
      <c r="S23" s="171"/>
      <c r="T23" s="170"/>
      <c r="U23" s="53"/>
      <c r="V23" s="53"/>
      <c r="W23" s="53"/>
      <c r="X23" s="171"/>
      <c r="Y23" s="170"/>
      <c r="Z23" s="170"/>
      <c r="AA23" s="170"/>
      <c r="AB23" s="170"/>
      <c r="AC23" s="170"/>
      <c r="AD23" s="53"/>
      <c r="AE23" s="53"/>
    </row>
    <row r="24" ht="22.5" customHeight="1">
      <c r="A24" s="53"/>
      <c r="B24" s="183" t="str">
        <f>IFERROR(__xludf.DUMMYFUNCTION("""COMPUTED_VALUE"""),"2606H070
Yogi Alfionanta
0811150708
Website")</f>
        <v>2606H070
Yogi Alfionanta
0811150708
Website</v>
      </c>
      <c r="C24" s="176" t="str">
        <f>IFERROR(__xludf.DUMMYFUNCTION("""COMPUTED_VALUE"""),"
4 pax
Rp0")</f>
        <v>
4 pax
Rp0</v>
      </c>
      <c r="D24" s="177" t="str">
        <f>IFERROR(__xludf.DUMMYFUNCTION("""COMPUTED_VALUE"""),"fu 30 juni")</f>
        <v>fu 30 juni</v>
      </c>
      <c r="E24" s="183"/>
      <c r="F24" s="53"/>
      <c r="G24" s="183" t="str">
        <f>IFERROR(__xludf.DUMMYFUNCTION("""COMPUTED_VALUE"""),"2606H022
Nurul Khairat
085710002559
Lainnya")</f>
        <v>2606H022
Nurul Khairat
085710002559
Lainnya</v>
      </c>
      <c r="H24" s="183" t="str">
        <f>IFERROR(__xludf.DUMMYFUNCTION("""COMPUTED_VALUE"""),"3h2m b
46255
8 pax
Rp9.120.000")</f>
        <v>3h2m b
46255
8 pax
Rp9.120.000</v>
      </c>
      <c r="I24" s="184" t="str">
        <f>IFERROR(__xludf.DUMMYFUNCTION("""COMPUTED_VALUE"""),"fu bulan 1 Agustus")</f>
        <v>fu bulan 1 Agustus</v>
      </c>
      <c r="J24" s="183"/>
      <c r="K24" s="53"/>
      <c r="L24" s="53"/>
      <c r="M24" s="53"/>
      <c r="N24" s="171"/>
      <c r="O24" s="170"/>
      <c r="P24" s="53"/>
      <c r="Q24" s="53"/>
      <c r="R24" s="53"/>
      <c r="S24" s="171"/>
      <c r="T24" s="170"/>
      <c r="U24" s="53"/>
      <c r="V24" s="53"/>
      <c r="W24" s="53"/>
      <c r="X24" s="171"/>
      <c r="Y24" s="170"/>
      <c r="Z24" s="170"/>
      <c r="AA24" s="170"/>
      <c r="AB24" s="170"/>
      <c r="AC24" s="170"/>
      <c r="AD24" s="53"/>
      <c r="AE24" s="53"/>
    </row>
    <row r="25" ht="22.5" customHeight="1">
      <c r="A25" s="53"/>
      <c r="B25" s="183" t="str">
        <f>IFERROR(__xludf.DUMMYFUNCTION("""COMPUTED_VALUE"""),"2606H071
M Shirly WUNAS
081354584785
Website")</f>
        <v>2606H071
M Shirly WUNAS
081354584785
Website</v>
      </c>
      <c r="C25" s="176" t="str">
        <f>IFERROR(__xludf.DUMMYFUNCTION("""COMPUTED_VALUE"""),"
46252
10 pax
Rp0")</f>
        <v>
46252
10 pax
Rp0</v>
      </c>
      <c r="D25" s="177"/>
      <c r="E25" s="183"/>
      <c r="F25" s="53"/>
      <c r="G25" s="183" t="str">
        <f>IFERROR(__xludf.DUMMYFUNCTION("""COMPUTED_VALUE"""),"2606H027
Imung
081389822063
Website")</f>
        <v>2606H027
Imung
081389822063
Website</v>
      </c>
      <c r="H25" s="183" t="str">
        <f>IFERROR(__xludf.DUMMYFUNCTION("""COMPUTED_VALUE"""),"3h2m
46203
4 pax
Rp0")</f>
        <v>3h2m
46203
4 pax
Rp0</v>
      </c>
      <c r="I25" s="184" t="str">
        <f>IFERROR(__xludf.DUMMYFUNCTION("""COMPUTED_VALUE"""),"fu 20 juni")</f>
        <v>fu 20 juni</v>
      </c>
      <c r="J25" s="183"/>
      <c r="K25" s="53"/>
      <c r="L25" s="53"/>
      <c r="M25" s="53"/>
      <c r="N25" s="171"/>
      <c r="O25" s="170"/>
      <c r="P25" s="53"/>
      <c r="Q25" s="53"/>
      <c r="R25" s="53"/>
      <c r="S25" s="171"/>
      <c r="T25" s="170"/>
      <c r="U25" s="53"/>
      <c r="V25" s="53"/>
      <c r="W25" s="53"/>
      <c r="X25" s="171"/>
      <c r="Y25" s="170"/>
      <c r="Z25" s="170"/>
      <c r="AA25" s="170"/>
      <c r="AB25" s="170"/>
      <c r="AC25" s="170"/>
      <c r="AD25" s="53"/>
      <c r="AE25" s="53"/>
    </row>
    <row r="26" ht="22.5" customHeight="1">
      <c r="A26" s="53"/>
      <c r="B26" s="183" t="str">
        <f>IFERROR(__xludf.DUMMYFUNCTION("""COMPUTED_VALUE"""),"2606H072
Hamdan
085755678335
Website")</f>
        <v>2606H072
Hamdan
085755678335
Website</v>
      </c>
      <c r="C26" s="176" t="str">
        <f>IFERROR(__xludf.DUMMYFUNCTION("""COMPUTED_VALUE"""),"
 pax
Rp0")</f>
        <v>
 pax
Rp0</v>
      </c>
      <c r="D26" s="177" t="str">
        <f>IFERROR(__xludf.DUMMYFUNCTION("""COMPUTED_VALUE"""),"hana menyapa")</f>
        <v>hana menyapa</v>
      </c>
      <c r="E26" s="183"/>
      <c r="F26" s="53"/>
      <c r="G26" s="183" t="str">
        <f>IFERROR(__xludf.DUMMYFUNCTION("""COMPUTED_VALUE"""),"2606H028
Wiilda Ivn
088271003869
Instagram")</f>
        <v>2606H028
Wiilda Ivn
088271003869
Instagram</v>
      </c>
      <c r="H26" s="183" t="str">
        <f>IFERROR(__xludf.DUMMYFUNCTION("""COMPUTED_VALUE"""),"ot mt
46188
1 pax
Rp500.000")</f>
        <v>ot mt
46188
1 pax
Rp500.000</v>
      </c>
      <c r="I26" s="184" t="str">
        <f>IFERROR(__xludf.DUMMYFUNCTION("""COMPUTED_VALUE"""),"fu 15 juni")</f>
        <v>fu 15 juni</v>
      </c>
      <c r="J26" s="183"/>
      <c r="K26" s="53"/>
      <c r="L26" s="53"/>
      <c r="M26" s="53"/>
      <c r="N26" s="171"/>
      <c r="O26" s="170"/>
      <c r="P26" s="53"/>
      <c r="Q26" s="53"/>
      <c r="R26" s="53"/>
      <c r="S26" s="171"/>
      <c r="T26" s="170"/>
      <c r="U26" s="53"/>
      <c r="V26" s="53"/>
      <c r="W26" s="53"/>
      <c r="X26" s="171"/>
      <c r="Y26" s="170"/>
      <c r="Z26" s="170"/>
      <c r="AA26" s="170"/>
      <c r="AB26" s="170"/>
      <c r="AC26" s="170"/>
      <c r="AD26" s="53"/>
      <c r="AE26" s="53"/>
    </row>
    <row r="27" ht="22.5" customHeight="1">
      <c r="A27" s="53"/>
      <c r="B27" s="183" t="str">
        <f>IFERROR(__xludf.DUMMYFUNCTION("""COMPUTED_VALUE"""),"2606H076
Johanna Tobing
081294187963
Website")</f>
        <v>2606H076
Johanna Tobing
081294187963
Website</v>
      </c>
      <c r="C27" s="176" t="str">
        <f>IFERROR(__xludf.DUMMYFUNCTION("""COMPUTED_VALUE"""),"4h3m
15 pax
Rp0")</f>
        <v>4h3m
15 pax
Rp0</v>
      </c>
      <c r="D27" s="177" t="str">
        <f>IFERROR(__xludf.DUMMYFUNCTION("""COMPUTED_VALUE"""),"fu 20 juli")</f>
        <v>fu 20 juli</v>
      </c>
      <c r="E27" s="183"/>
      <c r="F27" s="53"/>
      <c r="G27" s="183" t="str">
        <f>IFERROR(__xludf.DUMMYFUNCTION("""COMPUTED_VALUE"""),"2606H033
Alfa Reza
085389493068
Instagram")</f>
        <v>2606H033
Alfa Reza
085389493068
Instagram</v>
      </c>
      <c r="H27" s="183" t="str">
        <f>IFERROR(__xludf.DUMMYFUNCTION("""COMPUTED_VALUE"""),"
 pax
Rp0")</f>
        <v>
 pax
Rp0</v>
      </c>
      <c r="I27" s="184" t="str">
        <f>IFERROR(__xludf.DUMMYFUNCTION("""COMPUTED_VALUE"""),"hanya menyapa")</f>
        <v>hanya menyapa</v>
      </c>
      <c r="J27" s="183"/>
      <c r="K27" s="53"/>
      <c r="L27" s="53"/>
      <c r="M27" s="53"/>
      <c r="N27" s="171"/>
      <c r="O27" s="170"/>
      <c r="P27" s="53"/>
      <c r="Q27" s="53"/>
      <c r="R27" s="53"/>
      <c r="S27" s="171"/>
      <c r="T27" s="170"/>
      <c r="U27" s="53"/>
      <c r="V27" s="53"/>
      <c r="W27" s="53"/>
      <c r="X27" s="171"/>
      <c r="Y27" s="170"/>
      <c r="Z27" s="170"/>
      <c r="AA27" s="170"/>
      <c r="AB27" s="170"/>
      <c r="AC27" s="170"/>
      <c r="AD27" s="53"/>
      <c r="AE27" s="53"/>
    </row>
    <row r="28" ht="22.5" customHeight="1">
      <c r="A28" s="53"/>
      <c r="B28" s="183" t="str">
        <f>IFERROR(__xludf.DUMMYFUNCTION("""COMPUTED_VALUE"""),"2606H078
san
082135522620
Lainnya")</f>
        <v>2606H078
san
082135522620
Lainnya</v>
      </c>
      <c r="C28" s="176" t="str">
        <f>IFERROR(__xludf.DUMMYFUNCTION("""COMPUTED_VALUE"""),"
 pax
Rp0")</f>
        <v>
 pax
Rp0</v>
      </c>
      <c r="D28" s="177" t="str">
        <f>IFERROR(__xludf.DUMMYFUNCTION("""COMPUTED_VALUE"""),"hanya menyapa")</f>
        <v>hanya menyapa</v>
      </c>
      <c r="E28" s="183"/>
      <c r="F28" s="53"/>
      <c r="G28" s="183" t="str">
        <f>IFERROR(__xludf.DUMMYFUNCTION("""COMPUTED_VALUE"""),"2606H034
Kaniakenz
081916201006
Website")</f>
        <v>2606H034
Kaniakenz
081916201006
Website</v>
      </c>
      <c r="H28" s="183" t="str">
        <f>IFERROR(__xludf.DUMMYFUNCTION("""COMPUTED_VALUE"""),"ot atau private green island
46192
2 pax
Rp1.100.000")</f>
        <v>ot atau private green island
46192
2 pax
Rp1.100.000</v>
      </c>
      <c r="I28" s="184" t="str">
        <f>IFERROR(__xludf.DUMMYFUNCTION("""COMPUTED_VALUE"""),"fu 18 juni")</f>
        <v>fu 18 juni</v>
      </c>
      <c r="J28" s="183"/>
      <c r="K28" s="53"/>
      <c r="L28" s="53"/>
      <c r="M28" s="53"/>
      <c r="N28" s="171"/>
      <c r="O28" s="170"/>
      <c r="P28" s="53"/>
      <c r="Q28" s="53"/>
      <c r="R28" s="53"/>
      <c r="S28" s="171"/>
      <c r="T28" s="170"/>
      <c r="U28" s="53"/>
      <c r="V28" s="53"/>
      <c r="W28" s="53"/>
      <c r="X28" s="171"/>
      <c r="Y28" s="170"/>
      <c r="Z28" s="170"/>
      <c r="AA28" s="170"/>
      <c r="AB28" s="170"/>
      <c r="AC28" s="170"/>
      <c r="AD28" s="53"/>
      <c r="AE28" s="53"/>
    </row>
    <row r="29" ht="22.5" customHeight="1">
      <c r="A29" s="53"/>
      <c r="B29" s="183" t="str">
        <f>IFERROR(__xludf.DUMMYFUNCTION("""COMPUTED_VALUE"""),"2607H019
Tati Lamria
082110499578
Website")</f>
        <v>2607H019
Tati Lamria
082110499578
Website</v>
      </c>
      <c r="C29" s="176" t="str">
        <f>IFERROR(__xludf.DUMMYFUNCTION("""COMPUTED_VALUE"""),"ot 3h2m
 pax
Rp0")</f>
        <v>ot 3h2m
 pax
Rp0</v>
      </c>
      <c r="D29" s="177" t="str">
        <f>IFERROR(__xludf.DUMMYFUNCTION("""COMPUTED_VALUE"""),"hanya menyapa. fu 18 juli")</f>
        <v>hanya menyapa. fu 18 juli</v>
      </c>
      <c r="E29" s="183"/>
      <c r="F29" s="53"/>
      <c r="G29" s="183" t="str">
        <f>IFERROR(__xludf.DUMMYFUNCTION("""COMPUTED_VALUE"""),"2606H035
Fitri
085881222196
Website")</f>
        <v>2606H035
Fitri
085881222196
Website</v>
      </c>
      <c r="H29" s="183" t="str">
        <f>IFERROR(__xludf.DUMMYFUNCTION("""COMPUTED_VALUE"""),"ot custom 4 hari
4 pax
Rp6.700.000")</f>
        <v>ot custom 4 hari
4 pax
Rp6.700.000</v>
      </c>
      <c r="I29" s="184" t="str">
        <f>IFERROR(__xludf.DUMMYFUNCTION("""COMPUTED_VALUE"""),"fu 1 Agustus")</f>
        <v>fu 1 Agustus</v>
      </c>
      <c r="J29" s="183"/>
      <c r="K29" s="53"/>
      <c r="L29" s="53"/>
      <c r="M29" s="53"/>
      <c r="N29" s="171"/>
      <c r="O29" s="170"/>
      <c r="P29" s="53"/>
      <c r="Q29" s="53"/>
      <c r="R29" s="53"/>
      <c r="S29" s="171"/>
      <c r="T29" s="170"/>
      <c r="U29" s="53"/>
      <c r="V29" s="53"/>
      <c r="W29" s="53"/>
      <c r="X29" s="171"/>
      <c r="Y29" s="170"/>
      <c r="Z29" s="170"/>
      <c r="AA29" s="170"/>
      <c r="AB29" s="170"/>
      <c r="AC29" s="170"/>
      <c r="AD29" s="53"/>
      <c r="AE29" s="53"/>
    </row>
    <row r="30" ht="22.5" customHeight="1">
      <c r="A30" s="53"/>
      <c r="B30" s="183" t="str">
        <f>IFERROR(__xludf.DUMMYFUNCTION("""COMPUTED_VALUE"""),"2607H030
Nenny
081296991900
Website")</f>
        <v>2607H030
Nenny
081296991900
Website</v>
      </c>
      <c r="C30" s="176" t="str">
        <f>IFERROR(__xludf.DUMMYFUNCTION("""COMPUTED_VALUE"""),"
 pax
Rp0")</f>
        <v>
 pax
Rp0</v>
      </c>
      <c r="D30" s="177"/>
      <c r="E30" s="183"/>
      <c r="F30" s="53"/>
      <c r="G30" s="183" t="str">
        <f>IFERROR(__xludf.DUMMYFUNCTION("""COMPUTED_VALUE"""),"2606H036
Aki Priyanggo
081119990136
Lainnya")</f>
        <v>2606H036
Aki Priyanggo
081119990136
Lainnya</v>
      </c>
      <c r="H30" s="183" t="str">
        <f>IFERROR(__xludf.DUMMYFUNCTION("""COMPUTED_VALUE"""),"4h3m
46539
18 pax
Rp0")</f>
        <v>4h3m
46539
18 pax
Rp0</v>
      </c>
      <c r="I30" s="184" t="str">
        <f>IFERROR(__xludf.DUMMYFUNCTION("""COMPUTED_VALUE"""),"fu 10 Agustus")</f>
        <v>fu 10 Agustus</v>
      </c>
      <c r="J30" s="183"/>
      <c r="K30" s="53"/>
      <c r="L30" s="53"/>
      <c r="M30" s="53"/>
      <c r="N30" s="171"/>
      <c r="O30" s="170"/>
      <c r="P30" s="53"/>
      <c r="Q30" s="53"/>
      <c r="R30" s="53"/>
      <c r="S30" s="171"/>
      <c r="T30" s="170"/>
      <c r="U30" s="53"/>
      <c r="V30" s="53"/>
      <c r="W30" s="53"/>
      <c r="X30" s="171"/>
      <c r="Y30" s="170"/>
      <c r="Z30" s="170"/>
      <c r="AA30" s="170"/>
      <c r="AB30" s="170"/>
      <c r="AC30" s="170"/>
      <c r="AD30" s="53"/>
      <c r="AE30" s="53"/>
    </row>
    <row r="31" ht="22.5" customHeight="1">
      <c r="A31" s="53"/>
      <c r="B31" s="183" t="str">
        <f>IFERROR(__xludf.DUMMYFUNCTION("""COMPUTED_VALUE"""),"2607H031
Sulfa Fitriani Lamunuhia
085287322501
Website")</f>
        <v>2607H031
Sulfa Fitriani Lamunuhia
085287322501
Website</v>
      </c>
      <c r="C31" s="176" t="str">
        <f>IFERROR(__xludf.DUMMYFUNCTION("""COMPUTED_VALUE"""),"
 pax
Rp0")</f>
        <v>
 pax
Rp0</v>
      </c>
      <c r="D31" s="177"/>
      <c r="E31" s="183"/>
      <c r="F31" s="53"/>
      <c r="G31" s="183" t="str">
        <f>IFERROR(__xludf.DUMMYFUNCTION("""COMPUTED_VALUE"""),"2606H043
Juniar Shanny
08561108252
Website")</f>
        <v>2606H043
Juniar Shanny
08561108252
Website</v>
      </c>
      <c r="H31" s="183" t="str">
        <f>IFERROR(__xludf.DUMMYFUNCTION("""COMPUTED_VALUE"""),"3h2m
11 pax
Rp18.150.000")</f>
        <v>3h2m
11 pax
Rp18.150.000</v>
      </c>
      <c r="I31" s="184" t="str">
        <f>IFERROR(__xludf.DUMMYFUNCTION("""COMPUTED_VALUE"""),"fu 28 juni")</f>
        <v>fu 28 juni</v>
      </c>
      <c r="J31" s="183"/>
      <c r="K31" s="53"/>
      <c r="L31" s="53"/>
      <c r="M31" s="53"/>
      <c r="N31" s="171"/>
      <c r="O31" s="170"/>
      <c r="P31" s="53"/>
      <c r="Q31" s="53"/>
      <c r="R31" s="53"/>
      <c r="S31" s="171"/>
      <c r="T31" s="170"/>
      <c r="U31" s="53"/>
      <c r="V31" s="53"/>
      <c r="W31" s="53"/>
      <c r="X31" s="171"/>
      <c r="Y31" s="170"/>
      <c r="Z31" s="170"/>
      <c r="AA31" s="170"/>
      <c r="AB31" s="170"/>
      <c r="AC31" s="170"/>
      <c r="AD31" s="53"/>
      <c r="AE31" s="53"/>
    </row>
    <row r="32" ht="22.5" customHeight="1">
      <c r="A32" s="53"/>
      <c r="B32" s="183" t="str">
        <f>IFERROR(__xludf.DUMMYFUNCTION("""COMPUTED_VALUE"""),"2607H034
Sorta
08116197505
Website")</f>
        <v>2607H034
Sorta
08116197505
Website</v>
      </c>
      <c r="C32" s="176" t="str">
        <f>IFERROR(__xludf.DUMMYFUNCTION("""COMPUTED_VALUE"""),"
 pax
Rp0")</f>
        <v>
 pax
Rp0</v>
      </c>
      <c r="D32" s="177"/>
      <c r="E32" s="183"/>
      <c r="F32" s="53"/>
      <c r="G32" s="183" t="str">
        <f>IFERROR(__xludf.DUMMYFUNCTION("""COMPUTED_VALUE"""),"2606H049
Niputu
0811163458
Website")</f>
        <v>2606H049
Niputu
0811163458
Website</v>
      </c>
      <c r="H32" s="183" t="str">
        <f>IFERROR(__xludf.DUMMYFUNCTION("""COMPUTED_VALUE"""),"2h1m
46257
3 pax
Rp3.930.000")</f>
        <v>2h1m
46257
3 pax
Rp3.930.000</v>
      </c>
      <c r="I32" s="184" t="str">
        <f>IFERROR(__xludf.DUMMYFUNCTION("""COMPUTED_VALUE"""),"fu 18 juli")</f>
        <v>fu 18 juli</v>
      </c>
      <c r="J32" s="183"/>
      <c r="K32" s="53"/>
      <c r="L32" s="53"/>
      <c r="M32" s="53"/>
      <c r="N32" s="171"/>
      <c r="O32" s="170"/>
      <c r="P32" s="53"/>
      <c r="Q32" s="53"/>
      <c r="R32" s="53"/>
      <c r="S32" s="171"/>
      <c r="T32" s="170"/>
      <c r="U32" s="53"/>
      <c r="V32" s="53"/>
      <c r="W32" s="53"/>
      <c r="X32" s="171"/>
      <c r="Y32" s="170"/>
      <c r="Z32" s="170"/>
      <c r="AA32" s="170"/>
      <c r="AB32" s="170"/>
      <c r="AC32" s="170"/>
      <c r="AD32" s="53"/>
      <c r="AE32" s="53"/>
    </row>
    <row r="33" ht="22.5" customHeight="1">
      <c r="A33" s="53"/>
      <c r="B33" s="183" t="str">
        <f>IFERROR(__xludf.DUMMYFUNCTION("""COMPUTED_VALUE"""),"2607H040
Zulkaif
923465376582
Website")</f>
        <v>2607H040
Zulkaif
923465376582
Website</v>
      </c>
      <c r="C33" s="176" t="str">
        <f>IFERROR(__xludf.DUMMYFUNCTION("""COMPUTED_VALUE"""),"
 pax
Rp0")</f>
        <v>
 pax
Rp0</v>
      </c>
      <c r="D33" s="177" t="str">
        <f>IFERROR(__xludf.DUMMYFUNCTION("""COMPUTED_VALUE"""),"FU 31 Juli")</f>
        <v>FU 31 Juli</v>
      </c>
      <c r="E33" s="183"/>
      <c r="F33" s="53"/>
      <c r="G33" s="183" t="str">
        <f>IFERROR(__xludf.DUMMYFUNCTION("""COMPUTED_VALUE"""),"2606H053
widya
082353713516
Website")</f>
        <v>2606H053
widya
082353713516
Website</v>
      </c>
      <c r="H33" s="183" t="str">
        <f>IFERROR(__xludf.DUMMYFUNCTION("""COMPUTED_VALUE"""),"1day trip
1 pax
Rp0")</f>
        <v>1day trip
1 pax
Rp0</v>
      </c>
      <c r="I33" s="184" t="str">
        <f>IFERROR(__xludf.DUMMYFUNCTION("""COMPUTED_VALUE"""),"fu 28 juni")</f>
        <v>fu 28 juni</v>
      </c>
      <c r="J33" s="183"/>
      <c r="K33" s="53"/>
      <c r="L33" s="53"/>
      <c r="M33" s="53"/>
      <c r="N33" s="171"/>
      <c r="O33" s="170"/>
      <c r="P33" s="53"/>
      <c r="Q33" s="53"/>
      <c r="R33" s="53"/>
      <c r="S33" s="171"/>
      <c r="T33" s="170"/>
      <c r="U33" s="53"/>
      <c r="V33" s="53"/>
      <c r="W33" s="53"/>
      <c r="X33" s="171"/>
      <c r="Y33" s="170"/>
      <c r="Z33" s="170"/>
      <c r="AA33" s="170"/>
      <c r="AB33" s="170"/>
      <c r="AC33" s="170"/>
      <c r="AD33" s="53"/>
      <c r="AE33" s="53"/>
    </row>
    <row r="34" ht="22.5" customHeight="1">
      <c r="A34" s="53"/>
      <c r="B34" s="183" t="str">
        <f>IFERROR(__xludf.DUMMYFUNCTION("""COMPUTED_VALUE"""),"2607H041
Khan
082318029504
Lainnya")</f>
        <v>2607H041
Khan
082318029504
Lainnya</v>
      </c>
      <c r="C34" s="176" t="str">
        <f>IFERROR(__xludf.DUMMYFUNCTION("""COMPUTED_VALUE"""),"
 pax
Rp0")</f>
        <v>
 pax
Rp0</v>
      </c>
      <c r="D34" s="177" t="str">
        <f>IFERROR(__xludf.DUMMYFUNCTION("""COMPUTED_VALUE"""),"FU 31 Juli")</f>
        <v>FU 31 Juli</v>
      </c>
      <c r="E34" s="183"/>
      <c r="F34" s="53"/>
      <c r="G34" s="183" t="str">
        <f>IFERROR(__xludf.DUMMYFUNCTION("""COMPUTED_VALUE"""),"2606H061
Suheriyah
081310347856
Website")</f>
        <v>2606H061
Suheriyah
081310347856
Website</v>
      </c>
      <c r="H34" s="183" t="str">
        <f>IFERROR(__xludf.DUMMYFUNCTION("""COMPUTED_VALUE"""),"3h2m
2027
20 pax
Rp0")</f>
        <v>3h2m
2027
20 pax
Rp0</v>
      </c>
      <c r="I34" s="184" t="str">
        <f>IFERROR(__xludf.DUMMYFUNCTION("""COMPUTED_VALUE"""),"fu 2 juli")</f>
        <v>fu 2 juli</v>
      </c>
      <c r="J34" s="183"/>
      <c r="K34" s="53"/>
      <c r="L34" s="53"/>
      <c r="M34" s="53"/>
      <c r="N34" s="171"/>
      <c r="O34" s="170"/>
      <c r="P34" s="53"/>
      <c r="Q34" s="53"/>
      <c r="R34" s="53"/>
      <c r="S34" s="171"/>
      <c r="T34" s="170"/>
      <c r="U34" s="53"/>
      <c r="V34" s="53"/>
      <c r="W34" s="53"/>
      <c r="X34" s="171"/>
      <c r="Y34" s="170"/>
      <c r="Z34" s="170"/>
      <c r="AA34" s="170"/>
      <c r="AB34" s="170"/>
      <c r="AC34" s="170"/>
      <c r="AD34" s="53"/>
      <c r="AE34" s="53"/>
    </row>
    <row r="35" ht="22.5" customHeight="1">
      <c r="A35" s="53"/>
      <c r="B35" s="183" t="str">
        <f>IFERROR(__xludf.DUMMYFUNCTION("""COMPUTED_VALUE"""),"4607H042
Lestariwika
087821793262
Website")</f>
        <v>4607H042
Lestariwika
087821793262
Website</v>
      </c>
      <c r="C35" s="176" t="str">
        <f>IFERROR(__xludf.DUMMYFUNCTION("""COMPUTED_VALUE"""),"
 pax
Rp0")</f>
        <v>
 pax
Rp0</v>
      </c>
      <c r="D35" s="177" t="str">
        <f>IFERROR(__xludf.DUMMYFUNCTION("""COMPUTED_VALUE"""),"FU 31 Juli")</f>
        <v>FU 31 Juli</v>
      </c>
      <c r="E35" s="183"/>
      <c r="F35" s="53"/>
      <c r="G35" s="183" t="str">
        <f>IFERROR(__xludf.DUMMYFUNCTION("""COMPUTED_VALUE"""),"2606H063
Falira
082114059775
Instagram")</f>
        <v>2606H063
Falira
082114059775
Instagram</v>
      </c>
      <c r="H35" s="183" t="str">
        <f>IFERROR(__xludf.DUMMYFUNCTION("""COMPUTED_VALUE"""),"3h2m
40 pax
Rp0")</f>
        <v>3h2m
40 pax
Rp0</v>
      </c>
      <c r="I35" s="184" t="str">
        <f>IFERROR(__xludf.DUMMYFUNCTION("""COMPUTED_VALUE"""),"buat penawaran. fu 2 juli")</f>
        <v>buat penawaran. fu 2 juli</v>
      </c>
      <c r="J35" s="183"/>
      <c r="K35" s="53"/>
      <c r="L35" s="53"/>
      <c r="M35" s="53"/>
      <c r="N35" s="171"/>
      <c r="O35" s="170"/>
      <c r="P35" s="53"/>
      <c r="Q35" s="53"/>
      <c r="R35" s="53"/>
      <c r="S35" s="171"/>
      <c r="T35" s="170"/>
      <c r="U35" s="53"/>
      <c r="V35" s="53"/>
      <c r="W35" s="53"/>
      <c r="X35" s="171"/>
      <c r="Y35" s="170"/>
      <c r="Z35" s="170"/>
      <c r="AA35" s="170"/>
      <c r="AB35" s="170"/>
      <c r="AC35" s="170"/>
      <c r="AD35" s="53"/>
      <c r="AE35" s="53"/>
    </row>
    <row r="36" ht="22.5" customHeight="1">
      <c r="A36" s="53"/>
      <c r="B36" s="183" t="str">
        <f>IFERROR(__xludf.DUMMYFUNCTION("""COMPUTED_VALUE"""),"2607H044
Dewi
087879068834
Instagram")</f>
        <v>2607H044
Dewi
087879068834
Instagram</v>
      </c>
      <c r="C36" s="176" t="str">
        <f>IFERROR(__xludf.DUMMYFUNCTION("""COMPUTED_VALUE"""),"Private trip 2H1M
1 pax
Rp0")</f>
        <v>Private trip 2H1M
1 pax
Rp0</v>
      </c>
      <c r="D36" s="177" t="str">
        <f>IFERROR(__xludf.DUMMYFUNCTION("""COMPUTED_VALUE"""),"fu 5 Agustus")</f>
        <v>fu 5 Agustus</v>
      </c>
      <c r="E36" s="183"/>
      <c r="F36" s="53"/>
      <c r="G36" s="183" t="str">
        <f>IFERROR(__xludf.DUMMYFUNCTION("""COMPUTED_VALUE"""),"2606H064
Gilang Ramadhan
081287492544
Website")</f>
        <v>2606H064
Gilang Ramadhan
081287492544
Website</v>
      </c>
      <c r="H36" s="183" t="str">
        <f>IFERROR(__xludf.DUMMYFUNCTION("""COMPUTED_VALUE"""),"3h2m
70 pax
Rp0")</f>
        <v>3h2m
70 pax
Rp0</v>
      </c>
      <c r="I36" s="184" t="str">
        <f>IFERROR(__xludf.DUMMYFUNCTION("""COMPUTED_VALUE"""),"buat penawaran. fu 2 juli")</f>
        <v>buat penawaran. fu 2 juli</v>
      </c>
      <c r="J36" s="183"/>
      <c r="K36" s="53"/>
      <c r="L36" s="53"/>
      <c r="M36" s="53"/>
      <c r="N36" s="171"/>
      <c r="O36" s="170"/>
      <c r="P36" s="53"/>
      <c r="Q36" s="53"/>
      <c r="R36" s="53"/>
      <c r="S36" s="171"/>
      <c r="T36" s="170"/>
      <c r="U36" s="53"/>
      <c r="V36" s="53"/>
      <c r="W36" s="53"/>
      <c r="X36" s="171"/>
      <c r="Y36" s="170"/>
      <c r="Z36" s="170"/>
      <c r="AA36" s="170"/>
      <c r="AB36" s="170"/>
      <c r="AC36" s="170"/>
      <c r="AD36" s="53"/>
      <c r="AE36" s="53"/>
    </row>
    <row r="37" ht="22.5" customHeight="1">
      <c r="A37" s="53"/>
      <c r="B37" s="183" t="str">
        <f>IFERROR(__xludf.DUMMYFUNCTION("""COMPUTED_VALUE"""),"2607H045
Putrisastra
08881868324
Website")</f>
        <v>2607H045
Putrisastra
08881868324
Website</v>
      </c>
      <c r="C37" s="176" t="str">
        <f>IFERROR(__xludf.DUMMYFUNCTION("""COMPUTED_VALUE"""),"Ijen
 pax
Rp0")</f>
        <v>Ijen
 pax
Rp0</v>
      </c>
      <c r="D37" s="177" t="str">
        <f>IFERROR(__xludf.DUMMYFUNCTION("""COMPUTED_VALUE"""),"fu 5 Agustus")</f>
        <v>fu 5 Agustus</v>
      </c>
      <c r="E37" s="183"/>
      <c r="F37" s="53"/>
      <c r="G37" s="183" t="str">
        <f>IFERROR(__xludf.DUMMYFUNCTION("""COMPUTED_VALUE"""),"2606H068
Tyas Ningrum
08119670339
Website")</f>
        <v>2606H068
Tyas Ningrum
08119670339
Website</v>
      </c>
      <c r="H37" s="183" t="str">
        <f>IFERROR(__xludf.DUMMYFUNCTION("""COMPUTED_VALUE"""),"4h3m
5 pax
Rp0")</f>
        <v>4h3m
5 pax
Rp0</v>
      </c>
      <c r="I37" s="184"/>
      <c r="J37" s="183"/>
      <c r="K37" s="53"/>
      <c r="L37" s="53"/>
      <c r="M37" s="53"/>
      <c r="N37" s="171"/>
      <c r="O37" s="170"/>
      <c r="P37" s="53"/>
      <c r="Q37" s="53"/>
      <c r="R37" s="53"/>
      <c r="S37" s="171"/>
      <c r="T37" s="170"/>
      <c r="U37" s="53"/>
      <c r="V37" s="53"/>
      <c r="W37" s="53"/>
      <c r="X37" s="171"/>
      <c r="Y37" s="170"/>
      <c r="Z37" s="170"/>
      <c r="AA37" s="170"/>
      <c r="AB37" s="170"/>
      <c r="AC37" s="170"/>
      <c r="AD37" s="53"/>
      <c r="AE37" s="53"/>
    </row>
    <row r="38" ht="22.5" customHeight="1">
      <c r="A38" s="53"/>
      <c r="B38" s="183" t="str">
        <f>IFERROR(__xludf.DUMMYFUNCTION("""COMPUTED_VALUE"""),"2807H048
Uliana
08176744907
Website")</f>
        <v>2807H048
Uliana
08176744907
Website</v>
      </c>
      <c r="C38" s="176" t="str">
        <f>IFERROR(__xludf.DUMMYFUNCTION("""COMPUTED_VALUE"""),"3H2M Opsi A
 pax
Rp0")</f>
        <v>3H2M Opsi A
 pax
Rp0</v>
      </c>
      <c r="D38" s="177"/>
      <c r="E38" s="183"/>
      <c r="F38" s="53"/>
      <c r="G38" s="183" t="str">
        <f>IFERROR(__xludf.DUMMYFUNCTION("""COMPUTED_VALUE"""),"2606H073
Edy
082195284422
Website")</f>
        <v>2606H073
Edy
082195284422
Website</v>
      </c>
      <c r="H38" s="183" t="str">
        <f>IFERROR(__xludf.DUMMYFUNCTION("""COMPUTED_VALUE"""),"2H1M opsi A
2 pax
Rp4.110.000")</f>
        <v>2H1M opsi A
2 pax
Rp4.110.000</v>
      </c>
      <c r="I38" s="184" t="str">
        <f>IFERROR(__xludf.DUMMYFUNCTION("""COMPUTED_VALUE"""),"fu 15 juli. konfirmasi buka baluran")</f>
        <v>fu 15 juli. konfirmasi buka baluran</v>
      </c>
      <c r="J38" s="183"/>
      <c r="K38" s="53"/>
      <c r="L38" s="53"/>
      <c r="M38" s="53"/>
      <c r="N38" s="171"/>
      <c r="O38" s="170"/>
      <c r="P38" s="53"/>
      <c r="Q38" s="53"/>
      <c r="R38" s="53"/>
      <c r="S38" s="171"/>
      <c r="T38" s="170"/>
      <c r="U38" s="53"/>
      <c r="V38" s="53"/>
      <c r="W38" s="53"/>
      <c r="X38" s="171"/>
      <c r="Y38" s="170"/>
      <c r="Z38" s="170"/>
      <c r="AA38" s="170"/>
      <c r="AB38" s="170"/>
      <c r="AC38" s="170"/>
      <c r="AD38" s="53"/>
      <c r="AE38" s="53"/>
    </row>
    <row r="39" ht="22.5" customHeight="1">
      <c r="A39" s="53"/>
      <c r="B39" s="183"/>
      <c r="C39" s="176"/>
      <c r="D39" s="177"/>
      <c r="E39" s="183"/>
      <c r="F39" s="53"/>
      <c r="G39" s="183" t="str">
        <f>IFERROR(__xludf.DUMMYFUNCTION("""COMPUTED_VALUE"""),"2606H081
Daniez
085736335573
Instagram")</f>
        <v>2606H081
Daniez
085736335573
Instagram</v>
      </c>
      <c r="H39" s="183" t="str">
        <f>IFERROR(__xludf.DUMMYFUNCTION("""COMPUTED_VALUE"""),"mt
46207
5 pax
Rp2.675.000")</f>
        <v>mt
46207
5 pax
Rp2.675.000</v>
      </c>
      <c r="I39" s="184"/>
      <c r="J39" s="183"/>
      <c r="K39" s="53"/>
      <c r="L39" s="53"/>
      <c r="M39" s="53"/>
      <c r="N39" s="171"/>
      <c r="O39" s="170"/>
      <c r="P39" s="53"/>
      <c r="Q39" s="53"/>
      <c r="R39" s="53"/>
      <c r="S39" s="171"/>
      <c r="T39" s="170"/>
      <c r="U39" s="53"/>
      <c r="V39" s="53"/>
      <c r="W39" s="53"/>
      <c r="X39" s="171"/>
      <c r="Y39" s="170"/>
      <c r="Z39" s="170"/>
      <c r="AA39" s="170"/>
      <c r="AB39" s="170"/>
      <c r="AC39" s="170"/>
      <c r="AD39" s="53"/>
      <c r="AE39" s="53"/>
    </row>
    <row r="40" ht="22.5" customHeight="1">
      <c r="A40" s="53"/>
      <c r="B40" s="183"/>
      <c r="C40" s="176"/>
      <c r="D40" s="177"/>
      <c r="E40" s="183"/>
      <c r="F40" s="53"/>
      <c r="G40" s="183" t="str">
        <f>IFERROR(__xludf.DUMMYFUNCTION("""COMPUTED_VALUE"""),"2606H084
Atik Wibawati
0811900059
Lainnya")</f>
        <v>2606H084
Atik Wibawati
0811900059
Lainnya</v>
      </c>
      <c r="H40" s="183" t="str">
        <f>IFERROR(__xludf.DUMMYFUNCTION("""COMPUTED_VALUE"""),"3h2m
15 pax
Rp27.000.000")</f>
        <v>3h2m
15 pax
Rp27.000.000</v>
      </c>
      <c r="I40" s="184" t="str">
        <f>IFERROR(__xludf.DUMMYFUNCTION("""COMPUTED_VALUE"""),"fu 16 Juli")</f>
        <v>fu 16 Juli</v>
      </c>
      <c r="J40" s="183"/>
      <c r="K40" s="53"/>
      <c r="L40" s="53"/>
      <c r="M40" s="53"/>
      <c r="N40" s="171"/>
      <c r="O40" s="170"/>
      <c r="P40" s="53"/>
      <c r="Q40" s="53"/>
      <c r="R40" s="53"/>
      <c r="S40" s="171"/>
      <c r="T40" s="170"/>
      <c r="U40" s="53"/>
      <c r="V40" s="53"/>
      <c r="W40" s="53"/>
      <c r="X40" s="171"/>
      <c r="Y40" s="170"/>
      <c r="Z40" s="170"/>
      <c r="AA40" s="170"/>
      <c r="AB40" s="170"/>
      <c r="AC40" s="170"/>
      <c r="AD40" s="53"/>
      <c r="AE40" s="53"/>
    </row>
    <row r="41" ht="22.5" customHeight="1">
      <c r="A41" s="53"/>
      <c r="B41" s="183"/>
      <c r="C41" s="176"/>
      <c r="D41" s="177"/>
      <c r="E41" s="183"/>
      <c r="F41" s="53"/>
      <c r="G41" s="183" t="str">
        <f>IFERROR(__xludf.DUMMYFUNCTION("""COMPUTED_VALUE"""),"2607H012
reynanda nadhira
088220708108
Website")</f>
        <v>2607H012
reynanda nadhira
088220708108
Website</v>
      </c>
      <c r="H41" s="183" t="str">
        <f>IFERROR(__xludf.DUMMYFUNCTION("""COMPUTED_VALUE"""),"2h1m custome
 pax
Rp0")</f>
        <v>2h1m custome
 pax
Rp0</v>
      </c>
      <c r="I41" s="184" t="str">
        <f>IFERROR(__xludf.DUMMYFUNCTION("""COMPUTED_VALUE"""),"FU 20 Juli")</f>
        <v>FU 20 Juli</v>
      </c>
      <c r="J41" s="183"/>
      <c r="K41" s="53"/>
      <c r="L41" s="53"/>
      <c r="M41" s="53"/>
      <c r="N41" s="171"/>
      <c r="O41" s="170"/>
      <c r="P41" s="53"/>
      <c r="Q41" s="53"/>
      <c r="R41" s="53"/>
      <c r="S41" s="171"/>
      <c r="T41" s="170"/>
      <c r="U41" s="53"/>
      <c r="V41" s="53"/>
      <c r="W41" s="53"/>
      <c r="X41" s="171"/>
      <c r="Y41" s="170"/>
      <c r="Z41" s="170"/>
      <c r="AA41" s="170"/>
      <c r="AB41" s="170"/>
      <c r="AC41" s="170"/>
      <c r="AD41" s="53"/>
      <c r="AE41" s="53"/>
    </row>
    <row r="42" ht="22.5" customHeight="1">
      <c r="A42" s="53"/>
      <c r="B42" s="183"/>
      <c r="C42" s="176"/>
      <c r="D42" s="177"/>
      <c r="E42" s="183"/>
      <c r="F42" s="53"/>
      <c r="G42" s="183" t="str">
        <f>IFERROR(__xludf.DUMMYFUNCTION("""COMPUTED_VALUE"""),"2607H015
mine
085251153623
")</f>
        <v>2607H015
mine
085251153623
</v>
      </c>
      <c r="H42" s="183" t="str">
        <f>IFERROR(__xludf.DUMMYFUNCTION("""COMPUTED_VALUE"""),"3H2M custome
10 pax
Rp0")</f>
        <v>3H2M custome
10 pax
Rp0</v>
      </c>
      <c r="I42" s="184" t="str">
        <f>IFERROR(__xludf.DUMMYFUNCTION("""COMPUTED_VALUE"""),"FU 18 Juli ")</f>
        <v>FU 18 Juli </v>
      </c>
      <c r="J42" s="183"/>
      <c r="K42" s="53"/>
      <c r="L42" s="53"/>
      <c r="M42" s="53"/>
      <c r="N42" s="171"/>
      <c r="O42" s="170"/>
      <c r="P42" s="53"/>
      <c r="Q42" s="53"/>
      <c r="R42" s="53"/>
      <c r="S42" s="171"/>
      <c r="T42" s="170"/>
      <c r="U42" s="53"/>
      <c r="V42" s="53"/>
      <c r="W42" s="53"/>
      <c r="X42" s="171"/>
      <c r="Y42" s="170"/>
      <c r="Z42" s="170"/>
      <c r="AA42" s="170"/>
      <c r="AB42" s="170"/>
      <c r="AC42" s="170"/>
      <c r="AD42" s="53"/>
      <c r="AE42" s="53"/>
    </row>
    <row r="43" ht="22.5" customHeight="1">
      <c r="A43" s="53"/>
      <c r="B43" s="53"/>
      <c r="C43" s="168"/>
      <c r="D43" s="169"/>
      <c r="E43" s="170"/>
      <c r="F43" s="53"/>
      <c r="G43" s="183" t="str">
        <f>IFERROR(__xludf.DUMMYFUNCTION("""COMPUTED_VALUE"""),"2607H017
Delta Echo Nov2 Yankee
089515196502
Website")</f>
        <v>2607H017
Delta Echo Nov2 Yankee
089515196502
Website</v>
      </c>
      <c r="H43" s="183" t="str">
        <f>IFERROR(__xludf.DUMMYFUNCTION("""COMPUTED_VALUE"""),"ot ijen
46240
2 pax
Rp500.000")</f>
        <v>ot ijen
46240
2 pax
Rp500.000</v>
      </c>
      <c r="I43" s="184" t="str">
        <f>IFERROR(__xludf.DUMMYFUNCTION("""COMPUTED_VALUE"""),"fu 28 juli")</f>
        <v>fu 28 juli</v>
      </c>
      <c r="J43" s="183"/>
      <c r="K43" s="53"/>
      <c r="L43" s="53"/>
      <c r="M43" s="53"/>
      <c r="N43" s="171"/>
      <c r="O43" s="170"/>
      <c r="P43" s="53"/>
      <c r="Q43" s="53"/>
      <c r="R43" s="53"/>
      <c r="S43" s="171"/>
      <c r="T43" s="170"/>
      <c r="U43" s="53"/>
      <c r="V43" s="53"/>
      <c r="W43" s="53"/>
      <c r="X43" s="171"/>
      <c r="Y43" s="170"/>
      <c r="Z43" s="170"/>
      <c r="AA43" s="170"/>
      <c r="AB43" s="170"/>
      <c r="AC43" s="170"/>
      <c r="AD43" s="53"/>
      <c r="AE43" s="53"/>
    </row>
    <row r="44" ht="22.5" customHeight="1">
      <c r="A44" s="53"/>
      <c r="B44" s="53"/>
      <c r="C44" s="168"/>
      <c r="D44" s="169"/>
      <c r="E44" s="170"/>
      <c r="F44" s="53"/>
      <c r="G44" s="183" t="str">
        <f>IFERROR(__xludf.DUMMYFUNCTION("""COMPUTED_VALUE"""),"2607H021
Risky Siregar
08112206522
Lainnya")</f>
        <v>2607H021
Risky Siregar
08112206522
Lainnya</v>
      </c>
      <c r="H44" s="183" t="str">
        <f>IFERROR(__xludf.DUMMYFUNCTION("""COMPUTED_VALUE"""),"ot ijen, baluran
46248
2 pax
Rp0")</f>
        <v>ot ijen, baluran
46248
2 pax
Rp0</v>
      </c>
      <c r="I44" s="184" t="str">
        <f>IFERROR(__xludf.DUMMYFUNCTION("""COMPUTED_VALUE"""),"Rencana trip 14 Agustus, FU 1 Agustus")</f>
        <v>Rencana trip 14 Agustus, FU 1 Agustus</v>
      </c>
      <c r="J44" s="183"/>
      <c r="K44" s="53"/>
      <c r="L44" s="53"/>
      <c r="M44" s="53"/>
      <c r="N44" s="171"/>
      <c r="O44" s="170"/>
      <c r="P44" s="53"/>
      <c r="Q44" s="53"/>
      <c r="R44" s="53"/>
      <c r="S44" s="171"/>
      <c r="T44" s="170"/>
      <c r="U44" s="53"/>
      <c r="V44" s="53"/>
      <c r="W44" s="53"/>
      <c r="X44" s="171"/>
      <c r="Y44" s="170"/>
      <c r="Z44" s="170"/>
      <c r="AA44" s="170"/>
      <c r="AB44" s="170"/>
      <c r="AC44" s="170"/>
      <c r="AD44" s="53"/>
      <c r="AE44" s="53"/>
    </row>
    <row r="45" ht="22.5" customHeight="1">
      <c r="A45" s="53"/>
      <c r="B45" s="53"/>
      <c r="C45" s="168"/>
      <c r="D45" s="169"/>
      <c r="E45" s="170"/>
      <c r="F45" s="53"/>
      <c r="G45" s="183" t="str">
        <f>IFERROR(__xludf.DUMMYFUNCTION("""COMPUTED_VALUE"""),"2607H022
Dewi Dahlia
081196901118
Instagram")</f>
        <v>2607H022
Dewi Dahlia
081196901118
Instagram</v>
      </c>
      <c r="H45" s="183" t="str">
        <f>IFERROR(__xludf.DUMMYFUNCTION("""COMPUTED_VALUE"""),"ot menjangan tabuhan
 pax
Rp0")</f>
        <v>ot menjangan tabuhan
 pax
Rp0</v>
      </c>
      <c r="I45" s="184" t="str">
        <f>IFERROR(__xludf.DUMMYFUNCTION("""COMPUTED_VALUE"""),"FU 1 Agustus")</f>
        <v>FU 1 Agustus</v>
      </c>
      <c r="J45" s="183"/>
      <c r="K45" s="53"/>
      <c r="L45" s="53"/>
      <c r="M45" s="53"/>
      <c r="N45" s="171"/>
      <c r="O45" s="170"/>
      <c r="P45" s="53"/>
      <c r="Q45" s="53"/>
      <c r="R45" s="53"/>
      <c r="S45" s="171"/>
      <c r="T45" s="170"/>
      <c r="U45" s="53"/>
      <c r="V45" s="53"/>
      <c r="W45" s="53"/>
      <c r="X45" s="171"/>
      <c r="Y45" s="170"/>
      <c r="Z45" s="170"/>
      <c r="AA45" s="170"/>
      <c r="AB45" s="170"/>
      <c r="AC45" s="170"/>
      <c r="AD45" s="53"/>
      <c r="AE45" s="53"/>
    </row>
    <row r="46" ht="22.5" customHeight="1">
      <c r="A46" s="53"/>
      <c r="B46" s="53"/>
      <c r="C46" s="168"/>
      <c r="D46" s="169"/>
      <c r="E46" s="170"/>
      <c r="F46" s="53"/>
      <c r="G46" s="183" t="str">
        <f>IFERROR(__xludf.DUMMYFUNCTION("""COMPUTED_VALUE"""),"2607H025
Maya
081219107234
Rekomendasi")</f>
        <v>2607H025
Maya
081219107234
Rekomendasi</v>
      </c>
      <c r="H46" s="183" t="str">
        <f>IFERROR(__xludf.DUMMYFUNCTION("""COMPUTED_VALUE"""),"2d1m custome
46330
4 pax
Rp0")</f>
        <v>2d1m custome
46330
4 pax
Rp0</v>
      </c>
      <c r="I46" s="184" t="str">
        <f>IFERROR(__xludf.DUMMYFUNCTION("""COMPUTED_VALUE"""),"FU 20 Agustus")</f>
        <v>FU 20 Agustus</v>
      </c>
      <c r="J46" s="183"/>
      <c r="K46" s="53"/>
      <c r="L46" s="53"/>
      <c r="M46" s="53"/>
      <c r="N46" s="171"/>
      <c r="O46" s="170"/>
      <c r="P46" s="53"/>
      <c r="Q46" s="53"/>
      <c r="R46" s="53"/>
      <c r="S46" s="171"/>
      <c r="T46" s="170"/>
      <c r="U46" s="53"/>
      <c r="V46" s="53"/>
      <c r="W46" s="53"/>
      <c r="X46" s="171"/>
      <c r="Y46" s="170"/>
      <c r="Z46" s="170"/>
      <c r="AA46" s="170"/>
      <c r="AB46" s="170"/>
      <c r="AC46" s="170"/>
      <c r="AD46" s="53"/>
      <c r="AE46" s="53"/>
    </row>
    <row r="47">
      <c r="A47" s="53"/>
      <c r="B47" s="53"/>
      <c r="C47" s="168"/>
      <c r="D47" s="169"/>
      <c r="E47" s="170"/>
      <c r="F47" s="53"/>
      <c r="G47" s="53" t="str">
        <f>IFERROR(__xludf.DUMMYFUNCTION("""COMPUTED_VALUE"""),"2607H026
Evi Melva
081310040544
Website")</f>
        <v>2607H026
Evi Melva
081310040544
Website</v>
      </c>
      <c r="H47" s="53" t="str">
        <f>IFERROR(__xludf.DUMMYFUNCTION("""COMPUTED_VALUE"""),"OT 3H2M
46256
2 pax
Rp3.200.000")</f>
        <v>OT 3H2M
46256
2 pax
Rp3.200.000</v>
      </c>
      <c r="I47" s="171" t="str">
        <f>IFERROR(__xludf.DUMMYFUNCTION("""COMPUTED_VALUE"""),"FU  1 Agustus")</f>
        <v>FU  1 Agustus</v>
      </c>
      <c r="J47" s="170"/>
      <c r="K47" s="53"/>
      <c r="L47" s="53"/>
      <c r="M47" s="53"/>
      <c r="N47" s="171"/>
      <c r="O47" s="170"/>
      <c r="P47" s="53"/>
      <c r="Q47" s="53"/>
      <c r="R47" s="53"/>
      <c r="S47" s="171"/>
      <c r="T47" s="170"/>
      <c r="U47" s="53"/>
      <c r="V47" s="53"/>
      <c r="W47" s="53"/>
      <c r="X47" s="171"/>
      <c r="Y47" s="170"/>
      <c r="Z47" s="170"/>
      <c r="AA47" s="170"/>
      <c r="AB47" s="170"/>
      <c r="AC47" s="170"/>
      <c r="AD47" s="53"/>
      <c r="AE47" s="53"/>
    </row>
    <row r="48">
      <c r="A48" s="53"/>
      <c r="B48" s="53"/>
      <c r="C48" s="168"/>
      <c r="D48" s="169"/>
      <c r="E48" s="170"/>
      <c r="F48" s="53"/>
      <c r="G48" s="53" t="str">
        <f>IFERROR(__xludf.DUMMYFUNCTION("""COMPUTED_VALUE"""),"2607H028
Ardiyan
085217053581
Website")</f>
        <v>2607H028
Ardiyan
085217053581
Website</v>
      </c>
      <c r="H48" s="53" t="str">
        <f>IFERROR(__xludf.DUMMYFUNCTION("""COMPUTED_VALUE"""),"3h2m paket A
 pax
Rp0")</f>
        <v>3h2m paket A
 pax
Rp0</v>
      </c>
      <c r="I48" s="171"/>
      <c r="J48" s="170"/>
      <c r="K48" s="53"/>
      <c r="L48" s="53"/>
      <c r="M48" s="53"/>
      <c r="N48" s="171"/>
      <c r="O48" s="170"/>
      <c r="P48" s="53"/>
      <c r="Q48" s="53"/>
      <c r="R48" s="53"/>
      <c r="S48" s="171"/>
      <c r="T48" s="170"/>
      <c r="U48" s="53"/>
      <c r="V48" s="53"/>
      <c r="W48" s="53"/>
      <c r="X48" s="171"/>
      <c r="Y48" s="170"/>
      <c r="Z48" s="170"/>
      <c r="AA48" s="170"/>
      <c r="AB48" s="170"/>
      <c r="AC48" s="170"/>
      <c r="AD48" s="53"/>
      <c r="AE48" s="53"/>
    </row>
    <row r="49">
      <c r="A49" s="53"/>
      <c r="B49" s="53"/>
      <c r="C49" s="168"/>
      <c r="D49" s="169"/>
      <c r="E49" s="170"/>
      <c r="F49" s="53"/>
      <c r="G49" s="53" t="str">
        <f>IFERROR(__xludf.DUMMYFUNCTION("""COMPUTED_VALUE"""),"2607H029
Wuannjean
8613881908296
Rekomendasi")</f>
        <v>2607H029
Wuannjean
8613881908296
Rekomendasi</v>
      </c>
      <c r="H49" s="53" t="str">
        <f>IFERROR(__xludf.DUMMYFUNCTION("""COMPUTED_VALUE"""),"bromo ijen
2 pax
Rp7.000.000")</f>
        <v>bromo ijen
2 pax
Rp7.000.000</v>
      </c>
      <c r="I49" s="171"/>
      <c r="J49" s="170"/>
      <c r="K49" s="53"/>
      <c r="L49" s="53"/>
      <c r="M49" s="53"/>
      <c r="N49" s="171"/>
      <c r="O49" s="170"/>
      <c r="P49" s="53"/>
      <c r="Q49" s="53"/>
      <c r="R49" s="53"/>
      <c r="S49" s="171"/>
      <c r="T49" s="170"/>
      <c r="U49" s="53"/>
      <c r="V49" s="53"/>
      <c r="W49" s="53"/>
      <c r="X49" s="171"/>
      <c r="Y49" s="170"/>
      <c r="Z49" s="170"/>
      <c r="AA49" s="170"/>
      <c r="AB49" s="170"/>
      <c r="AC49" s="170"/>
      <c r="AD49" s="53"/>
      <c r="AE49" s="53"/>
    </row>
    <row r="50">
      <c r="A50" s="53"/>
      <c r="B50" s="53"/>
      <c r="C50" s="168"/>
      <c r="D50" s="169"/>
      <c r="E50" s="170"/>
      <c r="F50" s="53"/>
      <c r="G50" s="53" t="str">
        <f>IFERROR(__xludf.DUMMYFUNCTION("""COMPUTED_VALUE"""),"2607H032
Rico
081317747818
Website")</f>
        <v>2607H032
Rico
081317747818
Website</v>
      </c>
      <c r="H50" s="53" t="str">
        <f>IFERROR(__xludf.DUMMYFUNCTION("""COMPUTED_VALUE"""),"kawah ijen, kawah wurung, TN baluran
46249
2 pax
Rp0")</f>
        <v>kawah ijen, kawah wurung, TN baluran
46249
2 pax
Rp0</v>
      </c>
      <c r="I50" s="171" t="str">
        <f>IFERROR(__xludf.DUMMYFUNCTION("""COMPUTED_VALUE"""),"fu 30 Juli")</f>
        <v>fu 30 Juli</v>
      </c>
      <c r="J50" s="170"/>
      <c r="K50" s="53"/>
      <c r="L50" s="53"/>
      <c r="M50" s="53"/>
      <c r="N50" s="171"/>
      <c r="O50" s="170"/>
      <c r="P50" s="53"/>
      <c r="Q50" s="53"/>
      <c r="R50" s="53"/>
      <c r="S50" s="171"/>
      <c r="T50" s="170"/>
      <c r="U50" s="53"/>
      <c r="V50" s="53"/>
      <c r="W50" s="53"/>
      <c r="X50" s="171"/>
      <c r="Y50" s="170"/>
      <c r="Z50" s="170"/>
      <c r="AA50" s="170"/>
      <c r="AB50" s="170"/>
      <c r="AC50" s="170"/>
      <c r="AD50" s="53"/>
      <c r="AE50" s="53"/>
    </row>
    <row r="51">
      <c r="A51" s="53"/>
      <c r="B51" s="53"/>
      <c r="C51" s="168"/>
      <c r="D51" s="169"/>
      <c r="E51" s="170"/>
      <c r="F51" s="53"/>
      <c r="G51" s="53" t="str">
        <f>IFERROR(__xludf.DUMMYFUNCTION("""COMPUTED_VALUE"""),"2607H033
Vanvan
085813318881
Website")</f>
        <v>2607H033
Vanvan
085813318881
Website</v>
      </c>
      <c r="H51" s="53" t="str">
        <f>IFERROR(__xludf.DUMMYFUNCTION("""COMPUTED_VALUE"""),"
3 pax
Rp0")</f>
        <v>
3 pax
Rp0</v>
      </c>
      <c r="I51" s="171" t="str">
        <f>IFERROR(__xludf.DUMMYFUNCTION("""COMPUTED_VALUE"""),"fu 20 Agustus")</f>
        <v>fu 20 Agustus</v>
      </c>
      <c r="J51" s="170"/>
      <c r="K51" s="53"/>
      <c r="L51" s="53"/>
      <c r="M51" s="53"/>
      <c r="N51" s="171"/>
      <c r="O51" s="170"/>
      <c r="P51" s="53"/>
      <c r="Q51" s="53"/>
      <c r="R51" s="53"/>
      <c r="S51" s="171"/>
      <c r="T51" s="170"/>
      <c r="U51" s="53"/>
      <c r="V51" s="53"/>
      <c r="W51" s="53"/>
      <c r="X51" s="171"/>
      <c r="Y51" s="170"/>
      <c r="Z51" s="170"/>
      <c r="AA51" s="170"/>
      <c r="AB51" s="170"/>
      <c r="AC51" s="170"/>
      <c r="AD51" s="53"/>
      <c r="AE51" s="53"/>
    </row>
    <row r="52">
      <c r="A52" s="53"/>
      <c r="B52" s="53"/>
      <c r="C52" s="168"/>
      <c r="D52" s="169"/>
      <c r="E52" s="170"/>
      <c r="F52" s="53"/>
      <c r="G52" s="53" t="str">
        <f>IFERROR(__xludf.DUMMYFUNCTION("""COMPUTED_VALUE"""),"2607H035
Windi
081199893689
Website")</f>
        <v>2607H035
Windi
081199893689
Website</v>
      </c>
      <c r="H52" s="53" t="str">
        <f>IFERROR(__xludf.DUMMYFUNCTION("""COMPUTED_VALUE"""),"Baluran
6 pax
Rp0")</f>
        <v>Baluran
6 pax
Rp0</v>
      </c>
      <c r="I52" s="171" t="str">
        <f>IFERROR(__xludf.DUMMYFUNCTION("""COMPUTED_VALUE"""),"FU 1 Agustus")</f>
        <v>FU 1 Agustus</v>
      </c>
      <c r="J52" s="170"/>
      <c r="K52" s="53"/>
      <c r="L52" s="53"/>
      <c r="M52" s="53"/>
      <c r="N52" s="171"/>
      <c r="O52" s="170"/>
      <c r="P52" s="53"/>
      <c r="Q52" s="53"/>
      <c r="R52" s="53"/>
      <c r="S52" s="171"/>
      <c r="T52" s="170"/>
      <c r="U52" s="53"/>
      <c r="V52" s="53"/>
      <c r="W52" s="53"/>
      <c r="X52" s="171"/>
      <c r="Y52" s="170"/>
      <c r="Z52" s="170"/>
      <c r="AA52" s="170"/>
      <c r="AB52" s="170"/>
      <c r="AC52" s="170"/>
      <c r="AD52" s="53"/>
      <c r="AE52" s="53"/>
    </row>
    <row r="53">
      <c r="A53" s="53"/>
      <c r="B53" s="53"/>
      <c r="C53" s="168"/>
      <c r="D53" s="169"/>
      <c r="E53" s="170"/>
      <c r="F53" s="53"/>
      <c r="G53" s="53" t="str">
        <f>IFERROR(__xludf.DUMMYFUNCTION("""COMPUTED_VALUE"""),"2607H036
Riany Mutiara
0818190878
Website")</f>
        <v>2607H036
Riany Mutiara
0818190878
Website</v>
      </c>
      <c r="H53" s="53" t="str">
        <f>IFERROR(__xludf.DUMMYFUNCTION("""COMPUTED_VALUE"""),"Ijen, Baluran
 pax
Rp0")</f>
        <v>Ijen, Baluran
 pax
Rp0</v>
      </c>
      <c r="I53" s="171" t="str">
        <f>IFERROR(__xludf.DUMMYFUNCTION("""COMPUTED_VALUE"""),"FU 26 Agustus")</f>
        <v>FU 26 Agustus</v>
      </c>
      <c r="J53" s="170"/>
      <c r="K53" s="53"/>
      <c r="L53" s="53"/>
      <c r="M53" s="53"/>
      <c r="N53" s="171"/>
      <c r="O53" s="170"/>
      <c r="P53" s="53"/>
      <c r="Q53" s="53"/>
      <c r="R53" s="53"/>
      <c r="S53" s="171"/>
      <c r="T53" s="170"/>
      <c r="U53" s="53"/>
      <c r="V53" s="53"/>
      <c r="W53" s="53"/>
      <c r="X53" s="171"/>
      <c r="Y53" s="170"/>
      <c r="Z53" s="170"/>
      <c r="AA53" s="170"/>
      <c r="AB53" s="170"/>
      <c r="AC53" s="170"/>
      <c r="AD53" s="53"/>
      <c r="AE53" s="53"/>
    </row>
    <row r="54">
      <c r="A54" s="53"/>
      <c r="B54" s="53"/>
      <c r="C54" s="168"/>
      <c r="D54" s="169"/>
      <c r="E54" s="170"/>
      <c r="F54" s="53"/>
      <c r="G54" s="53" t="str">
        <f>IFERROR(__xludf.DUMMYFUNCTION("""COMPUTED_VALUE"""),"2607H037
Galih Prasetyo
081211669667
Website")</f>
        <v>2607H037
Galih Prasetyo
081211669667
Website</v>
      </c>
      <c r="H54" s="53" t="str">
        <f>IFERROR(__xludf.DUMMYFUNCTION("""COMPUTED_VALUE"""),"Hiace Bali Banyuwangi
2 pax
Rp0")</f>
        <v>Hiace Bali Banyuwangi
2 pax
Rp0</v>
      </c>
      <c r="I54" s="171" t="str">
        <f>IFERROR(__xludf.DUMMYFUNCTION("""COMPUTED_VALUE"""),"fu 26 juli")</f>
        <v>fu 26 juli</v>
      </c>
      <c r="J54" s="170"/>
      <c r="K54" s="53"/>
      <c r="L54" s="53"/>
      <c r="M54" s="53"/>
      <c r="N54" s="171"/>
      <c r="O54" s="170"/>
      <c r="P54" s="53"/>
      <c r="Q54" s="53"/>
      <c r="R54" s="53"/>
      <c r="S54" s="171"/>
      <c r="T54" s="170"/>
      <c r="U54" s="53"/>
      <c r="V54" s="53"/>
      <c r="W54" s="53"/>
      <c r="X54" s="171"/>
      <c r="Y54" s="170"/>
      <c r="Z54" s="170"/>
      <c r="AA54" s="170"/>
      <c r="AB54" s="170"/>
      <c r="AC54" s="170"/>
      <c r="AD54" s="53"/>
      <c r="AE54" s="53"/>
    </row>
    <row r="55">
      <c r="A55" s="53"/>
      <c r="B55" s="53"/>
      <c r="C55" s="168"/>
      <c r="D55" s="169"/>
      <c r="E55" s="170"/>
      <c r="F55" s="53"/>
      <c r="G55" s="53" t="str">
        <f>IFERROR(__xludf.DUMMYFUNCTION("""COMPUTED_VALUE"""),"2607H038
Nina Husniah
085945485608
Instagram")</f>
        <v>2607H038
Nina Husniah
085945485608
Instagram</v>
      </c>
      <c r="H55" s="53" t="str">
        <f>IFERROR(__xludf.DUMMYFUNCTION("""COMPUTED_VALUE"""),"ijen
 pax
Rp9.480.000")</f>
        <v>ijen
 pax
Rp9.480.000</v>
      </c>
      <c r="I55" s="171" t="str">
        <f>IFERROR(__xludf.DUMMYFUNCTION("""COMPUTED_VALUE"""),"fu 30 juli")</f>
        <v>fu 30 juli</v>
      </c>
      <c r="J55" s="170"/>
      <c r="K55" s="53"/>
      <c r="L55" s="53"/>
      <c r="M55" s="53"/>
      <c r="N55" s="171"/>
      <c r="O55" s="170"/>
      <c r="P55" s="53"/>
      <c r="Q55" s="53"/>
      <c r="R55" s="53"/>
      <c r="S55" s="171"/>
      <c r="T55" s="170"/>
      <c r="U55" s="53"/>
      <c r="V55" s="53"/>
      <c r="W55" s="53"/>
      <c r="X55" s="171"/>
      <c r="Y55" s="170"/>
      <c r="Z55" s="170"/>
      <c r="AA55" s="170"/>
      <c r="AB55" s="170"/>
      <c r="AC55" s="170"/>
      <c r="AD55" s="53"/>
      <c r="AE55" s="53"/>
    </row>
    <row r="56">
      <c r="A56" s="53"/>
      <c r="B56" s="53"/>
      <c r="C56" s="168"/>
      <c r="D56" s="169"/>
      <c r="E56" s="170"/>
      <c r="F56" s="53"/>
      <c r="G56" s="53" t="str">
        <f>IFERROR(__xludf.DUMMYFUNCTION("""COMPUTED_VALUE"""),"2607H039
Cyntia Elita
081314586313
Website")</f>
        <v>2607H039
Cyntia Elita
081314586313
Website</v>
      </c>
      <c r="H56" s="53" t="str">
        <f>IFERROR(__xludf.DUMMYFUNCTION("""COMPUTED_VALUE"""),"ijen
2 pax
Rp0")</f>
        <v>ijen
2 pax
Rp0</v>
      </c>
      <c r="I56" s="171" t="str">
        <f>IFERROR(__xludf.DUMMYFUNCTION("""COMPUTED_VALUE"""),"fu 30 Juli")</f>
        <v>fu 30 Juli</v>
      </c>
      <c r="J56" s="170"/>
      <c r="K56" s="53"/>
      <c r="L56" s="53"/>
      <c r="M56" s="53"/>
      <c r="N56" s="171"/>
      <c r="O56" s="170"/>
      <c r="P56" s="53"/>
      <c r="Q56" s="53"/>
      <c r="R56" s="53"/>
      <c r="S56" s="171"/>
      <c r="T56" s="170"/>
      <c r="U56" s="53"/>
      <c r="V56" s="53"/>
      <c r="W56" s="53"/>
      <c r="X56" s="171"/>
      <c r="Y56" s="170"/>
      <c r="Z56" s="170"/>
      <c r="AA56" s="170"/>
      <c r="AB56" s="170"/>
      <c r="AC56" s="170"/>
      <c r="AD56" s="53"/>
      <c r="AE56" s="53"/>
    </row>
    <row r="57">
      <c r="A57" s="53"/>
      <c r="B57" s="53"/>
      <c r="C57" s="168"/>
      <c r="D57" s="169"/>
      <c r="E57" s="170"/>
      <c r="F57" s="53"/>
      <c r="G57" s="53" t="str">
        <f>IFERROR(__xludf.DUMMYFUNCTION("""COMPUTED_VALUE"""),"2607H046
Dewi Ningtyas
085742774705
Lainnya")</f>
        <v>2607H046
Dewi Ningtyas
085742774705
Lainnya</v>
      </c>
      <c r="H57" s="53" t="str">
        <f>IFERROR(__xludf.DUMMYFUNCTION("""COMPUTED_VALUE"""),"OT Djawatan, Green Island
1 pax
Rp425.000")</f>
        <v>OT Djawatan, Green Island
1 pax
Rp425.000</v>
      </c>
      <c r="I57" s="171" t="str">
        <f>IFERROR(__xludf.DUMMYFUNCTION("""COMPUTED_VALUE"""),"FU 1 Agustus")</f>
        <v>FU 1 Agustus</v>
      </c>
      <c r="J57" s="170"/>
      <c r="K57" s="53"/>
      <c r="L57" s="53"/>
      <c r="M57" s="53"/>
      <c r="N57" s="171"/>
      <c r="O57" s="170"/>
      <c r="P57" s="53"/>
      <c r="Q57" s="53"/>
      <c r="R57" s="53"/>
      <c r="S57" s="171"/>
      <c r="T57" s="170"/>
      <c r="U57" s="53"/>
      <c r="V57" s="53"/>
      <c r="W57" s="53"/>
      <c r="X57" s="171"/>
      <c r="Y57" s="170"/>
      <c r="Z57" s="170"/>
      <c r="AA57" s="170"/>
      <c r="AB57" s="170"/>
      <c r="AC57" s="170"/>
      <c r="AD57" s="53"/>
      <c r="AE57" s="53"/>
    </row>
    <row r="58">
      <c r="A58" s="53"/>
      <c r="B58" s="53"/>
      <c r="C58" s="168"/>
      <c r="D58" s="169"/>
      <c r="E58" s="170"/>
      <c r="F58" s="53"/>
      <c r="G58" s="53" t="str">
        <f>IFERROR(__xludf.DUMMYFUNCTION("""COMPUTED_VALUE"""),"2807H047
Rita
08811388172
Website")</f>
        <v>2807H047
Rita
08811388172
Website</v>
      </c>
      <c r="H58" s="53" t="str">
        <f>IFERROR(__xludf.DUMMYFUNCTION("""COMPUTED_VALUE"""),"3H2M
46256
3 pax
Rp0")</f>
        <v>3H2M
46256
3 pax
Rp0</v>
      </c>
      <c r="I58" s="171"/>
      <c r="J58" s="170"/>
      <c r="K58" s="53"/>
      <c r="L58" s="53"/>
      <c r="M58" s="53"/>
      <c r="N58" s="171"/>
      <c r="O58" s="170"/>
      <c r="P58" s="53"/>
      <c r="Q58" s="53"/>
      <c r="R58" s="53"/>
      <c r="S58" s="171"/>
      <c r="T58" s="170"/>
      <c r="U58" s="53"/>
      <c r="V58" s="53"/>
      <c r="W58" s="53"/>
      <c r="X58" s="171"/>
      <c r="Y58" s="170"/>
      <c r="Z58" s="170"/>
      <c r="AA58" s="170"/>
      <c r="AB58" s="170"/>
      <c r="AC58" s="170"/>
      <c r="AD58" s="53"/>
      <c r="AE58" s="53"/>
    </row>
    <row r="59">
      <c r="A59" s="53"/>
      <c r="B59" s="53"/>
      <c r="C59" s="168"/>
      <c r="D59" s="169"/>
      <c r="E59" s="170"/>
      <c r="F59" s="53"/>
      <c r="G59" s="53"/>
      <c r="H59" s="53"/>
      <c r="I59" s="171"/>
      <c r="J59" s="170"/>
      <c r="K59" s="53"/>
      <c r="L59" s="53"/>
      <c r="M59" s="53"/>
      <c r="N59" s="171"/>
      <c r="O59" s="170"/>
      <c r="P59" s="53"/>
      <c r="Q59" s="53"/>
      <c r="R59" s="53"/>
      <c r="S59" s="171"/>
      <c r="T59" s="170"/>
      <c r="U59" s="53"/>
      <c r="V59" s="53"/>
      <c r="W59" s="53"/>
      <c r="X59" s="171"/>
      <c r="Y59" s="170"/>
      <c r="Z59" s="170"/>
      <c r="AA59" s="170"/>
      <c r="AB59" s="170"/>
      <c r="AC59" s="170"/>
      <c r="AD59" s="53"/>
      <c r="AE59" s="53"/>
    </row>
    <row r="60">
      <c r="A60" s="53"/>
      <c r="B60" s="53"/>
      <c r="C60" s="168"/>
      <c r="D60" s="169"/>
      <c r="E60" s="170"/>
      <c r="F60" s="53"/>
      <c r="G60" s="53"/>
      <c r="H60" s="53"/>
      <c r="I60" s="171"/>
      <c r="J60" s="170"/>
      <c r="K60" s="53"/>
      <c r="L60" s="53"/>
      <c r="M60" s="53"/>
      <c r="N60" s="171"/>
      <c r="O60" s="170"/>
      <c r="P60" s="53"/>
      <c r="Q60" s="53"/>
      <c r="R60" s="53"/>
      <c r="S60" s="171"/>
      <c r="T60" s="170"/>
      <c r="U60" s="53"/>
      <c r="V60" s="53"/>
      <c r="W60" s="53"/>
      <c r="X60" s="171"/>
      <c r="Y60" s="170"/>
      <c r="Z60" s="170"/>
      <c r="AA60" s="170"/>
      <c r="AB60" s="170"/>
      <c r="AC60" s="170"/>
      <c r="AD60" s="53"/>
      <c r="AE60" s="53"/>
    </row>
    <row r="61">
      <c r="A61" s="53"/>
      <c r="B61" s="53"/>
      <c r="C61" s="168"/>
      <c r="D61" s="169"/>
      <c r="E61" s="170"/>
      <c r="F61" s="53"/>
      <c r="G61" s="53"/>
      <c r="H61" s="53"/>
      <c r="I61" s="171"/>
      <c r="J61" s="170"/>
      <c r="K61" s="53"/>
      <c r="L61" s="53"/>
      <c r="M61" s="53"/>
      <c r="N61" s="171"/>
      <c r="O61" s="170"/>
      <c r="P61" s="53"/>
      <c r="Q61" s="53"/>
      <c r="R61" s="53"/>
      <c r="S61" s="171"/>
      <c r="T61" s="170"/>
      <c r="U61" s="53"/>
      <c r="V61" s="53"/>
      <c r="W61" s="53"/>
      <c r="X61" s="171"/>
      <c r="Y61" s="170"/>
      <c r="Z61" s="170"/>
      <c r="AA61" s="170"/>
      <c r="AB61" s="170"/>
      <c r="AC61" s="170"/>
      <c r="AD61" s="53"/>
      <c r="AE61" s="53"/>
    </row>
    <row r="62">
      <c r="A62" s="53"/>
      <c r="B62" s="53"/>
      <c r="C62" s="168"/>
      <c r="D62" s="169"/>
      <c r="E62" s="170"/>
      <c r="F62" s="53"/>
      <c r="G62" s="53"/>
      <c r="H62" s="53"/>
      <c r="I62" s="171"/>
      <c r="J62" s="170"/>
      <c r="K62" s="53"/>
      <c r="L62" s="53"/>
      <c r="M62" s="53"/>
      <c r="N62" s="171"/>
      <c r="O62" s="170"/>
      <c r="P62" s="53"/>
      <c r="Q62" s="53"/>
      <c r="R62" s="53"/>
      <c r="S62" s="171"/>
      <c r="T62" s="170"/>
      <c r="U62" s="53"/>
      <c r="V62" s="53"/>
      <c r="W62" s="53"/>
      <c r="X62" s="171"/>
      <c r="Y62" s="170"/>
      <c r="Z62" s="170"/>
      <c r="AA62" s="170"/>
      <c r="AB62" s="170"/>
      <c r="AC62" s="170"/>
      <c r="AD62" s="53"/>
      <c r="AE62" s="53"/>
    </row>
    <row r="63">
      <c r="A63" s="53"/>
      <c r="B63" s="53"/>
      <c r="C63" s="168"/>
      <c r="D63" s="169"/>
      <c r="E63" s="170"/>
      <c r="F63" s="53"/>
      <c r="G63" s="53"/>
      <c r="H63" s="53"/>
      <c r="I63" s="171"/>
      <c r="J63" s="170"/>
      <c r="K63" s="53"/>
      <c r="L63" s="53"/>
      <c r="M63" s="53"/>
      <c r="N63" s="171"/>
      <c r="O63" s="170"/>
      <c r="P63" s="53"/>
      <c r="Q63" s="53"/>
      <c r="R63" s="53"/>
      <c r="S63" s="171"/>
      <c r="T63" s="170"/>
      <c r="U63" s="53"/>
      <c r="V63" s="53"/>
      <c r="W63" s="53"/>
      <c r="X63" s="171"/>
      <c r="Y63" s="170"/>
      <c r="Z63" s="170"/>
      <c r="AA63" s="170"/>
      <c r="AB63" s="170"/>
      <c r="AC63" s="170"/>
      <c r="AD63" s="53"/>
      <c r="AE63" s="53"/>
    </row>
    <row r="64">
      <c r="A64" s="53"/>
      <c r="B64" s="53"/>
      <c r="C64" s="168"/>
      <c r="D64" s="169"/>
      <c r="E64" s="170"/>
      <c r="F64" s="53"/>
      <c r="G64" s="53"/>
      <c r="H64" s="53"/>
      <c r="I64" s="171"/>
      <c r="J64" s="170"/>
      <c r="K64" s="53"/>
      <c r="L64" s="53"/>
      <c r="M64" s="53"/>
      <c r="N64" s="171"/>
      <c r="O64" s="170"/>
      <c r="P64" s="53"/>
      <c r="Q64" s="53"/>
      <c r="R64" s="53"/>
      <c r="S64" s="171"/>
      <c r="T64" s="170"/>
      <c r="U64" s="53"/>
      <c r="V64" s="53"/>
      <c r="W64" s="53"/>
      <c r="X64" s="171"/>
      <c r="Y64" s="170"/>
      <c r="Z64" s="170"/>
      <c r="AA64" s="170"/>
      <c r="AB64" s="170"/>
      <c r="AC64" s="170"/>
      <c r="AD64" s="53"/>
      <c r="AE64" s="53"/>
    </row>
    <row r="65">
      <c r="A65" s="53"/>
      <c r="B65" s="53"/>
      <c r="C65" s="168"/>
      <c r="D65" s="169"/>
      <c r="E65" s="170"/>
      <c r="F65" s="53"/>
      <c r="G65" s="53"/>
      <c r="H65" s="53"/>
      <c r="I65" s="171"/>
      <c r="J65" s="170"/>
      <c r="K65" s="53"/>
      <c r="L65" s="53"/>
      <c r="M65" s="53"/>
      <c r="N65" s="171"/>
      <c r="O65" s="170"/>
      <c r="P65" s="53"/>
      <c r="Q65" s="53"/>
      <c r="R65" s="53"/>
      <c r="S65" s="171"/>
      <c r="T65" s="170"/>
      <c r="U65" s="53"/>
      <c r="V65" s="53"/>
      <c r="W65" s="53"/>
      <c r="X65" s="171"/>
      <c r="Y65" s="170"/>
      <c r="Z65" s="170"/>
      <c r="AA65" s="170"/>
      <c r="AB65" s="170"/>
      <c r="AC65" s="170"/>
      <c r="AD65" s="53"/>
      <c r="AE65" s="53"/>
    </row>
    <row r="66">
      <c r="A66" s="53"/>
      <c r="B66" s="53"/>
      <c r="C66" s="168"/>
      <c r="D66" s="169"/>
      <c r="E66" s="170"/>
      <c r="F66" s="53"/>
      <c r="G66" s="53"/>
      <c r="H66" s="53"/>
      <c r="I66" s="171"/>
      <c r="J66" s="170"/>
      <c r="K66" s="53"/>
      <c r="L66" s="53"/>
      <c r="M66" s="53"/>
      <c r="N66" s="171"/>
      <c r="O66" s="170"/>
      <c r="P66" s="53"/>
      <c r="Q66" s="53"/>
      <c r="R66" s="53"/>
      <c r="S66" s="171"/>
      <c r="T66" s="170"/>
      <c r="U66" s="53"/>
      <c r="V66" s="53"/>
      <c r="W66" s="53"/>
      <c r="X66" s="171"/>
      <c r="Y66" s="170"/>
      <c r="Z66" s="170"/>
      <c r="AA66" s="170"/>
      <c r="AB66" s="170"/>
      <c r="AC66" s="170"/>
      <c r="AD66" s="53"/>
      <c r="AE66" s="53"/>
    </row>
    <row r="67">
      <c r="A67" s="53"/>
      <c r="B67" s="53"/>
      <c r="C67" s="168"/>
      <c r="D67" s="169"/>
      <c r="E67" s="170"/>
      <c r="F67" s="53"/>
      <c r="G67" s="53"/>
      <c r="H67" s="53"/>
      <c r="I67" s="171"/>
      <c r="J67" s="170"/>
      <c r="K67" s="53"/>
      <c r="L67" s="53"/>
      <c r="M67" s="53"/>
      <c r="N67" s="171"/>
      <c r="O67" s="170"/>
      <c r="P67" s="53"/>
      <c r="Q67" s="53"/>
      <c r="R67" s="53"/>
      <c r="S67" s="171"/>
      <c r="T67" s="170"/>
      <c r="U67" s="53"/>
      <c r="V67" s="53"/>
      <c r="W67" s="53"/>
      <c r="X67" s="171"/>
      <c r="Y67" s="170"/>
      <c r="Z67" s="170"/>
      <c r="AA67" s="170"/>
      <c r="AB67" s="170"/>
      <c r="AC67" s="170"/>
      <c r="AD67" s="53"/>
      <c r="AE67" s="53"/>
    </row>
    <row r="68">
      <c r="A68" s="53"/>
      <c r="B68" s="53"/>
      <c r="C68" s="168"/>
      <c r="D68" s="169"/>
      <c r="E68" s="170"/>
      <c r="F68" s="53"/>
      <c r="G68" s="53"/>
      <c r="H68" s="53"/>
      <c r="I68" s="171"/>
      <c r="J68" s="170"/>
      <c r="K68" s="53"/>
      <c r="L68" s="53"/>
      <c r="M68" s="53"/>
      <c r="N68" s="171"/>
      <c r="O68" s="170"/>
      <c r="P68" s="53"/>
      <c r="Q68" s="53"/>
      <c r="R68" s="53"/>
      <c r="S68" s="171"/>
      <c r="T68" s="170"/>
      <c r="U68" s="53"/>
      <c r="V68" s="53"/>
      <c r="W68" s="53"/>
      <c r="X68" s="171"/>
      <c r="Y68" s="170"/>
      <c r="Z68" s="170"/>
      <c r="AA68" s="170"/>
      <c r="AB68" s="170"/>
      <c r="AC68" s="170"/>
      <c r="AD68" s="53"/>
      <c r="AE68" s="53"/>
    </row>
    <row r="69">
      <c r="A69" s="53"/>
      <c r="B69" s="53"/>
      <c r="C69" s="168"/>
      <c r="D69" s="169"/>
      <c r="E69" s="170"/>
      <c r="F69" s="53"/>
      <c r="G69" s="53"/>
      <c r="H69" s="53"/>
      <c r="I69" s="171"/>
      <c r="J69" s="170"/>
      <c r="K69" s="53"/>
      <c r="L69" s="53"/>
      <c r="M69" s="53"/>
      <c r="N69" s="171"/>
      <c r="O69" s="170"/>
      <c r="P69" s="53"/>
      <c r="Q69" s="53"/>
      <c r="R69" s="53"/>
      <c r="S69" s="171"/>
      <c r="T69" s="170"/>
      <c r="U69" s="53"/>
      <c r="V69" s="53"/>
      <c r="W69" s="53"/>
      <c r="X69" s="171"/>
      <c r="Y69" s="170"/>
      <c r="Z69" s="170"/>
      <c r="AA69" s="170"/>
      <c r="AB69" s="170"/>
      <c r="AC69" s="170"/>
      <c r="AD69" s="53"/>
      <c r="AE69" s="53"/>
    </row>
    <row r="70">
      <c r="A70" s="53"/>
      <c r="B70" s="53"/>
      <c r="C70" s="168"/>
      <c r="D70" s="169"/>
      <c r="E70" s="170"/>
      <c r="F70" s="53"/>
      <c r="G70" s="53"/>
      <c r="H70" s="53"/>
      <c r="I70" s="171"/>
      <c r="J70" s="170"/>
      <c r="K70" s="53"/>
      <c r="L70" s="53"/>
      <c r="M70" s="53"/>
      <c r="N70" s="171"/>
      <c r="O70" s="170"/>
      <c r="P70" s="53"/>
      <c r="Q70" s="53"/>
      <c r="R70" s="53"/>
      <c r="S70" s="171"/>
      <c r="T70" s="170"/>
      <c r="U70" s="53"/>
      <c r="V70" s="53"/>
      <c r="W70" s="53"/>
      <c r="X70" s="171"/>
      <c r="Y70" s="170"/>
      <c r="Z70" s="170"/>
      <c r="AA70" s="170"/>
      <c r="AB70" s="170"/>
      <c r="AC70" s="170"/>
      <c r="AD70" s="53"/>
      <c r="AE70" s="53"/>
    </row>
    <row r="71">
      <c r="A71" s="53"/>
      <c r="B71" s="53"/>
      <c r="C71" s="168"/>
      <c r="D71" s="169"/>
      <c r="E71" s="170"/>
      <c r="F71" s="53"/>
      <c r="G71" s="53"/>
      <c r="H71" s="53"/>
      <c r="I71" s="171"/>
      <c r="J71" s="170"/>
      <c r="K71" s="53"/>
      <c r="L71" s="53"/>
      <c r="M71" s="53"/>
      <c r="N71" s="171"/>
      <c r="O71" s="170"/>
      <c r="P71" s="53"/>
      <c r="Q71" s="53"/>
      <c r="R71" s="53"/>
      <c r="S71" s="171"/>
      <c r="T71" s="170"/>
      <c r="U71" s="53"/>
      <c r="V71" s="53"/>
      <c r="W71" s="53"/>
      <c r="X71" s="171"/>
      <c r="Y71" s="170"/>
      <c r="Z71" s="170"/>
      <c r="AA71" s="170"/>
      <c r="AB71" s="170"/>
      <c r="AC71" s="170"/>
      <c r="AD71" s="53"/>
      <c r="AE71" s="53"/>
    </row>
    <row r="72">
      <c r="A72" s="53"/>
      <c r="B72" s="53"/>
      <c r="C72" s="168"/>
      <c r="D72" s="169"/>
      <c r="E72" s="170"/>
      <c r="F72" s="53"/>
      <c r="G72" s="53"/>
      <c r="H72" s="53"/>
      <c r="I72" s="171"/>
      <c r="J72" s="170"/>
      <c r="K72" s="53"/>
      <c r="L72" s="53"/>
      <c r="M72" s="53"/>
      <c r="N72" s="171"/>
      <c r="O72" s="170"/>
      <c r="P72" s="53"/>
      <c r="Q72" s="53"/>
      <c r="R72" s="53"/>
      <c r="S72" s="171"/>
      <c r="T72" s="170"/>
      <c r="U72" s="53"/>
      <c r="V72" s="53"/>
      <c r="W72" s="53"/>
      <c r="X72" s="171"/>
      <c r="Y72" s="170"/>
      <c r="Z72" s="170"/>
      <c r="AA72" s="170"/>
      <c r="AB72" s="170"/>
      <c r="AC72" s="170"/>
      <c r="AD72" s="53"/>
      <c r="AE72" s="53"/>
    </row>
    <row r="73">
      <c r="A73" s="53"/>
      <c r="B73" s="53"/>
      <c r="C73" s="168"/>
      <c r="D73" s="169"/>
      <c r="E73" s="170"/>
      <c r="F73" s="53"/>
      <c r="G73" s="53"/>
      <c r="H73" s="53"/>
      <c r="I73" s="171"/>
      <c r="J73" s="170"/>
      <c r="K73" s="53"/>
      <c r="L73" s="53"/>
      <c r="M73" s="53"/>
      <c r="N73" s="171"/>
      <c r="O73" s="170"/>
      <c r="P73" s="53"/>
      <c r="Q73" s="53"/>
      <c r="R73" s="53"/>
      <c r="S73" s="171"/>
      <c r="T73" s="170"/>
      <c r="U73" s="53"/>
      <c r="V73" s="53"/>
      <c r="W73" s="53"/>
      <c r="X73" s="171"/>
      <c r="Y73" s="170"/>
      <c r="Z73" s="170"/>
      <c r="AA73" s="170"/>
      <c r="AB73" s="170"/>
      <c r="AC73" s="170"/>
      <c r="AD73" s="53"/>
      <c r="AE73" s="53"/>
    </row>
    <row r="74">
      <c r="A74" s="53"/>
      <c r="B74" s="53"/>
      <c r="C74" s="168"/>
      <c r="D74" s="169"/>
      <c r="E74" s="170"/>
      <c r="F74" s="53"/>
      <c r="G74" s="53"/>
      <c r="H74" s="53"/>
      <c r="I74" s="171"/>
      <c r="J74" s="170"/>
      <c r="K74" s="53"/>
      <c r="L74" s="53"/>
      <c r="M74" s="53"/>
      <c r="N74" s="171"/>
      <c r="O74" s="170"/>
      <c r="P74" s="53"/>
      <c r="Q74" s="53"/>
      <c r="R74" s="53"/>
      <c r="S74" s="171"/>
      <c r="T74" s="170"/>
      <c r="U74" s="53"/>
      <c r="V74" s="53"/>
      <c r="W74" s="53"/>
      <c r="X74" s="171"/>
      <c r="Y74" s="170"/>
      <c r="Z74" s="170"/>
      <c r="AA74" s="170"/>
      <c r="AB74" s="170"/>
      <c r="AC74" s="170"/>
      <c r="AD74" s="53"/>
      <c r="AE74" s="53"/>
    </row>
    <row r="75">
      <c r="A75" s="53"/>
      <c r="B75" s="53"/>
      <c r="C75" s="168"/>
      <c r="D75" s="169"/>
      <c r="E75" s="170"/>
      <c r="F75" s="53"/>
      <c r="G75" s="53"/>
      <c r="H75" s="53"/>
      <c r="I75" s="171"/>
      <c r="J75" s="170"/>
      <c r="K75" s="53"/>
      <c r="L75" s="53"/>
      <c r="M75" s="53"/>
      <c r="N75" s="171"/>
      <c r="O75" s="170"/>
      <c r="P75" s="53"/>
      <c r="Q75" s="53"/>
      <c r="R75" s="53"/>
      <c r="S75" s="171"/>
      <c r="T75" s="170"/>
      <c r="U75" s="53"/>
      <c r="V75" s="53"/>
      <c r="W75" s="53"/>
      <c r="X75" s="171"/>
      <c r="Y75" s="170"/>
      <c r="Z75" s="170"/>
      <c r="AA75" s="170"/>
      <c r="AB75" s="170"/>
      <c r="AC75" s="170"/>
      <c r="AD75" s="53"/>
      <c r="AE75" s="53"/>
    </row>
    <row r="76">
      <c r="A76" s="53"/>
      <c r="B76" s="53"/>
      <c r="C76" s="168"/>
      <c r="D76" s="169"/>
      <c r="E76" s="170"/>
      <c r="F76" s="53"/>
      <c r="G76" s="53"/>
      <c r="H76" s="53"/>
      <c r="I76" s="171"/>
      <c r="J76" s="170"/>
      <c r="K76" s="53"/>
      <c r="L76" s="53"/>
      <c r="M76" s="53"/>
      <c r="N76" s="171"/>
      <c r="O76" s="170"/>
      <c r="P76" s="53"/>
      <c r="Q76" s="53"/>
      <c r="R76" s="53"/>
      <c r="S76" s="171"/>
      <c r="T76" s="170"/>
      <c r="U76" s="53"/>
      <c r="V76" s="53"/>
      <c r="W76" s="53"/>
      <c r="X76" s="171"/>
      <c r="Y76" s="170"/>
      <c r="Z76" s="170"/>
      <c r="AA76" s="170"/>
      <c r="AB76" s="170"/>
      <c r="AC76" s="170"/>
      <c r="AD76" s="53"/>
      <c r="AE76" s="53"/>
    </row>
    <row r="77">
      <c r="A77" s="53"/>
      <c r="B77" s="53"/>
      <c r="C77" s="168"/>
      <c r="D77" s="169"/>
      <c r="E77" s="170"/>
      <c r="F77" s="53"/>
      <c r="G77" s="53"/>
      <c r="H77" s="53"/>
      <c r="I77" s="171"/>
      <c r="J77" s="170"/>
      <c r="K77" s="53"/>
      <c r="L77" s="53"/>
      <c r="M77" s="53"/>
      <c r="N77" s="171"/>
      <c r="O77" s="170"/>
      <c r="P77" s="53"/>
      <c r="Q77" s="53"/>
      <c r="R77" s="53"/>
      <c r="S77" s="171"/>
      <c r="T77" s="170"/>
      <c r="U77" s="53"/>
      <c r="V77" s="53"/>
      <c r="W77" s="53"/>
      <c r="X77" s="171"/>
      <c r="Y77" s="170"/>
      <c r="Z77" s="170"/>
      <c r="AA77" s="170"/>
      <c r="AB77" s="170"/>
      <c r="AC77" s="170"/>
      <c r="AD77" s="53"/>
      <c r="AE77" s="53"/>
    </row>
    <row r="78">
      <c r="A78" s="53"/>
      <c r="B78" s="53"/>
      <c r="C78" s="168"/>
      <c r="D78" s="169"/>
      <c r="E78" s="170"/>
      <c r="F78" s="53"/>
      <c r="G78" s="53"/>
      <c r="H78" s="53"/>
      <c r="I78" s="171"/>
      <c r="J78" s="170"/>
      <c r="K78" s="53"/>
      <c r="L78" s="53"/>
      <c r="M78" s="53"/>
      <c r="N78" s="171"/>
      <c r="O78" s="170"/>
      <c r="P78" s="53"/>
      <c r="Q78" s="53"/>
      <c r="R78" s="53"/>
      <c r="S78" s="171"/>
      <c r="T78" s="170"/>
      <c r="U78" s="53"/>
      <c r="V78" s="53"/>
      <c r="W78" s="53"/>
      <c r="X78" s="171"/>
      <c r="Y78" s="170"/>
      <c r="Z78" s="170"/>
      <c r="AA78" s="170"/>
      <c r="AB78" s="170"/>
      <c r="AC78" s="170"/>
      <c r="AD78" s="53"/>
      <c r="AE78" s="53"/>
    </row>
    <row r="79">
      <c r="A79" s="53"/>
      <c r="B79" s="53"/>
      <c r="C79" s="168"/>
      <c r="D79" s="169"/>
      <c r="E79" s="170"/>
      <c r="F79" s="53"/>
      <c r="G79" s="53"/>
      <c r="H79" s="53"/>
      <c r="I79" s="171"/>
      <c r="J79" s="170"/>
      <c r="K79" s="53"/>
      <c r="L79" s="53"/>
      <c r="M79" s="53"/>
      <c r="N79" s="171"/>
      <c r="O79" s="170"/>
      <c r="P79" s="53"/>
      <c r="Q79" s="53"/>
      <c r="R79" s="53"/>
      <c r="S79" s="171"/>
      <c r="T79" s="170"/>
      <c r="U79" s="53"/>
      <c r="V79" s="53"/>
      <c r="W79" s="53"/>
      <c r="X79" s="171"/>
      <c r="Y79" s="170"/>
      <c r="Z79" s="170"/>
      <c r="AA79" s="170"/>
      <c r="AB79" s="170"/>
      <c r="AC79" s="170"/>
      <c r="AD79" s="53"/>
      <c r="AE79" s="53"/>
    </row>
    <row r="80">
      <c r="A80" s="53"/>
      <c r="B80" s="53"/>
      <c r="C80" s="168"/>
      <c r="D80" s="169"/>
      <c r="E80" s="170"/>
      <c r="F80" s="53"/>
      <c r="G80" s="53"/>
      <c r="H80" s="53"/>
      <c r="I80" s="171"/>
      <c r="J80" s="170"/>
      <c r="K80" s="53"/>
      <c r="L80" s="53"/>
      <c r="M80" s="53"/>
      <c r="N80" s="171"/>
      <c r="O80" s="170"/>
      <c r="P80" s="53"/>
      <c r="Q80" s="53"/>
      <c r="R80" s="53"/>
      <c r="S80" s="171"/>
      <c r="T80" s="170"/>
      <c r="U80" s="53"/>
      <c r="V80" s="53"/>
      <c r="W80" s="53"/>
      <c r="X80" s="171"/>
      <c r="Y80" s="170"/>
      <c r="Z80" s="170"/>
      <c r="AA80" s="170"/>
      <c r="AB80" s="170"/>
      <c r="AC80" s="170"/>
      <c r="AD80" s="53"/>
      <c r="AE80" s="53"/>
    </row>
    <row r="81">
      <c r="A81" s="53"/>
      <c r="B81" s="53"/>
      <c r="C81" s="168"/>
      <c r="D81" s="169"/>
      <c r="E81" s="170"/>
      <c r="F81" s="53"/>
      <c r="G81" s="53"/>
      <c r="H81" s="53"/>
      <c r="I81" s="171"/>
      <c r="J81" s="170"/>
      <c r="K81" s="53"/>
      <c r="L81" s="53"/>
      <c r="M81" s="53"/>
      <c r="N81" s="171"/>
      <c r="O81" s="170"/>
      <c r="P81" s="53"/>
      <c r="Q81" s="53"/>
      <c r="R81" s="53"/>
      <c r="S81" s="171"/>
      <c r="T81" s="170"/>
      <c r="U81" s="53"/>
      <c r="V81" s="53"/>
      <c r="W81" s="53"/>
      <c r="X81" s="171"/>
      <c r="Y81" s="170"/>
      <c r="Z81" s="170"/>
      <c r="AA81" s="170"/>
      <c r="AB81" s="170"/>
      <c r="AC81" s="170"/>
      <c r="AD81" s="53"/>
      <c r="AE81" s="53"/>
    </row>
    <row r="82">
      <c r="A82" s="53"/>
      <c r="B82" s="53"/>
      <c r="C82" s="168"/>
      <c r="D82" s="169"/>
      <c r="E82" s="170"/>
      <c r="F82" s="53"/>
      <c r="G82" s="53"/>
      <c r="H82" s="53"/>
      <c r="I82" s="171"/>
      <c r="J82" s="170"/>
      <c r="K82" s="53"/>
      <c r="L82" s="53"/>
      <c r="M82" s="53"/>
      <c r="N82" s="171"/>
      <c r="O82" s="170"/>
      <c r="P82" s="53"/>
      <c r="Q82" s="53"/>
      <c r="R82" s="53"/>
      <c r="S82" s="171"/>
      <c r="T82" s="170"/>
      <c r="U82" s="53"/>
      <c r="V82" s="53"/>
      <c r="W82" s="53"/>
      <c r="X82" s="171"/>
      <c r="Y82" s="170"/>
      <c r="Z82" s="170"/>
      <c r="AA82" s="170"/>
      <c r="AB82" s="170"/>
      <c r="AC82" s="170"/>
      <c r="AD82" s="53"/>
      <c r="AE82" s="53"/>
    </row>
    <row r="83">
      <c r="A83" s="53"/>
      <c r="B83" s="53"/>
      <c r="C83" s="168"/>
      <c r="D83" s="169"/>
      <c r="E83" s="170"/>
      <c r="F83" s="53"/>
      <c r="G83" s="53"/>
      <c r="H83" s="53"/>
      <c r="I83" s="171"/>
      <c r="J83" s="170"/>
      <c r="K83" s="53"/>
      <c r="L83" s="53"/>
      <c r="M83" s="53"/>
      <c r="N83" s="171"/>
      <c r="O83" s="170"/>
      <c r="P83" s="53"/>
      <c r="Q83" s="53"/>
      <c r="R83" s="53"/>
      <c r="S83" s="171"/>
      <c r="T83" s="170"/>
      <c r="U83" s="53"/>
      <c r="V83" s="53"/>
      <c r="W83" s="53"/>
      <c r="X83" s="171"/>
      <c r="Y83" s="170"/>
      <c r="Z83" s="170"/>
      <c r="AA83" s="170"/>
      <c r="AB83" s="170"/>
      <c r="AC83" s="170"/>
      <c r="AD83" s="53"/>
      <c r="AE83" s="53"/>
    </row>
    <row r="84">
      <c r="A84" s="53"/>
      <c r="B84" s="53"/>
      <c r="C84" s="168"/>
      <c r="D84" s="169"/>
      <c r="E84" s="170"/>
      <c r="F84" s="53"/>
      <c r="G84" s="53"/>
      <c r="H84" s="53"/>
      <c r="I84" s="171"/>
      <c r="J84" s="170"/>
      <c r="K84" s="53"/>
      <c r="L84" s="53"/>
      <c r="M84" s="53"/>
      <c r="N84" s="171"/>
      <c r="O84" s="170"/>
      <c r="P84" s="53"/>
      <c r="Q84" s="53"/>
      <c r="R84" s="53"/>
      <c r="S84" s="171"/>
      <c r="T84" s="170"/>
      <c r="U84" s="53"/>
      <c r="V84" s="53"/>
      <c r="W84" s="53"/>
      <c r="X84" s="171"/>
      <c r="Y84" s="170"/>
      <c r="Z84" s="170"/>
      <c r="AA84" s="170"/>
      <c r="AB84" s="170"/>
      <c r="AC84" s="170"/>
      <c r="AD84" s="53"/>
      <c r="AE84" s="53"/>
    </row>
    <row r="85">
      <c r="A85" s="53"/>
      <c r="B85" s="53"/>
      <c r="C85" s="168"/>
      <c r="D85" s="169"/>
      <c r="E85" s="170"/>
      <c r="F85" s="53"/>
      <c r="G85" s="53"/>
      <c r="H85" s="53"/>
      <c r="I85" s="171"/>
      <c r="J85" s="170"/>
      <c r="K85" s="53"/>
      <c r="L85" s="53"/>
      <c r="M85" s="53"/>
      <c r="N85" s="171"/>
      <c r="O85" s="170"/>
      <c r="P85" s="53"/>
      <c r="Q85" s="53"/>
      <c r="R85" s="53"/>
      <c r="S85" s="171"/>
      <c r="T85" s="170"/>
      <c r="U85" s="53"/>
      <c r="V85" s="53"/>
      <c r="W85" s="53"/>
      <c r="X85" s="171"/>
      <c r="Y85" s="170"/>
      <c r="Z85" s="170"/>
      <c r="AA85" s="170"/>
      <c r="AB85" s="170"/>
      <c r="AC85" s="170"/>
      <c r="AD85" s="53"/>
      <c r="AE85" s="53"/>
    </row>
    <row r="86">
      <c r="A86" s="53"/>
      <c r="B86" s="53"/>
      <c r="C86" s="168"/>
      <c r="D86" s="169"/>
      <c r="E86" s="170"/>
      <c r="F86" s="53"/>
      <c r="G86" s="53"/>
      <c r="H86" s="53"/>
      <c r="I86" s="171"/>
      <c r="J86" s="170"/>
      <c r="K86" s="53"/>
      <c r="L86" s="53"/>
      <c r="M86" s="53"/>
      <c r="N86" s="171"/>
      <c r="O86" s="170"/>
      <c r="P86" s="53"/>
      <c r="Q86" s="53"/>
      <c r="R86" s="53"/>
      <c r="S86" s="171"/>
      <c r="T86" s="170"/>
      <c r="U86" s="53"/>
      <c r="V86" s="53"/>
      <c r="W86" s="53"/>
      <c r="X86" s="171"/>
      <c r="Y86" s="170"/>
      <c r="Z86" s="170"/>
      <c r="AA86" s="170"/>
      <c r="AB86" s="170"/>
      <c r="AC86" s="170"/>
      <c r="AD86" s="53"/>
      <c r="AE86" s="53"/>
    </row>
    <row r="87">
      <c r="A87" s="53"/>
      <c r="B87" s="53"/>
      <c r="C87" s="168"/>
      <c r="D87" s="169"/>
      <c r="E87" s="170"/>
      <c r="F87" s="53"/>
      <c r="G87" s="53"/>
      <c r="H87" s="53"/>
      <c r="I87" s="171"/>
      <c r="J87" s="170"/>
      <c r="K87" s="53"/>
      <c r="L87" s="53"/>
      <c r="M87" s="53"/>
      <c r="N87" s="171"/>
      <c r="O87" s="170"/>
      <c r="P87" s="53"/>
      <c r="Q87" s="53"/>
      <c r="R87" s="53"/>
      <c r="S87" s="171"/>
      <c r="T87" s="170"/>
      <c r="U87" s="53"/>
      <c r="V87" s="53"/>
      <c r="W87" s="53"/>
      <c r="X87" s="171"/>
      <c r="Y87" s="170"/>
      <c r="Z87" s="170"/>
      <c r="AA87" s="170"/>
      <c r="AB87" s="170"/>
      <c r="AC87" s="170"/>
      <c r="AD87" s="53"/>
      <c r="AE87" s="53"/>
    </row>
    <row r="88">
      <c r="A88" s="53"/>
      <c r="B88" s="53"/>
      <c r="C88" s="168"/>
      <c r="D88" s="169"/>
      <c r="E88" s="170"/>
      <c r="F88" s="53"/>
      <c r="G88" s="53"/>
      <c r="H88" s="53"/>
      <c r="I88" s="171"/>
      <c r="J88" s="170"/>
      <c r="K88" s="53"/>
      <c r="L88" s="53"/>
      <c r="M88" s="53"/>
      <c r="N88" s="171"/>
      <c r="O88" s="170"/>
      <c r="P88" s="53"/>
      <c r="Q88" s="53"/>
      <c r="R88" s="53"/>
      <c r="S88" s="171"/>
      <c r="T88" s="170"/>
      <c r="U88" s="53"/>
      <c r="V88" s="53"/>
      <c r="W88" s="53"/>
      <c r="X88" s="171"/>
      <c r="Y88" s="170"/>
      <c r="Z88" s="170"/>
      <c r="AA88" s="170"/>
      <c r="AB88" s="170"/>
      <c r="AC88" s="170"/>
      <c r="AD88" s="53"/>
      <c r="AE88" s="53"/>
    </row>
    <row r="89">
      <c r="A89" s="53"/>
      <c r="B89" s="53"/>
      <c r="C89" s="168"/>
      <c r="D89" s="169"/>
      <c r="E89" s="170"/>
      <c r="F89" s="53"/>
      <c r="G89" s="53"/>
      <c r="H89" s="53"/>
      <c r="I89" s="171"/>
      <c r="J89" s="170"/>
      <c r="K89" s="53"/>
      <c r="L89" s="53"/>
      <c r="M89" s="53"/>
      <c r="N89" s="171"/>
      <c r="O89" s="170"/>
      <c r="P89" s="53"/>
      <c r="Q89" s="53"/>
      <c r="R89" s="53"/>
      <c r="S89" s="171"/>
      <c r="T89" s="170"/>
      <c r="U89" s="53"/>
      <c r="V89" s="53"/>
      <c r="W89" s="53"/>
      <c r="X89" s="171"/>
      <c r="Y89" s="170"/>
      <c r="Z89" s="170"/>
      <c r="AA89" s="170"/>
      <c r="AB89" s="170"/>
      <c r="AC89" s="170"/>
      <c r="AD89" s="53"/>
      <c r="AE89" s="53"/>
    </row>
    <row r="90">
      <c r="A90" s="53"/>
      <c r="B90" s="53"/>
      <c r="C90" s="168"/>
      <c r="D90" s="169"/>
      <c r="E90" s="170"/>
      <c r="F90" s="53"/>
      <c r="G90" s="53"/>
      <c r="H90" s="53"/>
      <c r="I90" s="171"/>
      <c r="J90" s="170"/>
      <c r="K90" s="53"/>
      <c r="L90" s="53"/>
      <c r="M90" s="53"/>
      <c r="N90" s="171"/>
      <c r="O90" s="170"/>
      <c r="P90" s="53"/>
      <c r="Q90" s="53"/>
      <c r="R90" s="53"/>
      <c r="S90" s="171"/>
      <c r="T90" s="170"/>
      <c r="U90" s="53"/>
      <c r="V90" s="53"/>
      <c r="W90" s="53"/>
      <c r="X90" s="171"/>
      <c r="Y90" s="170"/>
      <c r="Z90" s="170"/>
      <c r="AA90" s="170"/>
      <c r="AB90" s="170"/>
      <c r="AC90" s="170"/>
      <c r="AD90" s="53"/>
      <c r="AE90" s="53"/>
    </row>
    <row r="91">
      <c r="A91" s="53"/>
      <c r="B91" s="53"/>
      <c r="C91" s="168"/>
      <c r="D91" s="169"/>
      <c r="E91" s="170"/>
      <c r="F91" s="53"/>
      <c r="G91" s="53"/>
      <c r="H91" s="53"/>
      <c r="I91" s="171"/>
      <c r="J91" s="170"/>
      <c r="K91" s="53"/>
      <c r="L91" s="53"/>
      <c r="M91" s="53"/>
      <c r="N91" s="171"/>
      <c r="O91" s="170"/>
      <c r="P91" s="53"/>
      <c r="Q91" s="53"/>
      <c r="R91" s="53"/>
      <c r="S91" s="171"/>
      <c r="T91" s="170"/>
      <c r="U91" s="53"/>
      <c r="V91" s="53"/>
      <c r="W91" s="53"/>
      <c r="X91" s="171"/>
      <c r="Y91" s="170"/>
      <c r="Z91" s="170"/>
      <c r="AA91" s="170"/>
      <c r="AB91" s="170"/>
      <c r="AC91" s="170"/>
      <c r="AD91" s="53"/>
      <c r="AE91" s="53"/>
    </row>
    <row r="92">
      <c r="A92" s="53"/>
      <c r="B92" s="53"/>
      <c r="C92" s="168"/>
      <c r="D92" s="169"/>
      <c r="E92" s="170"/>
      <c r="F92" s="53"/>
      <c r="G92" s="53"/>
      <c r="H92" s="53"/>
      <c r="I92" s="171"/>
      <c r="J92" s="170"/>
      <c r="K92" s="53"/>
      <c r="L92" s="53"/>
      <c r="M92" s="53"/>
      <c r="N92" s="171"/>
      <c r="O92" s="170"/>
      <c r="P92" s="53"/>
      <c r="Q92" s="53"/>
      <c r="R92" s="53"/>
      <c r="S92" s="171"/>
      <c r="T92" s="170"/>
      <c r="U92" s="53"/>
      <c r="V92" s="53"/>
      <c r="W92" s="53"/>
      <c r="X92" s="171"/>
      <c r="Y92" s="170"/>
      <c r="Z92" s="170"/>
      <c r="AA92" s="170"/>
      <c r="AB92" s="170"/>
      <c r="AC92" s="170"/>
      <c r="AD92" s="53"/>
      <c r="AE92" s="53"/>
    </row>
    <row r="93">
      <c r="A93" s="53"/>
      <c r="B93" s="53"/>
      <c r="C93" s="168"/>
      <c r="D93" s="169"/>
      <c r="E93" s="170"/>
      <c r="F93" s="53"/>
      <c r="G93" s="53"/>
      <c r="H93" s="53"/>
      <c r="I93" s="171"/>
      <c r="J93" s="170"/>
      <c r="K93" s="53"/>
      <c r="L93" s="53"/>
      <c r="M93" s="53"/>
      <c r="N93" s="171"/>
      <c r="O93" s="170"/>
      <c r="P93" s="53"/>
      <c r="Q93" s="53"/>
      <c r="R93" s="53"/>
      <c r="S93" s="171"/>
      <c r="T93" s="170"/>
      <c r="U93" s="53"/>
      <c r="V93" s="53"/>
      <c r="W93" s="53"/>
      <c r="X93" s="171"/>
      <c r="Y93" s="170"/>
      <c r="Z93" s="170"/>
      <c r="AA93" s="170"/>
      <c r="AB93" s="170"/>
      <c r="AC93" s="170"/>
      <c r="AD93" s="53"/>
      <c r="AE93" s="53"/>
    </row>
    <row r="94">
      <c r="A94" s="53"/>
      <c r="B94" s="53"/>
      <c r="C94" s="168"/>
      <c r="D94" s="169"/>
      <c r="E94" s="170"/>
      <c r="F94" s="53"/>
      <c r="G94" s="53"/>
      <c r="H94" s="53"/>
      <c r="I94" s="171"/>
      <c r="J94" s="170"/>
      <c r="K94" s="53"/>
      <c r="L94" s="53"/>
      <c r="M94" s="53"/>
      <c r="N94" s="171"/>
      <c r="O94" s="170"/>
      <c r="P94" s="53"/>
      <c r="Q94" s="53"/>
      <c r="R94" s="53"/>
      <c r="S94" s="171"/>
      <c r="T94" s="170"/>
      <c r="U94" s="53"/>
      <c r="V94" s="53"/>
      <c r="W94" s="53"/>
      <c r="X94" s="171"/>
      <c r="Y94" s="170"/>
      <c r="Z94" s="170"/>
      <c r="AA94" s="170"/>
      <c r="AB94" s="170"/>
      <c r="AC94" s="170"/>
      <c r="AD94" s="53"/>
      <c r="AE94" s="53"/>
    </row>
    <row r="95">
      <c r="A95" s="53"/>
      <c r="B95" s="53"/>
      <c r="C95" s="168"/>
      <c r="D95" s="169"/>
      <c r="E95" s="170"/>
      <c r="F95" s="53"/>
      <c r="G95" s="53"/>
      <c r="H95" s="53"/>
      <c r="I95" s="171"/>
      <c r="J95" s="170"/>
      <c r="K95" s="53"/>
      <c r="L95" s="53"/>
      <c r="M95" s="53"/>
      <c r="N95" s="171"/>
      <c r="O95" s="170"/>
      <c r="P95" s="53"/>
      <c r="Q95" s="53"/>
      <c r="R95" s="53"/>
      <c r="S95" s="171"/>
      <c r="T95" s="170"/>
      <c r="U95" s="53"/>
      <c r="V95" s="53"/>
      <c r="W95" s="53"/>
      <c r="X95" s="171"/>
      <c r="Y95" s="170"/>
      <c r="Z95" s="170"/>
      <c r="AA95" s="170"/>
      <c r="AB95" s="170"/>
      <c r="AC95" s="170"/>
      <c r="AD95" s="53"/>
      <c r="AE95" s="53"/>
    </row>
    <row r="96">
      <c r="A96" s="53"/>
      <c r="B96" s="53"/>
      <c r="C96" s="168"/>
      <c r="D96" s="169"/>
      <c r="E96" s="170"/>
      <c r="F96" s="53"/>
      <c r="G96" s="53"/>
      <c r="H96" s="53"/>
      <c r="I96" s="171"/>
      <c r="J96" s="170"/>
      <c r="K96" s="53"/>
      <c r="L96" s="53"/>
      <c r="M96" s="53"/>
      <c r="N96" s="171"/>
      <c r="O96" s="170"/>
      <c r="P96" s="53"/>
      <c r="Q96" s="53"/>
      <c r="R96" s="53"/>
      <c r="S96" s="171"/>
      <c r="T96" s="170"/>
      <c r="U96" s="53"/>
      <c r="V96" s="53"/>
      <c r="W96" s="53"/>
      <c r="X96" s="171"/>
      <c r="Y96" s="170"/>
      <c r="Z96" s="170"/>
      <c r="AA96" s="170"/>
      <c r="AB96" s="170"/>
      <c r="AC96" s="170"/>
      <c r="AD96" s="53"/>
      <c r="AE96" s="53"/>
    </row>
    <row r="97">
      <c r="A97" s="53"/>
      <c r="B97" s="53"/>
      <c r="C97" s="168"/>
      <c r="D97" s="169"/>
      <c r="E97" s="170"/>
      <c r="F97" s="53"/>
      <c r="G97" s="53"/>
      <c r="H97" s="53"/>
      <c r="I97" s="171"/>
      <c r="J97" s="170"/>
      <c r="K97" s="53"/>
      <c r="L97" s="53"/>
      <c r="M97" s="53"/>
      <c r="N97" s="171"/>
      <c r="O97" s="170"/>
      <c r="P97" s="53"/>
      <c r="Q97" s="53"/>
      <c r="R97" s="53"/>
      <c r="S97" s="171"/>
      <c r="T97" s="170"/>
      <c r="U97" s="53"/>
      <c r="V97" s="53"/>
      <c r="W97" s="53"/>
      <c r="X97" s="171"/>
      <c r="Y97" s="170"/>
      <c r="Z97" s="170"/>
      <c r="AA97" s="170"/>
      <c r="AB97" s="170"/>
      <c r="AC97" s="170"/>
      <c r="AD97" s="53"/>
      <c r="AE97" s="53"/>
    </row>
    <row r="98">
      <c r="A98" s="53"/>
      <c r="B98" s="53"/>
      <c r="C98" s="168"/>
      <c r="D98" s="169"/>
      <c r="E98" s="170"/>
      <c r="F98" s="53"/>
      <c r="G98" s="53"/>
      <c r="H98" s="53"/>
      <c r="I98" s="171"/>
      <c r="J98" s="170"/>
      <c r="K98" s="53"/>
      <c r="L98" s="53"/>
      <c r="M98" s="53"/>
      <c r="N98" s="171"/>
      <c r="O98" s="170"/>
      <c r="P98" s="53"/>
      <c r="Q98" s="53"/>
      <c r="R98" s="53"/>
      <c r="S98" s="171"/>
      <c r="T98" s="170"/>
      <c r="U98" s="53"/>
      <c r="V98" s="53"/>
      <c r="W98" s="53"/>
      <c r="X98" s="171"/>
      <c r="Y98" s="170"/>
      <c r="Z98" s="170"/>
      <c r="AA98" s="170"/>
      <c r="AB98" s="170"/>
      <c r="AC98" s="170"/>
      <c r="AD98" s="53"/>
      <c r="AE98" s="53"/>
    </row>
    <row r="99">
      <c r="A99" s="53"/>
      <c r="B99" s="53"/>
      <c r="C99" s="168"/>
      <c r="D99" s="169"/>
      <c r="E99" s="170"/>
      <c r="F99" s="53"/>
      <c r="G99" s="53"/>
      <c r="H99" s="53"/>
      <c r="I99" s="171"/>
      <c r="J99" s="170"/>
      <c r="K99" s="53"/>
      <c r="L99" s="53"/>
      <c r="M99" s="53"/>
      <c r="N99" s="171"/>
      <c r="O99" s="170"/>
      <c r="P99" s="53"/>
      <c r="Q99" s="53"/>
      <c r="R99" s="53"/>
      <c r="S99" s="171"/>
      <c r="T99" s="170"/>
      <c r="U99" s="53"/>
      <c r="V99" s="53"/>
      <c r="W99" s="53"/>
      <c r="X99" s="171"/>
      <c r="Y99" s="170"/>
      <c r="Z99" s="170"/>
      <c r="AA99" s="170"/>
      <c r="AB99" s="170"/>
      <c r="AC99" s="170"/>
      <c r="AD99" s="53"/>
      <c r="AE99" s="53"/>
    </row>
    <row r="100">
      <c r="A100" s="53"/>
      <c r="B100" s="53"/>
      <c r="C100" s="168"/>
      <c r="D100" s="169"/>
      <c r="E100" s="170"/>
      <c r="F100" s="53"/>
      <c r="G100" s="53"/>
      <c r="H100" s="53"/>
      <c r="I100" s="171"/>
      <c r="J100" s="170"/>
      <c r="K100" s="53"/>
      <c r="L100" s="53"/>
      <c r="M100" s="53"/>
      <c r="N100" s="171"/>
      <c r="O100" s="170"/>
      <c r="P100" s="53"/>
      <c r="Q100" s="53"/>
      <c r="R100" s="53"/>
      <c r="S100" s="171"/>
      <c r="T100" s="170"/>
      <c r="U100" s="53"/>
      <c r="V100" s="53"/>
      <c r="W100" s="53"/>
      <c r="X100" s="171"/>
      <c r="Y100" s="170"/>
      <c r="Z100" s="170"/>
      <c r="AA100" s="170"/>
      <c r="AB100" s="170"/>
      <c r="AC100" s="170"/>
      <c r="AD100" s="53"/>
      <c r="AE100" s="53"/>
    </row>
    <row r="101">
      <c r="A101" s="53"/>
      <c r="B101" s="53"/>
      <c r="C101" s="168"/>
      <c r="D101" s="169"/>
      <c r="E101" s="170"/>
      <c r="F101" s="53"/>
      <c r="G101" s="53"/>
      <c r="H101" s="53"/>
      <c r="I101" s="171"/>
      <c r="J101" s="170"/>
      <c r="K101" s="53"/>
      <c r="L101" s="53"/>
      <c r="M101" s="53"/>
      <c r="N101" s="171"/>
      <c r="O101" s="170"/>
      <c r="P101" s="53"/>
      <c r="Q101" s="53"/>
      <c r="R101" s="53"/>
      <c r="S101" s="171"/>
      <c r="T101" s="170"/>
      <c r="U101" s="53"/>
      <c r="V101" s="53"/>
      <c r="W101" s="53"/>
      <c r="X101" s="171"/>
      <c r="Y101" s="170"/>
      <c r="Z101" s="170"/>
      <c r="AA101" s="170"/>
      <c r="AB101" s="170"/>
      <c r="AC101" s="170"/>
      <c r="AD101" s="53"/>
      <c r="AE101" s="53"/>
    </row>
    <row r="102">
      <c r="A102" s="53"/>
      <c r="B102" s="53"/>
      <c r="C102" s="168"/>
      <c r="D102" s="169"/>
      <c r="E102" s="170"/>
      <c r="F102" s="53"/>
      <c r="G102" s="53"/>
      <c r="H102" s="53"/>
      <c r="I102" s="171"/>
      <c r="J102" s="170"/>
      <c r="K102" s="53"/>
      <c r="L102" s="53"/>
      <c r="M102" s="53"/>
      <c r="N102" s="171"/>
      <c r="O102" s="170"/>
      <c r="P102" s="53"/>
      <c r="Q102" s="53"/>
      <c r="R102" s="53"/>
      <c r="S102" s="171"/>
      <c r="T102" s="170"/>
      <c r="U102" s="53"/>
      <c r="V102" s="53"/>
      <c r="W102" s="53"/>
      <c r="X102" s="171"/>
      <c r="Y102" s="170"/>
      <c r="Z102" s="170"/>
      <c r="AA102" s="170"/>
      <c r="AB102" s="170"/>
      <c r="AC102" s="170"/>
      <c r="AD102" s="53"/>
      <c r="AE102" s="53"/>
    </row>
    <row r="103">
      <c r="A103" s="53"/>
      <c r="B103" s="53"/>
      <c r="C103" s="168"/>
      <c r="D103" s="169"/>
      <c r="E103" s="170"/>
      <c r="F103" s="53"/>
      <c r="G103" s="53"/>
      <c r="H103" s="53"/>
      <c r="I103" s="171"/>
      <c r="J103" s="170"/>
      <c r="K103" s="53"/>
      <c r="L103" s="53"/>
      <c r="M103" s="53"/>
      <c r="N103" s="171"/>
      <c r="O103" s="170"/>
      <c r="P103" s="53"/>
      <c r="Q103" s="53"/>
      <c r="R103" s="53"/>
      <c r="S103" s="171"/>
      <c r="T103" s="170"/>
      <c r="U103" s="53"/>
      <c r="V103" s="53"/>
      <c r="W103" s="53"/>
      <c r="X103" s="171"/>
      <c r="Y103" s="170"/>
      <c r="Z103" s="170"/>
      <c r="AA103" s="170"/>
      <c r="AB103" s="170"/>
      <c r="AC103" s="170"/>
      <c r="AD103" s="53"/>
      <c r="AE103" s="53"/>
    </row>
    <row r="104">
      <c r="A104" s="53"/>
      <c r="B104" s="53"/>
      <c r="C104" s="168"/>
      <c r="D104" s="169"/>
      <c r="E104" s="170"/>
      <c r="F104" s="53"/>
      <c r="G104" s="53"/>
      <c r="H104" s="53"/>
      <c r="I104" s="171"/>
      <c r="J104" s="170"/>
      <c r="K104" s="53"/>
      <c r="L104" s="53"/>
      <c r="M104" s="53"/>
      <c r="N104" s="171"/>
      <c r="O104" s="170"/>
      <c r="P104" s="53"/>
      <c r="Q104" s="53"/>
      <c r="R104" s="53"/>
      <c r="S104" s="171"/>
      <c r="T104" s="170"/>
      <c r="U104" s="53"/>
      <c r="V104" s="53"/>
      <c r="W104" s="53"/>
      <c r="X104" s="171"/>
      <c r="Y104" s="170"/>
      <c r="Z104" s="170"/>
      <c r="AA104" s="170"/>
      <c r="AB104" s="170"/>
      <c r="AC104" s="170"/>
      <c r="AD104" s="53"/>
      <c r="AE104" s="53"/>
    </row>
    <row r="105">
      <c r="A105" s="53"/>
      <c r="B105" s="53"/>
      <c r="C105" s="168"/>
      <c r="D105" s="169"/>
      <c r="E105" s="170"/>
      <c r="F105" s="53"/>
      <c r="G105" s="53"/>
      <c r="H105" s="53"/>
      <c r="I105" s="171"/>
      <c r="J105" s="170"/>
      <c r="K105" s="53"/>
      <c r="L105" s="53"/>
      <c r="M105" s="53"/>
      <c r="N105" s="171"/>
      <c r="O105" s="170"/>
      <c r="P105" s="53"/>
      <c r="Q105" s="53"/>
      <c r="R105" s="53"/>
      <c r="S105" s="171"/>
      <c r="T105" s="170"/>
      <c r="U105" s="53"/>
      <c r="V105" s="53"/>
      <c r="W105" s="53"/>
      <c r="X105" s="171"/>
      <c r="Y105" s="170"/>
      <c r="Z105" s="170"/>
      <c r="AA105" s="170"/>
      <c r="AB105" s="170"/>
      <c r="AC105" s="170"/>
      <c r="AD105" s="53"/>
      <c r="AE105" s="53"/>
    </row>
    <row r="106">
      <c r="A106" s="53"/>
      <c r="B106" s="53"/>
      <c r="C106" s="168"/>
      <c r="D106" s="169"/>
      <c r="E106" s="170"/>
      <c r="F106" s="53"/>
      <c r="G106" s="53"/>
      <c r="H106" s="53"/>
      <c r="I106" s="171"/>
      <c r="J106" s="170"/>
      <c r="K106" s="53"/>
      <c r="L106" s="53"/>
      <c r="M106" s="53"/>
      <c r="N106" s="171"/>
      <c r="O106" s="170"/>
      <c r="P106" s="53"/>
      <c r="Q106" s="53"/>
      <c r="R106" s="53"/>
      <c r="S106" s="171"/>
      <c r="T106" s="170"/>
      <c r="U106" s="53"/>
      <c r="V106" s="53"/>
      <c r="W106" s="53"/>
      <c r="X106" s="171"/>
      <c r="Y106" s="170"/>
      <c r="Z106" s="170"/>
      <c r="AA106" s="170"/>
      <c r="AB106" s="170"/>
      <c r="AC106" s="170"/>
      <c r="AD106" s="53"/>
      <c r="AE106" s="53"/>
    </row>
    <row r="107">
      <c r="A107" s="53"/>
      <c r="B107" s="53"/>
      <c r="C107" s="168"/>
      <c r="D107" s="169"/>
      <c r="E107" s="170"/>
      <c r="F107" s="53"/>
      <c r="G107" s="53"/>
      <c r="H107" s="53"/>
      <c r="I107" s="171"/>
      <c r="J107" s="170"/>
      <c r="K107" s="53"/>
      <c r="L107" s="53"/>
      <c r="M107" s="53"/>
      <c r="N107" s="171"/>
      <c r="O107" s="170"/>
      <c r="P107" s="53"/>
      <c r="Q107" s="53"/>
      <c r="R107" s="53"/>
      <c r="S107" s="171"/>
      <c r="T107" s="170"/>
      <c r="U107" s="53"/>
      <c r="V107" s="53"/>
      <c r="W107" s="53"/>
      <c r="X107" s="171"/>
      <c r="Y107" s="170"/>
      <c r="Z107" s="170"/>
      <c r="AA107" s="170"/>
      <c r="AB107" s="170"/>
      <c r="AC107" s="170"/>
      <c r="AD107" s="53"/>
      <c r="AE107" s="53"/>
    </row>
    <row r="108">
      <c r="A108" s="53"/>
      <c r="B108" s="53"/>
      <c r="C108" s="168"/>
      <c r="D108" s="169"/>
      <c r="E108" s="170"/>
      <c r="F108" s="53"/>
      <c r="G108" s="53"/>
      <c r="H108" s="53"/>
      <c r="I108" s="171"/>
      <c r="J108" s="170"/>
      <c r="K108" s="53"/>
      <c r="L108" s="53"/>
      <c r="M108" s="53"/>
      <c r="N108" s="171"/>
      <c r="O108" s="170"/>
      <c r="P108" s="53"/>
      <c r="Q108" s="53"/>
      <c r="R108" s="53"/>
      <c r="S108" s="171"/>
      <c r="T108" s="170"/>
      <c r="U108" s="53"/>
      <c r="V108" s="53"/>
      <c r="W108" s="53"/>
      <c r="X108" s="171"/>
      <c r="Y108" s="170"/>
      <c r="Z108" s="170"/>
      <c r="AA108" s="170"/>
      <c r="AB108" s="170"/>
      <c r="AC108" s="170"/>
      <c r="AD108" s="53"/>
      <c r="AE108" s="53"/>
    </row>
    <row r="109">
      <c r="A109" s="53"/>
      <c r="B109" s="53"/>
      <c r="C109" s="168"/>
      <c r="D109" s="169"/>
      <c r="E109" s="170"/>
      <c r="F109" s="53"/>
      <c r="G109" s="53"/>
      <c r="H109" s="53"/>
      <c r="I109" s="171"/>
      <c r="J109" s="170"/>
      <c r="K109" s="53"/>
      <c r="L109" s="53"/>
      <c r="M109" s="53"/>
      <c r="N109" s="171"/>
      <c r="O109" s="170"/>
      <c r="P109" s="53"/>
      <c r="Q109" s="53"/>
      <c r="R109" s="53"/>
      <c r="S109" s="171"/>
      <c r="T109" s="170"/>
      <c r="U109" s="53"/>
      <c r="V109" s="53"/>
      <c r="W109" s="53"/>
      <c r="X109" s="171"/>
      <c r="Y109" s="170"/>
      <c r="Z109" s="170"/>
      <c r="AA109" s="170"/>
      <c r="AB109" s="170"/>
      <c r="AC109" s="170"/>
      <c r="AD109" s="53"/>
      <c r="AE109" s="53"/>
    </row>
    <row r="110">
      <c r="A110" s="53"/>
      <c r="B110" s="53"/>
      <c r="C110" s="168"/>
      <c r="D110" s="169"/>
      <c r="E110" s="170"/>
      <c r="F110" s="53"/>
      <c r="G110" s="53"/>
      <c r="H110" s="53"/>
      <c r="I110" s="171"/>
      <c r="J110" s="170"/>
      <c r="K110" s="53"/>
      <c r="L110" s="53"/>
      <c r="M110" s="53"/>
      <c r="N110" s="171"/>
      <c r="O110" s="170"/>
      <c r="P110" s="53"/>
      <c r="Q110" s="53"/>
      <c r="R110" s="53"/>
      <c r="S110" s="171"/>
      <c r="T110" s="170"/>
      <c r="U110" s="53"/>
      <c r="V110" s="53"/>
      <c r="W110" s="53"/>
      <c r="X110" s="171"/>
      <c r="Y110" s="170"/>
      <c r="Z110" s="170"/>
      <c r="AA110" s="170"/>
      <c r="AB110" s="170"/>
      <c r="AC110" s="170"/>
      <c r="AD110" s="53"/>
      <c r="AE110" s="53"/>
    </row>
    <row r="111">
      <c r="A111" s="53"/>
      <c r="B111" s="53"/>
      <c r="C111" s="168"/>
      <c r="D111" s="169"/>
      <c r="E111" s="170"/>
      <c r="F111" s="53"/>
      <c r="G111" s="53"/>
      <c r="H111" s="53"/>
      <c r="I111" s="171"/>
      <c r="J111" s="170"/>
      <c r="K111" s="53"/>
      <c r="L111" s="53"/>
      <c r="M111" s="53"/>
      <c r="N111" s="171"/>
      <c r="O111" s="170"/>
      <c r="P111" s="53"/>
      <c r="Q111" s="53"/>
      <c r="R111" s="53"/>
      <c r="S111" s="171"/>
      <c r="T111" s="170"/>
      <c r="U111" s="53"/>
      <c r="V111" s="53"/>
      <c r="W111" s="53"/>
      <c r="X111" s="171"/>
      <c r="Y111" s="170"/>
      <c r="Z111" s="170"/>
      <c r="AA111" s="170"/>
      <c r="AB111" s="170"/>
      <c r="AC111" s="170"/>
      <c r="AD111" s="53"/>
      <c r="AE111" s="53"/>
    </row>
    <row r="112">
      <c r="A112" s="53"/>
      <c r="B112" s="53"/>
      <c r="C112" s="168"/>
      <c r="D112" s="169"/>
      <c r="E112" s="170"/>
      <c r="F112" s="53"/>
      <c r="G112" s="53"/>
      <c r="H112" s="53"/>
      <c r="I112" s="171"/>
      <c r="J112" s="170"/>
      <c r="K112" s="53"/>
      <c r="L112" s="53"/>
      <c r="M112" s="53"/>
      <c r="N112" s="171"/>
      <c r="O112" s="170"/>
      <c r="P112" s="53"/>
      <c r="Q112" s="53"/>
      <c r="R112" s="53"/>
      <c r="S112" s="171"/>
      <c r="T112" s="170"/>
      <c r="U112" s="53"/>
      <c r="V112" s="53"/>
      <c r="W112" s="53"/>
      <c r="X112" s="171"/>
      <c r="Y112" s="170"/>
      <c r="Z112" s="170"/>
      <c r="AA112" s="170"/>
      <c r="AB112" s="170"/>
      <c r="AC112" s="170"/>
      <c r="AD112" s="53"/>
      <c r="AE112" s="53"/>
    </row>
    <row r="113">
      <c r="A113" s="53"/>
      <c r="B113" s="53"/>
      <c r="C113" s="168"/>
      <c r="D113" s="169"/>
      <c r="E113" s="170"/>
      <c r="F113" s="53"/>
      <c r="G113" s="53"/>
      <c r="H113" s="53"/>
      <c r="I113" s="171"/>
      <c r="J113" s="170"/>
      <c r="K113" s="53"/>
      <c r="L113" s="53"/>
      <c r="M113" s="53"/>
      <c r="N113" s="171"/>
      <c r="O113" s="170"/>
      <c r="P113" s="53"/>
      <c r="Q113" s="53"/>
      <c r="R113" s="53"/>
      <c r="S113" s="171"/>
      <c r="T113" s="170"/>
      <c r="U113" s="53"/>
      <c r="V113" s="53"/>
      <c r="W113" s="53"/>
      <c r="X113" s="171"/>
      <c r="Y113" s="170"/>
      <c r="Z113" s="170"/>
      <c r="AA113" s="170"/>
      <c r="AB113" s="170"/>
      <c r="AC113" s="170"/>
      <c r="AD113" s="53"/>
      <c r="AE113" s="53"/>
    </row>
    <row r="114">
      <c r="A114" s="53"/>
      <c r="B114" s="53"/>
      <c r="C114" s="168"/>
      <c r="D114" s="169"/>
      <c r="E114" s="170"/>
      <c r="F114" s="53"/>
      <c r="G114" s="53"/>
      <c r="H114" s="53"/>
      <c r="I114" s="171"/>
      <c r="J114" s="170"/>
      <c r="K114" s="53"/>
      <c r="L114" s="53"/>
      <c r="M114" s="53"/>
      <c r="N114" s="171"/>
      <c r="O114" s="170"/>
      <c r="P114" s="53"/>
      <c r="Q114" s="53"/>
      <c r="R114" s="53"/>
      <c r="S114" s="171"/>
      <c r="T114" s="170"/>
      <c r="U114" s="53"/>
      <c r="V114" s="53"/>
      <c r="W114" s="53"/>
      <c r="X114" s="171"/>
      <c r="Y114" s="170"/>
      <c r="Z114" s="170"/>
      <c r="AA114" s="170"/>
      <c r="AB114" s="170"/>
      <c r="AC114" s="170"/>
      <c r="AD114" s="53"/>
      <c r="AE114" s="53"/>
    </row>
    <row r="115">
      <c r="A115" s="53"/>
      <c r="B115" s="53"/>
      <c r="C115" s="168"/>
      <c r="D115" s="169"/>
      <c r="E115" s="170"/>
      <c r="F115" s="53"/>
      <c r="G115" s="53"/>
      <c r="H115" s="53"/>
      <c r="I115" s="171"/>
      <c r="J115" s="170"/>
      <c r="K115" s="53"/>
      <c r="L115" s="53"/>
      <c r="M115" s="53"/>
      <c r="N115" s="171"/>
      <c r="O115" s="170"/>
      <c r="P115" s="53"/>
      <c r="Q115" s="53"/>
      <c r="R115" s="53"/>
      <c r="S115" s="171"/>
      <c r="T115" s="170"/>
      <c r="U115" s="53"/>
      <c r="V115" s="53"/>
      <c r="W115" s="53"/>
      <c r="X115" s="171"/>
      <c r="Y115" s="170"/>
      <c r="Z115" s="170"/>
      <c r="AA115" s="170"/>
      <c r="AB115" s="170"/>
      <c r="AC115" s="170"/>
      <c r="AD115" s="53"/>
      <c r="AE115" s="53"/>
    </row>
    <row r="116">
      <c r="A116" s="53"/>
      <c r="B116" s="53"/>
      <c r="C116" s="168"/>
      <c r="D116" s="169"/>
      <c r="E116" s="170"/>
      <c r="F116" s="53"/>
      <c r="G116" s="53"/>
      <c r="H116" s="53"/>
      <c r="I116" s="171"/>
      <c r="J116" s="170"/>
      <c r="K116" s="53"/>
      <c r="L116" s="53"/>
      <c r="M116" s="53"/>
      <c r="N116" s="171"/>
      <c r="O116" s="170"/>
      <c r="P116" s="53"/>
      <c r="Q116" s="53"/>
      <c r="R116" s="53"/>
      <c r="S116" s="171"/>
      <c r="T116" s="170"/>
      <c r="U116" s="53"/>
      <c r="V116" s="53"/>
      <c r="W116" s="53"/>
      <c r="X116" s="171"/>
      <c r="Y116" s="170"/>
      <c r="Z116" s="170"/>
      <c r="AA116" s="170"/>
      <c r="AB116" s="170"/>
      <c r="AC116" s="170"/>
      <c r="AD116" s="53"/>
      <c r="AE116" s="53"/>
    </row>
    <row r="117">
      <c r="A117" s="53"/>
      <c r="B117" s="53"/>
      <c r="C117" s="168"/>
      <c r="D117" s="169"/>
      <c r="E117" s="170"/>
      <c r="F117" s="53"/>
      <c r="G117" s="53"/>
      <c r="H117" s="53"/>
      <c r="I117" s="171"/>
      <c r="J117" s="170"/>
      <c r="K117" s="53"/>
      <c r="L117" s="53"/>
      <c r="M117" s="53"/>
      <c r="N117" s="171"/>
      <c r="O117" s="170"/>
      <c r="P117" s="53"/>
      <c r="Q117" s="53"/>
      <c r="R117" s="53"/>
      <c r="S117" s="171"/>
      <c r="T117" s="170"/>
      <c r="U117" s="53"/>
      <c r="V117" s="53"/>
      <c r="W117" s="53"/>
      <c r="X117" s="171"/>
      <c r="Y117" s="170"/>
      <c r="Z117" s="170"/>
      <c r="AA117" s="170"/>
      <c r="AB117" s="170"/>
      <c r="AC117" s="170"/>
      <c r="AD117" s="53"/>
      <c r="AE117" s="53"/>
    </row>
    <row r="118">
      <c r="A118" s="53"/>
      <c r="B118" s="53"/>
      <c r="C118" s="168"/>
      <c r="D118" s="169"/>
      <c r="E118" s="170"/>
      <c r="F118" s="53"/>
      <c r="G118" s="53"/>
      <c r="H118" s="53"/>
      <c r="I118" s="171"/>
      <c r="J118" s="170"/>
      <c r="K118" s="53"/>
      <c r="L118" s="53"/>
      <c r="M118" s="53"/>
      <c r="N118" s="171"/>
      <c r="O118" s="170"/>
      <c r="P118" s="53"/>
      <c r="Q118" s="53"/>
      <c r="R118" s="53"/>
      <c r="S118" s="171"/>
      <c r="T118" s="170"/>
      <c r="U118" s="53"/>
      <c r="V118" s="53"/>
      <c r="W118" s="53"/>
      <c r="X118" s="171"/>
      <c r="Y118" s="170"/>
      <c r="Z118" s="170"/>
      <c r="AA118" s="170"/>
      <c r="AB118" s="170"/>
      <c r="AC118" s="170"/>
      <c r="AD118" s="53"/>
      <c r="AE118" s="53"/>
    </row>
    <row r="119">
      <c r="A119" s="53"/>
      <c r="B119" s="53"/>
      <c r="C119" s="168"/>
      <c r="D119" s="169"/>
      <c r="E119" s="170"/>
      <c r="F119" s="53"/>
      <c r="G119" s="53"/>
      <c r="H119" s="53"/>
      <c r="I119" s="171"/>
      <c r="J119" s="170"/>
      <c r="K119" s="53"/>
      <c r="L119" s="53"/>
      <c r="M119" s="53"/>
      <c r="N119" s="171"/>
      <c r="O119" s="170"/>
      <c r="P119" s="53"/>
      <c r="Q119" s="53"/>
      <c r="R119" s="53"/>
      <c r="S119" s="171"/>
      <c r="T119" s="170"/>
      <c r="U119" s="53"/>
      <c r="V119" s="53"/>
      <c r="W119" s="53"/>
      <c r="X119" s="171"/>
      <c r="Y119" s="170"/>
      <c r="Z119" s="170"/>
      <c r="AA119" s="170"/>
      <c r="AB119" s="170"/>
      <c r="AC119" s="170"/>
      <c r="AD119" s="53"/>
      <c r="AE119" s="53"/>
    </row>
    <row r="120">
      <c r="A120" s="53"/>
      <c r="B120" s="53"/>
      <c r="C120" s="168"/>
      <c r="D120" s="169"/>
      <c r="E120" s="170"/>
      <c r="F120" s="53"/>
      <c r="G120" s="53"/>
      <c r="H120" s="53"/>
      <c r="I120" s="171"/>
      <c r="J120" s="170"/>
      <c r="K120" s="53"/>
      <c r="L120" s="53"/>
      <c r="M120" s="53"/>
      <c r="N120" s="171"/>
      <c r="O120" s="170"/>
      <c r="P120" s="53"/>
      <c r="Q120" s="53"/>
      <c r="R120" s="53"/>
      <c r="S120" s="171"/>
      <c r="T120" s="170"/>
      <c r="U120" s="53"/>
      <c r="V120" s="53"/>
      <c r="W120" s="53"/>
      <c r="X120" s="171"/>
      <c r="Y120" s="170"/>
      <c r="Z120" s="170"/>
      <c r="AA120" s="170"/>
      <c r="AB120" s="170"/>
      <c r="AC120" s="170"/>
      <c r="AD120" s="53"/>
      <c r="AE120" s="53"/>
    </row>
    <row r="121">
      <c r="A121" s="53"/>
      <c r="B121" s="53"/>
      <c r="C121" s="168"/>
      <c r="D121" s="169"/>
      <c r="E121" s="170"/>
      <c r="F121" s="53"/>
      <c r="G121" s="53"/>
      <c r="H121" s="53"/>
      <c r="I121" s="171"/>
      <c r="J121" s="170"/>
      <c r="K121" s="53"/>
      <c r="L121" s="53"/>
      <c r="M121" s="53"/>
      <c r="N121" s="171"/>
      <c r="O121" s="170"/>
      <c r="P121" s="53"/>
      <c r="Q121" s="53"/>
      <c r="R121" s="53"/>
      <c r="S121" s="171"/>
      <c r="T121" s="170"/>
      <c r="U121" s="53"/>
      <c r="V121" s="53"/>
      <c r="W121" s="53"/>
      <c r="X121" s="171"/>
      <c r="Y121" s="170"/>
      <c r="Z121" s="170"/>
      <c r="AA121" s="170"/>
      <c r="AB121" s="170"/>
      <c r="AC121" s="170"/>
      <c r="AD121" s="53"/>
      <c r="AE121" s="53"/>
    </row>
    <row r="122">
      <c r="A122" s="53"/>
      <c r="B122" s="53"/>
      <c r="C122" s="168"/>
      <c r="D122" s="169"/>
      <c r="E122" s="170"/>
      <c r="F122" s="53"/>
      <c r="G122" s="53"/>
      <c r="H122" s="53"/>
      <c r="I122" s="171"/>
      <c r="J122" s="170"/>
      <c r="K122" s="53"/>
      <c r="L122" s="53"/>
      <c r="M122" s="53"/>
      <c r="N122" s="171"/>
      <c r="O122" s="170"/>
      <c r="P122" s="53"/>
      <c r="Q122" s="53"/>
      <c r="R122" s="53"/>
      <c r="S122" s="171"/>
      <c r="T122" s="170"/>
      <c r="U122" s="53"/>
      <c r="V122" s="53"/>
      <c r="W122" s="53"/>
      <c r="X122" s="171"/>
      <c r="Y122" s="170"/>
      <c r="Z122" s="170"/>
      <c r="AA122" s="170"/>
      <c r="AB122" s="170"/>
      <c r="AC122" s="170"/>
      <c r="AD122" s="53"/>
      <c r="AE122" s="53"/>
    </row>
    <row r="123">
      <c r="A123" s="53"/>
      <c r="B123" s="53"/>
      <c r="C123" s="168"/>
      <c r="D123" s="169"/>
      <c r="E123" s="170"/>
      <c r="F123" s="53"/>
      <c r="G123" s="53"/>
      <c r="H123" s="53"/>
      <c r="I123" s="171"/>
      <c r="J123" s="170"/>
      <c r="K123" s="53"/>
      <c r="L123" s="53"/>
      <c r="M123" s="53"/>
      <c r="N123" s="171"/>
      <c r="O123" s="170"/>
      <c r="P123" s="53"/>
      <c r="Q123" s="53"/>
      <c r="R123" s="53"/>
      <c r="S123" s="171"/>
      <c r="T123" s="170"/>
      <c r="U123" s="53"/>
      <c r="V123" s="53"/>
      <c r="W123" s="53"/>
      <c r="X123" s="171"/>
      <c r="Y123" s="170"/>
      <c r="Z123" s="170"/>
      <c r="AA123" s="170"/>
      <c r="AB123" s="170"/>
      <c r="AC123" s="170"/>
      <c r="AD123" s="53"/>
      <c r="AE123" s="53"/>
    </row>
    <row r="124">
      <c r="A124" s="53"/>
      <c r="B124" s="53"/>
      <c r="C124" s="168"/>
      <c r="D124" s="169"/>
      <c r="E124" s="170"/>
      <c r="F124" s="53"/>
      <c r="G124" s="53"/>
      <c r="H124" s="53"/>
      <c r="I124" s="171"/>
      <c r="J124" s="170"/>
      <c r="K124" s="53"/>
      <c r="L124" s="53"/>
      <c r="M124" s="53"/>
      <c r="N124" s="171"/>
      <c r="O124" s="170"/>
      <c r="P124" s="53"/>
      <c r="Q124" s="53"/>
      <c r="R124" s="53"/>
      <c r="S124" s="171"/>
      <c r="T124" s="170"/>
      <c r="U124" s="53"/>
      <c r="V124" s="53"/>
      <c r="W124" s="53"/>
      <c r="X124" s="171"/>
      <c r="Y124" s="170"/>
      <c r="Z124" s="170"/>
      <c r="AA124" s="170"/>
      <c r="AB124" s="170"/>
      <c r="AC124" s="170"/>
      <c r="AD124" s="53"/>
      <c r="AE124" s="53"/>
    </row>
    <row r="125">
      <c r="A125" s="53"/>
      <c r="B125" s="53"/>
      <c r="C125" s="168"/>
      <c r="D125" s="169"/>
      <c r="E125" s="170"/>
      <c r="F125" s="53"/>
      <c r="G125" s="53"/>
      <c r="H125" s="53"/>
      <c r="I125" s="171"/>
      <c r="J125" s="170"/>
      <c r="K125" s="53"/>
      <c r="L125" s="53"/>
      <c r="M125" s="53"/>
      <c r="N125" s="171"/>
      <c r="O125" s="170"/>
      <c r="P125" s="53"/>
      <c r="Q125" s="53"/>
      <c r="R125" s="53"/>
      <c r="S125" s="171"/>
      <c r="T125" s="170"/>
      <c r="U125" s="53"/>
      <c r="V125" s="53"/>
      <c r="W125" s="53"/>
      <c r="X125" s="171"/>
      <c r="Y125" s="170"/>
      <c r="Z125" s="170"/>
      <c r="AA125" s="170"/>
      <c r="AB125" s="170"/>
      <c r="AC125" s="170"/>
      <c r="AD125" s="53"/>
      <c r="AE125" s="53"/>
    </row>
    <row r="126">
      <c r="A126" s="53"/>
      <c r="B126" s="53"/>
      <c r="C126" s="168"/>
      <c r="D126" s="169"/>
      <c r="E126" s="170"/>
      <c r="F126" s="53"/>
      <c r="G126" s="53"/>
      <c r="H126" s="53"/>
      <c r="I126" s="171"/>
      <c r="J126" s="170"/>
      <c r="K126" s="53"/>
      <c r="L126" s="53"/>
      <c r="M126" s="53"/>
      <c r="N126" s="171"/>
      <c r="O126" s="170"/>
      <c r="P126" s="53"/>
      <c r="Q126" s="53"/>
      <c r="R126" s="53"/>
      <c r="S126" s="171"/>
      <c r="T126" s="170"/>
      <c r="U126" s="53"/>
      <c r="V126" s="53"/>
      <c r="W126" s="53"/>
      <c r="X126" s="171"/>
      <c r="Y126" s="170"/>
      <c r="Z126" s="170"/>
      <c r="AA126" s="170"/>
      <c r="AB126" s="170"/>
      <c r="AC126" s="170"/>
      <c r="AD126" s="53"/>
      <c r="AE126" s="53"/>
    </row>
    <row r="127">
      <c r="A127" s="53"/>
      <c r="B127" s="53"/>
      <c r="C127" s="168"/>
      <c r="D127" s="169"/>
      <c r="E127" s="170"/>
      <c r="F127" s="53"/>
      <c r="G127" s="53"/>
      <c r="H127" s="53"/>
      <c r="I127" s="171"/>
      <c r="J127" s="170"/>
      <c r="K127" s="53"/>
      <c r="L127" s="53"/>
      <c r="M127" s="53"/>
      <c r="N127" s="171"/>
      <c r="O127" s="170"/>
      <c r="P127" s="53"/>
      <c r="Q127" s="53"/>
      <c r="R127" s="53"/>
      <c r="S127" s="171"/>
      <c r="T127" s="170"/>
      <c r="U127" s="53"/>
      <c r="V127" s="53"/>
      <c r="W127" s="53"/>
      <c r="X127" s="171"/>
      <c r="Y127" s="170"/>
      <c r="Z127" s="170"/>
      <c r="AA127" s="170"/>
      <c r="AB127" s="170"/>
      <c r="AC127" s="170"/>
      <c r="AD127" s="53"/>
      <c r="AE127" s="53"/>
    </row>
    <row r="128">
      <c r="A128" s="53"/>
      <c r="B128" s="53"/>
      <c r="C128" s="168"/>
      <c r="D128" s="169"/>
      <c r="E128" s="170"/>
      <c r="F128" s="53"/>
      <c r="G128" s="53"/>
      <c r="H128" s="53"/>
      <c r="I128" s="171"/>
      <c r="J128" s="170"/>
      <c r="K128" s="53"/>
      <c r="L128" s="53"/>
      <c r="M128" s="53"/>
      <c r="N128" s="171"/>
      <c r="O128" s="170"/>
      <c r="P128" s="53"/>
      <c r="Q128" s="53"/>
      <c r="R128" s="53"/>
      <c r="S128" s="171"/>
      <c r="T128" s="170"/>
      <c r="U128" s="53"/>
      <c r="V128" s="53"/>
      <c r="W128" s="53"/>
      <c r="X128" s="171"/>
      <c r="Y128" s="170"/>
      <c r="Z128" s="170"/>
      <c r="AA128" s="170"/>
      <c r="AB128" s="170"/>
      <c r="AC128" s="170"/>
      <c r="AD128" s="53"/>
      <c r="AE128" s="53"/>
    </row>
    <row r="129">
      <c r="A129" s="53"/>
      <c r="B129" s="53"/>
      <c r="C129" s="168"/>
      <c r="D129" s="169"/>
      <c r="E129" s="170"/>
      <c r="F129" s="53"/>
      <c r="G129" s="53"/>
      <c r="H129" s="53"/>
      <c r="I129" s="171"/>
      <c r="J129" s="170"/>
      <c r="K129" s="53"/>
      <c r="L129" s="53"/>
      <c r="M129" s="53"/>
      <c r="N129" s="171"/>
      <c r="O129" s="170"/>
      <c r="P129" s="53"/>
      <c r="Q129" s="53"/>
      <c r="R129" s="53"/>
      <c r="S129" s="171"/>
      <c r="T129" s="170"/>
      <c r="U129" s="53"/>
      <c r="V129" s="53"/>
      <c r="W129" s="53"/>
      <c r="X129" s="171"/>
      <c r="Y129" s="170"/>
      <c r="Z129" s="170"/>
      <c r="AA129" s="170"/>
      <c r="AB129" s="170"/>
      <c r="AC129" s="170"/>
      <c r="AD129" s="53"/>
      <c r="AE129" s="53"/>
    </row>
    <row r="130">
      <c r="A130" s="53"/>
      <c r="B130" s="53"/>
      <c r="C130" s="168"/>
      <c r="D130" s="169"/>
      <c r="E130" s="170"/>
      <c r="F130" s="53"/>
      <c r="G130" s="53"/>
      <c r="H130" s="53"/>
      <c r="I130" s="171"/>
      <c r="J130" s="170"/>
      <c r="K130" s="53"/>
      <c r="L130" s="53"/>
      <c r="M130" s="53"/>
      <c r="N130" s="171"/>
      <c r="O130" s="170"/>
      <c r="P130" s="53"/>
      <c r="Q130" s="53"/>
      <c r="R130" s="53"/>
      <c r="S130" s="171"/>
      <c r="T130" s="170"/>
      <c r="U130" s="53"/>
      <c r="V130" s="53"/>
      <c r="W130" s="53"/>
      <c r="X130" s="171"/>
      <c r="Y130" s="170"/>
      <c r="Z130" s="170"/>
      <c r="AA130" s="170"/>
      <c r="AB130" s="170"/>
      <c r="AC130" s="170"/>
      <c r="AD130" s="53"/>
      <c r="AE130" s="53"/>
    </row>
    <row r="131">
      <c r="A131" s="53"/>
      <c r="B131" s="53"/>
      <c r="C131" s="168"/>
      <c r="D131" s="169"/>
      <c r="E131" s="170"/>
      <c r="F131" s="53"/>
      <c r="G131" s="53"/>
      <c r="H131" s="53"/>
      <c r="I131" s="171"/>
      <c r="J131" s="170"/>
      <c r="K131" s="53"/>
      <c r="L131" s="53"/>
      <c r="M131" s="53"/>
      <c r="N131" s="171"/>
      <c r="O131" s="170"/>
      <c r="P131" s="53"/>
      <c r="Q131" s="53"/>
      <c r="R131" s="53"/>
      <c r="S131" s="171"/>
      <c r="T131" s="170"/>
      <c r="U131" s="53"/>
      <c r="V131" s="53"/>
      <c r="W131" s="53"/>
      <c r="X131" s="171"/>
      <c r="Y131" s="170"/>
      <c r="Z131" s="170"/>
      <c r="AA131" s="170"/>
      <c r="AB131" s="170"/>
      <c r="AC131" s="170"/>
      <c r="AD131" s="53"/>
      <c r="AE131" s="53"/>
    </row>
    <row r="132">
      <c r="A132" s="53"/>
      <c r="B132" s="53"/>
      <c r="C132" s="168"/>
      <c r="D132" s="169"/>
      <c r="E132" s="170"/>
      <c r="F132" s="53"/>
      <c r="G132" s="53"/>
      <c r="H132" s="53"/>
      <c r="I132" s="171"/>
      <c r="J132" s="170"/>
      <c r="K132" s="53"/>
      <c r="L132" s="53"/>
      <c r="M132" s="53"/>
      <c r="N132" s="171"/>
      <c r="O132" s="170"/>
      <c r="P132" s="53"/>
      <c r="Q132" s="53"/>
      <c r="R132" s="53"/>
      <c r="S132" s="171"/>
      <c r="T132" s="170"/>
      <c r="U132" s="53"/>
      <c r="V132" s="53"/>
      <c r="W132" s="53"/>
      <c r="X132" s="171"/>
      <c r="Y132" s="170"/>
      <c r="Z132" s="170"/>
      <c r="AA132" s="170"/>
      <c r="AB132" s="170"/>
      <c r="AC132" s="170"/>
      <c r="AD132" s="53"/>
      <c r="AE132" s="53"/>
    </row>
    <row r="133">
      <c r="A133" s="53"/>
      <c r="B133" s="53"/>
      <c r="C133" s="168"/>
      <c r="D133" s="169"/>
      <c r="E133" s="170"/>
      <c r="F133" s="53"/>
      <c r="G133" s="53"/>
      <c r="H133" s="53"/>
      <c r="I133" s="171"/>
      <c r="J133" s="170"/>
      <c r="K133" s="53"/>
      <c r="L133" s="53"/>
      <c r="M133" s="53"/>
      <c r="N133" s="171"/>
      <c r="O133" s="170"/>
      <c r="P133" s="53"/>
      <c r="Q133" s="53"/>
      <c r="R133" s="53"/>
      <c r="S133" s="171"/>
      <c r="T133" s="170"/>
      <c r="U133" s="53"/>
      <c r="V133" s="53"/>
      <c r="W133" s="53"/>
      <c r="X133" s="171"/>
      <c r="Y133" s="170"/>
      <c r="Z133" s="170"/>
      <c r="AA133" s="170"/>
      <c r="AB133" s="170"/>
      <c r="AC133" s="170"/>
      <c r="AD133" s="53"/>
      <c r="AE133" s="53"/>
    </row>
    <row r="134">
      <c r="A134" s="53"/>
      <c r="B134" s="53"/>
      <c r="C134" s="168"/>
      <c r="D134" s="169"/>
      <c r="E134" s="170"/>
      <c r="F134" s="53"/>
      <c r="G134" s="53"/>
      <c r="H134" s="53"/>
      <c r="I134" s="171"/>
      <c r="J134" s="170"/>
      <c r="K134" s="53"/>
      <c r="L134" s="53"/>
      <c r="M134" s="53"/>
      <c r="N134" s="171"/>
      <c r="O134" s="170"/>
      <c r="P134" s="53"/>
      <c r="Q134" s="53"/>
      <c r="R134" s="53"/>
      <c r="S134" s="171"/>
      <c r="T134" s="170"/>
      <c r="U134" s="53"/>
      <c r="V134" s="53"/>
      <c r="W134" s="53"/>
      <c r="X134" s="171"/>
      <c r="Y134" s="170"/>
      <c r="Z134" s="170"/>
      <c r="AA134" s="170"/>
      <c r="AB134" s="170"/>
      <c r="AC134" s="170"/>
      <c r="AD134" s="53"/>
      <c r="AE134" s="53"/>
    </row>
    <row r="135">
      <c r="A135" s="53"/>
      <c r="B135" s="53"/>
      <c r="C135" s="168"/>
      <c r="D135" s="169"/>
      <c r="E135" s="170"/>
      <c r="F135" s="53"/>
      <c r="G135" s="53"/>
      <c r="H135" s="53"/>
      <c r="I135" s="171"/>
      <c r="J135" s="170"/>
      <c r="K135" s="53"/>
      <c r="L135" s="53"/>
      <c r="M135" s="53"/>
      <c r="N135" s="171"/>
      <c r="O135" s="170"/>
      <c r="P135" s="53"/>
      <c r="Q135" s="53"/>
      <c r="R135" s="53"/>
      <c r="S135" s="171"/>
      <c r="T135" s="170"/>
      <c r="U135" s="53"/>
      <c r="V135" s="53"/>
      <c r="W135" s="53"/>
      <c r="X135" s="171"/>
      <c r="Y135" s="170"/>
      <c r="Z135" s="170"/>
      <c r="AA135" s="170"/>
      <c r="AB135" s="170"/>
      <c r="AC135" s="170"/>
      <c r="AD135" s="53"/>
      <c r="AE135" s="53"/>
    </row>
    <row r="136">
      <c r="A136" s="53"/>
      <c r="B136" s="53"/>
      <c r="C136" s="168"/>
      <c r="D136" s="169"/>
      <c r="E136" s="170"/>
      <c r="F136" s="53"/>
      <c r="G136" s="53"/>
      <c r="H136" s="53"/>
      <c r="I136" s="171"/>
      <c r="J136" s="170"/>
      <c r="K136" s="53"/>
      <c r="L136" s="53"/>
      <c r="M136" s="53"/>
      <c r="N136" s="171"/>
      <c r="O136" s="170"/>
      <c r="P136" s="53"/>
      <c r="Q136" s="53"/>
      <c r="R136" s="53"/>
      <c r="S136" s="171"/>
      <c r="T136" s="170"/>
      <c r="U136" s="53"/>
      <c r="V136" s="53"/>
      <c r="W136" s="53"/>
      <c r="X136" s="171"/>
      <c r="Y136" s="170"/>
      <c r="Z136" s="170"/>
      <c r="AA136" s="170"/>
      <c r="AB136" s="170"/>
      <c r="AC136" s="170"/>
      <c r="AD136" s="53"/>
      <c r="AE136" s="53"/>
    </row>
    <row r="137">
      <c r="A137" s="53"/>
      <c r="B137" s="53"/>
      <c r="C137" s="168"/>
      <c r="D137" s="169"/>
      <c r="E137" s="170"/>
      <c r="F137" s="53"/>
      <c r="G137" s="53"/>
      <c r="H137" s="53"/>
      <c r="I137" s="171"/>
      <c r="J137" s="170"/>
      <c r="K137" s="53"/>
      <c r="L137" s="53"/>
      <c r="M137" s="53"/>
      <c r="N137" s="171"/>
      <c r="O137" s="170"/>
      <c r="P137" s="53"/>
      <c r="Q137" s="53"/>
      <c r="R137" s="53"/>
      <c r="S137" s="171"/>
      <c r="T137" s="170"/>
      <c r="U137" s="53"/>
      <c r="V137" s="53"/>
      <c r="W137" s="53"/>
      <c r="X137" s="171"/>
      <c r="Y137" s="170"/>
      <c r="Z137" s="170"/>
      <c r="AA137" s="170"/>
      <c r="AB137" s="170"/>
      <c r="AC137" s="170"/>
      <c r="AD137" s="53"/>
      <c r="AE137" s="53"/>
    </row>
    <row r="138">
      <c r="A138" s="53"/>
      <c r="B138" s="53"/>
      <c r="C138" s="168"/>
      <c r="D138" s="169"/>
      <c r="E138" s="170"/>
      <c r="F138" s="53"/>
      <c r="G138" s="53"/>
      <c r="H138" s="53"/>
      <c r="I138" s="171"/>
      <c r="J138" s="170"/>
      <c r="K138" s="53"/>
      <c r="L138" s="53"/>
      <c r="M138" s="53"/>
      <c r="N138" s="171"/>
      <c r="O138" s="170"/>
      <c r="P138" s="53"/>
      <c r="Q138" s="53"/>
      <c r="R138" s="53"/>
      <c r="S138" s="171"/>
      <c r="T138" s="170"/>
      <c r="U138" s="53"/>
      <c r="V138" s="53"/>
      <c r="W138" s="53"/>
      <c r="X138" s="171"/>
      <c r="Y138" s="170"/>
      <c r="Z138" s="170"/>
      <c r="AA138" s="170"/>
      <c r="AB138" s="170"/>
      <c r="AC138" s="170"/>
      <c r="AD138" s="53"/>
      <c r="AE138" s="53"/>
    </row>
    <row r="139">
      <c r="A139" s="53"/>
      <c r="B139" s="53"/>
      <c r="C139" s="168"/>
      <c r="D139" s="169"/>
      <c r="E139" s="170"/>
      <c r="F139" s="53"/>
      <c r="G139" s="53"/>
      <c r="H139" s="53"/>
      <c r="I139" s="171"/>
      <c r="J139" s="170"/>
      <c r="K139" s="53"/>
      <c r="L139" s="53"/>
      <c r="M139" s="53"/>
      <c r="N139" s="171"/>
      <c r="O139" s="170"/>
      <c r="P139" s="53"/>
      <c r="Q139" s="53"/>
      <c r="R139" s="53"/>
      <c r="S139" s="171"/>
      <c r="T139" s="170"/>
      <c r="U139" s="53"/>
      <c r="V139" s="53"/>
      <c r="W139" s="53"/>
      <c r="X139" s="171"/>
      <c r="Y139" s="170"/>
      <c r="Z139" s="170"/>
      <c r="AA139" s="170"/>
      <c r="AB139" s="170"/>
      <c r="AC139" s="170"/>
      <c r="AD139" s="53"/>
      <c r="AE139" s="53"/>
    </row>
    <row r="140">
      <c r="A140" s="53"/>
      <c r="B140" s="53"/>
      <c r="C140" s="168"/>
      <c r="D140" s="169"/>
      <c r="E140" s="170"/>
      <c r="F140" s="53"/>
      <c r="G140" s="53"/>
      <c r="H140" s="53"/>
      <c r="I140" s="171"/>
      <c r="J140" s="170"/>
      <c r="K140" s="53"/>
      <c r="L140" s="53"/>
      <c r="M140" s="53"/>
      <c r="N140" s="171"/>
      <c r="O140" s="170"/>
      <c r="P140" s="53"/>
      <c r="Q140" s="53"/>
      <c r="R140" s="53"/>
      <c r="S140" s="171"/>
      <c r="T140" s="170"/>
      <c r="U140" s="53"/>
      <c r="V140" s="53"/>
      <c r="W140" s="53"/>
      <c r="X140" s="171"/>
      <c r="Y140" s="170"/>
      <c r="Z140" s="170"/>
      <c r="AA140" s="170"/>
      <c r="AB140" s="170"/>
      <c r="AC140" s="170"/>
      <c r="AD140" s="53"/>
      <c r="AE140" s="53"/>
    </row>
    <row r="141">
      <c r="A141" s="53"/>
      <c r="B141" s="53"/>
      <c r="C141" s="168"/>
      <c r="D141" s="169"/>
      <c r="E141" s="170"/>
      <c r="F141" s="53"/>
      <c r="G141" s="53"/>
      <c r="H141" s="53"/>
      <c r="I141" s="171"/>
      <c r="J141" s="170"/>
      <c r="K141" s="53"/>
      <c r="L141" s="53"/>
      <c r="M141" s="53"/>
      <c r="N141" s="171"/>
      <c r="O141" s="170"/>
      <c r="P141" s="53"/>
      <c r="Q141" s="53"/>
      <c r="R141" s="53"/>
      <c r="S141" s="171"/>
      <c r="T141" s="170"/>
      <c r="U141" s="53"/>
      <c r="V141" s="53"/>
      <c r="W141" s="53"/>
      <c r="X141" s="171"/>
      <c r="Y141" s="170"/>
      <c r="Z141" s="170"/>
      <c r="AA141" s="170"/>
      <c r="AB141" s="170"/>
      <c r="AC141" s="170"/>
      <c r="AD141" s="53"/>
      <c r="AE141" s="53"/>
    </row>
    <row r="142">
      <c r="A142" s="53"/>
      <c r="B142" s="53"/>
      <c r="C142" s="168"/>
      <c r="D142" s="169"/>
      <c r="E142" s="170"/>
      <c r="F142" s="53"/>
      <c r="G142" s="53"/>
      <c r="H142" s="53"/>
      <c r="I142" s="171"/>
      <c r="J142" s="170"/>
      <c r="K142" s="53"/>
      <c r="L142" s="53"/>
      <c r="M142" s="53"/>
      <c r="N142" s="171"/>
      <c r="O142" s="170"/>
      <c r="P142" s="53"/>
      <c r="Q142" s="53"/>
      <c r="R142" s="53"/>
      <c r="S142" s="171"/>
      <c r="T142" s="170"/>
      <c r="U142" s="53"/>
      <c r="V142" s="53"/>
      <c r="W142" s="53"/>
      <c r="X142" s="171"/>
      <c r="Y142" s="170"/>
      <c r="Z142" s="170"/>
      <c r="AA142" s="170"/>
      <c r="AB142" s="170"/>
      <c r="AC142" s="170"/>
      <c r="AD142" s="53"/>
      <c r="AE142" s="53"/>
    </row>
    <row r="143">
      <c r="A143" s="53"/>
      <c r="B143" s="53"/>
      <c r="C143" s="168"/>
      <c r="D143" s="169"/>
      <c r="E143" s="170"/>
      <c r="F143" s="53"/>
      <c r="G143" s="53"/>
      <c r="H143" s="53"/>
      <c r="I143" s="171"/>
      <c r="J143" s="170"/>
      <c r="K143" s="53"/>
      <c r="L143" s="53"/>
      <c r="M143" s="53"/>
      <c r="N143" s="171"/>
      <c r="O143" s="170"/>
      <c r="P143" s="53"/>
      <c r="Q143" s="53"/>
      <c r="R143" s="53"/>
      <c r="S143" s="171"/>
      <c r="T143" s="170"/>
      <c r="U143" s="53"/>
      <c r="V143" s="53"/>
      <c r="W143" s="53"/>
      <c r="X143" s="171"/>
      <c r="Y143" s="170"/>
      <c r="Z143" s="170"/>
      <c r="AA143" s="170"/>
      <c r="AB143" s="170"/>
      <c r="AC143" s="170"/>
      <c r="AD143" s="53"/>
      <c r="AE143" s="53"/>
    </row>
    <row r="144">
      <c r="A144" s="53"/>
      <c r="B144" s="53"/>
      <c r="C144" s="168"/>
      <c r="D144" s="169"/>
      <c r="E144" s="170"/>
      <c r="F144" s="53"/>
      <c r="G144" s="53"/>
      <c r="H144" s="53"/>
      <c r="I144" s="171"/>
      <c r="J144" s="170"/>
      <c r="K144" s="53"/>
      <c r="L144" s="53"/>
      <c r="M144" s="53"/>
      <c r="N144" s="171"/>
      <c r="O144" s="170"/>
      <c r="P144" s="53"/>
      <c r="Q144" s="53"/>
      <c r="R144" s="53"/>
      <c r="S144" s="171"/>
      <c r="T144" s="170"/>
      <c r="U144" s="53"/>
      <c r="V144" s="53"/>
      <c r="W144" s="53"/>
      <c r="X144" s="171"/>
      <c r="Y144" s="170"/>
      <c r="Z144" s="170"/>
      <c r="AA144" s="170"/>
      <c r="AB144" s="170"/>
      <c r="AC144" s="170"/>
      <c r="AD144" s="53"/>
      <c r="AE144" s="53"/>
    </row>
    <row r="145">
      <c r="A145" s="53"/>
      <c r="B145" s="53"/>
      <c r="C145" s="168"/>
      <c r="D145" s="169"/>
      <c r="E145" s="170"/>
      <c r="F145" s="53"/>
      <c r="G145" s="53"/>
      <c r="H145" s="53"/>
      <c r="I145" s="171"/>
      <c r="J145" s="170"/>
      <c r="K145" s="53"/>
      <c r="L145" s="53"/>
      <c r="M145" s="53"/>
      <c r="N145" s="171"/>
      <c r="O145" s="170"/>
      <c r="P145" s="53"/>
      <c r="Q145" s="53"/>
      <c r="R145" s="53"/>
      <c r="S145" s="171"/>
      <c r="T145" s="170"/>
      <c r="U145" s="53"/>
      <c r="V145" s="53"/>
      <c r="W145" s="53"/>
      <c r="X145" s="171"/>
      <c r="Y145" s="170"/>
      <c r="Z145" s="170"/>
      <c r="AA145" s="170"/>
      <c r="AB145" s="170"/>
      <c r="AC145" s="170"/>
      <c r="AD145" s="53"/>
      <c r="AE145" s="53"/>
    </row>
    <row r="146">
      <c r="A146" s="53"/>
      <c r="B146" s="53"/>
      <c r="C146" s="168"/>
      <c r="D146" s="169"/>
      <c r="E146" s="170"/>
      <c r="F146" s="53"/>
      <c r="G146" s="53"/>
      <c r="H146" s="53"/>
      <c r="I146" s="171"/>
      <c r="J146" s="170"/>
      <c r="K146" s="53"/>
      <c r="L146" s="53"/>
      <c r="M146" s="53"/>
      <c r="N146" s="171"/>
      <c r="O146" s="170"/>
      <c r="P146" s="53"/>
      <c r="Q146" s="53"/>
      <c r="R146" s="53"/>
      <c r="S146" s="171"/>
      <c r="T146" s="170"/>
      <c r="U146" s="53"/>
      <c r="V146" s="53"/>
      <c r="W146" s="53"/>
      <c r="X146" s="171"/>
      <c r="Y146" s="170"/>
      <c r="Z146" s="170"/>
      <c r="AA146" s="170"/>
      <c r="AB146" s="170"/>
      <c r="AC146" s="170"/>
      <c r="AD146" s="53"/>
      <c r="AE146" s="53"/>
    </row>
    <row r="147">
      <c r="A147" s="53"/>
      <c r="B147" s="53"/>
      <c r="C147" s="168"/>
      <c r="D147" s="169"/>
      <c r="E147" s="170"/>
      <c r="F147" s="53"/>
      <c r="G147" s="53"/>
      <c r="H147" s="53"/>
      <c r="I147" s="171"/>
      <c r="J147" s="170"/>
      <c r="K147" s="53"/>
      <c r="L147" s="53"/>
      <c r="M147" s="53"/>
      <c r="N147" s="171"/>
      <c r="O147" s="170"/>
      <c r="P147" s="53"/>
      <c r="Q147" s="53"/>
      <c r="R147" s="53"/>
      <c r="S147" s="171"/>
      <c r="T147" s="170"/>
      <c r="U147" s="53"/>
      <c r="V147" s="53"/>
      <c r="W147" s="53"/>
      <c r="X147" s="171"/>
      <c r="Y147" s="170"/>
      <c r="Z147" s="170"/>
      <c r="AA147" s="170"/>
      <c r="AB147" s="170"/>
      <c r="AC147" s="170"/>
      <c r="AD147" s="53"/>
      <c r="AE147" s="53"/>
    </row>
    <row r="148">
      <c r="A148" s="53"/>
      <c r="B148" s="53"/>
      <c r="C148" s="168"/>
      <c r="D148" s="169"/>
      <c r="E148" s="170"/>
      <c r="F148" s="53"/>
      <c r="G148" s="53"/>
      <c r="H148" s="53"/>
      <c r="I148" s="171"/>
      <c r="J148" s="170"/>
      <c r="K148" s="53"/>
      <c r="L148" s="53"/>
      <c r="M148" s="53"/>
      <c r="N148" s="171"/>
      <c r="O148" s="170"/>
      <c r="P148" s="53"/>
      <c r="Q148" s="53"/>
      <c r="R148" s="53"/>
      <c r="S148" s="171"/>
      <c r="T148" s="170"/>
      <c r="U148" s="53"/>
      <c r="V148" s="53"/>
      <c r="W148" s="53"/>
      <c r="X148" s="171"/>
      <c r="Y148" s="170"/>
      <c r="Z148" s="170"/>
      <c r="AA148" s="170"/>
      <c r="AB148" s="170"/>
      <c r="AC148" s="170"/>
      <c r="AD148" s="53"/>
      <c r="AE148" s="53"/>
    </row>
    <row r="149">
      <c r="A149" s="53"/>
      <c r="B149" s="53"/>
      <c r="C149" s="168"/>
      <c r="D149" s="169"/>
      <c r="E149" s="170"/>
      <c r="F149" s="53"/>
      <c r="G149" s="53"/>
      <c r="H149" s="53"/>
      <c r="I149" s="171"/>
      <c r="J149" s="170"/>
      <c r="K149" s="53"/>
      <c r="L149" s="53"/>
      <c r="M149" s="53"/>
      <c r="N149" s="171"/>
      <c r="O149" s="170"/>
      <c r="P149" s="53"/>
      <c r="Q149" s="53"/>
      <c r="R149" s="53"/>
      <c r="S149" s="171"/>
      <c r="T149" s="170"/>
      <c r="U149" s="53"/>
      <c r="V149" s="53"/>
      <c r="W149" s="53"/>
      <c r="X149" s="171"/>
      <c r="Y149" s="170"/>
      <c r="Z149" s="170"/>
      <c r="AA149" s="170"/>
      <c r="AB149" s="170"/>
      <c r="AC149" s="170"/>
      <c r="AD149" s="53"/>
      <c r="AE149" s="53"/>
    </row>
    <row r="150">
      <c r="A150" s="53"/>
      <c r="B150" s="53"/>
      <c r="C150" s="168"/>
      <c r="D150" s="169"/>
      <c r="E150" s="170"/>
      <c r="F150" s="53"/>
      <c r="G150" s="53"/>
      <c r="H150" s="53"/>
      <c r="I150" s="171"/>
      <c r="J150" s="170"/>
      <c r="K150" s="53"/>
      <c r="L150" s="53"/>
      <c r="M150" s="53"/>
      <c r="N150" s="171"/>
      <c r="O150" s="170"/>
      <c r="P150" s="53"/>
      <c r="Q150" s="53"/>
      <c r="R150" s="53"/>
      <c r="S150" s="171"/>
      <c r="T150" s="170"/>
      <c r="U150" s="53"/>
      <c r="V150" s="53"/>
      <c r="W150" s="53"/>
      <c r="X150" s="171"/>
      <c r="Y150" s="170"/>
      <c r="Z150" s="170"/>
      <c r="AA150" s="170"/>
      <c r="AB150" s="170"/>
      <c r="AC150" s="170"/>
      <c r="AD150" s="53"/>
      <c r="AE150" s="53"/>
    </row>
    <row r="151">
      <c r="A151" s="53"/>
      <c r="B151" s="53"/>
      <c r="C151" s="168"/>
      <c r="D151" s="169"/>
      <c r="E151" s="170"/>
      <c r="F151" s="53"/>
      <c r="G151" s="53"/>
      <c r="H151" s="53"/>
      <c r="I151" s="171"/>
      <c r="J151" s="170"/>
      <c r="K151" s="53"/>
      <c r="L151" s="53"/>
      <c r="M151" s="53"/>
      <c r="N151" s="171"/>
      <c r="O151" s="170"/>
      <c r="P151" s="53"/>
      <c r="Q151" s="53"/>
      <c r="R151" s="53"/>
      <c r="S151" s="171"/>
      <c r="T151" s="170"/>
      <c r="U151" s="53"/>
      <c r="V151" s="53"/>
      <c r="W151" s="53"/>
      <c r="X151" s="171"/>
      <c r="Y151" s="170"/>
      <c r="Z151" s="170"/>
      <c r="AA151" s="170"/>
      <c r="AB151" s="170"/>
      <c r="AC151" s="170"/>
      <c r="AD151" s="53"/>
      <c r="AE151" s="53"/>
    </row>
    <row r="152">
      <c r="A152" s="53"/>
      <c r="B152" s="53"/>
      <c r="C152" s="168"/>
      <c r="D152" s="169"/>
      <c r="E152" s="170"/>
      <c r="F152" s="53"/>
      <c r="G152" s="53"/>
      <c r="H152" s="53"/>
      <c r="I152" s="171"/>
      <c r="J152" s="170"/>
      <c r="K152" s="53"/>
      <c r="L152" s="53"/>
      <c r="M152" s="53"/>
      <c r="N152" s="171"/>
      <c r="O152" s="170"/>
      <c r="P152" s="53"/>
      <c r="Q152" s="53"/>
      <c r="R152" s="53"/>
      <c r="S152" s="171"/>
      <c r="T152" s="170"/>
      <c r="U152" s="53"/>
      <c r="V152" s="53"/>
      <c r="W152" s="53"/>
      <c r="X152" s="171"/>
      <c r="Y152" s="170"/>
      <c r="Z152" s="170"/>
      <c r="AA152" s="170"/>
      <c r="AB152" s="170"/>
      <c r="AC152" s="170"/>
      <c r="AD152" s="53"/>
      <c r="AE152" s="53"/>
    </row>
    <row r="153">
      <c r="A153" s="53"/>
      <c r="B153" s="53"/>
      <c r="C153" s="168"/>
      <c r="D153" s="169"/>
      <c r="E153" s="170"/>
      <c r="F153" s="53"/>
      <c r="G153" s="53"/>
      <c r="H153" s="53"/>
      <c r="I153" s="171"/>
      <c r="J153" s="170"/>
      <c r="K153" s="53"/>
      <c r="L153" s="53"/>
      <c r="M153" s="53"/>
      <c r="N153" s="171"/>
      <c r="O153" s="170"/>
      <c r="P153" s="53"/>
      <c r="Q153" s="53"/>
      <c r="R153" s="53"/>
      <c r="S153" s="171"/>
      <c r="T153" s="170"/>
      <c r="U153" s="53"/>
      <c r="V153" s="53"/>
      <c r="W153" s="53"/>
      <c r="X153" s="171"/>
      <c r="Y153" s="170"/>
      <c r="Z153" s="170"/>
      <c r="AA153" s="170"/>
      <c r="AB153" s="170"/>
      <c r="AC153" s="170"/>
      <c r="AD153" s="53"/>
      <c r="AE153" s="53"/>
    </row>
    <row r="154">
      <c r="A154" s="53"/>
      <c r="B154" s="53"/>
      <c r="C154" s="168"/>
      <c r="D154" s="169"/>
      <c r="E154" s="170"/>
      <c r="F154" s="53"/>
      <c r="G154" s="53"/>
      <c r="H154" s="53"/>
      <c r="I154" s="171"/>
      <c r="J154" s="170"/>
      <c r="K154" s="53"/>
      <c r="L154" s="53"/>
      <c r="M154" s="53"/>
      <c r="N154" s="171"/>
      <c r="O154" s="170"/>
      <c r="P154" s="53"/>
      <c r="Q154" s="53"/>
      <c r="R154" s="53"/>
      <c r="S154" s="171"/>
      <c r="T154" s="170"/>
      <c r="U154" s="53"/>
      <c r="V154" s="53"/>
      <c r="W154" s="53"/>
      <c r="X154" s="171"/>
      <c r="Y154" s="170"/>
      <c r="Z154" s="170"/>
      <c r="AA154" s="170"/>
      <c r="AB154" s="170"/>
      <c r="AC154" s="170"/>
      <c r="AD154" s="53"/>
      <c r="AE154" s="53"/>
    </row>
    <row r="155">
      <c r="A155" s="53"/>
      <c r="B155" s="53"/>
      <c r="C155" s="168"/>
      <c r="D155" s="169"/>
      <c r="E155" s="170"/>
      <c r="F155" s="53"/>
      <c r="G155" s="53"/>
      <c r="H155" s="53"/>
      <c r="I155" s="171"/>
      <c r="J155" s="170"/>
      <c r="K155" s="53"/>
      <c r="L155" s="53"/>
      <c r="M155" s="53"/>
      <c r="N155" s="171"/>
      <c r="O155" s="170"/>
      <c r="P155" s="53"/>
      <c r="Q155" s="53"/>
      <c r="R155" s="53"/>
      <c r="S155" s="171"/>
      <c r="T155" s="170"/>
      <c r="U155" s="53"/>
      <c r="V155" s="53"/>
      <c r="W155" s="53"/>
      <c r="X155" s="171"/>
      <c r="Y155" s="170"/>
      <c r="Z155" s="170"/>
      <c r="AA155" s="170"/>
      <c r="AB155" s="170"/>
      <c r="AC155" s="170"/>
      <c r="AD155" s="53"/>
      <c r="AE155" s="53"/>
    </row>
    <row r="156">
      <c r="A156" s="53"/>
      <c r="B156" s="53"/>
      <c r="C156" s="168"/>
      <c r="D156" s="169"/>
      <c r="E156" s="170"/>
      <c r="F156" s="53"/>
      <c r="G156" s="53"/>
      <c r="H156" s="53"/>
      <c r="I156" s="171"/>
      <c r="J156" s="170"/>
      <c r="K156" s="53"/>
      <c r="L156" s="53"/>
      <c r="M156" s="53"/>
      <c r="N156" s="171"/>
      <c r="O156" s="170"/>
      <c r="P156" s="53"/>
      <c r="Q156" s="53"/>
      <c r="R156" s="53"/>
      <c r="S156" s="171"/>
      <c r="T156" s="170"/>
      <c r="U156" s="53"/>
      <c r="V156" s="53"/>
      <c r="W156" s="53"/>
      <c r="X156" s="171"/>
      <c r="Y156" s="170"/>
      <c r="Z156" s="170"/>
      <c r="AA156" s="170"/>
      <c r="AB156" s="170"/>
      <c r="AC156" s="170"/>
      <c r="AD156" s="53"/>
      <c r="AE156" s="53"/>
    </row>
    <row r="157">
      <c r="A157" s="53"/>
      <c r="B157" s="53"/>
      <c r="C157" s="168"/>
      <c r="D157" s="169"/>
      <c r="E157" s="170"/>
      <c r="F157" s="53"/>
      <c r="G157" s="53"/>
      <c r="H157" s="53"/>
      <c r="I157" s="171"/>
      <c r="J157" s="170"/>
      <c r="K157" s="53"/>
      <c r="L157" s="53"/>
      <c r="M157" s="53"/>
      <c r="N157" s="171"/>
      <c r="O157" s="170"/>
      <c r="P157" s="53"/>
      <c r="Q157" s="53"/>
      <c r="R157" s="53"/>
      <c r="S157" s="171"/>
      <c r="T157" s="170"/>
      <c r="U157" s="53"/>
      <c r="V157" s="53"/>
      <c r="W157" s="53"/>
      <c r="X157" s="171"/>
      <c r="Y157" s="170"/>
      <c r="Z157" s="170"/>
      <c r="AA157" s="170"/>
      <c r="AB157" s="170"/>
      <c r="AC157" s="170"/>
      <c r="AD157" s="53"/>
      <c r="AE157" s="53"/>
    </row>
    <row r="158">
      <c r="A158" s="53"/>
      <c r="B158" s="53"/>
      <c r="C158" s="168"/>
      <c r="D158" s="169"/>
      <c r="E158" s="170"/>
      <c r="F158" s="53"/>
      <c r="G158" s="53"/>
      <c r="H158" s="53"/>
      <c r="I158" s="171"/>
      <c r="J158" s="170"/>
      <c r="K158" s="53"/>
      <c r="L158" s="53"/>
      <c r="M158" s="53"/>
      <c r="N158" s="171"/>
      <c r="O158" s="170"/>
      <c r="P158" s="53"/>
      <c r="Q158" s="53"/>
      <c r="R158" s="53"/>
      <c r="S158" s="171"/>
      <c r="T158" s="170"/>
      <c r="U158" s="53"/>
      <c r="V158" s="53"/>
      <c r="W158" s="53"/>
      <c r="X158" s="171"/>
      <c r="Y158" s="170"/>
      <c r="Z158" s="170"/>
      <c r="AA158" s="170"/>
      <c r="AB158" s="170"/>
      <c r="AC158" s="170"/>
      <c r="AD158" s="53"/>
      <c r="AE158" s="53"/>
    </row>
    <row r="159">
      <c r="A159" s="53"/>
      <c r="B159" s="53"/>
      <c r="C159" s="168"/>
      <c r="D159" s="169"/>
      <c r="E159" s="170"/>
      <c r="F159" s="53"/>
      <c r="G159" s="53"/>
      <c r="H159" s="53"/>
      <c r="I159" s="171"/>
      <c r="J159" s="170"/>
      <c r="K159" s="53"/>
      <c r="L159" s="53"/>
      <c r="M159" s="53"/>
      <c r="N159" s="171"/>
      <c r="O159" s="170"/>
      <c r="P159" s="53"/>
      <c r="Q159" s="53"/>
      <c r="R159" s="53"/>
      <c r="S159" s="171"/>
      <c r="T159" s="170"/>
      <c r="U159" s="53"/>
      <c r="V159" s="53"/>
      <c r="W159" s="53"/>
      <c r="X159" s="171"/>
      <c r="Y159" s="170"/>
      <c r="Z159" s="170"/>
      <c r="AA159" s="170"/>
      <c r="AB159" s="170"/>
      <c r="AC159" s="170"/>
      <c r="AD159" s="53"/>
      <c r="AE159" s="53"/>
    </row>
    <row r="160">
      <c r="A160" s="53"/>
      <c r="B160" s="53"/>
      <c r="C160" s="168"/>
      <c r="D160" s="169"/>
      <c r="E160" s="170"/>
      <c r="F160" s="53"/>
      <c r="G160" s="53"/>
      <c r="H160" s="53"/>
      <c r="I160" s="171"/>
      <c r="J160" s="170"/>
      <c r="K160" s="53"/>
      <c r="L160" s="53"/>
      <c r="M160" s="53"/>
      <c r="N160" s="171"/>
      <c r="O160" s="170"/>
      <c r="P160" s="53"/>
      <c r="Q160" s="53"/>
      <c r="R160" s="53"/>
      <c r="S160" s="171"/>
      <c r="T160" s="170"/>
      <c r="U160" s="53"/>
      <c r="V160" s="53"/>
      <c r="W160" s="53"/>
      <c r="X160" s="171"/>
      <c r="Y160" s="170"/>
      <c r="Z160" s="170"/>
      <c r="AA160" s="170"/>
      <c r="AB160" s="170"/>
      <c r="AC160" s="170"/>
      <c r="AD160" s="53"/>
      <c r="AE160" s="53"/>
    </row>
    <row r="161">
      <c r="A161" s="53"/>
      <c r="B161" s="53"/>
      <c r="C161" s="168"/>
      <c r="D161" s="169"/>
      <c r="E161" s="170"/>
      <c r="F161" s="53"/>
      <c r="G161" s="53"/>
      <c r="H161" s="53"/>
      <c r="I161" s="171"/>
      <c r="J161" s="170"/>
      <c r="K161" s="53"/>
      <c r="L161" s="53"/>
      <c r="M161" s="53"/>
      <c r="N161" s="171"/>
      <c r="O161" s="170"/>
      <c r="P161" s="53"/>
      <c r="Q161" s="53"/>
      <c r="R161" s="53"/>
      <c r="S161" s="171"/>
      <c r="T161" s="170"/>
      <c r="U161" s="53"/>
      <c r="V161" s="53"/>
      <c r="W161" s="53"/>
      <c r="X161" s="171"/>
      <c r="Y161" s="170"/>
      <c r="Z161" s="170"/>
      <c r="AA161" s="170"/>
      <c r="AB161" s="170"/>
      <c r="AC161" s="170"/>
      <c r="AD161" s="53"/>
      <c r="AE161" s="53"/>
    </row>
    <row r="162">
      <c r="A162" s="53"/>
      <c r="B162" s="53"/>
      <c r="C162" s="168"/>
      <c r="D162" s="169"/>
      <c r="E162" s="170"/>
      <c r="F162" s="53"/>
      <c r="G162" s="53"/>
      <c r="H162" s="53"/>
      <c r="I162" s="171"/>
      <c r="J162" s="170"/>
      <c r="K162" s="53"/>
      <c r="L162" s="53"/>
      <c r="M162" s="53"/>
      <c r="N162" s="171"/>
      <c r="O162" s="170"/>
      <c r="P162" s="53"/>
      <c r="Q162" s="53"/>
      <c r="R162" s="53"/>
      <c r="S162" s="171"/>
      <c r="T162" s="170"/>
      <c r="U162" s="53"/>
      <c r="V162" s="53"/>
      <c r="W162" s="53"/>
      <c r="X162" s="171"/>
      <c r="Y162" s="170"/>
      <c r="Z162" s="170"/>
      <c r="AA162" s="170"/>
      <c r="AB162" s="170"/>
      <c r="AC162" s="170"/>
      <c r="AD162" s="53"/>
      <c r="AE162" s="53"/>
    </row>
    <row r="163">
      <c r="A163" s="53"/>
      <c r="B163" s="53"/>
      <c r="C163" s="168"/>
      <c r="D163" s="169"/>
      <c r="E163" s="170"/>
      <c r="F163" s="53"/>
      <c r="G163" s="53"/>
      <c r="H163" s="53"/>
      <c r="I163" s="171"/>
      <c r="J163" s="170"/>
      <c r="K163" s="53"/>
      <c r="L163" s="53"/>
      <c r="M163" s="53"/>
      <c r="N163" s="171"/>
      <c r="O163" s="170"/>
      <c r="P163" s="53"/>
      <c r="Q163" s="53"/>
      <c r="R163" s="53"/>
      <c r="S163" s="171"/>
      <c r="T163" s="170"/>
      <c r="U163" s="53"/>
      <c r="V163" s="53"/>
      <c r="W163" s="53"/>
      <c r="X163" s="171"/>
      <c r="Y163" s="170"/>
      <c r="Z163" s="170"/>
      <c r="AA163" s="170"/>
      <c r="AB163" s="170"/>
      <c r="AC163" s="170"/>
      <c r="AD163" s="53"/>
      <c r="AE163" s="53"/>
    </row>
    <row r="164">
      <c r="A164" s="53"/>
      <c r="B164" s="53"/>
      <c r="C164" s="168"/>
      <c r="D164" s="169"/>
      <c r="E164" s="170"/>
      <c r="F164" s="53"/>
      <c r="G164" s="53"/>
      <c r="H164" s="53"/>
      <c r="I164" s="171"/>
      <c r="J164" s="170"/>
      <c r="K164" s="53"/>
      <c r="L164" s="53"/>
      <c r="M164" s="53"/>
      <c r="N164" s="171"/>
      <c r="O164" s="170"/>
      <c r="P164" s="53"/>
      <c r="Q164" s="53"/>
      <c r="R164" s="53"/>
      <c r="S164" s="171"/>
      <c r="T164" s="170"/>
      <c r="U164" s="53"/>
      <c r="V164" s="53"/>
      <c r="W164" s="53"/>
      <c r="X164" s="171"/>
      <c r="Y164" s="170"/>
      <c r="Z164" s="170"/>
      <c r="AA164" s="170"/>
      <c r="AB164" s="170"/>
      <c r="AC164" s="170"/>
      <c r="AD164" s="53"/>
      <c r="AE164" s="53"/>
    </row>
    <row r="165">
      <c r="A165" s="53"/>
      <c r="B165" s="53"/>
      <c r="C165" s="168"/>
      <c r="D165" s="169"/>
      <c r="E165" s="170"/>
      <c r="F165" s="53"/>
      <c r="G165" s="53"/>
      <c r="H165" s="53"/>
      <c r="I165" s="171"/>
      <c r="J165" s="170"/>
      <c r="K165" s="53"/>
      <c r="L165" s="53"/>
      <c r="M165" s="53"/>
      <c r="N165" s="171"/>
      <c r="O165" s="170"/>
      <c r="P165" s="53"/>
      <c r="Q165" s="53"/>
      <c r="R165" s="53"/>
      <c r="S165" s="171"/>
      <c r="T165" s="170"/>
      <c r="U165" s="53"/>
      <c r="V165" s="53"/>
      <c r="W165" s="53"/>
      <c r="X165" s="171"/>
      <c r="Y165" s="170"/>
      <c r="Z165" s="170"/>
      <c r="AA165" s="170"/>
      <c r="AB165" s="170"/>
      <c r="AC165" s="170"/>
      <c r="AD165" s="53"/>
      <c r="AE165" s="53"/>
    </row>
    <row r="166">
      <c r="A166" s="53"/>
      <c r="B166" s="53"/>
      <c r="C166" s="168"/>
      <c r="D166" s="169"/>
      <c r="E166" s="170"/>
      <c r="F166" s="53"/>
      <c r="G166" s="53"/>
      <c r="H166" s="53"/>
      <c r="I166" s="171"/>
      <c r="J166" s="170"/>
      <c r="K166" s="53"/>
      <c r="L166" s="53"/>
      <c r="M166" s="53"/>
      <c r="N166" s="171"/>
      <c r="O166" s="170"/>
      <c r="P166" s="53"/>
      <c r="Q166" s="53"/>
      <c r="R166" s="53"/>
      <c r="S166" s="171"/>
      <c r="T166" s="170"/>
      <c r="U166" s="53"/>
      <c r="V166" s="53"/>
      <c r="W166" s="53"/>
      <c r="X166" s="171"/>
      <c r="Y166" s="170"/>
      <c r="Z166" s="170"/>
      <c r="AA166" s="170"/>
      <c r="AB166" s="170"/>
      <c r="AC166" s="170"/>
      <c r="AD166" s="53"/>
      <c r="AE166" s="53"/>
    </row>
    <row r="167">
      <c r="A167" s="53"/>
      <c r="B167" s="53"/>
      <c r="C167" s="168"/>
      <c r="D167" s="169"/>
      <c r="E167" s="170"/>
      <c r="F167" s="53"/>
      <c r="G167" s="53"/>
      <c r="H167" s="53"/>
      <c r="I167" s="171"/>
      <c r="J167" s="170"/>
      <c r="K167" s="53"/>
      <c r="L167" s="53"/>
      <c r="M167" s="53"/>
      <c r="N167" s="171"/>
      <c r="O167" s="170"/>
      <c r="P167" s="53"/>
      <c r="Q167" s="53"/>
      <c r="R167" s="53"/>
      <c r="S167" s="171"/>
      <c r="T167" s="170"/>
      <c r="U167" s="53"/>
      <c r="V167" s="53"/>
      <c r="W167" s="53"/>
      <c r="X167" s="171"/>
      <c r="Y167" s="170"/>
      <c r="Z167" s="170"/>
      <c r="AA167" s="170"/>
      <c r="AB167" s="170"/>
      <c r="AC167" s="170"/>
      <c r="AD167" s="53"/>
      <c r="AE167" s="53"/>
    </row>
    <row r="168">
      <c r="A168" s="53"/>
      <c r="B168" s="53"/>
      <c r="C168" s="168"/>
      <c r="D168" s="169"/>
      <c r="E168" s="170"/>
      <c r="F168" s="53"/>
      <c r="G168" s="53"/>
      <c r="H168" s="53"/>
      <c r="I168" s="171"/>
      <c r="J168" s="170"/>
      <c r="K168" s="53"/>
      <c r="L168" s="53"/>
      <c r="M168" s="53"/>
      <c r="N168" s="171"/>
      <c r="O168" s="170"/>
      <c r="P168" s="53"/>
      <c r="Q168" s="53"/>
      <c r="R168" s="53"/>
      <c r="S168" s="171"/>
      <c r="T168" s="170"/>
      <c r="U168" s="53"/>
      <c r="V168" s="53"/>
      <c r="W168" s="53"/>
      <c r="X168" s="171"/>
      <c r="Y168" s="170"/>
      <c r="Z168" s="170"/>
      <c r="AA168" s="170"/>
      <c r="AB168" s="170"/>
      <c r="AC168" s="170"/>
      <c r="AD168" s="53"/>
      <c r="AE168" s="53"/>
    </row>
    <row r="169">
      <c r="A169" s="53"/>
      <c r="B169" s="53"/>
      <c r="C169" s="168"/>
      <c r="D169" s="169"/>
      <c r="E169" s="170"/>
      <c r="F169" s="53"/>
      <c r="G169" s="53"/>
      <c r="H169" s="53"/>
      <c r="I169" s="171"/>
      <c r="J169" s="170"/>
      <c r="K169" s="53"/>
      <c r="L169" s="53"/>
      <c r="M169" s="53"/>
      <c r="N169" s="171"/>
      <c r="O169" s="170"/>
      <c r="P169" s="53"/>
      <c r="Q169" s="53"/>
      <c r="R169" s="53"/>
      <c r="S169" s="171"/>
      <c r="T169" s="170"/>
      <c r="U169" s="53"/>
      <c r="V169" s="53"/>
      <c r="W169" s="53"/>
      <c r="X169" s="171"/>
      <c r="Y169" s="170"/>
      <c r="Z169" s="170"/>
      <c r="AA169" s="170"/>
      <c r="AB169" s="170"/>
      <c r="AC169" s="170"/>
      <c r="AD169" s="53"/>
      <c r="AE169" s="53"/>
    </row>
    <row r="170">
      <c r="A170" s="53"/>
      <c r="B170" s="53"/>
      <c r="C170" s="168"/>
      <c r="D170" s="169"/>
      <c r="E170" s="170"/>
      <c r="F170" s="53"/>
      <c r="G170" s="53"/>
      <c r="H170" s="53"/>
      <c r="I170" s="171"/>
      <c r="J170" s="170"/>
      <c r="K170" s="53"/>
      <c r="L170" s="53"/>
      <c r="M170" s="53"/>
      <c r="N170" s="171"/>
      <c r="O170" s="170"/>
      <c r="P170" s="53"/>
      <c r="Q170" s="53"/>
      <c r="R170" s="53"/>
      <c r="S170" s="171"/>
      <c r="T170" s="170"/>
      <c r="U170" s="53"/>
      <c r="V170" s="53"/>
      <c r="W170" s="53"/>
      <c r="X170" s="171"/>
      <c r="Y170" s="170"/>
      <c r="Z170" s="170"/>
      <c r="AA170" s="170"/>
      <c r="AB170" s="170"/>
      <c r="AC170" s="170"/>
      <c r="AD170" s="53"/>
      <c r="AE170" s="53"/>
    </row>
    <row r="171">
      <c r="A171" s="53"/>
      <c r="B171" s="53"/>
      <c r="C171" s="168"/>
      <c r="D171" s="169"/>
      <c r="E171" s="170"/>
      <c r="F171" s="53"/>
      <c r="G171" s="53"/>
      <c r="H171" s="53"/>
      <c r="I171" s="171"/>
      <c r="J171" s="170"/>
      <c r="K171" s="53"/>
      <c r="L171" s="53"/>
      <c r="M171" s="53"/>
      <c r="N171" s="171"/>
      <c r="O171" s="170"/>
      <c r="P171" s="53"/>
      <c r="Q171" s="53"/>
      <c r="R171" s="53"/>
      <c r="S171" s="171"/>
      <c r="T171" s="170"/>
      <c r="U171" s="53"/>
      <c r="V171" s="53"/>
      <c r="W171" s="53"/>
      <c r="X171" s="171"/>
      <c r="Y171" s="170"/>
      <c r="Z171" s="170"/>
      <c r="AA171" s="170"/>
      <c r="AB171" s="170"/>
      <c r="AC171" s="170"/>
      <c r="AD171" s="53"/>
      <c r="AE171" s="53"/>
    </row>
    <row r="172">
      <c r="A172" s="53"/>
      <c r="B172" s="53"/>
      <c r="C172" s="168"/>
      <c r="D172" s="169"/>
      <c r="E172" s="170"/>
      <c r="F172" s="53"/>
      <c r="G172" s="53"/>
      <c r="H172" s="53"/>
      <c r="I172" s="171"/>
      <c r="J172" s="170"/>
      <c r="K172" s="53"/>
      <c r="L172" s="53"/>
      <c r="M172" s="53"/>
      <c r="N172" s="171"/>
      <c r="O172" s="170"/>
      <c r="P172" s="53"/>
      <c r="Q172" s="53"/>
      <c r="R172" s="53"/>
      <c r="S172" s="171"/>
      <c r="T172" s="170"/>
      <c r="U172" s="53"/>
      <c r="V172" s="53"/>
      <c r="W172" s="53"/>
      <c r="X172" s="171"/>
      <c r="Y172" s="170"/>
      <c r="Z172" s="170"/>
      <c r="AA172" s="170"/>
      <c r="AB172" s="170"/>
      <c r="AC172" s="170"/>
      <c r="AD172" s="53"/>
      <c r="AE172" s="53"/>
    </row>
    <row r="173">
      <c r="A173" s="53"/>
      <c r="B173" s="53"/>
      <c r="C173" s="168"/>
      <c r="D173" s="169"/>
      <c r="E173" s="170"/>
      <c r="F173" s="53"/>
      <c r="G173" s="53"/>
      <c r="H173" s="53"/>
      <c r="I173" s="171"/>
      <c r="J173" s="170"/>
      <c r="K173" s="53"/>
      <c r="L173" s="53"/>
      <c r="M173" s="53"/>
      <c r="N173" s="171"/>
      <c r="O173" s="170"/>
      <c r="P173" s="53"/>
      <c r="Q173" s="53"/>
      <c r="R173" s="53"/>
      <c r="S173" s="171"/>
      <c r="T173" s="170"/>
      <c r="U173" s="53"/>
      <c r="V173" s="53"/>
      <c r="W173" s="53"/>
      <c r="X173" s="171"/>
      <c r="Y173" s="170"/>
      <c r="Z173" s="170"/>
      <c r="AA173" s="170"/>
      <c r="AB173" s="170"/>
      <c r="AC173" s="170"/>
      <c r="AD173" s="53"/>
      <c r="AE173" s="53"/>
    </row>
    <row r="174">
      <c r="A174" s="53"/>
      <c r="B174" s="53"/>
      <c r="C174" s="168"/>
      <c r="D174" s="169"/>
      <c r="E174" s="170"/>
      <c r="F174" s="53"/>
      <c r="G174" s="53"/>
      <c r="H174" s="53"/>
      <c r="I174" s="171"/>
      <c r="J174" s="170"/>
      <c r="K174" s="53"/>
      <c r="L174" s="53"/>
      <c r="M174" s="53"/>
      <c r="N174" s="171"/>
      <c r="O174" s="170"/>
      <c r="P174" s="53"/>
      <c r="Q174" s="53"/>
      <c r="R174" s="53"/>
      <c r="S174" s="171"/>
      <c r="T174" s="170"/>
      <c r="U174" s="53"/>
      <c r="V174" s="53"/>
      <c r="W174" s="53"/>
      <c r="X174" s="171"/>
      <c r="Y174" s="170"/>
      <c r="Z174" s="170"/>
      <c r="AA174" s="170"/>
      <c r="AB174" s="170"/>
      <c r="AC174" s="170"/>
      <c r="AD174" s="53"/>
      <c r="AE174" s="53"/>
    </row>
    <row r="175">
      <c r="A175" s="53"/>
      <c r="B175" s="53"/>
      <c r="C175" s="168"/>
      <c r="D175" s="169"/>
      <c r="E175" s="170"/>
      <c r="F175" s="53"/>
      <c r="G175" s="53"/>
      <c r="H175" s="53"/>
      <c r="I175" s="171"/>
      <c r="J175" s="170"/>
      <c r="K175" s="53"/>
      <c r="L175" s="53"/>
      <c r="M175" s="53"/>
      <c r="N175" s="171"/>
      <c r="O175" s="170"/>
      <c r="P175" s="53"/>
      <c r="Q175" s="53"/>
      <c r="R175" s="53"/>
      <c r="S175" s="171"/>
      <c r="T175" s="170"/>
      <c r="U175" s="53"/>
      <c r="V175" s="53"/>
      <c r="W175" s="53"/>
      <c r="X175" s="171"/>
      <c r="Y175" s="170"/>
      <c r="Z175" s="170"/>
      <c r="AA175" s="170"/>
      <c r="AB175" s="170"/>
      <c r="AC175" s="170"/>
      <c r="AD175" s="53"/>
      <c r="AE175" s="53"/>
    </row>
    <row r="176">
      <c r="A176" s="53"/>
      <c r="B176" s="53"/>
      <c r="C176" s="168"/>
      <c r="D176" s="169"/>
      <c r="E176" s="170"/>
      <c r="F176" s="53"/>
      <c r="G176" s="53"/>
      <c r="H176" s="53"/>
      <c r="I176" s="171"/>
      <c r="J176" s="170"/>
      <c r="K176" s="53"/>
      <c r="L176" s="53"/>
      <c r="M176" s="53"/>
      <c r="N176" s="171"/>
      <c r="O176" s="170"/>
      <c r="P176" s="53"/>
      <c r="Q176" s="53"/>
      <c r="R176" s="53"/>
      <c r="S176" s="171"/>
      <c r="T176" s="170"/>
      <c r="U176" s="53"/>
      <c r="V176" s="53"/>
      <c r="W176" s="53"/>
      <c r="X176" s="171"/>
      <c r="Y176" s="170"/>
      <c r="Z176" s="170"/>
      <c r="AA176" s="170"/>
      <c r="AB176" s="170"/>
      <c r="AC176" s="170"/>
      <c r="AD176" s="53"/>
      <c r="AE176" s="53"/>
    </row>
    <row r="177">
      <c r="A177" s="53"/>
      <c r="B177" s="53"/>
      <c r="C177" s="168"/>
      <c r="D177" s="169"/>
      <c r="E177" s="170"/>
      <c r="F177" s="53"/>
      <c r="G177" s="53"/>
      <c r="H177" s="53"/>
      <c r="I177" s="171"/>
      <c r="J177" s="170"/>
      <c r="K177" s="53"/>
      <c r="L177" s="53"/>
      <c r="M177" s="53"/>
      <c r="N177" s="171"/>
      <c r="O177" s="170"/>
      <c r="P177" s="53"/>
      <c r="Q177" s="53"/>
      <c r="R177" s="53"/>
      <c r="S177" s="171"/>
      <c r="T177" s="170"/>
      <c r="U177" s="53"/>
      <c r="V177" s="53"/>
      <c r="W177" s="53"/>
      <c r="X177" s="171"/>
      <c r="Y177" s="170"/>
      <c r="Z177" s="170"/>
      <c r="AA177" s="170"/>
      <c r="AB177" s="170"/>
      <c r="AC177" s="170"/>
      <c r="AD177" s="53"/>
      <c r="AE177" s="53"/>
    </row>
    <row r="178">
      <c r="A178" s="53"/>
      <c r="B178" s="53"/>
      <c r="C178" s="168"/>
      <c r="D178" s="169"/>
      <c r="E178" s="170"/>
      <c r="F178" s="53"/>
      <c r="G178" s="53"/>
      <c r="H178" s="53"/>
      <c r="I178" s="171"/>
      <c r="J178" s="170"/>
      <c r="K178" s="53"/>
      <c r="L178" s="53"/>
      <c r="M178" s="53"/>
      <c r="N178" s="171"/>
      <c r="O178" s="170"/>
      <c r="P178" s="53"/>
      <c r="Q178" s="53"/>
      <c r="R178" s="53"/>
      <c r="S178" s="171"/>
      <c r="T178" s="170"/>
      <c r="U178" s="53"/>
      <c r="V178" s="53"/>
      <c r="W178" s="53"/>
      <c r="X178" s="171"/>
      <c r="Y178" s="170"/>
      <c r="Z178" s="170"/>
      <c r="AA178" s="170"/>
      <c r="AB178" s="170"/>
      <c r="AC178" s="170"/>
      <c r="AD178" s="53"/>
      <c r="AE178" s="53"/>
    </row>
    <row r="179">
      <c r="A179" s="53"/>
      <c r="B179" s="53"/>
      <c r="C179" s="168"/>
      <c r="D179" s="169"/>
      <c r="E179" s="170"/>
      <c r="F179" s="53"/>
      <c r="G179" s="53"/>
      <c r="H179" s="53"/>
      <c r="I179" s="171"/>
      <c r="J179" s="170"/>
      <c r="K179" s="53"/>
      <c r="L179" s="53"/>
      <c r="M179" s="53"/>
      <c r="N179" s="171"/>
      <c r="O179" s="170"/>
      <c r="P179" s="53"/>
      <c r="Q179" s="53"/>
      <c r="R179" s="53"/>
      <c r="S179" s="171"/>
      <c r="T179" s="170"/>
      <c r="U179" s="53"/>
      <c r="V179" s="53"/>
      <c r="W179" s="53"/>
      <c r="X179" s="171"/>
      <c r="Y179" s="170"/>
      <c r="Z179" s="170"/>
      <c r="AA179" s="170"/>
      <c r="AB179" s="170"/>
      <c r="AC179" s="170"/>
      <c r="AD179" s="53"/>
      <c r="AE179" s="53"/>
    </row>
    <row r="180">
      <c r="A180" s="53"/>
      <c r="B180" s="53"/>
      <c r="C180" s="168"/>
      <c r="D180" s="169"/>
      <c r="E180" s="170"/>
      <c r="F180" s="53"/>
      <c r="G180" s="53"/>
      <c r="H180" s="53"/>
      <c r="I180" s="171"/>
      <c r="J180" s="170"/>
      <c r="K180" s="53"/>
      <c r="L180" s="53"/>
      <c r="M180" s="53"/>
      <c r="N180" s="171"/>
      <c r="O180" s="170"/>
      <c r="P180" s="53"/>
      <c r="Q180" s="53"/>
      <c r="R180" s="53"/>
      <c r="S180" s="171"/>
      <c r="T180" s="170"/>
      <c r="U180" s="53"/>
      <c r="V180" s="53"/>
      <c r="W180" s="53"/>
      <c r="X180" s="171"/>
      <c r="Y180" s="170"/>
      <c r="Z180" s="170"/>
      <c r="AA180" s="170"/>
      <c r="AB180" s="170"/>
      <c r="AC180" s="170"/>
      <c r="AD180" s="53"/>
      <c r="AE180" s="53"/>
    </row>
    <row r="181">
      <c r="A181" s="53"/>
      <c r="B181" s="53"/>
      <c r="C181" s="168"/>
      <c r="D181" s="169"/>
      <c r="E181" s="170"/>
      <c r="F181" s="53"/>
      <c r="G181" s="53"/>
      <c r="H181" s="53"/>
      <c r="I181" s="171"/>
      <c r="J181" s="170"/>
      <c r="K181" s="53"/>
      <c r="L181" s="53"/>
      <c r="M181" s="53"/>
      <c r="N181" s="171"/>
      <c r="O181" s="170"/>
      <c r="P181" s="53"/>
      <c r="Q181" s="53"/>
      <c r="R181" s="53"/>
      <c r="S181" s="171"/>
      <c r="T181" s="170"/>
      <c r="U181" s="53"/>
      <c r="V181" s="53"/>
      <c r="W181" s="53"/>
      <c r="X181" s="171"/>
      <c r="Y181" s="170"/>
      <c r="Z181" s="170"/>
      <c r="AA181" s="170"/>
      <c r="AB181" s="170"/>
      <c r="AC181" s="170"/>
      <c r="AD181" s="53"/>
      <c r="AE181" s="53"/>
    </row>
    <row r="182">
      <c r="A182" s="53"/>
      <c r="B182" s="53"/>
      <c r="C182" s="168"/>
      <c r="D182" s="169"/>
      <c r="E182" s="170"/>
      <c r="F182" s="53"/>
      <c r="G182" s="53"/>
      <c r="H182" s="53"/>
      <c r="I182" s="171"/>
      <c r="J182" s="170"/>
      <c r="K182" s="53"/>
      <c r="L182" s="53"/>
      <c r="M182" s="53"/>
      <c r="N182" s="171"/>
      <c r="O182" s="170"/>
      <c r="P182" s="53"/>
      <c r="Q182" s="53"/>
      <c r="R182" s="53"/>
      <c r="S182" s="171"/>
      <c r="T182" s="170"/>
      <c r="U182" s="53"/>
      <c r="V182" s="53"/>
      <c r="W182" s="53"/>
      <c r="X182" s="171"/>
      <c r="Y182" s="170"/>
      <c r="Z182" s="170"/>
      <c r="AA182" s="170"/>
      <c r="AB182" s="170"/>
      <c r="AC182" s="170"/>
      <c r="AD182" s="53"/>
      <c r="AE182" s="53"/>
    </row>
    <row r="183">
      <c r="A183" s="53"/>
      <c r="B183" s="53"/>
      <c r="C183" s="168"/>
      <c r="D183" s="169"/>
      <c r="E183" s="170"/>
      <c r="F183" s="53"/>
      <c r="G183" s="53"/>
      <c r="H183" s="53"/>
      <c r="I183" s="171"/>
      <c r="J183" s="170"/>
      <c r="K183" s="53"/>
      <c r="L183" s="53"/>
      <c r="M183" s="53"/>
      <c r="N183" s="171"/>
      <c r="O183" s="170"/>
      <c r="P183" s="53"/>
      <c r="Q183" s="53"/>
      <c r="R183" s="53"/>
      <c r="S183" s="171"/>
      <c r="T183" s="170"/>
      <c r="U183" s="53"/>
      <c r="V183" s="53"/>
      <c r="W183" s="53"/>
      <c r="X183" s="171"/>
      <c r="Y183" s="170"/>
      <c r="Z183" s="170"/>
      <c r="AA183" s="170"/>
      <c r="AB183" s="170"/>
      <c r="AC183" s="170"/>
      <c r="AD183" s="53"/>
      <c r="AE183" s="53"/>
    </row>
    <row r="184">
      <c r="A184" s="53"/>
      <c r="B184" s="53"/>
      <c r="C184" s="168"/>
      <c r="D184" s="169"/>
      <c r="E184" s="170"/>
      <c r="F184" s="53"/>
      <c r="G184" s="53"/>
      <c r="H184" s="53"/>
      <c r="I184" s="171"/>
      <c r="J184" s="170"/>
      <c r="K184" s="53"/>
      <c r="L184" s="53"/>
      <c r="M184" s="53"/>
      <c r="N184" s="171"/>
      <c r="O184" s="170"/>
      <c r="P184" s="53"/>
      <c r="Q184" s="53"/>
      <c r="R184" s="53"/>
      <c r="S184" s="171"/>
      <c r="T184" s="170"/>
      <c r="U184" s="53"/>
      <c r="V184" s="53"/>
      <c r="W184" s="53"/>
      <c r="X184" s="171"/>
      <c r="Y184" s="170"/>
      <c r="Z184" s="170"/>
      <c r="AA184" s="170"/>
      <c r="AB184" s="170"/>
      <c r="AC184" s="170"/>
      <c r="AD184" s="53"/>
      <c r="AE184" s="53"/>
    </row>
    <row r="185">
      <c r="A185" s="53"/>
      <c r="B185" s="53"/>
      <c r="C185" s="168"/>
      <c r="D185" s="169"/>
      <c r="E185" s="170"/>
      <c r="F185" s="53"/>
      <c r="G185" s="53"/>
      <c r="H185" s="53"/>
      <c r="I185" s="171"/>
      <c r="J185" s="170"/>
      <c r="K185" s="53"/>
      <c r="L185" s="53"/>
      <c r="M185" s="53"/>
      <c r="N185" s="171"/>
      <c r="O185" s="170"/>
      <c r="P185" s="53"/>
      <c r="Q185" s="53"/>
      <c r="R185" s="53"/>
      <c r="S185" s="171"/>
      <c r="T185" s="170"/>
      <c r="U185" s="53"/>
      <c r="V185" s="53"/>
      <c r="W185" s="53"/>
      <c r="X185" s="171"/>
      <c r="Y185" s="170"/>
      <c r="Z185" s="170"/>
      <c r="AA185" s="170"/>
      <c r="AB185" s="170"/>
      <c r="AC185" s="170"/>
      <c r="AD185" s="53"/>
      <c r="AE185" s="53"/>
    </row>
    <row r="186">
      <c r="A186" s="53"/>
      <c r="B186" s="53"/>
      <c r="C186" s="168"/>
      <c r="D186" s="169"/>
      <c r="E186" s="170"/>
      <c r="F186" s="53"/>
      <c r="G186" s="53"/>
      <c r="H186" s="53"/>
      <c r="I186" s="171"/>
      <c r="J186" s="170"/>
      <c r="K186" s="53"/>
      <c r="L186" s="53"/>
      <c r="M186" s="53"/>
      <c r="N186" s="171"/>
      <c r="O186" s="170"/>
      <c r="P186" s="53"/>
      <c r="Q186" s="53"/>
      <c r="R186" s="53"/>
      <c r="S186" s="171"/>
      <c r="T186" s="170"/>
      <c r="U186" s="53"/>
      <c r="V186" s="53"/>
      <c r="W186" s="53"/>
      <c r="X186" s="171"/>
      <c r="Y186" s="170"/>
      <c r="Z186" s="170"/>
      <c r="AA186" s="170"/>
      <c r="AB186" s="170"/>
      <c r="AC186" s="170"/>
      <c r="AD186" s="53"/>
      <c r="AE186" s="53"/>
    </row>
    <row r="187">
      <c r="A187" s="53"/>
      <c r="B187" s="53"/>
      <c r="C187" s="168"/>
      <c r="D187" s="169"/>
      <c r="E187" s="170"/>
      <c r="F187" s="53"/>
      <c r="G187" s="53"/>
      <c r="H187" s="53"/>
      <c r="I187" s="171"/>
      <c r="J187" s="170"/>
      <c r="K187" s="53"/>
      <c r="L187" s="53"/>
      <c r="M187" s="53"/>
      <c r="N187" s="171"/>
      <c r="O187" s="170"/>
      <c r="P187" s="53"/>
      <c r="Q187" s="53"/>
      <c r="R187" s="53"/>
      <c r="S187" s="171"/>
      <c r="T187" s="170"/>
      <c r="U187" s="53"/>
      <c r="V187" s="53"/>
      <c r="W187" s="53"/>
      <c r="X187" s="171"/>
      <c r="Y187" s="170"/>
      <c r="Z187" s="170"/>
      <c r="AA187" s="170"/>
      <c r="AB187" s="170"/>
      <c r="AC187" s="170"/>
      <c r="AD187" s="53"/>
      <c r="AE187" s="53"/>
    </row>
    <row r="188">
      <c r="A188" s="53"/>
      <c r="B188" s="53"/>
      <c r="C188" s="168"/>
      <c r="D188" s="169"/>
      <c r="E188" s="170"/>
      <c r="F188" s="53"/>
      <c r="G188" s="53"/>
      <c r="H188" s="53"/>
      <c r="I188" s="171"/>
      <c r="J188" s="170"/>
      <c r="K188" s="53"/>
      <c r="L188" s="53"/>
      <c r="M188" s="53"/>
      <c r="N188" s="171"/>
      <c r="O188" s="170"/>
      <c r="P188" s="53"/>
      <c r="Q188" s="53"/>
      <c r="R188" s="53"/>
      <c r="S188" s="171"/>
      <c r="T188" s="170"/>
      <c r="U188" s="53"/>
      <c r="V188" s="53"/>
      <c r="W188" s="53"/>
      <c r="X188" s="171"/>
      <c r="Y188" s="170"/>
      <c r="Z188" s="170"/>
      <c r="AA188" s="170"/>
      <c r="AB188" s="170"/>
      <c r="AC188" s="170"/>
      <c r="AD188" s="53"/>
      <c r="AE188" s="53"/>
    </row>
    <row r="189">
      <c r="A189" s="53"/>
      <c r="B189" s="53"/>
      <c r="C189" s="168"/>
      <c r="D189" s="169"/>
      <c r="E189" s="170"/>
      <c r="F189" s="53"/>
      <c r="G189" s="53"/>
      <c r="H189" s="53"/>
      <c r="I189" s="171"/>
      <c r="J189" s="170"/>
      <c r="K189" s="53"/>
      <c r="L189" s="53"/>
      <c r="M189" s="53"/>
      <c r="N189" s="171"/>
      <c r="O189" s="170"/>
      <c r="P189" s="53"/>
      <c r="Q189" s="53"/>
      <c r="R189" s="53"/>
      <c r="S189" s="171"/>
      <c r="T189" s="170"/>
      <c r="U189" s="53"/>
      <c r="V189" s="53"/>
      <c r="W189" s="53"/>
      <c r="X189" s="171"/>
      <c r="Y189" s="170"/>
      <c r="Z189" s="170"/>
      <c r="AA189" s="170"/>
      <c r="AB189" s="170"/>
      <c r="AC189" s="170"/>
      <c r="AD189" s="53"/>
      <c r="AE189" s="53"/>
    </row>
    <row r="190">
      <c r="A190" s="53"/>
      <c r="B190" s="53"/>
      <c r="C190" s="168"/>
      <c r="D190" s="169"/>
      <c r="E190" s="170"/>
      <c r="F190" s="53"/>
      <c r="G190" s="53"/>
      <c r="H190" s="53"/>
      <c r="I190" s="171"/>
      <c r="J190" s="170"/>
      <c r="K190" s="53"/>
      <c r="L190" s="53"/>
      <c r="M190" s="53"/>
      <c r="N190" s="171"/>
      <c r="O190" s="170"/>
      <c r="P190" s="53"/>
      <c r="Q190" s="53"/>
      <c r="R190" s="53"/>
      <c r="S190" s="171"/>
      <c r="T190" s="170"/>
      <c r="U190" s="53"/>
      <c r="V190" s="53"/>
      <c r="W190" s="53"/>
      <c r="X190" s="171"/>
      <c r="Y190" s="170"/>
      <c r="Z190" s="170"/>
      <c r="AA190" s="170"/>
      <c r="AB190" s="170"/>
      <c r="AC190" s="170"/>
      <c r="AD190" s="53"/>
      <c r="AE190" s="53"/>
    </row>
    <row r="191">
      <c r="A191" s="53"/>
      <c r="B191" s="53"/>
      <c r="C191" s="168"/>
      <c r="D191" s="169"/>
      <c r="E191" s="170"/>
      <c r="F191" s="53"/>
      <c r="G191" s="53"/>
      <c r="H191" s="53"/>
      <c r="I191" s="171"/>
      <c r="J191" s="170"/>
      <c r="K191" s="53"/>
      <c r="L191" s="53"/>
      <c r="M191" s="53"/>
      <c r="N191" s="171"/>
      <c r="O191" s="170"/>
      <c r="P191" s="53"/>
      <c r="Q191" s="53"/>
      <c r="R191" s="53"/>
      <c r="S191" s="171"/>
      <c r="T191" s="170"/>
      <c r="U191" s="53"/>
      <c r="V191" s="53"/>
      <c r="W191" s="53"/>
      <c r="X191" s="171"/>
      <c r="Y191" s="170"/>
      <c r="Z191" s="170"/>
      <c r="AA191" s="170"/>
      <c r="AB191" s="170"/>
      <c r="AC191" s="170"/>
      <c r="AD191" s="53"/>
      <c r="AE191" s="53"/>
    </row>
    <row r="192">
      <c r="A192" s="53"/>
      <c r="B192" s="53"/>
      <c r="C192" s="168"/>
      <c r="D192" s="169"/>
      <c r="E192" s="170"/>
      <c r="F192" s="53"/>
      <c r="G192" s="53"/>
      <c r="H192" s="53"/>
      <c r="I192" s="171"/>
      <c r="J192" s="170"/>
      <c r="K192" s="53"/>
      <c r="L192" s="53"/>
      <c r="M192" s="53"/>
      <c r="N192" s="171"/>
      <c r="O192" s="170"/>
      <c r="P192" s="53"/>
      <c r="Q192" s="53"/>
      <c r="R192" s="53"/>
      <c r="S192" s="171"/>
      <c r="T192" s="170"/>
      <c r="U192" s="53"/>
      <c r="V192" s="53"/>
      <c r="W192" s="53"/>
      <c r="X192" s="171"/>
      <c r="Y192" s="170"/>
      <c r="Z192" s="170"/>
      <c r="AA192" s="170"/>
      <c r="AB192" s="170"/>
      <c r="AC192" s="170"/>
      <c r="AD192" s="53"/>
      <c r="AE192" s="53"/>
    </row>
    <row r="193">
      <c r="A193" s="53"/>
      <c r="B193" s="53"/>
      <c r="C193" s="168"/>
      <c r="D193" s="169"/>
      <c r="E193" s="170"/>
      <c r="F193" s="53"/>
      <c r="G193" s="53"/>
      <c r="H193" s="53"/>
      <c r="I193" s="171"/>
      <c r="J193" s="170"/>
      <c r="K193" s="53"/>
      <c r="L193" s="53"/>
      <c r="M193" s="53"/>
      <c r="N193" s="171"/>
      <c r="O193" s="170"/>
      <c r="P193" s="53"/>
      <c r="Q193" s="53"/>
      <c r="R193" s="53"/>
      <c r="S193" s="171"/>
      <c r="T193" s="170"/>
      <c r="U193" s="53"/>
      <c r="V193" s="53"/>
      <c r="W193" s="53"/>
      <c r="X193" s="171"/>
      <c r="Y193" s="170"/>
      <c r="Z193" s="170"/>
      <c r="AA193" s="170"/>
      <c r="AB193" s="170"/>
      <c r="AC193" s="170"/>
      <c r="AD193" s="53"/>
      <c r="AE193" s="53"/>
    </row>
    <row r="194">
      <c r="A194" s="53"/>
      <c r="B194" s="53"/>
      <c r="C194" s="168"/>
      <c r="D194" s="169"/>
      <c r="E194" s="170"/>
      <c r="F194" s="53"/>
      <c r="G194" s="53"/>
      <c r="H194" s="53"/>
      <c r="I194" s="171"/>
      <c r="J194" s="170"/>
      <c r="K194" s="53"/>
      <c r="L194" s="53"/>
      <c r="M194" s="53"/>
      <c r="N194" s="171"/>
      <c r="O194" s="170"/>
      <c r="P194" s="53"/>
      <c r="Q194" s="53"/>
      <c r="R194" s="53"/>
      <c r="S194" s="171"/>
      <c r="T194" s="170"/>
      <c r="U194" s="53"/>
      <c r="V194" s="53"/>
      <c r="W194" s="53"/>
      <c r="X194" s="171"/>
      <c r="Y194" s="170"/>
      <c r="Z194" s="170"/>
      <c r="AA194" s="170"/>
      <c r="AB194" s="170"/>
      <c r="AC194" s="170"/>
      <c r="AD194" s="53"/>
      <c r="AE194" s="53"/>
    </row>
    <row r="195">
      <c r="A195" s="53"/>
      <c r="B195" s="53"/>
      <c r="C195" s="168"/>
      <c r="D195" s="169"/>
      <c r="E195" s="170"/>
      <c r="F195" s="53"/>
      <c r="G195" s="53"/>
      <c r="H195" s="53"/>
      <c r="I195" s="171"/>
      <c r="J195" s="170"/>
      <c r="K195" s="53"/>
      <c r="L195" s="53"/>
      <c r="M195" s="53"/>
      <c r="N195" s="171"/>
      <c r="O195" s="170"/>
      <c r="P195" s="53"/>
      <c r="Q195" s="53"/>
      <c r="R195" s="53"/>
      <c r="S195" s="171"/>
      <c r="T195" s="170"/>
      <c r="U195" s="53"/>
      <c r="V195" s="53"/>
      <c r="W195" s="53"/>
      <c r="X195" s="171"/>
      <c r="Y195" s="170"/>
      <c r="Z195" s="170"/>
      <c r="AA195" s="170"/>
      <c r="AB195" s="170"/>
      <c r="AC195" s="170"/>
      <c r="AD195" s="53"/>
      <c r="AE195" s="53"/>
    </row>
    <row r="196">
      <c r="A196" s="53"/>
      <c r="B196" s="53"/>
      <c r="C196" s="168"/>
      <c r="D196" s="169"/>
      <c r="E196" s="170"/>
      <c r="F196" s="53"/>
      <c r="G196" s="53"/>
      <c r="H196" s="53"/>
      <c r="I196" s="171"/>
      <c r="J196" s="170"/>
      <c r="K196" s="53"/>
      <c r="L196" s="53"/>
      <c r="M196" s="53"/>
      <c r="N196" s="171"/>
      <c r="O196" s="170"/>
      <c r="P196" s="53"/>
      <c r="Q196" s="53"/>
      <c r="R196" s="53"/>
      <c r="S196" s="171"/>
      <c r="T196" s="170"/>
      <c r="U196" s="53"/>
      <c r="V196" s="53"/>
      <c r="W196" s="53"/>
      <c r="X196" s="171"/>
      <c r="Y196" s="170"/>
      <c r="Z196" s="170"/>
      <c r="AA196" s="170"/>
      <c r="AB196" s="170"/>
      <c r="AC196" s="170"/>
      <c r="AD196" s="53"/>
      <c r="AE196" s="53"/>
    </row>
    <row r="197">
      <c r="A197" s="53"/>
      <c r="B197" s="53"/>
      <c r="C197" s="168"/>
      <c r="D197" s="169"/>
      <c r="E197" s="170"/>
      <c r="F197" s="53"/>
      <c r="G197" s="53"/>
      <c r="H197" s="53"/>
      <c r="I197" s="171"/>
      <c r="J197" s="170"/>
      <c r="K197" s="53"/>
      <c r="L197" s="53"/>
      <c r="M197" s="53"/>
      <c r="N197" s="171"/>
      <c r="O197" s="170"/>
      <c r="P197" s="53"/>
      <c r="Q197" s="53"/>
      <c r="R197" s="53"/>
      <c r="S197" s="171"/>
      <c r="T197" s="170"/>
      <c r="U197" s="53"/>
      <c r="V197" s="53"/>
      <c r="W197" s="53"/>
      <c r="X197" s="171"/>
      <c r="Y197" s="170"/>
      <c r="Z197" s="170"/>
      <c r="AA197" s="170"/>
      <c r="AB197" s="170"/>
      <c r="AC197" s="170"/>
      <c r="AD197" s="53"/>
      <c r="AE197" s="53"/>
    </row>
    <row r="198">
      <c r="A198" s="53"/>
      <c r="B198" s="53"/>
      <c r="C198" s="168"/>
      <c r="D198" s="169"/>
      <c r="E198" s="170"/>
      <c r="F198" s="53"/>
      <c r="G198" s="53"/>
      <c r="H198" s="53"/>
      <c r="I198" s="171"/>
      <c r="J198" s="170"/>
      <c r="K198" s="53"/>
      <c r="L198" s="53"/>
      <c r="M198" s="53"/>
      <c r="N198" s="171"/>
      <c r="O198" s="170"/>
      <c r="P198" s="53"/>
      <c r="Q198" s="53"/>
      <c r="R198" s="53"/>
      <c r="S198" s="171"/>
      <c r="T198" s="170"/>
      <c r="U198" s="53"/>
      <c r="V198" s="53"/>
      <c r="W198" s="53"/>
      <c r="X198" s="171"/>
      <c r="Y198" s="170"/>
      <c r="Z198" s="170"/>
      <c r="AA198" s="170"/>
      <c r="AB198" s="170"/>
      <c r="AC198" s="170"/>
      <c r="AD198" s="53"/>
      <c r="AE198" s="53"/>
    </row>
    <row r="199">
      <c r="A199" s="53"/>
      <c r="B199" s="53"/>
      <c r="C199" s="168"/>
      <c r="D199" s="169"/>
      <c r="E199" s="170"/>
      <c r="F199" s="53"/>
      <c r="G199" s="53"/>
      <c r="H199" s="53"/>
      <c r="I199" s="171"/>
      <c r="J199" s="170"/>
      <c r="K199" s="53"/>
      <c r="L199" s="53"/>
      <c r="M199" s="53"/>
      <c r="N199" s="171"/>
      <c r="O199" s="170"/>
      <c r="P199" s="53"/>
      <c r="Q199" s="53"/>
      <c r="R199" s="53"/>
      <c r="S199" s="171"/>
      <c r="T199" s="170"/>
      <c r="U199" s="53"/>
      <c r="V199" s="53"/>
      <c r="W199" s="53"/>
      <c r="X199" s="171"/>
      <c r="Y199" s="170"/>
      <c r="Z199" s="170"/>
      <c r="AA199" s="170"/>
      <c r="AB199" s="170"/>
      <c r="AC199" s="170"/>
      <c r="AD199" s="53"/>
      <c r="AE199" s="53"/>
    </row>
    <row r="200">
      <c r="A200" s="53"/>
      <c r="B200" s="53"/>
      <c r="C200" s="168"/>
      <c r="D200" s="169"/>
      <c r="E200" s="170"/>
      <c r="F200" s="53"/>
      <c r="G200" s="53"/>
      <c r="H200" s="53"/>
      <c r="I200" s="171"/>
      <c r="J200" s="170"/>
      <c r="K200" s="53"/>
      <c r="L200" s="53"/>
      <c r="M200" s="53"/>
      <c r="N200" s="171"/>
      <c r="O200" s="170"/>
      <c r="P200" s="53"/>
      <c r="Q200" s="53"/>
      <c r="R200" s="53"/>
      <c r="S200" s="171"/>
      <c r="T200" s="170"/>
      <c r="U200" s="53"/>
      <c r="V200" s="53"/>
      <c r="W200" s="53"/>
      <c r="X200" s="171"/>
      <c r="Y200" s="170"/>
      <c r="Z200" s="170"/>
      <c r="AA200" s="170"/>
      <c r="AB200" s="170"/>
      <c r="AC200" s="170"/>
      <c r="AD200" s="53"/>
      <c r="AE200" s="53"/>
    </row>
    <row r="201">
      <c r="A201" s="53"/>
      <c r="B201" s="53"/>
      <c r="C201" s="168"/>
      <c r="D201" s="169"/>
      <c r="E201" s="170"/>
      <c r="F201" s="53"/>
      <c r="G201" s="53"/>
      <c r="H201" s="53"/>
      <c r="I201" s="171"/>
      <c r="J201" s="170"/>
      <c r="K201" s="53"/>
      <c r="L201" s="53"/>
      <c r="M201" s="53"/>
      <c r="N201" s="171"/>
      <c r="O201" s="170"/>
      <c r="P201" s="53"/>
      <c r="Q201" s="53"/>
      <c r="R201" s="53"/>
      <c r="S201" s="171"/>
      <c r="T201" s="170"/>
      <c r="U201" s="53"/>
      <c r="V201" s="53"/>
      <c r="W201" s="53"/>
      <c r="X201" s="171"/>
      <c r="Y201" s="170"/>
      <c r="Z201" s="170"/>
      <c r="AA201" s="170"/>
      <c r="AB201" s="170"/>
      <c r="AC201" s="170"/>
      <c r="AD201" s="53"/>
      <c r="AE201" s="53"/>
    </row>
    <row r="202">
      <c r="A202" s="53"/>
      <c r="B202" s="53"/>
      <c r="C202" s="168"/>
      <c r="D202" s="169"/>
      <c r="E202" s="170"/>
      <c r="F202" s="53"/>
      <c r="G202" s="53"/>
      <c r="H202" s="53"/>
      <c r="I202" s="171"/>
      <c r="J202" s="170"/>
      <c r="K202" s="53"/>
      <c r="L202" s="53"/>
      <c r="M202" s="53"/>
      <c r="N202" s="171"/>
      <c r="O202" s="170"/>
      <c r="P202" s="53"/>
      <c r="Q202" s="53"/>
      <c r="R202" s="53"/>
      <c r="S202" s="171"/>
      <c r="T202" s="170"/>
      <c r="U202" s="53"/>
      <c r="V202" s="53"/>
      <c r="W202" s="53"/>
      <c r="X202" s="171"/>
      <c r="Y202" s="170"/>
      <c r="Z202" s="170"/>
      <c r="AA202" s="170"/>
      <c r="AB202" s="170"/>
      <c r="AC202" s="170"/>
      <c r="AD202" s="53"/>
      <c r="AE202" s="53"/>
    </row>
    <row r="203">
      <c r="A203" s="53"/>
      <c r="B203" s="53"/>
      <c r="C203" s="168"/>
      <c r="D203" s="169"/>
      <c r="E203" s="170"/>
      <c r="F203" s="53"/>
      <c r="G203" s="53"/>
      <c r="H203" s="53"/>
      <c r="I203" s="171"/>
      <c r="J203" s="170"/>
      <c r="K203" s="53"/>
      <c r="L203" s="53"/>
      <c r="M203" s="53"/>
      <c r="N203" s="171"/>
      <c r="O203" s="170"/>
      <c r="P203" s="53"/>
      <c r="Q203" s="53"/>
      <c r="R203" s="53"/>
      <c r="S203" s="171"/>
      <c r="T203" s="170"/>
      <c r="U203" s="53"/>
      <c r="V203" s="53"/>
      <c r="W203" s="53"/>
      <c r="X203" s="171"/>
      <c r="Y203" s="170"/>
      <c r="Z203" s="170"/>
      <c r="AA203" s="170"/>
      <c r="AB203" s="170"/>
      <c r="AC203" s="170"/>
      <c r="AD203" s="53"/>
      <c r="AE203" s="53"/>
    </row>
    <row r="204">
      <c r="A204" s="53"/>
      <c r="B204" s="53"/>
      <c r="C204" s="168"/>
      <c r="D204" s="169"/>
      <c r="E204" s="170"/>
      <c r="F204" s="53"/>
      <c r="G204" s="53"/>
      <c r="H204" s="53"/>
      <c r="I204" s="171"/>
      <c r="J204" s="170"/>
      <c r="K204" s="53"/>
      <c r="L204" s="53"/>
      <c r="M204" s="53"/>
      <c r="N204" s="171"/>
      <c r="O204" s="170"/>
      <c r="P204" s="53"/>
      <c r="Q204" s="53"/>
      <c r="R204" s="53"/>
      <c r="S204" s="171"/>
      <c r="T204" s="170"/>
      <c r="U204" s="53"/>
      <c r="V204" s="53"/>
      <c r="W204" s="53"/>
      <c r="X204" s="171"/>
      <c r="Y204" s="170"/>
      <c r="Z204" s="170"/>
      <c r="AA204" s="170"/>
      <c r="AB204" s="170"/>
      <c r="AC204" s="170"/>
      <c r="AD204" s="53"/>
      <c r="AE204" s="53"/>
    </row>
    <row r="205">
      <c r="A205" s="53"/>
      <c r="B205" s="53"/>
      <c r="C205" s="168"/>
      <c r="D205" s="169"/>
      <c r="E205" s="170"/>
      <c r="F205" s="53"/>
      <c r="G205" s="53"/>
      <c r="H205" s="53"/>
      <c r="I205" s="171"/>
      <c r="J205" s="170"/>
      <c r="K205" s="53"/>
      <c r="L205" s="53"/>
      <c r="M205" s="53"/>
      <c r="N205" s="171"/>
      <c r="O205" s="170"/>
      <c r="P205" s="53"/>
      <c r="Q205" s="53"/>
      <c r="R205" s="53"/>
      <c r="S205" s="171"/>
      <c r="T205" s="170"/>
      <c r="U205" s="53"/>
      <c r="V205" s="53"/>
      <c r="W205" s="53"/>
      <c r="X205" s="171"/>
      <c r="Y205" s="170"/>
      <c r="Z205" s="170"/>
      <c r="AA205" s="170"/>
      <c r="AB205" s="170"/>
      <c r="AC205" s="170"/>
      <c r="AD205" s="53"/>
      <c r="AE205" s="53"/>
    </row>
    <row r="206">
      <c r="A206" s="53"/>
      <c r="B206" s="53"/>
      <c r="C206" s="168"/>
      <c r="D206" s="169"/>
      <c r="E206" s="170"/>
      <c r="F206" s="53"/>
      <c r="G206" s="53"/>
      <c r="H206" s="53"/>
      <c r="I206" s="171"/>
      <c r="J206" s="170"/>
      <c r="K206" s="53"/>
      <c r="L206" s="53"/>
      <c r="M206" s="53"/>
      <c r="N206" s="171"/>
      <c r="O206" s="170"/>
      <c r="P206" s="53"/>
      <c r="Q206" s="53"/>
      <c r="R206" s="53"/>
      <c r="S206" s="171"/>
      <c r="T206" s="170"/>
      <c r="U206" s="53"/>
      <c r="V206" s="53"/>
      <c r="W206" s="53"/>
      <c r="X206" s="171"/>
      <c r="Y206" s="170"/>
      <c r="Z206" s="170"/>
      <c r="AA206" s="170"/>
      <c r="AB206" s="170"/>
      <c r="AC206" s="170"/>
      <c r="AD206" s="53"/>
      <c r="AE206" s="53"/>
    </row>
    <row r="207">
      <c r="A207" s="53"/>
      <c r="B207" s="53"/>
      <c r="C207" s="168"/>
      <c r="D207" s="169"/>
      <c r="E207" s="170"/>
      <c r="F207" s="53"/>
      <c r="G207" s="53"/>
      <c r="H207" s="53"/>
      <c r="I207" s="171"/>
      <c r="J207" s="170"/>
      <c r="K207" s="53"/>
      <c r="L207" s="53"/>
      <c r="M207" s="53"/>
      <c r="N207" s="171"/>
      <c r="O207" s="170"/>
      <c r="P207" s="53"/>
      <c r="Q207" s="53"/>
      <c r="R207" s="53"/>
      <c r="S207" s="171"/>
      <c r="T207" s="170"/>
      <c r="U207" s="53"/>
      <c r="V207" s="53"/>
      <c r="W207" s="53"/>
      <c r="X207" s="171"/>
      <c r="Y207" s="170"/>
      <c r="Z207" s="170"/>
      <c r="AA207" s="170"/>
      <c r="AB207" s="170"/>
      <c r="AC207" s="170"/>
      <c r="AD207" s="53"/>
      <c r="AE207" s="53"/>
    </row>
    <row r="208">
      <c r="A208" s="53"/>
      <c r="B208" s="53"/>
      <c r="C208" s="168"/>
      <c r="D208" s="169"/>
      <c r="E208" s="170"/>
      <c r="F208" s="53"/>
      <c r="G208" s="53"/>
      <c r="H208" s="53"/>
      <c r="I208" s="171"/>
      <c r="J208" s="170"/>
      <c r="K208" s="53"/>
      <c r="L208" s="53"/>
      <c r="M208" s="53"/>
      <c r="N208" s="171"/>
      <c r="O208" s="170"/>
      <c r="P208" s="53"/>
      <c r="Q208" s="53"/>
      <c r="R208" s="53"/>
      <c r="S208" s="171"/>
      <c r="T208" s="170"/>
      <c r="U208" s="53"/>
      <c r="V208" s="53"/>
      <c r="W208" s="53"/>
      <c r="X208" s="171"/>
      <c r="Y208" s="170"/>
      <c r="Z208" s="170"/>
      <c r="AA208" s="170"/>
      <c r="AB208" s="170"/>
      <c r="AC208" s="170"/>
      <c r="AD208" s="53"/>
      <c r="AE208" s="53"/>
    </row>
    <row r="209">
      <c r="A209" s="53"/>
      <c r="B209" s="53"/>
      <c r="C209" s="168"/>
      <c r="D209" s="169"/>
      <c r="E209" s="170"/>
      <c r="F209" s="53"/>
      <c r="G209" s="53"/>
      <c r="H209" s="53"/>
      <c r="I209" s="171"/>
      <c r="J209" s="170"/>
      <c r="K209" s="53"/>
      <c r="L209" s="53"/>
      <c r="M209" s="53"/>
      <c r="N209" s="171"/>
      <c r="O209" s="170"/>
      <c r="P209" s="53"/>
      <c r="Q209" s="53"/>
      <c r="R209" s="53"/>
      <c r="S209" s="171"/>
      <c r="T209" s="170"/>
      <c r="U209" s="53"/>
      <c r="V209" s="53"/>
      <c r="W209" s="53"/>
      <c r="X209" s="171"/>
      <c r="Y209" s="170"/>
      <c r="Z209" s="170"/>
      <c r="AA209" s="170"/>
      <c r="AB209" s="170"/>
      <c r="AC209" s="170"/>
      <c r="AD209" s="53"/>
      <c r="AE209" s="53"/>
    </row>
    <row r="210">
      <c r="A210" s="53"/>
      <c r="B210" s="53"/>
      <c r="C210" s="168"/>
      <c r="D210" s="169"/>
      <c r="E210" s="170"/>
      <c r="F210" s="53"/>
      <c r="G210" s="53"/>
      <c r="H210" s="53"/>
      <c r="I210" s="171"/>
      <c r="J210" s="170"/>
      <c r="K210" s="53"/>
      <c r="L210" s="53"/>
      <c r="M210" s="53"/>
      <c r="N210" s="171"/>
      <c r="O210" s="170"/>
      <c r="P210" s="53"/>
      <c r="Q210" s="53"/>
      <c r="R210" s="53"/>
      <c r="S210" s="171"/>
      <c r="T210" s="170"/>
      <c r="U210" s="53"/>
      <c r="V210" s="53"/>
      <c r="W210" s="53"/>
      <c r="X210" s="171"/>
      <c r="Y210" s="170"/>
      <c r="Z210" s="170"/>
      <c r="AA210" s="170"/>
      <c r="AB210" s="170"/>
      <c r="AC210" s="170"/>
      <c r="AD210" s="53"/>
      <c r="AE210" s="53"/>
    </row>
    <row r="211">
      <c r="A211" s="53"/>
      <c r="B211" s="53"/>
      <c r="C211" s="168"/>
      <c r="D211" s="169"/>
      <c r="E211" s="170"/>
      <c r="F211" s="53"/>
      <c r="G211" s="53"/>
      <c r="H211" s="53"/>
      <c r="I211" s="171"/>
      <c r="J211" s="170"/>
      <c r="K211" s="53"/>
      <c r="L211" s="53"/>
      <c r="M211" s="53"/>
      <c r="N211" s="171"/>
      <c r="O211" s="170"/>
      <c r="P211" s="53"/>
      <c r="Q211" s="53"/>
      <c r="R211" s="53"/>
      <c r="S211" s="171"/>
      <c r="T211" s="170"/>
      <c r="U211" s="53"/>
      <c r="V211" s="53"/>
      <c r="W211" s="53"/>
      <c r="X211" s="171"/>
      <c r="Y211" s="170"/>
      <c r="Z211" s="170"/>
      <c r="AA211" s="170"/>
      <c r="AB211" s="170"/>
      <c r="AC211" s="170"/>
      <c r="AD211" s="53"/>
      <c r="AE211" s="53"/>
    </row>
    <row r="212">
      <c r="A212" s="53"/>
      <c r="B212" s="53"/>
      <c r="C212" s="168"/>
      <c r="D212" s="169"/>
      <c r="E212" s="170"/>
      <c r="F212" s="53"/>
      <c r="G212" s="53"/>
      <c r="H212" s="53"/>
      <c r="I212" s="171"/>
      <c r="J212" s="170"/>
      <c r="K212" s="53"/>
      <c r="L212" s="53"/>
      <c r="M212" s="53"/>
      <c r="N212" s="171"/>
      <c r="O212" s="170"/>
      <c r="P212" s="53"/>
      <c r="Q212" s="53"/>
      <c r="R212" s="53"/>
      <c r="S212" s="171"/>
      <c r="T212" s="170"/>
      <c r="U212" s="53"/>
      <c r="V212" s="53"/>
      <c r="W212" s="53"/>
      <c r="X212" s="171"/>
      <c r="Y212" s="170"/>
      <c r="Z212" s="170"/>
      <c r="AA212" s="170"/>
      <c r="AB212" s="170"/>
      <c r="AC212" s="170"/>
      <c r="AD212" s="53"/>
      <c r="AE212" s="53"/>
    </row>
    <row r="213">
      <c r="A213" s="53"/>
      <c r="B213" s="53"/>
      <c r="C213" s="168"/>
      <c r="D213" s="169"/>
      <c r="E213" s="170"/>
      <c r="F213" s="53"/>
      <c r="G213" s="53"/>
      <c r="H213" s="53"/>
      <c r="I213" s="171"/>
      <c r="J213" s="170"/>
      <c r="K213" s="53"/>
      <c r="L213" s="53"/>
      <c r="M213" s="53"/>
      <c r="N213" s="171"/>
      <c r="O213" s="170"/>
      <c r="P213" s="53"/>
      <c r="Q213" s="53"/>
      <c r="R213" s="53"/>
      <c r="S213" s="171"/>
      <c r="T213" s="170"/>
      <c r="U213" s="53"/>
      <c r="V213" s="53"/>
      <c r="W213" s="53"/>
      <c r="X213" s="171"/>
      <c r="Y213" s="170"/>
      <c r="Z213" s="170"/>
      <c r="AA213" s="170"/>
      <c r="AB213" s="170"/>
      <c r="AC213" s="170"/>
      <c r="AD213" s="53"/>
      <c r="AE213" s="53"/>
    </row>
    <row r="214">
      <c r="A214" s="53"/>
      <c r="B214" s="53"/>
      <c r="C214" s="168"/>
      <c r="D214" s="169"/>
      <c r="E214" s="170"/>
      <c r="F214" s="53"/>
      <c r="G214" s="53"/>
      <c r="H214" s="53"/>
      <c r="I214" s="171"/>
      <c r="J214" s="170"/>
      <c r="K214" s="53"/>
      <c r="L214" s="53"/>
      <c r="M214" s="53"/>
      <c r="N214" s="171"/>
      <c r="O214" s="170"/>
      <c r="P214" s="53"/>
      <c r="Q214" s="53"/>
      <c r="R214" s="53"/>
      <c r="S214" s="171"/>
      <c r="T214" s="170"/>
      <c r="U214" s="53"/>
      <c r="V214" s="53"/>
      <c r="W214" s="53"/>
      <c r="X214" s="171"/>
      <c r="Y214" s="170"/>
      <c r="Z214" s="170"/>
      <c r="AA214" s="170"/>
      <c r="AB214" s="170"/>
      <c r="AC214" s="170"/>
      <c r="AD214" s="53"/>
      <c r="AE214" s="53"/>
    </row>
    <row r="215">
      <c r="A215" s="53"/>
      <c r="B215" s="53"/>
      <c r="C215" s="168"/>
      <c r="D215" s="169"/>
      <c r="E215" s="170"/>
      <c r="F215" s="53"/>
      <c r="G215" s="53"/>
      <c r="H215" s="53"/>
      <c r="I215" s="171"/>
      <c r="J215" s="170"/>
      <c r="K215" s="53"/>
      <c r="L215" s="53"/>
      <c r="M215" s="53"/>
      <c r="N215" s="171"/>
      <c r="O215" s="170"/>
      <c r="P215" s="53"/>
      <c r="Q215" s="53"/>
      <c r="R215" s="53"/>
      <c r="S215" s="171"/>
      <c r="T215" s="170"/>
      <c r="U215" s="53"/>
      <c r="V215" s="53"/>
      <c r="W215" s="53"/>
      <c r="X215" s="171"/>
      <c r="Y215" s="170"/>
      <c r="Z215" s="170"/>
      <c r="AA215" s="170"/>
      <c r="AB215" s="170"/>
      <c r="AC215" s="170"/>
      <c r="AD215" s="53"/>
      <c r="AE215" s="53"/>
    </row>
    <row r="216">
      <c r="A216" s="53"/>
      <c r="B216" s="53"/>
      <c r="C216" s="168"/>
      <c r="D216" s="169"/>
      <c r="E216" s="170"/>
      <c r="F216" s="53"/>
      <c r="G216" s="53"/>
      <c r="H216" s="53"/>
      <c r="I216" s="171"/>
      <c r="J216" s="170"/>
      <c r="K216" s="53"/>
      <c r="L216" s="53"/>
      <c r="M216" s="53"/>
      <c r="N216" s="171"/>
      <c r="O216" s="170"/>
      <c r="P216" s="53"/>
      <c r="Q216" s="53"/>
      <c r="R216" s="53"/>
      <c r="S216" s="171"/>
      <c r="T216" s="170"/>
      <c r="U216" s="53"/>
      <c r="V216" s="53"/>
      <c r="W216" s="53"/>
      <c r="X216" s="171"/>
      <c r="Y216" s="170"/>
      <c r="Z216" s="170"/>
      <c r="AA216" s="170"/>
      <c r="AB216" s="170"/>
      <c r="AC216" s="170"/>
      <c r="AD216" s="53"/>
      <c r="AE216" s="53"/>
    </row>
    <row r="217">
      <c r="A217" s="53"/>
      <c r="B217" s="53"/>
      <c r="C217" s="168"/>
      <c r="D217" s="169"/>
      <c r="E217" s="170"/>
      <c r="F217" s="53"/>
      <c r="G217" s="53"/>
      <c r="H217" s="53"/>
      <c r="I217" s="171"/>
      <c r="J217" s="170"/>
      <c r="K217" s="53"/>
      <c r="L217" s="53"/>
      <c r="M217" s="53"/>
      <c r="N217" s="171"/>
      <c r="O217" s="170"/>
      <c r="P217" s="53"/>
      <c r="Q217" s="53"/>
      <c r="R217" s="53"/>
      <c r="S217" s="171"/>
      <c r="T217" s="170"/>
      <c r="U217" s="53"/>
      <c r="V217" s="53"/>
      <c r="W217" s="53"/>
      <c r="X217" s="171"/>
      <c r="Y217" s="170"/>
      <c r="Z217" s="170"/>
      <c r="AA217" s="170"/>
      <c r="AB217" s="170"/>
      <c r="AC217" s="170"/>
      <c r="AD217" s="53"/>
      <c r="AE217" s="53"/>
    </row>
    <row r="218">
      <c r="A218" s="53"/>
      <c r="B218" s="53"/>
      <c r="C218" s="168"/>
      <c r="D218" s="169"/>
      <c r="E218" s="170"/>
      <c r="F218" s="53"/>
      <c r="G218" s="53"/>
      <c r="H218" s="53"/>
      <c r="I218" s="171"/>
      <c r="J218" s="170"/>
      <c r="K218" s="53"/>
      <c r="L218" s="53"/>
      <c r="M218" s="53"/>
      <c r="N218" s="171"/>
      <c r="O218" s="170"/>
      <c r="P218" s="53"/>
      <c r="Q218" s="53"/>
      <c r="R218" s="53"/>
      <c r="S218" s="171"/>
      <c r="T218" s="170"/>
      <c r="U218" s="53"/>
      <c r="V218" s="53"/>
      <c r="W218" s="53"/>
      <c r="X218" s="171"/>
      <c r="Y218" s="170"/>
      <c r="Z218" s="170"/>
      <c r="AA218" s="170"/>
      <c r="AB218" s="170"/>
      <c r="AC218" s="170"/>
      <c r="AD218" s="53"/>
      <c r="AE218" s="53"/>
    </row>
    <row r="219">
      <c r="A219" s="53"/>
      <c r="B219" s="53"/>
      <c r="C219" s="168"/>
      <c r="D219" s="169"/>
      <c r="E219" s="170"/>
      <c r="F219" s="53"/>
      <c r="G219" s="53"/>
      <c r="H219" s="53"/>
      <c r="I219" s="171"/>
      <c r="J219" s="170"/>
      <c r="K219" s="53"/>
      <c r="L219" s="53"/>
      <c r="M219" s="53"/>
      <c r="N219" s="171"/>
      <c r="O219" s="170"/>
      <c r="P219" s="53"/>
      <c r="Q219" s="53"/>
      <c r="R219" s="53"/>
      <c r="S219" s="171"/>
      <c r="T219" s="170"/>
      <c r="U219" s="53"/>
      <c r="V219" s="53"/>
      <c r="W219" s="53"/>
      <c r="X219" s="171"/>
      <c r="Y219" s="170"/>
      <c r="Z219" s="170"/>
      <c r="AA219" s="170"/>
      <c r="AB219" s="170"/>
      <c r="AC219" s="170"/>
      <c r="AD219" s="53"/>
      <c r="AE219" s="53"/>
    </row>
    <row r="220">
      <c r="A220" s="53"/>
      <c r="B220" s="53"/>
      <c r="C220" s="168"/>
      <c r="D220" s="169"/>
      <c r="E220" s="170"/>
      <c r="F220" s="53"/>
      <c r="G220" s="53"/>
      <c r="H220" s="53"/>
      <c r="I220" s="171"/>
      <c r="J220" s="170"/>
      <c r="K220" s="53"/>
      <c r="L220" s="53"/>
      <c r="M220" s="53"/>
      <c r="N220" s="171"/>
      <c r="O220" s="170"/>
      <c r="P220" s="53"/>
      <c r="Q220" s="53"/>
      <c r="R220" s="53"/>
      <c r="S220" s="171"/>
      <c r="T220" s="170"/>
      <c r="U220" s="53"/>
      <c r="V220" s="53"/>
      <c r="W220" s="53"/>
      <c r="X220" s="171"/>
      <c r="Y220" s="170"/>
      <c r="Z220" s="170"/>
      <c r="AA220" s="170"/>
      <c r="AB220" s="170"/>
      <c r="AC220" s="170"/>
      <c r="AD220" s="53"/>
      <c r="AE220" s="53"/>
    </row>
    <row r="221">
      <c r="A221" s="53"/>
      <c r="B221" s="53"/>
      <c r="C221" s="168"/>
      <c r="D221" s="169"/>
      <c r="E221" s="170"/>
      <c r="F221" s="53"/>
      <c r="G221" s="53"/>
      <c r="H221" s="53"/>
      <c r="I221" s="171"/>
      <c r="J221" s="170"/>
      <c r="K221" s="53"/>
      <c r="L221" s="53"/>
      <c r="M221" s="53"/>
      <c r="N221" s="171"/>
      <c r="O221" s="170"/>
      <c r="P221" s="53"/>
      <c r="Q221" s="53"/>
      <c r="R221" s="53"/>
      <c r="S221" s="171"/>
      <c r="T221" s="170"/>
      <c r="U221" s="53"/>
      <c r="V221" s="53"/>
      <c r="W221" s="53"/>
      <c r="X221" s="171"/>
      <c r="Y221" s="170"/>
      <c r="Z221" s="170"/>
      <c r="AA221" s="170"/>
      <c r="AB221" s="170"/>
      <c r="AC221" s="170"/>
      <c r="AD221" s="53"/>
      <c r="AE221" s="53"/>
    </row>
    <row r="222">
      <c r="A222" s="53"/>
      <c r="B222" s="53"/>
      <c r="C222" s="168"/>
      <c r="D222" s="169"/>
      <c r="E222" s="170"/>
      <c r="F222" s="53"/>
      <c r="G222" s="53"/>
      <c r="H222" s="53"/>
      <c r="I222" s="171"/>
      <c r="J222" s="170"/>
      <c r="K222" s="53"/>
      <c r="L222" s="53"/>
      <c r="M222" s="53"/>
      <c r="N222" s="171"/>
      <c r="O222" s="170"/>
      <c r="P222" s="53"/>
      <c r="Q222" s="53"/>
      <c r="R222" s="53"/>
      <c r="S222" s="171"/>
      <c r="T222" s="170"/>
      <c r="U222" s="53"/>
      <c r="V222" s="53"/>
      <c r="W222" s="53"/>
      <c r="X222" s="171"/>
      <c r="Y222" s="170"/>
      <c r="Z222" s="170"/>
      <c r="AA222" s="170"/>
      <c r="AB222" s="170"/>
      <c r="AC222" s="170"/>
      <c r="AD222" s="53"/>
      <c r="AE222" s="53"/>
    </row>
    <row r="223">
      <c r="A223" s="53"/>
      <c r="B223" s="53"/>
      <c r="C223" s="168"/>
      <c r="D223" s="169"/>
      <c r="E223" s="170"/>
      <c r="F223" s="53"/>
      <c r="G223" s="53"/>
      <c r="H223" s="53"/>
      <c r="I223" s="171"/>
      <c r="J223" s="170"/>
      <c r="K223" s="53"/>
      <c r="L223" s="53"/>
      <c r="M223" s="53"/>
      <c r="N223" s="171"/>
      <c r="O223" s="170"/>
      <c r="P223" s="53"/>
      <c r="Q223" s="53"/>
      <c r="R223" s="53"/>
      <c r="S223" s="171"/>
      <c r="T223" s="170"/>
      <c r="U223" s="53"/>
      <c r="V223" s="53"/>
      <c r="W223" s="53"/>
      <c r="X223" s="171"/>
      <c r="Y223" s="170"/>
      <c r="Z223" s="170"/>
      <c r="AA223" s="170"/>
      <c r="AB223" s="170"/>
      <c r="AC223" s="170"/>
      <c r="AD223" s="53"/>
      <c r="AE223" s="53"/>
    </row>
    <row r="224">
      <c r="A224" s="53"/>
      <c r="B224" s="53"/>
      <c r="C224" s="168"/>
      <c r="D224" s="169"/>
      <c r="E224" s="170"/>
      <c r="F224" s="53"/>
      <c r="G224" s="53"/>
      <c r="H224" s="53"/>
      <c r="I224" s="171"/>
      <c r="J224" s="170"/>
      <c r="K224" s="53"/>
      <c r="L224" s="53"/>
      <c r="M224" s="53"/>
      <c r="N224" s="171"/>
      <c r="O224" s="170"/>
      <c r="P224" s="53"/>
      <c r="Q224" s="53"/>
      <c r="R224" s="53"/>
      <c r="S224" s="171"/>
      <c r="T224" s="170"/>
      <c r="U224" s="53"/>
      <c r="V224" s="53"/>
      <c r="W224" s="53"/>
      <c r="X224" s="171"/>
      <c r="Y224" s="170"/>
      <c r="Z224" s="170"/>
      <c r="AA224" s="170"/>
      <c r="AB224" s="170"/>
      <c r="AC224" s="170"/>
      <c r="AD224" s="53"/>
      <c r="AE224" s="53"/>
    </row>
    <row r="225">
      <c r="A225" s="53"/>
      <c r="B225" s="53"/>
      <c r="C225" s="168"/>
      <c r="D225" s="169"/>
      <c r="E225" s="170"/>
      <c r="F225" s="53"/>
      <c r="G225" s="53"/>
      <c r="H225" s="53"/>
      <c r="I225" s="171"/>
      <c r="J225" s="170"/>
      <c r="K225" s="53"/>
      <c r="L225" s="53"/>
      <c r="M225" s="53"/>
      <c r="N225" s="171"/>
      <c r="O225" s="170"/>
      <c r="P225" s="53"/>
      <c r="Q225" s="53"/>
      <c r="R225" s="53"/>
      <c r="S225" s="171"/>
      <c r="T225" s="170"/>
      <c r="U225" s="53"/>
      <c r="V225" s="53"/>
      <c r="W225" s="53"/>
      <c r="X225" s="171"/>
      <c r="Y225" s="170"/>
      <c r="Z225" s="170"/>
      <c r="AA225" s="170"/>
      <c r="AB225" s="170"/>
      <c r="AC225" s="170"/>
      <c r="AD225" s="53"/>
      <c r="AE225" s="53"/>
    </row>
    <row r="226">
      <c r="A226" s="53"/>
      <c r="B226" s="53"/>
      <c r="C226" s="168"/>
      <c r="D226" s="169"/>
      <c r="E226" s="170"/>
      <c r="F226" s="53"/>
      <c r="G226" s="53"/>
      <c r="H226" s="53"/>
      <c r="I226" s="171"/>
      <c r="J226" s="170"/>
      <c r="K226" s="53"/>
      <c r="L226" s="53"/>
      <c r="M226" s="53"/>
      <c r="N226" s="171"/>
      <c r="O226" s="170"/>
      <c r="P226" s="53"/>
      <c r="Q226" s="53"/>
      <c r="R226" s="53"/>
      <c r="S226" s="171"/>
      <c r="T226" s="170"/>
      <c r="U226" s="53"/>
      <c r="V226" s="53"/>
      <c r="W226" s="53"/>
      <c r="X226" s="171"/>
      <c r="Y226" s="170"/>
      <c r="Z226" s="170"/>
      <c r="AA226" s="170"/>
      <c r="AB226" s="170"/>
      <c r="AC226" s="170"/>
      <c r="AD226" s="53"/>
      <c r="AE226" s="53"/>
    </row>
    <row r="227">
      <c r="A227" s="53"/>
      <c r="B227" s="53"/>
      <c r="C227" s="168"/>
      <c r="D227" s="169"/>
      <c r="E227" s="170"/>
      <c r="F227" s="53"/>
      <c r="G227" s="53"/>
      <c r="H227" s="53"/>
      <c r="I227" s="171"/>
      <c r="J227" s="170"/>
      <c r="K227" s="53"/>
      <c r="L227" s="53"/>
      <c r="M227" s="53"/>
      <c r="N227" s="171"/>
      <c r="O227" s="170"/>
      <c r="P227" s="53"/>
      <c r="Q227" s="53"/>
      <c r="R227" s="53"/>
      <c r="S227" s="171"/>
      <c r="T227" s="170"/>
      <c r="U227" s="53"/>
      <c r="V227" s="53"/>
      <c r="W227" s="53"/>
      <c r="X227" s="171"/>
      <c r="Y227" s="170"/>
      <c r="Z227" s="170"/>
      <c r="AA227" s="170"/>
      <c r="AB227" s="170"/>
      <c r="AC227" s="170"/>
      <c r="AD227" s="53"/>
      <c r="AE227" s="53"/>
    </row>
    <row r="228">
      <c r="A228" s="53"/>
      <c r="B228" s="53"/>
      <c r="C228" s="168"/>
      <c r="D228" s="169"/>
      <c r="E228" s="170"/>
      <c r="F228" s="53"/>
      <c r="G228" s="53"/>
      <c r="H228" s="53"/>
      <c r="I228" s="171"/>
      <c r="J228" s="170"/>
      <c r="K228" s="53"/>
      <c r="L228" s="53"/>
      <c r="M228" s="53"/>
      <c r="N228" s="171"/>
      <c r="O228" s="170"/>
      <c r="P228" s="53"/>
      <c r="Q228" s="53"/>
      <c r="R228" s="53"/>
      <c r="S228" s="171"/>
      <c r="T228" s="170"/>
      <c r="U228" s="53"/>
      <c r="V228" s="53"/>
      <c r="W228" s="53"/>
      <c r="X228" s="171"/>
      <c r="Y228" s="170"/>
      <c r="Z228" s="170"/>
      <c r="AA228" s="170"/>
      <c r="AB228" s="170"/>
      <c r="AC228" s="170"/>
      <c r="AD228" s="53"/>
      <c r="AE228" s="53"/>
    </row>
    <row r="229">
      <c r="A229" s="53"/>
      <c r="B229" s="53"/>
      <c r="C229" s="168"/>
      <c r="D229" s="169"/>
      <c r="E229" s="170"/>
      <c r="F229" s="53"/>
      <c r="G229" s="53"/>
      <c r="H229" s="53"/>
      <c r="I229" s="171"/>
      <c r="J229" s="170"/>
      <c r="K229" s="53"/>
      <c r="L229" s="53"/>
      <c r="M229" s="53"/>
      <c r="N229" s="171"/>
      <c r="O229" s="170"/>
      <c r="P229" s="53"/>
      <c r="Q229" s="53"/>
      <c r="R229" s="53"/>
      <c r="S229" s="171"/>
      <c r="T229" s="170"/>
      <c r="U229" s="53"/>
      <c r="V229" s="53"/>
      <c r="W229" s="53"/>
      <c r="X229" s="171"/>
      <c r="Y229" s="170"/>
      <c r="Z229" s="170"/>
      <c r="AA229" s="170"/>
      <c r="AB229" s="170"/>
      <c r="AC229" s="170"/>
      <c r="AD229" s="53"/>
      <c r="AE229" s="53"/>
    </row>
    <row r="230">
      <c r="A230" s="53"/>
      <c r="B230" s="53"/>
      <c r="C230" s="168"/>
      <c r="D230" s="169"/>
      <c r="E230" s="170"/>
      <c r="F230" s="53"/>
      <c r="G230" s="53"/>
      <c r="H230" s="53"/>
      <c r="I230" s="171"/>
      <c r="J230" s="170"/>
      <c r="K230" s="53"/>
      <c r="L230" s="53"/>
      <c r="M230" s="53"/>
      <c r="N230" s="171"/>
      <c r="O230" s="170"/>
      <c r="P230" s="53"/>
      <c r="Q230" s="53"/>
      <c r="R230" s="53"/>
      <c r="S230" s="171"/>
      <c r="T230" s="170"/>
      <c r="U230" s="53"/>
      <c r="V230" s="53"/>
      <c r="W230" s="53"/>
      <c r="X230" s="171"/>
      <c r="Y230" s="170"/>
      <c r="Z230" s="170"/>
      <c r="AA230" s="170"/>
      <c r="AB230" s="170"/>
      <c r="AC230" s="170"/>
      <c r="AD230" s="53"/>
      <c r="AE230" s="53"/>
    </row>
    <row r="231">
      <c r="A231" s="53"/>
      <c r="B231" s="53"/>
      <c r="C231" s="168"/>
      <c r="D231" s="169"/>
      <c r="E231" s="170"/>
      <c r="F231" s="53"/>
      <c r="G231" s="53"/>
      <c r="H231" s="53"/>
      <c r="I231" s="171"/>
      <c r="J231" s="170"/>
      <c r="K231" s="53"/>
      <c r="L231" s="53"/>
      <c r="M231" s="53"/>
      <c r="N231" s="171"/>
      <c r="O231" s="170"/>
      <c r="P231" s="53"/>
      <c r="Q231" s="53"/>
      <c r="R231" s="53"/>
      <c r="S231" s="171"/>
      <c r="T231" s="170"/>
      <c r="U231" s="53"/>
      <c r="V231" s="53"/>
      <c r="W231" s="53"/>
      <c r="X231" s="171"/>
      <c r="Y231" s="170"/>
      <c r="Z231" s="170"/>
      <c r="AA231" s="170"/>
      <c r="AB231" s="170"/>
      <c r="AC231" s="170"/>
      <c r="AD231" s="53"/>
      <c r="AE231" s="53"/>
    </row>
    <row r="232">
      <c r="A232" s="53"/>
      <c r="B232" s="53"/>
      <c r="C232" s="168"/>
      <c r="D232" s="169"/>
      <c r="E232" s="170"/>
      <c r="F232" s="53"/>
      <c r="G232" s="53"/>
      <c r="H232" s="53"/>
      <c r="I232" s="171"/>
      <c r="J232" s="170"/>
      <c r="K232" s="53"/>
      <c r="L232" s="53"/>
      <c r="M232" s="53"/>
      <c r="N232" s="171"/>
      <c r="O232" s="170"/>
      <c r="P232" s="53"/>
      <c r="Q232" s="53"/>
      <c r="R232" s="53"/>
      <c r="S232" s="171"/>
      <c r="T232" s="170"/>
      <c r="U232" s="53"/>
      <c r="V232" s="53"/>
      <c r="W232" s="53"/>
      <c r="X232" s="171"/>
      <c r="Y232" s="170"/>
      <c r="Z232" s="170"/>
      <c r="AA232" s="170"/>
      <c r="AB232" s="170"/>
      <c r="AC232" s="170"/>
      <c r="AD232" s="53"/>
      <c r="AE232" s="53"/>
    </row>
    <row r="233">
      <c r="A233" s="53"/>
      <c r="B233" s="53"/>
      <c r="C233" s="168"/>
      <c r="D233" s="169"/>
      <c r="E233" s="170"/>
      <c r="F233" s="53"/>
      <c r="G233" s="53"/>
      <c r="H233" s="53"/>
      <c r="I233" s="171"/>
      <c r="J233" s="170"/>
      <c r="K233" s="53"/>
      <c r="L233" s="53"/>
      <c r="M233" s="53"/>
      <c r="N233" s="171"/>
      <c r="O233" s="170"/>
      <c r="P233" s="53"/>
      <c r="Q233" s="53"/>
      <c r="R233" s="53"/>
      <c r="S233" s="171"/>
      <c r="T233" s="170"/>
      <c r="U233" s="53"/>
      <c r="V233" s="53"/>
      <c r="W233" s="53"/>
      <c r="X233" s="171"/>
      <c r="Y233" s="170"/>
      <c r="Z233" s="170"/>
      <c r="AA233" s="170"/>
      <c r="AB233" s="170"/>
      <c r="AC233" s="170"/>
      <c r="AD233" s="53"/>
      <c r="AE233" s="53"/>
    </row>
    <row r="234">
      <c r="A234" s="53"/>
      <c r="B234" s="53"/>
      <c r="C234" s="168"/>
      <c r="D234" s="169"/>
      <c r="E234" s="170"/>
      <c r="F234" s="53"/>
      <c r="G234" s="53"/>
      <c r="H234" s="53"/>
      <c r="I234" s="171"/>
      <c r="J234" s="170"/>
      <c r="K234" s="53"/>
      <c r="L234" s="53"/>
      <c r="M234" s="53"/>
      <c r="N234" s="171"/>
      <c r="O234" s="170"/>
      <c r="P234" s="53"/>
      <c r="Q234" s="53"/>
      <c r="R234" s="53"/>
      <c r="S234" s="171"/>
      <c r="T234" s="170"/>
      <c r="U234" s="53"/>
      <c r="V234" s="53"/>
      <c r="W234" s="53"/>
      <c r="X234" s="171"/>
      <c r="Y234" s="170"/>
      <c r="Z234" s="170"/>
      <c r="AA234" s="170"/>
      <c r="AB234" s="170"/>
      <c r="AC234" s="170"/>
      <c r="AD234" s="53"/>
      <c r="AE234" s="53"/>
    </row>
    <row r="235">
      <c r="A235" s="53"/>
      <c r="B235" s="53"/>
      <c r="C235" s="168"/>
      <c r="D235" s="169"/>
      <c r="E235" s="170"/>
      <c r="F235" s="53"/>
      <c r="G235" s="53"/>
      <c r="H235" s="53"/>
      <c r="I235" s="171"/>
      <c r="J235" s="170"/>
      <c r="K235" s="53"/>
      <c r="L235" s="53"/>
      <c r="M235" s="53"/>
      <c r="N235" s="171"/>
      <c r="O235" s="170"/>
      <c r="P235" s="53"/>
      <c r="Q235" s="53"/>
      <c r="R235" s="53"/>
      <c r="S235" s="171"/>
      <c r="T235" s="170"/>
      <c r="U235" s="53"/>
      <c r="V235" s="53"/>
      <c r="W235" s="53"/>
      <c r="X235" s="171"/>
      <c r="Y235" s="170"/>
      <c r="Z235" s="170"/>
      <c r="AA235" s="170"/>
      <c r="AB235" s="170"/>
      <c r="AC235" s="170"/>
      <c r="AD235" s="53"/>
      <c r="AE235" s="53"/>
    </row>
    <row r="236">
      <c r="A236" s="53"/>
      <c r="B236" s="53"/>
      <c r="C236" s="168"/>
      <c r="D236" s="169"/>
      <c r="E236" s="170"/>
      <c r="F236" s="53"/>
      <c r="G236" s="53"/>
      <c r="H236" s="53"/>
      <c r="I236" s="171"/>
      <c r="J236" s="170"/>
      <c r="K236" s="53"/>
      <c r="L236" s="53"/>
      <c r="M236" s="53"/>
      <c r="N236" s="171"/>
      <c r="O236" s="170"/>
      <c r="P236" s="53"/>
      <c r="Q236" s="53"/>
      <c r="R236" s="53"/>
      <c r="S236" s="171"/>
      <c r="T236" s="170"/>
      <c r="U236" s="53"/>
      <c r="V236" s="53"/>
      <c r="W236" s="53"/>
      <c r="X236" s="171"/>
      <c r="Y236" s="170"/>
      <c r="Z236" s="170"/>
      <c r="AA236" s="170"/>
      <c r="AB236" s="170"/>
      <c r="AC236" s="170"/>
      <c r="AD236" s="53"/>
      <c r="AE236" s="53"/>
    </row>
    <row r="237">
      <c r="A237" s="53"/>
      <c r="B237" s="53"/>
      <c r="C237" s="168"/>
      <c r="D237" s="169"/>
      <c r="E237" s="170"/>
      <c r="F237" s="53"/>
      <c r="G237" s="53"/>
      <c r="H237" s="53"/>
      <c r="I237" s="171"/>
      <c r="J237" s="170"/>
      <c r="K237" s="53"/>
      <c r="L237" s="53"/>
      <c r="M237" s="53"/>
      <c r="N237" s="171"/>
      <c r="O237" s="170"/>
      <c r="P237" s="53"/>
      <c r="Q237" s="53"/>
      <c r="R237" s="53"/>
      <c r="S237" s="171"/>
      <c r="T237" s="170"/>
      <c r="U237" s="53"/>
      <c r="V237" s="53"/>
      <c r="W237" s="53"/>
      <c r="X237" s="171"/>
      <c r="Y237" s="170"/>
      <c r="Z237" s="170"/>
      <c r="AA237" s="170"/>
      <c r="AB237" s="170"/>
      <c r="AC237" s="170"/>
      <c r="AD237" s="53"/>
      <c r="AE237" s="53"/>
    </row>
    <row r="238">
      <c r="A238" s="53"/>
      <c r="B238" s="53"/>
      <c r="C238" s="168"/>
      <c r="D238" s="169"/>
      <c r="E238" s="170"/>
      <c r="F238" s="53"/>
      <c r="G238" s="53"/>
      <c r="H238" s="53"/>
      <c r="I238" s="171"/>
      <c r="J238" s="170"/>
      <c r="K238" s="53"/>
      <c r="L238" s="53"/>
      <c r="M238" s="53"/>
      <c r="N238" s="171"/>
      <c r="O238" s="170"/>
      <c r="P238" s="53"/>
      <c r="Q238" s="53"/>
      <c r="R238" s="53"/>
      <c r="S238" s="171"/>
      <c r="T238" s="170"/>
      <c r="U238" s="53"/>
      <c r="V238" s="53"/>
      <c r="W238" s="53"/>
      <c r="X238" s="171"/>
      <c r="Y238" s="170"/>
      <c r="Z238" s="170"/>
      <c r="AA238" s="170"/>
      <c r="AB238" s="170"/>
      <c r="AC238" s="170"/>
      <c r="AD238" s="53"/>
      <c r="AE238" s="53"/>
    </row>
    <row r="239">
      <c r="A239" s="53"/>
      <c r="B239" s="53"/>
      <c r="C239" s="168"/>
      <c r="D239" s="169"/>
      <c r="E239" s="170"/>
      <c r="F239" s="53"/>
      <c r="G239" s="53"/>
      <c r="H239" s="53"/>
      <c r="I239" s="171"/>
      <c r="J239" s="170"/>
      <c r="K239" s="53"/>
      <c r="L239" s="53"/>
      <c r="M239" s="53"/>
      <c r="N239" s="171"/>
      <c r="O239" s="170"/>
      <c r="P239" s="53"/>
      <c r="Q239" s="53"/>
      <c r="R239" s="53"/>
      <c r="S239" s="171"/>
      <c r="T239" s="170"/>
      <c r="U239" s="53"/>
      <c r="V239" s="53"/>
      <c r="W239" s="53"/>
      <c r="X239" s="171"/>
      <c r="Y239" s="170"/>
      <c r="Z239" s="170"/>
      <c r="AA239" s="170"/>
      <c r="AB239" s="170"/>
      <c r="AC239" s="170"/>
      <c r="AD239" s="53"/>
      <c r="AE239" s="53"/>
    </row>
    <row r="240">
      <c r="A240" s="53"/>
      <c r="B240" s="53"/>
      <c r="C240" s="168"/>
      <c r="D240" s="169"/>
      <c r="E240" s="170"/>
      <c r="F240" s="53"/>
      <c r="G240" s="53"/>
      <c r="H240" s="53"/>
      <c r="I240" s="171"/>
      <c r="J240" s="170"/>
      <c r="K240" s="53"/>
      <c r="L240" s="53"/>
      <c r="M240" s="53"/>
      <c r="N240" s="171"/>
      <c r="O240" s="170"/>
      <c r="P240" s="53"/>
      <c r="Q240" s="53"/>
      <c r="R240" s="53"/>
      <c r="S240" s="171"/>
      <c r="T240" s="170"/>
      <c r="U240" s="53"/>
      <c r="V240" s="53"/>
      <c r="W240" s="53"/>
      <c r="X240" s="171"/>
      <c r="Y240" s="170"/>
      <c r="Z240" s="170"/>
      <c r="AA240" s="170"/>
      <c r="AB240" s="170"/>
      <c r="AC240" s="170"/>
      <c r="AD240" s="53"/>
      <c r="AE240" s="53"/>
    </row>
    <row r="241">
      <c r="A241" s="53"/>
      <c r="B241" s="53"/>
      <c r="C241" s="168"/>
      <c r="D241" s="169"/>
      <c r="E241" s="170"/>
      <c r="F241" s="53"/>
      <c r="G241" s="53"/>
      <c r="H241" s="53"/>
      <c r="I241" s="171"/>
      <c r="J241" s="170"/>
      <c r="K241" s="53"/>
      <c r="L241" s="53"/>
      <c r="M241" s="53"/>
      <c r="N241" s="171"/>
      <c r="O241" s="170"/>
      <c r="P241" s="53"/>
      <c r="Q241" s="53"/>
      <c r="R241" s="53"/>
      <c r="S241" s="171"/>
      <c r="T241" s="170"/>
      <c r="U241" s="53"/>
      <c r="V241" s="53"/>
      <c r="W241" s="53"/>
      <c r="X241" s="171"/>
      <c r="Y241" s="170"/>
      <c r="Z241" s="170"/>
      <c r="AA241" s="170"/>
      <c r="AB241" s="170"/>
      <c r="AC241" s="170"/>
      <c r="AD241" s="53"/>
      <c r="AE241" s="53"/>
    </row>
    <row r="242">
      <c r="A242" s="53"/>
      <c r="B242" s="53"/>
      <c r="C242" s="168"/>
      <c r="D242" s="169"/>
      <c r="E242" s="170"/>
      <c r="F242" s="53"/>
      <c r="G242" s="53"/>
      <c r="H242" s="53"/>
      <c r="I242" s="171"/>
      <c r="J242" s="170"/>
      <c r="K242" s="53"/>
      <c r="L242" s="53"/>
      <c r="M242" s="53"/>
      <c r="N242" s="171"/>
      <c r="O242" s="170"/>
      <c r="P242" s="53"/>
      <c r="Q242" s="53"/>
      <c r="R242" s="53"/>
      <c r="S242" s="171"/>
      <c r="T242" s="170"/>
      <c r="U242" s="53"/>
      <c r="V242" s="53"/>
      <c r="W242" s="53"/>
      <c r="X242" s="171"/>
      <c r="Y242" s="170"/>
      <c r="Z242" s="170"/>
      <c r="AA242" s="170"/>
      <c r="AB242" s="170"/>
      <c r="AC242" s="170"/>
      <c r="AD242" s="53"/>
      <c r="AE242" s="53"/>
    </row>
    <row r="243">
      <c r="A243" s="53"/>
      <c r="B243" s="53"/>
      <c r="C243" s="168"/>
      <c r="D243" s="169"/>
      <c r="E243" s="170"/>
      <c r="F243" s="53"/>
      <c r="G243" s="53"/>
      <c r="H243" s="53"/>
      <c r="I243" s="171"/>
      <c r="J243" s="170"/>
      <c r="K243" s="53"/>
      <c r="L243" s="53"/>
      <c r="M243" s="53"/>
      <c r="N243" s="171"/>
      <c r="O243" s="170"/>
      <c r="P243" s="53"/>
      <c r="Q243" s="53"/>
      <c r="R243" s="53"/>
      <c r="S243" s="171"/>
      <c r="T243" s="170"/>
      <c r="U243" s="53"/>
      <c r="V243" s="53"/>
      <c r="W243" s="53"/>
      <c r="X243" s="171"/>
      <c r="Y243" s="170"/>
      <c r="Z243" s="170"/>
      <c r="AA243" s="170"/>
      <c r="AB243" s="170"/>
      <c r="AC243" s="170"/>
      <c r="AD243" s="53"/>
      <c r="AE243" s="53"/>
    </row>
    <row r="244">
      <c r="A244" s="53"/>
      <c r="B244" s="53"/>
      <c r="C244" s="168"/>
      <c r="D244" s="169"/>
      <c r="E244" s="170"/>
      <c r="F244" s="53"/>
      <c r="G244" s="53"/>
      <c r="H244" s="53"/>
      <c r="I244" s="171"/>
      <c r="J244" s="170"/>
      <c r="K244" s="53"/>
      <c r="L244" s="53"/>
      <c r="M244" s="53"/>
      <c r="N244" s="171"/>
      <c r="O244" s="170"/>
      <c r="P244" s="53"/>
      <c r="Q244" s="53"/>
      <c r="R244" s="53"/>
      <c r="S244" s="171"/>
      <c r="T244" s="170"/>
      <c r="U244" s="53"/>
      <c r="V244" s="53"/>
      <c r="W244" s="53"/>
      <c r="X244" s="171"/>
      <c r="Y244" s="170"/>
      <c r="Z244" s="170"/>
      <c r="AA244" s="170"/>
      <c r="AB244" s="170"/>
      <c r="AC244" s="170"/>
      <c r="AD244" s="53"/>
      <c r="AE244" s="53"/>
    </row>
    <row r="245">
      <c r="A245" s="53"/>
      <c r="B245" s="53"/>
      <c r="C245" s="168"/>
      <c r="D245" s="169"/>
      <c r="E245" s="170"/>
      <c r="F245" s="53"/>
      <c r="G245" s="53"/>
      <c r="H245" s="53"/>
      <c r="I245" s="171"/>
      <c r="J245" s="170"/>
      <c r="K245" s="53"/>
      <c r="L245" s="53"/>
      <c r="M245" s="53"/>
      <c r="N245" s="171"/>
      <c r="O245" s="170"/>
      <c r="P245" s="53"/>
      <c r="Q245" s="53"/>
      <c r="R245" s="53"/>
      <c r="S245" s="171"/>
      <c r="T245" s="170"/>
      <c r="U245" s="53"/>
      <c r="V245" s="53"/>
      <c r="W245" s="53"/>
      <c r="X245" s="171"/>
      <c r="Y245" s="170"/>
      <c r="Z245" s="170"/>
      <c r="AA245" s="170"/>
      <c r="AB245" s="170"/>
      <c r="AC245" s="170"/>
      <c r="AD245" s="53"/>
      <c r="AE245" s="53"/>
    </row>
    <row r="246">
      <c r="A246" s="53"/>
      <c r="B246" s="53"/>
      <c r="C246" s="168"/>
      <c r="D246" s="169"/>
      <c r="E246" s="170"/>
      <c r="F246" s="53"/>
      <c r="G246" s="53"/>
      <c r="H246" s="53"/>
      <c r="I246" s="171"/>
      <c r="J246" s="170"/>
      <c r="K246" s="53"/>
      <c r="L246" s="53"/>
      <c r="M246" s="53"/>
      <c r="N246" s="171"/>
      <c r="O246" s="170"/>
      <c r="P246" s="53"/>
      <c r="Q246" s="53"/>
      <c r="R246" s="53"/>
      <c r="S246" s="171"/>
      <c r="T246" s="170"/>
      <c r="U246" s="53"/>
      <c r="V246" s="53"/>
      <c r="W246" s="53"/>
      <c r="X246" s="171"/>
      <c r="Y246" s="170"/>
      <c r="Z246" s="170"/>
      <c r="AA246" s="170"/>
      <c r="AB246" s="170"/>
      <c r="AC246" s="170"/>
      <c r="AD246" s="53"/>
      <c r="AE246" s="53"/>
    </row>
    <row r="247">
      <c r="A247" s="53"/>
      <c r="B247" s="53"/>
      <c r="C247" s="168"/>
      <c r="D247" s="169"/>
      <c r="E247" s="170"/>
      <c r="F247" s="53"/>
      <c r="G247" s="53"/>
      <c r="H247" s="53"/>
      <c r="I247" s="171"/>
      <c r="J247" s="170"/>
      <c r="K247" s="53"/>
      <c r="L247" s="53"/>
      <c r="M247" s="53"/>
      <c r="N247" s="171"/>
      <c r="O247" s="170"/>
      <c r="P247" s="53"/>
      <c r="Q247" s="53"/>
      <c r="R247" s="53"/>
      <c r="S247" s="171"/>
      <c r="T247" s="170"/>
      <c r="U247" s="53"/>
      <c r="V247" s="53"/>
      <c r="W247" s="53"/>
      <c r="X247" s="171"/>
      <c r="Y247" s="170"/>
      <c r="Z247" s="170"/>
      <c r="AA247" s="170"/>
      <c r="AB247" s="170"/>
      <c r="AC247" s="170"/>
      <c r="AD247" s="53"/>
      <c r="AE247" s="53"/>
    </row>
    <row r="248">
      <c r="A248" s="53"/>
      <c r="B248" s="53"/>
      <c r="C248" s="168"/>
      <c r="D248" s="169"/>
      <c r="E248" s="170"/>
      <c r="F248" s="53"/>
      <c r="G248" s="53"/>
      <c r="H248" s="53"/>
      <c r="I248" s="171"/>
      <c r="J248" s="170"/>
      <c r="K248" s="53"/>
      <c r="L248" s="53"/>
      <c r="M248" s="53"/>
      <c r="N248" s="171"/>
      <c r="O248" s="170"/>
      <c r="P248" s="53"/>
      <c r="Q248" s="53"/>
      <c r="R248" s="53"/>
      <c r="S248" s="171"/>
      <c r="T248" s="170"/>
      <c r="U248" s="53"/>
      <c r="V248" s="53"/>
      <c r="W248" s="53"/>
      <c r="X248" s="171"/>
      <c r="Y248" s="170"/>
      <c r="Z248" s="170"/>
      <c r="AA248" s="170"/>
      <c r="AB248" s="170"/>
      <c r="AC248" s="170"/>
      <c r="AD248" s="53"/>
      <c r="AE248" s="53"/>
    </row>
    <row r="249">
      <c r="A249" s="53"/>
      <c r="B249" s="53"/>
      <c r="C249" s="168"/>
      <c r="D249" s="169"/>
      <c r="E249" s="170"/>
      <c r="F249" s="53"/>
      <c r="G249" s="53"/>
      <c r="H249" s="53"/>
      <c r="I249" s="171"/>
      <c r="J249" s="170"/>
      <c r="K249" s="53"/>
      <c r="L249" s="53"/>
      <c r="M249" s="53"/>
      <c r="N249" s="171"/>
      <c r="O249" s="170"/>
      <c r="P249" s="53"/>
      <c r="Q249" s="53"/>
      <c r="R249" s="53"/>
      <c r="S249" s="171"/>
      <c r="T249" s="170"/>
      <c r="U249" s="53"/>
      <c r="V249" s="53"/>
      <c r="W249" s="53"/>
      <c r="X249" s="171"/>
      <c r="Y249" s="170"/>
      <c r="Z249" s="170"/>
      <c r="AA249" s="170"/>
      <c r="AB249" s="170"/>
      <c r="AC249" s="170"/>
      <c r="AD249" s="53"/>
      <c r="AE249" s="53"/>
    </row>
    <row r="250">
      <c r="A250" s="53"/>
      <c r="B250" s="53"/>
      <c r="C250" s="168"/>
      <c r="D250" s="169"/>
      <c r="E250" s="170"/>
      <c r="F250" s="53"/>
      <c r="G250" s="53"/>
      <c r="H250" s="53"/>
      <c r="I250" s="171"/>
      <c r="J250" s="170"/>
      <c r="K250" s="53"/>
      <c r="L250" s="53"/>
      <c r="M250" s="53"/>
      <c r="N250" s="171"/>
      <c r="O250" s="170"/>
      <c r="P250" s="53"/>
      <c r="Q250" s="53"/>
      <c r="R250" s="53"/>
      <c r="S250" s="171"/>
      <c r="T250" s="170"/>
      <c r="U250" s="53"/>
      <c r="V250" s="53"/>
      <c r="W250" s="53"/>
      <c r="X250" s="171"/>
      <c r="Y250" s="170"/>
      <c r="Z250" s="170"/>
      <c r="AA250" s="170"/>
      <c r="AB250" s="170"/>
      <c r="AC250" s="170"/>
      <c r="AD250" s="53"/>
      <c r="AE250" s="53"/>
    </row>
    <row r="251">
      <c r="A251" s="53"/>
      <c r="B251" s="53"/>
      <c r="C251" s="168"/>
      <c r="D251" s="169"/>
      <c r="E251" s="170"/>
      <c r="F251" s="53"/>
      <c r="G251" s="53"/>
      <c r="H251" s="53"/>
      <c r="I251" s="171"/>
      <c r="J251" s="170"/>
      <c r="K251" s="53"/>
      <c r="L251" s="53"/>
      <c r="M251" s="53"/>
      <c r="N251" s="171"/>
      <c r="O251" s="170"/>
      <c r="P251" s="53"/>
      <c r="Q251" s="53"/>
      <c r="R251" s="53"/>
      <c r="S251" s="171"/>
      <c r="T251" s="170"/>
      <c r="U251" s="53"/>
      <c r="V251" s="53"/>
      <c r="W251" s="53"/>
      <c r="X251" s="171"/>
      <c r="Y251" s="170"/>
      <c r="Z251" s="170"/>
      <c r="AA251" s="170"/>
      <c r="AB251" s="170"/>
      <c r="AC251" s="170"/>
      <c r="AD251" s="53"/>
      <c r="AE251" s="53"/>
    </row>
    <row r="252">
      <c r="A252" s="53"/>
      <c r="B252" s="53"/>
      <c r="C252" s="168"/>
      <c r="D252" s="169"/>
      <c r="E252" s="170"/>
      <c r="F252" s="53"/>
      <c r="G252" s="53"/>
      <c r="H252" s="53"/>
      <c r="I252" s="171"/>
      <c r="J252" s="170"/>
      <c r="K252" s="53"/>
      <c r="L252" s="53"/>
      <c r="M252" s="53"/>
      <c r="N252" s="171"/>
      <c r="O252" s="170"/>
      <c r="P252" s="53"/>
      <c r="Q252" s="53"/>
      <c r="R252" s="53"/>
      <c r="S252" s="171"/>
      <c r="T252" s="170"/>
      <c r="U252" s="53"/>
      <c r="V252" s="53"/>
      <c r="W252" s="53"/>
      <c r="X252" s="171"/>
      <c r="Y252" s="170"/>
      <c r="Z252" s="170"/>
      <c r="AA252" s="170"/>
      <c r="AB252" s="170"/>
      <c r="AC252" s="170"/>
      <c r="AD252" s="53"/>
      <c r="AE252" s="53"/>
    </row>
    <row r="253">
      <c r="A253" s="53"/>
      <c r="B253" s="53"/>
      <c r="C253" s="168"/>
      <c r="D253" s="169"/>
      <c r="E253" s="170"/>
      <c r="F253" s="53"/>
      <c r="G253" s="53"/>
      <c r="H253" s="53"/>
      <c r="I253" s="171"/>
      <c r="J253" s="170"/>
      <c r="K253" s="53"/>
      <c r="L253" s="53"/>
      <c r="M253" s="53"/>
      <c r="N253" s="171"/>
      <c r="O253" s="170"/>
      <c r="P253" s="53"/>
      <c r="Q253" s="53"/>
      <c r="R253" s="53"/>
      <c r="S253" s="171"/>
      <c r="T253" s="170"/>
      <c r="U253" s="53"/>
      <c r="V253" s="53"/>
      <c r="W253" s="53"/>
      <c r="X253" s="171"/>
      <c r="Y253" s="170"/>
      <c r="Z253" s="170"/>
      <c r="AA253" s="170"/>
      <c r="AB253" s="170"/>
      <c r="AC253" s="170"/>
      <c r="AD253" s="53"/>
      <c r="AE253" s="53"/>
    </row>
    <row r="254">
      <c r="A254" s="53"/>
      <c r="B254" s="53"/>
      <c r="C254" s="168"/>
      <c r="D254" s="169"/>
      <c r="E254" s="170"/>
      <c r="F254" s="53"/>
      <c r="G254" s="53"/>
      <c r="H254" s="53"/>
      <c r="I254" s="171"/>
      <c r="J254" s="170"/>
      <c r="K254" s="53"/>
      <c r="L254" s="53"/>
      <c r="M254" s="53"/>
      <c r="N254" s="171"/>
      <c r="O254" s="170"/>
      <c r="P254" s="53"/>
      <c r="Q254" s="53"/>
      <c r="R254" s="53"/>
      <c r="S254" s="171"/>
      <c r="T254" s="170"/>
      <c r="U254" s="53"/>
      <c r="V254" s="53"/>
      <c r="W254" s="53"/>
      <c r="X254" s="171"/>
      <c r="Y254" s="170"/>
      <c r="Z254" s="170"/>
      <c r="AA254" s="170"/>
      <c r="AB254" s="170"/>
      <c r="AC254" s="170"/>
      <c r="AD254" s="53"/>
      <c r="AE254" s="53"/>
    </row>
    <row r="255">
      <c r="A255" s="53"/>
      <c r="B255" s="53"/>
      <c r="C255" s="168"/>
      <c r="D255" s="169"/>
      <c r="E255" s="170"/>
      <c r="F255" s="53"/>
      <c r="G255" s="53"/>
      <c r="H255" s="53"/>
      <c r="I255" s="171"/>
      <c r="J255" s="170"/>
      <c r="K255" s="53"/>
      <c r="L255" s="53"/>
      <c r="M255" s="53"/>
      <c r="N255" s="171"/>
      <c r="O255" s="170"/>
      <c r="P255" s="53"/>
      <c r="Q255" s="53"/>
      <c r="R255" s="53"/>
      <c r="S255" s="171"/>
      <c r="T255" s="170"/>
      <c r="U255" s="53"/>
      <c r="V255" s="53"/>
      <c r="W255" s="53"/>
      <c r="X255" s="171"/>
      <c r="Y255" s="170"/>
      <c r="Z255" s="170"/>
      <c r="AA255" s="170"/>
      <c r="AB255" s="170"/>
      <c r="AC255" s="170"/>
      <c r="AD255" s="53"/>
      <c r="AE255" s="53"/>
    </row>
    <row r="256">
      <c r="A256" s="53"/>
      <c r="B256" s="53"/>
      <c r="C256" s="168"/>
      <c r="D256" s="169"/>
      <c r="E256" s="170"/>
      <c r="F256" s="53"/>
      <c r="G256" s="53"/>
      <c r="H256" s="53"/>
      <c r="I256" s="171"/>
      <c r="J256" s="170"/>
      <c r="K256" s="53"/>
      <c r="L256" s="53"/>
      <c r="M256" s="53"/>
      <c r="N256" s="171"/>
      <c r="O256" s="170"/>
      <c r="P256" s="53"/>
      <c r="Q256" s="53"/>
      <c r="R256" s="53"/>
      <c r="S256" s="171"/>
      <c r="T256" s="170"/>
      <c r="U256" s="53"/>
      <c r="V256" s="53"/>
      <c r="W256" s="53"/>
      <c r="X256" s="171"/>
      <c r="Y256" s="170"/>
      <c r="Z256" s="170"/>
      <c r="AA256" s="170"/>
      <c r="AB256" s="170"/>
      <c r="AC256" s="170"/>
      <c r="AD256" s="53"/>
      <c r="AE256" s="53"/>
    </row>
    <row r="257">
      <c r="A257" s="53"/>
      <c r="B257" s="53"/>
      <c r="C257" s="168"/>
      <c r="D257" s="169"/>
      <c r="E257" s="170"/>
      <c r="F257" s="53"/>
      <c r="G257" s="53"/>
      <c r="H257" s="53"/>
      <c r="I257" s="171"/>
      <c r="J257" s="170"/>
      <c r="K257" s="53"/>
      <c r="L257" s="53"/>
      <c r="M257" s="53"/>
      <c r="N257" s="171"/>
      <c r="O257" s="170"/>
      <c r="P257" s="53"/>
      <c r="Q257" s="53"/>
      <c r="R257" s="53"/>
      <c r="S257" s="171"/>
      <c r="T257" s="170"/>
      <c r="U257" s="53"/>
      <c r="V257" s="53"/>
      <c r="W257" s="53"/>
      <c r="X257" s="171"/>
      <c r="Y257" s="170"/>
      <c r="Z257" s="170"/>
      <c r="AA257" s="170"/>
      <c r="AB257" s="170"/>
      <c r="AC257" s="170"/>
      <c r="AD257" s="53"/>
      <c r="AE257" s="53"/>
    </row>
    <row r="258">
      <c r="A258" s="53"/>
      <c r="B258" s="53"/>
      <c r="C258" s="168"/>
      <c r="D258" s="169"/>
      <c r="E258" s="170"/>
      <c r="F258" s="53"/>
      <c r="G258" s="53"/>
      <c r="H258" s="53"/>
      <c r="I258" s="171"/>
      <c r="J258" s="170"/>
      <c r="K258" s="53"/>
      <c r="L258" s="53"/>
      <c r="M258" s="53"/>
      <c r="N258" s="171"/>
      <c r="O258" s="170"/>
      <c r="P258" s="53"/>
      <c r="Q258" s="53"/>
      <c r="R258" s="53"/>
      <c r="S258" s="171"/>
      <c r="T258" s="170"/>
      <c r="U258" s="53"/>
      <c r="V258" s="53"/>
      <c r="W258" s="53"/>
      <c r="X258" s="171"/>
      <c r="Y258" s="170"/>
      <c r="Z258" s="170"/>
      <c r="AA258" s="170"/>
      <c r="AB258" s="170"/>
      <c r="AC258" s="170"/>
      <c r="AD258" s="53"/>
      <c r="AE258" s="53"/>
    </row>
    <row r="259">
      <c r="A259" s="53"/>
      <c r="B259" s="53"/>
      <c r="C259" s="168"/>
      <c r="D259" s="169"/>
      <c r="E259" s="170"/>
      <c r="F259" s="53"/>
      <c r="G259" s="53"/>
      <c r="H259" s="53"/>
      <c r="I259" s="171"/>
      <c r="J259" s="170"/>
      <c r="K259" s="53"/>
      <c r="L259" s="53"/>
      <c r="M259" s="53"/>
      <c r="N259" s="171"/>
      <c r="O259" s="170"/>
      <c r="P259" s="53"/>
      <c r="Q259" s="53"/>
      <c r="R259" s="53"/>
      <c r="S259" s="171"/>
      <c r="T259" s="170"/>
      <c r="U259" s="53"/>
      <c r="V259" s="53"/>
      <c r="W259" s="53"/>
      <c r="X259" s="171"/>
      <c r="Y259" s="170"/>
      <c r="Z259" s="170"/>
      <c r="AA259" s="170"/>
      <c r="AB259" s="170"/>
      <c r="AC259" s="170"/>
      <c r="AD259" s="53"/>
      <c r="AE259" s="53"/>
    </row>
    <row r="260">
      <c r="A260" s="53"/>
      <c r="B260" s="53"/>
      <c r="C260" s="168"/>
      <c r="D260" s="169"/>
      <c r="E260" s="170"/>
      <c r="F260" s="53"/>
      <c r="G260" s="53"/>
      <c r="H260" s="53"/>
      <c r="I260" s="171"/>
      <c r="J260" s="170"/>
      <c r="K260" s="53"/>
      <c r="L260" s="53"/>
      <c r="M260" s="53"/>
      <c r="N260" s="171"/>
      <c r="O260" s="170"/>
      <c r="P260" s="53"/>
      <c r="Q260" s="53"/>
      <c r="R260" s="53"/>
      <c r="S260" s="171"/>
      <c r="T260" s="170"/>
      <c r="U260" s="53"/>
      <c r="V260" s="53"/>
      <c r="W260" s="53"/>
      <c r="X260" s="171"/>
      <c r="Y260" s="170"/>
      <c r="Z260" s="170"/>
      <c r="AA260" s="170"/>
      <c r="AB260" s="170"/>
      <c r="AC260" s="170"/>
      <c r="AD260" s="53"/>
      <c r="AE260" s="53"/>
    </row>
    <row r="261">
      <c r="A261" s="53"/>
      <c r="B261" s="53"/>
      <c r="C261" s="168"/>
      <c r="D261" s="169"/>
      <c r="E261" s="170"/>
      <c r="F261" s="53"/>
      <c r="G261" s="53"/>
      <c r="H261" s="53"/>
      <c r="I261" s="171"/>
      <c r="J261" s="170"/>
      <c r="K261" s="53"/>
      <c r="L261" s="53"/>
      <c r="M261" s="53"/>
      <c r="N261" s="171"/>
      <c r="O261" s="170"/>
      <c r="P261" s="53"/>
      <c r="Q261" s="53"/>
      <c r="R261" s="53"/>
      <c r="S261" s="171"/>
      <c r="T261" s="170"/>
      <c r="U261" s="53"/>
      <c r="V261" s="53"/>
      <c r="W261" s="53"/>
      <c r="X261" s="171"/>
      <c r="Y261" s="170"/>
      <c r="Z261" s="170"/>
      <c r="AA261" s="170"/>
      <c r="AB261" s="170"/>
      <c r="AC261" s="170"/>
      <c r="AD261" s="53"/>
      <c r="AE261" s="53"/>
    </row>
    <row r="262">
      <c r="A262" s="53"/>
      <c r="B262" s="53"/>
      <c r="C262" s="168"/>
      <c r="D262" s="169"/>
      <c r="E262" s="170"/>
      <c r="F262" s="53"/>
      <c r="G262" s="53"/>
      <c r="H262" s="53"/>
      <c r="I262" s="171"/>
      <c r="J262" s="170"/>
      <c r="K262" s="53"/>
      <c r="L262" s="53"/>
      <c r="M262" s="53"/>
      <c r="N262" s="171"/>
      <c r="O262" s="170"/>
      <c r="P262" s="53"/>
      <c r="Q262" s="53"/>
      <c r="R262" s="53"/>
      <c r="S262" s="171"/>
      <c r="T262" s="170"/>
      <c r="U262" s="53"/>
      <c r="V262" s="53"/>
      <c r="W262" s="53"/>
      <c r="X262" s="171"/>
      <c r="Y262" s="170"/>
      <c r="Z262" s="170"/>
      <c r="AA262" s="170"/>
      <c r="AB262" s="170"/>
      <c r="AC262" s="170"/>
      <c r="AD262" s="53"/>
      <c r="AE262" s="53"/>
    </row>
    <row r="263">
      <c r="A263" s="53"/>
      <c r="B263" s="53"/>
      <c r="C263" s="168"/>
      <c r="D263" s="169"/>
      <c r="E263" s="170"/>
      <c r="F263" s="53"/>
      <c r="G263" s="53"/>
      <c r="H263" s="53"/>
      <c r="I263" s="171"/>
      <c r="J263" s="170"/>
      <c r="K263" s="53"/>
      <c r="L263" s="53"/>
      <c r="M263" s="53"/>
      <c r="N263" s="171"/>
      <c r="O263" s="170"/>
      <c r="P263" s="53"/>
      <c r="Q263" s="53"/>
      <c r="R263" s="53"/>
      <c r="S263" s="171"/>
      <c r="T263" s="170"/>
      <c r="U263" s="53"/>
      <c r="V263" s="53"/>
      <c r="W263" s="53"/>
      <c r="X263" s="171"/>
      <c r="Y263" s="170"/>
      <c r="Z263" s="170"/>
      <c r="AA263" s="170"/>
      <c r="AB263" s="170"/>
      <c r="AC263" s="170"/>
      <c r="AD263" s="53"/>
      <c r="AE263" s="53"/>
    </row>
    <row r="264">
      <c r="A264" s="53"/>
      <c r="B264" s="53"/>
      <c r="C264" s="168"/>
      <c r="D264" s="169"/>
      <c r="E264" s="170"/>
      <c r="F264" s="53"/>
      <c r="G264" s="53"/>
      <c r="H264" s="53"/>
      <c r="I264" s="171"/>
      <c r="J264" s="170"/>
      <c r="K264" s="53"/>
      <c r="L264" s="53"/>
      <c r="M264" s="53"/>
      <c r="N264" s="171"/>
      <c r="O264" s="170"/>
      <c r="P264" s="53"/>
      <c r="Q264" s="53"/>
      <c r="R264" s="53"/>
      <c r="S264" s="171"/>
      <c r="T264" s="170"/>
      <c r="U264" s="53"/>
      <c r="V264" s="53"/>
      <c r="W264" s="53"/>
      <c r="X264" s="171"/>
      <c r="Y264" s="170"/>
      <c r="Z264" s="170"/>
      <c r="AA264" s="170"/>
      <c r="AB264" s="170"/>
      <c r="AC264" s="170"/>
      <c r="AD264" s="53"/>
      <c r="AE264" s="53"/>
    </row>
    <row r="265">
      <c r="A265" s="53"/>
      <c r="B265" s="53"/>
      <c r="C265" s="168"/>
      <c r="D265" s="169"/>
      <c r="E265" s="170"/>
      <c r="F265" s="53"/>
      <c r="G265" s="53"/>
      <c r="H265" s="53"/>
      <c r="I265" s="171"/>
      <c r="J265" s="170"/>
      <c r="K265" s="53"/>
      <c r="L265" s="53"/>
      <c r="M265" s="53"/>
      <c r="N265" s="171"/>
      <c r="O265" s="170"/>
      <c r="P265" s="53"/>
      <c r="Q265" s="53"/>
      <c r="R265" s="53"/>
      <c r="S265" s="171"/>
      <c r="T265" s="170"/>
      <c r="U265" s="53"/>
      <c r="V265" s="53"/>
      <c r="W265" s="53"/>
      <c r="X265" s="171"/>
      <c r="Y265" s="170"/>
      <c r="Z265" s="170"/>
      <c r="AA265" s="170"/>
      <c r="AB265" s="170"/>
      <c r="AC265" s="170"/>
      <c r="AD265" s="53"/>
      <c r="AE265" s="53"/>
    </row>
    <row r="266">
      <c r="A266" s="53"/>
      <c r="B266" s="53"/>
      <c r="C266" s="168"/>
      <c r="D266" s="169"/>
      <c r="E266" s="170"/>
      <c r="F266" s="53"/>
      <c r="G266" s="53"/>
      <c r="H266" s="53"/>
      <c r="I266" s="171"/>
      <c r="J266" s="170"/>
      <c r="K266" s="53"/>
      <c r="L266" s="53"/>
      <c r="M266" s="53"/>
      <c r="N266" s="171"/>
      <c r="O266" s="170"/>
      <c r="P266" s="53"/>
      <c r="Q266" s="53"/>
      <c r="R266" s="53"/>
      <c r="S266" s="171"/>
      <c r="T266" s="170"/>
      <c r="U266" s="53"/>
      <c r="V266" s="53"/>
      <c r="W266" s="53"/>
      <c r="X266" s="171"/>
      <c r="Y266" s="170"/>
      <c r="Z266" s="170"/>
      <c r="AA266" s="170"/>
      <c r="AB266" s="170"/>
      <c r="AC266" s="170"/>
      <c r="AD266" s="53"/>
      <c r="AE266" s="53"/>
    </row>
    <row r="267">
      <c r="A267" s="53"/>
      <c r="B267" s="53"/>
      <c r="C267" s="168"/>
      <c r="D267" s="169"/>
      <c r="E267" s="170"/>
      <c r="F267" s="53"/>
      <c r="G267" s="53"/>
      <c r="H267" s="53"/>
      <c r="I267" s="171"/>
      <c r="J267" s="170"/>
      <c r="K267" s="53"/>
      <c r="L267" s="53"/>
      <c r="M267" s="53"/>
      <c r="N267" s="171"/>
      <c r="O267" s="170"/>
      <c r="P267" s="53"/>
      <c r="Q267" s="53"/>
      <c r="R267" s="53"/>
      <c r="S267" s="171"/>
      <c r="T267" s="170"/>
      <c r="U267" s="53"/>
      <c r="V267" s="53"/>
      <c r="W267" s="53"/>
      <c r="X267" s="171"/>
      <c r="Y267" s="170"/>
      <c r="Z267" s="170"/>
      <c r="AA267" s="170"/>
      <c r="AB267" s="170"/>
      <c r="AC267" s="170"/>
      <c r="AD267" s="53"/>
      <c r="AE267" s="53"/>
    </row>
    <row r="268">
      <c r="A268" s="53"/>
      <c r="B268" s="53"/>
      <c r="C268" s="168"/>
      <c r="D268" s="169"/>
      <c r="E268" s="170"/>
      <c r="F268" s="53"/>
      <c r="G268" s="53"/>
      <c r="H268" s="53"/>
      <c r="I268" s="171"/>
      <c r="J268" s="170"/>
      <c r="K268" s="53"/>
      <c r="L268" s="53"/>
      <c r="M268" s="53"/>
      <c r="N268" s="171"/>
      <c r="O268" s="170"/>
      <c r="P268" s="53"/>
      <c r="Q268" s="53"/>
      <c r="R268" s="53"/>
      <c r="S268" s="171"/>
      <c r="T268" s="170"/>
      <c r="U268" s="53"/>
      <c r="V268" s="53"/>
      <c r="W268" s="53"/>
      <c r="X268" s="171"/>
      <c r="Y268" s="170"/>
      <c r="Z268" s="170"/>
      <c r="AA268" s="170"/>
      <c r="AB268" s="170"/>
      <c r="AC268" s="170"/>
      <c r="AD268" s="53"/>
      <c r="AE268" s="53"/>
    </row>
    <row r="269">
      <c r="A269" s="53"/>
      <c r="B269" s="53"/>
      <c r="C269" s="168"/>
      <c r="D269" s="169"/>
      <c r="E269" s="170"/>
      <c r="F269" s="53"/>
      <c r="G269" s="53"/>
      <c r="H269" s="53"/>
      <c r="I269" s="171"/>
      <c r="J269" s="170"/>
      <c r="K269" s="53"/>
      <c r="L269" s="53"/>
      <c r="M269" s="53"/>
      <c r="N269" s="171"/>
      <c r="O269" s="170"/>
      <c r="P269" s="53"/>
      <c r="Q269" s="53"/>
      <c r="R269" s="53"/>
      <c r="S269" s="171"/>
      <c r="T269" s="170"/>
      <c r="U269" s="53"/>
      <c r="V269" s="53"/>
      <c r="W269" s="53"/>
      <c r="X269" s="171"/>
      <c r="Y269" s="170"/>
      <c r="Z269" s="170"/>
      <c r="AA269" s="170"/>
      <c r="AB269" s="170"/>
      <c r="AC269" s="170"/>
      <c r="AD269" s="53"/>
      <c r="AE269" s="53"/>
    </row>
    <row r="270">
      <c r="A270" s="53"/>
      <c r="B270" s="53"/>
      <c r="C270" s="168"/>
      <c r="D270" s="169"/>
      <c r="E270" s="170"/>
      <c r="F270" s="53"/>
      <c r="G270" s="53"/>
      <c r="H270" s="53"/>
      <c r="I270" s="171"/>
      <c r="J270" s="170"/>
      <c r="K270" s="53"/>
      <c r="L270" s="53"/>
      <c r="M270" s="53"/>
      <c r="N270" s="171"/>
      <c r="O270" s="170"/>
      <c r="P270" s="53"/>
      <c r="Q270" s="53"/>
      <c r="R270" s="53"/>
      <c r="S270" s="171"/>
      <c r="T270" s="170"/>
      <c r="U270" s="53"/>
      <c r="V270" s="53"/>
      <c r="W270" s="53"/>
      <c r="X270" s="171"/>
      <c r="Y270" s="170"/>
      <c r="Z270" s="170"/>
      <c r="AA270" s="170"/>
      <c r="AB270" s="170"/>
      <c r="AC270" s="170"/>
      <c r="AD270" s="53"/>
      <c r="AE270" s="53"/>
    </row>
    <row r="271">
      <c r="A271" s="53"/>
      <c r="B271" s="53"/>
      <c r="C271" s="168"/>
      <c r="D271" s="169"/>
      <c r="E271" s="170"/>
      <c r="F271" s="53"/>
      <c r="G271" s="53"/>
      <c r="H271" s="53"/>
      <c r="I271" s="171"/>
      <c r="J271" s="170"/>
      <c r="K271" s="53"/>
      <c r="L271" s="53"/>
      <c r="M271" s="53"/>
      <c r="N271" s="171"/>
      <c r="O271" s="170"/>
      <c r="P271" s="53"/>
      <c r="Q271" s="53"/>
      <c r="R271" s="53"/>
      <c r="S271" s="171"/>
      <c r="T271" s="170"/>
      <c r="U271" s="53"/>
      <c r="V271" s="53"/>
      <c r="W271" s="53"/>
      <c r="X271" s="171"/>
      <c r="Y271" s="170"/>
      <c r="Z271" s="170"/>
      <c r="AA271" s="170"/>
      <c r="AB271" s="170"/>
      <c r="AC271" s="170"/>
      <c r="AD271" s="53"/>
      <c r="AE271" s="53"/>
    </row>
    <row r="272">
      <c r="A272" s="53"/>
      <c r="B272" s="53"/>
      <c r="C272" s="168"/>
      <c r="D272" s="169"/>
      <c r="E272" s="170"/>
      <c r="F272" s="53"/>
      <c r="G272" s="53"/>
      <c r="H272" s="53"/>
      <c r="I272" s="171"/>
      <c r="J272" s="170"/>
      <c r="K272" s="53"/>
      <c r="L272" s="53"/>
      <c r="M272" s="53"/>
      <c r="N272" s="171"/>
      <c r="O272" s="170"/>
      <c r="P272" s="53"/>
      <c r="Q272" s="53"/>
      <c r="R272" s="53"/>
      <c r="S272" s="171"/>
      <c r="T272" s="170"/>
      <c r="U272" s="53"/>
      <c r="V272" s="53"/>
      <c r="W272" s="53"/>
      <c r="X272" s="171"/>
      <c r="Y272" s="170"/>
      <c r="Z272" s="170"/>
      <c r="AA272" s="170"/>
      <c r="AB272" s="170"/>
      <c r="AC272" s="170"/>
      <c r="AD272" s="53"/>
      <c r="AE272" s="53"/>
    </row>
    <row r="273">
      <c r="A273" s="53"/>
      <c r="B273" s="53"/>
      <c r="C273" s="168"/>
      <c r="D273" s="169"/>
      <c r="E273" s="170"/>
      <c r="F273" s="53"/>
      <c r="G273" s="53"/>
      <c r="H273" s="53"/>
      <c r="I273" s="171"/>
      <c r="J273" s="170"/>
      <c r="K273" s="53"/>
      <c r="L273" s="53"/>
      <c r="M273" s="53"/>
      <c r="N273" s="171"/>
      <c r="O273" s="170"/>
      <c r="P273" s="53"/>
      <c r="Q273" s="53"/>
      <c r="R273" s="53"/>
      <c r="S273" s="171"/>
      <c r="T273" s="170"/>
      <c r="U273" s="53"/>
      <c r="V273" s="53"/>
      <c r="W273" s="53"/>
      <c r="X273" s="171"/>
      <c r="Y273" s="170"/>
      <c r="Z273" s="170"/>
      <c r="AA273" s="170"/>
      <c r="AB273" s="170"/>
      <c r="AC273" s="170"/>
      <c r="AD273" s="53"/>
      <c r="AE273" s="53"/>
    </row>
    <row r="274">
      <c r="A274" s="53"/>
      <c r="B274" s="53"/>
      <c r="C274" s="168"/>
      <c r="D274" s="169"/>
      <c r="E274" s="170"/>
      <c r="F274" s="53"/>
      <c r="G274" s="53"/>
      <c r="H274" s="53"/>
      <c r="I274" s="171"/>
      <c r="J274" s="170"/>
      <c r="K274" s="53"/>
      <c r="L274" s="53"/>
      <c r="M274" s="53"/>
      <c r="N274" s="171"/>
      <c r="O274" s="170"/>
      <c r="P274" s="53"/>
      <c r="Q274" s="53"/>
      <c r="R274" s="53"/>
      <c r="S274" s="171"/>
      <c r="T274" s="170"/>
      <c r="U274" s="53"/>
      <c r="V274" s="53"/>
      <c r="W274" s="53"/>
      <c r="X274" s="171"/>
      <c r="Y274" s="170"/>
      <c r="Z274" s="170"/>
      <c r="AA274" s="170"/>
      <c r="AB274" s="170"/>
      <c r="AC274" s="170"/>
      <c r="AD274" s="53"/>
      <c r="AE274" s="53"/>
    </row>
    <row r="275">
      <c r="A275" s="53"/>
      <c r="B275" s="53"/>
      <c r="C275" s="168"/>
      <c r="D275" s="169"/>
      <c r="E275" s="170"/>
      <c r="F275" s="53"/>
      <c r="G275" s="53"/>
      <c r="H275" s="53"/>
      <c r="I275" s="171"/>
      <c r="J275" s="170"/>
      <c r="K275" s="53"/>
      <c r="L275" s="53"/>
      <c r="M275" s="53"/>
      <c r="N275" s="171"/>
      <c r="O275" s="170"/>
      <c r="P275" s="53"/>
      <c r="Q275" s="53"/>
      <c r="R275" s="53"/>
      <c r="S275" s="171"/>
      <c r="T275" s="170"/>
      <c r="U275" s="53"/>
      <c r="V275" s="53"/>
      <c r="W275" s="53"/>
      <c r="X275" s="171"/>
      <c r="Y275" s="170"/>
      <c r="Z275" s="170"/>
      <c r="AA275" s="170"/>
      <c r="AB275" s="170"/>
      <c r="AC275" s="170"/>
      <c r="AD275" s="53"/>
      <c r="AE275" s="53"/>
    </row>
    <row r="276">
      <c r="A276" s="53"/>
      <c r="B276" s="53"/>
      <c r="C276" s="168"/>
      <c r="D276" s="169"/>
      <c r="E276" s="170"/>
      <c r="F276" s="53"/>
      <c r="G276" s="53"/>
      <c r="H276" s="53"/>
      <c r="I276" s="171"/>
      <c r="J276" s="170"/>
      <c r="K276" s="53"/>
      <c r="L276" s="53"/>
      <c r="M276" s="53"/>
      <c r="N276" s="171"/>
      <c r="O276" s="170"/>
      <c r="P276" s="53"/>
      <c r="Q276" s="53"/>
      <c r="R276" s="53"/>
      <c r="S276" s="171"/>
      <c r="T276" s="170"/>
      <c r="U276" s="53"/>
      <c r="V276" s="53"/>
      <c r="W276" s="53"/>
      <c r="X276" s="171"/>
      <c r="Y276" s="170"/>
      <c r="Z276" s="170"/>
      <c r="AA276" s="170"/>
      <c r="AB276" s="170"/>
      <c r="AC276" s="170"/>
      <c r="AD276" s="53"/>
      <c r="AE276" s="53"/>
    </row>
    <row r="277">
      <c r="A277" s="53"/>
      <c r="B277" s="53"/>
      <c r="C277" s="168"/>
      <c r="D277" s="169"/>
      <c r="E277" s="170"/>
      <c r="F277" s="53"/>
      <c r="G277" s="53"/>
      <c r="H277" s="53"/>
      <c r="I277" s="171"/>
      <c r="J277" s="170"/>
      <c r="K277" s="53"/>
      <c r="L277" s="53"/>
      <c r="M277" s="53"/>
      <c r="N277" s="171"/>
      <c r="O277" s="170"/>
      <c r="P277" s="53"/>
      <c r="Q277" s="53"/>
      <c r="R277" s="53"/>
      <c r="S277" s="171"/>
      <c r="T277" s="170"/>
      <c r="U277" s="53"/>
      <c r="V277" s="53"/>
      <c r="W277" s="53"/>
      <c r="X277" s="171"/>
      <c r="Y277" s="170"/>
      <c r="Z277" s="170"/>
      <c r="AA277" s="170"/>
      <c r="AB277" s="170"/>
      <c r="AC277" s="170"/>
      <c r="AD277" s="53"/>
      <c r="AE277" s="53"/>
    </row>
    <row r="278">
      <c r="A278" s="53"/>
      <c r="B278" s="53"/>
      <c r="C278" s="168"/>
      <c r="D278" s="169"/>
      <c r="E278" s="170"/>
      <c r="F278" s="53"/>
      <c r="G278" s="53"/>
      <c r="H278" s="53"/>
      <c r="I278" s="171"/>
      <c r="J278" s="170"/>
      <c r="K278" s="53"/>
      <c r="L278" s="53"/>
      <c r="M278" s="53"/>
      <c r="N278" s="171"/>
      <c r="O278" s="170"/>
      <c r="P278" s="53"/>
      <c r="Q278" s="53"/>
      <c r="R278" s="53"/>
      <c r="S278" s="171"/>
      <c r="T278" s="170"/>
      <c r="U278" s="53"/>
      <c r="V278" s="53"/>
      <c r="W278" s="53"/>
      <c r="X278" s="171"/>
      <c r="Y278" s="170"/>
      <c r="Z278" s="170"/>
      <c r="AA278" s="170"/>
      <c r="AB278" s="170"/>
      <c r="AC278" s="170"/>
      <c r="AD278" s="53"/>
      <c r="AE278" s="53"/>
    </row>
    <row r="279">
      <c r="A279" s="53"/>
      <c r="B279" s="53"/>
      <c r="C279" s="168"/>
      <c r="D279" s="169"/>
      <c r="E279" s="170"/>
      <c r="F279" s="53"/>
      <c r="G279" s="53"/>
      <c r="H279" s="53"/>
      <c r="I279" s="171"/>
      <c r="J279" s="170"/>
      <c r="K279" s="53"/>
      <c r="L279" s="53"/>
      <c r="M279" s="53"/>
      <c r="N279" s="171"/>
      <c r="O279" s="170"/>
      <c r="P279" s="53"/>
      <c r="Q279" s="53"/>
      <c r="R279" s="53"/>
      <c r="S279" s="171"/>
      <c r="T279" s="170"/>
      <c r="U279" s="53"/>
      <c r="V279" s="53"/>
      <c r="W279" s="53"/>
      <c r="X279" s="171"/>
      <c r="Y279" s="170"/>
      <c r="Z279" s="170"/>
      <c r="AA279" s="170"/>
      <c r="AB279" s="170"/>
      <c r="AC279" s="170"/>
      <c r="AD279" s="53"/>
      <c r="AE279" s="53"/>
    </row>
    <row r="280">
      <c r="A280" s="53"/>
      <c r="B280" s="53"/>
      <c r="C280" s="168"/>
      <c r="D280" s="169"/>
      <c r="E280" s="170"/>
      <c r="F280" s="53"/>
      <c r="G280" s="53"/>
      <c r="H280" s="53"/>
      <c r="I280" s="171"/>
      <c r="J280" s="170"/>
      <c r="K280" s="53"/>
      <c r="L280" s="53"/>
      <c r="M280" s="53"/>
      <c r="N280" s="171"/>
      <c r="O280" s="170"/>
      <c r="P280" s="53"/>
      <c r="Q280" s="53"/>
      <c r="R280" s="53"/>
      <c r="S280" s="171"/>
      <c r="T280" s="170"/>
      <c r="U280" s="53"/>
      <c r="V280" s="53"/>
      <c r="W280" s="53"/>
      <c r="X280" s="171"/>
      <c r="Y280" s="170"/>
      <c r="Z280" s="170"/>
      <c r="AA280" s="170"/>
      <c r="AB280" s="170"/>
      <c r="AC280" s="170"/>
      <c r="AD280" s="53"/>
      <c r="AE280" s="53"/>
    </row>
    <row r="281">
      <c r="A281" s="53"/>
      <c r="B281" s="53"/>
      <c r="C281" s="168"/>
      <c r="D281" s="169"/>
      <c r="E281" s="170"/>
      <c r="F281" s="53"/>
      <c r="G281" s="53"/>
      <c r="H281" s="53"/>
      <c r="I281" s="171"/>
      <c r="J281" s="170"/>
      <c r="K281" s="53"/>
      <c r="L281" s="53"/>
      <c r="M281" s="53"/>
      <c r="N281" s="171"/>
      <c r="O281" s="170"/>
      <c r="P281" s="53"/>
      <c r="Q281" s="53"/>
      <c r="R281" s="53"/>
      <c r="S281" s="171"/>
      <c r="T281" s="170"/>
      <c r="U281" s="53"/>
      <c r="V281" s="53"/>
      <c r="W281" s="53"/>
      <c r="X281" s="171"/>
      <c r="Y281" s="170"/>
      <c r="Z281" s="170"/>
      <c r="AA281" s="170"/>
      <c r="AB281" s="170"/>
      <c r="AC281" s="170"/>
      <c r="AD281" s="53"/>
      <c r="AE281" s="53"/>
    </row>
    <row r="282">
      <c r="A282" s="53"/>
      <c r="B282" s="53"/>
      <c r="C282" s="168"/>
      <c r="D282" s="169"/>
      <c r="E282" s="170"/>
      <c r="F282" s="53"/>
      <c r="G282" s="53"/>
      <c r="H282" s="53"/>
      <c r="I282" s="171"/>
      <c r="J282" s="170"/>
      <c r="K282" s="53"/>
      <c r="L282" s="53"/>
      <c r="M282" s="53"/>
      <c r="N282" s="171"/>
      <c r="O282" s="170"/>
      <c r="P282" s="53"/>
      <c r="Q282" s="53"/>
      <c r="R282" s="53"/>
      <c r="S282" s="171"/>
      <c r="T282" s="170"/>
      <c r="U282" s="53"/>
      <c r="V282" s="53"/>
      <c r="W282" s="53"/>
      <c r="X282" s="171"/>
      <c r="Y282" s="170"/>
      <c r="Z282" s="170"/>
      <c r="AA282" s="170"/>
      <c r="AB282" s="170"/>
      <c r="AC282" s="170"/>
      <c r="AD282" s="53"/>
      <c r="AE282" s="53"/>
    </row>
    <row r="283">
      <c r="A283" s="53"/>
      <c r="B283" s="53"/>
      <c r="C283" s="168"/>
      <c r="D283" s="169"/>
      <c r="E283" s="170"/>
      <c r="F283" s="53"/>
      <c r="G283" s="53"/>
      <c r="H283" s="53"/>
      <c r="I283" s="171"/>
      <c r="J283" s="170"/>
      <c r="K283" s="53"/>
      <c r="L283" s="53"/>
      <c r="M283" s="53"/>
      <c r="N283" s="171"/>
      <c r="O283" s="170"/>
      <c r="P283" s="53"/>
      <c r="Q283" s="53"/>
      <c r="R283" s="53"/>
      <c r="S283" s="171"/>
      <c r="T283" s="170"/>
      <c r="U283" s="53"/>
      <c r="V283" s="53"/>
      <c r="W283" s="53"/>
      <c r="X283" s="171"/>
      <c r="Y283" s="170"/>
      <c r="Z283" s="170"/>
      <c r="AA283" s="170"/>
      <c r="AB283" s="170"/>
      <c r="AC283" s="170"/>
      <c r="AD283" s="53"/>
      <c r="AE283" s="53"/>
    </row>
    <row r="284">
      <c r="A284" s="53"/>
      <c r="B284" s="53"/>
      <c r="C284" s="168"/>
      <c r="D284" s="169"/>
      <c r="E284" s="170"/>
      <c r="F284" s="53"/>
      <c r="G284" s="53"/>
      <c r="H284" s="53"/>
      <c r="I284" s="171"/>
      <c r="J284" s="170"/>
      <c r="K284" s="53"/>
      <c r="L284" s="53"/>
      <c r="M284" s="53"/>
      <c r="N284" s="171"/>
      <c r="O284" s="170"/>
      <c r="P284" s="53"/>
      <c r="Q284" s="53"/>
      <c r="R284" s="53"/>
      <c r="S284" s="171"/>
      <c r="T284" s="170"/>
      <c r="U284" s="53"/>
      <c r="V284" s="53"/>
      <c r="W284" s="53"/>
      <c r="X284" s="171"/>
      <c r="Y284" s="170"/>
      <c r="Z284" s="170"/>
      <c r="AA284" s="170"/>
      <c r="AB284" s="170"/>
      <c r="AC284" s="170"/>
      <c r="AD284" s="53"/>
      <c r="AE284" s="53"/>
    </row>
    <row r="285">
      <c r="A285" s="53"/>
      <c r="B285" s="53"/>
      <c r="C285" s="168"/>
      <c r="D285" s="169"/>
      <c r="E285" s="170"/>
      <c r="F285" s="53"/>
      <c r="G285" s="53"/>
      <c r="H285" s="53"/>
      <c r="I285" s="171"/>
      <c r="J285" s="170"/>
      <c r="K285" s="53"/>
      <c r="L285" s="53"/>
      <c r="M285" s="53"/>
      <c r="N285" s="171"/>
      <c r="O285" s="170"/>
      <c r="P285" s="53"/>
      <c r="Q285" s="53"/>
      <c r="R285" s="53"/>
      <c r="S285" s="171"/>
      <c r="T285" s="170"/>
      <c r="U285" s="53"/>
      <c r="V285" s="53"/>
      <c r="W285" s="53"/>
      <c r="X285" s="171"/>
      <c r="Y285" s="170"/>
      <c r="Z285" s="170"/>
      <c r="AA285" s="170"/>
      <c r="AB285" s="170"/>
      <c r="AC285" s="170"/>
      <c r="AD285" s="53"/>
      <c r="AE285" s="53"/>
    </row>
    <row r="286">
      <c r="A286" s="53"/>
      <c r="B286" s="53"/>
      <c r="C286" s="168"/>
      <c r="D286" s="169"/>
      <c r="E286" s="170"/>
      <c r="F286" s="53"/>
      <c r="G286" s="53"/>
      <c r="H286" s="53"/>
      <c r="I286" s="171"/>
      <c r="J286" s="170"/>
      <c r="K286" s="53"/>
      <c r="L286" s="53"/>
      <c r="M286" s="53"/>
      <c r="N286" s="171"/>
      <c r="O286" s="170"/>
      <c r="P286" s="53"/>
      <c r="Q286" s="53"/>
      <c r="R286" s="53"/>
      <c r="S286" s="171"/>
      <c r="T286" s="170"/>
      <c r="U286" s="53"/>
      <c r="V286" s="53"/>
      <c r="W286" s="53"/>
      <c r="X286" s="171"/>
      <c r="Y286" s="170"/>
      <c r="Z286" s="170"/>
      <c r="AA286" s="170"/>
      <c r="AB286" s="170"/>
      <c r="AC286" s="170"/>
      <c r="AD286" s="53"/>
      <c r="AE286" s="53"/>
    </row>
    <row r="287">
      <c r="A287" s="53"/>
      <c r="B287" s="53"/>
      <c r="C287" s="168"/>
      <c r="D287" s="169"/>
      <c r="E287" s="170"/>
      <c r="F287" s="53"/>
      <c r="G287" s="53"/>
      <c r="H287" s="53"/>
      <c r="I287" s="171"/>
      <c r="J287" s="170"/>
      <c r="K287" s="53"/>
      <c r="L287" s="53"/>
      <c r="M287" s="53"/>
      <c r="N287" s="171"/>
      <c r="O287" s="170"/>
      <c r="P287" s="53"/>
      <c r="Q287" s="53"/>
      <c r="R287" s="53"/>
      <c r="S287" s="171"/>
      <c r="T287" s="170"/>
      <c r="U287" s="53"/>
      <c r="V287" s="53"/>
      <c r="W287" s="53"/>
      <c r="X287" s="171"/>
      <c r="Y287" s="170"/>
      <c r="Z287" s="170"/>
      <c r="AA287" s="170"/>
      <c r="AB287" s="170"/>
      <c r="AC287" s="170"/>
      <c r="AD287" s="53"/>
      <c r="AE287" s="53"/>
    </row>
    <row r="288">
      <c r="A288" s="53"/>
      <c r="B288" s="53"/>
      <c r="C288" s="168"/>
      <c r="D288" s="169"/>
      <c r="E288" s="170"/>
      <c r="F288" s="53"/>
      <c r="G288" s="53"/>
      <c r="H288" s="53"/>
      <c r="I288" s="171"/>
      <c r="J288" s="170"/>
      <c r="K288" s="53"/>
      <c r="L288" s="53"/>
      <c r="M288" s="53"/>
      <c r="N288" s="171"/>
      <c r="O288" s="170"/>
      <c r="P288" s="53"/>
      <c r="Q288" s="53"/>
      <c r="R288" s="53"/>
      <c r="S288" s="171"/>
      <c r="T288" s="170"/>
      <c r="U288" s="53"/>
      <c r="V288" s="53"/>
      <c r="W288" s="53"/>
      <c r="X288" s="171"/>
      <c r="Y288" s="170"/>
      <c r="Z288" s="170"/>
      <c r="AA288" s="170"/>
      <c r="AB288" s="170"/>
      <c r="AC288" s="170"/>
      <c r="AD288" s="53"/>
      <c r="AE288" s="53"/>
    </row>
    <row r="289">
      <c r="A289" s="53"/>
      <c r="B289" s="53"/>
      <c r="C289" s="168"/>
      <c r="D289" s="169"/>
      <c r="E289" s="170"/>
      <c r="F289" s="53"/>
      <c r="G289" s="53"/>
      <c r="H289" s="53"/>
      <c r="I289" s="171"/>
      <c r="J289" s="170"/>
      <c r="K289" s="53"/>
      <c r="L289" s="53"/>
      <c r="M289" s="53"/>
      <c r="N289" s="171"/>
      <c r="O289" s="170"/>
      <c r="P289" s="53"/>
      <c r="Q289" s="53"/>
      <c r="R289" s="53"/>
      <c r="S289" s="171"/>
      <c r="T289" s="170"/>
      <c r="U289" s="53"/>
      <c r="V289" s="53"/>
      <c r="W289" s="53"/>
      <c r="X289" s="171"/>
      <c r="Y289" s="170"/>
      <c r="Z289" s="170"/>
      <c r="AA289" s="170"/>
      <c r="AB289" s="170"/>
      <c r="AC289" s="170"/>
      <c r="AD289" s="53"/>
      <c r="AE289" s="53"/>
    </row>
    <row r="290">
      <c r="A290" s="53"/>
      <c r="B290" s="53"/>
      <c r="C290" s="168"/>
      <c r="D290" s="169"/>
      <c r="E290" s="170"/>
      <c r="F290" s="53"/>
      <c r="G290" s="53"/>
      <c r="H290" s="53"/>
      <c r="I290" s="171"/>
      <c r="J290" s="170"/>
      <c r="K290" s="53"/>
      <c r="L290" s="53"/>
      <c r="M290" s="53"/>
      <c r="N290" s="171"/>
      <c r="O290" s="170"/>
      <c r="P290" s="53"/>
      <c r="Q290" s="53"/>
      <c r="R290" s="53"/>
      <c r="S290" s="171"/>
      <c r="T290" s="170"/>
      <c r="U290" s="53"/>
      <c r="V290" s="53"/>
      <c r="W290" s="53"/>
      <c r="X290" s="171"/>
      <c r="Y290" s="170"/>
      <c r="Z290" s="170"/>
      <c r="AA290" s="170"/>
      <c r="AB290" s="170"/>
      <c r="AC290" s="170"/>
      <c r="AD290" s="53"/>
      <c r="AE290" s="53"/>
    </row>
    <row r="291">
      <c r="A291" s="53"/>
      <c r="B291" s="53"/>
      <c r="C291" s="168"/>
      <c r="D291" s="169"/>
      <c r="E291" s="170"/>
      <c r="F291" s="53"/>
      <c r="G291" s="53"/>
      <c r="H291" s="53"/>
      <c r="I291" s="171"/>
      <c r="J291" s="170"/>
      <c r="K291" s="53"/>
      <c r="L291" s="53"/>
      <c r="M291" s="53"/>
      <c r="N291" s="171"/>
      <c r="O291" s="170"/>
      <c r="P291" s="53"/>
      <c r="Q291" s="53"/>
      <c r="R291" s="53"/>
      <c r="S291" s="171"/>
      <c r="T291" s="170"/>
      <c r="U291" s="53"/>
      <c r="V291" s="53"/>
      <c r="W291" s="53"/>
      <c r="X291" s="171"/>
      <c r="Y291" s="170"/>
      <c r="Z291" s="170"/>
      <c r="AA291" s="170"/>
      <c r="AB291" s="170"/>
      <c r="AC291" s="170"/>
      <c r="AD291" s="53"/>
      <c r="AE291" s="53"/>
    </row>
    <row r="292">
      <c r="A292" s="53"/>
      <c r="B292" s="53"/>
      <c r="C292" s="168"/>
      <c r="D292" s="169"/>
      <c r="E292" s="170"/>
      <c r="F292" s="53"/>
      <c r="G292" s="53"/>
      <c r="H292" s="53"/>
      <c r="I292" s="171"/>
      <c r="J292" s="170"/>
      <c r="K292" s="53"/>
      <c r="L292" s="53"/>
      <c r="M292" s="53"/>
      <c r="N292" s="171"/>
      <c r="O292" s="170"/>
      <c r="P292" s="53"/>
      <c r="Q292" s="53"/>
      <c r="R292" s="53"/>
      <c r="S292" s="171"/>
      <c r="T292" s="170"/>
      <c r="U292" s="53"/>
      <c r="V292" s="53"/>
      <c r="W292" s="53"/>
      <c r="X292" s="171"/>
      <c r="Y292" s="170"/>
      <c r="Z292" s="170"/>
      <c r="AA292" s="170"/>
      <c r="AB292" s="170"/>
      <c r="AC292" s="170"/>
      <c r="AD292" s="53"/>
      <c r="AE292" s="53"/>
    </row>
    <row r="293">
      <c r="A293" s="53"/>
      <c r="B293" s="53"/>
      <c r="C293" s="168"/>
      <c r="D293" s="169"/>
      <c r="E293" s="170"/>
      <c r="F293" s="53"/>
      <c r="G293" s="53"/>
      <c r="H293" s="53"/>
      <c r="I293" s="171"/>
      <c r="J293" s="170"/>
      <c r="K293" s="53"/>
      <c r="L293" s="53"/>
      <c r="M293" s="53"/>
      <c r="N293" s="171"/>
      <c r="O293" s="170"/>
      <c r="P293" s="53"/>
      <c r="Q293" s="53"/>
      <c r="R293" s="53"/>
      <c r="S293" s="171"/>
      <c r="T293" s="170"/>
      <c r="U293" s="53"/>
      <c r="V293" s="53"/>
      <c r="W293" s="53"/>
      <c r="X293" s="171"/>
      <c r="Y293" s="170"/>
      <c r="Z293" s="170"/>
      <c r="AA293" s="170"/>
      <c r="AB293" s="170"/>
      <c r="AC293" s="170"/>
      <c r="AD293" s="53"/>
      <c r="AE293" s="53"/>
    </row>
    <row r="294">
      <c r="A294" s="53"/>
      <c r="B294" s="53"/>
      <c r="C294" s="168"/>
      <c r="D294" s="169"/>
      <c r="E294" s="170"/>
      <c r="F294" s="53"/>
      <c r="G294" s="53"/>
      <c r="H294" s="53"/>
      <c r="I294" s="171"/>
      <c r="J294" s="170"/>
      <c r="K294" s="53"/>
      <c r="L294" s="53"/>
      <c r="M294" s="53"/>
      <c r="N294" s="171"/>
      <c r="O294" s="170"/>
      <c r="P294" s="53"/>
      <c r="Q294" s="53"/>
      <c r="R294" s="53"/>
      <c r="S294" s="171"/>
      <c r="T294" s="170"/>
      <c r="U294" s="53"/>
      <c r="V294" s="53"/>
      <c r="W294" s="53"/>
      <c r="X294" s="171"/>
      <c r="Y294" s="170"/>
      <c r="Z294" s="170"/>
      <c r="AA294" s="170"/>
      <c r="AB294" s="170"/>
      <c r="AC294" s="170"/>
      <c r="AD294" s="53"/>
      <c r="AE294" s="53"/>
    </row>
    <row r="295">
      <c r="A295" s="53"/>
      <c r="B295" s="53"/>
      <c r="C295" s="168"/>
      <c r="D295" s="169"/>
      <c r="E295" s="170"/>
      <c r="F295" s="53"/>
      <c r="G295" s="53"/>
      <c r="H295" s="53"/>
      <c r="I295" s="171"/>
      <c r="J295" s="170"/>
      <c r="K295" s="53"/>
      <c r="L295" s="53"/>
      <c r="M295" s="53"/>
      <c r="N295" s="171"/>
      <c r="O295" s="170"/>
      <c r="P295" s="53"/>
      <c r="Q295" s="53"/>
      <c r="R295" s="53"/>
      <c r="S295" s="171"/>
      <c r="T295" s="170"/>
      <c r="U295" s="53"/>
      <c r="V295" s="53"/>
      <c r="W295" s="53"/>
      <c r="X295" s="171"/>
      <c r="Y295" s="170"/>
      <c r="Z295" s="170"/>
      <c r="AA295" s="170"/>
      <c r="AB295" s="170"/>
      <c r="AC295" s="170"/>
      <c r="AD295" s="53"/>
      <c r="AE295" s="53"/>
    </row>
    <row r="296">
      <c r="A296" s="53"/>
      <c r="B296" s="53"/>
      <c r="C296" s="168"/>
      <c r="D296" s="169"/>
      <c r="E296" s="170"/>
      <c r="F296" s="53"/>
      <c r="G296" s="53"/>
      <c r="H296" s="53"/>
      <c r="I296" s="171"/>
      <c r="J296" s="170"/>
      <c r="K296" s="53"/>
      <c r="L296" s="53"/>
      <c r="M296" s="53"/>
      <c r="N296" s="171"/>
      <c r="O296" s="170"/>
      <c r="P296" s="53"/>
      <c r="Q296" s="53"/>
      <c r="R296" s="53"/>
      <c r="S296" s="171"/>
      <c r="T296" s="170"/>
      <c r="U296" s="53"/>
      <c r="V296" s="53"/>
      <c r="W296" s="53"/>
      <c r="X296" s="171"/>
      <c r="Y296" s="170"/>
      <c r="Z296" s="170"/>
      <c r="AA296" s="170"/>
      <c r="AB296" s="170"/>
      <c r="AC296" s="170"/>
      <c r="AD296" s="53"/>
      <c r="AE296" s="53"/>
    </row>
    <row r="297">
      <c r="A297" s="53"/>
      <c r="B297" s="53"/>
      <c r="C297" s="168"/>
      <c r="D297" s="169"/>
      <c r="E297" s="170"/>
      <c r="F297" s="53"/>
      <c r="G297" s="53"/>
      <c r="H297" s="53"/>
      <c r="I297" s="171"/>
      <c r="J297" s="170"/>
      <c r="K297" s="53"/>
      <c r="L297" s="53"/>
      <c r="M297" s="53"/>
      <c r="N297" s="171"/>
      <c r="O297" s="170"/>
      <c r="P297" s="53"/>
      <c r="Q297" s="53"/>
      <c r="R297" s="53"/>
      <c r="S297" s="171"/>
      <c r="T297" s="170"/>
      <c r="U297" s="53"/>
      <c r="V297" s="53"/>
      <c r="W297" s="53"/>
      <c r="X297" s="171"/>
      <c r="Y297" s="170"/>
      <c r="Z297" s="170"/>
      <c r="AA297" s="170"/>
      <c r="AB297" s="170"/>
      <c r="AC297" s="170"/>
      <c r="AD297" s="53"/>
      <c r="AE297" s="53"/>
    </row>
    <row r="298">
      <c r="A298" s="53"/>
      <c r="B298" s="53"/>
      <c r="C298" s="168"/>
      <c r="D298" s="169"/>
      <c r="E298" s="170"/>
      <c r="F298" s="53"/>
      <c r="G298" s="53"/>
      <c r="H298" s="53"/>
      <c r="I298" s="171"/>
      <c r="J298" s="170"/>
      <c r="K298" s="53"/>
      <c r="L298" s="53"/>
      <c r="M298" s="53"/>
      <c r="N298" s="171"/>
      <c r="O298" s="170"/>
      <c r="P298" s="53"/>
      <c r="Q298" s="53"/>
      <c r="R298" s="53"/>
      <c r="S298" s="171"/>
      <c r="T298" s="170"/>
      <c r="U298" s="53"/>
      <c r="V298" s="53"/>
      <c r="W298" s="53"/>
      <c r="X298" s="171"/>
      <c r="Y298" s="170"/>
      <c r="Z298" s="170"/>
      <c r="AA298" s="170"/>
      <c r="AB298" s="170"/>
      <c r="AC298" s="170"/>
      <c r="AD298" s="53"/>
      <c r="AE298" s="53"/>
    </row>
    <row r="299">
      <c r="A299" s="53"/>
      <c r="B299" s="53"/>
      <c r="C299" s="168"/>
      <c r="D299" s="169"/>
      <c r="E299" s="170"/>
      <c r="F299" s="53"/>
      <c r="G299" s="53"/>
      <c r="H299" s="53"/>
      <c r="I299" s="171"/>
      <c r="J299" s="170"/>
      <c r="K299" s="53"/>
      <c r="L299" s="53"/>
      <c r="M299" s="53"/>
      <c r="N299" s="171"/>
      <c r="O299" s="170"/>
      <c r="P299" s="53"/>
      <c r="Q299" s="53"/>
      <c r="R299" s="53"/>
      <c r="S299" s="171"/>
      <c r="T299" s="170"/>
      <c r="U299" s="53"/>
      <c r="V299" s="53"/>
      <c r="W299" s="53"/>
      <c r="X299" s="171"/>
      <c r="Y299" s="170"/>
      <c r="Z299" s="170"/>
      <c r="AA299" s="170"/>
      <c r="AB299" s="170"/>
      <c r="AC299" s="170"/>
      <c r="AD299" s="53"/>
      <c r="AE299" s="53"/>
    </row>
    <row r="300">
      <c r="A300" s="53"/>
      <c r="B300" s="53"/>
      <c r="C300" s="168"/>
      <c r="D300" s="169"/>
      <c r="E300" s="170"/>
      <c r="F300" s="53"/>
      <c r="G300" s="53"/>
      <c r="H300" s="53"/>
      <c r="I300" s="171"/>
      <c r="J300" s="170"/>
      <c r="K300" s="53"/>
      <c r="L300" s="53"/>
      <c r="M300" s="53"/>
      <c r="N300" s="171"/>
      <c r="O300" s="170"/>
      <c r="P300" s="53"/>
      <c r="Q300" s="53"/>
      <c r="R300" s="53"/>
      <c r="S300" s="171"/>
      <c r="T300" s="170"/>
      <c r="U300" s="53"/>
      <c r="V300" s="53"/>
      <c r="W300" s="53"/>
      <c r="X300" s="171"/>
      <c r="Y300" s="170"/>
      <c r="Z300" s="170"/>
      <c r="AA300" s="170"/>
      <c r="AB300" s="170"/>
      <c r="AC300" s="170"/>
      <c r="AD300" s="53"/>
      <c r="AE300" s="53"/>
    </row>
    <row r="301">
      <c r="A301" s="53"/>
      <c r="B301" s="53"/>
      <c r="C301" s="168"/>
      <c r="D301" s="169"/>
      <c r="E301" s="170"/>
      <c r="F301" s="53"/>
      <c r="G301" s="53"/>
      <c r="H301" s="53"/>
      <c r="I301" s="171"/>
      <c r="J301" s="170"/>
      <c r="K301" s="53"/>
      <c r="L301" s="53"/>
      <c r="M301" s="53"/>
      <c r="N301" s="171"/>
      <c r="O301" s="170"/>
      <c r="P301" s="53"/>
      <c r="Q301" s="53"/>
      <c r="R301" s="53"/>
      <c r="S301" s="171"/>
      <c r="T301" s="170"/>
      <c r="U301" s="53"/>
      <c r="V301" s="53"/>
      <c r="W301" s="53"/>
      <c r="X301" s="171"/>
      <c r="Y301" s="170"/>
      <c r="Z301" s="170"/>
      <c r="AA301" s="170"/>
      <c r="AB301" s="170"/>
      <c r="AC301" s="170"/>
      <c r="AD301" s="53"/>
      <c r="AE301" s="53"/>
    </row>
    <row r="302">
      <c r="A302" s="53"/>
      <c r="B302" s="53"/>
      <c r="C302" s="168"/>
      <c r="D302" s="169"/>
      <c r="E302" s="170"/>
      <c r="F302" s="53"/>
      <c r="G302" s="53"/>
      <c r="H302" s="53"/>
      <c r="I302" s="171"/>
      <c r="J302" s="170"/>
      <c r="K302" s="53"/>
      <c r="L302" s="53"/>
      <c r="M302" s="53"/>
      <c r="N302" s="171"/>
      <c r="O302" s="170"/>
      <c r="P302" s="53"/>
      <c r="Q302" s="53"/>
      <c r="R302" s="53"/>
      <c r="S302" s="171"/>
      <c r="T302" s="170"/>
      <c r="U302" s="53"/>
      <c r="V302" s="53"/>
      <c r="W302" s="53"/>
      <c r="X302" s="171"/>
      <c r="Y302" s="170"/>
      <c r="Z302" s="170"/>
      <c r="AA302" s="170"/>
      <c r="AB302" s="170"/>
      <c r="AC302" s="170"/>
      <c r="AD302" s="53"/>
      <c r="AE302" s="53"/>
    </row>
    <row r="303">
      <c r="A303" s="53"/>
      <c r="B303" s="53"/>
      <c r="C303" s="168"/>
      <c r="D303" s="169"/>
      <c r="E303" s="170"/>
      <c r="F303" s="53"/>
      <c r="G303" s="53"/>
      <c r="H303" s="53"/>
      <c r="I303" s="171"/>
      <c r="J303" s="170"/>
      <c r="K303" s="53"/>
      <c r="L303" s="53"/>
      <c r="M303" s="53"/>
      <c r="N303" s="171"/>
      <c r="O303" s="170"/>
      <c r="P303" s="53"/>
      <c r="Q303" s="53"/>
      <c r="R303" s="53"/>
      <c r="S303" s="171"/>
      <c r="T303" s="170"/>
      <c r="U303" s="53"/>
      <c r="V303" s="53"/>
      <c r="W303" s="53"/>
      <c r="X303" s="171"/>
      <c r="Y303" s="170"/>
      <c r="Z303" s="170"/>
      <c r="AA303" s="170"/>
      <c r="AB303" s="170"/>
      <c r="AC303" s="170"/>
      <c r="AD303" s="53"/>
      <c r="AE303" s="53"/>
    </row>
    <row r="304">
      <c r="A304" s="53"/>
      <c r="B304" s="53"/>
      <c r="C304" s="168"/>
      <c r="D304" s="169"/>
      <c r="E304" s="170"/>
      <c r="F304" s="53"/>
      <c r="G304" s="53"/>
      <c r="H304" s="53"/>
      <c r="I304" s="171"/>
      <c r="J304" s="170"/>
      <c r="K304" s="53"/>
      <c r="L304" s="53"/>
      <c r="M304" s="53"/>
      <c r="N304" s="171"/>
      <c r="O304" s="170"/>
      <c r="P304" s="53"/>
      <c r="Q304" s="53"/>
      <c r="R304" s="53"/>
      <c r="S304" s="171"/>
      <c r="T304" s="170"/>
      <c r="U304" s="53"/>
      <c r="V304" s="53"/>
      <c r="W304" s="53"/>
      <c r="X304" s="171"/>
      <c r="Y304" s="170"/>
      <c r="Z304" s="170"/>
      <c r="AA304" s="170"/>
      <c r="AB304" s="170"/>
      <c r="AC304" s="170"/>
      <c r="AD304" s="53"/>
      <c r="AE304" s="53"/>
    </row>
    <row r="305">
      <c r="A305" s="53"/>
      <c r="B305" s="53"/>
      <c r="C305" s="168"/>
      <c r="D305" s="169"/>
      <c r="E305" s="170"/>
      <c r="F305" s="53"/>
      <c r="G305" s="53"/>
      <c r="H305" s="53"/>
      <c r="I305" s="171"/>
      <c r="J305" s="170"/>
      <c r="K305" s="53"/>
      <c r="L305" s="53"/>
      <c r="M305" s="53"/>
      <c r="N305" s="171"/>
      <c r="O305" s="170"/>
      <c r="P305" s="53"/>
      <c r="Q305" s="53"/>
      <c r="R305" s="53"/>
      <c r="S305" s="171"/>
      <c r="T305" s="170"/>
      <c r="U305" s="53"/>
      <c r="V305" s="53"/>
      <c r="W305" s="53"/>
      <c r="X305" s="171"/>
      <c r="Y305" s="170"/>
      <c r="Z305" s="170"/>
      <c r="AA305" s="170"/>
      <c r="AB305" s="170"/>
      <c r="AC305" s="170"/>
      <c r="AD305" s="53"/>
      <c r="AE305" s="53"/>
    </row>
    <row r="306">
      <c r="A306" s="53"/>
      <c r="B306" s="53"/>
      <c r="C306" s="168"/>
      <c r="D306" s="169"/>
      <c r="E306" s="170"/>
      <c r="F306" s="53"/>
      <c r="G306" s="53"/>
      <c r="H306" s="53"/>
      <c r="I306" s="171"/>
      <c r="J306" s="170"/>
      <c r="K306" s="53"/>
      <c r="L306" s="53"/>
      <c r="M306" s="53"/>
      <c r="N306" s="171"/>
      <c r="O306" s="170"/>
      <c r="P306" s="53"/>
      <c r="Q306" s="53"/>
      <c r="R306" s="53"/>
      <c r="S306" s="171"/>
      <c r="T306" s="170"/>
      <c r="U306" s="53"/>
      <c r="V306" s="53"/>
      <c r="W306" s="53"/>
      <c r="X306" s="171"/>
      <c r="Y306" s="170"/>
      <c r="Z306" s="170"/>
      <c r="AA306" s="170"/>
      <c r="AB306" s="170"/>
      <c r="AC306" s="170"/>
      <c r="AD306" s="53"/>
      <c r="AE306" s="53"/>
    </row>
    <row r="307">
      <c r="A307" s="53"/>
      <c r="B307" s="53"/>
      <c r="C307" s="168"/>
      <c r="D307" s="169"/>
      <c r="E307" s="170"/>
      <c r="F307" s="53"/>
      <c r="G307" s="53"/>
      <c r="H307" s="53"/>
      <c r="I307" s="171"/>
      <c r="J307" s="170"/>
      <c r="K307" s="53"/>
      <c r="L307" s="53"/>
      <c r="M307" s="53"/>
      <c r="N307" s="171"/>
      <c r="O307" s="170"/>
      <c r="P307" s="53"/>
      <c r="Q307" s="53"/>
      <c r="R307" s="53"/>
      <c r="S307" s="171"/>
      <c r="T307" s="170"/>
      <c r="U307" s="53"/>
      <c r="V307" s="53"/>
      <c r="W307" s="53"/>
      <c r="X307" s="171"/>
      <c r="Y307" s="170"/>
      <c r="Z307" s="170"/>
      <c r="AA307" s="170"/>
      <c r="AB307" s="170"/>
      <c r="AC307" s="170"/>
      <c r="AD307" s="53"/>
      <c r="AE307" s="53"/>
    </row>
    <row r="308">
      <c r="A308" s="53"/>
      <c r="B308" s="53"/>
      <c r="C308" s="168"/>
      <c r="D308" s="169"/>
      <c r="E308" s="170"/>
      <c r="F308" s="53"/>
      <c r="G308" s="53"/>
      <c r="H308" s="53"/>
      <c r="I308" s="171"/>
      <c r="J308" s="170"/>
      <c r="K308" s="53"/>
      <c r="L308" s="53"/>
      <c r="M308" s="53"/>
      <c r="N308" s="171"/>
      <c r="O308" s="170"/>
      <c r="P308" s="53"/>
      <c r="Q308" s="53"/>
      <c r="R308" s="53"/>
      <c r="S308" s="171"/>
      <c r="T308" s="170"/>
      <c r="U308" s="53"/>
      <c r="V308" s="53"/>
      <c r="W308" s="53"/>
      <c r="X308" s="171"/>
      <c r="Y308" s="170"/>
      <c r="Z308" s="170"/>
      <c r="AA308" s="170"/>
      <c r="AB308" s="170"/>
      <c r="AC308" s="170"/>
      <c r="AD308" s="53"/>
      <c r="AE308" s="53"/>
    </row>
    <row r="309">
      <c r="A309" s="53"/>
      <c r="B309" s="53"/>
      <c r="C309" s="168"/>
      <c r="D309" s="169"/>
      <c r="E309" s="170"/>
      <c r="F309" s="53"/>
      <c r="G309" s="53"/>
      <c r="H309" s="53"/>
      <c r="I309" s="171"/>
      <c r="J309" s="170"/>
      <c r="K309" s="53"/>
      <c r="L309" s="53"/>
      <c r="M309" s="53"/>
      <c r="N309" s="171"/>
      <c r="O309" s="170"/>
      <c r="P309" s="53"/>
      <c r="Q309" s="53"/>
      <c r="R309" s="53"/>
      <c r="S309" s="171"/>
      <c r="T309" s="170"/>
      <c r="U309" s="53"/>
      <c r="V309" s="53"/>
      <c r="W309" s="53"/>
      <c r="X309" s="171"/>
      <c r="Y309" s="170"/>
      <c r="Z309" s="170"/>
      <c r="AA309" s="170"/>
      <c r="AB309" s="170"/>
      <c r="AC309" s="170"/>
      <c r="AD309" s="53"/>
      <c r="AE309" s="53"/>
    </row>
    <row r="310">
      <c r="A310" s="53"/>
      <c r="B310" s="53"/>
      <c r="C310" s="168"/>
      <c r="D310" s="169"/>
      <c r="E310" s="170"/>
      <c r="F310" s="53"/>
      <c r="G310" s="53"/>
      <c r="H310" s="53"/>
      <c r="I310" s="171"/>
      <c r="J310" s="170"/>
      <c r="K310" s="53"/>
      <c r="L310" s="53"/>
      <c r="M310" s="53"/>
      <c r="N310" s="171"/>
      <c r="O310" s="170"/>
      <c r="P310" s="53"/>
      <c r="Q310" s="53"/>
      <c r="R310" s="53"/>
      <c r="S310" s="171"/>
      <c r="T310" s="170"/>
      <c r="U310" s="53"/>
      <c r="V310" s="53"/>
      <c r="W310" s="53"/>
      <c r="X310" s="171"/>
      <c r="Y310" s="170"/>
      <c r="Z310" s="170"/>
      <c r="AA310" s="170"/>
      <c r="AB310" s="170"/>
      <c r="AC310" s="170"/>
      <c r="AD310" s="53"/>
      <c r="AE310" s="53"/>
    </row>
    <row r="311">
      <c r="A311" s="53"/>
      <c r="B311" s="53"/>
      <c r="C311" s="168"/>
      <c r="D311" s="169"/>
      <c r="E311" s="170"/>
      <c r="F311" s="53"/>
      <c r="G311" s="53"/>
      <c r="H311" s="53"/>
      <c r="I311" s="171"/>
      <c r="J311" s="170"/>
      <c r="K311" s="53"/>
      <c r="L311" s="53"/>
      <c r="M311" s="53"/>
      <c r="N311" s="171"/>
      <c r="O311" s="170"/>
      <c r="P311" s="53"/>
      <c r="Q311" s="53"/>
      <c r="R311" s="53"/>
      <c r="S311" s="171"/>
      <c r="T311" s="170"/>
      <c r="U311" s="53"/>
      <c r="V311" s="53"/>
      <c r="W311" s="53"/>
      <c r="X311" s="171"/>
      <c r="Y311" s="170"/>
      <c r="Z311" s="170"/>
      <c r="AA311" s="170"/>
      <c r="AB311" s="170"/>
      <c r="AC311" s="170"/>
      <c r="AD311" s="53"/>
      <c r="AE311" s="53"/>
    </row>
    <row r="312">
      <c r="A312" s="53"/>
      <c r="B312" s="53"/>
      <c r="C312" s="168"/>
      <c r="D312" s="169"/>
      <c r="E312" s="170"/>
      <c r="F312" s="53"/>
      <c r="G312" s="53"/>
      <c r="H312" s="53"/>
      <c r="I312" s="171"/>
      <c r="J312" s="170"/>
      <c r="K312" s="53"/>
      <c r="L312" s="53"/>
      <c r="M312" s="53"/>
      <c r="N312" s="171"/>
      <c r="O312" s="170"/>
      <c r="P312" s="53"/>
      <c r="Q312" s="53"/>
      <c r="R312" s="53"/>
      <c r="S312" s="171"/>
      <c r="T312" s="170"/>
      <c r="U312" s="53"/>
      <c r="V312" s="53"/>
      <c r="W312" s="53"/>
      <c r="X312" s="171"/>
      <c r="Y312" s="170"/>
      <c r="Z312" s="170"/>
      <c r="AA312" s="170"/>
      <c r="AB312" s="170"/>
      <c r="AC312" s="170"/>
      <c r="AD312" s="53"/>
      <c r="AE312" s="53"/>
    </row>
    <row r="313">
      <c r="A313" s="53"/>
      <c r="B313" s="53"/>
      <c r="C313" s="168"/>
      <c r="D313" s="169"/>
      <c r="E313" s="170"/>
      <c r="F313" s="53"/>
      <c r="G313" s="53"/>
      <c r="H313" s="53"/>
      <c r="I313" s="171"/>
      <c r="J313" s="170"/>
      <c r="K313" s="53"/>
      <c r="L313" s="53"/>
      <c r="M313" s="53"/>
      <c r="N313" s="171"/>
      <c r="O313" s="170"/>
      <c r="P313" s="53"/>
      <c r="Q313" s="53"/>
      <c r="R313" s="53"/>
      <c r="S313" s="171"/>
      <c r="T313" s="170"/>
      <c r="U313" s="53"/>
      <c r="V313" s="53"/>
      <c r="W313" s="53"/>
      <c r="X313" s="171"/>
      <c r="Y313" s="170"/>
      <c r="Z313" s="170"/>
      <c r="AA313" s="170"/>
      <c r="AB313" s="170"/>
      <c r="AC313" s="170"/>
      <c r="AD313" s="53"/>
      <c r="AE313" s="53"/>
    </row>
    <row r="314">
      <c r="A314" s="53"/>
      <c r="B314" s="53"/>
      <c r="C314" s="168"/>
      <c r="D314" s="169"/>
      <c r="E314" s="170"/>
      <c r="F314" s="53"/>
      <c r="G314" s="53"/>
      <c r="H314" s="53"/>
      <c r="I314" s="171"/>
      <c r="J314" s="170"/>
      <c r="K314" s="53"/>
      <c r="L314" s="53"/>
      <c r="M314" s="53"/>
      <c r="N314" s="171"/>
      <c r="O314" s="170"/>
      <c r="P314" s="53"/>
      <c r="Q314" s="53"/>
      <c r="R314" s="53"/>
      <c r="S314" s="171"/>
      <c r="T314" s="170"/>
      <c r="U314" s="53"/>
      <c r="V314" s="53"/>
      <c r="W314" s="53"/>
      <c r="X314" s="171"/>
      <c r="Y314" s="170"/>
      <c r="Z314" s="170"/>
      <c r="AA314" s="170"/>
      <c r="AB314" s="170"/>
      <c r="AC314" s="170"/>
      <c r="AD314" s="53"/>
      <c r="AE314" s="53"/>
    </row>
    <row r="315">
      <c r="A315" s="53"/>
      <c r="B315" s="53"/>
      <c r="C315" s="168"/>
      <c r="D315" s="169"/>
      <c r="E315" s="170"/>
      <c r="F315" s="53"/>
      <c r="G315" s="53"/>
      <c r="H315" s="53"/>
      <c r="I315" s="171"/>
      <c r="J315" s="170"/>
      <c r="K315" s="53"/>
      <c r="L315" s="53"/>
      <c r="M315" s="53"/>
      <c r="N315" s="171"/>
      <c r="O315" s="170"/>
      <c r="P315" s="53"/>
      <c r="Q315" s="53"/>
      <c r="R315" s="53"/>
      <c r="S315" s="171"/>
      <c r="T315" s="170"/>
      <c r="U315" s="53"/>
      <c r="V315" s="53"/>
      <c r="W315" s="53"/>
      <c r="X315" s="171"/>
      <c r="Y315" s="170"/>
      <c r="Z315" s="170"/>
      <c r="AA315" s="170"/>
      <c r="AB315" s="170"/>
      <c r="AC315" s="170"/>
      <c r="AD315" s="53"/>
      <c r="AE315" s="53"/>
    </row>
    <row r="316">
      <c r="A316" s="53"/>
      <c r="B316" s="53"/>
      <c r="C316" s="168"/>
      <c r="D316" s="169"/>
      <c r="E316" s="170"/>
      <c r="F316" s="53"/>
      <c r="G316" s="53"/>
      <c r="H316" s="53"/>
      <c r="I316" s="171"/>
      <c r="J316" s="170"/>
      <c r="K316" s="53"/>
      <c r="L316" s="53"/>
      <c r="M316" s="53"/>
      <c r="N316" s="171"/>
      <c r="O316" s="170"/>
      <c r="P316" s="53"/>
      <c r="Q316" s="53"/>
      <c r="R316" s="53"/>
      <c r="S316" s="171"/>
      <c r="T316" s="170"/>
      <c r="U316" s="53"/>
      <c r="V316" s="53"/>
      <c r="W316" s="53"/>
      <c r="X316" s="171"/>
      <c r="Y316" s="170"/>
      <c r="Z316" s="170"/>
      <c r="AA316" s="170"/>
      <c r="AB316" s="170"/>
      <c r="AC316" s="170"/>
      <c r="AD316" s="53"/>
      <c r="AE316" s="53"/>
    </row>
    <row r="317">
      <c r="A317" s="53"/>
      <c r="B317" s="53"/>
      <c r="C317" s="168"/>
      <c r="D317" s="169"/>
      <c r="E317" s="170"/>
      <c r="F317" s="53"/>
      <c r="G317" s="53"/>
      <c r="H317" s="53"/>
      <c r="I317" s="171"/>
      <c r="J317" s="170"/>
      <c r="K317" s="53"/>
      <c r="L317" s="53"/>
      <c r="M317" s="53"/>
      <c r="N317" s="171"/>
      <c r="O317" s="170"/>
      <c r="P317" s="53"/>
      <c r="Q317" s="53"/>
      <c r="R317" s="53"/>
      <c r="S317" s="171"/>
      <c r="T317" s="170"/>
      <c r="U317" s="53"/>
      <c r="V317" s="53"/>
      <c r="W317" s="53"/>
      <c r="X317" s="171"/>
      <c r="Y317" s="170"/>
      <c r="Z317" s="170"/>
      <c r="AA317" s="170"/>
      <c r="AB317" s="170"/>
      <c r="AC317" s="170"/>
      <c r="AD317" s="53"/>
      <c r="AE317" s="53"/>
    </row>
    <row r="318">
      <c r="A318" s="53"/>
      <c r="B318" s="53"/>
      <c r="C318" s="168"/>
      <c r="D318" s="169"/>
      <c r="E318" s="170"/>
      <c r="F318" s="53"/>
      <c r="G318" s="53"/>
      <c r="H318" s="53"/>
      <c r="I318" s="171"/>
      <c r="J318" s="170"/>
      <c r="K318" s="53"/>
      <c r="L318" s="53"/>
      <c r="M318" s="53"/>
      <c r="N318" s="171"/>
      <c r="O318" s="170"/>
      <c r="P318" s="53"/>
      <c r="Q318" s="53"/>
      <c r="R318" s="53"/>
      <c r="S318" s="171"/>
      <c r="T318" s="170"/>
      <c r="U318" s="53"/>
      <c r="V318" s="53"/>
      <c r="W318" s="53"/>
      <c r="X318" s="171"/>
      <c r="Y318" s="170"/>
      <c r="Z318" s="170"/>
      <c r="AA318" s="170"/>
      <c r="AB318" s="170"/>
      <c r="AC318" s="170"/>
      <c r="AD318" s="53"/>
      <c r="AE318" s="53"/>
    </row>
    <row r="319">
      <c r="A319" s="53"/>
      <c r="B319" s="53"/>
      <c r="C319" s="168"/>
      <c r="D319" s="169"/>
      <c r="E319" s="170"/>
      <c r="F319" s="53"/>
      <c r="G319" s="53"/>
      <c r="H319" s="53"/>
      <c r="I319" s="171"/>
      <c r="J319" s="170"/>
      <c r="K319" s="53"/>
      <c r="L319" s="53"/>
      <c r="M319" s="53"/>
      <c r="N319" s="171"/>
      <c r="O319" s="170"/>
      <c r="P319" s="53"/>
      <c r="Q319" s="53"/>
      <c r="R319" s="53"/>
      <c r="S319" s="171"/>
      <c r="T319" s="170"/>
      <c r="U319" s="53"/>
      <c r="V319" s="53"/>
      <c r="W319" s="53"/>
      <c r="X319" s="171"/>
      <c r="Y319" s="170"/>
      <c r="Z319" s="170"/>
      <c r="AA319" s="170"/>
      <c r="AB319" s="170"/>
      <c r="AC319" s="170"/>
      <c r="AD319" s="53"/>
      <c r="AE319" s="53"/>
    </row>
    <row r="320">
      <c r="A320" s="53"/>
      <c r="B320" s="53"/>
      <c r="C320" s="168"/>
      <c r="D320" s="169"/>
      <c r="E320" s="170"/>
      <c r="F320" s="53"/>
      <c r="G320" s="53"/>
      <c r="H320" s="53"/>
      <c r="I320" s="171"/>
      <c r="J320" s="170"/>
      <c r="K320" s="53"/>
      <c r="L320" s="53"/>
      <c r="M320" s="53"/>
      <c r="N320" s="171"/>
      <c r="O320" s="170"/>
      <c r="P320" s="53"/>
      <c r="Q320" s="53"/>
      <c r="R320" s="53"/>
      <c r="S320" s="171"/>
      <c r="T320" s="170"/>
      <c r="U320" s="53"/>
      <c r="V320" s="53"/>
      <c r="W320" s="53"/>
      <c r="X320" s="171"/>
      <c r="Y320" s="170"/>
      <c r="Z320" s="170"/>
      <c r="AA320" s="170"/>
      <c r="AB320" s="170"/>
      <c r="AC320" s="170"/>
      <c r="AD320" s="53"/>
      <c r="AE320" s="53"/>
    </row>
    <row r="321">
      <c r="A321" s="53"/>
      <c r="B321" s="53"/>
      <c r="C321" s="168"/>
      <c r="D321" s="169"/>
      <c r="E321" s="170"/>
      <c r="F321" s="53"/>
      <c r="G321" s="53"/>
      <c r="H321" s="53"/>
      <c r="I321" s="171"/>
      <c r="J321" s="170"/>
      <c r="K321" s="53"/>
      <c r="L321" s="53"/>
      <c r="M321" s="53"/>
      <c r="N321" s="171"/>
      <c r="O321" s="170"/>
      <c r="P321" s="53"/>
      <c r="Q321" s="53"/>
      <c r="R321" s="53"/>
      <c r="S321" s="171"/>
      <c r="T321" s="170"/>
      <c r="U321" s="53"/>
      <c r="V321" s="53"/>
      <c r="W321" s="53"/>
      <c r="X321" s="171"/>
      <c r="Y321" s="170"/>
      <c r="Z321" s="170"/>
      <c r="AA321" s="170"/>
      <c r="AB321" s="170"/>
      <c r="AC321" s="170"/>
      <c r="AD321" s="53"/>
      <c r="AE321" s="53"/>
    </row>
    <row r="322">
      <c r="A322" s="53"/>
      <c r="B322" s="53"/>
      <c r="C322" s="168"/>
      <c r="D322" s="169"/>
      <c r="E322" s="170"/>
      <c r="F322" s="53"/>
      <c r="G322" s="53"/>
      <c r="H322" s="53"/>
      <c r="I322" s="171"/>
      <c r="J322" s="170"/>
      <c r="K322" s="53"/>
      <c r="L322" s="53"/>
      <c r="M322" s="53"/>
      <c r="N322" s="171"/>
      <c r="O322" s="170"/>
      <c r="P322" s="53"/>
      <c r="Q322" s="53"/>
      <c r="R322" s="53"/>
      <c r="S322" s="171"/>
      <c r="T322" s="170"/>
      <c r="U322" s="53"/>
      <c r="V322" s="53"/>
      <c r="W322" s="53"/>
      <c r="X322" s="171"/>
      <c r="Y322" s="170"/>
      <c r="Z322" s="170"/>
      <c r="AA322" s="170"/>
      <c r="AB322" s="170"/>
      <c r="AC322" s="170"/>
      <c r="AD322" s="53"/>
      <c r="AE322" s="53"/>
    </row>
    <row r="323">
      <c r="A323" s="53"/>
      <c r="B323" s="53"/>
      <c r="C323" s="168"/>
      <c r="D323" s="169"/>
      <c r="E323" s="170"/>
      <c r="F323" s="53"/>
      <c r="G323" s="53"/>
      <c r="H323" s="53"/>
      <c r="I323" s="171"/>
      <c r="J323" s="170"/>
      <c r="K323" s="53"/>
      <c r="L323" s="53"/>
      <c r="M323" s="53"/>
      <c r="N323" s="171"/>
      <c r="O323" s="170"/>
      <c r="P323" s="53"/>
      <c r="Q323" s="53"/>
      <c r="R323" s="53"/>
      <c r="S323" s="171"/>
      <c r="T323" s="170"/>
      <c r="U323" s="53"/>
      <c r="V323" s="53"/>
      <c r="W323" s="53"/>
      <c r="X323" s="171"/>
      <c r="Y323" s="170"/>
      <c r="Z323" s="170"/>
      <c r="AA323" s="170"/>
      <c r="AB323" s="170"/>
      <c r="AC323" s="170"/>
      <c r="AD323" s="53"/>
      <c r="AE323" s="53"/>
    </row>
    <row r="324">
      <c r="A324" s="53"/>
      <c r="B324" s="53"/>
      <c r="C324" s="168"/>
      <c r="D324" s="169"/>
      <c r="E324" s="170"/>
      <c r="F324" s="53"/>
      <c r="G324" s="53"/>
      <c r="H324" s="53"/>
      <c r="I324" s="171"/>
      <c r="J324" s="170"/>
      <c r="K324" s="53"/>
      <c r="L324" s="53"/>
      <c r="M324" s="53"/>
      <c r="N324" s="171"/>
      <c r="O324" s="170"/>
      <c r="P324" s="53"/>
      <c r="Q324" s="53"/>
      <c r="R324" s="53"/>
      <c r="S324" s="171"/>
      <c r="T324" s="170"/>
      <c r="U324" s="53"/>
      <c r="V324" s="53"/>
      <c r="W324" s="53"/>
      <c r="X324" s="171"/>
      <c r="Y324" s="170"/>
      <c r="Z324" s="170"/>
      <c r="AA324" s="170"/>
      <c r="AB324" s="170"/>
      <c r="AC324" s="170"/>
      <c r="AD324" s="53"/>
      <c r="AE324" s="53"/>
    </row>
    <row r="325">
      <c r="A325" s="53"/>
      <c r="B325" s="53"/>
      <c r="C325" s="168"/>
      <c r="D325" s="169"/>
      <c r="E325" s="170"/>
      <c r="F325" s="53"/>
      <c r="G325" s="53"/>
      <c r="H325" s="53"/>
      <c r="I325" s="171"/>
      <c r="J325" s="170"/>
      <c r="K325" s="53"/>
      <c r="L325" s="53"/>
      <c r="M325" s="53"/>
      <c r="N325" s="171"/>
      <c r="O325" s="170"/>
      <c r="P325" s="53"/>
      <c r="Q325" s="53"/>
      <c r="R325" s="53"/>
      <c r="S325" s="171"/>
      <c r="T325" s="170"/>
      <c r="U325" s="53"/>
      <c r="V325" s="53"/>
      <c r="W325" s="53"/>
      <c r="X325" s="171"/>
      <c r="Y325" s="170"/>
      <c r="Z325" s="170"/>
      <c r="AA325" s="170"/>
      <c r="AB325" s="170"/>
      <c r="AC325" s="170"/>
      <c r="AD325" s="53"/>
      <c r="AE325" s="53"/>
    </row>
    <row r="326">
      <c r="A326" s="53"/>
      <c r="B326" s="53"/>
      <c r="C326" s="168"/>
      <c r="D326" s="169"/>
      <c r="E326" s="170"/>
      <c r="F326" s="53"/>
      <c r="G326" s="53"/>
      <c r="H326" s="53"/>
      <c r="I326" s="171"/>
      <c r="J326" s="170"/>
      <c r="K326" s="53"/>
      <c r="L326" s="53"/>
      <c r="M326" s="53"/>
      <c r="N326" s="171"/>
      <c r="O326" s="170"/>
      <c r="P326" s="53"/>
      <c r="Q326" s="53"/>
      <c r="R326" s="53"/>
      <c r="S326" s="171"/>
      <c r="T326" s="170"/>
      <c r="U326" s="53"/>
      <c r="V326" s="53"/>
      <c r="W326" s="53"/>
      <c r="X326" s="171"/>
      <c r="Y326" s="170"/>
      <c r="Z326" s="170"/>
      <c r="AA326" s="170"/>
      <c r="AB326" s="170"/>
      <c r="AC326" s="170"/>
      <c r="AD326" s="53"/>
      <c r="AE326" s="53"/>
    </row>
    <row r="327">
      <c r="A327" s="53"/>
      <c r="B327" s="53"/>
      <c r="C327" s="168"/>
      <c r="D327" s="169"/>
      <c r="E327" s="170"/>
      <c r="F327" s="53"/>
      <c r="G327" s="53"/>
      <c r="H327" s="53"/>
      <c r="I327" s="171"/>
      <c r="J327" s="170"/>
      <c r="K327" s="53"/>
      <c r="L327" s="53"/>
      <c r="M327" s="53"/>
      <c r="N327" s="171"/>
      <c r="O327" s="170"/>
      <c r="P327" s="53"/>
      <c r="Q327" s="53"/>
      <c r="R327" s="53"/>
      <c r="S327" s="171"/>
      <c r="T327" s="170"/>
      <c r="U327" s="53"/>
      <c r="V327" s="53"/>
      <c r="W327" s="53"/>
      <c r="X327" s="171"/>
      <c r="Y327" s="170"/>
      <c r="Z327" s="170"/>
      <c r="AA327" s="170"/>
      <c r="AB327" s="170"/>
      <c r="AC327" s="170"/>
      <c r="AD327" s="53"/>
      <c r="AE327" s="53"/>
    </row>
    <row r="328">
      <c r="A328" s="53"/>
      <c r="B328" s="53"/>
      <c r="C328" s="168"/>
      <c r="D328" s="169"/>
      <c r="E328" s="170"/>
      <c r="F328" s="53"/>
      <c r="G328" s="53"/>
      <c r="H328" s="53"/>
      <c r="I328" s="171"/>
      <c r="J328" s="170"/>
      <c r="K328" s="53"/>
      <c r="L328" s="53"/>
      <c r="M328" s="53"/>
      <c r="N328" s="171"/>
      <c r="O328" s="170"/>
      <c r="P328" s="53"/>
      <c r="Q328" s="53"/>
      <c r="R328" s="53"/>
      <c r="S328" s="171"/>
      <c r="T328" s="170"/>
      <c r="U328" s="53"/>
      <c r="V328" s="53"/>
      <c r="W328" s="53"/>
      <c r="X328" s="171"/>
      <c r="Y328" s="170"/>
      <c r="Z328" s="170"/>
      <c r="AA328" s="170"/>
      <c r="AB328" s="170"/>
      <c r="AC328" s="170"/>
      <c r="AD328" s="53"/>
      <c r="AE328" s="53"/>
    </row>
    <row r="329">
      <c r="A329" s="53"/>
      <c r="B329" s="53"/>
      <c r="C329" s="168"/>
      <c r="D329" s="169"/>
      <c r="E329" s="170"/>
      <c r="F329" s="53"/>
      <c r="G329" s="53"/>
      <c r="H329" s="53"/>
      <c r="I329" s="171"/>
      <c r="J329" s="170"/>
      <c r="K329" s="53"/>
      <c r="L329" s="53"/>
      <c r="M329" s="53"/>
      <c r="N329" s="171"/>
      <c r="O329" s="170"/>
      <c r="P329" s="53"/>
      <c r="Q329" s="53"/>
      <c r="R329" s="53"/>
      <c r="S329" s="171"/>
      <c r="T329" s="170"/>
      <c r="U329" s="53"/>
      <c r="V329" s="53"/>
      <c r="W329" s="53"/>
      <c r="X329" s="171"/>
      <c r="Y329" s="170"/>
      <c r="Z329" s="170"/>
      <c r="AA329" s="170"/>
      <c r="AB329" s="170"/>
      <c r="AC329" s="170"/>
      <c r="AD329" s="53"/>
      <c r="AE329" s="53"/>
    </row>
    <row r="330">
      <c r="A330" s="53"/>
      <c r="B330" s="53"/>
      <c r="C330" s="168"/>
      <c r="D330" s="169"/>
      <c r="E330" s="170"/>
      <c r="F330" s="53"/>
      <c r="G330" s="53"/>
      <c r="H330" s="53"/>
      <c r="I330" s="171"/>
      <c r="J330" s="170"/>
      <c r="K330" s="53"/>
      <c r="L330" s="53"/>
      <c r="M330" s="53"/>
      <c r="N330" s="171"/>
      <c r="O330" s="170"/>
      <c r="P330" s="53"/>
      <c r="Q330" s="53"/>
      <c r="R330" s="53"/>
      <c r="S330" s="171"/>
      <c r="T330" s="170"/>
      <c r="U330" s="53"/>
      <c r="V330" s="53"/>
      <c r="W330" s="53"/>
      <c r="X330" s="171"/>
      <c r="Y330" s="170"/>
      <c r="Z330" s="170"/>
      <c r="AA330" s="170"/>
      <c r="AB330" s="170"/>
      <c r="AC330" s="170"/>
      <c r="AD330" s="53"/>
      <c r="AE330" s="53"/>
    </row>
    <row r="331">
      <c r="A331" s="53"/>
      <c r="B331" s="53"/>
      <c r="C331" s="168"/>
      <c r="D331" s="169"/>
      <c r="E331" s="170"/>
      <c r="F331" s="53"/>
      <c r="G331" s="53"/>
      <c r="H331" s="53"/>
      <c r="I331" s="171"/>
      <c r="J331" s="170"/>
      <c r="K331" s="53"/>
      <c r="L331" s="53"/>
      <c r="M331" s="53"/>
      <c r="N331" s="171"/>
      <c r="O331" s="170"/>
      <c r="P331" s="53"/>
      <c r="Q331" s="53"/>
      <c r="R331" s="53"/>
      <c r="S331" s="171"/>
      <c r="T331" s="170"/>
      <c r="U331" s="53"/>
      <c r="V331" s="53"/>
      <c r="W331" s="53"/>
      <c r="X331" s="171"/>
      <c r="Y331" s="170"/>
      <c r="Z331" s="170"/>
      <c r="AA331" s="170"/>
      <c r="AB331" s="170"/>
      <c r="AC331" s="170"/>
      <c r="AD331" s="53"/>
      <c r="AE331" s="53"/>
    </row>
    <row r="332">
      <c r="A332" s="53"/>
      <c r="B332" s="53"/>
      <c r="C332" s="168"/>
      <c r="D332" s="169"/>
      <c r="E332" s="170"/>
      <c r="F332" s="53"/>
      <c r="G332" s="53"/>
      <c r="H332" s="53"/>
      <c r="I332" s="171"/>
      <c r="J332" s="170"/>
      <c r="K332" s="53"/>
      <c r="L332" s="53"/>
      <c r="M332" s="53"/>
      <c r="N332" s="171"/>
      <c r="O332" s="170"/>
      <c r="P332" s="53"/>
      <c r="Q332" s="53"/>
      <c r="R332" s="53"/>
      <c r="S332" s="171"/>
      <c r="T332" s="170"/>
      <c r="U332" s="53"/>
      <c r="V332" s="53"/>
      <c r="W332" s="53"/>
      <c r="X332" s="171"/>
      <c r="Y332" s="170"/>
      <c r="Z332" s="170"/>
      <c r="AA332" s="170"/>
      <c r="AB332" s="170"/>
      <c r="AC332" s="170"/>
      <c r="AD332" s="53"/>
      <c r="AE332" s="53"/>
    </row>
    <row r="333">
      <c r="A333" s="53"/>
      <c r="B333" s="53"/>
      <c r="C333" s="168"/>
      <c r="D333" s="169"/>
      <c r="E333" s="170"/>
      <c r="F333" s="53"/>
      <c r="G333" s="53"/>
      <c r="H333" s="53"/>
      <c r="I333" s="171"/>
      <c r="J333" s="170"/>
      <c r="K333" s="53"/>
      <c r="L333" s="53"/>
      <c r="M333" s="53"/>
      <c r="N333" s="171"/>
      <c r="O333" s="170"/>
      <c r="P333" s="53"/>
      <c r="Q333" s="53"/>
      <c r="R333" s="53"/>
      <c r="S333" s="171"/>
      <c r="T333" s="170"/>
      <c r="U333" s="53"/>
      <c r="V333" s="53"/>
      <c r="W333" s="53"/>
      <c r="X333" s="171"/>
      <c r="Y333" s="170"/>
      <c r="Z333" s="170"/>
      <c r="AA333" s="170"/>
      <c r="AB333" s="170"/>
      <c r="AC333" s="170"/>
      <c r="AD333" s="53"/>
      <c r="AE333" s="53"/>
    </row>
    <row r="334">
      <c r="A334" s="53"/>
      <c r="B334" s="53"/>
      <c r="C334" s="168"/>
      <c r="D334" s="169"/>
      <c r="E334" s="170"/>
      <c r="F334" s="53"/>
      <c r="G334" s="53"/>
      <c r="H334" s="53"/>
      <c r="I334" s="171"/>
      <c r="J334" s="170"/>
      <c r="K334" s="53"/>
      <c r="L334" s="53"/>
      <c r="M334" s="53"/>
      <c r="N334" s="171"/>
      <c r="O334" s="170"/>
      <c r="P334" s="53"/>
      <c r="Q334" s="53"/>
      <c r="R334" s="53"/>
      <c r="S334" s="171"/>
      <c r="T334" s="170"/>
      <c r="U334" s="53"/>
      <c r="V334" s="53"/>
      <c r="W334" s="53"/>
      <c r="X334" s="171"/>
      <c r="Y334" s="170"/>
      <c r="Z334" s="170"/>
      <c r="AA334" s="170"/>
      <c r="AB334" s="170"/>
      <c r="AC334" s="170"/>
      <c r="AD334" s="53"/>
      <c r="AE334" s="53"/>
    </row>
    <row r="335">
      <c r="A335" s="53"/>
      <c r="B335" s="53"/>
      <c r="C335" s="168"/>
      <c r="D335" s="169"/>
      <c r="E335" s="170"/>
      <c r="F335" s="53"/>
      <c r="G335" s="53"/>
      <c r="H335" s="53"/>
      <c r="I335" s="171"/>
      <c r="J335" s="170"/>
      <c r="K335" s="53"/>
      <c r="L335" s="53"/>
      <c r="M335" s="53"/>
      <c r="N335" s="171"/>
      <c r="O335" s="170"/>
      <c r="P335" s="53"/>
      <c r="Q335" s="53"/>
      <c r="R335" s="53"/>
      <c r="S335" s="171"/>
      <c r="T335" s="170"/>
      <c r="U335" s="53"/>
      <c r="V335" s="53"/>
      <c r="W335" s="53"/>
      <c r="X335" s="171"/>
      <c r="Y335" s="170"/>
      <c r="Z335" s="170"/>
      <c r="AA335" s="170"/>
      <c r="AB335" s="170"/>
      <c r="AC335" s="170"/>
      <c r="AD335" s="53"/>
      <c r="AE335" s="53"/>
    </row>
    <row r="336">
      <c r="A336" s="53"/>
      <c r="B336" s="53"/>
      <c r="C336" s="168"/>
      <c r="D336" s="169"/>
      <c r="E336" s="170"/>
      <c r="F336" s="53"/>
      <c r="G336" s="53"/>
      <c r="H336" s="53"/>
      <c r="I336" s="171"/>
      <c r="J336" s="170"/>
      <c r="K336" s="53"/>
      <c r="L336" s="53"/>
      <c r="M336" s="53"/>
      <c r="N336" s="171"/>
      <c r="O336" s="170"/>
      <c r="P336" s="53"/>
      <c r="Q336" s="53"/>
      <c r="R336" s="53"/>
      <c r="S336" s="171"/>
      <c r="T336" s="170"/>
      <c r="U336" s="53"/>
      <c r="V336" s="53"/>
      <c r="W336" s="53"/>
      <c r="X336" s="171"/>
      <c r="Y336" s="170"/>
      <c r="Z336" s="170"/>
      <c r="AA336" s="170"/>
      <c r="AB336" s="170"/>
      <c r="AC336" s="170"/>
      <c r="AD336" s="53"/>
      <c r="AE336" s="53"/>
    </row>
    <row r="337">
      <c r="A337" s="53"/>
      <c r="B337" s="53"/>
      <c r="C337" s="168"/>
      <c r="D337" s="169"/>
      <c r="E337" s="170"/>
      <c r="F337" s="53"/>
      <c r="G337" s="53"/>
      <c r="H337" s="53"/>
      <c r="I337" s="171"/>
      <c r="J337" s="170"/>
      <c r="K337" s="53"/>
      <c r="L337" s="53"/>
      <c r="M337" s="53"/>
      <c r="N337" s="171"/>
      <c r="O337" s="170"/>
      <c r="P337" s="53"/>
      <c r="Q337" s="53"/>
      <c r="R337" s="53"/>
      <c r="S337" s="171"/>
      <c r="T337" s="170"/>
      <c r="U337" s="53"/>
      <c r="V337" s="53"/>
      <c r="W337" s="53"/>
      <c r="X337" s="171"/>
      <c r="Y337" s="170"/>
      <c r="Z337" s="170"/>
      <c r="AA337" s="170"/>
      <c r="AB337" s="170"/>
      <c r="AC337" s="170"/>
      <c r="AD337" s="53"/>
      <c r="AE337" s="53"/>
    </row>
    <row r="338">
      <c r="A338" s="53"/>
      <c r="B338" s="53"/>
      <c r="C338" s="168"/>
      <c r="D338" s="169"/>
      <c r="E338" s="170"/>
      <c r="F338" s="53"/>
      <c r="G338" s="53"/>
      <c r="H338" s="53"/>
      <c r="I338" s="171"/>
      <c r="J338" s="170"/>
      <c r="K338" s="53"/>
      <c r="L338" s="53"/>
      <c r="M338" s="53"/>
      <c r="N338" s="171"/>
      <c r="O338" s="170"/>
      <c r="P338" s="53"/>
      <c r="Q338" s="53"/>
      <c r="R338" s="53"/>
      <c r="S338" s="171"/>
      <c r="T338" s="170"/>
      <c r="U338" s="53"/>
      <c r="V338" s="53"/>
      <c r="W338" s="53"/>
      <c r="X338" s="171"/>
      <c r="Y338" s="170"/>
      <c r="Z338" s="170"/>
      <c r="AA338" s="170"/>
      <c r="AB338" s="170"/>
      <c r="AC338" s="170"/>
      <c r="AD338" s="53"/>
      <c r="AE338" s="53"/>
    </row>
    <row r="339">
      <c r="A339" s="53"/>
      <c r="B339" s="53"/>
      <c r="C339" s="168"/>
      <c r="D339" s="169"/>
      <c r="E339" s="170"/>
      <c r="F339" s="53"/>
      <c r="G339" s="53"/>
      <c r="H339" s="53"/>
      <c r="I339" s="171"/>
      <c r="J339" s="170"/>
      <c r="K339" s="53"/>
      <c r="L339" s="53"/>
      <c r="M339" s="53"/>
      <c r="N339" s="171"/>
      <c r="O339" s="170"/>
      <c r="P339" s="53"/>
      <c r="Q339" s="53"/>
      <c r="R339" s="53"/>
      <c r="S339" s="171"/>
      <c r="T339" s="170"/>
      <c r="U339" s="53"/>
      <c r="V339" s="53"/>
      <c r="W339" s="53"/>
      <c r="X339" s="171"/>
      <c r="Y339" s="170"/>
      <c r="Z339" s="170"/>
      <c r="AA339" s="170"/>
      <c r="AB339" s="170"/>
      <c r="AC339" s="170"/>
      <c r="AD339" s="53"/>
      <c r="AE339" s="53"/>
    </row>
    <row r="340">
      <c r="A340" s="53"/>
      <c r="B340" s="53"/>
      <c r="C340" s="168"/>
      <c r="D340" s="169"/>
      <c r="E340" s="170"/>
      <c r="F340" s="53"/>
      <c r="G340" s="53"/>
      <c r="H340" s="53"/>
      <c r="I340" s="171"/>
      <c r="J340" s="170"/>
      <c r="K340" s="53"/>
      <c r="L340" s="53"/>
      <c r="M340" s="53"/>
      <c r="N340" s="171"/>
      <c r="O340" s="170"/>
      <c r="P340" s="53"/>
      <c r="Q340" s="53"/>
      <c r="R340" s="53"/>
      <c r="S340" s="171"/>
      <c r="T340" s="170"/>
      <c r="U340" s="53"/>
      <c r="V340" s="53"/>
      <c r="W340" s="53"/>
      <c r="X340" s="171"/>
      <c r="Y340" s="170"/>
      <c r="Z340" s="170"/>
      <c r="AA340" s="170"/>
      <c r="AB340" s="170"/>
      <c r="AC340" s="170"/>
      <c r="AD340" s="53"/>
      <c r="AE340" s="53"/>
    </row>
    <row r="341">
      <c r="A341" s="53"/>
      <c r="B341" s="53"/>
      <c r="C341" s="168"/>
      <c r="D341" s="169"/>
      <c r="E341" s="170"/>
      <c r="F341" s="53"/>
      <c r="G341" s="53"/>
      <c r="H341" s="53"/>
      <c r="I341" s="171"/>
      <c r="J341" s="170"/>
      <c r="K341" s="53"/>
      <c r="L341" s="53"/>
      <c r="M341" s="53"/>
      <c r="N341" s="171"/>
      <c r="O341" s="170"/>
      <c r="P341" s="53"/>
      <c r="Q341" s="53"/>
      <c r="R341" s="53"/>
      <c r="S341" s="171"/>
      <c r="T341" s="170"/>
      <c r="U341" s="53"/>
      <c r="V341" s="53"/>
      <c r="W341" s="53"/>
      <c r="X341" s="171"/>
      <c r="Y341" s="170"/>
      <c r="Z341" s="170"/>
      <c r="AA341" s="170"/>
      <c r="AB341" s="170"/>
      <c r="AC341" s="170"/>
      <c r="AD341" s="53"/>
      <c r="AE341" s="53"/>
    </row>
    <row r="342">
      <c r="A342" s="53"/>
      <c r="B342" s="53"/>
      <c r="C342" s="168"/>
      <c r="D342" s="169"/>
      <c r="E342" s="170"/>
      <c r="F342" s="53"/>
      <c r="G342" s="53"/>
      <c r="H342" s="53"/>
      <c r="I342" s="171"/>
      <c r="J342" s="170"/>
      <c r="K342" s="53"/>
      <c r="L342" s="53"/>
      <c r="M342" s="53"/>
      <c r="N342" s="171"/>
      <c r="O342" s="170"/>
      <c r="P342" s="53"/>
      <c r="Q342" s="53"/>
      <c r="R342" s="53"/>
      <c r="S342" s="171"/>
      <c r="T342" s="170"/>
      <c r="U342" s="53"/>
      <c r="V342" s="53"/>
      <c r="W342" s="53"/>
      <c r="X342" s="171"/>
      <c r="Y342" s="170"/>
      <c r="Z342" s="170"/>
      <c r="AA342" s="170"/>
      <c r="AB342" s="170"/>
      <c r="AC342" s="170"/>
      <c r="AD342" s="53"/>
      <c r="AE342" s="53"/>
    </row>
    <row r="343">
      <c r="A343" s="53"/>
      <c r="B343" s="53"/>
      <c r="C343" s="168"/>
      <c r="D343" s="169"/>
      <c r="E343" s="170"/>
      <c r="F343" s="53"/>
      <c r="G343" s="53"/>
      <c r="H343" s="53"/>
      <c r="I343" s="171"/>
      <c r="J343" s="170"/>
      <c r="K343" s="53"/>
      <c r="L343" s="53"/>
      <c r="M343" s="53"/>
      <c r="N343" s="171"/>
      <c r="O343" s="170"/>
      <c r="P343" s="53"/>
      <c r="Q343" s="53"/>
      <c r="R343" s="53"/>
      <c r="S343" s="171"/>
      <c r="T343" s="170"/>
      <c r="U343" s="53"/>
      <c r="V343" s="53"/>
      <c r="W343" s="53"/>
      <c r="X343" s="171"/>
      <c r="Y343" s="170"/>
      <c r="Z343" s="170"/>
      <c r="AA343" s="170"/>
      <c r="AB343" s="170"/>
      <c r="AC343" s="170"/>
      <c r="AD343" s="53"/>
      <c r="AE343" s="53"/>
    </row>
    <row r="344">
      <c r="A344" s="53"/>
      <c r="B344" s="53"/>
      <c r="C344" s="168"/>
      <c r="D344" s="169"/>
      <c r="E344" s="170"/>
      <c r="F344" s="53"/>
      <c r="G344" s="53"/>
      <c r="H344" s="53"/>
      <c r="I344" s="171"/>
      <c r="J344" s="170"/>
      <c r="K344" s="53"/>
      <c r="L344" s="53"/>
      <c r="M344" s="53"/>
      <c r="N344" s="171"/>
      <c r="O344" s="170"/>
      <c r="P344" s="53"/>
      <c r="Q344" s="53"/>
      <c r="R344" s="53"/>
      <c r="S344" s="171"/>
      <c r="T344" s="170"/>
      <c r="U344" s="53"/>
      <c r="V344" s="53"/>
      <c r="W344" s="53"/>
      <c r="X344" s="171"/>
      <c r="Y344" s="170"/>
      <c r="Z344" s="170"/>
      <c r="AA344" s="170"/>
      <c r="AB344" s="170"/>
      <c r="AC344" s="170"/>
      <c r="AD344" s="53"/>
      <c r="AE344" s="53"/>
    </row>
    <row r="345">
      <c r="A345" s="53"/>
      <c r="B345" s="53"/>
      <c r="C345" s="168"/>
      <c r="D345" s="169"/>
      <c r="E345" s="170"/>
      <c r="F345" s="53"/>
      <c r="G345" s="53"/>
      <c r="H345" s="53"/>
      <c r="I345" s="171"/>
      <c r="J345" s="170"/>
      <c r="K345" s="53"/>
      <c r="L345" s="53"/>
      <c r="M345" s="53"/>
      <c r="N345" s="171"/>
      <c r="O345" s="170"/>
      <c r="P345" s="53"/>
      <c r="Q345" s="53"/>
      <c r="R345" s="53"/>
      <c r="S345" s="171"/>
      <c r="T345" s="170"/>
      <c r="U345" s="53"/>
      <c r="V345" s="53"/>
      <c r="W345" s="53"/>
      <c r="X345" s="171"/>
      <c r="Y345" s="170"/>
      <c r="Z345" s="170"/>
      <c r="AA345" s="170"/>
      <c r="AB345" s="170"/>
      <c r="AC345" s="170"/>
      <c r="AD345" s="53"/>
      <c r="AE345" s="53"/>
    </row>
    <row r="346">
      <c r="A346" s="53"/>
      <c r="B346" s="53"/>
      <c r="C346" s="168"/>
      <c r="D346" s="169"/>
      <c r="E346" s="170"/>
      <c r="F346" s="53"/>
      <c r="G346" s="53"/>
      <c r="H346" s="53"/>
      <c r="I346" s="171"/>
      <c r="J346" s="170"/>
      <c r="K346" s="53"/>
      <c r="L346" s="53"/>
      <c r="M346" s="53"/>
      <c r="N346" s="171"/>
      <c r="O346" s="170"/>
      <c r="P346" s="53"/>
      <c r="Q346" s="53"/>
      <c r="R346" s="53"/>
      <c r="S346" s="171"/>
      <c r="T346" s="170"/>
      <c r="U346" s="53"/>
      <c r="V346" s="53"/>
      <c r="W346" s="53"/>
      <c r="X346" s="171"/>
      <c r="Y346" s="170"/>
      <c r="Z346" s="170"/>
      <c r="AA346" s="170"/>
      <c r="AB346" s="170"/>
      <c r="AC346" s="170"/>
      <c r="AD346" s="53"/>
      <c r="AE346" s="53"/>
    </row>
    <row r="347">
      <c r="A347" s="53"/>
      <c r="B347" s="53"/>
      <c r="C347" s="168"/>
      <c r="D347" s="169"/>
      <c r="E347" s="170"/>
      <c r="F347" s="53"/>
      <c r="G347" s="53"/>
      <c r="H347" s="53"/>
      <c r="I347" s="171"/>
      <c r="J347" s="170"/>
      <c r="K347" s="53"/>
      <c r="L347" s="53"/>
      <c r="M347" s="53"/>
      <c r="N347" s="171"/>
      <c r="O347" s="170"/>
      <c r="P347" s="53"/>
      <c r="Q347" s="53"/>
      <c r="R347" s="53"/>
      <c r="S347" s="171"/>
      <c r="T347" s="170"/>
      <c r="U347" s="53"/>
      <c r="V347" s="53"/>
      <c r="W347" s="53"/>
      <c r="X347" s="171"/>
      <c r="Y347" s="170"/>
      <c r="Z347" s="170"/>
      <c r="AA347" s="170"/>
      <c r="AB347" s="170"/>
      <c r="AC347" s="170"/>
      <c r="AD347" s="53"/>
      <c r="AE347" s="53"/>
    </row>
    <row r="348">
      <c r="A348" s="53"/>
      <c r="B348" s="53"/>
      <c r="C348" s="168"/>
      <c r="D348" s="169"/>
      <c r="E348" s="170"/>
      <c r="F348" s="53"/>
      <c r="G348" s="53"/>
      <c r="H348" s="53"/>
      <c r="I348" s="171"/>
      <c r="J348" s="170"/>
      <c r="K348" s="53"/>
      <c r="L348" s="53"/>
      <c r="M348" s="53"/>
      <c r="N348" s="171"/>
      <c r="O348" s="170"/>
      <c r="P348" s="53"/>
      <c r="Q348" s="53"/>
      <c r="R348" s="53"/>
      <c r="S348" s="171"/>
      <c r="T348" s="170"/>
      <c r="U348" s="53"/>
      <c r="V348" s="53"/>
      <c r="W348" s="53"/>
      <c r="X348" s="171"/>
      <c r="Y348" s="170"/>
      <c r="Z348" s="170"/>
      <c r="AA348" s="170"/>
      <c r="AB348" s="170"/>
      <c r="AC348" s="170"/>
      <c r="AD348" s="53"/>
      <c r="AE348" s="53"/>
    </row>
    <row r="349">
      <c r="A349" s="53"/>
      <c r="B349" s="53"/>
      <c r="C349" s="168"/>
      <c r="D349" s="169"/>
      <c r="E349" s="170"/>
      <c r="F349" s="53"/>
      <c r="G349" s="53"/>
      <c r="H349" s="53"/>
      <c r="I349" s="171"/>
      <c r="J349" s="170"/>
      <c r="K349" s="53"/>
      <c r="L349" s="53"/>
      <c r="M349" s="53"/>
      <c r="N349" s="171"/>
      <c r="O349" s="170"/>
      <c r="P349" s="53"/>
      <c r="Q349" s="53"/>
      <c r="R349" s="53"/>
      <c r="S349" s="171"/>
      <c r="T349" s="170"/>
      <c r="U349" s="53"/>
      <c r="V349" s="53"/>
      <c r="W349" s="53"/>
      <c r="X349" s="171"/>
      <c r="Y349" s="170"/>
      <c r="Z349" s="170"/>
      <c r="AA349" s="170"/>
      <c r="AB349" s="170"/>
      <c r="AC349" s="170"/>
      <c r="AD349" s="53"/>
      <c r="AE349" s="53"/>
    </row>
    <row r="350">
      <c r="A350" s="53"/>
      <c r="B350" s="53"/>
      <c r="C350" s="168"/>
      <c r="D350" s="169"/>
      <c r="E350" s="170"/>
      <c r="F350" s="53"/>
      <c r="G350" s="53"/>
      <c r="H350" s="53"/>
      <c r="I350" s="171"/>
      <c r="J350" s="170"/>
      <c r="K350" s="53"/>
      <c r="L350" s="53"/>
      <c r="M350" s="53"/>
      <c r="N350" s="171"/>
      <c r="O350" s="170"/>
      <c r="P350" s="53"/>
      <c r="Q350" s="53"/>
      <c r="R350" s="53"/>
      <c r="S350" s="171"/>
      <c r="T350" s="170"/>
      <c r="U350" s="53"/>
      <c r="V350" s="53"/>
      <c r="W350" s="53"/>
      <c r="X350" s="171"/>
      <c r="Y350" s="170"/>
      <c r="Z350" s="170"/>
      <c r="AA350" s="170"/>
      <c r="AB350" s="170"/>
      <c r="AC350" s="170"/>
      <c r="AD350" s="53"/>
      <c r="AE350" s="53"/>
    </row>
    <row r="351">
      <c r="A351" s="53"/>
      <c r="B351" s="53"/>
      <c r="C351" s="168"/>
      <c r="D351" s="169"/>
      <c r="E351" s="170"/>
      <c r="F351" s="53"/>
      <c r="G351" s="53"/>
      <c r="H351" s="53"/>
      <c r="I351" s="171"/>
      <c r="J351" s="170"/>
      <c r="K351" s="53"/>
      <c r="L351" s="53"/>
      <c r="M351" s="53"/>
      <c r="N351" s="171"/>
      <c r="O351" s="170"/>
      <c r="P351" s="53"/>
      <c r="Q351" s="53"/>
      <c r="R351" s="53"/>
      <c r="S351" s="171"/>
      <c r="T351" s="170"/>
      <c r="U351" s="53"/>
      <c r="V351" s="53"/>
      <c r="W351" s="53"/>
      <c r="X351" s="171"/>
      <c r="Y351" s="170"/>
      <c r="Z351" s="170"/>
      <c r="AA351" s="170"/>
      <c r="AB351" s="170"/>
      <c r="AC351" s="170"/>
      <c r="AD351" s="53"/>
      <c r="AE351" s="53"/>
    </row>
    <row r="352">
      <c r="A352" s="53"/>
      <c r="B352" s="53"/>
      <c r="C352" s="168"/>
      <c r="D352" s="169"/>
      <c r="E352" s="170"/>
      <c r="F352" s="53"/>
      <c r="G352" s="53"/>
      <c r="H352" s="53"/>
      <c r="I352" s="171"/>
      <c r="J352" s="170"/>
      <c r="K352" s="53"/>
      <c r="L352" s="53"/>
      <c r="M352" s="53"/>
      <c r="N352" s="171"/>
      <c r="O352" s="170"/>
      <c r="P352" s="53"/>
      <c r="Q352" s="53"/>
      <c r="R352" s="53"/>
      <c r="S352" s="171"/>
      <c r="T352" s="170"/>
      <c r="U352" s="53"/>
      <c r="V352" s="53"/>
      <c r="W352" s="53"/>
      <c r="X352" s="171"/>
      <c r="Y352" s="170"/>
      <c r="Z352" s="170"/>
      <c r="AA352" s="170"/>
      <c r="AB352" s="170"/>
      <c r="AC352" s="170"/>
      <c r="AD352" s="53"/>
      <c r="AE352" s="53"/>
    </row>
    <row r="353">
      <c r="A353" s="53"/>
      <c r="B353" s="53"/>
      <c r="C353" s="168"/>
      <c r="D353" s="169"/>
      <c r="E353" s="170"/>
      <c r="F353" s="53"/>
      <c r="G353" s="53"/>
      <c r="H353" s="53"/>
      <c r="I353" s="171"/>
      <c r="J353" s="170"/>
      <c r="K353" s="53"/>
      <c r="L353" s="53"/>
      <c r="M353" s="53"/>
      <c r="N353" s="171"/>
      <c r="O353" s="170"/>
      <c r="P353" s="53"/>
      <c r="Q353" s="53"/>
      <c r="R353" s="53"/>
      <c r="S353" s="171"/>
      <c r="T353" s="170"/>
      <c r="U353" s="53"/>
      <c r="V353" s="53"/>
      <c r="W353" s="53"/>
      <c r="X353" s="171"/>
      <c r="Y353" s="170"/>
      <c r="Z353" s="170"/>
      <c r="AA353" s="170"/>
      <c r="AB353" s="170"/>
      <c r="AC353" s="170"/>
      <c r="AD353" s="53"/>
      <c r="AE353" s="53"/>
    </row>
    <row r="354">
      <c r="A354" s="53"/>
      <c r="B354" s="53"/>
      <c r="C354" s="168"/>
      <c r="D354" s="169"/>
      <c r="E354" s="170"/>
      <c r="F354" s="53"/>
      <c r="G354" s="53"/>
      <c r="H354" s="53"/>
      <c r="I354" s="171"/>
      <c r="J354" s="170"/>
      <c r="K354" s="53"/>
      <c r="L354" s="53"/>
      <c r="M354" s="53"/>
      <c r="N354" s="171"/>
      <c r="O354" s="170"/>
      <c r="P354" s="53"/>
      <c r="Q354" s="53"/>
      <c r="R354" s="53"/>
      <c r="S354" s="171"/>
      <c r="T354" s="170"/>
      <c r="U354" s="53"/>
      <c r="V354" s="53"/>
      <c r="W354" s="53"/>
      <c r="X354" s="171"/>
      <c r="Y354" s="170"/>
      <c r="Z354" s="170"/>
      <c r="AA354" s="170"/>
      <c r="AB354" s="170"/>
      <c r="AC354" s="170"/>
      <c r="AD354" s="53"/>
      <c r="AE354" s="53"/>
    </row>
    <row r="355">
      <c r="A355" s="53"/>
      <c r="B355" s="53"/>
      <c r="C355" s="168"/>
      <c r="D355" s="169"/>
      <c r="E355" s="170"/>
      <c r="F355" s="53"/>
      <c r="G355" s="53"/>
      <c r="H355" s="53"/>
      <c r="I355" s="171"/>
      <c r="J355" s="170"/>
      <c r="K355" s="53"/>
      <c r="L355" s="53"/>
      <c r="M355" s="53"/>
      <c r="N355" s="171"/>
      <c r="O355" s="170"/>
      <c r="P355" s="53"/>
      <c r="Q355" s="53"/>
      <c r="R355" s="53"/>
      <c r="S355" s="171"/>
      <c r="T355" s="170"/>
      <c r="U355" s="53"/>
      <c r="V355" s="53"/>
      <c r="W355" s="53"/>
      <c r="X355" s="171"/>
      <c r="Y355" s="170"/>
      <c r="Z355" s="170"/>
      <c r="AA355" s="170"/>
      <c r="AB355" s="170"/>
      <c r="AC355" s="170"/>
      <c r="AD355" s="53"/>
      <c r="AE355" s="53"/>
    </row>
    <row r="356">
      <c r="A356" s="53"/>
      <c r="B356" s="53"/>
      <c r="C356" s="168"/>
      <c r="D356" s="169"/>
      <c r="E356" s="170"/>
      <c r="F356" s="53"/>
      <c r="G356" s="53"/>
      <c r="H356" s="53"/>
      <c r="I356" s="171"/>
      <c r="J356" s="170"/>
      <c r="K356" s="53"/>
      <c r="L356" s="53"/>
      <c r="M356" s="53"/>
      <c r="N356" s="171"/>
      <c r="O356" s="170"/>
      <c r="P356" s="53"/>
      <c r="Q356" s="53"/>
      <c r="R356" s="53"/>
      <c r="S356" s="171"/>
      <c r="T356" s="170"/>
      <c r="U356" s="53"/>
      <c r="V356" s="53"/>
      <c r="W356" s="53"/>
      <c r="X356" s="171"/>
      <c r="Y356" s="170"/>
      <c r="Z356" s="170"/>
      <c r="AA356" s="170"/>
      <c r="AB356" s="170"/>
      <c r="AC356" s="170"/>
      <c r="AD356" s="53"/>
      <c r="AE356" s="53"/>
    </row>
    <row r="357">
      <c r="A357" s="53"/>
      <c r="B357" s="53"/>
      <c r="C357" s="168"/>
      <c r="D357" s="169"/>
      <c r="E357" s="170"/>
      <c r="F357" s="53"/>
      <c r="G357" s="53"/>
      <c r="H357" s="53"/>
      <c r="I357" s="171"/>
      <c r="J357" s="170"/>
      <c r="K357" s="53"/>
      <c r="L357" s="53"/>
      <c r="M357" s="53"/>
      <c r="N357" s="171"/>
      <c r="O357" s="170"/>
      <c r="P357" s="53"/>
      <c r="Q357" s="53"/>
      <c r="R357" s="53"/>
      <c r="S357" s="171"/>
      <c r="T357" s="170"/>
      <c r="U357" s="53"/>
      <c r="V357" s="53"/>
      <c r="W357" s="53"/>
      <c r="X357" s="171"/>
      <c r="Y357" s="170"/>
      <c r="Z357" s="170"/>
      <c r="AA357" s="170"/>
      <c r="AB357" s="170"/>
      <c r="AC357" s="170"/>
      <c r="AD357" s="53"/>
      <c r="AE357" s="53"/>
    </row>
    <row r="358">
      <c r="A358" s="53"/>
      <c r="B358" s="53"/>
      <c r="C358" s="168"/>
      <c r="D358" s="169"/>
      <c r="E358" s="170"/>
      <c r="F358" s="53"/>
      <c r="G358" s="53"/>
      <c r="H358" s="53"/>
      <c r="I358" s="171"/>
      <c r="J358" s="170"/>
      <c r="K358" s="53"/>
      <c r="L358" s="53"/>
      <c r="M358" s="53"/>
      <c r="N358" s="171"/>
      <c r="O358" s="170"/>
      <c r="P358" s="53"/>
      <c r="Q358" s="53"/>
      <c r="R358" s="53"/>
      <c r="S358" s="171"/>
      <c r="T358" s="170"/>
      <c r="U358" s="53"/>
      <c r="V358" s="53"/>
      <c r="W358" s="53"/>
      <c r="X358" s="171"/>
      <c r="Y358" s="170"/>
      <c r="Z358" s="170"/>
      <c r="AA358" s="170"/>
      <c r="AB358" s="170"/>
      <c r="AC358" s="170"/>
      <c r="AD358" s="53"/>
      <c r="AE358" s="53"/>
    </row>
    <row r="359">
      <c r="A359" s="53"/>
      <c r="B359" s="53"/>
      <c r="C359" s="168"/>
      <c r="D359" s="169"/>
      <c r="E359" s="170"/>
      <c r="F359" s="53"/>
      <c r="G359" s="53"/>
      <c r="H359" s="53"/>
      <c r="I359" s="171"/>
      <c r="J359" s="170"/>
      <c r="K359" s="53"/>
      <c r="L359" s="53"/>
      <c r="M359" s="53"/>
      <c r="N359" s="171"/>
      <c r="O359" s="170"/>
      <c r="P359" s="53"/>
      <c r="Q359" s="53"/>
      <c r="R359" s="53"/>
      <c r="S359" s="171"/>
      <c r="T359" s="170"/>
      <c r="U359" s="53"/>
      <c r="V359" s="53"/>
      <c r="W359" s="53"/>
      <c r="X359" s="171"/>
      <c r="Y359" s="170"/>
      <c r="Z359" s="170"/>
      <c r="AA359" s="170"/>
      <c r="AB359" s="170"/>
      <c r="AC359" s="170"/>
      <c r="AD359" s="53"/>
      <c r="AE359" s="53"/>
    </row>
    <row r="360">
      <c r="A360" s="53"/>
      <c r="B360" s="53"/>
      <c r="C360" s="168"/>
      <c r="D360" s="169"/>
      <c r="E360" s="170"/>
      <c r="F360" s="53"/>
      <c r="G360" s="53"/>
      <c r="H360" s="53"/>
      <c r="I360" s="171"/>
      <c r="J360" s="170"/>
      <c r="K360" s="53"/>
      <c r="L360" s="53"/>
      <c r="M360" s="53"/>
      <c r="N360" s="171"/>
      <c r="O360" s="170"/>
      <c r="P360" s="53"/>
      <c r="Q360" s="53"/>
      <c r="R360" s="53"/>
      <c r="S360" s="171"/>
      <c r="T360" s="170"/>
      <c r="U360" s="53"/>
      <c r="V360" s="53"/>
      <c r="W360" s="53"/>
      <c r="X360" s="171"/>
      <c r="Y360" s="170"/>
      <c r="Z360" s="170"/>
      <c r="AA360" s="170"/>
      <c r="AB360" s="170"/>
      <c r="AC360" s="170"/>
      <c r="AD360" s="53"/>
      <c r="AE360" s="53"/>
    </row>
    <row r="361">
      <c r="A361" s="53"/>
      <c r="B361" s="53"/>
      <c r="C361" s="168"/>
      <c r="D361" s="169"/>
      <c r="E361" s="170"/>
      <c r="F361" s="53"/>
      <c r="G361" s="53"/>
      <c r="H361" s="53"/>
      <c r="I361" s="171"/>
      <c r="J361" s="170"/>
      <c r="K361" s="53"/>
      <c r="L361" s="53"/>
      <c r="M361" s="53"/>
      <c r="N361" s="171"/>
      <c r="O361" s="170"/>
      <c r="P361" s="53"/>
      <c r="Q361" s="53"/>
      <c r="R361" s="53"/>
      <c r="S361" s="171"/>
      <c r="T361" s="170"/>
      <c r="U361" s="53"/>
      <c r="V361" s="53"/>
      <c r="W361" s="53"/>
      <c r="X361" s="171"/>
      <c r="Y361" s="170"/>
      <c r="Z361" s="170"/>
      <c r="AA361" s="170"/>
      <c r="AB361" s="170"/>
      <c r="AC361" s="170"/>
      <c r="AD361" s="53"/>
      <c r="AE361" s="53"/>
    </row>
    <row r="362">
      <c r="A362" s="53"/>
      <c r="B362" s="53"/>
      <c r="C362" s="168"/>
      <c r="D362" s="169"/>
      <c r="E362" s="170"/>
      <c r="F362" s="53"/>
      <c r="G362" s="53"/>
      <c r="H362" s="53"/>
      <c r="I362" s="171"/>
      <c r="J362" s="170"/>
      <c r="K362" s="53"/>
      <c r="L362" s="53"/>
      <c r="M362" s="53"/>
      <c r="N362" s="171"/>
      <c r="O362" s="170"/>
      <c r="P362" s="53"/>
      <c r="Q362" s="53"/>
      <c r="R362" s="53"/>
      <c r="S362" s="171"/>
      <c r="T362" s="170"/>
      <c r="U362" s="53"/>
      <c r="V362" s="53"/>
      <c r="W362" s="53"/>
      <c r="X362" s="171"/>
      <c r="Y362" s="170"/>
      <c r="Z362" s="170"/>
      <c r="AA362" s="170"/>
      <c r="AB362" s="170"/>
      <c r="AC362" s="170"/>
      <c r="AD362" s="53"/>
      <c r="AE362" s="53"/>
    </row>
    <row r="363">
      <c r="A363" s="53"/>
      <c r="B363" s="53"/>
      <c r="C363" s="168"/>
      <c r="D363" s="169"/>
      <c r="E363" s="170"/>
      <c r="F363" s="53"/>
      <c r="G363" s="53"/>
      <c r="H363" s="53"/>
      <c r="I363" s="171"/>
      <c r="J363" s="170"/>
      <c r="K363" s="53"/>
      <c r="L363" s="53"/>
      <c r="M363" s="53"/>
      <c r="N363" s="171"/>
      <c r="O363" s="170"/>
      <c r="P363" s="53"/>
      <c r="Q363" s="53"/>
      <c r="R363" s="53"/>
      <c r="S363" s="171"/>
      <c r="T363" s="170"/>
      <c r="U363" s="53"/>
      <c r="V363" s="53"/>
      <c r="W363" s="53"/>
      <c r="X363" s="171"/>
      <c r="Y363" s="170"/>
      <c r="Z363" s="170"/>
      <c r="AA363" s="170"/>
      <c r="AB363" s="170"/>
      <c r="AC363" s="170"/>
      <c r="AD363" s="53"/>
      <c r="AE363" s="53"/>
    </row>
    <row r="364">
      <c r="A364" s="53"/>
      <c r="B364" s="53"/>
      <c r="C364" s="168"/>
      <c r="D364" s="169"/>
      <c r="E364" s="170"/>
      <c r="F364" s="53"/>
      <c r="G364" s="53"/>
      <c r="H364" s="53"/>
      <c r="I364" s="171"/>
      <c r="J364" s="170"/>
      <c r="K364" s="53"/>
      <c r="L364" s="53"/>
      <c r="M364" s="53"/>
      <c r="N364" s="171"/>
      <c r="O364" s="170"/>
      <c r="P364" s="53"/>
      <c r="Q364" s="53"/>
      <c r="R364" s="53"/>
      <c r="S364" s="171"/>
      <c r="T364" s="170"/>
      <c r="U364" s="53"/>
      <c r="V364" s="53"/>
      <c r="W364" s="53"/>
      <c r="X364" s="171"/>
      <c r="Y364" s="170"/>
      <c r="Z364" s="170"/>
      <c r="AA364" s="170"/>
      <c r="AB364" s="170"/>
      <c r="AC364" s="170"/>
      <c r="AD364" s="53"/>
      <c r="AE364" s="53"/>
    </row>
    <row r="365">
      <c r="A365" s="53"/>
      <c r="B365" s="53"/>
      <c r="C365" s="168"/>
      <c r="D365" s="169"/>
      <c r="E365" s="170"/>
      <c r="F365" s="53"/>
      <c r="G365" s="53"/>
      <c r="H365" s="53"/>
      <c r="I365" s="171"/>
      <c r="J365" s="170"/>
      <c r="K365" s="53"/>
      <c r="L365" s="53"/>
      <c r="M365" s="53"/>
      <c r="N365" s="171"/>
      <c r="O365" s="170"/>
      <c r="P365" s="53"/>
      <c r="Q365" s="53"/>
      <c r="R365" s="53"/>
      <c r="S365" s="171"/>
      <c r="T365" s="170"/>
      <c r="U365" s="53"/>
      <c r="V365" s="53"/>
      <c r="W365" s="53"/>
      <c r="X365" s="171"/>
      <c r="Y365" s="170"/>
      <c r="Z365" s="170"/>
      <c r="AA365" s="170"/>
      <c r="AB365" s="170"/>
      <c r="AC365" s="170"/>
      <c r="AD365" s="53"/>
      <c r="AE365" s="53"/>
    </row>
    <row r="366">
      <c r="A366" s="53"/>
      <c r="B366" s="53"/>
      <c r="C366" s="168"/>
      <c r="D366" s="169"/>
      <c r="E366" s="170"/>
      <c r="F366" s="53"/>
      <c r="G366" s="53"/>
      <c r="H366" s="53"/>
      <c r="I366" s="171"/>
      <c r="J366" s="170"/>
      <c r="K366" s="53"/>
      <c r="L366" s="53"/>
      <c r="M366" s="53"/>
      <c r="N366" s="171"/>
      <c r="O366" s="170"/>
      <c r="P366" s="53"/>
      <c r="Q366" s="53"/>
      <c r="R366" s="53"/>
      <c r="S366" s="171"/>
      <c r="T366" s="170"/>
      <c r="U366" s="53"/>
      <c r="V366" s="53"/>
      <c r="W366" s="53"/>
      <c r="X366" s="171"/>
      <c r="Y366" s="170"/>
      <c r="Z366" s="170"/>
      <c r="AA366" s="170"/>
      <c r="AB366" s="170"/>
      <c r="AC366" s="170"/>
      <c r="AD366" s="53"/>
      <c r="AE366" s="53"/>
    </row>
    <row r="367">
      <c r="A367" s="53"/>
      <c r="B367" s="53"/>
      <c r="C367" s="168"/>
      <c r="D367" s="169"/>
      <c r="E367" s="170"/>
      <c r="F367" s="53"/>
      <c r="G367" s="53"/>
      <c r="H367" s="53"/>
      <c r="I367" s="171"/>
      <c r="J367" s="170"/>
      <c r="K367" s="53"/>
      <c r="L367" s="53"/>
      <c r="M367" s="53"/>
      <c r="N367" s="171"/>
      <c r="O367" s="170"/>
      <c r="P367" s="53"/>
      <c r="Q367" s="53"/>
      <c r="R367" s="53"/>
      <c r="S367" s="171"/>
      <c r="T367" s="170"/>
      <c r="U367" s="53"/>
      <c r="V367" s="53"/>
      <c r="W367" s="53"/>
      <c r="X367" s="171"/>
      <c r="Y367" s="170"/>
      <c r="Z367" s="170"/>
      <c r="AA367" s="170"/>
      <c r="AB367" s="170"/>
      <c r="AC367" s="170"/>
      <c r="AD367" s="53"/>
      <c r="AE367" s="53"/>
    </row>
    <row r="368">
      <c r="A368" s="53"/>
      <c r="B368" s="53"/>
      <c r="C368" s="168"/>
      <c r="D368" s="169"/>
      <c r="E368" s="170"/>
      <c r="F368" s="53"/>
      <c r="G368" s="53"/>
      <c r="H368" s="53"/>
      <c r="I368" s="171"/>
      <c r="J368" s="170"/>
      <c r="K368" s="53"/>
      <c r="L368" s="53"/>
      <c r="M368" s="53"/>
      <c r="N368" s="171"/>
      <c r="O368" s="170"/>
      <c r="P368" s="53"/>
      <c r="Q368" s="53"/>
      <c r="R368" s="53"/>
      <c r="S368" s="171"/>
      <c r="T368" s="170"/>
      <c r="U368" s="53"/>
      <c r="V368" s="53"/>
      <c r="W368" s="53"/>
      <c r="X368" s="171"/>
      <c r="Y368" s="170"/>
      <c r="Z368" s="170"/>
      <c r="AA368" s="170"/>
      <c r="AB368" s="170"/>
      <c r="AC368" s="170"/>
      <c r="AD368" s="53"/>
      <c r="AE368" s="53"/>
    </row>
    <row r="369">
      <c r="A369" s="53"/>
      <c r="B369" s="53"/>
      <c r="C369" s="168"/>
      <c r="D369" s="169"/>
      <c r="E369" s="170"/>
      <c r="F369" s="53"/>
      <c r="G369" s="53"/>
      <c r="H369" s="53"/>
      <c r="I369" s="171"/>
      <c r="J369" s="170"/>
      <c r="K369" s="53"/>
      <c r="L369" s="53"/>
      <c r="M369" s="53"/>
      <c r="N369" s="171"/>
      <c r="O369" s="170"/>
      <c r="P369" s="53"/>
      <c r="Q369" s="53"/>
      <c r="R369" s="53"/>
      <c r="S369" s="171"/>
      <c r="T369" s="170"/>
      <c r="U369" s="53"/>
      <c r="V369" s="53"/>
      <c r="W369" s="53"/>
      <c r="X369" s="171"/>
      <c r="Y369" s="170"/>
      <c r="Z369" s="170"/>
      <c r="AA369" s="170"/>
      <c r="AB369" s="170"/>
      <c r="AC369" s="170"/>
      <c r="AD369" s="53"/>
      <c r="AE369" s="53"/>
    </row>
    <row r="370">
      <c r="A370" s="53"/>
      <c r="B370" s="53"/>
      <c r="C370" s="168"/>
      <c r="D370" s="169"/>
      <c r="E370" s="170"/>
      <c r="F370" s="53"/>
      <c r="G370" s="53"/>
      <c r="H370" s="53"/>
      <c r="I370" s="171"/>
      <c r="J370" s="170"/>
      <c r="K370" s="53"/>
      <c r="L370" s="53"/>
      <c r="M370" s="53"/>
      <c r="N370" s="171"/>
      <c r="O370" s="170"/>
      <c r="P370" s="53"/>
      <c r="Q370" s="53"/>
      <c r="R370" s="53"/>
      <c r="S370" s="171"/>
      <c r="T370" s="170"/>
      <c r="U370" s="53"/>
      <c r="V370" s="53"/>
      <c r="W370" s="53"/>
      <c r="X370" s="171"/>
      <c r="Y370" s="170"/>
      <c r="Z370" s="170"/>
      <c r="AA370" s="170"/>
      <c r="AB370" s="170"/>
      <c r="AC370" s="170"/>
      <c r="AD370" s="53"/>
      <c r="AE370" s="53"/>
    </row>
    <row r="371">
      <c r="A371" s="53"/>
      <c r="B371" s="53"/>
      <c r="C371" s="168"/>
      <c r="D371" s="169"/>
      <c r="E371" s="170"/>
      <c r="F371" s="53"/>
      <c r="G371" s="53"/>
      <c r="H371" s="53"/>
      <c r="I371" s="171"/>
      <c r="J371" s="170"/>
      <c r="K371" s="53"/>
      <c r="L371" s="53"/>
      <c r="M371" s="53"/>
      <c r="N371" s="171"/>
      <c r="O371" s="170"/>
      <c r="P371" s="53"/>
      <c r="Q371" s="53"/>
      <c r="R371" s="53"/>
      <c r="S371" s="171"/>
      <c r="T371" s="170"/>
      <c r="U371" s="53"/>
      <c r="V371" s="53"/>
      <c r="W371" s="53"/>
      <c r="X371" s="171"/>
      <c r="Y371" s="170"/>
      <c r="Z371" s="170"/>
      <c r="AA371" s="170"/>
      <c r="AB371" s="170"/>
      <c r="AC371" s="170"/>
      <c r="AD371" s="53"/>
      <c r="AE371" s="53"/>
    </row>
    <row r="372">
      <c r="A372" s="53"/>
      <c r="B372" s="53"/>
      <c r="C372" s="168"/>
      <c r="D372" s="169"/>
      <c r="E372" s="170"/>
      <c r="F372" s="53"/>
      <c r="G372" s="53"/>
      <c r="H372" s="53"/>
      <c r="I372" s="171"/>
      <c r="J372" s="170"/>
      <c r="K372" s="53"/>
      <c r="L372" s="53"/>
      <c r="M372" s="53"/>
      <c r="N372" s="171"/>
      <c r="O372" s="170"/>
      <c r="P372" s="53"/>
      <c r="Q372" s="53"/>
      <c r="R372" s="53"/>
      <c r="S372" s="171"/>
      <c r="T372" s="170"/>
      <c r="U372" s="53"/>
      <c r="V372" s="53"/>
      <c r="W372" s="53"/>
      <c r="X372" s="171"/>
      <c r="Y372" s="170"/>
      <c r="Z372" s="170"/>
      <c r="AA372" s="170"/>
      <c r="AB372" s="170"/>
      <c r="AC372" s="170"/>
      <c r="AD372" s="53"/>
      <c r="AE372" s="53"/>
    </row>
    <row r="373">
      <c r="A373" s="53"/>
      <c r="B373" s="53"/>
      <c r="C373" s="168"/>
      <c r="D373" s="169"/>
      <c r="E373" s="170"/>
      <c r="F373" s="53"/>
      <c r="G373" s="53"/>
      <c r="H373" s="53"/>
      <c r="I373" s="171"/>
      <c r="J373" s="170"/>
      <c r="K373" s="53"/>
      <c r="L373" s="53"/>
      <c r="M373" s="53"/>
      <c r="N373" s="171"/>
      <c r="O373" s="170"/>
      <c r="P373" s="53"/>
      <c r="Q373" s="53"/>
      <c r="R373" s="53"/>
      <c r="S373" s="171"/>
      <c r="T373" s="170"/>
      <c r="U373" s="53"/>
      <c r="V373" s="53"/>
      <c r="W373" s="53"/>
      <c r="X373" s="171"/>
      <c r="Y373" s="170"/>
      <c r="Z373" s="170"/>
      <c r="AA373" s="170"/>
      <c r="AB373" s="170"/>
      <c r="AC373" s="170"/>
      <c r="AD373" s="53"/>
      <c r="AE373" s="53"/>
    </row>
    <row r="374">
      <c r="A374" s="53"/>
      <c r="B374" s="53"/>
      <c r="C374" s="168"/>
      <c r="D374" s="169"/>
      <c r="E374" s="170"/>
      <c r="F374" s="53"/>
      <c r="G374" s="53"/>
      <c r="H374" s="53"/>
      <c r="I374" s="171"/>
      <c r="J374" s="170"/>
      <c r="K374" s="53"/>
      <c r="L374" s="53"/>
      <c r="M374" s="53"/>
      <c r="N374" s="171"/>
      <c r="O374" s="170"/>
      <c r="P374" s="53"/>
      <c r="Q374" s="53"/>
      <c r="R374" s="53"/>
      <c r="S374" s="171"/>
      <c r="T374" s="170"/>
      <c r="U374" s="53"/>
      <c r="V374" s="53"/>
      <c r="W374" s="53"/>
      <c r="X374" s="171"/>
      <c r="Y374" s="170"/>
      <c r="Z374" s="170"/>
      <c r="AA374" s="170"/>
      <c r="AB374" s="170"/>
      <c r="AC374" s="170"/>
      <c r="AD374" s="53"/>
      <c r="AE374" s="53"/>
    </row>
    <row r="375">
      <c r="A375" s="53"/>
      <c r="B375" s="53"/>
      <c r="C375" s="168"/>
      <c r="D375" s="169"/>
      <c r="E375" s="170"/>
      <c r="F375" s="53"/>
      <c r="G375" s="53"/>
      <c r="H375" s="53"/>
      <c r="I375" s="171"/>
      <c r="J375" s="170"/>
      <c r="K375" s="53"/>
      <c r="L375" s="53"/>
      <c r="M375" s="53"/>
      <c r="N375" s="171"/>
      <c r="O375" s="170"/>
      <c r="P375" s="53"/>
      <c r="Q375" s="53"/>
      <c r="R375" s="53"/>
      <c r="S375" s="171"/>
      <c r="T375" s="170"/>
      <c r="U375" s="53"/>
      <c r="V375" s="53"/>
      <c r="W375" s="53"/>
      <c r="X375" s="171"/>
      <c r="Y375" s="170"/>
      <c r="Z375" s="170"/>
      <c r="AA375" s="170"/>
      <c r="AB375" s="170"/>
      <c r="AC375" s="170"/>
      <c r="AD375" s="53"/>
      <c r="AE375" s="53"/>
    </row>
    <row r="376">
      <c r="A376" s="53"/>
      <c r="B376" s="53"/>
      <c r="C376" s="168"/>
      <c r="D376" s="169"/>
      <c r="E376" s="170"/>
      <c r="F376" s="53"/>
      <c r="G376" s="53"/>
      <c r="H376" s="53"/>
      <c r="I376" s="171"/>
      <c r="J376" s="170"/>
      <c r="K376" s="53"/>
      <c r="L376" s="53"/>
      <c r="M376" s="53"/>
      <c r="N376" s="171"/>
      <c r="O376" s="170"/>
      <c r="P376" s="53"/>
      <c r="Q376" s="53"/>
      <c r="R376" s="53"/>
      <c r="S376" s="171"/>
      <c r="T376" s="170"/>
      <c r="U376" s="53"/>
      <c r="V376" s="53"/>
      <c r="W376" s="53"/>
      <c r="X376" s="171"/>
      <c r="Y376" s="170"/>
      <c r="Z376" s="170"/>
      <c r="AA376" s="170"/>
      <c r="AB376" s="170"/>
      <c r="AC376" s="170"/>
      <c r="AD376" s="53"/>
      <c r="AE376" s="53"/>
    </row>
    <row r="377">
      <c r="A377" s="53"/>
      <c r="B377" s="53"/>
      <c r="C377" s="168"/>
      <c r="D377" s="169"/>
      <c r="E377" s="170"/>
      <c r="F377" s="53"/>
      <c r="G377" s="53"/>
      <c r="H377" s="53"/>
      <c r="I377" s="171"/>
      <c r="J377" s="170"/>
      <c r="K377" s="53"/>
      <c r="L377" s="53"/>
      <c r="M377" s="53"/>
      <c r="N377" s="171"/>
      <c r="O377" s="170"/>
      <c r="P377" s="53"/>
      <c r="Q377" s="53"/>
      <c r="R377" s="53"/>
      <c r="S377" s="171"/>
      <c r="T377" s="170"/>
      <c r="U377" s="53"/>
      <c r="V377" s="53"/>
      <c r="W377" s="53"/>
      <c r="X377" s="171"/>
      <c r="Y377" s="170"/>
      <c r="Z377" s="170"/>
      <c r="AA377" s="170"/>
      <c r="AB377" s="170"/>
      <c r="AC377" s="170"/>
      <c r="AD377" s="53"/>
      <c r="AE377" s="53"/>
    </row>
    <row r="378">
      <c r="A378" s="53"/>
      <c r="B378" s="53"/>
      <c r="C378" s="168"/>
      <c r="D378" s="169"/>
      <c r="E378" s="170"/>
      <c r="F378" s="53"/>
      <c r="G378" s="53"/>
      <c r="H378" s="53"/>
      <c r="I378" s="171"/>
      <c r="J378" s="170"/>
      <c r="K378" s="53"/>
      <c r="L378" s="53"/>
      <c r="M378" s="53"/>
      <c r="N378" s="171"/>
      <c r="O378" s="170"/>
      <c r="P378" s="53"/>
      <c r="Q378" s="53"/>
      <c r="R378" s="53"/>
      <c r="S378" s="171"/>
      <c r="T378" s="170"/>
      <c r="U378" s="53"/>
      <c r="V378" s="53"/>
      <c r="W378" s="53"/>
      <c r="X378" s="171"/>
      <c r="Y378" s="170"/>
      <c r="Z378" s="170"/>
      <c r="AA378" s="170"/>
      <c r="AB378" s="170"/>
      <c r="AC378" s="170"/>
      <c r="AD378" s="53"/>
      <c r="AE378" s="53"/>
    </row>
    <row r="379">
      <c r="A379" s="53"/>
      <c r="B379" s="53"/>
      <c r="C379" s="168"/>
      <c r="D379" s="169"/>
      <c r="E379" s="170"/>
      <c r="F379" s="53"/>
      <c r="G379" s="53"/>
      <c r="H379" s="53"/>
      <c r="I379" s="171"/>
      <c r="J379" s="170"/>
      <c r="K379" s="53"/>
      <c r="L379" s="53"/>
      <c r="M379" s="53"/>
      <c r="N379" s="171"/>
      <c r="O379" s="170"/>
      <c r="P379" s="53"/>
      <c r="Q379" s="53"/>
      <c r="R379" s="53"/>
      <c r="S379" s="171"/>
      <c r="T379" s="170"/>
      <c r="U379" s="53"/>
      <c r="V379" s="53"/>
      <c r="W379" s="53"/>
      <c r="X379" s="171"/>
      <c r="Y379" s="170"/>
      <c r="Z379" s="170"/>
      <c r="AA379" s="170"/>
      <c r="AB379" s="170"/>
      <c r="AC379" s="170"/>
      <c r="AD379" s="53"/>
      <c r="AE379" s="53"/>
    </row>
    <row r="380">
      <c r="A380" s="53"/>
      <c r="B380" s="53"/>
      <c r="C380" s="168"/>
      <c r="D380" s="169"/>
      <c r="E380" s="170"/>
      <c r="F380" s="53"/>
      <c r="G380" s="53"/>
      <c r="H380" s="53"/>
      <c r="I380" s="171"/>
      <c r="J380" s="170"/>
      <c r="K380" s="53"/>
      <c r="L380" s="53"/>
      <c r="M380" s="53"/>
      <c r="N380" s="171"/>
      <c r="O380" s="170"/>
      <c r="P380" s="53"/>
      <c r="Q380" s="53"/>
      <c r="R380" s="53"/>
      <c r="S380" s="171"/>
      <c r="T380" s="170"/>
      <c r="U380" s="53"/>
      <c r="V380" s="53"/>
      <c r="W380" s="53"/>
      <c r="X380" s="171"/>
      <c r="Y380" s="170"/>
      <c r="Z380" s="170"/>
      <c r="AA380" s="170"/>
      <c r="AB380" s="170"/>
      <c r="AC380" s="170"/>
      <c r="AD380" s="53"/>
      <c r="AE380" s="53"/>
    </row>
    <row r="381">
      <c r="A381" s="53"/>
      <c r="B381" s="53"/>
      <c r="C381" s="168"/>
      <c r="D381" s="169"/>
      <c r="E381" s="170"/>
      <c r="F381" s="53"/>
      <c r="G381" s="53"/>
      <c r="H381" s="53"/>
      <c r="I381" s="171"/>
      <c r="J381" s="170"/>
      <c r="K381" s="53"/>
      <c r="L381" s="53"/>
      <c r="M381" s="53"/>
      <c r="N381" s="171"/>
      <c r="O381" s="170"/>
      <c r="P381" s="53"/>
      <c r="Q381" s="53"/>
      <c r="R381" s="53"/>
      <c r="S381" s="171"/>
      <c r="T381" s="170"/>
      <c r="U381" s="53"/>
      <c r="V381" s="53"/>
      <c r="W381" s="53"/>
      <c r="X381" s="171"/>
      <c r="Y381" s="170"/>
      <c r="Z381" s="170"/>
      <c r="AA381" s="170"/>
      <c r="AB381" s="170"/>
      <c r="AC381" s="170"/>
      <c r="AD381" s="53"/>
      <c r="AE381" s="53"/>
    </row>
    <row r="382">
      <c r="A382" s="53"/>
      <c r="B382" s="53"/>
      <c r="C382" s="168"/>
      <c r="D382" s="169"/>
      <c r="E382" s="170"/>
      <c r="F382" s="53"/>
      <c r="G382" s="53"/>
      <c r="H382" s="53"/>
      <c r="I382" s="171"/>
      <c r="J382" s="170"/>
      <c r="K382" s="53"/>
      <c r="L382" s="53"/>
      <c r="M382" s="53"/>
      <c r="N382" s="171"/>
      <c r="O382" s="170"/>
      <c r="P382" s="53"/>
      <c r="Q382" s="53"/>
      <c r="R382" s="53"/>
      <c r="S382" s="171"/>
      <c r="T382" s="170"/>
      <c r="U382" s="53"/>
      <c r="V382" s="53"/>
      <c r="W382" s="53"/>
      <c r="X382" s="171"/>
      <c r="Y382" s="170"/>
      <c r="Z382" s="170"/>
      <c r="AA382" s="170"/>
      <c r="AB382" s="170"/>
      <c r="AC382" s="170"/>
      <c r="AD382" s="53"/>
      <c r="AE382" s="53"/>
    </row>
    <row r="383">
      <c r="A383" s="53"/>
      <c r="B383" s="53"/>
      <c r="C383" s="168"/>
      <c r="D383" s="169"/>
      <c r="E383" s="170"/>
      <c r="F383" s="53"/>
      <c r="G383" s="53"/>
      <c r="H383" s="53"/>
      <c r="I383" s="171"/>
      <c r="J383" s="170"/>
      <c r="K383" s="53"/>
      <c r="L383" s="53"/>
      <c r="M383" s="53"/>
      <c r="N383" s="171"/>
      <c r="O383" s="170"/>
      <c r="P383" s="53"/>
      <c r="Q383" s="53"/>
      <c r="R383" s="53"/>
      <c r="S383" s="171"/>
      <c r="T383" s="170"/>
      <c r="U383" s="53"/>
      <c r="V383" s="53"/>
      <c r="W383" s="53"/>
      <c r="X383" s="171"/>
      <c r="Y383" s="170"/>
      <c r="Z383" s="170"/>
      <c r="AA383" s="170"/>
      <c r="AB383" s="170"/>
      <c r="AC383" s="170"/>
      <c r="AD383" s="53"/>
      <c r="AE383" s="53"/>
    </row>
    <row r="384">
      <c r="A384" s="53"/>
      <c r="B384" s="53"/>
      <c r="C384" s="168"/>
      <c r="D384" s="169"/>
      <c r="E384" s="170"/>
      <c r="F384" s="53"/>
      <c r="G384" s="53"/>
      <c r="H384" s="53"/>
      <c r="I384" s="171"/>
      <c r="J384" s="170"/>
      <c r="K384" s="53"/>
      <c r="L384" s="53"/>
      <c r="M384" s="53"/>
      <c r="N384" s="171"/>
      <c r="O384" s="170"/>
      <c r="P384" s="53"/>
      <c r="Q384" s="53"/>
      <c r="R384" s="53"/>
      <c r="S384" s="171"/>
      <c r="T384" s="170"/>
      <c r="U384" s="53"/>
      <c r="V384" s="53"/>
      <c r="W384" s="53"/>
      <c r="X384" s="171"/>
      <c r="Y384" s="170"/>
      <c r="Z384" s="170"/>
      <c r="AA384" s="170"/>
      <c r="AB384" s="170"/>
      <c r="AC384" s="170"/>
      <c r="AD384" s="53"/>
      <c r="AE384" s="53"/>
    </row>
    <row r="385">
      <c r="A385" s="53"/>
      <c r="B385" s="53"/>
      <c r="C385" s="168"/>
      <c r="D385" s="169"/>
      <c r="E385" s="170"/>
      <c r="F385" s="53"/>
      <c r="G385" s="53"/>
      <c r="H385" s="53"/>
      <c r="I385" s="171"/>
      <c r="J385" s="170"/>
      <c r="K385" s="53"/>
      <c r="L385" s="53"/>
      <c r="M385" s="53"/>
      <c r="N385" s="171"/>
      <c r="O385" s="170"/>
      <c r="P385" s="53"/>
      <c r="Q385" s="53"/>
      <c r="R385" s="53"/>
      <c r="S385" s="171"/>
      <c r="T385" s="170"/>
      <c r="U385" s="53"/>
      <c r="V385" s="53"/>
      <c r="W385" s="53"/>
      <c r="X385" s="171"/>
      <c r="Y385" s="170"/>
      <c r="Z385" s="170"/>
      <c r="AA385" s="170"/>
      <c r="AB385" s="170"/>
      <c r="AC385" s="170"/>
      <c r="AD385" s="53"/>
      <c r="AE385" s="53"/>
    </row>
    <row r="386">
      <c r="A386" s="53"/>
      <c r="B386" s="53"/>
      <c r="C386" s="168"/>
      <c r="D386" s="169"/>
      <c r="E386" s="170"/>
      <c r="F386" s="53"/>
      <c r="G386" s="53"/>
      <c r="H386" s="53"/>
      <c r="I386" s="171"/>
      <c r="J386" s="170"/>
      <c r="K386" s="53"/>
      <c r="L386" s="53"/>
      <c r="M386" s="53"/>
      <c r="N386" s="171"/>
      <c r="O386" s="170"/>
      <c r="P386" s="53"/>
      <c r="Q386" s="53"/>
      <c r="R386" s="53"/>
      <c r="S386" s="171"/>
      <c r="T386" s="170"/>
      <c r="U386" s="53"/>
      <c r="V386" s="53"/>
      <c r="W386" s="53"/>
      <c r="X386" s="171"/>
      <c r="Y386" s="170"/>
      <c r="Z386" s="170"/>
      <c r="AA386" s="170"/>
      <c r="AB386" s="170"/>
      <c r="AC386" s="170"/>
      <c r="AD386" s="53"/>
      <c r="AE386" s="53"/>
    </row>
    <row r="387">
      <c r="A387" s="53"/>
      <c r="B387" s="53"/>
      <c r="C387" s="168"/>
      <c r="D387" s="169"/>
      <c r="E387" s="170"/>
      <c r="F387" s="53"/>
      <c r="G387" s="53"/>
      <c r="H387" s="53"/>
      <c r="I387" s="171"/>
      <c r="J387" s="170"/>
      <c r="K387" s="53"/>
      <c r="L387" s="53"/>
      <c r="M387" s="53"/>
      <c r="N387" s="171"/>
      <c r="O387" s="170"/>
      <c r="P387" s="53"/>
      <c r="Q387" s="53"/>
      <c r="R387" s="53"/>
      <c r="S387" s="171"/>
      <c r="T387" s="170"/>
      <c r="U387" s="53"/>
      <c r="V387" s="53"/>
      <c r="W387" s="53"/>
      <c r="X387" s="171"/>
      <c r="Y387" s="170"/>
      <c r="Z387" s="170"/>
      <c r="AA387" s="170"/>
      <c r="AB387" s="170"/>
      <c r="AC387" s="170"/>
      <c r="AD387" s="53"/>
      <c r="AE387" s="53"/>
    </row>
    <row r="388">
      <c r="A388" s="53"/>
      <c r="B388" s="53"/>
      <c r="C388" s="168"/>
      <c r="D388" s="169"/>
      <c r="E388" s="170"/>
      <c r="F388" s="53"/>
      <c r="G388" s="53"/>
      <c r="H388" s="53"/>
      <c r="I388" s="171"/>
      <c r="J388" s="170"/>
      <c r="K388" s="53"/>
      <c r="L388" s="53"/>
      <c r="M388" s="53"/>
      <c r="N388" s="171"/>
      <c r="O388" s="170"/>
      <c r="P388" s="53"/>
      <c r="Q388" s="53"/>
      <c r="R388" s="53"/>
      <c r="S388" s="171"/>
      <c r="T388" s="170"/>
      <c r="U388" s="53"/>
      <c r="V388" s="53"/>
      <c r="W388" s="53"/>
      <c r="X388" s="171"/>
      <c r="Y388" s="170"/>
      <c r="Z388" s="170"/>
      <c r="AA388" s="170"/>
      <c r="AB388" s="170"/>
      <c r="AC388" s="170"/>
      <c r="AD388" s="53"/>
      <c r="AE388" s="53"/>
    </row>
    <row r="389">
      <c r="A389" s="53"/>
      <c r="B389" s="53"/>
      <c r="C389" s="168"/>
      <c r="D389" s="169"/>
      <c r="E389" s="170"/>
      <c r="F389" s="53"/>
      <c r="G389" s="53"/>
      <c r="H389" s="53"/>
      <c r="I389" s="171"/>
      <c r="J389" s="170"/>
      <c r="K389" s="53"/>
      <c r="L389" s="53"/>
      <c r="M389" s="53"/>
      <c r="N389" s="171"/>
      <c r="O389" s="170"/>
      <c r="P389" s="53"/>
      <c r="Q389" s="53"/>
      <c r="R389" s="53"/>
      <c r="S389" s="171"/>
      <c r="T389" s="170"/>
      <c r="U389" s="53"/>
      <c r="V389" s="53"/>
      <c r="W389" s="53"/>
      <c r="X389" s="171"/>
      <c r="Y389" s="170"/>
      <c r="Z389" s="170"/>
      <c r="AA389" s="170"/>
      <c r="AB389" s="170"/>
      <c r="AC389" s="170"/>
      <c r="AD389" s="53"/>
      <c r="AE389" s="53"/>
    </row>
    <row r="390">
      <c r="A390" s="53"/>
      <c r="B390" s="53"/>
      <c r="C390" s="168"/>
      <c r="D390" s="169"/>
      <c r="E390" s="170"/>
      <c r="F390" s="53"/>
      <c r="G390" s="53"/>
      <c r="H390" s="53"/>
      <c r="I390" s="171"/>
      <c r="J390" s="170"/>
      <c r="K390" s="53"/>
      <c r="L390" s="53"/>
      <c r="M390" s="53"/>
      <c r="N390" s="171"/>
      <c r="O390" s="170"/>
      <c r="P390" s="53"/>
      <c r="Q390" s="53"/>
      <c r="R390" s="53"/>
      <c r="S390" s="171"/>
      <c r="T390" s="170"/>
      <c r="U390" s="53"/>
      <c r="V390" s="53"/>
      <c r="W390" s="53"/>
      <c r="X390" s="171"/>
      <c r="Y390" s="170"/>
      <c r="Z390" s="170"/>
      <c r="AA390" s="170"/>
      <c r="AB390" s="170"/>
      <c r="AC390" s="170"/>
      <c r="AD390" s="53"/>
      <c r="AE390" s="53"/>
    </row>
    <row r="391">
      <c r="A391" s="53"/>
      <c r="B391" s="53"/>
      <c r="C391" s="168"/>
      <c r="D391" s="169"/>
      <c r="E391" s="170"/>
      <c r="F391" s="53"/>
      <c r="G391" s="53"/>
      <c r="H391" s="53"/>
      <c r="I391" s="171"/>
      <c r="J391" s="170"/>
      <c r="K391" s="53"/>
      <c r="L391" s="53"/>
      <c r="M391" s="53"/>
      <c r="N391" s="171"/>
      <c r="O391" s="170"/>
      <c r="P391" s="53"/>
      <c r="Q391" s="53"/>
      <c r="R391" s="53"/>
      <c r="S391" s="171"/>
      <c r="T391" s="170"/>
      <c r="U391" s="53"/>
      <c r="V391" s="53"/>
      <c r="W391" s="53"/>
      <c r="X391" s="171"/>
      <c r="Y391" s="170"/>
      <c r="Z391" s="170"/>
      <c r="AA391" s="170"/>
      <c r="AB391" s="170"/>
      <c r="AC391" s="170"/>
      <c r="AD391" s="53"/>
      <c r="AE391" s="53"/>
    </row>
    <row r="392">
      <c r="A392" s="53"/>
      <c r="B392" s="53"/>
      <c r="C392" s="168"/>
      <c r="D392" s="169"/>
      <c r="E392" s="170"/>
      <c r="F392" s="53"/>
      <c r="G392" s="53"/>
      <c r="H392" s="53"/>
      <c r="I392" s="171"/>
      <c r="J392" s="170"/>
      <c r="K392" s="53"/>
      <c r="L392" s="53"/>
      <c r="M392" s="53"/>
      <c r="N392" s="171"/>
      <c r="O392" s="170"/>
      <c r="P392" s="53"/>
      <c r="Q392" s="53"/>
      <c r="R392" s="53"/>
      <c r="S392" s="171"/>
      <c r="T392" s="170"/>
      <c r="U392" s="53"/>
      <c r="V392" s="53"/>
      <c r="W392" s="53"/>
      <c r="X392" s="171"/>
      <c r="Y392" s="170"/>
      <c r="Z392" s="170"/>
      <c r="AA392" s="170"/>
      <c r="AB392" s="170"/>
      <c r="AC392" s="170"/>
      <c r="AD392" s="53"/>
      <c r="AE392" s="53"/>
    </row>
    <row r="393">
      <c r="A393" s="53"/>
      <c r="B393" s="53"/>
      <c r="C393" s="168"/>
      <c r="D393" s="169"/>
      <c r="E393" s="170"/>
      <c r="F393" s="53"/>
      <c r="G393" s="53"/>
      <c r="H393" s="53"/>
      <c r="I393" s="171"/>
      <c r="J393" s="170"/>
      <c r="K393" s="53"/>
      <c r="L393" s="53"/>
      <c r="M393" s="53"/>
      <c r="N393" s="171"/>
      <c r="O393" s="170"/>
      <c r="P393" s="53"/>
      <c r="Q393" s="53"/>
      <c r="R393" s="53"/>
      <c r="S393" s="171"/>
      <c r="T393" s="170"/>
      <c r="U393" s="53"/>
      <c r="V393" s="53"/>
      <c r="W393" s="53"/>
      <c r="X393" s="171"/>
      <c r="Y393" s="170"/>
      <c r="Z393" s="170"/>
      <c r="AA393" s="170"/>
      <c r="AB393" s="170"/>
      <c r="AC393" s="170"/>
      <c r="AD393" s="53"/>
      <c r="AE393" s="53"/>
    </row>
    <row r="394">
      <c r="A394" s="53"/>
      <c r="B394" s="53"/>
      <c r="C394" s="168"/>
      <c r="D394" s="169"/>
      <c r="E394" s="170"/>
      <c r="F394" s="53"/>
      <c r="G394" s="53"/>
      <c r="H394" s="53"/>
      <c r="I394" s="171"/>
      <c r="J394" s="170"/>
      <c r="K394" s="53"/>
      <c r="L394" s="53"/>
      <c r="M394" s="53"/>
      <c r="N394" s="171"/>
      <c r="O394" s="170"/>
      <c r="P394" s="53"/>
      <c r="Q394" s="53"/>
      <c r="R394" s="53"/>
      <c r="S394" s="171"/>
      <c r="T394" s="170"/>
      <c r="U394" s="53"/>
      <c r="V394" s="53"/>
      <c r="W394" s="53"/>
      <c r="X394" s="171"/>
      <c r="Y394" s="170"/>
      <c r="Z394" s="170"/>
      <c r="AA394" s="170"/>
      <c r="AB394" s="170"/>
      <c r="AC394" s="170"/>
      <c r="AD394" s="53"/>
      <c r="AE394" s="53"/>
    </row>
    <row r="395">
      <c r="A395" s="53"/>
      <c r="B395" s="53"/>
      <c r="C395" s="168"/>
      <c r="D395" s="169"/>
      <c r="E395" s="170"/>
      <c r="F395" s="53"/>
      <c r="G395" s="53"/>
      <c r="H395" s="53"/>
      <c r="I395" s="171"/>
      <c r="J395" s="170"/>
      <c r="K395" s="53"/>
      <c r="L395" s="53"/>
      <c r="M395" s="53"/>
      <c r="N395" s="171"/>
      <c r="O395" s="170"/>
      <c r="P395" s="53"/>
      <c r="Q395" s="53"/>
      <c r="R395" s="53"/>
      <c r="S395" s="171"/>
      <c r="T395" s="170"/>
      <c r="U395" s="53"/>
      <c r="V395" s="53"/>
      <c r="W395" s="53"/>
      <c r="X395" s="171"/>
      <c r="Y395" s="170"/>
      <c r="Z395" s="170"/>
      <c r="AA395" s="170"/>
      <c r="AB395" s="170"/>
      <c r="AC395" s="170"/>
      <c r="AD395" s="53"/>
      <c r="AE395" s="53"/>
    </row>
    <row r="396">
      <c r="A396" s="53"/>
      <c r="B396" s="53"/>
      <c r="C396" s="168"/>
      <c r="D396" s="169"/>
      <c r="E396" s="170"/>
      <c r="F396" s="53"/>
      <c r="G396" s="53"/>
      <c r="H396" s="53"/>
      <c r="I396" s="171"/>
      <c r="J396" s="170"/>
      <c r="K396" s="53"/>
      <c r="L396" s="53"/>
      <c r="M396" s="53"/>
      <c r="N396" s="171"/>
      <c r="O396" s="170"/>
      <c r="P396" s="53"/>
      <c r="Q396" s="53"/>
      <c r="R396" s="53"/>
      <c r="S396" s="171"/>
      <c r="T396" s="170"/>
      <c r="U396" s="53"/>
      <c r="V396" s="53"/>
      <c r="W396" s="53"/>
      <c r="X396" s="171"/>
      <c r="Y396" s="170"/>
      <c r="Z396" s="170"/>
      <c r="AA396" s="170"/>
      <c r="AB396" s="170"/>
      <c r="AC396" s="170"/>
      <c r="AD396" s="53"/>
      <c r="AE396" s="53"/>
    </row>
    <row r="397">
      <c r="A397" s="53"/>
      <c r="B397" s="53"/>
      <c r="C397" s="168"/>
      <c r="D397" s="169"/>
      <c r="E397" s="170"/>
      <c r="F397" s="53"/>
      <c r="G397" s="53"/>
      <c r="H397" s="53"/>
      <c r="I397" s="171"/>
      <c r="J397" s="170"/>
      <c r="K397" s="53"/>
      <c r="L397" s="53"/>
      <c r="M397" s="53"/>
      <c r="N397" s="171"/>
      <c r="O397" s="170"/>
      <c r="P397" s="53"/>
      <c r="Q397" s="53"/>
      <c r="R397" s="53"/>
      <c r="S397" s="171"/>
      <c r="T397" s="170"/>
      <c r="U397" s="53"/>
      <c r="V397" s="53"/>
      <c r="W397" s="53"/>
      <c r="X397" s="171"/>
      <c r="Y397" s="170"/>
      <c r="Z397" s="170"/>
      <c r="AA397" s="170"/>
      <c r="AB397" s="170"/>
      <c r="AC397" s="170"/>
      <c r="AD397" s="53"/>
      <c r="AE397" s="53"/>
    </row>
    <row r="398">
      <c r="A398" s="53"/>
      <c r="B398" s="53"/>
      <c r="C398" s="168"/>
      <c r="D398" s="169"/>
      <c r="E398" s="170"/>
      <c r="F398" s="53"/>
      <c r="G398" s="53"/>
      <c r="H398" s="53"/>
      <c r="I398" s="171"/>
      <c r="J398" s="170"/>
      <c r="K398" s="53"/>
      <c r="L398" s="53"/>
      <c r="M398" s="53"/>
      <c r="N398" s="171"/>
      <c r="O398" s="170"/>
      <c r="P398" s="53"/>
      <c r="Q398" s="53"/>
      <c r="R398" s="53"/>
      <c r="S398" s="171"/>
      <c r="T398" s="170"/>
      <c r="U398" s="53"/>
      <c r="V398" s="53"/>
      <c r="W398" s="53"/>
      <c r="X398" s="171"/>
      <c r="Y398" s="170"/>
      <c r="Z398" s="170"/>
      <c r="AA398" s="170"/>
      <c r="AB398" s="170"/>
      <c r="AC398" s="170"/>
      <c r="AD398" s="53"/>
      <c r="AE398" s="53"/>
    </row>
    <row r="399">
      <c r="A399" s="53"/>
      <c r="B399" s="53"/>
      <c r="C399" s="168"/>
      <c r="D399" s="169"/>
      <c r="E399" s="170"/>
      <c r="F399" s="53"/>
      <c r="G399" s="53"/>
      <c r="H399" s="53"/>
      <c r="I399" s="171"/>
      <c r="J399" s="170"/>
      <c r="K399" s="53"/>
      <c r="L399" s="53"/>
      <c r="M399" s="53"/>
      <c r="N399" s="171"/>
      <c r="O399" s="170"/>
      <c r="P399" s="53"/>
      <c r="Q399" s="53"/>
      <c r="R399" s="53"/>
      <c r="S399" s="171"/>
      <c r="T399" s="170"/>
      <c r="U399" s="53"/>
      <c r="V399" s="53"/>
      <c r="W399" s="53"/>
      <c r="X399" s="171"/>
      <c r="Y399" s="170"/>
      <c r="Z399" s="170"/>
      <c r="AA399" s="170"/>
      <c r="AB399" s="170"/>
      <c r="AC399" s="170"/>
      <c r="AD399" s="53"/>
      <c r="AE399" s="53"/>
    </row>
    <row r="400">
      <c r="A400" s="53"/>
      <c r="B400" s="53"/>
      <c r="C400" s="168"/>
      <c r="D400" s="169"/>
      <c r="E400" s="170"/>
      <c r="F400" s="53"/>
      <c r="G400" s="53"/>
      <c r="H400" s="53"/>
      <c r="I400" s="171"/>
      <c r="J400" s="170"/>
      <c r="K400" s="53"/>
      <c r="L400" s="53"/>
      <c r="M400" s="53"/>
      <c r="N400" s="171"/>
      <c r="O400" s="170"/>
      <c r="P400" s="53"/>
      <c r="Q400" s="53"/>
      <c r="R400" s="53"/>
      <c r="S400" s="171"/>
      <c r="T400" s="170"/>
      <c r="U400" s="53"/>
      <c r="V400" s="53"/>
      <c r="W400" s="53"/>
      <c r="X400" s="171"/>
      <c r="Y400" s="170"/>
      <c r="Z400" s="170"/>
      <c r="AA400" s="170"/>
      <c r="AB400" s="170"/>
      <c r="AC400" s="170"/>
      <c r="AD400" s="53"/>
      <c r="AE400" s="53"/>
    </row>
    <row r="401">
      <c r="A401" s="53"/>
      <c r="B401" s="53"/>
      <c r="C401" s="168"/>
      <c r="D401" s="169"/>
      <c r="E401" s="170"/>
      <c r="F401" s="53"/>
      <c r="G401" s="53"/>
      <c r="H401" s="53"/>
      <c r="I401" s="171"/>
      <c r="J401" s="170"/>
      <c r="K401" s="53"/>
      <c r="L401" s="53"/>
      <c r="M401" s="53"/>
      <c r="N401" s="171"/>
      <c r="O401" s="170"/>
      <c r="P401" s="53"/>
      <c r="Q401" s="53"/>
      <c r="R401" s="53"/>
      <c r="S401" s="171"/>
      <c r="T401" s="170"/>
      <c r="U401" s="53"/>
      <c r="V401" s="53"/>
      <c r="W401" s="53"/>
      <c r="X401" s="171"/>
      <c r="Y401" s="170"/>
      <c r="Z401" s="170"/>
      <c r="AA401" s="170"/>
      <c r="AB401" s="170"/>
      <c r="AC401" s="170"/>
      <c r="AD401" s="53"/>
      <c r="AE401" s="53"/>
    </row>
    <row r="402">
      <c r="A402" s="53"/>
      <c r="B402" s="53"/>
      <c r="C402" s="168"/>
      <c r="D402" s="169"/>
      <c r="E402" s="170"/>
      <c r="F402" s="53"/>
      <c r="G402" s="53"/>
      <c r="H402" s="53"/>
      <c r="I402" s="171"/>
      <c r="J402" s="170"/>
      <c r="K402" s="53"/>
      <c r="L402" s="53"/>
      <c r="M402" s="53"/>
      <c r="N402" s="171"/>
      <c r="O402" s="170"/>
      <c r="P402" s="53"/>
      <c r="Q402" s="53"/>
      <c r="R402" s="53"/>
      <c r="S402" s="171"/>
      <c r="T402" s="170"/>
      <c r="U402" s="53"/>
      <c r="V402" s="53"/>
      <c r="W402" s="53"/>
      <c r="X402" s="171"/>
      <c r="Y402" s="170"/>
      <c r="Z402" s="170"/>
      <c r="AA402" s="170"/>
      <c r="AB402" s="170"/>
      <c r="AC402" s="170"/>
      <c r="AD402" s="53"/>
      <c r="AE402" s="53"/>
    </row>
    <row r="403">
      <c r="A403" s="53"/>
      <c r="B403" s="53"/>
      <c r="C403" s="168"/>
      <c r="D403" s="169"/>
      <c r="E403" s="170"/>
      <c r="F403" s="53"/>
      <c r="G403" s="53"/>
      <c r="H403" s="53"/>
      <c r="I403" s="171"/>
      <c r="J403" s="170"/>
      <c r="K403" s="53"/>
      <c r="L403" s="53"/>
      <c r="M403" s="53"/>
      <c r="N403" s="171"/>
      <c r="O403" s="170"/>
      <c r="P403" s="53"/>
      <c r="Q403" s="53"/>
      <c r="R403" s="53"/>
      <c r="S403" s="171"/>
      <c r="T403" s="170"/>
      <c r="U403" s="53"/>
      <c r="V403" s="53"/>
      <c r="W403" s="53"/>
      <c r="X403" s="171"/>
      <c r="Y403" s="170"/>
      <c r="Z403" s="170"/>
      <c r="AA403" s="170"/>
      <c r="AB403" s="170"/>
      <c r="AC403" s="170"/>
      <c r="AD403" s="53"/>
      <c r="AE403" s="53"/>
    </row>
    <row r="404">
      <c r="A404" s="53"/>
      <c r="B404" s="53"/>
      <c r="C404" s="168"/>
      <c r="D404" s="169"/>
      <c r="E404" s="170"/>
      <c r="F404" s="53"/>
      <c r="G404" s="53"/>
      <c r="H404" s="53"/>
      <c r="I404" s="171"/>
      <c r="J404" s="170"/>
      <c r="K404" s="53"/>
      <c r="L404" s="53"/>
      <c r="M404" s="53"/>
      <c r="N404" s="171"/>
      <c r="O404" s="170"/>
      <c r="P404" s="53"/>
      <c r="Q404" s="53"/>
      <c r="R404" s="53"/>
      <c r="S404" s="171"/>
      <c r="T404" s="170"/>
      <c r="U404" s="53"/>
      <c r="V404" s="53"/>
      <c r="W404" s="53"/>
      <c r="X404" s="171"/>
      <c r="Y404" s="170"/>
      <c r="Z404" s="170"/>
      <c r="AA404" s="170"/>
      <c r="AB404" s="170"/>
      <c r="AC404" s="170"/>
      <c r="AD404" s="53"/>
      <c r="AE404" s="53"/>
    </row>
    <row r="405">
      <c r="A405" s="53"/>
      <c r="B405" s="53"/>
      <c r="C405" s="168"/>
      <c r="D405" s="169"/>
      <c r="E405" s="170"/>
      <c r="F405" s="53"/>
      <c r="G405" s="53"/>
      <c r="H405" s="53"/>
      <c r="I405" s="171"/>
      <c r="J405" s="170"/>
      <c r="K405" s="53"/>
      <c r="L405" s="53"/>
      <c r="M405" s="53"/>
      <c r="N405" s="171"/>
      <c r="O405" s="170"/>
      <c r="P405" s="53"/>
      <c r="Q405" s="53"/>
      <c r="R405" s="53"/>
      <c r="S405" s="171"/>
      <c r="T405" s="170"/>
      <c r="U405" s="53"/>
      <c r="V405" s="53"/>
      <c r="W405" s="53"/>
      <c r="X405" s="171"/>
      <c r="Y405" s="170"/>
      <c r="Z405" s="170"/>
      <c r="AA405" s="170"/>
      <c r="AB405" s="170"/>
      <c r="AC405" s="170"/>
      <c r="AD405" s="53"/>
      <c r="AE405" s="53"/>
    </row>
    <row r="406">
      <c r="A406" s="53"/>
      <c r="B406" s="53"/>
      <c r="C406" s="168"/>
      <c r="D406" s="169"/>
      <c r="E406" s="170"/>
      <c r="F406" s="53"/>
      <c r="G406" s="53"/>
      <c r="H406" s="53"/>
      <c r="I406" s="171"/>
      <c r="J406" s="170"/>
      <c r="K406" s="53"/>
      <c r="L406" s="53"/>
      <c r="M406" s="53"/>
      <c r="N406" s="171"/>
      <c r="O406" s="170"/>
      <c r="P406" s="53"/>
      <c r="Q406" s="53"/>
      <c r="R406" s="53"/>
      <c r="S406" s="171"/>
      <c r="T406" s="170"/>
      <c r="U406" s="53"/>
      <c r="V406" s="53"/>
      <c r="W406" s="53"/>
      <c r="X406" s="171"/>
      <c r="Y406" s="170"/>
      <c r="Z406" s="170"/>
      <c r="AA406" s="170"/>
      <c r="AB406" s="170"/>
      <c r="AC406" s="170"/>
      <c r="AD406" s="53"/>
      <c r="AE406" s="53"/>
    </row>
    <row r="407">
      <c r="A407" s="53"/>
      <c r="B407" s="53"/>
      <c r="C407" s="168"/>
      <c r="D407" s="169"/>
      <c r="E407" s="170"/>
      <c r="F407" s="53"/>
      <c r="G407" s="53"/>
      <c r="H407" s="53"/>
      <c r="I407" s="171"/>
      <c r="J407" s="170"/>
      <c r="K407" s="53"/>
      <c r="L407" s="53"/>
      <c r="M407" s="53"/>
      <c r="N407" s="171"/>
      <c r="O407" s="170"/>
      <c r="P407" s="53"/>
      <c r="Q407" s="53"/>
      <c r="R407" s="53"/>
      <c r="S407" s="171"/>
      <c r="T407" s="170"/>
      <c r="U407" s="53"/>
      <c r="V407" s="53"/>
      <c r="W407" s="53"/>
      <c r="X407" s="171"/>
      <c r="Y407" s="170"/>
      <c r="Z407" s="170"/>
      <c r="AA407" s="170"/>
      <c r="AB407" s="170"/>
      <c r="AC407" s="170"/>
      <c r="AD407" s="53"/>
      <c r="AE407" s="53"/>
    </row>
    <row r="408">
      <c r="A408" s="53"/>
      <c r="B408" s="53"/>
      <c r="C408" s="168"/>
      <c r="D408" s="169"/>
      <c r="E408" s="170"/>
      <c r="F408" s="53"/>
      <c r="G408" s="53"/>
      <c r="H408" s="53"/>
      <c r="I408" s="171"/>
      <c r="J408" s="170"/>
      <c r="K408" s="53"/>
      <c r="L408" s="53"/>
      <c r="M408" s="53"/>
      <c r="N408" s="171"/>
      <c r="O408" s="170"/>
      <c r="P408" s="53"/>
      <c r="Q408" s="53"/>
      <c r="R408" s="53"/>
      <c r="S408" s="171"/>
      <c r="T408" s="170"/>
      <c r="U408" s="53"/>
      <c r="V408" s="53"/>
      <c r="W408" s="53"/>
      <c r="X408" s="171"/>
      <c r="Y408" s="170"/>
      <c r="Z408" s="170"/>
      <c r="AA408" s="170"/>
      <c r="AB408" s="170"/>
      <c r="AC408" s="170"/>
      <c r="AD408" s="53"/>
      <c r="AE408" s="53"/>
    </row>
    <row r="409">
      <c r="A409" s="53"/>
      <c r="B409" s="53"/>
      <c r="C409" s="168"/>
      <c r="D409" s="169"/>
      <c r="E409" s="170"/>
      <c r="F409" s="53"/>
      <c r="G409" s="53"/>
      <c r="H409" s="53"/>
      <c r="I409" s="171"/>
      <c r="J409" s="170"/>
      <c r="K409" s="53"/>
      <c r="L409" s="53"/>
      <c r="M409" s="53"/>
      <c r="N409" s="171"/>
      <c r="O409" s="170"/>
      <c r="P409" s="53"/>
      <c r="Q409" s="53"/>
      <c r="R409" s="53"/>
      <c r="S409" s="171"/>
      <c r="T409" s="170"/>
      <c r="U409" s="53"/>
      <c r="V409" s="53"/>
      <c r="W409" s="53"/>
      <c r="X409" s="171"/>
      <c r="Y409" s="170"/>
      <c r="Z409" s="170"/>
      <c r="AA409" s="170"/>
      <c r="AB409" s="170"/>
      <c r="AC409" s="170"/>
      <c r="AD409" s="53"/>
      <c r="AE409" s="53"/>
    </row>
    <row r="410">
      <c r="A410" s="53"/>
      <c r="B410" s="53"/>
      <c r="C410" s="168"/>
      <c r="D410" s="169"/>
      <c r="E410" s="170"/>
      <c r="F410" s="53"/>
      <c r="G410" s="53"/>
      <c r="H410" s="53"/>
      <c r="I410" s="171"/>
      <c r="J410" s="170"/>
      <c r="K410" s="53"/>
      <c r="L410" s="53"/>
      <c r="M410" s="53"/>
      <c r="N410" s="171"/>
      <c r="O410" s="170"/>
      <c r="P410" s="53"/>
      <c r="Q410" s="53"/>
      <c r="R410" s="53"/>
      <c r="S410" s="171"/>
      <c r="T410" s="170"/>
      <c r="U410" s="53"/>
      <c r="V410" s="53"/>
      <c r="W410" s="53"/>
      <c r="X410" s="171"/>
      <c r="Y410" s="170"/>
      <c r="Z410" s="170"/>
      <c r="AA410" s="170"/>
      <c r="AB410" s="170"/>
      <c r="AC410" s="170"/>
      <c r="AD410" s="53"/>
      <c r="AE410" s="53"/>
    </row>
    <row r="411">
      <c r="A411" s="53"/>
      <c r="B411" s="53"/>
      <c r="C411" s="168"/>
      <c r="D411" s="169"/>
      <c r="E411" s="170"/>
      <c r="F411" s="53"/>
      <c r="G411" s="53"/>
      <c r="H411" s="53"/>
      <c r="I411" s="171"/>
      <c r="J411" s="170"/>
      <c r="K411" s="53"/>
      <c r="L411" s="53"/>
      <c r="M411" s="53"/>
      <c r="N411" s="171"/>
      <c r="O411" s="170"/>
      <c r="P411" s="53"/>
      <c r="Q411" s="53"/>
      <c r="R411" s="53"/>
      <c r="S411" s="171"/>
      <c r="T411" s="170"/>
      <c r="U411" s="53"/>
      <c r="V411" s="53"/>
      <c r="W411" s="53"/>
      <c r="X411" s="171"/>
      <c r="Y411" s="170"/>
      <c r="Z411" s="170"/>
      <c r="AA411" s="170"/>
      <c r="AB411" s="170"/>
      <c r="AC411" s="170"/>
      <c r="AD411" s="53"/>
      <c r="AE411" s="53"/>
    </row>
    <row r="412">
      <c r="A412" s="53"/>
      <c r="B412" s="53"/>
      <c r="C412" s="168"/>
      <c r="D412" s="169"/>
      <c r="E412" s="170"/>
      <c r="F412" s="53"/>
      <c r="G412" s="53"/>
      <c r="H412" s="53"/>
      <c r="I412" s="171"/>
      <c r="J412" s="170"/>
      <c r="K412" s="53"/>
      <c r="L412" s="53"/>
      <c r="M412" s="53"/>
      <c r="N412" s="171"/>
      <c r="O412" s="170"/>
      <c r="P412" s="53"/>
      <c r="Q412" s="53"/>
      <c r="R412" s="53"/>
      <c r="S412" s="171"/>
      <c r="T412" s="170"/>
      <c r="U412" s="53"/>
      <c r="V412" s="53"/>
      <c r="W412" s="53"/>
      <c r="X412" s="171"/>
      <c r="Y412" s="170"/>
      <c r="Z412" s="170"/>
      <c r="AA412" s="170"/>
      <c r="AB412" s="170"/>
      <c r="AC412" s="170"/>
      <c r="AD412" s="53"/>
      <c r="AE412" s="53"/>
    </row>
    <row r="413">
      <c r="A413" s="53"/>
      <c r="B413" s="53"/>
      <c r="C413" s="168"/>
      <c r="D413" s="169"/>
      <c r="E413" s="170"/>
      <c r="F413" s="53"/>
      <c r="G413" s="53"/>
      <c r="H413" s="53"/>
      <c r="I413" s="171"/>
      <c r="J413" s="170"/>
      <c r="K413" s="53"/>
      <c r="L413" s="53"/>
      <c r="M413" s="53"/>
      <c r="N413" s="171"/>
      <c r="O413" s="170"/>
      <c r="P413" s="53"/>
      <c r="Q413" s="53"/>
      <c r="R413" s="53"/>
      <c r="S413" s="171"/>
      <c r="T413" s="170"/>
      <c r="U413" s="53"/>
      <c r="V413" s="53"/>
      <c r="W413" s="53"/>
      <c r="X413" s="171"/>
      <c r="Y413" s="170"/>
      <c r="Z413" s="170"/>
      <c r="AA413" s="170"/>
      <c r="AB413" s="170"/>
      <c r="AC413" s="170"/>
      <c r="AD413" s="53"/>
      <c r="AE413" s="53"/>
    </row>
    <row r="414">
      <c r="A414" s="53"/>
      <c r="B414" s="53"/>
      <c r="C414" s="168"/>
      <c r="D414" s="169"/>
      <c r="E414" s="170"/>
      <c r="F414" s="53"/>
      <c r="G414" s="53"/>
      <c r="H414" s="53"/>
      <c r="I414" s="171"/>
      <c r="J414" s="170"/>
      <c r="K414" s="53"/>
      <c r="L414" s="53"/>
      <c r="M414" s="53"/>
      <c r="N414" s="171"/>
      <c r="O414" s="170"/>
      <c r="P414" s="53"/>
      <c r="Q414" s="53"/>
      <c r="R414" s="53"/>
      <c r="S414" s="171"/>
      <c r="T414" s="170"/>
      <c r="U414" s="53"/>
      <c r="V414" s="53"/>
      <c r="W414" s="53"/>
      <c r="X414" s="171"/>
      <c r="Y414" s="170"/>
      <c r="Z414" s="170"/>
      <c r="AA414" s="170"/>
      <c r="AB414" s="170"/>
      <c r="AC414" s="170"/>
      <c r="AD414" s="53"/>
      <c r="AE414" s="53"/>
    </row>
    <row r="415">
      <c r="A415" s="53"/>
      <c r="B415" s="53"/>
      <c r="C415" s="168"/>
      <c r="D415" s="169"/>
      <c r="E415" s="170"/>
      <c r="F415" s="53"/>
      <c r="G415" s="53"/>
      <c r="H415" s="53"/>
      <c r="I415" s="171"/>
      <c r="J415" s="170"/>
      <c r="K415" s="53"/>
      <c r="L415" s="53"/>
      <c r="M415" s="53"/>
      <c r="N415" s="171"/>
      <c r="O415" s="170"/>
      <c r="P415" s="53"/>
      <c r="Q415" s="53"/>
      <c r="R415" s="53"/>
      <c r="S415" s="171"/>
      <c r="T415" s="170"/>
      <c r="U415" s="53"/>
      <c r="V415" s="53"/>
      <c r="W415" s="53"/>
      <c r="X415" s="171"/>
      <c r="Y415" s="170"/>
      <c r="Z415" s="170"/>
      <c r="AA415" s="170"/>
      <c r="AB415" s="170"/>
      <c r="AC415" s="170"/>
      <c r="AD415" s="53"/>
      <c r="AE415" s="53"/>
    </row>
    <row r="416">
      <c r="A416" s="53"/>
      <c r="B416" s="53"/>
      <c r="C416" s="168"/>
      <c r="D416" s="169"/>
      <c r="E416" s="170"/>
      <c r="F416" s="53"/>
      <c r="G416" s="53"/>
      <c r="H416" s="53"/>
      <c r="I416" s="171"/>
      <c r="J416" s="170"/>
      <c r="K416" s="53"/>
      <c r="L416" s="53"/>
      <c r="M416" s="53"/>
      <c r="N416" s="171"/>
      <c r="O416" s="170"/>
      <c r="P416" s="53"/>
      <c r="Q416" s="53"/>
      <c r="R416" s="53"/>
      <c r="S416" s="171"/>
      <c r="T416" s="170"/>
      <c r="U416" s="53"/>
      <c r="V416" s="53"/>
      <c r="W416" s="53"/>
      <c r="X416" s="171"/>
      <c r="Y416" s="170"/>
      <c r="Z416" s="170"/>
      <c r="AA416" s="170"/>
      <c r="AB416" s="170"/>
      <c r="AC416" s="170"/>
      <c r="AD416" s="53"/>
      <c r="AE416" s="53"/>
    </row>
    <row r="417">
      <c r="A417" s="53"/>
      <c r="B417" s="53"/>
      <c r="C417" s="168"/>
      <c r="D417" s="169"/>
      <c r="E417" s="170"/>
      <c r="F417" s="53"/>
      <c r="G417" s="53"/>
      <c r="H417" s="53"/>
      <c r="I417" s="171"/>
      <c r="J417" s="170"/>
      <c r="K417" s="53"/>
      <c r="L417" s="53"/>
      <c r="M417" s="53"/>
      <c r="N417" s="171"/>
      <c r="O417" s="170"/>
      <c r="P417" s="53"/>
      <c r="Q417" s="53"/>
      <c r="R417" s="53"/>
      <c r="S417" s="171"/>
      <c r="T417" s="170"/>
      <c r="U417" s="53"/>
      <c r="V417" s="53"/>
      <c r="W417" s="53"/>
      <c r="X417" s="171"/>
      <c r="Y417" s="170"/>
      <c r="Z417" s="170"/>
      <c r="AA417" s="170"/>
      <c r="AB417" s="170"/>
      <c r="AC417" s="170"/>
      <c r="AD417" s="53"/>
      <c r="AE417" s="53"/>
    </row>
    <row r="418">
      <c r="A418" s="53"/>
      <c r="B418" s="53"/>
      <c r="C418" s="168"/>
      <c r="D418" s="169"/>
      <c r="E418" s="170"/>
      <c r="F418" s="53"/>
      <c r="G418" s="53"/>
      <c r="H418" s="53"/>
      <c r="I418" s="171"/>
      <c r="J418" s="170"/>
      <c r="K418" s="53"/>
      <c r="L418" s="53"/>
      <c r="M418" s="53"/>
      <c r="N418" s="171"/>
      <c r="O418" s="170"/>
      <c r="P418" s="53"/>
      <c r="Q418" s="53"/>
      <c r="R418" s="53"/>
      <c r="S418" s="171"/>
      <c r="T418" s="170"/>
      <c r="U418" s="53"/>
      <c r="V418" s="53"/>
      <c r="W418" s="53"/>
      <c r="X418" s="171"/>
      <c r="Y418" s="170"/>
      <c r="Z418" s="170"/>
      <c r="AA418" s="170"/>
      <c r="AB418" s="170"/>
      <c r="AC418" s="170"/>
      <c r="AD418" s="53"/>
      <c r="AE418" s="53"/>
    </row>
    <row r="419">
      <c r="A419" s="53"/>
      <c r="B419" s="53"/>
      <c r="C419" s="168"/>
      <c r="D419" s="169"/>
      <c r="E419" s="170"/>
      <c r="F419" s="53"/>
      <c r="G419" s="53"/>
      <c r="H419" s="53"/>
      <c r="I419" s="171"/>
      <c r="J419" s="170"/>
      <c r="K419" s="53"/>
      <c r="L419" s="53"/>
      <c r="M419" s="53"/>
      <c r="N419" s="171"/>
      <c r="O419" s="170"/>
      <c r="P419" s="53"/>
      <c r="Q419" s="53"/>
      <c r="R419" s="53"/>
      <c r="S419" s="171"/>
      <c r="T419" s="170"/>
      <c r="U419" s="53"/>
      <c r="V419" s="53"/>
      <c r="W419" s="53"/>
      <c r="X419" s="171"/>
      <c r="Y419" s="170"/>
      <c r="Z419" s="170"/>
      <c r="AA419" s="170"/>
      <c r="AB419" s="170"/>
      <c r="AC419" s="170"/>
      <c r="AD419" s="53"/>
      <c r="AE419" s="53"/>
    </row>
    <row r="420">
      <c r="A420" s="53"/>
      <c r="B420" s="53"/>
      <c r="C420" s="168"/>
      <c r="D420" s="169"/>
      <c r="E420" s="170"/>
      <c r="F420" s="53"/>
      <c r="G420" s="53"/>
      <c r="H420" s="53"/>
      <c r="I420" s="171"/>
      <c r="J420" s="170"/>
      <c r="K420" s="53"/>
      <c r="L420" s="53"/>
      <c r="M420" s="53"/>
      <c r="N420" s="171"/>
      <c r="O420" s="170"/>
      <c r="P420" s="53"/>
      <c r="Q420" s="53"/>
      <c r="R420" s="53"/>
      <c r="S420" s="171"/>
      <c r="T420" s="170"/>
      <c r="U420" s="53"/>
      <c r="V420" s="53"/>
      <c r="W420" s="53"/>
      <c r="X420" s="171"/>
      <c r="Y420" s="170"/>
      <c r="Z420" s="170"/>
      <c r="AA420" s="170"/>
      <c r="AB420" s="170"/>
      <c r="AC420" s="170"/>
      <c r="AD420" s="53"/>
      <c r="AE420" s="53"/>
    </row>
    <row r="421">
      <c r="A421" s="53"/>
      <c r="B421" s="53"/>
      <c r="C421" s="168"/>
      <c r="D421" s="169"/>
      <c r="E421" s="170"/>
      <c r="F421" s="53"/>
      <c r="G421" s="53"/>
      <c r="H421" s="53"/>
      <c r="I421" s="171"/>
      <c r="J421" s="170"/>
      <c r="K421" s="53"/>
      <c r="L421" s="53"/>
      <c r="M421" s="53"/>
      <c r="N421" s="171"/>
      <c r="O421" s="170"/>
      <c r="P421" s="53"/>
      <c r="Q421" s="53"/>
      <c r="R421" s="53"/>
      <c r="S421" s="171"/>
      <c r="T421" s="170"/>
      <c r="U421" s="53"/>
      <c r="V421" s="53"/>
      <c r="W421" s="53"/>
      <c r="X421" s="171"/>
      <c r="Y421" s="170"/>
      <c r="Z421" s="170"/>
      <c r="AA421" s="170"/>
      <c r="AB421" s="170"/>
      <c r="AC421" s="170"/>
      <c r="AD421" s="53"/>
      <c r="AE421" s="53"/>
    </row>
    <row r="422">
      <c r="A422" s="53"/>
      <c r="B422" s="53"/>
      <c r="C422" s="168"/>
      <c r="D422" s="169"/>
      <c r="E422" s="170"/>
      <c r="F422" s="53"/>
      <c r="G422" s="53"/>
      <c r="H422" s="53"/>
      <c r="I422" s="171"/>
      <c r="J422" s="170"/>
      <c r="K422" s="53"/>
      <c r="L422" s="53"/>
      <c r="M422" s="53"/>
      <c r="N422" s="171"/>
      <c r="O422" s="170"/>
      <c r="P422" s="53"/>
      <c r="Q422" s="53"/>
      <c r="R422" s="53"/>
      <c r="S422" s="171"/>
      <c r="T422" s="170"/>
      <c r="U422" s="53"/>
      <c r="V422" s="53"/>
      <c r="W422" s="53"/>
      <c r="X422" s="171"/>
      <c r="Y422" s="170"/>
      <c r="Z422" s="170"/>
      <c r="AA422" s="170"/>
      <c r="AB422" s="170"/>
      <c r="AC422" s="170"/>
      <c r="AD422" s="53"/>
      <c r="AE422" s="53"/>
    </row>
    <row r="423">
      <c r="A423" s="53"/>
      <c r="B423" s="53"/>
      <c r="C423" s="168"/>
      <c r="D423" s="169"/>
      <c r="E423" s="170"/>
      <c r="F423" s="53"/>
      <c r="G423" s="53"/>
      <c r="H423" s="53"/>
      <c r="I423" s="171"/>
      <c r="J423" s="170"/>
      <c r="K423" s="53"/>
      <c r="L423" s="53"/>
      <c r="M423" s="53"/>
      <c r="N423" s="171"/>
      <c r="O423" s="170"/>
      <c r="P423" s="53"/>
      <c r="Q423" s="53"/>
      <c r="R423" s="53"/>
      <c r="S423" s="171"/>
      <c r="T423" s="170"/>
      <c r="U423" s="53"/>
      <c r="V423" s="53"/>
      <c r="W423" s="53"/>
      <c r="X423" s="171"/>
      <c r="Y423" s="170"/>
      <c r="Z423" s="170"/>
      <c r="AA423" s="170"/>
      <c r="AB423" s="170"/>
      <c r="AC423" s="170"/>
      <c r="AD423" s="53"/>
      <c r="AE423" s="53"/>
    </row>
    <row r="424">
      <c r="A424" s="53"/>
      <c r="B424" s="53"/>
      <c r="C424" s="168"/>
      <c r="D424" s="169"/>
      <c r="E424" s="170"/>
      <c r="F424" s="53"/>
      <c r="G424" s="53"/>
      <c r="H424" s="53"/>
      <c r="I424" s="171"/>
      <c r="J424" s="170"/>
      <c r="K424" s="53"/>
      <c r="L424" s="53"/>
      <c r="M424" s="53"/>
      <c r="N424" s="171"/>
      <c r="O424" s="170"/>
      <c r="P424" s="53"/>
      <c r="Q424" s="53"/>
      <c r="R424" s="53"/>
      <c r="S424" s="171"/>
      <c r="T424" s="170"/>
      <c r="U424" s="53"/>
      <c r="V424" s="53"/>
      <c r="W424" s="53"/>
      <c r="X424" s="171"/>
      <c r="Y424" s="170"/>
      <c r="Z424" s="170"/>
      <c r="AA424" s="170"/>
      <c r="AB424" s="170"/>
      <c r="AC424" s="170"/>
      <c r="AD424" s="53"/>
      <c r="AE424" s="53"/>
    </row>
    <row r="425">
      <c r="A425" s="53"/>
      <c r="B425" s="53"/>
      <c r="C425" s="168"/>
      <c r="D425" s="169"/>
      <c r="E425" s="170"/>
      <c r="F425" s="53"/>
      <c r="G425" s="53"/>
      <c r="H425" s="53"/>
      <c r="I425" s="171"/>
      <c r="J425" s="170"/>
      <c r="K425" s="53"/>
      <c r="L425" s="53"/>
      <c r="M425" s="53"/>
      <c r="N425" s="171"/>
      <c r="O425" s="170"/>
      <c r="P425" s="53"/>
      <c r="Q425" s="53"/>
      <c r="R425" s="53"/>
      <c r="S425" s="171"/>
      <c r="T425" s="170"/>
      <c r="U425" s="53"/>
      <c r="V425" s="53"/>
      <c r="W425" s="53"/>
      <c r="X425" s="171"/>
      <c r="Y425" s="170"/>
      <c r="Z425" s="170"/>
      <c r="AA425" s="170"/>
      <c r="AB425" s="170"/>
      <c r="AC425" s="170"/>
      <c r="AD425" s="53"/>
      <c r="AE425" s="53"/>
    </row>
    <row r="426">
      <c r="A426" s="53"/>
      <c r="B426" s="53"/>
      <c r="C426" s="168"/>
      <c r="D426" s="169"/>
      <c r="E426" s="170"/>
      <c r="F426" s="53"/>
      <c r="G426" s="53"/>
      <c r="H426" s="53"/>
      <c r="I426" s="171"/>
      <c r="J426" s="170"/>
      <c r="K426" s="53"/>
      <c r="L426" s="53"/>
      <c r="M426" s="53"/>
      <c r="N426" s="171"/>
      <c r="O426" s="170"/>
      <c r="P426" s="53"/>
      <c r="Q426" s="53"/>
      <c r="R426" s="53"/>
      <c r="S426" s="171"/>
      <c r="T426" s="170"/>
      <c r="U426" s="53"/>
      <c r="V426" s="53"/>
      <c r="W426" s="53"/>
      <c r="X426" s="171"/>
      <c r="Y426" s="170"/>
      <c r="Z426" s="170"/>
      <c r="AA426" s="170"/>
      <c r="AB426" s="170"/>
      <c r="AC426" s="170"/>
      <c r="AD426" s="53"/>
      <c r="AE426" s="53"/>
    </row>
    <row r="427">
      <c r="A427" s="53"/>
      <c r="B427" s="53"/>
      <c r="C427" s="168"/>
      <c r="D427" s="169"/>
      <c r="E427" s="170"/>
      <c r="F427" s="53"/>
      <c r="G427" s="53"/>
      <c r="H427" s="53"/>
      <c r="I427" s="171"/>
      <c r="J427" s="170"/>
      <c r="K427" s="53"/>
      <c r="L427" s="53"/>
      <c r="M427" s="53"/>
      <c r="N427" s="171"/>
      <c r="O427" s="170"/>
      <c r="P427" s="53"/>
      <c r="Q427" s="53"/>
      <c r="R427" s="53"/>
      <c r="S427" s="171"/>
      <c r="T427" s="170"/>
      <c r="U427" s="53"/>
      <c r="V427" s="53"/>
      <c r="W427" s="53"/>
      <c r="X427" s="171"/>
      <c r="Y427" s="170"/>
      <c r="Z427" s="170"/>
      <c r="AA427" s="170"/>
      <c r="AB427" s="170"/>
      <c r="AC427" s="170"/>
      <c r="AD427" s="53"/>
      <c r="AE427" s="53"/>
    </row>
    <row r="428">
      <c r="A428" s="53"/>
      <c r="B428" s="53"/>
      <c r="C428" s="168"/>
      <c r="D428" s="169"/>
      <c r="E428" s="170"/>
      <c r="F428" s="53"/>
      <c r="G428" s="53"/>
      <c r="H428" s="53"/>
      <c r="I428" s="171"/>
      <c r="J428" s="170"/>
      <c r="K428" s="53"/>
      <c r="L428" s="53"/>
      <c r="M428" s="53"/>
      <c r="N428" s="171"/>
      <c r="O428" s="170"/>
      <c r="P428" s="53"/>
      <c r="Q428" s="53"/>
      <c r="R428" s="53"/>
      <c r="S428" s="171"/>
      <c r="T428" s="170"/>
      <c r="U428" s="53"/>
      <c r="V428" s="53"/>
      <c r="W428" s="53"/>
      <c r="X428" s="171"/>
      <c r="Y428" s="170"/>
      <c r="Z428" s="170"/>
      <c r="AA428" s="170"/>
      <c r="AB428" s="170"/>
      <c r="AC428" s="170"/>
      <c r="AD428" s="53"/>
      <c r="AE428" s="53"/>
    </row>
    <row r="429">
      <c r="A429" s="53"/>
      <c r="B429" s="53"/>
      <c r="C429" s="168"/>
      <c r="D429" s="169"/>
      <c r="E429" s="170"/>
      <c r="F429" s="53"/>
      <c r="G429" s="53"/>
      <c r="H429" s="53"/>
      <c r="I429" s="171"/>
      <c r="J429" s="170"/>
      <c r="K429" s="53"/>
      <c r="L429" s="53"/>
      <c r="M429" s="53"/>
      <c r="N429" s="171"/>
      <c r="O429" s="170"/>
      <c r="P429" s="53"/>
      <c r="Q429" s="53"/>
      <c r="R429" s="53"/>
      <c r="S429" s="171"/>
      <c r="T429" s="170"/>
      <c r="U429" s="53"/>
      <c r="V429" s="53"/>
      <c r="W429" s="53"/>
      <c r="X429" s="171"/>
      <c r="Y429" s="170"/>
      <c r="Z429" s="170"/>
      <c r="AA429" s="170"/>
      <c r="AB429" s="170"/>
      <c r="AC429" s="170"/>
      <c r="AD429" s="53"/>
      <c r="AE429" s="53"/>
    </row>
    <row r="430">
      <c r="A430" s="53"/>
      <c r="B430" s="53"/>
      <c r="C430" s="168"/>
      <c r="D430" s="169"/>
      <c r="E430" s="170"/>
      <c r="F430" s="53"/>
      <c r="G430" s="53"/>
      <c r="H430" s="53"/>
      <c r="I430" s="171"/>
      <c r="J430" s="170"/>
      <c r="K430" s="53"/>
      <c r="L430" s="53"/>
      <c r="M430" s="53"/>
      <c r="N430" s="171"/>
      <c r="O430" s="170"/>
      <c r="P430" s="53"/>
      <c r="Q430" s="53"/>
      <c r="R430" s="53"/>
      <c r="S430" s="171"/>
      <c r="T430" s="170"/>
      <c r="U430" s="53"/>
      <c r="V430" s="53"/>
      <c r="W430" s="53"/>
      <c r="X430" s="171"/>
      <c r="Y430" s="170"/>
      <c r="Z430" s="170"/>
      <c r="AA430" s="170"/>
      <c r="AB430" s="170"/>
      <c r="AC430" s="170"/>
      <c r="AD430" s="53"/>
      <c r="AE430" s="53"/>
    </row>
    <row r="431">
      <c r="A431" s="53"/>
      <c r="B431" s="53"/>
      <c r="C431" s="168"/>
      <c r="D431" s="169"/>
      <c r="E431" s="170"/>
      <c r="F431" s="53"/>
      <c r="G431" s="53"/>
      <c r="H431" s="53"/>
      <c r="I431" s="171"/>
      <c r="J431" s="170"/>
      <c r="K431" s="53"/>
      <c r="L431" s="53"/>
      <c r="M431" s="53"/>
      <c r="N431" s="171"/>
      <c r="O431" s="170"/>
      <c r="P431" s="53"/>
      <c r="Q431" s="53"/>
      <c r="R431" s="53"/>
      <c r="S431" s="171"/>
      <c r="T431" s="170"/>
      <c r="U431" s="53"/>
      <c r="V431" s="53"/>
      <c r="W431" s="53"/>
      <c r="X431" s="171"/>
      <c r="Y431" s="170"/>
      <c r="Z431" s="170"/>
      <c r="AA431" s="170"/>
      <c r="AB431" s="170"/>
      <c r="AC431" s="170"/>
      <c r="AD431" s="53"/>
      <c r="AE431" s="53"/>
    </row>
    <row r="432">
      <c r="A432" s="53"/>
      <c r="B432" s="53"/>
      <c r="C432" s="168"/>
      <c r="D432" s="169"/>
      <c r="E432" s="170"/>
      <c r="F432" s="53"/>
      <c r="G432" s="53"/>
      <c r="H432" s="53"/>
      <c r="I432" s="171"/>
      <c r="J432" s="170"/>
      <c r="K432" s="53"/>
      <c r="L432" s="53"/>
      <c r="M432" s="53"/>
      <c r="N432" s="171"/>
      <c r="O432" s="170"/>
      <c r="P432" s="53"/>
      <c r="Q432" s="53"/>
      <c r="R432" s="53"/>
      <c r="S432" s="171"/>
      <c r="T432" s="170"/>
      <c r="U432" s="53"/>
      <c r="V432" s="53"/>
      <c r="W432" s="53"/>
      <c r="X432" s="171"/>
      <c r="Y432" s="170"/>
      <c r="Z432" s="170"/>
      <c r="AA432" s="170"/>
      <c r="AB432" s="170"/>
      <c r="AC432" s="170"/>
      <c r="AD432" s="53"/>
      <c r="AE432" s="53"/>
    </row>
    <row r="433">
      <c r="A433" s="53"/>
      <c r="B433" s="53"/>
      <c r="C433" s="168"/>
      <c r="D433" s="169"/>
      <c r="E433" s="170"/>
      <c r="F433" s="53"/>
      <c r="G433" s="53"/>
      <c r="H433" s="53"/>
      <c r="I433" s="171"/>
      <c r="J433" s="170"/>
      <c r="K433" s="53"/>
      <c r="L433" s="53"/>
      <c r="M433" s="53"/>
      <c r="N433" s="171"/>
      <c r="O433" s="170"/>
      <c r="P433" s="53"/>
      <c r="Q433" s="53"/>
      <c r="R433" s="53"/>
      <c r="S433" s="171"/>
      <c r="T433" s="170"/>
      <c r="U433" s="53"/>
      <c r="V433" s="53"/>
      <c r="W433" s="53"/>
      <c r="X433" s="171"/>
      <c r="Y433" s="170"/>
      <c r="Z433" s="170"/>
      <c r="AA433" s="170"/>
      <c r="AB433" s="170"/>
      <c r="AC433" s="170"/>
      <c r="AD433" s="53"/>
      <c r="AE433" s="53"/>
    </row>
    <row r="434">
      <c r="A434" s="53"/>
      <c r="B434" s="53"/>
      <c r="C434" s="168"/>
      <c r="D434" s="169"/>
      <c r="E434" s="170"/>
      <c r="F434" s="53"/>
      <c r="G434" s="53"/>
      <c r="H434" s="53"/>
      <c r="I434" s="171"/>
      <c r="J434" s="170"/>
      <c r="K434" s="53"/>
      <c r="L434" s="53"/>
      <c r="M434" s="53"/>
      <c r="N434" s="171"/>
      <c r="O434" s="170"/>
      <c r="P434" s="53"/>
      <c r="Q434" s="53"/>
      <c r="R434" s="53"/>
      <c r="S434" s="171"/>
      <c r="T434" s="170"/>
      <c r="U434" s="53"/>
      <c r="V434" s="53"/>
      <c r="W434" s="53"/>
      <c r="X434" s="171"/>
      <c r="Y434" s="170"/>
      <c r="Z434" s="170"/>
      <c r="AA434" s="170"/>
      <c r="AB434" s="170"/>
      <c r="AC434" s="170"/>
      <c r="AD434" s="53"/>
      <c r="AE434" s="53"/>
    </row>
    <row r="435">
      <c r="A435" s="53"/>
      <c r="B435" s="53"/>
      <c r="C435" s="168"/>
      <c r="D435" s="169"/>
      <c r="E435" s="170"/>
      <c r="F435" s="53"/>
      <c r="G435" s="53"/>
      <c r="H435" s="53"/>
      <c r="I435" s="171"/>
      <c r="J435" s="170"/>
      <c r="K435" s="53"/>
      <c r="L435" s="53"/>
      <c r="M435" s="53"/>
      <c r="N435" s="171"/>
      <c r="O435" s="170"/>
      <c r="P435" s="53"/>
      <c r="Q435" s="53"/>
      <c r="R435" s="53"/>
      <c r="S435" s="171"/>
      <c r="T435" s="170"/>
      <c r="U435" s="53"/>
      <c r="V435" s="53"/>
      <c r="W435" s="53"/>
      <c r="X435" s="171"/>
      <c r="Y435" s="170"/>
      <c r="Z435" s="170"/>
      <c r="AA435" s="170"/>
      <c r="AB435" s="170"/>
      <c r="AC435" s="170"/>
      <c r="AD435" s="53"/>
      <c r="AE435" s="53"/>
    </row>
    <row r="436">
      <c r="A436" s="53"/>
      <c r="B436" s="53"/>
      <c r="C436" s="168"/>
      <c r="D436" s="169"/>
      <c r="E436" s="170"/>
      <c r="F436" s="53"/>
      <c r="G436" s="53"/>
      <c r="H436" s="53"/>
      <c r="I436" s="171"/>
      <c r="J436" s="170"/>
      <c r="K436" s="53"/>
      <c r="L436" s="53"/>
      <c r="M436" s="53"/>
      <c r="N436" s="171"/>
      <c r="O436" s="170"/>
      <c r="P436" s="53"/>
      <c r="Q436" s="53"/>
      <c r="R436" s="53"/>
      <c r="S436" s="171"/>
      <c r="T436" s="170"/>
      <c r="U436" s="53"/>
      <c r="V436" s="53"/>
      <c r="W436" s="53"/>
      <c r="X436" s="171"/>
      <c r="Y436" s="170"/>
      <c r="Z436" s="170"/>
      <c r="AA436" s="170"/>
      <c r="AB436" s="170"/>
      <c r="AC436" s="170"/>
      <c r="AD436" s="53"/>
      <c r="AE436" s="53"/>
    </row>
    <row r="437">
      <c r="A437" s="53"/>
      <c r="B437" s="53"/>
      <c r="C437" s="168"/>
      <c r="D437" s="169"/>
      <c r="E437" s="170"/>
      <c r="F437" s="53"/>
      <c r="G437" s="53"/>
      <c r="H437" s="53"/>
      <c r="I437" s="171"/>
      <c r="J437" s="170"/>
      <c r="K437" s="53"/>
      <c r="L437" s="53"/>
      <c r="M437" s="53"/>
      <c r="N437" s="171"/>
      <c r="O437" s="170"/>
      <c r="P437" s="53"/>
      <c r="Q437" s="53"/>
      <c r="R437" s="53"/>
      <c r="S437" s="171"/>
      <c r="T437" s="170"/>
      <c r="U437" s="53"/>
      <c r="V437" s="53"/>
      <c r="W437" s="53"/>
      <c r="X437" s="171"/>
      <c r="Y437" s="170"/>
      <c r="Z437" s="170"/>
      <c r="AA437" s="170"/>
      <c r="AB437" s="170"/>
      <c r="AC437" s="170"/>
      <c r="AD437" s="53"/>
      <c r="AE437" s="53"/>
    </row>
    <row r="438">
      <c r="A438" s="53"/>
      <c r="B438" s="53"/>
      <c r="C438" s="168"/>
      <c r="D438" s="169"/>
      <c r="E438" s="170"/>
      <c r="F438" s="53"/>
      <c r="G438" s="53"/>
      <c r="H438" s="53"/>
      <c r="I438" s="171"/>
      <c r="J438" s="170"/>
      <c r="K438" s="53"/>
      <c r="L438" s="53"/>
      <c r="M438" s="53"/>
      <c r="N438" s="171"/>
      <c r="O438" s="170"/>
      <c r="P438" s="53"/>
      <c r="Q438" s="53"/>
      <c r="R438" s="53"/>
      <c r="S438" s="171"/>
      <c r="T438" s="170"/>
      <c r="U438" s="53"/>
      <c r="V438" s="53"/>
      <c r="W438" s="53"/>
      <c r="X438" s="171"/>
      <c r="Y438" s="170"/>
      <c r="Z438" s="170"/>
      <c r="AA438" s="170"/>
      <c r="AB438" s="170"/>
      <c r="AC438" s="170"/>
      <c r="AD438" s="53"/>
      <c r="AE438" s="53"/>
    </row>
    <row r="439">
      <c r="A439" s="53"/>
      <c r="B439" s="53"/>
      <c r="C439" s="168"/>
      <c r="D439" s="169"/>
      <c r="E439" s="170"/>
      <c r="F439" s="53"/>
      <c r="G439" s="53"/>
      <c r="H439" s="53"/>
      <c r="I439" s="171"/>
      <c r="J439" s="170"/>
      <c r="K439" s="53"/>
      <c r="L439" s="53"/>
      <c r="M439" s="53"/>
      <c r="N439" s="171"/>
      <c r="O439" s="170"/>
      <c r="P439" s="53"/>
      <c r="Q439" s="53"/>
      <c r="R439" s="53"/>
      <c r="S439" s="171"/>
      <c r="T439" s="170"/>
      <c r="U439" s="53"/>
      <c r="V439" s="53"/>
      <c r="W439" s="53"/>
      <c r="X439" s="171"/>
      <c r="Y439" s="170"/>
      <c r="Z439" s="170"/>
      <c r="AA439" s="170"/>
      <c r="AB439" s="170"/>
      <c r="AC439" s="170"/>
      <c r="AD439" s="53"/>
      <c r="AE439" s="53"/>
    </row>
    <row r="440">
      <c r="A440" s="53"/>
      <c r="B440" s="53"/>
      <c r="C440" s="168"/>
      <c r="D440" s="169"/>
      <c r="E440" s="170"/>
      <c r="F440" s="53"/>
      <c r="G440" s="53"/>
      <c r="H440" s="53"/>
      <c r="I440" s="171"/>
      <c r="J440" s="170"/>
      <c r="K440" s="53"/>
      <c r="L440" s="53"/>
      <c r="M440" s="53"/>
      <c r="N440" s="171"/>
      <c r="O440" s="170"/>
      <c r="P440" s="53"/>
      <c r="Q440" s="53"/>
      <c r="R440" s="53"/>
      <c r="S440" s="171"/>
      <c r="T440" s="170"/>
      <c r="U440" s="53"/>
      <c r="V440" s="53"/>
      <c r="W440" s="53"/>
      <c r="X440" s="171"/>
      <c r="Y440" s="170"/>
      <c r="Z440" s="170"/>
      <c r="AA440" s="170"/>
      <c r="AB440" s="170"/>
      <c r="AC440" s="170"/>
      <c r="AD440" s="53"/>
      <c r="AE440" s="53"/>
    </row>
    <row r="441">
      <c r="A441" s="53"/>
      <c r="B441" s="53"/>
      <c r="C441" s="168"/>
      <c r="D441" s="169"/>
      <c r="E441" s="170"/>
      <c r="F441" s="53"/>
      <c r="G441" s="53"/>
      <c r="H441" s="53"/>
      <c r="I441" s="171"/>
      <c r="J441" s="170"/>
      <c r="K441" s="53"/>
      <c r="L441" s="53"/>
      <c r="M441" s="53"/>
      <c r="N441" s="171"/>
      <c r="O441" s="170"/>
      <c r="P441" s="53"/>
      <c r="Q441" s="53"/>
      <c r="R441" s="53"/>
      <c r="S441" s="171"/>
      <c r="T441" s="170"/>
      <c r="U441" s="53"/>
      <c r="V441" s="53"/>
      <c r="W441" s="53"/>
      <c r="X441" s="171"/>
      <c r="Y441" s="170"/>
      <c r="Z441" s="170"/>
      <c r="AA441" s="170"/>
      <c r="AB441" s="170"/>
      <c r="AC441" s="170"/>
      <c r="AD441" s="53"/>
      <c r="AE441" s="53"/>
    </row>
    <row r="442">
      <c r="A442" s="53"/>
      <c r="B442" s="53"/>
      <c r="C442" s="168"/>
      <c r="D442" s="169"/>
      <c r="E442" s="170"/>
      <c r="F442" s="53"/>
      <c r="G442" s="53"/>
      <c r="H442" s="53"/>
      <c r="I442" s="171"/>
      <c r="J442" s="170"/>
      <c r="K442" s="53"/>
      <c r="L442" s="53"/>
      <c r="M442" s="53"/>
      <c r="N442" s="171"/>
      <c r="O442" s="170"/>
      <c r="P442" s="53"/>
      <c r="Q442" s="53"/>
      <c r="R442" s="53"/>
      <c r="S442" s="171"/>
      <c r="T442" s="170"/>
      <c r="U442" s="53"/>
      <c r="V442" s="53"/>
      <c r="W442" s="53"/>
      <c r="X442" s="171"/>
      <c r="Y442" s="170"/>
      <c r="Z442" s="170"/>
      <c r="AA442" s="170"/>
      <c r="AB442" s="170"/>
      <c r="AC442" s="170"/>
      <c r="AD442" s="53"/>
      <c r="AE442" s="53"/>
    </row>
    <row r="443">
      <c r="A443" s="53"/>
      <c r="B443" s="53"/>
      <c r="C443" s="168"/>
      <c r="D443" s="169"/>
      <c r="E443" s="170"/>
      <c r="F443" s="53"/>
      <c r="G443" s="53"/>
      <c r="H443" s="53"/>
      <c r="I443" s="171"/>
      <c r="J443" s="170"/>
      <c r="K443" s="53"/>
      <c r="L443" s="53"/>
      <c r="M443" s="53"/>
      <c r="N443" s="171"/>
      <c r="O443" s="170"/>
      <c r="P443" s="53"/>
      <c r="Q443" s="53"/>
      <c r="R443" s="53"/>
      <c r="S443" s="171"/>
      <c r="T443" s="170"/>
      <c r="U443" s="53"/>
      <c r="V443" s="53"/>
      <c r="W443" s="53"/>
      <c r="X443" s="171"/>
      <c r="Y443" s="170"/>
      <c r="Z443" s="170"/>
      <c r="AA443" s="170"/>
      <c r="AB443" s="170"/>
      <c r="AC443" s="170"/>
      <c r="AD443" s="53"/>
      <c r="AE443" s="53"/>
    </row>
    <row r="444">
      <c r="A444" s="53"/>
      <c r="B444" s="53"/>
      <c r="C444" s="168"/>
      <c r="D444" s="169"/>
      <c r="E444" s="170"/>
      <c r="F444" s="53"/>
      <c r="G444" s="53"/>
      <c r="H444" s="53"/>
      <c r="I444" s="171"/>
      <c r="J444" s="170"/>
      <c r="K444" s="53"/>
      <c r="L444" s="53"/>
      <c r="M444" s="53"/>
      <c r="N444" s="171"/>
      <c r="O444" s="170"/>
      <c r="P444" s="53"/>
      <c r="Q444" s="53"/>
      <c r="R444" s="53"/>
      <c r="S444" s="171"/>
      <c r="T444" s="170"/>
      <c r="U444" s="53"/>
      <c r="V444" s="53"/>
      <c r="W444" s="53"/>
      <c r="X444" s="171"/>
      <c r="Y444" s="170"/>
      <c r="Z444" s="170"/>
      <c r="AA444" s="170"/>
      <c r="AB444" s="170"/>
      <c r="AC444" s="170"/>
      <c r="AD444" s="53"/>
      <c r="AE444" s="53"/>
    </row>
    <row r="445">
      <c r="A445" s="53"/>
      <c r="B445" s="53"/>
      <c r="C445" s="168"/>
      <c r="D445" s="169"/>
      <c r="E445" s="170"/>
      <c r="F445" s="53"/>
      <c r="G445" s="53"/>
      <c r="H445" s="53"/>
      <c r="I445" s="171"/>
      <c r="J445" s="170"/>
      <c r="K445" s="53"/>
      <c r="L445" s="53"/>
      <c r="M445" s="53"/>
      <c r="N445" s="171"/>
      <c r="O445" s="170"/>
      <c r="P445" s="53"/>
      <c r="Q445" s="53"/>
      <c r="R445" s="53"/>
      <c r="S445" s="171"/>
      <c r="T445" s="170"/>
      <c r="U445" s="53"/>
      <c r="V445" s="53"/>
      <c r="W445" s="53"/>
      <c r="X445" s="171"/>
      <c r="Y445" s="170"/>
      <c r="Z445" s="170"/>
      <c r="AA445" s="170"/>
      <c r="AB445" s="170"/>
      <c r="AC445" s="170"/>
      <c r="AD445" s="53"/>
      <c r="AE445" s="53"/>
    </row>
    <row r="446">
      <c r="A446" s="53"/>
      <c r="B446" s="53"/>
      <c r="C446" s="168"/>
      <c r="D446" s="169"/>
      <c r="E446" s="170"/>
      <c r="F446" s="53"/>
      <c r="G446" s="53"/>
      <c r="H446" s="53"/>
      <c r="I446" s="171"/>
      <c r="J446" s="170"/>
      <c r="K446" s="53"/>
      <c r="L446" s="53"/>
      <c r="M446" s="53"/>
      <c r="N446" s="171"/>
      <c r="O446" s="170"/>
      <c r="P446" s="53"/>
      <c r="Q446" s="53"/>
      <c r="R446" s="53"/>
      <c r="S446" s="171"/>
      <c r="T446" s="170"/>
      <c r="U446" s="53"/>
      <c r="V446" s="53"/>
      <c r="W446" s="53"/>
      <c r="X446" s="171"/>
      <c r="Y446" s="170"/>
      <c r="Z446" s="170"/>
      <c r="AA446" s="170"/>
      <c r="AB446" s="170"/>
      <c r="AC446" s="170"/>
      <c r="AD446" s="53"/>
      <c r="AE446" s="53"/>
    </row>
    <row r="447">
      <c r="A447" s="53"/>
      <c r="B447" s="53"/>
      <c r="C447" s="168"/>
      <c r="D447" s="169"/>
      <c r="E447" s="170"/>
      <c r="F447" s="53"/>
      <c r="G447" s="53"/>
      <c r="H447" s="53"/>
      <c r="I447" s="171"/>
      <c r="J447" s="170"/>
      <c r="K447" s="53"/>
      <c r="L447" s="53"/>
      <c r="M447" s="53"/>
      <c r="N447" s="171"/>
      <c r="O447" s="170"/>
      <c r="P447" s="53"/>
      <c r="Q447" s="53"/>
      <c r="R447" s="53"/>
      <c r="S447" s="171"/>
      <c r="T447" s="170"/>
      <c r="U447" s="53"/>
      <c r="V447" s="53"/>
      <c r="W447" s="53"/>
      <c r="X447" s="171"/>
      <c r="Y447" s="170"/>
      <c r="Z447" s="170"/>
      <c r="AA447" s="170"/>
      <c r="AB447" s="170"/>
      <c r="AC447" s="170"/>
      <c r="AD447" s="53"/>
      <c r="AE447" s="53"/>
    </row>
    <row r="448">
      <c r="A448" s="53"/>
      <c r="B448" s="53"/>
      <c r="C448" s="168"/>
      <c r="D448" s="169"/>
      <c r="E448" s="170"/>
      <c r="F448" s="53"/>
      <c r="G448" s="53"/>
      <c r="H448" s="53"/>
      <c r="I448" s="171"/>
      <c r="J448" s="170"/>
      <c r="K448" s="53"/>
      <c r="L448" s="53"/>
      <c r="M448" s="53"/>
      <c r="N448" s="171"/>
      <c r="O448" s="170"/>
      <c r="P448" s="53"/>
      <c r="Q448" s="53"/>
      <c r="R448" s="53"/>
      <c r="S448" s="171"/>
      <c r="T448" s="170"/>
      <c r="U448" s="53"/>
      <c r="V448" s="53"/>
      <c r="W448" s="53"/>
      <c r="X448" s="171"/>
      <c r="Y448" s="170"/>
      <c r="Z448" s="170"/>
      <c r="AA448" s="170"/>
      <c r="AB448" s="170"/>
      <c r="AC448" s="170"/>
      <c r="AD448" s="53"/>
      <c r="AE448" s="53"/>
    </row>
    <row r="449">
      <c r="A449" s="53"/>
      <c r="B449" s="53"/>
      <c r="C449" s="168"/>
      <c r="D449" s="169"/>
      <c r="E449" s="170"/>
      <c r="F449" s="53"/>
      <c r="G449" s="53"/>
      <c r="H449" s="53"/>
      <c r="I449" s="171"/>
      <c r="J449" s="170"/>
      <c r="K449" s="53"/>
      <c r="L449" s="53"/>
      <c r="M449" s="53"/>
      <c r="N449" s="171"/>
      <c r="O449" s="170"/>
      <c r="P449" s="53"/>
      <c r="Q449" s="53"/>
      <c r="R449" s="53"/>
      <c r="S449" s="171"/>
      <c r="T449" s="170"/>
      <c r="U449" s="53"/>
      <c r="V449" s="53"/>
      <c r="W449" s="53"/>
      <c r="X449" s="171"/>
      <c r="Y449" s="170"/>
      <c r="Z449" s="170"/>
      <c r="AA449" s="170"/>
      <c r="AB449" s="170"/>
      <c r="AC449" s="170"/>
      <c r="AD449" s="53"/>
      <c r="AE449" s="53"/>
    </row>
    <row r="450">
      <c r="A450" s="53"/>
      <c r="B450" s="53"/>
      <c r="C450" s="168"/>
      <c r="D450" s="169"/>
      <c r="E450" s="170"/>
      <c r="F450" s="53"/>
      <c r="G450" s="53"/>
      <c r="H450" s="53"/>
      <c r="I450" s="171"/>
      <c r="J450" s="170"/>
      <c r="K450" s="53"/>
      <c r="L450" s="53"/>
      <c r="M450" s="53"/>
      <c r="N450" s="171"/>
      <c r="O450" s="170"/>
      <c r="P450" s="53"/>
      <c r="Q450" s="53"/>
      <c r="R450" s="53"/>
      <c r="S450" s="171"/>
      <c r="T450" s="170"/>
      <c r="U450" s="53"/>
      <c r="V450" s="53"/>
      <c r="W450" s="53"/>
      <c r="X450" s="171"/>
      <c r="Y450" s="170"/>
      <c r="Z450" s="170"/>
      <c r="AA450" s="170"/>
      <c r="AB450" s="170"/>
      <c r="AC450" s="170"/>
      <c r="AD450" s="53"/>
      <c r="AE450" s="53"/>
    </row>
    <row r="451">
      <c r="A451" s="53"/>
      <c r="B451" s="53"/>
      <c r="C451" s="168"/>
      <c r="D451" s="169"/>
      <c r="E451" s="170"/>
      <c r="F451" s="53"/>
      <c r="G451" s="53"/>
      <c r="H451" s="53"/>
      <c r="I451" s="171"/>
      <c r="J451" s="170"/>
      <c r="K451" s="53"/>
      <c r="L451" s="53"/>
      <c r="M451" s="53"/>
      <c r="N451" s="171"/>
      <c r="O451" s="170"/>
      <c r="P451" s="53"/>
      <c r="Q451" s="53"/>
      <c r="R451" s="53"/>
      <c r="S451" s="171"/>
      <c r="T451" s="170"/>
      <c r="U451" s="53"/>
      <c r="V451" s="53"/>
      <c r="W451" s="53"/>
      <c r="X451" s="171"/>
      <c r="Y451" s="170"/>
      <c r="Z451" s="170"/>
      <c r="AA451" s="170"/>
      <c r="AB451" s="170"/>
      <c r="AC451" s="170"/>
      <c r="AD451" s="53"/>
      <c r="AE451" s="53"/>
    </row>
    <row r="452">
      <c r="A452" s="53"/>
      <c r="B452" s="53"/>
      <c r="C452" s="168"/>
      <c r="D452" s="169"/>
      <c r="E452" s="170"/>
      <c r="F452" s="53"/>
      <c r="G452" s="53"/>
      <c r="H452" s="53"/>
      <c r="I452" s="171"/>
      <c r="J452" s="170"/>
      <c r="K452" s="53"/>
      <c r="L452" s="53"/>
      <c r="M452" s="53"/>
      <c r="N452" s="171"/>
      <c r="O452" s="170"/>
      <c r="P452" s="53"/>
      <c r="Q452" s="53"/>
      <c r="R452" s="53"/>
      <c r="S452" s="171"/>
      <c r="T452" s="170"/>
      <c r="U452" s="53"/>
      <c r="V452" s="53"/>
      <c r="W452" s="53"/>
      <c r="X452" s="171"/>
      <c r="Y452" s="170"/>
      <c r="Z452" s="170"/>
      <c r="AA452" s="170"/>
      <c r="AB452" s="170"/>
      <c r="AC452" s="170"/>
      <c r="AD452" s="53"/>
      <c r="AE452" s="53"/>
    </row>
    <row r="453">
      <c r="A453" s="53"/>
      <c r="B453" s="53"/>
      <c r="C453" s="168"/>
      <c r="D453" s="169"/>
      <c r="E453" s="170"/>
      <c r="F453" s="53"/>
      <c r="G453" s="53"/>
      <c r="H453" s="53"/>
      <c r="I453" s="171"/>
      <c r="J453" s="170"/>
      <c r="K453" s="53"/>
      <c r="L453" s="53"/>
      <c r="M453" s="53"/>
      <c r="N453" s="171"/>
      <c r="O453" s="170"/>
      <c r="P453" s="53"/>
      <c r="Q453" s="53"/>
      <c r="R453" s="53"/>
      <c r="S453" s="171"/>
      <c r="T453" s="170"/>
      <c r="U453" s="53"/>
      <c r="V453" s="53"/>
      <c r="W453" s="53"/>
      <c r="X453" s="171"/>
      <c r="Y453" s="170"/>
      <c r="Z453" s="170"/>
      <c r="AA453" s="170"/>
      <c r="AB453" s="170"/>
      <c r="AC453" s="170"/>
      <c r="AD453" s="53"/>
      <c r="AE453" s="53"/>
    </row>
    <row r="454">
      <c r="A454" s="53"/>
      <c r="B454" s="53"/>
      <c r="C454" s="168"/>
      <c r="D454" s="169"/>
      <c r="E454" s="170"/>
      <c r="F454" s="53"/>
      <c r="G454" s="53"/>
      <c r="H454" s="53"/>
      <c r="I454" s="171"/>
      <c r="J454" s="170"/>
      <c r="K454" s="53"/>
      <c r="L454" s="53"/>
      <c r="M454" s="53"/>
      <c r="N454" s="171"/>
      <c r="O454" s="170"/>
      <c r="P454" s="53"/>
      <c r="Q454" s="53"/>
      <c r="R454" s="53"/>
      <c r="S454" s="171"/>
      <c r="T454" s="170"/>
      <c r="U454" s="53"/>
      <c r="V454" s="53"/>
      <c r="W454" s="53"/>
      <c r="X454" s="171"/>
      <c r="Y454" s="170"/>
      <c r="Z454" s="170"/>
      <c r="AA454" s="170"/>
      <c r="AB454" s="170"/>
      <c r="AC454" s="170"/>
      <c r="AD454" s="53"/>
      <c r="AE454" s="53"/>
    </row>
    <row r="455">
      <c r="A455" s="53"/>
      <c r="B455" s="53"/>
      <c r="C455" s="168"/>
      <c r="D455" s="169"/>
      <c r="E455" s="170"/>
      <c r="F455" s="53"/>
      <c r="G455" s="53"/>
      <c r="H455" s="53"/>
      <c r="I455" s="171"/>
      <c r="J455" s="170"/>
      <c r="K455" s="53"/>
      <c r="L455" s="53"/>
      <c r="M455" s="53"/>
      <c r="N455" s="171"/>
      <c r="O455" s="170"/>
      <c r="P455" s="53"/>
      <c r="Q455" s="53"/>
      <c r="R455" s="53"/>
      <c r="S455" s="171"/>
      <c r="T455" s="170"/>
      <c r="U455" s="53"/>
      <c r="V455" s="53"/>
      <c r="W455" s="53"/>
      <c r="X455" s="171"/>
      <c r="Y455" s="170"/>
      <c r="Z455" s="170"/>
      <c r="AA455" s="170"/>
      <c r="AB455" s="170"/>
      <c r="AC455" s="170"/>
      <c r="AD455" s="53"/>
      <c r="AE455" s="53"/>
    </row>
    <row r="456">
      <c r="A456" s="53"/>
      <c r="B456" s="53"/>
      <c r="C456" s="168"/>
      <c r="D456" s="169"/>
      <c r="E456" s="170"/>
      <c r="F456" s="53"/>
      <c r="G456" s="53"/>
      <c r="H456" s="53"/>
      <c r="I456" s="171"/>
      <c r="J456" s="170"/>
      <c r="K456" s="53"/>
      <c r="L456" s="53"/>
      <c r="M456" s="53"/>
      <c r="N456" s="171"/>
      <c r="O456" s="170"/>
      <c r="P456" s="53"/>
      <c r="Q456" s="53"/>
      <c r="R456" s="53"/>
      <c r="S456" s="171"/>
      <c r="T456" s="170"/>
      <c r="U456" s="53"/>
      <c r="V456" s="53"/>
      <c r="W456" s="53"/>
      <c r="X456" s="171"/>
      <c r="Y456" s="170"/>
      <c r="Z456" s="170"/>
      <c r="AA456" s="170"/>
      <c r="AB456" s="170"/>
      <c r="AC456" s="170"/>
      <c r="AD456" s="53"/>
      <c r="AE456" s="53"/>
    </row>
    <row r="457">
      <c r="A457" s="53"/>
      <c r="B457" s="53"/>
      <c r="C457" s="168"/>
      <c r="D457" s="169"/>
      <c r="E457" s="170"/>
      <c r="F457" s="53"/>
      <c r="G457" s="53"/>
      <c r="H457" s="53"/>
      <c r="I457" s="171"/>
      <c r="J457" s="170"/>
      <c r="K457" s="53"/>
      <c r="L457" s="53"/>
      <c r="M457" s="53"/>
      <c r="N457" s="171"/>
      <c r="O457" s="170"/>
      <c r="P457" s="53"/>
      <c r="Q457" s="53"/>
      <c r="R457" s="53"/>
      <c r="S457" s="171"/>
      <c r="T457" s="170"/>
      <c r="U457" s="53"/>
      <c r="V457" s="53"/>
      <c r="W457" s="53"/>
      <c r="X457" s="171"/>
      <c r="Y457" s="170"/>
      <c r="Z457" s="170"/>
      <c r="AA457" s="170"/>
      <c r="AB457" s="170"/>
      <c r="AC457" s="170"/>
      <c r="AD457" s="53"/>
      <c r="AE457" s="53"/>
    </row>
    <row r="458">
      <c r="A458" s="53"/>
      <c r="B458" s="53"/>
      <c r="C458" s="168"/>
      <c r="D458" s="169"/>
      <c r="E458" s="170"/>
      <c r="F458" s="53"/>
      <c r="G458" s="53"/>
      <c r="H458" s="53"/>
      <c r="I458" s="171"/>
      <c r="J458" s="170"/>
      <c r="K458" s="53"/>
      <c r="L458" s="53"/>
      <c r="M458" s="53"/>
      <c r="N458" s="171"/>
      <c r="O458" s="170"/>
      <c r="P458" s="53"/>
      <c r="Q458" s="53"/>
      <c r="R458" s="53"/>
      <c r="S458" s="171"/>
      <c r="T458" s="170"/>
      <c r="U458" s="53"/>
      <c r="V458" s="53"/>
      <c r="W458" s="53"/>
      <c r="X458" s="171"/>
      <c r="Y458" s="170"/>
      <c r="Z458" s="170"/>
      <c r="AA458" s="170"/>
      <c r="AB458" s="170"/>
      <c r="AC458" s="170"/>
      <c r="AD458" s="53"/>
      <c r="AE458" s="53"/>
    </row>
    <row r="459">
      <c r="A459" s="53"/>
      <c r="B459" s="53"/>
      <c r="C459" s="168"/>
      <c r="D459" s="169"/>
      <c r="E459" s="170"/>
      <c r="F459" s="53"/>
      <c r="G459" s="53"/>
      <c r="H459" s="53"/>
      <c r="I459" s="171"/>
      <c r="J459" s="170"/>
      <c r="K459" s="53"/>
      <c r="L459" s="53"/>
      <c r="M459" s="53"/>
      <c r="N459" s="171"/>
      <c r="O459" s="170"/>
      <c r="P459" s="53"/>
      <c r="Q459" s="53"/>
      <c r="R459" s="53"/>
      <c r="S459" s="171"/>
      <c r="T459" s="170"/>
      <c r="U459" s="53"/>
      <c r="V459" s="53"/>
      <c r="W459" s="53"/>
      <c r="X459" s="171"/>
      <c r="Y459" s="170"/>
      <c r="Z459" s="170"/>
      <c r="AA459" s="170"/>
      <c r="AB459" s="170"/>
      <c r="AC459" s="170"/>
      <c r="AD459" s="53"/>
      <c r="AE459" s="53"/>
    </row>
    <row r="460">
      <c r="A460" s="53"/>
      <c r="B460" s="53"/>
      <c r="C460" s="168"/>
      <c r="D460" s="169"/>
      <c r="E460" s="170"/>
      <c r="F460" s="53"/>
      <c r="G460" s="53"/>
      <c r="H460" s="53"/>
      <c r="I460" s="171"/>
      <c r="J460" s="170"/>
      <c r="K460" s="53"/>
      <c r="L460" s="53"/>
      <c r="M460" s="53"/>
      <c r="N460" s="171"/>
      <c r="O460" s="170"/>
      <c r="P460" s="53"/>
      <c r="Q460" s="53"/>
      <c r="R460" s="53"/>
      <c r="S460" s="171"/>
      <c r="T460" s="170"/>
      <c r="U460" s="53"/>
      <c r="V460" s="53"/>
      <c r="W460" s="53"/>
      <c r="X460" s="171"/>
      <c r="Y460" s="170"/>
      <c r="Z460" s="170"/>
      <c r="AA460" s="170"/>
      <c r="AB460" s="170"/>
      <c r="AC460" s="170"/>
      <c r="AD460" s="53"/>
      <c r="AE460" s="53"/>
    </row>
    <row r="461">
      <c r="A461" s="53"/>
      <c r="B461" s="53"/>
      <c r="C461" s="168"/>
      <c r="D461" s="169"/>
      <c r="E461" s="170"/>
      <c r="F461" s="53"/>
      <c r="G461" s="53"/>
      <c r="H461" s="53"/>
      <c r="I461" s="171"/>
      <c r="J461" s="170"/>
      <c r="K461" s="53"/>
      <c r="L461" s="53"/>
      <c r="M461" s="53"/>
      <c r="N461" s="171"/>
      <c r="O461" s="170"/>
      <c r="P461" s="53"/>
      <c r="Q461" s="53"/>
      <c r="R461" s="53"/>
      <c r="S461" s="171"/>
      <c r="T461" s="170"/>
      <c r="U461" s="53"/>
      <c r="V461" s="53"/>
      <c r="W461" s="53"/>
      <c r="X461" s="171"/>
      <c r="Y461" s="170"/>
      <c r="Z461" s="170"/>
      <c r="AA461" s="170"/>
      <c r="AB461" s="170"/>
      <c r="AC461" s="170"/>
      <c r="AD461" s="53"/>
      <c r="AE461" s="53"/>
    </row>
    <row r="462">
      <c r="A462" s="53"/>
      <c r="B462" s="53"/>
      <c r="C462" s="168"/>
      <c r="D462" s="169"/>
      <c r="E462" s="170"/>
      <c r="F462" s="53"/>
      <c r="G462" s="53"/>
      <c r="H462" s="53"/>
      <c r="I462" s="171"/>
      <c r="J462" s="170"/>
      <c r="K462" s="53"/>
      <c r="L462" s="53"/>
      <c r="M462" s="53"/>
      <c r="N462" s="171"/>
      <c r="O462" s="170"/>
      <c r="P462" s="53"/>
      <c r="Q462" s="53"/>
      <c r="R462" s="53"/>
      <c r="S462" s="171"/>
      <c r="T462" s="170"/>
      <c r="U462" s="53"/>
      <c r="V462" s="53"/>
      <c r="W462" s="53"/>
      <c r="X462" s="171"/>
      <c r="Y462" s="170"/>
      <c r="Z462" s="170"/>
      <c r="AA462" s="170"/>
      <c r="AB462" s="170"/>
      <c r="AC462" s="170"/>
      <c r="AD462" s="53"/>
      <c r="AE462" s="53"/>
    </row>
    <row r="463">
      <c r="A463" s="53"/>
      <c r="B463" s="53"/>
      <c r="C463" s="168"/>
      <c r="D463" s="169"/>
      <c r="E463" s="170"/>
      <c r="F463" s="53"/>
      <c r="G463" s="53"/>
      <c r="H463" s="53"/>
      <c r="I463" s="171"/>
      <c r="J463" s="170"/>
      <c r="K463" s="53"/>
      <c r="L463" s="53"/>
      <c r="M463" s="53"/>
      <c r="N463" s="171"/>
      <c r="O463" s="170"/>
      <c r="P463" s="53"/>
      <c r="Q463" s="53"/>
      <c r="R463" s="53"/>
      <c r="S463" s="171"/>
      <c r="T463" s="170"/>
      <c r="U463" s="53"/>
      <c r="V463" s="53"/>
      <c r="W463" s="53"/>
      <c r="X463" s="171"/>
      <c r="Y463" s="170"/>
      <c r="Z463" s="170"/>
      <c r="AA463" s="170"/>
      <c r="AB463" s="170"/>
      <c r="AC463" s="170"/>
      <c r="AD463" s="53"/>
      <c r="AE463" s="53"/>
    </row>
    <row r="464">
      <c r="A464" s="53"/>
      <c r="B464" s="53"/>
      <c r="C464" s="168"/>
      <c r="D464" s="169"/>
      <c r="E464" s="170"/>
      <c r="F464" s="53"/>
      <c r="G464" s="53"/>
      <c r="H464" s="53"/>
      <c r="I464" s="171"/>
      <c r="J464" s="170"/>
      <c r="K464" s="53"/>
      <c r="L464" s="53"/>
      <c r="M464" s="53"/>
      <c r="N464" s="171"/>
      <c r="O464" s="170"/>
      <c r="P464" s="53"/>
      <c r="Q464" s="53"/>
      <c r="R464" s="53"/>
      <c r="S464" s="171"/>
      <c r="T464" s="170"/>
      <c r="U464" s="53"/>
      <c r="V464" s="53"/>
      <c r="W464" s="53"/>
      <c r="X464" s="171"/>
      <c r="Y464" s="170"/>
      <c r="Z464" s="170"/>
      <c r="AA464" s="170"/>
      <c r="AB464" s="170"/>
      <c r="AC464" s="170"/>
      <c r="AD464" s="53"/>
      <c r="AE464" s="53"/>
    </row>
    <row r="465">
      <c r="A465" s="53"/>
      <c r="B465" s="53"/>
      <c r="C465" s="168"/>
      <c r="D465" s="169"/>
      <c r="E465" s="170"/>
      <c r="F465" s="53"/>
      <c r="G465" s="53"/>
      <c r="H465" s="53"/>
      <c r="I465" s="171"/>
      <c r="J465" s="170"/>
      <c r="K465" s="53"/>
      <c r="L465" s="53"/>
      <c r="M465" s="53"/>
      <c r="N465" s="171"/>
      <c r="O465" s="170"/>
      <c r="P465" s="53"/>
      <c r="Q465" s="53"/>
      <c r="R465" s="53"/>
      <c r="S465" s="171"/>
      <c r="T465" s="170"/>
      <c r="U465" s="53"/>
      <c r="V465" s="53"/>
      <c r="W465" s="53"/>
      <c r="X465" s="171"/>
      <c r="Y465" s="170"/>
      <c r="Z465" s="170"/>
      <c r="AA465" s="170"/>
      <c r="AB465" s="170"/>
      <c r="AC465" s="170"/>
      <c r="AD465" s="53"/>
      <c r="AE465" s="53"/>
    </row>
    <row r="466">
      <c r="A466" s="53"/>
      <c r="B466" s="53"/>
      <c r="C466" s="168"/>
      <c r="D466" s="169"/>
      <c r="E466" s="170"/>
      <c r="F466" s="53"/>
      <c r="G466" s="53"/>
      <c r="H466" s="53"/>
      <c r="I466" s="171"/>
      <c r="J466" s="170"/>
      <c r="K466" s="53"/>
      <c r="L466" s="53"/>
      <c r="M466" s="53"/>
      <c r="N466" s="171"/>
      <c r="O466" s="170"/>
      <c r="P466" s="53"/>
      <c r="Q466" s="53"/>
      <c r="R466" s="53"/>
      <c r="S466" s="171"/>
      <c r="T466" s="170"/>
      <c r="U466" s="53"/>
      <c r="V466" s="53"/>
      <c r="W466" s="53"/>
      <c r="X466" s="171"/>
      <c r="Y466" s="170"/>
      <c r="Z466" s="170"/>
      <c r="AA466" s="170"/>
      <c r="AB466" s="170"/>
      <c r="AC466" s="170"/>
      <c r="AD466" s="53"/>
      <c r="AE466" s="53"/>
    </row>
    <row r="467">
      <c r="A467" s="53"/>
      <c r="B467" s="53"/>
      <c r="C467" s="168"/>
      <c r="D467" s="169"/>
      <c r="E467" s="170"/>
      <c r="F467" s="53"/>
      <c r="G467" s="53"/>
      <c r="H467" s="53"/>
      <c r="I467" s="171"/>
      <c r="J467" s="170"/>
      <c r="K467" s="53"/>
      <c r="L467" s="53"/>
      <c r="M467" s="53"/>
      <c r="N467" s="171"/>
      <c r="O467" s="170"/>
      <c r="P467" s="53"/>
      <c r="Q467" s="53"/>
      <c r="R467" s="53"/>
      <c r="S467" s="171"/>
      <c r="T467" s="170"/>
      <c r="U467" s="53"/>
      <c r="V467" s="53"/>
      <c r="W467" s="53"/>
      <c r="X467" s="171"/>
      <c r="Y467" s="170"/>
      <c r="Z467" s="170"/>
      <c r="AA467" s="170"/>
      <c r="AB467" s="170"/>
      <c r="AC467" s="170"/>
      <c r="AD467" s="53"/>
      <c r="AE467" s="53"/>
    </row>
    <row r="468">
      <c r="A468" s="53"/>
      <c r="B468" s="53"/>
      <c r="C468" s="168"/>
      <c r="D468" s="169"/>
      <c r="E468" s="170"/>
      <c r="F468" s="53"/>
      <c r="G468" s="53"/>
      <c r="H468" s="53"/>
      <c r="I468" s="171"/>
      <c r="J468" s="170"/>
      <c r="K468" s="53"/>
      <c r="L468" s="53"/>
      <c r="M468" s="53"/>
      <c r="N468" s="171"/>
      <c r="O468" s="170"/>
      <c r="P468" s="53"/>
      <c r="Q468" s="53"/>
      <c r="R468" s="53"/>
      <c r="S468" s="171"/>
      <c r="T468" s="170"/>
      <c r="U468" s="53"/>
      <c r="V468" s="53"/>
      <c r="W468" s="53"/>
      <c r="X468" s="171"/>
      <c r="Y468" s="170"/>
      <c r="Z468" s="170"/>
      <c r="AA468" s="170"/>
      <c r="AB468" s="170"/>
      <c r="AC468" s="170"/>
      <c r="AD468" s="53"/>
      <c r="AE468" s="53"/>
    </row>
    <row r="469">
      <c r="A469" s="53"/>
      <c r="B469" s="53"/>
      <c r="C469" s="168"/>
      <c r="D469" s="169"/>
      <c r="E469" s="170"/>
      <c r="F469" s="53"/>
      <c r="G469" s="53"/>
      <c r="H469" s="53"/>
      <c r="I469" s="171"/>
      <c r="J469" s="170"/>
      <c r="K469" s="53"/>
      <c r="L469" s="53"/>
      <c r="M469" s="53"/>
      <c r="N469" s="171"/>
      <c r="O469" s="170"/>
      <c r="P469" s="53"/>
      <c r="Q469" s="53"/>
      <c r="R469" s="53"/>
      <c r="S469" s="171"/>
      <c r="T469" s="170"/>
      <c r="U469" s="53"/>
      <c r="V469" s="53"/>
      <c r="W469" s="53"/>
      <c r="X469" s="171"/>
      <c r="Y469" s="170"/>
      <c r="Z469" s="170"/>
      <c r="AA469" s="170"/>
      <c r="AB469" s="170"/>
      <c r="AC469" s="170"/>
      <c r="AD469" s="53"/>
      <c r="AE469" s="53"/>
    </row>
    <row r="470">
      <c r="A470" s="53"/>
      <c r="B470" s="53"/>
      <c r="C470" s="168"/>
      <c r="D470" s="169"/>
      <c r="E470" s="170"/>
      <c r="F470" s="53"/>
      <c r="G470" s="53"/>
      <c r="H470" s="53"/>
      <c r="I470" s="171"/>
      <c r="J470" s="170"/>
      <c r="K470" s="53"/>
      <c r="L470" s="53"/>
      <c r="M470" s="53"/>
      <c r="N470" s="171"/>
      <c r="O470" s="170"/>
      <c r="P470" s="53"/>
      <c r="Q470" s="53"/>
      <c r="R470" s="53"/>
      <c r="S470" s="171"/>
      <c r="T470" s="170"/>
      <c r="U470" s="53"/>
      <c r="V470" s="53"/>
      <c r="W470" s="53"/>
      <c r="X470" s="171"/>
      <c r="Y470" s="170"/>
      <c r="Z470" s="170"/>
      <c r="AA470" s="170"/>
      <c r="AB470" s="170"/>
      <c r="AC470" s="170"/>
      <c r="AD470" s="53"/>
      <c r="AE470" s="53"/>
    </row>
    <row r="471">
      <c r="A471" s="53"/>
      <c r="B471" s="53"/>
      <c r="C471" s="168"/>
      <c r="D471" s="169"/>
      <c r="E471" s="170"/>
      <c r="F471" s="53"/>
      <c r="G471" s="53"/>
      <c r="H471" s="53"/>
      <c r="I471" s="171"/>
      <c r="J471" s="170"/>
      <c r="K471" s="53"/>
      <c r="L471" s="53"/>
      <c r="M471" s="53"/>
      <c r="N471" s="171"/>
      <c r="O471" s="170"/>
      <c r="P471" s="53"/>
      <c r="Q471" s="53"/>
      <c r="R471" s="53"/>
      <c r="S471" s="171"/>
      <c r="T471" s="170"/>
      <c r="U471" s="53"/>
      <c r="V471" s="53"/>
      <c r="W471" s="53"/>
      <c r="X471" s="171"/>
      <c r="Y471" s="170"/>
      <c r="Z471" s="170"/>
      <c r="AA471" s="170"/>
      <c r="AB471" s="170"/>
      <c r="AC471" s="170"/>
      <c r="AD471" s="53"/>
      <c r="AE471" s="53"/>
    </row>
    <row r="472">
      <c r="A472" s="53"/>
      <c r="B472" s="53"/>
      <c r="C472" s="168"/>
      <c r="D472" s="169"/>
      <c r="E472" s="170"/>
      <c r="F472" s="53"/>
      <c r="G472" s="53"/>
      <c r="H472" s="53"/>
      <c r="I472" s="171"/>
      <c r="J472" s="170"/>
      <c r="K472" s="53"/>
      <c r="L472" s="53"/>
      <c r="M472" s="53"/>
      <c r="N472" s="171"/>
      <c r="O472" s="170"/>
      <c r="P472" s="53"/>
      <c r="Q472" s="53"/>
      <c r="R472" s="53"/>
      <c r="S472" s="171"/>
      <c r="T472" s="170"/>
      <c r="U472" s="53"/>
      <c r="V472" s="53"/>
      <c r="W472" s="53"/>
      <c r="X472" s="171"/>
      <c r="Y472" s="170"/>
      <c r="Z472" s="170"/>
      <c r="AA472" s="170"/>
      <c r="AB472" s="170"/>
      <c r="AC472" s="170"/>
      <c r="AD472" s="53"/>
      <c r="AE472" s="53"/>
    </row>
    <row r="473">
      <c r="A473" s="53"/>
      <c r="B473" s="53"/>
      <c r="C473" s="168"/>
      <c r="D473" s="169"/>
      <c r="E473" s="170"/>
      <c r="F473" s="53"/>
      <c r="G473" s="53"/>
      <c r="H473" s="53"/>
      <c r="I473" s="171"/>
      <c r="J473" s="170"/>
      <c r="K473" s="53"/>
      <c r="L473" s="53"/>
      <c r="M473" s="53"/>
      <c r="N473" s="171"/>
      <c r="O473" s="170"/>
      <c r="P473" s="53"/>
      <c r="Q473" s="53"/>
      <c r="R473" s="53"/>
      <c r="S473" s="171"/>
      <c r="T473" s="170"/>
      <c r="U473" s="53"/>
      <c r="V473" s="53"/>
      <c r="W473" s="53"/>
      <c r="X473" s="171"/>
      <c r="Y473" s="170"/>
      <c r="Z473" s="170"/>
      <c r="AA473" s="170"/>
      <c r="AB473" s="170"/>
      <c r="AC473" s="170"/>
      <c r="AD473" s="53"/>
      <c r="AE473" s="53"/>
    </row>
    <row r="474">
      <c r="A474" s="53"/>
      <c r="B474" s="53"/>
      <c r="C474" s="168"/>
      <c r="D474" s="169"/>
      <c r="E474" s="170"/>
      <c r="F474" s="53"/>
      <c r="G474" s="53"/>
      <c r="H474" s="53"/>
      <c r="I474" s="171"/>
      <c r="J474" s="170"/>
      <c r="K474" s="53"/>
      <c r="L474" s="53"/>
      <c r="M474" s="53"/>
      <c r="N474" s="171"/>
      <c r="O474" s="170"/>
      <c r="P474" s="53"/>
      <c r="Q474" s="53"/>
      <c r="R474" s="53"/>
      <c r="S474" s="171"/>
      <c r="T474" s="170"/>
      <c r="U474" s="53"/>
      <c r="V474" s="53"/>
      <c r="W474" s="53"/>
      <c r="X474" s="171"/>
      <c r="Y474" s="170"/>
      <c r="Z474" s="170"/>
      <c r="AA474" s="170"/>
      <c r="AB474" s="170"/>
      <c r="AC474" s="170"/>
      <c r="AD474" s="53"/>
      <c r="AE474" s="53"/>
    </row>
    <row r="475">
      <c r="A475" s="53"/>
      <c r="B475" s="53"/>
      <c r="C475" s="168"/>
      <c r="D475" s="169"/>
      <c r="E475" s="170"/>
      <c r="F475" s="53"/>
      <c r="G475" s="53"/>
      <c r="H475" s="53"/>
      <c r="I475" s="171"/>
      <c r="J475" s="170"/>
      <c r="K475" s="53"/>
      <c r="L475" s="53"/>
      <c r="M475" s="53"/>
      <c r="N475" s="171"/>
      <c r="O475" s="170"/>
      <c r="P475" s="53"/>
      <c r="Q475" s="53"/>
      <c r="R475" s="53"/>
      <c r="S475" s="171"/>
      <c r="T475" s="170"/>
      <c r="U475" s="53"/>
      <c r="V475" s="53"/>
      <c r="W475" s="53"/>
      <c r="X475" s="171"/>
      <c r="Y475" s="170"/>
      <c r="Z475" s="170"/>
      <c r="AA475" s="170"/>
      <c r="AB475" s="170"/>
      <c r="AC475" s="170"/>
      <c r="AD475" s="53"/>
      <c r="AE475" s="53"/>
    </row>
    <row r="476">
      <c r="A476" s="53"/>
      <c r="B476" s="53"/>
      <c r="C476" s="168"/>
      <c r="D476" s="169"/>
      <c r="E476" s="170"/>
      <c r="F476" s="53"/>
      <c r="G476" s="53"/>
      <c r="H476" s="53"/>
      <c r="I476" s="171"/>
      <c r="J476" s="170"/>
      <c r="K476" s="53"/>
      <c r="L476" s="53"/>
      <c r="M476" s="53"/>
      <c r="N476" s="171"/>
      <c r="O476" s="170"/>
      <c r="P476" s="53"/>
      <c r="Q476" s="53"/>
      <c r="R476" s="53"/>
      <c r="S476" s="171"/>
      <c r="T476" s="170"/>
      <c r="U476" s="53"/>
      <c r="V476" s="53"/>
      <c r="W476" s="53"/>
      <c r="X476" s="171"/>
      <c r="Y476" s="170"/>
      <c r="Z476" s="170"/>
      <c r="AA476" s="170"/>
      <c r="AB476" s="170"/>
      <c r="AC476" s="170"/>
      <c r="AD476" s="53"/>
      <c r="AE476" s="53"/>
    </row>
    <row r="477">
      <c r="A477" s="53"/>
      <c r="B477" s="53"/>
      <c r="C477" s="168"/>
      <c r="D477" s="169"/>
      <c r="E477" s="170"/>
      <c r="F477" s="53"/>
      <c r="G477" s="53"/>
      <c r="H477" s="53"/>
      <c r="I477" s="171"/>
      <c r="J477" s="170"/>
      <c r="K477" s="53"/>
      <c r="L477" s="53"/>
      <c r="M477" s="53"/>
      <c r="N477" s="171"/>
      <c r="O477" s="170"/>
      <c r="P477" s="53"/>
      <c r="Q477" s="53"/>
      <c r="R477" s="53"/>
      <c r="S477" s="171"/>
      <c r="T477" s="170"/>
      <c r="U477" s="53"/>
      <c r="V477" s="53"/>
      <c r="W477" s="53"/>
      <c r="X477" s="171"/>
      <c r="Y477" s="170"/>
      <c r="Z477" s="170"/>
      <c r="AA477" s="170"/>
      <c r="AB477" s="170"/>
      <c r="AC477" s="170"/>
      <c r="AD477" s="53"/>
      <c r="AE477" s="53"/>
    </row>
    <row r="478">
      <c r="A478" s="53"/>
      <c r="B478" s="53"/>
      <c r="C478" s="168"/>
      <c r="D478" s="169"/>
      <c r="E478" s="170"/>
      <c r="F478" s="53"/>
      <c r="G478" s="53"/>
      <c r="H478" s="53"/>
      <c r="I478" s="171"/>
      <c r="J478" s="170"/>
      <c r="K478" s="53"/>
      <c r="L478" s="53"/>
      <c r="M478" s="53"/>
      <c r="N478" s="171"/>
      <c r="O478" s="170"/>
      <c r="P478" s="53"/>
      <c r="Q478" s="53"/>
      <c r="R478" s="53"/>
      <c r="S478" s="171"/>
      <c r="T478" s="170"/>
      <c r="U478" s="53"/>
      <c r="V478" s="53"/>
      <c r="W478" s="53"/>
      <c r="X478" s="171"/>
      <c r="Y478" s="170"/>
      <c r="Z478" s="170"/>
      <c r="AA478" s="170"/>
      <c r="AB478" s="170"/>
      <c r="AC478" s="170"/>
      <c r="AD478" s="53"/>
      <c r="AE478" s="53"/>
    </row>
    <row r="479">
      <c r="A479" s="53"/>
      <c r="B479" s="53"/>
      <c r="C479" s="168"/>
      <c r="D479" s="169"/>
      <c r="E479" s="170"/>
      <c r="F479" s="53"/>
      <c r="G479" s="53"/>
      <c r="H479" s="53"/>
      <c r="I479" s="171"/>
      <c r="J479" s="170"/>
      <c r="K479" s="53"/>
      <c r="L479" s="53"/>
      <c r="M479" s="53"/>
      <c r="N479" s="171"/>
      <c r="O479" s="170"/>
      <c r="P479" s="53"/>
      <c r="Q479" s="53"/>
      <c r="R479" s="53"/>
      <c r="S479" s="171"/>
      <c r="T479" s="170"/>
      <c r="U479" s="53"/>
      <c r="V479" s="53"/>
      <c r="W479" s="53"/>
      <c r="X479" s="171"/>
      <c r="Y479" s="170"/>
      <c r="Z479" s="170"/>
      <c r="AA479" s="170"/>
      <c r="AB479" s="170"/>
      <c r="AC479" s="170"/>
      <c r="AD479" s="53"/>
      <c r="AE479" s="53"/>
    </row>
    <row r="480">
      <c r="A480" s="53"/>
      <c r="B480" s="53"/>
      <c r="C480" s="168"/>
      <c r="D480" s="169"/>
      <c r="E480" s="170"/>
      <c r="F480" s="53"/>
      <c r="G480" s="53"/>
      <c r="H480" s="53"/>
      <c r="I480" s="171"/>
      <c r="J480" s="170"/>
      <c r="K480" s="53"/>
      <c r="L480" s="53"/>
      <c r="M480" s="53"/>
      <c r="N480" s="171"/>
      <c r="O480" s="170"/>
      <c r="P480" s="53"/>
      <c r="Q480" s="53"/>
      <c r="R480" s="53"/>
      <c r="S480" s="171"/>
      <c r="T480" s="170"/>
      <c r="U480" s="53"/>
      <c r="V480" s="53"/>
      <c r="W480" s="53"/>
      <c r="X480" s="171"/>
      <c r="Y480" s="170"/>
      <c r="Z480" s="170"/>
      <c r="AA480" s="170"/>
      <c r="AB480" s="170"/>
      <c r="AC480" s="170"/>
      <c r="AD480" s="53"/>
      <c r="AE480" s="53"/>
    </row>
    <row r="481">
      <c r="A481" s="53"/>
      <c r="B481" s="53"/>
      <c r="C481" s="168"/>
      <c r="D481" s="169"/>
      <c r="E481" s="170"/>
      <c r="F481" s="53"/>
      <c r="G481" s="53"/>
      <c r="H481" s="53"/>
      <c r="I481" s="171"/>
      <c r="J481" s="170"/>
      <c r="K481" s="53"/>
      <c r="L481" s="53"/>
      <c r="M481" s="53"/>
      <c r="N481" s="171"/>
      <c r="O481" s="170"/>
      <c r="P481" s="53"/>
      <c r="Q481" s="53"/>
      <c r="R481" s="53"/>
      <c r="S481" s="171"/>
      <c r="T481" s="170"/>
      <c r="U481" s="53"/>
      <c r="V481" s="53"/>
      <c r="W481" s="53"/>
      <c r="X481" s="171"/>
      <c r="Y481" s="170"/>
      <c r="Z481" s="170"/>
      <c r="AA481" s="170"/>
      <c r="AB481" s="170"/>
      <c r="AC481" s="170"/>
      <c r="AD481" s="53"/>
      <c r="AE481" s="53"/>
    </row>
    <row r="482">
      <c r="A482" s="53"/>
      <c r="B482" s="53"/>
      <c r="C482" s="168"/>
      <c r="D482" s="169"/>
      <c r="E482" s="170"/>
      <c r="F482" s="53"/>
      <c r="G482" s="53"/>
      <c r="H482" s="53"/>
      <c r="I482" s="171"/>
      <c r="J482" s="170"/>
      <c r="K482" s="53"/>
      <c r="L482" s="53"/>
      <c r="M482" s="53"/>
      <c r="N482" s="171"/>
      <c r="O482" s="170"/>
      <c r="P482" s="53"/>
      <c r="Q482" s="53"/>
      <c r="R482" s="53"/>
      <c r="S482" s="171"/>
      <c r="T482" s="170"/>
      <c r="U482" s="53"/>
      <c r="V482" s="53"/>
      <c r="W482" s="53"/>
      <c r="X482" s="171"/>
      <c r="Y482" s="170"/>
      <c r="Z482" s="170"/>
      <c r="AA482" s="170"/>
      <c r="AB482" s="170"/>
      <c r="AC482" s="170"/>
      <c r="AD482" s="53"/>
      <c r="AE482" s="53"/>
    </row>
    <row r="483">
      <c r="A483" s="53"/>
      <c r="B483" s="53"/>
      <c r="C483" s="168"/>
      <c r="D483" s="169"/>
      <c r="E483" s="170"/>
      <c r="F483" s="53"/>
      <c r="G483" s="53"/>
      <c r="H483" s="53"/>
      <c r="I483" s="171"/>
      <c r="J483" s="170"/>
      <c r="K483" s="53"/>
      <c r="L483" s="53"/>
      <c r="M483" s="53"/>
      <c r="N483" s="171"/>
      <c r="O483" s="170"/>
      <c r="P483" s="53"/>
      <c r="Q483" s="53"/>
      <c r="R483" s="53"/>
      <c r="S483" s="171"/>
      <c r="T483" s="170"/>
      <c r="U483" s="53"/>
      <c r="V483" s="53"/>
      <c r="W483" s="53"/>
      <c r="X483" s="171"/>
      <c r="Y483" s="170"/>
      <c r="Z483" s="170"/>
      <c r="AA483" s="170"/>
      <c r="AB483" s="170"/>
      <c r="AC483" s="170"/>
      <c r="AD483" s="53"/>
      <c r="AE483" s="53"/>
    </row>
    <row r="484">
      <c r="A484" s="53"/>
      <c r="B484" s="53"/>
      <c r="C484" s="168"/>
      <c r="D484" s="169"/>
      <c r="E484" s="170"/>
      <c r="F484" s="53"/>
      <c r="G484" s="53"/>
      <c r="H484" s="53"/>
      <c r="I484" s="171"/>
      <c r="J484" s="170"/>
      <c r="K484" s="53"/>
      <c r="L484" s="53"/>
      <c r="M484" s="53"/>
      <c r="N484" s="171"/>
      <c r="O484" s="170"/>
      <c r="P484" s="53"/>
      <c r="Q484" s="53"/>
      <c r="R484" s="53"/>
      <c r="S484" s="171"/>
      <c r="T484" s="170"/>
      <c r="U484" s="53"/>
      <c r="V484" s="53"/>
      <c r="W484" s="53"/>
      <c r="X484" s="171"/>
      <c r="Y484" s="170"/>
      <c r="Z484" s="170"/>
      <c r="AA484" s="170"/>
      <c r="AB484" s="170"/>
      <c r="AC484" s="170"/>
      <c r="AD484" s="53"/>
      <c r="AE484" s="53"/>
    </row>
    <row r="485">
      <c r="A485" s="53"/>
      <c r="B485" s="53"/>
      <c r="C485" s="168"/>
      <c r="D485" s="169"/>
      <c r="E485" s="170"/>
      <c r="F485" s="53"/>
      <c r="G485" s="53"/>
      <c r="H485" s="53"/>
      <c r="I485" s="171"/>
      <c r="J485" s="170"/>
      <c r="K485" s="53"/>
      <c r="L485" s="53"/>
      <c r="M485" s="53"/>
      <c r="N485" s="171"/>
      <c r="O485" s="170"/>
      <c r="P485" s="53"/>
      <c r="Q485" s="53"/>
      <c r="R485" s="53"/>
      <c r="S485" s="171"/>
      <c r="T485" s="170"/>
      <c r="U485" s="53"/>
      <c r="V485" s="53"/>
      <c r="W485" s="53"/>
      <c r="X485" s="171"/>
      <c r="Y485" s="170"/>
      <c r="Z485" s="170"/>
      <c r="AA485" s="170"/>
      <c r="AB485" s="170"/>
      <c r="AC485" s="170"/>
      <c r="AD485" s="53"/>
      <c r="AE485" s="53"/>
    </row>
    <row r="486">
      <c r="A486" s="53"/>
      <c r="B486" s="53"/>
      <c r="C486" s="168"/>
      <c r="D486" s="169"/>
      <c r="E486" s="170"/>
      <c r="F486" s="53"/>
      <c r="G486" s="53"/>
      <c r="H486" s="53"/>
      <c r="I486" s="171"/>
      <c r="J486" s="170"/>
      <c r="K486" s="53"/>
      <c r="L486" s="53"/>
      <c r="M486" s="53"/>
      <c r="N486" s="171"/>
      <c r="O486" s="170"/>
      <c r="P486" s="53"/>
      <c r="Q486" s="53"/>
      <c r="R486" s="53"/>
      <c r="S486" s="171"/>
      <c r="T486" s="170"/>
      <c r="U486" s="53"/>
      <c r="V486" s="53"/>
      <c r="W486" s="53"/>
      <c r="X486" s="171"/>
      <c r="Y486" s="170"/>
      <c r="Z486" s="170"/>
      <c r="AA486" s="170"/>
      <c r="AB486" s="170"/>
      <c r="AC486" s="170"/>
      <c r="AD486" s="53"/>
      <c r="AE486" s="53"/>
    </row>
    <row r="487">
      <c r="A487" s="53"/>
      <c r="B487" s="53"/>
      <c r="C487" s="168"/>
      <c r="D487" s="169"/>
      <c r="E487" s="170"/>
      <c r="F487" s="53"/>
      <c r="G487" s="53"/>
      <c r="H487" s="53"/>
      <c r="I487" s="171"/>
      <c r="J487" s="170"/>
      <c r="K487" s="53"/>
      <c r="L487" s="53"/>
      <c r="M487" s="53"/>
      <c r="N487" s="171"/>
      <c r="O487" s="170"/>
      <c r="P487" s="53"/>
      <c r="Q487" s="53"/>
      <c r="R487" s="53"/>
      <c r="S487" s="171"/>
      <c r="T487" s="170"/>
      <c r="U487" s="53"/>
      <c r="V487" s="53"/>
      <c r="W487" s="53"/>
      <c r="X487" s="171"/>
      <c r="Y487" s="170"/>
      <c r="Z487" s="170"/>
      <c r="AA487" s="170"/>
      <c r="AB487" s="170"/>
      <c r="AC487" s="170"/>
      <c r="AD487" s="53"/>
      <c r="AE487" s="53"/>
    </row>
    <row r="488">
      <c r="A488" s="53"/>
      <c r="B488" s="53"/>
      <c r="C488" s="168"/>
      <c r="D488" s="169"/>
      <c r="E488" s="170"/>
      <c r="F488" s="53"/>
      <c r="G488" s="53"/>
      <c r="H488" s="53"/>
      <c r="I488" s="171"/>
      <c r="J488" s="170"/>
      <c r="K488" s="53"/>
      <c r="L488" s="53"/>
      <c r="M488" s="53"/>
      <c r="N488" s="171"/>
      <c r="O488" s="170"/>
      <c r="P488" s="53"/>
      <c r="Q488" s="53"/>
      <c r="R488" s="53"/>
      <c r="S488" s="171"/>
      <c r="T488" s="170"/>
      <c r="U488" s="53"/>
      <c r="V488" s="53"/>
      <c r="W488" s="53"/>
      <c r="X488" s="171"/>
      <c r="Y488" s="170"/>
      <c r="Z488" s="170"/>
      <c r="AA488" s="170"/>
      <c r="AB488" s="170"/>
      <c r="AC488" s="170"/>
      <c r="AD488" s="53"/>
      <c r="AE488" s="53"/>
    </row>
    <row r="489">
      <c r="A489" s="53"/>
      <c r="B489" s="53"/>
      <c r="C489" s="168"/>
      <c r="D489" s="169"/>
      <c r="E489" s="170"/>
      <c r="F489" s="53"/>
      <c r="G489" s="53"/>
      <c r="H489" s="53"/>
      <c r="I489" s="171"/>
      <c r="J489" s="170"/>
      <c r="K489" s="53"/>
      <c r="L489" s="53"/>
      <c r="M489" s="53"/>
      <c r="N489" s="171"/>
      <c r="O489" s="170"/>
      <c r="P489" s="53"/>
      <c r="Q489" s="53"/>
      <c r="R489" s="53"/>
      <c r="S489" s="171"/>
      <c r="T489" s="170"/>
      <c r="U489" s="53"/>
      <c r="V489" s="53"/>
      <c r="W489" s="53"/>
      <c r="X489" s="171"/>
      <c r="Y489" s="170"/>
      <c r="Z489" s="170"/>
      <c r="AA489" s="170"/>
      <c r="AB489" s="170"/>
      <c r="AC489" s="170"/>
      <c r="AD489" s="53"/>
      <c r="AE489" s="53"/>
    </row>
    <row r="490">
      <c r="A490" s="53"/>
      <c r="B490" s="53"/>
      <c r="C490" s="168"/>
      <c r="D490" s="169"/>
      <c r="E490" s="170"/>
      <c r="F490" s="53"/>
      <c r="G490" s="53"/>
      <c r="H490" s="53"/>
      <c r="I490" s="171"/>
      <c r="J490" s="170"/>
      <c r="K490" s="53"/>
      <c r="L490" s="53"/>
      <c r="M490" s="53"/>
      <c r="N490" s="171"/>
      <c r="O490" s="170"/>
      <c r="P490" s="53"/>
      <c r="Q490" s="53"/>
      <c r="R490" s="53"/>
      <c r="S490" s="171"/>
      <c r="T490" s="170"/>
      <c r="U490" s="53"/>
      <c r="V490" s="53"/>
      <c r="W490" s="53"/>
      <c r="X490" s="171"/>
      <c r="Y490" s="170"/>
      <c r="Z490" s="170"/>
      <c r="AA490" s="170"/>
      <c r="AB490" s="170"/>
      <c r="AC490" s="170"/>
      <c r="AD490" s="53"/>
      <c r="AE490" s="53"/>
    </row>
    <row r="491">
      <c r="A491" s="53"/>
      <c r="B491" s="53"/>
      <c r="C491" s="168"/>
      <c r="D491" s="169"/>
      <c r="E491" s="170"/>
      <c r="F491" s="53"/>
      <c r="G491" s="53"/>
      <c r="H491" s="53"/>
      <c r="I491" s="171"/>
      <c r="J491" s="170"/>
      <c r="K491" s="53"/>
      <c r="L491" s="53"/>
      <c r="M491" s="53"/>
      <c r="N491" s="171"/>
      <c r="O491" s="170"/>
      <c r="P491" s="53"/>
      <c r="Q491" s="53"/>
      <c r="R491" s="53"/>
      <c r="S491" s="171"/>
      <c r="T491" s="170"/>
      <c r="U491" s="53"/>
      <c r="V491" s="53"/>
      <c r="W491" s="53"/>
      <c r="X491" s="171"/>
      <c r="Y491" s="170"/>
      <c r="Z491" s="170"/>
      <c r="AA491" s="170"/>
      <c r="AB491" s="170"/>
      <c r="AC491" s="170"/>
      <c r="AD491" s="53"/>
      <c r="AE491" s="53"/>
    </row>
    <row r="492">
      <c r="A492" s="53"/>
      <c r="B492" s="53"/>
      <c r="C492" s="168"/>
      <c r="D492" s="169"/>
      <c r="E492" s="170"/>
      <c r="F492" s="53"/>
      <c r="G492" s="53"/>
      <c r="H492" s="53"/>
      <c r="I492" s="171"/>
      <c r="J492" s="170"/>
      <c r="K492" s="53"/>
      <c r="L492" s="53"/>
      <c r="M492" s="53"/>
      <c r="N492" s="171"/>
      <c r="O492" s="170"/>
      <c r="P492" s="53"/>
      <c r="Q492" s="53"/>
      <c r="R492" s="53"/>
      <c r="S492" s="171"/>
      <c r="T492" s="170"/>
      <c r="U492" s="53"/>
      <c r="V492" s="53"/>
      <c r="W492" s="53"/>
      <c r="X492" s="171"/>
      <c r="Y492" s="170"/>
      <c r="Z492" s="170"/>
      <c r="AA492" s="170"/>
      <c r="AB492" s="170"/>
      <c r="AC492" s="170"/>
      <c r="AD492" s="53"/>
      <c r="AE492" s="53"/>
    </row>
    <row r="493">
      <c r="A493" s="53"/>
      <c r="B493" s="53"/>
      <c r="C493" s="168"/>
      <c r="D493" s="169"/>
      <c r="E493" s="170"/>
      <c r="F493" s="53"/>
      <c r="G493" s="53"/>
      <c r="H493" s="53"/>
      <c r="I493" s="171"/>
      <c r="J493" s="170"/>
      <c r="K493" s="53"/>
      <c r="L493" s="53"/>
      <c r="M493" s="53"/>
      <c r="N493" s="171"/>
      <c r="O493" s="170"/>
      <c r="P493" s="53"/>
      <c r="Q493" s="53"/>
      <c r="R493" s="53"/>
      <c r="S493" s="171"/>
      <c r="T493" s="170"/>
      <c r="U493" s="53"/>
      <c r="V493" s="53"/>
      <c r="W493" s="53"/>
      <c r="X493" s="171"/>
      <c r="Y493" s="170"/>
      <c r="Z493" s="170"/>
      <c r="AA493" s="170"/>
      <c r="AB493" s="170"/>
      <c r="AC493" s="170"/>
      <c r="AD493" s="53"/>
      <c r="AE493" s="53"/>
    </row>
    <row r="494">
      <c r="A494" s="53"/>
      <c r="B494" s="53"/>
      <c r="C494" s="168"/>
      <c r="D494" s="169"/>
      <c r="E494" s="170"/>
      <c r="F494" s="53"/>
      <c r="G494" s="53"/>
      <c r="H494" s="53"/>
      <c r="I494" s="171"/>
      <c r="J494" s="170"/>
      <c r="K494" s="53"/>
      <c r="L494" s="53"/>
      <c r="M494" s="53"/>
      <c r="N494" s="171"/>
      <c r="O494" s="170"/>
      <c r="P494" s="53"/>
      <c r="Q494" s="53"/>
      <c r="R494" s="53"/>
      <c r="S494" s="171"/>
      <c r="T494" s="170"/>
      <c r="U494" s="53"/>
      <c r="V494" s="53"/>
      <c r="W494" s="53"/>
      <c r="X494" s="171"/>
      <c r="Y494" s="170"/>
      <c r="Z494" s="170"/>
      <c r="AA494" s="170"/>
      <c r="AB494" s="170"/>
      <c r="AC494" s="170"/>
      <c r="AD494" s="53"/>
      <c r="AE494" s="53"/>
    </row>
    <row r="495">
      <c r="A495" s="53"/>
      <c r="B495" s="53"/>
      <c r="C495" s="168"/>
      <c r="D495" s="169"/>
      <c r="E495" s="170"/>
      <c r="F495" s="53"/>
      <c r="G495" s="53"/>
      <c r="H495" s="53"/>
      <c r="I495" s="171"/>
      <c r="J495" s="170"/>
      <c r="K495" s="53"/>
      <c r="L495" s="53"/>
      <c r="M495" s="53"/>
      <c r="N495" s="171"/>
      <c r="O495" s="170"/>
      <c r="P495" s="53"/>
      <c r="Q495" s="53"/>
      <c r="R495" s="53"/>
      <c r="S495" s="171"/>
      <c r="T495" s="170"/>
      <c r="U495" s="53"/>
      <c r="V495" s="53"/>
      <c r="W495" s="53"/>
      <c r="X495" s="171"/>
      <c r="Y495" s="170"/>
      <c r="Z495" s="170"/>
      <c r="AA495" s="170"/>
      <c r="AB495" s="170"/>
      <c r="AC495" s="170"/>
      <c r="AD495" s="53"/>
      <c r="AE495" s="53"/>
    </row>
    <row r="496">
      <c r="A496" s="53"/>
      <c r="B496" s="53"/>
      <c r="C496" s="168"/>
      <c r="D496" s="169"/>
      <c r="E496" s="170"/>
      <c r="F496" s="53"/>
      <c r="G496" s="53"/>
      <c r="H496" s="53"/>
      <c r="I496" s="171"/>
      <c r="J496" s="170"/>
      <c r="K496" s="53"/>
      <c r="L496" s="53"/>
      <c r="M496" s="53"/>
      <c r="N496" s="171"/>
      <c r="O496" s="170"/>
      <c r="P496" s="53"/>
      <c r="Q496" s="53"/>
      <c r="R496" s="53"/>
      <c r="S496" s="171"/>
      <c r="T496" s="170"/>
      <c r="U496" s="53"/>
      <c r="V496" s="53"/>
      <c r="W496" s="53"/>
      <c r="X496" s="171"/>
      <c r="Y496" s="170"/>
      <c r="Z496" s="170"/>
      <c r="AA496" s="170"/>
      <c r="AB496" s="170"/>
      <c r="AC496" s="170"/>
      <c r="AD496" s="53"/>
      <c r="AE496" s="53"/>
    </row>
    <row r="497">
      <c r="A497" s="53"/>
      <c r="B497" s="53"/>
      <c r="C497" s="168"/>
      <c r="D497" s="169"/>
      <c r="E497" s="170"/>
      <c r="F497" s="53"/>
      <c r="G497" s="53"/>
      <c r="H497" s="53"/>
      <c r="I497" s="171"/>
      <c r="J497" s="170"/>
      <c r="K497" s="53"/>
      <c r="L497" s="53"/>
      <c r="M497" s="53"/>
      <c r="N497" s="171"/>
      <c r="O497" s="170"/>
      <c r="P497" s="53"/>
      <c r="Q497" s="53"/>
      <c r="R497" s="53"/>
      <c r="S497" s="171"/>
      <c r="T497" s="170"/>
      <c r="U497" s="53"/>
      <c r="V497" s="53"/>
      <c r="W497" s="53"/>
      <c r="X497" s="171"/>
      <c r="Y497" s="170"/>
      <c r="Z497" s="170"/>
      <c r="AA497" s="170"/>
      <c r="AB497" s="170"/>
      <c r="AC497" s="170"/>
      <c r="AD497" s="53"/>
      <c r="AE497" s="53"/>
    </row>
    <row r="498">
      <c r="A498" s="53"/>
      <c r="B498" s="53"/>
      <c r="C498" s="168"/>
      <c r="D498" s="169"/>
      <c r="E498" s="170"/>
      <c r="F498" s="53"/>
      <c r="G498" s="53"/>
      <c r="H498" s="53"/>
      <c r="I498" s="171"/>
      <c r="J498" s="170"/>
      <c r="K498" s="53"/>
      <c r="L498" s="53"/>
      <c r="M498" s="53"/>
      <c r="N498" s="171"/>
      <c r="O498" s="170"/>
      <c r="P498" s="53"/>
      <c r="Q498" s="53"/>
      <c r="R498" s="53"/>
      <c r="S498" s="171"/>
      <c r="T498" s="170"/>
      <c r="U498" s="53"/>
      <c r="V498" s="53"/>
      <c r="W498" s="53"/>
      <c r="X498" s="171"/>
      <c r="Y498" s="170"/>
      <c r="Z498" s="170"/>
      <c r="AA498" s="170"/>
      <c r="AB498" s="170"/>
      <c r="AC498" s="170"/>
      <c r="AD498" s="53"/>
      <c r="AE498" s="53"/>
    </row>
    <row r="499">
      <c r="A499" s="53"/>
      <c r="B499" s="53"/>
      <c r="C499" s="168"/>
      <c r="D499" s="169"/>
      <c r="E499" s="170"/>
      <c r="F499" s="53"/>
      <c r="G499" s="53"/>
      <c r="H499" s="53"/>
      <c r="I499" s="171"/>
      <c r="J499" s="170"/>
      <c r="K499" s="53"/>
      <c r="L499" s="53"/>
      <c r="M499" s="53"/>
      <c r="N499" s="171"/>
      <c r="O499" s="170"/>
      <c r="P499" s="53"/>
      <c r="Q499" s="53"/>
      <c r="R499" s="53"/>
      <c r="S499" s="171"/>
      <c r="T499" s="170"/>
      <c r="U499" s="53"/>
      <c r="V499" s="53"/>
      <c r="W499" s="53"/>
      <c r="X499" s="171"/>
      <c r="Y499" s="170"/>
      <c r="Z499" s="170"/>
      <c r="AA499" s="170"/>
      <c r="AB499" s="170"/>
      <c r="AC499" s="170"/>
      <c r="AD499" s="53"/>
      <c r="AE499" s="53"/>
    </row>
    <row r="500">
      <c r="A500" s="53"/>
      <c r="B500" s="53"/>
      <c r="C500" s="168"/>
      <c r="D500" s="169"/>
      <c r="E500" s="170"/>
      <c r="F500" s="53"/>
      <c r="G500" s="53"/>
      <c r="H500" s="53"/>
      <c r="I500" s="171"/>
      <c r="J500" s="170"/>
      <c r="K500" s="53"/>
      <c r="L500" s="53"/>
      <c r="M500" s="53"/>
      <c r="N500" s="171"/>
      <c r="O500" s="170"/>
      <c r="P500" s="53"/>
      <c r="Q500" s="53"/>
      <c r="R500" s="53"/>
      <c r="S500" s="171"/>
      <c r="T500" s="170"/>
      <c r="U500" s="53"/>
      <c r="V500" s="53"/>
      <c r="W500" s="53"/>
      <c r="X500" s="171"/>
      <c r="Y500" s="170"/>
      <c r="Z500" s="170"/>
      <c r="AA500" s="170"/>
      <c r="AB500" s="170"/>
      <c r="AC500" s="170"/>
      <c r="AD500" s="53"/>
      <c r="AE500" s="53"/>
    </row>
    <row r="501">
      <c r="A501" s="53"/>
      <c r="B501" s="53"/>
      <c r="C501" s="168"/>
      <c r="D501" s="169"/>
      <c r="E501" s="170"/>
      <c r="F501" s="53"/>
      <c r="G501" s="53"/>
      <c r="H501" s="53"/>
      <c r="I501" s="171"/>
      <c r="J501" s="170"/>
      <c r="K501" s="53"/>
      <c r="L501" s="53"/>
      <c r="M501" s="53"/>
      <c r="N501" s="171"/>
      <c r="O501" s="170"/>
      <c r="P501" s="53"/>
      <c r="Q501" s="53"/>
      <c r="R501" s="53"/>
      <c r="S501" s="171"/>
      <c r="T501" s="170"/>
      <c r="U501" s="53"/>
      <c r="V501" s="53"/>
      <c r="W501" s="53"/>
      <c r="X501" s="171"/>
      <c r="Y501" s="170"/>
      <c r="Z501" s="170"/>
      <c r="AA501" s="170"/>
      <c r="AB501" s="170"/>
      <c r="AC501" s="170"/>
      <c r="AD501" s="53"/>
      <c r="AE501" s="53"/>
    </row>
    <row r="502">
      <c r="A502" s="53"/>
      <c r="B502" s="53"/>
      <c r="C502" s="168"/>
      <c r="D502" s="169"/>
      <c r="E502" s="170"/>
      <c r="F502" s="53"/>
      <c r="G502" s="53"/>
      <c r="H502" s="53"/>
      <c r="I502" s="171"/>
      <c r="J502" s="170"/>
      <c r="K502" s="53"/>
      <c r="L502" s="53"/>
      <c r="M502" s="53"/>
      <c r="N502" s="171"/>
      <c r="O502" s="170"/>
      <c r="P502" s="53"/>
      <c r="Q502" s="53"/>
      <c r="R502" s="53"/>
      <c r="S502" s="171"/>
      <c r="T502" s="170"/>
      <c r="U502" s="53"/>
      <c r="V502" s="53"/>
      <c r="W502" s="53"/>
      <c r="X502" s="171"/>
      <c r="Y502" s="170"/>
      <c r="Z502" s="170"/>
      <c r="AA502" s="170"/>
      <c r="AB502" s="170"/>
      <c r="AC502" s="170"/>
      <c r="AD502" s="53"/>
      <c r="AE502" s="53"/>
    </row>
    <row r="503">
      <c r="A503" s="53"/>
      <c r="B503" s="53"/>
      <c r="C503" s="168"/>
      <c r="D503" s="169"/>
      <c r="E503" s="170"/>
      <c r="F503" s="53"/>
      <c r="G503" s="53"/>
      <c r="H503" s="53"/>
      <c r="I503" s="171"/>
      <c r="J503" s="170"/>
      <c r="K503" s="53"/>
      <c r="L503" s="53"/>
      <c r="M503" s="53"/>
      <c r="N503" s="171"/>
      <c r="O503" s="170"/>
      <c r="P503" s="53"/>
      <c r="Q503" s="53"/>
      <c r="R503" s="53"/>
      <c r="S503" s="171"/>
      <c r="T503" s="170"/>
      <c r="U503" s="53"/>
      <c r="V503" s="53"/>
      <c r="W503" s="53"/>
      <c r="X503" s="171"/>
      <c r="Y503" s="170"/>
      <c r="Z503" s="170"/>
      <c r="AA503" s="170"/>
      <c r="AB503" s="170"/>
      <c r="AC503" s="170"/>
      <c r="AD503" s="53"/>
      <c r="AE503" s="53"/>
    </row>
    <row r="504">
      <c r="A504" s="53"/>
      <c r="B504" s="53"/>
      <c r="C504" s="168"/>
      <c r="D504" s="169"/>
      <c r="E504" s="170"/>
      <c r="F504" s="53"/>
      <c r="G504" s="53"/>
      <c r="H504" s="53"/>
      <c r="I504" s="171"/>
      <c r="J504" s="170"/>
      <c r="K504" s="53"/>
      <c r="L504" s="53"/>
      <c r="M504" s="53"/>
      <c r="N504" s="171"/>
      <c r="O504" s="170"/>
      <c r="P504" s="53"/>
      <c r="Q504" s="53"/>
      <c r="R504" s="53"/>
      <c r="S504" s="171"/>
      <c r="T504" s="170"/>
      <c r="U504" s="53"/>
      <c r="V504" s="53"/>
      <c r="W504" s="53"/>
      <c r="X504" s="171"/>
      <c r="Y504" s="170"/>
      <c r="Z504" s="170"/>
      <c r="AA504" s="170"/>
      <c r="AB504" s="170"/>
      <c r="AC504" s="170"/>
      <c r="AD504" s="53"/>
      <c r="AE504" s="53"/>
    </row>
    <row r="505">
      <c r="A505" s="53"/>
      <c r="B505" s="53"/>
      <c r="C505" s="168"/>
      <c r="D505" s="169"/>
      <c r="E505" s="170"/>
      <c r="F505" s="53"/>
      <c r="G505" s="53"/>
      <c r="H505" s="53"/>
      <c r="I505" s="171"/>
      <c r="J505" s="170"/>
      <c r="K505" s="53"/>
      <c r="L505" s="53"/>
      <c r="M505" s="53"/>
      <c r="N505" s="171"/>
      <c r="O505" s="170"/>
      <c r="P505" s="53"/>
      <c r="Q505" s="53"/>
      <c r="R505" s="53"/>
      <c r="S505" s="171"/>
      <c r="T505" s="170"/>
      <c r="U505" s="53"/>
      <c r="V505" s="53"/>
      <c r="W505" s="53"/>
      <c r="X505" s="171"/>
      <c r="Y505" s="170"/>
      <c r="Z505" s="170"/>
      <c r="AA505" s="170"/>
      <c r="AB505" s="170"/>
      <c r="AC505" s="170"/>
      <c r="AD505" s="53"/>
      <c r="AE505" s="53"/>
    </row>
    <row r="506">
      <c r="A506" s="53"/>
      <c r="B506" s="53"/>
      <c r="C506" s="168"/>
      <c r="D506" s="169"/>
      <c r="E506" s="170"/>
      <c r="F506" s="53"/>
      <c r="G506" s="53"/>
      <c r="H506" s="53"/>
      <c r="I506" s="171"/>
      <c r="J506" s="170"/>
      <c r="K506" s="53"/>
      <c r="L506" s="53"/>
      <c r="M506" s="53"/>
      <c r="N506" s="171"/>
      <c r="O506" s="170"/>
      <c r="P506" s="53"/>
      <c r="Q506" s="53"/>
      <c r="R506" s="53"/>
      <c r="S506" s="171"/>
      <c r="T506" s="170"/>
      <c r="U506" s="53"/>
      <c r="V506" s="53"/>
      <c r="W506" s="53"/>
      <c r="X506" s="171"/>
      <c r="Y506" s="170"/>
      <c r="Z506" s="170"/>
      <c r="AA506" s="170"/>
      <c r="AB506" s="170"/>
      <c r="AC506" s="170"/>
      <c r="AD506" s="53"/>
      <c r="AE506" s="53"/>
    </row>
    <row r="507">
      <c r="A507" s="53"/>
      <c r="B507" s="53"/>
      <c r="C507" s="168"/>
      <c r="D507" s="169"/>
      <c r="E507" s="170"/>
      <c r="F507" s="53"/>
      <c r="G507" s="53"/>
      <c r="H507" s="53"/>
      <c r="I507" s="171"/>
      <c r="J507" s="170"/>
      <c r="K507" s="53"/>
      <c r="L507" s="53"/>
      <c r="M507" s="53"/>
      <c r="N507" s="171"/>
      <c r="O507" s="170"/>
      <c r="P507" s="53"/>
      <c r="Q507" s="53"/>
      <c r="R507" s="53"/>
      <c r="S507" s="171"/>
      <c r="T507" s="170"/>
      <c r="U507" s="53"/>
      <c r="V507" s="53"/>
      <c r="W507" s="53"/>
      <c r="X507" s="171"/>
      <c r="Y507" s="170"/>
      <c r="Z507" s="170"/>
      <c r="AA507" s="170"/>
      <c r="AB507" s="170"/>
      <c r="AC507" s="170"/>
      <c r="AD507" s="53"/>
      <c r="AE507" s="53"/>
    </row>
    <row r="508">
      <c r="A508" s="53"/>
      <c r="B508" s="53"/>
      <c r="C508" s="168"/>
      <c r="D508" s="169"/>
      <c r="E508" s="170"/>
      <c r="F508" s="53"/>
      <c r="G508" s="53"/>
      <c r="H508" s="53"/>
      <c r="I508" s="171"/>
      <c r="J508" s="170"/>
      <c r="K508" s="53"/>
      <c r="L508" s="53"/>
      <c r="M508" s="53"/>
      <c r="N508" s="171"/>
      <c r="O508" s="170"/>
      <c r="P508" s="53"/>
      <c r="Q508" s="53"/>
      <c r="R508" s="53"/>
      <c r="S508" s="171"/>
      <c r="T508" s="170"/>
      <c r="U508" s="53"/>
      <c r="V508" s="53"/>
      <c r="W508" s="53"/>
      <c r="X508" s="171"/>
      <c r="Y508" s="170"/>
      <c r="Z508" s="170"/>
      <c r="AA508" s="170"/>
      <c r="AB508" s="170"/>
      <c r="AC508" s="170"/>
      <c r="AD508" s="53"/>
      <c r="AE508" s="53"/>
    </row>
    <row r="509">
      <c r="A509" s="53"/>
      <c r="B509" s="53"/>
      <c r="C509" s="168"/>
      <c r="D509" s="169"/>
      <c r="E509" s="170"/>
      <c r="F509" s="53"/>
      <c r="G509" s="53"/>
      <c r="H509" s="53"/>
      <c r="I509" s="171"/>
      <c r="J509" s="170"/>
      <c r="K509" s="53"/>
      <c r="L509" s="53"/>
      <c r="M509" s="53"/>
      <c r="N509" s="171"/>
      <c r="O509" s="170"/>
      <c r="P509" s="53"/>
      <c r="Q509" s="53"/>
      <c r="R509" s="53"/>
      <c r="S509" s="171"/>
      <c r="T509" s="170"/>
      <c r="U509" s="53"/>
      <c r="V509" s="53"/>
      <c r="W509" s="53"/>
      <c r="X509" s="171"/>
      <c r="Y509" s="170"/>
      <c r="Z509" s="170"/>
      <c r="AA509" s="170"/>
      <c r="AB509" s="170"/>
      <c r="AC509" s="170"/>
      <c r="AD509" s="53"/>
      <c r="AE509" s="53"/>
    </row>
    <row r="510">
      <c r="A510" s="53"/>
      <c r="B510" s="53"/>
      <c r="C510" s="168"/>
      <c r="D510" s="169"/>
      <c r="E510" s="170"/>
      <c r="F510" s="53"/>
      <c r="G510" s="53"/>
      <c r="H510" s="53"/>
      <c r="I510" s="171"/>
      <c r="J510" s="170"/>
      <c r="K510" s="53"/>
      <c r="L510" s="53"/>
      <c r="M510" s="53"/>
      <c r="N510" s="171"/>
      <c r="O510" s="170"/>
      <c r="P510" s="53"/>
      <c r="Q510" s="53"/>
      <c r="R510" s="53"/>
      <c r="S510" s="171"/>
      <c r="T510" s="170"/>
      <c r="U510" s="53"/>
      <c r="V510" s="53"/>
      <c r="W510" s="53"/>
      <c r="X510" s="171"/>
      <c r="Y510" s="170"/>
      <c r="Z510" s="170"/>
      <c r="AA510" s="170"/>
      <c r="AB510" s="170"/>
      <c r="AC510" s="170"/>
      <c r="AD510" s="53"/>
      <c r="AE510" s="53"/>
    </row>
    <row r="511">
      <c r="A511" s="53"/>
      <c r="B511" s="53"/>
      <c r="C511" s="168"/>
      <c r="D511" s="169"/>
      <c r="E511" s="170"/>
      <c r="F511" s="53"/>
      <c r="G511" s="53"/>
      <c r="H511" s="53"/>
      <c r="I511" s="171"/>
      <c r="J511" s="170"/>
      <c r="K511" s="53"/>
      <c r="L511" s="53"/>
      <c r="M511" s="53"/>
      <c r="N511" s="171"/>
      <c r="O511" s="170"/>
      <c r="P511" s="53"/>
      <c r="Q511" s="53"/>
      <c r="R511" s="53"/>
      <c r="S511" s="171"/>
      <c r="T511" s="170"/>
      <c r="U511" s="53"/>
      <c r="V511" s="53"/>
      <c r="W511" s="53"/>
      <c r="X511" s="171"/>
      <c r="Y511" s="170"/>
      <c r="Z511" s="170"/>
      <c r="AA511" s="170"/>
      <c r="AB511" s="170"/>
      <c r="AC511" s="170"/>
      <c r="AD511" s="53"/>
      <c r="AE511" s="53"/>
    </row>
    <row r="512">
      <c r="A512" s="53"/>
      <c r="B512" s="53"/>
      <c r="C512" s="168"/>
      <c r="D512" s="169"/>
      <c r="E512" s="170"/>
      <c r="F512" s="53"/>
      <c r="G512" s="53"/>
      <c r="H512" s="53"/>
      <c r="I512" s="171"/>
      <c r="J512" s="170"/>
      <c r="K512" s="53"/>
      <c r="L512" s="53"/>
      <c r="M512" s="53"/>
      <c r="N512" s="171"/>
      <c r="O512" s="170"/>
      <c r="P512" s="53"/>
      <c r="Q512" s="53"/>
      <c r="R512" s="53"/>
      <c r="S512" s="171"/>
      <c r="T512" s="170"/>
      <c r="U512" s="53"/>
      <c r="V512" s="53"/>
      <c r="W512" s="53"/>
      <c r="X512" s="171"/>
      <c r="Y512" s="170"/>
      <c r="Z512" s="170"/>
      <c r="AA512" s="170"/>
      <c r="AB512" s="170"/>
      <c r="AC512" s="170"/>
      <c r="AD512" s="53"/>
      <c r="AE512" s="53"/>
    </row>
    <row r="513">
      <c r="A513" s="53"/>
      <c r="B513" s="53"/>
      <c r="C513" s="168"/>
      <c r="D513" s="169"/>
      <c r="E513" s="170"/>
      <c r="F513" s="53"/>
      <c r="G513" s="53"/>
      <c r="H513" s="53"/>
      <c r="I513" s="171"/>
      <c r="J513" s="170"/>
      <c r="K513" s="53"/>
      <c r="L513" s="53"/>
      <c r="M513" s="53"/>
      <c r="N513" s="171"/>
      <c r="O513" s="170"/>
      <c r="P513" s="53"/>
      <c r="Q513" s="53"/>
      <c r="R513" s="53"/>
      <c r="S513" s="171"/>
      <c r="T513" s="170"/>
      <c r="U513" s="53"/>
      <c r="V513" s="53"/>
      <c r="W513" s="53"/>
      <c r="X513" s="171"/>
      <c r="Y513" s="170"/>
      <c r="Z513" s="170"/>
      <c r="AA513" s="170"/>
      <c r="AB513" s="170"/>
      <c r="AC513" s="170"/>
      <c r="AD513" s="53"/>
      <c r="AE513" s="53"/>
    </row>
    <row r="514">
      <c r="A514" s="53"/>
      <c r="B514" s="53"/>
      <c r="C514" s="168"/>
      <c r="D514" s="169"/>
      <c r="E514" s="170"/>
      <c r="F514" s="53"/>
      <c r="G514" s="53"/>
      <c r="H514" s="53"/>
      <c r="I514" s="171"/>
      <c r="J514" s="170"/>
      <c r="K514" s="53"/>
      <c r="L514" s="53"/>
      <c r="M514" s="53"/>
      <c r="N514" s="171"/>
      <c r="O514" s="170"/>
      <c r="P514" s="53"/>
      <c r="Q514" s="53"/>
      <c r="R514" s="53"/>
      <c r="S514" s="171"/>
      <c r="T514" s="170"/>
      <c r="U514" s="53"/>
      <c r="V514" s="53"/>
      <c r="W514" s="53"/>
      <c r="X514" s="171"/>
      <c r="Y514" s="170"/>
      <c r="Z514" s="170"/>
      <c r="AA514" s="170"/>
      <c r="AB514" s="170"/>
      <c r="AC514" s="170"/>
      <c r="AD514" s="53"/>
      <c r="AE514" s="53"/>
    </row>
    <row r="515">
      <c r="A515" s="53"/>
      <c r="B515" s="53"/>
      <c r="C515" s="168"/>
      <c r="D515" s="169"/>
      <c r="E515" s="170"/>
      <c r="F515" s="53"/>
      <c r="G515" s="53"/>
      <c r="H515" s="53"/>
      <c r="I515" s="171"/>
      <c r="J515" s="170"/>
      <c r="K515" s="53"/>
      <c r="L515" s="53"/>
      <c r="M515" s="53"/>
      <c r="N515" s="171"/>
      <c r="O515" s="170"/>
      <c r="P515" s="53"/>
      <c r="Q515" s="53"/>
      <c r="R515" s="53"/>
      <c r="S515" s="171"/>
      <c r="T515" s="170"/>
      <c r="U515" s="53"/>
      <c r="V515" s="53"/>
      <c r="W515" s="53"/>
      <c r="X515" s="171"/>
      <c r="Y515" s="170"/>
      <c r="Z515" s="170"/>
      <c r="AA515" s="170"/>
      <c r="AB515" s="170"/>
      <c r="AC515" s="170"/>
      <c r="AD515" s="53"/>
      <c r="AE515" s="53"/>
    </row>
    <row r="516">
      <c r="A516" s="53"/>
      <c r="B516" s="53"/>
      <c r="C516" s="168"/>
      <c r="D516" s="169"/>
      <c r="E516" s="170"/>
      <c r="F516" s="53"/>
      <c r="G516" s="53"/>
      <c r="H516" s="53"/>
      <c r="I516" s="171"/>
      <c r="J516" s="170"/>
      <c r="K516" s="53"/>
      <c r="L516" s="53"/>
      <c r="M516" s="53"/>
      <c r="N516" s="171"/>
      <c r="O516" s="170"/>
      <c r="P516" s="53"/>
      <c r="Q516" s="53"/>
      <c r="R516" s="53"/>
      <c r="S516" s="171"/>
      <c r="T516" s="170"/>
      <c r="U516" s="53"/>
      <c r="V516" s="53"/>
      <c r="W516" s="53"/>
      <c r="X516" s="171"/>
      <c r="Y516" s="170"/>
      <c r="Z516" s="170"/>
      <c r="AA516" s="170"/>
      <c r="AB516" s="170"/>
      <c r="AC516" s="170"/>
      <c r="AD516" s="53"/>
      <c r="AE516" s="53"/>
    </row>
    <row r="517">
      <c r="A517" s="53"/>
      <c r="B517" s="53"/>
      <c r="C517" s="168"/>
      <c r="D517" s="169"/>
      <c r="E517" s="170"/>
      <c r="F517" s="53"/>
      <c r="G517" s="53"/>
      <c r="H517" s="53"/>
      <c r="I517" s="171"/>
      <c r="J517" s="170"/>
      <c r="K517" s="53"/>
      <c r="L517" s="53"/>
      <c r="M517" s="53"/>
      <c r="N517" s="171"/>
      <c r="O517" s="170"/>
      <c r="P517" s="53"/>
      <c r="Q517" s="53"/>
      <c r="R517" s="53"/>
      <c r="S517" s="171"/>
      <c r="T517" s="170"/>
      <c r="U517" s="53"/>
      <c r="V517" s="53"/>
      <c r="W517" s="53"/>
      <c r="X517" s="171"/>
      <c r="Y517" s="170"/>
      <c r="Z517" s="170"/>
      <c r="AA517" s="170"/>
      <c r="AB517" s="170"/>
      <c r="AC517" s="170"/>
      <c r="AD517" s="53"/>
      <c r="AE517" s="53"/>
    </row>
    <row r="518">
      <c r="A518" s="53"/>
      <c r="B518" s="53"/>
      <c r="C518" s="168"/>
      <c r="D518" s="169"/>
      <c r="E518" s="170"/>
      <c r="F518" s="53"/>
      <c r="G518" s="53"/>
      <c r="H518" s="53"/>
      <c r="I518" s="171"/>
      <c r="J518" s="170"/>
      <c r="K518" s="53"/>
      <c r="L518" s="53"/>
      <c r="M518" s="53"/>
      <c r="N518" s="171"/>
      <c r="O518" s="170"/>
      <c r="P518" s="53"/>
      <c r="Q518" s="53"/>
      <c r="R518" s="53"/>
      <c r="S518" s="171"/>
      <c r="T518" s="170"/>
      <c r="U518" s="53"/>
      <c r="V518" s="53"/>
      <c r="W518" s="53"/>
      <c r="X518" s="171"/>
      <c r="Y518" s="170"/>
      <c r="Z518" s="170"/>
      <c r="AA518" s="170"/>
      <c r="AB518" s="170"/>
      <c r="AC518" s="170"/>
      <c r="AD518" s="53"/>
      <c r="AE518" s="53"/>
    </row>
    <row r="519">
      <c r="A519" s="53"/>
      <c r="B519" s="53"/>
      <c r="C519" s="168"/>
      <c r="D519" s="169"/>
      <c r="E519" s="170"/>
      <c r="F519" s="53"/>
      <c r="G519" s="53"/>
      <c r="H519" s="53"/>
      <c r="I519" s="171"/>
      <c r="J519" s="170"/>
      <c r="K519" s="53"/>
      <c r="L519" s="53"/>
      <c r="M519" s="53"/>
      <c r="N519" s="171"/>
      <c r="O519" s="170"/>
      <c r="P519" s="53"/>
      <c r="Q519" s="53"/>
      <c r="R519" s="53"/>
      <c r="S519" s="171"/>
      <c r="T519" s="170"/>
      <c r="U519" s="53"/>
      <c r="V519" s="53"/>
      <c r="W519" s="53"/>
      <c r="X519" s="171"/>
      <c r="Y519" s="170"/>
      <c r="Z519" s="170"/>
      <c r="AA519" s="170"/>
      <c r="AB519" s="170"/>
      <c r="AC519" s="170"/>
      <c r="AD519" s="53"/>
      <c r="AE519" s="53"/>
    </row>
    <row r="520">
      <c r="A520" s="53"/>
      <c r="B520" s="53"/>
      <c r="C520" s="168"/>
      <c r="D520" s="169"/>
      <c r="E520" s="170"/>
      <c r="F520" s="53"/>
      <c r="G520" s="53"/>
      <c r="H520" s="53"/>
      <c r="I520" s="171"/>
      <c r="J520" s="170"/>
      <c r="K520" s="53"/>
      <c r="L520" s="53"/>
      <c r="M520" s="53"/>
      <c r="N520" s="171"/>
      <c r="O520" s="170"/>
      <c r="P520" s="53"/>
      <c r="Q520" s="53"/>
      <c r="R520" s="53"/>
      <c r="S520" s="171"/>
      <c r="T520" s="170"/>
      <c r="U520" s="53"/>
      <c r="V520" s="53"/>
      <c r="W520" s="53"/>
      <c r="X520" s="171"/>
      <c r="Y520" s="170"/>
      <c r="Z520" s="170"/>
      <c r="AA520" s="170"/>
      <c r="AB520" s="170"/>
      <c r="AC520" s="170"/>
      <c r="AD520" s="53"/>
      <c r="AE520" s="53"/>
    </row>
    <row r="521">
      <c r="A521" s="53"/>
      <c r="B521" s="53"/>
      <c r="C521" s="168"/>
      <c r="D521" s="169"/>
      <c r="E521" s="170"/>
      <c r="F521" s="53"/>
      <c r="G521" s="53"/>
      <c r="H521" s="53"/>
      <c r="I521" s="171"/>
      <c r="J521" s="170"/>
      <c r="K521" s="53"/>
      <c r="L521" s="53"/>
      <c r="M521" s="53"/>
      <c r="N521" s="171"/>
      <c r="O521" s="170"/>
      <c r="P521" s="53"/>
      <c r="Q521" s="53"/>
      <c r="R521" s="53"/>
      <c r="S521" s="171"/>
      <c r="T521" s="170"/>
      <c r="U521" s="53"/>
      <c r="V521" s="53"/>
      <c r="W521" s="53"/>
      <c r="X521" s="171"/>
      <c r="Y521" s="170"/>
      <c r="Z521" s="170"/>
      <c r="AA521" s="170"/>
      <c r="AB521" s="170"/>
      <c r="AC521" s="170"/>
      <c r="AD521" s="53"/>
      <c r="AE521" s="53"/>
    </row>
    <row r="522">
      <c r="A522" s="53"/>
      <c r="B522" s="53"/>
      <c r="C522" s="168"/>
      <c r="D522" s="169"/>
      <c r="E522" s="170"/>
      <c r="F522" s="53"/>
      <c r="G522" s="53"/>
      <c r="H522" s="53"/>
      <c r="I522" s="171"/>
      <c r="J522" s="170"/>
      <c r="K522" s="53"/>
      <c r="L522" s="53"/>
      <c r="M522" s="53"/>
      <c r="N522" s="171"/>
      <c r="O522" s="170"/>
      <c r="P522" s="53"/>
      <c r="Q522" s="53"/>
      <c r="R522" s="53"/>
      <c r="S522" s="171"/>
      <c r="T522" s="170"/>
      <c r="U522" s="53"/>
      <c r="V522" s="53"/>
      <c r="W522" s="53"/>
      <c r="X522" s="171"/>
      <c r="Y522" s="170"/>
      <c r="Z522" s="170"/>
      <c r="AA522" s="170"/>
      <c r="AB522" s="170"/>
      <c r="AC522" s="170"/>
      <c r="AD522" s="53"/>
      <c r="AE522" s="53"/>
    </row>
    <row r="523">
      <c r="A523" s="53"/>
      <c r="B523" s="53"/>
      <c r="C523" s="168"/>
      <c r="D523" s="169"/>
      <c r="E523" s="170"/>
      <c r="F523" s="53"/>
      <c r="G523" s="53"/>
      <c r="H523" s="53"/>
      <c r="I523" s="171"/>
      <c r="J523" s="170"/>
      <c r="K523" s="53"/>
      <c r="L523" s="53"/>
      <c r="M523" s="53"/>
      <c r="N523" s="171"/>
      <c r="O523" s="170"/>
      <c r="P523" s="53"/>
      <c r="Q523" s="53"/>
      <c r="R523" s="53"/>
      <c r="S523" s="171"/>
      <c r="T523" s="170"/>
      <c r="U523" s="53"/>
      <c r="V523" s="53"/>
      <c r="W523" s="53"/>
      <c r="X523" s="171"/>
      <c r="Y523" s="170"/>
      <c r="Z523" s="170"/>
      <c r="AA523" s="170"/>
      <c r="AB523" s="170"/>
      <c r="AC523" s="170"/>
      <c r="AD523" s="53"/>
      <c r="AE523" s="53"/>
    </row>
    <row r="524">
      <c r="A524" s="53"/>
      <c r="B524" s="53"/>
      <c r="C524" s="168"/>
      <c r="D524" s="169"/>
      <c r="E524" s="170"/>
      <c r="F524" s="53"/>
      <c r="G524" s="53"/>
      <c r="H524" s="53"/>
      <c r="I524" s="171"/>
      <c r="J524" s="170"/>
      <c r="K524" s="53"/>
      <c r="L524" s="53"/>
      <c r="M524" s="53"/>
      <c r="N524" s="171"/>
      <c r="O524" s="170"/>
      <c r="P524" s="53"/>
      <c r="Q524" s="53"/>
      <c r="R524" s="53"/>
      <c r="S524" s="171"/>
      <c r="T524" s="170"/>
      <c r="U524" s="53"/>
      <c r="V524" s="53"/>
      <c r="W524" s="53"/>
      <c r="X524" s="171"/>
      <c r="Y524" s="170"/>
      <c r="Z524" s="170"/>
      <c r="AA524" s="170"/>
      <c r="AB524" s="170"/>
      <c r="AC524" s="170"/>
      <c r="AD524" s="53"/>
      <c r="AE524" s="53"/>
    </row>
    <row r="525">
      <c r="A525" s="53"/>
      <c r="B525" s="53"/>
      <c r="C525" s="168"/>
      <c r="D525" s="169"/>
      <c r="E525" s="170"/>
      <c r="F525" s="53"/>
      <c r="G525" s="53"/>
      <c r="H525" s="53"/>
      <c r="I525" s="171"/>
      <c r="J525" s="170"/>
      <c r="K525" s="53"/>
      <c r="L525" s="53"/>
      <c r="M525" s="53"/>
      <c r="N525" s="171"/>
      <c r="O525" s="170"/>
      <c r="P525" s="53"/>
      <c r="Q525" s="53"/>
      <c r="R525" s="53"/>
      <c r="S525" s="171"/>
      <c r="T525" s="170"/>
      <c r="U525" s="53"/>
      <c r="V525" s="53"/>
      <c r="W525" s="53"/>
      <c r="X525" s="171"/>
      <c r="Y525" s="170"/>
      <c r="Z525" s="170"/>
      <c r="AA525" s="170"/>
      <c r="AB525" s="170"/>
      <c r="AC525" s="170"/>
      <c r="AD525" s="53"/>
      <c r="AE525" s="53"/>
    </row>
    <row r="526">
      <c r="A526" s="53"/>
      <c r="B526" s="53"/>
      <c r="C526" s="168"/>
      <c r="D526" s="169"/>
      <c r="E526" s="170"/>
      <c r="F526" s="53"/>
      <c r="G526" s="53"/>
      <c r="H526" s="53"/>
      <c r="I526" s="171"/>
      <c r="J526" s="170"/>
      <c r="K526" s="53"/>
      <c r="L526" s="53"/>
      <c r="M526" s="53"/>
      <c r="N526" s="171"/>
      <c r="O526" s="170"/>
      <c r="P526" s="53"/>
      <c r="Q526" s="53"/>
      <c r="R526" s="53"/>
      <c r="S526" s="171"/>
      <c r="T526" s="170"/>
      <c r="U526" s="53"/>
      <c r="V526" s="53"/>
      <c r="W526" s="53"/>
      <c r="X526" s="171"/>
      <c r="Y526" s="170"/>
      <c r="Z526" s="170"/>
      <c r="AA526" s="170"/>
      <c r="AB526" s="170"/>
      <c r="AC526" s="170"/>
      <c r="AD526" s="53"/>
      <c r="AE526" s="53"/>
    </row>
    <row r="527">
      <c r="A527" s="53"/>
      <c r="B527" s="53"/>
      <c r="C527" s="168"/>
      <c r="D527" s="169"/>
      <c r="E527" s="170"/>
      <c r="F527" s="53"/>
      <c r="G527" s="53"/>
      <c r="H527" s="53"/>
      <c r="I527" s="171"/>
      <c r="J527" s="170"/>
      <c r="K527" s="53"/>
      <c r="L527" s="53"/>
      <c r="M527" s="53"/>
      <c r="N527" s="171"/>
      <c r="O527" s="170"/>
      <c r="P527" s="53"/>
      <c r="Q527" s="53"/>
      <c r="R527" s="53"/>
      <c r="S527" s="171"/>
      <c r="T527" s="170"/>
      <c r="U527" s="53"/>
      <c r="V527" s="53"/>
      <c r="W527" s="53"/>
      <c r="X527" s="171"/>
      <c r="Y527" s="170"/>
      <c r="Z527" s="170"/>
      <c r="AA527" s="170"/>
      <c r="AB527" s="170"/>
      <c r="AC527" s="170"/>
      <c r="AD527" s="53"/>
      <c r="AE527" s="53"/>
    </row>
    <row r="528">
      <c r="A528" s="53"/>
      <c r="B528" s="53"/>
      <c r="C528" s="168"/>
      <c r="D528" s="169"/>
      <c r="E528" s="170"/>
      <c r="F528" s="53"/>
      <c r="G528" s="53"/>
      <c r="H528" s="53"/>
      <c r="I528" s="171"/>
      <c r="J528" s="170"/>
      <c r="K528" s="53"/>
      <c r="L528" s="53"/>
      <c r="M528" s="53"/>
      <c r="N528" s="171"/>
      <c r="O528" s="170"/>
      <c r="P528" s="53"/>
      <c r="Q528" s="53"/>
      <c r="R528" s="53"/>
      <c r="S528" s="171"/>
      <c r="T528" s="170"/>
      <c r="U528" s="53"/>
      <c r="V528" s="53"/>
      <c r="W528" s="53"/>
      <c r="X528" s="171"/>
      <c r="Y528" s="170"/>
      <c r="Z528" s="170"/>
      <c r="AA528" s="170"/>
      <c r="AB528" s="170"/>
      <c r="AC528" s="170"/>
      <c r="AD528" s="53"/>
      <c r="AE528" s="53"/>
    </row>
    <row r="529">
      <c r="A529" s="53"/>
      <c r="B529" s="53"/>
      <c r="C529" s="168"/>
      <c r="D529" s="169"/>
      <c r="E529" s="170"/>
      <c r="F529" s="53"/>
      <c r="G529" s="53"/>
      <c r="H529" s="53"/>
      <c r="I529" s="171"/>
      <c r="J529" s="170"/>
      <c r="K529" s="53"/>
      <c r="L529" s="53"/>
      <c r="M529" s="53"/>
      <c r="N529" s="171"/>
      <c r="O529" s="170"/>
      <c r="P529" s="53"/>
      <c r="Q529" s="53"/>
      <c r="R529" s="53"/>
      <c r="S529" s="171"/>
      <c r="T529" s="170"/>
      <c r="U529" s="53"/>
      <c r="V529" s="53"/>
      <c r="W529" s="53"/>
      <c r="X529" s="171"/>
      <c r="Y529" s="170"/>
      <c r="Z529" s="170"/>
      <c r="AA529" s="170"/>
      <c r="AB529" s="170"/>
      <c r="AC529" s="170"/>
      <c r="AD529" s="53"/>
      <c r="AE529" s="53"/>
    </row>
    <row r="530">
      <c r="A530" s="53"/>
      <c r="B530" s="53"/>
      <c r="C530" s="168"/>
      <c r="D530" s="169"/>
      <c r="E530" s="170"/>
      <c r="F530" s="53"/>
      <c r="G530" s="53"/>
      <c r="H530" s="53"/>
      <c r="I530" s="171"/>
      <c r="J530" s="170"/>
      <c r="K530" s="53"/>
      <c r="L530" s="53"/>
      <c r="M530" s="53"/>
      <c r="N530" s="171"/>
      <c r="O530" s="170"/>
      <c r="P530" s="53"/>
      <c r="Q530" s="53"/>
      <c r="R530" s="53"/>
      <c r="S530" s="171"/>
      <c r="T530" s="170"/>
      <c r="U530" s="53"/>
      <c r="V530" s="53"/>
      <c r="W530" s="53"/>
      <c r="X530" s="171"/>
      <c r="Y530" s="170"/>
      <c r="Z530" s="170"/>
      <c r="AA530" s="170"/>
      <c r="AB530" s="170"/>
      <c r="AC530" s="170"/>
      <c r="AD530" s="53"/>
      <c r="AE530" s="53"/>
    </row>
    <row r="531">
      <c r="A531" s="53"/>
      <c r="B531" s="53"/>
      <c r="C531" s="168"/>
      <c r="D531" s="169"/>
      <c r="E531" s="170"/>
      <c r="F531" s="53"/>
      <c r="G531" s="53"/>
      <c r="H531" s="53"/>
      <c r="I531" s="171"/>
      <c r="J531" s="170"/>
      <c r="K531" s="53"/>
      <c r="L531" s="53"/>
      <c r="M531" s="53"/>
      <c r="N531" s="171"/>
      <c r="O531" s="170"/>
      <c r="P531" s="53"/>
      <c r="Q531" s="53"/>
      <c r="R531" s="53"/>
      <c r="S531" s="171"/>
      <c r="T531" s="170"/>
      <c r="U531" s="53"/>
      <c r="V531" s="53"/>
      <c r="W531" s="53"/>
      <c r="X531" s="171"/>
      <c r="Y531" s="170"/>
      <c r="Z531" s="170"/>
      <c r="AA531" s="170"/>
      <c r="AB531" s="170"/>
      <c r="AC531" s="170"/>
      <c r="AD531" s="53"/>
      <c r="AE531" s="53"/>
    </row>
    <row r="532">
      <c r="A532" s="53"/>
      <c r="B532" s="53"/>
      <c r="C532" s="168"/>
      <c r="D532" s="169"/>
      <c r="E532" s="170"/>
      <c r="F532" s="53"/>
      <c r="G532" s="53"/>
      <c r="H532" s="53"/>
      <c r="I532" s="171"/>
      <c r="J532" s="170"/>
      <c r="K532" s="53"/>
      <c r="L532" s="53"/>
      <c r="M532" s="53"/>
      <c r="N532" s="171"/>
      <c r="O532" s="170"/>
      <c r="P532" s="53"/>
      <c r="Q532" s="53"/>
      <c r="R532" s="53"/>
      <c r="S532" s="171"/>
      <c r="T532" s="170"/>
      <c r="U532" s="53"/>
      <c r="V532" s="53"/>
      <c r="W532" s="53"/>
      <c r="X532" s="171"/>
      <c r="Y532" s="170"/>
      <c r="Z532" s="170"/>
      <c r="AA532" s="170"/>
      <c r="AB532" s="170"/>
      <c r="AC532" s="170"/>
      <c r="AD532" s="53"/>
      <c r="AE532" s="53"/>
    </row>
    <row r="533">
      <c r="A533" s="53"/>
      <c r="B533" s="53"/>
      <c r="C533" s="168"/>
      <c r="D533" s="169"/>
      <c r="E533" s="170"/>
      <c r="F533" s="53"/>
      <c r="G533" s="53"/>
      <c r="H533" s="53"/>
      <c r="I533" s="171"/>
      <c r="J533" s="170"/>
      <c r="K533" s="53"/>
      <c r="L533" s="53"/>
      <c r="M533" s="53"/>
      <c r="N533" s="171"/>
      <c r="O533" s="170"/>
      <c r="P533" s="53"/>
      <c r="Q533" s="53"/>
      <c r="R533" s="53"/>
      <c r="S533" s="171"/>
      <c r="T533" s="170"/>
      <c r="U533" s="53"/>
      <c r="V533" s="53"/>
      <c r="W533" s="53"/>
      <c r="X533" s="171"/>
      <c r="Y533" s="170"/>
      <c r="Z533" s="170"/>
      <c r="AA533" s="170"/>
      <c r="AB533" s="170"/>
      <c r="AC533" s="170"/>
      <c r="AD533" s="53"/>
      <c r="AE533" s="53"/>
    </row>
    <row r="534">
      <c r="A534" s="53"/>
      <c r="B534" s="53"/>
      <c r="C534" s="168"/>
      <c r="D534" s="169"/>
      <c r="E534" s="170"/>
      <c r="F534" s="53"/>
      <c r="G534" s="53"/>
      <c r="H534" s="53"/>
      <c r="I534" s="171"/>
      <c r="J534" s="170"/>
      <c r="K534" s="53"/>
      <c r="L534" s="53"/>
      <c r="M534" s="53"/>
      <c r="N534" s="171"/>
      <c r="O534" s="170"/>
      <c r="P534" s="53"/>
      <c r="Q534" s="53"/>
      <c r="R534" s="53"/>
      <c r="S534" s="171"/>
      <c r="T534" s="170"/>
      <c r="U534" s="53"/>
      <c r="V534" s="53"/>
      <c r="W534" s="53"/>
      <c r="X534" s="171"/>
      <c r="Y534" s="170"/>
      <c r="Z534" s="170"/>
      <c r="AA534" s="170"/>
      <c r="AB534" s="170"/>
      <c r="AC534" s="170"/>
      <c r="AD534" s="53"/>
      <c r="AE534" s="53"/>
    </row>
    <row r="535">
      <c r="A535" s="53"/>
      <c r="B535" s="53"/>
      <c r="C535" s="168"/>
      <c r="D535" s="169"/>
      <c r="E535" s="170"/>
      <c r="F535" s="53"/>
      <c r="G535" s="53"/>
      <c r="H535" s="53"/>
      <c r="I535" s="171"/>
      <c r="J535" s="170"/>
      <c r="K535" s="53"/>
      <c r="L535" s="53"/>
      <c r="M535" s="53"/>
      <c r="N535" s="171"/>
      <c r="O535" s="170"/>
      <c r="P535" s="53"/>
      <c r="Q535" s="53"/>
      <c r="R535" s="53"/>
      <c r="S535" s="171"/>
      <c r="T535" s="170"/>
      <c r="U535" s="53"/>
      <c r="V535" s="53"/>
      <c r="W535" s="53"/>
      <c r="X535" s="171"/>
      <c r="Y535" s="170"/>
      <c r="Z535" s="170"/>
      <c r="AA535" s="170"/>
      <c r="AB535" s="170"/>
      <c r="AC535" s="170"/>
      <c r="AD535" s="53"/>
      <c r="AE535" s="53"/>
    </row>
    <row r="536">
      <c r="A536" s="53"/>
      <c r="B536" s="53"/>
      <c r="C536" s="168"/>
      <c r="D536" s="169"/>
      <c r="E536" s="170"/>
      <c r="F536" s="53"/>
      <c r="G536" s="53"/>
      <c r="H536" s="53"/>
      <c r="I536" s="171"/>
      <c r="J536" s="170"/>
      <c r="K536" s="53"/>
      <c r="L536" s="53"/>
      <c r="M536" s="53"/>
      <c r="N536" s="171"/>
      <c r="O536" s="170"/>
      <c r="P536" s="53"/>
      <c r="Q536" s="53"/>
      <c r="R536" s="53"/>
      <c r="S536" s="171"/>
      <c r="T536" s="170"/>
      <c r="U536" s="53"/>
      <c r="V536" s="53"/>
      <c r="W536" s="53"/>
      <c r="X536" s="171"/>
      <c r="Y536" s="170"/>
      <c r="Z536" s="170"/>
      <c r="AA536" s="170"/>
      <c r="AB536" s="170"/>
      <c r="AC536" s="170"/>
      <c r="AD536" s="53"/>
      <c r="AE536" s="53"/>
    </row>
    <row r="537">
      <c r="A537" s="53"/>
      <c r="B537" s="53"/>
      <c r="C537" s="168"/>
      <c r="D537" s="169"/>
      <c r="E537" s="170"/>
      <c r="F537" s="53"/>
      <c r="G537" s="53"/>
      <c r="H537" s="53"/>
      <c r="I537" s="171"/>
      <c r="J537" s="170"/>
      <c r="K537" s="53"/>
      <c r="L537" s="53"/>
      <c r="M537" s="53"/>
      <c r="N537" s="171"/>
      <c r="O537" s="170"/>
      <c r="P537" s="53"/>
      <c r="Q537" s="53"/>
      <c r="R537" s="53"/>
      <c r="S537" s="171"/>
      <c r="T537" s="170"/>
      <c r="U537" s="53"/>
      <c r="V537" s="53"/>
      <c r="W537" s="53"/>
      <c r="X537" s="171"/>
      <c r="Y537" s="170"/>
      <c r="Z537" s="170"/>
      <c r="AA537" s="170"/>
      <c r="AB537" s="170"/>
      <c r="AC537" s="170"/>
      <c r="AD537" s="53"/>
      <c r="AE537" s="53"/>
    </row>
    <row r="538">
      <c r="A538" s="53"/>
      <c r="B538" s="53"/>
      <c r="C538" s="168"/>
      <c r="D538" s="169"/>
      <c r="E538" s="170"/>
      <c r="F538" s="53"/>
      <c r="G538" s="53"/>
      <c r="H538" s="53"/>
      <c r="I538" s="171"/>
      <c r="J538" s="170"/>
      <c r="K538" s="53"/>
      <c r="L538" s="53"/>
      <c r="M538" s="53"/>
      <c r="N538" s="171"/>
      <c r="O538" s="170"/>
      <c r="P538" s="53"/>
      <c r="Q538" s="53"/>
      <c r="R538" s="53"/>
      <c r="S538" s="171"/>
      <c r="T538" s="170"/>
      <c r="U538" s="53"/>
      <c r="V538" s="53"/>
      <c r="W538" s="53"/>
      <c r="X538" s="171"/>
      <c r="Y538" s="170"/>
      <c r="Z538" s="170"/>
      <c r="AA538" s="170"/>
      <c r="AB538" s="170"/>
      <c r="AC538" s="170"/>
      <c r="AD538" s="53"/>
      <c r="AE538" s="53"/>
    </row>
    <row r="539">
      <c r="A539" s="53"/>
      <c r="B539" s="53"/>
      <c r="C539" s="168"/>
      <c r="D539" s="169"/>
      <c r="E539" s="170"/>
      <c r="F539" s="53"/>
      <c r="G539" s="53"/>
      <c r="H539" s="53"/>
      <c r="I539" s="171"/>
      <c r="J539" s="170"/>
      <c r="K539" s="53"/>
      <c r="L539" s="53"/>
      <c r="M539" s="53"/>
      <c r="N539" s="171"/>
      <c r="O539" s="170"/>
      <c r="P539" s="53"/>
      <c r="Q539" s="53"/>
      <c r="R539" s="53"/>
      <c r="S539" s="171"/>
      <c r="T539" s="170"/>
      <c r="U539" s="53"/>
      <c r="V539" s="53"/>
      <c r="W539" s="53"/>
      <c r="X539" s="171"/>
      <c r="Y539" s="170"/>
      <c r="Z539" s="170"/>
      <c r="AA539" s="170"/>
      <c r="AB539" s="170"/>
      <c r="AC539" s="170"/>
      <c r="AD539" s="53"/>
      <c r="AE539" s="53"/>
    </row>
    <row r="540">
      <c r="A540" s="53"/>
      <c r="B540" s="53"/>
      <c r="C540" s="168"/>
      <c r="D540" s="169"/>
      <c r="E540" s="170"/>
      <c r="F540" s="53"/>
      <c r="G540" s="53"/>
      <c r="H540" s="53"/>
      <c r="I540" s="171"/>
      <c r="J540" s="170"/>
      <c r="K540" s="53"/>
      <c r="L540" s="53"/>
      <c r="M540" s="53"/>
      <c r="N540" s="171"/>
      <c r="O540" s="170"/>
      <c r="P540" s="53"/>
      <c r="Q540" s="53"/>
      <c r="R540" s="53"/>
      <c r="S540" s="171"/>
      <c r="T540" s="170"/>
      <c r="U540" s="53"/>
      <c r="V540" s="53"/>
      <c r="W540" s="53"/>
      <c r="X540" s="171"/>
      <c r="Y540" s="170"/>
      <c r="Z540" s="170"/>
      <c r="AA540" s="170"/>
      <c r="AB540" s="170"/>
      <c r="AC540" s="170"/>
      <c r="AD540" s="53"/>
      <c r="AE540" s="53"/>
    </row>
    <row r="541">
      <c r="A541" s="53"/>
      <c r="B541" s="53"/>
      <c r="C541" s="168"/>
      <c r="D541" s="169"/>
      <c r="E541" s="170"/>
      <c r="F541" s="53"/>
      <c r="G541" s="53"/>
      <c r="H541" s="53"/>
      <c r="I541" s="171"/>
      <c r="J541" s="170"/>
      <c r="K541" s="53"/>
      <c r="L541" s="53"/>
      <c r="M541" s="53"/>
      <c r="N541" s="171"/>
      <c r="O541" s="170"/>
      <c r="P541" s="53"/>
      <c r="Q541" s="53"/>
      <c r="R541" s="53"/>
      <c r="S541" s="171"/>
      <c r="T541" s="170"/>
      <c r="U541" s="53"/>
      <c r="V541" s="53"/>
      <c r="W541" s="53"/>
      <c r="X541" s="171"/>
      <c r="Y541" s="170"/>
      <c r="Z541" s="170"/>
      <c r="AA541" s="170"/>
      <c r="AB541" s="170"/>
      <c r="AC541" s="170"/>
      <c r="AD541" s="53"/>
      <c r="AE541" s="53"/>
    </row>
    <row r="542">
      <c r="A542" s="53"/>
      <c r="B542" s="53"/>
      <c r="C542" s="168"/>
      <c r="D542" s="169"/>
      <c r="E542" s="170"/>
      <c r="F542" s="53"/>
      <c r="G542" s="53"/>
      <c r="H542" s="53"/>
      <c r="I542" s="171"/>
      <c r="J542" s="170"/>
      <c r="K542" s="53"/>
      <c r="L542" s="53"/>
      <c r="M542" s="53"/>
      <c r="N542" s="171"/>
      <c r="O542" s="170"/>
      <c r="P542" s="53"/>
      <c r="Q542" s="53"/>
      <c r="R542" s="53"/>
      <c r="S542" s="171"/>
      <c r="T542" s="170"/>
      <c r="U542" s="53"/>
      <c r="V542" s="53"/>
      <c r="W542" s="53"/>
      <c r="X542" s="171"/>
      <c r="Y542" s="170"/>
      <c r="Z542" s="170"/>
      <c r="AA542" s="170"/>
      <c r="AB542" s="170"/>
      <c r="AC542" s="170"/>
      <c r="AD542" s="53"/>
      <c r="AE542" s="53"/>
    </row>
    <row r="543">
      <c r="A543" s="53"/>
      <c r="B543" s="53"/>
      <c r="C543" s="168"/>
      <c r="D543" s="169"/>
      <c r="E543" s="170"/>
      <c r="F543" s="53"/>
      <c r="G543" s="53"/>
      <c r="H543" s="53"/>
      <c r="I543" s="171"/>
      <c r="J543" s="170"/>
      <c r="K543" s="53"/>
      <c r="L543" s="53"/>
      <c r="M543" s="53"/>
      <c r="N543" s="171"/>
      <c r="O543" s="170"/>
      <c r="P543" s="53"/>
      <c r="Q543" s="53"/>
      <c r="R543" s="53"/>
      <c r="S543" s="171"/>
      <c r="T543" s="170"/>
      <c r="U543" s="53"/>
      <c r="V543" s="53"/>
      <c r="W543" s="53"/>
      <c r="X543" s="171"/>
      <c r="Y543" s="170"/>
      <c r="Z543" s="170"/>
      <c r="AA543" s="170"/>
      <c r="AB543" s="170"/>
      <c r="AC543" s="170"/>
      <c r="AD543" s="53"/>
      <c r="AE543" s="53"/>
    </row>
    <row r="544">
      <c r="A544" s="53"/>
      <c r="B544" s="53"/>
      <c r="C544" s="168"/>
      <c r="D544" s="169"/>
      <c r="E544" s="170"/>
      <c r="F544" s="53"/>
      <c r="G544" s="53"/>
      <c r="H544" s="53"/>
      <c r="I544" s="171"/>
      <c r="J544" s="170"/>
      <c r="K544" s="53"/>
      <c r="L544" s="53"/>
      <c r="M544" s="53"/>
      <c r="N544" s="171"/>
      <c r="O544" s="170"/>
      <c r="P544" s="53"/>
      <c r="Q544" s="53"/>
      <c r="R544" s="53"/>
      <c r="S544" s="171"/>
      <c r="T544" s="170"/>
      <c r="U544" s="53"/>
      <c r="V544" s="53"/>
      <c r="W544" s="53"/>
      <c r="X544" s="171"/>
      <c r="Y544" s="170"/>
      <c r="Z544" s="170"/>
      <c r="AA544" s="170"/>
      <c r="AB544" s="170"/>
      <c r="AC544" s="170"/>
      <c r="AD544" s="53"/>
      <c r="AE544" s="53"/>
    </row>
    <row r="545">
      <c r="A545" s="53"/>
      <c r="B545" s="53"/>
      <c r="C545" s="168"/>
      <c r="D545" s="169"/>
      <c r="E545" s="170"/>
      <c r="F545" s="53"/>
      <c r="G545" s="53"/>
      <c r="H545" s="53"/>
      <c r="I545" s="171"/>
      <c r="J545" s="170"/>
      <c r="K545" s="53"/>
      <c r="L545" s="53"/>
      <c r="M545" s="53"/>
      <c r="N545" s="171"/>
      <c r="O545" s="170"/>
      <c r="P545" s="53"/>
      <c r="Q545" s="53"/>
      <c r="R545" s="53"/>
      <c r="S545" s="171"/>
      <c r="T545" s="170"/>
      <c r="U545" s="53"/>
      <c r="V545" s="53"/>
      <c r="W545" s="53"/>
      <c r="X545" s="171"/>
      <c r="Y545" s="170"/>
      <c r="Z545" s="170"/>
      <c r="AA545" s="170"/>
      <c r="AB545" s="170"/>
      <c r="AC545" s="170"/>
      <c r="AD545" s="53"/>
      <c r="AE545" s="53"/>
    </row>
    <row r="546">
      <c r="A546" s="53"/>
      <c r="B546" s="53"/>
      <c r="C546" s="168"/>
      <c r="D546" s="169"/>
      <c r="E546" s="170"/>
      <c r="F546" s="53"/>
      <c r="G546" s="53"/>
      <c r="H546" s="53"/>
      <c r="I546" s="171"/>
      <c r="J546" s="170"/>
      <c r="K546" s="53"/>
      <c r="L546" s="53"/>
      <c r="M546" s="53"/>
      <c r="N546" s="171"/>
      <c r="O546" s="170"/>
      <c r="P546" s="53"/>
      <c r="Q546" s="53"/>
      <c r="R546" s="53"/>
      <c r="S546" s="171"/>
      <c r="T546" s="170"/>
      <c r="U546" s="53"/>
      <c r="V546" s="53"/>
      <c r="W546" s="53"/>
      <c r="X546" s="171"/>
      <c r="Y546" s="170"/>
      <c r="Z546" s="170"/>
      <c r="AA546" s="170"/>
      <c r="AB546" s="170"/>
      <c r="AC546" s="170"/>
      <c r="AD546" s="53"/>
      <c r="AE546" s="53"/>
    </row>
    <row r="547">
      <c r="A547" s="53"/>
      <c r="B547" s="53"/>
      <c r="C547" s="168"/>
      <c r="D547" s="169"/>
      <c r="E547" s="170"/>
      <c r="F547" s="53"/>
      <c r="G547" s="53"/>
      <c r="H547" s="53"/>
      <c r="I547" s="171"/>
      <c r="J547" s="170"/>
      <c r="K547" s="53"/>
      <c r="L547" s="53"/>
      <c r="M547" s="53"/>
      <c r="N547" s="171"/>
      <c r="O547" s="170"/>
      <c r="P547" s="53"/>
      <c r="Q547" s="53"/>
      <c r="R547" s="53"/>
      <c r="S547" s="171"/>
      <c r="T547" s="170"/>
      <c r="U547" s="53"/>
      <c r="V547" s="53"/>
      <c r="W547" s="53"/>
      <c r="X547" s="171"/>
      <c r="Y547" s="170"/>
      <c r="Z547" s="170"/>
      <c r="AA547" s="170"/>
      <c r="AB547" s="170"/>
      <c r="AC547" s="170"/>
      <c r="AD547" s="53"/>
      <c r="AE547" s="53"/>
    </row>
    <row r="548">
      <c r="A548" s="53"/>
      <c r="B548" s="53"/>
      <c r="C548" s="168"/>
      <c r="D548" s="169"/>
      <c r="E548" s="170"/>
      <c r="F548" s="53"/>
      <c r="G548" s="53"/>
      <c r="H548" s="53"/>
      <c r="I548" s="171"/>
      <c r="J548" s="170"/>
      <c r="K548" s="53"/>
      <c r="L548" s="53"/>
      <c r="M548" s="53"/>
      <c r="N548" s="171"/>
      <c r="O548" s="170"/>
      <c r="P548" s="53"/>
      <c r="Q548" s="53"/>
      <c r="R548" s="53"/>
      <c r="S548" s="171"/>
      <c r="T548" s="170"/>
      <c r="U548" s="53"/>
      <c r="V548" s="53"/>
      <c r="W548" s="53"/>
      <c r="X548" s="171"/>
      <c r="Y548" s="170"/>
      <c r="Z548" s="170"/>
      <c r="AA548" s="170"/>
      <c r="AB548" s="170"/>
      <c r="AC548" s="170"/>
      <c r="AD548" s="53"/>
      <c r="AE548" s="53"/>
    </row>
    <row r="549">
      <c r="A549" s="53"/>
      <c r="B549" s="53"/>
      <c r="C549" s="168"/>
      <c r="D549" s="169"/>
      <c r="E549" s="170"/>
      <c r="F549" s="53"/>
      <c r="G549" s="53"/>
      <c r="H549" s="53"/>
      <c r="I549" s="171"/>
      <c r="J549" s="170"/>
      <c r="K549" s="53"/>
      <c r="L549" s="53"/>
      <c r="M549" s="53"/>
      <c r="N549" s="171"/>
      <c r="O549" s="170"/>
      <c r="P549" s="53"/>
      <c r="Q549" s="53"/>
      <c r="R549" s="53"/>
      <c r="S549" s="171"/>
      <c r="T549" s="170"/>
      <c r="U549" s="53"/>
      <c r="V549" s="53"/>
      <c r="W549" s="53"/>
      <c r="X549" s="171"/>
      <c r="Y549" s="170"/>
      <c r="Z549" s="170"/>
      <c r="AA549" s="170"/>
      <c r="AB549" s="170"/>
      <c r="AC549" s="170"/>
      <c r="AD549" s="53"/>
      <c r="AE549" s="53"/>
    </row>
    <row r="550">
      <c r="A550" s="53"/>
      <c r="B550" s="53"/>
      <c r="C550" s="168"/>
      <c r="D550" s="169"/>
      <c r="E550" s="170"/>
      <c r="F550" s="53"/>
      <c r="G550" s="53"/>
      <c r="H550" s="53"/>
      <c r="I550" s="171"/>
      <c r="J550" s="170"/>
      <c r="K550" s="53"/>
      <c r="L550" s="53"/>
      <c r="M550" s="53"/>
      <c r="N550" s="171"/>
      <c r="O550" s="170"/>
      <c r="P550" s="53"/>
      <c r="Q550" s="53"/>
      <c r="R550" s="53"/>
      <c r="S550" s="171"/>
      <c r="T550" s="170"/>
      <c r="U550" s="53"/>
      <c r="V550" s="53"/>
      <c r="W550" s="53"/>
      <c r="X550" s="171"/>
      <c r="Y550" s="170"/>
      <c r="Z550" s="170"/>
      <c r="AA550" s="170"/>
      <c r="AB550" s="170"/>
      <c r="AC550" s="170"/>
      <c r="AD550" s="53"/>
      <c r="AE550" s="53"/>
    </row>
    <row r="551">
      <c r="A551" s="53"/>
      <c r="B551" s="53"/>
      <c r="C551" s="168"/>
      <c r="D551" s="169"/>
      <c r="E551" s="170"/>
      <c r="F551" s="53"/>
      <c r="G551" s="53"/>
      <c r="H551" s="53"/>
      <c r="I551" s="171"/>
      <c r="J551" s="170"/>
      <c r="K551" s="53"/>
      <c r="L551" s="53"/>
      <c r="M551" s="53"/>
      <c r="N551" s="171"/>
      <c r="O551" s="170"/>
      <c r="P551" s="53"/>
      <c r="Q551" s="53"/>
      <c r="R551" s="53"/>
      <c r="S551" s="171"/>
      <c r="T551" s="170"/>
      <c r="U551" s="53"/>
      <c r="V551" s="53"/>
      <c r="W551" s="53"/>
      <c r="X551" s="171"/>
      <c r="Y551" s="170"/>
      <c r="Z551" s="170"/>
      <c r="AA551" s="170"/>
      <c r="AB551" s="170"/>
      <c r="AC551" s="170"/>
      <c r="AD551" s="53"/>
      <c r="AE551" s="53"/>
    </row>
    <row r="552">
      <c r="A552" s="53"/>
      <c r="B552" s="53"/>
      <c r="C552" s="168"/>
      <c r="D552" s="169"/>
      <c r="E552" s="170"/>
      <c r="F552" s="53"/>
      <c r="G552" s="53"/>
      <c r="H552" s="53"/>
      <c r="I552" s="171"/>
      <c r="J552" s="170"/>
      <c r="K552" s="53"/>
      <c r="L552" s="53"/>
      <c r="M552" s="53"/>
      <c r="N552" s="171"/>
      <c r="O552" s="170"/>
      <c r="P552" s="53"/>
      <c r="Q552" s="53"/>
      <c r="R552" s="53"/>
      <c r="S552" s="171"/>
      <c r="T552" s="170"/>
      <c r="U552" s="53"/>
      <c r="V552" s="53"/>
      <c r="W552" s="53"/>
      <c r="X552" s="171"/>
      <c r="Y552" s="170"/>
      <c r="Z552" s="170"/>
      <c r="AA552" s="170"/>
      <c r="AB552" s="170"/>
      <c r="AC552" s="170"/>
      <c r="AD552" s="53"/>
      <c r="AE552" s="53"/>
    </row>
    <row r="553">
      <c r="A553" s="53"/>
      <c r="B553" s="53"/>
      <c r="C553" s="168"/>
      <c r="D553" s="169"/>
      <c r="E553" s="170"/>
      <c r="F553" s="53"/>
      <c r="G553" s="53"/>
      <c r="H553" s="53"/>
      <c r="I553" s="171"/>
      <c r="J553" s="170"/>
      <c r="K553" s="53"/>
      <c r="L553" s="53"/>
      <c r="M553" s="53"/>
      <c r="N553" s="171"/>
      <c r="O553" s="170"/>
      <c r="P553" s="53"/>
      <c r="Q553" s="53"/>
      <c r="R553" s="53"/>
      <c r="S553" s="171"/>
      <c r="T553" s="170"/>
      <c r="U553" s="53"/>
      <c r="V553" s="53"/>
      <c r="W553" s="53"/>
      <c r="X553" s="171"/>
      <c r="Y553" s="170"/>
      <c r="Z553" s="170"/>
      <c r="AA553" s="170"/>
      <c r="AB553" s="170"/>
      <c r="AC553" s="170"/>
      <c r="AD553" s="53"/>
      <c r="AE553" s="53"/>
    </row>
    <row r="554">
      <c r="A554" s="53"/>
      <c r="B554" s="53"/>
      <c r="C554" s="168"/>
      <c r="D554" s="169"/>
      <c r="E554" s="170"/>
      <c r="F554" s="53"/>
      <c r="G554" s="53"/>
      <c r="H554" s="53"/>
      <c r="I554" s="171"/>
      <c r="J554" s="170"/>
      <c r="K554" s="53"/>
      <c r="L554" s="53"/>
      <c r="M554" s="53"/>
      <c r="N554" s="171"/>
      <c r="O554" s="170"/>
      <c r="P554" s="53"/>
      <c r="Q554" s="53"/>
      <c r="R554" s="53"/>
      <c r="S554" s="171"/>
      <c r="T554" s="170"/>
      <c r="U554" s="53"/>
      <c r="V554" s="53"/>
      <c r="W554" s="53"/>
      <c r="X554" s="171"/>
      <c r="Y554" s="170"/>
      <c r="Z554" s="170"/>
      <c r="AA554" s="170"/>
      <c r="AB554" s="170"/>
      <c r="AC554" s="170"/>
      <c r="AD554" s="53"/>
      <c r="AE554" s="53"/>
    </row>
    <row r="555">
      <c r="A555" s="53"/>
      <c r="B555" s="53"/>
      <c r="C555" s="168"/>
      <c r="D555" s="169"/>
      <c r="E555" s="170"/>
      <c r="F555" s="53"/>
      <c r="G555" s="53"/>
      <c r="H555" s="53"/>
      <c r="I555" s="171"/>
      <c r="J555" s="170"/>
      <c r="K555" s="53"/>
      <c r="L555" s="53"/>
      <c r="M555" s="53"/>
      <c r="N555" s="171"/>
      <c r="O555" s="170"/>
      <c r="P555" s="53"/>
      <c r="Q555" s="53"/>
      <c r="R555" s="53"/>
      <c r="S555" s="171"/>
      <c r="T555" s="170"/>
      <c r="U555" s="53"/>
      <c r="V555" s="53"/>
      <c r="W555" s="53"/>
      <c r="X555" s="171"/>
      <c r="Y555" s="170"/>
      <c r="Z555" s="170"/>
      <c r="AA555" s="170"/>
      <c r="AB555" s="170"/>
      <c r="AC555" s="170"/>
      <c r="AD555" s="53"/>
      <c r="AE555" s="53"/>
    </row>
    <row r="556">
      <c r="A556" s="53"/>
      <c r="B556" s="53"/>
      <c r="C556" s="168"/>
      <c r="D556" s="169"/>
      <c r="E556" s="170"/>
      <c r="F556" s="53"/>
      <c r="G556" s="53"/>
      <c r="H556" s="53"/>
      <c r="I556" s="171"/>
      <c r="J556" s="170"/>
      <c r="K556" s="53"/>
      <c r="L556" s="53"/>
      <c r="M556" s="53"/>
      <c r="N556" s="171"/>
      <c r="O556" s="170"/>
      <c r="P556" s="53"/>
      <c r="Q556" s="53"/>
      <c r="R556" s="53"/>
      <c r="S556" s="171"/>
      <c r="T556" s="170"/>
      <c r="U556" s="53"/>
      <c r="V556" s="53"/>
      <c r="W556" s="53"/>
      <c r="X556" s="171"/>
      <c r="Y556" s="170"/>
      <c r="Z556" s="170"/>
      <c r="AA556" s="170"/>
      <c r="AB556" s="170"/>
      <c r="AC556" s="170"/>
      <c r="AD556" s="53"/>
      <c r="AE556" s="53"/>
    </row>
    <row r="557">
      <c r="A557" s="53"/>
      <c r="B557" s="53"/>
      <c r="C557" s="168"/>
      <c r="D557" s="169"/>
      <c r="E557" s="170"/>
      <c r="F557" s="53"/>
      <c r="G557" s="53"/>
      <c r="H557" s="53"/>
      <c r="I557" s="171"/>
      <c r="J557" s="170"/>
      <c r="K557" s="53"/>
      <c r="L557" s="53"/>
      <c r="M557" s="53"/>
      <c r="N557" s="171"/>
      <c r="O557" s="170"/>
      <c r="P557" s="53"/>
      <c r="Q557" s="53"/>
      <c r="R557" s="53"/>
      <c r="S557" s="171"/>
      <c r="T557" s="170"/>
      <c r="U557" s="53"/>
      <c r="V557" s="53"/>
      <c r="W557" s="53"/>
      <c r="X557" s="171"/>
      <c r="Y557" s="170"/>
      <c r="Z557" s="170"/>
      <c r="AA557" s="170"/>
      <c r="AB557" s="170"/>
      <c r="AC557" s="170"/>
      <c r="AD557" s="53"/>
      <c r="AE557" s="53"/>
    </row>
    <row r="558">
      <c r="A558" s="53"/>
      <c r="B558" s="53"/>
      <c r="C558" s="168"/>
      <c r="D558" s="169"/>
      <c r="E558" s="170"/>
      <c r="F558" s="53"/>
      <c r="G558" s="53"/>
      <c r="H558" s="53"/>
      <c r="I558" s="171"/>
      <c r="J558" s="170"/>
      <c r="K558" s="53"/>
      <c r="L558" s="53"/>
      <c r="M558" s="53"/>
      <c r="N558" s="171"/>
      <c r="O558" s="170"/>
      <c r="P558" s="53"/>
      <c r="Q558" s="53"/>
      <c r="R558" s="53"/>
      <c r="S558" s="171"/>
      <c r="T558" s="170"/>
      <c r="U558" s="53"/>
      <c r="V558" s="53"/>
      <c r="W558" s="53"/>
      <c r="X558" s="171"/>
      <c r="Y558" s="170"/>
      <c r="Z558" s="170"/>
      <c r="AA558" s="170"/>
      <c r="AB558" s="170"/>
      <c r="AC558" s="170"/>
      <c r="AD558" s="53"/>
      <c r="AE558" s="53"/>
    </row>
    <row r="559">
      <c r="A559" s="53"/>
      <c r="B559" s="53"/>
      <c r="C559" s="168"/>
      <c r="D559" s="169"/>
      <c r="E559" s="170"/>
      <c r="F559" s="53"/>
      <c r="G559" s="53"/>
      <c r="H559" s="53"/>
      <c r="I559" s="171"/>
      <c r="J559" s="170"/>
      <c r="K559" s="53"/>
      <c r="L559" s="53"/>
      <c r="M559" s="53"/>
      <c r="N559" s="171"/>
      <c r="O559" s="170"/>
      <c r="P559" s="53"/>
      <c r="Q559" s="53"/>
      <c r="R559" s="53"/>
      <c r="S559" s="171"/>
      <c r="T559" s="170"/>
      <c r="U559" s="53"/>
      <c r="V559" s="53"/>
      <c r="W559" s="53"/>
      <c r="X559" s="171"/>
      <c r="Y559" s="170"/>
      <c r="Z559" s="170"/>
      <c r="AA559" s="170"/>
      <c r="AB559" s="170"/>
      <c r="AC559" s="170"/>
      <c r="AD559" s="53"/>
      <c r="AE559" s="53"/>
    </row>
    <row r="560">
      <c r="A560" s="53"/>
      <c r="B560" s="53"/>
      <c r="C560" s="168"/>
      <c r="D560" s="169"/>
      <c r="E560" s="170"/>
      <c r="F560" s="53"/>
      <c r="G560" s="53"/>
      <c r="H560" s="53"/>
      <c r="I560" s="171"/>
      <c r="J560" s="170"/>
      <c r="K560" s="53"/>
      <c r="L560" s="53"/>
      <c r="M560" s="53"/>
      <c r="N560" s="171"/>
      <c r="O560" s="170"/>
      <c r="P560" s="53"/>
      <c r="Q560" s="53"/>
      <c r="R560" s="53"/>
      <c r="S560" s="171"/>
      <c r="T560" s="170"/>
      <c r="U560" s="53"/>
      <c r="V560" s="53"/>
      <c r="W560" s="53"/>
      <c r="X560" s="171"/>
      <c r="Y560" s="170"/>
      <c r="Z560" s="170"/>
      <c r="AA560" s="170"/>
      <c r="AB560" s="170"/>
      <c r="AC560" s="170"/>
      <c r="AD560" s="53"/>
      <c r="AE560" s="53"/>
    </row>
    <row r="561">
      <c r="A561" s="53"/>
      <c r="B561" s="53"/>
      <c r="C561" s="168"/>
      <c r="D561" s="169"/>
      <c r="E561" s="170"/>
      <c r="F561" s="53"/>
      <c r="G561" s="53"/>
      <c r="H561" s="53"/>
      <c r="I561" s="171"/>
      <c r="J561" s="170"/>
      <c r="K561" s="53"/>
      <c r="L561" s="53"/>
      <c r="M561" s="53"/>
      <c r="N561" s="171"/>
      <c r="O561" s="170"/>
      <c r="P561" s="53"/>
      <c r="Q561" s="53"/>
      <c r="R561" s="53"/>
      <c r="S561" s="171"/>
      <c r="T561" s="170"/>
      <c r="U561" s="53"/>
      <c r="V561" s="53"/>
      <c r="W561" s="53"/>
      <c r="X561" s="171"/>
      <c r="Y561" s="170"/>
      <c r="Z561" s="170"/>
      <c r="AA561" s="170"/>
      <c r="AB561" s="170"/>
      <c r="AC561" s="170"/>
      <c r="AD561" s="53"/>
      <c r="AE561" s="53"/>
    </row>
    <row r="562">
      <c r="A562" s="53"/>
      <c r="B562" s="53"/>
      <c r="C562" s="168"/>
      <c r="D562" s="169"/>
      <c r="E562" s="170"/>
      <c r="F562" s="53"/>
      <c r="G562" s="53"/>
      <c r="H562" s="53"/>
      <c r="I562" s="171"/>
      <c r="J562" s="170"/>
      <c r="K562" s="53"/>
      <c r="L562" s="53"/>
      <c r="M562" s="53"/>
      <c r="N562" s="171"/>
      <c r="O562" s="170"/>
      <c r="P562" s="53"/>
      <c r="Q562" s="53"/>
      <c r="R562" s="53"/>
      <c r="S562" s="171"/>
      <c r="T562" s="170"/>
      <c r="U562" s="53"/>
      <c r="V562" s="53"/>
      <c r="W562" s="53"/>
      <c r="X562" s="171"/>
      <c r="Y562" s="170"/>
      <c r="Z562" s="170"/>
      <c r="AA562" s="170"/>
      <c r="AB562" s="170"/>
      <c r="AC562" s="170"/>
      <c r="AD562" s="53"/>
      <c r="AE562" s="53"/>
    </row>
    <row r="563">
      <c r="A563" s="53"/>
      <c r="B563" s="53"/>
      <c r="C563" s="168"/>
      <c r="D563" s="169"/>
      <c r="E563" s="170"/>
      <c r="F563" s="53"/>
      <c r="G563" s="53"/>
      <c r="H563" s="53"/>
      <c r="I563" s="171"/>
      <c r="J563" s="170"/>
      <c r="K563" s="53"/>
      <c r="L563" s="53"/>
      <c r="M563" s="53"/>
      <c r="N563" s="171"/>
      <c r="O563" s="170"/>
      <c r="P563" s="53"/>
      <c r="Q563" s="53"/>
      <c r="R563" s="53"/>
      <c r="S563" s="171"/>
      <c r="T563" s="170"/>
      <c r="U563" s="53"/>
      <c r="V563" s="53"/>
      <c r="W563" s="53"/>
      <c r="X563" s="171"/>
      <c r="Y563" s="170"/>
      <c r="Z563" s="170"/>
      <c r="AA563" s="170"/>
      <c r="AB563" s="170"/>
      <c r="AC563" s="170"/>
      <c r="AD563" s="53"/>
      <c r="AE563" s="53"/>
    </row>
    <row r="564">
      <c r="A564" s="53"/>
      <c r="B564" s="53"/>
      <c r="C564" s="168"/>
      <c r="D564" s="169"/>
      <c r="E564" s="170"/>
      <c r="F564" s="53"/>
      <c r="G564" s="53"/>
      <c r="H564" s="53"/>
      <c r="I564" s="171"/>
      <c r="J564" s="170"/>
      <c r="K564" s="53"/>
      <c r="L564" s="53"/>
      <c r="M564" s="53"/>
      <c r="N564" s="171"/>
      <c r="O564" s="170"/>
      <c r="P564" s="53"/>
      <c r="Q564" s="53"/>
      <c r="R564" s="53"/>
      <c r="S564" s="171"/>
      <c r="T564" s="170"/>
      <c r="U564" s="53"/>
      <c r="V564" s="53"/>
      <c r="W564" s="53"/>
      <c r="X564" s="171"/>
      <c r="Y564" s="170"/>
      <c r="Z564" s="170"/>
      <c r="AA564" s="170"/>
      <c r="AB564" s="170"/>
      <c r="AC564" s="170"/>
      <c r="AD564" s="53"/>
      <c r="AE564" s="53"/>
    </row>
    <row r="565">
      <c r="A565" s="53"/>
      <c r="B565" s="53"/>
      <c r="C565" s="168"/>
      <c r="D565" s="169"/>
      <c r="E565" s="170"/>
      <c r="F565" s="53"/>
      <c r="G565" s="53"/>
      <c r="H565" s="53"/>
      <c r="I565" s="171"/>
      <c r="J565" s="170"/>
      <c r="K565" s="53"/>
      <c r="L565" s="53"/>
      <c r="M565" s="53"/>
      <c r="N565" s="171"/>
      <c r="O565" s="170"/>
      <c r="P565" s="53"/>
      <c r="Q565" s="53"/>
      <c r="R565" s="53"/>
      <c r="S565" s="171"/>
      <c r="T565" s="170"/>
      <c r="U565" s="53"/>
      <c r="V565" s="53"/>
      <c r="W565" s="53"/>
      <c r="X565" s="171"/>
      <c r="Y565" s="170"/>
      <c r="Z565" s="170"/>
      <c r="AA565" s="170"/>
      <c r="AB565" s="170"/>
      <c r="AC565" s="170"/>
      <c r="AD565" s="53"/>
      <c r="AE565" s="53"/>
    </row>
    <row r="566">
      <c r="A566" s="53"/>
      <c r="B566" s="53"/>
      <c r="C566" s="168"/>
      <c r="D566" s="169"/>
      <c r="E566" s="170"/>
      <c r="F566" s="53"/>
      <c r="G566" s="53"/>
      <c r="H566" s="53"/>
      <c r="I566" s="171"/>
      <c r="J566" s="170"/>
      <c r="K566" s="53"/>
      <c r="L566" s="53"/>
      <c r="M566" s="53"/>
      <c r="N566" s="171"/>
      <c r="O566" s="170"/>
      <c r="P566" s="53"/>
      <c r="Q566" s="53"/>
      <c r="R566" s="53"/>
      <c r="S566" s="171"/>
      <c r="T566" s="170"/>
      <c r="U566" s="53"/>
      <c r="V566" s="53"/>
      <c r="W566" s="53"/>
      <c r="X566" s="171"/>
      <c r="Y566" s="170"/>
      <c r="Z566" s="170"/>
      <c r="AA566" s="170"/>
      <c r="AB566" s="170"/>
      <c r="AC566" s="170"/>
      <c r="AD566" s="53"/>
      <c r="AE566" s="53"/>
    </row>
    <row r="567">
      <c r="A567" s="53"/>
      <c r="B567" s="53"/>
      <c r="C567" s="168"/>
      <c r="D567" s="169"/>
      <c r="E567" s="170"/>
      <c r="F567" s="53"/>
      <c r="G567" s="53"/>
      <c r="H567" s="53"/>
      <c r="I567" s="171"/>
      <c r="J567" s="170"/>
      <c r="K567" s="53"/>
      <c r="L567" s="53"/>
      <c r="M567" s="53"/>
      <c r="N567" s="171"/>
      <c r="O567" s="170"/>
      <c r="P567" s="53"/>
      <c r="Q567" s="53"/>
      <c r="R567" s="53"/>
      <c r="S567" s="171"/>
      <c r="T567" s="170"/>
      <c r="U567" s="53"/>
      <c r="V567" s="53"/>
      <c r="W567" s="53"/>
      <c r="X567" s="171"/>
      <c r="Y567" s="170"/>
      <c r="Z567" s="170"/>
      <c r="AA567" s="170"/>
      <c r="AB567" s="170"/>
      <c r="AC567" s="170"/>
      <c r="AD567" s="53"/>
      <c r="AE567" s="53"/>
    </row>
    <row r="568">
      <c r="A568" s="53"/>
      <c r="B568" s="53"/>
      <c r="C568" s="168"/>
      <c r="D568" s="169"/>
      <c r="E568" s="170"/>
      <c r="F568" s="53"/>
      <c r="G568" s="53"/>
      <c r="H568" s="53"/>
      <c r="I568" s="171"/>
      <c r="J568" s="170"/>
      <c r="K568" s="53"/>
      <c r="L568" s="53"/>
      <c r="M568" s="53"/>
      <c r="N568" s="171"/>
      <c r="O568" s="170"/>
      <c r="P568" s="53"/>
      <c r="Q568" s="53"/>
      <c r="R568" s="53"/>
      <c r="S568" s="171"/>
      <c r="T568" s="170"/>
      <c r="U568" s="53"/>
      <c r="V568" s="53"/>
      <c r="W568" s="53"/>
      <c r="X568" s="171"/>
      <c r="Y568" s="170"/>
      <c r="Z568" s="170"/>
      <c r="AA568" s="170"/>
      <c r="AB568" s="170"/>
      <c r="AC568" s="170"/>
      <c r="AD568" s="53"/>
      <c r="AE568" s="53"/>
    </row>
    <row r="569">
      <c r="A569" s="53"/>
      <c r="B569" s="53"/>
      <c r="C569" s="168"/>
      <c r="D569" s="169"/>
      <c r="E569" s="170"/>
      <c r="F569" s="53"/>
      <c r="G569" s="53"/>
      <c r="H569" s="53"/>
      <c r="I569" s="171"/>
      <c r="J569" s="170"/>
      <c r="K569" s="53"/>
      <c r="L569" s="53"/>
      <c r="M569" s="53"/>
      <c r="N569" s="171"/>
      <c r="O569" s="170"/>
      <c r="P569" s="53"/>
      <c r="Q569" s="53"/>
      <c r="R569" s="53"/>
      <c r="S569" s="171"/>
      <c r="T569" s="170"/>
      <c r="U569" s="53"/>
      <c r="V569" s="53"/>
      <c r="W569" s="53"/>
      <c r="X569" s="171"/>
      <c r="Y569" s="170"/>
      <c r="Z569" s="170"/>
      <c r="AA569" s="170"/>
      <c r="AB569" s="170"/>
      <c r="AC569" s="170"/>
      <c r="AD569" s="53"/>
      <c r="AE569" s="53"/>
    </row>
    <row r="570">
      <c r="A570" s="53"/>
      <c r="B570" s="53"/>
      <c r="C570" s="168"/>
      <c r="D570" s="169"/>
      <c r="E570" s="170"/>
      <c r="F570" s="53"/>
      <c r="G570" s="53"/>
      <c r="H570" s="53"/>
      <c r="I570" s="171"/>
      <c r="J570" s="170"/>
      <c r="K570" s="53"/>
      <c r="L570" s="53"/>
      <c r="M570" s="53"/>
      <c r="N570" s="171"/>
      <c r="O570" s="170"/>
      <c r="P570" s="53"/>
      <c r="Q570" s="53"/>
      <c r="R570" s="53"/>
      <c r="S570" s="171"/>
      <c r="T570" s="170"/>
      <c r="U570" s="53"/>
      <c r="V570" s="53"/>
      <c r="W570" s="53"/>
      <c r="X570" s="171"/>
      <c r="Y570" s="170"/>
      <c r="Z570" s="170"/>
      <c r="AA570" s="170"/>
      <c r="AB570" s="170"/>
      <c r="AC570" s="170"/>
      <c r="AD570" s="53"/>
      <c r="AE570" s="53"/>
    </row>
    <row r="571">
      <c r="A571" s="53"/>
      <c r="B571" s="53"/>
      <c r="C571" s="168"/>
      <c r="D571" s="169"/>
      <c r="E571" s="170"/>
      <c r="F571" s="53"/>
      <c r="G571" s="53"/>
      <c r="H571" s="53"/>
      <c r="I571" s="171"/>
      <c r="J571" s="170"/>
      <c r="K571" s="53"/>
      <c r="L571" s="53"/>
      <c r="M571" s="53"/>
      <c r="N571" s="171"/>
      <c r="O571" s="170"/>
      <c r="P571" s="53"/>
      <c r="Q571" s="53"/>
      <c r="R571" s="53"/>
      <c r="S571" s="171"/>
      <c r="T571" s="170"/>
      <c r="U571" s="53"/>
      <c r="V571" s="53"/>
      <c r="W571" s="53"/>
      <c r="X571" s="171"/>
      <c r="Y571" s="170"/>
      <c r="Z571" s="170"/>
      <c r="AA571" s="170"/>
      <c r="AB571" s="170"/>
      <c r="AC571" s="170"/>
      <c r="AD571" s="53"/>
      <c r="AE571" s="53"/>
    </row>
    <row r="572">
      <c r="A572" s="53"/>
      <c r="B572" s="53"/>
      <c r="C572" s="168"/>
      <c r="D572" s="169"/>
      <c r="E572" s="170"/>
      <c r="F572" s="53"/>
      <c r="G572" s="53"/>
      <c r="H572" s="53"/>
      <c r="I572" s="171"/>
      <c r="J572" s="170"/>
      <c r="K572" s="53"/>
      <c r="L572" s="53"/>
      <c r="M572" s="53"/>
      <c r="N572" s="171"/>
      <c r="O572" s="170"/>
      <c r="P572" s="53"/>
      <c r="Q572" s="53"/>
      <c r="R572" s="53"/>
      <c r="S572" s="171"/>
      <c r="T572" s="170"/>
      <c r="U572" s="53"/>
      <c r="V572" s="53"/>
      <c r="W572" s="53"/>
      <c r="X572" s="171"/>
      <c r="Y572" s="170"/>
      <c r="Z572" s="170"/>
      <c r="AA572" s="170"/>
      <c r="AB572" s="170"/>
      <c r="AC572" s="170"/>
      <c r="AD572" s="53"/>
      <c r="AE572" s="53"/>
    </row>
    <row r="573">
      <c r="A573" s="53"/>
      <c r="B573" s="53"/>
      <c r="C573" s="168"/>
      <c r="D573" s="169"/>
      <c r="E573" s="170"/>
      <c r="F573" s="53"/>
      <c r="G573" s="53"/>
      <c r="H573" s="53"/>
      <c r="I573" s="171"/>
      <c r="J573" s="170"/>
      <c r="K573" s="53"/>
      <c r="L573" s="53"/>
      <c r="M573" s="53"/>
      <c r="N573" s="171"/>
      <c r="O573" s="170"/>
      <c r="P573" s="53"/>
      <c r="Q573" s="53"/>
      <c r="R573" s="53"/>
      <c r="S573" s="171"/>
      <c r="T573" s="170"/>
      <c r="U573" s="53"/>
      <c r="V573" s="53"/>
      <c r="W573" s="53"/>
      <c r="X573" s="171"/>
      <c r="Y573" s="170"/>
      <c r="Z573" s="170"/>
      <c r="AA573" s="170"/>
      <c r="AB573" s="170"/>
      <c r="AC573" s="170"/>
      <c r="AD573" s="53"/>
      <c r="AE573" s="53"/>
    </row>
    <row r="574">
      <c r="A574" s="53"/>
      <c r="B574" s="53"/>
      <c r="C574" s="168"/>
      <c r="D574" s="169"/>
      <c r="E574" s="170"/>
      <c r="F574" s="53"/>
      <c r="G574" s="53"/>
      <c r="H574" s="53"/>
      <c r="I574" s="171"/>
      <c r="J574" s="170"/>
      <c r="K574" s="53"/>
      <c r="L574" s="53"/>
      <c r="M574" s="53"/>
      <c r="N574" s="171"/>
      <c r="O574" s="170"/>
      <c r="P574" s="53"/>
      <c r="Q574" s="53"/>
      <c r="R574" s="53"/>
      <c r="S574" s="171"/>
      <c r="T574" s="170"/>
      <c r="U574" s="53"/>
      <c r="V574" s="53"/>
      <c r="W574" s="53"/>
      <c r="X574" s="171"/>
      <c r="Y574" s="170"/>
      <c r="Z574" s="170"/>
      <c r="AA574" s="170"/>
      <c r="AB574" s="170"/>
      <c r="AC574" s="170"/>
      <c r="AD574" s="53"/>
      <c r="AE574" s="53"/>
    </row>
    <row r="575">
      <c r="A575" s="53"/>
      <c r="B575" s="53"/>
      <c r="C575" s="168"/>
      <c r="D575" s="169"/>
      <c r="E575" s="170"/>
      <c r="F575" s="53"/>
      <c r="G575" s="53"/>
      <c r="H575" s="53"/>
      <c r="I575" s="171"/>
      <c r="J575" s="170"/>
      <c r="K575" s="53"/>
      <c r="L575" s="53"/>
      <c r="M575" s="53"/>
      <c r="N575" s="171"/>
      <c r="O575" s="170"/>
      <c r="P575" s="53"/>
      <c r="Q575" s="53"/>
      <c r="R575" s="53"/>
      <c r="S575" s="171"/>
      <c r="T575" s="170"/>
      <c r="U575" s="53"/>
      <c r="V575" s="53"/>
      <c r="W575" s="53"/>
      <c r="X575" s="171"/>
      <c r="Y575" s="170"/>
      <c r="Z575" s="170"/>
      <c r="AA575" s="170"/>
      <c r="AB575" s="170"/>
      <c r="AC575" s="170"/>
      <c r="AD575" s="53"/>
      <c r="AE575" s="53"/>
    </row>
    <row r="576">
      <c r="A576" s="53"/>
      <c r="B576" s="53"/>
      <c r="C576" s="168"/>
      <c r="D576" s="169"/>
      <c r="E576" s="170"/>
      <c r="F576" s="53"/>
      <c r="G576" s="53"/>
      <c r="H576" s="53"/>
      <c r="I576" s="171"/>
      <c r="J576" s="170"/>
      <c r="K576" s="53"/>
      <c r="L576" s="53"/>
      <c r="M576" s="53"/>
      <c r="N576" s="171"/>
      <c r="O576" s="170"/>
      <c r="P576" s="53"/>
      <c r="Q576" s="53"/>
      <c r="R576" s="53"/>
      <c r="S576" s="171"/>
      <c r="T576" s="170"/>
      <c r="U576" s="53"/>
      <c r="V576" s="53"/>
      <c r="W576" s="53"/>
      <c r="X576" s="171"/>
      <c r="Y576" s="170"/>
      <c r="Z576" s="170"/>
      <c r="AA576" s="170"/>
      <c r="AB576" s="170"/>
      <c r="AC576" s="170"/>
      <c r="AD576" s="53"/>
      <c r="AE576" s="53"/>
    </row>
    <row r="577">
      <c r="A577" s="53"/>
      <c r="B577" s="53"/>
      <c r="C577" s="168"/>
      <c r="D577" s="169"/>
      <c r="E577" s="170"/>
      <c r="F577" s="53"/>
      <c r="G577" s="53"/>
      <c r="H577" s="53"/>
      <c r="I577" s="171"/>
      <c r="J577" s="170"/>
      <c r="K577" s="53"/>
      <c r="L577" s="53"/>
      <c r="M577" s="53"/>
      <c r="N577" s="171"/>
      <c r="O577" s="170"/>
      <c r="P577" s="53"/>
      <c r="Q577" s="53"/>
      <c r="R577" s="53"/>
      <c r="S577" s="171"/>
      <c r="T577" s="170"/>
      <c r="U577" s="53"/>
      <c r="V577" s="53"/>
      <c r="W577" s="53"/>
      <c r="X577" s="171"/>
      <c r="Y577" s="170"/>
      <c r="Z577" s="170"/>
      <c r="AA577" s="170"/>
      <c r="AB577" s="170"/>
      <c r="AC577" s="170"/>
      <c r="AD577" s="53"/>
      <c r="AE577" s="53"/>
    </row>
    <row r="578">
      <c r="A578" s="53"/>
      <c r="B578" s="53"/>
      <c r="C578" s="168"/>
      <c r="D578" s="169"/>
      <c r="E578" s="170"/>
      <c r="F578" s="53"/>
      <c r="G578" s="53"/>
      <c r="H578" s="53"/>
      <c r="I578" s="171"/>
      <c r="J578" s="170"/>
      <c r="K578" s="53"/>
      <c r="L578" s="53"/>
      <c r="M578" s="53"/>
      <c r="N578" s="171"/>
      <c r="O578" s="170"/>
      <c r="P578" s="53"/>
      <c r="Q578" s="53"/>
      <c r="R578" s="53"/>
      <c r="S578" s="171"/>
      <c r="T578" s="170"/>
      <c r="U578" s="53"/>
      <c r="V578" s="53"/>
      <c r="W578" s="53"/>
      <c r="X578" s="171"/>
      <c r="Y578" s="170"/>
      <c r="Z578" s="170"/>
      <c r="AA578" s="170"/>
      <c r="AB578" s="170"/>
      <c r="AC578" s="170"/>
      <c r="AD578" s="53"/>
      <c r="AE578" s="53"/>
    </row>
    <row r="579">
      <c r="A579" s="53"/>
      <c r="B579" s="53"/>
      <c r="C579" s="168"/>
      <c r="D579" s="169"/>
      <c r="E579" s="170"/>
      <c r="F579" s="53"/>
      <c r="G579" s="53"/>
      <c r="H579" s="53"/>
      <c r="I579" s="171"/>
      <c r="J579" s="170"/>
      <c r="K579" s="53"/>
      <c r="L579" s="53"/>
      <c r="M579" s="53"/>
      <c r="N579" s="171"/>
      <c r="O579" s="170"/>
      <c r="P579" s="53"/>
      <c r="Q579" s="53"/>
      <c r="R579" s="53"/>
      <c r="S579" s="171"/>
      <c r="T579" s="170"/>
      <c r="U579" s="53"/>
      <c r="V579" s="53"/>
      <c r="W579" s="53"/>
      <c r="X579" s="171"/>
      <c r="Y579" s="170"/>
      <c r="Z579" s="170"/>
      <c r="AA579" s="170"/>
      <c r="AB579" s="170"/>
      <c r="AC579" s="170"/>
      <c r="AD579" s="53"/>
      <c r="AE579" s="53"/>
    </row>
    <row r="580">
      <c r="A580" s="53"/>
      <c r="B580" s="53"/>
      <c r="C580" s="168"/>
      <c r="D580" s="169"/>
      <c r="E580" s="170"/>
      <c r="F580" s="53"/>
      <c r="G580" s="53"/>
      <c r="H580" s="53"/>
      <c r="I580" s="171"/>
      <c r="J580" s="170"/>
      <c r="K580" s="53"/>
      <c r="L580" s="53"/>
      <c r="M580" s="53"/>
      <c r="N580" s="171"/>
      <c r="O580" s="170"/>
      <c r="P580" s="53"/>
      <c r="Q580" s="53"/>
      <c r="R580" s="53"/>
      <c r="S580" s="171"/>
      <c r="T580" s="170"/>
      <c r="U580" s="53"/>
      <c r="V580" s="53"/>
      <c r="W580" s="53"/>
      <c r="X580" s="171"/>
      <c r="Y580" s="170"/>
      <c r="Z580" s="170"/>
      <c r="AA580" s="170"/>
      <c r="AB580" s="170"/>
      <c r="AC580" s="170"/>
      <c r="AD580" s="53"/>
      <c r="AE580" s="53"/>
    </row>
    <row r="581">
      <c r="A581" s="53"/>
      <c r="B581" s="53"/>
      <c r="C581" s="168"/>
      <c r="D581" s="169"/>
      <c r="E581" s="170"/>
      <c r="F581" s="53"/>
      <c r="G581" s="53"/>
      <c r="H581" s="53"/>
      <c r="I581" s="171"/>
      <c r="J581" s="170"/>
      <c r="K581" s="53"/>
      <c r="L581" s="53"/>
      <c r="M581" s="53"/>
      <c r="N581" s="171"/>
      <c r="O581" s="170"/>
      <c r="P581" s="53"/>
      <c r="Q581" s="53"/>
      <c r="R581" s="53"/>
      <c r="S581" s="171"/>
      <c r="T581" s="170"/>
      <c r="U581" s="53"/>
      <c r="V581" s="53"/>
      <c r="W581" s="53"/>
      <c r="X581" s="171"/>
      <c r="Y581" s="170"/>
      <c r="Z581" s="170"/>
      <c r="AA581" s="170"/>
      <c r="AB581" s="170"/>
      <c r="AC581" s="170"/>
      <c r="AD581" s="53"/>
      <c r="AE581" s="53"/>
    </row>
    <row r="582">
      <c r="A582" s="53"/>
      <c r="B582" s="53"/>
      <c r="C582" s="168"/>
      <c r="D582" s="169"/>
      <c r="E582" s="170"/>
      <c r="F582" s="53"/>
      <c r="G582" s="53"/>
      <c r="H582" s="53"/>
      <c r="I582" s="171"/>
      <c r="J582" s="170"/>
      <c r="K582" s="53"/>
      <c r="L582" s="53"/>
      <c r="M582" s="53"/>
      <c r="N582" s="171"/>
      <c r="O582" s="170"/>
      <c r="P582" s="53"/>
      <c r="Q582" s="53"/>
      <c r="R582" s="53"/>
      <c r="S582" s="171"/>
      <c r="T582" s="170"/>
      <c r="U582" s="53"/>
      <c r="V582" s="53"/>
      <c r="W582" s="53"/>
      <c r="X582" s="171"/>
      <c r="Y582" s="170"/>
      <c r="Z582" s="170"/>
      <c r="AA582" s="170"/>
      <c r="AB582" s="170"/>
      <c r="AC582" s="170"/>
      <c r="AD582" s="53"/>
      <c r="AE582" s="53"/>
    </row>
    <row r="583">
      <c r="A583" s="53"/>
      <c r="B583" s="53"/>
      <c r="C583" s="168"/>
      <c r="D583" s="169"/>
      <c r="E583" s="170"/>
      <c r="F583" s="53"/>
      <c r="G583" s="53"/>
      <c r="H583" s="53"/>
      <c r="I583" s="171"/>
      <c r="J583" s="170"/>
      <c r="K583" s="53"/>
      <c r="L583" s="53"/>
      <c r="M583" s="53"/>
      <c r="N583" s="171"/>
      <c r="O583" s="170"/>
      <c r="P583" s="53"/>
      <c r="Q583" s="53"/>
      <c r="R583" s="53"/>
      <c r="S583" s="171"/>
      <c r="T583" s="170"/>
      <c r="U583" s="53"/>
      <c r="V583" s="53"/>
      <c r="W583" s="53"/>
      <c r="X583" s="171"/>
      <c r="Y583" s="170"/>
      <c r="Z583" s="170"/>
      <c r="AA583" s="170"/>
      <c r="AB583" s="170"/>
      <c r="AC583" s="170"/>
      <c r="AD583" s="53"/>
      <c r="AE583" s="53"/>
    </row>
    <row r="584">
      <c r="A584" s="53"/>
      <c r="B584" s="53"/>
      <c r="C584" s="168"/>
      <c r="D584" s="169"/>
      <c r="E584" s="170"/>
      <c r="F584" s="53"/>
      <c r="G584" s="53"/>
      <c r="H584" s="53"/>
      <c r="I584" s="171"/>
      <c r="J584" s="170"/>
      <c r="K584" s="53"/>
      <c r="L584" s="53"/>
      <c r="M584" s="53"/>
      <c r="N584" s="171"/>
      <c r="O584" s="170"/>
      <c r="P584" s="53"/>
      <c r="Q584" s="53"/>
      <c r="R584" s="53"/>
      <c r="S584" s="171"/>
      <c r="T584" s="170"/>
      <c r="U584" s="53"/>
      <c r="V584" s="53"/>
      <c r="W584" s="53"/>
      <c r="X584" s="171"/>
      <c r="Y584" s="170"/>
      <c r="Z584" s="170"/>
      <c r="AA584" s="170"/>
      <c r="AB584" s="170"/>
      <c r="AC584" s="170"/>
      <c r="AD584" s="53"/>
      <c r="AE584" s="53"/>
    </row>
    <row r="585">
      <c r="A585" s="53"/>
      <c r="B585" s="53"/>
      <c r="C585" s="168"/>
      <c r="D585" s="169"/>
      <c r="E585" s="170"/>
      <c r="F585" s="53"/>
      <c r="G585" s="53"/>
      <c r="H585" s="53"/>
      <c r="I585" s="171"/>
      <c r="J585" s="170"/>
      <c r="K585" s="53"/>
      <c r="L585" s="53"/>
      <c r="M585" s="53"/>
      <c r="N585" s="171"/>
      <c r="O585" s="170"/>
      <c r="P585" s="53"/>
      <c r="Q585" s="53"/>
      <c r="R585" s="53"/>
      <c r="S585" s="171"/>
      <c r="T585" s="170"/>
      <c r="U585" s="53"/>
      <c r="V585" s="53"/>
      <c r="W585" s="53"/>
      <c r="X585" s="171"/>
      <c r="Y585" s="170"/>
      <c r="Z585" s="170"/>
      <c r="AA585" s="170"/>
      <c r="AB585" s="170"/>
      <c r="AC585" s="170"/>
      <c r="AD585" s="53"/>
      <c r="AE585" s="53"/>
    </row>
    <row r="586">
      <c r="A586" s="53"/>
      <c r="B586" s="53"/>
      <c r="C586" s="168"/>
      <c r="D586" s="169"/>
      <c r="E586" s="170"/>
      <c r="F586" s="53"/>
      <c r="G586" s="53"/>
      <c r="H586" s="53"/>
      <c r="I586" s="171"/>
      <c r="J586" s="170"/>
      <c r="K586" s="53"/>
      <c r="L586" s="53"/>
      <c r="M586" s="53"/>
      <c r="N586" s="171"/>
      <c r="O586" s="170"/>
      <c r="P586" s="53"/>
      <c r="Q586" s="53"/>
      <c r="R586" s="53"/>
      <c r="S586" s="171"/>
      <c r="T586" s="170"/>
      <c r="U586" s="53"/>
      <c r="V586" s="53"/>
      <c r="W586" s="53"/>
      <c r="X586" s="171"/>
      <c r="Y586" s="170"/>
      <c r="Z586" s="170"/>
      <c r="AA586" s="170"/>
      <c r="AB586" s="170"/>
      <c r="AC586" s="170"/>
      <c r="AD586" s="53"/>
      <c r="AE586" s="53"/>
    </row>
    <row r="587">
      <c r="A587" s="53"/>
      <c r="B587" s="53"/>
      <c r="C587" s="168"/>
      <c r="D587" s="169"/>
      <c r="E587" s="170"/>
      <c r="F587" s="53"/>
      <c r="G587" s="53"/>
      <c r="H587" s="53"/>
      <c r="I587" s="171"/>
      <c r="J587" s="170"/>
      <c r="K587" s="53"/>
      <c r="L587" s="53"/>
      <c r="M587" s="53"/>
      <c r="N587" s="171"/>
      <c r="O587" s="170"/>
      <c r="P587" s="53"/>
      <c r="Q587" s="53"/>
      <c r="R587" s="53"/>
      <c r="S587" s="171"/>
      <c r="T587" s="170"/>
      <c r="U587" s="53"/>
      <c r="V587" s="53"/>
      <c r="W587" s="53"/>
      <c r="X587" s="171"/>
      <c r="Y587" s="170"/>
      <c r="Z587" s="170"/>
      <c r="AA587" s="170"/>
      <c r="AB587" s="170"/>
      <c r="AC587" s="170"/>
      <c r="AD587" s="53"/>
      <c r="AE587" s="53"/>
    </row>
    <row r="588">
      <c r="A588" s="53"/>
      <c r="B588" s="53"/>
      <c r="C588" s="168"/>
      <c r="D588" s="169"/>
      <c r="E588" s="170"/>
      <c r="F588" s="53"/>
      <c r="G588" s="53"/>
      <c r="H588" s="53"/>
      <c r="I588" s="171"/>
      <c r="J588" s="170"/>
      <c r="K588" s="53"/>
      <c r="L588" s="53"/>
      <c r="M588" s="53"/>
      <c r="N588" s="171"/>
      <c r="O588" s="170"/>
      <c r="P588" s="53"/>
      <c r="Q588" s="53"/>
      <c r="R588" s="53"/>
      <c r="S588" s="171"/>
      <c r="T588" s="170"/>
      <c r="U588" s="53"/>
      <c r="V588" s="53"/>
      <c r="W588" s="53"/>
      <c r="X588" s="171"/>
      <c r="Y588" s="170"/>
      <c r="Z588" s="170"/>
      <c r="AA588" s="170"/>
      <c r="AB588" s="170"/>
      <c r="AC588" s="170"/>
      <c r="AD588" s="53"/>
      <c r="AE588" s="53"/>
    </row>
    <row r="589">
      <c r="A589" s="53"/>
      <c r="B589" s="53"/>
      <c r="C589" s="168"/>
      <c r="D589" s="169"/>
      <c r="E589" s="170"/>
      <c r="F589" s="53"/>
      <c r="G589" s="53"/>
      <c r="H589" s="53"/>
      <c r="I589" s="171"/>
      <c r="J589" s="170"/>
      <c r="K589" s="53"/>
      <c r="L589" s="53"/>
      <c r="M589" s="53"/>
      <c r="N589" s="171"/>
      <c r="O589" s="170"/>
      <c r="P589" s="53"/>
      <c r="Q589" s="53"/>
      <c r="R589" s="53"/>
      <c r="S589" s="171"/>
      <c r="T589" s="170"/>
      <c r="U589" s="53"/>
      <c r="V589" s="53"/>
      <c r="W589" s="53"/>
      <c r="X589" s="171"/>
      <c r="Y589" s="170"/>
      <c r="Z589" s="170"/>
      <c r="AA589" s="170"/>
      <c r="AB589" s="170"/>
      <c r="AC589" s="170"/>
      <c r="AD589" s="53"/>
      <c r="AE589" s="53"/>
    </row>
    <row r="590">
      <c r="A590" s="53"/>
      <c r="B590" s="53"/>
      <c r="C590" s="168"/>
      <c r="D590" s="169"/>
      <c r="E590" s="170"/>
      <c r="F590" s="53"/>
      <c r="G590" s="53"/>
      <c r="H590" s="53"/>
      <c r="I590" s="171"/>
      <c r="J590" s="170"/>
      <c r="K590" s="53"/>
      <c r="L590" s="53"/>
      <c r="M590" s="53"/>
      <c r="N590" s="171"/>
      <c r="O590" s="170"/>
      <c r="P590" s="53"/>
      <c r="Q590" s="53"/>
      <c r="R590" s="53"/>
      <c r="S590" s="171"/>
      <c r="T590" s="170"/>
      <c r="U590" s="53"/>
      <c r="V590" s="53"/>
      <c r="W590" s="53"/>
      <c r="X590" s="171"/>
      <c r="Y590" s="170"/>
      <c r="Z590" s="170"/>
      <c r="AA590" s="170"/>
      <c r="AB590" s="170"/>
      <c r="AC590" s="170"/>
      <c r="AD590" s="53"/>
      <c r="AE590" s="53"/>
    </row>
    <row r="591">
      <c r="A591" s="53"/>
      <c r="B591" s="53"/>
      <c r="C591" s="168"/>
      <c r="D591" s="169"/>
      <c r="E591" s="170"/>
      <c r="F591" s="53"/>
      <c r="G591" s="53"/>
      <c r="H591" s="53"/>
      <c r="I591" s="171"/>
      <c r="J591" s="170"/>
      <c r="K591" s="53"/>
      <c r="L591" s="53"/>
      <c r="M591" s="53"/>
      <c r="N591" s="171"/>
      <c r="O591" s="170"/>
      <c r="P591" s="53"/>
      <c r="Q591" s="53"/>
      <c r="R591" s="53"/>
      <c r="S591" s="171"/>
      <c r="T591" s="170"/>
      <c r="U591" s="53"/>
      <c r="V591" s="53"/>
      <c r="W591" s="53"/>
      <c r="X591" s="171"/>
      <c r="Y591" s="170"/>
      <c r="Z591" s="170"/>
      <c r="AA591" s="170"/>
      <c r="AB591" s="170"/>
      <c r="AC591" s="170"/>
      <c r="AD591" s="53"/>
      <c r="AE591" s="53"/>
    </row>
    <row r="592">
      <c r="A592" s="53"/>
      <c r="B592" s="53"/>
      <c r="C592" s="168"/>
      <c r="D592" s="169"/>
      <c r="E592" s="170"/>
      <c r="F592" s="53"/>
      <c r="G592" s="53"/>
      <c r="H592" s="53"/>
      <c r="I592" s="171"/>
      <c r="J592" s="170"/>
      <c r="K592" s="53"/>
      <c r="L592" s="53"/>
      <c r="M592" s="53"/>
      <c r="N592" s="171"/>
      <c r="O592" s="170"/>
      <c r="P592" s="53"/>
      <c r="Q592" s="53"/>
      <c r="R592" s="53"/>
      <c r="S592" s="171"/>
      <c r="T592" s="170"/>
      <c r="U592" s="53"/>
      <c r="V592" s="53"/>
      <c r="W592" s="53"/>
      <c r="X592" s="171"/>
      <c r="Y592" s="170"/>
      <c r="Z592" s="170"/>
      <c r="AA592" s="170"/>
      <c r="AB592" s="170"/>
      <c r="AC592" s="170"/>
      <c r="AD592" s="53"/>
      <c r="AE592" s="53"/>
    </row>
    <row r="593">
      <c r="A593" s="53"/>
      <c r="B593" s="53"/>
      <c r="C593" s="168"/>
      <c r="D593" s="169"/>
      <c r="E593" s="170"/>
      <c r="F593" s="53"/>
      <c r="G593" s="53"/>
      <c r="H593" s="53"/>
      <c r="I593" s="171"/>
      <c r="J593" s="170"/>
      <c r="K593" s="53"/>
      <c r="L593" s="53"/>
      <c r="M593" s="53"/>
      <c r="N593" s="171"/>
      <c r="O593" s="170"/>
      <c r="P593" s="53"/>
      <c r="Q593" s="53"/>
      <c r="R593" s="53"/>
      <c r="S593" s="171"/>
      <c r="T593" s="170"/>
      <c r="U593" s="53"/>
      <c r="V593" s="53"/>
      <c r="W593" s="53"/>
      <c r="X593" s="171"/>
      <c r="Y593" s="170"/>
      <c r="Z593" s="170"/>
      <c r="AA593" s="170"/>
      <c r="AB593" s="170"/>
      <c r="AC593" s="170"/>
      <c r="AD593" s="53"/>
      <c r="AE593" s="53"/>
    </row>
    <row r="594">
      <c r="A594" s="53"/>
      <c r="B594" s="53"/>
      <c r="C594" s="168"/>
      <c r="D594" s="169"/>
      <c r="E594" s="170"/>
      <c r="F594" s="53"/>
      <c r="G594" s="53"/>
      <c r="H594" s="53"/>
      <c r="I594" s="171"/>
      <c r="J594" s="170"/>
      <c r="K594" s="53"/>
      <c r="L594" s="53"/>
      <c r="M594" s="53"/>
      <c r="N594" s="171"/>
      <c r="O594" s="170"/>
      <c r="P594" s="53"/>
      <c r="Q594" s="53"/>
      <c r="R594" s="53"/>
      <c r="S594" s="171"/>
      <c r="T594" s="170"/>
      <c r="U594" s="53"/>
      <c r="V594" s="53"/>
      <c r="W594" s="53"/>
      <c r="X594" s="171"/>
      <c r="Y594" s="170"/>
      <c r="Z594" s="170"/>
      <c r="AA594" s="170"/>
      <c r="AB594" s="170"/>
      <c r="AC594" s="170"/>
      <c r="AD594" s="53"/>
      <c r="AE594" s="53"/>
    </row>
    <row r="595">
      <c r="A595" s="53"/>
      <c r="B595" s="53"/>
      <c r="C595" s="168"/>
      <c r="D595" s="169"/>
      <c r="E595" s="170"/>
      <c r="F595" s="53"/>
      <c r="G595" s="53"/>
      <c r="H595" s="53"/>
      <c r="I595" s="171"/>
      <c r="J595" s="170"/>
      <c r="K595" s="53"/>
      <c r="L595" s="53"/>
      <c r="M595" s="53"/>
      <c r="N595" s="171"/>
      <c r="O595" s="170"/>
      <c r="P595" s="53"/>
      <c r="Q595" s="53"/>
      <c r="R595" s="53"/>
      <c r="S595" s="171"/>
      <c r="T595" s="170"/>
      <c r="U595" s="53"/>
      <c r="V595" s="53"/>
      <c r="W595" s="53"/>
      <c r="X595" s="171"/>
      <c r="Y595" s="170"/>
      <c r="Z595" s="170"/>
      <c r="AA595" s="170"/>
      <c r="AB595" s="170"/>
      <c r="AC595" s="170"/>
      <c r="AD595" s="53"/>
      <c r="AE595" s="53"/>
    </row>
    <row r="596">
      <c r="A596" s="53"/>
      <c r="B596" s="53"/>
      <c r="C596" s="168"/>
      <c r="D596" s="169"/>
      <c r="E596" s="170"/>
      <c r="F596" s="53"/>
      <c r="G596" s="53"/>
      <c r="H596" s="53"/>
      <c r="I596" s="171"/>
      <c r="J596" s="170"/>
      <c r="K596" s="53"/>
      <c r="L596" s="53"/>
      <c r="M596" s="53"/>
      <c r="N596" s="171"/>
      <c r="O596" s="170"/>
      <c r="P596" s="53"/>
      <c r="Q596" s="53"/>
      <c r="R596" s="53"/>
      <c r="S596" s="171"/>
      <c r="T596" s="170"/>
      <c r="U596" s="53"/>
      <c r="V596" s="53"/>
      <c r="W596" s="53"/>
      <c r="X596" s="171"/>
      <c r="Y596" s="170"/>
      <c r="Z596" s="170"/>
      <c r="AA596" s="170"/>
      <c r="AB596" s="170"/>
      <c r="AC596" s="170"/>
      <c r="AD596" s="53"/>
      <c r="AE596" s="53"/>
    </row>
    <row r="597">
      <c r="A597" s="53"/>
      <c r="B597" s="53"/>
      <c r="C597" s="168"/>
      <c r="D597" s="169"/>
      <c r="E597" s="170"/>
      <c r="F597" s="53"/>
      <c r="G597" s="53"/>
      <c r="H597" s="53"/>
      <c r="I597" s="171"/>
      <c r="J597" s="170"/>
      <c r="K597" s="53"/>
      <c r="L597" s="53"/>
      <c r="M597" s="53"/>
      <c r="N597" s="171"/>
      <c r="O597" s="170"/>
      <c r="P597" s="53"/>
      <c r="Q597" s="53"/>
      <c r="R597" s="53"/>
      <c r="S597" s="171"/>
      <c r="T597" s="170"/>
      <c r="U597" s="53"/>
      <c r="V597" s="53"/>
      <c r="W597" s="53"/>
      <c r="X597" s="171"/>
      <c r="Y597" s="170"/>
      <c r="Z597" s="170"/>
      <c r="AA597" s="170"/>
      <c r="AB597" s="170"/>
      <c r="AC597" s="170"/>
      <c r="AD597" s="53"/>
      <c r="AE597" s="53"/>
    </row>
    <row r="598">
      <c r="A598" s="53"/>
      <c r="B598" s="53"/>
      <c r="C598" s="168"/>
      <c r="D598" s="169"/>
      <c r="E598" s="170"/>
      <c r="F598" s="53"/>
      <c r="G598" s="53"/>
      <c r="H598" s="53"/>
      <c r="I598" s="171"/>
      <c r="J598" s="170"/>
      <c r="K598" s="53"/>
      <c r="L598" s="53"/>
      <c r="M598" s="53"/>
      <c r="N598" s="171"/>
      <c r="O598" s="170"/>
      <c r="P598" s="53"/>
      <c r="Q598" s="53"/>
      <c r="R598" s="53"/>
      <c r="S598" s="171"/>
      <c r="T598" s="170"/>
      <c r="U598" s="53"/>
      <c r="V598" s="53"/>
      <c r="W598" s="53"/>
      <c r="X598" s="171"/>
      <c r="Y598" s="170"/>
      <c r="Z598" s="170"/>
      <c r="AA598" s="170"/>
      <c r="AB598" s="170"/>
      <c r="AC598" s="170"/>
      <c r="AD598" s="53"/>
      <c r="AE598" s="53"/>
    </row>
    <row r="599">
      <c r="A599" s="53"/>
      <c r="B599" s="53"/>
      <c r="C599" s="168"/>
      <c r="D599" s="169"/>
      <c r="E599" s="170"/>
      <c r="F599" s="53"/>
      <c r="G599" s="53"/>
      <c r="H599" s="53"/>
      <c r="I599" s="171"/>
      <c r="J599" s="170"/>
      <c r="K599" s="53"/>
      <c r="L599" s="53"/>
      <c r="M599" s="53"/>
      <c r="N599" s="171"/>
      <c r="O599" s="170"/>
      <c r="P599" s="53"/>
      <c r="Q599" s="53"/>
      <c r="R599" s="53"/>
      <c r="S599" s="171"/>
      <c r="T599" s="170"/>
      <c r="U599" s="53"/>
      <c r="V599" s="53"/>
      <c r="W599" s="53"/>
      <c r="X599" s="171"/>
      <c r="Y599" s="170"/>
      <c r="Z599" s="170"/>
      <c r="AA599" s="170"/>
      <c r="AB599" s="170"/>
      <c r="AC599" s="170"/>
      <c r="AD599" s="53"/>
      <c r="AE599" s="53"/>
    </row>
    <row r="600">
      <c r="A600" s="53"/>
      <c r="B600" s="53"/>
      <c r="C600" s="168"/>
      <c r="D600" s="169"/>
      <c r="E600" s="170"/>
      <c r="F600" s="53"/>
      <c r="G600" s="53"/>
      <c r="H600" s="53"/>
      <c r="I600" s="171"/>
      <c r="J600" s="170"/>
      <c r="K600" s="53"/>
      <c r="L600" s="53"/>
      <c r="M600" s="53"/>
      <c r="N600" s="171"/>
      <c r="O600" s="170"/>
      <c r="P600" s="53"/>
      <c r="Q600" s="53"/>
      <c r="R600" s="53"/>
      <c r="S600" s="171"/>
      <c r="T600" s="170"/>
      <c r="U600" s="53"/>
      <c r="V600" s="53"/>
      <c r="W600" s="53"/>
      <c r="X600" s="171"/>
      <c r="Y600" s="170"/>
      <c r="Z600" s="170"/>
      <c r="AA600" s="170"/>
      <c r="AB600" s="170"/>
      <c r="AC600" s="170"/>
      <c r="AD600" s="53"/>
      <c r="AE600" s="53"/>
    </row>
    <row r="601">
      <c r="A601" s="53"/>
      <c r="B601" s="53"/>
      <c r="C601" s="168"/>
      <c r="D601" s="169"/>
      <c r="E601" s="170"/>
      <c r="F601" s="53"/>
      <c r="G601" s="53"/>
      <c r="H601" s="53"/>
      <c r="I601" s="171"/>
      <c r="J601" s="170"/>
      <c r="K601" s="53"/>
      <c r="L601" s="53"/>
      <c r="M601" s="53"/>
      <c r="N601" s="171"/>
      <c r="O601" s="170"/>
      <c r="P601" s="53"/>
      <c r="Q601" s="53"/>
      <c r="R601" s="53"/>
      <c r="S601" s="171"/>
      <c r="T601" s="170"/>
      <c r="U601" s="53"/>
      <c r="V601" s="53"/>
      <c r="W601" s="53"/>
      <c r="X601" s="171"/>
      <c r="Y601" s="170"/>
      <c r="Z601" s="170"/>
      <c r="AA601" s="170"/>
      <c r="AB601" s="170"/>
      <c r="AC601" s="170"/>
      <c r="AD601" s="53"/>
      <c r="AE601" s="53"/>
    </row>
    <row r="602">
      <c r="A602" s="53"/>
      <c r="B602" s="53"/>
      <c r="C602" s="168"/>
      <c r="D602" s="169"/>
      <c r="E602" s="170"/>
      <c r="F602" s="53"/>
      <c r="G602" s="53"/>
      <c r="H602" s="53"/>
      <c r="I602" s="171"/>
      <c r="J602" s="170"/>
      <c r="K602" s="53"/>
      <c r="L602" s="53"/>
      <c r="M602" s="53"/>
      <c r="N602" s="171"/>
      <c r="O602" s="170"/>
      <c r="P602" s="53"/>
      <c r="Q602" s="53"/>
      <c r="R602" s="53"/>
      <c r="S602" s="171"/>
      <c r="T602" s="170"/>
      <c r="U602" s="53"/>
      <c r="V602" s="53"/>
      <c r="W602" s="53"/>
      <c r="X602" s="171"/>
      <c r="Y602" s="170"/>
      <c r="Z602" s="170"/>
      <c r="AA602" s="170"/>
      <c r="AB602" s="170"/>
      <c r="AC602" s="170"/>
      <c r="AD602" s="53"/>
      <c r="AE602" s="53"/>
    </row>
    <row r="603">
      <c r="A603" s="53"/>
      <c r="B603" s="53"/>
      <c r="C603" s="168"/>
      <c r="D603" s="169"/>
      <c r="E603" s="170"/>
      <c r="F603" s="53"/>
      <c r="G603" s="53"/>
      <c r="H603" s="53"/>
      <c r="I603" s="171"/>
      <c r="J603" s="170"/>
      <c r="K603" s="53"/>
      <c r="L603" s="53"/>
      <c r="M603" s="53"/>
      <c r="N603" s="171"/>
      <c r="O603" s="170"/>
      <c r="P603" s="53"/>
      <c r="Q603" s="53"/>
      <c r="R603" s="53"/>
      <c r="S603" s="171"/>
      <c r="T603" s="170"/>
      <c r="U603" s="53"/>
      <c r="V603" s="53"/>
      <c r="W603" s="53"/>
      <c r="X603" s="171"/>
      <c r="Y603" s="170"/>
      <c r="Z603" s="170"/>
      <c r="AA603" s="170"/>
      <c r="AB603" s="170"/>
      <c r="AC603" s="170"/>
      <c r="AD603" s="53"/>
      <c r="AE603" s="53"/>
    </row>
    <row r="604">
      <c r="A604" s="53"/>
      <c r="B604" s="53"/>
      <c r="C604" s="168"/>
      <c r="D604" s="169"/>
      <c r="E604" s="170"/>
      <c r="F604" s="53"/>
      <c r="G604" s="53"/>
      <c r="H604" s="53"/>
      <c r="I604" s="171"/>
      <c r="J604" s="170"/>
      <c r="K604" s="53"/>
      <c r="L604" s="53"/>
      <c r="M604" s="53"/>
      <c r="N604" s="171"/>
      <c r="O604" s="170"/>
      <c r="P604" s="53"/>
      <c r="Q604" s="53"/>
      <c r="R604" s="53"/>
      <c r="S604" s="171"/>
      <c r="T604" s="170"/>
      <c r="U604" s="53"/>
      <c r="V604" s="53"/>
      <c r="W604" s="53"/>
      <c r="X604" s="171"/>
      <c r="Y604" s="170"/>
      <c r="Z604" s="170"/>
      <c r="AA604" s="170"/>
      <c r="AB604" s="170"/>
      <c r="AC604" s="170"/>
      <c r="AD604" s="53"/>
      <c r="AE604" s="53"/>
    </row>
    <row r="605">
      <c r="A605" s="53"/>
      <c r="B605" s="53"/>
      <c r="C605" s="168"/>
      <c r="D605" s="169"/>
      <c r="E605" s="170"/>
      <c r="F605" s="53"/>
      <c r="G605" s="53"/>
      <c r="H605" s="53"/>
      <c r="I605" s="171"/>
      <c r="J605" s="170"/>
      <c r="K605" s="53"/>
      <c r="L605" s="53"/>
      <c r="M605" s="53"/>
      <c r="N605" s="171"/>
      <c r="O605" s="170"/>
      <c r="P605" s="53"/>
      <c r="Q605" s="53"/>
      <c r="R605" s="53"/>
      <c r="S605" s="171"/>
      <c r="T605" s="170"/>
      <c r="U605" s="53"/>
      <c r="V605" s="53"/>
      <c r="W605" s="53"/>
      <c r="X605" s="171"/>
      <c r="Y605" s="170"/>
      <c r="Z605" s="170"/>
      <c r="AA605" s="170"/>
      <c r="AB605" s="170"/>
      <c r="AC605" s="170"/>
      <c r="AD605" s="53"/>
      <c r="AE605" s="53"/>
    </row>
    <row r="606">
      <c r="A606" s="53"/>
      <c r="B606" s="53"/>
      <c r="C606" s="168"/>
      <c r="D606" s="169"/>
      <c r="E606" s="170"/>
      <c r="F606" s="53"/>
      <c r="G606" s="53"/>
      <c r="H606" s="53"/>
      <c r="I606" s="171"/>
      <c r="J606" s="170"/>
      <c r="K606" s="53"/>
      <c r="L606" s="53"/>
      <c r="M606" s="53"/>
      <c r="N606" s="171"/>
      <c r="O606" s="170"/>
      <c r="P606" s="53"/>
      <c r="Q606" s="53"/>
      <c r="R606" s="53"/>
      <c r="S606" s="171"/>
      <c r="T606" s="170"/>
      <c r="U606" s="53"/>
      <c r="V606" s="53"/>
      <c r="W606" s="53"/>
      <c r="X606" s="171"/>
      <c r="Y606" s="170"/>
      <c r="Z606" s="170"/>
      <c r="AA606" s="170"/>
      <c r="AB606" s="170"/>
      <c r="AC606" s="170"/>
      <c r="AD606" s="53"/>
      <c r="AE606" s="53"/>
    </row>
    <row r="607">
      <c r="A607" s="53"/>
      <c r="B607" s="53"/>
      <c r="C607" s="168"/>
      <c r="D607" s="169"/>
      <c r="E607" s="170"/>
      <c r="F607" s="53"/>
      <c r="G607" s="53"/>
      <c r="H607" s="53"/>
      <c r="I607" s="171"/>
      <c r="J607" s="170"/>
      <c r="K607" s="53"/>
      <c r="L607" s="53"/>
      <c r="M607" s="53"/>
      <c r="N607" s="171"/>
      <c r="O607" s="170"/>
      <c r="P607" s="53"/>
      <c r="Q607" s="53"/>
      <c r="R607" s="53"/>
      <c r="S607" s="171"/>
      <c r="T607" s="170"/>
      <c r="U607" s="53"/>
      <c r="V607" s="53"/>
      <c r="W607" s="53"/>
      <c r="X607" s="171"/>
      <c r="Y607" s="170"/>
      <c r="Z607" s="170"/>
      <c r="AA607" s="170"/>
      <c r="AB607" s="170"/>
      <c r="AC607" s="170"/>
      <c r="AD607" s="53"/>
      <c r="AE607" s="53"/>
    </row>
    <row r="608">
      <c r="A608" s="53"/>
      <c r="B608" s="53"/>
      <c r="C608" s="168"/>
      <c r="D608" s="169"/>
      <c r="E608" s="170"/>
      <c r="F608" s="53"/>
      <c r="G608" s="53"/>
      <c r="H608" s="53"/>
      <c r="I608" s="171"/>
      <c r="J608" s="170"/>
      <c r="K608" s="53"/>
      <c r="L608" s="53"/>
      <c r="M608" s="53"/>
      <c r="N608" s="171"/>
      <c r="O608" s="170"/>
      <c r="P608" s="53"/>
      <c r="Q608" s="53"/>
      <c r="R608" s="53"/>
      <c r="S608" s="171"/>
      <c r="T608" s="170"/>
      <c r="U608" s="53"/>
      <c r="V608" s="53"/>
      <c r="W608" s="53"/>
      <c r="X608" s="171"/>
      <c r="Y608" s="170"/>
      <c r="Z608" s="170"/>
      <c r="AA608" s="170"/>
      <c r="AB608" s="170"/>
      <c r="AC608" s="170"/>
      <c r="AD608" s="53"/>
      <c r="AE608" s="53"/>
    </row>
    <row r="609">
      <c r="A609" s="53"/>
      <c r="B609" s="53"/>
      <c r="C609" s="168"/>
      <c r="D609" s="169"/>
      <c r="E609" s="170"/>
      <c r="F609" s="53"/>
      <c r="G609" s="53"/>
      <c r="H609" s="53"/>
      <c r="I609" s="171"/>
      <c r="J609" s="170"/>
      <c r="K609" s="53"/>
      <c r="L609" s="53"/>
      <c r="M609" s="53"/>
      <c r="N609" s="171"/>
      <c r="O609" s="170"/>
      <c r="P609" s="53"/>
      <c r="Q609" s="53"/>
      <c r="R609" s="53"/>
      <c r="S609" s="171"/>
      <c r="T609" s="170"/>
      <c r="U609" s="53"/>
      <c r="V609" s="53"/>
      <c r="W609" s="53"/>
      <c r="X609" s="171"/>
      <c r="Y609" s="170"/>
      <c r="Z609" s="170"/>
      <c r="AA609" s="170"/>
      <c r="AB609" s="170"/>
      <c r="AC609" s="170"/>
      <c r="AD609" s="53"/>
      <c r="AE609" s="53"/>
    </row>
    <row r="610">
      <c r="A610" s="53"/>
      <c r="B610" s="53"/>
      <c r="C610" s="168"/>
      <c r="D610" s="169"/>
      <c r="E610" s="170"/>
      <c r="F610" s="53"/>
      <c r="G610" s="53"/>
      <c r="H610" s="53"/>
      <c r="I610" s="171"/>
      <c r="J610" s="170"/>
      <c r="K610" s="53"/>
      <c r="L610" s="53"/>
      <c r="M610" s="53"/>
      <c r="N610" s="171"/>
      <c r="O610" s="170"/>
      <c r="P610" s="53"/>
      <c r="Q610" s="53"/>
      <c r="R610" s="53"/>
      <c r="S610" s="171"/>
      <c r="T610" s="170"/>
      <c r="U610" s="53"/>
      <c r="V610" s="53"/>
      <c r="W610" s="53"/>
      <c r="X610" s="171"/>
      <c r="Y610" s="170"/>
      <c r="Z610" s="170"/>
      <c r="AA610" s="170"/>
      <c r="AB610" s="170"/>
      <c r="AC610" s="170"/>
      <c r="AD610" s="53"/>
      <c r="AE610" s="53"/>
    </row>
    <row r="611">
      <c r="A611" s="53"/>
      <c r="B611" s="53"/>
      <c r="C611" s="168"/>
      <c r="D611" s="169"/>
      <c r="E611" s="170"/>
      <c r="F611" s="53"/>
      <c r="G611" s="53"/>
      <c r="H611" s="53"/>
      <c r="I611" s="171"/>
      <c r="J611" s="170"/>
      <c r="K611" s="53"/>
      <c r="L611" s="53"/>
      <c r="M611" s="53"/>
      <c r="N611" s="171"/>
      <c r="O611" s="170"/>
      <c r="P611" s="53"/>
      <c r="Q611" s="53"/>
      <c r="R611" s="53"/>
      <c r="S611" s="171"/>
      <c r="T611" s="170"/>
      <c r="U611" s="53"/>
      <c r="V611" s="53"/>
      <c r="W611" s="53"/>
      <c r="X611" s="171"/>
      <c r="Y611" s="170"/>
      <c r="Z611" s="170"/>
      <c r="AA611" s="170"/>
      <c r="AB611" s="170"/>
      <c r="AC611" s="170"/>
      <c r="AD611" s="53"/>
      <c r="AE611" s="53"/>
    </row>
    <row r="612">
      <c r="A612" s="53"/>
      <c r="B612" s="53"/>
      <c r="C612" s="168"/>
      <c r="D612" s="169"/>
      <c r="E612" s="170"/>
      <c r="F612" s="53"/>
      <c r="G612" s="53"/>
      <c r="H612" s="53"/>
      <c r="I612" s="171"/>
      <c r="J612" s="170"/>
      <c r="K612" s="53"/>
      <c r="L612" s="53"/>
      <c r="M612" s="53"/>
      <c r="N612" s="171"/>
      <c r="O612" s="170"/>
      <c r="P612" s="53"/>
      <c r="Q612" s="53"/>
      <c r="R612" s="53"/>
      <c r="S612" s="171"/>
      <c r="T612" s="170"/>
      <c r="U612" s="53"/>
      <c r="V612" s="53"/>
      <c r="W612" s="53"/>
      <c r="X612" s="171"/>
      <c r="Y612" s="170"/>
      <c r="Z612" s="170"/>
      <c r="AA612" s="170"/>
      <c r="AB612" s="170"/>
      <c r="AC612" s="170"/>
      <c r="AD612" s="53"/>
      <c r="AE612" s="53"/>
    </row>
    <row r="613">
      <c r="A613" s="53"/>
      <c r="B613" s="53"/>
      <c r="C613" s="168"/>
      <c r="D613" s="169"/>
      <c r="E613" s="170"/>
      <c r="F613" s="53"/>
      <c r="G613" s="53"/>
      <c r="H613" s="53"/>
      <c r="I613" s="171"/>
      <c r="J613" s="170"/>
      <c r="K613" s="53"/>
      <c r="L613" s="53"/>
      <c r="M613" s="53"/>
      <c r="N613" s="171"/>
      <c r="O613" s="170"/>
      <c r="P613" s="53"/>
      <c r="Q613" s="53"/>
      <c r="R613" s="53"/>
      <c r="S613" s="171"/>
      <c r="T613" s="170"/>
      <c r="U613" s="53"/>
      <c r="V613" s="53"/>
      <c r="W613" s="53"/>
      <c r="X613" s="171"/>
      <c r="Y613" s="170"/>
      <c r="Z613" s="170"/>
      <c r="AA613" s="170"/>
      <c r="AB613" s="170"/>
      <c r="AC613" s="170"/>
      <c r="AD613" s="53"/>
      <c r="AE613" s="53"/>
    </row>
    <row r="614">
      <c r="A614" s="53"/>
      <c r="B614" s="53"/>
      <c r="C614" s="168"/>
      <c r="D614" s="169"/>
      <c r="E614" s="170"/>
      <c r="F614" s="53"/>
      <c r="G614" s="53"/>
      <c r="H614" s="53"/>
      <c r="I614" s="171"/>
      <c r="J614" s="170"/>
      <c r="K614" s="53"/>
      <c r="L614" s="53"/>
      <c r="M614" s="53"/>
      <c r="N614" s="171"/>
      <c r="O614" s="170"/>
      <c r="P614" s="53"/>
      <c r="Q614" s="53"/>
      <c r="R614" s="53"/>
      <c r="S614" s="171"/>
      <c r="T614" s="170"/>
      <c r="U614" s="53"/>
      <c r="V614" s="53"/>
      <c r="W614" s="53"/>
      <c r="X614" s="171"/>
      <c r="Y614" s="170"/>
      <c r="Z614" s="170"/>
      <c r="AA614" s="170"/>
      <c r="AB614" s="170"/>
      <c r="AC614" s="170"/>
      <c r="AD614" s="53"/>
      <c r="AE614" s="53"/>
    </row>
    <row r="615">
      <c r="A615" s="53"/>
      <c r="B615" s="53"/>
      <c r="C615" s="168"/>
      <c r="D615" s="169"/>
      <c r="E615" s="170"/>
      <c r="F615" s="53"/>
      <c r="G615" s="53"/>
      <c r="H615" s="53"/>
      <c r="I615" s="171"/>
      <c r="J615" s="170"/>
      <c r="K615" s="53"/>
      <c r="L615" s="53"/>
      <c r="M615" s="53"/>
      <c r="N615" s="171"/>
      <c r="O615" s="170"/>
      <c r="P615" s="53"/>
      <c r="Q615" s="53"/>
      <c r="R615" s="53"/>
      <c r="S615" s="171"/>
      <c r="T615" s="170"/>
      <c r="U615" s="53"/>
      <c r="V615" s="53"/>
      <c r="W615" s="53"/>
      <c r="X615" s="171"/>
      <c r="Y615" s="170"/>
      <c r="Z615" s="170"/>
      <c r="AA615" s="170"/>
      <c r="AB615" s="170"/>
      <c r="AC615" s="170"/>
      <c r="AD615" s="53"/>
      <c r="AE615" s="53"/>
    </row>
    <row r="616">
      <c r="A616" s="53"/>
      <c r="B616" s="53"/>
      <c r="C616" s="168"/>
      <c r="D616" s="169"/>
      <c r="E616" s="170"/>
      <c r="F616" s="53"/>
      <c r="G616" s="53"/>
      <c r="H616" s="53"/>
      <c r="I616" s="171"/>
      <c r="J616" s="170"/>
      <c r="K616" s="53"/>
      <c r="L616" s="53"/>
      <c r="M616" s="53"/>
      <c r="N616" s="171"/>
      <c r="O616" s="170"/>
      <c r="P616" s="53"/>
      <c r="Q616" s="53"/>
      <c r="R616" s="53"/>
      <c r="S616" s="171"/>
      <c r="T616" s="170"/>
      <c r="U616" s="53"/>
      <c r="V616" s="53"/>
      <c r="W616" s="53"/>
      <c r="X616" s="171"/>
      <c r="Y616" s="170"/>
      <c r="Z616" s="170"/>
      <c r="AA616" s="170"/>
      <c r="AB616" s="170"/>
      <c r="AC616" s="170"/>
      <c r="AD616" s="53"/>
      <c r="AE616" s="53"/>
    </row>
    <row r="617">
      <c r="A617" s="53"/>
      <c r="B617" s="53"/>
      <c r="C617" s="168"/>
      <c r="D617" s="169"/>
      <c r="E617" s="170"/>
      <c r="F617" s="53"/>
      <c r="G617" s="53"/>
      <c r="H617" s="53"/>
      <c r="I617" s="171"/>
      <c r="J617" s="170"/>
      <c r="K617" s="53"/>
      <c r="L617" s="53"/>
      <c r="M617" s="53"/>
      <c r="N617" s="171"/>
      <c r="O617" s="170"/>
      <c r="P617" s="53"/>
      <c r="Q617" s="53"/>
      <c r="R617" s="53"/>
      <c r="S617" s="171"/>
      <c r="T617" s="170"/>
      <c r="U617" s="53"/>
      <c r="V617" s="53"/>
      <c r="W617" s="53"/>
      <c r="X617" s="171"/>
      <c r="Y617" s="170"/>
      <c r="Z617" s="170"/>
      <c r="AA617" s="170"/>
      <c r="AB617" s="170"/>
      <c r="AC617" s="170"/>
      <c r="AD617" s="53"/>
      <c r="AE617" s="53"/>
    </row>
    <row r="618">
      <c r="A618" s="53"/>
      <c r="B618" s="53"/>
      <c r="C618" s="168"/>
      <c r="D618" s="169"/>
      <c r="E618" s="170"/>
      <c r="F618" s="53"/>
      <c r="G618" s="53"/>
      <c r="H618" s="53"/>
      <c r="I618" s="171"/>
      <c r="J618" s="170"/>
      <c r="K618" s="53"/>
      <c r="L618" s="53"/>
      <c r="M618" s="53"/>
      <c r="N618" s="171"/>
      <c r="O618" s="170"/>
      <c r="P618" s="53"/>
      <c r="Q618" s="53"/>
      <c r="R618" s="53"/>
      <c r="S618" s="171"/>
      <c r="T618" s="170"/>
      <c r="U618" s="53"/>
      <c r="V618" s="53"/>
      <c r="W618" s="53"/>
      <c r="X618" s="171"/>
      <c r="Y618" s="170"/>
      <c r="Z618" s="170"/>
      <c r="AA618" s="170"/>
      <c r="AB618" s="170"/>
      <c r="AC618" s="170"/>
      <c r="AD618" s="53"/>
      <c r="AE618" s="53"/>
    </row>
    <row r="619">
      <c r="A619" s="53"/>
      <c r="B619" s="53"/>
      <c r="C619" s="168"/>
      <c r="D619" s="169"/>
      <c r="E619" s="170"/>
      <c r="F619" s="53"/>
      <c r="G619" s="53"/>
      <c r="H619" s="53"/>
      <c r="I619" s="171"/>
      <c r="J619" s="170"/>
      <c r="K619" s="53"/>
      <c r="L619" s="53"/>
      <c r="M619" s="53"/>
      <c r="N619" s="171"/>
      <c r="O619" s="170"/>
      <c r="P619" s="53"/>
      <c r="Q619" s="53"/>
      <c r="R619" s="53"/>
      <c r="S619" s="171"/>
      <c r="T619" s="170"/>
      <c r="U619" s="53"/>
      <c r="V619" s="53"/>
      <c r="W619" s="53"/>
      <c r="X619" s="171"/>
      <c r="Y619" s="170"/>
      <c r="Z619" s="170"/>
      <c r="AA619" s="170"/>
      <c r="AB619" s="170"/>
      <c r="AC619" s="170"/>
      <c r="AD619" s="53"/>
      <c r="AE619" s="53"/>
    </row>
    <row r="620">
      <c r="A620" s="53"/>
      <c r="B620" s="53"/>
      <c r="C620" s="168"/>
      <c r="D620" s="169"/>
      <c r="E620" s="170"/>
      <c r="F620" s="53"/>
      <c r="G620" s="53"/>
      <c r="H620" s="53"/>
      <c r="I620" s="171"/>
      <c r="J620" s="170"/>
      <c r="K620" s="53"/>
      <c r="L620" s="53"/>
      <c r="M620" s="53"/>
      <c r="N620" s="171"/>
      <c r="O620" s="170"/>
      <c r="P620" s="53"/>
      <c r="Q620" s="53"/>
      <c r="R620" s="53"/>
      <c r="S620" s="171"/>
      <c r="T620" s="170"/>
      <c r="U620" s="53"/>
      <c r="V620" s="53"/>
      <c r="W620" s="53"/>
      <c r="X620" s="171"/>
      <c r="Y620" s="170"/>
      <c r="Z620" s="170"/>
      <c r="AA620" s="170"/>
      <c r="AB620" s="170"/>
      <c r="AC620" s="170"/>
      <c r="AD620" s="53"/>
      <c r="AE620" s="53"/>
    </row>
    <row r="621">
      <c r="A621" s="53"/>
      <c r="B621" s="53"/>
      <c r="C621" s="168"/>
      <c r="D621" s="169"/>
      <c r="E621" s="170"/>
      <c r="F621" s="53"/>
      <c r="G621" s="53"/>
      <c r="H621" s="53"/>
      <c r="I621" s="171"/>
      <c r="J621" s="170"/>
      <c r="K621" s="53"/>
      <c r="L621" s="53"/>
      <c r="M621" s="53"/>
      <c r="N621" s="171"/>
      <c r="O621" s="170"/>
      <c r="P621" s="53"/>
      <c r="Q621" s="53"/>
      <c r="R621" s="53"/>
      <c r="S621" s="171"/>
      <c r="T621" s="170"/>
      <c r="U621" s="53"/>
      <c r="V621" s="53"/>
      <c r="W621" s="53"/>
      <c r="X621" s="171"/>
      <c r="Y621" s="170"/>
      <c r="Z621" s="170"/>
      <c r="AA621" s="170"/>
      <c r="AB621" s="170"/>
      <c r="AC621" s="170"/>
      <c r="AD621" s="53"/>
      <c r="AE621" s="53"/>
    </row>
    <row r="622">
      <c r="A622" s="53"/>
      <c r="B622" s="53"/>
      <c r="C622" s="168"/>
      <c r="D622" s="169"/>
      <c r="E622" s="170"/>
      <c r="F622" s="53"/>
      <c r="G622" s="53"/>
      <c r="H622" s="53"/>
      <c r="I622" s="171"/>
      <c r="J622" s="170"/>
      <c r="K622" s="53"/>
      <c r="L622" s="53"/>
      <c r="M622" s="53"/>
      <c r="N622" s="171"/>
      <c r="O622" s="170"/>
      <c r="P622" s="53"/>
      <c r="Q622" s="53"/>
      <c r="R622" s="53"/>
      <c r="S622" s="171"/>
      <c r="T622" s="170"/>
      <c r="U622" s="53"/>
      <c r="V622" s="53"/>
      <c r="W622" s="53"/>
      <c r="X622" s="171"/>
      <c r="Y622" s="170"/>
      <c r="Z622" s="170"/>
      <c r="AA622" s="170"/>
      <c r="AB622" s="170"/>
      <c r="AC622" s="170"/>
      <c r="AD622" s="53"/>
      <c r="AE622" s="53"/>
    </row>
    <row r="623">
      <c r="A623" s="53"/>
      <c r="B623" s="53"/>
      <c r="C623" s="168"/>
      <c r="D623" s="169"/>
      <c r="E623" s="170"/>
      <c r="F623" s="53"/>
      <c r="G623" s="53"/>
      <c r="H623" s="53"/>
      <c r="I623" s="171"/>
      <c r="J623" s="170"/>
      <c r="K623" s="53"/>
      <c r="L623" s="53"/>
      <c r="M623" s="53"/>
      <c r="N623" s="171"/>
      <c r="O623" s="170"/>
      <c r="P623" s="53"/>
      <c r="Q623" s="53"/>
      <c r="R623" s="53"/>
      <c r="S623" s="171"/>
      <c r="T623" s="170"/>
      <c r="U623" s="53"/>
      <c r="V623" s="53"/>
      <c r="W623" s="53"/>
      <c r="X623" s="171"/>
      <c r="Y623" s="170"/>
      <c r="Z623" s="170"/>
      <c r="AA623" s="170"/>
      <c r="AB623" s="170"/>
      <c r="AC623" s="170"/>
      <c r="AD623" s="53"/>
      <c r="AE623" s="53"/>
    </row>
    <row r="624">
      <c r="A624" s="53"/>
      <c r="B624" s="53"/>
      <c r="C624" s="168"/>
      <c r="D624" s="169"/>
      <c r="E624" s="170"/>
      <c r="F624" s="53"/>
      <c r="G624" s="53"/>
      <c r="H624" s="53"/>
      <c r="I624" s="171"/>
      <c r="J624" s="170"/>
      <c r="K624" s="53"/>
      <c r="L624" s="53"/>
      <c r="M624" s="53"/>
      <c r="N624" s="171"/>
      <c r="O624" s="170"/>
      <c r="P624" s="53"/>
      <c r="Q624" s="53"/>
      <c r="R624" s="53"/>
      <c r="S624" s="171"/>
      <c r="T624" s="170"/>
      <c r="U624" s="53"/>
      <c r="V624" s="53"/>
      <c r="W624" s="53"/>
      <c r="X624" s="171"/>
      <c r="Y624" s="170"/>
      <c r="Z624" s="170"/>
      <c r="AA624" s="170"/>
      <c r="AB624" s="170"/>
      <c r="AC624" s="170"/>
      <c r="AD624" s="53"/>
      <c r="AE624" s="53"/>
    </row>
    <row r="625">
      <c r="A625" s="53"/>
      <c r="B625" s="53"/>
      <c r="C625" s="168"/>
      <c r="D625" s="169"/>
      <c r="E625" s="170"/>
      <c r="F625" s="53"/>
      <c r="G625" s="53"/>
      <c r="H625" s="53"/>
      <c r="I625" s="171"/>
      <c r="J625" s="170"/>
      <c r="K625" s="53"/>
      <c r="L625" s="53"/>
      <c r="M625" s="53"/>
      <c r="N625" s="171"/>
      <c r="O625" s="170"/>
      <c r="P625" s="53"/>
      <c r="Q625" s="53"/>
      <c r="R625" s="53"/>
      <c r="S625" s="171"/>
      <c r="T625" s="170"/>
      <c r="U625" s="53"/>
      <c r="V625" s="53"/>
      <c r="W625" s="53"/>
      <c r="X625" s="171"/>
      <c r="Y625" s="170"/>
      <c r="Z625" s="170"/>
      <c r="AA625" s="170"/>
      <c r="AB625" s="170"/>
      <c r="AC625" s="170"/>
      <c r="AD625" s="53"/>
      <c r="AE625" s="53"/>
    </row>
    <row r="626">
      <c r="A626" s="53"/>
      <c r="B626" s="53"/>
      <c r="C626" s="168"/>
      <c r="D626" s="169"/>
      <c r="E626" s="170"/>
      <c r="F626" s="53"/>
      <c r="G626" s="53"/>
      <c r="H626" s="53"/>
      <c r="I626" s="171"/>
      <c r="J626" s="170"/>
      <c r="K626" s="53"/>
      <c r="L626" s="53"/>
      <c r="M626" s="53"/>
      <c r="N626" s="171"/>
      <c r="O626" s="170"/>
      <c r="P626" s="53"/>
      <c r="Q626" s="53"/>
      <c r="R626" s="53"/>
      <c r="S626" s="171"/>
      <c r="T626" s="170"/>
      <c r="U626" s="53"/>
      <c r="V626" s="53"/>
      <c r="W626" s="53"/>
      <c r="X626" s="171"/>
      <c r="Y626" s="170"/>
      <c r="Z626" s="170"/>
      <c r="AA626" s="170"/>
      <c r="AB626" s="170"/>
      <c r="AC626" s="170"/>
      <c r="AD626" s="53"/>
      <c r="AE626" s="53"/>
    </row>
    <row r="627">
      <c r="A627" s="53"/>
      <c r="B627" s="53"/>
      <c r="C627" s="168"/>
      <c r="D627" s="169"/>
      <c r="E627" s="170"/>
      <c r="F627" s="53"/>
      <c r="G627" s="53"/>
      <c r="H627" s="53"/>
      <c r="I627" s="171"/>
      <c r="J627" s="170"/>
      <c r="K627" s="53"/>
      <c r="L627" s="53"/>
      <c r="M627" s="53"/>
      <c r="N627" s="171"/>
      <c r="O627" s="170"/>
      <c r="P627" s="53"/>
      <c r="Q627" s="53"/>
      <c r="R627" s="53"/>
      <c r="S627" s="171"/>
      <c r="T627" s="170"/>
      <c r="U627" s="53"/>
      <c r="V627" s="53"/>
      <c r="W627" s="53"/>
      <c r="X627" s="171"/>
      <c r="Y627" s="170"/>
      <c r="Z627" s="170"/>
      <c r="AA627" s="170"/>
      <c r="AB627" s="170"/>
      <c r="AC627" s="170"/>
      <c r="AD627" s="53"/>
      <c r="AE627" s="53"/>
    </row>
    <row r="628">
      <c r="A628" s="53"/>
      <c r="B628" s="53"/>
      <c r="C628" s="168"/>
      <c r="D628" s="169"/>
      <c r="E628" s="170"/>
      <c r="F628" s="53"/>
      <c r="G628" s="53"/>
      <c r="H628" s="53"/>
      <c r="I628" s="171"/>
      <c r="J628" s="170"/>
      <c r="K628" s="53"/>
      <c r="L628" s="53"/>
      <c r="M628" s="53"/>
      <c r="N628" s="171"/>
      <c r="O628" s="170"/>
      <c r="P628" s="53"/>
      <c r="Q628" s="53"/>
      <c r="R628" s="53"/>
      <c r="S628" s="171"/>
      <c r="T628" s="170"/>
      <c r="U628" s="53"/>
      <c r="V628" s="53"/>
      <c r="W628" s="53"/>
      <c r="X628" s="171"/>
      <c r="Y628" s="170"/>
      <c r="Z628" s="170"/>
      <c r="AA628" s="170"/>
      <c r="AB628" s="170"/>
      <c r="AC628" s="170"/>
      <c r="AD628" s="53"/>
      <c r="AE628" s="53"/>
    </row>
    <row r="629">
      <c r="A629" s="53"/>
      <c r="B629" s="53"/>
      <c r="C629" s="168"/>
      <c r="D629" s="169"/>
      <c r="E629" s="170"/>
      <c r="F629" s="53"/>
      <c r="G629" s="53"/>
      <c r="H629" s="53"/>
      <c r="I629" s="171"/>
      <c r="J629" s="170"/>
      <c r="K629" s="53"/>
      <c r="L629" s="53"/>
      <c r="M629" s="53"/>
      <c r="N629" s="171"/>
      <c r="O629" s="170"/>
      <c r="P629" s="53"/>
      <c r="Q629" s="53"/>
      <c r="R629" s="53"/>
      <c r="S629" s="171"/>
      <c r="T629" s="170"/>
      <c r="U629" s="53"/>
      <c r="V629" s="53"/>
      <c r="W629" s="53"/>
      <c r="X629" s="171"/>
      <c r="Y629" s="170"/>
      <c r="Z629" s="170"/>
      <c r="AA629" s="170"/>
      <c r="AB629" s="170"/>
      <c r="AC629" s="170"/>
      <c r="AD629" s="53"/>
      <c r="AE629" s="53"/>
    </row>
    <row r="630">
      <c r="A630" s="53"/>
      <c r="B630" s="53"/>
      <c r="C630" s="168"/>
      <c r="D630" s="169"/>
      <c r="E630" s="170"/>
      <c r="F630" s="53"/>
      <c r="G630" s="53"/>
      <c r="H630" s="53"/>
      <c r="I630" s="171"/>
      <c r="J630" s="170"/>
      <c r="K630" s="53"/>
      <c r="L630" s="53"/>
      <c r="M630" s="53"/>
      <c r="N630" s="171"/>
      <c r="O630" s="170"/>
      <c r="P630" s="53"/>
      <c r="Q630" s="53"/>
      <c r="R630" s="53"/>
      <c r="S630" s="171"/>
      <c r="T630" s="170"/>
      <c r="U630" s="53"/>
      <c r="V630" s="53"/>
      <c r="W630" s="53"/>
      <c r="X630" s="171"/>
      <c r="Y630" s="170"/>
      <c r="Z630" s="170"/>
      <c r="AA630" s="170"/>
      <c r="AB630" s="170"/>
      <c r="AC630" s="170"/>
      <c r="AD630" s="53"/>
      <c r="AE630" s="53"/>
    </row>
    <row r="631">
      <c r="A631" s="53"/>
      <c r="B631" s="53"/>
      <c r="C631" s="168"/>
      <c r="D631" s="169"/>
      <c r="E631" s="170"/>
      <c r="F631" s="53"/>
      <c r="G631" s="53"/>
      <c r="H631" s="53"/>
      <c r="I631" s="171"/>
      <c r="J631" s="170"/>
      <c r="K631" s="53"/>
      <c r="L631" s="53"/>
      <c r="M631" s="53"/>
      <c r="N631" s="171"/>
      <c r="O631" s="170"/>
      <c r="P631" s="53"/>
      <c r="Q631" s="53"/>
      <c r="R631" s="53"/>
      <c r="S631" s="171"/>
      <c r="T631" s="170"/>
      <c r="U631" s="53"/>
      <c r="V631" s="53"/>
      <c r="W631" s="53"/>
      <c r="X631" s="171"/>
      <c r="Y631" s="170"/>
      <c r="Z631" s="170"/>
      <c r="AA631" s="170"/>
      <c r="AB631" s="170"/>
      <c r="AC631" s="170"/>
      <c r="AD631" s="53"/>
      <c r="AE631" s="53"/>
    </row>
    <row r="632">
      <c r="A632" s="53"/>
      <c r="B632" s="53"/>
      <c r="C632" s="168"/>
      <c r="D632" s="169"/>
      <c r="E632" s="170"/>
      <c r="F632" s="53"/>
      <c r="G632" s="53"/>
      <c r="H632" s="53"/>
      <c r="I632" s="171"/>
      <c r="J632" s="170"/>
      <c r="K632" s="53"/>
      <c r="L632" s="53"/>
      <c r="M632" s="53"/>
      <c r="N632" s="171"/>
      <c r="O632" s="170"/>
      <c r="P632" s="53"/>
      <c r="Q632" s="53"/>
      <c r="R632" s="53"/>
      <c r="S632" s="171"/>
      <c r="T632" s="170"/>
      <c r="U632" s="53"/>
      <c r="V632" s="53"/>
      <c r="W632" s="53"/>
      <c r="X632" s="171"/>
      <c r="Y632" s="170"/>
      <c r="Z632" s="170"/>
      <c r="AA632" s="170"/>
      <c r="AB632" s="170"/>
      <c r="AC632" s="170"/>
      <c r="AD632" s="53"/>
      <c r="AE632" s="53"/>
    </row>
    <row r="633">
      <c r="A633" s="53"/>
      <c r="B633" s="53"/>
      <c r="C633" s="168"/>
      <c r="D633" s="169"/>
      <c r="E633" s="170"/>
      <c r="F633" s="53"/>
      <c r="G633" s="53"/>
      <c r="H633" s="53"/>
      <c r="I633" s="171"/>
      <c r="J633" s="170"/>
      <c r="K633" s="53"/>
      <c r="L633" s="53"/>
      <c r="M633" s="53"/>
      <c r="N633" s="171"/>
      <c r="O633" s="170"/>
      <c r="P633" s="53"/>
      <c r="Q633" s="53"/>
      <c r="R633" s="53"/>
      <c r="S633" s="171"/>
      <c r="T633" s="170"/>
      <c r="U633" s="53"/>
      <c r="V633" s="53"/>
      <c r="W633" s="53"/>
      <c r="X633" s="171"/>
      <c r="Y633" s="170"/>
      <c r="Z633" s="170"/>
      <c r="AA633" s="170"/>
      <c r="AB633" s="170"/>
      <c r="AC633" s="170"/>
      <c r="AD633" s="53"/>
      <c r="AE633" s="53"/>
    </row>
    <row r="634">
      <c r="A634" s="53"/>
      <c r="B634" s="53"/>
      <c r="C634" s="168"/>
      <c r="D634" s="169"/>
      <c r="E634" s="170"/>
      <c r="F634" s="53"/>
      <c r="G634" s="53"/>
      <c r="H634" s="53"/>
      <c r="I634" s="171"/>
      <c r="J634" s="170"/>
      <c r="K634" s="53"/>
      <c r="L634" s="53"/>
      <c r="M634" s="53"/>
      <c r="N634" s="171"/>
      <c r="O634" s="170"/>
      <c r="P634" s="53"/>
      <c r="Q634" s="53"/>
      <c r="R634" s="53"/>
      <c r="S634" s="171"/>
      <c r="T634" s="170"/>
      <c r="U634" s="53"/>
      <c r="V634" s="53"/>
      <c r="W634" s="53"/>
      <c r="X634" s="171"/>
      <c r="Y634" s="170"/>
      <c r="Z634" s="170"/>
      <c r="AA634" s="170"/>
      <c r="AB634" s="170"/>
      <c r="AC634" s="170"/>
      <c r="AD634" s="53"/>
      <c r="AE634" s="53"/>
    </row>
    <row r="635">
      <c r="A635" s="53"/>
      <c r="B635" s="53"/>
      <c r="C635" s="168"/>
      <c r="D635" s="169"/>
      <c r="E635" s="170"/>
      <c r="F635" s="53"/>
      <c r="G635" s="53"/>
      <c r="H635" s="53"/>
      <c r="I635" s="171"/>
      <c r="J635" s="170"/>
      <c r="K635" s="53"/>
      <c r="L635" s="53"/>
      <c r="M635" s="53"/>
      <c r="N635" s="171"/>
      <c r="O635" s="170"/>
      <c r="P635" s="53"/>
      <c r="Q635" s="53"/>
      <c r="R635" s="53"/>
      <c r="S635" s="171"/>
      <c r="T635" s="170"/>
      <c r="U635" s="53"/>
      <c r="V635" s="53"/>
      <c r="W635" s="53"/>
      <c r="X635" s="171"/>
      <c r="Y635" s="170"/>
      <c r="Z635" s="170"/>
      <c r="AA635" s="170"/>
      <c r="AB635" s="170"/>
      <c r="AC635" s="170"/>
      <c r="AD635" s="53"/>
      <c r="AE635" s="53"/>
    </row>
    <row r="636">
      <c r="A636" s="53"/>
      <c r="B636" s="53"/>
      <c r="C636" s="168"/>
      <c r="D636" s="169"/>
      <c r="E636" s="170"/>
      <c r="F636" s="53"/>
      <c r="G636" s="53"/>
      <c r="H636" s="53"/>
      <c r="I636" s="171"/>
      <c r="J636" s="170"/>
      <c r="K636" s="53"/>
      <c r="L636" s="53"/>
      <c r="M636" s="53"/>
      <c r="N636" s="171"/>
      <c r="O636" s="170"/>
      <c r="P636" s="53"/>
      <c r="Q636" s="53"/>
      <c r="R636" s="53"/>
      <c r="S636" s="171"/>
      <c r="T636" s="170"/>
      <c r="U636" s="53"/>
      <c r="V636" s="53"/>
      <c r="W636" s="53"/>
      <c r="X636" s="171"/>
      <c r="Y636" s="170"/>
      <c r="Z636" s="170"/>
      <c r="AA636" s="170"/>
      <c r="AB636" s="170"/>
      <c r="AC636" s="170"/>
      <c r="AD636" s="53"/>
      <c r="AE636" s="53"/>
    </row>
    <row r="637">
      <c r="A637" s="53"/>
      <c r="B637" s="53"/>
      <c r="C637" s="168"/>
      <c r="D637" s="169"/>
      <c r="E637" s="170"/>
      <c r="F637" s="53"/>
      <c r="G637" s="53"/>
      <c r="H637" s="53"/>
      <c r="I637" s="171"/>
      <c r="J637" s="170"/>
      <c r="K637" s="53"/>
      <c r="L637" s="53"/>
      <c r="M637" s="53"/>
      <c r="N637" s="171"/>
      <c r="O637" s="170"/>
      <c r="P637" s="53"/>
      <c r="Q637" s="53"/>
      <c r="R637" s="53"/>
      <c r="S637" s="171"/>
      <c r="T637" s="170"/>
      <c r="U637" s="53"/>
      <c r="V637" s="53"/>
      <c r="W637" s="53"/>
      <c r="X637" s="171"/>
      <c r="Y637" s="170"/>
      <c r="Z637" s="170"/>
      <c r="AA637" s="170"/>
      <c r="AB637" s="170"/>
      <c r="AC637" s="170"/>
      <c r="AD637" s="53"/>
      <c r="AE637" s="53"/>
    </row>
    <row r="638">
      <c r="A638" s="53"/>
      <c r="B638" s="53"/>
      <c r="C638" s="168"/>
      <c r="D638" s="169"/>
      <c r="E638" s="170"/>
      <c r="F638" s="53"/>
      <c r="G638" s="53"/>
      <c r="H638" s="53"/>
      <c r="I638" s="171"/>
      <c r="J638" s="170"/>
      <c r="K638" s="53"/>
      <c r="L638" s="53"/>
      <c r="M638" s="53"/>
      <c r="N638" s="171"/>
      <c r="O638" s="170"/>
      <c r="P638" s="53"/>
      <c r="Q638" s="53"/>
      <c r="R638" s="53"/>
      <c r="S638" s="171"/>
      <c r="T638" s="170"/>
      <c r="U638" s="53"/>
      <c r="V638" s="53"/>
      <c r="W638" s="53"/>
      <c r="X638" s="171"/>
      <c r="Y638" s="170"/>
      <c r="Z638" s="170"/>
      <c r="AA638" s="170"/>
      <c r="AB638" s="170"/>
      <c r="AC638" s="170"/>
      <c r="AD638" s="53"/>
      <c r="AE638" s="53"/>
    </row>
    <row r="639">
      <c r="A639" s="53"/>
      <c r="B639" s="53"/>
      <c r="C639" s="168"/>
      <c r="D639" s="169"/>
      <c r="E639" s="170"/>
      <c r="F639" s="53"/>
      <c r="G639" s="53"/>
      <c r="H639" s="53"/>
      <c r="I639" s="171"/>
      <c r="J639" s="170"/>
      <c r="K639" s="53"/>
      <c r="L639" s="53"/>
      <c r="M639" s="53"/>
      <c r="N639" s="171"/>
      <c r="O639" s="170"/>
      <c r="P639" s="53"/>
      <c r="Q639" s="53"/>
      <c r="R639" s="53"/>
      <c r="S639" s="171"/>
      <c r="T639" s="170"/>
      <c r="U639" s="53"/>
      <c r="V639" s="53"/>
      <c r="W639" s="53"/>
      <c r="X639" s="171"/>
      <c r="Y639" s="170"/>
      <c r="Z639" s="170"/>
      <c r="AA639" s="170"/>
      <c r="AB639" s="170"/>
      <c r="AC639" s="170"/>
      <c r="AD639" s="53"/>
      <c r="AE639" s="53"/>
    </row>
    <row r="640">
      <c r="A640" s="53"/>
      <c r="B640" s="53"/>
      <c r="C640" s="168"/>
      <c r="D640" s="169"/>
      <c r="E640" s="170"/>
      <c r="F640" s="53"/>
      <c r="G640" s="53"/>
      <c r="H640" s="53"/>
      <c r="I640" s="171"/>
      <c r="J640" s="170"/>
      <c r="K640" s="53"/>
      <c r="L640" s="53"/>
      <c r="M640" s="53"/>
      <c r="N640" s="171"/>
      <c r="O640" s="170"/>
      <c r="P640" s="53"/>
      <c r="Q640" s="53"/>
      <c r="R640" s="53"/>
      <c r="S640" s="171"/>
      <c r="T640" s="170"/>
      <c r="U640" s="53"/>
      <c r="V640" s="53"/>
      <c r="W640" s="53"/>
      <c r="X640" s="171"/>
      <c r="Y640" s="170"/>
      <c r="Z640" s="170"/>
      <c r="AA640" s="170"/>
      <c r="AB640" s="170"/>
      <c r="AC640" s="170"/>
      <c r="AD640" s="53"/>
      <c r="AE640" s="53"/>
    </row>
    <row r="641">
      <c r="A641" s="53"/>
      <c r="B641" s="53"/>
      <c r="C641" s="168"/>
      <c r="D641" s="169"/>
      <c r="E641" s="170"/>
      <c r="F641" s="53"/>
      <c r="G641" s="53"/>
      <c r="H641" s="53"/>
      <c r="I641" s="171"/>
      <c r="J641" s="170"/>
      <c r="K641" s="53"/>
      <c r="L641" s="53"/>
      <c r="M641" s="53"/>
      <c r="N641" s="171"/>
      <c r="O641" s="170"/>
      <c r="P641" s="53"/>
      <c r="Q641" s="53"/>
      <c r="R641" s="53"/>
      <c r="S641" s="171"/>
      <c r="T641" s="170"/>
      <c r="U641" s="53"/>
      <c r="V641" s="53"/>
      <c r="W641" s="53"/>
      <c r="X641" s="171"/>
      <c r="Y641" s="170"/>
      <c r="Z641" s="170"/>
      <c r="AA641" s="170"/>
      <c r="AB641" s="170"/>
      <c r="AC641" s="170"/>
      <c r="AD641" s="53"/>
      <c r="AE641" s="53"/>
    </row>
    <row r="642">
      <c r="A642" s="53"/>
      <c r="B642" s="53"/>
      <c r="C642" s="168"/>
      <c r="D642" s="169"/>
      <c r="E642" s="170"/>
      <c r="F642" s="53"/>
      <c r="G642" s="53"/>
      <c r="H642" s="53"/>
      <c r="I642" s="171"/>
      <c r="J642" s="170"/>
      <c r="K642" s="53"/>
      <c r="L642" s="53"/>
      <c r="M642" s="53"/>
      <c r="N642" s="171"/>
      <c r="O642" s="170"/>
      <c r="P642" s="53"/>
      <c r="Q642" s="53"/>
      <c r="R642" s="53"/>
      <c r="S642" s="171"/>
      <c r="T642" s="170"/>
      <c r="U642" s="53"/>
      <c r="V642" s="53"/>
      <c r="W642" s="53"/>
      <c r="X642" s="171"/>
      <c r="Y642" s="170"/>
      <c r="Z642" s="170"/>
      <c r="AA642" s="170"/>
      <c r="AB642" s="170"/>
      <c r="AC642" s="170"/>
      <c r="AD642" s="53"/>
      <c r="AE642" s="53"/>
    </row>
    <row r="643">
      <c r="A643" s="53"/>
      <c r="B643" s="53"/>
      <c r="C643" s="168"/>
      <c r="D643" s="169"/>
      <c r="E643" s="170"/>
      <c r="F643" s="53"/>
      <c r="G643" s="53"/>
      <c r="H643" s="53"/>
      <c r="I643" s="171"/>
      <c r="J643" s="170"/>
      <c r="K643" s="53"/>
      <c r="L643" s="53"/>
      <c r="M643" s="53"/>
      <c r="N643" s="171"/>
      <c r="O643" s="170"/>
      <c r="P643" s="53"/>
      <c r="Q643" s="53"/>
      <c r="R643" s="53"/>
      <c r="S643" s="171"/>
      <c r="T643" s="170"/>
      <c r="U643" s="53"/>
      <c r="V643" s="53"/>
      <c r="W643" s="53"/>
      <c r="X643" s="171"/>
      <c r="Y643" s="170"/>
      <c r="Z643" s="170"/>
      <c r="AA643" s="170"/>
      <c r="AB643" s="170"/>
      <c r="AC643" s="170"/>
      <c r="AD643" s="53"/>
      <c r="AE643" s="53"/>
    </row>
    <row r="644">
      <c r="A644" s="53"/>
      <c r="B644" s="53"/>
      <c r="C644" s="168"/>
      <c r="D644" s="169"/>
      <c r="E644" s="170"/>
      <c r="F644" s="53"/>
      <c r="G644" s="53"/>
      <c r="H644" s="53"/>
      <c r="I644" s="171"/>
      <c r="J644" s="170"/>
      <c r="K644" s="53"/>
      <c r="L644" s="53"/>
      <c r="M644" s="53"/>
      <c r="N644" s="171"/>
      <c r="O644" s="170"/>
      <c r="P644" s="53"/>
      <c r="Q644" s="53"/>
      <c r="R644" s="53"/>
      <c r="S644" s="171"/>
      <c r="T644" s="170"/>
      <c r="U644" s="53"/>
      <c r="V644" s="53"/>
      <c r="W644" s="53"/>
      <c r="X644" s="171"/>
      <c r="Y644" s="170"/>
      <c r="Z644" s="170"/>
      <c r="AA644" s="170"/>
      <c r="AB644" s="170"/>
      <c r="AC644" s="170"/>
      <c r="AD644" s="53"/>
      <c r="AE644" s="53"/>
    </row>
    <row r="645">
      <c r="A645" s="53"/>
      <c r="B645" s="53"/>
      <c r="C645" s="168"/>
      <c r="D645" s="169"/>
      <c r="E645" s="170"/>
      <c r="F645" s="53"/>
      <c r="G645" s="53"/>
      <c r="H645" s="53"/>
      <c r="I645" s="171"/>
      <c r="J645" s="170"/>
      <c r="K645" s="53"/>
      <c r="L645" s="53"/>
      <c r="M645" s="53"/>
      <c r="N645" s="171"/>
      <c r="O645" s="170"/>
      <c r="P645" s="53"/>
      <c r="Q645" s="53"/>
      <c r="R645" s="53"/>
      <c r="S645" s="171"/>
      <c r="T645" s="170"/>
      <c r="U645" s="53"/>
      <c r="V645" s="53"/>
      <c r="W645" s="53"/>
      <c r="X645" s="171"/>
      <c r="Y645" s="170"/>
      <c r="Z645" s="170"/>
      <c r="AA645" s="170"/>
      <c r="AB645" s="170"/>
      <c r="AC645" s="170"/>
      <c r="AD645" s="53"/>
      <c r="AE645" s="53"/>
    </row>
    <row r="646">
      <c r="A646" s="53"/>
      <c r="B646" s="53"/>
      <c r="C646" s="168"/>
      <c r="D646" s="169"/>
      <c r="E646" s="170"/>
      <c r="F646" s="53"/>
      <c r="G646" s="53"/>
      <c r="H646" s="53"/>
      <c r="I646" s="171"/>
      <c r="J646" s="170"/>
      <c r="K646" s="53"/>
      <c r="L646" s="53"/>
      <c r="M646" s="53"/>
      <c r="N646" s="171"/>
      <c r="O646" s="170"/>
      <c r="P646" s="53"/>
      <c r="Q646" s="53"/>
      <c r="R646" s="53"/>
      <c r="S646" s="171"/>
      <c r="T646" s="170"/>
      <c r="U646" s="53"/>
      <c r="V646" s="53"/>
      <c r="W646" s="53"/>
      <c r="X646" s="171"/>
      <c r="Y646" s="170"/>
      <c r="Z646" s="170"/>
      <c r="AA646" s="170"/>
      <c r="AB646" s="170"/>
      <c r="AC646" s="170"/>
      <c r="AD646" s="53"/>
      <c r="AE646" s="53"/>
    </row>
    <row r="647">
      <c r="A647" s="53"/>
      <c r="B647" s="53"/>
      <c r="C647" s="168"/>
      <c r="D647" s="169"/>
      <c r="E647" s="170"/>
      <c r="F647" s="53"/>
      <c r="G647" s="53"/>
      <c r="H647" s="53"/>
      <c r="I647" s="171"/>
      <c r="J647" s="170"/>
      <c r="K647" s="53"/>
      <c r="L647" s="53"/>
      <c r="M647" s="53"/>
      <c r="N647" s="171"/>
      <c r="O647" s="170"/>
      <c r="P647" s="53"/>
      <c r="Q647" s="53"/>
      <c r="R647" s="53"/>
      <c r="S647" s="171"/>
      <c r="T647" s="170"/>
      <c r="U647" s="53"/>
      <c r="V647" s="53"/>
      <c r="W647" s="53"/>
      <c r="X647" s="171"/>
      <c r="Y647" s="170"/>
      <c r="Z647" s="170"/>
      <c r="AA647" s="170"/>
      <c r="AB647" s="170"/>
      <c r="AC647" s="170"/>
      <c r="AD647" s="53"/>
      <c r="AE647" s="53"/>
    </row>
    <row r="648">
      <c r="A648" s="53"/>
      <c r="B648" s="53"/>
      <c r="C648" s="168"/>
      <c r="D648" s="169"/>
      <c r="E648" s="170"/>
      <c r="F648" s="53"/>
      <c r="G648" s="53"/>
      <c r="H648" s="53"/>
      <c r="I648" s="171"/>
      <c r="J648" s="170"/>
      <c r="K648" s="53"/>
      <c r="L648" s="53"/>
      <c r="M648" s="53"/>
      <c r="N648" s="171"/>
      <c r="O648" s="170"/>
      <c r="P648" s="53"/>
      <c r="Q648" s="53"/>
      <c r="R648" s="53"/>
      <c r="S648" s="171"/>
      <c r="T648" s="170"/>
      <c r="U648" s="53"/>
      <c r="V648" s="53"/>
      <c r="W648" s="53"/>
      <c r="X648" s="171"/>
      <c r="Y648" s="170"/>
      <c r="Z648" s="170"/>
      <c r="AA648" s="170"/>
      <c r="AB648" s="170"/>
      <c r="AC648" s="170"/>
      <c r="AD648" s="53"/>
      <c r="AE648" s="53"/>
    </row>
    <row r="649">
      <c r="A649" s="53"/>
      <c r="B649" s="53"/>
      <c r="C649" s="168"/>
      <c r="D649" s="169"/>
      <c r="E649" s="170"/>
      <c r="F649" s="53"/>
      <c r="G649" s="53"/>
      <c r="H649" s="53"/>
      <c r="I649" s="171"/>
      <c r="J649" s="170"/>
      <c r="K649" s="53"/>
      <c r="L649" s="53"/>
      <c r="M649" s="53"/>
      <c r="N649" s="171"/>
      <c r="O649" s="170"/>
      <c r="P649" s="53"/>
      <c r="Q649" s="53"/>
      <c r="R649" s="53"/>
      <c r="S649" s="171"/>
      <c r="T649" s="170"/>
      <c r="U649" s="53"/>
      <c r="V649" s="53"/>
      <c r="W649" s="53"/>
      <c r="X649" s="171"/>
      <c r="Y649" s="170"/>
      <c r="Z649" s="170"/>
      <c r="AA649" s="170"/>
      <c r="AB649" s="170"/>
      <c r="AC649" s="170"/>
      <c r="AD649" s="53"/>
      <c r="AE649" s="53"/>
    </row>
    <row r="650">
      <c r="A650" s="53"/>
      <c r="B650" s="53"/>
      <c r="C650" s="168"/>
      <c r="D650" s="169"/>
      <c r="E650" s="170"/>
      <c r="F650" s="53"/>
      <c r="G650" s="53"/>
      <c r="H650" s="53"/>
      <c r="I650" s="171"/>
      <c r="J650" s="170"/>
      <c r="K650" s="53"/>
      <c r="L650" s="53"/>
      <c r="M650" s="53"/>
      <c r="N650" s="171"/>
      <c r="O650" s="170"/>
      <c r="P650" s="53"/>
      <c r="Q650" s="53"/>
      <c r="R650" s="53"/>
      <c r="S650" s="171"/>
      <c r="T650" s="170"/>
      <c r="U650" s="53"/>
      <c r="V650" s="53"/>
      <c r="W650" s="53"/>
      <c r="X650" s="171"/>
      <c r="Y650" s="170"/>
      <c r="Z650" s="170"/>
      <c r="AA650" s="170"/>
      <c r="AB650" s="170"/>
      <c r="AC650" s="170"/>
      <c r="AD650" s="53"/>
      <c r="AE650" s="53"/>
    </row>
    <row r="651">
      <c r="A651" s="53"/>
      <c r="B651" s="53"/>
      <c r="C651" s="168"/>
      <c r="D651" s="169"/>
      <c r="E651" s="170"/>
      <c r="F651" s="53"/>
      <c r="G651" s="53"/>
      <c r="H651" s="53"/>
      <c r="I651" s="171"/>
      <c r="J651" s="170"/>
      <c r="K651" s="53"/>
      <c r="L651" s="53"/>
      <c r="M651" s="53"/>
      <c r="N651" s="171"/>
      <c r="O651" s="170"/>
      <c r="P651" s="53"/>
      <c r="Q651" s="53"/>
      <c r="R651" s="53"/>
      <c r="S651" s="171"/>
      <c r="T651" s="170"/>
      <c r="U651" s="53"/>
      <c r="V651" s="53"/>
      <c r="W651" s="53"/>
      <c r="X651" s="171"/>
      <c r="Y651" s="170"/>
      <c r="Z651" s="170"/>
      <c r="AA651" s="170"/>
      <c r="AB651" s="170"/>
      <c r="AC651" s="170"/>
      <c r="AD651" s="53"/>
      <c r="AE651" s="53"/>
    </row>
    <row r="652">
      <c r="A652" s="53"/>
      <c r="B652" s="53"/>
      <c r="C652" s="168"/>
      <c r="D652" s="169"/>
      <c r="E652" s="170"/>
      <c r="F652" s="53"/>
      <c r="G652" s="53"/>
      <c r="H652" s="53"/>
      <c r="I652" s="171"/>
      <c r="J652" s="170"/>
      <c r="K652" s="53"/>
      <c r="L652" s="53"/>
      <c r="M652" s="53"/>
      <c r="N652" s="171"/>
      <c r="O652" s="170"/>
      <c r="P652" s="53"/>
      <c r="Q652" s="53"/>
      <c r="R652" s="53"/>
      <c r="S652" s="171"/>
      <c r="T652" s="170"/>
      <c r="U652" s="53"/>
      <c r="V652" s="53"/>
      <c r="W652" s="53"/>
      <c r="X652" s="171"/>
      <c r="Y652" s="170"/>
      <c r="Z652" s="170"/>
      <c r="AA652" s="170"/>
      <c r="AB652" s="170"/>
      <c r="AC652" s="170"/>
      <c r="AD652" s="53"/>
      <c r="AE652" s="53"/>
    </row>
    <row r="653">
      <c r="A653" s="53"/>
      <c r="B653" s="53"/>
      <c r="C653" s="168"/>
      <c r="D653" s="169"/>
      <c r="E653" s="170"/>
      <c r="F653" s="53"/>
      <c r="G653" s="53"/>
      <c r="H653" s="53"/>
      <c r="I653" s="171"/>
      <c r="J653" s="170"/>
      <c r="K653" s="53"/>
      <c r="L653" s="53"/>
      <c r="M653" s="53"/>
      <c r="N653" s="171"/>
      <c r="O653" s="170"/>
      <c r="P653" s="53"/>
      <c r="Q653" s="53"/>
      <c r="R653" s="53"/>
      <c r="S653" s="171"/>
      <c r="T653" s="170"/>
      <c r="U653" s="53"/>
      <c r="V653" s="53"/>
      <c r="W653" s="53"/>
      <c r="X653" s="171"/>
      <c r="Y653" s="170"/>
      <c r="Z653" s="170"/>
      <c r="AA653" s="170"/>
      <c r="AB653" s="170"/>
      <c r="AC653" s="170"/>
      <c r="AD653" s="53"/>
      <c r="AE653" s="53"/>
    </row>
    <row r="654">
      <c r="A654" s="53"/>
      <c r="B654" s="53"/>
      <c r="C654" s="168"/>
      <c r="D654" s="169"/>
      <c r="E654" s="170"/>
      <c r="F654" s="53"/>
      <c r="G654" s="53"/>
      <c r="H654" s="53"/>
      <c r="I654" s="171"/>
      <c r="J654" s="170"/>
      <c r="K654" s="53"/>
      <c r="L654" s="53"/>
      <c r="M654" s="53"/>
      <c r="N654" s="171"/>
      <c r="O654" s="170"/>
      <c r="P654" s="53"/>
      <c r="Q654" s="53"/>
      <c r="R654" s="53"/>
      <c r="S654" s="171"/>
      <c r="T654" s="170"/>
      <c r="U654" s="53"/>
      <c r="V654" s="53"/>
      <c r="W654" s="53"/>
      <c r="X654" s="171"/>
      <c r="Y654" s="170"/>
      <c r="Z654" s="170"/>
      <c r="AA654" s="170"/>
      <c r="AB654" s="170"/>
      <c r="AC654" s="170"/>
      <c r="AD654" s="53"/>
      <c r="AE654" s="53"/>
    </row>
    <row r="655">
      <c r="A655" s="53"/>
      <c r="B655" s="53"/>
      <c r="C655" s="168"/>
      <c r="D655" s="169"/>
      <c r="E655" s="170"/>
      <c r="F655" s="53"/>
      <c r="G655" s="53"/>
      <c r="H655" s="53"/>
      <c r="I655" s="171"/>
      <c r="J655" s="170"/>
      <c r="K655" s="53"/>
      <c r="L655" s="53"/>
      <c r="M655" s="53"/>
      <c r="N655" s="171"/>
      <c r="O655" s="170"/>
      <c r="P655" s="53"/>
      <c r="Q655" s="53"/>
      <c r="R655" s="53"/>
      <c r="S655" s="171"/>
      <c r="T655" s="170"/>
      <c r="U655" s="53"/>
      <c r="V655" s="53"/>
      <c r="W655" s="53"/>
      <c r="X655" s="171"/>
      <c r="Y655" s="170"/>
      <c r="Z655" s="170"/>
      <c r="AA655" s="170"/>
      <c r="AB655" s="170"/>
      <c r="AC655" s="170"/>
      <c r="AD655" s="53"/>
      <c r="AE655" s="53"/>
    </row>
    <row r="656">
      <c r="A656" s="53"/>
      <c r="B656" s="53"/>
      <c r="C656" s="168"/>
      <c r="D656" s="169"/>
      <c r="E656" s="170"/>
      <c r="F656" s="53"/>
      <c r="G656" s="53"/>
      <c r="H656" s="53"/>
      <c r="I656" s="171"/>
      <c r="J656" s="170"/>
      <c r="K656" s="53"/>
      <c r="L656" s="53"/>
      <c r="M656" s="53"/>
      <c r="N656" s="171"/>
      <c r="O656" s="170"/>
      <c r="P656" s="53"/>
      <c r="Q656" s="53"/>
      <c r="R656" s="53"/>
      <c r="S656" s="171"/>
      <c r="T656" s="170"/>
      <c r="U656" s="53"/>
      <c r="V656" s="53"/>
      <c r="W656" s="53"/>
      <c r="X656" s="171"/>
      <c r="Y656" s="170"/>
      <c r="Z656" s="170"/>
      <c r="AA656" s="170"/>
      <c r="AB656" s="170"/>
      <c r="AC656" s="170"/>
      <c r="AD656" s="53"/>
      <c r="AE656" s="53"/>
    </row>
    <row r="657">
      <c r="A657" s="53"/>
      <c r="B657" s="53"/>
      <c r="C657" s="168"/>
      <c r="D657" s="169"/>
      <c r="E657" s="170"/>
      <c r="F657" s="53"/>
      <c r="G657" s="53"/>
      <c r="H657" s="53"/>
      <c r="I657" s="171"/>
      <c r="J657" s="170"/>
      <c r="K657" s="53"/>
      <c r="L657" s="53"/>
      <c r="M657" s="53"/>
      <c r="N657" s="171"/>
      <c r="O657" s="170"/>
      <c r="P657" s="53"/>
      <c r="Q657" s="53"/>
      <c r="R657" s="53"/>
      <c r="S657" s="171"/>
      <c r="T657" s="170"/>
      <c r="U657" s="53"/>
      <c r="V657" s="53"/>
      <c r="W657" s="53"/>
      <c r="X657" s="171"/>
      <c r="Y657" s="170"/>
      <c r="Z657" s="170"/>
      <c r="AA657" s="170"/>
      <c r="AB657" s="170"/>
      <c r="AC657" s="170"/>
      <c r="AD657" s="53"/>
      <c r="AE657" s="53"/>
    </row>
    <row r="658">
      <c r="A658" s="53"/>
      <c r="B658" s="53"/>
      <c r="C658" s="168"/>
      <c r="D658" s="169"/>
      <c r="E658" s="170"/>
      <c r="F658" s="53"/>
      <c r="G658" s="53"/>
      <c r="H658" s="53"/>
      <c r="I658" s="171"/>
      <c r="J658" s="170"/>
      <c r="K658" s="53"/>
      <c r="L658" s="53"/>
      <c r="M658" s="53"/>
      <c r="N658" s="171"/>
      <c r="O658" s="170"/>
      <c r="P658" s="53"/>
      <c r="Q658" s="53"/>
      <c r="R658" s="53"/>
      <c r="S658" s="171"/>
      <c r="T658" s="170"/>
      <c r="U658" s="53"/>
      <c r="V658" s="53"/>
      <c r="W658" s="53"/>
      <c r="X658" s="171"/>
      <c r="Y658" s="170"/>
      <c r="Z658" s="170"/>
      <c r="AA658" s="170"/>
      <c r="AB658" s="170"/>
      <c r="AC658" s="170"/>
      <c r="AD658" s="53"/>
      <c r="AE658" s="53"/>
    </row>
    <row r="659">
      <c r="A659" s="53"/>
      <c r="B659" s="53"/>
      <c r="C659" s="168"/>
      <c r="D659" s="169"/>
      <c r="E659" s="170"/>
      <c r="F659" s="53"/>
      <c r="G659" s="53"/>
      <c r="H659" s="53"/>
      <c r="I659" s="171"/>
      <c r="J659" s="170"/>
      <c r="K659" s="53"/>
      <c r="L659" s="53"/>
      <c r="M659" s="53"/>
      <c r="N659" s="171"/>
      <c r="O659" s="170"/>
      <c r="P659" s="53"/>
      <c r="Q659" s="53"/>
      <c r="R659" s="53"/>
      <c r="S659" s="171"/>
      <c r="T659" s="170"/>
      <c r="U659" s="53"/>
      <c r="V659" s="53"/>
      <c r="W659" s="53"/>
      <c r="X659" s="171"/>
      <c r="Y659" s="170"/>
      <c r="Z659" s="170"/>
      <c r="AA659" s="170"/>
      <c r="AB659" s="170"/>
      <c r="AC659" s="170"/>
      <c r="AD659" s="53"/>
      <c r="AE659" s="53"/>
    </row>
    <row r="660">
      <c r="A660" s="53"/>
      <c r="B660" s="53"/>
      <c r="C660" s="168"/>
      <c r="D660" s="169"/>
      <c r="E660" s="170"/>
      <c r="F660" s="53"/>
      <c r="G660" s="53"/>
      <c r="H660" s="53"/>
      <c r="I660" s="171"/>
      <c r="J660" s="170"/>
      <c r="K660" s="53"/>
      <c r="L660" s="53"/>
      <c r="M660" s="53"/>
      <c r="N660" s="171"/>
      <c r="O660" s="170"/>
      <c r="P660" s="53"/>
      <c r="Q660" s="53"/>
      <c r="R660" s="53"/>
      <c r="S660" s="171"/>
      <c r="T660" s="170"/>
      <c r="U660" s="53"/>
      <c r="V660" s="53"/>
      <c r="W660" s="53"/>
      <c r="X660" s="171"/>
      <c r="Y660" s="170"/>
      <c r="Z660" s="170"/>
      <c r="AA660" s="170"/>
      <c r="AB660" s="170"/>
      <c r="AC660" s="170"/>
      <c r="AD660" s="53"/>
      <c r="AE660" s="53"/>
    </row>
    <row r="661">
      <c r="A661" s="53"/>
      <c r="B661" s="53"/>
      <c r="C661" s="168"/>
      <c r="D661" s="169"/>
      <c r="E661" s="170"/>
      <c r="F661" s="53"/>
      <c r="G661" s="53"/>
      <c r="H661" s="53"/>
      <c r="I661" s="171"/>
      <c r="J661" s="170"/>
      <c r="K661" s="53"/>
      <c r="L661" s="53"/>
      <c r="M661" s="53"/>
      <c r="N661" s="171"/>
      <c r="O661" s="170"/>
      <c r="P661" s="53"/>
      <c r="Q661" s="53"/>
      <c r="R661" s="53"/>
      <c r="S661" s="171"/>
      <c r="T661" s="170"/>
      <c r="U661" s="53"/>
      <c r="V661" s="53"/>
      <c r="W661" s="53"/>
      <c r="X661" s="171"/>
      <c r="Y661" s="170"/>
      <c r="Z661" s="170"/>
      <c r="AA661" s="170"/>
      <c r="AB661" s="170"/>
      <c r="AC661" s="170"/>
      <c r="AD661" s="53"/>
      <c r="AE661" s="53"/>
    </row>
    <row r="662">
      <c r="A662" s="53"/>
      <c r="B662" s="53"/>
      <c r="C662" s="168"/>
      <c r="D662" s="169"/>
      <c r="E662" s="170"/>
      <c r="F662" s="53"/>
      <c r="G662" s="53"/>
      <c r="H662" s="53"/>
      <c r="I662" s="171"/>
      <c r="J662" s="170"/>
      <c r="K662" s="53"/>
      <c r="L662" s="53"/>
      <c r="M662" s="53"/>
      <c r="N662" s="171"/>
      <c r="O662" s="170"/>
      <c r="P662" s="53"/>
      <c r="Q662" s="53"/>
      <c r="R662" s="53"/>
      <c r="S662" s="171"/>
      <c r="T662" s="170"/>
      <c r="U662" s="53"/>
      <c r="V662" s="53"/>
      <c r="W662" s="53"/>
      <c r="X662" s="171"/>
      <c r="Y662" s="170"/>
      <c r="Z662" s="170"/>
      <c r="AA662" s="170"/>
      <c r="AB662" s="170"/>
      <c r="AC662" s="170"/>
      <c r="AD662" s="53"/>
      <c r="AE662" s="53"/>
    </row>
    <row r="663">
      <c r="A663" s="53"/>
      <c r="B663" s="53"/>
      <c r="C663" s="168"/>
      <c r="D663" s="169"/>
      <c r="E663" s="170"/>
      <c r="F663" s="53"/>
      <c r="G663" s="53"/>
      <c r="H663" s="53"/>
      <c r="I663" s="171"/>
      <c r="J663" s="170"/>
      <c r="K663" s="53"/>
      <c r="L663" s="53"/>
      <c r="M663" s="53"/>
      <c r="N663" s="171"/>
      <c r="O663" s="170"/>
      <c r="P663" s="53"/>
      <c r="Q663" s="53"/>
      <c r="R663" s="53"/>
      <c r="S663" s="171"/>
      <c r="T663" s="170"/>
      <c r="U663" s="53"/>
      <c r="V663" s="53"/>
      <c r="W663" s="53"/>
      <c r="X663" s="171"/>
      <c r="Y663" s="170"/>
      <c r="Z663" s="170"/>
      <c r="AA663" s="170"/>
      <c r="AB663" s="170"/>
      <c r="AC663" s="170"/>
      <c r="AD663" s="53"/>
      <c r="AE663" s="53"/>
    </row>
    <row r="664">
      <c r="A664" s="53"/>
      <c r="B664" s="53"/>
      <c r="C664" s="168"/>
      <c r="D664" s="169"/>
      <c r="E664" s="170"/>
      <c r="F664" s="53"/>
      <c r="G664" s="53"/>
      <c r="H664" s="53"/>
      <c r="I664" s="171"/>
      <c r="J664" s="170"/>
      <c r="K664" s="53"/>
      <c r="L664" s="53"/>
      <c r="M664" s="53"/>
      <c r="N664" s="171"/>
      <c r="O664" s="170"/>
      <c r="P664" s="53"/>
      <c r="Q664" s="53"/>
      <c r="R664" s="53"/>
      <c r="S664" s="171"/>
      <c r="T664" s="170"/>
      <c r="U664" s="53"/>
      <c r="V664" s="53"/>
      <c r="W664" s="53"/>
      <c r="X664" s="171"/>
      <c r="Y664" s="170"/>
      <c r="Z664" s="170"/>
      <c r="AA664" s="170"/>
      <c r="AB664" s="170"/>
      <c r="AC664" s="170"/>
      <c r="AD664" s="53"/>
      <c r="AE664" s="53"/>
    </row>
    <row r="665">
      <c r="A665" s="53"/>
      <c r="B665" s="53"/>
      <c r="C665" s="168"/>
      <c r="D665" s="169"/>
      <c r="E665" s="170"/>
      <c r="F665" s="53"/>
      <c r="G665" s="53"/>
      <c r="H665" s="53"/>
      <c r="I665" s="171"/>
      <c r="J665" s="170"/>
      <c r="K665" s="53"/>
      <c r="L665" s="53"/>
      <c r="M665" s="53"/>
      <c r="N665" s="171"/>
      <c r="O665" s="170"/>
      <c r="P665" s="53"/>
      <c r="Q665" s="53"/>
      <c r="R665" s="53"/>
      <c r="S665" s="171"/>
      <c r="T665" s="170"/>
      <c r="U665" s="53"/>
      <c r="V665" s="53"/>
      <c r="W665" s="53"/>
      <c r="X665" s="171"/>
      <c r="Y665" s="170"/>
      <c r="Z665" s="170"/>
      <c r="AA665" s="170"/>
      <c r="AB665" s="170"/>
      <c r="AC665" s="170"/>
      <c r="AD665" s="53"/>
      <c r="AE665" s="53"/>
    </row>
    <row r="666">
      <c r="A666" s="53"/>
      <c r="B666" s="53"/>
      <c r="C666" s="168"/>
      <c r="D666" s="169"/>
      <c r="E666" s="170"/>
      <c r="F666" s="53"/>
      <c r="G666" s="53"/>
      <c r="H666" s="53"/>
      <c r="I666" s="171"/>
      <c r="J666" s="170"/>
      <c r="K666" s="53"/>
      <c r="L666" s="53"/>
      <c r="M666" s="53"/>
      <c r="N666" s="171"/>
      <c r="O666" s="170"/>
      <c r="P666" s="53"/>
      <c r="Q666" s="53"/>
      <c r="R666" s="53"/>
      <c r="S666" s="171"/>
      <c r="T666" s="170"/>
      <c r="U666" s="53"/>
      <c r="V666" s="53"/>
      <c r="W666" s="53"/>
      <c r="X666" s="171"/>
      <c r="Y666" s="170"/>
      <c r="Z666" s="170"/>
      <c r="AA666" s="170"/>
      <c r="AB666" s="170"/>
      <c r="AC666" s="170"/>
      <c r="AD666" s="53"/>
      <c r="AE666" s="53"/>
    </row>
    <row r="667">
      <c r="A667" s="53"/>
      <c r="B667" s="53"/>
      <c r="C667" s="168"/>
      <c r="D667" s="169"/>
      <c r="E667" s="170"/>
      <c r="F667" s="53"/>
      <c r="G667" s="53"/>
      <c r="H667" s="53"/>
      <c r="I667" s="171"/>
      <c r="J667" s="170"/>
      <c r="K667" s="53"/>
      <c r="L667" s="53"/>
      <c r="M667" s="53"/>
      <c r="N667" s="171"/>
      <c r="O667" s="170"/>
      <c r="P667" s="53"/>
      <c r="Q667" s="53"/>
      <c r="R667" s="53"/>
      <c r="S667" s="171"/>
      <c r="T667" s="170"/>
      <c r="U667" s="53"/>
      <c r="V667" s="53"/>
      <c r="W667" s="53"/>
      <c r="X667" s="171"/>
      <c r="Y667" s="170"/>
      <c r="Z667" s="170"/>
      <c r="AA667" s="170"/>
      <c r="AB667" s="170"/>
      <c r="AC667" s="170"/>
      <c r="AD667" s="53"/>
      <c r="AE667" s="53"/>
    </row>
    <row r="668">
      <c r="A668" s="53"/>
      <c r="B668" s="53"/>
      <c r="C668" s="168"/>
      <c r="D668" s="169"/>
      <c r="E668" s="170"/>
      <c r="F668" s="53"/>
      <c r="G668" s="53"/>
      <c r="H668" s="53"/>
      <c r="I668" s="171"/>
      <c r="J668" s="170"/>
      <c r="K668" s="53"/>
      <c r="L668" s="53"/>
      <c r="M668" s="53"/>
      <c r="N668" s="171"/>
      <c r="O668" s="170"/>
      <c r="P668" s="53"/>
      <c r="Q668" s="53"/>
      <c r="R668" s="53"/>
      <c r="S668" s="171"/>
      <c r="T668" s="170"/>
      <c r="U668" s="53"/>
      <c r="V668" s="53"/>
      <c r="W668" s="53"/>
      <c r="X668" s="171"/>
      <c r="Y668" s="170"/>
      <c r="Z668" s="170"/>
      <c r="AA668" s="170"/>
      <c r="AB668" s="170"/>
      <c r="AC668" s="170"/>
      <c r="AD668" s="53"/>
      <c r="AE668" s="53"/>
    </row>
    <row r="669">
      <c r="A669" s="53"/>
      <c r="B669" s="53"/>
      <c r="C669" s="168"/>
      <c r="D669" s="169"/>
      <c r="E669" s="170"/>
      <c r="F669" s="53"/>
      <c r="G669" s="53"/>
      <c r="H669" s="53"/>
      <c r="I669" s="171"/>
      <c r="J669" s="170"/>
      <c r="K669" s="53"/>
      <c r="L669" s="53"/>
      <c r="M669" s="53"/>
      <c r="N669" s="171"/>
      <c r="O669" s="170"/>
      <c r="P669" s="53"/>
      <c r="Q669" s="53"/>
      <c r="R669" s="53"/>
      <c r="S669" s="171"/>
      <c r="T669" s="170"/>
      <c r="U669" s="53"/>
      <c r="V669" s="53"/>
      <c r="W669" s="53"/>
      <c r="X669" s="171"/>
      <c r="Y669" s="170"/>
      <c r="Z669" s="170"/>
      <c r="AA669" s="170"/>
      <c r="AB669" s="170"/>
      <c r="AC669" s="170"/>
      <c r="AD669" s="53"/>
      <c r="AE669" s="53"/>
    </row>
    <row r="670">
      <c r="A670" s="53"/>
      <c r="B670" s="53"/>
      <c r="C670" s="168"/>
      <c r="D670" s="169"/>
      <c r="E670" s="170"/>
      <c r="F670" s="53"/>
      <c r="G670" s="53"/>
      <c r="H670" s="53"/>
      <c r="I670" s="171"/>
      <c r="J670" s="170"/>
      <c r="K670" s="53"/>
      <c r="L670" s="53"/>
      <c r="M670" s="53"/>
      <c r="N670" s="171"/>
      <c r="O670" s="170"/>
      <c r="P670" s="53"/>
      <c r="Q670" s="53"/>
      <c r="R670" s="53"/>
      <c r="S670" s="171"/>
      <c r="T670" s="170"/>
      <c r="U670" s="53"/>
      <c r="V670" s="53"/>
      <c r="W670" s="53"/>
      <c r="X670" s="171"/>
      <c r="Y670" s="170"/>
      <c r="Z670" s="170"/>
      <c r="AA670" s="170"/>
      <c r="AB670" s="170"/>
      <c r="AC670" s="170"/>
      <c r="AD670" s="53"/>
      <c r="AE670" s="53"/>
    </row>
    <row r="671">
      <c r="A671" s="53"/>
      <c r="B671" s="53"/>
      <c r="C671" s="168"/>
      <c r="D671" s="169"/>
      <c r="E671" s="170"/>
      <c r="F671" s="53"/>
      <c r="G671" s="53"/>
      <c r="H671" s="53"/>
      <c r="I671" s="171"/>
      <c r="J671" s="170"/>
      <c r="K671" s="53"/>
      <c r="L671" s="53"/>
      <c r="M671" s="53"/>
      <c r="N671" s="171"/>
      <c r="O671" s="170"/>
      <c r="P671" s="53"/>
      <c r="Q671" s="53"/>
      <c r="R671" s="53"/>
      <c r="S671" s="171"/>
      <c r="T671" s="170"/>
      <c r="U671" s="53"/>
      <c r="V671" s="53"/>
      <c r="W671" s="53"/>
      <c r="X671" s="171"/>
      <c r="Y671" s="170"/>
      <c r="Z671" s="170"/>
      <c r="AA671" s="170"/>
      <c r="AB671" s="170"/>
      <c r="AC671" s="170"/>
      <c r="AD671" s="53"/>
      <c r="AE671" s="53"/>
    </row>
    <row r="672">
      <c r="A672" s="53"/>
      <c r="B672" s="53"/>
      <c r="C672" s="168"/>
      <c r="D672" s="169"/>
      <c r="E672" s="170"/>
      <c r="F672" s="53"/>
      <c r="G672" s="53"/>
      <c r="H672" s="53"/>
      <c r="I672" s="171"/>
      <c r="J672" s="170"/>
      <c r="K672" s="53"/>
      <c r="L672" s="53"/>
      <c r="M672" s="53"/>
      <c r="N672" s="171"/>
      <c r="O672" s="170"/>
      <c r="P672" s="53"/>
      <c r="Q672" s="53"/>
      <c r="R672" s="53"/>
      <c r="S672" s="171"/>
      <c r="T672" s="170"/>
      <c r="U672" s="53"/>
      <c r="V672" s="53"/>
      <c r="W672" s="53"/>
      <c r="X672" s="171"/>
      <c r="Y672" s="170"/>
      <c r="Z672" s="170"/>
      <c r="AA672" s="170"/>
      <c r="AB672" s="170"/>
      <c r="AC672" s="170"/>
      <c r="AD672" s="53"/>
      <c r="AE672" s="53"/>
    </row>
    <row r="673">
      <c r="A673" s="53"/>
      <c r="B673" s="53"/>
      <c r="C673" s="168"/>
      <c r="D673" s="169"/>
      <c r="E673" s="170"/>
      <c r="F673" s="53"/>
      <c r="G673" s="53"/>
      <c r="H673" s="53"/>
      <c r="I673" s="171"/>
      <c r="J673" s="170"/>
      <c r="K673" s="53"/>
      <c r="L673" s="53"/>
      <c r="M673" s="53"/>
      <c r="N673" s="171"/>
      <c r="O673" s="170"/>
      <c r="P673" s="53"/>
      <c r="Q673" s="53"/>
      <c r="R673" s="53"/>
      <c r="S673" s="171"/>
      <c r="T673" s="170"/>
      <c r="U673" s="53"/>
      <c r="V673" s="53"/>
      <c r="W673" s="53"/>
      <c r="X673" s="171"/>
      <c r="Y673" s="170"/>
      <c r="Z673" s="170"/>
      <c r="AA673" s="170"/>
      <c r="AB673" s="170"/>
      <c r="AC673" s="170"/>
      <c r="AD673" s="53"/>
      <c r="AE673" s="53"/>
    </row>
    <row r="674">
      <c r="A674" s="53"/>
      <c r="B674" s="53"/>
      <c r="C674" s="168"/>
      <c r="D674" s="169"/>
      <c r="E674" s="170"/>
      <c r="F674" s="53"/>
      <c r="G674" s="53"/>
      <c r="H674" s="53"/>
      <c r="I674" s="171"/>
      <c r="J674" s="170"/>
      <c r="K674" s="53"/>
      <c r="L674" s="53"/>
      <c r="M674" s="53"/>
      <c r="N674" s="171"/>
      <c r="O674" s="170"/>
      <c r="P674" s="53"/>
      <c r="Q674" s="53"/>
      <c r="R674" s="53"/>
      <c r="S674" s="171"/>
      <c r="T674" s="170"/>
      <c r="U674" s="53"/>
      <c r="V674" s="53"/>
      <c r="W674" s="53"/>
      <c r="X674" s="171"/>
      <c r="Y674" s="170"/>
      <c r="Z674" s="170"/>
      <c r="AA674" s="170"/>
      <c r="AB674" s="170"/>
      <c r="AC674" s="170"/>
      <c r="AD674" s="53"/>
      <c r="AE674" s="53"/>
    </row>
    <row r="675">
      <c r="A675" s="53"/>
      <c r="B675" s="53"/>
      <c r="C675" s="168"/>
      <c r="D675" s="169"/>
      <c r="E675" s="170"/>
      <c r="F675" s="53"/>
      <c r="G675" s="53"/>
      <c r="H675" s="53"/>
      <c r="I675" s="171"/>
      <c r="J675" s="170"/>
      <c r="K675" s="53"/>
      <c r="L675" s="53"/>
      <c r="M675" s="53"/>
      <c r="N675" s="171"/>
      <c r="O675" s="170"/>
      <c r="P675" s="53"/>
      <c r="Q675" s="53"/>
      <c r="R675" s="53"/>
      <c r="S675" s="171"/>
      <c r="T675" s="170"/>
      <c r="U675" s="53"/>
      <c r="V675" s="53"/>
      <c r="W675" s="53"/>
      <c r="X675" s="171"/>
      <c r="Y675" s="170"/>
      <c r="Z675" s="170"/>
      <c r="AA675" s="170"/>
      <c r="AB675" s="170"/>
      <c r="AC675" s="170"/>
      <c r="AD675" s="53"/>
      <c r="AE675" s="53"/>
    </row>
    <row r="676">
      <c r="A676" s="53"/>
      <c r="B676" s="53"/>
      <c r="C676" s="168"/>
      <c r="D676" s="169"/>
      <c r="E676" s="170"/>
      <c r="F676" s="53"/>
      <c r="G676" s="53"/>
      <c r="H676" s="53"/>
      <c r="I676" s="171"/>
      <c r="J676" s="170"/>
      <c r="K676" s="53"/>
      <c r="L676" s="53"/>
      <c r="M676" s="53"/>
      <c r="N676" s="171"/>
      <c r="O676" s="170"/>
      <c r="P676" s="53"/>
      <c r="Q676" s="53"/>
      <c r="R676" s="53"/>
      <c r="S676" s="171"/>
      <c r="T676" s="170"/>
      <c r="U676" s="53"/>
      <c r="V676" s="53"/>
      <c r="W676" s="53"/>
      <c r="X676" s="171"/>
      <c r="Y676" s="170"/>
      <c r="Z676" s="170"/>
      <c r="AA676" s="170"/>
      <c r="AB676" s="170"/>
      <c r="AC676" s="170"/>
      <c r="AD676" s="53"/>
      <c r="AE676" s="53"/>
    </row>
    <row r="677">
      <c r="A677" s="53"/>
      <c r="B677" s="53"/>
      <c r="C677" s="168"/>
      <c r="D677" s="169"/>
      <c r="E677" s="170"/>
      <c r="F677" s="53"/>
      <c r="G677" s="53"/>
      <c r="H677" s="53"/>
      <c r="I677" s="171"/>
      <c r="J677" s="170"/>
      <c r="K677" s="53"/>
      <c r="L677" s="53"/>
      <c r="M677" s="53"/>
      <c r="N677" s="171"/>
      <c r="O677" s="170"/>
      <c r="P677" s="53"/>
      <c r="Q677" s="53"/>
      <c r="R677" s="53"/>
      <c r="S677" s="171"/>
      <c r="T677" s="170"/>
      <c r="U677" s="53"/>
      <c r="V677" s="53"/>
      <c r="W677" s="53"/>
      <c r="X677" s="171"/>
      <c r="Y677" s="170"/>
      <c r="Z677" s="170"/>
      <c r="AA677" s="170"/>
      <c r="AB677" s="170"/>
      <c r="AC677" s="170"/>
      <c r="AD677" s="53"/>
      <c r="AE677" s="53"/>
    </row>
    <row r="678">
      <c r="A678" s="53"/>
      <c r="B678" s="53"/>
      <c r="C678" s="168"/>
      <c r="D678" s="169"/>
      <c r="E678" s="170"/>
      <c r="F678" s="53"/>
      <c r="G678" s="53"/>
      <c r="H678" s="53"/>
      <c r="I678" s="171"/>
      <c r="J678" s="170"/>
      <c r="K678" s="53"/>
      <c r="L678" s="53"/>
      <c r="M678" s="53"/>
      <c r="N678" s="171"/>
      <c r="O678" s="170"/>
      <c r="P678" s="53"/>
      <c r="Q678" s="53"/>
      <c r="R678" s="53"/>
      <c r="S678" s="171"/>
      <c r="T678" s="170"/>
      <c r="U678" s="53"/>
      <c r="V678" s="53"/>
      <c r="W678" s="53"/>
      <c r="X678" s="171"/>
      <c r="Y678" s="170"/>
      <c r="Z678" s="170"/>
      <c r="AA678" s="170"/>
      <c r="AB678" s="170"/>
      <c r="AC678" s="170"/>
      <c r="AD678" s="53"/>
      <c r="AE678" s="53"/>
    </row>
    <row r="679">
      <c r="A679" s="53"/>
      <c r="B679" s="53"/>
      <c r="C679" s="168"/>
      <c r="D679" s="169"/>
      <c r="E679" s="170"/>
      <c r="F679" s="53"/>
      <c r="G679" s="53"/>
      <c r="H679" s="53"/>
      <c r="I679" s="171"/>
      <c r="J679" s="170"/>
      <c r="K679" s="53"/>
      <c r="L679" s="53"/>
      <c r="M679" s="53"/>
      <c r="N679" s="171"/>
      <c r="O679" s="170"/>
      <c r="P679" s="53"/>
      <c r="Q679" s="53"/>
      <c r="R679" s="53"/>
      <c r="S679" s="171"/>
      <c r="T679" s="170"/>
      <c r="U679" s="53"/>
      <c r="V679" s="53"/>
      <c r="W679" s="53"/>
      <c r="X679" s="171"/>
      <c r="Y679" s="170"/>
      <c r="Z679" s="170"/>
      <c r="AA679" s="170"/>
      <c r="AB679" s="170"/>
      <c r="AC679" s="170"/>
      <c r="AD679" s="53"/>
      <c r="AE679" s="53"/>
    </row>
    <row r="680">
      <c r="A680" s="53"/>
      <c r="B680" s="53"/>
      <c r="C680" s="168"/>
      <c r="D680" s="169"/>
      <c r="E680" s="170"/>
      <c r="F680" s="53"/>
      <c r="G680" s="53"/>
      <c r="H680" s="53"/>
      <c r="I680" s="171"/>
      <c r="J680" s="170"/>
      <c r="K680" s="53"/>
      <c r="L680" s="53"/>
      <c r="M680" s="53"/>
      <c r="N680" s="171"/>
      <c r="O680" s="170"/>
      <c r="P680" s="53"/>
      <c r="Q680" s="53"/>
      <c r="R680" s="53"/>
      <c r="S680" s="171"/>
      <c r="T680" s="170"/>
      <c r="U680" s="53"/>
      <c r="V680" s="53"/>
      <c r="W680" s="53"/>
      <c r="X680" s="171"/>
      <c r="Y680" s="170"/>
      <c r="Z680" s="170"/>
      <c r="AA680" s="170"/>
      <c r="AB680" s="170"/>
      <c r="AC680" s="170"/>
      <c r="AD680" s="53"/>
      <c r="AE680" s="53"/>
    </row>
    <row r="681">
      <c r="A681" s="53"/>
      <c r="B681" s="53"/>
      <c r="C681" s="168"/>
      <c r="D681" s="169"/>
      <c r="E681" s="170"/>
      <c r="F681" s="53"/>
      <c r="G681" s="53"/>
      <c r="H681" s="53"/>
      <c r="I681" s="171"/>
      <c r="J681" s="170"/>
      <c r="K681" s="53"/>
      <c r="L681" s="53"/>
      <c r="M681" s="53"/>
      <c r="N681" s="171"/>
      <c r="O681" s="170"/>
      <c r="P681" s="53"/>
      <c r="Q681" s="53"/>
      <c r="R681" s="53"/>
      <c r="S681" s="171"/>
      <c r="T681" s="170"/>
      <c r="U681" s="53"/>
      <c r="V681" s="53"/>
      <c r="W681" s="53"/>
      <c r="X681" s="171"/>
      <c r="Y681" s="170"/>
      <c r="Z681" s="170"/>
      <c r="AA681" s="170"/>
      <c r="AB681" s="170"/>
      <c r="AC681" s="170"/>
      <c r="AD681" s="53"/>
      <c r="AE681" s="53"/>
    </row>
    <row r="682">
      <c r="A682" s="53"/>
      <c r="B682" s="53"/>
      <c r="C682" s="168"/>
      <c r="D682" s="169"/>
      <c r="E682" s="170"/>
      <c r="F682" s="53"/>
      <c r="G682" s="53"/>
      <c r="H682" s="53"/>
      <c r="I682" s="171"/>
      <c r="J682" s="170"/>
      <c r="K682" s="53"/>
      <c r="L682" s="53"/>
      <c r="M682" s="53"/>
      <c r="N682" s="171"/>
      <c r="O682" s="170"/>
      <c r="P682" s="53"/>
      <c r="Q682" s="53"/>
      <c r="R682" s="53"/>
      <c r="S682" s="171"/>
      <c r="T682" s="170"/>
      <c r="U682" s="53"/>
      <c r="V682" s="53"/>
      <c r="W682" s="53"/>
      <c r="X682" s="171"/>
      <c r="Y682" s="170"/>
      <c r="Z682" s="170"/>
      <c r="AA682" s="170"/>
      <c r="AB682" s="170"/>
      <c r="AC682" s="170"/>
      <c r="AD682" s="53"/>
      <c r="AE682" s="53"/>
    </row>
    <row r="683">
      <c r="A683" s="53"/>
      <c r="B683" s="53"/>
      <c r="C683" s="168"/>
      <c r="D683" s="169"/>
      <c r="E683" s="170"/>
      <c r="F683" s="53"/>
      <c r="G683" s="53"/>
      <c r="H683" s="53"/>
      <c r="I683" s="171"/>
      <c r="J683" s="170"/>
      <c r="K683" s="53"/>
      <c r="L683" s="53"/>
      <c r="M683" s="53"/>
      <c r="N683" s="171"/>
      <c r="O683" s="170"/>
      <c r="P683" s="53"/>
      <c r="Q683" s="53"/>
      <c r="R683" s="53"/>
      <c r="S683" s="171"/>
      <c r="T683" s="170"/>
      <c r="U683" s="53"/>
      <c r="V683" s="53"/>
      <c r="W683" s="53"/>
      <c r="X683" s="171"/>
      <c r="Y683" s="170"/>
      <c r="Z683" s="170"/>
      <c r="AA683" s="170"/>
      <c r="AB683" s="170"/>
      <c r="AC683" s="170"/>
      <c r="AD683" s="53"/>
      <c r="AE683" s="53"/>
    </row>
    <row r="684">
      <c r="A684" s="53"/>
      <c r="B684" s="53"/>
      <c r="C684" s="168"/>
      <c r="D684" s="169"/>
      <c r="E684" s="170"/>
      <c r="F684" s="53"/>
      <c r="G684" s="53"/>
      <c r="H684" s="53"/>
      <c r="I684" s="171"/>
      <c r="J684" s="170"/>
      <c r="K684" s="53"/>
      <c r="L684" s="53"/>
      <c r="M684" s="53"/>
      <c r="N684" s="171"/>
      <c r="O684" s="170"/>
      <c r="P684" s="53"/>
      <c r="Q684" s="53"/>
      <c r="R684" s="53"/>
      <c r="S684" s="171"/>
      <c r="T684" s="170"/>
      <c r="U684" s="53"/>
      <c r="V684" s="53"/>
      <c r="W684" s="53"/>
      <c r="X684" s="171"/>
      <c r="Y684" s="170"/>
      <c r="Z684" s="170"/>
      <c r="AA684" s="170"/>
      <c r="AB684" s="170"/>
      <c r="AC684" s="170"/>
      <c r="AD684" s="53"/>
      <c r="AE684" s="53"/>
    </row>
    <row r="685">
      <c r="A685" s="53"/>
      <c r="B685" s="53"/>
      <c r="C685" s="168"/>
      <c r="D685" s="169"/>
      <c r="E685" s="170"/>
      <c r="F685" s="53"/>
      <c r="G685" s="53"/>
      <c r="H685" s="53"/>
      <c r="I685" s="171"/>
      <c r="J685" s="170"/>
      <c r="K685" s="53"/>
      <c r="L685" s="53"/>
      <c r="M685" s="53"/>
      <c r="N685" s="171"/>
      <c r="O685" s="170"/>
      <c r="P685" s="53"/>
      <c r="Q685" s="53"/>
      <c r="R685" s="53"/>
      <c r="S685" s="171"/>
      <c r="T685" s="170"/>
      <c r="U685" s="53"/>
      <c r="V685" s="53"/>
      <c r="W685" s="53"/>
      <c r="X685" s="171"/>
      <c r="Y685" s="170"/>
      <c r="Z685" s="170"/>
      <c r="AA685" s="170"/>
      <c r="AB685" s="170"/>
      <c r="AC685" s="170"/>
      <c r="AD685" s="53"/>
      <c r="AE685" s="53"/>
    </row>
    <row r="686">
      <c r="A686" s="53"/>
      <c r="B686" s="53"/>
      <c r="C686" s="168"/>
      <c r="D686" s="169"/>
      <c r="E686" s="170"/>
      <c r="F686" s="53"/>
      <c r="G686" s="53"/>
      <c r="H686" s="53"/>
      <c r="I686" s="171"/>
      <c r="J686" s="170"/>
      <c r="K686" s="53"/>
      <c r="L686" s="53"/>
      <c r="M686" s="53"/>
      <c r="N686" s="171"/>
      <c r="O686" s="170"/>
      <c r="P686" s="53"/>
      <c r="Q686" s="53"/>
      <c r="R686" s="53"/>
      <c r="S686" s="171"/>
      <c r="T686" s="170"/>
      <c r="U686" s="53"/>
      <c r="V686" s="53"/>
      <c r="W686" s="53"/>
      <c r="X686" s="171"/>
      <c r="Y686" s="170"/>
      <c r="Z686" s="170"/>
      <c r="AA686" s="170"/>
      <c r="AB686" s="170"/>
      <c r="AC686" s="170"/>
      <c r="AD686" s="53"/>
      <c r="AE686" s="53"/>
    </row>
    <row r="687">
      <c r="A687" s="53"/>
      <c r="B687" s="53"/>
      <c r="C687" s="168"/>
      <c r="D687" s="169"/>
      <c r="E687" s="170"/>
      <c r="F687" s="53"/>
      <c r="G687" s="53"/>
      <c r="H687" s="53"/>
      <c r="I687" s="171"/>
      <c r="J687" s="170"/>
      <c r="K687" s="53"/>
      <c r="L687" s="53"/>
      <c r="M687" s="53"/>
      <c r="N687" s="171"/>
      <c r="O687" s="170"/>
      <c r="P687" s="53"/>
      <c r="Q687" s="53"/>
      <c r="R687" s="53"/>
      <c r="S687" s="171"/>
      <c r="T687" s="170"/>
      <c r="U687" s="53"/>
      <c r="V687" s="53"/>
      <c r="W687" s="53"/>
      <c r="X687" s="171"/>
      <c r="Y687" s="170"/>
      <c r="Z687" s="170"/>
      <c r="AA687" s="170"/>
      <c r="AB687" s="170"/>
      <c r="AC687" s="170"/>
      <c r="AD687" s="53"/>
      <c r="AE687" s="53"/>
    </row>
    <row r="688">
      <c r="A688" s="53"/>
      <c r="B688" s="53"/>
      <c r="C688" s="168"/>
      <c r="D688" s="169"/>
      <c r="E688" s="170"/>
      <c r="F688" s="53"/>
      <c r="G688" s="53"/>
      <c r="H688" s="53"/>
      <c r="I688" s="171"/>
      <c r="J688" s="170"/>
      <c r="K688" s="53"/>
      <c r="L688" s="53"/>
      <c r="M688" s="53"/>
      <c r="N688" s="171"/>
      <c r="O688" s="170"/>
      <c r="P688" s="53"/>
      <c r="Q688" s="53"/>
      <c r="R688" s="53"/>
      <c r="S688" s="171"/>
      <c r="T688" s="170"/>
      <c r="U688" s="53"/>
      <c r="V688" s="53"/>
      <c r="W688" s="53"/>
      <c r="X688" s="171"/>
      <c r="Y688" s="170"/>
      <c r="Z688" s="170"/>
      <c r="AA688" s="170"/>
      <c r="AB688" s="170"/>
      <c r="AC688" s="170"/>
      <c r="AD688" s="53"/>
      <c r="AE688" s="53"/>
    </row>
    <row r="689">
      <c r="A689" s="53"/>
      <c r="B689" s="53"/>
      <c r="C689" s="168"/>
      <c r="D689" s="169"/>
      <c r="E689" s="170"/>
      <c r="F689" s="53"/>
      <c r="G689" s="53"/>
      <c r="H689" s="53"/>
      <c r="I689" s="171"/>
      <c r="J689" s="170"/>
      <c r="K689" s="53"/>
      <c r="L689" s="53"/>
      <c r="M689" s="53"/>
      <c r="N689" s="171"/>
      <c r="O689" s="170"/>
      <c r="P689" s="53"/>
      <c r="Q689" s="53"/>
      <c r="R689" s="53"/>
      <c r="S689" s="171"/>
      <c r="T689" s="170"/>
      <c r="U689" s="53"/>
      <c r="V689" s="53"/>
      <c r="W689" s="53"/>
      <c r="X689" s="171"/>
      <c r="Y689" s="170"/>
      <c r="Z689" s="170"/>
      <c r="AA689" s="170"/>
      <c r="AB689" s="170"/>
      <c r="AC689" s="170"/>
      <c r="AD689" s="53"/>
      <c r="AE689" s="53"/>
    </row>
    <row r="690">
      <c r="A690" s="53"/>
      <c r="B690" s="53"/>
      <c r="C690" s="168"/>
      <c r="D690" s="169"/>
      <c r="E690" s="170"/>
      <c r="F690" s="53"/>
      <c r="G690" s="53"/>
      <c r="H690" s="53"/>
      <c r="I690" s="171"/>
      <c r="J690" s="170"/>
      <c r="K690" s="53"/>
      <c r="L690" s="53"/>
      <c r="M690" s="53"/>
      <c r="N690" s="171"/>
      <c r="O690" s="170"/>
      <c r="P690" s="53"/>
      <c r="Q690" s="53"/>
      <c r="R690" s="53"/>
      <c r="S690" s="171"/>
      <c r="T690" s="170"/>
      <c r="U690" s="53"/>
      <c r="V690" s="53"/>
      <c r="W690" s="53"/>
      <c r="X690" s="171"/>
      <c r="Y690" s="170"/>
      <c r="Z690" s="170"/>
      <c r="AA690" s="170"/>
      <c r="AB690" s="170"/>
      <c r="AC690" s="170"/>
      <c r="AD690" s="53"/>
      <c r="AE690" s="53"/>
    </row>
    <row r="691">
      <c r="A691" s="53"/>
      <c r="B691" s="53"/>
      <c r="C691" s="168"/>
      <c r="D691" s="169"/>
      <c r="E691" s="170"/>
      <c r="F691" s="53"/>
      <c r="G691" s="53"/>
      <c r="H691" s="53"/>
      <c r="I691" s="171"/>
      <c r="J691" s="170"/>
      <c r="K691" s="53"/>
      <c r="L691" s="53"/>
      <c r="M691" s="53"/>
      <c r="N691" s="171"/>
      <c r="O691" s="170"/>
      <c r="P691" s="53"/>
      <c r="Q691" s="53"/>
      <c r="R691" s="53"/>
      <c r="S691" s="171"/>
      <c r="T691" s="170"/>
      <c r="U691" s="53"/>
      <c r="V691" s="53"/>
      <c r="W691" s="53"/>
      <c r="X691" s="171"/>
      <c r="Y691" s="170"/>
      <c r="Z691" s="170"/>
      <c r="AA691" s="170"/>
      <c r="AB691" s="170"/>
      <c r="AC691" s="170"/>
      <c r="AD691" s="53"/>
      <c r="AE691" s="53"/>
    </row>
    <row r="692">
      <c r="A692" s="53"/>
      <c r="B692" s="53"/>
      <c r="C692" s="168"/>
      <c r="D692" s="169"/>
      <c r="E692" s="170"/>
      <c r="F692" s="53"/>
      <c r="G692" s="53"/>
      <c r="H692" s="53"/>
      <c r="I692" s="171"/>
      <c r="J692" s="170"/>
      <c r="K692" s="53"/>
      <c r="L692" s="53"/>
      <c r="M692" s="53"/>
      <c r="N692" s="171"/>
      <c r="O692" s="170"/>
      <c r="P692" s="53"/>
      <c r="Q692" s="53"/>
      <c r="R692" s="53"/>
      <c r="S692" s="171"/>
      <c r="T692" s="170"/>
      <c r="U692" s="53"/>
      <c r="V692" s="53"/>
      <c r="W692" s="53"/>
      <c r="X692" s="171"/>
      <c r="Y692" s="170"/>
      <c r="Z692" s="170"/>
      <c r="AA692" s="170"/>
      <c r="AB692" s="170"/>
      <c r="AC692" s="170"/>
      <c r="AD692" s="53"/>
      <c r="AE692" s="53"/>
    </row>
    <row r="693">
      <c r="A693" s="53"/>
      <c r="B693" s="53"/>
      <c r="C693" s="168"/>
      <c r="D693" s="169"/>
      <c r="E693" s="170"/>
      <c r="F693" s="53"/>
      <c r="G693" s="53"/>
      <c r="H693" s="53"/>
      <c r="I693" s="171"/>
      <c r="J693" s="170"/>
      <c r="K693" s="53"/>
      <c r="L693" s="53"/>
      <c r="M693" s="53"/>
      <c r="N693" s="171"/>
      <c r="O693" s="170"/>
      <c r="P693" s="53"/>
      <c r="Q693" s="53"/>
      <c r="R693" s="53"/>
      <c r="S693" s="171"/>
      <c r="T693" s="170"/>
      <c r="U693" s="53"/>
      <c r="V693" s="53"/>
      <c r="W693" s="53"/>
      <c r="X693" s="171"/>
      <c r="Y693" s="170"/>
      <c r="Z693" s="170"/>
      <c r="AA693" s="170"/>
      <c r="AB693" s="170"/>
      <c r="AC693" s="170"/>
      <c r="AD693" s="53"/>
      <c r="AE693" s="53"/>
    </row>
    <row r="694">
      <c r="A694" s="53"/>
      <c r="B694" s="53"/>
      <c r="C694" s="168"/>
      <c r="D694" s="169"/>
      <c r="E694" s="170"/>
      <c r="F694" s="53"/>
      <c r="G694" s="53"/>
      <c r="H694" s="53"/>
      <c r="I694" s="171"/>
      <c r="J694" s="170"/>
      <c r="K694" s="53"/>
      <c r="L694" s="53"/>
      <c r="M694" s="53"/>
      <c r="N694" s="171"/>
      <c r="O694" s="170"/>
      <c r="P694" s="53"/>
      <c r="Q694" s="53"/>
      <c r="R694" s="53"/>
      <c r="S694" s="171"/>
      <c r="T694" s="170"/>
      <c r="U694" s="53"/>
      <c r="V694" s="53"/>
      <c r="W694" s="53"/>
      <c r="X694" s="171"/>
      <c r="Y694" s="170"/>
      <c r="Z694" s="170"/>
      <c r="AA694" s="170"/>
      <c r="AB694" s="170"/>
      <c r="AC694" s="170"/>
      <c r="AD694" s="53"/>
      <c r="AE694" s="53"/>
    </row>
    <row r="695">
      <c r="A695" s="53"/>
      <c r="B695" s="53"/>
      <c r="C695" s="168"/>
      <c r="D695" s="169"/>
      <c r="E695" s="170"/>
      <c r="F695" s="53"/>
      <c r="G695" s="53"/>
      <c r="H695" s="53"/>
      <c r="I695" s="171"/>
      <c r="J695" s="170"/>
      <c r="K695" s="53"/>
      <c r="L695" s="53"/>
      <c r="M695" s="53"/>
      <c r="N695" s="171"/>
      <c r="O695" s="170"/>
      <c r="P695" s="53"/>
      <c r="Q695" s="53"/>
      <c r="R695" s="53"/>
      <c r="S695" s="171"/>
      <c r="T695" s="170"/>
      <c r="U695" s="53"/>
      <c r="V695" s="53"/>
      <c r="W695" s="53"/>
      <c r="X695" s="171"/>
      <c r="Y695" s="170"/>
      <c r="Z695" s="170"/>
      <c r="AA695" s="170"/>
      <c r="AB695" s="170"/>
      <c r="AC695" s="170"/>
      <c r="AD695" s="53"/>
      <c r="AE695" s="53"/>
    </row>
    <row r="696">
      <c r="A696" s="53"/>
      <c r="B696" s="53"/>
      <c r="C696" s="168"/>
      <c r="D696" s="169"/>
      <c r="E696" s="170"/>
      <c r="F696" s="53"/>
      <c r="G696" s="53"/>
      <c r="H696" s="53"/>
      <c r="I696" s="171"/>
      <c r="J696" s="170"/>
      <c r="K696" s="53"/>
      <c r="L696" s="53"/>
      <c r="M696" s="53"/>
      <c r="N696" s="171"/>
      <c r="O696" s="170"/>
      <c r="P696" s="53"/>
      <c r="Q696" s="53"/>
      <c r="R696" s="53"/>
      <c r="S696" s="171"/>
      <c r="T696" s="170"/>
      <c r="U696" s="53"/>
      <c r="V696" s="53"/>
      <c r="W696" s="53"/>
      <c r="X696" s="171"/>
      <c r="Y696" s="170"/>
      <c r="Z696" s="170"/>
      <c r="AA696" s="170"/>
      <c r="AB696" s="170"/>
      <c r="AC696" s="170"/>
      <c r="AD696" s="53"/>
      <c r="AE696" s="53"/>
    </row>
    <row r="697">
      <c r="A697" s="53"/>
      <c r="B697" s="53"/>
      <c r="C697" s="168"/>
      <c r="D697" s="169"/>
      <c r="E697" s="170"/>
      <c r="F697" s="53"/>
      <c r="G697" s="53"/>
      <c r="H697" s="53"/>
      <c r="I697" s="171"/>
      <c r="J697" s="170"/>
      <c r="K697" s="53"/>
      <c r="L697" s="53"/>
      <c r="M697" s="53"/>
      <c r="N697" s="171"/>
      <c r="O697" s="170"/>
      <c r="P697" s="53"/>
      <c r="Q697" s="53"/>
      <c r="R697" s="53"/>
      <c r="S697" s="171"/>
      <c r="T697" s="170"/>
      <c r="U697" s="53"/>
      <c r="V697" s="53"/>
      <c r="W697" s="53"/>
      <c r="X697" s="171"/>
      <c r="Y697" s="170"/>
      <c r="Z697" s="170"/>
      <c r="AA697" s="170"/>
      <c r="AB697" s="170"/>
      <c r="AC697" s="170"/>
      <c r="AD697" s="53"/>
      <c r="AE697" s="53"/>
    </row>
    <row r="698">
      <c r="A698" s="53"/>
      <c r="B698" s="53"/>
      <c r="C698" s="168"/>
      <c r="D698" s="169"/>
      <c r="E698" s="170"/>
      <c r="F698" s="53"/>
      <c r="G698" s="53"/>
      <c r="H698" s="53"/>
      <c r="I698" s="171"/>
      <c r="J698" s="170"/>
      <c r="K698" s="53"/>
      <c r="L698" s="53"/>
      <c r="M698" s="53"/>
      <c r="N698" s="171"/>
      <c r="O698" s="170"/>
      <c r="P698" s="53"/>
      <c r="Q698" s="53"/>
      <c r="R698" s="53"/>
      <c r="S698" s="171"/>
      <c r="T698" s="170"/>
      <c r="U698" s="53"/>
      <c r="V698" s="53"/>
      <c r="W698" s="53"/>
      <c r="X698" s="171"/>
      <c r="Y698" s="170"/>
      <c r="Z698" s="170"/>
      <c r="AA698" s="170"/>
      <c r="AB698" s="170"/>
      <c r="AC698" s="170"/>
      <c r="AD698" s="53"/>
      <c r="AE698" s="53"/>
    </row>
    <row r="699">
      <c r="A699" s="53"/>
      <c r="B699" s="53"/>
      <c r="C699" s="168"/>
      <c r="D699" s="169"/>
      <c r="E699" s="170"/>
      <c r="F699" s="53"/>
      <c r="G699" s="53"/>
      <c r="H699" s="53"/>
      <c r="I699" s="171"/>
      <c r="J699" s="170"/>
      <c r="K699" s="53"/>
      <c r="L699" s="53"/>
      <c r="M699" s="53"/>
      <c r="N699" s="171"/>
      <c r="O699" s="170"/>
      <c r="P699" s="53"/>
      <c r="Q699" s="53"/>
      <c r="R699" s="53"/>
      <c r="S699" s="171"/>
      <c r="T699" s="170"/>
      <c r="U699" s="53"/>
      <c r="V699" s="53"/>
      <c r="W699" s="53"/>
      <c r="X699" s="171"/>
      <c r="Y699" s="170"/>
      <c r="Z699" s="170"/>
      <c r="AA699" s="170"/>
      <c r="AB699" s="170"/>
      <c r="AC699" s="170"/>
      <c r="AD699" s="53"/>
      <c r="AE699" s="53"/>
    </row>
    <row r="700">
      <c r="A700" s="53"/>
      <c r="B700" s="53"/>
      <c r="C700" s="168"/>
      <c r="D700" s="169"/>
      <c r="E700" s="170"/>
      <c r="F700" s="53"/>
      <c r="G700" s="53"/>
      <c r="H700" s="53"/>
      <c r="I700" s="171"/>
      <c r="J700" s="170"/>
      <c r="K700" s="53"/>
      <c r="L700" s="53"/>
      <c r="M700" s="53"/>
      <c r="N700" s="171"/>
      <c r="O700" s="170"/>
      <c r="P700" s="53"/>
      <c r="Q700" s="53"/>
      <c r="R700" s="53"/>
      <c r="S700" s="171"/>
      <c r="T700" s="170"/>
      <c r="U700" s="53"/>
      <c r="V700" s="53"/>
      <c r="W700" s="53"/>
      <c r="X700" s="171"/>
      <c r="Y700" s="170"/>
      <c r="Z700" s="170"/>
      <c r="AA700" s="170"/>
      <c r="AB700" s="170"/>
      <c r="AC700" s="170"/>
      <c r="AD700" s="53"/>
      <c r="AE700" s="53"/>
    </row>
    <row r="701">
      <c r="A701" s="53"/>
      <c r="B701" s="53"/>
      <c r="C701" s="168"/>
      <c r="D701" s="169"/>
      <c r="E701" s="170"/>
      <c r="F701" s="53"/>
      <c r="G701" s="53"/>
      <c r="H701" s="53"/>
      <c r="I701" s="171"/>
      <c r="J701" s="170"/>
      <c r="K701" s="53"/>
      <c r="L701" s="53"/>
      <c r="M701" s="53"/>
      <c r="N701" s="171"/>
      <c r="O701" s="170"/>
      <c r="P701" s="53"/>
      <c r="Q701" s="53"/>
      <c r="R701" s="53"/>
      <c r="S701" s="171"/>
      <c r="T701" s="170"/>
      <c r="U701" s="53"/>
      <c r="V701" s="53"/>
      <c r="W701" s="53"/>
      <c r="X701" s="171"/>
      <c r="Y701" s="170"/>
      <c r="Z701" s="170"/>
      <c r="AA701" s="170"/>
      <c r="AB701" s="170"/>
      <c r="AC701" s="170"/>
      <c r="AD701" s="53"/>
      <c r="AE701" s="53"/>
    </row>
    <row r="702">
      <c r="A702" s="53"/>
      <c r="B702" s="53"/>
      <c r="C702" s="168"/>
      <c r="D702" s="169"/>
      <c r="E702" s="170"/>
      <c r="F702" s="53"/>
      <c r="G702" s="53"/>
      <c r="H702" s="53"/>
      <c r="I702" s="171"/>
      <c r="J702" s="170"/>
      <c r="K702" s="53"/>
      <c r="L702" s="53"/>
      <c r="M702" s="53"/>
      <c r="N702" s="171"/>
      <c r="O702" s="170"/>
      <c r="P702" s="53"/>
      <c r="Q702" s="53"/>
      <c r="R702" s="53"/>
      <c r="S702" s="171"/>
      <c r="T702" s="170"/>
      <c r="U702" s="53"/>
      <c r="V702" s="53"/>
      <c r="W702" s="53"/>
      <c r="X702" s="171"/>
      <c r="Y702" s="170"/>
      <c r="Z702" s="170"/>
      <c r="AA702" s="170"/>
      <c r="AB702" s="170"/>
      <c r="AC702" s="170"/>
      <c r="AD702" s="53"/>
      <c r="AE702" s="53"/>
    </row>
    <row r="703">
      <c r="A703" s="53"/>
      <c r="B703" s="53"/>
      <c r="C703" s="168"/>
      <c r="D703" s="169"/>
      <c r="E703" s="170"/>
      <c r="F703" s="53"/>
      <c r="G703" s="53"/>
      <c r="H703" s="53"/>
      <c r="I703" s="171"/>
      <c r="J703" s="170"/>
      <c r="K703" s="53"/>
      <c r="L703" s="53"/>
      <c r="M703" s="53"/>
      <c r="N703" s="171"/>
      <c r="O703" s="170"/>
      <c r="P703" s="53"/>
      <c r="Q703" s="53"/>
      <c r="R703" s="53"/>
      <c r="S703" s="171"/>
      <c r="T703" s="170"/>
      <c r="U703" s="53"/>
      <c r="V703" s="53"/>
      <c r="W703" s="53"/>
      <c r="X703" s="171"/>
      <c r="Y703" s="170"/>
      <c r="Z703" s="170"/>
      <c r="AA703" s="170"/>
      <c r="AB703" s="170"/>
      <c r="AC703" s="170"/>
      <c r="AD703" s="53"/>
      <c r="AE703" s="53"/>
    </row>
    <row r="704">
      <c r="A704" s="53"/>
      <c r="B704" s="53"/>
      <c r="C704" s="168"/>
      <c r="D704" s="169"/>
      <c r="E704" s="170"/>
      <c r="F704" s="53"/>
      <c r="G704" s="53"/>
      <c r="H704" s="53"/>
      <c r="I704" s="171"/>
      <c r="J704" s="170"/>
      <c r="K704" s="53"/>
      <c r="L704" s="53"/>
      <c r="M704" s="53"/>
      <c r="N704" s="171"/>
      <c r="O704" s="170"/>
      <c r="P704" s="53"/>
      <c r="Q704" s="53"/>
      <c r="R704" s="53"/>
      <c r="S704" s="171"/>
      <c r="T704" s="170"/>
      <c r="U704" s="53"/>
      <c r="V704" s="53"/>
      <c r="W704" s="53"/>
      <c r="X704" s="171"/>
      <c r="Y704" s="170"/>
      <c r="Z704" s="170"/>
      <c r="AA704" s="170"/>
      <c r="AB704" s="170"/>
      <c r="AC704" s="170"/>
      <c r="AD704" s="53"/>
      <c r="AE704" s="53"/>
    </row>
    <row r="705">
      <c r="A705" s="53"/>
      <c r="B705" s="53"/>
      <c r="C705" s="168"/>
      <c r="D705" s="169"/>
      <c r="E705" s="170"/>
      <c r="F705" s="53"/>
      <c r="G705" s="53"/>
      <c r="H705" s="53"/>
      <c r="I705" s="171"/>
      <c r="J705" s="170"/>
      <c r="K705" s="53"/>
      <c r="L705" s="53"/>
      <c r="M705" s="53"/>
      <c r="N705" s="171"/>
      <c r="O705" s="170"/>
      <c r="P705" s="53"/>
      <c r="Q705" s="53"/>
      <c r="R705" s="53"/>
      <c r="S705" s="171"/>
      <c r="T705" s="170"/>
      <c r="U705" s="53"/>
      <c r="V705" s="53"/>
      <c r="W705" s="53"/>
      <c r="X705" s="171"/>
      <c r="Y705" s="170"/>
      <c r="Z705" s="170"/>
      <c r="AA705" s="170"/>
      <c r="AB705" s="170"/>
      <c r="AC705" s="170"/>
      <c r="AD705" s="53"/>
      <c r="AE705" s="53"/>
    </row>
    <row r="706">
      <c r="A706" s="53"/>
      <c r="B706" s="53"/>
      <c r="C706" s="168"/>
      <c r="D706" s="169"/>
      <c r="E706" s="170"/>
      <c r="F706" s="53"/>
      <c r="G706" s="53"/>
      <c r="H706" s="53"/>
      <c r="I706" s="171"/>
      <c r="J706" s="170"/>
      <c r="K706" s="53"/>
      <c r="L706" s="53"/>
      <c r="M706" s="53"/>
      <c r="N706" s="171"/>
      <c r="O706" s="170"/>
      <c r="P706" s="53"/>
      <c r="Q706" s="53"/>
      <c r="R706" s="53"/>
      <c r="S706" s="171"/>
      <c r="T706" s="170"/>
      <c r="U706" s="53"/>
      <c r="V706" s="53"/>
      <c r="W706" s="53"/>
      <c r="X706" s="171"/>
      <c r="Y706" s="170"/>
      <c r="Z706" s="170"/>
      <c r="AA706" s="170"/>
      <c r="AB706" s="170"/>
      <c r="AC706" s="170"/>
      <c r="AD706" s="53"/>
      <c r="AE706" s="53"/>
    </row>
    <row r="707">
      <c r="A707" s="53"/>
      <c r="B707" s="53"/>
      <c r="C707" s="168"/>
      <c r="D707" s="169"/>
      <c r="E707" s="170"/>
      <c r="F707" s="53"/>
      <c r="G707" s="53"/>
      <c r="H707" s="53"/>
      <c r="I707" s="171"/>
      <c r="J707" s="170"/>
      <c r="K707" s="53"/>
      <c r="L707" s="53"/>
      <c r="M707" s="53"/>
      <c r="N707" s="171"/>
      <c r="O707" s="170"/>
      <c r="P707" s="53"/>
      <c r="Q707" s="53"/>
      <c r="R707" s="53"/>
      <c r="S707" s="171"/>
      <c r="T707" s="170"/>
      <c r="U707" s="53"/>
      <c r="V707" s="53"/>
      <c r="W707" s="53"/>
      <c r="X707" s="171"/>
      <c r="Y707" s="170"/>
      <c r="Z707" s="170"/>
      <c r="AA707" s="170"/>
      <c r="AB707" s="170"/>
      <c r="AC707" s="170"/>
      <c r="AD707" s="53"/>
      <c r="AE707" s="53"/>
    </row>
    <row r="708">
      <c r="A708" s="53"/>
      <c r="B708" s="53"/>
      <c r="C708" s="168"/>
      <c r="D708" s="169"/>
      <c r="E708" s="170"/>
      <c r="F708" s="53"/>
      <c r="G708" s="53"/>
      <c r="H708" s="53"/>
      <c r="I708" s="171"/>
      <c r="J708" s="170"/>
      <c r="K708" s="53"/>
      <c r="L708" s="53"/>
      <c r="M708" s="53"/>
      <c r="N708" s="171"/>
      <c r="O708" s="170"/>
      <c r="P708" s="53"/>
      <c r="Q708" s="53"/>
      <c r="R708" s="53"/>
      <c r="S708" s="171"/>
      <c r="T708" s="170"/>
      <c r="U708" s="53"/>
      <c r="V708" s="53"/>
      <c r="W708" s="53"/>
      <c r="X708" s="171"/>
      <c r="Y708" s="170"/>
      <c r="Z708" s="170"/>
      <c r="AA708" s="170"/>
      <c r="AB708" s="170"/>
      <c r="AC708" s="170"/>
      <c r="AD708" s="53"/>
      <c r="AE708" s="53"/>
    </row>
    <row r="709">
      <c r="A709" s="53"/>
      <c r="B709" s="53"/>
      <c r="C709" s="168"/>
      <c r="D709" s="169"/>
      <c r="E709" s="170"/>
      <c r="F709" s="53"/>
      <c r="G709" s="53"/>
      <c r="H709" s="53"/>
      <c r="I709" s="171"/>
      <c r="J709" s="170"/>
      <c r="K709" s="53"/>
      <c r="L709" s="53"/>
      <c r="M709" s="53"/>
      <c r="N709" s="171"/>
      <c r="O709" s="170"/>
      <c r="P709" s="53"/>
      <c r="Q709" s="53"/>
      <c r="R709" s="53"/>
      <c r="S709" s="171"/>
      <c r="T709" s="170"/>
      <c r="U709" s="53"/>
      <c r="V709" s="53"/>
      <c r="W709" s="53"/>
      <c r="X709" s="171"/>
      <c r="Y709" s="170"/>
      <c r="Z709" s="170"/>
      <c r="AA709" s="170"/>
      <c r="AB709" s="170"/>
      <c r="AC709" s="170"/>
      <c r="AD709" s="53"/>
      <c r="AE709" s="53"/>
    </row>
    <row r="710">
      <c r="A710" s="53"/>
      <c r="B710" s="53"/>
      <c r="C710" s="168"/>
      <c r="D710" s="169"/>
      <c r="E710" s="170"/>
      <c r="F710" s="53"/>
      <c r="G710" s="53"/>
      <c r="H710" s="53"/>
      <c r="I710" s="171"/>
      <c r="J710" s="170"/>
      <c r="K710" s="53"/>
      <c r="L710" s="53"/>
      <c r="M710" s="53"/>
      <c r="N710" s="171"/>
      <c r="O710" s="170"/>
      <c r="P710" s="53"/>
      <c r="Q710" s="53"/>
      <c r="R710" s="53"/>
      <c r="S710" s="171"/>
      <c r="T710" s="170"/>
      <c r="U710" s="53"/>
      <c r="V710" s="53"/>
      <c r="W710" s="53"/>
      <c r="X710" s="171"/>
      <c r="Y710" s="170"/>
      <c r="Z710" s="170"/>
      <c r="AA710" s="170"/>
      <c r="AB710" s="170"/>
      <c r="AC710" s="170"/>
      <c r="AD710" s="53"/>
      <c r="AE710" s="53"/>
    </row>
    <row r="711">
      <c r="A711" s="53"/>
      <c r="B711" s="53"/>
      <c r="C711" s="168"/>
      <c r="D711" s="169"/>
      <c r="E711" s="170"/>
      <c r="F711" s="53"/>
      <c r="G711" s="53"/>
      <c r="H711" s="53"/>
      <c r="I711" s="171"/>
      <c r="J711" s="170"/>
      <c r="K711" s="53"/>
      <c r="L711" s="53"/>
      <c r="M711" s="53"/>
      <c r="N711" s="171"/>
      <c r="O711" s="170"/>
      <c r="P711" s="53"/>
      <c r="Q711" s="53"/>
      <c r="R711" s="53"/>
      <c r="S711" s="171"/>
      <c r="T711" s="170"/>
      <c r="U711" s="53"/>
      <c r="V711" s="53"/>
      <c r="W711" s="53"/>
      <c r="X711" s="171"/>
      <c r="Y711" s="170"/>
      <c r="Z711" s="170"/>
      <c r="AA711" s="170"/>
      <c r="AB711" s="170"/>
      <c r="AC711" s="170"/>
      <c r="AD711" s="53"/>
      <c r="AE711" s="53"/>
    </row>
    <row r="712">
      <c r="A712" s="53"/>
      <c r="B712" s="53"/>
      <c r="C712" s="168"/>
      <c r="D712" s="169"/>
      <c r="E712" s="170"/>
      <c r="F712" s="53"/>
      <c r="G712" s="53"/>
      <c r="H712" s="53"/>
      <c r="I712" s="171"/>
      <c r="J712" s="170"/>
      <c r="K712" s="53"/>
      <c r="L712" s="53"/>
      <c r="M712" s="53"/>
      <c r="N712" s="171"/>
      <c r="O712" s="170"/>
      <c r="P712" s="53"/>
      <c r="Q712" s="53"/>
      <c r="R712" s="53"/>
      <c r="S712" s="171"/>
      <c r="T712" s="170"/>
      <c r="U712" s="53"/>
      <c r="V712" s="53"/>
      <c r="W712" s="53"/>
      <c r="X712" s="171"/>
      <c r="Y712" s="170"/>
      <c r="Z712" s="170"/>
      <c r="AA712" s="170"/>
      <c r="AB712" s="170"/>
      <c r="AC712" s="170"/>
      <c r="AD712" s="53"/>
      <c r="AE712" s="53"/>
    </row>
    <row r="713">
      <c r="A713" s="53"/>
      <c r="B713" s="53"/>
      <c r="C713" s="168"/>
      <c r="D713" s="169"/>
      <c r="E713" s="170"/>
      <c r="F713" s="53"/>
      <c r="G713" s="53"/>
      <c r="H713" s="53"/>
      <c r="I713" s="171"/>
      <c r="J713" s="170"/>
      <c r="K713" s="53"/>
      <c r="L713" s="53"/>
      <c r="M713" s="53"/>
      <c r="N713" s="171"/>
      <c r="O713" s="170"/>
      <c r="P713" s="53"/>
      <c r="Q713" s="53"/>
      <c r="R713" s="53"/>
      <c r="S713" s="171"/>
      <c r="T713" s="170"/>
      <c r="U713" s="53"/>
      <c r="V713" s="53"/>
      <c r="W713" s="53"/>
      <c r="X713" s="171"/>
      <c r="Y713" s="170"/>
      <c r="Z713" s="170"/>
      <c r="AA713" s="170"/>
      <c r="AB713" s="170"/>
      <c r="AC713" s="170"/>
      <c r="AD713" s="53"/>
      <c r="AE713" s="53"/>
    </row>
    <row r="714">
      <c r="A714" s="53"/>
      <c r="B714" s="53"/>
      <c r="C714" s="168"/>
      <c r="D714" s="169"/>
      <c r="E714" s="170"/>
      <c r="F714" s="53"/>
      <c r="G714" s="53"/>
      <c r="H714" s="53"/>
      <c r="I714" s="171"/>
      <c r="J714" s="170"/>
      <c r="K714" s="53"/>
      <c r="L714" s="53"/>
      <c r="M714" s="53"/>
      <c r="N714" s="171"/>
      <c r="O714" s="170"/>
      <c r="P714" s="53"/>
      <c r="Q714" s="53"/>
      <c r="R714" s="53"/>
      <c r="S714" s="171"/>
      <c r="T714" s="170"/>
      <c r="U714" s="53"/>
      <c r="V714" s="53"/>
      <c r="W714" s="53"/>
      <c r="X714" s="171"/>
      <c r="Y714" s="170"/>
      <c r="Z714" s="170"/>
      <c r="AA714" s="170"/>
      <c r="AB714" s="170"/>
      <c r="AC714" s="170"/>
      <c r="AD714" s="53"/>
      <c r="AE714" s="53"/>
    </row>
    <row r="715">
      <c r="A715" s="53"/>
      <c r="B715" s="53"/>
      <c r="C715" s="168"/>
      <c r="D715" s="169"/>
      <c r="E715" s="170"/>
      <c r="F715" s="53"/>
      <c r="G715" s="53"/>
      <c r="H715" s="53"/>
      <c r="I715" s="171"/>
      <c r="J715" s="170"/>
      <c r="K715" s="53"/>
      <c r="L715" s="53"/>
      <c r="M715" s="53"/>
      <c r="N715" s="171"/>
      <c r="O715" s="170"/>
      <c r="P715" s="53"/>
      <c r="Q715" s="53"/>
      <c r="R715" s="53"/>
      <c r="S715" s="171"/>
      <c r="T715" s="170"/>
      <c r="U715" s="53"/>
      <c r="V715" s="53"/>
      <c r="W715" s="53"/>
      <c r="X715" s="171"/>
      <c r="Y715" s="170"/>
      <c r="Z715" s="170"/>
      <c r="AA715" s="170"/>
      <c r="AB715" s="170"/>
      <c r="AC715" s="170"/>
      <c r="AD715" s="53"/>
      <c r="AE715" s="53"/>
    </row>
    <row r="716">
      <c r="A716" s="53"/>
      <c r="B716" s="53"/>
      <c r="C716" s="168"/>
      <c r="D716" s="169"/>
      <c r="E716" s="170"/>
      <c r="F716" s="53"/>
      <c r="G716" s="53"/>
      <c r="H716" s="53"/>
      <c r="I716" s="171"/>
      <c r="J716" s="170"/>
      <c r="K716" s="53"/>
      <c r="L716" s="53"/>
      <c r="M716" s="53"/>
      <c r="N716" s="171"/>
      <c r="O716" s="170"/>
      <c r="P716" s="53"/>
      <c r="Q716" s="53"/>
      <c r="R716" s="53"/>
      <c r="S716" s="171"/>
      <c r="T716" s="170"/>
      <c r="U716" s="53"/>
      <c r="V716" s="53"/>
      <c r="W716" s="53"/>
      <c r="X716" s="171"/>
      <c r="Y716" s="170"/>
      <c r="Z716" s="170"/>
      <c r="AA716" s="170"/>
      <c r="AB716" s="170"/>
      <c r="AC716" s="170"/>
      <c r="AD716" s="53"/>
      <c r="AE716" s="53"/>
    </row>
    <row r="717">
      <c r="A717" s="53"/>
      <c r="B717" s="53"/>
      <c r="C717" s="168"/>
      <c r="D717" s="169"/>
      <c r="E717" s="170"/>
      <c r="F717" s="53"/>
      <c r="G717" s="53"/>
      <c r="H717" s="53"/>
      <c r="I717" s="171"/>
      <c r="J717" s="170"/>
      <c r="K717" s="53"/>
      <c r="L717" s="53"/>
      <c r="M717" s="53"/>
      <c r="N717" s="171"/>
      <c r="O717" s="170"/>
      <c r="P717" s="53"/>
      <c r="Q717" s="53"/>
      <c r="R717" s="53"/>
      <c r="S717" s="171"/>
      <c r="T717" s="170"/>
      <c r="U717" s="53"/>
      <c r="V717" s="53"/>
      <c r="W717" s="53"/>
      <c r="X717" s="171"/>
      <c r="Y717" s="170"/>
      <c r="Z717" s="170"/>
      <c r="AA717" s="170"/>
      <c r="AB717" s="170"/>
      <c r="AC717" s="170"/>
      <c r="AD717" s="53"/>
      <c r="AE717" s="53"/>
    </row>
    <row r="718">
      <c r="A718" s="53"/>
      <c r="B718" s="53"/>
      <c r="C718" s="168"/>
      <c r="D718" s="169"/>
      <c r="E718" s="170"/>
      <c r="F718" s="53"/>
      <c r="G718" s="53"/>
      <c r="H718" s="53"/>
      <c r="I718" s="171"/>
      <c r="J718" s="170"/>
      <c r="K718" s="53"/>
      <c r="L718" s="53"/>
      <c r="M718" s="53"/>
      <c r="N718" s="171"/>
      <c r="O718" s="170"/>
      <c r="P718" s="53"/>
      <c r="Q718" s="53"/>
      <c r="R718" s="53"/>
      <c r="S718" s="171"/>
      <c r="T718" s="170"/>
      <c r="U718" s="53"/>
      <c r="V718" s="53"/>
      <c r="W718" s="53"/>
      <c r="X718" s="171"/>
      <c r="Y718" s="170"/>
      <c r="Z718" s="170"/>
      <c r="AA718" s="170"/>
      <c r="AB718" s="170"/>
      <c r="AC718" s="170"/>
      <c r="AD718" s="53"/>
      <c r="AE718" s="53"/>
    </row>
    <row r="719">
      <c r="A719" s="53"/>
      <c r="B719" s="53"/>
      <c r="C719" s="168"/>
      <c r="D719" s="169"/>
      <c r="E719" s="170"/>
      <c r="F719" s="53"/>
      <c r="G719" s="53"/>
      <c r="H719" s="53"/>
      <c r="I719" s="171"/>
      <c r="J719" s="170"/>
      <c r="K719" s="53"/>
      <c r="L719" s="53"/>
      <c r="M719" s="53"/>
      <c r="N719" s="171"/>
      <c r="O719" s="170"/>
      <c r="P719" s="53"/>
      <c r="Q719" s="53"/>
      <c r="R719" s="53"/>
      <c r="S719" s="171"/>
      <c r="T719" s="170"/>
      <c r="U719" s="53"/>
      <c r="V719" s="53"/>
      <c r="W719" s="53"/>
      <c r="X719" s="171"/>
      <c r="Y719" s="170"/>
      <c r="Z719" s="170"/>
      <c r="AA719" s="170"/>
      <c r="AB719" s="170"/>
      <c r="AC719" s="170"/>
      <c r="AD719" s="53"/>
      <c r="AE719" s="53"/>
    </row>
    <row r="720">
      <c r="A720" s="53"/>
      <c r="B720" s="53"/>
      <c r="C720" s="168"/>
      <c r="D720" s="169"/>
      <c r="E720" s="170"/>
      <c r="F720" s="53"/>
      <c r="G720" s="53"/>
      <c r="H720" s="53"/>
      <c r="I720" s="171"/>
      <c r="J720" s="170"/>
      <c r="K720" s="53"/>
      <c r="L720" s="53"/>
      <c r="M720" s="53"/>
      <c r="N720" s="171"/>
      <c r="O720" s="170"/>
      <c r="P720" s="53"/>
      <c r="Q720" s="53"/>
      <c r="R720" s="53"/>
      <c r="S720" s="171"/>
      <c r="T720" s="170"/>
      <c r="U720" s="53"/>
      <c r="V720" s="53"/>
      <c r="W720" s="53"/>
      <c r="X720" s="171"/>
      <c r="Y720" s="170"/>
      <c r="Z720" s="170"/>
      <c r="AA720" s="170"/>
      <c r="AB720" s="170"/>
      <c r="AC720" s="170"/>
      <c r="AD720" s="53"/>
      <c r="AE720" s="53"/>
    </row>
    <row r="721">
      <c r="A721" s="53"/>
      <c r="B721" s="53"/>
      <c r="C721" s="168"/>
      <c r="D721" s="169"/>
      <c r="E721" s="170"/>
      <c r="F721" s="53"/>
      <c r="G721" s="53"/>
      <c r="H721" s="53"/>
      <c r="I721" s="171"/>
      <c r="J721" s="170"/>
      <c r="K721" s="53"/>
      <c r="L721" s="53"/>
      <c r="M721" s="53"/>
      <c r="N721" s="171"/>
      <c r="O721" s="170"/>
      <c r="P721" s="53"/>
      <c r="Q721" s="53"/>
      <c r="R721" s="53"/>
      <c r="S721" s="171"/>
      <c r="T721" s="170"/>
      <c r="U721" s="53"/>
      <c r="V721" s="53"/>
      <c r="W721" s="53"/>
      <c r="X721" s="171"/>
      <c r="Y721" s="170"/>
      <c r="Z721" s="170"/>
      <c r="AA721" s="170"/>
      <c r="AB721" s="170"/>
      <c r="AC721" s="170"/>
      <c r="AD721" s="53"/>
      <c r="AE721" s="53"/>
    </row>
    <row r="722">
      <c r="A722" s="53"/>
      <c r="B722" s="53"/>
      <c r="C722" s="168"/>
      <c r="D722" s="169"/>
      <c r="E722" s="170"/>
      <c r="F722" s="53"/>
      <c r="G722" s="53"/>
      <c r="H722" s="53"/>
      <c r="I722" s="171"/>
      <c r="J722" s="170"/>
      <c r="K722" s="53"/>
      <c r="L722" s="53"/>
      <c r="M722" s="53"/>
      <c r="N722" s="171"/>
      <c r="O722" s="170"/>
      <c r="P722" s="53"/>
      <c r="Q722" s="53"/>
      <c r="R722" s="53"/>
      <c r="S722" s="171"/>
      <c r="T722" s="170"/>
      <c r="U722" s="53"/>
      <c r="V722" s="53"/>
      <c r="W722" s="53"/>
      <c r="X722" s="171"/>
      <c r="Y722" s="170"/>
      <c r="Z722" s="170"/>
      <c r="AA722" s="170"/>
      <c r="AB722" s="170"/>
      <c r="AC722" s="170"/>
      <c r="AD722" s="53"/>
      <c r="AE722" s="53"/>
    </row>
    <row r="723">
      <c r="A723" s="53"/>
      <c r="B723" s="53"/>
      <c r="C723" s="168"/>
      <c r="D723" s="169"/>
      <c r="E723" s="170"/>
      <c r="F723" s="53"/>
      <c r="G723" s="53"/>
      <c r="H723" s="53"/>
      <c r="I723" s="171"/>
      <c r="J723" s="170"/>
      <c r="K723" s="53"/>
      <c r="L723" s="53"/>
      <c r="M723" s="53"/>
      <c r="N723" s="171"/>
      <c r="O723" s="170"/>
      <c r="P723" s="53"/>
      <c r="Q723" s="53"/>
      <c r="R723" s="53"/>
      <c r="S723" s="171"/>
      <c r="T723" s="170"/>
      <c r="U723" s="53"/>
      <c r="V723" s="53"/>
      <c r="W723" s="53"/>
      <c r="X723" s="171"/>
      <c r="Y723" s="170"/>
      <c r="Z723" s="170"/>
      <c r="AA723" s="170"/>
      <c r="AB723" s="170"/>
      <c r="AC723" s="170"/>
      <c r="AD723" s="53"/>
      <c r="AE723" s="53"/>
    </row>
    <row r="724">
      <c r="A724" s="53"/>
      <c r="B724" s="53"/>
      <c r="C724" s="168"/>
      <c r="D724" s="169"/>
      <c r="E724" s="170"/>
      <c r="F724" s="53"/>
      <c r="G724" s="53"/>
      <c r="H724" s="53"/>
      <c r="I724" s="171"/>
      <c r="J724" s="170"/>
      <c r="K724" s="53"/>
      <c r="L724" s="53"/>
      <c r="M724" s="53"/>
      <c r="N724" s="171"/>
      <c r="O724" s="170"/>
      <c r="P724" s="53"/>
      <c r="Q724" s="53"/>
      <c r="R724" s="53"/>
      <c r="S724" s="171"/>
      <c r="T724" s="170"/>
      <c r="U724" s="53"/>
      <c r="V724" s="53"/>
      <c r="W724" s="53"/>
      <c r="X724" s="171"/>
      <c r="Y724" s="170"/>
      <c r="Z724" s="170"/>
      <c r="AA724" s="170"/>
      <c r="AB724" s="170"/>
      <c r="AC724" s="170"/>
      <c r="AD724" s="53"/>
      <c r="AE724" s="53"/>
    </row>
    <row r="725">
      <c r="A725" s="53"/>
      <c r="B725" s="53"/>
      <c r="C725" s="168"/>
      <c r="D725" s="169"/>
      <c r="E725" s="170"/>
      <c r="F725" s="53"/>
      <c r="G725" s="53"/>
      <c r="H725" s="53"/>
      <c r="I725" s="171"/>
      <c r="J725" s="170"/>
      <c r="K725" s="53"/>
      <c r="L725" s="53"/>
      <c r="M725" s="53"/>
      <c r="N725" s="171"/>
      <c r="O725" s="170"/>
      <c r="P725" s="53"/>
      <c r="Q725" s="53"/>
      <c r="R725" s="53"/>
      <c r="S725" s="171"/>
      <c r="T725" s="170"/>
      <c r="U725" s="53"/>
      <c r="V725" s="53"/>
      <c r="W725" s="53"/>
      <c r="X725" s="171"/>
      <c r="Y725" s="170"/>
      <c r="Z725" s="170"/>
      <c r="AA725" s="170"/>
      <c r="AB725" s="170"/>
      <c r="AC725" s="170"/>
      <c r="AD725" s="53"/>
      <c r="AE725" s="53"/>
    </row>
    <row r="726">
      <c r="A726" s="53"/>
      <c r="B726" s="53"/>
      <c r="C726" s="168"/>
      <c r="D726" s="169"/>
      <c r="E726" s="170"/>
      <c r="F726" s="53"/>
      <c r="G726" s="53"/>
      <c r="H726" s="53"/>
      <c r="I726" s="171"/>
      <c r="J726" s="170"/>
      <c r="K726" s="53"/>
      <c r="L726" s="53"/>
      <c r="M726" s="53"/>
      <c r="N726" s="171"/>
      <c r="O726" s="170"/>
      <c r="P726" s="53"/>
      <c r="Q726" s="53"/>
      <c r="R726" s="53"/>
      <c r="S726" s="171"/>
      <c r="T726" s="170"/>
      <c r="U726" s="53"/>
      <c r="V726" s="53"/>
      <c r="W726" s="53"/>
      <c r="X726" s="171"/>
      <c r="Y726" s="170"/>
      <c r="Z726" s="170"/>
      <c r="AA726" s="170"/>
      <c r="AB726" s="170"/>
      <c r="AC726" s="170"/>
      <c r="AD726" s="53"/>
      <c r="AE726" s="53"/>
    </row>
    <row r="727">
      <c r="A727" s="53"/>
      <c r="B727" s="53"/>
      <c r="C727" s="168"/>
      <c r="D727" s="169"/>
      <c r="E727" s="170"/>
      <c r="F727" s="53"/>
      <c r="G727" s="53"/>
      <c r="H727" s="53"/>
      <c r="I727" s="171"/>
      <c r="J727" s="170"/>
      <c r="K727" s="53"/>
      <c r="L727" s="53"/>
      <c r="M727" s="53"/>
      <c r="N727" s="171"/>
      <c r="O727" s="170"/>
      <c r="P727" s="53"/>
      <c r="Q727" s="53"/>
      <c r="R727" s="53"/>
      <c r="S727" s="171"/>
      <c r="T727" s="170"/>
      <c r="U727" s="53"/>
      <c r="V727" s="53"/>
      <c r="W727" s="53"/>
      <c r="X727" s="171"/>
      <c r="Y727" s="170"/>
      <c r="Z727" s="170"/>
      <c r="AA727" s="170"/>
      <c r="AB727" s="170"/>
      <c r="AC727" s="170"/>
      <c r="AD727" s="53"/>
      <c r="AE727" s="53"/>
    </row>
    <row r="728">
      <c r="A728" s="53"/>
      <c r="B728" s="53"/>
      <c r="C728" s="168"/>
      <c r="D728" s="169"/>
      <c r="E728" s="170"/>
      <c r="F728" s="53"/>
      <c r="G728" s="53"/>
      <c r="H728" s="53"/>
      <c r="I728" s="171"/>
      <c r="J728" s="170"/>
      <c r="K728" s="53"/>
      <c r="L728" s="53"/>
      <c r="M728" s="53"/>
      <c r="N728" s="171"/>
      <c r="O728" s="170"/>
      <c r="P728" s="53"/>
      <c r="Q728" s="53"/>
      <c r="R728" s="53"/>
      <c r="S728" s="171"/>
      <c r="T728" s="170"/>
      <c r="U728" s="53"/>
      <c r="V728" s="53"/>
      <c r="W728" s="53"/>
      <c r="X728" s="171"/>
      <c r="Y728" s="170"/>
      <c r="Z728" s="170"/>
      <c r="AA728" s="170"/>
      <c r="AB728" s="170"/>
      <c r="AC728" s="170"/>
      <c r="AD728" s="53"/>
      <c r="AE728" s="53"/>
    </row>
    <row r="729">
      <c r="A729" s="53"/>
      <c r="B729" s="53"/>
      <c r="C729" s="168"/>
      <c r="D729" s="169"/>
      <c r="E729" s="170"/>
      <c r="F729" s="53"/>
      <c r="G729" s="53"/>
      <c r="H729" s="53"/>
      <c r="I729" s="171"/>
      <c r="J729" s="170"/>
      <c r="K729" s="53"/>
      <c r="L729" s="53"/>
      <c r="M729" s="53"/>
      <c r="N729" s="171"/>
      <c r="O729" s="170"/>
      <c r="P729" s="53"/>
      <c r="Q729" s="53"/>
      <c r="R729" s="53"/>
      <c r="S729" s="171"/>
      <c r="T729" s="170"/>
      <c r="U729" s="53"/>
      <c r="V729" s="53"/>
      <c r="W729" s="53"/>
      <c r="X729" s="171"/>
      <c r="Y729" s="170"/>
      <c r="Z729" s="170"/>
      <c r="AA729" s="170"/>
      <c r="AB729" s="170"/>
      <c r="AC729" s="170"/>
      <c r="AD729" s="53"/>
      <c r="AE729" s="53"/>
    </row>
    <row r="730">
      <c r="A730" s="53"/>
      <c r="B730" s="53"/>
      <c r="C730" s="168"/>
      <c r="D730" s="169"/>
      <c r="E730" s="170"/>
      <c r="F730" s="53"/>
      <c r="G730" s="53"/>
      <c r="H730" s="53"/>
      <c r="I730" s="171"/>
      <c r="J730" s="170"/>
      <c r="K730" s="53"/>
      <c r="L730" s="53"/>
      <c r="M730" s="53"/>
      <c r="N730" s="171"/>
      <c r="O730" s="170"/>
      <c r="P730" s="53"/>
      <c r="Q730" s="53"/>
      <c r="R730" s="53"/>
      <c r="S730" s="171"/>
      <c r="T730" s="170"/>
      <c r="U730" s="53"/>
      <c r="V730" s="53"/>
      <c r="W730" s="53"/>
      <c r="X730" s="171"/>
      <c r="Y730" s="170"/>
      <c r="Z730" s="170"/>
      <c r="AA730" s="170"/>
      <c r="AB730" s="170"/>
      <c r="AC730" s="170"/>
      <c r="AD730" s="53"/>
      <c r="AE730" s="53"/>
    </row>
    <row r="731">
      <c r="A731" s="53"/>
      <c r="B731" s="53"/>
      <c r="C731" s="168"/>
      <c r="D731" s="169"/>
      <c r="E731" s="170"/>
      <c r="F731" s="53"/>
      <c r="G731" s="53"/>
      <c r="H731" s="53"/>
      <c r="I731" s="171"/>
      <c r="J731" s="170"/>
      <c r="K731" s="53"/>
      <c r="L731" s="53"/>
      <c r="M731" s="53"/>
      <c r="N731" s="171"/>
      <c r="O731" s="170"/>
      <c r="P731" s="53"/>
      <c r="Q731" s="53"/>
      <c r="R731" s="53"/>
      <c r="S731" s="171"/>
      <c r="T731" s="170"/>
      <c r="U731" s="53"/>
      <c r="V731" s="53"/>
      <c r="W731" s="53"/>
      <c r="X731" s="171"/>
      <c r="Y731" s="170"/>
      <c r="Z731" s="170"/>
      <c r="AA731" s="170"/>
      <c r="AB731" s="170"/>
      <c r="AC731" s="170"/>
      <c r="AD731" s="53"/>
      <c r="AE731" s="53"/>
    </row>
    <row r="732">
      <c r="A732" s="53"/>
      <c r="B732" s="53"/>
      <c r="C732" s="168"/>
      <c r="D732" s="169"/>
      <c r="E732" s="170"/>
      <c r="F732" s="53"/>
      <c r="G732" s="53"/>
      <c r="H732" s="53"/>
      <c r="I732" s="171"/>
      <c r="J732" s="170"/>
      <c r="K732" s="53"/>
      <c r="L732" s="53"/>
      <c r="M732" s="53"/>
      <c r="N732" s="171"/>
      <c r="O732" s="170"/>
      <c r="P732" s="53"/>
      <c r="Q732" s="53"/>
      <c r="R732" s="53"/>
      <c r="S732" s="171"/>
      <c r="T732" s="170"/>
      <c r="U732" s="53"/>
      <c r="V732" s="53"/>
      <c r="W732" s="53"/>
      <c r="X732" s="171"/>
      <c r="Y732" s="170"/>
      <c r="Z732" s="170"/>
      <c r="AA732" s="170"/>
      <c r="AB732" s="170"/>
      <c r="AC732" s="170"/>
      <c r="AD732" s="53"/>
      <c r="AE732" s="53"/>
    </row>
    <row r="733">
      <c r="A733" s="53"/>
      <c r="B733" s="53"/>
      <c r="C733" s="168"/>
      <c r="D733" s="169"/>
      <c r="E733" s="170"/>
      <c r="F733" s="53"/>
      <c r="G733" s="53"/>
      <c r="H733" s="53"/>
      <c r="I733" s="171"/>
      <c r="J733" s="170"/>
      <c r="K733" s="53"/>
      <c r="L733" s="53"/>
      <c r="M733" s="53"/>
      <c r="N733" s="171"/>
      <c r="O733" s="170"/>
      <c r="P733" s="53"/>
      <c r="Q733" s="53"/>
      <c r="R733" s="53"/>
      <c r="S733" s="171"/>
      <c r="T733" s="170"/>
      <c r="U733" s="53"/>
      <c r="V733" s="53"/>
      <c r="W733" s="53"/>
      <c r="X733" s="171"/>
      <c r="Y733" s="170"/>
      <c r="Z733" s="170"/>
      <c r="AA733" s="170"/>
      <c r="AB733" s="170"/>
      <c r="AC733" s="170"/>
      <c r="AD733" s="53"/>
      <c r="AE733" s="53"/>
    </row>
    <row r="734">
      <c r="A734" s="53"/>
      <c r="B734" s="53"/>
      <c r="C734" s="168"/>
      <c r="D734" s="169"/>
      <c r="E734" s="170"/>
      <c r="F734" s="53"/>
      <c r="G734" s="53"/>
      <c r="H734" s="53"/>
      <c r="I734" s="171"/>
      <c r="J734" s="170"/>
      <c r="K734" s="53"/>
      <c r="L734" s="53"/>
      <c r="M734" s="53"/>
      <c r="N734" s="171"/>
      <c r="O734" s="170"/>
      <c r="P734" s="53"/>
      <c r="Q734" s="53"/>
      <c r="R734" s="53"/>
      <c r="S734" s="171"/>
      <c r="T734" s="170"/>
      <c r="U734" s="53"/>
      <c r="V734" s="53"/>
      <c r="W734" s="53"/>
      <c r="X734" s="171"/>
      <c r="Y734" s="170"/>
      <c r="Z734" s="170"/>
      <c r="AA734" s="170"/>
      <c r="AB734" s="170"/>
      <c r="AC734" s="170"/>
      <c r="AD734" s="53"/>
      <c r="AE734" s="53"/>
    </row>
    <row r="735">
      <c r="A735" s="53"/>
      <c r="B735" s="53"/>
      <c r="C735" s="168"/>
      <c r="D735" s="169"/>
      <c r="E735" s="170"/>
      <c r="F735" s="53"/>
      <c r="G735" s="53"/>
      <c r="H735" s="53"/>
      <c r="I735" s="171"/>
      <c r="J735" s="170"/>
      <c r="K735" s="53"/>
      <c r="L735" s="53"/>
      <c r="M735" s="53"/>
      <c r="N735" s="171"/>
      <c r="O735" s="170"/>
      <c r="P735" s="53"/>
      <c r="Q735" s="53"/>
      <c r="R735" s="53"/>
      <c r="S735" s="171"/>
      <c r="T735" s="170"/>
      <c r="U735" s="53"/>
      <c r="V735" s="53"/>
      <c r="W735" s="53"/>
      <c r="X735" s="171"/>
      <c r="Y735" s="170"/>
      <c r="Z735" s="170"/>
      <c r="AA735" s="170"/>
      <c r="AB735" s="170"/>
      <c r="AC735" s="170"/>
      <c r="AD735" s="53"/>
      <c r="AE735" s="53"/>
    </row>
    <row r="736">
      <c r="A736" s="53"/>
      <c r="B736" s="53"/>
      <c r="C736" s="168"/>
      <c r="D736" s="169"/>
      <c r="E736" s="170"/>
      <c r="F736" s="53"/>
      <c r="G736" s="53"/>
      <c r="H736" s="53"/>
      <c r="I736" s="171"/>
      <c r="J736" s="170"/>
      <c r="K736" s="53"/>
      <c r="L736" s="53"/>
      <c r="M736" s="53"/>
      <c r="N736" s="171"/>
      <c r="O736" s="170"/>
      <c r="P736" s="53"/>
      <c r="Q736" s="53"/>
      <c r="R736" s="53"/>
      <c r="S736" s="171"/>
      <c r="T736" s="170"/>
      <c r="U736" s="53"/>
      <c r="V736" s="53"/>
      <c r="W736" s="53"/>
      <c r="X736" s="171"/>
      <c r="Y736" s="170"/>
      <c r="Z736" s="170"/>
      <c r="AA736" s="170"/>
      <c r="AB736" s="170"/>
      <c r="AC736" s="170"/>
      <c r="AD736" s="53"/>
      <c r="AE736" s="53"/>
    </row>
    <row r="737">
      <c r="A737" s="53"/>
      <c r="B737" s="53"/>
      <c r="C737" s="168"/>
      <c r="D737" s="169"/>
      <c r="E737" s="170"/>
      <c r="F737" s="53"/>
      <c r="G737" s="53"/>
      <c r="H737" s="53"/>
      <c r="I737" s="171"/>
      <c r="J737" s="170"/>
      <c r="K737" s="53"/>
      <c r="L737" s="53"/>
      <c r="M737" s="53"/>
      <c r="N737" s="171"/>
      <c r="O737" s="170"/>
      <c r="P737" s="53"/>
      <c r="Q737" s="53"/>
      <c r="R737" s="53"/>
      <c r="S737" s="171"/>
      <c r="T737" s="170"/>
      <c r="U737" s="53"/>
      <c r="V737" s="53"/>
      <c r="W737" s="53"/>
      <c r="X737" s="171"/>
      <c r="Y737" s="170"/>
      <c r="Z737" s="170"/>
      <c r="AA737" s="170"/>
      <c r="AB737" s="170"/>
      <c r="AC737" s="170"/>
      <c r="AD737" s="53"/>
      <c r="AE737" s="53"/>
    </row>
    <row r="738">
      <c r="A738" s="53"/>
      <c r="B738" s="53"/>
      <c r="C738" s="168"/>
      <c r="D738" s="169"/>
      <c r="E738" s="170"/>
      <c r="F738" s="53"/>
      <c r="G738" s="53"/>
      <c r="H738" s="53"/>
      <c r="I738" s="171"/>
      <c r="J738" s="170"/>
      <c r="K738" s="53"/>
      <c r="L738" s="53"/>
      <c r="M738" s="53"/>
      <c r="N738" s="171"/>
      <c r="O738" s="170"/>
      <c r="P738" s="53"/>
      <c r="Q738" s="53"/>
      <c r="R738" s="53"/>
      <c r="S738" s="171"/>
      <c r="T738" s="170"/>
      <c r="U738" s="53"/>
      <c r="V738" s="53"/>
      <c r="W738" s="53"/>
      <c r="X738" s="171"/>
      <c r="Y738" s="170"/>
      <c r="Z738" s="170"/>
      <c r="AA738" s="170"/>
      <c r="AB738" s="170"/>
      <c r="AC738" s="170"/>
      <c r="AD738" s="53"/>
      <c r="AE738" s="53"/>
    </row>
    <row r="739">
      <c r="A739" s="53"/>
      <c r="B739" s="53"/>
      <c r="C739" s="168"/>
      <c r="D739" s="169"/>
      <c r="E739" s="170"/>
      <c r="F739" s="53"/>
      <c r="G739" s="53"/>
      <c r="H739" s="53"/>
      <c r="I739" s="171"/>
      <c r="J739" s="170"/>
      <c r="K739" s="53"/>
      <c r="L739" s="53"/>
      <c r="M739" s="53"/>
      <c r="N739" s="171"/>
      <c r="O739" s="170"/>
      <c r="P739" s="53"/>
      <c r="Q739" s="53"/>
      <c r="R739" s="53"/>
      <c r="S739" s="171"/>
      <c r="T739" s="170"/>
      <c r="U739" s="53"/>
      <c r="V739" s="53"/>
      <c r="W739" s="53"/>
      <c r="X739" s="171"/>
      <c r="Y739" s="170"/>
      <c r="Z739" s="170"/>
      <c r="AA739" s="170"/>
      <c r="AB739" s="170"/>
      <c r="AC739" s="170"/>
      <c r="AD739" s="53"/>
      <c r="AE739" s="53"/>
    </row>
    <row r="740">
      <c r="A740" s="53"/>
      <c r="B740" s="53"/>
      <c r="C740" s="168"/>
      <c r="D740" s="169"/>
      <c r="E740" s="170"/>
      <c r="F740" s="53"/>
      <c r="G740" s="53"/>
      <c r="H740" s="53"/>
      <c r="I740" s="171"/>
      <c r="J740" s="170"/>
      <c r="K740" s="53"/>
      <c r="L740" s="53"/>
      <c r="M740" s="53"/>
      <c r="N740" s="171"/>
      <c r="O740" s="170"/>
      <c r="P740" s="53"/>
      <c r="Q740" s="53"/>
      <c r="R740" s="53"/>
      <c r="S740" s="171"/>
      <c r="T740" s="170"/>
      <c r="U740" s="53"/>
      <c r="V740" s="53"/>
      <c r="W740" s="53"/>
      <c r="X740" s="171"/>
      <c r="Y740" s="170"/>
      <c r="Z740" s="170"/>
      <c r="AA740" s="170"/>
      <c r="AB740" s="170"/>
      <c r="AC740" s="170"/>
      <c r="AD740" s="53"/>
      <c r="AE740" s="53"/>
    </row>
    <row r="741">
      <c r="A741" s="53"/>
      <c r="B741" s="53"/>
      <c r="C741" s="168"/>
      <c r="D741" s="169"/>
      <c r="E741" s="170"/>
      <c r="F741" s="53"/>
      <c r="G741" s="53"/>
      <c r="H741" s="53"/>
      <c r="I741" s="171"/>
      <c r="J741" s="170"/>
      <c r="K741" s="53"/>
      <c r="L741" s="53"/>
      <c r="M741" s="53"/>
      <c r="N741" s="171"/>
      <c r="O741" s="170"/>
      <c r="P741" s="53"/>
      <c r="Q741" s="53"/>
      <c r="R741" s="53"/>
      <c r="S741" s="171"/>
      <c r="T741" s="170"/>
      <c r="U741" s="53"/>
      <c r="V741" s="53"/>
      <c r="W741" s="53"/>
      <c r="X741" s="171"/>
      <c r="Y741" s="170"/>
      <c r="Z741" s="170"/>
      <c r="AA741" s="170"/>
      <c r="AB741" s="170"/>
      <c r="AC741" s="170"/>
      <c r="AD741" s="53"/>
      <c r="AE741" s="53"/>
    </row>
    <row r="742">
      <c r="A742" s="53"/>
      <c r="B742" s="53"/>
      <c r="C742" s="168"/>
      <c r="D742" s="169"/>
      <c r="E742" s="170"/>
      <c r="F742" s="53"/>
      <c r="G742" s="53"/>
      <c r="H742" s="53"/>
      <c r="I742" s="171"/>
      <c r="J742" s="170"/>
      <c r="K742" s="53"/>
      <c r="L742" s="53"/>
      <c r="M742" s="53"/>
      <c r="N742" s="171"/>
      <c r="O742" s="170"/>
      <c r="P742" s="53"/>
      <c r="Q742" s="53"/>
      <c r="R742" s="53"/>
      <c r="S742" s="171"/>
      <c r="T742" s="170"/>
      <c r="U742" s="53"/>
      <c r="V742" s="53"/>
      <c r="W742" s="53"/>
      <c r="X742" s="171"/>
      <c r="Y742" s="170"/>
      <c r="Z742" s="170"/>
      <c r="AA742" s="170"/>
      <c r="AB742" s="170"/>
      <c r="AC742" s="170"/>
      <c r="AD742" s="53"/>
      <c r="AE742" s="53"/>
    </row>
    <row r="743">
      <c r="A743" s="53"/>
      <c r="B743" s="53"/>
      <c r="C743" s="168"/>
      <c r="D743" s="169"/>
      <c r="E743" s="170"/>
      <c r="F743" s="53"/>
      <c r="G743" s="53"/>
      <c r="H743" s="53"/>
      <c r="I743" s="171"/>
      <c r="J743" s="170"/>
      <c r="K743" s="53"/>
      <c r="L743" s="53"/>
      <c r="M743" s="53"/>
      <c r="N743" s="171"/>
      <c r="O743" s="170"/>
      <c r="P743" s="53"/>
      <c r="Q743" s="53"/>
      <c r="R743" s="53"/>
      <c r="S743" s="171"/>
      <c r="T743" s="170"/>
      <c r="U743" s="53"/>
      <c r="V743" s="53"/>
      <c r="W743" s="53"/>
      <c r="X743" s="171"/>
      <c r="Y743" s="170"/>
      <c r="Z743" s="170"/>
      <c r="AA743" s="170"/>
      <c r="AB743" s="170"/>
      <c r="AC743" s="170"/>
      <c r="AD743" s="53"/>
      <c r="AE743" s="53"/>
    </row>
    <row r="744">
      <c r="A744" s="53"/>
      <c r="B744" s="53"/>
      <c r="C744" s="168"/>
      <c r="D744" s="169"/>
      <c r="E744" s="170"/>
      <c r="F744" s="53"/>
      <c r="G744" s="53"/>
      <c r="H744" s="53"/>
      <c r="I744" s="171"/>
      <c r="J744" s="170"/>
      <c r="K744" s="53"/>
      <c r="L744" s="53"/>
      <c r="M744" s="53"/>
      <c r="N744" s="171"/>
      <c r="O744" s="170"/>
      <c r="P744" s="53"/>
      <c r="Q744" s="53"/>
      <c r="R744" s="53"/>
      <c r="S744" s="171"/>
      <c r="T744" s="170"/>
      <c r="U744" s="53"/>
      <c r="V744" s="53"/>
      <c r="W744" s="53"/>
      <c r="X744" s="171"/>
      <c r="Y744" s="170"/>
      <c r="Z744" s="170"/>
      <c r="AA744" s="170"/>
      <c r="AB744" s="170"/>
      <c r="AC744" s="170"/>
      <c r="AD744" s="53"/>
      <c r="AE744" s="53"/>
    </row>
    <row r="745">
      <c r="A745" s="53"/>
      <c r="B745" s="53"/>
      <c r="C745" s="168"/>
      <c r="D745" s="169"/>
      <c r="E745" s="170"/>
      <c r="F745" s="53"/>
      <c r="G745" s="53"/>
      <c r="H745" s="53"/>
      <c r="I745" s="171"/>
      <c r="J745" s="170"/>
      <c r="K745" s="53"/>
      <c r="L745" s="53"/>
      <c r="M745" s="53"/>
      <c r="N745" s="171"/>
      <c r="O745" s="170"/>
      <c r="P745" s="53"/>
      <c r="Q745" s="53"/>
      <c r="R745" s="53"/>
      <c r="S745" s="171"/>
      <c r="T745" s="170"/>
      <c r="U745" s="53"/>
      <c r="V745" s="53"/>
      <c r="W745" s="53"/>
      <c r="X745" s="171"/>
      <c r="Y745" s="170"/>
      <c r="Z745" s="170"/>
      <c r="AA745" s="170"/>
      <c r="AB745" s="170"/>
      <c r="AC745" s="170"/>
      <c r="AD745" s="53"/>
      <c r="AE745" s="53"/>
    </row>
    <row r="746">
      <c r="A746" s="53"/>
      <c r="B746" s="53"/>
      <c r="C746" s="168"/>
      <c r="D746" s="169"/>
      <c r="E746" s="170"/>
      <c r="F746" s="53"/>
      <c r="G746" s="53"/>
      <c r="H746" s="53"/>
      <c r="I746" s="171"/>
      <c r="J746" s="170"/>
      <c r="K746" s="53"/>
      <c r="L746" s="53"/>
      <c r="M746" s="53"/>
      <c r="N746" s="171"/>
      <c r="O746" s="170"/>
      <c r="P746" s="53"/>
      <c r="Q746" s="53"/>
      <c r="R746" s="53"/>
      <c r="S746" s="171"/>
      <c r="T746" s="170"/>
      <c r="U746" s="53"/>
      <c r="V746" s="53"/>
      <c r="W746" s="53"/>
      <c r="X746" s="171"/>
      <c r="Y746" s="170"/>
      <c r="Z746" s="170"/>
      <c r="AA746" s="170"/>
      <c r="AB746" s="170"/>
      <c r="AC746" s="170"/>
      <c r="AD746" s="53"/>
      <c r="AE746" s="53"/>
    </row>
    <row r="747">
      <c r="A747" s="53"/>
      <c r="B747" s="53"/>
      <c r="C747" s="168"/>
      <c r="D747" s="169"/>
      <c r="E747" s="170"/>
      <c r="F747" s="53"/>
      <c r="G747" s="53"/>
      <c r="H747" s="53"/>
      <c r="I747" s="171"/>
      <c r="J747" s="170"/>
      <c r="K747" s="53"/>
      <c r="L747" s="53"/>
      <c r="M747" s="53"/>
      <c r="N747" s="171"/>
      <c r="O747" s="170"/>
      <c r="P747" s="53"/>
      <c r="Q747" s="53"/>
      <c r="R747" s="53"/>
      <c r="S747" s="171"/>
      <c r="T747" s="170"/>
      <c r="U747" s="53"/>
      <c r="V747" s="53"/>
      <c r="W747" s="53"/>
      <c r="X747" s="171"/>
      <c r="Y747" s="170"/>
      <c r="Z747" s="170"/>
      <c r="AA747" s="170"/>
      <c r="AB747" s="170"/>
      <c r="AC747" s="170"/>
      <c r="AD747" s="53"/>
      <c r="AE747" s="53"/>
    </row>
    <row r="748">
      <c r="A748" s="53"/>
      <c r="B748" s="53"/>
      <c r="C748" s="168"/>
      <c r="D748" s="169"/>
      <c r="E748" s="170"/>
      <c r="F748" s="53"/>
      <c r="G748" s="53"/>
      <c r="H748" s="53"/>
      <c r="I748" s="171"/>
      <c r="J748" s="170"/>
      <c r="K748" s="53"/>
      <c r="L748" s="53"/>
      <c r="M748" s="53"/>
      <c r="N748" s="171"/>
      <c r="O748" s="170"/>
      <c r="P748" s="53"/>
      <c r="Q748" s="53"/>
      <c r="R748" s="53"/>
      <c r="S748" s="171"/>
      <c r="T748" s="170"/>
      <c r="U748" s="53"/>
      <c r="V748" s="53"/>
      <c r="W748" s="53"/>
      <c r="X748" s="171"/>
      <c r="Y748" s="170"/>
      <c r="Z748" s="170"/>
      <c r="AA748" s="170"/>
      <c r="AB748" s="170"/>
      <c r="AC748" s="170"/>
      <c r="AD748" s="53"/>
      <c r="AE748" s="53"/>
    </row>
    <row r="749">
      <c r="A749" s="53"/>
      <c r="B749" s="53"/>
      <c r="C749" s="168"/>
      <c r="D749" s="169"/>
      <c r="E749" s="170"/>
      <c r="F749" s="53"/>
      <c r="G749" s="53"/>
      <c r="H749" s="53"/>
      <c r="I749" s="171"/>
      <c r="J749" s="170"/>
      <c r="K749" s="53"/>
      <c r="L749" s="53"/>
      <c r="M749" s="53"/>
      <c r="N749" s="171"/>
      <c r="O749" s="170"/>
      <c r="P749" s="53"/>
      <c r="Q749" s="53"/>
      <c r="R749" s="53"/>
      <c r="S749" s="171"/>
      <c r="T749" s="170"/>
      <c r="U749" s="53"/>
      <c r="V749" s="53"/>
      <c r="W749" s="53"/>
      <c r="X749" s="171"/>
      <c r="Y749" s="170"/>
      <c r="Z749" s="170"/>
      <c r="AA749" s="170"/>
      <c r="AB749" s="170"/>
      <c r="AC749" s="170"/>
      <c r="AD749" s="53"/>
      <c r="AE749" s="53"/>
    </row>
    <row r="750">
      <c r="A750" s="53"/>
      <c r="B750" s="53"/>
      <c r="C750" s="168"/>
      <c r="D750" s="169"/>
      <c r="E750" s="170"/>
      <c r="F750" s="53"/>
      <c r="G750" s="53"/>
      <c r="H750" s="53"/>
      <c r="I750" s="171"/>
      <c r="J750" s="170"/>
      <c r="K750" s="53"/>
      <c r="L750" s="53"/>
      <c r="M750" s="53"/>
      <c r="N750" s="171"/>
      <c r="O750" s="170"/>
      <c r="P750" s="53"/>
      <c r="Q750" s="53"/>
      <c r="R750" s="53"/>
      <c r="S750" s="171"/>
      <c r="T750" s="170"/>
      <c r="U750" s="53"/>
      <c r="V750" s="53"/>
      <c r="W750" s="53"/>
      <c r="X750" s="171"/>
      <c r="Y750" s="170"/>
      <c r="Z750" s="170"/>
      <c r="AA750" s="170"/>
      <c r="AB750" s="170"/>
      <c r="AC750" s="170"/>
      <c r="AD750" s="53"/>
      <c r="AE750" s="53"/>
    </row>
    <row r="751">
      <c r="A751" s="53"/>
      <c r="B751" s="53"/>
      <c r="C751" s="168"/>
      <c r="D751" s="169"/>
      <c r="E751" s="170"/>
      <c r="F751" s="53"/>
      <c r="G751" s="53"/>
      <c r="H751" s="53"/>
      <c r="I751" s="171"/>
      <c r="J751" s="170"/>
      <c r="K751" s="53"/>
      <c r="L751" s="53"/>
      <c r="M751" s="53"/>
      <c r="N751" s="171"/>
      <c r="O751" s="170"/>
      <c r="P751" s="53"/>
      <c r="Q751" s="53"/>
      <c r="R751" s="53"/>
      <c r="S751" s="171"/>
      <c r="T751" s="170"/>
      <c r="U751" s="53"/>
      <c r="V751" s="53"/>
      <c r="W751" s="53"/>
      <c r="X751" s="171"/>
      <c r="Y751" s="170"/>
      <c r="Z751" s="170"/>
      <c r="AA751" s="170"/>
      <c r="AB751" s="170"/>
      <c r="AC751" s="170"/>
      <c r="AD751" s="53"/>
      <c r="AE751" s="53"/>
    </row>
    <row r="752">
      <c r="A752" s="53"/>
      <c r="B752" s="53"/>
      <c r="C752" s="168"/>
      <c r="D752" s="169"/>
      <c r="E752" s="170"/>
      <c r="F752" s="53"/>
      <c r="G752" s="53"/>
      <c r="H752" s="53"/>
      <c r="I752" s="171"/>
      <c r="J752" s="170"/>
      <c r="K752" s="53"/>
      <c r="L752" s="53"/>
      <c r="M752" s="53"/>
      <c r="N752" s="171"/>
      <c r="O752" s="170"/>
      <c r="P752" s="53"/>
      <c r="Q752" s="53"/>
      <c r="R752" s="53"/>
      <c r="S752" s="171"/>
      <c r="T752" s="170"/>
      <c r="U752" s="53"/>
      <c r="V752" s="53"/>
      <c r="W752" s="53"/>
      <c r="X752" s="171"/>
      <c r="Y752" s="170"/>
      <c r="Z752" s="170"/>
      <c r="AA752" s="170"/>
      <c r="AB752" s="170"/>
      <c r="AC752" s="170"/>
      <c r="AD752" s="53"/>
      <c r="AE752" s="53"/>
    </row>
    <row r="753">
      <c r="A753" s="53"/>
      <c r="B753" s="53"/>
      <c r="C753" s="168"/>
      <c r="D753" s="169"/>
      <c r="E753" s="170"/>
      <c r="F753" s="53"/>
      <c r="G753" s="53"/>
      <c r="H753" s="53"/>
      <c r="I753" s="171"/>
      <c r="J753" s="170"/>
      <c r="K753" s="53"/>
      <c r="L753" s="53"/>
      <c r="M753" s="53"/>
      <c r="N753" s="171"/>
      <c r="O753" s="170"/>
      <c r="P753" s="53"/>
      <c r="Q753" s="53"/>
      <c r="R753" s="53"/>
      <c r="S753" s="171"/>
      <c r="T753" s="170"/>
      <c r="U753" s="53"/>
      <c r="V753" s="53"/>
      <c r="W753" s="53"/>
      <c r="X753" s="171"/>
      <c r="Y753" s="170"/>
      <c r="Z753" s="170"/>
      <c r="AA753" s="170"/>
      <c r="AB753" s="170"/>
      <c r="AC753" s="170"/>
      <c r="AD753" s="53"/>
      <c r="AE753" s="53"/>
    </row>
    <row r="754">
      <c r="A754" s="53"/>
      <c r="B754" s="53"/>
      <c r="C754" s="168"/>
      <c r="D754" s="169"/>
      <c r="E754" s="170"/>
      <c r="F754" s="53"/>
      <c r="G754" s="53"/>
      <c r="H754" s="53"/>
      <c r="I754" s="171"/>
      <c r="J754" s="170"/>
      <c r="K754" s="53"/>
      <c r="L754" s="53"/>
      <c r="M754" s="53"/>
      <c r="N754" s="171"/>
      <c r="O754" s="170"/>
      <c r="P754" s="53"/>
      <c r="Q754" s="53"/>
      <c r="R754" s="53"/>
      <c r="S754" s="171"/>
      <c r="T754" s="170"/>
      <c r="U754" s="53"/>
      <c r="V754" s="53"/>
      <c r="W754" s="53"/>
      <c r="X754" s="171"/>
      <c r="Y754" s="170"/>
      <c r="Z754" s="170"/>
      <c r="AA754" s="170"/>
      <c r="AB754" s="170"/>
      <c r="AC754" s="170"/>
      <c r="AD754" s="53"/>
      <c r="AE754" s="53"/>
    </row>
    <row r="755">
      <c r="A755" s="53"/>
      <c r="B755" s="53"/>
      <c r="C755" s="168"/>
      <c r="D755" s="169"/>
      <c r="E755" s="170"/>
      <c r="F755" s="53"/>
      <c r="G755" s="53"/>
      <c r="H755" s="53"/>
      <c r="I755" s="171"/>
      <c r="J755" s="170"/>
      <c r="K755" s="53"/>
      <c r="L755" s="53"/>
      <c r="M755" s="53"/>
      <c r="N755" s="171"/>
      <c r="O755" s="170"/>
      <c r="P755" s="53"/>
      <c r="Q755" s="53"/>
      <c r="R755" s="53"/>
      <c r="S755" s="171"/>
      <c r="T755" s="170"/>
      <c r="U755" s="53"/>
      <c r="V755" s="53"/>
      <c r="W755" s="53"/>
      <c r="X755" s="171"/>
      <c r="Y755" s="170"/>
      <c r="Z755" s="170"/>
      <c r="AA755" s="170"/>
      <c r="AB755" s="170"/>
      <c r="AC755" s="170"/>
      <c r="AD755" s="53"/>
      <c r="AE755" s="53"/>
    </row>
    <row r="756">
      <c r="A756" s="53"/>
      <c r="B756" s="53"/>
      <c r="C756" s="168"/>
      <c r="D756" s="169"/>
      <c r="E756" s="170"/>
      <c r="F756" s="53"/>
      <c r="G756" s="53"/>
      <c r="H756" s="53"/>
      <c r="I756" s="171"/>
      <c r="J756" s="170"/>
      <c r="K756" s="53"/>
      <c r="L756" s="53"/>
      <c r="M756" s="53"/>
      <c r="N756" s="171"/>
      <c r="O756" s="170"/>
      <c r="P756" s="53"/>
      <c r="Q756" s="53"/>
      <c r="R756" s="53"/>
      <c r="S756" s="171"/>
      <c r="T756" s="170"/>
      <c r="U756" s="53"/>
      <c r="V756" s="53"/>
      <c r="W756" s="53"/>
      <c r="X756" s="171"/>
      <c r="Y756" s="170"/>
      <c r="Z756" s="170"/>
      <c r="AA756" s="170"/>
      <c r="AB756" s="170"/>
      <c r="AC756" s="170"/>
      <c r="AD756" s="53"/>
      <c r="AE756" s="53"/>
    </row>
    <row r="757">
      <c r="A757" s="53"/>
      <c r="B757" s="53"/>
      <c r="C757" s="168"/>
      <c r="D757" s="169"/>
      <c r="E757" s="170"/>
      <c r="F757" s="53"/>
      <c r="G757" s="53"/>
      <c r="H757" s="53"/>
      <c r="I757" s="171"/>
      <c r="J757" s="170"/>
      <c r="K757" s="53"/>
      <c r="L757" s="53"/>
      <c r="M757" s="53"/>
      <c r="N757" s="171"/>
      <c r="O757" s="170"/>
      <c r="P757" s="53"/>
      <c r="Q757" s="53"/>
      <c r="R757" s="53"/>
      <c r="S757" s="171"/>
      <c r="T757" s="170"/>
      <c r="U757" s="53"/>
      <c r="V757" s="53"/>
      <c r="W757" s="53"/>
      <c r="X757" s="171"/>
      <c r="Y757" s="170"/>
      <c r="Z757" s="170"/>
      <c r="AA757" s="170"/>
      <c r="AB757" s="170"/>
      <c r="AC757" s="170"/>
      <c r="AD757" s="53"/>
      <c r="AE757" s="53"/>
    </row>
    <row r="758">
      <c r="A758" s="53"/>
      <c r="B758" s="53"/>
      <c r="C758" s="168"/>
      <c r="D758" s="169"/>
      <c r="E758" s="170"/>
      <c r="F758" s="53"/>
      <c r="G758" s="53"/>
      <c r="H758" s="53"/>
      <c r="I758" s="171"/>
      <c r="J758" s="170"/>
      <c r="K758" s="53"/>
      <c r="L758" s="53"/>
      <c r="M758" s="53"/>
      <c r="N758" s="171"/>
      <c r="O758" s="170"/>
      <c r="P758" s="53"/>
      <c r="Q758" s="53"/>
      <c r="R758" s="53"/>
      <c r="S758" s="171"/>
      <c r="T758" s="170"/>
      <c r="U758" s="53"/>
      <c r="V758" s="53"/>
      <c r="W758" s="53"/>
      <c r="X758" s="171"/>
      <c r="Y758" s="170"/>
      <c r="Z758" s="170"/>
      <c r="AA758" s="170"/>
      <c r="AB758" s="170"/>
      <c r="AC758" s="170"/>
      <c r="AD758" s="53"/>
      <c r="AE758" s="53"/>
    </row>
    <row r="759">
      <c r="A759" s="53"/>
      <c r="B759" s="53"/>
      <c r="C759" s="168"/>
      <c r="D759" s="169"/>
      <c r="E759" s="170"/>
      <c r="F759" s="53"/>
      <c r="G759" s="53"/>
      <c r="H759" s="53"/>
      <c r="I759" s="171"/>
      <c r="J759" s="170"/>
      <c r="K759" s="53"/>
      <c r="L759" s="53"/>
      <c r="M759" s="53"/>
      <c r="N759" s="171"/>
      <c r="O759" s="170"/>
      <c r="P759" s="53"/>
      <c r="Q759" s="53"/>
      <c r="R759" s="53"/>
      <c r="S759" s="171"/>
      <c r="T759" s="170"/>
      <c r="U759" s="53"/>
      <c r="V759" s="53"/>
      <c r="W759" s="53"/>
      <c r="X759" s="171"/>
      <c r="Y759" s="170"/>
      <c r="Z759" s="170"/>
      <c r="AA759" s="170"/>
      <c r="AB759" s="170"/>
      <c r="AC759" s="170"/>
      <c r="AD759" s="53"/>
      <c r="AE759" s="53"/>
    </row>
    <row r="760">
      <c r="A760" s="53"/>
      <c r="B760" s="53"/>
      <c r="C760" s="168"/>
      <c r="D760" s="169"/>
      <c r="E760" s="170"/>
      <c r="F760" s="53"/>
      <c r="G760" s="53"/>
      <c r="H760" s="53"/>
      <c r="I760" s="171"/>
      <c r="J760" s="170"/>
      <c r="K760" s="53"/>
      <c r="L760" s="53"/>
      <c r="M760" s="53"/>
      <c r="N760" s="171"/>
      <c r="O760" s="170"/>
      <c r="P760" s="53"/>
      <c r="Q760" s="53"/>
      <c r="R760" s="53"/>
      <c r="S760" s="171"/>
      <c r="T760" s="170"/>
      <c r="U760" s="53"/>
      <c r="V760" s="53"/>
      <c r="W760" s="53"/>
      <c r="X760" s="171"/>
      <c r="Y760" s="170"/>
      <c r="Z760" s="170"/>
      <c r="AA760" s="170"/>
      <c r="AB760" s="170"/>
      <c r="AC760" s="170"/>
      <c r="AD760" s="53"/>
      <c r="AE760" s="53"/>
    </row>
    <row r="761">
      <c r="A761" s="53"/>
      <c r="B761" s="53"/>
      <c r="C761" s="168"/>
      <c r="D761" s="169"/>
      <c r="E761" s="170"/>
      <c r="F761" s="53"/>
      <c r="G761" s="53"/>
      <c r="H761" s="53"/>
      <c r="I761" s="171"/>
      <c r="J761" s="170"/>
      <c r="K761" s="53"/>
      <c r="L761" s="53"/>
      <c r="M761" s="53"/>
      <c r="N761" s="171"/>
      <c r="O761" s="170"/>
      <c r="P761" s="53"/>
      <c r="Q761" s="53"/>
      <c r="R761" s="53"/>
      <c r="S761" s="171"/>
      <c r="T761" s="170"/>
      <c r="U761" s="53"/>
      <c r="V761" s="53"/>
      <c r="W761" s="53"/>
      <c r="X761" s="171"/>
      <c r="Y761" s="170"/>
      <c r="Z761" s="170"/>
      <c r="AA761" s="170"/>
      <c r="AB761" s="170"/>
      <c r="AC761" s="170"/>
      <c r="AD761" s="53"/>
      <c r="AE761" s="53"/>
    </row>
    <row r="762">
      <c r="A762" s="53"/>
      <c r="B762" s="53"/>
      <c r="C762" s="168"/>
      <c r="D762" s="169"/>
      <c r="E762" s="170"/>
      <c r="F762" s="53"/>
      <c r="G762" s="53"/>
      <c r="H762" s="53"/>
      <c r="I762" s="171"/>
      <c r="J762" s="170"/>
      <c r="K762" s="53"/>
      <c r="L762" s="53"/>
      <c r="M762" s="53"/>
      <c r="N762" s="171"/>
      <c r="O762" s="170"/>
      <c r="P762" s="53"/>
      <c r="Q762" s="53"/>
      <c r="R762" s="53"/>
      <c r="S762" s="171"/>
      <c r="T762" s="170"/>
      <c r="U762" s="53"/>
      <c r="V762" s="53"/>
      <c r="W762" s="53"/>
      <c r="X762" s="171"/>
      <c r="Y762" s="170"/>
      <c r="Z762" s="170"/>
      <c r="AA762" s="170"/>
      <c r="AB762" s="170"/>
      <c r="AC762" s="170"/>
      <c r="AD762" s="53"/>
      <c r="AE762" s="53"/>
    </row>
    <row r="763">
      <c r="A763" s="53"/>
      <c r="B763" s="53"/>
      <c r="C763" s="168"/>
      <c r="D763" s="169"/>
      <c r="E763" s="170"/>
      <c r="F763" s="53"/>
      <c r="G763" s="53"/>
      <c r="H763" s="53"/>
      <c r="I763" s="171"/>
      <c r="J763" s="170"/>
      <c r="K763" s="53"/>
      <c r="L763" s="53"/>
      <c r="M763" s="53"/>
      <c r="N763" s="171"/>
      <c r="O763" s="170"/>
      <c r="P763" s="53"/>
      <c r="Q763" s="53"/>
      <c r="R763" s="53"/>
      <c r="S763" s="171"/>
      <c r="T763" s="170"/>
      <c r="U763" s="53"/>
      <c r="V763" s="53"/>
      <c r="W763" s="53"/>
      <c r="X763" s="171"/>
      <c r="Y763" s="170"/>
      <c r="Z763" s="170"/>
      <c r="AA763" s="170"/>
      <c r="AB763" s="170"/>
      <c r="AC763" s="170"/>
      <c r="AD763" s="53"/>
      <c r="AE763" s="53"/>
    </row>
    <row r="764">
      <c r="A764" s="53"/>
      <c r="B764" s="53"/>
      <c r="C764" s="168"/>
      <c r="D764" s="169"/>
      <c r="E764" s="170"/>
      <c r="F764" s="53"/>
      <c r="G764" s="53"/>
      <c r="H764" s="53"/>
      <c r="I764" s="171"/>
      <c r="J764" s="170"/>
      <c r="K764" s="53"/>
      <c r="L764" s="53"/>
      <c r="M764" s="53"/>
      <c r="N764" s="171"/>
      <c r="O764" s="170"/>
      <c r="P764" s="53"/>
      <c r="Q764" s="53"/>
      <c r="R764" s="53"/>
      <c r="S764" s="171"/>
      <c r="T764" s="170"/>
      <c r="U764" s="53"/>
      <c r="V764" s="53"/>
      <c r="W764" s="53"/>
      <c r="X764" s="171"/>
      <c r="Y764" s="170"/>
      <c r="Z764" s="170"/>
      <c r="AA764" s="170"/>
      <c r="AB764" s="170"/>
      <c r="AC764" s="170"/>
      <c r="AD764" s="53"/>
      <c r="AE764" s="53"/>
    </row>
    <row r="765">
      <c r="A765" s="53"/>
      <c r="B765" s="53"/>
      <c r="C765" s="168"/>
      <c r="D765" s="169"/>
      <c r="E765" s="170"/>
      <c r="F765" s="53"/>
      <c r="G765" s="53"/>
      <c r="H765" s="53"/>
      <c r="I765" s="171"/>
      <c r="J765" s="170"/>
      <c r="K765" s="53"/>
      <c r="L765" s="53"/>
      <c r="M765" s="53"/>
      <c r="N765" s="171"/>
      <c r="O765" s="170"/>
      <c r="P765" s="53"/>
      <c r="Q765" s="53"/>
      <c r="R765" s="53"/>
      <c r="S765" s="171"/>
      <c r="T765" s="170"/>
      <c r="U765" s="53"/>
      <c r="V765" s="53"/>
      <c r="W765" s="53"/>
      <c r="X765" s="171"/>
      <c r="Y765" s="170"/>
      <c r="Z765" s="170"/>
      <c r="AA765" s="170"/>
      <c r="AB765" s="170"/>
      <c r="AC765" s="170"/>
      <c r="AD765" s="53"/>
      <c r="AE765" s="53"/>
    </row>
    <row r="766">
      <c r="A766" s="53"/>
      <c r="B766" s="53"/>
      <c r="C766" s="168"/>
      <c r="D766" s="169"/>
      <c r="E766" s="170"/>
      <c r="F766" s="53"/>
      <c r="G766" s="53"/>
      <c r="H766" s="53"/>
      <c r="I766" s="171"/>
      <c r="J766" s="170"/>
      <c r="K766" s="53"/>
      <c r="L766" s="53"/>
      <c r="M766" s="53"/>
      <c r="N766" s="171"/>
      <c r="O766" s="170"/>
      <c r="P766" s="53"/>
      <c r="Q766" s="53"/>
      <c r="R766" s="53"/>
      <c r="S766" s="171"/>
      <c r="T766" s="170"/>
      <c r="U766" s="53"/>
      <c r="V766" s="53"/>
      <c r="W766" s="53"/>
      <c r="X766" s="171"/>
      <c r="Y766" s="170"/>
      <c r="Z766" s="170"/>
      <c r="AA766" s="170"/>
      <c r="AB766" s="170"/>
      <c r="AC766" s="170"/>
      <c r="AD766" s="53"/>
      <c r="AE766" s="53"/>
    </row>
    <row r="767">
      <c r="A767" s="53"/>
      <c r="B767" s="53"/>
      <c r="C767" s="168"/>
      <c r="D767" s="169"/>
      <c r="E767" s="170"/>
      <c r="F767" s="53"/>
      <c r="G767" s="53"/>
      <c r="H767" s="53"/>
      <c r="I767" s="171"/>
      <c r="J767" s="170"/>
      <c r="K767" s="53"/>
      <c r="L767" s="53"/>
      <c r="M767" s="53"/>
      <c r="N767" s="171"/>
      <c r="O767" s="170"/>
      <c r="P767" s="53"/>
      <c r="Q767" s="53"/>
      <c r="R767" s="53"/>
      <c r="S767" s="171"/>
      <c r="T767" s="170"/>
      <c r="U767" s="53"/>
      <c r="V767" s="53"/>
      <c r="W767" s="53"/>
      <c r="X767" s="171"/>
      <c r="Y767" s="170"/>
      <c r="Z767" s="170"/>
      <c r="AA767" s="170"/>
      <c r="AB767" s="170"/>
      <c r="AC767" s="170"/>
      <c r="AD767" s="53"/>
      <c r="AE767" s="53"/>
    </row>
    <row r="768">
      <c r="A768" s="53"/>
      <c r="B768" s="53"/>
      <c r="C768" s="168"/>
      <c r="D768" s="169"/>
      <c r="E768" s="170"/>
      <c r="F768" s="53"/>
      <c r="G768" s="53"/>
      <c r="H768" s="53"/>
      <c r="I768" s="171"/>
      <c r="J768" s="170"/>
      <c r="K768" s="53"/>
      <c r="L768" s="53"/>
      <c r="M768" s="53"/>
      <c r="N768" s="171"/>
      <c r="O768" s="170"/>
      <c r="P768" s="53"/>
      <c r="Q768" s="53"/>
      <c r="R768" s="53"/>
      <c r="S768" s="171"/>
      <c r="T768" s="170"/>
      <c r="U768" s="53"/>
      <c r="V768" s="53"/>
      <c r="W768" s="53"/>
      <c r="X768" s="171"/>
      <c r="Y768" s="170"/>
      <c r="Z768" s="170"/>
      <c r="AA768" s="170"/>
      <c r="AB768" s="170"/>
      <c r="AC768" s="170"/>
      <c r="AD768" s="53"/>
      <c r="AE768" s="53"/>
    </row>
    <row r="769">
      <c r="A769" s="53"/>
      <c r="B769" s="53"/>
      <c r="C769" s="168"/>
      <c r="D769" s="169"/>
      <c r="E769" s="170"/>
      <c r="F769" s="53"/>
      <c r="G769" s="53"/>
      <c r="H769" s="53"/>
      <c r="I769" s="171"/>
      <c r="J769" s="170"/>
      <c r="K769" s="53"/>
      <c r="L769" s="53"/>
      <c r="M769" s="53"/>
      <c r="N769" s="171"/>
      <c r="O769" s="170"/>
      <c r="P769" s="53"/>
      <c r="Q769" s="53"/>
      <c r="R769" s="53"/>
      <c r="S769" s="171"/>
      <c r="T769" s="170"/>
      <c r="U769" s="53"/>
      <c r="V769" s="53"/>
      <c r="W769" s="53"/>
      <c r="X769" s="171"/>
      <c r="Y769" s="170"/>
      <c r="Z769" s="170"/>
      <c r="AA769" s="170"/>
      <c r="AB769" s="170"/>
      <c r="AC769" s="170"/>
      <c r="AD769" s="53"/>
      <c r="AE769" s="53"/>
    </row>
    <row r="770">
      <c r="A770" s="53"/>
      <c r="B770" s="53"/>
      <c r="C770" s="168"/>
      <c r="D770" s="169"/>
      <c r="E770" s="170"/>
      <c r="F770" s="53"/>
      <c r="G770" s="53"/>
      <c r="H770" s="53"/>
      <c r="I770" s="171"/>
      <c r="J770" s="170"/>
      <c r="K770" s="53"/>
      <c r="L770" s="53"/>
      <c r="M770" s="53"/>
      <c r="N770" s="171"/>
      <c r="O770" s="170"/>
      <c r="P770" s="53"/>
      <c r="Q770" s="53"/>
      <c r="R770" s="53"/>
      <c r="S770" s="171"/>
      <c r="T770" s="170"/>
      <c r="U770" s="53"/>
      <c r="V770" s="53"/>
      <c r="W770" s="53"/>
      <c r="X770" s="171"/>
      <c r="Y770" s="170"/>
      <c r="Z770" s="170"/>
      <c r="AA770" s="170"/>
      <c r="AB770" s="170"/>
      <c r="AC770" s="170"/>
      <c r="AD770" s="53"/>
      <c r="AE770" s="53"/>
    </row>
    <row r="771">
      <c r="A771" s="53"/>
      <c r="B771" s="53"/>
      <c r="C771" s="168"/>
      <c r="D771" s="169"/>
      <c r="E771" s="170"/>
      <c r="F771" s="53"/>
      <c r="G771" s="53"/>
      <c r="H771" s="53"/>
      <c r="I771" s="171"/>
      <c r="J771" s="170"/>
      <c r="K771" s="53"/>
      <c r="L771" s="53"/>
      <c r="M771" s="53"/>
      <c r="N771" s="171"/>
      <c r="O771" s="170"/>
      <c r="P771" s="53"/>
      <c r="Q771" s="53"/>
      <c r="R771" s="53"/>
      <c r="S771" s="171"/>
      <c r="T771" s="170"/>
      <c r="U771" s="53"/>
      <c r="V771" s="53"/>
      <c r="W771" s="53"/>
      <c r="X771" s="171"/>
      <c r="Y771" s="170"/>
      <c r="Z771" s="170"/>
      <c r="AA771" s="170"/>
      <c r="AB771" s="170"/>
      <c r="AC771" s="170"/>
      <c r="AD771" s="53"/>
      <c r="AE771" s="53"/>
    </row>
    <row r="772">
      <c r="A772" s="53"/>
      <c r="B772" s="53"/>
      <c r="C772" s="168"/>
      <c r="D772" s="169"/>
      <c r="E772" s="170"/>
      <c r="F772" s="53"/>
      <c r="G772" s="53"/>
      <c r="H772" s="53"/>
      <c r="I772" s="171"/>
      <c r="J772" s="170"/>
      <c r="K772" s="53"/>
      <c r="L772" s="53"/>
      <c r="M772" s="53"/>
      <c r="N772" s="171"/>
      <c r="O772" s="170"/>
      <c r="P772" s="53"/>
      <c r="Q772" s="53"/>
      <c r="R772" s="53"/>
      <c r="S772" s="171"/>
      <c r="T772" s="170"/>
      <c r="U772" s="53"/>
      <c r="V772" s="53"/>
      <c r="W772" s="53"/>
      <c r="X772" s="171"/>
      <c r="Y772" s="170"/>
      <c r="Z772" s="170"/>
      <c r="AA772" s="170"/>
      <c r="AB772" s="170"/>
      <c r="AC772" s="170"/>
      <c r="AD772" s="53"/>
      <c r="AE772" s="53"/>
    </row>
    <row r="773">
      <c r="A773" s="53"/>
      <c r="B773" s="53"/>
      <c r="C773" s="168"/>
      <c r="D773" s="169"/>
      <c r="E773" s="170"/>
      <c r="F773" s="53"/>
      <c r="G773" s="53"/>
      <c r="H773" s="53"/>
      <c r="I773" s="171"/>
      <c r="J773" s="170"/>
      <c r="K773" s="53"/>
      <c r="L773" s="53"/>
      <c r="M773" s="53"/>
      <c r="N773" s="171"/>
      <c r="O773" s="170"/>
      <c r="P773" s="53"/>
      <c r="Q773" s="53"/>
      <c r="R773" s="53"/>
      <c r="S773" s="171"/>
      <c r="T773" s="170"/>
      <c r="U773" s="53"/>
      <c r="V773" s="53"/>
      <c r="W773" s="53"/>
      <c r="X773" s="171"/>
      <c r="Y773" s="170"/>
      <c r="Z773" s="170"/>
      <c r="AA773" s="170"/>
      <c r="AB773" s="170"/>
      <c r="AC773" s="170"/>
      <c r="AD773" s="53"/>
      <c r="AE773" s="53"/>
    </row>
    <row r="774">
      <c r="A774" s="53"/>
      <c r="B774" s="53"/>
      <c r="C774" s="168"/>
      <c r="D774" s="169"/>
      <c r="E774" s="170"/>
      <c r="F774" s="53"/>
      <c r="G774" s="53"/>
      <c r="H774" s="53"/>
      <c r="I774" s="171"/>
      <c r="J774" s="170"/>
      <c r="K774" s="53"/>
      <c r="L774" s="53"/>
      <c r="M774" s="53"/>
      <c r="N774" s="171"/>
      <c r="O774" s="170"/>
      <c r="P774" s="53"/>
      <c r="Q774" s="53"/>
      <c r="R774" s="53"/>
      <c r="S774" s="171"/>
      <c r="T774" s="170"/>
      <c r="U774" s="53"/>
      <c r="V774" s="53"/>
      <c r="W774" s="53"/>
      <c r="X774" s="171"/>
      <c r="Y774" s="170"/>
      <c r="Z774" s="170"/>
      <c r="AA774" s="170"/>
      <c r="AB774" s="170"/>
      <c r="AC774" s="170"/>
      <c r="AD774" s="53"/>
      <c r="AE774" s="53"/>
    </row>
    <row r="775">
      <c r="A775" s="53"/>
      <c r="B775" s="53"/>
      <c r="C775" s="168"/>
      <c r="D775" s="169"/>
      <c r="E775" s="170"/>
      <c r="F775" s="53"/>
      <c r="G775" s="53"/>
      <c r="H775" s="53"/>
      <c r="I775" s="171"/>
      <c r="J775" s="170"/>
      <c r="K775" s="53"/>
      <c r="L775" s="53"/>
      <c r="M775" s="53"/>
      <c r="N775" s="171"/>
      <c r="O775" s="170"/>
      <c r="P775" s="53"/>
      <c r="Q775" s="53"/>
      <c r="R775" s="53"/>
      <c r="S775" s="171"/>
      <c r="T775" s="170"/>
      <c r="U775" s="53"/>
      <c r="V775" s="53"/>
      <c r="W775" s="53"/>
      <c r="X775" s="171"/>
      <c r="Y775" s="170"/>
      <c r="Z775" s="170"/>
      <c r="AA775" s="170"/>
      <c r="AB775" s="170"/>
      <c r="AC775" s="170"/>
      <c r="AD775" s="53"/>
      <c r="AE775" s="53"/>
    </row>
    <row r="776">
      <c r="A776" s="53"/>
      <c r="B776" s="53"/>
      <c r="C776" s="168"/>
      <c r="D776" s="169"/>
      <c r="E776" s="170"/>
      <c r="F776" s="53"/>
      <c r="G776" s="53"/>
      <c r="H776" s="53"/>
      <c r="I776" s="171"/>
      <c r="J776" s="170"/>
      <c r="K776" s="53"/>
      <c r="L776" s="53"/>
      <c r="M776" s="53"/>
      <c r="N776" s="171"/>
      <c r="O776" s="170"/>
      <c r="P776" s="53"/>
      <c r="Q776" s="53"/>
      <c r="R776" s="53"/>
      <c r="S776" s="171"/>
      <c r="T776" s="170"/>
      <c r="U776" s="53"/>
      <c r="V776" s="53"/>
      <c r="W776" s="53"/>
      <c r="X776" s="171"/>
      <c r="Y776" s="170"/>
      <c r="Z776" s="170"/>
      <c r="AA776" s="170"/>
      <c r="AB776" s="170"/>
      <c r="AC776" s="170"/>
      <c r="AD776" s="53"/>
      <c r="AE776" s="53"/>
    </row>
    <row r="777">
      <c r="A777" s="53"/>
      <c r="B777" s="53"/>
      <c r="C777" s="168"/>
      <c r="D777" s="169"/>
      <c r="E777" s="170"/>
      <c r="F777" s="53"/>
      <c r="G777" s="53"/>
      <c r="H777" s="53"/>
      <c r="I777" s="171"/>
      <c r="J777" s="170"/>
      <c r="K777" s="53"/>
      <c r="L777" s="53"/>
      <c r="M777" s="53"/>
      <c r="N777" s="171"/>
      <c r="O777" s="170"/>
      <c r="P777" s="53"/>
      <c r="Q777" s="53"/>
      <c r="R777" s="53"/>
      <c r="S777" s="171"/>
      <c r="T777" s="170"/>
      <c r="U777" s="53"/>
      <c r="V777" s="53"/>
      <c r="W777" s="53"/>
      <c r="X777" s="171"/>
      <c r="Y777" s="170"/>
      <c r="Z777" s="170"/>
      <c r="AA777" s="170"/>
      <c r="AB777" s="170"/>
      <c r="AC777" s="170"/>
      <c r="AD777" s="53"/>
      <c r="AE777" s="53"/>
    </row>
    <row r="778">
      <c r="A778" s="53"/>
      <c r="B778" s="53"/>
      <c r="C778" s="168"/>
      <c r="D778" s="169"/>
      <c r="E778" s="170"/>
      <c r="F778" s="53"/>
      <c r="G778" s="53"/>
      <c r="H778" s="53"/>
      <c r="I778" s="171"/>
      <c r="J778" s="170"/>
      <c r="K778" s="53"/>
      <c r="L778" s="53"/>
      <c r="M778" s="53"/>
      <c r="N778" s="171"/>
      <c r="O778" s="170"/>
      <c r="P778" s="53"/>
      <c r="Q778" s="53"/>
      <c r="R778" s="53"/>
      <c r="S778" s="171"/>
      <c r="T778" s="170"/>
      <c r="U778" s="53"/>
      <c r="V778" s="53"/>
      <c r="W778" s="53"/>
      <c r="X778" s="171"/>
      <c r="Y778" s="170"/>
      <c r="Z778" s="170"/>
      <c r="AA778" s="170"/>
      <c r="AB778" s="170"/>
      <c r="AC778" s="170"/>
      <c r="AD778" s="53"/>
      <c r="AE778" s="53"/>
    </row>
    <row r="779">
      <c r="A779" s="53"/>
      <c r="B779" s="53"/>
      <c r="C779" s="168"/>
      <c r="D779" s="169"/>
      <c r="E779" s="170"/>
      <c r="F779" s="53"/>
      <c r="G779" s="53"/>
      <c r="H779" s="53"/>
      <c r="I779" s="171"/>
      <c r="J779" s="170"/>
      <c r="K779" s="53"/>
      <c r="L779" s="53"/>
      <c r="M779" s="53"/>
      <c r="N779" s="171"/>
      <c r="O779" s="170"/>
      <c r="P779" s="53"/>
      <c r="Q779" s="53"/>
      <c r="R779" s="53"/>
      <c r="S779" s="171"/>
      <c r="T779" s="170"/>
      <c r="U779" s="53"/>
      <c r="V779" s="53"/>
      <c r="W779" s="53"/>
      <c r="X779" s="171"/>
      <c r="Y779" s="170"/>
      <c r="Z779" s="170"/>
      <c r="AA779" s="170"/>
      <c r="AB779" s="170"/>
      <c r="AC779" s="170"/>
      <c r="AD779" s="53"/>
      <c r="AE779" s="53"/>
    </row>
    <row r="780">
      <c r="A780" s="53"/>
      <c r="B780" s="53"/>
      <c r="C780" s="168"/>
      <c r="D780" s="169"/>
      <c r="E780" s="170"/>
      <c r="F780" s="53"/>
      <c r="G780" s="53"/>
      <c r="H780" s="53"/>
      <c r="I780" s="171"/>
      <c r="J780" s="170"/>
      <c r="K780" s="53"/>
      <c r="L780" s="53"/>
      <c r="M780" s="53"/>
      <c r="N780" s="171"/>
      <c r="O780" s="170"/>
      <c r="P780" s="53"/>
      <c r="Q780" s="53"/>
      <c r="R780" s="53"/>
      <c r="S780" s="171"/>
      <c r="T780" s="170"/>
      <c r="U780" s="53"/>
      <c r="V780" s="53"/>
      <c r="W780" s="53"/>
      <c r="X780" s="171"/>
      <c r="Y780" s="170"/>
      <c r="Z780" s="170"/>
      <c r="AA780" s="170"/>
      <c r="AB780" s="170"/>
      <c r="AC780" s="170"/>
      <c r="AD780" s="53"/>
      <c r="AE780" s="53"/>
    </row>
    <row r="781">
      <c r="A781" s="53"/>
      <c r="B781" s="53"/>
      <c r="C781" s="168"/>
      <c r="D781" s="169"/>
      <c r="E781" s="170"/>
      <c r="F781" s="53"/>
      <c r="G781" s="53"/>
      <c r="H781" s="53"/>
      <c r="I781" s="171"/>
      <c r="J781" s="170"/>
      <c r="K781" s="53"/>
      <c r="L781" s="53"/>
      <c r="M781" s="53"/>
      <c r="N781" s="171"/>
      <c r="O781" s="170"/>
      <c r="P781" s="53"/>
      <c r="Q781" s="53"/>
      <c r="R781" s="53"/>
      <c r="S781" s="171"/>
      <c r="T781" s="170"/>
      <c r="U781" s="53"/>
      <c r="V781" s="53"/>
      <c r="W781" s="53"/>
      <c r="X781" s="171"/>
      <c r="Y781" s="170"/>
      <c r="Z781" s="170"/>
      <c r="AA781" s="170"/>
      <c r="AB781" s="170"/>
      <c r="AC781" s="170"/>
      <c r="AD781" s="53"/>
      <c r="AE781" s="53"/>
    </row>
    <row r="782">
      <c r="A782" s="53"/>
      <c r="B782" s="53"/>
      <c r="C782" s="168"/>
      <c r="D782" s="169"/>
      <c r="E782" s="170"/>
      <c r="F782" s="53"/>
      <c r="G782" s="53"/>
      <c r="H782" s="53"/>
      <c r="I782" s="171"/>
      <c r="J782" s="170"/>
      <c r="K782" s="53"/>
      <c r="L782" s="53"/>
      <c r="M782" s="53"/>
      <c r="N782" s="171"/>
      <c r="O782" s="170"/>
      <c r="P782" s="53"/>
      <c r="Q782" s="53"/>
      <c r="R782" s="53"/>
      <c r="S782" s="171"/>
      <c r="T782" s="170"/>
      <c r="U782" s="53"/>
      <c r="V782" s="53"/>
      <c r="W782" s="53"/>
      <c r="X782" s="171"/>
      <c r="Y782" s="170"/>
      <c r="Z782" s="170"/>
      <c r="AA782" s="170"/>
      <c r="AB782" s="170"/>
      <c r="AC782" s="170"/>
      <c r="AD782" s="53"/>
      <c r="AE782" s="53"/>
    </row>
    <row r="783">
      <c r="A783" s="53"/>
      <c r="B783" s="53"/>
      <c r="C783" s="168"/>
      <c r="D783" s="169"/>
      <c r="E783" s="170"/>
      <c r="F783" s="53"/>
      <c r="G783" s="53"/>
      <c r="H783" s="53"/>
      <c r="I783" s="171"/>
      <c r="J783" s="170"/>
      <c r="K783" s="53"/>
      <c r="L783" s="53"/>
      <c r="M783" s="53"/>
      <c r="N783" s="171"/>
      <c r="O783" s="170"/>
      <c r="P783" s="53"/>
      <c r="Q783" s="53"/>
      <c r="R783" s="53"/>
      <c r="S783" s="171"/>
      <c r="T783" s="170"/>
      <c r="U783" s="53"/>
      <c r="V783" s="53"/>
      <c r="W783" s="53"/>
      <c r="X783" s="171"/>
      <c r="Y783" s="170"/>
      <c r="Z783" s="170"/>
      <c r="AA783" s="170"/>
      <c r="AB783" s="170"/>
      <c r="AC783" s="170"/>
      <c r="AD783" s="53"/>
      <c r="AE783" s="53"/>
    </row>
    <row r="784">
      <c r="A784" s="53"/>
      <c r="B784" s="53"/>
      <c r="C784" s="168"/>
      <c r="D784" s="169"/>
      <c r="E784" s="170"/>
      <c r="F784" s="53"/>
      <c r="G784" s="53"/>
      <c r="H784" s="53"/>
      <c r="I784" s="171"/>
      <c r="J784" s="170"/>
      <c r="K784" s="53"/>
      <c r="L784" s="53"/>
      <c r="M784" s="53"/>
      <c r="N784" s="171"/>
      <c r="O784" s="170"/>
      <c r="P784" s="53"/>
      <c r="Q784" s="53"/>
      <c r="R784" s="53"/>
      <c r="S784" s="171"/>
      <c r="T784" s="170"/>
      <c r="U784" s="53"/>
      <c r="V784" s="53"/>
      <c r="W784" s="53"/>
      <c r="X784" s="171"/>
      <c r="Y784" s="170"/>
      <c r="Z784" s="170"/>
      <c r="AA784" s="170"/>
      <c r="AB784" s="170"/>
      <c r="AC784" s="170"/>
      <c r="AD784" s="53"/>
      <c r="AE784" s="53"/>
    </row>
    <row r="785">
      <c r="A785" s="53"/>
      <c r="B785" s="53"/>
      <c r="C785" s="168"/>
      <c r="D785" s="169"/>
      <c r="E785" s="170"/>
      <c r="F785" s="53"/>
      <c r="G785" s="53"/>
      <c r="H785" s="53"/>
      <c r="I785" s="171"/>
      <c r="J785" s="170"/>
      <c r="K785" s="53"/>
      <c r="L785" s="53"/>
      <c r="M785" s="53"/>
      <c r="N785" s="171"/>
      <c r="O785" s="170"/>
      <c r="P785" s="53"/>
      <c r="Q785" s="53"/>
      <c r="R785" s="53"/>
      <c r="S785" s="171"/>
      <c r="T785" s="170"/>
      <c r="U785" s="53"/>
      <c r="V785" s="53"/>
      <c r="W785" s="53"/>
      <c r="X785" s="171"/>
      <c r="Y785" s="170"/>
      <c r="Z785" s="170"/>
      <c r="AA785" s="170"/>
      <c r="AB785" s="170"/>
      <c r="AC785" s="170"/>
      <c r="AD785" s="53"/>
      <c r="AE785" s="53"/>
    </row>
    <row r="786">
      <c r="A786" s="53"/>
      <c r="B786" s="53"/>
      <c r="C786" s="168"/>
      <c r="D786" s="169"/>
      <c r="E786" s="170"/>
      <c r="F786" s="53"/>
      <c r="G786" s="53"/>
      <c r="H786" s="53"/>
      <c r="I786" s="171"/>
      <c r="J786" s="170"/>
      <c r="K786" s="53"/>
      <c r="L786" s="53"/>
      <c r="M786" s="53"/>
      <c r="N786" s="171"/>
      <c r="O786" s="170"/>
      <c r="P786" s="53"/>
      <c r="Q786" s="53"/>
      <c r="R786" s="53"/>
      <c r="S786" s="171"/>
      <c r="T786" s="170"/>
      <c r="U786" s="53"/>
      <c r="V786" s="53"/>
      <c r="W786" s="53"/>
      <c r="X786" s="171"/>
      <c r="Y786" s="170"/>
      <c r="Z786" s="170"/>
      <c r="AA786" s="170"/>
      <c r="AB786" s="170"/>
      <c r="AC786" s="170"/>
      <c r="AD786" s="53"/>
      <c r="AE786" s="53"/>
    </row>
    <row r="787">
      <c r="A787" s="53"/>
      <c r="B787" s="53"/>
      <c r="C787" s="168"/>
      <c r="D787" s="169"/>
      <c r="E787" s="170"/>
      <c r="F787" s="53"/>
      <c r="G787" s="53"/>
      <c r="H787" s="53"/>
      <c r="I787" s="171"/>
      <c r="J787" s="170"/>
      <c r="K787" s="53"/>
      <c r="L787" s="53"/>
      <c r="M787" s="53"/>
      <c r="N787" s="171"/>
      <c r="O787" s="170"/>
      <c r="P787" s="53"/>
      <c r="Q787" s="53"/>
      <c r="R787" s="53"/>
      <c r="S787" s="171"/>
      <c r="T787" s="170"/>
      <c r="U787" s="53"/>
      <c r="V787" s="53"/>
      <c r="W787" s="53"/>
      <c r="X787" s="171"/>
      <c r="Y787" s="170"/>
      <c r="Z787" s="170"/>
      <c r="AA787" s="170"/>
      <c r="AB787" s="170"/>
      <c r="AC787" s="170"/>
      <c r="AD787" s="53"/>
      <c r="AE787" s="53"/>
    </row>
    <row r="788">
      <c r="A788" s="53"/>
      <c r="B788" s="53"/>
      <c r="C788" s="168"/>
      <c r="D788" s="169"/>
      <c r="E788" s="170"/>
      <c r="F788" s="53"/>
      <c r="G788" s="53"/>
      <c r="H788" s="53"/>
      <c r="I788" s="171"/>
      <c r="J788" s="170"/>
      <c r="K788" s="53"/>
      <c r="L788" s="53"/>
      <c r="M788" s="53"/>
      <c r="N788" s="171"/>
      <c r="O788" s="170"/>
      <c r="P788" s="53"/>
      <c r="Q788" s="53"/>
      <c r="R788" s="53"/>
      <c r="S788" s="171"/>
      <c r="T788" s="170"/>
      <c r="U788" s="53"/>
      <c r="V788" s="53"/>
      <c r="W788" s="53"/>
      <c r="X788" s="171"/>
      <c r="Y788" s="170"/>
      <c r="Z788" s="170"/>
      <c r="AA788" s="170"/>
      <c r="AB788" s="170"/>
      <c r="AC788" s="170"/>
      <c r="AD788" s="53"/>
      <c r="AE788" s="53"/>
    </row>
    <row r="789">
      <c r="A789" s="53"/>
      <c r="B789" s="53"/>
      <c r="C789" s="168"/>
      <c r="D789" s="169"/>
      <c r="E789" s="170"/>
      <c r="F789" s="53"/>
      <c r="G789" s="53"/>
      <c r="H789" s="53"/>
      <c r="I789" s="171"/>
      <c r="J789" s="170"/>
      <c r="K789" s="53"/>
      <c r="L789" s="53"/>
      <c r="M789" s="53"/>
      <c r="N789" s="171"/>
      <c r="O789" s="170"/>
      <c r="P789" s="53"/>
      <c r="Q789" s="53"/>
      <c r="R789" s="53"/>
      <c r="S789" s="171"/>
      <c r="T789" s="170"/>
      <c r="U789" s="53"/>
      <c r="V789" s="53"/>
      <c r="W789" s="53"/>
      <c r="X789" s="171"/>
      <c r="Y789" s="170"/>
      <c r="Z789" s="170"/>
      <c r="AA789" s="170"/>
      <c r="AB789" s="170"/>
      <c r="AC789" s="170"/>
      <c r="AD789" s="53"/>
      <c r="AE789" s="53"/>
    </row>
    <row r="790">
      <c r="A790" s="53"/>
      <c r="B790" s="53"/>
      <c r="C790" s="168"/>
      <c r="D790" s="169"/>
      <c r="E790" s="170"/>
      <c r="F790" s="53"/>
      <c r="G790" s="53"/>
      <c r="H790" s="53"/>
      <c r="I790" s="171"/>
      <c r="J790" s="170"/>
      <c r="K790" s="53"/>
      <c r="L790" s="53"/>
      <c r="M790" s="53"/>
      <c r="N790" s="171"/>
      <c r="O790" s="170"/>
      <c r="P790" s="53"/>
      <c r="Q790" s="53"/>
      <c r="R790" s="53"/>
      <c r="S790" s="171"/>
      <c r="T790" s="170"/>
      <c r="U790" s="53"/>
      <c r="V790" s="53"/>
      <c r="W790" s="53"/>
      <c r="X790" s="171"/>
      <c r="Y790" s="170"/>
      <c r="Z790" s="170"/>
      <c r="AA790" s="170"/>
      <c r="AB790" s="170"/>
      <c r="AC790" s="170"/>
      <c r="AD790" s="53"/>
      <c r="AE790" s="53"/>
    </row>
    <row r="791">
      <c r="A791" s="53"/>
      <c r="B791" s="53"/>
      <c r="C791" s="168"/>
      <c r="D791" s="169"/>
      <c r="E791" s="170"/>
      <c r="F791" s="53"/>
      <c r="G791" s="53"/>
      <c r="H791" s="53"/>
      <c r="I791" s="171"/>
      <c r="J791" s="170"/>
      <c r="K791" s="53"/>
      <c r="L791" s="53"/>
      <c r="M791" s="53"/>
      <c r="N791" s="171"/>
      <c r="O791" s="170"/>
      <c r="P791" s="53"/>
      <c r="Q791" s="53"/>
      <c r="R791" s="53"/>
      <c r="S791" s="171"/>
      <c r="T791" s="170"/>
      <c r="U791" s="53"/>
      <c r="V791" s="53"/>
      <c r="W791" s="53"/>
      <c r="X791" s="171"/>
      <c r="Y791" s="170"/>
      <c r="Z791" s="170"/>
      <c r="AA791" s="170"/>
      <c r="AB791" s="170"/>
      <c r="AC791" s="170"/>
      <c r="AD791" s="53"/>
      <c r="AE791" s="53"/>
    </row>
    <row r="792">
      <c r="A792" s="53"/>
      <c r="B792" s="53"/>
      <c r="C792" s="168"/>
      <c r="D792" s="169"/>
      <c r="E792" s="170"/>
      <c r="F792" s="53"/>
      <c r="G792" s="53"/>
      <c r="H792" s="53"/>
      <c r="I792" s="171"/>
      <c r="J792" s="170"/>
      <c r="K792" s="53"/>
      <c r="L792" s="53"/>
      <c r="M792" s="53"/>
      <c r="N792" s="171"/>
      <c r="O792" s="170"/>
      <c r="P792" s="53"/>
      <c r="Q792" s="53"/>
      <c r="R792" s="53"/>
      <c r="S792" s="171"/>
      <c r="T792" s="170"/>
      <c r="U792" s="53"/>
      <c r="V792" s="53"/>
      <c r="W792" s="53"/>
      <c r="X792" s="171"/>
      <c r="Y792" s="170"/>
      <c r="Z792" s="170"/>
      <c r="AA792" s="170"/>
      <c r="AB792" s="170"/>
      <c r="AC792" s="170"/>
      <c r="AD792" s="53"/>
      <c r="AE792" s="53"/>
    </row>
    <row r="793">
      <c r="A793" s="53"/>
      <c r="B793" s="53"/>
      <c r="C793" s="168"/>
      <c r="D793" s="169"/>
      <c r="E793" s="170"/>
      <c r="F793" s="53"/>
      <c r="G793" s="53"/>
      <c r="H793" s="53"/>
      <c r="I793" s="171"/>
      <c r="J793" s="170"/>
      <c r="K793" s="53"/>
      <c r="L793" s="53"/>
      <c r="M793" s="53"/>
      <c r="N793" s="171"/>
      <c r="O793" s="170"/>
      <c r="P793" s="53"/>
      <c r="Q793" s="53"/>
      <c r="R793" s="53"/>
      <c r="S793" s="171"/>
      <c r="T793" s="170"/>
      <c r="U793" s="53"/>
      <c r="V793" s="53"/>
      <c r="W793" s="53"/>
      <c r="X793" s="171"/>
      <c r="Y793" s="170"/>
      <c r="Z793" s="170"/>
      <c r="AA793" s="170"/>
      <c r="AB793" s="170"/>
      <c r="AC793" s="170"/>
      <c r="AD793" s="53"/>
      <c r="AE793" s="53"/>
    </row>
    <row r="794">
      <c r="A794" s="53"/>
      <c r="B794" s="53"/>
      <c r="C794" s="168"/>
      <c r="D794" s="169"/>
      <c r="E794" s="170"/>
      <c r="F794" s="53"/>
      <c r="G794" s="53"/>
      <c r="H794" s="53"/>
      <c r="I794" s="171"/>
      <c r="J794" s="170"/>
      <c r="K794" s="53"/>
      <c r="L794" s="53"/>
      <c r="M794" s="53"/>
      <c r="N794" s="171"/>
      <c r="O794" s="170"/>
      <c r="P794" s="53"/>
      <c r="Q794" s="53"/>
      <c r="R794" s="53"/>
      <c r="S794" s="171"/>
      <c r="T794" s="170"/>
      <c r="U794" s="53"/>
      <c r="V794" s="53"/>
      <c r="W794" s="53"/>
      <c r="X794" s="171"/>
      <c r="Y794" s="170"/>
      <c r="Z794" s="170"/>
      <c r="AA794" s="170"/>
      <c r="AB794" s="170"/>
      <c r="AC794" s="170"/>
      <c r="AD794" s="53"/>
      <c r="AE794" s="53"/>
    </row>
    <row r="795">
      <c r="A795" s="53"/>
      <c r="B795" s="53"/>
      <c r="C795" s="168"/>
      <c r="D795" s="169"/>
      <c r="E795" s="170"/>
      <c r="F795" s="53"/>
      <c r="G795" s="53"/>
      <c r="H795" s="53"/>
      <c r="I795" s="171"/>
      <c r="J795" s="170"/>
      <c r="K795" s="53"/>
      <c r="L795" s="53"/>
      <c r="M795" s="53"/>
      <c r="N795" s="171"/>
      <c r="O795" s="170"/>
      <c r="P795" s="53"/>
      <c r="Q795" s="53"/>
      <c r="R795" s="53"/>
      <c r="S795" s="171"/>
      <c r="T795" s="170"/>
      <c r="U795" s="53"/>
      <c r="V795" s="53"/>
      <c r="W795" s="53"/>
      <c r="X795" s="171"/>
      <c r="Y795" s="170"/>
      <c r="Z795" s="170"/>
      <c r="AA795" s="170"/>
      <c r="AB795" s="170"/>
      <c r="AC795" s="170"/>
      <c r="AD795" s="53"/>
      <c r="AE795" s="53"/>
    </row>
    <row r="796">
      <c r="A796" s="53"/>
      <c r="B796" s="53"/>
      <c r="C796" s="168"/>
      <c r="D796" s="169"/>
      <c r="E796" s="170"/>
      <c r="F796" s="53"/>
      <c r="G796" s="53"/>
      <c r="H796" s="53"/>
      <c r="I796" s="171"/>
      <c r="J796" s="170"/>
      <c r="K796" s="53"/>
      <c r="L796" s="53"/>
      <c r="M796" s="53"/>
      <c r="N796" s="171"/>
      <c r="O796" s="170"/>
      <c r="P796" s="53"/>
      <c r="Q796" s="53"/>
      <c r="R796" s="53"/>
      <c r="S796" s="171"/>
      <c r="T796" s="170"/>
      <c r="U796" s="53"/>
      <c r="V796" s="53"/>
      <c r="W796" s="53"/>
      <c r="X796" s="171"/>
      <c r="Y796" s="170"/>
      <c r="Z796" s="170"/>
      <c r="AA796" s="170"/>
      <c r="AB796" s="170"/>
      <c r="AC796" s="170"/>
      <c r="AD796" s="53"/>
      <c r="AE796" s="53"/>
    </row>
    <row r="797">
      <c r="A797" s="53"/>
      <c r="B797" s="53"/>
      <c r="C797" s="168"/>
      <c r="D797" s="169"/>
      <c r="E797" s="170"/>
      <c r="F797" s="53"/>
      <c r="G797" s="53"/>
      <c r="H797" s="53"/>
      <c r="I797" s="171"/>
      <c r="J797" s="170"/>
      <c r="K797" s="53"/>
      <c r="L797" s="53"/>
      <c r="M797" s="53"/>
      <c r="N797" s="171"/>
      <c r="O797" s="170"/>
      <c r="P797" s="53"/>
      <c r="Q797" s="53"/>
      <c r="R797" s="53"/>
      <c r="S797" s="171"/>
      <c r="T797" s="170"/>
      <c r="U797" s="53"/>
      <c r="V797" s="53"/>
      <c r="W797" s="53"/>
      <c r="X797" s="171"/>
      <c r="Y797" s="170"/>
      <c r="Z797" s="170"/>
      <c r="AA797" s="170"/>
      <c r="AB797" s="170"/>
      <c r="AC797" s="170"/>
      <c r="AD797" s="53"/>
      <c r="AE797" s="53"/>
    </row>
    <row r="798">
      <c r="A798" s="53"/>
      <c r="B798" s="53"/>
      <c r="C798" s="168"/>
      <c r="D798" s="169"/>
      <c r="E798" s="170"/>
      <c r="F798" s="53"/>
      <c r="G798" s="53"/>
      <c r="H798" s="53"/>
      <c r="I798" s="171"/>
      <c r="J798" s="170"/>
      <c r="K798" s="53"/>
      <c r="L798" s="53"/>
      <c r="M798" s="53"/>
      <c r="N798" s="171"/>
      <c r="O798" s="170"/>
      <c r="P798" s="53"/>
      <c r="Q798" s="53"/>
      <c r="R798" s="53"/>
      <c r="S798" s="171"/>
      <c r="T798" s="170"/>
      <c r="U798" s="53"/>
      <c r="V798" s="53"/>
      <c r="W798" s="53"/>
      <c r="X798" s="171"/>
      <c r="Y798" s="170"/>
      <c r="Z798" s="170"/>
      <c r="AA798" s="170"/>
      <c r="AB798" s="170"/>
      <c r="AC798" s="170"/>
      <c r="AD798" s="53"/>
      <c r="AE798" s="53"/>
    </row>
    <row r="799">
      <c r="A799" s="53"/>
      <c r="B799" s="53"/>
      <c r="C799" s="168"/>
      <c r="D799" s="169"/>
      <c r="E799" s="170"/>
      <c r="F799" s="53"/>
      <c r="G799" s="53"/>
      <c r="H799" s="53"/>
      <c r="I799" s="171"/>
      <c r="J799" s="170"/>
      <c r="K799" s="53"/>
      <c r="L799" s="53"/>
      <c r="M799" s="53"/>
      <c r="N799" s="171"/>
      <c r="O799" s="170"/>
      <c r="P799" s="53"/>
      <c r="Q799" s="53"/>
      <c r="R799" s="53"/>
      <c r="S799" s="171"/>
      <c r="T799" s="170"/>
      <c r="U799" s="53"/>
      <c r="V799" s="53"/>
      <c r="W799" s="53"/>
      <c r="X799" s="171"/>
      <c r="Y799" s="170"/>
      <c r="Z799" s="170"/>
      <c r="AA799" s="170"/>
      <c r="AB799" s="170"/>
      <c r="AC799" s="170"/>
      <c r="AD799" s="53"/>
      <c r="AE799" s="53"/>
    </row>
    <row r="800">
      <c r="A800" s="53"/>
      <c r="B800" s="53"/>
      <c r="C800" s="168"/>
      <c r="D800" s="169"/>
      <c r="E800" s="170"/>
      <c r="F800" s="53"/>
      <c r="G800" s="53"/>
      <c r="H800" s="53"/>
      <c r="I800" s="171"/>
      <c r="J800" s="170"/>
      <c r="K800" s="53"/>
      <c r="L800" s="53"/>
      <c r="M800" s="53"/>
      <c r="N800" s="171"/>
      <c r="O800" s="170"/>
      <c r="P800" s="53"/>
      <c r="Q800" s="53"/>
      <c r="R800" s="53"/>
      <c r="S800" s="171"/>
      <c r="T800" s="170"/>
      <c r="U800" s="53"/>
      <c r="V800" s="53"/>
      <c r="W800" s="53"/>
      <c r="X800" s="171"/>
      <c r="Y800" s="170"/>
      <c r="Z800" s="170"/>
      <c r="AA800" s="170"/>
      <c r="AB800" s="170"/>
      <c r="AC800" s="170"/>
      <c r="AD800" s="53"/>
      <c r="AE800" s="53"/>
    </row>
    <row r="801">
      <c r="A801" s="53"/>
      <c r="B801" s="53"/>
      <c r="C801" s="168"/>
      <c r="D801" s="169"/>
      <c r="E801" s="170"/>
      <c r="F801" s="53"/>
      <c r="G801" s="53"/>
      <c r="H801" s="53"/>
      <c r="I801" s="171"/>
      <c r="J801" s="170"/>
      <c r="K801" s="53"/>
      <c r="L801" s="53"/>
      <c r="M801" s="53"/>
      <c r="N801" s="171"/>
      <c r="O801" s="170"/>
      <c r="P801" s="53"/>
      <c r="Q801" s="53"/>
      <c r="R801" s="53"/>
      <c r="S801" s="171"/>
      <c r="T801" s="170"/>
      <c r="U801" s="53"/>
      <c r="V801" s="53"/>
      <c r="W801" s="53"/>
      <c r="X801" s="171"/>
      <c r="Y801" s="170"/>
      <c r="Z801" s="170"/>
      <c r="AA801" s="170"/>
      <c r="AB801" s="170"/>
      <c r="AC801" s="170"/>
      <c r="AD801" s="53"/>
      <c r="AE801" s="53"/>
    </row>
    <row r="802">
      <c r="A802" s="53"/>
      <c r="B802" s="53"/>
      <c r="C802" s="168"/>
      <c r="D802" s="169"/>
      <c r="E802" s="170"/>
      <c r="F802" s="53"/>
      <c r="G802" s="53"/>
      <c r="H802" s="53"/>
      <c r="I802" s="171"/>
      <c r="J802" s="170"/>
      <c r="K802" s="53"/>
      <c r="L802" s="53"/>
      <c r="M802" s="53"/>
      <c r="N802" s="171"/>
      <c r="O802" s="170"/>
      <c r="P802" s="53"/>
      <c r="Q802" s="53"/>
      <c r="R802" s="53"/>
      <c r="S802" s="171"/>
      <c r="T802" s="170"/>
      <c r="U802" s="53"/>
      <c r="V802" s="53"/>
      <c r="W802" s="53"/>
      <c r="X802" s="171"/>
      <c r="Y802" s="170"/>
      <c r="Z802" s="170"/>
      <c r="AA802" s="170"/>
      <c r="AB802" s="170"/>
      <c r="AC802" s="170"/>
      <c r="AD802" s="53"/>
      <c r="AE802" s="53"/>
    </row>
    <row r="803">
      <c r="A803" s="53"/>
      <c r="B803" s="53"/>
      <c r="C803" s="168"/>
      <c r="D803" s="169"/>
      <c r="E803" s="170"/>
      <c r="F803" s="53"/>
      <c r="G803" s="53"/>
      <c r="H803" s="53"/>
      <c r="I803" s="171"/>
      <c r="J803" s="170"/>
      <c r="K803" s="53"/>
      <c r="L803" s="53"/>
      <c r="M803" s="53"/>
      <c r="N803" s="171"/>
      <c r="O803" s="170"/>
      <c r="P803" s="53"/>
      <c r="Q803" s="53"/>
      <c r="R803" s="53"/>
      <c r="S803" s="171"/>
      <c r="T803" s="170"/>
      <c r="U803" s="53"/>
      <c r="V803" s="53"/>
      <c r="W803" s="53"/>
      <c r="X803" s="171"/>
      <c r="Y803" s="170"/>
      <c r="Z803" s="170"/>
      <c r="AA803" s="170"/>
      <c r="AB803" s="170"/>
      <c r="AC803" s="170"/>
      <c r="AD803" s="53"/>
      <c r="AE803" s="53"/>
    </row>
    <row r="804">
      <c r="A804" s="53"/>
      <c r="B804" s="53"/>
      <c r="C804" s="168"/>
      <c r="D804" s="169"/>
      <c r="E804" s="170"/>
      <c r="F804" s="53"/>
      <c r="G804" s="53"/>
      <c r="H804" s="53"/>
      <c r="I804" s="171"/>
      <c r="J804" s="170"/>
      <c r="K804" s="53"/>
      <c r="L804" s="53"/>
      <c r="M804" s="53"/>
      <c r="N804" s="171"/>
      <c r="O804" s="170"/>
      <c r="P804" s="53"/>
      <c r="Q804" s="53"/>
      <c r="R804" s="53"/>
      <c r="S804" s="171"/>
      <c r="T804" s="170"/>
      <c r="U804" s="53"/>
      <c r="V804" s="53"/>
      <c r="W804" s="53"/>
      <c r="X804" s="171"/>
      <c r="Y804" s="170"/>
      <c r="Z804" s="170"/>
      <c r="AA804" s="170"/>
      <c r="AB804" s="170"/>
      <c r="AC804" s="170"/>
      <c r="AD804" s="53"/>
      <c r="AE804" s="53"/>
    </row>
    <row r="805">
      <c r="A805" s="53"/>
      <c r="B805" s="53"/>
      <c r="C805" s="168"/>
      <c r="D805" s="169"/>
      <c r="E805" s="170"/>
      <c r="F805" s="53"/>
      <c r="G805" s="53"/>
      <c r="H805" s="53"/>
      <c r="I805" s="171"/>
      <c r="J805" s="170"/>
      <c r="K805" s="53"/>
      <c r="L805" s="53"/>
      <c r="M805" s="53"/>
      <c r="N805" s="171"/>
      <c r="O805" s="170"/>
      <c r="P805" s="53"/>
      <c r="Q805" s="53"/>
      <c r="R805" s="53"/>
      <c r="S805" s="171"/>
      <c r="T805" s="170"/>
      <c r="U805" s="53"/>
      <c r="V805" s="53"/>
      <c r="W805" s="53"/>
      <c r="X805" s="171"/>
      <c r="Y805" s="170"/>
      <c r="Z805" s="170"/>
      <c r="AA805" s="170"/>
      <c r="AB805" s="170"/>
      <c r="AC805" s="170"/>
      <c r="AD805" s="53"/>
      <c r="AE805" s="53"/>
    </row>
    <row r="806">
      <c r="A806" s="53"/>
      <c r="B806" s="53"/>
      <c r="C806" s="168"/>
      <c r="D806" s="169"/>
      <c r="E806" s="170"/>
      <c r="F806" s="53"/>
      <c r="G806" s="53"/>
      <c r="H806" s="53"/>
      <c r="I806" s="171"/>
      <c r="J806" s="170"/>
      <c r="K806" s="53"/>
      <c r="L806" s="53"/>
      <c r="M806" s="53"/>
      <c r="N806" s="171"/>
      <c r="O806" s="170"/>
      <c r="P806" s="53"/>
      <c r="Q806" s="53"/>
      <c r="R806" s="53"/>
      <c r="S806" s="171"/>
      <c r="T806" s="170"/>
      <c r="U806" s="53"/>
      <c r="V806" s="53"/>
      <c r="W806" s="53"/>
      <c r="X806" s="171"/>
      <c r="Y806" s="170"/>
      <c r="Z806" s="170"/>
      <c r="AA806" s="170"/>
      <c r="AB806" s="170"/>
      <c r="AC806" s="170"/>
      <c r="AD806" s="53"/>
      <c r="AE806" s="53"/>
    </row>
    <row r="807">
      <c r="A807" s="53"/>
      <c r="B807" s="53"/>
      <c r="C807" s="168"/>
      <c r="D807" s="169"/>
      <c r="E807" s="170"/>
      <c r="F807" s="53"/>
      <c r="G807" s="53"/>
      <c r="H807" s="53"/>
      <c r="I807" s="171"/>
      <c r="J807" s="170"/>
      <c r="K807" s="53"/>
      <c r="L807" s="53"/>
      <c r="M807" s="53"/>
      <c r="N807" s="171"/>
      <c r="O807" s="170"/>
      <c r="P807" s="53"/>
      <c r="Q807" s="53"/>
      <c r="R807" s="53"/>
      <c r="S807" s="171"/>
      <c r="T807" s="170"/>
      <c r="U807" s="53"/>
      <c r="V807" s="53"/>
      <c r="W807" s="53"/>
      <c r="X807" s="171"/>
      <c r="Y807" s="170"/>
      <c r="Z807" s="170"/>
      <c r="AA807" s="170"/>
      <c r="AB807" s="170"/>
      <c r="AC807" s="170"/>
      <c r="AD807" s="53"/>
      <c r="AE807" s="53"/>
    </row>
    <row r="808">
      <c r="A808" s="53"/>
      <c r="B808" s="53"/>
      <c r="C808" s="168"/>
      <c r="D808" s="169"/>
      <c r="E808" s="170"/>
      <c r="F808" s="53"/>
      <c r="G808" s="53"/>
      <c r="H808" s="53"/>
      <c r="I808" s="171"/>
      <c r="J808" s="170"/>
      <c r="K808" s="53"/>
      <c r="L808" s="53"/>
      <c r="M808" s="53"/>
      <c r="N808" s="171"/>
      <c r="O808" s="170"/>
      <c r="P808" s="53"/>
      <c r="Q808" s="53"/>
      <c r="R808" s="53"/>
      <c r="S808" s="171"/>
      <c r="T808" s="170"/>
      <c r="U808" s="53"/>
      <c r="V808" s="53"/>
      <c r="W808" s="53"/>
      <c r="X808" s="171"/>
      <c r="Y808" s="170"/>
      <c r="Z808" s="170"/>
      <c r="AA808" s="170"/>
      <c r="AB808" s="170"/>
      <c r="AC808" s="170"/>
      <c r="AD808" s="53"/>
      <c r="AE808" s="53"/>
    </row>
    <row r="809">
      <c r="A809" s="53"/>
      <c r="B809" s="53"/>
      <c r="C809" s="168"/>
      <c r="D809" s="169"/>
      <c r="E809" s="170"/>
      <c r="F809" s="53"/>
      <c r="G809" s="53"/>
      <c r="H809" s="53"/>
      <c r="I809" s="171"/>
      <c r="J809" s="170"/>
      <c r="K809" s="53"/>
      <c r="L809" s="53"/>
      <c r="M809" s="53"/>
      <c r="N809" s="171"/>
      <c r="O809" s="170"/>
      <c r="P809" s="53"/>
      <c r="Q809" s="53"/>
      <c r="R809" s="53"/>
      <c r="S809" s="171"/>
      <c r="T809" s="170"/>
      <c r="U809" s="53"/>
      <c r="V809" s="53"/>
      <c r="W809" s="53"/>
      <c r="X809" s="171"/>
      <c r="Y809" s="170"/>
      <c r="Z809" s="170"/>
      <c r="AA809" s="170"/>
      <c r="AB809" s="170"/>
      <c r="AC809" s="170"/>
      <c r="AD809" s="53"/>
      <c r="AE809" s="53"/>
    </row>
    <row r="810">
      <c r="A810" s="53"/>
      <c r="B810" s="53"/>
      <c r="C810" s="168"/>
      <c r="D810" s="169"/>
      <c r="E810" s="170"/>
      <c r="F810" s="53"/>
      <c r="G810" s="53"/>
      <c r="H810" s="53"/>
      <c r="I810" s="171"/>
      <c r="J810" s="170"/>
      <c r="K810" s="53"/>
      <c r="L810" s="53"/>
      <c r="M810" s="53"/>
      <c r="N810" s="171"/>
      <c r="O810" s="170"/>
      <c r="P810" s="53"/>
      <c r="Q810" s="53"/>
      <c r="R810" s="53"/>
      <c r="S810" s="171"/>
      <c r="T810" s="170"/>
      <c r="U810" s="53"/>
      <c r="V810" s="53"/>
      <c r="W810" s="53"/>
      <c r="X810" s="171"/>
      <c r="Y810" s="170"/>
      <c r="Z810" s="170"/>
      <c r="AA810" s="170"/>
      <c r="AB810" s="170"/>
      <c r="AC810" s="170"/>
      <c r="AD810" s="53"/>
      <c r="AE810" s="53"/>
    </row>
    <row r="811">
      <c r="A811" s="53"/>
      <c r="B811" s="53"/>
      <c r="C811" s="168"/>
      <c r="D811" s="169"/>
      <c r="E811" s="170"/>
      <c r="F811" s="53"/>
      <c r="G811" s="53"/>
      <c r="H811" s="53"/>
      <c r="I811" s="171"/>
      <c r="J811" s="170"/>
      <c r="K811" s="53"/>
      <c r="L811" s="53"/>
      <c r="M811" s="53"/>
      <c r="N811" s="171"/>
      <c r="O811" s="170"/>
      <c r="P811" s="53"/>
      <c r="Q811" s="53"/>
      <c r="R811" s="53"/>
      <c r="S811" s="171"/>
      <c r="T811" s="170"/>
      <c r="U811" s="53"/>
      <c r="V811" s="53"/>
      <c r="W811" s="53"/>
      <c r="X811" s="171"/>
      <c r="Y811" s="170"/>
      <c r="Z811" s="170"/>
      <c r="AA811" s="170"/>
      <c r="AB811" s="170"/>
      <c r="AC811" s="170"/>
      <c r="AD811" s="53"/>
      <c r="AE811" s="53"/>
    </row>
    <row r="812">
      <c r="A812" s="53"/>
      <c r="B812" s="53"/>
      <c r="C812" s="168"/>
      <c r="D812" s="169"/>
      <c r="E812" s="170"/>
      <c r="F812" s="53"/>
      <c r="G812" s="53"/>
      <c r="H812" s="53"/>
      <c r="I812" s="171"/>
      <c r="J812" s="170"/>
      <c r="K812" s="53"/>
      <c r="L812" s="53"/>
      <c r="M812" s="53"/>
      <c r="N812" s="171"/>
      <c r="O812" s="170"/>
      <c r="P812" s="53"/>
      <c r="Q812" s="53"/>
      <c r="R812" s="53"/>
      <c r="S812" s="171"/>
      <c r="T812" s="170"/>
      <c r="U812" s="53"/>
      <c r="V812" s="53"/>
      <c r="W812" s="53"/>
      <c r="X812" s="171"/>
      <c r="Y812" s="170"/>
      <c r="Z812" s="170"/>
      <c r="AA812" s="170"/>
      <c r="AB812" s="170"/>
      <c r="AC812" s="170"/>
      <c r="AD812" s="53"/>
      <c r="AE812" s="53"/>
    </row>
    <row r="813">
      <c r="A813" s="53"/>
      <c r="B813" s="53"/>
      <c r="C813" s="168"/>
      <c r="D813" s="169"/>
      <c r="E813" s="170"/>
      <c r="F813" s="53"/>
      <c r="G813" s="53"/>
      <c r="H813" s="53"/>
      <c r="I813" s="171"/>
      <c r="J813" s="170"/>
      <c r="K813" s="53"/>
      <c r="L813" s="53"/>
      <c r="M813" s="53"/>
      <c r="N813" s="171"/>
      <c r="O813" s="170"/>
      <c r="P813" s="53"/>
      <c r="Q813" s="53"/>
      <c r="R813" s="53"/>
      <c r="S813" s="171"/>
      <c r="T813" s="170"/>
      <c r="U813" s="53"/>
      <c r="V813" s="53"/>
      <c r="W813" s="53"/>
      <c r="X813" s="171"/>
      <c r="Y813" s="170"/>
      <c r="Z813" s="170"/>
      <c r="AA813" s="170"/>
      <c r="AB813" s="170"/>
      <c r="AC813" s="170"/>
      <c r="AD813" s="53"/>
      <c r="AE813" s="53"/>
    </row>
    <row r="814">
      <c r="A814" s="53"/>
      <c r="B814" s="53"/>
      <c r="C814" s="168"/>
      <c r="D814" s="169"/>
      <c r="E814" s="170"/>
      <c r="F814" s="53"/>
      <c r="G814" s="53"/>
      <c r="H814" s="53"/>
      <c r="I814" s="171"/>
      <c r="J814" s="170"/>
      <c r="K814" s="53"/>
      <c r="L814" s="53"/>
      <c r="M814" s="53"/>
      <c r="N814" s="171"/>
      <c r="O814" s="170"/>
      <c r="P814" s="53"/>
      <c r="Q814" s="53"/>
      <c r="R814" s="53"/>
      <c r="S814" s="171"/>
      <c r="T814" s="170"/>
      <c r="U814" s="53"/>
      <c r="V814" s="53"/>
      <c r="W814" s="53"/>
      <c r="X814" s="171"/>
      <c r="Y814" s="170"/>
      <c r="Z814" s="170"/>
      <c r="AA814" s="170"/>
      <c r="AB814" s="170"/>
      <c r="AC814" s="170"/>
      <c r="AD814" s="53"/>
      <c r="AE814" s="53"/>
    </row>
    <row r="815">
      <c r="A815" s="53"/>
      <c r="B815" s="53"/>
      <c r="C815" s="168"/>
      <c r="D815" s="169"/>
      <c r="E815" s="170"/>
      <c r="F815" s="53"/>
      <c r="G815" s="53"/>
      <c r="H815" s="53"/>
      <c r="I815" s="171"/>
      <c r="J815" s="170"/>
      <c r="K815" s="53"/>
      <c r="L815" s="53"/>
      <c r="M815" s="53"/>
      <c r="N815" s="171"/>
      <c r="O815" s="170"/>
      <c r="P815" s="53"/>
      <c r="Q815" s="53"/>
      <c r="R815" s="53"/>
      <c r="S815" s="171"/>
      <c r="T815" s="170"/>
      <c r="U815" s="53"/>
      <c r="V815" s="53"/>
      <c r="W815" s="53"/>
      <c r="X815" s="171"/>
      <c r="Y815" s="170"/>
      <c r="Z815" s="170"/>
      <c r="AA815" s="170"/>
      <c r="AB815" s="170"/>
      <c r="AC815" s="170"/>
      <c r="AD815" s="53"/>
      <c r="AE815" s="53"/>
    </row>
    <row r="816">
      <c r="A816" s="53"/>
      <c r="B816" s="53"/>
      <c r="C816" s="168"/>
      <c r="D816" s="169"/>
      <c r="E816" s="170"/>
      <c r="F816" s="53"/>
      <c r="G816" s="53"/>
      <c r="H816" s="53"/>
      <c r="I816" s="171"/>
      <c r="J816" s="170"/>
      <c r="K816" s="53"/>
      <c r="L816" s="53"/>
      <c r="M816" s="53"/>
      <c r="N816" s="171"/>
      <c r="O816" s="170"/>
      <c r="P816" s="53"/>
      <c r="Q816" s="53"/>
      <c r="R816" s="53"/>
      <c r="S816" s="171"/>
      <c r="T816" s="170"/>
      <c r="U816" s="53"/>
      <c r="V816" s="53"/>
      <c r="W816" s="53"/>
      <c r="X816" s="171"/>
      <c r="Y816" s="170"/>
      <c r="Z816" s="170"/>
      <c r="AA816" s="170"/>
      <c r="AB816" s="170"/>
      <c r="AC816" s="170"/>
      <c r="AD816" s="53"/>
      <c r="AE816" s="53"/>
    </row>
    <row r="817">
      <c r="A817" s="53"/>
      <c r="B817" s="53"/>
      <c r="C817" s="168"/>
      <c r="D817" s="169"/>
      <c r="E817" s="170"/>
      <c r="F817" s="53"/>
      <c r="G817" s="53"/>
      <c r="H817" s="53"/>
      <c r="I817" s="171"/>
      <c r="J817" s="170"/>
      <c r="K817" s="53"/>
      <c r="L817" s="53"/>
      <c r="M817" s="53"/>
      <c r="N817" s="171"/>
      <c r="O817" s="170"/>
      <c r="P817" s="53"/>
      <c r="Q817" s="53"/>
      <c r="R817" s="53"/>
      <c r="S817" s="171"/>
      <c r="T817" s="170"/>
      <c r="U817" s="53"/>
      <c r="V817" s="53"/>
      <c r="W817" s="53"/>
      <c r="X817" s="171"/>
      <c r="Y817" s="170"/>
      <c r="Z817" s="170"/>
      <c r="AA817" s="170"/>
      <c r="AB817" s="170"/>
      <c r="AC817" s="170"/>
      <c r="AD817" s="53"/>
      <c r="AE817" s="53"/>
    </row>
    <row r="818">
      <c r="A818" s="53"/>
      <c r="B818" s="53"/>
      <c r="C818" s="168"/>
      <c r="D818" s="169"/>
      <c r="E818" s="170"/>
      <c r="F818" s="53"/>
      <c r="G818" s="53"/>
      <c r="H818" s="53"/>
      <c r="I818" s="171"/>
      <c r="J818" s="170"/>
      <c r="K818" s="53"/>
      <c r="L818" s="53"/>
      <c r="M818" s="53"/>
      <c r="N818" s="171"/>
      <c r="O818" s="170"/>
      <c r="P818" s="53"/>
      <c r="Q818" s="53"/>
      <c r="R818" s="53"/>
      <c r="S818" s="171"/>
      <c r="T818" s="170"/>
      <c r="U818" s="53"/>
      <c r="V818" s="53"/>
      <c r="W818" s="53"/>
      <c r="X818" s="171"/>
      <c r="Y818" s="170"/>
      <c r="Z818" s="170"/>
      <c r="AA818" s="170"/>
      <c r="AB818" s="170"/>
      <c r="AC818" s="170"/>
      <c r="AD818" s="53"/>
      <c r="AE818" s="53"/>
    </row>
    <row r="819">
      <c r="A819" s="53"/>
      <c r="B819" s="53"/>
      <c r="C819" s="168"/>
      <c r="D819" s="169"/>
      <c r="E819" s="170"/>
      <c r="F819" s="53"/>
      <c r="G819" s="53"/>
      <c r="H819" s="53"/>
      <c r="I819" s="171"/>
      <c r="J819" s="170"/>
      <c r="K819" s="53"/>
      <c r="L819" s="53"/>
      <c r="M819" s="53"/>
      <c r="N819" s="171"/>
      <c r="O819" s="170"/>
      <c r="P819" s="53"/>
      <c r="Q819" s="53"/>
      <c r="R819" s="53"/>
      <c r="S819" s="171"/>
      <c r="T819" s="170"/>
      <c r="U819" s="53"/>
      <c r="V819" s="53"/>
      <c r="W819" s="53"/>
      <c r="X819" s="171"/>
      <c r="Y819" s="170"/>
      <c r="Z819" s="170"/>
      <c r="AA819" s="170"/>
      <c r="AB819" s="170"/>
      <c r="AC819" s="170"/>
      <c r="AD819" s="53"/>
      <c r="AE819" s="53"/>
    </row>
    <row r="820">
      <c r="A820" s="53"/>
      <c r="B820" s="53"/>
      <c r="C820" s="168"/>
      <c r="D820" s="169"/>
      <c r="E820" s="170"/>
      <c r="F820" s="53"/>
      <c r="G820" s="53"/>
      <c r="H820" s="53"/>
      <c r="I820" s="171"/>
      <c r="J820" s="170"/>
      <c r="K820" s="53"/>
      <c r="L820" s="53"/>
      <c r="M820" s="53"/>
      <c r="N820" s="171"/>
      <c r="O820" s="170"/>
      <c r="P820" s="53"/>
      <c r="Q820" s="53"/>
      <c r="R820" s="53"/>
      <c r="S820" s="171"/>
      <c r="T820" s="170"/>
      <c r="U820" s="53"/>
      <c r="V820" s="53"/>
      <c r="W820" s="53"/>
      <c r="X820" s="171"/>
      <c r="Y820" s="170"/>
      <c r="Z820" s="170"/>
      <c r="AA820" s="170"/>
      <c r="AB820" s="170"/>
      <c r="AC820" s="170"/>
      <c r="AD820" s="53"/>
      <c r="AE820" s="53"/>
    </row>
    <row r="821">
      <c r="A821" s="53"/>
      <c r="B821" s="53"/>
      <c r="C821" s="168"/>
      <c r="D821" s="169"/>
      <c r="E821" s="170"/>
      <c r="F821" s="53"/>
      <c r="G821" s="53"/>
      <c r="H821" s="53"/>
      <c r="I821" s="171"/>
      <c r="J821" s="170"/>
      <c r="K821" s="53"/>
      <c r="L821" s="53"/>
      <c r="M821" s="53"/>
      <c r="N821" s="171"/>
      <c r="O821" s="170"/>
      <c r="P821" s="53"/>
      <c r="Q821" s="53"/>
      <c r="R821" s="53"/>
      <c r="S821" s="171"/>
      <c r="T821" s="170"/>
      <c r="U821" s="53"/>
      <c r="V821" s="53"/>
      <c r="W821" s="53"/>
      <c r="X821" s="171"/>
      <c r="Y821" s="170"/>
      <c r="Z821" s="170"/>
      <c r="AA821" s="170"/>
      <c r="AB821" s="170"/>
      <c r="AC821" s="170"/>
      <c r="AD821" s="53"/>
      <c r="AE821" s="53"/>
    </row>
    <row r="822">
      <c r="A822" s="53"/>
      <c r="B822" s="53"/>
      <c r="C822" s="168"/>
      <c r="D822" s="169"/>
      <c r="E822" s="170"/>
      <c r="F822" s="53"/>
      <c r="G822" s="53"/>
      <c r="H822" s="53"/>
      <c r="I822" s="171"/>
      <c r="J822" s="170"/>
      <c r="K822" s="53"/>
      <c r="L822" s="53"/>
      <c r="M822" s="53"/>
      <c r="N822" s="171"/>
      <c r="O822" s="170"/>
      <c r="P822" s="53"/>
      <c r="Q822" s="53"/>
      <c r="R822" s="53"/>
      <c r="S822" s="171"/>
      <c r="T822" s="170"/>
      <c r="U822" s="53"/>
      <c r="V822" s="53"/>
      <c r="W822" s="53"/>
      <c r="X822" s="171"/>
      <c r="Y822" s="170"/>
      <c r="Z822" s="170"/>
      <c r="AA822" s="170"/>
      <c r="AB822" s="170"/>
      <c r="AC822" s="170"/>
      <c r="AD822" s="53"/>
      <c r="AE822" s="53"/>
    </row>
    <row r="823">
      <c r="A823" s="53"/>
      <c r="B823" s="53"/>
      <c r="C823" s="168"/>
      <c r="D823" s="169"/>
      <c r="E823" s="170"/>
      <c r="F823" s="53"/>
      <c r="G823" s="53"/>
      <c r="H823" s="53"/>
      <c r="I823" s="171"/>
      <c r="J823" s="170"/>
      <c r="K823" s="53"/>
      <c r="L823" s="53"/>
      <c r="M823" s="53"/>
      <c r="N823" s="171"/>
      <c r="O823" s="170"/>
      <c r="P823" s="53"/>
      <c r="Q823" s="53"/>
      <c r="R823" s="53"/>
      <c r="S823" s="171"/>
      <c r="T823" s="170"/>
      <c r="U823" s="53"/>
      <c r="V823" s="53"/>
      <c r="W823" s="53"/>
      <c r="X823" s="171"/>
      <c r="Y823" s="170"/>
      <c r="Z823" s="170"/>
      <c r="AA823" s="170"/>
      <c r="AB823" s="170"/>
      <c r="AC823" s="170"/>
      <c r="AD823" s="53"/>
      <c r="AE823" s="53"/>
    </row>
    <row r="824">
      <c r="A824" s="53"/>
      <c r="B824" s="53"/>
      <c r="C824" s="168"/>
      <c r="D824" s="169"/>
      <c r="E824" s="170"/>
      <c r="F824" s="53"/>
      <c r="G824" s="53"/>
      <c r="H824" s="53"/>
      <c r="I824" s="171"/>
      <c r="J824" s="170"/>
      <c r="K824" s="53"/>
      <c r="L824" s="53"/>
      <c r="M824" s="53"/>
      <c r="N824" s="171"/>
      <c r="O824" s="170"/>
      <c r="P824" s="53"/>
      <c r="Q824" s="53"/>
      <c r="R824" s="53"/>
      <c r="S824" s="171"/>
      <c r="T824" s="170"/>
      <c r="U824" s="53"/>
      <c r="V824" s="53"/>
      <c r="W824" s="53"/>
      <c r="X824" s="171"/>
      <c r="Y824" s="170"/>
      <c r="Z824" s="170"/>
      <c r="AA824" s="170"/>
      <c r="AB824" s="170"/>
      <c r="AC824" s="170"/>
      <c r="AD824" s="53"/>
      <c r="AE824" s="53"/>
    </row>
    <row r="825">
      <c r="A825" s="53"/>
      <c r="B825" s="53"/>
      <c r="C825" s="168"/>
      <c r="D825" s="169"/>
      <c r="E825" s="170"/>
      <c r="F825" s="53"/>
      <c r="G825" s="53"/>
      <c r="H825" s="53"/>
      <c r="I825" s="171"/>
      <c r="J825" s="170"/>
      <c r="K825" s="53"/>
      <c r="L825" s="53"/>
      <c r="M825" s="53"/>
      <c r="N825" s="171"/>
      <c r="O825" s="170"/>
      <c r="P825" s="53"/>
      <c r="Q825" s="53"/>
      <c r="R825" s="53"/>
      <c r="S825" s="171"/>
      <c r="T825" s="170"/>
      <c r="U825" s="53"/>
      <c r="V825" s="53"/>
      <c r="W825" s="53"/>
      <c r="X825" s="171"/>
      <c r="Y825" s="170"/>
      <c r="Z825" s="170"/>
      <c r="AA825" s="170"/>
      <c r="AB825" s="170"/>
      <c r="AC825" s="170"/>
      <c r="AD825" s="53"/>
      <c r="AE825" s="53"/>
    </row>
    <row r="826">
      <c r="A826" s="53"/>
      <c r="B826" s="53"/>
      <c r="C826" s="168"/>
      <c r="D826" s="169"/>
      <c r="E826" s="170"/>
      <c r="F826" s="53"/>
      <c r="G826" s="53"/>
      <c r="H826" s="53"/>
      <c r="I826" s="171"/>
      <c r="J826" s="170"/>
      <c r="K826" s="53"/>
      <c r="L826" s="53"/>
      <c r="M826" s="53"/>
      <c r="N826" s="171"/>
      <c r="O826" s="170"/>
      <c r="P826" s="53"/>
      <c r="Q826" s="53"/>
      <c r="R826" s="53"/>
      <c r="S826" s="171"/>
      <c r="T826" s="170"/>
      <c r="U826" s="53"/>
      <c r="V826" s="53"/>
      <c r="W826" s="53"/>
      <c r="X826" s="171"/>
      <c r="Y826" s="170"/>
      <c r="Z826" s="170"/>
      <c r="AA826" s="170"/>
      <c r="AB826" s="170"/>
      <c r="AC826" s="170"/>
      <c r="AD826" s="53"/>
      <c r="AE826" s="53"/>
    </row>
    <row r="827">
      <c r="A827" s="53"/>
      <c r="B827" s="53"/>
      <c r="C827" s="168"/>
      <c r="D827" s="169"/>
      <c r="E827" s="170"/>
      <c r="F827" s="53"/>
      <c r="G827" s="53"/>
      <c r="H827" s="53"/>
      <c r="I827" s="171"/>
      <c r="J827" s="170"/>
      <c r="K827" s="53"/>
      <c r="L827" s="53"/>
      <c r="M827" s="53"/>
      <c r="N827" s="171"/>
      <c r="O827" s="170"/>
      <c r="P827" s="53"/>
      <c r="Q827" s="53"/>
      <c r="R827" s="53"/>
      <c r="S827" s="171"/>
      <c r="T827" s="170"/>
      <c r="U827" s="53"/>
      <c r="V827" s="53"/>
      <c r="W827" s="53"/>
      <c r="X827" s="171"/>
      <c r="Y827" s="170"/>
      <c r="Z827" s="170"/>
      <c r="AA827" s="170"/>
      <c r="AB827" s="170"/>
      <c r="AC827" s="170"/>
      <c r="AD827" s="53"/>
      <c r="AE827" s="53"/>
    </row>
    <row r="828">
      <c r="A828" s="53"/>
      <c r="B828" s="53"/>
      <c r="C828" s="168"/>
      <c r="D828" s="169"/>
      <c r="E828" s="170"/>
      <c r="F828" s="53"/>
      <c r="G828" s="53"/>
      <c r="H828" s="53"/>
      <c r="I828" s="171"/>
      <c r="J828" s="170"/>
      <c r="K828" s="53"/>
      <c r="L828" s="53"/>
      <c r="M828" s="53"/>
      <c r="N828" s="171"/>
      <c r="O828" s="170"/>
      <c r="P828" s="53"/>
      <c r="Q828" s="53"/>
      <c r="R828" s="53"/>
      <c r="S828" s="171"/>
      <c r="T828" s="170"/>
      <c r="U828" s="53"/>
      <c r="V828" s="53"/>
      <c r="W828" s="53"/>
      <c r="X828" s="171"/>
      <c r="Y828" s="170"/>
      <c r="Z828" s="170"/>
      <c r="AA828" s="170"/>
      <c r="AB828" s="170"/>
      <c r="AC828" s="170"/>
      <c r="AD828" s="53"/>
      <c r="AE828" s="53"/>
    </row>
    <row r="829">
      <c r="A829" s="53"/>
      <c r="B829" s="53"/>
      <c r="C829" s="168"/>
      <c r="D829" s="169"/>
      <c r="E829" s="170"/>
      <c r="F829" s="53"/>
      <c r="G829" s="53"/>
      <c r="H829" s="53"/>
      <c r="I829" s="171"/>
      <c r="J829" s="170"/>
      <c r="K829" s="53"/>
      <c r="L829" s="53"/>
      <c r="M829" s="53"/>
      <c r="N829" s="171"/>
      <c r="O829" s="170"/>
      <c r="P829" s="53"/>
      <c r="Q829" s="53"/>
      <c r="R829" s="53"/>
      <c r="S829" s="171"/>
      <c r="T829" s="170"/>
      <c r="U829" s="53"/>
      <c r="V829" s="53"/>
      <c r="W829" s="53"/>
      <c r="X829" s="171"/>
      <c r="Y829" s="170"/>
      <c r="Z829" s="170"/>
      <c r="AA829" s="170"/>
      <c r="AB829" s="170"/>
      <c r="AC829" s="170"/>
      <c r="AD829" s="53"/>
      <c r="AE829" s="53"/>
    </row>
    <row r="830">
      <c r="A830" s="53"/>
      <c r="B830" s="53"/>
      <c r="C830" s="168"/>
      <c r="D830" s="169"/>
      <c r="E830" s="170"/>
      <c r="F830" s="53"/>
      <c r="G830" s="53"/>
      <c r="H830" s="53"/>
      <c r="I830" s="171"/>
      <c r="J830" s="170"/>
      <c r="K830" s="53"/>
      <c r="L830" s="53"/>
      <c r="M830" s="53"/>
      <c r="N830" s="171"/>
      <c r="O830" s="170"/>
      <c r="P830" s="53"/>
      <c r="Q830" s="53"/>
      <c r="R830" s="53"/>
      <c r="S830" s="171"/>
      <c r="T830" s="170"/>
      <c r="U830" s="53"/>
      <c r="V830" s="53"/>
      <c r="W830" s="53"/>
      <c r="X830" s="171"/>
      <c r="Y830" s="170"/>
      <c r="Z830" s="170"/>
      <c r="AA830" s="170"/>
      <c r="AB830" s="170"/>
      <c r="AC830" s="170"/>
      <c r="AD830" s="53"/>
      <c r="AE830" s="53"/>
    </row>
    <row r="831">
      <c r="A831" s="53"/>
      <c r="B831" s="53"/>
      <c r="C831" s="168"/>
      <c r="D831" s="169"/>
      <c r="E831" s="170"/>
      <c r="F831" s="53"/>
      <c r="G831" s="53"/>
      <c r="H831" s="53"/>
      <c r="I831" s="171"/>
      <c r="J831" s="170"/>
      <c r="K831" s="53"/>
      <c r="L831" s="53"/>
      <c r="M831" s="53"/>
      <c r="N831" s="171"/>
      <c r="O831" s="170"/>
      <c r="P831" s="53"/>
      <c r="Q831" s="53"/>
      <c r="R831" s="53"/>
      <c r="S831" s="171"/>
      <c r="T831" s="170"/>
      <c r="U831" s="53"/>
      <c r="V831" s="53"/>
      <c r="W831" s="53"/>
      <c r="X831" s="171"/>
      <c r="Y831" s="170"/>
      <c r="Z831" s="170"/>
      <c r="AA831" s="170"/>
      <c r="AB831" s="170"/>
      <c r="AC831" s="170"/>
      <c r="AD831" s="53"/>
      <c r="AE831" s="53"/>
    </row>
    <row r="832">
      <c r="A832" s="53"/>
      <c r="B832" s="53"/>
      <c r="C832" s="168"/>
      <c r="D832" s="169"/>
      <c r="E832" s="170"/>
      <c r="F832" s="53"/>
      <c r="G832" s="53"/>
      <c r="H832" s="53"/>
      <c r="I832" s="171"/>
      <c r="J832" s="170"/>
      <c r="K832" s="53"/>
      <c r="L832" s="53"/>
      <c r="M832" s="53"/>
      <c r="N832" s="171"/>
      <c r="O832" s="170"/>
      <c r="P832" s="53"/>
      <c r="Q832" s="53"/>
      <c r="R832" s="53"/>
      <c r="S832" s="171"/>
      <c r="T832" s="170"/>
      <c r="U832" s="53"/>
      <c r="V832" s="53"/>
      <c r="W832" s="53"/>
      <c r="X832" s="171"/>
      <c r="Y832" s="170"/>
      <c r="Z832" s="170"/>
      <c r="AA832" s="170"/>
      <c r="AB832" s="170"/>
      <c r="AC832" s="170"/>
      <c r="AD832" s="53"/>
      <c r="AE832" s="53"/>
    </row>
    <row r="833">
      <c r="A833" s="53"/>
      <c r="B833" s="53"/>
      <c r="C833" s="168"/>
      <c r="D833" s="169"/>
      <c r="E833" s="170"/>
      <c r="F833" s="53"/>
      <c r="G833" s="53"/>
      <c r="H833" s="53"/>
      <c r="I833" s="171"/>
      <c r="J833" s="170"/>
      <c r="K833" s="53"/>
      <c r="L833" s="53"/>
      <c r="M833" s="53"/>
      <c r="N833" s="171"/>
      <c r="O833" s="170"/>
      <c r="P833" s="53"/>
      <c r="Q833" s="53"/>
      <c r="R833" s="53"/>
      <c r="S833" s="171"/>
      <c r="T833" s="170"/>
      <c r="U833" s="53"/>
      <c r="V833" s="53"/>
      <c r="W833" s="53"/>
      <c r="X833" s="171"/>
      <c r="Y833" s="170"/>
      <c r="Z833" s="170"/>
      <c r="AA833" s="170"/>
      <c r="AB833" s="170"/>
      <c r="AC833" s="170"/>
      <c r="AD833" s="53"/>
      <c r="AE833" s="53"/>
    </row>
    <row r="834">
      <c r="A834" s="53"/>
      <c r="B834" s="53"/>
      <c r="C834" s="168"/>
      <c r="D834" s="169"/>
      <c r="E834" s="170"/>
      <c r="F834" s="53"/>
      <c r="G834" s="53"/>
      <c r="H834" s="53"/>
      <c r="I834" s="171"/>
      <c r="J834" s="170"/>
      <c r="K834" s="53"/>
      <c r="L834" s="53"/>
      <c r="M834" s="53"/>
      <c r="N834" s="171"/>
      <c r="O834" s="170"/>
      <c r="P834" s="53"/>
      <c r="Q834" s="53"/>
      <c r="R834" s="53"/>
      <c r="S834" s="171"/>
      <c r="T834" s="170"/>
      <c r="U834" s="53"/>
      <c r="V834" s="53"/>
      <c r="W834" s="53"/>
      <c r="X834" s="171"/>
      <c r="Y834" s="170"/>
      <c r="Z834" s="170"/>
      <c r="AA834" s="170"/>
      <c r="AB834" s="170"/>
      <c r="AC834" s="170"/>
      <c r="AD834" s="53"/>
      <c r="AE834" s="53"/>
    </row>
    <row r="835">
      <c r="A835" s="53"/>
      <c r="B835" s="53"/>
      <c r="C835" s="168"/>
      <c r="D835" s="169"/>
      <c r="E835" s="170"/>
      <c r="F835" s="53"/>
      <c r="G835" s="53"/>
      <c r="H835" s="53"/>
      <c r="I835" s="171"/>
      <c r="J835" s="170"/>
      <c r="K835" s="53"/>
      <c r="L835" s="53"/>
      <c r="M835" s="53"/>
      <c r="N835" s="171"/>
      <c r="O835" s="170"/>
      <c r="P835" s="53"/>
      <c r="Q835" s="53"/>
      <c r="R835" s="53"/>
      <c r="S835" s="171"/>
      <c r="T835" s="170"/>
      <c r="U835" s="53"/>
      <c r="V835" s="53"/>
      <c r="W835" s="53"/>
      <c r="X835" s="171"/>
      <c r="Y835" s="170"/>
      <c r="Z835" s="170"/>
      <c r="AA835" s="170"/>
      <c r="AB835" s="170"/>
      <c r="AC835" s="170"/>
      <c r="AD835" s="53"/>
      <c r="AE835" s="53"/>
    </row>
    <row r="836">
      <c r="A836" s="53"/>
      <c r="B836" s="53"/>
      <c r="C836" s="168"/>
      <c r="D836" s="169"/>
      <c r="E836" s="170"/>
      <c r="F836" s="53"/>
      <c r="G836" s="53"/>
      <c r="H836" s="53"/>
      <c r="I836" s="171"/>
      <c r="J836" s="170"/>
      <c r="K836" s="53"/>
      <c r="L836" s="53"/>
      <c r="M836" s="53"/>
      <c r="N836" s="171"/>
      <c r="O836" s="170"/>
      <c r="P836" s="53"/>
      <c r="Q836" s="53"/>
      <c r="R836" s="53"/>
      <c r="S836" s="171"/>
      <c r="T836" s="170"/>
      <c r="U836" s="53"/>
      <c r="V836" s="53"/>
      <c r="W836" s="53"/>
      <c r="X836" s="171"/>
      <c r="Y836" s="170"/>
      <c r="Z836" s="170"/>
      <c r="AA836" s="170"/>
      <c r="AB836" s="170"/>
      <c r="AC836" s="170"/>
      <c r="AD836" s="53"/>
      <c r="AE836" s="53"/>
    </row>
    <row r="837">
      <c r="A837" s="53"/>
      <c r="B837" s="53"/>
      <c r="C837" s="168"/>
      <c r="D837" s="169"/>
      <c r="E837" s="170"/>
      <c r="F837" s="53"/>
      <c r="G837" s="53"/>
      <c r="H837" s="53"/>
      <c r="I837" s="171"/>
      <c r="J837" s="170"/>
      <c r="K837" s="53"/>
      <c r="L837" s="53"/>
      <c r="M837" s="53"/>
      <c r="N837" s="171"/>
      <c r="O837" s="170"/>
      <c r="P837" s="53"/>
      <c r="Q837" s="53"/>
      <c r="R837" s="53"/>
      <c r="S837" s="171"/>
      <c r="T837" s="170"/>
      <c r="U837" s="53"/>
      <c r="V837" s="53"/>
      <c r="W837" s="53"/>
      <c r="X837" s="171"/>
      <c r="Y837" s="170"/>
      <c r="Z837" s="170"/>
      <c r="AA837" s="170"/>
      <c r="AB837" s="170"/>
      <c r="AC837" s="170"/>
      <c r="AD837" s="53"/>
      <c r="AE837" s="53"/>
    </row>
    <row r="838">
      <c r="A838" s="53"/>
      <c r="B838" s="53"/>
      <c r="C838" s="168"/>
      <c r="D838" s="169"/>
      <c r="E838" s="170"/>
      <c r="F838" s="53"/>
      <c r="G838" s="53"/>
      <c r="H838" s="53"/>
      <c r="I838" s="171"/>
      <c r="J838" s="170"/>
      <c r="K838" s="53"/>
      <c r="L838" s="53"/>
      <c r="M838" s="53"/>
      <c r="N838" s="171"/>
      <c r="O838" s="170"/>
      <c r="P838" s="53"/>
      <c r="Q838" s="53"/>
      <c r="R838" s="53"/>
      <c r="S838" s="171"/>
      <c r="T838" s="170"/>
      <c r="U838" s="53"/>
      <c r="V838" s="53"/>
      <c r="W838" s="53"/>
      <c r="X838" s="171"/>
      <c r="Y838" s="170"/>
      <c r="Z838" s="170"/>
      <c r="AA838" s="170"/>
      <c r="AB838" s="170"/>
      <c r="AC838" s="170"/>
      <c r="AD838" s="53"/>
      <c r="AE838" s="53"/>
    </row>
    <row r="839">
      <c r="A839" s="53"/>
      <c r="B839" s="53"/>
      <c r="C839" s="168"/>
      <c r="D839" s="169"/>
      <c r="E839" s="170"/>
      <c r="F839" s="53"/>
      <c r="G839" s="53"/>
      <c r="H839" s="53"/>
      <c r="I839" s="171"/>
      <c r="J839" s="170"/>
      <c r="K839" s="53"/>
      <c r="L839" s="53"/>
      <c r="M839" s="53"/>
      <c r="N839" s="171"/>
      <c r="O839" s="170"/>
      <c r="P839" s="53"/>
      <c r="Q839" s="53"/>
      <c r="R839" s="53"/>
      <c r="S839" s="171"/>
      <c r="T839" s="170"/>
      <c r="U839" s="53"/>
      <c r="V839" s="53"/>
      <c r="W839" s="53"/>
      <c r="X839" s="171"/>
      <c r="Y839" s="170"/>
      <c r="Z839" s="170"/>
      <c r="AA839" s="170"/>
      <c r="AB839" s="170"/>
      <c r="AC839" s="170"/>
      <c r="AD839" s="53"/>
      <c r="AE839" s="53"/>
    </row>
    <row r="840">
      <c r="A840" s="53"/>
      <c r="B840" s="53"/>
      <c r="C840" s="168"/>
      <c r="D840" s="169"/>
      <c r="E840" s="170"/>
      <c r="F840" s="53"/>
      <c r="G840" s="53"/>
      <c r="H840" s="53"/>
      <c r="I840" s="171"/>
      <c r="J840" s="170"/>
      <c r="K840" s="53"/>
      <c r="L840" s="53"/>
      <c r="M840" s="53"/>
      <c r="N840" s="171"/>
      <c r="O840" s="170"/>
      <c r="P840" s="53"/>
      <c r="Q840" s="53"/>
      <c r="R840" s="53"/>
      <c r="S840" s="171"/>
      <c r="T840" s="170"/>
      <c r="U840" s="53"/>
      <c r="V840" s="53"/>
      <c r="W840" s="53"/>
      <c r="X840" s="171"/>
      <c r="Y840" s="170"/>
      <c r="Z840" s="170"/>
      <c r="AA840" s="170"/>
      <c r="AB840" s="170"/>
      <c r="AC840" s="170"/>
      <c r="AD840" s="53"/>
      <c r="AE840" s="53"/>
    </row>
    <row r="841">
      <c r="A841" s="53"/>
      <c r="B841" s="53"/>
      <c r="C841" s="168"/>
      <c r="D841" s="169"/>
      <c r="E841" s="170"/>
      <c r="F841" s="53"/>
      <c r="G841" s="53"/>
      <c r="H841" s="53"/>
      <c r="I841" s="171"/>
      <c r="J841" s="170"/>
      <c r="K841" s="53"/>
      <c r="L841" s="53"/>
      <c r="M841" s="53"/>
      <c r="N841" s="171"/>
      <c r="O841" s="170"/>
      <c r="P841" s="53"/>
      <c r="Q841" s="53"/>
      <c r="R841" s="53"/>
      <c r="S841" s="171"/>
      <c r="T841" s="170"/>
      <c r="U841" s="53"/>
      <c r="V841" s="53"/>
      <c r="W841" s="53"/>
      <c r="X841" s="171"/>
      <c r="Y841" s="170"/>
      <c r="Z841" s="170"/>
      <c r="AA841" s="170"/>
      <c r="AB841" s="170"/>
      <c r="AC841" s="170"/>
      <c r="AD841" s="53"/>
      <c r="AE841" s="53"/>
    </row>
    <row r="842">
      <c r="A842" s="53"/>
      <c r="B842" s="53"/>
      <c r="C842" s="168"/>
      <c r="D842" s="169"/>
      <c r="E842" s="170"/>
      <c r="F842" s="53"/>
      <c r="G842" s="53"/>
      <c r="H842" s="53"/>
      <c r="I842" s="171"/>
      <c r="J842" s="170"/>
      <c r="K842" s="53"/>
      <c r="L842" s="53"/>
      <c r="M842" s="53"/>
      <c r="N842" s="171"/>
      <c r="O842" s="170"/>
      <c r="P842" s="53"/>
      <c r="Q842" s="53"/>
      <c r="R842" s="53"/>
      <c r="S842" s="171"/>
      <c r="T842" s="170"/>
      <c r="U842" s="53"/>
      <c r="V842" s="53"/>
      <c r="W842" s="53"/>
      <c r="X842" s="171"/>
      <c r="Y842" s="170"/>
      <c r="Z842" s="170"/>
      <c r="AA842" s="170"/>
      <c r="AB842" s="170"/>
      <c r="AC842" s="170"/>
      <c r="AD842" s="53"/>
      <c r="AE842" s="53"/>
    </row>
    <row r="843">
      <c r="A843" s="53"/>
      <c r="B843" s="53"/>
      <c r="C843" s="168"/>
      <c r="D843" s="169"/>
      <c r="E843" s="170"/>
      <c r="F843" s="53"/>
      <c r="G843" s="53"/>
      <c r="H843" s="53"/>
      <c r="I843" s="171"/>
      <c r="J843" s="170"/>
      <c r="K843" s="53"/>
      <c r="L843" s="53"/>
      <c r="M843" s="53"/>
      <c r="N843" s="171"/>
      <c r="O843" s="170"/>
      <c r="P843" s="53"/>
      <c r="Q843" s="53"/>
      <c r="R843" s="53"/>
      <c r="S843" s="171"/>
      <c r="T843" s="170"/>
      <c r="U843" s="53"/>
      <c r="V843" s="53"/>
      <c r="W843" s="53"/>
      <c r="X843" s="171"/>
      <c r="Y843" s="170"/>
      <c r="Z843" s="170"/>
      <c r="AA843" s="170"/>
      <c r="AB843" s="170"/>
      <c r="AC843" s="170"/>
      <c r="AD843" s="53"/>
      <c r="AE843" s="53"/>
    </row>
    <row r="844">
      <c r="A844" s="53"/>
      <c r="B844" s="53"/>
      <c r="C844" s="168"/>
      <c r="D844" s="169"/>
      <c r="E844" s="170"/>
      <c r="F844" s="53"/>
      <c r="G844" s="53"/>
      <c r="H844" s="53"/>
      <c r="I844" s="171"/>
      <c r="J844" s="170"/>
      <c r="K844" s="53"/>
      <c r="L844" s="53"/>
      <c r="M844" s="53"/>
      <c r="N844" s="171"/>
      <c r="O844" s="170"/>
      <c r="P844" s="53"/>
      <c r="Q844" s="53"/>
      <c r="R844" s="53"/>
      <c r="S844" s="171"/>
      <c r="T844" s="170"/>
      <c r="U844" s="53"/>
      <c r="V844" s="53"/>
      <c r="W844" s="53"/>
      <c r="X844" s="171"/>
      <c r="Y844" s="170"/>
      <c r="Z844" s="170"/>
      <c r="AA844" s="170"/>
      <c r="AB844" s="170"/>
      <c r="AC844" s="170"/>
      <c r="AD844" s="53"/>
      <c r="AE844" s="53"/>
    </row>
    <row r="845">
      <c r="A845" s="53"/>
      <c r="B845" s="53"/>
      <c r="C845" s="168"/>
      <c r="D845" s="169"/>
      <c r="E845" s="170"/>
      <c r="F845" s="53"/>
      <c r="G845" s="53"/>
      <c r="H845" s="53"/>
      <c r="I845" s="171"/>
      <c r="J845" s="170"/>
      <c r="K845" s="53"/>
      <c r="L845" s="53"/>
      <c r="M845" s="53"/>
      <c r="N845" s="171"/>
      <c r="O845" s="170"/>
      <c r="P845" s="53"/>
      <c r="Q845" s="53"/>
      <c r="R845" s="53"/>
      <c r="S845" s="171"/>
      <c r="T845" s="170"/>
      <c r="U845" s="53"/>
      <c r="V845" s="53"/>
      <c r="W845" s="53"/>
      <c r="X845" s="171"/>
      <c r="Y845" s="170"/>
      <c r="Z845" s="170"/>
      <c r="AA845" s="170"/>
      <c r="AB845" s="170"/>
      <c r="AC845" s="170"/>
      <c r="AD845" s="53"/>
      <c r="AE845" s="53"/>
    </row>
    <row r="846">
      <c r="A846" s="53"/>
      <c r="B846" s="53"/>
      <c r="C846" s="168"/>
      <c r="D846" s="169"/>
      <c r="E846" s="170"/>
      <c r="F846" s="53"/>
      <c r="G846" s="53"/>
      <c r="H846" s="53"/>
      <c r="I846" s="171"/>
      <c r="J846" s="170"/>
      <c r="K846" s="53"/>
      <c r="L846" s="53"/>
      <c r="M846" s="53"/>
      <c r="N846" s="171"/>
      <c r="O846" s="170"/>
      <c r="P846" s="53"/>
      <c r="Q846" s="53"/>
      <c r="R846" s="53"/>
      <c r="S846" s="171"/>
      <c r="T846" s="170"/>
      <c r="U846" s="53"/>
      <c r="V846" s="53"/>
      <c r="W846" s="53"/>
      <c r="X846" s="171"/>
      <c r="Y846" s="170"/>
      <c r="Z846" s="170"/>
      <c r="AA846" s="170"/>
      <c r="AB846" s="170"/>
      <c r="AC846" s="170"/>
      <c r="AD846" s="53"/>
      <c r="AE846" s="53"/>
    </row>
    <row r="847">
      <c r="A847" s="53"/>
      <c r="B847" s="53"/>
      <c r="C847" s="168"/>
      <c r="D847" s="169"/>
      <c r="E847" s="170"/>
      <c r="F847" s="53"/>
      <c r="G847" s="53"/>
      <c r="H847" s="53"/>
      <c r="I847" s="171"/>
      <c r="J847" s="170"/>
      <c r="K847" s="53"/>
      <c r="L847" s="53"/>
      <c r="M847" s="53"/>
      <c r="N847" s="171"/>
      <c r="O847" s="170"/>
      <c r="P847" s="53"/>
      <c r="Q847" s="53"/>
      <c r="R847" s="53"/>
      <c r="S847" s="171"/>
      <c r="T847" s="170"/>
      <c r="U847" s="53"/>
      <c r="V847" s="53"/>
      <c r="W847" s="53"/>
      <c r="X847" s="171"/>
      <c r="Y847" s="170"/>
      <c r="Z847" s="170"/>
      <c r="AA847" s="170"/>
      <c r="AB847" s="170"/>
      <c r="AC847" s="170"/>
      <c r="AD847" s="53"/>
      <c r="AE847" s="53"/>
    </row>
    <row r="848">
      <c r="A848" s="53"/>
      <c r="B848" s="53"/>
      <c r="C848" s="168"/>
      <c r="D848" s="169"/>
      <c r="E848" s="170"/>
      <c r="F848" s="53"/>
      <c r="G848" s="53"/>
      <c r="H848" s="53"/>
      <c r="I848" s="171"/>
      <c r="J848" s="170"/>
      <c r="K848" s="53"/>
      <c r="L848" s="53"/>
      <c r="M848" s="53"/>
      <c r="N848" s="171"/>
      <c r="O848" s="170"/>
      <c r="P848" s="53"/>
      <c r="Q848" s="53"/>
      <c r="R848" s="53"/>
      <c r="S848" s="171"/>
      <c r="T848" s="170"/>
      <c r="U848" s="53"/>
      <c r="V848" s="53"/>
      <c r="W848" s="53"/>
      <c r="X848" s="171"/>
      <c r="Y848" s="170"/>
      <c r="Z848" s="170"/>
      <c r="AA848" s="170"/>
      <c r="AB848" s="170"/>
      <c r="AC848" s="170"/>
      <c r="AD848" s="53"/>
      <c r="AE848" s="53"/>
    </row>
    <row r="849">
      <c r="A849" s="53"/>
      <c r="B849" s="53"/>
      <c r="C849" s="168"/>
      <c r="D849" s="169"/>
      <c r="E849" s="170"/>
      <c r="F849" s="53"/>
      <c r="G849" s="53"/>
      <c r="H849" s="53"/>
      <c r="I849" s="171"/>
      <c r="J849" s="170"/>
      <c r="K849" s="53"/>
      <c r="L849" s="53"/>
      <c r="M849" s="53"/>
      <c r="N849" s="171"/>
      <c r="O849" s="170"/>
      <c r="P849" s="53"/>
      <c r="Q849" s="53"/>
      <c r="R849" s="53"/>
      <c r="S849" s="171"/>
      <c r="T849" s="170"/>
      <c r="U849" s="53"/>
      <c r="V849" s="53"/>
      <c r="W849" s="53"/>
      <c r="X849" s="171"/>
      <c r="Y849" s="170"/>
      <c r="Z849" s="170"/>
      <c r="AA849" s="170"/>
      <c r="AB849" s="170"/>
      <c r="AC849" s="170"/>
      <c r="AD849" s="53"/>
      <c r="AE849" s="53"/>
    </row>
    <row r="850">
      <c r="A850" s="53"/>
      <c r="B850" s="53"/>
      <c r="C850" s="168"/>
      <c r="D850" s="169"/>
      <c r="E850" s="170"/>
      <c r="F850" s="53"/>
      <c r="G850" s="53"/>
      <c r="H850" s="53"/>
      <c r="I850" s="171"/>
      <c r="J850" s="170"/>
      <c r="K850" s="53"/>
      <c r="L850" s="53"/>
      <c r="M850" s="53"/>
      <c r="N850" s="171"/>
      <c r="O850" s="170"/>
      <c r="P850" s="53"/>
      <c r="Q850" s="53"/>
      <c r="R850" s="53"/>
      <c r="S850" s="171"/>
      <c r="T850" s="170"/>
      <c r="U850" s="53"/>
      <c r="V850" s="53"/>
      <c r="W850" s="53"/>
      <c r="X850" s="171"/>
      <c r="Y850" s="170"/>
      <c r="Z850" s="170"/>
      <c r="AA850" s="170"/>
      <c r="AB850" s="170"/>
      <c r="AC850" s="170"/>
      <c r="AD850" s="53"/>
      <c r="AE850" s="53"/>
    </row>
    <row r="851">
      <c r="A851" s="53"/>
      <c r="B851" s="53"/>
      <c r="C851" s="168"/>
      <c r="D851" s="169"/>
      <c r="E851" s="170"/>
      <c r="F851" s="53"/>
      <c r="G851" s="53"/>
      <c r="H851" s="53"/>
      <c r="I851" s="171"/>
      <c r="J851" s="170"/>
      <c r="K851" s="53"/>
      <c r="L851" s="53"/>
      <c r="M851" s="53"/>
      <c r="N851" s="171"/>
      <c r="O851" s="170"/>
      <c r="P851" s="53"/>
      <c r="Q851" s="53"/>
      <c r="R851" s="53"/>
      <c r="S851" s="171"/>
      <c r="T851" s="170"/>
      <c r="U851" s="53"/>
      <c r="V851" s="53"/>
      <c r="W851" s="53"/>
      <c r="X851" s="171"/>
      <c r="Y851" s="170"/>
      <c r="Z851" s="170"/>
      <c r="AA851" s="170"/>
      <c r="AB851" s="170"/>
      <c r="AC851" s="170"/>
      <c r="AD851" s="53"/>
      <c r="AE851" s="53"/>
    </row>
    <row r="852">
      <c r="A852" s="53"/>
      <c r="B852" s="53"/>
      <c r="C852" s="168"/>
      <c r="D852" s="169"/>
      <c r="E852" s="170"/>
      <c r="F852" s="53"/>
      <c r="G852" s="53"/>
      <c r="H852" s="53"/>
      <c r="I852" s="171"/>
      <c r="J852" s="170"/>
      <c r="K852" s="53"/>
      <c r="L852" s="53"/>
      <c r="M852" s="53"/>
      <c r="N852" s="171"/>
      <c r="O852" s="170"/>
      <c r="P852" s="53"/>
      <c r="Q852" s="53"/>
      <c r="R852" s="53"/>
      <c r="S852" s="171"/>
      <c r="T852" s="170"/>
      <c r="U852" s="53"/>
      <c r="V852" s="53"/>
      <c r="W852" s="53"/>
      <c r="X852" s="171"/>
      <c r="Y852" s="170"/>
      <c r="Z852" s="170"/>
      <c r="AA852" s="170"/>
      <c r="AB852" s="170"/>
      <c r="AC852" s="170"/>
      <c r="AD852" s="53"/>
      <c r="AE852" s="53"/>
    </row>
    <row r="853">
      <c r="A853" s="53"/>
      <c r="B853" s="53"/>
      <c r="C853" s="168"/>
      <c r="D853" s="169"/>
      <c r="E853" s="170"/>
      <c r="F853" s="53"/>
      <c r="G853" s="53"/>
      <c r="H853" s="53"/>
      <c r="I853" s="171"/>
      <c r="J853" s="170"/>
      <c r="K853" s="53"/>
      <c r="L853" s="53"/>
      <c r="M853" s="53"/>
      <c r="N853" s="171"/>
      <c r="O853" s="170"/>
      <c r="P853" s="53"/>
      <c r="Q853" s="53"/>
      <c r="R853" s="53"/>
      <c r="S853" s="171"/>
      <c r="T853" s="170"/>
      <c r="U853" s="53"/>
      <c r="V853" s="53"/>
      <c r="W853" s="53"/>
      <c r="X853" s="171"/>
      <c r="Y853" s="170"/>
      <c r="Z853" s="170"/>
      <c r="AA853" s="170"/>
      <c r="AB853" s="170"/>
      <c r="AC853" s="170"/>
      <c r="AD853" s="53"/>
      <c r="AE853" s="53"/>
    </row>
    <row r="854">
      <c r="A854" s="53"/>
      <c r="B854" s="53"/>
      <c r="C854" s="168"/>
      <c r="D854" s="169"/>
      <c r="E854" s="170"/>
      <c r="F854" s="53"/>
      <c r="G854" s="53"/>
      <c r="H854" s="53"/>
      <c r="I854" s="171"/>
      <c r="J854" s="170"/>
      <c r="K854" s="53"/>
      <c r="L854" s="53"/>
      <c r="M854" s="53"/>
      <c r="N854" s="171"/>
      <c r="O854" s="170"/>
      <c r="P854" s="53"/>
      <c r="Q854" s="53"/>
      <c r="R854" s="53"/>
      <c r="S854" s="171"/>
      <c r="T854" s="170"/>
      <c r="U854" s="53"/>
      <c r="V854" s="53"/>
      <c r="W854" s="53"/>
      <c r="X854" s="171"/>
      <c r="Y854" s="170"/>
      <c r="Z854" s="170"/>
      <c r="AA854" s="170"/>
      <c r="AB854" s="170"/>
      <c r="AC854" s="170"/>
      <c r="AD854" s="53"/>
      <c r="AE854" s="53"/>
    </row>
    <row r="855">
      <c r="A855" s="53"/>
      <c r="B855" s="53"/>
      <c r="C855" s="168"/>
      <c r="D855" s="169"/>
      <c r="E855" s="170"/>
      <c r="F855" s="53"/>
      <c r="G855" s="53"/>
      <c r="H855" s="53"/>
      <c r="I855" s="171"/>
      <c r="J855" s="170"/>
      <c r="K855" s="53"/>
      <c r="L855" s="53"/>
      <c r="M855" s="53"/>
      <c r="N855" s="171"/>
      <c r="O855" s="170"/>
      <c r="P855" s="53"/>
      <c r="Q855" s="53"/>
      <c r="R855" s="53"/>
      <c r="S855" s="171"/>
      <c r="T855" s="170"/>
      <c r="U855" s="53"/>
      <c r="V855" s="53"/>
      <c r="W855" s="53"/>
      <c r="X855" s="171"/>
      <c r="Y855" s="170"/>
      <c r="Z855" s="170"/>
      <c r="AA855" s="170"/>
      <c r="AB855" s="170"/>
      <c r="AC855" s="170"/>
      <c r="AD855" s="53"/>
      <c r="AE855" s="53"/>
    </row>
    <row r="856">
      <c r="A856" s="53"/>
      <c r="B856" s="53"/>
      <c r="C856" s="168"/>
      <c r="D856" s="169"/>
      <c r="E856" s="170"/>
      <c r="F856" s="53"/>
      <c r="G856" s="53"/>
      <c r="H856" s="53"/>
      <c r="I856" s="171"/>
      <c r="J856" s="170"/>
      <c r="K856" s="53"/>
      <c r="L856" s="53"/>
      <c r="M856" s="53"/>
      <c r="N856" s="171"/>
      <c r="O856" s="170"/>
      <c r="P856" s="53"/>
      <c r="Q856" s="53"/>
      <c r="R856" s="53"/>
      <c r="S856" s="171"/>
      <c r="T856" s="170"/>
      <c r="U856" s="53"/>
      <c r="V856" s="53"/>
      <c r="W856" s="53"/>
      <c r="X856" s="171"/>
      <c r="Y856" s="170"/>
      <c r="Z856" s="170"/>
      <c r="AA856" s="170"/>
      <c r="AB856" s="170"/>
      <c r="AC856" s="170"/>
      <c r="AD856" s="53"/>
      <c r="AE856" s="53"/>
    </row>
    <row r="857">
      <c r="A857" s="53"/>
      <c r="B857" s="53"/>
      <c r="C857" s="168"/>
      <c r="D857" s="169"/>
      <c r="E857" s="170"/>
      <c r="F857" s="53"/>
      <c r="G857" s="53"/>
      <c r="H857" s="53"/>
      <c r="I857" s="171"/>
      <c r="J857" s="170"/>
      <c r="K857" s="53"/>
      <c r="L857" s="53"/>
      <c r="M857" s="53"/>
      <c r="N857" s="171"/>
      <c r="O857" s="170"/>
      <c r="P857" s="53"/>
      <c r="Q857" s="53"/>
      <c r="R857" s="53"/>
      <c r="S857" s="171"/>
      <c r="T857" s="170"/>
      <c r="U857" s="53"/>
      <c r="V857" s="53"/>
      <c r="W857" s="53"/>
      <c r="X857" s="171"/>
      <c r="Y857" s="170"/>
      <c r="Z857" s="170"/>
      <c r="AA857" s="170"/>
      <c r="AB857" s="170"/>
      <c r="AC857" s="170"/>
      <c r="AD857" s="53"/>
      <c r="AE857" s="53"/>
    </row>
    <row r="858">
      <c r="A858" s="53"/>
      <c r="B858" s="53"/>
      <c r="C858" s="168"/>
      <c r="D858" s="169"/>
      <c r="E858" s="170"/>
      <c r="F858" s="53"/>
      <c r="G858" s="53"/>
      <c r="H858" s="53"/>
      <c r="I858" s="171"/>
      <c r="J858" s="170"/>
      <c r="K858" s="53"/>
      <c r="L858" s="53"/>
      <c r="M858" s="53"/>
      <c r="N858" s="171"/>
      <c r="O858" s="170"/>
      <c r="P858" s="53"/>
      <c r="Q858" s="53"/>
      <c r="R858" s="53"/>
      <c r="S858" s="171"/>
      <c r="T858" s="170"/>
      <c r="U858" s="53"/>
      <c r="V858" s="53"/>
      <c r="W858" s="53"/>
      <c r="X858" s="171"/>
      <c r="Y858" s="170"/>
      <c r="Z858" s="170"/>
      <c r="AA858" s="170"/>
      <c r="AB858" s="170"/>
      <c r="AC858" s="170"/>
      <c r="AD858" s="53"/>
      <c r="AE858" s="53"/>
    </row>
    <row r="859">
      <c r="A859" s="53"/>
      <c r="B859" s="53"/>
      <c r="C859" s="168"/>
      <c r="D859" s="169"/>
      <c r="E859" s="170"/>
      <c r="F859" s="53"/>
      <c r="G859" s="53"/>
      <c r="H859" s="53"/>
      <c r="I859" s="171"/>
      <c r="J859" s="170"/>
      <c r="K859" s="53"/>
      <c r="L859" s="53"/>
      <c r="M859" s="53"/>
      <c r="N859" s="171"/>
      <c r="O859" s="170"/>
      <c r="P859" s="53"/>
      <c r="Q859" s="53"/>
      <c r="R859" s="53"/>
      <c r="S859" s="171"/>
      <c r="T859" s="170"/>
      <c r="U859" s="53"/>
      <c r="V859" s="53"/>
      <c r="W859" s="53"/>
      <c r="X859" s="171"/>
      <c r="Y859" s="170"/>
      <c r="Z859" s="170"/>
      <c r="AA859" s="170"/>
      <c r="AB859" s="170"/>
      <c r="AC859" s="170"/>
      <c r="AD859" s="53"/>
      <c r="AE859" s="53"/>
    </row>
    <row r="860">
      <c r="A860" s="53"/>
      <c r="B860" s="53"/>
      <c r="C860" s="168"/>
      <c r="D860" s="169"/>
      <c r="E860" s="170"/>
      <c r="F860" s="53"/>
      <c r="G860" s="53"/>
      <c r="H860" s="53"/>
      <c r="I860" s="171"/>
      <c r="J860" s="170"/>
      <c r="K860" s="53"/>
      <c r="L860" s="53"/>
      <c r="M860" s="53"/>
      <c r="N860" s="171"/>
      <c r="O860" s="170"/>
      <c r="P860" s="53"/>
      <c r="Q860" s="53"/>
      <c r="R860" s="53"/>
      <c r="S860" s="171"/>
      <c r="T860" s="170"/>
      <c r="U860" s="53"/>
      <c r="V860" s="53"/>
      <c r="W860" s="53"/>
      <c r="X860" s="171"/>
      <c r="Y860" s="170"/>
      <c r="Z860" s="170"/>
      <c r="AA860" s="170"/>
      <c r="AB860" s="170"/>
      <c r="AC860" s="170"/>
      <c r="AD860" s="53"/>
      <c r="AE860" s="53"/>
    </row>
    <row r="861">
      <c r="A861" s="53"/>
      <c r="B861" s="53"/>
      <c r="C861" s="168"/>
      <c r="D861" s="169"/>
      <c r="E861" s="170"/>
      <c r="F861" s="53"/>
      <c r="G861" s="53"/>
      <c r="H861" s="53"/>
      <c r="I861" s="171"/>
      <c r="J861" s="170"/>
      <c r="K861" s="53"/>
      <c r="L861" s="53"/>
      <c r="M861" s="53"/>
      <c r="N861" s="171"/>
      <c r="O861" s="170"/>
      <c r="P861" s="53"/>
      <c r="Q861" s="53"/>
      <c r="R861" s="53"/>
      <c r="S861" s="171"/>
      <c r="T861" s="170"/>
      <c r="U861" s="53"/>
      <c r="V861" s="53"/>
      <c r="W861" s="53"/>
      <c r="X861" s="171"/>
      <c r="Y861" s="170"/>
      <c r="Z861" s="170"/>
      <c r="AA861" s="170"/>
      <c r="AB861" s="170"/>
      <c r="AC861" s="170"/>
      <c r="AD861" s="53"/>
      <c r="AE861" s="53"/>
    </row>
    <row r="862">
      <c r="A862" s="53"/>
      <c r="B862" s="53"/>
      <c r="C862" s="168"/>
      <c r="D862" s="169"/>
      <c r="E862" s="170"/>
      <c r="F862" s="53"/>
      <c r="G862" s="53"/>
      <c r="H862" s="53"/>
      <c r="I862" s="171"/>
      <c r="J862" s="170"/>
      <c r="K862" s="53"/>
      <c r="L862" s="53"/>
      <c r="M862" s="53"/>
      <c r="N862" s="171"/>
      <c r="O862" s="170"/>
      <c r="P862" s="53"/>
      <c r="Q862" s="53"/>
      <c r="R862" s="53"/>
      <c r="S862" s="171"/>
      <c r="T862" s="170"/>
      <c r="U862" s="53"/>
      <c r="V862" s="53"/>
      <c r="W862" s="53"/>
      <c r="X862" s="171"/>
      <c r="Y862" s="170"/>
      <c r="Z862" s="170"/>
      <c r="AA862" s="170"/>
      <c r="AB862" s="170"/>
      <c r="AC862" s="170"/>
      <c r="AD862" s="53"/>
      <c r="AE862" s="53"/>
    </row>
    <row r="863">
      <c r="A863" s="53"/>
      <c r="B863" s="53"/>
      <c r="C863" s="168"/>
      <c r="D863" s="169"/>
      <c r="E863" s="170"/>
      <c r="F863" s="53"/>
      <c r="G863" s="53"/>
      <c r="H863" s="53"/>
      <c r="I863" s="171"/>
      <c r="J863" s="170"/>
      <c r="K863" s="53"/>
      <c r="L863" s="53"/>
      <c r="M863" s="53"/>
      <c r="N863" s="171"/>
      <c r="O863" s="170"/>
      <c r="P863" s="53"/>
      <c r="Q863" s="53"/>
      <c r="R863" s="53"/>
      <c r="S863" s="171"/>
      <c r="T863" s="170"/>
      <c r="U863" s="53"/>
      <c r="V863" s="53"/>
      <c r="W863" s="53"/>
      <c r="X863" s="171"/>
      <c r="Y863" s="170"/>
      <c r="Z863" s="170"/>
      <c r="AA863" s="170"/>
      <c r="AB863" s="170"/>
      <c r="AC863" s="170"/>
      <c r="AD863" s="53"/>
      <c r="AE863" s="53"/>
    </row>
    <row r="864">
      <c r="A864" s="53"/>
      <c r="B864" s="53"/>
      <c r="C864" s="168"/>
      <c r="D864" s="169"/>
      <c r="E864" s="170"/>
      <c r="F864" s="53"/>
      <c r="G864" s="53"/>
      <c r="H864" s="53"/>
      <c r="I864" s="171"/>
      <c r="J864" s="170"/>
      <c r="K864" s="53"/>
      <c r="L864" s="53"/>
      <c r="M864" s="53"/>
      <c r="N864" s="171"/>
      <c r="O864" s="170"/>
      <c r="P864" s="53"/>
      <c r="Q864" s="53"/>
      <c r="R864" s="53"/>
      <c r="S864" s="171"/>
      <c r="T864" s="170"/>
      <c r="U864" s="53"/>
      <c r="V864" s="53"/>
      <c r="W864" s="53"/>
      <c r="X864" s="171"/>
      <c r="Y864" s="170"/>
      <c r="Z864" s="170"/>
      <c r="AA864" s="170"/>
      <c r="AB864" s="170"/>
      <c r="AC864" s="170"/>
      <c r="AD864" s="53"/>
      <c r="AE864" s="53"/>
    </row>
    <row r="865">
      <c r="A865" s="53"/>
      <c r="B865" s="53"/>
      <c r="C865" s="168"/>
      <c r="D865" s="169"/>
      <c r="E865" s="170"/>
      <c r="F865" s="53"/>
      <c r="G865" s="53"/>
      <c r="H865" s="53"/>
      <c r="I865" s="171"/>
      <c r="J865" s="170"/>
      <c r="K865" s="53"/>
      <c r="L865" s="53"/>
      <c r="M865" s="53"/>
      <c r="N865" s="171"/>
      <c r="O865" s="170"/>
      <c r="P865" s="53"/>
      <c r="Q865" s="53"/>
      <c r="R865" s="53"/>
      <c r="S865" s="171"/>
      <c r="T865" s="170"/>
      <c r="U865" s="53"/>
      <c r="V865" s="53"/>
      <c r="W865" s="53"/>
      <c r="X865" s="171"/>
      <c r="Y865" s="170"/>
      <c r="Z865" s="170"/>
      <c r="AA865" s="170"/>
      <c r="AB865" s="170"/>
      <c r="AC865" s="170"/>
      <c r="AD865" s="53"/>
      <c r="AE865" s="53"/>
    </row>
    <row r="866">
      <c r="A866" s="53"/>
      <c r="B866" s="53"/>
      <c r="C866" s="168"/>
      <c r="D866" s="169"/>
      <c r="E866" s="170"/>
      <c r="F866" s="53"/>
      <c r="G866" s="53"/>
      <c r="H866" s="53"/>
      <c r="I866" s="171"/>
      <c r="J866" s="170"/>
      <c r="K866" s="53"/>
      <c r="L866" s="53"/>
      <c r="M866" s="53"/>
      <c r="N866" s="171"/>
      <c r="O866" s="170"/>
      <c r="P866" s="53"/>
      <c r="Q866" s="53"/>
      <c r="R866" s="53"/>
      <c r="S866" s="171"/>
      <c r="T866" s="170"/>
      <c r="U866" s="53"/>
      <c r="V866" s="53"/>
      <c r="W866" s="53"/>
      <c r="X866" s="171"/>
      <c r="Y866" s="170"/>
      <c r="Z866" s="170"/>
      <c r="AA866" s="170"/>
      <c r="AB866" s="170"/>
      <c r="AC866" s="170"/>
      <c r="AD866" s="53"/>
      <c r="AE866" s="53"/>
    </row>
    <row r="867">
      <c r="A867" s="53"/>
      <c r="B867" s="53"/>
      <c r="C867" s="168"/>
      <c r="D867" s="169"/>
      <c r="E867" s="170"/>
      <c r="F867" s="53"/>
      <c r="G867" s="53"/>
      <c r="H867" s="53"/>
      <c r="I867" s="171"/>
      <c r="J867" s="170"/>
      <c r="K867" s="53"/>
      <c r="L867" s="53"/>
      <c r="M867" s="53"/>
      <c r="N867" s="171"/>
      <c r="O867" s="170"/>
      <c r="P867" s="53"/>
      <c r="Q867" s="53"/>
      <c r="R867" s="53"/>
      <c r="S867" s="171"/>
      <c r="T867" s="170"/>
      <c r="U867" s="53"/>
      <c r="V867" s="53"/>
      <c r="W867" s="53"/>
      <c r="X867" s="171"/>
      <c r="Y867" s="170"/>
      <c r="Z867" s="170"/>
      <c r="AA867" s="170"/>
      <c r="AB867" s="170"/>
      <c r="AC867" s="170"/>
      <c r="AD867" s="53"/>
      <c r="AE867" s="53"/>
    </row>
    <row r="868">
      <c r="A868" s="53"/>
      <c r="B868" s="53"/>
      <c r="C868" s="168"/>
      <c r="D868" s="169"/>
      <c r="E868" s="170"/>
      <c r="F868" s="53"/>
      <c r="G868" s="53"/>
      <c r="H868" s="53"/>
      <c r="I868" s="171"/>
      <c r="J868" s="170"/>
      <c r="K868" s="53"/>
      <c r="L868" s="53"/>
      <c r="M868" s="53"/>
      <c r="N868" s="171"/>
      <c r="O868" s="170"/>
      <c r="P868" s="53"/>
      <c r="Q868" s="53"/>
      <c r="R868" s="53"/>
      <c r="S868" s="171"/>
      <c r="T868" s="170"/>
      <c r="U868" s="53"/>
      <c r="V868" s="53"/>
      <c r="W868" s="53"/>
      <c r="X868" s="171"/>
      <c r="Y868" s="170"/>
      <c r="Z868" s="170"/>
      <c r="AA868" s="170"/>
      <c r="AB868" s="170"/>
      <c r="AC868" s="170"/>
      <c r="AD868" s="53"/>
      <c r="AE868" s="53"/>
    </row>
    <row r="869">
      <c r="A869" s="53"/>
      <c r="B869" s="53"/>
      <c r="C869" s="168"/>
      <c r="D869" s="169"/>
      <c r="E869" s="170"/>
      <c r="F869" s="53"/>
      <c r="G869" s="53"/>
      <c r="H869" s="53"/>
      <c r="I869" s="171"/>
      <c r="J869" s="170"/>
      <c r="K869" s="53"/>
      <c r="L869" s="53"/>
      <c r="M869" s="53"/>
      <c r="N869" s="171"/>
      <c r="O869" s="170"/>
      <c r="P869" s="53"/>
      <c r="Q869" s="53"/>
      <c r="R869" s="53"/>
      <c r="S869" s="171"/>
      <c r="T869" s="170"/>
      <c r="U869" s="53"/>
      <c r="V869" s="53"/>
      <c r="W869" s="53"/>
      <c r="X869" s="171"/>
      <c r="Y869" s="170"/>
      <c r="Z869" s="170"/>
      <c r="AA869" s="170"/>
      <c r="AB869" s="170"/>
      <c r="AC869" s="170"/>
      <c r="AD869" s="53"/>
      <c r="AE869" s="53"/>
    </row>
    <row r="870">
      <c r="A870" s="53"/>
      <c r="B870" s="53"/>
      <c r="C870" s="168"/>
      <c r="D870" s="169"/>
      <c r="E870" s="170"/>
      <c r="F870" s="53"/>
      <c r="G870" s="53"/>
      <c r="H870" s="53"/>
      <c r="I870" s="171"/>
      <c r="J870" s="170"/>
      <c r="K870" s="53"/>
      <c r="L870" s="53"/>
      <c r="M870" s="53"/>
      <c r="N870" s="171"/>
      <c r="O870" s="170"/>
      <c r="P870" s="53"/>
      <c r="Q870" s="53"/>
      <c r="R870" s="53"/>
      <c r="S870" s="171"/>
      <c r="T870" s="170"/>
      <c r="U870" s="53"/>
      <c r="V870" s="53"/>
      <c r="W870" s="53"/>
      <c r="X870" s="171"/>
      <c r="Y870" s="170"/>
      <c r="Z870" s="170"/>
      <c r="AA870" s="170"/>
      <c r="AB870" s="170"/>
      <c r="AC870" s="170"/>
      <c r="AD870" s="53"/>
      <c r="AE870" s="53"/>
    </row>
    <row r="871">
      <c r="A871" s="53"/>
      <c r="B871" s="53"/>
      <c r="C871" s="168"/>
      <c r="D871" s="169"/>
      <c r="E871" s="170"/>
      <c r="F871" s="53"/>
      <c r="G871" s="53"/>
      <c r="H871" s="53"/>
      <c r="I871" s="171"/>
      <c r="J871" s="170"/>
      <c r="K871" s="53"/>
      <c r="L871" s="53"/>
      <c r="M871" s="53"/>
      <c r="N871" s="171"/>
      <c r="O871" s="170"/>
      <c r="P871" s="53"/>
      <c r="Q871" s="53"/>
      <c r="R871" s="53"/>
      <c r="S871" s="171"/>
      <c r="T871" s="170"/>
      <c r="U871" s="53"/>
      <c r="V871" s="53"/>
      <c r="W871" s="53"/>
      <c r="X871" s="171"/>
      <c r="Y871" s="170"/>
      <c r="Z871" s="170"/>
      <c r="AA871" s="170"/>
      <c r="AB871" s="170"/>
      <c r="AC871" s="170"/>
      <c r="AD871" s="53"/>
      <c r="AE871" s="53"/>
    </row>
    <row r="872">
      <c r="A872" s="53"/>
      <c r="B872" s="53"/>
      <c r="C872" s="168"/>
      <c r="D872" s="169"/>
      <c r="E872" s="170"/>
      <c r="F872" s="53"/>
      <c r="G872" s="53"/>
      <c r="H872" s="53"/>
      <c r="I872" s="171"/>
      <c r="J872" s="170"/>
      <c r="K872" s="53"/>
      <c r="L872" s="53"/>
      <c r="M872" s="53"/>
      <c r="N872" s="171"/>
      <c r="O872" s="170"/>
      <c r="P872" s="53"/>
      <c r="Q872" s="53"/>
      <c r="R872" s="53"/>
      <c r="S872" s="171"/>
      <c r="T872" s="170"/>
      <c r="U872" s="53"/>
      <c r="V872" s="53"/>
      <c r="W872" s="53"/>
      <c r="X872" s="171"/>
      <c r="Y872" s="170"/>
      <c r="Z872" s="170"/>
      <c r="AA872" s="170"/>
      <c r="AB872" s="170"/>
      <c r="AC872" s="170"/>
      <c r="AD872" s="53"/>
      <c r="AE872" s="53"/>
    </row>
    <row r="873">
      <c r="A873" s="53"/>
      <c r="B873" s="53"/>
      <c r="C873" s="168"/>
      <c r="D873" s="169"/>
      <c r="E873" s="170"/>
      <c r="F873" s="53"/>
      <c r="G873" s="53"/>
      <c r="H873" s="53"/>
      <c r="I873" s="171"/>
      <c r="J873" s="170"/>
      <c r="K873" s="53"/>
      <c r="L873" s="53"/>
      <c r="M873" s="53"/>
      <c r="N873" s="171"/>
      <c r="O873" s="170"/>
      <c r="P873" s="53"/>
      <c r="Q873" s="53"/>
      <c r="R873" s="53"/>
      <c r="S873" s="171"/>
      <c r="T873" s="170"/>
      <c r="U873" s="53"/>
      <c r="V873" s="53"/>
      <c r="W873" s="53"/>
      <c r="X873" s="171"/>
      <c r="Y873" s="170"/>
      <c r="Z873" s="170"/>
      <c r="AA873" s="170"/>
      <c r="AB873" s="170"/>
      <c r="AC873" s="170"/>
      <c r="AD873" s="53"/>
      <c r="AE873" s="53"/>
    </row>
    <row r="874">
      <c r="A874" s="53"/>
      <c r="B874" s="53"/>
      <c r="C874" s="168"/>
      <c r="D874" s="169"/>
      <c r="E874" s="170"/>
      <c r="F874" s="53"/>
      <c r="G874" s="53"/>
      <c r="H874" s="53"/>
      <c r="I874" s="171"/>
      <c r="J874" s="170"/>
      <c r="K874" s="53"/>
      <c r="L874" s="53"/>
      <c r="M874" s="53"/>
      <c r="N874" s="171"/>
      <c r="O874" s="170"/>
      <c r="P874" s="53"/>
      <c r="Q874" s="53"/>
      <c r="R874" s="53"/>
      <c r="S874" s="171"/>
      <c r="T874" s="170"/>
      <c r="U874" s="53"/>
      <c r="V874" s="53"/>
      <c r="W874" s="53"/>
      <c r="X874" s="171"/>
      <c r="Y874" s="170"/>
      <c r="Z874" s="170"/>
      <c r="AA874" s="170"/>
      <c r="AB874" s="170"/>
      <c r="AC874" s="170"/>
      <c r="AD874" s="53"/>
      <c r="AE874" s="53"/>
    </row>
    <row r="875">
      <c r="A875" s="53"/>
      <c r="B875" s="53"/>
      <c r="C875" s="168"/>
      <c r="D875" s="169"/>
      <c r="E875" s="170"/>
      <c r="F875" s="53"/>
      <c r="G875" s="53"/>
      <c r="H875" s="53"/>
      <c r="I875" s="171"/>
      <c r="J875" s="170"/>
      <c r="K875" s="53"/>
      <c r="L875" s="53"/>
      <c r="M875" s="53"/>
      <c r="N875" s="171"/>
      <c r="O875" s="170"/>
      <c r="P875" s="53"/>
      <c r="Q875" s="53"/>
      <c r="R875" s="53"/>
      <c r="S875" s="171"/>
      <c r="T875" s="170"/>
      <c r="U875" s="53"/>
      <c r="V875" s="53"/>
      <c r="W875" s="53"/>
      <c r="X875" s="171"/>
      <c r="Y875" s="170"/>
      <c r="Z875" s="170"/>
      <c r="AA875" s="170"/>
      <c r="AB875" s="170"/>
      <c r="AC875" s="170"/>
      <c r="AD875" s="53"/>
      <c r="AE875" s="53"/>
    </row>
    <row r="876">
      <c r="A876" s="53"/>
      <c r="B876" s="53"/>
      <c r="C876" s="168"/>
      <c r="D876" s="169"/>
      <c r="E876" s="170"/>
      <c r="F876" s="53"/>
      <c r="G876" s="53"/>
      <c r="H876" s="53"/>
      <c r="I876" s="171"/>
      <c r="J876" s="170"/>
      <c r="K876" s="53"/>
      <c r="L876" s="53"/>
      <c r="M876" s="53"/>
      <c r="N876" s="171"/>
      <c r="O876" s="170"/>
      <c r="P876" s="53"/>
      <c r="Q876" s="53"/>
      <c r="R876" s="53"/>
      <c r="S876" s="171"/>
      <c r="T876" s="170"/>
      <c r="U876" s="53"/>
      <c r="V876" s="53"/>
      <c r="W876" s="53"/>
      <c r="X876" s="171"/>
      <c r="Y876" s="170"/>
      <c r="Z876" s="170"/>
      <c r="AA876" s="170"/>
      <c r="AB876" s="170"/>
      <c r="AC876" s="170"/>
      <c r="AD876" s="53"/>
      <c r="AE876" s="53"/>
    </row>
    <row r="877">
      <c r="A877" s="53"/>
      <c r="B877" s="53"/>
      <c r="C877" s="168"/>
      <c r="D877" s="169"/>
      <c r="E877" s="170"/>
      <c r="F877" s="53"/>
      <c r="G877" s="53"/>
      <c r="H877" s="53"/>
      <c r="I877" s="171"/>
      <c r="J877" s="170"/>
      <c r="K877" s="53"/>
      <c r="L877" s="53"/>
      <c r="M877" s="53"/>
      <c r="N877" s="171"/>
      <c r="O877" s="170"/>
      <c r="P877" s="53"/>
      <c r="Q877" s="53"/>
      <c r="R877" s="53"/>
      <c r="S877" s="171"/>
      <c r="T877" s="170"/>
      <c r="U877" s="53"/>
      <c r="V877" s="53"/>
      <c r="W877" s="53"/>
      <c r="X877" s="171"/>
      <c r="Y877" s="170"/>
      <c r="Z877" s="170"/>
      <c r="AA877" s="170"/>
      <c r="AB877" s="170"/>
      <c r="AC877" s="170"/>
      <c r="AD877" s="53"/>
      <c r="AE877" s="53"/>
    </row>
    <row r="878">
      <c r="A878" s="53"/>
      <c r="B878" s="53"/>
      <c r="C878" s="168"/>
      <c r="D878" s="169"/>
      <c r="E878" s="170"/>
      <c r="F878" s="53"/>
      <c r="G878" s="53"/>
      <c r="H878" s="53"/>
      <c r="I878" s="171"/>
      <c r="J878" s="170"/>
      <c r="K878" s="53"/>
      <c r="L878" s="53"/>
      <c r="M878" s="53"/>
      <c r="N878" s="171"/>
      <c r="O878" s="170"/>
      <c r="P878" s="53"/>
      <c r="Q878" s="53"/>
      <c r="R878" s="53"/>
      <c r="S878" s="171"/>
      <c r="T878" s="170"/>
      <c r="U878" s="53"/>
      <c r="V878" s="53"/>
      <c r="W878" s="53"/>
      <c r="X878" s="171"/>
      <c r="Y878" s="170"/>
      <c r="Z878" s="170"/>
      <c r="AA878" s="170"/>
      <c r="AB878" s="170"/>
      <c r="AC878" s="170"/>
      <c r="AD878" s="53"/>
      <c r="AE878" s="53"/>
    </row>
    <row r="879">
      <c r="A879" s="53"/>
      <c r="B879" s="53"/>
      <c r="C879" s="168"/>
      <c r="D879" s="169"/>
      <c r="E879" s="170"/>
      <c r="F879" s="53"/>
      <c r="G879" s="53"/>
      <c r="H879" s="53"/>
      <c r="I879" s="171"/>
      <c r="J879" s="170"/>
      <c r="K879" s="53"/>
      <c r="L879" s="53"/>
      <c r="M879" s="53"/>
      <c r="N879" s="171"/>
      <c r="O879" s="170"/>
      <c r="P879" s="53"/>
      <c r="Q879" s="53"/>
      <c r="R879" s="53"/>
      <c r="S879" s="171"/>
      <c r="T879" s="170"/>
      <c r="U879" s="53"/>
      <c r="V879" s="53"/>
      <c r="W879" s="53"/>
      <c r="X879" s="171"/>
      <c r="Y879" s="170"/>
      <c r="Z879" s="170"/>
      <c r="AA879" s="170"/>
      <c r="AB879" s="170"/>
      <c r="AC879" s="170"/>
      <c r="AD879" s="53"/>
      <c r="AE879" s="53"/>
    </row>
    <row r="880">
      <c r="A880" s="53"/>
      <c r="B880" s="53"/>
      <c r="C880" s="168"/>
      <c r="D880" s="169"/>
      <c r="E880" s="170"/>
      <c r="F880" s="53"/>
      <c r="G880" s="53"/>
      <c r="H880" s="53"/>
      <c r="I880" s="171"/>
      <c r="J880" s="170"/>
      <c r="K880" s="53"/>
      <c r="L880" s="53"/>
      <c r="M880" s="53"/>
      <c r="N880" s="171"/>
      <c r="O880" s="170"/>
      <c r="P880" s="53"/>
      <c r="Q880" s="53"/>
      <c r="R880" s="53"/>
      <c r="S880" s="171"/>
      <c r="T880" s="170"/>
      <c r="U880" s="53"/>
      <c r="V880" s="53"/>
      <c r="W880" s="53"/>
      <c r="X880" s="171"/>
      <c r="Y880" s="170"/>
      <c r="Z880" s="170"/>
      <c r="AA880" s="170"/>
      <c r="AB880" s="170"/>
      <c r="AC880" s="170"/>
      <c r="AD880" s="53"/>
      <c r="AE880" s="53"/>
    </row>
    <row r="881">
      <c r="A881" s="53"/>
      <c r="B881" s="53"/>
      <c r="C881" s="168"/>
      <c r="D881" s="169"/>
      <c r="E881" s="170"/>
      <c r="F881" s="53"/>
      <c r="G881" s="53"/>
      <c r="H881" s="53"/>
      <c r="I881" s="171"/>
      <c r="J881" s="170"/>
      <c r="K881" s="53"/>
      <c r="L881" s="53"/>
      <c r="M881" s="53"/>
      <c r="N881" s="171"/>
      <c r="O881" s="170"/>
      <c r="P881" s="53"/>
      <c r="Q881" s="53"/>
      <c r="R881" s="53"/>
      <c r="S881" s="171"/>
      <c r="T881" s="170"/>
      <c r="U881" s="53"/>
      <c r="V881" s="53"/>
      <c r="W881" s="53"/>
      <c r="X881" s="171"/>
      <c r="Y881" s="170"/>
      <c r="Z881" s="170"/>
      <c r="AA881" s="170"/>
      <c r="AB881" s="170"/>
      <c r="AC881" s="170"/>
      <c r="AD881" s="53"/>
      <c r="AE881" s="53"/>
    </row>
    <row r="882">
      <c r="A882" s="53"/>
      <c r="B882" s="53"/>
      <c r="C882" s="168"/>
      <c r="D882" s="169"/>
      <c r="E882" s="170"/>
      <c r="F882" s="53"/>
      <c r="G882" s="53"/>
      <c r="H882" s="53"/>
      <c r="I882" s="171"/>
      <c r="J882" s="170"/>
      <c r="K882" s="53"/>
      <c r="L882" s="53"/>
      <c r="M882" s="53"/>
      <c r="N882" s="171"/>
      <c r="O882" s="170"/>
      <c r="P882" s="53"/>
      <c r="Q882" s="53"/>
      <c r="R882" s="53"/>
      <c r="S882" s="171"/>
      <c r="T882" s="170"/>
      <c r="U882" s="53"/>
      <c r="V882" s="53"/>
      <c r="W882" s="53"/>
      <c r="X882" s="171"/>
      <c r="Y882" s="170"/>
      <c r="Z882" s="170"/>
      <c r="AA882" s="170"/>
      <c r="AB882" s="170"/>
      <c r="AC882" s="170"/>
      <c r="AD882" s="53"/>
      <c r="AE882" s="53"/>
    </row>
    <row r="883">
      <c r="A883" s="53"/>
      <c r="B883" s="53"/>
      <c r="C883" s="168"/>
      <c r="D883" s="169"/>
      <c r="E883" s="170"/>
      <c r="F883" s="53"/>
      <c r="G883" s="53"/>
      <c r="H883" s="53"/>
      <c r="I883" s="171"/>
      <c r="J883" s="170"/>
      <c r="K883" s="53"/>
      <c r="L883" s="53"/>
      <c r="M883" s="53"/>
      <c r="N883" s="171"/>
      <c r="O883" s="170"/>
      <c r="P883" s="53"/>
      <c r="Q883" s="53"/>
      <c r="R883" s="53"/>
      <c r="S883" s="171"/>
      <c r="T883" s="170"/>
      <c r="U883" s="53"/>
      <c r="V883" s="53"/>
      <c r="W883" s="53"/>
      <c r="X883" s="171"/>
      <c r="Y883" s="170"/>
      <c r="Z883" s="170"/>
      <c r="AA883" s="170"/>
      <c r="AB883" s="170"/>
      <c r="AC883" s="170"/>
      <c r="AD883" s="53"/>
      <c r="AE883" s="53"/>
    </row>
    <row r="884">
      <c r="A884" s="53"/>
      <c r="B884" s="53"/>
      <c r="C884" s="168"/>
      <c r="D884" s="169"/>
      <c r="E884" s="170"/>
      <c r="F884" s="53"/>
      <c r="G884" s="53"/>
      <c r="H884" s="53"/>
      <c r="I884" s="171"/>
      <c r="J884" s="170"/>
      <c r="K884" s="53"/>
      <c r="L884" s="53"/>
      <c r="M884" s="53"/>
      <c r="N884" s="171"/>
      <c r="O884" s="170"/>
      <c r="P884" s="53"/>
      <c r="Q884" s="53"/>
      <c r="R884" s="53"/>
      <c r="S884" s="171"/>
      <c r="T884" s="170"/>
      <c r="U884" s="53"/>
      <c r="V884" s="53"/>
      <c r="W884" s="53"/>
      <c r="X884" s="171"/>
      <c r="Y884" s="170"/>
      <c r="Z884" s="170"/>
      <c r="AA884" s="170"/>
      <c r="AB884" s="170"/>
      <c r="AC884" s="170"/>
      <c r="AD884" s="53"/>
      <c r="AE884" s="53"/>
    </row>
    <row r="885">
      <c r="A885" s="53"/>
      <c r="B885" s="53"/>
      <c r="C885" s="168"/>
      <c r="D885" s="169"/>
      <c r="E885" s="170"/>
      <c r="F885" s="53"/>
      <c r="G885" s="53"/>
      <c r="H885" s="53"/>
      <c r="I885" s="171"/>
      <c r="J885" s="170"/>
      <c r="K885" s="53"/>
      <c r="L885" s="53"/>
      <c r="M885" s="53"/>
      <c r="N885" s="171"/>
      <c r="O885" s="170"/>
      <c r="P885" s="53"/>
      <c r="Q885" s="53"/>
      <c r="R885" s="53"/>
      <c r="S885" s="171"/>
      <c r="T885" s="170"/>
      <c r="U885" s="53"/>
      <c r="V885" s="53"/>
      <c r="W885" s="53"/>
      <c r="X885" s="171"/>
      <c r="Y885" s="170"/>
      <c r="Z885" s="170"/>
      <c r="AA885" s="170"/>
      <c r="AB885" s="170"/>
      <c r="AC885" s="170"/>
      <c r="AD885" s="53"/>
      <c r="AE885" s="53"/>
    </row>
    <row r="886">
      <c r="A886" s="53"/>
      <c r="B886" s="53"/>
      <c r="C886" s="168"/>
      <c r="D886" s="169"/>
      <c r="E886" s="170"/>
      <c r="F886" s="53"/>
      <c r="G886" s="53"/>
      <c r="H886" s="53"/>
      <c r="I886" s="171"/>
      <c r="J886" s="170"/>
      <c r="K886" s="53"/>
      <c r="L886" s="53"/>
      <c r="M886" s="53"/>
      <c r="N886" s="171"/>
      <c r="O886" s="170"/>
      <c r="P886" s="53"/>
      <c r="Q886" s="53"/>
      <c r="R886" s="53"/>
      <c r="S886" s="171"/>
      <c r="T886" s="170"/>
      <c r="U886" s="53"/>
      <c r="V886" s="53"/>
      <c r="W886" s="53"/>
      <c r="X886" s="171"/>
      <c r="Y886" s="170"/>
      <c r="Z886" s="170"/>
      <c r="AA886" s="170"/>
      <c r="AB886" s="170"/>
      <c r="AC886" s="170"/>
      <c r="AD886" s="53"/>
      <c r="AE886" s="53"/>
    </row>
    <row r="887">
      <c r="A887" s="53"/>
      <c r="B887" s="53"/>
      <c r="C887" s="168"/>
      <c r="D887" s="169"/>
      <c r="E887" s="170"/>
      <c r="F887" s="53"/>
      <c r="G887" s="53"/>
      <c r="H887" s="53"/>
      <c r="I887" s="171"/>
      <c r="J887" s="170"/>
      <c r="K887" s="53"/>
      <c r="L887" s="53"/>
      <c r="M887" s="53"/>
      <c r="N887" s="171"/>
      <c r="O887" s="170"/>
      <c r="P887" s="53"/>
      <c r="Q887" s="53"/>
      <c r="R887" s="53"/>
      <c r="S887" s="171"/>
      <c r="T887" s="170"/>
      <c r="U887" s="53"/>
      <c r="V887" s="53"/>
      <c r="W887" s="53"/>
      <c r="X887" s="171"/>
      <c r="Y887" s="170"/>
      <c r="Z887" s="170"/>
      <c r="AA887" s="170"/>
      <c r="AB887" s="170"/>
      <c r="AC887" s="170"/>
      <c r="AD887" s="53"/>
      <c r="AE887" s="53"/>
    </row>
    <row r="888">
      <c r="A888" s="53"/>
      <c r="B888" s="53"/>
      <c r="C888" s="168"/>
      <c r="D888" s="169"/>
      <c r="E888" s="170"/>
      <c r="F888" s="53"/>
      <c r="G888" s="53"/>
      <c r="H888" s="53"/>
      <c r="I888" s="171"/>
      <c r="J888" s="170"/>
      <c r="K888" s="53"/>
      <c r="L888" s="53"/>
      <c r="M888" s="53"/>
      <c r="N888" s="171"/>
      <c r="O888" s="170"/>
      <c r="P888" s="53"/>
      <c r="Q888" s="53"/>
      <c r="R888" s="53"/>
      <c r="S888" s="171"/>
      <c r="T888" s="170"/>
      <c r="U888" s="53"/>
      <c r="V888" s="53"/>
      <c r="W888" s="53"/>
      <c r="X888" s="171"/>
      <c r="Y888" s="170"/>
      <c r="Z888" s="170"/>
      <c r="AA888" s="170"/>
      <c r="AB888" s="170"/>
      <c r="AC888" s="170"/>
      <c r="AD888" s="53"/>
      <c r="AE888" s="53"/>
    </row>
    <row r="889">
      <c r="A889" s="53"/>
      <c r="B889" s="53"/>
      <c r="C889" s="168"/>
      <c r="D889" s="169"/>
      <c r="E889" s="170"/>
      <c r="F889" s="53"/>
      <c r="G889" s="53"/>
      <c r="H889" s="53"/>
      <c r="I889" s="171"/>
      <c r="J889" s="170"/>
      <c r="K889" s="53"/>
      <c r="L889" s="53"/>
      <c r="M889" s="53"/>
      <c r="N889" s="171"/>
      <c r="O889" s="170"/>
      <c r="P889" s="53"/>
      <c r="Q889" s="53"/>
      <c r="R889" s="53"/>
      <c r="S889" s="171"/>
      <c r="T889" s="170"/>
      <c r="U889" s="53"/>
      <c r="V889" s="53"/>
      <c r="W889" s="53"/>
      <c r="X889" s="171"/>
      <c r="Y889" s="170"/>
      <c r="Z889" s="170"/>
      <c r="AA889" s="170"/>
      <c r="AB889" s="170"/>
      <c r="AC889" s="170"/>
      <c r="AD889" s="53"/>
      <c r="AE889" s="53"/>
    </row>
    <row r="890">
      <c r="A890" s="53"/>
      <c r="B890" s="53"/>
      <c r="C890" s="168"/>
      <c r="D890" s="169"/>
      <c r="E890" s="170"/>
      <c r="F890" s="53"/>
      <c r="G890" s="53"/>
      <c r="H890" s="53"/>
      <c r="I890" s="171"/>
      <c r="J890" s="170"/>
      <c r="K890" s="53"/>
      <c r="L890" s="53"/>
      <c r="M890" s="53"/>
      <c r="N890" s="171"/>
      <c r="O890" s="170"/>
      <c r="P890" s="53"/>
      <c r="Q890" s="53"/>
      <c r="R890" s="53"/>
      <c r="S890" s="171"/>
      <c r="T890" s="170"/>
      <c r="U890" s="53"/>
      <c r="V890" s="53"/>
      <c r="W890" s="53"/>
      <c r="X890" s="171"/>
      <c r="Y890" s="170"/>
      <c r="Z890" s="170"/>
      <c r="AA890" s="170"/>
      <c r="AB890" s="170"/>
      <c r="AC890" s="170"/>
      <c r="AD890" s="53"/>
      <c r="AE890" s="53"/>
    </row>
    <row r="891">
      <c r="A891" s="53"/>
      <c r="B891" s="53"/>
      <c r="C891" s="168"/>
      <c r="D891" s="169"/>
      <c r="E891" s="170"/>
      <c r="F891" s="53"/>
      <c r="G891" s="53"/>
      <c r="H891" s="53"/>
      <c r="I891" s="171"/>
      <c r="J891" s="170"/>
      <c r="K891" s="53"/>
      <c r="L891" s="53"/>
      <c r="M891" s="53"/>
      <c r="N891" s="171"/>
      <c r="O891" s="170"/>
      <c r="P891" s="53"/>
      <c r="Q891" s="53"/>
      <c r="R891" s="53"/>
      <c r="S891" s="171"/>
      <c r="T891" s="170"/>
      <c r="U891" s="53"/>
      <c r="V891" s="53"/>
      <c r="W891" s="53"/>
      <c r="X891" s="171"/>
      <c r="Y891" s="170"/>
      <c r="Z891" s="170"/>
      <c r="AA891" s="170"/>
      <c r="AB891" s="170"/>
      <c r="AC891" s="170"/>
      <c r="AD891" s="53"/>
      <c r="AE891" s="53"/>
    </row>
    <row r="892">
      <c r="A892" s="53"/>
      <c r="B892" s="53"/>
      <c r="C892" s="168"/>
      <c r="D892" s="169"/>
      <c r="E892" s="170"/>
      <c r="F892" s="53"/>
      <c r="G892" s="53"/>
      <c r="H892" s="53"/>
      <c r="I892" s="171"/>
      <c r="J892" s="170"/>
      <c r="K892" s="53"/>
      <c r="L892" s="53"/>
      <c r="M892" s="53"/>
      <c r="N892" s="171"/>
      <c r="O892" s="170"/>
      <c r="P892" s="53"/>
      <c r="Q892" s="53"/>
      <c r="R892" s="53"/>
      <c r="S892" s="171"/>
      <c r="T892" s="170"/>
      <c r="U892" s="53"/>
      <c r="V892" s="53"/>
      <c r="W892" s="53"/>
      <c r="X892" s="171"/>
      <c r="Y892" s="170"/>
      <c r="Z892" s="170"/>
      <c r="AA892" s="170"/>
      <c r="AB892" s="170"/>
      <c r="AC892" s="170"/>
      <c r="AD892" s="53"/>
      <c r="AE892" s="53"/>
    </row>
    <row r="893">
      <c r="A893" s="53"/>
      <c r="B893" s="53"/>
      <c r="C893" s="168"/>
      <c r="D893" s="169"/>
      <c r="E893" s="170"/>
      <c r="F893" s="53"/>
      <c r="G893" s="53"/>
      <c r="H893" s="53"/>
      <c r="I893" s="171"/>
      <c r="J893" s="170"/>
      <c r="K893" s="53"/>
      <c r="L893" s="53"/>
      <c r="M893" s="53"/>
      <c r="N893" s="171"/>
      <c r="O893" s="170"/>
      <c r="P893" s="53"/>
      <c r="Q893" s="53"/>
      <c r="R893" s="53"/>
      <c r="S893" s="171"/>
      <c r="T893" s="170"/>
      <c r="U893" s="53"/>
      <c r="V893" s="53"/>
      <c r="W893" s="53"/>
      <c r="X893" s="171"/>
      <c r="Y893" s="170"/>
      <c r="Z893" s="170"/>
      <c r="AA893" s="170"/>
      <c r="AB893" s="170"/>
      <c r="AC893" s="170"/>
      <c r="AD893" s="53"/>
      <c r="AE893" s="53"/>
    </row>
    <row r="894">
      <c r="A894" s="53"/>
      <c r="B894" s="53"/>
      <c r="C894" s="168"/>
      <c r="D894" s="169"/>
      <c r="E894" s="170"/>
      <c r="F894" s="53"/>
      <c r="G894" s="53"/>
      <c r="H894" s="53"/>
      <c r="I894" s="171"/>
      <c r="J894" s="170"/>
      <c r="K894" s="53"/>
      <c r="L894" s="53"/>
      <c r="M894" s="53"/>
      <c r="N894" s="171"/>
      <c r="O894" s="170"/>
      <c r="P894" s="53"/>
      <c r="Q894" s="53"/>
      <c r="R894" s="53"/>
      <c r="S894" s="171"/>
      <c r="T894" s="170"/>
      <c r="U894" s="53"/>
      <c r="V894" s="53"/>
      <c r="W894" s="53"/>
      <c r="X894" s="171"/>
      <c r="Y894" s="170"/>
      <c r="Z894" s="170"/>
      <c r="AA894" s="170"/>
      <c r="AB894" s="170"/>
      <c r="AC894" s="170"/>
      <c r="AD894" s="53"/>
      <c r="AE894" s="53"/>
    </row>
    <row r="895">
      <c r="A895" s="53"/>
      <c r="B895" s="53"/>
      <c r="C895" s="168"/>
      <c r="D895" s="169"/>
      <c r="E895" s="170"/>
      <c r="F895" s="53"/>
      <c r="G895" s="53"/>
      <c r="H895" s="53"/>
      <c r="I895" s="171"/>
      <c r="J895" s="170"/>
      <c r="K895" s="53"/>
      <c r="L895" s="53"/>
      <c r="M895" s="53"/>
      <c r="N895" s="171"/>
      <c r="O895" s="170"/>
      <c r="P895" s="53"/>
      <c r="Q895" s="53"/>
      <c r="R895" s="53"/>
      <c r="S895" s="171"/>
      <c r="T895" s="170"/>
      <c r="U895" s="53"/>
      <c r="V895" s="53"/>
      <c r="W895" s="53"/>
      <c r="X895" s="171"/>
      <c r="Y895" s="170"/>
      <c r="Z895" s="170"/>
      <c r="AA895" s="170"/>
      <c r="AB895" s="170"/>
      <c r="AC895" s="170"/>
      <c r="AD895" s="53"/>
      <c r="AE895" s="53"/>
    </row>
    <row r="896">
      <c r="A896" s="53"/>
      <c r="B896" s="53"/>
      <c r="C896" s="168"/>
      <c r="D896" s="169"/>
      <c r="E896" s="170"/>
      <c r="F896" s="53"/>
      <c r="G896" s="53"/>
      <c r="H896" s="53"/>
      <c r="I896" s="171"/>
      <c r="J896" s="170"/>
      <c r="K896" s="53"/>
      <c r="L896" s="53"/>
      <c r="M896" s="53"/>
      <c r="N896" s="171"/>
      <c r="O896" s="170"/>
      <c r="P896" s="53"/>
      <c r="Q896" s="53"/>
      <c r="R896" s="53"/>
      <c r="S896" s="171"/>
      <c r="T896" s="170"/>
      <c r="U896" s="53"/>
      <c r="V896" s="53"/>
      <c r="W896" s="53"/>
      <c r="X896" s="171"/>
      <c r="Y896" s="170"/>
      <c r="Z896" s="170"/>
      <c r="AA896" s="170"/>
      <c r="AB896" s="170"/>
      <c r="AC896" s="170"/>
      <c r="AD896" s="53"/>
      <c r="AE896" s="53"/>
    </row>
    <row r="897">
      <c r="A897" s="53"/>
      <c r="B897" s="53"/>
      <c r="C897" s="168"/>
      <c r="D897" s="169"/>
      <c r="E897" s="170"/>
      <c r="F897" s="53"/>
      <c r="G897" s="53"/>
      <c r="H897" s="53"/>
      <c r="I897" s="171"/>
      <c r="J897" s="170"/>
      <c r="K897" s="53"/>
      <c r="L897" s="53"/>
      <c r="M897" s="53"/>
      <c r="N897" s="171"/>
      <c r="O897" s="170"/>
      <c r="P897" s="53"/>
      <c r="Q897" s="53"/>
      <c r="R897" s="53"/>
      <c r="S897" s="171"/>
      <c r="T897" s="170"/>
      <c r="U897" s="53"/>
      <c r="V897" s="53"/>
      <c r="W897" s="53"/>
      <c r="X897" s="171"/>
      <c r="Y897" s="170"/>
      <c r="Z897" s="170"/>
      <c r="AA897" s="170"/>
      <c r="AB897" s="170"/>
      <c r="AC897" s="170"/>
      <c r="AD897" s="53"/>
      <c r="AE897" s="53"/>
    </row>
    <row r="898">
      <c r="A898" s="53"/>
      <c r="B898" s="53"/>
      <c r="C898" s="168"/>
      <c r="D898" s="169"/>
      <c r="E898" s="170"/>
      <c r="F898" s="53"/>
      <c r="G898" s="53"/>
      <c r="H898" s="53"/>
      <c r="I898" s="171"/>
      <c r="J898" s="170"/>
      <c r="K898" s="53"/>
      <c r="L898" s="53"/>
      <c r="M898" s="53"/>
      <c r="N898" s="171"/>
      <c r="O898" s="170"/>
      <c r="P898" s="53"/>
      <c r="Q898" s="53"/>
      <c r="R898" s="53"/>
      <c r="S898" s="171"/>
      <c r="T898" s="170"/>
      <c r="U898" s="53"/>
      <c r="V898" s="53"/>
      <c r="W898" s="53"/>
      <c r="X898" s="171"/>
      <c r="Y898" s="170"/>
      <c r="Z898" s="170"/>
      <c r="AA898" s="170"/>
      <c r="AB898" s="170"/>
      <c r="AC898" s="170"/>
      <c r="AD898" s="53"/>
      <c r="AE898" s="53"/>
    </row>
    <row r="899">
      <c r="A899" s="53"/>
      <c r="B899" s="53"/>
      <c r="C899" s="168"/>
      <c r="D899" s="169"/>
      <c r="E899" s="170"/>
      <c r="F899" s="53"/>
      <c r="G899" s="53"/>
      <c r="H899" s="53"/>
      <c r="I899" s="171"/>
      <c r="J899" s="170"/>
      <c r="K899" s="53"/>
      <c r="L899" s="53"/>
      <c r="M899" s="53"/>
      <c r="N899" s="171"/>
      <c r="O899" s="170"/>
      <c r="P899" s="53"/>
      <c r="Q899" s="53"/>
      <c r="R899" s="53"/>
      <c r="S899" s="171"/>
      <c r="T899" s="170"/>
      <c r="U899" s="53"/>
      <c r="V899" s="53"/>
      <c r="W899" s="53"/>
      <c r="X899" s="171"/>
      <c r="Y899" s="170"/>
      <c r="Z899" s="170"/>
      <c r="AA899" s="170"/>
      <c r="AB899" s="170"/>
      <c r="AC899" s="170"/>
      <c r="AD899" s="53"/>
      <c r="AE899" s="53"/>
    </row>
    <row r="900">
      <c r="A900" s="53"/>
      <c r="B900" s="53"/>
      <c r="C900" s="168"/>
      <c r="D900" s="169"/>
      <c r="E900" s="170"/>
      <c r="F900" s="53"/>
      <c r="G900" s="53"/>
      <c r="H900" s="53"/>
      <c r="I900" s="171"/>
      <c r="J900" s="170"/>
      <c r="K900" s="53"/>
      <c r="L900" s="53"/>
      <c r="M900" s="53"/>
      <c r="N900" s="171"/>
      <c r="O900" s="170"/>
      <c r="P900" s="53"/>
      <c r="Q900" s="53"/>
      <c r="R900" s="53"/>
      <c r="S900" s="171"/>
      <c r="T900" s="170"/>
      <c r="U900" s="53"/>
      <c r="V900" s="53"/>
      <c r="W900" s="53"/>
      <c r="X900" s="171"/>
      <c r="Y900" s="170"/>
      <c r="Z900" s="170"/>
      <c r="AA900" s="170"/>
      <c r="AB900" s="170"/>
      <c r="AC900" s="170"/>
      <c r="AD900" s="53"/>
      <c r="AE900" s="53"/>
    </row>
    <row r="901">
      <c r="A901" s="53"/>
      <c r="B901" s="53"/>
      <c r="C901" s="168"/>
      <c r="D901" s="169"/>
      <c r="E901" s="170"/>
      <c r="F901" s="53"/>
      <c r="G901" s="53"/>
      <c r="H901" s="53"/>
      <c r="I901" s="171"/>
      <c r="J901" s="170"/>
      <c r="K901" s="53"/>
      <c r="L901" s="53"/>
      <c r="M901" s="53"/>
      <c r="N901" s="171"/>
      <c r="O901" s="170"/>
      <c r="P901" s="53"/>
      <c r="Q901" s="53"/>
      <c r="R901" s="53"/>
      <c r="S901" s="171"/>
      <c r="T901" s="170"/>
      <c r="U901" s="53"/>
      <c r="V901" s="53"/>
      <c r="W901" s="53"/>
      <c r="X901" s="171"/>
      <c r="Y901" s="170"/>
      <c r="Z901" s="170"/>
      <c r="AA901" s="170"/>
      <c r="AB901" s="170"/>
      <c r="AC901" s="170"/>
      <c r="AD901" s="53"/>
      <c r="AE901" s="53"/>
    </row>
    <row r="902">
      <c r="A902" s="53"/>
      <c r="B902" s="53"/>
      <c r="C902" s="168"/>
      <c r="D902" s="169"/>
      <c r="E902" s="170"/>
      <c r="F902" s="53"/>
      <c r="G902" s="53"/>
      <c r="H902" s="53"/>
      <c r="I902" s="171"/>
      <c r="J902" s="170"/>
      <c r="K902" s="53"/>
      <c r="L902" s="53"/>
      <c r="M902" s="53"/>
      <c r="N902" s="171"/>
      <c r="O902" s="170"/>
      <c r="P902" s="53"/>
      <c r="Q902" s="53"/>
      <c r="R902" s="53"/>
      <c r="S902" s="171"/>
      <c r="T902" s="170"/>
      <c r="U902" s="53"/>
      <c r="V902" s="53"/>
      <c r="W902" s="53"/>
      <c r="X902" s="171"/>
      <c r="Y902" s="170"/>
      <c r="Z902" s="170"/>
      <c r="AA902" s="170"/>
      <c r="AB902" s="170"/>
      <c r="AC902" s="170"/>
      <c r="AD902" s="53"/>
      <c r="AE902" s="53"/>
    </row>
    <row r="903">
      <c r="A903" s="53"/>
      <c r="B903" s="53"/>
      <c r="C903" s="168"/>
      <c r="D903" s="169"/>
      <c r="E903" s="170"/>
      <c r="F903" s="53"/>
      <c r="G903" s="53"/>
      <c r="H903" s="53"/>
      <c r="I903" s="171"/>
      <c r="J903" s="170"/>
      <c r="K903" s="53"/>
      <c r="L903" s="53"/>
      <c r="M903" s="53"/>
      <c r="N903" s="171"/>
      <c r="O903" s="170"/>
      <c r="P903" s="53"/>
      <c r="Q903" s="53"/>
      <c r="R903" s="53"/>
      <c r="S903" s="171"/>
      <c r="T903" s="170"/>
      <c r="U903" s="53"/>
      <c r="V903" s="53"/>
      <c r="W903" s="53"/>
      <c r="X903" s="171"/>
      <c r="Y903" s="170"/>
      <c r="Z903" s="170"/>
      <c r="AA903" s="170"/>
      <c r="AB903" s="170"/>
      <c r="AC903" s="170"/>
      <c r="AD903" s="53"/>
      <c r="AE903" s="53"/>
    </row>
    <row r="904">
      <c r="A904" s="53"/>
      <c r="B904" s="53"/>
      <c r="C904" s="168"/>
      <c r="D904" s="169"/>
      <c r="E904" s="170"/>
      <c r="F904" s="53"/>
      <c r="G904" s="53"/>
      <c r="H904" s="53"/>
      <c r="I904" s="171"/>
      <c r="J904" s="170"/>
      <c r="K904" s="53"/>
      <c r="L904" s="53"/>
      <c r="M904" s="53"/>
      <c r="N904" s="171"/>
      <c r="O904" s="170"/>
      <c r="P904" s="53"/>
      <c r="Q904" s="53"/>
      <c r="R904" s="53"/>
      <c r="S904" s="171"/>
      <c r="T904" s="170"/>
      <c r="U904" s="53"/>
      <c r="V904" s="53"/>
      <c r="W904" s="53"/>
      <c r="X904" s="171"/>
      <c r="Y904" s="170"/>
      <c r="Z904" s="170"/>
      <c r="AA904" s="170"/>
      <c r="AB904" s="170"/>
      <c r="AC904" s="170"/>
      <c r="AD904" s="53"/>
      <c r="AE904" s="53"/>
    </row>
    <row r="905">
      <c r="A905" s="53"/>
      <c r="B905" s="53"/>
      <c r="C905" s="168"/>
      <c r="D905" s="169"/>
      <c r="E905" s="170"/>
      <c r="F905" s="53"/>
      <c r="G905" s="53"/>
      <c r="H905" s="53"/>
      <c r="I905" s="171"/>
      <c r="J905" s="170"/>
      <c r="K905" s="53"/>
      <c r="L905" s="53"/>
      <c r="M905" s="53"/>
      <c r="N905" s="171"/>
      <c r="O905" s="170"/>
      <c r="P905" s="53"/>
      <c r="Q905" s="53"/>
      <c r="R905" s="53"/>
      <c r="S905" s="171"/>
      <c r="T905" s="170"/>
      <c r="U905" s="53"/>
      <c r="V905" s="53"/>
      <c r="W905" s="53"/>
      <c r="X905" s="171"/>
      <c r="Y905" s="170"/>
      <c r="Z905" s="170"/>
      <c r="AA905" s="170"/>
      <c r="AB905" s="170"/>
      <c r="AC905" s="170"/>
      <c r="AD905" s="53"/>
      <c r="AE905" s="53"/>
    </row>
    <row r="906">
      <c r="A906" s="53"/>
      <c r="B906" s="53"/>
      <c r="C906" s="168"/>
      <c r="D906" s="169"/>
      <c r="E906" s="170"/>
      <c r="F906" s="53"/>
      <c r="G906" s="53"/>
      <c r="H906" s="53"/>
      <c r="I906" s="171"/>
      <c r="J906" s="170"/>
      <c r="K906" s="53"/>
      <c r="L906" s="53"/>
      <c r="M906" s="53"/>
      <c r="N906" s="171"/>
      <c r="O906" s="170"/>
      <c r="P906" s="53"/>
      <c r="Q906" s="53"/>
      <c r="R906" s="53"/>
      <c r="S906" s="171"/>
      <c r="T906" s="170"/>
      <c r="U906" s="53"/>
      <c r="V906" s="53"/>
      <c r="W906" s="53"/>
      <c r="X906" s="171"/>
      <c r="Y906" s="170"/>
      <c r="Z906" s="170"/>
      <c r="AA906" s="170"/>
      <c r="AB906" s="170"/>
      <c r="AC906" s="170"/>
      <c r="AD906" s="53"/>
      <c r="AE906" s="53"/>
    </row>
    <row r="907">
      <c r="A907" s="53"/>
      <c r="B907" s="53"/>
      <c r="C907" s="168"/>
      <c r="D907" s="169"/>
      <c r="E907" s="170"/>
      <c r="F907" s="53"/>
      <c r="G907" s="53"/>
      <c r="H907" s="53"/>
      <c r="I907" s="171"/>
      <c r="J907" s="170"/>
      <c r="K907" s="53"/>
      <c r="L907" s="53"/>
      <c r="M907" s="53"/>
      <c r="N907" s="171"/>
      <c r="O907" s="170"/>
      <c r="P907" s="53"/>
      <c r="Q907" s="53"/>
      <c r="R907" s="53"/>
      <c r="S907" s="171"/>
      <c r="T907" s="170"/>
      <c r="U907" s="53"/>
      <c r="V907" s="53"/>
      <c r="W907" s="53"/>
      <c r="X907" s="171"/>
      <c r="Y907" s="170"/>
      <c r="Z907" s="170"/>
      <c r="AA907" s="170"/>
      <c r="AB907" s="170"/>
      <c r="AC907" s="170"/>
      <c r="AD907" s="53"/>
      <c r="AE907" s="53"/>
    </row>
    <row r="908">
      <c r="A908" s="53"/>
      <c r="B908" s="53"/>
      <c r="C908" s="168"/>
      <c r="D908" s="169"/>
      <c r="E908" s="170"/>
      <c r="F908" s="53"/>
      <c r="G908" s="53"/>
      <c r="H908" s="53"/>
      <c r="I908" s="171"/>
      <c r="J908" s="170"/>
      <c r="K908" s="53"/>
      <c r="L908" s="53"/>
      <c r="M908" s="53"/>
      <c r="N908" s="171"/>
      <c r="O908" s="170"/>
      <c r="P908" s="53"/>
      <c r="Q908" s="53"/>
      <c r="R908" s="53"/>
      <c r="S908" s="171"/>
      <c r="T908" s="170"/>
      <c r="U908" s="53"/>
      <c r="V908" s="53"/>
      <c r="W908" s="53"/>
      <c r="X908" s="171"/>
      <c r="Y908" s="170"/>
      <c r="Z908" s="170"/>
      <c r="AA908" s="170"/>
      <c r="AB908" s="170"/>
      <c r="AC908" s="170"/>
      <c r="AD908" s="53"/>
      <c r="AE908" s="53"/>
    </row>
    <row r="909">
      <c r="A909" s="53"/>
      <c r="B909" s="53"/>
      <c r="C909" s="168"/>
      <c r="D909" s="169"/>
      <c r="E909" s="170"/>
      <c r="F909" s="53"/>
      <c r="G909" s="53"/>
      <c r="H909" s="53"/>
      <c r="I909" s="171"/>
      <c r="J909" s="170"/>
      <c r="K909" s="53"/>
      <c r="L909" s="53"/>
      <c r="M909" s="53"/>
      <c r="N909" s="171"/>
      <c r="O909" s="170"/>
      <c r="P909" s="53"/>
      <c r="Q909" s="53"/>
      <c r="R909" s="53"/>
      <c r="S909" s="171"/>
      <c r="T909" s="170"/>
      <c r="U909" s="53"/>
      <c r="V909" s="53"/>
      <c r="W909" s="53"/>
      <c r="X909" s="171"/>
      <c r="Y909" s="170"/>
      <c r="Z909" s="170"/>
      <c r="AA909" s="170"/>
      <c r="AB909" s="170"/>
      <c r="AC909" s="170"/>
      <c r="AD909" s="53"/>
      <c r="AE909" s="53"/>
    </row>
    <row r="910">
      <c r="A910" s="53"/>
      <c r="B910" s="53"/>
      <c r="C910" s="168"/>
      <c r="D910" s="169"/>
      <c r="E910" s="170"/>
      <c r="F910" s="53"/>
      <c r="G910" s="53"/>
      <c r="H910" s="53"/>
      <c r="I910" s="171"/>
      <c r="J910" s="170"/>
      <c r="K910" s="53"/>
      <c r="L910" s="53"/>
      <c r="M910" s="53"/>
      <c r="N910" s="171"/>
      <c r="O910" s="170"/>
      <c r="P910" s="53"/>
      <c r="Q910" s="53"/>
      <c r="R910" s="53"/>
      <c r="S910" s="171"/>
      <c r="T910" s="170"/>
      <c r="U910" s="53"/>
      <c r="V910" s="53"/>
      <c r="W910" s="53"/>
      <c r="X910" s="171"/>
      <c r="Y910" s="170"/>
      <c r="Z910" s="170"/>
      <c r="AA910" s="170"/>
      <c r="AB910" s="170"/>
      <c r="AC910" s="170"/>
      <c r="AD910" s="53"/>
      <c r="AE910" s="53"/>
    </row>
    <row r="911">
      <c r="A911" s="53"/>
      <c r="B911" s="53"/>
      <c r="C911" s="168"/>
      <c r="D911" s="169"/>
      <c r="E911" s="170"/>
      <c r="F911" s="53"/>
      <c r="G911" s="53"/>
      <c r="H911" s="53"/>
      <c r="I911" s="171"/>
      <c r="J911" s="170"/>
      <c r="K911" s="53"/>
      <c r="L911" s="53"/>
      <c r="M911" s="53"/>
      <c r="N911" s="171"/>
      <c r="O911" s="170"/>
      <c r="P911" s="53"/>
      <c r="Q911" s="53"/>
      <c r="R911" s="53"/>
      <c r="S911" s="171"/>
      <c r="T911" s="170"/>
      <c r="U911" s="53"/>
      <c r="V911" s="53"/>
      <c r="W911" s="53"/>
      <c r="X911" s="171"/>
      <c r="Y911" s="170"/>
      <c r="Z911" s="170"/>
      <c r="AA911" s="170"/>
      <c r="AB911" s="170"/>
      <c r="AC911" s="170"/>
      <c r="AD911" s="53"/>
      <c r="AE911" s="53"/>
    </row>
    <row r="912">
      <c r="A912" s="53"/>
      <c r="B912" s="53"/>
      <c r="C912" s="168"/>
      <c r="D912" s="169"/>
      <c r="E912" s="170"/>
      <c r="F912" s="53"/>
      <c r="G912" s="53"/>
      <c r="H912" s="53"/>
      <c r="I912" s="171"/>
      <c r="J912" s="170"/>
      <c r="K912" s="53"/>
      <c r="L912" s="53"/>
      <c r="M912" s="53"/>
      <c r="N912" s="171"/>
      <c r="O912" s="170"/>
      <c r="P912" s="53"/>
      <c r="Q912" s="53"/>
      <c r="R912" s="53"/>
      <c r="S912" s="171"/>
      <c r="T912" s="170"/>
      <c r="U912" s="53"/>
      <c r="V912" s="53"/>
      <c r="W912" s="53"/>
      <c r="X912" s="171"/>
      <c r="Y912" s="170"/>
      <c r="Z912" s="170"/>
      <c r="AA912" s="170"/>
      <c r="AB912" s="170"/>
      <c r="AC912" s="170"/>
      <c r="AD912" s="53"/>
      <c r="AE912" s="53"/>
    </row>
    <row r="913">
      <c r="A913" s="53"/>
      <c r="B913" s="53"/>
      <c r="C913" s="168"/>
      <c r="D913" s="169"/>
      <c r="E913" s="170"/>
      <c r="F913" s="53"/>
      <c r="G913" s="53"/>
      <c r="H913" s="53"/>
      <c r="I913" s="171"/>
      <c r="J913" s="170"/>
      <c r="K913" s="53"/>
      <c r="L913" s="53"/>
      <c r="M913" s="53"/>
      <c r="N913" s="171"/>
      <c r="O913" s="170"/>
      <c r="P913" s="53"/>
      <c r="Q913" s="53"/>
      <c r="R913" s="53"/>
      <c r="S913" s="171"/>
      <c r="T913" s="170"/>
      <c r="U913" s="53"/>
      <c r="V913" s="53"/>
      <c r="W913" s="53"/>
      <c r="X913" s="171"/>
      <c r="Y913" s="170"/>
      <c r="Z913" s="170"/>
      <c r="AA913" s="170"/>
      <c r="AB913" s="170"/>
      <c r="AC913" s="170"/>
      <c r="AD913" s="53"/>
      <c r="AE913" s="53"/>
    </row>
    <row r="914">
      <c r="A914" s="53"/>
      <c r="B914" s="53"/>
      <c r="C914" s="168"/>
      <c r="D914" s="169"/>
      <c r="E914" s="170"/>
      <c r="F914" s="53"/>
      <c r="G914" s="53"/>
      <c r="H914" s="53"/>
      <c r="I914" s="171"/>
      <c r="J914" s="170"/>
      <c r="K914" s="53"/>
      <c r="L914" s="53"/>
      <c r="M914" s="53"/>
      <c r="N914" s="171"/>
      <c r="O914" s="170"/>
      <c r="P914" s="53"/>
      <c r="Q914" s="53"/>
      <c r="R914" s="53"/>
      <c r="S914" s="171"/>
      <c r="T914" s="170"/>
      <c r="U914" s="53"/>
      <c r="V914" s="53"/>
      <c r="W914" s="53"/>
      <c r="X914" s="171"/>
      <c r="Y914" s="170"/>
      <c r="Z914" s="170"/>
      <c r="AA914" s="170"/>
      <c r="AB914" s="170"/>
      <c r="AC914" s="170"/>
      <c r="AD914" s="53"/>
      <c r="AE914" s="53"/>
    </row>
    <row r="915">
      <c r="A915" s="53"/>
      <c r="B915" s="53"/>
      <c r="C915" s="168"/>
      <c r="D915" s="169"/>
      <c r="E915" s="170"/>
      <c r="F915" s="53"/>
      <c r="G915" s="53"/>
      <c r="H915" s="53"/>
      <c r="I915" s="171"/>
      <c r="J915" s="170"/>
      <c r="K915" s="53"/>
      <c r="L915" s="53"/>
      <c r="M915" s="53"/>
      <c r="N915" s="171"/>
      <c r="O915" s="170"/>
      <c r="P915" s="53"/>
      <c r="Q915" s="53"/>
      <c r="R915" s="53"/>
      <c r="S915" s="171"/>
      <c r="T915" s="170"/>
      <c r="U915" s="53"/>
      <c r="V915" s="53"/>
      <c r="W915" s="53"/>
      <c r="X915" s="171"/>
      <c r="Y915" s="170"/>
      <c r="Z915" s="170"/>
      <c r="AA915" s="170"/>
      <c r="AB915" s="170"/>
      <c r="AC915" s="170"/>
      <c r="AD915" s="53"/>
      <c r="AE915" s="53"/>
    </row>
    <row r="916">
      <c r="A916" s="53"/>
      <c r="B916" s="53"/>
      <c r="C916" s="168"/>
      <c r="D916" s="169"/>
      <c r="E916" s="170"/>
      <c r="F916" s="53"/>
      <c r="G916" s="53"/>
      <c r="H916" s="53"/>
      <c r="I916" s="171"/>
      <c r="J916" s="170"/>
      <c r="K916" s="53"/>
      <c r="L916" s="53"/>
      <c r="M916" s="53"/>
      <c r="N916" s="171"/>
      <c r="O916" s="170"/>
      <c r="P916" s="53"/>
      <c r="Q916" s="53"/>
      <c r="R916" s="53"/>
      <c r="S916" s="171"/>
      <c r="T916" s="170"/>
      <c r="U916" s="53"/>
      <c r="V916" s="53"/>
      <c r="W916" s="53"/>
      <c r="X916" s="171"/>
      <c r="Y916" s="170"/>
      <c r="Z916" s="170"/>
      <c r="AA916" s="170"/>
      <c r="AB916" s="170"/>
      <c r="AC916" s="170"/>
      <c r="AD916" s="53"/>
      <c r="AE916" s="53"/>
    </row>
    <row r="917">
      <c r="A917" s="53"/>
      <c r="B917" s="53"/>
      <c r="C917" s="168"/>
      <c r="D917" s="169"/>
      <c r="E917" s="170"/>
      <c r="F917" s="53"/>
      <c r="G917" s="53"/>
      <c r="H917" s="53"/>
      <c r="I917" s="171"/>
      <c r="J917" s="170"/>
      <c r="K917" s="53"/>
      <c r="L917" s="53"/>
      <c r="M917" s="53"/>
      <c r="N917" s="171"/>
      <c r="O917" s="170"/>
      <c r="P917" s="53"/>
      <c r="Q917" s="53"/>
      <c r="R917" s="53"/>
      <c r="S917" s="171"/>
      <c r="T917" s="170"/>
      <c r="U917" s="53"/>
      <c r="V917" s="53"/>
      <c r="W917" s="53"/>
      <c r="X917" s="171"/>
      <c r="Y917" s="170"/>
      <c r="Z917" s="170"/>
      <c r="AA917" s="170"/>
      <c r="AB917" s="170"/>
      <c r="AC917" s="170"/>
      <c r="AD917" s="53"/>
      <c r="AE917" s="53"/>
    </row>
    <row r="918">
      <c r="A918" s="53"/>
      <c r="B918" s="53"/>
      <c r="C918" s="168"/>
      <c r="D918" s="169"/>
      <c r="E918" s="170"/>
      <c r="F918" s="53"/>
      <c r="G918" s="53"/>
      <c r="H918" s="53"/>
      <c r="I918" s="171"/>
      <c r="J918" s="170"/>
      <c r="K918" s="53"/>
      <c r="L918" s="53"/>
      <c r="M918" s="53"/>
      <c r="N918" s="171"/>
      <c r="O918" s="170"/>
      <c r="P918" s="53"/>
      <c r="Q918" s="53"/>
      <c r="R918" s="53"/>
      <c r="S918" s="171"/>
      <c r="T918" s="170"/>
      <c r="U918" s="53"/>
      <c r="V918" s="53"/>
      <c r="W918" s="53"/>
      <c r="X918" s="171"/>
      <c r="Y918" s="170"/>
      <c r="Z918" s="170"/>
      <c r="AA918" s="170"/>
      <c r="AB918" s="170"/>
      <c r="AC918" s="170"/>
      <c r="AD918" s="53"/>
      <c r="AE918" s="53"/>
    </row>
    <row r="919">
      <c r="A919" s="53"/>
      <c r="B919" s="53"/>
      <c r="C919" s="168"/>
      <c r="D919" s="169"/>
      <c r="E919" s="170"/>
      <c r="F919" s="53"/>
      <c r="G919" s="53"/>
      <c r="H919" s="53"/>
      <c r="I919" s="171"/>
      <c r="J919" s="170"/>
      <c r="K919" s="53"/>
      <c r="L919" s="53"/>
      <c r="M919" s="53"/>
      <c r="N919" s="171"/>
      <c r="O919" s="170"/>
      <c r="P919" s="53"/>
      <c r="Q919" s="53"/>
      <c r="R919" s="53"/>
      <c r="S919" s="171"/>
      <c r="T919" s="170"/>
      <c r="U919" s="53"/>
      <c r="V919" s="53"/>
      <c r="W919" s="53"/>
      <c r="X919" s="171"/>
      <c r="Y919" s="170"/>
      <c r="Z919" s="170"/>
      <c r="AA919" s="170"/>
      <c r="AB919" s="170"/>
      <c r="AC919" s="170"/>
      <c r="AD919" s="53"/>
      <c r="AE919" s="53"/>
    </row>
    <row r="920">
      <c r="A920" s="53"/>
      <c r="B920" s="53"/>
      <c r="C920" s="168"/>
      <c r="D920" s="169"/>
      <c r="E920" s="170"/>
      <c r="F920" s="53"/>
      <c r="G920" s="53"/>
      <c r="H920" s="53"/>
      <c r="I920" s="171"/>
      <c r="J920" s="170"/>
      <c r="K920" s="53"/>
      <c r="L920" s="53"/>
      <c r="M920" s="53"/>
      <c r="N920" s="171"/>
      <c r="O920" s="170"/>
      <c r="P920" s="53"/>
      <c r="Q920" s="53"/>
      <c r="R920" s="53"/>
      <c r="S920" s="171"/>
      <c r="T920" s="170"/>
      <c r="U920" s="53"/>
      <c r="V920" s="53"/>
      <c r="W920" s="53"/>
      <c r="X920" s="171"/>
      <c r="Y920" s="170"/>
      <c r="Z920" s="170"/>
      <c r="AA920" s="170"/>
      <c r="AB920" s="170"/>
      <c r="AC920" s="170"/>
      <c r="AD920" s="53"/>
      <c r="AE920" s="53"/>
    </row>
    <row r="921">
      <c r="A921" s="53"/>
      <c r="B921" s="53"/>
      <c r="C921" s="168"/>
      <c r="D921" s="169"/>
      <c r="E921" s="170"/>
      <c r="F921" s="53"/>
      <c r="G921" s="53"/>
      <c r="H921" s="53"/>
      <c r="I921" s="171"/>
      <c r="J921" s="170"/>
      <c r="K921" s="53"/>
      <c r="L921" s="53"/>
      <c r="M921" s="53"/>
      <c r="N921" s="171"/>
      <c r="O921" s="170"/>
      <c r="P921" s="53"/>
      <c r="Q921" s="53"/>
      <c r="R921" s="53"/>
      <c r="S921" s="171"/>
      <c r="T921" s="170"/>
      <c r="U921" s="53"/>
      <c r="V921" s="53"/>
      <c r="W921" s="53"/>
      <c r="X921" s="171"/>
      <c r="Y921" s="170"/>
      <c r="Z921" s="170"/>
      <c r="AA921" s="170"/>
      <c r="AB921" s="170"/>
      <c r="AC921" s="170"/>
      <c r="AD921" s="53"/>
      <c r="AE921" s="53"/>
    </row>
    <row r="922">
      <c r="A922" s="53"/>
      <c r="B922" s="53"/>
      <c r="C922" s="168"/>
      <c r="D922" s="169"/>
      <c r="E922" s="170"/>
      <c r="F922" s="53"/>
      <c r="G922" s="53"/>
      <c r="H922" s="53"/>
      <c r="I922" s="171"/>
      <c r="J922" s="170"/>
      <c r="K922" s="53"/>
      <c r="L922" s="53"/>
      <c r="M922" s="53"/>
      <c r="N922" s="171"/>
      <c r="O922" s="170"/>
      <c r="P922" s="53"/>
      <c r="Q922" s="53"/>
      <c r="R922" s="53"/>
      <c r="S922" s="171"/>
      <c r="T922" s="170"/>
      <c r="U922" s="53"/>
      <c r="V922" s="53"/>
      <c r="W922" s="53"/>
      <c r="X922" s="171"/>
      <c r="Y922" s="170"/>
      <c r="Z922" s="170"/>
      <c r="AA922" s="170"/>
      <c r="AB922" s="170"/>
      <c r="AC922" s="170"/>
      <c r="AD922" s="53"/>
      <c r="AE922" s="53"/>
    </row>
    <row r="923">
      <c r="A923" s="53"/>
      <c r="B923" s="53"/>
      <c r="C923" s="168"/>
      <c r="D923" s="169"/>
      <c r="E923" s="170"/>
      <c r="F923" s="53"/>
      <c r="G923" s="53"/>
      <c r="H923" s="53"/>
      <c r="I923" s="171"/>
      <c r="J923" s="170"/>
      <c r="K923" s="53"/>
      <c r="L923" s="53"/>
      <c r="M923" s="53"/>
      <c r="N923" s="171"/>
      <c r="O923" s="170"/>
      <c r="P923" s="53"/>
      <c r="Q923" s="53"/>
      <c r="R923" s="53"/>
      <c r="S923" s="171"/>
      <c r="T923" s="170"/>
      <c r="U923" s="53"/>
      <c r="V923" s="53"/>
      <c r="W923" s="53"/>
      <c r="X923" s="171"/>
      <c r="Y923" s="170"/>
      <c r="Z923" s="170"/>
      <c r="AA923" s="170"/>
      <c r="AB923" s="170"/>
      <c r="AC923" s="170"/>
      <c r="AD923" s="53"/>
      <c r="AE923" s="53"/>
    </row>
    <row r="924">
      <c r="A924" s="53"/>
      <c r="B924" s="53"/>
      <c r="C924" s="168"/>
      <c r="D924" s="169"/>
      <c r="E924" s="170"/>
      <c r="F924" s="53"/>
      <c r="G924" s="53"/>
      <c r="H924" s="53"/>
      <c r="I924" s="171"/>
      <c r="J924" s="170"/>
      <c r="K924" s="53"/>
      <c r="L924" s="53"/>
      <c r="M924" s="53"/>
      <c r="N924" s="171"/>
      <c r="O924" s="170"/>
      <c r="P924" s="53"/>
      <c r="Q924" s="53"/>
      <c r="R924" s="53"/>
      <c r="S924" s="171"/>
      <c r="T924" s="170"/>
      <c r="U924" s="53"/>
      <c r="V924" s="53"/>
      <c r="W924" s="53"/>
      <c r="X924" s="171"/>
      <c r="Y924" s="170"/>
      <c r="Z924" s="170"/>
      <c r="AA924" s="170"/>
      <c r="AB924" s="170"/>
      <c r="AC924" s="170"/>
      <c r="AD924" s="53"/>
      <c r="AE924" s="53"/>
    </row>
    <row r="925">
      <c r="A925" s="53"/>
      <c r="B925" s="53"/>
      <c r="C925" s="168"/>
      <c r="D925" s="169"/>
      <c r="E925" s="170"/>
      <c r="F925" s="53"/>
      <c r="G925" s="53"/>
      <c r="H925" s="53"/>
      <c r="I925" s="171"/>
      <c r="J925" s="170"/>
      <c r="K925" s="53"/>
      <c r="L925" s="53"/>
      <c r="M925" s="53"/>
      <c r="N925" s="171"/>
      <c r="O925" s="170"/>
      <c r="P925" s="53"/>
      <c r="Q925" s="53"/>
      <c r="R925" s="53"/>
      <c r="S925" s="171"/>
      <c r="T925" s="170"/>
      <c r="U925" s="53"/>
      <c r="V925" s="53"/>
      <c r="W925" s="53"/>
      <c r="X925" s="171"/>
      <c r="Y925" s="170"/>
      <c r="Z925" s="170"/>
      <c r="AA925" s="170"/>
      <c r="AB925" s="170"/>
      <c r="AC925" s="170"/>
      <c r="AD925" s="53"/>
      <c r="AE925" s="53"/>
    </row>
    <row r="926">
      <c r="A926" s="53"/>
      <c r="B926" s="53"/>
      <c r="C926" s="168"/>
      <c r="D926" s="169"/>
      <c r="E926" s="170"/>
      <c r="F926" s="53"/>
      <c r="G926" s="53"/>
      <c r="H926" s="53"/>
      <c r="I926" s="171"/>
      <c r="J926" s="170"/>
      <c r="K926" s="53"/>
      <c r="L926" s="53"/>
      <c r="M926" s="53"/>
      <c r="N926" s="171"/>
      <c r="O926" s="170"/>
      <c r="P926" s="53"/>
      <c r="Q926" s="53"/>
      <c r="R926" s="53"/>
      <c r="S926" s="171"/>
      <c r="T926" s="170"/>
      <c r="U926" s="53"/>
      <c r="V926" s="53"/>
      <c r="W926" s="53"/>
      <c r="X926" s="171"/>
      <c r="Y926" s="170"/>
      <c r="Z926" s="170"/>
      <c r="AA926" s="170"/>
      <c r="AB926" s="170"/>
      <c r="AC926" s="170"/>
      <c r="AD926" s="53"/>
      <c r="AE926" s="53"/>
    </row>
    <row r="927">
      <c r="A927" s="53"/>
      <c r="B927" s="53"/>
      <c r="C927" s="168"/>
      <c r="D927" s="169"/>
      <c r="E927" s="170"/>
      <c r="F927" s="53"/>
      <c r="G927" s="53"/>
      <c r="H927" s="53"/>
      <c r="I927" s="171"/>
      <c r="J927" s="170"/>
      <c r="K927" s="53"/>
      <c r="L927" s="53"/>
      <c r="M927" s="53"/>
      <c r="N927" s="171"/>
      <c r="O927" s="170"/>
      <c r="P927" s="53"/>
      <c r="Q927" s="53"/>
      <c r="R927" s="53"/>
      <c r="S927" s="171"/>
      <c r="T927" s="170"/>
      <c r="U927" s="53"/>
      <c r="V927" s="53"/>
      <c r="W927" s="53"/>
      <c r="X927" s="171"/>
      <c r="Y927" s="170"/>
      <c r="Z927" s="170"/>
      <c r="AA927" s="170"/>
      <c r="AB927" s="170"/>
      <c r="AC927" s="170"/>
      <c r="AD927" s="53"/>
      <c r="AE927" s="53"/>
    </row>
    <row r="928">
      <c r="A928" s="53"/>
      <c r="B928" s="53"/>
      <c r="C928" s="168"/>
      <c r="D928" s="169"/>
      <c r="E928" s="170"/>
      <c r="F928" s="53"/>
      <c r="G928" s="53"/>
      <c r="H928" s="53"/>
      <c r="I928" s="171"/>
      <c r="J928" s="170"/>
      <c r="K928" s="53"/>
      <c r="L928" s="53"/>
      <c r="M928" s="53"/>
      <c r="N928" s="171"/>
      <c r="O928" s="170"/>
      <c r="P928" s="53"/>
      <c r="Q928" s="53"/>
      <c r="R928" s="53"/>
      <c r="S928" s="171"/>
      <c r="T928" s="170"/>
      <c r="U928" s="53"/>
      <c r="V928" s="53"/>
      <c r="W928" s="53"/>
      <c r="X928" s="171"/>
      <c r="Y928" s="170"/>
      <c r="Z928" s="170"/>
      <c r="AA928" s="170"/>
      <c r="AB928" s="170"/>
      <c r="AC928" s="170"/>
      <c r="AD928" s="53"/>
      <c r="AE928" s="53"/>
    </row>
    <row r="929">
      <c r="A929" s="53"/>
      <c r="B929" s="53"/>
      <c r="C929" s="168"/>
      <c r="D929" s="169"/>
      <c r="E929" s="170"/>
      <c r="F929" s="53"/>
      <c r="G929" s="53"/>
      <c r="H929" s="53"/>
      <c r="I929" s="171"/>
      <c r="J929" s="170"/>
      <c r="K929" s="53"/>
      <c r="L929" s="53"/>
      <c r="M929" s="53"/>
      <c r="N929" s="171"/>
      <c r="O929" s="170"/>
      <c r="P929" s="53"/>
      <c r="Q929" s="53"/>
      <c r="R929" s="53"/>
      <c r="S929" s="171"/>
      <c r="T929" s="170"/>
      <c r="U929" s="53"/>
      <c r="V929" s="53"/>
      <c r="W929" s="53"/>
      <c r="X929" s="171"/>
      <c r="Y929" s="170"/>
      <c r="Z929" s="170"/>
      <c r="AA929" s="170"/>
      <c r="AB929" s="170"/>
      <c r="AC929" s="170"/>
      <c r="AD929" s="53"/>
      <c r="AE929" s="53"/>
    </row>
    <row r="930">
      <c r="A930" s="53"/>
      <c r="B930" s="53"/>
      <c r="C930" s="168"/>
      <c r="D930" s="169"/>
      <c r="E930" s="170"/>
      <c r="F930" s="53"/>
      <c r="G930" s="53"/>
      <c r="H930" s="53"/>
      <c r="I930" s="171"/>
      <c r="J930" s="170"/>
      <c r="K930" s="53"/>
      <c r="L930" s="53"/>
      <c r="M930" s="53"/>
      <c r="N930" s="171"/>
      <c r="O930" s="170"/>
      <c r="P930" s="53"/>
      <c r="Q930" s="53"/>
      <c r="R930" s="53"/>
      <c r="S930" s="171"/>
      <c r="T930" s="170"/>
      <c r="U930" s="53"/>
      <c r="V930" s="53"/>
      <c r="W930" s="53"/>
      <c r="X930" s="171"/>
      <c r="Y930" s="170"/>
      <c r="Z930" s="170"/>
      <c r="AA930" s="170"/>
      <c r="AB930" s="170"/>
      <c r="AC930" s="170"/>
      <c r="AD930" s="53"/>
      <c r="AE930" s="53"/>
    </row>
    <row r="931">
      <c r="A931" s="53"/>
      <c r="B931" s="53"/>
      <c r="C931" s="168"/>
      <c r="D931" s="169"/>
      <c r="E931" s="170"/>
      <c r="F931" s="53"/>
      <c r="G931" s="53"/>
      <c r="H931" s="53"/>
      <c r="I931" s="171"/>
      <c r="J931" s="170"/>
      <c r="K931" s="53"/>
      <c r="L931" s="53"/>
      <c r="M931" s="53"/>
      <c r="N931" s="171"/>
      <c r="O931" s="170"/>
      <c r="P931" s="53"/>
      <c r="Q931" s="53"/>
      <c r="R931" s="53"/>
      <c r="S931" s="171"/>
      <c r="T931" s="170"/>
      <c r="U931" s="53"/>
      <c r="V931" s="53"/>
      <c r="W931" s="53"/>
      <c r="X931" s="171"/>
      <c r="Y931" s="170"/>
      <c r="Z931" s="170"/>
      <c r="AA931" s="170"/>
      <c r="AB931" s="170"/>
      <c r="AC931" s="170"/>
      <c r="AD931" s="53"/>
      <c r="AE931" s="53"/>
    </row>
    <row r="932">
      <c r="A932" s="53"/>
      <c r="B932" s="53"/>
      <c r="C932" s="168"/>
      <c r="D932" s="169"/>
      <c r="E932" s="170"/>
      <c r="F932" s="53"/>
      <c r="G932" s="53"/>
      <c r="H932" s="53"/>
      <c r="I932" s="171"/>
      <c r="J932" s="170"/>
      <c r="K932" s="53"/>
      <c r="L932" s="53"/>
      <c r="M932" s="53"/>
      <c r="N932" s="171"/>
      <c r="O932" s="170"/>
      <c r="P932" s="53"/>
      <c r="Q932" s="53"/>
      <c r="R932" s="53"/>
      <c r="S932" s="171"/>
      <c r="T932" s="170"/>
      <c r="U932" s="53"/>
      <c r="V932" s="53"/>
      <c r="W932" s="53"/>
      <c r="X932" s="171"/>
      <c r="Y932" s="170"/>
      <c r="Z932" s="170"/>
      <c r="AA932" s="170"/>
      <c r="AB932" s="170"/>
      <c r="AC932" s="170"/>
      <c r="AD932" s="53"/>
      <c r="AE932" s="53"/>
    </row>
    <row r="933">
      <c r="A933" s="53"/>
      <c r="B933" s="53"/>
      <c r="C933" s="168"/>
      <c r="D933" s="169"/>
      <c r="E933" s="170"/>
      <c r="F933" s="53"/>
      <c r="G933" s="53"/>
      <c r="H933" s="53"/>
      <c r="I933" s="171"/>
      <c r="J933" s="170"/>
      <c r="K933" s="53"/>
      <c r="L933" s="53"/>
      <c r="M933" s="53"/>
      <c r="N933" s="171"/>
      <c r="O933" s="170"/>
      <c r="P933" s="53"/>
      <c r="Q933" s="53"/>
      <c r="R933" s="53"/>
      <c r="S933" s="171"/>
      <c r="T933" s="170"/>
      <c r="U933" s="53"/>
      <c r="V933" s="53"/>
      <c r="W933" s="53"/>
      <c r="X933" s="171"/>
      <c r="Y933" s="170"/>
      <c r="Z933" s="170"/>
      <c r="AA933" s="170"/>
      <c r="AB933" s="170"/>
      <c r="AC933" s="170"/>
      <c r="AD933" s="53"/>
      <c r="AE933" s="53"/>
    </row>
    <row r="934">
      <c r="A934" s="53"/>
      <c r="B934" s="53"/>
      <c r="C934" s="168"/>
      <c r="D934" s="169"/>
      <c r="E934" s="170"/>
      <c r="F934" s="53"/>
      <c r="G934" s="53"/>
      <c r="H934" s="53"/>
      <c r="I934" s="171"/>
      <c r="J934" s="170"/>
      <c r="K934" s="53"/>
      <c r="L934" s="53"/>
      <c r="M934" s="53"/>
      <c r="N934" s="171"/>
      <c r="O934" s="170"/>
      <c r="P934" s="53"/>
      <c r="Q934" s="53"/>
      <c r="R934" s="53"/>
      <c r="S934" s="171"/>
      <c r="T934" s="170"/>
      <c r="U934" s="53"/>
      <c r="V934" s="53"/>
      <c r="W934" s="53"/>
      <c r="X934" s="171"/>
      <c r="Y934" s="170"/>
      <c r="Z934" s="170"/>
      <c r="AA934" s="170"/>
      <c r="AB934" s="170"/>
      <c r="AC934" s="170"/>
      <c r="AD934" s="53"/>
      <c r="AE934" s="53"/>
    </row>
    <row r="935">
      <c r="A935" s="53"/>
      <c r="B935" s="53"/>
      <c r="C935" s="168"/>
      <c r="D935" s="169"/>
      <c r="E935" s="170"/>
      <c r="F935" s="53"/>
      <c r="G935" s="53"/>
      <c r="H935" s="53"/>
      <c r="I935" s="171"/>
      <c r="J935" s="170"/>
      <c r="K935" s="53"/>
      <c r="L935" s="53"/>
      <c r="M935" s="53"/>
      <c r="N935" s="171"/>
      <c r="O935" s="170"/>
      <c r="P935" s="53"/>
      <c r="Q935" s="53"/>
      <c r="R935" s="53"/>
      <c r="S935" s="171"/>
      <c r="T935" s="170"/>
      <c r="U935" s="53"/>
      <c r="V935" s="53"/>
      <c r="W935" s="53"/>
      <c r="X935" s="171"/>
      <c r="Y935" s="170"/>
      <c r="Z935" s="170"/>
      <c r="AA935" s="170"/>
      <c r="AB935" s="170"/>
      <c r="AC935" s="170"/>
      <c r="AD935" s="53"/>
      <c r="AE935" s="53"/>
    </row>
    <row r="936">
      <c r="A936" s="53"/>
      <c r="B936" s="53"/>
      <c r="C936" s="168"/>
      <c r="D936" s="169"/>
      <c r="E936" s="170"/>
      <c r="F936" s="53"/>
      <c r="G936" s="53"/>
      <c r="H936" s="53"/>
      <c r="I936" s="171"/>
      <c r="J936" s="170"/>
      <c r="K936" s="53"/>
      <c r="L936" s="53"/>
      <c r="M936" s="53"/>
      <c r="N936" s="171"/>
      <c r="O936" s="170"/>
      <c r="P936" s="53"/>
      <c r="Q936" s="53"/>
      <c r="R936" s="53"/>
      <c r="S936" s="171"/>
      <c r="T936" s="170"/>
      <c r="U936" s="53"/>
      <c r="V936" s="53"/>
      <c r="W936" s="53"/>
      <c r="X936" s="171"/>
      <c r="Y936" s="170"/>
      <c r="Z936" s="170"/>
      <c r="AA936" s="170"/>
      <c r="AB936" s="170"/>
      <c r="AC936" s="170"/>
      <c r="AD936" s="53"/>
      <c r="AE936" s="53"/>
    </row>
    <row r="937">
      <c r="A937" s="53"/>
      <c r="B937" s="53"/>
      <c r="C937" s="168"/>
      <c r="D937" s="169"/>
      <c r="E937" s="170"/>
      <c r="F937" s="53"/>
      <c r="G937" s="53"/>
      <c r="H937" s="53"/>
      <c r="I937" s="171"/>
      <c r="J937" s="170"/>
      <c r="K937" s="53"/>
      <c r="L937" s="53"/>
      <c r="M937" s="53"/>
      <c r="N937" s="171"/>
      <c r="O937" s="170"/>
      <c r="P937" s="53"/>
      <c r="Q937" s="53"/>
      <c r="R937" s="53"/>
      <c r="S937" s="171"/>
      <c r="T937" s="170"/>
      <c r="U937" s="53"/>
      <c r="V937" s="53"/>
      <c r="W937" s="53"/>
      <c r="X937" s="171"/>
      <c r="Y937" s="170"/>
      <c r="Z937" s="170"/>
      <c r="AA937" s="170"/>
      <c r="AB937" s="170"/>
      <c r="AC937" s="170"/>
      <c r="AD937" s="53"/>
      <c r="AE937" s="53"/>
    </row>
    <row r="938">
      <c r="A938" s="53"/>
      <c r="B938" s="53"/>
      <c r="C938" s="168"/>
      <c r="D938" s="169"/>
      <c r="E938" s="170"/>
      <c r="F938" s="53"/>
      <c r="G938" s="53"/>
      <c r="H938" s="53"/>
      <c r="I938" s="171"/>
      <c r="J938" s="170"/>
      <c r="K938" s="53"/>
      <c r="L938" s="53"/>
      <c r="M938" s="53"/>
      <c r="N938" s="171"/>
      <c r="O938" s="170"/>
      <c r="P938" s="53"/>
      <c r="Q938" s="53"/>
      <c r="R938" s="53"/>
      <c r="S938" s="171"/>
      <c r="T938" s="170"/>
      <c r="U938" s="53"/>
      <c r="V938" s="53"/>
      <c r="W938" s="53"/>
      <c r="X938" s="171"/>
      <c r="Y938" s="170"/>
      <c r="Z938" s="170"/>
      <c r="AA938" s="170"/>
      <c r="AB938" s="170"/>
      <c r="AC938" s="170"/>
      <c r="AD938" s="53"/>
      <c r="AE938" s="53"/>
    </row>
    <row r="939">
      <c r="A939" s="53"/>
      <c r="B939" s="53"/>
      <c r="C939" s="168"/>
      <c r="D939" s="169"/>
      <c r="E939" s="170"/>
      <c r="F939" s="53"/>
      <c r="G939" s="53"/>
      <c r="H939" s="53"/>
      <c r="I939" s="171"/>
      <c r="J939" s="170"/>
      <c r="K939" s="53"/>
      <c r="L939" s="53"/>
      <c r="M939" s="53"/>
      <c r="N939" s="171"/>
      <c r="O939" s="170"/>
      <c r="P939" s="53"/>
      <c r="Q939" s="53"/>
      <c r="R939" s="53"/>
      <c r="S939" s="171"/>
      <c r="T939" s="170"/>
      <c r="U939" s="53"/>
      <c r="V939" s="53"/>
      <c r="W939" s="53"/>
      <c r="X939" s="171"/>
      <c r="Y939" s="170"/>
      <c r="Z939" s="170"/>
      <c r="AA939" s="170"/>
      <c r="AB939" s="170"/>
      <c r="AC939" s="170"/>
      <c r="AD939" s="53"/>
      <c r="AE939" s="53"/>
    </row>
    <row r="940">
      <c r="A940" s="53"/>
      <c r="B940" s="53"/>
      <c r="C940" s="168"/>
      <c r="D940" s="169"/>
      <c r="E940" s="170"/>
      <c r="F940" s="53"/>
      <c r="G940" s="53"/>
      <c r="H940" s="53"/>
      <c r="I940" s="171"/>
      <c r="J940" s="170"/>
      <c r="K940" s="53"/>
      <c r="L940" s="53"/>
      <c r="M940" s="53"/>
      <c r="N940" s="171"/>
      <c r="O940" s="170"/>
      <c r="P940" s="53"/>
      <c r="Q940" s="53"/>
      <c r="R940" s="53"/>
      <c r="S940" s="171"/>
      <c r="T940" s="170"/>
      <c r="U940" s="53"/>
      <c r="V940" s="53"/>
      <c r="W940" s="53"/>
      <c r="X940" s="171"/>
      <c r="Y940" s="170"/>
      <c r="Z940" s="170"/>
      <c r="AA940" s="170"/>
      <c r="AB940" s="170"/>
      <c r="AC940" s="170"/>
      <c r="AD940" s="53"/>
      <c r="AE940" s="53"/>
    </row>
    <row r="941">
      <c r="A941" s="53"/>
      <c r="B941" s="53"/>
      <c r="C941" s="168"/>
      <c r="D941" s="169"/>
      <c r="E941" s="170"/>
      <c r="F941" s="53"/>
      <c r="G941" s="53"/>
      <c r="H941" s="53"/>
      <c r="I941" s="171"/>
      <c r="J941" s="170"/>
      <c r="K941" s="53"/>
      <c r="L941" s="53"/>
      <c r="M941" s="53"/>
      <c r="N941" s="171"/>
      <c r="O941" s="170"/>
      <c r="P941" s="53"/>
      <c r="Q941" s="53"/>
      <c r="R941" s="53"/>
      <c r="S941" s="171"/>
      <c r="T941" s="170"/>
      <c r="U941" s="53"/>
      <c r="V941" s="53"/>
      <c r="W941" s="53"/>
      <c r="X941" s="171"/>
      <c r="Y941" s="170"/>
      <c r="Z941" s="170"/>
      <c r="AA941" s="170"/>
      <c r="AB941" s="170"/>
      <c r="AC941" s="170"/>
      <c r="AD941" s="53"/>
      <c r="AE941" s="53"/>
    </row>
    <row r="942">
      <c r="A942" s="53"/>
      <c r="B942" s="53"/>
      <c r="C942" s="168"/>
      <c r="D942" s="169"/>
      <c r="E942" s="170"/>
      <c r="F942" s="53"/>
      <c r="G942" s="53"/>
      <c r="H942" s="53"/>
      <c r="I942" s="171"/>
      <c r="J942" s="170"/>
      <c r="K942" s="53"/>
      <c r="L942" s="53"/>
      <c r="M942" s="53"/>
      <c r="N942" s="171"/>
      <c r="O942" s="170"/>
      <c r="P942" s="53"/>
      <c r="Q942" s="53"/>
      <c r="R942" s="53"/>
      <c r="S942" s="171"/>
      <c r="T942" s="170"/>
      <c r="U942" s="53"/>
      <c r="V942" s="53"/>
      <c r="W942" s="53"/>
      <c r="X942" s="171"/>
      <c r="Y942" s="170"/>
      <c r="Z942" s="170"/>
      <c r="AA942" s="170"/>
      <c r="AB942" s="170"/>
      <c r="AC942" s="170"/>
      <c r="AD942" s="53"/>
      <c r="AE942" s="53"/>
    </row>
    <row r="943">
      <c r="A943" s="53"/>
      <c r="B943" s="53"/>
      <c r="C943" s="168"/>
      <c r="D943" s="169"/>
      <c r="E943" s="170"/>
      <c r="F943" s="53"/>
      <c r="G943" s="53"/>
      <c r="H943" s="53"/>
      <c r="I943" s="171"/>
      <c r="J943" s="170"/>
      <c r="K943" s="53"/>
      <c r="L943" s="53"/>
      <c r="M943" s="53"/>
      <c r="N943" s="171"/>
      <c r="O943" s="170"/>
      <c r="P943" s="53"/>
      <c r="Q943" s="53"/>
      <c r="R943" s="53"/>
      <c r="S943" s="171"/>
      <c r="T943" s="170"/>
      <c r="U943" s="53"/>
      <c r="V943" s="53"/>
      <c r="W943" s="53"/>
      <c r="X943" s="171"/>
      <c r="Y943" s="170"/>
      <c r="Z943" s="170"/>
      <c r="AA943" s="170"/>
      <c r="AB943" s="170"/>
      <c r="AC943" s="170"/>
      <c r="AD943" s="53"/>
      <c r="AE943" s="53"/>
    </row>
    <row r="944">
      <c r="A944" s="53"/>
      <c r="B944" s="53"/>
      <c r="C944" s="168"/>
      <c r="D944" s="169"/>
      <c r="E944" s="170"/>
      <c r="F944" s="53"/>
      <c r="G944" s="53"/>
      <c r="H944" s="53"/>
      <c r="I944" s="171"/>
      <c r="J944" s="170"/>
      <c r="K944" s="53"/>
      <c r="L944" s="53"/>
      <c r="M944" s="53"/>
      <c r="N944" s="171"/>
      <c r="O944" s="170"/>
      <c r="P944" s="53"/>
      <c r="Q944" s="53"/>
      <c r="R944" s="53"/>
      <c r="S944" s="171"/>
      <c r="T944" s="170"/>
      <c r="U944" s="53"/>
      <c r="V944" s="53"/>
      <c r="W944" s="53"/>
      <c r="X944" s="171"/>
      <c r="Y944" s="170"/>
      <c r="Z944" s="170"/>
      <c r="AA944" s="170"/>
      <c r="AB944" s="170"/>
      <c r="AC944" s="170"/>
      <c r="AD944" s="53"/>
      <c r="AE944" s="53"/>
    </row>
    <row r="945">
      <c r="A945" s="53"/>
      <c r="B945" s="53"/>
      <c r="C945" s="168"/>
      <c r="D945" s="169"/>
      <c r="E945" s="170"/>
      <c r="F945" s="53"/>
      <c r="G945" s="53"/>
      <c r="H945" s="53"/>
      <c r="I945" s="171"/>
      <c r="J945" s="170"/>
      <c r="K945" s="53"/>
      <c r="L945" s="53"/>
      <c r="M945" s="53"/>
      <c r="N945" s="171"/>
      <c r="O945" s="170"/>
      <c r="P945" s="53"/>
      <c r="Q945" s="53"/>
      <c r="R945" s="53"/>
      <c r="S945" s="171"/>
      <c r="T945" s="170"/>
      <c r="U945" s="53"/>
      <c r="V945" s="53"/>
      <c r="W945" s="53"/>
      <c r="X945" s="171"/>
      <c r="Y945" s="170"/>
      <c r="Z945" s="170"/>
      <c r="AA945" s="170"/>
      <c r="AB945" s="170"/>
      <c r="AC945" s="170"/>
      <c r="AD945" s="53"/>
      <c r="AE945" s="53"/>
    </row>
    <row r="946">
      <c r="A946" s="53"/>
      <c r="B946" s="53"/>
      <c r="C946" s="168"/>
      <c r="D946" s="169"/>
      <c r="E946" s="170"/>
      <c r="F946" s="53"/>
      <c r="G946" s="53"/>
      <c r="H946" s="53"/>
      <c r="I946" s="171"/>
      <c r="J946" s="170"/>
      <c r="K946" s="53"/>
      <c r="L946" s="53"/>
      <c r="M946" s="53"/>
      <c r="N946" s="171"/>
      <c r="O946" s="170"/>
      <c r="P946" s="53"/>
      <c r="Q946" s="53"/>
      <c r="R946" s="53"/>
      <c r="S946" s="171"/>
      <c r="T946" s="170"/>
      <c r="U946" s="53"/>
      <c r="V946" s="53"/>
      <c r="W946" s="53"/>
      <c r="X946" s="171"/>
      <c r="Y946" s="170"/>
      <c r="Z946" s="170"/>
      <c r="AA946" s="170"/>
      <c r="AB946" s="170"/>
      <c r="AC946" s="170"/>
      <c r="AD946" s="53"/>
      <c r="AE946" s="53"/>
    </row>
    <row r="947">
      <c r="A947" s="53"/>
      <c r="B947" s="53"/>
      <c r="C947" s="168"/>
      <c r="D947" s="169"/>
      <c r="E947" s="170"/>
      <c r="F947" s="53"/>
      <c r="G947" s="53"/>
      <c r="H947" s="53"/>
      <c r="I947" s="171"/>
      <c r="J947" s="170"/>
      <c r="K947" s="53"/>
      <c r="L947" s="53"/>
      <c r="M947" s="53"/>
      <c r="N947" s="171"/>
      <c r="O947" s="170"/>
      <c r="P947" s="53"/>
      <c r="Q947" s="53"/>
      <c r="R947" s="53"/>
      <c r="S947" s="171"/>
      <c r="T947" s="170"/>
      <c r="U947" s="53"/>
      <c r="V947" s="53"/>
      <c r="W947" s="53"/>
      <c r="X947" s="171"/>
      <c r="Y947" s="170"/>
      <c r="Z947" s="170"/>
      <c r="AA947" s="170"/>
      <c r="AB947" s="170"/>
      <c r="AC947" s="170"/>
      <c r="AD947" s="53"/>
      <c r="AE947" s="53"/>
    </row>
    <row r="948">
      <c r="A948" s="53"/>
      <c r="B948" s="53"/>
      <c r="C948" s="168"/>
      <c r="D948" s="169"/>
      <c r="E948" s="170"/>
      <c r="F948" s="53"/>
      <c r="G948" s="53"/>
      <c r="H948" s="53"/>
      <c r="I948" s="171"/>
      <c r="J948" s="170"/>
      <c r="K948" s="53"/>
      <c r="L948" s="53"/>
      <c r="M948" s="53"/>
      <c r="N948" s="171"/>
      <c r="O948" s="170"/>
      <c r="P948" s="53"/>
      <c r="Q948" s="53"/>
      <c r="R948" s="53"/>
      <c r="S948" s="171"/>
      <c r="T948" s="170"/>
      <c r="U948" s="53"/>
      <c r="V948" s="53"/>
      <c r="W948" s="53"/>
      <c r="X948" s="171"/>
      <c r="Y948" s="170"/>
      <c r="Z948" s="170"/>
      <c r="AA948" s="170"/>
      <c r="AB948" s="170"/>
      <c r="AC948" s="170"/>
      <c r="AD948" s="53"/>
      <c r="AE948" s="53"/>
    </row>
    <row r="949">
      <c r="A949" s="53"/>
      <c r="B949" s="53"/>
      <c r="C949" s="168"/>
      <c r="D949" s="169"/>
      <c r="E949" s="170"/>
      <c r="F949" s="53"/>
      <c r="G949" s="53"/>
      <c r="H949" s="53"/>
      <c r="I949" s="171"/>
      <c r="J949" s="170"/>
      <c r="K949" s="53"/>
      <c r="L949" s="53"/>
      <c r="M949" s="53"/>
      <c r="N949" s="171"/>
      <c r="O949" s="170"/>
      <c r="P949" s="53"/>
      <c r="Q949" s="53"/>
      <c r="R949" s="53"/>
      <c r="S949" s="171"/>
      <c r="T949" s="170"/>
      <c r="U949" s="53"/>
      <c r="V949" s="53"/>
      <c r="W949" s="53"/>
      <c r="X949" s="171"/>
      <c r="Y949" s="170"/>
      <c r="Z949" s="170"/>
      <c r="AA949" s="170"/>
      <c r="AB949" s="170"/>
      <c r="AC949" s="170"/>
      <c r="AD949" s="53"/>
      <c r="AE949" s="53"/>
    </row>
    <row r="950">
      <c r="A950" s="53"/>
      <c r="B950" s="53"/>
      <c r="C950" s="168"/>
      <c r="D950" s="169"/>
      <c r="E950" s="170"/>
      <c r="F950" s="53"/>
      <c r="G950" s="53"/>
      <c r="H950" s="53"/>
      <c r="I950" s="171"/>
      <c r="J950" s="170"/>
      <c r="K950" s="53"/>
      <c r="L950" s="53"/>
      <c r="M950" s="53"/>
      <c r="N950" s="171"/>
      <c r="O950" s="170"/>
      <c r="P950" s="53"/>
      <c r="Q950" s="53"/>
      <c r="R950" s="53"/>
      <c r="S950" s="171"/>
      <c r="T950" s="170"/>
      <c r="U950" s="53"/>
      <c r="V950" s="53"/>
      <c r="W950" s="53"/>
      <c r="X950" s="171"/>
      <c r="Y950" s="170"/>
      <c r="Z950" s="170"/>
      <c r="AA950" s="170"/>
      <c r="AB950" s="170"/>
      <c r="AC950" s="170"/>
      <c r="AD950" s="53"/>
      <c r="AE950" s="53"/>
    </row>
    <row r="951">
      <c r="A951" s="53"/>
      <c r="B951" s="53"/>
      <c r="C951" s="168"/>
      <c r="D951" s="169"/>
      <c r="E951" s="170"/>
      <c r="F951" s="53"/>
      <c r="G951" s="53"/>
      <c r="H951" s="53"/>
      <c r="I951" s="171"/>
      <c r="J951" s="170"/>
      <c r="K951" s="53"/>
      <c r="L951" s="53"/>
      <c r="M951" s="53"/>
      <c r="N951" s="171"/>
      <c r="O951" s="170"/>
      <c r="P951" s="53"/>
      <c r="Q951" s="53"/>
      <c r="R951" s="53"/>
      <c r="S951" s="171"/>
      <c r="T951" s="170"/>
      <c r="U951" s="53"/>
      <c r="V951" s="53"/>
      <c r="W951" s="53"/>
      <c r="X951" s="171"/>
      <c r="Y951" s="170"/>
      <c r="Z951" s="170"/>
      <c r="AA951" s="170"/>
      <c r="AB951" s="170"/>
      <c r="AC951" s="170"/>
      <c r="AD951" s="53"/>
      <c r="AE951" s="53"/>
    </row>
    <row r="952">
      <c r="A952" s="53"/>
      <c r="B952" s="53"/>
      <c r="C952" s="168"/>
      <c r="D952" s="169"/>
      <c r="E952" s="170"/>
      <c r="F952" s="53"/>
      <c r="G952" s="53"/>
      <c r="H952" s="53"/>
      <c r="I952" s="171"/>
      <c r="J952" s="170"/>
      <c r="K952" s="53"/>
      <c r="L952" s="53"/>
      <c r="M952" s="53"/>
      <c r="N952" s="171"/>
      <c r="O952" s="170"/>
      <c r="P952" s="53"/>
      <c r="Q952" s="53"/>
      <c r="R952" s="53"/>
      <c r="S952" s="171"/>
      <c r="T952" s="170"/>
      <c r="U952" s="53"/>
      <c r="V952" s="53"/>
      <c r="W952" s="53"/>
      <c r="X952" s="171"/>
      <c r="Y952" s="170"/>
      <c r="Z952" s="170"/>
      <c r="AA952" s="170"/>
      <c r="AB952" s="170"/>
      <c r="AC952" s="170"/>
      <c r="AD952" s="53"/>
      <c r="AE952" s="53"/>
    </row>
    <row r="953">
      <c r="A953" s="53"/>
      <c r="B953" s="53"/>
      <c r="C953" s="168"/>
      <c r="D953" s="169"/>
      <c r="E953" s="170"/>
      <c r="F953" s="53"/>
      <c r="G953" s="53"/>
      <c r="H953" s="53"/>
      <c r="I953" s="171"/>
      <c r="J953" s="170"/>
      <c r="K953" s="53"/>
      <c r="L953" s="53"/>
      <c r="M953" s="53"/>
      <c r="N953" s="171"/>
      <c r="O953" s="170"/>
      <c r="P953" s="53"/>
      <c r="Q953" s="53"/>
      <c r="R953" s="53"/>
      <c r="S953" s="171"/>
      <c r="T953" s="170"/>
      <c r="U953" s="53"/>
      <c r="V953" s="53"/>
      <c r="W953" s="53"/>
      <c r="X953" s="171"/>
      <c r="Y953" s="170"/>
      <c r="Z953" s="170"/>
      <c r="AA953" s="170"/>
      <c r="AB953" s="170"/>
      <c r="AC953" s="170"/>
      <c r="AD953" s="53"/>
      <c r="AE953" s="53"/>
    </row>
    <row r="954">
      <c r="A954" s="53"/>
      <c r="B954" s="53"/>
      <c r="C954" s="168"/>
      <c r="D954" s="169"/>
      <c r="E954" s="170"/>
      <c r="F954" s="53"/>
      <c r="G954" s="53"/>
      <c r="H954" s="53"/>
      <c r="I954" s="171"/>
      <c r="J954" s="170"/>
      <c r="K954" s="53"/>
      <c r="L954" s="53"/>
      <c r="M954" s="53"/>
      <c r="N954" s="171"/>
      <c r="O954" s="170"/>
      <c r="P954" s="53"/>
      <c r="Q954" s="53"/>
      <c r="R954" s="53"/>
      <c r="S954" s="171"/>
      <c r="T954" s="170"/>
      <c r="U954" s="53"/>
      <c r="V954" s="53"/>
      <c r="W954" s="53"/>
      <c r="X954" s="171"/>
      <c r="Y954" s="170"/>
      <c r="Z954" s="170"/>
      <c r="AA954" s="170"/>
      <c r="AB954" s="170"/>
      <c r="AC954" s="170"/>
      <c r="AD954" s="53"/>
      <c r="AE954" s="53"/>
    </row>
    <row r="955">
      <c r="A955" s="53"/>
      <c r="B955" s="53"/>
      <c r="C955" s="168"/>
      <c r="D955" s="169"/>
      <c r="E955" s="170"/>
      <c r="F955" s="53"/>
      <c r="G955" s="53"/>
      <c r="H955" s="53"/>
      <c r="I955" s="171"/>
      <c r="J955" s="170"/>
      <c r="K955" s="53"/>
      <c r="L955" s="53"/>
      <c r="M955" s="53"/>
      <c r="N955" s="171"/>
      <c r="O955" s="170"/>
      <c r="P955" s="53"/>
      <c r="Q955" s="53"/>
      <c r="R955" s="53"/>
      <c r="S955" s="171"/>
      <c r="T955" s="170"/>
      <c r="U955" s="53"/>
      <c r="V955" s="53"/>
      <c r="W955" s="53"/>
      <c r="X955" s="171"/>
      <c r="Y955" s="170"/>
      <c r="Z955" s="170"/>
      <c r="AA955" s="170"/>
      <c r="AB955" s="170"/>
      <c r="AC955" s="170"/>
      <c r="AD955" s="53"/>
      <c r="AE955" s="53"/>
    </row>
    <row r="956">
      <c r="A956" s="53"/>
      <c r="B956" s="53"/>
      <c r="C956" s="168"/>
      <c r="D956" s="169"/>
      <c r="E956" s="170"/>
      <c r="F956" s="53"/>
      <c r="G956" s="53"/>
      <c r="H956" s="53"/>
      <c r="I956" s="171"/>
      <c r="J956" s="170"/>
      <c r="K956" s="53"/>
      <c r="L956" s="53"/>
      <c r="M956" s="53"/>
      <c r="N956" s="171"/>
      <c r="O956" s="170"/>
      <c r="P956" s="53"/>
      <c r="Q956" s="53"/>
      <c r="R956" s="53"/>
      <c r="S956" s="171"/>
      <c r="T956" s="170"/>
      <c r="U956" s="53"/>
      <c r="V956" s="53"/>
      <c r="W956" s="53"/>
      <c r="X956" s="171"/>
      <c r="Y956" s="170"/>
      <c r="Z956" s="170"/>
      <c r="AA956" s="170"/>
      <c r="AB956" s="170"/>
      <c r="AC956" s="170"/>
      <c r="AD956" s="53"/>
      <c r="AE956" s="53"/>
    </row>
    <row r="957">
      <c r="A957" s="53"/>
      <c r="B957" s="53"/>
      <c r="C957" s="168"/>
      <c r="D957" s="169"/>
      <c r="E957" s="170"/>
      <c r="F957" s="53"/>
      <c r="G957" s="53"/>
      <c r="H957" s="53"/>
      <c r="I957" s="171"/>
      <c r="J957" s="170"/>
      <c r="K957" s="53"/>
      <c r="L957" s="53"/>
      <c r="M957" s="53"/>
      <c r="N957" s="171"/>
      <c r="O957" s="170"/>
      <c r="P957" s="53"/>
      <c r="Q957" s="53"/>
      <c r="R957" s="53"/>
      <c r="S957" s="171"/>
      <c r="T957" s="170"/>
      <c r="U957" s="53"/>
      <c r="V957" s="53"/>
      <c r="W957" s="53"/>
      <c r="X957" s="171"/>
      <c r="Y957" s="170"/>
      <c r="Z957" s="170"/>
      <c r="AA957" s="170"/>
      <c r="AB957" s="170"/>
      <c r="AC957" s="170"/>
      <c r="AD957" s="53"/>
      <c r="AE957" s="53"/>
    </row>
    <row r="958">
      <c r="A958" s="53"/>
      <c r="B958" s="53"/>
      <c r="C958" s="168"/>
      <c r="D958" s="169"/>
      <c r="E958" s="170"/>
      <c r="F958" s="53"/>
      <c r="G958" s="53"/>
      <c r="H958" s="53"/>
      <c r="I958" s="171"/>
      <c r="J958" s="170"/>
      <c r="K958" s="53"/>
      <c r="L958" s="53"/>
      <c r="M958" s="53"/>
      <c r="N958" s="171"/>
      <c r="O958" s="170"/>
      <c r="P958" s="53"/>
      <c r="Q958" s="53"/>
      <c r="R958" s="53"/>
      <c r="S958" s="171"/>
      <c r="T958" s="170"/>
      <c r="U958" s="53"/>
      <c r="V958" s="53"/>
      <c r="W958" s="53"/>
      <c r="X958" s="171"/>
      <c r="Y958" s="170"/>
      <c r="Z958" s="170"/>
      <c r="AA958" s="170"/>
      <c r="AB958" s="170"/>
      <c r="AC958" s="170"/>
      <c r="AD958" s="53"/>
      <c r="AE958" s="53"/>
    </row>
    <row r="959">
      <c r="A959" s="53"/>
      <c r="B959" s="53"/>
      <c r="C959" s="168"/>
      <c r="D959" s="169"/>
      <c r="E959" s="170"/>
      <c r="F959" s="53"/>
      <c r="G959" s="53"/>
      <c r="H959" s="53"/>
      <c r="I959" s="171"/>
      <c r="J959" s="170"/>
      <c r="K959" s="53"/>
      <c r="L959" s="53"/>
      <c r="M959" s="53"/>
      <c r="N959" s="171"/>
      <c r="O959" s="170"/>
      <c r="P959" s="53"/>
      <c r="Q959" s="53"/>
      <c r="R959" s="53"/>
      <c r="S959" s="171"/>
      <c r="T959" s="170"/>
      <c r="U959" s="53"/>
      <c r="V959" s="53"/>
      <c r="W959" s="53"/>
      <c r="X959" s="171"/>
      <c r="Y959" s="170"/>
      <c r="Z959" s="170"/>
      <c r="AA959" s="170"/>
      <c r="AB959" s="170"/>
      <c r="AC959" s="170"/>
      <c r="AD959" s="53"/>
      <c r="AE959" s="53"/>
    </row>
    <row r="960">
      <c r="A960" s="53"/>
      <c r="B960" s="53"/>
      <c r="C960" s="168"/>
      <c r="D960" s="169"/>
      <c r="E960" s="170"/>
      <c r="F960" s="53"/>
      <c r="G960" s="53"/>
      <c r="H960" s="53"/>
      <c r="I960" s="171"/>
      <c r="J960" s="170"/>
      <c r="K960" s="53"/>
      <c r="L960" s="53"/>
      <c r="M960" s="53"/>
      <c r="N960" s="171"/>
      <c r="O960" s="170"/>
      <c r="P960" s="53"/>
      <c r="Q960" s="53"/>
      <c r="R960" s="53"/>
      <c r="S960" s="171"/>
      <c r="T960" s="170"/>
      <c r="U960" s="53"/>
      <c r="V960" s="53"/>
      <c r="W960" s="53"/>
      <c r="X960" s="171"/>
      <c r="Y960" s="170"/>
      <c r="Z960" s="170"/>
      <c r="AA960" s="170"/>
      <c r="AB960" s="170"/>
      <c r="AC960" s="170"/>
      <c r="AD960" s="53"/>
      <c r="AE960" s="53"/>
    </row>
    <row r="961">
      <c r="A961" s="53"/>
      <c r="B961" s="53"/>
      <c r="C961" s="168"/>
      <c r="D961" s="169"/>
      <c r="E961" s="170"/>
      <c r="F961" s="53"/>
      <c r="G961" s="53"/>
      <c r="H961" s="53"/>
      <c r="I961" s="171"/>
      <c r="J961" s="170"/>
      <c r="K961" s="53"/>
      <c r="L961" s="53"/>
      <c r="M961" s="53"/>
      <c r="N961" s="171"/>
      <c r="O961" s="170"/>
      <c r="P961" s="53"/>
      <c r="Q961" s="53"/>
      <c r="R961" s="53"/>
      <c r="S961" s="171"/>
      <c r="T961" s="170"/>
      <c r="U961" s="53"/>
      <c r="V961" s="53"/>
      <c r="W961" s="53"/>
      <c r="X961" s="171"/>
      <c r="Y961" s="170"/>
      <c r="Z961" s="170"/>
      <c r="AA961" s="170"/>
      <c r="AB961" s="170"/>
      <c r="AC961" s="170"/>
      <c r="AD961" s="53"/>
      <c r="AE961" s="53"/>
    </row>
    <row r="962">
      <c r="A962" s="53"/>
      <c r="B962" s="53"/>
      <c r="C962" s="168"/>
      <c r="D962" s="169"/>
      <c r="E962" s="170"/>
      <c r="F962" s="53"/>
      <c r="G962" s="53"/>
      <c r="H962" s="53"/>
      <c r="I962" s="171"/>
      <c r="J962" s="170"/>
      <c r="K962" s="53"/>
      <c r="L962" s="53"/>
      <c r="M962" s="53"/>
      <c r="N962" s="171"/>
      <c r="O962" s="170"/>
      <c r="P962" s="53"/>
      <c r="Q962" s="53"/>
      <c r="R962" s="53"/>
      <c r="S962" s="171"/>
      <c r="T962" s="170"/>
      <c r="U962" s="53"/>
      <c r="V962" s="53"/>
      <c r="W962" s="53"/>
      <c r="X962" s="171"/>
      <c r="Y962" s="170"/>
      <c r="Z962" s="170"/>
      <c r="AA962" s="170"/>
      <c r="AB962" s="170"/>
      <c r="AC962" s="170"/>
      <c r="AD962" s="53"/>
      <c r="AE962" s="53"/>
    </row>
    <row r="963">
      <c r="A963" s="53"/>
      <c r="B963" s="53"/>
      <c r="C963" s="168"/>
      <c r="D963" s="169"/>
      <c r="E963" s="170"/>
      <c r="F963" s="53"/>
      <c r="G963" s="53"/>
      <c r="H963" s="53"/>
      <c r="I963" s="171"/>
      <c r="J963" s="170"/>
      <c r="K963" s="53"/>
      <c r="L963" s="53"/>
      <c r="M963" s="53"/>
      <c r="N963" s="171"/>
      <c r="O963" s="170"/>
      <c r="P963" s="53"/>
      <c r="Q963" s="53"/>
      <c r="R963" s="53"/>
      <c r="S963" s="171"/>
      <c r="T963" s="170"/>
      <c r="U963" s="53"/>
      <c r="V963" s="53"/>
      <c r="W963" s="53"/>
      <c r="X963" s="171"/>
      <c r="Y963" s="170"/>
      <c r="Z963" s="170"/>
      <c r="AA963" s="170"/>
      <c r="AB963" s="170"/>
      <c r="AC963" s="170"/>
      <c r="AD963" s="53"/>
      <c r="AE963" s="53"/>
    </row>
    <row r="964">
      <c r="A964" s="53"/>
      <c r="B964" s="53"/>
      <c r="C964" s="168"/>
      <c r="D964" s="169"/>
      <c r="E964" s="170"/>
      <c r="F964" s="53"/>
      <c r="G964" s="53"/>
      <c r="H964" s="53"/>
      <c r="I964" s="171"/>
      <c r="J964" s="170"/>
      <c r="K964" s="53"/>
      <c r="L964" s="53"/>
      <c r="M964" s="53"/>
      <c r="N964" s="171"/>
      <c r="O964" s="170"/>
      <c r="P964" s="53"/>
      <c r="Q964" s="53"/>
      <c r="R964" s="53"/>
      <c r="S964" s="171"/>
      <c r="T964" s="170"/>
      <c r="U964" s="53"/>
      <c r="V964" s="53"/>
      <c r="W964" s="53"/>
      <c r="X964" s="171"/>
      <c r="Y964" s="170"/>
      <c r="Z964" s="170"/>
      <c r="AA964" s="170"/>
      <c r="AB964" s="170"/>
      <c r="AC964" s="170"/>
      <c r="AD964" s="53"/>
      <c r="AE964" s="53"/>
    </row>
    <row r="965">
      <c r="A965" s="53"/>
      <c r="B965" s="53"/>
      <c r="C965" s="168"/>
      <c r="D965" s="169"/>
      <c r="E965" s="170"/>
      <c r="F965" s="53"/>
      <c r="G965" s="53"/>
      <c r="H965" s="53"/>
      <c r="I965" s="171"/>
      <c r="J965" s="170"/>
      <c r="K965" s="53"/>
      <c r="L965" s="53"/>
      <c r="M965" s="53"/>
      <c r="N965" s="171"/>
      <c r="O965" s="170"/>
      <c r="P965" s="53"/>
      <c r="Q965" s="53"/>
      <c r="R965" s="53"/>
      <c r="S965" s="171"/>
      <c r="T965" s="170"/>
      <c r="U965" s="53"/>
      <c r="V965" s="53"/>
      <c r="W965" s="53"/>
      <c r="X965" s="171"/>
      <c r="Y965" s="170"/>
      <c r="Z965" s="170"/>
      <c r="AA965" s="170"/>
      <c r="AB965" s="170"/>
      <c r="AC965" s="170"/>
      <c r="AD965" s="53"/>
      <c r="AE965" s="53"/>
    </row>
    <row r="966">
      <c r="A966" s="53"/>
      <c r="B966" s="53"/>
      <c r="C966" s="168"/>
      <c r="D966" s="169"/>
      <c r="E966" s="170"/>
      <c r="F966" s="53"/>
      <c r="G966" s="53"/>
      <c r="H966" s="53"/>
      <c r="I966" s="171"/>
      <c r="J966" s="170"/>
      <c r="K966" s="53"/>
      <c r="L966" s="53"/>
      <c r="M966" s="53"/>
      <c r="N966" s="171"/>
      <c r="O966" s="170"/>
      <c r="P966" s="53"/>
      <c r="Q966" s="53"/>
      <c r="R966" s="53"/>
      <c r="S966" s="171"/>
      <c r="T966" s="170"/>
      <c r="U966" s="53"/>
      <c r="V966" s="53"/>
      <c r="W966" s="53"/>
      <c r="X966" s="171"/>
      <c r="Y966" s="170"/>
      <c r="Z966" s="170"/>
      <c r="AA966" s="170"/>
      <c r="AB966" s="170"/>
      <c r="AC966" s="170"/>
      <c r="AD966" s="53"/>
      <c r="AE966" s="53"/>
    </row>
    <row r="967">
      <c r="A967" s="53"/>
      <c r="B967" s="53"/>
      <c r="C967" s="168"/>
      <c r="D967" s="169"/>
      <c r="E967" s="170"/>
      <c r="F967" s="53"/>
      <c r="G967" s="53"/>
      <c r="H967" s="53"/>
      <c r="I967" s="171"/>
      <c r="J967" s="170"/>
      <c r="K967" s="53"/>
      <c r="L967" s="53"/>
      <c r="M967" s="53"/>
      <c r="N967" s="171"/>
      <c r="O967" s="170"/>
      <c r="P967" s="53"/>
      <c r="Q967" s="53"/>
      <c r="R967" s="53"/>
      <c r="S967" s="171"/>
      <c r="T967" s="170"/>
      <c r="U967" s="53"/>
      <c r="V967" s="53"/>
      <c r="W967" s="53"/>
      <c r="X967" s="171"/>
      <c r="Y967" s="170"/>
      <c r="Z967" s="170"/>
      <c r="AA967" s="170"/>
      <c r="AB967" s="170"/>
      <c r="AC967" s="170"/>
      <c r="AD967" s="53"/>
      <c r="AE967" s="53"/>
    </row>
    <row r="968">
      <c r="A968" s="53"/>
      <c r="B968" s="53"/>
      <c r="C968" s="168"/>
      <c r="D968" s="169"/>
      <c r="E968" s="170"/>
      <c r="F968" s="53"/>
      <c r="G968" s="53"/>
      <c r="H968" s="53"/>
      <c r="I968" s="171"/>
      <c r="J968" s="170"/>
      <c r="K968" s="53"/>
      <c r="L968" s="53"/>
      <c r="M968" s="53"/>
      <c r="N968" s="171"/>
      <c r="O968" s="170"/>
      <c r="P968" s="53"/>
      <c r="Q968" s="53"/>
      <c r="R968" s="53"/>
      <c r="S968" s="171"/>
      <c r="T968" s="170"/>
      <c r="U968" s="53"/>
      <c r="V968" s="53"/>
      <c r="W968" s="53"/>
      <c r="X968" s="171"/>
      <c r="Y968" s="170"/>
      <c r="Z968" s="170"/>
      <c r="AA968" s="170"/>
      <c r="AB968" s="170"/>
      <c r="AC968" s="170"/>
      <c r="AD968" s="53"/>
      <c r="AE968" s="53"/>
    </row>
    <row r="969">
      <c r="A969" s="53"/>
      <c r="B969" s="53"/>
      <c r="C969" s="168"/>
      <c r="D969" s="169"/>
      <c r="E969" s="170"/>
      <c r="F969" s="53"/>
      <c r="G969" s="53"/>
      <c r="H969" s="53"/>
      <c r="I969" s="171"/>
      <c r="J969" s="170"/>
      <c r="K969" s="53"/>
      <c r="L969" s="53"/>
      <c r="M969" s="53"/>
      <c r="N969" s="171"/>
      <c r="O969" s="170"/>
      <c r="P969" s="53"/>
      <c r="Q969" s="53"/>
      <c r="R969" s="53"/>
      <c r="S969" s="171"/>
      <c r="T969" s="170"/>
      <c r="U969" s="53"/>
      <c r="V969" s="53"/>
      <c r="W969" s="53"/>
      <c r="X969" s="171"/>
      <c r="Y969" s="170"/>
      <c r="Z969" s="170"/>
      <c r="AA969" s="170"/>
      <c r="AB969" s="170"/>
      <c r="AC969" s="170"/>
      <c r="AD969" s="53"/>
      <c r="AE969" s="53"/>
    </row>
    <row r="970">
      <c r="A970" s="53"/>
      <c r="B970" s="53"/>
      <c r="C970" s="168"/>
      <c r="D970" s="169"/>
      <c r="E970" s="170"/>
      <c r="F970" s="53"/>
      <c r="G970" s="53"/>
      <c r="H970" s="53"/>
      <c r="I970" s="171"/>
      <c r="J970" s="170"/>
      <c r="K970" s="53"/>
      <c r="L970" s="53"/>
      <c r="M970" s="53"/>
      <c r="N970" s="171"/>
      <c r="O970" s="170"/>
      <c r="P970" s="53"/>
      <c r="Q970" s="53"/>
      <c r="R970" s="53"/>
      <c r="S970" s="171"/>
      <c r="T970" s="170"/>
      <c r="U970" s="53"/>
      <c r="V970" s="53"/>
      <c r="W970" s="53"/>
      <c r="X970" s="171"/>
      <c r="Y970" s="170"/>
      <c r="Z970" s="170"/>
      <c r="AA970" s="170"/>
      <c r="AB970" s="170"/>
      <c r="AC970" s="170"/>
      <c r="AD970" s="53"/>
      <c r="AE970" s="53"/>
    </row>
    <row r="971">
      <c r="A971" s="53"/>
      <c r="B971" s="53"/>
      <c r="C971" s="168"/>
      <c r="D971" s="169"/>
      <c r="E971" s="170"/>
      <c r="F971" s="53"/>
      <c r="G971" s="53"/>
      <c r="H971" s="53"/>
      <c r="I971" s="171"/>
      <c r="J971" s="170"/>
      <c r="K971" s="53"/>
      <c r="L971" s="53"/>
      <c r="M971" s="53"/>
      <c r="N971" s="171"/>
      <c r="O971" s="170"/>
      <c r="P971" s="53"/>
      <c r="Q971" s="53"/>
      <c r="R971" s="53"/>
      <c r="S971" s="171"/>
      <c r="T971" s="170"/>
      <c r="U971" s="53"/>
      <c r="V971" s="53"/>
      <c r="W971" s="53"/>
      <c r="X971" s="171"/>
      <c r="Y971" s="170"/>
      <c r="Z971" s="170"/>
      <c r="AA971" s="170"/>
      <c r="AB971" s="170"/>
      <c r="AC971" s="170"/>
      <c r="AD971" s="53"/>
      <c r="AE971" s="53"/>
    </row>
    <row r="972">
      <c r="A972" s="53"/>
      <c r="B972" s="53"/>
      <c r="C972" s="168"/>
      <c r="D972" s="169"/>
      <c r="E972" s="170"/>
      <c r="F972" s="53"/>
      <c r="G972" s="53"/>
      <c r="H972" s="53"/>
      <c r="I972" s="171"/>
      <c r="J972" s="170"/>
      <c r="K972" s="53"/>
      <c r="L972" s="53"/>
      <c r="M972" s="53"/>
      <c r="N972" s="171"/>
      <c r="O972" s="170"/>
      <c r="P972" s="53"/>
      <c r="Q972" s="53"/>
      <c r="R972" s="53"/>
      <c r="S972" s="171"/>
      <c r="T972" s="170"/>
      <c r="U972" s="53"/>
      <c r="V972" s="53"/>
      <c r="W972" s="53"/>
      <c r="X972" s="171"/>
      <c r="Y972" s="170"/>
      <c r="Z972" s="170"/>
      <c r="AA972" s="170"/>
      <c r="AB972" s="170"/>
      <c r="AC972" s="170"/>
      <c r="AD972" s="53"/>
      <c r="AE972" s="53"/>
    </row>
    <row r="973">
      <c r="A973" s="53"/>
      <c r="B973" s="53"/>
      <c r="C973" s="168"/>
      <c r="D973" s="169"/>
      <c r="E973" s="170"/>
      <c r="F973" s="53"/>
      <c r="G973" s="53"/>
      <c r="H973" s="53"/>
      <c r="I973" s="171"/>
      <c r="J973" s="170"/>
      <c r="K973" s="53"/>
      <c r="L973" s="53"/>
      <c r="M973" s="53"/>
      <c r="N973" s="171"/>
      <c r="O973" s="170"/>
      <c r="P973" s="53"/>
      <c r="Q973" s="53"/>
      <c r="R973" s="53"/>
      <c r="S973" s="171"/>
      <c r="T973" s="170"/>
      <c r="U973" s="53"/>
      <c r="V973" s="53"/>
      <c r="W973" s="53"/>
      <c r="X973" s="171"/>
      <c r="Y973" s="170"/>
      <c r="Z973" s="170"/>
      <c r="AA973" s="170"/>
      <c r="AB973" s="170"/>
      <c r="AC973" s="170"/>
      <c r="AD973" s="53"/>
      <c r="AE973" s="53"/>
    </row>
    <row r="974">
      <c r="A974" s="53"/>
      <c r="B974" s="53"/>
      <c r="C974" s="168"/>
      <c r="D974" s="169"/>
      <c r="E974" s="170"/>
      <c r="F974" s="53"/>
      <c r="G974" s="53"/>
      <c r="H974" s="53"/>
      <c r="I974" s="171"/>
      <c r="J974" s="170"/>
      <c r="K974" s="53"/>
      <c r="L974" s="53"/>
      <c r="M974" s="53"/>
      <c r="N974" s="171"/>
      <c r="O974" s="170"/>
      <c r="P974" s="53"/>
      <c r="Q974" s="53"/>
      <c r="R974" s="53"/>
      <c r="S974" s="171"/>
      <c r="T974" s="170"/>
      <c r="U974" s="53"/>
      <c r="V974" s="53"/>
      <c r="W974" s="53"/>
      <c r="X974" s="171"/>
      <c r="Y974" s="170"/>
      <c r="Z974" s="170"/>
      <c r="AA974" s="170"/>
      <c r="AB974" s="170"/>
      <c r="AC974" s="170"/>
      <c r="AD974" s="53"/>
      <c r="AE974" s="53"/>
    </row>
    <row r="975">
      <c r="A975" s="53"/>
      <c r="B975" s="53"/>
      <c r="C975" s="168"/>
      <c r="D975" s="169"/>
      <c r="E975" s="170"/>
      <c r="F975" s="53"/>
      <c r="G975" s="53"/>
      <c r="H975" s="53"/>
      <c r="I975" s="171"/>
      <c r="J975" s="170"/>
      <c r="K975" s="53"/>
      <c r="L975" s="53"/>
      <c r="M975" s="53"/>
      <c r="N975" s="171"/>
      <c r="O975" s="170"/>
      <c r="P975" s="53"/>
      <c r="Q975" s="53"/>
      <c r="R975" s="53"/>
      <c r="S975" s="171"/>
      <c r="T975" s="170"/>
      <c r="U975" s="53"/>
      <c r="V975" s="53"/>
      <c r="W975" s="53"/>
      <c r="X975" s="171"/>
      <c r="Y975" s="170"/>
      <c r="Z975" s="170"/>
      <c r="AA975" s="170"/>
      <c r="AB975" s="170"/>
      <c r="AC975" s="170"/>
      <c r="AD975" s="53"/>
      <c r="AE975" s="53"/>
    </row>
    <row r="976">
      <c r="A976" s="53"/>
      <c r="B976" s="53"/>
      <c r="C976" s="168"/>
      <c r="D976" s="169"/>
      <c r="E976" s="170"/>
      <c r="F976" s="53"/>
      <c r="G976" s="53"/>
      <c r="H976" s="53"/>
      <c r="I976" s="171"/>
      <c r="J976" s="170"/>
      <c r="K976" s="53"/>
      <c r="L976" s="53"/>
      <c r="M976" s="53"/>
      <c r="N976" s="171"/>
      <c r="O976" s="170"/>
      <c r="P976" s="53"/>
      <c r="Q976" s="53"/>
      <c r="R976" s="53"/>
      <c r="S976" s="171"/>
      <c r="T976" s="170"/>
      <c r="U976" s="53"/>
      <c r="V976" s="53"/>
      <c r="W976" s="53"/>
      <c r="X976" s="171"/>
      <c r="Y976" s="170"/>
      <c r="Z976" s="170"/>
      <c r="AA976" s="170"/>
      <c r="AB976" s="170"/>
      <c r="AC976" s="170"/>
      <c r="AD976" s="53"/>
      <c r="AE976" s="53"/>
    </row>
    <row r="977">
      <c r="A977" s="53"/>
      <c r="B977" s="53"/>
      <c r="C977" s="168"/>
      <c r="D977" s="169"/>
      <c r="E977" s="170"/>
      <c r="F977" s="53"/>
      <c r="G977" s="53"/>
      <c r="H977" s="53"/>
      <c r="I977" s="171"/>
      <c r="J977" s="170"/>
      <c r="K977" s="53"/>
      <c r="L977" s="53"/>
      <c r="M977" s="53"/>
      <c r="N977" s="171"/>
      <c r="O977" s="170"/>
      <c r="P977" s="53"/>
      <c r="Q977" s="53"/>
      <c r="R977" s="53"/>
      <c r="S977" s="171"/>
      <c r="T977" s="170"/>
      <c r="U977" s="53"/>
      <c r="V977" s="53"/>
      <c r="W977" s="53"/>
      <c r="X977" s="171"/>
      <c r="Y977" s="170"/>
      <c r="Z977" s="170"/>
      <c r="AA977" s="170"/>
      <c r="AB977" s="170"/>
      <c r="AC977" s="170"/>
      <c r="AD977" s="53"/>
      <c r="AE977" s="53"/>
    </row>
    <row r="978">
      <c r="A978" s="53"/>
      <c r="B978" s="53"/>
      <c r="C978" s="168"/>
      <c r="D978" s="169"/>
      <c r="E978" s="170"/>
      <c r="F978" s="53"/>
      <c r="G978" s="53"/>
      <c r="H978" s="53"/>
      <c r="I978" s="171"/>
      <c r="J978" s="170"/>
      <c r="K978" s="53"/>
      <c r="L978" s="53"/>
      <c r="M978" s="53"/>
      <c r="N978" s="171"/>
      <c r="O978" s="170"/>
      <c r="P978" s="53"/>
      <c r="Q978" s="53"/>
      <c r="R978" s="53"/>
      <c r="S978" s="171"/>
      <c r="T978" s="170"/>
      <c r="U978" s="53"/>
      <c r="V978" s="53"/>
      <c r="W978" s="53"/>
      <c r="X978" s="171"/>
      <c r="Y978" s="170"/>
      <c r="Z978" s="170"/>
      <c r="AA978" s="170"/>
      <c r="AB978" s="170"/>
      <c r="AC978" s="170"/>
      <c r="AD978" s="53"/>
      <c r="AE978" s="53"/>
    </row>
    <row r="979">
      <c r="A979" s="53"/>
      <c r="B979" s="53"/>
      <c r="C979" s="168"/>
      <c r="D979" s="169"/>
      <c r="E979" s="170"/>
      <c r="F979" s="53"/>
      <c r="G979" s="53"/>
      <c r="H979" s="53"/>
      <c r="I979" s="171"/>
      <c r="J979" s="170"/>
      <c r="K979" s="53"/>
      <c r="L979" s="53"/>
      <c r="M979" s="53"/>
      <c r="N979" s="171"/>
      <c r="O979" s="170"/>
      <c r="P979" s="53"/>
      <c r="Q979" s="53"/>
      <c r="R979" s="53"/>
      <c r="S979" s="171"/>
      <c r="T979" s="170"/>
      <c r="U979" s="53"/>
      <c r="V979" s="53"/>
      <c r="W979" s="53"/>
      <c r="X979" s="171"/>
      <c r="Y979" s="170"/>
      <c r="Z979" s="170"/>
      <c r="AA979" s="170"/>
      <c r="AB979" s="170"/>
      <c r="AC979" s="170"/>
      <c r="AD979" s="53"/>
      <c r="AE979" s="53"/>
    </row>
    <row r="980">
      <c r="A980" s="53"/>
      <c r="B980" s="53"/>
      <c r="C980" s="168"/>
      <c r="D980" s="169"/>
      <c r="E980" s="170"/>
      <c r="F980" s="53"/>
      <c r="G980" s="53"/>
      <c r="H980" s="53"/>
      <c r="I980" s="171"/>
      <c r="J980" s="170"/>
      <c r="K980" s="53"/>
      <c r="L980" s="53"/>
      <c r="M980" s="53"/>
      <c r="N980" s="171"/>
      <c r="O980" s="170"/>
      <c r="P980" s="53"/>
      <c r="Q980" s="53"/>
      <c r="R980" s="53"/>
      <c r="S980" s="171"/>
      <c r="T980" s="170"/>
      <c r="U980" s="53"/>
      <c r="V980" s="53"/>
      <c r="W980" s="53"/>
      <c r="X980" s="171"/>
      <c r="Y980" s="170"/>
      <c r="Z980" s="170"/>
      <c r="AA980" s="170"/>
      <c r="AB980" s="170"/>
      <c r="AC980" s="170"/>
      <c r="AD980" s="53"/>
      <c r="AE980" s="53"/>
    </row>
    <row r="981">
      <c r="A981" s="53"/>
      <c r="B981" s="53"/>
      <c r="C981" s="168"/>
      <c r="D981" s="169"/>
      <c r="E981" s="170"/>
      <c r="F981" s="53"/>
      <c r="G981" s="53"/>
      <c r="H981" s="53"/>
      <c r="I981" s="171"/>
      <c r="J981" s="170"/>
      <c r="K981" s="53"/>
      <c r="L981" s="53"/>
      <c r="M981" s="53"/>
      <c r="N981" s="171"/>
      <c r="O981" s="170"/>
      <c r="P981" s="53"/>
      <c r="Q981" s="53"/>
      <c r="R981" s="53"/>
      <c r="S981" s="171"/>
      <c r="T981" s="170"/>
      <c r="U981" s="53"/>
      <c r="V981" s="53"/>
      <c r="W981" s="53"/>
      <c r="X981" s="171"/>
      <c r="Y981" s="170"/>
      <c r="Z981" s="170"/>
      <c r="AA981" s="170"/>
      <c r="AB981" s="170"/>
      <c r="AC981" s="170"/>
      <c r="AD981" s="53"/>
      <c r="AE981" s="53"/>
    </row>
    <row r="982">
      <c r="A982" s="53"/>
      <c r="B982" s="53"/>
      <c r="C982" s="168"/>
      <c r="D982" s="169"/>
      <c r="E982" s="170"/>
      <c r="F982" s="53"/>
      <c r="G982" s="53"/>
      <c r="H982" s="53"/>
      <c r="I982" s="171"/>
      <c r="J982" s="170"/>
      <c r="K982" s="53"/>
      <c r="L982" s="53"/>
      <c r="M982" s="53"/>
      <c r="N982" s="171"/>
      <c r="O982" s="170"/>
      <c r="P982" s="53"/>
      <c r="Q982" s="53"/>
      <c r="R982" s="53"/>
      <c r="S982" s="171"/>
      <c r="T982" s="170"/>
      <c r="U982" s="53"/>
      <c r="V982" s="53"/>
      <c r="W982" s="53"/>
      <c r="X982" s="171"/>
      <c r="Y982" s="170"/>
      <c r="Z982" s="170"/>
      <c r="AA982" s="170"/>
      <c r="AB982" s="170"/>
      <c r="AC982" s="170"/>
      <c r="AD982" s="53"/>
      <c r="AE982" s="53"/>
    </row>
    <row r="983">
      <c r="A983" s="53"/>
      <c r="B983" s="53"/>
      <c r="C983" s="168"/>
      <c r="D983" s="169"/>
      <c r="E983" s="170"/>
      <c r="F983" s="53"/>
      <c r="G983" s="53"/>
      <c r="H983" s="53"/>
      <c r="I983" s="171"/>
      <c r="J983" s="170"/>
      <c r="K983" s="53"/>
      <c r="L983" s="53"/>
      <c r="M983" s="53"/>
      <c r="N983" s="171"/>
      <c r="O983" s="170"/>
      <c r="P983" s="53"/>
      <c r="Q983" s="53"/>
      <c r="R983" s="53"/>
      <c r="S983" s="171"/>
      <c r="T983" s="170"/>
      <c r="U983" s="53"/>
      <c r="V983" s="53"/>
      <c r="W983" s="53"/>
      <c r="X983" s="171"/>
      <c r="Y983" s="170"/>
      <c r="Z983" s="170"/>
      <c r="AA983" s="170"/>
      <c r="AB983" s="170"/>
      <c r="AC983" s="170"/>
      <c r="AD983" s="53"/>
      <c r="AE983" s="53"/>
    </row>
    <row r="984">
      <c r="A984" s="53"/>
      <c r="B984" s="53"/>
      <c r="C984" s="168"/>
      <c r="D984" s="169"/>
      <c r="E984" s="170"/>
      <c r="F984" s="53"/>
      <c r="G984" s="53"/>
      <c r="H984" s="53"/>
      <c r="I984" s="171"/>
      <c r="J984" s="170"/>
      <c r="K984" s="53"/>
      <c r="L984" s="53"/>
      <c r="M984" s="53"/>
      <c r="N984" s="171"/>
      <c r="O984" s="170"/>
      <c r="P984" s="53"/>
      <c r="Q984" s="53"/>
      <c r="R984" s="53"/>
      <c r="S984" s="171"/>
      <c r="T984" s="170"/>
      <c r="U984" s="53"/>
      <c r="V984" s="53"/>
      <c r="W984" s="53"/>
      <c r="X984" s="171"/>
      <c r="Y984" s="170"/>
      <c r="Z984" s="170"/>
      <c r="AA984" s="170"/>
      <c r="AB984" s="170"/>
      <c r="AC984" s="170"/>
      <c r="AD984" s="53"/>
      <c r="AE984" s="53"/>
    </row>
    <row r="985">
      <c r="A985" s="53"/>
      <c r="B985" s="53"/>
      <c r="C985" s="168"/>
      <c r="D985" s="169"/>
      <c r="E985" s="170"/>
      <c r="F985" s="53"/>
      <c r="G985" s="53"/>
      <c r="H985" s="53"/>
      <c r="I985" s="171"/>
      <c r="J985" s="170"/>
      <c r="K985" s="53"/>
      <c r="L985" s="53"/>
      <c r="M985" s="53"/>
      <c r="N985" s="171"/>
      <c r="O985" s="170"/>
      <c r="P985" s="53"/>
      <c r="Q985" s="53"/>
      <c r="R985" s="53"/>
      <c r="S985" s="171"/>
      <c r="T985" s="170"/>
      <c r="U985" s="53"/>
      <c r="V985" s="53"/>
      <c r="W985" s="53"/>
      <c r="X985" s="171"/>
      <c r="Y985" s="170"/>
      <c r="Z985" s="170"/>
      <c r="AA985" s="170"/>
      <c r="AB985" s="170"/>
      <c r="AC985" s="170"/>
      <c r="AD985" s="53"/>
      <c r="AE985" s="53"/>
    </row>
    <row r="986">
      <c r="A986" s="53"/>
      <c r="B986" s="53"/>
      <c r="C986" s="168"/>
      <c r="D986" s="169"/>
      <c r="E986" s="170"/>
      <c r="F986" s="53"/>
      <c r="G986" s="53"/>
      <c r="H986" s="53"/>
      <c r="I986" s="171"/>
      <c r="J986" s="170"/>
      <c r="K986" s="53"/>
      <c r="L986" s="53"/>
      <c r="M986" s="53"/>
      <c r="N986" s="171"/>
      <c r="O986" s="170"/>
      <c r="P986" s="53"/>
      <c r="Q986" s="53"/>
      <c r="R986" s="53"/>
      <c r="S986" s="171"/>
      <c r="T986" s="170"/>
      <c r="U986" s="53"/>
      <c r="V986" s="53"/>
      <c r="W986" s="53"/>
      <c r="X986" s="171"/>
      <c r="Y986" s="170"/>
      <c r="Z986" s="170"/>
      <c r="AA986" s="170"/>
      <c r="AB986" s="170"/>
      <c r="AC986" s="170"/>
      <c r="AD986" s="53"/>
      <c r="AE986" s="53"/>
    </row>
    <row r="987">
      <c r="A987" s="53"/>
      <c r="B987" s="53"/>
      <c r="C987" s="168"/>
      <c r="D987" s="169"/>
      <c r="E987" s="170"/>
      <c r="F987" s="53"/>
      <c r="G987" s="53"/>
      <c r="H987" s="53"/>
      <c r="I987" s="171"/>
      <c r="J987" s="170"/>
      <c r="K987" s="53"/>
      <c r="L987" s="53"/>
      <c r="M987" s="53"/>
      <c r="N987" s="171"/>
      <c r="O987" s="170"/>
      <c r="P987" s="53"/>
      <c r="Q987" s="53"/>
      <c r="R987" s="53"/>
      <c r="S987" s="171"/>
      <c r="T987" s="170"/>
      <c r="U987" s="53"/>
      <c r="V987" s="53"/>
      <c r="W987" s="53"/>
      <c r="X987" s="171"/>
      <c r="Y987" s="170"/>
      <c r="Z987" s="170"/>
      <c r="AA987" s="170"/>
      <c r="AB987" s="170"/>
      <c r="AC987" s="170"/>
      <c r="AD987" s="53"/>
      <c r="AE987" s="53"/>
    </row>
    <row r="988">
      <c r="A988" s="53"/>
      <c r="B988" s="53"/>
      <c r="C988" s="168"/>
      <c r="D988" s="169"/>
      <c r="E988" s="170"/>
      <c r="F988" s="53"/>
      <c r="G988" s="53"/>
      <c r="H988" s="53"/>
      <c r="I988" s="171"/>
      <c r="J988" s="170"/>
      <c r="K988" s="53"/>
      <c r="L988" s="53"/>
      <c r="M988" s="53"/>
      <c r="N988" s="171"/>
      <c r="O988" s="170"/>
      <c r="P988" s="53"/>
      <c r="Q988" s="53"/>
      <c r="R988" s="53"/>
      <c r="S988" s="171"/>
      <c r="T988" s="170"/>
      <c r="U988" s="53"/>
      <c r="V988" s="53"/>
      <c r="W988" s="53"/>
      <c r="X988" s="171"/>
      <c r="Y988" s="170"/>
      <c r="Z988" s="170"/>
      <c r="AA988" s="170"/>
      <c r="AB988" s="170"/>
      <c r="AC988" s="170"/>
      <c r="AD988" s="53"/>
      <c r="AE988" s="53"/>
    </row>
    <row r="989">
      <c r="A989" s="53"/>
      <c r="B989" s="53"/>
      <c r="C989" s="168"/>
      <c r="D989" s="169"/>
      <c r="E989" s="170"/>
      <c r="F989" s="53"/>
      <c r="G989" s="53"/>
      <c r="H989" s="53"/>
      <c r="I989" s="171"/>
      <c r="J989" s="170"/>
      <c r="K989" s="53"/>
      <c r="L989" s="53"/>
      <c r="M989" s="53"/>
      <c r="N989" s="171"/>
      <c r="O989" s="170"/>
      <c r="P989" s="53"/>
      <c r="Q989" s="53"/>
      <c r="R989" s="53"/>
      <c r="S989" s="171"/>
      <c r="T989" s="170"/>
      <c r="U989" s="53"/>
      <c r="V989" s="53"/>
      <c r="W989" s="53"/>
      <c r="X989" s="171"/>
      <c r="Y989" s="170"/>
      <c r="Z989" s="170"/>
      <c r="AA989" s="170"/>
      <c r="AB989" s="170"/>
      <c r="AC989" s="170"/>
      <c r="AD989" s="53"/>
      <c r="AE989" s="53"/>
    </row>
    <row r="990">
      <c r="A990" s="53"/>
      <c r="B990" s="53"/>
      <c r="C990" s="168"/>
      <c r="D990" s="169"/>
      <c r="E990" s="170"/>
      <c r="F990" s="53"/>
      <c r="G990" s="53"/>
      <c r="H990" s="53"/>
      <c r="I990" s="171"/>
      <c r="J990" s="170"/>
      <c r="K990" s="53"/>
      <c r="L990" s="53"/>
      <c r="M990" s="53"/>
      <c r="N990" s="171"/>
      <c r="O990" s="170"/>
      <c r="P990" s="53"/>
      <c r="Q990" s="53"/>
      <c r="R990" s="53"/>
      <c r="S990" s="171"/>
      <c r="T990" s="170"/>
      <c r="U990" s="53"/>
      <c r="V990" s="53"/>
      <c r="W990" s="53"/>
      <c r="X990" s="171"/>
      <c r="Y990" s="170"/>
      <c r="Z990" s="170"/>
      <c r="AA990" s="170"/>
      <c r="AB990" s="170"/>
      <c r="AC990" s="170"/>
      <c r="AD990" s="53"/>
      <c r="AE990" s="53"/>
    </row>
    <row r="991">
      <c r="A991" s="53"/>
      <c r="B991" s="53"/>
      <c r="C991" s="168"/>
      <c r="D991" s="169"/>
      <c r="E991" s="170"/>
      <c r="F991" s="53"/>
      <c r="G991" s="53"/>
      <c r="H991" s="53"/>
      <c r="I991" s="171"/>
      <c r="J991" s="170"/>
      <c r="K991" s="53"/>
      <c r="L991" s="53"/>
      <c r="M991" s="53"/>
      <c r="N991" s="171"/>
      <c r="O991" s="170"/>
      <c r="P991" s="53"/>
      <c r="Q991" s="53"/>
      <c r="R991" s="53"/>
      <c r="S991" s="171"/>
      <c r="T991" s="170"/>
      <c r="U991" s="53"/>
      <c r="V991" s="53"/>
      <c r="W991" s="53"/>
      <c r="X991" s="171"/>
      <c r="Y991" s="170"/>
      <c r="Z991" s="170"/>
      <c r="AA991" s="170"/>
      <c r="AB991" s="170"/>
      <c r="AC991" s="170"/>
      <c r="AD991" s="53"/>
      <c r="AE991" s="53"/>
    </row>
    <row r="992">
      <c r="A992" s="53"/>
      <c r="B992" s="53"/>
      <c r="C992" s="168"/>
      <c r="D992" s="169"/>
      <c r="E992" s="170"/>
      <c r="F992" s="53"/>
      <c r="G992" s="53"/>
      <c r="H992" s="53"/>
      <c r="I992" s="171"/>
      <c r="J992" s="170"/>
      <c r="K992" s="53"/>
      <c r="L992" s="53"/>
      <c r="M992" s="53"/>
      <c r="N992" s="171"/>
      <c r="O992" s="170"/>
      <c r="P992" s="53"/>
      <c r="Q992" s="53"/>
      <c r="R992" s="53"/>
      <c r="S992" s="171"/>
      <c r="T992" s="170"/>
      <c r="U992" s="53"/>
      <c r="V992" s="53"/>
      <c r="W992" s="53"/>
      <c r="X992" s="171"/>
      <c r="Y992" s="170"/>
      <c r="Z992" s="170"/>
      <c r="AA992" s="170"/>
      <c r="AB992" s="170"/>
      <c r="AC992" s="170"/>
      <c r="AD992" s="53"/>
      <c r="AE992" s="53"/>
    </row>
    <row r="993">
      <c r="A993" s="53"/>
      <c r="B993" s="53"/>
      <c r="C993" s="168"/>
      <c r="D993" s="169"/>
      <c r="E993" s="170"/>
      <c r="F993" s="53"/>
      <c r="G993" s="53"/>
      <c r="H993" s="53"/>
      <c r="I993" s="171"/>
      <c r="J993" s="170"/>
      <c r="K993" s="53"/>
      <c r="L993" s="53"/>
      <c r="M993" s="53"/>
      <c r="N993" s="171"/>
      <c r="O993" s="170"/>
      <c r="P993" s="53"/>
      <c r="Q993" s="53"/>
      <c r="R993" s="53"/>
      <c r="S993" s="171"/>
      <c r="T993" s="170"/>
      <c r="U993" s="53"/>
      <c r="V993" s="53"/>
      <c r="W993" s="53"/>
      <c r="X993" s="171"/>
      <c r="Y993" s="170"/>
      <c r="Z993" s="170"/>
      <c r="AA993" s="170"/>
      <c r="AB993" s="170"/>
      <c r="AC993" s="170"/>
      <c r="AD993" s="53"/>
      <c r="AE993" s="53"/>
    </row>
    <row r="994">
      <c r="A994" s="53"/>
      <c r="B994" s="53"/>
      <c r="C994" s="168"/>
      <c r="D994" s="169"/>
      <c r="E994" s="170"/>
      <c r="F994" s="53"/>
      <c r="G994" s="53"/>
      <c r="H994" s="53"/>
      <c r="I994" s="171"/>
      <c r="J994" s="170"/>
      <c r="K994" s="53"/>
      <c r="L994" s="53"/>
      <c r="M994" s="53"/>
      <c r="N994" s="171"/>
      <c r="O994" s="170"/>
      <c r="P994" s="53"/>
      <c r="Q994" s="53"/>
      <c r="R994" s="53"/>
      <c r="S994" s="171"/>
      <c r="T994" s="170"/>
      <c r="U994" s="53"/>
      <c r="V994" s="53"/>
      <c r="W994" s="53"/>
      <c r="X994" s="171"/>
      <c r="Y994" s="170"/>
      <c r="Z994" s="170"/>
      <c r="AA994" s="170"/>
      <c r="AB994" s="170"/>
      <c r="AC994" s="170"/>
      <c r="AD994" s="53"/>
      <c r="AE994" s="53"/>
    </row>
    <row r="995">
      <c r="A995" s="53"/>
      <c r="B995" s="53"/>
      <c r="C995" s="168"/>
      <c r="D995" s="169"/>
      <c r="E995" s="170"/>
      <c r="F995" s="53"/>
      <c r="G995" s="53"/>
      <c r="H995" s="53"/>
      <c r="I995" s="171"/>
      <c r="J995" s="170"/>
      <c r="K995" s="53"/>
      <c r="L995" s="53"/>
      <c r="M995" s="53"/>
      <c r="N995" s="171"/>
      <c r="O995" s="170"/>
      <c r="P995" s="53"/>
      <c r="Q995" s="53"/>
      <c r="R995" s="53"/>
      <c r="S995" s="171"/>
      <c r="T995" s="170"/>
      <c r="U995" s="53"/>
      <c r="V995" s="53"/>
      <c r="W995" s="53"/>
      <c r="X995" s="171"/>
      <c r="Y995" s="170"/>
      <c r="Z995" s="170"/>
      <c r="AA995" s="170"/>
      <c r="AB995" s="170"/>
      <c r="AC995" s="170"/>
      <c r="AD995" s="53"/>
      <c r="AE995" s="53"/>
    </row>
    <row r="996">
      <c r="A996" s="53"/>
      <c r="B996" s="53"/>
      <c r="C996" s="168"/>
      <c r="D996" s="169"/>
      <c r="E996" s="170"/>
      <c r="F996" s="53"/>
      <c r="G996" s="53"/>
      <c r="H996" s="53"/>
      <c r="I996" s="171"/>
      <c r="J996" s="170"/>
      <c r="K996" s="53"/>
      <c r="L996" s="53"/>
      <c r="M996" s="53"/>
      <c r="N996" s="171"/>
      <c r="O996" s="170"/>
      <c r="P996" s="53"/>
      <c r="Q996" s="53"/>
      <c r="R996" s="53"/>
      <c r="S996" s="171"/>
      <c r="T996" s="170"/>
      <c r="U996" s="53"/>
      <c r="V996" s="53"/>
      <c r="W996" s="53"/>
      <c r="X996" s="171"/>
      <c r="Y996" s="170"/>
      <c r="Z996" s="170"/>
      <c r="AA996" s="170"/>
      <c r="AB996" s="170"/>
      <c r="AC996" s="170"/>
      <c r="AD996" s="53"/>
      <c r="AE996" s="53"/>
    </row>
    <row r="997">
      <c r="A997" s="53"/>
      <c r="B997" s="53"/>
      <c r="C997" s="168"/>
      <c r="D997" s="169"/>
      <c r="E997" s="170"/>
      <c r="F997" s="53"/>
      <c r="G997" s="53"/>
      <c r="H997" s="53"/>
      <c r="I997" s="171"/>
      <c r="J997" s="170"/>
      <c r="K997" s="53"/>
      <c r="L997" s="53"/>
      <c r="M997" s="53"/>
      <c r="N997" s="171"/>
      <c r="O997" s="170"/>
      <c r="P997" s="53"/>
      <c r="Q997" s="53"/>
      <c r="R997" s="53"/>
      <c r="S997" s="171"/>
      <c r="T997" s="170"/>
      <c r="U997" s="53"/>
      <c r="V997" s="53"/>
      <c r="W997" s="53"/>
      <c r="X997" s="171"/>
      <c r="Y997" s="170"/>
      <c r="Z997" s="170"/>
      <c r="AA997" s="170"/>
      <c r="AB997" s="170"/>
      <c r="AC997" s="170"/>
      <c r="AD997" s="53"/>
      <c r="AE997" s="53"/>
    </row>
    <row r="998">
      <c r="A998" s="53"/>
      <c r="B998" s="53"/>
      <c r="C998" s="168"/>
      <c r="D998" s="169"/>
      <c r="E998" s="170"/>
      <c r="F998" s="53"/>
      <c r="G998" s="53"/>
      <c r="H998" s="53"/>
      <c r="I998" s="171"/>
      <c r="J998" s="170"/>
      <c r="K998" s="53"/>
      <c r="L998" s="53"/>
      <c r="M998" s="53"/>
      <c r="N998" s="171"/>
      <c r="O998" s="170"/>
      <c r="P998" s="53"/>
      <c r="Q998" s="53"/>
      <c r="R998" s="53"/>
      <c r="S998" s="171"/>
      <c r="T998" s="170"/>
      <c r="U998" s="53"/>
      <c r="V998" s="53"/>
      <c r="W998" s="53"/>
      <c r="X998" s="171"/>
      <c r="Y998" s="170"/>
      <c r="Z998" s="170"/>
      <c r="AA998" s="170"/>
      <c r="AB998" s="170"/>
      <c r="AC998" s="170"/>
      <c r="AD998" s="53"/>
      <c r="AE998" s="53"/>
    </row>
    <row r="999">
      <c r="A999" s="53"/>
      <c r="B999" s="53"/>
      <c r="C999" s="168"/>
      <c r="D999" s="169"/>
      <c r="E999" s="170"/>
      <c r="F999" s="53"/>
      <c r="G999" s="53"/>
      <c r="H999" s="53"/>
      <c r="I999" s="171"/>
      <c r="J999" s="170"/>
      <c r="K999" s="53"/>
      <c r="L999" s="53"/>
      <c r="M999" s="53"/>
      <c r="N999" s="171"/>
      <c r="O999" s="170"/>
      <c r="P999" s="53"/>
      <c r="Q999" s="53"/>
      <c r="R999" s="53"/>
      <c r="S999" s="171"/>
      <c r="T999" s="170"/>
      <c r="U999" s="53"/>
      <c r="V999" s="53"/>
      <c r="W999" s="53"/>
      <c r="X999" s="171"/>
      <c r="Y999" s="170"/>
      <c r="Z999" s="170"/>
      <c r="AA999" s="170"/>
      <c r="AB999" s="170"/>
      <c r="AC999" s="170"/>
      <c r="AD999" s="53"/>
      <c r="AE999" s="53"/>
    </row>
    <row r="1000">
      <c r="A1000" s="53"/>
      <c r="B1000" s="53"/>
      <c r="C1000" s="168"/>
      <c r="D1000" s="169"/>
      <c r="E1000" s="170"/>
      <c r="F1000" s="53"/>
      <c r="G1000" s="53"/>
      <c r="H1000" s="53"/>
      <c r="I1000" s="171"/>
      <c r="J1000" s="170"/>
      <c r="K1000" s="53"/>
      <c r="L1000" s="53"/>
      <c r="M1000" s="53"/>
      <c r="N1000" s="171"/>
      <c r="O1000" s="170"/>
      <c r="P1000" s="53"/>
      <c r="Q1000" s="53"/>
      <c r="R1000" s="53"/>
      <c r="S1000" s="171"/>
      <c r="T1000" s="170"/>
      <c r="U1000" s="53"/>
      <c r="V1000" s="53"/>
      <c r="W1000" s="53"/>
      <c r="X1000" s="171"/>
      <c r="Y1000" s="170"/>
      <c r="Z1000" s="170"/>
      <c r="AA1000" s="170"/>
      <c r="AB1000" s="170"/>
      <c r="AC1000" s="170"/>
      <c r="AD1000" s="53"/>
      <c r="AE1000" s="53"/>
    </row>
    <row r="1001">
      <c r="A1001" s="53"/>
      <c r="B1001" s="53"/>
      <c r="C1001" s="168"/>
      <c r="D1001" s="169"/>
      <c r="E1001" s="170"/>
      <c r="F1001" s="53"/>
      <c r="G1001" s="53"/>
      <c r="H1001" s="53"/>
      <c r="I1001" s="171"/>
      <c r="J1001" s="170"/>
      <c r="K1001" s="53"/>
      <c r="L1001" s="53"/>
      <c r="M1001" s="53"/>
      <c r="N1001" s="171"/>
      <c r="O1001" s="170"/>
      <c r="P1001" s="53"/>
      <c r="Q1001" s="53"/>
      <c r="R1001" s="53"/>
      <c r="S1001" s="171"/>
      <c r="T1001" s="170"/>
      <c r="U1001" s="53"/>
      <c r="V1001" s="53"/>
      <c r="W1001" s="53"/>
      <c r="X1001" s="171"/>
      <c r="Y1001" s="170"/>
      <c r="Z1001" s="170"/>
      <c r="AA1001" s="170"/>
      <c r="AB1001" s="170"/>
      <c r="AC1001" s="170"/>
      <c r="AD1001" s="53"/>
      <c r="AE1001" s="53"/>
    </row>
    <row r="1002">
      <c r="A1002" s="53"/>
      <c r="B1002" s="53"/>
      <c r="C1002" s="168"/>
      <c r="D1002" s="169"/>
      <c r="E1002" s="170"/>
      <c r="F1002" s="53"/>
      <c r="G1002" s="53"/>
      <c r="H1002" s="53"/>
      <c r="I1002" s="171"/>
      <c r="J1002" s="170"/>
      <c r="K1002" s="53"/>
      <c r="L1002" s="53"/>
      <c r="M1002" s="53"/>
      <c r="N1002" s="171"/>
      <c r="O1002" s="170"/>
      <c r="P1002" s="53"/>
      <c r="Q1002" s="53"/>
      <c r="R1002" s="53"/>
      <c r="S1002" s="171"/>
      <c r="T1002" s="170"/>
      <c r="U1002" s="53"/>
      <c r="V1002" s="53"/>
      <c r="W1002" s="53"/>
      <c r="X1002" s="171"/>
      <c r="Y1002" s="170"/>
      <c r="Z1002" s="170"/>
      <c r="AA1002" s="170"/>
      <c r="AB1002" s="170"/>
      <c r="AC1002" s="170"/>
      <c r="AD1002" s="53"/>
      <c r="AE1002" s="53"/>
    </row>
    <row r="1003">
      <c r="A1003" s="53"/>
      <c r="B1003" s="53"/>
      <c r="C1003" s="168"/>
      <c r="D1003" s="169"/>
      <c r="E1003" s="170"/>
      <c r="F1003" s="53"/>
      <c r="G1003" s="53"/>
      <c r="H1003" s="53"/>
      <c r="I1003" s="171"/>
      <c r="J1003" s="170"/>
      <c r="K1003" s="53"/>
      <c r="L1003" s="53"/>
      <c r="M1003" s="53"/>
      <c r="N1003" s="171"/>
      <c r="O1003" s="170"/>
      <c r="P1003" s="53"/>
      <c r="Q1003" s="53"/>
      <c r="R1003" s="53"/>
      <c r="S1003" s="171"/>
      <c r="T1003" s="170"/>
      <c r="U1003" s="53"/>
      <c r="V1003" s="53"/>
      <c r="W1003" s="53"/>
      <c r="X1003" s="171"/>
      <c r="Y1003" s="170"/>
      <c r="Z1003" s="170"/>
      <c r="AA1003" s="170"/>
      <c r="AB1003" s="170"/>
      <c r="AC1003" s="170"/>
      <c r="AD1003" s="53"/>
      <c r="AE1003" s="53"/>
    </row>
  </sheetData>
  <hyperlinks>
    <hyperlink r:id="rId1" ref="E4"/>
    <hyperlink r:id="rId2" ref="J4"/>
    <hyperlink r:id="rId3" ref="O4"/>
    <hyperlink r:id="rId4" ref="O7"/>
    <hyperlink r:id="rId5" ref="O8"/>
    <hyperlink r:id="rId6" ref="J10"/>
    <hyperlink r:id="rId7" ref="J12"/>
    <hyperlink r:id="rId8" ref="J15"/>
  </hyperlinks>
  <drawing r:id="rId9"/>
  <tableParts count="6"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9.38"/>
    <col customWidth="1" min="3" max="3" width="6.63"/>
    <col customWidth="1" min="4" max="4" width="5.63"/>
    <col customWidth="1" min="5" max="5" width="3.75"/>
    <col customWidth="1" min="6" max="12" width="17.75"/>
  </cols>
  <sheetData>
    <row r="1">
      <c r="A1" s="68"/>
      <c r="J1" s="233"/>
      <c r="K1" s="234"/>
      <c r="L1" s="233" t="s">
        <v>966</v>
      </c>
    </row>
    <row r="2">
      <c r="A2" s="68"/>
      <c r="B2" s="235" t="s">
        <v>10210</v>
      </c>
      <c r="C2" s="236"/>
      <c r="D2" s="237"/>
      <c r="F2" s="238" t="s">
        <v>912</v>
      </c>
      <c r="G2" s="239">
        <v>2026.0</v>
      </c>
      <c r="J2" s="233">
        <f>MONTH(F2 &amp; " 1")</f>
        <v>7</v>
      </c>
      <c r="K2" s="234">
        <f>MONTH(DATE(G2, J2, 1)-1)</f>
        <v>6</v>
      </c>
      <c r="L2" s="233">
        <f>YEAR(DATE(G2, J2, 1)-1)</f>
        <v>2026</v>
      </c>
    </row>
    <row r="3">
      <c r="A3" s="68"/>
      <c r="J3" s="233"/>
      <c r="K3" s="234"/>
      <c r="L3" s="233"/>
    </row>
    <row r="4">
      <c r="A4" s="240"/>
      <c r="B4" s="241" t="s">
        <v>10179</v>
      </c>
      <c r="C4" s="242"/>
      <c r="D4" s="195"/>
      <c r="E4" s="240"/>
      <c r="F4" s="243" t="s">
        <v>10211</v>
      </c>
      <c r="G4" s="243" t="s">
        <v>10212</v>
      </c>
      <c r="H4" s="243" t="s">
        <v>10213</v>
      </c>
      <c r="I4" s="243" t="s">
        <v>10214</v>
      </c>
      <c r="J4" s="243" t="s">
        <v>10215</v>
      </c>
      <c r="K4" s="243" t="s">
        <v>10216</v>
      </c>
      <c r="L4" s="243" t="s">
        <v>10217</v>
      </c>
    </row>
    <row r="5">
      <c r="A5" s="244"/>
      <c r="B5" s="245">
        <f>IFERROR(__xludf.DUMMYFUNCTION("SUM(IFERROR(FILTER(Leads_Harian!B:B, MONTH(Leads_Harian!A:A)=$J$2, YEAR(Leads_Harian!A:A)=$G$2), 0))"),366.0)</f>
        <v>366</v>
      </c>
      <c r="C5" s="242"/>
      <c r="D5" s="195"/>
      <c r="E5" s="244"/>
      <c r="F5" s="246">
        <f>DATE(G2, J2, 1) - WEEKDAY(DATE(G2, J2, 1), 2) + 1</f>
        <v>46202</v>
      </c>
      <c r="G5" s="246">
        <f t="shared" ref="G5:L5" si="1">F5+1</f>
        <v>46203</v>
      </c>
      <c r="H5" s="246">
        <f t="shared" si="1"/>
        <v>46204</v>
      </c>
      <c r="I5" s="246">
        <f t="shared" si="1"/>
        <v>46205</v>
      </c>
      <c r="J5" s="246">
        <f t="shared" si="1"/>
        <v>46206</v>
      </c>
      <c r="K5" s="246">
        <f t="shared" si="1"/>
        <v>46207</v>
      </c>
      <c r="L5" s="246">
        <f t="shared" si="1"/>
        <v>46208</v>
      </c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</row>
    <row r="6">
      <c r="A6" s="248"/>
      <c r="B6" s="249">
        <f>IFERROR(__xludf.DUMMYFUNCTION("LET(
  bulan_ini, SUM(IFERROR(FILTER(Leads_Harian!$B:$B, MONTH(Leads_Harian!$A:$A)=$J$2, YEAR(Leads_Harian!$A:$A)=$G$2), 0)),
  bulan_lalu, SUM(IFERROR(FILTER(Leads_Harian!$B:$B, MONTH(Leads_Harian!$A:$A)=$K$2, YEAR(Leads_Harian!$A:$A)=$L$2), 0)),
  IF(bu"&amp;"lan_lalu=0, bulan_ini, bulan_ini - bulan_lalu)
)"),-162.0)</f>
        <v>-162</v>
      </c>
      <c r="C6" s="250"/>
      <c r="D6" s="202"/>
      <c r="E6" s="248"/>
      <c r="F6" s="251">
        <f>IFERROR(VLOOKUP(F5, Leads_Harian!$A:$B, 2, FALSE), 0)</f>
        <v>20</v>
      </c>
      <c r="G6" s="251">
        <f>IFERROR(VLOOKUP(G5, Leads_Harian!$A:$B, 2, FALSE), 0)</f>
        <v>28</v>
      </c>
      <c r="H6" s="251">
        <f>IFERROR(VLOOKUP(H5, Leads_Harian!$A:$B, 2, FALSE), 0)</f>
        <v>23</v>
      </c>
      <c r="I6" s="251">
        <f>IFERROR(VLOOKUP(I5, Leads_Harian!$A:$B, 2, FALSE), 0)</f>
        <v>27</v>
      </c>
      <c r="J6" s="251">
        <f>IFERROR(VLOOKUP(J5, Leads_Harian!$A:$B, 2, FALSE), 0)</f>
        <v>15</v>
      </c>
      <c r="K6" s="251">
        <f>IFERROR(VLOOKUP(K5, Leads_Harian!$A:$B, 2, FALSE), 0)</f>
        <v>18</v>
      </c>
      <c r="L6" s="251">
        <f>IFERROR(VLOOKUP(L5, Leads_Harian!$A:$B, 2, FALSE), 0)</f>
        <v>9</v>
      </c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</row>
    <row r="7">
      <c r="A7" s="252"/>
      <c r="E7" s="252"/>
      <c r="F7" s="253" t="str">
        <f>IFERROR("D: "&amp;SUMIFS(Leads_Harian!$H:$H, Leads_Harian!$A:$A, F5) &amp; " | A: "&amp;SUMIFS(Leads_Harian!$I:$I, Leads_Harian!$A:$A, F5) &amp; " | H: "&amp;SUMIFS(Leads_Harian!$J:$J, Leads_Harian!$A:$A, F5), "0")</f>
        <v>D: 9 | A: 8 | H: 3</v>
      </c>
      <c r="G7" s="253" t="str">
        <f>IFERROR("D: "&amp;SUMIFS(Leads_Harian!$H:$H, Leads_Harian!$A:$A, G5) &amp; " | A: "&amp;SUMIFS(Leads_Harian!$I:$I, Leads_Harian!$A:$A, G5) &amp; " | H: "&amp;SUMIFS(Leads_Harian!$J:$J, Leads_Harian!$A:$A, G5), "0")</f>
        <v>D: 9 | A: 12 | H: 7</v>
      </c>
      <c r="H7" s="253" t="str">
        <f>IFERROR("D: "&amp;SUMIFS(Leads_Harian!$H:$H, Leads_Harian!$A:$A, H5) &amp; " | A: "&amp;SUMIFS(Leads_Harian!$I:$I, Leads_Harian!$A:$A, H5) &amp; " | H: "&amp;SUMIFS(Leads_Harian!$J:$J, Leads_Harian!$A:$A, H5), "0")</f>
        <v>D: 6 | A: 11 | H: 6</v>
      </c>
      <c r="I7" s="253" t="str">
        <f>IFERROR("D: "&amp;SUMIFS(Leads_Harian!$H:$H, Leads_Harian!$A:$A, I5) &amp; " | A: "&amp;SUMIFS(Leads_Harian!$I:$I, Leads_Harian!$A:$A, I5) &amp; " | H: "&amp;SUMIFS(Leads_Harian!$J:$J, Leads_Harian!$A:$A, I5), "0")</f>
        <v>D: 14 | A: 11 | H: 2</v>
      </c>
      <c r="J7" s="253" t="str">
        <f>IFERROR("D: "&amp;SUMIFS(Leads_Harian!$H:$H, Leads_Harian!$A:$A, J5) &amp; " | A: "&amp;SUMIFS(Leads_Harian!$I:$I, Leads_Harian!$A:$A, J5) &amp; " | H: "&amp;SUMIFS(Leads_Harian!$J:$J, Leads_Harian!$A:$A, J5), "0")</f>
        <v>D: 5 | A: 8 | H: 2</v>
      </c>
      <c r="K7" s="253" t="str">
        <f>IFERROR("D: "&amp;SUMIFS(Leads_Harian!$H:$H, Leads_Harian!$A:$A, K5) &amp; " | A: "&amp;SUMIFS(Leads_Harian!$I:$I, Leads_Harian!$A:$A, K5) &amp; " | H: "&amp;SUMIFS(Leads_Harian!$J:$J, Leads_Harian!$A:$A, K5), "0")</f>
        <v>D: 10 | A: 7 | H: 1</v>
      </c>
      <c r="L7" s="253" t="str">
        <f>IFERROR("D: "&amp;SUMIFS(Leads_Harian!$H:$H, Leads_Harian!$A:$A, L5) &amp; " | A: "&amp;SUMIFS(Leads_Harian!$I:$I, Leads_Harian!$A:$A, L5) &amp; " | H: "&amp;SUMIFS(Leads_Harian!$J:$J, Leads_Harian!$A:$A, L5), "0")</f>
        <v>D: 1 | A: 5 | H: 3</v>
      </c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</row>
    <row r="8">
      <c r="A8" s="252"/>
      <c r="B8" s="194" t="s">
        <v>10218</v>
      </c>
      <c r="C8" s="242"/>
      <c r="D8" s="195"/>
      <c r="E8" s="252"/>
      <c r="F8" s="253" t="str">
        <f>IFERROR("W: "&amp;SUMIFS(Leads_Harian!$C:$C, Leads_Harian!$A:$A, F5) &amp; " | I: "&amp;SUMIFS(Leads_Harian!$D:$D, Leads_Harian!$A:$A, F5) &amp; " | T: "&amp;SUMIFS(Leads_Harian!$E:$E, Leads_Harian!$A:$A, F5) &amp; " | R: "&amp;SUMIFS(Leads_Harian!$F:$F, Leads_Harian!$A:$A, F5) &amp; " | L: "&amp;SUMIFS(Leads_Harian!$G:$G, Leads_Harian!$A:$A, F5), "0")</f>
        <v>W: 8 | I: 10 | T: 0 | R: 0 | L: 2</v>
      </c>
      <c r="G8" s="253" t="str">
        <f>IFERROR("W: "&amp;SUMIFS(Leads_Harian!$C:$C, Leads_Harian!$A:$A, G5) &amp; " | I: "&amp;SUMIFS(Leads_Harian!$D:$D, Leads_Harian!$A:$A, G5) &amp; " | T: "&amp;SUMIFS(Leads_Harian!$E:$E, Leads_Harian!$A:$A, G5) &amp; " | R: "&amp;SUMIFS(Leads_Harian!$F:$F, Leads_Harian!$A:$A, G5) &amp; " | L: "&amp;SUMIFS(Leads_Harian!$G:$G, Leads_Harian!$A:$A, G5), "0")</f>
        <v>W: 7 | I: 18 | T: 0 | R: 0 | L: 3</v>
      </c>
      <c r="H8" s="253" t="str">
        <f>IFERROR("W: "&amp;SUMIFS(Leads_Harian!$C:$C, Leads_Harian!$A:$A, H5) &amp; " | I: "&amp;SUMIFS(Leads_Harian!$D:$D, Leads_Harian!$A:$A, H5) &amp; " | T: "&amp;SUMIFS(Leads_Harian!$E:$E, Leads_Harian!$A:$A, H5) &amp; " | R: "&amp;SUMIFS(Leads_Harian!$F:$F, Leads_Harian!$A:$A, H5) &amp; " | L: "&amp;SUMIFS(Leads_Harian!$G:$G, Leads_Harian!$A:$A, H5), "0")</f>
        <v>W: 12 | I: 11 | T: 0 | R: 0 | L: 0</v>
      </c>
      <c r="I8" s="253" t="str">
        <f>IFERROR("W: "&amp;SUMIFS(Leads_Harian!$C:$C, Leads_Harian!$A:$A, I5) &amp; " | I: "&amp;SUMIFS(Leads_Harian!$D:$D, Leads_Harian!$A:$A, I5) &amp; " | T: "&amp;SUMIFS(Leads_Harian!$E:$E, Leads_Harian!$A:$A, I5) &amp; " | R: "&amp;SUMIFS(Leads_Harian!$F:$F, Leads_Harian!$A:$A, I5) &amp; " | L: "&amp;SUMIFS(Leads_Harian!$G:$G, Leads_Harian!$A:$A, I5), "0")</f>
        <v>W: 13 | I: 12 | T: 0 | R: 1 | L: 1</v>
      </c>
      <c r="J8" s="253" t="str">
        <f>IFERROR("W: "&amp;SUMIFS(Leads_Harian!$C:$C, Leads_Harian!$A:$A, J5) &amp; " | I: "&amp;SUMIFS(Leads_Harian!$D:$D, Leads_Harian!$A:$A, J5) &amp; " | T: "&amp;SUMIFS(Leads_Harian!$E:$E, Leads_Harian!$A:$A, J5) &amp; " | R: "&amp;SUMIFS(Leads_Harian!$F:$F, Leads_Harian!$A:$A, J5) &amp; " | L: "&amp;SUMIFS(Leads_Harian!$G:$G, Leads_Harian!$A:$A, J5), "0")</f>
        <v>W: 6 | I: 8 | T: 0 | R: 0 | L: 1</v>
      </c>
      <c r="K8" s="253" t="str">
        <f>IFERROR("W: "&amp;SUMIFS(Leads_Harian!$C:$C, Leads_Harian!$A:$A, K5) &amp; " | I: "&amp;SUMIFS(Leads_Harian!$D:$D, Leads_Harian!$A:$A, K5) &amp; " | T: "&amp;SUMIFS(Leads_Harian!$E:$E, Leads_Harian!$A:$A, K5) &amp; " | R: "&amp;SUMIFS(Leads_Harian!$F:$F, Leads_Harian!$A:$A, K5) &amp; " | L: "&amp;SUMIFS(Leads_Harian!$G:$G, Leads_Harian!$A:$A, K5), "0")</f>
        <v>W: 6 | I: 9 | T: 0 | R: 1 | L: 2</v>
      </c>
      <c r="L8" s="253" t="str">
        <f>IFERROR("W: "&amp;SUMIFS(Leads_Harian!$C:$C, Leads_Harian!$A:$A, L5) &amp; " | I: "&amp;SUMIFS(Leads_Harian!$D:$D, Leads_Harian!$A:$A, L5) &amp; " | T: "&amp;SUMIFS(Leads_Harian!$E:$E, Leads_Harian!$A:$A, L5) &amp; " | R: "&amp;SUMIFS(Leads_Harian!$F:$F, Leads_Harian!$A:$A, L5) &amp; " | L: "&amp;SUMIFS(Leads_Harian!$G:$G, Leads_Harian!$A:$A, L5), "0")</f>
        <v>W: 5 | I: 2 | T: 0 | R: 0 | L: 2</v>
      </c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</row>
    <row r="9">
      <c r="A9" s="255"/>
      <c r="B9" s="256" t="s">
        <v>129</v>
      </c>
      <c r="C9" s="257">
        <f>IFERROR(__xludf.DUMMYFUNCTION("SUM(IFERROR(FILTER(Leads_Harian!H:H, MONTH(Leads_Harian!A:A)=$J$2, YEAR(Leads_Harian!A:A)=$G$2), 0))"),176.0)</f>
        <v>176</v>
      </c>
      <c r="D9" s="258">
        <f>IFERROR(__xludf.DUMMYFUNCTION("LET(
  bulan_ini, SUM(IFERROR(FILTER(Leads_Harian!$H:$H, MONTH(Leads_Harian!$A:$A)=$J$2, YEAR(Leads_Harian!$A:$A)=$G$2), 0)),
  bulan_lalu, SUM(IFERROR(FILTER(Leads_Harian!$H:$H, MONTH(Leads_Harian!$A:$A)=$K$2, YEAR(Leads_Harian!$A:$A)=$L$2), 0)),
  IF(bu"&amp;"lan_lalu=0, bulan_ini, bulan_ini - bulan_lalu)
)"),-79.0)</f>
        <v>-79</v>
      </c>
      <c r="E9" s="255"/>
      <c r="F9" s="259">
        <f>L5+1</f>
        <v>46209</v>
      </c>
      <c r="G9" s="259">
        <f t="shared" ref="G9:L9" si="2">F9+1</f>
        <v>46210</v>
      </c>
      <c r="H9" s="259">
        <f t="shared" si="2"/>
        <v>46211</v>
      </c>
      <c r="I9" s="259">
        <f t="shared" si="2"/>
        <v>46212</v>
      </c>
      <c r="J9" s="259">
        <f t="shared" si="2"/>
        <v>46213</v>
      </c>
      <c r="K9" s="259">
        <f t="shared" si="2"/>
        <v>46214</v>
      </c>
      <c r="L9" s="259">
        <f t="shared" si="2"/>
        <v>46215</v>
      </c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55"/>
    </row>
    <row r="10">
      <c r="A10" s="248"/>
      <c r="B10" s="260" t="s">
        <v>18</v>
      </c>
      <c r="C10" s="261">
        <f>IFERROR(__xludf.DUMMYFUNCTION("SUM(IFERROR(FILTER(Leads_Harian!I:I, MONTH(Leads_Harian!A:A)=$J$2, YEAR(Leads_Harian!A:A)=$G$2), 0))"),140.0)</f>
        <v>140</v>
      </c>
      <c r="D10" s="262">
        <f>IFERROR(__xludf.DUMMYFUNCTION("LET(
  bulan_ini, SUM(IFERROR(FILTER(Leads_Harian!$I:$I, MONTH(Leads_Harian!$A:$A)=$J$2, YEAR(Leads_Harian!$A:$A)=$G$2), 0)),
  bulan_lalu, SUM(IFERROR(FILTER(Leads_Harian!$I:$I, MONTH(Leads_Harian!$A:$A)=$K$2, YEAR(Leads_Harian!$A:$A)=$L$2), 0)),
  IF(bu"&amp;"lan_lalu=0, bulan_ini, bulan_ini - bulan_lalu)
)"),-51.0)</f>
        <v>-51</v>
      </c>
      <c r="E10" s="248"/>
      <c r="F10" s="251">
        <f>IFERROR(VLOOKUP(F9, Leads_Harian!$A:$B, 2, FALSE), 0)</f>
        <v>16</v>
      </c>
      <c r="G10" s="251">
        <f>IFERROR(VLOOKUP(G9, Leads_Harian!$A:$B, 2, FALSE), 0)</f>
        <v>19</v>
      </c>
      <c r="H10" s="251">
        <f>IFERROR(VLOOKUP(H9, Leads_Harian!$A:$B, 2, FALSE), 0)</f>
        <v>20</v>
      </c>
      <c r="I10" s="251">
        <f>IFERROR(VLOOKUP(I9, Leads_Harian!$A:$B, 2, FALSE), 0)</f>
        <v>23</v>
      </c>
      <c r="J10" s="251">
        <f>IFERROR(VLOOKUP(J9, Leads_Harian!$A:$B, 2, FALSE), 0)</f>
        <v>9</v>
      </c>
      <c r="K10" s="251">
        <f>IFERROR(VLOOKUP(K9, Leads_Harian!$A:$B, 2, FALSE), 0)</f>
        <v>8</v>
      </c>
      <c r="L10" s="251">
        <f>IFERROR(VLOOKUP(L9, Leads_Harian!$A:$B, 2, FALSE), 0)</f>
        <v>7</v>
      </c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</row>
    <row r="11">
      <c r="A11" s="254"/>
      <c r="B11" s="263" t="s">
        <v>983</v>
      </c>
      <c r="C11" s="264">
        <f>IFERROR(__xludf.DUMMYFUNCTION("SUM(IFERROR(FILTER(Leads_Harian!J:J, MONTH(Leads_Harian!A:A)=$J$2, YEAR(Leads_Harian!A:A)=$G$2), 0))"),50.0)</f>
        <v>50</v>
      </c>
      <c r="D11" s="265">
        <f>IFERROR(__xludf.DUMMYFUNCTION("LET(
  bulan_ini, SUM(IFERROR(FILTER(Leads_Harian!$J:$J, MONTH(Leads_Harian!$A:$A)=$J$2, YEAR(Leads_Harian!$A:$A)=$G$2), 0)),
  bulan_lalu, SUM(IFERROR(FILTER(Leads_Harian!$J:$J, MONTH(Leads_Harian!$A:$A)=$K$2, YEAR(Leads_Harian!$A:$A)=$L$2), 0)),
  IF(bu"&amp;"lan_lalu=0, bulan_ini, bulan_ini - bulan_lalu)
)"),-32.0)</f>
        <v>-32</v>
      </c>
      <c r="E11" s="261"/>
      <c r="F11" s="253" t="str">
        <f>IFERROR("D: "&amp;SUMIFS(Leads_Harian!$H:$H, Leads_Harian!$A:$A, F9) &amp; " | A: "&amp;SUMIFS(Leads_Harian!$I:$I, Leads_Harian!$A:$A, F9) &amp; " | H: "&amp;SUMIFS(Leads_Harian!$J:$J, Leads_Harian!$A:$A, F9), "0")</f>
        <v>D: 6 | A: 7 | H: 3</v>
      </c>
      <c r="G11" s="253" t="str">
        <f>IFERROR("D: "&amp;SUMIFS(Leads_Harian!$H:$H, Leads_Harian!$A:$A, G9) &amp; " | A: "&amp;SUMIFS(Leads_Harian!$I:$I, Leads_Harian!$A:$A, G9) &amp; " | H: "&amp;SUMIFS(Leads_Harian!$J:$J, Leads_Harian!$A:$A, G9), "0")</f>
        <v>D: 14 | A: 4 | H: 1</v>
      </c>
      <c r="H11" s="253" t="str">
        <f>IFERROR("D: "&amp;SUMIFS(Leads_Harian!$H:$H, Leads_Harian!$A:$A, H9) &amp; " | A: "&amp;SUMIFS(Leads_Harian!$I:$I, Leads_Harian!$A:$A, H9) &amp; " | H: "&amp;SUMIFS(Leads_Harian!$J:$J, Leads_Harian!$A:$A, H9), "0")</f>
        <v>D: 14 | A: 6 | H: 0</v>
      </c>
      <c r="I11" s="253" t="str">
        <f>IFERROR("D: "&amp;SUMIFS(Leads_Harian!$H:$H, Leads_Harian!$A:$A, I9) &amp; " | A: "&amp;SUMIFS(Leads_Harian!$I:$I, Leads_Harian!$A:$A, I9) &amp; " | H: "&amp;SUMIFS(Leads_Harian!$J:$J, Leads_Harian!$A:$A, I9), "0")</f>
        <v>D: 7 | A: 12 | H: 4</v>
      </c>
      <c r="J11" s="253" t="str">
        <f>IFERROR("D: "&amp;SUMIFS(Leads_Harian!$H:$H, Leads_Harian!$A:$A, J9) &amp; " | A: "&amp;SUMIFS(Leads_Harian!$I:$I, Leads_Harian!$A:$A, J9) &amp; " | H: "&amp;SUMIFS(Leads_Harian!$J:$J, Leads_Harian!$A:$A, J9), "0")</f>
        <v>D: 5 | A: 4 | H: 0</v>
      </c>
      <c r="K11" s="253" t="str">
        <f>IFERROR("D: "&amp;SUMIFS(Leads_Harian!$H:$H, Leads_Harian!$A:$A, K9) &amp; " | A: "&amp;SUMIFS(Leads_Harian!$I:$I, Leads_Harian!$A:$A, K9) &amp; " | H: "&amp;SUMIFS(Leads_Harian!$J:$J, Leads_Harian!$A:$A, K9), "0")</f>
        <v>D: 4 | A: 3 | H: 1</v>
      </c>
      <c r="L11" s="253" t="str">
        <f>IFERROR("D: "&amp;SUMIFS(Leads_Harian!$H:$H, Leads_Harian!$A:$A, L9) &amp; " | A: "&amp;SUMIFS(Leads_Harian!$I:$I, Leads_Harian!$A:$A, L9) &amp; " | H: "&amp;SUMIFS(Leads_Harian!$J:$J, Leads_Harian!$A:$A, L9), "0")</f>
        <v>D: 2 | A: 4 | H: 1</v>
      </c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</row>
    <row r="12">
      <c r="A12" s="254"/>
      <c r="B12" s="266"/>
      <c r="C12" s="266"/>
      <c r="D12" s="267"/>
      <c r="E12" s="254"/>
      <c r="F12" s="268" t="str">
        <f>IFERROR("W: "&amp;SUMIFS(Leads_Harian!$C:$C, Leads_Harian!$A:$A, F9) &amp; " | I: "&amp;SUMIFS(Leads_Harian!$D:$D, Leads_Harian!$A:$A, F9) &amp; " | T: "&amp;SUMIFS(Leads_Harian!$E:$E, Leads_Harian!$A:$A, F9) &amp; " | R: "&amp;SUMIFS(Leads_Harian!$F:$F, Leads_Harian!$A:$A, F9) &amp; " | L: "&amp;SUMIFS(Leads_Harian!$G:$G, Leads_Harian!$A:$A, F9), "0")</f>
        <v>W: 6 | I: 9 | T: 0 | R: 0 | L: 0</v>
      </c>
      <c r="G12" s="268" t="str">
        <f>IFERROR("W: "&amp;SUMIFS(Leads_Harian!$C:$C, Leads_Harian!$A:$A, G9) &amp; " | I: "&amp;SUMIFS(Leads_Harian!$D:$D, Leads_Harian!$A:$A, G9) &amp; " | T: "&amp;SUMIFS(Leads_Harian!$E:$E, Leads_Harian!$A:$A, G9) &amp; " | R: "&amp;SUMIFS(Leads_Harian!$F:$F, Leads_Harian!$A:$A, G9) &amp; " | L: "&amp;SUMIFS(Leads_Harian!$G:$G, Leads_Harian!$A:$A, G9), "0")</f>
        <v>W: 6 | I: 12 | T: 0 | R: 1 | L: 0</v>
      </c>
      <c r="H12" s="268" t="str">
        <f>IFERROR("W: "&amp;SUMIFS(Leads_Harian!$C:$C, Leads_Harian!$A:$A, H9) &amp; " | I: "&amp;SUMIFS(Leads_Harian!$D:$D, Leads_Harian!$A:$A, H9) &amp; " | T: "&amp;SUMIFS(Leads_Harian!$E:$E, Leads_Harian!$A:$A, H9) &amp; " | R: "&amp;SUMIFS(Leads_Harian!$F:$F, Leads_Harian!$A:$A, H9) &amp; " | L: "&amp;SUMIFS(Leads_Harian!$G:$G, Leads_Harian!$A:$A, H9), "0")</f>
        <v>W: 7 | I: 11 | T: 1 | R: 0 | L: 1</v>
      </c>
      <c r="I12" s="268" t="str">
        <f>IFERROR("W: "&amp;SUMIFS(Leads_Harian!$C:$C, Leads_Harian!$A:$A, I9) &amp; " | I: "&amp;SUMIFS(Leads_Harian!$D:$D, Leads_Harian!$A:$A, I9) &amp; " | T: "&amp;SUMIFS(Leads_Harian!$E:$E, Leads_Harian!$A:$A, I9) &amp; " | R: "&amp;SUMIFS(Leads_Harian!$F:$F, Leads_Harian!$A:$A, I9) &amp; " | L: "&amp;SUMIFS(Leads_Harian!$G:$G, Leads_Harian!$A:$A, I9), "0")</f>
        <v>W: 6 | I: 12 | T: 1 | R: 0 | L: 4</v>
      </c>
      <c r="J12" s="268" t="str">
        <f>IFERROR("W: "&amp;SUMIFS(Leads_Harian!$C:$C, Leads_Harian!$A:$A, J9) &amp; " | I: "&amp;SUMIFS(Leads_Harian!$D:$D, Leads_Harian!$A:$A, J9) &amp; " | T: "&amp;SUMIFS(Leads_Harian!$E:$E, Leads_Harian!$A:$A, J9) &amp; " | R: "&amp;SUMIFS(Leads_Harian!$F:$F, Leads_Harian!$A:$A, J9) &amp; " | L: "&amp;SUMIFS(Leads_Harian!$G:$G, Leads_Harian!$A:$A, J9), "0")</f>
        <v>W: 3 | I: 5 | T: 0 | R: 0 | L: 1</v>
      </c>
      <c r="K12" s="268" t="str">
        <f>IFERROR("W: "&amp;SUMIFS(Leads_Harian!$C:$C, Leads_Harian!$A:$A, K9) &amp; " | I: "&amp;SUMIFS(Leads_Harian!$D:$D, Leads_Harian!$A:$A, K9) &amp; " | T: "&amp;SUMIFS(Leads_Harian!$E:$E, Leads_Harian!$A:$A, K9) &amp; " | R: "&amp;SUMIFS(Leads_Harian!$F:$F, Leads_Harian!$A:$A, K9) &amp; " | L: "&amp;SUMIFS(Leads_Harian!$G:$G, Leads_Harian!$A:$A, K9), "0")</f>
        <v>W: 0 | I: 7 | T: 1 | R: 0 | L: 0</v>
      </c>
      <c r="L12" s="268" t="str">
        <f>IFERROR("W: "&amp;SUMIFS(Leads_Harian!$C:$C, Leads_Harian!$A:$A, L9) &amp; " | I: "&amp;SUMIFS(Leads_Harian!$D:$D, Leads_Harian!$A:$A, L9) &amp; " | T: "&amp;SUMIFS(Leads_Harian!$E:$E, Leads_Harian!$A:$A, L9) &amp; " | R: "&amp;SUMIFS(Leads_Harian!$F:$F, Leads_Harian!$A:$A, L9) &amp; " | L: "&amp;SUMIFS(Leads_Harian!$G:$G, Leads_Harian!$A:$A, L9), "0")</f>
        <v>W: 0 | I: 4 | T: 0 | R: 0 | L: 3</v>
      </c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</row>
    <row r="13">
      <c r="A13" s="255"/>
      <c r="B13" s="241" t="s">
        <v>10219</v>
      </c>
      <c r="C13" s="242"/>
      <c r="D13" s="195"/>
      <c r="E13" s="255"/>
      <c r="F13" s="259">
        <f>L9+1</f>
        <v>46216</v>
      </c>
      <c r="G13" s="259">
        <f t="shared" ref="G13:L13" si="3">F13+1</f>
        <v>46217</v>
      </c>
      <c r="H13" s="259">
        <f t="shared" si="3"/>
        <v>46218</v>
      </c>
      <c r="I13" s="259">
        <f t="shared" si="3"/>
        <v>46219</v>
      </c>
      <c r="J13" s="259">
        <f t="shared" si="3"/>
        <v>46220</v>
      </c>
      <c r="K13" s="259">
        <f t="shared" si="3"/>
        <v>46221</v>
      </c>
      <c r="L13" s="259">
        <f t="shared" si="3"/>
        <v>46222</v>
      </c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</row>
    <row r="14">
      <c r="A14" s="248"/>
      <c r="B14" s="256" t="s">
        <v>17</v>
      </c>
      <c r="C14" s="257">
        <f>IFERROR(__xludf.DUMMYFUNCTION("SUM(IFERROR(FILTER(Leads_Harian!C:C, MONTH(Leads_Harian!A:A)=$J$2, YEAR(Leads_Harian!A:A)=$G$2), 0))"),121.0)</f>
        <v>121</v>
      </c>
      <c r="D14" s="258">
        <f>IFERROR(__xludf.DUMMYFUNCTION("LET(
  bulan_ini, SUM(IFERROR(FILTER(Leads_Harian!$C:$C, MONTH(Leads_Harian!$A:$A)=$J$2, YEAR(Leads_Harian!$A:$A)=$G$2), 0)),
  bulan_lalu, SUM(IFERROR(FILTER(Leads_Harian!$C:$C, MONTH(Leads_Harian!$A:$A)=$K$2, YEAR(Leads_Harian!$A:$A)=$L$2), 0)),
  IF(bu"&amp;"lan_lalu=0, bulan_ini, bulan_ini - bulan_lalu)
)"),-69.0)</f>
        <v>-69</v>
      </c>
      <c r="E14" s="248"/>
      <c r="F14" s="251">
        <f>IFERROR(VLOOKUP(F13, Leads_Harian!$A:$B, 2, FALSE), 0)</f>
        <v>8</v>
      </c>
      <c r="G14" s="251">
        <f>IFERROR(VLOOKUP(G13, Leads_Harian!$A:$B, 2, FALSE), 0)</f>
        <v>10</v>
      </c>
      <c r="H14" s="251">
        <f>IFERROR(VLOOKUP(H13, Leads_Harian!$A:$B, 2, FALSE), 0)</f>
        <v>16</v>
      </c>
      <c r="I14" s="251">
        <f>IFERROR(VLOOKUP(I13, Leads_Harian!$A:$B, 2, FALSE), 0)</f>
        <v>12</v>
      </c>
      <c r="J14" s="251">
        <f>IFERROR(VLOOKUP(J13, Leads_Harian!$A:$B, 2, FALSE), 0)</f>
        <v>8</v>
      </c>
      <c r="K14" s="251">
        <f>IFERROR(VLOOKUP(K13, Leads_Harian!$A:$B, 2, FALSE), 0)</f>
        <v>10</v>
      </c>
      <c r="L14" s="251">
        <f>IFERROR(VLOOKUP(L13, Leads_Harian!$A:$B, 2, FALSE), 0)</f>
        <v>13</v>
      </c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</row>
    <row r="15">
      <c r="A15" s="254"/>
      <c r="B15" s="269" t="s">
        <v>128</v>
      </c>
      <c r="C15" s="261">
        <f>IFERROR(__xludf.DUMMYFUNCTION("SUM(IFERROR(FILTER(Leads_Harian!D:D, MONTH(Leads_Harian!A:A)=$J$2, YEAR(Leads_Harian!A:A)=$G$2), 0))"),207.0)</f>
        <v>207</v>
      </c>
      <c r="D15" s="262">
        <f>IFERROR(__xludf.DUMMYFUNCTION("LET(
  bulan_ini, SUM(IFERROR(FILTER(Leads_Harian!$D:$D, MONTH(Leads_Harian!$A:$A)=$J$2, YEAR(Leads_Harian!$A:$A)=$G$2), 0)),
  bulan_lalu, SUM(IFERROR(FILTER(Leads_Harian!$D:$D, MONTH(Leads_Harian!$A:$A)=$K$2, YEAR(Leads_Harian!$A:$A)=$L$2), 0)),
  IF(bu"&amp;"lan_lalu=0, bulan_ini, bulan_ini - bulan_lalu)
)"),-60.0)</f>
        <v>-60</v>
      </c>
      <c r="E15" s="254"/>
      <c r="F15" s="253" t="str">
        <f>IFERROR("D: "&amp;SUMIFS(Leads_Harian!$H:$H, Leads_Harian!$A:$A, F13) &amp; " | A: "&amp;SUMIFS(Leads_Harian!$I:$I, Leads_Harian!$A:$A, F13) &amp; " | H: "&amp;SUMIFS(Leads_Harian!$J:$J, Leads_Harian!$A:$A, F13), "0")</f>
        <v>D: 6 | A: 2 | H: 0</v>
      </c>
      <c r="G15" s="253" t="str">
        <f>IFERROR("D: "&amp;SUMIFS(Leads_Harian!$H:$H, Leads_Harian!$A:$A, G13) &amp; " | A: "&amp;SUMIFS(Leads_Harian!$I:$I, Leads_Harian!$A:$A, G13) &amp; " | H: "&amp;SUMIFS(Leads_Harian!$J:$J, Leads_Harian!$A:$A, G13), "0")</f>
        <v>D: 4 | A: 6 | H: 0</v>
      </c>
      <c r="H15" s="253" t="str">
        <f>IFERROR("D: "&amp;SUMIFS(Leads_Harian!$H:$H, Leads_Harian!$A:$A, H13) &amp; " | A: "&amp;SUMIFS(Leads_Harian!$I:$I, Leads_Harian!$A:$A, H13) &amp; " | H: "&amp;SUMIFS(Leads_Harian!$J:$J, Leads_Harian!$A:$A, H13), "0")</f>
        <v>D: 7 | A: 7 | H: 2</v>
      </c>
      <c r="I15" s="253" t="str">
        <f>IFERROR("D: "&amp;SUMIFS(Leads_Harian!$H:$H, Leads_Harian!$A:$A, I13) &amp; " | A: "&amp;SUMIFS(Leads_Harian!$I:$I, Leads_Harian!$A:$A, I13) &amp; " | H: "&amp;SUMIFS(Leads_Harian!$J:$J, Leads_Harian!$A:$A, I13), "0")</f>
        <v>D: 7 | A: 5 | H: 0</v>
      </c>
      <c r="J15" s="253" t="str">
        <f>IFERROR("D: "&amp;SUMIFS(Leads_Harian!$H:$H, Leads_Harian!$A:$A, J13) &amp; " | A: "&amp;SUMIFS(Leads_Harian!$I:$I, Leads_Harian!$A:$A, J13) &amp; " | H: "&amp;SUMIFS(Leads_Harian!$J:$J, Leads_Harian!$A:$A, J13), "0")</f>
        <v>D: 3 | A: 5 | H: 0</v>
      </c>
      <c r="K15" s="253" t="str">
        <f>IFERROR("D: "&amp;SUMIFS(Leads_Harian!$H:$H, Leads_Harian!$A:$A, K13) &amp; " | A: "&amp;SUMIFS(Leads_Harian!$I:$I, Leads_Harian!$A:$A, K13) &amp; " | H: "&amp;SUMIFS(Leads_Harian!$J:$J, Leads_Harian!$A:$A, K13), "0")</f>
        <v>D: 6 | A: 3 | H: 1</v>
      </c>
      <c r="L15" s="253" t="str">
        <f>IFERROR("D: "&amp;SUMIFS(Leads_Harian!$H:$H, Leads_Harian!$A:$A, L13) &amp; " | A: "&amp;SUMIFS(Leads_Harian!$I:$I, Leads_Harian!$A:$A, L13) &amp; " | H: "&amp;SUMIFS(Leads_Harian!$J:$J, Leads_Harian!$A:$A, L13), "0")</f>
        <v>D: 7 | A: 3 | H: 3</v>
      </c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</row>
    <row r="16">
      <c r="A16" s="254"/>
      <c r="B16" s="269" t="s">
        <v>1877</v>
      </c>
      <c r="C16" s="261">
        <f>IFERROR(__xludf.DUMMYFUNCTION("SUM(IFERROR(FILTER(Leads_Harian!E:E, MONTH(Leads_Harian!A:A)=$J$2, YEAR(Leads_Harian!A:A)=$G$2), 0))"),3.0)</f>
        <v>3</v>
      </c>
      <c r="D16" s="262">
        <f>IFERROR(__xludf.DUMMYFUNCTION("LET(
  bulan_ini, SUM(IFERROR(FILTER(Leads_Harian!$E:$E, MONTH(Leads_Harian!$A:$A)=$J$2, YEAR(Leads_Harian!$A:$A)=$G$2), 0)),
  bulan_lalu, SUM(IFERROR(FILTER(Leads_Harian!$E:$E, MONTH(Leads_Harian!$A:$A)=$K$2, YEAR(Leads_Harian!$A:$A)=$L$2), 0)),
  IF(bu"&amp;"lan_lalu=0, bulan_ini, bulan_ini - bulan_lalu)
)"),-8.0)</f>
        <v>-8</v>
      </c>
      <c r="E16" s="254"/>
      <c r="F16" s="268" t="str">
        <f>IFERROR("W: "&amp;SUMIFS(Leads_Harian!$C:$C, Leads_Harian!$A:$A, F13) &amp; " | I: "&amp;SUMIFS(Leads_Harian!$D:$D, Leads_Harian!$A:$A, F13) &amp; " | T: "&amp;SUMIFS(Leads_Harian!$E:$E, Leads_Harian!$A:$A, F13) &amp; " | R: "&amp;SUMIFS(Leads_Harian!$F:$F, Leads_Harian!$A:$A, F13) &amp; " | L: "&amp;SUMIFS(Leads_Harian!$G:$G, Leads_Harian!$A:$A, F13), "0")</f>
        <v>W: 3 | I: 5 | T: 0 | R: 0 | L: 0</v>
      </c>
      <c r="G16" s="268" t="str">
        <f>IFERROR("W: "&amp;SUMIFS(Leads_Harian!$C:$C, Leads_Harian!$A:$A, G13) &amp; " | I: "&amp;SUMIFS(Leads_Harian!$D:$D, Leads_Harian!$A:$A, G13) &amp; " | T: "&amp;SUMIFS(Leads_Harian!$E:$E, Leads_Harian!$A:$A, G13) &amp; " | R: "&amp;SUMIFS(Leads_Harian!$F:$F, Leads_Harian!$A:$A, G13) &amp; " | L: "&amp;SUMIFS(Leads_Harian!$G:$G, Leads_Harian!$A:$A, G13), "0")</f>
        <v>W: 4 | I: 6 | T: 0 | R: 0 | L: 0</v>
      </c>
      <c r="H16" s="268" t="str">
        <f>IFERROR("W: "&amp;SUMIFS(Leads_Harian!$C:$C, Leads_Harian!$A:$A, H13) &amp; " | I: "&amp;SUMIFS(Leads_Harian!$D:$D, Leads_Harian!$A:$A, H13) &amp; " | T: "&amp;SUMIFS(Leads_Harian!$E:$E, Leads_Harian!$A:$A, H13) &amp; " | R: "&amp;SUMIFS(Leads_Harian!$F:$F, Leads_Harian!$A:$A, H13) &amp; " | L: "&amp;SUMIFS(Leads_Harian!$G:$G, Leads_Harian!$A:$A, H13), "0")</f>
        <v>W: 0 | I: 10 | T: 0 | R: 3 | L: 3</v>
      </c>
      <c r="I16" s="268" t="str">
        <f>IFERROR("W: "&amp;SUMIFS(Leads_Harian!$C:$C, Leads_Harian!$A:$A, I13) &amp; " | I: "&amp;SUMIFS(Leads_Harian!$D:$D, Leads_Harian!$A:$A, I13) &amp; " | T: "&amp;SUMIFS(Leads_Harian!$E:$E, Leads_Harian!$A:$A, I13) &amp; " | R: "&amp;SUMIFS(Leads_Harian!$F:$F, Leads_Harian!$A:$A, I13) &amp; " | L: "&amp;SUMIFS(Leads_Harian!$G:$G, Leads_Harian!$A:$A, I13), "0")</f>
        <v>W: 2 | I: 9 | T: 0 | R: 0 | L: 1</v>
      </c>
      <c r="J16" s="268" t="str">
        <f>IFERROR("W: "&amp;SUMIFS(Leads_Harian!$C:$C, Leads_Harian!$A:$A, J13) &amp; " | I: "&amp;SUMIFS(Leads_Harian!$D:$D, Leads_Harian!$A:$A, J13) &amp; " | T: "&amp;SUMIFS(Leads_Harian!$E:$E, Leads_Harian!$A:$A, J13) &amp; " | R: "&amp;SUMIFS(Leads_Harian!$F:$F, Leads_Harian!$A:$A, J13) &amp; " | L: "&amp;SUMIFS(Leads_Harian!$G:$G, Leads_Harian!$A:$A, J13), "0")</f>
        <v>W: 2 | I: 5 | T: 0 | R: 0 | L: 1</v>
      </c>
      <c r="K16" s="268" t="str">
        <f>IFERROR("W: "&amp;SUMIFS(Leads_Harian!$C:$C, Leads_Harian!$A:$A, K13) &amp; " | I: "&amp;SUMIFS(Leads_Harian!$D:$D, Leads_Harian!$A:$A, K13) &amp; " | T: "&amp;SUMIFS(Leads_Harian!$E:$E, Leads_Harian!$A:$A, K13) &amp; " | R: "&amp;SUMIFS(Leads_Harian!$F:$F, Leads_Harian!$A:$A, K13) &amp; " | L: "&amp;SUMIFS(Leads_Harian!$G:$G, Leads_Harian!$A:$A, K13), "0")</f>
        <v>W: 3 | I: 6 | T: 0 | R: 0 | L: 1</v>
      </c>
      <c r="L16" s="268" t="str">
        <f>IFERROR("W: "&amp;SUMIFS(Leads_Harian!$C:$C, Leads_Harian!$A:$A, L13) &amp; " | I: "&amp;SUMIFS(Leads_Harian!$D:$D, Leads_Harian!$A:$A, L13) &amp; " | T: "&amp;SUMIFS(Leads_Harian!$E:$E, Leads_Harian!$A:$A, L13) &amp; " | R: "&amp;SUMIFS(Leads_Harian!$F:$F, Leads_Harian!$A:$A, L13) &amp; " | L: "&amp;SUMIFS(Leads_Harian!$G:$G, Leads_Harian!$A:$A, L13), "0")</f>
        <v>W: 6 | I: 5 | T: 0 | R: 1 | L: 1</v>
      </c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</row>
    <row r="17">
      <c r="A17" s="255"/>
      <c r="B17" s="276" t="s">
        <v>10221</v>
      </c>
      <c r="C17" s="261">
        <f>IFERROR(__xludf.DUMMYFUNCTION("SUM(IFERROR(FILTER(Leads_Harian!F:F, MONTH(Leads_Harian!A:A)=$J$2, YEAR(Leads_Harian!A:A)=$G$2), 0))"),9.0)</f>
        <v>9</v>
      </c>
      <c r="D17" s="262">
        <f>IFERROR(__xludf.DUMMYFUNCTION("LET(
  bulan_ini, SUM(IFERROR(FILTER(Leads_Harian!$F:$F, MONTH(Leads_Harian!$A:$A)=$J$2, YEAR(Leads_Harian!$A:$A)=$G$2), 0)),
  bulan_lalu, SUM(IFERROR(FILTER(Leads_Harian!$F:$F, MONTH(Leads_Harian!$A:$A)=$K$2, YEAR(Leads_Harian!$A:$A)=$L$2), 0)),
  IF(bu"&amp;"lan_lalu=0, bulan_ini, bulan_ini - bulan_lalu)
)"),3.0)</f>
        <v>3</v>
      </c>
      <c r="E17" s="255"/>
      <c r="F17" s="259">
        <f>L13+1</f>
        <v>46223</v>
      </c>
      <c r="G17" s="259">
        <f t="shared" ref="G17:L17" si="4">F17+1</f>
        <v>46224</v>
      </c>
      <c r="H17" s="259">
        <f t="shared" si="4"/>
        <v>46225</v>
      </c>
      <c r="I17" s="259">
        <f t="shared" si="4"/>
        <v>46226</v>
      </c>
      <c r="J17" s="259">
        <f t="shared" si="4"/>
        <v>46227</v>
      </c>
      <c r="K17" s="259">
        <f t="shared" si="4"/>
        <v>46228</v>
      </c>
      <c r="L17" s="259">
        <f t="shared" si="4"/>
        <v>46229</v>
      </c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</row>
    <row r="18">
      <c r="A18" s="248"/>
      <c r="B18" s="281" t="s">
        <v>122</v>
      </c>
      <c r="C18" s="264">
        <f>IFERROR(__xludf.DUMMYFUNCTION("SUM(IFERROR(FILTER(Leads_Harian!G:G, MONTH(Leads_Harian!A:A)=$J$2, YEAR(Leads_Harian!A:A)=$G$2), 0))"),25.0)</f>
        <v>25</v>
      </c>
      <c r="D18" s="265">
        <f>IFERROR(__xludf.DUMMYFUNCTION("LET(
  bulan_ini, SUM(IFERROR(FILTER(Leads_Harian!$G:$G, MONTH(Leads_Harian!$A:$A)=$J$2, YEAR(Leads_Harian!$A:$A)=$G$2), 0)),
  bulan_lalu, SUM(IFERROR(FILTER(Leads_Harian!$G:$G, MONTH(Leads_Harian!$A:$A)=$K$2, YEAR(Leads_Harian!$A:$A)=$L$2), 0)),
  IF(bu"&amp;"lan_lalu=0, bulan_ini, bulan_ini - bulan_lalu)
)"),-29.0)</f>
        <v>-29</v>
      </c>
      <c r="E18" s="248"/>
      <c r="F18" s="251">
        <f>IFERROR(VLOOKUP(F17, Leads_Harian!$A:$B, 2, FALSE), 0)</f>
        <v>11</v>
      </c>
      <c r="G18" s="251">
        <f>IFERROR(VLOOKUP(G17, Leads_Harian!$A:$B, 2, FALSE), 0)</f>
        <v>15</v>
      </c>
      <c r="H18" s="251">
        <f>IFERROR(VLOOKUP(H17, Leads_Harian!$A:$B, 2, FALSE), 0)</f>
        <v>10</v>
      </c>
      <c r="I18" s="251">
        <f>IFERROR(VLOOKUP(I17, Leads_Harian!$A:$B, 2, FALSE), 0)</f>
        <v>14</v>
      </c>
      <c r="J18" s="251">
        <f>IFERROR(VLOOKUP(J17, Leads_Harian!$A:$B, 2, FALSE), 0)</f>
        <v>14</v>
      </c>
      <c r="K18" s="251">
        <f>IFERROR(VLOOKUP(K17, Leads_Harian!$A:$B, 2, FALSE), 0)</f>
        <v>6</v>
      </c>
      <c r="L18" s="251">
        <f>IFERROR(VLOOKUP(L17, Leads_Harian!$A:$B, 2, FALSE), 0)</f>
        <v>6</v>
      </c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</row>
    <row r="19">
      <c r="A19" s="254"/>
      <c r="E19" s="254"/>
      <c r="F19" s="253" t="str">
        <f>IFERROR("D: "&amp;SUMIFS(Leads_Harian!$H:$H, Leads_Harian!$A:$A, F17) &amp; " | A: "&amp;SUMIFS(Leads_Harian!$I:$I, Leads_Harian!$A:$A, F17) &amp; " | H: "&amp;SUMIFS(Leads_Harian!$J:$J, Leads_Harian!$A:$A, F17), "0")</f>
        <v>D: 4 | A: 4 | H: 3</v>
      </c>
      <c r="G19" s="253" t="str">
        <f>IFERROR("D: "&amp;SUMIFS(Leads_Harian!$H:$H, Leads_Harian!$A:$A, G17) &amp; " | A: "&amp;SUMIFS(Leads_Harian!$I:$I, Leads_Harian!$A:$A, G17) &amp; " | H: "&amp;SUMIFS(Leads_Harian!$J:$J, Leads_Harian!$A:$A, G17), "0")</f>
        <v>D: 11 | A: 4 | H: 0</v>
      </c>
      <c r="H19" s="253" t="str">
        <f>IFERROR("D: "&amp;SUMIFS(Leads_Harian!$H:$H, Leads_Harian!$A:$A, H17) &amp; " | A: "&amp;SUMIFS(Leads_Harian!$I:$I, Leads_Harian!$A:$A, H17) &amp; " | H: "&amp;SUMIFS(Leads_Harian!$J:$J, Leads_Harian!$A:$A, H17), "0")</f>
        <v>D: 5 | A: 3 | H: 2</v>
      </c>
      <c r="I19" s="253" t="str">
        <f>IFERROR("D: "&amp;SUMIFS(Leads_Harian!$H:$H, Leads_Harian!$A:$A, I17) &amp; " | A: "&amp;SUMIFS(Leads_Harian!$I:$I, Leads_Harian!$A:$A, I17) &amp; " | H: "&amp;SUMIFS(Leads_Harian!$J:$J, Leads_Harian!$A:$A, I17), "0")</f>
        <v>D: 10 | A: 2 | H: 2</v>
      </c>
      <c r="J19" s="253" t="str">
        <f>IFERROR("D: "&amp;SUMIFS(Leads_Harian!$H:$H, Leads_Harian!$A:$A, J17) &amp; " | A: "&amp;SUMIFS(Leads_Harian!$I:$I, Leads_Harian!$A:$A, J17) &amp; " | H: "&amp;SUMIFS(Leads_Harian!$J:$J, Leads_Harian!$A:$A, J17), "0")</f>
        <v>D: 6 | A: 4 | H: 4</v>
      </c>
      <c r="K19" s="253" t="str">
        <f>IFERROR("D: "&amp;SUMIFS(Leads_Harian!$H:$H, Leads_Harian!$A:$A, K17) &amp; " | A: "&amp;SUMIFS(Leads_Harian!$I:$I, Leads_Harian!$A:$A, K17) &amp; " | H: "&amp;SUMIFS(Leads_Harian!$J:$J, Leads_Harian!$A:$A, K17), "0")</f>
        <v>D: 2 | A: 1 | H: 3</v>
      </c>
      <c r="L19" s="253" t="str">
        <f>IFERROR("D: "&amp;SUMIFS(Leads_Harian!$H:$H, Leads_Harian!$A:$A, L17) &amp; " | A: "&amp;SUMIFS(Leads_Harian!$I:$I, Leads_Harian!$A:$A, L17) &amp; " | H: "&amp;SUMIFS(Leads_Harian!$J:$J, Leads_Harian!$A:$A, L17), "0")</f>
        <v>D: 1 | A: 4 | H: 1</v>
      </c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</row>
    <row r="20">
      <c r="A20" s="254"/>
      <c r="E20" s="254"/>
      <c r="F20" s="268" t="str">
        <f>IFERROR("W: "&amp;SUMIFS(Leads_Harian!$C:$C, Leads_Harian!$A:$A, F17) &amp; " | I: "&amp;SUMIFS(Leads_Harian!$D:$D, Leads_Harian!$A:$A, F17) &amp; " | T: "&amp;SUMIFS(Leads_Harian!$E:$E, Leads_Harian!$A:$A, F17) &amp; " | R: "&amp;SUMIFS(Leads_Harian!$F:$F, Leads_Harian!$A:$A, F17) &amp; " | L: "&amp;SUMIFS(Leads_Harian!$G:$G, Leads_Harian!$A:$A, F17), "0")</f>
        <v>W: 6 | I: 5 | T: 0 | R: 0 | L: 0</v>
      </c>
      <c r="G20" s="268" t="str">
        <f>IFERROR("W: "&amp;SUMIFS(Leads_Harian!$C:$C, Leads_Harian!$A:$A, G17) &amp; " | I: "&amp;SUMIFS(Leads_Harian!$D:$D, Leads_Harian!$A:$A, G17) &amp; " | T: "&amp;SUMIFS(Leads_Harian!$E:$E, Leads_Harian!$A:$A, G17) &amp; " | R: "&amp;SUMIFS(Leads_Harian!$F:$F, Leads_Harian!$A:$A, G17) &amp; " | L: "&amp;SUMIFS(Leads_Harian!$G:$G, Leads_Harian!$A:$A, G17), "0")</f>
        <v>W: 6 | I: 9 | T: 0 | R: 0 | L: 0</v>
      </c>
      <c r="H20" s="268" t="str">
        <f>IFERROR("W: "&amp;SUMIFS(Leads_Harian!$C:$C, Leads_Harian!$A:$A, H17) &amp; " | I: "&amp;SUMIFS(Leads_Harian!$D:$D, Leads_Harian!$A:$A, H17) &amp; " | T: "&amp;SUMIFS(Leads_Harian!$E:$E, Leads_Harian!$A:$A, H17) &amp; " | R: "&amp;SUMIFS(Leads_Harian!$F:$F, Leads_Harian!$A:$A, H17) &amp; " | L: "&amp;SUMIFS(Leads_Harian!$G:$G, Leads_Harian!$A:$A, H17), "0")</f>
        <v>W: 3 | I: 6 | T: 0 | R: 1 | L: 0</v>
      </c>
      <c r="I20" s="268" t="str">
        <f>IFERROR("W: "&amp;SUMIFS(Leads_Harian!$C:$C, Leads_Harian!$A:$A, I17) &amp; " | I: "&amp;SUMIFS(Leads_Harian!$D:$D, Leads_Harian!$A:$A, I17) &amp; " | T: "&amp;SUMIFS(Leads_Harian!$E:$E, Leads_Harian!$A:$A, I17) &amp; " | R: "&amp;SUMIFS(Leads_Harian!$F:$F, Leads_Harian!$A:$A, I17) &amp; " | L: "&amp;SUMIFS(Leads_Harian!$G:$G, Leads_Harian!$A:$A, I17), "0")</f>
        <v>W: 3 | I: 10 | T: 0 | R: 0 | L: 1</v>
      </c>
      <c r="J20" s="268" t="str">
        <f>IFERROR("W: "&amp;SUMIFS(Leads_Harian!$C:$C, Leads_Harian!$A:$A, J17) &amp; " | I: "&amp;SUMIFS(Leads_Harian!$D:$D, Leads_Harian!$A:$A, J17) &amp; " | T: "&amp;SUMIFS(Leads_Harian!$E:$E, Leads_Harian!$A:$A, J17) &amp; " | R: "&amp;SUMIFS(Leads_Harian!$F:$F, Leads_Harian!$A:$A, J17) &amp; " | L: "&amp;SUMIFS(Leads_Harian!$G:$G, Leads_Harian!$A:$A, J17), "0")</f>
        <v>W: 5 | I: 9 | T: 0 | R: 0 | L: 0</v>
      </c>
      <c r="K20" s="268" t="str">
        <f>IFERROR("W: "&amp;SUMIFS(Leads_Harian!$C:$C, Leads_Harian!$A:$A, K17) &amp; " | I: "&amp;SUMIFS(Leads_Harian!$D:$D, Leads_Harian!$A:$A, K17) &amp; " | T: "&amp;SUMIFS(Leads_Harian!$E:$E, Leads_Harian!$A:$A, K17) &amp; " | R: "&amp;SUMIFS(Leads_Harian!$F:$F, Leads_Harian!$A:$A, K17) &amp; " | L: "&amp;SUMIFS(Leads_Harian!$G:$G, Leads_Harian!$A:$A, K17), "0")</f>
        <v>W: 2 | I: 3 | T: 0 | R: 0 | L: 1</v>
      </c>
      <c r="L20" s="268" t="str">
        <f>IFERROR("W: "&amp;SUMIFS(Leads_Harian!$C:$C, Leads_Harian!$A:$A, L17) &amp; " | I: "&amp;SUMIFS(Leads_Harian!$D:$D, Leads_Harian!$A:$A, L17) &amp; " | T: "&amp;SUMIFS(Leads_Harian!$E:$E, Leads_Harian!$A:$A, L17) &amp; " | R: "&amp;SUMIFS(Leads_Harian!$F:$F, Leads_Harian!$A:$A, L17) &amp; " | L: "&amp;SUMIFS(Leads_Harian!$G:$G, Leads_Harian!$A:$A, L17), "0")</f>
        <v>W: 3 | I: 3 | T: 0 | R: 0 | L: 0</v>
      </c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</row>
    <row r="21">
      <c r="A21" s="255"/>
      <c r="E21" s="255"/>
      <c r="F21" s="259">
        <f>L17+1</f>
        <v>46230</v>
      </c>
      <c r="G21" s="259">
        <f t="shared" ref="G21:L21" si="5">F21+1</f>
        <v>46231</v>
      </c>
      <c r="H21" s="259">
        <f t="shared" si="5"/>
        <v>46232</v>
      </c>
      <c r="I21" s="259">
        <f t="shared" si="5"/>
        <v>46233</v>
      </c>
      <c r="J21" s="259">
        <f t="shared" si="5"/>
        <v>46234</v>
      </c>
      <c r="K21" s="259">
        <f t="shared" si="5"/>
        <v>46235</v>
      </c>
      <c r="L21" s="259">
        <f t="shared" si="5"/>
        <v>46236</v>
      </c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</row>
    <row r="22">
      <c r="A22" s="248"/>
      <c r="B22" s="300"/>
      <c r="C22" s="300"/>
      <c r="D22" s="267"/>
      <c r="E22" s="248"/>
      <c r="F22" s="251">
        <f>IFERROR(VLOOKUP(F21, Leads_Harian!$A:$B, 2, FALSE), 0)</f>
        <v>15</v>
      </c>
      <c r="G22" s="251">
        <f>IFERROR(VLOOKUP(G21, Leads_Harian!$A:$B, 2, FALSE), 0)</f>
        <v>4</v>
      </c>
      <c r="H22" s="251">
        <f>IFERROR(VLOOKUP(H21, Leads_Harian!$A:$B, 2, FALSE), 0)</f>
        <v>0</v>
      </c>
      <c r="I22" s="251">
        <f>IFERROR(VLOOKUP(I21, Leads_Harian!$A:$B, 2, FALSE), 0)</f>
        <v>0</v>
      </c>
      <c r="J22" s="251">
        <f>IFERROR(VLOOKUP(J21, Leads_Harian!$A:$B, 2, FALSE), 0)</f>
        <v>0</v>
      </c>
      <c r="K22" s="251">
        <f>IFERROR(VLOOKUP(K21, Leads_Harian!$A:$B, 2, FALSE), 0)</f>
        <v>0</v>
      </c>
      <c r="L22" s="251">
        <f>IFERROR(VLOOKUP(L21, Leads_Harian!$A:$B, 2, FALSE), 0)</f>
        <v>0</v>
      </c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</row>
    <row r="23">
      <c r="A23" s="254"/>
      <c r="B23" s="301"/>
      <c r="C23" s="301"/>
      <c r="D23" s="252"/>
      <c r="E23" s="254"/>
      <c r="F23" s="253" t="str">
        <f>IFERROR("D: "&amp;SUMIFS(Leads_Harian!$H:$H, Leads_Harian!$A:$A, F21) &amp; " | A: "&amp;SUMIFS(Leads_Harian!$I:$I, Leads_Harian!$A:$A, F21) &amp; " | H: "&amp;SUMIFS(Leads_Harian!$J:$J, Leads_Harian!$A:$A, F21), "0")</f>
        <v>D: 9 | A: 3 | H: 3</v>
      </c>
      <c r="G23" s="253" t="str">
        <f>IFERROR("D: "&amp;SUMIFS(Leads_Harian!$H:$H, Leads_Harian!$A:$A, G21) &amp; " | A: "&amp;SUMIFS(Leads_Harian!$I:$I, Leads_Harian!$A:$A, G21) &amp; " | H: "&amp;SUMIFS(Leads_Harian!$J:$J, Leads_Harian!$A:$A, G21), "0")</f>
        <v>D: 0 | A: 2 | H: 2</v>
      </c>
      <c r="H23" s="253" t="str">
        <f>IFERROR("D: "&amp;SUMIFS(Leads_Harian!$H:$H, Leads_Harian!$A:$A, H21) &amp; " | A: "&amp;SUMIFS(Leads_Harian!$I:$I, Leads_Harian!$A:$A, H21) &amp; " | H: "&amp;SUMIFS(Leads_Harian!$J:$J, Leads_Harian!$A:$A, H21), "0")</f>
        <v>D: 0 | A: 0 | H: 0</v>
      </c>
      <c r="I23" s="253" t="str">
        <f>IFERROR("D: "&amp;SUMIFS(Leads_Harian!$H:$H, Leads_Harian!$A:$A, I21) &amp; " | A: "&amp;SUMIFS(Leads_Harian!$I:$I, Leads_Harian!$A:$A, I21) &amp; " | H: "&amp;SUMIFS(Leads_Harian!$J:$J, Leads_Harian!$A:$A, I21), "0")</f>
        <v>D: 0 | A: 0 | H: 0</v>
      </c>
      <c r="J23" s="253" t="str">
        <f>IFERROR("D: "&amp;SUMIFS(Leads_Harian!$H:$H, Leads_Harian!$A:$A, J21) &amp; " | A: "&amp;SUMIFS(Leads_Harian!$I:$I, Leads_Harian!$A:$A, J21) &amp; " | H: "&amp;SUMIFS(Leads_Harian!$J:$J, Leads_Harian!$A:$A, J21), "0")</f>
        <v>D: 0 | A: 0 | H: 0</v>
      </c>
      <c r="K23" s="253" t="str">
        <f>IFERROR("D: "&amp;SUMIFS(Leads_Harian!$H:$H, Leads_Harian!$A:$A, K21) &amp; " | A: "&amp;SUMIFS(Leads_Harian!$I:$I, Leads_Harian!$A:$A, K21) &amp; " | H: "&amp;SUMIFS(Leads_Harian!$J:$J, Leads_Harian!$A:$A, K21), "0")</f>
        <v>D: 0 | A: 0 | H: 0</v>
      </c>
      <c r="L23" s="253" t="str">
        <f>IFERROR("D: "&amp;SUMIFS(Leads_Harian!$H:$H, Leads_Harian!$A:$A, L21) &amp; " | A: "&amp;SUMIFS(Leads_Harian!$I:$I, Leads_Harian!$A:$A, L21) &amp; " | H: "&amp;SUMIFS(Leads_Harian!$J:$J, Leads_Harian!$A:$A, L21), "0")</f>
        <v>D: 0 | A: 0 | H: 0</v>
      </c>
    </row>
    <row r="24">
      <c r="A24" s="254"/>
      <c r="B24" s="301"/>
      <c r="C24" s="301"/>
      <c r="D24" s="252"/>
      <c r="E24" s="254"/>
      <c r="F24" s="306" t="str">
        <f>IFERROR("W: "&amp;SUMIFS(Leads_Harian!$C:$C, Leads_Harian!$A:$A, F21) &amp; " | I: "&amp;SUMIFS(Leads_Harian!$D:$D, Leads_Harian!$A:$A, F21) &amp; " | T: "&amp;SUMIFS(Leads_Harian!$E:$E, Leads_Harian!$A:$A, F21) &amp; " | R: "&amp;SUMIFS(Leads_Harian!$F:$F, Leads_Harian!$A:$A, F21) &amp; " | L: "&amp;SUMIFS(Leads_Harian!$G:$G, Leads_Harian!$A:$A, F21), "0")</f>
        <v>W: 1 | I: 12 | T: 0 | R: 1 | L: 1</v>
      </c>
      <c r="G24" s="306" t="str">
        <f>IFERROR("W: "&amp;SUMIFS(Leads_Harian!$C:$C, Leads_Harian!$A:$A, G21) &amp; " | I: "&amp;SUMIFS(Leads_Harian!$D:$D, Leads_Harian!$A:$A, G21) &amp; " | T: "&amp;SUMIFS(Leads_Harian!$E:$E, Leads_Harian!$A:$A, G21) &amp; " | R: "&amp;SUMIFS(Leads_Harian!$F:$F, Leads_Harian!$A:$A, G21) &amp; " | L: "&amp;SUMIFS(Leads_Harian!$G:$G, Leads_Harian!$A:$A, G21), "0")</f>
        <v>W: 2 | I: 2 | T: 0 | R: 0 | L: 0</v>
      </c>
      <c r="H24" s="306" t="str">
        <f>IFERROR("W: "&amp;SUMIFS(Leads_Harian!$C:$C, Leads_Harian!$A:$A, H21) &amp; " | I: "&amp;SUMIFS(Leads_Harian!$D:$D, Leads_Harian!$A:$A, H21) &amp; " | T: "&amp;SUMIFS(Leads_Harian!$E:$E, Leads_Harian!$A:$A, H21) &amp; " | R: "&amp;SUMIFS(Leads_Harian!$F:$F, Leads_Harian!$A:$A, H21) &amp; " | L: "&amp;SUMIFS(Leads_Harian!$G:$G, Leads_Harian!$A:$A, H21), "0")</f>
        <v>W: 0 | I: 0 | T: 0 | R: 0 | L: 0</v>
      </c>
      <c r="I24" s="306" t="str">
        <f>IFERROR("W: "&amp;SUMIFS(Leads_Harian!$C:$C, Leads_Harian!$A:$A, I21) &amp; " | I: "&amp;SUMIFS(Leads_Harian!$D:$D, Leads_Harian!$A:$A, I21) &amp; " | T: "&amp;SUMIFS(Leads_Harian!$E:$E, Leads_Harian!$A:$A, I21) &amp; " | R: "&amp;SUMIFS(Leads_Harian!$F:$F, Leads_Harian!$A:$A, I21) &amp; " | L: "&amp;SUMIFS(Leads_Harian!$G:$G, Leads_Harian!$A:$A, I21), "0")</f>
        <v>W: 0 | I: 0 | T: 0 | R: 0 | L: 0</v>
      </c>
      <c r="J24" s="306" t="str">
        <f>IFERROR("W: "&amp;SUMIFS(Leads_Harian!$C:$C, Leads_Harian!$A:$A, J21) &amp; " | I: "&amp;SUMIFS(Leads_Harian!$D:$D, Leads_Harian!$A:$A, J21) &amp; " | T: "&amp;SUMIFS(Leads_Harian!$E:$E, Leads_Harian!$A:$A, J21) &amp; " | R: "&amp;SUMIFS(Leads_Harian!$F:$F, Leads_Harian!$A:$A, J21) &amp; " | L: "&amp;SUMIFS(Leads_Harian!$G:$G, Leads_Harian!$A:$A, J21), "0")</f>
        <v>W: 0 | I: 0 | T: 0 | R: 0 | L: 0</v>
      </c>
      <c r="K24" s="306" t="str">
        <f>IFERROR("W: "&amp;SUMIFS(Leads_Harian!$C:$C, Leads_Harian!$A:$A, K21) &amp; " | I: "&amp;SUMIFS(Leads_Harian!$D:$D, Leads_Harian!$A:$A, K21) &amp; " | T: "&amp;SUMIFS(Leads_Harian!$E:$E, Leads_Harian!$A:$A, K21) &amp; " | R: "&amp;SUMIFS(Leads_Harian!$F:$F, Leads_Harian!$A:$A, K21) &amp; " | L: "&amp;SUMIFS(Leads_Harian!$G:$G, Leads_Harian!$A:$A, K21), "0")</f>
        <v>W: 0 | I: 0 | T: 0 | R: 0 | L: 0</v>
      </c>
      <c r="L24" s="306" t="str">
        <f>IFERROR("W: "&amp;SUMIFS(Leads_Harian!$C:$C, Leads_Harian!$A:$A, L21) &amp; " | I: "&amp;SUMIFS(Leads_Harian!$D:$D, Leads_Harian!$A:$A, L21) &amp; " | T: "&amp;SUMIFS(Leads_Harian!$E:$E, Leads_Harian!$A:$A, L21) &amp; " | R: "&amp;SUMIFS(Leads_Harian!$F:$F, Leads_Harian!$A:$A, L21) &amp; " | L: "&amp;SUMIFS(Leads_Harian!$G:$G, Leads_Harian!$A:$A, L21), "0")</f>
        <v>W: 0 | I: 0 | T: 0 | R: 0 | L: 0</v>
      </c>
    </row>
    <row r="25">
      <c r="D25" s="32"/>
    </row>
    <row r="26">
      <c r="D26" s="32"/>
    </row>
    <row r="27">
      <c r="D27" s="32"/>
    </row>
    <row r="28">
      <c r="D28" s="32"/>
    </row>
    <row r="29">
      <c r="D29" s="32"/>
    </row>
    <row r="30">
      <c r="D30" s="32"/>
    </row>
    <row r="31">
      <c r="D31" s="32"/>
    </row>
    <row r="32">
      <c r="D32" s="32"/>
    </row>
    <row r="33">
      <c r="D33" s="32"/>
    </row>
    <row r="34">
      <c r="D34" s="32"/>
    </row>
    <row r="35">
      <c r="D35" s="32"/>
    </row>
    <row r="36">
      <c r="D36" s="32"/>
    </row>
    <row r="37">
      <c r="D37" s="32"/>
    </row>
    <row r="38">
      <c r="D38" s="32"/>
    </row>
    <row r="39">
      <c r="D39" s="32"/>
    </row>
    <row r="40">
      <c r="D40" s="32"/>
    </row>
    <row r="41">
      <c r="D41" s="32"/>
    </row>
    <row r="42">
      <c r="D42" s="32"/>
    </row>
    <row r="43">
      <c r="D43" s="32"/>
    </row>
    <row r="44">
      <c r="D44" s="32"/>
    </row>
    <row r="45">
      <c r="D45" s="32"/>
    </row>
    <row r="46">
      <c r="D46" s="32"/>
    </row>
    <row r="47">
      <c r="D47" s="32"/>
    </row>
    <row r="48">
      <c r="D48" s="32"/>
    </row>
    <row r="49">
      <c r="D49" s="32"/>
    </row>
    <row r="50">
      <c r="D50" s="32"/>
    </row>
    <row r="51">
      <c r="D51" s="32"/>
    </row>
    <row r="52">
      <c r="D52" s="32"/>
    </row>
    <row r="53">
      <c r="D53" s="32"/>
    </row>
    <row r="54">
      <c r="D54" s="32"/>
    </row>
    <row r="55">
      <c r="D55" s="32"/>
    </row>
    <row r="56">
      <c r="D56" s="32"/>
    </row>
    <row r="57">
      <c r="D57" s="32"/>
    </row>
    <row r="58">
      <c r="D58" s="32"/>
    </row>
    <row r="59">
      <c r="D59" s="32"/>
    </row>
    <row r="60">
      <c r="D60" s="32"/>
    </row>
    <row r="61">
      <c r="D61" s="32"/>
    </row>
    <row r="62">
      <c r="D62" s="32"/>
    </row>
    <row r="63">
      <c r="D63" s="32"/>
    </row>
    <row r="64">
      <c r="D64" s="32"/>
    </row>
    <row r="65">
      <c r="D65" s="32"/>
    </row>
    <row r="66">
      <c r="D66" s="32"/>
    </row>
    <row r="67">
      <c r="D67" s="32"/>
    </row>
    <row r="68">
      <c r="D68" s="32"/>
    </row>
    <row r="69">
      <c r="D69" s="32"/>
    </row>
    <row r="70">
      <c r="D70" s="32"/>
    </row>
    <row r="71">
      <c r="D71" s="32"/>
    </row>
    <row r="72">
      <c r="D72" s="32"/>
    </row>
    <row r="73">
      <c r="D73" s="32"/>
    </row>
    <row r="74">
      <c r="D74" s="32"/>
    </row>
    <row r="75">
      <c r="D75" s="32"/>
    </row>
    <row r="76">
      <c r="D76" s="32"/>
    </row>
    <row r="77">
      <c r="D77" s="32"/>
    </row>
    <row r="78">
      <c r="D78" s="32"/>
    </row>
    <row r="79">
      <c r="D79" s="32"/>
    </row>
    <row r="80">
      <c r="D80" s="32"/>
    </row>
    <row r="81">
      <c r="D81" s="32"/>
    </row>
    <row r="82">
      <c r="D82" s="32"/>
    </row>
    <row r="83">
      <c r="D83" s="32"/>
    </row>
    <row r="84">
      <c r="D84" s="32"/>
    </row>
    <row r="85">
      <c r="D85" s="32"/>
    </row>
    <row r="86">
      <c r="D86" s="32"/>
    </row>
    <row r="87">
      <c r="D87" s="32"/>
    </row>
    <row r="88">
      <c r="D88" s="32"/>
    </row>
    <row r="89">
      <c r="D89" s="32"/>
    </row>
    <row r="90">
      <c r="D90" s="32"/>
    </row>
    <row r="91">
      <c r="D91" s="32"/>
    </row>
    <row r="92">
      <c r="D92" s="32"/>
    </row>
    <row r="93">
      <c r="D93" s="32"/>
    </row>
    <row r="94">
      <c r="D94" s="32"/>
    </row>
    <row r="95">
      <c r="D95" s="32"/>
    </row>
    <row r="96">
      <c r="D96" s="32"/>
    </row>
    <row r="97">
      <c r="D97" s="32"/>
    </row>
    <row r="98">
      <c r="D98" s="32"/>
    </row>
    <row r="99">
      <c r="D99" s="32"/>
    </row>
    <row r="100">
      <c r="D100" s="32"/>
    </row>
    <row r="101">
      <c r="D101" s="32"/>
    </row>
    <row r="102">
      <c r="D102" s="32"/>
    </row>
    <row r="103">
      <c r="D103" s="32"/>
    </row>
    <row r="104">
      <c r="D104" s="32"/>
    </row>
    <row r="105">
      <c r="D105" s="32"/>
    </row>
    <row r="106">
      <c r="D106" s="32"/>
    </row>
    <row r="107">
      <c r="D107" s="32"/>
    </row>
    <row r="108">
      <c r="D108" s="32"/>
    </row>
    <row r="109">
      <c r="D109" s="32"/>
    </row>
    <row r="110">
      <c r="D110" s="32"/>
    </row>
    <row r="111">
      <c r="D111" s="32"/>
    </row>
    <row r="112">
      <c r="D112" s="32"/>
    </row>
    <row r="113">
      <c r="D113" s="32"/>
    </row>
    <row r="114">
      <c r="D114" s="32"/>
    </row>
    <row r="115">
      <c r="D115" s="32"/>
    </row>
    <row r="116">
      <c r="D116" s="32"/>
    </row>
    <row r="117">
      <c r="D117" s="32"/>
    </row>
    <row r="118">
      <c r="D118" s="32"/>
    </row>
    <row r="119">
      <c r="D119" s="32"/>
    </row>
    <row r="120">
      <c r="D120" s="32"/>
    </row>
    <row r="121">
      <c r="D121" s="32"/>
    </row>
    <row r="122">
      <c r="D122" s="32"/>
    </row>
    <row r="123">
      <c r="D123" s="32"/>
    </row>
    <row r="124">
      <c r="D124" s="32"/>
    </row>
    <row r="125">
      <c r="D125" s="32"/>
    </row>
    <row r="126">
      <c r="D126" s="32"/>
    </row>
    <row r="127">
      <c r="D127" s="32"/>
    </row>
    <row r="128">
      <c r="D128" s="32"/>
    </row>
    <row r="129">
      <c r="D129" s="32"/>
    </row>
    <row r="130">
      <c r="D130" s="32"/>
    </row>
    <row r="131">
      <c r="D131" s="32"/>
    </row>
    <row r="132">
      <c r="D132" s="32"/>
    </row>
    <row r="133">
      <c r="D133" s="32"/>
    </row>
    <row r="134">
      <c r="D134" s="32"/>
    </row>
    <row r="135">
      <c r="D135" s="32"/>
    </row>
    <row r="136">
      <c r="D136" s="32"/>
    </row>
    <row r="137">
      <c r="D137" s="32"/>
    </row>
    <row r="138">
      <c r="D138" s="32"/>
    </row>
    <row r="139">
      <c r="D139" s="32"/>
    </row>
    <row r="140">
      <c r="D140" s="32"/>
    </row>
    <row r="141">
      <c r="D141" s="32"/>
    </row>
    <row r="142">
      <c r="D142" s="32"/>
    </row>
    <row r="143">
      <c r="D143" s="32"/>
    </row>
    <row r="144">
      <c r="D144" s="32"/>
    </row>
    <row r="145">
      <c r="D145" s="32"/>
    </row>
    <row r="146">
      <c r="D146" s="32"/>
    </row>
    <row r="147">
      <c r="D147" s="32"/>
    </row>
    <row r="148">
      <c r="D148" s="32"/>
    </row>
    <row r="149">
      <c r="D149" s="32"/>
    </row>
    <row r="150">
      <c r="D150" s="32"/>
    </row>
    <row r="151">
      <c r="D151" s="32"/>
    </row>
    <row r="152">
      <c r="D152" s="32"/>
    </row>
    <row r="153">
      <c r="D153" s="32"/>
    </row>
    <row r="154">
      <c r="D154" s="32"/>
    </row>
    <row r="155">
      <c r="D155" s="32"/>
    </row>
    <row r="156">
      <c r="D156" s="32"/>
    </row>
    <row r="157">
      <c r="D157" s="32"/>
    </row>
    <row r="158">
      <c r="D158" s="32"/>
    </row>
    <row r="159">
      <c r="D159" s="32"/>
    </row>
    <row r="160">
      <c r="D160" s="32"/>
    </row>
    <row r="161">
      <c r="D161" s="32"/>
    </row>
    <row r="162">
      <c r="D162" s="32"/>
    </row>
    <row r="163">
      <c r="D163" s="32"/>
    </row>
    <row r="164">
      <c r="D164" s="32"/>
    </row>
    <row r="165">
      <c r="D165" s="32"/>
    </row>
    <row r="166">
      <c r="D166" s="32"/>
    </row>
    <row r="167">
      <c r="D167" s="32"/>
    </row>
    <row r="168">
      <c r="D168" s="32"/>
    </row>
    <row r="169">
      <c r="D169" s="32"/>
    </row>
    <row r="170">
      <c r="D170" s="32"/>
    </row>
    <row r="171">
      <c r="D171" s="32"/>
    </row>
    <row r="172">
      <c r="D172" s="32"/>
    </row>
    <row r="173">
      <c r="D173" s="32"/>
    </row>
    <row r="174">
      <c r="D174" s="32"/>
    </row>
    <row r="175">
      <c r="D175" s="32"/>
    </row>
    <row r="176">
      <c r="D176" s="32"/>
    </row>
    <row r="177">
      <c r="D177" s="32"/>
    </row>
    <row r="178">
      <c r="D178" s="32"/>
    </row>
    <row r="179">
      <c r="D179" s="32"/>
    </row>
    <row r="180">
      <c r="D180" s="32"/>
    </row>
    <row r="181">
      <c r="D181" s="32"/>
    </row>
    <row r="182">
      <c r="D182" s="32"/>
    </row>
    <row r="183">
      <c r="D183" s="32"/>
    </row>
    <row r="184">
      <c r="D184" s="32"/>
    </row>
    <row r="185">
      <c r="D185" s="32"/>
    </row>
    <row r="186">
      <c r="D186" s="32"/>
    </row>
    <row r="187">
      <c r="D187" s="32"/>
    </row>
    <row r="188">
      <c r="D188" s="32"/>
    </row>
    <row r="189">
      <c r="D189" s="32"/>
    </row>
    <row r="190">
      <c r="D190" s="32"/>
    </row>
    <row r="191">
      <c r="D191" s="32"/>
    </row>
    <row r="192">
      <c r="D192" s="32"/>
    </row>
    <row r="193">
      <c r="D193" s="32"/>
    </row>
    <row r="194">
      <c r="D194" s="32"/>
    </row>
    <row r="195">
      <c r="D195" s="32"/>
    </row>
    <row r="196">
      <c r="D196" s="32"/>
    </row>
    <row r="197">
      <c r="D197" s="32"/>
    </row>
    <row r="198">
      <c r="D198" s="32"/>
    </row>
    <row r="199">
      <c r="D199" s="32"/>
    </row>
    <row r="200">
      <c r="D200" s="32"/>
    </row>
    <row r="201">
      <c r="D201" s="32"/>
    </row>
    <row r="202">
      <c r="D202" s="32"/>
    </row>
    <row r="203">
      <c r="D203" s="32"/>
    </row>
    <row r="204">
      <c r="D204" s="32"/>
    </row>
    <row r="205">
      <c r="D205" s="32"/>
    </row>
    <row r="206">
      <c r="D206" s="32"/>
    </row>
    <row r="207">
      <c r="D207" s="32"/>
    </row>
    <row r="208">
      <c r="D208" s="32"/>
    </row>
    <row r="209">
      <c r="D209" s="32"/>
    </row>
    <row r="210">
      <c r="D210" s="32"/>
    </row>
    <row r="211">
      <c r="D211" s="32"/>
    </row>
    <row r="212">
      <c r="D212" s="32"/>
    </row>
    <row r="213">
      <c r="D213" s="32"/>
    </row>
    <row r="214">
      <c r="D214" s="32"/>
    </row>
    <row r="215">
      <c r="D215" s="32"/>
    </row>
    <row r="216">
      <c r="D216" s="32"/>
    </row>
    <row r="217">
      <c r="D217" s="32"/>
    </row>
    <row r="218">
      <c r="D218" s="32"/>
    </row>
    <row r="219">
      <c r="D219" s="32"/>
    </row>
    <row r="220">
      <c r="D220" s="32"/>
    </row>
    <row r="221">
      <c r="D221" s="32"/>
    </row>
    <row r="222">
      <c r="D222" s="32"/>
    </row>
    <row r="223">
      <c r="D223" s="32"/>
    </row>
    <row r="224">
      <c r="D224" s="32"/>
    </row>
    <row r="225">
      <c r="D225" s="32"/>
    </row>
    <row r="226">
      <c r="D226" s="32"/>
    </row>
    <row r="227">
      <c r="D227" s="32"/>
    </row>
    <row r="228">
      <c r="D228" s="32"/>
    </row>
    <row r="229">
      <c r="D229" s="32"/>
    </row>
    <row r="230">
      <c r="D230" s="32"/>
    </row>
    <row r="231">
      <c r="D231" s="32"/>
    </row>
    <row r="232">
      <c r="D232" s="32"/>
    </row>
    <row r="233">
      <c r="D233" s="32"/>
    </row>
    <row r="234">
      <c r="D234" s="32"/>
    </row>
    <row r="235">
      <c r="D235" s="32"/>
    </row>
    <row r="236">
      <c r="D236" s="32"/>
    </row>
    <row r="237">
      <c r="D237" s="32"/>
    </row>
    <row r="238">
      <c r="D238" s="32"/>
    </row>
    <row r="239">
      <c r="D239" s="32"/>
    </row>
    <row r="240">
      <c r="D240" s="32"/>
    </row>
    <row r="241">
      <c r="D241" s="32"/>
    </row>
    <row r="242">
      <c r="D242" s="32"/>
    </row>
    <row r="243">
      <c r="D243" s="32"/>
    </row>
    <row r="244">
      <c r="D244" s="32"/>
    </row>
    <row r="245">
      <c r="D245" s="32"/>
    </row>
    <row r="246">
      <c r="D246" s="32"/>
    </row>
    <row r="247">
      <c r="D247" s="32"/>
    </row>
    <row r="248">
      <c r="D248" s="32"/>
    </row>
    <row r="249">
      <c r="D249" s="32"/>
    </row>
    <row r="250">
      <c r="D250" s="32"/>
    </row>
    <row r="251">
      <c r="D251" s="32"/>
    </row>
    <row r="252">
      <c r="D252" s="32"/>
    </row>
    <row r="253">
      <c r="D253" s="32"/>
    </row>
    <row r="254">
      <c r="D254" s="32"/>
    </row>
    <row r="255">
      <c r="D255" s="32"/>
    </row>
    <row r="256">
      <c r="D256" s="32"/>
    </row>
    <row r="257">
      <c r="D257" s="32"/>
    </row>
    <row r="258">
      <c r="D258" s="32"/>
    </row>
    <row r="259">
      <c r="D259" s="32"/>
    </row>
    <row r="260">
      <c r="D260" s="32"/>
    </row>
    <row r="261">
      <c r="D261" s="32"/>
    </row>
    <row r="262">
      <c r="D262" s="32"/>
    </row>
    <row r="263">
      <c r="D263" s="32"/>
    </row>
    <row r="264">
      <c r="D264" s="32"/>
    </row>
    <row r="265">
      <c r="D265" s="32"/>
    </row>
    <row r="266">
      <c r="D266" s="32"/>
    </row>
    <row r="267">
      <c r="D267" s="32"/>
    </row>
    <row r="268">
      <c r="D268" s="32"/>
    </row>
    <row r="269">
      <c r="D269" s="32"/>
    </row>
    <row r="270">
      <c r="D270" s="32"/>
    </row>
    <row r="271">
      <c r="D271" s="32"/>
    </row>
    <row r="272">
      <c r="D272" s="32"/>
    </row>
    <row r="273">
      <c r="D273" s="32"/>
    </row>
    <row r="274">
      <c r="D274" s="32"/>
    </row>
    <row r="275">
      <c r="D275" s="32"/>
    </row>
    <row r="276">
      <c r="D276" s="32"/>
    </row>
    <row r="277">
      <c r="D277" s="32"/>
    </row>
    <row r="278">
      <c r="D278" s="32"/>
    </row>
    <row r="279">
      <c r="D279" s="32"/>
    </row>
    <row r="280">
      <c r="D280" s="32"/>
    </row>
    <row r="281">
      <c r="D281" s="32"/>
    </row>
    <row r="282">
      <c r="D282" s="32"/>
    </row>
    <row r="283">
      <c r="D283" s="32"/>
    </row>
    <row r="284">
      <c r="D284" s="32"/>
    </row>
    <row r="285">
      <c r="D285" s="32"/>
    </row>
    <row r="286">
      <c r="D286" s="32"/>
    </row>
    <row r="287">
      <c r="D287" s="32"/>
    </row>
    <row r="288">
      <c r="D288" s="32"/>
    </row>
    <row r="289">
      <c r="D289" s="32"/>
    </row>
    <row r="290">
      <c r="D290" s="32"/>
    </row>
    <row r="291">
      <c r="D291" s="32"/>
    </row>
    <row r="292">
      <c r="D292" s="32"/>
    </row>
    <row r="293">
      <c r="D293" s="32"/>
    </row>
    <row r="294">
      <c r="D294" s="32"/>
    </row>
    <row r="295">
      <c r="D295" s="32"/>
    </row>
    <row r="296">
      <c r="D296" s="32"/>
    </row>
    <row r="297">
      <c r="D297" s="32"/>
    </row>
    <row r="298">
      <c r="D298" s="32"/>
    </row>
    <row r="299">
      <c r="D299" s="32"/>
    </row>
    <row r="300">
      <c r="D300" s="32"/>
    </row>
    <row r="301">
      <c r="D301" s="32"/>
    </row>
    <row r="302">
      <c r="D302" s="32"/>
    </row>
    <row r="303">
      <c r="D303" s="32"/>
    </row>
    <row r="304">
      <c r="D304" s="32"/>
    </row>
    <row r="305">
      <c r="D305" s="32"/>
    </row>
    <row r="306">
      <c r="D306" s="32"/>
    </row>
    <row r="307">
      <c r="D307" s="32"/>
    </row>
    <row r="308">
      <c r="D308" s="32"/>
    </row>
    <row r="309">
      <c r="D309" s="32"/>
    </row>
    <row r="310">
      <c r="D310" s="32"/>
    </row>
    <row r="311">
      <c r="D311" s="32"/>
    </row>
    <row r="312">
      <c r="D312" s="32"/>
    </row>
    <row r="313">
      <c r="D313" s="32"/>
    </row>
    <row r="314">
      <c r="D314" s="32"/>
    </row>
    <row r="315">
      <c r="D315" s="32"/>
    </row>
    <row r="316">
      <c r="D316" s="32"/>
    </row>
    <row r="317">
      <c r="D317" s="32"/>
    </row>
    <row r="318">
      <c r="D318" s="32"/>
    </row>
    <row r="319">
      <c r="D319" s="32"/>
    </row>
    <row r="320">
      <c r="D320" s="32"/>
    </row>
    <row r="321">
      <c r="D321" s="32"/>
    </row>
    <row r="322">
      <c r="D322" s="32"/>
    </row>
    <row r="323">
      <c r="D323" s="32"/>
    </row>
    <row r="324">
      <c r="D324" s="32"/>
    </row>
    <row r="325">
      <c r="D325" s="32"/>
    </row>
    <row r="326">
      <c r="D326" s="32"/>
    </row>
    <row r="327">
      <c r="D327" s="32"/>
    </row>
    <row r="328">
      <c r="D328" s="32"/>
    </row>
    <row r="329">
      <c r="D329" s="32"/>
    </row>
    <row r="330">
      <c r="D330" s="32"/>
    </row>
    <row r="331">
      <c r="D331" s="32"/>
    </row>
    <row r="332">
      <c r="D332" s="32"/>
    </row>
    <row r="333">
      <c r="D333" s="32"/>
    </row>
    <row r="334">
      <c r="D334" s="32"/>
    </row>
    <row r="335">
      <c r="D335" s="32"/>
    </row>
    <row r="336">
      <c r="D336" s="32"/>
    </row>
    <row r="337">
      <c r="D337" s="32"/>
    </row>
    <row r="338">
      <c r="D338" s="32"/>
    </row>
    <row r="339">
      <c r="D339" s="32"/>
    </row>
    <row r="340">
      <c r="D340" s="32"/>
    </row>
    <row r="341">
      <c r="D341" s="32"/>
    </row>
    <row r="342">
      <c r="D342" s="32"/>
    </row>
    <row r="343">
      <c r="D343" s="32"/>
    </row>
    <row r="344">
      <c r="D344" s="32"/>
    </row>
    <row r="345">
      <c r="D345" s="32"/>
    </row>
    <row r="346">
      <c r="D346" s="32"/>
    </row>
    <row r="347">
      <c r="D347" s="32"/>
    </row>
    <row r="348">
      <c r="D348" s="32"/>
    </row>
    <row r="349">
      <c r="D349" s="32"/>
    </row>
    <row r="350">
      <c r="D350" s="32"/>
    </row>
    <row r="351">
      <c r="D351" s="32"/>
    </row>
    <row r="352">
      <c r="D352" s="32"/>
    </row>
    <row r="353">
      <c r="D353" s="32"/>
    </row>
    <row r="354">
      <c r="D354" s="32"/>
    </row>
    <row r="355">
      <c r="D355" s="32"/>
    </row>
    <row r="356">
      <c r="D356" s="32"/>
    </row>
    <row r="357">
      <c r="D357" s="32"/>
    </row>
    <row r="358">
      <c r="D358" s="32"/>
    </row>
    <row r="359">
      <c r="D359" s="32"/>
    </row>
    <row r="360">
      <c r="D360" s="32"/>
    </row>
    <row r="361">
      <c r="D361" s="32"/>
    </row>
    <row r="362">
      <c r="D362" s="32"/>
    </row>
    <row r="363">
      <c r="D363" s="32"/>
    </row>
    <row r="364">
      <c r="D364" s="32"/>
    </row>
    <row r="365">
      <c r="D365" s="32"/>
    </row>
    <row r="366">
      <c r="D366" s="32"/>
    </row>
    <row r="367">
      <c r="D367" s="32"/>
    </row>
    <row r="368">
      <c r="D368" s="32"/>
    </row>
    <row r="369">
      <c r="D369" s="32"/>
    </row>
    <row r="370">
      <c r="D370" s="32"/>
    </row>
    <row r="371">
      <c r="D371" s="32"/>
    </row>
    <row r="372">
      <c r="D372" s="32"/>
    </row>
    <row r="373">
      <c r="D373" s="32"/>
    </row>
    <row r="374">
      <c r="D374" s="32"/>
    </row>
    <row r="375">
      <c r="D375" s="32"/>
    </row>
    <row r="376">
      <c r="D376" s="32"/>
    </row>
    <row r="377">
      <c r="D377" s="32"/>
    </row>
    <row r="378">
      <c r="D378" s="32"/>
    </row>
    <row r="379">
      <c r="D379" s="32"/>
    </row>
    <row r="380">
      <c r="D380" s="32"/>
    </row>
    <row r="381">
      <c r="D381" s="32"/>
    </row>
    <row r="382">
      <c r="D382" s="32"/>
    </row>
    <row r="383">
      <c r="D383" s="32"/>
    </row>
    <row r="384">
      <c r="D384" s="32"/>
    </row>
    <row r="385">
      <c r="D385" s="32"/>
    </row>
    <row r="386">
      <c r="D386" s="32"/>
    </row>
    <row r="387">
      <c r="D387" s="32"/>
    </row>
    <row r="388">
      <c r="D388" s="32"/>
    </row>
    <row r="389">
      <c r="D389" s="32"/>
    </row>
    <row r="390">
      <c r="D390" s="32"/>
    </row>
    <row r="391">
      <c r="D391" s="32"/>
    </row>
    <row r="392">
      <c r="D392" s="32"/>
    </row>
    <row r="393">
      <c r="D393" s="32"/>
    </row>
    <row r="394">
      <c r="D394" s="32"/>
    </row>
    <row r="395">
      <c r="D395" s="32"/>
    </row>
    <row r="396">
      <c r="D396" s="32"/>
    </row>
    <row r="397">
      <c r="D397" s="32"/>
    </row>
    <row r="398">
      <c r="D398" s="32"/>
    </row>
    <row r="399">
      <c r="D399" s="32"/>
    </row>
    <row r="400">
      <c r="D400" s="32"/>
    </row>
    <row r="401">
      <c r="D401" s="32"/>
    </row>
    <row r="402">
      <c r="D402" s="32"/>
    </row>
    <row r="403">
      <c r="D403" s="32"/>
    </row>
    <row r="404">
      <c r="D404" s="32"/>
    </row>
    <row r="405">
      <c r="D405" s="32"/>
    </row>
    <row r="406">
      <c r="D406" s="32"/>
    </row>
    <row r="407">
      <c r="D407" s="32"/>
    </row>
    <row r="408">
      <c r="D408" s="32"/>
    </row>
    <row r="409">
      <c r="D409" s="32"/>
    </row>
    <row r="410">
      <c r="D410" s="32"/>
    </row>
    <row r="411">
      <c r="D411" s="32"/>
    </row>
    <row r="412">
      <c r="D412" s="32"/>
    </row>
    <row r="413">
      <c r="D413" s="32"/>
    </row>
    <row r="414">
      <c r="D414" s="32"/>
    </row>
    <row r="415">
      <c r="D415" s="32"/>
    </row>
    <row r="416">
      <c r="D416" s="32"/>
    </row>
    <row r="417">
      <c r="D417" s="32"/>
    </row>
    <row r="418">
      <c r="D418" s="32"/>
    </row>
    <row r="419">
      <c r="D419" s="32"/>
    </row>
    <row r="420">
      <c r="D420" s="32"/>
    </row>
    <row r="421">
      <c r="D421" s="32"/>
    </row>
    <row r="422">
      <c r="D422" s="32"/>
    </row>
    <row r="423">
      <c r="D423" s="32"/>
    </row>
    <row r="424">
      <c r="D424" s="32"/>
    </row>
    <row r="425">
      <c r="D425" s="32"/>
    </row>
    <row r="426">
      <c r="D426" s="32"/>
    </row>
    <row r="427">
      <c r="D427" s="32"/>
    </row>
    <row r="428">
      <c r="D428" s="32"/>
    </row>
    <row r="429">
      <c r="D429" s="32"/>
    </row>
    <row r="430">
      <c r="D430" s="32"/>
    </row>
    <row r="431">
      <c r="D431" s="32"/>
    </row>
    <row r="432">
      <c r="D432" s="32"/>
    </row>
    <row r="433">
      <c r="D433" s="32"/>
    </row>
    <row r="434">
      <c r="D434" s="32"/>
    </row>
    <row r="435">
      <c r="D435" s="32"/>
    </row>
    <row r="436">
      <c r="D436" s="32"/>
    </row>
    <row r="437">
      <c r="D437" s="32"/>
    </row>
    <row r="438">
      <c r="D438" s="32"/>
    </row>
    <row r="439">
      <c r="D439" s="32"/>
    </row>
    <row r="440">
      <c r="D440" s="32"/>
    </row>
    <row r="441">
      <c r="D441" s="32"/>
    </row>
    <row r="442">
      <c r="D442" s="32"/>
    </row>
    <row r="443">
      <c r="D443" s="32"/>
    </row>
    <row r="444">
      <c r="D444" s="32"/>
    </row>
    <row r="445">
      <c r="D445" s="32"/>
    </row>
    <row r="446">
      <c r="D446" s="32"/>
    </row>
    <row r="447">
      <c r="D447" s="32"/>
    </row>
    <row r="448">
      <c r="D448" s="32"/>
    </row>
    <row r="449">
      <c r="D449" s="32"/>
    </row>
    <row r="450">
      <c r="D450" s="32"/>
    </row>
    <row r="451">
      <c r="D451" s="32"/>
    </row>
    <row r="452">
      <c r="D452" s="32"/>
    </row>
    <row r="453">
      <c r="D453" s="32"/>
    </row>
    <row r="454">
      <c r="D454" s="32"/>
    </row>
    <row r="455">
      <c r="D455" s="32"/>
    </row>
    <row r="456">
      <c r="D456" s="32"/>
    </row>
    <row r="457">
      <c r="D457" s="32"/>
    </row>
    <row r="458">
      <c r="D458" s="32"/>
    </row>
    <row r="459">
      <c r="D459" s="32"/>
    </row>
    <row r="460">
      <c r="D460" s="32"/>
    </row>
    <row r="461">
      <c r="D461" s="32"/>
    </row>
    <row r="462">
      <c r="D462" s="32"/>
    </row>
    <row r="463">
      <c r="D463" s="32"/>
    </row>
    <row r="464">
      <c r="D464" s="32"/>
    </row>
    <row r="465">
      <c r="D465" s="32"/>
    </row>
    <row r="466">
      <c r="D466" s="32"/>
    </row>
    <row r="467">
      <c r="D467" s="32"/>
    </row>
    <row r="468">
      <c r="D468" s="32"/>
    </row>
    <row r="469">
      <c r="D469" s="32"/>
    </row>
    <row r="470">
      <c r="D470" s="32"/>
    </row>
    <row r="471">
      <c r="D471" s="32"/>
    </row>
    <row r="472">
      <c r="D472" s="32"/>
    </row>
    <row r="473">
      <c r="D473" s="32"/>
    </row>
    <row r="474">
      <c r="D474" s="32"/>
    </row>
    <row r="475">
      <c r="D475" s="32"/>
    </row>
    <row r="476">
      <c r="D476" s="32"/>
    </row>
    <row r="477">
      <c r="D477" s="32"/>
    </row>
    <row r="478">
      <c r="D478" s="32"/>
    </row>
    <row r="479">
      <c r="D479" s="32"/>
    </row>
    <row r="480">
      <c r="D480" s="32"/>
    </row>
    <row r="481">
      <c r="D481" s="32"/>
    </row>
    <row r="482">
      <c r="D482" s="32"/>
    </row>
    <row r="483">
      <c r="D483" s="32"/>
    </row>
    <row r="484">
      <c r="D484" s="32"/>
    </row>
    <row r="485">
      <c r="D485" s="32"/>
    </row>
    <row r="486">
      <c r="D486" s="32"/>
    </row>
    <row r="487">
      <c r="D487" s="32"/>
    </row>
    <row r="488">
      <c r="D488" s="32"/>
    </row>
    <row r="489">
      <c r="D489" s="32"/>
    </row>
    <row r="490">
      <c r="D490" s="32"/>
    </row>
    <row r="491">
      <c r="D491" s="32"/>
    </row>
    <row r="492">
      <c r="D492" s="32"/>
    </row>
    <row r="493">
      <c r="D493" s="32"/>
    </row>
    <row r="494">
      <c r="D494" s="32"/>
    </row>
    <row r="495">
      <c r="D495" s="32"/>
    </row>
    <row r="496">
      <c r="D496" s="32"/>
    </row>
    <row r="497">
      <c r="D497" s="32"/>
    </row>
    <row r="498">
      <c r="D498" s="32"/>
    </row>
    <row r="499">
      <c r="D499" s="32"/>
    </row>
    <row r="500">
      <c r="D500" s="32"/>
    </row>
    <row r="501">
      <c r="D501" s="32"/>
    </row>
    <row r="502">
      <c r="D502" s="32"/>
    </row>
    <row r="503">
      <c r="D503" s="32"/>
    </row>
    <row r="504">
      <c r="D504" s="32"/>
    </row>
    <row r="505">
      <c r="D505" s="32"/>
    </row>
    <row r="506">
      <c r="D506" s="32"/>
    </row>
    <row r="507">
      <c r="D507" s="32"/>
    </row>
    <row r="508">
      <c r="D508" s="32"/>
    </row>
    <row r="509">
      <c r="D509" s="32"/>
    </row>
    <row r="510">
      <c r="D510" s="32"/>
    </row>
    <row r="511">
      <c r="D511" s="32"/>
    </row>
    <row r="512">
      <c r="D512" s="32"/>
    </row>
    <row r="513">
      <c r="D513" s="32"/>
    </row>
    <row r="514">
      <c r="D514" s="32"/>
    </row>
    <row r="515">
      <c r="D515" s="32"/>
    </row>
    <row r="516">
      <c r="D516" s="32"/>
    </row>
    <row r="517">
      <c r="D517" s="32"/>
    </row>
    <row r="518">
      <c r="D518" s="32"/>
    </row>
    <row r="519">
      <c r="D519" s="32"/>
    </row>
    <row r="520">
      <c r="D520" s="32"/>
    </row>
    <row r="521">
      <c r="D521" s="32"/>
    </row>
    <row r="522">
      <c r="D522" s="32"/>
    </row>
    <row r="523">
      <c r="D523" s="32"/>
    </row>
    <row r="524">
      <c r="D524" s="32"/>
    </row>
    <row r="525">
      <c r="D525" s="32"/>
    </row>
    <row r="526">
      <c r="D526" s="32"/>
    </row>
    <row r="527">
      <c r="D527" s="32"/>
    </row>
    <row r="528">
      <c r="D528" s="32"/>
    </row>
    <row r="529">
      <c r="D529" s="32"/>
    </row>
    <row r="530">
      <c r="D530" s="32"/>
    </row>
    <row r="531">
      <c r="D531" s="32"/>
    </row>
    <row r="532">
      <c r="D532" s="32"/>
    </row>
    <row r="533">
      <c r="D533" s="32"/>
    </row>
    <row r="534">
      <c r="D534" s="32"/>
    </row>
    <row r="535">
      <c r="D535" s="32"/>
    </row>
    <row r="536">
      <c r="D536" s="32"/>
    </row>
    <row r="537">
      <c r="D537" s="32"/>
    </row>
    <row r="538">
      <c r="D538" s="32"/>
    </row>
    <row r="539">
      <c r="D539" s="32"/>
    </row>
    <row r="540">
      <c r="D540" s="32"/>
    </row>
    <row r="541">
      <c r="D541" s="32"/>
    </row>
    <row r="542">
      <c r="D542" s="32"/>
    </row>
    <row r="543">
      <c r="D543" s="32"/>
    </row>
    <row r="544">
      <c r="D544" s="32"/>
    </row>
    <row r="545">
      <c r="D545" s="32"/>
    </row>
    <row r="546">
      <c r="D546" s="32"/>
    </row>
    <row r="547">
      <c r="D547" s="32"/>
    </row>
    <row r="548">
      <c r="D548" s="32"/>
    </row>
    <row r="549">
      <c r="D549" s="32"/>
    </row>
    <row r="550">
      <c r="D550" s="32"/>
    </row>
    <row r="551">
      <c r="D551" s="32"/>
    </row>
    <row r="552">
      <c r="D552" s="32"/>
    </row>
    <row r="553">
      <c r="D553" s="32"/>
    </row>
    <row r="554">
      <c r="D554" s="32"/>
    </row>
    <row r="555">
      <c r="D555" s="32"/>
    </row>
    <row r="556">
      <c r="D556" s="32"/>
    </row>
    <row r="557">
      <c r="D557" s="32"/>
    </row>
    <row r="558">
      <c r="D558" s="32"/>
    </row>
    <row r="559">
      <c r="D559" s="32"/>
    </row>
    <row r="560">
      <c r="D560" s="32"/>
    </row>
    <row r="561">
      <c r="D561" s="32"/>
    </row>
    <row r="562">
      <c r="D562" s="32"/>
    </row>
    <row r="563">
      <c r="D563" s="32"/>
    </row>
    <row r="564">
      <c r="D564" s="32"/>
    </row>
    <row r="565">
      <c r="D565" s="32"/>
    </row>
    <row r="566">
      <c r="D566" s="32"/>
    </row>
    <row r="567">
      <c r="D567" s="32"/>
    </row>
    <row r="568">
      <c r="D568" s="32"/>
    </row>
    <row r="569">
      <c r="D569" s="32"/>
    </row>
    <row r="570">
      <c r="D570" s="32"/>
    </row>
    <row r="571">
      <c r="D571" s="32"/>
    </row>
    <row r="572">
      <c r="D572" s="32"/>
    </row>
    <row r="573">
      <c r="D573" s="32"/>
    </row>
    <row r="574">
      <c r="D574" s="32"/>
    </row>
    <row r="575">
      <c r="D575" s="32"/>
    </row>
    <row r="576">
      <c r="D576" s="32"/>
    </row>
    <row r="577">
      <c r="D577" s="32"/>
    </row>
    <row r="578">
      <c r="D578" s="32"/>
    </row>
    <row r="579">
      <c r="D579" s="32"/>
    </row>
    <row r="580">
      <c r="D580" s="32"/>
    </row>
    <row r="581">
      <c r="D581" s="32"/>
    </row>
    <row r="582">
      <c r="D582" s="32"/>
    </row>
    <row r="583">
      <c r="D583" s="32"/>
    </row>
    <row r="584">
      <c r="D584" s="32"/>
    </row>
    <row r="585">
      <c r="D585" s="32"/>
    </row>
    <row r="586">
      <c r="D586" s="32"/>
    </row>
    <row r="587">
      <c r="D587" s="32"/>
    </row>
    <row r="588">
      <c r="D588" s="32"/>
    </row>
    <row r="589">
      <c r="D589" s="32"/>
    </row>
    <row r="590">
      <c r="D590" s="32"/>
    </row>
    <row r="591">
      <c r="D591" s="32"/>
    </row>
    <row r="592">
      <c r="D592" s="32"/>
    </row>
    <row r="593">
      <c r="D593" s="32"/>
    </row>
    <row r="594">
      <c r="D594" s="32"/>
    </row>
    <row r="595">
      <c r="D595" s="32"/>
    </row>
    <row r="596">
      <c r="D596" s="32"/>
    </row>
    <row r="597">
      <c r="D597" s="32"/>
    </row>
    <row r="598">
      <c r="D598" s="32"/>
    </row>
    <row r="599">
      <c r="D599" s="32"/>
    </row>
    <row r="600">
      <c r="D600" s="32"/>
    </row>
    <row r="601">
      <c r="D601" s="32"/>
    </row>
    <row r="602">
      <c r="D602" s="32"/>
    </row>
    <row r="603">
      <c r="D603" s="32"/>
    </row>
    <row r="604">
      <c r="D604" s="32"/>
    </row>
    <row r="605">
      <c r="D605" s="32"/>
    </row>
    <row r="606">
      <c r="D606" s="32"/>
    </row>
    <row r="607">
      <c r="D607" s="32"/>
    </row>
    <row r="608">
      <c r="D608" s="32"/>
    </row>
    <row r="609">
      <c r="D609" s="32"/>
    </row>
    <row r="610">
      <c r="D610" s="32"/>
    </row>
    <row r="611">
      <c r="D611" s="32"/>
    </row>
    <row r="612">
      <c r="D612" s="32"/>
    </row>
    <row r="613">
      <c r="D613" s="32"/>
    </row>
    <row r="614">
      <c r="D614" s="32"/>
    </row>
    <row r="615">
      <c r="D615" s="32"/>
    </row>
    <row r="616">
      <c r="D616" s="32"/>
    </row>
    <row r="617">
      <c r="D617" s="32"/>
    </row>
    <row r="618">
      <c r="D618" s="32"/>
    </row>
    <row r="619">
      <c r="D619" s="32"/>
    </row>
    <row r="620">
      <c r="D620" s="32"/>
    </row>
    <row r="621">
      <c r="D621" s="32"/>
    </row>
    <row r="622">
      <c r="D622" s="32"/>
    </row>
    <row r="623">
      <c r="D623" s="32"/>
    </row>
    <row r="624">
      <c r="D624" s="32"/>
    </row>
    <row r="625">
      <c r="D625" s="32"/>
    </row>
    <row r="626">
      <c r="D626" s="32"/>
    </row>
    <row r="627">
      <c r="D627" s="32"/>
    </row>
    <row r="628">
      <c r="D628" s="32"/>
    </row>
    <row r="629">
      <c r="D629" s="32"/>
    </row>
    <row r="630">
      <c r="D630" s="32"/>
    </row>
    <row r="631">
      <c r="D631" s="32"/>
    </row>
    <row r="632">
      <c r="D632" s="32"/>
    </row>
    <row r="633">
      <c r="D633" s="32"/>
    </row>
    <row r="634">
      <c r="D634" s="32"/>
    </row>
    <row r="635">
      <c r="D635" s="32"/>
    </row>
    <row r="636">
      <c r="D636" s="32"/>
    </row>
    <row r="637">
      <c r="D637" s="32"/>
    </row>
    <row r="638">
      <c r="D638" s="32"/>
    </row>
    <row r="639">
      <c r="D639" s="32"/>
    </row>
    <row r="640">
      <c r="D640" s="32"/>
    </row>
    <row r="641">
      <c r="D641" s="32"/>
    </row>
    <row r="642">
      <c r="D642" s="32"/>
    </row>
    <row r="643">
      <c r="D643" s="32"/>
    </row>
    <row r="644">
      <c r="D644" s="32"/>
    </row>
    <row r="645">
      <c r="D645" s="32"/>
    </row>
    <row r="646">
      <c r="D646" s="32"/>
    </row>
    <row r="647">
      <c r="D647" s="32"/>
    </row>
    <row r="648">
      <c r="D648" s="32"/>
    </row>
    <row r="649">
      <c r="D649" s="32"/>
    </row>
    <row r="650">
      <c r="D650" s="32"/>
    </row>
    <row r="651">
      <c r="D651" s="32"/>
    </row>
    <row r="652">
      <c r="D652" s="32"/>
    </row>
    <row r="653">
      <c r="D653" s="32"/>
    </row>
    <row r="654">
      <c r="D654" s="32"/>
    </row>
    <row r="655">
      <c r="D655" s="32"/>
    </row>
    <row r="656">
      <c r="D656" s="32"/>
    </row>
    <row r="657">
      <c r="D657" s="32"/>
    </row>
    <row r="658">
      <c r="D658" s="32"/>
    </row>
    <row r="659">
      <c r="D659" s="32"/>
    </row>
    <row r="660">
      <c r="D660" s="32"/>
    </row>
    <row r="661">
      <c r="D661" s="32"/>
    </row>
    <row r="662">
      <c r="D662" s="32"/>
    </row>
    <row r="663">
      <c r="D663" s="32"/>
    </row>
    <row r="664">
      <c r="D664" s="32"/>
    </row>
    <row r="665">
      <c r="D665" s="32"/>
    </row>
    <row r="666">
      <c r="D666" s="32"/>
    </row>
    <row r="667">
      <c r="D667" s="32"/>
    </row>
    <row r="668">
      <c r="D668" s="32"/>
    </row>
    <row r="669">
      <c r="D669" s="32"/>
    </row>
    <row r="670">
      <c r="D670" s="32"/>
    </row>
    <row r="671">
      <c r="D671" s="32"/>
    </row>
    <row r="672">
      <c r="D672" s="32"/>
    </row>
    <row r="673">
      <c r="D673" s="32"/>
    </row>
    <row r="674">
      <c r="D674" s="32"/>
    </row>
    <row r="675">
      <c r="D675" s="32"/>
    </row>
    <row r="676">
      <c r="D676" s="32"/>
    </row>
    <row r="677">
      <c r="D677" s="32"/>
    </row>
    <row r="678">
      <c r="D678" s="32"/>
    </row>
    <row r="679">
      <c r="D679" s="32"/>
    </row>
    <row r="680">
      <c r="D680" s="32"/>
    </row>
    <row r="681">
      <c r="D681" s="32"/>
    </row>
    <row r="682">
      <c r="D682" s="32"/>
    </row>
    <row r="683">
      <c r="D683" s="32"/>
    </row>
    <row r="684">
      <c r="D684" s="32"/>
    </row>
    <row r="685">
      <c r="D685" s="32"/>
    </row>
    <row r="686">
      <c r="D686" s="32"/>
    </row>
    <row r="687">
      <c r="D687" s="32"/>
    </row>
    <row r="688">
      <c r="D688" s="32"/>
    </row>
    <row r="689">
      <c r="D689" s="32"/>
    </row>
    <row r="690">
      <c r="D690" s="32"/>
    </row>
    <row r="691">
      <c r="D691" s="32"/>
    </row>
    <row r="692">
      <c r="D692" s="32"/>
    </row>
    <row r="693">
      <c r="D693" s="32"/>
    </row>
    <row r="694">
      <c r="D694" s="32"/>
    </row>
    <row r="695">
      <c r="D695" s="32"/>
    </row>
    <row r="696">
      <c r="D696" s="32"/>
    </row>
    <row r="697">
      <c r="D697" s="32"/>
    </row>
    <row r="698">
      <c r="D698" s="32"/>
    </row>
    <row r="699">
      <c r="D699" s="32"/>
    </row>
    <row r="700">
      <c r="D700" s="32"/>
    </row>
    <row r="701">
      <c r="D701" s="32"/>
    </row>
    <row r="702">
      <c r="D702" s="32"/>
    </row>
    <row r="703">
      <c r="D703" s="32"/>
    </row>
    <row r="704">
      <c r="D704" s="32"/>
    </row>
    <row r="705">
      <c r="D705" s="32"/>
    </row>
    <row r="706">
      <c r="D706" s="32"/>
    </row>
    <row r="707">
      <c r="D707" s="32"/>
    </row>
    <row r="708">
      <c r="D708" s="32"/>
    </row>
    <row r="709">
      <c r="D709" s="32"/>
    </row>
    <row r="710">
      <c r="D710" s="32"/>
    </row>
    <row r="711">
      <c r="D711" s="32"/>
    </row>
    <row r="712">
      <c r="D712" s="32"/>
    </row>
    <row r="713">
      <c r="D713" s="32"/>
    </row>
    <row r="714">
      <c r="D714" s="32"/>
    </row>
    <row r="715">
      <c r="D715" s="32"/>
    </row>
    <row r="716">
      <c r="D716" s="32"/>
    </row>
    <row r="717">
      <c r="D717" s="32"/>
    </row>
    <row r="718">
      <c r="D718" s="32"/>
    </row>
    <row r="719">
      <c r="D719" s="32"/>
    </row>
    <row r="720">
      <c r="D720" s="32"/>
    </row>
    <row r="721">
      <c r="D721" s="32"/>
    </row>
    <row r="722">
      <c r="D722" s="32"/>
    </row>
    <row r="723">
      <c r="D723" s="32"/>
    </row>
    <row r="724">
      <c r="D724" s="32"/>
    </row>
    <row r="725">
      <c r="D725" s="32"/>
    </row>
    <row r="726">
      <c r="D726" s="32"/>
    </row>
    <row r="727">
      <c r="D727" s="32"/>
    </row>
    <row r="728">
      <c r="D728" s="32"/>
    </row>
    <row r="729">
      <c r="D729" s="32"/>
    </row>
    <row r="730">
      <c r="D730" s="32"/>
    </row>
    <row r="731">
      <c r="D731" s="32"/>
    </row>
    <row r="732">
      <c r="D732" s="32"/>
    </row>
    <row r="733">
      <c r="D733" s="32"/>
    </row>
    <row r="734">
      <c r="D734" s="32"/>
    </row>
    <row r="735">
      <c r="D735" s="32"/>
    </row>
    <row r="736">
      <c r="D736" s="32"/>
    </row>
    <row r="737">
      <c r="D737" s="32"/>
    </row>
    <row r="738">
      <c r="D738" s="32"/>
    </row>
    <row r="739">
      <c r="D739" s="32"/>
    </row>
    <row r="740">
      <c r="D740" s="32"/>
    </row>
    <row r="741">
      <c r="D741" s="32"/>
    </row>
    <row r="742">
      <c r="D742" s="32"/>
    </row>
    <row r="743">
      <c r="D743" s="32"/>
    </row>
    <row r="744">
      <c r="D744" s="32"/>
    </row>
    <row r="745">
      <c r="D745" s="32"/>
    </row>
    <row r="746">
      <c r="D746" s="32"/>
    </row>
    <row r="747">
      <c r="D747" s="32"/>
    </row>
    <row r="748">
      <c r="D748" s="32"/>
    </row>
    <row r="749">
      <c r="D749" s="32"/>
    </row>
    <row r="750">
      <c r="D750" s="32"/>
    </row>
    <row r="751">
      <c r="D751" s="32"/>
    </row>
    <row r="752">
      <c r="D752" s="32"/>
    </row>
    <row r="753">
      <c r="D753" s="32"/>
    </row>
    <row r="754">
      <c r="D754" s="32"/>
    </row>
    <row r="755">
      <c r="D755" s="32"/>
    </row>
    <row r="756">
      <c r="D756" s="32"/>
    </row>
    <row r="757">
      <c r="D757" s="32"/>
    </row>
    <row r="758">
      <c r="D758" s="32"/>
    </row>
    <row r="759">
      <c r="D759" s="32"/>
    </row>
    <row r="760">
      <c r="D760" s="32"/>
    </row>
    <row r="761">
      <c r="D761" s="32"/>
    </row>
    <row r="762">
      <c r="D762" s="32"/>
    </row>
    <row r="763">
      <c r="D763" s="32"/>
    </row>
    <row r="764">
      <c r="D764" s="32"/>
    </row>
    <row r="765">
      <c r="D765" s="32"/>
    </row>
    <row r="766">
      <c r="D766" s="32"/>
    </row>
    <row r="767">
      <c r="D767" s="32"/>
    </row>
    <row r="768">
      <c r="D768" s="32"/>
    </row>
    <row r="769">
      <c r="D769" s="32"/>
    </row>
    <row r="770">
      <c r="D770" s="32"/>
    </row>
    <row r="771">
      <c r="D771" s="32"/>
    </row>
    <row r="772">
      <c r="D772" s="32"/>
    </row>
    <row r="773">
      <c r="D773" s="32"/>
    </row>
    <row r="774">
      <c r="D774" s="32"/>
    </row>
    <row r="775">
      <c r="D775" s="32"/>
    </row>
    <row r="776">
      <c r="D776" s="32"/>
    </row>
    <row r="777">
      <c r="D777" s="32"/>
    </row>
    <row r="778">
      <c r="D778" s="32"/>
    </row>
    <row r="779">
      <c r="D779" s="32"/>
    </row>
    <row r="780">
      <c r="D780" s="32"/>
    </row>
    <row r="781">
      <c r="D781" s="32"/>
    </row>
    <row r="782">
      <c r="D782" s="32"/>
    </row>
    <row r="783">
      <c r="D783" s="32"/>
    </row>
    <row r="784">
      <c r="D784" s="32"/>
    </row>
    <row r="785">
      <c r="D785" s="32"/>
    </row>
    <row r="786">
      <c r="D786" s="32"/>
    </row>
    <row r="787">
      <c r="D787" s="32"/>
    </row>
    <row r="788">
      <c r="D788" s="32"/>
    </row>
    <row r="789">
      <c r="D789" s="32"/>
    </row>
    <row r="790">
      <c r="D790" s="32"/>
    </row>
    <row r="791">
      <c r="D791" s="32"/>
    </row>
    <row r="792">
      <c r="D792" s="32"/>
    </row>
    <row r="793">
      <c r="D793" s="32"/>
    </row>
    <row r="794">
      <c r="D794" s="32"/>
    </row>
    <row r="795">
      <c r="D795" s="32"/>
    </row>
    <row r="796">
      <c r="D796" s="32"/>
    </row>
    <row r="797">
      <c r="D797" s="32"/>
    </row>
    <row r="798">
      <c r="D798" s="32"/>
    </row>
    <row r="799">
      <c r="D799" s="32"/>
    </row>
    <row r="800">
      <c r="D800" s="32"/>
    </row>
    <row r="801">
      <c r="D801" s="32"/>
    </row>
    <row r="802">
      <c r="D802" s="32"/>
    </row>
    <row r="803">
      <c r="D803" s="32"/>
    </row>
    <row r="804">
      <c r="D804" s="32"/>
    </row>
    <row r="805">
      <c r="D805" s="32"/>
    </row>
    <row r="806">
      <c r="D806" s="32"/>
    </row>
    <row r="807">
      <c r="D807" s="32"/>
    </row>
    <row r="808">
      <c r="D808" s="32"/>
    </row>
    <row r="809">
      <c r="D809" s="32"/>
    </row>
    <row r="810">
      <c r="D810" s="32"/>
    </row>
    <row r="811">
      <c r="D811" s="32"/>
    </row>
    <row r="812">
      <c r="D812" s="32"/>
    </row>
    <row r="813">
      <c r="D813" s="32"/>
    </row>
    <row r="814">
      <c r="D814" s="32"/>
    </row>
    <row r="815">
      <c r="D815" s="32"/>
    </row>
    <row r="816">
      <c r="D816" s="32"/>
    </row>
    <row r="817">
      <c r="D817" s="32"/>
    </row>
    <row r="818">
      <c r="D818" s="32"/>
    </row>
    <row r="819">
      <c r="D819" s="32"/>
    </row>
    <row r="820">
      <c r="D820" s="32"/>
    </row>
    <row r="821">
      <c r="D821" s="32"/>
    </row>
    <row r="822">
      <c r="D822" s="32"/>
    </row>
    <row r="823">
      <c r="D823" s="32"/>
    </row>
    <row r="824">
      <c r="D824" s="32"/>
    </row>
    <row r="825">
      <c r="D825" s="32"/>
    </row>
    <row r="826">
      <c r="D826" s="32"/>
    </row>
    <row r="827">
      <c r="D827" s="32"/>
    </row>
    <row r="828">
      <c r="D828" s="32"/>
    </row>
    <row r="829">
      <c r="D829" s="32"/>
    </row>
    <row r="830">
      <c r="D830" s="32"/>
    </row>
    <row r="831">
      <c r="D831" s="32"/>
    </row>
    <row r="832">
      <c r="D832" s="32"/>
    </row>
    <row r="833">
      <c r="D833" s="32"/>
    </row>
    <row r="834">
      <c r="D834" s="32"/>
    </row>
    <row r="835">
      <c r="D835" s="32"/>
    </row>
    <row r="836">
      <c r="D836" s="32"/>
    </row>
    <row r="837">
      <c r="D837" s="32"/>
    </row>
    <row r="838">
      <c r="D838" s="32"/>
    </row>
    <row r="839">
      <c r="D839" s="32"/>
    </row>
    <row r="840">
      <c r="D840" s="32"/>
    </row>
    <row r="841">
      <c r="D841" s="32"/>
    </row>
    <row r="842">
      <c r="D842" s="32"/>
    </row>
    <row r="843">
      <c r="D843" s="32"/>
    </row>
    <row r="844">
      <c r="D844" s="32"/>
    </row>
    <row r="845">
      <c r="D845" s="32"/>
    </row>
    <row r="846">
      <c r="D846" s="32"/>
    </row>
    <row r="847">
      <c r="D847" s="32"/>
    </row>
    <row r="848">
      <c r="D848" s="32"/>
    </row>
    <row r="849">
      <c r="D849" s="32"/>
    </row>
    <row r="850">
      <c r="D850" s="32"/>
    </row>
    <row r="851">
      <c r="D851" s="32"/>
    </row>
    <row r="852">
      <c r="D852" s="32"/>
    </row>
    <row r="853">
      <c r="D853" s="32"/>
    </row>
    <row r="854">
      <c r="D854" s="32"/>
    </row>
    <row r="855">
      <c r="D855" s="32"/>
    </row>
    <row r="856">
      <c r="D856" s="32"/>
    </row>
    <row r="857">
      <c r="D857" s="32"/>
    </row>
    <row r="858">
      <c r="D858" s="32"/>
    </row>
    <row r="859">
      <c r="D859" s="32"/>
    </row>
    <row r="860">
      <c r="D860" s="32"/>
    </row>
    <row r="861">
      <c r="D861" s="32"/>
    </row>
    <row r="862">
      <c r="D862" s="32"/>
    </row>
    <row r="863">
      <c r="D863" s="32"/>
    </row>
    <row r="864">
      <c r="D864" s="32"/>
    </row>
    <row r="865">
      <c r="D865" s="32"/>
    </row>
    <row r="866">
      <c r="D866" s="32"/>
    </row>
    <row r="867">
      <c r="D867" s="32"/>
    </row>
    <row r="868">
      <c r="D868" s="32"/>
    </row>
    <row r="869">
      <c r="D869" s="32"/>
    </row>
    <row r="870">
      <c r="D870" s="32"/>
    </row>
    <row r="871">
      <c r="D871" s="32"/>
    </row>
    <row r="872">
      <c r="D872" s="32"/>
    </row>
    <row r="873">
      <c r="D873" s="32"/>
    </row>
    <row r="874">
      <c r="D874" s="32"/>
    </row>
    <row r="875">
      <c r="D875" s="32"/>
    </row>
    <row r="876">
      <c r="D876" s="32"/>
    </row>
    <row r="877">
      <c r="D877" s="32"/>
    </row>
    <row r="878">
      <c r="D878" s="32"/>
    </row>
    <row r="879">
      <c r="D879" s="32"/>
    </row>
    <row r="880">
      <c r="D880" s="32"/>
    </row>
    <row r="881">
      <c r="D881" s="32"/>
    </row>
    <row r="882">
      <c r="D882" s="32"/>
    </row>
    <row r="883">
      <c r="D883" s="32"/>
    </row>
    <row r="884">
      <c r="D884" s="32"/>
    </row>
    <row r="885">
      <c r="D885" s="32"/>
    </row>
    <row r="886">
      <c r="D886" s="32"/>
    </row>
    <row r="887">
      <c r="D887" s="32"/>
    </row>
    <row r="888">
      <c r="D888" s="32"/>
    </row>
    <row r="889">
      <c r="D889" s="32"/>
    </row>
    <row r="890">
      <c r="D890" s="32"/>
    </row>
    <row r="891">
      <c r="D891" s="32"/>
    </row>
    <row r="892">
      <c r="D892" s="32"/>
    </row>
    <row r="893">
      <c r="D893" s="32"/>
    </row>
    <row r="894">
      <c r="D894" s="32"/>
    </row>
    <row r="895">
      <c r="D895" s="32"/>
    </row>
    <row r="896">
      <c r="D896" s="32"/>
    </row>
    <row r="897">
      <c r="D897" s="32"/>
    </row>
    <row r="898">
      <c r="D898" s="32"/>
    </row>
    <row r="899">
      <c r="D899" s="32"/>
    </row>
    <row r="900">
      <c r="D900" s="32"/>
    </row>
    <row r="901">
      <c r="D901" s="32"/>
    </row>
    <row r="902">
      <c r="D902" s="32"/>
    </row>
    <row r="903">
      <c r="D903" s="32"/>
    </row>
    <row r="904">
      <c r="D904" s="32"/>
    </row>
    <row r="905">
      <c r="D905" s="32"/>
    </row>
    <row r="906">
      <c r="D906" s="32"/>
    </row>
    <row r="907">
      <c r="D907" s="32"/>
    </row>
    <row r="908">
      <c r="D908" s="32"/>
    </row>
    <row r="909">
      <c r="D909" s="32"/>
    </row>
    <row r="910">
      <c r="D910" s="32"/>
    </row>
    <row r="911">
      <c r="D911" s="32"/>
    </row>
    <row r="912">
      <c r="D912" s="32"/>
    </row>
    <row r="913">
      <c r="D913" s="32"/>
    </row>
    <row r="914">
      <c r="D914" s="32"/>
    </row>
    <row r="915">
      <c r="D915" s="32"/>
    </row>
    <row r="916">
      <c r="D916" s="32"/>
    </row>
    <row r="917">
      <c r="D917" s="32"/>
    </row>
    <row r="918">
      <c r="D918" s="32"/>
    </row>
    <row r="919">
      <c r="D919" s="32"/>
    </row>
    <row r="920">
      <c r="D920" s="32"/>
    </row>
    <row r="921">
      <c r="D921" s="32"/>
    </row>
    <row r="922">
      <c r="D922" s="32"/>
    </row>
    <row r="923">
      <c r="D923" s="32"/>
    </row>
    <row r="924">
      <c r="D924" s="32"/>
    </row>
    <row r="925">
      <c r="D925" s="32"/>
    </row>
    <row r="926">
      <c r="D926" s="32"/>
    </row>
    <row r="927">
      <c r="D927" s="32"/>
    </row>
    <row r="928">
      <c r="D928" s="32"/>
    </row>
    <row r="929">
      <c r="D929" s="32"/>
    </row>
    <row r="930">
      <c r="D930" s="32"/>
    </row>
    <row r="931">
      <c r="D931" s="32"/>
    </row>
    <row r="932">
      <c r="D932" s="32"/>
    </row>
    <row r="933">
      <c r="D933" s="32"/>
    </row>
    <row r="934">
      <c r="D934" s="32"/>
    </row>
    <row r="935">
      <c r="D935" s="32"/>
    </row>
    <row r="936">
      <c r="D936" s="32"/>
    </row>
    <row r="937">
      <c r="D937" s="32"/>
    </row>
    <row r="938">
      <c r="D938" s="32"/>
    </row>
    <row r="939">
      <c r="D939" s="32"/>
    </row>
    <row r="940">
      <c r="D940" s="32"/>
    </row>
    <row r="941">
      <c r="D941" s="32"/>
    </row>
    <row r="942">
      <c r="D942" s="32"/>
    </row>
    <row r="943">
      <c r="D943" s="32"/>
    </row>
    <row r="944">
      <c r="D944" s="32"/>
    </row>
    <row r="945">
      <c r="D945" s="32"/>
    </row>
    <row r="946">
      <c r="D946" s="32"/>
    </row>
    <row r="947">
      <c r="D947" s="32"/>
    </row>
    <row r="948">
      <c r="D948" s="32"/>
    </row>
    <row r="949">
      <c r="D949" s="32"/>
    </row>
    <row r="950">
      <c r="D950" s="32"/>
    </row>
    <row r="951">
      <c r="D951" s="32"/>
    </row>
    <row r="952">
      <c r="D952" s="32"/>
    </row>
    <row r="953">
      <c r="D953" s="32"/>
    </row>
    <row r="954">
      <c r="D954" s="32"/>
    </row>
    <row r="955">
      <c r="D955" s="32"/>
    </row>
    <row r="956">
      <c r="D956" s="32"/>
    </row>
    <row r="957">
      <c r="D957" s="32"/>
    </row>
    <row r="958">
      <c r="D958" s="32"/>
    </row>
    <row r="959">
      <c r="D959" s="32"/>
    </row>
    <row r="960">
      <c r="D960" s="32"/>
    </row>
    <row r="961">
      <c r="D961" s="32"/>
    </row>
    <row r="962">
      <c r="D962" s="32"/>
    </row>
    <row r="963">
      <c r="D963" s="32"/>
    </row>
    <row r="964">
      <c r="D964" s="32"/>
    </row>
    <row r="965">
      <c r="D965" s="32"/>
    </row>
    <row r="966">
      <c r="D966" s="32"/>
    </row>
    <row r="967">
      <c r="D967" s="32"/>
    </row>
    <row r="968">
      <c r="D968" s="32"/>
    </row>
    <row r="969">
      <c r="D969" s="32"/>
    </row>
    <row r="970">
      <c r="D970" s="32"/>
    </row>
    <row r="971">
      <c r="D971" s="32"/>
    </row>
    <row r="972">
      <c r="D972" s="32"/>
    </row>
    <row r="973">
      <c r="D973" s="32"/>
    </row>
    <row r="974">
      <c r="D974" s="32"/>
    </row>
    <row r="975">
      <c r="D975" s="32"/>
    </row>
    <row r="976">
      <c r="D976" s="32"/>
    </row>
    <row r="977">
      <c r="D977" s="32"/>
    </row>
    <row r="978">
      <c r="D978" s="32"/>
    </row>
    <row r="979">
      <c r="D979" s="32"/>
    </row>
    <row r="980">
      <c r="D980" s="32"/>
    </row>
    <row r="981">
      <c r="D981" s="32"/>
    </row>
    <row r="982">
      <c r="D982" s="32"/>
    </row>
    <row r="983">
      <c r="D983" s="32"/>
    </row>
    <row r="984">
      <c r="D984" s="32"/>
    </row>
    <row r="985">
      <c r="D985" s="32"/>
    </row>
    <row r="986">
      <c r="D986" s="32"/>
    </row>
    <row r="987">
      <c r="D987" s="32"/>
    </row>
    <row r="988">
      <c r="D988" s="32"/>
    </row>
    <row r="989">
      <c r="D989" s="32"/>
    </row>
    <row r="990">
      <c r="D990" s="32"/>
    </row>
    <row r="991">
      <c r="D991" s="32"/>
    </row>
    <row r="992">
      <c r="D992" s="32"/>
    </row>
    <row r="993">
      <c r="D993" s="32"/>
    </row>
    <row r="994">
      <c r="D994" s="32"/>
    </row>
    <row r="995">
      <c r="D995" s="32"/>
    </row>
    <row r="996">
      <c r="D996" s="32"/>
    </row>
    <row r="997">
      <c r="D997" s="32"/>
    </row>
    <row r="998">
      <c r="D998" s="32"/>
    </row>
    <row r="999">
      <c r="D999" s="32"/>
    </row>
    <row r="1000">
      <c r="D1000" s="32"/>
    </row>
    <row r="1001">
      <c r="D1001" s="32"/>
    </row>
    <row r="1002">
      <c r="D1002" s="32"/>
    </row>
    <row r="1003">
      <c r="D1003" s="32"/>
    </row>
    <row r="1004">
      <c r="D1004" s="32"/>
    </row>
    <row r="1005">
      <c r="D1005" s="32"/>
    </row>
    <row r="1006">
      <c r="D1006" s="32"/>
    </row>
    <row r="1007">
      <c r="D1007" s="32"/>
    </row>
    <row r="1008">
      <c r="D1008" s="32"/>
    </row>
    <row r="1009">
      <c r="D1009" s="32"/>
    </row>
    <row r="1010">
      <c r="D1010" s="32"/>
    </row>
    <row r="1011">
      <c r="D1011" s="32"/>
    </row>
  </sheetData>
  <mergeCells count="6">
    <mergeCell ref="B2:D2"/>
    <mergeCell ref="B4:D4"/>
    <mergeCell ref="B5:D5"/>
    <mergeCell ref="B6:D6"/>
    <mergeCell ref="B8:D8"/>
    <mergeCell ref="B13:D13"/>
  </mergeCells>
  <conditionalFormatting sqref="A6 E6:L6 B8:D8 A10 E10:L10 B12:D12 A14 E14:L14 B16 A18 E18:L18 A22:L22">
    <cfRule type="colorScale" priority="1">
      <colorScale>
        <cfvo type="formula" val="0"/>
        <cfvo type="formula" val="10"/>
        <cfvo type="formula" val="15"/>
        <color rgb="FFF3F4F6"/>
        <color rgb="FFFFC2A1"/>
        <color rgb="FFF46524"/>
      </colorScale>
    </cfRule>
  </conditionalFormatting>
  <dataValidations>
    <dataValidation type="list" allowBlank="1" showErrorMessage="1" sqref="G2">
      <formula1>"2026,2025,2027"</formula1>
    </dataValidation>
    <dataValidation type="list" allowBlank="1" showErrorMessage="1" sqref="F2">
      <formula1>"Januari,Februari,Maret,April,Mei,Juni,Juli,Agustus,September,Oktober,November,Desember"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3.88"/>
    <col customWidth="1" min="2" max="2" width="15.75"/>
    <col customWidth="1" min="3" max="3" width="10.75"/>
    <col customWidth="1" min="4" max="5" width="3.88"/>
    <col customWidth="1" min="6" max="7" width="9.5"/>
    <col customWidth="1" min="8" max="8" width="25.63"/>
    <col customWidth="1" min="9" max="9" width="15.75"/>
    <col customWidth="1" min="10" max="10" width="10.38"/>
    <col customWidth="1" min="11" max="12" width="17.5"/>
    <col customWidth="1" min="13" max="13" width="6.5"/>
    <col customWidth="1" min="14" max="14" width="14.63"/>
    <col customWidth="1" min="15" max="15" width="35.63"/>
    <col customWidth="1" min="16" max="16" width="9.25"/>
    <col customWidth="1" min="17" max="17" width="7.25"/>
    <col customWidth="1" min="18" max="19" width="9.5"/>
    <col customWidth="1" min="20" max="20" width="25.63"/>
    <col customWidth="1" min="21" max="21" width="15.75"/>
    <col customWidth="1" min="22" max="22" width="10.38"/>
    <col customWidth="1" min="23" max="24" width="17.5"/>
    <col customWidth="1" min="25" max="25" width="5.63"/>
    <col customWidth="1" min="26" max="26" width="14.63"/>
    <col customWidth="1" min="27" max="27" width="35.63"/>
    <col customWidth="1" min="28" max="28" width="7.25"/>
    <col customWidth="1" min="29" max="30" width="9.5"/>
    <col customWidth="1" min="31" max="31" width="25.63"/>
    <col customWidth="1" min="32" max="32" width="15.75"/>
    <col customWidth="1" min="33" max="33" width="10.38"/>
    <col customWidth="1" min="34" max="35" width="17.5"/>
    <col customWidth="1" min="36" max="36" width="5.63"/>
    <col customWidth="1" min="37" max="37" width="14.63"/>
    <col customWidth="1" min="38" max="38" width="35.63"/>
    <col customWidth="1" min="39" max="39" width="7.25"/>
  </cols>
  <sheetData>
    <row r="1">
      <c r="M1" s="270"/>
      <c r="O1" s="271"/>
      <c r="P1" s="271"/>
      <c r="R1" s="200"/>
      <c r="AC1" s="200"/>
    </row>
    <row r="2">
      <c r="A2" s="272"/>
      <c r="B2" s="273" t="s">
        <v>6</v>
      </c>
      <c r="C2" s="274" t="s">
        <v>10220</v>
      </c>
      <c r="D2" s="272"/>
      <c r="E2" s="272"/>
      <c r="F2" s="275" t="str">
        <f>IFERROR(__xludf.DUMMYFUNCTION("QUERY(
 'Input Data'!A:N,
 ""select A,B,C,D,G,H,I,J,K,L,N
  where F = 'Dela'
    and M &lt;= 6
  order by M asc"",
 1
)
"),"KODE")</f>
        <v>KODE</v>
      </c>
      <c r="G2" s="275" t="str">
        <f>IFERROR(__xludf.DUMMYFUNCTION("""COMPUTED_VALUE"""),"TANGGAL")</f>
        <v>TANGGAL</v>
      </c>
      <c r="H2" s="275" t="str">
        <f>IFERROR(__xludf.DUMMYFUNCTION("""COMPUTED_VALUE"""),"NAMA")</f>
        <v>NAMA</v>
      </c>
      <c r="I2" s="275" t="str">
        <f>IFERROR(__xludf.DUMMYFUNCTION("""COMPUTED_VALUE"""),"WHATSAPP")</f>
        <v>WHATSAPP</v>
      </c>
      <c r="J2" s="275" t="str">
        <f>IFERROR(__xludf.DUMMYFUNCTION("""COMPUTED_VALUE"""),"STATUS")</f>
        <v>STATUS</v>
      </c>
      <c r="K2" s="275" t="str">
        <f>IFERROR(__xludf.DUMMYFUNCTION("""COMPUTED_VALUE"""),"PAKET / DESTINASI")</f>
        <v>PAKET / DESTINASI</v>
      </c>
      <c r="L2" s="275" t="str">
        <f>IFERROR(__xludf.DUMMYFUNCTION("""COMPUTED_VALUE"""),"TANGGAL TRIP")</f>
        <v>TANGGAL TRIP</v>
      </c>
      <c r="M2" s="277" t="str">
        <f>IFERROR(__xludf.DUMMYFUNCTION("""COMPUTED_VALUE"""),"PAX")</f>
        <v>PAX</v>
      </c>
      <c r="N2" s="275" t="str">
        <f>IFERROR(__xludf.DUMMYFUNCTION("""COMPUTED_VALUE"""),"ESTIMASI NILAI ORDER")</f>
        <v>ESTIMASI NILAI ORDER</v>
      </c>
      <c r="O2" s="278" t="str">
        <f>IFERROR(__xludf.DUMMYFUNCTION("""COMPUTED_VALUE"""),"KETERANGAN")</f>
        <v>KETERANGAN</v>
      </c>
      <c r="P2" s="279" t="str">
        <f>IFERROR(__xludf.DUMMYFUNCTION("""COMPUTED_VALUE"""),"ANALISA AI")</f>
        <v>ANALISA AI</v>
      </c>
      <c r="Q2" s="272"/>
      <c r="R2" s="280" t="str">
        <f>IFERROR(__xludf.DUMMYFUNCTION("QUERY(
 'Input Data'!A:M,
 ""select A,B,C,D,G,H,I,J,K,L
  where F = 'Dela'
    and M =7
  order by M asc"",
 1
)
"),"KODE")</f>
        <v>KODE</v>
      </c>
      <c r="S2" s="280" t="str">
        <f>IFERROR(__xludf.DUMMYFUNCTION("""COMPUTED_VALUE"""),"TANGGAL")</f>
        <v>TANGGAL</v>
      </c>
      <c r="T2" s="280" t="str">
        <f>IFERROR(__xludf.DUMMYFUNCTION("""COMPUTED_VALUE"""),"NAMA")</f>
        <v>NAMA</v>
      </c>
      <c r="U2" s="280" t="str">
        <f>IFERROR(__xludf.DUMMYFUNCTION("""COMPUTED_VALUE"""),"WHATSAPP")</f>
        <v>WHATSAPP</v>
      </c>
      <c r="V2" s="280" t="str">
        <f>IFERROR(__xludf.DUMMYFUNCTION("""COMPUTED_VALUE"""),"STATUS")</f>
        <v>STATUS</v>
      </c>
      <c r="W2" s="280" t="str">
        <f>IFERROR(__xludf.DUMMYFUNCTION("""COMPUTED_VALUE"""),"PAKET / DESTINASI")</f>
        <v>PAKET / DESTINASI</v>
      </c>
      <c r="X2" s="280" t="str">
        <f>IFERROR(__xludf.DUMMYFUNCTION("""COMPUTED_VALUE"""),"TANGGAL TRIP")</f>
        <v>TANGGAL TRIP</v>
      </c>
      <c r="Y2" s="280" t="str">
        <f>IFERROR(__xludf.DUMMYFUNCTION("""COMPUTED_VALUE"""),"PAX")</f>
        <v>PAX</v>
      </c>
      <c r="Z2" s="280" t="str">
        <f>IFERROR(__xludf.DUMMYFUNCTION("""COMPUTED_VALUE"""),"ESTIMASI NILAI ORDER")</f>
        <v>ESTIMASI NILAI ORDER</v>
      </c>
      <c r="AA2" s="280" t="str">
        <f>IFERROR(__xludf.DUMMYFUNCTION("""COMPUTED_VALUE"""),"KETERANGAN")</f>
        <v>KETERANGAN</v>
      </c>
      <c r="AB2" s="272"/>
      <c r="AC2" s="282" t="str">
        <f>IFERROR(__xludf.DUMMYFUNCTION("QUERY(
 'Input Data'!A:M,
 ""select A,B,C,D,G,H,I,J,K,L
  where F = 'Dela'
    and M= 8
  order by M asc"",
 1
)
"),"KODE")</f>
        <v>KODE</v>
      </c>
      <c r="AD2" s="282" t="str">
        <f>IFERROR(__xludf.DUMMYFUNCTION("""COMPUTED_VALUE"""),"TANGGAL")</f>
        <v>TANGGAL</v>
      </c>
      <c r="AE2" s="282" t="str">
        <f>IFERROR(__xludf.DUMMYFUNCTION("""COMPUTED_VALUE"""),"NAMA")</f>
        <v>NAMA</v>
      </c>
      <c r="AF2" s="282" t="str">
        <f>IFERROR(__xludf.DUMMYFUNCTION("""COMPUTED_VALUE"""),"WHATSAPP")</f>
        <v>WHATSAPP</v>
      </c>
      <c r="AG2" s="282" t="str">
        <f>IFERROR(__xludf.DUMMYFUNCTION("""COMPUTED_VALUE"""),"STATUS")</f>
        <v>STATUS</v>
      </c>
      <c r="AH2" s="282" t="str">
        <f>IFERROR(__xludf.DUMMYFUNCTION("""COMPUTED_VALUE"""),"PAKET / DESTINASI")</f>
        <v>PAKET / DESTINASI</v>
      </c>
      <c r="AI2" s="282" t="str">
        <f>IFERROR(__xludf.DUMMYFUNCTION("""COMPUTED_VALUE"""),"TANGGAL TRIP")</f>
        <v>TANGGAL TRIP</v>
      </c>
      <c r="AJ2" s="282" t="str">
        <f>IFERROR(__xludf.DUMMYFUNCTION("""COMPUTED_VALUE"""),"PAX")</f>
        <v>PAX</v>
      </c>
      <c r="AK2" s="282" t="str">
        <f>IFERROR(__xludf.DUMMYFUNCTION("""COMPUTED_VALUE"""),"ESTIMASI NILAI ORDER")</f>
        <v>ESTIMASI NILAI ORDER</v>
      </c>
      <c r="AL2" s="282" t="str">
        <f>IFERROR(__xludf.DUMMYFUNCTION("""COMPUTED_VALUE"""),"KETERANGAN")</f>
        <v>KETERANGAN</v>
      </c>
      <c r="AM2" s="272"/>
    </row>
    <row r="3">
      <c r="B3" s="283" t="s">
        <v>10201</v>
      </c>
      <c r="C3" s="284">
        <f>COUNTIF(J3:J2000,"Leads Baru")
</f>
        <v>372</v>
      </c>
      <c r="F3" s="285" t="str">
        <f>IFERROR(__xludf.DUMMYFUNCTION("""COMPUTED_VALUE"""),"2601D165")</f>
        <v>2601D165</v>
      </c>
      <c r="G3" s="286">
        <f>IFERROR(__xludf.DUMMYFUNCTION("""COMPUTED_VALUE"""),46047.0)</f>
        <v>46047</v>
      </c>
      <c r="H3" s="285" t="str">
        <f>IFERROR(__xludf.DUMMYFUNCTION("""COMPUTED_VALUE"""),"Khansaluth")</f>
        <v>Khansaluth</v>
      </c>
      <c r="I3" s="285" t="str">
        <f>IFERROR(__xludf.DUMMYFUNCTION("""COMPUTED_VALUE"""),"085772222054")</f>
        <v>085772222054</v>
      </c>
      <c r="J3" s="285" t="str">
        <f>IFERROR(__xludf.DUMMYFUNCTION("""COMPUTED_VALUE"""),"Leads Baru")</f>
        <v>Leads Baru</v>
      </c>
      <c r="K3" s="285" t="str">
        <f>IFERROR(__xludf.DUMMYFUNCTION("""COMPUTED_VALUE"""),"Open trip ")</f>
        <v>Open trip </v>
      </c>
      <c r="L3" s="287"/>
      <c r="M3" s="288"/>
      <c r="N3" s="289"/>
      <c r="O3" s="290" t="str">
        <f>IFERROR(__xludf.DUMMYFUNCTION("""COMPUTED_VALUE"""),"FOLLOW UP JUNI")</f>
        <v>FOLLOW UP JUNI</v>
      </c>
      <c r="P3" s="291" t="str">
        <f>IFERROR(__xludf.DUMMYFUNCTION("""COMPUTED_VALUE"""),"https://docs.google.com/document/d/1vwA3C4sLhh6AgXzopg8bicj0mXTaouOY-CI7llsmeHU/edit?tab=t.0")</f>
        <v>https://docs.google.com/document/d/1vwA3C4sLhh6AgXzopg8bicj0mXTaouOY-CI7llsmeHU/edit?tab=t.0</v>
      </c>
      <c r="R3" s="285" t="str">
        <f>IFERROR(__xludf.DUMMYFUNCTION("""COMPUTED_VALUE"""),"2601D009")</f>
        <v>2601D009</v>
      </c>
      <c r="S3" s="286">
        <f>IFERROR(__xludf.DUMMYFUNCTION("""COMPUTED_VALUE"""),46024.0)</f>
        <v>46024</v>
      </c>
      <c r="T3" s="285" t="str">
        <f>IFERROR(__xludf.DUMMYFUNCTION("""COMPUTED_VALUE"""),"Iin Noor Chozin")</f>
        <v>Iin Noor Chozin</v>
      </c>
      <c r="U3" s="285" t="str">
        <f>IFERROR(__xludf.DUMMYFUNCTION("""COMPUTED_VALUE"""),"081233197590")</f>
        <v>081233197590</v>
      </c>
      <c r="V3" s="285" t="str">
        <f>IFERROR(__xludf.DUMMYFUNCTION("""COMPUTED_VALUE"""),"Closing")</f>
        <v>Closing</v>
      </c>
      <c r="W3" s="285" t="str">
        <f>IFERROR(__xludf.DUMMYFUNCTION("""COMPUTED_VALUE"""),"Trip Menjangan Tabuhan")</f>
        <v>Trip Menjangan Tabuhan</v>
      </c>
      <c r="X3" s="287">
        <f>IFERROR(__xludf.DUMMYFUNCTION("""COMPUTED_VALUE"""),46025.0)</f>
        <v>46025</v>
      </c>
      <c r="Y3" s="285">
        <f>IFERROR(__xludf.DUMMYFUNCTION("""COMPUTED_VALUE"""),6.0)</f>
        <v>6</v>
      </c>
      <c r="Z3" s="289">
        <f>IFERROR(__xludf.DUMMYFUNCTION("""COMPUTED_VALUE"""),2460000.0)</f>
        <v>2460000</v>
      </c>
      <c r="AA3" s="285" t="str">
        <f>IFERROR(__xludf.DUMMYFUNCTION("""COMPUTED_VALUE"""),"menjangan tabuhan")</f>
        <v>menjangan tabuhan</v>
      </c>
      <c r="AC3" s="285" t="str">
        <f>IFERROR(__xludf.DUMMYFUNCTION("""COMPUTED_VALUE"""),"2601D001")</f>
        <v>2601D001</v>
      </c>
      <c r="AD3" s="286">
        <f>IFERROR(__xludf.DUMMYFUNCTION("""COMPUTED_VALUE"""),46023.0)</f>
        <v>46023</v>
      </c>
      <c r="AE3" s="285" t="str">
        <f>IFERROR(__xludf.DUMMYFUNCTION("""COMPUTED_VALUE"""),"H ")</f>
        <v>H </v>
      </c>
      <c r="AF3" s="285" t="str">
        <f>IFERROR(__xludf.DUMMYFUNCTION("""COMPUTED_VALUE"""),"082114698226")</f>
        <v>082114698226</v>
      </c>
      <c r="AG3" s="285" t="str">
        <f>IFERROR(__xludf.DUMMYFUNCTION("""COMPUTED_VALUE"""),"Gagal")</f>
        <v>Gagal</v>
      </c>
      <c r="AH3" s="285" t="str">
        <f>IFERROR(__xludf.DUMMYFUNCTION("""COMPUTED_VALUE"""),"2H1M")</f>
        <v>2H1M</v>
      </c>
      <c r="AI3" s="287"/>
      <c r="AJ3" s="285"/>
      <c r="AK3" s="289"/>
      <c r="AL3" s="285" t="str">
        <f>IFERROR(__xludf.DUMMYFUNCTION("""COMPUTED_VALUE"""),"Nanti dikabari")</f>
        <v>Nanti dikabari</v>
      </c>
    </row>
    <row r="4">
      <c r="B4" s="292" t="s">
        <v>34</v>
      </c>
      <c r="C4" s="293">
        <f>COUNTIF(J3:J2000,"Qualified")
</f>
        <v>31</v>
      </c>
      <c r="F4" s="285" t="str">
        <f>IFERROR(__xludf.DUMMYFUNCTION("""COMPUTED_VALUE"""),"2602D072")</f>
        <v>2602D072</v>
      </c>
      <c r="G4" s="286">
        <f>IFERROR(__xludf.DUMMYFUNCTION("""COMPUTED_VALUE"""),46070.0)</f>
        <v>46070</v>
      </c>
      <c r="H4" s="285" t="str">
        <f>IFERROR(__xludf.DUMMYFUNCTION("""COMPUTED_VALUE"""),"Diah")</f>
        <v>Diah</v>
      </c>
      <c r="I4" s="285" t="str">
        <f>IFERROR(__xludf.DUMMYFUNCTION("""COMPUTED_VALUE"""),"085883601711")</f>
        <v>085883601711</v>
      </c>
      <c r="J4" s="285" t="str">
        <f>IFERROR(__xludf.DUMMYFUNCTION("""COMPUTED_VALUE"""),"Leads Baru")</f>
        <v>Leads Baru</v>
      </c>
      <c r="K4" s="285" t="str">
        <f>IFERROR(__xludf.DUMMYFUNCTION("""COMPUTED_VALUE"""),"4H3M atau 3H2M ")</f>
        <v>4H3M atau 3H2M </v>
      </c>
      <c r="L4" s="287"/>
      <c r="M4" s="288">
        <f>IFERROR(__xludf.DUMMYFUNCTION("""COMPUTED_VALUE"""),30.0)</f>
        <v>30</v>
      </c>
      <c r="N4" s="289"/>
      <c r="O4" s="290" t="str">
        <f>IFERROR(__xludf.DUMMYFUNCTION("""COMPUTED_VALUE"""),"FU3, FU juni")</f>
        <v>FU3, FU juni</v>
      </c>
      <c r="P4" s="291" t="str">
        <f>IFERROR(__xludf.DUMMYFUNCTION("""COMPUTED_VALUE"""),"https://docs.google.com/document/d/12yOIFO9Hc3lXlVyYyL4zOaaW2R_BdHBvgyplmpg2HVo/edit?tab=t.0")</f>
        <v>https://docs.google.com/document/d/12yOIFO9Hc3lXlVyYyL4zOaaW2R_BdHBvgyplmpg2HVo/edit?tab=t.0</v>
      </c>
      <c r="R4" s="285" t="str">
        <f>IFERROR(__xludf.DUMMYFUNCTION("""COMPUTED_VALUE"""),"2601D012")</f>
        <v>2601D012</v>
      </c>
      <c r="S4" s="286">
        <f>IFERROR(__xludf.DUMMYFUNCTION("""COMPUTED_VALUE"""),46024.0)</f>
        <v>46024</v>
      </c>
      <c r="T4" s="285" t="str">
        <f>IFERROR(__xludf.DUMMYFUNCTION("""COMPUTED_VALUE"""),"Kartika")</f>
        <v>Kartika</v>
      </c>
      <c r="U4" s="285" t="str">
        <f>IFERROR(__xludf.DUMMYFUNCTION("""COMPUTED_VALUE"""),"082143617625")</f>
        <v>082143617625</v>
      </c>
      <c r="V4" s="285" t="str">
        <f>IFERROR(__xludf.DUMMYFUNCTION("""COMPUTED_VALUE"""),"Closing")</f>
        <v>Closing</v>
      </c>
      <c r="W4" s="285" t="str">
        <f>IFERROR(__xludf.DUMMYFUNCTION("""COMPUTED_VALUE"""),"OT Menjangan Tabuhan")</f>
        <v>OT Menjangan Tabuhan</v>
      </c>
      <c r="X4" s="287">
        <f>IFERROR(__xludf.DUMMYFUNCTION("""COMPUTED_VALUE"""),46033.0)</f>
        <v>46033</v>
      </c>
      <c r="Y4" s="285">
        <f>IFERROR(__xludf.DUMMYFUNCTION("""COMPUTED_VALUE"""),4.0)</f>
        <v>4</v>
      </c>
      <c r="Z4" s="289">
        <f>IFERROR(__xludf.DUMMYFUNCTION("""COMPUTED_VALUE"""),1180000.0)</f>
        <v>1180000</v>
      </c>
      <c r="AA4" s="285"/>
      <c r="AC4" s="285" t="str">
        <f>IFERROR(__xludf.DUMMYFUNCTION("""COMPUTED_VALUE"""),"2601D002")</f>
        <v>2601D002</v>
      </c>
      <c r="AD4" s="286">
        <f>IFERROR(__xludf.DUMMYFUNCTION("""COMPUTED_VALUE"""),46023.0)</f>
        <v>46023</v>
      </c>
      <c r="AE4" s="285" t="str">
        <f>IFERROR(__xludf.DUMMYFUNCTION("""COMPUTED_VALUE"""),"Ari.Januari.2026")</f>
        <v>Ari.Januari.2026</v>
      </c>
      <c r="AF4" s="285" t="str">
        <f>IFERROR(__xludf.DUMMYFUNCTION("""COMPUTED_VALUE"""),"0881036053274")</f>
        <v>0881036053274</v>
      </c>
      <c r="AG4" s="285" t="str">
        <f>IFERROR(__xludf.DUMMYFUNCTION("""COMPUTED_VALUE"""),"Gagal")</f>
        <v>Gagal</v>
      </c>
      <c r="AH4" s="285" t="str">
        <f>IFERROR(__xludf.DUMMYFUNCTION("""COMPUTED_VALUE"""),"CT")</f>
        <v>CT</v>
      </c>
      <c r="AI4" s="287"/>
      <c r="AJ4" s="285"/>
      <c r="AK4" s="289"/>
      <c r="AL4" s="285" t="str">
        <f>IFERROR(__xludf.DUMMYFUNCTION("""COMPUTED_VALUE"""),"ingin paket campervan")</f>
        <v>ingin paket campervan</v>
      </c>
    </row>
    <row r="5">
      <c r="B5" s="294" t="s">
        <v>43</v>
      </c>
      <c r="C5" s="295">
        <f>COUNTIF(J3:J2000,"Prospek")
</f>
        <v>8</v>
      </c>
      <c r="F5" s="285" t="str">
        <f>IFERROR(__xludf.DUMMYFUNCTION("""COMPUTED_VALUE"""),"2603D038")</f>
        <v>2603D038</v>
      </c>
      <c r="G5" s="286">
        <f>IFERROR(__xludf.DUMMYFUNCTION("""COMPUTED_VALUE"""),46089.0)</f>
        <v>46089</v>
      </c>
      <c r="H5" s="285" t="str">
        <f>IFERROR(__xludf.DUMMYFUNCTION("""COMPUTED_VALUE"""),"Ericka")</f>
        <v>Ericka</v>
      </c>
      <c r="I5" s="285" t="str">
        <f>IFERROR(__xludf.DUMMYFUNCTION("""COMPUTED_VALUE"""),"089608986331")</f>
        <v>089608986331</v>
      </c>
      <c r="J5" s="285" t="str">
        <f>IFERROR(__xludf.DUMMYFUNCTION("""COMPUTED_VALUE"""),"Leads Baru")</f>
        <v>Leads Baru</v>
      </c>
      <c r="K5" s="285"/>
      <c r="L5" s="287"/>
      <c r="M5" s="288"/>
      <c r="N5" s="289"/>
      <c r="O5" s="290" t="str">
        <f>IFERROR(__xludf.DUMMYFUNCTION("""COMPUTED_VALUE"""),"belum ada jawaban, fu kembali 20 Juli")</f>
        <v>belum ada jawaban, fu kembali 20 Juli</v>
      </c>
      <c r="P5" s="291" t="str">
        <f>IFERROR(__xludf.DUMMYFUNCTION("""COMPUTED_VALUE"""),"https://docs.google.com/document/d/1gW_EXGpkSe2_Y5up1f8c7DGMtM6Xb1nMiakPkC-zr9c/edit?tab=t.0")</f>
        <v>https://docs.google.com/document/d/1gW_EXGpkSe2_Y5up1f8c7DGMtM6Xb1nMiakPkC-zr9c/edit?tab=t.0</v>
      </c>
      <c r="R5" s="285" t="str">
        <f>IFERROR(__xludf.DUMMYFUNCTION("""COMPUTED_VALUE"""),"2601D026")</f>
        <v>2601D026</v>
      </c>
      <c r="S5" s="286">
        <f>IFERROR(__xludf.DUMMYFUNCTION("""COMPUTED_VALUE"""),46025.0)</f>
        <v>46025</v>
      </c>
      <c r="T5" s="285" t="str">
        <f>IFERROR(__xludf.DUMMYFUNCTION("""COMPUTED_VALUE"""),"Gilang")</f>
        <v>Gilang</v>
      </c>
      <c r="U5" s="285" t="str">
        <f>IFERROR(__xludf.DUMMYFUNCTION("""COMPUTED_VALUE"""),"081221614470")</f>
        <v>081221614470</v>
      </c>
      <c r="V5" s="285" t="str">
        <f>IFERROR(__xludf.DUMMYFUNCTION("""COMPUTED_VALUE"""),"Closing")</f>
        <v>Closing</v>
      </c>
      <c r="W5" s="285" t="str">
        <f>IFERROR(__xludf.DUMMYFUNCTION("""COMPUTED_VALUE"""),"Private Trip Kawah Wurung")</f>
        <v>Private Trip Kawah Wurung</v>
      </c>
      <c r="X5" s="287">
        <f>IFERROR(__xludf.DUMMYFUNCTION("""COMPUTED_VALUE"""),46026.0)</f>
        <v>46026</v>
      </c>
      <c r="Y5" s="285">
        <f>IFERROR(__xludf.DUMMYFUNCTION("""COMPUTED_VALUE"""),1.0)</f>
        <v>1</v>
      </c>
      <c r="Z5" s="289">
        <f>IFERROR(__xludf.DUMMYFUNCTION("""COMPUTED_VALUE"""),2318100.0)</f>
        <v>2318100</v>
      </c>
      <c r="AA5" s="285"/>
      <c r="AC5" s="285" t="str">
        <f>IFERROR(__xludf.DUMMYFUNCTION("""COMPUTED_VALUE"""),"2601D003")</f>
        <v>2601D003</v>
      </c>
      <c r="AD5" s="286">
        <f>IFERROR(__xludf.DUMMYFUNCTION("""COMPUTED_VALUE"""),46023.0)</f>
        <v>46023</v>
      </c>
      <c r="AE5" s="285" t="str">
        <f>IFERROR(__xludf.DUMMYFUNCTION("""COMPUTED_VALUE"""),"Muliono")</f>
        <v>Muliono</v>
      </c>
      <c r="AF5" s="285" t="str">
        <f>IFERROR(__xludf.DUMMYFUNCTION("""COMPUTED_VALUE"""),"085851219044")</f>
        <v>085851219044</v>
      </c>
      <c r="AG5" s="285" t="str">
        <f>IFERROR(__xludf.DUMMYFUNCTION("""COMPUTED_VALUE"""),"Gagal")</f>
        <v>Gagal</v>
      </c>
      <c r="AH5" s="285" t="str">
        <f>IFERROR(__xludf.DUMMYFUNCTION("""COMPUTED_VALUE"""),"Trip baluran ")</f>
        <v>Trip baluran </v>
      </c>
      <c r="AI5" s="287"/>
      <c r="AJ5" s="285">
        <f>IFERROR(__xludf.DUMMYFUNCTION("""COMPUTED_VALUE"""),7.0)</f>
        <v>7</v>
      </c>
      <c r="AK5" s="289"/>
      <c r="AL5" s="285" t="str">
        <f>IFERROR(__xludf.DUMMYFUNCTION("""COMPUTED_VALUE"""),"Tidak jawab")</f>
        <v>Tidak jawab</v>
      </c>
    </row>
    <row r="6">
      <c r="B6" s="296" t="s">
        <v>49</v>
      </c>
      <c r="C6" s="297">
        <f>COUNTIF(J3:J2000,"Follow Up")
</f>
        <v>3</v>
      </c>
      <c r="F6" s="285" t="str">
        <f>IFERROR(__xludf.DUMMYFUNCTION("""COMPUTED_VALUE"""),"2603D056")</f>
        <v>2603D056</v>
      </c>
      <c r="G6" s="286">
        <f>IFERROR(__xludf.DUMMYFUNCTION("""COMPUTED_VALUE"""),46093.0)</f>
        <v>46093</v>
      </c>
      <c r="H6" s="285" t="str">
        <f>IFERROR(__xludf.DUMMYFUNCTION("""COMPUTED_VALUE"""),"Krisna Buana")</f>
        <v>Krisna Buana</v>
      </c>
      <c r="I6" s="285" t="str">
        <f>IFERROR(__xludf.DUMMYFUNCTION("""COMPUTED_VALUE"""),"0895387055527")</f>
        <v>0895387055527</v>
      </c>
      <c r="J6" s="285" t="str">
        <f>IFERROR(__xludf.DUMMYFUNCTION("""COMPUTED_VALUE"""),"Leads Baru")</f>
        <v>Leads Baru</v>
      </c>
      <c r="K6" s="285" t="str">
        <f>IFERROR(__xludf.DUMMYFUNCTION("""COMPUTED_VALUE"""),"3H2M")</f>
        <v>3H2M</v>
      </c>
      <c r="L6" s="287"/>
      <c r="M6" s="288"/>
      <c r="N6" s="289"/>
      <c r="O6" s="290" t="str">
        <f>IFERROR(__xludf.DUMMYFUNCTION("""COMPUTED_VALUE"""),"FU 16 Juni")</f>
        <v>FU 16 Juni</v>
      </c>
      <c r="P6" s="291" t="str">
        <f>IFERROR(__xludf.DUMMYFUNCTION("""COMPUTED_VALUE"""),"https://docs.google.com/document/d/1v6M6NA7UTXTt-9f8yhvKPLRJ9Zr_LobMfCv6MzzVjYU/edit?tab=t.0")</f>
        <v>https://docs.google.com/document/d/1v6M6NA7UTXTt-9f8yhvKPLRJ9Zr_LobMfCv6MzzVjYU/edit?tab=t.0</v>
      </c>
      <c r="R6" s="285" t="str">
        <f>IFERROR(__xludf.DUMMYFUNCTION("""COMPUTED_VALUE"""),"2601D027")</f>
        <v>2601D027</v>
      </c>
      <c r="S6" s="286">
        <f>IFERROR(__xludf.DUMMYFUNCTION("""COMPUTED_VALUE"""),46025.0)</f>
        <v>46025</v>
      </c>
      <c r="T6" s="285" t="str">
        <f>IFERROR(__xludf.DUMMYFUNCTION("""COMPUTED_VALUE"""),"Farus nabil")</f>
        <v>Farus nabil</v>
      </c>
      <c r="U6" s="285" t="str">
        <f>IFERROR(__xludf.DUMMYFUNCTION("""COMPUTED_VALUE"""),"081293944286")</f>
        <v>081293944286</v>
      </c>
      <c r="V6" s="285" t="str">
        <f>IFERROR(__xludf.DUMMYFUNCTION("""COMPUTED_VALUE"""),"Closing")</f>
        <v>Closing</v>
      </c>
      <c r="W6" s="285" t="str">
        <f>IFERROR(__xludf.DUMMYFUNCTION("""COMPUTED_VALUE"""),"Private Trip Menjangan Tabuhan")</f>
        <v>Private Trip Menjangan Tabuhan</v>
      </c>
      <c r="X6" s="287">
        <f>IFERROR(__xludf.DUMMYFUNCTION("""COMPUTED_VALUE"""),46032.0)</f>
        <v>46032</v>
      </c>
      <c r="Y6" s="285">
        <f>IFERROR(__xludf.DUMMYFUNCTION("""COMPUTED_VALUE"""),5.0)</f>
        <v>5</v>
      </c>
      <c r="Z6" s="289">
        <f>IFERROR(__xludf.DUMMYFUNCTION("""COMPUTED_VALUE"""),2300000.0)</f>
        <v>2300000</v>
      </c>
      <c r="AA6" s="285"/>
      <c r="AC6" s="285" t="str">
        <f>IFERROR(__xludf.DUMMYFUNCTION("""COMPUTED_VALUE"""),"2601D004")</f>
        <v>2601D004</v>
      </c>
      <c r="AD6" s="286">
        <f>IFERROR(__xludf.DUMMYFUNCTION("""COMPUTED_VALUE"""),46023.0)</f>
        <v>46023</v>
      </c>
      <c r="AE6" s="285" t="str">
        <f>IFERROR(__xludf.DUMMYFUNCTION("""COMPUTED_VALUE"""),"Berliana")</f>
        <v>Berliana</v>
      </c>
      <c r="AF6" s="285" t="str">
        <f>IFERROR(__xludf.DUMMYFUNCTION("""COMPUTED_VALUE"""),"085806069951")</f>
        <v>085806069951</v>
      </c>
      <c r="AG6" s="285" t="str">
        <f>IFERROR(__xludf.DUMMYFUNCTION("""COMPUTED_VALUE"""),"Gagal")</f>
        <v>Gagal</v>
      </c>
      <c r="AH6" s="285" t="str">
        <f>IFERROR(__xludf.DUMMYFUNCTION("""COMPUTED_VALUE"""),"one day trip")</f>
        <v>one day trip</v>
      </c>
      <c r="AI6" s="287"/>
      <c r="AJ6" s="285"/>
      <c r="AK6" s="289"/>
      <c r="AL6" s="285" t="str">
        <f>IFERROR(__xludf.DUMMYFUNCTION("""COMPUTED_VALUE"""),"Tidak jawab")</f>
        <v>Tidak jawab</v>
      </c>
    </row>
    <row r="7">
      <c r="B7" s="298" t="s">
        <v>57</v>
      </c>
      <c r="C7" s="299">
        <f>COUNTIF(J3:J2000,"Warm Leads")
</f>
        <v>0</v>
      </c>
      <c r="F7" s="285" t="str">
        <f>IFERROR(__xludf.DUMMYFUNCTION("""COMPUTED_VALUE"""),"2603D119")</f>
        <v>2603D119</v>
      </c>
      <c r="G7" s="286">
        <f>IFERROR(__xludf.DUMMYFUNCTION("""COMPUTED_VALUE"""),46105.0)</f>
        <v>46105</v>
      </c>
      <c r="H7" s="285" t="str">
        <f>IFERROR(__xludf.DUMMYFUNCTION("""COMPUTED_VALUE"""),"Putri ")</f>
        <v>Putri </v>
      </c>
      <c r="I7" s="285" t="str">
        <f>IFERROR(__xludf.DUMMYFUNCTION("""COMPUTED_VALUE"""),"085883174655")</f>
        <v>085883174655</v>
      </c>
      <c r="J7" s="285" t="str">
        <f>IFERROR(__xludf.DUMMYFUNCTION("""COMPUTED_VALUE"""),"Leads Baru")</f>
        <v>Leads Baru</v>
      </c>
      <c r="K7" s="285" t="str">
        <f>IFERROR(__xludf.DUMMYFUNCTION("""COMPUTED_VALUE"""),"3H2M ")</f>
        <v>3H2M </v>
      </c>
      <c r="L7" s="287"/>
      <c r="M7" s="288">
        <f>IFERROR(__xludf.DUMMYFUNCTION("""COMPUTED_VALUE"""),2.0)</f>
        <v>2</v>
      </c>
      <c r="N7" s="289"/>
      <c r="O7" s="290" t="str">
        <f>IFERROR(__xludf.DUMMYFUNCTION("""COMPUTED_VALUE"""),"FU 3 Juni")</f>
        <v>FU 3 Juni</v>
      </c>
      <c r="P7" s="291" t="str">
        <f>IFERROR(__xludf.DUMMYFUNCTION("""COMPUTED_VALUE"""),"https://docs.google.com/document/d/196Sv2BVHhpvzaSjUz7JM9ou9oQ7qXN_KszUVGpjnL5Q/edit?tab=t.0")</f>
        <v>https://docs.google.com/document/d/196Sv2BVHhpvzaSjUz7JM9ou9oQ7qXN_KszUVGpjnL5Q/edit?tab=t.0</v>
      </c>
      <c r="R7" s="285" t="str">
        <f>IFERROR(__xludf.DUMMYFUNCTION("""COMPUTED_VALUE"""),"2601D033")</f>
        <v>2601D033</v>
      </c>
      <c r="S7" s="286">
        <f>IFERROR(__xludf.DUMMYFUNCTION("""COMPUTED_VALUE"""),46026.0)</f>
        <v>46026</v>
      </c>
      <c r="T7" s="285" t="str">
        <f>IFERROR(__xludf.DUMMYFUNCTION("""COMPUTED_VALUE"""),"Aris Guntoro")</f>
        <v>Aris Guntoro</v>
      </c>
      <c r="U7" s="285" t="str">
        <f>IFERROR(__xludf.DUMMYFUNCTION("""COMPUTED_VALUE"""),"081355209321")</f>
        <v>081355209321</v>
      </c>
      <c r="V7" s="285" t="str">
        <f>IFERROR(__xludf.DUMMYFUNCTION("""COMPUTED_VALUE"""),"Closing")</f>
        <v>Closing</v>
      </c>
      <c r="W7" s="285" t="str">
        <f>IFERROR(__xludf.DUMMYFUNCTION("""COMPUTED_VALUE"""),"Trip Kawah Ijen")</f>
        <v>Trip Kawah Ijen</v>
      </c>
      <c r="X7" s="287">
        <f>IFERROR(__xludf.DUMMYFUNCTION("""COMPUTED_VALUE"""),46038.0)</f>
        <v>46038</v>
      </c>
      <c r="Y7" s="285">
        <f>IFERROR(__xludf.DUMMYFUNCTION("""COMPUTED_VALUE"""),4.0)</f>
        <v>4</v>
      </c>
      <c r="Z7" s="289">
        <f>IFERROR(__xludf.DUMMYFUNCTION("""COMPUTED_VALUE"""),1570000.0)</f>
        <v>1570000</v>
      </c>
      <c r="AA7" s="285" t="str">
        <f>IFERROR(__xludf.DUMMYFUNCTION("""COMPUTED_VALUE"""),"sudah closing")</f>
        <v>sudah closing</v>
      </c>
      <c r="AC7" s="285" t="str">
        <f>IFERROR(__xludf.DUMMYFUNCTION("""COMPUTED_VALUE"""),"2601D005")</f>
        <v>2601D005</v>
      </c>
      <c r="AD7" s="286">
        <f>IFERROR(__xludf.DUMMYFUNCTION("""COMPUTED_VALUE"""),46023.0)</f>
        <v>46023</v>
      </c>
      <c r="AE7" s="285" t="str">
        <f>IFERROR(__xludf.DUMMYFUNCTION("""COMPUTED_VALUE"""),"Muhammad Amrullah a.k")</f>
        <v>Muhammad Amrullah a.k</v>
      </c>
      <c r="AF7" s="285" t="str">
        <f>IFERROR(__xludf.DUMMYFUNCTION("""COMPUTED_VALUE"""),"081393712742")</f>
        <v>081393712742</v>
      </c>
      <c r="AG7" s="285" t="str">
        <f>IFERROR(__xludf.DUMMYFUNCTION("""COMPUTED_VALUE"""),"Gagal")</f>
        <v>Gagal</v>
      </c>
      <c r="AH7" s="285" t="str">
        <f>IFERROR(__xludf.DUMMYFUNCTION("""COMPUTED_VALUE"""),"custom 3H2M")</f>
        <v>custom 3H2M</v>
      </c>
      <c r="AI7" s="287"/>
      <c r="AJ7" s="285">
        <f>IFERROR(__xludf.DUMMYFUNCTION("""COMPUTED_VALUE"""),7.0)</f>
        <v>7</v>
      </c>
      <c r="AK7" s="289">
        <f>IFERROR(__xludf.DUMMYFUNCTION("""COMPUTED_VALUE"""),1.1223751E7)</f>
        <v>11223751</v>
      </c>
      <c r="AL7" s="285" t="str">
        <f>IFERROR(__xludf.DUMMYFUNCTION("""COMPUTED_VALUE"""),"tidak ada jawaban")</f>
        <v>tidak ada jawaban</v>
      </c>
    </row>
    <row r="8">
      <c r="B8" s="302" t="s">
        <v>64</v>
      </c>
      <c r="C8" s="303">
        <f>COUNTIF(J3:J2000,"Hot Leads")
</f>
        <v>1</v>
      </c>
      <c r="F8" s="285" t="str">
        <f>IFERROR(__xludf.DUMMYFUNCTION("""COMPUTED_VALUE"""),"2603D137")</f>
        <v>2603D137</v>
      </c>
      <c r="G8" s="286">
        <f>IFERROR(__xludf.DUMMYFUNCTION("""COMPUTED_VALUE"""),46110.0)</f>
        <v>46110</v>
      </c>
      <c r="H8" s="285" t="str">
        <f>IFERROR(__xludf.DUMMYFUNCTION("""COMPUTED_VALUE"""),"Wina Bunda Lila")</f>
        <v>Wina Bunda Lila</v>
      </c>
      <c r="I8" s="285" t="str">
        <f>IFERROR(__xludf.DUMMYFUNCTION("""COMPUTED_VALUE"""),"0813106295776")</f>
        <v>0813106295776</v>
      </c>
      <c r="J8" s="285" t="str">
        <f>IFERROR(__xludf.DUMMYFUNCTION("""COMPUTED_VALUE"""),"Leads Baru")</f>
        <v>Leads Baru</v>
      </c>
      <c r="K8" s="285"/>
      <c r="L8" s="287"/>
      <c r="M8" s="288">
        <f>IFERROR(__xludf.DUMMYFUNCTION("""COMPUTED_VALUE"""),4.0)</f>
        <v>4</v>
      </c>
      <c r="N8" s="289"/>
      <c r="O8" s="290" t="str">
        <f>IFERROR(__xludf.DUMMYFUNCTION("""COMPUTED_VALUE"""),"FU lagi 17 Mei")</f>
        <v>FU lagi 17 Mei</v>
      </c>
      <c r="P8" s="291" t="str">
        <f>IFERROR(__xludf.DUMMYFUNCTION("""COMPUTED_VALUE"""),"https://docs.google.com/document/d/1tScJgq0LFTGK-9y3qRP8nSzpLJwxFlWml9gSP56CN-k/edit?tab=t.0#heading=h.a9kqk3xbyygu")</f>
        <v>https://docs.google.com/document/d/1tScJgq0LFTGK-9y3qRP8nSzpLJwxFlWml9gSP56CN-k/edit?tab=t.0#heading=h.a9kqk3xbyygu</v>
      </c>
      <c r="R8" s="285" t="str">
        <f>IFERROR(__xludf.DUMMYFUNCTION("""COMPUTED_VALUE"""),"2601D044")</f>
        <v>2601D044</v>
      </c>
      <c r="S8" s="286">
        <f>IFERROR(__xludf.DUMMYFUNCTION("""COMPUTED_VALUE"""),46027.0)</f>
        <v>46027</v>
      </c>
      <c r="T8" s="285" t="str">
        <f>IFERROR(__xludf.DUMMYFUNCTION("""COMPUTED_VALUE"""),"Dian Indra")</f>
        <v>Dian Indra</v>
      </c>
      <c r="U8" s="285" t="str">
        <f>IFERROR(__xludf.DUMMYFUNCTION("""COMPUTED_VALUE"""),"08123589756")</f>
        <v>08123589756</v>
      </c>
      <c r="V8" s="285" t="str">
        <f>IFERROR(__xludf.DUMMYFUNCTION("""COMPUTED_VALUE"""),"Closing")</f>
        <v>Closing</v>
      </c>
      <c r="W8" s="285" t="str">
        <f>IFERROR(__xludf.DUMMYFUNCTION("""COMPUTED_VALUE"""),"2H1M opsi c")</f>
        <v>2H1M opsi c</v>
      </c>
      <c r="X8" s="287"/>
      <c r="Y8" s="285">
        <f>IFERROR(__xludf.DUMMYFUNCTION("""COMPUTED_VALUE"""),4.0)</f>
        <v>4</v>
      </c>
      <c r="Z8" s="289">
        <f>IFERROR(__xludf.DUMMYFUNCTION("""COMPUTED_VALUE"""),4090000.0)</f>
        <v>4090000</v>
      </c>
      <c r="AA8" s="285" t="str">
        <f>IFERROR(__xludf.DUMMYFUNCTION("""COMPUTED_VALUE"""),"sudah closing")</f>
        <v>sudah closing</v>
      </c>
      <c r="AC8" s="285" t="str">
        <f>IFERROR(__xludf.DUMMYFUNCTION("""COMPUTED_VALUE"""),"2601D006")</f>
        <v>2601D006</v>
      </c>
      <c r="AD8" s="286">
        <f>IFERROR(__xludf.DUMMYFUNCTION("""COMPUTED_VALUE"""),46023.0)</f>
        <v>46023</v>
      </c>
      <c r="AE8" s="285" t="str">
        <f>IFERROR(__xludf.DUMMYFUNCTION("""COMPUTED_VALUE"""),"Prima Gita")</f>
        <v>Prima Gita</v>
      </c>
      <c r="AF8" s="285" t="str">
        <f>IFERROR(__xludf.DUMMYFUNCTION("""COMPUTED_VALUE"""),"081284286428")</f>
        <v>081284286428</v>
      </c>
      <c r="AG8" s="285" t="str">
        <f>IFERROR(__xludf.DUMMYFUNCTION("""COMPUTED_VALUE"""),"Gagal")</f>
        <v>Gagal</v>
      </c>
      <c r="AH8" s="285" t="str">
        <f>IFERROR(__xludf.DUMMYFUNCTION("""COMPUTED_VALUE"""),"2H1M opsi a")</f>
        <v>2H1M opsi a</v>
      </c>
      <c r="AI8" s="287"/>
      <c r="AJ8" s="285"/>
      <c r="AK8" s="289"/>
      <c r="AL8" s="285" t="str">
        <f>IFERROR(__xludf.DUMMYFUNCTION("""COMPUTED_VALUE"""),"Tidak jawab")</f>
        <v>Tidak jawab</v>
      </c>
    </row>
    <row r="9">
      <c r="B9" s="304" t="s">
        <v>19</v>
      </c>
      <c r="C9" s="305">
        <f>COUNTA(R3:R2000)</f>
        <v>173</v>
      </c>
      <c r="F9" s="285" t="str">
        <f>IFERROR(__xludf.DUMMYFUNCTION("""COMPUTED_VALUE"""),"2604D003")</f>
        <v>2604D003</v>
      </c>
      <c r="G9" s="286">
        <f>IFERROR(__xludf.DUMMYFUNCTION("""COMPUTED_VALUE"""),46114.0)</f>
        <v>46114</v>
      </c>
      <c r="H9" s="285" t="str">
        <f>IFERROR(__xludf.DUMMYFUNCTION("""COMPUTED_VALUE"""),"Emma Ummu Dawud")</f>
        <v>Emma Ummu Dawud</v>
      </c>
      <c r="I9" s="285" t="str">
        <f>IFERROR(__xludf.DUMMYFUNCTION("""COMPUTED_VALUE"""),"0852316277770")</f>
        <v>0852316277770</v>
      </c>
      <c r="J9" s="285" t="str">
        <f>IFERROR(__xludf.DUMMYFUNCTION("""COMPUTED_VALUE"""),"Leads Baru")</f>
        <v>Leads Baru</v>
      </c>
      <c r="K9" s="285" t="str">
        <f>IFERROR(__xludf.DUMMYFUNCTION("""COMPUTED_VALUE"""),"2h1m opsi c")</f>
        <v>2h1m opsi c</v>
      </c>
      <c r="L9" s="287"/>
      <c r="M9" s="288"/>
      <c r="N9" s="289"/>
      <c r="O9" s="290" t="str">
        <f>IFERROR(__xludf.DUMMYFUNCTION("""COMPUTED_VALUE"""),"masih belum ada lanjutan")</f>
        <v>masih belum ada lanjutan</v>
      </c>
      <c r="P9" s="291" t="str">
        <f>IFERROR(__xludf.DUMMYFUNCTION("""COMPUTED_VALUE"""),"https://docs.google.com/document/d/1B-k6PK34SP6ONYfk4qpXAGipac6GwiuF9nUmyQWTmak/edit?tab=t.0")</f>
        <v>https://docs.google.com/document/d/1B-k6PK34SP6ONYfk4qpXAGipac6GwiuF9nUmyQWTmak/edit?tab=t.0</v>
      </c>
      <c r="R9" s="285" t="str">
        <f>IFERROR(__xludf.DUMMYFUNCTION("""COMPUTED_VALUE"""),"2601D051")</f>
        <v>2601D051</v>
      </c>
      <c r="S9" s="286">
        <f>IFERROR(__xludf.DUMMYFUNCTION("""COMPUTED_VALUE"""),46027.0)</f>
        <v>46027</v>
      </c>
      <c r="T9" s="285" t="str">
        <f>IFERROR(__xludf.DUMMYFUNCTION("""COMPUTED_VALUE"""),"SriH fai hai")</f>
        <v>SriH fai hai</v>
      </c>
      <c r="U9" s="285" t="str">
        <f>IFERROR(__xludf.DUMMYFUNCTION("""COMPUTED_VALUE"""),"081317770228")</f>
        <v>081317770228</v>
      </c>
      <c r="V9" s="285" t="str">
        <f>IFERROR(__xludf.DUMMYFUNCTION("""COMPUTED_VALUE"""),"Closing")</f>
        <v>Closing</v>
      </c>
      <c r="W9" s="285" t="str">
        <f>IFERROR(__xludf.DUMMYFUNCTION("""COMPUTED_VALUE"""),"3H2M")</f>
        <v>3H2M</v>
      </c>
      <c r="X9" s="287"/>
      <c r="Y9" s="285"/>
      <c r="Z9" s="289">
        <f>IFERROR(__xludf.DUMMYFUNCTION("""COMPUTED_VALUE"""),6400000.0)</f>
        <v>6400000</v>
      </c>
      <c r="AA9" s="285"/>
      <c r="AC9" s="285" t="str">
        <f>IFERROR(__xludf.DUMMYFUNCTION("""COMPUTED_VALUE"""),"2601D007")</f>
        <v>2601D007</v>
      </c>
      <c r="AD9" s="286">
        <f>IFERROR(__xludf.DUMMYFUNCTION("""COMPUTED_VALUE"""),46023.0)</f>
        <v>46023</v>
      </c>
      <c r="AE9" s="285" t="str">
        <f>IFERROR(__xludf.DUMMYFUNCTION("""COMPUTED_VALUE"""),"Mia Bella")</f>
        <v>Mia Bella</v>
      </c>
      <c r="AF9" s="285" t="str">
        <f>IFERROR(__xludf.DUMMYFUNCTION("""COMPUTED_VALUE"""),"08133977533")</f>
        <v>08133977533</v>
      </c>
      <c r="AG9" s="285" t="str">
        <f>IFERROR(__xludf.DUMMYFUNCTION("""COMPUTED_VALUE"""),"Gagal")</f>
        <v>Gagal</v>
      </c>
      <c r="AH9" s="285" t="str">
        <f>IFERROR(__xludf.DUMMYFUNCTION("""COMPUTED_VALUE"""),"Ijen Baluran one day trip")</f>
        <v>Ijen Baluran one day trip</v>
      </c>
      <c r="AI9" s="287">
        <f>IFERROR(__xludf.DUMMYFUNCTION("""COMPUTED_VALUE"""),46026.0)</f>
        <v>46026</v>
      </c>
      <c r="AJ9" s="285">
        <f>IFERROR(__xludf.DUMMYFUNCTION("""COMPUTED_VALUE"""),2.0)</f>
        <v>2</v>
      </c>
      <c r="AK9" s="289"/>
      <c r="AL9" s="285" t="str">
        <f>IFERROR(__xludf.DUMMYFUNCTION("""COMPUTED_VALUE"""),"1 wni 1 wna, tdk jawab")</f>
        <v>1 wni 1 wna, tdk jawab</v>
      </c>
    </row>
    <row r="10">
      <c r="B10" s="307" t="s">
        <v>42</v>
      </c>
      <c r="C10" s="308">
        <f>COUNTA(AC3:AC2000)</f>
        <v>612</v>
      </c>
      <c r="F10" s="285" t="str">
        <f>IFERROR(__xludf.DUMMYFUNCTION("""COMPUTED_VALUE"""),"2604D011")</f>
        <v>2604D011</v>
      </c>
      <c r="G10" s="286">
        <f>IFERROR(__xludf.DUMMYFUNCTION("""COMPUTED_VALUE"""),46116.0)</f>
        <v>46116</v>
      </c>
      <c r="H10" s="285" t="str">
        <f>IFERROR(__xludf.DUMMYFUNCTION("""COMPUTED_VALUE"""),"Hemi")</f>
        <v>Hemi</v>
      </c>
      <c r="I10" s="285" t="str">
        <f>IFERROR(__xludf.DUMMYFUNCTION("""COMPUTED_VALUE"""),"08562236424")</f>
        <v>08562236424</v>
      </c>
      <c r="J10" s="285" t="str">
        <f>IFERROR(__xludf.DUMMYFUNCTION("""COMPUTED_VALUE"""),"Leads Baru")</f>
        <v>Leads Baru</v>
      </c>
      <c r="K10" s="285"/>
      <c r="L10" s="287"/>
      <c r="M10" s="288"/>
      <c r="N10" s="289"/>
      <c r="O10" s="290" t="str">
        <f>IFERROR(__xludf.DUMMYFUNCTION("""COMPUTED_VALUE"""),"masih info2 ke temennya, FU lagi 19 Mei")</f>
        <v>masih info2 ke temennya, FU lagi 19 Mei</v>
      </c>
      <c r="P10" s="291" t="str">
        <f>IFERROR(__xludf.DUMMYFUNCTION("""COMPUTED_VALUE"""),"https://docs.google.com/document/d/15GlHt0TOCeYUfGOgOrTVVyf6Gdj6A2frJMmeHl4gw54/edit?tab=t.0")</f>
        <v>https://docs.google.com/document/d/15GlHt0TOCeYUfGOgOrTVVyf6Gdj6A2frJMmeHl4gw54/edit?tab=t.0</v>
      </c>
      <c r="R10" s="285" t="str">
        <f>IFERROR(__xludf.DUMMYFUNCTION("""COMPUTED_VALUE"""),"2601D085")</f>
        <v>2601D085</v>
      </c>
      <c r="S10" s="286">
        <f>IFERROR(__xludf.DUMMYFUNCTION("""COMPUTED_VALUE"""),46032.0)</f>
        <v>46032</v>
      </c>
      <c r="T10" s="285" t="str">
        <f>IFERROR(__xludf.DUMMYFUNCTION("""COMPUTED_VALUE"""),"Cindy alicia ")</f>
        <v>Cindy alicia </v>
      </c>
      <c r="U10" s="285" t="str">
        <f>IFERROR(__xludf.DUMMYFUNCTION("""COMPUTED_VALUE"""),"085782665535")</f>
        <v>085782665535</v>
      </c>
      <c r="V10" s="285" t="str">
        <f>IFERROR(__xludf.DUMMYFUNCTION("""COMPUTED_VALUE"""),"Closing")</f>
        <v>Closing</v>
      </c>
      <c r="W10" s="285" t="str">
        <f>IFERROR(__xludf.DUMMYFUNCTION("""COMPUTED_VALUE"""),"OT one day D, B")</f>
        <v>OT one day D, B</v>
      </c>
      <c r="X10" s="287">
        <f>IFERROR(__xludf.DUMMYFUNCTION("""COMPUTED_VALUE"""),46037.0)</f>
        <v>46037</v>
      </c>
      <c r="Y10" s="285">
        <f>IFERROR(__xludf.DUMMYFUNCTION("""COMPUTED_VALUE"""),3.0)</f>
        <v>3</v>
      </c>
      <c r="Z10" s="289">
        <f>IFERROR(__xludf.DUMMYFUNCTION("""COMPUTED_VALUE"""),1650000.0)</f>
        <v>1650000</v>
      </c>
      <c r="AA10" s="285"/>
      <c r="AC10" s="285" t="str">
        <f>IFERROR(__xludf.DUMMYFUNCTION("""COMPUTED_VALUE"""),"2601D008")</f>
        <v>2601D008</v>
      </c>
      <c r="AD10" s="286">
        <f>IFERROR(__xludf.DUMMYFUNCTION("""COMPUTED_VALUE"""),46023.0)</f>
        <v>46023</v>
      </c>
      <c r="AE10" s="285" t="str">
        <f>IFERROR(__xludf.DUMMYFUNCTION("""COMPUTED_VALUE"""),"Kai")</f>
        <v>Kai</v>
      </c>
      <c r="AF10" s="285" t="str">
        <f>IFERROR(__xludf.DUMMYFUNCTION("""COMPUTED_VALUE"""),"081399930501")</f>
        <v>081399930501</v>
      </c>
      <c r="AG10" s="285" t="str">
        <f>IFERROR(__xludf.DUMMYFUNCTION("""COMPUTED_VALUE"""),"Gagal")</f>
        <v>Gagal</v>
      </c>
      <c r="AH10" s="285" t="str">
        <f>IFERROR(__xludf.DUMMYFUNCTION("""COMPUTED_VALUE"""),"ot 3h2m")</f>
        <v>ot 3h2m</v>
      </c>
      <c r="AI10" s="287"/>
      <c r="AJ10" s="285"/>
      <c r="AK10" s="289"/>
      <c r="AL10" s="285" t="str">
        <f>IFERROR(__xludf.DUMMYFUNCTION("""COMPUTED_VALUE"""),"lewat tanggal")</f>
        <v>lewat tanggal</v>
      </c>
    </row>
    <row r="11">
      <c r="B11" s="309" t="s">
        <v>10222</v>
      </c>
      <c r="C11" s="310">
        <f>SUM(C3:C10)</f>
        <v>1200</v>
      </c>
      <c r="F11" s="285" t="str">
        <f>IFERROR(__xludf.DUMMYFUNCTION("""COMPUTED_VALUE"""),"2604D016")</f>
        <v>2604D016</v>
      </c>
      <c r="G11" s="286">
        <f>IFERROR(__xludf.DUMMYFUNCTION("""COMPUTED_VALUE"""),46116.0)</f>
        <v>46116</v>
      </c>
      <c r="H11" s="285" t="str">
        <f>IFERROR(__xludf.DUMMYFUNCTION("""COMPUTED_VALUE"""),"Azila Hatika")</f>
        <v>Azila Hatika</v>
      </c>
      <c r="I11" s="285" t="str">
        <f>IFERROR(__xludf.DUMMYFUNCTION("""COMPUTED_VALUE"""),"081281949477")</f>
        <v>081281949477</v>
      </c>
      <c r="J11" s="285" t="str">
        <f>IFERROR(__xludf.DUMMYFUNCTION("""COMPUTED_VALUE"""),"Leads Baru")</f>
        <v>Leads Baru</v>
      </c>
      <c r="K11" s="285"/>
      <c r="L11" s="287"/>
      <c r="M11" s="288"/>
      <c r="N11" s="289"/>
      <c r="O11" s="290" t="str">
        <f>IFERROR(__xludf.DUMMYFUNCTION("""COMPUTED_VALUE"""),"baru menyapa ")</f>
        <v>baru menyapa </v>
      </c>
      <c r="P11" s="291" t="str">
        <f>IFERROR(__xludf.DUMMYFUNCTION("""COMPUTED_VALUE"""),"https://docs.google.com/document/d/1MONAAMhrzI1AIle8BsD1q-yobhUClb32KYUBoJ7yoaM/edit?tab=t.0")</f>
        <v>https://docs.google.com/document/d/1MONAAMhrzI1AIle8BsD1q-yobhUClb32KYUBoJ7yoaM/edit?tab=t.0</v>
      </c>
      <c r="R11" s="285" t="str">
        <f>IFERROR(__xludf.DUMMYFUNCTION("""COMPUTED_VALUE"""),"2601D092")</f>
        <v>2601D092</v>
      </c>
      <c r="S11" s="286">
        <f>IFERROR(__xludf.DUMMYFUNCTION("""COMPUTED_VALUE"""),46033.0)</f>
        <v>46033</v>
      </c>
      <c r="T11" s="285" t="str">
        <f>IFERROR(__xludf.DUMMYFUNCTION("""COMPUTED_VALUE"""),"Nathaniaacr")</f>
        <v>Nathaniaacr</v>
      </c>
      <c r="U11" s="285" t="str">
        <f>IFERROR(__xludf.DUMMYFUNCTION("""COMPUTED_VALUE"""),"085175207678")</f>
        <v>085175207678</v>
      </c>
      <c r="V11" s="285" t="str">
        <f>IFERROR(__xludf.DUMMYFUNCTION("""COMPUTED_VALUE"""),"Closing")</f>
        <v>Closing</v>
      </c>
      <c r="W11" s="285" t="str">
        <f>IFERROR(__xludf.DUMMYFUNCTION("""COMPUTED_VALUE"""),"2H1M opsi B")</f>
        <v>2H1M opsi B</v>
      </c>
      <c r="X11" s="287">
        <f>IFERROR(__xludf.DUMMYFUNCTION("""COMPUTED_VALUE"""),46048.0)</f>
        <v>46048</v>
      </c>
      <c r="Y11" s="285">
        <f>IFERROR(__xludf.DUMMYFUNCTION("""COMPUTED_VALUE"""),2.0)</f>
        <v>2</v>
      </c>
      <c r="Z11" s="289">
        <f>IFERROR(__xludf.DUMMYFUNCTION("""COMPUTED_VALUE"""),3920000.0)</f>
        <v>3920000</v>
      </c>
      <c r="AA11" s="285"/>
      <c r="AC11" s="285" t="str">
        <f>IFERROR(__xludf.DUMMYFUNCTION("""COMPUTED_VALUE"""),"2601D010")</f>
        <v>2601D010</v>
      </c>
      <c r="AD11" s="286">
        <f>IFERROR(__xludf.DUMMYFUNCTION("""COMPUTED_VALUE"""),46024.0)</f>
        <v>46024</v>
      </c>
      <c r="AE11" s="285" t="str">
        <f>IFERROR(__xludf.DUMMYFUNCTION("""COMPUTED_VALUE"""),"Dia Pur's")</f>
        <v>Dia Pur's</v>
      </c>
      <c r="AF11" s="285" t="str">
        <f>IFERROR(__xludf.DUMMYFUNCTION("""COMPUTED_VALUE"""),"082360390604")</f>
        <v>082360390604</v>
      </c>
      <c r="AG11" s="285" t="str">
        <f>IFERROR(__xludf.DUMMYFUNCTION("""COMPUTED_VALUE"""),"Gagal")</f>
        <v>Gagal</v>
      </c>
      <c r="AH11" s="285" t="str">
        <f>IFERROR(__xludf.DUMMYFUNCTION("""COMPUTED_VALUE"""),"custom 2h1m")</f>
        <v>custom 2h1m</v>
      </c>
      <c r="AI11" s="287"/>
      <c r="AJ11" s="285">
        <f>IFERROR(__xludf.DUMMYFUNCTION("""COMPUTED_VALUE"""),4.0)</f>
        <v>4</v>
      </c>
      <c r="AK11" s="289"/>
      <c r="AL11" s="285" t="str">
        <f>IFERROR(__xludf.DUMMYFUNCTION("""COMPUTED_VALUE"""),"tanggal lewat")</f>
        <v>tanggal lewat</v>
      </c>
    </row>
    <row r="12">
      <c r="F12" s="285" t="str">
        <f>IFERROR(__xludf.DUMMYFUNCTION("""COMPUTED_VALUE"""),"2604D026")</f>
        <v>2604D026</v>
      </c>
      <c r="G12" s="286">
        <f>IFERROR(__xludf.DUMMYFUNCTION("""COMPUTED_VALUE"""),46119.0)</f>
        <v>46119</v>
      </c>
      <c r="H12" s="285" t="str">
        <f>IFERROR(__xludf.DUMMYFUNCTION("""COMPUTED_VALUE"""),"M. Kajanto")</f>
        <v>M. Kajanto</v>
      </c>
      <c r="I12" s="285" t="str">
        <f>IFERROR(__xludf.DUMMYFUNCTION("""COMPUTED_VALUE"""),"08123452227")</f>
        <v>08123452227</v>
      </c>
      <c r="J12" s="285" t="str">
        <f>IFERROR(__xludf.DUMMYFUNCTION("""COMPUTED_VALUE"""),"Leads Baru")</f>
        <v>Leads Baru</v>
      </c>
      <c r="K12" s="285"/>
      <c r="L12" s="287"/>
      <c r="M12" s="288">
        <f>IFERROR(__xludf.DUMMYFUNCTION("""COMPUTED_VALUE"""),15.0)</f>
        <v>15</v>
      </c>
      <c r="N12" s="289"/>
      <c r="O12" s="290" t="str">
        <f>IFERROR(__xludf.DUMMYFUNCTION("""COMPUTED_VALUE"""),"tanya obyek wisata baru, FU lagi  ")</f>
        <v>tanya obyek wisata baru, FU lagi  </v>
      </c>
      <c r="P12" s="291" t="str">
        <f>IFERROR(__xludf.DUMMYFUNCTION("""COMPUTED_VALUE"""),"https://docs.google.com/document/d/1E_OV4Mro0vek_NSCMZPP4kCsW9Z5qbTX4jJzOtCiHZY/edit?tab=t.0")</f>
        <v>https://docs.google.com/document/d/1E_OV4Mro0vek_NSCMZPP4kCsW9Z5qbTX4jJzOtCiHZY/edit?tab=t.0</v>
      </c>
      <c r="R12" s="285" t="str">
        <f>IFERROR(__xludf.DUMMYFUNCTION("""COMPUTED_VALUE"""),"2601D147")</f>
        <v>2601D147</v>
      </c>
      <c r="S12" s="286">
        <f>IFERROR(__xludf.DUMMYFUNCTION("""COMPUTED_VALUE"""),46042.0)</f>
        <v>46042</v>
      </c>
      <c r="T12" s="285" t="str">
        <f>IFERROR(__xludf.DUMMYFUNCTION("""COMPUTED_VALUE"""),"Nita")</f>
        <v>Nita</v>
      </c>
      <c r="U12" s="285" t="str">
        <f>IFERROR(__xludf.DUMMYFUNCTION("""COMPUTED_VALUE"""),"08156533676")</f>
        <v>08156533676</v>
      </c>
      <c r="V12" s="285" t="str">
        <f>IFERROR(__xludf.DUMMYFUNCTION("""COMPUTED_VALUE"""),"Closing")</f>
        <v>Closing</v>
      </c>
      <c r="W12" s="285" t="str">
        <f>IFERROR(__xludf.DUMMYFUNCTION("""COMPUTED_VALUE"""),"3H2M opsi A")</f>
        <v>3H2M opsi A</v>
      </c>
      <c r="X12" s="287"/>
      <c r="Y12" s="285">
        <f>IFERROR(__xludf.DUMMYFUNCTION("""COMPUTED_VALUE"""),20.0)</f>
        <v>20</v>
      </c>
      <c r="Z12" s="289">
        <f>IFERROR(__xludf.DUMMYFUNCTION("""COMPUTED_VALUE"""),5.5E7)</f>
        <v>55000000</v>
      </c>
      <c r="AA12" s="285" t="str">
        <f>IFERROR(__xludf.DUMMYFUNCTION("""COMPUTED_VALUE"""),"alhamdulillah orderrr")</f>
        <v>alhamdulillah orderrr</v>
      </c>
      <c r="AC12" s="285" t="str">
        <f>IFERROR(__xludf.DUMMYFUNCTION("""COMPUTED_VALUE"""),"2601D011")</f>
        <v>2601D011</v>
      </c>
      <c r="AD12" s="286">
        <f>IFERROR(__xludf.DUMMYFUNCTION("""COMPUTED_VALUE"""),46024.0)</f>
        <v>46024</v>
      </c>
      <c r="AE12" s="285" t="str">
        <f>IFERROR(__xludf.DUMMYFUNCTION("""COMPUTED_VALUE"""),"Inggrid")</f>
        <v>Inggrid</v>
      </c>
      <c r="AF12" s="285" t="str">
        <f>IFERROR(__xludf.DUMMYFUNCTION("""COMPUTED_VALUE"""),"085156507128")</f>
        <v>085156507128</v>
      </c>
      <c r="AG12" s="285" t="str">
        <f>IFERROR(__xludf.DUMMYFUNCTION("""COMPUTED_VALUE"""),"Gagal")</f>
        <v>Gagal</v>
      </c>
      <c r="AH12" s="285" t="str">
        <f>IFERROR(__xludf.DUMMYFUNCTION("""COMPUTED_VALUE"""),"OT Januari")</f>
        <v>OT Januari</v>
      </c>
      <c r="AI12" s="287"/>
      <c r="AJ12" s="285"/>
      <c r="AK12" s="289"/>
      <c r="AL12" s="285" t="str">
        <f>IFERROR(__xludf.DUMMYFUNCTION("""COMPUTED_VALUE"""),"tidak jawab")</f>
        <v>tidak jawab</v>
      </c>
    </row>
    <row r="13">
      <c r="B13" s="311" t="s">
        <v>10223</v>
      </c>
      <c r="C13" s="312">
        <f>sum(C3:C8)/C11</f>
        <v>0.3458333333</v>
      </c>
      <c r="F13" s="285" t="str">
        <f>IFERROR(__xludf.DUMMYFUNCTION("""COMPUTED_VALUE"""),"2604D027")</f>
        <v>2604D027</v>
      </c>
      <c r="G13" s="286">
        <f>IFERROR(__xludf.DUMMYFUNCTION("""COMPUTED_VALUE"""),46119.0)</f>
        <v>46119</v>
      </c>
      <c r="H13" s="285" t="str">
        <f>IFERROR(__xludf.DUMMYFUNCTION("""COMPUTED_VALUE"""),"Devina Dwi")</f>
        <v>Devina Dwi</v>
      </c>
      <c r="I13" s="285" t="str">
        <f>IFERROR(__xludf.DUMMYFUNCTION("""COMPUTED_VALUE"""),"081517222541")</f>
        <v>081517222541</v>
      </c>
      <c r="J13" s="285" t="str">
        <f>IFERROR(__xludf.DUMMYFUNCTION("""COMPUTED_VALUE"""),"Leads Baru")</f>
        <v>Leads Baru</v>
      </c>
      <c r="K13" s="285"/>
      <c r="L13" s="287"/>
      <c r="M13" s="288"/>
      <c r="N13" s="289"/>
      <c r="O13" s="290" t="str">
        <f>IFERROR(__xludf.DUMMYFUNCTION("""COMPUTED_VALUE"""),"tanya perbedaan paket 3h2m opsi A&amp;opsi B, FU 10 Juni")</f>
        <v>tanya perbedaan paket 3h2m opsi A&amp;opsi B, FU 10 Juni</v>
      </c>
      <c r="P13" s="291" t="str">
        <f>IFERROR(__xludf.DUMMYFUNCTION("""COMPUTED_VALUE"""),"https://docs.google.com/document/d/1rJHZSvk_7jGgi8u-pR7VZm12_hT4SqYDsgX2cOvLqE8/edit?tab=t.0")</f>
        <v>https://docs.google.com/document/d/1rJHZSvk_7jGgi8u-pR7VZm12_hT4SqYDsgX2cOvLqE8/edit?tab=t.0</v>
      </c>
      <c r="R13" s="285" t="str">
        <f>IFERROR(__xludf.DUMMYFUNCTION("""COMPUTED_VALUE"""),"2601D154")</f>
        <v>2601D154</v>
      </c>
      <c r="S13" s="286">
        <f>IFERROR(__xludf.DUMMYFUNCTION("""COMPUTED_VALUE"""),46043.0)</f>
        <v>46043</v>
      </c>
      <c r="T13" s="285" t="str">
        <f>IFERROR(__xludf.DUMMYFUNCTION("""COMPUTED_VALUE"""),"Mursida Baharuddin")</f>
        <v>Mursida Baharuddin</v>
      </c>
      <c r="U13" s="285" t="str">
        <f>IFERROR(__xludf.DUMMYFUNCTION("""COMPUTED_VALUE"""),"08129365865")</f>
        <v>08129365865</v>
      </c>
      <c r="V13" s="285" t="str">
        <f>IFERROR(__xludf.DUMMYFUNCTION("""COMPUTED_VALUE"""),"Closing")</f>
        <v>Closing</v>
      </c>
      <c r="W13" s="285" t="str">
        <f>IFERROR(__xludf.DUMMYFUNCTION("""COMPUTED_VALUE"""),"custom destinasi")</f>
        <v>custom destinasi</v>
      </c>
      <c r="X13" s="287"/>
      <c r="Y13" s="285">
        <f>IFERROR(__xludf.DUMMYFUNCTION("""COMPUTED_VALUE"""),8.0)</f>
        <v>8</v>
      </c>
      <c r="Z13" s="289">
        <f>IFERROR(__xludf.DUMMYFUNCTION("""COMPUTED_VALUE"""),1.6904E7)</f>
        <v>16904000</v>
      </c>
      <c r="AA13" s="285" t="str">
        <f>IFERROR(__xludf.DUMMYFUNCTION("""COMPUTED_VALUE"""),"alhamdulillahh orderrr")</f>
        <v>alhamdulillahh orderrr</v>
      </c>
      <c r="AC13" s="285" t="str">
        <f>IFERROR(__xludf.DUMMYFUNCTION("""COMPUTED_VALUE"""),"2601D013")</f>
        <v>2601D013</v>
      </c>
      <c r="AD13" s="286">
        <f>IFERROR(__xludf.DUMMYFUNCTION("""COMPUTED_VALUE"""),46024.0)</f>
        <v>46024</v>
      </c>
      <c r="AE13" s="285" t="str">
        <f>IFERROR(__xludf.DUMMYFUNCTION("""COMPUTED_VALUE"""),"Diyatrana")</f>
        <v>Diyatrana</v>
      </c>
      <c r="AF13" s="285" t="str">
        <f>IFERROR(__xludf.DUMMYFUNCTION("""COMPUTED_VALUE"""),"085729990708")</f>
        <v>085729990708</v>
      </c>
      <c r="AG13" s="285" t="str">
        <f>IFERROR(__xludf.DUMMYFUNCTION("""COMPUTED_VALUE"""),"Gagal")</f>
        <v>Gagal</v>
      </c>
      <c r="AH13" s="285" t="str">
        <f>IFERROR(__xludf.DUMMYFUNCTION("""COMPUTED_VALUE"""),"3H2M opsi A")</f>
        <v>3H2M opsi A</v>
      </c>
      <c r="AI13" s="287"/>
      <c r="AJ13" s="285"/>
      <c r="AK13" s="289"/>
      <c r="AL13" s="285" t="str">
        <f>IFERROR(__xludf.DUMMYFUNCTION("""COMPUTED_VALUE"""),"tidak jawab")</f>
        <v>tidak jawab</v>
      </c>
    </row>
    <row r="14">
      <c r="B14" s="313" t="s">
        <v>10224</v>
      </c>
      <c r="C14" s="314">
        <f>C9/C11</f>
        <v>0.1441666667</v>
      </c>
      <c r="F14" s="285" t="str">
        <f>IFERROR(__xludf.DUMMYFUNCTION("""COMPUTED_VALUE"""),"2604D029")</f>
        <v>2604D029</v>
      </c>
      <c r="G14" s="286">
        <f>IFERROR(__xludf.DUMMYFUNCTION("""COMPUTED_VALUE"""),46119.0)</f>
        <v>46119</v>
      </c>
      <c r="H14" s="285" t="str">
        <f>IFERROR(__xludf.DUMMYFUNCTION("""COMPUTED_VALUE"""),"Tri Kodrat Prasetyo")</f>
        <v>Tri Kodrat Prasetyo</v>
      </c>
      <c r="I14" s="285" t="str">
        <f>IFERROR(__xludf.DUMMYFUNCTION("""COMPUTED_VALUE"""),"085777314701")</f>
        <v>085777314701</v>
      </c>
      <c r="J14" s="285" t="str">
        <f>IFERROR(__xludf.DUMMYFUNCTION("""COMPUTED_VALUE"""),"Leads Baru")</f>
        <v>Leads Baru</v>
      </c>
      <c r="K14" s="285"/>
      <c r="L14" s="287"/>
      <c r="M14" s="288"/>
      <c r="N14" s="289"/>
      <c r="O14" s="290"/>
      <c r="P14" s="291" t="str">
        <f>IFERROR(__xludf.DUMMYFUNCTION("""COMPUTED_VALUE"""),"https://docs.google.com/document/d/1-Lcruo5ljFzJVci_Tk-TOeAfKjvtqP1bJF4UY58U-r4/edit?tab=t.0")</f>
        <v>https://docs.google.com/document/d/1-Lcruo5ljFzJVci_Tk-TOeAfKjvtqP1bJF4UY58U-r4/edit?tab=t.0</v>
      </c>
      <c r="R14" s="285" t="str">
        <f>IFERROR(__xludf.DUMMYFUNCTION("""COMPUTED_VALUE"""),"2601D161")</f>
        <v>2601D161</v>
      </c>
      <c r="S14" s="286">
        <f>IFERROR(__xludf.DUMMYFUNCTION("""COMPUTED_VALUE"""),46045.0)</f>
        <v>46045</v>
      </c>
      <c r="T14" s="285" t="str">
        <f>IFERROR(__xludf.DUMMYFUNCTION("""COMPUTED_VALUE"""),"Gayatri Putri ")</f>
        <v>Gayatri Putri </v>
      </c>
      <c r="U14" s="285" t="str">
        <f>IFERROR(__xludf.DUMMYFUNCTION("""COMPUTED_VALUE"""),"081249001530")</f>
        <v>081249001530</v>
      </c>
      <c r="V14" s="285" t="str">
        <f>IFERROR(__xludf.DUMMYFUNCTION("""COMPUTED_VALUE"""),"Closing")</f>
        <v>Closing</v>
      </c>
      <c r="W14" s="285" t="str">
        <f>IFERROR(__xludf.DUMMYFUNCTION("""COMPUTED_VALUE"""),"1 day trip D, B")</f>
        <v>1 day trip D, B</v>
      </c>
      <c r="X14" s="287">
        <f>IFERROR(__xludf.DUMMYFUNCTION("""COMPUTED_VALUE"""),46046.0)</f>
        <v>46046</v>
      </c>
      <c r="Y14" s="285">
        <f>IFERROR(__xludf.DUMMYFUNCTION("""COMPUTED_VALUE"""),3.0)</f>
        <v>3</v>
      </c>
      <c r="Z14" s="289">
        <f>IFERROR(__xludf.DUMMYFUNCTION("""COMPUTED_VALUE"""),1875000.0)</f>
        <v>1875000</v>
      </c>
      <c r="AA14" s="285"/>
      <c r="AC14" s="285" t="str">
        <f>IFERROR(__xludf.DUMMYFUNCTION("""COMPUTED_VALUE"""),"2601D014")</f>
        <v>2601D014</v>
      </c>
      <c r="AD14" s="286">
        <f>IFERROR(__xludf.DUMMYFUNCTION("""COMPUTED_VALUE"""),46024.0)</f>
        <v>46024</v>
      </c>
      <c r="AE14" s="285" t="str">
        <f>IFERROR(__xludf.DUMMYFUNCTION("""COMPUTED_VALUE"""),"Peni")</f>
        <v>Peni</v>
      </c>
      <c r="AF14" s="285" t="str">
        <f>IFERROR(__xludf.DUMMYFUNCTION("""COMPUTED_VALUE"""),"081553992808")</f>
        <v>081553992808</v>
      </c>
      <c r="AG14" s="285" t="str">
        <f>IFERROR(__xludf.DUMMYFUNCTION("""COMPUTED_VALUE"""),"Gagal")</f>
        <v>Gagal</v>
      </c>
      <c r="AH14" s="285" t="str">
        <f>IFERROR(__xludf.DUMMYFUNCTION("""COMPUTED_VALUE"""),"Trip Pulau Bedil")</f>
        <v>Trip Pulau Bedil</v>
      </c>
      <c r="AI14" s="287">
        <f>IFERROR(__xludf.DUMMYFUNCTION("""COMPUTED_VALUE"""),46104.0)</f>
        <v>46104</v>
      </c>
      <c r="AJ14" s="285">
        <f>IFERROR(__xludf.DUMMYFUNCTION("""COMPUTED_VALUE"""),4.0)</f>
        <v>4</v>
      </c>
      <c r="AK14" s="289">
        <f>IFERROR(__xludf.DUMMYFUNCTION("""COMPUTED_VALUE"""),1408000.0)</f>
        <v>1408000</v>
      </c>
      <c r="AL14" s="285" t="str">
        <f>IFERROR(__xludf.DUMMYFUNCTION("""COMPUTED_VALUE"""),"pindah haluan liburan")</f>
        <v>pindah haluan liburan</v>
      </c>
    </row>
    <row r="15">
      <c r="B15" s="315" t="s">
        <v>10225</v>
      </c>
      <c r="C15" s="316">
        <f>C10/C11</f>
        <v>0.51</v>
      </c>
      <c r="F15" s="285" t="str">
        <f>IFERROR(__xludf.DUMMYFUNCTION("""COMPUTED_VALUE"""),"2604D030")</f>
        <v>2604D030</v>
      </c>
      <c r="G15" s="286">
        <f>IFERROR(__xludf.DUMMYFUNCTION("""COMPUTED_VALUE"""),46119.0)</f>
        <v>46119</v>
      </c>
      <c r="H15" s="285" t="str">
        <f>IFERROR(__xludf.DUMMYFUNCTION("""COMPUTED_VALUE"""),"Tabitaherra")</f>
        <v>Tabitaherra</v>
      </c>
      <c r="I15" s="285" t="str">
        <f>IFERROR(__xludf.DUMMYFUNCTION("""COMPUTED_VALUE"""),"081392624454")</f>
        <v>081392624454</v>
      </c>
      <c r="J15" s="285" t="str">
        <f>IFERROR(__xludf.DUMMYFUNCTION("""COMPUTED_VALUE"""),"Leads Baru")</f>
        <v>Leads Baru</v>
      </c>
      <c r="K15" s="285" t="str">
        <f>IFERROR(__xludf.DUMMYFUNCTION("""COMPUTED_VALUE"""),"OT 3h2m")</f>
        <v>OT 3h2m</v>
      </c>
      <c r="L15" s="287"/>
      <c r="M15" s="288"/>
      <c r="N15" s="289"/>
      <c r="O15" s="290" t="str">
        <f>IFERROR(__xludf.DUMMYFUNCTION("""COMPUTED_VALUE"""),"tanya penginapan ")</f>
        <v>tanya penginapan </v>
      </c>
      <c r="P15" s="291" t="str">
        <f>IFERROR(__xludf.DUMMYFUNCTION("""COMPUTED_VALUE"""),"https://docs.google.com/document/d/1zT_mfHgHkhbnWdDTbCC5iedQ8UcQE042JaEIOC0-Zrk/edit?tab=t.0")</f>
        <v>https://docs.google.com/document/d/1zT_mfHgHkhbnWdDTbCC5iedQ8UcQE042JaEIOC0-Zrk/edit?tab=t.0</v>
      </c>
      <c r="R15" s="285" t="str">
        <f>IFERROR(__xludf.DUMMYFUNCTION("""COMPUTED_VALUE"""),"2601D187")</f>
        <v>2601D187</v>
      </c>
      <c r="S15" s="286">
        <f>IFERROR(__xludf.DUMMYFUNCTION("""COMPUTED_VALUE"""),46053.0)</f>
        <v>46053</v>
      </c>
      <c r="T15" s="285" t="str">
        <f>IFERROR(__xludf.DUMMYFUNCTION("""COMPUTED_VALUE"""),"Nisa")</f>
        <v>Nisa</v>
      </c>
      <c r="U15" s="285" t="str">
        <f>IFERROR(__xludf.DUMMYFUNCTION("""COMPUTED_VALUE"""),"089687187821")</f>
        <v>089687187821</v>
      </c>
      <c r="V15" s="285" t="str">
        <f>IFERROR(__xludf.DUMMYFUNCTION("""COMPUTED_VALUE"""),"Closing")</f>
        <v>Closing</v>
      </c>
      <c r="W15" s="285" t="str">
        <f>IFERROR(__xludf.DUMMYFUNCTION("""COMPUTED_VALUE"""),"OT MT")</f>
        <v>OT MT</v>
      </c>
      <c r="X15" s="287">
        <f>IFERROR(__xludf.DUMMYFUNCTION("""COMPUTED_VALUE"""),46175.0)</f>
        <v>46175</v>
      </c>
      <c r="Y15" s="285">
        <f>IFERROR(__xludf.DUMMYFUNCTION("""COMPUTED_VALUE"""),3.0)</f>
        <v>3</v>
      </c>
      <c r="Z15" s="289"/>
      <c r="AA15" s="285" t="str">
        <f>IFERROR(__xludf.DUMMYFUNCTION("""COMPUTED_VALUE"""),"ORDERR")</f>
        <v>ORDERR</v>
      </c>
      <c r="AC15" s="285" t="str">
        <f>IFERROR(__xludf.DUMMYFUNCTION("""COMPUTED_VALUE"""),"2601D016")</f>
        <v>2601D016</v>
      </c>
      <c r="AD15" s="286">
        <f>IFERROR(__xludf.DUMMYFUNCTION("""COMPUTED_VALUE"""),46024.0)</f>
        <v>46024</v>
      </c>
      <c r="AE15" s="285" t="str">
        <f>IFERROR(__xludf.DUMMYFUNCTION("""COMPUTED_VALUE"""),"Ika W/ Ibu ms Nasir")</f>
        <v>Ika W/ Ibu ms Nasir</v>
      </c>
      <c r="AF15" s="285" t="str">
        <f>IFERROR(__xludf.DUMMYFUNCTION("""COMPUTED_VALUE"""),"0882007680200")</f>
        <v>0882007680200</v>
      </c>
      <c r="AG15" s="285" t="str">
        <f>IFERROR(__xludf.DUMMYFUNCTION("""COMPUTED_VALUE"""),"Gagal")</f>
        <v>Gagal</v>
      </c>
      <c r="AH15" s="285" t="str">
        <f>IFERROR(__xludf.DUMMYFUNCTION("""COMPUTED_VALUE"""),"2H1M opsi C")</f>
        <v>2H1M opsi C</v>
      </c>
      <c r="AI15" s="287">
        <f>IFERROR(__xludf.DUMMYFUNCTION("""COMPUTED_VALUE"""),46170.0)</f>
        <v>46170</v>
      </c>
      <c r="AJ15" s="285">
        <f>IFERROR(__xludf.DUMMYFUNCTION("""COMPUTED_VALUE"""),17.0)</f>
        <v>17</v>
      </c>
      <c r="AK15" s="289"/>
      <c r="AL15" s="285" t="str">
        <f>IFERROR(__xludf.DUMMYFUNCTION("""COMPUTED_VALUE"""),"ganti ke bromo")</f>
        <v>ganti ke bromo</v>
      </c>
    </row>
    <row r="16">
      <c r="F16" s="285" t="str">
        <f>IFERROR(__xludf.DUMMYFUNCTION("""COMPUTED_VALUE"""),"2604D033")</f>
        <v>2604D033</v>
      </c>
      <c r="G16" s="286">
        <f>IFERROR(__xludf.DUMMYFUNCTION("""COMPUTED_VALUE"""),46120.0)</f>
        <v>46120</v>
      </c>
      <c r="H16" s="285" t="str">
        <f>IFERROR(__xludf.DUMMYFUNCTION("""COMPUTED_VALUE"""),"Darno avian")</f>
        <v>Darno avian</v>
      </c>
      <c r="I16" s="285" t="str">
        <f>IFERROR(__xludf.DUMMYFUNCTION("""COMPUTED_VALUE"""),"08123086548")</f>
        <v>08123086548</v>
      </c>
      <c r="J16" s="285" t="str">
        <f>IFERROR(__xludf.DUMMYFUNCTION("""COMPUTED_VALUE"""),"Leads Baru")</f>
        <v>Leads Baru</v>
      </c>
      <c r="K16" s="285" t="str">
        <f>IFERROR(__xludf.DUMMYFUNCTION("""COMPUTED_VALUE"""),"paket custom ")</f>
        <v>paket custom </v>
      </c>
      <c r="L16" s="287"/>
      <c r="M16" s="288">
        <f>IFERROR(__xludf.DUMMYFUNCTION("""COMPUTED_VALUE"""),50.0)</f>
        <v>50</v>
      </c>
      <c r="N16" s="289"/>
      <c r="O16" s="290" t="str">
        <f>IFERROR(__xludf.DUMMYFUNCTION("""COMPUTED_VALUE"""),"tanggal masih jauh, masih dirundingkan")</f>
        <v>tanggal masih jauh, masih dirundingkan</v>
      </c>
      <c r="P16" s="291" t="str">
        <f>IFERROR(__xludf.DUMMYFUNCTION("""COMPUTED_VALUE"""),"https://docs.google.com/document/d/1_eI_7yyf9oa3VPmio_yctFgsNo-Bai4mWIvSxme_oUI/edit?tab=t.0")</f>
        <v>https://docs.google.com/document/d/1_eI_7yyf9oa3VPmio_yctFgsNo-Bai4mWIvSxme_oUI/edit?tab=t.0</v>
      </c>
      <c r="R16" s="285" t="str">
        <f>IFERROR(__xludf.DUMMYFUNCTION("""COMPUTED_VALUE"""),"2602D008")</f>
        <v>2602D008</v>
      </c>
      <c r="S16" s="286">
        <f>IFERROR(__xludf.DUMMYFUNCTION("""COMPUTED_VALUE"""),46055.0)</f>
        <v>46055</v>
      </c>
      <c r="T16" s="285" t="str">
        <f>IFERROR(__xludf.DUMMYFUNCTION("""COMPUTED_VALUE"""),"Chao")</f>
        <v>Chao</v>
      </c>
      <c r="U16" s="285" t="str">
        <f>IFERROR(__xludf.DUMMYFUNCTION("""COMPUTED_VALUE"""),"085248509954")</f>
        <v>085248509954</v>
      </c>
      <c r="V16" s="285" t="str">
        <f>IFERROR(__xludf.DUMMYFUNCTION("""COMPUTED_VALUE"""),"Closing")</f>
        <v>Closing</v>
      </c>
      <c r="W16" s="285"/>
      <c r="X16" s="287"/>
      <c r="Y16" s="285">
        <f>IFERROR(__xludf.DUMMYFUNCTION("""COMPUTED_VALUE"""),2.0)</f>
        <v>2</v>
      </c>
      <c r="Z16" s="289">
        <f>IFERROR(__xludf.DUMMYFUNCTION("""COMPUTED_VALUE"""),3000000.0)</f>
        <v>3000000</v>
      </c>
      <c r="AA16" s="285"/>
      <c r="AC16" s="285" t="str">
        <f>IFERROR(__xludf.DUMMYFUNCTION("""COMPUTED_VALUE"""),"2601D017")</f>
        <v>2601D017</v>
      </c>
      <c r="AD16" s="286">
        <f>IFERROR(__xludf.DUMMYFUNCTION("""COMPUTED_VALUE"""),46024.0)</f>
        <v>46024</v>
      </c>
      <c r="AE16" s="285" t="str">
        <f>IFERROR(__xludf.DUMMYFUNCTION("""COMPUTED_VALUE"""),"Karen")</f>
        <v>Karen</v>
      </c>
      <c r="AF16" s="285" t="str">
        <f>IFERROR(__xludf.DUMMYFUNCTION("""COMPUTED_VALUE"""),"087772484641")</f>
        <v>087772484641</v>
      </c>
      <c r="AG16" s="285" t="str">
        <f>IFERROR(__xludf.DUMMYFUNCTION("""COMPUTED_VALUE"""),"Gagal")</f>
        <v>Gagal</v>
      </c>
      <c r="AH16" s="285" t="str">
        <f>IFERROR(__xludf.DUMMYFUNCTION("""COMPUTED_VALUE"""),"2 paket open trip")</f>
        <v>2 paket open trip</v>
      </c>
      <c r="AI16" s="287"/>
      <c r="AJ16" s="285">
        <f>IFERROR(__xludf.DUMMYFUNCTION("""COMPUTED_VALUE"""),2.0)</f>
        <v>2</v>
      </c>
      <c r="AK16" s="289">
        <f>IFERROR(__xludf.DUMMYFUNCTION("""COMPUTED_VALUE"""),1050000.0)</f>
        <v>1050000</v>
      </c>
      <c r="AL16" s="285" t="str">
        <f>IFERROR(__xludf.DUMMYFUNCTION("""COMPUTED_VALUE"""),"follow up tanggal 15 februari")</f>
        <v>follow up tanggal 15 februari</v>
      </c>
    </row>
    <row r="17">
      <c r="B17" s="317" t="s">
        <v>10226</v>
      </c>
      <c r="C17" s="195"/>
      <c r="F17" s="285" t="str">
        <f>IFERROR(__xludf.DUMMYFUNCTION("""COMPUTED_VALUE"""),"2604D034")</f>
        <v>2604D034</v>
      </c>
      <c r="G17" s="286">
        <f>IFERROR(__xludf.DUMMYFUNCTION("""COMPUTED_VALUE"""),46120.0)</f>
        <v>46120</v>
      </c>
      <c r="H17" s="285" t="str">
        <f>IFERROR(__xludf.DUMMYFUNCTION("""COMPUTED_VALUE"""),"Nia Kusniatin")</f>
        <v>Nia Kusniatin</v>
      </c>
      <c r="I17" s="285" t="str">
        <f>IFERROR(__xludf.DUMMYFUNCTION("""COMPUTED_VALUE"""),"0817430784")</f>
        <v>0817430784</v>
      </c>
      <c r="J17" s="285" t="str">
        <f>IFERROR(__xludf.DUMMYFUNCTION("""COMPUTED_VALUE"""),"Leads Baru")</f>
        <v>Leads Baru</v>
      </c>
      <c r="K17" s="285" t="str">
        <f>IFERROR(__xludf.DUMMYFUNCTION("""COMPUTED_VALUE"""),"private trip ijen")</f>
        <v>private trip ijen</v>
      </c>
      <c r="L17" s="287"/>
      <c r="M17" s="288">
        <f>IFERROR(__xludf.DUMMYFUNCTION("""COMPUTED_VALUE"""),6.0)</f>
        <v>6</v>
      </c>
      <c r="N17" s="289">
        <f>IFERROR(__xludf.DUMMYFUNCTION("""COMPUTED_VALUE"""),1.068E7)</f>
        <v>10680000</v>
      </c>
      <c r="O17" s="290" t="str">
        <f>IFERROR(__xludf.DUMMYFUNCTION("""COMPUTED_VALUE"""),"b to b, nunggu dikabarin lagi")</f>
        <v>b to b, nunggu dikabarin lagi</v>
      </c>
      <c r="P17" s="291" t="str">
        <f>IFERROR(__xludf.DUMMYFUNCTION("""COMPUTED_VALUE"""),"https://docs.google.com/document/d/1R0OuFwKDTSHwj-spoYOjBF1EYgGhVfO4rj1PiVA0xV0/edit?tab=t.0")</f>
        <v>https://docs.google.com/document/d/1R0OuFwKDTSHwj-spoYOjBF1EYgGhVfO4rj1PiVA0xV0/edit?tab=t.0</v>
      </c>
      <c r="R17" s="285" t="str">
        <f>IFERROR(__xludf.DUMMYFUNCTION("""COMPUTED_VALUE"""),"2602D019")</f>
        <v>2602D019</v>
      </c>
      <c r="S17" s="286">
        <f>IFERROR(__xludf.DUMMYFUNCTION("""COMPUTED_VALUE"""),46058.0)</f>
        <v>46058</v>
      </c>
      <c r="T17" s="285" t="str">
        <f>IFERROR(__xludf.DUMMYFUNCTION("""COMPUTED_VALUE"""),"Ratih Pratama")</f>
        <v>Ratih Pratama</v>
      </c>
      <c r="U17" s="285" t="str">
        <f>IFERROR(__xludf.DUMMYFUNCTION("""COMPUTED_VALUE"""),"082298487924")</f>
        <v>082298487924</v>
      </c>
      <c r="V17" s="285" t="str">
        <f>IFERROR(__xludf.DUMMYFUNCTION("""COMPUTED_VALUE"""),"Closing")</f>
        <v>Closing</v>
      </c>
      <c r="W17" s="285" t="str">
        <f>IFERROR(__xludf.DUMMYFUNCTION("""COMPUTED_VALUE"""),"MT")</f>
        <v>MT</v>
      </c>
      <c r="X17" s="287">
        <f>IFERROR(__xludf.DUMMYFUNCTION("""COMPUTED_VALUE"""),46104.0)</f>
        <v>46104</v>
      </c>
      <c r="Y17" s="285"/>
      <c r="Z17" s="289">
        <f>IFERROR(__xludf.DUMMYFUNCTION("""COMPUTED_VALUE"""),2600000.0)</f>
        <v>2600000</v>
      </c>
      <c r="AA17" s="285"/>
      <c r="AC17" s="285" t="str">
        <f>IFERROR(__xludf.DUMMYFUNCTION("""COMPUTED_VALUE"""),"2601D018")</f>
        <v>2601D018</v>
      </c>
      <c r="AD17" s="286">
        <f>IFERROR(__xludf.DUMMYFUNCTION("""COMPUTED_VALUE"""),46024.0)</f>
        <v>46024</v>
      </c>
      <c r="AE17" s="285" t="str">
        <f>IFERROR(__xludf.DUMMYFUNCTION("""COMPUTED_VALUE"""),"Tiyas")</f>
        <v>Tiyas</v>
      </c>
      <c r="AF17" s="285" t="str">
        <f>IFERROR(__xludf.DUMMYFUNCTION("""COMPUTED_VALUE"""),"082136195477")</f>
        <v>082136195477</v>
      </c>
      <c r="AG17" s="285" t="str">
        <f>IFERROR(__xludf.DUMMYFUNCTION("""COMPUTED_VALUE"""),"Gagal")</f>
        <v>Gagal</v>
      </c>
      <c r="AH17" s="285" t="str">
        <f>IFERROR(__xludf.DUMMYFUNCTION("""COMPUTED_VALUE"""),"Custom 2h1m")</f>
        <v>Custom 2h1m</v>
      </c>
      <c r="AI17" s="287"/>
      <c r="AJ17" s="285">
        <f>IFERROR(__xludf.DUMMYFUNCTION("""COMPUTED_VALUE"""),2.0)</f>
        <v>2</v>
      </c>
      <c r="AK17" s="289"/>
      <c r="AL17" s="285" t="str">
        <f>IFERROR(__xludf.DUMMYFUNCTION("""COMPUTED_VALUE"""),"Minta Paket, fu tgl 10")</f>
        <v>Minta Paket, fu tgl 10</v>
      </c>
    </row>
    <row r="18">
      <c r="B18" s="318">
        <f>sum(Z3:Z2000)</f>
        <v>744992200</v>
      </c>
      <c r="C18" s="197"/>
      <c r="F18" s="285" t="str">
        <f>IFERROR(__xludf.DUMMYFUNCTION("""COMPUTED_VALUE"""),"2604D036")</f>
        <v>2604D036</v>
      </c>
      <c r="G18" s="286">
        <f>IFERROR(__xludf.DUMMYFUNCTION("""COMPUTED_VALUE"""),46120.0)</f>
        <v>46120</v>
      </c>
      <c r="H18" s="285" t="str">
        <f>IFERROR(__xludf.DUMMYFUNCTION("""COMPUTED_VALUE"""),"Budi Bangun ")</f>
        <v>Budi Bangun </v>
      </c>
      <c r="I18" s="285" t="str">
        <f>IFERROR(__xludf.DUMMYFUNCTION("""COMPUTED_VALUE"""),"081335103322")</f>
        <v>081335103322</v>
      </c>
      <c r="J18" s="285" t="str">
        <f>IFERROR(__xludf.DUMMYFUNCTION("""COMPUTED_VALUE"""),"Leads Baru")</f>
        <v>Leads Baru</v>
      </c>
      <c r="K18" s="285" t="str">
        <f>IFERROR(__xludf.DUMMYFUNCTION("""COMPUTED_VALUE"""),"trip Baluran")</f>
        <v>trip Baluran</v>
      </c>
      <c r="L18" s="287"/>
      <c r="M18" s="288"/>
      <c r="N18" s="289"/>
      <c r="O18" s="290" t="str">
        <f>IFERROR(__xludf.DUMMYFUNCTION("""COMPUTED_VALUE"""),"Belum ada tgl pasti")</f>
        <v>Belum ada tgl pasti</v>
      </c>
      <c r="P18" s="291" t="str">
        <f>IFERROR(__xludf.DUMMYFUNCTION("""COMPUTED_VALUE"""),"https://docs.google.com/document/d/1r5GdYSSVmM4s2x4lpbeB7GN2ryRh07hfEON5MeHY5TU/edit?tab=t.0")</f>
        <v>https://docs.google.com/document/d/1r5GdYSSVmM4s2x4lpbeB7GN2ryRh07hfEON5MeHY5TU/edit?tab=t.0</v>
      </c>
      <c r="R18" s="285" t="str">
        <f>IFERROR(__xludf.DUMMYFUNCTION("""COMPUTED_VALUE"""),"2602D040")</f>
        <v>2602D040</v>
      </c>
      <c r="S18" s="286">
        <f>IFERROR(__xludf.DUMMYFUNCTION("""COMPUTED_VALUE"""),46062.0)</f>
        <v>46062</v>
      </c>
      <c r="T18" s="285" t="str">
        <f>IFERROR(__xludf.DUMMYFUNCTION("""COMPUTED_VALUE"""),"Kurniawan")</f>
        <v>Kurniawan</v>
      </c>
      <c r="U18" s="285" t="str">
        <f>IFERROR(__xludf.DUMMYFUNCTION("""COMPUTED_VALUE"""),"follow up Minggu tanggal 1 Maret")</f>
        <v>follow up Minggu tanggal 1 Maret</v>
      </c>
      <c r="V18" s="285" t="str">
        <f>IFERROR(__xludf.DUMMYFUNCTION("""COMPUTED_VALUE"""),"Closing")</f>
        <v>Closing</v>
      </c>
      <c r="W18" s="285" t="str">
        <f>IFERROR(__xludf.DUMMYFUNCTION("""COMPUTED_VALUE"""),"3H2M custom")</f>
        <v>3H2M custom</v>
      </c>
      <c r="X18" s="287"/>
      <c r="Y18" s="285">
        <f>IFERROR(__xludf.DUMMYFUNCTION("""COMPUTED_VALUE"""),2.0)</f>
        <v>2</v>
      </c>
      <c r="Z18" s="289">
        <f>IFERROR(__xludf.DUMMYFUNCTION("""COMPUTED_VALUE"""),2.175E7)</f>
        <v>21750000</v>
      </c>
      <c r="AA18" s="285" t="str">
        <f>IFERROR(__xludf.DUMMYFUNCTION("""COMPUTED_VALUE"""),"orderrr")</f>
        <v>orderrr</v>
      </c>
      <c r="AC18" s="285" t="str">
        <f>IFERROR(__xludf.DUMMYFUNCTION("""COMPUTED_VALUE"""),"2601D019")</f>
        <v>2601D019</v>
      </c>
      <c r="AD18" s="286">
        <f>IFERROR(__xludf.DUMMYFUNCTION("""COMPUTED_VALUE"""),46025.0)</f>
        <v>46025</v>
      </c>
      <c r="AE18" s="285" t="str">
        <f>IFERROR(__xludf.DUMMYFUNCTION("""COMPUTED_VALUE"""),"Beta Amrina")</f>
        <v>Beta Amrina</v>
      </c>
      <c r="AF18" s="285" t="str">
        <f>IFERROR(__xludf.DUMMYFUNCTION("""COMPUTED_VALUE"""),"082327577538")</f>
        <v>082327577538</v>
      </c>
      <c r="AG18" s="285" t="str">
        <f>IFERROR(__xludf.DUMMYFUNCTION("""COMPUTED_VALUE"""),"Gagal")</f>
        <v>Gagal</v>
      </c>
      <c r="AH18" s="285" t="str">
        <f>IFERROR(__xludf.DUMMYFUNCTION("""COMPUTED_VALUE"""),"OT")</f>
        <v>OT</v>
      </c>
      <c r="AI18" s="287"/>
      <c r="AJ18" s="285">
        <f>IFERROR(__xludf.DUMMYFUNCTION("""COMPUTED_VALUE"""),3.0)</f>
        <v>3</v>
      </c>
      <c r="AK18" s="289">
        <f>IFERROR(__xludf.DUMMYFUNCTION("""COMPUTED_VALUE"""),4800000.0)</f>
        <v>4800000</v>
      </c>
      <c r="AL18" s="285" t="str">
        <f>IFERROR(__xludf.DUMMYFUNCTION("""COMPUTED_VALUE"""),"tidak jawab")</f>
        <v>tidak jawab</v>
      </c>
    </row>
    <row r="19">
      <c r="B19" s="201"/>
      <c r="C19" s="202"/>
      <c r="F19" s="285" t="str">
        <f>IFERROR(__xludf.DUMMYFUNCTION("""COMPUTED_VALUE"""),"2604D038")</f>
        <v>2604D038</v>
      </c>
      <c r="G19" s="286">
        <f>IFERROR(__xludf.DUMMYFUNCTION("""COMPUTED_VALUE"""),46120.0)</f>
        <v>46120</v>
      </c>
      <c r="H19" s="285" t="str">
        <f>IFERROR(__xludf.DUMMYFUNCTION("""COMPUTED_VALUE"""),"Noviaveve")</f>
        <v>Noviaveve</v>
      </c>
      <c r="I19" s="285" t="str">
        <f>IFERROR(__xludf.DUMMYFUNCTION("""COMPUTED_VALUE"""),"085855165695")</f>
        <v>085855165695</v>
      </c>
      <c r="J19" s="285" t="str">
        <f>IFERROR(__xludf.DUMMYFUNCTION("""COMPUTED_VALUE"""),"Leads Baru")</f>
        <v>Leads Baru</v>
      </c>
      <c r="K19" s="285"/>
      <c r="L19" s="287"/>
      <c r="M19" s="288"/>
      <c r="N19" s="289"/>
      <c r="O19" s="290"/>
      <c r="P19" s="291" t="str">
        <f>IFERROR(__xludf.DUMMYFUNCTION("""COMPUTED_VALUE"""),"https://docs.google.com/document/d/1pWuheGDgrS9z3oKLNJ2QaVLoSvY682BD_9Wca9h7qtk/edit?tab=t.0")</f>
        <v>https://docs.google.com/document/d/1pWuheGDgrS9z3oKLNJ2QaVLoSvY682BD_9Wca9h7qtk/edit?tab=t.0</v>
      </c>
      <c r="R19" s="285" t="str">
        <f>IFERROR(__xludf.DUMMYFUNCTION("""COMPUTED_VALUE"""),"2602D042")</f>
        <v>2602D042</v>
      </c>
      <c r="S19" s="286">
        <f>IFERROR(__xludf.DUMMYFUNCTION("""COMPUTED_VALUE"""),46064.0)</f>
        <v>46064</v>
      </c>
      <c r="T19" s="285" t="str">
        <f>IFERROR(__xludf.DUMMYFUNCTION("""COMPUTED_VALUE"""),"Shofaatin Mardiah")</f>
        <v>Shofaatin Mardiah</v>
      </c>
      <c r="U19" s="285" t="str">
        <f>IFERROR(__xludf.DUMMYFUNCTION("""COMPUTED_VALUE"""),"085851187800")</f>
        <v>085851187800</v>
      </c>
      <c r="V19" s="285" t="str">
        <f>IFERROR(__xludf.DUMMYFUNCTION("""COMPUTED_VALUE"""),"Closing")</f>
        <v>Closing</v>
      </c>
      <c r="W19" s="285" t="str">
        <f>IFERROR(__xludf.DUMMYFUNCTION("""COMPUTED_VALUE"""),"D,B")</f>
        <v>D,B</v>
      </c>
      <c r="X19" s="287">
        <f>IFERROR(__xludf.DUMMYFUNCTION("""COMPUTED_VALUE"""),46068.0)</f>
        <v>46068</v>
      </c>
      <c r="Y19" s="285">
        <f>IFERROR(__xludf.DUMMYFUNCTION("""COMPUTED_VALUE"""),3.0)</f>
        <v>3</v>
      </c>
      <c r="Z19" s="289">
        <f>IFERROR(__xludf.DUMMYFUNCTION("""COMPUTED_VALUE"""),1875000.0)</f>
        <v>1875000</v>
      </c>
      <c r="AA19" s="285" t="str">
        <f>IFERROR(__xludf.DUMMYFUNCTION("""COMPUTED_VALUE"""),"privat trip ")</f>
        <v>privat trip </v>
      </c>
      <c r="AC19" s="285" t="str">
        <f>IFERROR(__xludf.DUMMYFUNCTION("""COMPUTED_VALUE"""),"2601D020")</f>
        <v>2601D020</v>
      </c>
      <c r="AD19" s="286">
        <f>IFERROR(__xludf.DUMMYFUNCTION("""COMPUTED_VALUE"""),46025.0)</f>
        <v>46025</v>
      </c>
      <c r="AE19" s="285" t="str">
        <f>IFERROR(__xludf.DUMMYFUNCTION("""COMPUTED_VALUE"""),"Wa ")</f>
        <v>Wa </v>
      </c>
      <c r="AF19" s="285" t="str">
        <f>IFERROR(__xludf.DUMMYFUNCTION("""COMPUTED_VALUE"""),"085641568779")</f>
        <v>085641568779</v>
      </c>
      <c r="AG19" s="285" t="str">
        <f>IFERROR(__xludf.DUMMYFUNCTION("""COMPUTED_VALUE"""),"Gagal")</f>
        <v>Gagal</v>
      </c>
      <c r="AH19" s="285" t="str">
        <f>IFERROR(__xludf.DUMMYFUNCTION("""COMPUTED_VALUE"""),"ot djawatan baluran")</f>
        <v>ot djawatan baluran</v>
      </c>
      <c r="AI19" s="287"/>
      <c r="AJ19" s="285"/>
      <c r="AK19" s="289"/>
      <c r="AL19" s="285" t="str">
        <f>IFERROR(__xludf.DUMMYFUNCTION("""COMPUTED_VALUE"""),"tidak jawab")</f>
        <v>tidak jawab</v>
      </c>
    </row>
    <row r="20">
      <c r="F20" s="285" t="str">
        <f>IFERROR(__xludf.DUMMYFUNCTION("""COMPUTED_VALUE"""),"2604D041")</f>
        <v>2604D041</v>
      </c>
      <c r="G20" s="286">
        <f>IFERROR(__xludf.DUMMYFUNCTION("""COMPUTED_VALUE"""),46120.0)</f>
        <v>46120</v>
      </c>
      <c r="H20" s="285" t="str">
        <f>IFERROR(__xludf.DUMMYFUNCTION("""COMPUTED_VALUE"""),"Riski")</f>
        <v>Riski</v>
      </c>
      <c r="I20" s="285" t="str">
        <f>IFERROR(__xludf.DUMMYFUNCTION("""COMPUTED_VALUE"""),"085236599558")</f>
        <v>085236599558</v>
      </c>
      <c r="J20" s="285" t="str">
        <f>IFERROR(__xludf.DUMMYFUNCTION("""COMPUTED_VALUE"""),"Leads Baru")</f>
        <v>Leads Baru</v>
      </c>
      <c r="K20" s="285" t="str">
        <f>IFERROR(__xludf.DUMMYFUNCTION("""COMPUTED_VALUE"""),"OT menjanan, tabuhan")</f>
        <v>OT menjanan, tabuhan</v>
      </c>
      <c r="L20" s="287"/>
      <c r="M20" s="288"/>
      <c r="N20" s="289"/>
      <c r="O20" s="290" t="str">
        <f>IFERROR(__xludf.DUMMYFUNCTION("""COMPUTED_VALUE"""),"tanya dulu, blm tau tanggal")</f>
        <v>tanya dulu, blm tau tanggal</v>
      </c>
      <c r="P20" s="291" t="str">
        <f>IFERROR(__xludf.DUMMYFUNCTION("""COMPUTED_VALUE"""),"https://docs.google.com/document/d/1EOJTregGxriInA1A_ZMlo5O21BTMoJ9V-ZxlFph0ybQ/edit?tab=t.0")</f>
        <v>https://docs.google.com/document/d/1EOJTregGxriInA1A_ZMlo5O21BTMoJ9V-ZxlFph0ybQ/edit?tab=t.0</v>
      </c>
      <c r="R20" s="285" t="str">
        <f>IFERROR(__xludf.DUMMYFUNCTION("""COMPUTED_VALUE"""),"2602D045")</f>
        <v>2602D045</v>
      </c>
      <c r="S20" s="286">
        <f>IFERROR(__xludf.DUMMYFUNCTION("""COMPUTED_VALUE"""),46065.0)</f>
        <v>46065</v>
      </c>
      <c r="T20" s="285" t="str">
        <f>IFERROR(__xludf.DUMMYFUNCTION("""COMPUTED_VALUE"""),"Dian Rahmawati")</f>
        <v>Dian Rahmawati</v>
      </c>
      <c r="U20" s="285" t="str">
        <f>IFERROR(__xludf.DUMMYFUNCTION("""COMPUTED_VALUE"""),"095814982390")</f>
        <v>095814982390</v>
      </c>
      <c r="V20" s="285" t="str">
        <f>IFERROR(__xludf.DUMMYFUNCTION("""COMPUTED_VALUE"""),"Closing")</f>
        <v>Closing</v>
      </c>
      <c r="W20" s="285" t="str">
        <f>IFERROR(__xludf.DUMMYFUNCTION("""COMPUTED_VALUE"""),"3H2M")</f>
        <v>3H2M</v>
      </c>
      <c r="X20" s="287"/>
      <c r="Y20" s="285">
        <f>IFERROR(__xludf.DUMMYFUNCTION("""COMPUTED_VALUE"""),4.0)</f>
        <v>4</v>
      </c>
      <c r="Z20" s="289">
        <f>IFERROR(__xludf.DUMMYFUNCTION("""COMPUTED_VALUE"""),6942000.0)</f>
        <v>6942000</v>
      </c>
      <c r="AA20" s="285" t="str">
        <f>IFERROR(__xludf.DUMMYFUNCTION("""COMPUTED_VALUE"""),"udh order")</f>
        <v>udh order</v>
      </c>
      <c r="AC20" s="285" t="str">
        <f>IFERROR(__xludf.DUMMYFUNCTION("""COMPUTED_VALUE"""),"2601D021")</f>
        <v>2601D021</v>
      </c>
      <c r="AD20" s="286">
        <f>IFERROR(__xludf.DUMMYFUNCTION("""COMPUTED_VALUE"""),46025.0)</f>
        <v>46025</v>
      </c>
      <c r="AE20" s="285" t="str">
        <f>IFERROR(__xludf.DUMMYFUNCTION("""COMPUTED_VALUE"""),"Buds")</f>
        <v>Buds</v>
      </c>
      <c r="AF20" s="285" t="str">
        <f>IFERROR(__xludf.DUMMYFUNCTION("""COMPUTED_VALUE"""),"085720585703")</f>
        <v>085720585703</v>
      </c>
      <c r="AG20" s="285" t="str">
        <f>IFERROR(__xludf.DUMMYFUNCTION("""COMPUTED_VALUE"""),"Gagal")</f>
        <v>Gagal</v>
      </c>
      <c r="AH20" s="285" t="str">
        <f>IFERROR(__xludf.DUMMYFUNCTION("""COMPUTED_VALUE"""),"Baluran private ")</f>
        <v>Baluran private </v>
      </c>
      <c r="AI20" s="287"/>
      <c r="AJ20" s="285"/>
      <c r="AK20" s="289"/>
      <c r="AL20" s="285" t="str">
        <f>IFERROR(__xludf.DUMMYFUNCTION("""COMPUTED_VALUE"""),"tidak jawab")</f>
        <v>tidak jawab</v>
      </c>
    </row>
    <row r="21">
      <c r="B21" s="317" t="s">
        <v>10227</v>
      </c>
      <c r="C21" s="195"/>
      <c r="F21" s="285" t="str">
        <f>IFERROR(__xludf.DUMMYFUNCTION("""COMPUTED_VALUE"""),"2604D042")</f>
        <v>2604D042</v>
      </c>
      <c r="G21" s="286">
        <f>IFERROR(__xludf.DUMMYFUNCTION("""COMPUTED_VALUE"""),46120.0)</f>
        <v>46120</v>
      </c>
      <c r="H21" s="285" t="str">
        <f>IFERROR(__xludf.DUMMYFUNCTION("""COMPUTED_VALUE"""),"Haning")</f>
        <v>Haning</v>
      </c>
      <c r="I21" s="285" t="str">
        <f>IFERROR(__xludf.DUMMYFUNCTION("""COMPUTED_VALUE"""),"081904412811")</f>
        <v>081904412811</v>
      </c>
      <c r="J21" s="285" t="str">
        <f>IFERROR(__xludf.DUMMYFUNCTION("""COMPUTED_VALUE"""),"Leads Baru")</f>
        <v>Leads Baru</v>
      </c>
      <c r="K21" s="285"/>
      <c r="L21" s="287"/>
      <c r="M21" s="288"/>
      <c r="N21" s="289"/>
      <c r="O21" s="290" t="str">
        <f>IFERROR(__xludf.DUMMYFUNCTION("""COMPUTED_VALUE"""),"blm balas lagi")</f>
        <v>blm balas lagi</v>
      </c>
      <c r="P21" s="291" t="str">
        <f>IFERROR(__xludf.DUMMYFUNCTION("""COMPUTED_VALUE"""),"https://docs.google.com/document/d/1NGrTRrS8NLaBAYL0CMZ9BXI4W99t71VWsqmVSOJSCCI/edit?tab=t.0")</f>
        <v>https://docs.google.com/document/d/1NGrTRrS8NLaBAYL0CMZ9BXI4W99t71VWsqmVSOJSCCI/edit?tab=t.0</v>
      </c>
      <c r="R21" s="285" t="str">
        <f>IFERROR(__xludf.DUMMYFUNCTION("""COMPUTED_VALUE"""),"2602D058")</f>
        <v>2602D058</v>
      </c>
      <c r="S21" s="286">
        <f>IFERROR(__xludf.DUMMYFUNCTION("""COMPUTED_VALUE"""),46068.0)</f>
        <v>46068</v>
      </c>
      <c r="T21" s="285" t="str">
        <f>IFERROR(__xludf.DUMMYFUNCTION("""COMPUTED_VALUE"""),"Hesti Wahyuningsih ")</f>
        <v>Hesti Wahyuningsih </v>
      </c>
      <c r="U21" s="285" t="str">
        <f>IFERROR(__xludf.DUMMYFUNCTION("""COMPUTED_VALUE"""),"08126025269")</f>
        <v>08126025269</v>
      </c>
      <c r="V21" s="285" t="str">
        <f>IFERROR(__xludf.DUMMYFUNCTION("""COMPUTED_VALUE"""),"Closing")</f>
        <v>Closing</v>
      </c>
      <c r="W21" s="285" t="str">
        <f>IFERROR(__xludf.DUMMYFUNCTION("""COMPUTED_VALUE"""),"3H2M")</f>
        <v>3H2M</v>
      </c>
      <c r="X21" s="287"/>
      <c r="Y21" s="285">
        <f>IFERROR(__xludf.DUMMYFUNCTION("""COMPUTED_VALUE"""),5.0)</f>
        <v>5</v>
      </c>
      <c r="Z21" s="289">
        <f>IFERROR(__xludf.DUMMYFUNCTION("""COMPUTED_VALUE"""),1.95E7)</f>
        <v>19500000</v>
      </c>
      <c r="AA21" s="285"/>
      <c r="AC21" s="285" t="str">
        <f>IFERROR(__xludf.DUMMYFUNCTION("""COMPUTED_VALUE"""),"2601D022")</f>
        <v>2601D022</v>
      </c>
      <c r="AD21" s="286">
        <f>IFERROR(__xludf.DUMMYFUNCTION("""COMPUTED_VALUE"""),46025.0)</f>
        <v>46025</v>
      </c>
      <c r="AE21" s="285" t="str">
        <f>IFERROR(__xludf.DUMMYFUNCTION("""COMPUTED_VALUE"""),"Seysa")</f>
        <v>Seysa</v>
      </c>
      <c r="AF21" s="285" t="str">
        <f>IFERROR(__xludf.DUMMYFUNCTION("""COMPUTED_VALUE"""),"085886980015")</f>
        <v>085886980015</v>
      </c>
      <c r="AG21" s="285" t="str">
        <f>IFERROR(__xludf.DUMMYFUNCTION("""COMPUTED_VALUE"""),"Gagal")</f>
        <v>Gagal</v>
      </c>
      <c r="AH21" s="285" t="str">
        <f>IFERROR(__xludf.DUMMYFUNCTION("""COMPUTED_VALUE"""),"trip kawah wurung")</f>
        <v>trip kawah wurung</v>
      </c>
      <c r="AI21" s="287">
        <f>IFERROR(__xludf.DUMMYFUNCTION("""COMPUTED_VALUE"""),46028.0)</f>
        <v>46028</v>
      </c>
      <c r="AJ21" s="285">
        <f>IFERROR(__xludf.DUMMYFUNCTION("""COMPUTED_VALUE"""),3.0)</f>
        <v>3</v>
      </c>
      <c r="AK21" s="289"/>
      <c r="AL21" s="285" t="str">
        <f>IFERROR(__xludf.DUMMYFUNCTION("""COMPUTED_VALUE"""),"masih pikir2 dulu, sudah lewat tgl")</f>
        <v>masih pikir2 dulu, sudah lewat tgl</v>
      </c>
    </row>
    <row r="22">
      <c r="B22" s="318">
        <f>sum(N3:N2000)</f>
        <v>1184593000</v>
      </c>
      <c r="C22" s="197"/>
      <c r="F22" s="285" t="str">
        <f>IFERROR(__xludf.DUMMYFUNCTION("""COMPUTED_VALUE"""),"2604D045")</f>
        <v>2604D045</v>
      </c>
      <c r="G22" s="286">
        <f>IFERROR(__xludf.DUMMYFUNCTION("""COMPUTED_VALUE"""),46121.0)</f>
        <v>46121</v>
      </c>
      <c r="H22" s="285" t="str">
        <f>IFERROR(__xludf.DUMMYFUNCTION("""COMPUTED_VALUE"""),"Nugroho Fadjar Shodik")</f>
        <v>Nugroho Fadjar Shodik</v>
      </c>
      <c r="I22" s="285" t="str">
        <f>IFERROR(__xludf.DUMMYFUNCTION("""COMPUTED_VALUE"""),"081286772029")</f>
        <v>081286772029</v>
      </c>
      <c r="J22" s="285" t="str">
        <f>IFERROR(__xludf.DUMMYFUNCTION("""COMPUTED_VALUE"""),"Leads Baru")</f>
        <v>Leads Baru</v>
      </c>
      <c r="K22" s="285" t="str">
        <f>IFERROR(__xludf.DUMMYFUNCTION("""COMPUTED_VALUE"""),"paket 2H1M")</f>
        <v>paket 2H1M</v>
      </c>
      <c r="L22" s="287"/>
      <c r="M22" s="288">
        <f>IFERROR(__xludf.DUMMYFUNCTION("""COMPUTED_VALUE"""),12.0)</f>
        <v>12</v>
      </c>
      <c r="N22" s="289"/>
      <c r="O22" s="290" t="str">
        <f>IFERROR(__xludf.DUMMYFUNCTION("""COMPUTED_VALUE"""),"buat penawaran ")</f>
        <v>buat penawaran </v>
      </c>
      <c r="P22" s="291" t="str">
        <f>IFERROR(__xludf.DUMMYFUNCTION("""COMPUTED_VALUE"""),"https://docs.google.com/document/d/129CR5LlITMzRfQ0-ceekbC4hAVVMG8Zi_RXypmdhIuI/edit?tab=t.0")</f>
        <v>https://docs.google.com/document/d/129CR5LlITMzRfQ0-ceekbC4hAVVMG8Zi_RXypmdhIuI/edit?tab=t.0</v>
      </c>
      <c r="R22" s="285" t="str">
        <f>IFERROR(__xludf.DUMMYFUNCTION("""COMPUTED_VALUE"""),"2602D062")</f>
        <v>2602D062</v>
      </c>
      <c r="S22" s="286">
        <f>IFERROR(__xludf.DUMMYFUNCTION("""COMPUTED_VALUE"""),46069.0)</f>
        <v>46069</v>
      </c>
      <c r="T22" s="285" t="str">
        <f>IFERROR(__xludf.DUMMYFUNCTION("""COMPUTED_VALUE"""),"Dytha Wilujeng Maharani")</f>
        <v>Dytha Wilujeng Maharani</v>
      </c>
      <c r="U22" s="285" t="str">
        <f>IFERROR(__xludf.DUMMYFUNCTION("""COMPUTED_VALUE"""),"085162696879")</f>
        <v>085162696879</v>
      </c>
      <c r="V22" s="285" t="str">
        <f>IFERROR(__xludf.DUMMYFUNCTION("""COMPUTED_VALUE"""),"Closing")</f>
        <v>Closing</v>
      </c>
      <c r="W22" s="285" t="str">
        <f>IFERROR(__xludf.DUMMYFUNCTION("""COMPUTED_VALUE"""),"1D snorkling")</f>
        <v>1D snorkling</v>
      </c>
      <c r="X22" s="287">
        <f>IFERROR(__xludf.DUMMYFUNCTION("""COMPUTED_VALUE"""),46107.0)</f>
        <v>46107</v>
      </c>
      <c r="Y22" s="285">
        <f>IFERROR(__xludf.DUMMYFUNCTION("""COMPUTED_VALUE"""),3.0)</f>
        <v>3</v>
      </c>
      <c r="Z22" s="289">
        <f>IFERROR(__xludf.DUMMYFUNCTION("""COMPUTED_VALUE"""),2600000.0)</f>
        <v>2600000</v>
      </c>
      <c r="AA22" s="285"/>
      <c r="AC22" s="285" t="str">
        <f>IFERROR(__xludf.DUMMYFUNCTION("""COMPUTED_VALUE"""),"2601D023")</f>
        <v>2601D023</v>
      </c>
      <c r="AD22" s="286">
        <f>IFERROR(__xludf.DUMMYFUNCTION("""COMPUTED_VALUE"""),46025.0)</f>
        <v>46025</v>
      </c>
      <c r="AE22" s="285" t="str">
        <f>IFERROR(__xludf.DUMMYFUNCTION("""COMPUTED_VALUE"""),"Nothing")</f>
        <v>Nothing</v>
      </c>
      <c r="AF22" s="285" t="str">
        <f>IFERROR(__xludf.DUMMYFUNCTION("""COMPUTED_VALUE"""),"085820515179")</f>
        <v>085820515179</v>
      </c>
      <c r="AG22" s="285" t="str">
        <f>IFERROR(__xludf.DUMMYFUNCTION("""COMPUTED_VALUE"""),"Gagal")</f>
        <v>Gagal</v>
      </c>
      <c r="AH22" s="285" t="str">
        <f>IFERROR(__xludf.DUMMYFUNCTION("""COMPUTED_VALUE"""),"Trip Kawah Ijen")</f>
        <v>Trip Kawah Ijen</v>
      </c>
      <c r="AI22" s="287"/>
      <c r="AJ22" s="285"/>
      <c r="AK22" s="289"/>
      <c r="AL22" s="285" t="str">
        <f>IFERROR(__xludf.DUMMYFUNCTION("""COMPUTED_VALUE"""),"mepo sby atau gresik")</f>
        <v>mepo sby atau gresik</v>
      </c>
    </row>
    <row r="23">
      <c r="B23" s="201"/>
      <c r="C23" s="202"/>
      <c r="F23" s="285" t="str">
        <f>IFERROR(__xludf.DUMMYFUNCTION("""COMPUTED_VALUE"""),"2604D055")</f>
        <v>2604D055</v>
      </c>
      <c r="G23" s="286">
        <f>IFERROR(__xludf.DUMMYFUNCTION("""COMPUTED_VALUE"""),46123.0)</f>
        <v>46123</v>
      </c>
      <c r="H23" s="285" t="str">
        <f>IFERROR(__xludf.DUMMYFUNCTION("""COMPUTED_VALUE"""),"Hesti")</f>
        <v>Hesti</v>
      </c>
      <c r="I23" s="285" t="str">
        <f>IFERROR(__xludf.DUMMYFUNCTION("""COMPUTED_VALUE"""),"08113890797")</f>
        <v>08113890797</v>
      </c>
      <c r="J23" s="285" t="str">
        <f>IFERROR(__xludf.DUMMYFUNCTION("""COMPUTED_VALUE"""),"Leads Baru")</f>
        <v>Leads Baru</v>
      </c>
      <c r="K23" s="285" t="str">
        <f>IFERROR(__xludf.DUMMYFUNCTION("""COMPUTED_VALUE"""),"ot djawatan baluran")</f>
        <v>ot djawatan baluran</v>
      </c>
      <c r="L23" s="287"/>
      <c r="M23" s="288">
        <f>IFERROR(__xludf.DUMMYFUNCTION("""COMPUTED_VALUE"""),2.0)</f>
        <v>2</v>
      </c>
      <c r="N23" s="289"/>
      <c r="O23" s="290" t="str">
        <f>IFERROR(__xludf.DUMMYFUNCTION("""COMPUTED_VALUE"""),"belum balas lagi")</f>
        <v>belum balas lagi</v>
      </c>
      <c r="P23" s="291" t="str">
        <f>IFERROR(__xludf.DUMMYFUNCTION("""COMPUTED_VALUE"""),"https://docs.google.com/document/d/1kK0Ed5Xb0k1KL0UZfA2SORvd0Ne_tKcCKIG3HES5zy4/edit?tab=t.0")</f>
        <v>https://docs.google.com/document/d/1kK0Ed5Xb0k1KL0UZfA2SORvd0Ne_tKcCKIG3HES5zy4/edit?tab=t.0</v>
      </c>
      <c r="R23" s="285" t="str">
        <f>IFERROR(__xludf.DUMMYFUNCTION("""COMPUTED_VALUE"""),"2602D078")</f>
        <v>2602D078</v>
      </c>
      <c r="S23" s="286">
        <f>IFERROR(__xludf.DUMMYFUNCTION("""COMPUTED_VALUE"""),46070.0)</f>
        <v>46070</v>
      </c>
      <c r="T23" s="285" t="str">
        <f>IFERROR(__xludf.DUMMYFUNCTION("""COMPUTED_VALUE"""),"Martha Saphira")</f>
        <v>Martha Saphira</v>
      </c>
      <c r="U23" s="285" t="str">
        <f>IFERROR(__xludf.DUMMYFUNCTION("""COMPUTED_VALUE"""),"081807971414")</f>
        <v>081807971414</v>
      </c>
      <c r="V23" s="285" t="str">
        <f>IFERROR(__xludf.DUMMYFUNCTION("""COMPUTED_VALUE"""),"Closing")</f>
        <v>Closing</v>
      </c>
      <c r="W23" s="285" t="str">
        <f>IFERROR(__xludf.DUMMYFUNCTION("""COMPUTED_VALUE"""),"3H2M ")</f>
        <v>3H2M </v>
      </c>
      <c r="X23" s="287"/>
      <c r="Y23" s="285">
        <f>IFERROR(__xludf.DUMMYFUNCTION("""COMPUTED_VALUE"""),8.0)</f>
        <v>8</v>
      </c>
      <c r="Z23" s="289">
        <f>IFERROR(__xludf.DUMMYFUNCTION("""COMPUTED_VALUE"""),1.54E7)</f>
        <v>15400000</v>
      </c>
      <c r="AA23" s="285" t="str">
        <f>IFERROR(__xludf.DUMMYFUNCTION("""COMPUTED_VALUE"""),"orderrrr")</f>
        <v>orderrrr</v>
      </c>
      <c r="AC23" s="285" t="str">
        <f>IFERROR(__xludf.DUMMYFUNCTION("""COMPUTED_VALUE"""),"2601D024")</f>
        <v>2601D024</v>
      </c>
      <c r="AD23" s="286">
        <f>IFERROR(__xludf.DUMMYFUNCTION("""COMPUTED_VALUE"""),46025.0)</f>
        <v>46025</v>
      </c>
      <c r="AE23" s="285" t="str">
        <f>IFERROR(__xludf.DUMMYFUNCTION("""COMPUTED_VALUE"""),"Dhevy Hariady")</f>
        <v>Dhevy Hariady</v>
      </c>
      <c r="AF23" s="285" t="str">
        <f>IFERROR(__xludf.DUMMYFUNCTION("""COMPUTED_VALUE"""),"082282391601")</f>
        <v>082282391601</v>
      </c>
      <c r="AG23" s="285" t="str">
        <f>IFERROR(__xludf.DUMMYFUNCTION("""COMPUTED_VALUE"""),"Gagal")</f>
        <v>Gagal</v>
      </c>
      <c r="AH23" s="285" t="str">
        <f>IFERROR(__xludf.DUMMYFUNCTION("""COMPUTED_VALUE"""),"trip djawatan baluran")</f>
        <v>trip djawatan baluran</v>
      </c>
      <c r="AI23" s="287"/>
      <c r="AJ23" s="285">
        <f>IFERROR(__xludf.DUMMYFUNCTION("""COMPUTED_VALUE"""),4.0)</f>
        <v>4</v>
      </c>
      <c r="AK23" s="289">
        <f>IFERROR(__xludf.DUMMYFUNCTION("""COMPUTED_VALUE"""),1996000.0)</f>
        <v>1996000</v>
      </c>
      <c r="AL23" s="285" t="str">
        <f>IFERROR(__xludf.DUMMYFUNCTION("""COMPUTED_VALUE"""),"tidak jadi liburan ke BWI")</f>
        <v>tidak jadi liburan ke BWI</v>
      </c>
    </row>
    <row r="24">
      <c r="F24" s="285" t="str">
        <f>IFERROR(__xludf.DUMMYFUNCTION("""COMPUTED_VALUE"""),"2604D065")</f>
        <v>2604D065</v>
      </c>
      <c r="G24" s="286">
        <f>IFERROR(__xludf.DUMMYFUNCTION("""COMPUTED_VALUE"""),46125.0)</f>
        <v>46125</v>
      </c>
      <c r="H24" s="285" t="str">
        <f>IFERROR(__xludf.DUMMYFUNCTION("""COMPUTED_VALUE"""),"Ruben")</f>
        <v>Ruben</v>
      </c>
      <c r="I24" s="285" t="str">
        <f>IFERROR(__xludf.DUMMYFUNCTION("""COMPUTED_VALUE"""),"34647685658")</f>
        <v>34647685658</v>
      </c>
      <c r="J24" s="285" t="str">
        <f>IFERROR(__xludf.DUMMYFUNCTION("""COMPUTED_VALUE"""),"Leads Baru")</f>
        <v>Leads Baru</v>
      </c>
      <c r="K24" s="285"/>
      <c r="L24" s="287"/>
      <c r="M24" s="288">
        <f>IFERROR(__xludf.DUMMYFUNCTION("""COMPUTED_VALUE"""),2.0)</f>
        <v>2</v>
      </c>
      <c r="N24" s="289"/>
      <c r="O24" s="290" t="str">
        <f>IFERROR(__xludf.DUMMYFUNCTION("""COMPUTED_VALUE"""),"FU 10 Juni")</f>
        <v>FU 10 Juni</v>
      </c>
      <c r="P24" s="291" t="str">
        <f>IFERROR(__xludf.DUMMYFUNCTION("""COMPUTED_VALUE"""),"https://docs.google.com/document/d/1JSI182IsN0SjFEkKpXgdw47JPfdq9s9aMiw--Cmob1g/edit?tab=t.0")</f>
        <v>https://docs.google.com/document/d/1JSI182IsN0SjFEkKpXgdw47JPfdq9s9aMiw--Cmob1g/edit?tab=t.0</v>
      </c>
      <c r="R24" s="285" t="str">
        <f>IFERROR(__xludf.DUMMYFUNCTION("""COMPUTED_VALUE"""),"2602D096")</f>
        <v>2602D096</v>
      </c>
      <c r="S24" s="286">
        <f>IFERROR(__xludf.DUMMYFUNCTION("""COMPUTED_VALUE"""),46074.0)</f>
        <v>46074</v>
      </c>
      <c r="T24" s="285" t="str">
        <f>IFERROR(__xludf.DUMMYFUNCTION("""COMPUTED_VALUE"""),"Syafira")</f>
        <v>Syafira</v>
      </c>
      <c r="U24" s="285" t="str">
        <f>IFERROR(__xludf.DUMMYFUNCTION("""COMPUTED_VALUE"""),"089519991115")</f>
        <v>089519991115</v>
      </c>
      <c r="V24" s="285" t="str">
        <f>IFERROR(__xludf.DUMMYFUNCTION("""COMPUTED_VALUE"""),"Closing")</f>
        <v>Closing</v>
      </c>
      <c r="W24" s="285" t="str">
        <f>IFERROR(__xludf.DUMMYFUNCTION("""COMPUTED_VALUE"""),"open trip 3h2m")</f>
        <v>open trip 3h2m</v>
      </c>
      <c r="X24" s="287"/>
      <c r="Y24" s="285">
        <f>IFERROR(__xludf.DUMMYFUNCTION("""COMPUTED_VALUE"""),2.0)</f>
        <v>2</v>
      </c>
      <c r="Z24" s="289">
        <f>IFERROR(__xludf.DUMMYFUNCTION("""COMPUTED_VALUE"""),3200000.0)</f>
        <v>3200000</v>
      </c>
      <c r="AA24" s="285" t="str">
        <f>IFERROR(__xludf.DUMMYFUNCTION("""COMPUTED_VALUE"""),"cek kamar lagi")</f>
        <v>cek kamar lagi</v>
      </c>
      <c r="AC24" s="285" t="str">
        <f>IFERROR(__xludf.DUMMYFUNCTION("""COMPUTED_VALUE"""),"2601D025")</f>
        <v>2601D025</v>
      </c>
      <c r="AD24" s="286">
        <f>IFERROR(__xludf.DUMMYFUNCTION("""COMPUTED_VALUE"""),46025.0)</f>
        <v>46025</v>
      </c>
      <c r="AE24" s="285" t="str">
        <f>IFERROR(__xludf.DUMMYFUNCTION("""COMPUTED_VALUE"""),"Ratu (Bunda FazZZam)")</f>
        <v>Ratu (Bunda FazZZam)</v>
      </c>
      <c r="AF24" s="285" t="str">
        <f>IFERROR(__xludf.DUMMYFUNCTION("""COMPUTED_VALUE"""),"081806567775")</f>
        <v>081806567775</v>
      </c>
      <c r="AG24" s="285" t="str">
        <f>IFERROR(__xludf.DUMMYFUNCTION("""COMPUTED_VALUE"""),"Gagal")</f>
        <v>Gagal</v>
      </c>
      <c r="AH24" s="285" t="str">
        <f>IFERROR(__xludf.DUMMYFUNCTION("""COMPUTED_VALUE"""),"OT 3H2M")</f>
        <v>OT 3H2M</v>
      </c>
      <c r="AI24" s="287"/>
      <c r="AJ24" s="285"/>
      <c r="AK24" s="289"/>
      <c r="AL24" s="285" t="str">
        <f>IFERROR(__xludf.DUMMYFUNCTION("""COMPUTED_VALUE"""),"masih ngomong ke atasan")</f>
        <v>masih ngomong ke atasan</v>
      </c>
    </row>
    <row r="25">
      <c r="B25" s="317" t="s">
        <v>10228</v>
      </c>
      <c r="C25" s="195"/>
      <c r="F25" s="285" t="str">
        <f>IFERROR(__xludf.DUMMYFUNCTION("""COMPUTED_VALUE"""),"2604D066")</f>
        <v>2604D066</v>
      </c>
      <c r="G25" s="286">
        <f>IFERROR(__xludf.DUMMYFUNCTION("""COMPUTED_VALUE"""),46125.0)</f>
        <v>46125</v>
      </c>
      <c r="H25" s="285" t="str">
        <f>IFERROR(__xludf.DUMMYFUNCTION("""COMPUTED_VALUE"""),"Widia")</f>
        <v>Widia</v>
      </c>
      <c r="I25" s="285" t="str">
        <f>IFERROR(__xludf.DUMMYFUNCTION("""COMPUTED_VALUE"""),"0895638969722")</f>
        <v>0895638969722</v>
      </c>
      <c r="J25" s="285" t="str">
        <f>IFERROR(__xludf.DUMMYFUNCTION("""COMPUTED_VALUE"""),"Leads Baru")</f>
        <v>Leads Baru</v>
      </c>
      <c r="K25" s="285" t="str">
        <f>IFERROR(__xludf.DUMMYFUNCTION("""COMPUTED_VALUE"""),"OT1 day D, AP")</f>
        <v>OT1 day D, AP</v>
      </c>
      <c r="L25" s="287">
        <f>IFERROR(__xludf.DUMMYFUNCTION("""COMPUTED_VALUE"""),46188.0)</f>
        <v>46188</v>
      </c>
      <c r="M25" s="288">
        <f>IFERROR(__xludf.DUMMYFUNCTION("""COMPUTED_VALUE"""),2.0)</f>
        <v>2</v>
      </c>
      <c r="N25" s="289"/>
      <c r="O25" s="290" t="str">
        <f>IFERROR(__xludf.DUMMYFUNCTION("""COMPUTED_VALUE"""),"belum balas lagi, FU 3 Juni")</f>
        <v>belum balas lagi, FU 3 Juni</v>
      </c>
      <c r="P25" s="291" t="str">
        <f>IFERROR(__xludf.DUMMYFUNCTION("""COMPUTED_VALUE"""),"https://docs.google.com/document/d/17wJKrF-qMTsQxVnpPPLODqvJrzsIbF7SqjjwgrUQd90/edit?tab=t.0")</f>
        <v>https://docs.google.com/document/d/17wJKrF-qMTsQxVnpPPLODqvJrzsIbF7SqjjwgrUQd90/edit?tab=t.0</v>
      </c>
      <c r="R25" s="285" t="str">
        <f>IFERROR(__xludf.DUMMYFUNCTION("""COMPUTED_VALUE"""),"2602D097")</f>
        <v>2602D097</v>
      </c>
      <c r="S25" s="286">
        <f>IFERROR(__xludf.DUMMYFUNCTION("""COMPUTED_VALUE"""),46075.0)</f>
        <v>46075</v>
      </c>
      <c r="T25" s="285" t="str">
        <f>IFERROR(__xludf.DUMMYFUNCTION("""COMPUTED_VALUE"""),"Cornelius Dino")</f>
        <v>Cornelius Dino</v>
      </c>
      <c r="U25" s="285" t="str">
        <f>IFERROR(__xludf.DUMMYFUNCTION("""COMPUTED_VALUE"""),"0812211100")</f>
        <v>0812211100</v>
      </c>
      <c r="V25" s="285" t="str">
        <f>IFERROR(__xludf.DUMMYFUNCTION("""COMPUTED_VALUE"""),"Closing")</f>
        <v>Closing</v>
      </c>
      <c r="W25" s="285" t="str">
        <f>IFERROR(__xludf.DUMMYFUNCTION("""COMPUTED_VALUE"""),"2H1M")</f>
        <v>2H1M</v>
      </c>
      <c r="X25" s="287"/>
      <c r="Y25" s="285">
        <f>IFERROR(__xludf.DUMMYFUNCTION("""COMPUTED_VALUE"""),6.0)</f>
        <v>6</v>
      </c>
      <c r="Z25" s="289">
        <f>IFERROR(__xludf.DUMMYFUNCTION("""COMPUTED_VALUE"""),8496000.0)</f>
        <v>8496000</v>
      </c>
      <c r="AA25" s="285" t="str">
        <f>IFERROR(__xludf.DUMMYFUNCTION("""COMPUTED_VALUE"""),"tanya tanya foto destinasi, FU Tanggal Bulan April tanggal 20")</f>
        <v>tanya tanya foto destinasi, FU Tanggal Bulan April tanggal 20</v>
      </c>
      <c r="AC25" s="285" t="str">
        <f>IFERROR(__xludf.DUMMYFUNCTION("""COMPUTED_VALUE"""),"2601D028")</f>
        <v>2601D028</v>
      </c>
      <c r="AD25" s="286">
        <f>IFERROR(__xludf.DUMMYFUNCTION("""COMPUTED_VALUE"""),46025.0)</f>
        <v>46025</v>
      </c>
      <c r="AE25" s="285" t="str">
        <f>IFERROR(__xludf.DUMMYFUNCTION("""COMPUTED_VALUE"""),"Rehan")</f>
        <v>Rehan</v>
      </c>
      <c r="AF25" s="285" t="str">
        <f>IFERROR(__xludf.DUMMYFUNCTION("""COMPUTED_VALUE"""),"08963381584")</f>
        <v>08963381584</v>
      </c>
      <c r="AG25" s="285" t="str">
        <f>IFERROR(__xludf.DUMMYFUNCTION("""COMPUTED_VALUE"""),"Gagal")</f>
        <v>Gagal</v>
      </c>
      <c r="AH25" s="285" t="str">
        <f>IFERROR(__xludf.DUMMYFUNCTION("""COMPUTED_VALUE"""),"2H1M")</f>
        <v>2H1M</v>
      </c>
      <c r="AI25" s="287"/>
      <c r="AJ25" s="285">
        <f>IFERROR(__xludf.DUMMYFUNCTION("""COMPUTED_VALUE"""),5.0)</f>
        <v>5</v>
      </c>
      <c r="AK25" s="289">
        <f>IFERROR(__xludf.DUMMYFUNCTION("""COMPUTED_VALUE"""),9225000.0)</f>
        <v>9225000</v>
      </c>
      <c r="AL25" s="285" t="str">
        <f>IFERROR(__xludf.DUMMYFUNCTION("""COMPUTED_VALUE"""),"tidak ada jawaban")</f>
        <v>tidak ada jawaban</v>
      </c>
    </row>
    <row r="26">
      <c r="B26" s="318">
        <f>sum(AK3:AK2000)</f>
        <v>1486879812</v>
      </c>
      <c r="C26" s="197"/>
      <c r="F26" s="285" t="str">
        <f>IFERROR(__xludf.DUMMYFUNCTION("""COMPUTED_VALUE"""),"2604D067")</f>
        <v>2604D067</v>
      </c>
      <c r="G26" s="286">
        <f>IFERROR(__xludf.DUMMYFUNCTION("""COMPUTED_VALUE"""),46125.0)</f>
        <v>46125</v>
      </c>
      <c r="H26" s="285" t="str">
        <f>IFERROR(__xludf.DUMMYFUNCTION("""COMPUTED_VALUE"""),"Wanti")</f>
        <v>Wanti</v>
      </c>
      <c r="I26" s="285" t="str">
        <f>IFERROR(__xludf.DUMMYFUNCTION("""COMPUTED_VALUE"""),"081524136041")</f>
        <v>081524136041</v>
      </c>
      <c r="J26" s="285" t="str">
        <f>IFERROR(__xludf.DUMMYFUNCTION("""COMPUTED_VALUE"""),"Leads Baru")</f>
        <v>Leads Baru</v>
      </c>
      <c r="K26" s="285" t="str">
        <f>IFERROR(__xludf.DUMMYFUNCTION("""COMPUTED_VALUE"""),"3H2M")</f>
        <v>3H2M</v>
      </c>
      <c r="L26" s="287"/>
      <c r="M26" s="288">
        <f>IFERROR(__xludf.DUMMYFUNCTION("""COMPUTED_VALUE"""),2.0)</f>
        <v>2</v>
      </c>
      <c r="N26" s="289"/>
      <c r="O26" s="290" t="str">
        <f>IFERROR(__xludf.DUMMYFUNCTION("""COMPUTED_VALUE"""),"FU 2 Juni")</f>
        <v>FU 2 Juni</v>
      </c>
      <c r="P26" s="291" t="str">
        <f>IFERROR(__xludf.DUMMYFUNCTION("""COMPUTED_VALUE"""),"https://docs.google.com/document/d/1IkCwwX8gwQKwgozKKGhEbDbVIrqIZ2qZt5Njy0mLe2A/edit?tab=t.0")</f>
        <v>https://docs.google.com/document/d/1IkCwwX8gwQKwgozKKGhEbDbVIrqIZ2qZt5Njy0mLe2A/edit?tab=t.0</v>
      </c>
      <c r="R26" s="285" t="str">
        <f>IFERROR(__xludf.DUMMYFUNCTION("""COMPUTED_VALUE"""),"2602D098")</f>
        <v>2602D098</v>
      </c>
      <c r="S26" s="286">
        <f>IFERROR(__xludf.DUMMYFUNCTION("""COMPUTED_VALUE"""),46075.0)</f>
        <v>46075</v>
      </c>
      <c r="T26" s="285" t="str">
        <f>IFERROR(__xludf.DUMMYFUNCTION("""COMPUTED_VALUE"""),"Siti hamidah")</f>
        <v>Siti hamidah</v>
      </c>
      <c r="U26" s="285" t="str">
        <f>IFERROR(__xludf.DUMMYFUNCTION("""COMPUTED_VALUE"""),"085729855841")</f>
        <v>085729855841</v>
      </c>
      <c r="V26" s="285" t="str">
        <f>IFERROR(__xludf.DUMMYFUNCTION("""COMPUTED_VALUE"""),"Closing")</f>
        <v>Closing</v>
      </c>
      <c r="W26" s="285" t="str">
        <f>IFERROR(__xludf.DUMMYFUNCTION("""COMPUTED_VALUE"""),"2H1M C")</f>
        <v>2H1M C</v>
      </c>
      <c r="X26" s="287">
        <f>IFERROR(__xludf.DUMMYFUNCTION("""COMPUTED_VALUE"""),46105.0)</f>
        <v>46105</v>
      </c>
      <c r="Y26" s="285">
        <f>IFERROR(__xludf.DUMMYFUNCTION("""COMPUTED_VALUE"""),6.0)</f>
        <v>6</v>
      </c>
      <c r="Z26" s="289">
        <f>IFERROR(__xludf.DUMMYFUNCTION("""COMPUTED_VALUE"""),8916600.0)</f>
        <v>8916600</v>
      </c>
      <c r="AA26" s="285" t="str">
        <f>IFERROR(__xludf.DUMMYFUNCTION("""COMPUTED_VALUE"""),"minta itinirery")</f>
        <v>minta itinirery</v>
      </c>
      <c r="AC26" s="285" t="str">
        <f>IFERROR(__xludf.DUMMYFUNCTION("""COMPUTED_VALUE"""),"2601D029")</f>
        <v>2601D029</v>
      </c>
      <c r="AD26" s="286">
        <f>IFERROR(__xludf.DUMMYFUNCTION("""COMPUTED_VALUE"""),46025.0)</f>
        <v>46025</v>
      </c>
      <c r="AE26" s="285" t="str">
        <f>IFERROR(__xludf.DUMMYFUNCTION("""COMPUTED_VALUE"""),"Nella Holiday")</f>
        <v>Nella Holiday</v>
      </c>
      <c r="AF26" s="285" t="str">
        <f>IFERROR(__xludf.DUMMYFUNCTION("""COMPUTED_VALUE"""),"089672570321")</f>
        <v>089672570321</v>
      </c>
      <c r="AG26" s="285" t="str">
        <f>IFERROR(__xludf.DUMMYFUNCTION("""COMPUTED_VALUE"""),"Gagal")</f>
        <v>Gagal</v>
      </c>
      <c r="AH26" s="285" t="str">
        <f>IFERROR(__xludf.DUMMYFUNCTION("""COMPUTED_VALUE"""),"trip ijen")</f>
        <v>trip ijen</v>
      </c>
      <c r="AI26" s="287">
        <f>IFERROR(__xludf.DUMMYFUNCTION("""COMPUTED_VALUE"""),46039.0)</f>
        <v>46039</v>
      </c>
      <c r="AJ26" s="285">
        <f>IFERROR(__xludf.DUMMYFUNCTION("""COMPUTED_VALUE"""),14.0)</f>
        <v>14</v>
      </c>
      <c r="AK26" s="289"/>
      <c r="AL26" s="285" t="str">
        <f>IFERROR(__xludf.DUMMYFUNCTION("""COMPUTED_VALUE"""),"SDH FOLLOW UP")</f>
        <v>SDH FOLLOW UP</v>
      </c>
    </row>
    <row r="27">
      <c r="B27" s="201"/>
      <c r="C27" s="202"/>
      <c r="F27" s="285" t="str">
        <f>IFERROR(__xludf.DUMMYFUNCTION("""COMPUTED_VALUE"""),"2604D070")</f>
        <v>2604D070</v>
      </c>
      <c r="G27" s="286">
        <f>IFERROR(__xludf.DUMMYFUNCTION("""COMPUTED_VALUE"""),46125.0)</f>
        <v>46125</v>
      </c>
      <c r="H27" s="285" t="str">
        <f>IFERROR(__xludf.DUMMYFUNCTION("""COMPUTED_VALUE"""),"Arsha")</f>
        <v>Arsha</v>
      </c>
      <c r="I27" s="285" t="str">
        <f>IFERROR(__xludf.DUMMYFUNCTION("""COMPUTED_VALUE"""),"082242790799")</f>
        <v>082242790799</v>
      </c>
      <c r="J27" s="285" t="str">
        <f>IFERROR(__xludf.DUMMYFUNCTION("""COMPUTED_VALUE"""),"Leads Baru")</f>
        <v>Leads Baru</v>
      </c>
      <c r="K27" s="285" t="str">
        <f>IFERROR(__xludf.DUMMYFUNCTION("""COMPUTED_VALUE"""),"3h2m custome")</f>
        <v>3h2m custome</v>
      </c>
      <c r="L27" s="287"/>
      <c r="M27" s="288">
        <f>IFERROR(__xludf.DUMMYFUNCTION("""COMPUTED_VALUE"""),55.0)</f>
        <v>55</v>
      </c>
      <c r="N27" s="289">
        <f>IFERROR(__xludf.DUMMYFUNCTION("""COMPUTED_VALUE"""),7.8375E7)</f>
        <v>78375000</v>
      </c>
      <c r="O27" s="290" t="str">
        <f>IFERROR(__xludf.DUMMYFUNCTION("""COMPUTED_VALUE"""),"kasih penawaran, FU lagi 15 september")</f>
        <v>kasih penawaran, FU lagi 15 september</v>
      </c>
      <c r="P27" s="291" t="str">
        <f>IFERROR(__xludf.DUMMYFUNCTION("""COMPUTED_VALUE"""),"https://docs.google.com/document/d/1_T-CuLyo7nWjfkrZgrfHthCQnf3_5agttdRGdfiO-3M/edit?tab=t.0")</f>
        <v>https://docs.google.com/document/d/1_T-CuLyo7nWjfkrZgrfHthCQnf3_5agttdRGdfiO-3M/edit?tab=t.0</v>
      </c>
      <c r="R27" s="285" t="str">
        <f>IFERROR(__xludf.DUMMYFUNCTION("""COMPUTED_VALUE"""),"2602D100")</f>
        <v>2602D100</v>
      </c>
      <c r="S27" s="286">
        <f>IFERROR(__xludf.DUMMYFUNCTION("""COMPUTED_VALUE"""),46076.0)</f>
        <v>46076</v>
      </c>
      <c r="T27" s="285" t="str">
        <f>IFERROR(__xludf.DUMMYFUNCTION("""COMPUTED_VALUE"""),"Ary Setyo")</f>
        <v>Ary Setyo</v>
      </c>
      <c r="U27" s="285" t="str">
        <f>IFERROR(__xludf.DUMMYFUNCTION("""COMPUTED_VALUE"""),"085712571791")</f>
        <v>085712571791</v>
      </c>
      <c r="V27" s="285" t="str">
        <f>IFERROR(__xludf.DUMMYFUNCTION("""COMPUTED_VALUE"""),"Closing")</f>
        <v>Closing</v>
      </c>
      <c r="W27" s="285" t="str">
        <f>IFERROR(__xludf.DUMMYFUNCTION("""COMPUTED_VALUE"""),"3H2M")</f>
        <v>3H2M</v>
      </c>
      <c r="X27" s="287">
        <f>IFERROR(__xludf.DUMMYFUNCTION("""COMPUTED_VALUE"""),46129.0)</f>
        <v>46129</v>
      </c>
      <c r="Y27" s="285">
        <f>IFERROR(__xludf.DUMMYFUNCTION("""COMPUTED_VALUE"""),10.0)</f>
        <v>10</v>
      </c>
      <c r="Z27" s="289">
        <f>IFERROR(__xludf.DUMMYFUNCTION("""COMPUTED_VALUE"""),9300000.0)</f>
        <v>9300000</v>
      </c>
      <c r="AA27" s="285" t="str">
        <f>IFERROR(__xludf.DUMMYFUNCTION("""COMPUTED_VALUE"""),"ALHAMDULILLAH ORDER")</f>
        <v>ALHAMDULILLAH ORDER</v>
      </c>
      <c r="AC27" s="285" t="str">
        <f>IFERROR(__xludf.DUMMYFUNCTION("""COMPUTED_VALUE"""),"2601D030")</f>
        <v>2601D030</v>
      </c>
      <c r="AD27" s="286">
        <f>IFERROR(__xludf.DUMMYFUNCTION("""COMPUTED_VALUE"""),46026.0)</f>
        <v>46026</v>
      </c>
      <c r="AE27" s="285" t="str">
        <f>IFERROR(__xludf.DUMMYFUNCTION("""COMPUTED_VALUE"""),"Cika")</f>
        <v>Cika</v>
      </c>
      <c r="AF27" s="285" t="str">
        <f>IFERROR(__xludf.DUMMYFUNCTION("""COMPUTED_VALUE"""),"085782656823")</f>
        <v>085782656823</v>
      </c>
      <c r="AG27" s="285" t="str">
        <f>IFERROR(__xludf.DUMMYFUNCTION("""COMPUTED_VALUE"""),"Gagal")</f>
        <v>Gagal</v>
      </c>
      <c r="AH27" s="285" t="str">
        <f>IFERROR(__xludf.DUMMYFUNCTION("""COMPUTED_VALUE"""),"Trip 3H2M")</f>
        <v>Trip 3H2M</v>
      </c>
      <c r="AI27" s="287"/>
      <c r="AJ27" s="285"/>
      <c r="AK27" s="289"/>
      <c r="AL27" s="285" t="str">
        <f>IFERROR(__xludf.DUMMYFUNCTION("""COMPUTED_VALUE"""),"tidak ada jawaban")</f>
        <v>tidak ada jawaban</v>
      </c>
    </row>
    <row r="28">
      <c r="F28" s="285" t="str">
        <f>IFERROR(__xludf.DUMMYFUNCTION("""COMPUTED_VALUE"""),"2604D091")</f>
        <v>2604D091</v>
      </c>
      <c r="G28" s="286">
        <f>IFERROR(__xludf.DUMMYFUNCTION("""COMPUTED_VALUE"""),46128.0)</f>
        <v>46128</v>
      </c>
      <c r="H28" s="285" t="str">
        <f>IFERROR(__xludf.DUMMYFUNCTION("""COMPUTED_VALUE"""),"Iqbal")</f>
        <v>Iqbal</v>
      </c>
      <c r="I28" s="285" t="str">
        <f>IFERROR(__xludf.DUMMYFUNCTION("""COMPUTED_VALUE"""),"082210722324")</f>
        <v>082210722324</v>
      </c>
      <c r="J28" s="285" t="str">
        <f>IFERROR(__xludf.DUMMYFUNCTION("""COMPUTED_VALUE"""),"Leads Baru")</f>
        <v>Leads Baru</v>
      </c>
      <c r="K28" s="285" t="str">
        <f>IFERROR(__xludf.DUMMYFUNCTION("""COMPUTED_VALUE"""),"3h2m custome")</f>
        <v>3h2m custome</v>
      </c>
      <c r="L28" s="287"/>
      <c r="M28" s="288">
        <f>IFERROR(__xludf.DUMMYFUNCTION("""COMPUTED_VALUE"""),150.0)</f>
        <v>150</v>
      </c>
      <c r="N28" s="289"/>
      <c r="O28" s="290" t="str">
        <f>IFERROR(__xludf.DUMMYFUNCTION("""COMPUTED_VALUE"""),"FU 5 Agustus")</f>
        <v>FU 5 Agustus</v>
      </c>
      <c r="P28" s="291" t="str">
        <f>IFERROR(__xludf.DUMMYFUNCTION("""COMPUTED_VALUE"""),"https://docs.google.com/document/d/1JRZn0K39ppYXfl4VxkmDOzu1LmcwBe1zyBzTdcKm8WA/edit?tab=t.0")</f>
        <v>https://docs.google.com/document/d/1JRZn0K39ppYXfl4VxkmDOzu1LmcwBe1zyBzTdcKm8WA/edit?tab=t.0</v>
      </c>
      <c r="R28" s="285" t="str">
        <f>IFERROR(__xludf.DUMMYFUNCTION("""COMPUTED_VALUE"""),"2602D112")</f>
        <v>2602D112</v>
      </c>
      <c r="S28" s="286">
        <f>IFERROR(__xludf.DUMMYFUNCTION("""COMPUTED_VALUE"""),46077.0)</f>
        <v>46077</v>
      </c>
      <c r="T28" s="285" t="str">
        <f>IFERROR(__xludf.DUMMYFUNCTION("""COMPUTED_VALUE"""),"Deandra Imarizani F")</f>
        <v>Deandra Imarizani F</v>
      </c>
      <c r="U28" s="285" t="str">
        <f>IFERROR(__xludf.DUMMYFUNCTION("""COMPUTED_VALUE"""),"082127158736")</f>
        <v>082127158736</v>
      </c>
      <c r="V28" s="285" t="str">
        <f>IFERROR(__xludf.DUMMYFUNCTION("""COMPUTED_VALUE"""),"Closing")</f>
        <v>Closing</v>
      </c>
      <c r="W28" s="285" t="str">
        <f>IFERROR(__xludf.DUMMYFUNCTION("""COMPUTED_VALUE"""),"3H2M opsi B")</f>
        <v>3H2M opsi B</v>
      </c>
      <c r="X28" s="287"/>
      <c r="Y28" s="285">
        <f>IFERROR(__xludf.DUMMYFUNCTION("""COMPUTED_VALUE"""),2.0)</f>
        <v>2</v>
      </c>
      <c r="Z28" s="289">
        <f>IFERROR(__xludf.DUMMYFUNCTION("""COMPUTED_VALUE"""),6128000.0)</f>
        <v>6128000</v>
      </c>
      <c r="AA28" s="285" t="str">
        <f>IFERROR(__xludf.DUMMYFUNCTION("""COMPUTED_VALUE"""),"alhamdulillah orderrrr")</f>
        <v>alhamdulillah orderrrr</v>
      </c>
      <c r="AC28" s="285" t="str">
        <f>IFERROR(__xludf.DUMMYFUNCTION("""COMPUTED_VALUE"""),"2601D031")</f>
        <v>2601D031</v>
      </c>
      <c r="AD28" s="286">
        <f>IFERROR(__xludf.DUMMYFUNCTION("""COMPUTED_VALUE"""),46026.0)</f>
        <v>46026</v>
      </c>
      <c r="AE28" s="285" t="str">
        <f>IFERROR(__xludf.DUMMYFUNCTION("""COMPUTED_VALUE"""),"Sulistio W.N")</f>
        <v>Sulistio W.N</v>
      </c>
      <c r="AF28" s="285" t="str">
        <f>IFERROR(__xludf.DUMMYFUNCTION("""COMPUTED_VALUE"""),"082137405814")</f>
        <v>082137405814</v>
      </c>
      <c r="AG28" s="285" t="str">
        <f>IFERROR(__xludf.DUMMYFUNCTION("""COMPUTED_VALUE"""),"Gagal")</f>
        <v>Gagal</v>
      </c>
      <c r="AH28" s="285" t="str">
        <f>IFERROR(__xludf.DUMMYFUNCTION("""COMPUTED_VALUE"""),"3H2M opsi B")</f>
        <v>3H2M opsi B</v>
      </c>
      <c r="AI28" s="287"/>
      <c r="AJ28" s="285"/>
      <c r="AK28" s="289"/>
      <c r="AL28" s="285" t="str">
        <f>IFERROR(__xludf.DUMMYFUNCTION("""COMPUTED_VALUE"""),"tanya yacht boom, fu tgl 15")</f>
        <v>tanya yacht boom, fu tgl 15</v>
      </c>
    </row>
    <row r="29">
      <c r="F29" s="285" t="str">
        <f>IFERROR(__xludf.DUMMYFUNCTION("""COMPUTED_VALUE"""),"2604D096")</f>
        <v>2604D096</v>
      </c>
      <c r="G29" s="286">
        <f>IFERROR(__xludf.DUMMYFUNCTION("""COMPUTED_VALUE"""),46130.0)</f>
        <v>46130</v>
      </c>
      <c r="H29" s="285" t="str">
        <f>IFERROR(__xludf.DUMMYFUNCTION("""COMPUTED_VALUE"""),"MHJ")</f>
        <v>MHJ</v>
      </c>
      <c r="I29" s="285" t="str">
        <f>IFERROR(__xludf.DUMMYFUNCTION("""COMPUTED_VALUE"""),"085361362363")</f>
        <v>085361362363</v>
      </c>
      <c r="J29" s="285" t="str">
        <f>IFERROR(__xludf.DUMMYFUNCTION("""COMPUTED_VALUE"""),"Leads Baru")</f>
        <v>Leads Baru</v>
      </c>
      <c r="K29" s="285" t="str">
        <f>IFERROR(__xludf.DUMMYFUNCTION("""COMPUTED_VALUE"""),"3h2m opsi B")</f>
        <v>3h2m opsi B</v>
      </c>
      <c r="L29" s="287"/>
      <c r="M29" s="288">
        <f>IFERROR(__xludf.DUMMYFUNCTION("""COMPUTED_VALUE"""),4.0)</f>
        <v>4</v>
      </c>
      <c r="N29" s="289"/>
      <c r="O29" s="290"/>
      <c r="P29" s="291" t="str">
        <f>IFERROR(__xludf.DUMMYFUNCTION("""COMPUTED_VALUE"""),"https://docs.google.com/document/d/1ubq0Ip7xPVyg8ZBjIfFDcaQ1VmWNf-BxLe8ivWxflmQ/edit?tab=t.0")</f>
        <v>https://docs.google.com/document/d/1ubq0Ip7xPVyg8ZBjIfFDcaQ1VmWNf-BxLe8ivWxflmQ/edit?tab=t.0</v>
      </c>
      <c r="R29" s="285" t="str">
        <f>IFERROR(__xludf.DUMMYFUNCTION("""COMPUTED_VALUE"""),"2603D001")</f>
        <v>2603D001</v>
      </c>
      <c r="S29" s="286">
        <f>IFERROR(__xludf.DUMMYFUNCTION("""COMPUTED_VALUE"""),46082.0)</f>
        <v>46082</v>
      </c>
      <c r="T29" s="285" t="str">
        <f>IFERROR(__xludf.DUMMYFUNCTION("""COMPUTED_VALUE"""),"alimaa")</f>
        <v>alimaa</v>
      </c>
      <c r="U29" s="285" t="str">
        <f>IFERROR(__xludf.DUMMYFUNCTION("""COMPUTED_VALUE"""),"087775157228")</f>
        <v>087775157228</v>
      </c>
      <c r="V29" s="285" t="str">
        <f>IFERROR(__xludf.DUMMYFUNCTION("""COMPUTED_VALUE"""),"Closing")</f>
        <v>Closing</v>
      </c>
      <c r="W29" s="285" t="str">
        <f>IFERROR(__xludf.DUMMYFUNCTION("""COMPUTED_VALUE"""),"OT menjangan tabuhan")</f>
        <v>OT menjangan tabuhan</v>
      </c>
      <c r="X29" s="287"/>
      <c r="Y29" s="285">
        <f>IFERROR(__xludf.DUMMYFUNCTION("""COMPUTED_VALUE"""),4.0)</f>
        <v>4</v>
      </c>
      <c r="Z29" s="289">
        <f>IFERROR(__xludf.DUMMYFUNCTION("""COMPUTED_VALUE"""),1180000.0)</f>
        <v>1180000</v>
      </c>
      <c r="AA29" s="285" t="str">
        <f>IFERROR(__xludf.DUMMYFUNCTION("""COMPUTED_VALUE"""),"orderr, temen sikna")</f>
        <v>orderr, temen sikna</v>
      </c>
      <c r="AC29" s="285" t="str">
        <f>IFERROR(__xludf.DUMMYFUNCTION("""COMPUTED_VALUE"""),"2601D032")</f>
        <v>2601D032</v>
      </c>
      <c r="AD29" s="286">
        <f>IFERROR(__xludf.DUMMYFUNCTION("""COMPUTED_VALUE"""),46026.0)</f>
        <v>46026</v>
      </c>
      <c r="AE29" s="285" t="str">
        <f>IFERROR(__xludf.DUMMYFUNCTION("""COMPUTED_VALUE"""),"Thata Anggitha")</f>
        <v>Thata Anggitha</v>
      </c>
      <c r="AF29" s="285" t="str">
        <f>IFERROR(__xludf.DUMMYFUNCTION("""COMPUTED_VALUE"""),"082137405814")</f>
        <v>082137405814</v>
      </c>
      <c r="AG29" s="285" t="str">
        <f>IFERROR(__xludf.DUMMYFUNCTION("""COMPUTED_VALUE"""),"Gagal")</f>
        <v>Gagal</v>
      </c>
      <c r="AH29" s="285"/>
      <c r="AI29" s="287"/>
      <c r="AJ29" s="285">
        <f>IFERROR(__xludf.DUMMYFUNCTION("""COMPUTED_VALUE"""),2.0)</f>
        <v>2</v>
      </c>
      <c r="AK29" s="289"/>
      <c r="AL29" s="285" t="str">
        <f>IFERROR(__xludf.DUMMYFUNCTION("""COMPUTED_VALUE"""),"sudah follow up")</f>
        <v>sudah follow up</v>
      </c>
    </row>
    <row r="30">
      <c r="F30" s="285" t="str">
        <f>IFERROR(__xludf.DUMMYFUNCTION("""COMPUTED_VALUE"""),"2604D099")</f>
        <v>2604D099</v>
      </c>
      <c r="G30" s="286">
        <f>IFERROR(__xludf.DUMMYFUNCTION("""COMPUTED_VALUE"""),46131.0)</f>
        <v>46131</v>
      </c>
      <c r="H30" s="285" t="str">
        <f>IFERROR(__xludf.DUMMYFUNCTION("""COMPUTED_VALUE"""),"Lia")</f>
        <v>Lia</v>
      </c>
      <c r="I30" s="285" t="str">
        <f>IFERROR(__xludf.DUMMYFUNCTION("""COMPUTED_VALUE"""),"0818410600")</f>
        <v>0818410600</v>
      </c>
      <c r="J30" s="285" t="str">
        <f>IFERROR(__xludf.DUMMYFUNCTION("""COMPUTED_VALUE"""),"Leads Baru")</f>
        <v>Leads Baru</v>
      </c>
      <c r="K30" s="285" t="str">
        <f>IFERROR(__xludf.DUMMYFUNCTION("""COMPUTED_VALUE"""),"2h1m custome")</f>
        <v>2h1m custome</v>
      </c>
      <c r="L30" s="287"/>
      <c r="M30" s="288">
        <f>IFERROR(__xludf.DUMMYFUNCTION("""COMPUTED_VALUE"""),4.0)</f>
        <v>4</v>
      </c>
      <c r="N30" s="289"/>
      <c r="O30" s="290" t="str">
        <f>IFERROR(__xludf.DUMMYFUNCTION("""COMPUTED_VALUE"""),"belum bales lagi, FU 1 Juni")</f>
        <v>belum bales lagi, FU 1 Juni</v>
      </c>
      <c r="P30" s="291" t="str">
        <f>IFERROR(__xludf.DUMMYFUNCTION("""COMPUTED_VALUE"""),"https://docs.google.com/document/d/1a2t2xh-Q_GbId736HdtjCusOSHNyn2NFhJYQLCrw0Qg/edit?tab=t.0")</f>
        <v>https://docs.google.com/document/d/1a2t2xh-Q_GbId736HdtjCusOSHNyn2NFhJYQLCrw0Qg/edit?tab=t.0</v>
      </c>
      <c r="R30" s="285" t="str">
        <f>IFERROR(__xludf.DUMMYFUNCTION("""COMPUTED_VALUE"""),"masih diskusi sm istrinya, FU 24 Mei ")</f>
        <v>masih diskusi sm istrinya, FU 24 Mei </v>
      </c>
      <c r="S30" s="286">
        <f>IFERROR(__xludf.DUMMYFUNCTION("""COMPUTED_VALUE"""),46083.0)</f>
        <v>46083</v>
      </c>
      <c r="T30" s="285" t="str">
        <f>IFERROR(__xludf.DUMMYFUNCTION("""COMPUTED_VALUE"""),"Dita")</f>
        <v>Dita</v>
      </c>
      <c r="U30" s="285" t="str">
        <f>IFERROR(__xludf.DUMMYFUNCTION("""COMPUTED_VALUE"""),"08119693747")</f>
        <v>08119693747</v>
      </c>
      <c r="V30" s="285" t="str">
        <f>IFERROR(__xludf.DUMMYFUNCTION("""COMPUTED_VALUE"""),"Closing")</f>
        <v>Closing</v>
      </c>
      <c r="W30" s="285" t="str">
        <f>IFERROR(__xludf.DUMMYFUNCTION("""COMPUTED_VALUE"""),"4H3M")</f>
        <v>4H3M</v>
      </c>
      <c r="X30" s="287"/>
      <c r="Y30" s="285">
        <f>IFERROR(__xludf.DUMMYFUNCTION("""COMPUTED_VALUE"""),66.0)</f>
        <v>66</v>
      </c>
      <c r="Z30" s="289"/>
      <c r="AA30" s="285" t="str">
        <f>IFERROR(__xludf.DUMMYFUNCTION("""COMPUTED_VALUE"""),"orderrrrr")</f>
        <v>orderrrrr</v>
      </c>
      <c r="AC30" s="285" t="str">
        <f>IFERROR(__xludf.DUMMYFUNCTION("""COMPUTED_VALUE"""),"2601D034")</f>
        <v>2601D034</v>
      </c>
      <c r="AD30" s="286">
        <f>IFERROR(__xludf.DUMMYFUNCTION("""COMPUTED_VALUE"""),46026.0)</f>
        <v>46026</v>
      </c>
      <c r="AE30" s="285" t="str">
        <f>IFERROR(__xludf.DUMMYFUNCTION("""COMPUTED_VALUE"""),"Rizal Pratama")</f>
        <v>Rizal Pratama</v>
      </c>
      <c r="AF30" s="285" t="str">
        <f>IFERROR(__xludf.DUMMYFUNCTION("""COMPUTED_VALUE"""),"082216912039")</f>
        <v>082216912039</v>
      </c>
      <c r="AG30" s="285" t="str">
        <f>IFERROR(__xludf.DUMMYFUNCTION("""COMPUTED_VALUE"""),"Gagal")</f>
        <v>Gagal</v>
      </c>
      <c r="AH30" s="285" t="str">
        <f>IFERROR(__xludf.DUMMYFUNCTION("""COMPUTED_VALUE"""),"3H2M opsi A")</f>
        <v>3H2M opsi A</v>
      </c>
      <c r="AI30" s="287"/>
      <c r="AJ30" s="285">
        <f>IFERROR(__xludf.DUMMYFUNCTION("""COMPUTED_VALUE"""),30.0)</f>
        <v>30</v>
      </c>
      <c r="AK30" s="289"/>
      <c r="AL30" s="285" t="str">
        <f>IFERROR(__xludf.DUMMYFUNCTION("""COMPUTED_VALUE"""),"sudah sm rekan lain")</f>
        <v>sudah sm rekan lain</v>
      </c>
    </row>
    <row r="31">
      <c r="F31" s="285" t="str">
        <f>IFERROR(__xludf.DUMMYFUNCTION("""COMPUTED_VALUE"""),"2604D106")</f>
        <v>2604D106</v>
      </c>
      <c r="G31" s="286">
        <f>IFERROR(__xludf.DUMMYFUNCTION("""COMPUTED_VALUE"""),46133.0)</f>
        <v>46133</v>
      </c>
      <c r="H31" s="285" t="str">
        <f>IFERROR(__xludf.DUMMYFUNCTION("""COMPUTED_VALUE"""),"Sri Redjeki")</f>
        <v>Sri Redjeki</v>
      </c>
      <c r="I31" s="285" t="str">
        <f>IFERROR(__xludf.DUMMYFUNCTION("""COMPUTED_VALUE"""),"08156515877")</f>
        <v>08156515877</v>
      </c>
      <c r="J31" s="285" t="str">
        <f>IFERROR(__xludf.DUMMYFUNCTION("""COMPUTED_VALUE"""),"Leads Baru")</f>
        <v>Leads Baru</v>
      </c>
      <c r="K31" s="285" t="str">
        <f>IFERROR(__xludf.DUMMYFUNCTION("""COMPUTED_VALUE"""),"trip 4h3m")</f>
        <v>trip 4h3m</v>
      </c>
      <c r="L31" s="287"/>
      <c r="M31" s="288"/>
      <c r="N31" s="289"/>
      <c r="O31" s="290" t="str">
        <f>IFERROR(__xludf.DUMMYFUNCTION("""COMPUTED_VALUE"""),"nyari temen dulu, FU 2 Juni")</f>
        <v>nyari temen dulu, FU 2 Juni</v>
      </c>
      <c r="P31" s="291" t="str">
        <f>IFERROR(__xludf.DUMMYFUNCTION("""COMPUTED_VALUE"""),"https://docs.google.com/document/d/1o23ao31TurwoyYl_Fxn4HKpRIQ5AZViwXjLqiK9LHcc/edit?tab=t.0")</f>
        <v>https://docs.google.com/document/d/1o23ao31TurwoyYl_Fxn4HKpRIQ5AZViwXjLqiK9LHcc/edit?tab=t.0</v>
      </c>
      <c r="R31" s="285" t="str">
        <f>IFERROR(__xludf.DUMMYFUNCTION("""COMPUTED_VALUE"""),"2603D018")</f>
        <v>2603D018</v>
      </c>
      <c r="S31" s="286">
        <f>IFERROR(__xludf.DUMMYFUNCTION("""COMPUTED_VALUE"""),46085.0)</f>
        <v>46085</v>
      </c>
      <c r="T31" s="285" t="str">
        <f>IFERROR(__xludf.DUMMYFUNCTION("""COMPUTED_VALUE"""),"Astria")</f>
        <v>Astria</v>
      </c>
      <c r="U31" s="285" t="str">
        <f>IFERROR(__xludf.DUMMYFUNCTION("""COMPUTED_VALUE"""),"087877490080")</f>
        <v>087877490080</v>
      </c>
      <c r="V31" s="285" t="str">
        <f>IFERROR(__xludf.DUMMYFUNCTION("""COMPUTED_VALUE"""),"Closing")</f>
        <v>Closing</v>
      </c>
      <c r="W31" s="285" t="str">
        <f>IFERROR(__xludf.DUMMYFUNCTION("""COMPUTED_VALUE"""),"3H2M")</f>
        <v>3H2M</v>
      </c>
      <c r="X31" s="287"/>
      <c r="Y31" s="285">
        <f>IFERROR(__xludf.DUMMYFUNCTION("""COMPUTED_VALUE"""),3.0)</f>
        <v>3</v>
      </c>
      <c r="Z31" s="289">
        <f>IFERROR(__xludf.DUMMYFUNCTION("""COMPUTED_VALUE"""),4800000.0)</f>
        <v>4800000</v>
      </c>
      <c r="AA31" s="285" t="str">
        <f>IFERROR(__xludf.DUMMYFUNCTION("""COMPUTED_VALUE"""),"Alhamdulillah order")</f>
        <v>Alhamdulillah order</v>
      </c>
      <c r="AC31" s="285" t="str">
        <f>IFERROR(__xludf.DUMMYFUNCTION("""COMPUTED_VALUE"""),"2601D035")</f>
        <v>2601D035</v>
      </c>
      <c r="AD31" s="286">
        <f>IFERROR(__xludf.DUMMYFUNCTION("""COMPUTED_VALUE"""),46026.0)</f>
        <v>46026</v>
      </c>
      <c r="AE31" s="285" t="str">
        <f>IFERROR(__xludf.DUMMYFUNCTION("""COMPUTED_VALUE"""),"Surya")</f>
        <v>Surya</v>
      </c>
      <c r="AF31" s="285" t="str">
        <f>IFERROR(__xludf.DUMMYFUNCTION("""COMPUTED_VALUE"""),"081803536960")</f>
        <v>081803536960</v>
      </c>
      <c r="AG31" s="285" t="str">
        <f>IFERROR(__xludf.DUMMYFUNCTION("""COMPUTED_VALUE"""),"Gagal")</f>
        <v>Gagal</v>
      </c>
      <c r="AH31" s="285" t="str">
        <f>IFERROR(__xludf.DUMMYFUNCTION("""COMPUTED_VALUE"""),"Trip Menjangan Tabuhan ")</f>
        <v>Trip Menjangan Tabuhan </v>
      </c>
      <c r="AI31" s="287"/>
      <c r="AJ31" s="285">
        <f>IFERROR(__xludf.DUMMYFUNCTION("""COMPUTED_VALUE"""),25.0)</f>
        <v>25</v>
      </c>
      <c r="AK31" s="289"/>
      <c r="AL31" s="285" t="str">
        <f>IFERROR(__xludf.DUMMYFUNCTION("""COMPUTED_VALUE"""),"tidak cocok harga")</f>
        <v>tidak cocok harga</v>
      </c>
    </row>
    <row r="32">
      <c r="F32" s="285" t="str">
        <f>IFERROR(__xludf.DUMMYFUNCTION("""COMPUTED_VALUE"""),"2604D112")</f>
        <v>2604D112</v>
      </c>
      <c r="G32" s="286">
        <f>IFERROR(__xludf.DUMMYFUNCTION("""COMPUTED_VALUE"""),46134.0)</f>
        <v>46134</v>
      </c>
      <c r="H32" s="285" t="str">
        <f>IFERROR(__xludf.DUMMYFUNCTION("""COMPUTED_VALUE"""),"Yuli")</f>
        <v>Yuli</v>
      </c>
      <c r="I32" s="285" t="str">
        <f>IFERROR(__xludf.DUMMYFUNCTION("""COMPUTED_VALUE"""),"085779434648")</f>
        <v>085779434648</v>
      </c>
      <c r="J32" s="285" t="str">
        <f>IFERROR(__xludf.DUMMYFUNCTION("""COMPUTED_VALUE"""),"Leads Baru")</f>
        <v>Leads Baru</v>
      </c>
      <c r="K32" s="285" t="str">
        <f>IFERROR(__xludf.DUMMYFUNCTION("""COMPUTED_VALUE"""),"OT 3h2m")</f>
        <v>OT 3h2m</v>
      </c>
      <c r="L32" s="287"/>
      <c r="M32" s="288">
        <f>IFERROR(__xludf.DUMMYFUNCTION("""COMPUTED_VALUE"""),3.0)</f>
        <v>3</v>
      </c>
      <c r="N32" s="289"/>
      <c r="O32" s="290" t="str">
        <f>IFERROR(__xludf.DUMMYFUNCTION("""COMPUTED_VALUE"""),"bilang ke temen, FU 8 Juni")</f>
        <v>bilang ke temen, FU 8 Juni</v>
      </c>
      <c r="P32" s="291" t="str">
        <f>IFERROR(__xludf.DUMMYFUNCTION("""COMPUTED_VALUE"""),"https://docs.google.com/document/d/1uKnkM18Fe91cFflSBe0nc4YXygjnGQozE03oMr8vpH4/edit?tab=t.0")</f>
        <v>https://docs.google.com/document/d/1uKnkM18Fe91cFflSBe0nc4YXygjnGQozE03oMr8vpH4/edit?tab=t.0</v>
      </c>
      <c r="R32" s="285" t="str">
        <f>IFERROR(__xludf.DUMMYFUNCTION("""COMPUTED_VALUE"""),"2603D026")</f>
        <v>2603D026</v>
      </c>
      <c r="S32" s="286">
        <f>IFERROR(__xludf.DUMMYFUNCTION("""COMPUTED_VALUE"""),46086.0)</f>
        <v>46086</v>
      </c>
      <c r="T32" s="285" t="str">
        <f>IFERROR(__xludf.DUMMYFUNCTION("""COMPUTED_VALUE"""),"Astrid Januarita")</f>
        <v>Astrid Januarita</v>
      </c>
      <c r="U32" s="285" t="str">
        <f>IFERROR(__xludf.DUMMYFUNCTION("""COMPUTED_VALUE"""),"081311029389")</f>
        <v>081311029389</v>
      </c>
      <c r="V32" s="285" t="str">
        <f>IFERROR(__xludf.DUMMYFUNCTION("""COMPUTED_VALUE"""),"Closing")</f>
        <v>Closing</v>
      </c>
      <c r="W32" s="285" t="str">
        <f>IFERROR(__xludf.DUMMYFUNCTION("""COMPUTED_VALUE"""),"OT 3H2M")</f>
        <v>OT 3H2M</v>
      </c>
      <c r="X32" s="287"/>
      <c r="Y32" s="285">
        <f>IFERROR(__xludf.DUMMYFUNCTION("""COMPUTED_VALUE"""),2.0)</f>
        <v>2</v>
      </c>
      <c r="Z32" s="289">
        <f>IFERROR(__xludf.DUMMYFUNCTION("""COMPUTED_VALUE"""),3200000.0)</f>
        <v>3200000</v>
      </c>
      <c r="AA32" s="285" t="str">
        <f>IFERROR(__xludf.DUMMYFUNCTION("""COMPUTED_VALUE"""),"waktunya pendek")</f>
        <v>waktunya pendek</v>
      </c>
      <c r="AC32" s="285" t="str">
        <f>IFERROR(__xludf.DUMMYFUNCTION("""COMPUTED_VALUE"""),"2601D036")</f>
        <v>2601D036</v>
      </c>
      <c r="AD32" s="286">
        <f>IFERROR(__xludf.DUMMYFUNCTION("""COMPUTED_VALUE"""),46026.0)</f>
        <v>46026</v>
      </c>
      <c r="AE32" s="285" t="str">
        <f>IFERROR(__xludf.DUMMYFUNCTION("""COMPUTED_VALUE"""),"Yaya")</f>
        <v>Yaya</v>
      </c>
      <c r="AF32" s="285" t="str">
        <f>IFERROR(__xludf.DUMMYFUNCTION("""COMPUTED_VALUE"""),"089612554076")</f>
        <v>089612554076</v>
      </c>
      <c r="AG32" s="285" t="str">
        <f>IFERROR(__xludf.DUMMYFUNCTION("""COMPUTED_VALUE"""),"Gagal")</f>
        <v>Gagal</v>
      </c>
      <c r="AH32" s="285" t="str">
        <f>IFERROR(__xludf.DUMMYFUNCTION("""COMPUTED_VALUE"""),"OT 3H2M")</f>
        <v>OT 3H2M</v>
      </c>
      <c r="AI32" s="287"/>
      <c r="AJ32" s="285"/>
      <c r="AK32" s="289"/>
      <c r="AL32" s="285" t="str">
        <f>IFERROR(__xludf.DUMMYFUNCTION("""COMPUTED_VALUE"""),"tidak jawab")</f>
        <v>tidak jawab</v>
      </c>
    </row>
    <row r="33">
      <c r="F33" s="285" t="str">
        <f>IFERROR(__xludf.DUMMYFUNCTION("""COMPUTED_VALUE"""),"2604D114")</f>
        <v>2604D114</v>
      </c>
      <c r="G33" s="286">
        <f>IFERROR(__xludf.DUMMYFUNCTION("""COMPUTED_VALUE"""),46135.0)</f>
        <v>46135</v>
      </c>
      <c r="H33" s="285" t="str">
        <f>IFERROR(__xludf.DUMMYFUNCTION("""COMPUTED_VALUE"""),"Aprida")</f>
        <v>Aprida</v>
      </c>
      <c r="I33" s="285" t="str">
        <f>IFERROR(__xludf.DUMMYFUNCTION("""COMPUTED_VALUE"""),"085642365218")</f>
        <v>085642365218</v>
      </c>
      <c r="J33" s="285" t="str">
        <f>IFERROR(__xludf.DUMMYFUNCTION("""COMPUTED_VALUE"""),"Leads Baru")</f>
        <v>Leads Baru</v>
      </c>
      <c r="K33" s="285" t="str">
        <f>IFERROR(__xludf.DUMMYFUNCTION("""COMPUTED_VALUE"""),"1 day trip")</f>
        <v>1 day trip</v>
      </c>
      <c r="L33" s="287"/>
      <c r="M33" s="288">
        <f>IFERROR(__xludf.DUMMYFUNCTION("""COMPUTED_VALUE"""),2.0)</f>
        <v>2</v>
      </c>
      <c r="N33" s="319"/>
      <c r="O33" s="290" t="str">
        <f>IFERROR(__xludf.DUMMYFUNCTION("""COMPUTED_VALUE"""),"sudah kasih 2 opsi, FU 3 Juni")</f>
        <v>sudah kasih 2 opsi, FU 3 Juni</v>
      </c>
      <c r="P33" s="291" t="str">
        <f>IFERROR(__xludf.DUMMYFUNCTION("""COMPUTED_VALUE"""),"https://docs.google.com/document/d/1kZ8sC95ZVys9F7tzKPfFAOA9ZTL8W7zP-Ie392VQKTk/edit?tab=t.0")</f>
        <v>https://docs.google.com/document/d/1kZ8sC95ZVys9F7tzKPfFAOA9ZTL8W7zP-Ie392VQKTk/edit?tab=t.0</v>
      </c>
      <c r="R33" s="285" t="str">
        <f>IFERROR(__xludf.DUMMYFUNCTION("""COMPUTED_VALUE"""),"2602D047")</f>
        <v>2602D047</v>
      </c>
      <c r="S33" s="286">
        <f>IFERROR(__xludf.DUMMYFUNCTION("""COMPUTED_VALUE"""),46092.0)</f>
        <v>46092</v>
      </c>
      <c r="T33" s="285" t="str">
        <f>IFERROR(__xludf.DUMMYFUNCTION("""COMPUTED_VALUE"""),"Christine")</f>
        <v>Christine</v>
      </c>
      <c r="U33" s="285" t="str">
        <f>IFERROR(__xludf.DUMMYFUNCTION("""COMPUTED_VALUE"""),"14692588393")</f>
        <v>14692588393</v>
      </c>
      <c r="V33" s="285" t="str">
        <f>IFERROR(__xludf.DUMMYFUNCTION("""COMPUTED_VALUE"""),"Closing")</f>
        <v>Closing</v>
      </c>
      <c r="W33" s="285" t="str">
        <f>IFERROR(__xludf.DUMMYFUNCTION("""COMPUTED_VALUE"""),"open trip ijen")</f>
        <v>open trip ijen</v>
      </c>
      <c r="X33" s="287"/>
      <c r="Y33" s="285">
        <f>IFERROR(__xludf.DUMMYFUNCTION("""COMPUTED_VALUE"""),1.0)</f>
        <v>1</v>
      </c>
      <c r="Z33" s="289">
        <f>IFERROR(__xludf.DUMMYFUNCTION("""COMPUTED_VALUE"""),250000.0)</f>
        <v>250000</v>
      </c>
      <c r="AA33" s="285" t="str">
        <f>IFERROR(__xludf.DUMMYFUNCTION("""COMPUTED_VALUE"""),"ORDERRR")</f>
        <v>ORDERRR</v>
      </c>
      <c r="AC33" s="285" t="str">
        <f>IFERROR(__xludf.DUMMYFUNCTION("""COMPUTED_VALUE"""),"2601D037")</f>
        <v>2601D037</v>
      </c>
      <c r="AD33" s="286">
        <f>IFERROR(__xludf.DUMMYFUNCTION("""COMPUTED_VALUE"""),46026.0)</f>
        <v>46026</v>
      </c>
      <c r="AE33" s="285" t="str">
        <f>IFERROR(__xludf.DUMMYFUNCTION("""COMPUTED_VALUE"""),"Hums GPS Malang")</f>
        <v>Hums GPS Malang</v>
      </c>
      <c r="AF33" s="285" t="str">
        <f>IFERROR(__xludf.DUMMYFUNCTION("""COMPUTED_VALUE"""),"085888433436")</f>
        <v>085888433436</v>
      </c>
      <c r="AG33" s="285" t="str">
        <f>IFERROR(__xludf.DUMMYFUNCTION("""COMPUTED_VALUE"""),"Gagal")</f>
        <v>Gagal</v>
      </c>
      <c r="AH33" s="285" t="str">
        <f>IFERROR(__xludf.DUMMYFUNCTION("""COMPUTED_VALUE"""),"2H1M")</f>
        <v>2H1M</v>
      </c>
      <c r="AI33" s="287"/>
      <c r="AJ33" s="285"/>
      <c r="AK33" s="289"/>
      <c r="AL33" s="285" t="str">
        <f>IFERROR(__xludf.DUMMYFUNCTION("""COMPUTED_VALUE"""),"minta jpt sby")</f>
        <v>minta jpt sby</v>
      </c>
    </row>
    <row r="34">
      <c r="F34" s="285" t="str">
        <f>IFERROR(__xludf.DUMMYFUNCTION("""COMPUTED_VALUE"""),"2604D132")</f>
        <v>2604D132</v>
      </c>
      <c r="G34" s="286">
        <f>IFERROR(__xludf.DUMMYFUNCTION("""COMPUTED_VALUE"""),46142.0)</f>
        <v>46142</v>
      </c>
      <c r="H34" s="285" t="str">
        <f>IFERROR(__xludf.DUMMYFUNCTION("""COMPUTED_VALUE"""),"Bambang")</f>
        <v>Bambang</v>
      </c>
      <c r="I34" s="285" t="str">
        <f>IFERROR(__xludf.DUMMYFUNCTION("""COMPUTED_VALUE"""),"08112484200")</f>
        <v>08112484200</v>
      </c>
      <c r="J34" s="285" t="str">
        <f>IFERROR(__xludf.DUMMYFUNCTION("""COMPUTED_VALUE"""),"Leads Baru")</f>
        <v>Leads Baru</v>
      </c>
      <c r="K34" s="285" t="str">
        <f>IFERROR(__xludf.DUMMYFUNCTION("""COMPUTED_VALUE"""),"3h2m")</f>
        <v>3h2m</v>
      </c>
      <c r="L34" s="287"/>
      <c r="M34" s="288">
        <f>IFERROR(__xludf.DUMMYFUNCTION("""COMPUTED_VALUE"""),30.0)</f>
        <v>30</v>
      </c>
      <c r="N34" s="289"/>
      <c r="O34" s="290" t="str">
        <f>IFERROR(__xludf.DUMMYFUNCTION("""COMPUTED_VALUE"""),"sudah kirim penawaran 2 opsi paket, FU 10 Juni")</f>
        <v>sudah kirim penawaran 2 opsi paket, FU 10 Juni</v>
      </c>
      <c r="P34" s="291" t="str">
        <f>IFERROR(__xludf.DUMMYFUNCTION("""COMPUTED_VALUE"""),"https://docs.google.com/document/d/1RZeYAuufxwMiCdA-lLrG6KxYBPvONNJ90nnjpmOoD8g/edit?tab=t.0")</f>
        <v>https://docs.google.com/document/d/1RZeYAuufxwMiCdA-lLrG6KxYBPvONNJ90nnjpmOoD8g/edit?tab=t.0</v>
      </c>
      <c r="R34" s="285" t="str">
        <f>IFERROR(__xludf.DUMMYFUNCTION("""COMPUTED_VALUE"""),"2603D052")</f>
        <v>2603D052</v>
      </c>
      <c r="S34" s="286">
        <f>IFERROR(__xludf.DUMMYFUNCTION("""COMPUTED_VALUE"""),46092.0)</f>
        <v>46092</v>
      </c>
      <c r="T34" s="285" t="str">
        <f>IFERROR(__xludf.DUMMYFUNCTION("""COMPUTED_VALUE"""),"Irine")</f>
        <v>Irine</v>
      </c>
      <c r="U34" s="285" t="str">
        <f>IFERROR(__xludf.DUMMYFUNCTION("""COMPUTED_VALUE"""),"081250667985")</f>
        <v>081250667985</v>
      </c>
      <c r="V34" s="285" t="str">
        <f>IFERROR(__xludf.DUMMYFUNCTION("""COMPUTED_VALUE"""),"Closing")</f>
        <v>Closing</v>
      </c>
      <c r="W34" s="285" t="str">
        <f>IFERROR(__xludf.DUMMYFUNCTION("""COMPUTED_VALUE"""),"open trip 3H2M ")</f>
        <v>open trip 3H2M </v>
      </c>
      <c r="X34" s="287"/>
      <c r="Y34" s="285">
        <f>IFERROR(__xludf.DUMMYFUNCTION("""COMPUTED_VALUE"""),3.0)</f>
        <v>3</v>
      </c>
      <c r="Z34" s="289">
        <f>IFERROR(__xludf.DUMMYFUNCTION("""COMPUTED_VALUE"""),4800000.0)</f>
        <v>4800000</v>
      </c>
      <c r="AA34" s="285" t="str">
        <f>IFERROR(__xludf.DUMMYFUNCTION("""COMPUTED_VALUE"""),"teman syafira")</f>
        <v>teman syafira</v>
      </c>
      <c r="AC34" s="285" t="str">
        <f>IFERROR(__xludf.DUMMYFUNCTION("""COMPUTED_VALUE"""),"2601D038")</f>
        <v>2601D038</v>
      </c>
      <c r="AD34" s="286">
        <f>IFERROR(__xludf.DUMMYFUNCTION("""COMPUTED_VALUE"""),46026.0)</f>
        <v>46026</v>
      </c>
      <c r="AE34" s="285" t="str">
        <f>IFERROR(__xludf.DUMMYFUNCTION("""COMPUTED_VALUE"""),"Sary Maheswari")</f>
        <v>Sary Maheswari</v>
      </c>
      <c r="AF34" s="285" t="str">
        <f>IFERROR(__xludf.DUMMYFUNCTION("""COMPUTED_VALUE"""),"085729077777")</f>
        <v>085729077777</v>
      </c>
      <c r="AG34" s="285" t="str">
        <f>IFERROR(__xludf.DUMMYFUNCTION("""COMPUTED_VALUE"""),"Gagal")</f>
        <v>Gagal</v>
      </c>
      <c r="AH34" s="285" t="str">
        <f>IFERROR(__xludf.DUMMYFUNCTION("""COMPUTED_VALUE"""),"2H1M")</f>
        <v>2H1M</v>
      </c>
      <c r="AI34" s="287"/>
      <c r="AJ34" s="285">
        <f>IFERROR(__xludf.DUMMYFUNCTION("""COMPUTED_VALUE"""),6.0)</f>
        <v>6</v>
      </c>
      <c r="AK34" s="289"/>
      <c r="AL34" s="285" t="str">
        <f>IFERROR(__xludf.DUMMYFUNCTION("""COMPUTED_VALUE"""),"tanya paket, lewat tanggal")</f>
        <v>tanya paket, lewat tanggal</v>
      </c>
    </row>
    <row r="35">
      <c r="F35" s="285" t="str">
        <f>IFERROR(__xludf.DUMMYFUNCTION("""COMPUTED_VALUE"""),"2604D133")</f>
        <v>2604D133</v>
      </c>
      <c r="G35" s="286">
        <f>IFERROR(__xludf.DUMMYFUNCTION("""COMPUTED_VALUE"""),46142.0)</f>
        <v>46142</v>
      </c>
      <c r="H35" s="285" t="str">
        <f>IFERROR(__xludf.DUMMYFUNCTION("""COMPUTED_VALUE"""),"Repli Despriyanto")</f>
        <v>Repli Despriyanto</v>
      </c>
      <c r="I35" s="285" t="str">
        <f>IFERROR(__xludf.DUMMYFUNCTION("""COMPUTED_VALUE"""),"081218371755")</f>
        <v>081218371755</v>
      </c>
      <c r="J35" s="285" t="str">
        <f>IFERROR(__xludf.DUMMYFUNCTION("""COMPUTED_VALUE"""),"Leads Baru")</f>
        <v>Leads Baru</v>
      </c>
      <c r="K35" s="285" t="str">
        <f>IFERROR(__xludf.DUMMYFUNCTION("""COMPUTED_VALUE"""),"3h2m opsi A")</f>
        <v>3h2m opsi A</v>
      </c>
      <c r="L35" s="287"/>
      <c r="M35" s="288">
        <f>IFERROR(__xludf.DUMMYFUNCTION("""COMPUTED_VALUE"""),46240.0)</f>
        <v>46240</v>
      </c>
      <c r="N35" s="289"/>
      <c r="O35" s="290" t="str">
        <f>IFERROR(__xludf.DUMMYFUNCTION("""COMPUTED_VALUE"""),"diskus dulu, FU 12 Juli")</f>
        <v>diskus dulu, FU 12 Juli</v>
      </c>
      <c r="P35" s="291" t="str">
        <f>IFERROR(__xludf.DUMMYFUNCTION("""COMPUTED_VALUE"""),"https://docs.google.com/document/d/1w6jTgO3RJfzf-x01EvkuPqKmjHIeul8R4Gh4WhbSbiE/edit?tab=t.0")</f>
        <v>https://docs.google.com/document/d/1w6jTgO3RJfzf-x01EvkuPqKmjHIeul8R4Gh4WhbSbiE/edit?tab=t.0</v>
      </c>
      <c r="R35" s="285" t="str">
        <f>IFERROR(__xludf.DUMMYFUNCTION("""COMPUTED_VALUE"""),"2603D054")</f>
        <v>2603D054</v>
      </c>
      <c r="S35" s="286">
        <f>IFERROR(__xludf.DUMMYFUNCTION("""COMPUTED_VALUE"""),46092.0)</f>
        <v>46092</v>
      </c>
      <c r="T35" s="285" t="str">
        <f>IFERROR(__xludf.DUMMYFUNCTION("""COMPUTED_VALUE"""),"Desi Simbolon")</f>
        <v>Desi Simbolon</v>
      </c>
      <c r="U35" s="285" t="str">
        <f>IFERROR(__xludf.DUMMYFUNCTION("""COMPUTED_VALUE"""),"081513924119")</f>
        <v>081513924119</v>
      </c>
      <c r="V35" s="285" t="str">
        <f>IFERROR(__xludf.DUMMYFUNCTION("""COMPUTED_VALUE"""),"Closing")</f>
        <v>Closing</v>
      </c>
      <c r="W35" s="285" t="str">
        <f>IFERROR(__xludf.DUMMYFUNCTION("""COMPUTED_VALUE"""),"trip pulau")</f>
        <v>trip pulau</v>
      </c>
      <c r="X35" s="287">
        <f>IFERROR(__xludf.DUMMYFUNCTION("""COMPUTED_VALUE"""),46104.0)</f>
        <v>46104</v>
      </c>
      <c r="Y35" s="285">
        <f>IFERROR(__xludf.DUMMYFUNCTION("""COMPUTED_VALUE"""),1.0)</f>
        <v>1</v>
      </c>
      <c r="Z35" s="289"/>
      <c r="AA35" s="285" t="str">
        <f>IFERROR(__xludf.DUMMYFUNCTION("""COMPUTED_VALUE"""),"Teman astrid")</f>
        <v>Teman astrid</v>
      </c>
      <c r="AC35" s="285" t="str">
        <f>IFERROR(__xludf.DUMMYFUNCTION("""COMPUTED_VALUE"""),"2601D039")</f>
        <v>2601D039</v>
      </c>
      <c r="AD35" s="286">
        <f>IFERROR(__xludf.DUMMYFUNCTION("""COMPUTED_VALUE"""),46027.0)</f>
        <v>46027</v>
      </c>
      <c r="AE35" s="285" t="str">
        <f>IFERROR(__xludf.DUMMYFUNCTION("""COMPUTED_VALUE"""),"Tanamalintan ")</f>
        <v>Tanamalintan </v>
      </c>
      <c r="AF35" s="285" t="str">
        <f>IFERROR(__xludf.DUMMYFUNCTION("""COMPUTED_VALUE"""),"083877965575")</f>
        <v>083877965575</v>
      </c>
      <c r="AG35" s="285" t="str">
        <f>IFERROR(__xludf.DUMMYFUNCTION("""COMPUTED_VALUE"""),"Gagal")</f>
        <v>Gagal</v>
      </c>
      <c r="AH35" s="285" t="str">
        <f>IFERROR(__xludf.DUMMYFUNCTION("""COMPUTED_VALUE"""),"2H1M")</f>
        <v>2H1M</v>
      </c>
      <c r="AI35" s="287"/>
      <c r="AJ35" s="285">
        <f>IFERROR(__xludf.DUMMYFUNCTION("""COMPUTED_VALUE"""),60.0)</f>
        <v>60</v>
      </c>
      <c r="AK35" s="289"/>
      <c r="AL35" s="285" t="str">
        <f>IFERROR(__xludf.DUMMYFUNCTION("""COMPUTED_VALUE"""),"tunda lebaran tahun depan")</f>
        <v>tunda lebaran tahun depan</v>
      </c>
    </row>
    <row r="36">
      <c r="F36" s="285" t="str">
        <f>IFERROR(__xludf.DUMMYFUNCTION("""COMPUTED_VALUE"""),"2605D010")</f>
        <v>2605D010</v>
      </c>
      <c r="G36" s="286">
        <f>IFERROR(__xludf.DUMMYFUNCTION("""COMPUTED_VALUE"""),46146.0)</f>
        <v>46146</v>
      </c>
      <c r="H36" s="285" t="str">
        <f>IFERROR(__xludf.DUMMYFUNCTION("""COMPUTED_VALUE"""),"Elyus")</f>
        <v>Elyus</v>
      </c>
      <c r="I36" s="285" t="str">
        <f>IFERROR(__xludf.DUMMYFUNCTION("""COMPUTED_VALUE"""),"085204750074")</f>
        <v>085204750074</v>
      </c>
      <c r="J36" s="285" t="str">
        <f>IFERROR(__xludf.DUMMYFUNCTION("""COMPUTED_VALUE"""),"Leads Baru")</f>
        <v>Leads Baru</v>
      </c>
      <c r="K36" s="285" t="str">
        <f>IFERROR(__xludf.DUMMYFUNCTION("""COMPUTED_VALUE"""),"3h2m custome")</f>
        <v>3h2m custome</v>
      </c>
      <c r="L36" s="287"/>
      <c r="M36" s="288">
        <f>IFERROR(__xludf.DUMMYFUNCTION("""COMPUTED_VALUE"""),50.0)</f>
        <v>50</v>
      </c>
      <c r="N36" s="289"/>
      <c r="O36" s="290" t="str">
        <f>IFERROR(__xludf.DUMMYFUNCTION("""COMPUTED_VALUE"""),"B2B masih blm ada jawaban, FU  13 Juni")</f>
        <v>B2B masih blm ada jawaban, FU  13 Juni</v>
      </c>
      <c r="P36" s="291" t="str">
        <f>IFERROR(__xludf.DUMMYFUNCTION("""COMPUTED_VALUE"""),"https://docs.google.com/document/d/1Lf-LbXOi-qB-iaZZeumqmCheNk3IVriVuYCFtobORA0/edit?tab=t.0")</f>
        <v>https://docs.google.com/document/d/1Lf-LbXOi-qB-iaZZeumqmCheNk3IVriVuYCFtobORA0/edit?tab=t.0</v>
      </c>
      <c r="R36" s="285" t="str">
        <f>IFERROR(__xludf.DUMMYFUNCTION("""COMPUTED_VALUE"""),"2603D059")</f>
        <v>2603D059</v>
      </c>
      <c r="S36" s="286">
        <f>IFERROR(__xludf.DUMMYFUNCTION("""COMPUTED_VALUE"""),46094.0)</f>
        <v>46094</v>
      </c>
      <c r="T36" s="285" t="str">
        <f>IFERROR(__xludf.DUMMYFUNCTION("""COMPUTED_VALUE"""),"Gracia")</f>
        <v>Gracia</v>
      </c>
      <c r="U36" s="285" t="str">
        <f>IFERROR(__xludf.DUMMYFUNCTION("""COMPUTED_VALUE"""),"081257278990")</f>
        <v>081257278990</v>
      </c>
      <c r="V36" s="285" t="str">
        <f>IFERROR(__xludf.DUMMYFUNCTION("""COMPUTED_VALUE"""),"Closing")</f>
        <v>Closing</v>
      </c>
      <c r="W36" s="285" t="str">
        <f>IFERROR(__xludf.DUMMYFUNCTION("""COMPUTED_VALUE"""),"1D Djawatan Baluran ")</f>
        <v>1D Djawatan Baluran </v>
      </c>
      <c r="X36" s="287"/>
      <c r="Y36" s="285">
        <f>IFERROR(__xludf.DUMMYFUNCTION("""COMPUTED_VALUE"""),4.0)</f>
        <v>4</v>
      </c>
      <c r="Z36" s="289">
        <f>IFERROR(__xludf.DUMMYFUNCTION("""COMPUTED_VALUE"""),2188000.0)</f>
        <v>2188000</v>
      </c>
      <c r="AA36" s="285" t="str">
        <f>IFERROR(__xludf.DUMMYFUNCTION("""COMPUTED_VALUE"""),"masih tanya2")</f>
        <v>masih tanya2</v>
      </c>
      <c r="AC36" s="285" t="str">
        <f>IFERROR(__xludf.DUMMYFUNCTION("""COMPUTED_VALUE"""),"2601D040")</f>
        <v>2601D040</v>
      </c>
      <c r="AD36" s="286">
        <f>IFERROR(__xludf.DUMMYFUNCTION("""COMPUTED_VALUE"""),46027.0)</f>
        <v>46027</v>
      </c>
      <c r="AE36" s="285" t="str">
        <f>IFERROR(__xludf.DUMMYFUNCTION("""COMPUTED_VALUE"""),"Gian Septim Rohmaduri")</f>
        <v>Gian Septim Rohmaduri</v>
      </c>
      <c r="AF36" s="285" t="str">
        <f>IFERROR(__xludf.DUMMYFUNCTION("""COMPUTED_VALUE"""),"081328834222")</f>
        <v>081328834222</v>
      </c>
      <c r="AG36" s="285" t="str">
        <f>IFERROR(__xludf.DUMMYFUNCTION("""COMPUTED_VALUE"""),"Gagal")</f>
        <v>Gagal</v>
      </c>
      <c r="AH36" s="285"/>
      <c r="AI36" s="287"/>
      <c r="AJ36" s="285">
        <f>IFERROR(__xludf.DUMMYFUNCTION("""COMPUTED_VALUE"""),10.0)</f>
        <v>10</v>
      </c>
      <c r="AK36" s="289"/>
      <c r="AL36" s="285" t="str">
        <f>IFERROR(__xludf.DUMMYFUNCTION("""COMPUTED_VALUE"""),"ga ada jawaban")</f>
        <v>ga ada jawaban</v>
      </c>
    </row>
    <row r="37">
      <c r="F37" s="285" t="str">
        <f>IFERROR(__xludf.DUMMYFUNCTION("""COMPUTED_VALUE"""),"2605D014")</f>
        <v>2605D014</v>
      </c>
      <c r="G37" s="286">
        <f>IFERROR(__xludf.DUMMYFUNCTION("""COMPUTED_VALUE"""),46147.0)</f>
        <v>46147</v>
      </c>
      <c r="H37" s="285" t="str">
        <f>IFERROR(__xludf.DUMMYFUNCTION("""COMPUTED_VALUE"""),"Anggita Oktavia")</f>
        <v>Anggita Oktavia</v>
      </c>
      <c r="I37" s="285" t="str">
        <f>IFERROR(__xludf.DUMMYFUNCTION("""COMPUTED_VALUE"""),"081807903434")</f>
        <v>081807903434</v>
      </c>
      <c r="J37" s="285" t="str">
        <f>IFERROR(__xludf.DUMMYFUNCTION("""COMPUTED_VALUE"""),"Leads Baru")</f>
        <v>Leads Baru</v>
      </c>
      <c r="K37" s="285" t="str">
        <f>IFERROR(__xludf.DUMMYFUNCTION("""COMPUTED_VALUE"""),"4h3m")</f>
        <v>4h3m</v>
      </c>
      <c r="L37" s="287">
        <f>IFERROR(__xludf.DUMMYFUNCTION("""COMPUTED_VALUE"""),46206.0)</f>
        <v>46206</v>
      </c>
      <c r="M37" s="288">
        <f>IFERROR(__xludf.DUMMYFUNCTION("""COMPUTED_VALUE"""),44.0)</f>
        <v>44</v>
      </c>
      <c r="N37" s="289"/>
      <c r="O37" s="290" t="str">
        <f>IFERROR(__xludf.DUMMYFUNCTION("""COMPUTED_VALUE"""),"kirim penawaran, FU lagi 1 juni")</f>
        <v>kirim penawaran, FU lagi 1 juni</v>
      </c>
      <c r="P37" s="291" t="str">
        <f>IFERROR(__xludf.DUMMYFUNCTION("""COMPUTED_VALUE"""),"https://docs.google.com/document/d/1oHoo0h0KIE9ZojSF9tN8i-whNzw1nD7doKEFA7u9CJM/edit?usp=sharing")</f>
        <v>https://docs.google.com/document/d/1oHoo0h0KIE9ZojSF9tN8i-whNzw1nD7doKEFA7u9CJM/edit?usp=sharing</v>
      </c>
      <c r="R37" s="285" t="str">
        <f>IFERROR(__xludf.DUMMYFUNCTION("""COMPUTED_VALUE"""),"2603D060")</f>
        <v>2603D060</v>
      </c>
      <c r="S37" s="286">
        <f>IFERROR(__xludf.DUMMYFUNCTION("""COMPUTED_VALUE"""),46095.0)</f>
        <v>46095</v>
      </c>
      <c r="T37" s="285" t="str">
        <f>IFERROR(__xludf.DUMMYFUNCTION("""COMPUTED_VALUE"""),"Sikna")</f>
        <v>Sikna</v>
      </c>
      <c r="U37" s="285" t="str">
        <f>IFERROR(__xludf.DUMMYFUNCTION("""COMPUTED_VALUE"""),"087741062741")</f>
        <v>087741062741</v>
      </c>
      <c r="V37" s="285" t="str">
        <f>IFERROR(__xludf.DUMMYFUNCTION("""COMPUTED_VALUE"""),"Closing")</f>
        <v>Closing</v>
      </c>
      <c r="W37" s="285" t="str">
        <f>IFERROR(__xludf.DUMMYFUNCTION("""COMPUTED_VALUE"""),"1D Menjangan Tabuhan")</f>
        <v>1D Menjangan Tabuhan</v>
      </c>
      <c r="X37" s="287">
        <f>IFERROR(__xludf.DUMMYFUNCTION("""COMPUTED_VALUE"""),46115.0)</f>
        <v>46115</v>
      </c>
      <c r="Y37" s="285">
        <f>IFERROR(__xludf.DUMMYFUNCTION("""COMPUTED_VALUE"""),4.0)</f>
        <v>4</v>
      </c>
      <c r="Z37" s="289">
        <f>IFERROR(__xludf.DUMMYFUNCTION("""COMPUTED_VALUE"""),2000000.0)</f>
        <v>2000000</v>
      </c>
      <c r="AA37" s="285" t="str">
        <f>IFERROR(__xludf.DUMMYFUNCTION("""COMPUTED_VALUE"""),"ORDERRRRRRR")</f>
        <v>ORDERRRRRRR</v>
      </c>
      <c r="AC37" s="285" t="str">
        <f>IFERROR(__xludf.DUMMYFUNCTION("""COMPUTED_VALUE"""),"2601D041")</f>
        <v>2601D041</v>
      </c>
      <c r="AD37" s="286">
        <f>IFERROR(__xludf.DUMMYFUNCTION("""COMPUTED_VALUE"""),46027.0)</f>
        <v>46027</v>
      </c>
      <c r="AE37" s="285" t="str">
        <f>IFERROR(__xludf.DUMMYFUNCTION("""COMPUTED_VALUE"""),"Bidadari Surga")</f>
        <v>Bidadari Surga</v>
      </c>
      <c r="AF37" s="285" t="str">
        <f>IFERROR(__xludf.DUMMYFUNCTION("""COMPUTED_VALUE"""),"082136616696")</f>
        <v>082136616696</v>
      </c>
      <c r="AG37" s="285" t="str">
        <f>IFERROR(__xludf.DUMMYFUNCTION("""COMPUTED_VALUE"""),"Gagal")</f>
        <v>Gagal</v>
      </c>
      <c r="AH37" s="285" t="str">
        <f>IFERROR(__xludf.DUMMYFUNCTION("""COMPUTED_VALUE"""),"3H2M")</f>
        <v>3H2M</v>
      </c>
      <c r="AI37" s="287"/>
      <c r="AJ37" s="285">
        <f>IFERROR(__xludf.DUMMYFUNCTION("""COMPUTED_VALUE"""),27.0)</f>
        <v>27</v>
      </c>
      <c r="AK37" s="289"/>
      <c r="AL37" s="285" t="str">
        <f>IFERROR(__xludf.DUMMYFUNCTION("""COMPUTED_VALUE"""),"FU MARET")</f>
        <v>FU MARET</v>
      </c>
    </row>
    <row r="38">
      <c r="F38" s="285" t="str">
        <f>IFERROR(__xludf.DUMMYFUNCTION("""COMPUTED_VALUE"""),"2605D019")</f>
        <v>2605D019</v>
      </c>
      <c r="G38" s="286">
        <f>IFERROR(__xludf.DUMMYFUNCTION("""COMPUTED_VALUE"""),46148.0)</f>
        <v>46148</v>
      </c>
      <c r="H38" s="285" t="str">
        <f>IFERROR(__xludf.DUMMYFUNCTION("""COMPUTED_VALUE"""),"Sandychantyka")</f>
        <v>Sandychantyka</v>
      </c>
      <c r="I38" s="285" t="str">
        <f>IFERROR(__xludf.DUMMYFUNCTION("""COMPUTED_VALUE"""),"085864140226")</f>
        <v>085864140226</v>
      </c>
      <c r="J38" s="285" t="str">
        <f>IFERROR(__xludf.DUMMYFUNCTION("""COMPUTED_VALUE"""),"Leads Baru")</f>
        <v>Leads Baru</v>
      </c>
      <c r="K38" s="285" t="str">
        <f>IFERROR(__xludf.DUMMYFUNCTION("""COMPUTED_VALUE"""),"2h1m Opsi C")</f>
        <v>2h1m Opsi C</v>
      </c>
      <c r="L38" s="287"/>
      <c r="M38" s="288">
        <f>IFERROR(__xludf.DUMMYFUNCTION("""COMPUTED_VALUE"""),2.0)</f>
        <v>2</v>
      </c>
      <c r="N38" s="289"/>
      <c r="O38" s="290" t="str">
        <f>IFERROR(__xludf.DUMMYFUNCTION("""COMPUTED_VALUE"""),"kalo jadi akan dihubungi lagii")</f>
        <v>kalo jadi akan dihubungi lagii</v>
      </c>
      <c r="P38" s="291" t="str">
        <f>IFERROR(__xludf.DUMMYFUNCTION("""COMPUTED_VALUE"""),"https://docs.google.com/document/d/1dyP1DzjpVtL4dEedf_0GH93y3aGmSGBvCrAH0ja_CyQ/edit?tab=t.0")</f>
        <v>https://docs.google.com/document/d/1dyP1DzjpVtL4dEedf_0GH93y3aGmSGBvCrAH0ja_CyQ/edit?tab=t.0</v>
      </c>
      <c r="R38" s="285" t="str">
        <f>IFERROR(__xludf.DUMMYFUNCTION("""COMPUTED_VALUE"""),"2510D027")</f>
        <v>2510D027</v>
      </c>
      <c r="S38" s="286">
        <f>IFERROR(__xludf.DUMMYFUNCTION("""COMPUTED_VALUE"""),45938.0)</f>
        <v>45938</v>
      </c>
      <c r="T38" s="285" t="str">
        <f>IFERROR(__xludf.DUMMYFUNCTION("""COMPUTED_VALUE"""),"Hanny Nurhayati")</f>
        <v>Hanny Nurhayati</v>
      </c>
      <c r="U38" s="285" t="str">
        <f>IFERROR(__xludf.DUMMYFUNCTION("""COMPUTED_VALUE"""),"085694425986")</f>
        <v>085694425986</v>
      </c>
      <c r="V38" s="285" t="str">
        <f>IFERROR(__xludf.DUMMYFUNCTION("""COMPUTED_VALUE"""),"Closing")</f>
        <v>Closing</v>
      </c>
      <c r="W38" s="285" t="str">
        <f>IFERROR(__xludf.DUMMYFUNCTION("""COMPUTED_VALUE"""),"4H3M  custom")</f>
        <v>4H3M  custom</v>
      </c>
      <c r="X38" s="287"/>
      <c r="Y38" s="285">
        <f>IFERROR(__xludf.DUMMYFUNCTION("""COMPUTED_VALUE"""),9.0)</f>
        <v>9</v>
      </c>
      <c r="Z38" s="289">
        <f>IFERROR(__xludf.DUMMYFUNCTION("""COMPUTED_VALUE"""),1.71E7)</f>
        <v>17100000</v>
      </c>
      <c r="AA38" s="285" t="str">
        <f>IFERROR(__xludf.DUMMYFUNCTION("""COMPUTED_VALUE"""),"Alhamdulillah order")</f>
        <v>Alhamdulillah order</v>
      </c>
      <c r="AC38" s="285" t="str">
        <f>IFERROR(__xludf.DUMMYFUNCTION("""COMPUTED_VALUE"""),"2601D042")</f>
        <v>2601D042</v>
      </c>
      <c r="AD38" s="286">
        <f>IFERROR(__xludf.DUMMYFUNCTION("""COMPUTED_VALUE"""),46027.0)</f>
        <v>46027</v>
      </c>
      <c r="AE38" s="285" t="str">
        <f>IFERROR(__xludf.DUMMYFUNCTION("""COMPUTED_VALUE"""),"Rosa Tan")</f>
        <v>Rosa Tan</v>
      </c>
      <c r="AF38" s="285" t="str">
        <f>IFERROR(__xludf.DUMMYFUNCTION("""COMPUTED_VALUE"""),"08562877979")</f>
        <v>08562877979</v>
      </c>
      <c r="AG38" s="285" t="str">
        <f>IFERROR(__xludf.DUMMYFUNCTION("""COMPUTED_VALUE"""),"Gagal")</f>
        <v>Gagal</v>
      </c>
      <c r="AH38" s="285" t="str">
        <f>IFERROR(__xludf.DUMMYFUNCTION("""COMPUTED_VALUE"""),"3H2M OR 2H1M")</f>
        <v>3H2M OR 2H1M</v>
      </c>
      <c r="AI38" s="287"/>
      <c r="AJ38" s="285">
        <f>IFERROR(__xludf.DUMMYFUNCTION("""COMPUTED_VALUE"""),50.0)</f>
        <v>50</v>
      </c>
      <c r="AK38" s="289">
        <f>IFERROR(__xludf.DUMMYFUNCTION("""COMPUTED_VALUE"""),4.5E7)</f>
        <v>45000000</v>
      </c>
      <c r="AL38" s="285" t="str">
        <f>IFERROR(__xludf.DUMMYFUNCTION("""COMPUTED_VALUE"""),"DESTINASI SENIOR FRIENDLY, follow up mei")</f>
        <v>DESTINASI SENIOR FRIENDLY, follow up mei</v>
      </c>
    </row>
    <row r="39">
      <c r="F39" s="285" t="str">
        <f>IFERROR(__xludf.DUMMYFUNCTION("""COMPUTED_VALUE"""),"2605D024")</f>
        <v>2605D024</v>
      </c>
      <c r="G39" s="286">
        <f>IFERROR(__xludf.DUMMYFUNCTION("""COMPUTED_VALUE"""),46148.0)</f>
        <v>46148</v>
      </c>
      <c r="H39" s="285" t="str">
        <f>IFERROR(__xludf.DUMMYFUNCTION("""COMPUTED_VALUE"""),"Wahyu Ismail")</f>
        <v>Wahyu Ismail</v>
      </c>
      <c r="I39" s="285" t="str">
        <f>IFERROR(__xludf.DUMMYFUNCTION("""COMPUTED_VALUE"""),"087738979188")</f>
        <v>087738979188</v>
      </c>
      <c r="J39" s="285" t="str">
        <f>IFERROR(__xludf.DUMMYFUNCTION("""COMPUTED_VALUE"""),"Leads Baru")</f>
        <v>Leads Baru</v>
      </c>
      <c r="K39" s="285"/>
      <c r="L39" s="287"/>
      <c r="M39" s="288"/>
      <c r="N39" s="289"/>
      <c r="O39" s="290" t="str">
        <f>IFERROR(__xludf.DUMMYFUNCTION("""COMPUTED_VALUE"""),"B2B")</f>
        <v>B2B</v>
      </c>
      <c r="P39" s="291" t="str">
        <f>IFERROR(__xludf.DUMMYFUNCTION("""COMPUTED_VALUE"""),"https://docs.google.com/document/d/1-yIpC01ZGDcoSgBQczirpYBq5zg0qIol8COZIov61RQ/edit?usp=sharing")</f>
        <v>https://docs.google.com/document/d/1-yIpC01ZGDcoSgBQczirpYBq5zg0qIol8COZIov61RQ/edit?usp=sharing</v>
      </c>
      <c r="R39" s="285" t="str">
        <f>IFERROR(__xludf.DUMMYFUNCTION("""COMPUTED_VALUE"""),"2603D062")</f>
        <v>2603D062</v>
      </c>
      <c r="S39" s="286">
        <f>IFERROR(__xludf.DUMMYFUNCTION("""COMPUTED_VALUE"""),46095.0)</f>
        <v>46095</v>
      </c>
      <c r="T39" s="285" t="str">
        <f>IFERROR(__xludf.DUMMYFUNCTION("""COMPUTED_VALUE"""),"Joseph Wibisono ")</f>
        <v>Joseph Wibisono </v>
      </c>
      <c r="U39" s="285" t="str">
        <f>IFERROR(__xludf.DUMMYFUNCTION("""COMPUTED_VALUE"""),"085227893637")</f>
        <v>085227893637</v>
      </c>
      <c r="V39" s="285" t="str">
        <f>IFERROR(__xludf.DUMMYFUNCTION("""COMPUTED_VALUE"""),"Closing")</f>
        <v>Closing</v>
      </c>
      <c r="W39" s="285" t="str">
        <f>IFERROR(__xludf.DUMMYFUNCTION("""COMPUTED_VALUE"""),"3H2M custome")</f>
        <v>3H2M custome</v>
      </c>
      <c r="X39" s="287"/>
      <c r="Y39" s="285">
        <f>IFERROR(__xludf.DUMMYFUNCTION("""COMPUTED_VALUE"""),2.0)</f>
        <v>2</v>
      </c>
      <c r="Z39" s="289"/>
      <c r="AA39" s="285" t="str">
        <f>IFERROR(__xludf.DUMMYFUNCTION("""COMPUTED_VALUE"""),"ORDERRRRRRR")</f>
        <v>ORDERRRRRRR</v>
      </c>
      <c r="AC39" s="285" t="str">
        <f>IFERROR(__xludf.DUMMYFUNCTION("""COMPUTED_VALUE"""),"2601D043")</f>
        <v>2601D043</v>
      </c>
      <c r="AD39" s="286">
        <f>IFERROR(__xludf.DUMMYFUNCTION("""COMPUTED_VALUE"""),46027.0)</f>
        <v>46027</v>
      </c>
      <c r="AE39" s="285" t="str">
        <f>IFERROR(__xludf.DUMMYFUNCTION("""COMPUTED_VALUE"""),"Dwi K")</f>
        <v>Dwi K</v>
      </c>
      <c r="AF39" s="285" t="str">
        <f>IFERROR(__xludf.DUMMYFUNCTION("""COMPUTED_VALUE"""),"0811822328")</f>
        <v>0811822328</v>
      </c>
      <c r="AG39" s="285" t="str">
        <f>IFERROR(__xludf.DUMMYFUNCTION("""COMPUTED_VALUE"""),"Gagal")</f>
        <v>Gagal</v>
      </c>
      <c r="AH39" s="285" t="str">
        <f>IFERROR(__xludf.DUMMYFUNCTION("""COMPUTED_VALUE"""),"OT 3h2m")</f>
        <v>OT 3h2m</v>
      </c>
      <c r="AI39" s="287"/>
      <c r="AJ39" s="285"/>
      <c r="AK39" s="289"/>
      <c r="AL39" s="285" t="str">
        <f>IFERROR(__xludf.DUMMYFUNCTION("""COMPUTED_VALUE"""),"tidak jawab")</f>
        <v>tidak jawab</v>
      </c>
    </row>
    <row r="40">
      <c r="F40" s="285" t="str">
        <f>IFERROR(__xludf.DUMMYFUNCTION("""COMPUTED_VALUE"""),"2605D028")</f>
        <v>2605D028</v>
      </c>
      <c r="G40" s="286">
        <f>IFERROR(__xludf.DUMMYFUNCTION("""COMPUTED_VALUE"""),46152.0)</f>
        <v>46152</v>
      </c>
      <c r="H40" s="285" t="str">
        <f>IFERROR(__xludf.DUMMYFUNCTION("""COMPUTED_VALUE"""),"Fakhri")</f>
        <v>Fakhri</v>
      </c>
      <c r="I40" s="285" t="str">
        <f>IFERROR(__xludf.DUMMYFUNCTION("""COMPUTED_VALUE"""),"082220555002")</f>
        <v>082220555002</v>
      </c>
      <c r="J40" s="285" t="str">
        <f>IFERROR(__xludf.DUMMYFUNCTION("""COMPUTED_VALUE"""),"Leads Baru")</f>
        <v>Leads Baru</v>
      </c>
      <c r="K40" s="285" t="str">
        <f>IFERROR(__xludf.DUMMYFUNCTION("""COMPUTED_VALUE"""),"4H3M")</f>
        <v>4H3M</v>
      </c>
      <c r="L40" s="287"/>
      <c r="M40" s="288">
        <f>IFERROR(__xludf.DUMMYFUNCTION("""COMPUTED_VALUE"""),2.0)</f>
        <v>2</v>
      </c>
      <c r="N40" s="289"/>
      <c r="O40" s="290" t="str">
        <f>IFERROR(__xludf.DUMMYFUNCTION("""COMPUTED_VALUE"""),"sudah kasih harga, FU 11 Juni")</f>
        <v>sudah kasih harga, FU 11 Juni</v>
      </c>
      <c r="P40" s="291" t="str">
        <f>IFERROR(__xludf.DUMMYFUNCTION("""COMPUTED_VALUE"""),"https://docs.google.com/document/d/1NtlzGZDLfNlt1971pPrT4aFEB86nNTHmGbbDZtSIAKk/edit?usp=sharing")</f>
        <v>https://docs.google.com/document/d/1NtlzGZDLfNlt1971pPrT4aFEB86nNTHmGbbDZtSIAKk/edit?usp=sharing</v>
      </c>
      <c r="R40" s="285" t="str">
        <f>IFERROR(__xludf.DUMMYFUNCTION("""COMPUTED_VALUE"""),"2603D067")</f>
        <v>2603D067</v>
      </c>
      <c r="S40" s="286">
        <f>IFERROR(__xludf.DUMMYFUNCTION("""COMPUTED_VALUE"""),46097.0)</f>
        <v>46097</v>
      </c>
      <c r="T40" s="285" t="str">
        <f>IFERROR(__xludf.DUMMYFUNCTION("""COMPUTED_VALUE"""),"Veren")</f>
        <v>Veren</v>
      </c>
      <c r="U40" s="285" t="str">
        <f>IFERROR(__xludf.DUMMYFUNCTION("""COMPUTED_VALUE"""),"0895630000543")</f>
        <v>0895630000543</v>
      </c>
      <c r="V40" s="285" t="str">
        <f>IFERROR(__xludf.DUMMYFUNCTION("""COMPUTED_VALUE"""),"Closing")</f>
        <v>Closing</v>
      </c>
      <c r="W40" s="285" t="str">
        <f>IFERROR(__xludf.DUMMYFUNCTION("""COMPUTED_VALUE"""),"freedive ")</f>
        <v>freedive </v>
      </c>
      <c r="X40" s="287"/>
      <c r="Y40" s="285"/>
      <c r="Z40" s="289"/>
      <c r="AA40" s="285" t="str">
        <f>IFERROR(__xludf.DUMMYFUNCTION("""COMPUTED_VALUE"""),"teman Astria")</f>
        <v>teman Astria</v>
      </c>
      <c r="AC40" s="285" t="str">
        <f>IFERROR(__xludf.DUMMYFUNCTION("""COMPUTED_VALUE"""),"2601D045")</f>
        <v>2601D045</v>
      </c>
      <c r="AD40" s="286">
        <f>IFERROR(__xludf.DUMMYFUNCTION("""COMPUTED_VALUE"""),46027.0)</f>
        <v>46027</v>
      </c>
      <c r="AE40" s="285" t="str">
        <f>IFERROR(__xludf.DUMMYFUNCTION("""COMPUTED_VALUE"""),"D. Luhki")</f>
        <v>D. Luhki</v>
      </c>
      <c r="AF40" s="285" t="str">
        <f>IFERROR(__xludf.DUMMYFUNCTION("""COMPUTED_VALUE"""),"0818575855")</f>
        <v>0818575855</v>
      </c>
      <c r="AG40" s="285" t="str">
        <f>IFERROR(__xludf.DUMMYFUNCTION("""COMPUTED_VALUE"""),"Gagal")</f>
        <v>Gagal</v>
      </c>
      <c r="AH40" s="285" t="str">
        <f>IFERROR(__xludf.DUMMYFUNCTION("""COMPUTED_VALUE"""),"2D1N")</f>
        <v>2D1N</v>
      </c>
      <c r="AI40" s="287"/>
      <c r="AJ40" s="285">
        <f>IFERROR(__xludf.DUMMYFUNCTION("""COMPUTED_VALUE"""),60.0)</f>
        <v>60</v>
      </c>
      <c r="AK40" s="289"/>
      <c r="AL40" s="285" t="str">
        <f>IFERROR(__xludf.DUMMYFUNCTION("""COMPUTED_VALUE"""),"sdh fu tanggal 17")</f>
        <v>sdh fu tanggal 17</v>
      </c>
    </row>
    <row r="41">
      <c r="F41" s="285" t="str">
        <f>IFERROR(__xludf.DUMMYFUNCTION("""COMPUTED_VALUE"""),"2605D035")</f>
        <v>2605D035</v>
      </c>
      <c r="G41" s="286">
        <f>IFERROR(__xludf.DUMMYFUNCTION("""COMPUTED_VALUE"""),46153.0)</f>
        <v>46153</v>
      </c>
      <c r="H41" s="285" t="str">
        <f>IFERROR(__xludf.DUMMYFUNCTION("""COMPUTED_VALUE"""),"Mama Boy")</f>
        <v>Mama Boy</v>
      </c>
      <c r="I41" s="285" t="str">
        <f>IFERROR(__xludf.DUMMYFUNCTION("""COMPUTED_VALUE"""),"60102003144")</f>
        <v>60102003144</v>
      </c>
      <c r="J41" s="285" t="str">
        <f>IFERROR(__xludf.DUMMYFUNCTION("""COMPUTED_VALUE"""),"Leads Baru")</f>
        <v>Leads Baru</v>
      </c>
      <c r="K41" s="285" t="str">
        <f>IFERROR(__xludf.DUMMYFUNCTION("""COMPUTED_VALUE"""),"2h1m opsi c")</f>
        <v>2h1m opsi c</v>
      </c>
      <c r="L41" s="287"/>
      <c r="M41" s="288">
        <f>IFERROR(__xludf.DUMMYFUNCTION("""COMPUTED_VALUE"""),3.0)</f>
        <v>3</v>
      </c>
      <c r="N41" s="289"/>
      <c r="O41" s="290" t="str">
        <f>IFERROR(__xludf.DUMMYFUNCTION("""COMPUTED_VALUE"""),"masih diskuss")</f>
        <v>masih diskuss</v>
      </c>
      <c r="P41" s="291" t="str">
        <f>IFERROR(__xludf.DUMMYFUNCTION("""COMPUTED_VALUE"""),"https://docs.google.com/document/d/1xPan_0giyffBX4xkJJkx1CbbXnWtbmRsjkDBBx6vTFY/edit?usp=sharing")</f>
        <v>https://docs.google.com/document/d/1xPan_0giyffBX4xkJJkx1CbbXnWtbmRsjkDBBx6vTFY/edit?usp=sharing</v>
      </c>
      <c r="R41" s="285" t="str">
        <f>IFERROR(__xludf.DUMMYFUNCTION("""COMPUTED_VALUE"""),"2603D088")</f>
        <v>2603D088</v>
      </c>
      <c r="S41" s="286">
        <f>IFERROR(__xludf.DUMMYFUNCTION("""COMPUTED_VALUE"""),46101.0)</f>
        <v>46101</v>
      </c>
      <c r="T41" s="285" t="str">
        <f>IFERROR(__xludf.DUMMYFUNCTION("""COMPUTED_VALUE"""),"Ajikk")</f>
        <v>Ajikk</v>
      </c>
      <c r="U41" s="285" t="str">
        <f>IFERROR(__xludf.DUMMYFUNCTION("""COMPUTED_VALUE"""),"085881851846")</f>
        <v>085881851846</v>
      </c>
      <c r="V41" s="285" t="str">
        <f>IFERROR(__xludf.DUMMYFUNCTION("""COMPUTED_VALUE"""),"Closing")</f>
        <v>Closing</v>
      </c>
      <c r="W41" s="285" t="str">
        <f>IFERROR(__xludf.DUMMYFUNCTION("""COMPUTED_VALUE"""),"2h1m custom")</f>
        <v>2h1m custom</v>
      </c>
      <c r="X41" s="287">
        <f>IFERROR(__xludf.DUMMYFUNCTION("""COMPUTED_VALUE"""),46105.0)</f>
        <v>46105</v>
      </c>
      <c r="Y41" s="285">
        <f>IFERROR(__xludf.DUMMYFUNCTION("""COMPUTED_VALUE"""),5.0)</f>
        <v>5</v>
      </c>
      <c r="Z41" s="289">
        <f>IFERROR(__xludf.DUMMYFUNCTION("""COMPUTED_VALUE"""),5600000.0)</f>
        <v>5600000</v>
      </c>
      <c r="AA41" s="285" t="str">
        <f>IFERROR(__xludf.DUMMYFUNCTION("""COMPUTED_VALUE"""),"alhamdulillah order")</f>
        <v>alhamdulillah order</v>
      </c>
      <c r="AC41" s="285" t="str">
        <f>IFERROR(__xludf.DUMMYFUNCTION("""COMPUTED_VALUE"""),"2601D046")</f>
        <v>2601D046</v>
      </c>
      <c r="AD41" s="286">
        <f>IFERROR(__xludf.DUMMYFUNCTION("""COMPUTED_VALUE"""),46027.0)</f>
        <v>46027</v>
      </c>
      <c r="AE41" s="285" t="str">
        <f>IFERROR(__xludf.DUMMYFUNCTION("""COMPUTED_VALUE"""),"Erlangga")</f>
        <v>Erlangga</v>
      </c>
      <c r="AF41" s="285" t="str">
        <f>IFERROR(__xludf.DUMMYFUNCTION("""COMPUTED_VALUE"""),"0895340047293")</f>
        <v>0895340047293</v>
      </c>
      <c r="AG41" s="285" t="str">
        <f>IFERROR(__xludf.DUMMYFUNCTION("""COMPUTED_VALUE"""),"Gagal")</f>
        <v>Gagal</v>
      </c>
      <c r="AH41" s="285" t="str">
        <f>IFERROR(__xludf.DUMMYFUNCTION("""COMPUTED_VALUE"""),"3H2M")</f>
        <v>3H2M</v>
      </c>
      <c r="AI41" s="287"/>
      <c r="AJ41" s="285">
        <f>IFERROR(__xludf.DUMMYFUNCTION("""COMPUTED_VALUE"""),100.0)</f>
        <v>100</v>
      </c>
      <c r="AK41" s="289">
        <f>IFERROR(__xludf.DUMMYFUNCTION("""COMPUTED_VALUE"""),1.346E8)</f>
        <v>134600000</v>
      </c>
      <c r="AL41" s="285" t="str">
        <f>IFERROR(__xludf.DUMMYFUNCTION("""COMPUTED_VALUE"""),"tidak ada jawaban")</f>
        <v>tidak ada jawaban</v>
      </c>
    </row>
    <row r="42">
      <c r="F42" s="285" t="str">
        <f>IFERROR(__xludf.DUMMYFUNCTION("""COMPUTED_VALUE"""),"2605D038")</f>
        <v>2605D038</v>
      </c>
      <c r="G42" s="286">
        <f>IFERROR(__xludf.DUMMYFUNCTION("""COMPUTED_VALUE"""),46154.0)</f>
        <v>46154</v>
      </c>
      <c r="H42" s="285" t="str">
        <f>IFERROR(__xludf.DUMMYFUNCTION("""COMPUTED_VALUE"""),"Regina DA")</f>
        <v>Regina DA</v>
      </c>
      <c r="I42" s="285" t="str">
        <f>IFERROR(__xludf.DUMMYFUNCTION("""COMPUTED_VALUE"""),"081253317588")</f>
        <v>081253317588</v>
      </c>
      <c r="J42" s="285" t="str">
        <f>IFERROR(__xludf.DUMMYFUNCTION("""COMPUTED_VALUE"""),"Leads Baru")</f>
        <v>Leads Baru</v>
      </c>
      <c r="K42" s="285" t="str">
        <f>IFERROR(__xludf.DUMMYFUNCTION("""COMPUTED_VALUE"""),"trip 2h1m custome GI,I")</f>
        <v>trip 2h1m custome GI,I</v>
      </c>
      <c r="L42" s="287"/>
      <c r="M42" s="288">
        <f>IFERROR(__xludf.DUMMYFUNCTION("""COMPUTED_VALUE"""),2.0)</f>
        <v>2</v>
      </c>
      <c r="N42" s="289"/>
      <c r="O42" s="290"/>
      <c r="P42" s="291" t="str">
        <f>IFERROR(__xludf.DUMMYFUNCTION("""COMPUTED_VALUE"""),"https://docs.google.com/document/d/1IcU39YlcONko4OhP92nIf2FY_6RStNqsi3fxy-nVFhw/edit?usp=sharing")</f>
        <v>https://docs.google.com/document/d/1IcU39YlcONko4OhP92nIf2FY_6RStNqsi3fxy-nVFhw/edit?usp=sharing</v>
      </c>
      <c r="R42" s="285" t="str">
        <f>IFERROR(__xludf.DUMMYFUNCTION("""COMPUTED_VALUE"""),"2603D111")</f>
        <v>2603D111</v>
      </c>
      <c r="S42" s="286">
        <f>IFERROR(__xludf.DUMMYFUNCTION("""COMPUTED_VALUE"""),46105.0)</f>
        <v>46105</v>
      </c>
      <c r="T42" s="285" t="str">
        <f>IFERROR(__xludf.DUMMYFUNCTION("""COMPUTED_VALUE"""),"Yusmianto Use")</f>
        <v>Yusmianto Use</v>
      </c>
      <c r="U42" s="285" t="str">
        <f>IFERROR(__xludf.DUMMYFUNCTION("""COMPUTED_VALUE"""),"081460004147")</f>
        <v>081460004147</v>
      </c>
      <c r="V42" s="285" t="str">
        <f>IFERROR(__xludf.DUMMYFUNCTION("""COMPUTED_VALUE"""),"Closing")</f>
        <v>Closing</v>
      </c>
      <c r="W42" s="285" t="str">
        <f>IFERROR(__xludf.DUMMYFUNCTION("""COMPUTED_VALUE"""),"trip 1d teluk ijo ")</f>
        <v>trip 1d teluk ijo </v>
      </c>
      <c r="X42" s="287">
        <f>IFERROR(__xludf.DUMMYFUNCTION("""COMPUTED_VALUE"""),46107.0)</f>
        <v>46107</v>
      </c>
      <c r="Y42" s="285">
        <f>IFERROR(__xludf.DUMMYFUNCTION("""COMPUTED_VALUE"""),5.0)</f>
        <v>5</v>
      </c>
      <c r="Z42" s="289">
        <f>IFERROR(__xludf.DUMMYFUNCTION("""COMPUTED_VALUE"""),3037500.0)</f>
        <v>3037500</v>
      </c>
      <c r="AA42" s="285" t="str">
        <f>IFERROR(__xludf.DUMMYFUNCTION("""COMPUTED_VALUE"""),"ALHAMDULILLAH ORDER LAGIII")</f>
        <v>ALHAMDULILLAH ORDER LAGIII</v>
      </c>
      <c r="AC42" s="285" t="str">
        <f>IFERROR(__xludf.DUMMYFUNCTION("""COMPUTED_VALUE"""),"2601D047")</f>
        <v>2601D047</v>
      </c>
      <c r="AD42" s="286">
        <f>IFERROR(__xludf.DUMMYFUNCTION("""COMPUTED_VALUE"""),46027.0)</f>
        <v>46027</v>
      </c>
      <c r="AE42" s="285" t="str">
        <f>IFERROR(__xludf.DUMMYFUNCTION("""COMPUTED_VALUE"""),"KAI WNA ")</f>
        <v>KAI WNA </v>
      </c>
      <c r="AF42" s="285" t="str">
        <f>IFERROR(__xludf.DUMMYFUNCTION("""COMPUTED_VALUE"""),"4915736805277")</f>
        <v>4915736805277</v>
      </c>
      <c r="AG42" s="285" t="str">
        <f>IFERROR(__xludf.DUMMYFUNCTION("""COMPUTED_VALUE"""),"Gagal")</f>
        <v>Gagal</v>
      </c>
      <c r="AH42" s="285" t="str">
        <f>IFERROR(__xludf.DUMMYFUNCTION("""COMPUTED_VALUE"""),"TN ALAS PURWO")</f>
        <v>TN ALAS PURWO</v>
      </c>
      <c r="AI42" s="287"/>
      <c r="AJ42" s="285">
        <f>IFERROR(__xludf.DUMMYFUNCTION("""COMPUTED_VALUE"""),2.0)</f>
        <v>2</v>
      </c>
      <c r="AK42" s="289"/>
      <c r="AL42" s="285" t="str">
        <f>IFERROR(__xludf.DUMMYFUNCTION("""COMPUTED_VALUE"""),"tdk ada kelanjutan")</f>
        <v>tdk ada kelanjutan</v>
      </c>
    </row>
    <row r="43">
      <c r="F43" s="285" t="str">
        <f>IFERROR(__xludf.DUMMYFUNCTION("""COMPUTED_VALUE"""),"2605D039")</f>
        <v>2605D039</v>
      </c>
      <c r="G43" s="286">
        <f>IFERROR(__xludf.DUMMYFUNCTION("""COMPUTED_VALUE"""),46153.0)</f>
        <v>46153</v>
      </c>
      <c r="H43" s="285" t="str">
        <f>IFERROR(__xludf.DUMMYFUNCTION("""COMPUTED_VALUE"""),"Laksana")</f>
        <v>Laksana</v>
      </c>
      <c r="I43" s="285" t="str">
        <f>IFERROR(__xludf.DUMMYFUNCTION("""COMPUTED_VALUE"""),"081323536688")</f>
        <v>081323536688</v>
      </c>
      <c r="J43" s="285" t="str">
        <f>IFERROR(__xludf.DUMMYFUNCTION("""COMPUTED_VALUE"""),"Leads Baru")</f>
        <v>Leads Baru</v>
      </c>
      <c r="K43" s="285" t="str">
        <f>IFERROR(__xludf.DUMMYFUNCTION("""COMPUTED_VALUE"""),"2h1m opsi B")</f>
        <v>2h1m opsi B</v>
      </c>
      <c r="L43" s="287"/>
      <c r="M43" s="288">
        <f>IFERROR(__xludf.DUMMYFUNCTION("""COMPUTED_VALUE"""),40.0)</f>
        <v>40</v>
      </c>
      <c r="N43" s="289"/>
      <c r="O43" s="290" t="str">
        <f>IFERROR(__xludf.DUMMYFUNCTION("""COMPUTED_VALUE"""),"minta penawaran, belum tau trip nya kapan")</f>
        <v>minta penawaran, belum tau trip nya kapan</v>
      </c>
      <c r="P43" s="291" t="str">
        <f>IFERROR(__xludf.DUMMYFUNCTION("""COMPUTED_VALUE"""),"https://docs.google.com/document/d/1JQuoQnXo77V-gAoncDa2yTF-WFWwq7xoUi0JIb1gglI/edit?usp=sharing")</f>
        <v>https://docs.google.com/document/d/1JQuoQnXo77V-gAoncDa2yTF-WFWwq7xoUi0JIb1gglI/edit?usp=sharing</v>
      </c>
      <c r="R43" s="285" t="str">
        <f>IFERROR(__xludf.DUMMYFUNCTION("""COMPUTED_VALUE"""),"2603D114")</f>
        <v>2603D114</v>
      </c>
      <c r="S43" s="286">
        <f>IFERROR(__xludf.DUMMYFUNCTION("""COMPUTED_VALUE"""),46105.0)</f>
        <v>46105</v>
      </c>
      <c r="T43" s="285" t="str">
        <f>IFERROR(__xludf.DUMMYFUNCTION("""COMPUTED_VALUE"""),"Dina Rizkia Iskandar ")</f>
        <v>Dina Rizkia Iskandar </v>
      </c>
      <c r="U43" s="285" t="str">
        <f>IFERROR(__xludf.DUMMYFUNCTION("""COMPUTED_VALUE"""),"085885424452")</f>
        <v>085885424452</v>
      </c>
      <c r="V43" s="285" t="str">
        <f>IFERROR(__xludf.DUMMYFUNCTION("""COMPUTED_VALUE"""),"Closing")</f>
        <v>Closing</v>
      </c>
      <c r="W43" s="285" t="str">
        <f>IFERROR(__xludf.DUMMYFUNCTION("""COMPUTED_VALUE"""),"Menjangan Tabuhan ")</f>
        <v>Menjangan Tabuhan </v>
      </c>
      <c r="X43" s="287">
        <f>IFERROR(__xludf.DUMMYFUNCTION("""COMPUTED_VALUE"""),46157.0)</f>
        <v>46157</v>
      </c>
      <c r="Y43" s="285">
        <f>IFERROR(__xludf.DUMMYFUNCTION("""COMPUTED_VALUE"""),2.0)</f>
        <v>2</v>
      </c>
      <c r="Z43" s="289">
        <f>IFERROR(__xludf.DUMMYFUNCTION("""COMPUTED_VALUE"""),1700000.0)</f>
        <v>1700000</v>
      </c>
      <c r="AA43" s="285" t="str">
        <f>IFERROR(__xludf.DUMMYFUNCTION("""COMPUTED_VALUE"""),"orderrr")</f>
        <v>orderrr</v>
      </c>
      <c r="AC43" s="285" t="str">
        <f>IFERROR(__xludf.DUMMYFUNCTION("""COMPUTED_VALUE"""),"2601D048")</f>
        <v>2601D048</v>
      </c>
      <c r="AD43" s="286">
        <f>IFERROR(__xludf.DUMMYFUNCTION("""COMPUTED_VALUE"""),46027.0)</f>
        <v>46027</v>
      </c>
      <c r="AE43" s="285" t="str">
        <f>IFERROR(__xludf.DUMMYFUNCTION("""COMPUTED_VALUE"""),"Nww")</f>
        <v>Nww</v>
      </c>
      <c r="AF43" s="285" t="str">
        <f>IFERROR(__xludf.DUMMYFUNCTION("""COMPUTED_VALUE"""),"082232269773")</f>
        <v>082232269773</v>
      </c>
      <c r="AG43" s="285" t="str">
        <f>IFERROR(__xludf.DUMMYFUNCTION("""COMPUTED_VALUE"""),"Gagal")</f>
        <v>Gagal</v>
      </c>
      <c r="AH43" s="285"/>
      <c r="AI43" s="287"/>
      <c r="AJ43" s="285"/>
      <c r="AK43" s="289"/>
      <c r="AL43" s="285"/>
    </row>
    <row r="44">
      <c r="F44" s="285" t="str">
        <f>IFERROR(__xludf.DUMMYFUNCTION("""COMPUTED_VALUE"""),"2605D053")</f>
        <v>2605D053</v>
      </c>
      <c r="G44" s="286">
        <f>IFERROR(__xludf.DUMMYFUNCTION("""COMPUTED_VALUE"""),46156.0)</f>
        <v>46156</v>
      </c>
      <c r="H44" s="285" t="str">
        <f>IFERROR(__xludf.DUMMYFUNCTION("""COMPUTED_VALUE"""),"Fitri Ramayanti")</f>
        <v>Fitri Ramayanti</v>
      </c>
      <c r="I44" s="285" t="str">
        <f>IFERROR(__xludf.DUMMYFUNCTION("""COMPUTED_VALUE"""),"085771154647")</f>
        <v>085771154647</v>
      </c>
      <c r="J44" s="285" t="str">
        <f>IFERROR(__xludf.DUMMYFUNCTION("""COMPUTED_VALUE"""),"Leads Baru")</f>
        <v>Leads Baru</v>
      </c>
      <c r="K44" s="285" t="str">
        <f>IFERROR(__xludf.DUMMYFUNCTION("""COMPUTED_VALUE"""),"4h3m")</f>
        <v>4h3m</v>
      </c>
      <c r="L44" s="287"/>
      <c r="M44" s="288">
        <f>IFERROR(__xludf.DUMMYFUNCTION("""COMPUTED_VALUE"""),46177.0)</f>
        <v>46177</v>
      </c>
      <c r="N44" s="289"/>
      <c r="O44" s="290" t="str">
        <f>IFERROR(__xludf.DUMMYFUNCTION("""COMPUTED_VALUE"""),"sudah share penawaran")</f>
        <v>sudah share penawaran</v>
      </c>
      <c r="P44" s="291" t="str">
        <f>IFERROR(__xludf.DUMMYFUNCTION("""COMPUTED_VALUE"""),"https://docs.google.com/document/d/1TypYMg3aYXCbvMtvL4Kecfq4ZczuTgRbJoXE0MWp8h8/edit?usp=sharing")</f>
        <v>https://docs.google.com/document/d/1TypYMg3aYXCbvMtvL4Kecfq4ZczuTgRbJoXE0MWp8h8/edit?usp=sharing</v>
      </c>
      <c r="R44" s="285" t="str">
        <f>IFERROR(__xludf.DUMMYFUNCTION("""COMPUTED_VALUE"""),"2603D133")</f>
        <v>2603D133</v>
      </c>
      <c r="S44" s="286">
        <f>IFERROR(__xludf.DUMMYFUNCTION("""COMPUTED_VALUE"""),46109.0)</f>
        <v>46109</v>
      </c>
      <c r="T44" s="285" t="str">
        <f>IFERROR(__xludf.DUMMYFUNCTION("""COMPUTED_VALUE"""),"Reendiana")</f>
        <v>Reendiana</v>
      </c>
      <c r="U44" s="285" t="str">
        <f>IFERROR(__xludf.DUMMYFUNCTION("""COMPUTED_VALUE"""),"085730017788")</f>
        <v>085730017788</v>
      </c>
      <c r="V44" s="285" t="str">
        <f>IFERROR(__xludf.DUMMYFUNCTION("""COMPUTED_VALUE"""),"Closing")</f>
        <v>Closing</v>
      </c>
      <c r="W44" s="285" t="str">
        <f>IFERROR(__xludf.DUMMYFUNCTION("""COMPUTED_VALUE"""),"2H1M Custome")</f>
        <v>2H1M Custome</v>
      </c>
      <c r="X44" s="287"/>
      <c r="Y44" s="285">
        <f>IFERROR(__xludf.DUMMYFUNCTION("""COMPUTED_VALUE"""),2.0)</f>
        <v>2</v>
      </c>
      <c r="Z44" s="289">
        <f>IFERROR(__xludf.DUMMYFUNCTION("""COMPUTED_VALUE"""),3850000.0)</f>
        <v>3850000</v>
      </c>
      <c r="AA44" s="285" t="str">
        <f>IFERROR(__xludf.DUMMYFUNCTION("""COMPUTED_VALUE"""),"orderrr")</f>
        <v>orderrr</v>
      </c>
      <c r="AC44" s="285" t="str">
        <f>IFERROR(__xludf.DUMMYFUNCTION("""COMPUTED_VALUE"""),"2601D049")</f>
        <v>2601D049</v>
      </c>
      <c r="AD44" s="286">
        <f>IFERROR(__xludf.DUMMYFUNCTION("""COMPUTED_VALUE"""),46027.0)</f>
        <v>46027</v>
      </c>
      <c r="AE44" s="285" t="str">
        <f>IFERROR(__xludf.DUMMYFUNCTION("""COMPUTED_VALUE"""),"Fjr")</f>
        <v>Fjr</v>
      </c>
      <c r="AF44" s="285" t="str">
        <f>IFERROR(__xludf.DUMMYFUNCTION("""COMPUTED_VALUE"""),"081937743496")</f>
        <v>081937743496</v>
      </c>
      <c r="AG44" s="285" t="str">
        <f>IFERROR(__xludf.DUMMYFUNCTION("""COMPUTED_VALUE"""),"Gagal")</f>
        <v>Gagal</v>
      </c>
      <c r="AH44" s="285" t="str">
        <f>IFERROR(__xludf.DUMMYFUNCTION("""COMPUTED_VALUE"""),"trip bedil ")</f>
        <v>trip bedil </v>
      </c>
      <c r="AI44" s="287"/>
      <c r="AJ44" s="285"/>
      <c r="AK44" s="289"/>
      <c r="AL44" s="285" t="str">
        <f>IFERROR(__xludf.DUMMYFUNCTION("""COMPUTED_VALUE"""),"tidak jawab")</f>
        <v>tidak jawab</v>
      </c>
    </row>
    <row r="45">
      <c r="F45" s="285" t="str">
        <f>IFERROR(__xludf.DUMMYFUNCTION("""COMPUTED_VALUE"""),"2605D054")</f>
        <v>2605D054</v>
      </c>
      <c r="G45" s="286">
        <f>IFERROR(__xludf.DUMMYFUNCTION("""COMPUTED_VALUE"""),46156.0)</f>
        <v>46156</v>
      </c>
      <c r="H45" s="285" t="str">
        <f>IFERROR(__xludf.DUMMYFUNCTION("""COMPUTED_VALUE"""),"Diego")</f>
        <v>Diego</v>
      </c>
      <c r="I45" s="285" t="str">
        <f>IFERROR(__xludf.DUMMYFUNCTION("""COMPUTED_VALUE"""),"34665076750")</f>
        <v>34665076750</v>
      </c>
      <c r="J45" s="285" t="str">
        <f>IFERROR(__xludf.DUMMYFUNCTION("""COMPUTED_VALUE"""),"Leads Baru")</f>
        <v>Leads Baru</v>
      </c>
      <c r="K45" s="285" t="str">
        <f>IFERROR(__xludf.DUMMYFUNCTION("""COMPUTED_VALUE"""),"1 day trip Baluran")</f>
        <v>1 day trip Baluran</v>
      </c>
      <c r="L45" s="287">
        <f>IFERROR(__xludf.DUMMYFUNCTION("""COMPUTED_VALUE"""),46295.0)</f>
        <v>46295</v>
      </c>
      <c r="M45" s="288">
        <f>IFERROR(__xludf.DUMMYFUNCTION("""COMPUTED_VALUE"""),2.0)</f>
        <v>2</v>
      </c>
      <c r="N45" s="289"/>
      <c r="O45" s="290"/>
      <c r="P45" s="291" t="str">
        <f>IFERROR(__xludf.DUMMYFUNCTION("""COMPUTED_VALUE"""),"https://docs.google.com/document/d/1KsUZiEOpey8CauwBJNMim9b7gTbcYdB7kkQmJUa8kP0/edit?usp=sharing")</f>
        <v>https://docs.google.com/document/d/1KsUZiEOpey8CauwBJNMim9b7gTbcYdB7kkQmJUa8kP0/edit?usp=sharing</v>
      </c>
      <c r="R45" s="285" t="str">
        <f>IFERROR(__xludf.DUMMYFUNCTION("""COMPUTED_VALUE"""),"2603D136")</f>
        <v>2603D136</v>
      </c>
      <c r="S45" s="286">
        <f>IFERROR(__xludf.DUMMYFUNCTION("""COMPUTED_VALUE"""),46109.0)</f>
        <v>46109</v>
      </c>
      <c r="T45" s="285" t="str">
        <f>IFERROR(__xludf.DUMMYFUNCTION("""COMPUTED_VALUE"""),"Ischaq Sumartonohadji")</f>
        <v>Ischaq Sumartonohadji</v>
      </c>
      <c r="U45" s="285" t="str">
        <f>IFERROR(__xludf.DUMMYFUNCTION("""COMPUTED_VALUE"""),"08121200813")</f>
        <v>08121200813</v>
      </c>
      <c r="V45" s="285" t="str">
        <f>IFERROR(__xludf.DUMMYFUNCTION("""COMPUTED_VALUE"""),"Closing")</f>
        <v>Closing</v>
      </c>
      <c r="W45" s="285" t="str">
        <f>IFERROR(__xludf.DUMMYFUNCTION("""COMPUTED_VALUE"""),"one day trip baluran")</f>
        <v>one day trip baluran</v>
      </c>
      <c r="X45" s="287">
        <f>IFERROR(__xludf.DUMMYFUNCTION("""COMPUTED_VALUE"""),46114.0)</f>
        <v>46114</v>
      </c>
      <c r="Y45" s="285">
        <f>IFERROR(__xludf.DUMMYFUNCTION("""COMPUTED_VALUE"""),4.0)</f>
        <v>4</v>
      </c>
      <c r="Z45" s="289">
        <f>IFERROR(__xludf.DUMMYFUNCTION("""COMPUTED_VALUE"""),1996000.0)</f>
        <v>1996000</v>
      </c>
      <c r="AA45" s="285" t="str">
        <f>IFERROR(__xludf.DUMMYFUNCTION("""COMPUTED_VALUE"""),"ALHAMDULILLAH ORDER")</f>
        <v>ALHAMDULILLAH ORDER</v>
      </c>
      <c r="AC45" s="285" t="str">
        <f>IFERROR(__xludf.DUMMYFUNCTION("""COMPUTED_VALUE"""),"2601D050")</f>
        <v>2601D050</v>
      </c>
      <c r="AD45" s="286">
        <f>IFERROR(__xludf.DUMMYFUNCTION("""COMPUTED_VALUE"""),46027.0)</f>
        <v>46027</v>
      </c>
      <c r="AE45" s="285" t="str">
        <f>IFERROR(__xludf.DUMMYFUNCTION("""COMPUTED_VALUE"""),"Agus Trisunu")</f>
        <v>Agus Trisunu</v>
      </c>
      <c r="AF45" s="285" t="str">
        <f>IFERROR(__xludf.DUMMYFUNCTION("""COMPUTED_VALUE"""),"082198600529")</f>
        <v>082198600529</v>
      </c>
      <c r="AG45" s="285" t="str">
        <f>IFERROR(__xludf.DUMMYFUNCTION("""COMPUTED_VALUE"""),"Gagal")</f>
        <v>Gagal</v>
      </c>
      <c r="AH45" s="285" t="str">
        <f>IFERROR(__xludf.DUMMYFUNCTION("""COMPUTED_VALUE"""),"3H2M ")</f>
        <v>3H2M </v>
      </c>
      <c r="AI45" s="287">
        <f>IFERROR(__xludf.DUMMYFUNCTION("""COMPUTED_VALUE"""),46042.0)</f>
        <v>46042</v>
      </c>
      <c r="AJ45" s="285">
        <f>IFERROR(__xludf.DUMMYFUNCTION("""COMPUTED_VALUE"""),2.0)</f>
        <v>2</v>
      </c>
      <c r="AK45" s="289"/>
      <c r="AL45" s="285" t="str">
        <f>IFERROR(__xludf.DUMMYFUNCTION("""COMPUTED_VALUE"""),"batal")</f>
        <v>batal</v>
      </c>
    </row>
    <row r="46">
      <c r="F46" s="285" t="str">
        <f>IFERROR(__xludf.DUMMYFUNCTION("""COMPUTED_VALUE"""),"2605D056")</f>
        <v>2605D056</v>
      </c>
      <c r="G46" s="286">
        <f>IFERROR(__xludf.DUMMYFUNCTION("""COMPUTED_VALUE"""),46152.0)</f>
        <v>46152</v>
      </c>
      <c r="H46" s="285" t="str">
        <f>IFERROR(__xludf.DUMMYFUNCTION("""COMPUTED_VALUE"""),"No Name Fredive")</f>
        <v>No Name Fredive</v>
      </c>
      <c r="I46" s="285" t="str">
        <f>IFERROR(__xludf.DUMMYFUNCTION("""COMPUTED_VALUE"""),"082143930913")</f>
        <v>082143930913</v>
      </c>
      <c r="J46" s="285" t="str">
        <f>IFERROR(__xludf.DUMMYFUNCTION("""COMPUTED_VALUE"""),"Leads Baru")</f>
        <v>Leads Baru</v>
      </c>
      <c r="K46" s="285" t="str">
        <f>IFERROR(__xludf.DUMMYFUNCTION("""COMPUTED_VALUE"""),"fredive menjangan")</f>
        <v>fredive menjangan</v>
      </c>
      <c r="L46" s="287"/>
      <c r="M46" s="288">
        <f>IFERROR(__xludf.DUMMYFUNCTION("""COMPUTED_VALUE"""),46083.0)</f>
        <v>46083</v>
      </c>
      <c r="N46" s="289"/>
      <c r="O46" s="290" t="str">
        <f>IFERROR(__xludf.DUMMYFUNCTION("""COMPUTED_VALUE"""),"nanti di kabarin lagi, FU 16 Juni")</f>
        <v>nanti di kabarin lagi, FU 16 Juni</v>
      </c>
      <c r="P46" s="291" t="str">
        <f>IFERROR(__xludf.DUMMYFUNCTION("""COMPUTED_VALUE"""),"https://docs.google.com/document/d/1HJKzaTjwfBvmHn0nrO_YCBoJfDg9m_2Ysi8mmb7NiZs/edit?usp=sharing")</f>
        <v>https://docs.google.com/document/d/1HJKzaTjwfBvmHn0nrO_YCBoJfDg9m_2Ysi8mmb7NiZs/edit?usp=sharing</v>
      </c>
      <c r="R46" s="285" t="str">
        <f>IFERROR(__xludf.DUMMYFUNCTION("""COMPUTED_VALUE"""),"2603D141")</f>
        <v>2603D141</v>
      </c>
      <c r="S46" s="286">
        <f>IFERROR(__xludf.DUMMYFUNCTION("""COMPUTED_VALUE"""),46111.0)</f>
        <v>46111</v>
      </c>
      <c r="T46" s="285" t="str">
        <f>IFERROR(__xludf.DUMMYFUNCTION("""COMPUTED_VALUE"""),"Rey")</f>
        <v>Rey</v>
      </c>
      <c r="U46" s="285" t="str">
        <f>IFERROR(__xludf.DUMMYFUNCTION("""COMPUTED_VALUE"""),"085265252689")</f>
        <v>085265252689</v>
      </c>
      <c r="V46" s="285" t="str">
        <f>IFERROR(__xludf.DUMMYFUNCTION("""COMPUTED_VALUE"""),"Closing")</f>
        <v>Closing</v>
      </c>
      <c r="W46" s="285" t="str">
        <f>IFERROR(__xludf.DUMMYFUNCTION("""COMPUTED_VALUE"""),"temannya fadjar")</f>
        <v>temannya fadjar</v>
      </c>
      <c r="X46" s="287"/>
      <c r="Y46" s="285"/>
      <c r="Z46" s="289"/>
      <c r="AA46" s="285"/>
      <c r="AC46" s="285" t="str">
        <f>IFERROR(__xludf.DUMMYFUNCTION("""COMPUTED_VALUE"""),"2601D052")</f>
        <v>2601D052</v>
      </c>
      <c r="AD46" s="286">
        <f>IFERROR(__xludf.DUMMYFUNCTION("""COMPUTED_VALUE"""),46027.0)</f>
        <v>46027</v>
      </c>
      <c r="AE46" s="285" t="str">
        <f>IFERROR(__xludf.DUMMYFUNCTION("""COMPUTED_VALUE"""),"Athaya")</f>
        <v>Athaya</v>
      </c>
      <c r="AF46" s="285" t="str">
        <f>IFERROR(__xludf.DUMMYFUNCTION("""COMPUTED_VALUE"""),"087786696160")</f>
        <v>087786696160</v>
      </c>
      <c r="AG46" s="285" t="str">
        <f>IFERROR(__xludf.DUMMYFUNCTION("""COMPUTED_VALUE"""),"Gagal")</f>
        <v>Gagal</v>
      </c>
      <c r="AH46" s="285" t="str">
        <f>IFERROR(__xludf.DUMMYFUNCTION("""COMPUTED_VALUE"""),"OT 1 day")</f>
        <v>OT 1 day</v>
      </c>
      <c r="AI46" s="287">
        <f>IFERROR(__xludf.DUMMYFUNCTION("""COMPUTED_VALUE"""),46042.0)</f>
        <v>46042</v>
      </c>
      <c r="AJ46" s="285">
        <f>IFERROR(__xludf.DUMMYFUNCTION("""COMPUTED_VALUE"""),1.0)</f>
        <v>1</v>
      </c>
      <c r="AK46" s="289"/>
      <c r="AL46" s="285" t="str">
        <f>IFERROR(__xludf.DUMMYFUNCTION("""COMPUTED_VALUE"""),"tidak ada barengan")</f>
        <v>tidak ada barengan</v>
      </c>
    </row>
    <row r="47">
      <c r="F47" s="285" t="str">
        <f>IFERROR(__xludf.DUMMYFUNCTION("""COMPUTED_VALUE"""),"2605D057")</f>
        <v>2605D057</v>
      </c>
      <c r="G47" s="286">
        <f>IFERROR(__xludf.DUMMYFUNCTION("""COMPUTED_VALUE"""),46152.0)</f>
        <v>46152</v>
      </c>
      <c r="H47" s="285" t="str">
        <f>IFERROR(__xludf.DUMMYFUNCTION("""COMPUTED_VALUE"""),"Oca")</f>
        <v>Oca</v>
      </c>
      <c r="I47" s="285" t="str">
        <f>IFERROR(__xludf.DUMMYFUNCTION("""COMPUTED_VALUE"""),"08125976622")</f>
        <v>08125976622</v>
      </c>
      <c r="J47" s="285" t="str">
        <f>IFERROR(__xludf.DUMMYFUNCTION("""COMPUTED_VALUE"""),"Leads Baru")</f>
        <v>Leads Baru</v>
      </c>
      <c r="K47" s="285" t="str">
        <f>IFERROR(__xludf.DUMMYFUNCTION("""COMPUTED_VALUE"""),"trip Baluran")</f>
        <v>trip Baluran</v>
      </c>
      <c r="L47" s="287"/>
      <c r="M47" s="288">
        <f>IFERROR(__xludf.DUMMYFUNCTION("""COMPUTED_VALUE"""),18.0)</f>
        <v>18</v>
      </c>
      <c r="N47" s="289"/>
      <c r="O47" s="290" t="str">
        <f>IFERROR(__xludf.DUMMYFUNCTION("""COMPUTED_VALUE"""),"blm tau kapan, FU 7 Juni")</f>
        <v>blm tau kapan, FU 7 Juni</v>
      </c>
      <c r="P47" s="291" t="str">
        <f>IFERROR(__xludf.DUMMYFUNCTION("""COMPUTED_VALUE"""),"https://docs.google.com/document/d/1iQk879LN0LGJVBypwfFb2qTSlmBtnlceQXhcCxoivHQ/edit?usp=sharing")</f>
        <v>https://docs.google.com/document/d/1iQk879LN0LGJVBypwfFb2qTSlmBtnlceQXhcCxoivHQ/edit?usp=sharing</v>
      </c>
      <c r="R47" s="285" t="str">
        <f>IFERROR(__xludf.DUMMYFUNCTION("""COMPUTED_VALUE"""),"2603D142")</f>
        <v>2603D142</v>
      </c>
      <c r="S47" s="286">
        <f>IFERROR(__xludf.DUMMYFUNCTION("""COMPUTED_VALUE"""),46111.0)</f>
        <v>46111</v>
      </c>
      <c r="T47" s="285" t="str">
        <f>IFERROR(__xludf.DUMMYFUNCTION("""COMPUTED_VALUE"""),"Fitri Yani")</f>
        <v>Fitri Yani</v>
      </c>
      <c r="U47" s="285" t="str">
        <f>IFERROR(__xludf.DUMMYFUNCTION("""COMPUTED_VALUE"""),"081413563474")</f>
        <v>081413563474</v>
      </c>
      <c r="V47" s="285" t="str">
        <f>IFERROR(__xludf.DUMMYFUNCTION("""COMPUTED_VALUE"""),"Closing")</f>
        <v>Closing</v>
      </c>
      <c r="W47" s="285" t="str">
        <f>IFERROR(__xludf.DUMMYFUNCTION("""COMPUTED_VALUE"""),"3h2m opsi A")</f>
        <v>3h2m opsi A</v>
      </c>
      <c r="X47" s="287">
        <f>IFERROR(__xludf.DUMMYFUNCTION("""COMPUTED_VALUE"""),46164.0)</f>
        <v>46164</v>
      </c>
      <c r="Y47" s="285">
        <f>IFERROR(__xludf.DUMMYFUNCTION("""COMPUTED_VALUE"""),2.0)</f>
        <v>2</v>
      </c>
      <c r="Z47" s="289">
        <f>IFERROR(__xludf.DUMMYFUNCTION("""COMPUTED_VALUE"""),7194000.0)</f>
        <v>7194000</v>
      </c>
      <c r="AA47" s="285" t="str">
        <f>IFERROR(__xludf.DUMMYFUNCTION("""COMPUTED_VALUE"""),"Orderrrr")</f>
        <v>Orderrrr</v>
      </c>
      <c r="AC47" s="285" t="str">
        <f>IFERROR(__xludf.DUMMYFUNCTION("""COMPUTED_VALUE"""),"2601D053")</f>
        <v>2601D053</v>
      </c>
      <c r="AD47" s="286">
        <f>IFERROR(__xludf.DUMMYFUNCTION("""COMPUTED_VALUE"""),46028.0)</f>
        <v>46028</v>
      </c>
      <c r="AE47" s="285" t="str">
        <f>IFERROR(__xludf.DUMMYFUNCTION("""COMPUTED_VALUE"""),"Beni Kosnadi")</f>
        <v>Beni Kosnadi</v>
      </c>
      <c r="AF47" s="285" t="str">
        <f>IFERROR(__xludf.DUMMYFUNCTION("""COMPUTED_VALUE"""),"082297981197")</f>
        <v>082297981197</v>
      </c>
      <c r="AG47" s="285" t="str">
        <f>IFERROR(__xludf.DUMMYFUNCTION("""COMPUTED_VALUE"""),"Gagal")</f>
        <v>Gagal</v>
      </c>
      <c r="AH47" s="285" t="str">
        <f>IFERROR(__xludf.DUMMYFUNCTION("""COMPUTED_VALUE"""),"OT 1 day Menjangan")</f>
        <v>OT 1 day Menjangan</v>
      </c>
      <c r="AI47" s="287">
        <f>IFERROR(__xludf.DUMMYFUNCTION("""COMPUTED_VALUE"""),46039.0)</f>
        <v>46039</v>
      </c>
      <c r="AJ47" s="285">
        <f>IFERROR(__xludf.DUMMYFUNCTION("""COMPUTED_VALUE"""),1.0)</f>
        <v>1</v>
      </c>
      <c r="AK47" s="289"/>
      <c r="AL47" s="285" t="str">
        <f>IFERROR(__xludf.DUMMYFUNCTION("""COMPUTED_VALUE"""),"sdh dapat trip")</f>
        <v>sdh dapat trip</v>
      </c>
    </row>
    <row r="48">
      <c r="F48" s="285" t="str">
        <f>IFERROR(__xludf.DUMMYFUNCTION("""COMPUTED_VALUE"""),"2605D058")</f>
        <v>2605D058</v>
      </c>
      <c r="G48" s="286">
        <f>IFERROR(__xludf.DUMMYFUNCTION("""COMPUTED_VALUE"""),46156.0)</f>
        <v>46156</v>
      </c>
      <c r="H48" s="285" t="str">
        <f>IFERROR(__xludf.DUMMYFUNCTION("""COMPUTED_VALUE"""),"Paulus")</f>
        <v>Paulus</v>
      </c>
      <c r="I48" s="285" t="str">
        <f>IFERROR(__xludf.DUMMYFUNCTION("""COMPUTED_VALUE"""),"083870097564")</f>
        <v>083870097564</v>
      </c>
      <c r="J48" s="285" t="str">
        <f>IFERROR(__xludf.DUMMYFUNCTION("""COMPUTED_VALUE"""),"Leads Baru")</f>
        <v>Leads Baru</v>
      </c>
      <c r="K48" s="285"/>
      <c r="L48" s="287"/>
      <c r="M48" s="288"/>
      <c r="N48" s="289"/>
      <c r="O48" s="290" t="str">
        <f>IFERROR(__xludf.DUMMYFUNCTION("""COMPUTED_VALUE"""),"FU 15 Juni")</f>
        <v>FU 15 Juni</v>
      </c>
      <c r="P48" s="291" t="str">
        <f>IFERROR(__xludf.DUMMYFUNCTION("""COMPUTED_VALUE"""),"https://docs.google.com/document/d/1nXFlt5PN8DmKMyAgcX4HUwwXDZjhKr3YX5LL-EjpR5E/edit?tab=t.0")</f>
        <v>https://docs.google.com/document/d/1nXFlt5PN8DmKMyAgcX4HUwwXDZjhKr3YX5LL-EjpR5E/edit?tab=t.0</v>
      </c>
      <c r="R48" s="285" t="str">
        <f>IFERROR(__xludf.DUMMYFUNCTION("""COMPUTED_VALUE"""),"2603D143")</f>
        <v>2603D143</v>
      </c>
      <c r="S48" s="286">
        <f>IFERROR(__xludf.DUMMYFUNCTION("""COMPUTED_VALUE"""),46111.0)</f>
        <v>46111</v>
      </c>
      <c r="T48" s="285" t="str">
        <f>IFERROR(__xludf.DUMMYFUNCTION("""COMPUTED_VALUE"""),"Dhifa Prilia")</f>
        <v>Dhifa Prilia</v>
      </c>
      <c r="U48" s="285" t="str">
        <f>IFERROR(__xludf.DUMMYFUNCTION("""COMPUTED_VALUE"""),"082122646428")</f>
        <v>082122646428</v>
      </c>
      <c r="V48" s="285" t="str">
        <f>IFERROR(__xludf.DUMMYFUNCTION("""COMPUTED_VALUE"""),"Closing")</f>
        <v>Closing</v>
      </c>
      <c r="W48" s="285" t="str">
        <f>IFERROR(__xludf.DUMMYFUNCTION("""COMPUTED_VALUE"""),"OT3H2M")</f>
        <v>OT3H2M</v>
      </c>
      <c r="X48" s="287">
        <f>IFERROR(__xludf.DUMMYFUNCTION("""COMPUTED_VALUE"""),46143.0)</f>
        <v>46143</v>
      </c>
      <c r="Y48" s="285">
        <f>IFERROR(__xludf.DUMMYFUNCTION("""COMPUTED_VALUE"""),46083.0)</f>
        <v>46083</v>
      </c>
      <c r="Z48" s="289">
        <f>IFERROR(__xludf.DUMMYFUNCTION("""COMPUTED_VALUE"""),4800000.0)</f>
        <v>4800000</v>
      </c>
      <c r="AA48" s="285" t="str">
        <f>IFERROR(__xludf.DUMMYFUNCTION("""COMPUTED_VALUE"""),"alhamdulillah DP")</f>
        <v>alhamdulillah DP</v>
      </c>
      <c r="AC48" s="285" t="str">
        <f>IFERROR(__xludf.DUMMYFUNCTION("""COMPUTED_VALUE"""),"2601D054")</f>
        <v>2601D054</v>
      </c>
      <c r="AD48" s="286">
        <f>IFERROR(__xludf.DUMMYFUNCTION("""COMPUTED_VALUE"""),46028.0)</f>
        <v>46028</v>
      </c>
      <c r="AE48" s="285" t="str">
        <f>IFERROR(__xludf.DUMMYFUNCTION("""COMPUTED_VALUE"""),"Nsyw")</f>
        <v>Nsyw</v>
      </c>
      <c r="AF48" s="285" t="str">
        <f>IFERROR(__xludf.DUMMYFUNCTION("""COMPUTED_VALUE"""),"085156302725")</f>
        <v>085156302725</v>
      </c>
      <c r="AG48" s="285" t="str">
        <f>IFERROR(__xludf.DUMMYFUNCTION("""COMPUTED_VALUE"""),"Gagal")</f>
        <v>Gagal</v>
      </c>
      <c r="AH48" s="285" t="str">
        <f>IFERROR(__xludf.DUMMYFUNCTION("""COMPUTED_VALUE"""),"OT 3H2M")</f>
        <v>OT 3H2M</v>
      </c>
      <c r="AI48" s="287"/>
      <c r="AJ48" s="285"/>
      <c r="AK48" s="289"/>
      <c r="AL48" s="285" t="str">
        <f>IFERROR(__xludf.DUMMYFUNCTION("""COMPUTED_VALUE"""),"masih liat katalog")</f>
        <v>masih liat katalog</v>
      </c>
    </row>
    <row r="49">
      <c r="F49" s="285" t="str">
        <f>IFERROR(__xludf.DUMMYFUNCTION("""COMPUTED_VALUE"""),"2605D064")</f>
        <v>2605D064</v>
      </c>
      <c r="G49" s="286">
        <f>IFERROR(__xludf.DUMMYFUNCTION("""COMPUTED_VALUE"""),46157.0)</f>
        <v>46157</v>
      </c>
      <c r="H49" s="285" t="str">
        <f>IFERROR(__xludf.DUMMYFUNCTION("""COMPUTED_VALUE"""),"Enan")</f>
        <v>Enan</v>
      </c>
      <c r="I49" s="285" t="str">
        <f>IFERROR(__xludf.DUMMYFUNCTION("""COMPUTED_VALUE"""),"083821675707")</f>
        <v>083821675707</v>
      </c>
      <c r="J49" s="285" t="str">
        <f>IFERROR(__xludf.DUMMYFUNCTION("""COMPUTED_VALUE"""),"Leads Baru")</f>
        <v>Leads Baru</v>
      </c>
      <c r="K49" s="285" t="str">
        <f>IFERROR(__xludf.DUMMYFUNCTION("""COMPUTED_VALUE"""),"kawah ijen")</f>
        <v>kawah ijen</v>
      </c>
      <c r="L49" s="287"/>
      <c r="M49" s="288"/>
      <c r="N49" s="289"/>
      <c r="O49" s="290" t="str">
        <f>IFERROR(__xludf.DUMMYFUNCTION("""COMPUTED_VALUE"""),"belum balas lagi, FU 1 Juni")</f>
        <v>belum balas lagi, FU 1 Juni</v>
      </c>
      <c r="P49" s="291" t="str">
        <f>IFERROR(__xludf.DUMMYFUNCTION("""COMPUTED_VALUE"""),"https://docs.google.com/document/d/15hz2PSF-2gug1lvBVLr7b30e7p5j2nYP9lcgi6OVZIg/edit?tab=t.0")</f>
        <v>https://docs.google.com/document/d/15hz2PSF-2gug1lvBVLr7b30e7p5j2nYP9lcgi6OVZIg/edit?tab=t.0</v>
      </c>
      <c r="R49" s="285" t="str">
        <f>IFERROR(__xludf.DUMMYFUNCTION("""COMPUTED_VALUE"""),"2603D145")</f>
        <v>2603D145</v>
      </c>
      <c r="S49" s="286">
        <f>IFERROR(__xludf.DUMMYFUNCTION("""COMPUTED_VALUE"""),46112.0)</f>
        <v>46112</v>
      </c>
      <c r="T49" s="285" t="str">
        <f>IFERROR(__xludf.DUMMYFUNCTION("""COMPUTED_VALUE"""),"MiNa Dhanty")</f>
        <v>MiNa Dhanty</v>
      </c>
      <c r="U49" s="285" t="str">
        <f>IFERROR(__xludf.DUMMYFUNCTION("""COMPUTED_VALUE"""),"082125888932")</f>
        <v>082125888932</v>
      </c>
      <c r="V49" s="285" t="str">
        <f>IFERROR(__xludf.DUMMYFUNCTION("""COMPUTED_VALUE"""),"Closing")</f>
        <v>Closing</v>
      </c>
      <c r="W49" s="285" t="str">
        <f>IFERROR(__xludf.DUMMYFUNCTION("""COMPUTED_VALUE"""),"OT D,B &amp; M,T")</f>
        <v>OT D,B &amp; M,T</v>
      </c>
      <c r="X49" s="287">
        <f>IFERROR(__xludf.DUMMYFUNCTION("""COMPUTED_VALUE"""),46116.0)</f>
        <v>46116</v>
      </c>
      <c r="Y49" s="285">
        <f>IFERROR(__xludf.DUMMYFUNCTION("""COMPUTED_VALUE"""),1.0)</f>
        <v>1</v>
      </c>
      <c r="Z49" s="289">
        <f>IFERROR(__xludf.DUMMYFUNCTION("""COMPUTED_VALUE"""),845000.0)</f>
        <v>845000</v>
      </c>
      <c r="AA49" s="285" t="str">
        <f>IFERROR(__xludf.DUMMYFUNCTION("""COMPUTED_VALUE"""),"orderrr alhamdulillah")</f>
        <v>orderrr alhamdulillah</v>
      </c>
      <c r="AC49" s="285" t="str">
        <f>IFERROR(__xludf.DUMMYFUNCTION("""COMPUTED_VALUE"""),"2601D055")</f>
        <v>2601D055</v>
      </c>
      <c r="AD49" s="286">
        <f>IFERROR(__xludf.DUMMYFUNCTION("""COMPUTED_VALUE"""),46028.0)</f>
        <v>46028</v>
      </c>
      <c r="AE49" s="285" t="str">
        <f>IFERROR(__xludf.DUMMYFUNCTION("""COMPUTED_VALUE"""),"Hari setiyawati ")</f>
        <v>Hari setiyawati </v>
      </c>
      <c r="AF49" s="285" t="str">
        <f>IFERROR(__xludf.DUMMYFUNCTION("""COMPUTED_VALUE"""),"085921091374")</f>
        <v>085921091374</v>
      </c>
      <c r="AG49" s="285" t="str">
        <f>IFERROR(__xludf.DUMMYFUNCTION("""COMPUTED_VALUE"""),"Gagal")</f>
        <v>Gagal</v>
      </c>
      <c r="AH49" s="285" t="str">
        <f>IFERROR(__xludf.DUMMYFUNCTION("""COMPUTED_VALUE"""),"custom 3H2M")</f>
        <v>custom 3H2M</v>
      </c>
      <c r="AI49" s="287"/>
      <c r="AJ49" s="285">
        <f>IFERROR(__xludf.DUMMYFUNCTION("""COMPUTED_VALUE"""),18.0)</f>
        <v>18</v>
      </c>
      <c r="AK49" s="289"/>
      <c r="AL49" s="285" t="str">
        <f>IFERROR(__xludf.DUMMYFUNCTION("""COMPUTED_VALUE"""),"tidak jadi budged tidak cukup")</f>
        <v>tidak jadi budged tidak cukup</v>
      </c>
    </row>
    <row r="50">
      <c r="F50" s="285" t="str">
        <f>IFERROR(__xludf.DUMMYFUNCTION("""COMPUTED_VALUE"""),"2605D066")</f>
        <v>2605D066</v>
      </c>
      <c r="G50" s="286">
        <f>IFERROR(__xludf.DUMMYFUNCTION("""COMPUTED_VALUE"""),46157.0)</f>
        <v>46157</v>
      </c>
      <c r="H50" s="285" t="str">
        <f>IFERROR(__xludf.DUMMYFUNCTION("""COMPUTED_VALUE"""),"Merysa Amelya ")</f>
        <v>Merysa Amelya </v>
      </c>
      <c r="I50" s="285" t="str">
        <f>IFERROR(__xludf.DUMMYFUNCTION("""COMPUTED_VALUE"""),"085649129099")</f>
        <v>085649129099</v>
      </c>
      <c r="J50" s="285" t="str">
        <f>IFERROR(__xludf.DUMMYFUNCTION("""COMPUTED_VALUE"""),"Leads Baru")</f>
        <v>Leads Baru</v>
      </c>
      <c r="K50" s="285" t="str">
        <f>IFERROR(__xludf.DUMMYFUNCTION("""COMPUTED_VALUE"""),"trip Baluran")</f>
        <v>trip Baluran</v>
      </c>
      <c r="L50" s="287"/>
      <c r="M50" s="288">
        <f>IFERROR(__xludf.DUMMYFUNCTION("""COMPUTED_VALUE"""),3.0)</f>
        <v>3</v>
      </c>
      <c r="N50" s="289"/>
      <c r="O50" s="290" t="str">
        <f>IFERROR(__xludf.DUMMYFUNCTION("""COMPUTED_VALUE"""),"belum balas lagi, FU 1 Juni")</f>
        <v>belum balas lagi, FU 1 Juni</v>
      </c>
      <c r="P50" s="291" t="str">
        <f>IFERROR(__xludf.DUMMYFUNCTION("""COMPUTED_VALUE"""),"https://docs.google.com/document/d/1cHwMOxnJExCciaKMyRceJkRibKUdvBNCPTVFTK8y0fE/edit?tab=t.0")</f>
        <v>https://docs.google.com/document/d/1cHwMOxnJExCciaKMyRceJkRibKUdvBNCPTVFTK8y0fE/edit?tab=t.0</v>
      </c>
      <c r="R50" s="285" t="str">
        <f>IFERROR(__xludf.DUMMYFUNCTION("""COMPUTED_VALUE"""),"2603D147")</f>
        <v>2603D147</v>
      </c>
      <c r="S50" s="286">
        <f>IFERROR(__xludf.DUMMYFUNCTION("""COMPUTED_VALUE"""),46112.0)</f>
        <v>46112</v>
      </c>
      <c r="T50" s="285" t="str">
        <f>IFERROR(__xludf.DUMMYFUNCTION("""COMPUTED_VALUE"""),"Dyah Ayu")</f>
        <v>Dyah Ayu</v>
      </c>
      <c r="U50" s="285" t="str">
        <f>IFERROR(__xludf.DUMMYFUNCTION("""COMPUTED_VALUE"""),"087737066893")</f>
        <v>087737066893</v>
      </c>
      <c r="V50" s="285" t="str">
        <f>IFERROR(__xludf.DUMMYFUNCTION("""COMPUTED_VALUE"""),"Closing")</f>
        <v>Closing</v>
      </c>
      <c r="W50" s="285" t="str">
        <f>IFERROR(__xludf.DUMMYFUNCTION("""COMPUTED_VALUE"""),"open trip 3h2m")</f>
        <v>open trip 3h2m</v>
      </c>
      <c r="X50" s="287"/>
      <c r="Y50" s="285">
        <f>IFERROR(__xludf.DUMMYFUNCTION("""COMPUTED_VALUE"""),2.0)</f>
        <v>2</v>
      </c>
      <c r="Z50" s="289">
        <f>IFERROR(__xludf.DUMMYFUNCTION("""COMPUTED_VALUE"""),3200000.0)</f>
        <v>3200000</v>
      </c>
      <c r="AA50" s="285" t="str">
        <f>IFERROR(__xludf.DUMMYFUNCTION("""COMPUTED_VALUE"""),"orderrr")</f>
        <v>orderrr</v>
      </c>
      <c r="AC50" s="285" t="str">
        <f>IFERROR(__xludf.DUMMYFUNCTION("""COMPUTED_VALUE"""),"2601D056")</f>
        <v>2601D056</v>
      </c>
      <c r="AD50" s="286">
        <f>IFERROR(__xludf.DUMMYFUNCTION("""COMPUTED_VALUE"""),46028.0)</f>
        <v>46028</v>
      </c>
      <c r="AE50" s="285" t="str">
        <f>IFERROR(__xludf.DUMMYFUNCTION("""COMPUTED_VALUE"""),"Robby rinaldy")</f>
        <v>Robby rinaldy</v>
      </c>
      <c r="AF50" s="285" t="str">
        <f>IFERROR(__xludf.DUMMYFUNCTION("""COMPUTED_VALUE"""),"082122227424")</f>
        <v>082122227424</v>
      </c>
      <c r="AG50" s="285" t="str">
        <f>IFERROR(__xludf.DUMMYFUNCTION("""COMPUTED_VALUE"""),"Gagal")</f>
        <v>Gagal</v>
      </c>
      <c r="AH50" s="285"/>
      <c r="AI50" s="287">
        <f>IFERROR(__xludf.DUMMYFUNCTION("""COMPUTED_VALUE"""),46038.0)</f>
        <v>46038</v>
      </c>
      <c r="AJ50" s="285">
        <f>IFERROR(__xludf.DUMMYFUNCTION("""COMPUTED_VALUE"""),1.0)</f>
        <v>1</v>
      </c>
      <c r="AK50" s="289"/>
      <c r="AL50" s="285" t="str">
        <f>IFERROR(__xludf.DUMMYFUNCTION("""COMPUTED_VALUE"""),"CARI TEMEN TRIP, lwt tanggal")</f>
        <v>CARI TEMEN TRIP, lwt tanggal</v>
      </c>
    </row>
    <row r="51">
      <c r="F51" s="285" t="str">
        <f>IFERROR(__xludf.DUMMYFUNCTION("""COMPUTED_VALUE"""),"2605D067")</f>
        <v>2605D067</v>
      </c>
      <c r="G51" s="286">
        <f>IFERROR(__xludf.DUMMYFUNCTION("""COMPUTED_VALUE"""),46157.0)</f>
        <v>46157</v>
      </c>
      <c r="H51" s="285" t="str">
        <f>IFERROR(__xludf.DUMMYFUNCTION("""COMPUTED_VALUE"""),"Nopal")</f>
        <v>Nopal</v>
      </c>
      <c r="I51" s="285" t="str">
        <f>IFERROR(__xludf.DUMMYFUNCTION("""COMPUTED_VALUE"""),"08132944705")</f>
        <v>08132944705</v>
      </c>
      <c r="J51" s="285" t="str">
        <f>IFERROR(__xludf.DUMMYFUNCTION("""COMPUTED_VALUE"""),"Leads Baru")</f>
        <v>Leads Baru</v>
      </c>
      <c r="K51" s="285"/>
      <c r="L51" s="287"/>
      <c r="M51" s="288"/>
      <c r="N51" s="289"/>
      <c r="O51" s="290" t="str">
        <f>IFERROR(__xludf.DUMMYFUNCTION("""COMPUTED_VALUE"""),"Last FU")</f>
        <v>Last FU</v>
      </c>
      <c r="P51" s="320"/>
      <c r="R51" s="285" t="str">
        <f>IFERROR(__xludf.DUMMYFUNCTION("""COMPUTED_VALUE"""),"2604D025")</f>
        <v>2604D025</v>
      </c>
      <c r="S51" s="286">
        <f>IFERROR(__xludf.DUMMYFUNCTION("""COMPUTED_VALUE"""),46119.0)</f>
        <v>46119</v>
      </c>
      <c r="T51" s="285" t="str">
        <f>IFERROR(__xludf.DUMMYFUNCTION("""COMPUTED_VALUE"""),"Sabrina")</f>
        <v>Sabrina</v>
      </c>
      <c r="U51" s="285" t="str">
        <f>IFERROR(__xludf.DUMMYFUNCTION("""COMPUTED_VALUE"""),"081218123077")</f>
        <v>081218123077</v>
      </c>
      <c r="V51" s="285" t="str">
        <f>IFERROR(__xludf.DUMMYFUNCTION("""COMPUTED_VALUE"""),"Closing")</f>
        <v>Closing</v>
      </c>
      <c r="W51" s="285" t="str">
        <f>IFERROR(__xludf.DUMMYFUNCTION("""COMPUTED_VALUE"""),"2h1m cutome")</f>
        <v>2h1m cutome</v>
      </c>
      <c r="X51" s="287">
        <f>IFERROR(__xludf.DUMMYFUNCTION("""COMPUTED_VALUE"""),46183.0)</f>
        <v>46183</v>
      </c>
      <c r="Y51" s="285">
        <f>IFERROR(__xludf.DUMMYFUNCTION("""COMPUTED_VALUE"""),2.0)</f>
        <v>2</v>
      </c>
      <c r="Z51" s="289">
        <f>IFERROR(__xludf.DUMMYFUNCTION("""COMPUTED_VALUE"""),5350000.0)</f>
        <v>5350000</v>
      </c>
      <c r="AA51" s="285" t="str">
        <f>IFERROR(__xludf.DUMMYFUNCTION("""COMPUTED_VALUE"""),"Orderrrr")</f>
        <v>Orderrrr</v>
      </c>
      <c r="AC51" s="285" t="str">
        <f>IFERROR(__xludf.DUMMYFUNCTION("""COMPUTED_VALUE"""),"2601D057")</f>
        <v>2601D057</v>
      </c>
      <c r="AD51" s="286">
        <f>IFERROR(__xludf.DUMMYFUNCTION("""COMPUTED_VALUE"""),46028.0)</f>
        <v>46028</v>
      </c>
      <c r="AE51" s="285" t="str">
        <f>IFERROR(__xludf.DUMMYFUNCTION("""COMPUTED_VALUE"""),"Farrel Raynaldi")</f>
        <v>Farrel Raynaldi</v>
      </c>
      <c r="AF51" s="285" t="str">
        <f>IFERROR(__xludf.DUMMYFUNCTION("""COMPUTED_VALUE"""),"087762831355")</f>
        <v>087762831355</v>
      </c>
      <c r="AG51" s="285" t="str">
        <f>IFERROR(__xludf.DUMMYFUNCTION("""COMPUTED_VALUE"""),"Gagal")</f>
        <v>Gagal</v>
      </c>
      <c r="AH51" s="285" t="str">
        <f>IFERROR(__xludf.DUMMYFUNCTION("""COMPUTED_VALUE"""),"3H2M")</f>
        <v>3H2M</v>
      </c>
      <c r="AI51" s="287"/>
      <c r="AJ51" s="285">
        <f>IFERROR(__xludf.DUMMYFUNCTION("""COMPUTED_VALUE"""),30.0)</f>
        <v>30</v>
      </c>
      <c r="AK51" s="289"/>
      <c r="AL51" s="285" t="str">
        <f>IFERROR(__xludf.DUMMYFUNCTION("""COMPUTED_VALUE"""),"tidak jawab")</f>
        <v>tidak jawab</v>
      </c>
    </row>
    <row r="52">
      <c r="F52" s="285" t="str">
        <f>IFERROR(__xludf.DUMMYFUNCTION("""COMPUTED_VALUE"""),"2605D068")</f>
        <v>2605D068</v>
      </c>
      <c r="G52" s="286">
        <f>IFERROR(__xludf.DUMMYFUNCTION("""COMPUTED_VALUE"""),46158.0)</f>
        <v>46158</v>
      </c>
      <c r="H52" s="285" t="str">
        <f>IFERROR(__xludf.DUMMYFUNCTION("""COMPUTED_VALUE"""),"Evy")</f>
        <v>Evy</v>
      </c>
      <c r="I52" s="285" t="str">
        <f>IFERROR(__xludf.DUMMYFUNCTION("""COMPUTED_VALUE"""),"081326610202")</f>
        <v>081326610202</v>
      </c>
      <c r="J52" s="285" t="str">
        <f>IFERROR(__xludf.DUMMYFUNCTION("""COMPUTED_VALUE"""),"Leads Baru")</f>
        <v>Leads Baru</v>
      </c>
      <c r="K52" s="285" t="str">
        <f>IFERROR(__xludf.DUMMYFUNCTION("""COMPUTED_VALUE"""),"2h1m")</f>
        <v>2h1m</v>
      </c>
      <c r="L52" s="287"/>
      <c r="M52" s="288">
        <f>IFERROR(__xludf.DUMMYFUNCTION("""COMPUTED_VALUE"""),20.0)</f>
        <v>20</v>
      </c>
      <c r="N52" s="289"/>
      <c r="O52" s="290" t="str">
        <f>IFERROR(__xludf.DUMMYFUNCTION("""COMPUTED_VALUE"""),"FU 1 Juni")</f>
        <v>FU 1 Juni</v>
      </c>
      <c r="P52" s="320"/>
      <c r="R52" s="285" t="str">
        <f>IFERROR(__xludf.DUMMYFUNCTION("""COMPUTED_VALUE"""),"2604D040")</f>
        <v>2604D040</v>
      </c>
      <c r="S52" s="286">
        <f>IFERROR(__xludf.DUMMYFUNCTION("""COMPUTED_VALUE"""),46120.0)</f>
        <v>46120</v>
      </c>
      <c r="T52" s="285" t="str">
        <f>IFERROR(__xludf.DUMMYFUNCTION("""COMPUTED_VALUE"""),"Elsa")</f>
        <v>Elsa</v>
      </c>
      <c r="U52" s="285" t="str">
        <f>IFERROR(__xludf.DUMMYFUNCTION("""COMPUTED_VALUE"""),"081218256341")</f>
        <v>081218256341</v>
      </c>
      <c r="V52" s="285" t="str">
        <f>IFERROR(__xludf.DUMMYFUNCTION("""COMPUTED_VALUE"""),"Closing")</f>
        <v>Closing</v>
      </c>
      <c r="W52" s="285" t="str">
        <f>IFERROR(__xludf.DUMMYFUNCTION("""COMPUTED_VALUE"""),"private trip M,T")</f>
        <v>private trip M,T</v>
      </c>
      <c r="X52" s="287">
        <f>IFERROR(__xludf.DUMMYFUNCTION("""COMPUTED_VALUE"""),46167.0)</f>
        <v>46167</v>
      </c>
      <c r="Y52" s="285">
        <f>IFERROR(__xludf.DUMMYFUNCTION("""COMPUTED_VALUE"""),2.0)</f>
        <v>2</v>
      </c>
      <c r="Z52" s="289">
        <f>IFERROR(__xludf.DUMMYFUNCTION("""COMPUTED_VALUE"""),1700000.0)</f>
        <v>1700000</v>
      </c>
      <c r="AA52" s="285" t="str">
        <f>IFERROR(__xludf.DUMMYFUNCTION("""COMPUTED_VALUE"""),"yesss orderrr")</f>
        <v>yesss orderrr</v>
      </c>
      <c r="AC52" s="285" t="str">
        <f>IFERROR(__xludf.DUMMYFUNCTION("""COMPUTED_VALUE"""),"2601D058")</f>
        <v>2601D058</v>
      </c>
      <c r="AD52" s="286">
        <f>IFERROR(__xludf.DUMMYFUNCTION("""COMPUTED_VALUE"""),46028.0)</f>
        <v>46028</v>
      </c>
      <c r="AE52" s="285" t="str">
        <f>IFERROR(__xludf.DUMMYFUNCTION("""COMPUTED_VALUE"""),"Hajar adiwiyana ")</f>
        <v>Hajar adiwiyana </v>
      </c>
      <c r="AF52" s="285" t="str">
        <f>IFERROR(__xludf.DUMMYFUNCTION("""COMPUTED_VALUE"""),"085755999900")</f>
        <v>085755999900</v>
      </c>
      <c r="AG52" s="285" t="str">
        <f>IFERROR(__xludf.DUMMYFUNCTION("""COMPUTED_VALUE"""),"Gagal")</f>
        <v>Gagal</v>
      </c>
      <c r="AH52" s="285" t="str">
        <f>IFERROR(__xludf.DUMMYFUNCTION("""COMPUTED_VALUE"""),"2H1M")</f>
        <v>2H1M</v>
      </c>
      <c r="AI52" s="287"/>
      <c r="AJ52" s="285">
        <f>IFERROR(__xludf.DUMMYFUNCTION("""COMPUTED_VALUE"""),2.0)</f>
        <v>2</v>
      </c>
      <c r="AK52" s="289"/>
      <c r="AL52" s="285" t="str">
        <f>IFERROR(__xludf.DUMMYFUNCTION("""COMPUTED_VALUE"""),"pending ke bwi")</f>
        <v>pending ke bwi</v>
      </c>
    </row>
    <row r="53">
      <c r="F53" s="285" t="str">
        <f>IFERROR(__xludf.DUMMYFUNCTION("""COMPUTED_VALUE"""),"2605D069")</f>
        <v>2605D069</v>
      </c>
      <c r="G53" s="286">
        <f>IFERROR(__xludf.DUMMYFUNCTION("""COMPUTED_VALUE"""),46158.0)</f>
        <v>46158</v>
      </c>
      <c r="H53" s="285" t="str">
        <f>IFERROR(__xludf.DUMMYFUNCTION("""COMPUTED_VALUE"""),"Nurmaulia Sukma")</f>
        <v>Nurmaulia Sukma</v>
      </c>
      <c r="I53" s="285" t="str">
        <f>IFERROR(__xludf.DUMMYFUNCTION("""COMPUTED_VALUE"""),"089619142097")</f>
        <v>089619142097</v>
      </c>
      <c r="J53" s="285" t="str">
        <f>IFERROR(__xludf.DUMMYFUNCTION("""COMPUTED_VALUE"""),"Leads Baru")</f>
        <v>Leads Baru</v>
      </c>
      <c r="K53" s="285"/>
      <c r="L53" s="287"/>
      <c r="M53" s="288"/>
      <c r="N53" s="289"/>
      <c r="O53" s="290" t="str">
        <f>IFERROR(__xludf.DUMMYFUNCTION("""COMPUTED_VALUE"""),"FU 2 Juni, menyapa aja")</f>
        <v>FU 2 Juni, menyapa aja</v>
      </c>
      <c r="P53" s="320"/>
      <c r="R53" s="285" t="str">
        <f>IFERROR(__xludf.DUMMYFUNCTION("""COMPUTED_VALUE"""),"2604D050")</f>
        <v>2604D050</v>
      </c>
      <c r="S53" s="286">
        <f>IFERROR(__xludf.DUMMYFUNCTION("""COMPUTED_VALUE"""),46122.0)</f>
        <v>46122</v>
      </c>
      <c r="T53" s="285" t="str">
        <f>IFERROR(__xludf.DUMMYFUNCTION("""COMPUTED_VALUE"""),"Alyya Delvin")</f>
        <v>Alyya Delvin</v>
      </c>
      <c r="U53" s="285" t="str">
        <f>IFERROR(__xludf.DUMMYFUNCTION("""COMPUTED_VALUE"""),"085736815515")</f>
        <v>085736815515</v>
      </c>
      <c r="V53" s="285" t="str">
        <f>IFERROR(__xludf.DUMMYFUNCTION("""COMPUTED_VALUE"""),"Closing")</f>
        <v>Closing</v>
      </c>
      <c r="W53" s="285" t="str">
        <f>IFERROR(__xludf.DUMMYFUNCTION("""COMPUTED_VALUE"""),"3H2M custome")</f>
        <v>3H2M custome</v>
      </c>
      <c r="X53" s="287">
        <f>IFERROR(__xludf.DUMMYFUNCTION("""COMPUTED_VALUE"""),46123.0)</f>
        <v>46123</v>
      </c>
      <c r="Y53" s="285">
        <f>IFERROR(__xludf.DUMMYFUNCTION("""COMPUTED_VALUE"""),4.0)</f>
        <v>4</v>
      </c>
      <c r="Z53" s="289">
        <f>IFERROR(__xludf.DUMMYFUNCTION("""COMPUTED_VALUE"""),7700000.0)</f>
        <v>7700000</v>
      </c>
      <c r="AA53" s="285" t="str">
        <f>IFERROR(__xludf.DUMMYFUNCTION("""COMPUTED_VALUE"""),"alhamduliillah orderrr")</f>
        <v>alhamduliillah orderrr</v>
      </c>
      <c r="AC53" s="285" t="str">
        <f>IFERROR(__xludf.DUMMYFUNCTION("""COMPUTED_VALUE"""),"2601D059")</f>
        <v>2601D059</v>
      </c>
      <c r="AD53" s="286">
        <f>IFERROR(__xludf.DUMMYFUNCTION("""COMPUTED_VALUE"""),46028.0)</f>
        <v>46028</v>
      </c>
      <c r="AE53" s="285" t="str">
        <f>IFERROR(__xludf.DUMMYFUNCTION("""COMPUTED_VALUE"""),"Weny")</f>
        <v>Weny</v>
      </c>
      <c r="AF53" s="285" t="str">
        <f>IFERROR(__xludf.DUMMYFUNCTION("""COMPUTED_VALUE"""),"08125262656")</f>
        <v>08125262656</v>
      </c>
      <c r="AG53" s="285" t="str">
        <f>IFERROR(__xludf.DUMMYFUNCTION("""COMPUTED_VALUE"""),"Gagal")</f>
        <v>Gagal</v>
      </c>
      <c r="AH53" s="285" t="str">
        <f>IFERROR(__xludf.DUMMYFUNCTION("""COMPUTED_VALUE"""),"2H1M")</f>
        <v>2H1M</v>
      </c>
      <c r="AI53" s="287"/>
      <c r="AJ53" s="285"/>
      <c r="AK53" s="289"/>
      <c r="AL53" s="285" t="str">
        <f>IFERROR(__xludf.DUMMYFUNCTION("""COMPUTED_VALUE"""),"start sby")</f>
        <v>start sby</v>
      </c>
    </row>
    <row r="54">
      <c r="F54" s="285" t="str">
        <f>IFERROR(__xludf.DUMMYFUNCTION("""COMPUTED_VALUE"""),"2605D070")</f>
        <v>2605D070</v>
      </c>
      <c r="G54" s="286">
        <f>IFERROR(__xludf.DUMMYFUNCTION("""COMPUTED_VALUE"""),46158.0)</f>
        <v>46158</v>
      </c>
      <c r="H54" s="285" t="str">
        <f>IFERROR(__xludf.DUMMYFUNCTION("""COMPUTED_VALUE"""),"Andhayu Nik")</f>
        <v>Andhayu Nik</v>
      </c>
      <c r="I54" s="285" t="str">
        <f>IFERROR(__xludf.DUMMYFUNCTION("""COMPUTED_VALUE"""),"081294491814")</f>
        <v>081294491814</v>
      </c>
      <c r="J54" s="285" t="str">
        <f>IFERROR(__xludf.DUMMYFUNCTION("""COMPUTED_VALUE"""),"Leads Baru")</f>
        <v>Leads Baru</v>
      </c>
      <c r="K54" s="285"/>
      <c r="L54" s="287"/>
      <c r="M54" s="288"/>
      <c r="N54" s="289"/>
      <c r="O54" s="290" t="str">
        <f>IFERROR(__xludf.DUMMYFUNCTION("""COMPUTED_VALUE"""),"FU 2 Juni, menyapa aja")</f>
        <v>FU 2 Juni, menyapa aja</v>
      </c>
      <c r="P54" s="320"/>
      <c r="R54" s="285" t="str">
        <f>IFERROR(__xludf.DUMMYFUNCTION("""COMPUTED_VALUE"""),"2604D052")</f>
        <v>2604D052</v>
      </c>
      <c r="S54" s="286">
        <f>IFERROR(__xludf.DUMMYFUNCTION("""COMPUTED_VALUE"""),46123.0)</f>
        <v>46123</v>
      </c>
      <c r="T54" s="285" t="str">
        <f>IFERROR(__xludf.DUMMYFUNCTION("""COMPUTED_VALUE"""),"Sindy")</f>
        <v>Sindy</v>
      </c>
      <c r="U54" s="285" t="str">
        <f>IFERROR(__xludf.DUMMYFUNCTION("""COMPUTED_VALUE"""),"081262384098")</f>
        <v>081262384098</v>
      </c>
      <c r="V54" s="285" t="str">
        <f>IFERROR(__xludf.DUMMYFUNCTION("""COMPUTED_VALUE"""),"Closing")</f>
        <v>Closing</v>
      </c>
      <c r="W54" s="285" t="str">
        <f>IFERROR(__xludf.DUMMYFUNCTION("""COMPUTED_VALUE"""),"OT menjangan tabuhan")</f>
        <v>OT menjangan tabuhan</v>
      </c>
      <c r="X54" s="287">
        <f>IFERROR(__xludf.DUMMYFUNCTION("""COMPUTED_VALUE"""),46128.0)</f>
        <v>46128</v>
      </c>
      <c r="Y54" s="285">
        <f>IFERROR(__xludf.DUMMYFUNCTION("""COMPUTED_VALUE"""),2.0)</f>
        <v>2</v>
      </c>
      <c r="Z54" s="289">
        <f>IFERROR(__xludf.DUMMYFUNCTION("""COMPUTED_VALUE"""),1650000.0)</f>
        <v>1650000</v>
      </c>
      <c r="AA54" s="285" t="str">
        <f>IFERROR(__xludf.DUMMYFUNCTION("""COMPUTED_VALUE"""),"Orderrrr")</f>
        <v>Orderrrr</v>
      </c>
      <c r="AC54" s="285" t="str">
        <f>IFERROR(__xludf.DUMMYFUNCTION("""COMPUTED_VALUE"""),"2601D060")</f>
        <v>2601D060</v>
      </c>
      <c r="AD54" s="286">
        <f>IFERROR(__xludf.DUMMYFUNCTION("""COMPUTED_VALUE"""),46028.0)</f>
        <v>46028</v>
      </c>
      <c r="AE54" s="285" t="str">
        <f>IFERROR(__xludf.DUMMYFUNCTION("""COMPUTED_VALUE"""),"Yande BaliBagus")</f>
        <v>Yande BaliBagus</v>
      </c>
      <c r="AF54" s="285" t="str">
        <f>IFERROR(__xludf.DUMMYFUNCTION("""COMPUTED_VALUE"""),"081225318054")</f>
        <v>081225318054</v>
      </c>
      <c r="AG54" s="285" t="str">
        <f>IFERROR(__xludf.DUMMYFUNCTION("""COMPUTED_VALUE"""),"Gagal")</f>
        <v>Gagal</v>
      </c>
      <c r="AH54" s="285" t="str">
        <f>IFERROR(__xludf.DUMMYFUNCTION("""COMPUTED_VALUE"""),"2H1M (trekking ijen)")</f>
        <v>2H1M (trekking ijen)</v>
      </c>
      <c r="AI54" s="287"/>
      <c r="AJ54" s="285">
        <f>IFERROR(__xludf.DUMMYFUNCTION("""COMPUTED_VALUE"""),4.0)</f>
        <v>4</v>
      </c>
      <c r="AK54" s="289">
        <f>IFERROR(__xludf.DUMMYFUNCTION("""COMPUTED_VALUE"""),6600000.0)</f>
        <v>6600000</v>
      </c>
      <c r="AL54" s="285" t="str">
        <f>IFERROR(__xludf.DUMMYFUNCTION("""COMPUTED_VALUE"""),"follow up akhir februari")</f>
        <v>follow up akhir februari</v>
      </c>
    </row>
    <row r="55">
      <c r="F55" s="285" t="str">
        <f>IFERROR(__xludf.DUMMYFUNCTION("""COMPUTED_VALUE"""),"2605D071")</f>
        <v>2605D071</v>
      </c>
      <c r="G55" s="286">
        <f>IFERROR(__xludf.DUMMYFUNCTION("""COMPUTED_VALUE"""),46159.0)</f>
        <v>46159</v>
      </c>
      <c r="H55" s="285" t="str">
        <f>IFERROR(__xludf.DUMMYFUNCTION("""COMPUTED_VALUE"""),"Zahid")</f>
        <v>Zahid</v>
      </c>
      <c r="I55" s="285" t="str">
        <f>IFERROR(__xludf.DUMMYFUNCTION("""COMPUTED_VALUE"""),"087778512675")</f>
        <v>087778512675</v>
      </c>
      <c r="J55" s="285" t="str">
        <f>IFERROR(__xludf.DUMMYFUNCTION("""COMPUTED_VALUE"""),"Leads Baru")</f>
        <v>Leads Baru</v>
      </c>
      <c r="K55" s="285" t="str">
        <f>IFERROR(__xludf.DUMMYFUNCTION("""COMPUTED_VALUE"""),"trip ijen djawatan")</f>
        <v>trip ijen djawatan</v>
      </c>
      <c r="L55" s="287"/>
      <c r="M55" s="288"/>
      <c r="N55" s="289"/>
      <c r="O55" s="290" t="str">
        <f>IFERROR(__xludf.DUMMYFUNCTION("""COMPUTED_VALUE"""),"belum ada balasan lagi, FU 1 Juni")</f>
        <v>belum ada balasan lagi, FU 1 Juni</v>
      </c>
      <c r="P55" s="320"/>
      <c r="R55" s="285" t="str">
        <f>IFERROR(__xludf.DUMMYFUNCTION("""COMPUTED_VALUE"""),"2604D056")</f>
        <v>2604D056</v>
      </c>
      <c r="S55" s="286">
        <f>IFERROR(__xludf.DUMMYFUNCTION("""COMPUTED_VALUE"""),46123.0)</f>
        <v>46123</v>
      </c>
      <c r="T55" s="285" t="str">
        <f>IFERROR(__xludf.DUMMYFUNCTION("""COMPUTED_VALUE"""),"Nadya Fitri")</f>
        <v>Nadya Fitri</v>
      </c>
      <c r="U55" s="285" t="str">
        <f>IFERROR(__xludf.DUMMYFUNCTION("""COMPUTED_VALUE"""),"085694273926")</f>
        <v>085694273926</v>
      </c>
      <c r="V55" s="285" t="str">
        <f>IFERROR(__xludf.DUMMYFUNCTION("""COMPUTED_VALUE"""),"Closing")</f>
        <v>Closing</v>
      </c>
      <c r="W55" s="285" t="str">
        <f>IFERROR(__xludf.DUMMYFUNCTION("""COMPUTED_VALUE"""),"OT MT, OT Ijen")</f>
        <v>OT MT, OT Ijen</v>
      </c>
      <c r="X55" s="287"/>
      <c r="Y55" s="285">
        <f>IFERROR(__xludf.DUMMYFUNCTION("""COMPUTED_VALUE"""),2.0)</f>
        <v>2</v>
      </c>
      <c r="Z55" s="289">
        <f>IFERROR(__xludf.DUMMYFUNCTION("""COMPUTED_VALUE"""),1090000.0)</f>
        <v>1090000</v>
      </c>
      <c r="AA55" s="285" t="str">
        <f>IFERROR(__xludf.DUMMYFUNCTION("""COMPUTED_VALUE"""),"yeyyyy orderrr")</f>
        <v>yeyyyy orderrr</v>
      </c>
      <c r="AC55" s="285" t="str">
        <f>IFERROR(__xludf.DUMMYFUNCTION("""COMPUTED_VALUE"""),"2601D061")</f>
        <v>2601D061</v>
      </c>
      <c r="AD55" s="286">
        <f>IFERROR(__xludf.DUMMYFUNCTION("""COMPUTED_VALUE"""),46028.0)</f>
        <v>46028</v>
      </c>
      <c r="AE55" s="285" t="str">
        <f>IFERROR(__xludf.DUMMYFUNCTION("""COMPUTED_VALUE"""),"Sinta julianti ")</f>
        <v>Sinta julianti </v>
      </c>
      <c r="AF55" s="285" t="str">
        <f>IFERROR(__xludf.DUMMYFUNCTION("""COMPUTED_VALUE"""),"085865365502")</f>
        <v>085865365502</v>
      </c>
      <c r="AG55" s="285" t="str">
        <f>IFERROR(__xludf.DUMMYFUNCTION("""COMPUTED_VALUE"""),"Gagal")</f>
        <v>Gagal</v>
      </c>
      <c r="AH55" s="285"/>
      <c r="AI55" s="287"/>
      <c r="AJ55" s="285"/>
      <c r="AK55" s="289"/>
      <c r="AL55" s="285" t="str">
        <f>IFERROR(__xludf.DUMMYFUNCTION("""COMPUTED_VALUE"""),"tidak jawab")</f>
        <v>tidak jawab</v>
      </c>
    </row>
    <row r="56">
      <c r="F56" s="285" t="str">
        <f>IFERROR(__xludf.DUMMYFUNCTION("""COMPUTED_VALUE"""),"2605D074")</f>
        <v>2605D074</v>
      </c>
      <c r="G56" s="286">
        <f>IFERROR(__xludf.DUMMYFUNCTION("""COMPUTED_VALUE"""),46159.0)</f>
        <v>46159</v>
      </c>
      <c r="H56" s="285" t="str">
        <f>IFERROR(__xludf.DUMMYFUNCTION("""COMPUTED_VALUE"""),"Choirul Hidayat")</f>
        <v>Choirul Hidayat</v>
      </c>
      <c r="I56" s="285" t="str">
        <f>IFERROR(__xludf.DUMMYFUNCTION("""COMPUTED_VALUE"""),"089527162819")</f>
        <v>089527162819</v>
      </c>
      <c r="J56" s="285" t="str">
        <f>IFERROR(__xludf.DUMMYFUNCTION("""COMPUTED_VALUE"""),"Leads Baru")</f>
        <v>Leads Baru</v>
      </c>
      <c r="K56" s="285" t="str">
        <f>IFERROR(__xludf.DUMMYFUNCTION("""COMPUTED_VALUE"""),"2h1m opsi A&amp;B")</f>
        <v>2h1m opsi A&amp;B</v>
      </c>
      <c r="L56" s="287"/>
      <c r="M56" s="288">
        <f>IFERROR(__xludf.DUMMYFUNCTION("""COMPUTED_VALUE"""),50.0)</f>
        <v>50</v>
      </c>
      <c r="N56" s="289"/>
      <c r="O56" s="290" t="str">
        <f>IFERROR(__xludf.DUMMYFUNCTION("""COMPUTED_VALUE"""),"B2B, sudah kirim penawaran")</f>
        <v>B2B, sudah kirim penawaran</v>
      </c>
      <c r="P56" s="320"/>
      <c r="R56" s="285" t="str">
        <f>IFERROR(__xludf.DUMMYFUNCTION("""COMPUTED_VALUE"""),"2604D068")</f>
        <v>2604D068</v>
      </c>
      <c r="S56" s="286">
        <f>IFERROR(__xludf.DUMMYFUNCTION("""COMPUTED_VALUE"""),46125.0)</f>
        <v>46125</v>
      </c>
      <c r="T56" s="285" t="str">
        <f>IFERROR(__xludf.DUMMYFUNCTION("""COMPUTED_VALUE"""),"Wrestiandini")</f>
        <v>Wrestiandini</v>
      </c>
      <c r="U56" s="285" t="str">
        <f>IFERROR(__xludf.DUMMYFUNCTION("""COMPUTED_VALUE"""),"081776440965")</f>
        <v>081776440965</v>
      </c>
      <c r="V56" s="285" t="str">
        <f>IFERROR(__xludf.DUMMYFUNCTION("""COMPUTED_VALUE"""),"Closing")</f>
        <v>Closing</v>
      </c>
      <c r="W56" s="285" t="str">
        <f>IFERROR(__xludf.DUMMYFUNCTION("""COMPUTED_VALUE"""),"2h1m custome")</f>
        <v>2h1m custome</v>
      </c>
      <c r="X56" s="287">
        <f>IFERROR(__xludf.DUMMYFUNCTION("""COMPUTED_VALUE"""),46127.0)</f>
        <v>46127</v>
      </c>
      <c r="Y56" s="285">
        <f>IFERROR(__xludf.DUMMYFUNCTION("""COMPUTED_VALUE"""),4.0)</f>
        <v>4</v>
      </c>
      <c r="Z56" s="289">
        <f>IFERROR(__xludf.DUMMYFUNCTION("""COMPUTED_VALUE"""),4900000.0)</f>
        <v>4900000</v>
      </c>
      <c r="AA56" s="285" t="str">
        <f>IFERROR(__xludf.DUMMYFUNCTION("""COMPUTED_VALUE"""),"ORDERRR")</f>
        <v>ORDERRR</v>
      </c>
      <c r="AC56" s="285" t="str">
        <f>IFERROR(__xludf.DUMMYFUNCTION("""COMPUTED_VALUE"""),"2601D062")</f>
        <v>2601D062</v>
      </c>
      <c r="AD56" s="286">
        <f>IFERROR(__xludf.DUMMYFUNCTION("""COMPUTED_VALUE"""),46029.0)</f>
        <v>46029</v>
      </c>
      <c r="AE56" s="285" t="str">
        <f>IFERROR(__xludf.DUMMYFUNCTION("""COMPUTED_VALUE"""),"Rachel")</f>
        <v>Rachel</v>
      </c>
      <c r="AF56" s="285" t="str">
        <f>IFERROR(__xludf.DUMMYFUNCTION("""COMPUTED_VALUE"""),"085775220152")</f>
        <v>085775220152</v>
      </c>
      <c r="AG56" s="285" t="str">
        <f>IFERROR(__xludf.DUMMYFUNCTION("""COMPUTED_VALUE"""),"Gagal")</f>
        <v>Gagal</v>
      </c>
      <c r="AH56" s="285"/>
      <c r="AI56" s="287">
        <f>IFERROR(__xludf.DUMMYFUNCTION("""COMPUTED_VALUE"""),46038.0)</f>
        <v>46038</v>
      </c>
      <c r="AJ56" s="285"/>
      <c r="AK56" s="289"/>
      <c r="AL56" s="285" t="str">
        <f>IFERROR(__xludf.DUMMYFUNCTION("""COMPUTED_VALUE"""),"tidak jawab")</f>
        <v>tidak jawab</v>
      </c>
    </row>
    <row r="57">
      <c r="F57" s="285" t="str">
        <f>IFERROR(__xludf.DUMMYFUNCTION("""COMPUTED_VALUE"""),"2605D076")</f>
        <v>2605D076</v>
      </c>
      <c r="G57" s="286">
        <f>IFERROR(__xludf.DUMMYFUNCTION("""COMPUTED_VALUE"""),46160.0)</f>
        <v>46160</v>
      </c>
      <c r="H57" s="285" t="str">
        <f>IFERROR(__xludf.DUMMYFUNCTION("""COMPUTED_VALUE"""),"Yoshi")</f>
        <v>Yoshi</v>
      </c>
      <c r="I57" s="285" t="str">
        <f>IFERROR(__xludf.DUMMYFUNCTION("""COMPUTED_VALUE"""),"085317777587")</f>
        <v>085317777587</v>
      </c>
      <c r="J57" s="285" t="str">
        <f>IFERROR(__xludf.DUMMYFUNCTION("""COMPUTED_VALUE"""),"Leads Baru")</f>
        <v>Leads Baru</v>
      </c>
      <c r="K57" s="285" t="str">
        <f>IFERROR(__xludf.DUMMYFUNCTION("""COMPUTED_VALUE"""),"2H1M ")</f>
        <v>2H1M </v>
      </c>
      <c r="L57" s="287">
        <f>IFERROR(__xludf.DUMMYFUNCTION("""COMPUTED_VALUE"""),46190.0)</f>
        <v>46190</v>
      </c>
      <c r="M57" s="288">
        <f>IFERROR(__xludf.DUMMYFUNCTION("""COMPUTED_VALUE"""),2.0)</f>
        <v>2</v>
      </c>
      <c r="N57" s="289"/>
      <c r="O57" s="290" t="str">
        <f>IFERROR(__xludf.DUMMYFUNCTION("""COMPUTED_VALUE"""),"FU 4 Juni")</f>
        <v>FU 4 Juni</v>
      </c>
      <c r="P57" s="320"/>
      <c r="R57" s="285" t="str">
        <f>IFERROR(__xludf.DUMMYFUNCTION("""COMPUTED_VALUE"""),"2604D073")</f>
        <v>2604D073</v>
      </c>
      <c r="S57" s="286">
        <f>IFERROR(__xludf.DUMMYFUNCTION("""COMPUTED_VALUE"""),46126.0)</f>
        <v>46126</v>
      </c>
      <c r="T57" s="285" t="str">
        <f>IFERROR(__xludf.DUMMYFUNCTION("""COMPUTED_VALUE"""),"Ardiles")</f>
        <v>Ardiles</v>
      </c>
      <c r="U57" s="285" t="str">
        <f>IFERROR(__xludf.DUMMYFUNCTION("""COMPUTED_VALUE"""),"082225097929")</f>
        <v>082225097929</v>
      </c>
      <c r="V57" s="285" t="str">
        <f>IFERROR(__xludf.DUMMYFUNCTION("""COMPUTED_VALUE"""),"Closing")</f>
        <v>Closing</v>
      </c>
      <c r="W57" s="285" t="str">
        <f>IFERROR(__xludf.DUMMYFUNCTION("""COMPUTED_VALUE"""),"OT MT")</f>
        <v>OT MT</v>
      </c>
      <c r="X57" s="287">
        <f>IFERROR(__xludf.DUMMYFUNCTION("""COMPUTED_VALUE"""),46130.0)</f>
        <v>46130</v>
      </c>
      <c r="Y57" s="285">
        <f>IFERROR(__xludf.DUMMYFUNCTION("""COMPUTED_VALUE"""),2.0)</f>
        <v>2</v>
      </c>
      <c r="Z57" s="289">
        <f>IFERROR(__xludf.DUMMYFUNCTION("""COMPUTED_VALUE"""),590000.0)</f>
        <v>590000</v>
      </c>
      <c r="AA57" s="285" t="str">
        <f>IFERROR(__xludf.DUMMYFUNCTION("""COMPUTED_VALUE"""),"orderr")</f>
        <v>orderr</v>
      </c>
      <c r="AC57" s="285" t="str">
        <f>IFERROR(__xludf.DUMMYFUNCTION("""COMPUTED_VALUE"""),"2601D063")</f>
        <v>2601D063</v>
      </c>
      <c r="AD57" s="286">
        <f>IFERROR(__xludf.DUMMYFUNCTION("""COMPUTED_VALUE"""),46029.0)</f>
        <v>46029</v>
      </c>
      <c r="AE57" s="285" t="str">
        <f>IFERROR(__xludf.DUMMYFUNCTION("""COMPUTED_VALUE"""),"Sobar")</f>
        <v>Sobar</v>
      </c>
      <c r="AF57" s="285" t="str">
        <f>IFERROR(__xludf.DUMMYFUNCTION("""COMPUTED_VALUE"""),"081353674012")</f>
        <v>081353674012</v>
      </c>
      <c r="AG57" s="285" t="str">
        <f>IFERROR(__xludf.DUMMYFUNCTION("""COMPUTED_VALUE"""),"Gagal")</f>
        <v>Gagal</v>
      </c>
      <c r="AH57" s="285" t="str">
        <f>IFERROR(__xludf.DUMMYFUNCTION("""COMPUTED_VALUE"""),"OT D TI")</f>
        <v>OT D TI</v>
      </c>
      <c r="AI57" s="287">
        <f>IFERROR(__xludf.DUMMYFUNCTION("""COMPUTED_VALUE"""),46030.0)</f>
        <v>46030</v>
      </c>
      <c r="AJ57" s="285">
        <f>IFERROR(__xludf.DUMMYFUNCTION("""COMPUTED_VALUE"""),1.0)</f>
        <v>1</v>
      </c>
      <c r="AK57" s="289"/>
      <c r="AL57" s="285" t="str">
        <f>IFERROR(__xludf.DUMMYFUNCTION("""COMPUTED_VALUE"""),"tidak ada barengan")</f>
        <v>tidak ada barengan</v>
      </c>
    </row>
    <row r="58">
      <c r="F58" s="285" t="str">
        <f>IFERROR(__xludf.DUMMYFUNCTION("""COMPUTED_VALUE"""),"2605D077")</f>
        <v>2605D077</v>
      </c>
      <c r="G58" s="286">
        <f>IFERROR(__xludf.DUMMYFUNCTION("""COMPUTED_VALUE"""),46160.0)</f>
        <v>46160</v>
      </c>
      <c r="H58" s="285" t="str">
        <f>IFERROR(__xludf.DUMMYFUNCTION("""COMPUTED_VALUE"""),"Ratna Budi")</f>
        <v>Ratna Budi</v>
      </c>
      <c r="I58" s="285" t="str">
        <f>IFERROR(__xludf.DUMMYFUNCTION("""COMPUTED_VALUE"""),"081802626999")</f>
        <v>081802626999</v>
      </c>
      <c r="J58" s="285" t="str">
        <f>IFERROR(__xludf.DUMMYFUNCTION("""COMPUTED_VALUE"""),"Leads Baru")</f>
        <v>Leads Baru</v>
      </c>
      <c r="K58" s="285" t="str">
        <f>IFERROR(__xludf.DUMMYFUNCTION("""COMPUTED_VALUE"""),"2H1M opsi B")</f>
        <v>2H1M opsi B</v>
      </c>
      <c r="L58" s="287"/>
      <c r="M58" s="288">
        <f>IFERROR(__xludf.DUMMYFUNCTION("""COMPUTED_VALUE"""),46083.0)</f>
        <v>46083</v>
      </c>
      <c r="N58" s="289"/>
      <c r="O58" s="290" t="str">
        <f>IFERROR(__xludf.DUMMYFUNCTION("""COMPUTED_VALUE"""),"URGENSI")</f>
        <v>URGENSI</v>
      </c>
      <c r="P58" s="320"/>
      <c r="R58" s="285" t="str">
        <f>IFERROR(__xludf.DUMMYFUNCTION("""COMPUTED_VALUE"""),"2604D078")</f>
        <v>2604D078</v>
      </c>
      <c r="S58" s="286">
        <f>IFERROR(__xludf.DUMMYFUNCTION("""COMPUTED_VALUE"""),46127.0)</f>
        <v>46127</v>
      </c>
      <c r="T58" s="285" t="str">
        <f>IFERROR(__xludf.DUMMYFUNCTION("""COMPUTED_VALUE"""),"Ida Farida")</f>
        <v>Ida Farida</v>
      </c>
      <c r="U58" s="285" t="str">
        <f>IFERROR(__xludf.DUMMYFUNCTION("""COMPUTED_VALUE"""),"081809548297")</f>
        <v>081809548297</v>
      </c>
      <c r="V58" s="285" t="str">
        <f>IFERROR(__xludf.DUMMYFUNCTION("""COMPUTED_VALUE"""),"Closing")</f>
        <v>Closing</v>
      </c>
      <c r="W58" s="285" t="str">
        <f>IFERROR(__xludf.DUMMYFUNCTION("""COMPUTED_VALUE"""),"2h1m custome")</f>
        <v>2h1m custome</v>
      </c>
      <c r="X58" s="287"/>
      <c r="Y58" s="285">
        <f>IFERROR(__xludf.DUMMYFUNCTION("""COMPUTED_VALUE"""),5.0)</f>
        <v>5</v>
      </c>
      <c r="Z58" s="289"/>
      <c r="AA58" s="285" t="str">
        <f>IFERROR(__xludf.DUMMYFUNCTION("""COMPUTED_VALUE"""),"orderrrrrr")</f>
        <v>orderrrrrr</v>
      </c>
      <c r="AC58" s="285" t="str">
        <f>IFERROR(__xludf.DUMMYFUNCTION("""COMPUTED_VALUE"""),"2601D064")</f>
        <v>2601D064</v>
      </c>
      <c r="AD58" s="286">
        <f>IFERROR(__xludf.DUMMYFUNCTION("""COMPUTED_VALUE"""),46030.0)</f>
        <v>46030</v>
      </c>
      <c r="AE58" s="285" t="str">
        <f>IFERROR(__xludf.DUMMYFUNCTION("""COMPUTED_VALUE"""),"Nanik A")</f>
        <v>Nanik A</v>
      </c>
      <c r="AF58" s="285" t="str">
        <f>IFERROR(__xludf.DUMMYFUNCTION("""COMPUTED_VALUE"""),"082225737622")</f>
        <v>082225737622</v>
      </c>
      <c r="AG58" s="285" t="str">
        <f>IFERROR(__xludf.DUMMYFUNCTION("""COMPUTED_VALUE"""),"Gagal")</f>
        <v>Gagal</v>
      </c>
      <c r="AH58" s="285" t="str">
        <f>IFERROR(__xludf.DUMMYFUNCTION("""COMPUTED_VALUE"""),"Trip djawatan baluran")</f>
        <v>Trip djawatan baluran</v>
      </c>
      <c r="AI58" s="287"/>
      <c r="AJ58" s="285">
        <f>IFERROR(__xludf.DUMMYFUNCTION("""COMPUTED_VALUE"""),3.0)</f>
        <v>3</v>
      </c>
      <c r="AK58" s="289"/>
      <c r="AL58" s="285" t="str">
        <f>IFERROR(__xludf.DUMMYFUNCTION("""COMPUTED_VALUE"""),"nunggu jadwal cuti")</f>
        <v>nunggu jadwal cuti</v>
      </c>
    </row>
    <row r="59">
      <c r="F59" s="285" t="str">
        <f>IFERROR(__xludf.DUMMYFUNCTION("""COMPUTED_VALUE"""),"2605D077")</f>
        <v>2605D077</v>
      </c>
      <c r="G59" s="286">
        <f>IFERROR(__xludf.DUMMYFUNCTION("""COMPUTED_VALUE"""),46160.0)</f>
        <v>46160</v>
      </c>
      <c r="H59" s="285" t="str">
        <f>IFERROR(__xludf.DUMMYFUNCTION("""COMPUTED_VALUE"""),"JO")</f>
        <v>JO</v>
      </c>
      <c r="I59" s="285" t="str">
        <f>IFERROR(__xludf.DUMMYFUNCTION("""COMPUTED_VALUE"""),"085743383933")</f>
        <v>085743383933</v>
      </c>
      <c r="J59" s="285" t="str">
        <f>IFERROR(__xludf.DUMMYFUNCTION("""COMPUTED_VALUE"""),"Leads Baru")</f>
        <v>Leads Baru</v>
      </c>
      <c r="K59" s="285" t="str">
        <f>IFERROR(__xludf.DUMMYFUNCTION("""COMPUTED_VALUE"""),"2H1M")</f>
        <v>2H1M</v>
      </c>
      <c r="L59" s="287"/>
      <c r="M59" s="288"/>
      <c r="N59" s="289"/>
      <c r="O59" s="290" t="str">
        <f>IFERROR(__xludf.DUMMYFUNCTION("""COMPUTED_VALUE"""),"jangan di FU, biar orgnya yang WA")</f>
        <v>jangan di FU, biar orgnya yang WA</v>
      </c>
      <c r="P59" s="320"/>
      <c r="R59" s="285" t="str">
        <f>IFERROR(__xludf.DUMMYFUNCTION("""COMPUTED_VALUE"""),"2604D092")</f>
        <v>2604D092</v>
      </c>
      <c r="S59" s="286">
        <f>IFERROR(__xludf.DUMMYFUNCTION("""COMPUTED_VALUE"""),46129.0)</f>
        <v>46129</v>
      </c>
      <c r="T59" s="285" t="str">
        <f>IFERROR(__xludf.DUMMYFUNCTION("""COMPUTED_VALUE"""),"GreciaLamellae")</f>
        <v>GreciaLamellae</v>
      </c>
      <c r="U59" s="285" t="str">
        <f>IFERROR(__xludf.DUMMYFUNCTION("""COMPUTED_VALUE"""),"081459107981")</f>
        <v>081459107981</v>
      </c>
      <c r="V59" s="285" t="str">
        <f>IFERROR(__xludf.DUMMYFUNCTION("""COMPUTED_VALUE"""),"Closing")</f>
        <v>Closing</v>
      </c>
      <c r="W59" s="285" t="str">
        <f>IFERROR(__xludf.DUMMYFUNCTION("""COMPUTED_VALUE"""),"2h1m custome")</f>
        <v>2h1m custome</v>
      </c>
      <c r="X59" s="287">
        <f>IFERROR(__xludf.DUMMYFUNCTION("""COMPUTED_VALUE"""),46156.0)</f>
        <v>46156</v>
      </c>
      <c r="Y59" s="285">
        <f>IFERROR(__xludf.DUMMYFUNCTION("""COMPUTED_VALUE"""),20.0)</f>
        <v>20</v>
      </c>
      <c r="Z59" s="289">
        <f>IFERROR(__xludf.DUMMYFUNCTION("""COMPUTED_VALUE"""),1.256E7)</f>
        <v>12560000</v>
      </c>
      <c r="AA59" s="285" t="str">
        <f>IFERROR(__xludf.DUMMYFUNCTION("""COMPUTED_VALUE"""),"orderrrr")</f>
        <v>orderrrr</v>
      </c>
      <c r="AC59" s="285" t="str">
        <f>IFERROR(__xludf.DUMMYFUNCTION("""COMPUTED_VALUE"""),"2601D065")</f>
        <v>2601D065</v>
      </c>
      <c r="AD59" s="286">
        <f>IFERROR(__xludf.DUMMYFUNCTION("""COMPUTED_VALUE"""),46030.0)</f>
        <v>46030</v>
      </c>
      <c r="AE59" s="285" t="str">
        <f>IFERROR(__xludf.DUMMYFUNCTION("""COMPUTED_VALUE"""),"Ganang Age")</f>
        <v>Ganang Age</v>
      </c>
      <c r="AF59" s="285" t="str">
        <f>IFERROR(__xludf.DUMMYFUNCTION("""COMPUTED_VALUE"""),"0895363160977")</f>
        <v>0895363160977</v>
      </c>
      <c r="AG59" s="285" t="str">
        <f>IFERROR(__xludf.DUMMYFUNCTION("""COMPUTED_VALUE"""),"Gagal")</f>
        <v>Gagal</v>
      </c>
      <c r="AH59" s="285"/>
      <c r="AI59" s="287"/>
      <c r="AJ59" s="285"/>
      <c r="AK59" s="289"/>
      <c r="AL59" s="285" t="str">
        <f>IFERROR(__xludf.DUMMYFUNCTION("""COMPUTED_VALUE"""),"tidak jawab")</f>
        <v>tidak jawab</v>
      </c>
    </row>
    <row r="60">
      <c r="F60" s="285" t="str">
        <f>IFERROR(__xludf.DUMMYFUNCTION("""COMPUTED_VALUE"""),"2605D081")</f>
        <v>2605D081</v>
      </c>
      <c r="G60" s="286">
        <f>IFERROR(__xludf.DUMMYFUNCTION("""COMPUTED_VALUE"""),46160.0)</f>
        <v>46160</v>
      </c>
      <c r="H60" s="285" t="str">
        <f>IFERROR(__xludf.DUMMYFUNCTION("""COMPUTED_VALUE"""),"Nyulenta S")</f>
        <v>Nyulenta S</v>
      </c>
      <c r="I60" s="285" t="str">
        <f>IFERROR(__xludf.DUMMYFUNCTION("""COMPUTED_VALUE"""),"085748798211")</f>
        <v>085748798211</v>
      </c>
      <c r="J60" s="285" t="str">
        <f>IFERROR(__xludf.DUMMYFUNCTION("""COMPUTED_VALUE"""),"Leads Baru")</f>
        <v>Leads Baru</v>
      </c>
      <c r="K60" s="285"/>
      <c r="L60" s="287"/>
      <c r="M60" s="288">
        <f>IFERROR(__xludf.DUMMYFUNCTION("""COMPUTED_VALUE"""),46115.0)</f>
        <v>46115</v>
      </c>
      <c r="N60" s="289"/>
      <c r="O60" s="290" t="str">
        <f>IFERROR(__xludf.DUMMYFUNCTION("""COMPUTED_VALUE"""),"minta penawaran")</f>
        <v>minta penawaran</v>
      </c>
      <c r="P60" s="320"/>
      <c r="R60" s="285" t="str">
        <f>IFERROR(__xludf.DUMMYFUNCTION("""COMPUTED_VALUE"""),"2604D098")</f>
        <v>2604D098</v>
      </c>
      <c r="S60" s="286">
        <f>IFERROR(__xludf.DUMMYFUNCTION("""COMPUTED_VALUE"""),46131.0)</f>
        <v>46131</v>
      </c>
      <c r="T60" s="285" t="str">
        <f>IFERROR(__xludf.DUMMYFUNCTION("""COMPUTED_VALUE"""),"Dira")</f>
        <v>Dira</v>
      </c>
      <c r="U60" s="285" t="str">
        <f>IFERROR(__xludf.DUMMYFUNCTION("""COMPUTED_VALUE"""),"083843366135")</f>
        <v>083843366135</v>
      </c>
      <c r="V60" s="285" t="str">
        <f>IFERROR(__xludf.DUMMYFUNCTION("""COMPUTED_VALUE"""),"Closing")</f>
        <v>Closing</v>
      </c>
      <c r="W60" s="285" t="str">
        <f>IFERROR(__xludf.DUMMYFUNCTION("""COMPUTED_VALUE"""),"OT Ijen")</f>
        <v>OT Ijen</v>
      </c>
      <c r="X60" s="287">
        <f>IFERROR(__xludf.DUMMYFUNCTION("""COMPUTED_VALUE"""),46157.0)</f>
        <v>46157</v>
      </c>
      <c r="Y60" s="285">
        <f>IFERROR(__xludf.DUMMYFUNCTION("""COMPUTED_VALUE"""),2.0)</f>
        <v>2</v>
      </c>
      <c r="Z60" s="289">
        <f>IFERROR(__xludf.DUMMYFUNCTION("""COMPUTED_VALUE"""),500000.0)</f>
        <v>500000</v>
      </c>
      <c r="AA60" s="285" t="str">
        <f>IFERROR(__xludf.DUMMYFUNCTION("""COMPUTED_VALUE"""),"orderrrr")</f>
        <v>orderrrr</v>
      </c>
      <c r="AC60" s="285" t="str">
        <f>IFERROR(__xludf.DUMMYFUNCTION("""COMPUTED_VALUE"""),"2601D066")</f>
        <v>2601D066</v>
      </c>
      <c r="AD60" s="286">
        <f>IFERROR(__xludf.DUMMYFUNCTION("""COMPUTED_VALUE"""),46030.0)</f>
        <v>46030</v>
      </c>
      <c r="AE60" s="285" t="str">
        <f>IFERROR(__xludf.DUMMYFUNCTION("""COMPUTED_VALUE"""),"Adhelia")</f>
        <v>Adhelia</v>
      </c>
      <c r="AF60" s="285" t="str">
        <f>IFERROR(__xludf.DUMMYFUNCTION("""COMPUTED_VALUE"""),"082335290562")</f>
        <v>082335290562</v>
      </c>
      <c r="AG60" s="285" t="str">
        <f>IFERROR(__xludf.DUMMYFUNCTION("""COMPUTED_VALUE"""),"Gagal")</f>
        <v>Gagal</v>
      </c>
      <c r="AH60" s="285" t="str">
        <f>IFERROR(__xludf.DUMMYFUNCTION("""COMPUTED_VALUE"""),"Trip baluran ")</f>
        <v>Trip baluran </v>
      </c>
      <c r="AI60" s="287"/>
      <c r="AJ60" s="285">
        <f>IFERROR(__xludf.DUMMYFUNCTION("""COMPUTED_VALUE"""),4.0)</f>
        <v>4</v>
      </c>
      <c r="AK60" s="289"/>
      <c r="AL60" s="285" t="str">
        <f>IFERROR(__xludf.DUMMYFUNCTION("""COMPUTED_VALUE"""),"ga jawab")</f>
        <v>ga jawab</v>
      </c>
    </row>
    <row r="61">
      <c r="F61" s="285" t="str">
        <f>IFERROR(__xludf.DUMMYFUNCTION("""COMPUTED_VALUE"""),"2605D082")</f>
        <v>2605D082</v>
      </c>
      <c r="G61" s="286">
        <f>IFERROR(__xludf.DUMMYFUNCTION("""COMPUTED_VALUE"""),46160.0)</f>
        <v>46160</v>
      </c>
      <c r="H61" s="285" t="str">
        <f>IFERROR(__xludf.DUMMYFUNCTION("""COMPUTED_VALUE"""),"Hilma Adia")</f>
        <v>Hilma Adia</v>
      </c>
      <c r="I61" s="285" t="str">
        <f>IFERROR(__xludf.DUMMYFUNCTION("""COMPUTED_VALUE"""),"081554541159")</f>
        <v>081554541159</v>
      </c>
      <c r="J61" s="285" t="str">
        <f>IFERROR(__xludf.DUMMYFUNCTION("""COMPUTED_VALUE"""),"Leads Baru")</f>
        <v>Leads Baru</v>
      </c>
      <c r="K61" s="285"/>
      <c r="L61" s="287"/>
      <c r="M61" s="288"/>
      <c r="N61" s="289"/>
      <c r="O61" s="290"/>
      <c r="P61" s="320"/>
      <c r="R61" s="285" t="str">
        <f>IFERROR(__xludf.DUMMYFUNCTION("""COMPUTED_VALUE"""),"2604D105")</f>
        <v>2604D105</v>
      </c>
      <c r="S61" s="286">
        <f>IFERROR(__xludf.DUMMYFUNCTION("""COMPUTED_VALUE"""),46133.0)</f>
        <v>46133</v>
      </c>
      <c r="T61" s="285" t="str">
        <f>IFERROR(__xludf.DUMMYFUNCTION("""COMPUTED_VALUE"""),"Rohma Aulia")</f>
        <v>Rohma Aulia</v>
      </c>
      <c r="U61" s="285" t="str">
        <f>IFERROR(__xludf.DUMMYFUNCTION("""COMPUTED_VALUE"""),"081910676027")</f>
        <v>081910676027</v>
      </c>
      <c r="V61" s="285" t="str">
        <f>IFERROR(__xludf.DUMMYFUNCTION("""COMPUTED_VALUE"""),"Closing")</f>
        <v>Closing</v>
      </c>
      <c r="W61" s="285" t="str">
        <f>IFERROR(__xludf.DUMMYFUNCTION("""COMPUTED_VALUE"""),"OT Green Island ")</f>
        <v>OT Green Island </v>
      </c>
      <c r="X61" s="287">
        <f>IFERROR(__xludf.DUMMYFUNCTION("""COMPUTED_VALUE"""),46188.0)</f>
        <v>46188</v>
      </c>
      <c r="Y61" s="285">
        <f>IFERROR(__xludf.DUMMYFUNCTION("""COMPUTED_VALUE"""),2.0)</f>
        <v>2</v>
      </c>
      <c r="Z61" s="289">
        <f>IFERROR(__xludf.DUMMYFUNCTION("""COMPUTED_VALUE"""),1100000.0)</f>
        <v>1100000</v>
      </c>
      <c r="AA61" s="285" t="str">
        <f>IFERROR(__xludf.DUMMYFUNCTION("""COMPUTED_VALUE"""),"orderrrrr")</f>
        <v>orderrrrr</v>
      </c>
      <c r="AC61" s="285" t="str">
        <f>IFERROR(__xludf.DUMMYFUNCTION("""COMPUTED_VALUE"""),"2601D067")</f>
        <v>2601D067</v>
      </c>
      <c r="AD61" s="286">
        <f>IFERROR(__xludf.DUMMYFUNCTION("""COMPUTED_VALUE"""),46030.0)</f>
        <v>46030</v>
      </c>
      <c r="AE61" s="285" t="str">
        <f>IFERROR(__xludf.DUMMYFUNCTION("""COMPUTED_VALUE"""),"Khoirunnisa' linaas ")</f>
        <v>Khoirunnisa' linaas </v>
      </c>
      <c r="AF61" s="285" t="str">
        <f>IFERROR(__xludf.DUMMYFUNCTION("""COMPUTED_VALUE"""),"081230352078")</f>
        <v>081230352078</v>
      </c>
      <c r="AG61" s="285" t="str">
        <f>IFERROR(__xludf.DUMMYFUNCTION("""COMPUTED_VALUE"""),"Gagal")</f>
        <v>Gagal</v>
      </c>
      <c r="AH61" s="285" t="str">
        <f>IFERROR(__xludf.DUMMYFUNCTION("""COMPUTED_VALUE"""),"tim building KW")</f>
        <v>tim building KW</v>
      </c>
      <c r="AI61" s="287"/>
      <c r="AJ61" s="285">
        <f>IFERROR(__xludf.DUMMYFUNCTION("""COMPUTED_VALUE"""),100.0)</f>
        <v>100</v>
      </c>
      <c r="AK61" s="289">
        <f>IFERROR(__xludf.DUMMYFUNCTION("""COMPUTED_VALUE"""),1.75E7)</f>
        <v>17500000</v>
      </c>
      <c r="AL61" s="285" t="str">
        <f>IFERROR(__xludf.DUMMYFUNCTION("""COMPUTED_VALUE"""),"tidak ada jawaban")</f>
        <v>tidak ada jawaban</v>
      </c>
    </row>
    <row r="62">
      <c r="F62" s="285" t="str">
        <f>IFERROR(__xludf.DUMMYFUNCTION("""COMPUTED_VALUE"""),"2605D083")</f>
        <v>2605D083</v>
      </c>
      <c r="G62" s="286">
        <f>IFERROR(__xludf.DUMMYFUNCTION("""COMPUTED_VALUE"""),46161.0)</f>
        <v>46161</v>
      </c>
      <c r="H62" s="285" t="str">
        <f>IFERROR(__xludf.DUMMYFUNCTION("""COMPUTED_VALUE"""),"Jayanti")</f>
        <v>Jayanti</v>
      </c>
      <c r="I62" s="285" t="str">
        <f>IFERROR(__xludf.DUMMYFUNCTION("""COMPUTED_VALUE"""),"082192137659")</f>
        <v>082192137659</v>
      </c>
      <c r="J62" s="285" t="str">
        <f>IFERROR(__xludf.DUMMYFUNCTION("""COMPUTED_VALUE"""),"Leads Baru")</f>
        <v>Leads Baru</v>
      </c>
      <c r="K62" s="285" t="str">
        <f>IFERROR(__xludf.DUMMYFUNCTION("""COMPUTED_VALUE"""),"Open Trip")</f>
        <v>Open Trip</v>
      </c>
      <c r="L62" s="287"/>
      <c r="M62" s="288">
        <f>IFERROR(__xludf.DUMMYFUNCTION("""COMPUTED_VALUE"""),1.0)</f>
        <v>1</v>
      </c>
      <c r="N62" s="289"/>
      <c r="O62" s="290" t="str">
        <f>IFERROR(__xludf.DUMMYFUNCTION("""COMPUTED_VALUE"""),"mau pesan mendadak, nanti akan dihubungi lagi")</f>
        <v>mau pesan mendadak, nanti akan dihubungi lagi</v>
      </c>
      <c r="P62" s="320"/>
      <c r="R62" s="285" t="str">
        <f>IFERROR(__xludf.DUMMYFUNCTION("""COMPUTED_VALUE"""),"2604D110")</f>
        <v>2604D110</v>
      </c>
      <c r="S62" s="286">
        <f>IFERROR(__xludf.DUMMYFUNCTION("""COMPUTED_VALUE"""),45767.0)</f>
        <v>45767</v>
      </c>
      <c r="T62" s="285" t="str">
        <f>IFERROR(__xludf.DUMMYFUNCTION("""COMPUTED_VALUE"""),"Bulan Fitria")</f>
        <v>Bulan Fitria</v>
      </c>
      <c r="U62" s="285" t="str">
        <f>IFERROR(__xludf.DUMMYFUNCTION("""COMPUTED_VALUE"""),"085161082238")</f>
        <v>085161082238</v>
      </c>
      <c r="V62" s="285" t="str">
        <f>IFERROR(__xludf.DUMMYFUNCTION("""COMPUTED_VALUE"""),"Closing")</f>
        <v>Closing</v>
      </c>
      <c r="W62" s="285" t="str">
        <f>IFERROR(__xludf.DUMMYFUNCTION("""COMPUTED_VALUE"""),"OT kawah ijen")</f>
        <v>OT kawah ijen</v>
      </c>
      <c r="X62" s="287">
        <f>IFERROR(__xludf.DUMMYFUNCTION("""COMPUTED_VALUE"""),46139.0)</f>
        <v>46139</v>
      </c>
      <c r="Y62" s="285">
        <f>IFERROR(__xludf.DUMMYFUNCTION("""COMPUTED_VALUE"""),1.0)</f>
        <v>1</v>
      </c>
      <c r="Z62" s="289">
        <f>IFERROR(__xludf.DUMMYFUNCTION("""COMPUTED_VALUE"""),250000.0)</f>
        <v>250000</v>
      </c>
      <c r="AA62" s="285" t="str">
        <f>IFERROR(__xludf.DUMMYFUNCTION("""COMPUTED_VALUE"""),"orderrrr")</f>
        <v>orderrrr</v>
      </c>
      <c r="AC62" s="285" t="str">
        <f>IFERROR(__xludf.DUMMYFUNCTION("""COMPUTED_VALUE"""),"2601D068")</f>
        <v>2601D068</v>
      </c>
      <c r="AD62" s="286">
        <f>IFERROR(__xludf.DUMMYFUNCTION("""COMPUTED_VALUE"""),46030.0)</f>
        <v>46030</v>
      </c>
      <c r="AE62" s="285" t="str">
        <f>IFERROR(__xludf.DUMMYFUNCTION("""COMPUTED_VALUE"""),"No name WNA WNI")</f>
        <v>No name WNA WNI</v>
      </c>
      <c r="AF62" s="285" t="str">
        <f>IFERROR(__xludf.DUMMYFUNCTION("""COMPUTED_VALUE"""),"085784629188")</f>
        <v>085784629188</v>
      </c>
      <c r="AG62" s="285" t="str">
        <f>IFERROR(__xludf.DUMMYFUNCTION("""COMPUTED_VALUE"""),"Gagal")</f>
        <v>Gagal</v>
      </c>
      <c r="AH62" s="285" t="str">
        <f>IFERROR(__xludf.DUMMYFUNCTION("""COMPUTED_VALUE"""),"custom desinasi")</f>
        <v>custom desinasi</v>
      </c>
      <c r="AI62" s="287"/>
      <c r="AJ62" s="285">
        <f>IFERROR(__xludf.DUMMYFUNCTION("""COMPUTED_VALUE"""),2.0)</f>
        <v>2</v>
      </c>
      <c r="AK62" s="289"/>
      <c r="AL62" s="285" t="str">
        <f>IFERROR(__xludf.DUMMYFUNCTION("""COMPUTED_VALUE"""),"buat penawaran, FU pertengahan jan")</f>
        <v>buat penawaran, FU pertengahan jan</v>
      </c>
    </row>
    <row r="63">
      <c r="F63" s="285" t="str">
        <f>IFERROR(__xludf.DUMMYFUNCTION("""COMPUTED_VALUE"""),"2605D084")</f>
        <v>2605D084</v>
      </c>
      <c r="G63" s="286">
        <f>IFERROR(__xludf.DUMMYFUNCTION("""COMPUTED_VALUE"""),46161.0)</f>
        <v>46161</v>
      </c>
      <c r="H63" s="285" t="str">
        <f>IFERROR(__xludf.DUMMYFUNCTION("""COMPUTED_VALUE"""),"Ridza")</f>
        <v>Ridza</v>
      </c>
      <c r="I63" s="285" t="str">
        <f>IFERROR(__xludf.DUMMYFUNCTION("""COMPUTED_VALUE"""),"082228082929")</f>
        <v>082228082929</v>
      </c>
      <c r="J63" s="285" t="str">
        <f>IFERROR(__xludf.DUMMYFUNCTION("""COMPUTED_VALUE"""),"Leads Baru")</f>
        <v>Leads Baru</v>
      </c>
      <c r="K63" s="285" t="str">
        <f>IFERROR(__xludf.DUMMYFUNCTION("""COMPUTED_VALUE"""),"1 day Djabal")</f>
        <v>1 day Djabal</v>
      </c>
      <c r="L63" s="287"/>
      <c r="M63" s="288">
        <f>IFERROR(__xludf.DUMMYFUNCTION("""COMPUTED_VALUE"""),4.0)</f>
        <v>4</v>
      </c>
      <c r="N63" s="289"/>
      <c r="O63" s="290" t="str">
        <f>IFERROR(__xludf.DUMMYFUNCTION("""COMPUTED_VALUE"""),"FU 16 Juni")</f>
        <v>FU 16 Juni</v>
      </c>
      <c r="P63" s="320"/>
      <c r="R63" s="285" t="str">
        <f>IFERROR(__xludf.DUMMYFUNCTION("""COMPUTED_VALUE"""),"2604D118")</f>
        <v>2604D118</v>
      </c>
      <c r="S63" s="286">
        <f>IFERROR(__xludf.DUMMYFUNCTION("""COMPUTED_VALUE"""),46137.0)</f>
        <v>46137</v>
      </c>
      <c r="T63" s="285" t="str">
        <f>IFERROR(__xludf.DUMMYFUNCTION("""COMPUTED_VALUE"""),"Gaby Rostanawa")</f>
        <v>Gaby Rostanawa</v>
      </c>
      <c r="U63" s="285" t="str">
        <f>IFERROR(__xludf.DUMMYFUNCTION("""COMPUTED_VALUE"""),"085648882359")</f>
        <v>085648882359</v>
      </c>
      <c r="V63" s="285" t="str">
        <f>IFERROR(__xludf.DUMMYFUNCTION("""COMPUTED_VALUE"""),"Closing")</f>
        <v>Closing</v>
      </c>
      <c r="W63" s="285" t="str">
        <f>IFERROR(__xludf.DUMMYFUNCTION("""COMPUTED_VALUE"""),"OT Menjangan Tabuhan")</f>
        <v>OT Menjangan Tabuhan</v>
      </c>
      <c r="X63" s="287">
        <f>IFERROR(__xludf.DUMMYFUNCTION("""COMPUTED_VALUE"""),46151.0)</f>
        <v>46151</v>
      </c>
      <c r="Y63" s="285">
        <f>IFERROR(__xludf.DUMMYFUNCTION("""COMPUTED_VALUE"""),2.0)</f>
        <v>2</v>
      </c>
      <c r="Z63" s="289">
        <f>IFERROR(__xludf.DUMMYFUNCTION("""COMPUTED_VALUE"""),590000.0)</f>
        <v>590000</v>
      </c>
      <c r="AA63" s="285" t="str">
        <f>IFERROR(__xludf.DUMMYFUNCTION("""COMPUTED_VALUE"""),"ORDERR")</f>
        <v>ORDERR</v>
      </c>
      <c r="AC63" s="285" t="str">
        <f>IFERROR(__xludf.DUMMYFUNCTION("""COMPUTED_VALUE"""),"2601D069")</f>
        <v>2601D069</v>
      </c>
      <c r="AD63" s="286">
        <f>IFERROR(__xludf.DUMMYFUNCTION("""COMPUTED_VALUE"""),46030.0)</f>
        <v>46030</v>
      </c>
      <c r="AE63" s="285" t="str">
        <f>IFERROR(__xludf.DUMMYFUNCTION("""COMPUTED_VALUE"""),"No name Maret")</f>
        <v>No name Maret</v>
      </c>
      <c r="AF63" s="285" t="str">
        <f>IFERROR(__xludf.DUMMYFUNCTION("""COMPUTED_VALUE"""),"081236371881")</f>
        <v>081236371881</v>
      </c>
      <c r="AG63" s="285" t="str">
        <f>IFERROR(__xludf.DUMMYFUNCTION("""COMPUTED_VALUE"""),"Gagal")</f>
        <v>Gagal</v>
      </c>
      <c r="AH63" s="285" t="str">
        <f>IFERROR(__xludf.DUMMYFUNCTION("""COMPUTED_VALUE"""),"OT 3H2M")</f>
        <v>OT 3H2M</v>
      </c>
      <c r="AI63" s="287"/>
      <c r="AJ63" s="285"/>
      <c r="AK63" s="289">
        <f>IFERROR(__xludf.DUMMYFUNCTION("""COMPUTED_VALUE"""),6400000.0)</f>
        <v>6400000</v>
      </c>
      <c r="AL63" s="285" t="str">
        <f>IFERROR(__xludf.DUMMYFUNCTION("""COMPUTED_VALUE"""),"tidak ada jawaban, sudah fu 5 kali")</f>
        <v>tidak ada jawaban, sudah fu 5 kali</v>
      </c>
    </row>
    <row r="64">
      <c r="F64" s="285" t="str">
        <f>IFERROR(__xludf.DUMMYFUNCTION("""COMPUTED_VALUE"""),"2605D087")</f>
        <v>2605D087</v>
      </c>
      <c r="G64" s="286">
        <f>IFERROR(__xludf.DUMMYFUNCTION("""COMPUTED_VALUE"""),46162.0)</f>
        <v>46162</v>
      </c>
      <c r="H64" s="285" t="str">
        <f>IFERROR(__xludf.DUMMYFUNCTION("""COMPUTED_VALUE"""),"Monika")</f>
        <v>Monika</v>
      </c>
      <c r="I64" s="285" t="str">
        <f>IFERROR(__xludf.DUMMYFUNCTION("""COMPUTED_VALUE"""),"087777222254")</f>
        <v>087777222254</v>
      </c>
      <c r="J64" s="285" t="str">
        <f>IFERROR(__xludf.DUMMYFUNCTION("""COMPUTED_VALUE"""),"Leads Baru")</f>
        <v>Leads Baru</v>
      </c>
      <c r="K64" s="285" t="str">
        <f>IFERROR(__xludf.DUMMYFUNCTION("""COMPUTED_VALUE"""),"4h3m")</f>
        <v>4h3m</v>
      </c>
      <c r="L64" s="287"/>
      <c r="M64" s="288">
        <f>IFERROR(__xludf.DUMMYFUNCTION("""COMPUTED_VALUE"""),20.0)</f>
        <v>20</v>
      </c>
      <c r="N64" s="289"/>
      <c r="O64" s="290" t="str">
        <f>IFERROR(__xludf.DUMMYFUNCTION("""COMPUTED_VALUE"""),"minta ganti 3h2m")</f>
        <v>minta ganti 3h2m</v>
      </c>
      <c r="P64" s="320"/>
      <c r="R64" s="285" t="str">
        <f>IFERROR(__xludf.DUMMYFUNCTION("""COMPUTED_VALUE"""),"2604D119 ")</f>
        <v>2604D119 </v>
      </c>
      <c r="S64" s="286">
        <f>IFERROR(__xludf.DUMMYFUNCTION("""COMPUTED_VALUE"""),46137.0)</f>
        <v>46137</v>
      </c>
      <c r="T64" s="285" t="str">
        <f>IFERROR(__xludf.DUMMYFUNCTION("""COMPUTED_VALUE"""),"Kevin")</f>
        <v>Kevin</v>
      </c>
      <c r="U64" s="285" t="str">
        <f>IFERROR(__xludf.DUMMYFUNCTION("""COMPUTED_VALUE"""),"085704064490")</f>
        <v>085704064490</v>
      </c>
      <c r="V64" s="285" t="str">
        <f>IFERROR(__xludf.DUMMYFUNCTION("""COMPUTED_VALUE"""),"Closing")</f>
        <v>Closing</v>
      </c>
      <c r="W64" s="285" t="str">
        <f>IFERROR(__xludf.DUMMYFUNCTION("""COMPUTED_VALUE"""),"OT teluk Ijo ")</f>
        <v>OT teluk Ijo </v>
      </c>
      <c r="X64" s="287">
        <f>IFERROR(__xludf.DUMMYFUNCTION("""COMPUTED_VALUE"""),46229.0)</f>
        <v>46229</v>
      </c>
      <c r="Y64" s="285">
        <f>IFERROR(__xludf.DUMMYFUNCTION("""COMPUTED_VALUE"""),1.0)</f>
        <v>1</v>
      </c>
      <c r="Z64" s="289">
        <f>IFERROR(__xludf.DUMMYFUNCTION("""COMPUTED_VALUE"""),600000.0)</f>
        <v>600000</v>
      </c>
      <c r="AA64" s="285" t="str">
        <f>IFERROR(__xludf.DUMMYFUNCTION("""COMPUTED_VALUE"""),"ORDERR, cari barengan 26 JULI")</f>
        <v>ORDERR, cari barengan 26 JULI</v>
      </c>
      <c r="AC64" s="285" t="str">
        <f>IFERROR(__xludf.DUMMYFUNCTION("""COMPUTED_VALUE"""),"2601D070")</f>
        <v>2601D070</v>
      </c>
      <c r="AD64" s="286">
        <f>IFERROR(__xludf.DUMMYFUNCTION("""COMPUTED_VALUE"""),46030.0)</f>
        <v>46030</v>
      </c>
      <c r="AE64" s="285" t="str">
        <f>IFERROR(__xludf.DUMMYFUNCTION("""COMPUTED_VALUE"""),"Alfian ")</f>
        <v>Alfian </v>
      </c>
      <c r="AF64" s="285" t="str">
        <f>IFERROR(__xludf.DUMMYFUNCTION("""COMPUTED_VALUE"""),"085729019851")</f>
        <v>085729019851</v>
      </c>
      <c r="AG64" s="285" t="str">
        <f>IFERROR(__xludf.DUMMYFUNCTION("""COMPUTED_VALUE"""),"Gagal")</f>
        <v>Gagal</v>
      </c>
      <c r="AH64" s="285" t="str">
        <f>IFERROR(__xludf.DUMMYFUNCTION("""COMPUTED_VALUE"""),"private trip")</f>
        <v>private trip</v>
      </c>
      <c r="AI64" s="287"/>
      <c r="AJ64" s="285">
        <f>IFERROR(__xludf.DUMMYFUNCTION("""COMPUTED_VALUE"""),5.0)</f>
        <v>5</v>
      </c>
      <c r="AK64" s="289"/>
      <c r="AL64" s="285" t="str">
        <f>IFERROR(__xludf.DUMMYFUNCTION("""COMPUTED_VALUE"""),"tanya tanya, sudah FU tgl 9")</f>
        <v>tanya tanya, sudah FU tgl 9</v>
      </c>
    </row>
    <row r="65">
      <c r="F65" s="285" t="str">
        <f>IFERROR(__xludf.DUMMYFUNCTION("""COMPUTED_VALUE"""),"2605D090")</f>
        <v>2605D090</v>
      </c>
      <c r="G65" s="286">
        <f>IFERROR(__xludf.DUMMYFUNCTION("""COMPUTED_VALUE"""),46162.0)</f>
        <v>46162</v>
      </c>
      <c r="H65" s="285" t="str">
        <f>IFERROR(__xludf.DUMMYFUNCTION("""COMPUTED_VALUE"""),"May")</f>
        <v>May</v>
      </c>
      <c r="I65" s="285" t="str">
        <f>IFERROR(__xludf.DUMMYFUNCTION("""COMPUTED_VALUE"""),"08176396486")</f>
        <v>08176396486</v>
      </c>
      <c r="J65" s="285" t="str">
        <f>IFERROR(__xludf.DUMMYFUNCTION("""COMPUTED_VALUE"""),"Leads Baru")</f>
        <v>Leads Baru</v>
      </c>
      <c r="K65" s="285" t="str">
        <f>IFERROR(__xludf.DUMMYFUNCTION("""COMPUTED_VALUE"""),"OT 3H2M")</f>
        <v>OT 3H2M</v>
      </c>
      <c r="L65" s="287"/>
      <c r="M65" s="288">
        <f>IFERROR(__xludf.DUMMYFUNCTION("""COMPUTED_VALUE"""),1.0)</f>
        <v>1</v>
      </c>
      <c r="N65" s="289"/>
      <c r="O65" s="290" t="str">
        <f>IFERROR(__xludf.DUMMYFUNCTION("""COMPUTED_VALUE"""),"nunggu pendaftar lain, FU 5 Juli")</f>
        <v>nunggu pendaftar lain, FU 5 Juli</v>
      </c>
      <c r="P65" s="320"/>
      <c r="R65" s="285" t="str">
        <f>IFERROR(__xludf.DUMMYFUNCTION("""COMPUTED_VALUE"""),"2604D121")</f>
        <v>2604D121</v>
      </c>
      <c r="S65" s="286">
        <f>IFERROR(__xludf.DUMMYFUNCTION("""COMPUTED_VALUE"""),46138.0)</f>
        <v>46138</v>
      </c>
      <c r="T65" s="285" t="str">
        <f>IFERROR(__xludf.DUMMYFUNCTION("""COMPUTED_VALUE"""),"Farraz")</f>
        <v>Farraz</v>
      </c>
      <c r="U65" s="285" t="str">
        <f>IFERROR(__xludf.DUMMYFUNCTION("""COMPUTED_VALUE"""),"085624461293")</f>
        <v>085624461293</v>
      </c>
      <c r="V65" s="285" t="str">
        <f>IFERROR(__xludf.DUMMYFUNCTION("""COMPUTED_VALUE"""),"Closing")</f>
        <v>Closing</v>
      </c>
      <c r="W65" s="285" t="str">
        <f>IFERROR(__xludf.DUMMYFUNCTION("""COMPUTED_VALUE"""),"2h1m Z")</f>
        <v>2h1m Z</v>
      </c>
      <c r="X65" s="287">
        <f>IFERROR(__xludf.DUMMYFUNCTION("""COMPUTED_VALUE"""),46179.0)</f>
        <v>46179</v>
      </c>
      <c r="Y65" s="285">
        <f>IFERROR(__xludf.DUMMYFUNCTION("""COMPUTED_VALUE"""),8.0)</f>
        <v>8</v>
      </c>
      <c r="Z65" s="289">
        <f>IFERROR(__xludf.DUMMYFUNCTION("""COMPUTED_VALUE"""),8800000.0)</f>
        <v>8800000</v>
      </c>
      <c r="AA65" s="285" t="str">
        <f>IFERROR(__xludf.DUMMYFUNCTION("""COMPUTED_VALUE"""),"ORDERRR")</f>
        <v>ORDERRR</v>
      </c>
      <c r="AC65" s="285" t="str">
        <f>IFERROR(__xludf.DUMMYFUNCTION("""COMPUTED_VALUE"""),"2601D072")</f>
        <v>2601D072</v>
      </c>
      <c r="AD65" s="286">
        <f>IFERROR(__xludf.DUMMYFUNCTION("""COMPUTED_VALUE"""),46030.0)</f>
        <v>46030</v>
      </c>
      <c r="AE65" s="285" t="str">
        <f>IFERROR(__xludf.DUMMYFUNCTION("""COMPUTED_VALUE"""),"Novia dian  ")</f>
        <v>Novia dian  </v>
      </c>
      <c r="AF65" s="285" t="str">
        <f>IFERROR(__xludf.DUMMYFUNCTION("""COMPUTED_VALUE"""),"087748304348")</f>
        <v>087748304348</v>
      </c>
      <c r="AG65" s="285" t="str">
        <f>IFERROR(__xludf.DUMMYFUNCTION("""COMPUTED_VALUE"""),"Gagal")</f>
        <v>Gagal</v>
      </c>
      <c r="AH65" s="285" t="str">
        <f>IFERROR(__xludf.DUMMYFUNCTION("""COMPUTED_VALUE"""),"OT 3H2M")</f>
        <v>OT 3H2M</v>
      </c>
      <c r="AI65" s="287"/>
      <c r="AJ65" s="285">
        <f>IFERROR(__xludf.DUMMYFUNCTION("""COMPUTED_VALUE"""),1.0)</f>
        <v>1</v>
      </c>
      <c r="AK65" s="289"/>
      <c r="AL65" s="285" t="str">
        <f>IFERROR(__xludf.DUMMYFUNCTION("""COMPUTED_VALUE"""),"tidak ada jawaban dan barengan, lewat tanggal")</f>
        <v>tidak ada jawaban dan barengan, lewat tanggal</v>
      </c>
    </row>
    <row r="66">
      <c r="F66" s="285" t="str">
        <f>IFERROR(__xludf.DUMMYFUNCTION("""COMPUTED_VALUE"""),"2605D091")</f>
        <v>2605D091</v>
      </c>
      <c r="G66" s="286">
        <f>IFERROR(__xludf.DUMMYFUNCTION("""COMPUTED_VALUE"""),46162.0)</f>
        <v>46162</v>
      </c>
      <c r="H66" s="285" t="str">
        <f>IFERROR(__xludf.DUMMYFUNCTION("""COMPUTED_VALUE"""),"Anne Pesik")</f>
        <v>Anne Pesik</v>
      </c>
      <c r="I66" s="285" t="str">
        <f>IFERROR(__xludf.DUMMYFUNCTION("""COMPUTED_VALUE"""),"081280839119")</f>
        <v>081280839119</v>
      </c>
      <c r="J66" s="285" t="str">
        <f>IFERROR(__xludf.DUMMYFUNCTION("""COMPUTED_VALUE"""),"Leads Baru")</f>
        <v>Leads Baru</v>
      </c>
      <c r="K66" s="285" t="str">
        <f>IFERROR(__xludf.DUMMYFUNCTION("""COMPUTED_VALUE"""),"OT 3H2M")</f>
        <v>OT 3H2M</v>
      </c>
      <c r="L66" s="287">
        <f>IFERROR(__xludf.DUMMYFUNCTION("""COMPUTED_VALUE"""),46199.0)</f>
        <v>46199</v>
      </c>
      <c r="M66" s="288">
        <f>IFERROR(__xludf.DUMMYFUNCTION("""COMPUTED_VALUE"""),8.0)</f>
        <v>8</v>
      </c>
      <c r="N66" s="289"/>
      <c r="O66" s="290" t="str">
        <f>IFERROR(__xludf.DUMMYFUNCTION("""COMPUTED_VALUE"""),"gagalll, menghubungi admin 2")</f>
        <v>gagalll, menghubungi admin 2</v>
      </c>
      <c r="P66" s="320"/>
      <c r="R66" s="285" t="str">
        <f>IFERROR(__xludf.DUMMYFUNCTION("""COMPUTED_VALUE"""),"2604D128")</f>
        <v>2604D128</v>
      </c>
      <c r="S66" s="286">
        <f>IFERROR(__xludf.DUMMYFUNCTION("""COMPUTED_VALUE"""),46141.0)</f>
        <v>46141</v>
      </c>
      <c r="T66" s="285" t="str">
        <f>IFERROR(__xludf.DUMMYFUNCTION("""COMPUTED_VALUE"""),"Addy Garage")</f>
        <v>Addy Garage</v>
      </c>
      <c r="U66" s="285" t="str">
        <f>IFERROR(__xludf.DUMMYFUNCTION("""COMPUTED_VALUE"""),"19122241723")</f>
        <v>19122241723</v>
      </c>
      <c r="V66" s="285" t="str">
        <f>IFERROR(__xludf.DUMMYFUNCTION("""COMPUTED_VALUE"""),"Closing")</f>
        <v>Closing</v>
      </c>
      <c r="W66" s="285" t="str">
        <f>IFERROR(__xludf.DUMMYFUNCTION("""COMPUTED_VALUE"""),"3h2m opsi A")</f>
        <v>3h2m opsi A</v>
      </c>
      <c r="X66" s="287">
        <f>IFERROR(__xludf.DUMMYFUNCTION("""COMPUTED_VALUE"""),46182.0)</f>
        <v>46182</v>
      </c>
      <c r="Y66" s="285">
        <f>IFERROR(__xludf.DUMMYFUNCTION("""COMPUTED_VALUE"""),5.0)</f>
        <v>5</v>
      </c>
      <c r="Z66" s="289">
        <f>IFERROR(__xludf.DUMMYFUNCTION("""COMPUTED_VALUE"""),8750000.0)</f>
        <v>8750000</v>
      </c>
      <c r="AA66" s="285" t="str">
        <f>IFERROR(__xludf.DUMMYFUNCTION("""COMPUTED_VALUE"""),"alhamdulillah orderrr")</f>
        <v>alhamdulillah orderrr</v>
      </c>
      <c r="AC66" s="285" t="str">
        <f>IFERROR(__xludf.DUMMYFUNCTION("""COMPUTED_VALUE"""),"2601D073")</f>
        <v>2601D073</v>
      </c>
      <c r="AD66" s="286">
        <f>IFERROR(__xludf.DUMMYFUNCTION("""COMPUTED_VALUE"""),46031.0)</f>
        <v>46031</v>
      </c>
      <c r="AE66" s="285" t="str">
        <f>IFERROR(__xludf.DUMMYFUNCTION("""COMPUTED_VALUE"""),"Nusroh Linnas")</f>
        <v>Nusroh Linnas</v>
      </c>
      <c r="AF66" s="285" t="str">
        <f>IFERROR(__xludf.DUMMYFUNCTION("""COMPUTED_VALUE"""),"08973257454")</f>
        <v>08973257454</v>
      </c>
      <c r="AG66" s="285" t="str">
        <f>IFERROR(__xludf.DUMMYFUNCTION("""COMPUTED_VALUE"""),"Gagal")</f>
        <v>Gagal</v>
      </c>
      <c r="AH66" s="285"/>
      <c r="AI66" s="287"/>
      <c r="AJ66" s="285"/>
      <c r="AK66" s="289"/>
      <c r="AL66" s="285" t="str">
        <f>IFERROR(__xludf.DUMMYFUNCTION("""COMPUTED_VALUE"""),"tanya terkait dokumentasi ")</f>
        <v>tanya terkait dokumentasi </v>
      </c>
    </row>
    <row r="67">
      <c r="F67" s="285" t="str">
        <f>IFERROR(__xludf.DUMMYFUNCTION("""COMPUTED_VALUE"""),"2605D093")</f>
        <v>2605D093</v>
      </c>
      <c r="G67" s="286">
        <f>IFERROR(__xludf.DUMMYFUNCTION("""COMPUTED_VALUE"""),46162.0)</f>
        <v>46162</v>
      </c>
      <c r="H67" s="285" t="str">
        <f>IFERROR(__xludf.DUMMYFUNCTION("""COMPUTED_VALUE"""),"Poppy Lestari")</f>
        <v>Poppy Lestari</v>
      </c>
      <c r="I67" s="285" t="str">
        <f>IFERROR(__xludf.DUMMYFUNCTION("""COMPUTED_VALUE"""),"08192656688")</f>
        <v>08192656688</v>
      </c>
      <c r="J67" s="285" t="str">
        <f>IFERROR(__xludf.DUMMYFUNCTION("""COMPUTED_VALUE"""),"Leads Baru")</f>
        <v>Leads Baru</v>
      </c>
      <c r="K67" s="285" t="str">
        <f>IFERROR(__xludf.DUMMYFUNCTION("""COMPUTED_VALUE"""),"2h1m")</f>
        <v>2h1m</v>
      </c>
      <c r="L67" s="287"/>
      <c r="M67" s="288">
        <f>IFERROR(__xludf.DUMMYFUNCTION("""COMPUTED_VALUE"""),6.0)</f>
        <v>6</v>
      </c>
      <c r="N67" s="289"/>
      <c r="O67" s="290" t="str">
        <f>IFERROR(__xludf.DUMMYFUNCTION("""COMPUTED_VALUE"""),"buat penawaran")</f>
        <v>buat penawaran</v>
      </c>
      <c r="P67" s="320"/>
      <c r="R67" s="285" t="str">
        <f>IFERROR(__xludf.DUMMYFUNCTION("""COMPUTED_VALUE"""),"2605D001")</f>
        <v>2605D001</v>
      </c>
      <c r="S67" s="286">
        <f>IFERROR(__xludf.DUMMYFUNCTION("""COMPUTED_VALUE"""),46143.0)</f>
        <v>46143</v>
      </c>
      <c r="T67" s="285" t="str">
        <f>IFERROR(__xludf.DUMMYFUNCTION("""COMPUTED_VALUE"""),"Nurfa Caesarini")</f>
        <v>Nurfa Caesarini</v>
      </c>
      <c r="U67" s="285" t="str">
        <f>IFERROR(__xludf.DUMMYFUNCTION("""COMPUTED_VALUE"""),"081224970222")</f>
        <v>081224970222</v>
      </c>
      <c r="V67" s="285" t="str">
        <f>IFERROR(__xludf.DUMMYFUNCTION("""COMPUTED_VALUE"""),"Closing")</f>
        <v>Closing</v>
      </c>
      <c r="W67" s="285" t="str">
        <f>IFERROR(__xludf.DUMMYFUNCTION("""COMPUTED_VALUE"""),"2h1m custome")</f>
        <v>2h1m custome</v>
      </c>
      <c r="X67" s="287">
        <f>IFERROR(__xludf.DUMMYFUNCTION("""COMPUTED_VALUE"""),46156.0)</f>
        <v>46156</v>
      </c>
      <c r="Y67" s="285">
        <f>IFERROR(__xludf.DUMMYFUNCTION("""COMPUTED_VALUE"""),4.0)</f>
        <v>4</v>
      </c>
      <c r="Z67" s="289">
        <f>IFERROR(__xludf.DUMMYFUNCTION("""COMPUTED_VALUE"""),3452000.0)</f>
        <v>3452000</v>
      </c>
      <c r="AA67" s="285" t="str">
        <f>IFERROR(__xludf.DUMMYFUNCTION("""COMPUTED_VALUE"""),"ORDERRR")</f>
        <v>ORDERRR</v>
      </c>
      <c r="AC67" s="285" t="str">
        <f>IFERROR(__xludf.DUMMYFUNCTION("""COMPUTED_VALUE"""),"2601D074")</f>
        <v>2601D074</v>
      </c>
      <c r="AD67" s="286">
        <f>IFERROR(__xludf.DUMMYFUNCTION("""COMPUTED_VALUE"""),46031.0)</f>
        <v>46031</v>
      </c>
      <c r="AE67" s="285" t="str">
        <f>IFERROR(__xludf.DUMMYFUNCTION("""COMPUTED_VALUE"""),"Khalisa")</f>
        <v>Khalisa</v>
      </c>
      <c r="AF67" s="285" t="str">
        <f>IFERROR(__xludf.DUMMYFUNCTION("""COMPUTED_VALUE"""),"082159266648")</f>
        <v>082159266648</v>
      </c>
      <c r="AG67" s="285" t="str">
        <f>IFERROR(__xludf.DUMMYFUNCTION("""COMPUTED_VALUE"""),"Gagal")</f>
        <v>Gagal</v>
      </c>
      <c r="AH67" s="285" t="str">
        <f>IFERROR(__xludf.DUMMYFUNCTION("""COMPUTED_VALUE"""),"Open trip MT")</f>
        <v>Open trip MT</v>
      </c>
      <c r="AI67" s="287"/>
      <c r="AJ67" s="285"/>
      <c r="AK67" s="289">
        <f>IFERROR(__xludf.DUMMYFUNCTION("""COMPUTED_VALUE"""),1475000.0)</f>
        <v>1475000</v>
      </c>
      <c r="AL67" s="285" t="str">
        <f>IFERROR(__xludf.DUMMYFUNCTION("""COMPUTED_VALUE"""),"gajadi liburan tahun inii")</f>
        <v>gajadi liburan tahun inii</v>
      </c>
    </row>
    <row r="68">
      <c r="F68" s="285" t="str">
        <f>IFERROR(__xludf.DUMMYFUNCTION("""COMPUTED_VALUE"""),"2605D097")</f>
        <v>2605D097</v>
      </c>
      <c r="G68" s="286">
        <f>IFERROR(__xludf.DUMMYFUNCTION("""COMPUTED_VALUE"""),46163.0)</f>
        <v>46163</v>
      </c>
      <c r="H68" s="285" t="str">
        <f>IFERROR(__xludf.DUMMYFUNCTION("""COMPUTED_VALUE"""),"Quinn")</f>
        <v>Quinn</v>
      </c>
      <c r="I68" s="285" t="str">
        <f>IFERROR(__xludf.DUMMYFUNCTION("""COMPUTED_VALUE"""),"082350402065")</f>
        <v>082350402065</v>
      </c>
      <c r="J68" s="285" t="str">
        <f>IFERROR(__xludf.DUMMYFUNCTION("""COMPUTED_VALUE"""),"Leads Baru")</f>
        <v>Leads Baru</v>
      </c>
      <c r="K68" s="285" t="str">
        <f>IFERROR(__xludf.DUMMYFUNCTION("""COMPUTED_VALUE"""),"3h2m Opsi A")</f>
        <v>3h2m Opsi A</v>
      </c>
      <c r="L68" s="287">
        <f>IFERROR(__xludf.DUMMYFUNCTION("""COMPUTED_VALUE"""),46195.0)</f>
        <v>46195</v>
      </c>
      <c r="M68" s="288">
        <f>IFERROR(__xludf.DUMMYFUNCTION("""COMPUTED_VALUE"""),4.0)</f>
        <v>4</v>
      </c>
      <c r="N68" s="289"/>
      <c r="O68" s="290" t="str">
        <f>IFERROR(__xludf.DUMMYFUNCTION("""COMPUTED_VALUE"""),"belum balas lagi, FU 6 Juni")</f>
        <v>belum balas lagi, FU 6 Juni</v>
      </c>
      <c r="P68" s="320"/>
      <c r="R68" s="285" t="str">
        <f>IFERROR(__xludf.DUMMYFUNCTION("""COMPUTED_VALUE"""),"2605D002")</f>
        <v>2605D002</v>
      </c>
      <c r="S68" s="286">
        <f>IFERROR(__xludf.DUMMYFUNCTION("""COMPUTED_VALUE"""),46143.0)</f>
        <v>46143</v>
      </c>
      <c r="T68" s="285" t="str">
        <f>IFERROR(__xludf.DUMMYFUNCTION("""COMPUTED_VALUE"""),"Yeny")</f>
        <v>Yeny</v>
      </c>
      <c r="U68" s="285" t="str">
        <f>IFERROR(__xludf.DUMMYFUNCTION("""COMPUTED_VALUE"""),"08117707008")</f>
        <v>08117707008</v>
      </c>
      <c r="V68" s="285" t="str">
        <f>IFERROR(__xludf.DUMMYFUNCTION("""COMPUTED_VALUE"""),"Closing")</f>
        <v>Closing</v>
      </c>
      <c r="W68" s="285" t="str">
        <f>IFERROR(__xludf.DUMMYFUNCTION("""COMPUTED_VALUE"""),"3h2m ")</f>
        <v>3h2m </v>
      </c>
      <c r="X68" s="287">
        <f>IFERROR(__xludf.DUMMYFUNCTION("""COMPUTED_VALUE"""),46170.0)</f>
        <v>46170</v>
      </c>
      <c r="Y68" s="285">
        <f>IFERROR(__xludf.DUMMYFUNCTION("""COMPUTED_VALUE"""),4.0)</f>
        <v>4</v>
      </c>
      <c r="Z68" s="289">
        <f>IFERROR(__xludf.DUMMYFUNCTION("""COMPUTED_VALUE"""),8600000.0)</f>
        <v>8600000</v>
      </c>
      <c r="AA68" s="285" t="str">
        <f>IFERROR(__xludf.DUMMYFUNCTION("""COMPUTED_VALUE"""),"ALHAMDULILLAH ORDER")</f>
        <v>ALHAMDULILLAH ORDER</v>
      </c>
      <c r="AC68" s="285" t="str">
        <f>IFERROR(__xludf.DUMMYFUNCTION("""COMPUTED_VALUE"""),"2601D076")</f>
        <v>2601D076</v>
      </c>
      <c r="AD68" s="286">
        <f>IFERROR(__xludf.DUMMYFUNCTION("""COMPUTED_VALUE"""),46031.0)</f>
        <v>46031</v>
      </c>
      <c r="AE68" s="285" t="str">
        <f>IFERROR(__xludf.DUMMYFUNCTION("""COMPUTED_VALUE"""),"Livia")</f>
        <v>Livia</v>
      </c>
      <c r="AF68" s="285" t="str">
        <f>IFERROR(__xludf.DUMMYFUNCTION("""COMPUTED_VALUE"""),"085786328047")</f>
        <v>085786328047</v>
      </c>
      <c r="AG68" s="285" t="str">
        <f>IFERROR(__xludf.DUMMYFUNCTION("""COMPUTED_VALUE"""),"Gagal")</f>
        <v>Gagal</v>
      </c>
      <c r="AH68" s="285"/>
      <c r="AI68" s="287"/>
      <c r="AJ68" s="285"/>
      <c r="AK68" s="289"/>
      <c r="AL68" s="285" t="str">
        <f>IFERROR(__xludf.DUMMYFUNCTION("""COMPUTED_VALUE"""),"di FU tidak balas")</f>
        <v>di FU tidak balas</v>
      </c>
    </row>
    <row r="69">
      <c r="F69" s="285" t="str">
        <f>IFERROR(__xludf.DUMMYFUNCTION("""COMPUTED_VALUE"""),"2605D099")</f>
        <v>2605D099</v>
      </c>
      <c r="G69" s="286">
        <f>IFERROR(__xludf.DUMMYFUNCTION("""COMPUTED_VALUE"""),46164.0)</f>
        <v>46164</v>
      </c>
      <c r="H69" s="285" t="str">
        <f>IFERROR(__xludf.DUMMYFUNCTION("""COMPUTED_VALUE"""),"Vanessa Claudia")</f>
        <v>Vanessa Claudia</v>
      </c>
      <c r="I69" s="285" t="str">
        <f>IFERROR(__xludf.DUMMYFUNCTION("""COMPUTED_VALUE"""),"085156819256")</f>
        <v>085156819256</v>
      </c>
      <c r="J69" s="285" t="str">
        <f>IFERROR(__xludf.DUMMYFUNCTION("""COMPUTED_VALUE"""),"Leads Baru")</f>
        <v>Leads Baru</v>
      </c>
      <c r="K69" s="285" t="str">
        <f>IFERROR(__xludf.DUMMYFUNCTION("""COMPUTED_VALUE"""),"3h2m Opsi A")</f>
        <v>3h2m Opsi A</v>
      </c>
      <c r="L69" s="287"/>
      <c r="M69" s="288"/>
      <c r="N69" s="289"/>
      <c r="O69" s="290" t="str">
        <f>IFERROR(__xludf.DUMMYFUNCTION("""COMPUTED_VALUE"""),"belum balas lagi, FU 1 juni")</f>
        <v>belum balas lagi, FU 1 juni</v>
      </c>
      <c r="P69" s="320"/>
      <c r="R69" s="285" t="str">
        <f>IFERROR(__xludf.DUMMYFUNCTION("""COMPUTED_VALUE"""),"2605D003")</f>
        <v>2605D003</v>
      </c>
      <c r="S69" s="286">
        <f>IFERROR(__xludf.DUMMYFUNCTION("""COMPUTED_VALUE"""),46143.0)</f>
        <v>46143</v>
      </c>
      <c r="T69" s="285" t="str">
        <f>IFERROR(__xludf.DUMMYFUNCTION("""COMPUTED_VALUE"""),"Bian")</f>
        <v>Bian</v>
      </c>
      <c r="U69" s="285" t="str">
        <f>IFERROR(__xludf.DUMMYFUNCTION("""COMPUTED_VALUE"""),"089506107498")</f>
        <v>089506107498</v>
      </c>
      <c r="V69" s="285" t="str">
        <f>IFERROR(__xludf.DUMMYFUNCTION("""COMPUTED_VALUE"""),"Closing")</f>
        <v>Closing</v>
      </c>
      <c r="W69" s="285" t="str">
        <f>IFERROR(__xludf.DUMMYFUNCTION("""COMPUTED_VALUE"""),"OT MT")</f>
        <v>OT MT</v>
      </c>
      <c r="X69" s="287">
        <f>IFERROR(__xludf.DUMMYFUNCTION("""COMPUTED_VALUE"""),46159.0)</f>
        <v>46159</v>
      </c>
      <c r="Y69" s="285">
        <f>IFERROR(__xludf.DUMMYFUNCTION("""COMPUTED_VALUE"""),2.0)</f>
        <v>2</v>
      </c>
      <c r="Z69" s="289">
        <f>IFERROR(__xludf.DUMMYFUNCTION("""COMPUTED_VALUE"""),590000.0)</f>
        <v>590000</v>
      </c>
      <c r="AA69" s="285" t="str">
        <f>IFERROR(__xludf.DUMMYFUNCTION("""COMPUTED_VALUE"""),"orderrr")</f>
        <v>orderrr</v>
      </c>
      <c r="AC69" s="285" t="str">
        <f>IFERROR(__xludf.DUMMYFUNCTION("""COMPUTED_VALUE"""),"2601D077")</f>
        <v>2601D077</v>
      </c>
      <c r="AD69" s="286">
        <f>IFERROR(__xludf.DUMMYFUNCTION("""COMPUTED_VALUE"""),46031.0)</f>
        <v>46031</v>
      </c>
      <c r="AE69" s="285" t="str">
        <f>IFERROR(__xludf.DUMMYFUNCTION("""COMPUTED_VALUE"""),"Helsa")</f>
        <v>Helsa</v>
      </c>
      <c r="AF69" s="285" t="str">
        <f>IFERROR(__xludf.DUMMYFUNCTION("""COMPUTED_VALUE"""),"085721780257")</f>
        <v>085721780257</v>
      </c>
      <c r="AG69" s="285" t="str">
        <f>IFERROR(__xludf.DUMMYFUNCTION("""COMPUTED_VALUE"""),"Gagal")</f>
        <v>Gagal</v>
      </c>
      <c r="AH69" s="285"/>
      <c r="AI69" s="287"/>
      <c r="AJ69" s="285">
        <f>IFERROR(__xludf.DUMMYFUNCTION("""COMPUTED_VALUE"""),2.0)</f>
        <v>2</v>
      </c>
      <c r="AK69" s="289"/>
      <c r="AL69" s="285" t="str">
        <f>IFERROR(__xludf.DUMMYFUNCTION("""COMPUTED_VALUE"""),"tanya tanya, FU tgl 11")</f>
        <v>tanya tanya, FU tgl 11</v>
      </c>
    </row>
    <row r="70">
      <c r="F70" s="285" t="str">
        <f>IFERROR(__xludf.DUMMYFUNCTION("""COMPUTED_VALUE"""),"2605D101")</f>
        <v>2605D101</v>
      </c>
      <c r="G70" s="286">
        <f>IFERROR(__xludf.DUMMYFUNCTION("""COMPUTED_VALUE"""),46164.0)</f>
        <v>46164</v>
      </c>
      <c r="H70" s="285" t="str">
        <f>IFERROR(__xludf.DUMMYFUNCTION("""COMPUTED_VALUE"""),"Exhie")</f>
        <v>Exhie</v>
      </c>
      <c r="I70" s="285" t="str">
        <f>IFERROR(__xludf.DUMMYFUNCTION("""COMPUTED_VALUE"""),"608209897")</f>
        <v>608209897</v>
      </c>
      <c r="J70" s="285" t="str">
        <f>IFERROR(__xludf.DUMMYFUNCTION("""COMPUTED_VALUE"""),"Leads Baru")</f>
        <v>Leads Baru</v>
      </c>
      <c r="K70" s="285"/>
      <c r="L70" s="287"/>
      <c r="M70" s="288"/>
      <c r="N70" s="289"/>
      <c r="O70" s="290" t="str">
        <f>IFERROR(__xludf.DUMMYFUNCTION("""COMPUTED_VALUE"""),"masihh nyapa")</f>
        <v>masihh nyapa</v>
      </c>
      <c r="P70" s="320"/>
      <c r="R70" s="285" t="str">
        <f>IFERROR(__xludf.DUMMYFUNCTION("""COMPUTED_VALUE"""),"2605D005")</f>
        <v>2605D005</v>
      </c>
      <c r="S70" s="286">
        <f>IFERROR(__xludf.DUMMYFUNCTION("""COMPUTED_VALUE"""),46144.0)</f>
        <v>46144</v>
      </c>
      <c r="T70" s="285" t="str">
        <f>IFERROR(__xludf.DUMMYFUNCTION("""COMPUTED_VALUE"""),"Fajar trimira")</f>
        <v>Fajar trimira</v>
      </c>
      <c r="U70" s="285" t="str">
        <f>IFERROR(__xludf.DUMMYFUNCTION("""COMPUTED_VALUE"""),"087804047180")</f>
        <v>087804047180</v>
      </c>
      <c r="V70" s="285" t="str">
        <f>IFERROR(__xludf.DUMMYFUNCTION("""COMPUTED_VALUE"""),"Closing")</f>
        <v>Closing</v>
      </c>
      <c r="W70" s="285" t="str">
        <f>IFERROR(__xludf.DUMMYFUNCTION("""COMPUTED_VALUE"""),"OT GI,PB,I")</f>
        <v>OT GI,PB,I</v>
      </c>
      <c r="X70" s="287">
        <f>IFERROR(__xludf.DUMMYFUNCTION("""COMPUTED_VALUE"""),46158.0)</f>
        <v>46158</v>
      </c>
      <c r="Y70" s="285">
        <f>IFERROR(__xludf.DUMMYFUNCTION("""COMPUTED_VALUE"""),1.0)</f>
        <v>1</v>
      </c>
      <c r="Z70" s="289">
        <f>IFERROR(__xludf.DUMMYFUNCTION("""COMPUTED_VALUE"""),800000.0)</f>
        <v>800000</v>
      </c>
      <c r="AA70" s="285" t="str">
        <f>IFERROR(__xludf.DUMMYFUNCTION("""COMPUTED_VALUE"""),"orderrrrrr")</f>
        <v>orderrrrrr</v>
      </c>
      <c r="AC70" s="285" t="str">
        <f>IFERROR(__xludf.DUMMYFUNCTION("""COMPUTED_VALUE"""),"2601D078")</f>
        <v>2601D078</v>
      </c>
      <c r="AD70" s="286">
        <f>IFERROR(__xludf.DUMMYFUNCTION("""COMPUTED_VALUE"""),46031.0)</f>
        <v>46031</v>
      </c>
      <c r="AE70" s="285" t="str">
        <f>IFERROR(__xludf.DUMMYFUNCTION("""COMPUTED_VALUE"""),"Muawanah ")</f>
        <v>Muawanah </v>
      </c>
      <c r="AF70" s="285" t="str">
        <f>IFERROR(__xludf.DUMMYFUNCTION("""COMPUTED_VALUE"""),"08111626220")</f>
        <v>08111626220</v>
      </c>
      <c r="AG70" s="285" t="str">
        <f>IFERROR(__xludf.DUMMYFUNCTION("""COMPUTED_VALUE"""),"Gagal")</f>
        <v>Gagal</v>
      </c>
      <c r="AH70" s="285" t="str">
        <f>IFERROR(__xludf.DUMMYFUNCTION("""COMPUTED_VALUE"""),"OT 3H2M")</f>
        <v>OT 3H2M</v>
      </c>
      <c r="AI70" s="287"/>
      <c r="AJ70" s="285"/>
      <c r="AK70" s="289"/>
      <c r="AL70" s="285" t="str">
        <f>IFERROR(__xludf.DUMMYFUNCTION("""COMPUTED_VALUE"""),"nunggu info tanggal, FU tgl 11")</f>
        <v>nunggu info tanggal, FU tgl 11</v>
      </c>
    </row>
    <row r="71">
      <c r="F71" s="285" t="str">
        <f>IFERROR(__xludf.DUMMYFUNCTION("""COMPUTED_VALUE"""),"2605D102")</f>
        <v>2605D102</v>
      </c>
      <c r="G71" s="286">
        <f>IFERROR(__xludf.DUMMYFUNCTION("""COMPUTED_VALUE"""),46164.0)</f>
        <v>46164</v>
      </c>
      <c r="H71" s="285" t="str">
        <f>IFERROR(__xludf.DUMMYFUNCTION("""COMPUTED_VALUE"""),"Sisca")</f>
        <v>Sisca</v>
      </c>
      <c r="I71" s="285" t="str">
        <f>IFERROR(__xludf.DUMMYFUNCTION("""COMPUTED_VALUE"""),"082213266871")</f>
        <v>082213266871</v>
      </c>
      <c r="J71" s="285" t="str">
        <f>IFERROR(__xludf.DUMMYFUNCTION("""COMPUTED_VALUE"""),"Leads Baru")</f>
        <v>Leads Baru</v>
      </c>
      <c r="K71" s="285" t="str">
        <f>IFERROR(__xludf.DUMMYFUNCTION("""COMPUTED_VALUE"""),"3H2M opsi A")</f>
        <v>3H2M opsi A</v>
      </c>
      <c r="L71" s="287"/>
      <c r="M71" s="288">
        <f>IFERROR(__xludf.DUMMYFUNCTION("""COMPUTED_VALUE"""),2.0)</f>
        <v>2</v>
      </c>
      <c r="N71" s="289"/>
      <c r="O71" s="290" t="str">
        <f>IFERROR(__xludf.DUMMYFUNCTION("""COMPUTED_VALUE"""),"FU 5 Juni")</f>
        <v>FU 5 Juni</v>
      </c>
      <c r="P71" s="320"/>
      <c r="R71" s="285" t="str">
        <f>IFERROR(__xludf.DUMMYFUNCTION("""COMPUTED_VALUE"""),"2605D006")</f>
        <v>2605D006</v>
      </c>
      <c r="S71" s="286">
        <f>IFERROR(__xludf.DUMMYFUNCTION("""COMPUTED_VALUE"""),46145.0)</f>
        <v>46145</v>
      </c>
      <c r="T71" s="285" t="str">
        <f>IFERROR(__xludf.DUMMYFUNCTION("""COMPUTED_VALUE"""),"Lina")</f>
        <v>Lina</v>
      </c>
      <c r="U71" s="285" t="str">
        <f>IFERROR(__xludf.DUMMYFUNCTION("""COMPUTED_VALUE"""),"085371330887")</f>
        <v>085371330887</v>
      </c>
      <c r="V71" s="285" t="str">
        <f>IFERROR(__xludf.DUMMYFUNCTION("""COMPUTED_VALUE"""),"Closing")</f>
        <v>Closing</v>
      </c>
      <c r="W71" s="285" t="str">
        <f>IFERROR(__xludf.DUMMYFUNCTION("""COMPUTED_VALUE"""),"OT 3h2m ")</f>
        <v>OT 3h2m </v>
      </c>
      <c r="X71" s="287"/>
      <c r="Y71" s="285">
        <f>IFERROR(__xludf.DUMMYFUNCTION("""COMPUTED_VALUE"""),2.0)</f>
        <v>2</v>
      </c>
      <c r="Z71" s="289">
        <f>IFERROR(__xludf.DUMMYFUNCTION("""COMPUTED_VALUE"""),3200000.0)</f>
        <v>3200000</v>
      </c>
      <c r="AA71" s="285" t="str">
        <f>IFERROR(__xludf.DUMMYFUNCTION("""COMPUTED_VALUE"""),"ORDERR")</f>
        <v>ORDERR</v>
      </c>
      <c r="AC71" s="285" t="str">
        <f>IFERROR(__xludf.DUMMYFUNCTION("""COMPUTED_VALUE"""),"2601D079")</f>
        <v>2601D079</v>
      </c>
      <c r="AD71" s="286">
        <f>IFERROR(__xludf.DUMMYFUNCTION("""COMPUTED_VALUE"""),46031.0)</f>
        <v>46031</v>
      </c>
      <c r="AE71" s="285" t="str">
        <f>IFERROR(__xludf.DUMMYFUNCTION("""COMPUTED_VALUE"""),"Anis dadik")</f>
        <v>Anis dadik</v>
      </c>
      <c r="AF71" s="285" t="str">
        <f>IFERROR(__xludf.DUMMYFUNCTION("""COMPUTED_VALUE"""),"081238722671")</f>
        <v>081238722671</v>
      </c>
      <c r="AG71" s="285" t="str">
        <f>IFERROR(__xludf.DUMMYFUNCTION("""COMPUTED_VALUE"""),"Gagal")</f>
        <v>Gagal</v>
      </c>
      <c r="AH71" s="285" t="str">
        <f>IFERROR(__xludf.DUMMYFUNCTION("""COMPUTED_VALUE"""),"Trip 3H2M")</f>
        <v>Trip 3H2M</v>
      </c>
      <c r="AI71" s="287"/>
      <c r="AJ71" s="285">
        <f>IFERROR(__xludf.DUMMYFUNCTION("""COMPUTED_VALUE"""),2.0)</f>
        <v>2</v>
      </c>
      <c r="AK71" s="289"/>
      <c r="AL71" s="285" t="str">
        <f>IFERROR(__xludf.DUMMYFUNCTION("""COMPUTED_VALUE"""),"menunggu kabar selanjutnya, FU tgl 11")</f>
        <v>menunggu kabar selanjutnya, FU tgl 11</v>
      </c>
    </row>
    <row r="72">
      <c r="F72" s="285" t="str">
        <f>IFERROR(__xludf.DUMMYFUNCTION("""COMPUTED_VALUE"""),"2605D103")</f>
        <v>2605D103</v>
      </c>
      <c r="G72" s="286">
        <f>IFERROR(__xludf.DUMMYFUNCTION("""COMPUTED_VALUE"""),46164.0)</f>
        <v>46164</v>
      </c>
      <c r="H72" s="285" t="str">
        <f>IFERROR(__xludf.DUMMYFUNCTION("""COMPUTED_VALUE"""),"Tidak Dikenal")</f>
        <v>Tidak Dikenal</v>
      </c>
      <c r="I72" s="285" t="str">
        <f>IFERROR(__xludf.DUMMYFUNCTION("""COMPUTED_VALUE"""),"081337769288")</f>
        <v>081337769288</v>
      </c>
      <c r="J72" s="285" t="str">
        <f>IFERROR(__xludf.DUMMYFUNCTION("""COMPUTED_VALUE"""),"Leads Baru")</f>
        <v>Leads Baru</v>
      </c>
      <c r="K72" s="285" t="str">
        <f>IFERROR(__xludf.DUMMYFUNCTION("""COMPUTED_VALUE"""),"4h3m")</f>
        <v>4h3m</v>
      </c>
      <c r="L72" s="287"/>
      <c r="M72" s="288">
        <f>IFERROR(__xludf.DUMMYFUNCTION("""COMPUTED_VALUE"""),3.0)</f>
        <v>3</v>
      </c>
      <c r="N72" s="289"/>
      <c r="O72" s="290" t="str">
        <f>IFERROR(__xludf.DUMMYFUNCTION("""COMPUTED_VALUE"""),"FU 20 Juni")</f>
        <v>FU 20 Juni</v>
      </c>
      <c r="P72" s="320"/>
      <c r="R72" s="285" t="str">
        <f>IFERROR(__xludf.DUMMYFUNCTION("""COMPUTED_VALUE"""),"2605D008")</f>
        <v>2605D008</v>
      </c>
      <c r="S72" s="286">
        <f>IFERROR(__xludf.DUMMYFUNCTION("""COMPUTED_VALUE"""),46144.0)</f>
        <v>46144</v>
      </c>
      <c r="T72" s="285" t="str">
        <f>IFERROR(__xludf.DUMMYFUNCTION("""COMPUTED_VALUE"""),"Githa Prawirawinata")</f>
        <v>Githa Prawirawinata</v>
      </c>
      <c r="U72" s="285" t="str">
        <f>IFERROR(__xludf.DUMMYFUNCTION("""COMPUTED_VALUE"""),"082264479161")</f>
        <v>082264479161</v>
      </c>
      <c r="V72" s="285" t="str">
        <f>IFERROR(__xludf.DUMMYFUNCTION("""COMPUTED_VALUE"""),"Closing")</f>
        <v>Closing</v>
      </c>
      <c r="W72" s="285" t="str">
        <f>IFERROR(__xludf.DUMMYFUNCTION("""COMPUTED_VALUE"""),"2h1m custome")</f>
        <v>2h1m custome</v>
      </c>
      <c r="X72" s="287"/>
      <c r="Y72" s="285"/>
      <c r="Z72" s="289"/>
      <c r="AA72" s="285" t="str">
        <f>IFERROR(__xludf.DUMMYFUNCTION("""COMPUTED_VALUE"""),"orderrrrrr")</f>
        <v>orderrrrrr</v>
      </c>
      <c r="AC72" s="285" t="str">
        <f>IFERROR(__xludf.DUMMYFUNCTION("""COMPUTED_VALUE"""),"2601D080")</f>
        <v>2601D080</v>
      </c>
      <c r="AD72" s="286">
        <f>IFERROR(__xludf.DUMMYFUNCTION("""COMPUTED_VALUE"""),46031.0)</f>
        <v>46031</v>
      </c>
      <c r="AE72" s="285" t="str">
        <f>IFERROR(__xludf.DUMMYFUNCTION("""COMPUTED_VALUE"""),"Tya mardin F.A")</f>
        <v>Tya mardin F.A</v>
      </c>
      <c r="AF72" s="285" t="str">
        <f>IFERROR(__xludf.DUMMYFUNCTION("""COMPUTED_VALUE"""),"081297769438")</f>
        <v>081297769438</v>
      </c>
      <c r="AG72" s="285" t="str">
        <f>IFERROR(__xludf.DUMMYFUNCTION("""COMPUTED_VALUE"""),"Gagal")</f>
        <v>Gagal</v>
      </c>
      <c r="AH72" s="285"/>
      <c r="AI72" s="287"/>
      <c r="AJ72" s="285"/>
      <c r="AK72" s="289"/>
      <c r="AL72" s="285" t="str">
        <f>IFERROR(__xludf.DUMMYFUNCTION("""COMPUTED_VALUE"""),"tanya mepo ")</f>
        <v>tanya mepo </v>
      </c>
    </row>
    <row r="73">
      <c r="F73" s="285" t="str">
        <f>IFERROR(__xludf.DUMMYFUNCTION("""COMPUTED_VALUE"""),"2605D104")</f>
        <v>2605D104</v>
      </c>
      <c r="G73" s="286">
        <f>IFERROR(__xludf.DUMMYFUNCTION("""COMPUTED_VALUE"""),46164.0)</f>
        <v>46164</v>
      </c>
      <c r="H73" s="285" t="str">
        <f>IFERROR(__xludf.DUMMYFUNCTION("""COMPUTED_VALUE"""),"Hai")</f>
        <v>Hai</v>
      </c>
      <c r="I73" s="285" t="str">
        <f>IFERROR(__xludf.DUMMYFUNCTION("""COMPUTED_VALUE"""),"085122906880")</f>
        <v>085122906880</v>
      </c>
      <c r="J73" s="285" t="str">
        <f>IFERROR(__xludf.DUMMYFUNCTION("""COMPUTED_VALUE"""),"Leads Baru")</f>
        <v>Leads Baru</v>
      </c>
      <c r="K73" s="285" t="str">
        <f>IFERROR(__xludf.DUMMYFUNCTION("""COMPUTED_VALUE"""),"OT MT")</f>
        <v>OT MT</v>
      </c>
      <c r="L73" s="287">
        <f>IFERROR(__xludf.DUMMYFUNCTION("""COMPUTED_VALUE"""),46194.0)</f>
        <v>46194</v>
      </c>
      <c r="M73" s="288">
        <f>IFERROR(__xludf.DUMMYFUNCTION("""COMPUTED_VALUE"""),2.0)</f>
        <v>2</v>
      </c>
      <c r="N73" s="289"/>
      <c r="O73" s="290" t="str">
        <f>IFERROR(__xludf.DUMMYFUNCTION("""COMPUTED_VALUE"""),"FU 3 Juni")</f>
        <v>FU 3 Juni</v>
      </c>
      <c r="P73" s="320"/>
      <c r="R73" s="285" t="str">
        <f>IFERROR(__xludf.DUMMYFUNCTION("""COMPUTED_VALUE"""),"2605D009")</f>
        <v>2605D009</v>
      </c>
      <c r="S73" s="286">
        <f>IFERROR(__xludf.DUMMYFUNCTION("""COMPUTED_VALUE"""),46145.0)</f>
        <v>46145</v>
      </c>
      <c r="T73" s="285" t="str">
        <f>IFERROR(__xludf.DUMMYFUNCTION("""COMPUTED_VALUE"""),"Arun")</f>
        <v>Arun</v>
      </c>
      <c r="U73" s="285" t="str">
        <f>IFERROR(__xludf.DUMMYFUNCTION("""COMPUTED_VALUE"""),"081326936347")</f>
        <v>081326936347</v>
      </c>
      <c r="V73" s="285" t="str">
        <f>IFERROR(__xludf.DUMMYFUNCTION("""COMPUTED_VALUE"""),"Closing")</f>
        <v>Closing</v>
      </c>
      <c r="W73" s="285" t="str">
        <f>IFERROR(__xludf.DUMMYFUNCTION("""COMPUTED_VALUE"""),"private trip MT")</f>
        <v>private trip MT</v>
      </c>
      <c r="X73" s="287">
        <f>IFERROR(__xludf.DUMMYFUNCTION("""COMPUTED_VALUE"""),46155.0)</f>
        <v>46155</v>
      </c>
      <c r="Y73" s="285">
        <f>IFERROR(__xludf.DUMMYFUNCTION("""COMPUTED_VALUE"""),5.0)</f>
        <v>5</v>
      </c>
      <c r="Z73" s="289">
        <f>IFERROR(__xludf.DUMMYFUNCTION("""COMPUTED_VALUE"""),4350000.0)</f>
        <v>4350000</v>
      </c>
      <c r="AA73" s="285" t="str">
        <f>IFERROR(__xludf.DUMMYFUNCTION("""COMPUTED_VALUE"""),"ORDERR")</f>
        <v>ORDERR</v>
      </c>
      <c r="AC73" s="285" t="str">
        <f>IFERROR(__xludf.DUMMYFUNCTION("""COMPUTED_VALUE"""),"2601D081")</f>
        <v>2601D081</v>
      </c>
      <c r="AD73" s="286">
        <f>IFERROR(__xludf.DUMMYFUNCTION("""COMPUTED_VALUE"""),46032.0)</f>
        <v>46032</v>
      </c>
      <c r="AE73" s="285" t="str">
        <f>IFERROR(__xludf.DUMMYFUNCTION("""COMPUTED_VALUE"""),"Evi yemima ")</f>
        <v>Evi yemima </v>
      </c>
      <c r="AF73" s="285" t="str">
        <f>IFERROR(__xludf.DUMMYFUNCTION("""COMPUTED_VALUE"""),"08973106657")</f>
        <v>08973106657</v>
      </c>
      <c r="AG73" s="285" t="str">
        <f>IFERROR(__xludf.DUMMYFUNCTION("""COMPUTED_VALUE"""),"Gagal")</f>
        <v>Gagal</v>
      </c>
      <c r="AH73" s="285" t="str">
        <f>IFERROR(__xludf.DUMMYFUNCTION("""COMPUTED_VALUE"""),"2H1M opsi C")</f>
        <v>2H1M opsi C</v>
      </c>
      <c r="AI73" s="287"/>
      <c r="AJ73" s="285"/>
      <c r="AK73" s="289"/>
      <c r="AL73" s="285" t="str">
        <f>IFERROR(__xludf.DUMMYFUNCTION("""COMPUTED_VALUE"""),"tanya tanya")</f>
        <v>tanya tanya</v>
      </c>
    </row>
    <row r="74">
      <c r="F74" s="285" t="str">
        <f>IFERROR(__xludf.DUMMYFUNCTION("""COMPUTED_VALUE"""),"2605D107")</f>
        <v>2605D107</v>
      </c>
      <c r="G74" s="286">
        <f>IFERROR(__xludf.DUMMYFUNCTION("""COMPUTED_VALUE"""),46165.0)</f>
        <v>46165</v>
      </c>
      <c r="H74" s="285" t="str">
        <f>IFERROR(__xludf.DUMMYFUNCTION("""COMPUTED_VALUE"""),"Irin")</f>
        <v>Irin</v>
      </c>
      <c r="I74" s="285" t="str">
        <f>IFERROR(__xludf.DUMMYFUNCTION("""COMPUTED_VALUE"""),"082114140111")</f>
        <v>082114140111</v>
      </c>
      <c r="J74" s="285" t="str">
        <f>IFERROR(__xludf.DUMMYFUNCTION("""COMPUTED_VALUE"""),"Leads Baru")</f>
        <v>Leads Baru</v>
      </c>
      <c r="K74" s="285"/>
      <c r="L74" s="287"/>
      <c r="M74" s="288"/>
      <c r="N74" s="289"/>
      <c r="O74" s="290" t="str">
        <f>IFERROR(__xludf.DUMMYFUNCTION("""COMPUTED_VALUE"""),"masihh nyapa")</f>
        <v>masihh nyapa</v>
      </c>
      <c r="P74" s="320"/>
      <c r="R74" s="285" t="str">
        <f>IFERROR(__xludf.DUMMYFUNCTION("""COMPUTED_VALUE"""),"2605D011")</f>
        <v>2605D011</v>
      </c>
      <c r="S74" s="286">
        <f>IFERROR(__xludf.DUMMYFUNCTION("""COMPUTED_VALUE"""),46146.0)</f>
        <v>46146</v>
      </c>
      <c r="T74" s="285" t="str">
        <f>IFERROR(__xludf.DUMMYFUNCTION("""COMPUTED_VALUE"""),"Sindi Anggayani")</f>
        <v>Sindi Anggayani</v>
      </c>
      <c r="U74" s="285" t="str">
        <f>IFERROR(__xludf.DUMMYFUNCTION("""COMPUTED_VALUE"""),"081338965400")</f>
        <v>081338965400</v>
      </c>
      <c r="V74" s="285" t="str">
        <f>IFERROR(__xludf.DUMMYFUNCTION("""COMPUTED_VALUE"""),"Closing")</f>
        <v>Closing</v>
      </c>
      <c r="W74" s="285" t="str">
        <f>IFERROR(__xludf.DUMMYFUNCTION("""COMPUTED_VALUE"""),"OT MT")</f>
        <v>OT MT</v>
      </c>
      <c r="X74" s="287">
        <f>IFERROR(__xludf.DUMMYFUNCTION("""COMPUTED_VALUE"""),46156.0)</f>
        <v>46156</v>
      </c>
      <c r="Y74" s="285">
        <f>IFERROR(__xludf.DUMMYFUNCTION("""COMPUTED_VALUE"""),4.0)</f>
        <v>4</v>
      </c>
      <c r="Z74" s="289">
        <f>IFERROR(__xludf.DUMMYFUNCTION("""COMPUTED_VALUE"""),1180000.0)</f>
        <v>1180000</v>
      </c>
      <c r="AA74" s="285" t="str">
        <f>IFERROR(__xludf.DUMMYFUNCTION("""COMPUTED_VALUE"""),"orderrrrrr")</f>
        <v>orderrrrrr</v>
      </c>
      <c r="AC74" s="285" t="str">
        <f>IFERROR(__xludf.DUMMYFUNCTION("""COMPUTED_VALUE"""),"2601D082")</f>
        <v>2601D082</v>
      </c>
      <c r="AD74" s="286">
        <f>IFERROR(__xludf.DUMMYFUNCTION("""COMPUTED_VALUE"""),46032.0)</f>
        <v>46032</v>
      </c>
      <c r="AE74" s="285" t="str">
        <f>IFERROR(__xludf.DUMMYFUNCTION("""COMPUTED_VALUE"""),"Yuninda cahyani")</f>
        <v>Yuninda cahyani</v>
      </c>
      <c r="AF74" s="285" t="str">
        <f>IFERROR(__xludf.DUMMYFUNCTION("""COMPUTED_VALUE"""),"08562899073")</f>
        <v>08562899073</v>
      </c>
      <c r="AG74" s="285" t="str">
        <f>IFERROR(__xludf.DUMMYFUNCTION("""COMPUTED_VALUE"""),"Gagal")</f>
        <v>Gagal</v>
      </c>
      <c r="AH74" s="285" t="str">
        <f>IFERROR(__xludf.DUMMYFUNCTION("""COMPUTED_VALUE"""),"opsi 3H2M")</f>
        <v>opsi 3H2M</v>
      </c>
      <c r="AI74" s="287"/>
      <c r="AJ74" s="285"/>
      <c r="AK74" s="289"/>
      <c r="AL74" s="285" t="str">
        <f>IFERROR(__xludf.DUMMYFUNCTION("""COMPUTED_VALUE"""),"cuaca tidak bersahabat")</f>
        <v>cuaca tidak bersahabat</v>
      </c>
    </row>
    <row r="75">
      <c r="F75" s="285" t="str">
        <f>IFERROR(__xludf.DUMMYFUNCTION("""COMPUTED_VALUE"""),"2605D108")</f>
        <v>2605D108</v>
      </c>
      <c r="G75" s="286">
        <f>IFERROR(__xludf.DUMMYFUNCTION("""COMPUTED_VALUE"""),46165.0)</f>
        <v>46165</v>
      </c>
      <c r="H75" s="285" t="str">
        <f>IFERROR(__xludf.DUMMYFUNCTION("""COMPUTED_VALUE"""),"Nindya ")</f>
        <v>Nindya </v>
      </c>
      <c r="I75" s="285" t="str">
        <f>IFERROR(__xludf.DUMMYFUNCTION("""COMPUTED_VALUE"""),"081284177651")</f>
        <v>081284177651</v>
      </c>
      <c r="J75" s="285" t="str">
        <f>IFERROR(__xludf.DUMMYFUNCTION("""COMPUTED_VALUE"""),"Leads Baru")</f>
        <v>Leads Baru</v>
      </c>
      <c r="K75" s="285" t="str">
        <f>IFERROR(__xludf.DUMMYFUNCTION("""COMPUTED_VALUE"""),"2H1M opsi B")</f>
        <v>2H1M opsi B</v>
      </c>
      <c r="L75" s="287">
        <f>IFERROR(__xludf.DUMMYFUNCTION("""COMPUTED_VALUE"""),46203.0)</f>
        <v>46203</v>
      </c>
      <c r="M75" s="288">
        <f>IFERROR(__xludf.DUMMYFUNCTION("""COMPUTED_VALUE"""),3.0)</f>
        <v>3</v>
      </c>
      <c r="N75" s="289"/>
      <c r="O75" s="290" t="str">
        <f>IFERROR(__xludf.DUMMYFUNCTION("""COMPUTED_VALUE"""),"FU 8 Juni")</f>
        <v>FU 8 Juni</v>
      </c>
      <c r="P75" s="320"/>
      <c r="R75" s="285" t="str">
        <f>IFERROR(__xludf.DUMMYFUNCTION("""COMPUTED_VALUE"""),"2605D012")</f>
        <v>2605D012</v>
      </c>
      <c r="S75" s="286">
        <f>IFERROR(__xludf.DUMMYFUNCTION("""COMPUTED_VALUE"""),46145.0)</f>
        <v>46145</v>
      </c>
      <c r="T75" s="285" t="str">
        <f>IFERROR(__xludf.DUMMYFUNCTION("""COMPUTED_VALUE"""),"Lyny")</f>
        <v>Lyny</v>
      </c>
      <c r="U75" s="285" t="str">
        <f>IFERROR(__xludf.DUMMYFUNCTION("""COMPUTED_VALUE"""),"08119304020")</f>
        <v>08119304020</v>
      </c>
      <c r="V75" s="285" t="str">
        <f>IFERROR(__xludf.DUMMYFUNCTION("""COMPUTED_VALUE"""),"Closing")</f>
        <v>Closing</v>
      </c>
      <c r="W75" s="285" t="str">
        <f>IFERROR(__xludf.DUMMYFUNCTION("""COMPUTED_VALUE"""),"3h2m opsi B")</f>
        <v>3h2m opsi B</v>
      </c>
      <c r="X75" s="287">
        <f>IFERROR(__xludf.DUMMYFUNCTION("""COMPUTED_VALUE"""),46154.0)</f>
        <v>46154</v>
      </c>
      <c r="Y75" s="285">
        <f>IFERROR(__xludf.DUMMYFUNCTION("""COMPUTED_VALUE"""),2.0)</f>
        <v>2</v>
      </c>
      <c r="Z75" s="289">
        <f>IFERROR(__xludf.DUMMYFUNCTION("""COMPUTED_VALUE"""),6128000.0)</f>
        <v>6128000</v>
      </c>
      <c r="AA75" s="285" t="str">
        <f>IFERROR(__xludf.DUMMYFUNCTION("""COMPUTED_VALUE"""),"ORDERRRR")</f>
        <v>ORDERRRR</v>
      </c>
      <c r="AC75" s="285" t="str">
        <f>IFERROR(__xludf.DUMMYFUNCTION("""COMPUTED_VALUE"""),"2601D086")</f>
        <v>2601D086</v>
      </c>
      <c r="AD75" s="286">
        <f>IFERROR(__xludf.DUMMYFUNCTION("""COMPUTED_VALUE"""),46032.0)</f>
        <v>46032</v>
      </c>
      <c r="AE75" s="285" t="str">
        <f>IFERROR(__xludf.DUMMYFUNCTION("""COMPUTED_VALUE"""),"Adhiww ")</f>
        <v>Adhiww </v>
      </c>
      <c r="AF75" s="285" t="str">
        <f>IFERROR(__xludf.DUMMYFUNCTION("""COMPUTED_VALUE"""),"08921872710")</f>
        <v>08921872710</v>
      </c>
      <c r="AG75" s="285" t="str">
        <f>IFERROR(__xludf.DUMMYFUNCTION("""COMPUTED_VALUE"""),"Gagal")</f>
        <v>Gagal</v>
      </c>
      <c r="AH75" s="285" t="str">
        <f>IFERROR(__xludf.DUMMYFUNCTION("""COMPUTED_VALUE"""),"OP kawah ijen")</f>
        <v>OP kawah ijen</v>
      </c>
      <c r="AI75" s="287">
        <f>IFERROR(__xludf.DUMMYFUNCTION("""COMPUTED_VALUE"""),46038.0)</f>
        <v>46038</v>
      </c>
      <c r="AJ75" s="285">
        <f>IFERROR(__xludf.DUMMYFUNCTION("""COMPUTED_VALUE"""),2.0)</f>
        <v>2</v>
      </c>
      <c r="AK75" s="289"/>
      <c r="AL75" s="285" t="str">
        <f>IFERROR(__xludf.DUMMYFUNCTION("""COMPUTED_VALUE"""),"tanya tanya, lewat tanggal")</f>
        <v>tanya tanya, lewat tanggal</v>
      </c>
    </row>
    <row r="76">
      <c r="F76" s="285" t="str">
        <f>IFERROR(__xludf.DUMMYFUNCTION("""COMPUTED_VALUE"""),"2605D109")</f>
        <v>2605D109</v>
      </c>
      <c r="G76" s="286">
        <f>IFERROR(__xludf.DUMMYFUNCTION("""COMPUTED_VALUE"""),46165.0)</f>
        <v>46165</v>
      </c>
      <c r="H76" s="285" t="str">
        <f>IFERROR(__xludf.DUMMYFUNCTION("""COMPUTED_VALUE"""),"Cucu siti Hotijah")</f>
        <v>Cucu siti Hotijah</v>
      </c>
      <c r="I76" s="285" t="str">
        <f>IFERROR(__xludf.DUMMYFUNCTION("""COMPUTED_VALUE"""),"081214558682")</f>
        <v>081214558682</v>
      </c>
      <c r="J76" s="285" t="str">
        <f>IFERROR(__xludf.DUMMYFUNCTION("""COMPUTED_VALUE"""),"Leads Baru")</f>
        <v>Leads Baru</v>
      </c>
      <c r="K76" s="285" t="str">
        <f>IFERROR(__xludf.DUMMYFUNCTION("""COMPUTED_VALUE"""),"3H2M")</f>
        <v>3H2M</v>
      </c>
      <c r="L76" s="287"/>
      <c r="M76" s="288">
        <f>IFERROR(__xludf.DUMMYFUNCTION("""COMPUTED_VALUE"""),2.0)</f>
        <v>2</v>
      </c>
      <c r="N76" s="289"/>
      <c r="O76" s="290" t="str">
        <f>IFERROR(__xludf.DUMMYFUNCTION("""COMPUTED_VALUE"""),"FU mendekati bulan desember")</f>
        <v>FU mendekati bulan desember</v>
      </c>
      <c r="P76" s="320"/>
      <c r="R76" s="285" t="str">
        <f>IFERROR(__xludf.DUMMYFUNCTION("""COMPUTED_VALUE"""),"2605D013")</f>
        <v>2605D013</v>
      </c>
      <c r="S76" s="286">
        <f>IFERROR(__xludf.DUMMYFUNCTION("""COMPUTED_VALUE"""),46147.0)</f>
        <v>46147</v>
      </c>
      <c r="T76" s="285" t="str">
        <f>IFERROR(__xludf.DUMMYFUNCTION("""COMPUTED_VALUE"""),"Winda Yulianti")</f>
        <v>Winda Yulianti</v>
      </c>
      <c r="U76" s="285" t="str">
        <f>IFERROR(__xludf.DUMMYFUNCTION("""COMPUTED_VALUE"""),"081220288408")</f>
        <v>081220288408</v>
      </c>
      <c r="V76" s="285" t="str">
        <f>IFERROR(__xludf.DUMMYFUNCTION("""COMPUTED_VALUE"""),"Closing")</f>
        <v>Closing</v>
      </c>
      <c r="W76" s="285" t="str">
        <f>IFERROR(__xludf.DUMMYFUNCTION("""COMPUTED_VALUE"""),"2h1m opsi B")</f>
        <v>2h1m opsi B</v>
      </c>
      <c r="X76" s="287">
        <f>IFERROR(__xludf.DUMMYFUNCTION("""COMPUTED_VALUE"""),46157.0)</f>
        <v>46157</v>
      </c>
      <c r="Y76" s="285">
        <f>IFERROR(__xludf.DUMMYFUNCTION("""COMPUTED_VALUE"""),2.0)</f>
        <v>2</v>
      </c>
      <c r="Z76" s="289">
        <f>IFERROR(__xludf.DUMMYFUNCTION("""COMPUTED_VALUE"""),3588000.0)</f>
        <v>3588000</v>
      </c>
      <c r="AA76" s="285" t="str">
        <f>IFERROR(__xludf.DUMMYFUNCTION("""COMPUTED_VALUE"""),"orderrr")</f>
        <v>orderrr</v>
      </c>
      <c r="AC76" s="285" t="str">
        <f>IFERROR(__xludf.DUMMYFUNCTION("""COMPUTED_VALUE"""),"2601D087")</f>
        <v>2601D087</v>
      </c>
      <c r="AD76" s="286">
        <f>IFERROR(__xludf.DUMMYFUNCTION("""COMPUTED_VALUE"""),46033.0)</f>
        <v>46033</v>
      </c>
      <c r="AE76" s="285" t="str">
        <f>IFERROR(__xludf.DUMMYFUNCTION("""COMPUTED_VALUE"""),"Nurhoeda")</f>
        <v>Nurhoeda</v>
      </c>
      <c r="AF76" s="285" t="str">
        <f>IFERROR(__xludf.DUMMYFUNCTION("""COMPUTED_VALUE"""),"081223809344")</f>
        <v>081223809344</v>
      </c>
      <c r="AG76" s="285" t="str">
        <f>IFERROR(__xludf.DUMMYFUNCTION("""COMPUTED_VALUE"""),"Gagal")</f>
        <v>Gagal</v>
      </c>
      <c r="AH76" s="285" t="str">
        <f>IFERROR(__xludf.DUMMYFUNCTION("""COMPUTED_VALUE"""),"Trip one day")</f>
        <v>Trip one day</v>
      </c>
      <c r="AI76" s="287"/>
      <c r="AJ76" s="285"/>
      <c r="AK76" s="289"/>
      <c r="AL76" s="285" t="str">
        <f>IFERROR(__xludf.DUMMYFUNCTION("""COMPUTED_VALUE"""),"tanya tanya terkait fotografer")</f>
        <v>tanya tanya terkait fotografer</v>
      </c>
    </row>
    <row r="77">
      <c r="F77" s="285" t="str">
        <f>IFERROR(__xludf.DUMMYFUNCTION("""COMPUTED_VALUE"""),"2605D113")</f>
        <v>2605D113</v>
      </c>
      <c r="G77" s="286">
        <f>IFERROR(__xludf.DUMMYFUNCTION("""COMPUTED_VALUE"""),46165.0)</f>
        <v>46165</v>
      </c>
      <c r="H77" s="285" t="str">
        <f>IFERROR(__xludf.DUMMYFUNCTION("""COMPUTED_VALUE"""),"Dr. Masza")</f>
        <v>Dr. Masza</v>
      </c>
      <c r="I77" s="285" t="str">
        <f>IFERROR(__xludf.DUMMYFUNCTION("""COMPUTED_VALUE"""),"081216909886")</f>
        <v>081216909886</v>
      </c>
      <c r="J77" s="285" t="str">
        <f>IFERROR(__xludf.DUMMYFUNCTION("""COMPUTED_VALUE"""),"Leads Baru")</f>
        <v>Leads Baru</v>
      </c>
      <c r="K77" s="285" t="str">
        <f>IFERROR(__xludf.DUMMYFUNCTION("""COMPUTED_VALUE"""),"OT MT")</f>
        <v>OT MT</v>
      </c>
      <c r="L77" s="287"/>
      <c r="M77" s="288">
        <f>IFERROR(__xludf.DUMMYFUNCTION("""COMPUTED_VALUE"""),3.0)</f>
        <v>3</v>
      </c>
      <c r="N77" s="289"/>
      <c r="O77" s="290" t="str">
        <f>IFERROR(__xludf.DUMMYFUNCTION("""COMPUTED_VALUE"""),"FU 19 Juni")</f>
        <v>FU 19 Juni</v>
      </c>
      <c r="P77" s="320"/>
      <c r="R77" s="285" t="str">
        <f>IFERROR(__xludf.DUMMYFUNCTION("""COMPUTED_VALUE"""),"2605D023")</f>
        <v>2605D023</v>
      </c>
      <c r="S77" s="286">
        <f>IFERROR(__xludf.DUMMYFUNCTION("""COMPUTED_VALUE"""),46148.0)</f>
        <v>46148</v>
      </c>
      <c r="T77" s="285" t="str">
        <f>IFERROR(__xludf.DUMMYFUNCTION("""COMPUTED_VALUE"""),"Cahya Puspita")</f>
        <v>Cahya Puspita</v>
      </c>
      <c r="U77" s="285" t="str">
        <f>IFERROR(__xludf.DUMMYFUNCTION("""COMPUTED_VALUE"""),"085234768672")</f>
        <v>085234768672</v>
      </c>
      <c r="V77" s="285" t="str">
        <f>IFERROR(__xludf.DUMMYFUNCTION("""COMPUTED_VALUE"""),"Closing")</f>
        <v>Closing</v>
      </c>
      <c r="W77" s="285" t="str">
        <f>IFERROR(__xludf.DUMMYFUNCTION("""COMPUTED_VALUE"""),"OT Ijen")</f>
        <v>OT Ijen</v>
      </c>
      <c r="X77" s="287">
        <f>IFERROR(__xludf.DUMMYFUNCTION("""COMPUTED_VALUE"""),46172.0)</f>
        <v>46172</v>
      </c>
      <c r="Y77" s="285">
        <f>IFERROR(__xludf.DUMMYFUNCTION("""COMPUTED_VALUE"""),4.0)</f>
        <v>4</v>
      </c>
      <c r="Z77" s="289">
        <f>IFERROR(__xludf.DUMMYFUNCTION("""COMPUTED_VALUE"""),1000000.0)</f>
        <v>1000000</v>
      </c>
      <c r="AA77" s="285" t="str">
        <f>IFERROR(__xludf.DUMMYFUNCTION("""COMPUTED_VALUE"""),"orderrrrr")</f>
        <v>orderrrrr</v>
      </c>
      <c r="AC77" s="285" t="str">
        <f>IFERROR(__xludf.DUMMYFUNCTION("""COMPUTED_VALUE"""),"2601D088")</f>
        <v>2601D088</v>
      </c>
      <c r="AD77" s="286">
        <f>IFERROR(__xludf.DUMMYFUNCTION("""COMPUTED_VALUE"""),46033.0)</f>
        <v>46033</v>
      </c>
      <c r="AE77" s="285" t="str">
        <f>IFERROR(__xludf.DUMMYFUNCTION("""COMPUTED_VALUE"""),"Annisa ")</f>
        <v>Annisa </v>
      </c>
      <c r="AF77" s="285" t="str">
        <f>IFERROR(__xludf.DUMMYFUNCTION("""COMPUTED_VALUE"""),"089646617851")</f>
        <v>089646617851</v>
      </c>
      <c r="AG77" s="285" t="str">
        <f>IFERROR(__xludf.DUMMYFUNCTION("""COMPUTED_VALUE"""),"Gagal")</f>
        <v>Gagal</v>
      </c>
      <c r="AH77" s="285" t="str">
        <f>IFERROR(__xludf.DUMMYFUNCTION("""COMPUTED_VALUE"""),"OP 3H2M")</f>
        <v>OP 3H2M</v>
      </c>
      <c r="AI77" s="287"/>
      <c r="AJ77" s="285">
        <f>IFERROR(__xludf.DUMMYFUNCTION("""COMPUTED_VALUE"""),2.0)</f>
        <v>2</v>
      </c>
      <c r="AK77" s="289"/>
      <c r="AL77" s="285" t="str">
        <f>IFERROR(__xludf.DUMMYFUNCTION("""COMPUTED_VALUE"""),"tanya tanya")</f>
        <v>tanya tanya</v>
      </c>
    </row>
    <row r="78">
      <c r="F78" s="285" t="str">
        <f>IFERROR(__xludf.DUMMYFUNCTION("""COMPUTED_VALUE"""),"2605D120")</f>
        <v>2605D120</v>
      </c>
      <c r="G78" s="286">
        <f>IFERROR(__xludf.DUMMYFUNCTION("""COMPUTED_VALUE"""),46166.0)</f>
        <v>46166</v>
      </c>
      <c r="H78" s="285" t="str">
        <f>IFERROR(__xludf.DUMMYFUNCTION("""COMPUTED_VALUE"""),"Zanura")</f>
        <v>Zanura</v>
      </c>
      <c r="I78" s="285" t="str">
        <f>IFERROR(__xludf.DUMMYFUNCTION("""COMPUTED_VALUE"""),"082113925550")</f>
        <v>082113925550</v>
      </c>
      <c r="J78" s="285" t="str">
        <f>IFERROR(__xludf.DUMMYFUNCTION("""COMPUTED_VALUE"""),"Leads Baru")</f>
        <v>Leads Baru</v>
      </c>
      <c r="K78" s="285" t="str">
        <f>IFERROR(__xludf.DUMMYFUNCTION("""COMPUTED_VALUE"""),"3H2M custome")</f>
        <v>3H2M custome</v>
      </c>
      <c r="L78" s="287"/>
      <c r="M78" s="288">
        <f>IFERROR(__xludf.DUMMYFUNCTION("""COMPUTED_VALUE"""),4.0)</f>
        <v>4</v>
      </c>
      <c r="N78" s="289"/>
      <c r="O78" s="290" t="str">
        <f>IFERROR(__xludf.DUMMYFUNCTION("""COMPUTED_VALUE"""),"FU 6 Juni")</f>
        <v>FU 6 Juni</v>
      </c>
      <c r="P78" s="320"/>
      <c r="R78" s="285" t="str">
        <f>IFERROR(__xludf.DUMMYFUNCTION("""COMPUTED_VALUE"""),"2605D032")</f>
        <v>2605D032</v>
      </c>
      <c r="S78" s="286">
        <f>IFERROR(__xludf.DUMMYFUNCTION("""COMPUTED_VALUE"""),46153.0)</f>
        <v>46153</v>
      </c>
      <c r="T78" s="285" t="str">
        <f>IFERROR(__xludf.DUMMYFUNCTION("""COMPUTED_VALUE"""),"Dita Aulia")</f>
        <v>Dita Aulia</v>
      </c>
      <c r="U78" s="285" t="str">
        <f>IFERROR(__xludf.DUMMYFUNCTION("""COMPUTED_VALUE"""),"083107565563")</f>
        <v>083107565563</v>
      </c>
      <c r="V78" s="285" t="str">
        <f>IFERROR(__xludf.DUMMYFUNCTION("""COMPUTED_VALUE"""),"Closing")</f>
        <v>Closing</v>
      </c>
      <c r="W78" s="285" t="str">
        <f>IFERROR(__xludf.DUMMYFUNCTION("""COMPUTED_VALUE"""),"Open trip MT, DB, I")</f>
        <v>Open trip MT, DB, I</v>
      </c>
      <c r="X78" s="287">
        <f>IFERROR(__xludf.DUMMYFUNCTION("""COMPUTED_VALUE"""),46159.0)</f>
        <v>46159</v>
      </c>
      <c r="Y78" s="285">
        <f>IFERROR(__xludf.DUMMYFUNCTION("""COMPUTED_VALUE"""),1.0)</f>
        <v>1</v>
      </c>
      <c r="Z78" s="289">
        <f>IFERROR(__xludf.DUMMYFUNCTION("""COMPUTED_VALUE"""),1725000.0)</f>
        <v>1725000</v>
      </c>
      <c r="AA78" s="285" t="str">
        <f>IFERROR(__xludf.DUMMYFUNCTION("""COMPUTED_VALUE"""),"orderrr")</f>
        <v>orderrr</v>
      </c>
      <c r="AC78" s="285" t="str">
        <f>IFERROR(__xludf.DUMMYFUNCTION("""COMPUTED_VALUE"""),"2601D089")</f>
        <v>2601D089</v>
      </c>
      <c r="AD78" s="286">
        <f>IFERROR(__xludf.DUMMYFUNCTION("""COMPUTED_VALUE"""),46033.0)</f>
        <v>46033</v>
      </c>
      <c r="AE78" s="285" t="str">
        <f>IFERROR(__xludf.DUMMYFUNCTION("""COMPUTED_VALUE"""),"Ny wiwin ysn")</f>
        <v>Ny wiwin ysn</v>
      </c>
      <c r="AF78" s="285" t="str">
        <f>IFERROR(__xludf.DUMMYFUNCTION("""COMPUTED_VALUE"""),"081339772111")</f>
        <v>081339772111</v>
      </c>
      <c r="AG78" s="285" t="str">
        <f>IFERROR(__xludf.DUMMYFUNCTION("""COMPUTED_VALUE"""),"Gagal")</f>
        <v>Gagal</v>
      </c>
      <c r="AH78" s="285" t="str">
        <f>IFERROR(__xludf.DUMMYFUNCTION("""COMPUTED_VALUE"""),"custom 2H1M ")</f>
        <v>custom 2H1M </v>
      </c>
      <c r="AI78" s="287"/>
      <c r="AJ78" s="285">
        <f>IFERROR(__xludf.DUMMYFUNCTION("""COMPUTED_VALUE"""),3.0)</f>
        <v>3</v>
      </c>
      <c r="AK78" s="289"/>
      <c r="AL78" s="285" t="str">
        <f>IFERROR(__xludf.DUMMYFUNCTION("""COMPUTED_VALUE"""),"ga sesuai dengan budget")</f>
        <v>ga sesuai dengan budget</v>
      </c>
    </row>
    <row r="79">
      <c r="F79" s="285" t="str">
        <f>IFERROR(__xludf.DUMMYFUNCTION("""COMPUTED_VALUE"""),"2605D121")</f>
        <v>2605D121</v>
      </c>
      <c r="G79" s="286">
        <f>IFERROR(__xludf.DUMMYFUNCTION("""COMPUTED_VALUE"""),46166.0)</f>
        <v>46166</v>
      </c>
      <c r="H79" s="285" t="str">
        <f>IFERROR(__xludf.DUMMYFUNCTION("""COMPUTED_VALUE"""),"Sofie")</f>
        <v>Sofie</v>
      </c>
      <c r="I79" s="285" t="str">
        <f>IFERROR(__xludf.DUMMYFUNCTION("""COMPUTED_VALUE"""),"085900045354")</f>
        <v>085900045354</v>
      </c>
      <c r="J79" s="285" t="str">
        <f>IFERROR(__xludf.DUMMYFUNCTION("""COMPUTED_VALUE"""),"Leads Baru")</f>
        <v>Leads Baru</v>
      </c>
      <c r="K79" s="285" t="str">
        <f>IFERROR(__xludf.DUMMYFUNCTION("""COMPUTED_VALUE"""),"OT 3h2m ")</f>
        <v>OT 3h2m </v>
      </c>
      <c r="L79" s="287">
        <f>IFERROR(__xludf.DUMMYFUNCTION("""COMPUTED_VALUE"""),46203.0)</f>
        <v>46203</v>
      </c>
      <c r="M79" s="288"/>
      <c r="N79" s="289"/>
      <c r="O79" s="290" t="str">
        <f>IFERROR(__xludf.DUMMYFUNCTION("""COMPUTED_VALUE"""),"blm kasih tgl, FU 6 Juni")</f>
        <v>blm kasih tgl, FU 6 Juni</v>
      </c>
      <c r="P79" s="320"/>
      <c r="R79" s="285" t="str">
        <f>IFERROR(__xludf.DUMMYFUNCTION("""COMPUTED_VALUE"""),"2605D033")</f>
        <v>2605D033</v>
      </c>
      <c r="S79" s="286">
        <f>IFERROR(__xludf.DUMMYFUNCTION("""COMPUTED_VALUE"""),46153.0)</f>
        <v>46153</v>
      </c>
      <c r="T79" s="285" t="str">
        <f>IFERROR(__xludf.DUMMYFUNCTION("""COMPUTED_VALUE"""),"Laurie Octaviane")</f>
        <v>Laurie Octaviane</v>
      </c>
      <c r="U79" s="285" t="str">
        <f>IFERROR(__xludf.DUMMYFUNCTION("""COMPUTED_VALUE"""),"081510109409")</f>
        <v>081510109409</v>
      </c>
      <c r="V79" s="285" t="str">
        <f>IFERROR(__xludf.DUMMYFUNCTION("""COMPUTED_VALUE"""),"Closing")</f>
        <v>Closing</v>
      </c>
      <c r="W79" s="285" t="str">
        <f>IFERROR(__xludf.DUMMYFUNCTION("""COMPUTED_VALUE"""),"private trip Djawatan Baluran")</f>
        <v>private trip Djawatan Baluran</v>
      </c>
      <c r="X79" s="287">
        <f>IFERROR(__xludf.DUMMYFUNCTION("""COMPUTED_VALUE"""),46172.0)</f>
        <v>46172</v>
      </c>
      <c r="Y79" s="285">
        <f>IFERROR(__xludf.DUMMYFUNCTION("""COMPUTED_VALUE"""),3.0)</f>
        <v>3</v>
      </c>
      <c r="Z79" s="289">
        <f>IFERROR(__xludf.DUMMYFUNCTION("""COMPUTED_VALUE"""),1875000.0)</f>
        <v>1875000</v>
      </c>
      <c r="AA79" s="285" t="str">
        <f>IFERROR(__xludf.DUMMYFUNCTION("""COMPUTED_VALUE"""),"orderrrr")</f>
        <v>orderrrr</v>
      </c>
      <c r="AC79" s="285" t="str">
        <f>IFERROR(__xludf.DUMMYFUNCTION("""COMPUTED_VALUE"""),"2601D090")</f>
        <v>2601D090</v>
      </c>
      <c r="AD79" s="286">
        <f>IFERROR(__xludf.DUMMYFUNCTION("""COMPUTED_VALUE"""),46033.0)</f>
        <v>46033</v>
      </c>
      <c r="AE79" s="285" t="str">
        <f>IFERROR(__xludf.DUMMYFUNCTION("""COMPUTED_VALUE"""),"Yovita")</f>
        <v>Yovita</v>
      </c>
      <c r="AF79" s="285" t="str">
        <f>IFERROR(__xludf.DUMMYFUNCTION("""COMPUTED_VALUE"""),"087811723237")</f>
        <v>087811723237</v>
      </c>
      <c r="AG79" s="285" t="str">
        <f>IFERROR(__xludf.DUMMYFUNCTION("""COMPUTED_VALUE"""),"Gagal")</f>
        <v>Gagal</v>
      </c>
      <c r="AH79" s="285" t="str">
        <f>IFERROR(__xludf.DUMMYFUNCTION("""COMPUTED_VALUE"""),"family gathering 3H2M")</f>
        <v>family gathering 3H2M</v>
      </c>
      <c r="AI79" s="287"/>
      <c r="AJ79" s="285">
        <f>IFERROR(__xludf.DUMMYFUNCTION("""COMPUTED_VALUE"""),20.0)</f>
        <v>20</v>
      </c>
      <c r="AK79" s="289"/>
      <c r="AL79" s="285" t="str">
        <f>IFERROR(__xludf.DUMMYFUNCTION("""COMPUTED_VALUE"""),"nunggu info selanjutnya, sudah FU tgl15")</f>
        <v>nunggu info selanjutnya, sudah FU tgl15</v>
      </c>
    </row>
    <row r="80">
      <c r="F80" s="285" t="str">
        <f>IFERROR(__xludf.DUMMYFUNCTION("""COMPUTED_VALUE"""),"2605D122 ")</f>
        <v>2605D122 </v>
      </c>
      <c r="G80" s="286">
        <f>IFERROR(__xludf.DUMMYFUNCTION("""COMPUTED_VALUE"""),46166.0)</f>
        <v>46166</v>
      </c>
      <c r="H80" s="285" t="str">
        <f>IFERROR(__xludf.DUMMYFUNCTION("""COMPUTED_VALUE"""),"Bani ")</f>
        <v>Bani </v>
      </c>
      <c r="I80" s="285" t="str">
        <f>IFERROR(__xludf.DUMMYFUNCTION("""COMPUTED_VALUE"""),"088227967462")</f>
        <v>088227967462</v>
      </c>
      <c r="J80" s="285" t="str">
        <f>IFERROR(__xludf.DUMMYFUNCTION("""COMPUTED_VALUE"""),"Leads Baru")</f>
        <v>Leads Baru</v>
      </c>
      <c r="K80" s="285" t="str">
        <f>IFERROR(__xludf.DUMMYFUNCTION("""COMPUTED_VALUE"""),"OT GI, Teluk ijo")</f>
        <v>OT GI, Teluk ijo</v>
      </c>
      <c r="L80" s="287">
        <f>IFERROR(__xludf.DUMMYFUNCTION("""COMPUTED_VALUE"""),46187.0)</f>
        <v>46187</v>
      </c>
      <c r="M80" s="288">
        <f>IFERROR(__xludf.DUMMYFUNCTION("""COMPUTED_VALUE"""),2.0)</f>
        <v>2</v>
      </c>
      <c r="N80" s="289"/>
      <c r="O80" s="290" t="str">
        <f>IFERROR(__xludf.DUMMYFUNCTION("""COMPUTED_VALUE"""),"FU 4 Juni")</f>
        <v>FU 4 Juni</v>
      </c>
      <c r="P80" s="320"/>
      <c r="R80" s="285" t="str">
        <f>IFERROR(__xludf.DUMMYFUNCTION("""COMPUTED_VALUE"""),"2605D040")</f>
        <v>2605D040</v>
      </c>
      <c r="S80" s="286">
        <f>IFERROR(__xludf.DUMMYFUNCTION("""COMPUTED_VALUE"""),46153.0)</f>
        <v>46153</v>
      </c>
      <c r="T80" s="285" t="str">
        <f>IFERROR(__xludf.DUMMYFUNCTION("""COMPUTED_VALUE"""),"Kurniawan")</f>
        <v>Kurniawan</v>
      </c>
      <c r="U80" s="285" t="str">
        <f>IFERROR(__xludf.DUMMYFUNCTION("""COMPUTED_VALUE"""),"085804387059")</f>
        <v>085804387059</v>
      </c>
      <c r="V80" s="285" t="str">
        <f>IFERROR(__xludf.DUMMYFUNCTION("""COMPUTED_VALUE"""),"Closing")</f>
        <v>Closing</v>
      </c>
      <c r="W80" s="285" t="str">
        <f>IFERROR(__xludf.DUMMYFUNCTION("""COMPUTED_VALUE"""),"OT MT, IJEN")</f>
        <v>OT MT, IJEN</v>
      </c>
      <c r="X80" s="287">
        <f>IFERROR(__xludf.DUMMYFUNCTION("""COMPUTED_VALUE"""),46187.0)</f>
        <v>46187</v>
      </c>
      <c r="Y80" s="285">
        <f>IFERROR(__xludf.DUMMYFUNCTION("""COMPUTED_VALUE"""),2.0)</f>
        <v>2</v>
      </c>
      <c r="Z80" s="289">
        <f>IFERROR(__xludf.DUMMYFUNCTION("""COMPUTED_VALUE"""),1150000.0)</f>
        <v>1150000</v>
      </c>
      <c r="AA80" s="285" t="str">
        <f>IFERROR(__xludf.DUMMYFUNCTION("""COMPUTED_VALUE"""),"orrdeerrrr")</f>
        <v>orrdeerrrr</v>
      </c>
      <c r="AC80" s="285" t="str">
        <f>IFERROR(__xludf.DUMMYFUNCTION("""COMPUTED_VALUE"""),"2601D091")</f>
        <v>2601D091</v>
      </c>
      <c r="AD80" s="286">
        <f>IFERROR(__xludf.DUMMYFUNCTION("""COMPUTED_VALUE"""),46033.0)</f>
        <v>46033</v>
      </c>
      <c r="AE80" s="285" t="str">
        <f>IFERROR(__xludf.DUMMYFUNCTION("""COMPUTED_VALUE"""),"Herman")</f>
        <v>Herman</v>
      </c>
      <c r="AF80" s="285" t="str">
        <f>IFERROR(__xludf.DUMMYFUNCTION("""COMPUTED_VALUE"""),"082125479301")</f>
        <v>082125479301</v>
      </c>
      <c r="AG80" s="285" t="str">
        <f>IFERROR(__xludf.DUMMYFUNCTION("""COMPUTED_VALUE"""),"Gagal")</f>
        <v>Gagal</v>
      </c>
      <c r="AH80" s="285" t="str">
        <f>IFERROR(__xludf.DUMMYFUNCTION("""COMPUTED_VALUE"""),"3H2M")</f>
        <v>3H2M</v>
      </c>
      <c r="AI80" s="287"/>
      <c r="AJ80" s="285"/>
      <c r="AK80" s="289"/>
      <c r="AL80" s="285" t="str">
        <f>IFERROR(__xludf.DUMMYFUNCTION("""COMPUTED_VALUE"""),"sdh FU 1")</f>
        <v>sdh FU 1</v>
      </c>
    </row>
    <row r="81">
      <c r="F81" s="285" t="str">
        <f>IFERROR(__xludf.DUMMYFUNCTION("""COMPUTED_VALUE"""),"2605D124")</f>
        <v>2605D124</v>
      </c>
      <c r="G81" s="286">
        <f>IFERROR(__xludf.DUMMYFUNCTION("""COMPUTED_VALUE"""),46166.0)</f>
        <v>46166</v>
      </c>
      <c r="H81" s="285" t="str">
        <f>IFERROR(__xludf.DUMMYFUNCTION("""COMPUTED_VALUE"""),"Feni")</f>
        <v>Feni</v>
      </c>
      <c r="I81" s="285" t="str">
        <f>IFERROR(__xludf.DUMMYFUNCTION("""COMPUTED_VALUE"""),"089605532749")</f>
        <v>089605532749</v>
      </c>
      <c r="J81" s="285" t="str">
        <f>IFERROR(__xludf.DUMMYFUNCTION("""COMPUTED_VALUE"""),"Leads Baru")</f>
        <v>Leads Baru</v>
      </c>
      <c r="K81" s="285" t="str">
        <f>IFERROR(__xludf.DUMMYFUNCTION("""COMPUTED_VALUE"""),"OT MT")</f>
        <v>OT MT</v>
      </c>
      <c r="L81" s="287"/>
      <c r="M81" s="288"/>
      <c r="N81" s="289"/>
      <c r="O81" s="290" t="str">
        <f>IFERROR(__xludf.DUMMYFUNCTION("""COMPUTED_VALUE"""),"masih cek jadwal, FU 10 Juni ")</f>
        <v>masih cek jadwal, FU 10 Juni </v>
      </c>
      <c r="P81" s="320"/>
      <c r="R81" s="285" t="str">
        <f>IFERROR(__xludf.DUMMYFUNCTION("""COMPUTED_VALUE"""),"2605D042")</f>
        <v>2605D042</v>
      </c>
      <c r="S81" s="286">
        <f>IFERROR(__xludf.DUMMYFUNCTION("""COMPUTED_VALUE"""),46154.0)</f>
        <v>46154</v>
      </c>
      <c r="T81" s="285" t="str">
        <f>IFERROR(__xludf.DUMMYFUNCTION("""COMPUTED_VALUE"""),"Selviana Daranita")</f>
        <v>Selviana Daranita</v>
      </c>
      <c r="U81" s="285" t="str">
        <f>IFERROR(__xludf.DUMMYFUNCTION("""COMPUTED_VALUE"""),"085782512477")</f>
        <v>085782512477</v>
      </c>
      <c r="V81" s="285" t="str">
        <f>IFERROR(__xludf.DUMMYFUNCTION("""COMPUTED_VALUE"""),"Closing")</f>
        <v>Closing</v>
      </c>
      <c r="W81" s="285" t="str">
        <f>IFERROR(__xludf.DUMMYFUNCTION("""COMPUTED_VALUE"""),"2h1m custome ")</f>
        <v>2h1m custome </v>
      </c>
      <c r="X81" s="287">
        <f>IFERROR(__xludf.DUMMYFUNCTION("""COMPUTED_VALUE"""),46171.0)</f>
        <v>46171</v>
      </c>
      <c r="Y81" s="285">
        <f>IFERROR(__xludf.DUMMYFUNCTION("""COMPUTED_VALUE"""),3.0)</f>
        <v>3</v>
      </c>
      <c r="Z81" s="289">
        <f>IFERROR(__xludf.DUMMYFUNCTION("""COMPUTED_VALUE"""),5400000.0)</f>
        <v>5400000</v>
      </c>
      <c r="AA81" s="285" t="str">
        <f>IFERROR(__xludf.DUMMYFUNCTION("""COMPUTED_VALUE"""),"orderrrr")</f>
        <v>orderrrr</v>
      </c>
      <c r="AC81" s="285" t="str">
        <f>IFERROR(__xludf.DUMMYFUNCTION("""COMPUTED_VALUE"""),"2601D093")</f>
        <v>2601D093</v>
      </c>
      <c r="AD81" s="286">
        <f>IFERROR(__xludf.DUMMYFUNCTION("""COMPUTED_VALUE"""),46033.0)</f>
        <v>46033</v>
      </c>
      <c r="AE81" s="285" t="str">
        <f>IFERROR(__xludf.DUMMYFUNCTION("""COMPUTED_VALUE"""),"Mytha ")</f>
        <v>Mytha </v>
      </c>
      <c r="AF81" s="285" t="str">
        <f>IFERROR(__xludf.DUMMYFUNCTION("""COMPUTED_VALUE"""),"081333603433")</f>
        <v>081333603433</v>
      </c>
      <c r="AG81" s="285" t="str">
        <f>IFERROR(__xludf.DUMMYFUNCTION("""COMPUTED_VALUE"""),"Gagal")</f>
        <v>Gagal</v>
      </c>
      <c r="AH81" s="285" t="str">
        <f>IFERROR(__xludf.DUMMYFUNCTION("""COMPUTED_VALUE"""),"Trip 1 day")</f>
        <v>Trip 1 day</v>
      </c>
      <c r="AI81" s="287"/>
      <c r="AJ81" s="285"/>
      <c r="AK81" s="289"/>
      <c r="AL81" s="285" t="str">
        <f>IFERROR(__xludf.DUMMYFUNCTION("""COMPUTED_VALUE"""),"masih chek katalog ")</f>
        <v>masih chek katalog </v>
      </c>
    </row>
    <row r="82">
      <c r="F82" s="285" t="str">
        <f>IFERROR(__xludf.DUMMYFUNCTION("""COMPUTED_VALUE"""),"2605D126")</f>
        <v>2605D126</v>
      </c>
      <c r="G82" s="286">
        <f>IFERROR(__xludf.DUMMYFUNCTION("""COMPUTED_VALUE"""),46166.0)</f>
        <v>46166</v>
      </c>
      <c r="H82" s="285" t="str">
        <f>IFERROR(__xludf.DUMMYFUNCTION("""COMPUTED_VALUE"""),"Dhien citra ")</f>
        <v>Dhien citra </v>
      </c>
      <c r="I82" s="285" t="str">
        <f>IFERROR(__xludf.DUMMYFUNCTION("""COMPUTED_VALUE"""),"081289081004")</f>
        <v>081289081004</v>
      </c>
      <c r="J82" s="285" t="str">
        <f>IFERROR(__xludf.DUMMYFUNCTION("""COMPUTED_VALUE"""),"Leads Baru")</f>
        <v>Leads Baru</v>
      </c>
      <c r="K82" s="285" t="str">
        <f>IFERROR(__xludf.DUMMYFUNCTION("""COMPUTED_VALUE"""),"OT 3h2m ")</f>
        <v>OT 3h2m </v>
      </c>
      <c r="L82" s="287">
        <f>IFERROR(__xludf.DUMMYFUNCTION("""COMPUTED_VALUE"""),46244.0)</f>
        <v>46244</v>
      </c>
      <c r="M82" s="288">
        <f>IFERROR(__xludf.DUMMYFUNCTION("""COMPUTED_VALUE"""),2.0)</f>
        <v>2</v>
      </c>
      <c r="N82" s="289"/>
      <c r="O82" s="290" t="str">
        <f>IFERROR(__xludf.DUMMYFUNCTION("""COMPUTED_VALUE"""),"FU 25 Juni")</f>
        <v>FU 25 Juni</v>
      </c>
      <c r="P82" s="320"/>
      <c r="R82" s="285" t="str">
        <f>IFERROR(__xludf.DUMMYFUNCTION("""COMPUTED_VALUE"""),"2605D045")</f>
        <v>2605D045</v>
      </c>
      <c r="S82" s="286">
        <f>IFERROR(__xludf.DUMMYFUNCTION("""COMPUTED_VALUE"""),46154.0)</f>
        <v>46154</v>
      </c>
      <c r="T82" s="285" t="str">
        <f>IFERROR(__xludf.DUMMYFUNCTION("""COMPUTED_VALUE"""),"Ardan")</f>
        <v>Ardan</v>
      </c>
      <c r="U82" s="285" t="str">
        <f>IFERROR(__xludf.DUMMYFUNCTION("""COMPUTED_VALUE"""),"08133113870")</f>
        <v>08133113870</v>
      </c>
      <c r="V82" s="285" t="str">
        <f>IFERROR(__xludf.DUMMYFUNCTION("""COMPUTED_VALUE"""),"Closing")</f>
        <v>Closing</v>
      </c>
      <c r="W82" s="285" t="str">
        <f>IFERROR(__xludf.DUMMYFUNCTION("""COMPUTED_VALUE"""),"OT IJEN")</f>
        <v>OT IJEN</v>
      </c>
      <c r="X82" s="287">
        <f>IFERROR(__xludf.DUMMYFUNCTION("""COMPUTED_VALUE"""),46160.0)</f>
        <v>46160</v>
      </c>
      <c r="Y82" s="285">
        <f>IFERROR(__xludf.DUMMYFUNCTION("""COMPUTED_VALUE"""),1.0)</f>
        <v>1</v>
      </c>
      <c r="Z82" s="289">
        <f>IFERROR(__xludf.DUMMYFUNCTION("""COMPUTED_VALUE"""),250000.0)</f>
        <v>250000</v>
      </c>
      <c r="AA82" s="285" t="str">
        <f>IFERROR(__xludf.DUMMYFUNCTION("""COMPUTED_VALUE"""),"orderrrr")</f>
        <v>orderrrr</v>
      </c>
      <c r="AC82" s="285" t="str">
        <f>IFERROR(__xludf.DUMMYFUNCTION("""COMPUTED_VALUE"""),"2601D094")</f>
        <v>2601D094</v>
      </c>
      <c r="AD82" s="286">
        <f>IFERROR(__xludf.DUMMYFUNCTION("""COMPUTED_VALUE"""),46033.0)</f>
        <v>46033</v>
      </c>
      <c r="AE82" s="285" t="str">
        <f>IFERROR(__xludf.DUMMYFUNCTION("""COMPUTED_VALUE"""),"Sylvia mariam ")</f>
        <v>Sylvia mariam </v>
      </c>
      <c r="AF82" s="285" t="str">
        <f>IFERROR(__xludf.DUMMYFUNCTION("""COMPUTED_VALUE"""),"089602611056")</f>
        <v>089602611056</v>
      </c>
      <c r="AG82" s="285" t="str">
        <f>IFERROR(__xludf.DUMMYFUNCTION("""COMPUTED_VALUE"""),"Gagal")</f>
        <v>Gagal</v>
      </c>
      <c r="AH82" s="285" t="str">
        <f>IFERROR(__xludf.DUMMYFUNCTION("""COMPUTED_VALUE"""),"Trip menjangan ")</f>
        <v>Trip menjangan </v>
      </c>
      <c r="AI82" s="287"/>
      <c r="AJ82" s="285">
        <f>IFERROR(__xludf.DUMMYFUNCTION("""COMPUTED_VALUE"""),2.0)</f>
        <v>2</v>
      </c>
      <c r="AK82" s="289"/>
      <c r="AL82" s="285" t="str">
        <f>IFERROR(__xludf.DUMMYFUNCTION("""COMPUTED_VALUE"""),"nunggu info, FU tgl 14 ")</f>
        <v>nunggu info, FU tgl 14 </v>
      </c>
    </row>
    <row r="83">
      <c r="F83" s="285" t="str">
        <f>IFERROR(__xludf.DUMMYFUNCTION("""COMPUTED_VALUE"""),"2605D127")</f>
        <v>2605D127</v>
      </c>
      <c r="G83" s="286">
        <f>IFERROR(__xludf.DUMMYFUNCTION("""COMPUTED_VALUE"""),46166.0)</f>
        <v>46166</v>
      </c>
      <c r="H83" s="285" t="str">
        <f>IFERROR(__xludf.DUMMYFUNCTION("""COMPUTED_VALUE"""),"Liya.amsaroh")</f>
        <v>Liya.amsaroh</v>
      </c>
      <c r="I83" s="285" t="str">
        <f>IFERROR(__xludf.DUMMYFUNCTION("""COMPUTED_VALUE"""),"08112923117")</f>
        <v>08112923117</v>
      </c>
      <c r="J83" s="285" t="str">
        <f>IFERROR(__xludf.DUMMYFUNCTION("""COMPUTED_VALUE"""),"Leads Baru")</f>
        <v>Leads Baru</v>
      </c>
      <c r="K83" s="285" t="str">
        <f>IFERROR(__xludf.DUMMYFUNCTION("""COMPUTED_VALUE"""),"2h1m custome")</f>
        <v>2h1m custome</v>
      </c>
      <c r="L83" s="287">
        <f>IFERROR(__xludf.DUMMYFUNCTION("""COMPUTED_VALUE"""),46194.0)</f>
        <v>46194</v>
      </c>
      <c r="M83" s="288">
        <f>IFERROR(__xludf.DUMMYFUNCTION("""COMPUTED_VALUE"""),4.0)</f>
        <v>4</v>
      </c>
      <c r="N83" s="289"/>
      <c r="O83" s="290" t="str">
        <f>IFERROR(__xludf.DUMMYFUNCTION("""COMPUTED_VALUE"""),"minta pricelist ")</f>
        <v>minta pricelist </v>
      </c>
      <c r="P83" s="320"/>
      <c r="R83" s="285" t="str">
        <f>IFERROR(__xludf.DUMMYFUNCTION("""COMPUTED_VALUE"""),"2605D046")</f>
        <v>2605D046</v>
      </c>
      <c r="S83" s="286">
        <f>IFERROR(__xludf.DUMMYFUNCTION("""COMPUTED_VALUE"""),46155.0)</f>
        <v>46155</v>
      </c>
      <c r="T83" s="285" t="str">
        <f>IFERROR(__xludf.DUMMYFUNCTION("""COMPUTED_VALUE"""),"Rina Budi")</f>
        <v>Rina Budi</v>
      </c>
      <c r="U83" s="285" t="str">
        <f>IFERROR(__xludf.DUMMYFUNCTION("""COMPUTED_VALUE"""),"082116593784")</f>
        <v>082116593784</v>
      </c>
      <c r="V83" s="285" t="str">
        <f>IFERROR(__xludf.DUMMYFUNCTION("""COMPUTED_VALUE"""),"Closing")</f>
        <v>Closing</v>
      </c>
      <c r="W83" s="285" t="str">
        <f>IFERROR(__xludf.DUMMYFUNCTION("""COMPUTED_VALUE"""),"2h1m custom")</f>
        <v>2h1m custom</v>
      </c>
      <c r="X83" s="287">
        <f>IFERROR(__xludf.DUMMYFUNCTION("""COMPUTED_VALUE"""),46171.0)</f>
        <v>46171</v>
      </c>
      <c r="Y83" s="285">
        <f>IFERROR(__xludf.DUMMYFUNCTION("""COMPUTED_VALUE"""),2.0)</f>
        <v>2</v>
      </c>
      <c r="Z83" s="289">
        <f>IFERROR(__xludf.DUMMYFUNCTION("""COMPUTED_VALUE"""),2800000.0)</f>
        <v>2800000</v>
      </c>
      <c r="AA83" s="285" t="str">
        <f>IFERROR(__xludf.DUMMYFUNCTION("""COMPUTED_VALUE"""),"orrrderrrr ")</f>
        <v>orrrderrrr </v>
      </c>
      <c r="AC83" s="285" t="str">
        <f>IFERROR(__xludf.DUMMYFUNCTION("""COMPUTED_VALUE"""),"2601D095")</f>
        <v>2601D095</v>
      </c>
      <c r="AD83" s="286">
        <f>IFERROR(__xludf.DUMMYFUNCTION("""COMPUTED_VALUE"""),46033.0)</f>
        <v>46033</v>
      </c>
      <c r="AE83" s="285" t="str">
        <f>IFERROR(__xludf.DUMMYFUNCTION("""COMPUTED_VALUE"""),"Wahid")</f>
        <v>Wahid</v>
      </c>
      <c r="AF83" s="285" t="str">
        <f>IFERROR(__xludf.DUMMYFUNCTION("""COMPUTED_VALUE"""),"081805902225")</f>
        <v>081805902225</v>
      </c>
      <c r="AG83" s="285" t="str">
        <f>IFERROR(__xludf.DUMMYFUNCTION("""COMPUTED_VALUE"""),"Gagal")</f>
        <v>Gagal</v>
      </c>
      <c r="AH83" s="285" t="str">
        <f>IFERROR(__xludf.DUMMYFUNCTION("""COMPUTED_VALUE"""),"custom destinasi 2H1M")</f>
        <v>custom destinasi 2H1M</v>
      </c>
      <c r="AI83" s="287"/>
      <c r="AJ83" s="285">
        <f>IFERROR(__xludf.DUMMYFUNCTION("""COMPUTED_VALUE"""),2.0)</f>
        <v>2</v>
      </c>
      <c r="AK83" s="289"/>
      <c r="AL83" s="285" t="str">
        <f>IFERROR(__xludf.DUMMYFUNCTION("""COMPUTED_VALUE"""),"masih dikomunikasikan, FU tgl 14")</f>
        <v>masih dikomunikasikan, FU tgl 14</v>
      </c>
    </row>
    <row r="84">
      <c r="F84" s="285" t="str">
        <f>IFERROR(__xludf.DUMMYFUNCTION("""COMPUTED_VALUE"""),"2605D128")</f>
        <v>2605D128</v>
      </c>
      <c r="G84" s="286">
        <f>IFERROR(__xludf.DUMMYFUNCTION("""COMPUTED_VALUE"""),46166.0)</f>
        <v>46166</v>
      </c>
      <c r="H84" s="285" t="str">
        <f>IFERROR(__xludf.DUMMYFUNCTION("""COMPUTED_VALUE"""),"Shoumi Damayanti")</f>
        <v>Shoumi Damayanti</v>
      </c>
      <c r="I84" s="285" t="str">
        <f>IFERROR(__xludf.DUMMYFUNCTION("""COMPUTED_VALUE"""),"081905000460")</f>
        <v>081905000460</v>
      </c>
      <c r="J84" s="285" t="str">
        <f>IFERROR(__xludf.DUMMYFUNCTION("""COMPUTED_VALUE"""),"Leads Baru")</f>
        <v>Leads Baru</v>
      </c>
      <c r="K84" s="285" t="str">
        <f>IFERROR(__xludf.DUMMYFUNCTION("""COMPUTED_VALUE"""),"3h2m opsi A")</f>
        <v>3h2m opsi A</v>
      </c>
      <c r="L84" s="287">
        <f>IFERROR(__xludf.DUMMYFUNCTION("""COMPUTED_VALUE"""),46194.0)</f>
        <v>46194</v>
      </c>
      <c r="M84" s="288">
        <f>IFERROR(__xludf.DUMMYFUNCTION("""COMPUTED_VALUE"""),10.0)</f>
        <v>10</v>
      </c>
      <c r="N84" s="289"/>
      <c r="O84" s="290"/>
      <c r="P84" s="320"/>
      <c r="R84" s="285" t="str">
        <f>IFERROR(__xludf.DUMMYFUNCTION("""COMPUTED_VALUE"""),"2605D060")</f>
        <v>2605D060</v>
      </c>
      <c r="S84" s="286">
        <f>IFERROR(__xludf.DUMMYFUNCTION("""COMPUTED_VALUE"""),46156.0)</f>
        <v>46156</v>
      </c>
      <c r="T84" s="285" t="str">
        <f>IFERROR(__xludf.DUMMYFUNCTION("""COMPUTED_VALUE"""),"Sheva")</f>
        <v>Sheva</v>
      </c>
      <c r="U84" s="285" t="str">
        <f>IFERROR(__xludf.DUMMYFUNCTION("""COMPUTED_VALUE"""),"089517052148")</f>
        <v>089517052148</v>
      </c>
      <c r="V84" s="285" t="str">
        <f>IFERROR(__xludf.DUMMYFUNCTION("""COMPUTED_VALUE"""),"Closing")</f>
        <v>Closing</v>
      </c>
      <c r="W84" s="285" t="str">
        <f>IFERROR(__xludf.DUMMYFUNCTION("""COMPUTED_VALUE"""),"private MT")</f>
        <v>private MT</v>
      </c>
      <c r="X84" s="287">
        <f>IFERROR(__xludf.DUMMYFUNCTION("""COMPUTED_VALUE"""),46226.0)</f>
        <v>46226</v>
      </c>
      <c r="Y84" s="285">
        <f>IFERROR(__xludf.DUMMYFUNCTION("""COMPUTED_VALUE"""),2.0)</f>
        <v>2</v>
      </c>
      <c r="Z84" s="289">
        <f>IFERROR(__xludf.DUMMYFUNCTION("""COMPUTED_VALUE"""),2000000.0)</f>
        <v>2000000</v>
      </c>
      <c r="AA84" s="285" t="str">
        <f>IFERROR(__xludf.DUMMYFUNCTION("""COMPUTED_VALUE"""),"orrderr")</f>
        <v>orrderr</v>
      </c>
      <c r="AC84" s="285" t="str">
        <f>IFERROR(__xludf.DUMMYFUNCTION("""COMPUTED_VALUE"""),"2601D096")</f>
        <v>2601D096</v>
      </c>
      <c r="AD84" s="286">
        <f>IFERROR(__xludf.DUMMYFUNCTION("""COMPUTED_VALUE"""),46034.0)</f>
        <v>46034</v>
      </c>
      <c r="AE84" s="285" t="str">
        <f>IFERROR(__xludf.DUMMYFUNCTION("""COMPUTED_VALUE"""),"Fdly")</f>
        <v>Fdly</v>
      </c>
      <c r="AF84" s="285" t="str">
        <f>IFERROR(__xludf.DUMMYFUNCTION("""COMPUTED_VALUE"""),"085781304728")</f>
        <v>085781304728</v>
      </c>
      <c r="AG84" s="285" t="str">
        <f>IFERROR(__xludf.DUMMYFUNCTION("""COMPUTED_VALUE"""),"Gagal")</f>
        <v>Gagal</v>
      </c>
      <c r="AH84" s="285"/>
      <c r="AI84" s="287"/>
      <c r="AJ84" s="285"/>
      <c r="AK84" s="289"/>
      <c r="AL84" s="285"/>
    </row>
    <row r="85">
      <c r="F85" s="285" t="str">
        <f>IFERROR(__xludf.DUMMYFUNCTION("""COMPUTED_VALUE"""),"2605D133")</f>
        <v>2605D133</v>
      </c>
      <c r="G85" s="286">
        <f>IFERROR(__xludf.DUMMYFUNCTION("""COMPUTED_VALUE"""),46167.0)</f>
        <v>46167</v>
      </c>
      <c r="H85" s="285" t="str">
        <f>IFERROR(__xludf.DUMMYFUNCTION("""COMPUTED_VALUE"""),"Memey")</f>
        <v>Memey</v>
      </c>
      <c r="I85" s="285" t="str">
        <f>IFERROR(__xludf.DUMMYFUNCTION("""COMPUTED_VALUE"""),"08562585352")</f>
        <v>08562585352</v>
      </c>
      <c r="J85" s="285" t="str">
        <f>IFERROR(__xludf.DUMMYFUNCTION("""COMPUTED_VALUE"""),"Leads Baru")</f>
        <v>Leads Baru</v>
      </c>
      <c r="K85" s="285" t="str">
        <f>IFERROR(__xludf.DUMMYFUNCTION("""COMPUTED_VALUE"""),"2H1M custome")</f>
        <v>2H1M custome</v>
      </c>
      <c r="L85" s="287"/>
      <c r="M85" s="288">
        <f>IFERROR(__xludf.DUMMYFUNCTION("""COMPUTED_VALUE"""),2.0)</f>
        <v>2</v>
      </c>
      <c r="N85" s="289"/>
      <c r="O85" s="290" t="str">
        <f>IFERROR(__xludf.DUMMYFUNCTION("""COMPUTED_VALUE"""),"nanti dikabarin nunggu cuti acc, FU 1 Juni")</f>
        <v>nanti dikabarin nunggu cuti acc, FU 1 Juni</v>
      </c>
      <c r="P85" s="320"/>
      <c r="R85" s="285" t="str">
        <f>IFERROR(__xludf.DUMMYFUNCTION("""COMPUTED_VALUE"""),"2605D075")</f>
        <v>2605D075</v>
      </c>
      <c r="S85" s="286">
        <f>IFERROR(__xludf.DUMMYFUNCTION("""COMPUTED_VALUE"""),46159.0)</f>
        <v>46159</v>
      </c>
      <c r="T85" s="285" t="str">
        <f>IFERROR(__xludf.DUMMYFUNCTION("""COMPUTED_VALUE"""),"Meliyana")</f>
        <v>Meliyana</v>
      </c>
      <c r="U85" s="285" t="str">
        <f>IFERROR(__xludf.DUMMYFUNCTION("""COMPUTED_VALUE"""),"083813795762")</f>
        <v>083813795762</v>
      </c>
      <c r="V85" s="285" t="str">
        <f>IFERROR(__xludf.DUMMYFUNCTION("""COMPUTED_VALUE"""),"Closing")</f>
        <v>Closing</v>
      </c>
      <c r="W85" s="285" t="str">
        <f>IFERROR(__xludf.DUMMYFUNCTION("""COMPUTED_VALUE"""),"OT3H2M ")</f>
        <v>OT3H2M </v>
      </c>
      <c r="X85" s="287">
        <f>IFERROR(__xludf.DUMMYFUNCTION("""COMPUTED_VALUE"""),46250.0)</f>
        <v>46250</v>
      </c>
      <c r="Y85" s="285">
        <f>IFERROR(__xludf.DUMMYFUNCTION("""COMPUTED_VALUE"""),2.0)</f>
        <v>2</v>
      </c>
      <c r="Z85" s="289">
        <f>IFERROR(__xludf.DUMMYFUNCTION("""COMPUTED_VALUE"""),3200000.0)</f>
        <v>3200000</v>
      </c>
      <c r="AA85" s="285" t="str">
        <f>IFERROR(__xludf.DUMMYFUNCTION("""COMPUTED_VALUE"""),"orrdeerrr")</f>
        <v>orrdeerrr</v>
      </c>
      <c r="AC85" s="285" t="str">
        <f>IFERROR(__xludf.DUMMYFUNCTION("""COMPUTED_VALUE"""),"2601D097")</f>
        <v>2601D097</v>
      </c>
      <c r="AD85" s="286">
        <f>IFERROR(__xludf.DUMMYFUNCTION("""COMPUTED_VALUE"""),46034.0)</f>
        <v>46034</v>
      </c>
      <c r="AE85" s="285" t="str">
        <f>IFERROR(__xludf.DUMMYFUNCTION("""COMPUTED_VALUE"""),"Epi")</f>
        <v>Epi</v>
      </c>
      <c r="AF85" s="285" t="str">
        <f>IFERROR(__xludf.DUMMYFUNCTION("""COMPUTED_VALUE"""),"081318840028")</f>
        <v>081318840028</v>
      </c>
      <c r="AG85" s="285" t="str">
        <f>IFERROR(__xludf.DUMMYFUNCTION("""COMPUTED_VALUE"""),"Gagal")</f>
        <v>Gagal</v>
      </c>
      <c r="AH85" s="285" t="str">
        <f>IFERROR(__xludf.DUMMYFUNCTION("""COMPUTED_VALUE"""),"3H2M opsi A")</f>
        <v>3H2M opsi A</v>
      </c>
      <c r="AI85" s="287"/>
      <c r="AJ85" s="285">
        <f>IFERROR(__xludf.DUMMYFUNCTION("""COMPUTED_VALUE"""),5.0)</f>
        <v>5</v>
      </c>
      <c r="AK85" s="289"/>
      <c r="AL85" s="285" t="str">
        <f>IFERROR(__xludf.DUMMYFUNCTION("""COMPUTED_VALUE"""),"masih liat harga")</f>
        <v>masih liat harga</v>
      </c>
    </row>
    <row r="86">
      <c r="F86" s="285" t="str">
        <f>IFERROR(__xludf.DUMMYFUNCTION("""COMPUTED_VALUE"""),"2605D134")</f>
        <v>2605D134</v>
      </c>
      <c r="G86" s="286">
        <f>IFERROR(__xludf.DUMMYFUNCTION("""COMPUTED_VALUE"""),46167.0)</f>
        <v>46167</v>
      </c>
      <c r="H86" s="285" t="str">
        <f>IFERROR(__xludf.DUMMYFUNCTION("""COMPUTED_VALUE"""),"Enung Asih Gandirum")</f>
        <v>Enung Asih Gandirum</v>
      </c>
      <c r="I86" s="285" t="str">
        <f>IFERROR(__xludf.DUMMYFUNCTION("""COMPUTED_VALUE"""),"08122180908")</f>
        <v>08122180908</v>
      </c>
      <c r="J86" s="285" t="str">
        <f>IFERROR(__xludf.DUMMYFUNCTION("""COMPUTED_VALUE"""),"Leads Baru")</f>
        <v>Leads Baru</v>
      </c>
      <c r="K86" s="285" t="str">
        <f>IFERROR(__xludf.DUMMYFUNCTION("""COMPUTED_VALUE"""),"2H1M opsi C")</f>
        <v>2H1M opsi C</v>
      </c>
      <c r="L86" s="287"/>
      <c r="M86" s="288">
        <f>IFERROR(__xludf.DUMMYFUNCTION("""COMPUTED_VALUE"""),2.0)</f>
        <v>2</v>
      </c>
      <c r="N86" s="289"/>
      <c r="O86" s="290" t="str">
        <f>IFERROR(__xludf.DUMMYFUNCTION("""COMPUTED_VALUE"""),"blm tau tglnya, FU 1 Juni")</f>
        <v>blm tau tglnya, FU 1 Juni</v>
      </c>
      <c r="P86" s="320"/>
      <c r="R86" s="285" t="str">
        <f>IFERROR(__xludf.DUMMYFUNCTION("""COMPUTED_VALUE"""),"2605D076")</f>
        <v>2605D076</v>
      </c>
      <c r="S86" s="286">
        <f>IFERROR(__xludf.DUMMYFUNCTION("""COMPUTED_VALUE"""),46160.0)</f>
        <v>46160</v>
      </c>
      <c r="T86" s="285" t="str">
        <f>IFERROR(__xludf.DUMMYFUNCTION("""COMPUTED_VALUE"""),"Lilik Ratnaningsih")</f>
        <v>Lilik Ratnaningsih</v>
      </c>
      <c r="U86" s="285" t="str">
        <f>IFERROR(__xludf.DUMMYFUNCTION("""COMPUTED_VALUE"""),"082122922826")</f>
        <v>082122922826</v>
      </c>
      <c r="V86" s="285" t="str">
        <f>IFERROR(__xludf.DUMMYFUNCTION("""COMPUTED_VALUE"""),"Closing")</f>
        <v>Closing</v>
      </c>
      <c r="W86" s="285" t="str">
        <f>IFERROR(__xludf.DUMMYFUNCTION("""COMPUTED_VALUE"""),"2H1M opsi B")</f>
        <v>2H1M opsi B</v>
      </c>
      <c r="X86" s="287">
        <f>IFERROR(__xludf.DUMMYFUNCTION("""COMPUTED_VALUE"""),46191.0)</f>
        <v>46191</v>
      </c>
      <c r="Y86" s="285">
        <f>IFERROR(__xludf.DUMMYFUNCTION("""COMPUTED_VALUE"""),5.0)</f>
        <v>5</v>
      </c>
      <c r="Z86" s="289">
        <f>IFERROR(__xludf.DUMMYFUNCTION("""COMPUTED_VALUE"""),4950000.0)</f>
        <v>4950000</v>
      </c>
      <c r="AA86" s="285" t="str">
        <f>IFERROR(__xludf.DUMMYFUNCTION("""COMPUTED_VALUE"""),"Orderrrr")</f>
        <v>Orderrrr</v>
      </c>
      <c r="AC86" s="285" t="str">
        <f>IFERROR(__xludf.DUMMYFUNCTION("""COMPUTED_VALUE"""),"2601D098")</f>
        <v>2601D098</v>
      </c>
      <c r="AD86" s="286">
        <f>IFERROR(__xludf.DUMMYFUNCTION("""COMPUTED_VALUE"""),46034.0)</f>
        <v>46034</v>
      </c>
      <c r="AE86" s="285" t="str">
        <f>IFERROR(__xludf.DUMMYFUNCTION("""COMPUTED_VALUE"""),"Vica")</f>
        <v>Vica</v>
      </c>
      <c r="AF86" s="285" t="str">
        <f>IFERROR(__xludf.DUMMYFUNCTION("""COMPUTED_VALUE"""),"085716117974")</f>
        <v>085716117974</v>
      </c>
      <c r="AG86" s="285" t="str">
        <f>IFERROR(__xludf.DUMMYFUNCTION("""COMPUTED_VALUE"""),"Gagal")</f>
        <v>Gagal</v>
      </c>
      <c r="AH86" s="285" t="str">
        <f>IFERROR(__xludf.DUMMYFUNCTION("""COMPUTED_VALUE"""),"2H1M")</f>
        <v>2H1M</v>
      </c>
      <c r="AI86" s="287"/>
      <c r="AJ86" s="285">
        <f>IFERROR(__xludf.DUMMYFUNCTION("""COMPUTED_VALUE"""),4.0)</f>
        <v>4</v>
      </c>
      <c r="AK86" s="289"/>
      <c r="AL86" s="285" t="str">
        <f>IFERROR(__xludf.DUMMYFUNCTION("""COMPUTED_VALUE"""),"tanya titik penjemputan ")</f>
        <v>tanya titik penjemputan </v>
      </c>
    </row>
    <row r="87">
      <c r="F87" s="285" t="str">
        <f>IFERROR(__xludf.DUMMYFUNCTION("""COMPUTED_VALUE"""),"2605D136")</f>
        <v>2605D136</v>
      </c>
      <c r="G87" s="286">
        <f>IFERROR(__xludf.DUMMYFUNCTION("""COMPUTED_VALUE"""),46167.0)</f>
        <v>46167</v>
      </c>
      <c r="H87" s="285" t="str">
        <f>IFERROR(__xludf.DUMMYFUNCTION("""COMPUTED_VALUE"""),"Karina")</f>
        <v>Karina</v>
      </c>
      <c r="I87" s="285" t="str">
        <f>IFERROR(__xludf.DUMMYFUNCTION("""COMPUTED_VALUE"""),"085156570817")</f>
        <v>085156570817</v>
      </c>
      <c r="J87" s="285" t="str">
        <f>IFERROR(__xludf.DUMMYFUNCTION("""COMPUTED_VALUE"""),"Leads Baru")</f>
        <v>Leads Baru</v>
      </c>
      <c r="K87" s="285" t="str">
        <f>IFERROR(__xludf.DUMMYFUNCTION("""COMPUTED_VALUE"""),"4H3M")</f>
        <v>4H3M</v>
      </c>
      <c r="L87" s="287"/>
      <c r="M87" s="288"/>
      <c r="N87" s="289"/>
      <c r="O87" s="290" t="str">
        <f>IFERROR(__xludf.DUMMYFUNCTION("""COMPUTED_VALUE"""),"belum balas lagi   ")</f>
        <v>belum balas lagi   </v>
      </c>
      <c r="P87" s="320"/>
      <c r="R87" s="285" t="str">
        <f>IFERROR(__xludf.DUMMYFUNCTION("""COMPUTED_VALUE"""),"2605D080")</f>
        <v>2605D080</v>
      </c>
      <c r="S87" s="286">
        <f>IFERROR(__xludf.DUMMYFUNCTION("""COMPUTED_VALUE"""),46160.0)</f>
        <v>46160</v>
      </c>
      <c r="T87" s="285" t="str">
        <f>IFERROR(__xludf.DUMMYFUNCTION("""COMPUTED_VALUE"""),"Nila Rau Fanza")</f>
        <v>Nila Rau Fanza</v>
      </c>
      <c r="U87" s="285" t="str">
        <f>IFERROR(__xludf.DUMMYFUNCTION("""COMPUTED_VALUE"""),"085310700300")</f>
        <v>085310700300</v>
      </c>
      <c r="V87" s="285" t="str">
        <f>IFERROR(__xludf.DUMMYFUNCTION("""COMPUTED_VALUE"""),"Closing")</f>
        <v>Closing</v>
      </c>
      <c r="W87" s="285" t="str">
        <f>IFERROR(__xludf.DUMMYFUNCTION("""COMPUTED_VALUE"""),"2h1m custome")</f>
        <v>2h1m custome</v>
      </c>
      <c r="X87" s="287">
        <f>IFERROR(__xludf.DUMMYFUNCTION("""COMPUTED_VALUE"""),46171.0)</f>
        <v>46171</v>
      </c>
      <c r="Y87" s="285">
        <f>IFERROR(__xludf.DUMMYFUNCTION("""COMPUTED_VALUE"""),4.0)</f>
        <v>4</v>
      </c>
      <c r="Z87" s="289"/>
      <c r="AA87" s="285" t="str">
        <f>IFERROR(__xludf.DUMMYFUNCTION("""COMPUTED_VALUE"""),"orderrrr")</f>
        <v>orderrrr</v>
      </c>
      <c r="AC87" s="285" t="str">
        <f>IFERROR(__xludf.DUMMYFUNCTION("""COMPUTED_VALUE"""),"2601D099")</f>
        <v>2601D099</v>
      </c>
      <c r="AD87" s="286">
        <f>IFERROR(__xludf.DUMMYFUNCTION("""COMPUTED_VALUE"""),46034.0)</f>
        <v>46034</v>
      </c>
      <c r="AE87" s="285" t="str">
        <f>IFERROR(__xludf.DUMMYFUNCTION("""COMPUTED_VALUE"""),"N")</f>
        <v>N</v>
      </c>
      <c r="AF87" s="285" t="str">
        <f>IFERROR(__xludf.DUMMYFUNCTION("""COMPUTED_VALUE"""),"081260909299")</f>
        <v>081260909299</v>
      </c>
      <c r="AG87" s="285" t="str">
        <f>IFERROR(__xludf.DUMMYFUNCTION("""COMPUTED_VALUE"""),"Gagal")</f>
        <v>Gagal</v>
      </c>
      <c r="AH87" s="285" t="str">
        <f>IFERROR(__xludf.DUMMYFUNCTION("""COMPUTED_VALUE"""),"OT baluran")</f>
        <v>OT baluran</v>
      </c>
      <c r="AI87" s="287">
        <f>IFERROR(__xludf.DUMMYFUNCTION("""COMPUTED_VALUE"""),46039.0)</f>
        <v>46039</v>
      </c>
      <c r="AJ87" s="285"/>
      <c r="AK87" s="289"/>
      <c r="AL87" s="285" t="str">
        <f>IFERROR(__xludf.DUMMYFUNCTION("""COMPUTED_VALUE"""),"lewat tanggal")</f>
        <v>lewat tanggal</v>
      </c>
    </row>
    <row r="88">
      <c r="F88" s="285" t="str">
        <f>IFERROR(__xludf.DUMMYFUNCTION("""COMPUTED_VALUE"""),"2605D140")</f>
        <v>2605D140</v>
      </c>
      <c r="G88" s="286">
        <f>IFERROR(__xludf.DUMMYFUNCTION("""COMPUTED_VALUE"""),46167.0)</f>
        <v>46167</v>
      </c>
      <c r="H88" s="285" t="str">
        <f>IFERROR(__xludf.DUMMYFUNCTION("""COMPUTED_VALUE"""),"Farhan")</f>
        <v>Farhan</v>
      </c>
      <c r="I88" s="285" t="str">
        <f>IFERROR(__xludf.DUMMYFUNCTION("""COMPUTED_VALUE"""),"081380146024")</f>
        <v>081380146024</v>
      </c>
      <c r="J88" s="285" t="str">
        <f>IFERROR(__xludf.DUMMYFUNCTION("""COMPUTED_VALUE"""),"Leads Baru")</f>
        <v>Leads Baru</v>
      </c>
      <c r="K88" s="285" t="str">
        <f>IFERROR(__xludf.DUMMYFUNCTION("""COMPUTED_VALUE"""),"3H2M opsi A")</f>
        <v>3H2M opsi A</v>
      </c>
      <c r="L88" s="287">
        <f>IFERROR(__xludf.DUMMYFUNCTION("""COMPUTED_VALUE"""),46209.0)</f>
        <v>46209</v>
      </c>
      <c r="M88" s="288">
        <f>IFERROR(__xludf.DUMMYFUNCTION("""COMPUTED_VALUE"""),2.0)</f>
        <v>2</v>
      </c>
      <c r="N88" s="289"/>
      <c r="O88" s="290" t="str">
        <f>IFERROR(__xludf.DUMMYFUNCTION("""COMPUTED_VALUE"""),"nunggu info blue fire, FU 12 Juni")</f>
        <v>nunggu info blue fire, FU 12 Juni</v>
      </c>
      <c r="P88" s="320"/>
      <c r="R88" s="285" t="str">
        <f>IFERROR(__xludf.DUMMYFUNCTION("""COMPUTED_VALUE"""),"2605D085")</f>
        <v>2605D085</v>
      </c>
      <c r="S88" s="286">
        <f>IFERROR(__xludf.DUMMYFUNCTION("""COMPUTED_VALUE"""),46161.0)</f>
        <v>46161</v>
      </c>
      <c r="T88" s="285" t="str">
        <f>IFERROR(__xludf.DUMMYFUNCTION("""COMPUTED_VALUE"""),"Liana")</f>
        <v>Liana</v>
      </c>
      <c r="U88" s="285" t="str">
        <f>IFERROR(__xludf.DUMMYFUNCTION("""COMPUTED_VALUE"""),"081369648000")</f>
        <v>081369648000</v>
      </c>
      <c r="V88" s="285" t="str">
        <f>IFERROR(__xludf.DUMMYFUNCTION("""COMPUTED_VALUE"""),"Closing")</f>
        <v>Closing</v>
      </c>
      <c r="W88" s="285" t="str">
        <f>IFERROR(__xludf.DUMMYFUNCTION("""COMPUTED_VALUE"""),"PT Ijen")</f>
        <v>PT Ijen</v>
      </c>
      <c r="X88" s="287"/>
      <c r="Y88" s="285">
        <f>IFERROR(__xludf.DUMMYFUNCTION("""COMPUTED_VALUE"""),3.0)</f>
        <v>3</v>
      </c>
      <c r="Z88" s="289">
        <f>IFERROR(__xludf.DUMMYFUNCTION("""COMPUTED_VALUE"""),1228000.0)</f>
        <v>1228000</v>
      </c>
      <c r="AA88" s="285" t="str">
        <f>IFERROR(__xludf.DUMMYFUNCTION("""COMPUTED_VALUE"""),"orderrrr")</f>
        <v>orderrrr</v>
      </c>
      <c r="AC88" s="285" t="str">
        <f>IFERROR(__xludf.DUMMYFUNCTION("""COMPUTED_VALUE"""),"2601D100")</f>
        <v>2601D100</v>
      </c>
      <c r="AD88" s="286">
        <f>IFERROR(__xludf.DUMMYFUNCTION("""COMPUTED_VALUE"""),46035.0)</f>
        <v>46035</v>
      </c>
      <c r="AE88" s="285" t="str">
        <f>IFERROR(__xludf.DUMMYFUNCTION("""COMPUTED_VALUE"""),"Milly")</f>
        <v>Milly</v>
      </c>
      <c r="AF88" s="285" t="str">
        <f>IFERROR(__xludf.DUMMYFUNCTION("""COMPUTED_VALUE"""),"083893333973")</f>
        <v>083893333973</v>
      </c>
      <c r="AG88" s="285" t="str">
        <f>IFERROR(__xludf.DUMMYFUNCTION("""COMPUTED_VALUE"""),"Gagal")</f>
        <v>Gagal</v>
      </c>
      <c r="AH88" s="285" t="str">
        <f>IFERROR(__xludf.DUMMYFUNCTION("""COMPUTED_VALUE"""),"rekom 2H1M")</f>
        <v>rekom 2H1M</v>
      </c>
      <c r="AI88" s="287"/>
      <c r="AJ88" s="285">
        <f>IFERROR(__xludf.DUMMYFUNCTION("""COMPUTED_VALUE"""),5.0)</f>
        <v>5</v>
      </c>
      <c r="AK88" s="289"/>
      <c r="AL88" s="285" t="str">
        <f>IFERROR(__xludf.DUMMYFUNCTION("""COMPUTED_VALUE"""),"masih tanya, fu awal maret")</f>
        <v>masih tanya, fu awal maret</v>
      </c>
    </row>
    <row r="89">
      <c r="F89" s="285" t="str">
        <f>IFERROR(__xludf.DUMMYFUNCTION("""COMPUTED_VALUE"""),"2605D142")</f>
        <v>2605D142</v>
      </c>
      <c r="G89" s="286">
        <f>IFERROR(__xludf.DUMMYFUNCTION("""COMPUTED_VALUE"""),46168.0)</f>
        <v>46168</v>
      </c>
      <c r="H89" s="285" t="str">
        <f>IFERROR(__xludf.DUMMYFUNCTION("""COMPUTED_VALUE"""),"No Name korban janji")</f>
        <v>No Name korban janji</v>
      </c>
      <c r="I89" s="285" t="str">
        <f>IFERROR(__xludf.DUMMYFUNCTION("""COMPUTED_VALUE"""),"081333550560")</f>
        <v>081333550560</v>
      </c>
      <c r="J89" s="285" t="str">
        <f>IFERROR(__xludf.DUMMYFUNCTION("""COMPUTED_VALUE"""),"Leads Baru")</f>
        <v>Leads Baru</v>
      </c>
      <c r="K89" s="285"/>
      <c r="L89" s="287"/>
      <c r="M89" s="288">
        <f>IFERROR(__xludf.DUMMYFUNCTION("""COMPUTED_VALUE"""),1.0)</f>
        <v>1</v>
      </c>
      <c r="N89" s="289"/>
      <c r="O89" s="290" t="str">
        <f>IFERROR(__xludf.DUMMYFUNCTION("""COMPUTED_VALUE"""),"belum fiks mau trip yg mana, FU 6 Juni")</f>
        <v>belum fiks mau trip yg mana, FU 6 Juni</v>
      </c>
      <c r="P89" s="320"/>
      <c r="R89" s="285" t="str">
        <f>IFERROR(__xludf.DUMMYFUNCTION("""COMPUTED_VALUE"""),"2605D092")</f>
        <v>2605D092</v>
      </c>
      <c r="S89" s="286">
        <f>IFERROR(__xludf.DUMMYFUNCTION("""COMPUTED_VALUE"""),46162.0)</f>
        <v>46162</v>
      </c>
      <c r="T89" s="285" t="str">
        <f>IFERROR(__xludf.DUMMYFUNCTION("""COMPUTED_VALUE"""),"Tia  ")</f>
        <v>Tia  </v>
      </c>
      <c r="U89" s="285" t="str">
        <f>IFERROR(__xludf.DUMMYFUNCTION("""COMPUTED_VALUE"""),"085648197249")</f>
        <v>085648197249</v>
      </c>
      <c r="V89" s="285" t="str">
        <f>IFERROR(__xludf.DUMMYFUNCTION("""COMPUTED_VALUE"""),"Closing")</f>
        <v>Closing</v>
      </c>
      <c r="W89" s="285" t="str">
        <f>IFERROR(__xludf.DUMMYFUNCTION("""COMPUTED_VALUE"""),"OT Kawah Ijen")</f>
        <v>OT Kawah Ijen</v>
      </c>
      <c r="X89" s="287">
        <f>IFERROR(__xludf.DUMMYFUNCTION("""COMPUTED_VALUE"""),46176.0)</f>
        <v>46176</v>
      </c>
      <c r="Y89" s="285">
        <f>IFERROR(__xludf.DUMMYFUNCTION("""COMPUTED_VALUE"""),3.0)</f>
        <v>3</v>
      </c>
      <c r="Z89" s="289">
        <f>IFERROR(__xludf.DUMMYFUNCTION("""COMPUTED_VALUE"""),750000.0)</f>
        <v>750000</v>
      </c>
      <c r="AA89" s="285" t="str">
        <f>IFERROR(__xludf.DUMMYFUNCTION("""COMPUTED_VALUE"""),"orrderrr")</f>
        <v>orrderrr</v>
      </c>
      <c r="AC89" s="285" t="str">
        <f>IFERROR(__xludf.DUMMYFUNCTION("""COMPUTED_VALUE"""),"2601D102")</f>
        <v>2601D102</v>
      </c>
      <c r="AD89" s="286">
        <f>IFERROR(__xludf.DUMMYFUNCTION("""COMPUTED_VALUE"""),46035.0)</f>
        <v>46035</v>
      </c>
      <c r="AE89" s="285" t="str">
        <f>IFERROR(__xludf.DUMMYFUNCTION("""COMPUTED_VALUE"""),"Anissa ")</f>
        <v>Anissa </v>
      </c>
      <c r="AF89" s="285" t="str">
        <f>IFERROR(__xludf.DUMMYFUNCTION("""COMPUTED_VALUE"""),"085729891650")</f>
        <v>085729891650</v>
      </c>
      <c r="AG89" s="285" t="str">
        <f>IFERROR(__xludf.DUMMYFUNCTION("""COMPUTED_VALUE"""),"Gagal")</f>
        <v>Gagal</v>
      </c>
      <c r="AH89" s="285" t="str">
        <f>IFERROR(__xludf.DUMMYFUNCTION("""COMPUTED_VALUE"""),"Trip 1 day")</f>
        <v>Trip 1 day</v>
      </c>
      <c r="AI89" s="287"/>
      <c r="AJ89" s="285"/>
      <c r="AK89" s="289"/>
      <c r="AL89" s="285" t="str">
        <f>IFERROR(__xludf.DUMMYFUNCTION("""COMPUTED_VALUE"""),"tanya paket 1 day")</f>
        <v>tanya paket 1 day</v>
      </c>
    </row>
    <row r="90">
      <c r="F90" s="285" t="str">
        <f>IFERROR(__xludf.DUMMYFUNCTION("""COMPUTED_VALUE"""),"2605D145")</f>
        <v>2605D145</v>
      </c>
      <c r="G90" s="286">
        <f>IFERROR(__xludf.DUMMYFUNCTION("""COMPUTED_VALUE"""),46168.0)</f>
        <v>46168</v>
      </c>
      <c r="H90" s="285" t="str">
        <f>IFERROR(__xludf.DUMMYFUNCTION("""COMPUTED_VALUE"""),"Bustomi")</f>
        <v>Bustomi</v>
      </c>
      <c r="I90" s="285" t="str">
        <f>IFERROR(__xludf.DUMMYFUNCTION("""COMPUTED_VALUE"""),"081220030020")</f>
        <v>081220030020</v>
      </c>
      <c r="J90" s="285" t="str">
        <f>IFERROR(__xludf.DUMMYFUNCTION("""COMPUTED_VALUE"""),"Leads Baru")</f>
        <v>Leads Baru</v>
      </c>
      <c r="K90" s="285" t="str">
        <f>IFERROR(__xludf.DUMMYFUNCTION("""COMPUTED_VALUE"""),"3h2m ")</f>
        <v>3h2m </v>
      </c>
      <c r="L90" s="287">
        <f>IFERROR(__xludf.DUMMYFUNCTION("""COMPUTED_VALUE"""),46388.0)</f>
        <v>46388</v>
      </c>
      <c r="M90" s="288">
        <f>IFERROR(__xludf.DUMMYFUNCTION("""COMPUTED_VALUE"""),8.0)</f>
        <v>8</v>
      </c>
      <c r="N90" s="289"/>
      <c r="O90" s="290" t="str">
        <f>IFERROR(__xludf.DUMMYFUNCTION("""COMPUTED_VALUE"""),"buat penawaran")</f>
        <v>buat penawaran</v>
      </c>
      <c r="P90" s="320"/>
      <c r="R90" s="285" t="str">
        <f>IFERROR(__xludf.DUMMYFUNCTION("""COMPUTED_VALUE"""),"2605D096")</f>
        <v>2605D096</v>
      </c>
      <c r="S90" s="286">
        <f>IFERROR(__xludf.DUMMYFUNCTION("""COMPUTED_VALUE"""),46163.0)</f>
        <v>46163</v>
      </c>
      <c r="T90" s="285" t="str">
        <f>IFERROR(__xludf.DUMMYFUNCTION("""COMPUTED_VALUE"""),"Gabby Demana")</f>
        <v>Gabby Demana</v>
      </c>
      <c r="U90" s="285" t="str">
        <f>IFERROR(__xludf.DUMMYFUNCTION("""COMPUTED_VALUE"""),"082188743113")</f>
        <v>082188743113</v>
      </c>
      <c r="V90" s="285" t="str">
        <f>IFERROR(__xludf.DUMMYFUNCTION("""COMPUTED_VALUE"""),"Closing")</f>
        <v>Closing</v>
      </c>
      <c r="W90" s="285" t="str">
        <f>IFERROR(__xludf.DUMMYFUNCTION("""COMPUTED_VALUE"""),"2H1M opsi C")</f>
        <v>2H1M opsi C</v>
      </c>
      <c r="X90" s="287">
        <f>IFERROR(__xludf.DUMMYFUNCTION("""COMPUTED_VALUE"""),46172.0)</f>
        <v>46172</v>
      </c>
      <c r="Y90" s="285">
        <f>IFERROR(__xludf.DUMMYFUNCTION("""COMPUTED_VALUE"""),2.0)</f>
        <v>2</v>
      </c>
      <c r="Z90" s="289">
        <f>IFERROR(__xludf.DUMMYFUNCTION("""COMPUTED_VALUE"""),3600000.0)</f>
        <v>3600000</v>
      </c>
      <c r="AA90" s="285" t="str">
        <f>IFERROR(__xludf.DUMMYFUNCTION("""COMPUTED_VALUE"""),"orderrrrr")</f>
        <v>orderrrrr</v>
      </c>
      <c r="AC90" s="285" t="str">
        <f>IFERROR(__xludf.DUMMYFUNCTION("""COMPUTED_VALUE"""),"2601D103")</f>
        <v>2601D103</v>
      </c>
      <c r="AD90" s="286">
        <f>IFERROR(__xludf.DUMMYFUNCTION("""COMPUTED_VALUE"""),46035.0)</f>
        <v>46035</v>
      </c>
      <c r="AE90" s="285" t="str">
        <f>IFERROR(__xludf.DUMMYFUNCTION("""COMPUTED_VALUE"""),"indah syafitri")</f>
        <v>indah syafitri</v>
      </c>
      <c r="AF90" s="285" t="str">
        <f>IFERROR(__xludf.DUMMYFUNCTION("""COMPUTED_VALUE"""),"083895563443")</f>
        <v>083895563443</v>
      </c>
      <c r="AG90" s="285" t="str">
        <f>IFERROR(__xludf.DUMMYFUNCTION("""COMPUTED_VALUE"""),"Gagal")</f>
        <v>Gagal</v>
      </c>
      <c r="AH90" s="285" t="str">
        <f>IFERROR(__xludf.DUMMYFUNCTION("""COMPUTED_VALUE"""),"OT 3H2M")</f>
        <v>OT 3H2M</v>
      </c>
      <c r="AI90" s="287">
        <f>IFERROR(__xludf.DUMMYFUNCTION("""COMPUTED_VALUE"""),46052.0)</f>
        <v>46052</v>
      </c>
      <c r="AJ90" s="285">
        <f>IFERROR(__xludf.DUMMYFUNCTION("""COMPUTED_VALUE"""),1.0)</f>
        <v>1</v>
      </c>
      <c r="AK90" s="289"/>
      <c r="AL90" s="285" t="str">
        <f>IFERROR(__xludf.DUMMYFUNCTION("""COMPUTED_VALUE"""),"sendirian aja")</f>
        <v>sendirian aja</v>
      </c>
    </row>
    <row r="91">
      <c r="F91" s="285" t="str">
        <f>IFERROR(__xludf.DUMMYFUNCTION("""COMPUTED_VALUE"""),"2605D147")</f>
        <v>2605D147</v>
      </c>
      <c r="G91" s="286">
        <f>IFERROR(__xludf.DUMMYFUNCTION("""COMPUTED_VALUE"""),46168.0)</f>
        <v>46168</v>
      </c>
      <c r="H91" s="285" t="str">
        <f>IFERROR(__xludf.DUMMYFUNCTION("""COMPUTED_VALUE"""),"Rahayu")</f>
        <v>Rahayu</v>
      </c>
      <c r="I91" s="285" t="str">
        <f>IFERROR(__xludf.DUMMYFUNCTION("""COMPUTED_VALUE"""),"085231166604")</f>
        <v>085231166604</v>
      </c>
      <c r="J91" s="285" t="str">
        <f>IFERROR(__xludf.DUMMYFUNCTION("""COMPUTED_VALUE"""),"Leads Baru")</f>
        <v>Leads Baru</v>
      </c>
      <c r="K91" s="285" t="str">
        <f>IFERROR(__xludf.DUMMYFUNCTION("""COMPUTED_VALUE"""),"2h1m custome")</f>
        <v>2h1m custome</v>
      </c>
      <c r="L91" s="287"/>
      <c r="M91" s="288">
        <f>IFERROR(__xludf.DUMMYFUNCTION("""COMPUTED_VALUE"""),4.0)</f>
        <v>4</v>
      </c>
      <c r="N91" s="289"/>
      <c r="O91" s="290"/>
      <c r="P91" s="320"/>
      <c r="R91" s="285" t="str">
        <f>IFERROR(__xludf.DUMMYFUNCTION("""COMPUTED_VALUE"""),"2605D098")</f>
        <v>2605D098</v>
      </c>
      <c r="S91" s="286">
        <f>IFERROR(__xludf.DUMMYFUNCTION("""COMPUTED_VALUE"""),46163.0)</f>
        <v>46163</v>
      </c>
      <c r="T91" s="285" t="str">
        <f>IFERROR(__xludf.DUMMYFUNCTION("""COMPUTED_VALUE"""),"Andri")</f>
        <v>Andri</v>
      </c>
      <c r="U91" s="285" t="str">
        <f>IFERROR(__xludf.DUMMYFUNCTION("""COMPUTED_VALUE"""),"081320330544")</f>
        <v>081320330544</v>
      </c>
      <c r="V91" s="285" t="str">
        <f>IFERROR(__xludf.DUMMYFUNCTION("""COMPUTED_VALUE"""),"Closing")</f>
        <v>Closing</v>
      </c>
      <c r="W91" s="285" t="str">
        <f>IFERROR(__xludf.DUMMYFUNCTION("""COMPUTED_VALUE"""),"OT Ijen, Baluran")</f>
        <v>OT Ijen, Baluran</v>
      </c>
      <c r="X91" s="287">
        <f>IFERROR(__xludf.DUMMYFUNCTION("""COMPUTED_VALUE"""),46170.0)</f>
        <v>46170</v>
      </c>
      <c r="Y91" s="285">
        <f>IFERROR(__xludf.DUMMYFUNCTION("""COMPUTED_VALUE"""),2.0)</f>
        <v>2</v>
      </c>
      <c r="Z91" s="289">
        <f>IFERROR(__xludf.DUMMYFUNCTION("""COMPUTED_VALUE"""),1000000.0)</f>
        <v>1000000</v>
      </c>
      <c r="AA91" s="285" t="str">
        <f>IFERROR(__xludf.DUMMYFUNCTION("""COMPUTED_VALUE"""),"ORDERRR")</f>
        <v>ORDERRR</v>
      </c>
      <c r="AC91" s="285" t="str">
        <f>IFERROR(__xludf.DUMMYFUNCTION("""COMPUTED_VALUE"""),"2601D104")</f>
        <v>2601D104</v>
      </c>
      <c r="AD91" s="286">
        <f>IFERROR(__xludf.DUMMYFUNCTION("""COMPUTED_VALUE"""),46035.0)</f>
        <v>46035</v>
      </c>
      <c r="AE91" s="285" t="str">
        <f>IFERROR(__xludf.DUMMYFUNCTION("""COMPUTED_VALUE"""),"K (WNA)")</f>
        <v>K (WNA)</v>
      </c>
      <c r="AF91" s="285" t="str">
        <f>IFERROR(__xludf.DUMMYFUNCTION("""COMPUTED_VALUE"""),"61402375242")</f>
        <v>61402375242</v>
      </c>
      <c r="AG91" s="285" t="str">
        <f>IFERROR(__xludf.DUMMYFUNCTION("""COMPUTED_VALUE"""),"Gagal")</f>
        <v>Gagal</v>
      </c>
      <c r="AH91" s="285" t="str">
        <f>IFERROR(__xludf.DUMMYFUNCTION("""COMPUTED_VALUE"""),"OT Ijen ")</f>
        <v>OT Ijen </v>
      </c>
      <c r="AI91" s="287"/>
      <c r="AJ91" s="285">
        <f>IFERROR(__xludf.DUMMYFUNCTION("""COMPUTED_VALUE"""),1.0)</f>
        <v>1</v>
      </c>
      <c r="AK91" s="289"/>
      <c r="AL91" s="285" t="str">
        <f>IFERROR(__xludf.DUMMYFUNCTION("""COMPUTED_VALUE"""),"nunggu info OP pertengan minggu depan ")</f>
        <v>nunggu info OP pertengan minggu depan </v>
      </c>
    </row>
    <row r="92">
      <c r="F92" s="285" t="str">
        <f>IFERROR(__xludf.DUMMYFUNCTION("""COMPUTED_VALUE"""),"2605D148")</f>
        <v>2605D148</v>
      </c>
      <c r="G92" s="286">
        <f>IFERROR(__xludf.DUMMYFUNCTION("""COMPUTED_VALUE"""),46169.0)</f>
        <v>46169</v>
      </c>
      <c r="H92" s="285" t="str">
        <f>IFERROR(__xludf.DUMMYFUNCTION("""COMPUTED_VALUE"""),"Rann")</f>
        <v>Rann</v>
      </c>
      <c r="I92" s="285" t="str">
        <f>IFERROR(__xludf.DUMMYFUNCTION("""COMPUTED_VALUE"""),"972544922252")</f>
        <v>972544922252</v>
      </c>
      <c r="J92" s="285" t="str">
        <f>IFERROR(__xludf.DUMMYFUNCTION("""COMPUTED_VALUE"""),"Leads Baru")</f>
        <v>Leads Baru</v>
      </c>
      <c r="K92" s="285" t="str">
        <f>IFERROR(__xludf.DUMMYFUNCTION("""COMPUTED_VALUE"""),"Ijen, Djawatan")</f>
        <v>Ijen, Djawatan</v>
      </c>
      <c r="L92" s="287"/>
      <c r="M92" s="288">
        <f>IFERROR(__xludf.DUMMYFUNCTION("""COMPUTED_VALUE"""),2.0)</f>
        <v>2</v>
      </c>
      <c r="N92" s="289"/>
      <c r="O92" s="290" t="str">
        <f>IFERROR(__xludf.DUMMYFUNCTION("""COMPUTED_VALUE"""),"belum balas lagi")</f>
        <v>belum balas lagi</v>
      </c>
      <c r="P92" s="320"/>
      <c r="R92" s="285" t="str">
        <f>IFERROR(__xludf.DUMMYFUNCTION("""COMPUTED_VALUE"""),"2605D106")</f>
        <v>2605D106</v>
      </c>
      <c r="S92" s="286">
        <f>IFERROR(__xludf.DUMMYFUNCTION("""COMPUTED_VALUE"""),46165.0)</f>
        <v>46165</v>
      </c>
      <c r="T92" s="285" t="str">
        <f>IFERROR(__xludf.DUMMYFUNCTION("""COMPUTED_VALUE"""),"Chaidir Hasibuan")</f>
        <v>Chaidir Hasibuan</v>
      </c>
      <c r="U92" s="285" t="str">
        <f>IFERROR(__xludf.DUMMYFUNCTION("""COMPUTED_VALUE"""),"082185777874")</f>
        <v>082185777874</v>
      </c>
      <c r="V92" s="285" t="str">
        <f>IFERROR(__xludf.DUMMYFUNCTION("""COMPUTED_VALUE"""),"Closing")</f>
        <v>Closing</v>
      </c>
      <c r="W92" s="285" t="str">
        <f>IFERROR(__xludf.DUMMYFUNCTION("""COMPUTED_VALUE"""),"PT Djawatan Baluran")</f>
        <v>PT Djawatan Baluran</v>
      </c>
      <c r="X92" s="287">
        <f>IFERROR(__xludf.DUMMYFUNCTION("""COMPUTED_VALUE"""),46166.0)</f>
        <v>46166</v>
      </c>
      <c r="Y92" s="285">
        <f>IFERROR(__xludf.DUMMYFUNCTION("""COMPUTED_VALUE"""),2.0)</f>
        <v>2</v>
      </c>
      <c r="Z92" s="289">
        <f>IFERROR(__xludf.DUMMYFUNCTION("""COMPUTED_VALUE"""),1754000.0)</f>
        <v>1754000</v>
      </c>
      <c r="AA92" s="285" t="str">
        <f>IFERROR(__xludf.DUMMYFUNCTION("""COMPUTED_VALUE"""),"orderrrrr")</f>
        <v>orderrrrr</v>
      </c>
      <c r="AC92" s="285" t="str">
        <f>IFERROR(__xludf.DUMMYFUNCTION("""COMPUTED_VALUE"""),"2601D105")</f>
        <v>2601D105</v>
      </c>
      <c r="AD92" s="286">
        <f>IFERROR(__xludf.DUMMYFUNCTION("""COMPUTED_VALUE"""),46035.0)</f>
        <v>46035</v>
      </c>
      <c r="AE92" s="285" t="str">
        <f>IFERROR(__xludf.DUMMYFUNCTION("""COMPUTED_VALUE"""),"NadyaPR")</f>
        <v>NadyaPR</v>
      </c>
      <c r="AF92" s="285" t="str">
        <f>IFERROR(__xludf.DUMMYFUNCTION("""COMPUTED_VALUE"""),"081910081972")</f>
        <v>081910081972</v>
      </c>
      <c r="AG92" s="285" t="str">
        <f>IFERROR(__xludf.DUMMYFUNCTION("""COMPUTED_VALUE"""),"Gagal")</f>
        <v>Gagal</v>
      </c>
      <c r="AH92" s="285" t="str">
        <f>IFERROR(__xludf.DUMMYFUNCTION("""COMPUTED_VALUE"""),"OT 1 day D, B")</f>
        <v>OT 1 day D, B</v>
      </c>
      <c r="AI92" s="287"/>
      <c r="AJ92" s="285"/>
      <c r="AK92" s="289"/>
      <c r="AL92" s="285" t="str">
        <f>IFERROR(__xludf.DUMMYFUNCTION("""COMPUTED_VALUE"""),"tanya penjemputan dimana")</f>
        <v>tanya penjemputan dimana</v>
      </c>
    </row>
    <row r="93">
      <c r="F93" s="285" t="str">
        <f>IFERROR(__xludf.DUMMYFUNCTION("""COMPUTED_VALUE"""),"2605D149")</f>
        <v>2605D149</v>
      </c>
      <c r="G93" s="286">
        <f>IFERROR(__xludf.DUMMYFUNCTION("""COMPUTED_VALUE"""),46169.0)</f>
        <v>46169</v>
      </c>
      <c r="H93" s="285" t="str">
        <f>IFERROR(__xludf.DUMMYFUNCTION("""COMPUTED_VALUE"""),"Agusdrmwn")</f>
        <v>Agusdrmwn</v>
      </c>
      <c r="I93" s="285" t="str">
        <f>IFERROR(__xludf.DUMMYFUNCTION("""COMPUTED_VALUE"""),"089624718830")</f>
        <v>089624718830</v>
      </c>
      <c r="J93" s="285" t="str">
        <f>IFERROR(__xludf.DUMMYFUNCTION("""COMPUTED_VALUE"""),"Leads Baru")</f>
        <v>Leads Baru</v>
      </c>
      <c r="K93" s="285" t="str">
        <f>IFERROR(__xludf.DUMMYFUNCTION("""COMPUTED_VALUE"""),"1D trip")</f>
        <v>1D trip</v>
      </c>
      <c r="L93" s="287"/>
      <c r="M93" s="288">
        <f>IFERROR(__xludf.DUMMYFUNCTION("""COMPUTED_VALUE"""),46114.0)</f>
        <v>46114</v>
      </c>
      <c r="N93" s="289"/>
      <c r="O93" s="290" t="str">
        <f>IFERROR(__xludf.DUMMYFUNCTION("""COMPUTED_VALUE"""),"FU 6 Juni")</f>
        <v>FU 6 Juni</v>
      </c>
      <c r="P93" s="320"/>
      <c r="R93" s="285" t="str">
        <f>IFERROR(__xludf.DUMMYFUNCTION("""COMPUTED_VALUE"""),"2605D111")</f>
        <v>2605D111</v>
      </c>
      <c r="S93" s="286">
        <f>IFERROR(__xludf.DUMMYFUNCTION("""COMPUTED_VALUE"""),46165.0)</f>
        <v>46165</v>
      </c>
      <c r="T93" s="285" t="str">
        <f>IFERROR(__xludf.DUMMYFUNCTION("""COMPUTED_VALUE"""),"Maggy")</f>
        <v>Maggy</v>
      </c>
      <c r="U93" s="285" t="str">
        <f>IFERROR(__xludf.DUMMYFUNCTION("""COMPUTED_VALUE"""),"081295931151")</f>
        <v>081295931151</v>
      </c>
      <c r="V93" s="285" t="str">
        <f>IFERROR(__xludf.DUMMYFUNCTION("""COMPUTED_VALUE"""),"Closing")</f>
        <v>Closing</v>
      </c>
      <c r="W93" s="285" t="str">
        <f>IFERROR(__xludf.DUMMYFUNCTION("""COMPUTED_VALUE"""),"1 day Baluran")</f>
        <v>1 day Baluran</v>
      </c>
      <c r="X93" s="287">
        <f>IFERROR(__xludf.DUMMYFUNCTION("""COMPUTED_VALUE"""),46174.0)</f>
        <v>46174</v>
      </c>
      <c r="Y93" s="285">
        <f>IFERROR(__xludf.DUMMYFUNCTION("""COMPUTED_VALUE"""),2.0)</f>
        <v>2</v>
      </c>
      <c r="Z93" s="289">
        <f>IFERROR(__xludf.DUMMYFUNCTION("""COMPUTED_VALUE"""),1750000.0)</f>
        <v>1750000</v>
      </c>
      <c r="AA93" s="285" t="str">
        <f>IFERROR(__xludf.DUMMYFUNCTION("""COMPUTED_VALUE"""),"Orrdeerrrr")</f>
        <v>Orrdeerrrr</v>
      </c>
      <c r="AC93" s="285" t="str">
        <f>IFERROR(__xludf.DUMMYFUNCTION("""COMPUTED_VALUE"""),"2601D106")</f>
        <v>2601D106</v>
      </c>
      <c r="AD93" s="286">
        <f>IFERROR(__xludf.DUMMYFUNCTION("""COMPUTED_VALUE"""),46035.0)</f>
        <v>46035</v>
      </c>
      <c r="AE93" s="285" t="str">
        <f>IFERROR(__xludf.DUMMYFUNCTION("""COMPUTED_VALUE"""),"No name 800")</f>
        <v>No name 800</v>
      </c>
      <c r="AF93" s="285" t="str">
        <f>IFERROR(__xludf.DUMMYFUNCTION("""COMPUTED_VALUE"""),"081939051800")</f>
        <v>081939051800</v>
      </c>
      <c r="AG93" s="285" t="str">
        <f>IFERROR(__xludf.DUMMYFUNCTION("""COMPUTED_VALUE"""),"Gagal")</f>
        <v>Gagal</v>
      </c>
      <c r="AH93" s="285" t="str">
        <f>IFERROR(__xludf.DUMMYFUNCTION("""COMPUTED_VALUE"""),"Private trip menjangan ")</f>
        <v>Private trip menjangan </v>
      </c>
      <c r="AI93" s="287"/>
      <c r="AJ93" s="285">
        <f>IFERROR(__xludf.DUMMYFUNCTION("""COMPUTED_VALUE"""),2.0)</f>
        <v>2</v>
      </c>
      <c r="AK93" s="289"/>
      <c r="AL93" s="285" t="str">
        <f>IFERROR(__xludf.DUMMYFUNCTION("""COMPUTED_VALUE"""),"tunggu info")</f>
        <v>tunggu info</v>
      </c>
    </row>
    <row r="94">
      <c r="F94" s="285" t="str">
        <f>IFERROR(__xludf.DUMMYFUNCTION("""COMPUTED_VALUE"""),"2605D153")</f>
        <v>2605D153</v>
      </c>
      <c r="G94" s="286">
        <f>IFERROR(__xludf.DUMMYFUNCTION("""COMPUTED_VALUE"""),46170.0)</f>
        <v>46170</v>
      </c>
      <c r="H94" s="285" t="str">
        <f>IFERROR(__xludf.DUMMYFUNCTION("""COMPUTED_VALUE"""),"Lia")</f>
        <v>Lia</v>
      </c>
      <c r="I94" s="285" t="str">
        <f>IFERROR(__xludf.DUMMYFUNCTION("""COMPUTED_VALUE"""),"082243948501")</f>
        <v>082243948501</v>
      </c>
      <c r="J94" s="285" t="str">
        <f>IFERROR(__xludf.DUMMYFUNCTION("""COMPUTED_VALUE"""),"Leads Baru")</f>
        <v>Leads Baru</v>
      </c>
      <c r="K94" s="285" t="str">
        <f>IFERROR(__xludf.DUMMYFUNCTION("""COMPUTED_VALUE"""),"OT MT")</f>
        <v>OT MT</v>
      </c>
      <c r="L94" s="287"/>
      <c r="M94" s="288"/>
      <c r="N94" s="289"/>
      <c r="O94" s="290" t="str">
        <f>IFERROR(__xludf.DUMMYFUNCTION("""COMPUTED_VALUE"""),"belum balas lagi, FU 4 Juni")</f>
        <v>belum balas lagi, FU 4 Juni</v>
      </c>
      <c r="P94" s="320"/>
      <c r="R94" s="285" t="str">
        <f>IFERROR(__xludf.DUMMYFUNCTION("""COMPUTED_VALUE"""),"2605D117")</f>
        <v>2605D117</v>
      </c>
      <c r="S94" s="286">
        <f>IFERROR(__xludf.DUMMYFUNCTION("""COMPUTED_VALUE"""),46165.0)</f>
        <v>46165</v>
      </c>
      <c r="T94" s="285" t="str">
        <f>IFERROR(__xludf.DUMMYFUNCTION("""COMPUTED_VALUE"""),"Evi R. Wahyuni")</f>
        <v>Evi R. Wahyuni</v>
      </c>
      <c r="U94" s="285" t="str">
        <f>IFERROR(__xludf.DUMMYFUNCTION("""COMPUTED_VALUE"""),"08111030695")</f>
        <v>08111030695</v>
      </c>
      <c r="V94" s="285" t="str">
        <f>IFERROR(__xludf.DUMMYFUNCTION("""COMPUTED_VALUE"""),"Closing")</f>
        <v>Closing</v>
      </c>
      <c r="W94" s="285" t="str">
        <f>IFERROR(__xludf.DUMMYFUNCTION("""COMPUTED_VALUE"""),"OT MT")</f>
        <v>OT MT</v>
      </c>
      <c r="X94" s="287">
        <f>IFERROR(__xludf.DUMMYFUNCTION("""COMPUTED_VALUE"""),46173.0)</f>
        <v>46173</v>
      </c>
      <c r="Y94" s="285">
        <f>IFERROR(__xludf.DUMMYFUNCTION("""COMPUTED_VALUE"""),2.0)</f>
        <v>2</v>
      </c>
      <c r="Z94" s="289">
        <f>IFERROR(__xludf.DUMMYFUNCTION("""COMPUTED_VALUE"""),550000.0)</f>
        <v>550000</v>
      </c>
      <c r="AA94" s="285" t="str">
        <f>IFERROR(__xludf.DUMMYFUNCTION("""COMPUTED_VALUE"""),"orrrdeeerrr")</f>
        <v>orrrdeeerrr</v>
      </c>
      <c r="AC94" s="285" t="str">
        <f>IFERROR(__xludf.DUMMYFUNCTION("""COMPUTED_VALUE"""),"2601D107")</f>
        <v>2601D107</v>
      </c>
      <c r="AD94" s="286">
        <f>IFERROR(__xludf.DUMMYFUNCTION("""COMPUTED_VALUE"""),46035.0)</f>
        <v>46035</v>
      </c>
      <c r="AE94" s="285" t="str">
        <f>IFERROR(__xludf.DUMMYFUNCTION("""COMPUTED_VALUE"""),"Jessica")</f>
        <v>Jessica</v>
      </c>
      <c r="AF94" s="285" t="str">
        <f>IFERROR(__xludf.DUMMYFUNCTION("""COMPUTED_VALUE"""),"081578949262")</f>
        <v>081578949262</v>
      </c>
      <c r="AG94" s="285" t="str">
        <f>IFERROR(__xludf.DUMMYFUNCTION("""COMPUTED_VALUE"""),"Gagal")</f>
        <v>Gagal</v>
      </c>
      <c r="AH94" s="285" t="str">
        <f>IFERROR(__xludf.DUMMYFUNCTION("""COMPUTED_VALUE"""),"Trip MT")</f>
        <v>Trip MT</v>
      </c>
      <c r="AI94" s="287"/>
      <c r="AJ94" s="285">
        <f>IFERROR(__xludf.DUMMYFUNCTION("""COMPUTED_VALUE"""),3.0)</f>
        <v>3</v>
      </c>
      <c r="AK94" s="289"/>
      <c r="AL94" s="285" t="str">
        <f>IFERROR(__xludf.DUMMYFUNCTION("""COMPUTED_VALUE"""),"tanyaa tanyaa")</f>
        <v>tanyaa tanyaa</v>
      </c>
    </row>
    <row r="95">
      <c r="F95" s="285" t="str">
        <f>IFERROR(__xludf.DUMMYFUNCTION("""COMPUTED_VALUE"""),"2605D158")</f>
        <v>2605D158</v>
      </c>
      <c r="G95" s="286">
        <f>IFERROR(__xludf.DUMMYFUNCTION("""COMPUTED_VALUE"""),46170.0)</f>
        <v>46170</v>
      </c>
      <c r="H95" s="285" t="str">
        <f>IFERROR(__xludf.DUMMYFUNCTION("""COMPUTED_VALUE"""),"Firdah Tia Yuliana")</f>
        <v>Firdah Tia Yuliana</v>
      </c>
      <c r="I95" s="285" t="str">
        <f>IFERROR(__xludf.DUMMYFUNCTION("""COMPUTED_VALUE"""),"081213575770")</f>
        <v>081213575770</v>
      </c>
      <c r="J95" s="285" t="str">
        <f>IFERROR(__xludf.DUMMYFUNCTION("""COMPUTED_VALUE"""),"Leads Baru")</f>
        <v>Leads Baru</v>
      </c>
      <c r="K95" s="285" t="str">
        <f>IFERROR(__xludf.DUMMYFUNCTION("""COMPUTED_VALUE"""),"3H2M opsi A")</f>
        <v>3H2M opsi A</v>
      </c>
      <c r="L95" s="287"/>
      <c r="M95" s="288">
        <f>IFERROR(__xludf.DUMMYFUNCTION("""COMPUTED_VALUE"""),17.0)</f>
        <v>17</v>
      </c>
      <c r="N95" s="289"/>
      <c r="O95" s="290" t="str">
        <f>IFERROR(__xludf.DUMMYFUNCTION("""COMPUTED_VALUE"""),"buat penawaran")</f>
        <v>buat penawaran</v>
      </c>
      <c r="P95" s="320"/>
      <c r="R95" s="285" t="str">
        <f>IFERROR(__xludf.DUMMYFUNCTION("""COMPUTED_VALUE"""),"2605D118")</f>
        <v>2605D118</v>
      </c>
      <c r="S95" s="286">
        <f>IFERROR(__xludf.DUMMYFUNCTION("""COMPUTED_VALUE"""),46165.0)</f>
        <v>46165</v>
      </c>
      <c r="T95" s="285" t="str">
        <f>IFERROR(__xludf.DUMMYFUNCTION("""COMPUTED_VALUE"""),"Dilla")</f>
        <v>Dilla</v>
      </c>
      <c r="U95" s="285" t="str">
        <f>IFERROR(__xludf.DUMMYFUNCTION("""COMPUTED_VALUE"""),"081380278612")</f>
        <v>081380278612</v>
      </c>
      <c r="V95" s="285" t="str">
        <f>IFERROR(__xludf.DUMMYFUNCTION("""COMPUTED_VALUE"""),"Closing")</f>
        <v>Closing</v>
      </c>
      <c r="W95" s="285" t="str">
        <f>IFERROR(__xludf.DUMMYFUNCTION("""COMPUTED_VALUE"""),"2H1M opsi A")</f>
        <v>2H1M opsi A</v>
      </c>
      <c r="X95" s="287">
        <f>IFERROR(__xludf.DUMMYFUNCTION("""COMPUTED_VALUE"""),46169.0)</f>
        <v>46169</v>
      </c>
      <c r="Y95" s="285">
        <f>IFERROR(__xludf.DUMMYFUNCTION("""COMPUTED_VALUE"""),2.0)</f>
        <v>2</v>
      </c>
      <c r="Z95" s="289"/>
      <c r="AA95" s="285" t="str">
        <f>IFERROR(__xludf.DUMMYFUNCTION("""COMPUTED_VALUE"""),"alhamdulillah orderr")</f>
        <v>alhamdulillah orderr</v>
      </c>
      <c r="AC95" s="285" t="str">
        <f>IFERROR(__xludf.DUMMYFUNCTION("""COMPUTED_VALUE"""),"2601D108")</f>
        <v>2601D108</v>
      </c>
      <c r="AD95" s="286">
        <f>IFERROR(__xludf.DUMMYFUNCTION("""COMPUTED_VALUE"""),46035.0)</f>
        <v>46035</v>
      </c>
      <c r="AE95" s="285" t="str">
        <f>IFERROR(__xludf.DUMMYFUNCTION("""COMPUTED_VALUE"""),"Ami ")</f>
        <v>Ami </v>
      </c>
      <c r="AF95" s="285" t="str">
        <f>IFERROR(__xludf.DUMMYFUNCTION("""COMPUTED_VALUE"""),"081384572180")</f>
        <v>081384572180</v>
      </c>
      <c r="AG95" s="285" t="str">
        <f>IFERROR(__xludf.DUMMYFUNCTION("""COMPUTED_VALUE"""),"Gagal")</f>
        <v>Gagal</v>
      </c>
      <c r="AH95" s="285" t="str">
        <f>IFERROR(__xludf.DUMMYFUNCTION("""COMPUTED_VALUE"""),"custom paket")</f>
        <v>custom paket</v>
      </c>
      <c r="AI95" s="287"/>
      <c r="AJ95" s="285">
        <f>IFERROR(__xludf.DUMMYFUNCTION("""COMPUTED_VALUE"""),5.0)</f>
        <v>5</v>
      </c>
      <c r="AK95" s="289"/>
      <c r="AL95" s="285" t="str">
        <f>IFERROR(__xludf.DUMMYFUNCTION("""COMPUTED_VALUE"""),"ganti destinasi")</f>
        <v>ganti destinasi</v>
      </c>
    </row>
    <row r="96">
      <c r="F96" s="285" t="str">
        <f>IFERROR(__xludf.DUMMYFUNCTION("""COMPUTED_VALUE"""),"2605D161")</f>
        <v>2605D161</v>
      </c>
      <c r="G96" s="286">
        <f>IFERROR(__xludf.DUMMYFUNCTION("""COMPUTED_VALUE"""),46170.0)</f>
        <v>46170</v>
      </c>
      <c r="H96" s="285" t="str">
        <f>IFERROR(__xludf.DUMMYFUNCTION("""COMPUTED_VALUE"""),"No Name Kopi")</f>
        <v>No Name Kopi</v>
      </c>
      <c r="I96" s="285" t="str">
        <f>IFERROR(__xludf.DUMMYFUNCTION("""COMPUTED_VALUE"""),"085943433983")</f>
        <v>085943433983</v>
      </c>
      <c r="J96" s="285" t="str">
        <f>IFERROR(__xludf.DUMMYFUNCTION("""COMPUTED_VALUE"""),"Leads Baru")</f>
        <v>Leads Baru</v>
      </c>
      <c r="K96" s="285" t="str">
        <f>IFERROR(__xludf.DUMMYFUNCTION("""COMPUTED_VALUE"""),"OT 3H2M ")</f>
        <v>OT 3H2M </v>
      </c>
      <c r="L96" s="287"/>
      <c r="M96" s="288"/>
      <c r="N96" s="289"/>
      <c r="O96" s="290" t="str">
        <f>IFERROR(__xludf.DUMMYFUNCTION("""COMPUTED_VALUE"""),"belum ada balasan, Fu 8 Juni")</f>
        <v>belum ada balasan, Fu 8 Juni</v>
      </c>
      <c r="P96" s="320"/>
      <c r="R96" s="285" t="str">
        <f>IFERROR(__xludf.DUMMYFUNCTION("""COMPUTED_VALUE"""),"2605D123")</f>
        <v>2605D123</v>
      </c>
      <c r="S96" s="286">
        <f>IFERROR(__xludf.DUMMYFUNCTION("""COMPUTED_VALUE"""),46166.0)</f>
        <v>46166</v>
      </c>
      <c r="T96" s="285" t="str">
        <f>IFERROR(__xludf.DUMMYFUNCTION("""COMPUTED_VALUE"""),"Wiwik tarricone")</f>
        <v>Wiwik tarricone</v>
      </c>
      <c r="U96" s="285" t="str">
        <f>IFERROR(__xludf.DUMMYFUNCTION("""COMPUTED_VALUE"""),"082236865958")</f>
        <v>082236865958</v>
      </c>
      <c r="V96" s="285" t="str">
        <f>IFERROR(__xludf.DUMMYFUNCTION("""COMPUTED_VALUE"""),"Closing")</f>
        <v>Closing</v>
      </c>
      <c r="W96" s="285" t="str">
        <f>IFERROR(__xludf.DUMMYFUNCTION("""COMPUTED_VALUE"""),"OT MT")</f>
        <v>OT MT</v>
      </c>
      <c r="X96" s="287"/>
      <c r="Y96" s="285">
        <f>IFERROR(__xludf.DUMMYFUNCTION("""COMPUTED_VALUE"""),4.0)</f>
        <v>4</v>
      </c>
      <c r="Z96" s="289"/>
      <c r="AA96" s="285" t="str">
        <f>IFERROR(__xludf.DUMMYFUNCTION("""COMPUTED_VALUE"""),"orrdeerrrr")</f>
        <v>orrdeerrrr</v>
      </c>
      <c r="AC96" s="285" t="str">
        <f>IFERROR(__xludf.DUMMYFUNCTION("""COMPUTED_VALUE"""),"2601D109")</f>
        <v>2601D109</v>
      </c>
      <c r="AD96" s="286">
        <f>IFERROR(__xludf.DUMMYFUNCTION("""COMPUTED_VALUE"""),46036.0)</f>
        <v>46036</v>
      </c>
      <c r="AE96" s="285" t="str">
        <f>IFERROR(__xludf.DUMMYFUNCTION("""COMPUTED_VALUE"""),"Dewi nur")</f>
        <v>Dewi nur</v>
      </c>
      <c r="AF96" s="285" t="str">
        <f>IFERROR(__xludf.DUMMYFUNCTION("""COMPUTED_VALUE"""),"087809480648")</f>
        <v>087809480648</v>
      </c>
      <c r="AG96" s="285" t="str">
        <f>IFERROR(__xludf.DUMMYFUNCTION("""COMPUTED_VALUE"""),"Gagal")</f>
        <v>Gagal</v>
      </c>
      <c r="AH96" s="285"/>
      <c r="AI96" s="287"/>
      <c r="AJ96" s="285"/>
      <c r="AK96" s="289"/>
      <c r="AL96" s="285"/>
    </row>
    <row r="97">
      <c r="F97" s="285" t="str">
        <f>IFERROR(__xludf.DUMMYFUNCTION("""COMPUTED_VALUE"""),"2605D162")</f>
        <v>2605D162</v>
      </c>
      <c r="G97" s="286">
        <f>IFERROR(__xludf.DUMMYFUNCTION("""COMPUTED_VALUE"""),46171.0)</f>
        <v>46171</v>
      </c>
      <c r="H97" s="285" t="str">
        <f>IFERROR(__xludf.DUMMYFUNCTION("""COMPUTED_VALUE"""),"Momie Soe")</f>
        <v>Momie Soe</v>
      </c>
      <c r="I97" s="285" t="str">
        <f>IFERROR(__xludf.DUMMYFUNCTION("""COMPUTED_VALUE"""),"087852782586")</f>
        <v>087852782586</v>
      </c>
      <c r="J97" s="285" t="str">
        <f>IFERROR(__xludf.DUMMYFUNCTION("""COMPUTED_VALUE"""),"Leads Baru")</f>
        <v>Leads Baru</v>
      </c>
      <c r="K97" s="285" t="str">
        <f>IFERROR(__xludf.DUMMYFUNCTION("""COMPUTED_VALUE"""),"trip djawatan baluran")</f>
        <v>trip djawatan baluran</v>
      </c>
      <c r="L97" s="287"/>
      <c r="M97" s="288"/>
      <c r="N97" s="289"/>
      <c r="O97" s="290" t="str">
        <f>IFERROR(__xludf.DUMMYFUNCTION("""COMPUTED_VALUE"""),"belum ada balasan, Fu 8 Juni")</f>
        <v>belum ada balasan, Fu 8 Juni</v>
      </c>
      <c r="P97" s="320"/>
      <c r="R97" s="285" t="str">
        <f>IFERROR(__xludf.DUMMYFUNCTION("""COMPUTED_VALUE"""),"2605D125")</f>
        <v>2605D125</v>
      </c>
      <c r="S97" s="286">
        <f>IFERROR(__xludf.DUMMYFUNCTION("""COMPUTED_VALUE"""),46166.0)</f>
        <v>46166</v>
      </c>
      <c r="T97" s="285" t="str">
        <f>IFERROR(__xludf.DUMMYFUNCTION("""COMPUTED_VALUE"""),"Fauziah ")</f>
        <v>Fauziah </v>
      </c>
      <c r="U97" s="285" t="str">
        <f>IFERROR(__xludf.DUMMYFUNCTION("""COMPUTED_VALUE"""),"085820009433")</f>
        <v>085820009433</v>
      </c>
      <c r="V97" s="285" t="str">
        <f>IFERROR(__xludf.DUMMYFUNCTION("""COMPUTED_VALUE"""),"Closing")</f>
        <v>Closing</v>
      </c>
      <c r="W97" s="285" t="str">
        <f>IFERROR(__xludf.DUMMYFUNCTION("""COMPUTED_VALUE"""),"3H2M custome")</f>
        <v>3H2M custome</v>
      </c>
      <c r="X97" s="287">
        <f>IFERROR(__xludf.DUMMYFUNCTION("""COMPUTED_VALUE"""),46190.0)</f>
        <v>46190</v>
      </c>
      <c r="Y97" s="285">
        <f>IFERROR(__xludf.DUMMYFUNCTION("""COMPUTED_VALUE"""),2.0)</f>
        <v>2</v>
      </c>
      <c r="Z97" s="289">
        <f>IFERROR(__xludf.DUMMYFUNCTION("""COMPUTED_VALUE"""),4700000.0)</f>
        <v>4700000</v>
      </c>
      <c r="AA97" s="285" t="str">
        <f>IFERROR(__xludf.DUMMYFUNCTION("""COMPUTED_VALUE"""),"alhamdulillah orrdeerr")</f>
        <v>alhamdulillah orrdeerr</v>
      </c>
      <c r="AC97" s="285" t="str">
        <f>IFERROR(__xludf.DUMMYFUNCTION("""COMPUTED_VALUE"""),"2601D110")</f>
        <v>2601D110</v>
      </c>
      <c r="AD97" s="286">
        <f>IFERROR(__xludf.DUMMYFUNCTION("""COMPUTED_VALUE"""),46036.0)</f>
        <v>46036</v>
      </c>
      <c r="AE97" s="285" t="str">
        <f>IFERROR(__xludf.DUMMYFUNCTION("""COMPUTED_VALUE"""),"No Name..")</f>
        <v>No Name..</v>
      </c>
      <c r="AF97" s="285" t="str">
        <f>IFERROR(__xludf.DUMMYFUNCTION("""COMPUTED_VALUE"""),"081328364137")</f>
        <v>081328364137</v>
      </c>
      <c r="AG97" s="285" t="str">
        <f>IFERROR(__xludf.DUMMYFUNCTION("""COMPUTED_VALUE"""),"Gagal")</f>
        <v>Gagal</v>
      </c>
      <c r="AH97" s="285" t="str">
        <f>IFERROR(__xludf.DUMMYFUNCTION("""COMPUTED_VALUE"""),"3H2M")</f>
        <v>3H2M</v>
      </c>
      <c r="AI97" s="287"/>
      <c r="AJ97" s="285"/>
      <c r="AK97" s="289"/>
      <c r="AL97" s="285" t="str">
        <f>IFERROR(__xludf.DUMMYFUNCTION("""COMPUTED_VALUE"""),"masih chek katalog ")</f>
        <v>masih chek katalog </v>
      </c>
    </row>
    <row r="98">
      <c r="F98" s="285" t="str">
        <f>IFERROR(__xludf.DUMMYFUNCTION("""COMPUTED_VALUE"""),"2605D163")</f>
        <v>2605D163</v>
      </c>
      <c r="G98" s="286">
        <f>IFERROR(__xludf.DUMMYFUNCTION("""COMPUTED_VALUE"""),46171.0)</f>
        <v>46171</v>
      </c>
      <c r="H98" s="285" t="str">
        <f>IFERROR(__xludf.DUMMYFUNCTION("""COMPUTED_VALUE"""),"Dessy")</f>
        <v>Dessy</v>
      </c>
      <c r="I98" s="285" t="str">
        <f>IFERROR(__xludf.DUMMYFUNCTION("""COMPUTED_VALUE"""),"08131586257")</f>
        <v>08131586257</v>
      </c>
      <c r="J98" s="285" t="str">
        <f>IFERROR(__xludf.DUMMYFUNCTION("""COMPUTED_VALUE"""),"Leads Baru")</f>
        <v>Leads Baru</v>
      </c>
      <c r="K98" s="285" t="str">
        <f>IFERROR(__xludf.DUMMYFUNCTION("""COMPUTED_VALUE"""),"3h2m opsi A")</f>
        <v>3h2m opsi A</v>
      </c>
      <c r="L98" s="287"/>
      <c r="M98" s="288"/>
      <c r="N98" s="289"/>
      <c r="O98" s="290" t="str">
        <f>IFERROR(__xludf.DUMMYFUNCTION("""COMPUTED_VALUE"""),"tanya additional GI, FU 8 Juni")</f>
        <v>tanya additional GI, FU 8 Juni</v>
      </c>
      <c r="P98" s="320"/>
      <c r="R98" s="285" t="str">
        <f>IFERROR(__xludf.DUMMYFUNCTION("""COMPUTED_VALUE"""),"2605D131")</f>
        <v>2605D131</v>
      </c>
      <c r="S98" s="286">
        <f>IFERROR(__xludf.DUMMYFUNCTION("""COMPUTED_VALUE"""),46167.0)</f>
        <v>46167</v>
      </c>
      <c r="T98" s="285" t="str">
        <f>IFERROR(__xludf.DUMMYFUNCTION("""COMPUTED_VALUE"""),"Ni Kadek Dwi Ariani")</f>
        <v>Ni Kadek Dwi Ariani</v>
      </c>
      <c r="U98" s="285" t="str">
        <f>IFERROR(__xludf.DUMMYFUNCTION("""COMPUTED_VALUE"""),"088266081021")</f>
        <v>088266081021</v>
      </c>
      <c r="V98" s="285" t="str">
        <f>IFERROR(__xludf.DUMMYFUNCTION("""COMPUTED_VALUE"""),"Closing")</f>
        <v>Closing</v>
      </c>
      <c r="W98" s="285" t="str">
        <f>IFERROR(__xludf.DUMMYFUNCTION("""COMPUTED_VALUE"""),"OT Djabal")</f>
        <v>OT Djabal</v>
      </c>
      <c r="X98" s="287">
        <f>IFERROR(__xludf.DUMMYFUNCTION("""COMPUTED_VALUE"""),46171.0)</f>
        <v>46171</v>
      </c>
      <c r="Y98" s="285">
        <f>IFERROR(__xludf.DUMMYFUNCTION("""COMPUTED_VALUE"""),2.0)</f>
        <v>2</v>
      </c>
      <c r="Z98" s="289">
        <f>IFERROR(__xludf.DUMMYFUNCTION("""COMPUTED_VALUE"""),1100000.0)</f>
        <v>1100000</v>
      </c>
      <c r="AA98" s="285" t="str">
        <f>IFERROR(__xludf.DUMMYFUNCTION("""COMPUTED_VALUE"""),"orrderrr")</f>
        <v>orrderrr</v>
      </c>
      <c r="AC98" s="285" t="str">
        <f>IFERROR(__xludf.DUMMYFUNCTION("""COMPUTED_VALUE"""),"2601D111")</f>
        <v>2601D111</v>
      </c>
      <c r="AD98" s="286">
        <f>IFERROR(__xludf.DUMMYFUNCTION("""COMPUTED_VALUE"""),46036.0)</f>
        <v>46036</v>
      </c>
      <c r="AE98" s="285" t="str">
        <f>IFERROR(__xludf.DUMMYFUNCTION("""COMPUTED_VALUE"""),"Widiyanto")</f>
        <v>Widiyanto</v>
      </c>
      <c r="AF98" s="285" t="str">
        <f>IFERROR(__xludf.DUMMYFUNCTION("""COMPUTED_VALUE"""),"081510101828")</f>
        <v>081510101828</v>
      </c>
      <c r="AG98" s="285" t="str">
        <f>IFERROR(__xludf.DUMMYFUNCTION("""COMPUTED_VALUE"""),"Gagal")</f>
        <v>Gagal</v>
      </c>
      <c r="AH98" s="285" t="str">
        <f>IFERROR(__xludf.DUMMYFUNCTION("""COMPUTED_VALUE"""),"custom 4H3M")</f>
        <v>custom 4H3M</v>
      </c>
      <c r="AI98" s="287"/>
      <c r="AJ98" s="285">
        <f>IFERROR(__xludf.DUMMYFUNCTION("""COMPUTED_VALUE"""),12.0)</f>
        <v>12</v>
      </c>
      <c r="AK98" s="289"/>
      <c r="AL98" s="285" t="str">
        <f>IFERROR(__xludf.DUMMYFUNCTION("""COMPUTED_VALUE"""),"overbudget")</f>
        <v>overbudget</v>
      </c>
    </row>
    <row r="99">
      <c r="F99" s="285" t="str">
        <f>IFERROR(__xludf.DUMMYFUNCTION("""COMPUTED_VALUE"""),"2605D164")</f>
        <v>2605D164</v>
      </c>
      <c r="G99" s="286">
        <f>IFERROR(__xludf.DUMMYFUNCTION("""COMPUTED_VALUE"""),46171.0)</f>
        <v>46171</v>
      </c>
      <c r="H99" s="285" t="str">
        <f>IFERROR(__xludf.DUMMYFUNCTION("""COMPUTED_VALUE"""),"Annisa")</f>
        <v>Annisa</v>
      </c>
      <c r="I99" s="285" t="str">
        <f>IFERROR(__xludf.DUMMYFUNCTION("""COMPUTED_VALUE"""),"085710168093")</f>
        <v>085710168093</v>
      </c>
      <c r="J99" s="285" t="str">
        <f>IFERROR(__xludf.DUMMYFUNCTION("""COMPUTED_VALUE"""),"Leads Baru")</f>
        <v>Leads Baru</v>
      </c>
      <c r="K99" s="285" t="str">
        <f>IFERROR(__xludf.DUMMYFUNCTION("""COMPUTED_VALUE"""),"OT GI ")</f>
        <v>OT GI </v>
      </c>
      <c r="L99" s="287">
        <f>IFERROR(__xludf.DUMMYFUNCTION("""COMPUTED_VALUE"""),46195.0)</f>
        <v>46195</v>
      </c>
      <c r="M99" s="288">
        <f>IFERROR(__xludf.DUMMYFUNCTION("""COMPUTED_VALUE"""),2.0)</f>
        <v>2</v>
      </c>
      <c r="N99" s="289"/>
      <c r="O99" s="290" t="str">
        <f>IFERROR(__xludf.DUMMYFUNCTION("""COMPUTED_VALUE"""),"FU 6 Juni")</f>
        <v>FU 6 Juni</v>
      </c>
      <c r="P99" s="320"/>
      <c r="R99" s="285" t="str">
        <f>IFERROR(__xludf.DUMMYFUNCTION("""COMPUTED_VALUE"""),"2605D157")</f>
        <v>2605D157</v>
      </c>
      <c r="S99" s="286">
        <f>IFERROR(__xludf.DUMMYFUNCTION("""COMPUTED_VALUE"""),46170.0)</f>
        <v>46170</v>
      </c>
      <c r="T99" s="285" t="str">
        <f>IFERROR(__xludf.DUMMYFUNCTION("""COMPUTED_VALUE"""),"Zhenhe Fu")</f>
        <v>Zhenhe Fu</v>
      </c>
      <c r="U99" s="285" t="str">
        <f>IFERROR(__xludf.DUMMYFUNCTION("""COMPUTED_VALUE"""),"8615912057370")</f>
        <v>8615912057370</v>
      </c>
      <c r="V99" s="285" t="str">
        <f>IFERROR(__xludf.DUMMYFUNCTION("""COMPUTED_VALUE"""),"Closing")</f>
        <v>Closing</v>
      </c>
      <c r="W99" s="285" t="str">
        <f>IFERROR(__xludf.DUMMYFUNCTION("""COMPUTED_VALUE"""),"OT Ijen ")</f>
        <v>OT Ijen </v>
      </c>
      <c r="X99" s="287">
        <f>IFERROR(__xludf.DUMMYFUNCTION("""COMPUTED_VALUE"""),46172.0)</f>
        <v>46172</v>
      </c>
      <c r="Y99" s="285">
        <f>IFERROR(__xludf.DUMMYFUNCTION("""COMPUTED_VALUE"""),1.0)</f>
        <v>1</v>
      </c>
      <c r="Z99" s="289">
        <f>IFERROR(__xludf.DUMMYFUNCTION("""COMPUTED_VALUE"""),500000.0)</f>
        <v>500000</v>
      </c>
      <c r="AA99" s="285" t="str">
        <f>IFERROR(__xludf.DUMMYFUNCTION("""COMPUTED_VALUE"""),"orderrrr")</f>
        <v>orderrrr</v>
      </c>
      <c r="AC99" s="285" t="str">
        <f>IFERROR(__xludf.DUMMYFUNCTION("""COMPUTED_VALUE"""),"2601D112")</f>
        <v>2601D112</v>
      </c>
      <c r="AD99" s="286">
        <f>IFERROR(__xludf.DUMMYFUNCTION("""COMPUTED_VALUE"""),46037.0)</f>
        <v>46037</v>
      </c>
      <c r="AE99" s="285" t="str">
        <f>IFERROR(__xludf.DUMMYFUNCTION("""COMPUTED_VALUE"""),"Sipidt Citra ")</f>
        <v>Sipidt Citra </v>
      </c>
      <c r="AF99" s="285" t="str">
        <f>IFERROR(__xludf.DUMMYFUNCTION("""COMPUTED_VALUE"""),"081944941910")</f>
        <v>081944941910</v>
      </c>
      <c r="AG99" s="285" t="str">
        <f>IFERROR(__xludf.DUMMYFUNCTION("""COMPUTED_VALUE"""),"Gagal")</f>
        <v>Gagal</v>
      </c>
      <c r="AH99" s="285" t="str">
        <f>IFERROR(__xludf.DUMMYFUNCTION("""COMPUTED_VALUE"""),"Trip djawatan ")</f>
        <v>Trip djawatan </v>
      </c>
      <c r="AI99" s="287"/>
      <c r="AJ99" s="285">
        <f>IFERROR(__xludf.DUMMYFUNCTION("""COMPUTED_VALUE"""),2.0)</f>
        <v>2</v>
      </c>
      <c r="AK99" s="289"/>
      <c r="AL99" s="285" t="str">
        <f>IFERROR(__xludf.DUMMYFUNCTION("""COMPUTED_VALUE"""),"kirim katalog")</f>
        <v>kirim katalog</v>
      </c>
    </row>
    <row r="100">
      <c r="F100" s="285" t="str">
        <f>IFERROR(__xludf.DUMMYFUNCTION("""COMPUTED_VALUE"""),"2605D165 ")</f>
        <v>2605D165 </v>
      </c>
      <c r="G100" s="286">
        <f>IFERROR(__xludf.DUMMYFUNCTION("""COMPUTED_VALUE"""),46171.0)</f>
        <v>46171</v>
      </c>
      <c r="H100" s="285" t="str">
        <f>IFERROR(__xludf.DUMMYFUNCTION("""COMPUTED_VALUE"""),"Stale")</f>
        <v>Stale</v>
      </c>
      <c r="I100" s="285" t="str">
        <f>IFERROR(__xludf.DUMMYFUNCTION("""COMPUTED_VALUE"""),"085134579266")</f>
        <v>085134579266</v>
      </c>
      <c r="J100" s="285" t="str">
        <f>IFERROR(__xludf.DUMMYFUNCTION("""COMPUTED_VALUE"""),"Leads Baru")</f>
        <v>Leads Baru</v>
      </c>
      <c r="K100" s="285" t="str">
        <f>IFERROR(__xludf.DUMMYFUNCTION("""COMPUTED_VALUE"""),"3h2m opsi A")</f>
        <v>3h2m opsi A</v>
      </c>
      <c r="L100" s="287"/>
      <c r="M100" s="288">
        <f>IFERROR(__xludf.DUMMYFUNCTION("""COMPUTED_VALUE"""),2.0)</f>
        <v>2</v>
      </c>
      <c r="N100" s="289"/>
      <c r="O100" s="290" t="str">
        <f>IFERROR(__xludf.DUMMYFUNCTION("""COMPUTED_VALUE"""),"FU 2 Juni")</f>
        <v>FU 2 Juni</v>
      </c>
      <c r="P100" s="320"/>
      <c r="R100" s="285" t="str">
        <f>IFERROR(__xludf.DUMMYFUNCTION("""COMPUTED_VALUE"""),"2605D168")</f>
        <v>2605D168</v>
      </c>
      <c r="S100" s="286">
        <f>IFERROR(__xludf.DUMMYFUNCTION("""COMPUTED_VALUE"""),46172.0)</f>
        <v>46172</v>
      </c>
      <c r="T100" s="285" t="str">
        <f>IFERROR(__xludf.DUMMYFUNCTION("""COMPUTED_VALUE"""),"Asep")</f>
        <v>Asep</v>
      </c>
      <c r="U100" s="285" t="str">
        <f>IFERROR(__xludf.DUMMYFUNCTION("""COMPUTED_VALUE"""),"083192139399")</f>
        <v>083192139399</v>
      </c>
      <c r="V100" s="285" t="str">
        <f>IFERROR(__xludf.DUMMYFUNCTION("""COMPUTED_VALUE"""),"Closing")</f>
        <v>Closing</v>
      </c>
      <c r="W100" s="285" t="str">
        <f>IFERROR(__xludf.DUMMYFUNCTION("""COMPUTED_VALUE"""),"OT MT")</f>
        <v>OT MT</v>
      </c>
      <c r="X100" s="287">
        <f>IFERROR(__xludf.DUMMYFUNCTION("""COMPUTED_VALUE"""),46177.0)</f>
        <v>46177</v>
      </c>
      <c r="Y100" s="285">
        <f>IFERROR(__xludf.DUMMYFUNCTION("""COMPUTED_VALUE"""),2.0)</f>
        <v>2</v>
      </c>
      <c r="Z100" s="289">
        <f>IFERROR(__xludf.DUMMYFUNCTION("""COMPUTED_VALUE"""),800000.0)</f>
        <v>800000</v>
      </c>
      <c r="AA100" s="285" t="str">
        <f>IFERROR(__xludf.DUMMYFUNCTION("""COMPUTED_VALUE"""),"orrderrr")</f>
        <v>orrderrr</v>
      </c>
      <c r="AC100" s="285" t="str">
        <f>IFERROR(__xludf.DUMMYFUNCTION("""COMPUTED_VALUE"""),"2601D113")</f>
        <v>2601D113</v>
      </c>
      <c r="AD100" s="286">
        <f>IFERROR(__xludf.DUMMYFUNCTION("""COMPUTED_VALUE"""),46037.0)</f>
        <v>46037</v>
      </c>
      <c r="AE100" s="285" t="str">
        <f>IFERROR(__xludf.DUMMYFUNCTION("""COMPUTED_VALUE"""),"Elvira catrine ")</f>
        <v>Elvira catrine </v>
      </c>
      <c r="AF100" s="285" t="str">
        <f>IFERROR(__xludf.DUMMYFUNCTION("""COMPUTED_VALUE"""),"082145806568")</f>
        <v>082145806568</v>
      </c>
      <c r="AG100" s="285" t="str">
        <f>IFERROR(__xludf.DUMMYFUNCTION("""COMPUTED_VALUE"""),"Gagal")</f>
        <v>Gagal</v>
      </c>
      <c r="AH100" s="285" t="str">
        <f>IFERROR(__xludf.DUMMYFUNCTION("""COMPUTED_VALUE"""),"Trip baluran ")</f>
        <v>Trip baluran </v>
      </c>
      <c r="AI100" s="287">
        <f>IFERROR(__xludf.DUMMYFUNCTION("""COMPUTED_VALUE"""),46037.0)</f>
        <v>46037</v>
      </c>
      <c r="AJ100" s="285"/>
      <c r="AK100" s="289"/>
      <c r="AL100" s="285" t="str">
        <f>IFERROR(__xludf.DUMMYFUNCTION("""COMPUTED_VALUE"""),"lewat tanggal")</f>
        <v>lewat tanggal</v>
      </c>
    </row>
    <row r="101">
      <c r="F101" s="285" t="str">
        <f>IFERROR(__xludf.DUMMYFUNCTION("""COMPUTED_VALUE"""),"2605D169")</f>
        <v>2605D169</v>
      </c>
      <c r="G101" s="286">
        <f>IFERROR(__xludf.DUMMYFUNCTION("""COMPUTED_VALUE"""),46172.0)</f>
        <v>46172</v>
      </c>
      <c r="H101" s="285" t="str">
        <f>IFERROR(__xludf.DUMMYFUNCTION("""COMPUTED_VALUE"""),"Bagus Budiono ")</f>
        <v>Bagus Budiono </v>
      </c>
      <c r="I101" s="285" t="str">
        <f>IFERROR(__xludf.DUMMYFUNCTION("""COMPUTED_VALUE"""),"08812247507")</f>
        <v>08812247507</v>
      </c>
      <c r="J101" s="285" t="str">
        <f>IFERROR(__xludf.DUMMYFUNCTION("""COMPUTED_VALUE"""),"Leads Baru")</f>
        <v>Leads Baru</v>
      </c>
      <c r="K101" s="285" t="str">
        <f>IFERROR(__xludf.DUMMYFUNCTION("""COMPUTED_VALUE"""),"trip Ijen/Ijen Baluran")</f>
        <v>trip Ijen/Ijen Baluran</v>
      </c>
      <c r="L101" s="287">
        <f>IFERROR(__xludf.DUMMYFUNCTION("""COMPUTED_VALUE"""),46204.0)</f>
        <v>46204</v>
      </c>
      <c r="M101" s="288">
        <f>IFERROR(__xludf.DUMMYFUNCTION("""COMPUTED_VALUE"""),20.0)</f>
        <v>20</v>
      </c>
      <c r="N101" s="289"/>
      <c r="O101" s="290"/>
      <c r="P101" s="320"/>
      <c r="R101" s="285" t="str">
        <f>IFERROR(__xludf.DUMMYFUNCTION("""COMPUTED_VALUE"""),"2605D170")</f>
        <v>2605D170</v>
      </c>
      <c r="S101" s="286">
        <f>IFERROR(__xludf.DUMMYFUNCTION("""COMPUTED_VALUE"""),46172.0)</f>
        <v>46172</v>
      </c>
      <c r="T101" s="285" t="str">
        <f>IFERROR(__xludf.DUMMYFUNCTION("""COMPUTED_VALUE"""),"Catur")</f>
        <v>Catur</v>
      </c>
      <c r="U101" s="285" t="str">
        <f>IFERROR(__xludf.DUMMYFUNCTION("""COMPUTED_VALUE"""),"085282923654")</f>
        <v>085282923654</v>
      </c>
      <c r="V101" s="285" t="str">
        <f>IFERROR(__xludf.DUMMYFUNCTION("""COMPUTED_VALUE"""),"Closing")</f>
        <v>Closing</v>
      </c>
      <c r="W101" s="285" t="str">
        <f>IFERROR(__xludf.DUMMYFUNCTION("""COMPUTED_VALUE"""),"OT ijen")</f>
        <v>OT ijen</v>
      </c>
      <c r="X101" s="287">
        <f>IFERROR(__xludf.DUMMYFUNCTION("""COMPUTED_VALUE"""),46183.0)</f>
        <v>46183</v>
      </c>
      <c r="Y101" s="285">
        <f>IFERROR(__xludf.DUMMYFUNCTION("""COMPUTED_VALUE"""),2.0)</f>
        <v>2</v>
      </c>
      <c r="Z101" s="289">
        <f>IFERROR(__xludf.DUMMYFUNCTION("""COMPUTED_VALUE"""),500000.0)</f>
        <v>500000</v>
      </c>
      <c r="AA101" s="285" t="str">
        <f>IFERROR(__xludf.DUMMYFUNCTION("""COMPUTED_VALUE"""),"orderrrrr")</f>
        <v>orderrrrr</v>
      </c>
      <c r="AC101" s="285" t="str">
        <f>IFERROR(__xludf.DUMMYFUNCTION("""COMPUTED_VALUE"""),"2601D114")</f>
        <v>2601D114</v>
      </c>
      <c r="AD101" s="286">
        <f>IFERROR(__xludf.DUMMYFUNCTION("""COMPUTED_VALUE"""),46037.0)</f>
        <v>46037</v>
      </c>
      <c r="AE101" s="285" t="str">
        <f>IFERROR(__xludf.DUMMYFUNCTION("""COMPUTED_VALUE"""),"Balqis Bimbel putra")</f>
        <v>Balqis Bimbel putra</v>
      </c>
      <c r="AF101" s="285" t="str">
        <f>IFERROR(__xludf.DUMMYFUNCTION("""COMPUTED_VALUE"""),"082234884236")</f>
        <v>082234884236</v>
      </c>
      <c r="AG101" s="285" t="str">
        <f>IFERROR(__xludf.DUMMYFUNCTION("""COMPUTED_VALUE"""),"Gagal")</f>
        <v>Gagal</v>
      </c>
      <c r="AH101" s="285"/>
      <c r="AI101" s="287"/>
      <c r="AJ101" s="285"/>
      <c r="AK101" s="289"/>
      <c r="AL101" s="285" t="str">
        <f>IFERROR(__xludf.DUMMYFUNCTION("""COMPUTED_VALUE"""),"tanya harga perorangan ")</f>
        <v>tanya harga perorangan </v>
      </c>
    </row>
    <row r="102">
      <c r="F102" s="285" t="str">
        <f>IFERROR(__xludf.DUMMYFUNCTION("""COMPUTED_VALUE"""),"2605D171")</f>
        <v>2605D171</v>
      </c>
      <c r="G102" s="286">
        <f>IFERROR(__xludf.DUMMYFUNCTION("""COMPUTED_VALUE"""),46173.0)</f>
        <v>46173</v>
      </c>
      <c r="H102" s="285" t="str">
        <f>IFERROR(__xludf.DUMMYFUNCTION("""COMPUTED_VALUE"""),"Dj")</f>
        <v>Dj</v>
      </c>
      <c r="I102" s="285" t="str">
        <f>IFERROR(__xludf.DUMMYFUNCTION("""COMPUTED_VALUE"""),"085212345656")</f>
        <v>085212345656</v>
      </c>
      <c r="J102" s="285" t="str">
        <f>IFERROR(__xludf.DUMMYFUNCTION("""COMPUTED_VALUE"""),"Leads Baru")</f>
        <v>Leads Baru</v>
      </c>
      <c r="K102" s="285" t="str">
        <f>IFERROR(__xludf.DUMMYFUNCTION("""COMPUTED_VALUE"""),"3h2m ")</f>
        <v>3h2m </v>
      </c>
      <c r="L102" s="287"/>
      <c r="M102" s="288">
        <f>IFERROR(__xludf.DUMMYFUNCTION("""COMPUTED_VALUE"""),2.0)</f>
        <v>2</v>
      </c>
      <c r="N102" s="289"/>
      <c r="O102" s="290" t="str">
        <f>IFERROR(__xludf.DUMMYFUNCTION("""COMPUTED_VALUE"""),"diskusi duluu, FU 6 Juni ")</f>
        <v>diskusi duluu, FU 6 Juni </v>
      </c>
      <c r="P102" s="320"/>
      <c r="R102" s="285" t="str">
        <f>IFERROR(__xludf.DUMMYFUNCTION("""COMPUTED_VALUE"""),"2605D173")</f>
        <v>2605D173</v>
      </c>
      <c r="S102" s="286">
        <f>IFERROR(__xludf.DUMMYFUNCTION("""COMPUTED_VALUE"""),46173.0)</f>
        <v>46173</v>
      </c>
      <c r="T102" s="285" t="str">
        <f>IFERROR(__xludf.DUMMYFUNCTION("""COMPUTED_VALUE"""),"Irfandi")</f>
        <v>Irfandi</v>
      </c>
      <c r="U102" s="285" t="str">
        <f>IFERROR(__xludf.DUMMYFUNCTION("""COMPUTED_VALUE"""),"081233693806")</f>
        <v>081233693806</v>
      </c>
      <c r="V102" s="285" t="str">
        <f>IFERROR(__xludf.DUMMYFUNCTION("""COMPUTED_VALUE"""),"Closing")</f>
        <v>Closing</v>
      </c>
      <c r="W102" s="285" t="str">
        <f>IFERROR(__xludf.DUMMYFUNCTION("""COMPUTED_VALUE"""),"OT 3h2m")</f>
        <v>OT 3h2m</v>
      </c>
      <c r="X102" s="287">
        <f>IFERROR(__xludf.DUMMYFUNCTION("""COMPUTED_VALUE"""),46182.0)</f>
        <v>46182</v>
      </c>
      <c r="Y102" s="285">
        <f>IFERROR(__xludf.DUMMYFUNCTION("""COMPUTED_VALUE"""),2.0)</f>
        <v>2</v>
      </c>
      <c r="Z102" s="289">
        <f>IFERROR(__xludf.DUMMYFUNCTION("""COMPUTED_VALUE"""),3200000.0)</f>
        <v>3200000</v>
      </c>
      <c r="AA102" s="285" t="str">
        <f>IFERROR(__xludf.DUMMYFUNCTION("""COMPUTED_VALUE"""),"Orrdeerrr")</f>
        <v>Orrdeerrr</v>
      </c>
      <c r="AC102" s="285" t="str">
        <f>IFERROR(__xludf.DUMMYFUNCTION("""COMPUTED_VALUE"""),"2601D115")</f>
        <v>2601D115</v>
      </c>
      <c r="AD102" s="286">
        <f>IFERROR(__xludf.DUMMYFUNCTION("""COMPUTED_VALUE"""),46037.0)</f>
        <v>46037</v>
      </c>
      <c r="AE102" s="285" t="str">
        <f>IFERROR(__xludf.DUMMYFUNCTION("""COMPUTED_VALUE"""),"Nuansa utama tour")</f>
        <v>Nuansa utama tour</v>
      </c>
      <c r="AF102" s="285" t="str">
        <f>IFERROR(__xludf.DUMMYFUNCTION("""COMPUTED_VALUE"""),"082226326555")</f>
        <v>082226326555</v>
      </c>
      <c r="AG102" s="285" t="str">
        <f>IFERROR(__xludf.DUMMYFUNCTION("""COMPUTED_VALUE"""),"Gagal")</f>
        <v>Gagal</v>
      </c>
      <c r="AH102" s="285"/>
      <c r="AI102" s="287"/>
      <c r="AJ102" s="285"/>
      <c r="AK102" s="289"/>
      <c r="AL102" s="285" t="str">
        <f>IFERROR(__xludf.DUMMYFUNCTION("""COMPUTED_VALUE"""),"masih di Bandung, tidak ada jawaban")</f>
        <v>masih di Bandung, tidak ada jawaban</v>
      </c>
    </row>
    <row r="103">
      <c r="F103" s="285" t="str">
        <f>IFERROR(__xludf.DUMMYFUNCTION("""COMPUTED_VALUE"""),"2605D172")</f>
        <v>2605D172</v>
      </c>
      <c r="G103" s="286">
        <f>IFERROR(__xludf.DUMMYFUNCTION("""COMPUTED_VALUE"""),46173.0)</f>
        <v>46173</v>
      </c>
      <c r="H103" s="285" t="str">
        <f>IFERROR(__xludf.DUMMYFUNCTION("""COMPUTED_VALUE"""),"Ida  ")</f>
        <v>Ida  </v>
      </c>
      <c r="I103" s="285" t="str">
        <f>IFERROR(__xludf.DUMMYFUNCTION("""COMPUTED_VALUE"""),"08170442004")</f>
        <v>08170442004</v>
      </c>
      <c r="J103" s="285" t="str">
        <f>IFERROR(__xludf.DUMMYFUNCTION("""COMPUTED_VALUE"""),"Leads Baru")</f>
        <v>Leads Baru</v>
      </c>
      <c r="K103" s="285" t="str">
        <f>IFERROR(__xludf.DUMMYFUNCTION("""COMPUTED_VALUE"""),"3h2m custome")</f>
        <v>3h2m custome</v>
      </c>
      <c r="L103" s="287"/>
      <c r="M103" s="288">
        <f>IFERROR(__xludf.DUMMYFUNCTION("""COMPUTED_VALUE"""),20.0)</f>
        <v>20</v>
      </c>
      <c r="N103" s="289"/>
      <c r="O103" s="290" t="str">
        <f>IFERROR(__xludf.DUMMYFUNCTION("""COMPUTED_VALUE"""),"kirim penawaran, FU 15 Juni")</f>
        <v>kirim penawaran, FU 15 Juni</v>
      </c>
      <c r="P103" s="320"/>
      <c r="R103" s="285" t="str">
        <f>IFERROR(__xludf.DUMMYFUNCTION("""COMPUTED_VALUE"""),"2606D005")</f>
        <v>2606D005</v>
      </c>
      <c r="S103" s="286">
        <f>IFERROR(__xludf.DUMMYFUNCTION("""COMPUTED_VALUE"""),46175.0)</f>
        <v>46175</v>
      </c>
      <c r="T103" s="285" t="str">
        <f>IFERROR(__xludf.DUMMYFUNCTION("""COMPUTED_VALUE"""),"Citra Rana")</f>
        <v>Citra Rana</v>
      </c>
      <c r="U103" s="285" t="str">
        <f>IFERROR(__xludf.DUMMYFUNCTION("""COMPUTED_VALUE"""),"081217457637")</f>
        <v>081217457637</v>
      </c>
      <c r="V103" s="285" t="str">
        <f>IFERROR(__xludf.DUMMYFUNCTION("""COMPUTED_VALUE"""),"Closing")</f>
        <v>Closing</v>
      </c>
      <c r="W103" s="285" t="str">
        <f>IFERROR(__xludf.DUMMYFUNCTION("""COMPUTED_VALUE"""),"ot menjangan tabuhan")</f>
        <v>ot menjangan tabuhan</v>
      </c>
      <c r="X103" s="287">
        <f>IFERROR(__xludf.DUMMYFUNCTION("""COMPUTED_VALUE"""),46193.0)</f>
        <v>46193</v>
      </c>
      <c r="Y103" s="285">
        <f>IFERROR(__xludf.DUMMYFUNCTION("""COMPUTED_VALUE"""),7.0)</f>
        <v>7</v>
      </c>
      <c r="Z103" s="289">
        <f>IFERROR(__xludf.DUMMYFUNCTION("""COMPUTED_VALUE"""),1925000.0)</f>
        <v>1925000</v>
      </c>
      <c r="AA103" s="285" t="str">
        <f>IFERROR(__xludf.DUMMYFUNCTION("""COMPUTED_VALUE"""),"orrderrrr")</f>
        <v>orrderrrr</v>
      </c>
      <c r="AC103" s="285" t="str">
        <f>IFERROR(__xludf.DUMMYFUNCTION("""COMPUTED_VALUE"""),"2601D116")</f>
        <v>2601D116</v>
      </c>
      <c r="AD103" s="286">
        <f>IFERROR(__xludf.DUMMYFUNCTION("""COMPUTED_VALUE"""),46037.0)</f>
        <v>46037</v>
      </c>
      <c r="AE103" s="285" t="str">
        <f>IFERROR(__xludf.DUMMYFUNCTION("""COMPUTED_VALUE"""),"Iqbal")</f>
        <v>Iqbal</v>
      </c>
      <c r="AF103" s="285" t="str">
        <f>IFERROR(__xludf.DUMMYFUNCTION("""COMPUTED_VALUE"""),"081253002311")</f>
        <v>081253002311</v>
      </c>
      <c r="AG103" s="285" t="str">
        <f>IFERROR(__xludf.DUMMYFUNCTION("""COMPUTED_VALUE"""),"Gagal")</f>
        <v>Gagal</v>
      </c>
      <c r="AH103" s="285" t="str">
        <f>IFERROR(__xludf.DUMMYFUNCTION("""COMPUTED_VALUE"""),"3H2M")</f>
        <v>3H2M</v>
      </c>
      <c r="AI103" s="287"/>
      <c r="AJ103" s="285"/>
      <c r="AK103" s="289"/>
      <c r="AL103" s="285" t="str">
        <f>IFERROR(__xludf.DUMMYFUNCTION("""COMPUTED_VALUE"""),"lewat tanggal trip")</f>
        <v>lewat tanggal trip</v>
      </c>
    </row>
    <row r="104">
      <c r="F104" s="285" t="str">
        <f>IFERROR(__xludf.DUMMYFUNCTION("""COMPUTED_VALUE"""),"2605D175")</f>
        <v>2605D175</v>
      </c>
      <c r="G104" s="286">
        <f>IFERROR(__xludf.DUMMYFUNCTION("""COMPUTED_VALUE"""),46173.0)</f>
        <v>46173</v>
      </c>
      <c r="H104" s="285" t="str">
        <f>IFERROR(__xludf.DUMMYFUNCTION("""COMPUTED_VALUE"""),"Arya Fauzi")</f>
        <v>Arya Fauzi</v>
      </c>
      <c r="I104" s="285" t="str">
        <f>IFERROR(__xludf.DUMMYFUNCTION("""COMPUTED_VALUE"""),"089636081671")</f>
        <v>089636081671</v>
      </c>
      <c r="J104" s="285" t="str">
        <f>IFERROR(__xludf.DUMMYFUNCTION("""COMPUTED_VALUE"""),"Leads Baru")</f>
        <v>Leads Baru</v>
      </c>
      <c r="K104" s="285" t="str">
        <f>IFERROR(__xludf.DUMMYFUNCTION("""COMPUTED_VALUE"""),"3h2m opsi A")</f>
        <v>3h2m opsi A</v>
      </c>
      <c r="L104" s="287"/>
      <c r="M104" s="288">
        <f>IFERROR(__xludf.DUMMYFUNCTION("""COMPUTED_VALUE"""),2.0)</f>
        <v>2</v>
      </c>
      <c r="N104" s="289"/>
      <c r="O104" s="290" t="str">
        <f>IFERROR(__xludf.DUMMYFUNCTION("""COMPUTED_VALUE"""),"di infokan kembali, FU 4 Juni")</f>
        <v>di infokan kembali, FU 4 Juni</v>
      </c>
      <c r="P104" s="320"/>
      <c r="R104" s="285" t="str">
        <f>IFERROR(__xludf.DUMMYFUNCTION("""COMPUTED_VALUE"""),"2606D023")</f>
        <v>2606D023</v>
      </c>
      <c r="S104" s="286">
        <f>IFERROR(__xludf.DUMMYFUNCTION("""COMPUTED_VALUE"""),46178.0)</f>
        <v>46178</v>
      </c>
      <c r="T104" s="285" t="str">
        <f>IFERROR(__xludf.DUMMYFUNCTION("""COMPUTED_VALUE"""),"Nur Apriliani")</f>
        <v>Nur Apriliani</v>
      </c>
      <c r="U104" s="285" t="str">
        <f>IFERROR(__xludf.DUMMYFUNCTION("""COMPUTED_VALUE"""),"08992824307")</f>
        <v>08992824307</v>
      </c>
      <c r="V104" s="285" t="str">
        <f>IFERROR(__xludf.DUMMYFUNCTION("""COMPUTED_VALUE"""),"Closing")</f>
        <v>Closing</v>
      </c>
      <c r="W104" s="285" t="str">
        <f>IFERROR(__xludf.DUMMYFUNCTION("""COMPUTED_VALUE"""),"OT Ijen")</f>
        <v>OT Ijen</v>
      </c>
      <c r="X104" s="287">
        <f>IFERROR(__xludf.DUMMYFUNCTION("""COMPUTED_VALUE"""),46179.0)</f>
        <v>46179</v>
      </c>
      <c r="Y104" s="285">
        <f>IFERROR(__xludf.DUMMYFUNCTION("""COMPUTED_VALUE"""),1.0)</f>
        <v>1</v>
      </c>
      <c r="Z104" s="289">
        <f>IFERROR(__xludf.DUMMYFUNCTION("""COMPUTED_VALUE"""),250000.0)</f>
        <v>250000</v>
      </c>
      <c r="AA104" s="285" t="str">
        <f>IFERROR(__xludf.DUMMYFUNCTION("""COMPUTED_VALUE"""),"ORDEERRR")</f>
        <v>ORDEERRR</v>
      </c>
      <c r="AC104" s="285" t="str">
        <f>IFERROR(__xludf.DUMMYFUNCTION("""COMPUTED_VALUE"""),"2601D117")</f>
        <v>2601D117</v>
      </c>
      <c r="AD104" s="286">
        <f>IFERROR(__xludf.DUMMYFUNCTION("""COMPUTED_VALUE"""),46037.0)</f>
        <v>46037</v>
      </c>
      <c r="AE104" s="285" t="str">
        <f>IFERROR(__xludf.DUMMYFUNCTION("""COMPUTED_VALUE"""),"Meeniik")</f>
        <v>Meeniik</v>
      </c>
      <c r="AF104" s="285" t="str">
        <f>IFERROR(__xludf.DUMMYFUNCTION("""COMPUTED_VALUE"""),"081231865687")</f>
        <v>081231865687</v>
      </c>
      <c r="AG104" s="285" t="str">
        <f>IFERROR(__xludf.DUMMYFUNCTION("""COMPUTED_VALUE"""),"Gagal")</f>
        <v>Gagal</v>
      </c>
      <c r="AH104" s="285" t="str">
        <f>IFERROR(__xludf.DUMMYFUNCTION("""COMPUTED_VALUE"""),"private trip")</f>
        <v>private trip</v>
      </c>
      <c r="AI104" s="287"/>
      <c r="AJ104" s="285"/>
      <c r="AK104" s="289"/>
      <c r="AL104" s="285" t="str">
        <f>IFERROR(__xludf.DUMMYFUNCTION("""COMPUTED_VALUE"""),"tanya tanya ")</f>
        <v>tanya tanya </v>
      </c>
    </row>
    <row r="105">
      <c r="F105" s="285" t="str">
        <f>IFERROR(__xludf.DUMMYFUNCTION("""COMPUTED_VALUE"""),"2606D002")</f>
        <v>2606D002</v>
      </c>
      <c r="G105" s="286">
        <f>IFERROR(__xludf.DUMMYFUNCTION("""COMPUTED_VALUE"""),46174.0)</f>
        <v>46174</v>
      </c>
      <c r="H105" s="285" t="str">
        <f>IFERROR(__xludf.DUMMYFUNCTION("""COMPUTED_VALUE"""),"Devy ")</f>
        <v>Devy </v>
      </c>
      <c r="I105" s="285" t="str">
        <f>IFERROR(__xludf.DUMMYFUNCTION("""COMPUTED_VALUE"""),"081299056000")</f>
        <v>081299056000</v>
      </c>
      <c r="J105" s="285" t="str">
        <f>IFERROR(__xludf.DUMMYFUNCTION("""COMPUTED_VALUE"""),"Leads Baru")</f>
        <v>Leads Baru</v>
      </c>
      <c r="K105" s="285" t="str">
        <f>IFERROR(__xludf.DUMMYFUNCTION("""COMPUTED_VALUE"""),"2h1m ")</f>
        <v>2h1m </v>
      </c>
      <c r="L105" s="287"/>
      <c r="M105" s="288">
        <f>IFERROR(__xludf.DUMMYFUNCTION("""COMPUTED_VALUE"""),2.0)</f>
        <v>2</v>
      </c>
      <c r="N105" s="289"/>
      <c r="O105" s="290" t="str">
        <f>IFERROR(__xludf.DUMMYFUNCTION("""COMPUTED_VALUE"""),"FU 8 Juni")</f>
        <v>FU 8 Juni</v>
      </c>
      <c r="P105" s="320"/>
      <c r="R105" s="285" t="str">
        <f>IFERROR(__xludf.DUMMYFUNCTION("""COMPUTED_VALUE"""),"2606D024")</f>
        <v>2606D024</v>
      </c>
      <c r="S105" s="286">
        <f>IFERROR(__xludf.DUMMYFUNCTION("""COMPUTED_VALUE"""),46178.0)</f>
        <v>46178</v>
      </c>
      <c r="T105" s="285" t="str">
        <f>IFERROR(__xludf.DUMMYFUNCTION("""COMPUTED_VALUE"""),"Robin")</f>
        <v>Robin</v>
      </c>
      <c r="U105" s="285" t="str">
        <f>IFERROR(__xludf.DUMMYFUNCTION("""COMPUTED_VALUE"""),"08128048305")</f>
        <v>08128048305</v>
      </c>
      <c r="V105" s="285" t="str">
        <f>IFERROR(__xludf.DUMMYFUNCTION("""COMPUTED_VALUE"""),"Closing")</f>
        <v>Closing</v>
      </c>
      <c r="W105" s="285" t="str">
        <f>IFERROR(__xludf.DUMMYFUNCTION("""COMPUTED_VALUE"""),"3h2m custome")</f>
        <v>3h2m custome</v>
      </c>
      <c r="X105" s="287">
        <f>IFERROR(__xludf.DUMMYFUNCTION("""COMPUTED_VALUE"""),46186.0)</f>
        <v>46186</v>
      </c>
      <c r="Y105" s="285">
        <f>IFERROR(__xludf.DUMMYFUNCTION("""COMPUTED_VALUE"""),3.0)</f>
        <v>3</v>
      </c>
      <c r="Z105" s="289">
        <f>IFERROR(__xludf.DUMMYFUNCTION("""COMPUTED_VALUE"""),6825000.0)</f>
        <v>6825000</v>
      </c>
      <c r="AA105" s="285" t="str">
        <f>IFERROR(__xludf.DUMMYFUNCTION("""COMPUTED_VALUE"""),"ORDEERRR")</f>
        <v>ORDEERRR</v>
      </c>
      <c r="AC105" s="285" t="str">
        <f>IFERROR(__xludf.DUMMYFUNCTION("""COMPUTED_VALUE"""),"2601D119")</f>
        <v>2601D119</v>
      </c>
      <c r="AD105" s="286">
        <f>IFERROR(__xludf.DUMMYFUNCTION("""COMPUTED_VALUE"""),46037.0)</f>
        <v>46037</v>
      </c>
      <c r="AE105" s="285" t="str">
        <f>IFERROR(__xludf.DUMMYFUNCTION("""COMPUTED_VALUE"""),"Achgalih")</f>
        <v>Achgalih</v>
      </c>
      <c r="AF105" s="285" t="str">
        <f>IFERROR(__xludf.DUMMYFUNCTION("""COMPUTED_VALUE"""),"082115142008")</f>
        <v>082115142008</v>
      </c>
      <c r="AG105" s="285" t="str">
        <f>IFERROR(__xludf.DUMMYFUNCTION("""COMPUTED_VALUE"""),"Gagal")</f>
        <v>Gagal</v>
      </c>
      <c r="AH105" s="285" t="str">
        <f>IFERROR(__xludf.DUMMYFUNCTION("""COMPUTED_VALUE"""),"Trip 1 day ")</f>
        <v>Trip 1 day </v>
      </c>
      <c r="AI105" s="287"/>
      <c r="AJ105" s="285">
        <f>IFERROR(__xludf.DUMMYFUNCTION("""COMPUTED_VALUE"""),2.0)</f>
        <v>2</v>
      </c>
      <c r="AK105" s="289"/>
      <c r="AL105" s="285" t="str">
        <f>IFERROR(__xludf.DUMMYFUNCTION("""COMPUTED_VALUE"""),"sudah FU tgl17")</f>
        <v>sudah FU tgl17</v>
      </c>
    </row>
    <row r="106">
      <c r="F106" s="285" t="str">
        <f>IFERROR(__xludf.DUMMYFUNCTION("""COMPUTED_VALUE"""),"2606D006")</f>
        <v>2606D006</v>
      </c>
      <c r="G106" s="286">
        <f>IFERROR(__xludf.DUMMYFUNCTION("""COMPUTED_VALUE"""),46175.0)</f>
        <v>46175</v>
      </c>
      <c r="H106" s="285" t="str">
        <f>IFERROR(__xludf.DUMMYFUNCTION("""COMPUTED_VALUE"""),"Eko Suprobo")</f>
        <v>Eko Suprobo</v>
      </c>
      <c r="I106" s="285" t="str">
        <f>IFERROR(__xludf.DUMMYFUNCTION("""COMPUTED_VALUE"""),"085727609064")</f>
        <v>085727609064</v>
      </c>
      <c r="J106" s="285" t="str">
        <f>IFERROR(__xludf.DUMMYFUNCTION("""COMPUTED_VALUE"""),"Leads Baru")</f>
        <v>Leads Baru</v>
      </c>
      <c r="K106" s="285" t="str">
        <f>IFERROR(__xludf.DUMMYFUNCTION("""COMPUTED_VALUE"""),"1 day trip")</f>
        <v>1 day trip</v>
      </c>
      <c r="L106" s="287"/>
      <c r="M106" s="288"/>
      <c r="N106" s="289"/>
      <c r="O106" s="290" t="str">
        <f>IFERROR(__xludf.DUMMYFUNCTION("""COMPUTED_VALUE"""),"masih nentuin tripnya dan tglnya, FU 10 Juni")</f>
        <v>masih nentuin tripnya dan tglnya, FU 10 Juni</v>
      </c>
      <c r="P106" s="320"/>
      <c r="R106" s="285" t="str">
        <f>IFERROR(__xludf.DUMMYFUNCTION("""COMPUTED_VALUE"""),"2606D025")</f>
        <v>2606D025</v>
      </c>
      <c r="S106" s="286">
        <f>IFERROR(__xludf.DUMMYFUNCTION("""COMPUTED_VALUE"""),46178.0)</f>
        <v>46178</v>
      </c>
      <c r="T106" s="285" t="str">
        <f>IFERROR(__xludf.DUMMYFUNCTION("""COMPUTED_VALUE"""),"Joko Widodo")</f>
        <v>Joko Widodo</v>
      </c>
      <c r="U106" s="285" t="str">
        <f>IFERROR(__xludf.DUMMYFUNCTION("""COMPUTED_VALUE"""),"082146152357")</f>
        <v>082146152357</v>
      </c>
      <c r="V106" s="285" t="str">
        <f>IFERROR(__xludf.DUMMYFUNCTION("""COMPUTED_VALUE"""),"Closing")</f>
        <v>Closing</v>
      </c>
      <c r="W106" s="285" t="str">
        <f>IFERROR(__xludf.DUMMYFUNCTION("""COMPUTED_VALUE"""),"PT Djabal")</f>
        <v>PT Djabal</v>
      </c>
      <c r="X106" s="287">
        <f>IFERROR(__xludf.DUMMYFUNCTION("""COMPUTED_VALUE"""),46180.0)</f>
        <v>46180</v>
      </c>
      <c r="Y106" s="285">
        <f>IFERROR(__xludf.DUMMYFUNCTION("""COMPUTED_VALUE"""),3.0)</f>
        <v>3</v>
      </c>
      <c r="Z106" s="289">
        <f>IFERROR(__xludf.DUMMYFUNCTION("""COMPUTED_VALUE"""),1875000.0)</f>
        <v>1875000</v>
      </c>
      <c r="AA106" s="285" t="str">
        <f>IFERROR(__xludf.DUMMYFUNCTION("""COMPUTED_VALUE"""),"ORDEERRR")</f>
        <v>ORDEERRR</v>
      </c>
      <c r="AC106" s="285" t="str">
        <f>IFERROR(__xludf.DUMMYFUNCTION("""COMPUTED_VALUE"""),"2601D120")</f>
        <v>2601D120</v>
      </c>
      <c r="AD106" s="286">
        <f>IFERROR(__xludf.DUMMYFUNCTION("""COMPUTED_VALUE"""),46037.0)</f>
        <v>46037</v>
      </c>
      <c r="AE106" s="285" t="str">
        <f>IFERROR(__xludf.DUMMYFUNCTION("""COMPUTED_VALUE"""),"Kfajarn ")</f>
        <v>Kfajarn </v>
      </c>
      <c r="AF106" s="285" t="str">
        <f>IFERROR(__xludf.DUMMYFUNCTION("""COMPUTED_VALUE"""),"0811262567")</f>
        <v>0811262567</v>
      </c>
      <c r="AG106" s="285" t="str">
        <f>IFERROR(__xludf.DUMMYFUNCTION("""COMPUTED_VALUE"""),"Gagal")</f>
        <v>Gagal</v>
      </c>
      <c r="AH106" s="285"/>
      <c r="AI106" s="287"/>
      <c r="AJ106" s="285"/>
      <c r="AK106" s="289"/>
      <c r="AL106" s="285" t="str">
        <f>IFERROR(__xludf.DUMMYFUNCTION("""COMPUTED_VALUE"""),"tanya tanya snorkling ")</f>
        <v>tanya tanya snorkling </v>
      </c>
    </row>
    <row r="107">
      <c r="F107" s="285" t="str">
        <f>IFERROR(__xludf.DUMMYFUNCTION("""COMPUTED_VALUE"""),"2606D008")</f>
        <v>2606D008</v>
      </c>
      <c r="G107" s="286">
        <f>IFERROR(__xludf.DUMMYFUNCTION("""COMPUTED_VALUE"""),46175.0)</f>
        <v>46175</v>
      </c>
      <c r="H107" s="285" t="str">
        <f>IFERROR(__xludf.DUMMYFUNCTION("""COMPUTED_VALUE"""),"Raisa")</f>
        <v>Raisa</v>
      </c>
      <c r="I107" s="285" t="str">
        <f>IFERROR(__xludf.DUMMYFUNCTION("""COMPUTED_VALUE"""),"081215551663")</f>
        <v>081215551663</v>
      </c>
      <c r="J107" s="285" t="str">
        <f>IFERROR(__xludf.DUMMYFUNCTION("""COMPUTED_VALUE"""),"Leads Baru")</f>
        <v>Leads Baru</v>
      </c>
      <c r="K107" s="285"/>
      <c r="L107" s="287"/>
      <c r="M107" s="288"/>
      <c r="N107" s="289"/>
      <c r="O107" s="290" t="str">
        <f>IFERROR(__xludf.DUMMYFUNCTION("""COMPUTED_VALUE"""),"baru menyapaa aja, FU 10 Juni")</f>
        <v>baru menyapaa aja, FU 10 Juni</v>
      </c>
      <c r="P107" s="320"/>
      <c r="R107" s="285" t="str">
        <f>IFERROR(__xludf.DUMMYFUNCTION("""COMPUTED_VALUE"""),"2606D026")</f>
        <v>2606D026</v>
      </c>
      <c r="S107" s="286">
        <f>IFERROR(__xludf.DUMMYFUNCTION("""COMPUTED_VALUE"""),46178.0)</f>
        <v>46178</v>
      </c>
      <c r="T107" s="285" t="str">
        <f>IFERROR(__xludf.DUMMYFUNCTION("""COMPUTED_VALUE"""),"Leisny")</f>
        <v>Leisny</v>
      </c>
      <c r="U107" s="285" t="str">
        <f>IFERROR(__xludf.DUMMYFUNCTION("""COMPUTED_VALUE"""),"085891350910")</f>
        <v>085891350910</v>
      </c>
      <c r="V107" s="285" t="str">
        <f>IFERROR(__xludf.DUMMYFUNCTION("""COMPUTED_VALUE"""),"Closing")</f>
        <v>Closing</v>
      </c>
      <c r="W107" s="285" t="str">
        <f>IFERROR(__xludf.DUMMYFUNCTION("""COMPUTED_VALUE"""),"PT MT")</f>
        <v>PT MT</v>
      </c>
      <c r="X107" s="287">
        <f>IFERROR(__xludf.DUMMYFUNCTION("""COMPUTED_VALUE"""),46201.0)</f>
        <v>46201</v>
      </c>
      <c r="Y107" s="285">
        <f>IFERROR(__xludf.DUMMYFUNCTION("""COMPUTED_VALUE"""),4.0)</f>
        <v>4</v>
      </c>
      <c r="Z107" s="289">
        <f>IFERROR(__xludf.DUMMYFUNCTION("""COMPUTED_VALUE"""),2000000.0)</f>
        <v>2000000</v>
      </c>
      <c r="AA107" s="285" t="str">
        <f>IFERROR(__xludf.DUMMYFUNCTION("""COMPUTED_VALUE"""),"ORDEERRR")</f>
        <v>ORDEERRR</v>
      </c>
      <c r="AC107" s="285" t="str">
        <f>IFERROR(__xludf.DUMMYFUNCTION("""COMPUTED_VALUE"""),"2601D122")</f>
        <v>2601D122</v>
      </c>
      <c r="AD107" s="286">
        <f>IFERROR(__xludf.DUMMYFUNCTION("""COMPUTED_VALUE"""),46038.0)</f>
        <v>46038</v>
      </c>
      <c r="AE107" s="285" t="str">
        <f>IFERROR(__xludf.DUMMYFUNCTION("""COMPUTED_VALUE"""),"Amelia wijayati")</f>
        <v>Amelia wijayati</v>
      </c>
      <c r="AF107" s="285" t="str">
        <f>IFERROR(__xludf.DUMMYFUNCTION("""COMPUTED_VALUE"""),"082226189494")</f>
        <v>082226189494</v>
      </c>
      <c r="AG107" s="285" t="str">
        <f>IFERROR(__xludf.DUMMYFUNCTION("""COMPUTED_VALUE"""),"Gagal")</f>
        <v>Gagal</v>
      </c>
      <c r="AH107" s="285"/>
      <c r="AI107" s="287"/>
      <c r="AJ107" s="285"/>
      <c r="AK107" s="289"/>
      <c r="AL107" s="285" t="str">
        <f>IFERROR(__xludf.DUMMYFUNCTION("""COMPUTED_VALUE"""),"tanya harga perpax")</f>
        <v>tanya harga perpax</v>
      </c>
    </row>
    <row r="108">
      <c r="F108" s="285" t="str">
        <f>IFERROR(__xludf.DUMMYFUNCTION("""COMPUTED_VALUE"""),"2606D009")</f>
        <v>2606D009</v>
      </c>
      <c r="G108" s="286">
        <f>IFERROR(__xludf.DUMMYFUNCTION("""COMPUTED_VALUE"""),46175.0)</f>
        <v>46175</v>
      </c>
      <c r="H108" s="285" t="str">
        <f>IFERROR(__xludf.DUMMYFUNCTION("""COMPUTED_VALUE"""),"Kannika Dee")</f>
        <v>Kannika Dee</v>
      </c>
      <c r="I108" s="285" t="str">
        <f>IFERROR(__xludf.DUMMYFUNCTION("""COMPUTED_VALUE"""),"08113760088")</f>
        <v>08113760088</v>
      </c>
      <c r="J108" s="285" t="str">
        <f>IFERROR(__xludf.DUMMYFUNCTION("""COMPUTED_VALUE"""),"Leads Baru")</f>
        <v>Leads Baru</v>
      </c>
      <c r="K108" s="285" t="str">
        <f>IFERROR(__xludf.DUMMYFUNCTION("""COMPUTED_VALUE"""),"3h2m")</f>
        <v>3h2m</v>
      </c>
      <c r="L108" s="287"/>
      <c r="M108" s="288"/>
      <c r="N108" s="289"/>
      <c r="O108" s="290" t="str">
        <f>IFERROR(__xludf.DUMMYFUNCTION("""COMPUTED_VALUE"""),"masih pelajari penawaran, FU 12 Juni")</f>
        <v>masih pelajari penawaran, FU 12 Juni</v>
      </c>
      <c r="P108" s="320"/>
      <c r="R108" s="285" t="str">
        <f>IFERROR(__xludf.DUMMYFUNCTION("""COMPUTED_VALUE"""),"2606D053")</f>
        <v>2606D053</v>
      </c>
      <c r="S108" s="286">
        <f>IFERROR(__xludf.DUMMYFUNCTION("""COMPUTED_VALUE"""),46179.0)</f>
        <v>46179</v>
      </c>
      <c r="T108" s="285" t="str">
        <f>IFERROR(__xludf.DUMMYFUNCTION("""COMPUTED_VALUE"""),"Feli")</f>
        <v>Feli</v>
      </c>
      <c r="U108" s="285" t="str">
        <f>IFERROR(__xludf.DUMMYFUNCTION("""COMPUTED_VALUE"""),"085173486857")</f>
        <v>085173486857</v>
      </c>
      <c r="V108" s="285" t="str">
        <f>IFERROR(__xludf.DUMMYFUNCTION("""COMPUTED_VALUE"""),"Closing")</f>
        <v>Closing</v>
      </c>
      <c r="W108" s="285" t="str">
        <f>IFERROR(__xludf.DUMMYFUNCTION("""COMPUTED_VALUE"""),"PT djawatan baluran")</f>
        <v>PT djawatan baluran</v>
      </c>
      <c r="X108" s="287">
        <f>IFERROR(__xludf.DUMMYFUNCTION("""COMPUTED_VALUE"""),46180.0)</f>
        <v>46180</v>
      </c>
      <c r="Y108" s="285">
        <f>IFERROR(__xludf.DUMMYFUNCTION("""COMPUTED_VALUE"""),4.0)</f>
        <v>4</v>
      </c>
      <c r="Z108" s="289">
        <f>IFERROR(__xludf.DUMMYFUNCTION("""COMPUTED_VALUE"""),1996000.0)</f>
        <v>1996000</v>
      </c>
      <c r="AA108" s="285" t="str">
        <f>IFERROR(__xludf.DUMMYFUNCTION("""COMPUTED_VALUE"""),"Orrdeerrrr")</f>
        <v>Orrdeerrrr</v>
      </c>
      <c r="AC108" s="285" t="str">
        <f>IFERROR(__xludf.DUMMYFUNCTION("""COMPUTED_VALUE"""),"2601D123")</f>
        <v>2601D123</v>
      </c>
      <c r="AD108" s="286">
        <f>IFERROR(__xludf.DUMMYFUNCTION("""COMPUTED_VALUE"""),46038.0)</f>
        <v>46038</v>
      </c>
      <c r="AE108" s="285" t="str">
        <f>IFERROR(__xludf.DUMMYFUNCTION("""COMPUTED_VALUE"""),"Ity")</f>
        <v>Ity</v>
      </c>
      <c r="AF108" s="285" t="str">
        <f>IFERROR(__xludf.DUMMYFUNCTION("""COMPUTED_VALUE"""),"0895337453274")</f>
        <v>0895337453274</v>
      </c>
      <c r="AG108" s="285" t="str">
        <f>IFERROR(__xludf.DUMMYFUNCTION("""COMPUTED_VALUE"""),"Gagal")</f>
        <v>Gagal</v>
      </c>
      <c r="AH108" s="285" t="str">
        <f>IFERROR(__xludf.DUMMYFUNCTION("""COMPUTED_VALUE"""),"OT 3H2M")</f>
        <v>OT 3H2M</v>
      </c>
      <c r="AI108" s="287"/>
      <c r="AJ108" s="285"/>
      <c r="AK108" s="289"/>
      <c r="AL108" s="285" t="str">
        <f>IFERROR(__xludf.DUMMYFUNCTION("""COMPUTED_VALUE"""),"tanya tanya ijen")</f>
        <v>tanya tanya ijen</v>
      </c>
    </row>
    <row r="109">
      <c r="F109" s="285" t="str">
        <f>IFERROR(__xludf.DUMMYFUNCTION("""COMPUTED_VALUE"""),"2606D010")</f>
        <v>2606D010</v>
      </c>
      <c r="G109" s="286">
        <f>IFERROR(__xludf.DUMMYFUNCTION("""COMPUTED_VALUE"""),46175.0)</f>
        <v>46175</v>
      </c>
      <c r="H109" s="285" t="str">
        <f>IFERROR(__xludf.DUMMYFUNCTION("""COMPUTED_VALUE"""),"Dienne Ch")</f>
        <v>Dienne Ch</v>
      </c>
      <c r="I109" s="285" t="str">
        <f>IFERROR(__xludf.DUMMYFUNCTION("""COMPUTED_VALUE"""),"081330141507")</f>
        <v>081330141507</v>
      </c>
      <c r="J109" s="285" t="str">
        <f>IFERROR(__xludf.DUMMYFUNCTION("""COMPUTED_VALUE"""),"Leads Baru")</f>
        <v>Leads Baru</v>
      </c>
      <c r="K109" s="285" t="str">
        <f>IFERROR(__xludf.DUMMYFUNCTION("""COMPUTED_VALUE"""),"3h2m dan 4h3m")</f>
        <v>3h2m dan 4h3m</v>
      </c>
      <c r="L109" s="287"/>
      <c r="M109" s="288">
        <f>IFERROR(__xludf.DUMMYFUNCTION("""COMPUTED_VALUE"""),2.0)</f>
        <v>2</v>
      </c>
      <c r="N109" s="289"/>
      <c r="O109" s="290" t="str">
        <f>IFERROR(__xludf.DUMMYFUNCTION("""COMPUTED_VALUE"""),"masih blm fiks, FU 12 Juni")</f>
        <v>masih blm fiks, FU 12 Juni</v>
      </c>
      <c r="P109" s="320"/>
      <c r="R109" s="285" t="str">
        <f>IFERROR(__xludf.DUMMYFUNCTION("""COMPUTED_VALUE"""),"2606D061")</f>
        <v>2606D061</v>
      </c>
      <c r="S109" s="286">
        <f>IFERROR(__xludf.DUMMYFUNCTION("""COMPUTED_VALUE"""),46181.0)</f>
        <v>46181</v>
      </c>
      <c r="T109" s="285" t="str">
        <f>IFERROR(__xludf.DUMMYFUNCTION("""COMPUTED_VALUE"""),"Ain Nurul Fadilah")</f>
        <v>Ain Nurul Fadilah</v>
      </c>
      <c r="U109" s="285" t="str">
        <f>IFERROR(__xludf.DUMMYFUNCTION("""COMPUTED_VALUE"""),"081909411660")</f>
        <v>081909411660</v>
      </c>
      <c r="V109" s="285" t="str">
        <f>IFERROR(__xludf.DUMMYFUNCTION("""COMPUTED_VALUE"""),"Closing")</f>
        <v>Closing</v>
      </c>
      <c r="W109" s="285" t="str">
        <f>IFERROR(__xludf.DUMMYFUNCTION("""COMPUTED_VALUE"""),"OT 3H2M ")</f>
        <v>OT 3H2M </v>
      </c>
      <c r="X109" s="287">
        <f>IFERROR(__xludf.DUMMYFUNCTION("""COMPUTED_VALUE"""),46196.0)</f>
        <v>46196</v>
      </c>
      <c r="Y109" s="285">
        <f>IFERROR(__xludf.DUMMYFUNCTION("""COMPUTED_VALUE"""),2.0)</f>
        <v>2</v>
      </c>
      <c r="Z109" s="289">
        <f>IFERROR(__xludf.DUMMYFUNCTION("""COMPUTED_VALUE"""),3200000.0)</f>
        <v>3200000</v>
      </c>
      <c r="AA109" s="285" t="str">
        <f>IFERROR(__xludf.DUMMYFUNCTION("""COMPUTED_VALUE"""),"orrdeerrr")</f>
        <v>orrdeerrr</v>
      </c>
      <c r="AC109" s="285" t="str">
        <f>IFERROR(__xludf.DUMMYFUNCTION("""COMPUTED_VALUE"""),"2601D124")</f>
        <v>2601D124</v>
      </c>
      <c r="AD109" s="286">
        <f>IFERROR(__xludf.DUMMYFUNCTION("""COMPUTED_VALUE"""),46038.0)</f>
        <v>46038</v>
      </c>
      <c r="AE109" s="285" t="str">
        <f>IFERROR(__xludf.DUMMYFUNCTION("""COMPUTED_VALUE"""),"She")</f>
        <v>She</v>
      </c>
      <c r="AF109" s="285" t="str">
        <f>IFERROR(__xludf.DUMMYFUNCTION("""COMPUTED_VALUE"""),"088225301233")</f>
        <v>088225301233</v>
      </c>
      <c r="AG109" s="285" t="str">
        <f>IFERROR(__xludf.DUMMYFUNCTION("""COMPUTED_VALUE"""),"Gagal")</f>
        <v>Gagal</v>
      </c>
      <c r="AH109" s="285" t="str">
        <f>IFERROR(__xludf.DUMMYFUNCTION("""COMPUTED_VALUE"""),"OT 3H2M")</f>
        <v>OT 3H2M</v>
      </c>
      <c r="AI109" s="287"/>
      <c r="AJ109" s="285">
        <f>IFERROR(__xludf.DUMMYFUNCTION("""COMPUTED_VALUE"""),2.0)</f>
        <v>2</v>
      </c>
      <c r="AK109" s="289"/>
      <c r="AL109" s="285" t="str">
        <f>IFERROR(__xludf.DUMMYFUNCTION("""COMPUTED_VALUE"""),"masih milih tanggal")</f>
        <v>masih milih tanggal</v>
      </c>
    </row>
    <row r="110">
      <c r="F110" s="285" t="str">
        <f>IFERROR(__xludf.DUMMYFUNCTION("""COMPUTED_VALUE"""),"2606D011")</f>
        <v>2606D011</v>
      </c>
      <c r="G110" s="286">
        <f>IFERROR(__xludf.DUMMYFUNCTION("""COMPUTED_VALUE"""),46175.0)</f>
        <v>46175</v>
      </c>
      <c r="H110" s="285" t="str">
        <f>IFERROR(__xludf.DUMMYFUNCTION("""COMPUTED_VALUE"""),"Tri Joko Wintolo")</f>
        <v>Tri Joko Wintolo</v>
      </c>
      <c r="I110" s="285" t="str">
        <f>IFERROR(__xludf.DUMMYFUNCTION("""COMPUTED_VALUE"""),"082242415557")</f>
        <v>082242415557</v>
      </c>
      <c r="J110" s="285" t="str">
        <f>IFERROR(__xludf.DUMMYFUNCTION("""COMPUTED_VALUE"""),"Leads Baru")</f>
        <v>Leads Baru</v>
      </c>
      <c r="K110" s="285" t="str">
        <f>IFERROR(__xludf.DUMMYFUNCTION("""COMPUTED_VALUE"""),"open trip")</f>
        <v>open trip</v>
      </c>
      <c r="L110" s="287"/>
      <c r="M110" s="288"/>
      <c r="N110" s="289"/>
      <c r="O110" s="290" t="str">
        <f>IFERROR(__xludf.DUMMYFUNCTION("""COMPUTED_VALUE"""),"belum bales lagi, FU 11 Juni")</f>
        <v>belum bales lagi, FU 11 Juni</v>
      </c>
      <c r="P110" s="320"/>
      <c r="R110" s="285" t="str">
        <f>IFERROR(__xludf.DUMMYFUNCTION("""COMPUTED_VALUE"""),"2606D065")</f>
        <v>2606D065</v>
      </c>
      <c r="S110" s="286">
        <f>IFERROR(__xludf.DUMMYFUNCTION("""COMPUTED_VALUE"""),46181.0)</f>
        <v>46181</v>
      </c>
      <c r="T110" s="285" t="str">
        <f>IFERROR(__xludf.DUMMYFUNCTION("""COMPUTED_VALUE"""),"Eva yunieta")</f>
        <v>Eva yunieta</v>
      </c>
      <c r="U110" s="285" t="str">
        <f>IFERROR(__xludf.DUMMYFUNCTION("""COMPUTED_VALUE"""),"08113191918")</f>
        <v>08113191918</v>
      </c>
      <c r="V110" s="285" t="str">
        <f>IFERROR(__xludf.DUMMYFUNCTION("""COMPUTED_VALUE"""),"Closing")</f>
        <v>Closing</v>
      </c>
      <c r="W110" s="285" t="str">
        <f>IFERROR(__xludf.DUMMYFUNCTION("""COMPUTED_VALUE"""),"3h2m opsi a")</f>
        <v>3h2m opsi a</v>
      </c>
      <c r="X110" s="287">
        <f>IFERROR(__xludf.DUMMYFUNCTION("""COMPUTED_VALUE"""),46195.0)</f>
        <v>46195</v>
      </c>
      <c r="Y110" s="285">
        <f>IFERROR(__xludf.DUMMYFUNCTION("""COMPUTED_VALUE"""),11.0)</f>
        <v>11</v>
      </c>
      <c r="Z110" s="289"/>
      <c r="AA110" s="285" t="str">
        <f>IFERROR(__xludf.DUMMYFUNCTION("""COMPUTED_VALUE"""),"orrderrr")</f>
        <v>orrderrr</v>
      </c>
      <c r="AC110" s="285" t="str">
        <f>IFERROR(__xludf.DUMMYFUNCTION("""COMPUTED_VALUE"""),"2601D125")</f>
        <v>2601D125</v>
      </c>
      <c r="AD110" s="286">
        <f>IFERROR(__xludf.DUMMYFUNCTION("""COMPUTED_VALUE"""),46038.0)</f>
        <v>46038</v>
      </c>
      <c r="AE110" s="285" t="str">
        <f>IFERROR(__xludf.DUMMYFUNCTION("""COMPUTED_VALUE"""),"Faa")</f>
        <v>Faa</v>
      </c>
      <c r="AF110" s="285" t="str">
        <f>IFERROR(__xludf.DUMMYFUNCTION("""COMPUTED_VALUE"""),"081229899693")</f>
        <v>081229899693</v>
      </c>
      <c r="AG110" s="285" t="str">
        <f>IFERROR(__xludf.DUMMYFUNCTION("""COMPUTED_VALUE"""),"Gagal")</f>
        <v>Gagal</v>
      </c>
      <c r="AH110" s="285" t="str">
        <f>IFERROR(__xludf.DUMMYFUNCTION("""COMPUTED_VALUE"""),"OT MT")</f>
        <v>OT MT</v>
      </c>
      <c r="AI110" s="287">
        <f>IFERROR(__xludf.DUMMYFUNCTION("""COMPUTED_VALUE"""),46057.0)</f>
        <v>46057</v>
      </c>
      <c r="AJ110" s="285"/>
      <c r="AK110" s="289"/>
      <c r="AL110" s="285" t="str">
        <f>IFERROR(__xludf.DUMMYFUNCTION("""COMPUTED_VALUE"""),"chek ketersediaan kapal")</f>
        <v>chek ketersediaan kapal</v>
      </c>
    </row>
    <row r="111">
      <c r="F111" s="285" t="str">
        <f>IFERROR(__xludf.DUMMYFUNCTION("""COMPUTED_VALUE"""),"2606D013")</f>
        <v>2606D013</v>
      </c>
      <c r="G111" s="286">
        <f>IFERROR(__xludf.DUMMYFUNCTION("""COMPUTED_VALUE"""),46175.0)</f>
        <v>46175</v>
      </c>
      <c r="H111" s="285" t="str">
        <f>IFERROR(__xludf.DUMMYFUNCTION("""COMPUTED_VALUE"""),"Anes")</f>
        <v>Anes</v>
      </c>
      <c r="I111" s="285" t="str">
        <f>IFERROR(__xludf.DUMMYFUNCTION("""COMPUTED_VALUE"""),"081460930128")</f>
        <v>081460930128</v>
      </c>
      <c r="J111" s="285" t="str">
        <f>IFERROR(__xludf.DUMMYFUNCTION("""COMPUTED_VALUE"""),"Leads Baru")</f>
        <v>Leads Baru</v>
      </c>
      <c r="K111" s="285" t="str">
        <f>IFERROR(__xludf.DUMMYFUNCTION("""COMPUTED_VALUE"""),"OT GI ")</f>
        <v>OT GI </v>
      </c>
      <c r="L111" s="287">
        <f>IFERROR(__xludf.DUMMYFUNCTION("""COMPUTED_VALUE"""),46212.0)</f>
        <v>46212</v>
      </c>
      <c r="M111" s="288">
        <f>IFERROR(__xludf.DUMMYFUNCTION("""COMPUTED_VALUE"""),2.0)</f>
        <v>2</v>
      </c>
      <c r="N111" s="289"/>
      <c r="O111" s="290" t="str">
        <f>IFERROR(__xludf.DUMMYFUNCTION("""COMPUTED_VALUE"""),"belum bales lagi, FU 16 Juni")</f>
        <v>belum bales lagi, FU 16 Juni</v>
      </c>
      <c r="P111" s="320"/>
      <c r="R111" s="285" t="str">
        <f>IFERROR(__xludf.DUMMYFUNCTION("""COMPUTED_VALUE"""),"2606D069")</f>
        <v>2606D069</v>
      </c>
      <c r="S111" s="286">
        <f>IFERROR(__xludf.DUMMYFUNCTION("""COMPUTED_VALUE"""),46182.0)</f>
        <v>46182</v>
      </c>
      <c r="T111" s="285" t="str">
        <f>IFERROR(__xludf.DUMMYFUNCTION("""COMPUTED_VALUE"""),"Endi (Nur Laely)")</f>
        <v>Endi (Nur Laely)</v>
      </c>
      <c r="U111" s="285" t="str">
        <f>IFERROR(__xludf.DUMMYFUNCTION("""COMPUTED_VALUE"""),"085723509115")</f>
        <v>085723509115</v>
      </c>
      <c r="V111" s="285" t="str">
        <f>IFERROR(__xludf.DUMMYFUNCTION("""COMPUTED_VALUE"""),"Closing")</f>
        <v>Closing</v>
      </c>
      <c r="W111" s="285" t="str">
        <f>IFERROR(__xludf.DUMMYFUNCTION("""COMPUTED_VALUE"""),"3h2m custome")</f>
        <v>3h2m custome</v>
      </c>
      <c r="X111" s="287">
        <f>IFERROR(__xludf.DUMMYFUNCTION("""COMPUTED_VALUE"""),46192.0)</f>
        <v>46192</v>
      </c>
      <c r="Y111" s="285">
        <f>IFERROR(__xludf.DUMMYFUNCTION("""COMPUTED_VALUE"""),2.0)</f>
        <v>2</v>
      </c>
      <c r="Z111" s="289">
        <f>IFERROR(__xludf.DUMMYFUNCTION("""COMPUTED_VALUE"""),6850000.0)</f>
        <v>6850000</v>
      </c>
      <c r="AA111" s="285" t="str">
        <f>IFERROR(__xludf.DUMMYFUNCTION("""COMPUTED_VALUE"""),"orrdeerrr, Hadiah wedding sepupu")</f>
        <v>orrdeerrr, Hadiah wedding sepupu</v>
      </c>
      <c r="AC111" s="285" t="str">
        <f>IFERROR(__xludf.DUMMYFUNCTION("""COMPUTED_VALUE"""),"2601D126")</f>
        <v>2601D126</v>
      </c>
      <c r="AD111" s="286">
        <f>IFERROR(__xludf.DUMMYFUNCTION("""COMPUTED_VALUE"""),46038.0)</f>
        <v>46038</v>
      </c>
      <c r="AE111" s="285" t="str">
        <f>IFERROR(__xludf.DUMMYFUNCTION("""COMPUTED_VALUE"""),"Puput nofbriyanti")</f>
        <v>Puput nofbriyanti</v>
      </c>
      <c r="AF111" s="285" t="str">
        <f>IFERROR(__xludf.DUMMYFUNCTION("""COMPUTED_VALUE"""),"085212437856")</f>
        <v>085212437856</v>
      </c>
      <c r="AG111" s="285" t="str">
        <f>IFERROR(__xludf.DUMMYFUNCTION("""COMPUTED_VALUE"""),"Gagal")</f>
        <v>Gagal</v>
      </c>
      <c r="AH111" s="285" t="str">
        <f>IFERROR(__xludf.DUMMYFUNCTION("""COMPUTED_VALUE"""),"Trip 4H3M")</f>
        <v>Trip 4H3M</v>
      </c>
      <c r="AI111" s="287"/>
      <c r="AJ111" s="285">
        <f>IFERROR(__xludf.DUMMYFUNCTION("""COMPUTED_VALUE"""),1.0)</f>
        <v>1</v>
      </c>
      <c r="AK111" s="289"/>
      <c r="AL111" s="285" t="str">
        <f>IFERROR(__xludf.DUMMYFUNCTION("""COMPUTED_VALUE"""),"tanya tanya ")</f>
        <v>tanya tanya </v>
      </c>
    </row>
    <row r="112">
      <c r="F112" s="285" t="str">
        <f>IFERROR(__xludf.DUMMYFUNCTION("""COMPUTED_VALUE"""),"2606D014")</f>
        <v>2606D014</v>
      </c>
      <c r="G112" s="286">
        <f>IFERROR(__xludf.DUMMYFUNCTION("""COMPUTED_VALUE"""),46174.0)</f>
        <v>46174</v>
      </c>
      <c r="H112" s="285" t="str">
        <f>IFERROR(__xludf.DUMMYFUNCTION("""COMPUTED_VALUE"""),"Imanda Raisa")</f>
        <v>Imanda Raisa</v>
      </c>
      <c r="I112" s="285" t="str">
        <f>IFERROR(__xludf.DUMMYFUNCTION("""COMPUTED_VALUE"""),"085795274846")</f>
        <v>085795274846</v>
      </c>
      <c r="J112" s="285" t="str">
        <f>IFERROR(__xludf.DUMMYFUNCTION("""COMPUTED_VALUE"""),"Leads Baru")</f>
        <v>Leads Baru</v>
      </c>
      <c r="K112" s="285" t="str">
        <f>IFERROR(__xludf.DUMMYFUNCTION("""COMPUTED_VALUE"""),"3H2M custome")</f>
        <v>3H2M custome</v>
      </c>
      <c r="L112" s="287"/>
      <c r="M112" s="288">
        <f>IFERROR(__xludf.DUMMYFUNCTION("""COMPUTED_VALUE"""),10.0)</f>
        <v>10</v>
      </c>
      <c r="N112" s="289"/>
      <c r="O112" s="290" t="str">
        <f>IFERROR(__xludf.DUMMYFUNCTION("""COMPUTED_VALUE"""),"FU 6 Juni")</f>
        <v>FU 6 Juni</v>
      </c>
      <c r="P112" s="320"/>
      <c r="R112" s="285" t="str">
        <f>IFERROR(__xludf.DUMMYFUNCTION("""COMPUTED_VALUE"""),"2606D073")</f>
        <v>2606D073</v>
      </c>
      <c r="S112" s="286">
        <f>IFERROR(__xludf.DUMMYFUNCTION("""COMPUTED_VALUE"""),46182.0)</f>
        <v>46182</v>
      </c>
      <c r="T112" s="285" t="str">
        <f>IFERROR(__xludf.DUMMYFUNCTION("""COMPUTED_VALUE"""),"Nida")</f>
        <v>Nida</v>
      </c>
      <c r="U112" s="285" t="str">
        <f>IFERROR(__xludf.DUMMYFUNCTION("""COMPUTED_VALUE"""),"0895352831337")</f>
        <v>0895352831337</v>
      </c>
      <c r="V112" s="285" t="str">
        <f>IFERROR(__xludf.DUMMYFUNCTION("""COMPUTED_VALUE"""),"Closing")</f>
        <v>Closing</v>
      </c>
      <c r="W112" s="285" t="str">
        <f>IFERROR(__xludf.DUMMYFUNCTION("""COMPUTED_VALUE"""),"3h2m opsi A")</f>
        <v>3h2m opsi A</v>
      </c>
      <c r="X112" s="287">
        <f>IFERROR(__xludf.DUMMYFUNCTION("""COMPUTED_VALUE"""),46256.0)</f>
        <v>46256</v>
      </c>
      <c r="Y112" s="285">
        <f>IFERROR(__xludf.DUMMYFUNCTION("""COMPUTED_VALUE"""),3.0)</f>
        <v>3</v>
      </c>
      <c r="Z112" s="289">
        <f>IFERROR(__xludf.DUMMYFUNCTION("""COMPUTED_VALUE"""),8001000.0)</f>
        <v>8001000</v>
      </c>
      <c r="AA112" s="285" t="str">
        <f>IFERROR(__xludf.DUMMYFUNCTION("""COMPUTED_VALUE"""),"alhamdulillah orrderr")</f>
        <v>alhamdulillah orrderr</v>
      </c>
      <c r="AC112" s="285" t="str">
        <f>IFERROR(__xludf.DUMMYFUNCTION("""COMPUTED_VALUE"""),"2601D127")</f>
        <v>2601D127</v>
      </c>
      <c r="AD112" s="286">
        <f>IFERROR(__xludf.DUMMYFUNCTION("""COMPUTED_VALUE"""),46038.0)</f>
        <v>46038</v>
      </c>
      <c r="AE112" s="285" t="str">
        <f>IFERROR(__xludf.DUMMYFUNCTION("""COMPUTED_VALUE"""),"Niaa")</f>
        <v>Niaa</v>
      </c>
      <c r="AF112" s="285" t="str">
        <f>IFERROR(__xludf.DUMMYFUNCTION("""COMPUTED_VALUE"""),"085753609890")</f>
        <v>085753609890</v>
      </c>
      <c r="AG112" s="285" t="str">
        <f>IFERROR(__xludf.DUMMYFUNCTION("""COMPUTED_VALUE"""),"Gagal")</f>
        <v>Gagal</v>
      </c>
      <c r="AH112" s="285"/>
      <c r="AI112" s="287"/>
      <c r="AJ112" s="285"/>
      <c r="AK112" s="289"/>
      <c r="AL112" s="285"/>
    </row>
    <row r="113">
      <c r="F113" s="285" t="str">
        <f>IFERROR(__xludf.DUMMYFUNCTION("""COMPUTED_VALUE"""),"2606D015")</f>
        <v>2606D015</v>
      </c>
      <c r="G113" s="286">
        <f>IFERROR(__xludf.DUMMYFUNCTION("""COMPUTED_VALUE"""),46176.0)</f>
        <v>46176</v>
      </c>
      <c r="H113" s="285" t="str">
        <f>IFERROR(__xludf.DUMMYFUNCTION("""COMPUTED_VALUE"""),"Electra ")</f>
        <v>Electra </v>
      </c>
      <c r="I113" s="285" t="str">
        <f>IFERROR(__xludf.DUMMYFUNCTION("""COMPUTED_VALUE"""),"0818300357")</f>
        <v>0818300357</v>
      </c>
      <c r="J113" s="285" t="str">
        <f>IFERROR(__xludf.DUMMYFUNCTION("""COMPUTED_VALUE"""),"Leads Baru")</f>
        <v>Leads Baru</v>
      </c>
      <c r="K113" s="285" t="str">
        <f>IFERROR(__xludf.DUMMYFUNCTION("""COMPUTED_VALUE"""),"OT 3H2M ")</f>
        <v>OT 3H2M </v>
      </c>
      <c r="L113" s="287"/>
      <c r="M113" s="288"/>
      <c r="N113" s="289"/>
      <c r="O113" s="290" t="str">
        <f>IFERROR(__xludf.DUMMYFUNCTION("""COMPUTED_VALUE"""),"blm bales lagi, FU 12 Juni")</f>
        <v>blm bales lagi, FU 12 Juni</v>
      </c>
      <c r="P113" s="320"/>
      <c r="R113" s="285" t="str">
        <f>IFERROR(__xludf.DUMMYFUNCTION("""COMPUTED_VALUE"""),"2606D088")</f>
        <v>2606D088</v>
      </c>
      <c r="S113" s="286">
        <f>IFERROR(__xludf.DUMMYFUNCTION("""COMPUTED_VALUE"""),46184.0)</f>
        <v>46184</v>
      </c>
      <c r="T113" s="285" t="str">
        <f>IFERROR(__xludf.DUMMYFUNCTION("""COMPUTED_VALUE"""),"Karmila")</f>
        <v>Karmila</v>
      </c>
      <c r="U113" s="285" t="str">
        <f>IFERROR(__xludf.DUMMYFUNCTION("""COMPUTED_VALUE"""),"085695892130")</f>
        <v>085695892130</v>
      </c>
      <c r="V113" s="285" t="str">
        <f>IFERROR(__xludf.DUMMYFUNCTION("""COMPUTED_VALUE"""),"Closing")</f>
        <v>Closing</v>
      </c>
      <c r="W113" s="285" t="str">
        <f>IFERROR(__xludf.DUMMYFUNCTION("""COMPUTED_VALUE"""),"OT MT")</f>
        <v>OT MT</v>
      </c>
      <c r="X113" s="287">
        <f>IFERROR(__xludf.DUMMYFUNCTION("""COMPUTED_VALUE"""),46191.0)</f>
        <v>46191</v>
      </c>
      <c r="Y113" s="285">
        <f>IFERROR(__xludf.DUMMYFUNCTION("""COMPUTED_VALUE"""),2.0)</f>
        <v>2</v>
      </c>
      <c r="Z113" s="289">
        <f>IFERROR(__xludf.DUMMYFUNCTION("""COMPUTED_VALUE"""),550000.0)</f>
        <v>550000</v>
      </c>
      <c r="AA113" s="285" t="str">
        <f>IFERROR(__xludf.DUMMYFUNCTION("""COMPUTED_VALUE"""),"orrderrrr")</f>
        <v>orrderrrr</v>
      </c>
      <c r="AC113" s="285" t="str">
        <f>IFERROR(__xludf.DUMMYFUNCTION("""COMPUTED_VALUE"""),"2601D128")</f>
        <v>2601D128</v>
      </c>
      <c r="AD113" s="286">
        <f>IFERROR(__xludf.DUMMYFUNCTION("""COMPUTED_VALUE"""),46038.0)</f>
        <v>46038</v>
      </c>
      <c r="AE113" s="285" t="str">
        <f>IFERROR(__xludf.DUMMYFUNCTION("""COMPUTED_VALUE"""),"Sandra ")</f>
        <v>Sandra </v>
      </c>
      <c r="AF113" s="285" t="str">
        <f>IFERROR(__xludf.DUMMYFUNCTION("""COMPUTED_VALUE"""),"085158058819")</f>
        <v>085158058819</v>
      </c>
      <c r="AG113" s="285" t="str">
        <f>IFERROR(__xludf.DUMMYFUNCTION("""COMPUTED_VALUE"""),"Gagal")</f>
        <v>Gagal</v>
      </c>
      <c r="AH113" s="285" t="str">
        <f>IFERROR(__xludf.DUMMYFUNCTION("""COMPUTED_VALUE"""),"3H2M")</f>
        <v>3H2M</v>
      </c>
      <c r="AI113" s="287"/>
      <c r="AJ113" s="285">
        <f>IFERROR(__xludf.DUMMYFUNCTION("""COMPUTED_VALUE"""),2.0)</f>
        <v>2</v>
      </c>
      <c r="AK113" s="289">
        <f>IFERROR(__xludf.DUMMYFUNCTION("""COMPUTED_VALUE"""),612000.0)</f>
        <v>612000</v>
      </c>
      <c r="AL113" s="285" t="str">
        <f>IFERROR(__xludf.DUMMYFUNCTION("""COMPUTED_VALUE"""),"dipending dulu biar bisa barengan")</f>
        <v>dipending dulu biar bisa barengan</v>
      </c>
    </row>
    <row r="114">
      <c r="F114" s="285" t="str">
        <f>IFERROR(__xludf.DUMMYFUNCTION("""COMPUTED_VALUE"""),"2606D016")</f>
        <v>2606D016</v>
      </c>
      <c r="G114" s="286">
        <f>IFERROR(__xludf.DUMMYFUNCTION("""COMPUTED_VALUE"""),46176.0)</f>
        <v>46176</v>
      </c>
      <c r="H114" s="285" t="str">
        <f>IFERROR(__xludf.DUMMYFUNCTION("""COMPUTED_VALUE"""),"Ach")</f>
        <v>Ach</v>
      </c>
      <c r="I114" s="285" t="str">
        <f>IFERROR(__xludf.DUMMYFUNCTION("""COMPUTED_VALUE"""),"085648287210")</f>
        <v>085648287210</v>
      </c>
      <c r="J114" s="285" t="str">
        <f>IFERROR(__xludf.DUMMYFUNCTION("""COMPUTED_VALUE"""),"Leads Baru")</f>
        <v>Leads Baru</v>
      </c>
      <c r="K114" s="285" t="str">
        <f>IFERROR(__xludf.DUMMYFUNCTION("""COMPUTED_VALUE"""),"3h2m opsi A")</f>
        <v>3h2m opsi A</v>
      </c>
      <c r="L114" s="287"/>
      <c r="M114" s="288">
        <f>IFERROR(__xludf.DUMMYFUNCTION("""COMPUTED_VALUE"""),2.0)</f>
        <v>2</v>
      </c>
      <c r="N114" s="289"/>
      <c r="O114" s="290" t="str">
        <f>IFERROR(__xludf.DUMMYFUNCTION("""COMPUTED_VALUE"""),"FU 11 Juni")</f>
        <v>FU 11 Juni</v>
      </c>
      <c r="P114" s="320"/>
      <c r="R114" s="285" t="str">
        <f>IFERROR(__xludf.DUMMYFUNCTION("""COMPUTED_VALUE"""),"2606D097")</f>
        <v>2606D097</v>
      </c>
      <c r="S114" s="286">
        <f>IFERROR(__xludf.DUMMYFUNCTION("""COMPUTED_VALUE"""),46185.0)</f>
        <v>46185</v>
      </c>
      <c r="T114" s="285" t="str">
        <f>IFERROR(__xludf.DUMMYFUNCTION("""COMPUTED_VALUE"""),"Stefanus")</f>
        <v>Stefanus</v>
      </c>
      <c r="U114" s="285" t="str">
        <f>IFERROR(__xludf.DUMMYFUNCTION("""COMPUTED_VALUE"""),"081353359495")</f>
        <v>081353359495</v>
      </c>
      <c r="V114" s="285" t="str">
        <f>IFERROR(__xludf.DUMMYFUNCTION("""COMPUTED_VALUE"""),"Closing")</f>
        <v>Closing</v>
      </c>
      <c r="W114" s="285" t="str">
        <f>IFERROR(__xludf.DUMMYFUNCTION("""COMPUTED_VALUE"""),"1 day teluk ijo")</f>
        <v>1 day teluk ijo</v>
      </c>
      <c r="X114" s="287">
        <f>IFERROR(__xludf.DUMMYFUNCTION("""COMPUTED_VALUE"""),46259.0)</f>
        <v>46259</v>
      </c>
      <c r="Y114" s="285">
        <f>IFERROR(__xludf.DUMMYFUNCTION("""COMPUTED_VALUE"""),7.0)</f>
        <v>7</v>
      </c>
      <c r="Z114" s="289">
        <f>IFERROR(__xludf.DUMMYFUNCTION("""COMPUTED_VALUE"""),3262000.0)</f>
        <v>3262000</v>
      </c>
      <c r="AA114" s="285" t="str">
        <f>IFERROR(__xludf.DUMMYFUNCTION("""COMPUTED_VALUE"""),"Orrdderrrr")</f>
        <v>Orrdderrrr</v>
      </c>
      <c r="AC114" s="285" t="str">
        <f>IFERROR(__xludf.DUMMYFUNCTION("""COMPUTED_VALUE"""),"2601D129")</f>
        <v>2601D129</v>
      </c>
      <c r="AD114" s="286">
        <f>IFERROR(__xludf.DUMMYFUNCTION("""COMPUTED_VALUE"""),46038.0)</f>
        <v>46038</v>
      </c>
      <c r="AE114" s="285" t="str">
        <f>IFERROR(__xludf.DUMMYFUNCTION("""COMPUTED_VALUE"""),"Azizah ")</f>
        <v>Azizah </v>
      </c>
      <c r="AF114" s="285" t="str">
        <f>IFERROR(__xludf.DUMMYFUNCTION("""COMPUTED_VALUE"""),"089505500413")</f>
        <v>089505500413</v>
      </c>
      <c r="AG114" s="285" t="str">
        <f>IFERROR(__xludf.DUMMYFUNCTION("""COMPUTED_VALUE"""),"Gagal")</f>
        <v>Gagal</v>
      </c>
      <c r="AH114" s="285"/>
      <c r="AI114" s="287"/>
      <c r="AJ114" s="285"/>
      <c r="AK114" s="289"/>
      <c r="AL114" s="285"/>
    </row>
    <row r="115">
      <c r="F115" s="285" t="str">
        <f>IFERROR(__xludf.DUMMYFUNCTION("""COMPUTED_VALUE"""),"2606D017")</f>
        <v>2606D017</v>
      </c>
      <c r="G115" s="286">
        <f>IFERROR(__xludf.DUMMYFUNCTION("""COMPUTED_VALUE"""),46175.0)</f>
        <v>46175</v>
      </c>
      <c r="H115" s="285" t="str">
        <f>IFERROR(__xludf.DUMMYFUNCTION("""COMPUTED_VALUE"""),"Artha Aprilla ")</f>
        <v>Artha Aprilla </v>
      </c>
      <c r="I115" s="285" t="str">
        <f>IFERROR(__xludf.DUMMYFUNCTION("""COMPUTED_VALUE"""),"088806705595")</f>
        <v>088806705595</v>
      </c>
      <c r="J115" s="285" t="str">
        <f>IFERROR(__xludf.DUMMYFUNCTION("""COMPUTED_VALUE"""),"Leads Baru")</f>
        <v>Leads Baru</v>
      </c>
      <c r="K115" s="285" t="str">
        <f>IFERROR(__xludf.DUMMYFUNCTION("""COMPUTED_VALUE"""),"2h1m")</f>
        <v>2h1m</v>
      </c>
      <c r="L115" s="287"/>
      <c r="M115" s="288">
        <f>IFERROR(__xludf.DUMMYFUNCTION("""COMPUTED_VALUE"""),100.0)</f>
        <v>100</v>
      </c>
      <c r="N115" s="289"/>
      <c r="O115" s="290" t="str">
        <f>IFERROR(__xludf.DUMMYFUNCTION("""COMPUTED_VALUE"""),"FU 11 Juni")</f>
        <v>FU 11 Juni</v>
      </c>
      <c r="P115" s="320"/>
      <c r="R115" s="285" t="str">
        <f>IFERROR(__xludf.DUMMYFUNCTION("""COMPUTED_VALUE"""),"2606D098")</f>
        <v>2606D098</v>
      </c>
      <c r="S115" s="286">
        <f>IFERROR(__xludf.DUMMYFUNCTION("""COMPUTED_VALUE"""),46185.0)</f>
        <v>46185</v>
      </c>
      <c r="T115" s="285" t="str">
        <f>IFERROR(__xludf.DUMMYFUNCTION("""COMPUTED_VALUE"""),"Wiguna")</f>
        <v>Wiguna</v>
      </c>
      <c r="U115" s="285" t="str">
        <f>IFERROR(__xludf.DUMMYFUNCTION("""COMPUTED_VALUE"""),"08112292225")</f>
        <v>08112292225</v>
      </c>
      <c r="V115" s="285" t="str">
        <f>IFERROR(__xludf.DUMMYFUNCTION("""COMPUTED_VALUE"""),"Closing")</f>
        <v>Closing</v>
      </c>
      <c r="W115" s="285" t="str">
        <f>IFERROR(__xludf.DUMMYFUNCTION("""COMPUTED_VALUE"""),"OT MT")</f>
        <v>OT MT</v>
      </c>
      <c r="X115" s="287">
        <f>IFERROR(__xludf.DUMMYFUNCTION("""COMPUTED_VALUE"""),46186.0)</f>
        <v>46186</v>
      </c>
      <c r="Y115" s="285">
        <f>IFERROR(__xludf.DUMMYFUNCTION("""COMPUTED_VALUE"""),5.0)</f>
        <v>5</v>
      </c>
      <c r="Z115" s="289">
        <f>IFERROR(__xludf.DUMMYFUNCTION("""COMPUTED_VALUE"""),1375000.0)</f>
        <v>1375000</v>
      </c>
      <c r="AA115" s="285" t="str">
        <f>IFERROR(__xludf.DUMMYFUNCTION("""COMPUTED_VALUE"""),"orrdeerrrr")</f>
        <v>orrdeerrrr</v>
      </c>
      <c r="AC115" s="285" t="str">
        <f>IFERROR(__xludf.DUMMYFUNCTION("""COMPUTED_VALUE"""),"2601D130")</f>
        <v>2601D130</v>
      </c>
      <c r="AD115" s="286">
        <f>IFERROR(__xludf.DUMMYFUNCTION("""COMPUTED_VALUE"""),46039.0)</f>
        <v>46039</v>
      </c>
      <c r="AE115" s="285" t="str">
        <f>IFERROR(__xludf.DUMMYFUNCTION("""COMPUTED_VALUE"""),"Sartika ")</f>
        <v>Sartika </v>
      </c>
      <c r="AF115" s="285" t="str">
        <f>IFERROR(__xludf.DUMMYFUNCTION("""COMPUTED_VALUE"""),"01123611072")</f>
        <v>01123611072</v>
      </c>
      <c r="AG115" s="285" t="str">
        <f>IFERROR(__xludf.DUMMYFUNCTION("""COMPUTED_VALUE"""),"Gagal")</f>
        <v>Gagal</v>
      </c>
      <c r="AH115" s="285"/>
      <c r="AI115" s="287"/>
      <c r="AJ115" s="285"/>
      <c r="AK115" s="289"/>
      <c r="AL115" s="285"/>
    </row>
    <row r="116">
      <c r="F116" s="285" t="str">
        <f>IFERROR(__xludf.DUMMYFUNCTION("""COMPUTED_VALUE"""),"2606D019")</f>
        <v>2606D019</v>
      </c>
      <c r="G116" s="286">
        <f>IFERROR(__xludf.DUMMYFUNCTION("""COMPUTED_VALUE"""),46176.0)</f>
        <v>46176</v>
      </c>
      <c r="H116" s="285" t="str">
        <f>IFERROR(__xludf.DUMMYFUNCTION("""COMPUTED_VALUE"""),"Novi")</f>
        <v>Novi</v>
      </c>
      <c r="I116" s="285" t="str">
        <f>IFERROR(__xludf.DUMMYFUNCTION("""COMPUTED_VALUE"""),"081903852661")</f>
        <v>081903852661</v>
      </c>
      <c r="J116" s="285" t="str">
        <f>IFERROR(__xludf.DUMMYFUNCTION("""COMPUTED_VALUE"""),"Leads Baru")</f>
        <v>Leads Baru</v>
      </c>
      <c r="K116" s="285" t="str">
        <f>IFERROR(__xludf.DUMMYFUNCTION("""COMPUTED_VALUE"""),"3h2m Opsi A")</f>
        <v>3h2m Opsi A</v>
      </c>
      <c r="L116" s="287">
        <f>IFERROR(__xludf.DUMMYFUNCTION("""COMPUTED_VALUE"""),46199.0)</f>
        <v>46199</v>
      </c>
      <c r="M116" s="288">
        <f>IFERROR(__xludf.DUMMYFUNCTION("""COMPUTED_VALUE"""),14.0)</f>
        <v>14</v>
      </c>
      <c r="N116" s="289"/>
      <c r="O116" s="290" t="str">
        <f>IFERROR(__xludf.DUMMYFUNCTION("""COMPUTED_VALUE"""),"FU 6 Juni")</f>
        <v>FU 6 Juni</v>
      </c>
      <c r="P116" s="320"/>
      <c r="R116" s="285" t="str">
        <f>IFERROR(__xludf.DUMMYFUNCTION("""COMPUTED_VALUE"""),"2606D099")</f>
        <v>2606D099</v>
      </c>
      <c r="S116" s="286">
        <f>IFERROR(__xludf.DUMMYFUNCTION("""COMPUTED_VALUE"""),46185.0)</f>
        <v>46185</v>
      </c>
      <c r="T116" s="285" t="str">
        <f>IFERROR(__xludf.DUMMYFUNCTION("""COMPUTED_VALUE"""),"Tri Bagus ")</f>
        <v>Tri Bagus </v>
      </c>
      <c r="U116" s="285" t="str">
        <f>IFERROR(__xludf.DUMMYFUNCTION("""COMPUTED_VALUE"""),"085211132129")</f>
        <v>085211132129</v>
      </c>
      <c r="V116" s="285" t="str">
        <f>IFERROR(__xludf.DUMMYFUNCTION("""COMPUTED_VALUE"""),"Closing")</f>
        <v>Closing</v>
      </c>
      <c r="W116" s="285" t="str">
        <f>IFERROR(__xludf.DUMMYFUNCTION("""COMPUTED_VALUE"""),"OT Ijen")</f>
        <v>OT Ijen</v>
      </c>
      <c r="X116" s="287">
        <f>IFERROR(__xludf.DUMMYFUNCTION("""COMPUTED_VALUE"""),46186.0)</f>
        <v>46186</v>
      </c>
      <c r="Y116" s="285">
        <f>IFERROR(__xludf.DUMMYFUNCTION("""COMPUTED_VALUE"""),2.0)</f>
        <v>2</v>
      </c>
      <c r="Z116" s="289">
        <f>IFERROR(__xludf.DUMMYFUNCTION("""COMPUTED_VALUE"""),500000.0)</f>
        <v>500000</v>
      </c>
      <c r="AA116" s="285" t="str">
        <f>IFERROR(__xludf.DUMMYFUNCTION("""COMPUTED_VALUE"""),"orrdeerrrr")</f>
        <v>orrdeerrrr</v>
      </c>
      <c r="AC116" s="285" t="str">
        <f>IFERROR(__xludf.DUMMYFUNCTION("""COMPUTED_VALUE"""),"2601D132")</f>
        <v>2601D132</v>
      </c>
      <c r="AD116" s="286">
        <f>IFERROR(__xludf.DUMMYFUNCTION("""COMPUTED_VALUE"""),46039.0)</f>
        <v>46039</v>
      </c>
      <c r="AE116" s="285" t="str">
        <f>IFERROR(__xludf.DUMMYFUNCTION("""COMPUTED_VALUE"""),"Ha_Natsuki")</f>
        <v>Ha_Natsuki</v>
      </c>
      <c r="AF116" s="285" t="str">
        <f>IFERROR(__xludf.DUMMYFUNCTION("""COMPUTED_VALUE"""),"0895412476578")</f>
        <v>0895412476578</v>
      </c>
      <c r="AG116" s="285" t="str">
        <f>IFERROR(__xludf.DUMMYFUNCTION("""COMPUTED_VALUE"""),"Gagal")</f>
        <v>Gagal</v>
      </c>
      <c r="AH116" s="285" t="str">
        <f>IFERROR(__xludf.DUMMYFUNCTION("""COMPUTED_VALUE"""),"OT 3H2M")</f>
        <v>OT 3H2M</v>
      </c>
      <c r="AI116" s="287"/>
      <c r="AJ116" s="285">
        <f>IFERROR(__xludf.DUMMYFUNCTION("""COMPUTED_VALUE"""),2.0)</f>
        <v>2</v>
      </c>
      <c r="AK116" s="289">
        <f>IFERROR(__xludf.DUMMYFUNCTION("""COMPUTED_VALUE"""),4000000.0)</f>
        <v>4000000</v>
      </c>
      <c r="AL116" s="285" t="str">
        <f>IFERROR(__xludf.DUMMYFUNCTION("""COMPUTED_VALUE"""),"gajadiiii")</f>
        <v>gajadiiii</v>
      </c>
    </row>
    <row r="117">
      <c r="F117" s="285" t="str">
        <f>IFERROR(__xludf.DUMMYFUNCTION("""COMPUTED_VALUE"""),"2606D020")</f>
        <v>2606D020</v>
      </c>
      <c r="G117" s="286">
        <f>IFERROR(__xludf.DUMMYFUNCTION("""COMPUTED_VALUE"""),46176.0)</f>
        <v>46176</v>
      </c>
      <c r="H117" s="285" t="str">
        <f>IFERROR(__xludf.DUMMYFUNCTION("""COMPUTED_VALUE"""),"Monica")</f>
        <v>Monica</v>
      </c>
      <c r="I117" s="285" t="str">
        <f>IFERROR(__xludf.DUMMYFUNCTION("""COMPUTED_VALUE"""),"081280100207")</f>
        <v>081280100207</v>
      </c>
      <c r="J117" s="285" t="str">
        <f>IFERROR(__xludf.DUMMYFUNCTION("""COMPUTED_VALUE"""),"Leads Baru")</f>
        <v>Leads Baru</v>
      </c>
      <c r="K117" s="285" t="str">
        <f>IFERROR(__xludf.DUMMYFUNCTION("""COMPUTED_VALUE"""),"3h2m Opsi A")</f>
        <v>3h2m Opsi A</v>
      </c>
      <c r="L117" s="287"/>
      <c r="M117" s="288">
        <f>IFERROR(__xludf.DUMMYFUNCTION("""COMPUTED_VALUE"""),6.0)</f>
        <v>6</v>
      </c>
      <c r="N117" s="289"/>
      <c r="O117" s="290" t="str">
        <f>IFERROR(__xludf.DUMMYFUNCTION("""COMPUTED_VALUE"""),"FU 9 Juni")</f>
        <v>FU 9 Juni</v>
      </c>
      <c r="P117" s="320"/>
      <c r="R117" s="285" t="str">
        <f>IFERROR(__xludf.DUMMYFUNCTION("""COMPUTED_VALUE"""),"2606D102")</f>
        <v>2606D102</v>
      </c>
      <c r="S117" s="286">
        <f>IFERROR(__xludf.DUMMYFUNCTION("""COMPUTED_VALUE"""),46188.0)</f>
        <v>46188</v>
      </c>
      <c r="T117" s="285" t="str">
        <f>IFERROR(__xludf.DUMMYFUNCTION("""COMPUTED_VALUE"""),"Widia Setiawan ")</f>
        <v>Widia Setiawan </v>
      </c>
      <c r="U117" s="285" t="str">
        <f>IFERROR(__xludf.DUMMYFUNCTION("""COMPUTED_VALUE"""),"085816908273")</f>
        <v>085816908273</v>
      </c>
      <c r="V117" s="285" t="str">
        <f>IFERROR(__xludf.DUMMYFUNCTION("""COMPUTED_VALUE"""),"Closing")</f>
        <v>Closing</v>
      </c>
      <c r="W117" s="285" t="str">
        <f>IFERROR(__xludf.DUMMYFUNCTION("""COMPUTED_VALUE"""),"OT Ijen")</f>
        <v>OT Ijen</v>
      </c>
      <c r="X117" s="287">
        <f>IFERROR(__xludf.DUMMYFUNCTION("""COMPUTED_VALUE"""),46189.0)</f>
        <v>46189</v>
      </c>
      <c r="Y117" s="285">
        <f>IFERROR(__xludf.DUMMYFUNCTION("""COMPUTED_VALUE"""),1.0)</f>
        <v>1</v>
      </c>
      <c r="Z117" s="289">
        <f>IFERROR(__xludf.DUMMYFUNCTION("""COMPUTED_VALUE"""),250000.0)</f>
        <v>250000</v>
      </c>
      <c r="AA117" s="285" t="str">
        <f>IFERROR(__xludf.DUMMYFUNCTION("""COMPUTED_VALUE"""),"orrderrr")</f>
        <v>orrderrr</v>
      </c>
      <c r="AC117" s="285" t="str">
        <f>IFERROR(__xludf.DUMMYFUNCTION("""COMPUTED_VALUE"""),"2601D133")</f>
        <v>2601D133</v>
      </c>
      <c r="AD117" s="286">
        <f>IFERROR(__xludf.DUMMYFUNCTION("""COMPUTED_VALUE"""),46039.0)</f>
        <v>46039</v>
      </c>
      <c r="AE117" s="285" t="str">
        <f>IFERROR(__xludf.DUMMYFUNCTION("""COMPUTED_VALUE"""),"Magdalena")</f>
        <v>Magdalena</v>
      </c>
      <c r="AF117" s="285" t="str">
        <f>IFERROR(__xludf.DUMMYFUNCTION("""COMPUTED_VALUE"""),"081331875161")</f>
        <v>081331875161</v>
      </c>
      <c r="AG117" s="285" t="str">
        <f>IFERROR(__xludf.DUMMYFUNCTION("""COMPUTED_VALUE"""),"Gagal")</f>
        <v>Gagal</v>
      </c>
      <c r="AH117" s="285" t="str">
        <f>IFERROR(__xludf.DUMMYFUNCTION("""COMPUTED_VALUE"""),"3H2M")</f>
        <v>3H2M</v>
      </c>
      <c r="AI117" s="287"/>
      <c r="AJ117" s="285"/>
      <c r="AK117" s="289"/>
      <c r="AL117" s="285" t="str">
        <f>IFERROR(__xludf.DUMMYFUNCTION("""COMPUTED_VALUE"""),"tanya tanyaa")</f>
        <v>tanya tanyaa</v>
      </c>
    </row>
    <row r="118">
      <c r="F118" s="285" t="str">
        <f>IFERROR(__xludf.DUMMYFUNCTION("""COMPUTED_VALUE"""),"2606D021")</f>
        <v>2606D021</v>
      </c>
      <c r="G118" s="286">
        <f>IFERROR(__xludf.DUMMYFUNCTION("""COMPUTED_VALUE"""),46176.0)</f>
        <v>46176</v>
      </c>
      <c r="H118" s="285" t="str">
        <f>IFERROR(__xludf.DUMMYFUNCTION("""COMPUTED_VALUE"""),"Weliya Karisma")</f>
        <v>Weliya Karisma</v>
      </c>
      <c r="I118" s="285" t="str">
        <f>IFERROR(__xludf.DUMMYFUNCTION("""COMPUTED_VALUE"""),"082281113334")</f>
        <v>082281113334</v>
      </c>
      <c r="J118" s="285" t="str">
        <f>IFERROR(__xludf.DUMMYFUNCTION("""COMPUTED_VALUE"""),"Leads Baru")</f>
        <v>Leads Baru</v>
      </c>
      <c r="K118" s="285" t="str">
        <f>IFERROR(__xludf.DUMMYFUNCTION("""COMPUTED_VALUE"""),"OT ijen")</f>
        <v>OT ijen</v>
      </c>
      <c r="L118" s="287">
        <f>IFERROR(__xludf.DUMMYFUNCTION("""COMPUTED_VALUE"""),46194.0)</f>
        <v>46194</v>
      </c>
      <c r="M118" s="288">
        <f>IFERROR(__xludf.DUMMYFUNCTION("""COMPUTED_VALUE"""),1.0)</f>
        <v>1</v>
      </c>
      <c r="N118" s="289"/>
      <c r="O118" s="290" t="str">
        <f>IFERROR(__xludf.DUMMYFUNCTION("""COMPUTED_VALUE"""),"1 orang, FU 8 Juni ")</f>
        <v>1 orang, FU 8 Juni </v>
      </c>
      <c r="P118" s="320"/>
      <c r="R118" s="285" t="str">
        <f>IFERROR(__xludf.DUMMYFUNCTION("""COMPUTED_VALUE"""),"2606D104")</f>
        <v>2606D104</v>
      </c>
      <c r="S118" s="286">
        <f>IFERROR(__xludf.DUMMYFUNCTION("""COMPUTED_VALUE"""),46186.0)</f>
        <v>46186</v>
      </c>
      <c r="T118" s="285" t="str">
        <f>IFERROR(__xludf.DUMMYFUNCTION("""COMPUTED_VALUE"""),"Hapsari ")</f>
        <v>Hapsari </v>
      </c>
      <c r="U118" s="285" t="str">
        <f>IFERROR(__xludf.DUMMYFUNCTION("""COMPUTED_VALUE"""),"087877752190")</f>
        <v>087877752190</v>
      </c>
      <c r="V118" s="285" t="str">
        <f>IFERROR(__xludf.DUMMYFUNCTION("""COMPUTED_VALUE"""),"Closing")</f>
        <v>Closing</v>
      </c>
      <c r="W118" s="285" t="str">
        <f>IFERROR(__xludf.DUMMYFUNCTION("""COMPUTED_VALUE"""),"4H3M")</f>
        <v>4H3M</v>
      </c>
      <c r="X118" s="287">
        <f>IFERROR(__xludf.DUMMYFUNCTION("""COMPUTED_VALUE"""),46200.0)</f>
        <v>46200</v>
      </c>
      <c r="Y118" s="285">
        <f>IFERROR(__xludf.DUMMYFUNCTION("""COMPUTED_VALUE"""),5.0)</f>
        <v>5</v>
      </c>
      <c r="Z118" s="289">
        <f>IFERROR(__xludf.DUMMYFUNCTION("""COMPUTED_VALUE"""),7750000.0)</f>
        <v>7750000</v>
      </c>
      <c r="AA118" s="285" t="str">
        <f>IFERROR(__xludf.DUMMYFUNCTION("""COMPUTED_VALUE"""),"orrderrr")</f>
        <v>orrderrr</v>
      </c>
      <c r="AC118" s="285" t="str">
        <f>IFERROR(__xludf.DUMMYFUNCTION("""COMPUTED_VALUE"""),"2601D134")</f>
        <v>2601D134</v>
      </c>
      <c r="AD118" s="286">
        <f>IFERROR(__xludf.DUMMYFUNCTION("""COMPUTED_VALUE"""),46040.0)</f>
        <v>46040</v>
      </c>
      <c r="AE118" s="285" t="str">
        <f>IFERROR(__xludf.DUMMYFUNCTION("""COMPUTED_VALUE"""),"Giin")</f>
        <v>Giin</v>
      </c>
      <c r="AF118" s="285" t="str">
        <f>IFERROR(__xludf.DUMMYFUNCTION("""COMPUTED_VALUE"""),"087898653538")</f>
        <v>087898653538</v>
      </c>
      <c r="AG118" s="285" t="str">
        <f>IFERROR(__xludf.DUMMYFUNCTION("""COMPUTED_VALUE"""),"Gagal")</f>
        <v>Gagal</v>
      </c>
      <c r="AH118" s="285" t="str">
        <f>IFERROR(__xludf.DUMMYFUNCTION("""COMPUTED_VALUE"""),"OT MT")</f>
        <v>OT MT</v>
      </c>
      <c r="AI118" s="287"/>
      <c r="AJ118" s="285">
        <f>IFERROR(__xludf.DUMMYFUNCTION("""COMPUTED_VALUE"""),1.0)</f>
        <v>1</v>
      </c>
      <c r="AK118" s="289"/>
      <c r="AL118" s="285" t="str">
        <f>IFERROR(__xludf.DUMMYFUNCTION("""COMPUTED_VALUE"""),"tunggu info fiks nya")</f>
        <v>tunggu info fiks nya</v>
      </c>
    </row>
    <row r="119">
      <c r="F119" s="285" t="str">
        <f>IFERROR(__xludf.DUMMYFUNCTION("""COMPUTED_VALUE"""),"2606D022")</f>
        <v>2606D022</v>
      </c>
      <c r="G119" s="286">
        <f>IFERROR(__xludf.DUMMYFUNCTION("""COMPUTED_VALUE"""),46177.0)</f>
        <v>46177</v>
      </c>
      <c r="H119" s="285" t="str">
        <f>IFERROR(__xludf.DUMMYFUNCTION("""COMPUTED_VALUE"""),"Atin Kurniawati ")</f>
        <v>Atin Kurniawati </v>
      </c>
      <c r="I119" s="285" t="str">
        <f>IFERROR(__xludf.DUMMYFUNCTION("""COMPUTED_VALUE"""),"085867185560")</f>
        <v>085867185560</v>
      </c>
      <c r="J119" s="285" t="str">
        <f>IFERROR(__xludf.DUMMYFUNCTION("""COMPUTED_VALUE"""),"Leads Baru")</f>
        <v>Leads Baru</v>
      </c>
      <c r="K119" s="285"/>
      <c r="L119" s="287"/>
      <c r="M119" s="288"/>
      <c r="N119" s="289"/>
      <c r="O119" s="290"/>
      <c r="P119" s="320"/>
      <c r="R119" s="285" t="str">
        <f>IFERROR(__xludf.DUMMYFUNCTION("""COMPUTED_VALUE"""),"2606D105")</f>
        <v>2606D105</v>
      </c>
      <c r="S119" s="286">
        <f>IFERROR(__xludf.DUMMYFUNCTION("""COMPUTED_VALUE"""),46186.0)</f>
        <v>46186</v>
      </c>
      <c r="T119" s="285" t="str">
        <f>IFERROR(__xludf.DUMMYFUNCTION("""COMPUTED_VALUE"""),"Isnaini")</f>
        <v>Isnaini</v>
      </c>
      <c r="U119" s="285" t="str">
        <f>IFERROR(__xludf.DUMMYFUNCTION("""COMPUTED_VALUE"""),"081295404483")</f>
        <v>081295404483</v>
      </c>
      <c r="V119" s="285" t="str">
        <f>IFERROR(__xludf.DUMMYFUNCTION("""COMPUTED_VALUE"""),"Closing")</f>
        <v>Closing</v>
      </c>
      <c r="W119" s="285" t="str">
        <f>IFERROR(__xludf.DUMMYFUNCTION("""COMPUTED_VALUE"""),"3h2m opsi A")</f>
        <v>3h2m opsi A</v>
      </c>
      <c r="X119" s="287">
        <f>IFERROR(__xludf.DUMMYFUNCTION("""COMPUTED_VALUE"""),46211.0)</f>
        <v>46211</v>
      </c>
      <c r="Y119" s="285">
        <f>IFERROR(__xludf.DUMMYFUNCTION("""COMPUTED_VALUE"""),2.0)</f>
        <v>2</v>
      </c>
      <c r="Z119" s="289">
        <f>IFERROR(__xludf.DUMMYFUNCTION("""COMPUTED_VALUE"""),7194000.0)</f>
        <v>7194000</v>
      </c>
      <c r="AA119" s="285" t="str">
        <f>IFERROR(__xludf.DUMMYFUNCTION("""COMPUTED_VALUE"""),"alhamdulillah orrderr")</f>
        <v>alhamdulillah orrderr</v>
      </c>
      <c r="AC119" s="285" t="str">
        <f>IFERROR(__xludf.DUMMYFUNCTION("""COMPUTED_VALUE"""),"2601D135")</f>
        <v>2601D135</v>
      </c>
      <c r="AD119" s="286">
        <f>IFERROR(__xludf.DUMMYFUNCTION("""COMPUTED_VALUE"""),46040.0)</f>
        <v>46040</v>
      </c>
      <c r="AE119" s="285" t="str">
        <f>IFERROR(__xludf.DUMMYFUNCTION("""COMPUTED_VALUE"""),"Deni Sultan")</f>
        <v>Deni Sultan</v>
      </c>
      <c r="AF119" s="285" t="str">
        <f>IFERROR(__xludf.DUMMYFUNCTION("""COMPUTED_VALUE"""),"085156837522")</f>
        <v>085156837522</v>
      </c>
      <c r="AG119" s="285" t="str">
        <f>IFERROR(__xludf.DUMMYFUNCTION("""COMPUTED_VALUE"""),"Gagal")</f>
        <v>Gagal</v>
      </c>
      <c r="AH119" s="285" t="str">
        <f>IFERROR(__xludf.DUMMYFUNCTION("""COMPUTED_VALUE"""),"OT MT")</f>
        <v>OT MT</v>
      </c>
      <c r="AI119" s="287">
        <f>IFERROR(__xludf.DUMMYFUNCTION("""COMPUTED_VALUE"""),46046.0)</f>
        <v>46046</v>
      </c>
      <c r="AJ119" s="285"/>
      <c r="AK119" s="289"/>
      <c r="AL119" s="285" t="str">
        <f>IFERROR(__xludf.DUMMYFUNCTION("""COMPUTED_VALUE"""),"nomr wa nya ganti")</f>
        <v>nomr wa nya ganti</v>
      </c>
    </row>
    <row r="120">
      <c r="F120" s="285" t="str">
        <f>IFERROR(__xludf.DUMMYFUNCTION("""COMPUTED_VALUE"""),"2606D027")</f>
        <v>2606D027</v>
      </c>
      <c r="G120" s="286">
        <f>IFERROR(__xludf.DUMMYFUNCTION("""COMPUTED_VALUE"""),46174.0)</f>
        <v>46174</v>
      </c>
      <c r="H120" s="285" t="str">
        <f>IFERROR(__xludf.DUMMYFUNCTION("""COMPUTED_VALUE"""),"Fauzan")</f>
        <v>Fauzan</v>
      </c>
      <c r="I120" s="285" t="str">
        <f>IFERROR(__xludf.DUMMYFUNCTION("""COMPUTED_VALUE"""),"081311539490")</f>
        <v>081311539490</v>
      </c>
      <c r="J120" s="285" t="str">
        <f>IFERROR(__xludf.DUMMYFUNCTION("""COMPUTED_VALUE"""),"Leads Baru")</f>
        <v>Leads Baru</v>
      </c>
      <c r="K120" s="285" t="str">
        <f>IFERROR(__xludf.DUMMYFUNCTION("""COMPUTED_VALUE"""),"4h3m custome")</f>
        <v>4h3m custome</v>
      </c>
      <c r="L120" s="287">
        <f>IFERROR(__xludf.DUMMYFUNCTION("""COMPUTED_VALUE"""),46243.0)</f>
        <v>46243</v>
      </c>
      <c r="M120" s="288">
        <f>IFERROR(__xludf.DUMMYFUNCTION("""COMPUTED_VALUE"""),3.0)</f>
        <v>3</v>
      </c>
      <c r="N120" s="289"/>
      <c r="O120" s="290" t="str">
        <f>IFERROR(__xludf.DUMMYFUNCTION("""COMPUTED_VALUE"""),"FU 17 Juni")</f>
        <v>FU 17 Juni</v>
      </c>
      <c r="P120" s="320"/>
      <c r="R120" s="285" t="str">
        <f>IFERROR(__xludf.DUMMYFUNCTION("""COMPUTED_VALUE"""),"2606D107")</f>
        <v>2606D107</v>
      </c>
      <c r="S120" s="286">
        <f>IFERROR(__xludf.DUMMYFUNCTION("""COMPUTED_VALUE"""),46186.0)</f>
        <v>46186</v>
      </c>
      <c r="T120" s="285" t="str">
        <f>IFERROR(__xludf.DUMMYFUNCTION("""COMPUTED_VALUE"""),"Naudi")</f>
        <v>Naudi</v>
      </c>
      <c r="U120" s="285" t="str">
        <f>IFERROR(__xludf.DUMMYFUNCTION("""COMPUTED_VALUE"""),"8618688390947")</f>
        <v>8618688390947</v>
      </c>
      <c r="V120" s="285" t="str">
        <f>IFERROR(__xludf.DUMMYFUNCTION("""COMPUTED_VALUE"""),"Closing")</f>
        <v>Closing</v>
      </c>
      <c r="W120" s="285" t="str">
        <f>IFERROR(__xludf.DUMMYFUNCTION("""COMPUTED_VALUE"""),"OT 3H2M")</f>
        <v>OT 3H2M</v>
      </c>
      <c r="X120" s="287">
        <f>IFERROR(__xludf.DUMMYFUNCTION("""COMPUTED_VALUE"""),46214.0)</f>
        <v>46214</v>
      </c>
      <c r="Y120" s="285">
        <f>IFERROR(__xludf.DUMMYFUNCTION("""COMPUTED_VALUE"""),2.0)</f>
        <v>2</v>
      </c>
      <c r="Z120" s="289">
        <f>IFERROR(__xludf.DUMMYFUNCTION("""COMPUTED_VALUE"""),3200000.0)</f>
        <v>3200000</v>
      </c>
      <c r="AA120" s="285" t="str">
        <f>IFERROR(__xludf.DUMMYFUNCTION("""COMPUTED_VALUE"""),"orrderrr")</f>
        <v>orrderrr</v>
      </c>
      <c r="AC120" s="285" t="str">
        <f>IFERROR(__xludf.DUMMYFUNCTION("""COMPUTED_VALUE"""),"2601D136")</f>
        <v>2601D136</v>
      </c>
      <c r="AD120" s="286">
        <f>IFERROR(__xludf.DUMMYFUNCTION("""COMPUTED_VALUE"""),46040.0)</f>
        <v>46040</v>
      </c>
      <c r="AE120" s="285" t="str">
        <f>IFERROR(__xludf.DUMMYFUNCTION("""COMPUTED_VALUE"""),"Intan safira ")</f>
        <v>Intan safira </v>
      </c>
      <c r="AF120" s="285" t="str">
        <f>IFERROR(__xludf.DUMMYFUNCTION("""COMPUTED_VALUE"""),"081230005911")</f>
        <v>081230005911</v>
      </c>
      <c r="AG120" s="285" t="str">
        <f>IFERROR(__xludf.DUMMYFUNCTION("""COMPUTED_VALUE"""),"Gagal")</f>
        <v>Gagal</v>
      </c>
      <c r="AH120" s="285" t="str">
        <f>IFERROR(__xludf.DUMMYFUNCTION("""COMPUTED_VALUE"""),"outbond kantor ")</f>
        <v>outbond kantor </v>
      </c>
      <c r="AI120" s="287"/>
      <c r="AJ120" s="285"/>
      <c r="AK120" s="289"/>
      <c r="AL120" s="285" t="str">
        <f>IFERROR(__xludf.DUMMYFUNCTION("""COMPUTED_VALUE"""),"tunggu informasi selanjutnya")</f>
        <v>tunggu informasi selanjutnya</v>
      </c>
    </row>
    <row r="121">
      <c r="F121" s="285" t="str">
        <f>IFERROR(__xludf.DUMMYFUNCTION("""COMPUTED_VALUE"""),"2606D028")</f>
        <v>2606D028</v>
      </c>
      <c r="G121" s="286">
        <f>IFERROR(__xludf.DUMMYFUNCTION("""COMPUTED_VALUE"""),46177.0)</f>
        <v>46177</v>
      </c>
      <c r="H121" s="285" t="str">
        <f>IFERROR(__xludf.DUMMYFUNCTION("""COMPUTED_VALUE"""),"Qory")</f>
        <v>Qory</v>
      </c>
      <c r="I121" s="285" t="str">
        <f>IFERROR(__xludf.DUMMYFUNCTION("""COMPUTED_VALUE"""),"081413456263")</f>
        <v>081413456263</v>
      </c>
      <c r="J121" s="285" t="str">
        <f>IFERROR(__xludf.DUMMYFUNCTION("""COMPUTED_VALUE"""),"Leads Baru")</f>
        <v>Leads Baru</v>
      </c>
      <c r="K121" s="285" t="str">
        <f>IFERROR(__xludf.DUMMYFUNCTION("""COMPUTED_VALUE"""),"3h2m opsi A")</f>
        <v>3h2m opsi A</v>
      </c>
      <c r="L121" s="287">
        <f>IFERROR(__xludf.DUMMYFUNCTION("""COMPUTED_VALUE"""),46256.0)</f>
        <v>46256</v>
      </c>
      <c r="M121" s="288"/>
      <c r="N121" s="289"/>
      <c r="O121" s="290" t="str">
        <f>IFERROR(__xludf.DUMMYFUNCTION("""COMPUTED_VALUE"""),"FU 4 Juli")</f>
        <v>FU 4 Juli</v>
      </c>
      <c r="P121" s="320"/>
      <c r="R121" s="285" t="str">
        <f>IFERROR(__xludf.DUMMYFUNCTION("""COMPUTED_VALUE"""),"2606D109")</f>
        <v>2606D109</v>
      </c>
      <c r="S121" s="286">
        <f>IFERROR(__xludf.DUMMYFUNCTION("""COMPUTED_VALUE"""),46186.0)</f>
        <v>46186</v>
      </c>
      <c r="T121" s="285" t="str">
        <f>IFERROR(__xludf.DUMMYFUNCTION("""COMPUTED_VALUE"""),"Nizam")</f>
        <v>Nizam</v>
      </c>
      <c r="U121" s="285" t="str">
        <f>IFERROR(__xludf.DUMMYFUNCTION("""COMPUTED_VALUE"""),"081235122895")</f>
        <v>081235122895</v>
      </c>
      <c r="V121" s="285" t="str">
        <f>IFERROR(__xludf.DUMMYFUNCTION("""COMPUTED_VALUE"""),"Closing")</f>
        <v>Closing</v>
      </c>
      <c r="W121" s="285" t="str">
        <f>IFERROR(__xludf.DUMMYFUNCTION("""COMPUTED_VALUE"""),"OT MT")</f>
        <v>OT MT</v>
      </c>
      <c r="X121" s="287">
        <f>IFERROR(__xludf.DUMMYFUNCTION("""COMPUTED_VALUE"""),46215.0)</f>
        <v>46215</v>
      </c>
      <c r="Y121" s="285">
        <f>IFERROR(__xludf.DUMMYFUNCTION("""COMPUTED_VALUE"""),6.0)</f>
        <v>6</v>
      </c>
      <c r="Z121" s="289">
        <f>IFERROR(__xludf.DUMMYFUNCTION("""COMPUTED_VALUE"""),1650000.0)</f>
        <v>1650000</v>
      </c>
      <c r="AA121" s="285" t="str">
        <f>IFERROR(__xludf.DUMMYFUNCTION("""COMPUTED_VALUE"""),"orrderrr")</f>
        <v>orrderrr</v>
      </c>
      <c r="AC121" s="285" t="str">
        <f>IFERROR(__xludf.DUMMYFUNCTION("""COMPUTED_VALUE"""),"2601D137")</f>
        <v>2601D137</v>
      </c>
      <c r="AD121" s="286">
        <f>IFERROR(__xludf.DUMMYFUNCTION("""COMPUTED_VALUE"""),46040.0)</f>
        <v>46040</v>
      </c>
      <c r="AE121" s="285" t="str">
        <f>IFERROR(__xludf.DUMMYFUNCTION("""COMPUTED_VALUE"""),"Silpink")</f>
        <v>Silpink</v>
      </c>
      <c r="AF121" s="285" t="str">
        <f>IFERROR(__xludf.DUMMYFUNCTION("""COMPUTED_VALUE"""),"082113390249")</f>
        <v>082113390249</v>
      </c>
      <c r="AG121" s="285" t="str">
        <f>IFERROR(__xludf.DUMMYFUNCTION("""COMPUTED_VALUE"""),"Gagal")</f>
        <v>Gagal</v>
      </c>
      <c r="AH121" s="285" t="str">
        <f>IFERROR(__xludf.DUMMYFUNCTION("""COMPUTED_VALUE"""),"custom ")</f>
        <v>custom </v>
      </c>
      <c r="AI121" s="287"/>
      <c r="AJ121" s="285"/>
      <c r="AK121" s="289"/>
      <c r="AL121" s="285" t="str">
        <f>IFERROR(__xludf.DUMMYFUNCTION("""COMPUTED_VALUE"""),"tanya tanya")</f>
        <v>tanya tanya</v>
      </c>
    </row>
    <row r="122">
      <c r="F122" s="285" t="str">
        <f>IFERROR(__xludf.DUMMYFUNCTION("""COMPUTED_VALUE"""),"2606D029")</f>
        <v>2606D029</v>
      </c>
      <c r="G122" s="286">
        <f>IFERROR(__xludf.DUMMYFUNCTION("""COMPUTED_VALUE"""),46177.0)</f>
        <v>46177</v>
      </c>
      <c r="H122" s="285" t="str">
        <f>IFERROR(__xludf.DUMMYFUNCTION("""COMPUTED_VALUE"""),"Krent")</f>
        <v>Krent</v>
      </c>
      <c r="I122" s="285" t="str">
        <f>IFERROR(__xludf.DUMMYFUNCTION("""COMPUTED_VALUE"""),"082140807506")</f>
        <v>082140807506</v>
      </c>
      <c r="J122" s="285" t="str">
        <f>IFERROR(__xludf.DUMMYFUNCTION("""COMPUTED_VALUE"""),"Leads Baru")</f>
        <v>Leads Baru</v>
      </c>
      <c r="K122" s="285" t="str">
        <f>IFERROR(__xludf.DUMMYFUNCTION("""COMPUTED_VALUE"""),"2h1m opsi A")</f>
        <v>2h1m opsi A</v>
      </c>
      <c r="L122" s="287"/>
      <c r="M122" s="288"/>
      <c r="N122" s="289"/>
      <c r="O122" s="290" t="str">
        <f>IFERROR(__xludf.DUMMYFUNCTION("""COMPUTED_VALUE"""),"FU 9 Juni")</f>
        <v>FU 9 Juni</v>
      </c>
      <c r="P122" s="320"/>
      <c r="R122" s="285" t="str">
        <f>IFERROR(__xludf.DUMMYFUNCTION("""COMPUTED_VALUE"""),"2606D110")</f>
        <v>2606D110</v>
      </c>
      <c r="S122" s="286">
        <f>IFERROR(__xludf.DUMMYFUNCTION("""COMPUTED_VALUE"""),46186.0)</f>
        <v>46186</v>
      </c>
      <c r="T122" s="285" t="str">
        <f>IFERROR(__xludf.DUMMYFUNCTION("""COMPUTED_VALUE"""),"Ichsan Halwan ")</f>
        <v>Ichsan Halwan </v>
      </c>
      <c r="U122" s="285" t="str">
        <f>IFERROR(__xludf.DUMMYFUNCTION("""COMPUTED_VALUE"""),"082124454174")</f>
        <v>082124454174</v>
      </c>
      <c r="V122" s="285" t="str">
        <f>IFERROR(__xludf.DUMMYFUNCTION("""COMPUTED_VALUE"""),"Closing")</f>
        <v>Closing</v>
      </c>
      <c r="W122" s="285" t="str">
        <f>IFERROR(__xludf.DUMMYFUNCTION("""COMPUTED_VALUE"""),"OT MT")</f>
        <v>OT MT</v>
      </c>
      <c r="X122" s="287">
        <f>IFERROR(__xludf.DUMMYFUNCTION("""COMPUTED_VALUE"""),46201.0)</f>
        <v>46201</v>
      </c>
      <c r="Y122" s="285">
        <f>IFERROR(__xludf.DUMMYFUNCTION("""COMPUTED_VALUE"""),5.0)</f>
        <v>5</v>
      </c>
      <c r="Z122" s="289">
        <f>IFERROR(__xludf.DUMMYFUNCTION("""COMPUTED_VALUE"""),1375000.0)</f>
        <v>1375000</v>
      </c>
      <c r="AA122" s="285" t="str">
        <f>IFERROR(__xludf.DUMMYFUNCTION("""COMPUTED_VALUE"""),"orrdderrr")</f>
        <v>orrdderrr</v>
      </c>
      <c r="AC122" s="285" t="str">
        <f>IFERROR(__xludf.DUMMYFUNCTION("""COMPUTED_VALUE"""),"2601D138")</f>
        <v>2601D138</v>
      </c>
      <c r="AD122" s="286">
        <f>IFERROR(__xludf.DUMMYFUNCTION("""COMPUTED_VALUE"""),46040.0)</f>
        <v>46040</v>
      </c>
      <c r="AE122" s="285" t="str">
        <f>IFERROR(__xludf.DUMMYFUNCTION("""COMPUTED_VALUE"""),"Rhma")</f>
        <v>Rhma</v>
      </c>
      <c r="AF122" s="285" t="str">
        <f>IFERROR(__xludf.DUMMYFUNCTION("""COMPUTED_VALUE"""),"087877184620")</f>
        <v>087877184620</v>
      </c>
      <c r="AG122" s="285" t="str">
        <f>IFERROR(__xludf.DUMMYFUNCTION("""COMPUTED_VALUE"""),"Gagal")</f>
        <v>Gagal</v>
      </c>
      <c r="AH122" s="285"/>
      <c r="AI122" s="287"/>
      <c r="AJ122" s="285"/>
      <c r="AK122" s="289"/>
      <c r="AL122" s="285" t="str">
        <f>IFERROR(__xludf.DUMMYFUNCTION("""COMPUTED_VALUE"""),"tanya meeting point")</f>
        <v>tanya meeting point</v>
      </c>
    </row>
    <row r="123">
      <c r="F123" s="285" t="str">
        <f>IFERROR(__xludf.DUMMYFUNCTION("""COMPUTED_VALUE"""),"2606D030")</f>
        <v>2606D030</v>
      </c>
      <c r="G123" s="286">
        <f>IFERROR(__xludf.DUMMYFUNCTION("""COMPUTED_VALUE"""),46177.0)</f>
        <v>46177</v>
      </c>
      <c r="H123" s="285" t="str">
        <f>IFERROR(__xludf.DUMMYFUNCTION("""COMPUTED_VALUE"""),"Vaton ")</f>
        <v>Vaton </v>
      </c>
      <c r="I123" s="285" t="str">
        <f>IFERROR(__xludf.DUMMYFUNCTION("""COMPUTED_VALUE"""),"082140319854")</f>
        <v>082140319854</v>
      </c>
      <c r="J123" s="285" t="str">
        <f>IFERROR(__xludf.DUMMYFUNCTION("""COMPUTED_VALUE"""),"Leads Baru")</f>
        <v>Leads Baru</v>
      </c>
      <c r="K123" s="285" t="str">
        <f>IFERROR(__xludf.DUMMYFUNCTION("""COMPUTED_VALUE"""),"OT MT")</f>
        <v>OT MT</v>
      </c>
      <c r="L123" s="287"/>
      <c r="M123" s="288"/>
      <c r="N123" s="289"/>
      <c r="O123" s="290" t="str">
        <f>IFERROR(__xludf.DUMMYFUNCTION("""COMPUTED_VALUE"""),"FU 8 Juni")</f>
        <v>FU 8 Juni</v>
      </c>
      <c r="P123" s="320"/>
      <c r="R123" s="285" t="str">
        <f>IFERROR(__xludf.DUMMYFUNCTION("""COMPUTED_VALUE"""),"2606D115")</f>
        <v>2606D115</v>
      </c>
      <c r="S123" s="286">
        <f>IFERROR(__xludf.DUMMYFUNCTION("""COMPUTED_VALUE"""),46188.0)</f>
        <v>46188</v>
      </c>
      <c r="T123" s="285" t="str">
        <f>IFERROR(__xludf.DUMMYFUNCTION("""COMPUTED_VALUE"""),"Wiwi Anik")</f>
        <v>Wiwi Anik</v>
      </c>
      <c r="U123" s="285" t="str">
        <f>IFERROR(__xludf.DUMMYFUNCTION("""COMPUTED_VALUE"""),"085718148494")</f>
        <v>085718148494</v>
      </c>
      <c r="V123" s="285" t="str">
        <f>IFERROR(__xludf.DUMMYFUNCTION("""COMPUTED_VALUE"""),"Closing")</f>
        <v>Closing</v>
      </c>
      <c r="W123" s="285" t="str">
        <f>IFERROR(__xludf.DUMMYFUNCTION("""COMPUTED_VALUE"""),"2H1M custome")</f>
        <v>2H1M custome</v>
      </c>
      <c r="X123" s="287">
        <f>IFERROR(__xludf.DUMMYFUNCTION("""COMPUTED_VALUE"""),46303.0)</f>
        <v>46303</v>
      </c>
      <c r="Y123" s="285">
        <f>IFERROR(__xludf.DUMMYFUNCTION("""COMPUTED_VALUE"""),11.0)</f>
        <v>11</v>
      </c>
      <c r="Z123" s="289">
        <f>IFERROR(__xludf.DUMMYFUNCTION("""COMPUTED_VALUE"""),1.1275E7)</f>
        <v>11275000</v>
      </c>
      <c r="AA123" s="285" t="str">
        <f>IFERROR(__xludf.DUMMYFUNCTION("""COMPUTED_VALUE"""),"orrderrr (12pax 1 anak kecil)")</f>
        <v>orrderrr (12pax 1 anak kecil)</v>
      </c>
      <c r="AC123" s="285" t="str">
        <f>IFERROR(__xludf.DUMMYFUNCTION("""COMPUTED_VALUE"""),"2601D139")</f>
        <v>2601D139</v>
      </c>
      <c r="AD123" s="286">
        <f>IFERROR(__xludf.DUMMYFUNCTION("""COMPUTED_VALUE"""),46040.0)</f>
        <v>46040</v>
      </c>
      <c r="AE123" s="285" t="str">
        <f>IFERROR(__xludf.DUMMYFUNCTION("""COMPUTED_VALUE"""),"Rubya R")</f>
        <v>Rubya R</v>
      </c>
      <c r="AF123" s="285" t="str">
        <f>IFERROR(__xludf.DUMMYFUNCTION("""COMPUTED_VALUE"""),"082295403309")</f>
        <v>082295403309</v>
      </c>
      <c r="AG123" s="285" t="str">
        <f>IFERROR(__xludf.DUMMYFUNCTION("""COMPUTED_VALUE"""),"Gagal")</f>
        <v>Gagal</v>
      </c>
      <c r="AH123" s="285" t="str">
        <f>IFERROR(__xludf.DUMMYFUNCTION("""COMPUTED_VALUE"""),"1 day trip")</f>
        <v>1 day trip</v>
      </c>
      <c r="AI123" s="287"/>
      <c r="AJ123" s="285"/>
      <c r="AK123" s="289"/>
      <c r="AL123" s="285" t="str">
        <f>IFERROR(__xludf.DUMMYFUNCTION("""COMPUTED_VALUE"""),"tanya custom destinasi")</f>
        <v>tanya custom destinasi</v>
      </c>
    </row>
    <row r="124">
      <c r="F124" s="285" t="str">
        <f>IFERROR(__xludf.DUMMYFUNCTION("""COMPUTED_VALUE"""),"2606D031")</f>
        <v>2606D031</v>
      </c>
      <c r="G124" s="286">
        <f>IFERROR(__xludf.DUMMYFUNCTION("""COMPUTED_VALUE"""),46176.0)</f>
        <v>46176</v>
      </c>
      <c r="H124" s="285" t="str">
        <f>IFERROR(__xludf.DUMMYFUNCTION("""COMPUTED_VALUE"""),"Peggy Tyas")</f>
        <v>Peggy Tyas</v>
      </c>
      <c r="I124" s="285" t="str">
        <f>IFERROR(__xludf.DUMMYFUNCTION("""COMPUTED_VALUE"""),"082221370981")</f>
        <v>082221370981</v>
      </c>
      <c r="J124" s="285" t="str">
        <f>IFERROR(__xludf.DUMMYFUNCTION("""COMPUTED_VALUE"""),"Leads Baru")</f>
        <v>Leads Baru</v>
      </c>
      <c r="K124" s="285" t="str">
        <f>IFERROR(__xludf.DUMMYFUNCTION("""COMPUTED_VALUE"""),"2H1M")</f>
        <v>2H1M</v>
      </c>
      <c r="L124" s="287"/>
      <c r="M124" s="288">
        <f>IFERROR(__xludf.DUMMYFUNCTION("""COMPUTED_VALUE"""),2.0)</f>
        <v>2</v>
      </c>
      <c r="N124" s="289"/>
      <c r="O124" s="290" t="str">
        <f>IFERROR(__xludf.DUMMYFUNCTION("""COMPUTED_VALUE"""),"FU 9 Juni")</f>
        <v>FU 9 Juni</v>
      </c>
      <c r="P124" s="320"/>
      <c r="R124" s="285" t="str">
        <f>IFERROR(__xludf.DUMMYFUNCTION("""COMPUTED_VALUE"""),"2606D122")</f>
        <v>2606D122</v>
      </c>
      <c r="S124" s="286">
        <f>IFERROR(__xludf.DUMMYFUNCTION("""COMPUTED_VALUE"""),46189.0)</f>
        <v>46189</v>
      </c>
      <c r="T124" s="285" t="str">
        <f>IFERROR(__xludf.DUMMYFUNCTION("""COMPUTED_VALUE"""),"Ahmad Soim")</f>
        <v>Ahmad Soim</v>
      </c>
      <c r="U124" s="285" t="str">
        <f>IFERROR(__xludf.DUMMYFUNCTION("""COMPUTED_VALUE"""),"08127452390")</f>
        <v>08127452390</v>
      </c>
      <c r="V124" s="285" t="str">
        <f>IFERROR(__xludf.DUMMYFUNCTION("""COMPUTED_VALUE"""),"Closing")</f>
        <v>Closing</v>
      </c>
      <c r="W124" s="285" t="str">
        <f>IFERROR(__xludf.DUMMYFUNCTION("""COMPUTED_VALUE"""),"3h2m custome")</f>
        <v>3h2m custome</v>
      </c>
      <c r="X124" s="287">
        <f>IFERROR(__xludf.DUMMYFUNCTION("""COMPUTED_VALUE"""),46202.0)</f>
        <v>46202</v>
      </c>
      <c r="Y124" s="285">
        <f>IFERROR(__xludf.DUMMYFUNCTION("""COMPUTED_VALUE"""),5.0)</f>
        <v>5</v>
      </c>
      <c r="Z124" s="289">
        <f>IFERROR(__xludf.DUMMYFUNCTION("""COMPUTED_VALUE"""),1.185E7)</f>
        <v>11850000</v>
      </c>
      <c r="AA124" s="285" t="str">
        <f>IFERROR(__xludf.DUMMYFUNCTION("""COMPUTED_VALUE"""),"orrderrr")</f>
        <v>orrderrr</v>
      </c>
      <c r="AC124" s="285" t="str">
        <f>IFERROR(__xludf.DUMMYFUNCTION("""COMPUTED_VALUE"""),"2601D140")</f>
        <v>2601D140</v>
      </c>
      <c r="AD124" s="286">
        <f>IFERROR(__xludf.DUMMYFUNCTION("""COMPUTED_VALUE"""),46040.0)</f>
        <v>46040</v>
      </c>
      <c r="AE124" s="285" t="str">
        <f>IFERROR(__xludf.DUMMYFUNCTION("""COMPUTED_VALUE"""),"No Name love")</f>
        <v>No Name love</v>
      </c>
      <c r="AF124" s="285" t="str">
        <f>IFERROR(__xludf.DUMMYFUNCTION("""COMPUTED_VALUE"""),"0895366283298")</f>
        <v>0895366283298</v>
      </c>
      <c r="AG124" s="285" t="str">
        <f>IFERROR(__xludf.DUMMYFUNCTION("""COMPUTED_VALUE"""),"Gagal")</f>
        <v>Gagal</v>
      </c>
      <c r="AH124" s="285"/>
      <c r="AI124" s="287"/>
      <c r="AJ124" s="285"/>
      <c r="AK124" s="289"/>
      <c r="AL124" s="285" t="str">
        <f>IFERROR(__xludf.DUMMYFUNCTION("""COMPUTED_VALUE"""),"tanya penjemputan dari surabaya")</f>
        <v>tanya penjemputan dari surabaya</v>
      </c>
    </row>
    <row r="125">
      <c r="F125" s="285" t="str">
        <f>IFERROR(__xludf.DUMMYFUNCTION("""COMPUTED_VALUE"""),"2606D032")</f>
        <v>2606D032</v>
      </c>
      <c r="G125" s="286">
        <f>IFERROR(__xludf.DUMMYFUNCTION("""COMPUTED_VALUE"""),46177.0)</f>
        <v>46177</v>
      </c>
      <c r="H125" s="285" t="str">
        <f>IFERROR(__xludf.DUMMYFUNCTION("""COMPUTED_VALUE"""),"Telepitu stempel")</f>
        <v>Telepitu stempel</v>
      </c>
      <c r="I125" s="285" t="str">
        <f>IFERROR(__xludf.DUMMYFUNCTION("""COMPUTED_VALUE"""),"089618500344")</f>
        <v>089618500344</v>
      </c>
      <c r="J125" s="285" t="str">
        <f>IFERROR(__xludf.DUMMYFUNCTION("""COMPUTED_VALUE"""),"Leads Baru")</f>
        <v>Leads Baru</v>
      </c>
      <c r="K125" s="285" t="str">
        <f>IFERROR(__xludf.DUMMYFUNCTION("""COMPUTED_VALUE"""),"2h1m/1 day trip")</f>
        <v>2h1m/1 day trip</v>
      </c>
      <c r="L125" s="287"/>
      <c r="M125" s="288">
        <f>IFERROR(__xludf.DUMMYFUNCTION("""COMPUTED_VALUE"""),12.0)</f>
        <v>12</v>
      </c>
      <c r="N125" s="289"/>
      <c r="O125" s="290" t="str">
        <f>IFERROR(__xludf.DUMMYFUNCTION("""COMPUTED_VALUE"""),"buat penawaran")</f>
        <v>buat penawaran</v>
      </c>
      <c r="P125" s="320"/>
      <c r="R125" s="285" t="str">
        <f>IFERROR(__xludf.DUMMYFUNCTION("""COMPUTED_VALUE"""),"2606D123")</f>
        <v>2606D123</v>
      </c>
      <c r="S125" s="286">
        <f>IFERROR(__xludf.DUMMYFUNCTION("""COMPUTED_VALUE"""),46189.0)</f>
        <v>46189</v>
      </c>
      <c r="T125" s="285" t="str">
        <f>IFERROR(__xludf.DUMMYFUNCTION("""COMPUTED_VALUE"""),"Amanda")</f>
        <v>Amanda</v>
      </c>
      <c r="U125" s="285" t="str">
        <f>IFERROR(__xludf.DUMMYFUNCTION("""COMPUTED_VALUE"""),"089688855219")</f>
        <v>089688855219</v>
      </c>
      <c r="V125" s="285" t="str">
        <f>IFERROR(__xludf.DUMMYFUNCTION("""COMPUTED_VALUE"""),"Closing")</f>
        <v>Closing</v>
      </c>
      <c r="W125" s="285" t="str">
        <f>IFERROR(__xludf.DUMMYFUNCTION("""COMPUTED_VALUE"""),"OT Djabal")</f>
        <v>OT Djabal</v>
      </c>
      <c r="X125" s="287">
        <f>IFERROR(__xludf.DUMMYFUNCTION("""COMPUTED_VALUE"""),46191.0)</f>
        <v>46191</v>
      </c>
      <c r="Y125" s="285">
        <f>IFERROR(__xludf.DUMMYFUNCTION("""COMPUTED_VALUE"""),2.0)</f>
        <v>2</v>
      </c>
      <c r="Z125" s="289">
        <f>IFERROR(__xludf.DUMMYFUNCTION("""COMPUTED_VALUE"""),1100000.0)</f>
        <v>1100000</v>
      </c>
      <c r="AA125" s="285" t="str">
        <f>IFERROR(__xludf.DUMMYFUNCTION("""COMPUTED_VALUE"""),"orrderrr")</f>
        <v>orrderrr</v>
      </c>
      <c r="AC125" s="285" t="str">
        <f>IFERROR(__xludf.DUMMYFUNCTION("""COMPUTED_VALUE"""),"2601D141")</f>
        <v>2601D141</v>
      </c>
      <c r="AD125" s="286">
        <f>IFERROR(__xludf.DUMMYFUNCTION("""COMPUTED_VALUE"""),46041.0)</f>
        <v>46041</v>
      </c>
      <c r="AE125" s="285" t="str">
        <f>IFERROR(__xludf.DUMMYFUNCTION("""COMPUTED_VALUE"""),"Salsabiila rizky ")</f>
        <v>Salsabiila rizky </v>
      </c>
      <c r="AF125" s="285" t="str">
        <f>IFERROR(__xludf.DUMMYFUNCTION("""COMPUTED_VALUE"""),"082253199432")</f>
        <v>082253199432</v>
      </c>
      <c r="AG125" s="285" t="str">
        <f>IFERROR(__xludf.DUMMYFUNCTION("""COMPUTED_VALUE"""),"Gagal")</f>
        <v>Gagal</v>
      </c>
      <c r="AH125" s="285" t="str">
        <f>IFERROR(__xludf.DUMMYFUNCTION("""COMPUTED_VALUE"""),"4H3M")</f>
        <v>4H3M</v>
      </c>
      <c r="AI125" s="287"/>
      <c r="AJ125" s="285"/>
      <c r="AK125" s="289"/>
      <c r="AL125" s="285" t="str">
        <f>IFERROR(__xludf.DUMMYFUNCTION("""COMPUTED_VALUE"""),"tanya tanya ")</f>
        <v>tanya tanya </v>
      </c>
    </row>
    <row r="126">
      <c r="F126" s="285" t="str">
        <f>IFERROR(__xludf.DUMMYFUNCTION("""COMPUTED_VALUE"""),"2606D033")</f>
        <v>2606D033</v>
      </c>
      <c r="G126" s="286">
        <f>IFERROR(__xludf.DUMMYFUNCTION("""COMPUTED_VALUE"""),46177.0)</f>
        <v>46177</v>
      </c>
      <c r="H126" s="285" t="str">
        <f>IFERROR(__xludf.DUMMYFUNCTION("""COMPUTED_VALUE"""),"Ridho Banahsan")</f>
        <v>Ridho Banahsan</v>
      </c>
      <c r="I126" s="285" t="str">
        <f>IFERROR(__xludf.DUMMYFUNCTION("""COMPUTED_VALUE"""),"085156583478")</f>
        <v>085156583478</v>
      </c>
      <c r="J126" s="285" t="str">
        <f>IFERROR(__xludf.DUMMYFUNCTION("""COMPUTED_VALUE"""),"Leads Baru")</f>
        <v>Leads Baru</v>
      </c>
      <c r="K126" s="285" t="str">
        <f>IFERROR(__xludf.DUMMYFUNCTION("""COMPUTED_VALUE"""),"OT MT")</f>
        <v>OT MT</v>
      </c>
      <c r="L126" s="287"/>
      <c r="M126" s="288"/>
      <c r="N126" s="289"/>
      <c r="O126" s="290" t="str">
        <f>IFERROR(__xludf.DUMMYFUNCTION("""COMPUTED_VALUE"""),"FU 9 Juni")</f>
        <v>FU 9 Juni</v>
      </c>
      <c r="P126" s="320"/>
      <c r="R126" s="285" t="str">
        <f>IFERROR(__xludf.DUMMYFUNCTION("""COMPUTED_VALUE"""),"2606D124")</f>
        <v>2606D124</v>
      </c>
      <c r="S126" s="286">
        <f>IFERROR(__xludf.DUMMYFUNCTION("""COMPUTED_VALUE"""),46189.0)</f>
        <v>46189</v>
      </c>
      <c r="T126" s="285" t="str">
        <f>IFERROR(__xludf.DUMMYFUNCTION("""COMPUTED_VALUE"""),"Mota ")</f>
        <v>Mota </v>
      </c>
      <c r="U126" s="285" t="str">
        <f>IFERROR(__xludf.DUMMYFUNCTION("""COMPUTED_VALUE"""),"085770423505 ")</f>
        <v>085770423505 </v>
      </c>
      <c r="V126" s="285" t="str">
        <f>IFERROR(__xludf.DUMMYFUNCTION("""COMPUTED_VALUE"""),"Closing")</f>
        <v>Closing</v>
      </c>
      <c r="W126" s="285" t="str">
        <f>IFERROR(__xludf.DUMMYFUNCTION("""COMPUTED_VALUE"""),"OT MT")</f>
        <v>OT MT</v>
      </c>
      <c r="X126" s="287">
        <f>IFERROR(__xludf.DUMMYFUNCTION("""COMPUTED_VALUE"""),46191.0)</f>
        <v>46191</v>
      </c>
      <c r="Y126" s="285">
        <f>IFERROR(__xludf.DUMMYFUNCTION("""COMPUTED_VALUE"""),2.0)</f>
        <v>2</v>
      </c>
      <c r="Z126" s="289">
        <f>IFERROR(__xludf.DUMMYFUNCTION("""COMPUTED_VALUE"""),800000.0)</f>
        <v>800000</v>
      </c>
      <c r="AA126" s="285" t="str">
        <f>IFERROR(__xludf.DUMMYFUNCTION("""COMPUTED_VALUE"""),"orrderrr")</f>
        <v>orrderrr</v>
      </c>
      <c r="AC126" s="285" t="str">
        <f>IFERROR(__xludf.DUMMYFUNCTION("""COMPUTED_VALUE"""),"2601D142")</f>
        <v>2601D142</v>
      </c>
      <c r="AD126" s="286">
        <f>IFERROR(__xludf.DUMMYFUNCTION("""COMPUTED_VALUE"""),46041.0)</f>
        <v>46041</v>
      </c>
      <c r="AE126" s="285" t="str">
        <f>IFERROR(__xludf.DUMMYFUNCTION("""COMPUTED_VALUE"""),"Nabhita Maulia")</f>
        <v>Nabhita Maulia</v>
      </c>
      <c r="AF126" s="285" t="str">
        <f>IFERROR(__xludf.DUMMYFUNCTION("""COMPUTED_VALUE"""),"085878729443")</f>
        <v>085878729443</v>
      </c>
      <c r="AG126" s="285" t="str">
        <f>IFERROR(__xludf.DUMMYFUNCTION("""COMPUTED_VALUE"""),"Gagal")</f>
        <v>Gagal</v>
      </c>
      <c r="AH126" s="285"/>
      <c r="AI126" s="287"/>
      <c r="AJ126" s="285"/>
      <c r="AK126" s="289"/>
      <c r="AL126" s="285" t="str">
        <f>IFERROR(__xludf.DUMMYFUNCTION("""COMPUTED_VALUE"""),"Sekedar nyapa")</f>
        <v>Sekedar nyapa</v>
      </c>
    </row>
    <row r="127">
      <c r="F127" s="285" t="str">
        <f>IFERROR(__xludf.DUMMYFUNCTION("""COMPUTED_VALUE"""),"2606D034")</f>
        <v>2606D034</v>
      </c>
      <c r="G127" s="286">
        <f>IFERROR(__xludf.DUMMYFUNCTION("""COMPUTED_VALUE"""),46177.0)</f>
        <v>46177</v>
      </c>
      <c r="H127" s="285" t="str">
        <f>IFERROR(__xludf.DUMMYFUNCTION("""COMPUTED_VALUE"""),"Ary Suryaning Tiyas")</f>
        <v>Ary Suryaning Tiyas</v>
      </c>
      <c r="I127" s="285" t="str">
        <f>IFERROR(__xludf.DUMMYFUNCTION("""COMPUTED_VALUE"""),"088996881431")</f>
        <v>088996881431</v>
      </c>
      <c r="J127" s="285" t="str">
        <f>IFERROR(__xludf.DUMMYFUNCTION("""COMPUTED_VALUE"""),"Leads Baru")</f>
        <v>Leads Baru</v>
      </c>
      <c r="K127" s="285" t="str">
        <f>IFERROR(__xludf.DUMMYFUNCTION("""COMPUTED_VALUE"""),"1 day trip ")</f>
        <v>1 day trip </v>
      </c>
      <c r="L127" s="287"/>
      <c r="M127" s="288">
        <f>IFERROR(__xludf.DUMMYFUNCTION("""COMPUTED_VALUE"""),12.0)</f>
        <v>12</v>
      </c>
      <c r="N127" s="289"/>
      <c r="O127" s="290" t="str">
        <f>IFERROR(__xludf.DUMMYFUNCTION("""COMPUTED_VALUE"""),"FU 10 Juni")</f>
        <v>FU 10 Juni</v>
      </c>
      <c r="P127" s="320"/>
      <c r="R127" s="285" t="str">
        <f>IFERROR(__xludf.DUMMYFUNCTION("""COMPUTED_VALUE"""),"2606D135")</f>
        <v>2606D135</v>
      </c>
      <c r="S127" s="286">
        <f>IFERROR(__xludf.DUMMYFUNCTION("""COMPUTED_VALUE"""),46191.0)</f>
        <v>46191</v>
      </c>
      <c r="T127" s="285" t="str">
        <f>IFERROR(__xludf.DUMMYFUNCTION("""COMPUTED_VALUE"""),"Flo")</f>
        <v>Flo</v>
      </c>
      <c r="U127" s="285" t="str">
        <f>IFERROR(__xludf.DUMMYFUNCTION("""COMPUTED_VALUE"""),"08122226577")</f>
        <v>08122226577</v>
      </c>
      <c r="V127" s="285" t="str">
        <f>IFERROR(__xludf.DUMMYFUNCTION("""COMPUTED_VALUE"""),"Closing")</f>
        <v>Closing</v>
      </c>
      <c r="W127" s="285" t="str">
        <f>IFERROR(__xludf.DUMMYFUNCTION("""COMPUTED_VALUE"""),"2H1M Custome")</f>
        <v>2H1M Custome</v>
      </c>
      <c r="X127" s="287">
        <f>IFERROR(__xludf.DUMMYFUNCTION("""COMPUTED_VALUE"""),46192.0)</f>
        <v>46192</v>
      </c>
      <c r="Y127" s="285">
        <f>IFERROR(__xludf.DUMMYFUNCTION("""COMPUTED_VALUE"""),4.0)</f>
        <v>4</v>
      </c>
      <c r="Z127" s="289">
        <f>IFERROR(__xludf.DUMMYFUNCTION("""COMPUTED_VALUE"""),1.425E7)</f>
        <v>14250000</v>
      </c>
      <c r="AA127" s="285" t="str">
        <f>IFERROR(__xludf.DUMMYFUNCTION("""COMPUTED_VALUE"""),"orrderrr")</f>
        <v>orrderrr</v>
      </c>
      <c r="AC127" s="285" t="str">
        <f>IFERROR(__xludf.DUMMYFUNCTION("""COMPUTED_VALUE"""),"2601D143")</f>
        <v>2601D143</v>
      </c>
      <c r="AD127" s="286">
        <f>IFERROR(__xludf.DUMMYFUNCTION("""COMPUTED_VALUE"""),46041.0)</f>
        <v>46041</v>
      </c>
      <c r="AE127" s="285" t="str">
        <f>IFERROR(__xludf.DUMMYFUNCTION("""COMPUTED_VALUE"""),"Adi Suseno")</f>
        <v>Adi Suseno</v>
      </c>
      <c r="AF127" s="285" t="str">
        <f>IFERROR(__xludf.DUMMYFUNCTION("""COMPUTED_VALUE"""),"081293287733")</f>
        <v>081293287733</v>
      </c>
      <c r="AG127" s="285" t="str">
        <f>IFERROR(__xludf.DUMMYFUNCTION("""COMPUTED_VALUE"""),"Gagal")</f>
        <v>Gagal</v>
      </c>
      <c r="AH127" s="285"/>
      <c r="AI127" s="287"/>
      <c r="AJ127" s="285"/>
      <c r="AK127" s="289"/>
      <c r="AL127" s="285" t="str">
        <f>IFERROR(__xludf.DUMMYFUNCTION("""COMPUTED_VALUE"""),"deal di admin 2")</f>
        <v>deal di admin 2</v>
      </c>
    </row>
    <row r="128">
      <c r="F128" s="285" t="str">
        <f>IFERROR(__xludf.DUMMYFUNCTION("""COMPUTED_VALUE"""),"2606D035")</f>
        <v>2606D035</v>
      </c>
      <c r="G128" s="286">
        <f>IFERROR(__xludf.DUMMYFUNCTION("""COMPUTED_VALUE"""),46177.0)</f>
        <v>46177</v>
      </c>
      <c r="H128" s="285" t="str">
        <f>IFERROR(__xludf.DUMMYFUNCTION("""COMPUTED_VALUE"""),"Diana Silvia ")</f>
        <v>Diana Silvia </v>
      </c>
      <c r="I128" s="285" t="str">
        <f>IFERROR(__xludf.DUMMYFUNCTION("""COMPUTED_VALUE"""),"082264222010")</f>
        <v>082264222010</v>
      </c>
      <c r="J128" s="285" t="str">
        <f>IFERROR(__xludf.DUMMYFUNCTION("""COMPUTED_VALUE"""),"Leads Baru")</f>
        <v>Leads Baru</v>
      </c>
      <c r="K128" s="285"/>
      <c r="L128" s="287"/>
      <c r="M128" s="288"/>
      <c r="N128" s="289"/>
      <c r="O128" s="290" t="str">
        <f>IFERROR(__xludf.DUMMYFUNCTION("""COMPUTED_VALUE"""),"belum bales lagi")</f>
        <v>belum bales lagi</v>
      </c>
      <c r="P128" s="320"/>
      <c r="R128" s="285" t="str">
        <f>IFERROR(__xludf.DUMMYFUNCTION("""COMPUTED_VALUE"""),"2606D136")</f>
        <v>2606D136</v>
      </c>
      <c r="S128" s="286">
        <f>IFERROR(__xludf.DUMMYFUNCTION("""COMPUTED_VALUE"""),46192.0)</f>
        <v>46192</v>
      </c>
      <c r="T128" s="285" t="str">
        <f>IFERROR(__xludf.DUMMYFUNCTION("""COMPUTED_VALUE"""),"Anggie")</f>
        <v>Anggie</v>
      </c>
      <c r="U128" s="285" t="str">
        <f>IFERROR(__xludf.DUMMYFUNCTION("""COMPUTED_VALUE"""),"087882000082")</f>
        <v>087882000082</v>
      </c>
      <c r="V128" s="285" t="str">
        <f>IFERROR(__xludf.DUMMYFUNCTION("""COMPUTED_VALUE"""),"Closing")</f>
        <v>Closing</v>
      </c>
      <c r="W128" s="285" t="str">
        <f>IFERROR(__xludf.DUMMYFUNCTION("""COMPUTED_VALUE"""),"OT MT")</f>
        <v>OT MT</v>
      </c>
      <c r="X128" s="287">
        <f>IFERROR(__xludf.DUMMYFUNCTION("""COMPUTED_VALUE"""),46194.0)</f>
        <v>46194</v>
      </c>
      <c r="Y128" s="285">
        <f>IFERROR(__xludf.DUMMYFUNCTION("""COMPUTED_VALUE"""),4.0)</f>
        <v>4</v>
      </c>
      <c r="Z128" s="289">
        <f>IFERROR(__xludf.DUMMYFUNCTION("""COMPUTED_VALUE"""),1100000.0)</f>
        <v>1100000</v>
      </c>
      <c r="AA128" s="285" t="str">
        <f>IFERROR(__xludf.DUMMYFUNCTION("""COMPUTED_VALUE"""),"Alhamdulillah orrdeerr")</f>
        <v>Alhamdulillah orrdeerr</v>
      </c>
      <c r="AC128" s="285" t="str">
        <f>IFERROR(__xludf.DUMMYFUNCTION("""COMPUTED_VALUE"""),"2601D144")</f>
        <v>2601D144</v>
      </c>
      <c r="AD128" s="286">
        <f>IFERROR(__xludf.DUMMYFUNCTION("""COMPUTED_VALUE"""),46041.0)</f>
        <v>46041</v>
      </c>
      <c r="AE128" s="285" t="str">
        <f>IFERROR(__xludf.DUMMYFUNCTION("""COMPUTED_VALUE"""),"Anez")</f>
        <v>Anez</v>
      </c>
      <c r="AF128" s="285" t="str">
        <f>IFERROR(__xludf.DUMMYFUNCTION("""COMPUTED_VALUE"""),"085155121201")</f>
        <v>085155121201</v>
      </c>
      <c r="AG128" s="285" t="str">
        <f>IFERROR(__xludf.DUMMYFUNCTION("""COMPUTED_VALUE"""),"Gagal")</f>
        <v>Gagal</v>
      </c>
      <c r="AH128" s="285"/>
      <c r="AI128" s="287"/>
      <c r="AJ128" s="285"/>
      <c r="AK128" s="289"/>
      <c r="AL128" s="285" t="str">
        <f>IFERROR(__xludf.DUMMYFUNCTION("""COMPUTED_VALUE"""),"Sekedar nyapa")</f>
        <v>Sekedar nyapa</v>
      </c>
    </row>
    <row r="129">
      <c r="F129" s="285" t="str">
        <f>IFERROR(__xludf.DUMMYFUNCTION("""COMPUTED_VALUE"""),"2606D036")</f>
        <v>2606D036</v>
      </c>
      <c r="G129" s="286">
        <f>IFERROR(__xludf.DUMMYFUNCTION("""COMPUTED_VALUE"""),46178.0)</f>
        <v>46178</v>
      </c>
      <c r="H129" s="285" t="str">
        <f>IFERROR(__xludf.DUMMYFUNCTION("""COMPUTED_VALUE"""),"Almanura")</f>
        <v>Almanura</v>
      </c>
      <c r="I129" s="285" t="str">
        <f>IFERROR(__xludf.DUMMYFUNCTION("""COMPUTED_VALUE"""),"085716498446")</f>
        <v>085716498446</v>
      </c>
      <c r="J129" s="285" t="str">
        <f>IFERROR(__xludf.DUMMYFUNCTION("""COMPUTED_VALUE"""),"Leads Baru")</f>
        <v>Leads Baru</v>
      </c>
      <c r="K129" s="285" t="str">
        <f>IFERROR(__xludf.DUMMYFUNCTION("""COMPUTED_VALUE"""),"2h1m opsi B")</f>
        <v>2h1m opsi B</v>
      </c>
      <c r="L129" s="287"/>
      <c r="M129" s="288"/>
      <c r="N129" s="289"/>
      <c r="O129" s="290" t="str">
        <f>IFERROR(__xludf.DUMMYFUNCTION("""COMPUTED_VALUE"""),"belum bales lagi, FU 12 Juni")</f>
        <v>belum bales lagi, FU 12 Juni</v>
      </c>
      <c r="P129" s="320"/>
      <c r="R129" s="285" t="str">
        <f>IFERROR(__xludf.DUMMYFUNCTION("""COMPUTED_VALUE"""),"2606D138")</f>
        <v>2606D138</v>
      </c>
      <c r="S129" s="286">
        <f>IFERROR(__xludf.DUMMYFUNCTION("""COMPUTED_VALUE"""),46192.0)</f>
        <v>46192</v>
      </c>
      <c r="T129" s="285" t="str">
        <f>IFERROR(__xludf.DUMMYFUNCTION("""COMPUTED_VALUE"""),"Raini")</f>
        <v>Raini</v>
      </c>
      <c r="U129" s="285" t="str">
        <f>IFERROR(__xludf.DUMMYFUNCTION("""COMPUTED_VALUE"""),"082120002984")</f>
        <v>082120002984</v>
      </c>
      <c r="V129" s="285" t="str">
        <f>IFERROR(__xludf.DUMMYFUNCTION("""COMPUTED_VALUE"""),"Closing")</f>
        <v>Closing</v>
      </c>
      <c r="W129" s="285" t="str">
        <f>IFERROR(__xludf.DUMMYFUNCTION("""COMPUTED_VALUE"""),"OT MT")</f>
        <v>OT MT</v>
      </c>
      <c r="X129" s="287">
        <f>IFERROR(__xludf.DUMMYFUNCTION("""COMPUTED_VALUE"""),46213.0)</f>
        <v>46213</v>
      </c>
      <c r="Y129" s="285">
        <f>IFERROR(__xludf.DUMMYFUNCTION("""COMPUTED_VALUE"""),2.0)</f>
        <v>2</v>
      </c>
      <c r="Z129" s="289">
        <f>IFERROR(__xludf.DUMMYFUNCTION("""COMPUTED_VALUE"""),1600000.0)</f>
        <v>1600000</v>
      </c>
      <c r="AA129" s="285" t="str">
        <f>IFERROR(__xludf.DUMMYFUNCTION("""COMPUTED_VALUE"""),"orrderrr")</f>
        <v>orrderrr</v>
      </c>
      <c r="AC129" s="285" t="str">
        <f>IFERROR(__xludf.DUMMYFUNCTION("""COMPUTED_VALUE"""),"2601D145")</f>
        <v>2601D145</v>
      </c>
      <c r="AD129" s="286">
        <f>IFERROR(__xludf.DUMMYFUNCTION("""COMPUTED_VALUE"""),46041.0)</f>
        <v>46041</v>
      </c>
      <c r="AE129" s="285" t="str">
        <f>IFERROR(__xludf.DUMMYFUNCTION("""COMPUTED_VALUE"""),"Ocha")</f>
        <v>Ocha</v>
      </c>
      <c r="AF129" s="285" t="str">
        <f>IFERROR(__xludf.DUMMYFUNCTION("""COMPUTED_VALUE"""),"082131670248")</f>
        <v>082131670248</v>
      </c>
      <c r="AG129" s="285" t="str">
        <f>IFERROR(__xludf.DUMMYFUNCTION("""COMPUTED_VALUE"""),"Gagal")</f>
        <v>Gagal</v>
      </c>
      <c r="AH129" s="285" t="str">
        <f>IFERROR(__xludf.DUMMYFUNCTION("""COMPUTED_VALUE"""),"MT")</f>
        <v>MT</v>
      </c>
      <c r="AI129" s="287"/>
      <c r="AJ129" s="285"/>
      <c r="AK129" s="289"/>
      <c r="AL129" s="285" t="str">
        <f>IFERROR(__xludf.DUMMYFUNCTION("""COMPUTED_VALUE"""),"tanya kapal menjangan ")</f>
        <v>tanya kapal menjangan </v>
      </c>
    </row>
    <row r="130">
      <c r="F130" s="285" t="str">
        <f>IFERROR(__xludf.DUMMYFUNCTION("""COMPUTED_VALUE"""),"2606D037")</f>
        <v>2606D037</v>
      </c>
      <c r="G130" s="286">
        <f>IFERROR(__xludf.DUMMYFUNCTION("""COMPUTED_VALUE"""),46178.0)</f>
        <v>46178</v>
      </c>
      <c r="H130" s="285" t="str">
        <f>IFERROR(__xludf.DUMMYFUNCTION("""COMPUTED_VALUE"""),"Bambang")</f>
        <v>Bambang</v>
      </c>
      <c r="I130" s="285" t="str">
        <f>IFERROR(__xludf.DUMMYFUNCTION("""COMPUTED_VALUE"""),"081392398400")</f>
        <v>081392398400</v>
      </c>
      <c r="J130" s="285" t="str">
        <f>IFERROR(__xludf.DUMMYFUNCTION("""COMPUTED_VALUE"""),"Leads Baru")</f>
        <v>Leads Baru</v>
      </c>
      <c r="K130" s="285" t="str">
        <f>IFERROR(__xludf.DUMMYFUNCTION("""COMPUTED_VALUE"""),"2h1m/1 day trip")</f>
        <v>2h1m/1 day trip</v>
      </c>
      <c r="L130" s="287"/>
      <c r="M130" s="288"/>
      <c r="N130" s="289"/>
      <c r="O130" s="290" t="str">
        <f>IFERROR(__xludf.DUMMYFUNCTION("""COMPUTED_VALUE"""),"FU 12 Juni")</f>
        <v>FU 12 Juni</v>
      </c>
      <c r="P130" s="320"/>
      <c r="R130" s="285" t="str">
        <f>IFERROR(__xludf.DUMMYFUNCTION("""COMPUTED_VALUE"""),"2606D140")</f>
        <v>2606D140</v>
      </c>
      <c r="S130" s="286">
        <f>IFERROR(__xludf.DUMMYFUNCTION("""COMPUTED_VALUE"""),46192.0)</f>
        <v>46192</v>
      </c>
      <c r="T130" s="285" t="str">
        <f>IFERROR(__xludf.DUMMYFUNCTION("""COMPUTED_VALUE"""),"Afner Siregar ")</f>
        <v>Afner Siregar </v>
      </c>
      <c r="U130" s="285" t="str">
        <f>IFERROR(__xludf.DUMMYFUNCTION("""COMPUTED_VALUE"""),"08170109190")</f>
        <v>08170109190</v>
      </c>
      <c r="V130" s="285" t="str">
        <f>IFERROR(__xludf.DUMMYFUNCTION("""COMPUTED_VALUE"""),"Closing")</f>
        <v>Closing</v>
      </c>
      <c r="W130" s="285" t="str">
        <f>IFERROR(__xludf.DUMMYFUNCTION("""COMPUTED_VALUE"""),"OT djabal, PT MT, OT Ijen")</f>
        <v>OT djabal, PT MT, OT Ijen</v>
      </c>
      <c r="X130" s="287">
        <f>IFERROR(__xludf.DUMMYFUNCTION("""COMPUTED_VALUE"""),46197.0)</f>
        <v>46197</v>
      </c>
      <c r="Y130" s="285">
        <f>IFERROR(__xludf.DUMMYFUNCTION("""COMPUTED_VALUE"""),4.0)</f>
        <v>4</v>
      </c>
      <c r="Z130" s="289">
        <f>IFERROR(__xludf.DUMMYFUNCTION("""COMPUTED_VALUE"""),5950000.0)</f>
        <v>5950000</v>
      </c>
      <c r="AA130" s="285" t="str">
        <f>IFERROR(__xludf.DUMMYFUNCTION("""COMPUTED_VALUE"""),"orrdeerrr")</f>
        <v>orrdeerrr</v>
      </c>
      <c r="AC130" s="285" t="str">
        <f>IFERROR(__xludf.DUMMYFUNCTION("""COMPUTED_VALUE"""),"2601D146")</f>
        <v>2601D146</v>
      </c>
      <c r="AD130" s="286">
        <f>IFERROR(__xludf.DUMMYFUNCTION("""COMPUTED_VALUE"""),46042.0)</f>
        <v>46042</v>
      </c>
      <c r="AE130" s="285" t="str">
        <f>IFERROR(__xludf.DUMMYFUNCTION("""COMPUTED_VALUE"""),"Galihr")</f>
        <v>Galihr</v>
      </c>
      <c r="AF130" s="285" t="str">
        <f>IFERROR(__xludf.DUMMYFUNCTION("""COMPUTED_VALUE"""),"087838222422")</f>
        <v>087838222422</v>
      </c>
      <c r="AG130" s="285" t="str">
        <f>IFERROR(__xludf.DUMMYFUNCTION("""COMPUTED_VALUE"""),"Gagal")</f>
        <v>Gagal</v>
      </c>
      <c r="AH130" s="285" t="str">
        <f>IFERROR(__xludf.DUMMYFUNCTION("""COMPUTED_VALUE"""),"4H3M")</f>
        <v>4H3M</v>
      </c>
      <c r="AI130" s="287"/>
      <c r="AJ130" s="285"/>
      <c r="AK130" s="289"/>
      <c r="AL130" s="285" t="str">
        <f>IFERROR(__xludf.DUMMYFUNCTION("""COMPUTED_VALUE"""),"tunggu info fiks")</f>
        <v>tunggu info fiks</v>
      </c>
    </row>
    <row r="131">
      <c r="F131" s="285" t="str">
        <f>IFERROR(__xludf.DUMMYFUNCTION("""COMPUTED_VALUE"""),"2606D038")</f>
        <v>2606D038</v>
      </c>
      <c r="G131" s="286">
        <f>IFERROR(__xludf.DUMMYFUNCTION("""COMPUTED_VALUE"""),46178.0)</f>
        <v>46178</v>
      </c>
      <c r="H131" s="285" t="str">
        <f>IFERROR(__xludf.DUMMYFUNCTION("""COMPUTED_VALUE"""),"Sherryl")</f>
        <v>Sherryl</v>
      </c>
      <c r="I131" s="285" t="str">
        <f>IFERROR(__xludf.DUMMYFUNCTION("""COMPUTED_VALUE"""),"081355412374")</f>
        <v>081355412374</v>
      </c>
      <c r="J131" s="285" t="str">
        <f>IFERROR(__xludf.DUMMYFUNCTION("""COMPUTED_VALUE"""),"Leads Baru")</f>
        <v>Leads Baru</v>
      </c>
      <c r="K131" s="285"/>
      <c r="L131" s="287"/>
      <c r="M131" s="288"/>
      <c r="N131" s="289"/>
      <c r="O131" s="290" t="str">
        <f>IFERROR(__xludf.DUMMYFUNCTION("""COMPUTED_VALUE"""),"FU 12 Juni")</f>
        <v>FU 12 Juni</v>
      </c>
      <c r="P131" s="320"/>
      <c r="R131" s="285" t="str">
        <f>IFERROR(__xludf.DUMMYFUNCTION("""COMPUTED_VALUE"""),"2696D150")</f>
        <v>2696D150</v>
      </c>
      <c r="S131" s="286">
        <f>IFERROR(__xludf.DUMMYFUNCTION("""COMPUTED_VALUE"""),46193.0)</f>
        <v>46193</v>
      </c>
      <c r="T131" s="285" t="str">
        <f>IFERROR(__xludf.DUMMYFUNCTION("""COMPUTED_VALUE"""),"Dian Rosita")</f>
        <v>Dian Rosita</v>
      </c>
      <c r="U131" s="285" t="str">
        <f>IFERROR(__xludf.DUMMYFUNCTION("""COMPUTED_VALUE"""),"08134053568")</f>
        <v>08134053568</v>
      </c>
      <c r="V131" s="285" t="str">
        <f>IFERROR(__xludf.DUMMYFUNCTION("""COMPUTED_VALUE"""),"Closing")</f>
        <v>Closing</v>
      </c>
      <c r="W131" s="285" t="str">
        <f>IFERROR(__xludf.DUMMYFUNCTION("""COMPUTED_VALUE"""),"OT MT")</f>
        <v>OT MT</v>
      </c>
      <c r="X131" s="287">
        <f>IFERROR(__xludf.DUMMYFUNCTION("""COMPUTED_VALUE"""),46226.0)</f>
        <v>46226</v>
      </c>
      <c r="Y131" s="285">
        <f>IFERROR(__xludf.DUMMYFUNCTION("""COMPUTED_VALUE"""),4.0)</f>
        <v>4</v>
      </c>
      <c r="Z131" s="289">
        <f>IFERROR(__xludf.DUMMYFUNCTION("""COMPUTED_VALUE"""),1600000.0)</f>
        <v>1600000</v>
      </c>
      <c r="AA131" s="285" t="str">
        <f>IFERROR(__xludf.DUMMYFUNCTION("""COMPUTED_VALUE"""),"yess orderr")</f>
        <v>yess orderr</v>
      </c>
      <c r="AC131" s="285" t="str">
        <f>IFERROR(__xludf.DUMMYFUNCTION("""COMPUTED_VALUE"""),"2601D148")</f>
        <v>2601D148</v>
      </c>
      <c r="AD131" s="286">
        <f>IFERROR(__xludf.DUMMYFUNCTION("""COMPUTED_VALUE"""),46042.0)</f>
        <v>46042</v>
      </c>
      <c r="AE131" s="285" t="str">
        <f>IFERROR(__xludf.DUMMYFUNCTION("""COMPUTED_VALUE"""),"Pesona Trip Nusantara ")</f>
        <v>Pesona Trip Nusantara </v>
      </c>
      <c r="AF131" s="285" t="str">
        <f>IFERROR(__xludf.DUMMYFUNCTION("""COMPUTED_VALUE"""),"081998217087")</f>
        <v>081998217087</v>
      </c>
      <c r="AG131" s="285" t="str">
        <f>IFERROR(__xludf.DUMMYFUNCTION("""COMPUTED_VALUE"""),"Gagal")</f>
        <v>Gagal</v>
      </c>
      <c r="AH131" s="285" t="str">
        <f>IFERROR(__xludf.DUMMYFUNCTION("""COMPUTED_VALUE"""),"custom 2H1M")</f>
        <v>custom 2H1M</v>
      </c>
      <c r="AI131" s="287">
        <f>IFERROR(__xludf.DUMMYFUNCTION("""COMPUTED_VALUE"""),46172.0)</f>
        <v>46172</v>
      </c>
      <c r="AJ131" s="285">
        <f>IFERROR(__xludf.DUMMYFUNCTION("""COMPUTED_VALUE"""),150.0)</f>
        <v>150</v>
      </c>
      <c r="AK131" s="289">
        <f>IFERROR(__xludf.DUMMYFUNCTION("""COMPUTED_VALUE"""),1.05E8)</f>
        <v>105000000</v>
      </c>
      <c r="AL131" s="285" t="str">
        <f>IFERROR(__xludf.DUMMYFUNCTION("""COMPUTED_VALUE"""),"sudah FU 5 kali tidak ada balasan ")</f>
        <v>sudah FU 5 kali tidak ada balasan </v>
      </c>
    </row>
    <row r="132">
      <c r="F132" s="285" t="str">
        <f>IFERROR(__xludf.DUMMYFUNCTION("""COMPUTED_VALUE"""),"2606D039")</f>
        <v>2606D039</v>
      </c>
      <c r="G132" s="286">
        <f>IFERROR(__xludf.DUMMYFUNCTION("""COMPUTED_VALUE"""),46178.0)</f>
        <v>46178</v>
      </c>
      <c r="H132" s="285" t="str">
        <f>IFERROR(__xludf.DUMMYFUNCTION("""COMPUTED_VALUE"""),"Bimo Ario ")</f>
        <v>Bimo Ario </v>
      </c>
      <c r="I132" s="285" t="str">
        <f>IFERROR(__xludf.DUMMYFUNCTION("""COMPUTED_VALUE"""),"087765247762")</f>
        <v>087765247762</v>
      </c>
      <c r="J132" s="285" t="str">
        <f>IFERROR(__xludf.DUMMYFUNCTION("""COMPUTED_VALUE"""),"Leads Baru")</f>
        <v>Leads Baru</v>
      </c>
      <c r="K132" s="285" t="str">
        <f>IFERROR(__xludf.DUMMYFUNCTION("""COMPUTED_VALUE"""),"3H2M")</f>
        <v>3H2M</v>
      </c>
      <c r="L132" s="287"/>
      <c r="M132" s="288"/>
      <c r="N132" s="289"/>
      <c r="O132" s="290" t="str">
        <f>IFERROR(__xludf.DUMMYFUNCTION("""COMPUTED_VALUE"""),"belum balas lagi, FU 13 Juni")</f>
        <v>belum balas lagi, FU 13 Juni</v>
      </c>
      <c r="P132" s="320"/>
      <c r="R132" s="285" t="str">
        <f>IFERROR(__xludf.DUMMYFUNCTION("""COMPUTED_VALUE"""),"2606D151")</f>
        <v>2606D151</v>
      </c>
      <c r="S132" s="286">
        <f>IFERROR(__xludf.DUMMYFUNCTION("""COMPUTED_VALUE"""),46193.0)</f>
        <v>46193</v>
      </c>
      <c r="T132" s="285" t="str">
        <f>IFERROR(__xludf.DUMMYFUNCTION("""COMPUTED_VALUE"""),"Reno Arvando")</f>
        <v>Reno Arvando</v>
      </c>
      <c r="U132" s="285" t="str">
        <f>IFERROR(__xludf.DUMMYFUNCTION("""COMPUTED_VALUE"""),"085727001842")</f>
        <v>085727001842</v>
      </c>
      <c r="V132" s="285" t="str">
        <f>IFERROR(__xludf.DUMMYFUNCTION("""COMPUTED_VALUE"""),"Closing")</f>
        <v>Closing</v>
      </c>
      <c r="W132" s="285" t="str">
        <f>IFERROR(__xludf.DUMMYFUNCTION("""COMPUTED_VALUE"""),"3H2M opsi A Include hotel aston")</f>
        <v>3H2M opsi A Include hotel aston</v>
      </c>
      <c r="X132" s="287">
        <f>IFERROR(__xludf.DUMMYFUNCTION("""COMPUTED_VALUE"""),46205.0)</f>
        <v>46205</v>
      </c>
      <c r="Y132" s="285">
        <f>IFERROR(__xludf.DUMMYFUNCTION("""COMPUTED_VALUE"""),3.0)</f>
        <v>3</v>
      </c>
      <c r="Z132" s="289">
        <f>IFERROR(__xludf.DUMMYFUNCTION("""COMPUTED_VALUE"""),8802000.0)</f>
        <v>8802000</v>
      </c>
      <c r="AA132" s="285" t="str">
        <f>IFERROR(__xludf.DUMMYFUNCTION("""COMPUTED_VALUE"""),"orrderrr")</f>
        <v>orrderrr</v>
      </c>
      <c r="AC132" s="285" t="str">
        <f>IFERROR(__xludf.DUMMYFUNCTION("""COMPUTED_VALUE"""),"2601D149")</f>
        <v>2601D149</v>
      </c>
      <c r="AD132" s="286">
        <f>IFERROR(__xludf.DUMMYFUNCTION("""COMPUTED_VALUE"""),46043.0)</f>
        <v>46043</v>
      </c>
      <c r="AE132" s="285" t="str">
        <f>IFERROR(__xludf.DUMMYFUNCTION("""COMPUTED_VALUE"""),"M. Syamsul Bakri")</f>
        <v>M. Syamsul Bakri</v>
      </c>
      <c r="AF132" s="285" t="str">
        <f>IFERROR(__xludf.DUMMYFUNCTION("""COMPUTED_VALUE"""),"082131651818")</f>
        <v>082131651818</v>
      </c>
      <c r="AG132" s="285" t="str">
        <f>IFERROR(__xludf.DUMMYFUNCTION("""COMPUTED_VALUE"""),"Gagal")</f>
        <v>Gagal</v>
      </c>
      <c r="AH132" s="285"/>
      <c r="AI132" s="287"/>
      <c r="AJ132" s="285">
        <f>IFERROR(__xludf.DUMMYFUNCTION("""COMPUTED_VALUE"""),4.0)</f>
        <v>4</v>
      </c>
      <c r="AK132" s="289"/>
      <c r="AL132" s="285" t="str">
        <f>IFERROR(__xludf.DUMMYFUNCTION("""COMPUTED_VALUE"""),"ganti destinasi")</f>
        <v>ganti destinasi</v>
      </c>
    </row>
    <row r="133">
      <c r="F133" s="285" t="str">
        <f>IFERROR(__xludf.DUMMYFUNCTION("""COMPUTED_VALUE"""),"2606D041")</f>
        <v>2606D041</v>
      </c>
      <c r="G133" s="286">
        <f>IFERROR(__xludf.DUMMYFUNCTION("""COMPUTED_VALUE"""),46178.0)</f>
        <v>46178</v>
      </c>
      <c r="H133" s="285" t="str">
        <f>IFERROR(__xludf.DUMMYFUNCTION("""COMPUTED_VALUE"""),"Dhinda Syahviraa")</f>
        <v>Dhinda Syahviraa</v>
      </c>
      <c r="I133" s="285" t="str">
        <f>IFERROR(__xludf.DUMMYFUNCTION("""COMPUTED_VALUE"""),"082225550566")</f>
        <v>082225550566</v>
      </c>
      <c r="J133" s="285" t="str">
        <f>IFERROR(__xludf.DUMMYFUNCTION("""COMPUTED_VALUE"""),"Leads Baru")</f>
        <v>Leads Baru</v>
      </c>
      <c r="K133" s="285" t="str">
        <f>IFERROR(__xludf.DUMMYFUNCTION("""COMPUTED_VALUE"""),"trip Baluran")</f>
        <v>trip Baluran</v>
      </c>
      <c r="L133" s="287"/>
      <c r="M133" s="288">
        <f>IFERROR(__xludf.DUMMYFUNCTION("""COMPUTED_VALUE"""),2.0)</f>
        <v>2</v>
      </c>
      <c r="N133" s="289"/>
      <c r="O133" s="290"/>
      <c r="P133" s="320"/>
      <c r="R133" s="285" t="str">
        <f>IFERROR(__xludf.DUMMYFUNCTION("""COMPUTED_VALUE"""),"2606D159")</f>
        <v>2606D159</v>
      </c>
      <c r="S133" s="286">
        <f>IFERROR(__xludf.DUMMYFUNCTION("""COMPUTED_VALUE"""),46194.0)</f>
        <v>46194</v>
      </c>
      <c r="T133" s="285" t="str">
        <f>IFERROR(__xludf.DUMMYFUNCTION("""COMPUTED_VALUE"""),"Anindya ")</f>
        <v>Anindya </v>
      </c>
      <c r="U133" s="285" t="str">
        <f>IFERROR(__xludf.DUMMYFUNCTION("""COMPUTED_VALUE"""),"081280135601")</f>
        <v>081280135601</v>
      </c>
      <c r="V133" s="285" t="str">
        <f>IFERROR(__xludf.DUMMYFUNCTION("""COMPUTED_VALUE"""),"Closing")</f>
        <v>Closing</v>
      </c>
      <c r="W133" s="285" t="str">
        <f>IFERROR(__xludf.DUMMYFUNCTION("""COMPUTED_VALUE"""),"2h1m custome")</f>
        <v>2h1m custome</v>
      </c>
      <c r="X133" s="287">
        <f>IFERROR(__xludf.DUMMYFUNCTION("""COMPUTED_VALUE"""),46208.0)</f>
        <v>46208</v>
      </c>
      <c r="Y133" s="285">
        <f>IFERROR(__xludf.DUMMYFUNCTION("""COMPUTED_VALUE"""),3.0)</f>
        <v>3</v>
      </c>
      <c r="Z133" s="289">
        <f>IFERROR(__xludf.DUMMYFUNCTION("""COMPUTED_VALUE"""),3750000.0)</f>
        <v>3750000</v>
      </c>
      <c r="AA133" s="285" t="str">
        <f>IFERROR(__xludf.DUMMYFUNCTION("""COMPUTED_VALUE"""),"alhamdulillah orrderrr")</f>
        <v>alhamdulillah orrderrr</v>
      </c>
      <c r="AC133" s="285" t="str">
        <f>IFERROR(__xludf.DUMMYFUNCTION("""COMPUTED_VALUE"""),"2601D150")</f>
        <v>2601D150</v>
      </c>
      <c r="AD133" s="286">
        <f>IFERROR(__xludf.DUMMYFUNCTION("""COMPUTED_VALUE"""),46043.0)</f>
        <v>46043</v>
      </c>
      <c r="AE133" s="285" t="str">
        <f>IFERROR(__xludf.DUMMYFUNCTION("""COMPUTED_VALUE"""),"Aldo.wp")</f>
        <v>Aldo.wp</v>
      </c>
      <c r="AF133" s="285" t="str">
        <f>IFERROR(__xludf.DUMMYFUNCTION("""COMPUTED_VALUE"""),"08165487012")</f>
        <v>08165487012</v>
      </c>
      <c r="AG133" s="285" t="str">
        <f>IFERROR(__xludf.DUMMYFUNCTION("""COMPUTED_VALUE"""),"Gagal")</f>
        <v>Gagal</v>
      </c>
      <c r="AH133" s="285" t="str">
        <f>IFERROR(__xludf.DUMMYFUNCTION("""COMPUTED_VALUE"""),"Trip menjangan ")</f>
        <v>Trip menjangan </v>
      </c>
      <c r="AI133" s="287">
        <f>IFERROR(__xludf.DUMMYFUNCTION("""COMPUTED_VALUE"""),46045.0)</f>
        <v>46045</v>
      </c>
      <c r="AJ133" s="285"/>
      <c r="AK133" s="289"/>
      <c r="AL133" s="285" t="str">
        <f>IFERROR(__xludf.DUMMYFUNCTION("""COMPUTED_VALUE"""),"cuma satu orang")</f>
        <v>cuma satu orang</v>
      </c>
    </row>
    <row r="134">
      <c r="F134" s="285" t="str">
        <f>IFERROR(__xludf.DUMMYFUNCTION("""COMPUTED_VALUE"""),"2606D042")</f>
        <v>2606D042</v>
      </c>
      <c r="G134" s="286">
        <f>IFERROR(__xludf.DUMMYFUNCTION("""COMPUTED_VALUE"""),46178.0)</f>
        <v>46178</v>
      </c>
      <c r="H134" s="285" t="str">
        <f>IFERROR(__xludf.DUMMYFUNCTION("""COMPUTED_VALUE"""),"Fanny")</f>
        <v>Fanny</v>
      </c>
      <c r="I134" s="285" t="str">
        <f>IFERROR(__xludf.DUMMYFUNCTION("""COMPUTED_VALUE"""),"08122177273")</f>
        <v>08122177273</v>
      </c>
      <c r="J134" s="285" t="str">
        <f>IFERROR(__xludf.DUMMYFUNCTION("""COMPUTED_VALUE"""),"Leads Baru")</f>
        <v>Leads Baru</v>
      </c>
      <c r="K134" s="285" t="str">
        <f>IFERROR(__xludf.DUMMYFUNCTION("""COMPUTED_VALUE"""),"3H2M opsi A")</f>
        <v>3H2M opsi A</v>
      </c>
      <c r="L134" s="287"/>
      <c r="M134" s="288">
        <f>IFERROR(__xludf.DUMMYFUNCTION("""COMPUTED_VALUE"""),10.0)</f>
        <v>10</v>
      </c>
      <c r="N134" s="289"/>
      <c r="O134" s="290" t="str">
        <f>IFERROR(__xludf.DUMMYFUNCTION("""COMPUTED_VALUE"""),"FU 11 Juni")</f>
        <v>FU 11 Juni</v>
      </c>
      <c r="P134" s="320"/>
      <c r="R134" s="285" t="str">
        <f>IFERROR(__xludf.DUMMYFUNCTION("""COMPUTED_VALUE"""),"2606D168")</f>
        <v>2606D168</v>
      </c>
      <c r="S134" s="286">
        <f>IFERROR(__xludf.DUMMYFUNCTION("""COMPUTED_VALUE"""),46195.0)</f>
        <v>46195</v>
      </c>
      <c r="T134" s="285" t="str">
        <f>IFERROR(__xludf.DUMMYFUNCTION("""COMPUTED_VALUE"""),"Dwi koraningsih")</f>
        <v>Dwi koraningsih</v>
      </c>
      <c r="U134" s="285" t="str">
        <f>IFERROR(__xludf.DUMMYFUNCTION("""COMPUTED_VALUE"""),"085737140849")</f>
        <v>085737140849</v>
      </c>
      <c r="V134" s="285" t="str">
        <f>IFERROR(__xludf.DUMMYFUNCTION("""COMPUTED_VALUE"""),"Closing")</f>
        <v>Closing</v>
      </c>
      <c r="W134" s="285" t="str">
        <f>IFERROR(__xludf.DUMMYFUNCTION("""COMPUTED_VALUE"""),"4H3M custome")</f>
        <v>4H3M custome</v>
      </c>
      <c r="X134" s="287">
        <f>IFERROR(__xludf.DUMMYFUNCTION("""COMPUTED_VALUE"""),46211.0)</f>
        <v>46211</v>
      </c>
      <c r="Y134" s="285">
        <f>IFERROR(__xludf.DUMMYFUNCTION("""COMPUTED_VALUE"""),3.0)</f>
        <v>3</v>
      </c>
      <c r="Z134" s="289">
        <f>IFERROR(__xludf.DUMMYFUNCTION("""COMPUTED_VALUE"""),1.1625E7)</f>
        <v>11625000</v>
      </c>
      <c r="AA134" s="285" t="str">
        <f>IFERROR(__xludf.DUMMYFUNCTION("""COMPUTED_VALUE"""),"alhamdulillah orderr")</f>
        <v>alhamdulillah orderr</v>
      </c>
      <c r="AC134" s="285" t="str">
        <f>IFERROR(__xludf.DUMMYFUNCTION("""COMPUTED_VALUE"""),"2601D151")</f>
        <v>2601D151</v>
      </c>
      <c r="AD134" s="286">
        <f>IFERROR(__xludf.DUMMYFUNCTION("""COMPUTED_VALUE"""),46043.0)</f>
        <v>46043</v>
      </c>
      <c r="AE134" s="285" t="str">
        <f>IFERROR(__xludf.DUMMYFUNCTION("""COMPUTED_VALUE"""),"Ika")</f>
        <v>Ika</v>
      </c>
      <c r="AF134" s="285" t="str">
        <f>IFERROR(__xludf.DUMMYFUNCTION("""COMPUTED_VALUE"""),"085162763767")</f>
        <v>085162763767</v>
      </c>
      <c r="AG134" s="285" t="str">
        <f>IFERROR(__xludf.DUMMYFUNCTION("""COMPUTED_VALUE"""),"Gagal")</f>
        <v>Gagal</v>
      </c>
      <c r="AH134" s="285" t="str">
        <f>IFERROR(__xludf.DUMMYFUNCTION("""COMPUTED_VALUE"""),"Trip menjangan tabuhan ")</f>
        <v>Trip menjangan tabuhan </v>
      </c>
      <c r="AI134" s="287"/>
      <c r="AJ134" s="285"/>
      <c r="AK134" s="289"/>
      <c r="AL134" s="285" t="str">
        <f>IFERROR(__xludf.DUMMYFUNCTION("""COMPUTED_VALUE"""),"masih mempertimbamgkan ")</f>
        <v>masih mempertimbamgkan </v>
      </c>
    </row>
    <row r="135">
      <c r="F135" s="285" t="str">
        <f>IFERROR(__xludf.DUMMYFUNCTION("""COMPUTED_VALUE"""),"2606D043")</f>
        <v>2606D043</v>
      </c>
      <c r="G135" s="286">
        <f>IFERROR(__xludf.DUMMYFUNCTION("""COMPUTED_VALUE"""),46178.0)</f>
        <v>46178</v>
      </c>
      <c r="H135" s="285" t="str">
        <f>IFERROR(__xludf.DUMMYFUNCTION("""COMPUTED_VALUE"""),"Th")</f>
        <v>Th</v>
      </c>
      <c r="I135" s="285" t="str">
        <f>IFERROR(__xludf.DUMMYFUNCTION("""COMPUTED_VALUE"""),"082234838511")</f>
        <v>082234838511</v>
      </c>
      <c r="J135" s="285" t="str">
        <f>IFERROR(__xludf.DUMMYFUNCTION("""COMPUTED_VALUE"""),"Leads Baru")</f>
        <v>Leads Baru</v>
      </c>
      <c r="K135" s="285" t="str">
        <f>IFERROR(__xludf.DUMMYFUNCTION("""COMPUTED_VALUE"""),"3H2M opsi A")</f>
        <v>3H2M opsi A</v>
      </c>
      <c r="L135" s="287">
        <f>IFERROR(__xludf.DUMMYFUNCTION("""COMPUTED_VALUE"""),46210.0)</f>
        <v>46210</v>
      </c>
      <c r="M135" s="288">
        <f>IFERROR(__xludf.DUMMYFUNCTION("""COMPUTED_VALUE"""),2.0)</f>
        <v>2</v>
      </c>
      <c r="N135" s="289"/>
      <c r="O135" s="290" t="str">
        <f>IFERROR(__xludf.DUMMYFUNCTION("""COMPUTED_VALUE"""),"FU 15 Juni")</f>
        <v>FU 15 Juni</v>
      </c>
      <c r="P135" s="320"/>
      <c r="R135" s="285" t="str">
        <f>IFERROR(__xludf.DUMMYFUNCTION("""COMPUTED_VALUE"""),"2606D170")</f>
        <v>2606D170</v>
      </c>
      <c r="S135" s="286">
        <f>IFERROR(__xludf.DUMMYFUNCTION("""COMPUTED_VALUE"""),46195.0)</f>
        <v>46195</v>
      </c>
      <c r="T135" s="285" t="str">
        <f>IFERROR(__xludf.DUMMYFUNCTION("""COMPUTED_VALUE"""),"Dudung")</f>
        <v>Dudung</v>
      </c>
      <c r="U135" s="285" t="str">
        <f>IFERROR(__xludf.DUMMYFUNCTION("""COMPUTED_VALUE"""),"081395501381")</f>
        <v>081395501381</v>
      </c>
      <c r="V135" s="285" t="str">
        <f>IFERROR(__xludf.DUMMYFUNCTION("""COMPUTED_VALUE"""),"Closing")</f>
        <v>Closing</v>
      </c>
      <c r="W135" s="285" t="str">
        <f>IFERROR(__xludf.DUMMYFUNCTION("""COMPUTED_VALUE"""),"3H2M opsi A")</f>
        <v>3H2M opsi A</v>
      </c>
      <c r="X135" s="287">
        <f>IFERROR(__xludf.DUMMYFUNCTION("""COMPUTED_VALUE"""),46200.0)</f>
        <v>46200</v>
      </c>
      <c r="Y135" s="285">
        <f>IFERROR(__xludf.DUMMYFUNCTION("""COMPUTED_VALUE"""),4.0)</f>
        <v>4</v>
      </c>
      <c r="Z135" s="289">
        <f>IFERROR(__xludf.DUMMYFUNCTION("""COMPUTED_VALUE"""),7408000.0)</f>
        <v>7408000</v>
      </c>
      <c r="AA135" s="285" t="str">
        <f>IFERROR(__xludf.DUMMYFUNCTION("""COMPUTED_VALUE"""),"alhamdulillah orrderrr")</f>
        <v>alhamdulillah orrderrr</v>
      </c>
      <c r="AC135" s="285" t="str">
        <f>IFERROR(__xludf.DUMMYFUNCTION("""COMPUTED_VALUE"""),"2601D153")</f>
        <v>2601D153</v>
      </c>
      <c r="AD135" s="286">
        <f>IFERROR(__xludf.DUMMYFUNCTION("""COMPUTED_VALUE"""),46043.0)</f>
        <v>46043</v>
      </c>
      <c r="AE135" s="285" t="str">
        <f>IFERROR(__xludf.DUMMYFUNCTION("""COMPUTED_VALUE"""),"Sulis Fj Store ")</f>
        <v>Sulis Fj Store </v>
      </c>
      <c r="AF135" s="285" t="str">
        <f>IFERROR(__xludf.DUMMYFUNCTION("""COMPUTED_VALUE"""),"085746940622")</f>
        <v>085746940622</v>
      </c>
      <c r="AG135" s="285" t="str">
        <f>IFERROR(__xludf.DUMMYFUNCTION("""COMPUTED_VALUE"""),"Gagal")</f>
        <v>Gagal</v>
      </c>
      <c r="AH135" s="285" t="str">
        <f>IFERROR(__xludf.DUMMYFUNCTION("""COMPUTED_VALUE"""),"2H1M opsi c")</f>
        <v>2H1M opsi c</v>
      </c>
      <c r="AI135" s="287"/>
      <c r="AJ135" s="285"/>
      <c r="AK135" s="289"/>
      <c r="AL135" s="285" t="str">
        <f>IFERROR(__xludf.DUMMYFUNCTION("""COMPUTED_VALUE"""),"tanya harga ")</f>
        <v>tanya harga </v>
      </c>
    </row>
    <row r="136">
      <c r="F136" s="285" t="str">
        <f>IFERROR(__xludf.DUMMYFUNCTION("""COMPUTED_VALUE"""),"2606D044")</f>
        <v>2606D044</v>
      </c>
      <c r="G136" s="286">
        <f>IFERROR(__xludf.DUMMYFUNCTION("""COMPUTED_VALUE"""),46179.0)</f>
        <v>46179</v>
      </c>
      <c r="H136" s="285" t="str">
        <f>IFERROR(__xludf.DUMMYFUNCTION("""COMPUTED_VALUE"""),"Lilis")</f>
        <v>Lilis</v>
      </c>
      <c r="I136" s="285" t="str">
        <f>IFERROR(__xludf.DUMMYFUNCTION("""COMPUTED_VALUE"""),"08129092824")</f>
        <v>08129092824</v>
      </c>
      <c r="J136" s="285" t="str">
        <f>IFERROR(__xludf.DUMMYFUNCTION("""COMPUTED_VALUE"""),"Leads Baru")</f>
        <v>Leads Baru</v>
      </c>
      <c r="K136" s="285" t="str">
        <f>IFERROR(__xludf.DUMMYFUNCTION("""COMPUTED_VALUE"""),"2H1M")</f>
        <v>2H1M</v>
      </c>
      <c r="L136" s="287"/>
      <c r="M136" s="288"/>
      <c r="N136" s="289"/>
      <c r="O136" s="290" t="str">
        <f>IFERROR(__xludf.DUMMYFUNCTION("""COMPUTED_VALUE"""),"belum bales lagi, FU ")</f>
        <v>belum bales lagi, FU </v>
      </c>
      <c r="P136" s="320"/>
      <c r="R136" s="285" t="str">
        <f>IFERROR(__xludf.DUMMYFUNCTION("""COMPUTED_VALUE"""),"2606D176")</f>
        <v>2606D176</v>
      </c>
      <c r="S136" s="286">
        <f>IFERROR(__xludf.DUMMYFUNCTION("""COMPUTED_VALUE"""),46195.0)</f>
        <v>46195</v>
      </c>
      <c r="T136" s="285" t="str">
        <f>IFERROR(__xludf.DUMMYFUNCTION("""COMPUTED_VALUE"""),"Indra")</f>
        <v>Indra</v>
      </c>
      <c r="U136" s="285" t="str">
        <f>IFERROR(__xludf.DUMMYFUNCTION("""COMPUTED_VALUE"""),"08161804671")</f>
        <v>08161804671</v>
      </c>
      <c r="V136" s="285" t="str">
        <f>IFERROR(__xludf.DUMMYFUNCTION("""COMPUTED_VALUE"""),"Closing")</f>
        <v>Closing</v>
      </c>
      <c r="W136" s="285" t="str">
        <f>IFERROR(__xludf.DUMMYFUNCTION("""COMPUTED_VALUE"""),"3h2m custome")</f>
        <v>3h2m custome</v>
      </c>
      <c r="X136" s="287">
        <f>IFERROR(__xludf.DUMMYFUNCTION("""COMPUTED_VALUE"""),46202.0)</f>
        <v>46202</v>
      </c>
      <c r="Y136" s="285">
        <f>IFERROR(__xludf.DUMMYFUNCTION("""COMPUTED_VALUE"""),5.0)</f>
        <v>5</v>
      </c>
      <c r="Z136" s="289">
        <f>IFERROR(__xludf.DUMMYFUNCTION("""COMPUTED_VALUE"""),8125000.0)</f>
        <v>8125000</v>
      </c>
      <c r="AA136" s="285" t="str">
        <f>IFERROR(__xludf.DUMMYFUNCTION("""COMPUTED_VALUE"""),"alhamdulillah orrderr")</f>
        <v>alhamdulillah orrderr</v>
      </c>
      <c r="AC136" s="285" t="str">
        <f>IFERROR(__xludf.DUMMYFUNCTION("""COMPUTED_VALUE"""),"2601D156")</f>
        <v>2601D156</v>
      </c>
      <c r="AD136" s="286">
        <f>IFERROR(__xludf.DUMMYFUNCTION("""COMPUTED_VALUE"""),46043.0)</f>
        <v>46043</v>
      </c>
      <c r="AE136" s="285" t="str">
        <f>IFERROR(__xludf.DUMMYFUNCTION("""COMPUTED_VALUE"""),"Fika fikria riasti")</f>
        <v>Fika fikria riasti</v>
      </c>
      <c r="AF136" s="285" t="str">
        <f>IFERROR(__xludf.DUMMYFUNCTION("""COMPUTED_VALUE"""),"087876061025")</f>
        <v>087876061025</v>
      </c>
      <c r="AG136" s="285" t="str">
        <f>IFERROR(__xludf.DUMMYFUNCTION("""COMPUTED_VALUE"""),"Gagal")</f>
        <v>Gagal</v>
      </c>
      <c r="AH136" s="285"/>
      <c r="AI136" s="287"/>
      <c r="AJ136" s="285"/>
      <c r="AK136" s="289"/>
      <c r="AL136" s="285" t="str">
        <f>IFERROR(__xludf.DUMMYFUNCTION("""COMPUTED_VALUE"""),"tanya beda OT dan Private trip")</f>
        <v>tanya beda OT dan Private trip</v>
      </c>
    </row>
    <row r="137">
      <c r="F137" s="285" t="str">
        <f>IFERROR(__xludf.DUMMYFUNCTION("""COMPUTED_VALUE"""),"2606D046")</f>
        <v>2606D046</v>
      </c>
      <c r="G137" s="286">
        <f>IFERROR(__xludf.DUMMYFUNCTION("""COMPUTED_VALUE"""),46179.0)</f>
        <v>46179</v>
      </c>
      <c r="H137" s="285" t="str">
        <f>IFERROR(__xludf.DUMMYFUNCTION("""COMPUTED_VALUE"""),"Dian Sari Magdalena ")</f>
        <v>Dian Sari Magdalena </v>
      </c>
      <c r="I137" s="285" t="str">
        <f>IFERROR(__xludf.DUMMYFUNCTION("""COMPUTED_VALUE"""),"081310612022")</f>
        <v>081310612022</v>
      </c>
      <c r="J137" s="285" t="str">
        <f>IFERROR(__xludf.DUMMYFUNCTION("""COMPUTED_VALUE"""),"Leads Baru")</f>
        <v>Leads Baru</v>
      </c>
      <c r="K137" s="285" t="str">
        <f>IFERROR(__xludf.DUMMYFUNCTION("""COMPUTED_VALUE"""),"OT 3h2m")</f>
        <v>OT 3h2m</v>
      </c>
      <c r="L137" s="287"/>
      <c r="M137" s="288">
        <f>IFERROR(__xludf.DUMMYFUNCTION("""COMPUTED_VALUE"""),2.0)</f>
        <v>2</v>
      </c>
      <c r="N137" s="289"/>
      <c r="O137" s="290" t="str">
        <f>IFERROR(__xludf.DUMMYFUNCTION("""COMPUTED_VALUE"""),"FU 9 Juni")</f>
        <v>FU 9 Juni</v>
      </c>
      <c r="P137" s="320"/>
      <c r="R137" s="285" t="str">
        <f>IFERROR(__xludf.DUMMYFUNCTION("""COMPUTED_VALUE"""),"2606D177")</f>
        <v>2606D177</v>
      </c>
      <c r="S137" s="286">
        <f>IFERROR(__xludf.DUMMYFUNCTION("""COMPUTED_VALUE"""),46196.0)</f>
        <v>46196</v>
      </c>
      <c r="T137" s="285" t="str">
        <f>IFERROR(__xludf.DUMMYFUNCTION("""COMPUTED_VALUE"""),"Maharani")</f>
        <v>Maharani</v>
      </c>
      <c r="U137" s="285" t="str">
        <f>IFERROR(__xludf.DUMMYFUNCTION("""COMPUTED_VALUE"""),"0895638996820")</f>
        <v>0895638996820</v>
      </c>
      <c r="V137" s="285" t="str">
        <f>IFERROR(__xludf.DUMMYFUNCTION("""COMPUTED_VALUE"""),"Closing")</f>
        <v>Closing</v>
      </c>
      <c r="W137" s="285" t="str">
        <f>IFERROR(__xludf.DUMMYFUNCTION("""COMPUTED_VALUE"""),"3H2M")</f>
        <v>3H2M</v>
      </c>
      <c r="X137" s="287">
        <f>IFERROR(__xludf.DUMMYFUNCTION("""COMPUTED_VALUE"""),46209.0)</f>
        <v>46209</v>
      </c>
      <c r="Y137" s="285">
        <f>IFERROR(__xludf.DUMMYFUNCTION("""COMPUTED_VALUE"""),2.0)</f>
        <v>2</v>
      </c>
      <c r="Z137" s="289">
        <f>IFERROR(__xludf.DUMMYFUNCTION("""COMPUTED_VALUE"""),3200000.0)</f>
        <v>3200000</v>
      </c>
      <c r="AA137" s="285" t="str">
        <f>IFERROR(__xludf.DUMMYFUNCTION("""COMPUTED_VALUE"""),"alhamdulillah closing")</f>
        <v>alhamdulillah closing</v>
      </c>
      <c r="AC137" s="285" t="str">
        <f>IFERROR(__xludf.DUMMYFUNCTION("""COMPUTED_VALUE"""),"2601D157")</f>
        <v>2601D157</v>
      </c>
      <c r="AD137" s="286">
        <f>IFERROR(__xludf.DUMMYFUNCTION("""COMPUTED_VALUE"""),46044.0)</f>
        <v>46044</v>
      </c>
      <c r="AE137" s="285" t="str">
        <f>IFERROR(__xludf.DUMMYFUNCTION("""COMPUTED_VALUE"""),"Faris Pramanakusuma")</f>
        <v>Faris Pramanakusuma</v>
      </c>
      <c r="AF137" s="285" t="str">
        <f>IFERROR(__xludf.DUMMYFUNCTION("""COMPUTED_VALUE"""),"085779991858")</f>
        <v>085779991858</v>
      </c>
      <c r="AG137" s="285" t="str">
        <f>IFERROR(__xludf.DUMMYFUNCTION("""COMPUTED_VALUE"""),"Gagal")</f>
        <v>Gagal</v>
      </c>
      <c r="AH137" s="285" t="str">
        <f>IFERROR(__xludf.DUMMYFUNCTION("""COMPUTED_VALUE"""),"custom")</f>
        <v>custom</v>
      </c>
      <c r="AI137" s="287"/>
      <c r="AJ137" s="285">
        <f>IFERROR(__xludf.DUMMYFUNCTION("""COMPUTED_VALUE"""),13.0)</f>
        <v>13</v>
      </c>
      <c r="AK137" s="289">
        <f>IFERROR(__xludf.DUMMYFUNCTION("""COMPUTED_VALUE"""),7.54E7)</f>
        <v>75400000</v>
      </c>
      <c r="AL137" s="285" t="str">
        <f>IFERROR(__xludf.DUMMYFUNCTION("""COMPUTED_VALUE"""),"gagall, FU tidak pernah di balas")</f>
        <v>gagall, FU tidak pernah di balas</v>
      </c>
    </row>
    <row r="138">
      <c r="F138" s="285" t="str">
        <f>IFERROR(__xludf.DUMMYFUNCTION("""COMPUTED_VALUE"""),"2606D047")</f>
        <v>2606D047</v>
      </c>
      <c r="G138" s="286">
        <f>IFERROR(__xludf.DUMMYFUNCTION("""COMPUTED_VALUE"""),46179.0)</f>
        <v>46179</v>
      </c>
      <c r="H138" s="285" t="str">
        <f>IFERROR(__xludf.DUMMYFUNCTION("""COMPUTED_VALUE"""),"Dwipayani")</f>
        <v>Dwipayani</v>
      </c>
      <c r="I138" s="285" t="str">
        <f>IFERROR(__xludf.DUMMYFUNCTION("""COMPUTED_VALUE"""),"085880632986")</f>
        <v>085880632986</v>
      </c>
      <c r="J138" s="285" t="str">
        <f>IFERROR(__xludf.DUMMYFUNCTION("""COMPUTED_VALUE"""),"Leads Baru")</f>
        <v>Leads Baru</v>
      </c>
      <c r="K138" s="285" t="str">
        <f>IFERROR(__xludf.DUMMYFUNCTION("""COMPUTED_VALUE"""),"OT MT")</f>
        <v>OT MT</v>
      </c>
      <c r="L138" s="287">
        <f>IFERROR(__xludf.DUMMYFUNCTION("""COMPUTED_VALUE"""),46192.0)</f>
        <v>46192</v>
      </c>
      <c r="M138" s="288">
        <f>IFERROR(__xludf.DUMMYFUNCTION("""COMPUTED_VALUE"""),2.0)</f>
        <v>2</v>
      </c>
      <c r="N138" s="289"/>
      <c r="O138" s="290" t="str">
        <f>IFERROR(__xludf.DUMMYFUNCTION("""COMPUTED_VALUE"""),"FU 9 Juni")</f>
        <v>FU 9 Juni</v>
      </c>
      <c r="P138" s="320"/>
      <c r="R138" s="285" t="str">
        <f>IFERROR(__xludf.DUMMYFUNCTION("""COMPUTED_VALUE"""),"2606D184")</f>
        <v>2606D184</v>
      </c>
      <c r="S138" s="286">
        <f>IFERROR(__xludf.DUMMYFUNCTION("""COMPUTED_VALUE"""),46196.0)</f>
        <v>46196</v>
      </c>
      <c r="T138" s="285" t="str">
        <f>IFERROR(__xludf.DUMMYFUNCTION("""COMPUTED_VALUE"""),"Intan ")</f>
        <v>Intan </v>
      </c>
      <c r="U138" s="285" t="str">
        <f>IFERROR(__xludf.DUMMYFUNCTION("""COMPUTED_VALUE"""),"081328062727")</f>
        <v>081328062727</v>
      </c>
      <c r="V138" s="285" t="str">
        <f>IFERROR(__xludf.DUMMYFUNCTION("""COMPUTED_VALUE"""),"Closing")</f>
        <v>Closing</v>
      </c>
      <c r="W138" s="285" t="str">
        <f>IFERROR(__xludf.DUMMYFUNCTION("""COMPUTED_VALUE"""),"PT Menjangan Baluran")</f>
        <v>PT Menjangan Baluran</v>
      </c>
      <c r="X138" s="287">
        <f>IFERROR(__xludf.DUMMYFUNCTION("""COMPUTED_VALUE"""),46205.0)</f>
        <v>46205</v>
      </c>
      <c r="Y138" s="285">
        <f>IFERROR(__xludf.DUMMYFUNCTION("""COMPUTED_VALUE"""),4.0)</f>
        <v>4</v>
      </c>
      <c r="Z138" s="289">
        <f>IFERROR(__xludf.DUMMYFUNCTION("""COMPUTED_VALUE"""),2600000.0)</f>
        <v>2600000</v>
      </c>
      <c r="AA138" s="285" t="str">
        <f>IFERROR(__xludf.DUMMYFUNCTION("""COMPUTED_VALUE"""),"orrderr")</f>
        <v>orrderr</v>
      </c>
      <c r="AC138" s="285" t="str">
        <f>IFERROR(__xludf.DUMMYFUNCTION("""COMPUTED_VALUE"""),"2601D158")</f>
        <v>2601D158</v>
      </c>
      <c r="AD138" s="286">
        <f>IFERROR(__xludf.DUMMYFUNCTION("""COMPUTED_VALUE"""),46044.0)</f>
        <v>46044</v>
      </c>
      <c r="AE138" s="285" t="str">
        <f>IFERROR(__xludf.DUMMYFUNCTION("""COMPUTED_VALUE"""),"No Name februari")</f>
        <v>No Name februari</v>
      </c>
      <c r="AF138" s="285" t="str">
        <f>IFERROR(__xludf.DUMMYFUNCTION("""COMPUTED_VALUE"""),"088980398815")</f>
        <v>088980398815</v>
      </c>
      <c r="AG138" s="285" t="str">
        <f>IFERROR(__xludf.DUMMYFUNCTION("""COMPUTED_VALUE"""),"Gagal")</f>
        <v>Gagal</v>
      </c>
      <c r="AH138" s="285"/>
      <c r="AI138" s="287"/>
      <c r="AJ138" s="285"/>
      <c r="AK138" s="289"/>
      <c r="AL138" s="285" t="str">
        <f>IFERROR(__xludf.DUMMYFUNCTION("""COMPUTED_VALUE"""),"tanya tanya")</f>
        <v>tanya tanya</v>
      </c>
    </row>
    <row r="139">
      <c r="F139" s="285" t="str">
        <f>IFERROR(__xludf.DUMMYFUNCTION("""COMPUTED_VALUE"""),"2606D049")</f>
        <v>2606D049</v>
      </c>
      <c r="G139" s="286">
        <f>IFERROR(__xludf.DUMMYFUNCTION("""COMPUTED_VALUE"""),46179.0)</f>
        <v>46179</v>
      </c>
      <c r="H139" s="285" t="str">
        <f>IFERROR(__xludf.DUMMYFUNCTION("""COMPUTED_VALUE"""),"Noviani Rachmisari")</f>
        <v>Noviani Rachmisari</v>
      </c>
      <c r="I139" s="285" t="str">
        <f>IFERROR(__xludf.DUMMYFUNCTION("""COMPUTED_VALUE"""),"0818672878")</f>
        <v>0818672878</v>
      </c>
      <c r="J139" s="285" t="str">
        <f>IFERROR(__xludf.DUMMYFUNCTION("""COMPUTED_VALUE"""),"Leads Baru")</f>
        <v>Leads Baru</v>
      </c>
      <c r="K139" s="285" t="str">
        <f>IFERROR(__xludf.DUMMYFUNCTION("""COMPUTED_VALUE"""),"3H2M opsi A")</f>
        <v>3H2M opsi A</v>
      </c>
      <c r="L139" s="287">
        <f>IFERROR(__xludf.DUMMYFUNCTION("""COMPUTED_VALUE"""),46202.0)</f>
        <v>46202</v>
      </c>
      <c r="M139" s="288">
        <f>IFERROR(__xludf.DUMMYFUNCTION("""COMPUTED_VALUE"""),7.0)</f>
        <v>7</v>
      </c>
      <c r="N139" s="289"/>
      <c r="O139" s="290" t="str">
        <f>IFERROR(__xludf.DUMMYFUNCTION("""COMPUTED_VALUE"""),"FU 13 Juni")</f>
        <v>FU 13 Juni</v>
      </c>
      <c r="P139" s="320"/>
      <c r="R139" s="285" t="str">
        <f>IFERROR(__xludf.DUMMYFUNCTION("""COMPUTED_VALUE"""),"2606D186")</f>
        <v>2606D186</v>
      </c>
      <c r="S139" s="286">
        <f>IFERROR(__xludf.DUMMYFUNCTION("""COMPUTED_VALUE"""),46197.0)</f>
        <v>46197</v>
      </c>
      <c r="T139" s="285" t="str">
        <f>IFERROR(__xludf.DUMMYFUNCTION("""COMPUTED_VALUE"""),"Nabila")</f>
        <v>Nabila</v>
      </c>
      <c r="U139" s="285" t="str">
        <f>IFERROR(__xludf.DUMMYFUNCTION("""COMPUTED_VALUE"""),"0895331162895")</f>
        <v>0895331162895</v>
      </c>
      <c r="V139" s="285" t="str">
        <f>IFERROR(__xludf.DUMMYFUNCTION("""COMPUTED_VALUE"""),"Closing")</f>
        <v>Closing</v>
      </c>
      <c r="W139" s="285" t="str">
        <f>IFERROR(__xludf.DUMMYFUNCTION("""COMPUTED_VALUE"""),"OT MT")</f>
        <v>OT MT</v>
      </c>
      <c r="X139" s="287">
        <f>IFERROR(__xludf.DUMMYFUNCTION("""COMPUTED_VALUE"""),46204.0)</f>
        <v>46204</v>
      </c>
      <c r="Y139" s="285">
        <f>IFERROR(__xludf.DUMMYFUNCTION("""COMPUTED_VALUE"""),2.0)</f>
        <v>2</v>
      </c>
      <c r="Z139" s="289">
        <f>IFERROR(__xludf.DUMMYFUNCTION("""COMPUTED_VALUE"""),800000.0)</f>
        <v>800000</v>
      </c>
      <c r="AA139" s="285" t="str">
        <f>IFERROR(__xludf.DUMMYFUNCTION("""COMPUTED_VALUE"""),"orrddeerrr")</f>
        <v>orrddeerrr</v>
      </c>
      <c r="AC139" s="285" t="str">
        <f>IFERROR(__xludf.DUMMYFUNCTION("""COMPUTED_VALUE"""),"2601D159")</f>
        <v>2601D159</v>
      </c>
      <c r="AD139" s="286">
        <f>IFERROR(__xludf.DUMMYFUNCTION("""COMPUTED_VALUE"""),46045.0)</f>
        <v>46045</v>
      </c>
      <c r="AE139" s="285" t="str">
        <f>IFERROR(__xludf.DUMMYFUNCTION("""COMPUTED_VALUE"""),"M Ridho Farisyah")</f>
        <v>M Ridho Farisyah</v>
      </c>
      <c r="AF139" s="285" t="str">
        <f>IFERROR(__xludf.DUMMYFUNCTION("""COMPUTED_VALUE"""),"082181668773")</f>
        <v>082181668773</v>
      </c>
      <c r="AG139" s="285" t="str">
        <f>IFERROR(__xludf.DUMMYFUNCTION("""COMPUTED_VALUE"""),"Gagal")</f>
        <v>Gagal</v>
      </c>
      <c r="AH139" s="285"/>
      <c r="AI139" s="287"/>
      <c r="AJ139" s="285">
        <f>IFERROR(__xludf.DUMMYFUNCTION("""COMPUTED_VALUE"""),2.0)</f>
        <v>2</v>
      </c>
      <c r="AK139" s="289"/>
      <c r="AL139" s="285" t="str">
        <f>IFERROR(__xludf.DUMMYFUNCTION("""COMPUTED_VALUE"""),"tanya penjemputan ")</f>
        <v>tanya penjemputan </v>
      </c>
    </row>
    <row r="140">
      <c r="F140" s="285" t="str">
        <f>IFERROR(__xludf.DUMMYFUNCTION("""COMPUTED_VALUE"""),"2606D050")</f>
        <v>2606D050</v>
      </c>
      <c r="G140" s="286">
        <f>IFERROR(__xludf.DUMMYFUNCTION("""COMPUTED_VALUE"""),46179.0)</f>
        <v>46179</v>
      </c>
      <c r="H140" s="285" t="str">
        <f>IFERROR(__xludf.DUMMYFUNCTION("""COMPUTED_VALUE"""),"Adinda Fachreza")</f>
        <v>Adinda Fachreza</v>
      </c>
      <c r="I140" s="285" t="str">
        <f>IFERROR(__xludf.DUMMYFUNCTION("""COMPUTED_VALUE"""),"085157644801")</f>
        <v>085157644801</v>
      </c>
      <c r="J140" s="285" t="str">
        <f>IFERROR(__xludf.DUMMYFUNCTION("""COMPUTED_VALUE"""),"Leads Baru")</f>
        <v>Leads Baru</v>
      </c>
      <c r="K140" s="285" t="str">
        <f>IFERROR(__xludf.DUMMYFUNCTION("""COMPUTED_VALUE"""),"PT MT")</f>
        <v>PT MT</v>
      </c>
      <c r="L140" s="287"/>
      <c r="M140" s="288">
        <f>IFERROR(__xludf.DUMMYFUNCTION("""COMPUTED_VALUE"""),10.0)</f>
        <v>10</v>
      </c>
      <c r="N140" s="289"/>
      <c r="O140" s="290" t="str">
        <f>IFERROR(__xludf.DUMMYFUNCTION("""COMPUTED_VALUE"""),"FU 19 Juni")</f>
        <v>FU 19 Juni</v>
      </c>
      <c r="P140" s="320"/>
      <c r="R140" s="285" t="str">
        <f>IFERROR(__xludf.DUMMYFUNCTION("""COMPUTED_VALUE"""),"2606D187")</f>
        <v>2606D187</v>
      </c>
      <c r="S140" s="286">
        <f>IFERROR(__xludf.DUMMYFUNCTION("""COMPUTED_VALUE"""),46197.0)</f>
        <v>46197</v>
      </c>
      <c r="T140" s="285" t="str">
        <f>IFERROR(__xludf.DUMMYFUNCTION("""COMPUTED_VALUE"""),"Yoga")</f>
        <v>Yoga</v>
      </c>
      <c r="U140" s="285" t="str">
        <f>IFERROR(__xludf.DUMMYFUNCTION("""COMPUTED_VALUE"""),"081227333699")</f>
        <v>081227333699</v>
      </c>
      <c r="V140" s="285" t="str">
        <f>IFERROR(__xludf.DUMMYFUNCTION("""COMPUTED_VALUE"""),"Closing")</f>
        <v>Closing</v>
      </c>
      <c r="W140" s="285" t="str">
        <f>IFERROR(__xludf.DUMMYFUNCTION("""COMPUTED_VALUE"""),"3H2M ops B")</f>
        <v>3H2M ops B</v>
      </c>
      <c r="X140" s="287">
        <f>IFERROR(__xludf.DUMMYFUNCTION("""COMPUTED_VALUE"""),46204.0)</f>
        <v>46204</v>
      </c>
      <c r="Y140" s="285">
        <f>IFERROR(__xludf.DUMMYFUNCTION("""COMPUTED_VALUE"""),3.0)</f>
        <v>3</v>
      </c>
      <c r="Z140" s="289">
        <f>IFERROR(__xludf.DUMMYFUNCTION("""COMPUTED_VALUE"""),4854000.0)</f>
        <v>4854000</v>
      </c>
      <c r="AA140" s="285" t="str">
        <f>IFERROR(__xludf.DUMMYFUNCTION("""COMPUTED_VALUE"""),"orrderr")</f>
        <v>orrderr</v>
      </c>
      <c r="AC140" s="285" t="str">
        <f>IFERROR(__xludf.DUMMYFUNCTION("""COMPUTED_VALUE"""),"2601D160")</f>
        <v>2601D160</v>
      </c>
      <c r="AD140" s="286">
        <f>IFERROR(__xludf.DUMMYFUNCTION("""COMPUTED_VALUE"""),46045.0)</f>
        <v>46045</v>
      </c>
      <c r="AE140" s="285" t="str">
        <f>IFERROR(__xludf.DUMMYFUNCTION("""COMPUTED_VALUE"""),"Kian Djiang ")</f>
        <v>Kian Djiang </v>
      </c>
      <c r="AF140" s="285" t="str">
        <f>IFERROR(__xludf.DUMMYFUNCTION("""COMPUTED_VALUE"""),"0895603297486")</f>
        <v>0895603297486</v>
      </c>
      <c r="AG140" s="285" t="str">
        <f>IFERROR(__xludf.DUMMYFUNCTION("""COMPUTED_VALUE"""),"Gagal")</f>
        <v>Gagal</v>
      </c>
      <c r="AH140" s="285" t="str">
        <f>IFERROR(__xludf.DUMMYFUNCTION("""COMPUTED_VALUE"""),"custom")</f>
        <v>custom</v>
      </c>
      <c r="AI140" s="287"/>
      <c r="AJ140" s="285">
        <f>IFERROR(__xludf.DUMMYFUNCTION("""COMPUTED_VALUE"""),50.0)</f>
        <v>50</v>
      </c>
      <c r="AK140" s="289"/>
      <c r="AL140" s="285" t="str">
        <f>IFERROR(__xludf.DUMMYFUNCTION("""COMPUTED_VALUE"""),"sudah dihandle admin 2")</f>
        <v>sudah dihandle admin 2</v>
      </c>
    </row>
    <row r="141">
      <c r="F141" s="285" t="str">
        <f>IFERROR(__xludf.DUMMYFUNCTION("""COMPUTED_VALUE"""),"2606D051")</f>
        <v>2606D051</v>
      </c>
      <c r="G141" s="286">
        <f>IFERROR(__xludf.DUMMYFUNCTION("""COMPUTED_VALUE"""),46178.0)</f>
        <v>46178</v>
      </c>
      <c r="H141" s="285" t="str">
        <f>IFERROR(__xludf.DUMMYFUNCTION("""COMPUTED_VALUE"""),"Ria")</f>
        <v>Ria</v>
      </c>
      <c r="I141" s="285" t="str">
        <f>IFERROR(__xludf.DUMMYFUNCTION("""COMPUTED_VALUE"""),"089690908261")</f>
        <v>089690908261</v>
      </c>
      <c r="J141" s="285" t="str">
        <f>IFERROR(__xludf.DUMMYFUNCTION("""COMPUTED_VALUE"""),"Leads Baru")</f>
        <v>Leads Baru</v>
      </c>
      <c r="K141" s="285"/>
      <c r="L141" s="287"/>
      <c r="M141" s="288">
        <f>IFERROR(__xludf.DUMMYFUNCTION("""COMPUTED_VALUE"""),2.0)</f>
        <v>2</v>
      </c>
      <c r="N141" s="289"/>
      <c r="O141" s="290" t="str">
        <f>IFERROR(__xludf.DUMMYFUNCTION("""COMPUTED_VALUE"""),"FU 9 Juni  ")</f>
        <v>FU 9 Juni  </v>
      </c>
      <c r="P141" s="320"/>
      <c r="R141" s="285" t="str">
        <f>IFERROR(__xludf.DUMMYFUNCTION("""COMPUTED_VALUE"""),"2606D191")</f>
        <v>2606D191</v>
      </c>
      <c r="S141" s="286">
        <f>IFERROR(__xludf.DUMMYFUNCTION("""COMPUTED_VALUE"""),46198.0)</f>
        <v>46198</v>
      </c>
      <c r="T141" s="285" t="str">
        <f>IFERROR(__xludf.DUMMYFUNCTION("""COMPUTED_VALUE"""),"Deya Azizah")</f>
        <v>Deya Azizah</v>
      </c>
      <c r="U141" s="285" t="str">
        <f>IFERROR(__xludf.DUMMYFUNCTION("""COMPUTED_VALUE"""),"0881027904996")</f>
        <v>0881027904996</v>
      </c>
      <c r="V141" s="285" t="str">
        <f>IFERROR(__xludf.DUMMYFUNCTION("""COMPUTED_VALUE"""),"Closing")</f>
        <v>Closing</v>
      </c>
      <c r="W141" s="285" t="str">
        <f>IFERROR(__xludf.DUMMYFUNCTION("""COMPUTED_VALUE"""),"OT MT")</f>
        <v>OT MT</v>
      </c>
      <c r="X141" s="287">
        <f>IFERROR(__xludf.DUMMYFUNCTION("""COMPUTED_VALUE"""),46205.0)</f>
        <v>46205</v>
      </c>
      <c r="Y141" s="285">
        <f>IFERROR(__xludf.DUMMYFUNCTION("""COMPUTED_VALUE"""),2.0)</f>
        <v>2</v>
      </c>
      <c r="Z141" s="289">
        <f>IFERROR(__xludf.DUMMYFUNCTION("""COMPUTED_VALUE"""),800000.0)</f>
        <v>800000</v>
      </c>
      <c r="AA141" s="285" t="str">
        <f>IFERROR(__xludf.DUMMYFUNCTION("""COMPUTED_VALUE"""),"alhamdulillah orderr")</f>
        <v>alhamdulillah orderr</v>
      </c>
      <c r="AC141" s="285" t="str">
        <f>IFERROR(__xludf.DUMMYFUNCTION("""COMPUTED_VALUE"""),"2601D163")</f>
        <v>2601D163</v>
      </c>
      <c r="AD141" s="286">
        <f>IFERROR(__xludf.DUMMYFUNCTION("""COMPUTED_VALUE"""),46045.0)</f>
        <v>46045</v>
      </c>
      <c r="AE141" s="285" t="str">
        <f>IFERROR(__xludf.DUMMYFUNCTION("""COMPUTED_VALUE"""),"Intantrdr")</f>
        <v>Intantrdr</v>
      </c>
      <c r="AF141" s="285" t="str">
        <f>IFERROR(__xludf.DUMMYFUNCTION("""COMPUTED_VALUE"""),"0895335113066")</f>
        <v>0895335113066</v>
      </c>
      <c r="AG141" s="285" t="str">
        <f>IFERROR(__xludf.DUMMYFUNCTION("""COMPUTED_VALUE"""),"Gagal")</f>
        <v>Gagal</v>
      </c>
      <c r="AH141" s="285" t="str">
        <f>IFERROR(__xludf.DUMMYFUNCTION("""COMPUTED_VALUE"""),"custom 1 day trip")</f>
        <v>custom 1 day trip</v>
      </c>
      <c r="AI141" s="287"/>
      <c r="AJ141" s="285">
        <f>IFERROR(__xludf.DUMMYFUNCTION("""COMPUTED_VALUE"""),2.0)</f>
        <v>2</v>
      </c>
      <c r="AK141" s="289"/>
      <c r="AL141" s="285" t="str">
        <f>IFERROR(__xludf.DUMMYFUNCTION("""COMPUTED_VALUE"""),"tanya tanya harga")</f>
        <v>tanya tanya harga</v>
      </c>
    </row>
    <row r="142">
      <c r="F142" s="285" t="str">
        <f>IFERROR(__xludf.DUMMYFUNCTION("""COMPUTED_VALUE"""),"2606D052")</f>
        <v>2606D052</v>
      </c>
      <c r="G142" s="286">
        <f>IFERROR(__xludf.DUMMYFUNCTION("""COMPUTED_VALUE"""),46179.0)</f>
        <v>46179</v>
      </c>
      <c r="H142" s="285" t="str">
        <f>IFERROR(__xludf.DUMMYFUNCTION("""COMPUTED_VALUE"""),"Haifa")</f>
        <v>Haifa</v>
      </c>
      <c r="I142" s="285" t="str">
        <f>IFERROR(__xludf.DUMMYFUNCTION("""COMPUTED_VALUE"""),"089636430689")</f>
        <v>089636430689</v>
      </c>
      <c r="J142" s="285" t="str">
        <f>IFERROR(__xludf.DUMMYFUNCTION("""COMPUTED_VALUE"""),"Leads Baru")</f>
        <v>Leads Baru</v>
      </c>
      <c r="K142" s="285" t="str">
        <f>IFERROR(__xludf.DUMMYFUNCTION("""COMPUTED_VALUE"""),"3h2m Opsi A")</f>
        <v>3h2m Opsi A</v>
      </c>
      <c r="L142" s="287"/>
      <c r="M142" s="288"/>
      <c r="N142" s="289"/>
      <c r="O142" s="290" t="str">
        <f>IFERROR(__xludf.DUMMYFUNCTION("""COMPUTED_VALUE"""),"FU 10 Juni")</f>
        <v>FU 10 Juni</v>
      </c>
      <c r="P142" s="320"/>
      <c r="R142" s="285" t="str">
        <f>IFERROR(__xludf.DUMMYFUNCTION("""COMPUTED_VALUE"""),"2606D192")</f>
        <v>2606D192</v>
      </c>
      <c r="S142" s="286">
        <f>IFERROR(__xludf.DUMMYFUNCTION("""COMPUTED_VALUE"""),46198.0)</f>
        <v>46198</v>
      </c>
      <c r="T142" s="285" t="str">
        <f>IFERROR(__xludf.DUMMYFUNCTION("""COMPUTED_VALUE"""),"Reinaldi")</f>
        <v>Reinaldi</v>
      </c>
      <c r="U142" s="285" t="str">
        <f>IFERROR(__xludf.DUMMYFUNCTION("""COMPUTED_VALUE"""),"0895357925773")</f>
        <v>0895357925773</v>
      </c>
      <c r="V142" s="285" t="str">
        <f>IFERROR(__xludf.DUMMYFUNCTION("""COMPUTED_VALUE"""),"Closing")</f>
        <v>Closing</v>
      </c>
      <c r="W142" s="285" t="str">
        <f>IFERROR(__xludf.DUMMYFUNCTION("""COMPUTED_VALUE"""),"2H1M custome")</f>
        <v>2H1M custome</v>
      </c>
      <c r="X142" s="287">
        <f>IFERROR(__xludf.DUMMYFUNCTION("""COMPUTED_VALUE"""),46203.0)</f>
        <v>46203</v>
      </c>
      <c r="Y142" s="285">
        <f>IFERROR(__xludf.DUMMYFUNCTION("""COMPUTED_VALUE"""),3.0)</f>
        <v>3</v>
      </c>
      <c r="Z142" s="289">
        <f>IFERROR(__xludf.DUMMYFUNCTION("""COMPUTED_VALUE"""),2955000.0)</f>
        <v>2955000</v>
      </c>
      <c r="AA142" s="285" t="str">
        <f>IFERROR(__xludf.DUMMYFUNCTION("""COMPUTED_VALUE"""),"orrderrr")</f>
        <v>orrderrr</v>
      </c>
      <c r="AC142" s="285" t="str">
        <f>IFERROR(__xludf.DUMMYFUNCTION("""COMPUTED_VALUE"""),"2601D164")</f>
        <v>2601D164</v>
      </c>
      <c r="AD142" s="286">
        <f>IFERROR(__xludf.DUMMYFUNCTION("""COMPUTED_VALUE"""),46047.0)</f>
        <v>46047</v>
      </c>
      <c r="AE142" s="285" t="str">
        <f>IFERROR(__xludf.DUMMYFUNCTION("""COMPUTED_VALUE"""),"Dinaa")</f>
        <v>Dinaa</v>
      </c>
      <c r="AF142" s="285" t="str">
        <f>IFERROR(__xludf.DUMMYFUNCTION("""COMPUTED_VALUE"""),"08982230715")</f>
        <v>08982230715</v>
      </c>
      <c r="AG142" s="285" t="str">
        <f>IFERROR(__xludf.DUMMYFUNCTION("""COMPUTED_VALUE"""),"Gagal")</f>
        <v>Gagal</v>
      </c>
      <c r="AH142" s="285" t="str">
        <f>IFERROR(__xludf.DUMMYFUNCTION("""COMPUTED_VALUE"""),"Trip D, B")</f>
        <v>Trip D, B</v>
      </c>
      <c r="AI142" s="287"/>
      <c r="AJ142" s="285">
        <f>IFERROR(__xludf.DUMMYFUNCTION("""COMPUTED_VALUE"""),2.0)</f>
        <v>2</v>
      </c>
      <c r="AK142" s="289"/>
      <c r="AL142" s="285" t="str">
        <f>IFERROR(__xludf.DUMMYFUNCTION("""COMPUTED_VALUE"""),"tanya tanya")</f>
        <v>tanya tanya</v>
      </c>
    </row>
    <row r="143">
      <c r="F143" s="285" t="str">
        <f>IFERROR(__xludf.DUMMYFUNCTION("""COMPUTED_VALUE"""),"2606D054")</f>
        <v>2606D054</v>
      </c>
      <c r="G143" s="286">
        <f>IFERROR(__xludf.DUMMYFUNCTION("""COMPUTED_VALUE"""),46180.0)</f>
        <v>46180</v>
      </c>
      <c r="H143" s="285" t="str">
        <f>IFERROR(__xludf.DUMMYFUNCTION("""COMPUTED_VALUE"""),"Kirana ")</f>
        <v>Kirana </v>
      </c>
      <c r="I143" s="285" t="str">
        <f>IFERROR(__xludf.DUMMYFUNCTION("""COMPUTED_VALUE"""),"082217777309")</f>
        <v>082217777309</v>
      </c>
      <c r="J143" s="285" t="str">
        <f>IFERROR(__xludf.DUMMYFUNCTION("""COMPUTED_VALUE"""),"Leads Baru")</f>
        <v>Leads Baru</v>
      </c>
      <c r="K143" s="285" t="str">
        <f>IFERROR(__xludf.DUMMYFUNCTION("""COMPUTED_VALUE"""),"3H2M opsi A")</f>
        <v>3H2M opsi A</v>
      </c>
      <c r="L143" s="287">
        <f>IFERROR(__xludf.DUMMYFUNCTION("""COMPUTED_VALUE"""),46186.0)</f>
        <v>46186</v>
      </c>
      <c r="M143" s="288">
        <f>IFERROR(__xludf.DUMMYFUNCTION("""COMPUTED_VALUE"""),3.0)</f>
        <v>3</v>
      </c>
      <c r="N143" s="289"/>
      <c r="O143" s="290" t="str">
        <f>IFERROR(__xludf.DUMMYFUNCTION("""COMPUTED_VALUE"""),"FU 9 Juni")</f>
        <v>FU 9 Juni</v>
      </c>
      <c r="P143" s="320"/>
      <c r="R143" s="285" t="str">
        <f>IFERROR(__xludf.DUMMYFUNCTION("""COMPUTED_VALUE"""),"2606D193")</f>
        <v>2606D193</v>
      </c>
      <c r="S143" s="286">
        <f>IFERROR(__xludf.DUMMYFUNCTION("""COMPUTED_VALUE"""),46198.0)</f>
        <v>46198</v>
      </c>
      <c r="T143" s="285" t="str">
        <f>IFERROR(__xludf.DUMMYFUNCTION("""COMPUTED_VALUE"""),"Pak Sukotjo")</f>
        <v>Pak Sukotjo</v>
      </c>
      <c r="U143" s="285" t="str">
        <f>IFERROR(__xludf.DUMMYFUNCTION("""COMPUTED_VALUE"""),"082110312277")</f>
        <v>082110312277</v>
      </c>
      <c r="V143" s="285" t="str">
        <f>IFERROR(__xludf.DUMMYFUNCTION("""COMPUTED_VALUE"""),"Closing")</f>
        <v>Closing</v>
      </c>
      <c r="W143" s="285" t="str">
        <f>IFERROR(__xludf.DUMMYFUNCTION("""COMPUTED_VALUE"""),"trip Green Island")</f>
        <v>trip Green Island</v>
      </c>
      <c r="X143" s="287">
        <f>IFERROR(__xludf.DUMMYFUNCTION("""COMPUTED_VALUE"""),46201.0)</f>
        <v>46201</v>
      </c>
      <c r="Y143" s="285">
        <f>IFERROR(__xludf.DUMMYFUNCTION("""COMPUTED_VALUE"""),4.0)</f>
        <v>4</v>
      </c>
      <c r="Z143" s="289">
        <f>IFERROR(__xludf.DUMMYFUNCTION("""COMPUTED_VALUE"""),5910000.0)</f>
        <v>5910000</v>
      </c>
      <c r="AA143" s="285" t="str">
        <f>IFERROR(__xludf.DUMMYFUNCTION("""COMPUTED_VALUE"""),"orrderrr")</f>
        <v>orrderrr</v>
      </c>
      <c r="AC143" s="285" t="str">
        <f>IFERROR(__xludf.DUMMYFUNCTION("""COMPUTED_VALUE"""),"2601D166")</f>
        <v>2601D166</v>
      </c>
      <c r="AD143" s="286">
        <f>IFERROR(__xludf.DUMMYFUNCTION("""COMPUTED_VALUE"""),46047.0)</f>
        <v>46047</v>
      </c>
      <c r="AE143" s="285" t="str">
        <f>IFERROR(__xludf.DUMMYFUNCTION("""COMPUTED_VALUE"""),"Kezia ")</f>
        <v>Kezia </v>
      </c>
      <c r="AF143" s="285" t="str">
        <f>IFERROR(__xludf.DUMMYFUNCTION("""COMPUTED_VALUE"""),"081805979771")</f>
        <v>081805979771</v>
      </c>
      <c r="AG143" s="285" t="str">
        <f>IFERROR(__xludf.DUMMYFUNCTION("""COMPUTED_VALUE"""),"Gagal")</f>
        <v>Gagal</v>
      </c>
      <c r="AH143" s="285" t="str">
        <f>IFERROR(__xludf.DUMMYFUNCTION("""COMPUTED_VALUE"""),"Privae trip D, B")</f>
        <v>Privae trip D, B</v>
      </c>
      <c r="AI143" s="287">
        <f>IFERROR(__xludf.DUMMYFUNCTION("""COMPUTED_VALUE"""),46068.0)</f>
        <v>46068</v>
      </c>
      <c r="AJ143" s="285">
        <f>IFERROR(__xludf.DUMMYFUNCTION("""COMPUTED_VALUE"""),4.0)</f>
        <v>4</v>
      </c>
      <c r="AK143" s="289">
        <f>IFERROR(__xludf.DUMMYFUNCTION("""COMPUTED_VALUE"""),1996000.0)</f>
        <v>1996000</v>
      </c>
      <c r="AL143" s="285" t="str">
        <f>IFERROR(__xludf.DUMMYFUNCTION("""COMPUTED_VALUE"""),"FU tgl 9 feb, ga ada jawaban")</f>
        <v>FU tgl 9 feb, ga ada jawaban</v>
      </c>
    </row>
    <row r="144">
      <c r="F144" s="285" t="str">
        <f>IFERROR(__xludf.DUMMYFUNCTION("""COMPUTED_VALUE"""),"2602D055")</f>
        <v>2602D055</v>
      </c>
      <c r="G144" s="286">
        <f>IFERROR(__xludf.DUMMYFUNCTION("""COMPUTED_VALUE"""),46180.0)</f>
        <v>46180</v>
      </c>
      <c r="H144" s="285" t="str">
        <f>IFERROR(__xludf.DUMMYFUNCTION("""COMPUTED_VALUE"""),"Ddi3")</f>
        <v>Ddi3</v>
      </c>
      <c r="I144" s="285" t="str">
        <f>IFERROR(__xludf.DUMMYFUNCTION("""COMPUTED_VALUE"""),"081327081982")</f>
        <v>081327081982</v>
      </c>
      <c r="J144" s="285" t="str">
        <f>IFERROR(__xludf.DUMMYFUNCTION("""COMPUTED_VALUE"""),"Leads Baru")</f>
        <v>Leads Baru</v>
      </c>
      <c r="K144" s="285"/>
      <c r="L144" s="287"/>
      <c r="M144" s="288">
        <f>IFERROR(__xludf.DUMMYFUNCTION("""COMPUTED_VALUE"""),3.0)</f>
        <v>3</v>
      </c>
      <c r="N144" s="289"/>
      <c r="O144" s="290" t="str">
        <f>IFERROR(__xludf.DUMMYFUNCTION("""COMPUTED_VALUE"""),"FU 9 Juni")</f>
        <v>FU 9 Juni</v>
      </c>
      <c r="P144" s="320"/>
      <c r="R144" s="285" t="str">
        <f>IFERROR(__xludf.DUMMYFUNCTION("""COMPUTED_VALUE"""),"2606D194")</f>
        <v>2606D194</v>
      </c>
      <c r="S144" s="286">
        <f>IFERROR(__xludf.DUMMYFUNCTION("""COMPUTED_VALUE"""),46198.0)</f>
        <v>46198</v>
      </c>
      <c r="T144" s="285" t="str">
        <f>IFERROR(__xludf.DUMMYFUNCTION("""COMPUTED_VALUE"""),"Budi Siswanto")</f>
        <v>Budi Siswanto</v>
      </c>
      <c r="U144" s="285" t="str">
        <f>IFERROR(__xludf.DUMMYFUNCTION("""COMPUTED_VALUE"""),"082310971717")</f>
        <v>082310971717</v>
      </c>
      <c r="V144" s="285" t="str">
        <f>IFERROR(__xludf.DUMMYFUNCTION("""COMPUTED_VALUE"""),"Closing")</f>
        <v>Closing</v>
      </c>
      <c r="W144" s="285" t="str">
        <f>IFERROR(__xludf.DUMMYFUNCTION("""COMPUTED_VALUE"""),"private trip Ijen")</f>
        <v>private trip Ijen</v>
      </c>
      <c r="X144" s="287">
        <f>IFERROR(__xludf.DUMMYFUNCTION("""COMPUTED_VALUE"""),46244.0)</f>
        <v>46244</v>
      </c>
      <c r="Y144" s="285">
        <f>IFERROR(__xludf.DUMMYFUNCTION("""COMPUTED_VALUE"""),5.0)</f>
        <v>5</v>
      </c>
      <c r="Z144" s="289">
        <f>IFERROR(__xludf.DUMMYFUNCTION("""COMPUTED_VALUE"""),1570000.0)</f>
        <v>1570000</v>
      </c>
      <c r="AA144" s="285" t="str">
        <f>IFERROR(__xludf.DUMMYFUNCTION("""COMPUTED_VALUE"""),"alhamdulillah orderr")</f>
        <v>alhamdulillah orderr</v>
      </c>
      <c r="AC144" s="285" t="str">
        <f>IFERROR(__xludf.DUMMYFUNCTION("""COMPUTED_VALUE"""),"2601D167")</f>
        <v>2601D167</v>
      </c>
      <c r="AD144" s="286">
        <f>IFERROR(__xludf.DUMMYFUNCTION("""COMPUTED_VALUE"""),46048.0)</f>
        <v>46048</v>
      </c>
      <c r="AE144" s="285" t="str">
        <f>IFERROR(__xludf.DUMMYFUNCTION("""COMPUTED_VALUE"""),"Ananda ")</f>
        <v>Ananda </v>
      </c>
      <c r="AF144" s="285" t="str">
        <f>IFERROR(__xludf.DUMMYFUNCTION("""COMPUTED_VALUE"""),"081287066330")</f>
        <v>081287066330</v>
      </c>
      <c r="AG144" s="285" t="str">
        <f>IFERROR(__xludf.DUMMYFUNCTION("""COMPUTED_VALUE"""),"Gagal")</f>
        <v>Gagal</v>
      </c>
      <c r="AH144" s="285" t="str">
        <f>IFERROR(__xludf.DUMMYFUNCTION("""COMPUTED_VALUE"""),"menjangan tabuhan")</f>
        <v>menjangan tabuhan</v>
      </c>
      <c r="AI144" s="287">
        <f>IFERROR(__xludf.DUMMYFUNCTION("""COMPUTED_VALUE"""),46049.0)</f>
        <v>46049</v>
      </c>
      <c r="AJ144" s="285">
        <f>IFERROR(__xludf.DUMMYFUNCTION("""COMPUTED_VALUE"""),9.0)</f>
        <v>9</v>
      </c>
      <c r="AK144" s="289"/>
      <c r="AL144" s="285" t="str">
        <f>IFERROR(__xludf.DUMMYFUNCTION("""COMPUTED_VALUE"""),"lewat tanggal")</f>
        <v>lewat tanggal</v>
      </c>
    </row>
    <row r="145">
      <c r="F145" s="285" t="str">
        <f>IFERROR(__xludf.DUMMYFUNCTION("""COMPUTED_VALUE"""),"2606D056")</f>
        <v>2606D056</v>
      </c>
      <c r="G145" s="286">
        <f>IFERROR(__xludf.DUMMYFUNCTION("""COMPUTED_VALUE"""),46180.0)</f>
        <v>46180</v>
      </c>
      <c r="H145" s="285" t="str">
        <f>IFERROR(__xludf.DUMMYFUNCTION("""COMPUTED_VALUE"""),"Ana  ")</f>
        <v>Ana  </v>
      </c>
      <c r="I145" s="285" t="str">
        <f>IFERROR(__xludf.DUMMYFUNCTION("""COMPUTED_VALUE"""),"081259427377")</f>
        <v>081259427377</v>
      </c>
      <c r="J145" s="285" t="str">
        <f>IFERROR(__xludf.DUMMYFUNCTION("""COMPUTED_VALUE"""),"Leads Baru")</f>
        <v>Leads Baru</v>
      </c>
      <c r="K145" s="285" t="str">
        <f>IFERROR(__xludf.DUMMYFUNCTION("""COMPUTED_VALUE"""),"OT MT, Djabal, GI")</f>
        <v>OT MT, Djabal, GI</v>
      </c>
      <c r="L145" s="287"/>
      <c r="M145" s="288">
        <f>IFERROR(__xludf.DUMMYFUNCTION("""COMPUTED_VALUE"""),2.0)</f>
        <v>2</v>
      </c>
      <c r="N145" s="289"/>
      <c r="O145" s="290" t="str">
        <f>IFERROR(__xludf.DUMMYFUNCTION("""COMPUTED_VALUE"""),"masih nentuin tanggal, FU 11 Juni")</f>
        <v>masih nentuin tanggal, FU 11 Juni</v>
      </c>
      <c r="P145" s="320"/>
      <c r="R145" s="285" t="str">
        <f>IFERROR(__xludf.DUMMYFUNCTION("""COMPUTED_VALUE"""),"2606D200")</f>
        <v>2606D200</v>
      </c>
      <c r="S145" s="286">
        <f>IFERROR(__xludf.DUMMYFUNCTION("""COMPUTED_VALUE"""),46199.0)</f>
        <v>46199</v>
      </c>
      <c r="T145" s="285" t="str">
        <f>IFERROR(__xludf.DUMMYFUNCTION("""COMPUTED_VALUE"""),"Leman")</f>
        <v>Leman</v>
      </c>
      <c r="U145" s="285" t="str">
        <f>IFERROR(__xludf.DUMMYFUNCTION("""COMPUTED_VALUE"""),"082240970000")</f>
        <v>082240970000</v>
      </c>
      <c r="V145" s="285" t="str">
        <f>IFERROR(__xludf.DUMMYFUNCTION("""COMPUTED_VALUE"""),"Closing")</f>
        <v>Closing</v>
      </c>
      <c r="W145" s="285" t="str">
        <f>IFERROR(__xludf.DUMMYFUNCTION("""COMPUTED_VALUE"""),"Private Ijen")</f>
        <v>Private Ijen</v>
      </c>
      <c r="X145" s="287">
        <f>IFERROR(__xludf.DUMMYFUNCTION("""COMPUTED_VALUE"""),46200.0)</f>
        <v>46200</v>
      </c>
      <c r="Y145" s="285">
        <f>IFERROR(__xludf.DUMMYFUNCTION("""COMPUTED_VALUE"""),5.0)</f>
        <v>5</v>
      </c>
      <c r="Z145" s="289">
        <f>IFERROR(__xludf.DUMMYFUNCTION("""COMPUTED_VALUE"""),1570000.0)</f>
        <v>1570000</v>
      </c>
      <c r="AA145" s="285" t="str">
        <f>IFERROR(__xludf.DUMMYFUNCTION("""COMPUTED_VALUE"""),"orrderrr yes")</f>
        <v>orrderrr yes</v>
      </c>
      <c r="AC145" s="285" t="str">
        <f>IFERROR(__xludf.DUMMYFUNCTION("""COMPUTED_VALUE"""),"2601D168")</f>
        <v>2601D168</v>
      </c>
      <c r="AD145" s="286">
        <f>IFERROR(__xludf.DUMMYFUNCTION("""COMPUTED_VALUE"""),46048.0)</f>
        <v>46048</v>
      </c>
      <c r="AE145" s="285" t="str">
        <f>IFERROR(__xludf.DUMMYFUNCTION("""COMPUTED_VALUE"""),"Nico")</f>
        <v>Nico</v>
      </c>
      <c r="AF145" s="285" t="str">
        <f>IFERROR(__xludf.DUMMYFUNCTION("""COMPUTED_VALUE"""),"61422937349")</f>
        <v>61422937349</v>
      </c>
      <c r="AG145" s="285" t="str">
        <f>IFERROR(__xludf.DUMMYFUNCTION("""COMPUTED_VALUE"""),"Gagal")</f>
        <v>Gagal</v>
      </c>
      <c r="AH145" s="285" t="str">
        <f>IFERROR(__xludf.DUMMYFUNCTION("""COMPUTED_VALUE"""),"trip M, T")</f>
        <v>trip M, T</v>
      </c>
      <c r="AI145" s="287">
        <f>IFERROR(__xludf.DUMMYFUNCTION("""COMPUTED_VALUE"""),46053.0)</f>
        <v>46053</v>
      </c>
      <c r="AJ145" s="285">
        <f>IFERROR(__xludf.DUMMYFUNCTION("""COMPUTED_VALUE"""),4.0)</f>
        <v>4</v>
      </c>
      <c r="AK145" s="289"/>
      <c r="AL145" s="285" t="str">
        <f>IFERROR(__xludf.DUMMYFUNCTION("""COMPUTED_VALUE"""),"nunggu fiks ")</f>
        <v>nunggu fiks </v>
      </c>
    </row>
    <row r="146">
      <c r="F146" s="285" t="str">
        <f>IFERROR(__xludf.DUMMYFUNCTION("""COMPUTED_VALUE"""),"2606D057")</f>
        <v>2606D057</v>
      </c>
      <c r="G146" s="286">
        <f>IFERROR(__xludf.DUMMYFUNCTION("""COMPUTED_VALUE"""),46180.0)</f>
        <v>46180</v>
      </c>
      <c r="H146" s="285" t="str">
        <f>IFERROR(__xludf.DUMMYFUNCTION("""COMPUTED_VALUE"""),"Muh Asyrofil")</f>
        <v>Muh Asyrofil</v>
      </c>
      <c r="I146" s="285" t="str">
        <f>IFERROR(__xludf.DUMMYFUNCTION("""COMPUTED_VALUE"""),"081233627472")</f>
        <v>081233627472</v>
      </c>
      <c r="J146" s="285" t="str">
        <f>IFERROR(__xludf.DUMMYFUNCTION("""COMPUTED_VALUE"""),"Leads Baru")</f>
        <v>Leads Baru</v>
      </c>
      <c r="K146" s="285" t="str">
        <f>IFERROR(__xludf.DUMMYFUNCTION("""COMPUTED_VALUE"""),"trip menjangan")</f>
        <v>trip menjangan</v>
      </c>
      <c r="L146" s="287"/>
      <c r="M146" s="288"/>
      <c r="N146" s="289"/>
      <c r="O146" s="290" t="str">
        <f>IFERROR(__xludf.DUMMYFUNCTION("""COMPUTED_VALUE"""),"menyapaa")</f>
        <v>menyapaa</v>
      </c>
      <c r="P146" s="320"/>
      <c r="R146" s="285" t="str">
        <f>IFERROR(__xludf.DUMMYFUNCTION("""COMPUTED_VALUE"""),"2606D205")</f>
        <v>2606D205</v>
      </c>
      <c r="S146" s="286">
        <f>IFERROR(__xludf.DUMMYFUNCTION("""COMPUTED_VALUE"""),46199.0)</f>
        <v>46199</v>
      </c>
      <c r="T146" s="285" t="str">
        <f>IFERROR(__xludf.DUMMYFUNCTION("""COMPUTED_VALUE"""),"Weni")</f>
        <v>Weni</v>
      </c>
      <c r="U146" s="285" t="str">
        <f>IFERROR(__xludf.DUMMYFUNCTION("""COMPUTED_VALUE"""),"087880788898")</f>
        <v>087880788898</v>
      </c>
      <c r="V146" s="285" t="str">
        <f>IFERROR(__xludf.DUMMYFUNCTION("""COMPUTED_VALUE"""),"Closing")</f>
        <v>Closing</v>
      </c>
      <c r="W146" s="285" t="str">
        <f>IFERROR(__xludf.DUMMYFUNCTION("""COMPUTED_VALUE"""),"3H2M Custome")</f>
        <v>3H2M Custome</v>
      </c>
      <c r="X146" s="287">
        <f>IFERROR(__xludf.DUMMYFUNCTION("""COMPUTED_VALUE"""),46212.0)</f>
        <v>46212</v>
      </c>
      <c r="Y146" s="285">
        <f>IFERROR(__xludf.DUMMYFUNCTION("""COMPUTED_VALUE"""),4.0)</f>
        <v>4</v>
      </c>
      <c r="Z146" s="289">
        <f>IFERROR(__xludf.DUMMYFUNCTION("""COMPUTED_VALUE"""),8100000.0)</f>
        <v>8100000</v>
      </c>
      <c r="AA146" s="285" t="str">
        <f>IFERROR(__xludf.DUMMYFUNCTION("""COMPUTED_VALUE"""),"yess orderr")</f>
        <v>yess orderr</v>
      </c>
      <c r="AC146" s="285" t="str">
        <f>IFERROR(__xludf.DUMMYFUNCTION("""COMPUTED_VALUE"""),"2601D169")</f>
        <v>2601D169</v>
      </c>
      <c r="AD146" s="286">
        <f>IFERROR(__xludf.DUMMYFUNCTION("""COMPUTED_VALUE"""),46048.0)</f>
        <v>46048</v>
      </c>
      <c r="AE146" s="285" t="str">
        <f>IFERROR(__xludf.DUMMYFUNCTION("""COMPUTED_VALUE"""),"Yulia ")</f>
        <v>Yulia </v>
      </c>
      <c r="AF146" s="285" t="str">
        <f>IFERROR(__xludf.DUMMYFUNCTION("""COMPUTED_VALUE"""),"083830522020")</f>
        <v>083830522020</v>
      </c>
      <c r="AG146" s="285" t="str">
        <f>IFERROR(__xludf.DUMMYFUNCTION("""COMPUTED_VALUE"""),"Gagal")</f>
        <v>Gagal</v>
      </c>
      <c r="AH146" s="285" t="str">
        <f>IFERROR(__xludf.DUMMYFUNCTION("""COMPUTED_VALUE"""),"3H2M")</f>
        <v>3H2M</v>
      </c>
      <c r="AI146" s="287">
        <f>IFERROR(__xludf.DUMMYFUNCTION("""COMPUTED_VALUE"""),46103.0)</f>
        <v>46103</v>
      </c>
      <c r="AJ146" s="285">
        <f>IFERROR(__xludf.DUMMYFUNCTION("""COMPUTED_VALUE"""),10.0)</f>
        <v>10</v>
      </c>
      <c r="AK146" s="289"/>
      <c r="AL146" s="285" t="str">
        <f>IFERROR(__xludf.DUMMYFUNCTION("""COMPUTED_VALUE"""),"nunggu info lanjut")</f>
        <v>nunggu info lanjut</v>
      </c>
    </row>
    <row r="147">
      <c r="F147" s="285" t="str">
        <f>IFERROR(__xludf.DUMMYFUNCTION("""COMPUTED_VALUE"""),"2606D058")</f>
        <v>2606D058</v>
      </c>
      <c r="G147" s="286">
        <f>IFERROR(__xludf.DUMMYFUNCTION("""COMPUTED_VALUE"""),46181.0)</f>
        <v>46181</v>
      </c>
      <c r="H147" s="285" t="str">
        <f>IFERROR(__xludf.DUMMYFUNCTION("""COMPUTED_VALUE"""),"LookMan")</f>
        <v>LookMan</v>
      </c>
      <c r="I147" s="285" t="str">
        <f>IFERROR(__xludf.DUMMYFUNCTION("""COMPUTED_VALUE"""),"08119100055")</f>
        <v>08119100055</v>
      </c>
      <c r="J147" s="285" t="str">
        <f>IFERROR(__xludf.DUMMYFUNCTION("""COMPUTED_VALUE"""),"Leads Baru")</f>
        <v>Leads Baru</v>
      </c>
      <c r="K147" s="285" t="str">
        <f>IFERROR(__xludf.DUMMYFUNCTION("""COMPUTED_VALUE"""),"2H1M opsi A")</f>
        <v>2H1M opsi A</v>
      </c>
      <c r="L147" s="287"/>
      <c r="M147" s="288"/>
      <c r="N147" s="289"/>
      <c r="O147" s="290"/>
      <c r="P147" s="320"/>
      <c r="R147" s="285" t="str">
        <f>IFERROR(__xludf.DUMMYFUNCTION("""COMPUTED_VALUE"""),"2606D215")</f>
        <v>2606D215</v>
      </c>
      <c r="S147" s="286">
        <f>IFERROR(__xludf.DUMMYFUNCTION("""COMPUTED_VALUE"""),46199.0)</f>
        <v>46199</v>
      </c>
      <c r="T147" s="285" t="str">
        <f>IFERROR(__xludf.DUMMYFUNCTION("""COMPUTED_VALUE"""),"Jenifer Christin")</f>
        <v>Jenifer Christin</v>
      </c>
      <c r="U147" s="285" t="str">
        <f>IFERROR(__xludf.DUMMYFUNCTION("""COMPUTED_VALUE"""),"082150244043")</f>
        <v>082150244043</v>
      </c>
      <c r="V147" s="285" t="str">
        <f>IFERROR(__xludf.DUMMYFUNCTION("""COMPUTED_VALUE"""),"Closing")</f>
        <v>Closing</v>
      </c>
      <c r="W147" s="285" t="str">
        <f>IFERROR(__xludf.DUMMYFUNCTION("""COMPUTED_VALUE"""),"OT Ijen Baluran")</f>
        <v>OT Ijen Baluran</v>
      </c>
      <c r="X147" s="287">
        <f>IFERROR(__xludf.DUMMYFUNCTION("""COMPUTED_VALUE"""),46203.0)</f>
        <v>46203</v>
      </c>
      <c r="Y147" s="285">
        <f>IFERROR(__xludf.DUMMYFUNCTION("""COMPUTED_VALUE"""),2.0)</f>
        <v>2</v>
      </c>
      <c r="Z147" s="289">
        <f>IFERROR(__xludf.DUMMYFUNCTION("""COMPUTED_VALUE"""),1200000.0)</f>
        <v>1200000</v>
      </c>
      <c r="AA147" s="285" t="str">
        <f>IFERROR(__xludf.DUMMYFUNCTION("""COMPUTED_VALUE"""),"orrderr")</f>
        <v>orrderr</v>
      </c>
      <c r="AC147" s="285" t="str">
        <f>IFERROR(__xludf.DUMMYFUNCTION("""COMPUTED_VALUE"""),"2601D170")</f>
        <v>2601D170</v>
      </c>
      <c r="AD147" s="286">
        <f>IFERROR(__xludf.DUMMYFUNCTION("""COMPUTED_VALUE"""),46048.0)</f>
        <v>46048</v>
      </c>
      <c r="AE147" s="285" t="str">
        <f>IFERROR(__xludf.DUMMYFUNCTION("""COMPUTED_VALUE"""),"Bajalan bareng")</f>
        <v>Bajalan bareng</v>
      </c>
      <c r="AF147" s="285" t="str">
        <f>IFERROR(__xludf.DUMMYFUNCTION("""COMPUTED_VALUE"""),"08988404333")</f>
        <v>08988404333</v>
      </c>
      <c r="AG147" s="285" t="str">
        <f>IFERROR(__xludf.DUMMYFUNCTION("""COMPUTED_VALUE"""),"Gagal")</f>
        <v>Gagal</v>
      </c>
      <c r="AH147" s="285" t="str">
        <f>IFERROR(__xludf.DUMMYFUNCTION("""COMPUTED_VALUE"""),"paket private trip")</f>
        <v>paket private trip</v>
      </c>
      <c r="AI147" s="287"/>
      <c r="AJ147" s="285">
        <f>IFERROR(__xludf.DUMMYFUNCTION("""COMPUTED_VALUE"""),6.0)</f>
        <v>6</v>
      </c>
      <c r="AK147" s="289"/>
      <c r="AL147" s="285" t="str">
        <f>IFERROR(__xludf.DUMMYFUNCTION("""COMPUTED_VALUE"""),"tanya tanya")</f>
        <v>tanya tanya</v>
      </c>
    </row>
    <row r="148">
      <c r="F148" s="285" t="str">
        <f>IFERROR(__xludf.DUMMYFUNCTION("""COMPUTED_VALUE"""),"2606D059")</f>
        <v>2606D059</v>
      </c>
      <c r="G148" s="286">
        <f>IFERROR(__xludf.DUMMYFUNCTION("""COMPUTED_VALUE"""),46181.0)</f>
        <v>46181</v>
      </c>
      <c r="H148" s="285" t="str">
        <f>IFERROR(__xludf.DUMMYFUNCTION("""COMPUTED_VALUE"""),"Yuli Ermawati")</f>
        <v>Yuli Ermawati</v>
      </c>
      <c r="I148" s="285" t="str">
        <f>IFERROR(__xludf.DUMMYFUNCTION("""COMPUTED_VALUE"""),"085290229000")</f>
        <v>085290229000</v>
      </c>
      <c r="J148" s="285" t="str">
        <f>IFERROR(__xludf.DUMMYFUNCTION("""COMPUTED_VALUE"""),"Leads Baru")</f>
        <v>Leads Baru</v>
      </c>
      <c r="K148" s="285" t="str">
        <f>IFERROR(__xludf.DUMMYFUNCTION("""COMPUTED_VALUE"""),"3H2M custome")</f>
        <v>3H2M custome</v>
      </c>
      <c r="L148" s="287"/>
      <c r="M148" s="288">
        <f>IFERROR(__xludf.DUMMYFUNCTION("""COMPUTED_VALUE"""),30.0)</f>
        <v>30</v>
      </c>
      <c r="N148" s="289"/>
      <c r="O148" s="290" t="str">
        <f>IFERROR(__xludf.DUMMYFUNCTION("""COMPUTED_VALUE"""),"buat penawaran")</f>
        <v>buat penawaran</v>
      </c>
      <c r="P148" s="320"/>
      <c r="R148" s="285" t="str">
        <f>IFERROR(__xludf.DUMMYFUNCTION("""COMPUTED_VALUE"""),"2606D217")</f>
        <v>2606D217</v>
      </c>
      <c r="S148" s="286">
        <f>IFERROR(__xludf.DUMMYFUNCTION("""COMPUTED_VALUE"""),46199.0)</f>
        <v>46199</v>
      </c>
      <c r="T148" s="285" t="str">
        <f>IFERROR(__xludf.DUMMYFUNCTION("""COMPUTED_VALUE"""),"Wida")</f>
        <v>Wida</v>
      </c>
      <c r="U148" s="285" t="str">
        <f>IFERROR(__xludf.DUMMYFUNCTION("""COMPUTED_VALUE"""),"08128175569")</f>
        <v>08128175569</v>
      </c>
      <c r="V148" s="285" t="str">
        <f>IFERROR(__xludf.DUMMYFUNCTION("""COMPUTED_VALUE"""),"Closing")</f>
        <v>Closing</v>
      </c>
      <c r="W148" s="285" t="str">
        <f>IFERROR(__xludf.DUMMYFUNCTION("""COMPUTED_VALUE"""),"2H1M custome")</f>
        <v>2H1M custome</v>
      </c>
      <c r="X148" s="287">
        <f>IFERROR(__xludf.DUMMYFUNCTION("""COMPUTED_VALUE"""),46211.0)</f>
        <v>46211</v>
      </c>
      <c r="Y148" s="285">
        <f>IFERROR(__xludf.DUMMYFUNCTION("""COMPUTED_VALUE"""),4.0)</f>
        <v>4</v>
      </c>
      <c r="Z148" s="289">
        <f>IFERROR(__xludf.DUMMYFUNCTION("""COMPUTED_VALUE"""),6060000.0)</f>
        <v>6060000</v>
      </c>
      <c r="AA148" s="285" t="str">
        <f>IFERROR(__xludf.DUMMYFUNCTION("""COMPUTED_VALUE"""),"orderrr")</f>
        <v>orderrr</v>
      </c>
      <c r="AC148" s="285" t="str">
        <f>IFERROR(__xludf.DUMMYFUNCTION("""COMPUTED_VALUE"""),"2601D171")</f>
        <v>2601D171</v>
      </c>
      <c r="AD148" s="286">
        <f>IFERROR(__xludf.DUMMYFUNCTION("""COMPUTED_VALUE"""),46049.0)</f>
        <v>46049</v>
      </c>
      <c r="AE148" s="285" t="str">
        <f>IFERROR(__xludf.DUMMYFUNCTION("""COMPUTED_VALUE"""),"Muhammad akbar")</f>
        <v>Muhammad akbar</v>
      </c>
      <c r="AF148" s="285" t="str">
        <f>IFERROR(__xludf.DUMMYFUNCTION("""COMPUTED_VALUE"""),"085870033173")</f>
        <v>085870033173</v>
      </c>
      <c r="AG148" s="285" t="str">
        <f>IFERROR(__xludf.DUMMYFUNCTION("""COMPUTED_VALUE"""),"Gagal")</f>
        <v>Gagal</v>
      </c>
      <c r="AH148" s="285" t="str">
        <f>IFERROR(__xludf.DUMMYFUNCTION("""COMPUTED_VALUE"""),"paket 3H2M")</f>
        <v>paket 3H2M</v>
      </c>
      <c r="AI148" s="287"/>
      <c r="AJ148" s="285"/>
      <c r="AK148" s="289"/>
      <c r="AL148" s="285" t="str">
        <f>IFERROR(__xludf.DUMMYFUNCTION("""COMPUTED_VALUE"""),"blm ada balasan")</f>
        <v>blm ada balasan</v>
      </c>
    </row>
    <row r="149">
      <c r="F149" s="285" t="str">
        <f>IFERROR(__xludf.DUMMYFUNCTION("""COMPUTED_VALUE"""),"2606D062")</f>
        <v>2606D062</v>
      </c>
      <c r="G149" s="286">
        <f>IFERROR(__xludf.DUMMYFUNCTION("""COMPUTED_VALUE"""),46181.0)</f>
        <v>46181</v>
      </c>
      <c r="H149" s="285" t="str">
        <f>IFERROR(__xludf.DUMMYFUNCTION("""COMPUTED_VALUE"""),"No Name 2h1m")</f>
        <v>No Name 2h1m</v>
      </c>
      <c r="I149" s="285" t="str">
        <f>IFERROR(__xludf.DUMMYFUNCTION("""COMPUTED_VALUE"""),"082177719919")</f>
        <v>082177719919</v>
      </c>
      <c r="J149" s="285" t="str">
        <f>IFERROR(__xludf.DUMMYFUNCTION("""COMPUTED_VALUE"""),"Leads Baru")</f>
        <v>Leads Baru</v>
      </c>
      <c r="K149" s="285" t="str">
        <f>IFERROR(__xludf.DUMMYFUNCTION("""COMPUTED_VALUE"""),"2h1m opsi B")</f>
        <v>2h1m opsi B</v>
      </c>
      <c r="L149" s="287"/>
      <c r="M149" s="288"/>
      <c r="N149" s="289"/>
      <c r="O149" s="290"/>
      <c r="P149" s="320"/>
      <c r="R149" s="285" t="str">
        <f>IFERROR(__xludf.DUMMYFUNCTION("""COMPUTED_VALUE"""),"2606D218")</f>
        <v>2606D218</v>
      </c>
      <c r="S149" s="286">
        <f>IFERROR(__xludf.DUMMYFUNCTION("""COMPUTED_VALUE"""),46199.0)</f>
        <v>46199</v>
      </c>
      <c r="T149" s="285" t="str">
        <f>IFERROR(__xludf.DUMMYFUNCTION("""COMPUTED_VALUE"""),"Adeyaka")</f>
        <v>Adeyaka</v>
      </c>
      <c r="U149" s="285" t="str">
        <f>IFERROR(__xludf.DUMMYFUNCTION("""COMPUTED_VALUE"""),"082112218293")</f>
        <v>082112218293</v>
      </c>
      <c r="V149" s="285" t="str">
        <f>IFERROR(__xludf.DUMMYFUNCTION("""COMPUTED_VALUE"""),"Closing")</f>
        <v>Closing</v>
      </c>
      <c r="W149" s="285" t="str">
        <f>IFERROR(__xludf.DUMMYFUNCTION("""COMPUTED_VALUE"""),"3H2M custome")</f>
        <v>3H2M custome</v>
      </c>
      <c r="X149" s="287">
        <f>IFERROR(__xludf.DUMMYFUNCTION("""COMPUTED_VALUE"""),46240.0)</f>
        <v>46240</v>
      </c>
      <c r="Y149" s="285">
        <f>IFERROR(__xludf.DUMMYFUNCTION("""COMPUTED_VALUE"""),3.0)</f>
        <v>3</v>
      </c>
      <c r="Z149" s="289">
        <f>IFERROR(__xludf.DUMMYFUNCTION("""COMPUTED_VALUE"""),6765000.0)</f>
        <v>6765000</v>
      </c>
      <c r="AA149" s="285" t="str">
        <f>IFERROR(__xludf.DUMMYFUNCTION("""COMPUTED_VALUE"""),"alhamdulillah orderr")</f>
        <v>alhamdulillah orderr</v>
      </c>
      <c r="AC149" s="285" t="str">
        <f>IFERROR(__xludf.DUMMYFUNCTION("""COMPUTED_VALUE"""),"2601D172")</f>
        <v>2601D172</v>
      </c>
      <c r="AD149" s="286">
        <f>IFERROR(__xludf.DUMMYFUNCTION("""COMPUTED_VALUE"""),46049.0)</f>
        <v>46049</v>
      </c>
      <c r="AE149" s="285" t="str">
        <f>IFERROR(__xludf.DUMMYFUNCTION("""COMPUTED_VALUE"""),"Ichafelarycha")</f>
        <v>Ichafelarycha</v>
      </c>
      <c r="AF149" s="285" t="str">
        <f>IFERROR(__xludf.DUMMYFUNCTION("""COMPUTED_VALUE"""),"085647857772")</f>
        <v>085647857772</v>
      </c>
      <c r="AG149" s="285" t="str">
        <f>IFERROR(__xludf.DUMMYFUNCTION("""COMPUTED_VALUE"""),"Gagal")</f>
        <v>Gagal</v>
      </c>
      <c r="AH149" s="285" t="str">
        <f>IFERROR(__xludf.DUMMYFUNCTION("""COMPUTED_VALUE"""),"2H1M custom")</f>
        <v>2H1M custom</v>
      </c>
      <c r="AI149" s="287"/>
      <c r="AJ149" s="285">
        <f>IFERROR(__xludf.DUMMYFUNCTION("""COMPUTED_VALUE"""),4.0)</f>
        <v>4</v>
      </c>
      <c r="AK149" s="289"/>
      <c r="AL149" s="285" t="str">
        <f>IFERROR(__xludf.DUMMYFUNCTION("""COMPUTED_VALUE"""),"nunggu fiks ")</f>
        <v>nunggu fiks </v>
      </c>
    </row>
    <row r="150">
      <c r="F150" s="285" t="str">
        <f>IFERROR(__xludf.DUMMYFUNCTION("""COMPUTED_VALUE"""),"2606D064")</f>
        <v>2606D064</v>
      </c>
      <c r="G150" s="286">
        <f>IFERROR(__xludf.DUMMYFUNCTION("""COMPUTED_VALUE"""),46182.0)</f>
        <v>46182</v>
      </c>
      <c r="H150" s="285" t="str">
        <f>IFERROR(__xludf.DUMMYFUNCTION("""COMPUTED_VALUE"""),"Anggun Tri Utami")</f>
        <v>Anggun Tri Utami</v>
      </c>
      <c r="I150" s="285" t="str">
        <f>IFERROR(__xludf.DUMMYFUNCTION("""COMPUTED_VALUE"""),"081398761652")</f>
        <v>081398761652</v>
      </c>
      <c r="J150" s="285" t="str">
        <f>IFERROR(__xludf.DUMMYFUNCTION("""COMPUTED_VALUE"""),"Leads Baru")</f>
        <v>Leads Baru</v>
      </c>
      <c r="K150" s="285" t="str">
        <f>IFERROR(__xludf.DUMMYFUNCTION("""COMPUTED_VALUE"""),"trip Djabal")</f>
        <v>trip Djabal</v>
      </c>
      <c r="L150" s="287"/>
      <c r="M150" s="288"/>
      <c r="N150" s="289"/>
      <c r="O150" s="290" t="str">
        <f>IFERROR(__xludf.DUMMYFUNCTION("""COMPUTED_VALUE"""),"blm balas lagi, FU 17 Juni")</f>
        <v>blm balas lagi, FU 17 Juni</v>
      </c>
      <c r="P150" s="320"/>
      <c r="R150" s="285" t="str">
        <f>IFERROR(__xludf.DUMMYFUNCTION("""COMPUTED_VALUE"""),"2606D220")</f>
        <v>2606D220</v>
      </c>
      <c r="S150" s="286">
        <f>IFERROR(__xludf.DUMMYFUNCTION("""COMPUTED_VALUE"""),46199.0)</f>
        <v>46199</v>
      </c>
      <c r="T150" s="285" t="str">
        <f>IFERROR(__xludf.DUMMYFUNCTION("""COMPUTED_VALUE"""),"Muhammad Nizam")</f>
        <v>Muhammad Nizam</v>
      </c>
      <c r="U150" s="285" t="str">
        <f>IFERROR(__xludf.DUMMYFUNCTION("""COMPUTED_VALUE"""),"081319516652")</f>
        <v>081319516652</v>
      </c>
      <c r="V150" s="285" t="str">
        <f>IFERROR(__xludf.DUMMYFUNCTION("""COMPUTED_VALUE"""),"Closing")</f>
        <v>Closing</v>
      </c>
      <c r="W150" s="285" t="str">
        <f>IFERROR(__xludf.DUMMYFUNCTION("""COMPUTED_VALUE"""),"2H1M custome")</f>
        <v>2H1M custome</v>
      </c>
      <c r="X150" s="287">
        <f>IFERROR(__xludf.DUMMYFUNCTION("""COMPUTED_VALUE"""),46235.0)</f>
        <v>46235</v>
      </c>
      <c r="Y150" s="285">
        <f>IFERROR(__xludf.DUMMYFUNCTION("""COMPUTED_VALUE"""),4.0)</f>
        <v>4</v>
      </c>
      <c r="Z150" s="289">
        <f>IFERROR(__xludf.DUMMYFUNCTION("""COMPUTED_VALUE"""),6100000.0)</f>
        <v>6100000</v>
      </c>
      <c r="AA150" s="285" t="str">
        <f>IFERROR(__xludf.DUMMYFUNCTION("""COMPUTED_VALUE"""),"orrderrr")</f>
        <v>orrderrr</v>
      </c>
      <c r="AC150" s="285" t="str">
        <f>IFERROR(__xludf.DUMMYFUNCTION("""COMPUTED_VALUE"""),"2601D173")</f>
        <v>2601D173</v>
      </c>
      <c r="AD150" s="286">
        <f>IFERROR(__xludf.DUMMYFUNCTION("""COMPUTED_VALUE"""),46050.0)</f>
        <v>46050</v>
      </c>
      <c r="AE150" s="285" t="str">
        <f>IFERROR(__xludf.DUMMYFUNCTION("""COMPUTED_VALUE"""),"Nadya")</f>
        <v>Nadya</v>
      </c>
      <c r="AF150" s="285" t="str">
        <f>IFERROR(__xludf.DUMMYFUNCTION("""COMPUTED_VALUE"""),"085161963870")</f>
        <v>085161963870</v>
      </c>
      <c r="AG150" s="285" t="str">
        <f>IFERROR(__xludf.DUMMYFUNCTION("""COMPUTED_VALUE"""),"Gagal")</f>
        <v>Gagal</v>
      </c>
      <c r="AH150" s="285" t="str">
        <f>IFERROR(__xludf.DUMMYFUNCTION("""COMPUTED_VALUE"""),"trip 3H2M")</f>
        <v>trip 3H2M</v>
      </c>
      <c r="AI150" s="287">
        <f>IFERROR(__xludf.DUMMYFUNCTION("""COMPUTED_VALUE"""),46053.0)</f>
        <v>46053</v>
      </c>
      <c r="AJ150" s="285">
        <f>IFERROR(__xludf.DUMMYFUNCTION("""COMPUTED_VALUE"""),2.0)</f>
        <v>2</v>
      </c>
      <c r="AK150" s="289"/>
      <c r="AL150" s="285" t="str">
        <f>IFERROR(__xludf.DUMMYFUNCTION("""COMPUTED_VALUE"""),"lewat tanggal")</f>
        <v>lewat tanggal</v>
      </c>
    </row>
    <row r="151">
      <c r="F151" s="285" t="str">
        <f>IFERROR(__xludf.DUMMYFUNCTION("""COMPUTED_VALUE"""),"2606D066")</f>
        <v>2606D066</v>
      </c>
      <c r="G151" s="286">
        <f>IFERROR(__xludf.DUMMYFUNCTION("""COMPUTED_VALUE"""),46182.0)</f>
        <v>46182</v>
      </c>
      <c r="H151" s="285" t="str">
        <f>IFERROR(__xludf.DUMMYFUNCTION("""COMPUTED_VALUE"""),"Ira Nirmala")</f>
        <v>Ira Nirmala</v>
      </c>
      <c r="I151" s="285" t="str">
        <f>IFERROR(__xludf.DUMMYFUNCTION("""COMPUTED_VALUE"""),"085659201038")</f>
        <v>085659201038</v>
      </c>
      <c r="J151" s="285" t="str">
        <f>IFERROR(__xludf.DUMMYFUNCTION("""COMPUTED_VALUE"""),"Leads Baru")</f>
        <v>Leads Baru</v>
      </c>
      <c r="K151" s="285" t="str">
        <f>IFERROR(__xludf.DUMMYFUNCTION("""COMPUTED_VALUE"""),"3h2m opsi A")</f>
        <v>3h2m opsi A</v>
      </c>
      <c r="L151" s="287"/>
      <c r="M151" s="288">
        <f>IFERROR(__xludf.DUMMYFUNCTION("""COMPUTED_VALUE"""),5.0)</f>
        <v>5</v>
      </c>
      <c r="N151" s="289"/>
      <c r="O151" s="290" t="str">
        <f>IFERROR(__xludf.DUMMYFUNCTION("""COMPUTED_VALUE"""),"diskus duu, FU 11 Juni")</f>
        <v>diskus duu, FU 11 Juni</v>
      </c>
      <c r="P151" s="320"/>
      <c r="R151" s="285" t="str">
        <f>IFERROR(__xludf.DUMMYFUNCTION("""COMPUTED_VALUE"""),"2606D224")</f>
        <v>2606D224</v>
      </c>
      <c r="S151" s="286">
        <f>IFERROR(__xludf.DUMMYFUNCTION("""COMPUTED_VALUE"""),46200.0)</f>
        <v>46200</v>
      </c>
      <c r="T151" s="285" t="str">
        <f>IFERROR(__xludf.DUMMYFUNCTION("""COMPUTED_VALUE"""),"Pak Johar DSLNG")</f>
        <v>Pak Johar DSLNG</v>
      </c>
      <c r="U151" s="285" t="str">
        <f>IFERROR(__xludf.DUMMYFUNCTION("""COMPUTED_VALUE"""),"08111045053")</f>
        <v>08111045053</v>
      </c>
      <c r="V151" s="285" t="str">
        <f>IFERROR(__xludf.DUMMYFUNCTION("""COMPUTED_VALUE"""),"Closing")</f>
        <v>Closing</v>
      </c>
      <c r="W151" s="285" t="str">
        <f>IFERROR(__xludf.DUMMYFUNCTION("""COMPUTED_VALUE"""),"1 day trip ")</f>
        <v>1 day trip </v>
      </c>
      <c r="X151" s="287">
        <f>IFERROR(__xludf.DUMMYFUNCTION("""COMPUTED_VALUE"""),46201.0)</f>
        <v>46201</v>
      </c>
      <c r="Y151" s="285">
        <f>IFERROR(__xludf.DUMMYFUNCTION("""COMPUTED_VALUE"""),2.0)</f>
        <v>2</v>
      </c>
      <c r="Z151" s="289">
        <f>IFERROR(__xludf.DUMMYFUNCTION("""COMPUTED_VALUE"""),2400000.0)</f>
        <v>2400000</v>
      </c>
      <c r="AA151" s="285" t="str">
        <f>IFERROR(__xludf.DUMMYFUNCTION("""COMPUTED_VALUE"""),"orrderrr")</f>
        <v>orrderrr</v>
      </c>
      <c r="AC151" s="285" t="str">
        <f>IFERROR(__xludf.DUMMYFUNCTION("""COMPUTED_VALUE"""),"2601D174")</f>
        <v>2601D174</v>
      </c>
      <c r="AD151" s="286">
        <f>IFERROR(__xludf.DUMMYFUNCTION("""COMPUTED_VALUE"""),46050.0)</f>
        <v>46050</v>
      </c>
      <c r="AE151" s="285" t="str">
        <f>IFERROR(__xludf.DUMMYFUNCTION("""COMPUTED_VALUE"""),"Audiif")</f>
        <v>Audiif</v>
      </c>
      <c r="AF151" s="285" t="str">
        <f>IFERROR(__xludf.DUMMYFUNCTION("""COMPUTED_VALUE"""),"081808234456")</f>
        <v>081808234456</v>
      </c>
      <c r="AG151" s="285" t="str">
        <f>IFERROR(__xludf.DUMMYFUNCTION("""COMPUTED_VALUE"""),"Gagal")</f>
        <v>Gagal</v>
      </c>
      <c r="AH151" s="285" t="str">
        <f>IFERROR(__xludf.DUMMYFUNCTION("""COMPUTED_VALUE"""),"trip menjangan tabuhan ")</f>
        <v>trip menjangan tabuhan </v>
      </c>
      <c r="AI151" s="287"/>
      <c r="AJ151" s="285"/>
      <c r="AK151" s="289"/>
      <c r="AL151" s="285" t="str">
        <f>IFERROR(__xludf.DUMMYFUNCTION("""COMPUTED_VALUE"""),"fu hari rabu")</f>
        <v>fu hari rabu</v>
      </c>
    </row>
    <row r="152">
      <c r="F152" s="285" t="str">
        <f>IFERROR(__xludf.DUMMYFUNCTION("""COMPUTED_VALUE"""),"2606D067")</f>
        <v>2606D067</v>
      </c>
      <c r="G152" s="286">
        <f>IFERROR(__xludf.DUMMYFUNCTION("""COMPUTED_VALUE"""),46182.0)</f>
        <v>46182</v>
      </c>
      <c r="H152" s="285" t="str">
        <f>IFERROR(__xludf.DUMMYFUNCTION("""COMPUTED_VALUE"""),"Melik")</f>
        <v>Melik</v>
      </c>
      <c r="I152" s="285" t="str">
        <f>IFERROR(__xludf.DUMMYFUNCTION("""COMPUTED_VALUE"""),"081325730022")</f>
        <v>081325730022</v>
      </c>
      <c r="J152" s="285" t="str">
        <f>IFERROR(__xludf.DUMMYFUNCTION("""COMPUTED_VALUE"""),"Leads Baru")</f>
        <v>Leads Baru</v>
      </c>
      <c r="K152" s="285" t="str">
        <f>IFERROR(__xludf.DUMMYFUNCTION("""COMPUTED_VALUE"""),"3h2m")</f>
        <v>3h2m</v>
      </c>
      <c r="L152" s="287"/>
      <c r="M152" s="288"/>
      <c r="N152" s="289"/>
      <c r="O152" s="290" t="str">
        <f>IFERROR(__xludf.DUMMYFUNCTION("""COMPUTED_VALUE"""),"buat penawaran")</f>
        <v>buat penawaran</v>
      </c>
      <c r="P152" s="320"/>
      <c r="R152" s="285" t="str">
        <f>IFERROR(__xludf.DUMMYFUNCTION("""COMPUTED_VALUE"""),"2606D237")</f>
        <v>2606D237</v>
      </c>
      <c r="S152" s="286">
        <f>IFERROR(__xludf.DUMMYFUNCTION("""COMPUTED_VALUE"""),46202.0)</f>
        <v>46202</v>
      </c>
      <c r="T152" s="285" t="str">
        <f>IFERROR(__xludf.DUMMYFUNCTION("""COMPUTED_VALUE"""),"Ameera Zahwah")</f>
        <v>Ameera Zahwah</v>
      </c>
      <c r="U152" s="285" t="str">
        <f>IFERROR(__xludf.DUMMYFUNCTION("""COMPUTED_VALUE"""),"082223083995")</f>
        <v>082223083995</v>
      </c>
      <c r="V152" s="285" t="str">
        <f>IFERROR(__xludf.DUMMYFUNCTION("""COMPUTED_VALUE"""),"Closing")</f>
        <v>Closing</v>
      </c>
      <c r="W152" s="285" t="str">
        <f>IFERROR(__xludf.DUMMYFUNCTION("""COMPUTED_VALUE"""),"OT MT")</f>
        <v>OT MT</v>
      </c>
      <c r="X152" s="287">
        <f>IFERROR(__xludf.DUMMYFUNCTION("""COMPUTED_VALUE"""),46208.0)</f>
        <v>46208</v>
      </c>
      <c r="Y152" s="285">
        <f>IFERROR(__xludf.DUMMYFUNCTION("""COMPUTED_VALUE"""),4.0)</f>
        <v>4</v>
      </c>
      <c r="Z152" s="289">
        <f>IFERROR(__xludf.DUMMYFUNCTION("""COMPUTED_VALUE"""),1100000.0)</f>
        <v>1100000</v>
      </c>
      <c r="AA152" s="285" t="str">
        <f>IFERROR(__xludf.DUMMYFUNCTION("""COMPUTED_VALUE"""),"orrderrr")</f>
        <v>orrderrr</v>
      </c>
      <c r="AC152" s="285" t="str">
        <f>IFERROR(__xludf.DUMMYFUNCTION("""COMPUTED_VALUE"""),"2601D176")</f>
        <v>2601D176</v>
      </c>
      <c r="AD152" s="286">
        <f>IFERROR(__xludf.DUMMYFUNCTION("""COMPUTED_VALUE"""),46050.0)</f>
        <v>46050</v>
      </c>
      <c r="AE152" s="285" t="str">
        <f>IFERROR(__xludf.DUMMYFUNCTION("""COMPUTED_VALUE"""),"Gonzaga")</f>
        <v>Gonzaga</v>
      </c>
      <c r="AF152" s="285" t="str">
        <f>IFERROR(__xludf.DUMMYFUNCTION("""COMPUTED_VALUE"""),"081327249305")</f>
        <v>081327249305</v>
      </c>
      <c r="AG152" s="285" t="str">
        <f>IFERROR(__xludf.DUMMYFUNCTION("""COMPUTED_VALUE"""),"Gagal")</f>
        <v>Gagal</v>
      </c>
      <c r="AH152" s="285" t="str">
        <f>IFERROR(__xludf.DUMMYFUNCTION("""COMPUTED_VALUE"""),"paket custom")</f>
        <v>paket custom</v>
      </c>
      <c r="AI152" s="287"/>
      <c r="AJ152" s="285">
        <f>IFERROR(__xludf.DUMMYFUNCTION("""COMPUTED_VALUE"""),30.0)</f>
        <v>30</v>
      </c>
      <c r="AK152" s="289"/>
      <c r="AL152" s="285" t="str">
        <f>IFERROR(__xludf.DUMMYFUNCTION("""COMPUTED_VALUE"""),"dibuatkan penawaran ")</f>
        <v>dibuatkan penawaran </v>
      </c>
    </row>
    <row r="153">
      <c r="F153" s="285" t="str">
        <f>IFERROR(__xludf.DUMMYFUNCTION("""COMPUTED_VALUE"""),"2606D068")</f>
        <v>2606D068</v>
      </c>
      <c r="G153" s="286">
        <f>IFERROR(__xludf.DUMMYFUNCTION("""COMPUTED_VALUE"""),46182.0)</f>
        <v>46182</v>
      </c>
      <c r="H153" s="285" t="str">
        <f>IFERROR(__xludf.DUMMYFUNCTION("""COMPUTED_VALUE"""),"Muslih")</f>
        <v>Muslih</v>
      </c>
      <c r="I153" s="285" t="str">
        <f>IFERROR(__xludf.DUMMYFUNCTION("""COMPUTED_VALUE"""),"081231234235")</f>
        <v>081231234235</v>
      </c>
      <c r="J153" s="285" t="str">
        <f>IFERROR(__xludf.DUMMYFUNCTION("""COMPUTED_VALUE"""),"Leads Baru")</f>
        <v>Leads Baru</v>
      </c>
      <c r="K153" s="285" t="str">
        <f>IFERROR(__xludf.DUMMYFUNCTION("""COMPUTED_VALUE"""),"OT harian")</f>
        <v>OT harian</v>
      </c>
      <c r="L153" s="287"/>
      <c r="M153" s="288">
        <f>IFERROR(__xludf.DUMMYFUNCTION("""COMPUTED_VALUE"""),1.0)</f>
        <v>1</v>
      </c>
      <c r="N153" s="289"/>
      <c r="O153" s="290" t="str">
        <f>IFERROR(__xludf.DUMMYFUNCTION("""COMPUTED_VALUE"""),"masih mikir pilih trip yg mana, FU 11 Juni")</f>
        <v>masih mikir pilih trip yg mana, FU 11 Juni</v>
      </c>
      <c r="P153" s="320"/>
      <c r="R153" s="285" t="str">
        <f>IFERROR(__xludf.DUMMYFUNCTION("""COMPUTED_VALUE"""),"2606D239")</f>
        <v>2606D239</v>
      </c>
      <c r="S153" s="286">
        <f>IFERROR(__xludf.DUMMYFUNCTION("""COMPUTED_VALUE"""),46202.0)</f>
        <v>46202</v>
      </c>
      <c r="T153" s="285" t="str">
        <f>IFERROR(__xludf.DUMMYFUNCTION("""COMPUTED_VALUE"""),"Via Angga")</f>
        <v>Via Angga</v>
      </c>
      <c r="U153" s="285" t="str">
        <f>IFERROR(__xludf.DUMMYFUNCTION("""COMPUTED_VALUE"""),"085888466244")</f>
        <v>085888466244</v>
      </c>
      <c r="V153" s="285" t="str">
        <f>IFERROR(__xludf.DUMMYFUNCTION("""COMPUTED_VALUE"""),"Closing")</f>
        <v>Closing</v>
      </c>
      <c r="W153" s="285" t="str">
        <f>IFERROR(__xludf.DUMMYFUNCTION("""COMPUTED_VALUE"""),"OT MT")</f>
        <v>OT MT</v>
      </c>
      <c r="X153" s="287">
        <f>IFERROR(__xludf.DUMMYFUNCTION("""COMPUTED_VALUE"""),46205.0)</f>
        <v>46205</v>
      </c>
      <c r="Y153" s="285">
        <f>IFERROR(__xludf.DUMMYFUNCTION("""COMPUTED_VALUE"""),2.0)</f>
        <v>2</v>
      </c>
      <c r="Z153" s="289">
        <f>IFERROR(__xludf.DUMMYFUNCTION("""COMPUTED_VALUE"""),800000.0)</f>
        <v>800000</v>
      </c>
      <c r="AA153" s="285" t="str">
        <f>IFERROR(__xludf.DUMMYFUNCTION("""COMPUTED_VALUE"""),"orrderrr")</f>
        <v>orrderrr</v>
      </c>
      <c r="AC153" s="285" t="str">
        <f>IFERROR(__xludf.DUMMYFUNCTION("""COMPUTED_VALUE"""),"2601D177")</f>
        <v>2601D177</v>
      </c>
      <c r="AD153" s="286">
        <f>IFERROR(__xludf.DUMMYFUNCTION("""COMPUTED_VALUE"""),46050.0)</f>
        <v>46050</v>
      </c>
      <c r="AE153" s="285" t="str">
        <f>IFERROR(__xludf.DUMMYFUNCTION("""COMPUTED_VALUE"""),"Arinda ")</f>
        <v>Arinda </v>
      </c>
      <c r="AF153" s="285" t="str">
        <f>IFERROR(__xludf.DUMMYFUNCTION("""COMPUTED_VALUE"""),"081311105575")</f>
        <v>081311105575</v>
      </c>
      <c r="AG153" s="285" t="str">
        <f>IFERROR(__xludf.DUMMYFUNCTION("""COMPUTED_VALUE"""),"Gagal")</f>
        <v>Gagal</v>
      </c>
      <c r="AH153" s="285" t="str">
        <f>IFERROR(__xludf.DUMMYFUNCTION("""COMPUTED_VALUE"""),"Trip djawatan baluran")</f>
        <v>Trip djawatan baluran</v>
      </c>
      <c r="AI153" s="287">
        <f>IFERROR(__xludf.DUMMYFUNCTION("""COMPUTED_VALUE"""),46108.0)</f>
        <v>46108</v>
      </c>
      <c r="AJ153" s="285">
        <f>IFERROR(__xludf.DUMMYFUNCTION("""COMPUTED_VALUE"""),5.0)</f>
        <v>5</v>
      </c>
      <c r="AK153" s="289">
        <f>IFERROR(__xludf.DUMMYFUNCTION("""COMPUTED_VALUE"""),2415000.0)</f>
        <v>2415000</v>
      </c>
      <c r="AL153" s="285" t="str">
        <f>IFERROR(__xludf.DUMMYFUNCTION("""COMPUTED_VALUE"""),"Tidak ada jawaban, sdh fu 5 kali")</f>
        <v>Tidak ada jawaban, sdh fu 5 kali</v>
      </c>
    </row>
    <row r="154">
      <c r="F154" s="285" t="str">
        <f>IFERROR(__xludf.DUMMYFUNCTION("""COMPUTED_VALUE"""),"2606D070")</f>
        <v>2606D070</v>
      </c>
      <c r="G154" s="286">
        <f>IFERROR(__xludf.DUMMYFUNCTION("""COMPUTED_VALUE"""),46180.0)</f>
        <v>46180</v>
      </c>
      <c r="H154" s="285" t="str">
        <f>IFERROR(__xludf.DUMMYFUNCTION("""COMPUTED_VALUE"""),"Alora Homemade ")</f>
        <v>Alora Homemade </v>
      </c>
      <c r="I154" s="285" t="str">
        <f>IFERROR(__xludf.DUMMYFUNCTION("""COMPUTED_VALUE"""),"085156490853")</f>
        <v>085156490853</v>
      </c>
      <c r="J154" s="285" t="str">
        <f>IFERROR(__xludf.DUMMYFUNCTION("""COMPUTED_VALUE"""),"Leads Baru")</f>
        <v>Leads Baru</v>
      </c>
      <c r="K154" s="285"/>
      <c r="L154" s="287"/>
      <c r="M154" s="288"/>
      <c r="N154" s="289"/>
      <c r="O154" s="290" t="str">
        <f>IFERROR(__xludf.DUMMYFUNCTION("""COMPUTED_VALUE"""),"baru menyapa")</f>
        <v>baru menyapa</v>
      </c>
      <c r="P154" s="320"/>
      <c r="R154" s="285" t="str">
        <f>IFERROR(__xludf.DUMMYFUNCTION("""COMPUTED_VALUE"""),"2606D240")</f>
        <v>2606D240</v>
      </c>
      <c r="S154" s="286">
        <f>IFERROR(__xludf.DUMMYFUNCTION("""COMPUTED_VALUE"""),46203.0)</f>
        <v>46203</v>
      </c>
      <c r="T154" s="285" t="str">
        <f>IFERROR(__xludf.DUMMYFUNCTION("""COMPUTED_VALUE"""),"Arief Cahyadi")</f>
        <v>Arief Cahyadi</v>
      </c>
      <c r="U154" s="285" t="str">
        <f>IFERROR(__xludf.DUMMYFUNCTION("""COMPUTED_VALUE"""),"081381620825")</f>
        <v>081381620825</v>
      </c>
      <c r="V154" s="285" t="str">
        <f>IFERROR(__xludf.DUMMYFUNCTION("""COMPUTED_VALUE"""),"Closing")</f>
        <v>Closing</v>
      </c>
      <c r="W154" s="285" t="str">
        <f>IFERROR(__xludf.DUMMYFUNCTION("""COMPUTED_VALUE"""),"2H1M custome")</f>
        <v>2H1M custome</v>
      </c>
      <c r="X154" s="287">
        <f>IFERROR(__xludf.DUMMYFUNCTION("""COMPUTED_VALUE"""),46204.0)</f>
        <v>46204</v>
      </c>
      <c r="Y154" s="285">
        <f>IFERROR(__xludf.DUMMYFUNCTION("""COMPUTED_VALUE"""),7.0)</f>
        <v>7</v>
      </c>
      <c r="Z154" s="289">
        <f>IFERROR(__xludf.DUMMYFUNCTION("""COMPUTED_VALUE"""),8400000.0)</f>
        <v>8400000</v>
      </c>
      <c r="AA154" s="285" t="str">
        <f>IFERROR(__xludf.DUMMYFUNCTION("""COMPUTED_VALUE"""),"orrderrr")</f>
        <v>orrderrr</v>
      </c>
      <c r="AC154" s="285" t="str">
        <f>IFERROR(__xludf.DUMMYFUNCTION("""COMPUTED_VALUE"""),"2601D178")</f>
        <v>2601D178</v>
      </c>
      <c r="AD154" s="286">
        <f>IFERROR(__xludf.DUMMYFUNCTION("""COMPUTED_VALUE"""),46051.0)</f>
        <v>46051</v>
      </c>
      <c r="AE154" s="285" t="str">
        <f>IFERROR(__xludf.DUMMYFUNCTION("""COMPUTED_VALUE"""),"Tika devi ")</f>
        <v>Tika devi </v>
      </c>
      <c r="AF154" s="285" t="str">
        <f>IFERROR(__xludf.DUMMYFUNCTION("""COMPUTED_VALUE"""),"089647678594")</f>
        <v>089647678594</v>
      </c>
      <c r="AG154" s="285" t="str">
        <f>IFERROR(__xludf.DUMMYFUNCTION("""COMPUTED_VALUE"""),"Gagal")</f>
        <v>Gagal</v>
      </c>
      <c r="AH154" s="285" t="str">
        <f>IFERROR(__xludf.DUMMYFUNCTION("""COMPUTED_VALUE"""),"Trip djawatan baluran ")</f>
        <v>Trip djawatan baluran </v>
      </c>
      <c r="AI154" s="287">
        <f>IFERROR(__xludf.DUMMYFUNCTION("""COMPUTED_VALUE"""),46070.0)</f>
        <v>46070</v>
      </c>
      <c r="AJ154" s="285">
        <f>IFERROR(__xludf.DUMMYFUNCTION("""COMPUTED_VALUE"""),2.0)</f>
        <v>2</v>
      </c>
      <c r="AK154" s="289">
        <f>IFERROR(__xludf.DUMMYFUNCTION("""COMPUTED_VALUE"""),1754000.0)</f>
        <v>1754000</v>
      </c>
      <c r="AL154" s="285" t="str">
        <f>IFERROR(__xludf.DUMMYFUNCTION("""COMPUTED_VALUE"""),"gajadiii")</f>
        <v>gajadiii</v>
      </c>
    </row>
    <row r="155">
      <c r="F155" s="285" t="str">
        <f>IFERROR(__xludf.DUMMYFUNCTION("""COMPUTED_VALUE"""),"2606D071")</f>
        <v>2606D071</v>
      </c>
      <c r="G155" s="286">
        <f>IFERROR(__xludf.DUMMYFUNCTION("""COMPUTED_VALUE"""),46180.0)</f>
        <v>46180</v>
      </c>
      <c r="H155" s="285" t="str">
        <f>IFERROR(__xludf.DUMMYFUNCTION("""COMPUTED_VALUE"""),"Via")</f>
        <v>Via</v>
      </c>
      <c r="I155" s="285" t="str">
        <f>IFERROR(__xludf.DUMMYFUNCTION("""COMPUTED_VALUE"""),"081388044571")</f>
        <v>081388044571</v>
      </c>
      <c r="J155" s="285" t="str">
        <f>IFERROR(__xludf.DUMMYFUNCTION("""COMPUTED_VALUE"""),"Leads Baru")</f>
        <v>Leads Baru</v>
      </c>
      <c r="K155" s="285"/>
      <c r="L155" s="287"/>
      <c r="M155" s="288"/>
      <c r="N155" s="289"/>
      <c r="O155" s="290" t="str">
        <f>IFERROR(__xludf.DUMMYFUNCTION("""COMPUTED_VALUE"""),"nyari OT 4h3m26, FU 13 Juni")</f>
        <v>nyari OT 4h3m26, FU 13 Juni</v>
      </c>
      <c r="P155" s="320"/>
      <c r="R155" s="285" t="str">
        <f>IFERROR(__xludf.DUMMYFUNCTION("""COMPUTED_VALUE"""),"2606D251")</f>
        <v>2606D251</v>
      </c>
      <c r="S155" s="286">
        <f>IFERROR(__xludf.DUMMYFUNCTION("""COMPUTED_VALUE"""),46203.0)</f>
        <v>46203</v>
      </c>
      <c r="T155" s="285" t="str">
        <f>IFERROR(__xludf.DUMMYFUNCTION("""COMPUTED_VALUE"""),"Kumala")</f>
        <v>Kumala</v>
      </c>
      <c r="U155" s="285" t="str">
        <f>IFERROR(__xludf.DUMMYFUNCTION("""COMPUTED_VALUE"""),"085878304239")</f>
        <v>085878304239</v>
      </c>
      <c r="V155" s="285" t="str">
        <f>IFERROR(__xludf.DUMMYFUNCTION("""COMPUTED_VALUE"""),"Closing")</f>
        <v>Closing</v>
      </c>
      <c r="W155" s="285" t="str">
        <f>IFERROR(__xludf.DUMMYFUNCTION("""COMPUTED_VALUE"""),"OT MT, OT Alas Purwo")</f>
        <v>OT MT, OT Alas Purwo</v>
      </c>
      <c r="X155" s="287">
        <f>IFERROR(__xludf.DUMMYFUNCTION("""COMPUTED_VALUE"""),46243.0)</f>
        <v>46243</v>
      </c>
      <c r="Y155" s="285">
        <f>IFERROR(__xludf.DUMMYFUNCTION("""COMPUTED_VALUE"""),2.0)</f>
        <v>2</v>
      </c>
      <c r="Z155" s="289">
        <f>IFERROR(__xludf.DUMMYFUNCTION("""COMPUTED_VALUE"""),1650000.0)</f>
        <v>1650000</v>
      </c>
      <c r="AA155" s="285" t="str">
        <f>IFERROR(__xludf.DUMMYFUNCTION("""COMPUTED_VALUE"""),"alhamdulillah orrderrr")</f>
        <v>alhamdulillah orrderrr</v>
      </c>
      <c r="AC155" s="285" t="str">
        <f>IFERROR(__xludf.DUMMYFUNCTION("""COMPUTED_VALUE"""),"2601D179")</f>
        <v>2601D179</v>
      </c>
      <c r="AD155" s="286">
        <f>IFERROR(__xludf.DUMMYFUNCTION("""COMPUTED_VALUE"""),46051.0)</f>
        <v>46051</v>
      </c>
      <c r="AE155" s="285" t="str">
        <f>IFERROR(__xludf.DUMMYFUNCTION("""COMPUTED_VALUE"""),"Katarina angelica")</f>
        <v>Katarina angelica</v>
      </c>
      <c r="AF155" s="285" t="str">
        <f>IFERROR(__xludf.DUMMYFUNCTION("""COMPUTED_VALUE"""),"082329094963")</f>
        <v>082329094963</v>
      </c>
      <c r="AG155" s="285" t="str">
        <f>IFERROR(__xludf.DUMMYFUNCTION("""COMPUTED_VALUE"""),"Gagal")</f>
        <v>Gagal</v>
      </c>
      <c r="AH155" s="285" t="str">
        <f>IFERROR(__xludf.DUMMYFUNCTION("""COMPUTED_VALUE"""),"3H2M")</f>
        <v>3H2M</v>
      </c>
      <c r="AI155" s="287">
        <f>IFERROR(__xludf.DUMMYFUNCTION("""COMPUTED_VALUE"""),46104.0)</f>
        <v>46104</v>
      </c>
      <c r="AJ155" s="285">
        <f>IFERROR(__xludf.DUMMYFUNCTION("""COMPUTED_VALUE"""),5.0)</f>
        <v>5</v>
      </c>
      <c r="AK155" s="289">
        <f>IFERROR(__xludf.DUMMYFUNCTION("""COMPUTED_VALUE"""),1.2E7)</f>
        <v>12000000</v>
      </c>
      <c r="AL155" s="285" t="str">
        <f>IFERROR(__xludf.DUMMYFUNCTION("""COMPUTED_VALUE"""),"belum bisa di bulan ini")</f>
        <v>belum bisa di bulan ini</v>
      </c>
    </row>
    <row r="156">
      <c r="F156" s="285" t="str">
        <f>IFERROR(__xludf.DUMMYFUNCTION("""COMPUTED_VALUE"""),"2606D071")</f>
        <v>2606D071</v>
      </c>
      <c r="G156" s="286">
        <f>IFERROR(__xludf.DUMMYFUNCTION("""COMPUTED_VALUE"""),46182.0)</f>
        <v>46182</v>
      </c>
      <c r="H156" s="285" t="str">
        <f>IFERROR(__xludf.DUMMYFUNCTION("""COMPUTED_VALUE"""),"Nna")</f>
        <v>Nna</v>
      </c>
      <c r="I156" s="285" t="str">
        <f>IFERROR(__xludf.DUMMYFUNCTION("""COMPUTED_VALUE"""),"082172977987")</f>
        <v>082172977987</v>
      </c>
      <c r="J156" s="285" t="str">
        <f>IFERROR(__xludf.DUMMYFUNCTION("""COMPUTED_VALUE"""),"Leads Baru")</f>
        <v>Leads Baru</v>
      </c>
      <c r="K156" s="285"/>
      <c r="L156" s="287"/>
      <c r="M156" s="288"/>
      <c r="N156" s="289"/>
      <c r="O156" s="290" t="str">
        <f>IFERROR(__xludf.DUMMYFUNCTION("""COMPUTED_VALUE"""),"baru menyapa, FU 13 Juni")</f>
        <v>baru menyapa, FU 13 Juni</v>
      </c>
      <c r="P156" s="320"/>
      <c r="R156" s="285" t="str">
        <f>IFERROR(__xludf.DUMMYFUNCTION("""COMPUTED_VALUE"""),"2607D004")</f>
        <v>2607D004</v>
      </c>
      <c r="S156" s="286">
        <f>IFERROR(__xludf.DUMMYFUNCTION("""COMPUTED_VALUE"""),46202.0)</f>
        <v>46202</v>
      </c>
      <c r="T156" s="285" t="str">
        <f>IFERROR(__xludf.DUMMYFUNCTION("""COMPUTED_VALUE"""),"Bontar (PPA Malang Sby)")</f>
        <v>Bontar (PPA Malang Sby)</v>
      </c>
      <c r="U156" s="285" t="str">
        <f>IFERROR(__xludf.DUMMYFUNCTION("""COMPUTED_VALUE"""),"082150935112")</f>
        <v>082150935112</v>
      </c>
      <c r="V156" s="285" t="str">
        <f>IFERROR(__xludf.DUMMYFUNCTION("""COMPUTED_VALUE"""),"Closing")</f>
        <v>Closing</v>
      </c>
      <c r="W156" s="285" t="str">
        <f>IFERROR(__xludf.DUMMYFUNCTION("""COMPUTED_VALUE"""),"2H1M custome")</f>
        <v>2H1M custome</v>
      </c>
      <c r="X156" s="287">
        <f>IFERROR(__xludf.DUMMYFUNCTION("""COMPUTED_VALUE"""),46216.0)</f>
        <v>46216</v>
      </c>
      <c r="Y156" s="285">
        <f>IFERROR(__xludf.DUMMYFUNCTION("""COMPUTED_VALUE"""),48.0)</f>
        <v>48</v>
      </c>
      <c r="Z156" s="289">
        <f>IFERROR(__xludf.DUMMYFUNCTION("""COMPUTED_VALUE"""),4.032E7)</f>
        <v>40320000</v>
      </c>
      <c r="AA156" s="285" t="str">
        <f>IFERROR(__xludf.DUMMYFUNCTION("""COMPUTED_VALUE"""),"alhamdulillah orrderrr")</f>
        <v>alhamdulillah orrderrr</v>
      </c>
      <c r="AC156" s="285" t="str">
        <f>IFERROR(__xludf.DUMMYFUNCTION("""COMPUTED_VALUE"""),"2601D180")</f>
        <v>2601D180</v>
      </c>
      <c r="AD156" s="286">
        <f>IFERROR(__xludf.DUMMYFUNCTION("""COMPUTED_VALUE"""),46051.0)</f>
        <v>46051</v>
      </c>
      <c r="AE156" s="285" t="str">
        <f>IFERROR(__xludf.DUMMYFUNCTION("""COMPUTED_VALUE"""),"Cak Tri")</f>
        <v>Cak Tri</v>
      </c>
      <c r="AF156" s="285" t="str">
        <f>IFERROR(__xludf.DUMMYFUNCTION("""COMPUTED_VALUE"""),"089678451834")</f>
        <v>089678451834</v>
      </c>
      <c r="AG156" s="285" t="str">
        <f>IFERROR(__xludf.DUMMYFUNCTION("""COMPUTED_VALUE"""),"Gagal")</f>
        <v>Gagal</v>
      </c>
      <c r="AH156" s="285"/>
      <c r="AI156" s="287"/>
      <c r="AJ156" s="285">
        <f>IFERROR(__xludf.DUMMYFUNCTION("""COMPUTED_VALUE"""),20.0)</f>
        <v>20</v>
      </c>
      <c r="AK156" s="289"/>
      <c r="AL156" s="285" t="str">
        <f>IFERROR(__xludf.DUMMYFUNCTION("""COMPUTED_VALUE"""),"luar kota")</f>
        <v>luar kota</v>
      </c>
    </row>
    <row r="157">
      <c r="F157" s="285" t="str">
        <f>IFERROR(__xludf.DUMMYFUNCTION("""COMPUTED_VALUE"""),"2606D072")</f>
        <v>2606D072</v>
      </c>
      <c r="G157" s="286">
        <f>IFERROR(__xludf.DUMMYFUNCTION("""COMPUTED_VALUE"""),46182.0)</f>
        <v>46182</v>
      </c>
      <c r="H157" s="285" t="str">
        <f>IFERROR(__xludf.DUMMYFUNCTION("""COMPUTED_VALUE"""),"Dewi Octaviani")</f>
        <v>Dewi Octaviani</v>
      </c>
      <c r="I157" s="285" t="str">
        <f>IFERROR(__xludf.DUMMYFUNCTION("""COMPUTED_VALUE"""),"082127009715")</f>
        <v>082127009715</v>
      </c>
      <c r="J157" s="285" t="str">
        <f>IFERROR(__xludf.DUMMYFUNCTION("""COMPUTED_VALUE"""),"Leads Baru")</f>
        <v>Leads Baru</v>
      </c>
      <c r="K157" s="285"/>
      <c r="L157" s="287"/>
      <c r="M157" s="288"/>
      <c r="N157" s="289"/>
      <c r="O157" s="290" t="str">
        <f>IFERROR(__xludf.DUMMYFUNCTION("""COMPUTED_VALUE"""),"baru nanya mepo")</f>
        <v>baru nanya mepo</v>
      </c>
      <c r="P157" s="320"/>
      <c r="R157" s="285" t="str">
        <f>IFERROR(__xludf.DUMMYFUNCTION("""COMPUTED_VALUE"""),"2607D009")</f>
        <v>2607D009</v>
      </c>
      <c r="S157" s="286">
        <f>IFERROR(__xludf.DUMMYFUNCTION("""COMPUTED_VALUE"""),46205.0)</f>
        <v>46205</v>
      </c>
      <c r="T157" s="285" t="str">
        <f>IFERROR(__xludf.DUMMYFUNCTION("""COMPUTED_VALUE"""),"Hesti")</f>
        <v>Hesti</v>
      </c>
      <c r="U157" s="285" t="str">
        <f>IFERROR(__xludf.DUMMYFUNCTION("""COMPUTED_VALUE"""),"082199727658")</f>
        <v>082199727658</v>
      </c>
      <c r="V157" s="285" t="str">
        <f>IFERROR(__xludf.DUMMYFUNCTION("""COMPUTED_VALUE"""),"Closing")</f>
        <v>Closing</v>
      </c>
      <c r="W157" s="285" t="str">
        <f>IFERROR(__xludf.DUMMYFUNCTION("""COMPUTED_VALUE"""),"3H2M opsi A")</f>
        <v>3H2M opsi A</v>
      </c>
      <c r="X157" s="287">
        <f>IFERROR(__xludf.DUMMYFUNCTION("""COMPUTED_VALUE"""),46213.0)</f>
        <v>46213</v>
      </c>
      <c r="Y157" s="285">
        <f>IFERROR(__xludf.DUMMYFUNCTION("""COMPUTED_VALUE"""),6.0)</f>
        <v>6</v>
      </c>
      <c r="Z157" s="289">
        <f>IFERROR(__xludf.DUMMYFUNCTION("""COMPUTED_VALUE"""),9690000.0)</f>
        <v>9690000</v>
      </c>
      <c r="AA157" s="285" t="str">
        <f>IFERROR(__xludf.DUMMYFUNCTION("""COMPUTED_VALUE"""),"orrderrr")</f>
        <v>orrderrr</v>
      </c>
      <c r="AC157" s="285" t="str">
        <f>IFERROR(__xludf.DUMMYFUNCTION("""COMPUTED_VALUE"""),"2601D181")</f>
        <v>2601D181</v>
      </c>
      <c r="AD157" s="286">
        <f>IFERROR(__xludf.DUMMYFUNCTION("""COMPUTED_VALUE"""),46051.0)</f>
        <v>46051</v>
      </c>
      <c r="AE157" s="285" t="str">
        <f>IFERROR(__xludf.DUMMYFUNCTION("""COMPUTED_VALUE"""),"Briliya Crisping ")</f>
        <v>Briliya Crisping </v>
      </c>
      <c r="AF157" s="285" t="str">
        <f>IFERROR(__xludf.DUMMYFUNCTION("""COMPUTED_VALUE"""),"085157474662")</f>
        <v>085157474662</v>
      </c>
      <c r="AG157" s="285" t="str">
        <f>IFERROR(__xludf.DUMMYFUNCTION("""COMPUTED_VALUE"""),"Gagal")</f>
        <v>Gagal</v>
      </c>
      <c r="AH157" s="285"/>
      <c r="AI157" s="287"/>
      <c r="AJ157" s="285"/>
      <c r="AK157" s="289"/>
      <c r="AL157" s="285" t="str">
        <f>IFERROR(__xludf.DUMMYFUNCTION("""COMPUTED_VALUE"""),"minta pricelist ")</f>
        <v>minta pricelist </v>
      </c>
    </row>
    <row r="158">
      <c r="F158" s="285" t="str">
        <f>IFERROR(__xludf.DUMMYFUNCTION("""COMPUTED_VALUE"""),"2606D075")</f>
        <v>2606D075</v>
      </c>
      <c r="G158" s="286">
        <f>IFERROR(__xludf.DUMMYFUNCTION("""COMPUTED_VALUE"""),46183.0)</f>
        <v>46183</v>
      </c>
      <c r="H158" s="285" t="str">
        <f>IFERROR(__xludf.DUMMYFUNCTION("""COMPUTED_VALUE"""),"Achmad Rizky")</f>
        <v>Achmad Rizky</v>
      </c>
      <c r="I158" s="285" t="str">
        <f>IFERROR(__xludf.DUMMYFUNCTION("""COMPUTED_VALUE"""),"081181200155")</f>
        <v>081181200155</v>
      </c>
      <c r="J158" s="285" t="str">
        <f>IFERROR(__xludf.DUMMYFUNCTION("""COMPUTED_VALUE"""),"Leads Baru")</f>
        <v>Leads Baru</v>
      </c>
      <c r="K158" s="285" t="str">
        <f>IFERROR(__xludf.DUMMYFUNCTION("""COMPUTED_VALUE"""),"paket custome")</f>
        <v>paket custome</v>
      </c>
      <c r="L158" s="287">
        <f>IFERROR(__xludf.DUMMYFUNCTION("""COMPUTED_VALUE"""),46244.0)</f>
        <v>46244</v>
      </c>
      <c r="M158" s="288">
        <f>IFERROR(__xludf.DUMMYFUNCTION("""COMPUTED_VALUE"""),50.0)</f>
        <v>50</v>
      </c>
      <c r="N158" s="289"/>
      <c r="O158" s="290" t="str">
        <f>IFERROR(__xludf.DUMMYFUNCTION("""COMPUTED_VALUE"""),"B2B, FU 11 Juli  ")</f>
        <v>B2B, FU 11 Juli  </v>
      </c>
      <c r="P158" s="320"/>
      <c r="R158" s="285" t="str">
        <f>IFERROR(__xludf.DUMMYFUNCTION("""COMPUTED_VALUE"""),"2607D014")</f>
        <v>2607D014</v>
      </c>
      <c r="S158" s="286">
        <f>IFERROR(__xludf.DUMMYFUNCTION("""COMPUTED_VALUE"""),46205.0)</f>
        <v>46205</v>
      </c>
      <c r="T158" s="285" t="str">
        <f>IFERROR(__xludf.DUMMYFUNCTION("""COMPUTED_VALUE"""),"Rifa")</f>
        <v>Rifa</v>
      </c>
      <c r="U158" s="285" t="str">
        <f>IFERROR(__xludf.DUMMYFUNCTION("""COMPUTED_VALUE"""),"085606820090")</f>
        <v>085606820090</v>
      </c>
      <c r="V158" s="285" t="str">
        <f>IFERROR(__xludf.DUMMYFUNCTION("""COMPUTED_VALUE"""),"Closing")</f>
        <v>Closing</v>
      </c>
      <c r="W158" s="285" t="str">
        <f>IFERROR(__xludf.DUMMYFUNCTION("""COMPUTED_VALUE"""),"OT MT")</f>
        <v>OT MT</v>
      </c>
      <c r="X158" s="287">
        <f>IFERROR(__xludf.DUMMYFUNCTION("""COMPUTED_VALUE"""),46209.0)</f>
        <v>46209</v>
      </c>
      <c r="Y158" s="285">
        <f>IFERROR(__xludf.DUMMYFUNCTION("""COMPUTED_VALUE"""),2.0)</f>
        <v>2</v>
      </c>
      <c r="Z158" s="289">
        <f>IFERROR(__xludf.DUMMYFUNCTION("""COMPUTED_VALUE"""),800000.0)</f>
        <v>800000</v>
      </c>
      <c r="AA158" s="285" t="str">
        <f>IFERROR(__xludf.DUMMYFUNCTION("""COMPUTED_VALUE"""),"orrderr")</f>
        <v>orrderr</v>
      </c>
      <c r="AC158" s="285" t="str">
        <f>IFERROR(__xludf.DUMMYFUNCTION("""COMPUTED_VALUE"""),"2601D182")</f>
        <v>2601D182</v>
      </c>
      <c r="AD158" s="286">
        <f>IFERROR(__xludf.DUMMYFUNCTION("""COMPUTED_VALUE"""),46051.0)</f>
        <v>46051</v>
      </c>
      <c r="AE158" s="285" t="str">
        <f>IFERROR(__xludf.DUMMYFUNCTION("""COMPUTED_VALUE"""),"Umi")</f>
        <v>Umi</v>
      </c>
      <c r="AF158" s="285" t="str">
        <f>IFERROR(__xludf.DUMMYFUNCTION("""COMPUTED_VALUE"""),"081326432649")</f>
        <v>081326432649</v>
      </c>
      <c r="AG158" s="285" t="str">
        <f>IFERROR(__xludf.DUMMYFUNCTION("""COMPUTED_VALUE"""),"Gagal")</f>
        <v>Gagal</v>
      </c>
      <c r="AH158" s="285" t="str">
        <f>IFERROR(__xludf.DUMMYFUNCTION("""COMPUTED_VALUE"""),"trip menjangan tabuhan ")</f>
        <v>trip menjangan tabuhan </v>
      </c>
      <c r="AI158" s="287">
        <f>IFERROR(__xludf.DUMMYFUNCTION("""COMPUTED_VALUE"""),46069.0)</f>
        <v>46069</v>
      </c>
      <c r="AJ158" s="285">
        <f>IFERROR(__xludf.DUMMYFUNCTION("""COMPUTED_VALUE"""),3.0)</f>
        <v>3</v>
      </c>
      <c r="AK158" s="289"/>
      <c r="AL158" s="285" t="str">
        <f>IFERROR(__xludf.DUMMYFUNCTION("""COMPUTED_VALUE"""),"minta jemput, gagal")</f>
        <v>minta jemput, gagal</v>
      </c>
    </row>
    <row r="159">
      <c r="F159" s="285" t="str">
        <f>IFERROR(__xludf.DUMMYFUNCTION("""COMPUTED_VALUE"""),"2606D076")</f>
        <v>2606D076</v>
      </c>
      <c r="G159" s="286">
        <f>IFERROR(__xludf.DUMMYFUNCTION("""COMPUTED_VALUE"""),46183.0)</f>
        <v>46183</v>
      </c>
      <c r="H159" s="285" t="str">
        <f>IFERROR(__xludf.DUMMYFUNCTION("""COMPUTED_VALUE"""),"Fatin DN")</f>
        <v>Fatin DN</v>
      </c>
      <c r="I159" s="285" t="str">
        <f>IFERROR(__xludf.DUMMYFUNCTION("""COMPUTED_VALUE"""),"081392461331")</f>
        <v>081392461331</v>
      </c>
      <c r="J159" s="285" t="str">
        <f>IFERROR(__xludf.DUMMYFUNCTION("""COMPUTED_VALUE"""),"Leads Baru")</f>
        <v>Leads Baru</v>
      </c>
      <c r="K159" s="285" t="str">
        <f>IFERROR(__xludf.DUMMYFUNCTION("""COMPUTED_VALUE"""),"2h1m custome")</f>
        <v>2h1m custome</v>
      </c>
      <c r="L159" s="287"/>
      <c r="M159" s="288"/>
      <c r="N159" s="289"/>
      <c r="O159" s="290" t="str">
        <f>IFERROR(__xludf.DUMMYFUNCTION("""COMPUTED_VALUE"""),"belum ada balasan, FU 13 Juni")</f>
        <v>belum ada balasan, FU 13 Juni</v>
      </c>
      <c r="P159" s="320"/>
      <c r="R159" s="285" t="str">
        <f>IFERROR(__xludf.DUMMYFUNCTION("""COMPUTED_VALUE"""),"2607D015")</f>
        <v>2607D015</v>
      </c>
      <c r="S159" s="286">
        <f>IFERROR(__xludf.DUMMYFUNCTION("""COMPUTED_VALUE"""),46204.0)</f>
        <v>46204</v>
      </c>
      <c r="T159" s="285" t="str">
        <f>IFERROR(__xludf.DUMMYFUNCTION("""COMPUTED_VALUE"""),"Ivan")</f>
        <v>Ivan</v>
      </c>
      <c r="U159" s="285" t="str">
        <f>IFERROR(__xludf.DUMMYFUNCTION("""COMPUTED_VALUE"""),"085138086133")</f>
        <v>085138086133</v>
      </c>
      <c r="V159" s="285" t="str">
        <f>IFERROR(__xludf.DUMMYFUNCTION("""COMPUTED_VALUE"""),"Closing")</f>
        <v>Closing</v>
      </c>
      <c r="W159" s="285" t="str">
        <f>IFERROR(__xludf.DUMMYFUNCTION("""COMPUTED_VALUE"""),"baluran only")</f>
        <v>baluran only</v>
      </c>
      <c r="X159" s="287">
        <f>IFERROR(__xludf.DUMMYFUNCTION("""COMPUTED_VALUE"""),46207.0)</f>
        <v>46207</v>
      </c>
      <c r="Y159" s="285">
        <f>IFERROR(__xludf.DUMMYFUNCTION("""COMPUTED_VALUE"""),5.0)</f>
        <v>5</v>
      </c>
      <c r="Z159" s="289">
        <f>IFERROR(__xludf.DUMMYFUNCTION("""COMPUTED_VALUE"""),2000000.0)</f>
        <v>2000000</v>
      </c>
      <c r="AA159" s="285" t="str">
        <f>IFERROR(__xludf.DUMMYFUNCTION("""COMPUTED_VALUE"""),"orrderr")</f>
        <v>orrderr</v>
      </c>
      <c r="AC159" s="285" t="str">
        <f>IFERROR(__xludf.DUMMYFUNCTION("""COMPUTED_VALUE"""),"2601D183")</f>
        <v>2601D183</v>
      </c>
      <c r="AD159" s="286">
        <f>IFERROR(__xludf.DUMMYFUNCTION("""COMPUTED_VALUE"""),46051.0)</f>
        <v>46051</v>
      </c>
      <c r="AE159" s="285" t="str">
        <f>IFERROR(__xludf.DUMMYFUNCTION("""COMPUTED_VALUE"""),"Revand ")</f>
        <v>Revand </v>
      </c>
      <c r="AF159" s="285" t="str">
        <f>IFERROR(__xludf.DUMMYFUNCTION("""COMPUTED_VALUE"""),"085231074853")</f>
        <v>085231074853</v>
      </c>
      <c r="AG159" s="285" t="str">
        <f>IFERROR(__xludf.DUMMYFUNCTION("""COMPUTED_VALUE"""),"Gagal")</f>
        <v>Gagal</v>
      </c>
      <c r="AH159" s="285" t="str">
        <f>IFERROR(__xludf.DUMMYFUNCTION("""COMPUTED_VALUE"""),"2H1M")</f>
        <v>2H1M</v>
      </c>
      <c r="AI159" s="287"/>
      <c r="AJ159" s="285"/>
      <c r="AK159" s="289"/>
      <c r="AL159" s="285" t="str">
        <f>IFERROR(__xludf.DUMMYFUNCTION("""COMPUTED_VALUE"""),"tanya tanya")</f>
        <v>tanya tanya</v>
      </c>
    </row>
    <row r="160">
      <c r="F160" s="285" t="str">
        <f>IFERROR(__xludf.DUMMYFUNCTION("""COMPUTED_VALUE"""),"2606D077")</f>
        <v>2606D077</v>
      </c>
      <c r="G160" s="286">
        <f>IFERROR(__xludf.DUMMYFUNCTION("""COMPUTED_VALUE"""),46183.0)</f>
        <v>46183</v>
      </c>
      <c r="H160" s="285" t="str">
        <f>IFERROR(__xludf.DUMMYFUNCTION("""COMPUTED_VALUE"""),"Nia")</f>
        <v>Nia</v>
      </c>
      <c r="I160" s="285" t="str">
        <f>IFERROR(__xludf.DUMMYFUNCTION("""COMPUTED_VALUE"""),"082244534042")</f>
        <v>082244534042</v>
      </c>
      <c r="J160" s="285" t="str">
        <f>IFERROR(__xludf.DUMMYFUNCTION("""COMPUTED_VALUE"""),"Leads Baru")</f>
        <v>Leads Baru</v>
      </c>
      <c r="K160" s="285" t="str">
        <f>IFERROR(__xludf.DUMMYFUNCTION("""COMPUTED_VALUE"""),"OT 3H2M")</f>
        <v>OT 3H2M</v>
      </c>
      <c r="L160" s="287"/>
      <c r="M160" s="288">
        <f>IFERROR(__xludf.DUMMYFUNCTION("""COMPUTED_VALUE"""),1.0)</f>
        <v>1</v>
      </c>
      <c r="N160" s="289"/>
      <c r="O160" s="290" t="str">
        <f>IFERROR(__xludf.DUMMYFUNCTION("""COMPUTED_VALUE"""),"sendirian, tidak pas tglnya ")</f>
        <v>sendirian, tidak pas tglnya </v>
      </c>
      <c r="P160" s="320"/>
      <c r="R160" s="285" t="str">
        <f>IFERROR(__xludf.DUMMYFUNCTION("""COMPUTED_VALUE"""),"2606D248")</f>
        <v>2606D248</v>
      </c>
      <c r="S160" s="286">
        <f>IFERROR(__xludf.DUMMYFUNCTION("""COMPUTED_VALUE"""),46184.0)</f>
        <v>46184</v>
      </c>
      <c r="T160" s="285" t="str">
        <f>IFERROR(__xludf.DUMMYFUNCTION("""COMPUTED_VALUE"""),"Ayu DSLNG")</f>
        <v>Ayu DSLNG</v>
      </c>
      <c r="U160" s="285" t="str">
        <f>IFERROR(__xludf.DUMMYFUNCTION("""COMPUTED_VALUE"""),"081354848245")</f>
        <v>081354848245</v>
      </c>
      <c r="V160" s="285" t="str">
        <f>IFERROR(__xludf.DUMMYFUNCTION("""COMPUTED_VALUE"""),"Closing")</f>
        <v>Closing</v>
      </c>
      <c r="W160" s="285" t="str">
        <f>IFERROR(__xludf.DUMMYFUNCTION("""COMPUTED_VALUE"""),"trip djawatan")</f>
        <v>trip djawatan</v>
      </c>
      <c r="X160" s="287">
        <f>IFERROR(__xludf.DUMMYFUNCTION("""COMPUTED_VALUE"""),46202.0)</f>
        <v>46202</v>
      </c>
      <c r="Y160" s="285">
        <f>IFERROR(__xludf.DUMMYFUNCTION("""COMPUTED_VALUE"""),11.0)</f>
        <v>11</v>
      </c>
      <c r="Z160" s="289">
        <f>IFERROR(__xludf.DUMMYFUNCTION("""COMPUTED_VALUE"""),2365000.0)</f>
        <v>2365000</v>
      </c>
      <c r="AA160" s="285" t="str">
        <f>IFERROR(__xludf.DUMMYFUNCTION("""COMPUTED_VALUE"""),"orrderrr")</f>
        <v>orrderrr</v>
      </c>
      <c r="AC160" s="285" t="str">
        <f>IFERROR(__xludf.DUMMYFUNCTION("""COMPUTED_VALUE"""),"2601D184")</f>
        <v>2601D184</v>
      </c>
      <c r="AD160" s="286">
        <f>IFERROR(__xludf.DUMMYFUNCTION("""COMPUTED_VALUE"""),46052.0)</f>
        <v>46052</v>
      </c>
      <c r="AE160" s="285" t="str">
        <f>IFERROR(__xludf.DUMMYFUNCTION("""COMPUTED_VALUE"""),"Natali")</f>
        <v>Natali</v>
      </c>
      <c r="AF160" s="285" t="str">
        <f>IFERROR(__xludf.DUMMYFUNCTION("""COMPUTED_VALUE"""),"082132282858")</f>
        <v>082132282858</v>
      </c>
      <c r="AG160" s="285" t="str">
        <f>IFERROR(__xludf.DUMMYFUNCTION("""COMPUTED_VALUE"""),"Gagal")</f>
        <v>Gagal</v>
      </c>
      <c r="AH160" s="285"/>
      <c r="AI160" s="287"/>
      <c r="AJ160" s="285"/>
      <c r="AK160" s="289"/>
      <c r="AL160" s="285" t="str">
        <f>IFERROR(__xludf.DUMMYFUNCTION("""COMPUTED_VALUE"""),"ga balas")</f>
        <v>ga balas</v>
      </c>
    </row>
    <row r="161">
      <c r="F161" s="285" t="str">
        <f>IFERROR(__xludf.DUMMYFUNCTION("""COMPUTED_VALUE"""),"2606D078")</f>
        <v>2606D078</v>
      </c>
      <c r="G161" s="286">
        <f>IFERROR(__xludf.DUMMYFUNCTION("""COMPUTED_VALUE"""),46183.0)</f>
        <v>46183</v>
      </c>
      <c r="H161" s="285" t="str">
        <f>IFERROR(__xludf.DUMMYFUNCTION("""COMPUTED_VALUE"""),"Tuti")</f>
        <v>Tuti</v>
      </c>
      <c r="I161" s="285" t="str">
        <f>IFERROR(__xludf.DUMMYFUNCTION("""COMPUTED_VALUE"""),"087810005045")</f>
        <v>087810005045</v>
      </c>
      <c r="J161" s="285" t="str">
        <f>IFERROR(__xludf.DUMMYFUNCTION("""COMPUTED_VALUE"""),"Leads Baru")</f>
        <v>Leads Baru</v>
      </c>
      <c r="K161" s="285" t="str">
        <f>IFERROR(__xludf.DUMMYFUNCTION("""COMPUTED_VALUE"""),"3h2m opsi A")</f>
        <v>3h2m opsi A</v>
      </c>
      <c r="L161" s="287"/>
      <c r="M161" s="288">
        <f>IFERROR(__xludf.DUMMYFUNCTION("""COMPUTED_VALUE"""),2.0)</f>
        <v>2</v>
      </c>
      <c r="N161" s="289"/>
      <c r="O161" s="290" t="str">
        <f>IFERROR(__xludf.DUMMYFUNCTION("""COMPUTED_VALUE"""),"FU 17 Juni")</f>
        <v>FU 17 Juni</v>
      </c>
      <c r="P161" s="320"/>
      <c r="R161" s="285" t="str">
        <f>IFERROR(__xludf.DUMMYFUNCTION("""COMPUTED_VALUE"""),"2607D019")</f>
        <v>2607D019</v>
      </c>
      <c r="S161" s="286">
        <f>IFERROR(__xludf.DUMMYFUNCTION("""COMPUTED_VALUE"""),46205.0)</f>
        <v>46205</v>
      </c>
      <c r="T161" s="285" t="str">
        <f>IFERROR(__xludf.DUMMYFUNCTION("""COMPUTED_VALUE"""),"Sulistyo")</f>
        <v>Sulistyo</v>
      </c>
      <c r="U161" s="285" t="str">
        <f>IFERROR(__xludf.DUMMYFUNCTION("""COMPUTED_VALUE"""),"081252434153")</f>
        <v>081252434153</v>
      </c>
      <c r="V161" s="285" t="str">
        <f>IFERROR(__xludf.DUMMYFUNCTION("""COMPUTED_VALUE"""),"Closing")</f>
        <v>Closing</v>
      </c>
      <c r="W161" s="285" t="str">
        <f>IFERROR(__xludf.DUMMYFUNCTION("""COMPUTED_VALUE"""),"OT 3H2M")</f>
        <v>OT 3H2M</v>
      </c>
      <c r="X161" s="287">
        <f>IFERROR(__xludf.DUMMYFUNCTION("""COMPUTED_VALUE"""),46212.0)</f>
        <v>46212</v>
      </c>
      <c r="Y161" s="285">
        <f>IFERROR(__xludf.DUMMYFUNCTION("""COMPUTED_VALUE"""),2.0)</f>
        <v>2</v>
      </c>
      <c r="Z161" s="289">
        <f>IFERROR(__xludf.DUMMYFUNCTION("""COMPUTED_VALUE"""),3200000.0)</f>
        <v>3200000</v>
      </c>
      <c r="AA161" s="285" t="str">
        <f>IFERROR(__xludf.DUMMYFUNCTION("""COMPUTED_VALUE"""),"orrderrr")</f>
        <v>orrderrr</v>
      </c>
      <c r="AC161" s="285" t="str">
        <f>IFERROR(__xludf.DUMMYFUNCTION("""COMPUTED_VALUE"""),"2601D185")</f>
        <v>2601D185</v>
      </c>
      <c r="AD161" s="286">
        <f>IFERROR(__xludf.DUMMYFUNCTION("""COMPUTED_VALUE"""),46053.0)</f>
        <v>46053</v>
      </c>
      <c r="AE161" s="285" t="str">
        <f>IFERROR(__xludf.DUMMYFUNCTION("""COMPUTED_VALUE"""),"Zee")</f>
        <v>Zee</v>
      </c>
      <c r="AF161" s="285" t="str">
        <f>IFERROR(__xludf.DUMMYFUNCTION("""COMPUTED_VALUE"""),"085607907412")</f>
        <v>085607907412</v>
      </c>
      <c r="AG161" s="285" t="str">
        <f>IFERROR(__xludf.DUMMYFUNCTION("""COMPUTED_VALUE"""),"Gagal")</f>
        <v>Gagal</v>
      </c>
      <c r="AH161" s="285"/>
      <c r="AI161" s="287">
        <f>IFERROR(__xludf.DUMMYFUNCTION("""COMPUTED_VALUE"""),46054.0)</f>
        <v>46054</v>
      </c>
      <c r="AJ161" s="285">
        <f>IFERROR(__xludf.DUMMYFUNCTION("""COMPUTED_VALUE"""),2.0)</f>
        <v>2</v>
      </c>
      <c r="AK161" s="289"/>
      <c r="AL161" s="285" t="str">
        <f>IFERROR(__xludf.DUMMYFUNCTION("""COMPUTED_VALUE"""),"`")</f>
        <v>`</v>
      </c>
    </row>
    <row r="162">
      <c r="F162" s="285" t="str">
        <f>IFERROR(__xludf.DUMMYFUNCTION("""COMPUTED_VALUE"""),"2606D079")</f>
        <v>2606D079</v>
      </c>
      <c r="G162" s="286">
        <f>IFERROR(__xludf.DUMMYFUNCTION("""COMPUTED_VALUE"""),46183.0)</f>
        <v>46183</v>
      </c>
      <c r="H162" s="285" t="str">
        <f>IFERROR(__xludf.DUMMYFUNCTION("""COMPUTED_VALUE"""),"Theresia Mery")</f>
        <v>Theresia Mery</v>
      </c>
      <c r="I162" s="285" t="str">
        <f>IFERROR(__xludf.DUMMYFUNCTION("""COMPUTED_VALUE"""),"081314160309")</f>
        <v>081314160309</v>
      </c>
      <c r="J162" s="285" t="str">
        <f>IFERROR(__xludf.DUMMYFUNCTION("""COMPUTED_VALUE"""),"Leads Baru")</f>
        <v>Leads Baru</v>
      </c>
      <c r="K162" s="285" t="str">
        <f>IFERROR(__xludf.DUMMYFUNCTION("""COMPUTED_VALUE"""),"OT 3H2M")</f>
        <v>OT 3H2M</v>
      </c>
      <c r="L162" s="287">
        <f>IFERROR(__xludf.DUMMYFUNCTION("""COMPUTED_VALUE"""),46195.0)</f>
        <v>46195</v>
      </c>
      <c r="M162" s="288">
        <f>IFERROR(__xludf.DUMMYFUNCTION("""COMPUTED_VALUE"""),4.0)</f>
        <v>4</v>
      </c>
      <c r="N162" s="289"/>
      <c r="O162" s="290" t="str">
        <f>IFERROR(__xludf.DUMMYFUNCTION("""COMPUTED_VALUE"""),"FU 13 Juni")</f>
        <v>FU 13 Juni</v>
      </c>
      <c r="P162" s="320"/>
      <c r="R162" s="285" t="str">
        <f>IFERROR(__xludf.DUMMYFUNCTION("""COMPUTED_VALUE"""),"2607D029")</f>
        <v>2607D029</v>
      </c>
      <c r="S162" s="286">
        <f>IFERROR(__xludf.DUMMYFUNCTION("""COMPUTED_VALUE"""),46207.0)</f>
        <v>46207</v>
      </c>
      <c r="T162" s="285" t="str">
        <f>IFERROR(__xludf.DUMMYFUNCTION("""COMPUTED_VALUE"""),"Ihsan")</f>
        <v>Ihsan</v>
      </c>
      <c r="U162" s="285" t="str">
        <f>IFERROR(__xludf.DUMMYFUNCTION("""COMPUTED_VALUE"""),"081292700079")</f>
        <v>081292700079</v>
      </c>
      <c r="V162" s="285" t="str">
        <f>IFERROR(__xludf.DUMMYFUNCTION("""COMPUTED_VALUE"""),"Closing")</f>
        <v>Closing</v>
      </c>
      <c r="W162" s="285" t="str">
        <f>IFERROR(__xludf.DUMMYFUNCTION("""COMPUTED_VALUE"""),"2H1M custome")</f>
        <v>2H1M custome</v>
      </c>
      <c r="X162" s="287">
        <f>IFERROR(__xludf.DUMMYFUNCTION("""COMPUTED_VALUE"""),46208.0)</f>
        <v>46208</v>
      </c>
      <c r="Y162" s="285">
        <f>IFERROR(__xludf.DUMMYFUNCTION("""COMPUTED_VALUE"""),4.0)</f>
        <v>4</v>
      </c>
      <c r="Z162" s="289">
        <f>IFERROR(__xludf.DUMMYFUNCTION("""COMPUTED_VALUE"""),4200000.0)</f>
        <v>4200000</v>
      </c>
      <c r="AA162" s="285" t="str">
        <f>IFERROR(__xludf.DUMMYFUNCTION("""COMPUTED_VALUE"""),"alhamdulillah orrderr")</f>
        <v>alhamdulillah orrderr</v>
      </c>
      <c r="AC162" s="285" t="str">
        <f>IFERROR(__xludf.DUMMYFUNCTION("""COMPUTED_VALUE"""),"2601D186")</f>
        <v>2601D186</v>
      </c>
      <c r="AD162" s="286">
        <f>IFERROR(__xludf.DUMMYFUNCTION("""COMPUTED_VALUE"""),46053.0)</f>
        <v>46053</v>
      </c>
      <c r="AE162" s="285" t="str">
        <f>IFERROR(__xludf.DUMMYFUNCTION("""COMPUTED_VALUE"""),"Nadhillah Hulfa ")</f>
        <v>Nadhillah Hulfa </v>
      </c>
      <c r="AF162" s="285" t="str">
        <f>IFERROR(__xludf.DUMMYFUNCTION("""COMPUTED_VALUE"""),"085759951914")</f>
        <v>085759951914</v>
      </c>
      <c r="AG162" s="285" t="str">
        <f>IFERROR(__xludf.DUMMYFUNCTION("""COMPUTED_VALUE"""),"Gagal")</f>
        <v>Gagal</v>
      </c>
      <c r="AH162" s="285"/>
      <c r="AI162" s="287"/>
      <c r="AJ162" s="285"/>
      <c r="AK162" s="289"/>
      <c r="AL162" s="285" t="str">
        <f>IFERROR(__xludf.DUMMYFUNCTION("""COMPUTED_VALUE"""),"tidak ada jawaban,udh  FU5")</f>
        <v>tidak ada jawaban,udh  FU5</v>
      </c>
    </row>
    <row r="163">
      <c r="F163" s="285" t="str">
        <f>IFERROR(__xludf.DUMMYFUNCTION("""COMPUTED_VALUE"""),"2606D081")</f>
        <v>2606D081</v>
      </c>
      <c r="G163" s="286">
        <f>IFERROR(__xludf.DUMMYFUNCTION("""COMPUTED_VALUE"""),46183.0)</f>
        <v>46183</v>
      </c>
      <c r="H163" s="285" t="str">
        <f>IFERROR(__xludf.DUMMYFUNCTION("""COMPUTED_VALUE"""),"Azzah")</f>
        <v>Azzah</v>
      </c>
      <c r="I163" s="285" t="str">
        <f>IFERROR(__xludf.DUMMYFUNCTION("""COMPUTED_VALUE"""),"085775168075")</f>
        <v>085775168075</v>
      </c>
      <c r="J163" s="285" t="str">
        <f>IFERROR(__xludf.DUMMYFUNCTION("""COMPUTED_VALUE"""),"Leads Baru")</f>
        <v>Leads Baru</v>
      </c>
      <c r="K163" s="285"/>
      <c r="L163" s="287"/>
      <c r="M163" s="288"/>
      <c r="N163" s="289"/>
      <c r="O163" s="290" t="str">
        <f>IFERROR(__xludf.DUMMYFUNCTION("""COMPUTED_VALUE"""),"belum balas lagi, FU 20 Juni")</f>
        <v>belum balas lagi, FU 20 Juni</v>
      </c>
      <c r="P163" s="320"/>
      <c r="R163" s="285" t="str">
        <f>IFERROR(__xludf.DUMMYFUNCTION("""COMPUTED_VALUE"""),"2607D044")</f>
        <v>2607D044</v>
      </c>
      <c r="S163" s="286">
        <f>IFERROR(__xludf.DUMMYFUNCTION("""COMPUTED_VALUE"""),46210.0)</f>
        <v>46210</v>
      </c>
      <c r="T163" s="285" t="str">
        <f>IFERROR(__xludf.DUMMYFUNCTION("""COMPUTED_VALUE"""),"Desy Veronika ")</f>
        <v>Desy Veronika </v>
      </c>
      <c r="U163" s="285" t="str">
        <f>IFERROR(__xludf.DUMMYFUNCTION("""COMPUTED_VALUE"""),"085261453054")</f>
        <v>085261453054</v>
      </c>
      <c r="V163" s="285" t="str">
        <f>IFERROR(__xludf.DUMMYFUNCTION("""COMPUTED_VALUE"""),"Closing")</f>
        <v>Closing</v>
      </c>
      <c r="W163" s="285" t="str">
        <f>IFERROR(__xludf.DUMMYFUNCTION("""COMPUTED_VALUE"""),"3H2M Opsi A")</f>
        <v>3H2M Opsi A</v>
      </c>
      <c r="X163" s="287">
        <f>IFERROR(__xludf.DUMMYFUNCTION("""COMPUTED_VALUE"""),46248.0)</f>
        <v>46248</v>
      </c>
      <c r="Y163" s="285">
        <f>IFERROR(__xludf.DUMMYFUNCTION("""COMPUTED_VALUE"""),3.0)</f>
        <v>3</v>
      </c>
      <c r="Z163" s="289">
        <f>IFERROR(__xludf.DUMMYFUNCTION("""COMPUTED_VALUE"""),6402000.0)</f>
        <v>6402000</v>
      </c>
      <c r="AA163" s="285" t="str">
        <f>IFERROR(__xludf.DUMMYFUNCTION("""COMPUTED_VALUE"""),"orrderrr")</f>
        <v>orrderrr</v>
      </c>
      <c r="AC163" s="285" t="str">
        <f>IFERROR(__xludf.DUMMYFUNCTION("""COMPUTED_VALUE"""),"2602D001")</f>
        <v>2602D001</v>
      </c>
      <c r="AD163" s="286">
        <f>IFERROR(__xludf.DUMMYFUNCTION("""COMPUTED_VALUE"""),46054.0)</f>
        <v>46054</v>
      </c>
      <c r="AE163" s="285" t="str">
        <f>IFERROR(__xludf.DUMMYFUNCTION("""COMPUTED_VALUE"""),"Rangga ")</f>
        <v>Rangga </v>
      </c>
      <c r="AF163" s="285" t="str">
        <f>IFERROR(__xludf.DUMMYFUNCTION("""COMPUTED_VALUE"""),"083851037150")</f>
        <v>083851037150</v>
      </c>
      <c r="AG163" s="285" t="str">
        <f>IFERROR(__xludf.DUMMYFUNCTION("""COMPUTED_VALUE"""),"Gagal")</f>
        <v>Gagal</v>
      </c>
      <c r="AH163" s="285" t="str">
        <f>IFERROR(__xludf.DUMMYFUNCTION("""COMPUTED_VALUE"""),"acara famget")</f>
        <v>acara famget</v>
      </c>
      <c r="AI163" s="287"/>
      <c r="AJ163" s="285">
        <f>IFERROR(__xludf.DUMMYFUNCTION("""COMPUTED_VALUE"""),36.0)</f>
        <v>36</v>
      </c>
      <c r="AK163" s="289">
        <f>IFERROR(__xludf.DUMMYFUNCTION("""COMPUTED_VALUE"""),8.64E7)</f>
        <v>86400000</v>
      </c>
      <c r="AL163" s="285" t="str">
        <f>IFERROR(__xludf.DUMMYFUNCTION("""COMPUTED_VALUE"""),"buat penawaran ")</f>
        <v>buat penawaran </v>
      </c>
    </row>
    <row r="164">
      <c r="F164" s="285" t="str">
        <f>IFERROR(__xludf.DUMMYFUNCTION("""COMPUTED_VALUE"""),"2606D083")</f>
        <v>2606D083</v>
      </c>
      <c r="G164" s="286">
        <f>IFERROR(__xludf.DUMMYFUNCTION("""COMPUTED_VALUE"""),46183.0)</f>
        <v>46183</v>
      </c>
      <c r="H164" s="285" t="str">
        <f>IFERROR(__xludf.DUMMYFUNCTION("""COMPUTED_VALUE"""),"Nuzla Ramadhani")</f>
        <v>Nuzla Ramadhani</v>
      </c>
      <c r="I164" s="285" t="str">
        <f>IFERROR(__xludf.DUMMYFUNCTION("""COMPUTED_VALUE"""),"089686703829")</f>
        <v>089686703829</v>
      </c>
      <c r="J164" s="285" t="str">
        <f>IFERROR(__xludf.DUMMYFUNCTION("""COMPUTED_VALUE"""),"Leads Baru")</f>
        <v>Leads Baru</v>
      </c>
      <c r="K164" s="285" t="str">
        <f>IFERROR(__xludf.DUMMYFUNCTION("""COMPUTED_VALUE"""),"OT MT")</f>
        <v>OT MT</v>
      </c>
      <c r="L164" s="287"/>
      <c r="M164" s="288"/>
      <c r="N164" s="289"/>
      <c r="O164" s="290" t="str">
        <f>IFERROR(__xludf.DUMMYFUNCTION("""COMPUTED_VALUE"""),"FU 12 Juni")</f>
        <v>FU 12 Juni</v>
      </c>
      <c r="P164" s="320"/>
      <c r="R164" s="285" t="str">
        <f>IFERROR(__xludf.DUMMYFUNCTION("""COMPUTED_VALUE"""),"2607D046")</f>
        <v>2607D046</v>
      </c>
      <c r="S164" s="286">
        <f>IFERROR(__xludf.DUMMYFUNCTION("""COMPUTED_VALUE"""),46211.0)</f>
        <v>46211</v>
      </c>
      <c r="T164" s="285" t="str">
        <f>IFERROR(__xludf.DUMMYFUNCTION("""COMPUTED_VALUE"""),"Kirana")</f>
        <v>Kirana</v>
      </c>
      <c r="U164" s="285" t="str">
        <f>IFERROR(__xludf.DUMMYFUNCTION("""COMPUTED_VALUE"""),"081314510407")</f>
        <v>081314510407</v>
      </c>
      <c r="V164" s="285" t="str">
        <f>IFERROR(__xludf.DUMMYFUNCTION("""COMPUTED_VALUE"""),"Closing")</f>
        <v>Closing</v>
      </c>
      <c r="W164" s="285" t="str">
        <f>IFERROR(__xludf.DUMMYFUNCTION("""COMPUTED_VALUE"""),"3h2m custome")</f>
        <v>3h2m custome</v>
      </c>
      <c r="X164" s="287">
        <f>IFERROR(__xludf.DUMMYFUNCTION("""COMPUTED_VALUE"""),46222.0)</f>
        <v>46222</v>
      </c>
      <c r="Y164" s="285">
        <f>IFERROR(__xludf.DUMMYFUNCTION("""COMPUTED_VALUE"""),2.0)</f>
        <v>2</v>
      </c>
      <c r="Z164" s="289">
        <f>IFERROR(__xludf.DUMMYFUNCTION("""COMPUTED_VALUE"""),2200000.0)</f>
        <v>2200000</v>
      </c>
      <c r="AA164" s="285" t="str">
        <f>IFERROR(__xludf.DUMMYFUNCTION("""COMPUTED_VALUE"""),"orrderrr")</f>
        <v>orrderrr</v>
      </c>
      <c r="AC164" s="285" t="str">
        <f>IFERROR(__xludf.DUMMYFUNCTION("""COMPUTED_VALUE"""),"2602D003")</f>
        <v>2602D003</v>
      </c>
      <c r="AD164" s="286">
        <f>IFERROR(__xludf.DUMMYFUNCTION("""COMPUTED_VALUE"""),46054.0)</f>
        <v>46054</v>
      </c>
      <c r="AE164" s="285" t="str">
        <f>IFERROR(__xludf.DUMMYFUNCTION("""COMPUTED_VALUE"""),"Amel")</f>
        <v>Amel</v>
      </c>
      <c r="AF164" s="285" t="str">
        <f>IFERROR(__xludf.DUMMYFUNCTION("""COMPUTED_VALUE"""),"087881114085")</f>
        <v>087881114085</v>
      </c>
      <c r="AG164" s="285" t="str">
        <f>IFERROR(__xludf.DUMMYFUNCTION("""COMPUTED_VALUE"""),"Gagal")</f>
        <v>Gagal</v>
      </c>
      <c r="AH164" s="285"/>
      <c r="AI164" s="287"/>
      <c r="AJ164" s="285"/>
      <c r="AK164" s="289"/>
      <c r="AL164" s="285" t="str">
        <f>IFERROR(__xludf.DUMMYFUNCTION("""COMPUTED_VALUE"""),"tidak balas")</f>
        <v>tidak balas</v>
      </c>
    </row>
    <row r="165">
      <c r="F165" s="285" t="str">
        <f>IFERROR(__xludf.DUMMYFUNCTION("""COMPUTED_VALUE"""),"2606D084")</f>
        <v>2606D084</v>
      </c>
      <c r="G165" s="286">
        <f>IFERROR(__xludf.DUMMYFUNCTION("""COMPUTED_VALUE"""),46184.0)</f>
        <v>46184</v>
      </c>
      <c r="H165" s="285" t="str">
        <f>IFERROR(__xludf.DUMMYFUNCTION("""COMPUTED_VALUE"""),"Selsia")</f>
        <v>Selsia</v>
      </c>
      <c r="I165" s="285" t="str">
        <f>IFERROR(__xludf.DUMMYFUNCTION("""COMPUTED_VALUE"""),"081330587777")</f>
        <v>081330587777</v>
      </c>
      <c r="J165" s="285" t="str">
        <f>IFERROR(__xludf.DUMMYFUNCTION("""COMPUTED_VALUE"""),"Leads Baru")</f>
        <v>Leads Baru</v>
      </c>
      <c r="K165" s="285" t="str">
        <f>IFERROR(__xludf.DUMMYFUNCTION("""COMPUTED_VALUE"""),"OT MT")</f>
        <v>OT MT</v>
      </c>
      <c r="L165" s="287">
        <f>IFERROR(__xludf.DUMMYFUNCTION("""COMPUTED_VALUE"""),46191.0)</f>
        <v>46191</v>
      </c>
      <c r="M165" s="288">
        <f>IFERROR(__xludf.DUMMYFUNCTION("""COMPUTED_VALUE"""),5.0)</f>
        <v>5</v>
      </c>
      <c r="N165" s="289"/>
      <c r="O165" s="290"/>
      <c r="P165" s="320"/>
      <c r="R165" s="285" t="str">
        <f>IFERROR(__xludf.DUMMYFUNCTION("""COMPUTED_VALUE"""),"2607D053")</f>
        <v>2607D053</v>
      </c>
      <c r="S165" s="286">
        <f>IFERROR(__xludf.DUMMYFUNCTION("""COMPUTED_VALUE"""),46210.0)</f>
        <v>46210</v>
      </c>
      <c r="T165" s="285" t="str">
        <f>IFERROR(__xludf.DUMMYFUNCTION("""COMPUTED_VALUE"""),"Ahzar")</f>
        <v>Ahzar</v>
      </c>
      <c r="U165" s="285" t="str">
        <f>IFERROR(__xludf.DUMMYFUNCTION("""COMPUTED_VALUE"""),"087720082441")</f>
        <v>087720082441</v>
      </c>
      <c r="V165" s="285" t="str">
        <f>IFERROR(__xludf.DUMMYFUNCTION("""COMPUTED_VALUE"""),"Closing")</f>
        <v>Closing</v>
      </c>
      <c r="W165" s="285" t="str">
        <f>IFERROR(__xludf.DUMMYFUNCTION("""COMPUTED_VALUE"""),"OT MT, Ijen")</f>
        <v>OT MT, Ijen</v>
      </c>
      <c r="X165" s="287"/>
      <c r="Y165" s="285">
        <f>IFERROR(__xludf.DUMMYFUNCTION("""COMPUTED_VALUE"""),1.0)</f>
        <v>1</v>
      </c>
      <c r="Z165" s="289">
        <f>IFERROR(__xludf.DUMMYFUNCTION("""COMPUTED_VALUE"""),650000.0)</f>
        <v>650000</v>
      </c>
      <c r="AA165" s="285" t="str">
        <f>IFERROR(__xludf.DUMMYFUNCTION("""COMPUTED_VALUE"""),"orrderrr")</f>
        <v>orrderrr</v>
      </c>
      <c r="AC165" s="285" t="str">
        <f>IFERROR(__xludf.DUMMYFUNCTION("""COMPUTED_VALUE"""),"2602D004")</f>
        <v>2602D004</v>
      </c>
      <c r="AD165" s="286">
        <f>IFERROR(__xludf.DUMMYFUNCTION("""COMPUTED_VALUE"""),46055.0)</f>
        <v>46055</v>
      </c>
      <c r="AE165" s="285" t="str">
        <f>IFERROR(__xludf.DUMMYFUNCTION("""COMPUTED_VALUE"""),"Ri")</f>
        <v>Ri</v>
      </c>
      <c r="AF165" s="285" t="str">
        <f>IFERROR(__xludf.DUMMYFUNCTION("""COMPUTED_VALUE"""),"083870229793")</f>
        <v>083870229793</v>
      </c>
      <c r="AG165" s="285" t="str">
        <f>IFERROR(__xludf.DUMMYFUNCTION("""COMPUTED_VALUE"""),"Gagal")</f>
        <v>Gagal</v>
      </c>
      <c r="AH165" s="285" t="str">
        <f>IFERROR(__xludf.DUMMYFUNCTION("""COMPUTED_VALUE""")," Custom 3H2M")</f>
        <v> Custom 3H2M</v>
      </c>
      <c r="AI165" s="287"/>
      <c r="AJ165" s="285">
        <f>IFERROR(__xludf.DUMMYFUNCTION("""COMPUTED_VALUE"""),3.0)</f>
        <v>3</v>
      </c>
      <c r="AK165" s="289">
        <f>IFERROR(__xludf.DUMMYFUNCTION("""COMPUTED_VALUE"""),6600000.0)</f>
        <v>6600000</v>
      </c>
      <c r="AL165" s="285" t="str">
        <f>IFERROR(__xludf.DUMMYFUNCTION("""COMPUTED_VALUE"""),"FU lagi 9 Mei")</f>
        <v>FU lagi 9 Mei</v>
      </c>
    </row>
    <row r="166">
      <c r="F166" s="285" t="str">
        <f>IFERROR(__xludf.DUMMYFUNCTION("""COMPUTED_VALUE"""),"2606D085")</f>
        <v>2606D085</v>
      </c>
      <c r="G166" s="286">
        <f>IFERROR(__xludf.DUMMYFUNCTION("""COMPUTED_VALUE"""),46184.0)</f>
        <v>46184</v>
      </c>
      <c r="H166" s="285" t="str">
        <f>IFERROR(__xludf.DUMMYFUNCTION("""COMPUTED_VALUE"""),"Binti888")</f>
        <v>Binti888</v>
      </c>
      <c r="I166" s="285" t="str">
        <f>IFERROR(__xludf.DUMMYFUNCTION("""COMPUTED_VALUE"""),"0859106908827")</f>
        <v>0859106908827</v>
      </c>
      <c r="J166" s="285" t="str">
        <f>IFERROR(__xludf.DUMMYFUNCTION("""COMPUTED_VALUE"""),"Leads Baru")</f>
        <v>Leads Baru</v>
      </c>
      <c r="K166" s="285" t="str">
        <f>IFERROR(__xludf.DUMMYFUNCTION("""COMPUTED_VALUE"""),"OT MT")</f>
        <v>OT MT</v>
      </c>
      <c r="L166" s="287"/>
      <c r="M166" s="288"/>
      <c r="N166" s="289"/>
      <c r="O166" s="290" t="str">
        <f>IFERROR(__xludf.DUMMYFUNCTION("""COMPUTED_VALUE"""),"tanya penjemputan dari sby")</f>
        <v>tanya penjemputan dari sby</v>
      </c>
      <c r="P166" s="320"/>
      <c r="R166" s="285" t="str">
        <f>IFERROR(__xludf.DUMMYFUNCTION("""COMPUTED_VALUE"""),"2607D061")</f>
        <v>2607D061</v>
      </c>
      <c r="S166" s="286">
        <f>IFERROR(__xludf.DUMMYFUNCTION("""COMPUTED_VALUE"""),46211.0)</f>
        <v>46211</v>
      </c>
      <c r="T166" s="285" t="str">
        <f>IFERROR(__xludf.DUMMYFUNCTION("""COMPUTED_VALUE"""),"Cella")</f>
        <v>Cella</v>
      </c>
      <c r="U166" s="285" t="str">
        <f>IFERROR(__xludf.DUMMYFUNCTION("""COMPUTED_VALUE"""),"087883955843")</f>
        <v>087883955843</v>
      </c>
      <c r="V166" s="285" t="str">
        <f>IFERROR(__xludf.DUMMYFUNCTION("""COMPUTED_VALUE"""),"Closing")</f>
        <v>Closing</v>
      </c>
      <c r="W166" s="285" t="str">
        <f>IFERROR(__xludf.DUMMYFUNCTION("""COMPUTED_VALUE"""),"3H2M")</f>
        <v>3H2M</v>
      </c>
      <c r="X166" s="287">
        <f>IFERROR(__xludf.DUMMYFUNCTION("""COMPUTED_VALUE"""),46221.0)</f>
        <v>46221</v>
      </c>
      <c r="Y166" s="285">
        <f>IFERROR(__xludf.DUMMYFUNCTION("""COMPUTED_VALUE"""),7.0)</f>
        <v>7</v>
      </c>
      <c r="Z166" s="289">
        <f>IFERROR(__xludf.DUMMYFUNCTION("""COMPUTED_VALUE"""),1.3045E7)</f>
        <v>13045000</v>
      </c>
      <c r="AA166" s="285" t="str">
        <f>IFERROR(__xludf.DUMMYFUNCTION("""COMPUTED_VALUE"""),"orrderrr")</f>
        <v>orrderrr</v>
      </c>
      <c r="AC166" s="285" t="str">
        <f>IFERROR(__xludf.DUMMYFUNCTION("""COMPUTED_VALUE"""),"2602D005")</f>
        <v>2602D005</v>
      </c>
      <c r="AD166" s="286">
        <f>IFERROR(__xludf.DUMMYFUNCTION("""COMPUTED_VALUE"""),46055.0)</f>
        <v>46055</v>
      </c>
      <c r="AE166" s="285" t="str">
        <f>IFERROR(__xludf.DUMMYFUNCTION("""COMPUTED_VALUE"""),"Rochmad99")</f>
        <v>Rochmad99</v>
      </c>
      <c r="AF166" s="285" t="str">
        <f>IFERROR(__xludf.DUMMYFUNCTION("""COMPUTED_VALUE"""),"081351474899")</f>
        <v>081351474899</v>
      </c>
      <c r="AG166" s="285" t="str">
        <f>IFERROR(__xludf.DUMMYFUNCTION("""COMPUTED_VALUE"""),"Gagal")</f>
        <v>Gagal</v>
      </c>
      <c r="AH166" s="285" t="str">
        <f>IFERROR(__xludf.DUMMYFUNCTION("""COMPUTED_VALUE"""),"Trip MT")</f>
        <v>Trip MT</v>
      </c>
      <c r="AI166" s="287"/>
      <c r="AJ166" s="285">
        <f>IFERROR(__xludf.DUMMYFUNCTION("""COMPUTED_VALUE"""),5.0)</f>
        <v>5</v>
      </c>
      <c r="AK166" s="289"/>
      <c r="AL166" s="285" t="str">
        <f>IFERROR(__xludf.DUMMYFUNCTION("""COMPUTED_VALUE"""),"anaknya sdh ikut trip")</f>
        <v>anaknya sdh ikut trip</v>
      </c>
    </row>
    <row r="167">
      <c r="F167" s="285" t="str">
        <f>IFERROR(__xludf.DUMMYFUNCTION("""COMPUTED_VALUE"""),"2606D087")</f>
        <v>2606D087</v>
      </c>
      <c r="G167" s="286">
        <f>IFERROR(__xludf.DUMMYFUNCTION("""COMPUTED_VALUE"""),46184.0)</f>
        <v>46184</v>
      </c>
      <c r="H167" s="285" t="str">
        <f>IFERROR(__xludf.DUMMYFUNCTION("""COMPUTED_VALUE"""),"Sazali")</f>
        <v>Sazali</v>
      </c>
      <c r="I167" s="285" t="str">
        <f>IFERROR(__xludf.DUMMYFUNCTION("""COMPUTED_VALUE"""),"081266359190")</f>
        <v>081266359190</v>
      </c>
      <c r="J167" s="285" t="str">
        <f>IFERROR(__xludf.DUMMYFUNCTION("""COMPUTED_VALUE"""),"Leads Baru")</f>
        <v>Leads Baru</v>
      </c>
      <c r="K167" s="285" t="str">
        <f>IFERROR(__xludf.DUMMYFUNCTION("""COMPUTED_VALUE"""),"4h3m custome")</f>
        <v>4h3m custome</v>
      </c>
      <c r="L167" s="287">
        <f>IFERROR(__xludf.DUMMYFUNCTION("""COMPUTED_VALUE"""),46195.0)</f>
        <v>46195</v>
      </c>
      <c r="M167" s="288">
        <f>IFERROR(__xludf.DUMMYFUNCTION("""COMPUTED_VALUE"""),3.0)</f>
        <v>3</v>
      </c>
      <c r="N167" s="289"/>
      <c r="O167" s="290" t="str">
        <f>IFERROR(__xludf.DUMMYFUNCTION("""COMPUTED_VALUE"""),"FU 17 Juni")</f>
        <v>FU 17 Juni</v>
      </c>
      <c r="P167" s="320"/>
      <c r="R167" s="285" t="str">
        <f>IFERROR(__xludf.DUMMYFUNCTION("""COMPUTED_VALUE"""),"2607D082")</f>
        <v>2607D082</v>
      </c>
      <c r="S167" s="286">
        <f>IFERROR(__xludf.DUMMYFUNCTION("""COMPUTED_VALUE"""),46213.0)</f>
        <v>46213</v>
      </c>
      <c r="T167" s="285" t="str">
        <f>IFERROR(__xludf.DUMMYFUNCTION("""COMPUTED_VALUE"""),"Mima")</f>
        <v>Mima</v>
      </c>
      <c r="U167" s="285" t="str">
        <f>IFERROR(__xludf.DUMMYFUNCTION("""COMPUTED_VALUE"""),"085190344454")</f>
        <v>085190344454</v>
      </c>
      <c r="V167" s="285" t="str">
        <f>IFERROR(__xludf.DUMMYFUNCTION("""COMPUTED_VALUE"""),"Closing")</f>
        <v>Closing</v>
      </c>
      <c r="W167" s="285" t="str">
        <f>IFERROR(__xludf.DUMMYFUNCTION("""COMPUTED_VALUE"""),"1 day Menjangan Baluran")</f>
        <v>1 day Menjangan Baluran</v>
      </c>
      <c r="X167" s="287">
        <f>IFERROR(__xludf.DUMMYFUNCTION("""COMPUTED_VALUE"""),46215.0)</f>
        <v>46215</v>
      </c>
      <c r="Y167" s="285">
        <f>IFERROR(__xludf.DUMMYFUNCTION("""COMPUTED_VALUE"""),4.0)</f>
        <v>4</v>
      </c>
      <c r="Z167" s="289">
        <f>IFERROR(__xludf.DUMMYFUNCTION("""COMPUTED_VALUE"""),3480000.0)</f>
        <v>3480000</v>
      </c>
      <c r="AA167" s="285" t="str">
        <f>IFERROR(__xludf.DUMMYFUNCTION("""COMPUTED_VALUE"""),"alhamdulillah orderr")</f>
        <v>alhamdulillah orderr</v>
      </c>
      <c r="AC167" s="285" t="str">
        <f>IFERROR(__xludf.DUMMYFUNCTION("""COMPUTED_VALUE"""),"2602D006")</f>
        <v>2602D006</v>
      </c>
      <c r="AD167" s="286">
        <f>IFERROR(__xludf.DUMMYFUNCTION("""COMPUTED_VALUE"""),46055.0)</f>
        <v>46055</v>
      </c>
      <c r="AE167" s="285" t="str">
        <f>IFERROR(__xludf.DUMMYFUNCTION("""COMPUTED_VALUE"""),"De De")</f>
        <v>De De</v>
      </c>
      <c r="AF167" s="285" t="str">
        <f>IFERROR(__xludf.DUMMYFUNCTION("""COMPUTED_VALUE"""),"41796833424")</f>
        <v>41796833424</v>
      </c>
      <c r="AG167" s="285" t="str">
        <f>IFERROR(__xludf.DUMMYFUNCTION("""COMPUTED_VALUE"""),"Gagal")</f>
        <v>Gagal</v>
      </c>
      <c r="AH167" s="285" t="str">
        <f>IFERROR(__xludf.DUMMYFUNCTION("""COMPUTED_VALUE"""),"Trip Teluk Hijau")</f>
        <v>Trip Teluk Hijau</v>
      </c>
      <c r="AI167" s="287">
        <f>IFERROR(__xludf.DUMMYFUNCTION("""COMPUTED_VALUE"""),46057.0)</f>
        <v>46057</v>
      </c>
      <c r="AJ167" s="285">
        <f>IFERROR(__xludf.DUMMYFUNCTION("""COMPUTED_VALUE"""),2.0)</f>
        <v>2</v>
      </c>
      <c r="AK167" s="289"/>
      <c r="AL167" s="285" t="str">
        <f>IFERROR(__xludf.DUMMYFUNCTION("""COMPUTED_VALUE"""),"masalah tf dan hnya bisa tgl 4 feb")</f>
        <v>masalah tf dan hnya bisa tgl 4 feb</v>
      </c>
    </row>
    <row r="168">
      <c r="F168" s="285" t="str">
        <f>IFERROR(__xludf.DUMMYFUNCTION("""COMPUTED_VALUE"""),"2606D089")</f>
        <v>2606D089</v>
      </c>
      <c r="G168" s="286">
        <f>IFERROR(__xludf.DUMMYFUNCTION("""COMPUTED_VALUE"""),46184.0)</f>
        <v>46184</v>
      </c>
      <c r="H168" s="285" t="str">
        <f>IFERROR(__xludf.DUMMYFUNCTION("""COMPUTED_VALUE"""),"Ade Sutiana DSLNG")</f>
        <v>Ade Sutiana DSLNG</v>
      </c>
      <c r="I168" s="285" t="str">
        <f>IFERROR(__xludf.DUMMYFUNCTION("""COMPUTED_VALUE"""),"081287449580")</f>
        <v>081287449580</v>
      </c>
      <c r="J168" s="285" t="str">
        <f>IFERROR(__xludf.DUMMYFUNCTION("""COMPUTED_VALUE"""),"Leads Baru")</f>
        <v>Leads Baru</v>
      </c>
      <c r="K168" s="285"/>
      <c r="L168" s="287"/>
      <c r="M168" s="288"/>
      <c r="N168" s="289"/>
      <c r="O168" s="290"/>
      <c r="P168" s="320"/>
      <c r="R168" s="285" t="str">
        <f>IFERROR(__xludf.DUMMYFUNCTION("""COMPUTED_VALUE"""),"2607D087")</f>
        <v>2607D087</v>
      </c>
      <c r="S168" s="286">
        <f>IFERROR(__xludf.DUMMYFUNCTION("""COMPUTED_VALUE"""),46224.0)</f>
        <v>46224</v>
      </c>
      <c r="T168" s="285" t="str">
        <f>IFERROR(__xludf.DUMMYFUNCTION("""COMPUTED_VALUE"""),"Noverio")</f>
        <v>Noverio</v>
      </c>
      <c r="U168" s="285" t="str">
        <f>IFERROR(__xludf.DUMMYFUNCTION("""COMPUTED_VALUE"""),"081336078001")</f>
        <v>081336078001</v>
      </c>
      <c r="V168" s="285" t="str">
        <f>IFERROR(__xludf.DUMMYFUNCTION("""COMPUTED_VALUE"""),"Closing")</f>
        <v>Closing</v>
      </c>
      <c r="W168" s="285" t="str">
        <f>IFERROR(__xludf.DUMMYFUNCTION("""COMPUTED_VALUE"""),"private Ijen")</f>
        <v>private Ijen</v>
      </c>
      <c r="X168" s="287">
        <f>IFERROR(__xludf.DUMMYFUNCTION("""COMPUTED_VALUE"""),46221.0)</f>
        <v>46221</v>
      </c>
      <c r="Y168" s="285">
        <f>IFERROR(__xludf.DUMMYFUNCTION("""COMPUTED_VALUE"""),2.0)</f>
        <v>2</v>
      </c>
      <c r="Z168" s="289">
        <f>IFERROR(__xludf.DUMMYFUNCTION("""COMPUTED_VALUE"""),1228000.0)</f>
        <v>1228000</v>
      </c>
      <c r="AA168" s="285" t="str">
        <f>IFERROR(__xludf.DUMMYFUNCTION("""COMPUTED_VALUE"""),"orrderrr")</f>
        <v>orrderrr</v>
      </c>
      <c r="AC168" s="285" t="str">
        <f>IFERROR(__xludf.DUMMYFUNCTION("""COMPUTED_VALUE"""),"2602D007")</f>
        <v>2602D007</v>
      </c>
      <c r="AD168" s="286">
        <f>IFERROR(__xludf.DUMMYFUNCTION("""COMPUTED_VALUE"""),46055.0)</f>
        <v>46055</v>
      </c>
      <c r="AE168" s="285" t="str">
        <f>IFERROR(__xludf.DUMMYFUNCTION("""COMPUTED_VALUE"""),"Zilzi Zade")</f>
        <v>Zilzi Zade</v>
      </c>
      <c r="AF168" s="285" t="str">
        <f>IFERROR(__xludf.DUMMYFUNCTION("""COMPUTED_VALUE"""),"085524718925")</f>
        <v>085524718925</v>
      </c>
      <c r="AG168" s="285" t="str">
        <f>IFERROR(__xludf.DUMMYFUNCTION("""COMPUTED_VALUE"""),"Gagal")</f>
        <v>Gagal</v>
      </c>
      <c r="AH168" s="285" t="str">
        <f>IFERROR(__xludf.DUMMYFUNCTION("""COMPUTED_VALUE"""),"4H3M, OT")</f>
        <v>4H3M, OT</v>
      </c>
      <c r="AI168" s="287"/>
      <c r="AJ168" s="285"/>
      <c r="AK168" s="289"/>
      <c r="AL168" s="285" t="str">
        <f>IFERROR(__xludf.DUMMYFUNCTION("""COMPUTED_VALUE"""),"waktunya belum jelas")</f>
        <v>waktunya belum jelas</v>
      </c>
    </row>
    <row r="169">
      <c r="F169" s="285" t="str">
        <f>IFERROR(__xludf.DUMMYFUNCTION("""COMPUTED_VALUE"""),"2606D090")</f>
        <v>2606D090</v>
      </c>
      <c r="G169" s="286">
        <f>IFERROR(__xludf.DUMMYFUNCTION("""COMPUTED_VALUE"""),46184.0)</f>
        <v>46184</v>
      </c>
      <c r="H169" s="285" t="str">
        <f>IFERROR(__xludf.DUMMYFUNCTION("""COMPUTED_VALUE"""),"Devinia Angela")</f>
        <v>Devinia Angela</v>
      </c>
      <c r="I169" s="285" t="str">
        <f>IFERROR(__xludf.DUMMYFUNCTION("""COMPUTED_VALUE"""),"081347932039")</f>
        <v>081347932039</v>
      </c>
      <c r="J169" s="285" t="str">
        <f>IFERROR(__xludf.DUMMYFUNCTION("""COMPUTED_VALUE"""),"Leads Baru")</f>
        <v>Leads Baru</v>
      </c>
      <c r="K169" s="285" t="str">
        <f>IFERROR(__xludf.DUMMYFUNCTION("""COMPUTED_VALUE"""),"OT Djabal, MT, GI")</f>
        <v>OT Djabal, MT, GI</v>
      </c>
      <c r="L169" s="287"/>
      <c r="M169" s="288">
        <f>IFERROR(__xludf.DUMMYFUNCTION("""COMPUTED_VALUE"""),2.0)</f>
        <v>2</v>
      </c>
      <c r="N169" s="289"/>
      <c r="O169" s="290"/>
      <c r="P169" s="320"/>
      <c r="R169" s="285" t="str">
        <f>IFERROR(__xludf.DUMMYFUNCTION("""COMPUTED_VALUE"""),"2607D091")</f>
        <v>2607D091</v>
      </c>
      <c r="S169" s="286">
        <f>IFERROR(__xludf.DUMMYFUNCTION("""COMPUTED_VALUE"""),46218.0)</f>
        <v>46218</v>
      </c>
      <c r="T169" s="285" t="str">
        <f>IFERROR(__xludf.DUMMYFUNCTION("""COMPUTED_VALUE"""),"Dira")</f>
        <v>Dira</v>
      </c>
      <c r="U169" s="285" t="str">
        <f>IFERROR(__xludf.DUMMYFUNCTION("""COMPUTED_VALUE"""),"081285913069")</f>
        <v>081285913069</v>
      </c>
      <c r="V169" s="285" t="str">
        <f>IFERROR(__xludf.DUMMYFUNCTION("""COMPUTED_VALUE"""),"Closing")</f>
        <v>Closing</v>
      </c>
      <c r="W169" s="285" t="str">
        <f>IFERROR(__xludf.DUMMYFUNCTION("""COMPUTED_VALUE"""),"OT MT, OT Ijen")</f>
        <v>OT MT, OT Ijen</v>
      </c>
      <c r="X169" s="287"/>
      <c r="Y169" s="285">
        <f>IFERROR(__xludf.DUMMYFUNCTION("""COMPUTED_VALUE"""),2.0)</f>
        <v>2</v>
      </c>
      <c r="Z169" s="289">
        <f>IFERROR(__xludf.DUMMYFUNCTION("""COMPUTED_VALUE"""),1050000.0)</f>
        <v>1050000</v>
      </c>
      <c r="AA169" s="285" t="str">
        <f>IFERROR(__xludf.DUMMYFUNCTION("""COMPUTED_VALUE"""),"yess orrderr")</f>
        <v>yess orrderr</v>
      </c>
      <c r="AC169" s="285" t="str">
        <f>IFERROR(__xludf.DUMMYFUNCTION("""COMPUTED_VALUE"""),"2602D009")</f>
        <v>2602D009</v>
      </c>
      <c r="AD169" s="286">
        <f>IFERROR(__xludf.DUMMYFUNCTION("""COMPUTED_VALUE"""),46055.0)</f>
        <v>46055</v>
      </c>
      <c r="AE169" s="285" t="str">
        <f>IFERROR(__xludf.DUMMYFUNCTION("""COMPUTED_VALUE"""),"Nailah Putri")</f>
        <v>Nailah Putri</v>
      </c>
      <c r="AF169" s="285" t="str">
        <f>IFERROR(__xludf.DUMMYFUNCTION("""COMPUTED_VALUE"""),"085725704196")</f>
        <v>085725704196</v>
      </c>
      <c r="AG169" s="285" t="str">
        <f>IFERROR(__xludf.DUMMYFUNCTION("""COMPUTED_VALUE"""),"Gagal")</f>
        <v>Gagal</v>
      </c>
      <c r="AH169" s="285"/>
      <c r="AI169" s="287"/>
      <c r="AJ169" s="285"/>
      <c r="AK169" s="289"/>
      <c r="AL169" s="285" t="str">
        <f>IFERROR(__xludf.DUMMYFUNCTION("""COMPUTED_VALUE"""),"tidak ada jawaban")</f>
        <v>tidak ada jawaban</v>
      </c>
    </row>
    <row r="170">
      <c r="F170" s="285" t="str">
        <f>IFERROR(__xludf.DUMMYFUNCTION("""COMPUTED_VALUE"""),"2606D091")</f>
        <v>2606D091</v>
      </c>
      <c r="G170" s="286">
        <f>IFERROR(__xludf.DUMMYFUNCTION("""COMPUTED_VALUE"""),46184.0)</f>
        <v>46184</v>
      </c>
      <c r="H170" s="285" t="str">
        <f>IFERROR(__xludf.DUMMYFUNCTION("""COMPUTED_VALUE"""),"Carrensca Wahyudi")</f>
        <v>Carrensca Wahyudi</v>
      </c>
      <c r="I170" s="285" t="str">
        <f>IFERROR(__xludf.DUMMYFUNCTION("""COMPUTED_VALUE"""),"085715343590")</f>
        <v>085715343590</v>
      </c>
      <c r="J170" s="285" t="str">
        <f>IFERROR(__xludf.DUMMYFUNCTION("""COMPUTED_VALUE"""),"Leads Baru")</f>
        <v>Leads Baru</v>
      </c>
      <c r="K170" s="285" t="str">
        <f>IFERROR(__xludf.DUMMYFUNCTION("""COMPUTED_VALUE"""),"2h1m opsi B")</f>
        <v>2h1m opsi B</v>
      </c>
      <c r="L170" s="287"/>
      <c r="M170" s="288">
        <f>IFERROR(__xludf.DUMMYFUNCTION("""COMPUTED_VALUE"""),46083.0)</f>
        <v>46083</v>
      </c>
      <c r="N170" s="289"/>
      <c r="O170" s="290"/>
      <c r="P170" s="320"/>
      <c r="R170" s="285" t="str">
        <f>IFERROR(__xludf.DUMMYFUNCTION("""COMPUTED_VALUE"""),"2607D108")</f>
        <v>2607D108</v>
      </c>
      <c r="S170" s="286">
        <f>IFERROR(__xludf.DUMMYFUNCTION("""COMPUTED_VALUE"""),46219.0)</f>
        <v>46219</v>
      </c>
      <c r="T170" s="285" t="str">
        <f>IFERROR(__xludf.DUMMYFUNCTION("""COMPUTED_VALUE"""),"Ali Juwaidi")</f>
        <v>Ali Juwaidi</v>
      </c>
      <c r="U170" s="285" t="str">
        <f>IFERROR(__xludf.DUMMYFUNCTION("""COMPUTED_VALUE"""),"081252217698")</f>
        <v>081252217698</v>
      </c>
      <c r="V170" s="285" t="str">
        <f>IFERROR(__xludf.DUMMYFUNCTION("""COMPUTED_VALUE"""),"Closing")</f>
        <v>Closing</v>
      </c>
      <c r="W170" s="285" t="str">
        <f>IFERROR(__xludf.DUMMYFUNCTION("""COMPUTED_VALUE"""),"OT MT")</f>
        <v>OT MT</v>
      </c>
      <c r="X170" s="287">
        <f>IFERROR(__xludf.DUMMYFUNCTION("""COMPUTED_VALUE"""),46239.0)</f>
        <v>46239</v>
      </c>
      <c r="Y170" s="285">
        <f>IFERROR(__xludf.DUMMYFUNCTION("""COMPUTED_VALUE"""),2.0)</f>
        <v>2</v>
      </c>
      <c r="Z170" s="289">
        <f>IFERROR(__xludf.DUMMYFUNCTION("""COMPUTED_VALUE"""),800000.0)</f>
        <v>800000</v>
      </c>
      <c r="AA170" s="285" t="str">
        <f>IFERROR(__xludf.DUMMYFUNCTION("""COMPUTED_VALUE"""),"orrderrr")</f>
        <v>orrderrr</v>
      </c>
      <c r="AC170" s="285" t="str">
        <f>IFERROR(__xludf.DUMMYFUNCTION("""COMPUTED_VALUE"""),"2602D011")</f>
        <v>2602D011</v>
      </c>
      <c r="AD170" s="286">
        <f>IFERROR(__xludf.DUMMYFUNCTION("""COMPUTED_VALUE"""),46056.0)</f>
        <v>46056</v>
      </c>
      <c r="AE170" s="285" t="str">
        <f>IFERROR(__xludf.DUMMYFUNCTION("""COMPUTED_VALUE"""),"Fadilla Riesty")</f>
        <v>Fadilla Riesty</v>
      </c>
      <c r="AF170" s="285" t="str">
        <f>IFERROR(__xludf.DUMMYFUNCTION("""COMPUTED_VALUE"""),"085800484767")</f>
        <v>085800484767</v>
      </c>
      <c r="AG170" s="285" t="str">
        <f>IFERROR(__xludf.DUMMYFUNCTION("""COMPUTED_VALUE"""),"Gagal")</f>
        <v>Gagal</v>
      </c>
      <c r="AH170" s="285" t="str">
        <f>IFERROR(__xludf.DUMMYFUNCTION("""COMPUTED_VALUE"""),"4H3M")</f>
        <v>4H3M</v>
      </c>
      <c r="AI170" s="287"/>
      <c r="AJ170" s="285"/>
      <c r="AK170" s="289"/>
      <c r="AL170" s="285" t="str">
        <f>IFERROR(__xludf.DUMMYFUNCTION("""COMPUTED_VALUE"""),"tidak ada jawaban")</f>
        <v>tidak ada jawaban</v>
      </c>
    </row>
    <row r="171">
      <c r="F171" s="285" t="str">
        <f>IFERROR(__xludf.DUMMYFUNCTION("""COMPUTED_VALUE"""),"2606D092")</f>
        <v>2606D092</v>
      </c>
      <c r="G171" s="286">
        <f>IFERROR(__xludf.DUMMYFUNCTION("""COMPUTED_VALUE"""),46184.0)</f>
        <v>46184</v>
      </c>
      <c r="H171" s="285" t="str">
        <f>IFERROR(__xludf.DUMMYFUNCTION("""COMPUTED_VALUE"""),"An")</f>
        <v>An</v>
      </c>
      <c r="I171" s="285" t="str">
        <f>IFERROR(__xludf.DUMMYFUNCTION("""COMPUTED_VALUE"""),"085886299576")</f>
        <v>085886299576</v>
      </c>
      <c r="J171" s="285" t="str">
        <f>IFERROR(__xludf.DUMMYFUNCTION("""COMPUTED_VALUE"""),"Leads Baru")</f>
        <v>Leads Baru</v>
      </c>
      <c r="K171" s="285"/>
      <c r="L171" s="287"/>
      <c r="M171" s="288"/>
      <c r="N171" s="289"/>
      <c r="O171" s="290" t="str">
        <f>IFERROR(__xludf.DUMMYFUNCTION("""COMPUTED_VALUE"""),"baru menyapa")</f>
        <v>baru menyapa</v>
      </c>
      <c r="P171" s="320"/>
      <c r="R171" s="285" t="str">
        <f>IFERROR(__xludf.DUMMYFUNCTION("""COMPUTED_VALUE"""),"2607D109")</f>
        <v>2607D109</v>
      </c>
      <c r="S171" s="286">
        <f>IFERROR(__xludf.DUMMYFUNCTION("""COMPUTED_VALUE"""),46219.0)</f>
        <v>46219</v>
      </c>
      <c r="T171" s="285" t="str">
        <f>IFERROR(__xludf.DUMMYFUNCTION("""COMPUTED_VALUE"""),"Shalma Anggia")</f>
        <v>Shalma Anggia</v>
      </c>
      <c r="U171" s="285" t="str">
        <f>IFERROR(__xludf.DUMMYFUNCTION("""COMPUTED_VALUE"""),"082122226660")</f>
        <v>082122226660</v>
      </c>
      <c r="V171" s="285" t="str">
        <f>IFERROR(__xludf.DUMMYFUNCTION("""COMPUTED_VALUE"""),"Closing")</f>
        <v>Closing</v>
      </c>
      <c r="W171" s="285" t="str">
        <f>IFERROR(__xludf.DUMMYFUNCTION("""COMPUTED_VALUE"""),"OT 3h2m")</f>
        <v>OT 3h2m</v>
      </c>
      <c r="X171" s="287">
        <f>IFERROR(__xludf.DUMMYFUNCTION("""COMPUTED_VALUE"""),46265.0)</f>
        <v>46265</v>
      </c>
      <c r="Y171" s="285">
        <f>IFERROR(__xludf.DUMMYFUNCTION("""COMPUTED_VALUE"""),2.0)</f>
        <v>2</v>
      </c>
      <c r="Z171" s="289">
        <f>IFERROR(__xludf.DUMMYFUNCTION("""COMPUTED_VALUE"""),3200000.0)</f>
        <v>3200000</v>
      </c>
      <c r="AA171" s="285" t="str">
        <f>IFERROR(__xludf.DUMMYFUNCTION("""COMPUTED_VALUE"""),"alhamdulillah orderr")</f>
        <v>alhamdulillah orderr</v>
      </c>
      <c r="AC171" s="285" t="str">
        <f>IFERROR(__xludf.DUMMYFUNCTION("""COMPUTED_VALUE"""),"2602D012")</f>
        <v>2602D012</v>
      </c>
      <c r="AD171" s="286">
        <f>IFERROR(__xludf.DUMMYFUNCTION("""COMPUTED_VALUE"""),46056.0)</f>
        <v>46056</v>
      </c>
      <c r="AE171" s="285" t="str">
        <f>IFERROR(__xludf.DUMMYFUNCTION("""COMPUTED_VALUE"""),"Novita Utami")</f>
        <v>Novita Utami</v>
      </c>
      <c r="AF171" s="285" t="str">
        <f>IFERROR(__xludf.DUMMYFUNCTION("""COMPUTED_VALUE"""),"0818171194")</f>
        <v>0818171194</v>
      </c>
      <c r="AG171" s="285" t="str">
        <f>IFERROR(__xludf.DUMMYFUNCTION("""COMPUTED_VALUE"""),"Gagal")</f>
        <v>Gagal</v>
      </c>
      <c r="AH171" s="285" t="str">
        <f>IFERROR(__xludf.DUMMYFUNCTION("""COMPUTED_VALUE"""),"4H3M")</f>
        <v>4H3M</v>
      </c>
      <c r="AI171" s="287"/>
      <c r="AJ171" s="285">
        <f>IFERROR(__xludf.DUMMYFUNCTION("""COMPUTED_VALUE"""),19.0)</f>
        <v>19</v>
      </c>
      <c r="AK171" s="289"/>
      <c r="AL171" s="285" t="str">
        <f>IFERROR(__xludf.DUMMYFUNCTION("""COMPUTED_VALUE"""),"ingin incl hotel saat highseason")</f>
        <v>ingin incl hotel saat highseason</v>
      </c>
    </row>
    <row r="172">
      <c r="F172" s="285" t="str">
        <f>IFERROR(__xludf.DUMMYFUNCTION("""COMPUTED_VALUE"""),"2606D093")</f>
        <v>2606D093</v>
      </c>
      <c r="G172" s="286">
        <f>IFERROR(__xludf.DUMMYFUNCTION("""COMPUTED_VALUE"""),46184.0)</f>
        <v>46184</v>
      </c>
      <c r="H172" s="285" t="str">
        <f>IFERROR(__xludf.DUMMYFUNCTION("""COMPUTED_VALUE"""),"Lidya Vera")</f>
        <v>Lidya Vera</v>
      </c>
      <c r="I172" s="285" t="str">
        <f>IFERROR(__xludf.DUMMYFUNCTION("""COMPUTED_VALUE"""),"089633369059")</f>
        <v>089633369059</v>
      </c>
      <c r="J172" s="285" t="str">
        <f>IFERROR(__xludf.DUMMYFUNCTION("""COMPUTED_VALUE"""),"Leads Baru")</f>
        <v>Leads Baru</v>
      </c>
      <c r="K172" s="285"/>
      <c r="L172" s="287"/>
      <c r="M172" s="288"/>
      <c r="N172" s="289"/>
      <c r="O172" s="290" t="str">
        <f>IFERROR(__xludf.DUMMYFUNCTION("""COMPUTED_VALUE"""),"tanya beda 3h2m opsi a&amp;b")</f>
        <v>tanya beda 3h2m opsi a&amp;b</v>
      </c>
      <c r="P172" s="320"/>
      <c r="R172" s="285" t="str">
        <f>IFERROR(__xludf.DUMMYFUNCTION("""COMPUTED_VALUE"""),"2607D127")</f>
        <v>2607D127</v>
      </c>
      <c r="S172" s="286">
        <f>IFERROR(__xludf.DUMMYFUNCTION("""COMPUTED_VALUE"""),46222.0)</f>
        <v>46222</v>
      </c>
      <c r="T172" s="285" t="str">
        <f>IFERROR(__xludf.DUMMYFUNCTION("""COMPUTED_VALUE"""),"Mutmainah")</f>
        <v>Mutmainah</v>
      </c>
      <c r="U172" s="285" t="str">
        <f>IFERROR(__xludf.DUMMYFUNCTION("""COMPUTED_VALUE"""),"081329340619")</f>
        <v>081329340619</v>
      </c>
      <c r="V172" s="285" t="str">
        <f>IFERROR(__xludf.DUMMYFUNCTION("""COMPUTED_VALUE"""),"Closing")</f>
        <v>Closing</v>
      </c>
      <c r="W172" s="285" t="str">
        <f>IFERROR(__xludf.DUMMYFUNCTION("""COMPUTED_VALUE"""),"3H2M custome")</f>
        <v>3H2M custome</v>
      </c>
      <c r="X172" s="287">
        <f>IFERROR(__xludf.DUMMYFUNCTION("""COMPUTED_VALUE"""),46233.0)</f>
        <v>46233</v>
      </c>
      <c r="Y172" s="285">
        <f>IFERROR(__xludf.DUMMYFUNCTION("""COMPUTED_VALUE"""),4.0)</f>
        <v>4</v>
      </c>
      <c r="Z172" s="289">
        <f>IFERROR(__xludf.DUMMYFUNCTION("""COMPUTED_VALUE"""),9900000.0)</f>
        <v>9900000</v>
      </c>
      <c r="AA172" s="285" t="str">
        <f>IFERROR(__xludf.DUMMYFUNCTION("""COMPUTED_VALUE"""),"orderrr, teman ilmi ahmad")</f>
        <v>orderrr, teman ilmi ahmad</v>
      </c>
      <c r="AC172" s="285" t="str">
        <f>IFERROR(__xludf.DUMMYFUNCTION("""COMPUTED_VALUE"""),"2602D013")</f>
        <v>2602D013</v>
      </c>
      <c r="AD172" s="286">
        <f>IFERROR(__xludf.DUMMYFUNCTION("""COMPUTED_VALUE"""),46057.0)</f>
        <v>46057</v>
      </c>
      <c r="AE172" s="285" t="str">
        <f>IFERROR(__xludf.DUMMYFUNCTION("""COMPUTED_VALUE"""),"Andika Savira")</f>
        <v>Andika Savira</v>
      </c>
      <c r="AF172" s="285" t="str">
        <f>IFERROR(__xludf.DUMMYFUNCTION("""COMPUTED_VALUE"""),"082336252464")</f>
        <v>082336252464</v>
      </c>
      <c r="AG172" s="285" t="str">
        <f>IFERROR(__xludf.DUMMYFUNCTION("""COMPUTED_VALUE"""),"Gagal")</f>
        <v>Gagal</v>
      </c>
      <c r="AH172" s="285"/>
      <c r="AI172" s="287"/>
      <c r="AJ172" s="285"/>
      <c r="AK172" s="289"/>
      <c r="AL172" s="285" t="str">
        <f>IFERROR(__xludf.DUMMYFUNCTION("""COMPUTED_VALUE"""),"tidak ada informasi lanjut dari temannya yg ingin pesan")</f>
        <v>tidak ada informasi lanjut dari temannya yg ingin pesan</v>
      </c>
    </row>
    <row r="173">
      <c r="F173" s="285" t="str">
        <f>IFERROR(__xludf.DUMMYFUNCTION("""COMPUTED_VALUE"""),"2606D095")</f>
        <v>2606D095</v>
      </c>
      <c r="G173" s="286">
        <f>IFERROR(__xludf.DUMMYFUNCTION("""COMPUTED_VALUE"""),46185.0)</f>
        <v>46185</v>
      </c>
      <c r="H173" s="285" t="str">
        <f>IFERROR(__xludf.DUMMYFUNCTION("""COMPUTED_VALUE"""),"Nur Khamid")</f>
        <v>Nur Khamid</v>
      </c>
      <c r="I173" s="285" t="str">
        <f>IFERROR(__xludf.DUMMYFUNCTION("""COMPUTED_VALUE"""),"085236225100")</f>
        <v>085236225100</v>
      </c>
      <c r="J173" s="285" t="str">
        <f>IFERROR(__xludf.DUMMYFUNCTION("""COMPUTED_VALUE"""),"Leads Baru")</f>
        <v>Leads Baru</v>
      </c>
      <c r="K173" s="285" t="str">
        <f>IFERROR(__xludf.DUMMYFUNCTION("""COMPUTED_VALUE"""),"4h3m")</f>
        <v>4h3m</v>
      </c>
      <c r="L173" s="287"/>
      <c r="M173" s="288">
        <f>IFERROR(__xludf.DUMMYFUNCTION("""COMPUTED_VALUE"""),2.0)</f>
        <v>2</v>
      </c>
      <c r="N173" s="289"/>
      <c r="O173" s="290" t="str">
        <f>IFERROR(__xludf.DUMMYFUNCTION("""COMPUTED_VALUE"""),"FU 16 Juni")</f>
        <v>FU 16 Juni</v>
      </c>
      <c r="P173" s="320"/>
      <c r="R173" s="285" t="str">
        <f>IFERROR(__xludf.DUMMYFUNCTION("""COMPUTED_VALUE"""),"2607D128")</f>
        <v>2607D128</v>
      </c>
      <c r="S173" s="286">
        <f>IFERROR(__xludf.DUMMYFUNCTION("""COMPUTED_VALUE"""),46223.0)</f>
        <v>46223</v>
      </c>
      <c r="T173" s="285" t="str">
        <f>IFERROR(__xludf.DUMMYFUNCTION("""COMPUTED_VALUE"""),"Nadya Alda")</f>
        <v>Nadya Alda</v>
      </c>
      <c r="U173" s="285" t="str">
        <f>IFERROR(__xludf.DUMMYFUNCTION("""COMPUTED_VALUE"""),"081273136571")</f>
        <v>081273136571</v>
      </c>
      <c r="V173" s="285" t="str">
        <f>IFERROR(__xludf.DUMMYFUNCTION("""COMPUTED_VALUE"""),"Closing")</f>
        <v>Closing</v>
      </c>
      <c r="W173" s="285" t="str">
        <f>IFERROR(__xludf.DUMMYFUNCTION("""COMPUTED_VALUE"""),"OT MT  ")</f>
        <v>OT MT  </v>
      </c>
      <c r="X173" s="287">
        <f>IFERROR(__xludf.DUMMYFUNCTION("""COMPUTED_VALUE"""),46226.0)</f>
        <v>46226</v>
      </c>
      <c r="Y173" s="285">
        <f>IFERROR(__xludf.DUMMYFUNCTION("""COMPUTED_VALUE"""),2.0)</f>
        <v>2</v>
      </c>
      <c r="Z173" s="289">
        <f>IFERROR(__xludf.DUMMYFUNCTION("""COMPUTED_VALUE"""),800000.0)</f>
        <v>800000</v>
      </c>
      <c r="AA173" s="285" t="str">
        <f>IFERROR(__xludf.DUMMYFUNCTION("""COMPUTED_VALUE"""),"orrderrr")</f>
        <v>orrderrr</v>
      </c>
      <c r="AC173" s="285" t="str">
        <f>IFERROR(__xludf.DUMMYFUNCTION("""COMPUTED_VALUE"""),"2602D014")</f>
        <v>2602D014</v>
      </c>
      <c r="AD173" s="286">
        <f>IFERROR(__xludf.DUMMYFUNCTION("""COMPUTED_VALUE"""),46057.0)</f>
        <v>46057</v>
      </c>
      <c r="AE173" s="285" t="str">
        <f>IFERROR(__xludf.DUMMYFUNCTION("""COMPUTED_VALUE"""),"ipaan")</f>
        <v>ipaan</v>
      </c>
      <c r="AF173" s="285" t="str">
        <f>IFERROR(__xludf.DUMMYFUNCTION("""COMPUTED_VALUE"""),"082138351869")</f>
        <v>082138351869</v>
      </c>
      <c r="AG173" s="285" t="str">
        <f>IFERROR(__xludf.DUMMYFUNCTION("""COMPUTED_VALUE"""),"Gagal")</f>
        <v>Gagal</v>
      </c>
      <c r="AH173" s="285" t="str">
        <f>IFERROR(__xludf.DUMMYFUNCTION("""COMPUTED_VALUE"""),"1D BEDIL")</f>
        <v>1D BEDIL</v>
      </c>
      <c r="AI173" s="287"/>
      <c r="AJ173" s="285"/>
      <c r="AK173" s="289"/>
      <c r="AL173" s="285" t="str">
        <f>IFERROR(__xludf.DUMMYFUNCTION("""COMPUTED_VALUE"""),"tidak ada jawaban")</f>
        <v>tidak ada jawaban</v>
      </c>
    </row>
    <row r="174">
      <c r="F174" s="285" t="str">
        <f>IFERROR(__xludf.DUMMYFUNCTION("""COMPUTED_VALUE"""),"2606D100")</f>
        <v>2606D100</v>
      </c>
      <c r="G174" s="286">
        <f>IFERROR(__xludf.DUMMYFUNCTION("""COMPUTED_VALUE"""),46185.0)</f>
        <v>46185</v>
      </c>
      <c r="H174" s="285" t="str">
        <f>IFERROR(__xludf.DUMMYFUNCTION("""COMPUTED_VALUE"""),"Natsir")</f>
        <v>Natsir</v>
      </c>
      <c r="I174" s="285" t="str">
        <f>IFERROR(__xludf.DUMMYFUNCTION("""COMPUTED_VALUE"""),"081519720008")</f>
        <v>081519720008</v>
      </c>
      <c r="J174" s="285" t="str">
        <f>IFERROR(__xludf.DUMMYFUNCTION("""COMPUTED_VALUE"""),"Leads Baru")</f>
        <v>Leads Baru</v>
      </c>
      <c r="K174" s="285" t="str">
        <f>IFERROR(__xludf.DUMMYFUNCTION("""COMPUTED_VALUE"""),"trip Ijen")</f>
        <v>trip Ijen</v>
      </c>
      <c r="L174" s="287"/>
      <c r="M174" s="288"/>
      <c r="N174" s="289"/>
      <c r="O174" s="290" t="str">
        <f>IFERROR(__xludf.DUMMYFUNCTION("""COMPUTED_VALUE"""),"masi tanyaa")</f>
        <v>masi tanyaa</v>
      </c>
      <c r="P174" s="320"/>
      <c r="R174" s="285" t="str">
        <f>IFERROR(__xludf.DUMMYFUNCTION("""COMPUTED_VALUE"""),"2607D129")</f>
        <v>2607D129</v>
      </c>
      <c r="S174" s="286">
        <f>IFERROR(__xludf.DUMMYFUNCTION("""COMPUTED_VALUE"""),46222.0)</f>
        <v>46222</v>
      </c>
      <c r="T174" s="285" t="str">
        <f>IFERROR(__xludf.DUMMYFUNCTION("""COMPUTED_VALUE"""),"ilmi Ahmad")</f>
        <v>ilmi Ahmad</v>
      </c>
      <c r="U174" s="285" t="str">
        <f>IFERROR(__xludf.DUMMYFUNCTION("""COMPUTED_VALUE"""),"088232149794")</f>
        <v>088232149794</v>
      </c>
      <c r="V174" s="285" t="str">
        <f>IFERROR(__xludf.DUMMYFUNCTION("""COMPUTED_VALUE"""),"Closing")</f>
        <v>Closing</v>
      </c>
      <c r="W174" s="285" t="str">
        <f>IFERROR(__xludf.DUMMYFUNCTION("""COMPUTED_VALUE"""),"3H2M custome")</f>
        <v>3H2M custome</v>
      </c>
      <c r="X174" s="287">
        <f>IFERROR(__xludf.DUMMYFUNCTION("""COMPUTED_VALUE"""),46233.0)</f>
        <v>46233</v>
      </c>
      <c r="Y174" s="285">
        <f>IFERROR(__xludf.DUMMYFUNCTION("""COMPUTED_VALUE"""),4.0)</f>
        <v>4</v>
      </c>
      <c r="Z174" s="289">
        <f>IFERROR(__xludf.DUMMYFUNCTION("""COMPUTED_VALUE"""),9900000.0)</f>
        <v>9900000</v>
      </c>
      <c r="AA174" s="285" t="str">
        <f>IFERROR(__xludf.DUMMYFUNCTION("""COMPUTED_VALUE"""),"yesss orrderr")</f>
        <v>yesss orrderr</v>
      </c>
      <c r="AC174" s="285" t="str">
        <f>IFERROR(__xludf.DUMMYFUNCTION("""COMPUTED_VALUE"""),"2602D015")</f>
        <v>2602D015</v>
      </c>
      <c r="AD174" s="286">
        <f>IFERROR(__xludf.DUMMYFUNCTION("""COMPUTED_VALUE"""),46057.0)</f>
        <v>46057</v>
      </c>
      <c r="AE174" s="285" t="str">
        <f>IFERROR(__xludf.DUMMYFUNCTION("""COMPUTED_VALUE"""),"Bella Adelia")</f>
        <v>Bella Adelia</v>
      </c>
      <c r="AF174" s="285" t="str">
        <f>IFERROR(__xludf.DUMMYFUNCTION("""COMPUTED_VALUE"""),"085784272210")</f>
        <v>085784272210</v>
      </c>
      <c r="AG174" s="285" t="str">
        <f>IFERROR(__xludf.DUMMYFUNCTION("""COMPUTED_VALUE"""),"Gagal")</f>
        <v>Gagal</v>
      </c>
      <c r="AH174" s="285" t="str">
        <f>IFERROR(__xludf.DUMMYFUNCTION("""COMPUTED_VALUE"""),"1D BEDIL")</f>
        <v>1D BEDIL</v>
      </c>
      <c r="AI174" s="287"/>
      <c r="AJ174" s="285">
        <f>IFERROR(__xludf.DUMMYFUNCTION("""COMPUTED_VALUE"""),15.0)</f>
        <v>15</v>
      </c>
      <c r="AK174" s="289">
        <f>IFERROR(__xludf.DUMMYFUNCTION("""COMPUTED_VALUE"""),7000000.0)</f>
        <v>7000000</v>
      </c>
      <c r="AL174" s="285" t="str">
        <f>IFERROR(__xludf.DUMMYFUNCTION("""COMPUTED_VALUE"""),"semestara belum dulu, trip ditunda")</f>
        <v>semestara belum dulu, trip ditunda</v>
      </c>
    </row>
    <row r="175">
      <c r="F175" s="285" t="str">
        <f>IFERROR(__xludf.DUMMYFUNCTION("""COMPUTED_VALUE"""),"2606D103")</f>
        <v>2606D103</v>
      </c>
      <c r="G175" s="286">
        <f>IFERROR(__xludf.DUMMYFUNCTION("""COMPUTED_VALUE"""),46186.0)</f>
        <v>46186</v>
      </c>
      <c r="H175" s="285" t="str">
        <f>IFERROR(__xludf.DUMMYFUNCTION("""COMPUTED_VALUE"""),"Nova Novia")</f>
        <v>Nova Novia</v>
      </c>
      <c r="I175" s="285" t="str">
        <f>IFERROR(__xludf.DUMMYFUNCTION("""COMPUTED_VALUE"""),"08112193391")</f>
        <v>08112193391</v>
      </c>
      <c r="J175" s="285" t="str">
        <f>IFERROR(__xludf.DUMMYFUNCTION("""COMPUTED_VALUE"""),"Leads Baru")</f>
        <v>Leads Baru</v>
      </c>
      <c r="K175" s="285" t="str">
        <f>IFERROR(__xludf.DUMMYFUNCTION("""COMPUTED_VALUE"""),"1 day trip")</f>
        <v>1 day trip</v>
      </c>
      <c r="L175" s="287"/>
      <c r="M175" s="288"/>
      <c r="N175" s="289"/>
      <c r="O175" s="290"/>
      <c r="P175" s="320"/>
      <c r="R175" s="285" t="str">
        <f>IFERROR(__xludf.DUMMYFUNCTION("""COMPUTED_VALUE"""),"2607D130")</f>
        <v>2607D130</v>
      </c>
      <c r="S175" s="286">
        <f>IFERROR(__xludf.DUMMYFUNCTION("""COMPUTED_VALUE"""),46224.0)</f>
        <v>46224</v>
      </c>
      <c r="T175" s="285" t="str">
        <f>IFERROR(__xludf.DUMMYFUNCTION("""COMPUTED_VALUE"""),"Lala")</f>
        <v>Lala</v>
      </c>
      <c r="U175" s="285" t="str">
        <f>IFERROR(__xludf.DUMMYFUNCTION("""COMPUTED_VALUE"""),"081331632269")</f>
        <v>081331632269</v>
      </c>
      <c r="V175" s="285" t="str">
        <f>IFERROR(__xludf.DUMMYFUNCTION("""COMPUTED_VALUE"""),"Closing")</f>
        <v>Closing</v>
      </c>
      <c r="W175" s="285" t="str">
        <f>IFERROR(__xludf.DUMMYFUNCTION("""COMPUTED_VALUE"""),"OT MT")</f>
        <v>OT MT</v>
      </c>
      <c r="X175" s="287">
        <f>IFERROR(__xludf.DUMMYFUNCTION("""COMPUTED_VALUE"""),46228.0)</f>
        <v>46228</v>
      </c>
      <c r="Y175" s="285">
        <f>IFERROR(__xludf.DUMMYFUNCTION("""COMPUTED_VALUE"""),10.0)</f>
        <v>10</v>
      </c>
      <c r="Z175" s="289">
        <f>IFERROR(__xludf.DUMMYFUNCTION("""COMPUTED_VALUE"""),2750000.0)</f>
        <v>2750000</v>
      </c>
      <c r="AA175" s="285" t="str">
        <f>IFERROR(__xludf.DUMMYFUNCTION("""COMPUTED_VALUE"""),"yess orrderr")</f>
        <v>yess orrderr</v>
      </c>
      <c r="AC175" s="285" t="str">
        <f>IFERROR(__xludf.DUMMYFUNCTION("""COMPUTED_VALUE"""),"2602D016")</f>
        <v>2602D016</v>
      </c>
      <c r="AD175" s="286">
        <f>IFERROR(__xludf.DUMMYFUNCTION("""COMPUTED_VALUE"""),46057.0)</f>
        <v>46057</v>
      </c>
      <c r="AE175" s="285" t="str">
        <f>IFERROR(__xludf.DUMMYFUNCTION("""COMPUTED_VALUE"""),"Sally")</f>
        <v>Sally</v>
      </c>
      <c r="AF175" s="285" t="str">
        <f>IFERROR(__xludf.DUMMYFUNCTION("""COMPUTED_VALUE"""),"081314588507")</f>
        <v>081314588507</v>
      </c>
      <c r="AG175" s="285" t="str">
        <f>IFERROR(__xludf.DUMMYFUNCTION("""COMPUTED_VALUE"""),"Gagal")</f>
        <v>Gagal</v>
      </c>
      <c r="AH175" s="285" t="str">
        <f>IFERROR(__xludf.DUMMYFUNCTION("""COMPUTED_VALUE"""),"1 day trip")</f>
        <v>1 day trip</v>
      </c>
      <c r="AI175" s="287"/>
      <c r="AJ175" s="285">
        <f>IFERROR(__xludf.DUMMYFUNCTION("""COMPUTED_VALUE"""),3.0)</f>
        <v>3</v>
      </c>
      <c r="AK175" s="289"/>
      <c r="AL175" s="285" t="str">
        <f>IFERROR(__xludf.DUMMYFUNCTION("""COMPUTED_VALUE"""),"tidak ada jawaban")</f>
        <v>tidak ada jawaban</v>
      </c>
    </row>
    <row r="176">
      <c r="F176" s="285" t="str">
        <f>IFERROR(__xludf.DUMMYFUNCTION("""COMPUTED_VALUE"""),"2606D106")</f>
        <v>2606D106</v>
      </c>
      <c r="G176" s="286">
        <f>IFERROR(__xludf.DUMMYFUNCTION("""COMPUTED_VALUE"""),46186.0)</f>
        <v>46186</v>
      </c>
      <c r="H176" s="285" t="str">
        <f>IFERROR(__xludf.DUMMYFUNCTION("""COMPUTED_VALUE"""),"Husna")</f>
        <v>Husna</v>
      </c>
      <c r="I176" s="285" t="str">
        <f>IFERROR(__xludf.DUMMYFUNCTION("""COMPUTED_VALUE"""),"085972835898")</f>
        <v>085972835898</v>
      </c>
      <c r="J176" s="285" t="str">
        <f>IFERROR(__xludf.DUMMYFUNCTION("""COMPUTED_VALUE"""),"Leads Baru")</f>
        <v>Leads Baru</v>
      </c>
      <c r="K176" s="285" t="str">
        <f>IFERROR(__xludf.DUMMYFUNCTION("""COMPUTED_VALUE"""),"4H3M")</f>
        <v>4H3M</v>
      </c>
      <c r="L176" s="287"/>
      <c r="M176" s="288">
        <f>IFERROR(__xludf.DUMMYFUNCTION("""COMPUTED_VALUE"""),31.0)</f>
        <v>31</v>
      </c>
      <c r="N176" s="289"/>
      <c r="O176" s="290"/>
      <c r="P176" s="320"/>
      <c r="R176" s="285"/>
      <c r="S176" s="285"/>
      <c r="T176" s="285"/>
      <c r="U176" s="285"/>
      <c r="V176" s="285"/>
      <c r="W176" s="285"/>
      <c r="X176" s="285"/>
      <c r="Y176" s="285"/>
      <c r="Z176" s="285"/>
      <c r="AA176" s="285"/>
      <c r="AC176" s="285" t="str">
        <f>IFERROR(__xludf.DUMMYFUNCTION("""COMPUTED_VALUE"""),"2602D017")</f>
        <v>2602D017</v>
      </c>
      <c r="AD176" s="286">
        <f>IFERROR(__xludf.DUMMYFUNCTION("""COMPUTED_VALUE"""),46057.0)</f>
        <v>46057</v>
      </c>
      <c r="AE176" s="285" t="str">
        <f>IFERROR(__xludf.DUMMYFUNCTION("""COMPUTED_VALUE"""),"ga ada jawaban ")</f>
        <v>ga ada jawaban </v>
      </c>
      <c r="AF176" s="285" t="str">
        <f>IFERROR(__xludf.DUMMYFUNCTION("""COMPUTED_VALUE"""),"08317322999")</f>
        <v>08317322999</v>
      </c>
      <c r="AG176" s="285" t="str">
        <f>IFERROR(__xludf.DUMMYFUNCTION("""COMPUTED_VALUE"""),"Gagal")</f>
        <v>Gagal</v>
      </c>
      <c r="AH176" s="285"/>
      <c r="AI176" s="287"/>
      <c r="AJ176" s="285"/>
      <c r="AK176" s="289"/>
      <c r="AL176" s="285" t="str">
        <f>IFERROR(__xludf.DUMMYFUNCTION("""COMPUTED_VALUE"""),"tidak ada jawaban")</f>
        <v>tidak ada jawaban</v>
      </c>
    </row>
    <row r="177">
      <c r="F177" s="285" t="str">
        <f>IFERROR(__xludf.DUMMYFUNCTION("""COMPUTED_VALUE"""),"2606D108")</f>
        <v>2606D108</v>
      </c>
      <c r="G177" s="286">
        <f>IFERROR(__xludf.DUMMYFUNCTION("""COMPUTED_VALUE"""),46186.0)</f>
        <v>46186</v>
      </c>
      <c r="H177" s="285" t="str">
        <f>IFERROR(__xludf.DUMMYFUNCTION("""COMPUTED_VALUE"""),"Fzhr")</f>
        <v>Fzhr</v>
      </c>
      <c r="I177" s="285" t="str">
        <f>IFERROR(__xludf.DUMMYFUNCTION("""COMPUTED_VALUE"""),"088297289117")</f>
        <v>088297289117</v>
      </c>
      <c r="J177" s="285" t="str">
        <f>IFERROR(__xludf.DUMMYFUNCTION("""COMPUTED_VALUE"""),"Leads Baru")</f>
        <v>Leads Baru</v>
      </c>
      <c r="K177" s="285" t="str">
        <f>IFERROR(__xludf.DUMMYFUNCTION("""COMPUTED_VALUE"""),"OT GI, Ijen Baluran")</f>
        <v>OT GI, Ijen Baluran</v>
      </c>
      <c r="L177" s="287"/>
      <c r="M177" s="288">
        <f>IFERROR(__xludf.DUMMYFUNCTION("""COMPUTED_VALUE"""),2.0)</f>
        <v>2</v>
      </c>
      <c r="N177" s="289"/>
      <c r="O177" s="290" t="str">
        <f>IFERROR(__xludf.DUMMYFUNCTION("""COMPUTED_VALUE"""),"FU 15 Juni")</f>
        <v>FU 15 Juni</v>
      </c>
      <c r="P177" s="320"/>
      <c r="R177" s="285"/>
      <c r="S177" s="285"/>
      <c r="T177" s="285"/>
      <c r="U177" s="285"/>
      <c r="V177" s="285"/>
      <c r="W177" s="285"/>
      <c r="X177" s="285"/>
      <c r="Y177" s="285"/>
      <c r="Z177" s="285"/>
      <c r="AA177" s="285"/>
      <c r="AC177" s="285" t="str">
        <f>IFERROR(__xludf.DUMMYFUNCTION("""COMPUTED_VALUE"""),"2602D018")</f>
        <v>2602D018</v>
      </c>
      <c r="AD177" s="286">
        <f>IFERROR(__xludf.DUMMYFUNCTION("""COMPUTED_VALUE"""),46057.0)</f>
        <v>46057</v>
      </c>
      <c r="AE177" s="285" t="str">
        <f>IFERROR(__xludf.DUMMYFUNCTION("""COMPUTED_VALUE"""),"le")</f>
        <v>le</v>
      </c>
      <c r="AF177" s="285" t="str">
        <f>IFERROR(__xludf.DUMMYFUNCTION("""COMPUTED_VALUE"""),"085817262943")</f>
        <v>085817262943</v>
      </c>
      <c r="AG177" s="285" t="str">
        <f>IFERROR(__xludf.DUMMYFUNCTION("""COMPUTED_VALUE"""),"Gagal")</f>
        <v>Gagal</v>
      </c>
      <c r="AH177" s="285" t="str">
        <f>IFERROR(__xludf.DUMMYFUNCTION("""COMPUTED_VALUE"""),"trip 2H1M")</f>
        <v>trip 2H1M</v>
      </c>
      <c r="AI177" s="287">
        <f>IFERROR(__xludf.DUMMYFUNCTION("""COMPUTED_VALUE"""),46101.0)</f>
        <v>46101</v>
      </c>
      <c r="AJ177" s="285">
        <f>IFERROR(__xludf.DUMMYFUNCTION("""COMPUTED_VALUE"""),6.0)</f>
        <v>6</v>
      </c>
      <c r="AK177" s="289">
        <f>IFERROR(__xludf.DUMMYFUNCTION("""COMPUTED_VALUE"""),6444000.0)</f>
        <v>6444000</v>
      </c>
      <c r="AL177" s="285" t="str">
        <f>IFERROR(__xludf.DUMMYFUNCTION("""COMPUTED_VALUE"""),"minta dijemput dr malang, gagal")</f>
        <v>minta dijemput dr malang, gagal</v>
      </c>
    </row>
    <row r="178">
      <c r="F178" s="285" t="str">
        <f>IFERROR(__xludf.DUMMYFUNCTION("""COMPUTED_VALUE"""),"2606D111")</f>
        <v>2606D111</v>
      </c>
      <c r="G178" s="286">
        <f>IFERROR(__xludf.DUMMYFUNCTION("""COMPUTED_VALUE"""),46187.0)</f>
        <v>46187</v>
      </c>
      <c r="H178" s="285" t="str">
        <f>IFERROR(__xludf.DUMMYFUNCTION("""COMPUTED_VALUE"""),"Yuyun ")</f>
        <v>Yuyun </v>
      </c>
      <c r="I178" s="285" t="str">
        <f>IFERROR(__xludf.DUMMYFUNCTION("""COMPUTED_VALUE"""),"089666507813")</f>
        <v>089666507813</v>
      </c>
      <c r="J178" s="285" t="str">
        <f>IFERROR(__xludf.DUMMYFUNCTION("""COMPUTED_VALUE"""),"Leads Baru")</f>
        <v>Leads Baru</v>
      </c>
      <c r="K178" s="285" t="str">
        <f>IFERROR(__xludf.DUMMYFUNCTION("""COMPUTED_VALUE"""),"OT Baluran")</f>
        <v>OT Baluran</v>
      </c>
      <c r="L178" s="287">
        <f>IFERROR(__xludf.DUMMYFUNCTION("""COMPUTED_VALUE"""),46200.0)</f>
        <v>46200</v>
      </c>
      <c r="M178" s="288">
        <f>IFERROR(__xludf.DUMMYFUNCTION("""COMPUTED_VALUE"""),4.0)</f>
        <v>4</v>
      </c>
      <c r="N178" s="289"/>
      <c r="O178" s="290" t="str">
        <f>IFERROR(__xludf.DUMMYFUNCTION("""COMPUTED_VALUE"""),"FU 16 Juni")</f>
        <v>FU 16 Juni</v>
      </c>
      <c r="P178" s="320"/>
      <c r="R178" s="285"/>
      <c r="S178" s="285"/>
      <c r="T178" s="285"/>
      <c r="U178" s="285"/>
      <c r="V178" s="285"/>
      <c r="W178" s="285"/>
      <c r="X178" s="285"/>
      <c r="Y178" s="285"/>
      <c r="Z178" s="285"/>
      <c r="AA178" s="285"/>
      <c r="AC178" s="285" t="str">
        <f>IFERROR(__xludf.DUMMYFUNCTION("""COMPUTED_VALUE"""),"2602D020")</f>
        <v>2602D020</v>
      </c>
      <c r="AD178" s="286">
        <f>IFERROR(__xludf.DUMMYFUNCTION("""COMPUTED_VALUE"""),46058.0)</f>
        <v>46058</v>
      </c>
      <c r="AE178" s="285" t="str">
        <f>IFERROR(__xludf.DUMMYFUNCTION("""COMPUTED_VALUE"""),"Merin")</f>
        <v>Merin</v>
      </c>
      <c r="AF178" s="285" t="str">
        <f>IFERROR(__xludf.DUMMYFUNCTION("""COMPUTED_VALUE"""),"082230308898")</f>
        <v>082230308898</v>
      </c>
      <c r="AG178" s="285" t="str">
        <f>IFERROR(__xludf.DUMMYFUNCTION("""COMPUTED_VALUE"""),"Gagal")</f>
        <v>Gagal</v>
      </c>
      <c r="AH178" s="285" t="str">
        <f>IFERROR(__xludf.DUMMYFUNCTION("""COMPUTED_VALUE"""),"1D D, B")</f>
        <v>1D D, B</v>
      </c>
      <c r="AI178" s="287"/>
      <c r="AJ178" s="285">
        <f>IFERROR(__xludf.DUMMYFUNCTION("""COMPUTED_VALUE"""),15.0)</f>
        <v>15</v>
      </c>
      <c r="AK178" s="289"/>
      <c r="AL178" s="285" t="str">
        <f>IFERROR(__xludf.DUMMYFUNCTION("""COMPUTED_VALUE"""),"tidak jadi")</f>
        <v>tidak jadi</v>
      </c>
    </row>
    <row r="179">
      <c r="F179" s="285" t="str">
        <f>IFERROR(__xludf.DUMMYFUNCTION("""COMPUTED_VALUE"""),"2606D112")</f>
        <v>2606D112</v>
      </c>
      <c r="G179" s="286">
        <f>IFERROR(__xludf.DUMMYFUNCTION("""COMPUTED_VALUE"""),46187.0)</f>
        <v>46187</v>
      </c>
      <c r="H179" s="285" t="str">
        <f>IFERROR(__xludf.DUMMYFUNCTION("""COMPUTED_VALUE"""),"Ai Nurhicmah")</f>
        <v>Ai Nurhicmah</v>
      </c>
      <c r="I179" s="285" t="str">
        <f>IFERROR(__xludf.DUMMYFUNCTION("""COMPUTED_VALUE"""),"085267593008")</f>
        <v>085267593008</v>
      </c>
      <c r="J179" s="285" t="str">
        <f>IFERROR(__xludf.DUMMYFUNCTION("""COMPUTED_VALUE"""),"Leads Baru")</f>
        <v>Leads Baru</v>
      </c>
      <c r="K179" s="285" t="str">
        <f>IFERROR(__xludf.DUMMYFUNCTION("""COMPUTED_VALUE"""),"ot 3h2m")</f>
        <v>ot 3h2m</v>
      </c>
      <c r="L179" s="287"/>
      <c r="M179" s="288">
        <f>IFERROR(__xludf.DUMMYFUNCTION("""COMPUTED_VALUE"""),4.0)</f>
        <v>4</v>
      </c>
      <c r="N179" s="289"/>
      <c r="O179" s="290" t="str">
        <f>IFERROR(__xludf.DUMMYFUNCTION("""COMPUTED_VALUE"""),"masih diskusi, FU 17 Juni")</f>
        <v>masih diskusi, FU 17 Juni</v>
      </c>
      <c r="P179" s="320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C179" s="285" t="str">
        <f>IFERROR(__xludf.DUMMYFUNCTION("""COMPUTED_VALUE"""),"2602D021")</f>
        <v>2602D021</v>
      </c>
      <c r="AD179" s="286">
        <f>IFERROR(__xludf.DUMMYFUNCTION("""COMPUTED_VALUE"""),46058.0)</f>
        <v>46058</v>
      </c>
      <c r="AE179" s="285" t="str">
        <f>IFERROR(__xludf.DUMMYFUNCTION("""COMPUTED_VALUE"""),"Raudhah Mariyah")</f>
        <v>Raudhah Mariyah</v>
      </c>
      <c r="AF179" s="285" t="str">
        <f>IFERROR(__xludf.DUMMYFUNCTION("""COMPUTED_VALUE"""),"082121900204")</f>
        <v>082121900204</v>
      </c>
      <c r="AG179" s="285" t="str">
        <f>IFERROR(__xludf.DUMMYFUNCTION("""COMPUTED_VALUE"""),"Gagal")</f>
        <v>Gagal</v>
      </c>
      <c r="AH179" s="285" t="str">
        <f>IFERROR(__xludf.DUMMYFUNCTION("""COMPUTED_VALUE"""),"1 day trip D, B")</f>
        <v>1 day trip D, B</v>
      </c>
      <c r="AI179" s="287">
        <f>IFERROR(__xludf.DUMMYFUNCTION("""COMPUTED_VALUE"""),46061.0)</f>
        <v>46061</v>
      </c>
      <c r="AJ179" s="285">
        <f>IFERROR(__xludf.DUMMYFUNCTION("""COMPUTED_VALUE"""),2.0)</f>
        <v>2</v>
      </c>
      <c r="AK179" s="289">
        <f>IFERROR(__xludf.DUMMYFUNCTION("""COMPUTED_VALUE"""),1754000.0)</f>
        <v>1754000</v>
      </c>
      <c r="AL179" s="285" t="str">
        <f>IFERROR(__xludf.DUMMYFUNCTION("""COMPUTED_VALUE"""),"tidak ada jawaban")</f>
        <v>tidak ada jawaban</v>
      </c>
    </row>
    <row r="180">
      <c r="F180" s="285" t="str">
        <f>IFERROR(__xludf.DUMMYFUNCTION("""COMPUTED_VALUE"""),"2606D113")</f>
        <v>2606D113</v>
      </c>
      <c r="G180" s="286">
        <f>IFERROR(__xludf.DUMMYFUNCTION("""COMPUTED_VALUE"""),46187.0)</f>
        <v>46187</v>
      </c>
      <c r="H180" s="285" t="str">
        <f>IFERROR(__xludf.DUMMYFUNCTION("""COMPUTED_VALUE"""),"Jean ")</f>
        <v>Jean </v>
      </c>
      <c r="I180" s="285" t="str">
        <f>IFERROR(__xludf.DUMMYFUNCTION("""COMPUTED_VALUE"""),"082259563022")</f>
        <v>082259563022</v>
      </c>
      <c r="J180" s="285" t="str">
        <f>IFERROR(__xludf.DUMMYFUNCTION("""COMPUTED_VALUE"""),"Leads Baru")</f>
        <v>Leads Baru</v>
      </c>
      <c r="K180" s="285" t="str">
        <f>IFERROR(__xludf.DUMMYFUNCTION("""COMPUTED_VALUE"""),"OT Ijen")</f>
        <v>OT Ijen</v>
      </c>
      <c r="L180" s="287">
        <f>IFERROR(__xludf.DUMMYFUNCTION("""COMPUTED_VALUE"""),46200.0)</f>
        <v>46200</v>
      </c>
      <c r="M180" s="288">
        <f>IFERROR(__xludf.DUMMYFUNCTION("""COMPUTED_VALUE"""),2.0)</f>
        <v>2</v>
      </c>
      <c r="N180" s="289"/>
      <c r="O180" s="290" t="str">
        <f>IFERROR(__xludf.DUMMYFUNCTION("""COMPUTED_VALUE"""),"FU 20 Juni")</f>
        <v>FU 20 Juni</v>
      </c>
      <c r="P180" s="320"/>
      <c r="R180" s="285"/>
      <c r="S180" s="285"/>
      <c r="T180" s="285"/>
      <c r="U180" s="285"/>
      <c r="V180" s="285"/>
      <c r="W180" s="285"/>
      <c r="X180" s="285"/>
      <c r="Y180" s="285"/>
      <c r="Z180" s="285"/>
      <c r="AA180" s="285"/>
      <c r="AC180" s="285" t="str">
        <f>IFERROR(__xludf.DUMMYFUNCTION("""COMPUTED_VALUE"""),"2602D022")</f>
        <v>2602D022</v>
      </c>
      <c r="AD180" s="286">
        <f>IFERROR(__xludf.DUMMYFUNCTION("""COMPUTED_VALUE"""),46058.0)</f>
        <v>46058</v>
      </c>
      <c r="AE180" s="285" t="str">
        <f>IFERROR(__xludf.DUMMYFUNCTION("""COMPUTED_VALUE"""),"Tifenn Rosenkranz")</f>
        <v>Tifenn Rosenkranz</v>
      </c>
      <c r="AF180" s="285" t="str">
        <f>IFERROR(__xludf.DUMMYFUNCTION("""COMPUTED_VALUE"""),"33621946594")</f>
        <v>33621946594</v>
      </c>
      <c r="AG180" s="285" t="str">
        <f>IFERROR(__xludf.DUMMYFUNCTION("""COMPUTED_VALUE"""),"Gagal")</f>
        <v>Gagal</v>
      </c>
      <c r="AH180" s="285" t="str">
        <f>IFERROR(__xludf.DUMMYFUNCTION("""COMPUTED_VALUE"""),"Baluran")</f>
        <v>Baluran</v>
      </c>
      <c r="AI180" s="287"/>
      <c r="AJ180" s="285"/>
      <c r="AK180" s="289"/>
      <c r="AL180" s="285" t="str">
        <f>IFERROR(__xludf.DUMMYFUNCTION("""COMPUTED_VALUE"""),"tidak ada jawaban")</f>
        <v>tidak ada jawaban</v>
      </c>
    </row>
    <row r="181">
      <c r="F181" s="285" t="str">
        <f>IFERROR(__xludf.DUMMYFUNCTION("""COMPUTED_VALUE"""),"2606D118")</f>
        <v>2606D118</v>
      </c>
      <c r="G181" s="286">
        <f>IFERROR(__xludf.DUMMYFUNCTION("""COMPUTED_VALUE"""),46188.0)</f>
        <v>46188</v>
      </c>
      <c r="H181" s="285" t="str">
        <f>IFERROR(__xludf.DUMMYFUNCTION("""COMPUTED_VALUE"""),"Naurahel")</f>
        <v>Naurahel</v>
      </c>
      <c r="I181" s="285" t="str">
        <f>IFERROR(__xludf.DUMMYFUNCTION("""COMPUTED_VALUE"""),"081312900025")</f>
        <v>081312900025</v>
      </c>
      <c r="J181" s="285" t="str">
        <f>IFERROR(__xludf.DUMMYFUNCTION("""COMPUTED_VALUE"""),"Leads Baru")</f>
        <v>Leads Baru</v>
      </c>
      <c r="K181" s="285" t="str">
        <f>IFERROR(__xludf.DUMMYFUNCTION("""COMPUTED_VALUE"""),"4H3M")</f>
        <v>4H3M</v>
      </c>
      <c r="L181" s="287"/>
      <c r="M181" s="288">
        <f>IFERROR(__xludf.DUMMYFUNCTION("""COMPUTED_VALUE"""),46178.0)</f>
        <v>46178</v>
      </c>
      <c r="N181" s="289"/>
      <c r="O181" s="290" t="str">
        <f>IFERROR(__xludf.DUMMYFUNCTION("""COMPUTED_VALUE"""),"FU 20 Juni")</f>
        <v>FU 20 Juni</v>
      </c>
      <c r="P181" s="320"/>
      <c r="R181" s="285"/>
      <c r="S181" s="285"/>
      <c r="T181" s="285"/>
      <c r="U181" s="285"/>
      <c r="V181" s="285"/>
      <c r="W181" s="285"/>
      <c r="X181" s="285"/>
      <c r="Y181" s="285"/>
      <c r="Z181" s="285"/>
      <c r="AA181" s="285"/>
      <c r="AC181" s="285" t="str">
        <f>IFERROR(__xludf.DUMMYFUNCTION("""COMPUTED_VALUE"""),"2602D023")</f>
        <v>2602D023</v>
      </c>
      <c r="AD181" s="286">
        <f>IFERROR(__xludf.DUMMYFUNCTION("""COMPUTED_VALUE"""),46059.0)</f>
        <v>46059</v>
      </c>
      <c r="AE181" s="285" t="str">
        <f>IFERROR(__xludf.DUMMYFUNCTION("""COMPUTED_VALUE"""),"Assyifa interior")</f>
        <v>Assyifa interior</v>
      </c>
      <c r="AF181" s="285" t="str">
        <f>IFERROR(__xludf.DUMMYFUNCTION("""COMPUTED_VALUE"""),"082329459329")</f>
        <v>082329459329</v>
      </c>
      <c r="AG181" s="285" t="str">
        <f>IFERROR(__xludf.DUMMYFUNCTION("""COMPUTED_VALUE"""),"Gagal")</f>
        <v>Gagal</v>
      </c>
      <c r="AH181" s="285"/>
      <c r="AI181" s="287"/>
      <c r="AJ181" s="285"/>
      <c r="AK181" s="289"/>
      <c r="AL181" s="285" t="str">
        <f>IFERROR(__xludf.DUMMYFUNCTION("""COMPUTED_VALUE"""),"tidak ada jawaban")</f>
        <v>tidak ada jawaban</v>
      </c>
    </row>
    <row r="182">
      <c r="F182" s="285" t="str">
        <f>IFERROR(__xludf.DUMMYFUNCTION("""COMPUTED_VALUE"""),"2606D121")</f>
        <v>2606D121</v>
      </c>
      <c r="G182" s="286">
        <f>IFERROR(__xludf.DUMMYFUNCTION("""COMPUTED_VALUE"""),46189.0)</f>
        <v>46189</v>
      </c>
      <c r="H182" s="285" t="str">
        <f>IFERROR(__xludf.DUMMYFUNCTION("""COMPUTED_VALUE"""),"Ipang")</f>
        <v>Ipang</v>
      </c>
      <c r="I182" s="285" t="str">
        <f>IFERROR(__xludf.DUMMYFUNCTION("""COMPUTED_VALUE"""),"081290407415")</f>
        <v>081290407415</v>
      </c>
      <c r="J182" s="285" t="str">
        <f>IFERROR(__xludf.DUMMYFUNCTION("""COMPUTED_VALUE"""),"Leads Baru")</f>
        <v>Leads Baru</v>
      </c>
      <c r="K182" s="285" t="str">
        <f>IFERROR(__xludf.DUMMYFUNCTION("""COMPUTED_VALUE"""),"3H2M opsi A")</f>
        <v>3H2M opsi A</v>
      </c>
      <c r="L182" s="287"/>
      <c r="M182" s="288">
        <f>IFERROR(__xludf.DUMMYFUNCTION("""COMPUTED_VALUE"""),8.0)</f>
        <v>8</v>
      </c>
      <c r="N182" s="289"/>
      <c r="O182" s="290" t="str">
        <f>IFERROR(__xludf.DUMMYFUNCTION("""COMPUTED_VALUE"""),"diskusi dulu, FU 11 Juli")</f>
        <v>diskusi dulu, FU 11 Juli</v>
      </c>
      <c r="P182" s="320"/>
      <c r="R182" s="285"/>
      <c r="S182" s="285"/>
      <c r="T182" s="285"/>
      <c r="U182" s="285"/>
      <c r="V182" s="285"/>
      <c r="W182" s="285"/>
      <c r="X182" s="285"/>
      <c r="Y182" s="285"/>
      <c r="Z182" s="285"/>
      <c r="AA182" s="285"/>
      <c r="AC182" s="285" t="str">
        <f>IFERROR(__xludf.DUMMYFUNCTION("""COMPUTED_VALUE"""),"2602D025")</f>
        <v>2602D025</v>
      </c>
      <c r="AD182" s="286">
        <f>IFERROR(__xludf.DUMMYFUNCTION("""COMPUTED_VALUE"""),46058.0)</f>
        <v>46058</v>
      </c>
      <c r="AE182" s="285" t="str">
        <f>IFERROR(__xludf.DUMMYFUNCTION("""COMPUTED_VALUE"""),"Juwita Sari Soedarto")</f>
        <v>Juwita Sari Soedarto</v>
      </c>
      <c r="AF182" s="285" t="str">
        <f>IFERROR(__xludf.DUMMYFUNCTION("""COMPUTED_VALUE"""),"089512027924")</f>
        <v>089512027924</v>
      </c>
      <c r="AG182" s="285" t="str">
        <f>IFERROR(__xludf.DUMMYFUNCTION("""COMPUTED_VALUE"""),"Gagal")</f>
        <v>Gagal</v>
      </c>
      <c r="AH182" s="285"/>
      <c r="AI182" s="287"/>
      <c r="AJ182" s="285">
        <f>IFERROR(__xludf.DUMMYFUNCTION("""COMPUTED_VALUE"""),2.0)</f>
        <v>2</v>
      </c>
      <c r="AK182" s="289"/>
      <c r="AL182" s="285" t="str">
        <f>IFERROR(__xludf.DUMMYFUNCTION("""COMPUTED_VALUE"""),"cancelll")</f>
        <v>cancelll</v>
      </c>
    </row>
    <row r="183">
      <c r="F183" s="285" t="str">
        <f>IFERROR(__xludf.DUMMYFUNCTION("""COMPUTED_VALUE"""),"2606D125")</f>
        <v>2606D125</v>
      </c>
      <c r="G183" s="286">
        <f>IFERROR(__xludf.DUMMYFUNCTION("""COMPUTED_VALUE"""),46189.0)</f>
        <v>46189</v>
      </c>
      <c r="H183" s="285" t="str">
        <f>IFERROR(__xludf.DUMMYFUNCTION("""COMPUTED_VALUE"""),"Azzahra Salsabilla")</f>
        <v>Azzahra Salsabilla</v>
      </c>
      <c r="I183" s="285" t="str">
        <f>IFERROR(__xludf.DUMMYFUNCTION("""COMPUTED_VALUE"""),"087788177153")</f>
        <v>087788177153</v>
      </c>
      <c r="J183" s="285" t="str">
        <f>IFERROR(__xludf.DUMMYFUNCTION("""COMPUTED_VALUE"""),"Leads Baru")</f>
        <v>Leads Baru</v>
      </c>
      <c r="K183" s="285" t="str">
        <f>IFERROR(__xludf.DUMMYFUNCTION("""COMPUTED_VALUE"""),"3h2m opsi A")</f>
        <v>3h2m opsi A</v>
      </c>
      <c r="L183" s="287">
        <f>IFERROR(__xludf.DUMMYFUNCTION("""COMPUTED_VALUE"""),46261.0)</f>
        <v>46261</v>
      </c>
      <c r="M183" s="288">
        <f>IFERROR(__xludf.DUMMYFUNCTION("""COMPUTED_VALUE"""),5.0)</f>
        <v>5</v>
      </c>
      <c r="N183" s="289"/>
      <c r="O183" s="290" t="str">
        <f>IFERROR(__xludf.DUMMYFUNCTION("""COMPUTED_VALUE"""),"diskus dulu, FU 5 agustus")</f>
        <v>diskus dulu, FU 5 agustus</v>
      </c>
      <c r="P183" s="320"/>
      <c r="R183" s="285"/>
      <c r="S183" s="285"/>
      <c r="T183" s="285"/>
      <c r="U183" s="285"/>
      <c r="V183" s="285"/>
      <c r="W183" s="285"/>
      <c r="X183" s="285"/>
      <c r="Y183" s="285"/>
      <c r="Z183" s="285"/>
      <c r="AA183" s="285"/>
      <c r="AC183" s="285" t="str">
        <f>IFERROR(__xludf.DUMMYFUNCTION("""COMPUTED_VALUE"""),"2602D026")</f>
        <v>2602D026</v>
      </c>
      <c r="AD183" s="286">
        <f>IFERROR(__xludf.DUMMYFUNCTION("""COMPUTED_VALUE"""),46060.0)</f>
        <v>46060</v>
      </c>
      <c r="AE183" s="285" t="str">
        <f>IFERROR(__xludf.DUMMYFUNCTION("""COMPUTED_VALUE"""),"Rini Pujiastuti")</f>
        <v>Rini Pujiastuti</v>
      </c>
      <c r="AF183" s="285" t="str">
        <f>IFERROR(__xludf.DUMMYFUNCTION("""COMPUTED_VALUE"""),"08977709082")</f>
        <v>08977709082</v>
      </c>
      <c r="AG183" s="285" t="str">
        <f>IFERROR(__xludf.DUMMYFUNCTION("""COMPUTED_VALUE"""),"Gagal")</f>
        <v>Gagal</v>
      </c>
      <c r="AH183" s="285" t="str">
        <f>IFERROR(__xludf.DUMMYFUNCTION("""COMPUTED_VALUE"""),"OT")</f>
        <v>OT</v>
      </c>
      <c r="AI183" s="287">
        <f>IFERROR(__xludf.DUMMYFUNCTION("""COMPUTED_VALUE"""),46104.0)</f>
        <v>46104</v>
      </c>
      <c r="AJ183" s="285">
        <f>IFERROR(__xludf.DUMMYFUNCTION("""COMPUTED_VALUE"""),1.0)</f>
        <v>1</v>
      </c>
      <c r="AK183" s="289"/>
      <c r="AL183" s="285" t="str">
        <f>IFERROR(__xludf.DUMMYFUNCTION("""COMPUTED_VALUE"""),"kehabisan tiket kereta")</f>
        <v>kehabisan tiket kereta</v>
      </c>
    </row>
    <row r="184">
      <c r="F184" s="285" t="str">
        <f>IFERROR(__xludf.DUMMYFUNCTION("""COMPUTED_VALUE"""),"2606D126")</f>
        <v>2606D126</v>
      </c>
      <c r="G184" s="286">
        <f>IFERROR(__xludf.DUMMYFUNCTION("""COMPUTED_VALUE"""),46190.0)</f>
        <v>46190</v>
      </c>
      <c r="H184" s="285" t="str">
        <f>IFERROR(__xludf.DUMMYFUNCTION("""COMPUTED_VALUE"""),"Mas Karmin")</f>
        <v>Mas Karmin</v>
      </c>
      <c r="I184" s="285" t="str">
        <f>IFERROR(__xludf.DUMMYFUNCTION("""COMPUTED_VALUE"""),"085646472493")</f>
        <v>085646472493</v>
      </c>
      <c r="J184" s="285" t="str">
        <f>IFERROR(__xludf.DUMMYFUNCTION("""COMPUTED_VALUE"""),"Leads Baru")</f>
        <v>Leads Baru</v>
      </c>
      <c r="K184" s="285"/>
      <c r="L184" s="287"/>
      <c r="M184" s="288">
        <f>IFERROR(__xludf.DUMMYFUNCTION("""COMPUTED_VALUE"""),30.0)</f>
        <v>30</v>
      </c>
      <c r="N184" s="289"/>
      <c r="O184" s="290" t="str">
        <f>IFERROR(__xludf.DUMMYFUNCTION("""COMPUTED_VALUE"""),"FU 1 Juli ")</f>
        <v>FU 1 Juli </v>
      </c>
      <c r="P184" s="320"/>
      <c r="R184" s="285"/>
      <c r="S184" s="285"/>
      <c r="T184" s="285"/>
      <c r="U184" s="285"/>
      <c r="V184" s="285"/>
      <c r="W184" s="285"/>
      <c r="X184" s="285"/>
      <c r="Y184" s="285"/>
      <c r="Z184" s="285"/>
      <c r="AA184" s="285"/>
      <c r="AC184" s="285" t="str">
        <f>IFERROR(__xludf.DUMMYFUNCTION("""COMPUTED_VALUE"""),"2602D027")</f>
        <v>2602D027</v>
      </c>
      <c r="AD184" s="286">
        <f>IFERROR(__xludf.DUMMYFUNCTION("""COMPUTED_VALUE"""),46060.0)</f>
        <v>46060</v>
      </c>
      <c r="AE184" s="285" t="str">
        <f>IFERROR(__xludf.DUMMYFUNCTION("""COMPUTED_VALUE"""),"PT Sonton Food Indonesia")</f>
        <v>PT Sonton Food Indonesia</v>
      </c>
      <c r="AF184" s="285" t="str">
        <f>IFERROR(__xludf.DUMMYFUNCTION("""COMPUTED_VALUE"""),"081180101566")</f>
        <v>081180101566</v>
      </c>
      <c r="AG184" s="285" t="str">
        <f>IFERROR(__xludf.DUMMYFUNCTION("""COMPUTED_VALUE"""),"Gagal")</f>
        <v>Gagal</v>
      </c>
      <c r="AH184" s="285"/>
      <c r="AI184" s="287"/>
      <c r="AJ184" s="285"/>
      <c r="AK184" s="289"/>
      <c r="AL184" s="285" t="str">
        <f>IFERROR(__xludf.DUMMYFUNCTION("""COMPUTED_VALUE"""),"tidak ada jawaban")</f>
        <v>tidak ada jawaban</v>
      </c>
    </row>
    <row r="185">
      <c r="F185" s="285" t="str">
        <f>IFERROR(__xludf.DUMMYFUNCTION("""COMPUTED_VALUE"""),"2606D127")</f>
        <v>2606D127</v>
      </c>
      <c r="G185" s="286">
        <f>IFERROR(__xludf.DUMMYFUNCTION("""COMPUTED_VALUE"""),46190.0)</f>
        <v>46190</v>
      </c>
      <c r="H185" s="285" t="str">
        <f>IFERROR(__xludf.DUMMYFUNCTION("""COMPUTED_VALUE"""),"Susett Maria")</f>
        <v>Susett Maria</v>
      </c>
      <c r="I185" s="285" t="str">
        <f>IFERROR(__xludf.DUMMYFUNCTION("""COMPUTED_VALUE"""),"082361300550")</f>
        <v>082361300550</v>
      </c>
      <c r="J185" s="285" t="str">
        <f>IFERROR(__xludf.DUMMYFUNCTION("""COMPUTED_VALUE"""),"Leads Baru")</f>
        <v>Leads Baru</v>
      </c>
      <c r="K185" s="285" t="str">
        <f>IFERROR(__xludf.DUMMYFUNCTION("""COMPUTED_VALUE"""),"OT MT")</f>
        <v>OT MT</v>
      </c>
      <c r="L185" s="287">
        <f>IFERROR(__xludf.DUMMYFUNCTION("""COMPUTED_VALUE"""),46191.0)</f>
        <v>46191</v>
      </c>
      <c r="M185" s="288">
        <f>IFERROR(__xludf.DUMMYFUNCTION("""COMPUTED_VALUE"""),2.0)</f>
        <v>2</v>
      </c>
      <c r="N185" s="289"/>
      <c r="O185" s="290" t="str">
        <f>IFERROR(__xludf.DUMMYFUNCTION("""COMPUTED_VALUE"""),"cek ketersediaan")</f>
        <v>cek ketersediaan</v>
      </c>
      <c r="P185" s="320"/>
      <c r="R185" s="285"/>
      <c r="S185" s="285"/>
      <c r="T185" s="285"/>
      <c r="U185" s="285"/>
      <c r="V185" s="285"/>
      <c r="W185" s="285"/>
      <c r="X185" s="285"/>
      <c r="Y185" s="285"/>
      <c r="Z185" s="285"/>
      <c r="AA185" s="285"/>
      <c r="AC185" s="285" t="str">
        <f>IFERROR(__xludf.DUMMYFUNCTION("""COMPUTED_VALUE"""),"2602D028")</f>
        <v>2602D028</v>
      </c>
      <c r="AD185" s="286">
        <f>IFERROR(__xludf.DUMMYFUNCTION("""COMPUTED_VALUE"""),46061.0)</f>
        <v>46061</v>
      </c>
      <c r="AE185" s="285" t="str">
        <f>IFERROR(__xludf.DUMMYFUNCTION("""COMPUTED_VALUE"""),"Herlina Intan")</f>
        <v>Herlina Intan</v>
      </c>
      <c r="AF185" s="285" t="str">
        <f>IFERROR(__xludf.DUMMYFUNCTION("""COMPUTED_VALUE"""),"085828312909")</f>
        <v>085828312909</v>
      </c>
      <c r="AG185" s="285" t="str">
        <f>IFERROR(__xludf.DUMMYFUNCTION("""COMPUTED_VALUE"""),"Gagal")</f>
        <v>Gagal</v>
      </c>
      <c r="AH185" s="285" t="str">
        <f>IFERROR(__xludf.DUMMYFUNCTION("""COMPUTED_VALUE"""),"OT Menjangan Tabuhan")</f>
        <v>OT Menjangan Tabuhan</v>
      </c>
      <c r="AI185" s="287"/>
      <c r="AJ185" s="285"/>
      <c r="AK185" s="289"/>
      <c r="AL185" s="285" t="str">
        <f>IFERROR(__xludf.DUMMYFUNCTION("""COMPUTED_VALUE"""),"tidak ada jawaban")</f>
        <v>tidak ada jawaban</v>
      </c>
    </row>
    <row r="186">
      <c r="F186" s="285" t="str">
        <f>IFERROR(__xludf.DUMMYFUNCTION("""COMPUTED_VALUE"""),"2606D128")</f>
        <v>2606D128</v>
      </c>
      <c r="G186" s="286">
        <f>IFERROR(__xludf.DUMMYFUNCTION("""COMPUTED_VALUE"""),46190.0)</f>
        <v>46190</v>
      </c>
      <c r="H186" s="285" t="str">
        <f>IFERROR(__xludf.DUMMYFUNCTION("""COMPUTED_VALUE"""),"Joko Stel")</f>
        <v>Joko Stel</v>
      </c>
      <c r="I186" s="285" t="str">
        <f>IFERROR(__xludf.DUMMYFUNCTION("""COMPUTED_VALUE"""),"08992230001")</f>
        <v>08992230001</v>
      </c>
      <c r="J186" s="285" t="str">
        <f>IFERROR(__xludf.DUMMYFUNCTION("""COMPUTED_VALUE"""),"Leads Baru")</f>
        <v>Leads Baru</v>
      </c>
      <c r="K186" s="285" t="str">
        <f>IFERROR(__xludf.DUMMYFUNCTION("""COMPUTED_VALUE"""),"3H2M Opsi A")</f>
        <v>3H2M Opsi A</v>
      </c>
      <c r="L186" s="287"/>
      <c r="M186" s="288">
        <f>IFERROR(__xludf.DUMMYFUNCTION("""COMPUTED_VALUE"""),25.0)</f>
        <v>25</v>
      </c>
      <c r="N186" s="289"/>
      <c r="O186" s="290" t="str">
        <f>IFERROR(__xludf.DUMMYFUNCTION("""COMPUTED_VALUE"""),"buat penawaran")</f>
        <v>buat penawaran</v>
      </c>
      <c r="P186" s="320"/>
      <c r="R186" s="285"/>
      <c r="S186" s="285"/>
      <c r="T186" s="285"/>
      <c r="U186" s="285"/>
      <c r="V186" s="285"/>
      <c r="W186" s="285"/>
      <c r="X186" s="285"/>
      <c r="Y186" s="285"/>
      <c r="Z186" s="285"/>
      <c r="AA186" s="285"/>
      <c r="AC186" s="285" t="str">
        <f>IFERROR(__xludf.DUMMYFUNCTION("""COMPUTED_VALUE"""),"2602D029")</f>
        <v>2602D029</v>
      </c>
      <c r="AD186" s="286">
        <f>IFERROR(__xludf.DUMMYFUNCTION("""COMPUTED_VALUE"""),46061.0)</f>
        <v>46061</v>
      </c>
      <c r="AE186" s="285" t="str">
        <f>IFERROR(__xludf.DUMMYFUNCTION("""COMPUTED_VALUE"""),"M Iqbal Kurniawan")</f>
        <v>M Iqbal Kurniawan</v>
      </c>
      <c r="AF186" s="285" t="str">
        <f>IFERROR(__xludf.DUMMYFUNCTION("""COMPUTED_VALUE"""),"08155059830")</f>
        <v>08155059830</v>
      </c>
      <c r="AG186" s="285" t="str">
        <f>IFERROR(__xludf.DUMMYFUNCTION("""COMPUTED_VALUE"""),"Gagal")</f>
        <v>Gagal</v>
      </c>
      <c r="AH186" s="285"/>
      <c r="AI186" s="287"/>
      <c r="AJ186" s="285"/>
      <c r="AK186" s="289"/>
      <c r="AL186" s="285" t="str">
        <f>IFERROR(__xludf.DUMMYFUNCTION("""COMPUTED_VALUE"""),"tidak ada jawaban")</f>
        <v>tidak ada jawaban</v>
      </c>
    </row>
    <row r="187">
      <c r="F187" s="285" t="str">
        <f>IFERROR(__xludf.DUMMYFUNCTION("""COMPUTED_VALUE"""),"2606D129")</f>
        <v>2606D129</v>
      </c>
      <c r="G187" s="286">
        <f>IFERROR(__xludf.DUMMYFUNCTION("""COMPUTED_VALUE"""),46190.0)</f>
        <v>46190</v>
      </c>
      <c r="H187" s="285" t="str">
        <f>IFERROR(__xludf.DUMMYFUNCTION("""COMPUTED_VALUE"""),"Keisha Aziza")</f>
        <v>Keisha Aziza</v>
      </c>
      <c r="I187" s="285" t="str">
        <f>IFERROR(__xludf.DUMMYFUNCTION("""COMPUTED_VALUE"""),"081282438158")</f>
        <v>081282438158</v>
      </c>
      <c r="J187" s="285" t="str">
        <f>IFERROR(__xludf.DUMMYFUNCTION("""COMPUTED_VALUE"""),"Leads Baru")</f>
        <v>Leads Baru</v>
      </c>
      <c r="K187" s="285" t="str">
        <f>IFERROR(__xludf.DUMMYFUNCTION("""COMPUTED_VALUE"""),"OT 3H2M")</f>
        <v>OT 3H2M</v>
      </c>
      <c r="L187" s="287"/>
      <c r="M187" s="288">
        <f>IFERROR(__xludf.DUMMYFUNCTION("""COMPUTED_VALUE"""),3.0)</f>
        <v>3</v>
      </c>
      <c r="N187" s="289"/>
      <c r="O187" s="290" t="str">
        <f>IFERROR(__xludf.DUMMYFUNCTION("""COMPUTED_VALUE"""),"FU 26 Juni")</f>
        <v>FU 26 Juni</v>
      </c>
      <c r="P187" s="320"/>
      <c r="R187" s="285"/>
      <c r="S187" s="285"/>
      <c r="T187" s="285"/>
      <c r="U187" s="285"/>
      <c r="V187" s="285"/>
      <c r="W187" s="285"/>
      <c r="X187" s="285"/>
      <c r="Y187" s="285"/>
      <c r="Z187" s="285"/>
      <c r="AA187" s="285"/>
      <c r="AC187" s="285" t="str">
        <f>IFERROR(__xludf.DUMMYFUNCTION("""COMPUTED_VALUE"""),"2602D030")</f>
        <v>2602D030</v>
      </c>
      <c r="AD187" s="286">
        <f>IFERROR(__xludf.DUMMYFUNCTION("""COMPUTED_VALUE"""),46061.0)</f>
        <v>46061</v>
      </c>
      <c r="AE187" s="285" t="str">
        <f>IFERROR(__xludf.DUMMYFUNCTION("""COMPUTED_VALUE"""),"Grace")</f>
        <v>Grace</v>
      </c>
      <c r="AF187" s="285" t="str">
        <f>IFERROR(__xludf.DUMMYFUNCTION("""COMPUTED_VALUE"""),"085719171914")</f>
        <v>085719171914</v>
      </c>
      <c r="AG187" s="285" t="str">
        <f>IFERROR(__xludf.DUMMYFUNCTION("""COMPUTED_VALUE"""),"Gagal")</f>
        <v>Gagal</v>
      </c>
      <c r="AH187" s="285" t="str">
        <f>IFERROR(__xludf.DUMMYFUNCTION("""COMPUTED_VALUE"""),"OT 3H2M")</f>
        <v>OT 3H2M</v>
      </c>
      <c r="AI187" s="287"/>
      <c r="AJ187" s="285">
        <f>IFERROR(__xludf.DUMMYFUNCTION("""COMPUTED_VALUE"""),6.0)</f>
        <v>6</v>
      </c>
      <c r="AK187" s="289">
        <f>IFERROR(__xludf.DUMMYFUNCTION("""COMPUTED_VALUE"""),9600000.0)</f>
        <v>9600000</v>
      </c>
      <c r="AL187" s="285" t="str">
        <f>IFERROR(__xludf.DUMMYFUNCTION("""COMPUTED_VALUE"""),"tidak ada jawaban")</f>
        <v>tidak ada jawaban</v>
      </c>
    </row>
    <row r="188">
      <c r="F188" s="285" t="str">
        <f>IFERROR(__xludf.DUMMYFUNCTION("""COMPUTED_VALUE"""),"2606D131")</f>
        <v>2606D131</v>
      </c>
      <c r="G188" s="286">
        <f>IFERROR(__xludf.DUMMYFUNCTION("""COMPUTED_VALUE"""),42538.0)</f>
        <v>42538</v>
      </c>
      <c r="H188" s="285" t="str">
        <f>IFERROR(__xludf.DUMMYFUNCTION("""COMPUTED_VALUE"""),"Hafidz Danan")</f>
        <v>Hafidz Danan</v>
      </c>
      <c r="I188" s="285" t="str">
        <f>IFERROR(__xludf.DUMMYFUNCTION("""COMPUTED_VALUE"""),"082112108038")</f>
        <v>082112108038</v>
      </c>
      <c r="J188" s="285" t="str">
        <f>IFERROR(__xludf.DUMMYFUNCTION("""COMPUTED_VALUE"""),"Leads Baru")</f>
        <v>Leads Baru</v>
      </c>
      <c r="K188" s="285" t="str">
        <f>IFERROR(__xludf.DUMMYFUNCTION("""COMPUTED_VALUE"""),"2h1m Opsi B")</f>
        <v>2h1m Opsi B</v>
      </c>
      <c r="L188" s="287">
        <f>IFERROR(__xludf.DUMMYFUNCTION("""COMPUTED_VALUE"""),46192.0)</f>
        <v>46192</v>
      </c>
      <c r="M188" s="288">
        <f>IFERROR(__xludf.DUMMYFUNCTION("""COMPUTED_VALUE"""),4.0)</f>
        <v>4</v>
      </c>
      <c r="N188" s="289"/>
      <c r="O188" s="290"/>
      <c r="P188" s="320"/>
      <c r="R188" s="285"/>
      <c r="S188" s="285"/>
      <c r="T188" s="285"/>
      <c r="U188" s="285"/>
      <c r="V188" s="285"/>
      <c r="W188" s="285"/>
      <c r="X188" s="285"/>
      <c r="Y188" s="285"/>
      <c r="Z188" s="285"/>
      <c r="AA188" s="285"/>
      <c r="AC188" s="285" t="str">
        <f>IFERROR(__xludf.DUMMYFUNCTION("""COMPUTED_VALUE"""),"2602D031")</f>
        <v>2602D031</v>
      </c>
      <c r="AD188" s="286">
        <f>IFERROR(__xludf.DUMMYFUNCTION("""COMPUTED_VALUE"""),46061.0)</f>
        <v>46061</v>
      </c>
      <c r="AE188" s="285" t="str">
        <f>IFERROR(__xludf.DUMMYFUNCTION("""COMPUTED_VALUE"""),"Taqiyya")</f>
        <v>Taqiyya</v>
      </c>
      <c r="AF188" s="285" t="str">
        <f>IFERROR(__xludf.DUMMYFUNCTION("""COMPUTED_VALUE"""),"0811200777270")</f>
        <v>0811200777270</v>
      </c>
      <c r="AG188" s="285" t="str">
        <f>IFERROR(__xludf.DUMMYFUNCTION("""COMPUTED_VALUE"""),"Gagal")</f>
        <v>Gagal</v>
      </c>
      <c r="AH188" s="285" t="str">
        <f>IFERROR(__xludf.DUMMYFUNCTION("""COMPUTED_VALUE"""),"OT 3H2M, green island")</f>
        <v>OT 3H2M, green island</v>
      </c>
      <c r="AI188" s="287"/>
      <c r="AJ188" s="285">
        <f>IFERROR(__xludf.DUMMYFUNCTION("""COMPUTED_VALUE"""),2.0)</f>
        <v>2</v>
      </c>
      <c r="AK188" s="289"/>
      <c r="AL188" s="285" t="str">
        <f>IFERROR(__xludf.DUMMYFUNCTION("""COMPUTED_VALUE"""),"tidak ada jawaban, tanggal lewat")</f>
        <v>tidak ada jawaban, tanggal lewat</v>
      </c>
    </row>
    <row r="189">
      <c r="F189" s="285" t="str">
        <f>IFERROR(__xludf.DUMMYFUNCTION("""COMPUTED_VALUE"""),"2606D132")</f>
        <v>2606D132</v>
      </c>
      <c r="G189" s="286">
        <f>IFERROR(__xludf.DUMMYFUNCTION("""COMPUTED_VALUE"""),46191.0)</f>
        <v>46191</v>
      </c>
      <c r="H189" s="285" t="str">
        <f>IFERROR(__xludf.DUMMYFUNCTION("""COMPUTED_VALUE"""),"Pratiwi Puji Hastuti")</f>
        <v>Pratiwi Puji Hastuti</v>
      </c>
      <c r="I189" s="285" t="str">
        <f>IFERROR(__xludf.DUMMYFUNCTION("""COMPUTED_VALUE"""),"085103430833")</f>
        <v>085103430833</v>
      </c>
      <c r="J189" s="285" t="str">
        <f>IFERROR(__xludf.DUMMYFUNCTION("""COMPUTED_VALUE"""),"Leads Baru")</f>
        <v>Leads Baru</v>
      </c>
      <c r="K189" s="285"/>
      <c r="L189" s="287"/>
      <c r="M189" s="288"/>
      <c r="N189" s="289"/>
      <c r="O189" s="290" t="str">
        <f>IFERROR(__xludf.DUMMYFUNCTION("""COMPUTED_VALUE"""),"tanya Fotografer")</f>
        <v>tanya Fotografer</v>
      </c>
      <c r="P189" s="320"/>
      <c r="R189" s="285"/>
      <c r="S189" s="285"/>
      <c r="T189" s="285"/>
      <c r="U189" s="285"/>
      <c r="V189" s="285"/>
      <c r="W189" s="285"/>
      <c r="X189" s="285"/>
      <c r="Y189" s="285"/>
      <c r="Z189" s="285"/>
      <c r="AA189" s="285"/>
      <c r="AC189" s="285" t="str">
        <f>IFERROR(__xludf.DUMMYFUNCTION("""COMPUTED_VALUE"""),"2602D032")</f>
        <v>2602D032</v>
      </c>
      <c r="AD189" s="286">
        <f>IFERROR(__xludf.DUMMYFUNCTION("""COMPUTED_VALUE"""),46061.0)</f>
        <v>46061</v>
      </c>
      <c r="AE189" s="285" t="str">
        <f>IFERROR(__xludf.DUMMYFUNCTION("""COMPUTED_VALUE"""),"Najwa Wafi")</f>
        <v>Najwa Wafi</v>
      </c>
      <c r="AF189" s="285" t="str">
        <f>IFERROR(__xludf.DUMMYFUNCTION("""COMPUTED_VALUE"""),"081312340975")</f>
        <v>081312340975</v>
      </c>
      <c r="AG189" s="285" t="str">
        <f>IFERROR(__xludf.DUMMYFUNCTION("""COMPUTED_VALUE"""),"Gagal")</f>
        <v>Gagal</v>
      </c>
      <c r="AH189" s="285" t="str">
        <f>IFERROR(__xludf.DUMMYFUNCTION("""COMPUTED_VALUE"""),"OT 2 hari")</f>
        <v>OT 2 hari</v>
      </c>
      <c r="AI189" s="287"/>
      <c r="AJ189" s="285">
        <f>IFERROR(__xludf.DUMMYFUNCTION("""COMPUTED_VALUE"""),4.0)</f>
        <v>4</v>
      </c>
      <c r="AK189" s="289"/>
      <c r="AL189" s="285" t="str">
        <f>IFERROR(__xludf.DUMMYFUNCTION("""COMPUTED_VALUE"""),"full booked")</f>
        <v>full booked</v>
      </c>
    </row>
    <row r="190">
      <c r="F190" s="285" t="str">
        <f>IFERROR(__xludf.DUMMYFUNCTION("""COMPUTED_VALUE"""),"2606D133")</f>
        <v>2606D133</v>
      </c>
      <c r="G190" s="286">
        <f>IFERROR(__xludf.DUMMYFUNCTION("""COMPUTED_VALUE"""),46191.0)</f>
        <v>46191</v>
      </c>
      <c r="H190" s="285" t="str">
        <f>IFERROR(__xludf.DUMMYFUNCTION("""COMPUTED_VALUE"""),"Dian")</f>
        <v>Dian</v>
      </c>
      <c r="I190" s="285" t="str">
        <f>IFERROR(__xludf.DUMMYFUNCTION("""COMPUTED_VALUE"""),"081381807350")</f>
        <v>081381807350</v>
      </c>
      <c r="J190" s="285" t="str">
        <f>IFERROR(__xludf.DUMMYFUNCTION("""COMPUTED_VALUE"""),"Leads Baru")</f>
        <v>Leads Baru</v>
      </c>
      <c r="K190" s="285" t="str">
        <f>IFERROR(__xludf.DUMMYFUNCTION("""COMPUTED_VALUE"""),"private trip MT")</f>
        <v>private trip MT</v>
      </c>
      <c r="L190" s="287">
        <f>IFERROR(__xludf.DUMMYFUNCTION("""COMPUTED_VALUE"""),46198.0)</f>
        <v>46198</v>
      </c>
      <c r="M190" s="288">
        <f>IFERROR(__xludf.DUMMYFUNCTION("""COMPUTED_VALUE"""),2.0)</f>
        <v>2</v>
      </c>
      <c r="N190" s="289"/>
      <c r="O190" s="290" t="str">
        <f>IFERROR(__xludf.DUMMYFUNCTION("""COMPUTED_VALUE"""),"FU 23 Juni")</f>
        <v>FU 23 Juni</v>
      </c>
      <c r="P190" s="320"/>
      <c r="R190" s="285"/>
      <c r="S190" s="285"/>
      <c r="T190" s="285"/>
      <c r="U190" s="285"/>
      <c r="V190" s="285"/>
      <c r="W190" s="285"/>
      <c r="X190" s="285"/>
      <c r="Y190" s="285"/>
      <c r="Z190" s="285"/>
      <c r="AA190" s="285"/>
      <c r="AC190" s="285" t="str">
        <f>IFERROR(__xludf.DUMMYFUNCTION("""COMPUTED_VALUE"""),"2602D033")</f>
        <v>2602D033</v>
      </c>
      <c r="AD190" s="286">
        <f>IFERROR(__xludf.DUMMYFUNCTION("""COMPUTED_VALUE"""),46061.0)</f>
        <v>46061</v>
      </c>
      <c r="AE190" s="285" t="str">
        <f>IFERROR(__xludf.DUMMYFUNCTION("""COMPUTED_VALUE"""),"HudaAdi")</f>
        <v>HudaAdi</v>
      </c>
      <c r="AF190" s="285" t="str">
        <f>IFERROR(__xludf.DUMMYFUNCTION("""COMPUTED_VALUE"""),"087837134619")</f>
        <v>087837134619</v>
      </c>
      <c r="AG190" s="285" t="str">
        <f>IFERROR(__xludf.DUMMYFUNCTION("""COMPUTED_VALUE"""),"Gagal")</f>
        <v>Gagal</v>
      </c>
      <c r="AH190" s="285" t="str">
        <f>IFERROR(__xludf.DUMMYFUNCTION("""COMPUTED_VALUE"""),"3H2M")</f>
        <v>3H2M</v>
      </c>
      <c r="AI190" s="287">
        <f>IFERROR(__xludf.DUMMYFUNCTION("""COMPUTED_VALUE"""),46121.0)</f>
        <v>46121</v>
      </c>
      <c r="AJ190" s="285">
        <f>IFERROR(__xludf.DUMMYFUNCTION("""COMPUTED_VALUE"""),100.0)</f>
        <v>100</v>
      </c>
      <c r="AK190" s="289">
        <f>IFERROR(__xludf.DUMMYFUNCTION("""COMPUTED_VALUE"""),2.5E8)</f>
        <v>250000000</v>
      </c>
      <c r="AL190" s="285" t="str">
        <f>IFERROR(__xludf.DUMMYFUNCTION("""COMPUTED_VALUE"""),"gagal, di FU gapernah balesss")</f>
        <v>gagal, di FU gapernah balesss</v>
      </c>
    </row>
    <row r="191">
      <c r="F191" s="285" t="str">
        <f>IFERROR(__xludf.DUMMYFUNCTION("""COMPUTED_VALUE"""),"2606D139")</f>
        <v>2606D139</v>
      </c>
      <c r="G191" s="286">
        <f>IFERROR(__xludf.DUMMYFUNCTION("""COMPUTED_VALUE"""),46191.0)</f>
        <v>46191</v>
      </c>
      <c r="H191" s="285" t="str">
        <f>IFERROR(__xludf.DUMMYFUNCTION("""COMPUTED_VALUE"""),"Tien Rostini")</f>
        <v>Tien Rostini</v>
      </c>
      <c r="I191" s="285" t="str">
        <f>IFERROR(__xludf.DUMMYFUNCTION("""COMPUTED_VALUE"""),"082126850024")</f>
        <v>082126850024</v>
      </c>
      <c r="J191" s="285" t="str">
        <f>IFERROR(__xludf.DUMMYFUNCTION("""COMPUTED_VALUE"""),"Leads Baru")</f>
        <v>Leads Baru</v>
      </c>
      <c r="K191" s="285" t="str">
        <f>IFERROR(__xludf.DUMMYFUNCTION("""COMPUTED_VALUE"""),"2h1m ")</f>
        <v>2h1m </v>
      </c>
      <c r="L191" s="287">
        <f>IFERROR(__xludf.DUMMYFUNCTION("""COMPUTED_VALUE"""),46209.0)</f>
        <v>46209</v>
      </c>
      <c r="M191" s="288">
        <f>IFERROR(__xludf.DUMMYFUNCTION("""COMPUTED_VALUE"""),5.0)</f>
        <v>5</v>
      </c>
      <c r="N191" s="289"/>
      <c r="O191" s="290" t="str">
        <f>IFERROR(__xludf.DUMMYFUNCTION("""COMPUTED_VALUE"""),"fu 28 juni")</f>
        <v>fu 28 juni</v>
      </c>
      <c r="P191" s="320"/>
      <c r="R191" s="285"/>
      <c r="S191" s="285"/>
      <c r="T191" s="285"/>
      <c r="U191" s="285"/>
      <c r="V191" s="285"/>
      <c r="W191" s="285"/>
      <c r="X191" s="285"/>
      <c r="Y191" s="285"/>
      <c r="Z191" s="285"/>
      <c r="AA191" s="285"/>
      <c r="AC191" s="285" t="str">
        <f>IFERROR(__xludf.DUMMYFUNCTION("""COMPUTED_VALUE"""),"2602D034")</f>
        <v>2602D034</v>
      </c>
      <c r="AD191" s="286">
        <f>IFERROR(__xludf.DUMMYFUNCTION("""COMPUTED_VALUE"""),46061.0)</f>
        <v>46061</v>
      </c>
      <c r="AE191" s="285" t="str">
        <f>IFERROR(__xludf.DUMMYFUNCTION("""COMPUTED_VALUE"""),"RH.Ghany")</f>
        <v>RH.Ghany</v>
      </c>
      <c r="AF191" s="285" t="str">
        <f>IFERROR(__xludf.DUMMYFUNCTION("""COMPUTED_VALUE"""),"081321845121")</f>
        <v>081321845121</v>
      </c>
      <c r="AG191" s="285" t="str">
        <f>IFERROR(__xludf.DUMMYFUNCTION("""COMPUTED_VALUE"""),"Gagal")</f>
        <v>Gagal</v>
      </c>
      <c r="AH191" s="285" t="str">
        <f>IFERROR(__xludf.DUMMYFUNCTION("""COMPUTED_VALUE"""),"MT")</f>
        <v>MT</v>
      </c>
      <c r="AI191" s="287"/>
      <c r="AJ191" s="285">
        <f>IFERROR(__xludf.DUMMYFUNCTION("""COMPUTED_VALUE"""),3.0)</f>
        <v>3</v>
      </c>
      <c r="AK191" s="289"/>
      <c r="AL191" s="285" t="str">
        <f>IFERROR(__xludf.DUMMYFUNCTION("""COMPUTED_VALUE"""),"tanya tanya")</f>
        <v>tanya tanya</v>
      </c>
    </row>
    <row r="192">
      <c r="F192" s="285" t="str">
        <f>IFERROR(__xludf.DUMMYFUNCTION("""COMPUTED_VALUE"""),"2606D143")</f>
        <v>2606D143</v>
      </c>
      <c r="G192" s="286">
        <f>IFERROR(__xludf.DUMMYFUNCTION("""COMPUTED_VALUE"""),46192.0)</f>
        <v>46192</v>
      </c>
      <c r="H192" s="285" t="str">
        <f>IFERROR(__xludf.DUMMYFUNCTION("""COMPUTED_VALUE"""),"Alya")</f>
        <v>Alya</v>
      </c>
      <c r="I192" s="285" t="str">
        <f>IFERROR(__xludf.DUMMYFUNCTION("""COMPUTED_VALUE"""),"085811382464")</f>
        <v>085811382464</v>
      </c>
      <c r="J192" s="285" t="str">
        <f>IFERROR(__xludf.DUMMYFUNCTION("""COMPUTED_VALUE"""),"Leads Baru")</f>
        <v>Leads Baru</v>
      </c>
      <c r="K192" s="285" t="str">
        <f>IFERROR(__xludf.DUMMYFUNCTION("""COMPUTED_VALUE"""),"Ot Harian")</f>
        <v>Ot Harian</v>
      </c>
      <c r="L192" s="287"/>
      <c r="M192" s="288">
        <f>IFERROR(__xludf.DUMMYFUNCTION("""COMPUTED_VALUE"""),2.0)</f>
        <v>2</v>
      </c>
      <c r="N192" s="289"/>
      <c r="O192" s="290" t="str">
        <f>IFERROR(__xludf.DUMMYFUNCTION("""COMPUTED_VALUE"""),"Fu 23 Juni")</f>
        <v>Fu 23 Juni</v>
      </c>
      <c r="P192" s="320"/>
      <c r="R192" s="285"/>
      <c r="S192" s="285"/>
      <c r="T192" s="285"/>
      <c r="U192" s="285"/>
      <c r="V192" s="285"/>
      <c r="W192" s="285"/>
      <c r="X192" s="285"/>
      <c r="Y192" s="285"/>
      <c r="Z192" s="285"/>
      <c r="AA192" s="285"/>
      <c r="AC192" s="285" t="str">
        <f>IFERROR(__xludf.DUMMYFUNCTION("""COMPUTED_VALUE"""),"2602D035")</f>
        <v>2602D035</v>
      </c>
      <c r="AD192" s="286">
        <f>IFERROR(__xludf.DUMMYFUNCTION("""COMPUTED_VALUE"""),46062.0)</f>
        <v>46062</v>
      </c>
      <c r="AE192" s="285" t="str">
        <f>IFERROR(__xludf.DUMMYFUNCTION("""COMPUTED_VALUE"""),"Risda")</f>
        <v>Risda</v>
      </c>
      <c r="AF192" s="285" t="str">
        <f>IFERROR(__xludf.DUMMYFUNCTION("""COMPUTED_VALUE"""),"08895370735")</f>
        <v>08895370735</v>
      </c>
      <c r="AG192" s="285" t="str">
        <f>IFERROR(__xludf.DUMMYFUNCTION("""COMPUTED_VALUE"""),"Gagal")</f>
        <v>Gagal</v>
      </c>
      <c r="AH192" s="285" t="str">
        <f>IFERROR(__xludf.DUMMYFUNCTION("""COMPUTED_VALUE"""),"OT")</f>
        <v>OT</v>
      </c>
      <c r="AI192" s="287"/>
      <c r="AJ192" s="285">
        <f>IFERROR(__xludf.DUMMYFUNCTION("""COMPUTED_VALUE"""),1.0)</f>
        <v>1</v>
      </c>
      <c r="AK192" s="289"/>
      <c r="AL192" s="285" t="str">
        <f>IFERROR(__xludf.DUMMYFUNCTION("""COMPUTED_VALUE"""),"belum ada barengan")</f>
        <v>belum ada barengan</v>
      </c>
    </row>
    <row r="193">
      <c r="F193" s="285" t="str">
        <f>IFERROR(__xludf.DUMMYFUNCTION("""COMPUTED_VALUE"""),"2606D144")</f>
        <v>2606D144</v>
      </c>
      <c r="G193" s="286">
        <f>IFERROR(__xludf.DUMMYFUNCTION("""COMPUTED_VALUE"""),46192.0)</f>
        <v>46192</v>
      </c>
      <c r="H193" s="285" t="str">
        <f>IFERROR(__xludf.DUMMYFUNCTION("""COMPUTED_VALUE"""),"Diamaulita")</f>
        <v>Diamaulita</v>
      </c>
      <c r="I193" s="285" t="str">
        <f>IFERROR(__xludf.DUMMYFUNCTION("""COMPUTED_VALUE"""),"085649481723")</f>
        <v>085649481723</v>
      </c>
      <c r="J193" s="285" t="str">
        <f>IFERROR(__xludf.DUMMYFUNCTION("""COMPUTED_VALUE"""),"Leads Baru")</f>
        <v>Leads Baru</v>
      </c>
      <c r="K193" s="285"/>
      <c r="L193" s="287"/>
      <c r="M193" s="288"/>
      <c r="N193" s="289"/>
      <c r="O193" s="290" t="str">
        <f>IFERROR(__xludf.DUMMYFUNCTION("""COMPUTED_VALUE"""),"FU 24 Juni")</f>
        <v>FU 24 Juni</v>
      </c>
      <c r="P193" s="320"/>
      <c r="R193" s="285"/>
      <c r="S193" s="285"/>
      <c r="T193" s="285"/>
      <c r="U193" s="285"/>
      <c r="V193" s="285"/>
      <c r="W193" s="285"/>
      <c r="X193" s="285"/>
      <c r="Y193" s="285"/>
      <c r="Z193" s="285"/>
      <c r="AA193" s="285"/>
      <c r="AC193" s="285" t="str">
        <f>IFERROR(__xludf.DUMMYFUNCTION("""COMPUTED_VALUE"""),"2602D036")</f>
        <v>2602D036</v>
      </c>
      <c r="AD193" s="286">
        <f>IFERROR(__xludf.DUMMYFUNCTION("""COMPUTED_VALUE"""),46062.0)</f>
        <v>46062</v>
      </c>
      <c r="AE193" s="285" t="str">
        <f>IFERROR(__xludf.DUMMYFUNCTION("""COMPUTED_VALUE"""),"Nasron")</f>
        <v>Nasron</v>
      </c>
      <c r="AF193" s="285" t="str">
        <f>IFERROR(__xludf.DUMMYFUNCTION("""COMPUTED_VALUE"""),"08980693688")</f>
        <v>08980693688</v>
      </c>
      <c r="AG193" s="285" t="str">
        <f>IFERROR(__xludf.DUMMYFUNCTION("""COMPUTED_VALUE"""),"Gagal")</f>
        <v>Gagal</v>
      </c>
      <c r="AH193" s="285" t="str">
        <f>IFERROR(__xludf.DUMMYFUNCTION("""COMPUTED_VALUE"""),"2D1N opsi B")</f>
        <v>2D1N opsi B</v>
      </c>
      <c r="AI193" s="287">
        <f>IFERROR(__xludf.DUMMYFUNCTION("""COMPUTED_VALUE"""),46119.0)</f>
        <v>46119</v>
      </c>
      <c r="AJ193" s="285">
        <f>IFERROR(__xludf.DUMMYFUNCTION("""COMPUTED_VALUE"""),2.0)</f>
        <v>2</v>
      </c>
      <c r="AK193" s="289">
        <f>IFERROR(__xludf.DUMMYFUNCTION("""COMPUTED_VALUE"""),4120000.0)</f>
        <v>4120000</v>
      </c>
      <c r="AL193" s="285" t="str">
        <f>IFERROR(__xludf.DUMMYFUNCTION("""COMPUTED_VALUE"""),"ganti destinasi serta waktu")</f>
        <v>ganti destinasi serta waktu</v>
      </c>
    </row>
    <row r="194">
      <c r="F194" s="285" t="str">
        <f>IFERROR(__xludf.DUMMYFUNCTION("""COMPUTED_VALUE"""),"2606D145")</f>
        <v>2606D145</v>
      </c>
      <c r="G194" s="286">
        <f>IFERROR(__xludf.DUMMYFUNCTION("""COMPUTED_VALUE"""),46193.0)</f>
        <v>46193</v>
      </c>
      <c r="H194" s="285" t="str">
        <f>IFERROR(__xludf.DUMMYFUNCTION("""COMPUTED_VALUE"""),"Salsa")</f>
        <v>Salsa</v>
      </c>
      <c r="I194" s="285" t="str">
        <f>IFERROR(__xludf.DUMMYFUNCTION("""COMPUTED_VALUE"""),"081228924392")</f>
        <v>081228924392</v>
      </c>
      <c r="J194" s="285" t="str">
        <f>IFERROR(__xludf.DUMMYFUNCTION("""COMPUTED_VALUE"""),"Leads Baru")</f>
        <v>Leads Baru</v>
      </c>
      <c r="K194" s="285" t="str">
        <f>IFERROR(__xludf.DUMMYFUNCTION("""COMPUTED_VALUE"""),"trip green island")</f>
        <v>trip green island</v>
      </c>
      <c r="L194" s="287"/>
      <c r="M194" s="288">
        <f>IFERROR(__xludf.DUMMYFUNCTION("""COMPUTED_VALUE"""),4.0)</f>
        <v>4</v>
      </c>
      <c r="N194" s="289"/>
      <c r="O194" s="290" t="str">
        <f>IFERROR(__xludf.DUMMYFUNCTION("""COMPUTED_VALUE"""),"FU 24 Juni")</f>
        <v>FU 24 Juni</v>
      </c>
      <c r="P194" s="320"/>
      <c r="R194" s="285"/>
      <c r="S194" s="285"/>
      <c r="T194" s="285"/>
      <c r="U194" s="285"/>
      <c r="V194" s="285"/>
      <c r="W194" s="285"/>
      <c r="X194" s="285"/>
      <c r="Y194" s="285"/>
      <c r="Z194" s="285"/>
      <c r="AA194" s="285"/>
      <c r="AC194" s="285" t="str">
        <f>IFERROR(__xludf.DUMMYFUNCTION("""COMPUTED_VALUE"""),"2602D037")</f>
        <v>2602D037</v>
      </c>
      <c r="AD194" s="286">
        <f>IFERROR(__xludf.DUMMYFUNCTION("""COMPUTED_VALUE"""),46062.0)</f>
        <v>46062</v>
      </c>
      <c r="AE194" s="285" t="str">
        <f>IFERROR(__xludf.DUMMYFUNCTION("""COMPUTED_VALUE"""),"laili")</f>
        <v>laili</v>
      </c>
      <c r="AF194" s="285" t="str">
        <f>IFERROR(__xludf.DUMMYFUNCTION("""COMPUTED_VALUE"""),"085707952271")</f>
        <v>085707952271</v>
      </c>
      <c r="AG194" s="285" t="str">
        <f>IFERROR(__xludf.DUMMYFUNCTION("""COMPUTED_VALUE"""),"Gagal")</f>
        <v>Gagal</v>
      </c>
      <c r="AH194" s="285" t="str">
        <f>IFERROR(__xludf.DUMMYFUNCTION("""COMPUTED_VALUE"""),"trip ijen")</f>
        <v>trip ijen</v>
      </c>
      <c r="AI194" s="287"/>
      <c r="AJ194" s="285"/>
      <c r="AK194" s="289"/>
      <c r="AL194" s="285" t="str">
        <f>IFERROR(__xludf.DUMMYFUNCTION("""COMPUTED_VALUE"""),"tidak ada jawaban")</f>
        <v>tidak ada jawaban</v>
      </c>
    </row>
    <row r="195">
      <c r="F195" s="285" t="str">
        <f>IFERROR(__xludf.DUMMYFUNCTION("""COMPUTED_VALUE"""),"2606D146")</f>
        <v>2606D146</v>
      </c>
      <c r="G195" s="286">
        <f>IFERROR(__xludf.DUMMYFUNCTION("""COMPUTED_VALUE"""),46193.0)</f>
        <v>46193</v>
      </c>
      <c r="H195" s="285" t="str">
        <f>IFERROR(__xludf.DUMMYFUNCTION("""COMPUTED_VALUE"""),"Aurelia Mitha")</f>
        <v>Aurelia Mitha</v>
      </c>
      <c r="I195" s="285" t="str">
        <f>IFERROR(__xludf.DUMMYFUNCTION("""COMPUTED_VALUE"""),"081227038958")</f>
        <v>081227038958</v>
      </c>
      <c r="J195" s="285" t="str">
        <f>IFERROR(__xludf.DUMMYFUNCTION("""COMPUTED_VALUE"""),"Leads Baru")</f>
        <v>Leads Baru</v>
      </c>
      <c r="K195" s="285" t="str">
        <f>IFERROR(__xludf.DUMMYFUNCTION("""COMPUTED_VALUE"""),"3h2m opsi A")</f>
        <v>3h2m opsi A</v>
      </c>
      <c r="L195" s="287"/>
      <c r="M195" s="288">
        <f>IFERROR(__xludf.DUMMYFUNCTION("""COMPUTED_VALUE"""),1.0)</f>
        <v>1</v>
      </c>
      <c r="N195" s="289"/>
      <c r="O195" s="290" t="str">
        <f>IFERROR(__xludf.DUMMYFUNCTION("""COMPUTED_VALUE"""),"kalau ada pendaftar lain dikabarin, FU 4 Juli")</f>
        <v>kalau ada pendaftar lain dikabarin, FU 4 Juli</v>
      </c>
      <c r="P195" s="320"/>
      <c r="R195" s="285"/>
      <c r="S195" s="285"/>
      <c r="T195" s="285"/>
      <c r="U195" s="285"/>
      <c r="V195" s="285"/>
      <c r="W195" s="285"/>
      <c r="X195" s="285"/>
      <c r="Y195" s="285"/>
      <c r="Z195" s="285"/>
      <c r="AA195" s="285"/>
      <c r="AC195" s="285" t="str">
        <f>IFERROR(__xludf.DUMMYFUNCTION("""COMPUTED_VALUE"""),"2602D038")</f>
        <v>2602D038</v>
      </c>
      <c r="AD195" s="286">
        <f>IFERROR(__xludf.DUMMYFUNCTION("""COMPUTED_VALUE"""),46063.0)</f>
        <v>46063</v>
      </c>
      <c r="AE195" s="285" t="str">
        <f>IFERROR(__xludf.DUMMYFUNCTION("""COMPUTED_VALUE"""),"evariyati")</f>
        <v>evariyati</v>
      </c>
      <c r="AF195" s="285" t="str">
        <f>IFERROR(__xludf.DUMMYFUNCTION("""COMPUTED_VALUE"""),"081361638989")</f>
        <v>081361638989</v>
      </c>
      <c r="AG195" s="285" t="str">
        <f>IFERROR(__xludf.DUMMYFUNCTION("""COMPUTED_VALUE"""),"Gagal")</f>
        <v>Gagal</v>
      </c>
      <c r="AH195" s="285" t="str">
        <f>IFERROR(__xludf.DUMMYFUNCTION("""COMPUTED_VALUE"""),"1D Trip ijen")</f>
        <v>1D Trip ijen</v>
      </c>
      <c r="AI195" s="287">
        <f>IFERROR(__xludf.DUMMYFUNCTION("""COMPUTED_VALUE"""),46069.0)</f>
        <v>46069</v>
      </c>
      <c r="AJ195" s="285">
        <f>IFERROR(__xludf.DUMMYFUNCTION("""COMPUTED_VALUE"""),7.0)</f>
        <v>7</v>
      </c>
      <c r="AK195" s="289"/>
      <c r="AL195" s="285" t="str">
        <f>IFERROR(__xludf.DUMMYFUNCTION("""COMPUTED_VALUE"""),"deal di trip bwi 2")</f>
        <v>deal di trip bwi 2</v>
      </c>
    </row>
    <row r="196">
      <c r="F196" s="285" t="str">
        <f>IFERROR(__xludf.DUMMYFUNCTION("""COMPUTED_VALUE"""),"2606D147")</f>
        <v>2606D147</v>
      </c>
      <c r="G196" s="286">
        <f>IFERROR(__xludf.DUMMYFUNCTION("""COMPUTED_VALUE"""),46193.0)</f>
        <v>46193</v>
      </c>
      <c r="H196" s="285" t="str">
        <f>IFERROR(__xludf.DUMMYFUNCTION("""COMPUTED_VALUE"""),"Irma Kharisma ")</f>
        <v>Irma Kharisma </v>
      </c>
      <c r="I196" s="285" t="str">
        <f>IFERROR(__xludf.DUMMYFUNCTION("""COMPUTED_VALUE"""),"081221400049")</f>
        <v>081221400049</v>
      </c>
      <c r="J196" s="285" t="str">
        <f>IFERROR(__xludf.DUMMYFUNCTION("""COMPUTED_VALUE"""),"Leads Baru")</f>
        <v>Leads Baru</v>
      </c>
      <c r="K196" s="285" t="str">
        <f>IFERROR(__xludf.DUMMYFUNCTION("""COMPUTED_VALUE"""),"paket family trip")</f>
        <v>paket family trip</v>
      </c>
      <c r="L196" s="287"/>
      <c r="M196" s="288">
        <f>IFERROR(__xludf.DUMMYFUNCTION("""COMPUTED_VALUE"""),5.0)</f>
        <v>5</v>
      </c>
      <c r="N196" s="289"/>
      <c r="O196" s="290" t="str">
        <f>IFERROR(__xludf.DUMMYFUNCTION("""COMPUTED_VALUE"""),"FU 26 Juni")</f>
        <v>FU 26 Juni</v>
      </c>
      <c r="P196" s="320"/>
      <c r="R196" s="285"/>
      <c r="S196" s="285"/>
      <c r="T196" s="285"/>
      <c r="U196" s="285"/>
      <c r="V196" s="285"/>
      <c r="W196" s="285"/>
      <c r="X196" s="285"/>
      <c r="Y196" s="285"/>
      <c r="Z196" s="285"/>
      <c r="AA196" s="285"/>
      <c r="AC196" s="285" t="str">
        <f>IFERROR(__xludf.DUMMYFUNCTION("""COMPUTED_VALUE"""),"2602D041")</f>
        <v>2602D041</v>
      </c>
      <c r="AD196" s="286">
        <f>IFERROR(__xludf.DUMMYFUNCTION("""COMPUTED_VALUE"""),46063.0)</f>
        <v>46063</v>
      </c>
      <c r="AE196" s="285" t="str">
        <f>IFERROR(__xludf.DUMMYFUNCTION("""COMPUTED_VALUE"""),"Bartosz")</f>
        <v>Bartosz</v>
      </c>
      <c r="AF196" s="285" t="str">
        <f>IFERROR(__xludf.DUMMYFUNCTION("""COMPUTED_VALUE"""),"31631776084")</f>
        <v>31631776084</v>
      </c>
      <c r="AG196" s="285" t="str">
        <f>IFERROR(__xludf.DUMMYFUNCTION("""COMPUTED_VALUE"""),"Gagal")</f>
        <v>Gagal</v>
      </c>
      <c r="AH196" s="285" t="str">
        <f>IFERROR(__xludf.DUMMYFUNCTION("""COMPUTED_VALUE"""),"I,PM,B")</f>
        <v>I,PM,B</v>
      </c>
      <c r="AI196" s="287">
        <f>IFERROR(__xludf.DUMMYFUNCTION("""COMPUTED_VALUE"""),46071.0)</f>
        <v>46071</v>
      </c>
      <c r="AJ196" s="285"/>
      <c r="AK196" s="289"/>
      <c r="AL196" s="285" t="str">
        <f>IFERROR(__xludf.DUMMYFUNCTION("""COMPUTED_VALUE"""),"follow up besok, tanggal 13")</f>
        <v>follow up besok, tanggal 13</v>
      </c>
    </row>
    <row r="197">
      <c r="F197" s="285" t="str">
        <f>IFERROR(__xludf.DUMMYFUNCTION("""COMPUTED_VALUE"""),"2606D148")</f>
        <v>2606D148</v>
      </c>
      <c r="G197" s="286">
        <f>IFERROR(__xludf.DUMMYFUNCTION("""COMPUTED_VALUE"""),46193.0)</f>
        <v>46193</v>
      </c>
      <c r="H197" s="285" t="str">
        <f>IFERROR(__xludf.DUMMYFUNCTION("""COMPUTED_VALUE"""),"Win")</f>
        <v>Win</v>
      </c>
      <c r="I197" s="285" t="str">
        <f>IFERROR(__xludf.DUMMYFUNCTION("""COMPUTED_VALUE"""),"081939048993")</f>
        <v>081939048993</v>
      </c>
      <c r="J197" s="285" t="str">
        <f>IFERROR(__xludf.DUMMYFUNCTION("""COMPUTED_VALUE"""),"Leads Baru")</f>
        <v>Leads Baru</v>
      </c>
      <c r="K197" s="285" t="str">
        <f>IFERROR(__xludf.DUMMYFUNCTION("""COMPUTED_VALUE"""),"3h2m opsi B")</f>
        <v>3h2m opsi B</v>
      </c>
      <c r="L197" s="287"/>
      <c r="M197" s="288"/>
      <c r="N197" s="289"/>
      <c r="O197" s="290" t="str">
        <f>IFERROR(__xludf.DUMMYFUNCTION("""COMPUTED_VALUE"""),"FU 26 Juni")</f>
        <v>FU 26 Juni</v>
      </c>
      <c r="P197" s="320"/>
      <c r="R197" s="285"/>
      <c r="S197" s="285"/>
      <c r="T197" s="285"/>
      <c r="U197" s="285"/>
      <c r="V197" s="285"/>
      <c r="W197" s="285"/>
      <c r="X197" s="285"/>
      <c r="Y197" s="285"/>
      <c r="Z197" s="285"/>
      <c r="AA197" s="285"/>
      <c r="AC197" s="285" t="str">
        <f>IFERROR(__xludf.DUMMYFUNCTION("""COMPUTED_VALUE"""),"2602D043")</f>
        <v>2602D043</v>
      </c>
      <c r="AD197" s="286">
        <f>IFERROR(__xludf.DUMMYFUNCTION("""COMPUTED_VALUE"""),46064.0)</f>
        <v>46064</v>
      </c>
      <c r="AE197" s="285" t="str">
        <f>IFERROR(__xludf.DUMMYFUNCTION("""COMPUTED_VALUE"""),"Evi Rinawati")</f>
        <v>Evi Rinawati</v>
      </c>
      <c r="AF197" s="285" t="str">
        <f>IFERROR(__xludf.DUMMYFUNCTION("""COMPUTED_VALUE"""),"082123333559")</f>
        <v>082123333559</v>
      </c>
      <c r="AG197" s="285" t="str">
        <f>IFERROR(__xludf.DUMMYFUNCTION("""COMPUTED_VALUE"""),"Gagal")</f>
        <v>Gagal</v>
      </c>
      <c r="AH197" s="285" t="str">
        <f>IFERROR(__xludf.DUMMYFUNCTION("""COMPUTED_VALUE"""),"trip ijen")</f>
        <v>trip ijen</v>
      </c>
      <c r="AI197" s="287">
        <f>IFERROR(__xludf.DUMMYFUNCTION("""COMPUTED_VALUE"""),46067.0)</f>
        <v>46067</v>
      </c>
      <c r="AJ197" s="285">
        <f>IFERROR(__xludf.DUMMYFUNCTION("""COMPUTED_VALUE"""),3.0)</f>
        <v>3</v>
      </c>
      <c r="AK197" s="289"/>
      <c r="AL197" s="285" t="str">
        <f>IFERROR(__xludf.DUMMYFUNCTION("""COMPUTED_VALUE"""),"ingin lihat blue fire, tp tidak ada")</f>
        <v>ingin lihat blue fire, tp tidak ada</v>
      </c>
    </row>
    <row r="198">
      <c r="F198" s="285" t="str">
        <f>IFERROR(__xludf.DUMMYFUNCTION("""COMPUTED_VALUE"""),"2606D149")</f>
        <v>2606D149</v>
      </c>
      <c r="G198" s="286">
        <f>IFERROR(__xludf.DUMMYFUNCTION("""COMPUTED_VALUE"""),46193.0)</f>
        <v>46193</v>
      </c>
      <c r="H198" s="285" t="str">
        <f>IFERROR(__xludf.DUMMYFUNCTION("""COMPUTED_VALUE"""),"Siti Fimbay")</f>
        <v>Siti Fimbay</v>
      </c>
      <c r="I198" s="285" t="str">
        <f>IFERROR(__xludf.DUMMYFUNCTION("""COMPUTED_VALUE"""),"085259020063")</f>
        <v>085259020063</v>
      </c>
      <c r="J198" s="285" t="str">
        <f>IFERROR(__xludf.DUMMYFUNCTION("""COMPUTED_VALUE"""),"Leads Baru")</f>
        <v>Leads Baru</v>
      </c>
      <c r="K198" s="285" t="str">
        <f>IFERROR(__xludf.DUMMYFUNCTION("""COMPUTED_VALUE"""),"3h2m opsi A")</f>
        <v>3h2m opsi A</v>
      </c>
      <c r="L198" s="287"/>
      <c r="M198" s="288">
        <f>IFERROR(__xludf.DUMMYFUNCTION("""COMPUTED_VALUE"""),2.0)</f>
        <v>2</v>
      </c>
      <c r="N198" s="289"/>
      <c r="O198" s="290" t="str">
        <f>IFERROR(__xludf.DUMMYFUNCTION("""COMPUTED_VALUE"""),"belum blasa lagi, FU 27 Juni")</f>
        <v>belum blasa lagi, FU 27 Juni</v>
      </c>
      <c r="P198" s="320"/>
      <c r="R198" s="285"/>
      <c r="S198" s="285"/>
      <c r="T198" s="285"/>
      <c r="U198" s="285"/>
      <c r="V198" s="285"/>
      <c r="W198" s="285"/>
      <c r="X198" s="285"/>
      <c r="Y198" s="285"/>
      <c r="Z198" s="285"/>
      <c r="AA198" s="285"/>
      <c r="AC198" s="285" t="str">
        <f>IFERROR(__xludf.DUMMYFUNCTION("""COMPUTED_VALUE"""),"2602D044")</f>
        <v>2602D044</v>
      </c>
      <c r="AD198" s="286">
        <f>IFERROR(__xludf.DUMMYFUNCTION("""COMPUTED_VALUE"""),46064.0)</f>
        <v>46064</v>
      </c>
      <c r="AE198" s="285" t="str">
        <f>IFERROR(__xludf.DUMMYFUNCTION("""COMPUTED_VALUE"""),"haf")</f>
        <v>haf</v>
      </c>
      <c r="AF198" s="285" t="str">
        <f>IFERROR(__xludf.DUMMYFUNCTION("""COMPUTED_VALUE"""),"085158139908")</f>
        <v>085158139908</v>
      </c>
      <c r="AG198" s="285" t="str">
        <f>IFERROR(__xludf.DUMMYFUNCTION("""COMPUTED_VALUE"""),"Gagal")</f>
        <v>Gagal</v>
      </c>
      <c r="AH198" s="285" t="str">
        <f>IFERROR(__xludf.DUMMYFUNCTION("""COMPUTED_VALUE"""),"trip MT")</f>
        <v>trip MT</v>
      </c>
      <c r="AI198" s="287"/>
      <c r="AJ198" s="285">
        <f>IFERROR(__xludf.DUMMYFUNCTION("""COMPUTED_VALUE"""),3.0)</f>
        <v>3</v>
      </c>
      <c r="AK198" s="289">
        <f>IFERROR(__xludf.DUMMYFUNCTION("""COMPUTED_VALUE"""),2379000.0)</f>
        <v>2379000</v>
      </c>
      <c r="AL198" s="285" t="str">
        <f>IFERROR(__xludf.DUMMYFUNCTION("""COMPUTED_VALUE"""),"tidak ada jawaban, sdh fu 5x")</f>
        <v>tidak ada jawaban, sdh fu 5x</v>
      </c>
    </row>
    <row r="199">
      <c r="F199" s="285" t="str">
        <f>IFERROR(__xludf.DUMMYFUNCTION("""COMPUTED_VALUE"""),"2606D152")</f>
        <v>2606D152</v>
      </c>
      <c r="G199" s="286">
        <f>IFERROR(__xludf.DUMMYFUNCTION("""COMPUTED_VALUE"""),46193.0)</f>
        <v>46193</v>
      </c>
      <c r="H199" s="285" t="str">
        <f>IFERROR(__xludf.DUMMYFUNCTION("""COMPUTED_VALUE"""),"May")</f>
        <v>May</v>
      </c>
      <c r="I199" s="285" t="str">
        <f>IFERROR(__xludf.DUMMYFUNCTION("""COMPUTED_VALUE"""),"0895340964490")</f>
        <v>0895340964490</v>
      </c>
      <c r="J199" s="285" t="str">
        <f>IFERROR(__xludf.DUMMYFUNCTION("""COMPUTED_VALUE"""),"Leads Baru")</f>
        <v>Leads Baru</v>
      </c>
      <c r="K199" s="285" t="str">
        <f>IFERROR(__xludf.DUMMYFUNCTION("""COMPUTED_VALUE"""),"3h2m custome")</f>
        <v>3h2m custome</v>
      </c>
      <c r="L199" s="287"/>
      <c r="M199" s="288">
        <f>IFERROR(__xludf.DUMMYFUNCTION("""COMPUTED_VALUE"""),4.0)</f>
        <v>4</v>
      </c>
      <c r="N199" s="289"/>
      <c r="O199" s="290" t="str">
        <f>IFERROR(__xludf.DUMMYFUNCTION("""COMPUTED_VALUE"""),"diskusi dulu, FU 9 Juli")</f>
        <v>diskusi dulu, FU 9 Juli</v>
      </c>
      <c r="P199" s="320"/>
      <c r="R199" s="285"/>
      <c r="S199" s="285"/>
      <c r="T199" s="285"/>
      <c r="U199" s="285"/>
      <c r="V199" s="285"/>
      <c r="W199" s="285"/>
      <c r="X199" s="285"/>
      <c r="Y199" s="285"/>
      <c r="Z199" s="285"/>
      <c r="AA199" s="285"/>
      <c r="AC199" s="285" t="str">
        <f>IFERROR(__xludf.DUMMYFUNCTION("""COMPUTED_VALUE"""),"2602D046")</f>
        <v>2602D046</v>
      </c>
      <c r="AD199" s="286">
        <f>IFERROR(__xludf.DUMMYFUNCTION("""COMPUTED_VALUE"""),46065.0)</f>
        <v>46065</v>
      </c>
      <c r="AE199" s="285" t="str">
        <f>IFERROR(__xludf.DUMMYFUNCTION("""COMPUTED_VALUE"""),"Andriono Dermawan")</f>
        <v>Andriono Dermawan</v>
      </c>
      <c r="AF199" s="285" t="str">
        <f>IFERROR(__xludf.DUMMYFUNCTION("""COMPUTED_VALUE"""),"081335176528")</f>
        <v>081335176528</v>
      </c>
      <c r="AG199" s="285" t="str">
        <f>IFERROR(__xludf.DUMMYFUNCTION("""COMPUTED_VALUE"""),"Gagal")</f>
        <v>Gagal</v>
      </c>
      <c r="AH199" s="285" t="str">
        <f>IFERROR(__xludf.DUMMYFUNCTION("""COMPUTED_VALUE"""),"1 day trip")</f>
        <v>1 day trip</v>
      </c>
      <c r="AI199" s="287"/>
      <c r="AJ199" s="285"/>
      <c r="AK199" s="289"/>
      <c r="AL199" s="285" t="str">
        <f>IFERROR(__xludf.DUMMYFUNCTION("""COMPUTED_VALUE"""),"cek katalog")</f>
        <v>cek katalog</v>
      </c>
    </row>
    <row r="200">
      <c r="F200" s="285" t="str">
        <f>IFERROR(__xludf.DUMMYFUNCTION("""COMPUTED_VALUE"""),"2606D153")</f>
        <v>2606D153</v>
      </c>
      <c r="G200" s="286">
        <f>IFERROR(__xludf.DUMMYFUNCTION("""COMPUTED_VALUE"""),46193.0)</f>
        <v>46193</v>
      </c>
      <c r="H200" s="285" t="str">
        <f>IFERROR(__xludf.DUMMYFUNCTION("""COMPUTED_VALUE"""),"Yizhuo Ying")</f>
        <v>Yizhuo Ying</v>
      </c>
      <c r="I200" s="285" t="str">
        <f>IFERROR(__xludf.DUMMYFUNCTION("""COMPUTED_VALUE"""),"0447718635730")</f>
        <v>0447718635730</v>
      </c>
      <c r="J200" s="285" t="str">
        <f>IFERROR(__xludf.DUMMYFUNCTION("""COMPUTED_VALUE"""),"Leads Baru")</f>
        <v>Leads Baru</v>
      </c>
      <c r="K200" s="285" t="str">
        <f>IFERROR(__xludf.DUMMYFUNCTION("""COMPUTED_VALUE"""),"OT Ijen")</f>
        <v>OT Ijen</v>
      </c>
      <c r="L200" s="287"/>
      <c r="M200" s="288">
        <f>IFERROR(__xludf.DUMMYFUNCTION("""COMPUTED_VALUE"""),1.0)</f>
        <v>1</v>
      </c>
      <c r="N200" s="289"/>
      <c r="O200" s="290" t="str">
        <f>IFERROR(__xludf.DUMMYFUNCTION("""COMPUTED_VALUE"""),"FU 23 Juni")</f>
        <v>FU 23 Juni</v>
      </c>
      <c r="P200" s="320"/>
      <c r="R200" s="285"/>
      <c r="S200" s="285"/>
      <c r="T200" s="285"/>
      <c r="U200" s="285"/>
      <c r="V200" s="285"/>
      <c r="W200" s="285"/>
      <c r="X200" s="285"/>
      <c r="Y200" s="285"/>
      <c r="Z200" s="285"/>
      <c r="AA200" s="285"/>
      <c r="AC200" s="285" t="str">
        <f>IFERROR(__xludf.DUMMYFUNCTION("""COMPUTED_VALUE"""),"2602D047")</f>
        <v>2602D047</v>
      </c>
      <c r="AD200" s="286">
        <f>IFERROR(__xludf.DUMMYFUNCTION("""COMPUTED_VALUE"""),46066.0)</f>
        <v>46066</v>
      </c>
      <c r="AE200" s="285" t="str">
        <f>IFERROR(__xludf.DUMMYFUNCTION("""COMPUTED_VALUE"""),"Dewi")</f>
        <v>Dewi</v>
      </c>
      <c r="AF200" s="285" t="str">
        <f>IFERROR(__xludf.DUMMYFUNCTION("""COMPUTED_VALUE"""),"08118403311")</f>
        <v>08118403311</v>
      </c>
      <c r="AG200" s="285" t="str">
        <f>IFERROR(__xludf.DUMMYFUNCTION("""COMPUTED_VALUE"""),"Gagal")</f>
        <v>Gagal</v>
      </c>
      <c r="AH200" s="285" t="str">
        <f>IFERROR(__xludf.DUMMYFUNCTION("""COMPUTED_VALUE"""),"Trip Ijen")</f>
        <v>Trip Ijen</v>
      </c>
      <c r="AI200" s="287"/>
      <c r="AJ200" s="285">
        <f>IFERROR(__xludf.DUMMYFUNCTION("""COMPUTED_VALUE"""),5.0)</f>
        <v>5</v>
      </c>
      <c r="AK200" s="289"/>
      <c r="AL200" s="285" t="str">
        <f>IFERROR(__xludf.DUMMYFUNCTION("""COMPUTED_VALUE"""),"ga jadi, over budget")</f>
        <v>ga jadi, over budget</v>
      </c>
    </row>
    <row r="201">
      <c r="F201" s="285" t="str">
        <f>IFERROR(__xludf.DUMMYFUNCTION("""COMPUTED_VALUE"""),"2606D154")</f>
        <v>2606D154</v>
      </c>
      <c r="G201" s="286">
        <f>IFERROR(__xludf.DUMMYFUNCTION("""COMPUTED_VALUE"""),46193.0)</f>
        <v>46193</v>
      </c>
      <c r="H201" s="285" t="str">
        <f>IFERROR(__xludf.DUMMYFUNCTION("""COMPUTED_VALUE"""),"Binta Ihtada")</f>
        <v>Binta Ihtada</v>
      </c>
      <c r="I201" s="285" t="str">
        <f>IFERROR(__xludf.DUMMYFUNCTION("""COMPUTED_VALUE"""),"085281202621")</f>
        <v>085281202621</v>
      </c>
      <c r="J201" s="285" t="str">
        <f>IFERROR(__xludf.DUMMYFUNCTION("""COMPUTED_VALUE"""),"Leads Baru")</f>
        <v>Leads Baru</v>
      </c>
      <c r="K201" s="285" t="str">
        <f>IFERROR(__xludf.DUMMYFUNCTION("""COMPUTED_VALUE"""),"OT 3H2M")</f>
        <v>OT 3H2M</v>
      </c>
      <c r="L201" s="287"/>
      <c r="M201" s="288">
        <f>IFERROR(__xludf.DUMMYFUNCTION("""COMPUTED_VALUE"""),2.0)</f>
        <v>2</v>
      </c>
      <c r="N201" s="289"/>
      <c r="O201" s="290" t="str">
        <f>IFERROR(__xludf.DUMMYFUNCTION("""COMPUTED_VALUE"""),"FU 2 Agustus")</f>
        <v>FU 2 Agustus</v>
      </c>
      <c r="P201" s="320"/>
      <c r="R201" s="285"/>
      <c r="S201" s="285"/>
      <c r="T201" s="285"/>
      <c r="U201" s="285"/>
      <c r="V201" s="285"/>
      <c r="W201" s="285"/>
      <c r="X201" s="285"/>
      <c r="Y201" s="285"/>
      <c r="Z201" s="285"/>
      <c r="AA201" s="285"/>
      <c r="AC201" s="285" t="str">
        <f>IFERROR(__xludf.DUMMYFUNCTION("""COMPUTED_VALUE"""),"2602D048")</f>
        <v>2602D048</v>
      </c>
      <c r="AD201" s="286">
        <f>IFERROR(__xludf.DUMMYFUNCTION("""COMPUTED_VALUE"""),46066.0)</f>
        <v>46066</v>
      </c>
      <c r="AE201" s="285" t="str">
        <f>IFERROR(__xludf.DUMMYFUNCTION("""COMPUTED_VALUE"""),"12")</f>
        <v>12</v>
      </c>
      <c r="AF201" s="285" t="str">
        <f>IFERROR(__xludf.DUMMYFUNCTION("""COMPUTED_VALUE"""),"082281836204")</f>
        <v>082281836204</v>
      </c>
      <c r="AG201" s="285" t="str">
        <f>IFERROR(__xludf.DUMMYFUNCTION("""COMPUTED_VALUE"""),"Gagal")</f>
        <v>Gagal</v>
      </c>
      <c r="AH201" s="285" t="str">
        <f>IFERROR(__xludf.DUMMYFUNCTION("""COMPUTED_VALUE"""),"3H2M")</f>
        <v>3H2M</v>
      </c>
      <c r="AI201" s="287">
        <f>IFERROR(__xludf.DUMMYFUNCTION("""COMPUTED_VALUE"""),46104.0)</f>
        <v>46104</v>
      </c>
      <c r="AJ201" s="285"/>
      <c r="AK201" s="289">
        <f>IFERROR(__xludf.DUMMYFUNCTION("""COMPUTED_VALUE"""),7080000.0)</f>
        <v>7080000</v>
      </c>
      <c r="AL201" s="285" t="str">
        <f>IFERROR(__xludf.DUMMYFUNCTION("""COMPUTED_VALUE"""),"tidak ada jawaban")</f>
        <v>tidak ada jawaban</v>
      </c>
    </row>
    <row r="202">
      <c r="F202" s="285" t="str">
        <f>IFERROR(__xludf.DUMMYFUNCTION("""COMPUTED_VALUE"""),"2606D155")</f>
        <v>2606D155</v>
      </c>
      <c r="G202" s="286">
        <f>IFERROR(__xludf.DUMMYFUNCTION("""COMPUTED_VALUE"""),46194.0)</f>
        <v>46194</v>
      </c>
      <c r="H202" s="285" t="str">
        <f>IFERROR(__xludf.DUMMYFUNCTION("""COMPUTED_VALUE"""),"Rizkapulung")</f>
        <v>Rizkapulung</v>
      </c>
      <c r="I202" s="285" t="str">
        <f>IFERROR(__xludf.DUMMYFUNCTION("""COMPUTED_VALUE"""),"085643119425")</f>
        <v>085643119425</v>
      </c>
      <c r="J202" s="285" t="str">
        <f>IFERROR(__xludf.DUMMYFUNCTION("""COMPUTED_VALUE"""),"Leads Baru")</f>
        <v>Leads Baru</v>
      </c>
      <c r="K202" s="285"/>
      <c r="L202" s="287"/>
      <c r="M202" s="288"/>
      <c r="N202" s="289"/>
      <c r="O202" s="290" t="str">
        <f>IFERROR(__xludf.DUMMYFUNCTION("""COMPUTED_VALUE"""),"belum balas lagi, FU 24 Juni")</f>
        <v>belum balas lagi, FU 24 Juni</v>
      </c>
      <c r="P202" s="320"/>
      <c r="R202" s="285"/>
      <c r="S202" s="285"/>
      <c r="T202" s="285"/>
      <c r="U202" s="285"/>
      <c r="V202" s="285"/>
      <c r="W202" s="285"/>
      <c r="X202" s="285"/>
      <c r="Y202" s="285"/>
      <c r="Z202" s="285"/>
      <c r="AA202" s="285"/>
      <c r="AC202" s="285" t="str">
        <f>IFERROR(__xludf.DUMMYFUNCTION("""COMPUTED_VALUE"""),"2602D049")</f>
        <v>2602D049</v>
      </c>
      <c r="AD202" s="286">
        <f>IFERROR(__xludf.DUMMYFUNCTION("""COMPUTED_VALUE"""),46067.0)</f>
        <v>46067</v>
      </c>
      <c r="AE202" s="285" t="str">
        <f>IFERROR(__xludf.DUMMYFUNCTION("""COMPUTED_VALUE"""),"Roza Amalia")</f>
        <v>Roza Amalia</v>
      </c>
      <c r="AF202" s="285" t="str">
        <f>IFERROR(__xludf.DUMMYFUNCTION("""COMPUTED_VALUE"""),"085296900029")</f>
        <v>085296900029</v>
      </c>
      <c r="AG202" s="285" t="str">
        <f>IFERROR(__xludf.DUMMYFUNCTION("""COMPUTED_VALUE"""),"Gagal")</f>
        <v>Gagal</v>
      </c>
      <c r="AH202" s="285" t="str">
        <f>IFERROR(__xludf.DUMMYFUNCTION("""COMPUTED_VALUE"""),"trip baluran")</f>
        <v>trip baluran</v>
      </c>
      <c r="AI202" s="287"/>
      <c r="AJ202" s="285"/>
      <c r="AK202" s="289"/>
      <c r="AL202" s="285" t="str">
        <f>IFERROR(__xludf.DUMMYFUNCTION("""COMPUTED_VALUE"""),"pakai trip sebelah")</f>
        <v>pakai trip sebelah</v>
      </c>
    </row>
    <row r="203">
      <c r="F203" s="285" t="str">
        <f>IFERROR(__xludf.DUMMYFUNCTION("""COMPUTED_VALUE"""),"2606D156")</f>
        <v>2606D156</v>
      </c>
      <c r="G203" s="286">
        <f>IFERROR(__xludf.DUMMYFUNCTION("""COMPUTED_VALUE"""),46194.0)</f>
        <v>46194</v>
      </c>
      <c r="H203" s="285" t="str">
        <f>IFERROR(__xludf.DUMMYFUNCTION("""COMPUTED_VALUE"""),"Nur Syifa Azrya")</f>
        <v>Nur Syifa Azrya</v>
      </c>
      <c r="I203" s="285" t="str">
        <f>IFERROR(__xludf.DUMMYFUNCTION("""COMPUTED_VALUE"""),"08978101222")</f>
        <v>08978101222</v>
      </c>
      <c r="J203" s="285" t="str">
        <f>IFERROR(__xludf.DUMMYFUNCTION("""COMPUTED_VALUE"""),"Leads Baru")</f>
        <v>Leads Baru</v>
      </c>
      <c r="K203" s="285" t="str">
        <f>IFERROR(__xludf.DUMMYFUNCTION("""COMPUTED_VALUE"""),"3h2m opsi A")</f>
        <v>3h2m opsi A</v>
      </c>
      <c r="L203" s="287"/>
      <c r="M203" s="288"/>
      <c r="N203" s="289"/>
      <c r="O203" s="290" t="str">
        <f>IFERROR(__xludf.DUMMYFUNCTION("""COMPUTED_VALUE"""),"minta additional GI, FU 24 Juni")</f>
        <v>minta additional GI, FU 24 Juni</v>
      </c>
      <c r="P203" s="320"/>
      <c r="R203" s="285"/>
      <c r="S203" s="285"/>
      <c r="T203" s="285"/>
      <c r="U203" s="285"/>
      <c r="V203" s="285"/>
      <c r="W203" s="285"/>
      <c r="X203" s="285"/>
      <c r="Y203" s="285"/>
      <c r="Z203" s="285"/>
      <c r="AA203" s="285"/>
      <c r="AC203" s="285" t="str">
        <f>IFERROR(__xludf.DUMMYFUNCTION("""COMPUTED_VALUE"""),"2602D051")</f>
        <v>2602D051</v>
      </c>
      <c r="AD203" s="286">
        <f>IFERROR(__xludf.DUMMYFUNCTION("""COMPUTED_VALUE"""),46067.0)</f>
        <v>46067</v>
      </c>
      <c r="AE203" s="285" t="str">
        <f>IFERROR(__xludf.DUMMYFUNCTION("""COMPUTED_VALUE"""),"Ida Parwati Pramitha Sari")</f>
        <v>Ida Parwati Pramitha Sari</v>
      </c>
      <c r="AF203" s="285" t="str">
        <f>IFERROR(__xludf.DUMMYFUNCTION("""COMPUTED_VALUE"""),"081316547366")</f>
        <v>081316547366</v>
      </c>
      <c r="AG203" s="285" t="str">
        <f>IFERROR(__xludf.DUMMYFUNCTION("""COMPUTED_VALUE"""),"Gagal")</f>
        <v>Gagal</v>
      </c>
      <c r="AH203" s="285" t="str">
        <f>IFERROR(__xludf.DUMMYFUNCTION("""COMPUTED_VALUE"""),"3H2M opsi B")</f>
        <v>3H2M opsi B</v>
      </c>
      <c r="AI203" s="287">
        <f>IFERROR(__xludf.DUMMYFUNCTION("""COMPUTED_VALUE"""),46186.0)</f>
        <v>46186</v>
      </c>
      <c r="AJ203" s="285">
        <f>IFERROR(__xludf.DUMMYFUNCTION("""COMPUTED_VALUE"""),6.0)</f>
        <v>6</v>
      </c>
      <c r="AK203" s="289">
        <f>IFERROR(__xludf.DUMMYFUNCTION("""COMPUTED_VALUE"""),1.2414E7)</f>
        <v>12414000</v>
      </c>
      <c r="AL203" s="285" t="str">
        <f>IFERROR(__xludf.DUMMYFUNCTION("""COMPUTED_VALUE"""),"masih nunggu waktu liburan, nanti dikabarin lagi ")</f>
        <v>masih nunggu waktu liburan, nanti dikabarin lagi </v>
      </c>
    </row>
    <row r="204">
      <c r="F204" s="285" t="str">
        <f>IFERROR(__xludf.DUMMYFUNCTION("""COMPUTED_VALUE"""),"2606D157")</f>
        <v>2606D157</v>
      </c>
      <c r="G204" s="286">
        <f>IFERROR(__xludf.DUMMYFUNCTION("""COMPUTED_VALUE"""),46190.0)</f>
        <v>46190</v>
      </c>
      <c r="H204" s="285" t="str">
        <f>IFERROR(__xludf.DUMMYFUNCTION("""COMPUTED_VALUE"""),"Ichiocha")</f>
        <v>Ichiocha</v>
      </c>
      <c r="I204" s="285" t="str">
        <f>IFERROR(__xludf.DUMMYFUNCTION("""COMPUTED_VALUE"""),"085646688307")</f>
        <v>085646688307</v>
      </c>
      <c r="J204" s="285" t="str">
        <f>IFERROR(__xludf.DUMMYFUNCTION("""COMPUTED_VALUE"""),"Leads Baru")</f>
        <v>Leads Baru</v>
      </c>
      <c r="K204" s="285" t="str">
        <f>IFERROR(__xludf.DUMMYFUNCTION("""COMPUTED_VALUE"""),"OT MT")</f>
        <v>OT MT</v>
      </c>
      <c r="L204" s="287"/>
      <c r="M204" s="288"/>
      <c r="N204" s="289"/>
      <c r="O204" s="290" t="str">
        <f>IFERROR(__xludf.DUMMYFUNCTION("""COMPUTED_VALUE"""),"tanya paddle, FU 25 Juni")</f>
        <v>tanya paddle, FU 25 Juni</v>
      </c>
      <c r="P204" s="320"/>
      <c r="R204" s="285"/>
      <c r="S204" s="285"/>
      <c r="T204" s="285"/>
      <c r="U204" s="285"/>
      <c r="V204" s="285"/>
      <c r="W204" s="285"/>
      <c r="X204" s="285"/>
      <c r="Y204" s="285"/>
      <c r="Z204" s="285"/>
      <c r="AA204" s="285"/>
      <c r="AC204" s="285" t="str">
        <f>IFERROR(__xludf.DUMMYFUNCTION("""COMPUTED_VALUE"""),"2602D052")</f>
        <v>2602D052</v>
      </c>
      <c r="AD204" s="286">
        <f>IFERROR(__xludf.DUMMYFUNCTION("""COMPUTED_VALUE"""),46068.0)</f>
        <v>46068</v>
      </c>
      <c r="AE204" s="285" t="str">
        <f>IFERROR(__xludf.DUMMYFUNCTION("""COMPUTED_VALUE"""),"Safana")</f>
        <v>Safana</v>
      </c>
      <c r="AF204" s="285" t="str">
        <f>IFERROR(__xludf.DUMMYFUNCTION("""COMPUTED_VALUE"""),"087820051127")</f>
        <v>087820051127</v>
      </c>
      <c r="AG204" s="285" t="str">
        <f>IFERROR(__xludf.DUMMYFUNCTION("""COMPUTED_VALUE"""),"Gagal")</f>
        <v>Gagal</v>
      </c>
      <c r="AH204" s="285" t="str">
        <f>IFERROR(__xludf.DUMMYFUNCTION("""COMPUTED_VALUE"""),"one day TN Baluran")</f>
        <v>one day TN Baluran</v>
      </c>
      <c r="AI204" s="287">
        <f>IFERROR(__xludf.DUMMYFUNCTION("""COMPUTED_VALUE"""),46068.0)</f>
        <v>46068</v>
      </c>
      <c r="AJ204" s="285">
        <f>IFERROR(__xludf.DUMMYFUNCTION("""COMPUTED_VALUE"""),3.0)</f>
        <v>3</v>
      </c>
      <c r="AK204" s="289">
        <f>IFERROR(__xludf.DUMMYFUNCTION("""COMPUTED_VALUE"""),1674000.0)</f>
        <v>1674000</v>
      </c>
      <c r="AL204" s="285" t="str">
        <f>IFERROR(__xludf.DUMMYFUNCTION("""COMPUTED_VALUE"""),"full booked")</f>
        <v>full booked</v>
      </c>
    </row>
    <row r="205">
      <c r="F205" s="285" t="str">
        <f>IFERROR(__xludf.DUMMYFUNCTION("""COMPUTED_VALUE"""),"2606D158")</f>
        <v>2606D158</v>
      </c>
      <c r="G205" s="286">
        <f>IFERROR(__xludf.DUMMYFUNCTION("""COMPUTED_VALUE"""),46192.0)</f>
        <v>46192</v>
      </c>
      <c r="H205" s="285" t="str">
        <f>IFERROR(__xludf.DUMMYFUNCTION("""COMPUTED_VALUE"""),"Abdusyekti")</f>
        <v>Abdusyekti</v>
      </c>
      <c r="I205" s="285" t="str">
        <f>IFERROR(__xludf.DUMMYFUNCTION("""COMPUTED_VALUE"""),"085258810812")</f>
        <v>085258810812</v>
      </c>
      <c r="J205" s="285" t="str">
        <f>IFERROR(__xludf.DUMMYFUNCTION("""COMPUTED_VALUE"""),"Leads Baru")</f>
        <v>Leads Baru</v>
      </c>
      <c r="K205" s="285"/>
      <c r="L205" s="287"/>
      <c r="M205" s="288"/>
      <c r="N205" s="289"/>
      <c r="O205" s="290" t="str">
        <f>IFERROR(__xludf.DUMMYFUNCTION("""COMPUTED_VALUE"""),"baru menyapa")</f>
        <v>baru menyapa</v>
      </c>
      <c r="P205" s="320"/>
      <c r="R205" s="285"/>
      <c r="S205" s="285"/>
      <c r="T205" s="285"/>
      <c r="U205" s="285"/>
      <c r="V205" s="285"/>
      <c r="W205" s="285"/>
      <c r="X205" s="285"/>
      <c r="Y205" s="285"/>
      <c r="Z205" s="285"/>
      <c r="AA205" s="285"/>
      <c r="AC205" s="285" t="str">
        <f>IFERROR(__xludf.DUMMYFUNCTION("""COMPUTED_VALUE"""),"2602D053")</f>
        <v>2602D053</v>
      </c>
      <c r="AD205" s="286">
        <f>IFERROR(__xludf.DUMMYFUNCTION("""COMPUTED_VALUE"""),46068.0)</f>
        <v>46068</v>
      </c>
      <c r="AE205" s="285" t="str">
        <f>IFERROR(__xludf.DUMMYFUNCTION("""COMPUTED_VALUE"""),"Bumigora Holidays")</f>
        <v>Bumigora Holidays</v>
      </c>
      <c r="AF205" s="285" t="str">
        <f>IFERROR(__xludf.DUMMYFUNCTION("""COMPUTED_VALUE"""),"085792960742")</f>
        <v>085792960742</v>
      </c>
      <c r="AG205" s="285" t="str">
        <f>IFERROR(__xludf.DUMMYFUNCTION("""COMPUTED_VALUE"""),"Gagal")</f>
        <v>Gagal</v>
      </c>
      <c r="AH205" s="285" t="str">
        <f>IFERROR(__xludf.DUMMYFUNCTION("""COMPUTED_VALUE"""),"one day trip")</f>
        <v>one day trip</v>
      </c>
      <c r="AI205" s="287"/>
      <c r="AJ205" s="285"/>
      <c r="AK205" s="289"/>
      <c r="AL205" s="285" t="str">
        <f>IFERROR(__xludf.DUMMYFUNCTION("""COMPUTED_VALUE"""),"overbudget")</f>
        <v>overbudget</v>
      </c>
    </row>
    <row r="206">
      <c r="F206" s="285" t="str">
        <f>IFERROR(__xludf.DUMMYFUNCTION("""COMPUTED_VALUE"""),"2606D160")</f>
        <v>2606D160</v>
      </c>
      <c r="G206" s="286">
        <f>IFERROR(__xludf.DUMMYFUNCTION("""COMPUTED_VALUE"""),46194.0)</f>
        <v>46194</v>
      </c>
      <c r="H206" s="285" t="str">
        <f>IFERROR(__xludf.DUMMYFUNCTION("""COMPUTED_VALUE"""),"Frisda")</f>
        <v>Frisda</v>
      </c>
      <c r="I206" s="285" t="str">
        <f>IFERROR(__xludf.DUMMYFUNCTION("""COMPUTED_VALUE"""),"0818789246")</f>
        <v>0818789246</v>
      </c>
      <c r="J206" s="285" t="str">
        <f>IFERROR(__xludf.DUMMYFUNCTION("""COMPUTED_VALUE"""),"Leads Baru")</f>
        <v>Leads Baru</v>
      </c>
      <c r="K206" s="285"/>
      <c r="L206" s="287"/>
      <c r="M206" s="288">
        <f>IFERROR(__xludf.DUMMYFUNCTION("""COMPUTED_VALUE"""),4.0)</f>
        <v>4</v>
      </c>
      <c r="N206" s="289"/>
      <c r="O206" s="290" t="str">
        <f>IFERROR(__xludf.DUMMYFUNCTION("""COMPUTED_VALUE"""),"masih menyapa, FU 23 Juni")</f>
        <v>masih menyapa, FU 23 Juni</v>
      </c>
      <c r="P206" s="320"/>
      <c r="R206" s="285"/>
      <c r="S206" s="285"/>
      <c r="T206" s="285"/>
      <c r="U206" s="285"/>
      <c r="V206" s="285"/>
      <c r="W206" s="285"/>
      <c r="X206" s="285"/>
      <c r="Y206" s="285"/>
      <c r="Z206" s="285"/>
      <c r="AA206" s="285"/>
      <c r="AC206" s="285" t="str">
        <f>IFERROR(__xludf.DUMMYFUNCTION("""COMPUTED_VALUE"""),"2602D055")</f>
        <v>2602D055</v>
      </c>
      <c r="AD206" s="286">
        <f>IFERROR(__xludf.DUMMYFUNCTION("""COMPUTED_VALUE"""),46068.0)</f>
        <v>46068</v>
      </c>
      <c r="AE206" s="285" t="str">
        <f>IFERROR(__xludf.DUMMYFUNCTION("""COMPUTED_VALUE"""),"Dea")</f>
        <v>Dea</v>
      </c>
      <c r="AF206" s="285" t="str">
        <f>IFERROR(__xludf.DUMMYFUNCTION("""COMPUTED_VALUE"""),"081343483155")</f>
        <v>081343483155</v>
      </c>
      <c r="AG206" s="285" t="str">
        <f>IFERROR(__xludf.DUMMYFUNCTION("""COMPUTED_VALUE"""),"Gagal")</f>
        <v>Gagal</v>
      </c>
      <c r="AH206" s="285" t="str">
        <f>IFERROR(__xludf.DUMMYFUNCTION("""COMPUTED_VALUE"""),"Paket Trip Pulau bedil + Trip Kawah Ijen")</f>
        <v>Paket Trip Pulau bedil + Trip Kawah Ijen</v>
      </c>
      <c r="AI206" s="287"/>
      <c r="AJ206" s="285">
        <f>IFERROR(__xludf.DUMMYFUNCTION("""COMPUTED_VALUE"""),2.0)</f>
        <v>2</v>
      </c>
      <c r="AK206" s="289"/>
      <c r="AL206" s="285" t="str">
        <f>IFERROR(__xludf.DUMMYFUNCTION("""COMPUTED_VALUE"""),"tidak ada jawaban, sdh lbh 5 kali FU")</f>
        <v>tidak ada jawaban, sdh lbh 5 kali FU</v>
      </c>
    </row>
    <row r="207">
      <c r="F207" s="285" t="str">
        <f>IFERROR(__xludf.DUMMYFUNCTION("""COMPUTED_VALUE"""),"2606D161")</f>
        <v>2606D161</v>
      </c>
      <c r="G207" s="286">
        <f>IFERROR(__xludf.DUMMYFUNCTION("""COMPUTED_VALUE"""),46194.0)</f>
        <v>46194</v>
      </c>
      <c r="H207" s="285" t="str">
        <f>IFERROR(__xludf.DUMMYFUNCTION("""COMPUTED_VALUE"""),"Yudha Santi")</f>
        <v>Yudha Santi</v>
      </c>
      <c r="I207" s="285" t="str">
        <f>IFERROR(__xludf.DUMMYFUNCTION("""COMPUTED_VALUE"""),"081249580999")</f>
        <v>081249580999</v>
      </c>
      <c r="J207" s="285" t="str">
        <f>IFERROR(__xludf.DUMMYFUNCTION("""COMPUTED_VALUE"""),"Leads Baru")</f>
        <v>Leads Baru</v>
      </c>
      <c r="K207" s="285" t="str">
        <f>IFERROR(__xludf.DUMMYFUNCTION("""COMPUTED_VALUE"""),"2H1M opsi B")</f>
        <v>2H1M opsi B</v>
      </c>
      <c r="L207" s="287"/>
      <c r="M207" s="288"/>
      <c r="N207" s="289"/>
      <c r="O207" s="290" t="str">
        <f>IFERROR(__xludf.DUMMYFUNCTION("""COMPUTED_VALUE"""),"tanya mepo, FU 27 Juni")</f>
        <v>tanya mepo, FU 27 Juni</v>
      </c>
      <c r="P207" s="320"/>
      <c r="R207" s="285"/>
      <c r="S207" s="285"/>
      <c r="T207" s="285"/>
      <c r="U207" s="285"/>
      <c r="V207" s="285"/>
      <c r="W207" s="285"/>
      <c r="X207" s="285"/>
      <c r="Y207" s="285"/>
      <c r="Z207" s="285"/>
      <c r="AA207" s="285"/>
      <c r="AC207" s="285" t="str">
        <f>IFERROR(__xludf.DUMMYFUNCTION("""COMPUTED_VALUE"""),"2602D056")</f>
        <v>2602D056</v>
      </c>
      <c r="AD207" s="286">
        <f>IFERROR(__xludf.DUMMYFUNCTION("""COMPUTED_VALUE"""),46068.0)</f>
        <v>46068</v>
      </c>
      <c r="AE207" s="285" t="str">
        <f>IFERROR(__xludf.DUMMYFUNCTION("""COMPUTED_VALUE"""),"Retno Wulandari ")</f>
        <v>Retno Wulandari </v>
      </c>
      <c r="AF207" s="285" t="str">
        <f>IFERROR(__xludf.DUMMYFUNCTION("""COMPUTED_VALUE"""),"082140799946")</f>
        <v>082140799946</v>
      </c>
      <c r="AG207" s="285" t="str">
        <f>IFERROR(__xludf.DUMMYFUNCTION("""COMPUTED_VALUE"""),"Gagal")</f>
        <v>Gagal</v>
      </c>
      <c r="AH207" s="285" t="str">
        <f>IFERROR(__xludf.DUMMYFUNCTION("""COMPUTED_VALUE"""),"2H1M opsi A")</f>
        <v>2H1M opsi A</v>
      </c>
      <c r="AI207" s="287">
        <f>IFERROR(__xludf.DUMMYFUNCTION("""COMPUTED_VALUE"""),46069.0)</f>
        <v>46069</v>
      </c>
      <c r="AJ207" s="285">
        <f>IFERROR(__xludf.DUMMYFUNCTION("""COMPUTED_VALUE"""),3.0)</f>
        <v>3</v>
      </c>
      <c r="AK207" s="289"/>
      <c r="AL207" s="285" t="str">
        <f>IFERROR(__xludf.DUMMYFUNCTION("""COMPUTED_VALUE"""),"lain waktu")</f>
        <v>lain waktu</v>
      </c>
    </row>
    <row r="208">
      <c r="F208" s="285" t="str">
        <f>IFERROR(__xludf.DUMMYFUNCTION("""COMPUTED_VALUE"""),"2606D163")</f>
        <v>2606D163</v>
      </c>
      <c r="G208" s="286">
        <f>IFERROR(__xludf.DUMMYFUNCTION("""COMPUTED_VALUE"""),46194.0)</f>
        <v>46194</v>
      </c>
      <c r="H208" s="285" t="str">
        <f>IFERROR(__xludf.DUMMYFUNCTION("""COMPUTED_VALUE"""),"Fidelia")</f>
        <v>Fidelia</v>
      </c>
      <c r="I208" s="285" t="str">
        <f>IFERROR(__xludf.DUMMYFUNCTION("""COMPUTED_VALUE"""),"08111405888")</f>
        <v>08111405888</v>
      </c>
      <c r="J208" s="285" t="str">
        <f>IFERROR(__xludf.DUMMYFUNCTION("""COMPUTED_VALUE"""),"Leads Baru")</f>
        <v>Leads Baru</v>
      </c>
      <c r="K208" s="285" t="str">
        <f>IFERROR(__xludf.DUMMYFUNCTION("""COMPUTED_VALUE"""),"trip menjangan tabuhan")</f>
        <v>trip menjangan tabuhan</v>
      </c>
      <c r="L208" s="287"/>
      <c r="M208" s="288"/>
      <c r="N208" s="289"/>
      <c r="O208" s="290" t="str">
        <f>IFERROR(__xludf.DUMMYFUNCTION("""COMPUTED_VALUE"""),"belum balas lagi, FU 24 Juni ")</f>
        <v>belum balas lagi, FU 24 Juni </v>
      </c>
      <c r="P208" s="320"/>
      <c r="R208" s="285"/>
      <c r="S208" s="285"/>
      <c r="T208" s="285"/>
      <c r="U208" s="285"/>
      <c r="V208" s="285"/>
      <c r="W208" s="285"/>
      <c r="X208" s="285"/>
      <c r="Y208" s="285"/>
      <c r="Z208" s="285"/>
      <c r="AA208" s="285"/>
      <c r="AC208" s="285" t="str">
        <f>IFERROR(__xludf.DUMMYFUNCTION("""COMPUTED_VALUE"""),"2602D057")</f>
        <v>2602D057</v>
      </c>
      <c r="AD208" s="286">
        <f>IFERROR(__xludf.DUMMYFUNCTION("""COMPUTED_VALUE"""),46068.0)</f>
        <v>46068</v>
      </c>
      <c r="AE208" s="285" t="str">
        <f>IFERROR(__xludf.DUMMYFUNCTION("""COMPUTED_VALUE"""),"Mei Fang ")</f>
        <v>Mei Fang </v>
      </c>
      <c r="AF208" s="285" t="str">
        <f>IFERROR(__xludf.DUMMYFUNCTION("""COMPUTED_VALUE"""),"085863456898")</f>
        <v>085863456898</v>
      </c>
      <c r="AG208" s="285" t="str">
        <f>IFERROR(__xludf.DUMMYFUNCTION("""COMPUTED_VALUE"""),"Gagal")</f>
        <v>Gagal</v>
      </c>
      <c r="AH208" s="285" t="str">
        <f>IFERROR(__xludf.DUMMYFUNCTION("""COMPUTED_VALUE"""),"Ijen, Menjangan (3H2M, 4H3M)")</f>
        <v>Ijen, Menjangan (3H2M, 4H3M)</v>
      </c>
      <c r="AI208" s="287">
        <f>IFERROR(__xludf.DUMMYFUNCTION("""COMPUTED_VALUE"""),46102.0)</f>
        <v>46102</v>
      </c>
      <c r="AJ208" s="285">
        <f>IFERROR(__xludf.DUMMYFUNCTION("""COMPUTED_VALUE"""),5.0)</f>
        <v>5</v>
      </c>
      <c r="AK208" s="289"/>
      <c r="AL208" s="285" t="str">
        <f>IFERROR(__xludf.DUMMYFUNCTION("""COMPUTED_VALUE"""),"tanggal belum sesuai, tidak jadi trip")</f>
        <v>tanggal belum sesuai, tidak jadi trip</v>
      </c>
    </row>
    <row r="209">
      <c r="F209" s="285" t="str">
        <f>IFERROR(__xludf.DUMMYFUNCTION("""COMPUTED_VALUE"""),"2606D164")</f>
        <v>2606D164</v>
      </c>
      <c r="G209" s="286">
        <f>IFERROR(__xludf.DUMMYFUNCTION("""COMPUTED_VALUE"""),46194.0)</f>
        <v>46194</v>
      </c>
      <c r="H209" s="285" t="str">
        <f>IFERROR(__xludf.DUMMYFUNCTION("""COMPUTED_VALUE"""),"Ecaa")</f>
        <v>Ecaa</v>
      </c>
      <c r="I209" s="285" t="str">
        <f>IFERROR(__xludf.DUMMYFUNCTION("""COMPUTED_VALUE"""),"082230434813")</f>
        <v>082230434813</v>
      </c>
      <c r="J209" s="285" t="str">
        <f>IFERROR(__xludf.DUMMYFUNCTION("""COMPUTED_VALUE"""),"Leads Baru")</f>
        <v>Leads Baru</v>
      </c>
      <c r="K209" s="285" t="str">
        <f>IFERROR(__xludf.DUMMYFUNCTION("""COMPUTED_VALUE"""),"3H2M opsi A")</f>
        <v>3H2M opsi A</v>
      </c>
      <c r="L209" s="287"/>
      <c r="M209" s="288"/>
      <c r="N209" s="289"/>
      <c r="O209" s="290" t="str">
        <f>IFERROR(__xludf.DUMMYFUNCTION("""COMPUTED_VALUE"""),"masih menyapa, FU 23 Juni")</f>
        <v>masih menyapa, FU 23 Juni</v>
      </c>
      <c r="P209" s="320"/>
      <c r="R209" s="285"/>
      <c r="S209" s="285"/>
      <c r="T209" s="285"/>
      <c r="U209" s="285"/>
      <c r="V209" s="285"/>
      <c r="W209" s="285"/>
      <c r="X209" s="285"/>
      <c r="Y209" s="285"/>
      <c r="Z209" s="285"/>
      <c r="AA209" s="285"/>
      <c r="AC209" s="285" t="str">
        <f>IFERROR(__xludf.DUMMYFUNCTION("""COMPUTED_VALUE"""),"2602D059")</f>
        <v>2602D059</v>
      </c>
      <c r="AD209" s="286">
        <f>IFERROR(__xludf.DUMMYFUNCTION("""COMPUTED_VALUE"""),46068.0)</f>
        <v>46068</v>
      </c>
      <c r="AE209" s="285" t="str">
        <f>IFERROR(__xludf.DUMMYFUNCTION("""COMPUTED_VALUE"""),"Dila")</f>
        <v>Dila</v>
      </c>
      <c r="AF209" s="285" t="str">
        <f>IFERROR(__xludf.DUMMYFUNCTION("""COMPUTED_VALUE"""),"081220151323")</f>
        <v>081220151323</v>
      </c>
      <c r="AG209" s="285" t="str">
        <f>IFERROR(__xludf.DUMMYFUNCTION("""COMPUTED_VALUE"""),"Gagal")</f>
        <v>Gagal</v>
      </c>
      <c r="AH209" s="285" t="str">
        <f>IFERROR(__xludf.DUMMYFUNCTION("""COMPUTED_VALUE"""),"Trip Menjangan Tabuhan, Djabal")</f>
        <v>Trip Menjangan Tabuhan, Djabal</v>
      </c>
      <c r="AI209" s="287"/>
      <c r="AJ209" s="285">
        <f>IFERROR(__xludf.DUMMYFUNCTION("""COMPUTED_VALUE"""),2.0)</f>
        <v>2</v>
      </c>
      <c r="AK209" s="289">
        <f>IFERROR(__xludf.DUMMYFUNCTION("""COMPUTED_VALUE"""),1700000.0)</f>
        <v>1700000</v>
      </c>
      <c r="AL209" s="285" t="str">
        <f>IFERROR(__xludf.DUMMYFUNCTION("""COMPUTED_VALUE"""),"gagall, sudah FU 5 kali ga ada balasan")</f>
        <v>gagall, sudah FU 5 kali ga ada balasan</v>
      </c>
    </row>
    <row r="210">
      <c r="F210" s="285" t="str">
        <f>IFERROR(__xludf.DUMMYFUNCTION("""COMPUTED_VALUE"""),"2606D165")</f>
        <v>2606D165</v>
      </c>
      <c r="G210" s="286">
        <f>IFERROR(__xludf.DUMMYFUNCTION("""COMPUTED_VALUE"""),46194.0)</f>
        <v>46194</v>
      </c>
      <c r="H210" s="285" t="str">
        <f>IFERROR(__xludf.DUMMYFUNCTION("""COMPUTED_VALUE"""),"Euis Kurniawati")</f>
        <v>Euis Kurniawati</v>
      </c>
      <c r="I210" s="285" t="str">
        <f>IFERROR(__xludf.DUMMYFUNCTION("""COMPUTED_VALUE"""),"08563117020")</f>
        <v>08563117020</v>
      </c>
      <c r="J210" s="285" t="str">
        <f>IFERROR(__xludf.DUMMYFUNCTION("""COMPUTED_VALUE"""),"Leads Baru")</f>
        <v>Leads Baru</v>
      </c>
      <c r="K210" s="285" t="str">
        <f>IFERROR(__xludf.DUMMYFUNCTION("""COMPUTED_VALUE"""),"2H1M  custome")</f>
        <v>2H1M  custome</v>
      </c>
      <c r="L210" s="287"/>
      <c r="M210" s="288">
        <f>IFERROR(__xludf.DUMMYFUNCTION("""COMPUTED_VALUE"""),5.0)</f>
        <v>5</v>
      </c>
      <c r="N210" s="289">
        <f>IFERROR(__xludf.DUMMYFUNCTION("""COMPUTED_VALUE"""),6300000.0)</f>
        <v>6300000</v>
      </c>
      <c r="O210" s="290" t="str">
        <f>IFERROR(__xludf.DUMMYFUNCTION("""COMPUTED_VALUE"""),"masih tanya, FU 25 Juni")</f>
        <v>masih tanya, FU 25 Juni</v>
      </c>
      <c r="P210" s="320"/>
      <c r="R210" s="285"/>
      <c r="S210" s="285"/>
      <c r="T210" s="285"/>
      <c r="U210" s="285"/>
      <c r="V210" s="285"/>
      <c r="W210" s="285"/>
      <c r="X210" s="285"/>
      <c r="Y210" s="285"/>
      <c r="Z210" s="285"/>
      <c r="AA210" s="285"/>
      <c r="AC210" s="285" t="str">
        <f>IFERROR(__xludf.DUMMYFUNCTION("""COMPUTED_VALUE"""),"2602D060")</f>
        <v>2602D060</v>
      </c>
      <c r="AD210" s="286">
        <f>IFERROR(__xludf.DUMMYFUNCTION("""COMPUTED_VALUE"""),46069.0)</f>
        <v>46069</v>
      </c>
      <c r="AE210" s="285" t="str">
        <f>IFERROR(__xludf.DUMMYFUNCTION("""COMPUTED_VALUE"""),"Ilham")</f>
        <v>Ilham</v>
      </c>
      <c r="AF210" s="285" t="str">
        <f>IFERROR(__xludf.DUMMYFUNCTION("""COMPUTED_VALUE"""),"089696367463")</f>
        <v>089696367463</v>
      </c>
      <c r="AG210" s="285" t="str">
        <f>IFERROR(__xludf.DUMMYFUNCTION("""COMPUTED_VALUE"""),"Gagal")</f>
        <v>Gagal</v>
      </c>
      <c r="AH210" s="285" t="str">
        <f>IFERROR(__xludf.DUMMYFUNCTION("""COMPUTED_VALUE"""),"OT 3H2M")</f>
        <v>OT 3H2M</v>
      </c>
      <c r="AI210" s="287"/>
      <c r="AJ210" s="285">
        <f>IFERROR(__xludf.DUMMYFUNCTION("""COMPUTED_VALUE"""),9.0)</f>
        <v>9</v>
      </c>
      <c r="AK210" s="289">
        <f>IFERROR(__xludf.DUMMYFUNCTION("""COMPUTED_VALUE"""),1.44E7)</f>
        <v>14400000</v>
      </c>
      <c r="AL210" s="285" t="str">
        <f>IFERROR(__xludf.DUMMYFUNCTION("""COMPUTED_VALUE"""),"gagalll")</f>
        <v>gagalll</v>
      </c>
    </row>
    <row r="211">
      <c r="F211" s="285" t="str">
        <f>IFERROR(__xludf.DUMMYFUNCTION("""COMPUTED_VALUE"""),"2606D166")</f>
        <v>2606D166</v>
      </c>
      <c r="G211" s="286">
        <f>IFERROR(__xludf.DUMMYFUNCTION("""COMPUTED_VALUE"""),46195.0)</f>
        <v>46195</v>
      </c>
      <c r="H211" s="285" t="str">
        <f>IFERROR(__xludf.DUMMYFUNCTION("""COMPUTED_VALUE"""),"Arma")</f>
        <v>Arma</v>
      </c>
      <c r="I211" s="285" t="str">
        <f>IFERROR(__xludf.DUMMYFUNCTION("""COMPUTED_VALUE"""),"081234039479")</f>
        <v>081234039479</v>
      </c>
      <c r="J211" s="285" t="str">
        <f>IFERROR(__xludf.DUMMYFUNCTION("""COMPUTED_VALUE"""),"Leads Baru")</f>
        <v>Leads Baru</v>
      </c>
      <c r="K211" s="285" t="str">
        <f>IFERROR(__xludf.DUMMYFUNCTION("""COMPUTED_VALUE"""),"family trip")</f>
        <v>family trip</v>
      </c>
      <c r="L211" s="287"/>
      <c r="M211" s="288"/>
      <c r="N211" s="289"/>
      <c r="O211" s="290" t="str">
        <f>IFERROR(__xludf.DUMMYFUNCTION("""COMPUTED_VALUE"""),"masih menyapa, FU 23 Juni")</f>
        <v>masih menyapa, FU 23 Juni</v>
      </c>
      <c r="P211" s="320"/>
      <c r="R211" s="285"/>
      <c r="S211" s="285"/>
      <c r="T211" s="285"/>
      <c r="U211" s="285"/>
      <c r="V211" s="285"/>
      <c r="W211" s="285"/>
      <c r="X211" s="285"/>
      <c r="Y211" s="285"/>
      <c r="Z211" s="285"/>
      <c r="AA211" s="285"/>
      <c r="AC211" s="285" t="str">
        <f>IFERROR(__xludf.DUMMYFUNCTION("""COMPUTED_VALUE"""),"2602D061")</f>
        <v>2602D061</v>
      </c>
      <c r="AD211" s="286">
        <f>IFERROR(__xludf.DUMMYFUNCTION("""COMPUTED_VALUE"""),46069.0)</f>
        <v>46069</v>
      </c>
      <c r="AE211" s="285" t="str">
        <f>IFERROR(__xludf.DUMMYFUNCTION("""COMPUTED_VALUE"""),"Wida Dwi Hapsari")</f>
        <v>Wida Dwi Hapsari</v>
      </c>
      <c r="AF211" s="285" t="str">
        <f>IFERROR(__xludf.DUMMYFUNCTION("""COMPUTED_VALUE"""),"081227783117")</f>
        <v>081227783117</v>
      </c>
      <c r="AG211" s="285" t="str">
        <f>IFERROR(__xludf.DUMMYFUNCTION("""COMPUTED_VALUE"""),"Gagal")</f>
        <v>Gagal</v>
      </c>
      <c r="AH211" s="285" t="str">
        <f>IFERROR(__xludf.DUMMYFUNCTION("""COMPUTED_VALUE"""),"1D Djawatan Baluran")</f>
        <v>1D Djawatan Baluran</v>
      </c>
      <c r="AI211" s="287"/>
      <c r="AJ211" s="285">
        <f>IFERROR(__xludf.DUMMYFUNCTION("""COMPUTED_VALUE"""),6.0)</f>
        <v>6</v>
      </c>
      <c r="AK211" s="289">
        <f>IFERROR(__xludf.DUMMYFUNCTION("""COMPUTED_VALUE"""),4290000.0)</f>
        <v>4290000</v>
      </c>
      <c r="AL211" s="285" t="str">
        <f>IFERROR(__xludf.DUMMYFUNCTION("""COMPUTED_VALUE"""),"ga jadi")</f>
        <v>ga jadi</v>
      </c>
    </row>
    <row r="212">
      <c r="F212" s="285" t="str">
        <f>IFERROR(__xludf.DUMMYFUNCTION("""COMPUTED_VALUE"""),"2606D167")</f>
        <v>2606D167</v>
      </c>
      <c r="G212" s="286">
        <f>IFERROR(__xludf.DUMMYFUNCTION("""COMPUTED_VALUE"""),46195.0)</f>
        <v>46195</v>
      </c>
      <c r="H212" s="285" t="str">
        <f>IFERROR(__xludf.DUMMYFUNCTION("""COMPUTED_VALUE"""),"Dwigraha")</f>
        <v>Dwigraha</v>
      </c>
      <c r="I212" s="285" t="str">
        <f>IFERROR(__xludf.DUMMYFUNCTION("""COMPUTED_VALUE"""),"082230006527")</f>
        <v>082230006527</v>
      </c>
      <c r="J212" s="285" t="str">
        <f>IFERROR(__xludf.DUMMYFUNCTION("""COMPUTED_VALUE"""),"Leads Baru")</f>
        <v>Leads Baru</v>
      </c>
      <c r="K212" s="285"/>
      <c r="L212" s="287"/>
      <c r="M212" s="288"/>
      <c r="N212" s="289"/>
      <c r="O212" s="290" t="str">
        <f>IFERROR(__xludf.DUMMYFUNCTION("""COMPUTED_VALUE"""),"masih menyapa, FU 23 Juni")</f>
        <v>masih menyapa, FU 23 Juni</v>
      </c>
      <c r="P212" s="320"/>
      <c r="R212" s="285"/>
      <c r="S212" s="285"/>
      <c r="T212" s="285"/>
      <c r="U212" s="285"/>
      <c r="V212" s="285"/>
      <c r="W212" s="285"/>
      <c r="X212" s="285"/>
      <c r="Y212" s="285"/>
      <c r="Z212" s="285"/>
      <c r="AA212" s="285"/>
      <c r="AC212" s="285" t="str">
        <f>IFERROR(__xludf.DUMMYFUNCTION("""COMPUTED_VALUE"""),"2602D063")</f>
        <v>2602D063</v>
      </c>
      <c r="AD212" s="286">
        <f>IFERROR(__xludf.DUMMYFUNCTION("""COMPUTED_VALUE"""),46069.0)</f>
        <v>46069</v>
      </c>
      <c r="AE212" s="285" t="str">
        <f>IFERROR(__xludf.DUMMYFUNCTION("""COMPUTED_VALUE"""),"Iv")</f>
        <v>Iv</v>
      </c>
      <c r="AF212" s="285" t="str">
        <f>IFERROR(__xludf.DUMMYFUNCTION("""COMPUTED_VALUE"""),"081231440369")</f>
        <v>081231440369</v>
      </c>
      <c r="AG212" s="285" t="str">
        <f>IFERROR(__xludf.DUMMYFUNCTION("""COMPUTED_VALUE"""),"Gagal")</f>
        <v>Gagal</v>
      </c>
      <c r="AH212" s="285" t="str">
        <f>IFERROR(__xludf.DUMMYFUNCTION("""COMPUTED_VALUE"""),"Bedil green island")</f>
        <v>Bedil green island</v>
      </c>
      <c r="AI212" s="287"/>
      <c r="AJ212" s="285"/>
      <c r="AK212" s="289"/>
      <c r="AL212" s="285" t="str">
        <f>IFERROR(__xludf.DUMMYFUNCTION("""COMPUTED_VALUE"""),"tidak ada balasan")</f>
        <v>tidak ada balasan</v>
      </c>
    </row>
    <row r="213">
      <c r="F213" s="285" t="str">
        <f>IFERROR(__xludf.DUMMYFUNCTION("""COMPUTED_VALUE"""),"2606D169")</f>
        <v>2606D169</v>
      </c>
      <c r="G213" s="286">
        <f>IFERROR(__xludf.DUMMYFUNCTION("""COMPUTED_VALUE"""),46195.0)</f>
        <v>46195</v>
      </c>
      <c r="H213" s="285" t="str">
        <f>IFERROR(__xludf.DUMMYFUNCTION("""COMPUTED_VALUE"""),"Ita   ")</f>
        <v>Ita   </v>
      </c>
      <c r="I213" s="285" t="str">
        <f>IFERROR(__xludf.DUMMYFUNCTION("""COMPUTED_VALUE"""),"081326129991")</f>
        <v>081326129991</v>
      </c>
      <c r="J213" s="285" t="str">
        <f>IFERROR(__xludf.DUMMYFUNCTION("""COMPUTED_VALUE"""),"Leads Baru")</f>
        <v>Leads Baru</v>
      </c>
      <c r="K213" s="285" t="str">
        <f>IFERROR(__xludf.DUMMYFUNCTION("""COMPUTED_VALUE"""),"family trip")</f>
        <v>family trip</v>
      </c>
      <c r="L213" s="287"/>
      <c r="M213" s="288"/>
      <c r="N213" s="289"/>
      <c r="O213" s="290" t="str">
        <f>IFERROR(__xludf.DUMMYFUNCTION("""COMPUTED_VALUE"""),"masih menyapa, FU 23 Juni")</f>
        <v>masih menyapa, FU 23 Juni</v>
      </c>
      <c r="P213" s="320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  <c r="AC213" s="285" t="str">
        <f>IFERROR(__xludf.DUMMYFUNCTION("""COMPUTED_VALUE"""),"2602D065")</f>
        <v>2602D065</v>
      </c>
      <c r="AD213" s="286">
        <f>IFERROR(__xludf.DUMMYFUNCTION("""COMPUTED_VALUE"""),46069.0)</f>
        <v>46069</v>
      </c>
      <c r="AE213" s="285" t="str">
        <f>IFERROR(__xludf.DUMMYFUNCTION("""COMPUTED_VALUE"""),"Caitleen")</f>
        <v>Caitleen</v>
      </c>
      <c r="AF213" s="285" t="str">
        <f>IFERROR(__xludf.DUMMYFUNCTION("""COMPUTED_VALUE"""),"081259965685")</f>
        <v>081259965685</v>
      </c>
      <c r="AG213" s="285" t="str">
        <f>IFERROR(__xludf.DUMMYFUNCTION("""COMPUTED_VALUE"""),"Gagal")</f>
        <v>Gagal</v>
      </c>
      <c r="AH213" s="285" t="str">
        <f>IFERROR(__xludf.DUMMYFUNCTION("""COMPUTED_VALUE"""),"tanya paket")</f>
        <v>tanya paket</v>
      </c>
      <c r="AI213" s="287"/>
      <c r="AJ213" s="285"/>
      <c r="AK213" s="289"/>
      <c r="AL213" s="285" t="str">
        <f>IFERROR(__xludf.DUMMYFUNCTION("""COMPUTED_VALUE"""),"tidak ada jawaban")</f>
        <v>tidak ada jawaban</v>
      </c>
    </row>
    <row r="214">
      <c r="F214" s="285" t="str">
        <f>IFERROR(__xludf.DUMMYFUNCTION("""COMPUTED_VALUE"""),"2606D171")</f>
        <v>2606D171</v>
      </c>
      <c r="G214" s="286">
        <f>IFERROR(__xludf.DUMMYFUNCTION("""COMPUTED_VALUE"""),46195.0)</f>
        <v>46195</v>
      </c>
      <c r="H214" s="285" t="str">
        <f>IFERROR(__xludf.DUMMYFUNCTION("""COMPUTED_VALUE"""),"Ratih Dewi")</f>
        <v>Ratih Dewi</v>
      </c>
      <c r="I214" s="285" t="str">
        <f>IFERROR(__xludf.DUMMYFUNCTION("""COMPUTED_VALUE"""),"0895612974454")</f>
        <v>0895612974454</v>
      </c>
      <c r="J214" s="285" t="str">
        <f>IFERROR(__xludf.DUMMYFUNCTION("""COMPUTED_VALUE"""),"Leads Baru")</f>
        <v>Leads Baru</v>
      </c>
      <c r="K214" s="285"/>
      <c r="L214" s="287"/>
      <c r="M214" s="288"/>
      <c r="N214" s="289"/>
      <c r="O214" s="290" t="str">
        <f>IFERROR(__xludf.DUMMYFUNCTION("""COMPUTED_VALUE"""),"tanya OT bulan Juli, FU 28 Juni")</f>
        <v>tanya OT bulan Juli, FU 28 Juni</v>
      </c>
      <c r="P214" s="320"/>
      <c r="R214" s="285"/>
      <c r="S214" s="285"/>
      <c r="T214" s="285"/>
      <c r="U214" s="285"/>
      <c r="V214" s="285"/>
      <c r="W214" s="285"/>
      <c r="X214" s="285"/>
      <c r="Y214" s="285"/>
      <c r="Z214" s="285"/>
      <c r="AA214" s="285"/>
      <c r="AC214" s="285" t="str">
        <f>IFERROR(__xludf.DUMMYFUNCTION("""COMPUTED_VALUE"""),"2602D067")</f>
        <v>2602D067</v>
      </c>
      <c r="AD214" s="286">
        <f>IFERROR(__xludf.DUMMYFUNCTION("""COMPUTED_VALUE"""),46069.0)</f>
        <v>46069</v>
      </c>
      <c r="AE214" s="285" t="str">
        <f>IFERROR(__xludf.DUMMYFUNCTION("""COMPUTED_VALUE"""),"Ditha Pratiwi")</f>
        <v>Ditha Pratiwi</v>
      </c>
      <c r="AF214" s="285" t="str">
        <f>IFERROR(__xludf.DUMMYFUNCTION("""COMPUTED_VALUE"""),"082114830314")</f>
        <v>082114830314</v>
      </c>
      <c r="AG214" s="285" t="str">
        <f>IFERROR(__xludf.DUMMYFUNCTION("""COMPUTED_VALUE"""),"Gagal")</f>
        <v>Gagal</v>
      </c>
      <c r="AH214" s="285" t="str">
        <f>IFERROR(__xludf.DUMMYFUNCTION("""COMPUTED_VALUE"""),"4H3M")</f>
        <v>4H3M</v>
      </c>
      <c r="AI214" s="287"/>
      <c r="AJ214" s="285"/>
      <c r="AK214" s="289"/>
      <c r="AL214" s="285" t="str">
        <f>IFERROR(__xludf.DUMMYFUNCTION("""COMPUTED_VALUE"""),"tidak ada jawaban")</f>
        <v>tidak ada jawaban</v>
      </c>
    </row>
    <row r="215">
      <c r="F215" s="285" t="str">
        <f>IFERROR(__xludf.DUMMYFUNCTION("""COMPUTED_VALUE"""),"2606D172")</f>
        <v>2606D172</v>
      </c>
      <c r="G215" s="286">
        <f>IFERROR(__xludf.DUMMYFUNCTION("""COMPUTED_VALUE"""),46195.0)</f>
        <v>46195</v>
      </c>
      <c r="H215" s="285" t="str">
        <f>IFERROR(__xludf.DUMMYFUNCTION("""COMPUTED_VALUE"""),"Alam Mucharam")</f>
        <v>Alam Mucharam</v>
      </c>
      <c r="I215" s="285" t="str">
        <f>IFERROR(__xludf.DUMMYFUNCTION("""COMPUTED_VALUE"""),"0811227338")</f>
        <v>0811227338</v>
      </c>
      <c r="J215" s="285" t="str">
        <f>IFERROR(__xludf.DUMMYFUNCTION("""COMPUTED_VALUE"""),"Leads Baru")</f>
        <v>Leads Baru</v>
      </c>
      <c r="K215" s="285" t="str">
        <f>IFERROR(__xludf.DUMMYFUNCTION("""COMPUTED_VALUE"""),"4H3M ")</f>
        <v>4H3M </v>
      </c>
      <c r="L215" s="287"/>
      <c r="M215" s="288">
        <f>IFERROR(__xludf.DUMMYFUNCTION("""COMPUTED_VALUE"""),10.0)</f>
        <v>10</v>
      </c>
      <c r="N215" s="289"/>
      <c r="O215" s="290" t="str">
        <f>IFERROR(__xludf.DUMMYFUNCTION("""COMPUTED_VALUE"""),"diskus dulu, FU 3 Juli")</f>
        <v>diskus dulu, FU 3 Juli</v>
      </c>
      <c r="P215" s="320"/>
      <c r="R215" s="285"/>
      <c r="S215" s="285"/>
      <c r="T215" s="285"/>
      <c r="U215" s="285"/>
      <c r="V215" s="285"/>
      <c r="W215" s="285"/>
      <c r="X215" s="285"/>
      <c r="Y215" s="285"/>
      <c r="Z215" s="285"/>
      <c r="AA215" s="285"/>
      <c r="AC215" s="285" t="str">
        <f>IFERROR(__xludf.DUMMYFUNCTION("""COMPUTED_VALUE"""),"2602D068")</f>
        <v>2602D068</v>
      </c>
      <c r="AD215" s="286">
        <f>IFERROR(__xludf.DUMMYFUNCTION("""COMPUTED_VALUE"""),46069.0)</f>
        <v>46069</v>
      </c>
      <c r="AE215" s="285" t="str">
        <f>IFERROR(__xludf.DUMMYFUNCTION("""COMPUTED_VALUE"""),"Junio Sesar Gurning")</f>
        <v>Junio Sesar Gurning</v>
      </c>
      <c r="AF215" s="285" t="str">
        <f>IFERROR(__xludf.DUMMYFUNCTION("""COMPUTED_VALUE"""),"082111850864")</f>
        <v>082111850864</v>
      </c>
      <c r="AG215" s="285" t="str">
        <f>IFERROR(__xludf.DUMMYFUNCTION("""COMPUTED_VALUE"""),"Gagal")</f>
        <v>Gagal</v>
      </c>
      <c r="AH215" s="285" t="str">
        <f>IFERROR(__xludf.DUMMYFUNCTION("""COMPUTED_VALUE"""),"4H3M")</f>
        <v>4H3M</v>
      </c>
      <c r="AI215" s="287"/>
      <c r="AJ215" s="285"/>
      <c r="AK215" s="289">
        <f>IFERROR(__xludf.DUMMYFUNCTION("""COMPUTED_VALUE"""),1.68E8)</f>
        <v>168000000</v>
      </c>
      <c r="AL215" s="285" t="str">
        <f>IFERROR(__xludf.DUMMYFUNCTION("""COMPUTED_VALUE"""),"ga baless, uda fu 5 kali")</f>
        <v>ga baless, uda fu 5 kali</v>
      </c>
    </row>
    <row r="216">
      <c r="F216" s="285" t="str">
        <f>IFERROR(__xludf.DUMMYFUNCTION("""COMPUTED_VALUE"""),"2606D173")</f>
        <v>2606D173</v>
      </c>
      <c r="G216" s="286">
        <f>IFERROR(__xludf.DUMMYFUNCTION("""COMPUTED_VALUE"""),46199.0)</f>
        <v>46199</v>
      </c>
      <c r="H216" s="285" t="str">
        <f>IFERROR(__xludf.DUMMYFUNCTION("""COMPUTED_VALUE"""),"Ummu Hanna")</f>
        <v>Ummu Hanna</v>
      </c>
      <c r="I216" s="285" t="str">
        <f>IFERROR(__xludf.DUMMYFUNCTION("""COMPUTED_VALUE"""),"0895616277000")</f>
        <v>0895616277000</v>
      </c>
      <c r="J216" s="285" t="str">
        <f>IFERROR(__xludf.DUMMYFUNCTION("""COMPUTED_VALUE"""),"Leads Baru")</f>
        <v>Leads Baru</v>
      </c>
      <c r="K216" s="285" t="str">
        <f>IFERROR(__xludf.DUMMYFUNCTION("""COMPUTED_VALUE"""),"family trip")</f>
        <v>family trip</v>
      </c>
      <c r="L216" s="287"/>
      <c r="M216" s="288">
        <f>IFERROR(__xludf.DUMMYFUNCTION("""COMPUTED_VALUE"""),3.0)</f>
        <v>3</v>
      </c>
      <c r="N216" s="289"/>
      <c r="O216" s="290" t="str">
        <f>IFERROR(__xludf.DUMMYFUNCTION("""COMPUTED_VALUE"""),"belum ada balasan, FU 28 Juni")</f>
        <v>belum ada balasan, FU 28 Juni</v>
      </c>
      <c r="P216" s="320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C216" s="285" t="str">
        <f>IFERROR(__xludf.DUMMYFUNCTION("""COMPUTED_VALUE"""),"2602D069")</f>
        <v>2602D069</v>
      </c>
      <c r="AD216" s="286">
        <f>IFERROR(__xludf.DUMMYFUNCTION("""COMPUTED_VALUE"""),46070.0)</f>
        <v>46070</v>
      </c>
      <c r="AE216" s="285" t="str">
        <f>IFERROR(__xludf.DUMMYFUNCTION("""COMPUTED_VALUE"""),"Refia")</f>
        <v>Refia</v>
      </c>
      <c r="AF216" s="285" t="str">
        <f>IFERROR(__xludf.DUMMYFUNCTION("""COMPUTED_VALUE"""),"081383023858")</f>
        <v>081383023858</v>
      </c>
      <c r="AG216" s="285" t="str">
        <f>IFERROR(__xludf.DUMMYFUNCTION("""COMPUTED_VALUE"""),"Gagal")</f>
        <v>Gagal</v>
      </c>
      <c r="AH216" s="285" t="str">
        <f>IFERROR(__xludf.DUMMYFUNCTION("""COMPUTED_VALUE"""),"2H1M")</f>
        <v>2H1M</v>
      </c>
      <c r="AI216" s="287"/>
      <c r="AJ216" s="285">
        <f>IFERROR(__xludf.DUMMYFUNCTION("""COMPUTED_VALUE"""),2.0)</f>
        <v>2</v>
      </c>
      <c r="AK216" s="289"/>
      <c r="AL216" s="285" t="str">
        <f>IFERROR(__xludf.DUMMYFUNCTION("""COMPUTED_VALUE"""),"tidak ada jawaban, sdh fu 5 kali")</f>
        <v>tidak ada jawaban, sdh fu 5 kali</v>
      </c>
    </row>
    <row r="217">
      <c r="F217" s="285" t="str">
        <f>IFERROR(__xludf.DUMMYFUNCTION("""COMPUTED_VALUE"""),"2606D175")</f>
        <v>2606D175</v>
      </c>
      <c r="G217" s="286">
        <f>IFERROR(__xludf.DUMMYFUNCTION("""COMPUTED_VALUE"""),46195.0)</f>
        <v>46195</v>
      </c>
      <c r="H217" s="285" t="str">
        <f>IFERROR(__xludf.DUMMYFUNCTION("""COMPUTED_VALUE"""),"No Name GI")</f>
        <v>No Name GI</v>
      </c>
      <c r="I217" s="285" t="str">
        <f>IFERROR(__xludf.DUMMYFUNCTION("""COMPUTED_VALUE"""),"0881036161438")</f>
        <v>0881036161438</v>
      </c>
      <c r="J217" s="285" t="str">
        <f>IFERROR(__xludf.DUMMYFUNCTION("""COMPUTED_VALUE"""),"Leads Baru")</f>
        <v>Leads Baru</v>
      </c>
      <c r="K217" s="285" t="str">
        <f>IFERROR(__xludf.DUMMYFUNCTION("""COMPUTED_VALUE"""),"2H1M Custome")</f>
        <v>2H1M Custome</v>
      </c>
      <c r="L217" s="287"/>
      <c r="M217" s="288">
        <f>IFERROR(__xludf.DUMMYFUNCTION("""COMPUTED_VALUE"""),4.0)</f>
        <v>4</v>
      </c>
      <c r="N217" s="289"/>
      <c r="O217" s="290" t="str">
        <f>IFERROR(__xludf.DUMMYFUNCTION("""COMPUTED_VALUE"""),"belum ada balasan, FU 29 Juni")</f>
        <v>belum ada balasan, FU 29 Juni</v>
      </c>
      <c r="P217" s="320"/>
      <c r="R217" s="285"/>
      <c r="S217" s="285"/>
      <c r="T217" s="285"/>
      <c r="U217" s="285"/>
      <c r="V217" s="285"/>
      <c r="W217" s="285"/>
      <c r="X217" s="285"/>
      <c r="Y217" s="285"/>
      <c r="Z217" s="285"/>
      <c r="AA217" s="285"/>
      <c r="AC217" s="285" t="str">
        <f>IFERROR(__xludf.DUMMYFUNCTION("""COMPUTED_VALUE"""),"2602D070")</f>
        <v>2602D070</v>
      </c>
      <c r="AD217" s="286">
        <f>IFERROR(__xludf.DUMMYFUNCTION("""COMPUTED_VALUE"""),46070.0)</f>
        <v>46070</v>
      </c>
      <c r="AE217" s="285" t="str">
        <f>IFERROR(__xludf.DUMMYFUNCTION("""COMPUTED_VALUE"""),"Ayu")</f>
        <v>Ayu</v>
      </c>
      <c r="AF217" s="285" t="str">
        <f>IFERROR(__xludf.DUMMYFUNCTION("""COMPUTED_VALUE"""),"085648034881")</f>
        <v>085648034881</v>
      </c>
      <c r="AG217" s="285" t="str">
        <f>IFERROR(__xludf.DUMMYFUNCTION("""COMPUTED_VALUE"""),"Gagal")</f>
        <v>Gagal</v>
      </c>
      <c r="AH217" s="285"/>
      <c r="AI217" s="287"/>
      <c r="AJ217" s="285"/>
      <c r="AK217" s="289"/>
      <c r="AL217" s="285" t="str">
        <f>IFERROR(__xludf.DUMMYFUNCTION("""COMPUTED_VALUE"""),"tidak ada jawaban")</f>
        <v>tidak ada jawaban</v>
      </c>
    </row>
    <row r="218">
      <c r="F218" s="285" t="str">
        <f>IFERROR(__xludf.DUMMYFUNCTION("""COMPUTED_VALUE"""),"2606D178")</f>
        <v>2606D178</v>
      </c>
      <c r="G218" s="286">
        <f>IFERROR(__xludf.DUMMYFUNCTION("""COMPUTED_VALUE"""),46196.0)</f>
        <v>46196</v>
      </c>
      <c r="H218" s="285" t="str">
        <f>IFERROR(__xludf.DUMMYFUNCTION("""COMPUTED_VALUE"""),"Ichda Fitryah ")</f>
        <v>Ichda Fitryah </v>
      </c>
      <c r="I218" s="285" t="str">
        <f>IFERROR(__xludf.DUMMYFUNCTION("""COMPUTED_VALUE"""),"082213449486")</f>
        <v>082213449486</v>
      </c>
      <c r="J218" s="285" t="str">
        <f>IFERROR(__xludf.DUMMYFUNCTION("""COMPUTED_VALUE"""),"Leads Baru")</f>
        <v>Leads Baru</v>
      </c>
      <c r="K218" s="285" t="str">
        <f>IFERROR(__xludf.DUMMYFUNCTION("""COMPUTED_VALUE"""),"OT MT")</f>
        <v>OT MT</v>
      </c>
      <c r="L218" s="287">
        <f>IFERROR(__xludf.DUMMYFUNCTION("""COMPUTED_VALUE"""),46198.0)</f>
        <v>46198</v>
      </c>
      <c r="M218" s="288">
        <f>IFERROR(__xludf.DUMMYFUNCTION("""COMPUTED_VALUE"""),2.0)</f>
        <v>2</v>
      </c>
      <c r="N218" s="289"/>
      <c r="O218" s="290" t="str">
        <f>IFERROR(__xludf.DUMMYFUNCTION("""COMPUTED_VALUE"""),"FU 24 Juni")</f>
        <v>FU 24 Juni</v>
      </c>
      <c r="P218" s="320"/>
      <c r="R218" s="285"/>
      <c r="S218" s="285"/>
      <c r="T218" s="285"/>
      <c r="U218" s="285"/>
      <c r="V218" s="285"/>
      <c r="W218" s="285"/>
      <c r="X218" s="285"/>
      <c r="Y218" s="285"/>
      <c r="Z218" s="285"/>
      <c r="AA218" s="285"/>
      <c r="AC218" s="285" t="str">
        <f>IFERROR(__xludf.DUMMYFUNCTION("""COMPUTED_VALUE"""),"2602D073")</f>
        <v>2602D073</v>
      </c>
      <c r="AD218" s="286">
        <f>IFERROR(__xludf.DUMMYFUNCTION("""COMPUTED_VALUE"""),46070.0)</f>
        <v>46070</v>
      </c>
      <c r="AE218" s="285" t="str">
        <f>IFERROR(__xludf.DUMMYFUNCTION("""COMPUTED_VALUE"""),"Benazir Anjani")</f>
        <v>Benazir Anjani</v>
      </c>
      <c r="AF218" s="285" t="str">
        <f>IFERROR(__xludf.DUMMYFUNCTION("""COMPUTED_VALUE"""),"081325834167")</f>
        <v>081325834167</v>
      </c>
      <c r="AG218" s="285" t="str">
        <f>IFERROR(__xludf.DUMMYFUNCTION("""COMPUTED_VALUE"""),"Gagal")</f>
        <v>Gagal</v>
      </c>
      <c r="AH218" s="285" t="str">
        <f>IFERROR(__xludf.DUMMYFUNCTION("""COMPUTED_VALUE"""),"open trip baluran ijen")</f>
        <v>open trip baluran ijen</v>
      </c>
      <c r="AI218" s="287"/>
      <c r="AJ218" s="285">
        <f>IFERROR(__xludf.DUMMYFUNCTION("""COMPUTED_VALUE"""),2.0)</f>
        <v>2</v>
      </c>
      <c r="AK218" s="289">
        <f>IFERROR(__xludf.DUMMYFUNCTION("""COMPUTED_VALUE"""),2548000.0)</f>
        <v>2548000</v>
      </c>
      <c r="AL218" s="285" t="str">
        <f>IFERROR(__xludf.DUMMYFUNCTION("""COMPUTED_VALUE"""),"tidak ada jawaban")</f>
        <v>tidak ada jawaban</v>
      </c>
    </row>
    <row r="219">
      <c r="F219" s="285" t="str">
        <f>IFERROR(__xludf.DUMMYFUNCTION("""COMPUTED_VALUE"""),"2606D179")</f>
        <v>2606D179</v>
      </c>
      <c r="G219" s="286">
        <f>IFERROR(__xludf.DUMMYFUNCTION("""COMPUTED_VALUE"""),46196.0)</f>
        <v>46196</v>
      </c>
      <c r="H219" s="285" t="str">
        <f>IFERROR(__xludf.DUMMYFUNCTION("""COMPUTED_VALUE"""),"Novitha ")</f>
        <v>Novitha </v>
      </c>
      <c r="I219" s="285" t="str">
        <f>IFERROR(__xludf.DUMMYFUNCTION("""COMPUTED_VALUE"""),"081215078887")</f>
        <v>081215078887</v>
      </c>
      <c r="J219" s="285" t="str">
        <f>IFERROR(__xludf.DUMMYFUNCTION("""COMPUTED_VALUE"""),"Leads Baru")</f>
        <v>Leads Baru</v>
      </c>
      <c r="K219" s="285" t="str">
        <f>IFERROR(__xludf.DUMMYFUNCTION("""COMPUTED_VALUE"""),"PT Menjangan Baluran")</f>
        <v>PT Menjangan Baluran</v>
      </c>
      <c r="L219" s="287">
        <f>IFERROR(__xludf.DUMMYFUNCTION("""COMPUTED_VALUE"""),46200.0)</f>
        <v>46200</v>
      </c>
      <c r="M219" s="288">
        <f>IFERROR(__xludf.DUMMYFUNCTION("""COMPUTED_VALUE"""),46178.0)</f>
        <v>46178</v>
      </c>
      <c r="N219" s="289"/>
      <c r="O219" s="290" t="str">
        <f>IFERROR(__xludf.DUMMYFUNCTION("""COMPUTED_VALUE"""),"cek ketersediaan")</f>
        <v>cek ketersediaan</v>
      </c>
      <c r="P219" s="320"/>
      <c r="R219" s="285"/>
      <c r="S219" s="285"/>
      <c r="T219" s="285"/>
      <c r="U219" s="285"/>
      <c r="V219" s="285"/>
      <c r="W219" s="285"/>
      <c r="X219" s="285"/>
      <c r="Y219" s="285"/>
      <c r="Z219" s="285"/>
      <c r="AA219" s="285"/>
      <c r="AC219" s="285" t="str">
        <f>IFERROR(__xludf.DUMMYFUNCTION("""COMPUTED_VALUE"""),"2602D074")</f>
        <v>2602D074</v>
      </c>
      <c r="AD219" s="286">
        <f>IFERROR(__xludf.DUMMYFUNCTION("""COMPUTED_VALUE"""),46070.0)</f>
        <v>46070</v>
      </c>
      <c r="AE219" s="285" t="str">
        <f>IFERROR(__xludf.DUMMYFUNCTION("""COMPUTED_VALUE"""),"Tri Juliana")</f>
        <v>Tri Juliana</v>
      </c>
      <c r="AF219" s="285" t="str">
        <f>IFERROR(__xludf.DUMMYFUNCTION("""COMPUTED_VALUE"""),"085706666697")</f>
        <v>085706666697</v>
      </c>
      <c r="AG219" s="285" t="str">
        <f>IFERROR(__xludf.DUMMYFUNCTION("""COMPUTED_VALUE"""),"Gagal")</f>
        <v>Gagal</v>
      </c>
      <c r="AH219" s="285"/>
      <c r="AI219" s="287"/>
      <c r="AJ219" s="285"/>
      <c r="AK219" s="289"/>
      <c r="AL219" s="285" t="str">
        <f>IFERROR(__xludf.DUMMYFUNCTION("""COMPUTED_VALUE"""),"tidak ada jawaban")</f>
        <v>tidak ada jawaban</v>
      </c>
    </row>
    <row r="220">
      <c r="F220" s="285" t="str">
        <f>IFERROR(__xludf.DUMMYFUNCTION("""COMPUTED_VALUE"""),"2606D181")</f>
        <v>2606D181</v>
      </c>
      <c r="G220" s="286">
        <f>IFERROR(__xludf.DUMMYFUNCTION("""COMPUTED_VALUE"""),46196.0)</f>
        <v>46196</v>
      </c>
      <c r="H220" s="285" t="str">
        <f>IFERROR(__xludf.DUMMYFUNCTION("""COMPUTED_VALUE"""),"Pavita")</f>
        <v>Pavita</v>
      </c>
      <c r="I220" s="285" t="str">
        <f>IFERROR(__xludf.DUMMYFUNCTION("""COMPUTED_VALUE"""),"087766106692")</f>
        <v>087766106692</v>
      </c>
      <c r="J220" s="285" t="str">
        <f>IFERROR(__xludf.DUMMYFUNCTION("""COMPUTED_VALUE"""),"Leads Baru")</f>
        <v>Leads Baru</v>
      </c>
      <c r="K220" s="285" t="str">
        <f>IFERROR(__xludf.DUMMYFUNCTION("""COMPUTED_VALUE"""),"3H2M Opsi A")</f>
        <v>3H2M Opsi A</v>
      </c>
      <c r="L220" s="287"/>
      <c r="M220" s="288">
        <f>IFERROR(__xludf.DUMMYFUNCTION("""COMPUTED_VALUE"""),2.0)</f>
        <v>2</v>
      </c>
      <c r="N220" s="289"/>
      <c r="O220" s="290" t="str">
        <f>IFERROR(__xludf.DUMMYFUNCTION("""COMPUTED_VALUE"""),"FU 25 Juni")</f>
        <v>FU 25 Juni</v>
      </c>
      <c r="P220" s="320"/>
      <c r="R220" s="285"/>
      <c r="S220" s="285"/>
      <c r="T220" s="285"/>
      <c r="U220" s="285"/>
      <c r="V220" s="285"/>
      <c r="W220" s="285"/>
      <c r="X220" s="285"/>
      <c r="Y220" s="285"/>
      <c r="Z220" s="285"/>
      <c r="AA220" s="285"/>
      <c r="AC220" s="285" t="str">
        <f>IFERROR(__xludf.DUMMYFUNCTION("""COMPUTED_VALUE"""),"2602D075")</f>
        <v>2602D075</v>
      </c>
      <c r="AD220" s="286">
        <f>IFERROR(__xludf.DUMMYFUNCTION("""COMPUTED_VALUE"""),46070.0)</f>
        <v>46070</v>
      </c>
      <c r="AE220" s="285" t="str">
        <f>IFERROR(__xludf.DUMMYFUNCTION("""COMPUTED_VALUE"""),"Silvia")</f>
        <v>Silvia</v>
      </c>
      <c r="AF220" s="285" t="str">
        <f>IFERROR(__xludf.DUMMYFUNCTION("""COMPUTED_VALUE"""),"082312860266")</f>
        <v>082312860266</v>
      </c>
      <c r="AG220" s="285" t="str">
        <f>IFERROR(__xludf.DUMMYFUNCTION("""COMPUTED_VALUE"""),"Gagal")</f>
        <v>Gagal</v>
      </c>
      <c r="AH220" s="285"/>
      <c r="AI220" s="287"/>
      <c r="AJ220" s="285"/>
      <c r="AK220" s="289"/>
      <c r="AL220" s="285" t="str">
        <f>IFERROR(__xludf.DUMMYFUNCTION("""COMPUTED_VALUE"""),"tidak ada jawaban")</f>
        <v>tidak ada jawaban</v>
      </c>
    </row>
    <row r="221">
      <c r="F221" s="285" t="str">
        <f>IFERROR(__xludf.DUMMYFUNCTION("""COMPUTED_VALUE"""),"2606D183")</f>
        <v>2606D183</v>
      </c>
      <c r="G221" s="286">
        <f>IFERROR(__xludf.DUMMYFUNCTION("""COMPUTED_VALUE"""),46196.0)</f>
        <v>46196</v>
      </c>
      <c r="H221" s="285" t="str">
        <f>IFERROR(__xludf.DUMMYFUNCTION("""COMPUTED_VALUE"""),"CindyNH ")</f>
        <v>CindyNH </v>
      </c>
      <c r="I221" s="285" t="str">
        <f>IFERROR(__xludf.DUMMYFUNCTION("""COMPUTED_VALUE"""),"085721041998")</f>
        <v>085721041998</v>
      </c>
      <c r="J221" s="285" t="str">
        <f>IFERROR(__xludf.DUMMYFUNCTION("""COMPUTED_VALUE"""),"Leads Baru")</f>
        <v>Leads Baru</v>
      </c>
      <c r="K221" s="285" t="str">
        <f>IFERROR(__xludf.DUMMYFUNCTION("""COMPUTED_VALUE"""),"OT MT")</f>
        <v>OT MT</v>
      </c>
      <c r="L221" s="287">
        <f>IFERROR(__xludf.DUMMYFUNCTION("""COMPUTED_VALUE"""),46224.0)</f>
        <v>46224</v>
      </c>
      <c r="M221" s="288">
        <f>IFERROR(__xludf.DUMMYFUNCTION("""COMPUTED_VALUE"""),2.0)</f>
        <v>2</v>
      </c>
      <c r="N221" s="289"/>
      <c r="O221" s="290" t="str">
        <f>IFERROR(__xludf.DUMMYFUNCTION("""COMPUTED_VALUE"""),"FU 2 Juli")</f>
        <v>FU 2 Juli</v>
      </c>
      <c r="P221" s="320"/>
      <c r="R221" s="285"/>
      <c r="S221" s="285"/>
      <c r="T221" s="285"/>
      <c r="U221" s="285"/>
      <c r="V221" s="285"/>
      <c r="W221" s="285"/>
      <c r="X221" s="285"/>
      <c r="Y221" s="285"/>
      <c r="Z221" s="285"/>
      <c r="AA221" s="285"/>
      <c r="AC221" s="285" t="str">
        <f>IFERROR(__xludf.DUMMYFUNCTION("""COMPUTED_VALUE"""),"2602D077")</f>
        <v>2602D077</v>
      </c>
      <c r="AD221" s="286">
        <f>IFERROR(__xludf.DUMMYFUNCTION("""COMPUTED_VALUE"""),46070.0)</f>
        <v>46070</v>
      </c>
      <c r="AE221" s="285" t="str">
        <f>IFERROR(__xludf.DUMMYFUNCTION("""COMPUTED_VALUE"""),"Aya")</f>
        <v>Aya</v>
      </c>
      <c r="AF221" s="285" t="str">
        <f>IFERROR(__xludf.DUMMYFUNCTION("""COMPUTED_VALUE"""),"085220263212")</f>
        <v>085220263212</v>
      </c>
      <c r="AG221" s="285" t="str">
        <f>IFERROR(__xludf.DUMMYFUNCTION("""COMPUTED_VALUE"""),"Gagal")</f>
        <v>Gagal</v>
      </c>
      <c r="AH221" s="285" t="str">
        <f>IFERROR(__xludf.DUMMYFUNCTION("""COMPUTED_VALUE"""),"3H2M")</f>
        <v>3H2M</v>
      </c>
      <c r="AI221" s="287"/>
      <c r="AJ221" s="285">
        <f>IFERROR(__xludf.DUMMYFUNCTION("""COMPUTED_VALUE"""),2.0)</f>
        <v>2</v>
      </c>
      <c r="AK221" s="289">
        <f>IFERROR(__xludf.DUMMYFUNCTION("""COMPUTED_VALUE"""),6128000.0)</f>
        <v>6128000</v>
      </c>
      <c r="AL221" s="285" t="str">
        <f>IFERROR(__xludf.DUMMYFUNCTION("""COMPUTED_VALUE"""),"tidakk balas lagi , fu beberapa kali")</f>
        <v>tidakk balas lagi , fu beberapa kali</v>
      </c>
    </row>
    <row r="222">
      <c r="F222" s="285" t="str">
        <f>IFERROR(__xludf.DUMMYFUNCTION("""COMPUTED_VALUE"""),"2606D185")</f>
        <v>2606D185</v>
      </c>
      <c r="G222" s="286">
        <f>IFERROR(__xludf.DUMMYFUNCTION("""COMPUTED_VALUE"""),46196.0)</f>
        <v>46196</v>
      </c>
      <c r="H222" s="285" t="str">
        <f>IFERROR(__xludf.DUMMYFUNCTION("""COMPUTED_VALUE"""),"Lia")</f>
        <v>Lia</v>
      </c>
      <c r="I222" s="285" t="str">
        <f>IFERROR(__xludf.DUMMYFUNCTION("""COMPUTED_VALUE"""),"085646682833")</f>
        <v>085646682833</v>
      </c>
      <c r="J222" s="285" t="str">
        <f>IFERROR(__xludf.DUMMYFUNCTION("""COMPUTED_VALUE"""),"Leads Baru")</f>
        <v>Leads Baru</v>
      </c>
      <c r="K222" s="285" t="str">
        <f>IFERROR(__xludf.DUMMYFUNCTION("""COMPUTED_VALUE"""),"OT MT")</f>
        <v>OT MT</v>
      </c>
      <c r="L222" s="287">
        <f>IFERROR(__xludf.DUMMYFUNCTION("""COMPUTED_VALUE"""),46198.0)</f>
        <v>46198</v>
      </c>
      <c r="M222" s="288">
        <f>IFERROR(__xludf.DUMMYFUNCTION("""COMPUTED_VALUE"""),2.0)</f>
        <v>2</v>
      </c>
      <c r="N222" s="289"/>
      <c r="O222" s="290" t="str">
        <f>IFERROR(__xludf.DUMMYFUNCTION("""COMPUTED_VALUE"""),"FU 24 Juni")</f>
        <v>FU 24 Juni</v>
      </c>
      <c r="P222" s="320"/>
      <c r="R222" s="285"/>
      <c r="S222" s="285"/>
      <c r="T222" s="285"/>
      <c r="U222" s="285"/>
      <c r="V222" s="285"/>
      <c r="W222" s="285"/>
      <c r="X222" s="285"/>
      <c r="Y222" s="285"/>
      <c r="Z222" s="285"/>
      <c r="AA222" s="285"/>
      <c r="AC222" s="285" t="str">
        <f>IFERROR(__xludf.DUMMYFUNCTION("""COMPUTED_VALUE"""),"2602D079")</f>
        <v>2602D079</v>
      </c>
      <c r="AD222" s="286">
        <f>IFERROR(__xludf.DUMMYFUNCTION("""COMPUTED_VALUE"""),46070.0)</f>
        <v>46070</v>
      </c>
      <c r="AE222" s="285" t="str">
        <f>IFERROR(__xludf.DUMMYFUNCTION("""COMPUTED_VALUE"""),"Komala Dewi")</f>
        <v>Komala Dewi</v>
      </c>
      <c r="AF222" s="285" t="str">
        <f>IFERROR(__xludf.DUMMYFUNCTION("""COMPUTED_VALUE"""),"085710902901")</f>
        <v>085710902901</v>
      </c>
      <c r="AG222" s="285" t="str">
        <f>IFERROR(__xludf.DUMMYFUNCTION("""COMPUTED_VALUE"""),"Gagal")</f>
        <v>Gagal</v>
      </c>
      <c r="AH222" s="285" t="str">
        <f>IFERROR(__xludf.DUMMYFUNCTION("""COMPUTED_VALUE"""),"3H2M A")</f>
        <v>3H2M A</v>
      </c>
      <c r="AI222" s="287"/>
      <c r="AJ222" s="285"/>
      <c r="AK222" s="289"/>
      <c r="AL222" s="285" t="str">
        <f>IFERROR(__xludf.DUMMYFUNCTION("""COMPUTED_VALUE"""),"tidak ada jawaban")</f>
        <v>tidak ada jawaban</v>
      </c>
    </row>
    <row r="223">
      <c r="F223" s="285" t="str">
        <f>IFERROR(__xludf.DUMMYFUNCTION("""COMPUTED_VALUE"""),"2606D188")</f>
        <v>2606D188</v>
      </c>
      <c r="G223" s="286">
        <f>IFERROR(__xludf.DUMMYFUNCTION("""COMPUTED_VALUE"""),46197.0)</f>
        <v>46197</v>
      </c>
      <c r="H223" s="285" t="str">
        <f>IFERROR(__xludf.DUMMYFUNCTION("""COMPUTED_VALUE"""),"Indri Wilson")</f>
        <v>Indri Wilson</v>
      </c>
      <c r="I223" s="285" t="str">
        <f>IFERROR(__xludf.DUMMYFUNCTION("""COMPUTED_VALUE"""),"085200007722")</f>
        <v>085200007722</v>
      </c>
      <c r="J223" s="285" t="str">
        <f>IFERROR(__xludf.DUMMYFUNCTION("""COMPUTED_VALUE"""),"Leads Baru")</f>
        <v>Leads Baru</v>
      </c>
      <c r="K223" s="285"/>
      <c r="L223" s="287"/>
      <c r="M223" s="288"/>
      <c r="N223" s="289"/>
      <c r="O223" s="290" t="str">
        <f>IFERROR(__xludf.DUMMYFUNCTION("""COMPUTED_VALUE"""),"ga ada balasan")</f>
        <v>ga ada balasan</v>
      </c>
      <c r="P223" s="320"/>
      <c r="R223" s="285"/>
      <c r="S223" s="285"/>
      <c r="T223" s="285"/>
      <c r="U223" s="285"/>
      <c r="V223" s="285"/>
      <c r="W223" s="285"/>
      <c r="X223" s="285"/>
      <c r="Y223" s="285"/>
      <c r="Z223" s="285"/>
      <c r="AA223" s="285"/>
      <c r="AC223" s="285" t="str">
        <f>IFERROR(__xludf.DUMMYFUNCTION("""COMPUTED_VALUE"""),"2602D080")</f>
        <v>2602D080</v>
      </c>
      <c r="AD223" s="286">
        <f>IFERROR(__xludf.DUMMYFUNCTION("""COMPUTED_VALUE"""),46071.0)</f>
        <v>46071</v>
      </c>
      <c r="AE223" s="285" t="str">
        <f>IFERROR(__xludf.DUMMYFUNCTION("""COMPUTED_VALUE"""),"Nurti_not")</f>
        <v>Nurti_not</v>
      </c>
      <c r="AF223" s="285" t="str">
        <f>IFERROR(__xludf.DUMMYFUNCTION("""COMPUTED_VALUE"""),"082324996939")</f>
        <v>082324996939</v>
      </c>
      <c r="AG223" s="285" t="str">
        <f>IFERROR(__xludf.DUMMYFUNCTION("""COMPUTED_VALUE"""),"Gagal")</f>
        <v>Gagal</v>
      </c>
      <c r="AH223" s="285" t="str">
        <f>IFERROR(__xludf.DUMMYFUNCTION("""COMPUTED_VALUE"""),"2H1M")</f>
        <v>2H1M</v>
      </c>
      <c r="AI223" s="287">
        <f>IFERROR(__xludf.DUMMYFUNCTION("""COMPUTED_VALUE"""),46143.0)</f>
        <v>46143</v>
      </c>
      <c r="AJ223" s="285">
        <f>IFERROR(__xludf.DUMMYFUNCTION("""COMPUTED_VALUE"""),2.0)</f>
        <v>2</v>
      </c>
      <c r="AK223" s="289">
        <f>IFERROR(__xludf.DUMMYFUNCTION("""COMPUTED_VALUE"""),4680000.0)</f>
        <v>4680000</v>
      </c>
      <c r="AL223" s="285" t="str">
        <f>IFERROR(__xludf.DUMMYFUNCTION("""COMPUTED_VALUE"""),"gagal, trip ditunda karena ada acara lain")</f>
        <v>gagal, trip ditunda karena ada acara lain</v>
      </c>
    </row>
    <row r="224">
      <c r="F224" s="285" t="str">
        <f>IFERROR(__xludf.DUMMYFUNCTION("""COMPUTED_VALUE"""),"2606D189")</f>
        <v>2606D189</v>
      </c>
      <c r="G224" s="286">
        <f>IFERROR(__xludf.DUMMYFUNCTION("""COMPUTED_VALUE"""),46197.0)</f>
        <v>46197</v>
      </c>
      <c r="H224" s="285" t="str">
        <f>IFERROR(__xludf.DUMMYFUNCTION("""COMPUTED_VALUE"""),"Sarah")</f>
        <v>Sarah</v>
      </c>
      <c r="I224" s="285" t="str">
        <f>IFERROR(__xludf.DUMMYFUNCTION("""COMPUTED_VALUE"""),"082130124287")</f>
        <v>082130124287</v>
      </c>
      <c r="J224" s="285" t="str">
        <f>IFERROR(__xludf.DUMMYFUNCTION("""COMPUTED_VALUE"""),"Leads Baru")</f>
        <v>Leads Baru</v>
      </c>
      <c r="K224" s="285" t="str">
        <f>IFERROR(__xludf.DUMMYFUNCTION("""COMPUTED_VALUE"""),"5H4M custome")</f>
        <v>5H4M custome</v>
      </c>
      <c r="L224" s="287"/>
      <c r="M224" s="288">
        <f>IFERROR(__xludf.DUMMYFUNCTION("""COMPUTED_VALUE"""),20.0)</f>
        <v>20</v>
      </c>
      <c r="N224" s="289"/>
      <c r="O224" s="290" t="str">
        <f>IFERROR(__xludf.DUMMYFUNCTION("""COMPUTED_VALUE"""),"buat penawaran")</f>
        <v>buat penawaran</v>
      </c>
      <c r="P224" s="320"/>
      <c r="R224" s="285"/>
      <c r="S224" s="285"/>
      <c r="T224" s="285"/>
      <c r="U224" s="285"/>
      <c r="V224" s="285"/>
      <c r="W224" s="285"/>
      <c r="X224" s="285"/>
      <c r="Y224" s="285"/>
      <c r="Z224" s="285"/>
      <c r="AA224" s="285"/>
      <c r="AC224" s="285" t="str">
        <f>IFERROR(__xludf.DUMMYFUNCTION("""COMPUTED_VALUE"""),"2602D082")</f>
        <v>2602D082</v>
      </c>
      <c r="AD224" s="286">
        <f>IFERROR(__xludf.DUMMYFUNCTION("""COMPUTED_VALUE"""),46071.0)</f>
        <v>46071</v>
      </c>
      <c r="AE224" s="285" t="str">
        <f>IFERROR(__xludf.DUMMYFUNCTION("""COMPUTED_VALUE"""),"Arum")</f>
        <v>Arum</v>
      </c>
      <c r="AF224" s="285" t="str">
        <f>IFERROR(__xludf.DUMMYFUNCTION("""COMPUTED_VALUE"""),"087789300092")</f>
        <v>087789300092</v>
      </c>
      <c r="AG224" s="285" t="str">
        <f>IFERROR(__xludf.DUMMYFUNCTION("""COMPUTED_VALUE"""),"Gagal")</f>
        <v>Gagal</v>
      </c>
      <c r="AH224" s="285" t="str">
        <f>IFERROR(__xludf.DUMMYFUNCTION("""COMPUTED_VALUE"""),"4H3M ")</f>
        <v>4H3M </v>
      </c>
      <c r="AI224" s="287"/>
      <c r="AJ224" s="285">
        <f>IFERROR(__xludf.DUMMYFUNCTION("""COMPUTED_VALUE"""),4.0)</f>
        <v>4</v>
      </c>
      <c r="AK224" s="289">
        <f>IFERROR(__xludf.DUMMYFUNCTION("""COMPUTED_VALUE"""),8460000.0)</f>
        <v>8460000</v>
      </c>
      <c r="AL224" s="285" t="str">
        <f>IFERROR(__xludf.DUMMYFUNCTION("""COMPUTED_VALUE"""),"ga dapat tiket pesawat")</f>
        <v>ga dapat tiket pesawat</v>
      </c>
    </row>
    <row r="225">
      <c r="F225" s="285" t="str">
        <f>IFERROR(__xludf.DUMMYFUNCTION("""COMPUTED_VALUE"""),"2606D190")</f>
        <v>2606D190</v>
      </c>
      <c r="G225" s="286">
        <f>IFERROR(__xludf.DUMMYFUNCTION("""COMPUTED_VALUE"""),46197.0)</f>
        <v>46197</v>
      </c>
      <c r="H225" s="285" t="str">
        <f>IFERROR(__xludf.DUMMYFUNCTION("""COMPUTED_VALUE"""),"Tari Kins")</f>
        <v>Tari Kins</v>
      </c>
      <c r="I225" s="285" t="str">
        <f>IFERROR(__xludf.DUMMYFUNCTION("""COMPUTED_VALUE"""),"0817456563")</f>
        <v>0817456563</v>
      </c>
      <c r="J225" s="285" t="str">
        <f>IFERROR(__xludf.DUMMYFUNCTION("""COMPUTED_VALUE"""),"Leads Baru")</f>
        <v>Leads Baru</v>
      </c>
      <c r="K225" s="285" t="str">
        <f>IFERROR(__xludf.DUMMYFUNCTION("""COMPUTED_VALUE"""),"4H3M")</f>
        <v>4H3M</v>
      </c>
      <c r="L225" s="287"/>
      <c r="M225" s="288">
        <f>IFERROR(__xludf.DUMMYFUNCTION("""COMPUTED_VALUE"""),6.0)</f>
        <v>6</v>
      </c>
      <c r="N225" s="289"/>
      <c r="O225" s="290" t="str">
        <f>IFERROR(__xludf.DUMMYFUNCTION("""COMPUTED_VALUE"""),"masih diskus, FU 29 Juni")</f>
        <v>masih diskus, FU 29 Juni</v>
      </c>
      <c r="P225" s="320"/>
      <c r="R225" s="285"/>
      <c r="S225" s="285"/>
      <c r="T225" s="285"/>
      <c r="U225" s="285"/>
      <c r="V225" s="285"/>
      <c r="W225" s="285"/>
      <c r="X225" s="285"/>
      <c r="Y225" s="285"/>
      <c r="Z225" s="285"/>
      <c r="AA225" s="285"/>
      <c r="AC225" s="285" t="str">
        <f>IFERROR(__xludf.DUMMYFUNCTION("""COMPUTED_VALUE"""),"2602D083")</f>
        <v>2602D083</v>
      </c>
      <c r="AD225" s="286">
        <f>IFERROR(__xludf.DUMMYFUNCTION("""COMPUTED_VALUE"""),46071.0)</f>
        <v>46071</v>
      </c>
      <c r="AE225" s="285" t="str">
        <f>IFERROR(__xludf.DUMMYFUNCTION("""COMPUTED_VALUE"""),"lulu")</f>
        <v>lulu</v>
      </c>
      <c r="AF225" s="285" t="str">
        <f>IFERROR(__xludf.DUMMYFUNCTION("""COMPUTED_VALUE"""),"082123901471")</f>
        <v>082123901471</v>
      </c>
      <c r="AG225" s="285" t="str">
        <f>IFERROR(__xludf.DUMMYFUNCTION("""COMPUTED_VALUE"""),"Gagal")</f>
        <v>Gagal</v>
      </c>
      <c r="AH225" s="285" t="str">
        <f>IFERROR(__xludf.DUMMYFUNCTION("""COMPUTED_VALUE"""),"MT,DB")</f>
        <v>MT,DB</v>
      </c>
      <c r="AI225" s="287">
        <f>IFERROR(__xludf.DUMMYFUNCTION("""COMPUTED_VALUE"""),46157.0)</f>
        <v>46157</v>
      </c>
      <c r="AJ225" s="285">
        <f>IFERROR(__xludf.DUMMYFUNCTION("""COMPUTED_VALUE"""),2.0)</f>
        <v>2</v>
      </c>
      <c r="AK225" s="289">
        <f>IFERROR(__xludf.DUMMYFUNCTION("""COMPUTED_VALUE"""),1900000.0)</f>
        <v>1900000</v>
      </c>
      <c r="AL225" s="285" t="str">
        <f>IFERROR(__xludf.DUMMYFUNCTION("""COMPUTED_VALUE"""),"fullbooked, ga ada balasan")</f>
        <v>fullbooked, ga ada balasan</v>
      </c>
    </row>
    <row r="226">
      <c r="F226" s="285" t="str">
        <f>IFERROR(__xludf.DUMMYFUNCTION("""COMPUTED_VALUE"""),"2606D196")</f>
        <v>2606D196</v>
      </c>
      <c r="G226" s="286">
        <f>IFERROR(__xludf.DUMMYFUNCTION("""COMPUTED_VALUE"""),46198.0)</f>
        <v>46198</v>
      </c>
      <c r="H226" s="285" t="str">
        <f>IFERROR(__xludf.DUMMYFUNCTION("""COMPUTED_VALUE"""),"wong ashor")</f>
        <v>wong ashor</v>
      </c>
      <c r="I226" s="285" t="str">
        <f>IFERROR(__xludf.DUMMYFUNCTION("""COMPUTED_VALUE"""),"089512106978")</f>
        <v>089512106978</v>
      </c>
      <c r="J226" s="285" t="str">
        <f>IFERROR(__xludf.DUMMYFUNCTION("""COMPUTED_VALUE"""),"Leads Baru")</f>
        <v>Leads Baru</v>
      </c>
      <c r="K226" s="285" t="str">
        <f>IFERROR(__xludf.DUMMYFUNCTION("""COMPUTED_VALUE"""),"OT MT")</f>
        <v>OT MT</v>
      </c>
      <c r="L226" s="287"/>
      <c r="M226" s="288">
        <f>IFERROR(__xludf.DUMMYFUNCTION("""COMPUTED_VALUE"""),3.0)</f>
        <v>3</v>
      </c>
      <c r="N226" s="289"/>
      <c r="O226" s="290" t="str">
        <f>IFERROR(__xludf.DUMMYFUNCTION("""COMPUTED_VALUE"""),"FU 3 Juli")</f>
        <v>FU 3 Juli</v>
      </c>
      <c r="P226" s="320"/>
      <c r="R226" s="285"/>
      <c r="S226" s="285"/>
      <c r="T226" s="285"/>
      <c r="U226" s="285"/>
      <c r="V226" s="285"/>
      <c r="W226" s="285"/>
      <c r="X226" s="285"/>
      <c r="Y226" s="285"/>
      <c r="Z226" s="285"/>
      <c r="AA226" s="285"/>
      <c r="AC226" s="285" t="str">
        <f>IFERROR(__xludf.DUMMYFUNCTION("""COMPUTED_VALUE"""),"2602D084")</f>
        <v>2602D084</v>
      </c>
      <c r="AD226" s="286">
        <f>IFERROR(__xludf.DUMMYFUNCTION("""COMPUTED_VALUE"""),46071.0)</f>
        <v>46071</v>
      </c>
      <c r="AE226" s="285" t="str">
        <f>IFERROR(__xludf.DUMMYFUNCTION("""COMPUTED_VALUE"""),"maria melinda")</f>
        <v>maria melinda</v>
      </c>
      <c r="AF226" s="285" t="str">
        <f>IFERROR(__xludf.DUMMYFUNCTION("""COMPUTED_VALUE"""),"081365986558")</f>
        <v>081365986558</v>
      </c>
      <c r="AG226" s="285" t="str">
        <f>IFERROR(__xludf.DUMMYFUNCTION("""COMPUTED_VALUE"""),"Gagal")</f>
        <v>Gagal</v>
      </c>
      <c r="AH226" s="285" t="str">
        <f>IFERROR(__xludf.DUMMYFUNCTION("""COMPUTED_VALUE"""),"3H2M")</f>
        <v>3H2M</v>
      </c>
      <c r="AI226" s="287"/>
      <c r="AJ226" s="285">
        <f>IFERROR(__xludf.DUMMYFUNCTION("""COMPUTED_VALUE"""),3.0)</f>
        <v>3</v>
      </c>
      <c r="AK226" s="289"/>
      <c r="AL226" s="285" t="str">
        <f>IFERROR(__xludf.DUMMYFUNCTION("""COMPUTED_VALUE"""),"tidak ada jawaban")</f>
        <v>tidak ada jawaban</v>
      </c>
    </row>
    <row r="227">
      <c r="F227" s="285" t="str">
        <f>IFERROR(__xludf.DUMMYFUNCTION("""COMPUTED_VALUE"""),"2606D197")</f>
        <v>2606D197</v>
      </c>
      <c r="G227" s="286">
        <f>IFERROR(__xludf.DUMMYFUNCTION("""COMPUTED_VALUE"""),46198.0)</f>
        <v>46198</v>
      </c>
      <c r="H227" s="285" t="str">
        <f>IFERROR(__xludf.DUMMYFUNCTION("""COMPUTED_VALUE"""),"angel")</f>
        <v>angel</v>
      </c>
      <c r="I227" s="285" t="str">
        <f>IFERROR(__xludf.DUMMYFUNCTION("""COMPUTED_VALUE"""),"082157998900")</f>
        <v>082157998900</v>
      </c>
      <c r="J227" s="285" t="str">
        <f>IFERROR(__xludf.DUMMYFUNCTION("""COMPUTED_VALUE"""),"Leads Baru")</f>
        <v>Leads Baru</v>
      </c>
      <c r="K227" s="285"/>
      <c r="L227" s="287"/>
      <c r="M227" s="288"/>
      <c r="N227" s="289"/>
      <c r="O227" s="290" t="str">
        <f>IFERROR(__xludf.DUMMYFUNCTION("""COMPUTED_VALUE"""),"masih nyapa, FU 26 Juni")</f>
        <v>masih nyapa, FU 26 Juni</v>
      </c>
      <c r="P227" s="320"/>
      <c r="R227" s="285"/>
      <c r="S227" s="285"/>
      <c r="T227" s="285"/>
      <c r="U227" s="285"/>
      <c r="V227" s="285"/>
      <c r="W227" s="285"/>
      <c r="X227" s="285"/>
      <c r="Y227" s="285"/>
      <c r="Z227" s="285"/>
      <c r="AA227" s="285"/>
      <c r="AC227" s="285" t="str">
        <f>IFERROR(__xludf.DUMMYFUNCTION("""COMPUTED_VALUE"""),"2602D085")</f>
        <v>2602D085</v>
      </c>
      <c r="AD227" s="286">
        <f>IFERROR(__xludf.DUMMYFUNCTION("""COMPUTED_VALUE"""),46071.0)</f>
        <v>46071</v>
      </c>
      <c r="AE227" s="285" t="str">
        <f>IFERROR(__xludf.DUMMYFUNCTION("""COMPUTED_VALUE"""),"kintana")</f>
        <v>kintana</v>
      </c>
      <c r="AF227" s="285" t="str">
        <f>IFERROR(__xludf.DUMMYFUNCTION("""COMPUTED_VALUE"""),"081574797803")</f>
        <v>081574797803</v>
      </c>
      <c r="AG227" s="285" t="str">
        <f>IFERROR(__xludf.DUMMYFUNCTION("""COMPUTED_VALUE"""),"Gagal")</f>
        <v>Gagal</v>
      </c>
      <c r="AH227" s="285" t="str">
        <f>IFERROR(__xludf.DUMMYFUNCTION("""COMPUTED_VALUE"""),"3H2M Custom")</f>
        <v>3H2M Custom</v>
      </c>
      <c r="AI227" s="287">
        <f>IFERROR(__xludf.DUMMYFUNCTION("""COMPUTED_VALUE"""),46106.0)</f>
        <v>46106</v>
      </c>
      <c r="AJ227" s="285">
        <f>IFERROR(__xludf.DUMMYFUNCTION("""COMPUTED_VALUE"""),2.0)</f>
        <v>2</v>
      </c>
      <c r="AK227" s="289">
        <f>IFERROR(__xludf.DUMMYFUNCTION("""COMPUTED_VALUE"""),1.0E7)</f>
        <v>10000000</v>
      </c>
      <c r="AL227" s="285" t="str">
        <f>IFERROR(__xludf.DUMMYFUNCTION("""COMPUTED_VALUE"""),"sudah FU 5")</f>
        <v>sudah FU 5</v>
      </c>
    </row>
    <row r="228">
      <c r="F228" s="285" t="str">
        <f>IFERROR(__xludf.DUMMYFUNCTION("""COMPUTED_VALUE"""),"2606D201")</f>
        <v>2606D201</v>
      </c>
      <c r="G228" s="286">
        <f>IFERROR(__xludf.DUMMYFUNCTION("""COMPUTED_VALUE"""),46197.0)</f>
        <v>46197</v>
      </c>
      <c r="H228" s="285" t="str">
        <f>IFERROR(__xludf.DUMMYFUNCTION("""COMPUTED_VALUE"""),"No Name garis")</f>
        <v>No Name garis</v>
      </c>
      <c r="I228" s="285" t="str">
        <f>IFERROR(__xludf.DUMMYFUNCTION("""COMPUTED_VALUE"""),"082266369983")</f>
        <v>082266369983</v>
      </c>
      <c r="J228" s="285" t="str">
        <f>IFERROR(__xludf.DUMMYFUNCTION("""COMPUTED_VALUE"""),"Leads Baru")</f>
        <v>Leads Baru</v>
      </c>
      <c r="K228" s="285"/>
      <c r="L228" s="287"/>
      <c r="M228" s="288"/>
      <c r="N228" s="289"/>
      <c r="O228" s="290" t="str">
        <f>IFERROR(__xludf.DUMMYFUNCTION("""COMPUTED_VALUE"""),"masih nyapa, FU 27 Juni")</f>
        <v>masih nyapa, FU 27 Juni</v>
      </c>
      <c r="P228" s="320"/>
      <c r="R228" s="285"/>
      <c r="S228" s="285"/>
      <c r="T228" s="285"/>
      <c r="U228" s="285"/>
      <c r="V228" s="285"/>
      <c r="W228" s="285"/>
      <c r="X228" s="285"/>
      <c r="Y228" s="285"/>
      <c r="Z228" s="285"/>
      <c r="AA228" s="285"/>
      <c r="AC228" s="285" t="str">
        <f>IFERROR(__xludf.DUMMYFUNCTION("""COMPUTED_VALUE"""),"2602D086")</f>
        <v>2602D086</v>
      </c>
      <c r="AD228" s="286">
        <f>IFERROR(__xludf.DUMMYFUNCTION("""COMPUTED_VALUE"""),46071.0)</f>
        <v>46071</v>
      </c>
      <c r="AE228" s="285" t="str">
        <f>IFERROR(__xludf.DUMMYFUNCTION("""COMPUTED_VALUE"""),"Nova Pramita")</f>
        <v>Nova Pramita</v>
      </c>
      <c r="AF228" s="285" t="str">
        <f>IFERROR(__xludf.DUMMYFUNCTION("""COMPUTED_VALUE"""),"087777341697")</f>
        <v>087777341697</v>
      </c>
      <c r="AG228" s="285" t="str">
        <f>IFERROR(__xludf.DUMMYFUNCTION("""COMPUTED_VALUE"""),"Gagal")</f>
        <v>Gagal</v>
      </c>
      <c r="AH228" s="285" t="str">
        <f>IFERROR(__xludf.DUMMYFUNCTION("""COMPUTED_VALUE"""),"3h2m custom")</f>
        <v>3h2m custom</v>
      </c>
      <c r="AI228" s="287"/>
      <c r="AJ228" s="285">
        <f>IFERROR(__xludf.DUMMYFUNCTION("""COMPUTED_VALUE"""),6.0)</f>
        <v>6</v>
      </c>
      <c r="AK228" s="289"/>
      <c r="AL228" s="285" t="str">
        <f>IFERROR(__xludf.DUMMYFUNCTION("""COMPUTED_VALUE"""),"Menjangan full booked")</f>
        <v>Menjangan full booked</v>
      </c>
    </row>
    <row r="229">
      <c r="F229" s="285" t="str">
        <f>IFERROR(__xludf.DUMMYFUNCTION("""COMPUTED_VALUE"""),"2606D202 ")</f>
        <v>2606D202 </v>
      </c>
      <c r="G229" s="286">
        <f>IFERROR(__xludf.DUMMYFUNCTION("""COMPUTED_VALUE"""),46197.0)</f>
        <v>46197</v>
      </c>
      <c r="H229" s="285" t="str">
        <f>IFERROR(__xludf.DUMMYFUNCTION("""COMPUTED_VALUE"""),"ibnhamzah")</f>
        <v>ibnhamzah</v>
      </c>
      <c r="I229" s="285" t="str">
        <f>IFERROR(__xludf.DUMMYFUNCTION("""COMPUTED_VALUE"""),"087836044965")</f>
        <v>087836044965</v>
      </c>
      <c r="J229" s="285" t="str">
        <f>IFERROR(__xludf.DUMMYFUNCTION("""COMPUTED_VALUE"""),"Leads Baru")</f>
        <v>Leads Baru</v>
      </c>
      <c r="K229" s="285"/>
      <c r="L229" s="287"/>
      <c r="M229" s="288"/>
      <c r="N229" s="289"/>
      <c r="O229" s="290" t="str">
        <f>IFERROR(__xludf.DUMMYFUNCTION("""COMPUTED_VALUE"""),"masih nyapa, FU 27 Juni")</f>
        <v>masih nyapa, FU 27 Juni</v>
      </c>
      <c r="P229" s="320"/>
      <c r="R229" s="285"/>
      <c r="S229" s="285"/>
      <c r="T229" s="285"/>
      <c r="U229" s="285"/>
      <c r="V229" s="285"/>
      <c r="W229" s="285"/>
      <c r="X229" s="285"/>
      <c r="Y229" s="285"/>
      <c r="Z229" s="285"/>
      <c r="AA229" s="285"/>
      <c r="AC229" s="285" t="str">
        <f>IFERROR(__xludf.DUMMYFUNCTION("""COMPUTED_VALUE"""),"2602D087")</f>
        <v>2602D087</v>
      </c>
      <c r="AD229" s="286">
        <f>IFERROR(__xludf.DUMMYFUNCTION("""COMPUTED_VALUE"""),46072.0)</f>
        <v>46072</v>
      </c>
      <c r="AE229" s="285" t="str">
        <f>IFERROR(__xludf.DUMMYFUNCTION("""COMPUTED_VALUE"""),"Devitaa")</f>
        <v>Devitaa</v>
      </c>
      <c r="AF229" s="285" t="str">
        <f>IFERROR(__xludf.DUMMYFUNCTION("""COMPUTED_VALUE"""),"08158122558")</f>
        <v>08158122558</v>
      </c>
      <c r="AG229" s="285" t="str">
        <f>IFERROR(__xludf.DUMMYFUNCTION("""COMPUTED_VALUE"""),"Gagal")</f>
        <v>Gagal</v>
      </c>
      <c r="AH229" s="285" t="str">
        <f>IFERROR(__xludf.DUMMYFUNCTION("""COMPUTED_VALUE"""),"3H2M")</f>
        <v>3H2M</v>
      </c>
      <c r="AI229" s="287"/>
      <c r="AJ229" s="285"/>
      <c r="AK229" s="289"/>
      <c r="AL229" s="285" t="str">
        <f>IFERROR(__xludf.DUMMYFUNCTION("""COMPUTED_VALUE"""),"jadinya ke Jogja")</f>
        <v>jadinya ke Jogja</v>
      </c>
    </row>
    <row r="230">
      <c r="F230" s="285" t="str">
        <f>IFERROR(__xludf.DUMMYFUNCTION("""COMPUTED_VALUE"""),"2606D206")</f>
        <v>2606D206</v>
      </c>
      <c r="G230" s="286">
        <f>IFERROR(__xludf.DUMMYFUNCTION("""COMPUTED_VALUE"""),46198.0)</f>
        <v>46198</v>
      </c>
      <c r="H230" s="285" t="str">
        <f>IFERROR(__xludf.DUMMYFUNCTION("""COMPUTED_VALUE"""),"Megasari")</f>
        <v>Megasari</v>
      </c>
      <c r="I230" s="285" t="str">
        <f>IFERROR(__xludf.DUMMYFUNCTION("""COMPUTED_VALUE"""),"085113333041")</f>
        <v>085113333041</v>
      </c>
      <c r="J230" s="285" t="str">
        <f>IFERROR(__xludf.DUMMYFUNCTION("""COMPUTED_VALUE"""),"Leads Baru")</f>
        <v>Leads Baru</v>
      </c>
      <c r="K230" s="285" t="str">
        <f>IFERROR(__xludf.DUMMYFUNCTION("""COMPUTED_VALUE"""),"OT Ijen")</f>
        <v>OT Ijen</v>
      </c>
      <c r="L230" s="287"/>
      <c r="M230" s="288">
        <f>IFERROR(__xludf.DUMMYFUNCTION("""COMPUTED_VALUE"""),5.0)</f>
        <v>5</v>
      </c>
      <c r="N230" s="289"/>
      <c r="O230" s="290" t="str">
        <f>IFERROR(__xludf.DUMMYFUNCTION("""COMPUTED_VALUE"""),"FU 28 Juni")</f>
        <v>FU 28 Juni</v>
      </c>
      <c r="P230" s="320"/>
      <c r="R230" s="285"/>
      <c r="S230" s="285"/>
      <c r="T230" s="285"/>
      <c r="U230" s="285"/>
      <c r="V230" s="285"/>
      <c r="W230" s="285"/>
      <c r="X230" s="285"/>
      <c r="Y230" s="285"/>
      <c r="Z230" s="285"/>
      <c r="AA230" s="285"/>
      <c r="AC230" s="285" t="str">
        <f>IFERROR(__xludf.DUMMYFUNCTION("""COMPUTED_VALUE"""),"2602D088")</f>
        <v>2602D088</v>
      </c>
      <c r="AD230" s="286">
        <f>IFERROR(__xludf.DUMMYFUNCTION("""COMPUTED_VALUE"""),46072.0)</f>
        <v>46072</v>
      </c>
      <c r="AE230" s="285" t="str">
        <f>IFERROR(__xludf.DUMMYFUNCTION("""COMPUTED_VALUE"""),"Resna")</f>
        <v>Resna</v>
      </c>
      <c r="AF230" s="285" t="str">
        <f>IFERROR(__xludf.DUMMYFUNCTION("""COMPUTED_VALUE"""),"081585383655")</f>
        <v>081585383655</v>
      </c>
      <c r="AG230" s="285" t="str">
        <f>IFERROR(__xludf.DUMMYFUNCTION("""COMPUTED_VALUE"""),"Gagal")</f>
        <v>Gagal</v>
      </c>
      <c r="AH230" s="285" t="str">
        <f>IFERROR(__xludf.DUMMYFUNCTION("""COMPUTED_VALUE"""),"OT D,B")</f>
        <v>OT D,B</v>
      </c>
      <c r="AI230" s="287"/>
      <c r="AJ230" s="285"/>
      <c r="AK230" s="289"/>
      <c r="AL230" s="285" t="str">
        <f>IFERROR(__xludf.DUMMYFUNCTION("""COMPUTED_VALUE"""),"tidak ada jawaban")</f>
        <v>tidak ada jawaban</v>
      </c>
    </row>
    <row r="231">
      <c r="F231" s="285" t="str">
        <f>IFERROR(__xludf.DUMMYFUNCTION("""COMPUTED_VALUE"""),"2606D207")</f>
        <v>2606D207</v>
      </c>
      <c r="G231" s="286">
        <f>IFERROR(__xludf.DUMMYFUNCTION("""COMPUTED_VALUE"""),46197.0)</f>
        <v>46197</v>
      </c>
      <c r="H231" s="285" t="str">
        <f>IFERROR(__xludf.DUMMYFUNCTION("""COMPUTED_VALUE"""),"Yogi")</f>
        <v>Yogi</v>
      </c>
      <c r="I231" s="285" t="str">
        <f>IFERROR(__xludf.DUMMYFUNCTION("""COMPUTED_VALUE"""),"087774140717")</f>
        <v>087774140717</v>
      </c>
      <c r="J231" s="285" t="str">
        <f>IFERROR(__xludf.DUMMYFUNCTION("""COMPUTED_VALUE"""),"Leads Baru")</f>
        <v>Leads Baru</v>
      </c>
      <c r="K231" s="285" t="str">
        <f>IFERROR(__xludf.DUMMYFUNCTION("""COMPUTED_VALUE"""),"2h1m custome")</f>
        <v>2h1m custome</v>
      </c>
      <c r="L231" s="287"/>
      <c r="M231" s="288">
        <f>IFERROR(__xludf.DUMMYFUNCTION("""COMPUTED_VALUE"""),2.0)</f>
        <v>2</v>
      </c>
      <c r="N231" s="289"/>
      <c r="O231" s="290" t="str">
        <f>IFERROR(__xludf.DUMMYFUNCTION("""COMPUTED_VALUE"""),"FU 5 Juli")</f>
        <v>FU 5 Juli</v>
      </c>
      <c r="P231" s="320"/>
      <c r="R231" s="285"/>
      <c r="S231" s="285"/>
      <c r="T231" s="285"/>
      <c r="U231" s="285"/>
      <c r="V231" s="285"/>
      <c r="W231" s="285"/>
      <c r="X231" s="285"/>
      <c r="Y231" s="285"/>
      <c r="Z231" s="285"/>
      <c r="AA231" s="285"/>
      <c r="AC231" s="285" t="str">
        <f>IFERROR(__xludf.DUMMYFUNCTION("""COMPUTED_VALUE"""),"2602D089")</f>
        <v>2602D089</v>
      </c>
      <c r="AD231" s="286">
        <f>IFERROR(__xludf.DUMMYFUNCTION("""COMPUTED_VALUE"""),46073.0)</f>
        <v>46073</v>
      </c>
      <c r="AE231" s="285" t="str">
        <f>IFERROR(__xludf.DUMMYFUNCTION("""COMPUTED_VALUE"""),"Rama")</f>
        <v>Rama</v>
      </c>
      <c r="AF231" s="285" t="str">
        <f>IFERROR(__xludf.DUMMYFUNCTION("""COMPUTED_VALUE"""),"085815842363")</f>
        <v>085815842363</v>
      </c>
      <c r="AG231" s="285" t="str">
        <f>IFERROR(__xludf.DUMMYFUNCTION("""COMPUTED_VALUE"""),"Gagal")</f>
        <v>Gagal</v>
      </c>
      <c r="AH231" s="285"/>
      <c r="AI231" s="287"/>
      <c r="AJ231" s="285"/>
      <c r="AK231" s="289"/>
      <c r="AL231" s="285" t="str">
        <f>IFERROR(__xludf.DUMMYFUNCTION("""COMPUTED_VALUE"""),"tidak ada jawaban")</f>
        <v>tidak ada jawaban</v>
      </c>
    </row>
    <row r="232">
      <c r="F232" s="285" t="str">
        <f>IFERROR(__xludf.DUMMYFUNCTION("""COMPUTED_VALUE"""),"2606D208")</f>
        <v>2606D208</v>
      </c>
      <c r="G232" s="286">
        <f>IFERROR(__xludf.DUMMYFUNCTION("""COMPUTED_VALUE"""),46198.0)</f>
        <v>46198</v>
      </c>
      <c r="H232" s="285" t="str">
        <f>IFERROR(__xludf.DUMMYFUNCTION("""COMPUTED_VALUE"""),"Yulius")</f>
        <v>Yulius</v>
      </c>
      <c r="I232" s="285" t="str">
        <f>IFERROR(__xludf.DUMMYFUNCTION("""COMPUTED_VALUE"""),"08161103785")</f>
        <v>08161103785</v>
      </c>
      <c r="J232" s="285" t="str">
        <f>IFERROR(__xludf.DUMMYFUNCTION("""COMPUTED_VALUE"""),"Leads Baru")</f>
        <v>Leads Baru</v>
      </c>
      <c r="K232" s="285"/>
      <c r="L232" s="287"/>
      <c r="M232" s="288"/>
      <c r="N232" s="289"/>
      <c r="O232" s="290" t="str">
        <f>IFERROR(__xludf.DUMMYFUNCTION("""COMPUTED_VALUE"""),"masih nyapa, FU 27 Juni")</f>
        <v>masih nyapa, FU 27 Juni</v>
      </c>
      <c r="P232" s="320"/>
      <c r="R232" s="285"/>
      <c r="S232" s="285"/>
      <c r="T232" s="285"/>
      <c r="U232" s="285"/>
      <c r="V232" s="285"/>
      <c r="W232" s="285"/>
      <c r="X232" s="285"/>
      <c r="Y232" s="285"/>
      <c r="Z232" s="285"/>
      <c r="AA232" s="285"/>
      <c r="AC232" s="285" t="str">
        <f>IFERROR(__xludf.DUMMYFUNCTION("""COMPUTED_VALUE"""),"2602D090")</f>
        <v>2602D090</v>
      </c>
      <c r="AD232" s="286">
        <f>IFERROR(__xludf.DUMMYFUNCTION("""COMPUTED_VALUE"""),46073.0)</f>
        <v>46073</v>
      </c>
      <c r="AE232" s="285" t="str">
        <f>IFERROR(__xludf.DUMMYFUNCTION("""COMPUTED_VALUE"""),"Bagas K")</f>
        <v>Bagas K</v>
      </c>
      <c r="AF232" s="285" t="str">
        <f>IFERROR(__xludf.DUMMYFUNCTION("""COMPUTED_VALUE"""),"081281916862")</f>
        <v>081281916862</v>
      </c>
      <c r="AG232" s="285" t="str">
        <f>IFERROR(__xludf.DUMMYFUNCTION("""COMPUTED_VALUE"""),"Gagal")</f>
        <v>Gagal</v>
      </c>
      <c r="AH232" s="285" t="str">
        <f>IFERROR(__xludf.DUMMYFUNCTION("""COMPUTED_VALUE"""),"OT Menjangan Tabuhan")</f>
        <v>OT Menjangan Tabuhan</v>
      </c>
      <c r="AI232" s="287">
        <f>IFERROR(__xludf.DUMMYFUNCTION("""COMPUTED_VALUE"""),46107.0)</f>
        <v>46107</v>
      </c>
      <c r="AJ232" s="285">
        <f>IFERROR(__xludf.DUMMYFUNCTION("""COMPUTED_VALUE"""),5.0)</f>
        <v>5</v>
      </c>
      <c r="AK232" s="289">
        <f>IFERROR(__xludf.DUMMYFUNCTION("""COMPUTED_VALUE"""),2875000.0)</f>
        <v>2875000</v>
      </c>
      <c r="AL232" s="285" t="str">
        <f>IFERROR(__xludf.DUMMYFUNCTION("""COMPUTED_VALUE"""),"belum jadi")</f>
        <v>belum jadi</v>
      </c>
    </row>
    <row r="233">
      <c r="F233" s="285" t="str">
        <f>IFERROR(__xludf.DUMMYFUNCTION("""COMPUTED_VALUE"""),"2606D209")</f>
        <v>2606D209</v>
      </c>
      <c r="G233" s="286">
        <f>IFERROR(__xludf.DUMMYFUNCTION("""COMPUTED_VALUE"""),46198.0)</f>
        <v>46198</v>
      </c>
      <c r="H233" s="285" t="str">
        <f>IFERROR(__xludf.DUMMYFUNCTION("""COMPUTED_VALUE"""),"Nindya")</f>
        <v>Nindya</v>
      </c>
      <c r="I233" s="285" t="str">
        <f>IFERROR(__xludf.DUMMYFUNCTION("""COMPUTED_VALUE"""),"085694522135")</f>
        <v>085694522135</v>
      </c>
      <c r="J233" s="285" t="str">
        <f>IFERROR(__xludf.DUMMYFUNCTION("""COMPUTED_VALUE"""),"Leads Baru")</f>
        <v>Leads Baru</v>
      </c>
      <c r="K233" s="285" t="str">
        <f>IFERROR(__xludf.DUMMYFUNCTION("""COMPUTED_VALUE"""),"OT 3H2M")</f>
        <v>OT 3H2M</v>
      </c>
      <c r="L233" s="287">
        <f>IFERROR(__xludf.DUMMYFUNCTION("""COMPUTED_VALUE"""),46212.0)</f>
        <v>46212</v>
      </c>
      <c r="M233" s="288">
        <f>IFERROR(__xludf.DUMMYFUNCTION("""COMPUTED_VALUE"""),2.0)</f>
        <v>2</v>
      </c>
      <c r="N233" s="289"/>
      <c r="O233" s="290" t="str">
        <f>IFERROR(__xludf.DUMMYFUNCTION("""COMPUTED_VALUE"""),"FU 30 Juni")</f>
        <v>FU 30 Juni</v>
      </c>
      <c r="P233" s="320"/>
      <c r="R233" s="285"/>
      <c r="S233" s="285"/>
      <c r="T233" s="285"/>
      <c r="U233" s="285"/>
      <c r="V233" s="285"/>
      <c r="W233" s="285"/>
      <c r="X233" s="285"/>
      <c r="Y233" s="285"/>
      <c r="Z233" s="285"/>
      <c r="AA233" s="285"/>
      <c r="AC233" s="285" t="str">
        <f>IFERROR(__xludf.DUMMYFUNCTION("""COMPUTED_VALUE"""),"2602D091")</f>
        <v>2602D091</v>
      </c>
      <c r="AD233" s="286">
        <f>IFERROR(__xludf.DUMMYFUNCTION("""COMPUTED_VALUE"""),46073.0)</f>
        <v>46073</v>
      </c>
      <c r="AE233" s="285" t="str">
        <f>IFERROR(__xludf.DUMMYFUNCTION("""COMPUTED_VALUE"""),"vo")</f>
        <v>vo</v>
      </c>
      <c r="AF233" s="285" t="str">
        <f>IFERROR(__xludf.DUMMYFUNCTION("""COMPUTED_VALUE"""),"085218179125")</f>
        <v>085218179125</v>
      </c>
      <c r="AG233" s="285" t="str">
        <f>IFERROR(__xludf.DUMMYFUNCTION("""COMPUTED_VALUE"""),"Gagal")</f>
        <v>Gagal</v>
      </c>
      <c r="AH233" s="285" t="str">
        <f>IFERROR(__xludf.DUMMYFUNCTION("""COMPUTED_VALUE"""),"1D trip")</f>
        <v>1D trip</v>
      </c>
      <c r="AI233" s="287">
        <f>IFERROR(__xludf.DUMMYFUNCTION("""COMPUTED_VALUE"""),46108.0)</f>
        <v>46108</v>
      </c>
      <c r="AJ233" s="285"/>
      <c r="AK233" s="289"/>
      <c r="AL233" s="285" t="str">
        <f>IFERROR(__xludf.DUMMYFUNCTION("""COMPUTED_VALUE"""),"ga jadi, next time aja")</f>
        <v>ga jadi, next time aja</v>
      </c>
    </row>
    <row r="234">
      <c r="F234" s="285" t="str">
        <f>IFERROR(__xludf.DUMMYFUNCTION("""COMPUTED_VALUE"""),"2606D210")</f>
        <v>2606D210</v>
      </c>
      <c r="G234" s="286">
        <f>IFERROR(__xludf.DUMMYFUNCTION("""COMPUTED_VALUE"""),46198.0)</f>
        <v>46198</v>
      </c>
      <c r="H234" s="285" t="str">
        <f>IFERROR(__xludf.DUMMYFUNCTION("""COMPUTED_VALUE"""),"Rifia")</f>
        <v>Rifia</v>
      </c>
      <c r="I234" s="285" t="str">
        <f>IFERROR(__xludf.DUMMYFUNCTION("""COMPUTED_VALUE"""),"082137510282")</f>
        <v>082137510282</v>
      </c>
      <c r="J234" s="285" t="str">
        <f>IFERROR(__xludf.DUMMYFUNCTION("""COMPUTED_VALUE"""),"Leads Baru")</f>
        <v>Leads Baru</v>
      </c>
      <c r="K234" s="285" t="str">
        <f>IFERROR(__xludf.DUMMYFUNCTION("""COMPUTED_VALUE"""),"private Ijen")</f>
        <v>private Ijen</v>
      </c>
      <c r="L234" s="287"/>
      <c r="M234" s="288">
        <f>IFERROR(__xludf.DUMMYFUNCTION("""COMPUTED_VALUE"""),5.0)</f>
        <v>5</v>
      </c>
      <c r="N234" s="289"/>
      <c r="O234" s="290" t="str">
        <f>IFERROR(__xludf.DUMMYFUNCTION("""COMPUTED_VALUE"""),"penjemputan dari Muncar, FU 29 Juni")</f>
        <v>penjemputan dari Muncar, FU 29 Juni</v>
      </c>
      <c r="P234" s="320"/>
      <c r="R234" s="285"/>
      <c r="S234" s="285"/>
      <c r="T234" s="285"/>
      <c r="U234" s="285"/>
      <c r="V234" s="285"/>
      <c r="W234" s="285"/>
      <c r="X234" s="285"/>
      <c r="Y234" s="285"/>
      <c r="Z234" s="285"/>
      <c r="AA234" s="285"/>
      <c r="AC234" s="285" t="str">
        <f>IFERROR(__xludf.DUMMYFUNCTION("""COMPUTED_VALUE"""),"2602D092")</f>
        <v>2602D092</v>
      </c>
      <c r="AD234" s="286">
        <f>IFERROR(__xludf.DUMMYFUNCTION("""COMPUTED_VALUE"""),46073.0)</f>
        <v>46073</v>
      </c>
      <c r="AE234" s="285" t="str">
        <f>IFERROR(__xludf.DUMMYFUNCTION("""COMPUTED_VALUE"""),"Slime")</f>
        <v>Slime</v>
      </c>
      <c r="AF234" s="285" t="str">
        <f>IFERROR(__xludf.DUMMYFUNCTION("""COMPUTED_VALUE"""),"082251237082")</f>
        <v>082251237082</v>
      </c>
      <c r="AG234" s="285" t="str">
        <f>IFERROR(__xludf.DUMMYFUNCTION("""COMPUTED_VALUE"""),"Gagal")</f>
        <v>Gagal</v>
      </c>
      <c r="AH234" s="285" t="str">
        <f>IFERROR(__xludf.DUMMYFUNCTION("""COMPUTED_VALUE"""),"trip kawah ijen")</f>
        <v>trip kawah ijen</v>
      </c>
      <c r="AI234" s="287">
        <f>IFERROR(__xludf.DUMMYFUNCTION("""COMPUTED_VALUE"""),46080.0)</f>
        <v>46080</v>
      </c>
      <c r="AJ234" s="285">
        <f>IFERROR(__xludf.DUMMYFUNCTION("""COMPUTED_VALUE"""),1.0)</f>
        <v>1</v>
      </c>
      <c r="AK234" s="289">
        <f>IFERROR(__xludf.DUMMYFUNCTION("""COMPUTED_VALUE"""),250000.0)</f>
        <v>250000</v>
      </c>
      <c r="AL234" s="285" t="str">
        <f>IFERROR(__xludf.DUMMYFUNCTION("""COMPUTED_VALUE"""),"gagal karna cuma 1 org yg trip")</f>
        <v>gagal karna cuma 1 org yg trip</v>
      </c>
    </row>
    <row r="235">
      <c r="F235" s="285" t="str">
        <f>IFERROR(__xludf.DUMMYFUNCTION("""COMPUTED_VALUE"""),"2606D211")</f>
        <v>2606D211</v>
      </c>
      <c r="G235" s="286">
        <f>IFERROR(__xludf.DUMMYFUNCTION("""COMPUTED_VALUE"""),46199.0)</f>
        <v>46199</v>
      </c>
      <c r="H235" s="285" t="str">
        <f>IFERROR(__xludf.DUMMYFUNCTION("""COMPUTED_VALUE"""),"Rej-pul")</f>
        <v>Rej-pul</v>
      </c>
      <c r="I235" s="285" t="str">
        <f>IFERROR(__xludf.DUMMYFUNCTION("""COMPUTED_VALUE"""),"082277733031")</f>
        <v>082277733031</v>
      </c>
      <c r="J235" s="285" t="str">
        <f>IFERROR(__xludf.DUMMYFUNCTION("""COMPUTED_VALUE"""),"Leads Baru")</f>
        <v>Leads Baru</v>
      </c>
      <c r="K235" s="285" t="str">
        <f>IFERROR(__xludf.DUMMYFUNCTION("""COMPUTED_VALUE"""),"OT MT")</f>
        <v>OT MT</v>
      </c>
      <c r="L235" s="287">
        <f>IFERROR(__xludf.DUMMYFUNCTION("""COMPUTED_VALUE"""),46202.0)</f>
        <v>46202</v>
      </c>
      <c r="M235" s="288">
        <f>IFERROR(__xludf.DUMMYFUNCTION("""COMPUTED_VALUE"""),1.0)</f>
        <v>1</v>
      </c>
      <c r="N235" s="289"/>
      <c r="O235" s="290" t="str">
        <f>IFERROR(__xludf.DUMMYFUNCTION("""COMPUTED_VALUE"""),"cek ketersediaan, FU 27 Juni")</f>
        <v>cek ketersediaan, FU 27 Juni</v>
      </c>
      <c r="P235" s="320"/>
      <c r="R235" s="285"/>
      <c r="S235" s="285"/>
      <c r="T235" s="285"/>
      <c r="U235" s="285"/>
      <c r="V235" s="285"/>
      <c r="W235" s="285"/>
      <c r="X235" s="285"/>
      <c r="Y235" s="285"/>
      <c r="Z235" s="285"/>
      <c r="AA235" s="285"/>
      <c r="AC235" s="285" t="str">
        <f>IFERROR(__xludf.DUMMYFUNCTION("""COMPUTED_VALUE"""),"2602D093")</f>
        <v>2602D093</v>
      </c>
      <c r="AD235" s="286">
        <f>IFERROR(__xludf.DUMMYFUNCTION("""COMPUTED_VALUE"""),46073.0)</f>
        <v>46073</v>
      </c>
      <c r="AE235" s="285" t="str">
        <f>IFERROR(__xludf.DUMMYFUNCTION("""COMPUTED_VALUE"""),"Uven Sanjay")</f>
        <v>Uven Sanjay</v>
      </c>
      <c r="AF235" s="285" t="str">
        <f>IFERROR(__xludf.DUMMYFUNCTION("""COMPUTED_VALUE"""),"082277484501")</f>
        <v>082277484501</v>
      </c>
      <c r="AG235" s="285" t="str">
        <f>IFERROR(__xludf.DUMMYFUNCTION("""COMPUTED_VALUE"""),"Gagal")</f>
        <v>Gagal</v>
      </c>
      <c r="AH235" s="285" t="str">
        <f>IFERROR(__xludf.DUMMYFUNCTION("""COMPUTED_VALUE"""),"trip  D,B")</f>
        <v>trip  D,B</v>
      </c>
      <c r="AI235" s="287"/>
      <c r="AJ235" s="285">
        <f>IFERROR(__xludf.DUMMYFUNCTION("""COMPUTED_VALUE"""),3.0)</f>
        <v>3</v>
      </c>
      <c r="AK235" s="289"/>
      <c r="AL235" s="285" t="str">
        <f>IFERROR(__xludf.DUMMYFUNCTION("""COMPUTED_VALUE"""),"tidak ada jawaban, sudah fu 5 kali")</f>
        <v>tidak ada jawaban, sudah fu 5 kali</v>
      </c>
    </row>
    <row r="236">
      <c r="F236" s="285" t="str">
        <f>IFERROR(__xludf.DUMMYFUNCTION("""COMPUTED_VALUE"""),"2606D212")</f>
        <v>2606D212</v>
      </c>
      <c r="G236" s="286">
        <f>IFERROR(__xludf.DUMMYFUNCTION("""COMPUTED_VALUE"""),46199.0)</f>
        <v>46199</v>
      </c>
      <c r="H236" s="285" t="str">
        <f>IFERROR(__xludf.DUMMYFUNCTION("""COMPUTED_VALUE"""),"Ben")</f>
        <v>Ben</v>
      </c>
      <c r="I236" s="285" t="str">
        <f>IFERROR(__xludf.DUMMYFUNCTION("""COMPUTED_VALUE"""),"087888799134")</f>
        <v>087888799134</v>
      </c>
      <c r="J236" s="285" t="str">
        <f>IFERROR(__xludf.DUMMYFUNCTION("""COMPUTED_VALUE"""),"Leads Baru")</f>
        <v>Leads Baru</v>
      </c>
      <c r="K236" s="285" t="str">
        <f>IFERROR(__xludf.DUMMYFUNCTION("""COMPUTED_VALUE"""),"OT MT")</f>
        <v>OT MT</v>
      </c>
      <c r="L236" s="287"/>
      <c r="M236" s="288">
        <f>IFERROR(__xludf.DUMMYFUNCTION("""COMPUTED_VALUE"""),1.0)</f>
        <v>1</v>
      </c>
      <c r="N236" s="289"/>
      <c r="O236" s="290" t="str">
        <f>IFERROR(__xludf.DUMMYFUNCTION("""COMPUTED_VALUE"""),"FU 30 Juni")</f>
        <v>FU 30 Juni</v>
      </c>
      <c r="P236" s="320"/>
      <c r="R236" s="285"/>
      <c r="S236" s="285"/>
      <c r="T236" s="285"/>
      <c r="U236" s="285"/>
      <c r="V236" s="285"/>
      <c r="W236" s="285"/>
      <c r="X236" s="285"/>
      <c r="Y236" s="285"/>
      <c r="Z236" s="285"/>
      <c r="AA236" s="285"/>
      <c r="AC236" s="285" t="str">
        <f>IFERROR(__xludf.DUMMYFUNCTION("""COMPUTED_VALUE"""),"2602D094")</f>
        <v>2602D094</v>
      </c>
      <c r="AD236" s="286">
        <f>IFERROR(__xludf.DUMMYFUNCTION("""COMPUTED_VALUE"""),46073.0)</f>
        <v>46073</v>
      </c>
      <c r="AE236" s="285" t="str">
        <f>IFERROR(__xludf.DUMMYFUNCTION("""COMPUTED_VALUE"""),"Erwin Juniarto")</f>
        <v>Erwin Juniarto</v>
      </c>
      <c r="AF236" s="285" t="str">
        <f>IFERROR(__xludf.DUMMYFUNCTION("""COMPUTED_VALUE"""),"0811428787")</f>
        <v>0811428787</v>
      </c>
      <c r="AG236" s="285" t="str">
        <f>IFERROR(__xludf.DUMMYFUNCTION("""COMPUTED_VALUE"""),"Gagal")</f>
        <v>Gagal</v>
      </c>
      <c r="AH236" s="285"/>
      <c r="AI236" s="287"/>
      <c r="AJ236" s="285">
        <f>IFERROR(__xludf.DUMMYFUNCTION("""COMPUTED_VALUE"""),3.0)</f>
        <v>3</v>
      </c>
      <c r="AK236" s="289"/>
      <c r="AL236" s="285" t="str">
        <f>IFERROR(__xludf.DUMMYFUNCTION("""COMPUTED_VALUE"""),"berubah lokasi trip")</f>
        <v>berubah lokasi trip</v>
      </c>
    </row>
    <row r="237">
      <c r="F237" s="285" t="str">
        <f>IFERROR(__xludf.DUMMYFUNCTION("""COMPUTED_VALUE"""),"2606D214")</f>
        <v>2606D214</v>
      </c>
      <c r="G237" s="286">
        <f>IFERROR(__xludf.DUMMYFUNCTION("""COMPUTED_VALUE"""),46198.0)</f>
        <v>46198</v>
      </c>
      <c r="H237" s="285" t="str">
        <f>IFERROR(__xludf.DUMMYFUNCTION("""COMPUTED_VALUE"""),"Diyan Agustin")</f>
        <v>Diyan Agustin</v>
      </c>
      <c r="I237" s="285" t="str">
        <f>IFERROR(__xludf.DUMMYFUNCTION("""COMPUTED_VALUE"""),"087758189419")</f>
        <v>087758189419</v>
      </c>
      <c r="J237" s="285" t="str">
        <f>IFERROR(__xludf.DUMMYFUNCTION("""COMPUTED_VALUE"""),"Leads Baru")</f>
        <v>Leads Baru</v>
      </c>
      <c r="K237" s="285" t="str">
        <f>IFERROR(__xludf.DUMMYFUNCTION("""COMPUTED_VALUE"""),"3H2M opsi A")</f>
        <v>3H2M opsi A</v>
      </c>
      <c r="L237" s="287"/>
      <c r="M237" s="288">
        <f>IFERROR(__xludf.DUMMYFUNCTION("""COMPUTED_VALUE"""),3.0)</f>
        <v>3</v>
      </c>
      <c r="N237" s="289"/>
      <c r="O237" s="290" t="str">
        <f>IFERROR(__xludf.DUMMYFUNCTION("""COMPUTED_VALUE"""),"mau ambil day 1 dan day 2 aja, FU 29 Juni")</f>
        <v>mau ambil day 1 dan day 2 aja, FU 29 Juni</v>
      </c>
      <c r="P237" s="320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  <c r="AC237" s="285" t="str">
        <f>IFERROR(__xludf.DUMMYFUNCTION("""COMPUTED_VALUE"""),"2602D095")</f>
        <v>2602D095</v>
      </c>
      <c r="AD237" s="286">
        <f>IFERROR(__xludf.DUMMYFUNCTION("""COMPUTED_VALUE"""),46074.0)</f>
        <v>46074</v>
      </c>
      <c r="AE237" s="285" t="str">
        <f>IFERROR(__xludf.DUMMYFUNCTION("""COMPUTED_VALUE"""),"Vanda")</f>
        <v>Vanda</v>
      </c>
      <c r="AF237" s="285" t="str">
        <f>IFERROR(__xludf.DUMMYFUNCTION("""COMPUTED_VALUE"""),"082114270940")</f>
        <v>082114270940</v>
      </c>
      <c r="AG237" s="285" t="str">
        <f>IFERROR(__xludf.DUMMYFUNCTION("""COMPUTED_VALUE"""),"Gagal")</f>
        <v>Gagal</v>
      </c>
      <c r="AH237" s="285" t="str">
        <f>IFERROR(__xludf.DUMMYFUNCTION("""COMPUTED_VALUE"""),"2H1M Opsi B")</f>
        <v>2H1M Opsi B</v>
      </c>
      <c r="AI237" s="287"/>
      <c r="AJ237" s="285">
        <f>IFERROR(__xludf.DUMMYFUNCTION("""COMPUTED_VALUE"""),4.0)</f>
        <v>4</v>
      </c>
      <c r="AK237" s="289">
        <f>IFERROR(__xludf.DUMMYFUNCTION("""COMPUTED_VALUE"""),5392400.0)</f>
        <v>5392400</v>
      </c>
      <c r="AL237" s="285" t="str">
        <f>IFERROR(__xludf.DUMMYFUNCTION("""COMPUTED_VALUE"""),"tidak ada jawaban, sdh fu 5 kali")</f>
        <v>tidak ada jawaban, sdh fu 5 kali</v>
      </c>
    </row>
    <row r="238">
      <c r="F238" s="285" t="str">
        <f>IFERROR(__xludf.DUMMYFUNCTION("""COMPUTED_VALUE"""),"2606D216")</f>
        <v>2606D216</v>
      </c>
      <c r="G238" s="286">
        <f>IFERROR(__xludf.DUMMYFUNCTION("""COMPUTED_VALUE"""),46199.0)</f>
        <v>46199</v>
      </c>
      <c r="H238" s="285" t="str">
        <f>IFERROR(__xludf.DUMMYFUNCTION("""COMPUTED_VALUE"""),"Afina Ayu")</f>
        <v>Afina Ayu</v>
      </c>
      <c r="I238" s="285" t="str">
        <f>IFERROR(__xludf.DUMMYFUNCTION("""COMPUTED_VALUE"""),"082218891759")</f>
        <v>082218891759</v>
      </c>
      <c r="J238" s="285" t="str">
        <f>IFERROR(__xludf.DUMMYFUNCTION("""COMPUTED_VALUE"""),"Leads Baru")</f>
        <v>Leads Baru</v>
      </c>
      <c r="K238" s="285" t="str">
        <f>IFERROR(__xludf.DUMMYFUNCTION("""COMPUTED_VALUE"""),"3H2M custome")</f>
        <v>3H2M custome</v>
      </c>
      <c r="L238" s="287"/>
      <c r="M238" s="288">
        <f>IFERROR(__xludf.DUMMYFUNCTION("""COMPUTED_VALUE"""),2.0)</f>
        <v>2</v>
      </c>
      <c r="N238" s="289"/>
      <c r="O238" s="290" t="str">
        <f>IFERROR(__xludf.DUMMYFUNCTION("""COMPUTED_VALUE"""),"nanti di wa")</f>
        <v>nanti di wa</v>
      </c>
      <c r="P238" s="320"/>
      <c r="R238" s="285"/>
      <c r="S238" s="285"/>
      <c r="T238" s="285"/>
      <c r="U238" s="285"/>
      <c r="V238" s="285"/>
      <c r="W238" s="285"/>
      <c r="X238" s="285"/>
      <c r="Y238" s="285"/>
      <c r="Z238" s="285"/>
      <c r="AA238" s="285"/>
      <c r="AC238" s="285" t="str">
        <f>IFERROR(__xludf.DUMMYFUNCTION("""COMPUTED_VALUE"""),"2602D099")</f>
        <v>2602D099</v>
      </c>
      <c r="AD238" s="286">
        <f>IFERROR(__xludf.DUMMYFUNCTION("""COMPUTED_VALUE"""),46075.0)</f>
        <v>46075</v>
      </c>
      <c r="AE238" s="285" t="str">
        <f>IFERROR(__xludf.DUMMYFUNCTION("""COMPUTED_VALUE"""),"Zahra Amalia")</f>
        <v>Zahra Amalia</v>
      </c>
      <c r="AF238" s="285" t="str">
        <f>IFERROR(__xludf.DUMMYFUNCTION("""COMPUTED_VALUE"""),"085885609087")</f>
        <v>085885609087</v>
      </c>
      <c r="AG238" s="285" t="str">
        <f>IFERROR(__xludf.DUMMYFUNCTION("""COMPUTED_VALUE"""),"Gagal")</f>
        <v>Gagal</v>
      </c>
      <c r="AH238" s="285"/>
      <c r="AI238" s="287"/>
      <c r="AJ238" s="285"/>
      <c r="AK238" s="289"/>
      <c r="AL238" s="285" t="str">
        <f>IFERROR(__xludf.DUMMYFUNCTION("""COMPUTED_VALUE"""),"tidak ada jawaban, hanya menyapa")</f>
        <v>tidak ada jawaban, hanya menyapa</v>
      </c>
    </row>
    <row r="239">
      <c r="F239" s="285" t="str">
        <f>IFERROR(__xludf.DUMMYFUNCTION("""COMPUTED_VALUE"""),"2606D219 ")</f>
        <v>2606D219 </v>
      </c>
      <c r="G239" s="286">
        <f>IFERROR(__xludf.DUMMYFUNCTION("""COMPUTED_VALUE"""),46199.0)</f>
        <v>46199</v>
      </c>
      <c r="H239" s="285" t="str">
        <f>IFERROR(__xludf.DUMMYFUNCTION("""COMPUTED_VALUE"""),"Heru Indrawidjajanto")</f>
        <v>Heru Indrawidjajanto</v>
      </c>
      <c r="I239" s="285" t="str">
        <f>IFERROR(__xludf.DUMMYFUNCTION("""COMPUTED_VALUE"""),"08123526974")</f>
        <v>08123526974</v>
      </c>
      <c r="J239" s="285" t="str">
        <f>IFERROR(__xludf.DUMMYFUNCTION("""COMPUTED_VALUE"""),"Leads Baru")</f>
        <v>Leads Baru</v>
      </c>
      <c r="K239" s="285" t="str">
        <f>IFERROR(__xludf.DUMMYFUNCTION("""COMPUTED_VALUE"""),"trip 1 day")</f>
        <v>trip 1 day</v>
      </c>
      <c r="L239" s="287"/>
      <c r="M239" s="288">
        <f>IFERROR(__xludf.DUMMYFUNCTION("""COMPUTED_VALUE"""),50.0)</f>
        <v>50</v>
      </c>
      <c r="N239" s="289"/>
      <c r="O239" s="290" t="str">
        <f>IFERROR(__xludf.DUMMYFUNCTION("""COMPUTED_VALUE"""),"belum balas lagi")</f>
        <v>belum balas lagi</v>
      </c>
      <c r="P239" s="320"/>
      <c r="R239" s="285"/>
      <c r="S239" s="285"/>
      <c r="T239" s="285"/>
      <c r="U239" s="285"/>
      <c r="V239" s="285"/>
      <c r="W239" s="285"/>
      <c r="X239" s="285"/>
      <c r="Y239" s="285"/>
      <c r="Z239" s="285"/>
      <c r="AA239" s="285"/>
      <c r="AC239" s="285" t="str">
        <f>IFERROR(__xludf.DUMMYFUNCTION("""COMPUTED_VALUE"""),"2602D102")</f>
        <v>2602D102</v>
      </c>
      <c r="AD239" s="286">
        <f>IFERROR(__xludf.DUMMYFUNCTION("""COMPUTED_VALUE"""),46076.0)</f>
        <v>46076</v>
      </c>
      <c r="AE239" s="285" t="str">
        <f>IFERROR(__xludf.DUMMYFUNCTION("""COMPUTED_VALUE"""),"ariedewayani")</f>
        <v>ariedewayani</v>
      </c>
      <c r="AF239" s="285" t="str">
        <f>IFERROR(__xludf.DUMMYFUNCTION("""COMPUTED_VALUE"""),"085693320233")</f>
        <v>085693320233</v>
      </c>
      <c r="AG239" s="285" t="str">
        <f>IFERROR(__xludf.DUMMYFUNCTION("""COMPUTED_VALUE"""),"Gagal")</f>
        <v>Gagal</v>
      </c>
      <c r="AH239" s="285" t="str">
        <f>IFERROR(__xludf.DUMMYFUNCTION("""COMPUTED_VALUE"""),"3H2M custom")</f>
        <v>3H2M custom</v>
      </c>
      <c r="AI239" s="287"/>
      <c r="AJ239" s="285">
        <f>IFERROR(__xludf.DUMMYFUNCTION("""COMPUTED_VALUE"""),2.0)</f>
        <v>2</v>
      </c>
      <c r="AK239" s="289">
        <f>IFERROR(__xludf.DUMMYFUNCTION("""COMPUTED_VALUE"""),7070000.0)</f>
        <v>7070000</v>
      </c>
      <c r="AL239" s="285" t="str">
        <f>IFERROR(__xludf.DUMMYFUNCTION("""COMPUTED_VALUE"""),"teman sakit, ada rencana ke LN")</f>
        <v>teman sakit, ada rencana ke LN</v>
      </c>
    </row>
    <row r="240">
      <c r="F240" s="285" t="str">
        <f>IFERROR(__xludf.DUMMYFUNCTION("""COMPUTED_VALUE"""),"2606D221")</f>
        <v>2606D221</v>
      </c>
      <c r="G240" s="286">
        <f>IFERROR(__xludf.DUMMYFUNCTION("""COMPUTED_VALUE"""),46199.0)</f>
        <v>46199</v>
      </c>
      <c r="H240" s="285" t="str">
        <f>IFERROR(__xludf.DUMMYFUNCTION("""COMPUTED_VALUE"""),"Diana")</f>
        <v>Diana</v>
      </c>
      <c r="I240" s="285" t="str">
        <f>IFERROR(__xludf.DUMMYFUNCTION("""COMPUTED_VALUE"""),"085178114894")</f>
        <v>085178114894</v>
      </c>
      <c r="J240" s="285" t="str">
        <f>IFERROR(__xludf.DUMMYFUNCTION("""COMPUTED_VALUE"""),"Leads Baru")</f>
        <v>Leads Baru</v>
      </c>
      <c r="K240" s="285" t="str">
        <f>IFERROR(__xludf.DUMMYFUNCTION("""COMPUTED_VALUE"""),"2H1M")</f>
        <v>2H1M</v>
      </c>
      <c r="L240" s="287"/>
      <c r="M240" s="288"/>
      <c r="N240" s="289"/>
      <c r="O240" s="290"/>
      <c r="P240" s="320"/>
      <c r="R240" s="285"/>
      <c r="S240" s="285"/>
      <c r="T240" s="285"/>
      <c r="U240" s="285"/>
      <c r="V240" s="285"/>
      <c r="W240" s="285"/>
      <c r="X240" s="285"/>
      <c r="Y240" s="285"/>
      <c r="Z240" s="285"/>
      <c r="AA240" s="285"/>
      <c r="AC240" s="285" t="str">
        <f>IFERROR(__xludf.DUMMYFUNCTION("""COMPUTED_VALUE"""),"2602D103")</f>
        <v>2602D103</v>
      </c>
      <c r="AD240" s="286">
        <f>IFERROR(__xludf.DUMMYFUNCTION("""COMPUTED_VALUE"""),46076.0)</f>
        <v>46076</v>
      </c>
      <c r="AE240" s="285" t="str">
        <f>IFERROR(__xludf.DUMMYFUNCTION("""COMPUTED_VALUE"""),"Obby")</f>
        <v>Obby</v>
      </c>
      <c r="AF240" s="285" t="str">
        <f>IFERROR(__xludf.DUMMYFUNCTION("""COMPUTED_VALUE"""),"081233737121")</f>
        <v>081233737121</v>
      </c>
      <c r="AG240" s="285" t="str">
        <f>IFERROR(__xludf.DUMMYFUNCTION("""COMPUTED_VALUE"""),"Gagal")</f>
        <v>Gagal</v>
      </c>
      <c r="AH240" s="285"/>
      <c r="AI240" s="287"/>
      <c r="AJ240" s="285">
        <f>IFERROR(__xludf.DUMMYFUNCTION("""COMPUTED_VALUE"""),3.0)</f>
        <v>3</v>
      </c>
      <c r="AK240" s="289"/>
      <c r="AL240" s="285" t="str">
        <f>IFERROR(__xludf.DUMMYFUNCTION("""COMPUTED_VALUE"""),"ada kegiatan ditanggal tsb")</f>
        <v>ada kegiatan ditanggal tsb</v>
      </c>
    </row>
    <row r="241">
      <c r="F241" s="285" t="str">
        <f>IFERROR(__xludf.DUMMYFUNCTION("""COMPUTED_VALUE"""),"2606D222")</f>
        <v>2606D222</v>
      </c>
      <c r="G241" s="286">
        <f>IFERROR(__xludf.DUMMYFUNCTION("""COMPUTED_VALUE"""),46200.0)</f>
        <v>46200</v>
      </c>
      <c r="H241" s="285" t="str">
        <f>IFERROR(__xludf.DUMMYFUNCTION("""COMPUTED_VALUE"""),"Umm  ")</f>
        <v>Umm  </v>
      </c>
      <c r="I241" s="285" t="str">
        <f>IFERROR(__xludf.DUMMYFUNCTION("""COMPUTED_VALUE"""),"089646880256")</f>
        <v>089646880256</v>
      </c>
      <c r="J241" s="285" t="str">
        <f>IFERROR(__xludf.DUMMYFUNCTION("""COMPUTED_VALUE"""),"Leads Baru")</f>
        <v>Leads Baru</v>
      </c>
      <c r="K241" s="285"/>
      <c r="L241" s="287"/>
      <c r="M241" s="288"/>
      <c r="N241" s="289"/>
      <c r="O241" s="290"/>
      <c r="P241" s="320"/>
      <c r="R241" s="285"/>
      <c r="S241" s="285"/>
      <c r="T241" s="285"/>
      <c r="U241" s="285"/>
      <c r="V241" s="285"/>
      <c r="W241" s="285"/>
      <c r="X241" s="285"/>
      <c r="Y241" s="285"/>
      <c r="Z241" s="285"/>
      <c r="AA241" s="285"/>
      <c r="AC241" s="285" t="str">
        <f>IFERROR(__xludf.DUMMYFUNCTION("""COMPUTED_VALUE"""),"2602D104")</f>
        <v>2602D104</v>
      </c>
      <c r="AD241" s="286">
        <f>IFERROR(__xludf.DUMMYFUNCTION("""COMPUTED_VALUE"""),46076.0)</f>
        <v>46076</v>
      </c>
      <c r="AE241" s="285" t="str">
        <f>IFERROR(__xludf.DUMMYFUNCTION("""COMPUTED_VALUE"""),"Muhammad Anfasa Ridho")</f>
        <v>Muhammad Anfasa Ridho</v>
      </c>
      <c r="AF241" s="285" t="str">
        <f>IFERROR(__xludf.DUMMYFUNCTION("""COMPUTED_VALUE"""),"087576489425")</f>
        <v>087576489425</v>
      </c>
      <c r="AG241" s="285" t="str">
        <f>IFERROR(__xludf.DUMMYFUNCTION("""COMPUTED_VALUE"""),"Gagal")</f>
        <v>Gagal</v>
      </c>
      <c r="AH241" s="285" t="str">
        <f>IFERROR(__xludf.DUMMYFUNCTION("""COMPUTED_VALUE"""),"2H1M")</f>
        <v>2H1M</v>
      </c>
      <c r="AI241" s="287"/>
      <c r="AJ241" s="285">
        <f>IFERROR(__xludf.DUMMYFUNCTION("""COMPUTED_VALUE"""),2.0)</f>
        <v>2</v>
      </c>
      <c r="AK241" s="289">
        <f>IFERROR(__xludf.DUMMYFUNCTION("""COMPUTED_VALUE"""),4348000.0)</f>
        <v>4348000</v>
      </c>
      <c r="AL241" s="285" t="str">
        <f>IFERROR(__xludf.DUMMYFUNCTION("""COMPUTED_VALUE"""),"fu lagi 2 April")</f>
        <v>fu lagi 2 April</v>
      </c>
    </row>
    <row r="242">
      <c r="F242" s="285" t="str">
        <f>IFERROR(__xludf.DUMMYFUNCTION("""COMPUTED_VALUE"""),"2606D226")</f>
        <v>2606D226</v>
      </c>
      <c r="G242" s="286">
        <f>IFERROR(__xludf.DUMMYFUNCTION("""COMPUTED_VALUE"""),46200.0)</f>
        <v>46200</v>
      </c>
      <c r="H242" s="285" t="str">
        <f>IFERROR(__xludf.DUMMYFUNCTION("""COMPUTED_VALUE"""),"Woro Citra Imansari")</f>
        <v>Woro Citra Imansari</v>
      </c>
      <c r="I242" s="285" t="str">
        <f>IFERROR(__xludf.DUMMYFUNCTION("""COMPUTED_VALUE"""),"08174100790")</f>
        <v>08174100790</v>
      </c>
      <c r="J242" s="285" t="str">
        <f>IFERROR(__xludf.DUMMYFUNCTION("""COMPUTED_VALUE"""),"Leads Baru")</f>
        <v>Leads Baru</v>
      </c>
      <c r="K242" s="285" t="str">
        <f>IFERROR(__xludf.DUMMYFUNCTION("""COMPUTED_VALUE"""),"OT 3H2M")</f>
        <v>OT 3H2M</v>
      </c>
      <c r="L242" s="287">
        <f>IFERROR(__xludf.DUMMYFUNCTION("""COMPUTED_VALUE"""),46206.0)</f>
        <v>46206</v>
      </c>
      <c r="M242" s="288">
        <f>IFERROR(__xludf.DUMMYFUNCTION("""COMPUTED_VALUE"""),1.0)</f>
        <v>1</v>
      </c>
      <c r="N242" s="289"/>
      <c r="O242" s="290" t="str">
        <f>IFERROR(__xludf.DUMMYFUNCTION("""COMPUTED_VALUE"""),"FU 29 Juni")</f>
        <v>FU 29 Juni</v>
      </c>
      <c r="P242" s="320"/>
      <c r="R242" s="285"/>
      <c r="S242" s="285"/>
      <c r="T242" s="285"/>
      <c r="U242" s="285"/>
      <c r="V242" s="285"/>
      <c r="W242" s="285"/>
      <c r="X242" s="285"/>
      <c r="Y242" s="285"/>
      <c r="Z242" s="285"/>
      <c r="AA242" s="285"/>
      <c r="AC242" s="285" t="str">
        <f>IFERROR(__xludf.DUMMYFUNCTION("""COMPUTED_VALUE"""),"2602D106")</f>
        <v>2602D106</v>
      </c>
      <c r="AD242" s="286">
        <f>IFERROR(__xludf.DUMMYFUNCTION("""COMPUTED_VALUE"""),46076.0)</f>
        <v>46076</v>
      </c>
      <c r="AE242" s="285" t="str">
        <f>IFERROR(__xludf.DUMMYFUNCTION("""COMPUTED_VALUE"""),".")</f>
        <v>.</v>
      </c>
      <c r="AF242" s="285" t="str">
        <f>IFERROR(__xludf.DUMMYFUNCTION("""COMPUTED_VALUE"""),"353857048159")</f>
        <v>353857048159</v>
      </c>
      <c r="AG242" s="285" t="str">
        <f>IFERROR(__xludf.DUMMYFUNCTION("""COMPUTED_VALUE"""),"Gagal")</f>
        <v>Gagal</v>
      </c>
      <c r="AH242" s="285" t="str">
        <f>IFERROR(__xludf.DUMMYFUNCTION("""COMPUTED_VALUE"""),"trip baluran")</f>
        <v>trip baluran</v>
      </c>
      <c r="AI242" s="287"/>
      <c r="AJ242" s="285"/>
      <c r="AK242" s="289"/>
      <c r="AL242" s="285" t="str">
        <f>IFERROR(__xludf.DUMMYFUNCTION("""COMPUTED_VALUE"""),"gagal karna cuma 1 org yg trip")</f>
        <v>gagal karna cuma 1 org yg trip</v>
      </c>
    </row>
    <row r="243">
      <c r="F243" s="285" t="str">
        <f>IFERROR(__xludf.DUMMYFUNCTION("""COMPUTED_VALUE"""),"2606D227")</f>
        <v>2606D227</v>
      </c>
      <c r="G243" s="286">
        <f>IFERROR(__xludf.DUMMYFUNCTION("""COMPUTED_VALUE"""),46200.0)</f>
        <v>46200</v>
      </c>
      <c r="H243" s="285" t="str">
        <f>IFERROR(__xludf.DUMMYFUNCTION("""COMPUTED_VALUE"""),"Widya Putri")</f>
        <v>Widya Putri</v>
      </c>
      <c r="I243" s="285" t="str">
        <f>IFERROR(__xludf.DUMMYFUNCTION("""COMPUTED_VALUE"""),"083120843959")</f>
        <v>083120843959</v>
      </c>
      <c r="J243" s="285" t="str">
        <f>IFERROR(__xludf.DUMMYFUNCTION("""COMPUTED_VALUE"""),"Leads Baru")</f>
        <v>Leads Baru</v>
      </c>
      <c r="K243" s="285" t="str">
        <f>IFERROR(__xludf.DUMMYFUNCTION("""COMPUTED_VALUE"""),"3H2M opsi A")</f>
        <v>3H2M opsi A</v>
      </c>
      <c r="L243" s="287"/>
      <c r="M243" s="288"/>
      <c r="N243" s="289"/>
      <c r="O243" s="290" t="str">
        <f>IFERROR(__xludf.DUMMYFUNCTION("""COMPUTED_VALUE"""),"FU 29 Juni")</f>
        <v>FU 29 Juni</v>
      </c>
      <c r="P243" s="320"/>
      <c r="R243" s="285"/>
      <c r="S243" s="285"/>
      <c r="T243" s="285"/>
      <c r="U243" s="285"/>
      <c r="V243" s="285"/>
      <c r="W243" s="285"/>
      <c r="X243" s="285"/>
      <c r="Y243" s="285"/>
      <c r="Z243" s="285"/>
      <c r="AA243" s="285"/>
      <c r="AC243" s="285" t="str">
        <f>IFERROR(__xludf.DUMMYFUNCTION("""COMPUTED_VALUE"""),"2602D107")</f>
        <v>2602D107</v>
      </c>
      <c r="AD243" s="286">
        <f>IFERROR(__xludf.DUMMYFUNCTION("""COMPUTED_VALUE"""),46076.0)</f>
        <v>46076</v>
      </c>
      <c r="AE243" s="285" t="str">
        <f>IFERROR(__xludf.DUMMYFUNCTION("""COMPUTED_VALUE"""),"humairoh")</f>
        <v>humairoh</v>
      </c>
      <c r="AF243" s="285" t="str">
        <f>IFERROR(__xludf.DUMMYFUNCTION("""COMPUTED_VALUE"""),"089604418127")</f>
        <v>089604418127</v>
      </c>
      <c r="AG243" s="285" t="str">
        <f>IFERROR(__xludf.DUMMYFUNCTION("""COMPUTED_VALUE"""),"Gagal")</f>
        <v>Gagal</v>
      </c>
      <c r="AH243" s="285" t="str">
        <f>IFERROR(__xludf.DUMMYFUNCTION("""COMPUTED_VALUE"""),"2H1N")</f>
        <v>2H1N</v>
      </c>
      <c r="AI243" s="287"/>
      <c r="AJ243" s="285">
        <f>IFERROR(__xludf.DUMMYFUNCTION("""COMPUTED_VALUE"""),5.0)</f>
        <v>5</v>
      </c>
      <c r="AK243" s="289">
        <f>IFERROR(__xludf.DUMMYFUNCTION("""COMPUTED_VALUE"""),4430000.0)</f>
        <v>4430000</v>
      </c>
      <c r="AL243" s="285" t="str">
        <f>IFERROR(__xludf.DUMMYFUNCTION("""COMPUTED_VALUE"""),"karna satu lain hal yg tdk bisa disampaikan")</f>
        <v>karna satu lain hal yg tdk bisa disampaikan</v>
      </c>
    </row>
    <row r="244">
      <c r="F244" s="285" t="str">
        <f>IFERROR(__xludf.DUMMYFUNCTION("""COMPUTED_VALUE"""),"2606D228")</f>
        <v>2606D228</v>
      </c>
      <c r="G244" s="286">
        <f>IFERROR(__xludf.DUMMYFUNCTION("""COMPUTED_VALUE"""),46200.0)</f>
        <v>46200</v>
      </c>
      <c r="H244" s="285" t="str">
        <f>IFERROR(__xludf.DUMMYFUNCTION("""COMPUTED_VALUE"""),"Aliefan")</f>
        <v>Aliefan</v>
      </c>
      <c r="I244" s="285" t="str">
        <f>IFERROR(__xludf.DUMMYFUNCTION("""COMPUTED_VALUE"""),"081329139994")</f>
        <v>081329139994</v>
      </c>
      <c r="J244" s="285" t="str">
        <f>IFERROR(__xludf.DUMMYFUNCTION("""COMPUTED_VALUE"""),"Leads Baru")</f>
        <v>Leads Baru</v>
      </c>
      <c r="K244" s="285" t="str">
        <f>IFERROR(__xludf.DUMMYFUNCTION("""COMPUTED_VALUE"""),"3H2M Custome")</f>
        <v>3H2M Custome</v>
      </c>
      <c r="L244" s="287"/>
      <c r="M244" s="288">
        <f>IFERROR(__xludf.DUMMYFUNCTION("""COMPUTED_VALUE"""),2.0)</f>
        <v>2</v>
      </c>
      <c r="N244" s="289"/>
      <c r="O244" s="290" t="str">
        <f>IFERROR(__xludf.DUMMYFUNCTION("""COMPUTED_VALUE"""),"FU 2 agustus")</f>
        <v>FU 2 agustus</v>
      </c>
      <c r="P244" s="320"/>
      <c r="R244" s="285"/>
      <c r="S244" s="285"/>
      <c r="T244" s="285"/>
      <c r="U244" s="285"/>
      <c r="V244" s="285"/>
      <c r="W244" s="285"/>
      <c r="X244" s="285"/>
      <c r="Y244" s="285"/>
      <c r="Z244" s="285"/>
      <c r="AA244" s="285"/>
      <c r="AC244" s="285" t="str">
        <f>IFERROR(__xludf.DUMMYFUNCTION("""COMPUTED_VALUE"""),"2602D108")</f>
        <v>2602D108</v>
      </c>
      <c r="AD244" s="286">
        <f>IFERROR(__xludf.DUMMYFUNCTION("""COMPUTED_VALUE"""),46077.0)</f>
        <v>46077</v>
      </c>
      <c r="AE244" s="285" t="str">
        <f>IFERROR(__xludf.DUMMYFUNCTION("""COMPUTED_VALUE"""),"Maudy Agustina")</f>
        <v>Maudy Agustina</v>
      </c>
      <c r="AF244" s="285" t="str">
        <f>IFERROR(__xludf.DUMMYFUNCTION("""COMPUTED_VALUE"""),"082254795886")</f>
        <v>082254795886</v>
      </c>
      <c r="AG244" s="285" t="str">
        <f>IFERROR(__xludf.DUMMYFUNCTION("""COMPUTED_VALUE"""),"Gagal")</f>
        <v>Gagal</v>
      </c>
      <c r="AH244" s="285" t="str">
        <f>IFERROR(__xludf.DUMMYFUNCTION("""COMPUTED_VALUE"""),"3H2M opsi A")</f>
        <v>3H2M opsi A</v>
      </c>
      <c r="AI244" s="287"/>
      <c r="AJ244" s="285"/>
      <c r="AK244" s="289"/>
      <c r="AL244" s="285" t="str">
        <f>IFERROR(__xludf.DUMMYFUNCTION("""COMPUTED_VALUE"""),"sapa saja")</f>
        <v>sapa saja</v>
      </c>
    </row>
    <row r="245">
      <c r="F245" s="285" t="str">
        <f>IFERROR(__xludf.DUMMYFUNCTION("""COMPUTED_VALUE"""),"2606D229")</f>
        <v>2606D229</v>
      </c>
      <c r="G245" s="286">
        <f>IFERROR(__xludf.DUMMYFUNCTION("""COMPUTED_VALUE"""),46201.0)</f>
        <v>46201</v>
      </c>
      <c r="H245" s="285" t="str">
        <f>IFERROR(__xludf.DUMMYFUNCTION("""COMPUTED_VALUE"""),"J")</f>
        <v>J</v>
      </c>
      <c r="I245" s="285" t="str">
        <f>IFERROR(__xludf.DUMMYFUNCTION("""COMPUTED_VALUE"""),"081238905264")</f>
        <v>081238905264</v>
      </c>
      <c r="J245" s="285" t="str">
        <f>IFERROR(__xludf.DUMMYFUNCTION("""COMPUTED_VALUE"""),"Leads Baru")</f>
        <v>Leads Baru</v>
      </c>
      <c r="K245" s="285" t="str">
        <f>IFERROR(__xludf.DUMMYFUNCTION("""COMPUTED_VALUE"""),"tabuhan only")</f>
        <v>tabuhan only</v>
      </c>
      <c r="L245" s="287">
        <f>IFERROR(__xludf.DUMMYFUNCTION("""COMPUTED_VALUE"""),46205.0)</f>
        <v>46205</v>
      </c>
      <c r="M245" s="288">
        <f>IFERROR(__xludf.DUMMYFUNCTION("""COMPUTED_VALUE"""),5.0)</f>
        <v>5</v>
      </c>
      <c r="N245" s="289"/>
      <c r="O245" s="290" t="str">
        <f>IFERROR(__xludf.DUMMYFUNCTION("""COMPUTED_VALUE"""),"belum blas lagi")</f>
        <v>belum blas lagi</v>
      </c>
      <c r="P245" s="320"/>
      <c r="R245" s="285"/>
      <c r="S245" s="285"/>
      <c r="T245" s="285"/>
      <c r="U245" s="285"/>
      <c r="V245" s="285"/>
      <c r="W245" s="285"/>
      <c r="X245" s="285"/>
      <c r="Y245" s="285"/>
      <c r="Z245" s="285"/>
      <c r="AA245" s="285"/>
      <c r="AC245" s="285" t="str">
        <f>IFERROR(__xludf.DUMMYFUNCTION("""COMPUTED_VALUE"""),"2602D109")</f>
        <v>2602D109</v>
      </c>
      <c r="AD245" s="286">
        <f>IFERROR(__xludf.DUMMYFUNCTION("""COMPUTED_VALUE"""),46077.0)</f>
        <v>46077</v>
      </c>
      <c r="AE245" s="285" t="str">
        <f>IFERROR(__xludf.DUMMYFUNCTION("""COMPUTED_VALUE"""),"pimaa")</f>
        <v>pimaa</v>
      </c>
      <c r="AF245" s="285" t="str">
        <f>IFERROR(__xludf.DUMMYFUNCTION("""COMPUTED_VALUE"""),"089681766716")</f>
        <v>089681766716</v>
      </c>
      <c r="AG245" s="285" t="str">
        <f>IFERROR(__xludf.DUMMYFUNCTION("""COMPUTED_VALUE"""),"Gagal")</f>
        <v>Gagal</v>
      </c>
      <c r="AH245" s="285" t="str">
        <f>IFERROR(__xludf.DUMMYFUNCTION("""COMPUTED_VALUE"""),"Djawatan, Pulau Merah")</f>
        <v>Djawatan, Pulau Merah</v>
      </c>
      <c r="AI245" s="287"/>
      <c r="AJ245" s="285">
        <f>IFERROR(__xludf.DUMMYFUNCTION("""COMPUTED_VALUE"""),1.0)</f>
        <v>1</v>
      </c>
      <c r="AK245" s="289">
        <f>IFERROR(__xludf.DUMMYFUNCTION("""COMPUTED_VALUE"""),550000.0)</f>
        <v>550000</v>
      </c>
      <c r="AL245" s="285" t="str">
        <f>IFERROR(__xludf.DUMMYFUNCTION("""COMPUTED_VALUE"""),"lewat tanggal, tidak ada jawaban ")</f>
        <v>lewat tanggal, tidak ada jawaban </v>
      </c>
    </row>
    <row r="246">
      <c r="F246" s="285" t="str">
        <f>IFERROR(__xludf.DUMMYFUNCTION("""COMPUTED_VALUE"""),"2606D230")</f>
        <v>2606D230</v>
      </c>
      <c r="G246" s="286">
        <f>IFERROR(__xludf.DUMMYFUNCTION("""COMPUTED_VALUE"""),46201.0)</f>
        <v>46201</v>
      </c>
      <c r="H246" s="285" t="str">
        <f>IFERROR(__xludf.DUMMYFUNCTION("""COMPUTED_VALUE"""),"Iva")</f>
        <v>Iva</v>
      </c>
      <c r="I246" s="285" t="str">
        <f>IFERROR(__xludf.DUMMYFUNCTION("""COMPUTED_VALUE"""),"085878217585")</f>
        <v>085878217585</v>
      </c>
      <c r="J246" s="285" t="str">
        <f>IFERROR(__xludf.DUMMYFUNCTION("""COMPUTED_VALUE"""),"Leads Baru")</f>
        <v>Leads Baru</v>
      </c>
      <c r="K246" s="285"/>
      <c r="L246" s="287"/>
      <c r="M246" s="288"/>
      <c r="N246" s="289"/>
      <c r="O246" s="290" t="str">
        <f>IFERROR(__xludf.DUMMYFUNCTION("""COMPUTED_VALUE"""),"masih nyari temen biar 2 orang")</f>
        <v>masih nyari temen biar 2 orang</v>
      </c>
      <c r="P246" s="320"/>
      <c r="R246" s="285"/>
      <c r="S246" s="285"/>
      <c r="T246" s="285"/>
      <c r="U246" s="285"/>
      <c r="V246" s="285"/>
      <c r="W246" s="285"/>
      <c r="X246" s="285"/>
      <c r="Y246" s="285"/>
      <c r="Z246" s="285"/>
      <c r="AA246" s="285"/>
      <c r="AC246" s="285" t="str">
        <f>IFERROR(__xludf.DUMMYFUNCTION("""COMPUTED_VALUE"""),"2602D110")</f>
        <v>2602D110</v>
      </c>
      <c r="AD246" s="286">
        <f>IFERROR(__xludf.DUMMYFUNCTION("""COMPUTED_VALUE"""),46077.0)</f>
        <v>46077</v>
      </c>
      <c r="AE246" s="285" t="str">
        <f>IFERROR(__xludf.DUMMYFUNCTION("""COMPUTED_VALUE"""),"Junita")</f>
        <v>Junita</v>
      </c>
      <c r="AF246" s="285" t="str">
        <f>IFERROR(__xludf.DUMMYFUNCTION("""COMPUTED_VALUE"""),"087727111549")</f>
        <v>087727111549</v>
      </c>
      <c r="AG246" s="285" t="str">
        <f>IFERROR(__xludf.DUMMYFUNCTION("""COMPUTED_VALUE"""),"Gagal")</f>
        <v>Gagal</v>
      </c>
      <c r="AH246" s="285" t="str">
        <f>IFERROR(__xludf.DUMMYFUNCTION("""COMPUTED_VALUE"""),"3H2M")</f>
        <v>3H2M</v>
      </c>
      <c r="AI246" s="287"/>
      <c r="AJ246" s="285">
        <f>IFERROR(__xludf.DUMMYFUNCTION("""COMPUTED_VALUE"""),4.0)</f>
        <v>4</v>
      </c>
      <c r="AK246" s="289">
        <f>IFERROR(__xludf.DUMMYFUNCTION("""COMPUTED_VALUE"""),6808000.0)</f>
        <v>6808000</v>
      </c>
      <c r="AL246" s="285" t="str">
        <f>IFERROR(__xludf.DUMMYFUNCTION("""COMPUTED_VALUE"""),"ga jadi ")</f>
        <v>ga jadi </v>
      </c>
    </row>
    <row r="247">
      <c r="F247" s="285" t="str">
        <f>IFERROR(__xludf.DUMMYFUNCTION("""COMPUTED_VALUE"""),"2606D231")</f>
        <v>2606D231</v>
      </c>
      <c r="G247" s="286">
        <f>IFERROR(__xludf.DUMMYFUNCTION("""COMPUTED_VALUE"""),46201.0)</f>
        <v>46201</v>
      </c>
      <c r="H247" s="285" t="str">
        <f>IFERROR(__xludf.DUMMYFUNCTION("""COMPUTED_VALUE"""),"No Name senyum")</f>
        <v>No Name senyum</v>
      </c>
      <c r="I247" s="285" t="str">
        <f>IFERROR(__xludf.DUMMYFUNCTION("""COMPUTED_VALUE"""),"081229900076")</f>
        <v>081229900076</v>
      </c>
      <c r="J247" s="285" t="str">
        <f>IFERROR(__xludf.DUMMYFUNCTION("""COMPUTED_VALUE"""),"Leads Baru")</f>
        <v>Leads Baru</v>
      </c>
      <c r="K247" s="285"/>
      <c r="L247" s="287"/>
      <c r="M247" s="288"/>
      <c r="N247" s="289"/>
      <c r="O247" s="290"/>
      <c r="P247" s="320"/>
      <c r="R247" s="285"/>
      <c r="S247" s="285"/>
      <c r="T247" s="285"/>
      <c r="U247" s="285"/>
      <c r="V247" s="285"/>
      <c r="W247" s="285"/>
      <c r="X247" s="285"/>
      <c r="Y247" s="285"/>
      <c r="Z247" s="285"/>
      <c r="AA247" s="285"/>
      <c r="AC247" s="285" t="str">
        <f>IFERROR(__xludf.DUMMYFUNCTION("""COMPUTED_VALUE"""),"2602D111")</f>
        <v>2602D111</v>
      </c>
      <c r="AD247" s="286">
        <f>IFERROR(__xludf.DUMMYFUNCTION("""COMPUTED_VALUE"""),46077.0)</f>
        <v>46077</v>
      </c>
      <c r="AE247" s="285" t="str">
        <f>IFERROR(__xludf.DUMMYFUNCTION("""COMPUTED_VALUE"""),"yuri")</f>
        <v>yuri</v>
      </c>
      <c r="AF247" s="285" t="str">
        <f>IFERROR(__xludf.DUMMYFUNCTION("""COMPUTED_VALUE"""),"085863758841")</f>
        <v>085863758841</v>
      </c>
      <c r="AG247" s="285" t="str">
        <f>IFERROR(__xludf.DUMMYFUNCTION("""COMPUTED_VALUE"""),"Gagal")</f>
        <v>Gagal</v>
      </c>
      <c r="AH247" s="285"/>
      <c r="AI247" s="287"/>
      <c r="AJ247" s="285"/>
      <c r="AK247" s="289"/>
      <c r="AL247" s="285" t="str">
        <f>IFERROR(__xludf.DUMMYFUNCTION("""COMPUTED_VALUE"""),"menyapa saja, tidak ada jawaban")</f>
        <v>menyapa saja, tidak ada jawaban</v>
      </c>
    </row>
    <row r="248">
      <c r="F248" s="285" t="str">
        <f>IFERROR(__xludf.DUMMYFUNCTION("""COMPUTED_VALUE"""),"2606D232")</f>
        <v>2606D232</v>
      </c>
      <c r="G248" s="286">
        <f>IFERROR(__xludf.DUMMYFUNCTION("""COMPUTED_VALUE"""),46201.0)</f>
        <v>46201</v>
      </c>
      <c r="H248" s="285" t="str">
        <f>IFERROR(__xludf.DUMMYFUNCTION("""COMPUTED_VALUE"""),"Wiena")</f>
        <v>Wiena</v>
      </c>
      <c r="I248" s="285" t="str">
        <f>IFERROR(__xludf.DUMMYFUNCTION("""COMPUTED_VALUE"""),"085780066292")</f>
        <v>085780066292</v>
      </c>
      <c r="J248" s="285" t="str">
        <f>IFERROR(__xludf.DUMMYFUNCTION("""COMPUTED_VALUE"""),"Leads Baru")</f>
        <v>Leads Baru</v>
      </c>
      <c r="K248" s="285" t="str">
        <f>IFERROR(__xludf.DUMMYFUNCTION("""COMPUTED_VALUE"""),"trip 3H2M")</f>
        <v>trip 3H2M</v>
      </c>
      <c r="L248" s="287">
        <f>IFERROR(__xludf.DUMMYFUNCTION("""COMPUTED_VALUE"""),46253.0)</f>
        <v>46253</v>
      </c>
      <c r="M248" s="288">
        <f>IFERROR(__xludf.DUMMYFUNCTION("""COMPUTED_VALUE"""),5.0)</f>
        <v>5</v>
      </c>
      <c r="N248" s="289"/>
      <c r="O248" s="290" t="str">
        <f>IFERROR(__xludf.DUMMYFUNCTION("""COMPUTED_VALUE"""),"diskus dulu sm temen, FU 12 Juii")</f>
        <v>diskus dulu sm temen, FU 12 Juii</v>
      </c>
      <c r="P248" s="320"/>
      <c r="R248" s="285"/>
      <c r="S248" s="285"/>
      <c r="T248" s="285"/>
      <c r="U248" s="285"/>
      <c r="V248" s="285"/>
      <c r="W248" s="285"/>
      <c r="X248" s="285"/>
      <c r="Y248" s="285"/>
      <c r="Z248" s="285"/>
      <c r="AA248" s="285"/>
      <c r="AC248" s="285" t="str">
        <f>IFERROR(__xludf.DUMMYFUNCTION("""COMPUTED_VALUE"""),"2602D113")</f>
        <v>2602D113</v>
      </c>
      <c r="AD248" s="286">
        <f>IFERROR(__xludf.DUMMYFUNCTION("""COMPUTED_VALUE"""),46077.0)</f>
        <v>46077</v>
      </c>
      <c r="AE248" s="285" t="str">
        <f>IFERROR(__xludf.DUMMYFUNCTION("""COMPUTED_VALUE"""),"Anida")</f>
        <v>Anida</v>
      </c>
      <c r="AF248" s="285" t="str">
        <f>IFERROR(__xludf.DUMMYFUNCTION("""COMPUTED_VALUE"""),"085927351479")</f>
        <v>085927351479</v>
      </c>
      <c r="AG248" s="285" t="str">
        <f>IFERROR(__xludf.DUMMYFUNCTION("""COMPUTED_VALUE"""),"Gagal")</f>
        <v>Gagal</v>
      </c>
      <c r="AH248" s="285" t="str">
        <f>IFERROR(__xludf.DUMMYFUNCTION("""COMPUTED_VALUE"""),"trip ijen, GI,D")</f>
        <v>trip ijen, GI,D</v>
      </c>
      <c r="AI248" s="287">
        <f>IFERROR(__xludf.DUMMYFUNCTION("""COMPUTED_VALUE"""),46107.0)</f>
        <v>46107</v>
      </c>
      <c r="AJ248" s="285">
        <f>IFERROR(__xludf.DUMMYFUNCTION("""COMPUTED_VALUE"""),2.0)</f>
        <v>2</v>
      </c>
      <c r="AK248" s="289">
        <f>IFERROR(__xludf.DUMMYFUNCTION("""COMPUTED_VALUE"""),2388000.0)</f>
        <v>2388000</v>
      </c>
      <c r="AL248" s="285" t="str">
        <f>IFERROR(__xludf.DUMMYFUNCTION("""COMPUTED_VALUE"""),"tidak ada jawaban, sudah fu 5 kali")</f>
        <v>tidak ada jawaban, sudah fu 5 kali</v>
      </c>
    </row>
    <row r="249">
      <c r="F249" s="285" t="str">
        <f>IFERROR(__xludf.DUMMYFUNCTION("""COMPUTED_VALUE"""),"2606D234")</f>
        <v>2606D234</v>
      </c>
      <c r="G249" s="286">
        <f>IFERROR(__xludf.DUMMYFUNCTION("""COMPUTED_VALUE"""),46201.0)</f>
        <v>46201</v>
      </c>
      <c r="H249" s="285" t="str">
        <f>IFERROR(__xludf.DUMMYFUNCTION("""COMPUTED_VALUE"""),"Firza Olivia Susan")</f>
        <v>Firza Olivia Susan</v>
      </c>
      <c r="I249" s="285" t="str">
        <f>IFERROR(__xludf.DUMMYFUNCTION("""COMPUTED_VALUE"""),"081390020799")</f>
        <v>081390020799</v>
      </c>
      <c r="J249" s="285" t="str">
        <f>IFERROR(__xludf.DUMMYFUNCTION("""COMPUTED_VALUE"""),"Leads Baru")</f>
        <v>Leads Baru</v>
      </c>
      <c r="K249" s="285" t="str">
        <f>IFERROR(__xludf.DUMMYFUNCTION("""COMPUTED_VALUE"""),"trip kawa wurung")</f>
        <v>trip kawa wurung</v>
      </c>
      <c r="L249" s="287"/>
      <c r="M249" s="288">
        <f>IFERROR(__xludf.DUMMYFUNCTION("""COMPUTED_VALUE"""),5.0)</f>
        <v>5</v>
      </c>
      <c r="N249" s="289"/>
      <c r="O249" s="290" t="str">
        <f>IFERROR(__xludf.DUMMYFUNCTION("""COMPUTED_VALUE"""),"FU 1 Juli")</f>
        <v>FU 1 Juli</v>
      </c>
      <c r="P249" s="320"/>
      <c r="R249" s="285"/>
      <c r="S249" s="285"/>
      <c r="T249" s="285"/>
      <c r="U249" s="285"/>
      <c r="V249" s="285"/>
      <c r="W249" s="285"/>
      <c r="X249" s="285"/>
      <c r="Y249" s="285"/>
      <c r="Z249" s="285"/>
      <c r="AA249" s="285"/>
      <c r="AC249" s="285" t="str">
        <f>IFERROR(__xludf.DUMMYFUNCTION("""COMPUTED_VALUE"""),"2602D115")</f>
        <v>2602D115</v>
      </c>
      <c r="AD249" s="286">
        <f>IFERROR(__xludf.DUMMYFUNCTION("""COMPUTED_VALUE"""),46078.0)</f>
        <v>46078</v>
      </c>
      <c r="AE249" s="285" t="str">
        <f>IFERROR(__xludf.DUMMYFUNCTION("""COMPUTED_VALUE"""),"Faqih al ghifari")</f>
        <v>Faqih al ghifari</v>
      </c>
      <c r="AF249" s="285" t="str">
        <f>IFERROR(__xludf.DUMMYFUNCTION("""COMPUTED_VALUE"""),"081291207572")</f>
        <v>081291207572</v>
      </c>
      <c r="AG249" s="285" t="str">
        <f>IFERROR(__xludf.DUMMYFUNCTION("""COMPUTED_VALUE"""),"Gagal")</f>
        <v>Gagal</v>
      </c>
      <c r="AH249" s="285" t="str">
        <f>IFERROR(__xludf.DUMMYFUNCTION("""COMPUTED_VALUE"""),"4H3M custom")</f>
        <v>4H3M custom</v>
      </c>
      <c r="AI249" s="287"/>
      <c r="AJ249" s="285">
        <f>IFERROR(__xludf.DUMMYFUNCTION("""COMPUTED_VALUE"""),70.0)</f>
        <v>70</v>
      </c>
      <c r="AK249" s="289"/>
      <c r="AL249" s="285" t="str">
        <f>IFERROR(__xludf.DUMMYFUNCTION("""COMPUTED_VALUE"""),"dialihkan ke holiday")</f>
        <v>dialihkan ke holiday</v>
      </c>
    </row>
    <row r="250">
      <c r="F250" s="285" t="str">
        <f>IFERROR(__xludf.DUMMYFUNCTION("""COMPUTED_VALUE"""),"2606D235")</f>
        <v>2606D235</v>
      </c>
      <c r="G250" s="286">
        <f>IFERROR(__xludf.DUMMYFUNCTION("""COMPUTED_VALUE"""),46201.0)</f>
        <v>46201</v>
      </c>
      <c r="H250" s="285" t="str">
        <f>IFERROR(__xludf.DUMMYFUNCTION("""COMPUTED_VALUE"""),"Moelyati")</f>
        <v>Moelyati</v>
      </c>
      <c r="I250" s="285" t="str">
        <f>IFERROR(__xludf.DUMMYFUNCTION("""COMPUTED_VALUE"""),"0811913893")</f>
        <v>0811913893</v>
      </c>
      <c r="J250" s="285" t="str">
        <f>IFERROR(__xludf.DUMMYFUNCTION("""COMPUTED_VALUE"""),"Leads Baru")</f>
        <v>Leads Baru</v>
      </c>
      <c r="K250" s="285"/>
      <c r="L250" s="287"/>
      <c r="M250" s="288"/>
      <c r="N250" s="289"/>
      <c r="O250" s="290" t="str">
        <f>IFERROR(__xludf.DUMMYFUNCTION("""COMPUTED_VALUE"""),"baru menyapa")</f>
        <v>baru menyapa</v>
      </c>
      <c r="P250" s="320"/>
      <c r="R250" s="285"/>
      <c r="S250" s="285"/>
      <c r="T250" s="285"/>
      <c r="U250" s="285"/>
      <c r="V250" s="285"/>
      <c r="W250" s="285"/>
      <c r="X250" s="285"/>
      <c r="Y250" s="285"/>
      <c r="Z250" s="285"/>
      <c r="AA250" s="285"/>
      <c r="AC250" s="285" t="str">
        <f>IFERROR(__xludf.DUMMYFUNCTION("""COMPUTED_VALUE"""),"2602D116")</f>
        <v>2602D116</v>
      </c>
      <c r="AD250" s="286">
        <f>IFERROR(__xludf.DUMMYFUNCTION("""COMPUTED_VALUE"""),46078.0)</f>
        <v>46078</v>
      </c>
      <c r="AE250" s="285" t="str">
        <f>IFERROR(__xludf.DUMMYFUNCTION("""COMPUTED_VALUE"""),"Sewan")</f>
        <v>Sewan</v>
      </c>
      <c r="AF250" s="285" t="str">
        <f>IFERROR(__xludf.DUMMYFUNCTION("""COMPUTED_VALUE"""),"081221452628")</f>
        <v>081221452628</v>
      </c>
      <c r="AG250" s="285" t="str">
        <f>IFERROR(__xludf.DUMMYFUNCTION("""COMPUTED_VALUE"""),"Gagal")</f>
        <v>Gagal</v>
      </c>
      <c r="AH250" s="285" t="str">
        <f>IFERROR(__xludf.DUMMYFUNCTION("""COMPUTED_VALUE"""),"custom 3H2M ")</f>
        <v>custom 3H2M </v>
      </c>
      <c r="AI250" s="287"/>
      <c r="AJ250" s="285">
        <f>IFERROR(__xludf.DUMMYFUNCTION("""COMPUTED_VALUE"""),5.0)</f>
        <v>5</v>
      </c>
      <c r="AK250" s="289"/>
      <c r="AL250" s="285" t="str">
        <f>IFERROR(__xludf.DUMMYFUNCTION("""COMPUTED_VALUE"""),"fiks di agen lain")</f>
        <v>fiks di agen lain</v>
      </c>
    </row>
    <row r="251">
      <c r="F251" s="285" t="str">
        <f>IFERROR(__xludf.DUMMYFUNCTION("""COMPUTED_VALUE"""),"2606D236")</f>
        <v>2606D236</v>
      </c>
      <c r="G251" s="286">
        <f>IFERROR(__xludf.DUMMYFUNCTION("""COMPUTED_VALUE"""),46201.0)</f>
        <v>46201</v>
      </c>
      <c r="H251" s="285" t="str">
        <f>IFERROR(__xludf.DUMMYFUNCTION("""COMPUTED_VALUE"""),"Monicha Roosa")</f>
        <v>Monicha Roosa</v>
      </c>
      <c r="I251" s="285" t="str">
        <f>IFERROR(__xludf.DUMMYFUNCTION("""COMPUTED_VALUE"""),"089680733336")</f>
        <v>089680733336</v>
      </c>
      <c r="J251" s="285" t="str">
        <f>IFERROR(__xludf.DUMMYFUNCTION("""COMPUTED_VALUE"""),"Leads Baru")</f>
        <v>Leads Baru</v>
      </c>
      <c r="K251" s="285" t="str">
        <f>IFERROR(__xludf.DUMMYFUNCTION("""COMPUTED_VALUE"""),"private trip kawah wurung")</f>
        <v>private trip kawah wurung</v>
      </c>
      <c r="L251" s="287"/>
      <c r="M251" s="288">
        <f>IFERROR(__xludf.DUMMYFUNCTION("""COMPUTED_VALUE"""),2.0)</f>
        <v>2</v>
      </c>
      <c r="N251" s="289"/>
      <c r="O251" s="290" t="str">
        <f>IFERROR(__xludf.DUMMYFUNCTION("""COMPUTED_VALUE"""),"belum balas lagi, FU 29 Juni")</f>
        <v>belum balas lagi, FU 29 Juni</v>
      </c>
      <c r="P251" s="320"/>
      <c r="R251" s="285"/>
      <c r="S251" s="285"/>
      <c r="T251" s="285"/>
      <c r="U251" s="285"/>
      <c r="V251" s="285"/>
      <c r="W251" s="285"/>
      <c r="X251" s="285"/>
      <c r="Y251" s="285"/>
      <c r="Z251" s="285"/>
      <c r="AA251" s="285"/>
      <c r="AC251" s="285" t="str">
        <f>IFERROR(__xludf.DUMMYFUNCTION("""COMPUTED_VALUE"""),"2602D117")</f>
        <v>2602D117</v>
      </c>
      <c r="AD251" s="286">
        <f>IFERROR(__xludf.DUMMYFUNCTION("""COMPUTED_VALUE"""),46078.0)</f>
        <v>46078</v>
      </c>
      <c r="AE251" s="285" t="str">
        <f>IFERROR(__xludf.DUMMYFUNCTION("""COMPUTED_VALUE"""),"Efi")</f>
        <v>Efi</v>
      </c>
      <c r="AF251" s="285" t="str">
        <f>IFERROR(__xludf.DUMMYFUNCTION("""COMPUTED_VALUE"""),"085177413814")</f>
        <v>085177413814</v>
      </c>
      <c r="AG251" s="285" t="str">
        <f>IFERROR(__xludf.DUMMYFUNCTION("""COMPUTED_VALUE"""),"Gagal")</f>
        <v>Gagal</v>
      </c>
      <c r="AH251" s="285" t="str">
        <f>IFERROR(__xludf.DUMMYFUNCTION("""COMPUTED_VALUE"""),"trip ijen")</f>
        <v>trip ijen</v>
      </c>
      <c r="AI251" s="287">
        <f>IFERROR(__xludf.DUMMYFUNCTION("""COMPUTED_VALUE"""),46104.0)</f>
        <v>46104</v>
      </c>
      <c r="AJ251" s="285">
        <f>IFERROR(__xludf.DUMMYFUNCTION("""COMPUTED_VALUE"""),7.0)</f>
        <v>7</v>
      </c>
      <c r="AK251" s="289">
        <f>IFERROR(__xludf.DUMMYFUNCTION("""COMPUTED_VALUE"""),3640000.0)</f>
        <v>3640000</v>
      </c>
      <c r="AL251" s="285" t="str">
        <f>IFERROR(__xludf.DUMMYFUNCTION("""COMPUTED_VALUE"""),"tidak jadi, mungkin habis lebaran")</f>
        <v>tidak jadi, mungkin habis lebaran</v>
      </c>
    </row>
    <row r="252">
      <c r="F252" s="285" t="str">
        <f>IFERROR(__xludf.DUMMYFUNCTION("""COMPUTED_VALUE"""),"2606D238")</f>
        <v>2606D238</v>
      </c>
      <c r="G252" s="286">
        <f>IFERROR(__xludf.DUMMYFUNCTION("""COMPUTED_VALUE"""),46201.0)</f>
        <v>46201</v>
      </c>
      <c r="H252" s="285" t="str">
        <f>IFERROR(__xludf.DUMMYFUNCTION("""COMPUTED_VALUE"""),"Darso")</f>
        <v>Darso</v>
      </c>
      <c r="I252" s="285" t="str">
        <f>IFERROR(__xludf.DUMMYFUNCTION("""COMPUTED_VALUE"""),"08123424513")</f>
        <v>08123424513</v>
      </c>
      <c r="J252" s="285" t="str">
        <f>IFERROR(__xludf.DUMMYFUNCTION("""COMPUTED_VALUE"""),"Leads Baru")</f>
        <v>Leads Baru</v>
      </c>
      <c r="K252" s="285" t="str">
        <f>IFERROR(__xludf.DUMMYFUNCTION("""COMPUTED_VALUE"""),"2H1M custome")</f>
        <v>2H1M custome</v>
      </c>
      <c r="L252" s="287">
        <f>IFERROR(__xludf.DUMMYFUNCTION("""COMPUTED_VALUE"""),46210.0)</f>
        <v>46210</v>
      </c>
      <c r="M252" s="288">
        <f>IFERROR(__xludf.DUMMYFUNCTION("""COMPUTED_VALUE"""),5.0)</f>
        <v>5</v>
      </c>
      <c r="N252" s="289"/>
      <c r="O252" s="290" t="str">
        <f>IFERROR(__xludf.DUMMYFUNCTION("""COMPUTED_VALUE"""),"FU 2 juli")</f>
        <v>FU 2 juli</v>
      </c>
      <c r="P252" s="320"/>
      <c r="R252" s="285"/>
      <c r="S252" s="285"/>
      <c r="T252" s="285"/>
      <c r="U252" s="285"/>
      <c r="V252" s="285"/>
      <c r="W252" s="285"/>
      <c r="X252" s="285"/>
      <c r="Y252" s="285"/>
      <c r="Z252" s="285"/>
      <c r="AA252" s="285"/>
      <c r="AC252" s="285" t="str">
        <f>IFERROR(__xludf.DUMMYFUNCTION("""COMPUTED_VALUE"""),"2602D118")</f>
        <v>2602D118</v>
      </c>
      <c r="AD252" s="286">
        <f>IFERROR(__xludf.DUMMYFUNCTION("""COMPUTED_VALUE"""),46079.0)</f>
        <v>46079</v>
      </c>
      <c r="AE252" s="285" t="str">
        <f>IFERROR(__xludf.DUMMYFUNCTION("""COMPUTED_VALUE"""),"Hariyanto")</f>
        <v>Hariyanto</v>
      </c>
      <c r="AF252" s="285" t="str">
        <f>IFERROR(__xludf.DUMMYFUNCTION("""COMPUTED_VALUE"""),"081256126186")</f>
        <v>081256126186</v>
      </c>
      <c r="AG252" s="285" t="str">
        <f>IFERROR(__xludf.DUMMYFUNCTION("""COMPUTED_VALUE"""),"Gagal")</f>
        <v>Gagal</v>
      </c>
      <c r="AH252" s="285" t="str">
        <f>IFERROR(__xludf.DUMMYFUNCTION("""COMPUTED_VALUE"""),"trip menjangan")</f>
        <v>trip menjangan</v>
      </c>
      <c r="AI252" s="287"/>
      <c r="AJ252" s="285"/>
      <c r="AK252" s="289"/>
      <c r="AL252" s="285" t="str">
        <f>IFERROR(__xludf.DUMMYFUNCTION("""COMPUTED_VALUE"""),"bawa tamu, sdh fullbooked")</f>
        <v>bawa tamu, sdh fullbooked</v>
      </c>
    </row>
    <row r="253">
      <c r="F253" s="285" t="str">
        <f>IFERROR(__xludf.DUMMYFUNCTION("""COMPUTED_VALUE"""),"2606D241")</f>
        <v>2606D241</v>
      </c>
      <c r="G253" s="286">
        <f>IFERROR(__xludf.DUMMYFUNCTION("""COMPUTED_VALUE"""),46202.0)</f>
        <v>46202</v>
      </c>
      <c r="H253" s="285" t="str">
        <f>IFERROR(__xludf.DUMMYFUNCTION("""COMPUTED_VALUE"""),"Agung stita")</f>
        <v>Agung stita</v>
      </c>
      <c r="I253" s="285" t="str">
        <f>IFERROR(__xludf.DUMMYFUNCTION("""COMPUTED_VALUE"""),"081238555044")</f>
        <v>081238555044</v>
      </c>
      <c r="J253" s="285" t="str">
        <f>IFERROR(__xludf.DUMMYFUNCTION("""COMPUTED_VALUE"""),"Leads Baru")</f>
        <v>Leads Baru</v>
      </c>
      <c r="K253" s="285" t="str">
        <f>IFERROR(__xludf.DUMMYFUNCTION("""COMPUTED_VALUE"""),"OT GI")</f>
        <v>OT GI</v>
      </c>
      <c r="L253" s="287"/>
      <c r="M253" s="288">
        <f>IFERROR(__xludf.DUMMYFUNCTION("""COMPUTED_VALUE"""),1.0)</f>
        <v>1</v>
      </c>
      <c r="N253" s="289"/>
      <c r="O253" s="290" t="str">
        <f>IFERROR(__xludf.DUMMYFUNCTION("""COMPUTED_VALUE"""),"kalau ada barenagn dikabari")</f>
        <v>kalau ada barenagn dikabari</v>
      </c>
      <c r="P253" s="320"/>
      <c r="R253" s="285"/>
      <c r="S253" s="285"/>
      <c r="T253" s="285"/>
      <c r="U253" s="285"/>
      <c r="V253" s="285"/>
      <c r="W253" s="285"/>
      <c r="X253" s="285"/>
      <c r="Y253" s="285"/>
      <c r="Z253" s="285"/>
      <c r="AA253" s="285"/>
      <c r="AC253" s="285" t="str">
        <f>IFERROR(__xludf.DUMMYFUNCTION("""COMPUTED_VALUE"""),"2602D119")</f>
        <v>2602D119</v>
      </c>
      <c r="AD253" s="286">
        <f>IFERROR(__xludf.DUMMYFUNCTION("""COMPUTED_VALUE"""),46079.0)</f>
        <v>46079</v>
      </c>
      <c r="AE253" s="285" t="str">
        <f>IFERROR(__xludf.DUMMYFUNCTION("""COMPUTED_VALUE"""),"Wulan")</f>
        <v>Wulan</v>
      </c>
      <c r="AF253" s="285" t="str">
        <f>IFERROR(__xludf.DUMMYFUNCTION("""COMPUTED_VALUE"""),"087757339304")</f>
        <v>087757339304</v>
      </c>
      <c r="AG253" s="285" t="str">
        <f>IFERROR(__xludf.DUMMYFUNCTION("""COMPUTED_VALUE"""),"Gagal")</f>
        <v>Gagal</v>
      </c>
      <c r="AH253" s="285" t="str">
        <f>IFERROR(__xludf.DUMMYFUNCTION("""COMPUTED_VALUE"""),"open trip green island")</f>
        <v>open trip green island</v>
      </c>
      <c r="AI253" s="287"/>
      <c r="AJ253" s="285">
        <f>IFERROR(__xludf.DUMMYFUNCTION("""COMPUTED_VALUE"""),2.0)</f>
        <v>2</v>
      </c>
      <c r="AK253" s="289">
        <f>IFERROR(__xludf.DUMMYFUNCTION("""COMPUTED_VALUE"""),6160000.0)</f>
        <v>6160000</v>
      </c>
      <c r="AL253" s="285" t="str">
        <f>IFERROR(__xludf.DUMMYFUNCTION("""COMPUTED_VALUE"""),"sdh dpt open trip lain")</f>
        <v>sdh dpt open trip lain</v>
      </c>
    </row>
    <row r="254">
      <c r="F254" s="285" t="str">
        <f>IFERROR(__xludf.DUMMYFUNCTION("""COMPUTED_VALUE"""),"2606D242")</f>
        <v>2606D242</v>
      </c>
      <c r="G254" s="286">
        <f>IFERROR(__xludf.DUMMYFUNCTION("""COMPUTED_VALUE"""),46202.0)</f>
        <v>46202</v>
      </c>
      <c r="H254" s="285" t="str">
        <f>IFERROR(__xludf.DUMMYFUNCTION("""COMPUTED_VALUE"""),"Lilie")</f>
        <v>Lilie</v>
      </c>
      <c r="I254" s="285" t="str">
        <f>IFERROR(__xludf.DUMMYFUNCTION("""COMPUTED_VALUE"""),"082221719898")</f>
        <v>082221719898</v>
      </c>
      <c r="J254" s="285" t="str">
        <f>IFERROR(__xludf.DUMMYFUNCTION("""COMPUTED_VALUE"""),"Leads Baru")</f>
        <v>Leads Baru</v>
      </c>
      <c r="K254" s="285" t="str">
        <f>IFERROR(__xludf.DUMMYFUNCTION("""COMPUTED_VALUE"""),"2H1M custome")</f>
        <v>2H1M custome</v>
      </c>
      <c r="L254" s="287">
        <f>IFERROR(__xludf.DUMMYFUNCTION("""COMPUTED_VALUE"""),46260.0)</f>
        <v>46260</v>
      </c>
      <c r="M254" s="288">
        <f>IFERROR(__xludf.DUMMYFUNCTION("""COMPUTED_VALUE"""),10.0)</f>
        <v>10</v>
      </c>
      <c r="N254" s="289"/>
      <c r="O254" s="290" t="str">
        <f>IFERROR(__xludf.DUMMYFUNCTION("""COMPUTED_VALUE"""),"FU 30 Juli")</f>
        <v>FU 30 Juli</v>
      </c>
      <c r="P254" s="320"/>
      <c r="R254" s="285"/>
      <c r="S254" s="285"/>
      <c r="T254" s="285"/>
      <c r="U254" s="285"/>
      <c r="V254" s="285"/>
      <c r="W254" s="285"/>
      <c r="X254" s="285"/>
      <c r="Y254" s="285"/>
      <c r="Z254" s="285"/>
      <c r="AA254" s="285"/>
      <c r="AC254" s="285" t="str">
        <f>IFERROR(__xludf.DUMMYFUNCTION("""COMPUTED_VALUE"""),"2602D121")</f>
        <v>2602D121</v>
      </c>
      <c r="AD254" s="286">
        <f>IFERROR(__xludf.DUMMYFUNCTION("""COMPUTED_VALUE"""),46079.0)</f>
        <v>46079</v>
      </c>
      <c r="AE254" s="285" t="str">
        <f>IFERROR(__xludf.DUMMYFUNCTION("""COMPUTED_VALUE"""),"Raki")</f>
        <v>Raki</v>
      </c>
      <c r="AF254" s="285" t="str">
        <f>IFERROR(__xludf.DUMMYFUNCTION("""COMPUTED_VALUE"""),"087771209259")</f>
        <v>087771209259</v>
      </c>
      <c r="AG254" s="285" t="str">
        <f>IFERROR(__xludf.DUMMYFUNCTION("""COMPUTED_VALUE"""),"Gagal")</f>
        <v>Gagal</v>
      </c>
      <c r="AH254" s="285" t="str">
        <f>IFERROR(__xludf.DUMMYFUNCTION("""COMPUTED_VALUE"""),"3H2M atau OT")</f>
        <v>3H2M atau OT</v>
      </c>
      <c r="AI254" s="287"/>
      <c r="AJ254" s="285">
        <f>IFERROR(__xludf.DUMMYFUNCTION("""COMPUTED_VALUE"""),3.0)</f>
        <v>3</v>
      </c>
      <c r="AK254" s="289"/>
      <c r="AL254" s="285" t="str">
        <f>IFERROR(__xludf.DUMMYFUNCTION("""COMPUTED_VALUE"""),"tidak ada jawaban, sdh fu 5 kali")</f>
        <v>tidak ada jawaban, sdh fu 5 kali</v>
      </c>
    </row>
    <row r="255">
      <c r="F255" s="285" t="str">
        <f>IFERROR(__xludf.DUMMYFUNCTION("""COMPUTED_VALUE"""),"2606D243")</f>
        <v>2606D243</v>
      </c>
      <c r="G255" s="286">
        <f>IFERROR(__xludf.DUMMYFUNCTION("""COMPUTED_VALUE"""),46202.0)</f>
        <v>46202</v>
      </c>
      <c r="H255" s="285" t="str">
        <f>IFERROR(__xludf.DUMMYFUNCTION("""COMPUTED_VALUE"""),"Christian")</f>
        <v>Christian</v>
      </c>
      <c r="I255" s="285" t="str">
        <f>IFERROR(__xludf.DUMMYFUNCTION("""COMPUTED_VALUE"""),"081283264650")</f>
        <v>081283264650</v>
      </c>
      <c r="J255" s="285" t="str">
        <f>IFERROR(__xludf.DUMMYFUNCTION("""COMPUTED_VALUE"""),"Leads Baru")</f>
        <v>Leads Baru</v>
      </c>
      <c r="K255" s="285" t="str">
        <f>IFERROR(__xludf.DUMMYFUNCTION("""COMPUTED_VALUE"""),"4H3M")</f>
        <v>4H3M</v>
      </c>
      <c r="L255" s="287">
        <f>IFERROR(__xludf.DUMMYFUNCTION("""COMPUTED_VALUE"""),46226.0)</f>
        <v>46226</v>
      </c>
      <c r="M255" s="288">
        <f>IFERROR(__xludf.DUMMYFUNCTION("""COMPUTED_VALUE"""),2.0)</f>
        <v>2</v>
      </c>
      <c r="N255" s="289"/>
      <c r="O255" s="290" t="str">
        <f>IFERROR(__xludf.DUMMYFUNCTION("""COMPUTED_VALUE"""),"FU 7 Juli")</f>
        <v>FU 7 Juli</v>
      </c>
      <c r="P255" s="320"/>
      <c r="R255" s="285"/>
      <c r="S255" s="285"/>
      <c r="T255" s="285"/>
      <c r="U255" s="285"/>
      <c r="V255" s="285"/>
      <c r="W255" s="285"/>
      <c r="X255" s="285"/>
      <c r="Y255" s="285"/>
      <c r="Z255" s="285"/>
      <c r="AA255" s="285"/>
      <c r="AC255" s="285" t="str">
        <f>IFERROR(__xludf.DUMMYFUNCTION("""COMPUTED_VALUE"""),"2602D122")</f>
        <v>2602D122</v>
      </c>
      <c r="AD255" s="286">
        <f>IFERROR(__xludf.DUMMYFUNCTION("""COMPUTED_VALUE"""),46079.0)</f>
        <v>46079</v>
      </c>
      <c r="AE255" s="285" t="str">
        <f>IFERROR(__xludf.DUMMYFUNCTION("""COMPUTED_VALUE"""),"Teguh")</f>
        <v>Teguh</v>
      </c>
      <c r="AF255" s="285" t="str">
        <f>IFERROR(__xludf.DUMMYFUNCTION("""COMPUTED_VALUE"""),"085323102110")</f>
        <v>085323102110</v>
      </c>
      <c r="AG255" s="285" t="str">
        <f>IFERROR(__xludf.DUMMYFUNCTION("""COMPUTED_VALUE"""),"Gagal")</f>
        <v>Gagal</v>
      </c>
      <c r="AH255" s="285" t="str">
        <f>IFERROR(__xludf.DUMMYFUNCTION("""COMPUTED_VALUE"""),"trip ijen")</f>
        <v>trip ijen</v>
      </c>
      <c r="AI255" s="287">
        <f>IFERROR(__xludf.DUMMYFUNCTION("""COMPUTED_VALUE"""),46131.0)</f>
        <v>46131</v>
      </c>
      <c r="AJ255" s="285">
        <f>IFERROR(__xludf.DUMMYFUNCTION("""COMPUTED_VALUE"""),1.0)</f>
        <v>1</v>
      </c>
      <c r="AK255" s="289">
        <f>IFERROR(__xludf.DUMMYFUNCTION("""COMPUTED_VALUE"""),250000.0)</f>
        <v>250000</v>
      </c>
      <c r="AL255" s="285" t="str">
        <f>IFERROR(__xludf.DUMMYFUNCTION("""COMPUTED_VALUE"""),"lewat tanggal, tidak ada jawaban")</f>
        <v>lewat tanggal, tidak ada jawaban</v>
      </c>
    </row>
    <row r="256">
      <c r="F256" s="285" t="str">
        <f>IFERROR(__xludf.DUMMYFUNCTION("""COMPUTED_VALUE"""),"2606D244")</f>
        <v>2606D244</v>
      </c>
      <c r="G256" s="286">
        <f>IFERROR(__xludf.DUMMYFUNCTION("""COMPUTED_VALUE"""),46202.0)</f>
        <v>46202</v>
      </c>
      <c r="H256" s="285" t="str">
        <f>IFERROR(__xludf.DUMMYFUNCTION("""COMPUTED_VALUE"""),"No Name peri")</f>
        <v>No Name peri</v>
      </c>
      <c r="I256" s="285" t="str">
        <f>IFERROR(__xludf.DUMMYFUNCTION("""COMPUTED_VALUE"""),"085753634415")</f>
        <v>085753634415</v>
      </c>
      <c r="J256" s="285" t="str">
        <f>IFERROR(__xludf.DUMMYFUNCTION("""COMPUTED_VALUE"""),"Leads Baru")</f>
        <v>Leads Baru</v>
      </c>
      <c r="K256" s="285" t="str">
        <f>IFERROR(__xludf.DUMMYFUNCTION("""COMPUTED_VALUE"""),"3h2m opsi A")</f>
        <v>3h2m opsi A</v>
      </c>
      <c r="L256" s="287"/>
      <c r="M256" s="288"/>
      <c r="N256" s="289"/>
      <c r="O256" s="290" t="str">
        <f>IFERROR(__xludf.DUMMYFUNCTION("""COMPUTED_VALUE"""),"belum ada balasan, FU 7 Juli")</f>
        <v>belum ada balasan, FU 7 Juli</v>
      </c>
      <c r="P256" s="320"/>
      <c r="R256" s="285"/>
      <c r="S256" s="285"/>
      <c r="T256" s="285"/>
      <c r="U256" s="285"/>
      <c r="V256" s="285"/>
      <c r="W256" s="285"/>
      <c r="X256" s="285"/>
      <c r="Y256" s="285"/>
      <c r="Z256" s="285"/>
      <c r="AA256" s="285"/>
      <c r="AC256" s="285" t="str">
        <f>IFERROR(__xludf.DUMMYFUNCTION("""COMPUTED_VALUE"""),"2602D127")</f>
        <v>2602D127</v>
      </c>
      <c r="AD256" s="286">
        <f>IFERROR(__xludf.DUMMYFUNCTION("""COMPUTED_VALUE"""),46079.0)</f>
        <v>46079</v>
      </c>
      <c r="AE256" s="285" t="str">
        <f>IFERROR(__xludf.DUMMYFUNCTION("""COMPUTED_VALUE"""),"Felix Hansen")</f>
        <v>Felix Hansen</v>
      </c>
      <c r="AF256" s="285" t="str">
        <f>IFERROR(__xludf.DUMMYFUNCTION("""COMPUTED_VALUE"""),"081291586867")</f>
        <v>081291586867</v>
      </c>
      <c r="AG256" s="285" t="str">
        <f>IFERROR(__xludf.DUMMYFUNCTION("""COMPUTED_VALUE"""),"Gagal")</f>
        <v>Gagal</v>
      </c>
      <c r="AH256" s="285"/>
      <c r="AI256" s="287"/>
      <c r="AJ256" s="285"/>
      <c r="AK256" s="289"/>
      <c r="AL256" s="285" t="str">
        <f>IFERROR(__xludf.DUMMYFUNCTION("""COMPUTED_VALUE"""),"nanyain tour jawa (bromo,dieng)")</f>
        <v>nanyain tour jawa (bromo,dieng)</v>
      </c>
    </row>
    <row r="257">
      <c r="F257" s="285" t="str">
        <f>IFERROR(__xludf.DUMMYFUNCTION("""COMPUTED_VALUE"""),"2606D245")</f>
        <v>2606D245</v>
      </c>
      <c r="G257" s="286">
        <f>IFERROR(__xludf.DUMMYFUNCTION("""COMPUTED_VALUE"""),46202.0)</f>
        <v>46202</v>
      </c>
      <c r="H257" s="285" t="str">
        <f>IFERROR(__xludf.DUMMYFUNCTION("""COMPUTED_VALUE"""),"Rohanda")</f>
        <v>Rohanda</v>
      </c>
      <c r="I257" s="285" t="str">
        <f>IFERROR(__xludf.DUMMYFUNCTION("""COMPUTED_VALUE"""),"081220449539")</f>
        <v>081220449539</v>
      </c>
      <c r="J257" s="285" t="str">
        <f>IFERROR(__xludf.DUMMYFUNCTION("""COMPUTED_VALUE"""),"Leads Baru")</f>
        <v>Leads Baru</v>
      </c>
      <c r="K257" s="285" t="str">
        <f>IFERROR(__xludf.DUMMYFUNCTION("""COMPUTED_VALUE"""),"3h2m custome")</f>
        <v>3h2m custome</v>
      </c>
      <c r="L257" s="287">
        <f>IFERROR(__xludf.DUMMYFUNCTION("""COMPUTED_VALUE"""),46255.0)</f>
        <v>46255</v>
      </c>
      <c r="M257" s="288">
        <f>IFERROR(__xludf.DUMMYFUNCTION("""COMPUTED_VALUE"""),2.0)</f>
        <v>2</v>
      </c>
      <c r="N257" s="289"/>
      <c r="O257" s="290"/>
      <c r="P257" s="320"/>
      <c r="R257" s="285"/>
      <c r="S257" s="285"/>
      <c r="T257" s="285"/>
      <c r="U257" s="285"/>
      <c r="V257" s="285"/>
      <c r="W257" s="285"/>
      <c r="X257" s="285"/>
      <c r="Y257" s="285"/>
      <c r="Z257" s="285"/>
      <c r="AA257" s="285"/>
      <c r="AC257" s="285" t="str">
        <f>IFERROR(__xludf.DUMMYFUNCTION("""COMPUTED_VALUE"""),"2602D123")</f>
        <v>2602D123</v>
      </c>
      <c r="AD257" s="286">
        <f>IFERROR(__xludf.DUMMYFUNCTION("""COMPUTED_VALUE"""),46080.0)</f>
        <v>46080</v>
      </c>
      <c r="AE257" s="285" t="str">
        <f>IFERROR(__xludf.DUMMYFUNCTION("""COMPUTED_VALUE"""),"Ylia")</f>
        <v>Ylia</v>
      </c>
      <c r="AF257" s="285" t="str">
        <f>IFERROR(__xludf.DUMMYFUNCTION("""COMPUTED_VALUE"""),"081316106742")</f>
        <v>081316106742</v>
      </c>
      <c r="AG257" s="285" t="str">
        <f>IFERROR(__xludf.DUMMYFUNCTION("""COMPUTED_VALUE"""),"Gagal")</f>
        <v>Gagal</v>
      </c>
      <c r="AH257" s="285"/>
      <c r="AI257" s="287"/>
      <c r="AJ257" s="285"/>
      <c r="AK257" s="289"/>
      <c r="AL257" s="285" t="str">
        <f>IFERROR(__xludf.DUMMYFUNCTION("""COMPUTED_VALUE"""),"tidak ada jawaban, hanya menyapa")</f>
        <v>tidak ada jawaban, hanya menyapa</v>
      </c>
    </row>
    <row r="258">
      <c r="F258" s="285" t="str">
        <f>IFERROR(__xludf.DUMMYFUNCTION("""COMPUTED_VALUE"""),"2606D246")</f>
        <v>2606D246</v>
      </c>
      <c r="G258" s="286">
        <f>IFERROR(__xludf.DUMMYFUNCTION("""COMPUTED_VALUE"""),46203.0)</f>
        <v>46203</v>
      </c>
      <c r="H258" s="285" t="str">
        <f>IFERROR(__xludf.DUMMYFUNCTION("""COMPUTED_VALUE"""),"Cipta Makmur Jaya Tours")</f>
        <v>Cipta Makmur Jaya Tours</v>
      </c>
      <c r="I258" s="285" t="str">
        <f>IFERROR(__xludf.DUMMYFUNCTION("""COMPUTED_VALUE"""),"08113373328")</f>
        <v>08113373328</v>
      </c>
      <c r="J258" s="285" t="str">
        <f>IFERROR(__xludf.DUMMYFUNCTION("""COMPUTED_VALUE"""),"Leads Baru")</f>
        <v>Leads Baru</v>
      </c>
      <c r="K258" s="285" t="str">
        <f>IFERROR(__xludf.DUMMYFUNCTION("""COMPUTED_VALUE"""),"2H1m custome")</f>
        <v>2H1m custome</v>
      </c>
      <c r="L258" s="287"/>
      <c r="M258" s="288">
        <f>IFERROR(__xludf.DUMMYFUNCTION("""COMPUTED_VALUE"""),30.0)</f>
        <v>30</v>
      </c>
      <c r="N258" s="289"/>
      <c r="O258" s="290"/>
      <c r="P258" s="320"/>
      <c r="R258" s="285"/>
      <c r="S258" s="285"/>
      <c r="T258" s="285"/>
      <c r="U258" s="285"/>
      <c r="V258" s="285"/>
      <c r="W258" s="285"/>
      <c r="X258" s="285"/>
      <c r="Y258" s="285"/>
      <c r="Z258" s="285"/>
      <c r="AA258" s="285"/>
      <c r="AC258" s="285" t="str">
        <f>IFERROR(__xludf.DUMMYFUNCTION("""COMPUTED_VALUE"""),"2602D124")</f>
        <v>2602D124</v>
      </c>
      <c r="AD258" s="286">
        <f>IFERROR(__xludf.DUMMYFUNCTION("""COMPUTED_VALUE"""),46080.0)</f>
        <v>46080</v>
      </c>
      <c r="AE258" s="285" t="str">
        <f>IFERROR(__xludf.DUMMYFUNCTION("""COMPUTED_VALUE"""),"Novryssa Raliani")</f>
        <v>Novryssa Raliani</v>
      </c>
      <c r="AF258" s="285" t="str">
        <f>IFERROR(__xludf.DUMMYFUNCTION("""COMPUTED_VALUE"""),"085248147473")</f>
        <v>085248147473</v>
      </c>
      <c r="AG258" s="285" t="str">
        <f>IFERROR(__xludf.DUMMYFUNCTION("""COMPUTED_VALUE"""),"Gagal")</f>
        <v>Gagal</v>
      </c>
      <c r="AH258" s="285" t="str">
        <f>IFERROR(__xludf.DUMMYFUNCTION("""COMPUTED_VALUE"""),"snorkeling dan hutan")</f>
        <v>snorkeling dan hutan</v>
      </c>
      <c r="AI258" s="287"/>
      <c r="AJ258" s="285">
        <f>IFERROR(__xludf.DUMMYFUNCTION("""COMPUTED_VALUE"""),5.0)</f>
        <v>5</v>
      </c>
      <c r="AK258" s="289"/>
      <c r="AL258" s="285" t="str">
        <f>IFERROR(__xludf.DUMMYFUNCTION("""COMPUTED_VALUE"""),"trip ditunda, cari waktu yang tepat")</f>
        <v>trip ditunda, cari waktu yang tepat</v>
      </c>
    </row>
    <row r="259">
      <c r="F259" s="285" t="str">
        <f>IFERROR(__xludf.DUMMYFUNCTION("""COMPUTED_VALUE"""),"2606D247")</f>
        <v>2606D247</v>
      </c>
      <c r="G259" s="286">
        <f>IFERROR(__xludf.DUMMYFUNCTION("""COMPUTED_VALUE"""),46203.0)</f>
        <v>46203</v>
      </c>
      <c r="H259" s="285" t="str">
        <f>IFERROR(__xludf.DUMMYFUNCTION("""COMPUTED_VALUE"""),"Yetti Kurniawati ")</f>
        <v>Yetti Kurniawati </v>
      </c>
      <c r="I259" s="285" t="str">
        <f>IFERROR(__xludf.DUMMYFUNCTION("""COMPUTED_VALUE"""),"083840547993")</f>
        <v>083840547993</v>
      </c>
      <c r="J259" s="285" t="str">
        <f>IFERROR(__xludf.DUMMYFUNCTION("""COMPUTED_VALUE"""),"Leads Baru")</f>
        <v>Leads Baru</v>
      </c>
      <c r="K259" s="285" t="str">
        <f>IFERROR(__xludf.DUMMYFUNCTION("""COMPUTED_VALUE"""),"OT MT")</f>
        <v>OT MT</v>
      </c>
      <c r="L259" s="287">
        <f>IFERROR(__xludf.DUMMYFUNCTION("""COMPUTED_VALUE"""),46207.0)</f>
        <v>46207</v>
      </c>
      <c r="M259" s="288">
        <f>IFERROR(__xludf.DUMMYFUNCTION("""COMPUTED_VALUE"""),4.0)</f>
        <v>4</v>
      </c>
      <c r="N259" s="289"/>
      <c r="O259" s="290" t="str">
        <f>IFERROR(__xludf.DUMMYFUNCTION("""COMPUTED_VALUE"""),"fullbookedd")</f>
        <v>fullbookedd</v>
      </c>
      <c r="P259" s="320"/>
      <c r="R259" s="285"/>
      <c r="S259" s="285"/>
      <c r="T259" s="285"/>
      <c r="U259" s="285"/>
      <c r="V259" s="285"/>
      <c r="W259" s="285"/>
      <c r="X259" s="285"/>
      <c r="Y259" s="285"/>
      <c r="Z259" s="285"/>
      <c r="AA259" s="285"/>
      <c r="AC259" s="285" t="str">
        <f>IFERROR(__xludf.DUMMYFUNCTION("""COMPUTED_VALUE"""),"2602D125")</f>
        <v>2602D125</v>
      </c>
      <c r="AD259" s="286">
        <f>IFERROR(__xludf.DUMMYFUNCTION("""COMPUTED_VALUE"""),46080.0)</f>
        <v>46080</v>
      </c>
      <c r="AE259" s="285" t="str">
        <f>IFERROR(__xludf.DUMMYFUNCTION("""COMPUTED_VALUE"""),"viananda")</f>
        <v>viananda</v>
      </c>
      <c r="AF259" s="285" t="str">
        <f>IFERROR(__xludf.DUMMYFUNCTION("""COMPUTED_VALUE"""),"083103773637")</f>
        <v>083103773637</v>
      </c>
      <c r="AG259" s="285" t="str">
        <f>IFERROR(__xludf.DUMMYFUNCTION("""COMPUTED_VALUE"""),"Gagal")</f>
        <v>Gagal</v>
      </c>
      <c r="AH259" s="285"/>
      <c r="AI259" s="287"/>
      <c r="AJ259" s="285">
        <f>IFERROR(__xludf.DUMMYFUNCTION("""COMPUTED_VALUE"""),2.0)</f>
        <v>2</v>
      </c>
      <c r="AK259" s="289"/>
      <c r="AL259" s="285" t="str">
        <f>IFERROR(__xludf.DUMMYFUNCTION("""COMPUTED_VALUE"""),"tidak ada jawaban, sdh fu 5 kali ")</f>
        <v>tidak ada jawaban, sdh fu 5 kali </v>
      </c>
    </row>
    <row r="260">
      <c r="F260" s="285" t="str">
        <f>IFERROR(__xludf.DUMMYFUNCTION("""COMPUTED_VALUE"""),"2606D248")</f>
        <v>2606D248</v>
      </c>
      <c r="G260" s="286">
        <f>IFERROR(__xludf.DUMMYFUNCTION("""COMPUTED_VALUE"""),46203.0)</f>
        <v>46203</v>
      </c>
      <c r="H260" s="285" t="str">
        <f>IFERROR(__xludf.DUMMYFUNCTION("""COMPUTED_VALUE"""),"Rheina")</f>
        <v>Rheina</v>
      </c>
      <c r="I260" s="285" t="str">
        <f>IFERROR(__xludf.DUMMYFUNCTION("""COMPUTED_VALUE"""),"08787473633")</f>
        <v>08787473633</v>
      </c>
      <c r="J260" s="285" t="str">
        <f>IFERROR(__xludf.DUMMYFUNCTION("""COMPUTED_VALUE"""),"Leads Baru")</f>
        <v>Leads Baru</v>
      </c>
      <c r="K260" s="285" t="str">
        <f>IFERROR(__xludf.DUMMYFUNCTION("""COMPUTED_VALUE"""),"3h2m opsi A")</f>
        <v>3h2m opsi A</v>
      </c>
      <c r="L260" s="287"/>
      <c r="M260" s="288"/>
      <c r="N260" s="289"/>
      <c r="O260" s="290" t="str">
        <f>IFERROR(__xludf.DUMMYFUNCTION("""COMPUTED_VALUE"""),"FU 31 Juli")</f>
        <v>FU 31 Juli</v>
      </c>
      <c r="P260" s="320"/>
      <c r="R260" s="285"/>
      <c r="S260" s="285"/>
      <c r="T260" s="285"/>
      <c r="U260" s="285"/>
      <c r="V260" s="285"/>
      <c r="W260" s="285"/>
      <c r="X260" s="285"/>
      <c r="Y260" s="285"/>
      <c r="Z260" s="285"/>
      <c r="AA260" s="285"/>
      <c r="AC260" s="285" t="str">
        <f>IFERROR(__xludf.DUMMYFUNCTION("""COMPUTED_VALUE"""),"2602D126")</f>
        <v>2602D126</v>
      </c>
      <c r="AD260" s="286">
        <f>IFERROR(__xludf.DUMMYFUNCTION("""COMPUTED_VALUE"""),46080.0)</f>
        <v>46080</v>
      </c>
      <c r="AE260" s="285" t="str">
        <f>IFERROR(__xludf.DUMMYFUNCTION("""COMPUTED_VALUE"""),"A Cahyadin")</f>
        <v>A Cahyadin</v>
      </c>
      <c r="AF260" s="285" t="str">
        <f>IFERROR(__xludf.DUMMYFUNCTION("""COMPUTED_VALUE"""),"089648073758")</f>
        <v>089648073758</v>
      </c>
      <c r="AG260" s="285" t="str">
        <f>IFERROR(__xludf.DUMMYFUNCTION("""COMPUTED_VALUE"""),"Gagal")</f>
        <v>Gagal</v>
      </c>
      <c r="AH260" s="285"/>
      <c r="AI260" s="287"/>
      <c r="AJ260" s="285">
        <f>IFERROR(__xludf.DUMMYFUNCTION("""COMPUTED_VALUE"""),2.0)</f>
        <v>2</v>
      </c>
      <c r="AK260" s="289"/>
      <c r="AL260" s="285" t="str">
        <f>IFERROR(__xludf.DUMMYFUNCTION("""COMPUTED_VALUE"""),"tidak ada jawaban, sdh fu 5 kali")</f>
        <v>tidak ada jawaban, sdh fu 5 kali</v>
      </c>
    </row>
    <row r="261">
      <c r="F261" s="285" t="str">
        <f>IFERROR(__xludf.DUMMYFUNCTION("""COMPUTED_VALUE"""),"2606D249")</f>
        <v>2606D249</v>
      </c>
      <c r="G261" s="286">
        <f>IFERROR(__xludf.DUMMYFUNCTION("""COMPUTED_VALUE"""),46203.0)</f>
        <v>46203</v>
      </c>
      <c r="H261" s="285" t="str">
        <f>IFERROR(__xludf.DUMMYFUNCTION("""COMPUTED_VALUE"""),"Asti Lestari")</f>
        <v>Asti Lestari</v>
      </c>
      <c r="I261" s="285" t="str">
        <f>IFERROR(__xludf.DUMMYFUNCTION("""COMPUTED_VALUE"""),"081394047757")</f>
        <v>081394047757</v>
      </c>
      <c r="J261" s="285" t="str">
        <f>IFERROR(__xludf.DUMMYFUNCTION("""COMPUTED_VALUE"""),"Leads Baru")</f>
        <v>Leads Baru</v>
      </c>
      <c r="K261" s="285" t="str">
        <f>IFERROR(__xludf.DUMMYFUNCTION("""COMPUTED_VALUE"""),"OT MT")</f>
        <v>OT MT</v>
      </c>
      <c r="L261" s="287">
        <f>IFERROR(__xludf.DUMMYFUNCTION("""COMPUTED_VALUE"""),46213.0)</f>
        <v>46213</v>
      </c>
      <c r="M261" s="288">
        <f>IFERROR(__xludf.DUMMYFUNCTION("""COMPUTED_VALUE"""),5.0)</f>
        <v>5</v>
      </c>
      <c r="N261" s="289"/>
      <c r="O261" s="290" t="str">
        <f>IFERROR(__xludf.DUMMYFUNCTION("""COMPUTED_VALUE"""),"FU 3 Juli ")</f>
        <v>FU 3 Juli </v>
      </c>
      <c r="P261" s="320"/>
      <c r="R261" s="285"/>
      <c r="S261" s="285"/>
      <c r="T261" s="285"/>
      <c r="U261" s="285"/>
      <c r="V261" s="285"/>
      <c r="W261" s="285"/>
      <c r="X261" s="285"/>
      <c r="Y261" s="285"/>
      <c r="Z261" s="285"/>
      <c r="AA261" s="285"/>
      <c r="AC261" s="285" t="str">
        <f>IFERROR(__xludf.DUMMYFUNCTION("""COMPUTED_VALUE"""),"2602D128")</f>
        <v>2602D128</v>
      </c>
      <c r="AD261" s="286">
        <f>IFERROR(__xludf.DUMMYFUNCTION("""COMPUTED_VALUE"""),46080.0)</f>
        <v>46080</v>
      </c>
      <c r="AE261" s="285" t="str">
        <f>IFERROR(__xludf.DUMMYFUNCTION("""COMPUTED_VALUE"""),"Henry")</f>
        <v>Henry</v>
      </c>
      <c r="AF261" s="285" t="str">
        <f>IFERROR(__xludf.DUMMYFUNCTION("""COMPUTED_VALUE"""),"081212641269")</f>
        <v>081212641269</v>
      </c>
      <c r="AG261" s="285" t="str">
        <f>IFERROR(__xludf.DUMMYFUNCTION("""COMPUTED_VALUE"""),"Gagal")</f>
        <v>Gagal</v>
      </c>
      <c r="AH261" s="285" t="str">
        <f>IFERROR(__xludf.DUMMYFUNCTION("""COMPUTED_VALUE"""),"3H2M opsi a")</f>
        <v>3H2M opsi a</v>
      </c>
      <c r="AI261" s="287"/>
      <c r="AJ261" s="285">
        <f>IFERROR(__xludf.DUMMYFUNCTION("""COMPUTED_VALUE"""),12.0)</f>
        <v>12</v>
      </c>
      <c r="AK261" s="289">
        <f>IFERROR(__xludf.DUMMYFUNCTION("""COMPUTED_VALUE"""),1.2732E7)</f>
        <v>12732000</v>
      </c>
      <c r="AL261" s="285" t="str">
        <f>IFERROR(__xludf.DUMMYFUNCTION("""COMPUTED_VALUE"""),"kirim penawaran, FU 24 April")</f>
        <v>kirim penawaran, FU 24 April</v>
      </c>
    </row>
    <row r="262">
      <c r="F262" s="285" t="str">
        <f>IFERROR(__xludf.DUMMYFUNCTION("""COMPUTED_VALUE"""),"2606D250")</f>
        <v>2606D250</v>
      </c>
      <c r="G262" s="286">
        <f>IFERROR(__xludf.DUMMYFUNCTION("""COMPUTED_VALUE"""),46203.0)</f>
        <v>46203</v>
      </c>
      <c r="H262" s="285" t="str">
        <f>IFERROR(__xludf.DUMMYFUNCTION("""COMPUTED_VALUE"""),"Najmuddin Kholish")</f>
        <v>Najmuddin Kholish</v>
      </c>
      <c r="I262" s="285" t="str">
        <f>IFERROR(__xludf.DUMMYFUNCTION("""COMPUTED_VALUE"""),"085649017879")</f>
        <v>085649017879</v>
      </c>
      <c r="J262" s="285" t="str">
        <f>IFERROR(__xludf.DUMMYFUNCTION("""COMPUTED_VALUE"""),"Leads Baru")</f>
        <v>Leads Baru</v>
      </c>
      <c r="K262" s="285" t="str">
        <f>IFERROR(__xludf.DUMMYFUNCTION("""COMPUTED_VALUE"""),"private Djabal")</f>
        <v>private Djabal</v>
      </c>
      <c r="L262" s="287"/>
      <c r="M262" s="288">
        <f>IFERROR(__xludf.DUMMYFUNCTION("""COMPUTED_VALUE"""),3.0)</f>
        <v>3</v>
      </c>
      <c r="N262" s="289"/>
      <c r="O262" s="290" t="str">
        <f>IFERROR(__xludf.DUMMYFUNCTION("""COMPUTED_VALUE"""),"FU 5 Juli")</f>
        <v>FU 5 Juli</v>
      </c>
      <c r="P262" s="320"/>
      <c r="R262" s="285"/>
      <c r="S262" s="285"/>
      <c r="T262" s="285"/>
      <c r="U262" s="285"/>
      <c r="V262" s="285"/>
      <c r="W262" s="285"/>
      <c r="X262" s="285"/>
      <c r="Y262" s="285"/>
      <c r="Z262" s="285"/>
      <c r="AA262" s="285"/>
      <c r="AC262" s="285" t="str">
        <f>IFERROR(__xludf.DUMMYFUNCTION("""COMPUTED_VALUE"""),"2602D129")</f>
        <v>2602D129</v>
      </c>
      <c r="AD262" s="286">
        <f>IFERROR(__xludf.DUMMYFUNCTION("""COMPUTED_VALUE"""),46080.0)</f>
        <v>46080</v>
      </c>
      <c r="AE262" s="285" t="str">
        <f>IFERROR(__xludf.DUMMYFUNCTION("""COMPUTED_VALUE"""),"Glh")</f>
        <v>Glh</v>
      </c>
      <c r="AF262" s="285" t="str">
        <f>IFERROR(__xludf.DUMMYFUNCTION("""COMPUTED_VALUE"""),"085183355430")</f>
        <v>085183355430</v>
      </c>
      <c r="AG262" s="285" t="str">
        <f>IFERROR(__xludf.DUMMYFUNCTION("""COMPUTED_VALUE"""),"Gagal")</f>
        <v>Gagal</v>
      </c>
      <c r="AH262" s="285" t="str">
        <f>IFERROR(__xludf.DUMMYFUNCTION("""COMPUTED_VALUE"""),"teluk ijo, pulau merah")</f>
        <v>teluk ijo, pulau merah</v>
      </c>
      <c r="AI262" s="287">
        <f>IFERROR(__xludf.DUMMYFUNCTION("""COMPUTED_VALUE"""),46104.0)</f>
        <v>46104</v>
      </c>
      <c r="AJ262" s="285">
        <f>IFERROR(__xludf.DUMMYFUNCTION("""COMPUTED_VALUE"""),6.0)</f>
        <v>6</v>
      </c>
      <c r="AK262" s="289">
        <f>IFERROR(__xludf.DUMMYFUNCTION("""COMPUTED_VALUE"""),3090000.0)</f>
        <v>3090000</v>
      </c>
      <c r="AL262" s="285" t="str">
        <f>IFERROR(__xludf.DUMMYFUNCTION("""COMPUTED_VALUE"""),"lewat tanggal, tidak ada jawaban")</f>
        <v>lewat tanggal, tidak ada jawaban</v>
      </c>
    </row>
    <row r="263">
      <c r="F263" s="285" t="str">
        <f>IFERROR(__xludf.DUMMYFUNCTION("""COMPUTED_VALUE"""),"2606D252")</f>
        <v>2606D252</v>
      </c>
      <c r="G263" s="286">
        <f>IFERROR(__xludf.DUMMYFUNCTION("""COMPUTED_VALUE"""),46203.0)</f>
        <v>46203</v>
      </c>
      <c r="H263" s="285" t="str">
        <f>IFERROR(__xludf.DUMMYFUNCTION("""COMPUTED_VALUE"""),"Raisa")</f>
        <v>Raisa</v>
      </c>
      <c r="I263" s="285" t="str">
        <f>IFERROR(__xludf.DUMMYFUNCTION("""COMPUTED_VALUE"""),"60168641592")</f>
        <v>60168641592</v>
      </c>
      <c r="J263" s="285" t="str">
        <f>IFERROR(__xludf.DUMMYFUNCTION("""COMPUTED_VALUE"""),"Leads Baru")</f>
        <v>Leads Baru</v>
      </c>
      <c r="K263" s="285" t="str">
        <f>IFERROR(__xludf.DUMMYFUNCTION("""COMPUTED_VALUE"""),"trip kawah ijen")</f>
        <v>trip kawah ijen</v>
      </c>
      <c r="L263" s="287"/>
      <c r="M263" s="288">
        <f>IFERROR(__xludf.DUMMYFUNCTION("""COMPUTED_VALUE"""),2.0)</f>
        <v>2</v>
      </c>
      <c r="N263" s="289"/>
      <c r="O263" s="290" t="str">
        <f>IFERROR(__xludf.DUMMYFUNCTION("""COMPUTED_VALUE"""),"pengen blue fire")</f>
        <v>pengen blue fire</v>
      </c>
      <c r="P263" s="320"/>
      <c r="R263" s="285"/>
      <c r="S263" s="285"/>
      <c r="T263" s="285"/>
      <c r="U263" s="285"/>
      <c r="V263" s="285"/>
      <c r="W263" s="285"/>
      <c r="X263" s="285"/>
      <c r="Y263" s="285"/>
      <c r="Z263" s="285"/>
      <c r="AA263" s="285"/>
      <c r="AC263" s="285" t="str">
        <f>IFERROR(__xludf.DUMMYFUNCTION("""COMPUTED_VALUE"""),"2602D130")</f>
        <v>2602D130</v>
      </c>
      <c r="AD263" s="286">
        <f>IFERROR(__xludf.DUMMYFUNCTION("""COMPUTED_VALUE"""),46080.0)</f>
        <v>46080</v>
      </c>
      <c r="AE263" s="285" t="str">
        <f>IFERROR(__xludf.DUMMYFUNCTION("""COMPUTED_VALUE"""),"Momih Ceisya")</f>
        <v>Momih Ceisya</v>
      </c>
      <c r="AF263" s="285" t="str">
        <f>IFERROR(__xludf.DUMMYFUNCTION("""COMPUTED_VALUE"""),"085695838737")</f>
        <v>085695838737</v>
      </c>
      <c r="AG263" s="285" t="str">
        <f>IFERROR(__xludf.DUMMYFUNCTION("""COMPUTED_VALUE"""),"Gagal")</f>
        <v>Gagal</v>
      </c>
      <c r="AH263" s="285" t="str">
        <f>IFERROR(__xludf.DUMMYFUNCTION("""COMPUTED_VALUE"""),"one day trip djawatan baluran")</f>
        <v>one day trip djawatan baluran</v>
      </c>
      <c r="AI263" s="287">
        <f>IFERROR(__xludf.DUMMYFUNCTION("""COMPUTED_VALUE"""),46107.0)</f>
        <v>46107</v>
      </c>
      <c r="AJ263" s="285">
        <f>IFERROR(__xludf.DUMMYFUNCTION("""COMPUTED_VALUE"""),4.0)</f>
        <v>4</v>
      </c>
      <c r="AK263" s="289">
        <f>IFERROR(__xludf.DUMMYFUNCTION("""COMPUTED_VALUE"""),1996000.0)</f>
        <v>1996000</v>
      </c>
      <c r="AL263" s="285" t="str">
        <f>IFERROR(__xludf.DUMMYFUNCTION("""COMPUTED_VALUE"""),"over budget, nabung dulu")</f>
        <v>over budget, nabung dulu</v>
      </c>
    </row>
    <row r="264">
      <c r="F264" s="285" t="str">
        <f>IFERROR(__xludf.DUMMYFUNCTION("""COMPUTED_VALUE"""),"2607D008")</f>
        <v>2607D008</v>
      </c>
      <c r="G264" s="286">
        <f>IFERROR(__xludf.DUMMYFUNCTION("""COMPUTED_VALUE"""),46205.0)</f>
        <v>46205</v>
      </c>
      <c r="H264" s="285" t="str">
        <f>IFERROR(__xludf.DUMMYFUNCTION("""COMPUTED_VALUE"""),"Amalia")</f>
        <v>Amalia</v>
      </c>
      <c r="I264" s="285" t="str">
        <f>IFERROR(__xludf.DUMMYFUNCTION("""COMPUTED_VALUE"""),"0811226651")</f>
        <v>0811226651</v>
      </c>
      <c r="J264" s="285" t="str">
        <f>IFERROR(__xludf.DUMMYFUNCTION("""COMPUTED_VALUE"""),"Leads Baru")</f>
        <v>Leads Baru</v>
      </c>
      <c r="K264" s="285" t="str">
        <f>IFERROR(__xludf.DUMMYFUNCTION("""COMPUTED_VALUE"""),"OT 3H2M")</f>
        <v>OT 3H2M</v>
      </c>
      <c r="L264" s="287"/>
      <c r="M264" s="288"/>
      <c r="N264" s="289"/>
      <c r="O264" s="290"/>
      <c r="P264" s="320"/>
      <c r="R264" s="285"/>
      <c r="S264" s="285"/>
      <c r="T264" s="285"/>
      <c r="U264" s="285"/>
      <c r="V264" s="285"/>
      <c r="W264" s="285"/>
      <c r="X264" s="285"/>
      <c r="Y264" s="285"/>
      <c r="Z264" s="285"/>
      <c r="AA264" s="285"/>
      <c r="AC264" s="285" t="str">
        <f>IFERROR(__xludf.DUMMYFUNCTION("""COMPUTED_VALUE"""),"2602D131")</f>
        <v>2602D131</v>
      </c>
      <c r="AD264" s="286">
        <f>IFERROR(__xludf.DUMMYFUNCTION("""COMPUTED_VALUE"""),46080.0)</f>
        <v>46080</v>
      </c>
      <c r="AE264" s="285" t="str">
        <f>IFERROR(__xludf.DUMMYFUNCTION("""COMPUTED_VALUE"""),"Valenciags")</f>
        <v>Valenciags</v>
      </c>
      <c r="AF264" s="285" t="str">
        <f>IFERROR(__xludf.DUMMYFUNCTION("""COMPUTED_VALUE"""),"081806481806")</f>
        <v>081806481806</v>
      </c>
      <c r="AG264" s="285" t="str">
        <f>IFERROR(__xludf.DUMMYFUNCTION("""COMPUTED_VALUE"""),"Gagal")</f>
        <v>Gagal</v>
      </c>
      <c r="AH264" s="285" t="str">
        <f>IFERROR(__xludf.DUMMYFUNCTION("""COMPUTED_VALUE"""),"2H1M")</f>
        <v>2H1M</v>
      </c>
      <c r="AI264" s="287"/>
      <c r="AJ264" s="285">
        <f>IFERROR(__xludf.DUMMYFUNCTION("""COMPUTED_VALUE"""),2.0)</f>
        <v>2</v>
      </c>
      <c r="AK264" s="289">
        <f>IFERROR(__xludf.DUMMYFUNCTION("""COMPUTED_VALUE"""),3882000.0)</f>
        <v>3882000</v>
      </c>
      <c r="AL264" s="285" t="str">
        <f>IFERROR(__xludf.DUMMYFUNCTION("""COMPUTED_VALUE"""),"minta pricelist, fu tanggal 2 april")</f>
        <v>minta pricelist, fu tanggal 2 april</v>
      </c>
    </row>
    <row r="265">
      <c r="F265" s="285" t="str">
        <f>IFERROR(__xludf.DUMMYFUNCTION("""COMPUTED_VALUE"""),"2607D011")</f>
        <v>2607D011</v>
      </c>
      <c r="G265" s="286">
        <f>IFERROR(__xludf.DUMMYFUNCTION("""COMPUTED_VALUE"""),46205.0)</f>
        <v>46205</v>
      </c>
      <c r="H265" s="285" t="str">
        <f>IFERROR(__xludf.DUMMYFUNCTION("""COMPUTED_VALUE"""),"Alieta")</f>
        <v>Alieta</v>
      </c>
      <c r="I265" s="285" t="str">
        <f>IFERROR(__xludf.DUMMYFUNCTION("""COMPUTED_VALUE"""),"08122382234")</f>
        <v>08122382234</v>
      </c>
      <c r="J265" s="285" t="str">
        <f>IFERROR(__xludf.DUMMYFUNCTION("""COMPUTED_VALUE"""),"Leads Baru")</f>
        <v>Leads Baru</v>
      </c>
      <c r="K265" s="285" t="str">
        <f>IFERROR(__xludf.DUMMYFUNCTION("""COMPUTED_VALUE"""),"3H2M custome")</f>
        <v>3H2M custome</v>
      </c>
      <c r="L265" s="287"/>
      <c r="M265" s="288">
        <f>IFERROR(__xludf.DUMMYFUNCTION("""COMPUTED_VALUE"""),8.0)</f>
        <v>8</v>
      </c>
      <c r="N265" s="289"/>
      <c r="O265" s="290"/>
      <c r="P265" s="320"/>
      <c r="R265" s="285"/>
      <c r="S265" s="285"/>
      <c r="T265" s="285"/>
      <c r="U265" s="285"/>
      <c r="V265" s="285"/>
      <c r="W265" s="285"/>
      <c r="X265" s="285"/>
      <c r="Y265" s="285"/>
      <c r="Z265" s="285"/>
      <c r="AA265" s="285"/>
      <c r="AC265" s="285" t="str">
        <f>IFERROR(__xludf.DUMMYFUNCTION("""COMPUTED_VALUE"""),"2602D132")</f>
        <v>2602D132</v>
      </c>
      <c r="AD265" s="286">
        <f>IFERROR(__xludf.DUMMYFUNCTION("""COMPUTED_VALUE"""),46080.0)</f>
        <v>46080</v>
      </c>
      <c r="AE265" s="285" t="str">
        <f>IFERROR(__xludf.DUMMYFUNCTION("""COMPUTED_VALUE"""),"Lukita Anggraeni Jati")</f>
        <v>Lukita Anggraeni Jati</v>
      </c>
      <c r="AF265" s="285" t="str">
        <f>IFERROR(__xludf.DUMMYFUNCTION("""COMPUTED_VALUE"""),"081233932620")</f>
        <v>081233932620</v>
      </c>
      <c r="AG265" s="285" t="str">
        <f>IFERROR(__xludf.DUMMYFUNCTION("""COMPUTED_VALUE"""),"Gagal")</f>
        <v>Gagal</v>
      </c>
      <c r="AH265" s="285" t="str">
        <f>IFERROR(__xludf.DUMMYFUNCTION("""COMPUTED_VALUE"""),"OT ")</f>
        <v>OT </v>
      </c>
      <c r="AI265" s="287"/>
      <c r="AJ265" s="285">
        <f>IFERROR(__xludf.DUMMYFUNCTION("""COMPUTED_VALUE"""),3.0)</f>
        <v>3</v>
      </c>
      <c r="AK265" s="289"/>
      <c r="AL265" s="285" t="str">
        <f>IFERROR(__xludf.DUMMYFUNCTION("""COMPUTED_VALUE"""),"ga jadi ke Banyuwangi ")</f>
        <v>ga jadi ke Banyuwangi </v>
      </c>
    </row>
    <row r="266">
      <c r="F266" s="285" t="str">
        <f>IFERROR(__xludf.DUMMYFUNCTION("""COMPUTED_VALUE"""),"2607D017")</f>
        <v>2607D017</v>
      </c>
      <c r="G266" s="286">
        <f>IFERROR(__xludf.DUMMYFUNCTION("""COMPUTED_VALUE"""),46205.0)</f>
        <v>46205</v>
      </c>
      <c r="H266" s="285" t="str">
        <f>IFERROR(__xludf.DUMMYFUNCTION("""COMPUTED_VALUE"""),"PT Jaya Impian Abadi")</f>
        <v>PT Jaya Impian Abadi</v>
      </c>
      <c r="I266" s="285" t="str">
        <f>IFERROR(__xludf.DUMMYFUNCTION("""COMPUTED_VALUE"""),"082312395793")</f>
        <v>082312395793</v>
      </c>
      <c r="J266" s="285" t="str">
        <f>IFERROR(__xludf.DUMMYFUNCTION("""COMPUTED_VALUE"""),"Leads Baru")</f>
        <v>Leads Baru</v>
      </c>
      <c r="K266" s="285"/>
      <c r="L266" s="287"/>
      <c r="M266" s="288"/>
      <c r="N266" s="289"/>
      <c r="O266" s="290" t="str">
        <f>IFERROR(__xludf.DUMMYFUNCTION("""COMPUTED_VALUE"""),"masih nyapaa")</f>
        <v>masih nyapaa</v>
      </c>
      <c r="P266" s="320"/>
      <c r="R266" s="285"/>
      <c r="S266" s="285"/>
      <c r="T266" s="285"/>
      <c r="U266" s="285"/>
      <c r="V266" s="285"/>
      <c r="W266" s="285"/>
      <c r="X266" s="285"/>
      <c r="Y266" s="285"/>
      <c r="Z266" s="285"/>
      <c r="AA266" s="285"/>
      <c r="AC266" s="285" t="str">
        <f>IFERROR(__xludf.DUMMYFUNCTION("""COMPUTED_VALUE"""),"2602D133")</f>
        <v>2602D133</v>
      </c>
      <c r="AD266" s="286">
        <f>IFERROR(__xludf.DUMMYFUNCTION("""COMPUTED_VALUE"""),46081.0)</f>
        <v>46081</v>
      </c>
      <c r="AE266" s="285" t="str">
        <f>IFERROR(__xludf.DUMMYFUNCTION("""COMPUTED_VALUE"""),"Rizha Anugerah")</f>
        <v>Rizha Anugerah</v>
      </c>
      <c r="AF266" s="285" t="str">
        <f>IFERROR(__xludf.DUMMYFUNCTION("""COMPUTED_VALUE"""),"081233932620")</f>
        <v>081233932620</v>
      </c>
      <c r="AG266" s="285" t="str">
        <f>IFERROR(__xludf.DUMMYFUNCTION("""COMPUTED_VALUE"""),"Gagal")</f>
        <v>Gagal</v>
      </c>
      <c r="AH266" s="285" t="str">
        <f>IFERROR(__xludf.DUMMYFUNCTION("""COMPUTED_VALUE"""),"3H2M")</f>
        <v>3H2M</v>
      </c>
      <c r="AI266" s="287"/>
      <c r="AJ266" s="285"/>
      <c r="AK266" s="289"/>
      <c r="AL266" s="285" t="str">
        <f>IFERROR(__xludf.DUMMYFUNCTION("""COMPUTED_VALUE"""),"nunggu bulan april atau nunggu istri lahiran,lg trimester3")</f>
        <v>nunggu bulan april atau nunggu istri lahiran,lg trimester3</v>
      </c>
    </row>
    <row r="267">
      <c r="F267" s="285" t="str">
        <f>IFERROR(__xludf.DUMMYFUNCTION("""COMPUTED_VALUE"""),"2607D022")</f>
        <v>2607D022</v>
      </c>
      <c r="G267" s="286">
        <f>IFERROR(__xludf.DUMMYFUNCTION("""COMPUTED_VALUE"""),46206.0)</f>
        <v>46206</v>
      </c>
      <c r="H267" s="285" t="str">
        <f>IFERROR(__xludf.DUMMYFUNCTION("""COMPUTED_VALUE"""),"Ikka")</f>
        <v>Ikka</v>
      </c>
      <c r="I267" s="285" t="str">
        <f>IFERROR(__xludf.DUMMYFUNCTION("""COMPUTED_VALUE"""),"085959387150")</f>
        <v>085959387150</v>
      </c>
      <c r="J267" s="285" t="str">
        <f>IFERROR(__xludf.DUMMYFUNCTION("""COMPUTED_VALUE"""),"Leads Baru")</f>
        <v>Leads Baru</v>
      </c>
      <c r="K267" s="285"/>
      <c r="L267" s="287"/>
      <c r="M267" s="288"/>
      <c r="N267" s="289"/>
      <c r="O267" s="290" t="str">
        <f>IFERROR(__xludf.DUMMYFUNCTION("""COMPUTED_VALUE""")," ")</f>
        <v> </v>
      </c>
      <c r="P267" s="320"/>
      <c r="R267" s="285"/>
      <c r="S267" s="285"/>
      <c r="T267" s="285"/>
      <c r="U267" s="285"/>
      <c r="V267" s="285"/>
      <c r="W267" s="285"/>
      <c r="X267" s="285"/>
      <c r="Y267" s="285"/>
      <c r="Z267" s="285"/>
      <c r="AA267" s="285"/>
      <c r="AC267" s="285" t="str">
        <f>IFERROR(__xludf.DUMMYFUNCTION("""COMPUTED_VALUE"""),"2602D134")</f>
        <v>2602D134</v>
      </c>
      <c r="AD267" s="286">
        <f>IFERROR(__xludf.DUMMYFUNCTION("""COMPUTED_VALUE"""),46081.0)</f>
        <v>46081</v>
      </c>
      <c r="AE267" s="285" t="str">
        <f>IFERROR(__xludf.DUMMYFUNCTION("""COMPUTED_VALUE"""),"Elsa Oktavia")</f>
        <v>Elsa Oktavia</v>
      </c>
      <c r="AF267" s="285" t="str">
        <f>IFERROR(__xludf.DUMMYFUNCTION("""COMPUTED_VALUE"""),"089690342213")</f>
        <v>089690342213</v>
      </c>
      <c r="AG267" s="285" t="str">
        <f>IFERROR(__xludf.DUMMYFUNCTION("""COMPUTED_VALUE"""),"Gagal")</f>
        <v>Gagal</v>
      </c>
      <c r="AH267" s="285" t="str">
        <f>IFERROR(__xludf.DUMMYFUNCTION("""COMPUTED_VALUE"""),"trip kawah wurung")</f>
        <v>trip kawah wurung</v>
      </c>
      <c r="AI267" s="287"/>
      <c r="AJ267" s="285">
        <f>IFERROR(__xludf.DUMMYFUNCTION("""COMPUTED_VALUE"""),2.0)</f>
        <v>2</v>
      </c>
      <c r="AK267" s="289"/>
      <c r="AL267" s="285" t="str">
        <f>IFERROR(__xludf.DUMMYFUNCTION("""COMPUTED_VALUE"""),"tidak ada jawaban, sdh fu 5 kali ")</f>
        <v>tidak ada jawaban, sdh fu 5 kali </v>
      </c>
    </row>
    <row r="268">
      <c r="F268" s="285" t="str">
        <f>IFERROR(__xludf.DUMMYFUNCTION("""COMPUTED_VALUE"""),"2607D023")</f>
        <v>2607D023</v>
      </c>
      <c r="G268" s="286">
        <f>IFERROR(__xludf.DUMMYFUNCTION("""COMPUTED_VALUE"""),46206.0)</f>
        <v>46206</v>
      </c>
      <c r="H268" s="285" t="str">
        <f>IFERROR(__xludf.DUMMYFUNCTION("""COMPUTED_VALUE"""),"Putri Sinaga")</f>
        <v>Putri Sinaga</v>
      </c>
      <c r="I268" s="285" t="str">
        <f>IFERROR(__xludf.DUMMYFUNCTION("""COMPUTED_VALUE"""),"081319102213")</f>
        <v>081319102213</v>
      </c>
      <c r="J268" s="285" t="str">
        <f>IFERROR(__xludf.DUMMYFUNCTION("""COMPUTED_VALUE"""),"Leads Baru")</f>
        <v>Leads Baru</v>
      </c>
      <c r="K268" s="285" t="str">
        <f>IFERROR(__xludf.DUMMYFUNCTION("""COMPUTED_VALUE"""),"2H1M opsi B")</f>
        <v>2H1M opsi B</v>
      </c>
      <c r="L268" s="287"/>
      <c r="M268" s="288"/>
      <c r="N268" s="289"/>
      <c r="O268" s="290" t="str">
        <f>IFERROR(__xludf.DUMMYFUNCTION("""COMPUTED_VALUE"""),"FU 8 Juli")</f>
        <v>FU 8 Juli</v>
      </c>
      <c r="P268" s="320"/>
      <c r="R268" s="285"/>
      <c r="S268" s="285"/>
      <c r="T268" s="285"/>
      <c r="U268" s="285"/>
      <c r="V268" s="285"/>
      <c r="W268" s="285"/>
      <c r="X268" s="285"/>
      <c r="Y268" s="285"/>
      <c r="Z268" s="285"/>
      <c r="AA268" s="285"/>
      <c r="AC268" s="285" t="str">
        <f>IFERROR(__xludf.DUMMYFUNCTION("""COMPUTED_VALUE"""),"2602D135")</f>
        <v>2602D135</v>
      </c>
      <c r="AD268" s="286">
        <f>IFERROR(__xludf.DUMMYFUNCTION("""COMPUTED_VALUE"""),46081.0)</f>
        <v>46081</v>
      </c>
      <c r="AE268" s="285" t="str">
        <f>IFERROR(__xludf.DUMMYFUNCTION("""COMPUTED_VALUE"""),"Sherly")</f>
        <v>Sherly</v>
      </c>
      <c r="AF268" s="285" t="str">
        <f>IFERROR(__xludf.DUMMYFUNCTION("""COMPUTED_VALUE"""),"081292955939")</f>
        <v>081292955939</v>
      </c>
      <c r="AG268" s="285" t="str">
        <f>IFERROR(__xludf.DUMMYFUNCTION("""COMPUTED_VALUE"""),"Gagal")</f>
        <v>Gagal</v>
      </c>
      <c r="AH268" s="285" t="str">
        <f>IFERROR(__xludf.DUMMYFUNCTION("""COMPUTED_VALUE"""),"trip pulau bedil")</f>
        <v>trip pulau bedil</v>
      </c>
      <c r="AI268" s="287"/>
      <c r="AJ268" s="285">
        <f>IFERROR(__xludf.DUMMYFUNCTION("""COMPUTED_VALUE"""),2.0)</f>
        <v>2</v>
      </c>
      <c r="AK268" s="289">
        <f>IFERROR(__xludf.DUMMYFUNCTION("""COMPUTED_VALUE"""),3104400.0)</f>
        <v>3104400</v>
      </c>
      <c r="AL268" s="285" t="str">
        <f>IFERROR(__xludf.DUMMYFUNCTION("""COMPUTED_VALUE"""),"tidak jawab alasan batal")</f>
        <v>tidak jawab alasan batal</v>
      </c>
    </row>
    <row r="269">
      <c r="F269" s="285" t="str">
        <f>IFERROR(__xludf.DUMMYFUNCTION("""COMPUTED_VALUE"""),"2607D026")</f>
        <v>2607D026</v>
      </c>
      <c r="G269" s="286">
        <f>IFERROR(__xludf.DUMMYFUNCTION("""COMPUTED_VALUE"""),46206.0)</f>
        <v>46206</v>
      </c>
      <c r="H269" s="285" t="str">
        <f>IFERROR(__xludf.DUMMYFUNCTION("""COMPUTED_VALUE"""),"No Name Bunga")</f>
        <v>No Name Bunga</v>
      </c>
      <c r="I269" s="285" t="str">
        <f>IFERROR(__xludf.DUMMYFUNCTION("""COMPUTED_VALUE"""),"081280268827")</f>
        <v>081280268827</v>
      </c>
      <c r="J269" s="285" t="str">
        <f>IFERROR(__xludf.DUMMYFUNCTION("""COMPUTED_VALUE"""),"Leads Baru")</f>
        <v>Leads Baru</v>
      </c>
      <c r="K269" s="285" t="str">
        <f>IFERROR(__xludf.DUMMYFUNCTION("""COMPUTED_VALUE"""),"2H1M Opsi A")</f>
        <v>2H1M Opsi A</v>
      </c>
      <c r="L269" s="287">
        <f>IFERROR(__xludf.DUMMYFUNCTION("""COMPUTED_VALUE"""),46277.0)</f>
        <v>46277</v>
      </c>
      <c r="M269" s="288">
        <f>IFERROR(__xludf.DUMMYFUNCTION("""COMPUTED_VALUE"""),4.0)</f>
        <v>4</v>
      </c>
      <c r="N269" s="289"/>
      <c r="O269" s="290" t="str">
        <f>IFERROR(__xludf.DUMMYFUNCTION("""COMPUTED_VALUE"""),"FU 30 agustus")</f>
        <v>FU 30 agustus</v>
      </c>
      <c r="P269" s="320"/>
      <c r="R269" s="285"/>
      <c r="S269" s="285"/>
      <c r="T269" s="285"/>
      <c r="U269" s="285"/>
      <c r="V269" s="285"/>
      <c r="W269" s="285"/>
      <c r="X269" s="285"/>
      <c r="Y269" s="285"/>
      <c r="Z269" s="285"/>
      <c r="AA269" s="285"/>
      <c r="AC269" s="285" t="str">
        <f>IFERROR(__xludf.DUMMYFUNCTION("""COMPUTED_VALUE"""),"2603D002")</f>
        <v>2603D002</v>
      </c>
      <c r="AD269" s="286">
        <f>IFERROR(__xludf.DUMMYFUNCTION("""COMPUTED_VALUE"""),46082.0)</f>
        <v>46082</v>
      </c>
      <c r="AE269" s="285" t="str">
        <f>IFERROR(__xludf.DUMMYFUNCTION("""COMPUTED_VALUE"""),"Marita")</f>
        <v>Marita</v>
      </c>
      <c r="AF269" s="285" t="str">
        <f>IFERROR(__xludf.DUMMYFUNCTION("""COMPUTED_VALUE"""),"085945580825")</f>
        <v>085945580825</v>
      </c>
      <c r="AG269" s="285" t="str">
        <f>IFERROR(__xludf.DUMMYFUNCTION("""COMPUTED_VALUE"""),"Gagal")</f>
        <v>Gagal</v>
      </c>
      <c r="AH269" s="285"/>
      <c r="AI269" s="287"/>
      <c r="AJ269" s="285"/>
      <c r="AK269" s="289"/>
      <c r="AL269" s="285" t="str">
        <f>IFERROR(__xludf.DUMMYFUNCTION("""COMPUTED_VALUE"""),"hanya menyapa, tidak ada jawaban")</f>
        <v>hanya menyapa, tidak ada jawaban</v>
      </c>
    </row>
    <row r="270">
      <c r="F270" s="285" t="str">
        <f>IFERROR(__xludf.DUMMYFUNCTION("""COMPUTED_VALUE"""),"2607D027")</f>
        <v>2607D027</v>
      </c>
      <c r="G270" s="286">
        <f>IFERROR(__xludf.DUMMYFUNCTION("""COMPUTED_VALUE"""),46206.0)</f>
        <v>46206</v>
      </c>
      <c r="H270" s="285" t="str">
        <f>IFERROR(__xludf.DUMMYFUNCTION("""COMPUTED_VALUE"""),"Sophia Menny Arthami")</f>
        <v>Sophia Menny Arthami</v>
      </c>
      <c r="I270" s="285" t="str">
        <f>IFERROR(__xludf.DUMMYFUNCTION("""COMPUTED_VALUE"""),"085739024153")</f>
        <v>085739024153</v>
      </c>
      <c r="J270" s="285" t="str">
        <f>IFERROR(__xludf.DUMMYFUNCTION("""COMPUTED_VALUE"""),"Leads Baru")</f>
        <v>Leads Baru</v>
      </c>
      <c r="K270" s="285" t="str">
        <f>IFERROR(__xludf.DUMMYFUNCTION("""COMPUTED_VALUE"""),"trip Djabal")</f>
        <v>trip Djabal</v>
      </c>
      <c r="L270" s="287">
        <f>IFERROR(__xludf.DUMMYFUNCTION("""COMPUTED_VALUE"""),46255.0)</f>
        <v>46255</v>
      </c>
      <c r="M270" s="288">
        <f>IFERROR(__xludf.DUMMYFUNCTION("""COMPUTED_VALUE"""),3.0)</f>
        <v>3</v>
      </c>
      <c r="N270" s="289"/>
      <c r="O270" s="290" t="str">
        <f>IFERROR(__xludf.DUMMYFUNCTION("""COMPUTED_VALUE"""),"FU 5 Agustus")</f>
        <v>FU 5 Agustus</v>
      </c>
      <c r="P270" s="320"/>
      <c r="R270" s="285"/>
      <c r="S270" s="285"/>
      <c r="T270" s="285"/>
      <c r="U270" s="285"/>
      <c r="V270" s="285"/>
      <c r="W270" s="285"/>
      <c r="X270" s="285"/>
      <c r="Y270" s="285"/>
      <c r="Z270" s="285"/>
      <c r="AA270" s="285"/>
      <c r="AC270" s="285" t="str">
        <f>IFERROR(__xludf.DUMMYFUNCTION("""COMPUTED_VALUE"""),"2603D003")</f>
        <v>2603D003</v>
      </c>
      <c r="AD270" s="286">
        <f>IFERROR(__xludf.DUMMYFUNCTION("""COMPUTED_VALUE"""),46082.0)</f>
        <v>46082</v>
      </c>
      <c r="AE270" s="285" t="str">
        <f>IFERROR(__xludf.DUMMYFUNCTION("""COMPUTED_VALUE"""),"Wilda Nurrohma")</f>
        <v>Wilda Nurrohma</v>
      </c>
      <c r="AF270" s="285" t="str">
        <f>IFERROR(__xludf.DUMMYFUNCTION("""COMPUTED_VALUE"""),"082221225119")</f>
        <v>082221225119</v>
      </c>
      <c r="AG270" s="285" t="str">
        <f>IFERROR(__xludf.DUMMYFUNCTION("""COMPUTED_VALUE"""),"Gagal")</f>
        <v>Gagal</v>
      </c>
      <c r="AH270" s="285" t="str">
        <f>IFERROR(__xludf.DUMMYFUNCTION("""COMPUTED_VALUE"""),"trip kawah wurung baluran")</f>
        <v>trip kawah wurung baluran</v>
      </c>
      <c r="AI270" s="287">
        <f>IFERROR(__xludf.DUMMYFUNCTION("""COMPUTED_VALUE"""),46105.0)</f>
        <v>46105</v>
      </c>
      <c r="AJ270" s="285">
        <f>IFERROR(__xludf.DUMMYFUNCTION("""COMPUTED_VALUE"""),5.0)</f>
        <v>5</v>
      </c>
      <c r="AK270" s="289">
        <f>IFERROR(__xludf.DUMMYFUNCTION("""COMPUTED_VALUE"""),3139500.0)</f>
        <v>3139500</v>
      </c>
      <c r="AL270" s="285" t="str">
        <f>IFERROR(__xludf.DUMMYFUNCTION("""COMPUTED_VALUE"""),"belum jadi ke Banyuwangi")</f>
        <v>belum jadi ke Banyuwangi</v>
      </c>
    </row>
    <row r="271">
      <c r="F271" s="285" t="str">
        <f>IFERROR(__xludf.DUMMYFUNCTION("""COMPUTED_VALUE"""),"2607D028")</f>
        <v>2607D028</v>
      </c>
      <c r="G271" s="286">
        <f>IFERROR(__xludf.DUMMYFUNCTION("""COMPUTED_VALUE"""),46207.0)</f>
        <v>46207</v>
      </c>
      <c r="H271" s="285" t="str">
        <f>IFERROR(__xludf.DUMMYFUNCTION("""COMPUTED_VALUE"""),"Matayya ")</f>
        <v>Matayya </v>
      </c>
      <c r="I271" s="285" t="str">
        <f>IFERROR(__xludf.DUMMYFUNCTION("""COMPUTED_VALUE"""),"082211307435")</f>
        <v>082211307435</v>
      </c>
      <c r="J271" s="285" t="str">
        <f>IFERROR(__xludf.DUMMYFUNCTION("""COMPUTED_VALUE"""),"Leads Baru")</f>
        <v>Leads Baru</v>
      </c>
      <c r="K271" s="285" t="str">
        <f>IFERROR(__xludf.DUMMYFUNCTION("""COMPUTED_VALUE"""),"trip kawah wurung")</f>
        <v>trip kawah wurung</v>
      </c>
      <c r="L271" s="287"/>
      <c r="M271" s="288"/>
      <c r="N271" s="289"/>
      <c r="O271" s="290" t="str">
        <f>IFERROR(__xludf.DUMMYFUNCTION("""COMPUTED_VALUE"""),"masih tanya")</f>
        <v>masih tanya</v>
      </c>
      <c r="P271" s="320"/>
      <c r="R271" s="285"/>
      <c r="S271" s="285"/>
      <c r="T271" s="285"/>
      <c r="U271" s="285"/>
      <c r="V271" s="285"/>
      <c r="W271" s="285"/>
      <c r="X271" s="285"/>
      <c r="Y271" s="285"/>
      <c r="Z271" s="285"/>
      <c r="AA271" s="285"/>
      <c r="AC271" s="285" t="str">
        <f>IFERROR(__xludf.DUMMYFUNCTION("""COMPUTED_VALUE"""),"2603D004")</f>
        <v>2603D004</v>
      </c>
      <c r="AD271" s="286">
        <f>IFERROR(__xludf.DUMMYFUNCTION("""COMPUTED_VALUE"""),46054.0)</f>
        <v>46054</v>
      </c>
      <c r="AE271" s="285" t="str">
        <f>IFERROR(__xludf.DUMMYFUNCTION("""COMPUTED_VALUE"""),"febriani leni")</f>
        <v>febriani leni</v>
      </c>
      <c r="AF271" s="285" t="str">
        <f>IFERROR(__xludf.DUMMYFUNCTION("""COMPUTED_VALUE"""),"082284350841")</f>
        <v>082284350841</v>
      </c>
      <c r="AG271" s="285" t="str">
        <f>IFERROR(__xludf.DUMMYFUNCTION("""COMPUTED_VALUE"""),"Gagal")</f>
        <v>Gagal</v>
      </c>
      <c r="AH271" s="285" t="str">
        <f>IFERROR(__xludf.DUMMYFUNCTION("""COMPUTED_VALUE"""),"3H2M opsi B + ijen")</f>
        <v>3H2M opsi B + ijen</v>
      </c>
      <c r="AI271" s="287"/>
      <c r="AJ271" s="285">
        <f>IFERROR(__xludf.DUMMYFUNCTION("""COMPUTED_VALUE"""),3.0)</f>
        <v>3</v>
      </c>
      <c r="AK271" s="289">
        <f>IFERROR(__xludf.DUMMYFUNCTION("""COMPUTED_VALUE"""),4856400.0)</f>
        <v>4856400</v>
      </c>
      <c r="AL271" s="285" t="str">
        <f>IFERROR(__xludf.DUMMYFUNCTION("""COMPUTED_VALUE"""),"terkendala cutinyaaaa lur")</f>
        <v>terkendala cutinyaaaa lur</v>
      </c>
    </row>
    <row r="272">
      <c r="F272" s="285" t="str">
        <f>IFERROR(__xludf.DUMMYFUNCTION("""COMPUTED_VALUE"""),"2607D030")</f>
        <v>2607D030</v>
      </c>
      <c r="G272" s="286">
        <f>IFERROR(__xludf.DUMMYFUNCTION("""COMPUTED_VALUE"""),46207.0)</f>
        <v>46207</v>
      </c>
      <c r="H272" s="285" t="str">
        <f>IFERROR(__xludf.DUMMYFUNCTION("""COMPUTED_VALUE"""),"Anandita")</f>
        <v>Anandita</v>
      </c>
      <c r="I272" s="285" t="str">
        <f>IFERROR(__xludf.DUMMYFUNCTION("""COMPUTED_VALUE"""),"08211039227")</f>
        <v>08211039227</v>
      </c>
      <c r="J272" s="285" t="str">
        <f>IFERROR(__xludf.DUMMYFUNCTION("""COMPUTED_VALUE"""),"Leads Baru")</f>
        <v>Leads Baru</v>
      </c>
      <c r="K272" s="285"/>
      <c r="L272" s="287"/>
      <c r="M272" s="288"/>
      <c r="N272" s="289"/>
      <c r="O272" s="290"/>
      <c r="P272" s="320"/>
      <c r="R272" s="285"/>
      <c r="S272" s="285"/>
      <c r="T272" s="285"/>
      <c r="U272" s="285"/>
      <c r="V272" s="285"/>
      <c r="W272" s="285"/>
      <c r="X272" s="285"/>
      <c r="Y272" s="285"/>
      <c r="Z272" s="285"/>
      <c r="AA272" s="285"/>
      <c r="AC272" s="285" t="str">
        <f>IFERROR(__xludf.DUMMYFUNCTION("""COMPUTED_VALUE"""),"2603D005")</f>
        <v>2603D005</v>
      </c>
      <c r="AD272" s="286">
        <f>IFERROR(__xludf.DUMMYFUNCTION("""COMPUTED_VALUE"""),46082.0)</f>
        <v>46082</v>
      </c>
      <c r="AE272" s="285" t="str">
        <f>IFERROR(__xludf.DUMMYFUNCTION("""COMPUTED_VALUE"""),"Riskajul")</f>
        <v>Riskajul</v>
      </c>
      <c r="AF272" s="285" t="str">
        <f>IFERROR(__xludf.DUMMYFUNCTION("""COMPUTED_VALUE"""),"085229037726")</f>
        <v>085229037726</v>
      </c>
      <c r="AG272" s="285" t="str">
        <f>IFERROR(__xludf.DUMMYFUNCTION("""COMPUTED_VALUE"""),"Gagal")</f>
        <v>Gagal</v>
      </c>
      <c r="AH272" s="285"/>
      <c r="AI272" s="287"/>
      <c r="AJ272" s="285"/>
      <c r="AK272" s="289"/>
      <c r="AL272" s="285" t="str">
        <f>IFERROR(__xludf.DUMMYFUNCTION("""COMPUTED_VALUE"""),"tidak bisa jetski")</f>
        <v>tidak bisa jetski</v>
      </c>
    </row>
    <row r="273">
      <c r="F273" s="285" t="str">
        <f>IFERROR(__xludf.DUMMYFUNCTION("""COMPUTED_VALUE"""),"2607D031")</f>
        <v>2607D031</v>
      </c>
      <c r="G273" s="286">
        <f>IFERROR(__xludf.DUMMYFUNCTION("""COMPUTED_VALUE"""),46207.0)</f>
        <v>46207</v>
      </c>
      <c r="H273" s="285" t="str">
        <f>IFERROR(__xludf.DUMMYFUNCTION("""COMPUTED_VALUE"""),"Fio")</f>
        <v>Fio</v>
      </c>
      <c r="I273" s="285" t="str">
        <f>IFERROR(__xludf.DUMMYFUNCTION("""COMPUTED_VALUE"""),"081233853482")</f>
        <v>081233853482</v>
      </c>
      <c r="J273" s="285" t="str">
        <f>IFERROR(__xludf.DUMMYFUNCTION("""COMPUTED_VALUE"""),"Leads Baru")</f>
        <v>Leads Baru</v>
      </c>
      <c r="K273" s="285" t="str">
        <f>IFERROR(__xludf.DUMMYFUNCTION("""COMPUTED_VALUE"""),"OT kawah ijen, MT")</f>
        <v>OT kawah ijen, MT</v>
      </c>
      <c r="L273" s="287"/>
      <c r="M273" s="288"/>
      <c r="N273" s="289"/>
      <c r="O273" s="290" t="str">
        <f>IFERROR(__xludf.DUMMYFUNCTION("""COMPUTED_VALUE"""),"masih tanya, B2B")</f>
        <v>masih tanya, B2B</v>
      </c>
      <c r="P273" s="320"/>
      <c r="R273" s="285"/>
      <c r="S273" s="285"/>
      <c r="T273" s="285"/>
      <c r="U273" s="285"/>
      <c r="V273" s="285"/>
      <c r="W273" s="285"/>
      <c r="X273" s="285"/>
      <c r="Y273" s="285"/>
      <c r="Z273" s="285"/>
      <c r="AA273" s="285"/>
      <c r="AC273" s="285" t="str">
        <f>IFERROR(__xludf.DUMMYFUNCTION("""COMPUTED_VALUE"""),"2603D006")</f>
        <v>2603D006</v>
      </c>
      <c r="AD273" s="286">
        <f>IFERROR(__xludf.DUMMYFUNCTION("""COMPUTED_VALUE"""),46083.0)</f>
        <v>46083</v>
      </c>
      <c r="AE273" s="285" t="str">
        <f>IFERROR(__xludf.DUMMYFUNCTION("""COMPUTED_VALUE"""),"Arief Amrullah")</f>
        <v>Arief Amrullah</v>
      </c>
      <c r="AF273" s="285" t="str">
        <f>IFERROR(__xludf.DUMMYFUNCTION("""COMPUTED_VALUE"""),"08121881397")</f>
        <v>08121881397</v>
      </c>
      <c r="AG273" s="285" t="str">
        <f>IFERROR(__xludf.DUMMYFUNCTION("""COMPUTED_VALUE"""),"Gagal")</f>
        <v>Gagal</v>
      </c>
      <c r="AH273" s="285" t="str">
        <f>IFERROR(__xludf.DUMMYFUNCTION("""COMPUTED_VALUE"""),"2H1M / 3H2M")</f>
        <v>2H1M / 3H2M</v>
      </c>
      <c r="AI273" s="287">
        <f>IFERROR(__xludf.DUMMYFUNCTION("""COMPUTED_VALUE"""),46104.0)</f>
        <v>46104</v>
      </c>
      <c r="AJ273" s="285">
        <f>IFERROR(__xludf.DUMMYFUNCTION("""COMPUTED_VALUE"""),4.0)</f>
        <v>4</v>
      </c>
      <c r="AK273" s="289">
        <f>IFERROR(__xludf.DUMMYFUNCTION("""COMPUTED_VALUE"""),6708000.0)</f>
        <v>6708000</v>
      </c>
      <c r="AL273" s="285" t="str">
        <f>IFERROR(__xludf.DUMMYFUNCTION("""COMPUTED_VALUE"""),"sdh fu, tidak ada jawaban, gagal lewat tanggal")</f>
        <v>sdh fu, tidak ada jawaban, gagal lewat tanggal</v>
      </c>
    </row>
    <row r="274">
      <c r="F274" s="285" t="str">
        <f>IFERROR(__xludf.DUMMYFUNCTION("""COMPUTED_VALUE"""),"2607D032")</f>
        <v>2607D032</v>
      </c>
      <c r="G274" s="286">
        <f>IFERROR(__xludf.DUMMYFUNCTION("""COMPUTED_VALUE"""),46207.0)</f>
        <v>46207</v>
      </c>
      <c r="H274" s="285" t="str">
        <f>IFERROR(__xludf.DUMMYFUNCTION("""COMPUTED_VALUE"""),"Princessa Chen")</f>
        <v>Princessa Chen</v>
      </c>
      <c r="I274" s="285" t="str">
        <f>IFERROR(__xludf.DUMMYFUNCTION("""COMPUTED_VALUE"""),"081617796318")</f>
        <v>081617796318</v>
      </c>
      <c r="J274" s="285" t="str">
        <f>IFERROR(__xludf.DUMMYFUNCTION("""COMPUTED_VALUE"""),"Leads Baru")</f>
        <v>Leads Baru</v>
      </c>
      <c r="K274" s="285" t="str">
        <f>IFERROR(__xludf.DUMMYFUNCTION("""COMPUTED_VALUE"""),"OT 3H2M ")</f>
        <v>OT 3H2M </v>
      </c>
      <c r="L274" s="287"/>
      <c r="M274" s="288"/>
      <c r="N274" s="289"/>
      <c r="O274" s="290" t="str">
        <f>IFERROR(__xludf.DUMMYFUNCTION("""COMPUTED_VALUE"""),"tanya turun terminal dimana, FU 8 Juli")</f>
        <v>tanya turun terminal dimana, FU 8 Juli</v>
      </c>
      <c r="P274" s="320"/>
      <c r="R274" s="285"/>
      <c r="S274" s="285"/>
      <c r="T274" s="285"/>
      <c r="U274" s="285"/>
      <c r="V274" s="285"/>
      <c r="W274" s="285"/>
      <c r="X274" s="285"/>
      <c r="Y274" s="285"/>
      <c r="Z274" s="285"/>
      <c r="AA274" s="285"/>
      <c r="AC274" s="285" t="str">
        <f>IFERROR(__xludf.DUMMYFUNCTION("""COMPUTED_VALUE"""),"2603D007")</f>
        <v>2603D007</v>
      </c>
      <c r="AD274" s="286">
        <f>IFERROR(__xludf.DUMMYFUNCTION("""COMPUTED_VALUE"""),46083.0)</f>
        <v>46083</v>
      </c>
      <c r="AE274" s="285" t="str">
        <f>IFERROR(__xludf.DUMMYFUNCTION("""COMPUTED_VALUE"""),"karen")</f>
        <v>karen</v>
      </c>
      <c r="AF274" s="285" t="str">
        <f>IFERROR(__xludf.DUMMYFUNCTION("""COMPUTED_VALUE"""),"082297460743")</f>
        <v>082297460743</v>
      </c>
      <c r="AG274" s="285" t="str">
        <f>IFERROR(__xludf.DUMMYFUNCTION("""COMPUTED_VALUE"""),"Gagal")</f>
        <v>Gagal</v>
      </c>
      <c r="AH274" s="285" t="str">
        <f>IFERROR(__xludf.DUMMYFUNCTION("""COMPUTED_VALUE"""),"1 day trip djawatan baluran")</f>
        <v>1 day trip djawatan baluran</v>
      </c>
      <c r="AI274" s="287">
        <f>IFERROR(__xludf.DUMMYFUNCTION("""COMPUTED_VALUE"""),46106.0)</f>
        <v>46106</v>
      </c>
      <c r="AJ274" s="285">
        <f>IFERROR(__xludf.DUMMYFUNCTION("""COMPUTED_VALUE"""),6.0)</f>
        <v>6</v>
      </c>
      <c r="AK274" s="289">
        <f>IFERROR(__xludf.DUMMYFUNCTION("""COMPUTED_VALUE"""),4290000.0)</f>
        <v>4290000</v>
      </c>
      <c r="AL274" s="285" t="str">
        <f>IFERROR(__xludf.DUMMYFUNCTION("""COMPUTED_VALUE"""),"tidak ada jawaban, sdh fu 5 kali")</f>
        <v>tidak ada jawaban, sdh fu 5 kali</v>
      </c>
    </row>
    <row r="275">
      <c r="F275" s="285" t="str">
        <f>IFERROR(__xludf.DUMMYFUNCTION("""COMPUTED_VALUE"""),"2607D033")</f>
        <v>2607D033</v>
      </c>
      <c r="G275" s="286">
        <f>IFERROR(__xludf.DUMMYFUNCTION("""COMPUTED_VALUE"""),46207.0)</f>
        <v>46207</v>
      </c>
      <c r="H275" s="285" t="str">
        <f>IFERROR(__xludf.DUMMYFUNCTION("""COMPUTED_VALUE"""),"Husnan Yusuf")</f>
        <v>Husnan Yusuf</v>
      </c>
      <c r="I275" s="285" t="str">
        <f>IFERROR(__xludf.DUMMYFUNCTION("""COMPUTED_VALUE"""),"085747438654")</f>
        <v>085747438654</v>
      </c>
      <c r="J275" s="285" t="str">
        <f>IFERROR(__xludf.DUMMYFUNCTION("""COMPUTED_VALUE"""),"Leads Baru")</f>
        <v>Leads Baru</v>
      </c>
      <c r="K275" s="285" t="str">
        <f>IFERROR(__xludf.DUMMYFUNCTION("""COMPUTED_VALUE"""),"3H2M opsi A")</f>
        <v>3H2M opsi A</v>
      </c>
      <c r="L275" s="287"/>
      <c r="M275" s="288"/>
      <c r="N275" s="289"/>
      <c r="O275" s="290" t="str">
        <f>IFERROR(__xludf.DUMMYFUNCTION("""COMPUTED_VALUE"""),"FU 9Juli")</f>
        <v>FU 9Juli</v>
      </c>
      <c r="P275" s="320"/>
      <c r="R275" s="285"/>
      <c r="S275" s="285"/>
      <c r="T275" s="285"/>
      <c r="U275" s="285"/>
      <c r="V275" s="285"/>
      <c r="W275" s="285"/>
      <c r="X275" s="285"/>
      <c r="Y275" s="285"/>
      <c r="Z275" s="285"/>
      <c r="AA275" s="285"/>
      <c r="AC275" s="285" t="str">
        <f>IFERROR(__xludf.DUMMYFUNCTION("""COMPUTED_VALUE"""),"2603D008")</f>
        <v>2603D008</v>
      </c>
      <c r="AD275" s="286">
        <f>IFERROR(__xludf.DUMMYFUNCTION("""COMPUTED_VALUE"""),46083.0)</f>
        <v>46083</v>
      </c>
      <c r="AE275" s="285" t="str">
        <f>IFERROR(__xludf.DUMMYFUNCTION("""COMPUTED_VALUE"""),"irul")</f>
        <v>irul</v>
      </c>
      <c r="AF275" s="285" t="str">
        <f>IFERROR(__xludf.DUMMYFUNCTION("""COMPUTED_VALUE"""),"08979151870")</f>
        <v>08979151870</v>
      </c>
      <c r="AG275" s="285" t="str">
        <f>IFERROR(__xludf.DUMMYFUNCTION("""COMPUTED_VALUE"""),"Gagal")</f>
        <v>Gagal</v>
      </c>
      <c r="AH275" s="285"/>
      <c r="AI275" s="287"/>
      <c r="AJ275" s="285">
        <f>IFERROR(__xludf.DUMMYFUNCTION("""COMPUTED_VALUE"""),2.0)</f>
        <v>2</v>
      </c>
      <c r="AK275" s="289"/>
      <c r="AL275" s="285" t="str">
        <f>IFERROR(__xludf.DUMMYFUNCTION("""COMPUTED_VALUE"""),"FU 4 kali tidak balas")</f>
        <v>FU 4 kali tidak balas</v>
      </c>
    </row>
    <row r="276">
      <c r="F276" s="285" t="str">
        <f>IFERROR(__xludf.DUMMYFUNCTION("""COMPUTED_VALUE"""),"2607D034")</f>
        <v>2607D034</v>
      </c>
      <c r="G276" s="286">
        <f>IFERROR(__xludf.DUMMYFUNCTION("""COMPUTED_VALUE"""),46207.0)</f>
        <v>46207</v>
      </c>
      <c r="H276" s="285" t="str">
        <f>IFERROR(__xludf.DUMMYFUNCTION("""COMPUTED_VALUE"""),"Risya")</f>
        <v>Risya</v>
      </c>
      <c r="I276" s="285" t="str">
        <f>IFERROR(__xludf.DUMMYFUNCTION("""COMPUTED_VALUE"""),"081292980140")</f>
        <v>081292980140</v>
      </c>
      <c r="J276" s="285" t="str">
        <f>IFERROR(__xludf.DUMMYFUNCTION("""COMPUTED_VALUE"""),"Leads Baru")</f>
        <v>Leads Baru</v>
      </c>
      <c r="K276" s="285" t="str">
        <f>IFERROR(__xludf.DUMMYFUNCTION("""COMPUTED_VALUE"""),"OT Djabal")</f>
        <v>OT Djabal</v>
      </c>
      <c r="L276" s="287"/>
      <c r="M276" s="288"/>
      <c r="N276" s="289"/>
      <c r="O276" s="290" t="str">
        <f>IFERROR(__xludf.DUMMYFUNCTION("""COMPUTED_VALUE"""),"baru menyapa, FU 9 juli")</f>
        <v>baru menyapa, FU 9 juli</v>
      </c>
      <c r="P276" s="320"/>
      <c r="R276" s="285"/>
      <c r="S276" s="285"/>
      <c r="T276" s="285"/>
      <c r="U276" s="285"/>
      <c r="V276" s="285"/>
      <c r="W276" s="285"/>
      <c r="X276" s="285"/>
      <c r="Y276" s="285"/>
      <c r="Z276" s="285"/>
      <c r="AA276" s="285"/>
      <c r="AC276" s="285" t="str">
        <f>IFERROR(__xludf.DUMMYFUNCTION("""COMPUTED_VALUE"""),"2603D010")</f>
        <v>2603D010</v>
      </c>
      <c r="AD276" s="286">
        <f>IFERROR(__xludf.DUMMYFUNCTION("""COMPUTED_VALUE"""),46083.0)</f>
        <v>46083</v>
      </c>
      <c r="AE276" s="285" t="str">
        <f>IFERROR(__xludf.DUMMYFUNCTION("""COMPUTED_VALUE"""),"Bobi")</f>
        <v>Bobi</v>
      </c>
      <c r="AF276" s="285" t="str">
        <f>IFERROR(__xludf.DUMMYFUNCTION("""COMPUTED_VALUE"""),"081383336043")</f>
        <v>081383336043</v>
      </c>
      <c r="AG276" s="285" t="str">
        <f>IFERROR(__xludf.DUMMYFUNCTION("""COMPUTED_VALUE"""),"Gagal")</f>
        <v>Gagal</v>
      </c>
      <c r="AH276" s="285" t="str">
        <f>IFERROR(__xludf.DUMMYFUNCTION("""COMPUTED_VALUE"""),"custom 3D2N")</f>
        <v>custom 3D2N</v>
      </c>
      <c r="AI276" s="287"/>
      <c r="AJ276" s="285">
        <f>IFERROR(__xludf.DUMMYFUNCTION("""COMPUTED_VALUE"""),7.0)</f>
        <v>7</v>
      </c>
      <c r="AK276" s="289">
        <f>IFERROR(__xludf.DUMMYFUNCTION("""COMPUTED_VALUE"""),1.421E7)</f>
        <v>14210000</v>
      </c>
      <c r="AL276" s="285" t="str">
        <f>IFERROR(__xludf.DUMMYFUNCTION("""COMPUTED_VALUE"""),"GAGALL")</f>
        <v>GAGALL</v>
      </c>
    </row>
    <row r="277">
      <c r="F277" s="285" t="str">
        <f>IFERROR(__xludf.DUMMYFUNCTION("""COMPUTED_VALUE"""),"2607D035")</f>
        <v>2607D035</v>
      </c>
      <c r="G277" s="286">
        <f>IFERROR(__xludf.DUMMYFUNCTION("""COMPUTED_VALUE"""),46207.0)</f>
        <v>46207</v>
      </c>
      <c r="H277" s="285" t="str">
        <f>IFERROR(__xludf.DUMMYFUNCTION("""COMPUTED_VALUE"""),"Saffa ")</f>
        <v>Saffa </v>
      </c>
      <c r="I277" s="285" t="str">
        <f>IFERROR(__xludf.DUMMYFUNCTION("""COMPUTED_VALUE"""),"0895634515300")</f>
        <v>0895634515300</v>
      </c>
      <c r="J277" s="285" t="str">
        <f>IFERROR(__xludf.DUMMYFUNCTION("""COMPUTED_VALUE"""),"Leads Baru")</f>
        <v>Leads Baru</v>
      </c>
      <c r="K277" s="285" t="str">
        <f>IFERROR(__xludf.DUMMYFUNCTION("""COMPUTED_VALUE"""),"3h2m opsi A")</f>
        <v>3h2m opsi A</v>
      </c>
      <c r="L277" s="287"/>
      <c r="M277" s="288">
        <f>IFERROR(__xludf.DUMMYFUNCTION("""COMPUTED_VALUE"""),5.0)</f>
        <v>5</v>
      </c>
      <c r="N277" s="289"/>
      <c r="O277" s="290" t="str">
        <f>IFERROR(__xludf.DUMMYFUNCTION("""COMPUTED_VALUE"""),"FU 8 Juli")</f>
        <v>FU 8 Juli</v>
      </c>
      <c r="P277" s="320"/>
      <c r="R277" s="285"/>
      <c r="S277" s="285"/>
      <c r="T277" s="285"/>
      <c r="U277" s="285"/>
      <c r="V277" s="285"/>
      <c r="W277" s="285"/>
      <c r="X277" s="285"/>
      <c r="Y277" s="285"/>
      <c r="Z277" s="285"/>
      <c r="AA277" s="285"/>
      <c r="AC277" s="285" t="str">
        <f>IFERROR(__xludf.DUMMYFUNCTION("""COMPUTED_VALUE"""),"2603D011")</f>
        <v>2603D011</v>
      </c>
      <c r="AD277" s="286">
        <f>IFERROR(__xludf.DUMMYFUNCTION("""COMPUTED_VALUE"""),46083.0)</f>
        <v>46083</v>
      </c>
      <c r="AE277" s="285" t="str">
        <f>IFERROR(__xludf.DUMMYFUNCTION("""COMPUTED_VALUE"""),"idairiani")</f>
        <v>idairiani</v>
      </c>
      <c r="AF277" s="285" t="str">
        <f>IFERROR(__xludf.DUMMYFUNCTION("""COMPUTED_VALUE"""),"081998288104")</f>
        <v>081998288104</v>
      </c>
      <c r="AG277" s="285" t="str">
        <f>IFERROR(__xludf.DUMMYFUNCTION("""COMPUTED_VALUE"""),"Gagal")</f>
        <v>Gagal</v>
      </c>
      <c r="AH277" s="285" t="str">
        <f>IFERROR(__xludf.DUMMYFUNCTION("""COMPUTED_VALUE"""),"OT")</f>
        <v>OT</v>
      </c>
      <c r="AI277" s="287">
        <f>IFERROR(__xludf.DUMMYFUNCTION("""COMPUTED_VALUE"""),46106.0)</f>
        <v>46106</v>
      </c>
      <c r="AJ277" s="285">
        <f>IFERROR(__xludf.DUMMYFUNCTION("""COMPUTED_VALUE"""),2.0)</f>
        <v>2</v>
      </c>
      <c r="AK277" s="289"/>
      <c r="AL277" s="285" t="str">
        <f>IFERROR(__xludf.DUMMYFUNCTION("""COMPUTED_VALUE"""),"jadinya ke kerinci")</f>
        <v>jadinya ke kerinci</v>
      </c>
    </row>
    <row r="278">
      <c r="F278" s="285" t="str">
        <f>IFERROR(__xludf.DUMMYFUNCTION("""COMPUTED_VALUE"""),"2607D036")</f>
        <v>2607D036</v>
      </c>
      <c r="G278" s="286">
        <f>IFERROR(__xludf.DUMMYFUNCTION("""COMPUTED_VALUE"""),46207.0)</f>
        <v>46207</v>
      </c>
      <c r="H278" s="285" t="str">
        <f>IFERROR(__xludf.DUMMYFUNCTION("""COMPUTED_VALUE"""),"Sindoro medika")</f>
        <v>Sindoro medika</v>
      </c>
      <c r="I278" s="285" t="str">
        <f>IFERROR(__xludf.DUMMYFUNCTION("""COMPUTED_VALUE"""),"081226873998")</f>
        <v>081226873998</v>
      </c>
      <c r="J278" s="285" t="str">
        <f>IFERROR(__xludf.DUMMYFUNCTION("""COMPUTED_VALUE"""),"Leads Baru")</f>
        <v>Leads Baru</v>
      </c>
      <c r="K278" s="285" t="str">
        <f>IFERROR(__xludf.DUMMYFUNCTION("""COMPUTED_VALUE"""),"paket diving")</f>
        <v>paket diving</v>
      </c>
      <c r="L278" s="287"/>
      <c r="M278" s="288"/>
      <c r="N278" s="289"/>
      <c r="O278" s="290"/>
      <c r="P278" s="320"/>
      <c r="R278" s="285"/>
      <c r="S278" s="285"/>
      <c r="T278" s="285"/>
      <c r="U278" s="285"/>
      <c r="V278" s="285"/>
      <c r="W278" s="285"/>
      <c r="X278" s="285"/>
      <c r="Y278" s="285"/>
      <c r="Z278" s="285"/>
      <c r="AA278" s="285"/>
      <c r="AC278" s="285" t="str">
        <f>IFERROR(__xludf.DUMMYFUNCTION("""COMPUTED_VALUE"""),"2603D012")</f>
        <v>2603D012</v>
      </c>
      <c r="AD278" s="286">
        <f>IFERROR(__xludf.DUMMYFUNCTION("""COMPUTED_VALUE"""),46083.0)</f>
        <v>46083</v>
      </c>
      <c r="AE278" s="285" t="str">
        <f>IFERROR(__xludf.DUMMYFUNCTION("""COMPUTED_VALUE"""),"Itta")</f>
        <v>Itta</v>
      </c>
      <c r="AF278" s="285" t="str">
        <f>IFERROR(__xludf.DUMMYFUNCTION("""COMPUTED_VALUE"""),"081342989977")</f>
        <v>081342989977</v>
      </c>
      <c r="AG278" s="285" t="str">
        <f>IFERROR(__xludf.DUMMYFUNCTION("""COMPUTED_VALUE"""),"Gagal")</f>
        <v>Gagal</v>
      </c>
      <c r="AH278" s="285" t="str">
        <f>IFERROR(__xludf.DUMMYFUNCTION("""COMPUTED_VALUE"""),"3D2M opsi B")</f>
        <v>3D2M opsi B</v>
      </c>
      <c r="AI278" s="287"/>
      <c r="AJ278" s="285">
        <f>IFERROR(__xludf.DUMMYFUNCTION("""COMPUTED_VALUE"""),6.0)</f>
        <v>6</v>
      </c>
      <c r="AK278" s="289">
        <f>IFERROR(__xludf.DUMMYFUNCTION("""COMPUTED_VALUE"""),9898200.0)</f>
        <v>9898200</v>
      </c>
      <c r="AL278" s="285" t="str">
        <f>IFERROR(__xludf.DUMMYFUNCTION("""COMPUTED_VALUE"""),"waktunya mepet, karna harus balik tgl 24 ke semarang")</f>
        <v>waktunya mepet, karna harus balik tgl 24 ke semarang</v>
      </c>
    </row>
    <row r="279">
      <c r="F279" s="285" t="str">
        <f>IFERROR(__xludf.DUMMYFUNCTION("""COMPUTED_VALUE"""),"2607D037")</f>
        <v>2607D037</v>
      </c>
      <c r="G279" s="286">
        <f>IFERROR(__xludf.DUMMYFUNCTION("""COMPUTED_VALUE"""),46208.0)</f>
        <v>46208</v>
      </c>
      <c r="H279" s="285" t="str">
        <f>IFERROR(__xludf.DUMMYFUNCTION("""COMPUTED_VALUE"""),"Yuni Amaya Salon")</f>
        <v>Yuni Amaya Salon</v>
      </c>
      <c r="I279" s="285" t="str">
        <f>IFERROR(__xludf.DUMMYFUNCTION("""COMPUTED_VALUE"""),"085147632080")</f>
        <v>085147632080</v>
      </c>
      <c r="J279" s="285" t="str">
        <f>IFERROR(__xludf.DUMMYFUNCTION("""COMPUTED_VALUE"""),"Leads Baru")</f>
        <v>Leads Baru</v>
      </c>
      <c r="K279" s="285" t="str">
        <f>IFERROR(__xludf.DUMMYFUNCTION("""COMPUTED_VALUE"""),"3H2M opsi A")</f>
        <v>3H2M opsi A</v>
      </c>
      <c r="L279" s="287">
        <f>IFERROR(__xludf.DUMMYFUNCTION("""COMPUTED_VALUE"""),46236.0)</f>
        <v>46236</v>
      </c>
      <c r="M279" s="288"/>
      <c r="N279" s="289"/>
      <c r="O279" s="290" t="str">
        <f>IFERROR(__xludf.DUMMYFUNCTION("""COMPUTED_VALUE"""),"FU 31 Juli")</f>
        <v>FU 31 Juli</v>
      </c>
      <c r="P279" s="320"/>
      <c r="R279" s="285"/>
      <c r="S279" s="285"/>
      <c r="T279" s="285"/>
      <c r="U279" s="285"/>
      <c r="V279" s="285"/>
      <c r="W279" s="285"/>
      <c r="X279" s="285"/>
      <c r="Y279" s="285"/>
      <c r="Z279" s="285"/>
      <c r="AA279" s="285"/>
      <c r="AC279" s="285" t="str">
        <f>IFERROR(__xludf.DUMMYFUNCTION("""COMPUTED_VALUE"""),"2603D013")</f>
        <v>2603D013</v>
      </c>
      <c r="AD279" s="286">
        <f>IFERROR(__xludf.DUMMYFUNCTION("""COMPUTED_VALUE"""),46084.0)</f>
        <v>46084</v>
      </c>
      <c r="AE279" s="285" t="str">
        <f>IFERROR(__xludf.DUMMYFUNCTION("""COMPUTED_VALUE"""),"Hilda")</f>
        <v>Hilda</v>
      </c>
      <c r="AF279" s="285" t="str">
        <f>IFERROR(__xludf.DUMMYFUNCTION("""COMPUTED_VALUE"""),"085692636940")</f>
        <v>085692636940</v>
      </c>
      <c r="AG279" s="285" t="str">
        <f>IFERROR(__xludf.DUMMYFUNCTION("""COMPUTED_VALUE"""),"Gagal")</f>
        <v>Gagal</v>
      </c>
      <c r="AH279" s="285" t="str">
        <f>IFERROR(__xludf.DUMMYFUNCTION("""COMPUTED_VALUE"""),"2H1M")</f>
        <v>2H1M</v>
      </c>
      <c r="AI279" s="287"/>
      <c r="AJ279" s="285">
        <f>IFERROR(__xludf.DUMMYFUNCTION("""COMPUTED_VALUE"""),5.0)</f>
        <v>5</v>
      </c>
      <c r="AK279" s="289">
        <f>IFERROR(__xludf.DUMMYFUNCTION("""COMPUTED_VALUE"""),8346000.0)</f>
        <v>8346000</v>
      </c>
      <c r="AL279" s="285" t="str">
        <f>IFERROR(__xludf.DUMMYFUNCTION("""COMPUTED_VALUE"""),"ga jadi ke Banyuwangi")</f>
        <v>ga jadi ke Banyuwangi</v>
      </c>
    </row>
    <row r="280">
      <c r="F280" s="285" t="str">
        <f>IFERROR(__xludf.DUMMYFUNCTION("""COMPUTED_VALUE"""),"2607D040")</f>
        <v>2607D040</v>
      </c>
      <c r="G280" s="286">
        <f>IFERROR(__xludf.DUMMYFUNCTION("""COMPUTED_VALUE"""),46209.0)</f>
        <v>46209</v>
      </c>
      <c r="H280" s="285" t="str">
        <f>IFERROR(__xludf.DUMMYFUNCTION("""COMPUTED_VALUE"""),"Mosaz")</f>
        <v>Mosaz</v>
      </c>
      <c r="I280" s="285" t="str">
        <f>IFERROR(__xludf.DUMMYFUNCTION("""COMPUTED_VALUE"""),"08113147100")</f>
        <v>08113147100</v>
      </c>
      <c r="J280" s="285" t="str">
        <f>IFERROR(__xludf.DUMMYFUNCTION("""COMPUTED_VALUE"""),"Leads Baru")</f>
        <v>Leads Baru</v>
      </c>
      <c r="K280" s="285" t="str">
        <f>IFERROR(__xludf.DUMMYFUNCTION("""COMPUTED_VALUE"""),"2H1M")</f>
        <v>2H1M</v>
      </c>
      <c r="L280" s="287"/>
      <c r="M280" s="288">
        <f>IFERROR(__xludf.DUMMYFUNCTION("""COMPUTED_VALUE"""),3.0)</f>
        <v>3</v>
      </c>
      <c r="N280" s="289"/>
      <c r="O280" s="290" t="str">
        <f>IFERROR(__xludf.DUMMYFUNCTION("""COMPUTED_VALUE"""),"FU 30 Juli")</f>
        <v>FU 30 Juli</v>
      </c>
      <c r="P280" s="320"/>
      <c r="R280" s="285"/>
      <c r="S280" s="285"/>
      <c r="T280" s="285"/>
      <c r="U280" s="285"/>
      <c r="V280" s="285"/>
      <c r="W280" s="285"/>
      <c r="X280" s="285"/>
      <c r="Y280" s="285"/>
      <c r="Z280" s="285"/>
      <c r="AA280" s="285"/>
      <c r="AC280" s="285" t="str">
        <f>IFERROR(__xludf.DUMMYFUNCTION("""COMPUTED_VALUE"""),"2603D014")</f>
        <v>2603D014</v>
      </c>
      <c r="AD280" s="286">
        <f>IFERROR(__xludf.DUMMYFUNCTION("""COMPUTED_VALUE"""),46084.0)</f>
        <v>46084</v>
      </c>
      <c r="AE280" s="285" t="str">
        <f>IFERROR(__xludf.DUMMYFUNCTION("""COMPUTED_VALUE"""),"Tanti")</f>
        <v>Tanti</v>
      </c>
      <c r="AF280" s="285" t="str">
        <f>IFERROR(__xludf.DUMMYFUNCTION("""COMPUTED_VALUE"""),"081377024301")</f>
        <v>081377024301</v>
      </c>
      <c r="AG280" s="285" t="str">
        <f>IFERROR(__xludf.DUMMYFUNCTION("""COMPUTED_VALUE"""),"Gagal")</f>
        <v>Gagal</v>
      </c>
      <c r="AH280" s="285"/>
      <c r="AI280" s="287"/>
      <c r="AJ280" s="285"/>
      <c r="AK280" s="289"/>
      <c r="AL280" s="285" t="str">
        <f>IFERROR(__xludf.DUMMYFUNCTION("""COMPUTED_VALUE"""),"Menyapa saja, tidak ada jawaban")</f>
        <v>Menyapa saja, tidak ada jawaban</v>
      </c>
    </row>
    <row r="281">
      <c r="F281" s="285" t="str">
        <f>IFERROR(__xludf.DUMMYFUNCTION("""COMPUTED_VALUE"""),"2607D042")</f>
        <v>2607D042</v>
      </c>
      <c r="G281" s="286">
        <f>IFERROR(__xludf.DUMMYFUNCTION("""COMPUTED_VALUE"""),46210.0)</f>
        <v>46210</v>
      </c>
      <c r="H281" s="285" t="str">
        <f>IFERROR(__xludf.DUMMYFUNCTION("""COMPUTED_VALUE"""),"Quin")</f>
        <v>Quin</v>
      </c>
      <c r="I281" s="285" t="str">
        <f>IFERROR(__xludf.DUMMYFUNCTION("""COMPUTED_VALUE"""),"081567666594")</f>
        <v>081567666594</v>
      </c>
      <c r="J281" s="285" t="str">
        <f>IFERROR(__xludf.DUMMYFUNCTION("""COMPUTED_VALUE"""),"Leads Baru")</f>
        <v>Leads Baru</v>
      </c>
      <c r="K281" s="285" t="str">
        <f>IFERROR(__xludf.DUMMYFUNCTION("""COMPUTED_VALUE"""),"OT MT")</f>
        <v>OT MT</v>
      </c>
      <c r="L281" s="287"/>
      <c r="M281" s="288"/>
      <c r="N281" s="289"/>
      <c r="O281" s="290" t="str">
        <f>IFERROR(__xludf.DUMMYFUNCTION("""COMPUTED_VALUE"""),"fullbookedd")</f>
        <v>fullbookedd</v>
      </c>
      <c r="P281" s="320"/>
      <c r="R281" s="285"/>
      <c r="S281" s="285"/>
      <c r="T281" s="285"/>
      <c r="U281" s="285"/>
      <c r="V281" s="285"/>
      <c r="W281" s="285"/>
      <c r="X281" s="285"/>
      <c r="Y281" s="285"/>
      <c r="Z281" s="285"/>
      <c r="AA281" s="285"/>
      <c r="AC281" s="285" t="str">
        <f>IFERROR(__xludf.DUMMYFUNCTION("""COMPUTED_VALUE"""),"2603D015")</f>
        <v>2603D015</v>
      </c>
      <c r="AD281" s="286">
        <f>IFERROR(__xludf.DUMMYFUNCTION("""COMPUTED_VALUE"""),46084.0)</f>
        <v>46084</v>
      </c>
      <c r="AE281" s="285" t="str">
        <f>IFERROR(__xludf.DUMMYFUNCTION("""COMPUTED_VALUE"""),"Sarita Ayas")</f>
        <v>Sarita Ayas</v>
      </c>
      <c r="AF281" s="285" t="str">
        <f>IFERROR(__xludf.DUMMYFUNCTION("""COMPUTED_VALUE"""),"085777822641")</f>
        <v>085777822641</v>
      </c>
      <c r="AG281" s="285" t="str">
        <f>IFERROR(__xludf.DUMMYFUNCTION("""COMPUTED_VALUE"""),"Gagal")</f>
        <v>Gagal</v>
      </c>
      <c r="AH281" s="285" t="str">
        <f>IFERROR(__xludf.DUMMYFUNCTION("""COMPUTED_VALUE"""),"MT, D, Alas Purwo, Pulau merah")</f>
        <v>MT, D, Alas Purwo, Pulau merah</v>
      </c>
      <c r="AI281" s="287"/>
      <c r="AJ281" s="285">
        <f>IFERROR(__xludf.DUMMYFUNCTION("""COMPUTED_VALUE"""),2.0)</f>
        <v>2</v>
      </c>
      <c r="AK281" s="289">
        <f>IFERROR(__xludf.DUMMYFUNCTION("""COMPUTED_VALUE"""),5500000.0)</f>
        <v>5500000</v>
      </c>
      <c r="AL281" s="285" t="str">
        <f>IFERROR(__xludf.DUMMYFUNCTION("""COMPUTED_VALUE"""),"akan dihubungi lagi kalo dah fiks")</f>
        <v>akan dihubungi lagi kalo dah fiks</v>
      </c>
    </row>
    <row r="282">
      <c r="F282" s="285" t="str">
        <f>IFERROR(__xludf.DUMMYFUNCTION("""COMPUTED_VALUE"""),"2607D045")</f>
        <v>2607D045</v>
      </c>
      <c r="G282" s="286">
        <f>IFERROR(__xludf.DUMMYFUNCTION("""COMPUTED_VALUE"""),46209.0)</f>
        <v>46209</v>
      </c>
      <c r="H282" s="285" t="str">
        <f>IFERROR(__xludf.DUMMYFUNCTION("""COMPUTED_VALUE"""),"Kat")</f>
        <v>Kat</v>
      </c>
      <c r="I282" s="285" t="str">
        <f>IFERROR(__xludf.DUMMYFUNCTION("""COMPUTED_VALUE"""),"081290273672")</f>
        <v>081290273672</v>
      </c>
      <c r="J282" s="285" t="str">
        <f>IFERROR(__xludf.DUMMYFUNCTION("""COMPUTED_VALUE"""),"Leads Baru")</f>
        <v>Leads Baru</v>
      </c>
      <c r="K282" s="285" t="str">
        <f>IFERROR(__xludf.DUMMYFUNCTION("""COMPUTED_VALUE"""),"OT MT")</f>
        <v>OT MT</v>
      </c>
      <c r="L282" s="287"/>
      <c r="M282" s="288">
        <f>IFERROR(__xludf.DUMMYFUNCTION("""COMPUTED_VALUE"""),4.0)</f>
        <v>4</v>
      </c>
      <c r="N282" s="289"/>
      <c r="O282" s="290" t="str">
        <f>IFERROR(__xludf.DUMMYFUNCTION("""COMPUTED_VALUE"""),"FU 3 Agustus")</f>
        <v>FU 3 Agustus</v>
      </c>
      <c r="P282" s="320"/>
      <c r="R282" s="285"/>
      <c r="S282" s="285"/>
      <c r="T282" s="285"/>
      <c r="U282" s="285"/>
      <c r="V282" s="285"/>
      <c r="W282" s="285"/>
      <c r="X282" s="285"/>
      <c r="Y282" s="285"/>
      <c r="Z282" s="285"/>
      <c r="AA282" s="285"/>
      <c r="AC282" s="285" t="str">
        <f>IFERROR(__xludf.DUMMYFUNCTION("""COMPUTED_VALUE"""),"2603D016")</f>
        <v>2603D016</v>
      </c>
      <c r="AD282" s="286">
        <f>IFERROR(__xludf.DUMMYFUNCTION("""COMPUTED_VALUE"""),46085.0)</f>
        <v>46085</v>
      </c>
      <c r="AE282" s="285" t="str">
        <f>IFERROR(__xludf.DUMMYFUNCTION("""COMPUTED_VALUE"""),"rajaperabot.srg")</f>
        <v>rajaperabot.srg</v>
      </c>
      <c r="AF282" s="285" t="str">
        <f>IFERROR(__xludf.DUMMYFUNCTION("""COMPUTED_VALUE"""),"081225369612")</f>
        <v>081225369612</v>
      </c>
      <c r="AG282" s="285" t="str">
        <f>IFERROR(__xludf.DUMMYFUNCTION("""COMPUTED_VALUE"""),"Gagal")</f>
        <v>Gagal</v>
      </c>
      <c r="AH282" s="285" t="str">
        <f>IFERROR(__xludf.DUMMYFUNCTION("""COMPUTED_VALUE"""),"OT")</f>
        <v>OT</v>
      </c>
      <c r="AI282" s="287"/>
      <c r="AJ282" s="285">
        <f>IFERROR(__xludf.DUMMYFUNCTION("""COMPUTED_VALUE"""),4.0)</f>
        <v>4</v>
      </c>
      <c r="AK282" s="289">
        <f>IFERROR(__xludf.DUMMYFUNCTION("""COMPUTED_VALUE"""),1180000.0)</f>
        <v>1180000</v>
      </c>
      <c r="AL282" s="285" t="str">
        <f>IFERROR(__xludf.DUMMYFUNCTION("""COMPUTED_VALUE"""),"deal ke alvin")</f>
        <v>deal ke alvin</v>
      </c>
    </row>
    <row r="283">
      <c r="F283" s="285" t="str">
        <f>IFERROR(__xludf.DUMMYFUNCTION("""COMPUTED_VALUE"""),"2607D048")</f>
        <v>2607D048</v>
      </c>
      <c r="G283" s="286">
        <f>IFERROR(__xludf.DUMMYFUNCTION("""COMPUTED_VALUE"""),46209.0)</f>
        <v>46209</v>
      </c>
      <c r="H283" s="285" t="str">
        <f>IFERROR(__xludf.DUMMYFUNCTION("""COMPUTED_VALUE"""),"Ry")</f>
        <v>Ry</v>
      </c>
      <c r="I283" s="285" t="str">
        <f>IFERROR(__xludf.DUMMYFUNCTION("""COMPUTED_VALUE"""),"089519684754")</f>
        <v>089519684754</v>
      </c>
      <c r="J283" s="285" t="str">
        <f>IFERROR(__xludf.DUMMYFUNCTION("""COMPUTED_VALUE"""),"Leads Baru")</f>
        <v>Leads Baru</v>
      </c>
      <c r="K283" s="285"/>
      <c r="L283" s="287"/>
      <c r="M283" s="288"/>
      <c r="N283" s="289"/>
      <c r="O283" s="290" t="str">
        <f>IFERROR(__xludf.DUMMYFUNCTION("""COMPUTED_VALUE"""),"baru nyapaaa")</f>
        <v>baru nyapaaa</v>
      </c>
      <c r="P283" s="320"/>
      <c r="R283" s="285"/>
      <c r="S283" s="285"/>
      <c r="T283" s="285"/>
      <c r="U283" s="285"/>
      <c r="V283" s="285"/>
      <c r="W283" s="285"/>
      <c r="X283" s="285"/>
      <c r="Y283" s="285"/>
      <c r="Z283" s="285"/>
      <c r="AA283" s="285"/>
      <c r="AC283" s="285" t="str">
        <f>IFERROR(__xludf.DUMMYFUNCTION("""COMPUTED_VALUE"""),"2603D017")</f>
        <v>2603D017</v>
      </c>
      <c r="AD283" s="286">
        <f>IFERROR(__xludf.DUMMYFUNCTION("""COMPUTED_VALUE"""),46085.0)</f>
        <v>46085</v>
      </c>
      <c r="AE283" s="285" t="str">
        <f>IFERROR(__xludf.DUMMYFUNCTION("""COMPUTED_VALUE"""),"ais")</f>
        <v>ais</v>
      </c>
      <c r="AF283" s="285" t="str">
        <f>IFERROR(__xludf.DUMMYFUNCTION("""COMPUTED_VALUE"""),"081235460480")</f>
        <v>081235460480</v>
      </c>
      <c r="AG283" s="285" t="str">
        <f>IFERROR(__xludf.DUMMYFUNCTION("""COMPUTED_VALUE"""),"Gagal")</f>
        <v>Gagal</v>
      </c>
      <c r="AH283" s="285" t="str">
        <f>IFERROR(__xludf.DUMMYFUNCTION("""COMPUTED_VALUE"""),"MT")</f>
        <v>MT</v>
      </c>
      <c r="AI283" s="287">
        <f>IFERROR(__xludf.DUMMYFUNCTION("""COMPUTED_VALUE"""),46103.0)</f>
        <v>46103</v>
      </c>
      <c r="AJ283" s="285">
        <f>IFERROR(__xludf.DUMMYFUNCTION("""COMPUTED_VALUE"""),2.0)</f>
        <v>2</v>
      </c>
      <c r="AK283" s="289">
        <f>IFERROR(__xludf.DUMMYFUNCTION("""COMPUTED_VALUE"""),590000.0)</f>
        <v>590000</v>
      </c>
      <c r="AL283" s="285" t="str">
        <f>IFERROR(__xludf.DUMMYFUNCTION("""COMPUTED_VALUE"""),"tidak ada jawaban, sdh fu 5 kali ")</f>
        <v>tidak ada jawaban, sdh fu 5 kali </v>
      </c>
    </row>
    <row r="284">
      <c r="F284" s="285" t="str">
        <f>IFERROR(__xludf.DUMMYFUNCTION("""COMPUTED_VALUE"""),"2607D049")</f>
        <v>2607D049</v>
      </c>
      <c r="G284" s="286">
        <f>IFERROR(__xludf.DUMMYFUNCTION("""COMPUTED_VALUE"""),46209.0)</f>
        <v>46209</v>
      </c>
      <c r="H284" s="285" t="str">
        <f>IFERROR(__xludf.DUMMYFUNCTION("""COMPUTED_VALUE"""),"Vina")</f>
        <v>Vina</v>
      </c>
      <c r="I284" s="285" t="str">
        <f>IFERROR(__xludf.DUMMYFUNCTION("""COMPUTED_VALUE"""),"082142554719")</f>
        <v>082142554719</v>
      </c>
      <c r="J284" s="285" t="str">
        <f>IFERROR(__xludf.DUMMYFUNCTION("""COMPUTED_VALUE"""),"Leads Baru")</f>
        <v>Leads Baru</v>
      </c>
      <c r="K284" s="285" t="str">
        <f>IFERROR(__xludf.DUMMYFUNCTION("""COMPUTED_VALUE"""),"3H2M Opsi A")</f>
        <v>3H2M Opsi A</v>
      </c>
      <c r="L284" s="287">
        <f>IFERROR(__xludf.DUMMYFUNCTION("""COMPUTED_VALUE"""),46237.0)</f>
        <v>46237</v>
      </c>
      <c r="M284" s="288">
        <f>IFERROR(__xludf.DUMMYFUNCTION("""COMPUTED_VALUE"""),4.0)</f>
        <v>4</v>
      </c>
      <c r="N284" s="289"/>
      <c r="O284" s="290" t="str">
        <f>IFERROR(__xludf.DUMMYFUNCTION("""COMPUTED_VALUE"""),"FU 29 Juli")</f>
        <v>FU 29 Juli</v>
      </c>
      <c r="P284" s="320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C284" s="285" t="str">
        <f>IFERROR(__xludf.DUMMYFUNCTION("""COMPUTED_VALUE"""),"2603D021")</f>
        <v>2603D021</v>
      </c>
      <c r="AD284" s="286">
        <f>IFERROR(__xludf.DUMMYFUNCTION("""COMPUTED_VALUE"""),46085.0)</f>
        <v>46085</v>
      </c>
      <c r="AE284" s="285" t="str">
        <f>IFERROR(__xludf.DUMMYFUNCTION("""COMPUTED_VALUE"""),"Lisa")</f>
        <v>Lisa</v>
      </c>
      <c r="AF284" s="285" t="str">
        <f>IFERROR(__xludf.DUMMYFUNCTION("""COMPUTED_VALUE"""),"085934318627")</f>
        <v>085934318627</v>
      </c>
      <c r="AG284" s="285" t="str">
        <f>IFERROR(__xludf.DUMMYFUNCTION("""COMPUTED_VALUE"""),"Gagal")</f>
        <v>Gagal</v>
      </c>
      <c r="AH284" s="285" t="str">
        <f>IFERROR(__xludf.DUMMYFUNCTION("""COMPUTED_VALUE"""),"trip kawah wurung")</f>
        <v>trip kawah wurung</v>
      </c>
      <c r="AI284" s="287"/>
      <c r="AJ284" s="285"/>
      <c r="AK284" s="289"/>
      <c r="AL284" s="285" t="str">
        <f>IFERROR(__xludf.DUMMYFUNCTION("""COMPUTED_VALUE"""),"hanya menyapa. tidak ada jawaban")</f>
        <v>hanya menyapa. tidak ada jawaban</v>
      </c>
    </row>
    <row r="285">
      <c r="F285" s="285" t="str">
        <f>IFERROR(__xludf.DUMMYFUNCTION("""COMPUTED_VALUE"""),"2607D054")</f>
        <v>2607D054</v>
      </c>
      <c r="G285" s="286">
        <f>IFERROR(__xludf.DUMMYFUNCTION("""COMPUTED_VALUE"""),46210.0)</f>
        <v>46210</v>
      </c>
      <c r="H285" s="285" t="str">
        <f>IFERROR(__xludf.DUMMYFUNCTION("""COMPUTED_VALUE"""),"Yolanda Oktaviani")</f>
        <v>Yolanda Oktaviani</v>
      </c>
      <c r="I285" s="285" t="str">
        <f>IFERROR(__xludf.DUMMYFUNCTION("""COMPUTED_VALUE"""),"082269667014")</f>
        <v>082269667014</v>
      </c>
      <c r="J285" s="285" t="str">
        <f>IFERROR(__xludf.DUMMYFUNCTION("""COMPUTED_VALUE"""),"Leads Baru")</f>
        <v>Leads Baru</v>
      </c>
      <c r="K285" s="285" t="str">
        <f>IFERROR(__xludf.DUMMYFUNCTION("""COMPUTED_VALUE"""),"OT MT")</f>
        <v>OT MT</v>
      </c>
      <c r="L285" s="287"/>
      <c r="M285" s="288">
        <f>IFERROR(__xludf.DUMMYFUNCTION("""COMPUTED_VALUE"""),5.0)</f>
        <v>5</v>
      </c>
      <c r="N285" s="289"/>
      <c r="O285" s="290" t="str">
        <f>IFERROR(__xludf.DUMMYFUNCTION("""COMPUTED_VALUE"""),"FU 3 Agustus ")</f>
        <v>FU 3 Agustus </v>
      </c>
      <c r="P285" s="320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C285" s="285" t="str">
        <f>IFERROR(__xludf.DUMMYFUNCTION("""COMPUTED_VALUE"""),"2603D022")</f>
        <v>2603D022</v>
      </c>
      <c r="AD285" s="286">
        <f>IFERROR(__xludf.DUMMYFUNCTION("""COMPUTED_VALUE"""),46085.0)</f>
        <v>46085</v>
      </c>
      <c r="AE285" s="285" t="str">
        <f>IFERROR(__xludf.DUMMYFUNCTION("""COMPUTED_VALUE"""),"Novi Nuraini")</f>
        <v>Novi Nuraini</v>
      </c>
      <c r="AF285" s="285" t="str">
        <f>IFERROR(__xludf.DUMMYFUNCTION("""COMPUTED_VALUE"""),"089649186785")</f>
        <v>089649186785</v>
      </c>
      <c r="AG285" s="285" t="str">
        <f>IFERROR(__xludf.DUMMYFUNCTION("""COMPUTED_VALUE"""),"Gagal")</f>
        <v>Gagal</v>
      </c>
      <c r="AH285" s="285" t="str">
        <f>IFERROR(__xludf.DUMMYFUNCTION("""COMPUTED_VALUE"""),"3H2M")</f>
        <v>3H2M</v>
      </c>
      <c r="AI285" s="287"/>
      <c r="AJ285" s="285">
        <f>IFERROR(__xludf.DUMMYFUNCTION("""COMPUTED_VALUE"""),3.0)</f>
        <v>3</v>
      </c>
      <c r="AK285" s="289">
        <f>IFERROR(__xludf.DUMMYFUNCTION("""COMPUTED_VALUE"""),4800000.0)</f>
        <v>4800000</v>
      </c>
      <c r="AL285" s="285" t="str">
        <f>IFERROR(__xludf.DUMMYFUNCTION("""COMPUTED_VALUE"""),"sudah lewat tanggal")</f>
        <v>sudah lewat tanggal</v>
      </c>
    </row>
    <row r="286">
      <c r="F286" s="285" t="str">
        <f>IFERROR(__xludf.DUMMYFUNCTION("""COMPUTED_VALUE"""),"2607D055")</f>
        <v>2607D055</v>
      </c>
      <c r="G286" s="286">
        <f>IFERROR(__xludf.DUMMYFUNCTION("""COMPUTED_VALUE"""),46210.0)</f>
        <v>46210</v>
      </c>
      <c r="H286" s="285" t="str">
        <f>IFERROR(__xludf.DUMMYFUNCTION("""COMPUTED_VALUE"""),"LAW")</f>
        <v>LAW</v>
      </c>
      <c r="I286" s="285" t="str">
        <f>IFERROR(__xludf.DUMMYFUNCTION("""COMPUTED_VALUE"""),"081337111123")</f>
        <v>081337111123</v>
      </c>
      <c r="J286" s="285" t="str">
        <f>IFERROR(__xludf.DUMMYFUNCTION("""COMPUTED_VALUE"""),"Leads Baru")</f>
        <v>Leads Baru</v>
      </c>
      <c r="K286" s="285" t="str">
        <f>IFERROR(__xludf.DUMMYFUNCTION("""COMPUTED_VALUE"""),"4H3M ")</f>
        <v>4H3M </v>
      </c>
      <c r="L286" s="287"/>
      <c r="M286" s="288"/>
      <c r="N286" s="289"/>
      <c r="O286" s="290" t="str">
        <f>IFERROR(__xludf.DUMMYFUNCTION("""COMPUTED_VALUE"""),"FU 2 agustus")</f>
        <v>FU 2 agustus</v>
      </c>
      <c r="P286" s="320"/>
      <c r="R286" s="285"/>
      <c r="S286" s="285"/>
      <c r="T286" s="285"/>
      <c r="U286" s="285"/>
      <c r="V286" s="285"/>
      <c r="W286" s="285"/>
      <c r="X286" s="285"/>
      <c r="Y286" s="285"/>
      <c r="Z286" s="285"/>
      <c r="AA286" s="285"/>
      <c r="AC286" s="285" t="str">
        <f>IFERROR(__xludf.DUMMYFUNCTION("""COMPUTED_VALUE"""),"2603D023")</f>
        <v>2603D023</v>
      </c>
      <c r="AD286" s="286">
        <f>IFERROR(__xludf.DUMMYFUNCTION("""COMPUTED_VALUE"""),46115.0)</f>
        <v>46115</v>
      </c>
      <c r="AE286" s="285" t="str">
        <f>IFERROR(__xludf.DUMMYFUNCTION("""COMPUTED_VALUE"""),"Ria")</f>
        <v>Ria</v>
      </c>
      <c r="AF286" s="285" t="str">
        <f>IFERROR(__xludf.DUMMYFUNCTION("""COMPUTED_VALUE"""),"082317423539")</f>
        <v>082317423539</v>
      </c>
      <c r="AG286" s="285" t="str">
        <f>IFERROR(__xludf.DUMMYFUNCTION("""COMPUTED_VALUE"""),"Gagal")</f>
        <v>Gagal</v>
      </c>
      <c r="AH286" s="285" t="str">
        <f>IFERROR(__xludf.DUMMYFUNCTION("""COMPUTED_VALUE"""),"3H2M or 1D Ijen")</f>
        <v>3H2M or 1D Ijen</v>
      </c>
      <c r="AI286" s="287"/>
      <c r="AJ286" s="285">
        <f>IFERROR(__xludf.DUMMYFUNCTION("""COMPUTED_VALUE"""),2.0)</f>
        <v>2</v>
      </c>
      <c r="AK286" s="289">
        <f>IFERROR(__xludf.DUMMYFUNCTION("""COMPUTED_VALUE"""),1228000.0)</f>
        <v>1228000</v>
      </c>
      <c r="AL286" s="285" t="str">
        <f>IFERROR(__xludf.DUMMYFUNCTION("""COMPUTED_VALUE"""),"tidak ada jawaban, sdh fu 5 kali ")</f>
        <v>tidak ada jawaban, sdh fu 5 kali </v>
      </c>
    </row>
    <row r="287">
      <c r="F287" s="285" t="str">
        <f>IFERROR(__xludf.DUMMYFUNCTION("""COMPUTED_VALUE"""),"2607D056")</f>
        <v>2607D056</v>
      </c>
      <c r="G287" s="286">
        <f>IFERROR(__xludf.DUMMYFUNCTION("""COMPUTED_VALUE"""),46211.0)</f>
        <v>46211</v>
      </c>
      <c r="H287" s="285" t="str">
        <f>IFERROR(__xludf.DUMMYFUNCTION("""COMPUTED_VALUE"""),"HD")</f>
        <v>HD</v>
      </c>
      <c r="I287" s="285" t="str">
        <f>IFERROR(__xludf.DUMMYFUNCTION("""COMPUTED_VALUE"""),"087779602885")</f>
        <v>087779602885</v>
      </c>
      <c r="J287" s="285" t="str">
        <f>IFERROR(__xludf.DUMMYFUNCTION("""COMPUTED_VALUE"""),"Leads Baru")</f>
        <v>Leads Baru</v>
      </c>
      <c r="K287" s="285" t="str">
        <f>IFERROR(__xludf.DUMMYFUNCTION("""COMPUTED_VALUE"""),"3H2M")</f>
        <v>3H2M</v>
      </c>
      <c r="L287" s="287"/>
      <c r="M287" s="288"/>
      <c r="N287" s="289"/>
      <c r="O287" s="290" t="str">
        <f>IFERROR(__xludf.DUMMYFUNCTION("""COMPUTED_VALUE"""),"FU 2 agustus")</f>
        <v>FU 2 agustus</v>
      </c>
      <c r="P287" s="320"/>
      <c r="R287" s="285"/>
      <c r="S287" s="285"/>
      <c r="T287" s="285"/>
      <c r="U287" s="285"/>
      <c r="V287" s="285"/>
      <c r="W287" s="285"/>
      <c r="X287" s="285"/>
      <c r="Y287" s="285"/>
      <c r="Z287" s="285"/>
      <c r="AA287" s="285"/>
      <c r="AC287" s="285" t="str">
        <f>IFERROR(__xludf.DUMMYFUNCTION("""COMPUTED_VALUE"""),"2603D024")</f>
        <v>2603D024</v>
      </c>
      <c r="AD287" s="286">
        <f>IFERROR(__xludf.DUMMYFUNCTION("""COMPUTED_VALUE"""),46086.0)</f>
        <v>46086</v>
      </c>
      <c r="AE287" s="285" t="str">
        <f>IFERROR(__xludf.DUMMYFUNCTION("""COMPUTED_VALUE"""),"rafidfasya")</f>
        <v>rafidfasya</v>
      </c>
      <c r="AF287" s="285" t="str">
        <f>IFERROR(__xludf.DUMMYFUNCTION("""COMPUTED_VALUE"""),"089646312945")</f>
        <v>089646312945</v>
      </c>
      <c r="AG287" s="285" t="str">
        <f>IFERROR(__xludf.DUMMYFUNCTION("""COMPUTED_VALUE"""),"Gagal")</f>
        <v>Gagal</v>
      </c>
      <c r="AH287" s="285" t="str">
        <f>IFERROR(__xludf.DUMMYFUNCTION("""COMPUTED_VALUE"""),"3H2M opsi A atau B ")</f>
        <v>3H2M opsi A atau B </v>
      </c>
      <c r="AI287" s="287"/>
      <c r="AJ287" s="285">
        <f>IFERROR(__xludf.DUMMYFUNCTION("""COMPUTED_VALUE"""),2.0)</f>
        <v>2</v>
      </c>
      <c r="AK287" s="289"/>
      <c r="AL287" s="285" t="str">
        <f>IFERROR(__xludf.DUMMYFUNCTION("""COMPUTED_VALUE"""),"sdh fu lebih dr 5 kali. lewat tanggal")</f>
        <v>sdh fu lebih dr 5 kali. lewat tanggal</v>
      </c>
    </row>
    <row r="288">
      <c r="F288" s="285" t="str">
        <f>IFERROR(__xludf.DUMMYFUNCTION("""COMPUTED_VALUE"""),"2607D058")</f>
        <v>2607D058</v>
      </c>
      <c r="G288" s="286">
        <f>IFERROR(__xludf.DUMMYFUNCTION("""COMPUTED_VALUE"""),46211.0)</f>
        <v>46211</v>
      </c>
      <c r="H288" s="285" t="str">
        <f>IFERROR(__xludf.DUMMYFUNCTION("""COMPUTED_VALUE"""),"No Name 3h2m ")</f>
        <v>No Name 3h2m </v>
      </c>
      <c r="I288" s="285" t="str">
        <f>IFERROR(__xludf.DUMMYFUNCTION("""COMPUTED_VALUE"""),"081325487738")</f>
        <v>081325487738</v>
      </c>
      <c r="J288" s="285" t="str">
        <f>IFERROR(__xludf.DUMMYFUNCTION("""COMPUTED_VALUE"""),"Leads Baru")</f>
        <v>Leads Baru</v>
      </c>
      <c r="K288" s="285" t="str">
        <f>IFERROR(__xludf.DUMMYFUNCTION("""COMPUTED_VALUE"""),"3H2M Opsi A")</f>
        <v>3H2M Opsi A</v>
      </c>
      <c r="L288" s="287"/>
      <c r="M288" s="288"/>
      <c r="N288" s="289"/>
      <c r="O288" s="290" t="str">
        <f>IFERROR(__xludf.DUMMYFUNCTION("""COMPUTED_VALUE"""),"FU 4 Agustus")</f>
        <v>FU 4 Agustus</v>
      </c>
      <c r="P288" s="320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C288" s="285" t="str">
        <f>IFERROR(__xludf.DUMMYFUNCTION("""COMPUTED_VALUE"""),"2603D025")</f>
        <v>2603D025</v>
      </c>
      <c r="AD288" s="286">
        <f>IFERROR(__xludf.DUMMYFUNCTION("""COMPUTED_VALUE"""),46086.0)</f>
        <v>46086</v>
      </c>
      <c r="AE288" s="285" t="str">
        <f>IFERROR(__xludf.DUMMYFUNCTION("""COMPUTED_VALUE"""),"Darmada eka")</f>
        <v>Darmada eka</v>
      </c>
      <c r="AF288" s="285" t="str">
        <f>IFERROR(__xludf.DUMMYFUNCTION("""COMPUTED_VALUE"""),"08563878376")</f>
        <v>08563878376</v>
      </c>
      <c r="AG288" s="285" t="str">
        <f>IFERROR(__xludf.DUMMYFUNCTION("""COMPUTED_VALUE"""),"Gagal")</f>
        <v>Gagal</v>
      </c>
      <c r="AH288" s="285" t="str">
        <f>IFERROR(__xludf.DUMMYFUNCTION("""COMPUTED_VALUE"""),"OT Menjangan Tabuhan")</f>
        <v>OT Menjangan Tabuhan</v>
      </c>
      <c r="AI288" s="287"/>
      <c r="AJ288" s="285">
        <f>IFERROR(__xludf.DUMMYFUNCTION("""COMPUTED_VALUE"""),2.0)</f>
        <v>2</v>
      </c>
      <c r="AK288" s="289"/>
      <c r="AL288" s="285" t="str">
        <f>IFERROR(__xludf.DUMMYFUNCTION("""COMPUTED_VALUE"""),"sudah lewat tanggal")</f>
        <v>sudah lewat tanggal</v>
      </c>
    </row>
    <row r="289">
      <c r="F289" s="285" t="str">
        <f>IFERROR(__xludf.DUMMYFUNCTION("""COMPUTED_VALUE"""),"2607D059")</f>
        <v>2607D059</v>
      </c>
      <c r="G289" s="286">
        <f>IFERROR(__xludf.DUMMYFUNCTION("""COMPUTED_VALUE"""),46210.0)</f>
        <v>46210</v>
      </c>
      <c r="H289" s="285" t="str">
        <f>IFERROR(__xludf.DUMMYFUNCTION("""COMPUTED_VALUE"""),"Suwirman")</f>
        <v>Suwirman</v>
      </c>
      <c r="I289" s="285" t="str">
        <f>IFERROR(__xludf.DUMMYFUNCTION("""COMPUTED_VALUE"""),"081510019168")</f>
        <v>081510019168</v>
      </c>
      <c r="J289" s="285" t="str">
        <f>IFERROR(__xludf.DUMMYFUNCTION("""COMPUTED_VALUE"""),"Leads Baru")</f>
        <v>Leads Baru</v>
      </c>
      <c r="K289" s="285" t="str">
        <f>IFERROR(__xludf.DUMMYFUNCTION("""COMPUTED_VALUE"""),"4H3M")</f>
        <v>4H3M</v>
      </c>
      <c r="L289" s="287"/>
      <c r="M289" s="288">
        <f>IFERROR(__xludf.DUMMYFUNCTION("""COMPUTED_VALUE"""),25.0)</f>
        <v>25</v>
      </c>
      <c r="N289" s="289"/>
      <c r="O289" s="290" t="str">
        <f>IFERROR(__xludf.DUMMYFUNCTION("""COMPUTED_VALUE"""),"FU 6 Agustus")</f>
        <v>FU 6 Agustus</v>
      </c>
      <c r="P289" s="320"/>
      <c r="R289" s="285"/>
      <c r="S289" s="285"/>
      <c r="T289" s="285"/>
      <c r="U289" s="285"/>
      <c r="V289" s="285"/>
      <c r="W289" s="285"/>
      <c r="X289" s="285"/>
      <c r="Y289" s="285"/>
      <c r="Z289" s="285"/>
      <c r="AA289" s="285"/>
      <c r="AC289" s="285" t="str">
        <f>IFERROR(__xludf.DUMMYFUNCTION("""COMPUTED_VALUE"""),"2603D027")</f>
        <v>2603D027</v>
      </c>
      <c r="AD289" s="286">
        <f>IFERROR(__xludf.DUMMYFUNCTION("""COMPUTED_VALUE"""),46086.0)</f>
        <v>46086</v>
      </c>
      <c r="AE289" s="285" t="str">
        <f>IFERROR(__xludf.DUMMYFUNCTION("""COMPUTED_VALUE"""),"Rosa Sayentina Amin ")</f>
        <v>Rosa Sayentina Amin </v>
      </c>
      <c r="AF289" s="285" t="str">
        <f>IFERROR(__xludf.DUMMYFUNCTION("""COMPUTED_VALUE"""),"085601107828")</f>
        <v>085601107828</v>
      </c>
      <c r="AG289" s="285" t="str">
        <f>IFERROR(__xludf.DUMMYFUNCTION("""COMPUTED_VALUE"""),"Gagal")</f>
        <v>Gagal</v>
      </c>
      <c r="AH289" s="285" t="str">
        <f>IFERROR(__xludf.DUMMYFUNCTION("""COMPUTED_VALUE"""),"OT 3H2M")</f>
        <v>OT 3H2M</v>
      </c>
      <c r="AI289" s="287"/>
      <c r="AJ289" s="285">
        <f>IFERROR(__xludf.DUMMYFUNCTION("""COMPUTED_VALUE"""),2.0)</f>
        <v>2</v>
      </c>
      <c r="AK289" s="289">
        <f>IFERROR(__xludf.DUMMYFUNCTION("""COMPUTED_VALUE"""),3200000.0)</f>
        <v>3200000</v>
      </c>
      <c r="AL289" s="285" t="str">
        <f>IFERROR(__xludf.DUMMYFUNCTION("""COMPUTED_VALUE"""),"ganti lokasi destinasi")</f>
        <v>ganti lokasi destinasi</v>
      </c>
    </row>
    <row r="290">
      <c r="F290" s="285" t="str">
        <f>IFERROR(__xludf.DUMMYFUNCTION("""COMPUTED_VALUE"""),"2607D060")</f>
        <v>2607D060</v>
      </c>
      <c r="G290" s="286">
        <f>IFERROR(__xludf.DUMMYFUNCTION("""COMPUTED_VALUE"""),46210.0)</f>
        <v>46210</v>
      </c>
      <c r="H290" s="285" t="str">
        <f>IFERROR(__xludf.DUMMYFUNCTION("""COMPUTED_VALUE"""),"Rahma  ")</f>
        <v>Rahma  </v>
      </c>
      <c r="I290" s="285" t="str">
        <f>IFERROR(__xludf.DUMMYFUNCTION("""COMPUTED_VALUE"""),"081326257762")</f>
        <v>081326257762</v>
      </c>
      <c r="J290" s="285" t="str">
        <f>IFERROR(__xludf.DUMMYFUNCTION("""COMPUTED_VALUE"""),"Leads Baru")</f>
        <v>Leads Baru</v>
      </c>
      <c r="K290" s="285" t="str">
        <f>IFERROR(__xludf.DUMMYFUNCTION("""COMPUTED_VALUE"""),"OT 3H2M ")</f>
        <v>OT 3H2M </v>
      </c>
      <c r="L290" s="287"/>
      <c r="M290" s="288">
        <f>IFERROR(__xludf.DUMMYFUNCTION("""COMPUTED_VALUE"""),3.0)</f>
        <v>3</v>
      </c>
      <c r="N290" s="289"/>
      <c r="O290" s="290" t="str">
        <f>IFERROR(__xludf.DUMMYFUNCTION("""COMPUTED_VALUE"""),"FU 8 Agustus")</f>
        <v>FU 8 Agustus</v>
      </c>
      <c r="P290" s="320"/>
      <c r="R290" s="285"/>
      <c r="S290" s="285"/>
      <c r="T290" s="285"/>
      <c r="U290" s="285"/>
      <c r="V290" s="285"/>
      <c r="W290" s="285"/>
      <c r="X290" s="285"/>
      <c r="Y290" s="285"/>
      <c r="Z290" s="285"/>
      <c r="AA290" s="285"/>
      <c r="AC290" s="285" t="str">
        <f>IFERROR(__xludf.DUMMYFUNCTION("""COMPUTED_VALUE"""),"2603D028")</f>
        <v>2603D028</v>
      </c>
      <c r="AD290" s="286">
        <f>IFERROR(__xludf.DUMMYFUNCTION("""COMPUTED_VALUE"""),46086.0)</f>
        <v>46086</v>
      </c>
      <c r="AE290" s="285" t="str">
        <f>IFERROR(__xludf.DUMMYFUNCTION("""COMPUTED_VALUE"""),"Kaka")</f>
        <v>Kaka</v>
      </c>
      <c r="AF290" s="285" t="str">
        <f>IFERROR(__xludf.DUMMYFUNCTION("""COMPUTED_VALUE"""),"081542046305")</f>
        <v>081542046305</v>
      </c>
      <c r="AG290" s="285" t="str">
        <f>IFERROR(__xludf.DUMMYFUNCTION("""COMPUTED_VALUE"""),"Gagal")</f>
        <v>Gagal</v>
      </c>
      <c r="AH290" s="285" t="str">
        <f>IFERROR(__xludf.DUMMYFUNCTION("""COMPUTED_VALUE"""),"custom 2H1M")</f>
        <v>custom 2H1M</v>
      </c>
      <c r="AI290" s="287"/>
      <c r="AJ290" s="285">
        <f>IFERROR(__xludf.DUMMYFUNCTION("""COMPUTED_VALUE"""),7.0)</f>
        <v>7</v>
      </c>
      <c r="AK290" s="289">
        <f>IFERROR(__xludf.DUMMYFUNCTION("""COMPUTED_VALUE"""),1.403E7)</f>
        <v>14030000</v>
      </c>
      <c r="AL290" s="285" t="str">
        <f>IFERROR(__xludf.DUMMYFUNCTION("""COMPUTED_VALUE"""),"ga jadi, peserta masih pemulihan sakit")</f>
        <v>ga jadi, peserta masih pemulihan sakit</v>
      </c>
    </row>
    <row r="291">
      <c r="F291" s="285" t="str">
        <f>IFERROR(__xludf.DUMMYFUNCTION("""COMPUTED_VALUE"""),"2607D064")</f>
        <v>2607D064</v>
      </c>
      <c r="G291" s="286">
        <f>IFERROR(__xludf.DUMMYFUNCTION("""COMPUTED_VALUE"""),46212.0)</f>
        <v>46212</v>
      </c>
      <c r="H291" s="285" t="str">
        <f>IFERROR(__xludf.DUMMYFUNCTION("""COMPUTED_VALUE"""),"Sheina")</f>
        <v>Sheina</v>
      </c>
      <c r="I291" s="285" t="str">
        <f>IFERROR(__xludf.DUMMYFUNCTION("""COMPUTED_VALUE"""),"081545571383")</f>
        <v>081545571383</v>
      </c>
      <c r="J291" s="285" t="str">
        <f>IFERROR(__xludf.DUMMYFUNCTION("""COMPUTED_VALUE"""),"Leads Baru")</f>
        <v>Leads Baru</v>
      </c>
      <c r="K291" s="285" t="str">
        <f>IFERROR(__xludf.DUMMYFUNCTION("""COMPUTED_VALUE"""),"3H2M opsi B")</f>
        <v>3H2M opsi B</v>
      </c>
      <c r="L291" s="287">
        <f>IFERROR(__xludf.DUMMYFUNCTION("""COMPUTED_VALUE"""),46297.0)</f>
        <v>46297</v>
      </c>
      <c r="M291" s="288">
        <f>IFERROR(__xludf.DUMMYFUNCTION("""COMPUTED_VALUE"""),4.0)</f>
        <v>4</v>
      </c>
      <c r="N291" s="289"/>
      <c r="O291" s="290" t="str">
        <f>IFERROR(__xludf.DUMMYFUNCTION("""COMPUTED_VALUE"""),"FU 2 agustus")</f>
        <v>FU 2 agustus</v>
      </c>
      <c r="P291" s="320"/>
      <c r="R291" s="285"/>
      <c r="S291" s="285"/>
      <c r="T291" s="285"/>
      <c r="U291" s="285"/>
      <c r="V291" s="285"/>
      <c r="W291" s="285"/>
      <c r="X291" s="285"/>
      <c r="Y291" s="285"/>
      <c r="Z291" s="285"/>
      <c r="AA291" s="285"/>
      <c r="AC291" s="285" t="str">
        <f>IFERROR(__xludf.DUMMYFUNCTION("""COMPUTED_VALUE"""),"2603D029")</f>
        <v>2603D029</v>
      </c>
      <c r="AD291" s="286">
        <f>IFERROR(__xludf.DUMMYFUNCTION("""COMPUTED_VALUE"""),46087.0)</f>
        <v>46087</v>
      </c>
      <c r="AE291" s="285" t="str">
        <f>IFERROR(__xludf.DUMMYFUNCTION("""COMPUTED_VALUE"""),"Bagus Fajar")</f>
        <v>Bagus Fajar</v>
      </c>
      <c r="AF291" s="285" t="str">
        <f>IFERROR(__xludf.DUMMYFUNCTION("""COMPUTED_VALUE"""),"085604355420")</f>
        <v>085604355420</v>
      </c>
      <c r="AG291" s="285" t="str">
        <f>IFERROR(__xludf.DUMMYFUNCTION("""COMPUTED_VALUE"""),"Gagal")</f>
        <v>Gagal</v>
      </c>
      <c r="AH291" s="285" t="str">
        <f>IFERROR(__xludf.DUMMYFUNCTION("""COMPUTED_VALUE"""),"OT 3H2M")</f>
        <v>OT 3H2M</v>
      </c>
      <c r="AI291" s="287">
        <f>IFERROR(__xludf.DUMMYFUNCTION("""COMPUTED_VALUE"""),46115.0)</f>
        <v>46115</v>
      </c>
      <c r="AJ291" s="285">
        <f>IFERROR(__xludf.DUMMYFUNCTION("""COMPUTED_VALUE"""),1.0)</f>
        <v>1</v>
      </c>
      <c r="AK291" s="289">
        <f>IFERROR(__xludf.DUMMYFUNCTION("""COMPUTED_VALUE"""),1600000.0)</f>
        <v>1600000</v>
      </c>
      <c r="AL291" s="285" t="str">
        <f>IFERROR(__xludf.DUMMYFUNCTION("""COMPUTED_VALUE"""),"tanggal gabisa fleksibel")</f>
        <v>tanggal gabisa fleksibel</v>
      </c>
    </row>
    <row r="292">
      <c r="F292" s="285" t="str">
        <f>IFERROR(__xludf.DUMMYFUNCTION("""COMPUTED_VALUE"""),"2607D066")</f>
        <v>2607D066</v>
      </c>
      <c r="G292" s="286">
        <f>IFERROR(__xludf.DUMMYFUNCTION("""COMPUTED_VALUE"""),46211.0)</f>
        <v>46211</v>
      </c>
      <c r="H292" s="285" t="str">
        <f>IFERROR(__xludf.DUMMYFUNCTION("""COMPUTED_VALUE"""),"Sahda ")</f>
        <v>Sahda </v>
      </c>
      <c r="I292" s="285" t="str">
        <f>IFERROR(__xludf.DUMMYFUNCTION("""COMPUTED_VALUE"""),"081233829266")</f>
        <v>081233829266</v>
      </c>
      <c r="J292" s="285" t="str">
        <f>IFERROR(__xludf.DUMMYFUNCTION("""COMPUTED_VALUE"""),"Leads Baru")</f>
        <v>Leads Baru</v>
      </c>
      <c r="K292" s="285" t="str">
        <f>IFERROR(__xludf.DUMMYFUNCTION("""COMPUTED_VALUE"""),"3h2M Opsi A")</f>
        <v>3h2M Opsi A</v>
      </c>
      <c r="L292" s="287"/>
      <c r="M292" s="288">
        <f>IFERROR(__xludf.DUMMYFUNCTION("""COMPUTED_VALUE"""),17.0)</f>
        <v>17</v>
      </c>
      <c r="N292" s="289"/>
      <c r="O292" s="290" t="str">
        <f>IFERROR(__xludf.DUMMYFUNCTION("""COMPUTED_VALUE"""),"FU 3 Agustus ")</f>
        <v>FU 3 Agustus </v>
      </c>
      <c r="P292" s="320"/>
      <c r="R292" s="285"/>
      <c r="S292" s="285"/>
      <c r="T292" s="285"/>
      <c r="U292" s="285"/>
      <c r="V292" s="285"/>
      <c r="W292" s="285"/>
      <c r="X292" s="285"/>
      <c r="Y292" s="285"/>
      <c r="Z292" s="285"/>
      <c r="AA292" s="285"/>
      <c r="AC292" s="285" t="str">
        <f>IFERROR(__xludf.DUMMYFUNCTION("""COMPUTED_VALUE"""),"2603D030")</f>
        <v>2603D030</v>
      </c>
      <c r="AD292" s="286">
        <f>IFERROR(__xludf.DUMMYFUNCTION("""COMPUTED_VALUE"""),46087.0)</f>
        <v>46087</v>
      </c>
      <c r="AE292" s="285" t="str">
        <f>IFERROR(__xludf.DUMMYFUNCTION("""COMPUTED_VALUE"""),"Grace")</f>
        <v>Grace</v>
      </c>
      <c r="AF292" s="285" t="str">
        <f>IFERROR(__xludf.DUMMYFUNCTION("""COMPUTED_VALUE"""),"082230156632")</f>
        <v>082230156632</v>
      </c>
      <c r="AG292" s="285" t="str">
        <f>IFERROR(__xludf.DUMMYFUNCTION("""COMPUTED_VALUE"""),"Gagal")</f>
        <v>Gagal</v>
      </c>
      <c r="AH292" s="285"/>
      <c r="AI292" s="287"/>
      <c r="AJ292" s="285">
        <f>IFERROR(__xludf.DUMMYFUNCTION("""COMPUTED_VALUE"""),5.0)</f>
        <v>5</v>
      </c>
      <c r="AK292" s="289"/>
      <c r="AL292" s="285" t="str">
        <f>IFERROR(__xludf.DUMMYFUNCTION("""COMPUTED_VALUE"""),"gagal, tidak ada jawaban")</f>
        <v>gagal, tidak ada jawaban</v>
      </c>
    </row>
    <row r="293">
      <c r="F293" s="285" t="str">
        <f>IFERROR(__xludf.DUMMYFUNCTION("""COMPUTED_VALUE"""),"2607D067")</f>
        <v>2607D067</v>
      </c>
      <c r="G293" s="286">
        <f>IFERROR(__xludf.DUMMYFUNCTION("""COMPUTED_VALUE"""),46212.0)</f>
        <v>46212</v>
      </c>
      <c r="H293" s="285" t="str">
        <f>IFERROR(__xludf.DUMMYFUNCTION("""COMPUTED_VALUE"""),"Astuti Nurwidiyanti")</f>
        <v>Astuti Nurwidiyanti</v>
      </c>
      <c r="I293" s="285" t="str">
        <f>IFERROR(__xludf.DUMMYFUNCTION("""COMPUTED_VALUE"""),"0818119143")</f>
        <v>0818119143</v>
      </c>
      <c r="J293" s="285" t="str">
        <f>IFERROR(__xludf.DUMMYFUNCTION("""COMPUTED_VALUE"""),"Leads Baru")</f>
        <v>Leads Baru</v>
      </c>
      <c r="K293" s="285" t="str">
        <f>IFERROR(__xludf.DUMMYFUNCTION("""COMPUTED_VALUE"""),"trip 5H4M ")</f>
        <v>trip 5H4M </v>
      </c>
      <c r="L293" s="287"/>
      <c r="M293" s="288">
        <f>IFERROR(__xludf.DUMMYFUNCTION("""COMPUTED_VALUE"""),5.0)</f>
        <v>5</v>
      </c>
      <c r="N293" s="289"/>
      <c r="O293" s="290" t="str">
        <f>IFERROR(__xludf.DUMMYFUNCTION("""COMPUTED_VALUE"""),"FU 12 Juli")</f>
        <v>FU 12 Juli</v>
      </c>
      <c r="P293" s="320"/>
      <c r="R293" s="285"/>
      <c r="S293" s="285"/>
      <c r="T293" s="285"/>
      <c r="U293" s="285"/>
      <c r="V293" s="285"/>
      <c r="W293" s="285"/>
      <c r="X293" s="285"/>
      <c r="Y293" s="285"/>
      <c r="Z293" s="285"/>
      <c r="AA293" s="285"/>
      <c r="AC293" s="285" t="str">
        <f>IFERROR(__xludf.DUMMYFUNCTION("""COMPUTED_VALUE"""),"2603D031")</f>
        <v>2603D031</v>
      </c>
      <c r="AD293" s="286">
        <f>IFERROR(__xludf.DUMMYFUNCTION("""COMPUTED_VALUE"""),46087.0)</f>
        <v>46087</v>
      </c>
      <c r="AE293" s="285" t="str">
        <f>IFERROR(__xludf.DUMMYFUNCTION("""COMPUTED_VALUE"""),"Denavia")</f>
        <v>Denavia</v>
      </c>
      <c r="AF293" s="285" t="str">
        <f>IFERROR(__xludf.DUMMYFUNCTION("""COMPUTED_VALUE"""),"085645696429")</f>
        <v>085645696429</v>
      </c>
      <c r="AG293" s="285" t="str">
        <f>IFERROR(__xludf.DUMMYFUNCTION("""COMPUTED_VALUE"""),"Gagal")</f>
        <v>Gagal</v>
      </c>
      <c r="AH293" s="285" t="str">
        <f>IFERROR(__xludf.DUMMYFUNCTION("""COMPUTED_VALUE"""),"OT")</f>
        <v>OT</v>
      </c>
      <c r="AI293" s="287"/>
      <c r="AJ293" s="285">
        <f>IFERROR(__xludf.DUMMYFUNCTION("""COMPUTED_VALUE"""),2.0)</f>
        <v>2</v>
      </c>
      <c r="AK293" s="289"/>
      <c r="AL293" s="285" t="str">
        <f>IFERROR(__xludf.DUMMYFUNCTION("""COMPUTED_VALUE"""),"belum tau alasannya tidak jadi")</f>
        <v>belum tau alasannya tidak jadi</v>
      </c>
    </row>
    <row r="294">
      <c r="F294" s="285" t="str">
        <f>IFERROR(__xludf.DUMMYFUNCTION("""COMPUTED_VALUE"""),"2607D068")</f>
        <v>2607D068</v>
      </c>
      <c r="G294" s="286">
        <f>IFERROR(__xludf.DUMMYFUNCTION("""COMPUTED_VALUE"""),46211.0)</f>
        <v>46211</v>
      </c>
      <c r="H294" s="285" t="str">
        <f>IFERROR(__xludf.DUMMYFUNCTION("""COMPUTED_VALUE"""),"Gesya Shandy")</f>
        <v>Gesya Shandy</v>
      </c>
      <c r="I294" s="285" t="str">
        <f>IFERROR(__xludf.DUMMYFUNCTION("""COMPUTED_VALUE"""),"081280122718")</f>
        <v>081280122718</v>
      </c>
      <c r="J294" s="285" t="str">
        <f>IFERROR(__xludf.DUMMYFUNCTION("""COMPUTED_VALUE"""),"Leads Baru")</f>
        <v>Leads Baru</v>
      </c>
      <c r="K294" s="285" t="str">
        <f>IFERROR(__xludf.DUMMYFUNCTION("""COMPUTED_VALUE"""),"3H2M opsi A")</f>
        <v>3H2M opsi A</v>
      </c>
      <c r="L294" s="287"/>
      <c r="M294" s="288">
        <f>IFERROR(__xludf.DUMMYFUNCTION("""COMPUTED_VALUE"""),2.0)</f>
        <v>2</v>
      </c>
      <c r="N294" s="289"/>
      <c r="O294" s="290" t="str">
        <f>IFERROR(__xludf.DUMMYFUNCTION("""COMPUTED_VALUE"""),"blm bales lagi, FU 2 agustus")</f>
        <v>blm bales lagi, FU 2 agustus</v>
      </c>
      <c r="P294" s="320"/>
      <c r="R294" s="285"/>
      <c r="S294" s="285"/>
      <c r="T294" s="285"/>
      <c r="U294" s="285"/>
      <c r="V294" s="285"/>
      <c r="W294" s="285"/>
      <c r="X294" s="285"/>
      <c r="Y294" s="285"/>
      <c r="Z294" s="285"/>
      <c r="AA294" s="285"/>
      <c r="AC294" s="285" t="str">
        <f>IFERROR(__xludf.DUMMYFUNCTION("""COMPUTED_VALUE"""),"2603D032")</f>
        <v>2603D032</v>
      </c>
      <c r="AD294" s="286">
        <f>IFERROR(__xludf.DUMMYFUNCTION("""COMPUTED_VALUE"""),46087.0)</f>
        <v>46087</v>
      </c>
      <c r="AE294" s="285" t="str">
        <f>IFERROR(__xludf.DUMMYFUNCTION("""COMPUTED_VALUE"""),"Dhea Lubis")</f>
        <v>Dhea Lubis</v>
      </c>
      <c r="AF294" s="285" t="str">
        <f>IFERROR(__xludf.DUMMYFUNCTION("""COMPUTED_VALUE"""),"085359207689")</f>
        <v>085359207689</v>
      </c>
      <c r="AG294" s="285" t="str">
        <f>IFERROR(__xludf.DUMMYFUNCTION("""COMPUTED_VALUE"""),"Gagal")</f>
        <v>Gagal</v>
      </c>
      <c r="AH294" s="285" t="str">
        <f>IFERROR(__xludf.DUMMYFUNCTION("""COMPUTED_VALUE"""),"custom 2H1M")</f>
        <v>custom 2H1M</v>
      </c>
      <c r="AI294" s="287"/>
      <c r="AJ294" s="285">
        <f>IFERROR(__xludf.DUMMYFUNCTION("""COMPUTED_VALUE"""),3.0)</f>
        <v>3</v>
      </c>
      <c r="AK294" s="289"/>
      <c r="AL294" s="285" t="str">
        <f>IFERROR(__xludf.DUMMYFUNCTION("""COMPUTED_VALUE"""),"ga jadi, alasan belum tahu")</f>
        <v>ga jadi, alasan belum tahu</v>
      </c>
    </row>
    <row r="295">
      <c r="F295" s="285" t="str">
        <f>IFERROR(__xludf.DUMMYFUNCTION("""COMPUTED_VALUE"""),"2607D069")</f>
        <v>2607D069</v>
      </c>
      <c r="G295" s="286">
        <f>IFERROR(__xludf.DUMMYFUNCTION("""COMPUTED_VALUE"""),46212.0)</f>
        <v>46212</v>
      </c>
      <c r="H295" s="285" t="str">
        <f>IFERROR(__xludf.DUMMYFUNCTION("""COMPUTED_VALUE"""),"Herdisyanms")</f>
        <v>Herdisyanms</v>
      </c>
      <c r="I295" s="285" t="str">
        <f>IFERROR(__xludf.DUMMYFUNCTION("""COMPUTED_VALUE"""),"085840020359")</f>
        <v>085840020359</v>
      </c>
      <c r="J295" s="285" t="str">
        <f>IFERROR(__xludf.DUMMYFUNCTION("""COMPUTED_VALUE"""),"Leads Baru")</f>
        <v>Leads Baru</v>
      </c>
      <c r="K295" s="285" t="str">
        <f>IFERROR(__xludf.DUMMYFUNCTION("""COMPUTED_VALUE"""),"OT 3H2M ")</f>
        <v>OT 3H2M </v>
      </c>
      <c r="L295" s="287"/>
      <c r="M295" s="288">
        <f>IFERROR(__xludf.DUMMYFUNCTION("""COMPUTED_VALUE"""),3.0)</f>
        <v>3</v>
      </c>
      <c r="N295" s="289"/>
      <c r="O295" s="290"/>
      <c r="P295" s="320"/>
      <c r="R295" s="285"/>
      <c r="S295" s="285"/>
      <c r="T295" s="285"/>
      <c r="U295" s="285"/>
      <c r="V295" s="285"/>
      <c r="W295" s="285"/>
      <c r="X295" s="285"/>
      <c r="Y295" s="285"/>
      <c r="Z295" s="285"/>
      <c r="AA295" s="285"/>
      <c r="AC295" s="285" t="str">
        <f>IFERROR(__xludf.DUMMYFUNCTION("""COMPUTED_VALUE"""),"2602D033")</f>
        <v>2602D033</v>
      </c>
      <c r="AD295" s="286">
        <f>IFERROR(__xludf.DUMMYFUNCTION("""COMPUTED_VALUE"""),46088.0)</f>
        <v>46088</v>
      </c>
      <c r="AE295" s="285" t="str">
        <f>IFERROR(__xludf.DUMMYFUNCTION("""COMPUTED_VALUE"""),"Dzakiyah")</f>
        <v>Dzakiyah</v>
      </c>
      <c r="AF295" s="285" t="str">
        <f>IFERROR(__xludf.DUMMYFUNCTION("""COMPUTED_VALUE"""),"081230027737")</f>
        <v>081230027737</v>
      </c>
      <c r="AG295" s="285" t="str">
        <f>IFERROR(__xludf.DUMMYFUNCTION("""COMPUTED_VALUE"""),"Gagal")</f>
        <v>Gagal</v>
      </c>
      <c r="AH295" s="285" t="str">
        <f>IFERROR(__xludf.DUMMYFUNCTION("""COMPUTED_VALUE"""),"1day trip menjangan")</f>
        <v>1day trip menjangan</v>
      </c>
      <c r="AI295" s="287"/>
      <c r="AJ295" s="285">
        <f>IFERROR(__xludf.DUMMYFUNCTION("""COMPUTED_VALUE"""),3.0)</f>
        <v>3</v>
      </c>
      <c r="AK295" s="289">
        <f>IFERROR(__xludf.DUMMYFUNCTION("""COMPUTED_VALUE"""),1830000.0)</f>
        <v>1830000</v>
      </c>
      <c r="AL295" s="285" t="str">
        <f>IFERROR(__xludf.DUMMYFUNCTION("""COMPUTED_VALUE"""),"tidak membalas lagi, Fu beberapa lagi")</f>
        <v>tidak membalas lagi, Fu beberapa lagi</v>
      </c>
    </row>
    <row r="296">
      <c r="F296" s="285" t="str">
        <f>IFERROR(__xludf.DUMMYFUNCTION("""COMPUTED_VALUE"""),"2607D070")</f>
        <v>2607D070</v>
      </c>
      <c r="G296" s="286">
        <f>IFERROR(__xludf.DUMMYFUNCTION("""COMPUTED_VALUE"""),46212.0)</f>
        <v>46212</v>
      </c>
      <c r="H296" s="285" t="str">
        <f>IFERROR(__xludf.DUMMYFUNCTION("""COMPUTED_VALUE"""),"Isti Andiani")</f>
        <v>Isti Andiani</v>
      </c>
      <c r="I296" s="285" t="str">
        <f>IFERROR(__xludf.DUMMYFUNCTION("""COMPUTED_VALUE"""),"081562780575")</f>
        <v>081562780575</v>
      </c>
      <c r="J296" s="285" t="str">
        <f>IFERROR(__xludf.DUMMYFUNCTION("""COMPUTED_VALUE"""),"Leads Baru")</f>
        <v>Leads Baru</v>
      </c>
      <c r="K296" s="285" t="str">
        <f>IFERROR(__xludf.DUMMYFUNCTION("""COMPUTED_VALUE"""),"3H2M opsi A")</f>
        <v>3H2M opsi A</v>
      </c>
      <c r="L296" s="287"/>
      <c r="M296" s="288"/>
      <c r="N296" s="289"/>
      <c r="O296" s="290" t="str">
        <f>IFERROR(__xludf.DUMMYFUNCTION("""COMPUTED_VALUE"""),"FU 10 Juli ")</f>
        <v>FU 10 Juli </v>
      </c>
      <c r="P296" s="320"/>
      <c r="R296" s="285"/>
      <c r="S296" s="285"/>
      <c r="T296" s="285"/>
      <c r="U296" s="285"/>
      <c r="V296" s="285"/>
      <c r="W296" s="285"/>
      <c r="X296" s="285"/>
      <c r="Y296" s="285"/>
      <c r="Z296" s="285"/>
      <c r="AA296" s="285"/>
      <c r="AC296" s="285" t="str">
        <f>IFERROR(__xludf.DUMMYFUNCTION("""COMPUTED_VALUE"""),"2603D034")</f>
        <v>2603D034</v>
      </c>
      <c r="AD296" s="286">
        <f>IFERROR(__xludf.DUMMYFUNCTION("""COMPUTED_VALUE"""),46088.0)</f>
        <v>46088</v>
      </c>
      <c r="AE296" s="285" t="str">
        <f>IFERROR(__xludf.DUMMYFUNCTION("""COMPUTED_VALUE"""),"Meilin")</f>
        <v>Meilin</v>
      </c>
      <c r="AF296" s="285" t="str">
        <f>IFERROR(__xludf.DUMMYFUNCTION("""COMPUTED_VALUE"""),"083119577736")</f>
        <v>083119577736</v>
      </c>
      <c r="AG296" s="285" t="str">
        <f>IFERROR(__xludf.DUMMYFUNCTION("""COMPUTED_VALUE"""),"Gagal")</f>
        <v>Gagal</v>
      </c>
      <c r="AH296" s="285" t="str">
        <f>IFERROR(__xludf.DUMMYFUNCTION("""COMPUTED_VALUE"""),"MT, D, B")</f>
        <v>MT, D, B</v>
      </c>
      <c r="AI296" s="287"/>
      <c r="AJ296" s="285"/>
      <c r="AK296" s="289"/>
      <c r="AL296" s="285" t="str">
        <f>IFERROR(__xludf.DUMMYFUNCTION("""COMPUTED_VALUE"""),"tidak ada jawaban. lewat tanggal")</f>
        <v>tidak ada jawaban. lewat tanggal</v>
      </c>
    </row>
    <row r="297">
      <c r="F297" s="285" t="str">
        <f>IFERROR(__xludf.DUMMYFUNCTION("""COMPUTED_VALUE"""),"2607D071")</f>
        <v>2607D071</v>
      </c>
      <c r="G297" s="286">
        <f>IFERROR(__xludf.DUMMYFUNCTION("""COMPUTED_VALUE"""),46211.0)</f>
        <v>46211</v>
      </c>
      <c r="H297" s="285" t="str">
        <f>IFERROR(__xludf.DUMMYFUNCTION("""COMPUTED_VALUE"""),"Rejokencana")</f>
        <v>Rejokencana</v>
      </c>
      <c r="I297" s="285" t="str">
        <f>IFERROR(__xludf.DUMMYFUNCTION("""COMPUTED_VALUE"""),"085730262845")</f>
        <v>085730262845</v>
      </c>
      <c r="J297" s="285" t="str">
        <f>IFERROR(__xludf.DUMMYFUNCTION("""COMPUTED_VALUE"""),"Leads Baru")</f>
        <v>Leads Baru</v>
      </c>
      <c r="K297" s="285" t="str">
        <f>IFERROR(__xludf.DUMMYFUNCTION("""COMPUTED_VALUE"""),"2h1m custome")</f>
        <v>2h1m custome</v>
      </c>
      <c r="L297" s="287">
        <f>IFERROR(__xludf.DUMMYFUNCTION("""COMPUTED_VALUE"""),46267.0)</f>
        <v>46267</v>
      </c>
      <c r="M297" s="288">
        <f>IFERROR(__xludf.DUMMYFUNCTION("""COMPUTED_VALUE"""),25.0)</f>
        <v>25</v>
      </c>
      <c r="N297" s="289"/>
      <c r="O297" s="290" t="str">
        <f>IFERROR(__xludf.DUMMYFUNCTION("""COMPUTED_VALUE"""),"FU 5 Agustus")</f>
        <v>FU 5 Agustus</v>
      </c>
      <c r="P297" s="320"/>
      <c r="R297" s="285"/>
      <c r="S297" s="285"/>
      <c r="T297" s="285"/>
      <c r="U297" s="285"/>
      <c r="V297" s="285"/>
      <c r="W297" s="285"/>
      <c r="X297" s="285"/>
      <c r="Y297" s="285"/>
      <c r="Z297" s="285"/>
      <c r="AA297" s="285"/>
      <c r="AC297" s="285" t="str">
        <f>IFERROR(__xludf.DUMMYFUNCTION("""COMPUTED_VALUE"""),"2603D035")</f>
        <v>2603D035</v>
      </c>
      <c r="AD297" s="286">
        <f>IFERROR(__xludf.DUMMYFUNCTION("""COMPUTED_VALUE"""),46088.0)</f>
        <v>46088</v>
      </c>
      <c r="AE297" s="285" t="str">
        <f>IFERROR(__xludf.DUMMYFUNCTION("""COMPUTED_VALUE"""),"Kharis")</f>
        <v>Kharis</v>
      </c>
      <c r="AF297" s="285" t="str">
        <f>IFERROR(__xludf.DUMMYFUNCTION("""COMPUTED_VALUE"""),"081553818001")</f>
        <v>081553818001</v>
      </c>
      <c r="AG297" s="285" t="str">
        <f>IFERROR(__xludf.DUMMYFUNCTION("""COMPUTED_VALUE"""),"Gagal")</f>
        <v>Gagal</v>
      </c>
      <c r="AH297" s="285" t="str">
        <f>IFERROR(__xludf.DUMMYFUNCTION("""COMPUTED_VALUE"""),"3H2M")</f>
        <v>3H2M</v>
      </c>
      <c r="AI297" s="287">
        <f>IFERROR(__xludf.DUMMYFUNCTION("""COMPUTED_VALUE"""),46106.0)</f>
        <v>46106</v>
      </c>
      <c r="AJ297" s="285">
        <f>IFERROR(__xludf.DUMMYFUNCTION("""COMPUTED_VALUE"""),3.0)</f>
        <v>3</v>
      </c>
      <c r="AK297" s="289">
        <f>IFERROR(__xludf.DUMMYFUNCTION("""COMPUTED_VALUE"""),8550000.0)</f>
        <v>8550000</v>
      </c>
      <c r="AL297" s="285" t="str">
        <f>IFERROR(__xludf.DUMMYFUNCTION("""COMPUTED_VALUE"""),"lewat tanggal, gagal")</f>
        <v>lewat tanggal, gagal</v>
      </c>
    </row>
    <row r="298">
      <c r="F298" s="285" t="str">
        <f>IFERROR(__xludf.DUMMYFUNCTION("""COMPUTED_VALUE"""),"2607D075")</f>
        <v>2607D075</v>
      </c>
      <c r="G298" s="286">
        <f>IFERROR(__xludf.DUMMYFUNCTION("""COMPUTED_VALUE"""),46212.0)</f>
        <v>46212</v>
      </c>
      <c r="H298" s="285" t="str">
        <f>IFERROR(__xludf.DUMMYFUNCTION("""COMPUTED_VALUE"""),"Suida")</f>
        <v>Suida</v>
      </c>
      <c r="I298" s="285" t="str">
        <f>IFERROR(__xludf.DUMMYFUNCTION("""COMPUTED_VALUE"""),"087882828802")</f>
        <v>087882828802</v>
      </c>
      <c r="J298" s="285" t="str">
        <f>IFERROR(__xludf.DUMMYFUNCTION("""COMPUTED_VALUE"""),"Leads Baru")</f>
        <v>Leads Baru</v>
      </c>
      <c r="K298" s="285"/>
      <c r="L298" s="287"/>
      <c r="M298" s="288"/>
      <c r="N298" s="289"/>
      <c r="O298" s="290" t="str">
        <f>IFERROR(__xludf.DUMMYFUNCTION("""COMPUTED_VALUE"""),"baru menyapa")</f>
        <v>baru menyapa</v>
      </c>
      <c r="P298" s="320"/>
      <c r="R298" s="285"/>
      <c r="S298" s="285"/>
      <c r="T298" s="285"/>
      <c r="U298" s="285"/>
      <c r="V298" s="285"/>
      <c r="W298" s="285"/>
      <c r="X298" s="285"/>
      <c r="Y298" s="285"/>
      <c r="Z298" s="285"/>
      <c r="AA298" s="285"/>
      <c r="AC298" s="285" t="str">
        <f>IFERROR(__xludf.DUMMYFUNCTION("""COMPUTED_VALUE"""),"2603D036")</f>
        <v>2603D036</v>
      </c>
      <c r="AD298" s="286">
        <f>IFERROR(__xludf.DUMMYFUNCTION("""COMPUTED_VALUE"""),46088.0)</f>
        <v>46088</v>
      </c>
      <c r="AE298" s="285" t="str">
        <f>IFERROR(__xludf.DUMMYFUNCTION("""COMPUTED_VALUE"""),"i")</f>
        <v>i</v>
      </c>
      <c r="AF298" s="285" t="str">
        <f>IFERROR(__xludf.DUMMYFUNCTION("""COMPUTED_VALUE"""),"082124871700")</f>
        <v>082124871700</v>
      </c>
      <c r="AG298" s="285" t="str">
        <f>IFERROR(__xludf.DUMMYFUNCTION("""COMPUTED_VALUE"""),"Gagal")</f>
        <v>Gagal</v>
      </c>
      <c r="AH298" s="285"/>
      <c r="AI298" s="287"/>
      <c r="AJ298" s="285"/>
      <c r="AK298" s="289"/>
      <c r="AL298" s="285" t="str">
        <f>IFERROR(__xludf.DUMMYFUNCTION("""COMPUTED_VALUE"""),"hanya menyapa, tidak ada jawaban ")</f>
        <v>hanya menyapa, tidak ada jawaban </v>
      </c>
    </row>
    <row r="299">
      <c r="F299" s="285" t="str">
        <f>IFERROR(__xludf.DUMMYFUNCTION("""COMPUTED_VALUE"""),"2607D078")</f>
        <v>2607D078</v>
      </c>
      <c r="G299" s="286">
        <f>IFERROR(__xludf.DUMMYFUNCTION("""COMPUTED_VALUE"""),46211.0)</f>
        <v>46211</v>
      </c>
      <c r="H299" s="285" t="str">
        <f>IFERROR(__xludf.DUMMYFUNCTION("""COMPUTED_VALUE"""),"Cookiecology")</f>
        <v>Cookiecology</v>
      </c>
      <c r="I299" s="285" t="str">
        <f>IFERROR(__xludf.DUMMYFUNCTION("""COMPUTED_VALUE"""),"081213841930")</f>
        <v>081213841930</v>
      </c>
      <c r="J299" s="285" t="str">
        <f>IFERROR(__xludf.DUMMYFUNCTION("""COMPUTED_VALUE"""),"Leads Baru")</f>
        <v>Leads Baru</v>
      </c>
      <c r="K299" s="285" t="str">
        <f>IFERROR(__xludf.DUMMYFUNCTION("""COMPUTED_VALUE"""),"1 day trip")</f>
        <v>1 day trip</v>
      </c>
      <c r="L299" s="287"/>
      <c r="M299" s="288">
        <f>IFERROR(__xludf.DUMMYFUNCTION("""COMPUTED_VALUE"""),4.0)</f>
        <v>4</v>
      </c>
      <c r="N299" s="289"/>
      <c r="O299" s="290" t="str">
        <f>IFERROR(__xludf.DUMMYFUNCTION("""COMPUTED_VALUE"""),"FU 12 Juli")</f>
        <v>FU 12 Juli</v>
      </c>
      <c r="P299" s="320"/>
      <c r="R299" s="285"/>
      <c r="S299" s="285"/>
      <c r="T299" s="285"/>
      <c r="U299" s="285"/>
      <c r="V299" s="285"/>
      <c r="W299" s="285"/>
      <c r="X299" s="285"/>
      <c r="Y299" s="285"/>
      <c r="Z299" s="285"/>
      <c r="AA299" s="285"/>
      <c r="AC299" s="285" t="str">
        <f>IFERROR(__xludf.DUMMYFUNCTION("""COMPUTED_VALUE"""),"2603D037")</f>
        <v>2603D037</v>
      </c>
      <c r="AD299" s="286">
        <f>IFERROR(__xludf.DUMMYFUNCTION("""COMPUTED_VALUE"""),46089.0)</f>
        <v>46089</v>
      </c>
      <c r="AE299" s="285" t="str">
        <f>IFERROR(__xludf.DUMMYFUNCTION("""COMPUTED_VALUE"""),"Mayrican A.T")</f>
        <v>Mayrican A.T</v>
      </c>
      <c r="AF299" s="285" t="str">
        <f>IFERROR(__xludf.DUMMYFUNCTION("""COMPUTED_VALUE"""),"0895411879995")</f>
        <v>0895411879995</v>
      </c>
      <c r="AG299" s="285" t="str">
        <f>IFERROR(__xludf.DUMMYFUNCTION("""COMPUTED_VALUE"""),"Gagal")</f>
        <v>Gagal</v>
      </c>
      <c r="AH299" s="285" t="str">
        <f>IFERROR(__xludf.DUMMYFUNCTION("""COMPUTED_VALUE"""),"paket 1 day trip pulau merah")</f>
        <v>paket 1 day trip pulau merah</v>
      </c>
      <c r="AI299" s="287"/>
      <c r="AJ299" s="285">
        <f>IFERROR(__xludf.DUMMYFUNCTION("""COMPUTED_VALUE"""),3.0)</f>
        <v>3</v>
      </c>
      <c r="AK299" s="289">
        <f>IFERROR(__xludf.DUMMYFUNCTION("""COMPUTED_VALUE"""),1548000.0)</f>
        <v>1548000</v>
      </c>
      <c r="AL299" s="285" t="str">
        <f>IFERROR(__xludf.DUMMYFUNCTION("""COMPUTED_VALUE"""),"ga jadi, alasan belum tahu")</f>
        <v>ga jadi, alasan belum tahu</v>
      </c>
    </row>
    <row r="300">
      <c r="F300" s="285" t="str">
        <f>IFERROR(__xludf.DUMMYFUNCTION("""COMPUTED_VALUE"""),"2607D079")</f>
        <v>2607D079</v>
      </c>
      <c r="G300" s="286">
        <f>IFERROR(__xludf.DUMMYFUNCTION("""COMPUTED_VALUE"""),46211.0)</f>
        <v>46211</v>
      </c>
      <c r="H300" s="285" t="str">
        <f>IFERROR(__xludf.DUMMYFUNCTION("""COMPUTED_VALUE"""),"Del  ")</f>
        <v>Del  </v>
      </c>
      <c r="I300" s="285" t="str">
        <f>IFERROR(__xludf.DUMMYFUNCTION("""COMPUTED_VALUE"""),"081324026657")</f>
        <v>081324026657</v>
      </c>
      <c r="J300" s="285" t="str">
        <f>IFERROR(__xludf.DUMMYFUNCTION("""COMPUTED_VALUE"""),"Leads Baru")</f>
        <v>Leads Baru</v>
      </c>
      <c r="K300" s="285"/>
      <c r="L300" s="287"/>
      <c r="M300" s="288">
        <f>IFERROR(__xludf.DUMMYFUNCTION("""COMPUTED_VALUE"""),2.0)</f>
        <v>2</v>
      </c>
      <c r="N300" s="289"/>
      <c r="O300" s="290"/>
      <c r="P300" s="320"/>
      <c r="R300" s="285"/>
      <c r="S300" s="285"/>
      <c r="T300" s="285"/>
      <c r="U300" s="285"/>
      <c r="V300" s="285"/>
      <c r="W300" s="285"/>
      <c r="X300" s="285"/>
      <c r="Y300" s="285"/>
      <c r="Z300" s="285"/>
      <c r="AA300" s="285"/>
      <c r="AC300" s="285" t="str">
        <f>IFERROR(__xludf.DUMMYFUNCTION("""COMPUTED_VALUE"""),"2603D041")</f>
        <v>2603D041</v>
      </c>
      <c r="AD300" s="286">
        <f>IFERROR(__xludf.DUMMYFUNCTION("""COMPUTED_VALUE"""),46090.0)</f>
        <v>46090</v>
      </c>
      <c r="AE300" s="285" t="str">
        <f>IFERROR(__xludf.DUMMYFUNCTION("""COMPUTED_VALUE"""),"Ashta")</f>
        <v>Ashta</v>
      </c>
      <c r="AF300" s="285" t="str">
        <f>IFERROR(__xludf.DUMMYFUNCTION("""COMPUTED_VALUE"""),"085121330989")</f>
        <v>085121330989</v>
      </c>
      <c r="AG300" s="285" t="str">
        <f>IFERROR(__xludf.DUMMYFUNCTION("""COMPUTED_VALUE"""),"Gagal")</f>
        <v>Gagal</v>
      </c>
      <c r="AH300" s="285"/>
      <c r="AI300" s="287">
        <f>IFERROR(__xludf.DUMMYFUNCTION("""COMPUTED_VALUE"""),46107.0)</f>
        <v>46107</v>
      </c>
      <c r="AJ300" s="285">
        <f>IFERROR(__xludf.DUMMYFUNCTION("""COMPUTED_VALUE"""),2.0)</f>
        <v>2</v>
      </c>
      <c r="AK300" s="289"/>
      <c r="AL300" s="285" t="str">
        <f>IFERROR(__xludf.DUMMYFUNCTION("""COMPUTED_VALUE"""),"belum dulu")</f>
        <v>belum dulu</v>
      </c>
    </row>
    <row r="301">
      <c r="F301" s="285" t="str">
        <f>IFERROR(__xludf.DUMMYFUNCTION("""COMPUTED_VALUE"""),"2607D080")</f>
        <v>2607D080</v>
      </c>
      <c r="G301" s="286">
        <f>IFERROR(__xludf.DUMMYFUNCTION("""COMPUTED_VALUE"""),46211.0)</f>
        <v>46211</v>
      </c>
      <c r="H301" s="285" t="str">
        <f>IFERROR(__xludf.DUMMYFUNCTION("""COMPUTED_VALUE"""),"No Name MTB")</f>
        <v>No Name MTB</v>
      </c>
      <c r="I301" s="285" t="str">
        <f>IFERROR(__xludf.DUMMYFUNCTION("""COMPUTED_VALUE"""),"082132343238")</f>
        <v>082132343238</v>
      </c>
      <c r="J301" s="285" t="str">
        <f>IFERROR(__xludf.DUMMYFUNCTION("""COMPUTED_VALUE"""),"Leads Baru")</f>
        <v>Leads Baru</v>
      </c>
      <c r="K301" s="285"/>
      <c r="L301" s="287"/>
      <c r="M301" s="288"/>
      <c r="N301" s="289"/>
      <c r="O301" s="290"/>
      <c r="P301" s="320"/>
      <c r="R301" s="285"/>
      <c r="S301" s="285"/>
      <c r="T301" s="285"/>
      <c r="U301" s="285"/>
      <c r="V301" s="285"/>
      <c r="W301" s="285"/>
      <c r="X301" s="285"/>
      <c r="Y301" s="285"/>
      <c r="Z301" s="285"/>
      <c r="AA301" s="285"/>
      <c r="AC301" s="285" t="str">
        <f>IFERROR(__xludf.DUMMYFUNCTION("""COMPUTED_VALUE"""),"2603D042")</f>
        <v>2603D042</v>
      </c>
      <c r="AD301" s="286">
        <f>IFERROR(__xludf.DUMMYFUNCTION("""COMPUTED_VALUE"""),46090.0)</f>
        <v>46090</v>
      </c>
      <c r="AE301" s="285" t="str">
        <f>IFERROR(__xludf.DUMMYFUNCTION("""COMPUTED_VALUE"""),"Reni")</f>
        <v>Reni</v>
      </c>
      <c r="AF301" s="285" t="str">
        <f>IFERROR(__xludf.DUMMYFUNCTION("""COMPUTED_VALUE"""),"082233760255")</f>
        <v>082233760255</v>
      </c>
      <c r="AG301" s="285" t="str">
        <f>IFERROR(__xludf.DUMMYFUNCTION("""COMPUTED_VALUE"""),"Gagal")</f>
        <v>Gagal</v>
      </c>
      <c r="AH301" s="285" t="str">
        <f>IFERROR(__xludf.DUMMYFUNCTION("""COMPUTED_VALUE"""),"3H2M atau 2H1M")</f>
        <v>3H2M atau 2H1M</v>
      </c>
      <c r="AI301" s="287"/>
      <c r="AJ301" s="285">
        <f>IFERROR(__xludf.DUMMYFUNCTION("""COMPUTED_VALUE"""),8.0)</f>
        <v>8</v>
      </c>
      <c r="AK301" s="289"/>
      <c r="AL301" s="285" t="str">
        <f>IFERROR(__xludf.DUMMYFUNCTION("""COMPUTED_VALUE"""),"tidak ada jawaban, lewat tanggal")</f>
        <v>tidak ada jawaban, lewat tanggal</v>
      </c>
    </row>
    <row r="302">
      <c r="F302" s="285" t="str">
        <f>IFERROR(__xludf.DUMMYFUNCTION("""COMPUTED_VALUE"""),"2607D081")</f>
        <v>2607D081</v>
      </c>
      <c r="G302" s="286">
        <f>IFERROR(__xludf.DUMMYFUNCTION("""COMPUTED_VALUE"""),46213.0)</f>
        <v>46213</v>
      </c>
      <c r="H302" s="285" t="str">
        <f>IFERROR(__xludf.DUMMYFUNCTION("""COMPUTED_VALUE"""),"Ira")</f>
        <v>Ira</v>
      </c>
      <c r="I302" s="285" t="str">
        <f>IFERROR(__xludf.DUMMYFUNCTION("""COMPUTED_VALUE"""),"082129111418")</f>
        <v>082129111418</v>
      </c>
      <c r="J302" s="285" t="str">
        <f>IFERROR(__xludf.DUMMYFUNCTION("""COMPUTED_VALUE"""),"Leads Baru")</f>
        <v>Leads Baru</v>
      </c>
      <c r="K302" s="285" t="str">
        <f>IFERROR(__xludf.DUMMYFUNCTION("""COMPUTED_VALUE"""),"OT 3H2M")</f>
        <v>OT 3H2M</v>
      </c>
      <c r="L302" s="287">
        <f>IFERROR(__xludf.DUMMYFUNCTION("""COMPUTED_VALUE"""),46257.0)</f>
        <v>46257</v>
      </c>
      <c r="M302" s="288">
        <f>IFERROR(__xludf.DUMMYFUNCTION("""COMPUTED_VALUE"""),2.0)</f>
        <v>2</v>
      </c>
      <c r="N302" s="289"/>
      <c r="O302" s="290"/>
      <c r="P302" s="320"/>
      <c r="R302" s="285"/>
      <c r="S302" s="285"/>
      <c r="T302" s="285"/>
      <c r="U302" s="285"/>
      <c r="V302" s="285"/>
      <c r="W302" s="285"/>
      <c r="X302" s="285"/>
      <c r="Y302" s="285"/>
      <c r="Z302" s="285"/>
      <c r="AA302" s="285"/>
      <c r="AC302" s="285" t="str">
        <f>IFERROR(__xludf.DUMMYFUNCTION("""COMPUTED_VALUE"""),"2603D043")</f>
        <v>2603D043</v>
      </c>
      <c r="AD302" s="286">
        <f>IFERROR(__xludf.DUMMYFUNCTION("""COMPUTED_VALUE"""),46091.0)</f>
        <v>46091</v>
      </c>
      <c r="AE302" s="285" t="str">
        <f>IFERROR(__xludf.DUMMYFUNCTION("""COMPUTED_VALUE"""),"Kunny")</f>
        <v>Kunny</v>
      </c>
      <c r="AF302" s="285" t="str">
        <f>IFERROR(__xludf.DUMMYFUNCTION("""COMPUTED_VALUE"""),"087776268365")</f>
        <v>087776268365</v>
      </c>
      <c r="AG302" s="285" t="str">
        <f>IFERROR(__xludf.DUMMYFUNCTION("""COMPUTED_VALUE"""),"Gagal")</f>
        <v>Gagal</v>
      </c>
      <c r="AH302" s="285"/>
      <c r="AI302" s="287"/>
      <c r="AJ302" s="285"/>
      <c r="AK302" s="289"/>
      <c r="AL302" s="285" t="str">
        <f>IFERROR(__xludf.DUMMYFUNCTION("""COMPUTED_VALUE"""),"gada jawaban. hanya menyapa")</f>
        <v>gada jawaban. hanya menyapa</v>
      </c>
    </row>
    <row r="303">
      <c r="F303" s="285" t="str">
        <f>IFERROR(__xludf.DUMMYFUNCTION("""COMPUTED_VALUE"""),"2607D085")</f>
        <v>2607D085</v>
      </c>
      <c r="G303" s="286">
        <f>IFERROR(__xludf.DUMMYFUNCTION("""COMPUTED_VALUE"""),46214.0)</f>
        <v>46214</v>
      </c>
      <c r="H303" s="285" t="str">
        <f>IFERROR(__xludf.DUMMYFUNCTION("""COMPUTED_VALUE"""),"Frida")</f>
        <v>Frida</v>
      </c>
      <c r="I303" s="285" t="str">
        <f>IFERROR(__xludf.DUMMYFUNCTION("""COMPUTED_VALUE"""),"085328722330")</f>
        <v>085328722330</v>
      </c>
      <c r="J303" s="285" t="str">
        <f>IFERROR(__xludf.DUMMYFUNCTION("""COMPUTED_VALUE"""),"Leads Baru")</f>
        <v>Leads Baru</v>
      </c>
      <c r="K303" s="285" t="str">
        <f>IFERROR(__xludf.DUMMYFUNCTION("""COMPUTED_VALUE"""),"2H1M custome")</f>
        <v>2H1M custome</v>
      </c>
      <c r="L303" s="287"/>
      <c r="M303" s="288">
        <f>IFERROR(__xludf.DUMMYFUNCTION("""COMPUTED_VALUE"""),3.0)</f>
        <v>3</v>
      </c>
      <c r="N303" s="289"/>
      <c r="O303" s="290" t="str">
        <f>IFERROR(__xludf.DUMMYFUNCTION("""COMPUTED_VALUE"""),"FU 12 Juli")</f>
        <v>FU 12 Juli</v>
      </c>
      <c r="P303" s="320"/>
      <c r="R303" s="285"/>
      <c r="S303" s="285"/>
      <c r="T303" s="285"/>
      <c r="U303" s="285"/>
      <c r="V303" s="285"/>
      <c r="W303" s="285"/>
      <c r="X303" s="285"/>
      <c r="Y303" s="285"/>
      <c r="Z303" s="285"/>
      <c r="AA303" s="285"/>
      <c r="AC303" s="285" t="str">
        <f>IFERROR(__xludf.DUMMYFUNCTION("""COMPUTED_VALUE"""),"2603D044")</f>
        <v>2603D044</v>
      </c>
      <c r="AD303" s="286">
        <f>IFERROR(__xludf.DUMMYFUNCTION("""COMPUTED_VALUE"""),46091.0)</f>
        <v>46091</v>
      </c>
      <c r="AE303" s="285" t="str">
        <f>IFERROR(__xludf.DUMMYFUNCTION("""COMPUTED_VALUE"""),"titik")</f>
        <v>titik</v>
      </c>
      <c r="AF303" s="285" t="str">
        <f>IFERROR(__xludf.DUMMYFUNCTION("""COMPUTED_VALUE"""),"081380952392")</f>
        <v>081380952392</v>
      </c>
      <c r="AG303" s="285" t="str">
        <f>IFERROR(__xludf.DUMMYFUNCTION("""COMPUTED_VALUE"""),"Gagal")</f>
        <v>Gagal</v>
      </c>
      <c r="AH303" s="285" t="str">
        <f>IFERROR(__xludf.DUMMYFUNCTION("""COMPUTED_VALUE"""),"green island ")</f>
        <v>green island </v>
      </c>
      <c r="AI303" s="287">
        <f>IFERROR(__xludf.DUMMYFUNCTION("""COMPUTED_VALUE"""),46123.0)</f>
        <v>46123</v>
      </c>
      <c r="AJ303" s="285">
        <f>IFERROR(__xludf.DUMMYFUNCTION("""COMPUTED_VALUE"""),3.0)</f>
        <v>3</v>
      </c>
      <c r="AK303" s="289">
        <f>IFERROR(__xludf.DUMMYFUNCTION("""COMPUTED_VALUE"""),2475000.0)</f>
        <v>2475000</v>
      </c>
      <c r="AL303" s="285" t="str">
        <f>IFERROR(__xludf.DUMMYFUNCTION("""COMPUTED_VALUE"""),"FU 6 April")</f>
        <v>FU 6 April</v>
      </c>
    </row>
    <row r="304">
      <c r="F304" s="285" t="str">
        <f>IFERROR(__xludf.DUMMYFUNCTION("""COMPUTED_VALUE"""),"2607D086")</f>
        <v>2607D086</v>
      </c>
      <c r="G304" s="286">
        <f>IFERROR(__xludf.DUMMYFUNCTION("""COMPUTED_VALUE"""),46215.0)</f>
        <v>46215</v>
      </c>
      <c r="H304" s="285" t="str">
        <f>IFERROR(__xludf.DUMMYFUNCTION("""COMPUTED_VALUE"""),"Christanti")</f>
        <v>Christanti</v>
      </c>
      <c r="I304" s="285" t="str">
        <f>IFERROR(__xludf.DUMMYFUNCTION("""COMPUTED_VALUE"""),"081215951574")</f>
        <v>081215951574</v>
      </c>
      <c r="J304" s="285" t="str">
        <f>IFERROR(__xludf.DUMMYFUNCTION("""COMPUTED_VALUE"""),"Leads Baru")</f>
        <v>Leads Baru</v>
      </c>
      <c r="K304" s="285"/>
      <c r="L304" s="287"/>
      <c r="M304" s="288"/>
      <c r="N304" s="289"/>
      <c r="O304" s="290"/>
      <c r="P304" s="320"/>
      <c r="R304" s="285"/>
      <c r="S304" s="285"/>
      <c r="T304" s="285"/>
      <c r="U304" s="285"/>
      <c r="V304" s="285"/>
      <c r="W304" s="285"/>
      <c r="X304" s="285"/>
      <c r="Y304" s="285"/>
      <c r="Z304" s="285"/>
      <c r="AA304" s="285"/>
      <c r="AC304" s="285" t="str">
        <f>IFERROR(__xludf.DUMMYFUNCTION("""COMPUTED_VALUE"""),"2603D045")</f>
        <v>2603D045</v>
      </c>
      <c r="AD304" s="286">
        <f>IFERROR(__xludf.DUMMYFUNCTION("""COMPUTED_VALUE"""),46091.0)</f>
        <v>46091</v>
      </c>
      <c r="AE304" s="285" t="str">
        <f>IFERROR(__xludf.DUMMYFUNCTION("""COMPUTED_VALUE"""),"Irvandiptr")</f>
        <v>Irvandiptr</v>
      </c>
      <c r="AF304" s="285" t="str">
        <f>IFERROR(__xludf.DUMMYFUNCTION("""COMPUTED_VALUE"""),"087830130288")</f>
        <v>087830130288</v>
      </c>
      <c r="AG304" s="285" t="str">
        <f>IFERROR(__xludf.DUMMYFUNCTION("""COMPUTED_VALUE"""),"Gagal")</f>
        <v>Gagal</v>
      </c>
      <c r="AH304" s="285" t="str">
        <f>IFERROR(__xludf.DUMMYFUNCTION("""COMPUTED_VALUE"""),"3H2M")</f>
        <v>3H2M</v>
      </c>
      <c r="AI304" s="287">
        <f>IFERROR(__xludf.DUMMYFUNCTION("""COMPUTED_VALUE"""),46104.0)</f>
        <v>46104</v>
      </c>
      <c r="AJ304" s="285">
        <f>IFERROR(__xludf.DUMMYFUNCTION("""COMPUTED_VALUE"""),10.0)</f>
        <v>10</v>
      </c>
      <c r="AK304" s="289">
        <f>IFERROR(__xludf.DUMMYFUNCTION("""COMPUTED_VALUE"""),1.1E7)</f>
        <v>11000000</v>
      </c>
      <c r="AL304" s="285" t="str">
        <f>IFERROR(__xludf.DUMMYFUNCTION("""COMPUTED_VALUE"""),"lewat tanggal, tidak ada jawaban ")</f>
        <v>lewat tanggal, tidak ada jawaban </v>
      </c>
    </row>
    <row r="305">
      <c r="F305" s="285" t="str">
        <f>IFERROR(__xludf.DUMMYFUNCTION("""COMPUTED_VALUE"""),"2607D088")</f>
        <v>2607D088</v>
      </c>
      <c r="G305" s="286">
        <f>IFERROR(__xludf.DUMMYFUNCTION("""COMPUTED_VALUE"""),46216.0)</f>
        <v>46216</v>
      </c>
      <c r="H305" s="285" t="str">
        <f>IFERROR(__xludf.DUMMYFUNCTION("""COMPUTED_VALUE"""),"Notbudiharto")</f>
        <v>Notbudiharto</v>
      </c>
      <c r="I305" s="285" t="str">
        <f>IFERROR(__xludf.DUMMYFUNCTION("""COMPUTED_VALUE"""),"082188981943")</f>
        <v>082188981943</v>
      </c>
      <c r="J305" s="285" t="str">
        <f>IFERROR(__xludf.DUMMYFUNCTION("""COMPUTED_VALUE"""),"Leads Baru")</f>
        <v>Leads Baru</v>
      </c>
      <c r="K305" s="285"/>
      <c r="L305" s="287"/>
      <c r="M305" s="288"/>
      <c r="N305" s="289"/>
      <c r="O305" s="290" t="str">
        <f>IFERROR(__xludf.DUMMYFUNCTION("""COMPUTED_VALUE"""),"menyapa")</f>
        <v>menyapa</v>
      </c>
      <c r="P305" s="320"/>
      <c r="R305" s="285"/>
      <c r="S305" s="285"/>
      <c r="T305" s="285"/>
      <c r="U305" s="285"/>
      <c r="V305" s="285"/>
      <c r="W305" s="285"/>
      <c r="X305" s="285"/>
      <c r="Y305" s="285"/>
      <c r="Z305" s="285"/>
      <c r="AA305" s="285"/>
      <c r="AC305" s="285" t="str">
        <f>IFERROR(__xludf.DUMMYFUNCTION("""COMPUTED_VALUE"""),"2603D046")</f>
        <v>2603D046</v>
      </c>
      <c r="AD305" s="286">
        <f>IFERROR(__xludf.DUMMYFUNCTION("""COMPUTED_VALUE"""),46091.0)</f>
        <v>46091</v>
      </c>
      <c r="AE305" s="285" t="str">
        <f>IFERROR(__xludf.DUMMYFUNCTION("""COMPUTED_VALUE"""),"Chacha")</f>
        <v>Chacha</v>
      </c>
      <c r="AF305" s="285" t="str">
        <f>IFERROR(__xludf.DUMMYFUNCTION("""COMPUTED_VALUE"""),"085881293821")</f>
        <v>085881293821</v>
      </c>
      <c r="AG305" s="285" t="str">
        <f>IFERROR(__xludf.DUMMYFUNCTION("""COMPUTED_VALUE"""),"Gagal")</f>
        <v>Gagal</v>
      </c>
      <c r="AH305" s="285" t="str">
        <f>IFERROR(__xludf.DUMMYFUNCTION("""COMPUTED_VALUE"""),"4H3M")</f>
        <v>4H3M</v>
      </c>
      <c r="AI305" s="287"/>
      <c r="AJ305" s="285">
        <f>IFERROR(__xludf.DUMMYFUNCTION("""COMPUTED_VALUE"""),6.0)</f>
        <v>6</v>
      </c>
      <c r="AK305" s="289">
        <f>IFERROR(__xludf.DUMMYFUNCTION("""COMPUTED_VALUE"""),1.137E7)</f>
        <v>11370000</v>
      </c>
      <c r="AL305" s="285" t="str">
        <f>IFERROR(__xludf.DUMMYFUNCTION("""COMPUTED_VALUE"""),"lewat tanggal, tidak ada jawaban ")</f>
        <v>lewat tanggal, tidak ada jawaban </v>
      </c>
    </row>
    <row r="306">
      <c r="F306" s="285" t="str">
        <f>IFERROR(__xludf.DUMMYFUNCTION("""COMPUTED_VALUE"""),"2607D089")</f>
        <v>2607D089</v>
      </c>
      <c r="G306" s="286">
        <f>IFERROR(__xludf.DUMMYFUNCTION("""COMPUTED_VALUE"""),46216.0)</f>
        <v>46216</v>
      </c>
      <c r="H306" s="285" t="str">
        <f>IFERROR(__xludf.DUMMYFUNCTION("""COMPUTED_VALUE"""),"Arini")</f>
        <v>Arini</v>
      </c>
      <c r="I306" s="285" t="str">
        <f>IFERROR(__xludf.DUMMYFUNCTION("""COMPUTED_VALUE"""),"085648929168")</f>
        <v>085648929168</v>
      </c>
      <c r="J306" s="285" t="str">
        <f>IFERROR(__xludf.DUMMYFUNCTION("""COMPUTED_VALUE"""),"Leads Baru")</f>
        <v>Leads Baru</v>
      </c>
      <c r="K306" s="285" t="str">
        <f>IFERROR(__xludf.DUMMYFUNCTION("""COMPUTED_VALUE"""),"trip tabuhan")</f>
        <v>trip tabuhan</v>
      </c>
      <c r="L306" s="287"/>
      <c r="M306" s="288"/>
      <c r="N306" s="289"/>
      <c r="O306" s="290" t="str">
        <f>IFERROR(__xludf.DUMMYFUNCTION("""COMPUTED_VALUE"""),"FU 3 Agustus")</f>
        <v>FU 3 Agustus</v>
      </c>
      <c r="P306" s="320"/>
      <c r="R306" s="285"/>
      <c r="S306" s="285"/>
      <c r="T306" s="285"/>
      <c r="U306" s="285"/>
      <c r="V306" s="285"/>
      <c r="W306" s="285"/>
      <c r="X306" s="285"/>
      <c r="Y306" s="285"/>
      <c r="Z306" s="285"/>
      <c r="AA306" s="285"/>
      <c r="AC306" s="285" t="str">
        <f>IFERROR(__xludf.DUMMYFUNCTION("""COMPUTED_VALUE"""),"2603D048")</f>
        <v>2603D048</v>
      </c>
      <c r="AD306" s="286">
        <f>IFERROR(__xludf.DUMMYFUNCTION("""COMPUTED_VALUE"""),46092.0)</f>
        <v>46092</v>
      </c>
      <c r="AE306" s="285" t="str">
        <f>IFERROR(__xludf.DUMMYFUNCTION("""COMPUTED_VALUE"""),"Anggia Desti")</f>
        <v>Anggia Desti</v>
      </c>
      <c r="AF306" s="285" t="str">
        <f>IFERROR(__xludf.DUMMYFUNCTION("""COMPUTED_VALUE"""),"085740117527")</f>
        <v>085740117527</v>
      </c>
      <c r="AG306" s="285" t="str">
        <f>IFERROR(__xludf.DUMMYFUNCTION("""COMPUTED_VALUE"""),"Gagal")</f>
        <v>Gagal</v>
      </c>
      <c r="AH306" s="285" t="str">
        <f>IFERROR(__xludf.DUMMYFUNCTION("""COMPUTED_VALUE"""),"OPEN TRIP")</f>
        <v>OPEN TRIP</v>
      </c>
      <c r="AI306" s="287"/>
      <c r="AJ306" s="285">
        <f>IFERROR(__xludf.DUMMYFUNCTION("""COMPUTED_VALUE"""),2.0)</f>
        <v>2</v>
      </c>
      <c r="AK306" s="289">
        <f>IFERROR(__xludf.DUMMYFUNCTION("""COMPUTED_VALUE"""),1750000.0)</f>
        <v>1750000</v>
      </c>
      <c r="AL306" s="285" t="str">
        <f>IFERROR(__xludf.DUMMYFUNCTION("""COMPUTED_VALUE"""),"prepare belum matang")</f>
        <v>prepare belum matang</v>
      </c>
    </row>
    <row r="307">
      <c r="F307" s="285" t="str">
        <f>IFERROR(__xludf.DUMMYFUNCTION("""COMPUTED_VALUE"""),"2607D090")</f>
        <v>2607D090</v>
      </c>
      <c r="G307" s="286">
        <f>IFERROR(__xludf.DUMMYFUNCTION("""COMPUTED_VALUE"""),46215.0)</f>
        <v>46215</v>
      </c>
      <c r="H307" s="285" t="str">
        <f>IFERROR(__xludf.DUMMYFUNCTION("""COMPUTED_VALUE"""),"Elvina Debora")</f>
        <v>Elvina Debora</v>
      </c>
      <c r="I307" s="285" t="str">
        <f>IFERROR(__xludf.DUMMYFUNCTION("""COMPUTED_VALUE"""),"082211912128")</f>
        <v>082211912128</v>
      </c>
      <c r="J307" s="285" t="str">
        <f>IFERROR(__xludf.DUMMYFUNCTION("""COMPUTED_VALUE"""),"Leads Baru")</f>
        <v>Leads Baru</v>
      </c>
      <c r="K307" s="285" t="str">
        <f>IFERROR(__xludf.DUMMYFUNCTION("""COMPUTED_VALUE"""),"OT 3h2m")</f>
        <v>OT 3h2m</v>
      </c>
      <c r="L307" s="287"/>
      <c r="M307" s="288"/>
      <c r="N307" s="289"/>
      <c r="O307" s="290" t="str">
        <f>IFERROR(__xludf.DUMMYFUNCTION("""COMPUTED_VALUE"""),"fu 1 agustus")</f>
        <v>fu 1 agustus</v>
      </c>
      <c r="P307" s="320"/>
      <c r="R307" s="285"/>
      <c r="S307" s="285"/>
      <c r="T307" s="285"/>
      <c r="U307" s="285"/>
      <c r="V307" s="285"/>
      <c r="W307" s="285"/>
      <c r="X307" s="285"/>
      <c r="Y307" s="285"/>
      <c r="Z307" s="285"/>
      <c r="AA307" s="285"/>
      <c r="AC307" s="285" t="str">
        <f>IFERROR(__xludf.DUMMYFUNCTION("""COMPUTED_VALUE"""),"2603D049")</f>
        <v>2603D049</v>
      </c>
      <c r="AD307" s="286">
        <f>IFERROR(__xludf.DUMMYFUNCTION("""COMPUTED_VALUE"""),46092.0)</f>
        <v>46092</v>
      </c>
      <c r="AE307" s="285" t="str">
        <f>IFERROR(__xludf.DUMMYFUNCTION("""COMPUTED_VALUE"""),"Adee W")</f>
        <v>Adee W</v>
      </c>
      <c r="AF307" s="285" t="str">
        <f>IFERROR(__xludf.DUMMYFUNCTION("""COMPUTED_VALUE"""),"082399441109")</f>
        <v>082399441109</v>
      </c>
      <c r="AG307" s="285" t="str">
        <f>IFERROR(__xludf.DUMMYFUNCTION("""COMPUTED_VALUE"""),"Gagal")</f>
        <v>Gagal</v>
      </c>
      <c r="AH307" s="285" t="str">
        <f>IFERROR(__xludf.DUMMYFUNCTION("""COMPUTED_VALUE"""),"open trip kawah ijen")</f>
        <v>open trip kawah ijen</v>
      </c>
      <c r="AI307" s="287"/>
      <c r="AJ307" s="285">
        <f>IFERROR(__xludf.DUMMYFUNCTION("""COMPUTED_VALUE"""),1.0)</f>
        <v>1</v>
      </c>
      <c r="AK307" s="289">
        <f>IFERROR(__xludf.DUMMYFUNCTION("""COMPUTED_VALUE"""),250000.0)</f>
        <v>250000</v>
      </c>
      <c r="AL307" s="285" t="str">
        <f>IFERROR(__xludf.DUMMYFUNCTION("""COMPUTED_VALUE"""),"tiket pesawat papua mahal")</f>
        <v>tiket pesawat papua mahal</v>
      </c>
    </row>
    <row r="308">
      <c r="F308" s="285" t="str">
        <f>IFERROR(__xludf.DUMMYFUNCTION("""COMPUTED_VALUE"""),"2607D092")</f>
        <v>2607D092</v>
      </c>
      <c r="G308" s="286">
        <f>IFERROR(__xludf.DUMMYFUNCTION("""COMPUTED_VALUE"""),46216.0)</f>
        <v>46216</v>
      </c>
      <c r="H308" s="285" t="str">
        <f>IFERROR(__xludf.DUMMYFUNCTION("""COMPUTED_VALUE"""),"Yasmina")</f>
        <v>Yasmina</v>
      </c>
      <c r="I308" s="285" t="str">
        <f>IFERROR(__xludf.DUMMYFUNCTION("""COMPUTED_VALUE"""),"082138580336")</f>
        <v>082138580336</v>
      </c>
      <c r="J308" s="285" t="str">
        <f>IFERROR(__xludf.DUMMYFUNCTION("""COMPUTED_VALUE"""),"Leads Baru")</f>
        <v>Leads Baru</v>
      </c>
      <c r="K308" s="285" t="str">
        <f>IFERROR(__xludf.DUMMYFUNCTION("""COMPUTED_VALUE"""),"OT 3h2m")</f>
        <v>OT 3h2m</v>
      </c>
      <c r="L308" s="287"/>
      <c r="M308" s="288"/>
      <c r="N308" s="289"/>
      <c r="O308" s="290" t="str">
        <f>IFERROR(__xludf.DUMMYFUNCTION("""COMPUTED_VALUE"""),"tidak jadii menggunakan jasa travel")</f>
        <v>tidak jadii menggunakan jasa travel</v>
      </c>
      <c r="P308" s="320"/>
      <c r="R308" s="285"/>
      <c r="S308" s="285"/>
      <c r="T308" s="285"/>
      <c r="U308" s="285"/>
      <c r="V308" s="285"/>
      <c r="W308" s="285"/>
      <c r="X308" s="285"/>
      <c r="Y308" s="285"/>
      <c r="Z308" s="285"/>
      <c r="AA308" s="285"/>
      <c r="AC308" s="285" t="str">
        <f>IFERROR(__xludf.DUMMYFUNCTION("""COMPUTED_VALUE"""),"2603D050")</f>
        <v>2603D050</v>
      </c>
      <c r="AD308" s="286">
        <f>IFERROR(__xludf.DUMMYFUNCTION("""COMPUTED_VALUE"""),46092.0)</f>
        <v>46092</v>
      </c>
      <c r="AE308" s="285" t="str">
        <f>IFERROR(__xludf.DUMMYFUNCTION("""COMPUTED_VALUE"""),"Zakiaaaaa")</f>
        <v>Zakiaaaaa</v>
      </c>
      <c r="AF308" s="285" t="str">
        <f>IFERROR(__xludf.DUMMYFUNCTION("""COMPUTED_VALUE"""),"089657364735")</f>
        <v>089657364735</v>
      </c>
      <c r="AG308" s="285" t="str">
        <f>IFERROR(__xludf.DUMMYFUNCTION("""COMPUTED_VALUE"""),"Gagal")</f>
        <v>Gagal</v>
      </c>
      <c r="AH308" s="285" t="str">
        <f>IFERROR(__xludf.DUMMYFUNCTION("""COMPUTED_VALUE"""),"2H1M opsi A")</f>
        <v>2H1M opsi A</v>
      </c>
      <c r="AI308" s="287"/>
      <c r="AJ308" s="285">
        <f>IFERROR(__xludf.DUMMYFUNCTION("""COMPUTED_VALUE"""),2.0)</f>
        <v>2</v>
      </c>
      <c r="AK308" s="289">
        <f>IFERROR(__xludf.DUMMYFUNCTION("""COMPUTED_VALUE"""),4680000.0)</f>
        <v>4680000</v>
      </c>
      <c r="AL308" s="285" t="str">
        <f>IFERROR(__xludf.DUMMYFUNCTION("""COMPUTED_VALUE"""),"ga ada balasan, sudah fu 5x")</f>
        <v>ga ada balasan, sudah fu 5x</v>
      </c>
    </row>
    <row r="309">
      <c r="F309" s="285" t="str">
        <f>IFERROR(__xludf.DUMMYFUNCTION("""COMPUTED_VALUE"""),"2607D094")</f>
        <v>2607D094</v>
      </c>
      <c r="G309" s="286">
        <f>IFERROR(__xludf.DUMMYFUNCTION("""COMPUTED_VALUE"""),46216.0)</f>
        <v>46216</v>
      </c>
      <c r="H309" s="285" t="str">
        <f>IFERROR(__xludf.DUMMYFUNCTION("""COMPUTED_VALUE"""),"Bagus Dwiatmojo")</f>
        <v>Bagus Dwiatmojo</v>
      </c>
      <c r="I309" s="285" t="str">
        <f>IFERROR(__xludf.DUMMYFUNCTION("""COMPUTED_VALUE"""),"081324051000")</f>
        <v>081324051000</v>
      </c>
      <c r="J309" s="285" t="str">
        <f>IFERROR(__xludf.DUMMYFUNCTION("""COMPUTED_VALUE"""),"Leads Baru")</f>
        <v>Leads Baru</v>
      </c>
      <c r="K309" s="285" t="str">
        <f>IFERROR(__xludf.DUMMYFUNCTION("""COMPUTED_VALUE"""),"3H2M")</f>
        <v>3H2M</v>
      </c>
      <c r="L309" s="287">
        <f>IFERROR(__xludf.DUMMYFUNCTION("""COMPUTED_VALUE"""),46249.0)</f>
        <v>46249</v>
      </c>
      <c r="M309" s="288"/>
      <c r="N309" s="289"/>
      <c r="O309" s="290" t="str">
        <f>IFERROR(__xludf.DUMMYFUNCTION("""COMPUTED_VALUE"""),"tanya itinerary, FU 29 Juli")</f>
        <v>tanya itinerary, FU 29 Juli</v>
      </c>
      <c r="P309" s="320"/>
      <c r="R309" s="285"/>
      <c r="S309" s="285"/>
      <c r="T309" s="285"/>
      <c r="U309" s="285"/>
      <c r="V309" s="285"/>
      <c r="W309" s="285"/>
      <c r="X309" s="285"/>
      <c r="Y309" s="285"/>
      <c r="Z309" s="285"/>
      <c r="AA309" s="285"/>
      <c r="AC309" s="285" t="str">
        <f>IFERROR(__xludf.DUMMYFUNCTION("""COMPUTED_VALUE"""),"2603D051")</f>
        <v>2603D051</v>
      </c>
      <c r="AD309" s="286">
        <f>IFERROR(__xludf.DUMMYFUNCTION("""COMPUTED_VALUE"""),46092.0)</f>
        <v>46092</v>
      </c>
      <c r="AE309" s="285" t="str">
        <f>IFERROR(__xludf.DUMMYFUNCTION("""COMPUTED_VALUE"""),"Syemi")</f>
        <v>Syemi</v>
      </c>
      <c r="AF309" s="285" t="str">
        <f>IFERROR(__xludf.DUMMYFUNCTION("""COMPUTED_VALUE"""),"082187073907")</f>
        <v>082187073907</v>
      </c>
      <c r="AG309" s="285" t="str">
        <f>IFERROR(__xludf.DUMMYFUNCTION("""COMPUTED_VALUE"""),"Gagal")</f>
        <v>Gagal</v>
      </c>
      <c r="AH309" s="285" t="str">
        <f>IFERROR(__xludf.DUMMYFUNCTION("""COMPUTED_VALUE"""),"1D Djawatan Baluran ")</f>
        <v>1D Djawatan Baluran </v>
      </c>
      <c r="AI309" s="287">
        <f>IFERROR(__xludf.DUMMYFUNCTION("""COMPUTED_VALUE"""),46147.0)</f>
        <v>46147</v>
      </c>
      <c r="AJ309" s="285">
        <f>IFERROR(__xludf.DUMMYFUNCTION("""COMPUTED_VALUE"""),3.0)</f>
        <v>3</v>
      </c>
      <c r="AK309" s="289">
        <f>IFERROR(__xludf.DUMMYFUNCTION("""COMPUTED_VALUE"""),1875000.0)</f>
        <v>1875000</v>
      </c>
      <c r="AL309" s="285" t="str">
        <f>IFERROR(__xludf.DUMMYFUNCTION("""COMPUTED_VALUE"""),"tidak jadi ke banyuwangiii")</f>
        <v>tidak jadi ke banyuwangiii</v>
      </c>
    </row>
    <row r="310">
      <c r="F310" s="285" t="str">
        <f>IFERROR(__xludf.DUMMYFUNCTION("""COMPUTED_VALUE"""),"2607D095")</f>
        <v>2607D095</v>
      </c>
      <c r="G310" s="286">
        <f>IFERROR(__xludf.DUMMYFUNCTION("""COMPUTED_VALUE"""),46216.0)</f>
        <v>46216</v>
      </c>
      <c r="H310" s="285" t="str">
        <f>IFERROR(__xludf.DUMMYFUNCTION("""COMPUTED_VALUE"""),"Alfiyyah")</f>
        <v>Alfiyyah</v>
      </c>
      <c r="I310" s="285" t="str">
        <f>IFERROR(__xludf.DUMMYFUNCTION("""COMPUTED_VALUE"""),"085959745670")</f>
        <v>085959745670</v>
      </c>
      <c r="J310" s="285" t="str">
        <f>IFERROR(__xludf.DUMMYFUNCTION("""COMPUTED_VALUE"""),"Leads Baru")</f>
        <v>Leads Baru</v>
      </c>
      <c r="K310" s="285" t="str">
        <f>IFERROR(__xludf.DUMMYFUNCTION("""COMPUTED_VALUE"""),"OT TI, OT baluran")</f>
        <v>OT TI, OT baluran</v>
      </c>
      <c r="L310" s="287">
        <f>IFERROR(__xludf.DUMMYFUNCTION("""COMPUTED_VALUE"""),46223.0)</f>
        <v>46223</v>
      </c>
      <c r="M310" s="288"/>
      <c r="N310" s="289"/>
      <c r="O310" s="290" t="str">
        <f>IFERROR(__xludf.DUMMYFUNCTION("""COMPUTED_VALUE"""),"fu terakhir")</f>
        <v>fu terakhir</v>
      </c>
      <c r="P310" s="320"/>
      <c r="R310" s="285"/>
      <c r="S310" s="285"/>
      <c r="T310" s="285"/>
      <c r="U310" s="285"/>
      <c r="V310" s="285"/>
      <c r="W310" s="285"/>
      <c r="X310" s="285"/>
      <c r="Y310" s="285"/>
      <c r="Z310" s="285"/>
      <c r="AA310" s="285"/>
      <c r="AC310" s="285" t="str">
        <f>IFERROR(__xludf.DUMMYFUNCTION("""COMPUTED_VALUE"""),"2603D053")</f>
        <v>2603D053</v>
      </c>
      <c r="AD310" s="286">
        <f>IFERROR(__xludf.DUMMYFUNCTION("""COMPUTED_VALUE"""),46092.0)</f>
        <v>46092</v>
      </c>
      <c r="AE310" s="285" t="str">
        <f>IFERROR(__xludf.DUMMYFUNCTION("""COMPUTED_VALUE"""),"Rian Surya Kesuma")</f>
        <v>Rian Surya Kesuma</v>
      </c>
      <c r="AF310" s="285" t="str">
        <f>IFERROR(__xludf.DUMMYFUNCTION("""COMPUTED_VALUE"""),"0895616877302")</f>
        <v>0895616877302</v>
      </c>
      <c r="AG310" s="285" t="str">
        <f>IFERROR(__xludf.DUMMYFUNCTION("""COMPUTED_VALUE"""),"Gagal")</f>
        <v>Gagal</v>
      </c>
      <c r="AH310" s="285" t="str">
        <f>IFERROR(__xludf.DUMMYFUNCTION("""COMPUTED_VALUE"""),"Ijen")</f>
        <v>Ijen</v>
      </c>
      <c r="AI310" s="287">
        <f>IFERROR(__xludf.DUMMYFUNCTION("""COMPUTED_VALUE"""),46142.0)</f>
        <v>46142</v>
      </c>
      <c r="AJ310" s="285">
        <f>IFERROR(__xludf.DUMMYFUNCTION("""COMPUTED_VALUE"""),30.0)</f>
        <v>30</v>
      </c>
      <c r="AK310" s="289">
        <f>IFERROR(__xludf.DUMMYFUNCTION("""COMPUTED_VALUE"""),1.05E7)</f>
        <v>10500000</v>
      </c>
      <c r="AL310" s="285" t="str">
        <f>IFERROR(__xludf.DUMMYFUNCTION("""COMPUTED_VALUE"""),"batal karena pembatasan perjalanan dinas")</f>
        <v>batal karena pembatasan perjalanan dinas</v>
      </c>
    </row>
    <row r="311">
      <c r="F311" s="285" t="str">
        <f>IFERROR(__xludf.DUMMYFUNCTION("""COMPUTED_VALUE"""),"2607D096")</f>
        <v>2607D096</v>
      </c>
      <c r="G311" s="286">
        <f>IFERROR(__xludf.DUMMYFUNCTION("""COMPUTED_VALUE"""),46217.0)</f>
        <v>46217</v>
      </c>
      <c r="H311" s="285" t="str">
        <f>IFERROR(__xludf.DUMMYFUNCTION("""COMPUTED_VALUE"""),"Lindhuet")</f>
        <v>Lindhuet</v>
      </c>
      <c r="I311" s="285" t="str">
        <f>IFERROR(__xludf.DUMMYFUNCTION("""COMPUTED_VALUE"""),"082136993306")</f>
        <v>082136993306</v>
      </c>
      <c r="J311" s="285" t="str">
        <f>IFERROR(__xludf.DUMMYFUNCTION("""COMPUTED_VALUE"""),"Leads Baru")</f>
        <v>Leads Baru</v>
      </c>
      <c r="K311" s="285"/>
      <c r="L311" s="287"/>
      <c r="M311" s="288"/>
      <c r="N311" s="289"/>
      <c r="O311" s="290" t="str">
        <f>IFERROR(__xludf.DUMMYFUNCTION("""COMPUTED_VALUE"""),"baru menyapa, FU 2 Agustus")</f>
        <v>baru menyapa, FU 2 Agustus</v>
      </c>
      <c r="P311" s="320"/>
      <c r="R311" s="285"/>
      <c r="S311" s="285"/>
      <c r="T311" s="285"/>
      <c r="U311" s="285"/>
      <c r="V311" s="285"/>
      <c r="W311" s="285"/>
      <c r="X311" s="285"/>
      <c r="Y311" s="285"/>
      <c r="Z311" s="285"/>
      <c r="AA311" s="285"/>
      <c r="AC311" s="285" t="str">
        <f>IFERROR(__xludf.DUMMYFUNCTION("""COMPUTED_VALUE"""),"2603D055")</f>
        <v>2603D055</v>
      </c>
      <c r="AD311" s="286">
        <f>IFERROR(__xludf.DUMMYFUNCTION("""COMPUTED_VALUE"""),46093.0)</f>
        <v>46093</v>
      </c>
      <c r="AE311" s="285" t="str">
        <f>IFERROR(__xludf.DUMMYFUNCTION("""COMPUTED_VALUE"""),"Melisa")</f>
        <v>Melisa</v>
      </c>
      <c r="AF311" s="285" t="str">
        <f>IFERROR(__xludf.DUMMYFUNCTION("""COMPUTED_VALUE"""),"081807251858")</f>
        <v>081807251858</v>
      </c>
      <c r="AG311" s="285" t="str">
        <f>IFERROR(__xludf.DUMMYFUNCTION("""COMPUTED_VALUE"""),"Gagal")</f>
        <v>Gagal</v>
      </c>
      <c r="AH311" s="285" t="str">
        <f>IFERROR(__xludf.DUMMYFUNCTION("""COMPUTED_VALUE"""),"3H2M atau 2H1M")</f>
        <v>3H2M atau 2H1M</v>
      </c>
      <c r="AI311" s="287">
        <f>IFERROR(__xludf.DUMMYFUNCTION("""COMPUTED_VALUE"""),46118.0)</f>
        <v>46118</v>
      </c>
      <c r="AJ311" s="285">
        <f>IFERROR(__xludf.DUMMYFUNCTION("""COMPUTED_VALUE"""),2.0)</f>
        <v>2</v>
      </c>
      <c r="AK311" s="289"/>
      <c r="AL311" s="285" t="str">
        <f>IFERROR(__xludf.DUMMYFUNCTION("""COMPUTED_VALUE"""),"gagal, rencana mau ke taman galuh")</f>
        <v>gagal, rencana mau ke taman galuh</v>
      </c>
    </row>
    <row r="312">
      <c r="F312" s="285" t="str">
        <f>IFERROR(__xludf.DUMMYFUNCTION("""COMPUTED_VALUE"""),"2607D097")</f>
        <v>2607D097</v>
      </c>
      <c r="G312" s="286">
        <f>IFERROR(__xludf.DUMMYFUNCTION("""COMPUTED_VALUE"""),46217.0)</f>
        <v>46217</v>
      </c>
      <c r="H312" s="285" t="str">
        <f>IFERROR(__xludf.DUMMYFUNCTION("""COMPUTED_VALUE"""),"Rahmawati.nurf")</f>
        <v>Rahmawati.nurf</v>
      </c>
      <c r="I312" s="285" t="str">
        <f>IFERROR(__xludf.DUMMYFUNCTION("""COMPUTED_VALUE"""),"085524477985")</f>
        <v>085524477985</v>
      </c>
      <c r="J312" s="285" t="str">
        <f>IFERROR(__xludf.DUMMYFUNCTION("""COMPUTED_VALUE"""),"Leads Baru")</f>
        <v>Leads Baru</v>
      </c>
      <c r="K312" s="285" t="str">
        <f>IFERROR(__xludf.DUMMYFUNCTION("""COMPUTED_VALUE"""),"OT 3H2M")</f>
        <v>OT 3H2M</v>
      </c>
      <c r="L312" s="287"/>
      <c r="M312" s="288"/>
      <c r="N312" s="289"/>
      <c r="O312" s="290" t="str">
        <f>IFERROR(__xludf.DUMMYFUNCTION("""COMPUTED_VALUE"""),"tanya dokumentasi, FU 31 Juli")</f>
        <v>tanya dokumentasi, FU 31 Juli</v>
      </c>
      <c r="P312" s="320"/>
      <c r="R312" s="285"/>
      <c r="S312" s="285"/>
      <c r="T312" s="285"/>
      <c r="U312" s="285"/>
      <c r="V312" s="285"/>
      <c r="W312" s="285"/>
      <c r="X312" s="285"/>
      <c r="Y312" s="285"/>
      <c r="Z312" s="285"/>
      <c r="AA312" s="285"/>
      <c r="AC312" s="285" t="str">
        <f>IFERROR(__xludf.DUMMYFUNCTION("""COMPUTED_VALUE"""),"2603D057")</f>
        <v>2603D057</v>
      </c>
      <c r="AD312" s="286">
        <f>IFERROR(__xludf.DUMMYFUNCTION("""COMPUTED_VALUE"""),46094.0)</f>
        <v>46094</v>
      </c>
      <c r="AE312" s="285" t="str">
        <f>IFERROR(__xludf.DUMMYFUNCTION("""COMPUTED_VALUE"""),"Leyla")</f>
        <v>Leyla</v>
      </c>
      <c r="AF312" s="285" t="str">
        <f>IFERROR(__xludf.DUMMYFUNCTION("""COMPUTED_VALUE"""),"085747432346")</f>
        <v>085747432346</v>
      </c>
      <c r="AG312" s="285" t="str">
        <f>IFERROR(__xludf.DUMMYFUNCTION("""COMPUTED_VALUE"""),"Gagal")</f>
        <v>Gagal</v>
      </c>
      <c r="AH312" s="285"/>
      <c r="AI312" s="287"/>
      <c r="AJ312" s="285"/>
      <c r="AK312" s="289"/>
      <c r="AL312" s="285" t="str">
        <f>IFERROR(__xludf.DUMMYFUNCTION("""COMPUTED_VALUE"""),"hanya menyapa, tidak ada jawaban, gagal")</f>
        <v>hanya menyapa, tidak ada jawaban, gagal</v>
      </c>
    </row>
    <row r="313">
      <c r="F313" s="285" t="str">
        <f>IFERROR(__xludf.DUMMYFUNCTION("""COMPUTED_VALUE"""),"2607D098")</f>
        <v>2607D098</v>
      </c>
      <c r="G313" s="286">
        <f>IFERROR(__xludf.DUMMYFUNCTION("""COMPUTED_VALUE"""),46217.0)</f>
        <v>46217</v>
      </c>
      <c r="H313" s="285" t="str">
        <f>IFERROR(__xludf.DUMMYFUNCTION("""COMPUTED_VALUE"""),"Beya")</f>
        <v>Beya</v>
      </c>
      <c r="I313" s="285" t="str">
        <f>IFERROR(__xludf.DUMMYFUNCTION("""COMPUTED_VALUE"""),"082258521629")</f>
        <v>082258521629</v>
      </c>
      <c r="J313" s="285" t="str">
        <f>IFERROR(__xludf.DUMMYFUNCTION("""COMPUTED_VALUE"""),"Leads Baru")</f>
        <v>Leads Baru</v>
      </c>
      <c r="K313" s="285" t="str">
        <f>IFERROR(__xludf.DUMMYFUNCTION("""COMPUTED_VALUE"""),"OT 3H2M")</f>
        <v>OT 3H2M</v>
      </c>
      <c r="L313" s="287"/>
      <c r="M313" s="288"/>
      <c r="N313" s="289"/>
      <c r="O313" s="290" t="str">
        <f>IFERROR(__xludf.DUMMYFUNCTION("""COMPUTED_VALUE"""),"FU 30 juli")</f>
        <v>FU 30 juli</v>
      </c>
      <c r="P313" s="320"/>
      <c r="R313" s="285"/>
      <c r="S313" s="285"/>
      <c r="T313" s="285"/>
      <c r="U313" s="285"/>
      <c r="V313" s="285"/>
      <c r="W313" s="285"/>
      <c r="X313" s="285"/>
      <c r="Y313" s="285"/>
      <c r="Z313" s="285"/>
      <c r="AA313" s="285"/>
      <c r="AC313" s="285" t="str">
        <f>IFERROR(__xludf.DUMMYFUNCTION("""COMPUTED_VALUE"""),"2603D058")</f>
        <v>2603D058</v>
      </c>
      <c r="AD313" s="286">
        <f>IFERROR(__xludf.DUMMYFUNCTION("""COMPUTED_VALUE"""),46094.0)</f>
        <v>46094</v>
      </c>
      <c r="AE313" s="285" t="str">
        <f>IFERROR(__xludf.DUMMYFUNCTION("""COMPUTED_VALUE"""),"Deni")</f>
        <v>Deni</v>
      </c>
      <c r="AF313" s="285" t="str">
        <f>IFERROR(__xludf.DUMMYFUNCTION("""COMPUTED_VALUE"""),"087824774118")</f>
        <v>087824774118</v>
      </c>
      <c r="AG313" s="285" t="str">
        <f>IFERROR(__xludf.DUMMYFUNCTION("""COMPUTED_VALUE"""),"Gagal")</f>
        <v>Gagal</v>
      </c>
      <c r="AH313" s="285" t="str">
        <f>IFERROR(__xludf.DUMMYFUNCTION("""COMPUTED_VALUE"""),"3H2M opsi A")</f>
        <v>3H2M opsi A</v>
      </c>
      <c r="AI313" s="287"/>
      <c r="AJ313" s="285">
        <f>IFERROR(__xludf.DUMMYFUNCTION("""COMPUTED_VALUE"""),46364.0)</f>
        <v>46364</v>
      </c>
      <c r="AK313" s="289">
        <f>IFERROR(__xludf.DUMMYFUNCTION("""COMPUTED_VALUE"""),1.0504E7)</f>
        <v>10504000</v>
      </c>
      <c r="AL313" s="285" t="str">
        <f>IFERROR(__xludf.DUMMYFUNCTION("""COMPUTED_VALUE"""),"sudah FU ga balasss")</f>
        <v>sudah FU ga balasss</v>
      </c>
    </row>
    <row r="314">
      <c r="F314" s="285" t="str">
        <f>IFERROR(__xludf.DUMMYFUNCTION("""COMPUTED_VALUE"""),"2607D099")</f>
        <v>2607D099</v>
      </c>
      <c r="G314" s="286">
        <f>IFERROR(__xludf.DUMMYFUNCTION("""COMPUTED_VALUE"""),46218.0)</f>
        <v>46218</v>
      </c>
      <c r="H314" s="285" t="str">
        <f>IFERROR(__xludf.DUMMYFUNCTION("""COMPUTED_VALUE"""),"Alya")</f>
        <v>Alya</v>
      </c>
      <c r="I314" s="285" t="str">
        <f>IFERROR(__xludf.DUMMYFUNCTION("""COMPUTED_VALUE"""),"081328836284")</f>
        <v>081328836284</v>
      </c>
      <c r="J314" s="285" t="str">
        <f>IFERROR(__xludf.DUMMYFUNCTION("""COMPUTED_VALUE"""),"Leads Baru")</f>
        <v>Leads Baru</v>
      </c>
      <c r="K314" s="285" t="str">
        <f>IFERROR(__xludf.DUMMYFUNCTION("""COMPUTED_VALUE"""),"OT 3H2M")</f>
        <v>OT 3H2M</v>
      </c>
      <c r="L314" s="287"/>
      <c r="M314" s="288"/>
      <c r="N314" s="289"/>
      <c r="O314" s="290" t="str">
        <f>IFERROR(__xludf.DUMMYFUNCTION("""COMPUTED_VALUE"""),"menyapa, FU 30 juli")</f>
        <v>menyapa, FU 30 juli</v>
      </c>
      <c r="P314" s="320"/>
      <c r="R314" s="285"/>
      <c r="S314" s="285"/>
      <c r="T314" s="285"/>
      <c r="U314" s="285"/>
      <c r="V314" s="285"/>
      <c r="W314" s="285"/>
      <c r="X314" s="285"/>
      <c r="Y314" s="285"/>
      <c r="Z314" s="285"/>
      <c r="AA314" s="285"/>
      <c r="AC314" s="285" t="str">
        <f>IFERROR(__xludf.DUMMYFUNCTION("""COMPUTED_VALUE"""),"2603D061")</f>
        <v>2603D061</v>
      </c>
      <c r="AD314" s="286">
        <f>IFERROR(__xludf.DUMMYFUNCTION("""COMPUTED_VALUE"""),46095.0)</f>
        <v>46095</v>
      </c>
      <c r="AE314" s="285" t="str">
        <f>IFERROR(__xludf.DUMMYFUNCTION("""COMPUTED_VALUE"""),"Sistha Widita")</f>
        <v>Sistha Widita</v>
      </c>
      <c r="AF314" s="285" t="str">
        <f>IFERROR(__xludf.DUMMYFUNCTION("""COMPUTED_VALUE"""),"08117338635")</f>
        <v>08117338635</v>
      </c>
      <c r="AG314" s="285" t="str">
        <f>IFERROR(__xludf.DUMMYFUNCTION("""COMPUTED_VALUE"""),"Gagal")</f>
        <v>Gagal</v>
      </c>
      <c r="AH314" s="285" t="str">
        <f>IFERROR(__xludf.DUMMYFUNCTION("""COMPUTED_VALUE"""),"open trip Menjangan Baluran ")</f>
        <v>open trip Menjangan Baluran </v>
      </c>
      <c r="AI314" s="287"/>
      <c r="AJ314" s="285">
        <f>IFERROR(__xludf.DUMMYFUNCTION("""COMPUTED_VALUE"""),2.0)</f>
        <v>2</v>
      </c>
      <c r="AK314" s="289"/>
      <c r="AL314" s="285" t="str">
        <f>IFERROR(__xludf.DUMMYFUNCTION("""COMPUTED_VALUE"""),"belum ada jawaban sudah FU")</f>
        <v>belum ada jawaban sudah FU</v>
      </c>
    </row>
    <row r="315">
      <c r="F315" s="285" t="str">
        <f>IFERROR(__xludf.DUMMYFUNCTION("""COMPUTED_VALUE"""),"2607D100")</f>
        <v>2607D100</v>
      </c>
      <c r="G315" s="286">
        <f>IFERROR(__xludf.DUMMYFUNCTION("""COMPUTED_VALUE"""),46218.0)</f>
        <v>46218</v>
      </c>
      <c r="H315" s="285" t="str">
        <f>IFERROR(__xludf.DUMMYFUNCTION("""COMPUTED_VALUE"""),"Feby Aris")</f>
        <v>Feby Aris</v>
      </c>
      <c r="I315" s="285" t="str">
        <f>IFERROR(__xludf.DUMMYFUNCTION("""COMPUTED_VALUE"""),"0895387144111")</f>
        <v>0895387144111</v>
      </c>
      <c r="J315" s="285" t="str">
        <f>IFERROR(__xludf.DUMMYFUNCTION("""COMPUTED_VALUE"""),"Leads Baru")</f>
        <v>Leads Baru</v>
      </c>
      <c r="K315" s="285" t="str">
        <f>IFERROR(__xludf.DUMMYFUNCTION("""COMPUTED_VALUE"""),"OT 3H2M")</f>
        <v>OT 3H2M</v>
      </c>
      <c r="L315" s="287">
        <f>IFERROR(__xludf.DUMMYFUNCTION("""COMPUTED_VALUE"""),46286.0)</f>
        <v>46286</v>
      </c>
      <c r="M315" s="288">
        <f>IFERROR(__xludf.DUMMYFUNCTION("""COMPUTED_VALUE"""),2.0)</f>
        <v>2</v>
      </c>
      <c r="N315" s="289"/>
      <c r="O315" s="290" t="str">
        <f>IFERROR(__xludf.DUMMYFUNCTION("""COMPUTED_VALUE"""),"FU 12 Agustus")</f>
        <v>FU 12 Agustus</v>
      </c>
      <c r="P315" s="320"/>
      <c r="R315" s="285"/>
      <c r="S315" s="285"/>
      <c r="T315" s="285"/>
      <c r="U315" s="285"/>
      <c r="V315" s="285"/>
      <c r="W315" s="285"/>
      <c r="X315" s="285"/>
      <c r="Y315" s="285"/>
      <c r="Z315" s="285"/>
      <c r="AA315" s="285"/>
      <c r="AC315" s="285" t="str">
        <f>IFERROR(__xludf.DUMMYFUNCTION("""COMPUTED_VALUE"""),"2603D063")</f>
        <v>2603D063</v>
      </c>
      <c r="AD315" s="286">
        <f>IFERROR(__xludf.DUMMYFUNCTION("""COMPUTED_VALUE"""),46095.0)</f>
        <v>46095</v>
      </c>
      <c r="AE315" s="285" t="str">
        <f>IFERROR(__xludf.DUMMYFUNCTION("""COMPUTED_VALUE"""),"Doffi")</f>
        <v>Doffi</v>
      </c>
      <c r="AF315" s="285" t="str">
        <f>IFERROR(__xludf.DUMMYFUNCTION("""COMPUTED_VALUE"""),"087776868837")</f>
        <v>087776868837</v>
      </c>
      <c r="AG315" s="285" t="str">
        <f>IFERROR(__xludf.DUMMYFUNCTION("""COMPUTED_VALUE"""),"Gagal")</f>
        <v>Gagal</v>
      </c>
      <c r="AH315" s="285" t="str">
        <f>IFERROR(__xludf.DUMMYFUNCTION("""COMPUTED_VALUE"""),"3h2m Custom")</f>
        <v>3h2m Custom</v>
      </c>
      <c r="AI315" s="287">
        <f>IFERROR(__xludf.DUMMYFUNCTION("""COMPUTED_VALUE"""),46169.0)</f>
        <v>46169</v>
      </c>
      <c r="AJ315" s="285">
        <f>IFERROR(__xludf.DUMMYFUNCTION("""COMPUTED_VALUE"""),11.0)</f>
        <v>11</v>
      </c>
      <c r="AK315" s="289">
        <f>IFERROR(__xludf.DUMMYFUNCTION("""COMPUTED_VALUE"""),1.87E7)</f>
        <v>18700000</v>
      </c>
      <c r="AL315" s="285" t="str">
        <f>IFERROR(__xludf.DUMMYFUNCTION("""COMPUTED_VALUE"""),"lewat tgl")</f>
        <v>lewat tgl</v>
      </c>
    </row>
    <row r="316">
      <c r="F316" s="285" t="str">
        <f>IFERROR(__xludf.DUMMYFUNCTION("""COMPUTED_VALUE"""),"2607D101")</f>
        <v>2607D101</v>
      </c>
      <c r="G316" s="286">
        <f>IFERROR(__xludf.DUMMYFUNCTION("""COMPUTED_VALUE"""),46218.0)</f>
        <v>46218</v>
      </c>
      <c r="H316" s="285" t="str">
        <f>IFERROR(__xludf.DUMMYFUNCTION("""COMPUTED_VALUE"""),"Dhini")</f>
        <v>Dhini</v>
      </c>
      <c r="I316" s="285" t="str">
        <f>IFERROR(__xludf.DUMMYFUNCTION("""COMPUTED_VALUE"""),"085780969178")</f>
        <v>085780969178</v>
      </c>
      <c r="J316" s="285" t="str">
        <f>IFERROR(__xludf.DUMMYFUNCTION("""COMPUTED_VALUE"""),"Leads Baru")</f>
        <v>Leads Baru</v>
      </c>
      <c r="K316" s="285" t="str">
        <f>IFERROR(__xludf.DUMMYFUNCTION("""COMPUTED_VALUE"""),"PT MT")</f>
        <v>PT MT</v>
      </c>
      <c r="L316" s="287">
        <f>IFERROR(__xludf.DUMMYFUNCTION("""COMPUTED_VALUE"""),46223.0)</f>
        <v>46223</v>
      </c>
      <c r="M316" s="288"/>
      <c r="N316" s="289"/>
      <c r="O316" s="290" t="str">
        <f>IFERROR(__xludf.DUMMYFUNCTION("""COMPUTED_VALUE"""),"FU terakhir")</f>
        <v>FU terakhir</v>
      </c>
      <c r="P316" s="320"/>
      <c r="R316" s="285"/>
      <c r="S316" s="285"/>
      <c r="T316" s="285"/>
      <c r="U316" s="285"/>
      <c r="V316" s="285"/>
      <c r="W316" s="285"/>
      <c r="X316" s="285"/>
      <c r="Y316" s="285"/>
      <c r="Z316" s="285"/>
      <c r="AA316" s="285"/>
      <c r="AC316" s="285" t="str">
        <f>IFERROR(__xludf.DUMMYFUNCTION("""COMPUTED_VALUE"""),"2603D064")</f>
        <v>2603D064</v>
      </c>
      <c r="AD316" s="286">
        <f>IFERROR(__xludf.DUMMYFUNCTION("""COMPUTED_VALUE"""),46095.0)</f>
        <v>46095</v>
      </c>
      <c r="AE316" s="285" t="str">
        <f>IFERROR(__xludf.DUMMYFUNCTION("""COMPUTED_VALUE"""),"Lazka Roosie")</f>
        <v>Lazka Roosie</v>
      </c>
      <c r="AF316" s="285" t="str">
        <f>IFERROR(__xludf.DUMMYFUNCTION("""COMPUTED_VALUE"""),"085172092079")</f>
        <v>085172092079</v>
      </c>
      <c r="AG316" s="285" t="str">
        <f>IFERROR(__xludf.DUMMYFUNCTION("""COMPUTED_VALUE"""),"Gagal")</f>
        <v>Gagal</v>
      </c>
      <c r="AH316" s="285"/>
      <c r="AI316" s="287"/>
      <c r="AJ316" s="285"/>
      <c r="AK316" s="289"/>
      <c r="AL316" s="285" t="str">
        <f>IFERROR(__xludf.DUMMYFUNCTION("""COMPUTED_VALUE"""),"tidak memberi tau alasan gagal")</f>
        <v>tidak memberi tau alasan gagal</v>
      </c>
    </row>
    <row r="317">
      <c r="F317" s="285" t="str">
        <f>IFERROR(__xludf.DUMMYFUNCTION("""COMPUTED_VALUE"""),"1607D103")</f>
        <v>1607D103</v>
      </c>
      <c r="G317" s="286">
        <f>IFERROR(__xludf.DUMMYFUNCTION("""COMPUTED_VALUE"""),46218.0)</f>
        <v>46218</v>
      </c>
      <c r="H317" s="285" t="str">
        <f>IFERROR(__xludf.DUMMYFUNCTION("""COMPUTED_VALUE"""),"Huda")</f>
        <v>Huda</v>
      </c>
      <c r="I317" s="285" t="str">
        <f>IFERROR(__xludf.DUMMYFUNCTION("""COMPUTED_VALUE"""),"6737414481")</f>
        <v>6737414481</v>
      </c>
      <c r="J317" s="285" t="str">
        <f>IFERROR(__xludf.DUMMYFUNCTION("""COMPUTED_VALUE"""),"Leads Baru")</f>
        <v>Leads Baru</v>
      </c>
      <c r="K317" s="285" t="str">
        <f>IFERROR(__xludf.DUMMYFUNCTION("""COMPUTED_VALUE"""),"trip kawah Ijen")</f>
        <v>trip kawah Ijen</v>
      </c>
      <c r="L317" s="287"/>
      <c r="M317" s="288"/>
      <c r="N317" s="289"/>
      <c r="O317" s="290"/>
      <c r="P317" s="320"/>
      <c r="R317" s="285"/>
      <c r="S317" s="285"/>
      <c r="T317" s="285"/>
      <c r="U317" s="285"/>
      <c r="V317" s="285"/>
      <c r="W317" s="285"/>
      <c r="X317" s="285"/>
      <c r="Y317" s="285"/>
      <c r="Z317" s="285"/>
      <c r="AA317" s="285"/>
      <c r="AC317" s="285" t="str">
        <f>IFERROR(__xludf.DUMMYFUNCTION("""COMPUTED_VALUE"""),"2603D065")</f>
        <v>2603D065</v>
      </c>
      <c r="AD317" s="286">
        <f>IFERROR(__xludf.DUMMYFUNCTION("""COMPUTED_VALUE"""),46096.0)</f>
        <v>46096</v>
      </c>
      <c r="AE317" s="285" t="str">
        <f>IFERROR(__xludf.DUMMYFUNCTION("""COMPUTED_VALUE"""),"Neni")</f>
        <v>Neni</v>
      </c>
      <c r="AF317" s="285" t="str">
        <f>IFERROR(__xludf.DUMMYFUNCTION("""COMPUTED_VALUE"""),"081213494140")</f>
        <v>081213494140</v>
      </c>
      <c r="AG317" s="285" t="str">
        <f>IFERROR(__xludf.DUMMYFUNCTION("""COMPUTED_VALUE"""),"Gagal")</f>
        <v>Gagal</v>
      </c>
      <c r="AH317" s="285" t="str">
        <f>IFERROR(__xludf.DUMMYFUNCTION("""COMPUTED_VALUE"""),"Djawatan Baluran ")</f>
        <v>Djawatan Baluran </v>
      </c>
      <c r="AI317" s="287">
        <f>IFERROR(__xludf.DUMMYFUNCTION("""COMPUTED_VALUE"""),46105.0)</f>
        <v>46105</v>
      </c>
      <c r="AJ317" s="285">
        <f>IFERROR(__xludf.DUMMYFUNCTION("""COMPUTED_VALUE"""),2.0)</f>
        <v>2</v>
      </c>
      <c r="AK317" s="289">
        <f>IFERROR(__xludf.DUMMYFUNCTION("""COMPUTED_VALUE"""),2280200.0)</f>
        <v>2280200</v>
      </c>
      <c r="AL317" s="285" t="str">
        <f>IFERROR(__xludf.DUMMYFUNCTION("""COMPUTED_VALUE"""),"gagal, tidak jawab, lewat tanggal")</f>
        <v>gagal, tidak jawab, lewat tanggal</v>
      </c>
    </row>
    <row r="318">
      <c r="F318" s="285" t="str">
        <f>IFERROR(__xludf.DUMMYFUNCTION("""COMPUTED_VALUE"""),"2607D104")</f>
        <v>2607D104</v>
      </c>
      <c r="G318" s="286">
        <f>IFERROR(__xludf.DUMMYFUNCTION("""COMPUTED_VALUE"""),46217.0)</f>
        <v>46217</v>
      </c>
      <c r="H318" s="285" t="str">
        <f>IFERROR(__xludf.DUMMYFUNCTION("""COMPUTED_VALUE"""),"Eka Sari")</f>
        <v>Eka Sari</v>
      </c>
      <c r="I318" s="285" t="str">
        <f>IFERROR(__xludf.DUMMYFUNCTION("""COMPUTED_VALUE"""),"082157070962")</f>
        <v>082157070962</v>
      </c>
      <c r="J318" s="285" t="str">
        <f>IFERROR(__xludf.DUMMYFUNCTION("""COMPUTED_VALUE"""),"Leads Baru")</f>
        <v>Leads Baru</v>
      </c>
      <c r="K318" s="285" t="str">
        <f>IFERROR(__xludf.DUMMYFUNCTION("""COMPUTED_VALUE"""),"2H1M custome")</f>
        <v>2H1M custome</v>
      </c>
      <c r="L318" s="287"/>
      <c r="M318" s="288">
        <f>IFERROR(__xludf.DUMMYFUNCTION("""COMPUTED_VALUE"""),3.0)</f>
        <v>3</v>
      </c>
      <c r="N318" s="289"/>
      <c r="O318" s="290" t="str">
        <f>IFERROR(__xludf.DUMMYFUNCTION("""COMPUTED_VALUE"""),"nunggu jadwal cuti, FU 14 Agustus")</f>
        <v>nunggu jadwal cuti, FU 14 Agustus</v>
      </c>
      <c r="P318" s="320"/>
      <c r="R318" s="285"/>
      <c r="S318" s="285"/>
      <c r="T318" s="285"/>
      <c r="U318" s="285"/>
      <c r="V318" s="285"/>
      <c r="W318" s="285"/>
      <c r="X318" s="285"/>
      <c r="Y318" s="285"/>
      <c r="Z318" s="285"/>
      <c r="AA318" s="285"/>
      <c r="AC318" s="285" t="str">
        <f>IFERROR(__xludf.DUMMYFUNCTION("""COMPUTED_VALUE"""),"2603D066")</f>
        <v>2603D066</v>
      </c>
      <c r="AD318" s="286">
        <f>IFERROR(__xludf.DUMMYFUNCTION("""COMPUTED_VALUE"""),46096.0)</f>
        <v>46096</v>
      </c>
      <c r="AE318" s="285" t="str">
        <f>IFERROR(__xludf.DUMMYFUNCTION("""COMPUTED_VALUE"""),"Nur")</f>
        <v>Nur</v>
      </c>
      <c r="AF318" s="285" t="str">
        <f>IFERROR(__xludf.DUMMYFUNCTION("""COMPUTED_VALUE"""),"0895621093883")</f>
        <v>0895621093883</v>
      </c>
      <c r="AG318" s="285" t="str">
        <f>IFERROR(__xludf.DUMMYFUNCTION("""COMPUTED_VALUE"""),"Gagal")</f>
        <v>Gagal</v>
      </c>
      <c r="AH318" s="285" t="str">
        <f>IFERROR(__xludf.DUMMYFUNCTION("""COMPUTED_VALUE"""),"Baluran ")</f>
        <v>Baluran </v>
      </c>
      <c r="AI318" s="287"/>
      <c r="AJ318" s="285">
        <f>IFERROR(__xludf.DUMMYFUNCTION("""COMPUTED_VALUE"""),7.0)</f>
        <v>7</v>
      </c>
      <c r="AK318" s="289"/>
      <c r="AL318" s="285" t="str">
        <f>IFERROR(__xludf.DUMMYFUNCTION("""COMPUTED_VALUE"""),"belum jadi liburan")</f>
        <v>belum jadi liburan</v>
      </c>
    </row>
    <row r="319">
      <c r="F319" s="285" t="str">
        <f>IFERROR(__xludf.DUMMYFUNCTION("""COMPUTED_VALUE"""),"2607D105")</f>
        <v>2607D105</v>
      </c>
      <c r="G319" s="286">
        <f>IFERROR(__xludf.DUMMYFUNCTION("""COMPUTED_VALUE"""),46218.0)</f>
        <v>46218</v>
      </c>
      <c r="H319" s="285" t="str">
        <f>IFERROR(__xludf.DUMMYFUNCTION("""COMPUTED_VALUE"""),"Feli")</f>
        <v>Feli</v>
      </c>
      <c r="I319" s="285" t="str">
        <f>IFERROR(__xludf.DUMMYFUNCTION("""COMPUTED_VALUE"""),"081234835990")</f>
        <v>081234835990</v>
      </c>
      <c r="J319" s="285" t="str">
        <f>IFERROR(__xludf.DUMMYFUNCTION("""COMPUTED_VALUE"""),"Leads Baru")</f>
        <v>Leads Baru</v>
      </c>
      <c r="K319" s="285" t="str">
        <f>IFERROR(__xludf.DUMMYFUNCTION("""COMPUTED_VALUE"""),"2H1M custome")</f>
        <v>2H1M custome</v>
      </c>
      <c r="L319" s="287"/>
      <c r="M319" s="288"/>
      <c r="N319" s="289"/>
      <c r="O319" s="290" t="str">
        <f>IFERROR(__xludf.DUMMYFUNCTION("""COMPUTED_VALUE"""),"minta di FU 31 Juli")</f>
        <v>minta di FU 31 Juli</v>
      </c>
      <c r="P319" s="320"/>
      <c r="R319" s="285"/>
      <c r="S319" s="285"/>
      <c r="T319" s="285"/>
      <c r="U319" s="285"/>
      <c r="V319" s="285"/>
      <c r="W319" s="285"/>
      <c r="X319" s="285"/>
      <c r="Y319" s="285"/>
      <c r="Z319" s="285"/>
      <c r="AA319" s="285"/>
      <c r="AC319" s="285" t="str">
        <f>IFERROR(__xludf.DUMMYFUNCTION("""COMPUTED_VALUE"""),"2603D068")</f>
        <v>2603D068</v>
      </c>
      <c r="AD319" s="286">
        <f>IFERROR(__xludf.DUMMYFUNCTION("""COMPUTED_VALUE"""),46097.0)</f>
        <v>46097</v>
      </c>
      <c r="AE319" s="285" t="str">
        <f>IFERROR(__xludf.DUMMYFUNCTION("""COMPUTED_VALUE"""),"Bayu Setyo")</f>
        <v>Bayu Setyo</v>
      </c>
      <c r="AF319" s="285" t="str">
        <f>IFERROR(__xludf.DUMMYFUNCTION("""COMPUTED_VALUE"""),"085158111827")</f>
        <v>085158111827</v>
      </c>
      <c r="AG319" s="285" t="str">
        <f>IFERROR(__xludf.DUMMYFUNCTION("""COMPUTED_VALUE"""),"Gagal")</f>
        <v>Gagal</v>
      </c>
      <c r="AH319" s="285" t="str">
        <f>IFERROR(__xludf.DUMMYFUNCTION("""COMPUTED_VALUE"""),"2H1M pantai")</f>
        <v>2H1M pantai</v>
      </c>
      <c r="AI319" s="287"/>
      <c r="AJ319" s="285">
        <f>IFERROR(__xludf.DUMMYFUNCTION("""COMPUTED_VALUE"""),2.0)</f>
        <v>2</v>
      </c>
      <c r="AK319" s="289"/>
      <c r="AL319" s="285" t="str">
        <f>IFERROR(__xludf.DUMMYFUNCTION("""COMPUTED_VALUE"""),"tidak ada jawaban, lewat tanggal")</f>
        <v>tidak ada jawaban, lewat tanggal</v>
      </c>
    </row>
    <row r="320">
      <c r="F320" s="285" t="str">
        <f>IFERROR(__xludf.DUMMYFUNCTION("""COMPUTED_VALUE"""),"2607D110")</f>
        <v>2607D110</v>
      </c>
      <c r="G320" s="286">
        <f>IFERROR(__xludf.DUMMYFUNCTION("""COMPUTED_VALUE"""),46219.0)</f>
        <v>46219</v>
      </c>
      <c r="H320" s="285" t="str">
        <f>IFERROR(__xludf.DUMMYFUNCTION("""COMPUTED_VALUE"""),"Yonna Agustin")</f>
        <v>Yonna Agustin</v>
      </c>
      <c r="I320" s="285" t="str">
        <f>IFERROR(__xludf.DUMMYFUNCTION("""COMPUTED_VALUE"""),"087735368314")</f>
        <v>087735368314</v>
      </c>
      <c r="J320" s="285" t="str">
        <f>IFERROR(__xludf.DUMMYFUNCTION("""COMPUTED_VALUE"""),"Leads Baru")</f>
        <v>Leads Baru</v>
      </c>
      <c r="K320" s="285" t="str">
        <f>IFERROR(__xludf.DUMMYFUNCTION("""COMPUTED_VALUE"""),"OT 3h2m")</f>
        <v>OT 3h2m</v>
      </c>
      <c r="L320" s="287">
        <f>IFERROR(__xludf.DUMMYFUNCTION("""COMPUTED_VALUE"""),46241.0)</f>
        <v>46241</v>
      </c>
      <c r="M320" s="288">
        <f>IFERROR(__xludf.DUMMYFUNCTION("""COMPUTED_VALUE"""),3.0)</f>
        <v>3</v>
      </c>
      <c r="N320" s="289"/>
      <c r="O320" s="290" t="str">
        <f>IFERROR(__xludf.DUMMYFUNCTION("""COMPUTED_VALUE"""),"FU 1 Agustus")</f>
        <v>FU 1 Agustus</v>
      </c>
      <c r="P320" s="320"/>
      <c r="R320" s="285"/>
      <c r="S320" s="285"/>
      <c r="T320" s="285"/>
      <c r="U320" s="285"/>
      <c r="V320" s="285"/>
      <c r="W320" s="285"/>
      <c r="X320" s="285"/>
      <c r="Y320" s="285"/>
      <c r="Z320" s="285"/>
      <c r="AA320" s="285"/>
      <c r="AC320" s="285" t="str">
        <f>IFERROR(__xludf.DUMMYFUNCTION("""COMPUTED_VALUE"""),"2603D069")</f>
        <v>2603D069</v>
      </c>
      <c r="AD320" s="286">
        <f>IFERROR(__xludf.DUMMYFUNCTION("""COMPUTED_VALUE"""),46097.0)</f>
        <v>46097</v>
      </c>
      <c r="AE320" s="285" t="str">
        <f>IFERROR(__xludf.DUMMYFUNCTION("""COMPUTED_VALUE"""),"Farah Bahreisy")</f>
        <v>Farah Bahreisy</v>
      </c>
      <c r="AF320" s="285" t="str">
        <f>IFERROR(__xludf.DUMMYFUNCTION("""COMPUTED_VALUE"""),"085715571072")</f>
        <v>085715571072</v>
      </c>
      <c r="AG320" s="285" t="str">
        <f>IFERROR(__xludf.DUMMYFUNCTION("""COMPUTED_VALUE"""),"Gagal")</f>
        <v>Gagal</v>
      </c>
      <c r="AH320" s="285" t="str">
        <f>IFERROR(__xludf.DUMMYFUNCTION("""COMPUTED_VALUE"""),"3H2M")</f>
        <v>3H2M</v>
      </c>
      <c r="AI320" s="287"/>
      <c r="AJ320" s="285">
        <f>IFERROR(__xludf.DUMMYFUNCTION("""COMPUTED_VALUE"""),2.0)</f>
        <v>2</v>
      </c>
      <c r="AK320" s="289">
        <f>IFERROR(__xludf.DUMMYFUNCTION("""COMPUTED_VALUE"""),4100000.0)</f>
        <v>4100000</v>
      </c>
      <c r="AL320" s="285" t="str">
        <f>IFERROR(__xludf.DUMMYFUNCTION("""COMPUTED_VALUE"""),"FU 15 April")</f>
        <v>FU 15 April</v>
      </c>
    </row>
    <row r="321">
      <c r="F321" s="285" t="str">
        <f>IFERROR(__xludf.DUMMYFUNCTION("""COMPUTED_VALUE"""),"2607D111")</f>
        <v>2607D111</v>
      </c>
      <c r="G321" s="286">
        <f>IFERROR(__xludf.DUMMYFUNCTION("""COMPUTED_VALUE"""),46219.0)</f>
        <v>46219</v>
      </c>
      <c r="H321" s="285" t="str">
        <f>IFERROR(__xludf.DUMMYFUNCTION("""COMPUTED_VALUE"""),"Nada")</f>
        <v>Nada</v>
      </c>
      <c r="I321" s="285" t="str">
        <f>IFERROR(__xludf.DUMMYFUNCTION("""COMPUTED_VALUE"""),"085774104208")</f>
        <v>085774104208</v>
      </c>
      <c r="J321" s="285" t="str">
        <f>IFERROR(__xludf.DUMMYFUNCTION("""COMPUTED_VALUE"""),"Leads Baru")</f>
        <v>Leads Baru</v>
      </c>
      <c r="K321" s="285" t="str">
        <f>IFERROR(__xludf.DUMMYFUNCTION("""COMPUTED_VALUE"""),"3H2M custome")</f>
        <v>3H2M custome</v>
      </c>
      <c r="L321" s="287">
        <f>IFERROR(__xludf.DUMMYFUNCTION("""COMPUTED_VALUE"""),46255.0)</f>
        <v>46255</v>
      </c>
      <c r="M321" s="288">
        <f>IFERROR(__xludf.DUMMYFUNCTION("""COMPUTED_VALUE"""),2.0)</f>
        <v>2</v>
      </c>
      <c r="N321" s="289"/>
      <c r="O321" s="290" t="str">
        <f>IFERROR(__xludf.DUMMYFUNCTION("""COMPUTED_VALUE"""),"FU 3 agustus")</f>
        <v>FU 3 agustus</v>
      </c>
      <c r="P321" s="320"/>
      <c r="R321" s="285"/>
      <c r="S321" s="285"/>
      <c r="T321" s="285"/>
      <c r="U321" s="285"/>
      <c r="V321" s="285"/>
      <c r="W321" s="285"/>
      <c r="X321" s="285"/>
      <c r="Y321" s="285"/>
      <c r="Z321" s="285"/>
      <c r="AA321" s="285"/>
      <c r="AC321" s="285" t="str">
        <f>IFERROR(__xludf.DUMMYFUNCTION("""COMPUTED_VALUE"""),"2603D070")</f>
        <v>2603D070</v>
      </c>
      <c r="AD321" s="286">
        <f>IFERROR(__xludf.DUMMYFUNCTION("""COMPUTED_VALUE"""),46097.0)</f>
        <v>46097</v>
      </c>
      <c r="AE321" s="285" t="str">
        <f>IFERROR(__xludf.DUMMYFUNCTION("""COMPUTED_VALUE"""),"Hilyana")</f>
        <v>Hilyana</v>
      </c>
      <c r="AF321" s="285" t="str">
        <f>IFERROR(__xludf.DUMMYFUNCTION("""COMPUTED_VALUE"""),"089689734707")</f>
        <v>089689734707</v>
      </c>
      <c r="AG321" s="285" t="str">
        <f>IFERROR(__xludf.DUMMYFUNCTION("""COMPUTED_VALUE"""),"Gagal")</f>
        <v>Gagal</v>
      </c>
      <c r="AH321" s="285" t="str">
        <f>IFERROR(__xludf.DUMMYFUNCTION("""COMPUTED_VALUE"""),"Menjangan Tabuhan")</f>
        <v>Menjangan Tabuhan</v>
      </c>
      <c r="AI321" s="287"/>
      <c r="AJ321" s="285">
        <f>IFERROR(__xludf.DUMMYFUNCTION("""COMPUTED_VALUE"""),5.0)</f>
        <v>5</v>
      </c>
      <c r="AK321" s="289">
        <f>IFERROR(__xludf.DUMMYFUNCTION("""COMPUTED_VALUE"""),2300000.0)</f>
        <v>2300000</v>
      </c>
      <c r="AL321" s="285" t="str">
        <f>IFERROR(__xludf.DUMMYFUNCTION("""COMPUTED_VALUE"""),"tidakk balas ")</f>
        <v>tidakk balas </v>
      </c>
    </row>
    <row r="322">
      <c r="F322" s="285" t="str">
        <f>IFERROR(__xludf.DUMMYFUNCTION("""COMPUTED_VALUE"""),"2607D112")</f>
        <v>2607D112</v>
      </c>
      <c r="G322" s="286">
        <f>IFERROR(__xludf.DUMMYFUNCTION("""COMPUTED_VALUE"""),46219.0)</f>
        <v>46219</v>
      </c>
      <c r="H322" s="285" t="str">
        <f>IFERROR(__xludf.DUMMYFUNCTION("""COMPUTED_VALUE"""),"Villona ")</f>
        <v>Villona </v>
      </c>
      <c r="I322" s="285" t="str">
        <f>IFERROR(__xludf.DUMMYFUNCTION("""COMPUTED_VALUE"""),"085119991631")</f>
        <v>085119991631</v>
      </c>
      <c r="J322" s="285" t="str">
        <f>IFERROR(__xludf.DUMMYFUNCTION("""COMPUTED_VALUE"""),"Leads Baru")</f>
        <v>Leads Baru</v>
      </c>
      <c r="K322" s="285"/>
      <c r="L322" s="287"/>
      <c r="M322" s="288"/>
      <c r="N322" s="289"/>
      <c r="O322" s="290" t="str">
        <f>IFERROR(__xludf.DUMMYFUNCTION("""COMPUTED_VALUE"""),"baru menyapa")</f>
        <v>baru menyapa</v>
      </c>
      <c r="P322" s="320"/>
      <c r="R322" s="285"/>
      <c r="S322" s="285"/>
      <c r="T322" s="285"/>
      <c r="U322" s="285"/>
      <c r="V322" s="285"/>
      <c r="W322" s="285"/>
      <c r="X322" s="285"/>
      <c r="Y322" s="285"/>
      <c r="Z322" s="285"/>
      <c r="AA322" s="285"/>
      <c r="AC322" s="285" t="str">
        <f>IFERROR(__xludf.DUMMYFUNCTION("""COMPUTED_VALUE"""),"2603D071")</f>
        <v>2603D071</v>
      </c>
      <c r="AD322" s="286">
        <f>IFERROR(__xludf.DUMMYFUNCTION("""COMPUTED_VALUE"""),46098.0)</f>
        <v>46098</v>
      </c>
      <c r="AE322" s="285" t="str">
        <f>IFERROR(__xludf.DUMMYFUNCTION("""COMPUTED_VALUE"""),"Geri")</f>
        <v>Geri</v>
      </c>
      <c r="AF322" s="285" t="str">
        <f>IFERROR(__xludf.DUMMYFUNCTION("""COMPUTED_VALUE"""),"085711392393")</f>
        <v>085711392393</v>
      </c>
      <c r="AG322" s="285" t="str">
        <f>IFERROR(__xludf.DUMMYFUNCTION("""COMPUTED_VALUE"""),"Gagal")</f>
        <v>Gagal</v>
      </c>
      <c r="AH322" s="285" t="str">
        <f>IFERROR(__xludf.DUMMYFUNCTION("""COMPUTED_VALUE"""),"3h2m ")</f>
        <v>3h2m </v>
      </c>
      <c r="AI322" s="287"/>
      <c r="AJ322" s="285">
        <f>IFERROR(__xludf.DUMMYFUNCTION("""COMPUTED_VALUE"""),2.0)</f>
        <v>2</v>
      </c>
      <c r="AK322" s="289">
        <f>IFERROR(__xludf.DUMMYFUNCTION("""COMPUTED_VALUE"""),6128000.0)</f>
        <v>6128000</v>
      </c>
      <c r="AL322" s="285" t="str">
        <f>IFERROR(__xludf.DUMMYFUNCTION("""COMPUTED_VALUE"""),"cancelll")</f>
        <v>cancelll</v>
      </c>
    </row>
    <row r="323">
      <c r="F323" s="285" t="str">
        <f>IFERROR(__xludf.DUMMYFUNCTION("""COMPUTED_VALUE"""),"2607D113")</f>
        <v>2607D113</v>
      </c>
      <c r="G323" s="286">
        <f>IFERROR(__xludf.DUMMYFUNCTION("""COMPUTED_VALUE"""),46220.0)</f>
        <v>46220</v>
      </c>
      <c r="H323" s="285" t="str">
        <f>IFERROR(__xludf.DUMMYFUNCTION("""COMPUTED_VALUE"""),"James westcot")</f>
        <v>James westcot</v>
      </c>
      <c r="I323" s="285" t="str">
        <f>IFERROR(__xludf.DUMMYFUNCTION("""COMPUTED_VALUE"""),"447497851278")</f>
        <v>447497851278</v>
      </c>
      <c r="J323" s="285" t="str">
        <f>IFERROR(__xludf.DUMMYFUNCTION("""COMPUTED_VALUE"""),"Leads Baru")</f>
        <v>Leads Baru</v>
      </c>
      <c r="K323" s="285" t="str">
        <f>IFERROR(__xludf.DUMMYFUNCTION("""COMPUTED_VALUE"""),"OT Ijen")</f>
        <v>OT Ijen</v>
      </c>
      <c r="L323" s="287">
        <f>IFERROR(__xludf.DUMMYFUNCTION("""COMPUTED_VALUE"""),46225.0)</f>
        <v>46225</v>
      </c>
      <c r="M323" s="288">
        <f>IFERROR(__xludf.DUMMYFUNCTION("""COMPUTED_VALUE"""),2.0)</f>
        <v>2</v>
      </c>
      <c r="N323" s="289"/>
      <c r="O323" s="290" t="str">
        <f>IFERROR(__xludf.DUMMYFUNCTION("""COMPUTED_VALUE"""),"kelewat tanggal tp tetep coba di FU ")</f>
        <v>kelewat tanggal tp tetep coba di FU </v>
      </c>
      <c r="P323" s="320"/>
      <c r="R323" s="285"/>
      <c r="S323" s="285"/>
      <c r="T323" s="285"/>
      <c r="U323" s="285"/>
      <c r="V323" s="285"/>
      <c r="W323" s="285"/>
      <c r="X323" s="285"/>
      <c r="Y323" s="285"/>
      <c r="Z323" s="285"/>
      <c r="AA323" s="285"/>
      <c r="AC323" s="285" t="str">
        <f>IFERROR(__xludf.DUMMYFUNCTION("""COMPUTED_VALUE"""),"2603D072")</f>
        <v>2603D072</v>
      </c>
      <c r="AD323" s="286">
        <f>IFERROR(__xludf.DUMMYFUNCTION("""COMPUTED_VALUE"""),46098.0)</f>
        <v>46098</v>
      </c>
      <c r="AE323" s="285" t="str">
        <f>IFERROR(__xludf.DUMMYFUNCTION("""COMPUTED_VALUE"""),"Livia")</f>
        <v>Livia</v>
      </c>
      <c r="AF323" s="285" t="str">
        <f>IFERROR(__xludf.DUMMYFUNCTION("""COMPUTED_VALUE"""),"085943691514")</f>
        <v>085943691514</v>
      </c>
      <c r="AG323" s="285" t="str">
        <f>IFERROR(__xludf.DUMMYFUNCTION("""COMPUTED_VALUE"""),"Gagal")</f>
        <v>Gagal</v>
      </c>
      <c r="AH323" s="285" t="str">
        <f>IFERROR(__xludf.DUMMYFUNCTION("""COMPUTED_VALUE"""),"3h2m")</f>
        <v>3h2m</v>
      </c>
      <c r="AI323" s="287">
        <f>IFERROR(__xludf.DUMMYFUNCTION("""COMPUTED_VALUE"""),46102.0)</f>
        <v>46102</v>
      </c>
      <c r="AJ323" s="285">
        <f>IFERROR(__xludf.DUMMYFUNCTION("""COMPUTED_VALUE"""),2.0)</f>
        <v>2</v>
      </c>
      <c r="AK323" s="289"/>
      <c r="AL323" s="285" t="str">
        <f>IFERROR(__xludf.DUMMYFUNCTION("""COMPUTED_VALUE"""),"tidak ada jawaban, sudah lewat tanggal")</f>
        <v>tidak ada jawaban, sudah lewat tanggal</v>
      </c>
    </row>
    <row r="324">
      <c r="F324" s="285" t="str">
        <f>IFERROR(__xludf.DUMMYFUNCTION("""COMPUTED_VALUE"""),"2607D114")</f>
        <v>2607D114</v>
      </c>
      <c r="G324" s="286">
        <f>IFERROR(__xludf.DUMMYFUNCTION("""COMPUTED_VALUE"""),46220.0)</f>
        <v>46220</v>
      </c>
      <c r="H324" s="285" t="str">
        <f>IFERROR(__xludf.DUMMYFUNCTION("""COMPUTED_VALUE"""),"Fiaa")</f>
        <v>Fiaa</v>
      </c>
      <c r="I324" s="285" t="str">
        <f>IFERROR(__xludf.DUMMYFUNCTION("""COMPUTED_VALUE"""),"083847493564")</f>
        <v>083847493564</v>
      </c>
      <c r="J324" s="285" t="str">
        <f>IFERROR(__xludf.DUMMYFUNCTION("""COMPUTED_VALUE"""),"Leads Baru")</f>
        <v>Leads Baru</v>
      </c>
      <c r="K324" s="285" t="str">
        <f>IFERROR(__xludf.DUMMYFUNCTION("""COMPUTED_VALUE"""),"OT Green Island")</f>
        <v>OT Green Island</v>
      </c>
      <c r="L324" s="287">
        <f>IFERROR(__xludf.DUMMYFUNCTION("""COMPUTED_VALUE"""),46235.0)</f>
        <v>46235</v>
      </c>
      <c r="M324" s="288">
        <f>IFERROR(__xludf.DUMMYFUNCTION("""COMPUTED_VALUE"""),2.0)</f>
        <v>2</v>
      </c>
      <c r="N324" s="289"/>
      <c r="O324" s="290" t="str">
        <f>IFERROR(__xludf.DUMMYFUNCTION("""COMPUTED_VALUE"""),"FU 29 Juli")</f>
        <v>FU 29 Juli</v>
      </c>
      <c r="P324" s="320"/>
      <c r="R324" s="285"/>
      <c r="S324" s="285"/>
      <c r="T324" s="285"/>
      <c r="U324" s="285"/>
      <c r="V324" s="285"/>
      <c r="W324" s="285"/>
      <c r="X324" s="285"/>
      <c r="Y324" s="285"/>
      <c r="Z324" s="285"/>
      <c r="AA324" s="285"/>
      <c r="AC324" s="285" t="str">
        <f>IFERROR(__xludf.DUMMYFUNCTION("""COMPUTED_VALUE"""),"2603D073")</f>
        <v>2603D073</v>
      </c>
      <c r="AD324" s="286">
        <f>IFERROR(__xludf.DUMMYFUNCTION("""COMPUTED_VALUE"""),46098.0)</f>
        <v>46098</v>
      </c>
      <c r="AE324" s="285" t="str">
        <f>IFERROR(__xludf.DUMMYFUNCTION("""COMPUTED_VALUE"""),"Mega")</f>
        <v>Mega</v>
      </c>
      <c r="AF324" s="285" t="str">
        <f>IFERROR(__xludf.DUMMYFUNCTION("""COMPUTED_VALUE"""),"085608866643")</f>
        <v>085608866643</v>
      </c>
      <c r="AG324" s="285" t="str">
        <f>IFERROR(__xludf.DUMMYFUNCTION("""COMPUTED_VALUE"""),"Gagal")</f>
        <v>Gagal</v>
      </c>
      <c r="AH324" s="285" t="str">
        <f>IFERROR(__xludf.DUMMYFUNCTION("""COMPUTED_VALUE"""),"2H1M")</f>
        <v>2H1M</v>
      </c>
      <c r="AI324" s="287"/>
      <c r="AJ324" s="285">
        <f>IFERROR(__xludf.DUMMYFUNCTION("""COMPUTED_VALUE"""),2.0)</f>
        <v>2</v>
      </c>
      <c r="AK324" s="289"/>
      <c r="AL324" s="285" t="str">
        <f>IFERROR(__xludf.DUMMYFUNCTION("""COMPUTED_VALUE"""),"sudah fu, tidk jawab, gagal lewat tanggal")</f>
        <v>sudah fu, tidk jawab, gagal lewat tanggal</v>
      </c>
    </row>
    <row r="325">
      <c r="F325" s="285" t="str">
        <f>IFERROR(__xludf.DUMMYFUNCTION("""COMPUTED_VALUE"""),"2607D116")</f>
        <v>2607D116</v>
      </c>
      <c r="G325" s="286">
        <f>IFERROR(__xludf.DUMMYFUNCTION("""COMPUTED_VALUE"""),46221.0)</f>
        <v>46221</v>
      </c>
      <c r="H325" s="285" t="str">
        <f>IFERROR(__xludf.DUMMYFUNCTION("""COMPUTED_VALUE"""),"Aninda")</f>
        <v>Aninda</v>
      </c>
      <c r="I325" s="285" t="str">
        <f>IFERROR(__xludf.DUMMYFUNCTION("""COMPUTED_VALUE"""),"081393304508")</f>
        <v>081393304508</v>
      </c>
      <c r="J325" s="285" t="str">
        <f>IFERROR(__xludf.DUMMYFUNCTION("""COMPUTED_VALUE"""),"Leads Baru")</f>
        <v>Leads Baru</v>
      </c>
      <c r="K325" s="285" t="str">
        <f>IFERROR(__xludf.DUMMYFUNCTION("""COMPUTED_VALUE"""),"3H2M opsi A")</f>
        <v>3H2M opsi A</v>
      </c>
      <c r="L325" s="287"/>
      <c r="M325" s="288">
        <f>IFERROR(__xludf.DUMMYFUNCTION("""COMPUTED_VALUE"""),6.0)</f>
        <v>6</v>
      </c>
      <c r="N325" s="289"/>
      <c r="O325" s="290" t="str">
        <f>IFERROR(__xludf.DUMMYFUNCTION("""COMPUTED_VALUE"""),"masih tanya2 untuk liburan akhir tahun, FU 5 oktober")</f>
        <v>masih tanya2 untuk liburan akhir tahun, FU 5 oktober</v>
      </c>
      <c r="P325" s="320"/>
      <c r="R325" s="285"/>
      <c r="S325" s="285"/>
      <c r="T325" s="285"/>
      <c r="U325" s="285"/>
      <c r="V325" s="285"/>
      <c r="W325" s="285"/>
      <c r="X325" s="285"/>
      <c r="Y325" s="285"/>
      <c r="Z325" s="285"/>
      <c r="AA325" s="285"/>
      <c r="AC325" s="285" t="str">
        <f>IFERROR(__xludf.DUMMYFUNCTION("""COMPUTED_VALUE"""),"2603D074")</f>
        <v>2603D074</v>
      </c>
      <c r="AD325" s="286">
        <f>IFERROR(__xludf.DUMMYFUNCTION("""COMPUTED_VALUE"""),46098.0)</f>
        <v>46098</v>
      </c>
      <c r="AE325" s="285" t="str">
        <f>IFERROR(__xludf.DUMMYFUNCTION("""COMPUTED_VALUE"""),"Gieska")</f>
        <v>Gieska</v>
      </c>
      <c r="AF325" s="285" t="str">
        <f>IFERROR(__xludf.DUMMYFUNCTION("""COMPUTED_VALUE"""),"081230996849")</f>
        <v>081230996849</v>
      </c>
      <c r="AG325" s="285" t="str">
        <f>IFERROR(__xludf.DUMMYFUNCTION("""COMPUTED_VALUE"""),"Gagal")</f>
        <v>Gagal</v>
      </c>
      <c r="AH325" s="285" t="str">
        <f>IFERROR(__xludf.DUMMYFUNCTION("""COMPUTED_VALUE"""),"Menjangan Tabuhan")</f>
        <v>Menjangan Tabuhan</v>
      </c>
      <c r="AI325" s="287">
        <f>IFERROR(__xludf.DUMMYFUNCTION("""COMPUTED_VALUE"""),46103.0)</f>
        <v>46103</v>
      </c>
      <c r="AJ325" s="285">
        <f>IFERROR(__xludf.DUMMYFUNCTION("""COMPUTED_VALUE"""),4.0)</f>
        <v>4</v>
      </c>
      <c r="AK325" s="289">
        <f>IFERROR(__xludf.DUMMYFUNCTION("""COMPUTED_VALUE"""),2700000.0)</f>
        <v>2700000</v>
      </c>
      <c r="AL325" s="285" t="str">
        <f>IFERROR(__xludf.DUMMYFUNCTION("""COMPUTED_VALUE"""),"tidak ada jawaban, gagal lewat tanggal")</f>
        <v>tidak ada jawaban, gagal lewat tanggal</v>
      </c>
    </row>
    <row r="326">
      <c r="F326" s="285" t="str">
        <f>IFERROR(__xludf.DUMMYFUNCTION("""COMPUTED_VALUE"""),"2607D117")</f>
        <v>2607D117</v>
      </c>
      <c r="G326" s="286">
        <f>IFERROR(__xludf.DUMMYFUNCTION("""COMPUTED_VALUE"""),46221.0)</f>
        <v>46221</v>
      </c>
      <c r="H326" s="285" t="str">
        <f>IFERROR(__xludf.DUMMYFUNCTION("""COMPUTED_VALUE"""),"Zelda")</f>
        <v>Zelda</v>
      </c>
      <c r="I326" s="285" t="str">
        <f>IFERROR(__xludf.DUMMYFUNCTION("""COMPUTED_VALUE"""),"085695078150")</f>
        <v>085695078150</v>
      </c>
      <c r="J326" s="285" t="str">
        <f>IFERROR(__xludf.DUMMYFUNCTION("""COMPUTED_VALUE"""),"Leads Baru")</f>
        <v>Leads Baru</v>
      </c>
      <c r="K326" s="285" t="str">
        <f>IFERROR(__xludf.DUMMYFUNCTION("""COMPUTED_VALUE"""),"3H2M customre")</f>
        <v>3H2M customre</v>
      </c>
      <c r="L326" s="287">
        <f>IFERROR(__xludf.DUMMYFUNCTION("""COMPUTED_VALUE"""),46311.0)</f>
        <v>46311</v>
      </c>
      <c r="M326" s="288">
        <f>IFERROR(__xludf.DUMMYFUNCTION("""COMPUTED_VALUE"""),40.0)</f>
        <v>40</v>
      </c>
      <c r="N326" s="289"/>
      <c r="O326" s="290" t="str">
        <f>IFERROR(__xludf.DUMMYFUNCTION("""COMPUTED_VALUE"""),"kirim penawaran, FU 22 Agustus")</f>
        <v>kirim penawaran, FU 22 Agustus</v>
      </c>
      <c r="P326" s="320"/>
      <c r="R326" s="285"/>
      <c r="S326" s="285"/>
      <c r="T326" s="285"/>
      <c r="U326" s="285"/>
      <c r="V326" s="285"/>
      <c r="W326" s="285"/>
      <c r="X326" s="285"/>
      <c r="Y326" s="285"/>
      <c r="Z326" s="285"/>
      <c r="AA326" s="285"/>
      <c r="AC326" s="285" t="str">
        <f>IFERROR(__xludf.DUMMYFUNCTION("""COMPUTED_VALUE"""),"2603D075")</f>
        <v>2603D075</v>
      </c>
      <c r="AD326" s="286">
        <f>IFERROR(__xludf.DUMMYFUNCTION("""COMPUTED_VALUE"""),46098.0)</f>
        <v>46098</v>
      </c>
      <c r="AE326" s="285" t="str">
        <f>IFERROR(__xludf.DUMMYFUNCTION("""COMPUTED_VALUE"""),"hnanidaaaa")</f>
        <v>hnanidaaaa</v>
      </c>
      <c r="AF326" s="285" t="str">
        <f>IFERROR(__xludf.DUMMYFUNCTION("""COMPUTED_VALUE"""),"082254426334")</f>
        <v>082254426334</v>
      </c>
      <c r="AG326" s="285" t="str">
        <f>IFERROR(__xludf.DUMMYFUNCTION("""COMPUTED_VALUE"""),"Gagal")</f>
        <v>Gagal</v>
      </c>
      <c r="AH326" s="285" t="str">
        <f>IFERROR(__xludf.DUMMYFUNCTION("""COMPUTED_VALUE"""),"2h1m")</f>
        <v>2h1m</v>
      </c>
      <c r="AI326" s="287"/>
      <c r="AJ326" s="285">
        <f>IFERROR(__xludf.DUMMYFUNCTION("""COMPUTED_VALUE"""),2.0)</f>
        <v>2</v>
      </c>
      <c r="AK326" s="289">
        <f>IFERROR(__xludf.DUMMYFUNCTION("""COMPUTED_VALUE"""),3640000.0)</f>
        <v>3640000</v>
      </c>
      <c r="AL326" s="285" t="str">
        <f>IFERROR(__xludf.DUMMYFUNCTION("""COMPUTED_VALUE"""),"tidak balassss")</f>
        <v>tidak balassss</v>
      </c>
    </row>
    <row r="327">
      <c r="F327" s="285" t="str">
        <f>IFERROR(__xludf.DUMMYFUNCTION("""COMPUTED_VALUE"""),"2607D119")</f>
        <v>2607D119</v>
      </c>
      <c r="G327" s="286">
        <f>IFERROR(__xludf.DUMMYFUNCTION("""COMPUTED_VALUE"""),46221.0)</f>
        <v>46221</v>
      </c>
      <c r="H327" s="285" t="str">
        <f>IFERROR(__xludf.DUMMYFUNCTION("""COMPUTED_VALUE"""),"Yodi")</f>
        <v>Yodi</v>
      </c>
      <c r="I327" s="285" t="str">
        <f>IFERROR(__xludf.DUMMYFUNCTION("""COMPUTED_VALUE"""),"081389007558")</f>
        <v>081389007558</v>
      </c>
      <c r="J327" s="285" t="str">
        <f>IFERROR(__xludf.DUMMYFUNCTION("""COMPUTED_VALUE"""),"Leads Baru")</f>
        <v>Leads Baru</v>
      </c>
      <c r="K327" s="285" t="str">
        <f>IFERROR(__xludf.DUMMYFUNCTION("""COMPUTED_VALUE"""),"3H2M ")</f>
        <v>3H2M </v>
      </c>
      <c r="L327" s="287">
        <f>IFERROR(__xludf.DUMMYFUNCTION("""COMPUTED_VALUE"""),46240.0)</f>
        <v>46240</v>
      </c>
      <c r="M327" s="288">
        <f>IFERROR(__xludf.DUMMYFUNCTION("""COMPUTED_VALUE"""),4.0)</f>
        <v>4</v>
      </c>
      <c r="N327" s="289"/>
      <c r="O327" s="290" t="str">
        <f>IFERROR(__xludf.DUMMYFUNCTION("""COMPUTED_VALUE"""),"fu 1 Agustus")</f>
        <v>fu 1 Agustus</v>
      </c>
      <c r="P327" s="320"/>
      <c r="R327" s="285"/>
      <c r="S327" s="285"/>
      <c r="T327" s="285"/>
      <c r="U327" s="285"/>
      <c r="V327" s="285"/>
      <c r="W327" s="285"/>
      <c r="X327" s="285"/>
      <c r="Y327" s="285"/>
      <c r="Z327" s="285"/>
      <c r="AA327" s="285"/>
      <c r="AC327" s="285" t="str">
        <f>IFERROR(__xludf.DUMMYFUNCTION("""COMPUTED_VALUE"""),"2603D076")</f>
        <v>2603D076</v>
      </c>
      <c r="AD327" s="286">
        <f>IFERROR(__xludf.DUMMYFUNCTION("""COMPUTED_VALUE"""),46099.0)</f>
        <v>46099</v>
      </c>
      <c r="AE327" s="285" t="str">
        <f>IFERROR(__xludf.DUMMYFUNCTION("""COMPUTED_VALUE"""),"Nungky Ayu Paramita")</f>
        <v>Nungky Ayu Paramita</v>
      </c>
      <c r="AF327" s="285" t="str">
        <f>IFERROR(__xludf.DUMMYFUNCTION("""COMPUTED_VALUE"""),"08113040099")</f>
        <v>08113040099</v>
      </c>
      <c r="AG327" s="285" t="str">
        <f>IFERROR(__xludf.DUMMYFUNCTION("""COMPUTED_VALUE"""),"Gagal")</f>
        <v>Gagal</v>
      </c>
      <c r="AH327" s="285"/>
      <c r="AI327" s="287"/>
      <c r="AJ327" s="285"/>
      <c r="AK327" s="289"/>
      <c r="AL327" s="285" t="str">
        <f>IFERROR(__xludf.DUMMYFUNCTION("""COMPUTED_VALUE"""),"memastikan. dihandle mas Alvin")</f>
        <v>memastikan. dihandle mas Alvin</v>
      </c>
    </row>
    <row r="328">
      <c r="F328" s="285" t="str">
        <f>IFERROR(__xludf.DUMMYFUNCTION("""COMPUTED_VALUE"""),"2607D120")</f>
        <v>2607D120</v>
      </c>
      <c r="G328" s="286">
        <f>IFERROR(__xludf.DUMMYFUNCTION("""COMPUTED_VALUE"""),46221.0)</f>
        <v>46221</v>
      </c>
      <c r="H328" s="285" t="str">
        <f>IFERROR(__xludf.DUMMYFUNCTION("""COMPUTED_VALUE"""),"Aysa")</f>
        <v>Aysa</v>
      </c>
      <c r="I328" s="285" t="str">
        <f>IFERROR(__xludf.DUMMYFUNCTION("""COMPUTED_VALUE"""),"083113154413")</f>
        <v>083113154413</v>
      </c>
      <c r="J328" s="285" t="str">
        <f>IFERROR(__xludf.DUMMYFUNCTION("""COMPUTED_VALUE"""),"Leads Baru")</f>
        <v>Leads Baru</v>
      </c>
      <c r="K328" s="285" t="str">
        <f>IFERROR(__xludf.DUMMYFUNCTION("""COMPUTED_VALUE"""),"trip Baluran")</f>
        <v>trip Baluran</v>
      </c>
      <c r="L328" s="287"/>
      <c r="M328" s="288">
        <f>IFERROR(__xludf.DUMMYFUNCTION("""COMPUTED_VALUE"""),3.0)</f>
        <v>3</v>
      </c>
      <c r="N328" s="289"/>
      <c r="O328" s="290" t="str">
        <f>IFERROR(__xludf.DUMMYFUNCTION("""COMPUTED_VALUE"""),"FU 2 Agustus")</f>
        <v>FU 2 Agustus</v>
      </c>
      <c r="P328" s="320"/>
      <c r="R328" s="285"/>
      <c r="S328" s="285"/>
      <c r="T328" s="285"/>
      <c r="U328" s="285"/>
      <c r="V328" s="285"/>
      <c r="W328" s="285"/>
      <c r="X328" s="285"/>
      <c r="Y328" s="285"/>
      <c r="Z328" s="285"/>
      <c r="AA328" s="285"/>
      <c r="AC328" s="285" t="str">
        <f>IFERROR(__xludf.DUMMYFUNCTION("""COMPUTED_VALUE"""),"2603D077")</f>
        <v>2603D077</v>
      </c>
      <c r="AD328" s="286">
        <f>IFERROR(__xludf.DUMMYFUNCTION("""COMPUTED_VALUE"""),46099.0)</f>
        <v>46099</v>
      </c>
      <c r="AE328" s="285" t="str">
        <f>IFERROR(__xludf.DUMMYFUNCTION("""COMPUTED_VALUE"""),"Diana Livia")</f>
        <v>Diana Livia</v>
      </c>
      <c r="AF328" s="285" t="str">
        <f>IFERROR(__xludf.DUMMYFUNCTION("""COMPUTED_VALUE"""),"08156011859")</f>
        <v>08156011859</v>
      </c>
      <c r="AG328" s="285" t="str">
        <f>IFERROR(__xludf.DUMMYFUNCTION("""COMPUTED_VALUE"""),"Gagal")</f>
        <v>Gagal</v>
      </c>
      <c r="AH328" s="285" t="str">
        <f>IFERROR(__xludf.DUMMYFUNCTION("""COMPUTED_VALUE"""),"3h2m custom")</f>
        <v>3h2m custom</v>
      </c>
      <c r="AI328" s="287"/>
      <c r="AJ328" s="285">
        <f>IFERROR(__xludf.DUMMYFUNCTION("""COMPUTED_VALUE"""),4.0)</f>
        <v>4</v>
      </c>
      <c r="AK328" s="289">
        <f>IFERROR(__xludf.DUMMYFUNCTION("""COMPUTED_VALUE"""),8140000.0)</f>
        <v>8140000</v>
      </c>
      <c r="AL328" s="285" t="str">
        <f>IFERROR(__xludf.DUMMYFUNCTION("""COMPUTED_VALUE"""),"gagal, berganti trip jogja, keterbatasan waktu liburan")</f>
        <v>gagal, berganti trip jogja, keterbatasan waktu liburan</v>
      </c>
    </row>
    <row r="329">
      <c r="F329" s="285" t="str">
        <f>IFERROR(__xludf.DUMMYFUNCTION("""COMPUTED_VALUE"""),"2607D121")</f>
        <v>2607D121</v>
      </c>
      <c r="G329" s="286">
        <f>IFERROR(__xludf.DUMMYFUNCTION("""COMPUTED_VALUE"""),46222.0)</f>
        <v>46222</v>
      </c>
      <c r="H329" s="285" t="str">
        <f>IFERROR(__xludf.DUMMYFUNCTION("""COMPUTED_VALUE"""),"Aufa")</f>
        <v>Aufa</v>
      </c>
      <c r="I329" s="285" t="str">
        <f>IFERROR(__xludf.DUMMYFUNCTION("""COMPUTED_VALUE"""),"082143346756")</f>
        <v>082143346756</v>
      </c>
      <c r="J329" s="285" t="str">
        <f>IFERROR(__xludf.DUMMYFUNCTION("""COMPUTED_VALUE"""),"Leads Baru")</f>
        <v>Leads Baru</v>
      </c>
      <c r="K329" s="285" t="str">
        <f>IFERROR(__xludf.DUMMYFUNCTION("""COMPUTED_VALUE"""),"trip 2H1M custome")</f>
        <v>trip 2H1M custome</v>
      </c>
      <c r="L329" s="287"/>
      <c r="M329" s="288">
        <f>IFERROR(__xludf.DUMMYFUNCTION("""COMPUTED_VALUE"""),2.0)</f>
        <v>2</v>
      </c>
      <c r="N329" s="289"/>
      <c r="O329" s="290" t="str">
        <f>IFERROR(__xludf.DUMMYFUNCTION("""COMPUTED_VALUE"""),"dibalas ""sebentar ya"" FU 28 Juli")</f>
        <v>dibalas "sebentar ya" FU 28 Juli</v>
      </c>
      <c r="P329" s="320"/>
      <c r="R329" s="285"/>
      <c r="S329" s="285"/>
      <c r="T329" s="285"/>
      <c r="U329" s="285"/>
      <c r="V329" s="285"/>
      <c r="W329" s="285"/>
      <c r="X329" s="285"/>
      <c r="Y329" s="285"/>
      <c r="Z329" s="285"/>
      <c r="AA329" s="285"/>
      <c r="AC329" s="285" t="str">
        <f>IFERROR(__xludf.DUMMYFUNCTION("""COMPUTED_VALUE"""),"2603D078")</f>
        <v>2603D078</v>
      </c>
      <c r="AD329" s="286">
        <f>IFERROR(__xludf.DUMMYFUNCTION("""COMPUTED_VALUE"""),46099.0)</f>
        <v>46099</v>
      </c>
      <c r="AE329" s="285" t="str">
        <f>IFERROR(__xludf.DUMMYFUNCTION("""COMPUTED_VALUE"""),"Amalia Maharani Nuril")</f>
        <v>Amalia Maharani Nuril</v>
      </c>
      <c r="AF329" s="285" t="str">
        <f>IFERROR(__xludf.DUMMYFUNCTION("""COMPUTED_VALUE"""),"081331073902")</f>
        <v>081331073902</v>
      </c>
      <c r="AG329" s="285" t="str">
        <f>IFERROR(__xludf.DUMMYFUNCTION("""COMPUTED_VALUE"""),"Gagal")</f>
        <v>Gagal</v>
      </c>
      <c r="AH329" s="285"/>
      <c r="AI329" s="287"/>
      <c r="AJ329" s="285"/>
      <c r="AK329" s="289"/>
      <c r="AL329" s="285" t="str">
        <f>IFERROR(__xludf.DUMMYFUNCTION("""COMPUTED_VALUE"""),"hanya menyapa. tidak menjawab")</f>
        <v>hanya menyapa. tidak menjawab</v>
      </c>
    </row>
    <row r="330">
      <c r="F330" s="285" t="str">
        <f>IFERROR(__xludf.DUMMYFUNCTION("""COMPUTED_VALUE"""),"2607D122")</f>
        <v>2607D122</v>
      </c>
      <c r="G330" s="286">
        <f>IFERROR(__xludf.DUMMYFUNCTION("""COMPUTED_VALUE"""),46222.0)</f>
        <v>46222</v>
      </c>
      <c r="H330" s="285" t="str">
        <f>IFERROR(__xludf.DUMMYFUNCTION("""COMPUTED_VALUE"""),"Fely")</f>
        <v>Fely</v>
      </c>
      <c r="I330" s="285" t="str">
        <f>IFERROR(__xludf.DUMMYFUNCTION("""COMPUTED_VALUE"""),"082141014839")</f>
        <v>082141014839</v>
      </c>
      <c r="J330" s="285" t="str">
        <f>IFERROR(__xludf.DUMMYFUNCTION("""COMPUTED_VALUE"""),"Leads Baru")</f>
        <v>Leads Baru</v>
      </c>
      <c r="K330" s="285" t="str">
        <f>IFERROR(__xludf.DUMMYFUNCTION("""COMPUTED_VALUE"""),"OT 3H2M")</f>
        <v>OT 3H2M</v>
      </c>
      <c r="L330" s="287"/>
      <c r="M330" s="288">
        <f>IFERROR(__xludf.DUMMYFUNCTION("""COMPUTED_VALUE"""),2.0)</f>
        <v>2</v>
      </c>
      <c r="N330" s="289"/>
      <c r="O330" s="290" t="str">
        <f>IFERROR(__xludf.DUMMYFUNCTION("""COMPUTED_VALUE"""),"nanti dikabari lagi, FU 28 Juli")</f>
        <v>nanti dikabari lagi, FU 28 Juli</v>
      </c>
      <c r="P330" s="320"/>
      <c r="R330" s="285"/>
      <c r="S330" s="285"/>
      <c r="T330" s="285"/>
      <c r="U330" s="285"/>
      <c r="V330" s="285"/>
      <c r="W330" s="285"/>
      <c r="X330" s="285"/>
      <c r="Y330" s="285"/>
      <c r="Z330" s="285"/>
      <c r="AA330" s="285"/>
      <c r="AC330" s="285" t="str">
        <f>IFERROR(__xludf.DUMMYFUNCTION("""COMPUTED_VALUE"""),"2603D079")</f>
        <v>2603D079</v>
      </c>
      <c r="AD330" s="286">
        <f>IFERROR(__xludf.DUMMYFUNCTION("""COMPUTED_VALUE"""),46099.0)</f>
        <v>46099</v>
      </c>
      <c r="AE330" s="285" t="str">
        <f>IFERROR(__xludf.DUMMYFUNCTION("""COMPUTED_VALUE"""),"Slamet")</f>
        <v>Slamet</v>
      </c>
      <c r="AF330" s="285" t="str">
        <f>IFERROR(__xludf.DUMMYFUNCTION("""COMPUTED_VALUE"""),"08561122172")</f>
        <v>08561122172</v>
      </c>
      <c r="AG330" s="285" t="str">
        <f>IFERROR(__xludf.DUMMYFUNCTION("""COMPUTED_VALUE"""),"Gagal")</f>
        <v>Gagal</v>
      </c>
      <c r="AH330" s="285" t="str">
        <f>IFERROR(__xludf.DUMMYFUNCTION("""COMPUTED_VALUE"""),"menjangan tabuhan")</f>
        <v>menjangan tabuhan</v>
      </c>
      <c r="AI330" s="287">
        <f>IFERROR(__xludf.DUMMYFUNCTION("""COMPUTED_VALUE"""),46106.0)</f>
        <v>46106</v>
      </c>
      <c r="AJ330" s="285"/>
      <c r="AK330" s="289"/>
      <c r="AL330" s="285" t="str">
        <f>IFERROR(__xludf.DUMMYFUNCTION("""COMPUTED_VALUE"""),"lewat tanggal, tidak ada jawaban")</f>
        <v>lewat tanggal, tidak ada jawaban</v>
      </c>
    </row>
    <row r="331">
      <c r="F331" s="285" t="str">
        <f>IFERROR(__xludf.DUMMYFUNCTION("""COMPUTED_VALUE"""),"2607D123")</f>
        <v>2607D123</v>
      </c>
      <c r="G331" s="286">
        <f>IFERROR(__xludf.DUMMYFUNCTION("""COMPUTED_VALUE"""),46222.0)</f>
        <v>46222</v>
      </c>
      <c r="H331" s="285" t="str">
        <f>IFERROR(__xludf.DUMMYFUNCTION("""COMPUTED_VALUE"""),"Rika Nurhasanah")</f>
        <v>Rika Nurhasanah</v>
      </c>
      <c r="I331" s="285" t="str">
        <f>IFERROR(__xludf.DUMMYFUNCTION("""COMPUTED_VALUE"""),"08122234877")</f>
        <v>08122234877</v>
      </c>
      <c r="J331" s="285" t="str">
        <f>IFERROR(__xludf.DUMMYFUNCTION("""COMPUTED_VALUE"""),"Leads Baru")</f>
        <v>Leads Baru</v>
      </c>
      <c r="K331" s="285" t="str">
        <f>IFERROR(__xludf.DUMMYFUNCTION("""COMPUTED_VALUE"""),"3h2m ")</f>
        <v>3h2m </v>
      </c>
      <c r="L331" s="287"/>
      <c r="M331" s="288">
        <f>IFERROR(__xludf.DUMMYFUNCTION("""COMPUTED_VALUE"""),46178.0)</f>
        <v>46178</v>
      </c>
      <c r="N331" s="289"/>
      <c r="O331" s="290" t="str">
        <f>IFERROR(__xludf.DUMMYFUNCTION("""COMPUTED_VALUE"""),"masih milih antara opsi a/b, FU 1 Agustus")</f>
        <v>masih milih antara opsi a/b, FU 1 Agustus</v>
      </c>
      <c r="P331" s="320"/>
      <c r="R331" s="285"/>
      <c r="S331" s="285"/>
      <c r="T331" s="285"/>
      <c r="U331" s="285"/>
      <c r="V331" s="285"/>
      <c r="W331" s="285"/>
      <c r="X331" s="285"/>
      <c r="Y331" s="285"/>
      <c r="Z331" s="285"/>
      <c r="AA331" s="285"/>
      <c r="AC331" s="285" t="str">
        <f>IFERROR(__xludf.DUMMYFUNCTION("""COMPUTED_VALUE"""),"2603D080")</f>
        <v>2603D080</v>
      </c>
      <c r="AD331" s="286">
        <f>IFERROR(__xludf.DUMMYFUNCTION("""COMPUTED_VALUE"""),46831.0)</f>
        <v>46831</v>
      </c>
      <c r="AE331" s="285" t="str">
        <f>IFERROR(__xludf.DUMMYFUNCTION("""COMPUTED_VALUE"""),"Mizts Hendry")</f>
        <v>Mizts Hendry</v>
      </c>
      <c r="AF331" s="285" t="str">
        <f>IFERROR(__xludf.DUMMYFUNCTION("""COMPUTED_VALUE"""),"08113333576")</f>
        <v>08113333576</v>
      </c>
      <c r="AG331" s="285" t="str">
        <f>IFERROR(__xludf.DUMMYFUNCTION("""COMPUTED_VALUE"""),"Gagal")</f>
        <v>Gagal</v>
      </c>
      <c r="AH331" s="285" t="str">
        <f>IFERROR(__xludf.DUMMYFUNCTION("""COMPUTED_VALUE"""),"2h1m (djawatan, green island, baluran)")</f>
        <v>2h1m (djawatan, green island, baluran)</v>
      </c>
      <c r="AI331" s="287"/>
      <c r="AJ331" s="285">
        <f>IFERROR(__xludf.DUMMYFUNCTION("""COMPUTED_VALUE"""),3.0)</f>
        <v>3</v>
      </c>
      <c r="AK331" s="289"/>
      <c r="AL331" s="285" t="str">
        <f>IFERROR(__xludf.DUMMYFUNCTION("""COMPUTED_VALUE"""),"lewat tanggal, tidak ada jawaban")</f>
        <v>lewat tanggal, tidak ada jawaban</v>
      </c>
    </row>
    <row r="332">
      <c r="F332" s="285" t="str">
        <f>IFERROR(__xludf.DUMMYFUNCTION("""COMPUTED_VALUE"""),"2607D124")</f>
        <v>2607D124</v>
      </c>
      <c r="G332" s="286">
        <f>IFERROR(__xludf.DUMMYFUNCTION("""COMPUTED_VALUE"""),46221.0)</f>
        <v>46221</v>
      </c>
      <c r="H332" s="285" t="str">
        <f>IFERROR(__xludf.DUMMYFUNCTION("""COMPUTED_VALUE"""),"Bella")</f>
        <v>Bella</v>
      </c>
      <c r="I332" s="285" t="str">
        <f>IFERROR(__xludf.DUMMYFUNCTION("""COMPUTED_VALUE"""),"085257316858")</f>
        <v>085257316858</v>
      </c>
      <c r="J332" s="285" t="str">
        <f>IFERROR(__xludf.DUMMYFUNCTION("""COMPUTED_VALUE"""),"Leads Baru")</f>
        <v>Leads Baru</v>
      </c>
      <c r="K332" s="285" t="str">
        <f>IFERROR(__xludf.DUMMYFUNCTION("""COMPUTED_VALUE"""),"2H1M ")</f>
        <v>2H1M </v>
      </c>
      <c r="L332" s="287"/>
      <c r="M332" s="288">
        <f>IFERROR(__xludf.DUMMYFUNCTION("""COMPUTED_VALUE"""),2.0)</f>
        <v>2</v>
      </c>
      <c r="N332" s="289"/>
      <c r="O332" s="290" t="str">
        <f>IFERROR(__xludf.DUMMYFUNCTION("""COMPUTED_VALUE"""),"FU 29 Juli")</f>
        <v>FU 29 Juli</v>
      </c>
      <c r="P332" s="320"/>
      <c r="R332" s="285"/>
      <c r="S332" s="285"/>
      <c r="T332" s="285"/>
      <c r="U332" s="285"/>
      <c r="V332" s="285"/>
      <c r="W332" s="285"/>
      <c r="X332" s="285"/>
      <c r="Y332" s="285"/>
      <c r="Z332" s="285"/>
      <c r="AA332" s="285"/>
      <c r="AC332" s="285" t="str">
        <f>IFERROR(__xludf.DUMMYFUNCTION("""COMPUTED_VALUE"""),"2603D081")</f>
        <v>2603D081</v>
      </c>
      <c r="AD332" s="286">
        <f>IFERROR(__xludf.DUMMYFUNCTION("""COMPUTED_VALUE"""),46100.0)</f>
        <v>46100</v>
      </c>
      <c r="AE332" s="285" t="str">
        <f>IFERROR(__xludf.DUMMYFUNCTION("""COMPUTED_VALUE"""),"Rika Yulia")</f>
        <v>Rika Yulia</v>
      </c>
      <c r="AF332" s="285" t="str">
        <f>IFERROR(__xludf.DUMMYFUNCTION("""COMPUTED_VALUE"""),"085257411886")</f>
        <v>085257411886</v>
      </c>
      <c r="AG332" s="285" t="str">
        <f>IFERROR(__xludf.DUMMYFUNCTION("""COMPUTED_VALUE"""),"Gagal")</f>
        <v>Gagal</v>
      </c>
      <c r="AH332" s="285" t="str">
        <f>IFERROR(__xludf.DUMMYFUNCTION("""COMPUTED_VALUE"""),"one day trip bedil")</f>
        <v>one day trip bedil</v>
      </c>
      <c r="AI332" s="287">
        <f>IFERROR(__xludf.DUMMYFUNCTION("""COMPUTED_VALUE"""),46103.0)</f>
        <v>46103</v>
      </c>
      <c r="AJ332" s="285">
        <f>IFERROR(__xludf.DUMMYFUNCTION("""COMPUTED_VALUE"""),6.0)</f>
        <v>6</v>
      </c>
      <c r="AK332" s="289">
        <f>IFERROR(__xludf.DUMMYFUNCTION("""COMPUTED_VALUE"""),4819500.0)</f>
        <v>4819500</v>
      </c>
      <c r="AL332" s="285" t="str">
        <f>IFERROR(__xludf.DUMMYFUNCTION("""COMPUTED_VALUE"""),"ganti plan ke Jogja")</f>
        <v>ganti plan ke Jogja</v>
      </c>
    </row>
    <row r="333">
      <c r="F333" s="285" t="str">
        <f>IFERROR(__xludf.DUMMYFUNCTION("""COMPUTED_VALUE"""),"2607D125")</f>
        <v>2607D125</v>
      </c>
      <c r="G333" s="286">
        <f>IFERROR(__xludf.DUMMYFUNCTION("""COMPUTED_VALUE"""),46222.0)</f>
        <v>46222</v>
      </c>
      <c r="H333" s="285" t="str">
        <f>IFERROR(__xludf.DUMMYFUNCTION("""COMPUTED_VALUE"""),"Aldi")</f>
        <v>Aldi</v>
      </c>
      <c r="I333" s="285" t="str">
        <f>IFERROR(__xludf.DUMMYFUNCTION("""COMPUTED_VALUE"""),"089522536700")</f>
        <v>089522536700</v>
      </c>
      <c r="J333" s="285" t="str">
        <f>IFERROR(__xludf.DUMMYFUNCTION("""COMPUTED_VALUE"""),"Leads Baru")</f>
        <v>Leads Baru</v>
      </c>
      <c r="K333" s="285"/>
      <c r="L333" s="287"/>
      <c r="M333" s="288"/>
      <c r="N333" s="289"/>
      <c r="O333" s="290" t="str">
        <f>IFERROR(__xludf.DUMMYFUNCTION("""COMPUTED_VALUE"""),"baru menyapa")</f>
        <v>baru menyapa</v>
      </c>
      <c r="P333" s="320"/>
      <c r="R333" s="285"/>
      <c r="S333" s="285"/>
      <c r="T333" s="285"/>
      <c r="U333" s="285"/>
      <c r="V333" s="285"/>
      <c r="W333" s="285"/>
      <c r="X333" s="285"/>
      <c r="Y333" s="285"/>
      <c r="Z333" s="285"/>
      <c r="AA333" s="285"/>
      <c r="AC333" s="285" t="str">
        <f>IFERROR(__xludf.DUMMYFUNCTION("""COMPUTED_VALUE"""),"2603D082")</f>
        <v>2603D082</v>
      </c>
      <c r="AD333" s="286">
        <f>IFERROR(__xludf.DUMMYFUNCTION("""COMPUTED_VALUE"""),46100.0)</f>
        <v>46100</v>
      </c>
      <c r="AE333" s="285" t="str">
        <f>IFERROR(__xludf.DUMMYFUNCTION("""COMPUTED_VALUE"""),"Veronica P")</f>
        <v>Veronica P</v>
      </c>
      <c r="AF333" s="285" t="str">
        <f>IFERROR(__xludf.DUMMYFUNCTION("""COMPUTED_VALUE"""),"089677622586")</f>
        <v>089677622586</v>
      </c>
      <c r="AG333" s="285" t="str">
        <f>IFERROR(__xludf.DUMMYFUNCTION("""COMPUTED_VALUE"""),"Gagal")</f>
        <v>Gagal</v>
      </c>
      <c r="AH333" s="285" t="str">
        <f>IFERROR(__xludf.DUMMYFUNCTION("""COMPUTED_VALUE"""),"Menjangan Baluran ")</f>
        <v>Menjangan Baluran </v>
      </c>
      <c r="AI333" s="287">
        <f>IFERROR(__xludf.DUMMYFUNCTION("""COMPUTED_VALUE"""),46107.0)</f>
        <v>46107</v>
      </c>
      <c r="AJ333" s="285">
        <f>IFERROR(__xludf.DUMMYFUNCTION("""COMPUTED_VALUE"""),4.0)</f>
        <v>4</v>
      </c>
      <c r="AK333" s="289">
        <f>IFERROR(__xludf.DUMMYFUNCTION("""COMPUTED_VALUE"""),261.0)</f>
        <v>261</v>
      </c>
      <c r="AL333" s="285" t="str">
        <f>IFERROR(__xludf.DUMMYFUNCTION("""COMPUTED_VALUE"""),"tidak ada kelanjutan, gagal lewat tanggal")</f>
        <v>tidak ada kelanjutan, gagal lewat tanggal</v>
      </c>
    </row>
    <row r="334">
      <c r="F334" s="285" t="str">
        <f>IFERROR(__xludf.DUMMYFUNCTION("""COMPUTED_VALUE"""),"2607D126")</f>
        <v>2607D126</v>
      </c>
      <c r="G334" s="286">
        <f>IFERROR(__xludf.DUMMYFUNCTION("""COMPUTED_VALUE"""),46222.0)</f>
        <v>46222</v>
      </c>
      <c r="H334" s="285" t="str">
        <f>IFERROR(__xludf.DUMMYFUNCTION("""COMPUTED_VALUE"""),"Zhang")</f>
        <v>Zhang</v>
      </c>
      <c r="I334" s="285" t="str">
        <f>IFERROR(__xludf.DUMMYFUNCTION("""COMPUTED_VALUE"""),"8617356571098")</f>
        <v>8617356571098</v>
      </c>
      <c r="J334" s="285" t="str">
        <f>IFERROR(__xludf.DUMMYFUNCTION("""COMPUTED_VALUE"""),"Leads Baru")</f>
        <v>Leads Baru</v>
      </c>
      <c r="K334" s="285" t="str">
        <f>IFERROR(__xludf.DUMMYFUNCTION("""COMPUTED_VALUE"""),"OT MT WNA")</f>
        <v>OT MT WNA</v>
      </c>
      <c r="L334" s="287">
        <f>IFERROR(__xludf.DUMMYFUNCTION("""COMPUTED_VALUE"""),46241.0)</f>
        <v>46241</v>
      </c>
      <c r="M334" s="288">
        <f>IFERROR(__xludf.DUMMYFUNCTION("""COMPUTED_VALUE"""),1.0)</f>
        <v>1</v>
      </c>
      <c r="N334" s="289"/>
      <c r="O334" s="290" t="str">
        <f>IFERROR(__xludf.DUMMYFUNCTION("""COMPUTED_VALUE"""),"FU 28 Juli")</f>
        <v>FU 28 Juli</v>
      </c>
      <c r="P334" s="320"/>
      <c r="R334" s="285"/>
      <c r="S334" s="285"/>
      <c r="T334" s="285"/>
      <c r="U334" s="285"/>
      <c r="V334" s="285"/>
      <c r="W334" s="285"/>
      <c r="X334" s="285"/>
      <c r="Y334" s="285"/>
      <c r="Z334" s="285"/>
      <c r="AA334" s="285"/>
      <c r="AC334" s="285" t="str">
        <f>IFERROR(__xludf.DUMMYFUNCTION("""COMPUTED_VALUE"""),"2603D083")</f>
        <v>2603D083</v>
      </c>
      <c r="AD334" s="286">
        <f>IFERROR(__xludf.DUMMYFUNCTION("""COMPUTED_VALUE"""),46100.0)</f>
        <v>46100</v>
      </c>
      <c r="AE334" s="285" t="str">
        <f>IFERROR(__xludf.DUMMYFUNCTION("""COMPUTED_VALUE"""),"carmaylinna")</f>
        <v>carmaylinna</v>
      </c>
      <c r="AF334" s="285" t="str">
        <f>IFERROR(__xludf.DUMMYFUNCTION("""COMPUTED_VALUE"""),"082233434696")</f>
        <v>082233434696</v>
      </c>
      <c r="AG334" s="285" t="str">
        <f>IFERROR(__xludf.DUMMYFUNCTION("""COMPUTED_VALUE"""),"Gagal")</f>
        <v>Gagal</v>
      </c>
      <c r="AH334" s="285" t="str">
        <f>IFERROR(__xludf.DUMMYFUNCTION("""COMPUTED_VALUE"""),"trip pulau bedil")</f>
        <v>trip pulau bedil</v>
      </c>
      <c r="AI334" s="287">
        <f>IFERROR(__xludf.DUMMYFUNCTION("""COMPUTED_VALUE"""),46101.0)</f>
        <v>46101</v>
      </c>
      <c r="AJ334" s="285"/>
      <c r="AK334" s="289"/>
      <c r="AL334" s="285" t="str">
        <f>IFERROR(__xludf.DUMMYFUNCTION("""COMPUTED_VALUE"""),"tidak ada jawaban, sdh diberikan tawaran tanggal lain")</f>
        <v>tidak ada jawaban, sdh diberikan tawaran tanggal lain</v>
      </c>
    </row>
    <row r="335">
      <c r="F335" s="285" t="str">
        <f>IFERROR(__xludf.DUMMYFUNCTION("""COMPUTED_VALUE"""),"2607D131")</f>
        <v>2607D131</v>
      </c>
      <c r="G335" s="286">
        <f>IFERROR(__xludf.DUMMYFUNCTION("""COMPUTED_VALUE"""),46223.0)</f>
        <v>46223</v>
      </c>
      <c r="H335" s="285" t="str">
        <f>IFERROR(__xludf.DUMMYFUNCTION("""COMPUTED_VALUE"""),"Jochebed Loekita")</f>
        <v>Jochebed Loekita</v>
      </c>
      <c r="I335" s="285" t="str">
        <f>IFERROR(__xludf.DUMMYFUNCTION("""COMPUTED_VALUE"""),"081958060393")</f>
        <v>081958060393</v>
      </c>
      <c r="J335" s="285" t="str">
        <f>IFERROR(__xludf.DUMMYFUNCTION("""COMPUTED_VALUE"""),"Leads Baru")</f>
        <v>Leads Baru</v>
      </c>
      <c r="K335" s="285"/>
      <c r="L335" s="287"/>
      <c r="M335" s="288"/>
      <c r="N335" s="289"/>
      <c r="O335" s="290" t="str">
        <f>IFERROR(__xludf.DUMMYFUNCTION("""COMPUTED_VALUE"""),"masih pilih destinasi, nanti dikabarin")</f>
        <v>masih pilih destinasi, nanti dikabarin</v>
      </c>
      <c r="P335" s="320"/>
      <c r="R335" s="285"/>
      <c r="S335" s="285"/>
      <c r="T335" s="285"/>
      <c r="U335" s="285"/>
      <c r="V335" s="285"/>
      <c r="W335" s="285"/>
      <c r="X335" s="285"/>
      <c r="Y335" s="285"/>
      <c r="Z335" s="285"/>
      <c r="AA335" s="285"/>
      <c r="AC335" s="285" t="str">
        <f>IFERROR(__xludf.DUMMYFUNCTION("""COMPUTED_VALUE"""),"2603D084")</f>
        <v>2603D084</v>
      </c>
      <c r="AD335" s="286">
        <f>IFERROR(__xludf.DUMMYFUNCTION("""COMPUTED_VALUE"""),46100.0)</f>
        <v>46100</v>
      </c>
      <c r="AE335" s="285" t="str">
        <f>IFERROR(__xludf.DUMMYFUNCTION("""COMPUTED_VALUE"""),"Sahat M.Manik")</f>
        <v>Sahat M.Manik</v>
      </c>
      <c r="AF335" s="285" t="str">
        <f>IFERROR(__xludf.DUMMYFUNCTION("""COMPUTED_VALUE"""),"08111119540")</f>
        <v>08111119540</v>
      </c>
      <c r="AG335" s="285" t="str">
        <f>IFERROR(__xludf.DUMMYFUNCTION("""COMPUTED_VALUE"""),"Gagal")</f>
        <v>Gagal</v>
      </c>
      <c r="AH335" s="285" t="str">
        <f>IFERROR(__xludf.DUMMYFUNCTION("""COMPUTED_VALUE"""),"snorkling")</f>
        <v>snorkling</v>
      </c>
      <c r="AI335" s="287">
        <f>IFERROR(__xludf.DUMMYFUNCTION("""COMPUTED_VALUE"""),46101.0)</f>
        <v>46101</v>
      </c>
      <c r="AJ335" s="285">
        <f>IFERROR(__xludf.DUMMYFUNCTION("""COMPUTED_VALUE"""),4.0)</f>
        <v>4</v>
      </c>
      <c r="AK335" s="289">
        <f>IFERROR(__xludf.DUMMYFUNCTION("""COMPUTED_VALUE"""),2600000.0)</f>
        <v>2600000</v>
      </c>
      <c r="AL335" s="285" t="str">
        <f>IFERROR(__xludf.DUMMYFUNCTION("""COMPUTED_VALUE"""),"sudah dapat trip lain ")</f>
        <v>sudah dapat trip lain </v>
      </c>
    </row>
    <row r="336">
      <c r="F336" s="285" t="str">
        <f>IFERROR(__xludf.DUMMYFUNCTION("""COMPUTED_VALUE"""),"2607D132")</f>
        <v>2607D132</v>
      </c>
      <c r="G336" s="286">
        <f>IFERROR(__xludf.DUMMYFUNCTION("""COMPUTED_VALUE"""),46224.0)</f>
        <v>46224</v>
      </c>
      <c r="H336" s="285" t="str">
        <f>IFERROR(__xludf.DUMMYFUNCTION("""COMPUTED_VALUE"""),"Caruban Nagari")</f>
        <v>Caruban Nagari</v>
      </c>
      <c r="I336" s="285" t="str">
        <f>IFERROR(__xludf.DUMMYFUNCTION("""COMPUTED_VALUE"""),"089653444969")</f>
        <v>089653444969</v>
      </c>
      <c r="J336" s="285" t="str">
        <f>IFERROR(__xludf.DUMMYFUNCTION("""COMPUTED_VALUE"""),"Leads Baru")</f>
        <v>Leads Baru</v>
      </c>
      <c r="K336" s="285"/>
      <c r="L336" s="287"/>
      <c r="M336" s="288"/>
      <c r="N336" s="289"/>
      <c r="O336" s="290" t="str">
        <f>IFERROR(__xludf.DUMMYFUNCTION("""COMPUTED_VALUE"""),"baru tanya pricelist ")</f>
        <v>baru tanya pricelist </v>
      </c>
      <c r="P336" s="320"/>
      <c r="R336" s="285"/>
      <c r="S336" s="285"/>
      <c r="T336" s="285"/>
      <c r="U336" s="285"/>
      <c r="V336" s="285"/>
      <c r="W336" s="285"/>
      <c r="X336" s="285"/>
      <c r="Y336" s="285"/>
      <c r="Z336" s="285"/>
      <c r="AA336" s="285"/>
      <c r="AC336" s="285" t="str">
        <f>IFERROR(__xludf.DUMMYFUNCTION("""COMPUTED_VALUE"""),"2603D085")</f>
        <v>2603D085</v>
      </c>
      <c r="AD336" s="286">
        <f>IFERROR(__xludf.DUMMYFUNCTION("""COMPUTED_VALUE"""),46100.0)</f>
        <v>46100</v>
      </c>
      <c r="AE336" s="285" t="str">
        <f>IFERROR(__xludf.DUMMYFUNCTION("""COMPUTED_VALUE"""),"Farahdinta")</f>
        <v>Farahdinta</v>
      </c>
      <c r="AF336" s="285" t="str">
        <f>IFERROR(__xludf.DUMMYFUNCTION("""COMPUTED_VALUE"""),"081315681977")</f>
        <v>081315681977</v>
      </c>
      <c r="AG336" s="285" t="str">
        <f>IFERROR(__xludf.DUMMYFUNCTION("""COMPUTED_VALUE"""),"Gagal")</f>
        <v>Gagal</v>
      </c>
      <c r="AH336" s="285" t="str">
        <f>IFERROR(__xludf.DUMMYFUNCTION("""COMPUTED_VALUE"""),"Djabal ")</f>
        <v>Djabal </v>
      </c>
      <c r="AI336" s="287">
        <f>IFERROR(__xludf.DUMMYFUNCTION("""COMPUTED_VALUE"""),46105.0)</f>
        <v>46105</v>
      </c>
      <c r="AJ336" s="285">
        <f>IFERROR(__xludf.DUMMYFUNCTION("""COMPUTED_VALUE"""),4.0)</f>
        <v>4</v>
      </c>
      <c r="AK336" s="289">
        <f>IFERROR(__xludf.DUMMYFUNCTION("""COMPUTED_VALUE"""),1269000.0)</f>
        <v>1269000</v>
      </c>
      <c r="AL336" s="285" t="str">
        <f>IFERROR(__xludf.DUMMYFUNCTION("""COMPUTED_VALUE"""),"lewat tanggal tidak balas")</f>
        <v>lewat tanggal tidak balas</v>
      </c>
    </row>
    <row r="337">
      <c r="F337" s="285" t="str">
        <f>IFERROR(__xludf.DUMMYFUNCTION("""COMPUTED_VALUE"""),"2607D133")</f>
        <v>2607D133</v>
      </c>
      <c r="G337" s="286">
        <f>IFERROR(__xludf.DUMMYFUNCTION("""COMPUTED_VALUE"""),46223.0)</f>
        <v>46223</v>
      </c>
      <c r="H337" s="285" t="str">
        <f>IFERROR(__xludf.DUMMYFUNCTION("""COMPUTED_VALUE"""),"DRS")</f>
        <v>DRS</v>
      </c>
      <c r="I337" s="285" t="str">
        <f>IFERROR(__xludf.DUMMYFUNCTION("""COMPUTED_VALUE"""),"081314046102")</f>
        <v>081314046102</v>
      </c>
      <c r="J337" s="285" t="str">
        <f>IFERROR(__xludf.DUMMYFUNCTION("""COMPUTED_VALUE"""),"Leads Baru")</f>
        <v>Leads Baru</v>
      </c>
      <c r="K337" s="285" t="str">
        <f>IFERROR(__xludf.DUMMYFUNCTION("""COMPUTED_VALUE"""),"OT 3H2M")</f>
        <v>OT 3H2M</v>
      </c>
      <c r="L337" s="287"/>
      <c r="M337" s="288"/>
      <c r="N337" s="289"/>
      <c r="O337" s="290" t="str">
        <f>IFERROR(__xludf.DUMMYFUNCTION("""COMPUTED_VALUE"""),"belum fiks pilih trip yg mana, Fu 30 Juli")</f>
        <v>belum fiks pilih trip yg mana, Fu 30 Juli</v>
      </c>
      <c r="P337" s="320"/>
      <c r="R337" s="285"/>
      <c r="S337" s="285"/>
      <c r="T337" s="285"/>
      <c r="U337" s="285"/>
      <c r="V337" s="285"/>
      <c r="W337" s="285"/>
      <c r="X337" s="285"/>
      <c r="Y337" s="285"/>
      <c r="Z337" s="285"/>
      <c r="AA337" s="285"/>
      <c r="AC337" s="285" t="str">
        <f>IFERROR(__xludf.DUMMYFUNCTION("""COMPUTED_VALUE"""),"2603D086")</f>
        <v>2603D086</v>
      </c>
      <c r="AD337" s="286">
        <f>IFERROR(__xludf.DUMMYFUNCTION("""COMPUTED_VALUE"""),46100.0)</f>
        <v>46100</v>
      </c>
      <c r="AE337" s="285" t="str">
        <f>IFERROR(__xludf.DUMMYFUNCTION("""COMPUTED_VALUE"""),"Kyy")</f>
        <v>Kyy</v>
      </c>
      <c r="AF337" s="285" t="str">
        <f>IFERROR(__xludf.DUMMYFUNCTION("""COMPUTED_VALUE"""),"089676415755")</f>
        <v>089676415755</v>
      </c>
      <c r="AG337" s="285" t="str">
        <f>IFERROR(__xludf.DUMMYFUNCTION("""COMPUTED_VALUE"""),"Gagal")</f>
        <v>Gagal</v>
      </c>
      <c r="AH337" s="285" t="str">
        <f>IFERROR(__xludf.DUMMYFUNCTION("""COMPUTED_VALUE"""),"Menjangan Tabuhan")</f>
        <v>Menjangan Tabuhan</v>
      </c>
      <c r="AI337" s="287">
        <f>IFERROR(__xludf.DUMMYFUNCTION("""COMPUTED_VALUE"""),46105.0)</f>
        <v>46105</v>
      </c>
      <c r="AJ337" s="285">
        <f>IFERROR(__xludf.DUMMYFUNCTION("""COMPUTED_VALUE"""),2.0)</f>
        <v>2</v>
      </c>
      <c r="AK337" s="289">
        <f>IFERROR(__xludf.DUMMYFUNCTION("""COMPUTED_VALUE"""),2295000.0)</f>
        <v>2295000</v>
      </c>
      <c r="AL337" s="285" t="str">
        <f>IFERROR(__xludf.DUMMYFUNCTION("""COMPUTED_VALUE"""),"tannggal tidak bisa")</f>
        <v>tannggal tidak bisa</v>
      </c>
    </row>
    <row r="338">
      <c r="F338" s="285" t="str">
        <f>IFERROR(__xludf.DUMMYFUNCTION("""COMPUTED_VALUE"""),"2607D134")</f>
        <v>2607D134</v>
      </c>
      <c r="G338" s="286">
        <f>IFERROR(__xludf.DUMMYFUNCTION("""COMPUTED_VALUE"""),46224.0)</f>
        <v>46224</v>
      </c>
      <c r="H338" s="285" t="str">
        <f>IFERROR(__xludf.DUMMYFUNCTION("""COMPUTED_VALUE"""),"Dafina")</f>
        <v>Dafina</v>
      </c>
      <c r="I338" s="285" t="str">
        <f>IFERROR(__xludf.DUMMYFUNCTION("""COMPUTED_VALUE"""),"085885225093")</f>
        <v>085885225093</v>
      </c>
      <c r="J338" s="285" t="str">
        <f>IFERROR(__xludf.DUMMYFUNCTION("""COMPUTED_VALUE"""),"Leads Baru")</f>
        <v>Leads Baru</v>
      </c>
      <c r="K338" s="285" t="str">
        <f>IFERROR(__xludf.DUMMYFUNCTION("""COMPUTED_VALUE"""),"OT Ijen")</f>
        <v>OT Ijen</v>
      </c>
      <c r="L338" s="287"/>
      <c r="M338" s="288"/>
      <c r="N338" s="289"/>
      <c r="O338" s="290" t="str">
        <f>IFERROR(__xludf.DUMMYFUNCTION("""COMPUTED_VALUE"""),"FU 1 Agustus")</f>
        <v>FU 1 Agustus</v>
      </c>
      <c r="P338" s="320"/>
      <c r="R338" s="285"/>
      <c r="S338" s="285"/>
      <c r="T338" s="285"/>
      <c r="U338" s="285"/>
      <c r="V338" s="285"/>
      <c r="W338" s="285"/>
      <c r="X338" s="285"/>
      <c r="Y338" s="285"/>
      <c r="Z338" s="285"/>
      <c r="AA338" s="285"/>
      <c r="AC338" s="285" t="str">
        <f>IFERROR(__xludf.DUMMYFUNCTION("""COMPUTED_VALUE"""),"2603D089")</f>
        <v>2603D089</v>
      </c>
      <c r="AD338" s="286">
        <f>IFERROR(__xludf.DUMMYFUNCTION("""COMPUTED_VALUE"""),46101.0)</f>
        <v>46101</v>
      </c>
      <c r="AE338" s="285" t="str">
        <f>IFERROR(__xludf.DUMMYFUNCTION("""COMPUTED_VALUE"""),"Ridwan")</f>
        <v>Ridwan</v>
      </c>
      <c r="AF338" s="285" t="str">
        <f>IFERROR(__xludf.DUMMYFUNCTION("""COMPUTED_VALUE"""),"081973724104")</f>
        <v>081973724104</v>
      </c>
      <c r="AG338" s="285" t="str">
        <f>IFERROR(__xludf.DUMMYFUNCTION("""COMPUTED_VALUE"""),"Gagal")</f>
        <v>Gagal</v>
      </c>
      <c r="AH338" s="285" t="str">
        <f>IFERROR(__xludf.DUMMYFUNCTION("""COMPUTED_VALUE"""),"2h1m Baluran ")</f>
        <v>2h1m Baluran </v>
      </c>
      <c r="AI338" s="287"/>
      <c r="AJ338" s="285">
        <f>IFERROR(__xludf.DUMMYFUNCTION("""COMPUTED_VALUE"""),6.0)</f>
        <v>6</v>
      </c>
      <c r="AK338" s="289"/>
      <c r="AL338" s="285" t="str">
        <f>IFERROR(__xludf.DUMMYFUNCTION("""COMPUTED_VALUE"""),"tidak ada kelanjutan, lewat tanggal")</f>
        <v>tidak ada kelanjutan, lewat tanggal</v>
      </c>
    </row>
    <row r="339">
      <c r="F339" s="285" t="str">
        <f>IFERROR(__xludf.DUMMYFUNCTION("""COMPUTED_VALUE"""),"2607D135")</f>
        <v>2607D135</v>
      </c>
      <c r="G339" s="286">
        <f>IFERROR(__xludf.DUMMYFUNCTION("""COMPUTED_VALUE"""),46224.0)</f>
        <v>46224</v>
      </c>
      <c r="H339" s="285" t="str">
        <f>IFERROR(__xludf.DUMMYFUNCTION("""COMPUTED_VALUE"""),"Shamanth")</f>
        <v>Shamanth</v>
      </c>
      <c r="I339" s="285" t="str">
        <f>IFERROR(__xludf.DUMMYFUNCTION("""COMPUTED_VALUE"""),"917026255919")</f>
        <v>917026255919</v>
      </c>
      <c r="J339" s="285" t="str">
        <f>IFERROR(__xludf.DUMMYFUNCTION("""COMPUTED_VALUE"""),"Leads Baru")</f>
        <v>Leads Baru</v>
      </c>
      <c r="K339" s="285" t="str">
        <f>IFERROR(__xludf.DUMMYFUNCTION("""COMPUTED_VALUE"""),"OT MT WNA")</f>
        <v>OT MT WNA</v>
      </c>
      <c r="L339" s="287">
        <f>IFERROR(__xludf.DUMMYFUNCTION("""COMPUTED_VALUE"""),46278.0)</f>
        <v>46278</v>
      </c>
      <c r="M339" s="288">
        <f>IFERROR(__xludf.DUMMYFUNCTION("""COMPUTED_VALUE"""),2.0)</f>
        <v>2</v>
      </c>
      <c r="N339" s="289"/>
      <c r="O339" s="290" t="str">
        <f>IFERROR(__xludf.DUMMYFUNCTION("""COMPUTED_VALUE"""),"FU 6 Agustus")</f>
        <v>FU 6 Agustus</v>
      </c>
      <c r="P339" s="320"/>
      <c r="R339" s="285"/>
      <c r="S339" s="285"/>
      <c r="T339" s="285"/>
      <c r="U339" s="285"/>
      <c r="V339" s="285"/>
      <c r="W339" s="285"/>
      <c r="X339" s="285"/>
      <c r="Y339" s="285"/>
      <c r="Z339" s="285"/>
      <c r="AA339" s="285"/>
      <c r="AC339" s="285" t="str">
        <f>IFERROR(__xludf.DUMMYFUNCTION("""COMPUTED_VALUE"""),"2603D090")</f>
        <v>2603D090</v>
      </c>
      <c r="AD339" s="286">
        <f>IFERROR(__xludf.DUMMYFUNCTION("""COMPUTED_VALUE"""),46101.0)</f>
        <v>46101</v>
      </c>
      <c r="AE339" s="285" t="str">
        <f>IFERROR(__xludf.DUMMYFUNCTION("""COMPUTED_VALUE"""),"Kartika Eliyandari")</f>
        <v>Kartika Eliyandari</v>
      </c>
      <c r="AF339" s="285" t="str">
        <f>IFERROR(__xludf.DUMMYFUNCTION("""COMPUTED_VALUE"""),"085643613528")</f>
        <v>085643613528</v>
      </c>
      <c r="AG339" s="285" t="str">
        <f>IFERROR(__xludf.DUMMYFUNCTION("""COMPUTED_VALUE"""),"Gagal")</f>
        <v>Gagal</v>
      </c>
      <c r="AH339" s="285"/>
      <c r="AI339" s="287"/>
      <c r="AJ339" s="285"/>
      <c r="AK339" s="289"/>
      <c r="AL339" s="285" t="str">
        <f>IFERROR(__xludf.DUMMYFUNCTION("""COMPUTED_VALUE"""),"tidak balas")</f>
        <v>tidak balas</v>
      </c>
    </row>
    <row r="340">
      <c r="F340" s="285" t="str">
        <f>IFERROR(__xludf.DUMMYFUNCTION("""COMPUTED_VALUE"""),"2607D137")</f>
        <v>2607D137</v>
      </c>
      <c r="G340" s="286">
        <f>IFERROR(__xludf.DUMMYFUNCTION("""COMPUTED_VALUE"""),46224.0)</f>
        <v>46224</v>
      </c>
      <c r="H340" s="285" t="str">
        <f>IFERROR(__xludf.DUMMYFUNCTION("""COMPUTED_VALUE"""),"Cici Amel")</f>
        <v>Cici Amel</v>
      </c>
      <c r="I340" s="285" t="str">
        <f>IFERROR(__xludf.DUMMYFUNCTION("""COMPUTED_VALUE"""),"08175117575")</f>
        <v>08175117575</v>
      </c>
      <c r="J340" s="285" t="str">
        <f>IFERROR(__xludf.DUMMYFUNCTION("""COMPUTED_VALUE"""),"Leads Baru")</f>
        <v>Leads Baru</v>
      </c>
      <c r="K340" s="285" t="str">
        <f>IFERROR(__xludf.DUMMYFUNCTION("""COMPUTED_VALUE"""),"OT 3H2M")</f>
        <v>OT 3H2M</v>
      </c>
      <c r="L340" s="287"/>
      <c r="M340" s="288">
        <f>IFERROR(__xludf.DUMMYFUNCTION("""COMPUTED_VALUE"""),1.0)</f>
        <v>1</v>
      </c>
      <c r="N340" s="289"/>
      <c r="O340" s="290" t="str">
        <f>IFERROR(__xludf.DUMMYFUNCTION("""COMPUTED_VALUE"""),"FU 30 Juli")</f>
        <v>FU 30 Juli</v>
      </c>
      <c r="P340" s="320"/>
      <c r="R340" s="285"/>
      <c r="S340" s="285"/>
      <c r="T340" s="285"/>
      <c r="U340" s="285"/>
      <c r="V340" s="285"/>
      <c r="W340" s="285"/>
      <c r="X340" s="285"/>
      <c r="Y340" s="285"/>
      <c r="Z340" s="285"/>
      <c r="AA340" s="285"/>
      <c r="AC340" s="285" t="str">
        <f>IFERROR(__xludf.DUMMYFUNCTION("""COMPUTED_VALUE"""),"2603D091")</f>
        <v>2603D091</v>
      </c>
      <c r="AD340" s="286">
        <f>IFERROR(__xludf.DUMMYFUNCTION("""COMPUTED_VALUE"""),46101.0)</f>
        <v>46101</v>
      </c>
      <c r="AE340" s="285" t="str">
        <f>IFERROR(__xludf.DUMMYFUNCTION("""COMPUTED_VALUE"""),"Moru")</f>
        <v>Moru</v>
      </c>
      <c r="AF340" s="285" t="str">
        <f>IFERROR(__xludf.DUMMYFUNCTION("""COMPUTED_VALUE"""),"085780135199")</f>
        <v>085780135199</v>
      </c>
      <c r="AG340" s="285" t="str">
        <f>IFERROR(__xludf.DUMMYFUNCTION("""COMPUTED_VALUE"""),"Gagal")</f>
        <v>Gagal</v>
      </c>
      <c r="AH340" s="285"/>
      <c r="AI340" s="287"/>
      <c r="AJ340" s="285"/>
      <c r="AK340" s="289"/>
      <c r="AL340" s="285" t="str">
        <f>IFERROR(__xludf.DUMMYFUNCTION("""COMPUTED_VALUE"""),"hanya menyapa, tidak menjawab")</f>
        <v>hanya menyapa, tidak menjawab</v>
      </c>
    </row>
    <row r="341">
      <c r="F341" s="285" t="str">
        <f>IFERROR(__xludf.DUMMYFUNCTION("""COMPUTED_VALUE"""),"2607D138")</f>
        <v>2607D138</v>
      </c>
      <c r="G341" s="286">
        <f>IFERROR(__xludf.DUMMYFUNCTION("""COMPUTED_VALUE"""),46224.0)</f>
        <v>46224</v>
      </c>
      <c r="H341" s="285" t="str">
        <f>IFERROR(__xludf.DUMMYFUNCTION("""COMPUTED_VALUE"""),"MA")</f>
        <v>MA</v>
      </c>
      <c r="I341" s="285" t="str">
        <f>IFERROR(__xludf.DUMMYFUNCTION("""COMPUTED_VALUE"""),"0812686493961")</f>
        <v>0812686493961</v>
      </c>
      <c r="J341" s="285" t="str">
        <f>IFERROR(__xludf.DUMMYFUNCTION("""COMPUTED_VALUE"""),"Leads Baru")</f>
        <v>Leads Baru</v>
      </c>
      <c r="K341" s="285"/>
      <c r="L341" s="287"/>
      <c r="M341" s="288"/>
      <c r="N341" s="289"/>
      <c r="O341" s="290"/>
      <c r="P341" s="320"/>
      <c r="R341" s="285"/>
      <c r="S341" s="285"/>
      <c r="T341" s="285"/>
      <c r="U341" s="285"/>
      <c r="V341" s="285"/>
      <c r="W341" s="285"/>
      <c r="X341" s="285"/>
      <c r="Y341" s="285"/>
      <c r="Z341" s="285"/>
      <c r="AA341" s="285"/>
      <c r="AC341" s="285" t="str">
        <f>IFERROR(__xludf.DUMMYFUNCTION("""COMPUTED_VALUE"""),"2603D092")</f>
        <v>2603D092</v>
      </c>
      <c r="AD341" s="286">
        <f>IFERROR(__xludf.DUMMYFUNCTION("""COMPUTED_VALUE"""),46101.0)</f>
        <v>46101</v>
      </c>
      <c r="AE341" s="285" t="str">
        <f>IFERROR(__xludf.DUMMYFUNCTION("""COMPUTED_VALUE"""),"love ungu")</f>
        <v>love ungu</v>
      </c>
      <c r="AF341" s="285" t="str">
        <f>IFERROR(__xludf.DUMMYFUNCTION("""COMPUTED_VALUE"""),"085168936337")</f>
        <v>085168936337</v>
      </c>
      <c r="AG341" s="285" t="str">
        <f>IFERROR(__xludf.DUMMYFUNCTION("""COMPUTED_VALUE"""),"Gagal")</f>
        <v>Gagal</v>
      </c>
      <c r="AH341" s="285"/>
      <c r="AI341" s="287"/>
      <c r="AJ341" s="285"/>
      <c r="AK341" s="289"/>
      <c r="AL341" s="285" t="str">
        <f>IFERROR(__xludf.DUMMYFUNCTION("""COMPUTED_VALUE"""),"sdh pulang dr banyuwangi")</f>
        <v>sdh pulang dr banyuwangi</v>
      </c>
    </row>
    <row r="342">
      <c r="F342" s="285" t="str">
        <f>IFERROR(__xludf.DUMMYFUNCTION("""COMPUTED_VALUE"""),"2607D139")</f>
        <v>2607D139</v>
      </c>
      <c r="G342" s="286">
        <f>IFERROR(__xludf.DUMMYFUNCTION("""COMPUTED_VALUE"""),46224.0)</f>
        <v>46224</v>
      </c>
      <c r="H342" s="285" t="str">
        <f>IFERROR(__xludf.DUMMYFUNCTION("""COMPUTED_VALUE"""),"Dara Cikal SBY")</f>
        <v>Dara Cikal SBY</v>
      </c>
      <c r="I342" s="285" t="str">
        <f>IFERROR(__xludf.DUMMYFUNCTION("""COMPUTED_VALUE"""),"089621717553")</f>
        <v>089621717553</v>
      </c>
      <c r="J342" s="285" t="str">
        <f>IFERROR(__xludf.DUMMYFUNCTION("""COMPUTED_VALUE"""),"Leads Baru")</f>
        <v>Leads Baru</v>
      </c>
      <c r="K342" s="285"/>
      <c r="L342" s="287"/>
      <c r="M342" s="288"/>
      <c r="N342" s="289"/>
      <c r="O342" s="290" t="str">
        <f>IFERROR(__xludf.DUMMYFUNCTION("""COMPUTED_VALUE"""),"Repeat orderr, nunggu info selanjutnya")</f>
        <v>Repeat orderr, nunggu info selanjutnya</v>
      </c>
      <c r="P342" s="320"/>
      <c r="R342" s="285"/>
      <c r="S342" s="285"/>
      <c r="T342" s="285"/>
      <c r="U342" s="285"/>
      <c r="V342" s="285"/>
      <c r="W342" s="285"/>
      <c r="X342" s="285"/>
      <c r="Y342" s="285"/>
      <c r="Z342" s="285"/>
      <c r="AA342" s="285"/>
      <c r="AC342" s="285" t="str">
        <f>IFERROR(__xludf.DUMMYFUNCTION("""COMPUTED_VALUE"""),"2603D093")</f>
        <v>2603D093</v>
      </c>
      <c r="AD342" s="286">
        <f>IFERROR(__xludf.DUMMYFUNCTION("""COMPUTED_VALUE"""),46101.0)</f>
        <v>46101</v>
      </c>
      <c r="AE342" s="285" t="str">
        <f>IFERROR(__xludf.DUMMYFUNCTION("""COMPUTED_VALUE"""),"Aisyah Aulia")</f>
        <v>Aisyah Aulia</v>
      </c>
      <c r="AF342" s="285" t="str">
        <f>IFERROR(__xludf.DUMMYFUNCTION("""COMPUTED_VALUE"""),"0895363638105")</f>
        <v>0895363638105</v>
      </c>
      <c r="AG342" s="285" t="str">
        <f>IFERROR(__xludf.DUMMYFUNCTION("""COMPUTED_VALUE"""),"Gagal")</f>
        <v>Gagal</v>
      </c>
      <c r="AH342" s="285" t="str">
        <f>IFERROR(__xludf.DUMMYFUNCTION("""COMPUTED_VALUE"""),"2H1M")</f>
        <v>2H1M</v>
      </c>
      <c r="AI342" s="287"/>
      <c r="AJ342" s="285"/>
      <c r="AK342" s="289"/>
      <c r="AL342" s="285" t="str">
        <f>IFERROR(__xludf.DUMMYFUNCTION("""COMPUTED_VALUE"""),"sudah FU, ga balesss")</f>
        <v>sudah FU, ga balesss</v>
      </c>
    </row>
    <row r="343">
      <c r="F343" s="285" t="str">
        <f>IFERROR(__xludf.DUMMYFUNCTION("""COMPUTED_VALUE"""),"2607D140")</f>
        <v>2607D140</v>
      </c>
      <c r="G343" s="286">
        <f>IFERROR(__xludf.DUMMYFUNCTION("""COMPUTED_VALUE"""),46224.0)</f>
        <v>46224</v>
      </c>
      <c r="H343" s="285" t="str">
        <f>IFERROR(__xludf.DUMMYFUNCTION("""COMPUTED_VALUE"""),"Dhea")</f>
        <v>Dhea</v>
      </c>
      <c r="I343" s="285" t="str">
        <f>IFERROR(__xludf.DUMMYFUNCTION("""COMPUTED_VALUE"""),"082289702401")</f>
        <v>082289702401</v>
      </c>
      <c r="J343" s="285" t="str">
        <f>IFERROR(__xludf.DUMMYFUNCTION("""COMPUTED_VALUE"""),"Leads Baru")</f>
        <v>Leads Baru</v>
      </c>
      <c r="K343" s="285" t="str">
        <f>IFERROR(__xludf.DUMMYFUNCTION("""COMPUTED_VALUE"""),"2H1M custome")</f>
        <v>2H1M custome</v>
      </c>
      <c r="L343" s="287"/>
      <c r="M343" s="288"/>
      <c r="N343" s="289"/>
      <c r="O343" s="290" t="str">
        <f>IFERROR(__xludf.DUMMYFUNCTION("""COMPUTED_VALUE"""),"buat penawaran")</f>
        <v>buat penawaran</v>
      </c>
      <c r="P343" s="320"/>
      <c r="R343" s="285"/>
      <c r="S343" s="285"/>
      <c r="T343" s="285"/>
      <c r="U343" s="285"/>
      <c r="V343" s="285"/>
      <c r="W343" s="285"/>
      <c r="X343" s="285"/>
      <c r="Y343" s="285"/>
      <c r="Z343" s="285"/>
      <c r="AA343" s="285"/>
      <c r="AC343" s="285" t="str">
        <f>IFERROR(__xludf.DUMMYFUNCTION("""COMPUTED_VALUE"""),"2603D094")</f>
        <v>2603D094</v>
      </c>
      <c r="AD343" s="286">
        <f>IFERROR(__xludf.DUMMYFUNCTION("""COMPUTED_VALUE"""),46101.0)</f>
        <v>46101</v>
      </c>
      <c r="AE343" s="285" t="str">
        <f>IFERROR(__xludf.DUMMYFUNCTION("""COMPUTED_VALUE"""),"Claudia Putri Siregar")</f>
        <v>Claudia Putri Siregar</v>
      </c>
      <c r="AF343" s="285" t="str">
        <f>IFERROR(__xludf.DUMMYFUNCTION("""COMPUTED_VALUE"""),"08999021457")</f>
        <v>08999021457</v>
      </c>
      <c r="AG343" s="285" t="str">
        <f>IFERROR(__xludf.DUMMYFUNCTION("""COMPUTED_VALUE"""),"Gagal")</f>
        <v>Gagal</v>
      </c>
      <c r="AH343" s="285" t="str">
        <f>IFERROR(__xludf.DUMMYFUNCTION("""COMPUTED_VALUE"""),"ijen")</f>
        <v>ijen</v>
      </c>
      <c r="AI343" s="287">
        <f>IFERROR(__xludf.DUMMYFUNCTION("""COMPUTED_VALUE"""),46110.0)</f>
        <v>46110</v>
      </c>
      <c r="AJ343" s="285">
        <f>IFERROR(__xludf.DUMMYFUNCTION("""COMPUTED_VALUE"""),4.0)</f>
        <v>4</v>
      </c>
      <c r="AK343" s="289">
        <f>IFERROR(__xludf.DUMMYFUNCTION("""COMPUTED_VALUE"""),1456000.0)</f>
        <v>1456000</v>
      </c>
      <c r="AL343" s="285" t="str">
        <f>IFERROR(__xludf.DUMMYFUNCTION("""COMPUTED_VALUE"""),"tidak balas, gagal lewat taggal")</f>
        <v>tidak balas, gagal lewat taggal</v>
      </c>
    </row>
    <row r="344">
      <c r="F344" s="285" t="str">
        <f>IFERROR(__xludf.DUMMYFUNCTION("""COMPUTED_VALUE"""),"2607D142")</f>
        <v>2607D142</v>
      </c>
      <c r="G344" s="286">
        <f>IFERROR(__xludf.DUMMYFUNCTION("""COMPUTED_VALUE"""),46225.0)</f>
        <v>46225</v>
      </c>
      <c r="H344" s="285" t="str">
        <f>IFERROR(__xludf.DUMMYFUNCTION("""COMPUTED_VALUE"""),"ilham")</f>
        <v>ilham</v>
      </c>
      <c r="I344" s="285" t="str">
        <f>IFERROR(__xludf.DUMMYFUNCTION("""COMPUTED_VALUE"""),"081809536606")</f>
        <v>081809536606</v>
      </c>
      <c r="J344" s="285" t="str">
        <f>IFERROR(__xludf.DUMMYFUNCTION("""COMPUTED_VALUE"""),"Leads Baru")</f>
        <v>Leads Baru</v>
      </c>
      <c r="K344" s="285" t="str">
        <f>IFERROR(__xludf.DUMMYFUNCTION("""COMPUTED_VALUE"""),"2H1M opsi B")</f>
        <v>2H1M opsi B</v>
      </c>
      <c r="L344" s="287">
        <f>IFERROR(__xludf.DUMMYFUNCTION("""COMPUTED_VALUE"""),46237.0)</f>
        <v>46237</v>
      </c>
      <c r="M344" s="288">
        <f>IFERROR(__xludf.DUMMYFUNCTION("""COMPUTED_VALUE"""),2.0)</f>
        <v>2</v>
      </c>
      <c r="N344" s="289"/>
      <c r="O344" s="290" t="str">
        <f>IFERROR(__xludf.DUMMYFUNCTION("""COMPUTED_VALUE"""),"belum balas lagi, FU 31 Juli")</f>
        <v>belum balas lagi, FU 31 Juli</v>
      </c>
      <c r="P344" s="320"/>
      <c r="R344" s="285"/>
      <c r="S344" s="285"/>
      <c r="T344" s="285"/>
      <c r="U344" s="285"/>
      <c r="V344" s="285"/>
      <c r="W344" s="285"/>
      <c r="X344" s="285"/>
      <c r="Y344" s="285"/>
      <c r="Z344" s="285"/>
      <c r="AA344" s="285"/>
      <c r="AC344" s="285" t="str">
        <f>IFERROR(__xludf.DUMMYFUNCTION("""COMPUTED_VALUE"""),"2603D095")</f>
        <v>2603D095</v>
      </c>
      <c r="AD344" s="286">
        <f>IFERROR(__xludf.DUMMYFUNCTION("""COMPUTED_VALUE"""),46101.0)</f>
        <v>46101</v>
      </c>
      <c r="AE344" s="285" t="str">
        <f>IFERROR(__xludf.DUMMYFUNCTION("""COMPUTED_VALUE"""),"Rifqi Athallah")</f>
        <v>Rifqi Athallah</v>
      </c>
      <c r="AF344" s="285" t="str">
        <f>IFERROR(__xludf.DUMMYFUNCTION("""COMPUTED_VALUE"""),"085645602833")</f>
        <v>085645602833</v>
      </c>
      <c r="AG344" s="285" t="str">
        <f>IFERROR(__xludf.DUMMYFUNCTION("""COMPUTED_VALUE"""),"Gagal")</f>
        <v>Gagal</v>
      </c>
      <c r="AH344" s="285" t="str">
        <f>IFERROR(__xludf.DUMMYFUNCTION("""COMPUTED_VALUE"""),"3H2M opsi B")</f>
        <v>3H2M opsi B</v>
      </c>
      <c r="AI344" s="287"/>
      <c r="AJ344" s="285">
        <f>IFERROR(__xludf.DUMMYFUNCTION("""COMPUTED_VALUE"""),2.0)</f>
        <v>2</v>
      </c>
      <c r="AK344" s="289">
        <f>IFERROR(__xludf.DUMMYFUNCTION("""COMPUTED_VALUE"""),5334000.0)</f>
        <v>5334000</v>
      </c>
      <c r="AL344" s="285" t="str">
        <f>IFERROR(__xludf.DUMMYFUNCTION("""COMPUTED_VALUE"""),"tidak jadi dalam waktu dekat")</f>
        <v>tidak jadi dalam waktu dekat</v>
      </c>
    </row>
    <row r="345">
      <c r="F345" s="285" t="str">
        <f>IFERROR(__xludf.DUMMYFUNCTION("""COMPUTED_VALUE"""),"2607D143")</f>
        <v>2607D143</v>
      </c>
      <c r="G345" s="286">
        <f>IFERROR(__xludf.DUMMYFUNCTION("""COMPUTED_VALUE"""),46225.0)</f>
        <v>46225</v>
      </c>
      <c r="H345" s="285" t="str">
        <f>IFERROR(__xludf.DUMMYFUNCTION("""COMPUTED_VALUE"""),"Aditya Pratama")</f>
        <v>Aditya Pratama</v>
      </c>
      <c r="I345" s="285" t="str">
        <f>IFERROR(__xludf.DUMMYFUNCTION("""COMPUTED_VALUE"""),"087716387014")</f>
        <v>087716387014</v>
      </c>
      <c r="J345" s="285" t="str">
        <f>IFERROR(__xludf.DUMMYFUNCTION("""COMPUTED_VALUE"""),"Leads Baru")</f>
        <v>Leads Baru</v>
      </c>
      <c r="K345" s="285" t="str">
        <f>IFERROR(__xludf.DUMMYFUNCTION("""COMPUTED_VALUE"""),"OT 3H2M")</f>
        <v>OT 3H2M</v>
      </c>
      <c r="L345" s="287"/>
      <c r="M345" s="288"/>
      <c r="N345" s="289"/>
      <c r="O345" s="290" t="str">
        <f>IFERROR(__xludf.DUMMYFUNCTION("""COMPUTED_VALUE"""),"FU 31 Juli")</f>
        <v>FU 31 Juli</v>
      </c>
      <c r="P345" s="320"/>
      <c r="R345" s="285"/>
      <c r="S345" s="285"/>
      <c r="T345" s="285"/>
      <c r="U345" s="285"/>
      <c r="V345" s="285"/>
      <c r="W345" s="285"/>
      <c r="X345" s="285"/>
      <c r="Y345" s="285"/>
      <c r="Z345" s="285"/>
      <c r="AA345" s="285"/>
      <c r="AC345" s="285" t="str">
        <f>IFERROR(__xludf.DUMMYFUNCTION("""COMPUTED_VALUE"""),"2603D096")</f>
        <v>2603D096</v>
      </c>
      <c r="AD345" s="286">
        <f>IFERROR(__xludf.DUMMYFUNCTION("""COMPUTED_VALUE"""),46102.0)</f>
        <v>46102</v>
      </c>
      <c r="AE345" s="285" t="str">
        <f>IFERROR(__xludf.DUMMYFUNCTION("""COMPUTED_VALUE"""),"Michelle")</f>
        <v>Michelle</v>
      </c>
      <c r="AF345" s="285" t="str">
        <f>IFERROR(__xludf.DUMMYFUNCTION("""COMPUTED_VALUE"""),"0895405358348")</f>
        <v>0895405358348</v>
      </c>
      <c r="AG345" s="285" t="str">
        <f>IFERROR(__xludf.DUMMYFUNCTION("""COMPUTED_VALUE"""),"Gagal")</f>
        <v>Gagal</v>
      </c>
      <c r="AH345" s="285"/>
      <c r="AI345" s="287"/>
      <c r="AJ345" s="285"/>
      <c r="AK345" s="289"/>
      <c r="AL345" s="285" t="str">
        <f>IFERROR(__xludf.DUMMYFUNCTION("""COMPUTED_VALUE"""),"hanya menyapa, tidak menjawab")</f>
        <v>hanya menyapa, tidak menjawab</v>
      </c>
    </row>
    <row r="346">
      <c r="F346" s="285" t="str">
        <f>IFERROR(__xludf.DUMMYFUNCTION("""COMPUTED_VALUE"""),"2607D144")</f>
        <v>2607D144</v>
      </c>
      <c r="G346" s="286">
        <f>IFERROR(__xludf.DUMMYFUNCTION("""COMPUTED_VALUE"""),46223.0)</f>
        <v>46223</v>
      </c>
      <c r="H346" s="285" t="str">
        <f>IFERROR(__xludf.DUMMYFUNCTION("""COMPUTED_VALUE"""),"Rahmanisa")</f>
        <v>Rahmanisa</v>
      </c>
      <c r="I346" s="285" t="str">
        <f>IFERROR(__xludf.DUMMYFUNCTION("""COMPUTED_VALUE"""),"082269228104")</f>
        <v>082269228104</v>
      </c>
      <c r="J346" s="285" t="str">
        <f>IFERROR(__xludf.DUMMYFUNCTION("""COMPUTED_VALUE"""),"Leads Baru")</f>
        <v>Leads Baru</v>
      </c>
      <c r="K346" s="285" t="str">
        <f>IFERROR(__xludf.DUMMYFUNCTION("""COMPUTED_VALUE"""),"trip Kawah Ijen")</f>
        <v>trip Kawah Ijen</v>
      </c>
      <c r="L346" s="287"/>
      <c r="M346" s="288">
        <f>IFERROR(__xludf.DUMMYFUNCTION("""COMPUTED_VALUE"""),130.0)</f>
        <v>130</v>
      </c>
      <c r="N346" s="289"/>
      <c r="O346" s="290" t="str">
        <f>IFERROR(__xludf.DUMMYFUNCTION("""COMPUTED_VALUE"""),"dilanjut komunikasi dengan temannya")</f>
        <v>dilanjut komunikasi dengan temannya</v>
      </c>
      <c r="P346" s="320"/>
      <c r="R346" s="285"/>
      <c r="S346" s="285"/>
      <c r="T346" s="285"/>
      <c r="U346" s="285"/>
      <c r="V346" s="285"/>
      <c r="W346" s="285"/>
      <c r="X346" s="285"/>
      <c r="Y346" s="285"/>
      <c r="Z346" s="285"/>
      <c r="AA346" s="285"/>
      <c r="AC346" s="285" t="str">
        <f>IFERROR(__xludf.DUMMYFUNCTION("""COMPUTED_VALUE"""),"2603D097")</f>
        <v>2603D097</v>
      </c>
      <c r="AD346" s="286">
        <f>IFERROR(__xludf.DUMMYFUNCTION("""COMPUTED_VALUE"""),46102.0)</f>
        <v>46102</v>
      </c>
      <c r="AE346" s="285" t="str">
        <f>IFERROR(__xludf.DUMMYFUNCTION("""COMPUTED_VALUE"""),"Hendro Wang")</f>
        <v>Hendro Wang</v>
      </c>
      <c r="AF346" s="285" t="str">
        <f>IFERROR(__xludf.DUMMYFUNCTION("""COMPUTED_VALUE"""),"082230515188")</f>
        <v>082230515188</v>
      </c>
      <c r="AG346" s="285" t="str">
        <f>IFERROR(__xludf.DUMMYFUNCTION("""COMPUTED_VALUE"""),"Gagal")</f>
        <v>Gagal</v>
      </c>
      <c r="AH346" s="285" t="str">
        <f>IFERROR(__xludf.DUMMYFUNCTION("""COMPUTED_VALUE"""),"one day trip pm ")</f>
        <v>one day trip pm </v>
      </c>
      <c r="AI346" s="287"/>
      <c r="AJ346" s="285">
        <f>IFERROR(__xludf.DUMMYFUNCTION("""COMPUTED_VALUE"""),4.0)</f>
        <v>4</v>
      </c>
      <c r="AK346" s="289">
        <f>IFERROR(__xludf.DUMMYFUNCTION("""COMPUTED_VALUE"""),1648000.0)</f>
        <v>1648000</v>
      </c>
      <c r="AL346" s="285" t="str">
        <f>IFERROR(__xludf.DUMMYFUNCTION("""COMPUTED_VALUE"""),"sudah full booked ")</f>
        <v>sudah full booked </v>
      </c>
    </row>
    <row r="347">
      <c r="F347" s="285" t="str">
        <f>IFERROR(__xludf.DUMMYFUNCTION("""COMPUTED_VALUE"""),"2607D145")</f>
        <v>2607D145</v>
      </c>
      <c r="G347" s="286">
        <f>IFERROR(__xludf.DUMMYFUNCTION("""COMPUTED_VALUE"""),46225.0)</f>
        <v>46225</v>
      </c>
      <c r="H347" s="285" t="str">
        <f>IFERROR(__xludf.DUMMYFUNCTION("""COMPUTED_VALUE"""),"Lil f4th")</f>
        <v>Lil f4th</v>
      </c>
      <c r="I347" s="285" t="str">
        <f>IFERROR(__xludf.DUMMYFUNCTION("""COMPUTED_VALUE"""),"085746008752")</f>
        <v>085746008752</v>
      </c>
      <c r="J347" s="285" t="str">
        <f>IFERROR(__xludf.DUMMYFUNCTION("""COMPUTED_VALUE"""),"Leads Baru")</f>
        <v>Leads Baru</v>
      </c>
      <c r="K347" s="285" t="str">
        <f>IFERROR(__xludf.DUMMYFUNCTION("""COMPUTED_VALUE"""),"trip Kawah Ijen")</f>
        <v>trip Kawah Ijen</v>
      </c>
      <c r="L347" s="287"/>
      <c r="M347" s="288">
        <f>IFERROR(__xludf.DUMMYFUNCTION("""COMPUTED_VALUE"""),130.0)</f>
        <v>130</v>
      </c>
      <c r="N347" s="289"/>
      <c r="O347" s="290" t="str">
        <f>IFERROR(__xludf.DUMMYFUNCTION("""COMPUTED_VALUE"""),"penyesuaian")</f>
        <v>penyesuaian</v>
      </c>
      <c r="P347" s="320"/>
      <c r="R347" s="285"/>
      <c r="S347" s="285"/>
      <c r="T347" s="285"/>
      <c r="U347" s="285"/>
      <c r="V347" s="285"/>
      <c r="W347" s="285"/>
      <c r="X347" s="285"/>
      <c r="Y347" s="285"/>
      <c r="Z347" s="285"/>
      <c r="AA347" s="285"/>
      <c r="AC347" s="285" t="str">
        <f>IFERROR(__xludf.DUMMYFUNCTION("""COMPUTED_VALUE"""),"2603D098")</f>
        <v>2603D098</v>
      </c>
      <c r="AD347" s="286">
        <f>IFERROR(__xludf.DUMMYFUNCTION("""COMPUTED_VALUE"""),46102.0)</f>
        <v>46102</v>
      </c>
      <c r="AE347" s="285" t="str">
        <f>IFERROR(__xludf.DUMMYFUNCTION("""COMPUTED_VALUE"""),"Lukas Andrew")</f>
        <v>Lukas Andrew</v>
      </c>
      <c r="AF347" s="285" t="str">
        <f>IFERROR(__xludf.DUMMYFUNCTION("""COMPUTED_VALUE"""),"082132322747")</f>
        <v>082132322747</v>
      </c>
      <c r="AG347" s="285" t="str">
        <f>IFERROR(__xludf.DUMMYFUNCTION("""COMPUTED_VALUE"""),"Gagal")</f>
        <v>Gagal</v>
      </c>
      <c r="AH347" s="285" t="str">
        <f>IFERROR(__xludf.DUMMYFUNCTION("""COMPUTED_VALUE"""),"ot menjangan tabuhan")</f>
        <v>ot menjangan tabuhan</v>
      </c>
      <c r="AI347" s="287"/>
      <c r="AJ347" s="285">
        <f>IFERROR(__xludf.DUMMYFUNCTION("""COMPUTED_VALUE"""),2.0)</f>
        <v>2</v>
      </c>
      <c r="AK347" s="289">
        <f>IFERROR(__xludf.DUMMYFUNCTION("""COMPUTED_VALUE"""),1050000.0)</f>
        <v>1050000</v>
      </c>
      <c r="AL347" s="285" t="str">
        <f>IFERROR(__xludf.DUMMYFUNCTION("""COMPUTED_VALUE"""),"gagal lewat tanggal")</f>
        <v>gagal lewat tanggal</v>
      </c>
    </row>
    <row r="348">
      <c r="F348" s="285" t="str">
        <f>IFERROR(__xludf.DUMMYFUNCTION("""COMPUTED_VALUE"""),"2607D147")</f>
        <v>2607D147</v>
      </c>
      <c r="G348" s="286">
        <f>IFERROR(__xludf.DUMMYFUNCTION("""COMPUTED_VALUE"""),46226.0)</f>
        <v>46226</v>
      </c>
      <c r="H348" s="285" t="str">
        <f>IFERROR(__xludf.DUMMYFUNCTION("""COMPUTED_VALUE"""),"Sekarayu Pancawitri")</f>
        <v>Sekarayu Pancawitri</v>
      </c>
      <c r="I348" s="285" t="str">
        <f>IFERROR(__xludf.DUMMYFUNCTION("""COMPUTED_VALUE"""),"081225619832")</f>
        <v>081225619832</v>
      </c>
      <c r="J348" s="285" t="str">
        <f>IFERROR(__xludf.DUMMYFUNCTION("""COMPUTED_VALUE"""),"Leads Baru")</f>
        <v>Leads Baru</v>
      </c>
      <c r="K348" s="285" t="str">
        <f>IFERROR(__xludf.DUMMYFUNCTION("""COMPUTED_VALUE"""),"OT MT")</f>
        <v>OT MT</v>
      </c>
      <c r="L348" s="287"/>
      <c r="M348" s="288"/>
      <c r="N348" s="289"/>
      <c r="O348" s="290" t="str">
        <f>IFERROR(__xludf.DUMMYFUNCTION("""COMPUTED_VALUE"""),"blm balas lagi, FU 29 Juli")</f>
        <v>blm balas lagi, FU 29 Juli</v>
      </c>
      <c r="P348" s="320"/>
      <c r="R348" s="285"/>
      <c r="S348" s="285"/>
      <c r="T348" s="285"/>
      <c r="U348" s="285"/>
      <c r="V348" s="285"/>
      <c r="W348" s="285"/>
      <c r="X348" s="285"/>
      <c r="Y348" s="285"/>
      <c r="Z348" s="285"/>
      <c r="AA348" s="285"/>
      <c r="AC348" s="285" t="str">
        <f>IFERROR(__xludf.DUMMYFUNCTION("""COMPUTED_VALUE"""),"2603D099")</f>
        <v>2603D099</v>
      </c>
      <c r="AD348" s="286">
        <f>IFERROR(__xludf.DUMMYFUNCTION("""COMPUTED_VALUE"""),46102.0)</f>
        <v>46102</v>
      </c>
      <c r="AE348" s="285" t="str">
        <f>IFERROR(__xludf.DUMMYFUNCTION("""COMPUTED_VALUE"""),"Susie Koo")</f>
        <v>Susie Koo</v>
      </c>
      <c r="AF348" s="285" t="str">
        <f>IFERROR(__xludf.DUMMYFUNCTION("""COMPUTED_VALUE"""),"0811258778")</f>
        <v>0811258778</v>
      </c>
      <c r="AG348" s="285" t="str">
        <f>IFERROR(__xludf.DUMMYFUNCTION("""COMPUTED_VALUE"""),"Gagal")</f>
        <v>Gagal</v>
      </c>
      <c r="AH348" s="285" t="str">
        <f>IFERROR(__xludf.DUMMYFUNCTION("""COMPUTED_VALUE"""),"3H2M ")</f>
        <v>3H2M </v>
      </c>
      <c r="AI348" s="287"/>
      <c r="AJ348" s="285">
        <f>IFERROR(__xludf.DUMMYFUNCTION("""COMPUTED_VALUE"""),2.0)</f>
        <v>2</v>
      </c>
      <c r="AK348" s="289"/>
      <c r="AL348" s="285" t="str">
        <f>IFERROR(__xludf.DUMMYFUNCTION("""COMPUTED_VALUE"""),"pasti ke BWI tp belum tau kapan, mau ke china dulu")</f>
        <v>pasti ke BWI tp belum tau kapan, mau ke china dulu</v>
      </c>
    </row>
    <row r="349">
      <c r="F349" s="285" t="str">
        <f>IFERROR(__xludf.DUMMYFUNCTION("""COMPUTED_VALUE"""),"2607D148")</f>
        <v>2607D148</v>
      </c>
      <c r="G349" s="286">
        <f>IFERROR(__xludf.DUMMYFUNCTION("""COMPUTED_VALUE"""),46226.0)</f>
        <v>46226</v>
      </c>
      <c r="H349" s="285" t="str">
        <f>IFERROR(__xludf.DUMMYFUNCTION("""COMPUTED_VALUE"""),"Irena")</f>
        <v>Irena</v>
      </c>
      <c r="I349" s="285" t="str">
        <f>IFERROR(__xludf.DUMMYFUNCTION("""COMPUTED_VALUE"""),"085782678308")</f>
        <v>085782678308</v>
      </c>
      <c r="J349" s="285" t="str">
        <f>IFERROR(__xludf.DUMMYFUNCTION("""COMPUTED_VALUE"""),"Leads Baru")</f>
        <v>Leads Baru</v>
      </c>
      <c r="K349" s="285" t="str">
        <f>IFERROR(__xludf.DUMMYFUNCTION("""COMPUTED_VALUE"""),"OT 3H2M")</f>
        <v>OT 3H2M</v>
      </c>
      <c r="L349" s="287"/>
      <c r="M349" s="288"/>
      <c r="N349" s="289"/>
      <c r="O349" s="290" t="str">
        <f>IFERROR(__xludf.DUMMYFUNCTION("""COMPUTED_VALUE"""),"FU 29 Juli")</f>
        <v>FU 29 Juli</v>
      </c>
      <c r="P349" s="320"/>
      <c r="R349" s="285"/>
      <c r="S349" s="285"/>
      <c r="T349" s="285"/>
      <c r="U349" s="285"/>
      <c r="V349" s="285"/>
      <c r="W349" s="285"/>
      <c r="X349" s="285"/>
      <c r="Y349" s="285"/>
      <c r="Z349" s="285"/>
      <c r="AA349" s="285"/>
      <c r="AC349" s="285" t="str">
        <f>IFERROR(__xludf.DUMMYFUNCTION("""COMPUTED_VALUE"""),"2603D100")</f>
        <v>2603D100</v>
      </c>
      <c r="AD349" s="286">
        <f>IFERROR(__xludf.DUMMYFUNCTION("""COMPUTED_VALUE"""),46102.0)</f>
        <v>46102</v>
      </c>
      <c r="AE349" s="285" t="str">
        <f>IFERROR(__xludf.DUMMYFUNCTION("""COMPUTED_VALUE"""),"Revinsa")</f>
        <v>Revinsa</v>
      </c>
      <c r="AF349" s="285" t="str">
        <f>IFERROR(__xludf.DUMMYFUNCTION("""COMPUTED_VALUE"""),"081317000071")</f>
        <v>081317000071</v>
      </c>
      <c r="AG349" s="285" t="str">
        <f>IFERROR(__xludf.DUMMYFUNCTION("""COMPUTED_VALUE"""),"Gagal")</f>
        <v>Gagal</v>
      </c>
      <c r="AH349" s="285"/>
      <c r="AI349" s="287"/>
      <c r="AJ349" s="285"/>
      <c r="AK349" s="289"/>
      <c r="AL349" s="285" t="str">
        <f>IFERROR(__xludf.DUMMYFUNCTION("""COMPUTED_VALUE"""),"hanya menyapa, tidak ada jawaban")</f>
        <v>hanya menyapa, tidak ada jawaban</v>
      </c>
    </row>
    <row r="350">
      <c r="F350" s="285" t="str">
        <f>IFERROR(__xludf.DUMMYFUNCTION("""COMPUTED_VALUE"""),"2607D149")</f>
        <v>2607D149</v>
      </c>
      <c r="G350" s="286">
        <f>IFERROR(__xludf.DUMMYFUNCTION("""COMPUTED_VALUE"""),46224.0)</f>
        <v>46224</v>
      </c>
      <c r="H350" s="285" t="str">
        <f>IFERROR(__xludf.DUMMYFUNCTION("""COMPUTED_VALUE"""),"Amelia Defita")</f>
        <v>Amelia Defita</v>
      </c>
      <c r="I350" s="285" t="str">
        <f>IFERROR(__xludf.DUMMYFUNCTION("""COMPUTED_VALUE"""),"082328288883")</f>
        <v>082328288883</v>
      </c>
      <c r="J350" s="285" t="str">
        <f>IFERROR(__xludf.DUMMYFUNCTION("""COMPUTED_VALUE"""),"Leads Baru")</f>
        <v>Leads Baru</v>
      </c>
      <c r="K350" s="285" t="str">
        <f>IFERROR(__xludf.DUMMYFUNCTION("""COMPUTED_VALUE"""),"OT 3H2M")</f>
        <v>OT 3H2M</v>
      </c>
      <c r="L350" s="287">
        <f>IFERROR(__xludf.DUMMYFUNCTION("""COMPUTED_VALUE"""),46249.0)</f>
        <v>46249</v>
      </c>
      <c r="M350" s="288">
        <f>IFERROR(__xludf.DUMMYFUNCTION("""COMPUTED_VALUE"""),2.0)</f>
        <v>2</v>
      </c>
      <c r="N350" s="289"/>
      <c r="O350" s="290" t="str">
        <f>IFERROR(__xludf.DUMMYFUNCTION("""COMPUTED_VALUE"""),"FU 2 Agustus")</f>
        <v>FU 2 Agustus</v>
      </c>
      <c r="P350" s="320"/>
      <c r="R350" s="285"/>
      <c r="S350" s="285"/>
      <c r="T350" s="285"/>
      <c r="U350" s="285"/>
      <c r="V350" s="285"/>
      <c r="W350" s="285"/>
      <c r="X350" s="285"/>
      <c r="Y350" s="285"/>
      <c r="Z350" s="285"/>
      <c r="AA350" s="285"/>
      <c r="AC350" s="285" t="str">
        <f>IFERROR(__xludf.DUMMYFUNCTION("""COMPUTED_VALUE"""),"2603D101")</f>
        <v>2603D101</v>
      </c>
      <c r="AD350" s="286">
        <f>IFERROR(__xludf.DUMMYFUNCTION("""COMPUTED_VALUE"""),46102.0)</f>
        <v>46102</v>
      </c>
      <c r="AE350" s="285" t="str">
        <f>IFERROR(__xludf.DUMMYFUNCTION("""COMPUTED_VALUE"""),"Risa")</f>
        <v>Risa</v>
      </c>
      <c r="AF350" s="285" t="str">
        <f>IFERROR(__xludf.DUMMYFUNCTION("""COMPUTED_VALUE"""),"082122906213")</f>
        <v>082122906213</v>
      </c>
      <c r="AG350" s="285" t="str">
        <f>IFERROR(__xludf.DUMMYFUNCTION("""COMPUTED_VALUE"""),"Gagal")</f>
        <v>Gagal</v>
      </c>
      <c r="AH350" s="285" t="str">
        <f>IFERROR(__xludf.DUMMYFUNCTION("""COMPUTED_VALUE"""),"3h2m opsi a")</f>
        <v>3h2m opsi a</v>
      </c>
      <c r="AI350" s="287"/>
      <c r="AJ350" s="285">
        <f>IFERROR(__xludf.DUMMYFUNCTION("""COMPUTED_VALUE"""),3.0)</f>
        <v>3</v>
      </c>
      <c r="AK350" s="289">
        <f>IFERROR(__xludf.DUMMYFUNCTION("""COMPUTED_VALUE"""),6402000.0)</f>
        <v>6402000</v>
      </c>
      <c r="AL350" s="285" t="str">
        <f>IFERROR(__xludf.DUMMYFUNCTION("""COMPUTED_VALUE"""),"sudah FU ga ada balasann")</f>
        <v>sudah FU ga ada balasann</v>
      </c>
    </row>
    <row r="351">
      <c r="F351" s="285" t="str">
        <f>IFERROR(__xludf.DUMMYFUNCTION("""COMPUTED_VALUE"""),"2607D150")</f>
        <v>2607D150</v>
      </c>
      <c r="G351" s="286">
        <f>IFERROR(__xludf.DUMMYFUNCTION("""COMPUTED_VALUE"""),46226.0)</f>
        <v>46226</v>
      </c>
      <c r="H351" s="285" t="str">
        <f>IFERROR(__xludf.DUMMYFUNCTION("""COMPUTED_VALUE"""),"Akbar")</f>
        <v>Akbar</v>
      </c>
      <c r="I351" s="285" t="str">
        <f>IFERROR(__xludf.DUMMYFUNCTION("""COMPUTED_VALUE"""),"081331197707")</f>
        <v>081331197707</v>
      </c>
      <c r="J351" s="285" t="str">
        <f>IFERROR(__xludf.DUMMYFUNCTION("""COMPUTED_VALUE"""),"Leads Baru")</f>
        <v>Leads Baru</v>
      </c>
      <c r="K351" s="285" t="str">
        <f>IFERROR(__xludf.DUMMYFUNCTION("""COMPUTED_VALUE"""),"Private Trip Sunrise")</f>
        <v>Private Trip Sunrise</v>
      </c>
      <c r="L351" s="287"/>
      <c r="M351" s="288">
        <f>IFERROR(__xludf.DUMMYFUNCTION("""COMPUTED_VALUE"""),6.0)</f>
        <v>6</v>
      </c>
      <c r="N351" s="289"/>
      <c r="O351" s="290" t="str">
        <f>IFERROR(__xludf.DUMMYFUNCTION("""COMPUTED_VALUE"""),"FU 29 Juli")</f>
        <v>FU 29 Juli</v>
      </c>
      <c r="P351" s="320"/>
      <c r="R351" s="285"/>
      <c r="S351" s="285"/>
      <c r="T351" s="285"/>
      <c r="U351" s="285"/>
      <c r="V351" s="285"/>
      <c r="W351" s="285"/>
      <c r="X351" s="285"/>
      <c r="Y351" s="285"/>
      <c r="Z351" s="285"/>
      <c r="AA351" s="285"/>
      <c r="AC351" s="285" t="str">
        <f>IFERROR(__xludf.DUMMYFUNCTION("""COMPUTED_VALUE"""),"2603D102")</f>
        <v>2603D102</v>
      </c>
      <c r="AD351" s="286">
        <f>IFERROR(__xludf.DUMMYFUNCTION("""COMPUTED_VALUE"""),46102.0)</f>
        <v>46102</v>
      </c>
      <c r="AE351" s="285" t="str">
        <f>IFERROR(__xludf.DUMMYFUNCTION("""COMPUTED_VALUE"""),"Anindya Luthfi S")</f>
        <v>Anindya Luthfi S</v>
      </c>
      <c r="AF351" s="285" t="str">
        <f>IFERROR(__xludf.DUMMYFUNCTION("""COMPUTED_VALUE"""),"081247738886")</f>
        <v>081247738886</v>
      </c>
      <c r="AG351" s="285" t="str">
        <f>IFERROR(__xludf.DUMMYFUNCTION("""COMPUTED_VALUE"""),"Gagal")</f>
        <v>Gagal</v>
      </c>
      <c r="AH351" s="285" t="str">
        <f>IFERROR(__xludf.DUMMYFUNCTION("""COMPUTED_VALUE"""),"3h2m opsi a ")</f>
        <v>3h2m opsi a </v>
      </c>
      <c r="AI351" s="287"/>
      <c r="AJ351" s="285">
        <f>IFERROR(__xludf.DUMMYFUNCTION("""COMPUTED_VALUE"""),3.0)</f>
        <v>3</v>
      </c>
      <c r="AK351" s="289">
        <f>IFERROR(__xludf.DUMMYFUNCTION("""COMPUTED_VALUE"""),8642700.0)</f>
        <v>8642700</v>
      </c>
      <c r="AL351" s="285" t="str">
        <f>IFERROR(__xludf.DUMMYFUNCTION("""COMPUTED_VALUE"""),"sdh fu, tidak ada jawaban, gagal lewat taggal")</f>
        <v>sdh fu, tidak ada jawaban, gagal lewat taggal</v>
      </c>
    </row>
    <row r="352">
      <c r="F352" s="285" t="str">
        <f>IFERROR(__xludf.DUMMYFUNCTION("""COMPUTED_VALUE"""),"2607D151")</f>
        <v>2607D151</v>
      </c>
      <c r="G352" s="286">
        <f>IFERROR(__xludf.DUMMYFUNCTION("""COMPUTED_VALUE"""),46226.0)</f>
        <v>46226</v>
      </c>
      <c r="H352" s="285" t="str">
        <f>IFERROR(__xludf.DUMMYFUNCTION("""COMPUTED_VALUE"""),"F")</f>
        <v>F</v>
      </c>
      <c r="I352" s="285" t="str">
        <f>IFERROR(__xludf.DUMMYFUNCTION("""COMPUTED_VALUE"""),"0895365294504")</f>
        <v>0895365294504</v>
      </c>
      <c r="J352" s="285" t="str">
        <f>IFERROR(__xludf.DUMMYFUNCTION("""COMPUTED_VALUE"""),"Leads Baru")</f>
        <v>Leads Baru</v>
      </c>
      <c r="K352" s="285" t="str">
        <f>IFERROR(__xludf.DUMMYFUNCTION("""COMPUTED_VALUE"""),"OT GI")</f>
        <v>OT GI</v>
      </c>
      <c r="L352" s="287"/>
      <c r="M352" s="288">
        <f>IFERROR(__xludf.DUMMYFUNCTION("""COMPUTED_VALUE"""),2.0)</f>
        <v>2</v>
      </c>
      <c r="N352" s="289"/>
      <c r="O352" s="290" t="str">
        <f>IFERROR(__xludf.DUMMYFUNCTION("""COMPUTED_VALUE"""),"FU 29 Juli")</f>
        <v>FU 29 Juli</v>
      </c>
      <c r="P352" s="320"/>
      <c r="R352" s="285"/>
      <c r="S352" s="285"/>
      <c r="T352" s="285"/>
      <c r="U352" s="285"/>
      <c r="V352" s="285"/>
      <c r="W352" s="285"/>
      <c r="X352" s="285"/>
      <c r="Y352" s="285"/>
      <c r="Z352" s="285"/>
      <c r="AA352" s="285"/>
      <c r="AC352" s="285" t="str">
        <f>IFERROR(__xludf.DUMMYFUNCTION("""COMPUTED_VALUE"""),"2603D103")</f>
        <v>2603D103</v>
      </c>
      <c r="AD352" s="286">
        <f>IFERROR(__xludf.DUMMYFUNCTION("""COMPUTED_VALUE"""),46103.0)</f>
        <v>46103</v>
      </c>
      <c r="AE352" s="285" t="str">
        <f>IFERROR(__xludf.DUMMYFUNCTION("""COMPUTED_VALUE"""),"sonny")</f>
        <v>sonny</v>
      </c>
      <c r="AF352" s="285" t="str">
        <f>IFERROR(__xludf.DUMMYFUNCTION("""COMPUTED_VALUE"""),"08122881781")</f>
        <v>08122881781</v>
      </c>
      <c r="AG352" s="285" t="str">
        <f>IFERROR(__xludf.DUMMYFUNCTION("""COMPUTED_VALUE"""),"Gagal")</f>
        <v>Gagal</v>
      </c>
      <c r="AH352" s="285" t="str">
        <f>IFERROR(__xludf.DUMMYFUNCTION("""COMPUTED_VALUE"""),"tabuhan menjangan")</f>
        <v>tabuhan menjangan</v>
      </c>
      <c r="AI352" s="287">
        <f>IFERROR(__xludf.DUMMYFUNCTION("""COMPUTED_VALUE"""),46104.0)</f>
        <v>46104</v>
      </c>
      <c r="AJ352" s="285">
        <f>IFERROR(__xludf.DUMMYFUNCTION("""COMPUTED_VALUE"""),8.0)</f>
        <v>8</v>
      </c>
      <c r="AK352" s="289">
        <f>IFERROR(__xludf.DUMMYFUNCTION("""COMPUTED_VALUE"""),3536000.0)</f>
        <v>3536000</v>
      </c>
      <c r="AL352" s="285" t="str">
        <f>IFERROR(__xludf.DUMMYFUNCTION("""COMPUTED_VALUE"""),"fullbooked ")</f>
        <v>fullbooked </v>
      </c>
    </row>
    <row r="353">
      <c r="F353" s="285" t="str">
        <f>IFERROR(__xludf.DUMMYFUNCTION("""COMPUTED_VALUE"""),"2697D153")</f>
        <v>2697D153</v>
      </c>
      <c r="G353" s="286">
        <f>IFERROR(__xludf.DUMMYFUNCTION("""COMPUTED_VALUE"""),46226.0)</f>
        <v>46226</v>
      </c>
      <c r="H353" s="285" t="str">
        <f>IFERROR(__xludf.DUMMYFUNCTION("""COMPUTED_VALUE"""),"Aldy Yolan")</f>
        <v>Aldy Yolan</v>
      </c>
      <c r="I353" s="285" t="str">
        <f>IFERROR(__xludf.DUMMYFUNCTION("""COMPUTED_VALUE"""),"0812170902171")</f>
        <v>0812170902171</v>
      </c>
      <c r="J353" s="285" t="str">
        <f>IFERROR(__xludf.DUMMYFUNCTION("""COMPUTED_VALUE"""),"Leads Baru")</f>
        <v>Leads Baru</v>
      </c>
      <c r="K353" s="285" t="str">
        <f>IFERROR(__xludf.DUMMYFUNCTION("""COMPUTED_VALUE"""),"OT 3H2M")</f>
        <v>OT 3H2M</v>
      </c>
      <c r="L353" s="287">
        <f>IFERROR(__xludf.DUMMYFUNCTION("""COMPUTED_VALUE"""),46244.0)</f>
        <v>46244</v>
      </c>
      <c r="M353" s="288">
        <f>IFERROR(__xludf.DUMMYFUNCTION("""COMPUTED_VALUE"""),2.0)</f>
        <v>2</v>
      </c>
      <c r="N353" s="289"/>
      <c r="O353" s="290" t="str">
        <f>IFERROR(__xludf.DUMMYFUNCTION("""COMPUTED_VALUE"""),"FU 1 Agustus")</f>
        <v>FU 1 Agustus</v>
      </c>
      <c r="P353" s="320"/>
      <c r="R353" s="285"/>
      <c r="S353" s="285"/>
      <c r="T353" s="285"/>
      <c r="U353" s="285"/>
      <c r="V353" s="285"/>
      <c r="W353" s="285"/>
      <c r="X353" s="285"/>
      <c r="Y353" s="285"/>
      <c r="Z353" s="285"/>
      <c r="AA353" s="285"/>
      <c r="AC353" s="285" t="str">
        <f>IFERROR(__xludf.DUMMYFUNCTION("""COMPUTED_VALUE"""),"2603D104")</f>
        <v>2603D104</v>
      </c>
      <c r="AD353" s="286">
        <f>IFERROR(__xludf.DUMMYFUNCTION("""COMPUTED_VALUE"""),46103.0)</f>
        <v>46103</v>
      </c>
      <c r="AE353" s="285" t="str">
        <f>IFERROR(__xludf.DUMMYFUNCTION("""COMPUTED_VALUE"""),"no name")</f>
        <v>no name</v>
      </c>
      <c r="AF353" s="285" t="str">
        <f>IFERROR(__xludf.DUMMYFUNCTION("""COMPUTED_VALUE"""),"081233967366")</f>
        <v>081233967366</v>
      </c>
      <c r="AG353" s="285" t="str">
        <f>IFERROR(__xludf.DUMMYFUNCTION("""COMPUTED_VALUE"""),"Gagal")</f>
        <v>Gagal</v>
      </c>
      <c r="AH353" s="285" t="str">
        <f>IFERROR(__xludf.DUMMYFUNCTION("""COMPUTED_VALUE"""),"one day trip")</f>
        <v>one day trip</v>
      </c>
      <c r="AI353" s="287">
        <f>IFERROR(__xludf.DUMMYFUNCTION("""COMPUTED_VALUE"""),46104.0)</f>
        <v>46104</v>
      </c>
      <c r="AJ353" s="285"/>
      <c r="AK353" s="289"/>
      <c r="AL353" s="285" t="str">
        <f>IFERROR(__xludf.DUMMYFUNCTION("""COMPUTED_VALUE"""),"fullbooked ")</f>
        <v>fullbooked </v>
      </c>
    </row>
    <row r="354">
      <c r="F354" s="285" t="str">
        <f>IFERROR(__xludf.DUMMYFUNCTION("""COMPUTED_VALUE"""),"2607D154")</f>
        <v>2607D154</v>
      </c>
      <c r="G354" s="286">
        <f>IFERROR(__xludf.DUMMYFUNCTION("""COMPUTED_VALUE"""),46226.0)</f>
        <v>46226</v>
      </c>
      <c r="H354" s="285" t="str">
        <f>IFERROR(__xludf.DUMMYFUNCTION("""COMPUTED_VALUE"""),"Ersa")</f>
        <v>Ersa</v>
      </c>
      <c r="I354" s="285" t="str">
        <f>IFERROR(__xludf.DUMMYFUNCTION("""COMPUTED_VALUE"""),"085791257922")</f>
        <v>085791257922</v>
      </c>
      <c r="J354" s="285" t="str">
        <f>IFERROR(__xludf.DUMMYFUNCTION("""COMPUTED_VALUE"""),"Leads Baru")</f>
        <v>Leads Baru</v>
      </c>
      <c r="K354" s="285" t="str">
        <f>IFERROR(__xludf.DUMMYFUNCTION("""COMPUTED_VALUE"""),"2H1M custome")</f>
        <v>2H1M custome</v>
      </c>
      <c r="L354" s="287"/>
      <c r="M354" s="288">
        <f>IFERROR(__xludf.DUMMYFUNCTION("""COMPUTED_VALUE"""),3.0)</f>
        <v>3</v>
      </c>
      <c r="N354" s="289"/>
      <c r="O354" s="290" t="str">
        <f>IFERROR(__xludf.DUMMYFUNCTION("""COMPUTED_VALUE"""),"FU 29 Juli")</f>
        <v>FU 29 Juli</v>
      </c>
      <c r="P354" s="320"/>
      <c r="R354" s="285"/>
      <c r="S354" s="285"/>
      <c r="T354" s="285"/>
      <c r="U354" s="285"/>
      <c r="V354" s="285"/>
      <c r="W354" s="285"/>
      <c r="X354" s="285"/>
      <c r="Y354" s="285"/>
      <c r="Z354" s="285"/>
      <c r="AA354" s="285"/>
      <c r="AC354" s="285" t="str">
        <f>IFERROR(__xludf.DUMMYFUNCTION("""COMPUTED_VALUE"""),"2603D105")</f>
        <v>2603D105</v>
      </c>
      <c r="AD354" s="286">
        <f>IFERROR(__xludf.DUMMYFUNCTION("""COMPUTED_VALUE"""),46103.0)</f>
        <v>46103</v>
      </c>
      <c r="AE354" s="285" t="str">
        <f>IFERROR(__xludf.DUMMYFUNCTION("""COMPUTED_VALUE"""),"alita")</f>
        <v>alita</v>
      </c>
      <c r="AF354" s="285" t="str">
        <f>IFERROR(__xludf.DUMMYFUNCTION("""COMPUTED_VALUE"""),"0818335909")</f>
        <v>0818335909</v>
      </c>
      <c r="AG354" s="285" t="str">
        <f>IFERROR(__xludf.DUMMYFUNCTION("""COMPUTED_VALUE"""),"Gagal")</f>
        <v>Gagal</v>
      </c>
      <c r="AH354" s="285"/>
      <c r="AI354" s="287"/>
      <c r="AJ354" s="285"/>
      <c r="AK354" s="289"/>
      <c r="AL354" s="285" t="str">
        <f>IFERROR(__xludf.DUMMYFUNCTION("""COMPUTED_VALUE"""),"hanya menyapa. ")</f>
        <v>hanya menyapa. </v>
      </c>
    </row>
    <row r="355">
      <c r="F355" s="285" t="str">
        <f>IFERROR(__xludf.DUMMYFUNCTION("""COMPUTED_VALUE"""),"2607D154")</f>
        <v>2607D154</v>
      </c>
      <c r="G355" s="286">
        <f>IFERROR(__xludf.DUMMYFUNCTION("""COMPUTED_VALUE"""),46226.0)</f>
        <v>46226</v>
      </c>
      <c r="H355" s="285" t="str">
        <f>IFERROR(__xludf.DUMMYFUNCTION("""COMPUTED_VALUE"""),"Aghna")</f>
        <v>Aghna</v>
      </c>
      <c r="I355" s="285" t="str">
        <f>IFERROR(__xludf.DUMMYFUNCTION("""COMPUTED_VALUE"""),"081237607801")</f>
        <v>081237607801</v>
      </c>
      <c r="J355" s="285" t="str">
        <f>IFERROR(__xludf.DUMMYFUNCTION("""COMPUTED_VALUE"""),"Leads Baru")</f>
        <v>Leads Baru</v>
      </c>
      <c r="K355" s="285"/>
      <c r="L355" s="287"/>
      <c r="M355" s="288">
        <f>IFERROR(__xludf.DUMMYFUNCTION("""COMPUTED_VALUE"""),3.0)</f>
        <v>3</v>
      </c>
      <c r="N355" s="289"/>
      <c r="O355" s="290" t="str">
        <f>IFERROR(__xludf.DUMMYFUNCTION("""COMPUTED_VALUE"""),"belum balas lagi, FU 30 Juli")</f>
        <v>belum balas lagi, FU 30 Juli</v>
      </c>
      <c r="P355" s="320"/>
      <c r="R355" s="285"/>
      <c r="S355" s="285"/>
      <c r="T355" s="285"/>
      <c r="U355" s="285"/>
      <c r="V355" s="285"/>
      <c r="W355" s="285"/>
      <c r="X355" s="285"/>
      <c r="Y355" s="285"/>
      <c r="Z355" s="285"/>
      <c r="AA355" s="285"/>
      <c r="AC355" s="285" t="str">
        <f>IFERROR(__xludf.DUMMYFUNCTION("""COMPUTED_VALUE"""),"2603D106")</f>
        <v>2603D106</v>
      </c>
      <c r="AD355" s="286">
        <f>IFERROR(__xludf.DUMMYFUNCTION("""COMPUTED_VALUE"""),46104.0)</f>
        <v>46104</v>
      </c>
      <c r="AE355" s="285" t="str">
        <f>IFERROR(__xludf.DUMMYFUNCTION("""COMPUTED_VALUE"""),"no name")</f>
        <v>no name</v>
      </c>
      <c r="AF355" s="285" t="str">
        <f>IFERROR(__xludf.DUMMYFUNCTION("""COMPUTED_VALUE"""),"085641517949")</f>
        <v>085641517949</v>
      </c>
      <c r="AG355" s="285" t="str">
        <f>IFERROR(__xludf.DUMMYFUNCTION("""COMPUTED_VALUE"""),"Gagal")</f>
        <v>Gagal</v>
      </c>
      <c r="AH355" s="285" t="str">
        <f>IFERROR(__xludf.DUMMYFUNCTION("""COMPUTED_VALUE"""),"1D Djawatan Baluran ")</f>
        <v>1D Djawatan Baluran </v>
      </c>
      <c r="AI355" s="287">
        <f>IFERROR(__xludf.DUMMYFUNCTION("""COMPUTED_VALUE"""),46104.0)</f>
        <v>46104</v>
      </c>
      <c r="AJ355" s="285"/>
      <c r="AK355" s="289"/>
      <c r="AL355" s="285" t="str">
        <f>IFERROR(__xludf.DUMMYFUNCTION("""COMPUTED_VALUE"""),"fullbooked ")</f>
        <v>fullbooked </v>
      </c>
    </row>
    <row r="356">
      <c r="F356" s="285" t="str">
        <f>IFERROR(__xludf.DUMMYFUNCTION("""COMPUTED_VALUE"""),"2607D155")</f>
        <v>2607D155</v>
      </c>
      <c r="G356" s="286">
        <f>IFERROR(__xludf.DUMMYFUNCTION("""COMPUTED_VALUE"""),46226.0)</f>
        <v>46226</v>
      </c>
      <c r="H356" s="285" t="str">
        <f>IFERROR(__xludf.DUMMYFUNCTION("""COMPUTED_VALUE"""),"Alief ")</f>
        <v>Alief </v>
      </c>
      <c r="I356" s="285" t="str">
        <f>IFERROR(__xludf.DUMMYFUNCTION("""COMPUTED_VALUE"""),"085156392515")</f>
        <v>085156392515</v>
      </c>
      <c r="J356" s="285" t="str">
        <f>IFERROR(__xludf.DUMMYFUNCTION("""COMPUTED_VALUE"""),"Leads Baru")</f>
        <v>Leads Baru</v>
      </c>
      <c r="K356" s="285" t="str">
        <f>IFERROR(__xludf.DUMMYFUNCTION("""COMPUTED_VALUE"""),"OT MT, OT Djabal")</f>
        <v>OT MT, OT Djabal</v>
      </c>
      <c r="L356" s="287">
        <f>IFERROR(__xludf.DUMMYFUNCTION("""COMPUTED_VALUE"""),46244.0)</f>
        <v>46244</v>
      </c>
      <c r="M356" s="288">
        <f>IFERROR(__xludf.DUMMYFUNCTION("""COMPUTED_VALUE"""),2.0)</f>
        <v>2</v>
      </c>
      <c r="N356" s="289"/>
      <c r="O356" s="290" t="str">
        <f>IFERROR(__xludf.DUMMYFUNCTION("""COMPUTED_VALUE"""),"FU 30 Juli")</f>
        <v>FU 30 Juli</v>
      </c>
      <c r="P356" s="320"/>
      <c r="R356" s="285"/>
      <c r="S356" s="285"/>
      <c r="T356" s="285"/>
      <c r="U356" s="285"/>
      <c r="V356" s="285"/>
      <c r="W356" s="285"/>
      <c r="X356" s="285"/>
      <c r="Y356" s="285"/>
      <c r="Z356" s="285"/>
      <c r="AA356" s="285"/>
      <c r="AC356" s="285" t="str">
        <f>IFERROR(__xludf.DUMMYFUNCTION("""COMPUTED_VALUE"""),"2603D107")</f>
        <v>2603D107</v>
      </c>
      <c r="AD356" s="286">
        <f>IFERROR(__xludf.DUMMYFUNCTION("""COMPUTED_VALUE"""),46104.0)</f>
        <v>46104</v>
      </c>
      <c r="AE356" s="285" t="str">
        <f>IFERROR(__xludf.DUMMYFUNCTION("""COMPUTED_VALUE"""),"Yusuf YF")</f>
        <v>Yusuf YF</v>
      </c>
      <c r="AF356" s="285" t="str">
        <f>IFERROR(__xludf.DUMMYFUNCTION("""COMPUTED_VALUE"""),"085853080073")</f>
        <v>085853080073</v>
      </c>
      <c r="AG356" s="285" t="str">
        <f>IFERROR(__xludf.DUMMYFUNCTION("""COMPUTED_VALUE"""),"Gagal")</f>
        <v>Gagal</v>
      </c>
      <c r="AH356" s="285" t="str">
        <f>IFERROR(__xludf.DUMMYFUNCTION("""COMPUTED_VALUE"""),"2h1m pelepasan tukik")</f>
        <v>2h1m pelepasan tukik</v>
      </c>
      <c r="AI356" s="287">
        <f>IFERROR(__xludf.DUMMYFUNCTION("""COMPUTED_VALUE"""),46110.0)</f>
        <v>46110</v>
      </c>
      <c r="AJ356" s="285">
        <f>IFERROR(__xludf.DUMMYFUNCTION("""COMPUTED_VALUE"""),3.0)</f>
        <v>3</v>
      </c>
      <c r="AK356" s="289"/>
      <c r="AL356" s="285" t="str">
        <f>IFERROR(__xludf.DUMMYFUNCTION("""COMPUTED_VALUE"""),"pelepasan penyu, belum tersedia. lain kali")</f>
        <v>pelepasan penyu, belum tersedia. lain kali</v>
      </c>
    </row>
    <row r="357">
      <c r="F357" s="285" t="str">
        <f>IFERROR(__xludf.DUMMYFUNCTION("""COMPUTED_VALUE"""),"2607D156")</f>
        <v>2607D156</v>
      </c>
      <c r="G357" s="286">
        <f>IFERROR(__xludf.DUMMYFUNCTION("""COMPUTED_VALUE"""),46226.0)</f>
        <v>46226</v>
      </c>
      <c r="H357" s="285" t="str">
        <f>IFERROR(__xludf.DUMMYFUNCTION("""COMPUTED_VALUE"""),"Rudi Setiawan")</f>
        <v>Rudi Setiawan</v>
      </c>
      <c r="I357" s="285" t="str">
        <f>IFERROR(__xludf.DUMMYFUNCTION("""COMPUTED_VALUE"""),"082339610400")</f>
        <v>082339610400</v>
      </c>
      <c r="J357" s="285" t="str">
        <f>IFERROR(__xludf.DUMMYFUNCTION("""COMPUTED_VALUE"""),"Leads Baru")</f>
        <v>Leads Baru</v>
      </c>
      <c r="K357" s="285" t="str">
        <f>IFERROR(__xludf.DUMMYFUNCTION("""COMPUTED_VALUE"""),"Private Tabuhan")</f>
        <v>Private Tabuhan</v>
      </c>
      <c r="L357" s="287">
        <f>IFERROR(__xludf.DUMMYFUNCTION("""COMPUTED_VALUE"""),46249.0)</f>
        <v>46249</v>
      </c>
      <c r="M357" s="288">
        <f>IFERROR(__xludf.DUMMYFUNCTION("""COMPUTED_VALUE"""),2.0)</f>
        <v>2</v>
      </c>
      <c r="N357" s="289"/>
      <c r="O357" s="290" t="str">
        <f>IFERROR(__xludf.DUMMYFUNCTION("""COMPUTED_VALUE"""),"FU 1 Agustus")</f>
        <v>FU 1 Agustus</v>
      </c>
      <c r="P357" s="320"/>
      <c r="R357" s="285"/>
      <c r="S357" s="285"/>
      <c r="T357" s="285"/>
      <c r="U357" s="285"/>
      <c r="V357" s="285"/>
      <c r="W357" s="285"/>
      <c r="X357" s="285"/>
      <c r="Y357" s="285"/>
      <c r="Z357" s="285"/>
      <c r="AA357" s="285"/>
      <c r="AC357" s="285" t="str">
        <f>IFERROR(__xludf.DUMMYFUNCTION("""COMPUTED_VALUE"""),"2603D108")</f>
        <v>2603D108</v>
      </c>
      <c r="AD357" s="286">
        <f>IFERROR(__xludf.DUMMYFUNCTION("""COMPUTED_VALUE"""),46104.0)</f>
        <v>46104</v>
      </c>
      <c r="AE357" s="285" t="str">
        <f>IFERROR(__xludf.DUMMYFUNCTION("""COMPUTED_VALUE"""),"dianar")</f>
        <v>dianar</v>
      </c>
      <c r="AF357" s="285" t="str">
        <f>IFERROR(__xludf.DUMMYFUNCTION("""COMPUTED_VALUE"""),"085693302022")</f>
        <v>085693302022</v>
      </c>
      <c r="AG357" s="285" t="str">
        <f>IFERROR(__xludf.DUMMYFUNCTION("""COMPUTED_VALUE"""),"Gagal")</f>
        <v>Gagal</v>
      </c>
      <c r="AH357" s="285" t="str">
        <f>IFERROR(__xludf.DUMMYFUNCTION("""COMPUTED_VALUE"""),"wurung - Djawatan ")</f>
        <v>wurung - Djawatan </v>
      </c>
      <c r="AI357" s="287">
        <f>IFERROR(__xludf.DUMMYFUNCTION("""COMPUTED_VALUE"""),46106.0)</f>
        <v>46106</v>
      </c>
      <c r="AJ357" s="285">
        <f>IFERROR(__xludf.DUMMYFUNCTION("""COMPUTED_VALUE"""),7.0)</f>
        <v>7</v>
      </c>
      <c r="AK357" s="289">
        <f>IFERROR(__xludf.DUMMYFUNCTION("""COMPUTED_VALUE"""),6405000.0)</f>
        <v>6405000</v>
      </c>
      <c r="AL357" s="285" t="str">
        <f>IFERROR(__xludf.DUMMYFUNCTION("""COMPUTED_VALUE"""),"lewat tanggal, gagal")</f>
        <v>lewat tanggal, gagal</v>
      </c>
    </row>
    <row r="358">
      <c r="F358" s="285" t="str">
        <f>IFERROR(__xludf.DUMMYFUNCTION("""COMPUTED_VALUE"""),"2607D157")</f>
        <v>2607D157</v>
      </c>
      <c r="G358" s="286">
        <f>IFERROR(__xludf.DUMMYFUNCTION("""COMPUTED_VALUE"""),46227.0)</f>
        <v>46227</v>
      </c>
      <c r="H358" s="285" t="str">
        <f>IFERROR(__xludf.DUMMYFUNCTION("""COMPUTED_VALUE"""),"Lala Kantari")</f>
        <v>Lala Kantari</v>
      </c>
      <c r="I358" s="285" t="str">
        <f>IFERROR(__xludf.DUMMYFUNCTION("""COMPUTED_VALUE"""),"082131717909")</f>
        <v>082131717909</v>
      </c>
      <c r="J358" s="285" t="str">
        <f>IFERROR(__xludf.DUMMYFUNCTION("""COMPUTED_VALUE"""),"Leads Baru")</f>
        <v>Leads Baru</v>
      </c>
      <c r="K358" s="285" t="str">
        <f>IFERROR(__xludf.DUMMYFUNCTION("""COMPUTED_VALUE"""),"2H1M custome")</f>
        <v>2H1M custome</v>
      </c>
      <c r="L358" s="287">
        <f>IFERROR(__xludf.DUMMYFUNCTION("""COMPUTED_VALUE"""),46249.0)</f>
        <v>46249</v>
      </c>
      <c r="M358" s="288">
        <f>IFERROR(__xludf.DUMMYFUNCTION("""COMPUTED_VALUE"""),13.0)</f>
        <v>13</v>
      </c>
      <c r="N358" s="289"/>
      <c r="O358" s="290" t="str">
        <f>IFERROR(__xludf.DUMMYFUNCTION("""COMPUTED_VALUE"""),"buat penawaran")</f>
        <v>buat penawaran</v>
      </c>
      <c r="P358" s="320"/>
      <c r="R358" s="285"/>
      <c r="S358" s="285"/>
      <c r="T358" s="285"/>
      <c r="U358" s="285"/>
      <c r="V358" s="285"/>
      <c r="W358" s="285"/>
      <c r="X358" s="285"/>
      <c r="Y358" s="285"/>
      <c r="Z358" s="285"/>
      <c r="AA358" s="285"/>
      <c r="AC358" s="285" t="str">
        <f>IFERROR(__xludf.DUMMYFUNCTION("""COMPUTED_VALUE"""),"2603D109")</f>
        <v>2603D109</v>
      </c>
      <c r="AD358" s="286">
        <f>IFERROR(__xludf.DUMMYFUNCTION("""COMPUTED_VALUE"""),46104.0)</f>
        <v>46104</v>
      </c>
      <c r="AE358" s="285" t="str">
        <f>IFERROR(__xludf.DUMMYFUNCTION("""COMPUTED_VALUE"""),"SHSUTANTO")</f>
        <v>SHSUTANTO</v>
      </c>
      <c r="AF358" s="285" t="str">
        <f>IFERROR(__xludf.DUMMYFUNCTION("""COMPUTED_VALUE"""),"0817340040")</f>
        <v>0817340040</v>
      </c>
      <c r="AG358" s="285" t="str">
        <f>IFERROR(__xludf.DUMMYFUNCTION("""COMPUTED_VALUE"""),"Gagal")</f>
        <v>Gagal</v>
      </c>
      <c r="AH358" s="285" t="str">
        <f>IFERROR(__xludf.DUMMYFUNCTION("""COMPUTED_VALUE"""),"2h1m custom")</f>
        <v>2h1m custom</v>
      </c>
      <c r="AI358" s="287"/>
      <c r="AJ358" s="285">
        <f>IFERROR(__xludf.DUMMYFUNCTION("""COMPUTED_VALUE"""),2.0)</f>
        <v>2</v>
      </c>
      <c r="AK358" s="289">
        <f>IFERROR(__xludf.DUMMYFUNCTION("""COMPUTED_VALUE"""),2800000.0)</f>
        <v>2800000</v>
      </c>
      <c r="AL358" s="285" t="str">
        <f>IFERROR(__xludf.DUMMYFUNCTION("""COMPUTED_VALUE"""),"sudah FU tidak ada balasan")</f>
        <v>sudah FU tidak ada balasan</v>
      </c>
    </row>
    <row r="359">
      <c r="F359" s="285" t="str">
        <f>IFERROR(__xludf.DUMMYFUNCTION("""COMPUTED_VALUE"""),"2607D158")</f>
        <v>2607D158</v>
      </c>
      <c r="G359" s="286">
        <f>IFERROR(__xludf.DUMMYFUNCTION("""COMPUTED_VALUE"""),46227.0)</f>
        <v>46227</v>
      </c>
      <c r="H359" s="285" t="str">
        <f>IFERROR(__xludf.DUMMYFUNCTION("""COMPUTED_VALUE"""),"Yaya")</f>
        <v>Yaya</v>
      </c>
      <c r="I359" s="285" t="str">
        <f>IFERROR(__xludf.DUMMYFUNCTION("""COMPUTED_VALUE"""),"085649775489")</f>
        <v>085649775489</v>
      </c>
      <c r="J359" s="285" t="str">
        <f>IFERROR(__xludf.DUMMYFUNCTION("""COMPUTED_VALUE"""),"Leads Baru")</f>
        <v>Leads Baru</v>
      </c>
      <c r="K359" s="285" t="str">
        <f>IFERROR(__xludf.DUMMYFUNCTION("""COMPUTED_VALUE"""),"OT Djabal, OT GI")</f>
        <v>OT Djabal, OT GI</v>
      </c>
      <c r="L359" s="287">
        <f>IFERROR(__xludf.DUMMYFUNCTION("""COMPUTED_VALUE"""),46228.0)</f>
        <v>46228</v>
      </c>
      <c r="M359" s="288">
        <f>IFERROR(__xludf.DUMMYFUNCTION("""COMPUTED_VALUE"""),2.0)</f>
        <v>2</v>
      </c>
      <c r="N359" s="289"/>
      <c r="O359" s="290"/>
      <c r="P359" s="320"/>
      <c r="R359" s="285"/>
      <c r="S359" s="285"/>
      <c r="T359" s="285"/>
      <c r="U359" s="285"/>
      <c r="V359" s="285"/>
      <c r="W359" s="285"/>
      <c r="X359" s="285"/>
      <c r="Y359" s="285"/>
      <c r="Z359" s="285"/>
      <c r="AA359" s="285"/>
      <c r="AC359" s="285" t="str">
        <f>IFERROR(__xludf.DUMMYFUNCTION("""COMPUTED_VALUE"""),"2603D110")</f>
        <v>2603D110</v>
      </c>
      <c r="AD359" s="286">
        <f>IFERROR(__xludf.DUMMYFUNCTION("""COMPUTED_VALUE"""),46104.0)</f>
        <v>46104</v>
      </c>
      <c r="AE359" s="285" t="str">
        <f>IFERROR(__xludf.DUMMYFUNCTION("""COMPUTED_VALUE"""),"Fit Ummu Kenzie")</f>
        <v>Fit Ummu Kenzie</v>
      </c>
      <c r="AF359" s="285" t="str">
        <f>IFERROR(__xludf.DUMMYFUNCTION("""COMPUTED_VALUE"""),"081214842048")</f>
        <v>081214842048</v>
      </c>
      <c r="AG359" s="285" t="str">
        <f>IFERROR(__xludf.DUMMYFUNCTION("""COMPUTED_VALUE"""),"Gagal")</f>
        <v>Gagal</v>
      </c>
      <c r="AH359" s="285"/>
      <c r="AI359" s="287"/>
      <c r="AJ359" s="285"/>
      <c r="AK359" s="289"/>
      <c r="AL359" s="285" t="str">
        <f>IFERROR(__xludf.DUMMYFUNCTION("""COMPUTED_VALUE"""),"gaa bales lagi")</f>
        <v>gaa bales lagi</v>
      </c>
    </row>
    <row r="360">
      <c r="F360" s="285" t="str">
        <f>IFERROR(__xludf.DUMMYFUNCTION("""COMPUTED_VALUE"""),"2607D159")</f>
        <v>2607D159</v>
      </c>
      <c r="G360" s="286">
        <f>IFERROR(__xludf.DUMMYFUNCTION("""COMPUTED_VALUE"""),46227.0)</f>
        <v>46227</v>
      </c>
      <c r="H360" s="285" t="str">
        <f>IFERROR(__xludf.DUMMYFUNCTION("""COMPUTED_VALUE"""),"Natadelecoco")</f>
        <v>Natadelecoco</v>
      </c>
      <c r="I360" s="285" t="str">
        <f>IFERROR(__xludf.DUMMYFUNCTION("""COMPUTED_VALUE"""),"0895800133618")</f>
        <v>0895800133618</v>
      </c>
      <c r="J360" s="285" t="str">
        <f>IFERROR(__xludf.DUMMYFUNCTION("""COMPUTED_VALUE"""),"Leads Baru")</f>
        <v>Leads Baru</v>
      </c>
      <c r="K360" s="285" t="str">
        <f>IFERROR(__xludf.DUMMYFUNCTION("""COMPUTED_VALUE"""),"3H2M ")</f>
        <v>3H2M </v>
      </c>
      <c r="L360" s="287">
        <f>IFERROR(__xludf.DUMMYFUNCTION("""COMPUTED_VALUE"""),46256.0)</f>
        <v>46256</v>
      </c>
      <c r="M360" s="288">
        <f>IFERROR(__xludf.DUMMYFUNCTION("""COMPUTED_VALUE"""),46115.0)</f>
        <v>46115</v>
      </c>
      <c r="N360" s="289"/>
      <c r="O360" s="290" t="str">
        <f>IFERROR(__xludf.DUMMYFUNCTION("""COMPUTED_VALUE"""),"FU 1 Agustus")</f>
        <v>FU 1 Agustus</v>
      </c>
      <c r="P360" s="320"/>
      <c r="R360" s="285"/>
      <c r="S360" s="285"/>
      <c r="T360" s="285"/>
      <c r="U360" s="285"/>
      <c r="V360" s="285"/>
      <c r="W360" s="285"/>
      <c r="X360" s="285"/>
      <c r="Y360" s="285"/>
      <c r="Z360" s="285"/>
      <c r="AA360" s="285"/>
      <c r="AC360" s="285" t="str">
        <f>IFERROR(__xludf.DUMMYFUNCTION("""COMPUTED_VALUE"""),"2603D112")</f>
        <v>2603D112</v>
      </c>
      <c r="AD360" s="286">
        <f>IFERROR(__xludf.DUMMYFUNCTION("""COMPUTED_VALUE"""),46105.0)</f>
        <v>46105</v>
      </c>
      <c r="AE360" s="285" t="str">
        <f>IFERROR(__xludf.DUMMYFUNCTION("""COMPUTED_VALUE"""),"Trulli")</f>
        <v>Trulli</v>
      </c>
      <c r="AF360" s="285" t="str">
        <f>IFERROR(__xludf.DUMMYFUNCTION("""COMPUTED_VALUE"""),"085731608891")</f>
        <v>085731608891</v>
      </c>
      <c r="AG360" s="285" t="str">
        <f>IFERROR(__xludf.DUMMYFUNCTION("""COMPUTED_VALUE"""),"Gagal")</f>
        <v>Gagal</v>
      </c>
      <c r="AH360" s="285"/>
      <c r="AI360" s="287"/>
      <c r="AJ360" s="285"/>
      <c r="AK360" s="289"/>
      <c r="AL360" s="285" t="str">
        <f>IFERROR(__xludf.DUMMYFUNCTION("""COMPUTED_VALUE"""),"hanya menyapa saja, tidak ada jawaban")</f>
        <v>hanya menyapa saja, tidak ada jawaban</v>
      </c>
    </row>
    <row r="361">
      <c r="F361" s="285" t="str">
        <f>IFERROR(__xludf.DUMMYFUNCTION("""COMPUTED_VALUE"""),"2607D160")</f>
        <v>2607D160</v>
      </c>
      <c r="G361" s="286">
        <f>IFERROR(__xludf.DUMMYFUNCTION("""COMPUTED_VALUE"""),46227.0)</f>
        <v>46227</v>
      </c>
      <c r="H361" s="285" t="str">
        <f>IFERROR(__xludf.DUMMYFUNCTION("""COMPUTED_VALUE"""),"Valentino Teguh ")</f>
        <v>Valentino Teguh </v>
      </c>
      <c r="I361" s="285" t="str">
        <f>IFERROR(__xludf.DUMMYFUNCTION("""COMPUTED_VALUE"""),"081246073008")</f>
        <v>081246073008</v>
      </c>
      <c r="J361" s="285" t="str">
        <f>IFERROR(__xludf.DUMMYFUNCTION("""COMPUTED_VALUE"""),"Leads Baru")</f>
        <v>Leads Baru</v>
      </c>
      <c r="K361" s="285" t="str">
        <f>IFERROR(__xludf.DUMMYFUNCTION("""COMPUTED_VALUE"""),"2H1M opsi B")</f>
        <v>2H1M opsi B</v>
      </c>
      <c r="L361" s="287"/>
      <c r="M361" s="288">
        <f>IFERROR(__xludf.DUMMYFUNCTION("""COMPUTED_VALUE"""),2.0)</f>
        <v>2</v>
      </c>
      <c r="N361" s="289"/>
      <c r="O361" s="290" t="str">
        <f>IFERROR(__xludf.DUMMYFUNCTION("""COMPUTED_VALUE"""),"FU 3 Agustus")</f>
        <v>FU 3 Agustus</v>
      </c>
      <c r="P361" s="320"/>
      <c r="R361" s="285"/>
      <c r="S361" s="285"/>
      <c r="T361" s="285"/>
      <c r="U361" s="285"/>
      <c r="V361" s="285"/>
      <c r="W361" s="285"/>
      <c r="X361" s="285"/>
      <c r="Y361" s="285"/>
      <c r="Z361" s="285"/>
      <c r="AA361" s="285"/>
      <c r="AC361" s="285" t="str">
        <f>IFERROR(__xludf.DUMMYFUNCTION("""COMPUTED_VALUE"""),"2603D113")</f>
        <v>2603D113</v>
      </c>
      <c r="AD361" s="286">
        <f>IFERROR(__xludf.DUMMYFUNCTION("""COMPUTED_VALUE"""),46105.0)</f>
        <v>46105</v>
      </c>
      <c r="AE361" s="285" t="str">
        <f>IFERROR(__xludf.DUMMYFUNCTION("""COMPUTED_VALUE"""),"Fitri Kartikasari")</f>
        <v>Fitri Kartikasari</v>
      </c>
      <c r="AF361" s="285" t="str">
        <f>IFERROR(__xludf.DUMMYFUNCTION("""COMPUTED_VALUE"""),"085183106701")</f>
        <v>085183106701</v>
      </c>
      <c r="AG361" s="285" t="str">
        <f>IFERROR(__xludf.DUMMYFUNCTION("""COMPUTED_VALUE"""),"Gagal")</f>
        <v>Gagal</v>
      </c>
      <c r="AH361" s="285"/>
      <c r="AI361" s="287"/>
      <c r="AJ361" s="285"/>
      <c r="AK361" s="289"/>
      <c r="AL361" s="285" t="str">
        <f>IFERROR(__xludf.DUMMYFUNCTION("""COMPUTED_VALUE"""),"hanya menyapa saja")</f>
        <v>hanya menyapa saja</v>
      </c>
    </row>
    <row r="362">
      <c r="F362" s="285" t="str">
        <f>IFERROR(__xludf.DUMMYFUNCTION("""COMPUTED_VALUE"""),"2607D161")</f>
        <v>2607D161</v>
      </c>
      <c r="G362" s="286">
        <f>IFERROR(__xludf.DUMMYFUNCTION("""COMPUTED_VALUE"""),46227.0)</f>
        <v>46227</v>
      </c>
      <c r="H362" s="285" t="str">
        <f>IFERROR(__xludf.DUMMYFUNCTION("""COMPUTED_VALUE"""),"Ncip")</f>
        <v>Ncip</v>
      </c>
      <c r="I362" s="285" t="str">
        <f>IFERROR(__xludf.DUMMYFUNCTION("""COMPUTED_VALUE"""),"081214870020")</f>
        <v>081214870020</v>
      </c>
      <c r="J362" s="285" t="str">
        <f>IFERROR(__xludf.DUMMYFUNCTION("""COMPUTED_VALUE"""),"Leads Baru")</f>
        <v>Leads Baru</v>
      </c>
      <c r="K362" s="285" t="str">
        <f>IFERROR(__xludf.DUMMYFUNCTION("""COMPUTED_VALUE"""),"3H2M")</f>
        <v>3H2M</v>
      </c>
      <c r="L362" s="287">
        <f>IFERROR(__xludf.DUMMYFUNCTION("""COMPUTED_VALUE"""),46250.0)</f>
        <v>46250</v>
      </c>
      <c r="M362" s="288"/>
      <c r="N362" s="289"/>
      <c r="O362" s="290" t="str">
        <f>IFERROR(__xludf.DUMMYFUNCTION("""COMPUTED_VALUE"""),"FU 3 Agustus")</f>
        <v>FU 3 Agustus</v>
      </c>
      <c r="P362" s="320"/>
      <c r="R362" s="285"/>
      <c r="S362" s="285"/>
      <c r="T362" s="285"/>
      <c r="U362" s="285"/>
      <c r="V362" s="285"/>
      <c r="W362" s="285"/>
      <c r="X362" s="285"/>
      <c r="Y362" s="285"/>
      <c r="Z362" s="285"/>
      <c r="AA362" s="285"/>
      <c r="AC362" s="285" t="str">
        <f>IFERROR(__xludf.DUMMYFUNCTION("""COMPUTED_VALUE"""),"2603D115")</f>
        <v>2603D115</v>
      </c>
      <c r="AD362" s="286">
        <f>IFERROR(__xludf.DUMMYFUNCTION("""COMPUTED_VALUE"""),46105.0)</f>
        <v>46105</v>
      </c>
      <c r="AE362" s="285" t="str">
        <f>IFERROR(__xludf.DUMMYFUNCTION("""COMPUTED_VALUE"""),"Rina Marlina")</f>
        <v>Rina Marlina</v>
      </c>
      <c r="AF362" s="285" t="str">
        <f>IFERROR(__xludf.DUMMYFUNCTION("""COMPUTED_VALUE"""),"085779848323")</f>
        <v>085779848323</v>
      </c>
      <c r="AG362" s="285" t="str">
        <f>IFERROR(__xludf.DUMMYFUNCTION("""COMPUTED_VALUE"""),"Gagal")</f>
        <v>Gagal</v>
      </c>
      <c r="AH362" s="285" t="str">
        <f>IFERROR(__xludf.DUMMYFUNCTION("""COMPUTED_VALUE"""),"3H2M ")</f>
        <v>3H2M </v>
      </c>
      <c r="AI362" s="287"/>
      <c r="AJ362" s="285">
        <f>IFERROR(__xludf.DUMMYFUNCTION("""COMPUTED_VALUE"""),1.0)</f>
        <v>1</v>
      </c>
      <c r="AK362" s="289">
        <f>IFERROR(__xludf.DUMMYFUNCTION("""COMPUTED_VALUE"""),1600000.0)</f>
        <v>1600000</v>
      </c>
      <c r="AL362" s="285" t="str">
        <f>IFERROR(__xludf.DUMMYFUNCTION("""COMPUTED_VALUE"""),"sudah daftar di agent lain")</f>
        <v>sudah daftar di agent lain</v>
      </c>
    </row>
    <row r="363">
      <c r="F363" s="285" t="str">
        <f>IFERROR(__xludf.DUMMYFUNCTION("""COMPUTED_VALUE"""),"2607D162")</f>
        <v>2607D162</v>
      </c>
      <c r="G363" s="286">
        <f>IFERROR(__xludf.DUMMYFUNCTION("""COMPUTED_VALUE"""),46227.0)</f>
        <v>46227</v>
      </c>
      <c r="H363" s="285" t="str">
        <f>IFERROR(__xludf.DUMMYFUNCTION("""COMPUTED_VALUE"""),"Febi ")</f>
        <v>Febi </v>
      </c>
      <c r="I363" s="285" t="str">
        <f>IFERROR(__xludf.DUMMYFUNCTION("""COMPUTED_VALUE"""),"08113944456")</f>
        <v>08113944456</v>
      </c>
      <c r="J363" s="285" t="str">
        <f>IFERROR(__xludf.DUMMYFUNCTION("""COMPUTED_VALUE"""),"Leads Baru")</f>
        <v>Leads Baru</v>
      </c>
      <c r="K363" s="285" t="str">
        <f>IFERROR(__xludf.DUMMYFUNCTION("""COMPUTED_VALUE"""),"OT Djbal, Ijen")</f>
        <v>OT Djbal, Ijen</v>
      </c>
      <c r="L363" s="287"/>
      <c r="M363" s="288"/>
      <c r="N363" s="289"/>
      <c r="O363" s="290" t="str">
        <f>IFERROR(__xludf.DUMMYFUNCTION("""COMPUTED_VALUE"""),"masih perbandingan antara OT/PT, FU 29 Juli")</f>
        <v>masih perbandingan antara OT/PT, FU 29 Juli</v>
      </c>
      <c r="P363" s="320"/>
      <c r="R363" s="285"/>
      <c r="S363" s="285"/>
      <c r="T363" s="285"/>
      <c r="U363" s="285"/>
      <c r="V363" s="285"/>
      <c r="W363" s="285"/>
      <c r="X363" s="285"/>
      <c r="Y363" s="285"/>
      <c r="Z363" s="285"/>
      <c r="AA363" s="285"/>
      <c r="AC363" s="285" t="str">
        <f>IFERROR(__xludf.DUMMYFUNCTION("""COMPUTED_VALUE"""),"2603D117")</f>
        <v>2603D117</v>
      </c>
      <c r="AD363" s="286">
        <f>IFERROR(__xludf.DUMMYFUNCTION("""COMPUTED_VALUE"""),46105.0)</f>
        <v>46105</v>
      </c>
      <c r="AE363" s="285" t="str">
        <f>IFERROR(__xludf.DUMMYFUNCTION("""COMPUTED_VALUE"""),"ERP Ninis")</f>
        <v>ERP Ninis</v>
      </c>
      <c r="AF363" s="285" t="str">
        <f>IFERROR(__xludf.DUMMYFUNCTION("""COMPUTED_VALUE"""),"081325285117")</f>
        <v>081325285117</v>
      </c>
      <c r="AG363" s="285" t="str">
        <f>IFERROR(__xludf.DUMMYFUNCTION("""COMPUTED_VALUE"""),"Gagal")</f>
        <v>Gagal</v>
      </c>
      <c r="AH363" s="285" t="str">
        <f>IFERROR(__xludf.DUMMYFUNCTION("""COMPUTED_VALUE"""),"3h2m ")</f>
        <v>3h2m </v>
      </c>
      <c r="AI363" s="287"/>
      <c r="AJ363" s="285">
        <f>IFERROR(__xludf.DUMMYFUNCTION("""COMPUTED_VALUE"""),2.0)</f>
        <v>2</v>
      </c>
      <c r="AK363" s="289">
        <f>IFERROR(__xludf.DUMMYFUNCTION("""COMPUTED_VALUE"""),6128000.0)</f>
        <v>6128000</v>
      </c>
      <c r="AL363" s="285" t="str">
        <f>IFERROR(__xludf.DUMMYFUNCTION("""COMPUTED_VALUE"""),"belum jadi untuk saat ini")</f>
        <v>belum jadi untuk saat ini</v>
      </c>
    </row>
    <row r="364">
      <c r="F364" s="285" t="str">
        <f>IFERROR(__xludf.DUMMYFUNCTION("""COMPUTED_VALUE"""),"2607D164")</f>
        <v>2607D164</v>
      </c>
      <c r="G364" s="286">
        <f>IFERROR(__xludf.DUMMYFUNCTION("""COMPUTED_VALUE"""),46228.0)</f>
        <v>46228</v>
      </c>
      <c r="H364" s="285" t="str">
        <f>IFERROR(__xludf.DUMMYFUNCTION("""COMPUTED_VALUE"""),"Kak.Hay")</f>
        <v>Kak.Hay</v>
      </c>
      <c r="I364" s="285" t="str">
        <f>IFERROR(__xludf.DUMMYFUNCTION("""COMPUTED_VALUE"""),"082111426857")</f>
        <v>082111426857</v>
      </c>
      <c r="J364" s="285" t="str">
        <f>IFERROR(__xludf.DUMMYFUNCTION("""COMPUTED_VALUE"""),"Leads Baru")</f>
        <v>Leads Baru</v>
      </c>
      <c r="K364" s="285" t="str">
        <f>IFERROR(__xludf.DUMMYFUNCTION("""COMPUTED_VALUE"""),"OT MT")</f>
        <v>OT MT</v>
      </c>
      <c r="L364" s="287"/>
      <c r="M364" s="288"/>
      <c r="N364" s="289"/>
      <c r="O364" s="290" t="str">
        <f>IFERROR(__xludf.DUMMYFUNCTION("""COMPUTED_VALUE"""),"FU 31 Juli")</f>
        <v>FU 31 Juli</v>
      </c>
      <c r="P364" s="320"/>
      <c r="R364" s="285"/>
      <c r="S364" s="285"/>
      <c r="T364" s="285"/>
      <c r="U364" s="285"/>
      <c r="V364" s="285"/>
      <c r="W364" s="285"/>
      <c r="X364" s="285"/>
      <c r="Y364" s="285"/>
      <c r="Z364" s="285"/>
      <c r="AA364" s="285"/>
      <c r="AC364" s="285" t="str">
        <f>IFERROR(__xludf.DUMMYFUNCTION("""COMPUTED_VALUE"""),"2603D120")</f>
        <v>2603D120</v>
      </c>
      <c r="AD364" s="286">
        <f>IFERROR(__xludf.DUMMYFUNCTION("""COMPUTED_VALUE"""),46105.0)</f>
        <v>46105</v>
      </c>
      <c r="AE364" s="285" t="str">
        <f>IFERROR(__xludf.DUMMYFUNCTION("""COMPUTED_VALUE"""),"Mizdaaa")</f>
        <v>Mizdaaa</v>
      </c>
      <c r="AF364" s="285" t="str">
        <f>IFERROR(__xludf.DUMMYFUNCTION("""COMPUTED_VALUE"""),"085752315174")</f>
        <v>085752315174</v>
      </c>
      <c r="AG364" s="285" t="str">
        <f>IFERROR(__xludf.DUMMYFUNCTION("""COMPUTED_VALUE"""),"Gagal")</f>
        <v>Gagal</v>
      </c>
      <c r="AH364" s="285"/>
      <c r="AI364" s="287"/>
      <c r="AJ364" s="285"/>
      <c r="AK364" s="289"/>
      <c r="AL364" s="285" t="str">
        <f>IFERROR(__xludf.DUMMYFUNCTION("""COMPUTED_VALUE"""),"menyapa saja")</f>
        <v>menyapa saja</v>
      </c>
    </row>
    <row r="365">
      <c r="F365" s="285" t="str">
        <f>IFERROR(__xludf.DUMMYFUNCTION("""COMPUTED_VALUE"""),"2607D165")</f>
        <v>2607D165</v>
      </c>
      <c r="G365" s="286">
        <f>IFERROR(__xludf.DUMMYFUNCTION("""COMPUTED_VALUE"""),46229.0)</f>
        <v>46229</v>
      </c>
      <c r="H365" s="285" t="str">
        <f>IFERROR(__xludf.DUMMYFUNCTION("""COMPUTED_VALUE"""),"Shella Trishel")</f>
        <v>Shella Trishel</v>
      </c>
      <c r="I365" s="285" t="str">
        <f>IFERROR(__xludf.DUMMYFUNCTION("""COMPUTED_VALUE"""),"085747300036")</f>
        <v>085747300036</v>
      </c>
      <c r="J365" s="285" t="str">
        <f>IFERROR(__xludf.DUMMYFUNCTION("""COMPUTED_VALUE"""),"Leads Baru")</f>
        <v>Leads Baru</v>
      </c>
      <c r="K365" s="285" t="str">
        <f>IFERROR(__xludf.DUMMYFUNCTION("""COMPUTED_VALUE"""),"trip 1 day Baluran")</f>
        <v>trip 1 day Baluran</v>
      </c>
      <c r="L365" s="287"/>
      <c r="M365" s="288">
        <f>IFERROR(__xludf.DUMMYFUNCTION("""COMPUTED_VALUE"""),5.0)</f>
        <v>5</v>
      </c>
      <c r="N365" s="289"/>
      <c r="O365" s="290" t="str">
        <f>IFERROR(__xludf.DUMMYFUNCTION("""COMPUTED_VALUE"""),"FU 30 Juli")</f>
        <v>FU 30 Juli</v>
      </c>
      <c r="P365" s="320"/>
      <c r="R365" s="285"/>
      <c r="S365" s="285"/>
      <c r="T365" s="285"/>
      <c r="U365" s="285"/>
      <c r="V365" s="285"/>
      <c r="W365" s="285"/>
      <c r="X365" s="285"/>
      <c r="Y365" s="285"/>
      <c r="Z365" s="285"/>
      <c r="AA365" s="285"/>
      <c r="AC365" s="285" t="str">
        <f>IFERROR(__xludf.DUMMYFUNCTION("""COMPUTED_VALUE"""),"2603D121")</f>
        <v>2603D121</v>
      </c>
      <c r="AD365" s="286">
        <f>IFERROR(__xludf.DUMMYFUNCTION("""COMPUTED_VALUE"""),46105.0)</f>
        <v>46105</v>
      </c>
      <c r="AE365" s="285" t="str">
        <f>IFERROR(__xludf.DUMMYFUNCTION("""COMPUTED_VALUE"""),"bungaa")</f>
        <v>bungaa</v>
      </c>
      <c r="AF365" s="285" t="str">
        <f>IFERROR(__xludf.DUMMYFUNCTION("""COMPUTED_VALUE"""),"089675814346")</f>
        <v>089675814346</v>
      </c>
      <c r="AG365" s="285" t="str">
        <f>IFERROR(__xludf.DUMMYFUNCTION("""COMPUTED_VALUE"""),"Gagal")</f>
        <v>Gagal</v>
      </c>
      <c r="AH365" s="285" t="str">
        <f>IFERROR(__xludf.DUMMYFUNCTION("""COMPUTED_VALUE"""),"3h2m opsi a")</f>
        <v>3h2m opsi a</v>
      </c>
      <c r="AI365" s="287"/>
      <c r="AJ365" s="285"/>
      <c r="AK365" s="289"/>
      <c r="AL365" s="285" t="str">
        <f>IFERROR(__xludf.DUMMYFUNCTION("""COMPUTED_VALUE"""),"sudah FU tidak balass")</f>
        <v>sudah FU tidak balass</v>
      </c>
    </row>
    <row r="366">
      <c r="F366" s="285" t="str">
        <f>IFERROR(__xludf.DUMMYFUNCTION("""COMPUTED_VALUE"""),"2607D166")</f>
        <v>2607D166</v>
      </c>
      <c r="G366" s="286">
        <f>IFERROR(__xludf.DUMMYFUNCTION("""COMPUTED_VALUE"""),46230.0)</f>
        <v>46230</v>
      </c>
      <c r="H366" s="285" t="str">
        <f>IFERROR(__xludf.DUMMYFUNCTION("""COMPUTED_VALUE"""),"Rizkia Puri")</f>
        <v>Rizkia Puri</v>
      </c>
      <c r="I366" s="285" t="str">
        <f>IFERROR(__xludf.DUMMYFUNCTION("""COMPUTED_VALUE"""),"081229463055")</f>
        <v>081229463055</v>
      </c>
      <c r="J366" s="285" t="str">
        <f>IFERROR(__xludf.DUMMYFUNCTION("""COMPUTED_VALUE"""),"Leads Baru")</f>
        <v>Leads Baru</v>
      </c>
      <c r="K366" s="285" t="str">
        <f>IFERROR(__xludf.DUMMYFUNCTION("""COMPUTED_VALUE"""),"3H2M opsi A")</f>
        <v>3H2M opsi A</v>
      </c>
      <c r="L366" s="287">
        <f>IFERROR(__xludf.DUMMYFUNCTION("""COMPUTED_VALUE"""),46252.0)</f>
        <v>46252</v>
      </c>
      <c r="M366" s="288">
        <f>IFERROR(__xludf.DUMMYFUNCTION("""COMPUTED_VALUE"""),2.0)</f>
        <v>2</v>
      </c>
      <c r="N366" s="289"/>
      <c r="O366" s="290" t="str">
        <f>IFERROR(__xludf.DUMMYFUNCTION("""COMPUTED_VALUE"""),"FU 1 Agustus")</f>
        <v>FU 1 Agustus</v>
      </c>
      <c r="P366" s="320"/>
      <c r="R366" s="285"/>
      <c r="S366" s="285"/>
      <c r="T366" s="285"/>
      <c r="U366" s="285"/>
      <c r="V366" s="285"/>
      <c r="W366" s="285"/>
      <c r="X366" s="285"/>
      <c r="Y366" s="285"/>
      <c r="Z366" s="285"/>
      <c r="AA366" s="285"/>
      <c r="AC366" s="285" t="str">
        <f>IFERROR(__xludf.DUMMYFUNCTION("""COMPUTED_VALUE"""),"2603D122")</f>
        <v>2603D122</v>
      </c>
      <c r="AD366" s="286">
        <f>IFERROR(__xludf.DUMMYFUNCTION("""COMPUTED_VALUE"""),46106.0)</f>
        <v>46106</v>
      </c>
      <c r="AE366" s="285" t="str">
        <f>IFERROR(__xludf.DUMMYFUNCTION("""COMPUTED_VALUE"""),"altino")</f>
        <v>altino</v>
      </c>
      <c r="AF366" s="285" t="str">
        <f>IFERROR(__xludf.DUMMYFUNCTION("""COMPUTED_VALUE"""),"081250683017")</f>
        <v>081250683017</v>
      </c>
      <c r="AG366" s="285" t="str">
        <f>IFERROR(__xludf.DUMMYFUNCTION("""COMPUTED_VALUE"""),"Gagal")</f>
        <v>Gagal</v>
      </c>
      <c r="AH366" s="285" t="str">
        <f>IFERROR(__xludf.DUMMYFUNCTION("""COMPUTED_VALUE"""),"ot ijen")</f>
        <v>ot ijen</v>
      </c>
      <c r="AI366" s="287">
        <f>IFERROR(__xludf.DUMMYFUNCTION("""COMPUTED_VALUE"""),46107.0)</f>
        <v>46107</v>
      </c>
      <c r="AJ366" s="285">
        <f>IFERROR(__xludf.DUMMYFUNCTION("""COMPUTED_VALUE"""),1.0)</f>
        <v>1</v>
      </c>
      <c r="AK366" s="289">
        <f>IFERROR(__xludf.DUMMYFUNCTION("""COMPUTED_VALUE"""),300000.0)</f>
        <v>300000</v>
      </c>
      <c r="AL366" s="285" t="str">
        <f>IFERROR(__xludf.DUMMYFUNCTION("""COMPUTED_VALUE"""),"lewat tanggal, gada balasan")</f>
        <v>lewat tanggal, gada balasan</v>
      </c>
    </row>
    <row r="367">
      <c r="F367" s="285" t="str">
        <f>IFERROR(__xludf.DUMMYFUNCTION("""COMPUTED_VALUE"""),"2607D167")</f>
        <v>2607D167</v>
      </c>
      <c r="G367" s="286">
        <f>IFERROR(__xludf.DUMMYFUNCTION("""COMPUTED_VALUE"""),46230.0)</f>
        <v>46230</v>
      </c>
      <c r="H367" s="285" t="str">
        <f>IFERROR(__xludf.DUMMYFUNCTION("""COMPUTED_VALUE"""),"WNA Inggris")</f>
        <v>WNA Inggris</v>
      </c>
      <c r="I367" s="285" t="str">
        <f>IFERROR(__xludf.DUMMYFUNCTION("""COMPUTED_VALUE"""),"447494034531")</f>
        <v>447494034531</v>
      </c>
      <c r="J367" s="285" t="str">
        <f>IFERROR(__xludf.DUMMYFUNCTION("""COMPUTED_VALUE"""),"Leads Baru")</f>
        <v>Leads Baru</v>
      </c>
      <c r="K367" s="285" t="str">
        <f>IFERROR(__xludf.DUMMYFUNCTION("""COMPUTED_VALUE"""),"private trip Ijen")</f>
        <v>private trip Ijen</v>
      </c>
      <c r="L367" s="287">
        <f>IFERROR(__xludf.DUMMYFUNCTION("""COMPUTED_VALUE"""),46280.0)</f>
        <v>46280</v>
      </c>
      <c r="M367" s="288">
        <f>IFERROR(__xludf.DUMMYFUNCTION("""COMPUTED_VALUE"""),3.0)</f>
        <v>3</v>
      </c>
      <c r="N367" s="289"/>
      <c r="O367" s="290" t="str">
        <f>IFERROR(__xludf.DUMMYFUNCTION("""COMPUTED_VALUE"""),"FU 14 Agustus")</f>
        <v>FU 14 Agustus</v>
      </c>
      <c r="P367" s="320"/>
      <c r="R367" s="285"/>
      <c r="S367" s="285"/>
      <c r="T367" s="285"/>
      <c r="U367" s="285"/>
      <c r="V367" s="285"/>
      <c r="W367" s="285"/>
      <c r="X367" s="285"/>
      <c r="Y367" s="285"/>
      <c r="Z367" s="285"/>
      <c r="AA367" s="285"/>
      <c r="AC367" s="285" t="str">
        <f>IFERROR(__xludf.DUMMYFUNCTION("""COMPUTED_VALUE"""),"2603D123")</f>
        <v>2603D123</v>
      </c>
      <c r="AD367" s="286">
        <f>IFERROR(__xludf.DUMMYFUNCTION("""COMPUTED_VALUE"""),46106.0)</f>
        <v>46106</v>
      </c>
      <c r="AE367" s="285" t="str">
        <f>IFERROR(__xludf.DUMMYFUNCTION("""COMPUTED_VALUE"""),"Al Hasan")</f>
        <v>Al Hasan</v>
      </c>
      <c r="AF367" s="285" t="str">
        <f>IFERROR(__xludf.DUMMYFUNCTION("""COMPUTED_VALUE"""),"085784092260")</f>
        <v>085784092260</v>
      </c>
      <c r="AG367" s="285" t="str">
        <f>IFERROR(__xludf.DUMMYFUNCTION("""COMPUTED_VALUE"""),"Gagal")</f>
        <v>Gagal</v>
      </c>
      <c r="AH367" s="285" t="str">
        <f>IFERROR(__xludf.DUMMYFUNCTION("""COMPUTED_VALUE"""),"OT 3H2M ")</f>
        <v>OT 3H2M </v>
      </c>
      <c r="AI367" s="287"/>
      <c r="AJ367" s="285">
        <f>IFERROR(__xludf.DUMMYFUNCTION("""COMPUTED_VALUE"""),1.0)</f>
        <v>1</v>
      </c>
      <c r="AK367" s="289"/>
      <c r="AL367" s="285" t="str">
        <f>IFERROR(__xludf.DUMMYFUNCTION("""COMPUTED_VALUE"""),"sdh dapat yg sesuai")</f>
        <v>sdh dapat yg sesuai</v>
      </c>
    </row>
    <row r="368">
      <c r="F368" s="285" t="str">
        <f>IFERROR(__xludf.DUMMYFUNCTION("""COMPUTED_VALUE"""),"2607D168")</f>
        <v>2607D168</v>
      </c>
      <c r="G368" s="286">
        <f>IFERROR(__xludf.DUMMYFUNCTION("""COMPUTED_VALUE"""),46230.0)</f>
        <v>46230</v>
      </c>
      <c r="H368" s="285" t="str">
        <f>IFERROR(__xludf.DUMMYFUNCTION("""COMPUTED_VALUE"""),"Intan Wulansari")</f>
        <v>Intan Wulansari</v>
      </c>
      <c r="I368" s="285" t="str">
        <f>IFERROR(__xludf.DUMMYFUNCTION("""COMPUTED_VALUE"""),"08589202869")</f>
        <v>08589202869</v>
      </c>
      <c r="J368" s="285" t="str">
        <f>IFERROR(__xludf.DUMMYFUNCTION("""COMPUTED_VALUE"""),"Leads Baru")</f>
        <v>Leads Baru</v>
      </c>
      <c r="K368" s="285" t="str">
        <f>IFERROR(__xludf.DUMMYFUNCTION("""COMPUTED_VALUE"""),"3H2M Custome")</f>
        <v>3H2M Custome</v>
      </c>
      <c r="L368" s="287"/>
      <c r="M368" s="288">
        <f>IFERROR(__xludf.DUMMYFUNCTION("""COMPUTED_VALUE"""),6.0)</f>
        <v>6</v>
      </c>
      <c r="N368" s="289"/>
      <c r="O368" s="290" t="str">
        <f>IFERROR(__xludf.DUMMYFUNCTION("""COMPUTED_VALUE"""),"FU 30 Juli")</f>
        <v>FU 30 Juli</v>
      </c>
      <c r="P368" s="320"/>
      <c r="R368" s="285"/>
      <c r="S368" s="285"/>
      <c r="T368" s="285"/>
      <c r="U368" s="285"/>
      <c r="V368" s="285"/>
      <c r="W368" s="285"/>
      <c r="X368" s="285"/>
      <c r="Y368" s="285"/>
      <c r="Z368" s="285"/>
      <c r="AA368" s="285"/>
      <c r="AC368" s="285" t="str">
        <f>IFERROR(__xludf.DUMMYFUNCTION("""COMPUTED_VALUE"""),"2603D124")</f>
        <v>2603D124</v>
      </c>
      <c r="AD368" s="286">
        <f>IFERROR(__xludf.DUMMYFUNCTION("""COMPUTED_VALUE"""),46106.0)</f>
        <v>46106</v>
      </c>
      <c r="AE368" s="285" t="str">
        <f>IFERROR(__xludf.DUMMYFUNCTION("""COMPUTED_VALUE"""),"Akbar Daulay")</f>
        <v>Akbar Daulay</v>
      </c>
      <c r="AF368" s="285" t="str">
        <f>IFERROR(__xludf.DUMMYFUNCTION("""COMPUTED_VALUE"""),"087886639535")</f>
        <v>087886639535</v>
      </c>
      <c r="AG368" s="285" t="str">
        <f>IFERROR(__xludf.DUMMYFUNCTION("""COMPUTED_VALUE"""),"Gagal")</f>
        <v>Gagal</v>
      </c>
      <c r="AH368" s="285"/>
      <c r="AI368" s="287"/>
      <c r="AJ368" s="285"/>
      <c r="AK368" s="289"/>
      <c r="AL368" s="285" t="str">
        <f>IFERROR(__xludf.DUMMYFUNCTION("""COMPUTED_VALUE"""),"hanya menyapa")</f>
        <v>hanya menyapa</v>
      </c>
    </row>
    <row r="369">
      <c r="F369" s="285" t="str">
        <f>IFERROR(__xludf.DUMMYFUNCTION("""COMPUTED_VALUE"""),"2607D169")</f>
        <v>2607D169</v>
      </c>
      <c r="G369" s="286">
        <f>IFERROR(__xludf.DUMMYFUNCTION("""COMPUTED_VALUE"""),46230.0)</f>
        <v>46230</v>
      </c>
      <c r="H369" s="285" t="str">
        <f>IFERROR(__xludf.DUMMYFUNCTION("""COMPUTED_VALUE"""),"Azizah")</f>
        <v>Azizah</v>
      </c>
      <c r="I369" s="285" t="str">
        <f>IFERROR(__xludf.DUMMYFUNCTION("""COMPUTED_VALUE"""),"085289410324")</f>
        <v>085289410324</v>
      </c>
      <c r="J369" s="285" t="str">
        <f>IFERROR(__xludf.DUMMYFUNCTION("""COMPUTED_VALUE"""),"Leads Baru")</f>
        <v>Leads Baru</v>
      </c>
      <c r="K369" s="285" t="str">
        <f>IFERROR(__xludf.DUMMYFUNCTION("""COMPUTED_VALUE"""),"OT MT")</f>
        <v>OT MT</v>
      </c>
      <c r="L369" s="287">
        <f>IFERROR(__xludf.DUMMYFUNCTION("""COMPUTED_VALUE"""),46250.0)</f>
        <v>46250</v>
      </c>
      <c r="M369" s="288"/>
      <c r="N369" s="289"/>
      <c r="O369" s="290" t="str">
        <f>IFERROR(__xludf.DUMMYFUNCTION("""COMPUTED_VALUE"""),"blm balas lagi, FU 30 Juli")</f>
        <v>blm balas lagi, FU 30 Juli</v>
      </c>
      <c r="P369" s="320"/>
      <c r="R369" s="285"/>
      <c r="S369" s="285"/>
      <c r="T369" s="285"/>
      <c r="U369" s="285"/>
      <c r="V369" s="285"/>
      <c r="W369" s="285"/>
      <c r="X369" s="285"/>
      <c r="Y369" s="285"/>
      <c r="Z369" s="285"/>
      <c r="AA369" s="285"/>
      <c r="AC369" s="285" t="str">
        <f>IFERROR(__xludf.DUMMYFUNCTION("""COMPUTED_VALUE"""),"2603D126")</f>
        <v>2603D126</v>
      </c>
      <c r="AD369" s="286">
        <f>IFERROR(__xludf.DUMMYFUNCTION("""COMPUTED_VALUE"""),46107.0)</f>
        <v>46107</v>
      </c>
      <c r="AE369" s="285" t="str">
        <f>IFERROR(__xludf.DUMMYFUNCTION("""COMPUTED_VALUE"""),"Sugianto")</f>
        <v>Sugianto</v>
      </c>
      <c r="AF369" s="285" t="str">
        <f>IFERROR(__xludf.DUMMYFUNCTION("""COMPUTED_VALUE"""),"081213084515")</f>
        <v>081213084515</v>
      </c>
      <c r="AG369" s="285" t="str">
        <f>IFERROR(__xludf.DUMMYFUNCTION("""COMPUTED_VALUE"""),"Gagal")</f>
        <v>Gagal</v>
      </c>
      <c r="AH369" s="285" t="str">
        <f>IFERROR(__xludf.DUMMYFUNCTION("""COMPUTED_VALUE"""),"one day trip ")</f>
        <v>one day trip </v>
      </c>
      <c r="AI369" s="287"/>
      <c r="AJ369" s="285">
        <f>IFERROR(__xludf.DUMMYFUNCTION("""COMPUTED_VALUE"""),5.0)</f>
        <v>5</v>
      </c>
      <c r="AK369" s="289"/>
      <c r="AL369" s="285" t="str">
        <f>IFERROR(__xludf.DUMMYFUNCTION("""COMPUTED_VALUE"""),"gagal, tidak membalas, lewat tanggal")</f>
        <v>gagal, tidak membalas, lewat tanggal</v>
      </c>
    </row>
    <row r="370">
      <c r="F370" s="285" t="str">
        <f>IFERROR(__xludf.DUMMYFUNCTION("""COMPUTED_VALUE"""),"2607D170")</f>
        <v>2607D170</v>
      </c>
      <c r="G370" s="286">
        <f>IFERROR(__xludf.DUMMYFUNCTION("""COMPUTED_VALUE"""),46230.0)</f>
        <v>46230</v>
      </c>
      <c r="H370" s="285" t="str">
        <f>IFERROR(__xludf.DUMMYFUNCTION("""COMPUTED_VALUE"""),"Intan Barus")</f>
        <v>Intan Barus</v>
      </c>
      <c r="I370" s="285" t="str">
        <f>IFERROR(__xludf.DUMMYFUNCTION("""COMPUTED_VALUE"""),"085211734314")</f>
        <v>085211734314</v>
      </c>
      <c r="J370" s="285" t="str">
        <f>IFERROR(__xludf.DUMMYFUNCTION("""COMPUTED_VALUE"""),"Leads Baru")</f>
        <v>Leads Baru</v>
      </c>
      <c r="K370" s="285" t="str">
        <f>IFERROR(__xludf.DUMMYFUNCTION("""COMPUTED_VALUE"""),"2H1M opsi B")</f>
        <v>2H1M opsi B</v>
      </c>
      <c r="L370" s="287">
        <f>IFERROR(__xludf.DUMMYFUNCTION("""COMPUTED_VALUE"""),46265.0)</f>
        <v>46265</v>
      </c>
      <c r="M370" s="288">
        <f>IFERROR(__xludf.DUMMYFUNCTION("""COMPUTED_VALUE"""),2.0)</f>
        <v>2</v>
      </c>
      <c r="N370" s="289"/>
      <c r="O370" s="290" t="str">
        <f>IFERROR(__xludf.DUMMYFUNCTION("""COMPUTED_VALUE"""),"FU 14 Agustus")</f>
        <v>FU 14 Agustus</v>
      </c>
      <c r="P370" s="320"/>
      <c r="R370" s="285"/>
      <c r="S370" s="285"/>
      <c r="T370" s="285"/>
      <c r="U370" s="285"/>
      <c r="V370" s="285"/>
      <c r="W370" s="285"/>
      <c r="X370" s="285"/>
      <c r="Y370" s="285"/>
      <c r="Z370" s="285"/>
      <c r="AA370" s="285"/>
      <c r="AC370" s="285" t="str">
        <f>IFERROR(__xludf.DUMMYFUNCTION("""COMPUTED_VALUE"""),"2603D127")</f>
        <v>2603D127</v>
      </c>
      <c r="AD370" s="286">
        <f>IFERROR(__xludf.DUMMYFUNCTION("""COMPUTED_VALUE"""),46107.0)</f>
        <v>46107</v>
      </c>
      <c r="AE370" s="285" t="str">
        <f>IFERROR(__xludf.DUMMYFUNCTION("""COMPUTED_VALUE"""),"Dftm")</f>
        <v>Dftm</v>
      </c>
      <c r="AF370" s="285" t="str">
        <f>IFERROR(__xludf.DUMMYFUNCTION("""COMPUTED_VALUE"""),"085727267198")</f>
        <v>085727267198</v>
      </c>
      <c r="AG370" s="285" t="str">
        <f>IFERROR(__xludf.DUMMYFUNCTION("""COMPUTED_VALUE"""),"Gagal")</f>
        <v>Gagal</v>
      </c>
      <c r="AH370" s="285"/>
      <c r="AI370" s="287"/>
      <c r="AJ370" s="285"/>
      <c r="AK370" s="289"/>
      <c r="AL370" s="285" t="str">
        <f>IFERROR(__xludf.DUMMYFUNCTION("""COMPUTED_VALUE"""),"ingin rental mobil saja")</f>
        <v>ingin rental mobil saja</v>
      </c>
    </row>
    <row r="371">
      <c r="F371" s="285" t="str">
        <f>IFERROR(__xludf.DUMMYFUNCTION("""COMPUTED_VALUE"""),"2607D171")</f>
        <v>2607D171</v>
      </c>
      <c r="G371" s="286">
        <f>IFERROR(__xludf.DUMMYFUNCTION("""COMPUTED_VALUE"""),46230.0)</f>
        <v>46230</v>
      </c>
      <c r="H371" s="285" t="str">
        <f>IFERROR(__xludf.DUMMYFUNCTION("""COMPUTED_VALUE"""),"Nadia Amelia ")</f>
        <v>Nadia Amelia </v>
      </c>
      <c r="I371" s="285" t="str">
        <f>IFERROR(__xludf.DUMMYFUNCTION("""COMPUTED_VALUE"""),"08192165504")</f>
        <v>08192165504</v>
      </c>
      <c r="J371" s="285" t="str">
        <f>IFERROR(__xludf.DUMMYFUNCTION("""COMPUTED_VALUE"""),"Leads Baru")</f>
        <v>Leads Baru</v>
      </c>
      <c r="K371" s="285" t="str">
        <f>IFERROR(__xludf.DUMMYFUNCTION("""COMPUTED_VALUE"""),"OT3H2M")</f>
        <v>OT3H2M</v>
      </c>
      <c r="L371" s="287"/>
      <c r="M371" s="288"/>
      <c r="N371" s="289"/>
      <c r="O371" s="290" t="str">
        <f>IFERROR(__xludf.DUMMYFUNCTION("""COMPUTED_VALUE"""),"FU 30 Juli")</f>
        <v>FU 30 Juli</v>
      </c>
      <c r="P371" s="320"/>
      <c r="R371" s="285"/>
      <c r="S371" s="285"/>
      <c r="T371" s="285"/>
      <c r="U371" s="285"/>
      <c r="V371" s="285"/>
      <c r="W371" s="285"/>
      <c r="X371" s="285"/>
      <c r="Y371" s="285"/>
      <c r="Z371" s="285"/>
      <c r="AA371" s="285"/>
      <c r="AC371" s="285" t="str">
        <f>IFERROR(__xludf.DUMMYFUNCTION("""COMPUTED_VALUE"""),"2603D128")</f>
        <v>2603D128</v>
      </c>
      <c r="AD371" s="286">
        <f>IFERROR(__xludf.DUMMYFUNCTION("""COMPUTED_VALUE"""),46107.0)</f>
        <v>46107</v>
      </c>
      <c r="AE371" s="285" t="str">
        <f>IFERROR(__xludf.DUMMYFUNCTION("""COMPUTED_VALUE"""),"YayaMaria ")</f>
        <v>YayaMaria </v>
      </c>
      <c r="AF371" s="285" t="str">
        <f>IFERROR(__xludf.DUMMYFUNCTION("""COMPUTED_VALUE"""),"0877000897770")</f>
        <v>0877000897770</v>
      </c>
      <c r="AG371" s="285" t="str">
        <f>IFERROR(__xludf.DUMMYFUNCTION("""COMPUTED_VALUE"""),"Gagal")</f>
        <v>Gagal</v>
      </c>
      <c r="AH371" s="285" t="str">
        <f>IFERROR(__xludf.DUMMYFUNCTION("""COMPUTED_VALUE"""),"one day trip teluk ijo")</f>
        <v>one day trip teluk ijo</v>
      </c>
      <c r="AI371" s="287">
        <f>IFERROR(__xludf.DUMMYFUNCTION("""COMPUTED_VALUE"""),46108.0)</f>
        <v>46108</v>
      </c>
      <c r="AJ371" s="285">
        <f>IFERROR(__xludf.DUMMYFUNCTION("""COMPUTED_VALUE"""),5.0)</f>
        <v>5</v>
      </c>
      <c r="AK371" s="289">
        <f>IFERROR(__xludf.DUMMYFUNCTION("""COMPUTED_VALUE"""),3037500.0)</f>
        <v>3037500</v>
      </c>
      <c r="AL371" s="285" t="str">
        <f>IFERROR(__xludf.DUMMYFUNCTION("""COMPUTED_VALUE"""),"sdh ke teluk ijo")</f>
        <v>sdh ke teluk ijo</v>
      </c>
    </row>
    <row r="372">
      <c r="F372" s="285" t="str">
        <f>IFERROR(__xludf.DUMMYFUNCTION("""COMPUTED_VALUE"""),"2607D172")</f>
        <v>2607D172</v>
      </c>
      <c r="G372" s="286">
        <f>IFERROR(__xludf.DUMMYFUNCTION("""COMPUTED_VALUE"""),46230.0)</f>
        <v>46230</v>
      </c>
      <c r="H372" s="285" t="str">
        <f>IFERROR(__xludf.DUMMYFUNCTION("""COMPUTED_VALUE"""),"Andre Januar Mulya")</f>
        <v>Andre Januar Mulya</v>
      </c>
      <c r="I372" s="285" t="str">
        <f>IFERROR(__xludf.DUMMYFUNCTION("""COMPUTED_VALUE"""),"081519844165")</f>
        <v>081519844165</v>
      </c>
      <c r="J372" s="285" t="str">
        <f>IFERROR(__xludf.DUMMYFUNCTION("""COMPUTED_VALUE"""),"Leads Baru")</f>
        <v>Leads Baru</v>
      </c>
      <c r="K372" s="285" t="str">
        <f>IFERROR(__xludf.DUMMYFUNCTION("""COMPUTED_VALUE"""),"trip custome")</f>
        <v>trip custome</v>
      </c>
      <c r="L372" s="287"/>
      <c r="M372" s="288"/>
      <c r="N372" s="289"/>
      <c r="O372" s="290" t="str">
        <f>IFERROR(__xludf.DUMMYFUNCTION("""COMPUTED_VALUE"""),"sudah kirim penawaran, FU 21 Agustus")</f>
        <v>sudah kirim penawaran, FU 21 Agustus</v>
      </c>
      <c r="P372" s="320"/>
      <c r="R372" s="285"/>
      <c r="S372" s="285"/>
      <c r="T372" s="285"/>
      <c r="U372" s="285"/>
      <c r="V372" s="285"/>
      <c r="W372" s="285"/>
      <c r="X372" s="285"/>
      <c r="Y372" s="285"/>
      <c r="Z372" s="285"/>
      <c r="AA372" s="285"/>
      <c r="AC372" s="285" t="str">
        <f>IFERROR(__xludf.DUMMYFUNCTION("""COMPUTED_VALUE"""),"2603D129")</f>
        <v>2603D129</v>
      </c>
      <c r="AD372" s="286">
        <f>IFERROR(__xludf.DUMMYFUNCTION("""COMPUTED_VALUE"""),46107.0)</f>
        <v>46107</v>
      </c>
      <c r="AE372" s="285" t="str">
        <f>IFERROR(__xludf.DUMMYFUNCTION("""COMPUTED_VALUE"""),"Elzha")</f>
        <v>Elzha</v>
      </c>
      <c r="AF372" s="285" t="str">
        <f>IFERROR(__xludf.DUMMYFUNCTION("""COMPUTED_VALUE"""),"08881383969")</f>
        <v>08881383969</v>
      </c>
      <c r="AG372" s="285" t="str">
        <f>IFERROR(__xludf.DUMMYFUNCTION("""COMPUTED_VALUE"""),"Gagal")</f>
        <v>Gagal</v>
      </c>
      <c r="AH372" s="285" t="str">
        <f>IFERROR(__xludf.DUMMYFUNCTION("""COMPUTED_VALUE"""),"Private Trip Djabal")</f>
        <v>Private Trip Djabal</v>
      </c>
      <c r="AI372" s="287">
        <f>IFERROR(__xludf.DUMMYFUNCTION("""COMPUTED_VALUE"""),46131.0)</f>
        <v>46131</v>
      </c>
      <c r="AJ372" s="285">
        <f>IFERROR(__xludf.DUMMYFUNCTION("""COMPUTED_VALUE"""),5.0)</f>
        <v>5</v>
      </c>
      <c r="AK372" s="289">
        <f>IFERROR(__xludf.DUMMYFUNCTION("""COMPUTED_VALUE"""),2115000.0)</f>
        <v>2115000</v>
      </c>
      <c r="AL372" s="285" t="str">
        <f>IFERROR(__xludf.DUMMYFUNCTION("""COMPUTED_VALUE"""),"sdh fu 5 kali tidak bales")</f>
        <v>sdh fu 5 kali tidak bales</v>
      </c>
    </row>
    <row r="373">
      <c r="F373" s="285" t="str">
        <f>IFERROR(__xludf.DUMMYFUNCTION("""COMPUTED_VALUE"""),"2607D173")</f>
        <v>2607D173</v>
      </c>
      <c r="G373" s="286">
        <f>IFERROR(__xludf.DUMMYFUNCTION("""COMPUTED_VALUE"""),46230.0)</f>
        <v>46230</v>
      </c>
      <c r="H373" s="285" t="str">
        <f>IFERROR(__xludf.DUMMYFUNCTION("""COMPUTED_VALUE"""),"Zahra Athallah")</f>
        <v>Zahra Athallah</v>
      </c>
      <c r="I373" s="285" t="str">
        <f>IFERROR(__xludf.DUMMYFUNCTION("""COMPUTED_VALUE"""),"081286968037")</f>
        <v>081286968037</v>
      </c>
      <c r="J373" s="285" t="str">
        <f>IFERROR(__xludf.DUMMYFUNCTION("""COMPUTED_VALUE"""),"Leads Baru")</f>
        <v>Leads Baru</v>
      </c>
      <c r="K373" s="285" t="str">
        <f>IFERROR(__xludf.DUMMYFUNCTION("""COMPUTED_VALUE"""),"3H2M opsi A")</f>
        <v>3H2M opsi A</v>
      </c>
      <c r="L373" s="287">
        <f>IFERROR(__xludf.DUMMYFUNCTION("""COMPUTED_VALUE"""),46249.0)</f>
        <v>46249</v>
      </c>
      <c r="M373" s="288">
        <f>IFERROR(__xludf.DUMMYFUNCTION("""COMPUTED_VALUE"""),2.0)</f>
        <v>2</v>
      </c>
      <c r="N373" s="289"/>
      <c r="O373" s="290" t="str">
        <f>IFERROR(__xludf.DUMMYFUNCTION("""COMPUTED_VALUE"""),"FU 2 Agustus")</f>
        <v>FU 2 Agustus</v>
      </c>
      <c r="P373" s="320"/>
      <c r="R373" s="285"/>
      <c r="S373" s="285"/>
      <c r="T373" s="285"/>
      <c r="U373" s="285"/>
      <c r="V373" s="285"/>
      <c r="W373" s="285"/>
      <c r="X373" s="285"/>
      <c r="Y373" s="285"/>
      <c r="Z373" s="285"/>
      <c r="AA373" s="285"/>
      <c r="AC373" s="285" t="str">
        <f>IFERROR(__xludf.DUMMYFUNCTION("""COMPUTED_VALUE"""),"2603D130")</f>
        <v>2603D130</v>
      </c>
      <c r="AD373" s="286">
        <f>IFERROR(__xludf.DUMMYFUNCTION("""COMPUTED_VALUE"""),46108.0)</f>
        <v>46108</v>
      </c>
      <c r="AE373" s="285" t="str">
        <f>IFERROR(__xludf.DUMMYFUNCTION("""COMPUTED_VALUE"""),"Fanny Nur Hidayah")</f>
        <v>Fanny Nur Hidayah</v>
      </c>
      <c r="AF373" s="285" t="str">
        <f>IFERROR(__xludf.DUMMYFUNCTION("""COMPUTED_VALUE"""),"085870662706")</f>
        <v>085870662706</v>
      </c>
      <c r="AG373" s="285" t="str">
        <f>IFERROR(__xludf.DUMMYFUNCTION("""COMPUTED_VALUE"""),"Gagal")</f>
        <v>Gagal</v>
      </c>
      <c r="AH373" s="285" t="str">
        <f>IFERROR(__xludf.DUMMYFUNCTION("""COMPUTED_VALUE"""),"3H2M")</f>
        <v>3H2M</v>
      </c>
      <c r="AI373" s="287"/>
      <c r="AJ373" s="285">
        <f>IFERROR(__xludf.DUMMYFUNCTION("""COMPUTED_VALUE"""),46115.0)</f>
        <v>46115</v>
      </c>
      <c r="AK373" s="289"/>
      <c r="AL373" s="285" t="str">
        <f>IFERROR(__xludf.DUMMYFUNCTION("""COMPUTED_VALUE"""),"tidakk balass")</f>
        <v>tidakk balass</v>
      </c>
    </row>
    <row r="374">
      <c r="F374" s="285" t="str">
        <f>IFERROR(__xludf.DUMMYFUNCTION("""COMPUTED_VALUE"""),"2607D174")</f>
        <v>2607D174</v>
      </c>
      <c r="G374" s="286">
        <f>IFERROR(__xludf.DUMMYFUNCTION("""COMPUTED_VALUE"""),46230.0)</f>
        <v>46230</v>
      </c>
      <c r="H374" s="285" t="str">
        <f>IFERROR(__xludf.DUMMYFUNCTION("""COMPUTED_VALUE"""),"Ridha Fatmasari")</f>
        <v>Ridha Fatmasari</v>
      </c>
      <c r="I374" s="285" t="str">
        <f>IFERROR(__xludf.DUMMYFUNCTION("""COMPUTED_VALUE"""),"085225230819")</f>
        <v>085225230819</v>
      </c>
      <c r="J374" s="285" t="str">
        <f>IFERROR(__xludf.DUMMYFUNCTION("""COMPUTED_VALUE"""),"Leads Baru")</f>
        <v>Leads Baru</v>
      </c>
      <c r="K374" s="285" t="str">
        <f>IFERROR(__xludf.DUMMYFUNCTION("""COMPUTED_VALUE"""),"OT MT")</f>
        <v>OT MT</v>
      </c>
      <c r="L374" s="287">
        <f>IFERROR(__xludf.DUMMYFUNCTION("""COMPUTED_VALUE"""),46250.0)</f>
        <v>46250</v>
      </c>
      <c r="M374" s="288">
        <f>IFERROR(__xludf.DUMMYFUNCTION("""COMPUTED_VALUE"""),4.0)</f>
        <v>4</v>
      </c>
      <c r="N374" s="289"/>
      <c r="O374" s="290" t="str">
        <f>IFERROR(__xludf.DUMMYFUNCTION("""COMPUTED_VALUE"""),"FU 30 Juli")</f>
        <v>FU 30 Juli</v>
      </c>
      <c r="P374" s="320"/>
      <c r="R374" s="285"/>
      <c r="S374" s="285"/>
      <c r="T374" s="285"/>
      <c r="U374" s="285"/>
      <c r="V374" s="285"/>
      <c r="W374" s="285"/>
      <c r="X374" s="285"/>
      <c r="Y374" s="285"/>
      <c r="Z374" s="285"/>
      <c r="AA374" s="285"/>
      <c r="AC374" s="285" t="str">
        <f>IFERROR(__xludf.DUMMYFUNCTION("""COMPUTED_VALUE"""),"2603D131")</f>
        <v>2603D131</v>
      </c>
      <c r="AD374" s="286">
        <f>IFERROR(__xludf.DUMMYFUNCTION("""COMPUTED_VALUE"""),46108.0)</f>
        <v>46108</v>
      </c>
      <c r="AE374" s="285" t="str">
        <f>IFERROR(__xludf.DUMMYFUNCTION("""COMPUTED_VALUE"""),"Eliza")</f>
        <v>Eliza</v>
      </c>
      <c r="AF374" s="285" t="str">
        <f>IFERROR(__xludf.DUMMYFUNCTION("""COMPUTED_VALUE"""),"085775530781")</f>
        <v>085775530781</v>
      </c>
      <c r="AG374" s="285" t="str">
        <f>IFERROR(__xludf.DUMMYFUNCTION("""COMPUTED_VALUE"""),"Gagal")</f>
        <v>Gagal</v>
      </c>
      <c r="AH374" s="285" t="str">
        <f>IFERROR(__xludf.DUMMYFUNCTION("""COMPUTED_VALUE"""),"open trip")</f>
        <v>open trip</v>
      </c>
      <c r="AI374" s="287"/>
      <c r="AJ374" s="285">
        <f>IFERROR(__xludf.DUMMYFUNCTION("""COMPUTED_VALUE"""),1.0)</f>
        <v>1</v>
      </c>
      <c r="AK374" s="289">
        <f>IFERROR(__xludf.DUMMYFUNCTION("""COMPUTED_VALUE"""),1600000.0)</f>
        <v>1600000</v>
      </c>
      <c r="AL374" s="285" t="str">
        <f>IFERROR(__xludf.DUMMYFUNCTION("""COMPUTED_VALUE"""),"tidak balas lagiii")</f>
        <v>tidak balas lagiii</v>
      </c>
    </row>
    <row r="375">
      <c r="F375" s="285" t="str">
        <f>IFERROR(__xludf.DUMMYFUNCTION("""COMPUTED_VALUE"""),"2602D024")</f>
        <v>2602D024</v>
      </c>
      <c r="G375" s="286">
        <f>IFERROR(__xludf.DUMMYFUNCTION("""COMPUTED_VALUE"""),46059.0)</f>
        <v>46059</v>
      </c>
      <c r="H375" s="285" t="str">
        <f>IFERROR(__xludf.DUMMYFUNCTION("""COMPUTED_VALUE"""),"Elfiniama")</f>
        <v>Elfiniama</v>
      </c>
      <c r="I375" s="285" t="str">
        <f>IFERROR(__xludf.DUMMYFUNCTION("""COMPUTED_VALUE"""),"081332159872")</f>
        <v>081332159872</v>
      </c>
      <c r="J375" s="285" t="str">
        <f>IFERROR(__xludf.DUMMYFUNCTION("""COMPUTED_VALUE"""),"Qualified")</f>
        <v>Qualified</v>
      </c>
      <c r="K375" s="285" t="str">
        <f>IFERROR(__xludf.DUMMYFUNCTION("""COMPUTED_VALUE"""),"2H1M")</f>
        <v>2H1M</v>
      </c>
      <c r="L375" s="287"/>
      <c r="M375" s="288">
        <f>IFERROR(__xludf.DUMMYFUNCTION("""COMPUTED_VALUE"""),14.0)</f>
        <v>14</v>
      </c>
      <c r="N375" s="289">
        <f>IFERROR(__xludf.DUMMYFUNCTION("""COMPUTED_VALUE"""),1.54E7)</f>
        <v>15400000</v>
      </c>
      <c r="O375" s="290" t="str">
        <f>IFERROR(__xludf.DUMMYFUNCTION("""COMPUTED_VALUE"""),"sudah FU ga baless")</f>
        <v>sudah FU ga baless</v>
      </c>
      <c r="P375" s="291" t="str">
        <f>IFERROR(__xludf.DUMMYFUNCTION("""COMPUTED_VALUE"""),"https://docs.google.com/document/d/1g9qkJm1JWRZnNc8K9G-Uxdkk8x_mBdqBJzs5XfY_eDA/edit?tab=t.0")</f>
        <v>https://docs.google.com/document/d/1g9qkJm1JWRZnNc8K9G-Uxdkk8x_mBdqBJzs5XfY_eDA/edit?tab=t.0</v>
      </c>
      <c r="R375" s="285"/>
      <c r="S375" s="285"/>
      <c r="T375" s="285"/>
      <c r="U375" s="285"/>
      <c r="V375" s="285"/>
      <c r="W375" s="285"/>
      <c r="X375" s="285"/>
      <c r="Y375" s="285"/>
      <c r="Z375" s="285"/>
      <c r="AA375" s="285"/>
      <c r="AC375" s="285" t="str">
        <f>IFERROR(__xludf.DUMMYFUNCTION("""COMPUTED_VALUE"""),"2603D132")</f>
        <v>2603D132</v>
      </c>
      <c r="AD375" s="286">
        <f>IFERROR(__xludf.DUMMYFUNCTION("""COMPUTED_VALUE"""),46108.0)</f>
        <v>46108</v>
      </c>
      <c r="AE375" s="285" t="str">
        <f>IFERROR(__xludf.DUMMYFUNCTION("""COMPUTED_VALUE"""),"Bahrul Ulum")</f>
        <v>Bahrul Ulum</v>
      </c>
      <c r="AF375" s="285" t="str">
        <f>IFERROR(__xludf.DUMMYFUNCTION("""COMPUTED_VALUE"""),"082226300034")</f>
        <v>082226300034</v>
      </c>
      <c r="AG375" s="285" t="str">
        <f>IFERROR(__xludf.DUMMYFUNCTION("""COMPUTED_VALUE"""),"Gagal")</f>
        <v>Gagal</v>
      </c>
      <c r="AH375" s="285" t="str">
        <f>IFERROR(__xludf.DUMMYFUNCTION("""COMPUTED_VALUE"""),"1d pulau merah")</f>
        <v>1d pulau merah</v>
      </c>
      <c r="AI375" s="287">
        <f>IFERROR(__xludf.DUMMYFUNCTION("""COMPUTED_VALUE"""),46109.0)</f>
        <v>46109</v>
      </c>
      <c r="AJ375" s="285">
        <f>IFERROR(__xludf.DUMMYFUNCTION("""COMPUTED_VALUE"""),4.0)</f>
        <v>4</v>
      </c>
      <c r="AK375" s="289">
        <f>IFERROR(__xludf.DUMMYFUNCTION("""COMPUTED_VALUE"""),1648000.0)</f>
        <v>1648000</v>
      </c>
      <c r="AL375" s="285" t="str">
        <f>IFERROR(__xludf.DUMMYFUNCTION("""COMPUTED_VALUE"""),"badan kecapekan")</f>
        <v>badan kecapekan</v>
      </c>
    </row>
    <row r="376">
      <c r="F376" s="285" t="str">
        <f>IFERROR(__xludf.DUMMYFUNCTION("""COMPUTED_VALUE"""),"2602D071")</f>
        <v>2602D071</v>
      </c>
      <c r="G376" s="286">
        <f>IFERROR(__xludf.DUMMYFUNCTION("""COMPUTED_VALUE"""),46070.0)</f>
        <v>46070</v>
      </c>
      <c r="H376" s="285" t="str">
        <f>IFERROR(__xludf.DUMMYFUNCTION("""COMPUTED_VALUE"""),"Miya")</f>
        <v>Miya</v>
      </c>
      <c r="I376" s="285" t="str">
        <f>IFERROR(__xludf.DUMMYFUNCTION("""COMPUTED_VALUE"""),"085712888702")</f>
        <v>085712888702</v>
      </c>
      <c r="J376" s="285" t="str">
        <f>IFERROR(__xludf.DUMMYFUNCTION("""COMPUTED_VALUE"""),"Qualified")</f>
        <v>Qualified</v>
      </c>
      <c r="K376" s="285" t="str">
        <f>IFERROR(__xludf.DUMMYFUNCTION("""COMPUTED_VALUE"""),"Tabuhan only")</f>
        <v>Tabuhan only</v>
      </c>
      <c r="L376" s="287"/>
      <c r="M376" s="288">
        <f>IFERROR(__xludf.DUMMYFUNCTION("""COMPUTED_VALUE"""),6.0)</f>
        <v>6</v>
      </c>
      <c r="N376" s="289">
        <f>IFERROR(__xludf.DUMMYFUNCTION("""COMPUTED_VALUE"""),5760000.0)</f>
        <v>5760000</v>
      </c>
      <c r="O376" s="290" t="str">
        <f>IFERROR(__xludf.DUMMYFUNCTION("""COMPUTED_VALUE"""),"follow up lagi 10 agustus")</f>
        <v>follow up lagi 10 agustus</v>
      </c>
      <c r="P376" s="291" t="str">
        <f>IFERROR(__xludf.DUMMYFUNCTION("""COMPUTED_VALUE"""),"https://docs.google.com/document/d/1HtzEQxfI4NIAUGVm294-5-2cYK9FJMhe8kG-q5hwniQ/edit?tab=t.0")</f>
        <v>https://docs.google.com/document/d/1HtzEQxfI4NIAUGVm294-5-2cYK9FJMhe8kG-q5hwniQ/edit?tab=t.0</v>
      </c>
      <c r="R376" s="285"/>
      <c r="S376" s="285"/>
      <c r="T376" s="285"/>
      <c r="U376" s="285"/>
      <c r="V376" s="285"/>
      <c r="W376" s="285"/>
      <c r="X376" s="285"/>
      <c r="Y376" s="285"/>
      <c r="Z376" s="285"/>
      <c r="AA376" s="285"/>
      <c r="AC376" s="285" t="str">
        <f>IFERROR(__xludf.DUMMYFUNCTION("""COMPUTED_VALUE"""),"2603D134")</f>
        <v>2603D134</v>
      </c>
      <c r="AD376" s="286">
        <f>IFERROR(__xludf.DUMMYFUNCTION("""COMPUTED_VALUE"""),46109.0)</f>
        <v>46109</v>
      </c>
      <c r="AE376" s="285" t="str">
        <f>IFERROR(__xludf.DUMMYFUNCTION("""COMPUTED_VALUE"""),"Yeni")</f>
        <v>Yeni</v>
      </c>
      <c r="AF376" s="285" t="str">
        <f>IFERROR(__xludf.DUMMYFUNCTION("""COMPUTED_VALUE"""),"083122244376")</f>
        <v>083122244376</v>
      </c>
      <c r="AG376" s="285" t="str">
        <f>IFERROR(__xludf.DUMMYFUNCTION("""COMPUTED_VALUE"""),"Gagal")</f>
        <v>Gagal</v>
      </c>
      <c r="AH376" s="285" t="str">
        <f>IFERROR(__xludf.DUMMYFUNCTION("""COMPUTED_VALUE"""),"Green Island")</f>
        <v>Green Island</v>
      </c>
      <c r="AI376" s="287">
        <f>IFERROR(__xludf.DUMMYFUNCTION("""COMPUTED_VALUE"""),46116.0)</f>
        <v>46116</v>
      </c>
      <c r="AJ376" s="285">
        <f>IFERROR(__xludf.DUMMYFUNCTION("""COMPUTED_VALUE"""),14.0)</f>
        <v>14</v>
      </c>
      <c r="AK376" s="289">
        <f>IFERROR(__xludf.DUMMYFUNCTION("""COMPUTED_VALUE"""),5950000.0)</f>
        <v>5950000</v>
      </c>
      <c r="AL376" s="285" t="str">
        <f>IFERROR(__xludf.DUMMYFUNCTION("""COMPUTED_VALUE"""),"belum jadi liburan")</f>
        <v>belum jadi liburan</v>
      </c>
    </row>
    <row r="377">
      <c r="F377" s="285" t="str">
        <f>IFERROR(__xludf.DUMMYFUNCTION("""COMPUTED_VALUE"""),"2602D081")</f>
        <v>2602D081</v>
      </c>
      <c r="G377" s="286">
        <f>IFERROR(__xludf.DUMMYFUNCTION("""COMPUTED_VALUE"""),46071.0)</f>
        <v>46071</v>
      </c>
      <c r="H377" s="285" t="str">
        <f>IFERROR(__xludf.DUMMYFUNCTION("""COMPUTED_VALUE"""),"Agustina")</f>
        <v>Agustina</v>
      </c>
      <c r="I377" s="285" t="str">
        <f>IFERROR(__xludf.DUMMYFUNCTION("""COMPUTED_VALUE"""),"0895367133459")</f>
        <v>0895367133459</v>
      </c>
      <c r="J377" s="285" t="str">
        <f>IFERROR(__xludf.DUMMYFUNCTION("""COMPUTED_VALUE"""),"Qualified")</f>
        <v>Qualified</v>
      </c>
      <c r="K377" s="285" t="str">
        <f>IFERROR(__xludf.DUMMYFUNCTION("""COMPUTED_VALUE"""),"2H1M C")</f>
        <v>2H1M C</v>
      </c>
      <c r="L377" s="287"/>
      <c r="M377" s="288">
        <f>IFERROR(__xludf.DUMMYFUNCTION("""COMPUTED_VALUE"""),2.0)</f>
        <v>2</v>
      </c>
      <c r="N377" s="289">
        <f>IFERROR(__xludf.DUMMYFUNCTION("""COMPUTED_VALUE"""),3000000.0)</f>
        <v>3000000</v>
      </c>
      <c r="O377" s="290" t="str">
        <f>IFERROR(__xludf.DUMMYFUNCTION("""COMPUTED_VALUE"""),"tanya-tanya untuk honeymoon, FU 3 Januari 2027")</f>
        <v>tanya-tanya untuk honeymoon, FU 3 Januari 2027</v>
      </c>
      <c r="P377" s="291" t="str">
        <f>IFERROR(__xludf.DUMMYFUNCTION("""COMPUTED_VALUE"""),"https://docs.google.com/document/d/1ZVM2nG5A0QpryZ7a7SN7THwKSatwlik4_oLgFDGnrHQ/edit?tab=t.0")</f>
        <v>https://docs.google.com/document/d/1ZVM2nG5A0QpryZ7a7SN7THwKSatwlik4_oLgFDGnrHQ/edit?tab=t.0</v>
      </c>
      <c r="R377" s="285"/>
      <c r="S377" s="285"/>
      <c r="T377" s="285"/>
      <c r="U377" s="285"/>
      <c r="V377" s="285"/>
      <c r="W377" s="285"/>
      <c r="X377" s="285"/>
      <c r="Y377" s="285"/>
      <c r="Z377" s="285"/>
      <c r="AA377" s="285"/>
      <c r="AC377" s="285" t="str">
        <f>IFERROR(__xludf.DUMMYFUNCTION("""COMPUTED_VALUE"""),"2603D135")</f>
        <v>2603D135</v>
      </c>
      <c r="AD377" s="286">
        <f>IFERROR(__xludf.DUMMYFUNCTION("""COMPUTED_VALUE"""),46109.0)</f>
        <v>46109</v>
      </c>
      <c r="AE377" s="285" t="str">
        <f>IFERROR(__xludf.DUMMYFUNCTION("""COMPUTED_VALUE"""),"Agus PT TIGA PUTRA MULTIKREASI")</f>
        <v>Agus PT TIGA PUTRA MULTIKREASI</v>
      </c>
      <c r="AF377" s="285" t="str">
        <f>IFERROR(__xludf.DUMMYFUNCTION("""COMPUTED_VALUE"""),"0818878398")</f>
        <v>0818878398</v>
      </c>
      <c r="AG377" s="285" t="str">
        <f>IFERROR(__xludf.DUMMYFUNCTION("""COMPUTED_VALUE"""),"Gagal")</f>
        <v>Gagal</v>
      </c>
      <c r="AH377" s="285" t="str">
        <f>IFERROR(__xludf.DUMMYFUNCTION("""COMPUTED_VALUE"""),"trip pantai hutan")</f>
        <v>trip pantai hutan</v>
      </c>
      <c r="AI377" s="287"/>
      <c r="AJ377" s="285">
        <f>IFERROR(__xludf.DUMMYFUNCTION("""COMPUTED_VALUE"""),7.0)</f>
        <v>7</v>
      </c>
      <c r="AK377" s="289"/>
      <c r="AL377" s="285" t="str">
        <f>IFERROR(__xludf.DUMMYFUNCTION("""COMPUTED_VALUE"""),"blm deal jadi ke bwi atau ke jogjal")</f>
        <v>blm deal jadi ke bwi atau ke jogjal</v>
      </c>
    </row>
    <row r="378">
      <c r="F378" s="285" t="str">
        <f>IFERROR(__xludf.DUMMYFUNCTION("""COMPUTED_VALUE"""),"2602D101")</f>
        <v>2602D101</v>
      </c>
      <c r="G378" s="286">
        <f>IFERROR(__xludf.DUMMYFUNCTION("""COMPUTED_VALUE"""),46076.0)</f>
        <v>46076</v>
      </c>
      <c r="H378" s="285" t="str">
        <f>IFERROR(__xludf.DUMMYFUNCTION("""COMPUTED_VALUE"""),"Moh Nur Faizi")</f>
        <v>Moh Nur Faizi</v>
      </c>
      <c r="I378" s="285" t="str">
        <f>IFERROR(__xludf.DUMMYFUNCTION("""COMPUTED_VALUE"""),"082338927839")</f>
        <v>082338927839</v>
      </c>
      <c r="J378" s="285" t="str">
        <f>IFERROR(__xludf.DUMMYFUNCTION("""COMPUTED_VALUE"""),"Qualified")</f>
        <v>Qualified</v>
      </c>
      <c r="K378" s="285" t="str">
        <f>IFERROR(__xludf.DUMMYFUNCTION("""COMPUTED_VALUE"""),"Menjangan Tabuhan")</f>
        <v>Menjangan Tabuhan</v>
      </c>
      <c r="L378" s="287"/>
      <c r="M378" s="288">
        <f>IFERROR(__xludf.DUMMYFUNCTION("""COMPUTED_VALUE"""),4.0)</f>
        <v>4</v>
      </c>
      <c r="N378" s="289">
        <f>IFERROR(__xludf.DUMMYFUNCTION("""COMPUTED_VALUE"""),2600000.0)</f>
        <v>2600000</v>
      </c>
      <c r="O378" s="290" t="str">
        <f>IFERROR(__xludf.DUMMYFUNCTION("""COMPUTED_VALUE"""),"nunggu uts, FU 5 Juni")</f>
        <v>nunggu uts, FU 5 Juni</v>
      </c>
      <c r="P378" s="291" t="str">
        <f>IFERROR(__xludf.DUMMYFUNCTION("""COMPUTED_VALUE"""),"https://docs.google.com/document/d/1QSjLqNBg4UULazz3KLHCdoUvo5_37rPn72UHRCLXC-U/edit?tab=t.0")</f>
        <v>https://docs.google.com/document/d/1QSjLqNBg4UULazz3KLHCdoUvo5_37rPn72UHRCLXC-U/edit?tab=t.0</v>
      </c>
      <c r="R378" s="285"/>
      <c r="S378" s="285"/>
      <c r="T378" s="285"/>
      <c r="U378" s="285"/>
      <c r="V378" s="285"/>
      <c r="W378" s="285"/>
      <c r="X378" s="285"/>
      <c r="Y378" s="285"/>
      <c r="Z378" s="285"/>
      <c r="AA378" s="285"/>
      <c r="AC378" s="285" t="str">
        <f>IFERROR(__xludf.DUMMYFUNCTION("""COMPUTED_VALUE"""),"2603D138")</f>
        <v>2603D138</v>
      </c>
      <c r="AD378" s="286">
        <f>IFERROR(__xludf.DUMMYFUNCTION("""COMPUTED_VALUE"""),46110.0)</f>
        <v>46110</v>
      </c>
      <c r="AE378" s="285" t="str">
        <f>IFERROR(__xludf.DUMMYFUNCTION("""COMPUTED_VALUE"""),"Faiza")</f>
        <v>Faiza</v>
      </c>
      <c r="AF378" s="285" t="str">
        <f>IFERROR(__xludf.DUMMYFUNCTION("""COMPUTED_VALUE"""),"08116720999")</f>
        <v>08116720999</v>
      </c>
      <c r="AG378" s="285" t="str">
        <f>IFERROR(__xludf.DUMMYFUNCTION("""COMPUTED_VALUE"""),"Gagal")</f>
        <v>Gagal</v>
      </c>
      <c r="AH378" s="285" t="str">
        <f>IFERROR(__xludf.DUMMYFUNCTION("""COMPUTED_VALUE"""),"Menjangan Tabuhan")</f>
        <v>Menjangan Tabuhan</v>
      </c>
      <c r="AI378" s="287">
        <f>IFERROR(__xludf.DUMMYFUNCTION("""COMPUTED_VALUE"""),46111.0)</f>
        <v>46111</v>
      </c>
      <c r="AJ378" s="285">
        <f>IFERROR(__xludf.DUMMYFUNCTION("""COMPUTED_VALUE"""),4.0)</f>
        <v>4</v>
      </c>
      <c r="AK378" s="289">
        <f>IFERROR(__xludf.DUMMYFUNCTION("""COMPUTED_VALUE"""),2000000.0)</f>
        <v>2000000</v>
      </c>
      <c r="AL378" s="285" t="str">
        <f>IFERROR(__xludf.DUMMYFUNCTION("""COMPUTED_VALUE"""),"orang tua sdh booking di tempat lain")</f>
        <v>orang tua sdh booking di tempat lain</v>
      </c>
    </row>
    <row r="379">
      <c r="F379" s="285" t="str">
        <f>IFERROR(__xludf.DUMMYFUNCTION("""COMPUTED_VALUE"""),"2602D105")</f>
        <v>2602D105</v>
      </c>
      <c r="G379" s="286">
        <f>IFERROR(__xludf.DUMMYFUNCTION("""COMPUTED_VALUE"""),46076.0)</f>
        <v>46076</v>
      </c>
      <c r="H379" s="285" t="str">
        <f>IFERROR(__xludf.DUMMYFUNCTION("""COMPUTED_VALUE"""),"abu (bylarostransportmalang)")</f>
        <v>abu (bylarostransportmalang)</v>
      </c>
      <c r="I379" s="285" t="str">
        <f>IFERROR(__xludf.DUMMYFUNCTION("""COMPUTED_VALUE"""),"082331542611")</f>
        <v>082331542611</v>
      </c>
      <c r="J379" s="285" t="str">
        <f>IFERROR(__xludf.DUMMYFUNCTION("""COMPUTED_VALUE"""),"Qualified")</f>
        <v>Qualified</v>
      </c>
      <c r="K379" s="285" t="str">
        <f>IFERROR(__xludf.DUMMYFUNCTION("""COMPUTED_VALUE"""),"2D1N")</f>
        <v>2D1N</v>
      </c>
      <c r="L379" s="287"/>
      <c r="M379" s="288">
        <f>IFERROR(__xludf.DUMMYFUNCTION("""COMPUTED_VALUE"""),3.0)</f>
        <v>3</v>
      </c>
      <c r="N379" s="289">
        <f>IFERROR(__xludf.DUMMYFUNCTION("""COMPUTED_VALUE"""),6150000.0)</f>
        <v>6150000</v>
      </c>
      <c r="O379" s="290" t="str">
        <f>IFERROR(__xludf.DUMMYFUNCTION("""COMPUTED_VALUE"""),"b2b, nunggu keputusan tamu mereka")</f>
        <v>b2b, nunggu keputusan tamu mereka</v>
      </c>
      <c r="P379" s="291" t="str">
        <f>IFERROR(__xludf.DUMMYFUNCTION("""COMPUTED_VALUE"""),"https://docs.google.com/document/d/1t4vXE490j6K036vvo7qtTwSiVZcwn_UGE-CkkPg7csw/edit?tab=t.0")</f>
        <v>https://docs.google.com/document/d/1t4vXE490j6K036vvo7qtTwSiVZcwn_UGE-CkkPg7csw/edit?tab=t.0</v>
      </c>
      <c r="R379" s="285"/>
      <c r="S379" s="285"/>
      <c r="T379" s="285"/>
      <c r="U379" s="285"/>
      <c r="V379" s="285"/>
      <c r="W379" s="285"/>
      <c r="X379" s="285"/>
      <c r="Y379" s="285"/>
      <c r="Z379" s="285"/>
      <c r="AA379" s="285"/>
      <c r="AC379" s="285" t="str">
        <f>IFERROR(__xludf.DUMMYFUNCTION("""COMPUTED_VALUE"""),"2603D139")</f>
        <v>2603D139</v>
      </c>
      <c r="AD379" s="286">
        <f>IFERROR(__xludf.DUMMYFUNCTION("""COMPUTED_VALUE"""),46110.0)</f>
        <v>46110</v>
      </c>
      <c r="AE379" s="285" t="str">
        <f>IFERROR(__xludf.DUMMYFUNCTION("""COMPUTED_VALUE"""),"tyak")</f>
        <v>tyak</v>
      </c>
      <c r="AF379" s="285" t="str">
        <f>IFERROR(__xludf.DUMMYFUNCTION("""COMPUTED_VALUE"""),"089681588980")</f>
        <v>089681588980</v>
      </c>
      <c r="AG379" s="285" t="str">
        <f>IFERROR(__xludf.DUMMYFUNCTION("""COMPUTED_VALUE"""),"Gagal")</f>
        <v>Gagal</v>
      </c>
      <c r="AH379" s="285"/>
      <c r="AI379" s="287"/>
      <c r="AJ379" s="285"/>
      <c r="AK379" s="289"/>
      <c r="AL379" s="285" t="str">
        <f>IFERROR(__xludf.DUMMYFUNCTION("""COMPUTED_VALUE"""),"tanya booking tiket kapal bwi-lombok")</f>
        <v>tanya booking tiket kapal bwi-lombok</v>
      </c>
    </row>
    <row r="380">
      <c r="F380" s="285" t="str">
        <f>IFERROR(__xludf.DUMMYFUNCTION("""COMPUTED_VALUE"""),"2602D114")</f>
        <v>2602D114</v>
      </c>
      <c r="G380" s="286">
        <f>IFERROR(__xludf.DUMMYFUNCTION("""COMPUTED_VALUE"""),46078.0)</f>
        <v>46078</v>
      </c>
      <c r="H380" s="285" t="str">
        <f>IFERROR(__xludf.DUMMYFUNCTION("""COMPUTED_VALUE"""),"liss")</f>
        <v>liss</v>
      </c>
      <c r="I380" s="285" t="str">
        <f>IFERROR(__xludf.DUMMYFUNCTION("""COMPUTED_VALUE"""),"60192927672")</f>
        <v>60192927672</v>
      </c>
      <c r="J380" s="285" t="str">
        <f>IFERROR(__xludf.DUMMYFUNCTION("""COMPUTED_VALUE"""),"Qualified")</f>
        <v>Qualified</v>
      </c>
      <c r="K380" s="285" t="str">
        <f>IFERROR(__xludf.DUMMYFUNCTION("""COMPUTED_VALUE"""),"3H2M opsi b")</f>
        <v>3H2M opsi b</v>
      </c>
      <c r="L380" s="287"/>
      <c r="M380" s="288">
        <f>IFERROR(__xludf.DUMMYFUNCTION("""COMPUTED_VALUE"""),6.0)</f>
        <v>6</v>
      </c>
      <c r="N380" s="289">
        <f>IFERROR(__xludf.DUMMYFUNCTION("""COMPUTED_VALUE"""),7614000.0)</f>
        <v>7614000</v>
      </c>
      <c r="O380" s="290" t="str">
        <f>IFERROR(__xludf.DUMMYFUNCTION("""COMPUTED_VALUE"""),"masih diskusi, FU lagi 10 Juni")</f>
        <v>masih diskusi, FU lagi 10 Juni</v>
      </c>
      <c r="P380" s="291" t="str">
        <f>IFERROR(__xludf.DUMMYFUNCTION("""COMPUTED_VALUE"""),"https://docs.google.com/document/d/1UAXijAIE_KgioMdFnpJ3o33NhFhbrC1JfbDxHDAOUvs/edit?tab=t.0")</f>
        <v>https://docs.google.com/document/d/1UAXijAIE_KgioMdFnpJ3o33NhFhbrC1JfbDxHDAOUvs/edit?tab=t.0</v>
      </c>
      <c r="R380" s="285"/>
      <c r="S380" s="285"/>
      <c r="T380" s="285"/>
      <c r="U380" s="285"/>
      <c r="V380" s="285"/>
      <c r="W380" s="285"/>
      <c r="X380" s="285"/>
      <c r="Y380" s="285"/>
      <c r="Z380" s="285"/>
      <c r="AA380" s="285"/>
      <c r="AC380" s="285" t="str">
        <f>IFERROR(__xludf.DUMMYFUNCTION("""COMPUTED_VALUE"""),"2603D144")</f>
        <v>2603D144</v>
      </c>
      <c r="AD380" s="286">
        <f>IFERROR(__xludf.DUMMYFUNCTION("""COMPUTED_VALUE"""),46111.0)</f>
        <v>46111</v>
      </c>
      <c r="AE380" s="285" t="str">
        <f>IFERROR(__xludf.DUMMYFUNCTION("""COMPUTED_VALUE"""),"Novita oktaviani")</f>
        <v>Novita oktaviani</v>
      </c>
      <c r="AF380" s="285" t="str">
        <f>IFERROR(__xludf.DUMMYFUNCTION("""COMPUTED_VALUE"""),"08895740103")</f>
        <v>08895740103</v>
      </c>
      <c r="AG380" s="285" t="str">
        <f>IFERROR(__xludf.DUMMYFUNCTION("""COMPUTED_VALUE"""),"Gagal")</f>
        <v>Gagal</v>
      </c>
      <c r="AH380" s="285" t="str">
        <f>IFERROR(__xludf.DUMMYFUNCTION("""COMPUTED_VALUE"""),"trip M,T")</f>
        <v>trip M,T</v>
      </c>
      <c r="AI380" s="287">
        <f>IFERROR(__xludf.DUMMYFUNCTION("""COMPUTED_VALUE"""),46161.0)</f>
        <v>46161</v>
      </c>
      <c r="AJ380" s="285">
        <f>IFERROR(__xludf.DUMMYFUNCTION("""COMPUTED_VALUE"""),2.0)</f>
        <v>2</v>
      </c>
      <c r="AK380" s="289">
        <f>IFERROR(__xludf.DUMMYFUNCTION("""COMPUTED_VALUE"""),2388000.0)</f>
        <v>2388000</v>
      </c>
      <c r="AL380" s="285" t="str">
        <f>IFERROR(__xludf.DUMMYFUNCTION("""COMPUTED_VALUE"""),"sudah dpt yg lain")</f>
        <v>sudah dpt yg lain</v>
      </c>
    </row>
    <row r="381">
      <c r="F381" s="285" t="str">
        <f>IFERROR(__xludf.DUMMYFUNCTION("""COMPUTED_VALUE"""),"2602D120")</f>
        <v>2602D120</v>
      </c>
      <c r="G381" s="286">
        <f>IFERROR(__xludf.DUMMYFUNCTION("""COMPUTED_VALUE"""),46079.0)</f>
        <v>46079</v>
      </c>
      <c r="H381" s="285" t="str">
        <f>IFERROR(__xludf.DUMMYFUNCTION("""COMPUTED_VALUE"""),"Santi")</f>
        <v>Santi</v>
      </c>
      <c r="I381" s="285" t="str">
        <f>IFERROR(__xludf.DUMMYFUNCTION("""COMPUTED_VALUE"""),"081215563222")</f>
        <v>081215563222</v>
      </c>
      <c r="J381" s="285" t="str">
        <f>IFERROR(__xludf.DUMMYFUNCTION("""COMPUTED_VALUE"""),"Qualified")</f>
        <v>Qualified</v>
      </c>
      <c r="K381" s="285" t="str">
        <f>IFERROR(__xludf.DUMMYFUNCTION("""COMPUTED_VALUE"""),"3H2M  custome")</f>
        <v>3H2M  custome</v>
      </c>
      <c r="L381" s="287"/>
      <c r="M381" s="288">
        <f>IFERROR(__xludf.DUMMYFUNCTION("""COMPUTED_VALUE"""),100.0)</f>
        <v>100</v>
      </c>
      <c r="N381" s="289">
        <f>IFERROR(__xludf.DUMMYFUNCTION("""COMPUTED_VALUE"""),2.0E8)</f>
        <v>200000000</v>
      </c>
      <c r="O381" s="290" t="str">
        <f>IFERROR(__xludf.DUMMYFUNCTION("""COMPUTED_VALUE"""),"FU 5 Januari 2027")</f>
        <v>FU 5 Januari 2027</v>
      </c>
      <c r="P381" s="291" t="str">
        <f>IFERROR(__xludf.DUMMYFUNCTION("""COMPUTED_VALUE"""),"https://docs.google.com/document/d/1PvCdXPMSknCW9u_KnjAgNv-i81OcgfcDq3tU7LVFf4c/edit?tab=t.0")</f>
        <v>https://docs.google.com/document/d/1PvCdXPMSknCW9u_KnjAgNv-i81OcgfcDq3tU7LVFf4c/edit?tab=t.0</v>
      </c>
      <c r="R381" s="285"/>
      <c r="S381" s="285"/>
      <c r="T381" s="285"/>
      <c r="U381" s="285"/>
      <c r="V381" s="285"/>
      <c r="W381" s="285"/>
      <c r="X381" s="285"/>
      <c r="Y381" s="285"/>
      <c r="Z381" s="285"/>
      <c r="AA381" s="285"/>
      <c r="AC381" s="285" t="str">
        <f>IFERROR(__xludf.DUMMYFUNCTION("""COMPUTED_VALUE"""),"2603D146")</f>
        <v>2603D146</v>
      </c>
      <c r="AD381" s="286">
        <f>IFERROR(__xludf.DUMMYFUNCTION("""COMPUTED_VALUE"""),46112.0)</f>
        <v>46112</v>
      </c>
      <c r="AE381" s="285" t="str">
        <f>IFERROR(__xludf.DUMMYFUNCTION("""COMPUTED_VALUE"""),"No name WNA")</f>
        <v>No name WNA</v>
      </c>
      <c r="AF381" s="285" t="str">
        <f>IFERROR(__xludf.DUMMYFUNCTION("""COMPUTED_VALUE"""),"33651287386")</f>
        <v>33651287386</v>
      </c>
      <c r="AG381" s="285" t="str">
        <f>IFERROR(__xludf.DUMMYFUNCTION("""COMPUTED_VALUE"""),"Gagal")</f>
        <v>Gagal</v>
      </c>
      <c r="AH381" s="285" t="str">
        <f>IFERROR(__xludf.DUMMYFUNCTION("""COMPUTED_VALUE"""),"1 day trip Ijen")</f>
        <v>1 day trip Ijen</v>
      </c>
      <c r="AI381" s="287">
        <f>IFERROR(__xludf.DUMMYFUNCTION("""COMPUTED_VALUE"""),46113.0)</f>
        <v>46113</v>
      </c>
      <c r="AJ381" s="285">
        <f>IFERROR(__xludf.DUMMYFUNCTION("""COMPUTED_VALUE"""),2.0)</f>
        <v>2</v>
      </c>
      <c r="AK381" s="289"/>
      <c r="AL381" s="285" t="str">
        <f>IFERROR(__xludf.DUMMYFUNCTION("""COMPUTED_VALUE"""),"tidak ada jawaban")</f>
        <v>tidak ada jawaban</v>
      </c>
    </row>
    <row r="382">
      <c r="F382" s="285" t="str">
        <f>IFERROR(__xludf.DUMMYFUNCTION("""COMPUTED_VALUE"""),"2603D019")</f>
        <v>2603D019</v>
      </c>
      <c r="G382" s="286">
        <f>IFERROR(__xludf.DUMMYFUNCTION("""COMPUTED_VALUE"""),46085.0)</f>
        <v>46085</v>
      </c>
      <c r="H382" s="285" t="str">
        <f>IFERROR(__xludf.DUMMYFUNCTION("""COMPUTED_VALUE"""),"Meii")</f>
        <v>Meii</v>
      </c>
      <c r="I382" s="285" t="str">
        <f>IFERROR(__xludf.DUMMYFUNCTION("""COMPUTED_VALUE"""),"085179707599")</f>
        <v>085179707599</v>
      </c>
      <c r="J382" s="285" t="str">
        <f>IFERROR(__xludf.DUMMYFUNCTION("""COMPUTED_VALUE"""),"Qualified")</f>
        <v>Qualified</v>
      </c>
      <c r="K382" s="285" t="str">
        <f>IFERROR(__xludf.DUMMYFUNCTION("""COMPUTED_VALUE"""),"Trip 4H3M")</f>
        <v>Trip 4H3M</v>
      </c>
      <c r="L382" s="287"/>
      <c r="M382" s="288">
        <f>IFERROR(__xludf.DUMMYFUNCTION("""COMPUTED_VALUE"""),4.0)</f>
        <v>4</v>
      </c>
      <c r="N382" s="289">
        <f>IFERROR(__xludf.DUMMYFUNCTION("""COMPUTED_VALUE"""),8460000.0)</f>
        <v>8460000</v>
      </c>
      <c r="O382" s="290" t="str">
        <f>IFERROR(__xludf.DUMMYFUNCTION("""COMPUTED_VALUE"""),"FU mendekati trip bulan Mei tanggal 28")</f>
        <v>FU mendekati trip bulan Mei tanggal 28</v>
      </c>
      <c r="P382" s="291" t="str">
        <f>IFERROR(__xludf.DUMMYFUNCTION("""COMPUTED_VALUE"""),"https://docs.google.com/document/d/1sXzMp55HHwyZhUaflDk_ynWTkd2LpN6_nVIFagYDum4/edit?tab=t.0")</f>
        <v>https://docs.google.com/document/d/1sXzMp55HHwyZhUaflDk_ynWTkd2LpN6_nVIFagYDum4/edit?tab=t.0</v>
      </c>
      <c r="R382" s="285"/>
      <c r="S382" s="285"/>
      <c r="T382" s="285"/>
      <c r="U382" s="285"/>
      <c r="V382" s="285"/>
      <c r="W382" s="285"/>
      <c r="X382" s="285"/>
      <c r="Y382" s="285"/>
      <c r="Z382" s="285"/>
      <c r="AA382" s="285"/>
      <c r="AC382" s="285" t="str">
        <f>IFERROR(__xludf.DUMMYFUNCTION("""COMPUTED_VALUE"""),"2604D001")</f>
        <v>2604D001</v>
      </c>
      <c r="AD382" s="286">
        <f>IFERROR(__xludf.DUMMYFUNCTION("""COMPUTED_VALUE"""),46113.0)</f>
        <v>46113</v>
      </c>
      <c r="AE382" s="285" t="str">
        <f>IFERROR(__xludf.DUMMYFUNCTION("""COMPUTED_VALUE"""),"Ald")</f>
        <v>Ald</v>
      </c>
      <c r="AF382" s="285" t="str">
        <f>IFERROR(__xludf.DUMMYFUNCTION("""COMPUTED_VALUE"""),"081221606458")</f>
        <v>081221606458</v>
      </c>
      <c r="AG382" s="285" t="str">
        <f>IFERROR(__xludf.DUMMYFUNCTION("""COMPUTED_VALUE"""),"Gagal")</f>
        <v>Gagal</v>
      </c>
      <c r="AH382" s="285" t="str">
        <f>IFERROR(__xludf.DUMMYFUNCTION("""COMPUTED_VALUE"""),"Trip alas purwo")</f>
        <v>Trip alas purwo</v>
      </c>
      <c r="AI382" s="287"/>
      <c r="AJ382" s="285">
        <f>IFERROR(__xludf.DUMMYFUNCTION("""COMPUTED_VALUE"""),2.0)</f>
        <v>2</v>
      </c>
      <c r="AK382" s="289">
        <f>IFERROR(__xludf.DUMMYFUNCTION("""COMPUTED_VALUE"""),1768000.0)</f>
        <v>1768000</v>
      </c>
      <c r="AL382" s="285" t="str">
        <f>IFERROR(__xludf.DUMMYFUNCTION("""COMPUTED_VALUE"""),"FU 1 Juni")</f>
        <v>FU 1 Juni</v>
      </c>
    </row>
    <row r="383">
      <c r="F383" s="285" t="str">
        <f>IFERROR(__xludf.DUMMYFUNCTION("""COMPUTED_VALUE"""),"2603D040")</f>
        <v>2603D040</v>
      </c>
      <c r="G383" s="286">
        <f>IFERROR(__xludf.DUMMYFUNCTION("""COMPUTED_VALUE"""),46089.0)</f>
        <v>46089</v>
      </c>
      <c r="H383" s="285" t="str">
        <f>IFERROR(__xludf.DUMMYFUNCTION("""COMPUTED_VALUE"""),"Aulia ")</f>
        <v>Aulia </v>
      </c>
      <c r="I383" s="285" t="str">
        <f>IFERROR(__xludf.DUMMYFUNCTION("""COMPUTED_VALUE"""),"085176745278")</f>
        <v>085176745278</v>
      </c>
      <c r="J383" s="285" t="str">
        <f>IFERROR(__xludf.DUMMYFUNCTION("""COMPUTED_VALUE"""),"Qualified")</f>
        <v>Qualified</v>
      </c>
      <c r="K383" s="285" t="str">
        <f>IFERROR(__xludf.DUMMYFUNCTION("""COMPUTED_VALUE"""),"OT 3H2M")</f>
        <v>OT 3H2M</v>
      </c>
      <c r="L383" s="287">
        <f>IFERROR(__xludf.DUMMYFUNCTION("""COMPUTED_VALUE"""),46179.0)</f>
        <v>46179</v>
      </c>
      <c r="M383" s="288">
        <f>IFERROR(__xludf.DUMMYFUNCTION("""COMPUTED_VALUE"""),2.0)</f>
        <v>2</v>
      </c>
      <c r="N383" s="289">
        <f>IFERROR(__xludf.DUMMYFUNCTION("""COMPUTED_VALUE"""),3200000.0)</f>
        <v>3200000</v>
      </c>
      <c r="O383" s="290" t="str">
        <f>IFERROR(__xludf.DUMMYFUNCTION("""COMPUTED_VALUE"""),"belum dibalas, FU 25  Mei")</f>
        <v>belum dibalas, FU 25  Mei</v>
      </c>
      <c r="P383" s="291" t="str">
        <f>IFERROR(__xludf.DUMMYFUNCTION("""COMPUTED_VALUE"""),"https://docs.google.com/document/d/1es5OHEvaDxyy_XrYins0EXSxtBFIKPer9jyDGHbAFhM/edit?tab=t.0")</f>
        <v>https://docs.google.com/document/d/1es5OHEvaDxyy_XrYins0EXSxtBFIKPer9jyDGHbAFhM/edit?tab=t.0</v>
      </c>
      <c r="R383" s="285"/>
      <c r="S383" s="285"/>
      <c r="T383" s="285"/>
      <c r="U383" s="285"/>
      <c r="V383" s="285"/>
      <c r="W383" s="285"/>
      <c r="X383" s="285"/>
      <c r="Y383" s="285"/>
      <c r="Z383" s="285"/>
      <c r="AA383" s="285"/>
      <c r="AC383" s="285" t="str">
        <f>IFERROR(__xludf.DUMMYFUNCTION("""COMPUTED_VALUE"""),"2604D002")</f>
        <v>2604D002</v>
      </c>
      <c r="AD383" s="286">
        <f>IFERROR(__xludf.DUMMYFUNCTION("""COMPUTED_VALUE"""),46113.0)</f>
        <v>46113</v>
      </c>
      <c r="AE383" s="285" t="str">
        <f>IFERROR(__xludf.DUMMYFUNCTION("""COMPUTED_VALUE"""),"Liaaa")</f>
        <v>Liaaa</v>
      </c>
      <c r="AF383" s="285" t="str">
        <f>IFERROR(__xludf.DUMMYFUNCTION("""COMPUTED_VALUE"""),"087834760295")</f>
        <v>087834760295</v>
      </c>
      <c r="AG383" s="285" t="str">
        <f>IFERROR(__xludf.DUMMYFUNCTION("""COMPUTED_VALUE"""),"Gagal")</f>
        <v>Gagal</v>
      </c>
      <c r="AH383" s="285" t="str">
        <f>IFERROR(__xludf.DUMMYFUNCTION("""COMPUTED_VALUE"""),"1d baluran djawatan")</f>
        <v>1d baluran djawatan</v>
      </c>
      <c r="AI383" s="287"/>
      <c r="AJ383" s="285">
        <f>IFERROR(__xludf.DUMMYFUNCTION("""COMPUTED_VALUE"""),2.0)</f>
        <v>2</v>
      </c>
      <c r="AK383" s="289">
        <f>IFERROR(__xludf.DUMMYFUNCTION("""COMPUTED_VALUE"""),1754000.0)</f>
        <v>1754000</v>
      </c>
      <c r="AL383" s="285" t="str">
        <f>IFERROR(__xludf.DUMMYFUNCTION("""COMPUTED_VALUE"""),"gajadi trip karena ada hal lain")</f>
        <v>gajadi trip karena ada hal lain</v>
      </c>
    </row>
    <row r="384">
      <c r="F384" s="285" t="str">
        <f>IFERROR(__xludf.DUMMYFUNCTION("""COMPUTED_VALUE"""),"2603D116")</f>
        <v>2603D116</v>
      </c>
      <c r="G384" s="286">
        <f>IFERROR(__xludf.DUMMYFUNCTION("""COMPUTED_VALUE"""),46105.0)</f>
        <v>46105</v>
      </c>
      <c r="H384" s="285" t="str">
        <f>IFERROR(__xludf.DUMMYFUNCTION("""COMPUTED_VALUE"""),"CC U&amp;I PRODUCT &amp; CONTRACTING (RUTH)")</f>
        <v>CC U&amp;I PRODUCT &amp; CONTRACTING (RUTH)</v>
      </c>
      <c r="I384" s="285" t="str">
        <f>IFERROR(__xludf.DUMMYFUNCTION("""COMPUTED_VALUE"""),"081519307720")</f>
        <v>081519307720</v>
      </c>
      <c r="J384" s="285" t="str">
        <f>IFERROR(__xludf.DUMMYFUNCTION("""COMPUTED_VALUE"""),"Qualified")</f>
        <v>Qualified</v>
      </c>
      <c r="K384" s="285" t="str">
        <f>IFERROR(__xludf.DUMMYFUNCTION("""COMPUTED_VALUE"""),"ijen")</f>
        <v>ijen</v>
      </c>
      <c r="L384" s="287"/>
      <c r="M384" s="288">
        <f>IFERROR(__xludf.DUMMYFUNCTION("""COMPUTED_VALUE"""),46083.0)</f>
        <v>46083</v>
      </c>
      <c r="N384" s="289">
        <f>IFERROR(__xludf.DUMMYFUNCTION("""COMPUTED_VALUE"""),2850000.0)</f>
        <v>2850000</v>
      </c>
      <c r="O384" s="290" t="str">
        <f>IFERROR(__xludf.DUMMYFUNCTION("""COMPUTED_VALUE"""),"fu 20 mei ")</f>
        <v>fu 20 mei </v>
      </c>
      <c r="P384" s="291" t="str">
        <f>IFERROR(__xludf.DUMMYFUNCTION("""COMPUTED_VALUE"""),"https://docs.google.com/document/d/1bWDLC_S1dDdqUJIl6l8SadiOJ_wEc2KGgd1yRhuL91c/edit?tab=t.0")</f>
        <v>https://docs.google.com/document/d/1bWDLC_S1dDdqUJIl6l8SadiOJ_wEc2KGgd1yRhuL91c/edit?tab=t.0</v>
      </c>
      <c r="R384" s="285"/>
      <c r="S384" s="285"/>
      <c r="T384" s="285"/>
      <c r="U384" s="285"/>
      <c r="V384" s="285"/>
      <c r="W384" s="285"/>
      <c r="X384" s="285"/>
      <c r="Y384" s="285"/>
      <c r="Z384" s="285"/>
      <c r="AA384" s="285"/>
      <c r="AC384" s="285" t="str">
        <f>IFERROR(__xludf.DUMMYFUNCTION("""COMPUTED_VALUE"""),"2604D004")</f>
        <v>2604D004</v>
      </c>
      <c r="AD384" s="286">
        <f>IFERROR(__xludf.DUMMYFUNCTION("""COMPUTED_VALUE"""),46114.0)</f>
        <v>46114</v>
      </c>
      <c r="AE384" s="285" t="str">
        <f>IFERROR(__xludf.DUMMYFUNCTION("""COMPUTED_VALUE"""),"Jihan sulistiana")</f>
        <v>Jihan sulistiana</v>
      </c>
      <c r="AF384" s="285" t="str">
        <f>IFERROR(__xludf.DUMMYFUNCTION("""COMPUTED_VALUE"""),"081586769984")</f>
        <v>081586769984</v>
      </c>
      <c r="AG384" s="285" t="str">
        <f>IFERROR(__xludf.DUMMYFUNCTION("""COMPUTED_VALUE"""),"Gagal")</f>
        <v>Gagal</v>
      </c>
      <c r="AH384" s="285" t="str">
        <f>IFERROR(__xludf.DUMMYFUNCTION("""COMPUTED_VALUE"""),"OT 3H2M")</f>
        <v>OT 3H2M</v>
      </c>
      <c r="AI384" s="287">
        <f>IFERROR(__xludf.DUMMYFUNCTION("""COMPUTED_VALUE"""),46126.0)</f>
        <v>46126</v>
      </c>
      <c r="AJ384" s="285">
        <f>IFERROR(__xludf.DUMMYFUNCTION("""COMPUTED_VALUE"""),2.0)</f>
        <v>2</v>
      </c>
      <c r="AK384" s="289">
        <f>IFERROR(__xludf.DUMMYFUNCTION("""COMPUTED_VALUE"""),3200000.0)</f>
        <v>3200000</v>
      </c>
      <c r="AL384" s="285" t="str">
        <f>IFERROR(__xludf.DUMMYFUNCTION("""COMPUTED_VALUE"""),"lewat tgl, FU tidak di balas")</f>
        <v>lewat tgl, FU tidak di balas</v>
      </c>
    </row>
    <row r="385">
      <c r="F385" s="285" t="str">
        <f>IFERROR(__xludf.DUMMYFUNCTION("""COMPUTED_VALUE"""),"2603D140")</f>
        <v>2603D140</v>
      </c>
      <c r="G385" s="286">
        <f>IFERROR(__xludf.DUMMYFUNCTION("""COMPUTED_VALUE"""),46111.0)</f>
        <v>46111</v>
      </c>
      <c r="H385" s="285" t="str">
        <f>IFERROR(__xludf.DUMMYFUNCTION("""COMPUTED_VALUE"""),"Eka_NS")</f>
        <v>Eka_NS</v>
      </c>
      <c r="I385" s="285" t="str">
        <f>IFERROR(__xludf.DUMMYFUNCTION("""COMPUTED_VALUE"""),"08569012365")</f>
        <v>08569012365</v>
      </c>
      <c r="J385" s="285" t="str">
        <f>IFERROR(__xludf.DUMMYFUNCTION("""COMPUTED_VALUE"""),"Qualified")</f>
        <v>Qualified</v>
      </c>
      <c r="K385" s="285" t="str">
        <f>IFERROR(__xludf.DUMMYFUNCTION("""COMPUTED_VALUE"""),"4H3M")</f>
        <v>4H3M</v>
      </c>
      <c r="L385" s="287">
        <f>IFERROR(__xludf.DUMMYFUNCTION("""COMPUTED_VALUE"""),46187.0)</f>
        <v>46187</v>
      </c>
      <c r="M385" s="288">
        <f>IFERROR(__xludf.DUMMYFUNCTION("""COMPUTED_VALUE"""),25.0)</f>
        <v>25</v>
      </c>
      <c r="N385" s="289">
        <f>IFERROR(__xludf.DUMMYFUNCTION("""COMPUTED_VALUE"""),2.75E7)</f>
        <v>27500000</v>
      </c>
      <c r="O385" s="290" t="str">
        <f>IFERROR(__xludf.DUMMYFUNCTION("""COMPUTED_VALUE"""),"FU 1 juni")</f>
        <v>FU 1 juni</v>
      </c>
      <c r="P385" s="291" t="str">
        <f>IFERROR(__xludf.DUMMYFUNCTION("""COMPUTED_VALUE"""),"https://docs.google.com/document/d/1b_RgaW-9UCNiTM50ldow1WNLeivh6w_tgiWEEs0Lkg4/edit?tab=t.0")</f>
        <v>https://docs.google.com/document/d/1b_RgaW-9UCNiTM50ldow1WNLeivh6w_tgiWEEs0Lkg4/edit?tab=t.0</v>
      </c>
      <c r="R385" s="285"/>
      <c r="S385" s="285"/>
      <c r="T385" s="285"/>
      <c r="U385" s="285"/>
      <c r="V385" s="285"/>
      <c r="W385" s="285"/>
      <c r="X385" s="285"/>
      <c r="Y385" s="285"/>
      <c r="Z385" s="285"/>
      <c r="AA385" s="285"/>
      <c r="AC385" s="285" t="str">
        <f>IFERROR(__xludf.DUMMYFUNCTION("""COMPUTED_VALUE"""),"2604D005")</f>
        <v>2604D005</v>
      </c>
      <c r="AD385" s="286">
        <f>IFERROR(__xludf.DUMMYFUNCTION("""COMPUTED_VALUE"""),46114.0)</f>
        <v>46114</v>
      </c>
      <c r="AE385" s="285" t="str">
        <f>IFERROR(__xludf.DUMMYFUNCTION("""COMPUTED_VALUE"""),"Karol")</f>
        <v>Karol</v>
      </c>
      <c r="AF385" s="285" t="str">
        <f>IFERROR(__xludf.DUMMYFUNCTION("""COMPUTED_VALUE"""),"48601515259")</f>
        <v>48601515259</v>
      </c>
      <c r="AG385" s="285" t="str">
        <f>IFERROR(__xludf.DUMMYFUNCTION("""COMPUTED_VALUE"""),"Gagal")</f>
        <v>Gagal</v>
      </c>
      <c r="AH385" s="285" t="str">
        <f>IFERROR(__xludf.DUMMYFUNCTION("""COMPUTED_VALUE"""),"trip Ijen")</f>
        <v>trip Ijen</v>
      </c>
      <c r="AI385" s="287"/>
      <c r="AJ385" s="285">
        <f>IFERROR(__xludf.DUMMYFUNCTION("""COMPUTED_VALUE"""),2.0)</f>
        <v>2</v>
      </c>
      <c r="AK385" s="289"/>
      <c r="AL385" s="285" t="str">
        <f>IFERROR(__xludf.DUMMYFUNCTION("""COMPUTED_VALUE"""),"gajadiiii")</f>
        <v>gajadiiii</v>
      </c>
    </row>
    <row r="386">
      <c r="F386" s="285" t="str">
        <f>IFERROR(__xludf.DUMMYFUNCTION("""COMPUTED_VALUE"""),"2603D148")</f>
        <v>2603D148</v>
      </c>
      <c r="G386" s="286">
        <f>IFERROR(__xludf.DUMMYFUNCTION("""COMPUTED_VALUE"""),46112.0)</f>
        <v>46112</v>
      </c>
      <c r="H386" s="285" t="str">
        <f>IFERROR(__xludf.DUMMYFUNCTION("""COMPUTED_VALUE"""),"Neta")</f>
        <v>Neta</v>
      </c>
      <c r="I386" s="285" t="str">
        <f>IFERROR(__xludf.DUMMYFUNCTION("""COMPUTED_VALUE"""),"082120112988")</f>
        <v>082120112988</v>
      </c>
      <c r="J386" s="285" t="str">
        <f>IFERROR(__xludf.DUMMYFUNCTION("""COMPUTED_VALUE"""),"Qualified")</f>
        <v>Qualified</v>
      </c>
      <c r="K386" s="285" t="str">
        <f>IFERROR(__xludf.DUMMYFUNCTION("""COMPUTED_VALUE"""),"3h2m opsi a")</f>
        <v>3h2m opsi a</v>
      </c>
      <c r="L386" s="287"/>
      <c r="M386" s="288">
        <f>IFERROR(__xludf.DUMMYFUNCTION("""COMPUTED_VALUE"""),4.0)</f>
        <v>4</v>
      </c>
      <c r="N386" s="289">
        <f>IFERROR(__xludf.DUMMYFUNCTION("""COMPUTED_VALUE"""),6808000.0)</f>
        <v>6808000</v>
      </c>
      <c r="O386" s="290" t="str">
        <f>IFERROR(__xludf.DUMMYFUNCTION("""COMPUTED_VALUE"""),"fu 1 juni")</f>
        <v>fu 1 juni</v>
      </c>
      <c r="P386" s="291" t="str">
        <f>IFERROR(__xludf.DUMMYFUNCTION("""COMPUTED_VALUE"""),"https://docs.google.com/document/d/1zPw8Zfr98kjQUxz1f9zZYGpikX0vPV5fNylvqLkLIGI/edit?tab=t.0")</f>
        <v>https://docs.google.com/document/d/1zPw8Zfr98kjQUxz1f9zZYGpikX0vPV5fNylvqLkLIGI/edit?tab=t.0</v>
      </c>
      <c r="R386" s="285"/>
      <c r="S386" s="285"/>
      <c r="T386" s="285"/>
      <c r="U386" s="285"/>
      <c r="V386" s="285"/>
      <c r="W386" s="285"/>
      <c r="X386" s="285"/>
      <c r="Y386" s="285"/>
      <c r="Z386" s="285"/>
      <c r="AA386" s="285"/>
      <c r="AC386" s="285" t="str">
        <f>IFERROR(__xludf.DUMMYFUNCTION("""COMPUTED_VALUE"""),"2604D006")</f>
        <v>2604D006</v>
      </c>
      <c r="AD386" s="286">
        <f>IFERROR(__xludf.DUMMYFUNCTION("""COMPUTED_VALUE"""),46115.0)</f>
        <v>46115</v>
      </c>
      <c r="AE386" s="285" t="str">
        <f>IFERROR(__xludf.DUMMYFUNCTION("""COMPUTED_VALUE"""),"May")</f>
        <v>May</v>
      </c>
      <c r="AF386" s="285" t="str">
        <f>IFERROR(__xludf.DUMMYFUNCTION("""COMPUTED_VALUE"""),"082142822692")</f>
        <v>082142822692</v>
      </c>
      <c r="AG386" s="285" t="str">
        <f>IFERROR(__xludf.DUMMYFUNCTION("""COMPUTED_VALUE"""),"Gagal")</f>
        <v>Gagal</v>
      </c>
      <c r="AH386" s="285" t="str">
        <f>IFERROR(__xludf.DUMMYFUNCTION("""COMPUTED_VALUE"""),"trip pulau bedil")</f>
        <v>trip pulau bedil</v>
      </c>
      <c r="AI386" s="287"/>
      <c r="AJ386" s="285">
        <f>IFERROR(__xludf.DUMMYFUNCTION("""COMPUTED_VALUE"""),1.0)</f>
        <v>1</v>
      </c>
      <c r="AK386" s="289">
        <f>IFERROR(__xludf.DUMMYFUNCTION("""COMPUTED_VALUE"""),1194000.0)</f>
        <v>1194000</v>
      </c>
      <c r="AL386" s="285" t="str">
        <f>IFERROR(__xludf.DUMMYFUNCTION("""COMPUTED_VALUE"""),"tidakk balass")</f>
        <v>tidakk balass</v>
      </c>
    </row>
    <row r="387">
      <c r="F387" s="285" t="str">
        <f>IFERROR(__xludf.DUMMYFUNCTION("""COMPUTED_VALUE"""),"2604D019")</f>
        <v>2604D019</v>
      </c>
      <c r="G387" s="286">
        <f>IFERROR(__xludf.DUMMYFUNCTION("""COMPUTED_VALUE"""),46117.0)</f>
        <v>46117</v>
      </c>
      <c r="H387" s="285" t="str">
        <f>IFERROR(__xludf.DUMMYFUNCTION("""COMPUTED_VALUE"""),"Anggun")</f>
        <v>Anggun</v>
      </c>
      <c r="I387" s="285" t="str">
        <f>IFERROR(__xludf.DUMMYFUNCTION("""COMPUTED_VALUE"""),"081259961730")</f>
        <v>081259961730</v>
      </c>
      <c r="J387" s="285" t="str">
        <f>IFERROR(__xludf.DUMMYFUNCTION("""COMPUTED_VALUE"""),"Qualified")</f>
        <v>Qualified</v>
      </c>
      <c r="K387" s="285" t="str">
        <f>IFERROR(__xludf.DUMMYFUNCTION("""COMPUTED_VALUE"""),"2H1M custome")</f>
        <v>2H1M custome</v>
      </c>
      <c r="L387" s="287"/>
      <c r="M387" s="288">
        <f>IFERROR(__xludf.DUMMYFUNCTION("""COMPUTED_VALUE"""),3.0)</f>
        <v>3</v>
      </c>
      <c r="N387" s="289">
        <f>IFERROR(__xludf.DUMMYFUNCTION("""COMPUTED_VALUE"""),5991000.0)</f>
        <v>5991000</v>
      </c>
      <c r="O387" s="290" t="str">
        <f>IFERROR(__xludf.DUMMYFUNCTION("""COMPUTED_VALUE"""),"FU 1 Juni")</f>
        <v>FU 1 Juni</v>
      </c>
      <c r="P387" s="291" t="str">
        <f>IFERROR(__xludf.DUMMYFUNCTION("""COMPUTED_VALUE"""),"https://docs.google.com/document/d/1Q2JSvqPvvAFnjlutBohyWwKn1mwjm4gvVKyx99SgLfU/edit?tab=t.0")</f>
        <v>https://docs.google.com/document/d/1Q2JSvqPvvAFnjlutBohyWwKn1mwjm4gvVKyx99SgLfU/edit?tab=t.0</v>
      </c>
      <c r="R387" s="285"/>
      <c r="S387" s="285"/>
      <c r="T387" s="285"/>
      <c r="U387" s="285"/>
      <c r="V387" s="285"/>
      <c r="W387" s="285"/>
      <c r="X387" s="285"/>
      <c r="Y387" s="285"/>
      <c r="Z387" s="285"/>
      <c r="AA387" s="285"/>
      <c r="AC387" s="285" t="str">
        <f>IFERROR(__xludf.DUMMYFUNCTION("""COMPUTED_VALUE"""),"2604D007")</f>
        <v>2604D007</v>
      </c>
      <c r="AD387" s="286">
        <f>IFERROR(__xludf.DUMMYFUNCTION("""COMPUTED_VALUE"""),46115.0)</f>
        <v>46115</v>
      </c>
      <c r="AE387" s="285" t="str">
        <f>IFERROR(__xludf.DUMMYFUNCTION("""COMPUTED_VALUE"""),"Maooo")</f>
        <v>Maooo</v>
      </c>
      <c r="AF387" s="285" t="str">
        <f>IFERROR(__xludf.DUMMYFUNCTION("""COMPUTED_VALUE"""),"083822875840")</f>
        <v>083822875840</v>
      </c>
      <c r="AG387" s="285" t="str">
        <f>IFERROR(__xludf.DUMMYFUNCTION("""COMPUTED_VALUE"""),"Gagal")</f>
        <v>Gagal</v>
      </c>
      <c r="AH387" s="285" t="str">
        <f>IFERROR(__xludf.DUMMYFUNCTION("""COMPUTED_VALUE"""),"1 day pulau bedil")</f>
        <v>1 day pulau bedil</v>
      </c>
      <c r="AI387" s="287">
        <f>IFERROR(__xludf.DUMMYFUNCTION("""COMPUTED_VALUE"""),46131.0)</f>
        <v>46131</v>
      </c>
      <c r="AJ387" s="285">
        <f>IFERROR(__xludf.DUMMYFUNCTION("""COMPUTED_VALUE"""),1.0)</f>
        <v>1</v>
      </c>
      <c r="AK387" s="289"/>
      <c r="AL387" s="285" t="str">
        <f>IFERROR(__xludf.DUMMYFUNCTION("""COMPUTED_VALUE"""),"sudah FU tidak balass")</f>
        <v>sudah FU tidak balass</v>
      </c>
    </row>
    <row r="388">
      <c r="F388" s="285" t="str">
        <f>IFERROR(__xludf.DUMMYFUNCTION("""COMPUTED_VALUE"""),"2604D062")</f>
        <v>2604D062</v>
      </c>
      <c r="G388" s="286">
        <f>IFERROR(__xludf.DUMMYFUNCTION("""COMPUTED_VALUE"""),46124.0)</f>
        <v>46124</v>
      </c>
      <c r="H388" s="285" t="str">
        <f>IFERROR(__xludf.DUMMYFUNCTION("""COMPUTED_VALUE"""),"Awinda Dyah Paraswati")</f>
        <v>Awinda Dyah Paraswati</v>
      </c>
      <c r="I388" s="285" t="str">
        <f>IFERROR(__xludf.DUMMYFUNCTION("""COMPUTED_VALUE"""),"081334443328")</f>
        <v>081334443328</v>
      </c>
      <c r="J388" s="285" t="str">
        <f>IFERROR(__xludf.DUMMYFUNCTION("""COMPUTED_VALUE"""),"Qualified")</f>
        <v>Qualified</v>
      </c>
      <c r="K388" s="285" t="str">
        <f>IFERROR(__xludf.DUMMYFUNCTION("""COMPUTED_VALUE"""),"private trip ijen baluran")</f>
        <v>private trip ijen baluran</v>
      </c>
      <c r="L388" s="287"/>
      <c r="M388" s="288">
        <f>IFERROR(__xludf.DUMMYFUNCTION("""COMPUTED_VALUE"""),2.0)</f>
        <v>2</v>
      </c>
      <c r="N388" s="289">
        <f>IFERROR(__xludf.DUMMYFUNCTION("""COMPUTED_VALUE"""),1960000.0)</f>
        <v>1960000</v>
      </c>
      <c r="O388" s="290" t="str">
        <f>IFERROR(__xludf.DUMMYFUNCTION("""COMPUTED_VALUE"""),"memastikan jadwal dulu, minta di FU lagi 5 Juli")</f>
        <v>memastikan jadwal dulu, minta di FU lagi 5 Juli</v>
      </c>
      <c r="P388" s="291" t="str">
        <f>IFERROR(__xludf.DUMMYFUNCTION("""COMPUTED_VALUE"""),"https://docs.google.com/document/d/1xVbH47ibZ9li1jq8nP-jxwgBDVPbB6K58Z0g10KOPr8/edit?tab=t.0")</f>
        <v>https://docs.google.com/document/d/1xVbH47ibZ9li1jq8nP-jxwgBDVPbB6K58Z0g10KOPr8/edit?tab=t.0</v>
      </c>
      <c r="R388" s="285"/>
      <c r="S388" s="285"/>
      <c r="T388" s="285"/>
      <c r="U388" s="285"/>
      <c r="V388" s="285"/>
      <c r="W388" s="285"/>
      <c r="X388" s="285"/>
      <c r="Y388" s="285"/>
      <c r="Z388" s="285"/>
      <c r="AA388" s="285"/>
      <c r="AC388" s="285" t="str">
        <f>IFERROR(__xludf.DUMMYFUNCTION("""COMPUTED_VALUE"""),"2604D008")</f>
        <v>2604D008</v>
      </c>
      <c r="AD388" s="286">
        <f>IFERROR(__xludf.DUMMYFUNCTION("""COMPUTED_VALUE"""),46115.0)</f>
        <v>46115</v>
      </c>
      <c r="AE388" s="285" t="str">
        <f>IFERROR(__xludf.DUMMYFUNCTION("""COMPUTED_VALUE"""),"Nabila")</f>
        <v>Nabila</v>
      </c>
      <c r="AF388" s="285" t="str">
        <f>IFERROR(__xludf.DUMMYFUNCTION("""COMPUTED_VALUE"""),"087724193982")</f>
        <v>087724193982</v>
      </c>
      <c r="AG388" s="285" t="str">
        <f>IFERROR(__xludf.DUMMYFUNCTION("""COMPUTED_VALUE"""),"Gagal")</f>
        <v>Gagal</v>
      </c>
      <c r="AH388" s="285" t="str">
        <f>IFERROR(__xludf.DUMMYFUNCTION("""COMPUTED_VALUE"""),"OT Ijen")</f>
        <v>OT Ijen</v>
      </c>
      <c r="AI388" s="287">
        <f>IFERROR(__xludf.DUMMYFUNCTION("""COMPUTED_VALUE"""),46121.0)</f>
        <v>46121</v>
      </c>
      <c r="AJ388" s="285">
        <f>IFERROR(__xludf.DUMMYFUNCTION("""COMPUTED_VALUE"""),1.0)</f>
        <v>1</v>
      </c>
      <c r="AK388" s="289">
        <f>IFERROR(__xludf.DUMMYFUNCTION("""COMPUTED_VALUE"""),250000.0)</f>
        <v>250000</v>
      </c>
      <c r="AL388" s="285" t="str">
        <f>IFERROR(__xludf.DUMMYFUNCTION("""COMPUTED_VALUE"""),"lewat tgl")</f>
        <v>lewat tgl</v>
      </c>
    </row>
    <row r="389">
      <c r="F389" s="285" t="str">
        <f>IFERROR(__xludf.DUMMYFUNCTION("""COMPUTED_VALUE"""),"2604D064")</f>
        <v>2604D064</v>
      </c>
      <c r="G389" s="286">
        <f>IFERROR(__xludf.DUMMYFUNCTION("""COMPUTED_VALUE"""),46125.0)</f>
        <v>46125</v>
      </c>
      <c r="H389" s="285" t="str">
        <f>IFERROR(__xludf.DUMMYFUNCTION("""COMPUTED_VALUE"""),"Karina Wiyanda ")</f>
        <v>Karina Wiyanda </v>
      </c>
      <c r="I389" s="285" t="str">
        <f>IFERROR(__xludf.DUMMYFUNCTION("""COMPUTED_VALUE"""),"081226153369")</f>
        <v>081226153369</v>
      </c>
      <c r="J389" s="285" t="str">
        <f>IFERROR(__xludf.DUMMYFUNCTION("""COMPUTED_VALUE"""),"Qualified")</f>
        <v>Qualified</v>
      </c>
      <c r="K389" s="285" t="str">
        <f>IFERROR(__xludf.DUMMYFUNCTION("""COMPUTED_VALUE"""),"1 day Ijen, Djawatan")</f>
        <v>1 day Ijen, Djawatan</v>
      </c>
      <c r="L389" s="287"/>
      <c r="M389" s="288">
        <f>IFERROR(__xludf.DUMMYFUNCTION("""COMPUTED_VALUE"""),3.0)</f>
        <v>3</v>
      </c>
      <c r="N389" s="289">
        <f>IFERROR(__xludf.DUMMYFUNCTION("""COMPUTED_VALUE"""),2067000.0)</f>
        <v>2067000</v>
      </c>
      <c r="O389" s="290" t="str">
        <f>IFERROR(__xludf.DUMMYFUNCTION("""COMPUTED_VALUE"""),"FU lagi 4 Juni")</f>
        <v>FU lagi 4 Juni</v>
      </c>
      <c r="P389" s="291" t="str">
        <f>IFERROR(__xludf.DUMMYFUNCTION("""COMPUTED_VALUE"""),"https://docs.google.com/document/d/1Jb5ymGjxU3kv79KarXQZYoP7hpF7VeAki-qGiuF0b8o/edit?tab=t.0")</f>
        <v>https://docs.google.com/document/d/1Jb5ymGjxU3kv79KarXQZYoP7hpF7VeAki-qGiuF0b8o/edit?tab=t.0</v>
      </c>
      <c r="R389" s="285"/>
      <c r="S389" s="285"/>
      <c r="T389" s="285"/>
      <c r="U389" s="285"/>
      <c r="V389" s="285"/>
      <c r="W389" s="285"/>
      <c r="X389" s="285"/>
      <c r="Y389" s="285"/>
      <c r="Z389" s="285"/>
      <c r="AA389" s="285"/>
      <c r="AC389" s="285" t="str">
        <f>IFERROR(__xludf.DUMMYFUNCTION("""COMPUTED_VALUE"""),"2604D009")</f>
        <v>2604D009</v>
      </c>
      <c r="AD389" s="286">
        <f>IFERROR(__xludf.DUMMYFUNCTION("""COMPUTED_VALUE"""),46115.0)</f>
        <v>46115</v>
      </c>
      <c r="AE389" s="285" t="str">
        <f>IFERROR(__xludf.DUMMYFUNCTION("""COMPUTED_VALUE"""),"Din")</f>
        <v>Din</v>
      </c>
      <c r="AF389" s="285" t="str">
        <f>IFERROR(__xludf.DUMMYFUNCTION("""COMPUTED_VALUE"""),"081217601281")</f>
        <v>081217601281</v>
      </c>
      <c r="AG389" s="285" t="str">
        <f>IFERROR(__xludf.DUMMYFUNCTION("""COMPUTED_VALUE"""),"Gagal")</f>
        <v>Gagal</v>
      </c>
      <c r="AH389" s="285" t="str">
        <f>IFERROR(__xludf.DUMMYFUNCTION("""COMPUTED_VALUE"""),"OT menjangan tabuhan")</f>
        <v>OT menjangan tabuhan</v>
      </c>
      <c r="AI389" s="287">
        <f>IFERROR(__xludf.DUMMYFUNCTION("""COMPUTED_VALUE"""),46144.0)</f>
        <v>46144</v>
      </c>
      <c r="AJ389" s="285">
        <f>IFERROR(__xludf.DUMMYFUNCTION("""COMPUTED_VALUE"""),3.0)</f>
        <v>3</v>
      </c>
      <c r="AK389" s="289">
        <f>IFERROR(__xludf.DUMMYFUNCTION("""COMPUTED_VALUE"""),885000.0)</f>
        <v>885000</v>
      </c>
      <c r="AL389" s="285" t="str">
        <f>IFERROR(__xludf.DUMMYFUNCTION("""COMPUTED_VALUE"""),"sudah fu ga balesss")</f>
        <v>sudah fu ga balesss</v>
      </c>
    </row>
    <row r="390">
      <c r="F390" s="285" t="str">
        <f>IFERROR(__xludf.DUMMYFUNCTION("""COMPUTED_VALUE"""),"2604D072")</f>
        <v>2604D072</v>
      </c>
      <c r="G390" s="286">
        <f>IFERROR(__xludf.DUMMYFUNCTION("""COMPUTED_VALUE"""),46125.0)</f>
        <v>46125</v>
      </c>
      <c r="H390" s="285" t="str">
        <f>IFERROR(__xludf.DUMMYFUNCTION("""COMPUTED_VALUE"""),"Abby")</f>
        <v>Abby</v>
      </c>
      <c r="I390" s="285" t="str">
        <f>IFERROR(__xludf.DUMMYFUNCTION("""COMPUTED_VALUE"""),"085168888024")</f>
        <v>085168888024</v>
      </c>
      <c r="J390" s="285" t="str">
        <f>IFERROR(__xludf.DUMMYFUNCTION("""COMPUTED_VALUE"""),"Qualified")</f>
        <v>Qualified</v>
      </c>
      <c r="K390" s="285" t="str">
        <f>IFERROR(__xludf.DUMMYFUNCTION("""COMPUTED_VALUE"""),"3h2m cuatome")</f>
        <v>3h2m cuatome</v>
      </c>
      <c r="L390" s="287">
        <f>IFERROR(__xludf.DUMMYFUNCTION("""COMPUTED_VALUE"""),46256.0)</f>
        <v>46256</v>
      </c>
      <c r="M390" s="288">
        <f>IFERROR(__xludf.DUMMYFUNCTION("""COMPUTED_VALUE"""),10.0)</f>
        <v>10</v>
      </c>
      <c r="N390" s="289">
        <f>IFERROR(__xludf.DUMMYFUNCTION("""COMPUTED_VALUE"""),2.29E7)</f>
        <v>22900000</v>
      </c>
      <c r="O390" s="290" t="str">
        <f>IFERROR(__xludf.DUMMYFUNCTION("""COMPUTED_VALUE"""),"b2b, masih tawar menawar harga")</f>
        <v>b2b, masih tawar menawar harga</v>
      </c>
      <c r="P390" s="291" t="str">
        <f>IFERROR(__xludf.DUMMYFUNCTION("""COMPUTED_VALUE"""),"https://docs.google.com/document/d/1mRMP_d1RnyR2VFJVUfelYJSN1lvShuZ-6xa11YnGlWE/edit?tab=t.0")</f>
        <v>https://docs.google.com/document/d/1mRMP_d1RnyR2VFJVUfelYJSN1lvShuZ-6xa11YnGlWE/edit?tab=t.0</v>
      </c>
      <c r="R390" s="285"/>
      <c r="S390" s="285"/>
      <c r="T390" s="285"/>
      <c r="U390" s="285"/>
      <c r="V390" s="285"/>
      <c r="W390" s="285"/>
      <c r="X390" s="285"/>
      <c r="Y390" s="285"/>
      <c r="Z390" s="285"/>
      <c r="AA390" s="285"/>
      <c r="AC390" s="285" t="str">
        <f>IFERROR(__xludf.DUMMYFUNCTION("""COMPUTED_VALUE"""),"2604D010")</f>
        <v>2604D010</v>
      </c>
      <c r="AD390" s="286">
        <f>IFERROR(__xludf.DUMMYFUNCTION("""COMPUTED_VALUE"""),46115.0)</f>
        <v>46115</v>
      </c>
      <c r="AE390" s="285" t="str">
        <f>IFERROR(__xludf.DUMMYFUNCTION("""COMPUTED_VALUE"""),"Sigit Wibisono")</f>
        <v>Sigit Wibisono</v>
      </c>
      <c r="AF390" s="285" t="str">
        <f>IFERROR(__xludf.DUMMYFUNCTION("""COMPUTED_VALUE"""),"081357543345")</f>
        <v>081357543345</v>
      </c>
      <c r="AG390" s="285" t="str">
        <f>IFERROR(__xludf.DUMMYFUNCTION("""COMPUTED_VALUE"""),"Gagal")</f>
        <v>Gagal</v>
      </c>
      <c r="AH390" s="285" t="str">
        <f>IFERROR(__xludf.DUMMYFUNCTION("""COMPUTED_VALUE"""),"OT menjangan tabuhan")</f>
        <v>OT menjangan tabuhan</v>
      </c>
      <c r="AI390" s="287">
        <f>IFERROR(__xludf.DUMMYFUNCTION("""COMPUTED_VALUE"""),46116.0)</f>
        <v>46116</v>
      </c>
      <c r="AJ390" s="285">
        <f>IFERROR(__xludf.DUMMYFUNCTION("""COMPUTED_VALUE"""),4.0)</f>
        <v>4</v>
      </c>
      <c r="AK390" s="289"/>
      <c r="AL390" s="285" t="str">
        <f>IFERROR(__xludf.DUMMYFUNCTION("""COMPUTED_VALUE"""),"belum jadiii")</f>
        <v>belum jadiii</v>
      </c>
    </row>
    <row r="391">
      <c r="F391" s="285" t="str">
        <f>IFERROR(__xludf.DUMMYFUNCTION("""COMPUTED_VALUE"""),"2604D075")</f>
        <v>2604D075</v>
      </c>
      <c r="G391" s="286">
        <f>IFERROR(__xludf.DUMMYFUNCTION("""COMPUTED_VALUE"""),46126.0)</f>
        <v>46126</v>
      </c>
      <c r="H391" s="285" t="str">
        <f>IFERROR(__xludf.DUMMYFUNCTION("""COMPUTED_VALUE"""),"Romi")</f>
        <v>Romi</v>
      </c>
      <c r="I391" s="285" t="str">
        <f>IFERROR(__xludf.DUMMYFUNCTION("""COMPUTED_VALUE"""),"08128880882")</f>
        <v>08128880882</v>
      </c>
      <c r="J391" s="285" t="str">
        <f>IFERROR(__xludf.DUMMYFUNCTION("""COMPUTED_VALUE"""),"Qualified")</f>
        <v>Qualified</v>
      </c>
      <c r="K391" s="285" t="str">
        <f>IFERROR(__xludf.DUMMYFUNCTION("""COMPUTED_VALUE"""),"3h2m opsi B")</f>
        <v>3h2m opsi B</v>
      </c>
      <c r="L391" s="287">
        <f>IFERROR(__xludf.DUMMYFUNCTION("""COMPUTED_VALUE"""),46196.0)</f>
        <v>46196</v>
      </c>
      <c r="M391" s="288">
        <f>IFERROR(__xludf.DUMMYFUNCTION("""COMPUTED_VALUE"""),4.0)</f>
        <v>4</v>
      </c>
      <c r="N391" s="289">
        <f>IFERROR(__xludf.DUMMYFUNCTION("""COMPUTED_VALUE"""),5040000.0)</f>
        <v>5040000</v>
      </c>
      <c r="O391" s="290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P391" s="291" t="str">
        <f>IFERROR(__xludf.DUMMYFUNCTION("""COMPUTED_VALUE"""),"https://docs.google.com/document/d/129WbEOC8OLCDbzY8FNFRP9eZLzrYIytMh5qd-ugrKeA/edit?tab=t.0")</f>
        <v>https://docs.google.com/document/d/129WbEOC8OLCDbzY8FNFRP9eZLzrYIytMh5qd-ugrKeA/edit?tab=t.0</v>
      </c>
      <c r="R391" s="285"/>
      <c r="S391" s="285"/>
      <c r="T391" s="285"/>
      <c r="U391" s="285"/>
      <c r="V391" s="285"/>
      <c r="W391" s="285"/>
      <c r="X391" s="285"/>
      <c r="Y391" s="285"/>
      <c r="Z391" s="285"/>
      <c r="AA391" s="285"/>
      <c r="AC391" s="285" t="str">
        <f>IFERROR(__xludf.DUMMYFUNCTION("""COMPUTED_VALUE"""),"2604D012")</f>
        <v>2604D012</v>
      </c>
      <c r="AD391" s="286">
        <f>IFERROR(__xludf.DUMMYFUNCTION("""COMPUTED_VALUE"""),46116.0)</f>
        <v>46116</v>
      </c>
      <c r="AE391" s="285" t="str">
        <f>IFERROR(__xludf.DUMMYFUNCTION("""COMPUTED_VALUE"""),"Galih Ragawati ")</f>
        <v>Galih Ragawati </v>
      </c>
      <c r="AF391" s="285" t="str">
        <f>IFERROR(__xludf.DUMMYFUNCTION("""COMPUTED_VALUE"""),"085641919435")</f>
        <v>085641919435</v>
      </c>
      <c r="AG391" s="285" t="str">
        <f>IFERROR(__xludf.DUMMYFUNCTION("""COMPUTED_VALUE"""),"Gagal")</f>
        <v>Gagal</v>
      </c>
      <c r="AH391" s="285"/>
      <c r="AI391" s="287"/>
      <c r="AJ391" s="285"/>
      <c r="AK391" s="289"/>
      <c r="AL391" s="285" t="str">
        <f>IFERROR(__xludf.DUMMYFUNCTION("""COMPUTED_VALUE"""),"tidak ada balasan")</f>
        <v>tidak ada balasan</v>
      </c>
    </row>
    <row r="392">
      <c r="F392" s="285" t="str">
        <f>IFERROR(__xludf.DUMMYFUNCTION("""COMPUTED_VALUE"""),"2605D004")</f>
        <v>2605D004</v>
      </c>
      <c r="G392" s="286">
        <f>IFERROR(__xludf.DUMMYFUNCTION("""COMPUTED_VALUE"""),46144.0)</f>
        <v>46144</v>
      </c>
      <c r="H392" s="285" t="str">
        <f>IFERROR(__xludf.DUMMYFUNCTION("""COMPUTED_VALUE"""),"Muchammad Fauzan")</f>
        <v>Muchammad Fauzan</v>
      </c>
      <c r="I392" s="285" t="str">
        <f>IFERROR(__xludf.DUMMYFUNCTION("""COMPUTED_VALUE"""),"08813338169")</f>
        <v>08813338169</v>
      </c>
      <c r="J392" s="285" t="str">
        <f>IFERROR(__xludf.DUMMYFUNCTION("""COMPUTED_VALUE"""),"Qualified")</f>
        <v>Qualified</v>
      </c>
      <c r="K392" s="285" t="str">
        <f>IFERROR(__xludf.DUMMYFUNCTION("""COMPUTED_VALUE"""),"3h2m opsi B")</f>
        <v>3h2m opsi B</v>
      </c>
      <c r="L392" s="287"/>
      <c r="M392" s="288">
        <f>IFERROR(__xludf.DUMMYFUNCTION("""COMPUTED_VALUE"""),2.0)</f>
        <v>2</v>
      </c>
      <c r="N392" s="289">
        <f>IFERROR(__xludf.DUMMYFUNCTION("""COMPUTED_VALUE"""),5334000.0)</f>
        <v>5334000</v>
      </c>
      <c r="O392" s="290" t="str">
        <f>IFERROR(__xludf.DUMMYFUNCTION("""COMPUTED_VALUE"""),"masih diskus, FU 13 Juni")</f>
        <v>masih diskus, FU 13 Juni</v>
      </c>
      <c r="P392" s="291" t="str">
        <f>IFERROR(__xludf.DUMMYFUNCTION("""COMPUTED_VALUE"""),"https://docs.google.com/document/d/1TuWrmHDQG0B8cDSHAajLv_nuBGxt4QylHcdm7u2pSqE/edit?usp=sharing")</f>
        <v>https://docs.google.com/document/d/1TuWrmHDQG0B8cDSHAajLv_nuBGxt4QylHcdm7u2pSqE/edit?usp=sharing</v>
      </c>
      <c r="R392" s="285"/>
      <c r="S392" s="285"/>
      <c r="T392" s="285"/>
      <c r="U392" s="285"/>
      <c r="V392" s="285"/>
      <c r="W392" s="285"/>
      <c r="X392" s="285"/>
      <c r="Y392" s="285"/>
      <c r="Z392" s="285"/>
      <c r="AA392" s="285"/>
      <c r="AC392" s="285" t="str">
        <f>IFERROR(__xludf.DUMMYFUNCTION("""COMPUTED_VALUE"""),"2604D013")</f>
        <v>2604D013</v>
      </c>
      <c r="AD392" s="286">
        <f>IFERROR(__xludf.DUMMYFUNCTION("""COMPUTED_VALUE"""),46116.0)</f>
        <v>46116</v>
      </c>
      <c r="AE392" s="285" t="str">
        <f>IFERROR(__xludf.DUMMYFUNCTION("""COMPUTED_VALUE"""),"Chevy")</f>
        <v>Chevy</v>
      </c>
      <c r="AF392" s="285" t="str">
        <f>IFERROR(__xludf.DUMMYFUNCTION("""COMPUTED_VALUE"""),"087716217985")</f>
        <v>087716217985</v>
      </c>
      <c r="AG392" s="285" t="str">
        <f>IFERROR(__xludf.DUMMYFUNCTION("""COMPUTED_VALUE"""),"Gagal")</f>
        <v>Gagal</v>
      </c>
      <c r="AH392" s="285"/>
      <c r="AI392" s="287"/>
      <c r="AJ392" s="285"/>
      <c r="AK392" s="289"/>
      <c r="AL392" s="285" t="str">
        <f>IFERROR(__xludf.DUMMYFUNCTION("""COMPUTED_VALUE"""),"hanya menyapa")</f>
        <v>hanya menyapa</v>
      </c>
    </row>
    <row r="393">
      <c r="F393" s="285" t="str">
        <f>IFERROR(__xludf.DUMMYFUNCTION("""COMPUTED_VALUE"""),"2605D031")</f>
        <v>2605D031</v>
      </c>
      <c r="G393" s="286">
        <f>IFERROR(__xludf.DUMMYFUNCTION("""COMPUTED_VALUE"""),46153.0)</f>
        <v>46153</v>
      </c>
      <c r="H393" s="285" t="str">
        <f>IFERROR(__xludf.DUMMYFUNCTION("""COMPUTED_VALUE"""),"Herry Poer")</f>
        <v>Herry Poer</v>
      </c>
      <c r="I393" s="285" t="str">
        <f>IFERROR(__xludf.DUMMYFUNCTION("""COMPUTED_VALUE"""),"081333093581")</f>
        <v>081333093581</v>
      </c>
      <c r="J393" s="285" t="str">
        <f>IFERROR(__xludf.DUMMYFUNCTION("""COMPUTED_VALUE"""),"Qualified")</f>
        <v>Qualified</v>
      </c>
      <c r="K393" s="285" t="str">
        <f>IFERROR(__xludf.DUMMYFUNCTION("""COMPUTED_VALUE"""),"1 day trip GI")</f>
        <v>1 day trip GI</v>
      </c>
      <c r="L393" s="287"/>
      <c r="M393" s="288">
        <f>IFERROR(__xludf.DUMMYFUNCTION("""COMPUTED_VALUE"""),35.0)</f>
        <v>35</v>
      </c>
      <c r="N393" s="289"/>
      <c r="O393" s="290" t="str">
        <f>IFERROR(__xludf.DUMMYFUNCTION("""COMPUTED_VALUE"""),"sudah kirim penawaran, ")</f>
        <v>sudah kirim penawaran, </v>
      </c>
      <c r="P393" s="291" t="str">
        <f>IFERROR(__xludf.DUMMYFUNCTION("""COMPUTED_VALUE"""),"https://docs.google.com/document/d/1XkoZRZYTZtCw9mFuV7U6sPx0gO3_qmUr5kwO2HmMm6o/edit?usp=sharing")</f>
        <v>https://docs.google.com/document/d/1XkoZRZYTZtCw9mFuV7U6sPx0gO3_qmUr5kwO2HmMm6o/edit?usp=sharing</v>
      </c>
      <c r="R393" s="285"/>
      <c r="S393" s="285"/>
      <c r="T393" s="285"/>
      <c r="U393" s="285"/>
      <c r="V393" s="285"/>
      <c r="W393" s="285"/>
      <c r="X393" s="285"/>
      <c r="Y393" s="285"/>
      <c r="Z393" s="285"/>
      <c r="AA393" s="285"/>
      <c r="AC393" s="285" t="str">
        <f>IFERROR(__xludf.DUMMYFUNCTION("""COMPUTED_VALUE"""),"2604D014")</f>
        <v>2604D014</v>
      </c>
      <c r="AD393" s="286">
        <f>IFERROR(__xludf.DUMMYFUNCTION("""COMPUTED_VALUE"""),46116.0)</f>
        <v>46116</v>
      </c>
      <c r="AE393" s="285" t="str">
        <f>IFERROR(__xludf.DUMMYFUNCTION("""COMPUTED_VALUE"""),"Anto")</f>
        <v>Anto</v>
      </c>
      <c r="AF393" s="285" t="str">
        <f>IFERROR(__xludf.DUMMYFUNCTION("""COMPUTED_VALUE"""),"085727801119")</f>
        <v>085727801119</v>
      </c>
      <c r="AG393" s="285" t="str">
        <f>IFERROR(__xludf.DUMMYFUNCTION("""COMPUTED_VALUE"""),"Gagal")</f>
        <v>Gagal</v>
      </c>
      <c r="AH393" s="285" t="str">
        <f>IFERROR(__xludf.DUMMYFUNCTION("""COMPUTED_VALUE"""),"OT Baluran")</f>
        <v>OT Baluran</v>
      </c>
      <c r="AI393" s="287">
        <f>IFERROR(__xludf.DUMMYFUNCTION("""COMPUTED_VALUE"""),46119.0)</f>
        <v>46119</v>
      </c>
      <c r="AJ393" s="285">
        <f>IFERROR(__xludf.DUMMYFUNCTION("""COMPUTED_VALUE"""),2.0)</f>
        <v>2</v>
      </c>
      <c r="AK393" s="289">
        <f>IFERROR(__xludf.DUMMYFUNCTION("""COMPUTED_VALUE"""),700000.0)</f>
        <v>700000</v>
      </c>
      <c r="AL393" s="285" t="str">
        <f>IFERROR(__xludf.DUMMYFUNCTION("""COMPUTED_VALUE"""),"next time, ada acara dadakan ")</f>
        <v>next time, ada acara dadakan </v>
      </c>
    </row>
    <row r="394">
      <c r="F394" s="285" t="str">
        <f>IFERROR(__xludf.DUMMYFUNCTION("""COMPUTED_VALUE"""),"2605D159")</f>
        <v>2605D159</v>
      </c>
      <c r="G394" s="286">
        <f>IFERROR(__xludf.DUMMYFUNCTION("""COMPUTED_VALUE"""),46170.0)</f>
        <v>46170</v>
      </c>
      <c r="H394" s="285" t="str">
        <f>IFERROR(__xludf.DUMMYFUNCTION("""COMPUTED_VALUE"""),"Name C")</f>
        <v>Name C</v>
      </c>
      <c r="I394" s="285" t="str">
        <f>IFERROR(__xludf.DUMMYFUNCTION("""COMPUTED_VALUE"""),"081332799583")</f>
        <v>081332799583</v>
      </c>
      <c r="J394" s="285" t="str">
        <f>IFERROR(__xludf.DUMMYFUNCTION("""COMPUTED_VALUE"""),"Qualified")</f>
        <v>Qualified</v>
      </c>
      <c r="K394" s="285" t="str">
        <f>IFERROR(__xludf.DUMMYFUNCTION("""COMPUTED_VALUE"""),"2h1m custome")</f>
        <v>2h1m custome</v>
      </c>
      <c r="L394" s="287"/>
      <c r="M394" s="288">
        <f>IFERROR(__xludf.DUMMYFUNCTION("""COMPUTED_VALUE"""),3.0)</f>
        <v>3</v>
      </c>
      <c r="N394" s="289">
        <f>IFERROR(__xludf.DUMMYFUNCTION("""COMPUTED_VALUE"""),5850000.0)</f>
        <v>5850000</v>
      </c>
      <c r="O394" s="290" t="str">
        <f>IFERROR(__xludf.DUMMYFUNCTION("""COMPUTED_VALUE"""),"FU 2 Juni")</f>
        <v>FU 2 Juni</v>
      </c>
      <c r="P394" s="320"/>
      <c r="R394" s="285"/>
      <c r="S394" s="285"/>
      <c r="T394" s="285"/>
      <c r="U394" s="285"/>
      <c r="V394" s="285"/>
      <c r="W394" s="285"/>
      <c r="X394" s="285"/>
      <c r="Y394" s="285"/>
      <c r="Z394" s="285"/>
      <c r="AA394" s="285"/>
      <c r="AC394" s="285" t="str">
        <f>IFERROR(__xludf.DUMMYFUNCTION("""COMPUTED_VALUE"""),"2604D015")</f>
        <v>2604D015</v>
      </c>
      <c r="AD394" s="286">
        <f>IFERROR(__xludf.DUMMYFUNCTION("""COMPUTED_VALUE"""),46116.0)</f>
        <v>46116</v>
      </c>
      <c r="AE394" s="285" t="str">
        <f>IFERROR(__xludf.DUMMYFUNCTION("""COMPUTED_VALUE"""),"Aprenny")</f>
        <v>Aprenny</v>
      </c>
      <c r="AF394" s="285" t="str">
        <f>IFERROR(__xludf.DUMMYFUNCTION("""COMPUTED_VALUE"""),"085755092376")</f>
        <v>085755092376</v>
      </c>
      <c r="AG394" s="285" t="str">
        <f>IFERROR(__xludf.DUMMYFUNCTION("""COMPUTED_VALUE"""),"Gagal")</f>
        <v>Gagal</v>
      </c>
      <c r="AH394" s="285" t="str">
        <f>IFERROR(__xludf.DUMMYFUNCTION("""COMPUTED_VALUE"""),"trip Djawatan Baluran ")</f>
        <v>trip Djawatan Baluran </v>
      </c>
      <c r="AI394" s="287"/>
      <c r="AJ394" s="285">
        <f>IFERROR(__xludf.DUMMYFUNCTION("""COMPUTED_VALUE"""),4.0)</f>
        <v>4</v>
      </c>
      <c r="AK394" s="289">
        <f>IFERROR(__xludf.DUMMYFUNCTION("""COMPUTED_VALUE"""),1996000.0)</f>
        <v>1996000</v>
      </c>
      <c r="AL394" s="285" t="str">
        <f>IFERROR(__xludf.DUMMYFUNCTION("""COMPUTED_VALUE"""),"gagalll, FU sudah 5 kali tdk ada balasan")</f>
        <v>gagalll, FU sudah 5 kali tdk ada balasan</v>
      </c>
    </row>
    <row r="395">
      <c r="F395" s="285" t="str">
        <f>IFERROR(__xludf.DUMMYFUNCTION("""COMPUTED_VALUE"""),"2606D045")</f>
        <v>2606D045</v>
      </c>
      <c r="G395" s="286">
        <f>IFERROR(__xludf.DUMMYFUNCTION("""COMPUTED_VALUE"""),46179.0)</f>
        <v>46179</v>
      </c>
      <c r="H395" s="285" t="str">
        <f>IFERROR(__xludf.DUMMYFUNCTION("""COMPUTED_VALUE"""),"Cornelia Melinda")</f>
        <v>Cornelia Melinda</v>
      </c>
      <c r="I395" s="285" t="str">
        <f>IFERROR(__xludf.DUMMYFUNCTION("""COMPUTED_VALUE"""),"081392012961")</f>
        <v>081392012961</v>
      </c>
      <c r="J395" s="285" t="str">
        <f>IFERROR(__xludf.DUMMYFUNCTION("""COMPUTED_VALUE"""),"Qualified")</f>
        <v>Qualified</v>
      </c>
      <c r="K395" s="285" t="str">
        <f>IFERROR(__xludf.DUMMYFUNCTION("""COMPUTED_VALUE"""),"trip Kawah Wurung")</f>
        <v>trip Kawah Wurung</v>
      </c>
      <c r="L395" s="287"/>
      <c r="M395" s="288">
        <f>IFERROR(__xludf.DUMMYFUNCTION("""COMPUTED_VALUE"""),3.0)</f>
        <v>3</v>
      </c>
      <c r="N395" s="289">
        <f>IFERROR(__xludf.DUMMYFUNCTION("""COMPUTED_VALUE"""),1509000.0)</f>
        <v>1509000</v>
      </c>
      <c r="O395" s="290" t="str">
        <f>IFERROR(__xludf.DUMMYFUNCTION("""COMPUTED_VALUE"""),"FU 8 Juni")</f>
        <v>FU 8 Juni</v>
      </c>
      <c r="P395" s="320"/>
      <c r="R395" s="285"/>
      <c r="S395" s="285"/>
      <c r="T395" s="285"/>
      <c r="U395" s="285"/>
      <c r="V395" s="285"/>
      <c r="W395" s="285"/>
      <c r="X395" s="285"/>
      <c r="Y395" s="285"/>
      <c r="Z395" s="285"/>
      <c r="AA395" s="285"/>
      <c r="AC395" s="285" t="str">
        <f>IFERROR(__xludf.DUMMYFUNCTION("""COMPUTED_VALUE"""),"2604D017")</f>
        <v>2604D017</v>
      </c>
      <c r="AD395" s="286">
        <f>IFERROR(__xludf.DUMMYFUNCTION("""COMPUTED_VALUE"""),46116.0)</f>
        <v>46116</v>
      </c>
      <c r="AE395" s="285" t="str">
        <f>IFERROR(__xludf.DUMMYFUNCTION("""COMPUTED_VALUE"""),"Isna")</f>
        <v>Isna</v>
      </c>
      <c r="AF395" s="285" t="str">
        <f>IFERROR(__xludf.DUMMYFUNCTION("""COMPUTED_VALUE"""),"08995209826")</f>
        <v>08995209826</v>
      </c>
      <c r="AG395" s="285" t="str">
        <f>IFERROR(__xludf.DUMMYFUNCTION("""COMPUTED_VALUE"""),"Gagal")</f>
        <v>Gagal</v>
      </c>
      <c r="AH395" s="285" t="str">
        <f>IFERROR(__xludf.DUMMYFUNCTION("""COMPUTED_VALUE"""),"OT 3h2m ")</f>
        <v>OT 3h2m </v>
      </c>
      <c r="AI395" s="287">
        <f>IFERROR(__xludf.DUMMYFUNCTION("""COMPUTED_VALUE"""),46156.0)</f>
        <v>46156</v>
      </c>
      <c r="AJ395" s="285">
        <f>IFERROR(__xludf.DUMMYFUNCTION("""COMPUTED_VALUE"""),2.0)</f>
        <v>2</v>
      </c>
      <c r="AK395" s="289">
        <f>IFERROR(__xludf.DUMMYFUNCTION("""COMPUTED_VALUE"""),3200000.0)</f>
        <v>3200000</v>
      </c>
      <c r="AL395" s="285" t="str">
        <f>IFERROR(__xludf.DUMMYFUNCTION("""COMPUTED_VALUE"""),"reschehedule tanggal trip, akan dihubungi lagi")</f>
        <v>reschehedule tanggal trip, akan dihubungi lagi</v>
      </c>
    </row>
    <row r="396">
      <c r="F396" s="285" t="str">
        <f>IFERROR(__xludf.DUMMYFUNCTION("""COMPUTED_VALUE"""),"2606D063")</f>
        <v>2606D063</v>
      </c>
      <c r="G396" s="286">
        <f>IFERROR(__xludf.DUMMYFUNCTION("""COMPUTED_VALUE"""),46181.0)</f>
        <v>46181</v>
      </c>
      <c r="H396" s="285" t="str">
        <f>IFERROR(__xludf.DUMMYFUNCTION("""COMPUTED_VALUE"""),"Zilfa")</f>
        <v>Zilfa</v>
      </c>
      <c r="I396" s="285" t="str">
        <f>IFERROR(__xludf.DUMMYFUNCTION("""COMPUTED_VALUE"""),"083895350490")</f>
        <v>083895350490</v>
      </c>
      <c r="J396" s="285" t="str">
        <f>IFERROR(__xludf.DUMMYFUNCTION("""COMPUTED_VALUE"""),"Qualified")</f>
        <v>Qualified</v>
      </c>
      <c r="K396" s="285" t="str">
        <f>IFERROR(__xludf.DUMMYFUNCTION("""COMPUTED_VALUE"""),"2h1m custome")</f>
        <v>2h1m custome</v>
      </c>
      <c r="L396" s="287"/>
      <c r="M396" s="288">
        <f>IFERROR(__xludf.DUMMYFUNCTION("""COMPUTED_VALUE"""),4.0)</f>
        <v>4</v>
      </c>
      <c r="N396" s="289"/>
      <c r="O396" s="290" t="str">
        <f>IFERROR(__xludf.DUMMYFUNCTION("""COMPUTED_VALUE"""),"nunggu persetujuan ortu, FU 17 Juni")</f>
        <v>nunggu persetujuan ortu, FU 17 Juni</v>
      </c>
      <c r="P396" s="320"/>
      <c r="R396" s="285"/>
      <c r="S396" s="285"/>
      <c r="T396" s="285"/>
      <c r="U396" s="285"/>
      <c r="V396" s="285"/>
      <c r="W396" s="285"/>
      <c r="X396" s="285"/>
      <c r="Y396" s="285"/>
      <c r="Z396" s="285"/>
      <c r="AA396" s="285"/>
      <c r="AC396" s="285" t="str">
        <f>IFERROR(__xludf.DUMMYFUNCTION("""COMPUTED_VALUE"""),"2604D018")</f>
        <v>2604D018</v>
      </c>
      <c r="AD396" s="286">
        <f>IFERROR(__xludf.DUMMYFUNCTION("""COMPUTED_VALUE"""),46117.0)</f>
        <v>46117</v>
      </c>
      <c r="AE396" s="285" t="str">
        <f>IFERROR(__xludf.DUMMYFUNCTION("""COMPUTED_VALUE"""),"M Yusuf Eko")</f>
        <v>M Yusuf Eko</v>
      </c>
      <c r="AF396" s="285" t="str">
        <f>IFERROR(__xludf.DUMMYFUNCTION("""COMPUTED_VALUE"""),"08977744823")</f>
        <v>08977744823</v>
      </c>
      <c r="AG396" s="285" t="str">
        <f>IFERROR(__xludf.DUMMYFUNCTION("""COMPUTED_VALUE"""),"Gagal")</f>
        <v>Gagal</v>
      </c>
      <c r="AH396" s="285"/>
      <c r="AI396" s="287"/>
      <c r="AJ396" s="285"/>
      <c r="AK396" s="289"/>
      <c r="AL396" s="285" t="str">
        <f>IFERROR(__xludf.DUMMYFUNCTION("""COMPUTED_VALUE"""),"hanya menyapa")</f>
        <v>hanya menyapa</v>
      </c>
    </row>
    <row r="397">
      <c r="F397" s="285" t="str">
        <f>IFERROR(__xludf.DUMMYFUNCTION("""COMPUTED_VALUE"""),"2606D074")</f>
        <v>2606D074</v>
      </c>
      <c r="G397" s="286">
        <f>IFERROR(__xludf.DUMMYFUNCTION("""COMPUTED_VALUE"""),46182.0)</f>
        <v>46182</v>
      </c>
      <c r="H397" s="285" t="str">
        <f>IFERROR(__xludf.DUMMYFUNCTION("""COMPUTED_VALUE"""),"Climb")</f>
        <v>Climb</v>
      </c>
      <c r="I397" s="285" t="str">
        <f>IFERROR(__xludf.DUMMYFUNCTION("""COMPUTED_VALUE"""),"081231230748")</f>
        <v>081231230748</v>
      </c>
      <c r="J397" s="285" t="str">
        <f>IFERROR(__xludf.DUMMYFUNCTION("""COMPUTED_VALUE"""),"Qualified")</f>
        <v>Qualified</v>
      </c>
      <c r="K397" s="285" t="str">
        <f>IFERROR(__xludf.DUMMYFUNCTION("""COMPUTED_VALUE"""),"OT MT")</f>
        <v>OT MT</v>
      </c>
      <c r="L397" s="287"/>
      <c r="M397" s="288">
        <f>IFERROR(__xludf.DUMMYFUNCTION("""COMPUTED_VALUE"""),1.0)</f>
        <v>1</v>
      </c>
      <c r="N397" s="289">
        <f>IFERROR(__xludf.DUMMYFUNCTION("""COMPUTED_VALUE"""),275000.0)</f>
        <v>275000</v>
      </c>
      <c r="O397" s="290" t="str">
        <f>IFERROR(__xludf.DUMMYFUNCTION("""COMPUTED_VALUE"""),"FU 11 Juni")</f>
        <v>FU 11 Juni</v>
      </c>
      <c r="P397" s="320"/>
      <c r="R397" s="285"/>
      <c r="S397" s="285"/>
      <c r="T397" s="285"/>
      <c r="U397" s="285"/>
      <c r="V397" s="285"/>
      <c r="W397" s="285"/>
      <c r="X397" s="285"/>
      <c r="Y397" s="285"/>
      <c r="Z397" s="285"/>
      <c r="AA397" s="285"/>
      <c r="AC397" s="285" t="str">
        <f>IFERROR(__xludf.DUMMYFUNCTION("""COMPUTED_VALUE"""),"2604D020")</f>
        <v>2604D020</v>
      </c>
      <c r="AD397" s="286">
        <f>IFERROR(__xludf.DUMMYFUNCTION("""COMPUTED_VALUE"""),46117.0)</f>
        <v>46117</v>
      </c>
      <c r="AE397" s="285" t="str">
        <f>IFERROR(__xludf.DUMMYFUNCTION("""COMPUTED_VALUE"""),"Jeims")</f>
        <v>Jeims</v>
      </c>
      <c r="AF397" s="285" t="str">
        <f>IFERROR(__xludf.DUMMYFUNCTION("""COMPUTED_VALUE"""),"081296137594")</f>
        <v>081296137594</v>
      </c>
      <c r="AG397" s="285" t="str">
        <f>IFERROR(__xludf.DUMMYFUNCTION("""COMPUTED_VALUE"""),"Gagal")</f>
        <v>Gagal</v>
      </c>
      <c r="AH397" s="285" t="str">
        <f>IFERROR(__xludf.DUMMYFUNCTION("""COMPUTED_VALUE"""),"OT Ijen Baluran")</f>
        <v>OT Ijen Baluran</v>
      </c>
      <c r="AI397" s="287">
        <f>IFERROR(__xludf.DUMMYFUNCTION("""COMPUTED_VALUE"""),46156.0)</f>
        <v>46156</v>
      </c>
      <c r="AJ397" s="285">
        <f>IFERROR(__xludf.DUMMYFUNCTION("""COMPUTED_VALUE"""),2.0)</f>
        <v>2</v>
      </c>
      <c r="AK397" s="289">
        <f>IFERROR(__xludf.DUMMYFUNCTION("""COMPUTED_VALUE"""),1000000.0)</f>
        <v>1000000</v>
      </c>
      <c r="AL397" s="285" t="str">
        <f>IFERROR(__xludf.DUMMYFUNCTION("""COMPUTED_VALUE"""),"gajadiii")</f>
        <v>gajadiii</v>
      </c>
    </row>
    <row r="398">
      <c r="F398" s="285" t="str">
        <f>IFERROR(__xludf.DUMMYFUNCTION("""COMPUTED_VALUE"""),"2606D120")</f>
        <v>2606D120</v>
      </c>
      <c r="G398" s="286">
        <f>IFERROR(__xludf.DUMMYFUNCTION("""COMPUTED_VALUE"""),46189.0)</f>
        <v>46189</v>
      </c>
      <c r="H398" s="285" t="str">
        <f>IFERROR(__xludf.DUMMYFUNCTION("""COMPUTED_VALUE"""),"Dinda  ")</f>
        <v>Dinda  </v>
      </c>
      <c r="I398" s="285" t="str">
        <f>IFERROR(__xludf.DUMMYFUNCTION("""COMPUTED_VALUE"""),"08112995597")</f>
        <v>08112995597</v>
      </c>
      <c r="J398" s="285" t="str">
        <f>IFERROR(__xludf.DUMMYFUNCTION("""COMPUTED_VALUE"""),"Qualified")</f>
        <v>Qualified</v>
      </c>
      <c r="K398" s="285" t="str">
        <f>IFERROR(__xludf.DUMMYFUNCTION("""COMPUTED_VALUE"""),"2h1m custome")</f>
        <v>2h1m custome</v>
      </c>
      <c r="L398" s="287"/>
      <c r="M398" s="288">
        <f>IFERROR(__xludf.DUMMYFUNCTION("""COMPUTED_VALUE"""),9.0)</f>
        <v>9</v>
      </c>
      <c r="N398" s="289">
        <f>IFERROR(__xludf.DUMMYFUNCTION("""COMPUTED_VALUE"""),6975000.0)</f>
        <v>6975000</v>
      </c>
      <c r="O398" s="290" t="str">
        <f>IFERROR(__xludf.DUMMYFUNCTION("""COMPUTED_VALUE"""),"FU 19 Juni")</f>
        <v>FU 19 Juni</v>
      </c>
      <c r="P398" s="320"/>
      <c r="R398" s="285"/>
      <c r="S398" s="285"/>
      <c r="T398" s="285"/>
      <c r="U398" s="285"/>
      <c r="V398" s="285"/>
      <c r="W398" s="285"/>
      <c r="X398" s="285"/>
      <c r="Y398" s="285"/>
      <c r="Z398" s="285"/>
      <c r="AA398" s="285"/>
      <c r="AC398" s="285" t="str">
        <f>IFERROR(__xludf.DUMMYFUNCTION("""COMPUTED_VALUE"""),"2604D021")</f>
        <v>2604D021</v>
      </c>
      <c r="AD398" s="286">
        <f>IFERROR(__xludf.DUMMYFUNCTION("""COMPUTED_VALUE"""),46118.0)</f>
        <v>46118</v>
      </c>
      <c r="AE398" s="285" t="str">
        <f>IFERROR(__xludf.DUMMYFUNCTION("""COMPUTED_VALUE"""),"Adam")</f>
        <v>Adam</v>
      </c>
      <c r="AF398" s="285" t="str">
        <f>IFERROR(__xludf.DUMMYFUNCTION("""COMPUTED_VALUE"""),"087741134769")</f>
        <v>087741134769</v>
      </c>
      <c r="AG398" s="285" t="str">
        <f>IFERROR(__xludf.DUMMYFUNCTION("""COMPUTED_VALUE"""),"Gagal")</f>
        <v>Gagal</v>
      </c>
      <c r="AH398" s="285" t="str">
        <f>IFERROR(__xludf.DUMMYFUNCTION("""COMPUTED_VALUE"""),"OT Ijen &amp; trip pulau bedil")</f>
        <v>OT Ijen &amp; trip pulau bedil</v>
      </c>
      <c r="AI398" s="287"/>
      <c r="AJ398" s="285">
        <f>IFERROR(__xludf.DUMMYFUNCTION("""COMPUTED_VALUE"""),3.0)</f>
        <v>3</v>
      </c>
      <c r="AK398" s="289"/>
      <c r="AL398" s="285" t="str">
        <f>IFERROR(__xludf.DUMMYFUNCTION("""COMPUTED_VALUE"""),"reschedule, akan dihubungi kembali kalo fiks")</f>
        <v>reschedule, akan dihubungi kembali kalo fiks</v>
      </c>
    </row>
    <row r="399">
      <c r="F399" s="285" t="str">
        <f>IFERROR(__xludf.DUMMYFUNCTION("""COMPUTED_VALUE"""),"2606D162")</f>
        <v>2606D162</v>
      </c>
      <c r="G399" s="286">
        <f>IFERROR(__xludf.DUMMYFUNCTION("""COMPUTED_VALUE"""),46194.0)</f>
        <v>46194</v>
      </c>
      <c r="H399" s="285" t="str">
        <f>IFERROR(__xludf.DUMMYFUNCTION("""COMPUTED_VALUE"""),"Faizal")</f>
        <v>Faizal</v>
      </c>
      <c r="I399" s="285" t="str">
        <f>IFERROR(__xludf.DUMMYFUNCTION("""COMPUTED_VALUE"""),"081280736569")</f>
        <v>081280736569</v>
      </c>
      <c r="J399" s="285" t="str">
        <f>IFERROR(__xludf.DUMMYFUNCTION("""COMPUTED_VALUE"""),"Qualified")</f>
        <v>Qualified</v>
      </c>
      <c r="K399" s="285" t="str">
        <f>IFERROR(__xludf.DUMMYFUNCTION("""COMPUTED_VALUE"""),"3H2M custome")</f>
        <v>3H2M custome</v>
      </c>
      <c r="L399" s="287">
        <f>IFERROR(__xludf.DUMMYFUNCTION("""COMPUTED_VALUE"""),46205.0)</f>
        <v>46205</v>
      </c>
      <c r="M399" s="288">
        <f>IFERROR(__xludf.DUMMYFUNCTION("""COMPUTED_VALUE"""),4.0)</f>
        <v>4</v>
      </c>
      <c r="N399" s="289">
        <f>IFERROR(__xludf.DUMMYFUNCTION("""COMPUTED_VALUE"""),1.06E7)</f>
        <v>10600000</v>
      </c>
      <c r="O399" s="290" t="str">
        <f>IFERROR(__xludf.DUMMYFUNCTION("""COMPUTED_VALUE"""),"masih cek ketersediaan hotel, FU 25 Juni")</f>
        <v>masih cek ketersediaan hotel, FU 25 Juni</v>
      </c>
      <c r="P399" s="320"/>
      <c r="R399" s="285"/>
      <c r="S399" s="285"/>
      <c r="T399" s="285"/>
      <c r="U399" s="285"/>
      <c r="V399" s="285"/>
      <c r="W399" s="285"/>
      <c r="X399" s="285"/>
      <c r="Y399" s="285"/>
      <c r="Z399" s="285"/>
      <c r="AA399" s="285"/>
      <c r="AC399" s="285" t="str">
        <f>IFERROR(__xludf.DUMMYFUNCTION("""COMPUTED_VALUE"""),"2604D022")</f>
        <v>2604D022</v>
      </c>
      <c r="AD399" s="286">
        <f>IFERROR(__xludf.DUMMYFUNCTION("""COMPUTED_VALUE"""),46118.0)</f>
        <v>46118</v>
      </c>
      <c r="AE399" s="285" t="str">
        <f>IFERROR(__xludf.DUMMYFUNCTION("""COMPUTED_VALUE"""),"Hanny Multazamah")</f>
        <v>Hanny Multazamah</v>
      </c>
      <c r="AF399" s="285" t="str">
        <f>IFERROR(__xludf.DUMMYFUNCTION("""COMPUTED_VALUE"""),"089659947965")</f>
        <v>089659947965</v>
      </c>
      <c r="AG399" s="285" t="str">
        <f>IFERROR(__xludf.DUMMYFUNCTION("""COMPUTED_VALUE"""),"Gagal")</f>
        <v>Gagal</v>
      </c>
      <c r="AH399" s="285"/>
      <c r="AI399" s="287"/>
      <c r="AJ399" s="285"/>
      <c r="AK399" s="289"/>
      <c r="AL399" s="285" t="str">
        <f>IFERROR(__xludf.DUMMYFUNCTION("""COMPUTED_VALUE"""),"baruu menyapa")</f>
        <v>baruu menyapa</v>
      </c>
    </row>
    <row r="400">
      <c r="F400" s="285" t="str">
        <f>IFERROR(__xludf.DUMMYFUNCTION("""COMPUTED_VALUE"""),"2606D182")</f>
        <v>2606D182</v>
      </c>
      <c r="G400" s="286">
        <f>IFERROR(__xludf.DUMMYFUNCTION("""COMPUTED_VALUE"""),46196.0)</f>
        <v>46196</v>
      </c>
      <c r="H400" s="285" t="str">
        <f>IFERROR(__xludf.DUMMYFUNCTION("""COMPUTED_VALUE"""),"No Name MT")</f>
        <v>No Name MT</v>
      </c>
      <c r="I400" s="285" t="str">
        <f>IFERROR(__xludf.DUMMYFUNCTION("""COMPUTED_VALUE"""),"089518447815")</f>
        <v>089518447815</v>
      </c>
      <c r="J400" s="285" t="str">
        <f>IFERROR(__xludf.DUMMYFUNCTION("""COMPUTED_VALUE"""),"Qualified")</f>
        <v>Qualified</v>
      </c>
      <c r="K400" s="285" t="str">
        <f>IFERROR(__xludf.DUMMYFUNCTION("""COMPUTED_VALUE"""),"OT MT")</f>
        <v>OT MT</v>
      </c>
      <c r="L400" s="287"/>
      <c r="M400" s="288">
        <f>IFERROR(__xludf.DUMMYFUNCTION("""COMPUTED_VALUE"""),1.0)</f>
        <v>1</v>
      </c>
      <c r="N400" s="289"/>
      <c r="O400" s="290" t="str">
        <f>IFERROR(__xludf.DUMMYFUNCTION("""COMPUTED_VALUE"""),"belum ada balasan   ")</f>
        <v>belum ada balasan   </v>
      </c>
      <c r="P400" s="320"/>
      <c r="R400" s="285"/>
      <c r="S400" s="285"/>
      <c r="T400" s="285"/>
      <c r="U400" s="285"/>
      <c r="V400" s="285"/>
      <c r="W400" s="285"/>
      <c r="X400" s="285"/>
      <c r="Y400" s="285"/>
      <c r="Z400" s="285"/>
      <c r="AA400" s="285"/>
      <c r="AC400" s="285" t="str">
        <f>IFERROR(__xludf.DUMMYFUNCTION("""COMPUTED_VALUE"""),"2604D023")</f>
        <v>2604D023</v>
      </c>
      <c r="AD400" s="286">
        <f>IFERROR(__xludf.DUMMYFUNCTION("""COMPUTED_VALUE"""),46119.0)</f>
        <v>46119</v>
      </c>
      <c r="AE400" s="285" t="str">
        <f>IFERROR(__xludf.DUMMYFUNCTION("""COMPUTED_VALUE"""),"Feelia")</f>
        <v>Feelia</v>
      </c>
      <c r="AF400" s="285" t="str">
        <f>IFERROR(__xludf.DUMMYFUNCTION("""COMPUTED_VALUE""")," 08151650808")</f>
        <v> 08151650808</v>
      </c>
      <c r="AG400" s="285" t="str">
        <f>IFERROR(__xludf.DUMMYFUNCTION("""COMPUTED_VALUE"""),"Gagal")</f>
        <v>Gagal</v>
      </c>
      <c r="AH400" s="285" t="str">
        <f>IFERROR(__xludf.DUMMYFUNCTION("""COMPUTED_VALUE"""),"trip green island ")</f>
        <v>trip green island </v>
      </c>
      <c r="AI400" s="287">
        <f>IFERROR(__xludf.DUMMYFUNCTION("""COMPUTED_VALUE"""),46120.0)</f>
        <v>46120</v>
      </c>
      <c r="AJ400" s="285">
        <f>IFERROR(__xludf.DUMMYFUNCTION("""COMPUTED_VALUE"""),2.0)</f>
        <v>2</v>
      </c>
      <c r="AK400" s="289"/>
      <c r="AL400" s="285" t="str">
        <f>IFERROR(__xludf.DUMMYFUNCTION("""COMPUTED_VALUE"""),"gagalll")</f>
        <v>gagalll</v>
      </c>
    </row>
    <row r="401">
      <c r="F401" s="285" t="str">
        <f>IFERROR(__xludf.DUMMYFUNCTION("""COMPUTED_VALUE"""),"2607D018")</f>
        <v>2607D018</v>
      </c>
      <c r="G401" s="286">
        <f>IFERROR(__xludf.DUMMYFUNCTION("""COMPUTED_VALUE"""),46205.0)</f>
        <v>46205</v>
      </c>
      <c r="H401" s="285" t="str">
        <f>IFERROR(__xludf.DUMMYFUNCTION("""COMPUTED_VALUE"""),"Widya")</f>
        <v>Widya</v>
      </c>
      <c r="I401" s="285" t="str">
        <f>IFERROR(__xludf.DUMMYFUNCTION("""COMPUTED_VALUE"""),"081329012486")</f>
        <v>081329012486</v>
      </c>
      <c r="J401" s="285" t="str">
        <f>IFERROR(__xludf.DUMMYFUNCTION("""COMPUTED_VALUE"""),"Qualified")</f>
        <v>Qualified</v>
      </c>
      <c r="K401" s="285" t="str">
        <f>IFERROR(__xludf.DUMMYFUNCTION("""COMPUTED_VALUE"""),"3H2M")</f>
        <v>3H2M</v>
      </c>
      <c r="L401" s="287"/>
      <c r="M401" s="288">
        <f>IFERROR(__xludf.DUMMYFUNCTION("""COMPUTED_VALUE"""),4.0)</f>
        <v>4</v>
      </c>
      <c r="N401" s="289">
        <f>IFERROR(__xludf.DUMMYFUNCTION("""COMPUTED_VALUE"""),1.392E7)</f>
        <v>13920000</v>
      </c>
      <c r="O401" s="290" t="str">
        <f>IFERROR(__xludf.DUMMYFUNCTION("""COMPUTED_VALUE"""),"FU 4 Juli")</f>
        <v>FU 4 Juli</v>
      </c>
      <c r="P401" s="320"/>
      <c r="R401" s="285"/>
      <c r="S401" s="285"/>
      <c r="T401" s="285"/>
      <c r="U401" s="285"/>
      <c r="V401" s="285"/>
      <c r="W401" s="285"/>
      <c r="X401" s="285"/>
      <c r="Y401" s="285"/>
      <c r="Z401" s="285"/>
      <c r="AA401" s="285"/>
      <c r="AC401" s="285" t="str">
        <f>IFERROR(__xludf.DUMMYFUNCTION("""COMPUTED_VALUE"""),"2604D024")</f>
        <v>2604D024</v>
      </c>
      <c r="AD401" s="286">
        <f>IFERROR(__xludf.DUMMYFUNCTION("""COMPUTED_VALUE"""),46119.0)</f>
        <v>46119</v>
      </c>
      <c r="AE401" s="285" t="str">
        <f>IFERROR(__xludf.DUMMYFUNCTION("""COMPUTED_VALUE"""),"Sumarlan")</f>
        <v>Sumarlan</v>
      </c>
      <c r="AF401" s="285" t="str">
        <f>IFERROR(__xludf.DUMMYFUNCTION("""COMPUTED_VALUE"""),"0811507442")</f>
        <v>0811507442</v>
      </c>
      <c r="AG401" s="285" t="str">
        <f>IFERROR(__xludf.DUMMYFUNCTION("""COMPUTED_VALUE"""),"Gagal")</f>
        <v>Gagal</v>
      </c>
      <c r="AH401" s="285" t="str">
        <f>IFERROR(__xludf.DUMMYFUNCTION("""COMPUTED_VALUE"""),"2H1M")</f>
        <v>2H1M</v>
      </c>
      <c r="AI401" s="287">
        <f>IFERROR(__xludf.DUMMYFUNCTION("""COMPUTED_VALUE"""),46120.0)</f>
        <v>46120</v>
      </c>
      <c r="AJ401" s="285">
        <f>IFERROR(__xludf.DUMMYFUNCTION("""COMPUTED_VALUE"""),2.0)</f>
        <v>2</v>
      </c>
      <c r="AK401" s="289"/>
      <c r="AL401" s="285" t="str">
        <f>IFERROR(__xludf.DUMMYFUNCTION("""COMPUTED_VALUE"""),"lewat tgl")</f>
        <v>lewat tgl</v>
      </c>
    </row>
    <row r="402">
      <c r="F402" s="285" t="str">
        <f>IFERROR(__xludf.DUMMYFUNCTION("""COMPUTED_VALUE"""),"2607D084")</f>
        <v>2607D084</v>
      </c>
      <c r="G402" s="286">
        <f>IFERROR(__xludf.DUMMYFUNCTION("""COMPUTED_VALUE"""),46214.0)</f>
        <v>46214</v>
      </c>
      <c r="H402" s="285" t="str">
        <f>IFERROR(__xludf.DUMMYFUNCTION("""COMPUTED_VALUE"""),"Dini")</f>
        <v>Dini</v>
      </c>
      <c r="I402" s="285" t="str">
        <f>IFERROR(__xludf.DUMMYFUNCTION("""COMPUTED_VALUE"""),"088210025988")</f>
        <v>088210025988</v>
      </c>
      <c r="J402" s="285" t="str">
        <f>IFERROR(__xludf.DUMMYFUNCTION("""COMPUTED_VALUE"""),"Qualified")</f>
        <v>Qualified</v>
      </c>
      <c r="K402" s="285" t="str">
        <f>IFERROR(__xludf.DUMMYFUNCTION("""COMPUTED_VALUE"""),"3H2M honeymoon")</f>
        <v>3H2M honeymoon</v>
      </c>
      <c r="L402" s="287"/>
      <c r="M402" s="288">
        <f>IFERROR(__xludf.DUMMYFUNCTION("""COMPUTED_VALUE"""),2.0)</f>
        <v>2</v>
      </c>
      <c r="N402" s="289"/>
      <c r="O402" s="290" t="str">
        <f>IFERROR(__xludf.DUMMYFUNCTION("""COMPUTED_VALUE"""),"FU 5 Agustus ")</f>
        <v>FU 5 Agustus </v>
      </c>
      <c r="P402" s="320"/>
      <c r="R402" s="285"/>
      <c r="S402" s="285"/>
      <c r="T402" s="285"/>
      <c r="U402" s="285"/>
      <c r="V402" s="285"/>
      <c r="W402" s="285"/>
      <c r="X402" s="285"/>
      <c r="Y402" s="285"/>
      <c r="Z402" s="285"/>
      <c r="AA402" s="285"/>
      <c r="AC402" s="285" t="str">
        <f>IFERROR(__xludf.DUMMYFUNCTION("""COMPUTED_VALUE"""),"2604D028")</f>
        <v>2604D028</v>
      </c>
      <c r="AD402" s="286">
        <f>IFERROR(__xludf.DUMMYFUNCTION("""COMPUTED_VALUE"""),46119.0)</f>
        <v>46119</v>
      </c>
      <c r="AE402" s="285" t="str">
        <f>IFERROR(__xludf.DUMMYFUNCTION("""COMPUTED_VALUE"""),"Manda Alvita")</f>
        <v>Manda Alvita</v>
      </c>
      <c r="AF402" s="285" t="str">
        <f>IFERROR(__xludf.DUMMYFUNCTION("""COMPUTED_VALUE"""),"081901716202")</f>
        <v>081901716202</v>
      </c>
      <c r="AG402" s="285" t="str">
        <f>IFERROR(__xludf.DUMMYFUNCTION("""COMPUTED_VALUE"""),"Gagal")</f>
        <v>Gagal</v>
      </c>
      <c r="AH402" s="285" t="str">
        <f>IFERROR(__xludf.DUMMYFUNCTION("""COMPUTED_VALUE"""),"3H2M custome")</f>
        <v>3H2M custome</v>
      </c>
      <c r="AI402" s="287"/>
      <c r="AJ402" s="285">
        <f>IFERROR(__xludf.DUMMYFUNCTION("""COMPUTED_VALUE"""),3.0)</f>
        <v>3</v>
      </c>
      <c r="AK402" s="289"/>
      <c r="AL402" s="285" t="str">
        <f>IFERROR(__xludf.DUMMYFUNCTION("""COMPUTED_VALUE"""),"belum balas lagi")</f>
        <v>belum balas lagi</v>
      </c>
    </row>
    <row r="403">
      <c r="F403" s="285" t="str">
        <f>IFERROR(__xludf.DUMMYFUNCTION("""COMPUTED_VALUE"""),"2607D146")</f>
        <v>2607D146</v>
      </c>
      <c r="G403" s="286">
        <f>IFERROR(__xludf.DUMMYFUNCTION("""COMPUTED_VALUE"""),46225.0)</f>
        <v>46225</v>
      </c>
      <c r="H403" s="285" t="str">
        <f>IFERROR(__xludf.DUMMYFUNCTION("""COMPUTED_VALUE"""),"Aan Mardiah")</f>
        <v>Aan Mardiah</v>
      </c>
      <c r="I403" s="285" t="str">
        <f>IFERROR(__xludf.DUMMYFUNCTION("""COMPUTED_VALUE"""),"082121804806")</f>
        <v>082121804806</v>
      </c>
      <c r="J403" s="285" t="str">
        <f>IFERROR(__xludf.DUMMYFUNCTION("""COMPUTED_VALUE"""),"Qualified")</f>
        <v>Qualified</v>
      </c>
      <c r="K403" s="285" t="str">
        <f>IFERROR(__xludf.DUMMYFUNCTION("""COMPUTED_VALUE"""),"3H2M opsi A")</f>
        <v>3H2M opsi A</v>
      </c>
      <c r="L403" s="287"/>
      <c r="M403" s="288">
        <f>IFERROR(__xludf.DUMMYFUNCTION("""COMPUTED_VALUE"""),18.0)</f>
        <v>18</v>
      </c>
      <c r="N403" s="289"/>
      <c r="O403" s="290" t="str">
        <f>IFERROR(__xludf.DUMMYFUNCTION("""COMPUTED_VALUE"""),"tanggal nya blm tau, FU 5 Agustus")</f>
        <v>tanggal nya blm tau, FU 5 Agustus</v>
      </c>
      <c r="P403" s="320"/>
      <c r="R403" s="285"/>
      <c r="S403" s="285"/>
      <c r="T403" s="285"/>
      <c r="U403" s="285"/>
      <c r="V403" s="285"/>
      <c r="W403" s="285"/>
      <c r="X403" s="285"/>
      <c r="Y403" s="285"/>
      <c r="Z403" s="285"/>
      <c r="AA403" s="285"/>
      <c r="AC403" s="285" t="str">
        <f>IFERROR(__xludf.DUMMYFUNCTION("""COMPUTED_VALUE"""),"2604D031")</f>
        <v>2604D031</v>
      </c>
      <c r="AD403" s="286">
        <f>IFERROR(__xludf.DUMMYFUNCTION("""COMPUTED_VALUE"""),46119.0)</f>
        <v>46119</v>
      </c>
      <c r="AE403" s="285" t="str">
        <f>IFERROR(__xludf.DUMMYFUNCTION("""COMPUTED_VALUE"""),"Putri ")</f>
        <v>Putri </v>
      </c>
      <c r="AF403" s="285" t="str">
        <f>IFERROR(__xludf.DUMMYFUNCTION("""COMPUTED_VALUE"""),"089521277035")</f>
        <v>089521277035</v>
      </c>
      <c r="AG403" s="285" t="str">
        <f>IFERROR(__xludf.DUMMYFUNCTION("""COMPUTED_VALUE"""),"Gagal")</f>
        <v>Gagal</v>
      </c>
      <c r="AH403" s="285"/>
      <c r="AI403" s="287"/>
      <c r="AJ403" s="285"/>
      <c r="AK403" s="289"/>
      <c r="AL403" s="285" t="str">
        <f>IFERROR(__xludf.DUMMYFUNCTION("""COMPUTED_VALUE"""),"gajadii karena penjemputan di sby")</f>
        <v>gajadii karena penjemputan di sby</v>
      </c>
    </row>
    <row r="404">
      <c r="F404" s="285" t="str">
        <f>IFERROR(__xludf.DUMMYFUNCTION("""COMPUTED_VALUE"""),"2607D152")</f>
        <v>2607D152</v>
      </c>
      <c r="G404" s="286">
        <f>IFERROR(__xludf.DUMMYFUNCTION("""COMPUTED_VALUE"""),46226.0)</f>
        <v>46226</v>
      </c>
      <c r="H404" s="285" t="str">
        <f>IFERROR(__xludf.DUMMYFUNCTION("""COMPUTED_VALUE"""),"Nisss")</f>
        <v>Nisss</v>
      </c>
      <c r="I404" s="285" t="str">
        <f>IFERROR(__xludf.DUMMYFUNCTION("""COMPUTED_VALUE"""),"0895366615340")</f>
        <v>0895366615340</v>
      </c>
      <c r="J404" s="285" t="str">
        <f>IFERROR(__xludf.DUMMYFUNCTION("""COMPUTED_VALUE"""),"Qualified")</f>
        <v>Qualified</v>
      </c>
      <c r="K404" s="285" t="str">
        <f>IFERROR(__xludf.DUMMYFUNCTION("""COMPUTED_VALUE"""),"OT 3H2M")</f>
        <v>OT 3H2M</v>
      </c>
      <c r="L404" s="287"/>
      <c r="M404" s="288">
        <f>IFERROR(__xludf.DUMMYFUNCTION("""COMPUTED_VALUE"""),3.0)</f>
        <v>3</v>
      </c>
      <c r="N404" s="289">
        <f>IFERROR(__xludf.DUMMYFUNCTION("""COMPUTED_VALUE"""),4800000.0)</f>
        <v>4800000</v>
      </c>
      <c r="O404" s="290" t="str">
        <f>IFERROR(__xludf.DUMMYFUNCTION("""COMPUTED_VALUE"""),"belum tau tanggalnya, FU 30 Juli")</f>
        <v>belum tau tanggalnya, FU 30 Juli</v>
      </c>
      <c r="P404" s="320"/>
      <c r="R404" s="285"/>
      <c r="S404" s="285"/>
      <c r="T404" s="285"/>
      <c r="U404" s="285"/>
      <c r="V404" s="285"/>
      <c r="W404" s="285"/>
      <c r="X404" s="285"/>
      <c r="Y404" s="285"/>
      <c r="Z404" s="285"/>
      <c r="AA404" s="285"/>
      <c r="AC404" s="285" t="str">
        <f>IFERROR(__xludf.DUMMYFUNCTION("""COMPUTED_VALUE"""),"2604D032")</f>
        <v>2604D032</v>
      </c>
      <c r="AD404" s="286">
        <f>IFERROR(__xludf.DUMMYFUNCTION("""COMPUTED_VALUE"""),46119.0)</f>
        <v>46119</v>
      </c>
      <c r="AE404" s="285" t="str">
        <f>IFERROR(__xludf.DUMMYFUNCTION("""COMPUTED_VALUE"""),"Suci")</f>
        <v>Suci</v>
      </c>
      <c r="AF404" s="285" t="str">
        <f>IFERROR(__xludf.DUMMYFUNCTION("""COMPUTED_VALUE"""),"088291308924")</f>
        <v>088291308924</v>
      </c>
      <c r="AG404" s="285" t="str">
        <f>IFERROR(__xludf.DUMMYFUNCTION("""COMPUTED_VALUE"""),"Gagal")</f>
        <v>Gagal</v>
      </c>
      <c r="AH404" s="285" t="str">
        <f>IFERROR(__xludf.DUMMYFUNCTION("""COMPUTED_VALUE"""),"trip green island, bedil")</f>
        <v>trip green island, bedil</v>
      </c>
      <c r="AI404" s="287">
        <f>IFERROR(__xludf.DUMMYFUNCTION("""COMPUTED_VALUE"""),46157.0)</f>
        <v>46157</v>
      </c>
      <c r="AJ404" s="285">
        <f>IFERROR(__xludf.DUMMYFUNCTION("""COMPUTED_VALUE"""),2.0)</f>
        <v>2</v>
      </c>
      <c r="AK404" s="289">
        <f>IFERROR(__xludf.DUMMYFUNCTION("""COMPUTED_VALUE"""),2700000.0)</f>
        <v>2700000</v>
      </c>
      <c r="AL404" s="285" t="str">
        <f>IFERROR(__xludf.DUMMYFUNCTION("""COMPUTED_VALUE"""),"sudah fu, FU lagi 4 Mei")</f>
        <v>sudah fu, FU lagi 4 Mei</v>
      </c>
    </row>
    <row r="405">
      <c r="F405" s="285" t="str">
        <f>IFERROR(__xludf.DUMMYFUNCTION("""COMPUTED_VALUE"""),"2607D163")</f>
        <v>2607D163</v>
      </c>
      <c r="G405" s="286">
        <f>IFERROR(__xludf.DUMMYFUNCTION("""COMPUTED_VALUE"""),46228.0)</f>
        <v>46228</v>
      </c>
      <c r="H405" s="285" t="str">
        <f>IFERROR(__xludf.DUMMYFUNCTION("""COMPUTED_VALUE"""),"Vega")</f>
        <v>Vega</v>
      </c>
      <c r="I405" s="285" t="str">
        <f>IFERROR(__xludf.DUMMYFUNCTION("""COMPUTED_VALUE"""),"081219148054")</f>
        <v>081219148054</v>
      </c>
      <c r="J405" s="285" t="str">
        <f>IFERROR(__xludf.DUMMYFUNCTION("""COMPUTED_VALUE"""),"Qualified")</f>
        <v>Qualified</v>
      </c>
      <c r="K405" s="285" t="str">
        <f>IFERROR(__xludf.DUMMYFUNCTION("""COMPUTED_VALUE"""),"OT MT")</f>
        <v>OT MT</v>
      </c>
      <c r="L405" s="287">
        <f>IFERROR(__xludf.DUMMYFUNCTION("""COMPUTED_VALUE"""),46229.0)</f>
        <v>46229</v>
      </c>
      <c r="M405" s="288">
        <f>IFERROR(__xludf.DUMMYFUNCTION("""COMPUTED_VALUE"""),1.0)</f>
        <v>1</v>
      </c>
      <c r="N405" s="289">
        <f>IFERROR(__xludf.DUMMYFUNCTION("""COMPUTED_VALUE"""),275000.0)</f>
        <v>275000</v>
      </c>
      <c r="O405" s="290"/>
      <c r="P405" s="320"/>
      <c r="R405" s="285"/>
      <c r="S405" s="285"/>
      <c r="T405" s="285"/>
      <c r="U405" s="285"/>
      <c r="V405" s="285"/>
      <c r="W405" s="285"/>
      <c r="X405" s="285"/>
      <c r="Y405" s="285"/>
      <c r="Z405" s="285"/>
      <c r="AA405" s="285"/>
      <c r="AC405" s="285" t="str">
        <f>IFERROR(__xludf.DUMMYFUNCTION("""COMPUTED_VALUE"""),"2604D035")</f>
        <v>2604D035</v>
      </c>
      <c r="AD405" s="286">
        <f>IFERROR(__xludf.DUMMYFUNCTION("""COMPUTED_VALUE"""),46120.0)</f>
        <v>46120</v>
      </c>
      <c r="AE405" s="285" t="str">
        <f>IFERROR(__xludf.DUMMYFUNCTION("""COMPUTED_VALUE"""),"Setyo Wardayati")</f>
        <v>Setyo Wardayati</v>
      </c>
      <c r="AF405" s="285" t="str">
        <f>IFERROR(__xludf.DUMMYFUNCTION("""COMPUTED_VALUE""")," 08123173933")</f>
        <v> 08123173933</v>
      </c>
      <c r="AG405" s="285" t="str">
        <f>IFERROR(__xludf.DUMMYFUNCTION("""COMPUTED_VALUE"""),"Gagal")</f>
        <v>Gagal</v>
      </c>
      <c r="AH405" s="285" t="str">
        <f>IFERROR(__xludf.DUMMYFUNCTION("""COMPUTED_VALUE"""),"2h1m custom")</f>
        <v>2h1m custom</v>
      </c>
      <c r="AI405" s="287">
        <f>IFERROR(__xludf.DUMMYFUNCTION("""COMPUTED_VALUE"""),46157.0)</f>
        <v>46157</v>
      </c>
      <c r="AJ405" s="285">
        <f>IFERROR(__xludf.DUMMYFUNCTION("""COMPUTED_VALUE"""),3.0)</f>
        <v>3</v>
      </c>
      <c r="AK405" s="289"/>
      <c r="AL405" s="285" t="str">
        <f>IFERROR(__xludf.DUMMYFUNCTION("""COMPUTED_VALUE"""),"fullbooked")</f>
        <v>fullbooked</v>
      </c>
    </row>
    <row r="406">
      <c r="F406" s="285" t="str">
        <f>IFERROR(__xludf.DUMMYFUNCTION("""COMPUTED_VALUE"""),"2601D071")</f>
        <v>2601D071</v>
      </c>
      <c r="G406" s="286">
        <f>IFERROR(__xludf.DUMMYFUNCTION("""COMPUTED_VALUE"""),46030.0)</f>
        <v>46030</v>
      </c>
      <c r="H406" s="285" t="str">
        <f>IFERROR(__xludf.DUMMYFUNCTION("""COMPUTED_VALUE"""),"Terry sukma ezaria")</f>
        <v>Terry sukma ezaria</v>
      </c>
      <c r="I406" s="285" t="str">
        <f>IFERROR(__xludf.DUMMYFUNCTION("""COMPUTED_VALUE"""),"081910004277")</f>
        <v>081910004277</v>
      </c>
      <c r="J406" s="285" t="str">
        <f>IFERROR(__xludf.DUMMYFUNCTION("""COMPUTED_VALUE"""),"Prospek")</f>
        <v>Prospek</v>
      </c>
      <c r="K406" s="285" t="str">
        <f>IFERROR(__xludf.DUMMYFUNCTION("""COMPUTED_VALUE"""),"paket custom")</f>
        <v>paket custom</v>
      </c>
      <c r="L406" s="287"/>
      <c r="M406" s="288"/>
      <c r="N406" s="289">
        <f>IFERROR(__xludf.DUMMYFUNCTION("""COMPUTED_VALUE"""),1.44E8)</f>
        <v>144000000</v>
      </c>
      <c r="O406" s="290" t="str">
        <f>IFERROR(__xludf.DUMMYFUNCTION("""COMPUTED_VALUE"""),"buat penawaran, FU 2 Juni ")</f>
        <v>buat penawaran, FU 2 Juni </v>
      </c>
      <c r="P406" s="291" t="str">
        <f>IFERROR(__xludf.DUMMYFUNCTION("""COMPUTED_VALUE"""),"https://docs.google.com/document/d/1fMFdvXachGDtyak_UDLjTqjsPv8dJU-8h8riaob89KM/edit?tab=t.0")</f>
        <v>https://docs.google.com/document/d/1fMFdvXachGDtyak_UDLjTqjsPv8dJU-8h8riaob89KM/edit?tab=t.0</v>
      </c>
      <c r="R406" s="285"/>
      <c r="S406" s="285"/>
      <c r="T406" s="285"/>
      <c r="U406" s="285"/>
      <c r="V406" s="285"/>
      <c r="W406" s="285"/>
      <c r="X406" s="285"/>
      <c r="Y406" s="285"/>
      <c r="Z406" s="285"/>
      <c r="AA406" s="285"/>
      <c r="AC406" s="285" t="str">
        <f>IFERROR(__xludf.DUMMYFUNCTION("""COMPUTED_VALUE"""),"2604D037")</f>
        <v>2604D037</v>
      </c>
      <c r="AD406" s="286">
        <f>IFERROR(__xludf.DUMMYFUNCTION("""COMPUTED_VALUE"""),46120.0)</f>
        <v>46120</v>
      </c>
      <c r="AE406" s="285" t="str">
        <f>IFERROR(__xludf.DUMMYFUNCTION("""COMPUTED_VALUE"""),"Nessa")</f>
        <v>Nessa</v>
      </c>
      <c r="AF406" s="285" t="str">
        <f>IFERROR(__xludf.DUMMYFUNCTION("""COMPUTED_VALUE"""),"082112462579")</f>
        <v>082112462579</v>
      </c>
      <c r="AG406" s="285" t="str">
        <f>IFERROR(__xludf.DUMMYFUNCTION("""COMPUTED_VALUE"""),"Gagal")</f>
        <v>Gagal</v>
      </c>
      <c r="AH406" s="285" t="str">
        <f>IFERROR(__xludf.DUMMYFUNCTION("""COMPUTED_VALUE"""),"trip 2h1m")</f>
        <v>trip 2h1m</v>
      </c>
      <c r="AI406" s="287">
        <f>IFERROR(__xludf.DUMMYFUNCTION("""COMPUTED_VALUE"""),46157.0)</f>
        <v>46157</v>
      </c>
      <c r="AJ406" s="285">
        <f>IFERROR(__xludf.DUMMYFUNCTION("""COMPUTED_VALUE"""),4.0)</f>
        <v>4</v>
      </c>
      <c r="AK406" s="289">
        <f>IFERROR(__xludf.DUMMYFUNCTION("""COMPUTED_VALUE"""),3440000.0)</f>
        <v>3440000</v>
      </c>
      <c r="AL406" s="285" t="str">
        <f>IFERROR(__xludf.DUMMYFUNCTION("""COMPUTED_VALUE"""),"fullbooked")</f>
        <v>fullbooked</v>
      </c>
    </row>
    <row r="407">
      <c r="F407" s="285" t="str">
        <f>IFERROR(__xludf.DUMMYFUNCTION("""COMPUTED_VALUE"""),"2601D121")</f>
        <v>2601D121</v>
      </c>
      <c r="G407" s="286">
        <f>IFERROR(__xludf.DUMMYFUNCTION("""COMPUTED_VALUE"""),46038.0)</f>
        <v>46038</v>
      </c>
      <c r="H407" s="285" t="str">
        <f>IFERROR(__xludf.DUMMYFUNCTION("""COMPUTED_VALUE"""),"Edi lukito")</f>
        <v>Edi lukito</v>
      </c>
      <c r="I407" s="285" t="str">
        <f>IFERROR(__xludf.DUMMYFUNCTION("""COMPUTED_VALUE"""),"081352095218")</f>
        <v>081352095218</v>
      </c>
      <c r="J407" s="285" t="str">
        <f>IFERROR(__xludf.DUMMYFUNCTION("""COMPUTED_VALUE"""),"Prospek")</f>
        <v>Prospek</v>
      </c>
      <c r="K407" s="285" t="str">
        <f>IFERROR(__xludf.DUMMYFUNCTION("""COMPUTED_VALUE"""),"Trip 1 day I, B, KW")</f>
        <v>Trip 1 day I, B, KW</v>
      </c>
      <c r="L407" s="287"/>
      <c r="M407" s="288">
        <f>IFERROR(__xludf.DUMMYFUNCTION("""COMPUTED_VALUE"""),30.0)</f>
        <v>30</v>
      </c>
      <c r="N407" s="289">
        <f>IFERROR(__xludf.DUMMYFUNCTION("""COMPUTED_VALUE"""),2.4E7)</f>
        <v>24000000</v>
      </c>
      <c r="O407" s="290" t="str">
        <f>IFERROR(__xludf.DUMMYFUNCTION("""COMPUTED_VALUE"""),"jika sdh ada update, akan dihubungi lagi, FU 3 Januari 2027")</f>
        <v>jika sdh ada update, akan dihubungi lagi, FU 3 Januari 2027</v>
      </c>
      <c r="P407" s="291" t="str">
        <f>IFERROR(__xludf.DUMMYFUNCTION("""COMPUTED_VALUE"""),"https://docs.google.com/document/d/1WNu7Cyk_CX0yd-KTveK1mhJ7xL5DhL0u4yqOI9OoKps/edit?tab=t.0")</f>
        <v>https://docs.google.com/document/d/1WNu7Cyk_CX0yd-KTveK1mhJ7xL5DhL0u4yqOI9OoKps/edit?tab=t.0</v>
      </c>
      <c r="R407" s="285"/>
      <c r="S407" s="285"/>
      <c r="T407" s="285"/>
      <c r="U407" s="285"/>
      <c r="V407" s="285"/>
      <c r="W407" s="285"/>
      <c r="X407" s="285"/>
      <c r="Y407" s="285"/>
      <c r="Z407" s="285"/>
      <c r="AA407" s="285"/>
      <c r="AC407" s="285" t="str">
        <f>IFERROR(__xludf.DUMMYFUNCTION("""COMPUTED_VALUE"""),"2604D039")</f>
        <v>2604D039</v>
      </c>
      <c r="AD407" s="286">
        <f>IFERROR(__xludf.DUMMYFUNCTION("""COMPUTED_VALUE"""),46120.0)</f>
        <v>46120</v>
      </c>
      <c r="AE407" s="285" t="str">
        <f>IFERROR(__xludf.DUMMYFUNCTION("""COMPUTED_VALUE"""),"Audi firstania")</f>
        <v>Audi firstania</v>
      </c>
      <c r="AF407" s="285" t="str">
        <f>IFERROR(__xludf.DUMMYFUNCTION("""COMPUTED_VALUE"""),"081334332305")</f>
        <v>081334332305</v>
      </c>
      <c r="AG407" s="285" t="str">
        <f>IFERROR(__xludf.DUMMYFUNCTION("""COMPUTED_VALUE"""),"Gagal")</f>
        <v>Gagal</v>
      </c>
      <c r="AH407" s="285"/>
      <c r="AI407" s="287"/>
      <c r="AJ407" s="285"/>
      <c r="AK407" s="289"/>
      <c r="AL407" s="285" t="str">
        <f>IFERROR(__xludf.DUMMYFUNCTION("""COMPUTED_VALUE"""),"deal chat di admin 2")</f>
        <v>deal chat di admin 2</v>
      </c>
    </row>
    <row r="408">
      <c r="F408" s="285" t="str">
        <f>IFERROR(__xludf.DUMMYFUNCTION("""COMPUTED_VALUE"""),"2602D050")</f>
        <v>2602D050</v>
      </c>
      <c r="G408" s="286">
        <f>IFERROR(__xludf.DUMMYFUNCTION("""COMPUTED_VALUE"""),46067.0)</f>
        <v>46067</v>
      </c>
      <c r="H408" s="285" t="str">
        <f>IFERROR(__xludf.DUMMYFUNCTION("""COMPUTED_VALUE"""),"Tripco Indonesia ")</f>
        <v>Tripco Indonesia </v>
      </c>
      <c r="I408" s="285" t="str">
        <f>IFERROR(__xludf.DUMMYFUNCTION("""COMPUTED_VALUE"""),"085156171784")</f>
        <v>085156171784</v>
      </c>
      <c r="J408" s="285" t="str">
        <f>IFERROR(__xludf.DUMMYFUNCTION("""COMPUTED_VALUE"""),"Prospek")</f>
        <v>Prospek</v>
      </c>
      <c r="K408" s="285" t="str">
        <f>IFERROR(__xludf.DUMMYFUNCTION("""COMPUTED_VALUE"""),"4H3M team building ")</f>
        <v>4H3M team building </v>
      </c>
      <c r="L408" s="287"/>
      <c r="M408" s="288">
        <f>IFERROR(__xludf.DUMMYFUNCTION("""COMPUTED_VALUE"""),45.0)</f>
        <v>45</v>
      </c>
      <c r="N408" s="289">
        <f>IFERROR(__xludf.DUMMYFUNCTION("""COMPUTED_VALUE"""),2.7E8)</f>
        <v>270000000</v>
      </c>
      <c r="O408" s="290" t="str">
        <f>IFERROR(__xludf.DUMMYFUNCTION("""COMPUTED_VALUE"""),"mereka ada opsi selain bwi, tunggu di hubungin kembali")</f>
        <v>mereka ada opsi selain bwi, tunggu di hubungin kembali</v>
      </c>
      <c r="P408" s="291" t="str">
        <f>IFERROR(__xludf.DUMMYFUNCTION("""COMPUTED_VALUE"""),"https://docs.google.com/document/d/1uXyLnw8hd1fBYCW7sxMp0YnsQncnUuG1a4gA-FGNX0Q/edit?tab=t.0")</f>
        <v>https://docs.google.com/document/d/1uXyLnw8hd1fBYCW7sxMp0YnsQncnUuG1a4gA-FGNX0Q/edit?tab=t.0</v>
      </c>
      <c r="R408" s="285"/>
      <c r="S408" s="285"/>
      <c r="T408" s="285"/>
      <c r="U408" s="285"/>
      <c r="V408" s="285"/>
      <c r="W408" s="285"/>
      <c r="X408" s="285"/>
      <c r="Y408" s="285"/>
      <c r="Z408" s="285"/>
      <c r="AA408" s="285"/>
      <c r="AC408" s="285" t="str">
        <f>IFERROR(__xludf.DUMMYFUNCTION("""COMPUTED_VALUE"""),"2604D043")</f>
        <v>2604D043</v>
      </c>
      <c r="AD408" s="286">
        <f>IFERROR(__xludf.DUMMYFUNCTION("""COMPUTED_VALUE"""),46121.0)</f>
        <v>46121</v>
      </c>
      <c r="AE408" s="285" t="str">
        <f>IFERROR(__xludf.DUMMYFUNCTION("""COMPUTED_VALUE"""),"ILHAM aji")</f>
        <v>ILHAM aji</v>
      </c>
      <c r="AF408" s="285" t="str">
        <f>IFERROR(__xludf.DUMMYFUNCTION("""COMPUTED_VALUE"""),"085770744552")</f>
        <v>085770744552</v>
      </c>
      <c r="AG408" s="285" t="str">
        <f>IFERROR(__xludf.DUMMYFUNCTION("""COMPUTED_VALUE"""),"Gagal")</f>
        <v>Gagal</v>
      </c>
      <c r="AH408" s="285" t="str">
        <f>IFERROR(__xludf.DUMMYFUNCTION("""COMPUTED_VALUE"""),"trip djawatan, baliuran ")</f>
        <v>trip djawatan, baliuran </v>
      </c>
      <c r="AI408" s="287">
        <f>IFERROR(__xludf.DUMMYFUNCTION("""COMPUTED_VALUE"""),46136.0)</f>
        <v>46136</v>
      </c>
      <c r="AJ408" s="285">
        <f>IFERROR(__xludf.DUMMYFUNCTION("""COMPUTED_VALUE"""),2.0)</f>
        <v>2</v>
      </c>
      <c r="AK408" s="289"/>
      <c r="AL408" s="285" t="str">
        <f>IFERROR(__xludf.DUMMYFUNCTION("""COMPUTED_VALUE"""),"gagalllll")</f>
        <v>gagalllll</v>
      </c>
    </row>
    <row r="409">
      <c r="F409" s="285" t="str">
        <f>IFERROR(__xludf.DUMMYFUNCTION("""COMPUTED_VALUE"""),"2602D076")</f>
        <v>2602D076</v>
      </c>
      <c r="G409" s="286">
        <f>IFERROR(__xludf.DUMMYFUNCTION("""COMPUTED_VALUE"""),46070.0)</f>
        <v>46070</v>
      </c>
      <c r="H409" s="285" t="str">
        <f>IFERROR(__xludf.DUMMYFUNCTION("""COMPUTED_VALUE"""),"Mei Mutlimah")</f>
        <v>Mei Mutlimah</v>
      </c>
      <c r="I409" s="285" t="str">
        <f>IFERROR(__xludf.DUMMYFUNCTION("""COMPUTED_VALUE"""),"085725757304")</f>
        <v>085725757304</v>
      </c>
      <c r="J409" s="285" t="str">
        <f>IFERROR(__xludf.DUMMYFUNCTION("""COMPUTED_VALUE"""),"Prospek")</f>
        <v>Prospek</v>
      </c>
      <c r="K409" s="285" t="str">
        <f>IFERROR(__xludf.DUMMYFUNCTION("""COMPUTED_VALUE"""),"OT 3H2M")</f>
        <v>OT 3H2M</v>
      </c>
      <c r="L409" s="287"/>
      <c r="M409" s="288">
        <f>IFERROR(__xludf.DUMMYFUNCTION("""COMPUTED_VALUE"""),1.0)</f>
        <v>1</v>
      </c>
      <c r="N409" s="289">
        <f>IFERROR(__xludf.DUMMYFUNCTION("""COMPUTED_VALUE"""),1600000.0)</f>
        <v>1600000</v>
      </c>
      <c r="O409" s="290" t="str">
        <f>IFERROR(__xludf.DUMMYFUNCTION("""COMPUTED_VALUE"""),"FU 15 Juni")</f>
        <v>FU 15 Juni</v>
      </c>
      <c r="P409" s="291" t="str">
        <f>IFERROR(__xludf.DUMMYFUNCTION("""COMPUTED_VALUE"""),"https://docs.google.com/document/d/1DRDWKmmjSOvXTvSCfoda4qfFTETdDDY0ftrb1BkuuVU/edit?tab=t.0")</f>
        <v>https://docs.google.com/document/d/1DRDWKmmjSOvXTvSCfoda4qfFTETdDDY0ftrb1BkuuVU/edit?tab=t.0</v>
      </c>
      <c r="R409" s="285"/>
      <c r="S409" s="285"/>
      <c r="T409" s="285"/>
      <c r="U409" s="285"/>
      <c r="V409" s="285"/>
      <c r="W409" s="285"/>
      <c r="X409" s="285"/>
      <c r="Y409" s="285"/>
      <c r="Z409" s="285"/>
      <c r="AA409" s="285"/>
      <c r="AC409" s="285" t="str">
        <f>IFERROR(__xludf.DUMMYFUNCTION("""COMPUTED_VALUE"""),"2604D044")</f>
        <v>2604D044</v>
      </c>
      <c r="AD409" s="286">
        <f>IFERROR(__xludf.DUMMYFUNCTION("""COMPUTED_VALUE"""),46121.0)</f>
        <v>46121</v>
      </c>
      <c r="AE409" s="285" t="str">
        <f>IFERROR(__xludf.DUMMYFUNCTION("""COMPUTED_VALUE"""),"Asna Hasjim")</f>
        <v>Asna Hasjim</v>
      </c>
      <c r="AF409" s="285" t="str">
        <f>IFERROR(__xludf.DUMMYFUNCTION("""COMPUTED_VALUE"""),"08123521577")</f>
        <v>08123521577</v>
      </c>
      <c r="AG409" s="285" t="str">
        <f>IFERROR(__xludf.DUMMYFUNCTION("""COMPUTED_VALUE"""),"Gagal")</f>
        <v>Gagal</v>
      </c>
      <c r="AH409" s="285" t="str">
        <f>IFERROR(__xludf.DUMMYFUNCTION("""COMPUTED_VALUE"""),"paket wisata sby, malang, bwi")</f>
        <v>paket wisata sby, malang, bwi</v>
      </c>
      <c r="AI409" s="287"/>
      <c r="AJ409" s="285">
        <f>IFERROR(__xludf.DUMMYFUNCTION("""COMPUTED_VALUE"""),10.0)</f>
        <v>10</v>
      </c>
      <c r="AK409" s="289"/>
      <c r="AL409" s="285" t="str">
        <f>IFERROR(__xludf.DUMMYFUNCTION("""COMPUTED_VALUE"""),"di arahkan ke holiday")</f>
        <v>di arahkan ke holiday</v>
      </c>
    </row>
    <row r="410">
      <c r="F410" s="285" t="str">
        <f>IFERROR(__xludf.DUMMYFUNCTION("""COMPUTED_VALUE"""),"2603D020")</f>
        <v>2603D020</v>
      </c>
      <c r="G410" s="286">
        <f>IFERROR(__xludf.DUMMYFUNCTION("""COMPUTED_VALUE"""),46085.0)</f>
        <v>46085</v>
      </c>
      <c r="H410" s="285" t="str">
        <f>IFERROR(__xludf.DUMMYFUNCTION("""COMPUTED_VALUE"""),"rafly")</f>
        <v>rafly</v>
      </c>
      <c r="I410" s="285" t="str">
        <f>IFERROR(__xludf.DUMMYFUNCTION("""COMPUTED_VALUE"""),"088210600087")</f>
        <v>088210600087</v>
      </c>
      <c r="J410" s="285" t="str">
        <f>IFERROR(__xludf.DUMMYFUNCTION("""COMPUTED_VALUE"""),"Prospek")</f>
        <v>Prospek</v>
      </c>
      <c r="K410" s="285" t="str">
        <f>IFERROR(__xludf.DUMMYFUNCTION("""COMPUTED_VALUE"""),"one day trip custom")</f>
        <v>one day trip custom</v>
      </c>
      <c r="L410" s="287"/>
      <c r="M410" s="288">
        <f>IFERROR(__xludf.DUMMYFUNCTION("""COMPUTED_VALUE"""),50.0)</f>
        <v>50</v>
      </c>
      <c r="N410" s="289">
        <f>IFERROR(__xludf.DUMMYFUNCTION("""COMPUTED_VALUE"""),4.0E7)</f>
        <v>40000000</v>
      </c>
      <c r="O410" s="290" t="str">
        <f>IFERROR(__xludf.DUMMYFUNCTION("""COMPUTED_VALUE"""),"survey ditunda dulu")</f>
        <v>survey ditunda dulu</v>
      </c>
      <c r="P410" s="291" t="str">
        <f>IFERROR(__xludf.DUMMYFUNCTION("""COMPUTED_VALUE"""),"https://docs.google.com/document/d/1t5yaIXJrE8jZ9lhDjW0V7L8XSaWXoI241xlMwXmphVQ/edit?tab=t.0")</f>
        <v>https://docs.google.com/document/d/1t5yaIXJrE8jZ9lhDjW0V7L8XSaWXoI241xlMwXmphVQ/edit?tab=t.0</v>
      </c>
      <c r="R410" s="285"/>
      <c r="S410" s="285"/>
      <c r="T410" s="285"/>
      <c r="U410" s="285"/>
      <c r="V410" s="285"/>
      <c r="W410" s="285"/>
      <c r="X410" s="285"/>
      <c r="Y410" s="285"/>
      <c r="Z410" s="285"/>
      <c r="AA410" s="285"/>
      <c r="AC410" s="285" t="str">
        <f>IFERROR(__xludf.DUMMYFUNCTION("""COMPUTED_VALUE"""),"2604D046")</f>
        <v>2604D046</v>
      </c>
      <c r="AD410" s="286">
        <f>IFERROR(__xludf.DUMMYFUNCTION("""COMPUTED_VALUE"""),46121.0)</f>
        <v>46121</v>
      </c>
      <c r="AE410" s="285" t="str">
        <f>IFERROR(__xludf.DUMMYFUNCTION("""COMPUTED_VALUE"""),"Fabian Arndtzen")</f>
        <v>Fabian Arndtzen</v>
      </c>
      <c r="AF410" s="285" t="str">
        <f>IFERROR(__xludf.DUMMYFUNCTION("""COMPUTED_VALUE"""),"4540984393")</f>
        <v>4540984393</v>
      </c>
      <c r="AG410" s="285" t="str">
        <f>IFERROR(__xludf.DUMMYFUNCTION("""COMPUTED_VALUE"""),"Gagal")</f>
        <v>Gagal</v>
      </c>
      <c r="AH410" s="285" t="str">
        <f>IFERROR(__xludf.DUMMYFUNCTION("""COMPUTED_VALUE"""),"trip 1D teluk ijo")</f>
        <v>trip 1D teluk ijo</v>
      </c>
      <c r="AI410" s="287"/>
      <c r="AJ410" s="285">
        <f>IFERROR(__xludf.DUMMYFUNCTION("""COMPUTED_VALUE"""),2.0)</f>
        <v>2</v>
      </c>
      <c r="AK410" s="289"/>
      <c r="AL410" s="285" t="str">
        <f>IFERROR(__xludf.DUMMYFUNCTION("""COMPUTED_VALUE"""),"gagall, karena dia mau transportasi nya aja")</f>
        <v>gagall, karena dia mau transportasi nya aja</v>
      </c>
    </row>
    <row r="411">
      <c r="F411" s="285" t="str">
        <f>IFERROR(__xludf.DUMMYFUNCTION("""COMPUTED_VALUE"""),"2603D039")</f>
        <v>2603D039</v>
      </c>
      <c r="G411" s="286">
        <f>IFERROR(__xludf.DUMMYFUNCTION("""COMPUTED_VALUE"""),46089.0)</f>
        <v>46089</v>
      </c>
      <c r="H411" s="285" t="str">
        <f>IFERROR(__xludf.DUMMYFUNCTION("""COMPUTED_VALUE"""),"Aditya Novantiasa")</f>
        <v>Aditya Novantiasa</v>
      </c>
      <c r="I411" s="285" t="str">
        <f>IFERROR(__xludf.DUMMYFUNCTION("""COMPUTED_VALUE"""),"085695861182")</f>
        <v>085695861182</v>
      </c>
      <c r="J411" s="285" t="str">
        <f>IFERROR(__xludf.DUMMYFUNCTION("""COMPUTED_VALUE"""),"Prospek")</f>
        <v>Prospek</v>
      </c>
      <c r="K411" s="285" t="str">
        <f>IFERROR(__xludf.DUMMYFUNCTION("""COMPUTED_VALUE"""),"3H2M")</f>
        <v>3H2M</v>
      </c>
      <c r="L411" s="287"/>
      <c r="M411" s="288">
        <f>IFERROR(__xludf.DUMMYFUNCTION("""COMPUTED_VALUE"""),60.0)</f>
        <v>60</v>
      </c>
      <c r="N411" s="289">
        <f>IFERROR(__xludf.DUMMYFUNCTION("""COMPUTED_VALUE"""),1.431E8)</f>
        <v>143100000</v>
      </c>
      <c r="O411" s="290" t="str">
        <f>IFERROR(__xludf.DUMMYFUNCTION("""COMPUTED_VALUE"""),"sedang meeting dg client, FU 3 Juli")</f>
        <v>sedang meeting dg client, FU 3 Juli</v>
      </c>
      <c r="P411" s="291" t="str">
        <f>IFERROR(__xludf.DUMMYFUNCTION("""COMPUTED_VALUE"""),"https://docs.google.com/document/d/1NB8XufaILagXcrmdAimDWR-rogYLQtSpvRTYBPtcaRo/edit?tab=t.0")</f>
        <v>https://docs.google.com/document/d/1NB8XufaILagXcrmdAimDWR-rogYLQtSpvRTYBPtcaRo/edit?tab=t.0</v>
      </c>
      <c r="R411" s="285"/>
      <c r="S411" s="285"/>
      <c r="T411" s="285"/>
      <c r="U411" s="285"/>
      <c r="V411" s="285"/>
      <c r="W411" s="285"/>
      <c r="X411" s="285"/>
      <c r="Y411" s="285"/>
      <c r="Z411" s="285"/>
      <c r="AA411" s="285"/>
      <c r="AC411" s="285" t="str">
        <f>IFERROR(__xludf.DUMMYFUNCTION("""COMPUTED_VALUE"""),"2604D047")</f>
        <v>2604D047</v>
      </c>
      <c r="AD411" s="286">
        <f>IFERROR(__xludf.DUMMYFUNCTION("""COMPUTED_VALUE"""),46122.0)</f>
        <v>46122</v>
      </c>
      <c r="AE411" s="285" t="str">
        <f>IFERROR(__xludf.DUMMYFUNCTION("""COMPUTED_VALUE"""),"Yanti")</f>
        <v>Yanti</v>
      </c>
      <c r="AF411" s="285" t="str">
        <f>IFERROR(__xludf.DUMMYFUNCTION("""COMPUTED_VALUE"""),"081281105743")</f>
        <v>081281105743</v>
      </c>
      <c r="AG411" s="285" t="str">
        <f>IFERROR(__xludf.DUMMYFUNCTION("""COMPUTED_VALUE"""),"Gagal")</f>
        <v>Gagal</v>
      </c>
      <c r="AH411" s="285" t="str">
        <f>IFERROR(__xludf.DUMMYFUNCTION("""COMPUTED_VALUE"""),"3h2m custome")</f>
        <v>3h2m custome</v>
      </c>
      <c r="AI411" s="287">
        <f>IFERROR(__xludf.DUMMYFUNCTION("""COMPUTED_VALUE"""),46156.0)</f>
        <v>46156</v>
      </c>
      <c r="AJ411" s="285">
        <f>IFERROR(__xludf.DUMMYFUNCTION("""COMPUTED_VALUE"""),4.0)</f>
        <v>4</v>
      </c>
      <c r="AK411" s="289">
        <f>IFERROR(__xludf.DUMMYFUNCTION("""COMPUTED_VALUE"""),6040000.0)</f>
        <v>6040000</v>
      </c>
      <c r="AL411" s="285" t="str">
        <f>IFERROR(__xludf.DUMMYFUNCTION("""COMPUTED_VALUE"""),"gagallll")</f>
        <v>gagallll</v>
      </c>
    </row>
    <row r="412">
      <c r="F412" s="285" t="str">
        <f>IFERROR(__xludf.DUMMYFUNCTION("""COMPUTED_VALUE"""),"2607D039")</f>
        <v>2607D039</v>
      </c>
      <c r="G412" s="286">
        <f>IFERROR(__xludf.DUMMYFUNCTION("""COMPUTED_VALUE"""),46210.0)</f>
        <v>46210</v>
      </c>
      <c r="H412" s="285" t="str">
        <f>IFERROR(__xludf.DUMMYFUNCTION("""COMPUTED_VALUE"""),"Bela Febrya PCI")</f>
        <v>Bela Febrya PCI</v>
      </c>
      <c r="I412" s="285" t="str">
        <f>IFERROR(__xludf.DUMMYFUNCTION("""COMPUTED_VALUE"""),"085692046269")</f>
        <v>085692046269</v>
      </c>
      <c r="J412" s="285" t="str">
        <f>IFERROR(__xludf.DUMMYFUNCTION("""COMPUTED_VALUE"""),"Prospek")</f>
        <v>Prospek</v>
      </c>
      <c r="K412" s="285" t="str">
        <f>IFERROR(__xludf.DUMMYFUNCTION("""COMPUTED_VALUE"""),"3H2M opsi A")</f>
        <v>3H2M opsi A</v>
      </c>
      <c r="L412" s="287"/>
      <c r="M412" s="288">
        <f>IFERROR(__xludf.DUMMYFUNCTION("""COMPUTED_VALUE"""),126.0)</f>
        <v>126</v>
      </c>
      <c r="N412" s="289"/>
      <c r="O412" s="290" t="str">
        <f>IFERROR(__xludf.DUMMYFUNCTION("""COMPUTED_VALUE"""),"kirim penawaran, FU 30 Juli")</f>
        <v>kirim penawaran, FU 30 Juli</v>
      </c>
      <c r="P412" s="320"/>
      <c r="R412" s="285"/>
      <c r="S412" s="285"/>
      <c r="T412" s="285"/>
      <c r="U412" s="285"/>
      <c r="V412" s="285"/>
      <c r="W412" s="285"/>
      <c r="X412" s="285"/>
      <c r="Y412" s="285"/>
      <c r="Z412" s="285"/>
      <c r="AA412" s="285"/>
      <c r="AC412" s="285" t="str">
        <f>IFERROR(__xludf.DUMMYFUNCTION("""COMPUTED_VALUE"""),"2604D048")</f>
        <v>2604D048</v>
      </c>
      <c r="AD412" s="286">
        <f>IFERROR(__xludf.DUMMYFUNCTION("""COMPUTED_VALUE"""),46122.0)</f>
        <v>46122</v>
      </c>
      <c r="AE412" s="285" t="str">
        <f>IFERROR(__xludf.DUMMYFUNCTION("""COMPUTED_VALUE"""),"Akhmad Fais")</f>
        <v>Akhmad Fais</v>
      </c>
      <c r="AF412" s="285" t="str">
        <f>IFERROR(__xludf.DUMMYFUNCTION("""COMPUTED_VALUE"""),"0859187532463")</f>
        <v>0859187532463</v>
      </c>
      <c r="AG412" s="285" t="str">
        <f>IFERROR(__xludf.DUMMYFUNCTION("""COMPUTED_VALUE"""),"Gagal")</f>
        <v>Gagal</v>
      </c>
      <c r="AH412" s="285" t="str">
        <f>IFERROR(__xludf.DUMMYFUNCTION("""COMPUTED_VALUE"""),"trip menjangan tabuhan ")</f>
        <v>trip menjangan tabuhan </v>
      </c>
      <c r="AI412" s="287">
        <f>IFERROR(__xludf.DUMMYFUNCTION("""COMPUTED_VALUE"""),46135.0)</f>
        <v>46135</v>
      </c>
      <c r="AJ412" s="285">
        <f>IFERROR(__xludf.DUMMYFUNCTION("""COMPUTED_VALUE"""),5.0)</f>
        <v>5</v>
      </c>
      <c r="AK412" s="289"/>
      <c r="AL412" s="285" t="str">
        <f>IFERROR(__xludf.DUMMYFUNCTION("""COMPUTED_VALUE"""),"belum jadi tripp")</f>
        <v>belum jadi tripp</v>
      </c>
    </row>
    <row r="413">
      <c r="F413" s="285" t="str">
        <f>IFERROR(__xludf.DUMMYFUNCTION("""COMPUTED_VALUE"""),"2607D051")</f>
        <v>2607D051</v>
      </c>
      <c r="G413" s="286">
        <f>IFERROR(__xludf.DUMMYFUNCTION("""COMPUTED_VALUE"""),46210.0)</f>
        <v>46210</v>
      </c>
      <c r="H413" s="285" t="str">
        <f>IFERROR(__xludf.DUMMYFUNCTION("""COMPUTED_VALUE"""),"Anggun")</f>
        <v>Anggun</v>
      </c>
      <c r="I413" s="285" t="str">
        <f>IFERROR(__xludf.DUMMYFUNCTION("""COMPUTED_VALUE"""),"089606428293")</f>
        <v>089606428293</v>
      </c>
      <c r="J413" s="285" t="str">
        <f>IFERROR(__xludf.DUMMYFUNCTION("""COMPUTED_VALUE"""),"Prospek")</f>
        <v>Prospek</v>
      </c>
      <c r="K413" s="285" t="str">
        <f>IFERROR(__xludf.DUMMYFUNCTION("""COMPUTED_VALUE"""),"3H2M ")</f>
        <v>3H2M </v>
      </c>
      <c r="L413" s="287">
        <f>IFERROR(__xludf.DUMMYFUNCTION("""COMPUTED_VALUE"""),46283.0)</f>
        <v>46283</v>
      </c>
      <c r="M413" s="288">
        <f>IFERROR(__xludf.DUMMYFUNCTION("""COMPUTED_VALUE"""),15.0)</f>
        <v>15</v>
      </c>
      <c r="N413" s="289"/>
      <c r="O413" s="290" t="str">
        <f>IFERROR(__xludf.DUMMYFUNCTION("""COMPUTED_VALUE"""),"FU 20 Juii")</f>
        <v>FU 20 Juii</v>
      </c>
      <c r="P413" s="320"/>
      <c r="R413" s="285"/>
      <c r="S413" s="285"/>
      <c r="T413" s="285"/>
      <c r="U413" s="285"/>
      <c r="V413" s="285"/>
      <c r="W413" s="285"/>
      <c r="X413" s="285"/>
      <c r="Y413" s="285"/>
      <c r="Z413" s="285"/>
      <c r="AA413" s="285"/>
      <c r="AC413" s="285" t="str">
        <f>IFERROR(__xludf.DUMMYFUNCTION("""COMPUTED_VALUE"""),"2604D049")</f>
        <v>2604D049</v>
      </c>
      <c r="AD413" s="286">
        <f>IFERROR(__xludf.DUMMYFUNCTION("""COMPUTED_VALUE"""),46122.0)</f>
        <v>46122</v>
      </c>
      <c r="AE413" s="285" t="str">
        <f>IFERROR(__xludf.DUMMYFUNCTION("""COMPUTED_VALUE"""),"Tina")</f>
        <v>Tina</v>
      </c>
      <c r="AF413" s="285" t="str">
        <f>IFERROR(__xludf.DUMMYFUNCTION("""COMPUTED_VALUE"""),"082149664011")</f>
        <v>082149664011</v>
      </c>
      <c r="AG413" s="285" t="str">
        <f>IFERROR(__xludf.DUMMYFUNCTION("""COMPUTED_VALUE"""),"Gagal")</f>
        <v>Gagal</v>
      </c>
      <c r="AH413" s="285" t="str">
        <f>IFERROR(__xludf.DUMMYFUNCTION("""COMPUTED_VALUE"""),"trip ijen")</f>
        <v>trip ijen</v>
      </c>
      <c r="AI413" s="287">
        <f>IFERROR(__xludf.DUMMYFUNCTION("""COMPUTED_VALUE"""),46144.0)</f>
        <v>46144</v>
      </c>
      <c r="AJ413" s="285">
        <f>IFERROR(__xludf.DUMMYFUNCTION("""COMPUTED_VALUE"""),1.0)</f>
        <v>1</v>
      </c>
      <c r="AK413" s="289"/>
      <c r="AL413" s="285" t="str">
        <f>IFERROR(__xludf.DUMMYFUNCTION("""COMPUTED_VALUE"""),"ditunda dulu nunggu blue fire dibuka lagi, dihubungi lagi nanti")</f>
        <v>ditunda dulu nunggu blue fire dibuka lagi, dihubungi lagi nanti</v>
      </c>
    </row>
    <row r="414">
      <c r="F414" s="285" t="str">
        <f>IFERROR(__xludf.DUMMYFUNCTION("""COMPUTED_VALUE"""),"2601D131")</f>
        <v>2601D131</v>
      </c>
      <c r="G414" s="286">
        <f>IFERROR(__xludf.DUMMYFUNCTION("""COMPUTED_VALUE"""),46039.0)</f>
        <v>46039</v>
      </c>
      <c r="H414" s="285" t="str">
        <f>IFERROR(__xludf.DUMMYFUNCTION("""COMPUTED_VALUE"""),"Wiwit Septiyawati")</f>
        <v>Wiwit Septiyawati</v>
      </c>
      <c r="I414" s="285" t="str">
        <f>IFERROR(__xludf.DUMMYFUNCTION("""COMPUTED_VALUE"""),"087742092442")</f>
        <v>087742092442</v>
      </c>
      <c r="J414" s="285" t="str">
        <f>IFERROR(__xludf.DUMMYFUNCTION("""COMPUTED_VALUE"""),"Follow Up")</f>
        <v>Follow Up</v>
      </c>
      <c r="K414" s="285" t="str">
        <f>IFERROR(__xludf.DUMMYFUNCTION("""COMPUTED_VALUE"""),"custom 2H1M")</f>
        <v>custom 2H1M</v>
      </c>
      <c r="L414" s="287"/>
      <c r="M414" s="288">
        <f>IFERROR(__xludf.DUMMYFUNCTION("""COMPUTED_VALUE"""),2.0)</f>
        <v>2</v>
      </c>
      <c r="N414" s="289">
        <f>IFERROR(__xludf.DUMMYFUNCTION("""COMPUTED_VALUE"""),3400000.0)</f>
        <v>3400000</v>
      </c>
      <c r="O414" s="290" t="str">
        <f>IFERROR(__xludf.DUMMYFUNCTION("""COMPUTED_VALUE"""),"FU 28 Juli")</f>
        <v>FU 28 Juli</v>
      </c>
      <c r="P414" s="291" t="str">
        <f>IFERROR(__xludf.DUMMYFUNCTION("""COMPUTED_VALUE"""),"https://docs.google.com/document/d/136SMbtvX3TL4Cj5B8n8miIXkxwe4gUR4X2iSv7S4rO8/edit?tab=t.0")</f>
        <v>https://docs.google.com/document/d/136SMbtvX3TL4Cj5B8n8miIXkxwe4gUR4X2iSv7S4rO8/edit?tab=t.0</v>
      </c>
      <c r="R414" s="285"/>
      <c r="S414" s="285"/>
      <c r="T414" s="285"/>
      <c r="U414" s="285"/>
      <c r="V414" s="285"/>
      <c r="W414" s="285"/>
      <c r="X414" s="285"/>
      <c r="Y414" s="285"/>
      <c r="Z414" s="285"/>
      <c r="AA414" s="285"/>
      <c r="AC414" s="285" t="str">
        <f>IFERROR(__xludf.DUMMYFUNCTION("""COMPUTED_VALUE"""),"2604D051")</f>
        <v>2604D051</v>
      </c>
      <c r="AD414" s="286">
        <f>IFERROR(__xludf.DUMMYFUNCTION("""COMPUTED_VALUE"""),46123.0)</f>
        <v>46123</v>
      </c>
      <c r="AE414" s="285" t="str">
        <f>IFERROR(__xludf.DUMMYFUNCTION("""COMPUTED_VALUE"""),"Ria")</f>
        <v>Ria</v>
      </c>
      <c r="AF414" s="285" t="str">
        <f>IFERROR(__xludf.DUMMYFUNCTION("""COMPUTED_VALUE"""),"447368848471")</f>
        <v>447368848471</v>
      </c>
      <c r="AG414" s="285" t="str">
        <f>IFERROR(__xludf.DUMMYFUNCTION("""COMPUTED_VALUE"""),"Gagal")</f>
        <v>Gagal</v>
      </c>
      <c r="AH414" s="285"/>
      <c r="AI414" s="287"/>
      <c r="AJ414" s="285"/>
      <c r="AK414" s="289"/>
      <c r="AL414" s="285" t="str">
        <f>IFERROR(__xludf.DUMMYFUNCTION("""COMPUTED_VALUE"""),"hanya menyapa")</f>
        <v>hanya menyapa</v>
      </c>
    </row>
    <row r="415">
      <c r="F415" s="285" t="str">
        <f>IFERROR(__xludf.DUMMYFUNCTION("""COMPUTED_VALUE"""),"2601D162")</f>
        <v>2601D162</v>
      </c>
      <c r="G415" s="286">
        <f>IFERROR(__xludf.DUMMYFUNCTION("""COMPUTED_VALUE"""),46045.0)</f>
        <v>46045</v>
      </c>
      <c r="H415" s="285" t="str">
        <f>IFERROR(__xludf.DUMMYFUNCTION("""COMPUTED_VALUE"""),"Shafna dinar")</f>
        <v>Shafna dinar</v>
      </c>
      <c r="I415" s="285" t="str">
        <f>IFERROR(__xludf.DUMMYFUNCTION("""COMPUTED_VALUE"""),"085156081067")</f>
        <v>085156081067</v>
      </c>
      <c r="J415" s="285" t="str">
        <f>IFERROR(__xludf.DUMMYFUNCTION("""COMPUTED_VALUE"""),"Follow Up")</f>
        <v>Follow Up</v>
      </c>
      <c r="K415" s="285" t="str">
        <f>IFERROR(__xludf.DUMMYFUNCTION("""COMPUTED_VALUE"""),"OT 3H2M")</f>
        <v>OT 3H2M</v>
      </c>
      <c r="L415" s="287"/>
      <c r="M415" s="288">
        <f>IFERROR(__xludf.DUMMYFUNCTION("""COMPUTED_VALUE"""),2.0)</f>
        <v>2</v>
      </c>
      <c r="N415" s="289">
        <f>IFERROR(__xludf.DUMMYFUNCTION("""COMPUTED_VALUE"""),3200000.0)</f>
        <v>3200000</v>
      </c>
      <c r="O415" s="290" t="str">
        <f>IFERROR(__xludf.DUMMYFUNCTION("""COMPUTED_VALUE"""),"sudah FU, FU lagi 13 Juni")</f>
        <v>sudah FU, FU lagi 13 Juni</v>
      </c>
      <c r="P415" s="291" t="str">
        <f>IFERROR(__xludf.DUMMYFUNCTION("""COMPUTED_VALUE"""),"https://docs.google.com/document/d/1FChC5lKKlcfwOPMJMUHK78mBVTrB_tiworHHjIiS8_Y/edit?tab=t.0")</f>
        <v>https://docs.google.com/document/d/1FChC5lKKlcfwOPMJMUHK78mBVTrB_tiworHHjIiS8_Y/edit?tab=t.0</v>
      </c>
      <c r="R415" s="285"/>
      <c r="S415" s="285"/>
      <c r="T415" s="285"/>
      <c r="U415" s="285"/>
      <c r="V415" s="285"/>
      <c r="W415" s="285"/>
      <c r="X415" s="285"/>
      <c r="Y415" s="285"/>
      <c r="Z415" s="285"/>
      <c r="AA415" s="285"/>
      <c r="AC415" s="285" t="str">
        <f>IFERROR(__xludf.DUMMYFUNCTION("""COMPUTED_VALUE"""),"2604D053")</f>
        <v>2604D053</v>
      </c>
      <c r="AD415" s="286">
        <f>IFERROR(__xludf.DUMMYFUNCTION("""COMPUTED_VALUE"""),46123.0)</f>
        <v>46123</v>
      </c>
      <c r="AE415" s="285" t="str">
        <f>IFERROR(__xludf.DUMMYFUNCTION("""COMPUTED_VALUE"""),"Harjanto")</f>
        <v>Harjanto</v>
      </c>
      <c r="AF415" s="285" t="str">
        <f>IFERROR(__xludf.DUMMYFUNCTION("""COMPUTED_VALUE"""),"085812821113")</f>
        <v>085812821113</v>
      </c>
      <c r="AG415" s="285" t="str">
        <f>IFERROR(__xludf.DUMMYFUNCTION("""COMPUTED_VALUE"""),"Gagal")</f>
        <v>Gagal</v>
      </c>
      <c r="AH415" s="285" t="str">
        <f>IFERROR(__xludf.DUMMYFUNCTION("""COMPUTED_VALUE"""),"4H3M")</f>
        <v>4H3M</v>
      </c>
      <c r="AI415" s="287">
        <f>IFERROR(__xludf.DUMMYFUNCTION("""COMPUTED_VALUE"""),46154.0)</f>
        <v>46154</v>
      </c>
      <c r="AJ415" s="285">
        <f>IFERROR(__xludf.DUMMYFUNCTION("""COMPUTED_VALUE"""),2.0)</f>
        <v>2</v>
      </c>
      <c r="AK415" s="289"/>
      <c r="AL415" s="285" t="str">
        <f>IFERROR(__xludf.DUMMYFUNCTION("""COMPUTED_VALUE"""),"lewat tanggal")</f>
        <v>lewat tanggal</v>
      </c>
    </row>
    <row r="416">
      <c r="F416" s="285" t="str">
        <f>IFERROR(__xludf.DUMMYFUNCTION("""COMPUTED_VALUE"""),"2604D107")</f>
        <v>2604D107</v>
      </c>
      <c r="G416" s="286">
        <f>IFERROR(__xludf.DUMMYFUNCTION("""COMPUTED_VALUE"""),46133.0)</f>
        <v>46133</v>
      </c>
      <c r="H416" s="285" t="str">
        <f>IFERROR(__xludf.DUMMYFUNCTION("""COMPUTED_VALUE"""),"Laili  ")</f>
        <v>Laili  </v>
      </c>
      <c r="I416" s="285" t="str">
        <f>IFERROR(__xludf.DUMMYFUNCTION("""COMPUTED_VALUE"""),"087753967585")</f>
        <v>087753967585</v>
      </c>
      <c r="J416" s="285" t="str">
        <f>IFERROR(__xludf.DUMMYFUNCTION("""COMPUTED_VALUE"""),"Follow Up")</f>
        <v>Follow Up</v>
      </c>
      <c r="K416" s="285" t="str">
        <f>IFERROR(__xludf.DUMMYFUNCTION("""COMPUTED_VALUE"""),"3h2m ")</f>
        <v>3h2m </v>
      </c>
      <c r="L416" s="287"/>
      <c r="M416" s="288">
        <f>IFERROR(__xludf.DUMMYFUNCTION("""COMPUTED_VALUE"""),60.0)</f>
        <v>60</v>
      </c>
      <c r="N416" s="289">
        <f>IFERROR(__xludf.DUMMYFUNCTION("""COMPUTED_VALUE"""),8.31E7)</f>
        <v>83100000</v>
      </c>
      <c r="O416" s="290" t="str">
        <f>IFERROR(__xludf.DUMMYFUNCTION("""COMPUTED_VALUE"""),"kirim penawaran, belum ada balasan")</f>
        <v>kirim penawaran, belum ada balasan</v>
      </c>
      <c r="P416" s="291" t="str">
        <f>IFERROR(__xludf.DUMMYFUNCTION("""COMPUTED_VALUE"""),"https://docs.google.com/document/d/1bKxe1ycKmo9cuWtnuOPOjlrPx29JYMR1Nj9Yznf_MaU/edit?tab=t.0")</f>
        <v>https://docs.google.com/document/d/1bKxe1ycKmo9cuWtnuOPOjlrPx29JYMR1Nj9Yznf_MaU/edit?tab=t.0</v>
      </c>
      <c r="R416" s="285"/>
      <c r="S416" s="285"/>
      <c r="T416" s="285"/>
      <c r="U416" s="285"/>
      <c r="V416" s="285"/>
      <c r="W416" s="285"/>
      <c r="X416" s="285"/>
      <c r="Y416" s="285"/>
      <c r="Z416" s="285"/>
      <c r="AA416" s="285"/>
      <c r="AC416" s="285" t="str">
        <f>IFERROR(__xludf.DUMMYFUNCTION("""COMPUTED_VALUE"""),"2604D054")</f>
        <v>2604D054</v>
      </c>
      <c r="AD416" s="286">
        <f>IFERROR(__xludf.DUMMYFUNCTION("""COMPUTED_VALUE"""),46123.0)</f>
        <v>46123</v>
      </c>
      <c r="AE416" s="285" t="str">
        <f>IFERROR(__xludf.DUMMYFUNCTION("""COMPUTED_VALUE"""),"Endyah Siwi")</f>
        <v>Endyah Siwi</v>
      </c>
      <c r="AF416" s="285" t="str">
        <f>IFERROR(__xludf.DUMMYFUNCTION("""COMPUTED_VALUE"""),"082137978784")</f>
        <v>082137978784</v>
      </c>
      <c r="AG416" s="285" t="str">
        <f>IFERROR(__xludf.DUMMYFUNCTION("""COMPUTED_VALUE"""),"Gagal")</f>
        <v>Gagal</v>
      </c>
      <c r="AH416" s="285" t="str">
        <f>IFERROR(__xludf.DUMMYFUNCTION("""COMPUTED_VALUE"""),"ot 3h2m ")</f>
        <v>ot 3h2m </v>
      </c>
      <c r="AI416" s="287"/>
      <c r="AJ416" s="285">
        <f>IFERROR(__xludf.DUMMYFUNCTION("""COMPUTED_VALUE"""),1.0)</f>
        <v>1</v>
      </c>
      <c r="AK416" s="289"/>
      <c r="AL416" s="285" t="str">
        <f>IFERROR(__xludf.DUMMYFUNCTION("""COMPUTED_VALUE"""),"gagallll")</f>
        <v>gagallll</v>
      </c>
    </row>
    <row r="417">
      <c r="F417" s="285" t="str">
        <f>IFERROR(__xludf.DUMMYFUNCTION("""COMPUTED_VALUE"""),"2606D180")</f>
        <v>2606D180</v>
      </c>
      <c r="G417" s="286">
        <f>IFERROR(__xludf.DUMMYFUNCTION("""COMPUTED_VALUE"""),46196.0)</f>
        <v>46196</v>
      </c>
      <c r="H417" s="285" t="str">
        <f>IFERROR(__xludf.DUMMYFUNCTION("""COMPUTED_VALUE"""),"Wianita Tumanggor")</f>
        <v>Wianita Tumanggor</v>
      </c>
      <c r="I417" s="285" t="str">
        <f>IFERROR(__xludf.DUMMYFUNCTION("""COMPUTED_VALUE"""),"082277042165")</f>
        <v>082277042165</v>
      </c>
      <c r="J417" s="285" t="str">
        <f>IFERROR(__xludf.DUMMYFUNCTION("""COMPUTED_VALUE"""),"Hot Leads")</f>
        <v>Hot Leads</v>
      </c>
      <c r="K417" s="285" t="str">
        <f>IFERROR(__xludf.DUMMYFUNCTION("""COMPUTED_VALUE"""),"OT 3H2M")</f>
        <v>OT 3H2M</v>
      </c>
      <c r="L417" s="287">
        <f>IFERROR(__xludf.DUMMYFUNCTION("""COMPUTED_VALUE"""),46220.0)</f>
        <v>46220</v>
      </c>
      <c r="M417" s="288">
        <f>IFERROR(__xludf.DUMMYFUNCTION("""COMPUTED_VALUE"""),3.0)</f>
        <v>3</v>
      </c>
      <c r="N417" s="289"/>
      <c r="O417" s="290" t="str">
        <f>IFERROR(__xludf.DUMMYFUNCTION("""COMPUTED_VALUE"""),"kirim foem reservasi")</f>
        <v>kirim foem reservasi</v>
      </c>
      <c r="P417" s="320"/>
      <c r="R417" s="285"/>
      <c r="S417" s="285"/>
      <c r="T417" s="285"/>
      <c r="U417" s="285"/>
      <c r="V417" s="285"/>
      <c r="W417" s="285"/>
      <c r="X417" s="285"/>
      <c r="Y417" s="285"/>
      <c r="Z417" s="285"/>
      <c r="AA417" s="285"/>
      <c r="AC417" s="285" t="str">
        <f>IFERROR(__xludf.DUMMYFUNCTION("""COMPUTED_VALUE"""),"2604D057")</f>
        <v>2604D057</v>
      </c>
      <c r="AD417" s="286">
        <f>IFERROR(__xludf.DUMMYFUNCTION("""COMPUTED_VALUE"""),46123.0)</f>
        <v>46123</v>
      </c>
      <c r="AE417" s="285" t="str">
        <f>IFERROR(__xludf.DUMMYFUNCTION("""COMPUTED_VALUE"""),"Resti Cendana Wiradesa")</f>
        <v>Resti Cendana Wiradesa</v>
      </c>
      <c r="AF417" s="285" t="str">
        <f>IFERROR(__xludf.DUMMYFUNCTION("""COMPUTED_VALUE"""),"085747254152")</f>
        <v>085747254152</v>
      </c>
      <c r="AG417" s="285" t="str">
        <f>IFERROR(__xludf.DUMMYFUNCTION("""COMPUTED_VALUE"""),"Gagal")</f>
        <v>Gagal</v>
      </c>
      <c r="AH417" s="285" t="str">
        <f>IFERROR(__xludf.DUMMYFUNCTION("""COMPUTED_VALUE"""),"OT MT")</f>
        <v>OT MT</v>
      </c>
      <c r="AI417" s="287"/>
      <c r="AJ417" s="285">
        <f>IFERROR(__xludf.DUMMYFUNCTION("""COMPUTED_VALUE"""),2.0)</f>
        <v>2</v>
      </c>
      <c r="AK417" s="289">
        <f>IFERROR(__xludf.DUMMYFUNCTION("""COMPUTED_VALUE"""),590000.0)</f>
        <v>590000</v>
      </c>
      <c r="AL417" s="285" t="str">
        <f>IFERROR(__xludf.DUMMYFUNCTION("""COMPUTED_VALUE"""),"kendala suami masih kerja, diskusi lagi tanggal nya")</f>
        <v>kendala suami masih kerja, diskusi lagi tanggal nya</v>
      </c>
    </row>
    <row r="418">
      <c r="F418" s="285"/>
      <c r="G418" s="285"/>
      <c r="H418" s="285"/>
      <c r="I418" s="285"/>
      <c r="J418" s="285"/>
      <c r="K418" s="285"/>
      <c r="L418" s="285"/>
      <c r="M418" s="288"/>
      <c r="N418" s="285"/>
      <c r="O418" s="290"/>
      <c r="P418" s="320"/>
      <c r="R418" s="285"/>
      <c r="S418" s="285"/>
      <c r="T418" s="285"/>
      <c r="U418" s="285"/>
      <c r="V418" s="285"/>
      <c r="W418" s="285"/>
      <c r="X418" s="285"/>
      <c r="Y418" s="285"/>
      <c r="Z418" s="285"/>
      <c r="AA418" s="285"/>
      <c r="AC418" s="285" t="str">
        <f>IFERROR(__xludf.DUMMYFUNCTION("""COMPUTED_VALUE"""),"2604D058")</f>
        <v>2604D058</v>
      </c>
      <c r="AD418" s="286">
        <f>IFERROR(__xludf.DUMMYFUNCTION("""COMPUTED_VALUE"""),46124.0)</f>
        <v>46124</v>
      </c>
      <c r="AE418" s="285" t="str">
        <f>IFERROR(__xludf.DUMMYFUNCTION("""COMPUTED_VALUE"""),"No name (titik)")</f>
        <v>No name (titik)</v>
      </c>
      <c r="AF418" s="285" t="str">
        <f>IFERROR(__xludf.DUMMYFUNCTION("""COMPUTED_VALUE"""),"08893515642")</f>
        <v>08893515642</v>
      </c>
      <c r="AG418" s="285" t="str">
        <f>IFERROR(__xludf.DUMMYFUNCTION("""COMPUTED_VALUE"""),"Gagal")</f>
        <v>Gagal</v>
      </c>
      <c r="AH418" s="285"/>
      <c r="AI418" s="287"/>
      <c r="AJ418" s="285"/>
      <c r="AK418" s="289"/>
      <c r="AL418" s="285" t="str">
        <f>IFERROR(__xludf.DUMMYFUNCTION("""COMPUTED_VALUE"""),"ga bls")</f>
        <v>ga bls</v>
      </c>
    </row>
    <row r="419">
      <c r="F419" s="285"/>
      <c r="G419" s="285"/>
      <c r="H419" s="285"/>
      <c r="I419" s="285"/>
      <c r="J419" s="285"/>
      <c r="K419" s="285"/>
      <c r="L419" s="285"/>
      <c r="M419" s="288"/>
      <c r="N419" s="285"/>
      <c r="O419" s="290"/>
      <c r="P419" s="320"/>
      <c r="R419" s="285"/>
      <c r="S419" s="285"/>
      <c r="T419" s="285"/>
      <c r="U419" s="285"/>
      <c r="V419" s="285"/>
      <c r="W419" s="285"/>
      <c r="X419" s="285"/>
      <c r="Y419" s="285"/>
      <c r="Z419" s="285"/>
      <c r="AA419" s="285"/>
      <c r="AC419" s="285" t="str">
        <f>IFERROR(__xludf.DUMMYFUNCTION("""COMPUTED_VALUE"""),"2604D059")</f>
        <v>2604D059</v>
      </c>
      <c r="AD419" s="286">
        <f>IFERROR(__xludf.DUMMYFUNCTION("""COMPUTED_VALUE"""),46123.0)</f>
        <v>46123</v>
      </c>
      <c r="AE419" s="285" t="str">
        <f>IFERROR(__xludf.DUMMYFUNCTION("""COMPUTED_VALUE"""),"No name garis")</f>
        <v>No name garis</v>
      </c>
      <c r="AF419" s="285" t="str">
        <f>IFERROR(__xludf.DUMMYFUNCTION("""COMPUTED_VALUE"""),"08112424428")</f>
        <v>08112424428</v>
      </c>
      <c r="AG419" s="285" t="str">
        <f>IFERROR(__xludf.DUMMYFUNCTION("""COMPUTED_VALUE"""),"Gagal")</f>
        <v>Gagal</v>
      </c>
      <c r="AH419" s="285"/>
      <c r="AI419" s="287"/>
      <c r="AJ419" s="285"/>
      <c r="AK419" s="289"/>
      <c r="AL419" s="285" t="str">
        <f>IFERROR(__xludf.DUMMYFUNCTION("""COMPUTED_VALUE"""),"gagal, di arahkan ke Holiday")</f>
        <v>gagal, di arahkan ke Holiday</v>
      </c>
    </row>
    <row r="420">
      <c r="F420" s="285"/>
      <c r="G420" s="285"/>
      <c r="H420" s="285"/>
      <c r="I420" s="285"/>
      <c r="J420" s="285"/>
      <c r="K420" s="285"/>
      <c r="L420" s="285"/>
      <c r="M420" s="288"/>
      <c r="N420" s="285"/>
      <c r="O420" s="290"/>
      <c r="P420" s="320"/>
      <c r="R420" s="285"/>
      <c r="S420" s="285"/>
      <c r="T420" s="285"/>
      <c r="U420" s="285"/>
      <c r="V420" s="285"/>
      <c r="W420" s="285"/>
      <c r="X420" s="285"/>
      <c r="Y420" s="285"/>
      <c r="Z420" s="285"/>
      <c r="AA420" s="285"/>
      <c r="AC420" s="285" t="str">
        <f>IFERROR(__xludf.DUMMYFUNCTION("""COMPUTED_VALUE"""),"2604D060")</f>
        <v>2604D060</v>
      </c>
      <c r="AD420" s="286">
        <f>IFERROR(__xludf.DUMMYFUNCTION("""COMPUTED_VALUE"""),46122.0)</f>
        <v>46122</v>
      </c>
      <c r="AE420" s="285" t="str">
        <f>IFERROR(__xludf.DUMMYFUNCTION("""COMPUTED_VALUE"""),"No name malang")</f>
        <v>No name malang</v>
      </c>
      <c r="AF420" s="285" t="str">
        <f>IFERROR(__xludf.DUMMYFUNCTION("""COMPUTED_VALUE"""),"081230528752")</f>
        <v>081230528752</v>
      </c>
      <c r="AG420" s="285" t="str">
        <f>IFERROR(__xludf.DUMMYFUNCTION("""COMPUTED_VALUE"""),"Gagal")</f>
        <v>Gagal</v>
      </c>
      <c r="AH420" s="285" t="str">
        <f>IFERROR(__xludf.DUMMYFUNCTION("""COMPUTED_VALUE"""),"open trip baluran")</f>
        <v>open trip baluran</v>
      </c>
      <c r="AI420" s="287"/>
      <c r="AJ420" s="285"/>
      <c r="AK420" s="289"/>
      <c r="AL420" s="285" t="str">
        <f>IFERROR(__xludf.DUMMYFUNCTION("""COMPUTED_VALUE"""),"tidak balas lagi, minta penjemputan dari Malang")</f>
        <v>tidak balas lagi, minta penjemputan dari Malang</v>
      </c>
    </row>
    <row r="421">
      <c r="F421" s="285"/>
      <c r="G421" s="285"/>
      <c r="H421" s="285"/>
      <c r="I421" s="285"/>
      <c r="J421" s="285"/>
      <c r="K421" s="285"/>
      <c r="L421" s="285"/>
      <c r="M421" s="288"/>
      <c r="N421" s="285"/>
      <c r="O421" s="290"/>
      <c r="P421" s="320"/>
      <c r="R421" s="285"/>
      <c r="S421" s="285"/>
      <c r="T421" s="285"/>
      <c r="U421" s="285"/>
      <c r="V421" s="285"/>
      <c r="W421" s="285"/>
      <c r="X421" s="285"/>
      <c r="Y421" s="285"/>
      <c r="Z421" s="285"/>
      <c r="AA421" s="285"/>
      <c r="AC421" s="285" t="str">
        <f>IFERROR(__xludf.DUMMYFUNCTION("""COMPUTED_VALUE"""),"2604D061")</f>
        <v>2604D061</v>
      </c>
      <c r="AD421" s="286">
        <f>IFERROR(__xludf.DUMMYFUNCTION("""COMPUTED_VALUE"""),46124.0)</f>
        <v>46124</v>
      </c>
      <c r="AE421" s="285" t="str">
        <f>IFERROR(__xludf.DUMMYFUNCTION("""COMPUTED_VALUE"""),"Dian Agustian Hadi")</f>
        <v>Dian Agustian Hadi</v>
      </c>
      <c r="AF421" s="285" t="str">
        <f>IFERROR(__xludf.DUMMYFUNCTION("""COMPUTED_VALUE"""),"087778335988")</f>
        <v>087778335988</v>
      </c>
      <c r="AG421" s="285" t="str">
        <f>IFERROR(__xludf.DUMMYFUNCTION("""COMPUTED_VALUE"""),"Gagal")</f>
        <v>Gagal</v>
      </c>
      <c r="AH421" s="285" t="str">
        <f>IFERROR(__xludf.DUMMYFUNCTION("""COMPUTED_VALUE"""),"4H3M ")</f>
        <v>4H3M </v>
      </c>
      <c r="AI421" s="287">
        <f>IFERROR(__xludf.DUMMYFUNCTION("""COMPUTED_VALUE"""),46142.0)</f>
        <v>46142</v>
      </c>
      <c r="AJ421" s="285">
        <f>IFERROR(__xludf.DUMMYFUNCTION("""COMPUTED_VALUE"""),5.0)</f>
        <v>5</v>
      </c>
      <c r="AK421" s="289"/>
      <c r="AL421" s="285" t="str">
        <f>IFERROR(__xludf.DUMMYFUNCTION("""COMPUTED_VALUE"""),"gajadiiii")</f>
        <v>gajadiiii</v>
      </c>
    </row>
    <row r="422">
      <c r="F422" s="285"/>
      <c r="G422" s="285"/>
      <c r="H422" s="285"/>
      <c r="I422" s="285"/>
      <c r="J422" s="285"/>
      <c r="K422" s="285"/>
      <c r="L422" s="285"/>
      <c r="M422" s="288"/>
      <c r="N422" s="285"/>
      <c r="O422" s="290"/>
      <c r="P422" s="320"/>
      <c r="R422" s="285"/>
      <c r="S422" s="285"/>
      <c r="T422" s="285"/>
      <c r="U422" s="285"/>
      <c r="V422" s="285"/>
      <c r="W422" s="285"/>
      <c r="X422" s="285"/>
      <c r="Y422" s="285"/>
      <c r="Z422" s="285"/>
      <c r="AA422" s="285"/>
      <c r="AC422" s="285" t="str">
        <f>IFERROR(__xludf.DUMMYFUNCTION("""COMPUTED_VALUE"""),"2604D063")</f>
        <v>2604D063</v>
      </c>
      <c r="AD422" s="286">
        <f>IFERROR(__xludf.DUMMYFUNCTION("""COMPUTED_VALUE"""),46124.0)</f>
        <v>46124</v>
      </c>
      <c r="AE422" s="285" t="str">
        <f>IFERROR(__xludf.DUMMYFUNCTION("""COMPUTED_VALUE"""),"Haryandabagus")</f>
        <v>Haryandabagus</v>
      </c>
      <c r="AF422" s="285" t="str">
        <f>IFERROR(__xludf.DUMMYFUNCTION("""COMPUTED_VALUE"""),"085258584658")</f>
        <v>085258584658</v>
      </c>
      <c r="AG422" s="285" t="str">
        <f>IFERROR(__xludf.DUMMYFUNCTION("""COMPUTED_VALUE"""),"Gagal")</f>
        <v>Gagal</v>
      </c>
      <c r="AH422" s="285" t="str">
        <f>IFERROR(__xludf.DUMMYFUNCTION("""COMPUTED_VALUE"""),"2h1m custome")</f>
        <v>2h1m custome</v>
      </c>
      <c r="AI422" s="287">
        <f>IFERROR(__xludf.DUMMYFUNCTION("""COMPUTED_VALUE"""),46127.0)</f>
        <v>46127</v>
      </c>
      <c r="AJ422" s="285">
        <f>IFERROR(__xludf.DUMMYFUNCTION("""COMPUTED_VALUE"""),4.0)</f>
        <v>4</v>
      </c>
      <c r="AK422" s="289">
        <f>IFERROR(__xludf.DUMMYFUNCTION("""COMPUTED_VALUE"""),4600000.0)</f>
        <v>4600000</v>
      </c>
      <c r="AL422" s="285" t="str">
        <f>IFERROR(__xludf.DUMMYFUNCTION("""COMPUTED_VALUE"""),"lewat tanggal, di FU tidak balas")</f>
        <v>lewat tanggal, di FU tidak balas</v>
      </c>
    </row>
    <row r="423">
      <c r="F423" s="285"/>
      <c r="G423" s="285"/>
      <c r="H423" s="285"/>
      <c r="I423" s="285"/>
      <c r="J423" s="285"/>
      <c r="K423" s="285"/>
      <c r="L423" s="285"/>
      <c r="M423" s="288"/>
      <c r="N423" s="285"/>
      <c r="O423" s="290"/>
      <c r="P423" s="320"/>
      <c r="R423" s="285"/>
      <c r="S423" s="285"/>
      <c r="T423" s="285"/>
      <c r="U423" s="285"/>
      <c r="V423" s="285"/>
      <c r="W423" s="285"/>
      <c r="X423" s="285"/>
      <c r="Y423" s="285"/>
      <c r="Z423" s="285"/>
      <c r="AA423" s="285"/>
      <c r="AC423" s="285" t="str">
        <f>IFERROR(__xludf.DUMMYFUNCTION("""COMPUTED_VALUE"""),"2604D069")</f>
        <v>2604D069</v>
      </c>
      <c r="AD423" s="286">
        <f>IFERROR(__xludf.DUMMYFUNCTION("""COMPUTED_VALUE"""),46125.0)</f>
        <v>46125</v>
      </c>
      <c r="AE423" s="285" t="str">
        <f>IFERROR(__xludf.DUMMYFUNCTION("""COMPUTED_VALUE"""),"Handoyo")</f>
        <v>Handoyo</v>
      </c>
      <c r="AF423" s="285" t="str">
        <f>IFERROR(__xludf.DUMMYFUNCTION("""COMPUTED_VALUE"""),"0818334587")</f>
        <v>0818334587</v>
      </c>
      <c r="AG423" s="285" t="str">
        <f>IFERROR(__xludf.DUMMYFUNCTION("""COMPUTED_VALUE"""),"Gagal")</f>
        <v>Gagal</v>
      </c>
      <c r="AH423" s="285"/>
      <c r="AI423" s="287"/>
      <c r="AJ423" s="285"/>
      <c r="AK423" s="289"/>
      <c r="AL423" s="285" t="str">
        <f>IFERROR(__xludf.DUMMYFUNCTION("""COMPUTED_VALUE"""),"di arahkan ke holiday, trip tumpak sewu ke bwi")</f>
        <v>di arahkan ke holiday, trip tumpak sewu ke bwi</v>
      </c>
    </row>
    <row r="424">
      <c r="F424" s="285"/>
      <c r="G424" s="285"/>
      <c r="H424" s="285"/>
      <c r="I424" s="285"/>
      <c r="J424" s="285"/>
      <c r="K424" s="285"/>
      <c r="L424" s="285"/>
      <c r="M424" s="288"/>
      <c r="N424" s="285"/>
      <c r="O424" s="290"/>
      <c r="P424" s="320"/>
      <c r="R424" s="285"/>
      <c r="S424" s="285"/>
      <c r="T424" s="285"/>
      <c r="U424" s="285"/>
      <c r="V424" s="285"/>
      <c r="W424" s="285"/>
      <c r="X424" s="285"/>
      <c r="Y424" s="285"/>
      <c r="Z424" s="285"/>
      <c r="AA424" s="285"/>
      <c r="AC424" s="285" t="str">
        <f>IFERROR(__xludf.DUMMYFUNCTION("""COMPUTED_VALUE"""),"2604D071")</f>
        <v>2604D071</v>
      </c>
      <c r="AD424" s="286">
        <f>IFERROR(__xludf.DUMMYFUNCTION("""COMPUTED_VALUE"""),46125.0)</f>
        <v>46125</v>
      </c>
      <c r="AE424" s="285" t="str">
        <f>IFERROR(__xludf.DUMMYFUNCTION("""COMPUTED_VALUE"""),"Joko Puthut")</f>
        <v>Joko Puthut</v>
      </c>
      <c r="AF424" s="285" t="str">
        <f>IFERROR(__xludf.DUMMYFUNCTION("""COMPUTED_VALUE"""),"081390522766")</f>
        <v>081390522766</v>
      </c>
      <c r="AG424" s="285" t="str">
        <f>IFERROR(__xludf.DUMMYFUNCTION("""COMPUTED_VALUE"""),"Gagal")</f>
        <v>Gagal</v>
      </c>
      <c r="AH424" s="285" t="str">
        <f>IFERROR(__xludf.DUMMYFUNCTION("""COMPUTED_VALUE"""),"2H1M custome ")</f>
        <v>2H1M custome </v>
      </c>
      <c r="AI424" s="287">
        <f>IFERROR(__xludf.DUMMYFUNCTION("""COMPUTED_VALUE"""),46156.0)</f>
        <v>46156</v>
      </c>
      <c r="AJ424" s="285">
        <f>IFERROR(__xludf.DUMMYFUNCTION("""COMPUTED_VALUE"""),10.0)</f>
        <v>10</v>
      </c>
      <c r="AK424" s="289">
        <f>IFERROR(__xludf.DUMMYFUNCTION("""COMPUTED_VALUE"""),8950000.0)</f>
        <v>8950000</v>
      </c>
      <c r="AL424" s="285" t="str">
        <f>IFERROR(__xludf.DUMMYFUNCTION("""COMPUTED_VALUE"""),"cancelll")</f>
        <v>cancelll</v>
      </c>
    </row>
    <row r="425">
      <c r="F425" s="285"/>
      <c r="G425" s="285"/>
      <c r="H425" s="285"/>
      <c r="I425" s="285"/>
      <c r="J425" s="285"/>
      <c r="K425" s="285"/>
      <c r="L425" s="285"/>
      <c r="M425" s="288"/>
      <c r="N425" s="285"/>
      <c r="O425" s="290"/>
      <c r="P425" s="320"/>
      <c r="R425" s="285"/>
      <c r="S425" s="285"/>
      <c r="T425" s="285"/>
      <c r="U425" s="285"/>
      <c r="V425" s="285"/>
      <c r="W425" s="285"/>
      <c r="X425" s="285"/>
      <c r="Y425" s="285"/>
      <c r="Z425" s="285"/>
      <c r="AA425" s="285"/>
      <c r="AC425" s="285" t="str">
        <f>IFERROR(__xludf.DUMMYFUNCTION("""COMPUTED_VALUE"""),"2604D074")</f>
        <v>2604D074</v>
      </c>
      <c r="AD425" s="286">
        <f>IFERROR(__xludf.DUMMYFUNCTION("""COMPUTED_VALUE"""),46126.0)</f>
        <v>46126</v>
      </c>
      <c r="AE425" s="285" t="str">
        <f>IFERROR(__xludf.DUMMYFUNCTION("""COMPUTED_VALUE"""),"Farisfisio")</f>
        <v>Farisfisio</v>
      </c>
      <c r="AF425" s="285" t="str">
        <f>IFERROR(__xludf.DUMMYFUNCTION("""COMPUTED_VALUE"""),"082337446500")</f>
        <v>082337446500</v>
      </c>
      <c r="AG425" s="285" t="str">
        <f>IFERROR(__xludf.DUMMYFUNCTION("""COMPUTED_VALUE"""),"Gagal")</f>
        <v>Gagal</v>
      </c>
      <c r="AH425" s="285" t="str">
        <f>IFERROR(__xludf.DUMMYFUNCTION("""COMPUTED_VALUE"""),"trip MT")</f>
        <v>trip MT</v>
      </c>
      <c r="AI425" s="287">
        <f>IFERROR(__xludf.DUMMYFUNCTION("""COMPUTED_VALUE"""),46156.0)</f>
        <v>46156</v>
      </c>
      <c r="AJ425" s="285"/>
      <c r="AK425" s="289">
        <f>IFERROR(__xludf.DUMMYFUNCTION("""COMPUTED_VALUE"""),1.264E7)</f>
        <v>12640000</v>
      </c>
      <c r="AL425" s="285" t="str">
        <f>IFERROR(__xludf.DUMMYFUNCTION("""COMPUTED_VALUE"""),"GAGALL, belum jadi liburan")</f>
        <v>GAGALL, belum jadi liburan</v>
      </c>
    </row>
    <row r="426">
      <c r="F426" s="285"/>
      <c r="G426" s="285"/>
      <c r="H426" s="285"/>
      <c r="I426" s="285"/>
      <c r="J426" s="285"/>
      <c r="K426" s="285"/>
      <c r="L426" s="285"/>
      <c r="M426" s="288"/>
      <c r="N426" s="285"/>
      <c r="O426" s="290"/>
      <c r="P426" s="320"/>
      <c r="R426" s="285"/>
      <c r="S426" s="285"/>
      <c r="T426" s="285"/>
      <c r="U426" s="285"/>
      <c r="V426" s="285"/>
      <c r="W426" s="285"/>
      <c r="X426" s="285"/>
      <c r="Y426" s="285"/>
      <c r="Z426" s="285"/>
      <c r="AA426" s="285"/>
      <c r="AC426" s="285" t="str">
        <f>IFERROR(__xludf.DUMMYFUNCTION("""COMPUTED_VALUE"""),"2604D076")</f>
        <v>2604D076</v>
      </c>
      <c r="AD426" s="286">
        <f>IFERROR(__xludf.DUMMYFUNCTION("""COMPUTED_VALUE"""),46126.0)</f>
        <v>46126</v>
      </c>
      <c r="AE426" s="285" t="str">
        <f>IFERROR(__xludf.DUMMYFUNCTION("""COMPUTED_VALUE"""),"Kiki")</f>
        <v>Kiki</v>
      </c>
      <c r="AF426" s="285" t="str">
        <f>IFERROR(__xludf.DUMMYFUNCTION("""COMPUTED_VALUE"""),"081288110888")</f>
        <v>081288110888</v>
      </c>
      <c r="AG426" s="285" t="str">
        <f>IFERROR(__xludf.DUMMYFUNCTION("""COMPUTED_VALUE"""),"Gagal")</f>
        <v>Gagal</v>
      </c>
      <c r="AH426" s="285"/>
      <c r="AI426" s="287"/>
      <c r="AJ426" s="285"/>
      <c r="AK426" s="289"/>
      <c r="AL426" s="285" t="str">
        <f>IFERROR(__xludf.DUMMYFUNCTION("""COMPUTED_VALUE"""),"di arahkan ke holiday, trip ke bromo")</f>
        <v>di arahkan ke holiday, trip ke bromo</v>
      </c>
    </row>
    <row r="427">
      <c r="F427" s="285"/>
      <c r="G427" s="285"/>
      <c r="H427" s="285"/>
      <c r="I427" s="285"/>
      <c r="J427" s="285"/>
      <c r="K427" s="285"/>
      <c r="L427" s="285"/>
      <c r="M427" s="288"/>
      <c r="N427" s="285"/>
      <c r="O427" s="290"/>
      <c r="P427" s="320"/>
      <c r="R427" s="285"/>
      <c r="S427" s="285"/>
      <c r="T427" s="285"/>
      <c r="U427" s="285"/>
      <c r="V427" s="285"/>
      <c r="W427" s="285"/>
      <c r="X427" s="285"/>
      <c r="Y427" s="285"/>
      <c r="Z427" s="285"/>
      <c r="AA427" s="285"/>
      <c r="AC427" s="285" t="str">
        <f>IFERROR(__xludf.DUMMYFUNCTION("""COMPUTED_VALUE"""),"2604D077")</f>
        <v>2604D077</v>
      </c>
      <c r="AD427" s="286">
        <f>IFERROR(__xludf.DUMMYFUNCTION("""COMPUTED_VALUE"""),46126.0)</f>
        <v>46126</v>
      </c>
      <c r="AE427" s="285" t="str">
        <f>IFERROR(__xludf.DUMMYFUNCTION("""COMPUTED_VALUE"""),"Agung")</f>
        <v>Agung</v>
      </c>
      <c r="AF427" s="285" t="str">
        <f>IFERROR(__xludf.DUMMYFUNCTION("""COMPUTED_VALUE"""),"08123838113")</f>
        <v>08123838113</v>
      </c>
      <c r="AG427" s="285" t="str">
        <f>IFERROR(__xludf.DUMMYFUNCTION("""COMPUTED_VALUE"""),"Gagal")</f>
        <v>Gagal</v>
      </c>
      <c r="AH427" s="285"/>
      <c r="AI427" s="287"/>
      <c r="AJ427" s="285"/>
      <c r="AK427" s="289"/>
      <c r="AL427" s="285" t="str">
        <f>IFERROR(__xludf.DUMMYFUNCTION("""COMPUTED_VALUE"""),"gagall")</f>
        <v>gagall</v>
      </c>
    </row>
    <row r="428">
      <c r="F428" s="285"/>
      <c r="G428" s="285"/>
      <c r="H428" s="285"/>
      <c r="I428" s="285"/>
      <c r="J428" s="285"/>
      <c r="K428" s="285"/>
      <c r="L428" s="285"/>
      <c r="M428" s="288"/>
      <c r="N428" s="285"/>
      <c r="O428" s="290"/>
      <c r="P428" s="320"/>
      <c r="R428" s="285"/>
      <c r="S428" s="285"/>
      <c r="T428" s="285"/>
      <c r="U428" s="285"/>
      <c r="V428" s="285"/>
      <c r="W428" s="285"/>
      <c r="X428" s="285"/>
      <c r="Y428" s="285"/>
      <c r="Z428" s="285"/>
      <c r="AA428" s="285"/>
      <c r="AC428" s="285" t="str">
        <f>IFERROR(__xludf.DUMMYFUNCTION("""COMPUTED_VALUE"""),"2604D079")</f>
        <v>2604D079</v>
      </c>
      <c r="AD428" s="286">
        <f>IFERROR(__xludf.DUMMYFUNCTION("""COMPUTED_VALUE"""),46127.0)</f>
        <v>46127</v>
      </c>
      <c r="AE428" s="285" t="str">
        <f>IFERROR(__xludf.DUMMYFUNCTION("""COMPUTED_VALUE"""),"Aisyiah Budi Utami")</f>
        <v>Aisyiah Budi Utami</v>
      </c>
      <c r="AF428" s="285" t="str">
        <f>IFERROR(__xludf.DUMMYFUNCTION("""COMPUTED_VALUE"""),"088295110961")</f>
        <v>088295110961</v>
      </c>
      <c r="AG428" s="285" t="str">
        <f>IFERROR(__xludf.DUMMYFUNCTION("""COMPUTED_VALUE"""),"Gagal")</f>
        <v>Gagal</v>
      </c>
      <c r="AH428" s="285" t="str">
        <f>IFERROR(__xludf.DUMMYFUNCTION("""COMPUTED_VALUE"""),"3h2m opsi A")</f>
        <v>3h2m opsi A</v>
      </c>
      <c r="AI428" s="287"/>
      <c r="AJ428" s="285"/>
      <c r="AK428" s="289"/>
      <c r="AL428" s="285" t="str">
        <f>IFERROR(__xludf.DUMMYFUNCTION("""COMPUTED_VALUE"""),"lewat tanggal, sudah fu tidak balas")</f>
        <v>lewat tanggal, sudah fu tidak balas</v>
      </c>
    </row>
    <row r="429">
      <c r="F429" s="285"/>
      <c r="G429" s="285"/>
      <c r="H429" s="285"/>
      <c r="I429" s="285"/>
      <c r="J429" s="285"/>
      <c r="K429" s="285"/>
      <c r="L429" s="285"/>
      <c r="M429" s="288"/>
      <c r="N429" s="285"/>
      <c r="O429" s="290"/>
      <c r="P429" s="320"/>
      <c r="R429" s="285"/>
      <c r="S429" s="285"/>
      <c r="T429" s="285"/>
      <c r="U429" s="285"/>
      <c r="V429" s="285"/>
      <c r="W429" s="285"/>
      <c r="X429" s="285"/>
      <c r="Y429" s="285"/>
      <c r="Z429" s="285"/>
      <c r="AA429" s="285"/>
      <c r="AC429" s="285" t="str">
        <f>IFERROR(__xludf.DUMMYFUNCTION("""COMPUTED_VALUE"""),"2604D080")</f>
        <v>2604D080</v>
      </c>
      <c r="AD429" s="286">
        <f>IFERROR(__xludf.DUMMYFUNCTION("""COMPUTED_VALUE"""),46127.0)</f>
        <v>46127</v>
      </c>
      <c r="AE429" s="285" t="str">
        <f>IFERROR(__xludf.DUMMYFUNCTION("""COMPUTED_VALUE"""),"alfarizi shop")</f>
        <v>alfarizi shop</v>
      </c>
      <c r="AF429" s="285" t="str">
        <f>IFERROR(__xludf.DUMMYFUNCTION("""COMPUTED_VALUE"""),"085640511280")</f>
        <v>085640511280</v>
      </c>
      <c r="AG429" s="285" t="str">
        <f>IFERROR(__xludf.DUMMYFUNCTION("""COMPUTED_VALUE"""),"Gagal")</f>
        <v>Gagal</v>
      </c>
      <c r="AH429" s="285"/>
      <c r="AI429" s="287"/>
      <c r="AJ429" s="285"/>
      <c r="AK429" s="289"/>
      <c r="AL429" s="285" t="str">
        <f>IFERROR(__xludf.DUMMYFUNCTION("""COMPUTED_VALUE"""),"iseng chat, dapet info kao bwi baguss")</f>
        <v>iseng chat, dapet info kao bwi baguss</v>
      </c>
    </row>
    <row r="430">
      <c r="F430" s="285"/>
      <c r="G430" s="285"/>
      <c r="H430" s="285"/>
      <c r="I430" s="285"/>
      <c r="J430" s="285"/>
      <c r="K430" s="285"/>
      <c r="L430" s="285"/>
      <c r="M430" s="288"/>
      <c r="N430" s="285"/>
      <c r="O430" s="290"/>
      <c r="P430" s="320"/>
      <c r="R430" s="285"/>
      <c r="S430" s="285"/>
      <c r="T430" s="285"/>
      <c r="U430" s="285"/>
      <c r="V430" s="285"/>
      <c r="W430" s="285"/>
      <c r="X430" s="285"/>
      <c r="Y430" s="285"/>
      <c r="Z430" s="285"/>
      <c r="AA430" s="285"/>
      <c r="AC430" s="285" t="str">
        <f>IFERROR(__xludf.DUMMYFUNCTION("""COMPUTED_VALUE"""),"2604D081")</f>
        <v>2604D081</v>
      </c>
      <c r="AD430" s="286">
        <f>IFERROR(__xludf.DUMMYFUNCTION("""COMPUTED_VALUE"""),46127.0)</f>
        <v>46127</v>
      </c>
      <c r="AE430" s="285" t="str">
        <f>IFERROR(__xludf.DUMMYFUNCTION("""COMPUTED_VALUE"""),"Parahita")</f>
        <v>Parahita</v>
      </c>
      <c r="AF430" s="285" t="str">
        <f>IFERROR(__xludf.DUMMYFUNCTION("""COMPUTED_VALUE"""),"087732026218")</f>
        <v>087732026218</v>
      </c>
      <c r="AG430" s="285" t="str">
        <f>IFERROR(__xludf.DUMMYFUNCTION("""COMPUTED_VALUE"""),"Gagal")</f>
        <v>Gagal</v>
      </c>
      <c r="AH430" s="285"/>
      <c r="AI430" s="287"/>
      <c r="AJ430" s="285"/>
      <c r="AK430" s="289"/>
      <c r="AL430" s="285" t="str">
        <f>IFERROR(__xludf.DUMMYFUNCTION("""COMPUTED_VALUE"""),"tidak balasss")</f>
        <v>tidak balasss</v>
      </c>
    </row>
    <row r="431">
      <c r="F431" s="285"/>
      <c r="G431" s="285"/>
      <c r="H431" s="285"/>
      <c r="I431" s="285"/>
      <c r="J431" s="285"/>
      <c r="K431" s="285"/>
      <c r="L431" s="285"/>
      <c r="M431" s="288"/>
      <c r="N431" s="285"/>
      <c r="O431" s="290"/>
      <c r="P431" s="320"/>
      <c r="R431" s="285"/>
      <c r="S431" s="285"/>
      <c r="T431" s="285"/>
      <c r="U431" s="285"/>
      <c r="V431" s="285"/>
      <c r="W431" s="285"/>
      <c r="X431" s="285"/>
      <c r="Y431" s="285"/>
      <c r="Z431" s="285"/>
      <c r="AA431" s="285"/>
      <c r="AC431" s="285" t="str">
        <f>IFERROR(__xludf.DUMMYFUNCTION("""COMPUTED_VALUE"""),"2604D082")</f>
        <v>2604D082</v>
      </c>
      <c r="AD431" s="286">
        <f>IFERROR(__xludf.DUMMYFUNCTION("""COMPUTED_VALUE"""),46128.0)</f>
        <v>46128</v>
      </c>
      <c r="AE431" s="285" t="str">
        <f>IFERROR(__xludf.DUMMYFUNCTION("""COMPUTED_VALUE"""),"Nadia")</f>
        <v>Nadia</v>
      </c>
      <c r="AF431" s="285" t="str">
        <f>IFERROR(__xludf.DUMMYFUNCTION("""COMPUTED_VALUE"""),"081357132150")</f>
        <v>081357132150</v>
      </c>
      <c r="AG431" s="285" t="str">
        <f>IFERROR(__xludf.DUMMYFUNCTION("""COMPUTED_VALUE"""),"Gagal")</f>
        <v>Gagal</v>
      </c>
      <c r="AH431" s="285" t="str">
        <f>IFERROR(__xludf.DUMMYFUNCTION("""COMPUTED_VALUE"""),"OT baluran")</f>
        <v>OT baluran</v>
      </c>
      <c r="AI431" s="287">
        <f>IFERROR(__xludf.DUMMYFUNCTION("""COMPUTED_VALUE"""),46138.0)</f>
        <v>46138</v>
      </c>
      <c r="AJ431" s="285">
        <f>IFERROR(__xludf.DUMMYFUNCTION("""COMPUTED_VALUE"""),2.0)</f>
        <v>2</v>
      </c>
      <c r="AK431" s="289"/>
      <c r="AL431" s="285" t="str">
        <f>IFERROR(__xludf.DUMMYFUNCTION("""COMPUTED_VALUE"""),"gagalll, sudah FU di read ajaaa")</f>
        <v>gagalll, sudah FU di read ajaaa</v>
      </c>
    </row>
    <row r="432">
      <c r="F432" s="285"/>
      <c r="G432" s="285"/>
      <c r="H432" s="285"/>
      <c r="I432" s="285"/>
      <c r="J432" s="285"/>
      <c r="K432" s="285"/>
      <c r="L432" s="285"/>
      <c r="M432" s="288"/>
      <c r="N432" s="285"/>
      <c r="O432" s="290"/>
      <c r="P432" s="320"/>
      <c r="R432" s="285"/>
      <c r="S432" s="285"/>
      <c r="T432" s="285"/>
      <c r="U432" s="285"/>
      <c r="V432" s="285"/>
      <c r="W432" s="285"/>
      <c r="X432" s="285"/>
      <c r="Y432" s="285"/>
      <c r="Z432" s="285"/>
      <c r="AA432" s="285"/>
      <c r="AC432" s="285" t="str">
        <f>IFERROR(__xludf.DUMMYFUNCTION("""COMPUTED_VALUE"""),"2604D083")</f>
        <v>2604D083</v>
      </c>
      <c r="AD432" s="286">
        <f>IFERROR(__xludf.DUMMYFUNCTION("""COMPUTED_VALUE"""),46128.0)</f>
        <v>46128</v>
      </c>
      <c r="AE432" s="285" t="str">
        <f>IFERROR(__xludf.DUMMYFUNCTION("""COMPUTED_VALUE"""),"Aldo")</f>
        <v>Aldo</v>
      </c>
      <c r="AF432" s="285" t="str">
        <f>IFERROR(__xludf.DUMMYFUNCTION("""COMPUTED_VALUE"""),"08179114506")</f>
        <v>08179114506</v>
      </c>
      <c r="AG432" s="285" t="str">
        <f>IFERROR(__xludf.DUMMYFUNCTION("""COMPUTED_VALUE"""),"Gagal")</f>
        <v>Gagal</v>
      </c>
      <c r="AH432" s="285" t="str">
        <f>IFERROR(__xludf.DUMMYFUNCTION("""COMPUTED_VALUE"""),"4h3m ")</f>
        <v>4h3m </v>
      </c>
      <c r="AI432" s="287"/>
      <c r="AJ432" s="285">
        <f>IFERROR(__xludf.DUMMYFUNCTION("""COMPUTED_VALUE"""),150.0)</f>
        <v>150</v>
      </c>
      <c r="AK432" s="289"/>
      <c r="AL432" s="285" t="str">
        <f>IFERROR(__xludf.DUMMYFUNCTION("""COMPUTED_VALUE"""),"tamu belum jadii")</f>
        <v>tamu belum jadii</v>
      </c>
    </row>
    <row r="433">
      <c r="F433" s="285"/>
      <c r="G433" s="285"/>
      <c r="H433" s="285"/>
      <c r="I433" s="285"/>
      <c r="J433" s="285"/>
      <c r="K433" s="285"/>
      <c r="L433" s="285"/>
      <c r="M433" s="288"/>
      <c r="N433" s="285"/>
      <c r="O433" s="290"/>
      <c r="P433" s="320"/>
      <c r="R433" s="285"/>
      <c r="S433" s="285"/>
      <c r="T433" s="285"/>
      <c r="U433" s="285"/>
      <c r="V433" s="285"/>
      <c r="W433" s="285"/>
      <c r="X433" s="285"/>
      <c r="Y433" s="285"/>
      <c r="Z433" s="285"/>
      <c r="AA433" s="285"/>
      <c r="AC433" s="285" t="str">
        <f>IFERROR(__xludf.DUMMYFUNCTION("""COMPUTED_VALUE"""),"2604D084")</f>
        <v>2604D084</v>
      </c>
      <c r="AD433" s="286">
        <f>IFERROR(__xludf.DUMMYFUNCTION("""COMPUTED_VALUE"""),46127.0)</f>
        <v>46127</v>
      </c>
      <c r="AE433" s="285" t="str">
        <f>IFERROR(__xludf.DUMMYFUNCTION("""COMPUTED_VALUE"""),"iwatmasud")</f>
        <v>iwatmasud</v>
      </c>
      <c r="AF433" s="285" t="str">
        <f>IFERROR(__xludf.DUMMYFUNCTION("""COMPUTED_VALUE"""),"081774174123")</f>
        <v>081774174123</v>
      </c>
      <c r="AG433" s="285" t="str">
        <f>IFERROR(__xludf.DUMMYFUNCTION("""COMPUTED_VALUE"""),"Gagal")</f>
        <v>Gagal</v>
      </c>
      <c r="AH433" s="285"/>
      <c r="AI433" s="287"/>
      <c r="AJ433" s="285"/>
      <c r="AK433" s="289"/>
      <c r="AL433" s="285" t="str">
        <f>IFERROR(__xludf.DUMMYFUNCTION("""COMPUTED_VALUE"""),"di arahkan ke holiday")</f>
        <v>di arahkan ke holiday</v>
      </c>
    </row>
    <row r="434">
      <c r="F434" s="285"/>
      <c r="G434" s="285"/>
      <c r="H434" s="285"/>
      <c r="I434" s="285"/>
      <c r="J434" s="285"/>
      <c r="K434" s="285"/>
      <c r="L434" s="285"/>
      <c r="M434" s="288"/>
      <c r="N434" s="285"/>
      <c r="O434" s="290"/>
      <c r="P434" s="320"/>
      <c r="R434" s="285"/>
      <c r="S434" s="285"/>
      <c r="T434" s="285"/>
      <c r="U434" s="285"/>
      <c r="V434" s="285"/>
      <c r="W434" s="285"/>
      <c r="X434" s="285"/>
      <c r="Y434" s="285"/>
      <c r="Z434" s="285"/>
      <c r="AA434" s="285"/>
      <c r="AC434" s="285" t="str">
        <f>IFERROR(__xludf.DUMMYFUNCTION("""COMPUTED_VALUE"""),"2604D085")</f>
        <v>2604D085</v>
      </c>
      <c r="AD434" s="286">
        <f>IFERROR(__xludf.DUMMYFUNCTION("""COMPUTED_VALUE"""),46128.0)</f>
        <v>46128</v>
      </c>
      <c r="AE434" s="285" t="str">
        <f>IFERROR(__xludf.DUMMYFUNCTION("""COMPUTED_VALUE"""),"Vishesh")</f>
        <v>Vishesh</v>
      </c>
      <c r="AF434" s="285" t="str">
        <f>IFERROR(__xludf.DUMMYFUNCTION("""COMPUTED_VALUE"""),"918744007799")</f>
        <v>918744007799</v>
      </c>
      <c r="AG434" s="285" t="str">
        <f>IFERROR(__xludf.DUMMYFUNCTION("""COMPUTED_VALUE"""),"Gagal")</f>
        <v>Gagal</v>
      </c>
      <c r="AH434" s="285"/>
      <c r="AI434" s="287"/>
      <c r="AJ434" s="285"/>
      <c r="AK434" s="289"/>
      <c r="AL434" s="285" t="str">
        <f>IFERROR(__xludf.DUMMYFUNCTION("""COMPUTED_VALUE"""),"gagalll, sudah FU ga balass")</f>
        <v>gagalll, sudah FU ga balass</v>
      </c>
    </row>
    <row r="435">
      <c r="F435" s="285"/>
      <c r="G435" s="285"/>
      <c r="H435" s="285"/>
      <c r="I435" s="285"/>
      <c r="J435" s="285"/>
      <c r="K435" s="285"/>
      <c r="L435" s="285"/>
      <c r="M435" s="288"/>
      <c r="N435" s="285"/>
      <c r="O435" s="290"/>
      <c r="P435" s="320"/>
      <c r="R435" s="285"/>
      <c r="S435" s="285"/>
      <c r="T435" s="285"/>
      <c r="U435" s="285"/>
      <c r="V435" s="285"/>
      <c r="W435" s="285"/>
      <c r="X435" s="285"/>
      <c r="Y435" s="285"/>
      <c r="Z435" s="285"/>
      <c r="AA435" s="285"/>
      <c r="AC435" s="285" t="str">
        <f>IFERROR(__xludf.DUMMYFUNCTION("""COMPUTED_VALUE"""),"2604D086")</f>
        <v>2604D086</v>
      </c>
      <c r="AD435" s="286">
        <f>IFERROR(__xludf.DUMMYFUNCTION("""COMPUTED_VALUE"""),46127.0)</f>
        <v>46127</v>
      </c>
      <c r="AE435" s="285" t="str">
        <f>IFERROR(__xludf.DUMMYFUNCTION("""COMPUTED_VALUE"""),"Rizky M")</f>
        <v>Rizky M</v>
      </c>
      <c r="AF435" s="285" t="str">
        <f>IFERROR(__xludf.DUMMYFUNCTION("""COMPUTED_VALUE"""),"085733618059")</f>
        <v>085733618059</v>
      </c>
      <c r="AG435" s="285" t="str">
        <f>IFERROR(__xludf.DUMMYFUNCTION("""COMPUTED_VALUE"""),"Gagal")</f>
        <v>Gagal</v>
      </c>
      <c r="AH435" s="285"/>
      <c r="AI435" s="287"/>
      <c r="AJ435" s="285"/>
      <c r="AK435" s="289"/>
      <c r="AL435" s="285" t="str">
        <f>IFERROR(__xludf.DUMMYFUNCTION("""COMPUTED_VALUE"""),"di arahkan ke holiday")</f>
        <v>di arahkan ke holiday</v>
      </c>
    </row>
    <row r="436">
      <c r="F436" s="285"/>
      <c r="G436" s="285"/>
      <c r="H436" s="285"/>
      <c r="I436" s="285"/>
      <c r="J436" s="285"/>
      <c r="K436" s="285"/>
      <c r="L436" s="285"/>
      <c r="M436" s="288"/>
      <c r="N436" s="285"/>
      <c r="O436" s="290"/>
      <c r="P436" s="320"/>
      <c r="R436" s="285"/>
      <c r="S436" s="285"/>
      <c r="T436" s="285"/>
      <c r="U436" s="285"/>
      <c r="V436" s="285"/>
      <c r="W436" s="285"/>
      <c r="X436" s="285"/>
      <c r="Y436" s="285"/>
      <c r="Z436" s="285"/>
      <c r="AA436" s="285"/>
      <c r="AC436" s="285" t="str">
        <f>IFERROR(__xludf.DUMMYFUNCTION("""COMPUTED_VALUE"""),"2604D087")</f>
        <v>2604D087</v>
      </c>
      <c r="AD436" s="286">
        <f>IFERROR(__xludf.DUMMYFUNCTION("""COMPUTED_VALUE"""),46128.0)</f>
        <v>46128</v>
      </c>
      <c r="AE436" s="285" t="str">
        <f>IFERROR(__xludf.DUMMYFUNCTION("""COMPUTED_VALUE"""),"Ayu")</f>
        <v>Ayu</v>
      </c>
      <c r="AF436" s="285" t="str">
        <f>IFERROR(__xludf.DUMMYFUNCTION("""COMPUTED_VALUE"""),"081358610149")</f>
        <v>081358610149</v>
      </c>
      <c r="AG436" s="285" t="str">
        <f>IFERROR(__xludf.DUMMYFUNCTION("""COMPUTED_VALUE"""),"Gagal")</f>
        <v>Gagal</v>
      </c>
      <c r="AH436" s="285" t="str">
        <f>IFERROR(__xludf.DUMMYFUNCTION("""COMPUTED_VALUE"""),"private trip djawatan, baluran")</f>
        <v>private trip djawatan, baluran</v>
      </c>
      <c r="AI436" s="287">
        <f>IFERROR(__xludf.DUMMYFUNCTION("""COMPUTED_VALUE"""),46173.0)</f>
        <v>46173</v>
      </c>
      <c r="AJ436" s="285">
        <f>IFERROR(__xludf.DUMMYFUNCTION("""COMPUTED_VALUE"""),3.0)</f>
        <v>3</v>
      </c>
      <c r="AK436" s="289">
        <f>IFERROR(__xludf.DUMMYFUNCTION("""COMPUTED_VALUE"""),1875000.0)</f>
        <v>1875000</v>
      </c>
      <c r="AL436" s="285" t="str">
        <f>IFERROR(__xludf.DUMMYFUNCTION("""COMPUTED_VALUE"""),"belum jadii")</f>
        <v>belum jadii</v>
      </c>
    </row>
    <row r="437">
      <c r="F437" s="285"/>
      <c r="G437" s="285"/>
      <c r="H437" s="285"/>
      <c r="I437" s="285"/>
      <c r="J437" s="285"/>
      <c r="K437" s="285"/>
      <c r="L437" s="285"/>
      <c r="M437" s="288"/>
      <c r="N437" s="285"/>
      <c r="O437" s="290"/>
      <c r="P437" s="320"/>
      <c r="R437" s="285"/>
      <c r="S437" s="285"/>
      <c r="T437" s="285"/>
      <c r="U437" s="285"/>
      <c r="V437" s="285"/>
      <c r="W437" s="285"/>
      <c r="X437" s="285"/>
      <c r="Y437" s="285"/>
      <c r="Z437" s="285"/>
      <c r="AA437" s="285"/>
      <c r="AC437" s="285" t="str">
        <f>IFERROR(__xludf.DUMMYFUNCTION("""COMPUTED_VALUE"""),"2604D088")</f>
        <v>2604D088</v>
      </c>
      <c r="AD437" s="286">
        <f>IFERROR(__xludf.DUMMYFUNCTION("""COMPUTED_VALUE"""),46128.0)</f>
        <v>46128</v>
      </c>
      <c r="AE437" s="285" t="str">
        <f>IFERROR(__xludf.DUMMYFUNCTION("""COMPUTED_VALUE"""),"Angga Saputra")</f>
        <v>Angga Saputra</v>
      </c>
      <c r="AF437" s="285" t="str">
        <f>IFERROR(__xludf.DUMMYFUNCTION("""COMPUTED_VALUE"""),"08816929017")</f>
        <v>08816929017</v>
      </c>
      <c r="AG437" s="285" t="str">
        <f>IFERROR(__xludf.DUMMYFUNCTION("""COMPUTED_VALUE"""),"Gagal")</f>
        <v>Gagal</v>
      </c>
      <c r="AH437" s="285" t="str">
        <f>IFERROR(__xludf.DUMMYFUNCTION("""COMPUTED_VALUE"""),"2h1m opsi A")</f>
        <v>2h1m opsi A</v>
      </c>
      <c r="AI437" s="287"/>
      <c r="AJ437" s="285">
        <f>IFERROR(__xludf.DUMMYFUNCTION("""COMPUTED_VALUE"""),2.0)</f>
        <v>2</v>
      </c>
      <c r="AK437" s="289"/>
      <c r="AL437" s="285" t="str">
        <f>IFERROR(__xludf.DUMMYFUNCTION("""COMPUTED_VALUE"""),"kalo jadi di info")</f>
        <v>kalo jadi di info</v>
      </c>
    </row>
    <row r="438">
      <c r="F438" s="285"/>
      <c r="G438" s="285"/>
      <c r="H438" s="285"/>
      <c r="I438" s="285"/>
      <c r="J438" s="285"/>
      <c r="K438" s="285"/>
      <c r="L438" s="285"/>
      <c r="M438" s="288"/>
      <c r="N438" s="285"/>
      <c r="O438" s="290"/>
      <c r="P438" s="320"/>
      <c r="R438" s="285"/>
      <c r="S438" s="285"/>
      <c r="T438" s="285"/>
      <c r="U438" s="285"/>
      <c r="V438" s="285"/>
      <c r="W438" s="285"/>
      <c r="X438" s="285"/>
      <c r="Y438" s="285"/>
      <c r="Z438" s="285"/>
      <c r="AA438" s="285"/>
      <c r="AC438" s="285" t="str">
        <f>IFERROR(__xludf.DUMMYFUNCTION("""COMPUTED_VALUE"""),"2604D089")</f>
        <v>2604D089</v>
      </c>
      <c r="AD438" s="286">
        <f>IFERROR(__xludf.DUMMYFUNCTION("""COMPUTED_VALUE"""),46128.0)</f>
        <v>46128</v>
      </c>
      <c r="AE438" s="285" t="str">
        <f>IFERROR(__xludf.DUMMYFUNCTION("""COMPUTED_VALUE"""),"Odit")</f>
        <v>Odit</v>
      </c>
      <c r="AF438" s="285" t="str">
        <f>IFERROR(__xludf.DUMMYFUNCTION("""COMPUTED_VALUE"""),"08113070033")</f>
        <v>08113070033</v>
      </c>
      <c r="AG438" s="285" t="str">
        <f>IFERROR(__xludf.DUMMYFUNCTION("""COMPUTED_VALUE"""),"Gagal")</f>
        <v>Gagal</v>
      </c>
      <c r="AH438" s="285" t="str">
        <f>IFERROR(__xludf.DUMMYFUNCTION("""COMPUTED_VALUE"""),"2h1m custome")</f>
        <v>2h1m custome</v>
      </c>
      <c r="AI438" s="287">
        <f>IFERROR(__xludf.DUMMYFUNCTION("""COMPUTED_VALUE"""),46150.0)</f>
        <v>46150</v>
      </c>
      <c r="AJ438" s="285">
        <f>IFERROR(__xludf.DUMMYFUNCTION("""COMPUTED_VALUE"""),4.0)</f>
        <v>4</v>
      </c>
      <c r="AK438" s="289"/>
      <c r="AL438" s="285" t="str">
        <f>IFERROR(__xludf.DUMMYFUNCTION("""COMPUTED_VALUE"""),"kelewat tanggal")</f>
        <v>kelewat tanggal</v>
      </c>
    </row>
    <row r="439">
      <c r="F439" s="285"/>
      <c r="G439" s="285"/>
      <c r="H439" s="285"/>
      <c r="I439" s="285"/>
      <c r="J439" s="285"/>
      <c r="K439" s="285"/>
      <c r="L439" s="285"/>
      <c r="M439" s="288"/>
      <c r="N439" s="285"/>
      <c r="O439" s="290"/>
      <c r="P439" s="320"/>
      <c r="R439" s="285"/>
      <c r="S439" s="285"/>
      <c r="T439" s="285"/>
      <c r="U439" s="285"/>
      <c r="V439" s="285"/>
      <c r="W439" s="285"/>
      <c r="X439" s="285"/>
      <c r="Y439" s="285"/>
      <c r="Z439" s="285"/>
      <c r="AA439" s="285"/>
      <c r="AC439" s="285" t="str">
        <f>IFERROR(__xludf.DUMMYFUNCTION("""COMPUTED_VALUE"""),"2604D090")</f>
        <v>2604D090</v>
      </c>
      <c r="AD439" s="286">
        <f>IFERROR(__xludf.DUMMYFUNCTION("""COMPUTED_VALUE"""),46128.0)</f>
        <v>46128</v>
      </c>
      <c r="AE439" s="285" t="str">
        <f>IFERROR(__xludf.DUMMYFUNCTION("""COMPUTED_VALUE"""),"Hanif")</f>
        <v>Hanif</v>
      </c>
      <c r="AF439" s="285" t="str">
        <f>IFERROR(__xludf.DUMMYFUNCTION("""COMPUTED_VALUE"""),"08985451699")</f>
        <v>08985451699</v>
      </c>
      <c r="AG439" s="285" t="str">
        <f>IFERROR(__xludf.DUMMYFUNCTION("""COMPUTED_VALUE"""),"Gagal")</f>
        <v>Gagal</v>
      </c>
      <c r="AH439" s="285"/>
      <c r="AI439" s="287"/>
      <c r="AJ439" s="285"/>
      <c r="AK439" s="289"/>
      <c r="AL439" s="285" t="str">
        <f>IFERROR(__xludf.DUMMYFUNCTION("""COMPUTED_VALUE"""),"menyapaa")</f>
        <v>menyapaa</v>
      </c>
    </row>
    <row r="440">
      <c r="F440" s="285"/>
      <c r="G440" s="285"/>
      <c r="H440" s="285"/>
      <c r="I440" s="285"/>
      <c r="J440" s="285"/>
      <c r="K440" s="285"/>
      <c r="L440" s="285"/>
      <c r="M440" s="288"/>
      <c r="N440" s="285"/>
      <c r="O440" s="290"/>
      <c r="P440" s="320"/>
      <c r="R440" s="285"/>
      <c r="S440" s="285"/>
      <c r="T440" s="285"/>
      <c r="U440" s="285"/>
      <c r="V440" s="285"/>
      <c r="W440" s="285"/>
      <c r="X440" s="285"/>
      <c r="Y440" s="285"/>
      <c r="Z440" s="285"/>
      <c r="AA440" s="285"/>
      <c r="AC440" s="285" t="str">
        <f>IFERROR(__xludf.DUMMYFUNCTION("""COMPUTED_VALUE"""),"2604D093")</f>
        <v>2604D093</v>
      </c>
      <c r="AD440" s="286">
        <f>IFERROR(__xludf.DUMMYFUNCTION("""COMPUTED_VALUE"""),46129.0)</f>
        <v>46129</v>
      </c>
      <c r="AE440" s="285" t="str">
        <f>IFERROR(__xludf.DUMMYFUNCTION("""COMPUTED_VALUE"""),"Bima")</f>
        <v>Bima</v>
      </c>
      <c r="AF440" s="285" t="str">
        <f>IFERROR(__xludf.DUMMYFUNCTION("""COMPUTED_VALUE"""),"081228857646")</f>
        <v>081228857646</v>
      </c>
      <c r="AG440" s="285" t="str">
        <f>IFERROR(__xludf.DUMMYFUNCTION("""COMPUTED_VALUE"""),"Gagal")</f>
        <v>Gagal</v>
      </c>
      <c r="AH440" s="285" t="str">
        <f>IFERROR(__xludf.DUMMYFUNCTION("""COMPUTED_VALUE"""),"1 day trip DB")</f>
        <v>1 day trip DB</v>
      </c>
      <c r="AI440" s="287"/>
      <c r="AJ440" s="285">
        <f>IFERROR(__xludf.DUMMYFUNCTION("""COMPUTED_VALUE"""),2.0)</f>
        <v>2</v>
      </c>
      <c r="AK440" s="289"/>
      <c r="AL440" s="285" t="str">
        <f>IFERROR(__xludf.DUMMYFUNCTION("""COMPUTED_VALUE"""),"FU 1 JUNI")</f>
        <v>FU 1 JUNI</v>
      </c>
    </row>
    <row r="441">
      <c r="F441" s="285"/>
      <c r="G441" s="285"/>
      <c r="H441" s="285"/>
      <c r="I441" s="285"/>
      <c r="J441" s="285"/>
      <c r="K441" s="285"/>
      <c r="L441" s="285"/>
      <c r="M441" s="288"/>
      <c r="N441" s="285"/>
      <c r="O441" s="290"/>
      <c r="P441" s="320"/>
      <c r="R441" s="285"/>
      <c r="S441" s="285"/>
      <c r="T441" s="285"/>
      <c r="U441" s="285"/>
      <c r="V441" s="285"/>
      <c r="W441" s="285"/>
      <c r="X441" s="285"/>
      <c r="Y441" s="285"/>
      <c r="Z441" s="285"/>
      <c r="AA441" s="285"/>
      <c r="AC441" s="285" t="str">
        <f>IFERROR(__xludf.DUMMYFUNCTION("""COMPUTED_VALUE"""),"2604D094")</f>
        <v>2604D094</v>
      </c>
      <c r="AD441" s="286">
        <f>IFERROR(__xludf.DUMMYFUNCTION("""COMPUTED_VALUE"""),46129.0)</f>
        <v>46129</v>
      </c>
      <c r="AE441" s="285" t="str">
        <f>IFERROR(__xludf.DUMMYFUNCTION("""COMPUTED_VALUE"""),"Bekti Bayu")</f>
        <v>Bekti Bayu</v>
      </c>
      <c r="AF441" s="285" t="str">
        <f>IFERROR(__xludf.DUMMYFUNCTION("""COMPUTED_VALUE"""),"085900046463")</f>
        <v>085900046463</v>
      </c>
      <c r="AG441" s="285" t="str">
        <f>IFERROR(__xludf.DUMMYFUNCTION("""COMPUTED_VALUE"""),"Gagal")</f>
        <v>Gagal</v>
      </c>
      <c r="AH441" s="285"/>
      <c r="AI441" s="287"/>
      <c r="AJ441" s="285">
        <f>IFERROR(__xludf.DUMMYFUNCTION("""COMPUTED_VALUE"""),1.0)</f>
        <v>1</v>
      </c>
      <c r="AK441" s="289"/>
      <c r="AL441" s="285" t="str">
        <f>IFERROR(__xludf.DUMMYFUNCTION("""COMPUTED_VALUE"""),"gagal, ada urusan mendadak")</f>
        <v>gagal, ada urusan mendadak</v>
      </c>
    </row>
    <row r="442">
      <c r="F442" s="285"/>
      <c r="G442" s="285"/>
      <c r="H442" s="285"/>
      <c r="I442" s="285"/>
      <c r="J442" s="285"/>
      <c r="K442" s="285"/>
      <c r="L442" s="285"/>
      <c r="M442" s="288"/>
      <c r="N442" s="285"/>
      <c r="O442" s="290"/>
      <c r="P442" s="320"/>
      <c r="R442" s="285"/>
      <c r="S442" s="285"/>
      <c r="T442" s="285"/>
      <c r="U442" s="285"/>
      <c r="V442" s="285"/>
      <c r="W442" s="285"/>
      <c r="X442" s="285"/>
      <c r="Y442" s="285"/>
      <c r="Z442" s="285"/>
      <c r="AA442" s="285"/>
      <c r="AC442" s="285" t="str">
        <f>IFERROR(__xludf.DUMMYFUNCTION("""COMPUTED_VALUE"""),"2604D095")</f>
        <v>2604D095</v>
      </c>
      <c r="AD442" s="286">
        <f>IFERROR(__xludf.DUMMYFUNCTION("""COMPUTED_VALUE"""),46129.0)</f>
        <v>46129</v>
      </c>
      <c r="AE442" s="285" t="str">
        <f>IFERROR(__xludf.DUMMYFUNCTION("""COMPUTED_VALUE"""),"Willy")</f>
        <v>Willy</v>
      </c>
      <c r="AF442" s="285" t="str">
        <f>IFERROR(__xludf.DUMMYFUNCTION("""COMPUTED_VALUE"""),"085777418479")</f>
        <v>085777418479</v>
      </c>
      <c r="AG442" s="285" t="str">
        <f>IFERROR(__xludf.DUMMYFUNCTION("""COMPUTED_VALUE"""),"Gagal")</f>
        <v>Gagal</v>
      </c>
      <c r="AH442" s="285" t="str">
        <f>IFERROR(__xludf.DUMMYFUNCTION("""COMPUTED_VALUE"""),"1 day ijen baluran")</f>
        <v>1 day ijen baluran</v>
      </c>
      <c r="AI442" s="287"/>
      <c r="AJ442" s="285">
        <f>IFERROR(__xludf.DUMMYFUNCTION("""COMPUTED_VALUE"""),2.0)</f>
        <v>2</v>
      </c>
      <c r="AK442" s="289"/>
      <c r="AL442" s="285" t="str">
        <f>IFERROR(__xludf.DUMMYFUNCTION("""COMPUTED_VALUE"""),"belum jadi, ada urusan mendadak")</f>
        <v>belum jadi, ada urusan mendadak</v>
      </c>
    </row>
    <row r="443">
      <c r="F443" s="285"/>
      <c r="G443" s="285"/>
      <c r="H443" s="285"/>
      <c r="I443" s="285"/>
      <c r="J443" s="285"/>
      <c r="K443" s="285"/>
      <c r="L443" s="285"/>
      <c r="M443" s="288"/>
      <c r="N443" s="285"/>
      <c r="O443" s="290"/>
      <c r="P443" s="320"/>
      <c r="R443" s="285"/>
      <c r="S443" s="285"/>
      <c r="T443" s="285"/>
      <c r="U443" s="285"/>
      <c r="V443" s="285"/>
      <c r="W443" s="285"/>
      <c r="X443" s="285"/>
      <c r="Y443" s="285"/>
      <c r="Z443" s="285"/>
      <c r="AA443" s="285"/>
      <c r="AC443" s="285" t="str">
        <f>IFERROR(__xludf.DUMMYFUNCTION("""COMPUTED_VALUE"""),"2604D097")</f>
        <v>2604D097</v>
      </c>
      <c r="AD443" s="286">
        <f>IFERROR(__xludf.DUMMYFUNCTION("""COMPUTED_VALUE"""),46130.0)</f>
        <v>46130</v>
      </c>
      <c r="AE443" s="285" t="str">
        <f>IFERROR(__xludf.DUMMYFUNCTION("""COMPUTED_VALUE"""),"Pinastika")</f>
        <v>Pinastika</v>
      </c>
      <c r="AF443" s="285" t="str">
        <f>IFERROR(__xludf.DUMMYFUNCTION("""COMPUTED_VALUE"""),"081990039512")</f>
        <v>081990039512</v>
      </c>
      <c r="AG443" s="285" t="str">
        <f>IFERROR(__xludf.DUMMYFUNCTION("""COMPUTED_VALUE"""),"Gagal")</f>
        <v>Gagal</v>
      </c>
      <c r="AH443" s="285" t="str">
        <f>IFERROR(__xludf.DUMMYFUNCTION("""COMPUTED_VALUE"""),"3h2m custome")</f>
        <v>3h2m custome</v>
      </c>
      <c r="AI443" s="287"/>
      <c r="AJ443" s="285">
        <f>IFERROR(__xludf.DUMMYFUNCTION("""COMPUTED_VALUE"""),3.0)</f>
        <v>3</v>
      </c>
      <c r="AK443" s="289"/>
      <c r="AL443" s="285" t="str">
        <f>IFERROR(__xludf.DUMMYFUNCTION("""COMPUTED_VALUE"""),"lewat tanggal")</f>
        <v>lewat tanggal</v>
      </c>
    </row>
    <row r="444">
      <c r="F444" s="285"/>
      <c r="G444" s="285"/>
      <c r="H444" s="285"/>
      <c r="I444" s="285"/>
      <c r="J444" s="285"/>
      <c r="K444" s="285"/>
      <c r="L444" s="285"/>
      <c r="M444" s="288"/>
      <c r="N444" s="285"/>
      <c r="O444" s="290"/>
      <c r="P444" s="320"/>
      <c r="R444" s="285"/>
      <c r="S444" s="285"/>
      <c r="T444" s="285"/>
      <c r="U444" s="285"/>
      <c r="V444" s="285"/>
      <c r="W444" s="285"/>
      <c r="X444" s="285"/>
      <c r="Y444" s="285"/>
      <c r="Z444" s="285"/>
      <c r="AA444" s="285"/>
      <c r="AC444" s="285" t="str">
        <f>IFERROR(__xludf.DUMMYFUNCTION("""COMPUTED_VALUE"""),"2604D100")</f>
        <v>2604D100</v>
      </c>
      <c r="AD444" s="286">
        <f>IFERROR(__xludf.DUMMYFUNCTION("""COMPUTED_VALUE"""),46131.0)</f>
        <v>46131</v>
      </c>
      <c r="AE444" s="285" t="str">
        <f>IFERROR(__xludf.DUMMYFUNCTION("""COMPUTED_VALUE"""),"Rich Hans")</f>
        <v>Rich Hans</v>
      </c>
      <c r="AF444" s="285" t="str">
        <f>IFERROR(__xludf.DUMMYFUNCTION("""COMPUTED_VALUE"""),"081393906568")</f>
        <v>081393906568</v>
      </c>
      <c r="AG444" s="285" t="str">
        <f>IFERROR(__xludf.DUMMYFUNCTION("""COMPUTED_VALUE"""),"Gagal")</f>
        <v>Gagal</v>
      </c>
      <c r="AH444" s="285" t="str">
        <f>IFERROR(__xludf.DUMMYFUNCTION("""COMPUTED_VALUE"""),"trip menjangan tabuhan")</f>
        <v>trip menjangan tabuhan</v>
      </c>
      <c r="AI444" s="287">
        <f>IFERROR(__xludf.DUMMYFUNCTION("""COMPUTED_VALUE"""),46152.0)</f>
        <v>46152</v>
      </c>
      <c r="AJ444" s="285">
        <f>IFERROR(__xludf.DUMMYFUNCTION("""COMPUTED_VALUE"""),4.0)</f>
        <v>4</v>
      </c>
      <c r="AK444" s="289"/>
      <c r="AL444" s="285" t="str">
        <f>IFERROR(__xludf.DUMMYFUNCTION("""COMPUTED_VALUE"""),"lewat tanggal")</f>
        <v>lewat tanggal</v>
      </c>
    </row>
    <row r="445">
      <c r="F445" s="285"/>
      <c r="G445" s="285"/>
      <c r="H445" s="285"/>
      <c r="I445" s="285"/>
      <c r="J445" s="285"/>
      <c r="K445" s="285"/>
      <c r="L445" s="285"/>
      <c r="M445" s="288"/>
      <c r="N445" s="285"/>
      <c r="O445" s="290"/>
      <c r="P445" s="320"/>
      <c r="R445" s="285"/>
      <c r="S445" s="285"/>
      <c r="T445" s="285"/>
      <c r="U445" s="285"/>
      <c r="V445" s="285"/>
      <c r="W445" s="285"/>
      <c r="X445" s="285"/>
      <c r="Y445" s="285"/>
      <c r="Z445" s="285"/>
      <c r="AA445" s="285"/>
      <c r="AC445" s="285" t="str">
        <f>IFERROR(__xludf.DUMMYFUNCTION("""COMPUTED_VALUE"""),"2604D101")</f>
        <v>2604D101</v>
      </c>
      <c r="AD445" s="286">
        <f>IFERROR(__xludf.DUMMYFUNCTION("""COMPUTED_VALUE"""),46131.0)</f>
        <v>46131</v>
      </c>
      <c r="AE445" s="285" t="str">
        <f>IFERROR(__xludf.DUMMYFUNCTION("""COMPUTED_VALUE"""),"Natasya ")</f>
        <v>Natasya </v>
      </c>
      <c r="AF445" s="285" t="str">
        <f>IFERROR(__xludf.DUMMYFUNCTION("""COMPUTED_VALUE"""),"085334830053")</f>
        <v>085334830053</v>
      </c>
      <c r="AG445" s="285" t="str">
        <f>IFERROR(__xludf.DUMMYFUNCTION("""COMPUTED_VALUE"""),"Gagal")</f>
        <v>Gagal</v>
      </c>
      <c r="AH445" s="285" t="str">
        <f>IFERROR(__xludf.DUMMYFUNCTION("""COMPUTED_VALUE"""),"OT 3H2M")</f>
        <v>OT 3H2M</v>
      </c>
      <c r="AI445" s="287"/>
      <c r="AJ445" s="285">
        <f>IFERROR(__xludf.DUMMYFUNCTION("""COMPUTED_VALUE"""),4.0)</f>
        <v>4</v>
      </c>
      <c r="AK445" s="289"/>
      <c r="AL445" s="285" t="str">
        <f>IFERROR(__xludf.DUMMYFUNCTION("""COMPUTED_VALUE"""),"belum jadi tripppp")</f>
        <v>belum jadi tripppp</v>
      </c>
    </row>
    <row r="446">
      <c r="F446" s="285"/>
      <c r="G446" s="285"/>
      <c r="H446" s="285"/>
      <c r="I446" s="285"/>
      <c r="J446" s="285"/>
      <c r="K446" s="285"/>
      <c r="L446" s="285"/>
      <c r="M446" s="288"/>
      <c r="N446" s="285"/>
      <c r="O446" s="290"/>
      <c r="P446" s="320"/>
      <c r="R446" s="285"/>
      <c r="S446" s="285"/>
      <c r="T446" s="285"/>
      <c r="U446" s="285"/>
      <c r="V446" s="285"/>
      <c r="W446" s="285"/>
      <c r="X446" s="285"/>
      <c r="Y446" s="285"/>
      <c r="Z446" s="285"/>
      <c r="AA446" s="285"/>
      <c r="AC446" s="285" t="str">
        <f>IFERROR(__xludf.DUMMYFUNCTION("""COMPUTED_VALUE"""),"2604D102")</f>
        <v>2604D102</v>
      </c>
      <c r="AD446" s="286">
        <f>IFERROR(__xludf.DUMMYFUNCTION("""COMPUTED_VALUE"""),46132.0)</f>
        <v>46132</v>
      </c>
      <c r="AE446" s="285" t="str">
        <f>IFERROR(__xludf.DUMMYFUNCTION("""COMPUTED_VALUE"""),"Daffa Muhammad")</f>
        <v>Daffa Muhammad</v>
      </c>
      <c r="AF446" s="285" t="str">
        <f>IFERROR(__xludf.DUMMYFUNCTION("""COMPUTED_VALUE"""),"081388266430")</f>
        <v>081388266430</v>
      </c>
      <c r="AG446" s="285" t="str">
        <f>IFERROR(__xludf.DUMMYFUNCTION("""COMPUTED_VALUE"""),"Gagal")</f>
        <v>Gagal</v>
      </c>
      <c r="AH446" s="285" t="str">
        <f>IFERROR(__xludf.DUMMYFUNCTION("""COMPUTED_VALUE"""),"trip green island, bedil, wedi ireng")</f>
        <v>trip green island, bedil, wedi ireng</v>
      </c>
      <c r="AI446" s="287">
        <f>IFERROR(__xludf.DUMMYFUNCTION("""COMPUTED_VALUE"""),46182.0)</f>
        <v>46182</v>
      </c>
      <c r="AJ446" s="285">
        <f>IFERROR(__xludf.DUMMYFUNCTION("""COMPUTED_VALUE"""),2.0)</f>
        <v>2</v>
      </c>
      <c r="AK446" s="289">
        <f>IFERROR(__xludf.DUMMYFUNCTION("""COMPUTED_VALUE"""),3050000.0)</f>
        <v>3050000</v>
      </c>
      <c r="AL446" s="285" t="str">
        <f>IFERROR(__xludf.DUMMYFUNCTION("""COMPUTED_VALUE"""),"diskusi duluuu, FU 1 juni")</f>
        <v>diskusi duluuu, FU 1 juni</v>
      </c>
    </row>
    <row r="447">
      <c r="F447" s="285"/>
      <c r="G447" s="285"/>
      <c r="H447" s="285"/>
      <c r="I447" s="285"/>
      <c r="J447" s="285"/>
      <c r="K447" s="285"/>
      <c r="L447" s="285"/>
      <c r="M447" s="288"/>
      <c r="N447" s="285"/>
      <c r="O447" s="290"/>
      <c r="P447" s="320"/>
      <c r="R447" s="285"/>
      <c r="S447" s="285"/>
      <c r="T447" s="285"/>
      <c r="U447" s="285"/>
      <c r="V447" s="285"/>
      <c r="W447" s="285"/>
      <c r="X447" s="285"/>
      <c r="Y447" s="285"/>
      <c r="Z447" s="285"/>
      <c r="AA447" s="285"/>
      <c r="AC447" s="285" t="str">
        <f>IFERROR(__xludf.DUMMYFUNCTION("""COMPUTED_VALUE"""),"2604D103")</f>
        <v>2604D103</v>
      </c>
      <c r="AD447" s="286">
        <f>IFERROR(__xludf.DUMMYFUNCTION("""COMPUTED_VALUE"""),46133.0)</f>
        <v>46133</v>
      </c>
      <c r="AE447" s="285" t="str">
        <f>IFERROR(__xludf.DUMMYFUNCTION("""COMPUTED_VALUE"""),"Dilly Genkei")</f>
        <v>Dilly Genkei</v>
      </c>
      <c r="AF447" s="285" t="str">
        <f>IFERROR(__xludf.DUMMYFUNCTION("""COMPUTED_VALUE"""),"081311462880")</f>
        <v>081311462880</v>
      </c>
      <c r="AG447" s="285" t="str">
        <f>IFERROR(__xludf.DUMMYFUNCTION("""COMPUTED_VALUE"""),"Gagal")</f>
        <v>Gagal</v>
      </c>
      <c r="AH447" s="285" t="str">
        <f>IFERROR(__xludf.DUMMYFUNCTION("""COMPUTED_VALUE"""),"3h2m ")</f>
        <v>3h2m </v>
      </c>
      <c r="AI447" s="287"/>
      <c r="AJ447" s="285">
        <f>IFERROR(__xludf.DUMMYFUNCTION("""COMPUTED_VALUE"""),15.0)</f>
        <v>15</v>
      </c>
      <c r="AK447" s="289"/>
      <c r="AL447" s="285" t="str">
        <f>IFERROR(__xludf.DUMMYFUNCTION("""COMPUTED_VALUE"""),"B2B, gagalll")</f>
        <v>B2B, gagalll</v>
      </c>
    </row>
    <row r="448">
      <c r="F448" s="285"/>
      <c r="G448" s="285"/>
      <c r="H448" s="285"/>
      <c r="I448" s="285"/>
      <c r="J448" s="285"/>
      <c r="K448" s="285"/>
      <c r="L448" s="285"/>
      <c r="M448" s="288"/>
      <c r="N448" s="285"/>
      <c r="O448" s="290"/>
      <c r="P448" s="320"/>
      <c r="R448" s="285"/>
      <c r="S448" s="285"/>
      <c r="T448" s="285"/>
      <c r="U448" s="285"/>
      <c r="V448" s="285"/>
      <c r="W448" s="285"/>
      <c r="X448" s="285"/>
      <c r="Y448" s="285"/>
      <c r="Z448" s="285"/>
      <c r="AA448" s="285"/>
      <c r="AC448" s="285" t="str">
        <f>IFERROR(__xludf.DUMMYFUNCTION("""COMPUTED_VALUE"""),"2604D104")</f>
        <v>2604D104</v>
      </c>
      <c r="AD448" s="286">
        <f>IFERROR(__xludf.DUMMYFUNCTION("""COMPUTED_VALUE"""),46132.0)</f>
        <v>46132</v>
      </c>
      <c r="AE448" s="285" t="str">
        <f>IFERROR(__xludf.DUMMYFUNCTION("""COMPUTED_VALUE"""),"Siska")</f>
        <v>Siska</v>
      </c>
      <c r="AF448" s="285" t="str">
        <f>IFERROR(__xludf.DUMMYFUNCTION("""COMPUTED_VALUE"""),"082138203623")</f>
        <v>082138203623</v>
      </c>
      <c r="AG448" s="285" t="str">
        <f>IFERROR(__xludf.DUMMYFUNCTION("""COMPUTED_VALUE"""),"Gagal")</f>
        <v>Gagal</v>
      </c>
      <c r="AH448" s="285" t="str">
        <f>IFERROR(__xludf.DUMMYFUNCTION("""COMPUTED_VALUE"""),"ot 3h2m")</f>
        <v>ot 3h2m</v>
      </c>
      <c r="AI448" s="287"/>
      <c r="AJ448" s="285">
        <f>IFERROR(__xludf.DUMMYFUNCTION("""COMPUTED_VALUE"""),5.0)</f>
        <v>5</v>
      </c>
      <c r="AK448" s="289"/>
      <c r="AL448" s="285" t="str">
        <f>IFERROR(__xludf.DUMMYFUNCTION("""COMPUTED_VALUE"""),"belum jadi tripppp")</f>
        <v>belum jadi tripppp</v>
      </c>
    </row>
    <row r="449">
      <c r="F449" s="285"/>
      <c r="G449" s="285"/>
      <c r="H449" s="285"/>
      <c r="I449" s="285"/>
      <c r="J449" s="285"/>
      <c r="K449" s="285"/>
      <c r="L449" s="285"/>
      <c r="M449" s="288"/>
      <c r="N449" s="285"/>
      <c r="O449" s="290"/>
      <c r="P449" s="320"/>
      <c r="R449" s="285"/>
      <c r="S449" s="285"/>
      <c r="T449" s="285"/>
      <c r="U449" s="285"/>
      <c r="V449" s="285"/>
      <c r="W449" s="285"/>
      <c r="X449" s="285"/>
      <c r="Y449" s="285"/>
      <c r="Z449" s="285"/>
      <c r="AA449" s="285"/>
      <c r="AC449" s="285" t="str">
        <f>IFERROR(__xludf.DUMMYFUNCTION("""COMPUTED_VALUE"""),"2604D108")</f>
        <v>2604D108</v>
      </c>
      <c r="AD449" s="286">
        <f>IFERROR(__xludf.DUMMYFUNCTION("""COMPUTED_VALUE"""),46134.0)</f>
        <v>46134</v>
      </c>
      <c r="AE449" s="285" t="str">
        <f>IFERROR(__xludf.DUMMYFUNCTION("""COMPUTED_VALUE"""),"Rara")</f>
        <v>Rara</v>
      </c>
      <c r="AF449" s="285" t="str">
        <f>IFERROR(__xludf.DUMMYFUNCTION("""COMPUTED_VALUE"""),"085163080638")</f>
        <v>085163080638</v>
      </c>
      <c r="AG449" s="285" t="str">
        <f>IFERROR(__xludf.DUMMYFUNCTION("""COMPUTED_VALUE"""),"Gagal")</f>
        <v>Gagal</v>
      </c>
      <c r="AH449" s="285" t="str">
        <f>IFERROR(__xludf.DUMMYFUNCTION("""COMPUTED_VALUE"""),"1 day trip")</f>
        <v>1 day trip</v>
      </c>
      <c r="AI449" s="287"/>
      <c r="AJ449" s="285"/>
      <c r="AK449" s="289"/>
      <c r="AL449" s="285" t="str">
        <f>IFERROR(__xludf.DUMMYFUNCTION("""COMPUTED_VALUE"""),"buat penawaran, FU lagi 27 Mei")</f>
        <v>buat penawaran, FU lagi 27 Mei</v>
      </c>
    </row>
    <row r="450">
      <c r="F450" s="285"/>
      <c r="G450" s="285"/>
      <c r="H450" s="285"/>
      <c r="I450" s="285"/>
      <c r="J450" s="285"/>
      <c r="K450" s="285"/>
      <c r="L450" s="285"/>
      <c r="M450" s="288"/>
      <c r="N450" s="285"/>
      <c r="O450" s="290"/>
      <c r="P450" s="320"/>
      <c r="R450" s="285"/>
      <c r="S450" s="285"/>
      <c r="T450" s="285"/>
      <c r="U450" s="285"/>
      <c r="V450" s="285"/>
      <c r="W450" s="285"/>
      <c r="X450" s="285"/>
      <c r="Y450" s="285"/>
      <c r="Z450" s="285"/>
      <c r="AA450" s="285"/>
      <c r="AC450" s="285" t="str">
        <f>IFERROR(__xludf.DUMMYFUNCTION("""COMPUTED_VALUE"""),"2604D109 ")</f>
        <v>2604D109 </v>
      </c>
      <c r="AD450" s="286">
        <f>IFERROR(__xludf.DUMMYFUNCTION("""COMPUTED_VALUE"""),46134.0)</f>
        <v>46134</v>
      </c>
      <c r="AE450" s="285" t="str">
        <f>IFERROR(__xludf.DUMMYFUNCTION("""COMPUTED_VALUE"""),"Deki Sulistiyo")</f>
        <v>Deki Sulistiyo</v>
      </c>
      <c r="AF450" s="285" t="str">
        <f>IFERROR(__xludf.DUMMYFUNCTION("""COMPUTED_VALUE"""),"0895418947735")</f>
        <v>0895418947735</v>
      </c>
      <c r="AG450" s="285" t="str">
        <f>IFERROR(__xludf.DUMMYFUNCTION("""COMPUTED_VALUE"""),"Gagal")</f>
        <v>Gagal</v>
      </c>
      <c r="AH450" s="285" t="str">
        <f>IFERROR(__xludf.DUMMYFUNCTION("""COMPUTED_VALUE"""),"private trip Ijen")</f>
        <v>private trip Ijen</v>
      </c>
      <c r="AI450" s="287">
        <f>IFERROR(__xludf.DUMMYFUNCTION("""COMPUTED_VALUE"""),46185.0)</f>
        <v>46185</v>
      </c>
      <c r="AJ450" s="285">
        <f>IFERROR(__xludf.DUMMYFUNCTION("""COMPUTED_VALUE"""),7.0)</f>
        <v>7</v>
      </c>
      <c r="AK450" s="289"/>
      <c r="AL450" s="285" t="str">
        <f>IFERROR(__xludf.DUMMYFUNCTION("""COMPUTED_VALUE"""),"belum balas lagi, 4 WNA 3 WNi, B2B. FU 2 Juni")</f>
        <v>belum balas lagi, 4 WNA 3 WNi, B2B. FU 2 Juni</v>
      </c>
    </row>
    <row r="451">
      <c r="F451" s="285"/>
      <c r="G451" s="285"/>
      <c r="H451" s="285"/>
      <c r="I451" s="285"/>
      <c r="J451" s="285"/>
      <c r="K451" s="285"/>
      <c r="L451" s="285"/>
      <c r="M451" s="288"/>
      <c r="N451" s="285"/>
      <c r="O451" s="290"/>
      <c r="P451" s="320"/>
      <c r="R451" s="285"/>
      <c r="S451" s="285"/>
      <c r="T451" s="285"/>
      <c r="U451" s="285"/>
      <c r="V451" s="285"/>
      <c r="W451" s="285"/>
      <c r="X451" s="285"/>
      <c r="Y451" s="285"/>
      <c r="Z451" s="285"/>
      <c r="AA451" s="285"/>
      <c r="AC451" s="285" t="str">
        <f>IFERROR(__xludf.DUMMYFUNCTION("""COMPUTED_VALUE"""),"2604D111")</f>
        <v>2604D111</v>
      </c>
      <c r="AD451" s="286">
        <f>IFERROR(__xludf.DUMMYFUNCTION("""COMPUTED_VALUE"""),46134.0)</f>
        <v>46134</v>
      </c>
      <c r="AE451" s="285" t="str">
        <f>IFERROR(__xludf.DUMMYFUNCTION("""COMPUTED_VALUE"""),"Dy")</f>
        <v>Dy</v>
      </c>
      <c r="AF451" s="285" t="str">
        <f>IFERROR(__xludf.DUMMYFUNCTION("""COMPUTED_VALUE"""),"081311116988")</f>
        <v>081311116988</v>
      </c>
      <c r="AG451" s="285" t="str">
        <f>IFERROR(__xludf.DUMMYFUNCTION("""COMPUTED_VALUE"""),"Gagal")</f>
        <v>Gagal</v>
      </c>
      <c r="AH451" s="285" t="str">
        <f>IFERROR(__xludf.DUMMYFUNCTION("""COMPUTED_VALUE"""),"3h2m opsi B")</f>
        <v>3h2m opsi B</v>
      </c>
      <c r="AI451" s="287">
        <f>IFERROR(__xludf.DUMMYFUNCTION("""COMPUTED_VALUE"""),46161.0)</f>
        <v>46161</v>
      </c>
      <c r="AJ451" s="285">
        <f>IFERROR(__xludf.DUMMYFUNCTION("""COMPUTED_VALUE"""),4.0)</f>
        <v>4</v>
      </c>
      <c r="AK451" s="289">
        <f>IFERROR(__xludf.DUMMYFUNCTION("""COMPUTED_VALUE"""),6376000.0)</f>
        <v>6376000</v>
      </c>
      <c r="AL451" s="285" t="str">
        <f>IFERROR(__xludf.DUMMYFUNCTION("""COMPUTED_VALUE"""),"Ditunda blm tau kapan")</f>
        <v>Ditunda blm tau kapan</v>
      </c>
    </row>
    <row r="452">
      <c r="F452" s="285"/>
      <c r="G452" s="285"/>
      <c r="H452" s="285"/>
      <c r="I452" s="285"/>
      <c r="J452" s="285"/>
      <c r="K452" s="285"/>
      <c r="L452" s="285"/>
      <c r="M452" s="288"/>
      <c r="N452" s="285"/>
      <c r="O452" s="290"/>
      <c r="P452" s="320"/>
      <c r="R452" s="285"/>
      <c r="S452" s="285"/>
      <c r="T452" s="285"/>
      <c r="U452" s="285"/>
      <c r="V452" s="285"/>
      <c r="W452" s="285"/>
      <c r="X452" s="285"/>
      <c r="Y452" s="285"/>
      <c r="Z452" s="285"/>
      <c r="AA452" s="285"/>
      <c r="AC452" s="285" t="str">
        <f>IFERROR(__xludf.DUMMYFUNCTION("""COMPUTED_VALUE"""),"2604D113")</f>
        <v>2604D113</v>
      </c>
      <c r="AD452" s="286">
        <f>IFERROR(__xludf.DUMMYFUNCTION("""COMPUTED_VALUE"""),46135.0)</f>
        <v>46135</v>
      </c>
      <c r="AE452" s="285" t="str">
        <f>IFERROR(__xludf.DUMMYFUNCTION("""COMPUTED_VALUE"""),"Regina")</f>
        <v>Regina</v>
      </c>
      <c r="AF452" s="285" t="str">
        <f>IFERROR(__xludf.DUMMYFUNCTION("""COMPUTED_VALUE"""),"085962869696")</f>
        <v>085962869696</v>
      </c>
      <c r="AG452" s="285" t="str">
        <f>IFERROR(__xludf.DUMMYFUNCTION("""COMPUTED_VALUE"""),"Gagal")</f>
        <v>Gagal</v>
      </c>
      <c r="AH452" s="285" t="str">
        <f>IFERROR(__xludf.DUMMYFUNCTION("""COMPUTED_VALUE"""),"paket OT")</f>
        <v>paket OT</v>
      </c>
      <c r="AI452" s="287"/>
      <c r="AJ452" s="285">
        <f>IFERROR(__xludf.DUMMYFUNCTION("""COMPUTED_VALUE"""),1.0)</f>
        <v>1</v>
      </c>
      <c r="AK452" s="289"/>
      <c r="AL452" s="285" t="str">
        <f>IFERROR(__xludf.DUMMYFUNCTION("""COMPUTED_VALUE"""),"sudah fu 4 kali ga pernah baless")</f>
        <v>sudah fu 4 kali ga pernah baless</v>
      </c>
    </row>
    <row r="453">
      <c r="F453" s="285"/>
      <c r="G453" s="285"/>
      <c r="H453" s="285"/>
      <c r="I453" s="285"/>
      <c r="J453" s="285"/>
      <c r="K453" s="285"/>
      <c r="L453" s="285"/>
      <c r="M453" s="288"/>
      <c r="N453" s="285"/>
      <c r="O453" s="290"/>
      <c r="P453" s="320"/>
      <c r="R453" s="285"/>
      <c r="S453" s="285"/>
      <c r="T453" s="285"/>
      <c r="U453" s="285"/>
      <c r="V453" s="285"/>
      <c r="W453" s="285"/>
      <c r="X453" s="285"/>
      <c r="Y453" s="285"/>
      <c r="Z453" s="285"/>
      <c r="AA453" s="285"/>
      <c r="AC453" s="285" t="str">
        <f>IFERROR(__xludf.DUMMYFUNCTION("""COMPUTED_VALUE"""),"2604D115")</f>
        <v>2604D115</v>
      </c>
      <c r="AD453" s="286">
        <f>IFERROR(__xludf.DUMMYFUNCTION("""COMPUTED_VALUE"""),46135.0)</f>
        <v>46135</v>
      </c>
      <c r="AE453" s="285" t="str">
        <f>IFERROR(__xludf.DUMMYFUNCTION("""COMPUTED_VALUE"""),"Intan")</f>
        <v>Intan</v>
      </c>
      <c r="AF453" s="285" t="str">
        <f>IFERROR(__xludf.DUMMYFUNCTION("""COMPUTED_VALUE"""),"089685639006")</f>
        <v>089685639006</v>
      </c>
      <c r="AG453" s="285" t="str">
        <f>IFERROR(__xludf.DUMMYFUNCTION("""COMPUTED_VALUE"""),"Gagal")</f>
        <v>Gagal</v>
      </c>
      <c r="AH453" s="285" t="str">
        <f>IFERROR(__xludf.DUMMYFUNCTION("""COMPUTED_VALUE"""),"trip Menjangan ")</f>
        <v>trip Menjangan </v>
      </c>
      <c r="AI453" s="287"/>
      <c r="AJ453" s="285">
        <f>IFERROR(__xludf.DUMMYFUNCTION("""COMPUTED_VALUE"""),2.0)</f>
        <v>2</v>
      </c>
      <c r="AK453" s="289"/>
      <c r="AL453" s="285" t="str">
        <f>IFERROR(__xludf.DUMMYFUNCTION("""COMPUTED_VALUE"""),"belum jadi, mama nya meninggal dunia")</f>
        <v>belum jadi, mama nya meninggal dunia</v>
      </c>
    </row>
    <row r="454">
      <c r="F454" s="285"/>
      <c r="G454" s="285"/>
      <c r="H454" s="285"/>
      <c r="I454" s="285"/>
      <c r="J454" s="285"/>
      <c r="K454" s="285"/>
      <c r="L454" s="285"/>
      <c r="M454" s="288"/>
      <c r="N454" s="285"/>
      <c r="O454" s="290"/>
      <c r="P454" s="320"/>
      <c r="R454" s="285"/>
      <c r="S454" s="285"/>
      <c r="T454" s="285"/>
      <c r="U454" s="285"/>
      <c r="V454" s="285"/>
      <c r="W454" s="285"/>
      <c r="X454" s="285"/>
      <c r="Y454" s="285"/>
      <c r="Z454" s="285"/>
      <c r="AA454" s="285"/>
      <c r="AC454" s="285" t="str">
        <f>IFERROR(__xludf.DUMMYFUNCTION("""COMPUTED_VALUE"""),"2604D116")</f>
        <v>2604D116</v>
      </c>
      <c r="AD454" s="286">
        <f>IFERROR(__xludf.DUMMYFUNCTION("""COMPUTED_VALUE"""),45770.0)</f>
        <v>45770</v>
      </c>
      <c r="AE454" s="285" t="str">
        <f>IFERROR(__xludf.DUMMYFUNCTION("""COMPUTED_VALUE"""),"Febrina Mila")</f>
        <v>Febrina Mila</v>
      </c>
      <c r="AF454" s="285" t="str">
        <f>IFERROR(__xludf.DUMMYFUNCTION("""COMPUTED_VALUE"""),"085336925757")</f>
        <v>085336925757</v>
      </c>
      <c r="AG454" s="285" t="str">
        <f>IFERROR(__xludf.DUMMYFUNCTION("""COMPUTED_VALUE"""),"Gagal")</f>
        <v>Gagal</v>
      </c>
      <c r="AH454" s="285" t="str">
        <f>IFERROR(__xludf.DUMMYFUNCTION("""COMPUTED_VALUE"""),"trip Green Island")</f>
        <v>trip Green Island</v>
      </c>
      <c r="AI454" s="287">
        <f>IFERROR(__xludf.DUMMYFUNCTION("""COMPUTED_VALUE"""),46158.0)</f>
        <v>46158</v>
      </c>
      <c r="AJ454" s="285"/>
      <c r="AK454" s="289"/>
      <c r="AL454" s="285" t="str">
        <f>IFERROR(__xludf.DUMMYFUNCTION("""COMPUTED_VALUE"""),"lewat tgl")</f>
        <v>lewat tgl</v>
      </c>
    </row>
    <row r="455">
      <c r="F455" s="285"/>
      <c r="G455" s="285"/>
      <c r="H455" s="285"/>
      <c r="I455" s="285"/>
      <c r="J455" s="285"/>
      <c r="K455" s="285"/>
      <c r="L455" s="285"/>
      <c r="M455" s="288"/>
      <c r="N455" s="285"/>
      <c r="O455" s="290"/>
      <c r="P455" s="320"/>
      <c r="R455" s="285"/>
      <c r="S455" s="285"/>
      <c r="T455" s="285"/>
      <c r="U455" s="285"/>
      <c r="V455" s="285"/>
      <c r="W455" s="285"/>
      <c r="X455" s="285"/>
      <c r="Y455" s="285"/>
      <c r="Z455" s="285"/>
      <c r="AA455" s="285"/>
      <c r="AC455" s="285" t="str">
        <f>IFERROR(__xludf.DUMMYFUNCTION("""COMPUTED_VALUE"""),"2604D117")</f>
        <v>2604D117</v>
      </c>
      <c r="AD455" s="286">
        <f>IFERROR(__xludf.DUMMYFUNCTION("""COMPUTED_VALUE"""),46136.0)</f>
        <v>46136</v>
      </c>
      <c r="AE455" s="285" t="str">
        <f>IFERROR(__xludf.DUMMYFUNCTION("""COMPUTED_VALUE"""),"Prisca Augustria")</f>
        <v>Prisca Augustria</v>
      </c>
      <c r="AF455" s="285" t="str">
        <f>IFERROR(__xludf.DUMMYFUNCTION("""COMPUTED_VALUE"""),"081808084037")</f>
        <v>081808084037</v>
      </c>
      <c r="AG455" s="285" t="str">
        <f>IFERROR(__xludf.DUMMYFUNCTION("""COMPUTED_VALUE"""),"Gagal")</f>
        <v>Gagal</v>
      </c>
      <c r="AH455" s="285" t="str">
        <f>IFERROR(__xludf.DUMMYFUNCTION("""COMPUTED_VALUE"""),"trip Ijen Baluran")</f>
        <v>trip Ijen Baluran</v>
      </c>
      <c r="AI455" s="287">
        <f>IFERROR(__xludf.DUMMYFUNCTION("""COMPUTED_VALUE"""),46158.0)</f>
        <v>46158</v>
      </c>
      <c r="AJ455" s="285">
        <f>IFERROR(__xludf.DUMMYFUNCTION("""COMPUTED_VALUE"""),4.0)</f>
        <v>4</v>
      </c>
      <c r="AK455" s="289">
        <f>IFERROR(__xludf.DUMMYFUNCTION("""COMPUTED_VALUE"""),2188000.0)</f>
        <v>2188000</v>
      </c>
      <c r="AL455" s="285" t="str">
        <f>IFERROR(__xludf.DUMMYFUNCTION("""COMPUTED_VALUE"""),"Lewat tanggal dan tidak balas")</f>
        <v>Lewat tanggal dan tidak balas</v>
      </c>
    </row>
    <row r="456">
      <c r="F456" s="285"/>
      <c r="G456" s="285"/>
      <c r="H456" s="285"/>
      <c r="I456" s="285"/>
      <c r="J456" s="285"/>
      <c r="K456" s="285"/>
      <c r="L456" s="285"/>
      <c r="M456" s="288"/>
      <c r="N456" s="285"/>
      <c r="O456" s="290"/>
      <c r="P456" s="320"/>
      <c r="R456" s="285"/>
      <c r="S456" s="285"/>
      <c r="T456" s="285"/>
      <c r="U456" s="285"/>
      <c r="V456" s="285"/>
      <c r="W456" s="285"/>
      <c r="X456" s="285"/>
      <c r="Y456" s="285"/>
      <c r="Z456" s="285"/>
      <c r="AA456" s="285"/>
      <c r="AC456" s="285" t="str">
        <f>IFERROR(__xludf.DUMMYFUNCTION("""COMPUTED_VALUE"""),"2604D120")</f>
        <v>2604D120</v>
      </c>
      <c r="AD456" s="286">
        <f>IFERROR(__xludf.DUMMYFUNCTION("""COMPUTED_VALUE"""),46137.0)</f>
        <v>46137</v>
      </c>
      <c r="AE456" s="285" t="str">
        <f>IFERROR(__xludf.DUMMYFUNCTION("""COMPUTED_VALUE"""),"Username Jepang")</f>
        <v>Username Jepang</v>
      </c>
      <c r="AF456" s="285" t="str">
        <f>IFERROR(__xludf.DUMMYFUNCTION("""COMPUTED_VALUE"""),"082325834235")</f>
        <v>082325834235</v>
      </c>
      <c r="AG456" s="285" t="str">
        <f>IFERROR(__xludf.DUMMYFUNCTION("""COMPUTED_VALUE"""),"Gagal")</f>
        <v>Gagal</v>
      </c>
      <c r="AH456" s="285" t="str">
        <f>IFERROR(__xludf.DUMMYFUNCTION("""COMPUTED_VALUE"""),"3h2m")</f>
        <v>3h2m</v>
      </c>
      <c r="AI456" s="287">
        <f>IFERROR(__xludf.DUMMYFUNCTION("""COMPUTED_VALUE"""),46152.0)</f>
        <v>46152</v>
      </c>
      <c r="AJ456" s="285">
        <f>IFERROR(__xludf.DUMMYFUNCTION("""COMPUTED_VALUE"""),2.0)</f>
        <v>2</v>
      </c>
      <c r="AK456" s="289"/>
      <c r="AL456" s="285" t="str">
        <f>IFERROR(__xludf.DUMMYFUNCTION("""COMPUTED_VALUE"""),"sudah fu tidak balasss")</f>
        <v>sudah fu tidak balasss</v>
      </c>
    </row>
    <row r="457">
      <c r="F457" s="285"/>
      <c r="G457" s="285"/>
      <c r="H457" s="285"/>
      <c r="I457" s="285"/>
      <c r="J457" s="285"/>
      <c r="K457" s="285"/>
      <c r="L457" s="285"/>
      <c r="M457" s="288"/>
      <c r="N457" s="285"/>
      <c r="O457" s="290"/>
      <c r="P457" s="320"/>
      <c r="R457" s="285"/>
      <c r="S457" s="285"/>
      <c r="T457" s="285"/>
      <c r="U457" s="285"/>
      <c r="V457" s="285"/>
      <c r="W457" s="285"/>
      <c r="X457" s="285"/>
      <c r="Y457" s="285"/>
      <c r="Z457" s="285"/>
      <c r="AA457" s="285"/>
      <c r="AC457" s="285" t="str">
        <f>IFERROR(__xludf.DUMMYFUNCTION("""COMPUTED_VALUE"""),"2604D122")</f>
        <v>2604D122</v>
      </c>
      <c r="AD457" s="286">
        <f>IFERROR(__xludf.DUMMYFUNCTION("""COMPUTED_VALUE"""),46138.0)</f>
        <v>46138</v>
      </c>
      <c r="AE457" s="285" t="str">
        <f>IFERROR(__xludf.DUMMYFUNCTION("""COMPUTED_VALUE"""),"Bella Davidson")</f>
        <v>Bella Davidson</v>
      </c>
      <c r="AF457" s="285" t="str">
        <f>IFERROR(__xludf.DUMMYFUNCTION("""COMPUTED_VALUE"""),"082299269363")</f>
        <v>082299269363</v>
      </c>
      <c r="AG457" s="285" t="str">
        <f>IFERROR(__xludf.DUMMYFUNCTION("""COMPUTED_VALUE"""),"Gagal")</f>
        <v>Gagal</v>
      </c>
      <c r="AH457" s="285" t="str">
        <f>IFERROR(__xludf.DUMMYFUNCTION("""COMPUTED_VALUE"""),"OT DjaBal")</f>
        <v>OT DjaBal</v>
      </c>
      <c r="AI457" s="287">
        <f>IFERROR(__xludf.DUMMYFUNCTION("""COMPUTED_VALUE"""),46144.0)</f>
        <v>46144</v>
      </c>
      <c r="AJ457" s="285">
        <f>IFERROR(__xludf.DUMMYFUNCTION("""COMPUTED_VALUE"""),1.0)</f>
        <v>1</v>
      </c>
      <c r="AK457" s="289"/>
      <c r="AL457" s="285" t="str">
        <f>IFERROR(__xludf.DUMMYFUNCTION("""COMPUTED_VALUE"""),"gajadiii, sudah dapat lain")</f>
        <v>gajadiii, sudah dapat lain</v>
      </c>
    </row>
    <row r="458">
      <c r="F458" s="285"/>
      <c r="G458" s="285"/>
      <c r="H458" s="285"/>
      <c r="I458" s="285"/>
      <c r="J458" s="285"/>
      <c r="K458" s="285"/>
      <c r="L458" s="285"/>
      <c r="M458" s="288"/>
      <c r="N458" s="285"/>
      <c r="O458" s="290"/>
      <c r="P458" s="320"/>
      <c r="R458" s="285"/>
      <c r="S458" s="285"/>
      <c r="T458" s="285"/>
      <c r="U458" s="285"/>
      <c r="V458" s="285"/>
      <c r="W458" s="285"/>
      <c r="X458" s="285"/>
      <c r="Y458" s="285"/>
      <c r="Z458" s="285"/>
      <c r="AA458" s="285"/>
      <c r="AC458" s="285" t="str">
        <f>IFERROR(__xludf.DUMMYFUNCTION("""COMPUTED_VALUE"""),"2604D123")</f>
        <v>2604D123</v>
      </c>
      <c r="AD458" s="286">
        <f>IFERROR(__xludf.DUMMYFUNCTION("""COMPUTED_VALUE"""),46138.0)</f>
        <v>46138</v>
      </c>
      <c r="AE458" s="285" t="str">
        <f>IFERROR(__xludf.DUMMYFUNCTION("""COMPUTED_VALUE"""),"Azzat")</f>
        <v>Azzat</v>
      </c>
      <c r="AF458" s="285" t="str">
        <f>IFERROR(__xludf.DUMMYFUNCTION("""COMPUTED_VALUE"""),"085353175191")</f>
        <v>085353175191</v>
      </c>
      <c r="AG458" s="285" t="str">
        <f>IFERROR(__xludf.DUMMYFUNCTION("""COMPUTED_VALUE"""),"Gagal")</f>
        <v>Gagal</v>
      </c>
      <c r="AH458" s="285" t="str">
        <f>IFERROR(__xludf.DUMMYFUNCTION("""COMPUTED_VALUE"""),"paket custome trip")</f>
        <v>paket custome trip</v>
      </c>
      <c r="AI458" s="287">
        <f>IFERROR(__xludf.DUMMYFUNCTION("""COMPUTED_VALUE"""),46157.0)</f>
        <v>46157</v>
      </c>
      <c r="AJ458" s="285">
        <f>IFERROR(__xludf.DUMMYFUNCTION("""COMPUTED_VALUE"""),2.0)</f>
        <v>2</v>
      </c>
      <c r="AK458" s="289"/>
      <c r="AL458" s="285" t="str">
        <f>IFERROR(__xludf.DUMMYFUNCTION("""COMPUTED_VALUE"""),"belum balas lagi dah di FU")</f>
        <v>belum balas lagi dah di FU</v>
      </c>
    </row>
    <row r="459">
      <c r="F459" s="285"/>
      <c r="G459" s="285"/>
      <c r="H459" s="285"/>
      <c r="I459" s="285"/>
      <c r="J459" s="285"/>
      <c r="K459" s="285"/>
      <c r="L459" s="285"/>
      <c r="M459" s="288"/>
      <c r="N459" s="285"/>
      <c r="O459" s="290"/>
      <c r="P459" s="320"/>
      <c r="R459" s="285"/>
      <c r="S459" s="285"/>
      <c r="T459" s="285"/>
      <c r="U459" s="285"/>
      <c r="V459" s="285"/>
      <c r="W459" s="285"/>
      <c r="X459" s="285"/>
      <c r="Y459" s="285"/>
      <c r="Z459" s="285"/>
      <c r="AA459" s="285"/>
      <c r="AC459" s="285" t="str">
        <f>IFERROR(__xludf.DUMMYFUNCTION("""COMPUTED_VALUE"""),"2604D124")</f>
        <v>2604D124</v>
      </c>
      <c r="AD459" s="286">
        <f>IFERROR(__xludf.DUMMYFUNCTION("""COMPUTED_VALUE"""),46138.0)</f>
        <v>46138</v>
      </c>
      <c r="AE459" s="285" t="str">
        <f>IFERROR(__xludf.DUMMYFUNCTION("""COMPUTED_VALUE"""),"Maya Syakina")</f>
        <v>Maya Syakina</v>
      </c>
      <c r="AF459" s="285" t="str">
        <f>IFERROR(__xludf.DUMMYFUNCTION("""COMPUTED_VALUE"""),"081381070613")</f>
        <v>081381070613</v>
      </c>
      <c r="AG459" s="285" t="str">
        <f>IFERROR(__xludf.DUMMYFUNCTION("""COMPUTED_VALUE"""),"Gagal")</f>
        <v>Gagal</v>
      </c>
      <c r="AH459" s="285" t="str">
        <f>IFERROR(__xludf.DUMMYFUNCTION("""COMPUTED_VALUE"""),"3h2m")</f>
        <v>3h2m</v>
      </c>
      <c r="AI459" s="287">
        <f>IFERROR(__xludf.DUMMYFUNCTION("""COMPUTED_VALUE"""),46157.0)</f>
        <v>46157</v>
      </c>
      <c r="AJ459" s="285">
        <f>IFERROR(__xludf.DUMMYFUNCTION("""COMPUTED_VALUE"""),2.0)</f>
        <v>2</v>
      </c>
      <c r="AK459" s="289"/>
      <c r="AL459" s="285" t="str">
        <f>IFERROR(__xludf.DUMMYFUNCTION("""COMPUTED_VALUE"""),"sudah fu tidak balasss")</f>
        <v>sudah fu tidak balasss</v>
      </c>
    </row>
    <row r="460">
      <c r="F460" s="285"/>
      <c r="G460" s="285"/>
      <c r="H460" s="285"/>
      <c r="I460" s="285"/>
      <c r="J460" s="285"/>
      <c r="K460" s="285"/>
      <c r="L460" s="285"/>
      <c r="M460" s="288"/>
      <c r="N460" s="285"/>
      <c r="O460" s="290"/>
      <c r="P460" s="320"/>
      <c r="R460" s="285"/>
      <c r="S460" s="285"/>
      <c r="T460" s="285"/>
      <c r="U460" s="285"/>
      <c r="V460" s="285"/>
      <c r="W460" s="285"/>
      <c r="X460" s="285"/>
      <c r="Y460" s="285"/>
      <c r="Z460" s="285"/>
      <c r="AA460" s="285"/>
      <c r="AC460" s="285" t="str">
        <f>IFERROR(__xludf.DUMMYFUNCTION("""COMPUTED_VALUE"""),"2604D125")</f>
        <v>2604D125</v>
      </c>
      <c r="AD460" s="286">
        <f>IFERROR(__xludf.DUMMYFUNCTION("""COMPUTED_VALUE"""),46139.0)</f>
        <v>46139</v>
      </c>
      <c r="AE460" s="285" t="str">
        <f>IFERROR(__xludf.DUMMYFUNCTION("""COMPUTED_VALUE"""),"Sekar Pramesti")</f>
        <v>Sekar Pramesti</v>
      </c>
      <c r="AF460" s="285" t="str">
        <f>IFERROR(__xludf.DUMMYFUNCTION("""COMPUTED_VALUE"""),"081232003274")</f>
        <v>081232003274</v>
      </c>
      <c r="AG460" s="285" t="str">
        <f>IFERROR(__xludf.DUMMYFUNCTION("""COMPUTED_VALUE"""),"Gagal")</f>
        <v>Gagal</v>
      </c>
      <c r="AH460" s="285" t="str">
        <f>IFERROR(__xludf.DUMMYFUNCTION("""COMPUTED_VALUE"""),"trip DjaBal")</f>
        <v>trip DjaBal</v>
      </c>
      <c r="AI460" s="287"/>
      <c r="AJ460" s="285">
        <f>IFERROR(__xludf.DUMMYFUNCTION("""COMPUTED_VALUE"""),4.0)</f>
        <v>4</v>
      </c>
      <c r="AK460" s="289"/>
      <c r="AL460" s="285" t="str">
        <f>IFERROR(__xludf.DUMMYFUNCTION("""COMPUTED_VALUE"""),"lewat tanggal")</f>
        <v>lewat tanggal</v>
      </c>
    </row>
    <row r="461">
      <c r="F461" s="285"/>
      <c r="G461" s="285"/>
      <c r="H461" s="285"/>
      <c r="I461" s="285"/>
      <c r="J461" s="285"/>
      <c r="K461" s="285"/>
      <c r="L461" s="285"/>
      <c r="M461" s="288"/>
      <c r="N461" s="285"/>
      <c r="O461" s="290"/>
      <c r="P461" s="320"/>
      <c r="R461" s="285"/>
      <c r="S461" s="285"/>
      <c r="T461" s="285"/>
      <c r="U461" s="285"/>
      <c r="V461" s="285"/>
      <c r="W461" s="285"/>
      <c r="X461" s="285"/>
      <c r="Y461" s="285"/>
      <c r="Z461" s="285"/>
      <c r="AA461" s="285"/>
      <c r="AC461" s="285" t="str">
        <f>IFERROR(__xludf.DUMMYFUNCTION("""COMPUTED_VALUE"""),"2604D126")</f>
        <v>2604D126</v>
      </c>
      <c r="AD461" s="286">
        <f>IFERROR(__xludf.DUMMYFUNCTION("""COMPUTED_VALUE"""),46139.0)</f>
        <v>46139</v>
      </c>
      <c r="AE461" s="285" t="str">
        <f>IFERROR(__xludf.DUMMYFUNCTION("""COMPUTED_VALUE"""),"Angela Isabel")</f>
        <v>Angela Isabel</v>
      </c>
      <c r="AF461" s="285" t="str">
        <f>IFERROR(__xludf.DUMMYFUNCTION("""COMPUTED_VALUE"""),"081232652016")</f>
        <v>081232652016</v>
      </c>
      <c r="AG461" s="285" t="str">
        <f>IFERROR(__xludf.DUMMYFUNCTION("""COMPUTED_VALUE"""),"Gagal")</f>
        <v>Gagal</v>
      </c>
      <c r="AH461" s="285" t="str">
        <f>IFERROR(__xludf.DUMMYFUNCTION("""COMPUTED_VALUE"""),"2h1m custome")</f>
        <v>2h1m custome</v>
      </c>
      <c r="AI461" s="287"/>
      <c r="AJ461" s="285">
        <f>IFERROR(__xludf.DUMMYFUNCTION("""COMPUTED_VALUE"""),3.0)</f>
        <v>3</v>
      </c>
      <c r="AK461" s="289"/>
      <c r="AL461" s="285" t="str">
        <f>IFERROR(__xludf.DUMMYFUNCTION("""COMPUTED_VALUE"""),"gagal, deal di admin 2")</f>
        <v>gagal, deal di admin 2</v>
      </c>
    </row>
    <row r="462">
      <c r="F462" s="285"/>
      <c r="G462" s="285"/>
      <c r="H462" s="285"/>
      <c r="I462" s="285"/>
      <c r="J462" s="285"/>
      <c r="K462" s="285"/>
      <c r="L462" s="285"/>
      <c r="M462" s="288"/>
      <c r="N462" s="285"/>
      <c r="O462" s="290"/>
      <c r="P462" s="320"/>
      <c r="R462" s="285"/>
      <c r="S462" s="285"/>
      <c r="T462" s="285"/>
      <c r="U462" s="285"/>
      <c r="V462" s="285"/>
      <c r="W462" s="285"/>
      <c r="X462" s="285"/>
      <c r="Y462" s="285"/>
      <c r="Z462" s="285"/>
      <c r="AA462" s="285"/>
      <c r="AC462" s="285" t="str">
        <f>IFERROR(__xludf.DUMMYFUNCTION("""COMPUTED_VALUE"""),"2604D127")</f>
        <v>2604D127</v>
      </c>
      <c r="AD462" s="286">
        <f>IFERROR(__xludf.DUMMYFUNCTION("""COMPUTED_VALUE"""),46140.0)</f>
        <v>46140</v>
      </c>
      <c r="AE462" s="285" t="str">
        <f>IFERROR(__xludf.DUMMYFUNCTION("""COMPUTED_VALUE"""),"Sheila")</f>
        <v>Sheila</v>
      </c>
      <c r="AF462" s="285" t="str">
        <f>IFERROR(__xludf.DUMMYFUNCTION("""COMPUTED_VALUE"""),"085186877535")</f>
        <v>085186877535</v>
      </c>
      <c r="AG462" s="285" t="str">
        <f>IFERROR(__xludf.DUMMYFUNCTION("""COMPUTED_VALUE"""),"Gagal")</f>
        <v>Gagal</v>
      </c>
      <c r="AH462" s="285" t="str">
        <f>IFERROR(__xludf.DUMMYFUNCTION("""COMPUTED_VALUE"""),"trip menjangan tabuhan ")</f>
        <v>trip menjangan tabuhan </v>
      </c>
      <c r="AI462" s="287">
        <f>IFERROR(__xludf.DUMMYFUNCTION("""COMPUTED_VALUE"""),46167.0)</f>
        <v>46167</v>
      </c>
      <c r="AJ462" s="285">
        <f>IFERROR(__xludf.DUMMYFUNCTION("""COMPUTED_VALUE"""),2.0)</f>
        <v>2</v>
      </c>
      <c r="AK462" s="289"/>
      <c r="AL462" s="285" t="str">
        <f>IFERROR(__xludf.DUMMYFUNCTION("""COMPUTED_VALUE"""),"sudah fu tidak balasss")</f>
        <v>sudah fu tidak balasss</v>
      </c>
    </row>
    <row r="463">
      <c r="F463" s="285"/>
      <c r="G463" s="285"/>
      <c r="H463" s="285"/>
      <c r="I463" s="285"/>
      <c r="J463" s="285"/>
      <c r="K463" s="285"/>
      <c r="L463" s="285"/>
      <c r="M463" s="288"/>
      <c r="N463" s="285"/>
      <c r="O463" s="290"/>
      <c r="P463" s="320"/>
      <c r="R463" s="285"/>
      <c r="S463" s="285"/>
      <c r="T463" s="285"/>
      <c r="U463" s="285"/>
      <c r="V463" s="285"/>
      <c r="W463" s="285"/>
      <c r="X463" s="285"/>
      <c r="Y463" s="285"/>
      <c r="Z463" s="285"/>
      <c r="AA463" s="285"/>
      <c r="AC463" s="285" t="str">
        <f>IFERROR(__xludf.DUMMYFUNCTION("""COMPUTED_VALUE"""),"2604D129")</f>
        <v>2604D129</v>
      </c>
      <c r="AD463" s="286">
        <f>IFERROR(__xludf.DUMMYFUNCTION("""COMPUTED_VALUE"""),46141.0)</f>
        <v>46141</v>
      </c>
      <c r="AE463" s="285" t="str">
        <f>IFERROR(__xludf.DUMMYFUNCTION("""COMPUTED_VALUE"""),"Krish")</f>
        <v>Krish</v>
      </c>
      <c r="AF463" s="285" t="str">
        <f>IFERROR(__xludf.DUMMYFUNCTION("""COMPUTED_VALUE"""),"082127635128")</f>
        <v>082127635128</v>
      </c>
      <c r="AG463" s="285" t="str">
        <f>IFERROR(__xludf.DUMMYFUNCTION("""COMPUTED_VALUE"""),"Gagal")</f>
        <v>Gagal</v>
      </c>
      <c r="AH463" s="285" t="str">
        <f>IFERROR(__xludf.DUMMYFUNCTION("""COMPUTED_VALUE"""),"OT djawatan baluran")</f>
        <v>OT djawatan baluran</v>
      </c>
      <c r="AI463" s="287">
        <f>IFERROR(__xludf.DUMMYFUNCTION("""COMPUTED_VALUE"""),46143.0)</f>
        <v>46143</v>
      </c>
      <c r="AJ463" s="285"/>
      <c r="AK463" s="289"/>
      <c r="AL463" s="285" t="str">
        <f>IFERROR(__xludf.DUMMYFUNCTION("""COMPUTED_VALUE"""),"Full booked")</f>
        <v>Full booked</v>
      </c>
    </row>
    <row r="464">
      <c r="F464" s="285"/>
      <c r="G464" s="285"/>
      <c r="H464" s="285"/>
      <c r="I464" s="285"/>
      <c r="J464" s="285"/>
      <c r="K464" s="285"/>
      <c r="L464" s="285"/>
      <c r="M464" s="288"/>
      <c r="N464" s="285"/>
      <c r="O464" s="290"/>
      <c r="P464" s="320"/>
      <c r="R464" s="285"/>
      <c r="S464" s="285"/>
      <c r="T464" s="285"/>
      <c r="U464" s="285"/>
      <c r="V464" s="285"/>
      <c r="W464" s="285"/>
      <c r="X464" s="285"/>
      <c r="Y464" s="285"/>
      <c r="Z464" s="285"/>
      <c r="AA464" s="285"/>
      <c r="AC464" s="285" t="str">
        <f>IFERROR(__xludf.DUMMYFUNCTION("""COMPUTED_VALUE"""),"2604D130")</f>
        <v>2604D130</v>
      </c>
      <c r="AD464" s="286">
        <f>IFERROR(__xludf.DUMMYFUNCTION("""COMPUTED_VALUE"""),46141.0)</f>
        <v>46141</v>
      </c>
      <c r="AE464" s="285" t="str">
        <f>IFERROR(__xludf.DUMMYFUNCTION("""COMPUTED_VALUE"""),"Dinda")</f>
        <v>Dinda</v>
      </c>
      <c r="AF464" s="285" t="str">
        <f>IFERROR(__xludf.DUMMYFUNCTION("""COMPUTED_VALUE"""),"085252200823")</f>
        <v>085252200823</v>
      </c>
      <c r="AG464" s="285" t="str">
        <f>IFERROR(__xludf.DUMMYFUNCTION("""COMPUTED_VALUE"""),"Gagal")</f>
        <v>Gagal</v>
      </c>
      <c r="AH464" s="285" t="str">
        <f>IFERROR(__xludf.DUMMYFUNCTION("""COMPUTED_VALUE"""),"OT djawatan baluran")</f>
        <v>OT djawatan baluran</v>
      </c>
      <c r="AI464" s="287">
        <f>IFERROR(__xludf.DUMMYFUNCTION("""COMPUTED_VALUE"""),46159.0)</f>
        <v>46159</v>
      </c>
      <c r="AJ464" s="285">
        <f>IFERROR(__xludf.DUMMYFUNCTION("""COMPUTED_VALUE"""),1.0)</f>
        <v>1</v>
      </c>
      <c r="AK464" s="289"/>
      <c r="AL464" s="285" t="str">
        <f>IFERROR(__xludf.DUMMYFUNCTION("""COMPUTED_VALUE"""),"next timeee")</f>
        <v>next timeee</v>
      </c>
    </row>
    <row r="465">
      <c r="F465" s="285"/>
      <c r="G465" s="285"/>
      <c r="H465" s="285"/>
      <c r="I465" s="285"/>
      <c r="J465" s="285"/>
      <c r="K465" s="285"/>
      <c r="L465" s="285"/>
      <c r="M465" s="288"/>
      <c r="N465" s="285"/>
      <c r="O465" s="290"/>
      <c r="P465" s="320"/>
      <c r="R465" s="285"/>
      <c r="S465" s="285"/>
      <c r="T465" s="285"/>
      <c r="U465" s="285"/>
      <c r="V465" s="285"/>
      <c r="W465" s="285"/>
      <c r="X465" s="285"/>
      <c r="Y465" s="285"/>
      <c r="Z465" s="285"/>
      <c r="AA465" s="285"/>
      <c r="AC465" s="285" t="str">
        <f>IFERROR(__xludf.DUMMYFUNCTION("""COMPUTED_VALUE"""),"2604D131")</f>
        <v>2604D131</v>
      </c>
      <c r="AD465" s="286">
        <f>IFERROR(__xludf.DUMMYFUNCTION("""COMPUTED_VALUE"""),46141.0)</f>
        <v>46141</v>
      </c>
      <c r="AE465" s="285" t="str">
        <f>IFERROR(__xludf.DUMMYFUNCTION("""COMPUTED_VALUE"""),"Anggita")</f>
        <v>Anggita</v>
      </c>
      <c r="AF465" s="285" t="str">
        <f>IFERROR(__xludf.DUMMYFUNCTION("""COMPUTED_VALUE"""),"081334735285")</f>
        <v>081334735285</v>
      </c>
      <c r="AG465" s="285" t="str">
        <f>IFERROR(__xludf.DUMMYFUNCTION("""COMPUTED_VALUE"""),"Gagal")</f>
        <v>Gagal</v>
      </c>
      <c r="AH465" s="285" t="str">
        <f>IFERROR(__xludf.DUMMYFUNCTION("""COMPUTED_VALUE"""),"trip Djawatan")</f>
        <v>trip Djawatan</v>
      </c>
      <c r="AI465" s="287">
        <f>IFERROR(__xludf.DUMMYFUNCTION("""COMPUTED_VALUE"""),46157.0)</f>
        <v>46157</v>
      </c>
      <c r="AJ465" s="285">
        <f>IFERROR(__xludf.DUMMYFUNCTION("""COMPUTED_VALUE"""),4.0)</f>
        <v>4</v>
      </c>
      <c r="AK465" s="289"/>
      <c r="AL465" s="285" t="str">
        <f>IFERROR(__xludf.DUMMYFUNCTION("""COMPUTED_VALUE"""),"belum balas lagi dah di FU")</f>
        <v>belum balas lagi dah di FU</v>
      </c>
    </row>
    <row r="466">
      <c r="F466" s="285"/>
      <c r="G466" s="285"/>
      <c r="H466" s="285"/>
      <c r="I466" s="285"/>
      <c r="J466" s="285"/>
      <c r="K466" s="285"/>
      <c r="L466" s="285"/>
      <c r="M466" s="288"/>
      <c r="N466" s="285"/>
      <c r="O466" s="290"/>
      <c r="P466" s="320"/>
      <c r="R466" s="285"/>
      <c r="S466" s="285"/>
      <c r="T466" s="285"/>
      <c r="U466" s="285"/>
      <c r="V466" s="285"/>
      <c r="W466" s="285"/>
      <c r="X466" s="285"/>
      <c r="Y466" s="285"/>
      <c r="Z466" s="285"/>
      <c r="AA466" s="285"/>
      <c r="AC466" s="285" t="str">
        <f>IFERROR(__xludf.DUMMYFUNCTION("""COMPUTED_VALUE"""),"2604D134")</f>
        <v>2604D134</v>
      </c>
      <c r="AD466" s="286">
        <f>IFERROR(__xludf.DUMMYFUNCTION("""COMPUTED_VALUE"""),46142.0)</f>
        <v>46142</v>
      </c>
      <c r="AE466" s="285" t="str">
        <f>IFERROR(__xludf.DUMMYFUNCTION("""COMPUTED_VALUE"""),"ILMA")</f>
        <v>ILMA</v>
      </c>
      <c r="AF466" s="285" t="str">
        <f>IFERROR(__xludf.DUMMYFUNCTION("""COMPUTED_VALUE"""),"081545760260")</f>
        <v>081545760260</v>
      </c>
      <c r="AG466" s="285" t="str">
        <f>IFERROR(__xludf.DUMMYFUNCTION("""COMPUTED_VALUE"""),"Gagal")</f>
        <v>Gagal</v>
      </c>
      <c r="AH466" s="285" t="str">
        <f>IFERROR(__xludf.DUMMYFUNCTION("""COMPUTED_VALUE"""),"trip MT")</f>
        <v>trip MT</v>
      </c>
      <c r="AI466" s="287"/>
      <c r="AJ466" s="285">
        <f>IFERROR(__xludf.DUMMYFUNCTION("""COMPUTED_VALUE"""),3.0)</f>
        <v>3</v>
      </c>
      <c r="AK466" s="289"/>
      <c r="AL466" s="285" t="str">
        <f>IFERROR(__xludf.DUMMYFUNCTION("""COMPUTED_VALUE"""),"fullbookedd")</f>
        <v>fullbookedd</v>
      </c>
    </row>
    <row r="467">
      <c r="F467" s="285"/>
      <c r="G467" s="285"/>
      <c r="H467" s="285"/>
      <c r="I467" s="285"/>
      <c r="J467" s="285"/>
      <c r="K467" s="285"/>
      <c r="L467" s="285"/>
      <c r="M467" s="288"/>
      <c r="N467" s="285"/>
      <c r="O467" s="290"/>
      <c r="P467" s="320"/>
      <c r="R467" s="285"/>
      <c r="S467" s="285"/>
      <c r="T467" s="285"/>
      <c r="U467" s="285"/>
      <c r="V467" s="285"/>
      <c r="W467" s="285"/>
      <c r="X467" s="285"/>
      <c r="Y467" s="285"/>
      <c r="Z467" s="285"/>
      <c r="AA467" s="285"/>
      <c r="AC467" s="285" t="str">
        <f>IFERROR(__xludf.DUMMYFUNCTION("""COMPUTED_VALUE"""),"2604D135")</f>
        <v>2604D135</v>
      </c>
      <c r="AD467" s="286">
        <f>IFERROR(__xludf.DUMMYFUNCTION("""COMPUTED_VALUE"""),46142.0)</f>
        <v>46142</v>
      </c>
      <c r="AE467" s="285" t="str">
        <f>IFERROR(__xludf.DUMMYFUNCTION("""COMPUTED_VALUE"""),"Vano&amp;Freya")</f>
        <v>Vano&amp;Freya</v>
      </c>
      <c r="AF467" s="285" t="str">
        <f>IFERROR(__xludf.DUMMYFUNCTION("""COMPUTED_VALUE"""),"082232082157")</f>
        <v>082232082157</v>
      </c>
      <c r="AG467" s="285" t="str">
        <f>IFERROR(__xludf.DUMMYFUNCTION("""COMPUTED_VALUE"""),"Gagal")</f>
        <v>Gagal</v>
      </c>
      <c r="AH467" s="285" t="str">
        <f>IFERROR(__xludf.DUMMYFUNCTION("""COMPUTED_VALUE"""),"1 Day trip baluran")</f>
        <v>1 Day trip baluran</v>
      </c>
      <c r="AI467" s="287">
        <f>IFERROR(__xludf.DUMMYFUNCTION("""COMPUTED_VALUE"""),46144.0)</f>
        <v>46144</v>
      </c>
      <c r="AJ467" s="285">
        <f>IFERROR(__xludf.DUMMYFUNCTION("""COMPUTED_VALUE"""),6.0)</f>
        <v>6</v>
      </c>
      <c r="AK467" s="289"/>
      <c r="AL467" s="285" t="str">
        <f>IFERROR(__xludf.DUMMYFUNCTION("""COMPUTED_VALUE"""),"gajadiiii")</f>
        <v>gajadiiii</v>
      </c>
    </row>
    <row r="468">
      <c r="F468" s="285"/>
      <c r="G468" s="285"/>
      <c r="H468" s="285"/>
      <c r="I468" s="285"/>
      <c r="J468" s="285"/>
      <c r="K468" s="285"/>
      <c r="L468" s="285"/>
      <c r="M468" s="288"/>
      <c r="N468" s="285"/>
      <c r="O468" s="290"/>
      <c r="P468" s="320"/>
      <c r="R468" s="285"/>
      <c r="S468" s="285"/>
      <c r="T468" s="285"/>
      <c r="U468" s="285"/>
      <c r="V468" s="285"/>
      <c r="W468" s="285"/>
      <c r="X468" s="285"/>
      <c r="Y468" s="285"/>
      <c r="Z468" s="285"/>
      <c r="AA468" s="285"/>
      <c r="AC468" s="285" t="str">
        <f>IFERROR(__xludf.DUMMYFUNCTION("""COMPUTED_VALUE"""),"2605D007")</f>
        <v>2605D007</v>
      </c>
      <c r="AD468" s="286">
        <f>IFERROR(__xludf.DUMMYFUNCTION("""COMPUTED_VALUE"""),46144.0)</f>
        <v>46144</v>
      </c>
      <c r="AE468" s="285" t="str">
        <f>IFERROR(__xludf.DUMMYFUNCTION("""COMPUTED_VALUE"""),"Fahmi Ijen Estate")</f>
        <v>Fahmi Ijen Estate</v>
      </c>
      <c r="AF468" s="285" t="str">
        <f>IFERROR(__xludf.DUMMYFUNCTION("""COMPUTED_VALUE"""),"082333548230")</f>
        <v>082333548230</v>
      </c>
      <c r="AG468" s="285" t="str">
        <f>IFERROR(__xludf.DUMMYFUNCTION("""COMPUTED_VALUE"""),"Gagal")</f>
        <v>Gagal</v>
      </c>
      <c r="AH468" s="285" t="str">
        <f>IFERROR(__xludf.DUMMYFUNCTION("""COMPUTED_VALUE"""),"Ijen Baluran")</f>
        <v>Ijen Baluran</v>
      </c>
      <c r="AI468" s="287">
        <f>IFERROR(__xludf.DUMMYFUNCTION("""COMPUTED_VALUE"""),46152.0)</f>
        <v>46152</v>
      </c>
      <c r="AJ468" s="285">
        <f>IFERROR(__xludf.DUMMYFUNCTION("""COMPUTED_VALUE"""),4.0)</f>
        <v>4</v>
      </c>
      <c r="AK468" s="289"/>
      <c r="AL468" s="285" t="str">
        <f>IFERROR(__xludf.DUMMYFUNCTION("""COMPUTED_VALUE"""),"kalau ada konfirmasi dari tamunya akan dihubungi lagi")</f>
        <v>kalau ada konfirmasi dari tamunya akan dihubungi lagi</v>
      </c>
    </row>
    <row r="469">
      <c r="F469" s="285"/>
      <c r="G469" s="285"/>
      <c r="H469" s="285"/>
      <c r="I469" s="285"/>
      <c r="J469" s="285"/>
      <c r="K469" s="285"/>
      <c r="L469" s="285"/>
      <c r="M469" s="288"/>
      <c r="N469" s="285"/>
      <c r="O469" s="290"/>
      <c r="P469" s="320"/>
      <c r="R469" s="285"/>
      <c r="S469" s="285"/>
      <c r="T469" s="285"/>
      <c r="U469" s="285"/>
      <c r="V469" s="285"/>
      <c r="W469" s="285"/>
      <c r="X469" s="285"/>
      <c r="Y469" s="285"/>
      <c r="Z469" s="285"/>
      <c r="AA469" s="285"/>
      <c r="AC469" s="285" t="str">
        <f>IFERROR(__xludf.DUMMYFUNCTION("""COMPUTED_VALUE"""),"2605D014")</f>
        <v>2605D014</v>
      </c>
      <c r="AD469" s="286">
        <f>IFERROR(__xludf.DUMMYFUNCTION("""COMPUTED_VALUE"""),46146.0)</f>
        <v>46146</v>
      </c>
      <c r="AE469" s="285" t="str">
        <f>IFERROR(__xludf.DUMMYFUNCTION("""COMPUTED_VALUE"""),"Weni Safitri")</f>
        <v>Weni Safitri</v>
      </c>
      <c r="AF469" s="285" t="str">
        <f>IFERROR(__xludf.DUMMYFUNCTION("""COMPUTED_VALUE"""),"085267425448")</f>
        <v>085267425448</v>
      </c>
      <c r="AG469" s="285" t="str">
        <f>IFERROR(__xludf.DUMMYFUNCTION("""COMPUTED_VALUE"""),"Gagal")</f>
        <v>Gagal</v>
      </c>
      <c r="AH469" s="285" t="str">
        <f>IFERROR(__xludf.DUMMYFUNCTION("""COMPUTED_VALUE"""),"2h1m opsi B")</f>
        <v>2h1m opsi B</v>
      </c>
      <c r="AI469" s="287">
        <f>IFERROR(__xludf.DUMMYFUNCTION("""COMPUTED_VALUE"""),46156.0)</f>
        <v>46156</v>
      </c>
      <c r="AJ469" s="285">
        <f>IFERROR(__xludf.DUMMYFUNCTION("""COMPUTED_VALUE"""),2.0)</f>
        <v>2</v>
      </c>
      <c r="AK469" s="289"/>
      <c r="AL469" s="285" t="str">
        <f>IFERROR(__xludf.DUMMYFUNCTION("""COMPUTED_VALUE"""),"cari waktu lain, honeymoon  ")</f>
        <v>cari waktu lain, honeymoon  </v>
      </c>
    </row>
    <row r="470">
      <c r="F470" s="285"/>
      <c r="G470" s="285"/>
      <c r="H470" s="285"/>
      <c r="I470" s="285"/>
      <c r="J470" s="285"/>
      <c r="K470" s="285"/>
      <c r="L470" s="285"/>
      <c r="M470" s="288"/>
      <c r="N470" s="285"/>
      <c r="O470" s="290"/>
      <c r="P470" s="320"/>
      <c r="R470" s="285"/>
      <c r="S470" s="285"/>
      <c r="T470" s="285"/>
      <c r="U470" s="285"/>
      <c r="V470" s="285"/>
      <c r="W470" s="285"/>
      <c r="X470" s="285"/>
      <c r="Y470" s="285"/>
      <c r="Z470" s="285"/>
      <c r="AA470" s="285"/>
      <c r="AC470" s="285" t="str">
        <f>IFERROR(__xludf.DUMMYFUNCTION("""COMPUTED_VALUE"""),"2605D015")</f>
        <v>2605D015</v>
      </c>
      <c r="AD470" s="286">
        <f>IFERROR(__xludf.DUMMYFUNCTION("""COMPUTED_VALUE"""),46146.0)</f>
        <v>46146</v>
      </c>
      <c r="AE470" s="285" t="str">
        <f>IFERROR(__xludf.DUMMYFUNCTION("""COMPUTED_VALUE"""),"Lien Karlina")</f>
        <v>Lien Karlina</v>
      </c>
      <c r="AF470" s="285" t="str">
        <f>IFERROR(__xludf.DUMMYFUNCTION("""COMPUTED_VALUE""")," 081111151907")</f>
        <v> 081111151907</v>
      </c>
      <c r="AG470" s="285" t="str">
        <f>IFERROR(__xludf.DUMMYFUNCTION("""COMPUTED_VALUE"""),"Gagal")</f>
        <v>Gagal</v>
      </c>
      <c r="AH470" s="285" t="str">
        <f>IFERROR(__xludf.DUMMYFUNCTION("""COMPUTED_VALUE"""),"2h1m opsi B")</f>
        <v>2h1m opsi B</v>
      </c>
      <c r="AI470" s="287">
        <f>IFERROR(__xludf.DUMMYFUNCTION("""COMPUTED_VALUE"""),46156.0)</f>
        <v>46156</v>
      </c>
      <c r="AJ470" s="285">
        <f>IFERROR(__xludf.DUMMYFUNCTION("""COMPUTED_VALUE"""),4.0)</f>
        <v>4</v>
      </c>
      <c r="AK470" s="289"/>
      <c r="AL470" s="285" t="str">
        <f>IFERROR(__xludf.DUMMYFUNCTION("""COMPUTED_VALUE"""),"FU 9 Mei")</f>
        <v>FU 9 Mei</v>
      </c>
    </row>
    <row r="471">
      <c r="F471" s="285"/>
      <c r="G471" s="285"/>
      <c r="H471" s="285"/>
      <c r="I471" s="285"/>
      <c r="J471" s="285"/>
      <c r="K471" s="285"/>
      <c r="L471" s="285"/>
      <c r="M471" s="288"/>
      <c r="N471" s="285"/>
      <c r="O471" s="290"/>
      <c r="P471" s="320"/>
      <c r="R471" s="285"/>
      <c r="S471" s="285"/>
      <c r="T471" s="285"/>
      <c r="U471" s="285"/>
      <c r="V471" s="285"/>
      <c r="W471" s="285"/>
      <c r="X471" s="285"/>
      <c r="Y471" s="285"/>
      <c r="Z471" s="285"/>
      <c r="AA471" s="285"/>
      <c r="AC471" s="285" t="str">
        <f>IFERROR(__xludf.DUMMYFUNCTION("""COMPUTED_VALUE"""),"2605D016")</f>
        <v>2605D016</v>
      </c>
      <c r="AD471" s="286">
        <f>IFERROR(__xludf.DUMMYFUNCTION("""COMPUTED_VALUE"""),46146.0)</f>
        <v>46146</v>
      </c>
      <c r="AE471" s="285" t="str">
        <f>IFERROR(__xludf.DUMMYFUNCTION("""COMPUTED_VALUE"""),"Sasa")</f>
        <v>Sasa</v>
      </c>
      <c r="AF471" s="285" t="str">
        <f>IFERROR(__xludf.DUMMYFUNCTION("""COMPUTED_VALUE"""),"085748099870")</f>
        <v>085748099870</v>
      </c>
      <c r="AG471" s="285" t="str">
        <f>IFERROR(__xludf.DUMMYFUNCTION("""COMPUTED_VALUE"""),"Gagal")</f>
        <v>Gagal</v>
      </c>
      <c r="AH471" s="285" t="str">
        <f>IFERROR(__xludf.DUMMYFUNCTION("""COMPUTED_VALUE"""),"1 day custome ")</f>
        <v>1 day custome </v>
      </c>
      <c r="AI471" s="287">
        <f>IFERROR(__xludf.DUMMYFUNCTION("""COMPUTED_VALUE"""),46151.0)</f>
        <v>46151</v>
      </c>
      <c r="AJ471" s="285">
        <f>IFERROR(__xludf.DUMMYFUNCTION("""COMPUTED_VALUE"""),10.0)</f>
        <v>10</v>
      </c>
      <c r="AK471" s="289"/>
      <c r="AL471" s="285" t="str">
        <f>IFERROR(__xludf.DUMMYFUNCTION("""COMPUTED_VALUE"""),"gagalll, gajadi tripp")</f>
        <v>gagalll, gajadi tripp</v>
      </c>
    </row>
    <row r="472">
      <c r="F472" s="285"/>
      <c r="G472" s="285"/>
      <c r="H472" s="285"/>
      <c r="I472" s="285"/>
      <c r="J472" s="285"/>
      <c r="K472" s="285"/>
      <c r="L472" s="285"/>
      <c r="M472" s="288"/>
      <c r="N472" s="285"/>
      <c r="O472" s="290"/>
      <c r="P472" s="320"/>
      <c r="R472" s="285"/>
      <c r="S472" s="285"/>
      <c r="T472" s="285"/>
      <c r="U472" s="285"/>
      <c r="V472" s="285"/>
      <c r="W472" s="285"/>
      <c r="X472" s="285"/>
      <c r="Y472" s="285"/>
      <c r="Z472" s="285"/>
      <c r="AA472" s="285"/>
      <c r="AC472" s="285" t="str">
        <f>IFERROR(__xludf.DUMMYFUNCTION("""COMPUTED_VALUE"""),"2605D017")</f>
        <v>2605D017</v>
      </c>
      <c r="AD472" s="286">
        <f>IFERROR(__xludf.DUMMYFUNCTION("""COMPUTED_VALUE"""),46147.0)</f>
        <v>46147</v>
      </c>
      <c r="AE472" s="285" t="str">
        <f>IFERROR(__xludf.DUMMYFUNCTION("""COMPUTED_VALUE"""),"Dipta Daniswara")</f>
        <v>Dipta Daniswara</v>
      </c>
      <c r="AF472" s="285" t="str">
        <f>IFERROR(__xludf.DUMMYFUNCTION("""COMPUTED_VALUE"""),"085640643545")</f>
        <v>085640643545</v>
      </c>
      <c r="AG472" s="285" t="str">
        <f>IFERROR(__xludf.DUMMYFUNCTION("""COMPUTED_VALUE"""),"Gagal")</f>
        <v>Gagal</v>
      </c>
      <c r="AH472" s="285" t="str">
        <f>IFERROR(__xludf.DUMMYFUNCTION("""COMPUTED_VALUE"""),"OT Djabal")</f>
        <v>OT Djabal</v>
      </c>
      <c r="AI472" s="287">
        <f>IFERROR(__xludf.DUMMYFUNCTION("""COMPUTED_VALUE"""),46174.0)</f>
        <v>46174</v>
      </c>
      <c r="AJ472" s="285">
        <f>IFERROR(__xludf.DUMMYFUNCTION("""COMPUTED_VALUE"""),2.0)</f>
        <v>2</v>
      </c>
      <c r="AK472" s="289"/>
      <c r="AL472" s="285" t="str">
        <f>IFERROR(__xludf.DUMMYFUNCTION("""COMPUTED_VALUE"""),"URGENSI")</f>
        <v>URGENSI</v>
      </c>
    </row>
    <row r="473">
      <c r="F473" s="285"/>
      <c r="G473" s="285"/>
      <c r="H473" s="285"/>
      <c r="I473" s="285"/>
      <c r="J473" s="285"/>
      <c r="K473" s="285"/>
      <c r="L473" s="285"/>
      <c r="M473" s="288"/>
      <c r="N473" s="285"/>
      <c r="O473" s="290"/>
      <c r="P473" s="320"/>
      <c r="R473" s="285"/>
      <c r="S473" s="285"/>
      <c r="T473" s="285"/>
      <c r="U473" s="285"/>
      <c r="V473" s="285"/>
      <c r="W473" s="285"/>
      <c r="X473" s="285"/>
      <c r="Y473" s="285"/>
      <c r="Z473" s="285"/>
      <c r="AA473" s="285"/>
      <c r="AC473" s="285" t="str">
        <f>IFERROR(__xludf.DUMMYFUNCTION("""COMPUTED_VALUE"""),"2605D018")</f>
        <v>2605D018</v>
      </c>
      <c r="AD473" s="286">
        <f>IFERROR(__xludf.DUMMYFUNCTION("""COMPUTED_VALUE"""),46147.0)</f>
        <v>46147</v>
      </c>
      <c r="AE473" s="285" t="str">
        <f>IFERROR(__xludf.DUMMYFUNCTION("""COMPUTED_VALUE"""),"Fikamelinda")</f>
        <v>Fikamelinda</v>
      </c>
      <c r="AF473" s="285" t="str">
        <f>IFERROR(__xludf.DUMMYFUNCTION("""COMPUTED_VALUE"""),"088215725502")</f>
        <v>088215725502</v>
      </c>
      <c r="AG473" s="285" t="str">
        <f>IFERROR(__xludf.DUMMYFUNCTION("""COMPUTED_VALUE"""),"Gagal")</f>
        <v>Gagal</v>
      </c>
      <c r="AH473" s="285" t="str">
        <f>IFERROR(__xludf.DUMMYFUNCTION("""COMPUTED_VALUE"""),"3h2m Opsi B")</f>
        <v>3h2m Opsi B</v>
      </c>
      <c r="AI473" s="287"/>
      <c r="AJ473" s="285">
        <f>IFERROR(__xludf.DUMMYFUNCTION("""COMPUTED_VALUE"""),5.0)</f>
        <v>5</v>
      </c>
      <c r="AK473" s="289"/>
      <c r="AL473" s="285" t="str">
        <f>IFERROR(__xludf.DUMMYFUNCTION("""COMPUTED_VALUE"""),"gajadii, cari ot green island")</f>
        <v>gajadii, cari ot green island</v>
      </c>
    </row>
    <row r="474">
      <c r="F474" s="285"/>
      <c r="G474" s="285"/>
      <c r="H474" s="285"/>
      <c r="I474" s="285"/>
      <c r="J474" s="285"/>
      <c r="K474" s="285"/>
      <c r="L474" s="285"/>
      <c r="M474" s="288"/>
      <c r="N474" s="285"/>
      <c r="O474" s="290"/>
      <c r="P474" s="320"/>
      <c r="R474" s="285"/>
      <c r="S474" s="285"/>
      <c r="T474" s="285"/>
      <c r="U474" s="285"/>
      <c r="V474" s="285"/>
      <c r="W474" s="285"/>
      <c r="X474" s="285"/>
      <c r="Y474" s="285"/>
      <c r="Z474" s="285"/>
      <c r="AA474" s="285"/>
      <c r="AC474" s="285" t="str">
        <f>IFERROR(__xludf.DUMMYFUNCTION("""COMPUTED_VALUE"""),"2605D020")</f>
        <v>2605D020</v>
      </c>
      <c r="AD474" s="286">
        <f>IFERROR(__xludf.DUMMYFUNCTION("""COMPUTED_VALUE"""),46148.0)</f>
        <v>46148</v>
      </c>
      <c r="AE474" s="285" t="str">
        <f>IFERROR(__xludf.DUMMYFUNCTION("""COMPUTED_VALUE"""),"Ika")</f>
        <v>Ika</v>
      </c>
      <c r="AF474" s="285" t="str">
        <f>IFERROR(__xludf.DUMMYFUNCTION("""COMPUTED_VALUE"""),"089680730407")</f>
        <v>089680730407</v>
      </c>
      <c r="AG474" s="285" t="str">
        <f>IFERROR(__xludf.DUMMYFUNCTION("""COMPUTED_VALUE"""),"Gagal")</f>
        <v>Gagal</v>
      </c>
      <c r="AH474" s="285" t="str">
        <f>IFERROR(__xludf.DUMMYFUNCTION("""COMPUTED_VALUE"""),"2h1m")</f>
        <v>2h1m</v>
      </c>
      <c r="AI474" s="287">
        <f>IFERROR(__xludf.DUMMYFUNCTION("""COMPUTED_VALUE"""),46157.0)</f>
        <v>46157</v>
      </c>
      <c r="AJ474" s="285">
        <f>IFERROR(__xludf.DUMMYFUNCTION("""COMPUTED_VALUE"""),2.0)</f>
        <v>2</v>
      </c>
      <c r="AK474" s="289"/>
      <c r="AL474" s="285" t="str">
        <f>IFERROR(__xludf.DUMMYFUNCTION("""COMPUTED_VALUE"""),"fullbooked")</f>
        <v>fullbooked</v>
      </c>
    </row>
    <row r="475">
      <c r="F475" s="285"/>
      <c r="G475" s="285"/>
      <c r="H475" s="285"/>
      <c r="I475" s="285"/>
      <c r="J475" s="285"/>
      <c r="K475" s="285"/>
      <c r="L475" s="285"/>
      <c r="M475" s="288"/>
      <c r="N475" s="285"/>
      <c r="O475" s="290"/>
      <c r="P475" s="320"/>
      <c r="R475" s="285"/>
      <c r="S475" s="285"/>
      <c r="T475" s="285"/>
      <c r="U475" s="285"/>
      <c r="V475" s="285"/>
      <c r="W475" s="285"/>
      <c r="X475" s="285"/>
      <c r="Y475" s="285"/>
      <c r="Z475" s="285"/>
      <c r="AA475" s="285"/>
      <c r="AC475" s="285" t="str">
        <f>IFERROR(__xludf.DUMMYFUNCTION("""COMPUTED_VALUE"""),"2605D021")</f>
        <v>2605D021</v>
      </c>
      <c r="AD475" s="286">
        <f>IFERROR(__xludf.DUMMYFUNCTION("""COMPUTED_VALUE"""),46146.0)</f>
        <v>46146</v>
      </c>
      <c r="AE475" s="285" t="str">
        <f>IFERROR(__xludf.DUMMYFUNCTION("""COMPUTED_VALUE"""),"Heru Prihandono")</f>
        <v>Heru Prihandono</v>
      </c>
      <c r="AF475" s="285" t="str">
        <f>IFERROR(__xludf.DUMMYFUNCTION("""COMPUTED_VALUE"""),"08161155135")</f>
        <v>08161155135</v>
      </c>
      <c r="AG475" s="285" t="str">
        <f>IFERROR(__xludf.DUMMYFUNCTION("""COMPUTED_VALUE"""),"Gagal")</f>
        <v>Gagal</v>
      </c>
      <c r="AH475" s="285" t="str">
        <f>IFERROR(__xludf.DUMMYFUNCTION("""COMPUTED_VALUE"""),"2h1m opsi B")</f>
        <v>2h1m opsi B</v>
      </c>
      <c r="AI475" s="287">
        <f>IFERROR(__xludf.DUMMYFUNCTION("""COMPUTED_VALUE"""),46157.0)</f>
        <v>46157</v>
      </c>
      <c r="AJ475" s="285">
        <f>IFERROR(__xludf.DUMMYFUNCTION("""COMPUTED_VALUE"""),13.0)</f>
        <v>13</v>
      </c>
      <c r="AK475" s="289"/>
      <c r="AL475" s="285" t="str">
        <f>IFERROR(__xludf.DUMMYFUNCTION("""COMPUTED_VALUE"""),"tidak jadi ke Banyuwangi")</f>
        <v>tidak jadi ke Banyuwangi</v>
      </c>
    </row>
    <row r="476">
      <c r="F476" s="285"/>
      <c r="G476" s="285"/>
      <c r="H476" s="285"/>
      <c r="I476" s="285"/>
      <c r="J476" s="285"/>
      <c r="K476" s="285"/>
      <c r="L476" s="285"/>
      <c r="M476" s="288"/>
      <c r="N476" s="285"/>
      <c r="O476" s="290"/>
      <c r="P476" s="320"/>
      <c r="R476" s="285"/>
      <c r="S476" s="285"/>
      <c r="T476" s="285"/>
      <c r="U476" s="285"/>
      <c r="V476" s="285"/>
      <c r="W476" s="285"/>
      <c r="X476" s="285"/>
      <c r="Y476" s="285"/>
      <c r="Z476" s="285"/>
      <c r="AA476" s="285"/>
      <c r="AC476" s="285" t="str">
        <f>IFERROR(__xludf.DUMMYFUNCTION("""COMPUTED_VALUE"""),"2605D022")</f>
        <v>2605D022</v>
      </c>
      <c r="AD476" s="286">
        <f>IFERROR(__xludf.DUMMYFUNCTION("""COMPUTED_VALUE"""),46148.0)</f>
        <v>46148</v>
      </c>
      <c r="AE476" s="285" t="str">
        <f>IFERROR(__xludf.DUMMYFUNCTION("""COMPUTED_VALUE"""),"Ana")</f>
        <v>Ana</v>
      </c>
      <c r="AF476" s="285" t="str">
        <f>IFERROR(__xludf.DUMMYFUNCTION("""COMPUTED_VALUE"""),"082258275496")</f>
        <v>082258275496</v>
      </c>
      <c r="AG476" s="285" t="str">
        <f>IFERROR(__xludf.DUMMYFUNCTION("""COMPUTED_VALUE"""),"Gagal")</f>
        <v>Gagal</v>
      </c>
      <c r="AH476" s="285"/>
      <c r="AI476" s="287">
        <f>IFERROR(__xludf.DUMMYFUNCTION("""COMPUTED_VALUE"""),46157.0)</f>
        <v>46157</v>
      </c>
      <c r="AJ476" s="285">
        <f>IFERROR(__xludf.DUMMYFUNCTION("""COMPUTED_VALUE"""),2.0)</f>
        <v>2</v>
      </c>
      <c r="AK476" s="289"/>
      <c r="AL476" s="285" t="str">
        <f>IFERROR(__xludf.DUMMYFUNCTION("""COMPUTED_VALUE"""),"fullbooked")</f>
        <v>fullbooked</v>
      </c>
    </row>
    <row r="477">
      <c r="F477" s="285"/>
      <c r="G477" s="285"/>
      <c r="H477" s="285"/>
      <c r="I477" s="285"/>
      <c r="J477" s="285"/>
      <c r="K477" s="285"/>
      <c r="L477" s="285"/>
      <c r="M477" s="288"/>
      <c r="N477" s="285"/>
      <c r="O477" s="290"/>
      <c r="P477" s="320"/>
      <c r="R477" s="285"/>
      <c r="S477" s="285"/>
      <c r="T477" s="285"/>
      <c r="U477" s="285"/>
      <c r="V477" s="285"/>
      <c r="W477" s="285"/>
      <c r="X477" s="285"/>
      <c r="Y477" s="285"/>
      <c r="Z477" s="285"/>
      <c r="AA477" s="285"/>
      <c r="AC477" s="285" t="str">
        <f>IFERROR(__xludf.DUMMYFUNCTION("""COMPUTED_VALUE"""),"2605D025")</f>
        <v>2605D025</v>
      </c>
      <c r="AD477" s="286">
        <f>IFERROR(__xludf.DUMMYFUNCTION("""COMPUTED_VALUE"""),46149.0)</f>
        <v>46149</v>
      </c>
      <c r="AE477" s="285" t="str">
        <f>IFERROR(__xludf.DUMMYFUNCTION("""COMPUTED_VALUE"""),"Mila")</f>
        <v>Mila</v>
      </c>
      <c r="AF477" s="285" t="str">
        <f>IFERROR(__xludf.DUMMYFUNCTION("""COMPUTED_VALUE"""),"081329605303")</f>
        <v>081329605303</v>
      </c>
      <c r="AG477" s="285" t="str">
        <f>IFERROR(__xludf.DUMMYFUNCTION("""COMPUTED_VALUE"""),"Gagal")</f>
        <v>Gagal</v>
      </c>
      <c r="AH477" s="285" t="str">
        <f>IFERROR(__xludf.DUMMYFUNCTION("""COMPUTED_VALUE"""),"3h2m opsi B")</f>
        <v>3h2m opsi B</v>
      </c>
      <c r="AI477" s="287">
        <f>IFERROR(__xludf.DUMMYFUNCTION("""COMPUTED_VALUE"""),46156.0)</f>
        <v>46156</v>
      </c>
      <c r="AJ477" s="285">
        <f>IFERROR(__xludf.DUMMYFUNCTION("""COMPUTED_VALUE"""),4.0)</f>
        <v>4</v>
      </c>
      <c r="AK477" s="289"/>
      <c r="AL477" s="285" t="str">
        <f>IFERROR(__xludf.DUMMYFUNCTION("""COMPUTED_VALUE"""),"tidakk balass")</f>
        <v>tidakk balass</v>
      </c>
    </row>
    <row r="478">
      <c r="F478" s="285"/>
      <c r="G478" s="285"/>
      <c r="H478" s="285"/>
      <c r="I478" s="285"/>
      <c r="J478" s="285"/>
      <c r="K478" s="285"/>
      <c r="L478" s="285"/>
      <c r="M478" s="288"/>
      <c r="N478" s="285"/>
      <c r="O478" s="290"/>
      <c r="P478" s="320"/>
      <c r="R478" s="285"/>
      <c r="S478" s="285"/>
      <c r="T478" s="285"/>
      <c r="U478" s="285"/>
      <c r="V478" s="285"/>
      <c r="W478" s="285"/>
      <c r="X478" s="285"/>
      <c r="Y478" s="285"/>
      <c r="Z478" s="285"/>
      <c r="AA478" s="285"/>
      <c r="AC478" s="285" t="str">
        <f>IFERROR(__xludf.DUMMYFUNCTION("""COMPUTED_VALUE"""),"2605D026")</f>
        <v>2605D026</v>
      </c>
      <c r="AD478" s="286">
        <f>IFERROR(__xludf.DUMMYFUNCTION("""COMPUTED_VALUE"""),46150.0)</f>
        <v>46150</v>
      </c>
      <c r="AE478" s="285" t="str">
        <f>IFERROR(__xludf.DUMMYFUNCTION("""COMPUTED_VALUE"""),"Erli Susandi")</f>
        <v>Erli Susandi</v>
      </c>
      <c r="AF478" s="285" t="str">
        <f>IFERROR(__xludf.DUMMYFUNCTION("""COMPUTED_VALUE"""),"085236743404")</f>
        <v>085236743404</v>
      </c>
      <c r="AG478" s="285" t="str">
        <f>IFERROR(__xludf.DUMMYFUNCTION("""COMPUTED_VALUE"""),"Gagal")</f>
        <v>Gagal</v>
      </c>
      <c r="AH478" s="285" t="str">
        <f>IFERROR(__xludf.DUMMYFUNCTION("""COMPUTED_VALUE"""),"trip MT")</f>
        <v>trip MT</v>
      </c>
      <c r="AI478" s="287">
        <f>IFERROR(__xludf.DUMMYFUNCTION("""COMPUTED_VALUE"""),46166.0)</f>
        <v>46166</v>
      </c>
      <c r="AJ478" s="285"/>
      <c r="AK478" s="289"/>
      <c r="AL478" s="285" t="str">
        <f>IFERROR(__xludf.DUMMYFUNCTION("""COMPUTED_VALUE"""),"masih rundingan sm temen, last FU 23 Mei")</f>
        <v>masih rundingan sm temen, last FU 23 Mei</v>
      </c>
    </row>
    <row r="479">
      <c r="F479" s="285"/>
      <c r="G479" s="285"/>
      <c r="H479" s="285"/>
      <c r="I479" s="285"/>
      <c r="J479" s="285"/>
      <c r="K479" s="285"/>
      <c r="L479" s="285"/>
      <c r="M479" s="288"/>
      <c r="N479" s="285"/>
      <c r="O479" s="290"/>
      <c r="P479" s="320"/>
      <c r="R479" s="285"/>
      <c r="S479" s="285"/>
      <c r="T479" s="285"/>
      <c r="U479" s="285"/>
      <c r="V479" s="285"/>
      <c r="W479" s="285"/>
      <c r="X479" s="285"/>
      <c r="Y479" s="285"/>
      <c r="Z479" s="285"/>
      <c r="AA479" s="285"/>
      <c r="AC479" s="285" t="str">
        <f>IFERROR(__xludf.DUMMYFUNCTION("""COMPUTED_VALUE"""),"2605D027")</f>
        <v>2605D027</v>
      </c>
      <c r="AD479" s="286">
        <f>IFERROR(__xludf.DUMMYFUNCTION("""COMPUTED_VALUE"""),46151.0)</f>
        <v>46151</v>
      </c>
      <c r="AE479" s="285" t="str">
        <f>IFERROR(__xludf.DUMMYFUNCTION("""COMPUTED_VALUE"""),"Username N")</f>
        <v>Username N</v>
      </c>
      <c r="AF479" s="285" t="str">
        <f>IFERROR(__xludf.DUMMYFUNCTION("""COMPUTED_VALUE"""),"081333004126")</f>
        <v>081333004126</v>
      </c>
      <c r="AG479" s="285" t="str">
        <f>IFERROR(__xludf.DUMMYFUNCTION("""COMPUTED_VALUE"""),"Gagal")</f>
        <v>Gagal</v>
      </c>
      <c r="AH479" s="285" t="str">
        <f>IFERROR(__xludf.DUMMYFUNCTION("""COMPUTED_VALUE"""),"2h1m Opsi C")</f>
        <v>2h1m Opsi C</v>
      </c>
      <c r="AI479" s="287">
        <f>IFERROR(__xludf.DUMMYFUNCTION("""COMPUTED_VALUE"""),46158.0)</f>
        <v>46158</v>
      </c>
      <c r="AJ479" s="285">
        <f>IFERROR(__xludf.DUMMYFUNCTION("""COMPUTED_VALUE"""),3.0)</f>
        <v>3</v>
      </c>
      <c r="AK479" s="289">
        <f>IFERROR(__xludf.DUMMYFUNCTION("""COMPUTED_VALUE"""),3222000.0)</f>
        <v>3222000</v>
      </c>
      <c r="AL479" s="285" t="str">
        <f>IFERROR(__xludf.DUMMYFUNCTION("""COMPUTED_VALUE"""),"Fullbooked")</f>
        <v>Fullbooked</v>
      </c>
    </row>
    <row r="480">
      <c r="F480" s="285"/>
      <c r="G480" s="285"/>
      <c r="H480" s="285"/>
      <c r="I480" s="285"/>
      <c r="J480" s="285"/>
      <c r="K480" s="285"/>
      <c r="L480" s="285"/>
      <c r="M480" s="288"/>
      <c r="N480" s="285"/>
      <c r="O480" s="290"/>
      <c r="P480" s="320"/>
      <c r="R480" s="285"/>
      <c r="S480" s="285"/>
      <c r="T480" s="285"/>
      <c r="U480" s="285"/>
      <c r="V480" s="285"/>
      <c r="W480" s="285"/>
      <c r="X480" s="285"/>
      <c r="Y480" s="285"/>
      <c r="Z480" s="285"/>
      <c r="AA480" s="285"/>
      <c r="AC480" s="285" t="str">
        <f>IFERROR(__xludf.DUMMYFUNCTION("""COMPUTED_VALUE"""),"2605D029")</f>
        <v>2605D029</v>
      </c>
      <c r="AD480" s="286">
        <f>IFERROR(__xludf.DUMMYFUNCTION("""COMPUTED_VALUE"""),46152.0)</f>
        <v>46152</v>
      </c>
      <c r="AE480" s="285" t="str">
        <f>IFERROR(__xludf.DUMMYFUNCTION("""COMPUTED_VALUE"""),"Herlina")</f>
        <v>Herlina</v>
      </c>
      <c r="AF480" s="285" t="str">
        <f>IFERROR(__xludf.DUMMYFUNCTION("""COMPUTED_VALUE"""),"081228226656")</f>
        <v>081228226656</v>
      </c>
      <c r="AG480" s="285" t="str">
        <f>IFERROR(__xludf.DUMMYFUNCTION("""COMPUTED_VALUE"""),"Gagal")</f>
        <v>Gagal</v>
      </c>
      <c r="AH480" s="285" t="str">
        <f>IFERROR(__xludf.DUMMYFUNCTION("""COMPUTED_VALUE"""),"3H2M")</f>
        <v>3H2M</v>
      </c>
      <c r="AI480" s="287">
        <f>IFERROR(__xludf.DUMMYFUNCTION("""COMPUTED_VALUE"""),46169.0)</f>
        <v>46169</v>
      </c>
      <c r="AJ480" s="285">
        <f>IFERROR(__xludf.DUMMYFUNCTION("""COMPUTED_VALUE"""),46083.0)</f>
        <v>46083</v>
      </c>
      <c r="AK480" s="289"/>
      <c r="AL480" s="285" t="str">
        <f>IFERROR(__xludf.DUMMYFUNCTION("""COMPUTED_VALUE"""),"FU 2 kali tdk balass, FU 24 Mei")</f>
        <v>FU 2 kali tdk balass, FU 24 Mei</v>
      </c>
    </row>
    <row r="481">
      <c r="F481" s="285"/>
      <c r="G481" s="285"/>
      <c r="H481" s="285"/>
      <c r="I481" s="285"/>
      <c r="J481" s="285"/>
      <c r="K481" s="285"/>
      <c r="L481" s="285"/>
      <c r="M481" s="288"/>
      <c r="N481" s="285"/>
      <c r="O481" s="290"/>
      <c r="P481" s="320"/>
      <c r="R481" s="285"/>
      <c r="S481" s="285"/>
      <c r="T481" s="285"/>
      <c r="U481" s="285"/>
      <c r="V481" s="285"/>
      <c r="W481" s="285"/>
      <c r="X481" s="285"/>
      <c r="Y481" s="285"/>
      <c r="Z481" s="285"/>
      <c r="AA481" s="285"/>
      <c r="AC481" s="285" t="str">
        <f>IFERROR(__xludf.DUMMYFUNCTION("""COMPUTED_VALUE"""),"2605D030")</f>
        <v>2605D030</v>
      </c>
      <c r="AD481" s="286">
        <f>IFERROR(__xludf.DUMMYFUNCTION("""COMPUTED_VALUE"""),46149.0)</f>
        <v>46149</v>
      </c>
      <c r="AE481" s="285" t="str">
        <f>IFERROR(__xludf.DUMMYFUNCTION("""COMPUTED_VALUE"""),"Binta Ali tamara")</f>
        <v>Binta Ali tamara</v>
      </c>
      <c r="AF481" s="285" t="str">
        <f>IFERROR(__xludf.DUMMYFUNCTION("""COMPUTED_VALUE"""),"081216822288")</f>
        <v>081216822288</v>
      </c>
      <c r="AG481" s="285" t="str">
        <f>IFERROR(__xludf.DUMMYFUNCTION("""COMPUTED_VALUE"""),"Gagal")</f>
        <v>Gagal</v>
      </c>
      <c r="AH481" s="285" t="str">
        <f>IFERROR(__xludf.DUMMYFUNCTION("""COMPUTED_VALUE"""),"2h1m custome")</f>
        <v>2h1m custome</v>
      </c>
      <c r="AI481" s="287"/>
      <c r="AJ481" s="285"/>
      <c r="AK481" s="289"/>
      <c r="AL481" s="285" t="str">
        <f>IFERROR(__xludf.DUMMYFUNCTION("""COMPUTED_VALUE"""),"gagall, ga bales lagi")</f>
        <v>gagall, ga bales lagi</v>
      </c>
    </row>
    <row r="482">
      <c r="F482" s="285"/>
      <c r="G482" s="285"/>
      <c r="H482" s="285"/>
      <c r="I482" s="285"/>
      <c r="J482" s="285"/>
      <c r="K482" s="285"/>
      <c r="L482" s="285"/>
      <c r="M482" s="288"/>
      <c r="N482" s="285"/>
      <c r="O482" s="290"/>
      <c r="P482" s="320"/>
      <c r="R482" s="285"/>
      <c r="S482" s="285"/>
      <c r="T482" s="285"/>
      <c r="U482" s="285"/>
      <c r="V482" s="285"/>
      <c r="W482" s="285"/>
      <c r="X482" s="285"/>
      <c r="Y482" s="285"/>
      <c r="Z482" s="285"/>
      <c r="AA482" s="285"/>
      <c r="AC482" s="285" t="str">
        <f>IFERROR(__xludf.DUMMYFUNCTION("""COMPUTED_VALUE"""),"2605D034")</f>
        <v>2605D034</v>
      </c>
      <c r="AD482" s="286">
        <f>IFERROR(__xludf.DUMMYFUNCTION("""COMPUTED_VALUE"""),46153.0)</f>
        <v>46153</v>
      </c>
      <c r="AE482" s="285" t="str">
        <f>IFERROR(__xludf.DUMMYFUNCTION("""COMPUTED_VALUE"""),"Nono Heri")</f>
        <v>Nono Heri</v>
      </c>
      <c r="AF482" s="285" t="str">
        <f>IFERROR(__xludf.DUMMYFUNCTION("""COMPUTED_VALUE"""),"081384192675")</f>
        <v>081384192675</v>
      </c>
      <c r="AG482" s="285" t="str">
        <f>IFERROR(__xludf.DUMMYFUNCTION("""COMPUTED_VALUE"""),"Gagal")</f>
        <v>Gagal</v>
      </c>
      <c r="AH482" s="285" t="str">
        <f>IFERROR(__xludf.DUMMYFUNCTION("""COMPUTED_VALUE"""),"OT MT")</f>
        <v>OT MT</v>
      </c>
      <c r="AI482" s="287">
        <f>IFERROR(__xludf.DUMMYFUNCTION("""COMPUTED_VALUE"""),46159.0)</f>
        <v>46159</v>
      </c>
      <c r="AJ482" s="285">
        <f>IFERROR(__xludf.DUMMYFUNCTION("""COMPUTED_VALUE"""),4.0)</f>
        <v>4</v>
      </c>
      <c r="AK482" s="289">
        <f>IFERROR(__xludf.DUMMYFUNCTION("""COMPUTED_VALUE"""),1100000.0)</f>
        <v>1100000</v>
      </c>
      <c r="AL482" s="285" t="str">
        <f>IFERROR(__xludf.DUMMYFUNCTION("""COMPUTED_VALUE"""),"cancelll")</f>
        <v>cancelll</v>
      </c>
    </row>
    <row r="483">
      <c r="F483" s="285"/>
      <c r="G483" s="285"/>
      <c r="H483" s="285"/>
      <c r="I483" s="285"/>
      <c r="J483" s="285"/>
      <c r="K483" s="285"/>
      <c r="L483" s="285"/>
      <c r="M483" s="288"/>
      <c r="N483" s="285"/>
      <c r="O483" s="290"/>
      <c r="P483" s="320"/>
      <c r="R483" s="285"/>
      <c r="S483" s="285"/>
      <c r="T483" s="285"/>
      <c r="U483" s="285"/>
      <c r="V483" s="285"/>
      <c r="W483" s="285"/>
      <c r="X483" s="285"/>
      <c r="Y483" s="285"/>
      <c r="Z483" s="285"/>
      <c r="AA483" s="285"/>
      <c r="AC483" s="285" t="str">
        <f>IFERROR(__xludf.DUMMYFUNCTION("""COMPUTED_VALUE"""),"2605D036")</f>
        <v>2605D036</v>
      </c>
      <c r="AD483" s="286">
        <f>IFERROR(__xludf.DUMMYFUNCTION("""COMPUTED_VALUE"""),46154.0)</f>
        <v>46154</v>
      </c>
      <c r="AE483" s="285" t="str">
        <f>IFERROR(__xludf.DUMMYFUNCTION("""COMPUTED_VALUE"""),"Sisi")</f>
        <v>Sisi</v>
      </c>
      <c r="AF483" s="285" t="str">
        <f>IFERROR(__xludf.DUMMYFUNCTION("""COMPUTED_VALUE"""),"081316886516")</f>
        <v>081316886516</v>
      </c>
      <c r="AG483" s="285" t="str">
        <f>IFERROR(__xludf.DUMMYFUNCTION("""COMPUTED_VALUE"""),"Gagal")</f>
        <v>Gagal</v>
      </c>
      <c r="AH483" s="285" t="str">
        <f>IFERROR(__xludf.DUMMYFUNCTION("""COMPUTED_VALUE"""),"2h1m custome ")</f>
        <v>2h1m custome </v>
      </c>
      <c r="AI483" s="287">
        <f>IFERROR(__xludf.DUMMYFUNCTION("""COMPUTED_VALUE"""),46158.0)</f>
        <v>46158</v>
      </c>
      <c r="AJ483" s="285">
        <f>IFERROR(__xludf.DUMMYFUNCTION("""COMPUTED_VALUE"""),2.0)</f>
        <v>2</v>
      </c>
      <c r="AK483" s="289"/>
      <c r="AL483" s="285"/>
    </row>
    <row r="484">
      <c r="F484" s="285"/>
      <c r="G484" s="285"/>
      <c r="H484" s="285"/>
      <c r="I484" s="285"/>
      <c r="J484" s="285"/>
      <c r="K484" s="285"/>
      <c r="L484" s="285"/>
      <c r="M484" s="288"/>
      <c r="N484" s="285"/>
      <c r="O484" s="290"/>
      <c r="P484" s="320"/>
      <c r="R484" s="285"/>
      <c r="S484" s="285"/>
      <c r="T484" s="285"/>
      <c r="U484" s="285"/>
      <c r="V484" s="285"/>
      <c r="W484" s="285"/>
      <c r="X484" s="285"/>
      <c r="Y484" s="285"/>
      <c r="Z484" s="285"/>
      <c r="AA484" s="285"/>
      <c r="AC484" s="285" t="str">
        <f>IFERROR(__xludf.DUMMYFUNCTION("""COMPUTED_VALUE"""),"2605D037")</f>
        <v>2605D037</v>
      </c>
      <c r="AD484" s="286">
        <f>IFERROR(__xludf.DUMMYFUNCTION("""COMPUTED_VALUE"""),46154.0)</f>
        <v>46154</v>
      </c>
      <c r="AE484" s="285" t="str">
        <f>IFERROR(__xludf.DUMMYFUNCTION("""COMPUTED_VALUE"""),"Raniah")</f>
        <v>Raniah</v>
      </c>
      <c r="AF484" s="285" t="str">
        <f>IFERROR(__xludf.DUMMYFUNCTION("""COMPUTED_VALUE"""),"081296575430")</f>
        <v>081296575430</v>
      </c>
      <c r="AG484" s="285" t="str">
        <f>IFERROR(__xludf.DUMMYFUNCTION("""COMPUTED_VALUE"""),"Gagal")</f>
        <v>Gagal</v>
      </c>
      <c r="AH484" s="285" t="str">
        <f>IFERROR(__xludf.DUMMYFUNCTION("""COMPUTED_VALUE"""),"OT MT, IB")</f>
        <v>OT MT, IB</v>
      </c>
      <c r="AI484" s="287">
        <f>IFERROR(__xludf.DUMMYFUNCTION("""COMPUTED_VALUE"""),46177.0)</f>
        <v>46177</v>
      </c>
      <c r="AJ484" s="285">
        <f>IFERROR(__xludf.DUMMYFUNCTION("""COMPUTED_VALUE"""),3.0)</f>
        <v>3</v>
      </c>
      <c r="AK484" s="289"/>
      <c r="AL484" s="285"/>
    </row>
    <row r="485">
      <c r="F485" s="285"/>
      <c r="G485" s="285"/>
      <c r="H485" s="285"/>
      <c r="I485" s="285"/>
      <c r="J485" s="285"/>
      <c r="K485" s="285"/>
      <c r="L485" s="285"/>
      <c r="M485" s="288"/>
      <c r="N485" s="285"/>
      <c r="O485" s="290"/>
      <c r="P485" s="320"/>
      <c r="R485" s="285"/>
      <c r="S485" s="285"/>
      <c r="T485" s="285"/>
      <c r="U485" s="285"/>
      <c r="V485" s="285"/>
      <c r="W485" s="285"/>
      <c r="X485" s="285"/>
      <c r="Y485" s="285"/>
      <c r="Z485" s="285"/>
      <c r="AA485" s="285"/>
      <c r="AC485" s="285" t="str">
        <f>IFERROR(__xludf.DUMMYFUNCTION("""COMPUTED_VALUE"""),"2605D041")</f>
        <v>2605D041</v>
      </c>
      <c r="AD485" s="286">
        <f>IFERROR(__xludf.DUMMYFUNCTION("""COMPUTED_VALUE"""),46154.0)</f>
        <v>46154</v>
      </c>
      <c r="AE485" s="285" t="str">
        <f>IFERROR(__xludf.DUMMYFUNCTION("""COMPUTED_VALUE"""),"No Name")</f>
        <v>No Name</v>
      </c>
      <c r="AF485" s="285" t="str">
        <f>IFERROR(__xludf.DUMMYFUNCTION("""COMPUTED_VALUE"""),"083134174391")</f>
        <v>083134174391</v>
      </c>
      <c r="AG485" s="285" t="str">
        <f>IFERROR(__xludf.DUMMYFUNCTION("""COMPUTED_VALUE"""),"Gagal")</f>
        <v>Gagal</v>
      </c>
      <c r="AH485" s="285" t="str">
        <f>IFERROR(__xludf.DUMMYFUNCTION("""COMPUTED_VALUE"""),"OT IJEN")</f>
        <v>OT IJEN</v>
      </c>
      <c r="AI485" s="287">
        <f>IFERROR(__xludf.DUMMYFUNCTION("""COMPUTED_VALUE"""),46156.0)</f>
        <v>46156</v>
      </c>
      <c r="AJ485" s="285">
        <f>IFERROR(__xludf.DUMMYFUNCTION("""COMPUTED_VALUE"""),1.0)</f>
        <v>1</v>
      </c>
      <c r="AK485" s="289">
        <f>IFERROR(__xludf.DUMMYFUNCTION("""COMPUTED_VALUE"""),250000.0)</f>
        <v>250000</v>
      </c>
      <c r="AL485" s="285" t="str">
        <f>IFERROR(__xludf.DUMMYFUNCTION("""COMPUTED_VALUE"""),"sudah di FU ga balesss, lewat tgl")</f>
        <v>sudah di FU ga balesss, lewat tgl</v>
      </c>
    </row>
    <row r="486">
      <c r="F486" s="285"/>
      <c r="G486" s="285"/>
      <c r="H486" s="285"/>
      <c r="I486" s="285"/>
      <c r="J486" s="285"/>
      <c r="K486" s="285"/>
      <c r="L486" s="285"/>
      <c r="M486" s="288"/>
      <c r="N486" s="285"/>
      <c r="O486" s="290"/>
      <c r="P486" s="320"/>
      <c r="R486" s="285"/>
      <c r="S486" s="285"/>
      <c r="T486" s="285"/>
      <c r="U486" s="285"/>
      <c r="V486" s="285"/>
      <c r="W486" s="285"/>
      <c r="X486" s="285"/>
      <c r="Y486" s="285"/>
      <c r="Z486" s="285"/>
      <c r="AA486" s="285"/>
      <c r="AC486" s="285" t="str">
        <f>IFERROR(__xludf.DUMMYFUNCTION("""COMPUTED_VALUE"""),"2605D043")</f>
        <v>2605D043</v>
      </c>
      <c r="AD486" s="286">
        <f>IFERROR(__xludf.DUMMYFUNCTION("""COMPUTED_VALUE"""),46154.0)</f>
        <v>46154</v>
      </c>
      <c r="AE486" s="285" t="str">
        <f>IFERROR(__xludf.DUMMYFUNCTION("""COMPUTED_VALUE"""),"Wildan Dika")</f>
        <v>Wildan Dika</v>
      </c>
      <c r="AF486" s="285" t="str">
        <f>IFERROR(__xludf.DUMMYFUNCTION("""COMPUTED_VALUE"""),"085695494960")</f>
        <v>085695494960</v>
      </c>
      <c r="AG486" s="285" t="str">
        <f>IFERROR(__xludf.DUMMYFUNCTION("""COMPUTED_VALUE"""),"Gagal")</f>
        <v>Gagal</v>
      </c>
      <c r="AH486" s="285" t="str">
        <f>IFERROR(__xludf.DUMMYFUNCTION("""COMPUTED_VALUE"""),"2h1m opsi B")</f>
        <v>2h1m opsi B</v>
      </c>
      <c r="AI486" s="287"/>
      <c r="AJ486" s="285">
        <f>IFERROR(__xludf.DUMMYFUNCTION("""COMPUTED_VALUE"""),10.0)</f>
        <v>10</v>
      </c>
      <c r="AK486" s="289"/>
      <c r="AL486" s="285" t="str">
        <f>IFERROR(__xludf.DUMMYFUNCTION("""COMPUTED_VALUE"""),"lewat tgl")</f>
        <v>lewat tgl</v>
      </c>
    </row>
    <row r="487">
      <c r="F487" s="285"/>
      <c r="G487" s="285"/>
      <c r="H487" s="285"/>
      <c r="I487" s="285"/>
      <c r="J487" s="285"/>
      <c r="K487" s="285"/>
      <c r="L487" s="285"/>
      <c r="M487" s="288"/>
      <c r="N487" s="285"/>
      <c r="O487" s="290"/>
      <c r="P487" s="320"/>
      <c r="R487" s="285"/>
      <c r="S487" s="285"/>
      <c r="T487" s="285"/>
      <c r="U487" s="285"/>
      <c r="V487" s="285"/>
      <c r="W487" s="285"/>
      <c r="X487" s="285"/>
      <c r="Y487" s="285"/>
      <c r="Z487" s="285"/>
      <c r="AA487" s="285"/>
      <c r="AC487" s="285" t="str">
        <f>IFERROR(__xludf.DUMMYFUNCTION("""COMPUTED_VALUE"""),"2605D044")</f>
        <v>2605D044</v>
      </c>
      <c r="AD487" s="286">
        <f>IFERROR(__xludf.DUMMYFUNCTION("""COMPUTED_VALUE"""),46155.0)</f>
        <v>46155</v>
      </c>
      <c r="AE487" s="285" t="str">
        <f>IFERROR(__xludf.DUMMYFUNCTION("""COMPUTED_VALUE"""),"Sri")</f>
        <v>Sri</v>
      </c>
      <c r="AF487" s="285" t="str">
        <f>IFERROR(__xludf.DUMMYFUNCTION("""COMPUTED_VALUE"""),"085703453400")</f>
        <v>085703453400</v>
      </c>
      <c r="AG487" s="285" t="str">
        <f>IFERROR(__xludf.DUMMYFUNCTION("""COMPUTED_VALUE"""),"Gagal")</f>
        <v>Gagal</v>
      </c>
      <c r="AH487" s="285" t="str">
        <f>IFERROR(__xludf.DUMMYFUNCTION("""COMPUTED_VALUE"""),"Trip Baluran ")</f>
        <v>Trip Baluran </v>
      </c>
      <c r="AI487" s="287">
        <f>IFERROR(__xludf.DUMMYFUNCTION("""COMPUTED_VALUE"""),46158.0)</f>
        <v>46158</v>
      </c>
      <c r="AJ487" s="285">
        <f>IFERROR(__xludf.DUMMYFUNCTION("""COMPUTED_VALUE"""),4.0)</f>
        <v>4</v>
      </c>
      <c r="AK487" s="289"/>
      <c r="AL487" s="285" t="str">
        <f>IFERROR(__xludf.DUMMYFUNCTION("""COMPUTED_VALUE"""),"fuulbooked")</f>
        <v>fuulbooked</v>
      </c>
    </row>
    <row r="488">
      <c r="F488" s="285"/>
      <c r="G488" s="285"/>
      <c r="H488" s="285"/>
      <c r="I488" s="285"/>
      <c r="J488" s="285"/>
      <c r="K488" s="285"/>
      <c r="L488" s="285"/>
      <c r="M488" s="288"/>
      <c r="N488" s="285"/>
      <c r="O488" s="290"/>
      <c r="P488" s="320"/>
      <c r="R488" s="285"/>
      <c r="S488" s="285"/>
      <c r="T488" s="285"/>
      <c r="U488" s="285"/>
      <c r="V488" s="285"/>
      <c r="W488" s="285"/>
      <c r="X488" s="285"/>
      <c r="Y488" s="285"/>
      <c r="Z488" s="285"/>
      <c r="AA488" s="285"/>
      <c r="AC488" s="285" t="str">
        <f>IFERROR(__xludf.DUMMYFUNCTION("""COMPUTED_VALUE"""),"2605D047")</f>
        <v>2605D047</v>
      </c>
      <c r="AD488" s="286">
        <f>IFERROR(__xludf.DUMMYFUNCTION("""COMPUTED_VALUE"""),46154.0)</f>
        <v>46154</v>
      </c>
      <c r="AE488" s="285" t="str">
        <f>IFERROR(__xludf.DUMMYFUNCTION("""COMPUTED_VALUE"""),"Aulia")</f>
        <v>Aulia</v>
      </c>
      <c r="AF488" s="285" t="str">
        <f>IFERROR(__xludf.DUMMYFUNCTION("""COMPUTED_VALUE"""),"081226566964")</f>
        <v>081226566964</v>
      </c>
      <c r="AG488" s="285" t="str">
        <f>IFERROR(__xludf.DUMMYFUNCTION("""COMPUTED_VALUE"""),"Gagal")</f>
        <v>Gagal</v>
      </c>
      <c r="AH488" s="285" t="str">
        <f>IFERROR(__xludf.DUMMYFUNCTION("""COMPUTED_VALUE"""),"2h1m Opsi B")</f>
        <v>2h1m Opsi B</v>
      </c>
      <c r="AI488" s="287">
        <f>IFERROR(__xludf.DUMMYFUNCTION("""COMPUTED_VALUE"""),46163.0)</f>
        <v>46163</v>
      </c>
      <c r="AJ488" s="285">
        <f>IFERROR(__xludf.DUMMYFUNCTION("""COMPUTED_VALUE"""),2.0)</f>
        <v>2</v>
      </c>
      <c r="AK488" s="289"/>
      <c r="AL488" s="285" t="str">
        <f>IFERROR(__xludf.DUMMYFUNCTION("""COMPUTED_VALUE"""),"lewat tgl")</f>
        <v>lewat tgl</v>
      </c>
    </row>
    <row r="489">
      <c r="F489" s="285"/>
      <c r="G489" s="285"/>
      <c r="H489" s="285"/>
      <c r="I489" s="285"/>
      <c r="J489" s="285"/>
      <c r="K489" s="285"/>
      <c r="L489" s="285"/>
      <c r="M489" s="288"/>
      <c r="N489" s="285"/>
      <c r="O489" s="290"/>
      <c r="P489" s="320"/>
      <c r="R489" s="285"/>
      <c r="S489" s="285"/>
      <c r="T489" s="285"/>
      <c r="U489" s="285"/>
      <c r="V489" s="285"/>
      <c r="W489" s="285"/>
      <c r="X489" s="285"/>
      <c r="Y489" s="285"/>
      <c r="Z489" s="285"/>
      <c r="AA489" s="285"/>
      <c r="AC489" s="285" t="str">
        <f>IFERROR(__xludf.DUMMYFUNCTION("""COMPUTED_VALUE"""),"2605D048")</f>
        <v>2605D048</v>
      </c>
      <c r="AD489" s="286">
        <f>IFERROR(__xludf.DUMMYFUNCTION("""COMPUTED_VALUE"""),46155.0)</f>
        <v>46155</v>
      </c>
      <c r="AE489" s="285" t="str">
        <f>IFERROR(__xludf.DUMMYFUNCTION("""COMPUTED_VALUE"""),"Ayu Manik")</f>
        <v>Ayu Manik</v>
      </c>
      <c r="AF489" s="285" t="str">
        <f>IFERROR(__xludf.DUMMYFUNCTION("""COMPUTED_VALUE"""),"0895421979200")</f>
        <v>0895421979200</v>
      </c>
      <c r="AG489" s="285" t="str">
        <f>IFERROR(__xludf.DUMMYFUNCTION("""COMPUTED_VALUE"""),"Gagal")</f>
        <v>Gagal</v>
      </c>
      <c r="AH489" s="285" t="str">
        <f>IFERROR(__xludf.DUMMYFUNCTION("""COMPUTED_VALUE"""),"trip alas purwo")</f>
        <v>trip alas purwo</v>
      </c>
      <c r="AI489" s="287">
        <f>IFERROR(__xludf.DUMMYFUNCTION("""COMPUTED_VALUE"""),46169.0)</f>
        <v>46169</v>
      </c>
      <c r="AJ489" s="285">
        <f>IFERROR(__xludf.DUMMYFUNCTION("""COMPUTED_VALUE"""),100.0)</f>
        <v>100</v>
      </c>
      <c r="AK489" s="289"/>
      <c r="AL489" s="285" t="str">
        <f>IFERROR(__xludf.DUMMYFUNCTION("""COMPUTED_VALUE"""),"lewat tgl")</f>
        <v>lewat tgl</v>
      </c>
    </row>
    <row r="490">
      <c r="F490" s="285"/>
      <c r="G490" s="285"/>
      <c r="H490" s="285"/>
      <c r="I490" s="285"/>
      <c r="J490" s="285"/>
      <c r="K490" s="285"/>
      <c r="L490" s="285"/>
      <c r="M490" s="288"/>
      <c r="N490" s="285"/>
      <c r="O490" s="290"/>
      <c r="P490" s="320"/>
      <c r="R490" s="285"/>
      <c r="S490" s="285"/>
      <c r="T490" s="285"/>
      <c r="U490" s="285"/>
      <c r="V490" s="285"/>
      <c r="W490" s="285"/>
      <c r="X490" s="285"/>
      <c r="Y490" s="285"/>
      <c r="Z490" s="285"/>
      <c r="AA490" s="285"/>
      <c r="AC490" s="285" t="str">
        <f>IFERROR(__xludf.DUMMYFUNCTION("""COMPUTED_VALUE"""),"2605D049")</f>
        <v>2605D049</v>
      </c>
      <c r="AD490" s="286">
        <f>IFERROR(__xludf.DUMMYFUNCTION("""COMPUTED_VALUE"""),46125.0)</f>
        <v>46125</v>
      </c>
      <c r="AE490" s="285" t="str">
        <f>IFERROR(__xludf.DUMMYFUNCTION("""COMPUTED_VALUE"""),"Asep Dayat")</f>
        <v>Asep Dayat</v>
      </c>
      <c r="AF490" s="285" t="str">
        <f>IFERROR(__xludf.DUMMYFUNCTION("""COMPUTED_VALUE"""),"085871271263")</f>
        <v>085871271263</v>
      </c>
      <c r="AG490" s="285" t="str">
        <f>IFERROR(__xludf.DUMMYFUNCTION("""COMPUTED_VALUE"""),"Gagal")</f>
        <v>Gagal</v>
      </c>
      <c r="AH490" s="285" t="str">
        <f>IFERROR(__xludf.DUMMYFUNCTION("""COMPUTED_VALUE"""),"baluran")</f>
        <v>baluran</v>
      </c>
      <c r="AI490" s="287">
        <f>IFERROR(__xludf.DUMMYFUNCTION("""COMPUTED_VALUE"""),46156.0)</f>
        <v>46156</v>
      </c>
      <c r="AJ490" s="285"/>
      <c r="AK490" s="289"/>
      <c r="AL490" s="285" t="str">
        <f>IFERROR(__xludf.DUMMYFUNCTION("""COMPUTED_VALUE"""),"fullbooked")</f>
        <v>fullbooked</v>
      </c>
    </row>
    <row r="491">
      <c r="F491" s="285"/>
      <c r="G491" s="285"/>
      <c r="H491" s="285"/>
      <c r="I491" s="285"/>
      <c r="J491" s="285"/>
      <c r="K491" s="285"/>
      <c r="L491" s="285"/>
      <c r="M491" s="288"/>
      <c r="N491" s="285"/>
      <c r="O491" s="290"/>
      <c r="P491" s="320"/>
      <c r="R491" s="285"/>
      <c r="S491" s="285"/>
      <c r="T491" s="285"/>
      <c r="U491" s="285"/>
      <c r="V491" s="285"/>
      <c r="W491" s="285"/>
      <c r="X491" s="285"/>
      <c r="Y491" s="285"/>
      <c r="Z491" s="285"/>
      <c r="AA491" s="285"/>
      <c r="AC491" s="285" t="str">
        <f>IFERROR(__xludf.DUMMYFUNCTION("""COMPUTED_VALUE"""),"2605D050")</f>
        <v>2605D050</v>
      </c>
      <c r="AD491" s="286">
        <f>IFERROR(__xludf.DUMMYFUNCTION("""COMPUTED_VALUE"""),46155.0)</f>
        <v>46155</v>
      </c>
      <c r="AE491" s="285" t="str">
        <f>IFERROR(__xludf.DUMMYFUNCTION("""COMPUTED_VALUE"""),"Chazella")</f>
        <v>Chazella</v>
      </c>
      <c r="AF491" s="285" t="str">
        <f>IFERROR(__xludf.DUMMYFUNCTION("""COMPUTED_VALUE"""),"08135734838")</f>
        <v>08135734838</v>
      </c>
      <c r="AG491" s="285" t="str">
        <f>IFERROR(__xludf.DUMMYFUNCTION("""COMPUTED_VALUE"""),"Gagal")</f>
        <v>Gagal</v>
      </c>
      <c r="AH491" s="285"/>
      <c r="AI491" s="287">
        <f>IFERROR(__xludf.DUMMYFUNCTION("""COMPUTED_VALUE"""),46157.0)</f>
        <v>46157</v>
      </c>
      <c r="AJ491" s="285">
        <f>IFERROR(__xludf.DUMMYFUNCTION("""COMPUTED_VALUE"""),2.0)</f>
        <v>2</v>
      </c>
      <c r="AK491" s="289"/>
      <c r="AL491" s="285" t="str">
        <f>IFERROR(__xludf.DUMMYFUNCTION("""COMPUTED_VALUE"""),"fullbooked")</f>
        <v>fullbooked</v>
      </c>
    </row>
    <row r="492">
      <c r="F492" s="285"/>
      <c r="G492" s="285"/>
      <c r="H492" s="285"/>
      <c r="I492" s="285"/>
      <c r="J492" s="285"/>
      <c r="K492" s="285"/>
      <c r="L492" s="285"/>
      <c r="M492" s="288"/>
      <c r="N492" s="285"/>
      <c r="O492" s="290"/>
      <c r="P492" s="320"/>
      <c r="R492" s="285"/>
      <c r="S492" s="285"/>
      <c r="T492" s="285"/>
      <c r="U492" s="285"/>
      <c r="V492" s="285"/>
      <c r="W492" s="285"/>
      <c r="X492" s="285"/>
      <c r="Y492" s="285"/>
      <c r="Z492" s="285"/>
      <c r="AA492" s="285"/>
      <c r="AC492" s="285" t="str">
        <f>IFERROR(__xludf.DUMMYFUNCTION("""COMPUTED_VALUE"""),"2605D051")</f>
        <v>2605D051</v>
      </c>
      <c r="AD492" s="286">
        <f>IFERROR(__xludf.DUMMYFUNCTION("""COMPUTED_VALUE"""),46155.0)</f>
        <v>46155</v>
      </c>
      <c r="AE492" s="285" t="str">
        <f>IFERROR(__xludf.DUMMYFUNCTION("""COMPUTED_VALUE"""),"Dewi  ")</f>
        <v>Dewi  </v>
      </c>
      <c r="AF492" s="285" t="str">
        <f>IFERROR(__xludf.DUMMYFUNCTION("""COMPUTED_VALUE"""),"085892567182")</f>
        <v>085892567182</v>
      </c>
      <c r="AG492" s="285" t="str">
        <f>IFERROR(__xludf.DUMMYFUNCTION("""COMPUTED_VALUE"""),"Gagal")</f>
        <v>Gagal</v>
      </c>
      <c r="AH492" s="285" t="str">
        <f>IFERROR(__xludf.DUMMYFUNCTION("""COMPUTED_VALUE"""),"KW, B")</f>
        <v>KW, B</v>
      </c>
      <c r="AI492" s="287">
        <f>IFERROR(__xludf.DUMMYFUNCTION("""COMPUTED_VALUE"""),46157.0)</f>
        <v>46157</v>
      </c>
      <c r="AJ492" s="285"/>
      <c r="AK492" s="289"/>
      <c r="AL492" s="285" t="str">
        <f>IFERROR(__xludf.DUMMYFUNCTION("""COMPUTED_VALUE"""),"fullbooked")</f>
        <v>fullbooked</v>
      </c>
    </row>
    <row r="493">
      <c r="F493" s="285"/>
      <c r="G493" s="285"/>
      <c r="H493" s="285"/>
      <c r="I493" s="285"/>
      <c r="J493" s="285"/>
      <c r="K493" s="285"/>
      <c r="L493" s="285"/>
      <c r="M493" s="288"/>
      <c r="N493" s="285"/>
      <c r="O493" s="290"/>
      <c r="P493" s="320"/>
      <c r="R493" s="285"/>
      <c r="S493" s="285"/>
      <c r="T493" s="285"/>
      <c r="U493" s="285"/>
      <c r="V493" s="285"/>
      <c r="W493" s="285"/>
      <c r="X493" s="285"/>
      <c r="Y493" s="285"/>
      <c r="Z493" s="285"/>
      <c r="AA493" s="285"/>
      <c r="AC493" s="285" t="str">
        <f>IFERROR(__xludf.DUMMYFUNCTION("""COMPUTED_VALUE"""),"2605D052")</f>
        <v>2605D052</v>
      </c>
      <c r="AD493" s="286">
        <f>IFERROR(__xludf.DUMMYFUNCTION("""COMPUTED_VALUE"""),46155.0)</f>
        <v>46155</v>
      </c>
      <c r="AE493" s="285" t="str">
        <f>IFERROR(__xludf.DUMMYFUNCTION("""COMPUTED_VALUE"""),"Dian")</f>
        <v>Dian</v>
      </c>
      <c r="AF493" s="285" t="str">
        <f>IFERROR(__xludf.DUMMYFUNCTION("""COMPUTED_VALUE"""),"085748214644")</f>
        <v>085748214644</v>
      </c>
      <c r="AG493" s="285" t="str">
        <f>IFERROR(__xludf.DUMMYFUNCTION("""COMPUTED_VALUE"""),"Gagal")</f>
        <v>Gagal</v>
      </c>
      <c r="AH493" s="285"/>
      <c r="AI493" s="287"/>
      <c r="AJ493" s="285"/>
      <c r="AK493" s="289"/>
      <c r="AL493" s="285" t="str">
        <f>IFERROR(__xludf.DUMMYFUNCTION("""COMPUTED_VALUE"""),"tanya sewa mobill")</f>
        <v>tanya sewa mobill</v>
      </c>
    </row>
    <row r="494">
      <c r="F494" s="285"/>
      <c r="G494" s="285"/>
      <c r="H494" s="285"/>
      <c r="I494" s="285"/>
      <c r="J494" s="285"/>
      <c r="K494" s="285"/>
      <c r="L494" s="285"/>
      <c r="M494" s="288"/>
      <c r="N494" s="285"/>
      <c r="O494" s="290"/>
      <c r="P494" s="320"/>
      <c r="R494" s="285"/>
      <c r="S494" s="285"/>
      <c r="T494" s="285"/>
      <c r="U494" s="285"/>
      <c r="V494" s="285"/>
      <c r="W494" s="285"/>
      <c r="X494" s="285"/>
      <c r="Y494" s="285"/>
      <c r="Z494" s="285"/>
      <c r="AA494" s="285"/>
      <c r="AC494" s="285" t="str">
        <f>IFERROR(__xludf.DUMMYFUNCTION("""COMPUTED_VALUE"""),"2605D055")</f>
        <v>2605D055</v>
      </c>
      <c r="AD494" s="286">
        <f>IFERROR(__xludf.DUMMYFUNCTION("""COMPUTED_VALUE"""),46152.0)</f>
        <v>46152</v>
      </c>
      <c r="AE494" s="285" t="str">
        <f>IFERROR(__xludf.DUMMYFUNCTION("""COMPUTED_VALUE"""),"IMAM")</f>
        <v>IMAM</v>
      </c>
      <c r="AF494" s="285" t="str">
        <f>IFERROR(__xludf.DUMMYFUNCTION("""COMPUTED_VALUE"""),"0811188127")</f>
        <v>0811188127</v>
      </c>
      <c r="AG494" s="285" t="str">
        <f>IFERROR(__xludf.DUMMYFUNCTION("""COMPUTED_VALUE"""),"Gagal")</f>
        <v>Gagal</v>
      </c>
      <c r="AH494" s="285" t="str">
        <f>IFERROR(__xludf.DUMMYFUNCTION("""COMPUTED_VALUE"""),"trip wedi ireng")</f>
        <v>trip wedi ireng</v>
      </c>
      <c r="AI494" s="287"/>
      <c r="AJ494" s="285"/>
      <c r="AK494" s="289"/>
      <c r="AL494" s="285" t="str">
        <f>IFERROR(__xludf.DUMMYFUNCTION("""COMPUTED_VALUE"""),"fullbooked")</f>
        <v>fullbooked</v>
      </c>
    </row>
    <row r="495">
      <c r="F495" s="285"/>
      <c r="G495" s="285"/>
      <c r="H495" s="285"/>
      <c r="I495" s="285"/>
      <c r="J495" s="285"/>
      <c r="K495" s="285"/>
      <c r="L495" s="285"/>
      <c r="M495" s="288"/>
      <c r="N495" s="285"/>
      <c r="O495" s="290"/>
      <c r="P495" s="320"/>
      <c r="R495" s="285"/>
      <c r="S495" s="285"/>
      <c r="T495" s="285"/>
      <c r="U495" s="285"/>
      <c r="V495" s="285"/>
      <c r="W495" s="285"/>
      <c r="X495" s="285"/>
      <c r="Y495" s="285"/>
      <c r="Z495" s="285"/>
      <c r="AA495" s="285"/>
      <c r="AC495" s="285" t="str">
        <f>IFERROR(__xludf.DUMMYFUNCTION("""COMPUTED_VALUE"""),"2605D059")</f>
        <v>2605D059</v>
      </c>
      <c r="AD495" s="286">
        <f>IFERROR(__xludf.DUMMYFUNCTION("""COMPUTED_VALUE"""),46156.0)</f>
        <v>46156</v>
      </c>
      <c r="AE495" s="285" t="str">
        <f>IFERROR(__xludf.DUMMYFUNCTION("""COMPUTED_VALUE"""),"Dina Puspita")</f>
        <v>Dina Puspita</v>
      </c>
      <c r="AF495" s="285" t="str">
        <f>IFERROR(__xludf.DUMMYFUNCTION("""COMPUTED_VALUE"""),"085867037481")</f>
        <v>085867037481</v>
      </c>
      <c r="AG495" s="285" t="str">
        <f>IFERROR(__xludf.DUMMYFUNCTION("""COMPUTED_VALUE"""),"Gagal")</f>
        <v>Gagal</v>
      </c>
      <c r="AH495" s="285" t="str">
        <f>IFERROR(__xludf.DUMMYFUNCTION("""COMPUTED_VALUE"""),"menjangan tabuhan")</f>
        <v>menjangan tabuhan</v>
      </c>
      <c r="AI495" s="287">
        <f>IFERROR(__xludf.DUMMYFUNCTION("""COMPUTED_VALUE"""),46163.0)</f>
        <v>46163</v>
      </c>
      <c r="AJ495" s="285">
        <f>IFERROR(__xludf.DUMMYFUNCTION("""COMPUTED_VALUE"""),2.0)</f>
        <v>2</v>
      </c>
      <c r="AK495" s="289"/>
      <c r="AL495" s="285" t="str">
        <f>IFERROR(__xludf.DUMMYFUNCTION("""COMPUTED_VALUE"""),"gagalll")</f>
        <v>gagalll</v>
      </c>
    </row>
    <row r="496">
      <c r="F496" s="285"/>
      <c r="G496" s="285"/>
      <c r="H496" s="285"/>
      <c r="I496" s="285"/>
      <c r="J496" s="285"/>
      <c r="K496" s="285"/>
      <c r="L496" s="285"/>
      <c r="M496" s="288"/>
      <c r="N496" s="285"/>
      <c r="O496" s="290"/>
      <c r="P496" s="320"/>
      <c r="R496" s="285"/>
      <c r="S496" s="285"/>
      <c r="T496" s="285"/>
      <c r="U496" s="285"/>
      <c r="V496" s="285"/>
      <c r="W496" s="285"/>
      <c r="X496" s="285"/>
      <c r="Y496" s="285"/>
      <c r="Z496" s="285"/>
      <c r="AA496" s="285"/>
      <c r="AC496" s="285" t="str">
        <f>IFERROR(__xludf.DUMMYFUNCTION("""COMPUTED_VALUE"""),"2605D061")</f>
        <v>2605D061</v>
      </c>
      <c r="AD496" s="286">
        <f>IFERROR(__xludf.DUMMYFUNCTION("""COMPUTED_VALUE"""),46156.0)</f>
        <v>46156</v>
      </c>
      <c r="AE496" s="285" t="str">
        <f>IFERROR(__xludf.DUMMYFUNCTION("""COMPUTED_VALUE"""),"SM")</f>
        <v>SM</v>
      </c>
      <c r="AF496" s="285" t="str">
        <f>IFERROR(__xludf.DUMMYFUNCTION("""COMPUTED_VALUE"""),"085885866078")</f>
        <v>085885866078</v>
      </c>
      <c r="AG496" s="285" t="str">
        <f>IFERROR(__xludf.DUMMYFUNCTION("""COMPUTED_VALUE"""),"Gagal")</f>
        <v>Gagal</v>
      </c>
      <c r="AH496" s="285" t="str">
        <f>IFERROR(__xludf.DUMMYFUNCTION("""COMPUTED_VALUE"""),"menjangan tabuhan")</f>
        <v>menjangan tabuhan</v>
      </c>
      <c r="AI496" s="287"/>
      <c r="AJ496" s="285"/>
      <c r="AK496" s="289"/>
      <c r="AL496" s="285" t="str">
        <f>IFERROR(__xludf.DUMMYFUNCTION("""COMPUTED_VALUE"""),"fullbooked")</f>
        <v>fullbooked</v>
      </c>
    </row>
    <row r="497">
      <c r="F497" s="285"/>
      <c r="G497" s="285"/>
      <c r="H497" s="285"/>
      <c r="I497" s="285"/>
      <c r="J497" s="285"/>
      <c r="K497" s="285"/>
      <c r="L497" s="285"/>
      <c r="M497" s="288"/>
      <c r="N497" s="285"/>
      <c r="O497" s="290"/>
      <c r="P497" s="320"/>
      <c r="R497" s="337"/>
      <c r="S497" s="337"/>
      <c r="T497" s="337"/>
      <c r="U497" s="337"/>
      <c r="V497" s="337"/>
      <c r="W497" s="337"/>
      <c r="X497" s="337"/>
      <c r="Y497" s="337"/>
      <c r="Z497" s="337"/>
      <c r="AA497" s="337"/>
      <c r="AC497" s="337" t="str">
        <f>IFERROR(__xludf.DUMMYFUNCTION("""COMPUTED_VALUE"""),"2605D062")</f>
        <v>2605D062</v>
      </c>
      <c r="AD497" s="338">
        <f>IFERROR(__xludf.DUMMYFUNCTION("""COMPUTED_VALUE"""),46156.0)</f>
        <v>46156</v>
      </c>
      <c r="AE497" s="337" t="str">
        <f>IFERROR(__xludf.DUMMYFUNCTION("""COMPUTED_VALUE"""),"Jm")</f>
        <v>Jm</v>
      </c>
      <c r="AF497" s="337" t="str">
        <f>IFERROR(__xludf.DUMMYFUNCTION("""COMPUTED_VALUE"""),"085784218421")</f>
        <v>085784218421</v>
      </c>
      <c r="AG497" s="337" t="str">
        <f>IFERROR(__xludf.DUMMYFUNCTION("""COMPUTED_VALUE"""),"Gagal")</f>
        <v>Gagal</v>
      </c>
      <c r="AH497" s="337" t="str">
        <f>IFERROR(__xludf.DUMMYFUNCTION("""COMPUTED_VALUE"""),"trip KW")</f>
        <v>trip KW</v>
      </c>
      <c r="AI497" s="339">
        <f>IFERROR(__xludf.DUMMYFUNCTION("""COMPUTED_VALUE"""),46159.0)</f>
        <v>46159</v>
      </c>
      <c r="AJ497" s="337">
        <f>IFERROR(__xludf.DUMMYFUNCTION("""COMPUTED_VALUE"""),5.0)</f>
        <v>5</v>
      </c>
      <c r="AK497" s="340"/>
      <c r="AL497" s="337" t="str">
        <f>IFERROR(__xludf.DUMMYFUNCTION("""COMPUTED_VALUE"""),"fullbooked")</f>
        <v>fullbooked</v>
      </c>
    </row>
    <row r="498">
      <c r="M498" s="270"/>
      <c r="O498" s="271"/>
      <c r="P498" s="271"/>
      <c r="AC498" s="130" t="str">
        <f>IFERROR(__xludf.DUMMYFUNCTION("""COMPUTED_VALUE"""),"2605D063")</f>
        <v>2605D063</v>
      </c>
      <c r="AD498" s="341">
        <f>IFERROR(__xludf.DUMMYFUNCTION("""COMPUTED_VALUE"""),46157.0)</f>
        <v>46157</v>
      </c>
      <c r="AE498" s="130" t="str">
        <f>IFERROR(__xludf.DUMMYFUNCTION("""COMPUTED_VALUE"""),"WNA rusia")</f>
        <v>WNA rusia</v>
      </c>
      <c r="AF498" s="130" t="str">
        <f>IFERROR(__xludf.DUMMYFUNCTION("""COMPUTED_VALUE"""),"79623344464")</f>
        <v>79623344464</v>
      </c>
      <c r="AG498" s="130" t="str">
        <f>IFERROR(__xludf.DUMMYFUNCTION("""COMPUTED_VALUE"""),"Gagal")</f>
        <v>Gagal</v>
      </c>
      <c r="AH498" s="130" t="str">
        <f>IFERROR(__xludf.DUMMYFUNCTION("""COMPUTED_VALUE"""),"Ijen")</f>
        <v>Ijen</v>
      </c>
      <c r="AI498" s="342">
        <f>IFERROR(__xludf.DUMMYFUNCTION("""COMPUTED_VALUE"""),46163.0)</f>
        <v>46163</v>
      </c>
      <c r="AJ498" s="130">
        <f>IFERROR(__xludf.DUMMYFUNCTION("""COMPUTED_VALUE"""),2.0)</f>
        <v>2</v>
      </c>
      <c r="AK498" s="343"/>
      <c r="AL498" s="130" t="str">
        <f>IFERROR(__xludf.DUMMYFUNCTION("""COMPUTED_VALUE"""),"tidak ada balasannn")</f>
        <v>tidak ada balasannn</v>
      </c>
    </row>
    <row r="499">
      <c r="M499" s="270"/>
      <c r="O499" s="271"/>
      <c r="P499" s="271"/>
      <c r="AC499" s="130" t="str">
        <f>IFERROR(__xludf.DUMMYFUNCTION("""COMPUTED_VALUE"""),"2605D065")</f>
        <v>2605D065</v>
      </c>
      <c r="AD499" s="341">
        <f>IFERROR(__xludf.DUMMYFUNCTION("""COMPUTED_VALUE"""),46157.0)</f>
        <v>46157</v>
      </c>
      <c r="AE499" s="130" t="str">
        <f>IFERROR(__xludf.DUMMYFUNCTION("""COMPUTED_VALUE"""),"A.I.R")</f>
        <v>A.I.R</v>
      </c>
      <c r="AF499" s="130" t="str">
        <f>IFERROR(__xludf.DUMMYFUNCTION("""COMPUTED_VALUE"""),"089673994031")</f>
        <v>089673994031</v>
      </c>
      <c r="AG499" s="130" t="str">
        <f>IFERROR(__xludf.DUMMYFUNCTION("""COMPUTED_VALUE"""),"Gagal")</f>
        <v>Gagal</v>
      </c>
      <c r="AH499" s="130" t="str">
        <f>IFERROR(__xludf.DUMMYFUNCTION("""COMPUTED_VALUE"""),"OT Ijen")</f>
        <v>OT Ijen</v>
      </c>
      <c r="AI499" s="342">
        <f>IFERROR(__xludf.DUMMYFUNCTION("""COMPUTED_VALUE"""),46162.0)</f>
        <v>46162</v>
      </c>
      <c r="AJ499" s="130">
        <f>IFERROR(__xludf.DUMMYFUNCTION("""COMPUTED_VALUE"""),1.0)</f>
        <v>1</v>
      </c>
      <c r="AK499" s="343"/>
      <c r="AL499" s="130" t="str">
        <f>IFERROR(__xludf.DUMMYFUNCTION("""COMPUTED_VALUE"""),"tanya penjemputan Bondowoso")</f>
        <v>tanya penjemputan Bondowoso</v>
      </c>
    </row>
    <row r="500">
      <c r="M500" s="270"/>
      <c r="O500" s="271"/>
      <c r="P500" s="271"/>
      <c r="AC500" s="130" t="str">
        <f>IFERROR(__xludf.DUMMYFUNCTION("""COMPUTED_VALUE"""),"2605D072")</f>
        <v>2605D072</v>
      </c>
      <c r="AD500" s="341">
        <f>IFERROR(__xludf.DUMMYFUNCTION("""COMPUTED_VALUE"""),46158.0)</f>
        <v>46158</v>
      </c>
      <c r="AE500" s="130" t="str">
        <f>IFERROR(__xludf.DUMMYFUNCTION("""COMPUTED_VALUE"""),"Rizqi Puji")</f>
        <v>Rizqi Puji</v>
      </c>
      <c r="AF500" s="130" t="str">
        <f>IFERROR(__xludf.DUMMYFUNCTION("""COMPUTED_VALUE"""),"081231574625")</f>
        <v>081231574625</v>
      </c>
      <c r="AG500" s="130" t="str">
        <f>IFERROR(__xludf.DUMMYFUNCTION("""COMPUTED_VALUE"""),"Gagal")</f>
        <v>Gagal</v>
      </c>
      <c r="AH500" s="130" t="str">
        <f>IFERROR(__xludf.DUMMYFUNCTION("""COMPUTED_VALUE"""),"trip MT")</f>
        <v>trip MT</v>
      </c>
      <c r="AI500" s="342">
        <f>IFERROR(__xludf.DUMMYFUNCTION("""COMPUTED_VALUE"""),46158.0)</f>
        <v>46158</v>
      </c>
      <c r="AJ500" s="130"/>
      <c r="AK500" s="343"/>
      <c r="AL500" s="130" t="str">
        <f>IFERROR(__xludf.DUMMYFUNCTION("""COMPUTED_VALUE"""),"fullbooked")</f>
        <v>fullbooked</v>
      </c>
    </row>
    <row r="501">
      <c r="M501" s="270"/>
      <c r="O501" s="271"/>
      <c r="P501" s="271"/>
      <c r="AC501" s="130" t="str">
        <f>IFERROR(__xludf.DUMMYFUNCTION("""COMPUTED_VALUE"""),"2605D073")</f>
        <v>2605D073</v>
      </c>
      <c r="AD501" s="341">
        <f>IFERROR(__xludf.DUMMYFUNCTION("""COMPUTED_VALUE"""),46159.0)</f>
        <v>46159</v>
      </c>
      <c r="AE501" s="130" t="str">
        <f>IFERROR(__xludf.DUMMYFUNCTION("""COMPUTED_VALUE"""),"Saif")</f>
        <v>Saif</v>
      </c>
      <c r="AF501" s="130" t="str">
        <f>IFERROR(__xludf.DUMMYFUNCTION("""COMPUTED_VALUE"""),"082223264429")</f>
        <v>082223264429</v>
      </c>
      <c r="AG501" s="130" t="str">
        <f>IFERROR(__xludf.DUMMYFUNCTION("""COMPUTED_VALUE"""),"Gagal")</f>
        <v>Gagal</v>
      </c>
      <c r="AH501" s="130" t="str">
        <f>IFERROR(__xludf.DUMMYFUNCTION("""COMPUTED_VALUE"""),"OT Ijen, GI")</f>
        <v>OT Ijen, GI</v>
      </c>
      <c r="AI501" s="342">
        <f>IFERROR(__xludf.DUMMYFUNCTION("""COMPUTED_VALUE"""),46176.0)</f>
        <v>46176</v>
      </c>
      <c r="AJ501" s="130">
        <f>IFERROR(__xludf.DUMMYFUNCTION("""COMPUTED_VALUE"""),2.0)</f>
        <v>2</v>
      </c>
      <c r="AK501" s="343"/>
      <c r="AL501" s="130" t="str">
        <f>IFERROR(__xludf.DUMMYFUNCTION("""COMPUTED_VALUE"""),"belum balas lagi, FU 1 juni")</f>
        <v>belum balas lagi, FU 1 juni</v>
      </c>
    </row>
    <row r="502">
      <c r="M502" s="270"/>
      <c r="O502" s="271"/>
      <c r="P502" s="271"/>
      <c r="AC502" s="130" t="str">
        <f>IFERROR(__xludf.DUMMYFUNCTION("""COMPUTED_VALUE"""),"2605D078")</f>
        <v>2605D078</v>
      </c>
      <c r="AD502" s="341">
        <f>IFERROR(__xludf.DUMMYFUNCTION("""COMPUTED_VALUE"""),46160.0)</f>
        <v>46160</v>
      </c>
      <c r="AE502" s="130" t="str">
        <f>IFERROR(__xludf.DUMMYFUNCTION("""COMPUTED_VALUE"""),"Farida")</f>
        <v>Farida</v>
      </c>
      <c r="AF502" s="130" t="str">
        <f>IFERROR(__xludf.DUMMYFUNCTION("""COMPUTED_VALUE"""),"081331962444")</f>
        <v>081331962444</v>
      </c>
      <c r="AG502" s="130" t="str">
        <f>IFERROR(__xludf.DUMMYFUNCTION("""COMPUTED_VALUE"""),"Gagal")</f>
        <v>Gagal</v>
      </c>
      <c r="AH502" s="130" t="str">
        <f>IFERROR(__xludf.DUMMYFUNCTION("""COMPUTED_VALUE"""),"2h1m ")</f>
        <v>2h1m </v>
      </c>
      <c r="AI502" s="342">
        <f>IFERROR(__xludf.DUMMYFUNCTION("""COMPUTED_VALUE"""),46172.0)</f>
        <v>46172</v>
      </c>
      <c r="AJ502" s="130">
        <f>IFERROR(__xludf.DUMMYFUNCTION("""COMPUTED_VALUE"""),3.0)</f>
        <v>3</v>
      </c>
      <c r="AK502" s="343"/>
      <c r="AL502" s="130"/>
    </row>
    <row r="503">
      <c r="M503" s="270"/>
      <c r="O503" s="271"/>
      <c r="P503" s="271"/>
      <c r="AC503" s="130" t="str">
        <f>IFERROR(__xludf.DUMMYFUNCTION("""COMPUTED_VALUE"""),"2605D078")</f>
        <v>2605D078</v>
      </c>
      <c r="AD503" s="341">
        <f>IFERROR(__xludf.DUMMYFUNCTION("""COMPUTED_VALUE"""),46160.0)</f>
        <v>46160</v>
      </c>
      <c r="AE503" s="130" t="str">
        <f>IFERROR(__xludf.DUMMYFUNCTION("""COMPUTED_VALUE"""),"Hikari")</f>
        <v>Hikari</v>
      </c>
      <c r="AF503" s="130" t="str">
        <f>IFERROR(__xludf.DUMMYFUNCTION("""COMPUTED_VALUE"""),"082147212206")</f>
        <v>082147212206</v>
      </c>
      <c r="AG503" s="130" t="str">
        <f>IFERROR(__xludf.DUMMYFUNCTION("""COMPUTED_VALUE"""),"Gagal")</f>
        <v>Gagal</v>
      </c>
      <c r="AH503" s="130" t="str">
        <f>IFERROR(__xludf.DUMMYFUNCTION("""COMPUTED_VALUE"""),"OT Djabal")</f>
        <v>OT Djabal</v>
      </c>
      <c r="AI503" s="342">
        <f>IFERROR(__xludf.DUMMYFUNCTION("""COMPUTED_VALUE"""),46174.0)</f>
        <v>46174</v>
      </c>
      <c r="AJ503" s="130">
        <f>IFERROR(__xludf.DUMMYFUNCTION("""COMPUTED_VALUE"""),1.0)</f>
        <v>1</v>
      </c>
      <c r="AK503" s="343"/>
      <c r="AL503" s="130" t="str">
        <f>IFERROR(__xludf.DUMMYFUNCTION("""COMPUTED_VALUE"""),"gagall, gajadi liburan")</f>
        <v>gagall, gajadi liburan</v>
      </c>
    </row>
    <row r="504">
      <c r="M504" s="270"/>
      <c r="O504" s="271"/>
      <c r="P504" s="271"/>
      <c r="AC504" s="130" t="str">
        <f>IFERROR(__xludf.DUMMYFUNCTION("""COMPUTED_VALUE"""),"2605D079")</f>
        <v>2605D079</v>
      </c>
      <c r="AD504" s="341">
        <f>IFERROR(__xludf.DUMMYFUNCTION("""COMPUTED_VALUE"""),46160.0)</f>
        <v>46160</v>
      </c>
      <c r="AE504" s="130" t="str">
        <f>IFERROR(__xludf.DUMMYFUNCTION("""COMPUTED_VALUE"""),"Auudiaa")</f>
        <v>Auudiaa</v>
      </c>
      <c r="AF504" s="130" t="str">
        <f>IFERROR(__xludf.DUMMYFUNCTION("""COMPUTED_VALUE"""),"081260055983")</f>
        <v>081260055983</v>
      </c>
      <c r="AG504" s="130" t="str">
        <f>IFERROR(__xludf.DUMMYFUNCTION("""COMPUTED_VALUE"""),"Gagal")</f>
        <v>Gagal</v>
      </c>
      <c r="AH504" s="130" t="str">
        <f>IFERROR(__xludf.DUMMYFUNCTION("""COMPUTED_VALUE"""),"OT Djabal")</f>
        <v>OT Djabal</v>
      </c>
      <c r="AI504" s="342">
        <f>IFERROR(__xludf.DUMMYFUNCTION("""COMPUTED_VALUE"""),46188.0)</f>
        <v>46188</v>
      </c>
      <c r="AJ504" s="130">
        <f>IFERROR(__xludf.DUMMYFUNCTION("""COMPUTED_VALUE"""),1.0)</f>
        <v>1</v>
      </c>
      <c r="AK504" s="343"/>
      <c r="AL504" s="130" t="str">
        <f>IFERROR(__xludf.DUMMYFUNCTION("""COMPUTED_VALUE"""),"waktu mepet, tiket kereta jam 5 sore KBR")</f>
        <v>waktu mepet, tiket kereta jam 5 sore KBR</v>
      </c>
    </row>
    <row r="505">
      <c r="M505" s="270"/>
      <c r="O505" s="271"/>
      <c r="P505" s="271"/>
      <c r="AC505" s="130" t="str">
        <f>IFERROR(__xludf.DUMMYFUNCTION("""COMPUTED_VALUE"""),"2605D086")</f>
        <v>2605D086</v>
      </c>
      <c r="AD505" s="341">
        <f>IFERROR(__xludf.DUMMYFUNCTION("""COMPUTED_VALUE"""),46161.0)</f>
        <v>46161</v>
      </c>
      <c r="AE505" s="130" t="str">
        <f>IFERROR(__xludf.DUMMYFUNCTION("""COMPUTED_VALUE"""),"Resto Pagu")</f>
        <v>Resto Pagu</v>
      </c>
      <c r="AF505" s="130" t="str">
        <f>IFERROR(__xludf.DUMMYFUNCTION("""COMPUTED_VALUE"""),"085782082239")</f>
        <v>085782082239</v>
      </c>
      <c r="AG505" s="130" t="str">
        <f>IFERROR(__xludf.DUMMYFUNCTION("""COMPUTED_VALUE"""),"Gagal")</f>
        <v>Gagal</v>
      </c>
      <c r="AH505" s="130" t="str">
        <f>IFERROR(__xludf.DUMMYFUNCTION("""COMPUTED_VALUE"""),"OT Ijen")</f>
        <v>OT Ijen</v>
      </c>
      <c r="AI505" s="342">
        <f>IFERROR(__xludf.DUMMYFUNCTION("""COMPUTED_VALUE"""),46162.0)</f>
        <v>46162</v>
      </c>
      <c r="AJ505" s="130">
        <f>IFERROR(__xludf.DUMMYFUNCTION("""COMPUTED_VALUE"""),3.0)</f>
        <v>3</v>
      </c>
      <c r="AK505" s="343"/>
      <c r="AL505" s="130" t="str">
        <f>IFERROR(__xludf.DUMMYFUNCTION("""COMPUTED_VALUE"""),"tidak mau kalo tidak ada blue fire, jadinya ke bromo")</f>
        <v>tidak mau kalo tidak ada blue fire, jadinya ke bromo</v>
      </c>
    </row>
    <row r="506">
      <c r="M506" s="270"/>
      <c r="O506" s="271"/>
      <c r="P506" s="271"/>
      <c r="AC506" s="130" t="str">
        <f>IFERROR(__xludf.DUMMYFUNCTION("""COMPUTED_VALUE"""),"2605D088")</f>
        <v>2605D088</v>
      </c>
      <c r="AD506" s="341">
        <f>IFERROR(__xludf.DUMMYFUNCTION("""COMPUTED_VALUE"""),46162.0)</f>
        <v>46162</v>
      </c>
      <c r="AE506" s="130" t="str">
        <f>IFERROR(__xludf.DUMMYFUNCTION("""COMPUTED_VALUE"""),"No Name MT")</f>
        <v>No Name MT</v>
      </c>
      <c r="AF506" s="130" t="str">
        <f>IFERROR(__xludf.DUMMYFUNCTION("""COMPUTED_VALUE"""),"087676059074")</f>
        <v>087676059074</v>
      </c>
      <c r="AG506" s="130" t="str">
        <f>IFERROR(__xludf.DUMMYFUNCTION("""COMPUTED_VALUE"""),"Gagal")</f>
        <v>Gagal</v>
      </c>
      <c r="AH506" s="130" t="str">
        <f>IFERROR(__xludf.DUMMYFUNCTION("""COMPUTED_VALUE"""),"Trip MT")</f>
        <v>Trip MT</v>
      </c>
      <c r="AI506" s="342"/>
      <c r="AJ506" s="130">
        <f>IFERROR(__xludf.DUMMYFUNCTION("""COMPUTED_VALUE"""),2.0)</f>
        <v>2</v>
      </c>
      <c r="AK506" s="343"/>
      <c r="AL506" s="130" t="str">
        <f>IFERROR(__xludf.DUMMYFUNCTION("""COMPUTED_VALUE"""),"belum balas lagi")</f>
        <v>belum balas lagi</v>
      </c>
    </row>
    <row r="507">
      <c r="M507" s="270"/>
      <c r="O507" s="271"/>
      <c r="P507" s="271"/>
      <c r="AC507" s="130" t="str">
        <f>IFERROR(__xludf.DUMMYFUNCTION("""COMPUTED_VALUE"""),"2605D089")</f>
        <v>2605D089</v>
      </c>
      <c r="AD507" s="341">
        <f>IFERROR(__xludf.DUMMYFUNCTION("""COMPUTED_VALUE"""),46162.0)</f>
        <v>46162</v>
      </c>
      <c r="AE507" s="130" t="str">
        <f>IFERROR(__xludf.DUMMYFUNCTION("""COMPUTED_VALUE"""),"Aya")</f>
        <v>Aya</v>
      </c>
      <c r="AF507" s="130" t="str">
        <f>IFERROR(__xludf.DUMMYFUNCTION("""COMPUTED_VALUE"""),"085725110310")</f>
        <v>085725110310</v>
      </c>
      <c r="AG507" s="130" t="str">
        <f>IFERROR(__xludf.DUMMYFUNCTION("""COMPUTED_VALUE"""),"Gagal")</f>
        <v>Gagal</v>
      </c>
      <c r="AH507" s="130" t="str">
        <f>IFERROR(__xludf.DUMMYFUNCTION("""COMPUTED_VALUE"""),"OT 3H2M")</f>
        <v>OT 3H2M</v>
      </c>
      <c r="AI507" s="342"/>
      <c r="AJ507" s="130">
        <f>IFERROR(__xludf.DUMMYFUNCTION("""COMPUTED_VALUE"""),1.0)</f>
        <v>1</v>
      </c>
      <c r="AK507" s="343"/>
      <c r="AL507" s="130" t="str">
        <f>IFERROR(__xludf.DUMMYFUNCTION("""COMPUTED_VALUE"""),"fullbooked")</f>
        <v>fullbooked</v>
      </c>
    </row>
    <row r="508">
      <c r="M508" s="270"/>
      <c r="O508" s="271"/>
      <c r="P508" s="271"/>
      <c r="AC508" s="130" t="str">
        <f>IFERROR(__xludf.DUMMYFUNCTION("""COMPUTED_VALUE"""),"2605D094")</f>
        <v>2605D094</v>
      </c>
      <c r="AD508" s="341">
        <f>IFERROR(__xludf.DUMMYFUNCTION("""COMPUTED_VALUE"""),46163.0)</f>
        <v>46163</v>
      </c>
      <c r="AE508" s="130" t="str">
        <f>IFERROR(__xludf.DUMMYFUNCTION("""COMPUTED_VALUE"""),"Ricko Hanggoro")</f>
        <v>Ricko Hanggoro</v>
      </c>
      <c r="AF508" s="130" t="str">
        <f>IFERROR(__xludf.DUMMYFUNCTION("""COMPUTED_VALUE"""),"61426419450")</f>
        <v>61426419450</v>
      </c>
      <c r="AG508" s="130" t="str">
        <f>IFERROR(__xludf.DUMMYFUNCTION("""COMPUTED_VALUE"""),"Gagal")</f>
        <v>Gagal</v>
      </c>
      <c r="AH508" s="130" t="str">
        <f>IFERROR(__xludf.DUMMYFUNCTION("""COMPUTED_VALUE"""),"OT Ijen")</f>
        <v>OT Ijen</v>
      </c>
      <c r="AI508" s="342">
        <f>IFERROR(__xludf.DUMMYFUNCTION("""COMPUTED_VALUE"""),46184.0)</f>
        <v>46184</v>
      </c>
      <c r="AJ508" s="130">
        <f>IFERROR(__xludf.DUMMYFUNCTION("""COMPUTED_VALUE"""),2.0)</f>
        <v>2</v>
      </c>
      <c r="AK508" s="343"/>
      <c r="AL508" s="130" t="str">
        <f>IFERROR(__xludf.DUMMYFUNCTION("""COMPUTED_VALUE"""),"FU 1 Juni")</f>
        <v>FU 1 Juni</v>
      </c>
    </row>
    <row r="509">
      <c r="M509" s="270"/>
      <c r="O509" s="271"/>
      <c r="P509" s="271"/>
      <c r="AC509" s="130" t="str">
        <f>IFERROR(__xludf.DUMMYFUNCTION("""COMPUTED_VALUE"""),"2605D095")</f>
        <v>2605D095</v>
      </c>
      <c r="AD509" s="341">
        <f>IFERROR(__xludf.DUMMYFUNCTION("""COMPUTED_VALUE"""),38858.0)</f>
        <v>38858</v>
      </c>
      <c r="AE509" s="130" t="str">
        <f>IFERROR(__xludf.DUMMYFUNCTION("""COMPUTED_VALUE"""),"Vika")</f>
        <v>Vika</v>
      </c>
      <c r="AF509" s="130" t="str">
        <f>IFERROR(__xludf.DUMMYFUNCTION("""COMPUTED_VALUE"""),"087722792004")</f>
        <v>087722792004</v>
      </c>
      <c r="AG509" s="130" t="str">
        <f>IFERROR(__xludf.DUMMYFUNCTION("""COMPUTED_VALUE"""),"Gagal")</f>
        <v>Gagal</v>
      </c>
      <c r="AH509" s="130" t="str">
        <f>IFERROR(__xludf.DUMMYFUNCTION("""COMPUTED_VALUE"""),"3H2M")</f>
        <v>3H2M</v>
      </c>
      <c r="AI509" s="342">
        <f>IFERROR(__xludf.DUMMYFUNCTION("""COMPUTED_VALUE"""),46186.0)</f>
        <v>46186</v>
      </c>
      <c r="AJ509" s="130">
        <f>IFERROR(__xludf.DUMMYFUNCTION("""COMPUTED_VALUE"""),25.0)</f>
        <v>25</v>
      </c>
      <c r="AK509" s="343"/>
      <c r="AL509" s="130" t="str">
        <f>IFERROR(__xludf.DUMMYFUNCTION("""COMPUTED_VALUE"""),"kirim penawaran, FU 1 Juni ")</f>
        <v>kirim penawaran, FU 1 Juni </v>
      </c>
    </row>
    <row r="510">
      <c r="M510" s="270"/>
      <c r="O510" s="271"/>
      <c r="P510" s="271"/>
      <c r="AC510" s="130" t="str">
        <f>IFERROR(__xludf.DUMMYFUNCTION("""COMPUTED_VALUE"""),"2605D100 ")</f>
        <v>2605D100 </v>
      </c>
      <c r="AD510" s="341">
        <f>IFERROR(__xludf.DUMMYFUNCTION("""COMPUTED_VALUE"""),46163.0)</f>
        <v>46163</v>
      </c>
      <c r="AE510" s="130" t="str">
        <f>IFERROR(__xludf.DUMMYFUNCTION("""COMPUTED_VALUE"""),"Natasha")</f>
        <v>Natasha</v>
      </c>
      <c r="AF510" s="130" t="str">
        <f>IFERROR(__xludf.DUMMYFUNCTION("""COMPUTED_VALUE"""),"08990176964")</f>
        <v>08990176964</v>
      </c>
      <c r="AG510" s="130" t="str">
        <f>IFERROR(__xludf.DUMMYFUNCTION("""COMPUTED_VALUE"""),"Gagal")</f>
        <v>Gagal</v>
      </c>
      <c r="AH510" s="130" t="str">
        <f>IFERROR(__xludf.DUMMYFUNCTION("""COMPUTED_VALUE"""),"trip MT")</f>
        <v>trip MT</v>
      </c>
      <c r="AI510" s="342">
        <f>IFERROR(__xludf.DUMMYFUNCTION("""COMPUTED_VALUE"""),46171.0)</f>
        <v>46171</v>
      </c>
      <c r="AJ510" s="130">
        <f>IFERROR(__xludf.DUMMYFUNCTION("""COMPUTED_VALUE"""),2.0)</f>
        <v>2</v>
      </c>
      <c r="AK510" s="343"/>
      <c r="AL510" s="130" t="str">
        <f>IFERROR(__xludf.DUMMYFUNCTION("""COMPUTED_VALUE"""),"fullbooked")</f>
        <v>fullbooked</v>
      </c>
    </row>
    <row r="511">
      <c r="M511" s="270"/>
      <c r="O511" s="271"/>
      <c r="P511" s="271"/>
      <c r="AC511" s="130" t="str">
        <f>IFERROR(__xludf.DUMMYFUNCTION("""COMPUTED_VALUE"""),"2605D105")</f>
        <v>2605D105</v>
      </c>
      <c r="AD511" s="341">
        <f>IFERROR(__xludf.DUMMYFUNCTION("""COMPUTED_VALUE"""),46164.0)</f>
        <v>46164</v>
      </c>
      <c r="AE511" s="130" t="str">
        <f>IFERROR(__xludf.DUMMYFUNCTION("""COMPUTED_VALUE"""),"Adelia")</f>
        <v>Adelia</v>
      </c>
      <c r="AF511" s="130" t="str">
        <f>IFERROR(__xludf.DUMMYFUNCTION("""COMPUTED_VALUE"""),"085179953048")</f>
        <v>085179953048</v>
      </c>
      <c r="AG511" s="130" t="str">
        <f>IFERROR(__xludf.DUMMYFUNCTION("""COMPUTED_VALUE"""),"Gagal")</f>
        <v>Gagal</v>
      </c>
      <c r="AH511" s="130" t="str">
        <f>IFERROR(__xludf.DUMMYFUNCTION("""COMPUTED_VALUE"""),"MT")</f>
        <v>MT</v>
      </c>
      <c r="AI511" s="342">
        <f>IFERROR(__xludf.DUMMYFUNCTION("""COMPUTED_VALUE"""),46172.0)</f>
        <v>46172</v>
      </c>
      <c r="AJ511" s="130">
        <f>IFERROR(__xludf.DUMMYFUNCTION("""COMPUTED_VALUE"""),4.0)</f>
        <v>4</v>
      </c>
      <c r="AK511" s="343"/>
      <c r="AL511" s="130" t="str">
        <f>IFERROR(__xludf.DUMMYFUNCTION("""COMPUTED_VALUE"""),"fullbooked")</f>
        <v>fullbooked</v>
      </c>
    </row>
    <row r="512">
      <c r="M512" s="270"/>
      <c r="O512" s="271"/>
      <c r="P512" s="271"/>
      <c r="AC512" s="130" t="str">
        <f>IFERROR(__xludf.DUMMYFUNCTION("""COMPUTED_VALUE"""),"2605D110")</f>
        <v>2605D110</v>
      </c>
      <c r="AD512" s="341">
        <f>IFERROR(__xludf.DUMMYFUNCTION("""COMPUTED_VALUE"""),46165.0)</f>
        <v>46165</v>
      </c>
      <c r="AE512" s="130" t="str">
        <f>IFERROR(__xludf.DUMMYFUNCTION("""COMPUTED_VALUE"""),"Dewi Alleta ")</f>
        <v>Dewi Alleta </v>
      </c>
      <c r="AF512" s="130" t="str">
        <f>IFERROR(__xludf.DUMMYFUNCTION("""COMPUTED_VALUE"""),"082140514145")</f>
        <v>082140514145</v>
      </c>
      <c r="AG512" s="130" t="str">
        <f>IFERROR(__xludf.DUMMYFUNCTION("""COMPUTED_VALUE"""),"Gagal")</f>
        <v>Gagal</v>
      </c>
      <c r="AH512" s="130" t="str">
        <f>IFERROR(__xludf.DUMMYFUNCTION("""COMPUTED_VALUE"""),"OT Djabal")</f>
        <v>OT Djabal</v>
      </c>
      <c r="AI512" s="342">
        <f>IFERROR(__xludf.DUMMYFUNCTION("""COMPUTED_VALUE"""),46172.0)</f>
        <v>46172</v>
      </c>
      <c r="AJ512" s="130">
        <f>IFERROR(__xludf.DUMMYFUNCTION("""COMPUTED_VALUE"""),1.0)</f>
        <v>1</v>
      </c>
      <c r="AK512" s="343"/>
      <c r="AL512" s="130" t="str">
        <f>IFERROR(__xludf.DUMMYFUNCTION("""COMPUTED_VALUE"""),"fullbooked")</f>
        <v>fullbooked</v>
      </c>
    </row>
    <row r="513">
      <c r="M513" s="270"/>
      <c r="O513" s="271"/>
      <c r="P513" s="271"/>
      <c r="AC513" s="130" t="str">
        <f>IFERROR(__xludf.DUMMYFUNCTION("""COMPUTED_VALUE"""),"2605D112")</f>
        <v>2605D112</v>
      </c>
      <c r="AD513" s="341">
        <f>IFERROR(__xludf.DUMMYFUNCTION("""COMPUTED_VALUE"""),46163.0)</f>
        <v>46163</v>
      </c>
      <c r="AE513" s="130" t="str">
        <f>IFERROR(__xludf.DUMMYFUNCTION("""COMPUTED_VALUE"""),"Meylanie")</f>
        <v>Meylanie</v>
      </c>
      <c r="AF513" s="130" t="str">
        <f>IFERROR(__xludf.DUMMYFUNCTION("""COMPUTED_VALUE"""),"085778289588")</f>
        <v>085778289588</v>
      </c>
      <c r="AG513" s="130" t="str">
        <f>IFERROR(__xludf.DUMMYFUNCTION("""COMPUTED_VALUE"""),"Gagal")</f>
        <v>Gagal</v>
      </c>
      <c r="AH513" s="130"/>
      <c r="AI513" s="342"/>
      <c r="AJ513" s="130">
        <f>IFERROR(__xludf.DUMMYFUNCTION("""COMPUTED_VALUE"""),3.0)</f>
        <v>3</v>
      </c>
      <c r="AK513" s="343"/>
      <c r="AL513" s="130" t="str">
        <f>IFERROR(__xludf.DUMMYFUNCTION("""COMPUTED_VALUE"""),"memastikan trip anaknya")</f>
        <v>memastikan trip anaknya</v>
      </c>
    </row>
    <row r="514">
      <c r="M514" s="270"/>
      <c r="O514" s="271"/>
      <c r="P514" s="271"/>
      <c r="AC514" s="130" t="str">
        <f>IFERROR(__xludf.DUMMYFUNCTION("""COMPUTED_VALUE"""),"2605D114")</f>
        <v>2605D114</v>
      </c>
      <c r="AD514" s="341">
        <f>IFERROR(__xludf.DUMMYFUNCTION("""COMPUTED_VALUE"""),46165.0)</f>
        <v>46165</v>
      </c>
      <c r="AE514" s="130" t="str">
        <f>IFERROR(__xludf.DUMMYFUNCTION("""COMPUTED_VALUE"""),"Chrisfito")</f>
        <v>Chrisfito</v>
      </c>
      <c r="AF514" s="130" t="str">
        <f>IFERROR(__xludf.DUMMYFUNCTION("""COMPUTED_VALUE"""),"082329785779")</f>
        <v>082329785779</v>
      </c>
      <c r="AG514" s="130" t="str">
        <f>IFERROR(__xludf.DUMMYFUNCTION("""COMPUTED_VALUE"""),"Gagal")</f>
        <v>Gagal</v>
      </c>
      <c r="AH514" s="130" t="str">
        <f>IFERROR(__xludf.DUMMYFUNCTION("""COMPUTED_VALUE"""),"OT GI")</f>
        <v>OT GI</v>
      </c>
      <c r="AI514" s="342"/>
      <c r="AJ514" s="130"/>
      <c r="AK514" s="343"/>
      <c r="AL514" s="130" t="str">
        <f>IFERROR(__xludf.DUMMYFUNCTION("""COMPUTED_VALUE"""),"mendadak minta hari H trip, gagalll")</f>
        <v>mendadak minta hari H trip, gagalll</v>
      </c>
    </row>
    <row r="515">
      <c r="M515" s="270"/>
      <c r="O515" s="271"/>
      <c r="P515" s="271"/>
      <c r="AC515" s="130" t="str">
        <f>IFERROR(__xludf.DUMMYFUNCTION("""COMPUTED_VALUE"""),"2605D115")</f>
        <v>2605D115</v>
      </c>
      <c r="AD515" s="341">
        <f>IFERROR(__xludf.DUMMYFUNCTION("""COMPUTED_VALUE"""),46165.0)</f>
        <v>46165</v>
      </c>
      <c r="AE515" s="130" t="str">
        <f>IFERROR(__xludf.DUMMYFUNCTION("""COMPUTED_VALUE"""),"Fy")</f>
        <v>Fy</v>
      </c>
      <c r="AF515" s="130" t="str">
        <f>IFERROR(__xludf.DUMMYFUNCTION("""COMPUTED_VALUE"""),"085157946006")</f>
        <v>085157946006</v>
      </c>
      <c r="AG515" s="130" t="str">
        <f>IFERROR(__xludf.DUMMYFUNCTION("""COMPUTED_VALUE"""),"gagal")</f>
        <v>gagal</v>
      </c>
      <c r="AH515" s="130" t="str">
        <f>IFERROR(__xludf.DUMMYFUNCTION("""COMPUTED_VALUE"""),"OT MT")</f>
        <v>OT MT</v>
      </c>
      <c r="AI515" s="342"/>
      <c r="AJ515" s="130">
        <f>IFERROR(__xludf.DUMMYFUNCTION("""COMPUTED_VALUE"""),1.0)</f>
        <v>1</v>
      </c>
      <c r="AK515" s="343"/>
      <c r="AL515" s="130" t="str">
        <f>IFERROR(__xludf.DUMMYFUNCTION("""COMPUTED_VALUE"""),"fullbooked")</f>
        <v>fullbooked</v>
      </c>
    </row>
    <row r="516">
      <c r="M516" s="270"/>
      <c r="O516" s="271"/>
      <c r="P516" s="271"/>
      <c r="AC516" s="130" t="str">
        <f>IFERROR(__xludf.DUMMYFUNCTION("""COMPUTED_VALUE"""),"2605D116")</f>
        <v>2605D116</v>
      </c>
      <c r="AD516" s="341">
        <f>IFERROR(__xludf.DUMMYFUNCTION("""COMPUTED_VALUE"""),46165.0)</f>
        <v>46165</v>
      </c>
      <c r="AE516" s="130" t="str">
        <f>IFERROR(__xludf.DUMMYFUNCTION("""COMPUTED_VALUE"""),"Mitarosariahermawan ")</f>
        <v>Mitarosariahermawan </v>
      </c>
      <c r="AF516" s="130" t="str">
        <f>IFERROR(__xludf.DUMMYFUNCTION("""COMPUTED_VALUE"""),"089619432035")</f>
        <v>089619432035</v>
      </c>
      <c r="AG516" s="130" t="str">
        <f>IFERROR(__xludf.DUMMYFUNCTION("""COMPUTED_VALUE"""),"Gagal")</f>
        <v>Gagal</v>
      </c>
      <c r="AH516" s="130" t="str">
        <f>IFERROR(__xludf.DUMMYFUNCTION("""COMPUTED_VALUE"""),"OT MT")</f>
        <v>OT MT</v>
      </c>
      <c r="AI516" s="342"/>
      <c r="AJ516" s="130"/>
      <c r="AK516" s="343"/>
      <c r="AL516" s="130" t="str">
        <f>IFERROR(__xludf.DUMMYFUNCTION("""COMPUTED_VALUE"""),"fullbokeed")</f>
        <v>fullbokeed</v>
      </c>
    </row>
    <row r="517">
      <c r="M517" s="270"/>
      <c r="O517" s="271"/>
      <c r="P517" s="271"/>
      <c r="AC517" s="130" t="str">
        <f>IFERROR(__xludf.DUMMYFUNCTION("""COMPUTED_VALUE"""),"2605D119")</f>
        <v>2605D119</v>
      </c>
      <c r="AD517" s="341">
        <f>IFERROR(__xludf.DUMMYFUNCTION("""COMPUTED_VALUE"""),46166.0)</f>
        <v>46166</v>
      </c>
      <c r="AE517" s="130" t="str">
        <f>IFERROR(__xludf.DUMMYFUNCTION("""COMPUTED_VALUE"""),"Faris Al-Fatih")</f>
        <v>Faris Al-Fatih</v>
      </c>
      <c r="AF517" s="130" t="str">
        <f>IFERROR(__xludf.DUMMYFUNCTION("""COMPUTED_VALUE"""),"081211077201")</f>
        <v>081211077201</v>
      </c>
      <c r="AG517" s="130" t="str">
        <f>IFERROR(__xludf.DUMMYFUNCTION("""COMPUTED_VALUE"""),"Gagal")</f>
        <v>Gagal</v>
      </c>
      <c r="AH517" s="130" t="str">
        <f>IFERROR(__xludf.DUMMYFUNCTION("""COMPUTED_VALUE"""),"OT MT")</f>
        <v>OT MT</v>
      </c>
      <c r="AI517" s="342">
        <f>IFERROR(__xludf.DUMMYFUNCTION("""COMPUTED_VALUE"""),46168.0)</f>
        <v>46168</v>
      </c>
      <c r="AJ517" s="130">
        <f>IFERROR(__xludf.DUMMYFUNCTION("""COMPUTED_VALUE"""),1.0)</f>
        <v>1</v>
      </c>
      <c r="AK517" s="343"/>
      <c r="AL517" s="130"/>
    </row>
    <row r="518">
      <c r="M518" s="270"/>
      <c r="O518" s="271"/>
      <c r="P518" s="271"/>
      <c r="AC518" s="130" t="str">
        <f>IFERROR(__xludf.DUMMYFUNCTION("""COMPUTED_VALUE"""),"2605D129")</f>
        <v>2605D129</v>
      </c>
      <c r="AD518" s="341">
        <f>IFERROR(__xludf.DUMMYFUNCTION("""COMPUTED_VALUE"""),46166.0)</f>
        <v>46166</v>
      </c>
      <c r="AE518" s="130" t="str">
        <f>IFERROR(__xludf.DUMMYFUNCTION("""COMPUTED_VALUE"""),"Abifatta")</f>
        <v>Abifatta</v>
      </c>
      <c r="AF518" s="130" t="str">
        <f>IFERROR(__xludf.DUMMYFUNCTION("""COMPUTED_VALUE"""),"082325777227")</f>
        <v>082325777227</v>
      </c>
      <c r="AG518" s="130" t="str">
        <f>IFERROR(__xludf.DUMMYFUNCTION("""COMPUTED_VALUE"""),"Gagal")</f>
        <v>Gagal</v>
      </c>
      <c r="AH518" s="130" t="str">
        <f>IFERROR(__xludf.DUMMYFUNCTION("""COMPUTED_VALUE"""),"OT MT, OT I")</f>
        <v>OT MT, OT I</v>
      </c>
      <c r="AI518" s="342">
        <f>IFERROR(__xludf.DUMMYFUNCTION("""COMPUTED_VALUE"""),46170.0)</f>
        <v>46170</v>
      </c>
      <c r="AJ518" s="130">
        <f>IFERROR(__xludf.DUMMYFUNCTION("""COMPUTED_VALUE"""),5.0)</f>
        <v>5</v>
      </c>
      <c r="AK518" s="343"/>
      <c r="AL518" s="130" t="str">
        <f>IFERROR(__xludf.DUMMYFUNCTION("""COMPUTED_VALUE"""),"masih diskusi, FU 25 Mei")</f>
        <v>masih diskusi, FU 25 Mei</v>
      </c>
    </row>
    <row r="519">
      <c r="M519" s="270"/>
      <c r="O519" s="271"/>
      <c r="P519" s="271"/>
      <c r="AC519" s="130" t="str">
        <f>IFERROR(__xludf.DUMMYFUNCTION("""COMPUTED_VALUE"""),"2605D130")</f>
        <v>2605D130</v>
      </c>
      <c r="AD519" s="341">
        <f>IFERROR(__xludf.DUMMYFUNCTION("""COMPUTED_VALUE"""),46167.0)</f>
        <v>46167</v>
      </c>
      <c r="AE519" s="130" t="str">
        <f>IFERROR(__xludf.DUMMYFUNCTION("""COMPUTED_VALUE"""),"Garry")</f>
        <v>Garry</v>
      </c>
      <c r="AF519" s="130" t="str">
        <f>IFERROR(__xludf.DUMMYFUNCTION("""COMPUTED_VALUE"""),"085692781477")</f>
        <v>085692781477</v>
      </c>
      <c r="AG519" s="130" t="str">
        <f>IFERROR(__xludf.DUMMYFUNCTION("""COMPUTED_VALUE"""),"Gagal")</f>
        <v>Gagal</v>
      </c>
      <c r="AH519" s="130" t="str">
        <f>IFERROR(__xludf.DUMMYFUNCTION("""COMPUTED_VALUE"""),"private trip MT")</f>
        <v>private trip MT</v>
      </c>
      <c r="AI519" s="342">
        <f>IFERROR(__xludf.DUMMYFUNCTION("""COMPUTED_VALUE"""),46172.0)</f>
        <v>46172</v>
      </c>
      <c r="AJ519" s="130">
        <f>IFERROR(__xludf.DUMMYFUNCTION("""COMPUTED_VALUE"""),1.0)</f>
        <v>1</v>
      </c>
      <c r="AK519" s="343"/>
      <c r="AL519" s="130" t="str">
        <f>IFERROR(__xludf.DUMMYFUNCTION("""COMPUTED_VALUE"""),"Penjemputan malang blm bisaa")</f>
        <v>Penjemputan malang blm bisaa</v>
      </c>
    </row>
    <row r="520">
      <c r="M520" s="270"/>
      <c r="O520" s="271"/>
      <c r="P520" s="271"/>
      <c r="AC520" s="130" t="str">
        <f>IFERROR(__xludf.DUMMYFUNCTION("""COMPUTED_VALUE"""),"2605D132")</f>
        <v>2605D132</v>
      </c>
      <c r="AD520" s="341">
        <f>IFERROR(__xludf.DUMMYFUNCTION("""COMPUTED_VALUE"""),46167.0)</f>
        <v>46167</v>
      </c>
      <c r="AE520" s="130" t="str">
        <f>IFERROR(__xludf.DUMMYFUNCTION("""COMPUTED_VALUE"""),"Amanda")</f>
        <v>Amanda</v>
      </c>
      <c r="AF520" s="130" t="str">
        <f>IFERROR(__xludf.DUMMYFUNCTION("""COMPUTED_VALUE"""),"087760110163")</f>
        <v>087760110163</v>
      </c>
      <c r="AG520" s="130" t="str">
        <f>IFERROR(__xludf.DUMMYFUNCTION("""COMPUTED_VALUE"""),"Gagal")</f>
        <v>Gagal</v>
      </c>
      <c r="AH520" s="130" t="str">
        <f>IFERROR(__xludf.DUMMYFUNCTION("""COMPUTED_VALUE"""),"OT Djabal")</f>
        <v>OT Djabal</v>
      </c>
      <c r="AI520" s="342">
        <f>IFERROR(__xludf.DUMMYFUNCTION("""COMPUTED_VALUE"""),46171.0)</f>
        <v>46171</v>
      </c>
      <c r="AJ520" s="130">
        <f>IFERROR(__xludf.DUMMYFUNCTION("""COMPUTED_VALUE"""),2.0)</f>
        <v>2</v>
      </c>
      <c r="AK520" s="343"/>
      <c r="AL520" s="130" t="str">
        <f>IFERROR(__xludf.DUMMYFUNCTION("""COMPUTED_VALUE"""),"belum balas lagi, FU 28 Mei")</f>
        <v>belum balas lagi, FU 28 Mei</v>
      </c>
    </row>
    <row r="521">
      <c r="M521" s="270"/>
      <c r="O521" s="271"/>
      <c r="P521" s="271"/>
      <c r="AC521" s="130" t="str">
        <f>IFERROR(__xludf.DUMMYFUNCTION("""COMPUTED_VALUE"""),"2605D135")</f>
        <v>2605D135</v>
      </c>
      <c r="AD521" s="341">
        <f>IFERROR(__xludf.DUMMYFUNCTION("""COMPUTED_VALUE"""),46167.0)</f>
        <v>46167</v>
      </c>
      <c r="AE521" s="130" t="str">
        <f>IFERROR(__xludf.DUMMYFUNCTION("""COMPUTED_VALUE"""),"Noreen Nareswari")</f>
        <v>Noreen Nareswari</v>
      </c>
      <c r="AF521" s="130" t="str">
        <f>IFERROR(__xludf.DUMMYFUNCTION("""COMPUTED_VALUE"""),"083111986394")</f>
        <v>083111986394</v>
      </c>
      <c r="AG521" s="130" t="str">
        <f>IFERROR(__xludf.DUMMYFUNCTION("""COMPUTED_VALUE"""),"Gagal")</f>
        <v>Gagal</v>
      </c>
      <c r="AH521" s="130" t="str">
        <f>IFERROR(__xludf.DUMMYFUNCTION("""COMPUTED_VALUE"""),"OT Ijen ")</f>
        <v>OT Ijen </v>
      </c>
      <c r="AI521" s="342">
        <f>IFERROR(__xludf.DUMMYFUNCTION("""COMPUTED_VALUE"""),46175.0)</f>
        <v>46175</v>
      </c>
      <c r="AJ521" s="130">
        <f>IFERROR(__xludf.DUMMYFUNCTION("""COMPUTED_VALUE"""),2.0)</f>
        <v>2</v>
      </c>
      <c r="AK521" s="343"/>
      <c r="AL521" s="130" t="str">
        <f>IFERROR(__xludf.DUMMYFUNCTION("""COMPUTED_VALUE"""),"blm bales lagi, FU 11 Juni")</f>
        <v>blm bales lagi, FU 11 Juni</v>
      </c>
    </row>
    <row r="522">
      <c r="M522" s="270"/>
      <c r="O522" s="271"/>
      <c r="P522" s="271"/>
      <c r="AC522" s="130" t="str">
        <f>IFERROR(__xludf.DUMMYFUNCTION("""COMPUTED_VALUE"""),"2605D137")</f>
        <v>2605D137</v>
      </c>
      <c r="AD522" s="341">
        <f>IFERROR(__xludf.DUMMYFUNCTION("""COMPUTED_VALUE"""),46167.0)</f>
        <v>46167</v>
      </c>
      <c r="AE522" s="130" t="str">
        <f>IFERROR(__xludf.DUMMYFUNCTION("""COMPUTED_VALUE"""),"Nurin")</f>
        <v>Nurin</v>
      </c>
      <c r="AF522" s="130" t="str">
        <f>IFERROR(__xludf.DUMMYFUNCTION("""COMPUTED_VALUE"""),"085784410760")</f>
        <v>085784410760</v>
      </c>
      <c r="AG522" s="130" t="str">
        <f>IFERROR(__xludf.DUMMYFUNCTION("""COMPUTED_VALUE"""),"Gagal")</f>
        <v>Gagal</v>
      </c>
      <c r="AH522" s="130" t="str">
        <f>IFERROR(__xludf.DUMMYFUNCTION("""COMPUTED_VALUE"""),"OT Ijen ")</f>
        <v>OT Ijen </v>
      </c>
      <c r="AI522" s="342"/>
      <c r="AJ522" s="130">
        <f>IFERROR(__xludf.DUMMYFUNCTION("""COMPUTED_VALUE"""),46146.0)</f>
        <v>46146</v>
      </c>
      <c r="AK522" s="343"/>
      <c r="AL522" s="130" t="str">
        <f>IFERROR(__xludf.DUMMYFUNCTION("""COMPUTED_VALUE"""),"FU 2 Juni ")</f>
        <v>FU 2 Juni </v>
      </c>
    </row>
    <row r="523">
      <c r="M523" s="270"/>
      <c r="O523" s="271"/>
      <c r="P523" s="271"/>
      <c r="AC523" s="130" t="str">
        <f>IFERROR(__xludf.DUMMYFUNCTION("""COMPUTED_VALUE"""),"2605D138")</f>
        <v>2605D138</v>
      </c>
      <c r="AD523" s="341">
        <f>IFERROR(__xludf.DUMMYFUNCTION("""COMPUTED_VALUE"""),46168.0)</f>
        <v>46168</v>
      </c>
      <c r="AE523" s="130" t="str">
        <f>IFERROR(__xludf.DUMMYFUNCTION("""COMPUTED_VALUE"""),"Dhena Aloiya ")</f>
        <v>Dhena Aloiya </v>
      </c>
      <c r="AF523" s="130" t="str">
        <f>IFERROR(__xludf.DUMMYFUNCTION("""COMPUTED_VALUE"""),"081232224190")</f>
        <v>081232224190</v>
      </c>
      <c r="AG523" s="130" t="str">
        <f>IFERROR(__xludf.DUMMYFUNCTION("""COMPUTED_VALUE"""),"Gagal")</f>
        <v>Gagal</v>
      </c>
      <c r="AH523" s="130" t="str">
        <f>IFERROR(__xludf.DUMMYFUNCTION("""COMPUTED_VALUE"""),"c")</f>
        <v>c</v>
      </c>
      <c r="AI523" s="342">
        <f>IFERROR(__xludf.DUMMYFUNCTION("""COMPUTED_VALUE"""),46170.0)</f>
        <v>46170</v>
      </c>
      <c r="AJ523" s="130">
        <f>IFERROR(__xludf.DUMMYFUNCTION("""COMPUTED_VALUE"""),1.0)</f>
        <v>1</v>
      </c>
      <c r="AK523" s="343"/>
      <c r="AL523" s="130" t="str">
        <f>IFERROR(__xludf.DUMMYFUNCTION("""COMPUTED_VALUE"""),"tidak balas lagi, fullbooked")</f>
        <v>tidak balas lagi, fullbooked</v>
      </c>
    </row>
    <row r="524">
      <c r="M524" s="270"/>
      <c r="O524" s="271"/>
      <c r="P524" s="271"/>
      <c r="AC524" s="130" t="str">
        <f>IFERROR(__xludf.DUMMYFUNCTION("""COMPUTED_VALUE"""),"2605D139")</f>
        <v>2605D139</v>
      </c>
      <c r="AD524" s="341">
        <f>IFERROR(__xludf.DUMMYFUNCTION("""COMPUTED_VALUE"""),46168.0)</f>
        <v>46168</v>
      </c>
      <c r="AE524" s="130" t="str">
        <f>IFERROR(__xludf.DUMMYFUNCTION("""COMPUTED_VALUE"""),"Blessing")</f>
        <v>Blessing</v>
      </c>
      <c r="AF524" s="130" t="str">
        <f>IFERROR(__xludf.DUMMYFUNCTION("""COMPUTED_VALUE"""),"081337042933")</f>
        <v>081337042933</v>
      </c>
      <c r="AG524" s="130" t="str">
        <f>IFERROR(__xludf.DUMMYFUNCTION("""COMPUTED_VALUE"""),"Gagal")</f>
        <v>Gagal</v>
      </c>
      <c r="AH524" s="130" t="str">
        <f>IFERROR(__xludf.DUMMYFUNCTION("""COMPUTED_VALUE"""),"OT Ijen ")</f>
        <v>OT Ijen </v>
      </c>
      <c r="AI524" s="342">
        <f>IFERROR(__xludf.DUMMYFUNCTION("""COMPUTED_VALUE"""),46171.0)</f>
        <v>46171</v>
      </c>
      <c r="AJ524" s="130">
        <f>IFERROR(__xludf.DUMMYFUNCTION("""COMPUTED_VALUE"""),1.0)</f>
        <v>1</v>
      </c>
      <c r="AK524" s="343"/>
      <c r="AL524" s="130"/>
    </row>
    <row r="525">
      <c r="M525" s="270"/>
      <c r="O525" s="271"/>
      <c r="P525" s="271"/>
      <c r="AC525" s="130" t="str">
        <f>IFERROR(__xludf.DUMMYFUNCTION("""COMPUTED_VALUE"""),"2605D141")</f>
        <v>2605D141</v>
      </c>
      <c r="AD525" s="341">
        <f>IFERROR(__xludf.DUMMYFUNCTION("""COMPUTED_VALUE"""),46168.0)</f>
        <v>46168</v>
      </c>
      <c r="AE525" s="130" t="str">
        <f>IFERROR(__xludf.DUMMYFUNCTION("""COMPUTED_VALUE"""),"Angga ")</f>
        <v>Angga </v>
      </c>
      <c r="AF525" s="130" t="str">
        <f>IFERROR(__xludf.DUMMYFUNCTION("""COMPUTED_VALUE"""),"08115392088")</f>
        <v>08115392088</v>
      </c>
      <c r="AG525" s="130" t="str">
        <f>IFERROR(__xludf.DUMMYFUNCTION("""COMPUTED_VALUE"""),"Gagal")</f>
        <v>Gagal</v>
      </c>
      <c r="AH525" s="130" t="str">
        <f>IFERROR(__xludf.DUMMYFUNCTION("""COMPUTED_VALUE"""),"OT Ijen ")</f>
        <v>OT Ijen </v>
      </c>
      <c r="AI525" s="342"/>
      <c r="AJ525" s="130">
        <f>IFERROR(__xludf.DUMMYFUNCTION("""COMPUTED_VALUE"""),3.0)</f>
        <v>3</v>
      </c>
      <c r="AK525" s="343"/>
      <c r="AL525" s="130" t="str">
        <f>IFERROR(__xludf.DUMMYFUNCTION("""COMPUTED_VALUE"""),"gagall, di fu tidak pernah balas")</f>
        <v>gagall, di fu tidak pernah balas</v>
      </c>
    </row>
    <row r="526">
      <c r="M526" s="270"/>
      <c r="O526" s="271"/>
      <c r="P526" s="271"/>
      <c r="AC526" s="130" t="str">
        <f>IFERROR(__xludf.DUMMYFUNCTION("""COMPUTED_VALUE"""),"2605D143")</f>
        <v>2605D143</v>
      </c>
      <c r="AD526" s="341">
        <f>IFERROR(__xludf.DUMMYFUNCTION("""COMPUTED_VALUE"""),46167.0)</f>
        <v>46167</v>
      </c>
      <c r="AE526" s="130" t="str">
        <f>IFERROR(__xludf.DUMMYFUNCTION("""COMPUTED_VALUE"""),"Dedewww")</f>
        <v>Dedewww</v>
      </c>
      <c r="AF526" s="130" t="str">
        <f>IFERROR(__xludf.DUMMYFUNCTION("""COMPUTED_VALUE"""),"085693602638")</f>
        <v>085693602638</v>
      </c>
      <c r="AG526" s="130" t="str">
        <f>IFERROR(__xludf.DUMMYFUNCTION("""COMPUTED_VALUE"""),"Gagal")</f>
        <v>Gagal</v>
      </c>
      <c r="AH526" s="130"/>
      <c r="AI526" s="342"/>
      <c r="AJ526" s="130"/>
      <c r="AK526" s="343"/>
      <c r="AL526" s="130" t="str">
        <f>IFERROR(__xludf.DUMMYFUNCTION("""COMPUTED_VALUE"""),"sudah fu tidakk balass")</f>
        <v>sudah fu tidakk balass</v>
      </c>
    </row>
    <row r="527">
      <c r="M527" s="270"/>
      <c r="O527" s="271"/>
      <c r="P527" s="271"/>
      <c r="AC527" s="130" t="str">
        <f>IFERROR(__xludf.DUMMYFUNCTION("""COMPUTED_VALUE"""),"2605D144")</f>
        <v>2605D144</v>
      </c>
      <c r="AD527" s="341">
        <f>IFERROR(__xludf.DUMMYFUNCTION("""COMPUTED_VALUE"""),46168.0)</f>
        <v>46168</v>
      </c>
      <c r="AE527" s="130" t="str">
        <f>IFERROR(__xludf.DUMMYFUNCTION("""COMPUTED_VALUE"""),"Ayu Desy")</f>
        <v>Ayu Desy</v>
      </c>
      <c r="AF527" s="130" t="str">
        <f>IFERROR(__xludf.DUMMYFUNCTION("""COMPUTED_VALUE"""),"081345445626")</f>
        <v>081345445626</v>
      </c>
      <c r="AG527" s="130" t="str">
        <f>IFERROR(__xludf.DUMMYFUNCTION("""COMPUTED_VALUE"""),"Gagal")</f>
        <v>Gagal</v>
      </c>
      <c r="AH527" s="130" t="str">
        <f>IFERROR(__xludf.DUMMYFUNCTION("""COMPUTED_VALUE"""),"OT GI ")</f>
        <v>OT GI </v>
      </c>
      <c r="AI527" s="342">
        <f>IFERROR(__xludf.DUMMYFUNCTION("""COMPUTED_VALUE"""),46173.0)</f>
        <v>46173</v>
      </c>
      <c r="AJ527" s="130">
        <f>IFERROR(__xludf.DUMMYFUNCTION("""COMPUTED_VALUE"""),1.0)</f>
        <v>1</v>
      </c>
      <c r="AK527" s="343"/>
      <c r="AL527" s="130" t="str">
        <f>IFERROR(__xludf.DUMMYFUNCTION("""COMPUTED_VALUE"""),"kabarin kalau ada barengan")</f>
        <v>kabarin kalau ada barengan</v>
      </c>
    </row>
    <row r="528">
      <c r="M528" s="270"/>
      <c r="O528" s="271"/>
      <c r="P528" s="271"/>
      <c r="AC528" s="130" t="str">
        <f>IFERROR(__xludf.DUMMYFUNCTION("""COMPUTED_VALUE"""),"2605D146")</f>
        <v>2605D146</v>
      </c>
      <c r="AD528" s="341">
        <f>IFERROR(__xludf.DUMMYFUNCTION("""COMPUTED_VALUE"""),46168.0)</f>
        <v>46168</v>
      </c>
      <c r="AE528" s="130" t="str">
        <f>IFERROR(__xludf.DUMMYFUNCTION("""COMPUTED_VALUE"""),"agunghw25")</f>
        <v>agunghw25</v>
      </c>
      <c r="AF528" s="130" t="str">
        <f>IFERROR(__xludf.DUMMYFUNCTION("""COMPUTED_VALUE"""),"085692467719")</f>
        <v>085692467719</v>
      </c>
      <c r="AG528" s="130" t="str">
        <f>IFERROR(__xludf.DUMMYFUNCTION("""COMPUTED_VALUE"""),"Gagal")</f>
        <v>Gagal</v>
      </c>
      <c r="AH528" s="130" t="str">
        <f>IFERROR(__xludf.DUMMYFUNCTION("""COMPUTED_VALUE"""),"2h1m")</f>
        <v>2h1m</v>
      </c>
      <c r="AI528" s="342">
        <f>IFERROR(__xludf.DUMMYFUNCTION("""COMPUTED_VALUE"""),46171.0)</f>
        <v>46171</v>
      </c>
      <c r="AJ528" s="130">
        <f>IFERROR(__xludf.DUMMYFUNCTION("""COMPUTED_VALUE"""),5.0)</f>
        <v>5</v>
      </c>
      <c r="AK528" s="343"/>
      <c r="AL528" s="130" t="str">
        <f>IFERROR(__xludf.DUMMYFUNCTION("""COMPUTED_VALUE"""),"fullbookedd")</f>
        <v>fullbookedd</v>
      </c>
    </row>
    <row r="529">
      <c r="M529" s="270"/>
      <c r="O529" s="271"/>
      <c r="P529" s="271"/>
      <c r="AC529" s="130" t="str">
        <f>IFERROR(__xludf.DUMMYFUNCTION("""COMPUTED_VALUE"""),"2605D150")</f>
        <v>2605D150</v>
      </c>
      <c r="AD529" s="341">
        <f>IFERROR(__xludf.DUMMYFUNCTION("""COMPUTED_VALUE"""),46169.0)</f>
        <v>46169</v>
      </c>
      <c r="AE529" s="130" t="str">
        <f>IFERROR(__xludf.DUMMYFUNCTION("""COMPUTED_VALUE"""),"Risal kwee")</f>
        <v>Risal kwee</v>
      </c>
      <c r="AF529" s="130" t="str">
        <f>IFERROR(__xludf.DUMMYFUNCTION("""COMPUTED_VALUE"""),"08977280909")</f>
        <v>08977280909</v>
      </c>
      <c r="AG529" s="130" t="str">
        <f>IFERROR(__xludf.DUMMYFUNCTION("""COMPUTED_VALUE"""),"Gagal")</f>
        <v>Gagal</v>
      </c>
      <c r="AH529" s="130" t="str">
        <f>IFERROR(__xludf.DUMMYFUNCTION("""COMPUTED_VALUE"""),"OT 3H2M ")</f>
        <v>OT 3H2M </v>
      </c>
      <c r="AI529" s="342">
        <f>IFERROR(__xludf.DUMMYFUNCTION("""COMPUTED_VALUE"""),46171.0)</f>
        <v>46171</v>
      </c>
      <c r="AJ529" s="130">
        <f>IFERROR(__xludf.DUMMYFUNCTION("""COMPUTED_VALUE"""),2.0)</f>
        <v>2</v>
      </c>
      <c r="AK529" s="343"/>
      <c r="AL529" s="130" t="str">
        <f>IFERROR(__xludf.DUMMYFUNCTION("""COMPUTED_VALUE"""),"fullbookeedddd")</f>
        <v>fullbookeedddd</v>
      </c>
    </row>
    <row r="530">
      <c r="M530" s="270"/>
      <c r="O530" s="271"/>
      <c r="P530" s="271"/>
      <c r="AC530" s="130" t="str">
        <f>IFERROR(__xludf.DUMMYFUNCTION("""COMPUTED_VALUE"""),"2605D151")</f>
        <v>2605D151</v>
      </c>
      <c r="AD530" s="341">
        <f>IFERROR(__xludf.DUMMYFUNCTION("""COMPUTED_VALUE"""),46169.0)</f>
        <v>46169</v>
      </c>
      <c r="AE530" s="130" t="str">
        <f>IFERROR(__xludf.DUMMYFUNCTION("""COMPUTED_VALUE"""),"Octavishanta")</f>
        <v>Octavishanta</v>
      </c>
      <c r="AF530" s="130" t="str">
        <f>IFERROR(__xludf.DUMMYFUNCTION("""COMPUTED_VALUE"""),"085871964453")</f>
        <v>085871964453</v>
      </c>
      <c r="AG530" s="130" t="str">
        <f>IFERROR(__xludf.DUMMYFUNCTION("""COMPUTED_VALUE"""),"Gagal")</f>
        <v>Gagal</v>
      </c>
      <c r="AH530" s="130" t="str">
        <f>IFERROR(__xludf.DUMMYFUNCTION("""COMPUTED_VALUE"""),"OT MT")</f>
        <v>OT MT</v>
      </c>
      <c r="AI530" s="342"/>
      <c r="AJ530" s="130">
        <f>IFERROR(__xludf.DUMMYFUNCTION("""COMPUTED_VALUE"""),2.0)</f>
        <v>2</v>
      </c>
      <c r="AK530" s="343"/>
      <c r="AL530" s="130" t="str">
        <f>IFERROR(__xludf.DUMMYFUNCTION("""COMPUTED_VALUE"""),"FU 30 Mei ")</f>
        <v>FU 30 Mei </v>
      </c>
    </row>
    <row r="531">
      <c r="M531" s="270"/>
      <c r="O531" s="271"/>
      <c r="P531" s="271"/>
      <c r="AC531" s="130" t="str">
        <f>IFERROR(__xludf.DUMMYFUNCTION("""COMPUTED_VALUE"""),"2605d152")</f>
        <v>2605d152</v>
      </c>
      <c r="AD531" s="341">
        <f>IFERROR(__xludf.DUMMYFUNCTION("""COMPUTED_VALUE"""),46169.0)</f>
        <v>46169</v>
      </c>
      <c r="AE531" s="130" t="str">
        <f>IFERROR(__xludf.DUMMYFUNCTION("""COMPUTED_VALUE"""),"No Name MT")</f>
        <v>No Name MT</v>
      </c>
      <c r="AF531" s="130" t="str">
        <f>IFERROR(__xludf.DUMMYFUNCTION("""COMPUTED_VALUE"""),"08990300975")</f>
        <v>08990300975</v>
      </c>
      <c r="AG531" s="130" t="str">
        <f>IFERROR(__xludf.DUMMYFUNCTION("""COMPUTED_VALUE"""),"Gagal")</f>
        <v>Gagal</v>
      </c>
      <c r="AH531" s="130" t="str">
        <f>IFERROR(__xludf.DUMMYFUNCTION("""COMPUTED_VALUE"""),"OT MT")</f>
        <v>OT MT</v>
      </c>
      <c r="AI531" s="342">
        <f>IFERROR(__xludf.DUMMYFUNCTION("""COMPUTED_VALUE"""),46171.0)</f>
        <v>46171</v>
      </c>
      <c r="AJ531" s="130">
        <f>IFERROR(__xludf.DUMMYFUNCTION("""COMPUTED_VALUE"""),2.0)</f>
        <v>2</v>
      </c>
      <c r="AK531" s="343"/>
      <c r="AL531" s="130" t="str">
        <f>IFERROR(__xludf.DUMMYFUNCTION("""COMPUTED_VALUE"""),"fullbookedd")</f>
        <v>fullbookedd</v>
      </c>
    </row>
    <row r="532">
      <c r="M532" s="270"/>
      <c r="O532" s="271"/>
      <c r="P532" s="271"/>
      <c r="AC532" s="130" t="str">
        <f>IFERROR(__xludf.DUMMYFUNCTION("""COMPUTED_VALUE"""),"2605D154")</f>
        <v>2605D154</v>
      </c>
      <c r="AD532" s="341">
        <f>IFERROR(__xludf.DUMMYFUNCTION("""COMPUTED_VALUE"""),46170.0)</f>
        <v>46170</v>
      </c>
      <c r="AE532" s="130" t="str">
        <f>IFERROR(__xludf.DUMMYFUNCTION("""COMPUTED_VALUE"""),"Aldino yurizal")</f>
        <v>Aldino yurizal</v>
      </c>
      <c r="AF532" s="130" t="str">
        <f>IFERROR(__xludf.DUMMYFUNCTION("""COMPUTED_VALUE"""),"081280404715")</f>
        <v>081280404715</v>
      </c>
      <c r="AG532" s="130" t="str">
        <f>IFERROR(__xludf.DUMMYFUNCTION("""COMPUTED_VALUE"""),"Gagal")</f>
        <v>Gagal</v>
      </c>
      <c r="AH532" s="130" t="str">
        <f>IFERROR(__xludf.DUMMYFUNCTION("""COMPUTED_VALUE"""),"OT 3H2M ")</f>
        <v>OT 3H2M </v>
      </c>
      <c r="AI532" s="342">
        <f>IFERROR(__xludf.DUMMYFUNCTION("""COMPUTED_VALUE"""),46172.0)</f>
        <v>46172</v>
      </c>
      <c r="AJ532" s="130">
        <f>IFERROR(__xludf.DUMMYFUNCTION("""COMPUTED_VALUE"""),2.0)</f>
        <v>2</v>
      </c>
      <c r="AK532" s="343"/>
      <c r="AL532" s="130" t="str">
        <f>IFERROR(__xludf.DUMMYFUNCTION("""COMPUTED_VALUE"""),"fuulbookedd")</f>
        <v>fuulbookedd</v>
      </c>
    </row>
    <row r="533">
      <c r="M533" s="270"/>
      <c r="O533" s="271"/>
      <c r="P533" s="271"/>
      <c r="AC533" s="130" t="str">
        <f>IFERROR(__xludf.DUMMYFUNCTION("""COMPUTED_VALUE"""),"2605D155")</f>
        <v>2605D155</v>
      </c>
      <c r="AD533" s="341">
        <f>IFERROR(__xludf.DUMMYFUNCTION("""COMPUTED_VALUE"""),46170.0)</f>
        <v>46170</v>
      </c>
      <c r="AE533" s="130" t="str">
        <f>IFERROR(__xludf.DUMMYFUNCTION("""COMPUTED_VALUE"""),"Nabilazaein")</f>
        <v>Nabilazaein</v>
      </c>
      <c r="AF533" s="130" t="str">
        <f>IFERROR(__xludf.DUMMYFUNCTION("""COMPUTED_VALUE"""),"082233703699")</f>
        <v>082233703699</v>
      </c>
      <c r="AG533" s="130" t="str">
        <f>IFERROR(__xludf.DUMMYFUNCTION("""COMPUTED_VALUE"""),"Gagal")</f>
        <v>Gagal</v>
      </c>
      <c r="AH533" s="130" t="str">
        <f>IFERROR(__xludf.DUMMYFUNCTION("""COMPUTED_VALUE"""),"OT MT")</f>
        <v>OT MT</v>
      </c>
      <c r="AI533" s="342">
        <f>IFERROR(__xludf.DUMMYFUNCTION("""COMPUTED_VALUE"""),46172.0)</f>
        <v>46172</v>
      </c>
      <c r="AJ533" s="130"/>
      <c r="AK533" s="343"/>
      <c r="AL533" s="130" t="str">
        <f>IFERROR(__xludf.DUMMYFUNCTION("""COMPUTED_VALUE"""),"fuulbookedd")</f>
        <v>fuulbookedd</v>
      </c>
    </row>
    <row r="534">
      <c r="M534" s="270"/>
      <c r="O534" s="271"/>
      <c r="P534" s="271"/>
      <c r="AC534" s="130" t="str">
        <f>IFERROR(__xludf.DUMMYFUNCTION("""COMPUTED_VALUE"""),"2605D156")</f>
        <v>2605D156</v>
      </c>
      <c r="AD534" s="341">
        <f>IFERROR(__xludf.DUMMYFUNCTION("""COMPUTED_VALUE"""),46170.0)</f>
        <v>46170</v>
      </c>
      <c r="AE534" s="130" t="str">
        <f>IFERROR(__xludf.DUMMYFUNCTION("""COMPUTED_VALUE"""),"Wawan Abner")</f>
        <v>Wawan Abner</v>
      </c>
      <c r="AF534" s="130" t="str">
        <f>IFERROR(__xludf.DUMMYFUNCTION("""COMPUTED_VALUE"""),"082216210536")</f>
        <v>082216210536</v>
      </c>
      <c r="AG534" s="130" t="str">
        <f>IFERROR(__xludf.DUMMYFUNCTION("""COMPUTED_VALUE"""),"Gagal")</f>
        <v>Gagal</v>
      </c>
      <c r="AH534" s="130" t="str">
        <f>IFERROR(__xludf.DUMMYFUNCTION("""COMPUTED_VALUE"""),"OT MT")</f>
        <v>OT MT</v>
      </c>
      <c r="AI534" s="342">
        <f>IFERROR(__xludf.DUMMYFUNCTION("""COMPUTED_VALUE"""),46172.0)</f>
        <v>46172</v>
      </c>
      <c r="AJ534" s="130"/>
      <c r="AK534" s="343"/>
      <c r="AL534" s="130" t="str">
        <f>IFERROR(__xludf.DUMMYFUNCTION("""COMPUTED_VALUE"""),"fuulbookedd")</f>
        <v>fuulbookedd</v>
      </c>
    </row>
    <row r="535">
      <c r="M535" s="270"/>
      <c r="O535" s="271"/>
      <c r="P535" s="271"/>
      <c r="AC535" s="130" t="str">
        <f>IFERROR(__xludf.DUMMYFUNCTION("""COMPUTED_VALUE"""),"2605D160")</f>
        <v>2605D160</v>
      </c>
      <c r="AD535" s="341">
        <f>IFERROR(__xludf.DUMMYFUNCTION("""COMPUTED_VALUE"""),46170.0)</f>
        <v>46170</v>
      </c>
      <c r="AE535" s="130" t="str">
        <f>IFERROR(__xludf.DUMMYFUNCTION("""COMPUTED_VALUE"""),"Tatat Permana")</f>
        <v>Tatat Permana</v>
      </c>
      <c r="AF535" s="130" t="str">
        <f>IFERROR(__xludf.DUMMYFUNCTION("""COMPUTED_VALUE"""),"081282904213")</f>
        <v>081282904213</v>
      </c>
      <c r="AG535" s="130" t="str">
        <f>IFERROR(__xludf.DUMMYFUNCTION("""COMPUTED_VALUE"""),"Gagal")</f>
        <v>Gagal</v>
      </c>
      <c r="AH535" s="130" t="str">
        <f>IFERROR(__xludf.DUMMYFUNCTION("""COMPUTED_VALUE"""),"trip MT")</f>
        <v>trip MT</v>
      </c>
      <c r="AI535" s="342">
        <f>IFERROR(__xludf.DUMMYFUNCTION("""COMPUTED_VALUE"""),46171.0)</f>
        <v>46171</v>
      </c>
      <c r="AJ535" s="130"/>
      <c r="AK535" s="343"/>
      <c r="AL535" s="130" t="str">
        <f>IFERROR(__xludf.DUMMYFUNCTION("""COMPUTED_VALUE"""),"fullbooked")</f>
        <v>fullbooked</v>
      </c>
    </row>
    <row r="536">
      <c r="M536" s="270"/>
      <c r="O536" s="271"/>
      <c r="P536" s="271"/>
      <c r="AC536" s="130" t="str">
        <f>IFERROR(__xludf.DUMMYFUNCTION("""COMPUTED_VALUE"""),"2605D166")</f>
        <v>2605D166</v>
      </c>
      <c r="AD536" s="341">
        <f>IFERROR(__xludf.DUMMYFUNCTION("""COMPUTED_VALUE"""),46172.0)</f>
        <v>46172</v>
      </c>
      <c r="AE536" s="130" t="str">
        <f>IFERROR(__xludf.DUMMYFUNCTION("""COMPUTED_VALUE"""),"Nofia Erika Putri")</f>
        <v>Nofia Erika Putri</v>
      </c>
      <c r="AF536" s="130" t="str">
        <f>IFERROR(__xludf.DUMMYFUNCTION("""COMPUTED_VALUE"""),"0895334131967")</f>
        <v>0895334131967</v>
      </c>
      <c r="AG536" s="130" t="str">
        <f>IFERROR(__xludf.DUMMYFUNCTION("""COMPUTED_VALUE"""),"Gagal")</f>
        <v>Gagal</v>
      </c>
      <c r="AH536" s="130" t="str">
        <f>IFERROR(__xludf.DUMMYFUNCTION("""COMPUTED_VALUE"""),"jetski Tabuhan")</f>
        <v>jetski Tabuhan</v>
      </c>
      <c r="AI536" s="342">
        <f>IFERROR(__xludf.DUMMYFUNCTION("""COMPUTED_VALUE"""),46174.0)</f>
        <v>46174</v>
      </c>
      <c r="AJ536" s="130"/>
      <c r="AK536" s="343"/>
      <c r="AL536" s="130" t="str">
        <f>IFERROR(__xludf.DUMMYFUNCTION("""COMPUTED_VALUE"""),"masih ditanyakan")</f>
        <v>masih ditanyakan</v>
      </c>
    </row>
    <row r="537">
      <c r="M537" s="270"/>
      <c r="O537" s="271"/>
      <c r="P537" s="271"/>
      <c r="AC537" s="130" t="str">
        <f>IFERROR(__xludf.DUMMYFUNCTION("""COMPUTED_VALUE"""),"2605D167")</f>
        <v>2605D167</v>
      </c>
      <c r="AD537" s="341">
        <f>IFERROR(__xludf.DUMMYFUNCTION("""COMPUTED_VALUE"""),46172.0)</f>
        <v>46172</v>
      </c>
      <c r="AE537" s="130" t="str">
        <f>IFERROR(__xludf.DUMMYFUNCTION("""COMPUTED_VALUE"""),"Risa   ")</f>
        <v>Risa   </v>
      </c>
      <c r="AF537" s="130" t="str">
        <f>IFERROR(__xludf.DUMMYFUNCTION("""COMPUTED_VALUE"""),"085692525245")</f>
        <v>085692525245</v>
      </c>
      <c r="AG537" s="130" t="str">
        <f>IFERROR(__xludf.DUMMYFUNCTION("""COMPUTED_VALUE"""),"Gagal")</f>
        <v>Gagal</v>
      </c>
      <c r="AH537" s="130" t="str">
        <f>IFERROR(__xludf.DUMMYFUNCTION("""COMPUTED_VALUE"""),"OT MT")</f>
        <v>OT MT</v>
      </c>
      <c r="AI537" s="342"/>
      <c r="AJ537" s="130">
        <f>IFERROR(__xludf.DUMMYFUNCTION("""COMPUTED_VALUE"""),2.0)</f>
        <v>2</v>
      </c>
      <c r="AK537" s="343"/>
      <c r="AL537" s="130" t="str">
        <f>IFERROR(__xludf.DUMMYFUNCTION("""COMPUTED_VALUE"""),"fullbooked")</f>
        <v>fullbooked</v>
      </c>
    </row>
    <row r="538">
      <c r="M538" s="270"/>
      <c r="O538" s="271"/>
      <c r="P538" s="271"/>
      <c r="AC538" s="130" t="str">
        <f>IFERROR(__xludf.DUMMYFUNCTION("""COMPUTED_VALUE"""),"2605D174")</f>
        <v>2605D174</v>
      </c>
      <c r="AD538" s="341">
        <f>IFERROR(__xludf.DUMMYFUNCTION("""COMPUTED_VALUE"""),46173.0)</f>
        <v>46173</v>
      </c>
      <c r="AE538" s="130" t="str">
        <f>IFERROR(__xludf.DUMMYFUNCTION("""COMPUTED_VALUE"""),"Lili Nugroho")</f>
        <v>Lili Nugroho</v>
      </c>
      <c r="AF538" s="130" t="str">
        <f>IFERROR(__xludf.DUMMYFUNCTION("""COMPUTED_VALUE"""),"087860091492")</f>
        <v>087860091492</v>
      </c>
      <c r="AG538" s="130" t="str">
        <f>IFERROR(__xludf.DUMMYFUNCTION("""COMPUTED_VALUE"""),"Gagal")</f>
        <v>Gagal</v>
      </c>
      <c r="AH538" s="130" t="str">
        <f>IFERROR(__xludf.DUMMYFUNCTION("""COMPUTED_VALUE"""),"trip Baluran")</f>
        <v>trip Baluran</v>
      </c>
      <c r="AI538" s="342">
        <f>IFERROR(__xludf.DUMMYFUNCTION("""COMPUTED_VALUE"""),46173.0)</f>
        <v>46173</v>
      </c>
      <c r="AJ538" s="130">
        <f>IFERROR(__xludf.DUMMYFUNCTION("""COMPUTED_VALUE"""),2.0)</f>
        <v>2</v>
      </c>
      <c r="AK538" s="343"/>
      <c r="AL538" s="130" t="str">
        <f>IFERROR(__xludf.DUMMYFUNCTION("""COMPUTED_VALUE"""),"gagalll, gajadi ke Baluran")</f>
        <v>gagalll, gajadi ke Baluran</v>
      </c>
    </row>
    <row r="539">
      <c r="M539" s="270"/>
      <c r="O539" s="271"/>
      <c r="P539" s="271"/>
      <c r="AC539" s="130" t="str">
        <f>IFERROR(__xludf.DUMMYFUNCTION("""COMPUTED_VALUE"""),"2605D176")</f>
        <v>2605D176</v>
      </c>
      <c r="AD539" s="341">
        <f>IFERROR(__xludf.DUMMYFUNCTION("""COMPUTED_VALUE"""),46173.0)</f>
        <v>46173</v>
      </c>
      <c r="AE539" s="130" t="str">
        <f>IFERROR(__xludf.DUMMYFUNCTION("""COMPUTED_VALUE"""),"Rnl")</f>
        <v>Rnl</v>
      </c>
      <c r="AF539" s="130" t="str">
        <f>IFERROR(__xludf.DUMMYFUNCTION("""COMPUTED_VALUE"""),"081252222769")</f>
        <v>081252222769</v>
      </c>
      <c r="AG539" s="130" t="str">
        <f>IFERROR(__xludf.DUMMYFUNCTION("""COMPUTED_VALUE"""),"Gagal")</f>
        <v>Gagal</v>
      </c>
      <c r="AH539" s="130" t="str">
        <f>IFERROR(__xludf.DUMMYFUNCTION("""COMPUTED_VALUE"""),"PT MT sunrise")</f>
        <v>PT MT sunrise</v>
      </c>
      <c r="AI539" s="342">
        <f>IFERROR(__xludf.DUMMYFUNCTION("""COMPUTED_VALUE"""),46177.0)</f>
        <v>46177</v>
      </c>
      <c r="AJ539" s="130">
        <f>IFERROR(__xludf.DUMMYFUNCTION("""COMPUTED_VALUE"""),2.0)</f>
        <v>2</v>
      </c>
      <c r="AK539" s="343"/>
      <c r="AL539" s="130" t="str">
        <f>IFERROR(__xludf.DUMMYFUNCTION("""COMPUTED_VALUE"""),"belum baas lagi, FU 2 Juni")</f>
        <v>belum baas lagi, FU 2 Juni</v>
      </c>
    </row>
    <row r="540">
      <c r="M540" s="270"/>
      <c r="O540" s="271"/>
      <c r="P540" s="271"/>
      <c r="AC540" s="130" t="str">
        <f>IFERROR(__xludf.DUMMYFUNCTION("""COMPUTED_VALUE"""),"2606D001")</f>
        <v>2606D001</v>
      </c>
      <c r="AD540" s="341">
        <f>IFERROR(__xludf.DUMMYFUNCTION("""COMPUTED_VALUE"""),46174.0)</f>
        <v>46174</v>
      </c>
      <c r="AE540" s="130" t="str">
        <f>IFERROR(__xludf.DUMMYFUNCTION("""COMPUTED_VALUE"""),"Ilma Anisa")</f>
        <v>Ilma Anisa</v>
      </c>
      <c r="AF540" s="130" t="str">
        <f>IFERROR(__xludf.DUMMYFUNCTION("""COMPUTED_VALUE"""),"081227619883")</f>
        <v>081227619883</v>
      </c>
      <c r="AG540" s="130" t="str">
        <f>IFERROR(__xludf.DUMMYFUNCTION("""COMPUTED_VALUE"""),"Gagal")</f>
        <v>Gagal</v>
      </c>
      <c r="AH540" s="130" t="str">
        <f>IFERROR(__xludf.DUMMYFUNCTION("""COMPUTED_VALUE"""),"OT MT")</f>
        <v>OT MT</v>
      </c>
      <c r="AI540" s="342">
        <f>IFERROR(__xludf.DUMMYFUNCTION("""COMPUTED_VALUE"""),46183.0)</f>
        <v>46183</v>
      </c>
      <c r="AJ540" s="130">
        <f>IFERROR(__xludf.DUMMYFUNCTION("""COMPUTED_VALUE"""),2.0)</f>
        <v>2</v>
      </c>
      <c r="AK540" s="343"/>
      <c r="AL540" s="130" t="str">
        <f>IFERROR(__xludf.DUMMYFUNCTION("""COMPUTED_VALUE"""),"diskus dulu, FU 2Juni")</f>
        <v>diskus dulu, FU 2Juni</v>
      </c>
    </row>
    <row r="541">
      <c r="M541" s="270"/>
      <c r="O541" s="271"/>
      <c r="P541" s="271"/>
      <c r="AC541" s="130" t="str">
        <f>IFERROR(__xludf.DUMMYFUNCTION("""COMPUTED_VALUE"""),"2606D003")</f>
        <v>2606D003</v>
      </c>
      <c r="AD541" s="341">
        <f>IFERROR(__xludf.DUMMYFUNCTION("""COMPUTED_VALUE"""),46174.0)</f>
        <v>46174</v>
      </c>
      <c r="AE541" s="130" t="str">
        <f>IFERROR(__xludf.DUMMYFUNCTION("""COMPUTED_VALUE"""),"Novaria Indra")</f>
        <v>Novaria Indra</v>
      </c>
      <c r="AF541" s="130" t="str">
        <f>IFERROR(__xludf.DUMMYFUNCTION("""COMPUTED_VALUE"""),"08977176449")</f>
        <v>08977176449</v>
      </c>
      <c r="AG541" s="130" t="str">
        <f>IFERROR(__xludf.DUMMYFUNCTION("""COMPUTED_VALUE"""),"Gagal")</f>
        <v>Gagal</v>
      </c>
      <c r="AH541" s="130"/>
      <c r="AI541" s="342"/>
      <c r="AJ541" s="130"/>
      <c r="AK541" s="343"/>
      <c r="AL541" s="130" t="str">
        <f>IFERROR(__xludf.DUMMYFUNCTION("""COMPUTED_VALUE"""),"gagalll, minta transportasinya sajaaa")</f>
        <v>gagalll, minta transportasinya sajaaa</v>
      </c>
    </row>
    <row r="542">
      <c r="M542" s="270"/>
      <c r="O542" s="271"/>
      <c r="P542" s="271"/>
      <c r="AC542" s="130" t="str">
        <f>IFERROR(__xludf.DUMMYFUNCTION("""COMPUTED_VALUE"""),"2606D004")</f>
        <v>2606D004</v>
      </c>
      <c r="AD542" s="341">
        <f>IFERROR(__xludf.DUMMYFUNCTION("""COMPUTED_VALUE"""),46174.0)</f>
        <v>46174</v>
      </c>
      <c r="AE542" s="130" t="str">
        <f>IFERROR(__xludf.DUMMYFUNCTION("""COMPUTED_VALUE"""),"Steffen Miething")</f>
        <v>Steffen Miething</v>
      </c>
      <c r="AF542" s="130" t="str">
        <f>IFERROR(__xludf.DUMMYFUNCTION("""COMPUTED_VALUE"""),"491757366094")</f>
        <v>491757366094</v>
      </c>
      <c r="AG542" s="130" t="str">
        <f>IFERROR(__xludf.DUMMYFUNCTION("""COMPUTED_VALUE"""),"Gagal")</f>
        <v>Gagal</v>
      </c>
      <c r="AH542" s="130"/>
      <c r="AI542" s="342"/>
      <c r="AJ542" s="130"/>
      <c r="AK542" s="343"/>
      <c r="AL542" s="130" t="str">
        <f>IFERROR(__xludf.DUMMYFUNCTION("""COMPUTED_VALUE"""),"gagalll, minta transportasinya sajaaa")</f>
        <v>gagalll, minta transportasinya sajaaa</v>
      </c>
    </row>
    <row r="543">
      <c r="M543" s="270"/>
      <c r="O543" s="271"/>
      <c r="P543" s="271"/>
      <c r="AC543" s="130" t="str">
        <f>IFERROR(__xludf.DUMMYFUNCTION("""COMPUTED_VALUE"""),"2606D007")</f>
        <v>2606D007</v>
      </c>
      <c r="AD543" s="341">
        <f>IFERROR(__xludf.DUMMYFUNCTION("""COMPUTED_VALUE"""),46175.0)</f>
        <v>46175</v>
      </c>
      <c r="AE543" s="130" t="str">
        <f>IFERROR(__xludf.DUMMYFUNCTION("""COMPUTED_VALUE"""),"Kezia Ayu ")</f>
        <v>Kezia Ayu </v>
      </c>
      <c r="AF543" s="130" t="str">
        <f>IFERROR(__xludf.DUMMYFUNCTION("""COMPUTED_VALUE"""),"081228521096")</f>
        <v>081228521096</v>
      </c>
      <c r="AG543" s="130" t="str">
        <f>IFERROR(__xludf.DUMMYFUNCTION("""COMPUTED_VALUE"""),"Gagal")</f>
        <v>Gagal</v>
      </c>
      <c r="AH543" s="130" t="str">
        <f>IFERROR(__xludf.DUMMYFUNCTION("""COMPUTED_VALUE"""),"OT 3H2M ")</f>
        <v>OT 3H2M </v>
      </c>
      <c r="AI543" s="342"/>
      <c r="AJ543" s="130"/>
      <c r="AK543" s="343"/>
      <c r="AL543" s="130" t="str">
        <f>IFERROR(__xludf.DUMMYFUNCTION("""COMPUTED_VALUE"""),"gagalll")</f>
        <v>gagalll</v>
      </c>
    </row>
    <row r="544">
      <c r="M544" s="270"/>
      <c r="O544" s="271"/>
      <c r="P544" s="271"/>
      <c r="AC544" s="130" t="str">
        <f>IFERROR(__xludf.DUMMYFUNCTION("""COMPUTED_VALUE"""),"2606D012")</f>
        <v>2606D012</v>
      </c>
      <c r="AD544" s="341">
        <f>IFERROR(__xludf.DUMMYFUNCTION("""COMPUTED_VALUE"""),46175.0)</f>
        <v>46175</v>
      </c>
      <c r="AE544" s="130" t="str">
        <f>IFERROR(__xludf.DUMMYFUNCTION("""COMPUTED_VALUE"""),"Aye")</f>
        <v>Aye</v>
      </c>
      <c r="AF544" s="130" t="str">
        <f>IFERROR(__xludf.DUMMYFUNCTION("""COMPUTED_VALUE"""),"085141170283")</f>
        <v>085141170283</v>
      </c>
      <c r="AG544" s="130" t="str">
        <f>IFERROR(__xludf.DUMMYFUNCTION("""COMPUTED_VALUE"""),"Gagal")</f>
        <v>Gagal</v>
      </c>
      <c r="AH544" s="130" t="str">
        <f>IFERROR(__xludf.DUMMYFUNCTION("""COMPUTED_VALUE"""),"ot menjangan tabuhan")</f>
        <v>ot menjangan tabuhan</v>
      </c>
      <c r="AI544" s="342"/>
      <c r="AJ544" s="130"/>
      <c r="AK544" s="343"/>
      <c r="AL544" s="130" t="str">
        <f>IFERROR(__xludf.DUMMYFUNCTION("""COMPUTED_VALUE"""),"FU 7 Juni")</f>
        <v>FU 7 Juni</v>
      </c>
    </row>
    <row r="545">
      <c r="M545" s="270"/>
      <c r="O545" s="271"/>
      <c r="P545" s="271"/>
      <c r="AC545" s="130" t="str">
        <f>IFERROR(__xludf.DUMMYFUNCTION("""COMPUTED_VALUE"""),"2606D018")</f>
        <v>2606D018</v>
      </c>
      <c r="AD545" s="341">
        <f>IFERROR(__xludf.DUMMYFUNCTION("""COMPUTED_VALUE"""),46176.0)</f>
        <v>46176</v>
      </c>
      <c r="AE545" s="130" t="str">
        <f>IFERROR(__xludf.DUMMYFUNCTION("""COMPUTED_VALUE"""),"SMK Telkom")</f>
        <v>SMK Telkom</v>
      </c>
      <c r="AF545" s="130" t="str">
        <f>IFERROR(__xludf.DUMMYFUNCTION("""COMPUTED_VALUE"""),"08111701157")</f>
        <v>08111701157</v>
      </c>
      <c r="AG545" s="130" t="str">
        <f>IFERROR(__xludf.DUMMYFUNCTION("""COMPUTED_VALUE"""),"Gagal")</f>
        <v>Gagal</v>
      </c>
      <c r="AH545" s="130" t="str">
        <f>IFERROR(__xludf.DUMMYFUNCTION("""COMPUTED_VALUE"""),"3h2m")</f>
        <v>3h2m</v>
      </c>
      <c r="AI545" s="342"/>
      <c r="AJ545" s="130">
        <f>IFERROR(__xludf.DUMMYFUNCTION("""COMPUTED_VALUE"""),80.0)</f>
        <v>80</v>
      </c>
      <c r="AK545" s="343"/>
      <c r="AL545" s="130" t="str">
        <f>IFERROR(__xludf.DUMMYFUNCTION("""COMPUTED_VALUE"""),"gagalll, jadi liburan ke bandung")</f>
        <v>gagalll, jadi liburan ke bandung</v>
      </c>
    </row>
    <row r="546">
      <c r="M546" s="270"/>
      <c r="O546" s="271"/>
      <c r="P546" s="271"/>
      <c r="AC546" s="130" t="str">
        <f>IFERROR(__xludf.DUMMYFUNCTION("""COMPUTED_VALUE"""),"2606D040")</f>
        <v>2606D040</v>
      </c>
      <c r="AD546" s="341">
        <f>IFERROR(__xludf.DUMMYFUNCTION("""COMPUTED_VALUE"""),46178.0)</f>
        <v>46178</v>
      </c>
      <c r="AE546" s="130" t="str">
        <f>IFERROR(__xludf.DUMMYFUNCTION("""COMPUTED_VALUE"""),"propertybanten")</f>
        <v>propertybanten</v>
      </c>
      <c r="AF546" s="130" t="str">
        <f>IFERROR(__xludf.DUMMYFUNCTION("""COMPUTED_VALUE"""),"085894302364")</f>
        <v>085894302364</v>
      </c>
      <c r="AG546" s="130" t="str">
        <f>IFERROR(__xludf.DUMMYFUNCTION("""COMPUTED_VALUE"""),"Gagal")</f>
        <v>Gagal</v>
      </c>
      <c r="AH546" s="130" t="str">
        <f>IFERROR(__xludf.DUMMYFUNCTION("""COMPUTED_VALUE"""),"trip pulau bedil")</f>
        <v>trip pulau bedil</v>
      </c>
      <c r="AI546" s="342">
        <f>IFERROR(__xludf.DUMMYFUNCTION("""COMPUTED_VALUE"""),46178.0)</f>
        <v>46178</v>
      </c>
      <c r="AJ546" s="130">
        <f>IFERROR(__xludf.DUMMYFUNCTION("""COMPUTED_VALUE"""),1.0)</f>
        <v>1</v>
      </c>
      <c r="AK546" s="343"/>
      <c r="AL546" s="130" t="str">
        <f>IFERROR(__xludf.DUMMYFUNCTION("""COMPUTED_VALUE"""),"gagalll, tidak ada pendaftar lain")</f>
        <v>gagalll, tidak ada pendaftar lain</v>
      </c>
    </row>
    <row r="547">
      <c r="M547" s="270"/>
      <c r="O547" s="271"/>
      <c r="P547" s="271"/>
      <c r="AC547" s="130" t="str">
        <f>IFERROR(__xludf.DUMMYFUNCTION("""COMPUTED_VALUE"""),"2606D048")</f>
        <v>2606D048</v>
      </c>
      <c r="AD547" s="341">
        <f>IFERROR(__xludf.DUMMYFUNCTION("""COMPUTED_VALUE"""),46179.0)</f>
        <v>46179</v>
      </c>
      <c r="AE547" s="130" t="str">
        <f>IFERROR(__xludf.DUMMYFUNCTION("""COMPUTED_VALUE"""),"Justine")</f>
        <v>Justine</v>
      </c>
      <c r="AF547" s="130" t="str">
        <f>IFERROR(__xludf.DUMMYFUNCTION("""COMPUTED_VALUE"""),"33633053357")</f>
        <v>33633053357</v>
      </c>
      <c r="AG547" s="130" t="str">
        <f>IFERROR(__xludf.DUMMYFUNCTION("""COMPUTED_VALUE"""),"Gagal")</f>
        <v>Gagal</v>
      </c>
      <c r="AH547" s="130" t="str">
        <f>IFERROR(__xludf.DUMMYFUNCTION("""COMPUTED_VALUE"""),"trip kawah ijen")</f>
        <v>trip kawah ijen</v>
      </c>
      <c r="AI547" s="342">
        <f>IFERROR(__xludf.DUMMYFUNCTION("""COMPUTED_VALUE"""),46184.0)</f>
        <v>46184</v>
      </c>
      <c r="AJ547" s="130">
        <f>IFERROR(__xludf.DUMMYFUNCTION("""COMPUTED_VALUE"""),2.0)</f>
        <v>2</v>
      </c>
      <c r="AK547" s="343"/>
      <c r="AL547" s="130" t="str">
        <f>IFERROR(__xludf.DUMMYFUNCTION("""COMPUTED_VALUE"""),"FU 8 Juni")</f>
        <v>FU 8 Juni</v>
      </c>
    </row>
    <row r="548">
      <c r="M548" s="270"/>
      <c r="O548" s="271"/>
      <c r="P548" s="271"/>
      <c r="AC548" s="130" t="str">
        <f>IFERROR(__xludf.DUMMYFUNCTION("""COMPUTED_VALUE"""),"2606D060")</f>
        <v>2606D060</v>
      </c>
      <c r="AD548" s="341">
        <f>IFERROR(__xludf.DUMMYFUNCTION("""COMPUTED_VALUE"""),46181.0)</f>
        <v>46181</v>
      </c>
      <c r="AE548" s="130" t="str">
        <f>IFERROR(__xludf.DUMMYFUNCTION("""COMPUTED_VALUE"""),"Yuliana Melani")</f>
        <v>Yuliana Melani</v>
      </c>
      <c r="AF548" s="130" t="str">
        <f>IFERROR(__xludf.DUMMYFUNCTION("""COMPUTED_VALUE"""),"089680857762")</f>
        <v>089680857762</v>
      </c>
      <c r="AG548" s="130" t="str">
        <f>IFERROR(__xludf.DUMMYFUNCTION("""COMPUTED_VALUE"""),"Gagal")</f>
        <v>Gagal</v>
      </c>
      <c r="AH548" s="130" t="str">
        <f>IFERROR(__xludf.DUMMYFUNCTION("""COMPUTED_VALUE"""),"OT MT ")</f>
        <v>OT MT </v>
      </c>
      <c r="AI548" s="342">
        <f>IFERROR(__xludf.DUMMYFUNCTION("""COMPUTED_VALUE"""),46186.0)</f>
        <v>46186</v>
      </c>
      <c r="AJ548" s="130">
        <f>IFERROR(__xludf.DUMMYFUNCTION("""COMPUTED_VALUE"""),9.0)</f>
        <v>9</v>
      </c>
      <c r="AK548" s="343"/>
      <c r="AL548" s="130"/>
    </row>
    <row r="549">
      <c r="M549" s="270"/>
      <c r="O549" s="271"/>
      <c r="P549" s="271"/>
      <c r="AC549" s="130" t="str">
        <f>IFERROR(__xludf.DUMMYFUNCTION("""COMPUTED_VALUE"""),"2606D080")</f>
        <v>2606D080</v>
      </c>
      <c r="AD549" s="341">
        <f>IFERROR(__xludf.DUMMYFUNCTION("""COMPUTED_VALUE"""),46183.0)</f>
        <v>46183</v>
      </c>
      <c r="AE549" s="130" t="str">
        <f>IFERROR(__xludf.DUMMYFUNCTION("""COMPUTED_VALUE"""),"Widhi Bhaskara")</f>
        <v>Widhi Bhaskara</v>
      </c>
      <c r="AF549" s="130" t="str">
        <f>IFERROR(__xludf.DUMMYFUNCTION("""COMPUTED_VALUE"""),"08128008500")</f>
        <v>08128008500</v>
      </c>
      <c r="AG549" s="130" t="str">
        <f>IFERROR(__xludf.DUMMYFUNCTION("""COMPUTED_VALUE"""),"Gagal")</f>
        <v>Gagal</v>
      </c>
      <c r="AH549" s="130" t="str">
        <f>IFERROR(__xludf.DUMMYFUNCTION("""COMPUTED_VALUE"""),"3h2m opsi A")</f>
        <v>3h2m opsi A</v>
      </c>
      <c r="AI549" s="342">
        <f>IFERROR(__xludf.DUMMYFUNCTION("""COMPUTED_VALUE"""),46187.0)</f>
        <v>46187</v>
      </c>
      <c r="AJ549" s="130">
        <f>IFERROR(__xludf.DUMMYFUNCTION("""COMPUTED_VALUE"""),2.0)</f>
        <v>2</v>
      </c>
      <c r="AK549" s="343"/>
      <c r="AL549" s="130" t="str">
        <f>IFERROR(__xludf.DUMMYFUNCTION("""COMPUTED_VALUE"""),"FU 11 Juni")</f>
        <v>FU 11 Juni</v>
      </c>
    </row>
    <row r="550">
      <c r="M550" s="270"/>
      <c r="O550" s="271"/>
      <c r="P550" s="271"/>
      <c r="AC550" s="130" t="str">
        <f>IFERROR(__xludf.DUMMYFUNCTION("""COMPUTED_VALUE"""),"2606D082")</f>
        <v>2606D082</v>
      </c>
      <c r="AD550" s="341">
        <f>IFERROR(__xludf.DUMMYFUNCTION("""COMPUTED_VALUE"""),46183.0)</f>
        <v>46183</v>
      </c>
      <c r="AE550" s="130" t="str">
        <f>IFERROR(__xludf.DUMMYFUNCTION("""COMPUTED_VALUE"""),"Ndaa")</f>
        <v>Ndaa</v>
      </c>
      <c r="AF550" s="130" t="str">
        <f>IFERROR(__xludf.DUMMYFUNCTION("""COMPUTED_VALUE"""),"085925081887")</f>
        <v>085925081887</v>
      </c>
      <c r="AG550" s="130" t="str">
        <f>IFERROR(__xludf.DUMMYFUNCTION("""COMPUTED_VALUE"""),"Gagal")</f>
        <v>Gagal</v>
      </c>
      <c r="AH550" s="130" t="str">
        <f>IFERROR(__xludf.DUMMYFUNCTION("""COMPUTED_VALUE"""),"OT MT")</f>
        <v>OT MT</v>
      </c>
      <c r="AI550" s="342">
        <f>IFERROR(__xludf.DUMMYFUNCTION("""COMPUTED_VALUE"""),46229.0)</f>
        <v>46229</v>
      </c>
      <c r="AJ550" s="130">
        <f>IFERROR(__xludf.DUMMYFUNCTION("""COMPUTED_VALUE"""),2.0)</f>
        <v>2</v>
      </c>
      <c r="AK550" s="343"/>
      <c r="AL550" s="130"/>
    </row>
    <row r="551">
      <c r="M551" s="270"/>
      <c r="O551" s="271"/>
      <c r="P551" s="271"/>
      <c r="AC551" s="130" t="str">
        <f>IFERROR(__xludf.DUMMYFUNCTION("""COMPUTED_VALUE"""),"2606D086")</f>
        <v>2606D086</v>
      </c>
      <c r="AD551" s="341">
        <f>IFERROR(__xludf.DUMMYFUNCTION("""COMPUTED_VALUE"""),46184.0)</f>
        <v>46184</v>
      </c>
      <c r="AE551" s="130" t="str">
        <f>IFERROR(__xludf.DUMMYFUNCTION("""COMPUTED_VALUE"""),"Soon")</f>
        <v>Soon</v>
      </c>
      <c r="AF551" s="130" t="str">
        <f>IFERROR(__xludf.DUMMYFUNCTION("""COMPUTED_VALUE"""),"085713491813")</f>
        <v>085713491813</v>
      </c>
      <c r="AG551" s="130" t="str">
        <f>IFERROR(__xludf.DUMMYFUNCTION("""COMPUTED_VALUE"""),"Gagal")</f>
        <v>Gagal</v>
      </c>
      <c r="AH551" s="130" t="str">
        <f>IFERROR(__xludf.DUMMYFUNCTION("""COMPUTED_VALUE"""),"OT Djabal, MT")</f>
        <v>OT Djabal, MT</v>
      </c>
      <c r="AI551" s="342">
        <f>IFERROR(__xludf.DUMMYFUNCTION("""COMPUTED_VALUE"""),46187.0)</f>
        <v>46187</v>
      </c>
      <c r="AJ551" s="130">
        <f>IFERROR(__xludf.DUMMYFUNCTION("""COMPUTED_VALUE"""),2.0)</f>
        <v>2</v>
      </c>
      <c r="AK551" s="343"/>
      <c r="AL551" s="130"/>
    </row>
    <row r="552">
      <c r="M552" s="270"/>
      <c r="O552" s="271"/>
      <c r="P552" s="271"/>
      <c r="AC552" s="130" t="str">
        <f>IFERROR(__xludf.DUMMYFUNCTION("""COMPUTED_VALUE"""),"2606D094")</f>
        <v>2606D094</v>
      </c>
      <c r="AD552" s="341">
        <f>IFERROR(__xludf.DUMMYFUNCTION("""COMPUTED_VALUE"""),46184.0)</f>
        <v>46184</v>
      </c>
      <c r="AE552" s="130" t="str">
        <f>IFERROR(__xludf.DUMMYFUNCTION("""COMPUTED_VALUE"""),"Agung")</f>
        <v>Agung</v>
      </c>
      <c r="AF552" s="130" t="str">
        <f>IFERROR(__xludf.DUMMYFUNCTION("""COMPUTED_VALUE"""),"081274299557")</f>
        <v>081274299557</v>
      </c>
      <c r="AG552" s="130" t="str">
        <f>IFERROR(__xludf.DUMMYFUNCTION("""COMPUTED_VALUE"""),"Gagal")</f>
        <v>Gagal</v>
      </c>
      <c r="AH552" s="130"/>
      <c r="AI552" s="342"/>
      <c r="AJ552" s="130"/>
      <c r="AK552" s="343"/>
      <c r="AL552" s="130" t="str">
        <f>IFERROR(__xludf.DUMMYFUNCTION("""COMPUTED_VALUE"""),"mau transport aja ke Ijen")</f>
        <v>mau transport aja ke Ijen</v>
      </c>
    </row>
    <row r="553">
      <c r="M553" s="270"/>
      <c r="O553" s="271"/>
      <c r="P553" s="271"/>
      <c r="AC553" s="130" t="str">
        <f>IFERROR(__xludf.DUMMYFUNCTION("""COMPUTED_VALUE"""),"2606D096")</f>
        <v>2606D096</v>
      </c>
      <c r="AD553" s="341">
        <f>IFERROR(__xludf.DUMMYFUNCTION("""COMPUTED_VALUE"""),46185.0)</f>
        <v>46185</v>
      </c>
      <c r="AE553" s="130" t="str">
        <f>IFERROR(__xludf.DUMMYFUNCTION("""COMPUTED_VALUE"""),"Esti Natsir")</f>
        <v>Esti Natsir</v>
      </c>
      <c r="AF553" s="130" t="str">
        <f>IFERROR(__xludf.DUMMYFUNCTION("""COMPUTED_VALUE"""),"081514181976")</f>
        <v>081514181976</v>
      </c>
      <c r="AG553" s="130" t="str">
        <f>IFERROR(__xludf.DUMMYFUNCTION("""COMPUTED_VALUE"""),"Gagal")</f>
        <v>Gagal</v>
      </c>
      <c r="AH553" s="130" t="str">
        <f>IFERROR(__xludf.DUMMYFUNCTION("""COMPUTED_VALUE"""),"trip Ijen")</f>
        <v>trip Ijen</v>
      </c>
      <c r="AI553" s="342">
        <f>IFERROR(__xludf.DUMMYFUNCTION("""COMPUTED_VALUE"""),46186.0)</f>
        <v>46186</v>
      </c>
      <c r="AJ553" s="130">
        <f>IFERROR(__xludf.DUMMYFUNCTION("""COMPUTED_VALUE"""),2.0)</f>
        <v>2</v>
      </c>
      <c r="AK553" s="343"/>
      <c r="AL553" s="130" t="str">
        <f>IFERROR(__xludf.DUMMYFUNCTION("""COMPUTED_VALUE"""),"gajadiiii")</f>
        <v>gajadiiii</v>
      </c>
    </row>
    <row r="554">
      <c r="M554" s="270"/>
      <c r="O554" s="271"/>
      <c r="P554" s="271"/>
      <c r="AC554" s="130" t="str">
        <f>IFERROR(__xludf.DUMMYFUNCTION("""COMPUTED_VALUE"""),"2606D101")</f>
        <v>2606D101</v>
      </c>
      <c r="AD554" s="341">
        <f>IFERROR(__xludf.DUMMYFUNCTION("""COMPUTED_VALUE"""),46185.0)</f>
        <v>46185</v>
      </c>
      <c r="AE554" s="130" t="str">
        <f>IFERROR(__xludf.DUMMYFUNCTION("""COMPUTED_VALUE"""),"Terezia")</f>
        <v>Terezia</v>
      </c>
      <c r="AF554" s="130" t="str">
        <f>IFERROR(__xludf.DUMMYFUNCTION("""COMPUTED_VALUE"""),"082332011113")</f>
        <v>082332011113</v>
      </c>
      <c r="AG554" s="130" t="str">
        <f>IFERROR(__xludf.DUMMYFUNCTION("""COMPUTED_VALUE"""),"Gagal")</f>
        <v>Gagal</v>
      </c>
      <c r="AH554" s="130" t="str">
        <f>IFERROR(__xludf.DUMMYFUNCTION("""COMPUTED_VALUE"""),"OT MT")</f>
        <v>OT MT</v>
      </c>
      <c r="AI554" s="342">
        <f>IFERROR(__xludf.DUMMYFUNCTION("""COMPUTED_VALUE"""),46187.0)</f>
        <v>46187</v>
      </c>
      <c r="AJ554" s="130">
        <f>IFERROR(__xludf.DUMMYFUNCTION("""COMPUTED_VALUE"""),6.0)</f>
        <v>6</v>
      </c>
      <c r="AK554" s="343"/>
      <c r="AL554" s="130"/>
    </row>
    <row r="555">
      <c r="M555" s="270"/>
      <c r="O555" s="271"/>
      <c r="P555" s="271"/>
      <c r="AC555" s="130" t="str">
        <f>IFERROR(__xludf.DUMMYFUNCTION("""COMPUTED_VALUE"""),"2606D114")</f>
        <v>2606D114</v>
      </c>
      <c r="AD555" s="341">
        <f>IFERROR(__xludf.DUMMYFUNCTION("""COMPUTED_VALUE"""),46187.0)</f>
        <v>46187</v>
      </c>
      <c r="AE555" s="130" t="str">
        <f>IFERROR(__xludf.DUMMYFUNCTION("""COMPUTED_VALUE"""),"Jo  ")</f>
        <v>Jo  </v>
      </c>
      <c r="AF555" s="130" t="str">
        <f>IFERROR(__xludf.DUMMYFUNCTION("""COMPUTED_VALUE"""),"081212832603")</f>
        <v>081212832603</v>
      </c>
      <c r="AG555" s="130" t="str">
        <f>IFERROR(__xludf.DUMMYFUNCTION("""COMPUTED_VALUE"""),"Gagal")</f>
        <v>Gagal</v>
      </c>
      <c r="AH555" s="130" t="str">
        <f>IFERROR(__xludf.DUMMYFUNCTION("""COMPUTED_VALUE"""),"ot GI")</f>
        <v>ot GI</v>
      </c>
      <c r="AI555" s="342">
        <f>IFERROR(__xludf.DUMMYFUNCTION("""COMPUTED_VALUE"""),46190.0)</f>
        <v>46190</v>
      </c>
      <c r="AJ555" s="130">
        <f>IFERROR(__xludf.DUMMYFUNCTION("""COMPUTED_VALUE"""),1.0)</f>
        <v>1</v>
      </c>
      <c r="AK555" s="343"/>
      <c r="AL555" s="130"/>
    </row>
    <row r="556">
      <c r="M556" s="270"/>
      <c r="O556" s="271"/>
      <c r="P556" s="271"/>
      <c r="AC556" s="130" t="str">
        <f>IFERROR(__xludf.DUMMYFUNCTION("""COMPUTED_VALUE"""),"2606D116")</f>
        <v>2606D116</v>
      </c>
      <c r="AD556" s="341">
        <f>IFERROR(__xludf.DUMMYFUNCTION("""COMPUTED_VALUE"""),46188.0)</f>
        <v>46188</v>
      </c>
      <c r="AE556" s="130" t="str">
        <f>IFERROR(__xludf.DUMMYFUNCTION("""COMPUTED_VALUE"""),"Wicak")</f>
        <v>Wicak</v>
      </c>
      <c r="AF556" s="130" t="str">
        <f>IFERROR(__xludf.DUMMYFUNCTION("""COMPUTED_VALUE"""),"08122028374")</f>
        <v>08122028374</v>
      </c>
      <c r="AG556" s="130" t="str">
        <f>IFERROR(__xludf.DUMMYFUNCTION("""COMPUTED_VALUE"""),"Gagal")</f>
        <v>Gagal</v>
      </c>
      <c r="AH556" s="130" t="str">
        <f>IFERROR(__xludf.DUMMYFUNCTION("""COMPUTED_VALUE"""),"4h3m custome")</f>
        <v>4h3m custome</v>
      </c>
      <c r="AI556" s="342">
        <f>IFERROR(__xludf.DUMMYFUNCTION("""COMPUTED_VALUE"""),46190.0)</f>
        <v>46190</v>
      </c>
      <c r="AJ556" s="130">
        <f>IFERROR(__xludf.DUMMYFUNCTION("""COMPUTED_VALUE"""),5.0)</f>
        <v>5</v>
      </c>
      <c r="AK556" s="343">
        <f>IFERROR(__xludf.DUMMYFUNCTION("""COMPUTED_VALUE"""),1.0E7)</f>
        <v>10000000</v>
      </c>
      <c r="AL556" s="130" t="str">
        <f>IFERROR(__xludf.DUMMYFUNCTION("""COMPUTED_VALUE"""),"ganti liburan di jogjaa")</f>
        <v>ganti liburan di jogjaa</v>
      </c>
    </row>
    <row r="557">
      <c r="M557" s="270"/>
      <c r="O557" s="271"/>
      <c r="P557" s="271"/>
      <c r="AC557" s="130" t="str">
        <f>IFERROR(__xludf.DUMMYFUNCTION("""COMPUTED_VALUE"""),"2606D117")</f>
        <v>2606D117</v>
      </c>
      <c r="AD557" s="341">
        <f>IFERROR(__xludf.DUMMYFUNCTION("""COMPUTED_VALUE"""),46188.0)</f>
        <v>46188</v>
      </c>
      <c r="AE557" s="130" t="str">
        <f>IFERROR(__xludf.DUMMYFUNCTION("""COMPUTED_VALUE"""),"Wedy")</f>
        <v>Wedy</v>
      </c>
      <c r="AF557" s="130" t="str">
        <f>IFERROR(__xludf.DUMMYFUNCTION("""COMPUTED_VALUE"""),"081330277999")</f>
        <v>081330277999</v>
      </c>
      <c r="AG557" s="130" t="str">
        <f>IFERROR(__xludf.DUMMYFUNCTION("""COMPUTED_VALUE"""),"Gagal")</f>
        <v>Gagal</v>
      </c>
      <c r="AH557" s="130" t="str">
        <f>IFERROR(__xludf.DUMMYFUNCTION("""COMPUTED_VALUE"""),"trip Menjangan tabuhan")</f>
        <v>trip Menjangan tabuhan</v>
      </c>
      <c r="AI557" s="342">
        <f>IFERROR(__xludf.DUMMYFUNCTION("""COMPUTED_VALUE"""),46191.0)</f>
        <v>46191</v>
      </c>
      <c r="AJ557" s="130">
        <f>IFERROR(__xludf.DUMMYFUNCTION("""COMPUTED_VALUE"""),5.0)</f>
        <v>5</v>
      </c>
      <c r="AK557" s="343"/>
      <c r="AL557" s="130" t="str">
        <f>IFERROR(__xludf.DUMMYFUNCTION("""COMPUTED_VALUE"""),"dah di FU tidakk balas")</f>
        <v>dah di FU tidakk balas</v>
      </c>
    </row>
    <row r="558">
      <c r="M558" s="270"/>
      <c r="O558" s="271"/>
      <c r="P558" s="271"/>
      <c r="AC558" s="130" t="str">
        <f>IFERROR(__xludf.DUMMYFUNCTION("""COMPUTED_VALUE"""),"2606D119")</f>
        <v>2606D119</v>
      </c>
      <c r="AD558" s="341">
        <f>IFERROR(__xludf.DUMMYFUNCTION("""COMPUTED_VALUE"""),46189.0)</f>
        <v>46189</v>
      </c>
      <c r="AE558" s="130" t="str">
        <f>IFERROR(__xludf.DUMMYFUNCTION("""COMPUTED_VALUE"""),"Hana")</f>
        <v>Hana</v>
      </c>
      <c r="AF558" s="130" t="str">
        <f>IFERROR(__xludf.DUMMYFUNCTION("""COMPUTED_VALUE"""),"082128625697")</f>
        <v>082128625697</v>
      </c>
      <c r="AG558" s="130" t="str">
        <f>IFERROR(__xludf.DUMMYFUNCTION("""COMPUTED_VALUE"""),"Gagal")</f>
        <v>Gagal</v>
      </c>
      <c r="AH558" s="130" t="str">
        <f>IFERROR(__xludf.DUMMYFUNCTION("""COMPUTED_VALUE"""),"OT 3H2M")</f>
        <v>OT 3H2M</v>
      </c>
      <c r="AI558" s="342"/>
      <c r="AJ558" s="130"/>
      <c r="AK558" s="343"/>
      <c r="AL558" s="130" t="str">
        <f>IFERROR(__xludf.DUMMYFUNCTION("""COMPUTED_VALUE"""),"ke bajo")</f>
        <v>ke bajo</v>
      </c>
    </row>
    <row r="559">
      <c r="M559" s="270"/>
      <c r="O559" s="271"/>
      <c r="P559" s="271"/>
      <c r="AC559" s="130" t="str">
        <f>IFERROR(__xludf.DUMMYFUNCTION("""COMPUTED_VALUE"""),"2606D130")</f>
        <v>2606D130</v>
      </c>
      <c r="AD559" s="341">
        <f>IFERROR(__xludf.DUMMYFUNCTION("""COMPUTED_VALUE"""),46190.0)</f>
        <v>46190</v>
      </c>
      <c r="AE559" s="130" t="str">
        <f>IFERROR(__xludf.DUMMYFUNCTION("""COMPUTED_VALUE"""),"Alfa Reza")</f>
        <v>Alfa Reza</v>
      </c>
      <c r="AF559" s="130" t="str">
        <f>IFERROR(__xludf.DUMMYFUNCTION("""COMPUTED_VALUE"""),"085389493068")</f>
        <v>085389493068</v>
      </c>
      <c r="AG559" s="130" t="str">
        <f>IFERROR(__xludf.DUMMYFUNCTION("""COMPUTED_VALUE"""),"Gagal")</f>
        <v>Gagal</v>
      </c>
      <c r="AH559" s="130" t="str">
        <f>IFERROR(__xludf.DUMMYFUNCTION("""COMPUTED_VALUE"""),"OT MT, Djabal")</f>
        <v>OT MT, Djabal</v>
      </c>
      <c r="AI559" s="342">
        <f>IFERROR(__xludf.DUMMYFUNCTION("""COMPUTED_VALUE"""),46192.0)</f>
        <v>46192</v>
      </c>
      <c r="AJ559" s="130">
        <f>IFERROR(__xludf.DUMMYFUNCTION("""COMPUTED_VALUE"""),1.0)</f>
        <v>1</v>
      </c>
      <c r="AK559" s="343"/>
      <c r="AL559" s="130" t="str">
        <f>IFERROR(__xludf.DUMMYFUNCTION("""COMPUTED_VALUE"""),"belum jadi trip")</f>
        <v>belum jadi trip</v>
      </c>
    </row>
    <row r="560">
      <c r="M560" s="270"/>
      <c r="O560" s="271"/>
      <c r="P560" s="271"/>
      <c r="AC560" s="130" t="str">
        <f>IFERROR(__xludf.DUMMYFUNCTION("""COMPUTED_VALUE"""),"2606D134")</f>
        <v>2606D134</v>
      </c>
      <c r="AD560" s="341">
        <f>IFERROR(__xludf.DUMMYFUNCTION("""COMPUTED_VALUE"""),46191.0)</f>
        <v>46191</v>
      </c>
      <c r="AE560" s="130" t="str">
        <f>IFERROR(__xludf.DUMMYFUNCTION("""COMPUTED_VALUE"""),"Bimantara")</f>
        <v>Bimantara</v>
      </c>
      <c r="AF560" s="130" t="str">
        <f>IFERROR(__xludf.DUMMYFUNCTION("""COMPUTED_VALUE"""),"85156911247")</f>
        <v>85156911247</v>
      </c>
      <c r="AG560" s="130" t="str">
        <f>IFERROR(__xludf.DUMMYFUNCTION("""COMPUTED_VALUE"""),"Gagal")</f>
        <v>Gagal</v>
      </c>
      <c r="AH560" s="130" t="str">
        <f>IFERROR(__xludf.DUMMYFUNCTION("""COMPUTED_VALUE"""),"3h2m opsi A&amp;B")</f>
        <v>3h2m opsi A&amp;B</v>
      </c>
      <c r="AI560" s="342"/>
      <c r="AJ560" s="130">
        <f>IFERROR(__xludf.DUMMYFUNCTION("""COMPUTED_VALUE"""),90.0)</f>
        <v>90</v>
      </c>
      <c r="AK560" s="343"/>
      <c r="AL560" s="130" t="str">
        <f>IFERROR(__xludf.DUMMYFUNCTION("""COMPUTED_VALUE"""),"ganti kota liburann")</f>
        <v>ganti kota liburann</v>
      </c>
    </row>
    <row r="561">
      <c r="M561" s="270"/>
      <c r="O561" s="271"/>
      <c r="P561" s="271"/>
      <c r="AC561" s="130" t="str">
        <f>IFERROR(__xludf.DUMMYFUNCTION("""COMPUTED_VALUE"""),"2606D137")</f>
        <v>2606D137</v>
      </c>
      <c r="AD561" s="341">
        <f>IFERROR(__xludf.DUMMYFUNCTION("""COMPUTED_VALUE"""),46192.0)</f>
        <v>46192</v>
      </c>
      <c r="AE561" s="130" t="str">
        <f>IFERROR(__xludf.DUMMYFUNCTION("""COMPUTED_VALUE"""),"Ruzza")</f>
        <v>Ruzza</v>
      </c>
      <c r="AF561" s="130" t="str">
        <f>IFERROR(__xludf.DUMMYFUNCTION("""COMPUTED_VALUE"""),"0811868567")</f>
        <v>0811868567</v>
      </c>
      <c r="AG561" s="130" t="str">
        <f>IFERROR(__xludf.DUMMYFUNCTION("""COMPUTED_VALUE"""),"Gagal")</f>
        <v>Gagal</v>
      </c>
      <c r="AH561" s="130" t="str">
        <f>IFERROR(__xludf.DUMMYFUNCTION("""COMPUTED_VALUE"""),"3H2M")</f>
        <v>3H2M</v>
      </c>
      <c r="AI561" s="342">
        <f>IFERROR(__xludf.DUMMYFUNCTION("""COMPUTED_VALUE"""),46227.0)</f>
        <v>46227</v>
      </c>
      <c r="AJ561" s="130">
        <f>IFERROR(__xludf.DUMMYFUNCTION("""COMPUTED_VALUE"""),3.0)</f>
        <v>3</v>
      </c>
      <c r="AK561" s="343"/>
      <c r="AL561" s="130" t="str">
        <f>IFERROR(__xludf.DUMMYFUNCTION("""COMPUTED_VALUE"""),"belum jadi duluu")</f>
        <v>belum jadi duluu</v>
      </c>
    </row>
    <row r="562">
      <c r="M562" s="270"/>
      <c r="O562" s="271"/>
      <c r="P562" s="271"/>
      <c r="AC562" s="130" t="str">
        <f>IFERROR(__xludf.DUMMYFUNCTION("""COMPUTED_VALUE"""),"2606D141")</f>
        <v>2606D141</v>
      </c>
      <c r="AD562" s="341">
        <f>IFERROR(__xludf.DUMMYFUNCTION("""COMPUTED_VALUE"""),46192.0)</f>
        <v>46192</v>
      </c>
      <c r="AE562" s="130" t="str">
        <f>IFERROR(__xludf.DUMMYFUNCTION("""COMPUTED_VALUE"""),"Maisyafriana")</f>
        <v>Maisyafriana</v>
      </c>
      <c r="AF562" s="130" t="str">
        <f>IFERROR(__xludf.DUMMYFUNCTION("""COMPUTED_VALUE"""),"0816599036")</f>
        <v>0816599036</v>
      </c>
      <c r="AG562" s="130" t="str">
        <f>IFERROR(__xludf.DUMMYFUNCTION("""COMPUTED_VALUE"""),"Gagal")</f>
        <v>Gagal</v>
      </c>
      <c r="AH562" s="130" t="str">
        <f>IFERROR(__xludf.DUMMYFUNCTION("""COMPUTED_VALUE"""),"OT 3H2M")</f>
        <v>OT 3H2M</v>
      </c>
      <c r="AI562" s="342">
        <f>IFERROR(__xludf.DUMMYFUNCTION("""COMPUTED_VALUE"""),46197.0)</f>
        <v>46197</v>
      </c>
      <c r="AJ562" s="130">
        <f>IFERROR(__xludf.DUMMYFUNCTION("""COMPUTED_VALUE"""),2.0)</f>
        <v>2</v>
      </c>
      <c r="AK562" s="343"/>
      <c r="AL562" s="130" t="str">
        <f>IFERROR(__xludf.DUMMYFUNCTION("""COMPUTED_VALUE"""),"gagallll")</f>
        <v>gagallll</v>
      </c>
    </row>
    <row r="563">
      <c r="M563" s="270"/>
      <c r="O563" s="271"/>
      <c r="P563" s="271"/>
      <c r="AC563" s="130" t="str">
        <f>IFERROR(__xludf.DUMMYFUNCTION("""COMPUTED_VALUE"""),"2606D142")</f>
        <v>2606D142</v>
      </c>
      <c r="AD563" s="341">
        <f>IFERROR(__xludf.DUMMYFUNCTION("""COMPUTED_VALUE"""),46192.0)</f>
        <v>46192</v>
      </c>
      <c r="AE563" s="130" t="str">
        <f>IFERROR(__xludf.DUMMYFUNCTION("""COMPUTED_VALUE"""),"Anna Enggelena")</f>
        <v>Anna Enggelena</v>
      </c>
      <c r="AF563" s="130" t="str">
        <f>IFERROR(__xludf.DUMMYFUNCTION("""COMPUTED_VALUE"""),"082299688008")</f>
        <v>082299688008</v>
      </c>
      <c r="AG563" s="130" t="str">
        <f>IFERROR(__xludf.DUMMYFUNCTION("""COMPUTED_VALUE"""),"Gagal")</f>
        <v>Gagal</v>
      </c>
      <c r="AH563" s="130" t="str">
        <f>IFERROR(__xludf.DUMMYFUNCTION("""COMPUTED_VALUE"""),"private trip DjaBal")</f>
        <v>private trip DjaBal</v>
      </c>
      <c r="AI563" s="342"/>
      <c r="AJ563" s="130">
        <f>IFERROR(__xludf.DUMMYFUNCTION("""COMPUTED_VALUE"""),2.0)</f>
        <v>2</v>
      </c>
      <c r="AK563" s="343"/>
      <c r="AL563" s="130" t="str">
        <f>IFERROR(__xludf.DUMMYFUNCTION("""COMPUTED_VALUE"""),"tidak jadi ke Banyuwangi")</f>
        <v>tidak jadi ke Banyuwangi</v>
      </c>
    </row>
    <row r="564">
      <c r="M564" s="270"/>
      <c r="O564" s="271"/>
      <c r="P564" s="271"/>
      <c r="AC564" s="130" t="str">
        <f>IFERROR(__xludf.DUMMYFUNCTION("""COMPUTED_VALUE"""),"2606D174")</f>
        <v>2606D174</v>
      </c>
      <c r="AD564" s="341">
        <f>IFERROR(__xludf.DUMMYFUNCTION("""COMPUTED_VALUE"""),46195.0)</f>
        <v>46195</v>
      </c>
      <c r="AE564" s="130" t="str">
        <f>IFERROR(__xludf.DUMMYFUNCTION("""COMPUTED_VALUE"""),"Rizfky")</f>
        <v>Rizfky</v>
      </c>
      <c r="AF564" s="130" t="str">
        <f>IFERROR(__xludf.DUMMYFUNCTION("""COMPUTED_VALUE"""),"089507899797")</f>
        <v>089507899797</v>
      </c>
      <c r="AG564" s="130" t="str">
        <f>IFERROR(__xludf.DUMMYFUNCTION("""COMPUTED_VALUE"""),"Gagal")</f>
        <v>Gagal</v>
      </c>
      <c r="AH564" s="130" t="str">
        <f>IFERROR(__xludf.DUMMYFUNCTION("""COMPUTED_VALUE"""),"OT Baluran")</f>
        <v>OT Baluran</v>
      </c>
      <c r="AI564" s="342">
        <f>IFERROR(__xludf.DUMMYFUNCTION("""COMPUTED_VALUE"""),46196.0)</f>
        <v>46196</v>
      </c>
      <c r="AJ564" s="130">
        <f>IFERROR(__xludf.DUMMYFUNCTION("""COMPUTED_VALUE"""),2.0)</f>
        <v>2</v>
      </c>
      <c r="AK564" s="343"/>
      <c r="AL564" s="130" t="str">
        <f>IFERROR(__xludf.DUMMYFUNCTION("""COMPUTED_VALUE"""),"uda FU ga ada balass")</f>
        <v>uda FU ga ada balass</v>
      </c>
    </row>
    <row r="565">
      <c r="M565" s="270"/>
      <c r="O565" s="271"/>
      <c r="P565" s="271"/>
      <c r="AC565" s="130" t="str">
        <f>IFERROR(__xludf.DUMMYFUNCTION("""COMPUTED_VALUE"""),"2606D195")</f>
        <v>2606D195</v>
      </c>
      <c r="AD565" s="341">
        <f>IFERROR(__xludf.DUMMYFUNCTION("""COMPUTED_VALUE"""),46198.0)</f>
        <v>46198</v>
      </c>
      <c r="AE565" s="130" t="str">
        <f>IFERROR(__xludf.DUMMYFUNCTION("""COMPUTED_VALUE"""),"Aulia Irvana")</f>
        <v>Aulia Irvana</v>
      </c>
      <c r="AF565" s="130" t="str">
        <f>IFERROR(__xludf.DUMMYFUNCTION("""COMPUTED_VALUE"""),"0895357925773")</f>
        <v>0895357925773</v>
      </c>
      <c r="AG565" s="130" t="str">
        <f>IFERROR(__xludf.DUMMYFUNCTION("""COMPUTED_VALUE"""),"Gagal")</f>
        <v>Gagal</v>
      </c>
      <c r="AH565" s="130" t="str">
        <f>IFERROR(__xludf.DUMMYFUNCTION("""COMPUTED_VALUE"""),"OT MT")</f>
        <v>OT MT</v>
      </c>
      <c r="AI565" s="342">
        <f>IFERROR(__xludf.DUMMYFUNCTION("""COMPUTED_VALUE"""),46200.0)</f>
        <v>46200</v>
      </c>
      <c r="AJ565" s="130"/>
      <c r="AK565" s="343"/>
      <c r="AL565" s="130" t="str">
        <f>IFERROR(__xludf.DUMMYFUNCTION("""COMPUTED_VALUE"""),"fullbooked")</f>
        <v>fullbooked</v>
      </c>
    </row>
    <row r="566">
      <c r="M566" s="270"/>
      <c r="O566" s="271"/>
      <c r="P566" s="271"/>
      <c r="AC566" s="130" t="str">
        <f>IFERROR(__xludf.DUMMYFUNCTION("""COMPUTED_VALUE"""),"2606D198")</f>
        <v>2606D198</v>
      </c>
      <c r="AD566" s="341">
        <f>IFERROR(__xludf.DUMMYFUNCTION("""COMPUTED_VALUE"""),46198.0)</f>
        <v>46198</v>
      </c>
      <c r="AE566" s="130" t="str">
        <f>IFERROR(__xludf.DUMMYFUNCTION("""COMPUTED_VALUE"""),"Faiz  ")</f>
        <v>Faiz  </v>
      </c>
      <c r="AF566" s="130" t="str">
        <f>IFERROR(__xludf.DUMMYFUNCTION("""COMPUTED_VALUE"""),"0895358986343")</f>
        <v>0895358986343</v>
      </c>
      <c r="AG566" s="130" t="str">
        <f>IFERROR(__xludf.DUMMYFUNCTION("""COMPUTED_VALUE"""),"Gagal")</f>
        <v>Gagal</v>
      </c>
      <c r="AH566" s="130" t="str">
        <f>IFERROR(__xludf.DUMMYFUNCTION("""COMPUTED_VALUE"""),"OT MT")</f>
        <v>OT MT</v>
      </c>
      <c r="AI566" s="342">
        <f>IFERROR(__xludf.DUMMYFUNCTION("""COMPUTED_VALUE"""),46200.0)</f>
        <v>46200</v>
      </c>
      <c r="AJ566" s="130">
        <f>IFERROR(__xludf.DUMMYFUNCTION("""COMPUTED_VALUE"""),1.0)</f>
        <v>1</v>
      </c>
      <c r="AK566" s="343"/>
      <c r="AL566" s="130" t="str">
        <f>IFERROR(__xludf.DUMMYFUNCTION("""COMPUTED_VALUE"""),"fullbooked")</f>
        <v>fullbooked</v>
      </c>
    </row>
    <row r="567">
      <c r="M567" s="270"/>
      <c r="O567" s="271"/>
      <c r="P567" s="271"/>
      <c r="AC567" s="130" t="str">
        <f>IFERROR(__xludf.DUMMYFUNCTION("""COMPUTED_VALUE"""),"2606D199")</f>
        <v>2606D199</v>
      </c>
      <c r="AD567" s="341">
        <f>IFERROR(__xludf.DUMMYFUNCTION("""COMPUTED_VALUE"""),46197.0)</f>
        <v>46197</v>
      </c>
      <c r="AE567" s="130" t="str">
        <f>IFERROR(__xludf.DUMMYFUNCTION("""COMPUTED_VALUE"""),"Agus Lestiono")</f>
        <v>Agus Lestiono</v>
      </c>
      <c r="AF567" s="130" t="str">
        <f>IFERROR(__xludf.DUMMYFUNCTION("""COMPUTED_VALUE"""),"081225903010")</f>
        <v>081225903010</v>
      </c>
      <c r="AG567" s="130" t="str">
        <f>IFERROR(__xludf.DUMMYFUNCTION("""COMPUTED_VALUE"""),"Gagal")</f>
        <v>Gagal</v>
      </c>
      <c r="AH567" s="130" t="str">
        <f>IFERROR(__xludf.DUMMYFUNCTION("""COMPUTED_VALUE"""),"1 day GI")</f>
        <v>1 day GI</v>
      </c>
      <c r="AI567" s="342"/>
      <c r="AJ567" s="130">
        <f>IFERROR(__xludf.DUMMYFUNCTION("""COMPUTED_VALUE"""),4.0)</f>
        <v>4</v>
      </c>
      <c r="AK567" s="343"/>
      <c r="AL567" s="130" t="str">
        <f>IFERROR(__xludf.DUMMYFUNCTION("""COMPUTED_VALUE"""),"cancell")</f>
        <v>cancell</v>
      </c>
    </row>
    <row r="568">
      <c r="M568" s="270"/>
      <c r="O568" s="271"/>
      <c r="P568" s="271"/>
      <c r="AC568" s="130" t="str">
        <f>IFERROR(__xludf.DUMMYFUNCTION("""COMPUTED_VALUE"""),"2606D203 ")</f>
        <v>2606D203 </v>
      </c>
      <c r="AD568" s="341">
        <f>IFERROR(__xludf.DUMMYFUNCTION("""COMPUTED_VALUE"""),46198.0)</f>
        <v>46198</v>
      </c>
      <c r="AE568" s="130" t="str">
        <f>IFERROR(__xludf.DUMMYFUNCTION("""COMPUTED_VALUE"""),"riusbukit   ")</f>
        <v>riusbukit   </v>
      </c>
      <c r="AF568" s="130" t="str">
        <f>IFERROR(__xludf.DUMMYFUNCTION("""COMPUTED_VALUE"""),"081382395521")</f>
        <v>081382395521</v>
      </c>
      <c r="AG568" s="130" t="str">
        <f>IFERROR(__xludf.DUMMYFUNCTION("""COMPUTED_VALUE"""),"Gagal")</f>
        <v>Gagal</v>
      </c>
      <c r="AH568" s="130"/>
      <c r="AI568" s="342"/>
      <c r="AJ568" s="130"/>
      <c r="AK568" s="343"/>
      <c r="AL568" s="130" t="str">
        <f>IFERROR(__xludf.DUMMYFUNCTION("""COMPUTED_VALUE"""),"tanya mepo Surabaya")</f>
        <v>tanya mepo Surabaya</v>
      </c>
    </row>
    <row r="569">
      <c r="M569" s="270"/>
      <c r="O569" s="271"/>
      <c r="P569" s="271"/>
      <c r="AC569" s="130" t="str">
        <f>IFERROR(__xludf.DUMMYFUNCTION("""COMPUTED_VALUE"""),"2606D204")</f>
        <v>2606D204</v>
      </c>
      <c r="AD569" s="341">
        <f>IFERROR(__xludf.DUMMYFUNCTION("""COMPUTED_VALUE"""),46198.0)</f>
        <v>46198</v>
      </c>
      <c r="AE569" s="130" t="str">
        <f>IFERROR(__xludf.DUMMYFUNCTION("""COMPUTED_VALUE"""),"Prama")</f>
        <v>Prama</v>
      </c>
      <c r="AF569" s="130" t="str">
        <f>IFERROR(__xludf.DUMMYFUNCTION("""COMPUTED_VALUE"""),"082136493980")</f>
        <v>082136493980</v>
      </c>
      <c r="AG569" s="130" t="str">
        <f>IFERROR(__xludf.DUMMYFUNCTION("""COMPUTED_VALUE"""),"Gagal")</f>
        <v>Gagal</v>
      </c>
      <c r="AH569" s="130"/>
      <c r="AI569" s="342"/>
      <c r="AJ569" s="130"/>
      <c r="AK569" s="343"/>
      <c r="AL569" s="130" t="str">
        <f>IFERROR(__xludf.DUMMYFUNCTION("""COMPUTED_VALUE"""),"sudah dikonfir ga bales lagi")</f>
        <v>sudah dikonfir ga bales lagi</v>
      </c>
    </row>
    <row r="570">
      <c r="M570" s="270"/>
      <c r="O570" s="271"/>
      <c r="P570" s="271"/>
      <c r="AC570" s="130" t="str">
        <f>IFERROR(__xludf.DUMMYFUNCTION("""COMPUTED_VALUE"""),"2606D213")</f>
        <v>2606D213</v>
      </c>
      <c r="AD570" s="341">
        <f>IFERROR(__xludf.DUMMYFUNCTION("""COMPUTED_VALUE"""),46197.0)</f>
        <v>46197</v>
      </c>
      <c r="AE570" s="130" t="str">
        <f>IFERROR(__xludf.DUMMYFUNCTION("""COMPUTED_VALUE"""),"Migui")</f>
        <v>Migui</v>
      </c>
      <c r="AF570" s="130" t="str">
        <f>IFERROR(__xludf.DUMMYFUNCTION("""COMPUTED_VALUE"""),"34685271744")</f>
        <v>34685271744</v>
      </c>
      <c r="AG570" s="130" t="str">
        <f>IFERROR(__xludf.DUMMYFUNCTION("""COMPUTED_VALUE"""),"Gagal")</f>
        <v>Gagal</v>
      </c>
      <c r="AH570" s="130" t="str">
        <f>IFERROR(__xludf.DUMMYFUNCTION("""COMPUTED_VALUE"""),"OT Ijen WNA")</f>
        <v>OT Ijen WNA</v>
      </c>
      <c r="AI570" s="342">
        <f>IFERROR(__xludf.DUMMYFUNCTION("""COMPUTED_VALUE"""),46200.0)</f>
        <v>46200</v>
      </c>
      <c r="AJ570" s="130">
        <f>IFERROR(__xludf.DUMMYFUNCTION("""COMPUTED_VALUE"""),2.0)</f>
        <v>2</v>
      </c>
      <c r="AK570" s="343"/>
      <c r="AL570" s="130" t="str">
        <f>IFERROR(__xludf.DUMMYFUNCTION("""COMPUTED_VALUE"""),"ga ada balasan, nawar harga")</f>
        <v>ga ada balasan, nawar harga</v>
      </c>
    </row>
    <row r="571">
      <c r="M571" s="270"/>
      <c r="O571" s="271"/>
      <c r="P571" s="271"/>
      <c r="AC571" s="130" t="str">
        <f>IFERROR(__xludf.DUMMYFUNCTION("""COMPUTED_VALUE"""),"2606D223")</f>
        <v>2606D223</v>
      </c>
      <c r="AD571" s="341">
        <f>IFERROR(__xludf.DUMMYFUNCTION("""COMPUTED_VALUE"""),46200.0)</f>
        <v>46200</v>
      </c>
      <c r="AE571" s="130" t="str">
        <f>IFERROR(__xludf.DUMMYFUNCTION("""COMPUTED_VALUE"""),"Rani Sulistyorini")</f>
        <v>Rani Sulistyorini</v>
      </c>
      <c r="AF571" s="130" t="str">
        <f>IFERROR(__xludf.DUMMYFUNCTION("""COMPUTED_VALUE"""),"081252367297")</f>
        <v>081252367297</v>
      </c>
      <c r="AG571" s="130" t="str">
        <f>IFERROR(__xludf.DUMMYFUNCTION("""COMPUTED_VALUE"""),"Gagal")</f>
        <v>Gagal</v>
      </c>
      <c r="AH571" s="130" t="str">
        <f>IFERROR(__xludf.DUMMYFUNCTION("""COMPUTED_VALUE"""),"OT MT")</f>
        <v>OT MT</v>
      </c>
      <c r="AI571" s="342">
        <f>IFERROR(__xludf.DUMMYFUNCTION("""COMPUTED_VALUE"""),46200.0)</f>
        <v>46200</v>
      </c>
      <c r="AJ571" s="130">
        <f>IFERROR(__xludf.DUMMYFUNCTION("""COMPUTED_VALUE"""),2.0)</f>
        <v>2</v>
      </c>
      <c r="AK571" s="343"/>
      <c r="AL571" s="130" t="str">
        <f>IFERROR(__xludf.DUMMYFUNCTION("""COMPUTED_VALUE"""),"fullbookedd")</f>
        <v>fullbookedd</v>
      </c>
    </row>
    <row r="572">
      <c r="M572" s="270"/>
      <c r="O572" s="271"/>
      <c r="P572" s="271"/>
      <c r="AC572" s="130" t="str">
        <f>IFERROR(__xludf.DUMMYFUNCTION("""COMPUTED_VALUE"""),"2606D225")</f>
        <v>2606D225</v>
      </c>
      <c r="AD572" s="341">
        <f>IFERROR(__xludf.DUMMYFUNCTION("""COMPUTED_VALUE"""),46199.0)</f>
        <v>46199</v>
      </c>
      <c r="AE572" s="130" t="str">
        <f>IFERROR(__xludf.DUMMYFUNCTION("""COMPUTED_VALUE"""),"Harry Smith ")</f>
        <v>Harry Smith </v>
      </c>
      <c r="AF572" s="130" t="str">
        <f>IFERROR(__xludf.DUMMYFUNCTION("""COMPUTED_VALUE"""),"447841460781")</f>
        <v>447841460781</v>
      </c>
      <c r="AG572" s="130" t="str">
        <f>IFERROR(__xludf.DUMMYFUNCTION("""COMPUTED_VALUE"""),"Gagal")</f>
        <v>Gagal</v>
      </c>
      <c r="AH572" s="130"/>
      <c r="AI572" s="342"/>
      <c r="AJ572" s="130"/>
      <c r="AK572" s="343"/>
      <c r="AL572" s="130" t="str">
        <f>IFERROR(__xludf.DUMMYFUNCTION("""COMPUTED_VALUE"""),"tanya transport ajaa blm bisaa")</f>
        <v>tanya transport ajaa blm bisaa</v>
      </c>
    </row>
    <row r="573">
      <c r="M573" s="270"/>
      <c r="O573" s="271"/>
      <c r="P573" s="271"/>
      <c r="AC573" s="130" t="str">
        <f>IFERROR(__xludf.DUMMYFUNCTION("""COMPUTED_VALUE"""),"2606D253")</f>
        <v>2606D253</v>
      </c>
      <c r="AD573" s="341">
        <f>IFERROR(__xludf.DUMMYFUNCTION("""COMPUTED_VALUE"""),46203.0)</f>
        <v>46203</v>
      </c>
      <c r="AE573" s="130" t="str">
        <f>IFERROR(__xludf.DUMMYFUNCTION("""COMPUTED_VALUE"""),"Fajar Bakti")</f>
        <v>Fajar Bakti</v>
      </c>
      <c r="AF573" s="130" t="str">
        <f>IFERROR(__xludf.DUMMYFUNCTION("""COMPUTED_VALUE"""),"082299559696")</f>
        <v>082299559696</v>
      </c>
      <c r="AG573" s="130" t="str">
        <f>IFERROR(__xludf.DUMMYFUNCTION("""COMPUTED_VALUE"""),"Gagal")</f>
        <v>Gagal</v>
      </c>
      <c r="AH573" s="130" t="str">
        <f>IFERROR(__xludf.DUMMYFUNCTION("""COMPUTED_VALUE"""),"1 day Baluran")</f>
        <v>1 day Baluran</v>
      </c>
      <c r="AI573" s="342">
        <f>IFERROR(__xludf.DUMMYFUNCTION("""COMPUTED_VALUE"""),46221.0)</f>
        <v>46221</v>
      </c>
      <c r="AJ573" s="130">
        <f>IFERROR(__xludf.DUMMYFUNCTION("""COMPUTED_VALUE"""),2.0)</f>
        <v>2</v>
      </c>
      <c r="AK573" s="343"/>
      <c r="AL573" s="130" t="str">
        <f>IFERROR(__xludf.DUMMYFUNCTION("""COMPUTED_VALUE"""),"FU 7 Juli, tgl lewat")</f>
        <v>FU 7 Juli, tgl lewat</v>
      </c>
    </row>
    <row r="574">
      <c r="M574" s="270"/>
      <c r="O574" s="271"/>
      <c r="P574" s="271"/>
      <c r="AC574" s="130" t="str">
        <f>IFERROR(__xludf.DUMMYFUNCTION("""COMPUTED_VALUE"""),"2606D254")</f>
        <v>2606D254</v>
      </c>
      <c r="AD574" s="341">
        <f>IFERROR(__xludf.DUMMYFUNCTION("""COMPUTED_VALUE"""),46202.0)</f>
        <v>46202</v>
      </c>
      <c r="AE574" s="130" t="str">
        <f>IFERROR(__xludf.DUMMYFUNCTION("""COMPUTED_VALUE"""),"Halimeh")</f>
        <v>Halimeh</v>
      </c>
      <c r="AF574" s="130" t="str">
        <f>IFERROR(__xludf.DUMMYFUNCTION("""COMPUTED_VALUE"""),"081247057545")</f>
        <v>081247057545</v>
      </c>
      <c r="AG574" s="130" t="str">
        <f>IFERROR(__xludf.DUMMYFUNCTION("""COMPUTED_VALUE"""),"Gagal")</f>
        <v>Gagal</v>
      </c>
      <c r="AH574" s="130" t="str">
        <f>IFERROR(__xludf.DUMMYFUNCTION("""COMPUTED_VALUE"""),"trip MT")</f>
        <v>trip MT</v>
      </c>
      <c r="AI574" s="342">
        <f>IFERROR(__xludf.DUMMYFUNCTION("""COMPUTED_VALUE"""),46219.0)</f>
        <v>46219</v>
      </c>
      <c r="AJ574" s="130"/>
      <c r="AK574" s="343"/>
      <c r="AL574" s="130" t="str">
        <f>IFERROR(__xludf.DUMMYFUNCTION("""COMPUTED_VALUE"""),"blm balas lagi, FU 7 Juli")</f>
        <v>blm balas lagi, FU 7 Juli</v>
      </c>
    </row>
    <row r="575">
      <c r="M575" s="270"/>
      <c r="O575" s="271"/>
      <c r="P575" s="271"/>
      <c r="AC575" s="130" t="str">
        <f>IFERROR(__xludf.DUMMYFUNCTION("""COMPUTED_VALUE"""),"2607D001")</f>
        <v>2607D001</v>
      </c>
      <c r="AD575" s="341">
        <f>IFERROR(__xludf.DUMMYFUNCTION("""COMPUTED_VALUE"""),46204.0)</f>
        <v>46204</v>
      </c>
      <c r="AE575" s="130" t="str">
        <f>IFERROR(__xludf.DUMMYFUNCTION("""COMPUTED_VALUE"""),"V")</f>
        <v>V</v>
      </c>
      <c r="AF575" s="130" t="str">
        <f>IFERROR(__xludf.DUMMYFUNCTION("""COMPUTED_VALUE"""),"085649247772")</f>
        <v>085649247772</v>
      </c>
      <c r="AG575" s="130" t="str">
        <f>IFERROR(__xludf.DUMMYFUNCTION("""COMPUTED_VALUE"""),"Gagal")</f>
        <v>Gagal</v>
      </c>
      <c r="AH575" s="130" t="str">
        <f>IFERROR(__xludf.DUMMYFUNCTION("""COMPUTED_VALUE"""),"OT MT")</f>
        <v>OT MT</v>
      </c>
      <c r="AI575" s="342">
        <f>IFERROR(__xludf.DUMMYFUNCTION("""COMPUTED_VALUE"""),46215.0)</f>
        <v>46215</v>
      </c>
      <c r="AJ575" s="130">
        <f>IFERROR(__xludf.DUMMYFUNCTION("""COMPUTED_VALUE"""),1.0)</f>
        <v>1</v>
      </c>
      <c r="AK575" s="343"/>
      <c r="AL575" s="130" t="str">
        <f>IFERROR(__xludf.DUMMYFUNCTION("""COMPUTED_VALUE"""),"FU 4 Juli ")</f>
        <v>FU 4 Juli </v>
      </c>
    </row>
    <row r="576">
      <c r="M576" s="270"/>
      <c r="O576" s="271"/>
      <c r="P576" s="271"/>
      <c r="AC576" s="130" t="str">
        <f>IFERROR(__xludf.DUMMYFUNCTION("""COMPUTED_VALUE"""),"2607D002")</f>
        <v>2607D002</v>
      </c>
      <c r="AD576" s="341">
        <f>IFERROR(__xludf.DUMMYFUNCTION("""COMPUTED_VALUE"""),46204.0)</f>
        <v>46204</v>
      </c>
      <c r="AE576" s="130" t="str">
        <f>IFERROR(__xludf.DUMMYFUNCTION("""COMPUTED_VALUE"""),"Athifa Magitasari")</f>
        <v>Athifa Magitasari</v>
      </c>
      <c r="AF576" s="130" t="str">
        <f>IFERROR(__xludf.DUMMYFUNCTION("""COMPUTED_VALUE"""),"082234900751")</f>
        <v>082234900751</v>
      </c>
      <c r="AG576" s="130" t="str">
        <f>IFERROR(__xludf.DUMMYFUNCTION("""COMPUTED_VALUE"""),"Gagal")</f>
        <v>Gagal</v>
      </c>
      <c r="AH576" s="130" t="str">
        <f>IFERROR(__xludf.DUMMYFUNCTION("""COMPUTED_VALUE"""),"OT MT")</f>
        <v>OT MT</v>
      </c>
      <c r="AI576" s="342">
        <f>IFERROR(__xludf.DUMMYFUNCTION("""COMPUTED_VALUE"""),46205.0)</f>
        <v>46205</v>
      </c>
      <c r="AJ576" s="130">
        <f>IFERROR(__xludf.DUMMYFUNCTION("""COMPUTED_VALUE"""),4.0)</f>
        <v>4</v>
      </c>
      <c r="AK576" s="343"/>
      <c r="AL576" s="130" t="str">
        <f>IFERROR(__xludf.DUMMYFUNCTION("""COMPUTED_VALUE"""),"tidakk jadi trip")</f>
        <v>tidakk jadi trip</v>
      </c>
    </row>
    <row r="577">
      <c r="M577" s="270"/>
      <c r="O577" s="271"/>
      <c r="P577" s="271"/>
      <c r="AC577" s="130" t="str">
        <f>IFERROR(__xludf.DUMMYFUNCTION("""COMPUTED_VALUE"""),"2607D003")</f>
        <v>2607D003</v>
      </c>
      <c r="AD577" s="341">
        <f>IFERROR(__xludf.DUMMYFUNCTION("""COMPUTED_VALUE"""),46204.0)</f>
        <v>46204</v>
      </c>
      <c r="AE577" s="130" t="str">
        <f>IFERROR(__xludf.DUMMYFUNCTION("""COMPUTED_VALUE"""),"Maulida")</f>
        <v>Maulida</v>
      </c>
      <c r="AF577" s="130" t="str">
        <f>IFERROR(__xludf.DUMMYFUNCTION("""COMPUTED_VALUE"""),"082334335533")</f>
        <v>082334335533</v>
      </c>
      <c r="AG577" s="130" t="str">
        <f>IFERROR(__xludf.DUMMYFUNCTION("""COMPUTED_VALUE"""),"Gagal")</f>
        <v>Gagal</v>
      </c>
      <c r="AH577" s="130" t="str">
        <f>IFERROR(__xludf.DUMMYFUNCTION("""COMPUTED_VALUE"""),"OT MT")</f>
        <v>OT MT</v>
      </c>
      <c r="AI577" s="342">
        <f>IFERROR(__xludf.DUMMYFUNCTION("""COMPUTED_VALUE"""),46207.0)</f>
        <v>46207</v>
      </c>
      <c r="AJ577" s="130">
        <f>IFERROR(__xludf.DUMMYFUNCTION("""COMPUTED_VALUE"""),5.0)</f>
        <v>5</v>
      </c>
      <c r="AK577" s="343"/>
      <c r="AL577" s="130" t="str">
        <f>IFERROR(__xludf.DUMMYFUNCTION("""COMPUTED_VALUE"""),"fullbookeddd")</f>
        <v>fullbookeddd</v>
      </c>
    </row>
    <row r="578">
      <c r="M578" s="270"/>
      <c r="O578" s="271"/>
      <c r="P578" s="271"/>
      <c r="AC578" s="130" t="str">
        <f>IFERROR(__xludf.DUMMYFUNCTION("""COMPUTED_VALUE"""),"2607D005")</f>
        <v>2607D005</v>
      </c>
      <c r="AD578" s="341">
        <f>IFERROR(__xludf.DUMMYFUNCTION("""COMPUTED_VALUE"""),46204.0)</f>
        <v>46204</v>
      </c>
      <c r="AE578" s="130" t="str">
        <f>IFERROR(__xludf.DUMMYFUNCTION("""COMPUTED_VALUE"""),"Andita")</f>
        <v>Andita</v>
      </c>
      <c r="AF578" s="130" t="str">
        <f>IFERROR(__xludf.DUMMYFUNCTION("""COMPUTED_VALUE"""),"085727026326")</f>
        <v>085727026326</v>
      </c>
      <c r="AG578" s="130" t="str">
        <f>IFERROR(__xludf.DUMMYFUNCTION("""COMPUTED_VALUE"""),"Gagal")</f>
        <v>Gagal</v>
      </c>
      <c r="AH578" s="130" t="str">
        <f>IFERROR(__xludf.DUMMYFUNCTION("""COMPUTED_VALUE"""),"OT 3H2M")</f>
        <v>OT 3H2M</v>
      </c>
      <c r="AI578" s="342">
        <f>IFERROR(__xludf.DUMMYFUNCTION("""COMPUTED_VALUE"""),46223.0)</f>
        <v>46223</v>
      </c>
      <c r="AJ578" s="130">
        <f>IFERROR(__xludf.DUMMYFUNCTION("""COMPUTED_VALUE"""),2.0)</f>
        <v>2</v>
      </c>
      <c r="AK578" s="343"/>
      <c r="AL578" s="130"/>
    </row>
    <row r="579">
      <c r="M579" s="270"/>
      <c r="O579" s="271"/>
      <c r="P579" s="271"/>
      <c r="AC579" s="130" t="str">
        <f>IFERROR(__xludf.DUMMYFUNCTION("""COMPUTED_VALUE"""),"2607D006")</f>
        <v>2607D006</v>
      </c>
      <c r="AD579" s="341">
        <f>IFERROR(__xludf.DUMMYFUNCTION("""COMPUTED_VALUE"""),46204.0)</f>
        <v>46204</v>
      </c>
      <c r="AE579" s="130" t="str">
        <f>IFERROR(__xludf.DUMMYFUNCTION("""COMPUTED_VALUE"""),"Rooom")</f>
        <v>Rooom</v>
      </c>
      <c r="AF579" s="130" t="str">
        <f>IFERROR(__xludf.DUMMYFUNCTION("""COMPUTED_VALUE"""),"087893735674")</f>
        <v>087893735674</v>
      </c>
      <c r="AG579" s="130" t="str">
        <f>IFERROR(__xludf.DUMMYFUNCTION("""COMPUTED_VALUE"""),"Gagal")</f>
        <v>Gagal</v>
      </c>
      <c r="AH579" s="130" t="str">
        <f>IFERROR(__xludf.DUMMYFUNCTION("""COMPUTED_VALUE"""),"OT MT")</f>
        <v>OT MT</v>
      </c>
      <c r="AI579" s="342">
        <f>IFERROR(__xludf.DUMMYFUNCTION("""COMPUTED_VALUE"""),46216.0)</f>
        <v>46216</v>
      </c>
      <c r="AJ579" s="130">
        <f>IFERROR(__xludf.DUMMYFUNCTION("""COMPUTED_VALUE"""),20.0)</f>
        <v>20</v>
      </c>
      <c r="AK579" s="343"/>
      <c r="AL579" s="130" t="str">
        <f>IFERROR(__xludf.DUMMYFUNCTION("""COMPUTED_VALUE"""),"belum jadi liburan ke bwi")</f>
        <v>belum jadi liburan ke bwi</v>
      </c>
    </row>
    <row r="580">
      <c r="M580" s="270"/>
      <c r="O580" s="271"/>
      <c r="P580" s="271"/>
      <c r="AC580" s="130" t="str">
        <f>IFERROR(__xludf.DUMMYFUNCTION("""COMPUTED_VALUE"""),"2607D007")</f>
        <v>2607D007</v>
      </c>
      <c r="AD580" s="341">
        <f>IFERROR(__xludf.DUMMYFUNCTION("""COMPUTED_VALUE"""),46205.0)</f>
        <v>46205</v>
      </c>
      <c r="AE580" s="130" t="str">
        <f>IFERROR(__xludf.DUMMYFUNCTION("""COMPUTED_VALUE"""),"Dory Oktriandi")</f>
        <v>Dory Oktriandi</v>
      </c>
      <c r="AF580" s="130" t="str">
        <f>IFERROR(__xludf.DUMMYFUNCTION("""COMPUTED_VALUE"""),"081284202836")</f>
        <v>081284202836</v>
      </c>
      <c r="AG580" s="130" t="str">
        <f>IFERROR(__xludf.DUMMYFUNCTION("""COMPUTED_VALUE"""),"Gagal")</f>
        <v>Gagal</v>
      </c>
      <c r="AH580" s="130" t="str">
        <f>IFERROR(__xludf.DUMMYFUNCTION("""COMPUTED_VALUE"""),"3H2M opsi B")</f>
        <v>3H2M opsi B</v>
      </c>
      <c r="AI580" s="342">
        <f>IFERROR(__xludf.DUMMYFUNCTION("""COMPUTED_VALUE"""),46210.0)</f>
        <v>46210</v>
      </c>
      <c r="AJ580" s="130">
        <f>IFERROR(__xludf.DUMMYFUNCTION("""COMPUTED_VALUE"""),4.0)</f>
        <v>4</v>
      </c>
      <c r="AK580" s="343"/>
      <c r="AL580" s="130" t="str">
        <f>IFERROR(__xludf.DUMMYFUNCTION("""COMPUTED_VALUE"""),"FU 4 Juli")</f>
        <v>FU 4 Juli</v>
      </c>
    </row>
    <row r="581">
      <c r="M581" s="270"/>
      <c r="O581" s="271"/>
      <c r="P581" s="271"/>
      <c r="AC581" s="130" t="str">
        <f>IFERROR(__xludf.DUMMYFUNCTION("""COMPUTED_VALUE"""),"2607D010")</f>
        <v>2607D010</v>
      </c>
      <c r="AD581" s="341">
        <f>IFERROR(__xludf.DUMMYFUNCTION("""COMPUTED_VALUE"""),46205.0)</f>
        <v>46205</v>
      </c>
      <c r="AE581" s="130" t="str">
        <f>IFERROR(__xludf.DUMMYFUNCTION("""COMPUTED_VALUE"""),"Ds")</f>
        <v>Ds</v>
      </c>
      <c r="AF581" s="130" t="str">
        <f>IFERROR(__xludf.DUMMYFUNCTION("""COMPUTED_VALUE"""),"085248580798")</f>
        <v>085248580798</v>
      </c>
      <c r="AG581" s="130" t="str">
        <f>IFERROR(__xludf.DUMMYFUNCTION("""COMPUTED_VALUE"""),"Gagal")</f>
        <v>Gagal</v>
      </c>
      <c r="AH581" s="130" t="str">
        <f>IFERROR(__xludf.DUMMYFUNCTION("""COMPUTED_VALUE"""),"OT harian")</f>
        <v>OT harian</v>
      </c>
      <c r="AI581" s="342">
        <f>IFERROR(__xludf.DUMMYFUNCTION("""COMPUTED_VALUE"""),46228.0)</f>
        <v>46228</v>
      </c>
      <c r="AJ581" s="130">
        <f>IFERROR(__xludf.DUMMYFUNCTION("""COMPUTED_VALUE"""),1.0)</f>
        <v>1</v>
      </c>
      <c r="AK581" s="343"/>
      <c r="AL581" s="130" t="str">
        <f>IFERROR(__xludf.DUMMYFUNCTION("""COMPUTED_VALUE"""),"gajadii waktunya kurang passss")</f>
        <v>gajadii waktunya kurang passss</v>
      </c>
    </row>
    <row r="582">
      <c r="M582" s="270"/>
      <c r="O582" s="271"/>
      <c r="P582" s="271"/>
      <c r="AC582" s="130" t="str">
        <f>IFERROR(__xludf.DUMMYFUNCTION("""COMPUTED_VALUE"""),"2607D012")</f>
        <v>2607D012</v>
      </c>
      <c r="AD582" s="341">
        <f>IFERROR(__xludf.DUMMYFUNCTION("""COMPUTED_VALUE"""),46205.0)</f>
        <v>46205</v>
      </c>
      <c r="AE582" s="130" t="str">
        <f>IFERROR(__xludf.DUMMYFUNCTION("""COMPUTED_VALUE"""),"Dwi")</f>
        <v>Dwi</v>
      </c>
      <c r="AF582" s="130" t="str">
        <f>IFERROR(__xludf.DUMMYFUNCTION("""COMPUTED_VALUE"""),"082338185599")</f>
        <v>082338185599</v>
      </c>
      <c r="AG582" s="130" t="str">
        <f>IFERROR(__xludf.DUMMYFUNCTION("""COMPUTED_VALUE"""),"Gagal")</f>
        <v>Gagal</v>
      </c>
      <c r="AH582" s="130" t="str">
        <f>IFERROR(__xludf.DUMMYFUNCTION("""COMPUTED_VALUE"""),"OT MT")</f>
        <v>OT MT</v>
      </c>
      <c r="AI582" s="342">
        <f>IFERROR(__xludf.DUMMYFUNCTION("""COMPUTED_VALUE"""),46209.0)</f>
        <v>46209</v>
      </c>
      <c r="AJ582" s="130">
        <f>IFERROR(__xludf.DUMMYFUNCTION("""COMPUTED_VALUE"""),2.0)</f>
        <v>2</v>
      </c>
      <c r="AK582" s="343"/>
      <c r="AL582" s="130" t="str">
        <f>IFERROR(__xludf.DUMMYFUNCTION("""COMPUTED_VALUE"""),"FU 3 Juli")</f>
        <v>FU 3 Juli</v>
      </c>
    </row>
    <row r="583">
      <c r="M583" s="270"/>
      <c r="O583" s="271"/>
      <c r="P583" s="271"/>
      <c r="AC583" s="130" t="str">
        <f>IFERROR(__xludf.DUMMYFUNCTION("""COMPUTED_VALUE"""),"2607D013")</f>
        <v>2607D013</v>
      </c>
      <c r="AD583" s="341">
        <f>IFERROR(__xludf.DUMMYFUNCTION("""COMPUTED_VALUE"""),46205.0)</f>
        <v>46205</v>
      </c>
      <c r="AE583" s="130" t="str">
        <f>IFERROR(__xludf.DUMMYFUNCTION("""COMPUTED_VALUE"""),"Witney Calora")</f>
        <v>Witney Calora</v>
      </c>
      <c r="AF583" s="130" t="str">
        <f>IFERROR(__xludf.DUMMYFUNCTION("""COMPUTED_VALUE"""),"085787767762")</f>
        <v>085787767762</v>
      </c>
      <c r="AG583" s="130" t="str">
        <f>IFERROR(__xludf.DUMMYFUNCTION("""COMPUTED_VALUE"""),"Gagal")</f>
        <v>Gagal</v>
      </c>
      <c r="AH583" s="130" t="str">
        <f>IFERROR(__xludf.DUMMYFUNCTION("""COMPUTED_VALUE"""),"OT MT")</f>
        <v>OT MT</v>
      </c>
      <c r="AI583" s="342">
        <f>IFERROR(__xludf.DUMMYFUNCTION("""COMPUTED_VALUE"""),46207.0)</f>
        <v>46207</v>
      </c>
      <c r="AJ583" s="130"/>
      <c r="AK583" s="343"/>
      <c r="AL583" s="130" t="str">
        <f>IFERROR(__xludf.DUMMYFUNCTION("""COMPUTED_VALUE"""),"fullbookeddd")</f>
        <v>fullbookeddd</v>
      </c>
    </row>
    <row r="584">
      <c r="M584" s="270"/>
      <c r="O584" s="271"/>
      <c r="P584" s="271"/>
      <c r="AC584" s="130" t="str">
        <f>IFERROR(__xludf.DUMMYFUNCTION("""COMPUTED_VALUE"""),"2607D016")</f>
        <v>2607D016</v>
      </c>
      <c r="AD584" s="341">
        <f>IFERROR(__xludf.DUMMYFUNCTION("""COMPUTED_VALUE"""),46205.0)</f>
        <v>46205</v>
      </c>
      <c r="AE584" s="130" t="str">
        <f>IFERROR(__xludf.DUMMYFUNCTION("""COMPUTED_VALUE"""),"Shinta Ayu ")</f>
        <v>Shinta Ayu </v>
      </c>
      <c r="AF584" s="130" t="str">
        <f>IFERROR(__xludf.DUMMYFUNCTION("""COMPUTED_VALUE"""),"082230575448")</f>
        <v>082230575448</v>
      </c>
      <c r="AG584" s="130" t="str">
        <f>IFERROR(__xludf.DUMMYFUNCTION("""COMPUTED_VALUE"""),"Gagal")</f>
        <v>Gagal</v>
      </c>
      <c r="AH584" s="130" t="str">
        <f>IFERROR(__xludf.DUMMYFUNCTION("""COMPUTED_VALUE"""),"trip Djawatan Baluran")</f>
        <v>trip Djawatan Baluran</v>
      </c>
      <c r="AI584" s="342">
        <f>IFERROR(__xludf.DUMMYFUNCTION("""COMPUTED_VALUE"""),46208.0)</f>
        <v>46208</v>
      </c>
      <c r="AJ584" s="130">
        <f>IFERROR(__xludf.DUMMYFUNCTION("""COMPUTED_VALUE"""),3.0)</f>
        <v>3</v>
      </c>
      <c r="AK584" s="343"/>
      <c r="AL584" s="130" t="str">
        <f>IFERROR(__xludf.DUMMYFUNCTION("""COMPUTED_VALUE"""),"Jeep Fullbookeddd, ditawarin avanza gamauu")</f>
        <v>Jeep Fullbookeddd, ditawarin avanza gamauu</v>
      </c>
    </row>
    <row r="585">
      <c r="M585" s="270"/>
      <c r="O585" s="271"/>
      <c r="P585" s="271"/>
      <c r="AC585" s="130" t="str">
        <f>IFERROR(__xludf.DUMMYFUNCTION("""COMPUTED_VALUE"""),"2607D020")</f>
        <v>2607D020</v>
      </c>
      <c r="AD585" s="341">
        <f>IFERROR(__xludf.DUMMYFUNCTION("""COMPUTED_VALUE"""),46205.0)</f>
        <v>46205</v>
      </c>
      <c r="AE585" s="130" t="str">
        <f>IFERROR(__xludf.DUMMYFUNCTION("""COMPUTED_VALUE"""),"Destira ")</f>
        <v>Destira </v>
      </c>
      <c r="AF585" s="130" t="str">
        <f>IFERROR(__xludf.DUMMYFUNCTION("""COMPUTED_VALUE"""),"081225600450")</f>
        <v>081225600450</v>
      </c>
      <c r="AG585" s="130" t="str">
        <f>IFERROR(__xludf.DUMMYFUNCTION("""COMPUTED_VALUE"""),"Gagal")</f>
        <v>Gagal</v>
      </c>
      <c r="AH585" s="130" t="str">
        <f>IFERROR(__xludf.DUMMYFUNCTION("""COMPUTED_VALUE"""),"1 day trip M,T,B")</f>
        <v>1 day trip M,T,B</v>
      </c>
      <c r="AI585" s="342"/>
      <c r="AJ585" s="130">
        <f>IFERROR(__xludf.DUMMYFUNCTION("""COMPUTED_VALUE"""),4.0)</f>
        <v>4</v>
      </c>
      <c r="AK585" s="343"/>
      <c r="AL585" s="130" t="str">
        <f>IFERROR(__xludf.DUMMYFUNCTION("""COMPUTED_VALUE"""),"cancell, jadi liburan tanpa agent")</f>
        <v>cancell, jadi liburan tanpa agent</v>
      </c>
    </row>
    <row r="586">
      <c r="M586" s="270"/>
      <c r="O586" s="271"/>
      <c r="P586" s="271"/>
      <c r="AC586" s="130" t="str">
        <f>IFERROR(__xludf.DUMMYFUNCTION("""COMPUTED_VALUE"""),"2607D021")</f>
        <v>2607D021</v>
      </c>
      <c r="AD586" s="341">
        <f>IFERROR(__xludf.DUMMYFUNCTION("""COMPUTED_VALUE"""),46205.0)</f>
        <v>46205</v>
      </c>
      <c r="AE586" s="130" t="str">
        <f>IFERROR(__xludf.DUMMYFUNCTION("""COMPUTED_VALUE"""),"Anna Lord")</f>
        <v>Anna Lord</v>
      </c>
      <c r="AF586" s="130" t="str">
        <f>IFERROR(__xludf.DUMMYFUNCTION("""COMPUTED_VALUE"""),"081337874613")</f>
        <v>081337874613</v>
      </c>
      <c r="AG586" s="130" t="str">
        <f>IFERROR(__xludf.DUMMYFUNCTION("""COMPUTED_VALUE"""),"Gagal")</f>
        <v>Gagal</v>
      </c>
      <c r="AH586" s="130"/>
      <c r="AI586" s="342"/>
      <c r="AJ586" s="130"/>
      <c r="AK586" s="343"/>
      <c r="AL586" s="130" t="str">
        <f>IFERROR(__xludf.DUMMYFUNCTION("""COMPUTED_VALUE"""),"tanya boat, fullbookedd")</f>
        <v>tanya boat, fullbookedd</v>
      </c>
    </row>
    <row r="587">
      <c r="M587" s="270"/>
      <c r="O587" s="271"/>
      <c r="P587" s="271"/>
      <c r="AC587" s="130" t="str">
        <f>IFERROR(__xludf.DUMMYFUNCTION("""COMPUTED_VALUE"""),"2607D024")</f>
        <v>2607D024</v>
      </c>
      <c r="AD587" s="341">
        <f>IFERROR(__xludf.DUMMYFUNCTION("""COMPUTED_VALUE"""),46207.0)</f>
        <v>46207</v>
      </c>
      <c r="AE587" s="130" t="str">
        <f>IFERROR(__xludf.DUMMYFUNCTION("""COMPUTED_VALUE"""),"Andi")</f>
        <v>Andi</v>
      </c>
      <c r="AF587" s="130" t="str">
        <f>IFERROR(__xludf.DUMMYFUNCTION("""COMPUTED_VALUE"""),"081994931195")</f>
        <v>081994931195</v>
      </c>
      <c r="AG587" s="130" t="str">
        <f>IFERROR(__xludf.DUMMYFUNCTION("""COMPUTED_VALUE"""),"Gagal")</f>
        <v>Gagal</v>
      </c>
      <c r="AH587" s="130" t="str">
        <f>IFERROR(__xludf.DUMMYFUNCTION("""COMPUTED_VALUE"""),"4H3M")</f>
        <v>4H3M</v>
      </c>
      <c r="AI587" s="342">
        <f>IFERROR(__xludf.DUMMYFUNCTION("""COMPUTED_VALUE"""),46214.0)</f>
        <v>46214</v>
      </c>
      <c r="AJ587" s="130">
        <f>IFERROR(__xludf.DUMMYFUNCTION("""COMPUTED_VALUE"""),30.0)</f>
        <v>30</v>
      </c>
      <c r="AK587" s="343"/>
      <c r="AL587" s="130" t="str">
        <f>IFERROR(__xludf.DUMMYFUNCTION("""COMPUTED_VALUE"""),"tdk ada kelanjutan")</f>
        <v>tdk ada kelanjutan</v>
      </c>
    </row>
    <row r="588">
      <c r="M588" s="270"/>
      <c r="O588" s="271"/>
      <c r="P588" s="271"/>
      <c r="AC588" s="130" t="str">
        <f>IFERROR(__xludf.DUMMYFUNCTION("""COMPUTED_VALUE"""),"2607D025")</f>
        <v>2607D025</v>
      </c>
      <c r="AD588" s="341">
        <f>IFERROR(__xludf.DUMMYFUNCTION("""COMPUTED_VALUE"""),46206.0)</f>
        <v>46206</v>
      </c>
      <c r="AE588" s="130" t="str">
        <f>IFERROR(__xludf.DUMMYFUNCTION("""COMPUTED_VALUE"""),"No Name Ijen")</f>
        <v>No Name Ijen</v>
      </c>
      <c r="AF588" s="130" t="str">
        <f>IFERROR(__xludf.DUMMYFUNCTION("""COMPUTED_VALUE"""),"08121028921")</f>
        <v>08121028921</v>
      </c>
      <c r="AG588" s="130" t="str">
        <f>IFERROR(__xludf.DUMMYFUNCTION("""COMPUTED_VALUE"""),"Gagal")</f>
        <v>Gagal</v>
      </c>
      <c r="AH588" s="130" t="str">
        <f>IFERROR(__xludf.DUMMYFUNCTION("""COMPUTED_VALUE"""),"trip Ijen")</f>
        <v>trip Ijen</v>
      </c>
      <c r="AI588" s="342"/>
      <c r="AJ588" s="130"/>
      <c r="AK588" s="343"/>
      <c r="AL588" s="130" t="str">
        <f>IFERROR(__xludf.DUMMYFUNCTION("""COMPUTED_VALUE"""),"FU 8 Juli")</f>
        <v>FU 8 Juli</v>
      </c>
    </row>
    <row r="589">
      <c r="M589" s="270"/>
      <c r="O589" s="271"/>
      <c r="P589" s="271"/>
      <c r="AC589" s="130" t="str">
        <f>IFERROR(__xludf.DUMMYFUNCTION("""COMPUTED_VALUE"""),"2607D038")</f>
        <v>2607D038</v>
      </c>
      <c r="AD589" s="341">
        <f>IFERROR(__xludf.DUMMYFUNCTION("""COMPUTED_VALUE"""),46210.0)</f>
        <v>46210</v>
      </c>
      <c r="AE589" s="130" t="str">
        <f>IFERROR(__xludf.DUMMYFUNCTION("""COMPUTED_VALUE"""),"Lili Sesilia")</f>
        <v>Lili Sesilia</v>
      </c>
      <c r="AF589" s="130" t="str">
        <f>IFERROR(__xludf.DUMMYFUNCTION("""COMPUTED_VALUE"""),"085785286939")</f>
        <v>085785286939</v>
      </c>
      <c r="AG589" s="130" t="str">
        <f>IFERROR(__xludf.DUMMYFUNCTION("""COMPUTED_VALUE"""),"Gagal")</f>
        <v>Gagal</v>
      </c>
      <c r="AH589" s="130" t="str">
        <f>IFERROR(__xludf.DUMMYFUNCTION("""COMPUTED_VALUE"""),"trip GI, Bedil")</f>
        <v>trip GI, Bedil</v>
      </c>
      <c r="AI589" s="342">
        <f>IFERROR(__xludf.DUMMYFUNCTION("""COMPUTED_VALUE"""),46249.0)</f>
        <v>46249</v>
      </c>
      <c r="AJ589" s="130">
        <f>IFERROR(__xludf.DUMMYFUNCTION("""COMPUTED_VALUE"""),22.0)</f>
        <v>22</v>
      </c>
      <c r="AK589" s="343"/>
      <c r="AL589" s="130" t="str">
        <f>IFERROR(__xludf.DUMMYFUNCTION("""COMPUTED_VALUE"""),"cancelll")</f>
        <v>cancelll</v>
      </c>
    </row>
    <row r="590">
      <c r="M590" s="270"/>
      <c r="O590" s="271"/>
      <c r="P590" s="271"/>
      <c r="AC590" s="130" t="str">
        <f>IFERROR(__xludf.DUMMYFUNCTION("""COMPUTED_VALUE"""),"2607D041")</f>
        <v>2607D041</v>
      </c>
      <c r="AD590" s="341">
        <f>IFERROR(__xludf.DUMMYFUNCTION("""COMPUTED_VALUE"""),46209.0)</f>
        <v>46209</v>
      </c>
      <c r="AE590" s="130" t="str">
        <f>IFERROR(__xludf.DUMMYFUNCTION("""COMPUTED_VALUE"""),"Fara ")</f>
        <v>Fara </v>
      </c>
      <c r="AF590" s="130" t="str">
        <f>IFERROR(__xludf.DUMMYFUNCTION("""COMPUTED_VALUE"""),"085875129620")</f>
        <v>085875129620</v>
      </c>
      <c r="AG590" s="130" t="str">
        <f>IFERROR(__xludf.DUMMYFUNCTION("""COMPUTED_VALUE"""),"Gagal")</f>
        <v>Gagal</v>
      </c>
      <c r="AH590" s="130"/>
      <c r="AI590" s="342"/>
      <c r="AJ590" s="130">
        <f>IFERROR(__xludf.DUMMYFUNCTION("""COMPUTED_VALUE"""),4.0)</f>
        <v>4</v>
      </c>
      <c r="AK590" s="343"/>
      <c r="AL590" s="130" t="str">
        <f>IFERROR(__xludf.DUMMYFUNCTION("""COMPUTED_VALUE"""),"dadakan")</f>
        <v>dadakan</v>
      </c>
    </row>
    <row r="591">
      <c r="M591" s="270"/>
      <c r="O591" s="271"/>
      <c r="P591" s="271"/>
      <c r="AC591" s="130" t="str">
        <f>IFERROR(__xludf.DUMMYFUNCTION("""COMPUTED_VALUE"""),"2607D043")</f>
        <v>2607D043</v>
      </c>
      <c r="AD591" s="341">
        <f>IFERROR(__xludf.DUMMYFUNCTION("""COMPUTED_VALUE"""),46210.0)</f>
        <v>46210</v>
      </c>
      <c r="AE591" s="130" t="str">
        <f>IFERROR(__xludf.DUMMYFUNCTION("""COMPUTED_VALUE"""),"Nur Elyawati")</f>
        <v>Nur Elyawati</v>
      </c>
      <c r="AF591" s="130" t="str">
        <f>IFERROR(__xludf.DUMMYFUNCTION("""COMPUTED_VALUE"""),"081273106999")</f>
        <v>081273106999</v>
      </c>
      <c r="AG591" s="130" t="str">
        <f>IFERROR(__xludf.DUMMYFUNCTION("""COMPUTED_VALUE"""),"Gagal")</f>
        <v>Gagal</v>
      </c>
      <c r="AH591" s="130" t="str">
        <f>IFERROR(__xludf.DUMMYFUNCTION("""COMPUTED_VALUE"""),"trip Djabal")</f>
        <v>trip Djabal</v>
      </c>
      <c r="AI591" s="342">
        <f>IFERROR(__xludf.DUMMYFUNCTION("""COMPUTED_VALUE"""),46211.0)</f>
        <v>46211</v>
      </c>
      <c r="AJ591" s="130">
        <f>IFERROR(__xludf.DUMMYFUNCTION("""COMPUTED_VALUE"""),4.0)</f>
        <v>4</v>
      </c>
      <c r="AK591" s="343"/>
      <c r="AL591" s="130"/>
    </row>
    <row r="592">
      <c r="M592" s="270"/>
      <c r="O592" s="271"/>
      <c r="P592" s="271"/>
      <c r="AC592" s="130" t="str">
        <f>IFERROR(__xludf.DUMMYFUNCTION("""COMPUTED_VALUE"""),"2607D047")</f>
        <v>2607D047</v>
      </c>
      <c r="AD592" s="341">
        <f>IFERROR(__xludf.DUMMYFUNCTION("""COMPUTED_VALUE"""),46209.0)</f>
        <v>46209</v>
      </c>
      <c r="AE592" s="130" t="str">
        <f>IFERROR(__xludf.DUMMYFUNCTION("""COMPUTED_VALUE"""),"Amara Maulidi")</f>
        <v>Amara Maulidi</v>
      </c>
      <c r="AF592" s="130" t="str">
        <f>IFERROR(__xludf.DUMMYFUNCTION("""COMPUTED_VALUE"""),"087787151281")</f>
        <v>087787151281</v>
      </c>
      <c r="AG592" s="130" t="str">
        <f>IFERROR(__xludf.DUMMYFUNCTION("""COMPUTED_VALUE"""),"Gagal")</f>
        <v>Gagal</v>
      </c>
      <c r="AH592" s="130" t="str">
        <f>IFERROR(__xludf.DUMMYFUNCTION("""COMPUTED_VALUE"""),"3H2M ")</f>
        <v>3H2M </v>
      </c>
      <c r="AI592" s="342">
        <f>IFERROR(__xludf.DUMMYFUNCTION("""COMPUTED_VALUE"""),46222.0)</f>
        <v>46222</v>
      </c>
      <c r="AJ592" s="130">
        <f>IFERROR(__xludf.DUMMYFUNCTION("""COMPUTED_VALUE"""),2.0)</f>
        <v>2</v>
      </c>
      <c r="AK592" s="343"/>
      <c r="AL592" s="130" t="str">
        <f>IFERROR(__xludf.DUMMYFUNCTION("""COMPUTED_VALUE"""),"FU terakhir")</f>
        <v>FU terakhir</v>
      </c>
    </row>
    <row r="593">
      <c r="M593" s="270"/>
      <c r="O593" s="271"/>
      <c r="P593" s="271"/>
      <c r="AC593" s="130" t="str">
        <f>IFERROR(__xludf.DUMMYFUNCTION("""COMPUTED_VALUE"""),"2607D050")</f>
        <v>2607D050</v>
      </c>
      <c r="AD593" s="341">
        <f>IFERROR(__xludf.DUMMYFUNCTION("""COMPUTED_VALUE"""),46210.0)</f>
        <v>46210</v>
      </c>
      <c r="AE593" s="130" t="str">
        <f>IFERROR(__xludf.DUMMYFUNCTION("""COMPUTED_VALUE"""),"Mukti Aray")</f>
        <v>Mukti Aray</v>
      </c>
      <c r="AF593" s="130" t="str">
        <f>IFERROR(__xludf.DUMMYFUNCTION("""COMPUTED_VALUE"""),"081289383778")</f>
        <v>081289383778</v>
      </c>
      <c r="AG593" s="130" t="str">
        <f>IFERROR(__xludf.DUMMYFUNCTION("""COMPUTED_VALUE"""),"Gagal")</f>
        <v>Gagal</v>
      </c>
      <c r="AH593" s="130" t="str">
        <f>IFERROR(__xludf.DUMMYFUNCTION("""COMPUTED_VALUE"""),"GI ")</f>
        <v>GI </v>
      </c>
      <c r="AI593" s="342">
        <f>IFERROR(__xludf.DUMMYFUNCTION("""COMPUTED_VALUE"""),46211.0)</f>
        <v>46211</v>
      </c>
      <c r="AJ593" s="130">
        <f>IFERROR(__xludf.DUMMYFUNCTION("""COMPUTED_VALUE"""),5.0)</f>
        <v>5</v>
      </c>
      <c r="AK593" s="343"/>
      <c r="AL593" s="130" t="str">
        <f>IFERROR(__xludf.DUMMYFUNCTION("""COMPUTED_VALUE"""),"ga ada konfirmasi lagi")</f>
        <v>ga ada konfirmasi lagi</v>
      </c>
    </row>
    <row r="594">
      <c r="M594" s="270"/>
      <c r="O594" s="271"/>
      <c r="P594" s="271"/>
      <c r="AC594" s="130" t="str">
        <f>IFERROR(__xludf.DUMMYFUNCTION("""COMPUTED_VALUE"""),"2607D052")</f>
        <v>2607D052</v>
      </c>
      <c r="AD594" s="341">
        <f>IFERROR(__xludf.DUMMYFUNCTION("""COMPUTED_VALUE"""),46210.0)</f>
        <v>46210</v>
      </c>
      <c r="AE594" s="130" t="str">
        <f>IFERROR(__xludf.DUMMYFUNCTION("""COMPUTED_VALUE"""),"Khenny Honesty")</f>
        <v>Khenny Honesty</v>
      </c>
      <c r="AF594" s="130" t="str">
        <f>IFERROR(__xludf.DUMMYFUNCTION("""COMPUTED_VALUE"""),"082188000498")</f>
        <v>082188000498</v>
      </c>
      <c r="AG594" s="130" t="str">
        <f>IFERROR(__xludf.DUMMYFUNCTION("""COMPUTED_VALUE"""),"Gagal")</f>
        <v>Gagal</v>
      </c>
      <c r="AH594" s="130" t="str">
        <f>IFERROR(__xludf.DUMMYFUNCTION("""COMPUTED_VALUE"""),"OT 3H2M ")</f>
        <v>OT 3H2M </v>
      </c>
      <c r="AI594" s="342"/>
      <c r="AJ594" s="130">
        <f>IFERROR(__xludf.DUMMYFUNCTION("""COMPUTED_VALUE"""),2.0)</f>
        <v>2</v>
      </c>
      <c r="AK594" s="343"/>
      <c r="AL594" s="130" t="str">
        <f>IFERROR(__xludf.DUMMYFUNCTION("""COMPUTED_VALUE"""),"sudah fu tidak dibalas")</f>
        <v>sudah fu tidak dibalas</v>
      </c>
    </row>
    <row r="595">
      <c r="M595" s="270"/>
      <c r="O595" s="271"/>
      <c r="P595" s="271"/>
      <c r="AC595" s="130" t="str">
        <f>IFERROR(__xludf.DUMMYFUNCTION("""COMPUTED_VALUE"""),"2607D057")</f>
        <v>2607D057</v>
      </c>
      <c r="AD595" s="341">
        <f>IFERROR(__xludf.DUMMYFUNCTION("""COMPUTED_VALUE"""),46210.0)</f>
        <v>46210</v>
      </c>
      <c r="AE595" s="130" t="str">
        <f>IFERROR(__xludf.DUMMYFUNCTION("""COMPUTED_VALUE"""),"Z")</f>
        <v>Z</v>
      </c>
      <c r="AF595" s="130" t="str">
        <f>IFERROR(__xludf.DUMMYFUNCTION("""COMPUTED_VALUE"""),"081910918412")</f>
        <v>081910918412</v>
      </c>
      <c r="AG595" s="130" t="str">
        <f>IFERROR(__xludf.DUMMYFUNCTION("""COMPUTED_VALUE"""),"Gagal")</f>
        <v>Gagal</v>
      </c>
      <c r="AH595" s="130" t="str">
        <f>IFERROR(__xludf.DUMMYFUNCTION("""COMPUTED_VALUE"""),"OT MT")</f>
        <v>OT MT</v>
      </c>
      <c r="AI595" s="342"/>
      <c r="AJ595" s="130">
        <f>IFERROR(__xludf.DUMMYFUNCTION("""COMPUTED_VALUE"""),5.0)</f>
        <v>5</v>
      </c>
      <c r="AK595" s="343"/>
      <c r="AL595" s="130" t="str">
        <f>IFERROR(__xludf.DUMMYFUNCTION("""COMPUTED_VALUE"""),"gajadii, ada musibah ayahnya meninggal")</f>
        <v>gajadii, ada musibah ayahnya meninggal</v>
      </c>
    </row>
    <row r="596">
      <c r="M596" s="270"/>
      <c r="O596" s="271"/>
      <c r="P596" s="271"/>
      <c r="AC596" s="130" t="str">
        <f>IFERROR(__xludf.DUMMYFUNCTION("""COMPUTED_VALUE"""),"2607D062")</f>
        <v>2607D062</v>
      </c>
      <c r="AD596" s="341">
        <f>IFERROR(__xludf.DUMMYFUNCTION("""COMPUTED_VALUE"""),46211.0)</f>
        <v>46211</v>
      </c>
      <c r="AE596" s="130" t="str">
        <f>IFERROR(__xludf.DUMMYFUNCTION("""COMPUTED_VALUE"""),"Sylvia Mardiani")</f>
        <v>Sylvia Mardiani</v>
      </c>
      <c r="AF596" s="130" t="str">
        <f>IFERROR(__xludf.DUMMYFUNCTION("""COMPUTED_VALUE"""),"085101782800")</f>
        <v>085101782800</v>
      </c>
      <c r="AG596" s="130" t="str">
        <f>IFERROR(__xludf.DUMMYFUNCTION("""COMPUTED_VALUE"""),"Gagal")</f>
        <v>Gagal</v>
      </c>
      <c r="AH596" s="130" t="str">
        <f>IFERROR(__xludf.DUMMYFUNCTION("""COMPUTED_VALUE"""),"2H1M")</f>
        <v>2H1M</v>
      </c>
      <c r="AI596" s="342">
        <f>IFERROR(__xludf.DUMMYFUNCTION("""COMPUTED_VALUE"""),46228.0)</f>
        <v>46228</v>
      </c>
      <c r="AJ596" s="130">
        <f>IFERROR(__xludf.DUMMYFUNCTION("""COMPUTED_VALUE"""),4.0)</f>
        <v>4</v>
      </c>
      <c r="AK596" s="343"/>
      <c r="AL596" s="130" t="str">
        <f>IFERROR(__xludf.DUMMYFUNCTION("""COMPUTED_VALUE"""),"tidak jadi trip, waktunya belum cocok")</f>
        <v>tidak jadi trip, waktunya belum cocok</v>
      </c>
    </row>
    <row r="597">
      <c r="M597" s="270"/>
      <c r="O597" s="271"/>
      <c r="P597" s="271"/>
      <c r="AC597" s="130" t="str">
        <f>IFERROR(__xludf.DUMMYFUNCTION("""COMPUTED_VALUE"""),"2607D063")</f>
        <v>2607D063</v>
      </c>
      <c r="AD597" s="341">
        <f>IFERROR(__xludf.DUMMYFUNCTION("""COMPUTED_VALUE"""),46211.0)</f>
        <v>46211</v>
      </c>
      <c r="AE597" s="130" t="str">
        <f>IFERROR(__xludf.DUMMYFUNCTION("""COMPUTED_VALUE"""),"Nadia Rahmatazahra")</f>
        <v>Nadia Rahmatazahra</v>
      </c>
      <c r="AF597" s="130" t="str">
        <f>IFERROR(__xludf.DUMMYFUNCTION("""COMPUTED_VALUE"""),"085816987741")</f>
        <v>085816987741</v>
      </c>
      <c r="AG597" s="130" t="str">
        <f>IFERROR(__xludf.DUMMYFUNCTION("""COMPUTED_VALUE"""),"Gagal")</f>
        <v>Gagal</v>
      </c>
      <c r="AH597" s="130" t="str">
        <f>IFERROR(__xludf.DUMMYFUNCTION("""COMPUTED_VALUE"""),"private trip tabuhan")</f>
        <v>private trip tabuhan</v>
      </c>
      <c r="AI597" s="342"/>
      <c r="AJ597" s="130">
        <f>IFERROR(__xludf.DUMMYFUNCTION("""COMPUTED_VALUE"""),1.0)</f>
        <v>1</v>
      </c>
      <c r="AK597" s="343"/>
      <c r="AL597" s="130" t="str">
        <f>IFERROR(__xludf.DUMMYFUNCTION("""COMPUTED_VALUE"""),"belum bisa 1 orang private")</f>
        <v>belum bisa 1 orang private</v>
      </c>
    </row>
    <row r="598">
      <c r="M598" s="270"/>
      <c r="O598" s="271"/>
      <c r="P598" s="271"/>
      <c r="AC598" s="130" t="str">
        <f>IFERROR(__xludf.DUMMYFUNCTION("""COMPUTED_VALUE"""),"2607D065")</f>
        <v>2607D065</v>
      </c>
      <c r="AD598" s="341">
        <f>IFERROR(__xludf.DUMMYFUNCTION("""COMPUTED_VALUE"""),46211.0)</f>
        <v>46211</v>
      </c>
      <c r="AE598" s="130" t="str">
        <f>IFERROR(__xludf.DUMMYFUNCTION("""COMPUTED_VALUE"""),"Hannah ")</f>
        <v>Hannah </v>
      </c>
      <c r="AF598" s="130" t="str">
        <f>IFERROR(__xludf.DUMMYFUNCTION("""COMPUTED_VALUE"""),"0895351623399")</f>
        <v>0895351623399</v>
      </c>
      <c r="AG598" s="130" t="str">
        <f>IFERROR(__xludf.DUMMYFUNCTION("""COMPUTED_VALUE"""),"Gagal")</f>
        <v>Gagal</v>
      </c>
      <c r="AH598" s="130" t="str">
        <f>IFERROR(__xludf.DUMMYFUNCTION("""COMPUTED_VALUE"""),"OT GI")</f>
        <v>OT GI</v>
      </c>
      <c r="AI598" s="342">
        <f>IFERROR(__xludf.DUMMYFUNCTION("""COMPUTED_VALUE"""),46215.0)</f>
        <v>46215</v>
      </c>
      <c r="AJ598" s="130">
        <f>IFERROR(__xludf.DUMMYFUNCTION("""COMPUTED_VALUE"""),1.0)</f>
        <v>1</v>
      </c>
      <c r="AK598" s="343"/>
      <c r="AL598" s="130" t="str">
        <f>IFERROR(__xludf.DUMMYFUNCTION("""COMPUTED_VALUE"""),"sudah fu tidak balas")</f>
        <v>sudah fu tidak balas</v>
      </c>
    </row>
    <row r="599">
      <c r="M599" s="270"/>
      <c r="O599" s="271"/>
      <c r="P599" s="271"/>
      <c r="AC599" s="130" t="str">
        <f>IFERROR(__xludf.DUMMYFUNCTION("""COMPUTED_VALUE"""),"2607D072")</f>
        <v>2607D072</v>
      </c>
      <c r="AD599" s="341">
        <f>IFERROR(__xludf.DUMMYFUNCTION("""COMPUTED_VALUE"""),46212.0)</f>
        <v>46212</v>
      </c>
      <c r="AE599" s="130" t="str">
        <f>IFERROR(__xludf.DUMMYFUNCTION("""COMPUTED_VALUE"""),"No Name FG")</f>
        <v>No Name FG</v>
      </c>
      <c r="AF599" s="130" t="str">
        <f>IFERROR(__xludf.DUMMYFUNCTION("""COMPUTED_VALUE"""),"082137543952")</f>
        <v>082137543952</v>
      </c>
      <c r="AG599" s="130" t="str">
        <f>IFERROR(__xludf.DUMMYFUNCTION("""COMPUTED_VALUE"""),"Gagal")</f>
        <v>Gagal</v>
      </c>
      <c r="AH599" s="130" t="str">
        <f>IFERROR(__xludf.DUMMYFUNCTION("""COMPUTED_VALUE"""),"FG Ijen")</f>
        <v>FG Ijen</v>
      </c>
      <c r="AI599" s="342">
        <f>IFERROR(__xludf.DUMMYFUNCTION("""COMPUTED_VALUE"""),46213.0)</f>
        <v>46213</v>
      </c>
      <c r="AJ599" s="130"/>
      <c r="AK599" s="343"/>
      <c r="AL599" s="130" t="str">
        <f>IFERROR(__xludf.DUMMYFUNCTION("""COMPUTED_VALUE"""),"gajadiii")</f>
        <v>gajadiii</v>
      </c>
    </row>
    <row r="600">
      <c r="M600" s="270"/>
      <c r="O600" s="271"/>
      <c r="P600" s="271"/>
      <c r="AC600" s="130" t="str">
        <f>IFERROR(__xludf.DUMMYFUNCTION("""COMPUTED_VALUE"""),"2607D073")</f>
        <v>2607D073</v>
      </c>
      <c r="AD600" s="341">
        <f>IFERROR(__xludf.DUMMYFUNCTION("""COMPUTED_VALUE"""),46211.0)</f>
        <v>46211</v>
      </c>
      <c r="AE600" s="130" t="str">
        <f>IFERROR(__xludf.DUMMYFUNCTION("""COMPUTED_VALUE"""),"Lisa Margareth")</f>
        <v>Lisa Margareth</v>
      </c>
      <c r="AF600" s="130" t="str">
        <f>IFERROR(__xludf.DUMMYFUNCTION("""COMPUTED_VALUE"""),"081310905429")</f>
        <v>081310905429</v>
      </c>
      <c r="AG600" s="130" t="str">
        <f>IFERROR(__xludf.DUMMYFUNCTION("""COMPUTED_VALUE"""),"Gagal")</f>
        <v>Gagal</v>
      </c>
      <c r="AH600" s="130" t="str">
        <f>IFERROR(__xludf.DUMMYFUNCTION("""COMPUTED_VALUE"""),"2H1M opsi B")</f>
        <v>2H1M opsi B</v>
      </c>
      <c r="AI600" s="342">
        <f>IFERROR(__xludf.DUMMYFUNCTION("""COMPUTED_VALUE"""),46213.0)</f>
        <v>46213</v>
      </c>
      <c r="AJ600" s="130">
        <f>IFERROR(__xludf.DUMMYFUNCTION("""COMPUTED_VALUE"""),5.0)</f>
        <v>5</v>
      </c>
      <c r="AK600" s="343"/>
      <c r="AL600" s="130" t="str">
        <f>IFERROR(__xludf.DUMMYFUNCTION("""COMPUTED_VALUE"""),"gajadiii, sudah di fu ga baless")</f>
        <v>gajadiii, sudah di fu ga baless</v>
      </c>
    </row>
    <row r="601">
      <c r="M601" s="270"/>
      <c r="O601" s="271"/>
      <c r="P601" s="271"/>
      <c r="AC601" s="130" t="str">
        <f>IFERROR(__xludf.DUMMYFUNCTION("""COMPUTED_VALUE"""),"2607D074")</f>
        <v>2607D074</v>
      </c>
      <c r="AD601" s="341">
        <f>IFERROR(__xludf.DUMMYFUNCTION("""COMPUTED_VALUE"""),46212.0)</f>
        <v>46212</v>
      </c>
      <c r="AE601" s="130" t="str">
        <f>IFERROR(__xludf.DUMMYFUNCTION("""COMPUTED_VALUE"""),"Rose")</f>
        <v>Rose</v>
      </c>
      <c r="AF601" s="130" t="str">
        <f>IFERROR(__xludf.DUMMYFUNCTION("""COMPUTED_VALUE"""),"089680158397")</f>
        <v>089680158397</v>
      </c>
      <c r="AG601" s="130" t="str">
        <f>IFERROR(__xludf.DUMMYFUNCTION("""COMPUTED_VALUE"""),"Gagal")</f>
        <v>Gagal</v>
      </c>
      <c r="AH601" s="130" t="str">
        <f>IFERROR(__xludf.DUMMYFUNCTION("""COMPUTED_VALUE"""),"open trip Ijen")</f>
        <v>open trip Ijen</v>
      </c>
      <c r="AI601" s="342">
        <f>IFERROR(__xludf.DUMMYFUNCTION("""COMPUTED_VALUE"""),46213.0)</f>
        <v>46213</v>
      </c>
      <c r="AJ601" s="130">
        <f>IFERROR(__xludf.DUMMYFUNCTION("""COMPUTED_VALUE"""),1.0)</f>
        <v>1</v>
      </c>
      <c r="AK601" s="343"/>
      <c r="AL601" s="130" t="str">
        <f>IFERROR(__xludf.DUMMYFUNCTION("""COMPUTED_VALUE"""),"tanya OT, tapi gamau OT Ijen")</f>
        <v>tanya OT, tapi gamau OT Ijen</v>
      </c>
    </row>
    <row r="602">
      <c r="M602" s="270"/>
      <c r="O602" s="271"/>
      <c r="P602" s="271"/>
      <c r="AC602" s="130" t="str">
        <f>IFERROR(__xludf.DUMMYFUNCTION("""COMPUTED_VALUE"""),"2607D076")</f>
        <v>2607D076</v>
      </c>
      <c r="AD602" s="341">
        <f>IFERROR(__xludf.DUMMYFUNCTION("""COMPUTED_VALUE"""),46213.0)</f>
        <v>46213</v>
      </c>
      <c r="AE602" s="130" t="str">
        <f>IFERROR(__xludf.DUMMYFUNCTION("""COMPUTED_VALUE"""),"Maulida Rizki")</f>
        <v>Maulida Rizki</v>
      </c>
      <c r="AF602" s="130" t="str">
        <f>IFERROR(__xludf.DUMMYFUNCTION("""COMPUTED_VALUE"""),"083854812634")</f>
        <v>083854812634</v>
      </c>
      <c r="AG602" s="130" t="str">
        <f>IFERROR(__xludf.DUMMYFUNCTION("""COMPUTED_VALUE"""),"Gagal")</f>
        <v>Gagal</v>
      </c>
      <c r="AH602" s="130" t="str">
        <f>IFERROR(__xludf.DUMMYFUNCTION("""COMPUTED_VALUE"""),"OT DjaBal")</f>
        <v>OT DjaBal</v>
      </c>
      <c r="AI602" s="342">
        <f>IFERROR(__xludf.DUMMYFUNCTION("""COMPUTED_VALUE"""),46214.0)</f>
        <v>46214</v>
      </c>
      <c r="AJ602" s="130">
        <f>IFERROR(__xludf.DUMMYFUNCTION("""COMPUTED_VALUE"""),2.0)</f>
        <v>2</v>
      </c>
      <c r="AK602" s="343"/>
      <c r="AL602" s="130" t="str">
        <f>IFERROR(__xludf.DUMMYFUNCTION("""COMPUTED_VALUE"""),"tidak balas lagi")</f>
        <v>tidak balas lagi</v>
      </c>
    </row>
    <row r="603">
      <c r="M603" s="270"/>
      <c r="O603" s="271"/>
      <c r="P603" s="271"/>
      <c r="AC603" s="130" t="str">
        <f>IFERROR(__xludf.DUMMYFUNCTION("""COMPUTED_VALUE"""),"2607D077")</f>
        <v>2607D077</v>
      </c>
      <c r="AD603" s="341">
        <f>IFERROR(__xludf.DUMMYFUNCTION("""COMPUTED_VALUE"""),46213.0)</f>
        <v>46213</v>
      </c>
      <c r="AE603" s="130" t="str">
        <f>IFERROR(__xludf.DUMMYFUNCTION("""COMPUTED_VALUE"""),"Ahmad Supriadi")</f>
        <v>Ahmad Supriadi</v>
      </c>
      <c r="AF603" s="130" t="str">
        <f>IFERROR(__xludf.DUMMYFUNCTION("""COMPUTED_VALUE"""),"082127432230")</f>
        <v>082127432230</v>
      </c>
      <c r="AG603" s="130" t="str">
        <f>IFERROR(__xludf.DUMMYFUNCTION("""COMPUTED_VALUE"""),"Gagal")</f>
        <v>Gagal</v>
      </c>
      <c r="AH603" s="130" t="str">
        <f>IFERROR(__xludf.DUMMYFUNCTION("""COMPUTED_VALUE"""),"trip DjaBal")</f>
        <v>trip DjaBal</v>
      </c>
      <c r="AI603" s="342">
        <f>IFERROR(__xludf.DUMMYFUNCTION("""COMPUTED_VALUE"""),46214.0)</f>
        <v>46214</v>
      </c>
      <c r="AJ603" s="130">
        <f>IFERROR(__xludf.DUMMYFUNCTION("""COMPUTED_VALUE"""),1.0)</f>
        <v>1</v>
      </c>
      <c r="AK603" s="343"/>
      <c r="AL603" s="130" t="str">
        <f>IFERROR(__xludf.DUMMYFUNCTION("""COMPUTED_VALUE"""),"private trip bm bisa 1 orang")</f>
        <v>private trip bm bisa 1 orang</v>
      </c>
    </row>
    <row r="604">
      <c r="M604" s="270"/>
      <c r="O604" s="271"/>
      <c r="P604" s="271"/>
      <c r="AC604" s="130" t="str">
        <f>IFERROR(__xludf.DUMMYFUNCTION("""COMPUTED_VALUE"""),"2607D083")</f>
        <v>2607D083</v>
      </c>
      <c r="AD604" s="341">
        <f>IFERROR(__xludf.DUMMYFUNCTION("""COMPUTED_VALUE"""),46213.0)</f>
        <v>46213</v>
      </c>
      <c r="AE604" s="130" t="str">
        <f>IFERROR(__xludf.DUMMYFUNCTION("""COMPUTED_VALUE"""),"Ardia")</f>
        <v>Ardia</v>
      </c>
      <c r="AF604" s="130" t="str">
        <f>IFERROR(__xludf.DUMMYFUNCTION("""COMPUTED_VALUE"""),"081994043386")</f>
        <v>081994043386</v>
      </c>
      <c r="AG604" s="130" t="str">
        <f>IFERROR(__xludf.DUMMYFUNCTION("""COMPUTED_VALUE"""),"Gagal")</f>
        <v>Gagal</v>
      </c>
      <c r="AH604" s="130" t="str">
        <f>IFERROR(__xludf.DUMMYFUNCTION("""COMPUTED_VALUE"""),"private trip Ijen")</f>
        <v>private trip Ijen</v>
      </c>
      <c r="AI604" s="342">
        <f>IFERROR(__xludf.DUMMYFUNCTION("""COMPUTED_VALUE"""),46217.0)</f>
        <v>46217</v>
      </c>
      <c r="AJ604" s="130">
        <f>IFERROR(__xludf.DUMMYFUNCTION("""COMPUTED_VALUE"""),2.0)</f>
        <v>2</v>
      </c>
      <c r="AK604" s="343"/>
      <c r="AL604" s="130" t="str">
        <f>IFERROR(__xludf.DUMMYFUNCTION("""COMPUTED_VALUE"""),"cancelll, ganti destinasi")</f>
        <v>cancelll, ganti destinasi</v>
      </c>
    </row>
    <row r="605">
      <c r="M605" s="270"/>
      <c r="O605" s="271"/>
      <c r="P605" s="271"/>
      <c r="AC605" s="130" t="str">
        <f>IFERROR(__xludf.DUMMYFUNCTION("""COMPUTED_VALUE"""),"2607D085")</f>
        <v>2607D085</v>
      </c>
      <c r="AD605" s="341">
        <f>IFERROR(__xludf.DUMMYFUNCTION("""COMPUTED_VALUE"""),46214.0)</f>
        <v>46214</v>
      </c>
      <c r="AE605" s="130" t="str">
        <f>IFERROR(__xludf.DUMMYFUNCTION("""COMPUTED_VALUE"""),"Salamma Nadila")</f>
        <v>Salamma Nadila</v>
      </c>
      <c r="AF605" s="130" t="str">
        <f>IFERROR(__xludf.DUMMYFUNCTION("""COMPUTED_VALUE"""),"081316284576")</f>
        <v>081316284576</v>
      </c>
      <c r="AG605" s="130" t="str">
        <f>IFERROR(__xludf.DUMMYFUNCTION("""COMPUTED_VALUE"""),"Gagal")</f>
        <v>Gagal</v>
      </c>
      <c r="AH605" s="130" t="str">
        <f>IFERROR(__xludf.DUMMYFUNCTION("""COMPUTED_VALUE"""),"2h1m custome")</f>
        <v>2h1m custome</v>
      </c>
      <c r="AI605" s="342">
        <f>IFERROR(__xludf.DUMMYFUNCTION("""COMPUTED_VALUE"""),46228.0)</f>
        <v>46228</v>
      </c>
      <c r="AJ605" s="130">
        <f>IFERROR(__xludf.DUMMYFUNCTION("""COMPUTED_VALUE"""),1.0)</f>
        <v>1</v>
      </c>
      <c r="AK605" s="343"/>
      <c r="AL605" s="130" t="str">
        <f>IFERROR(__xludf.DUMMYFUNCTION("""COMPUTED_VALUE"""),"tidak jadi ada acara mendadak")</f>
        <v>tidak jadi ada acara mendadak</v>
      </c>
    </row>
    <row r="606">
      <c r="M606" s="270"/>
      <c r="O606" s="271"/>
      <c r="P606" s="271"/>
      <c r="AC606" s="130" t="str">
        <f>IFERROR(__xludf.DUMMYFUNCTION("""COMPUTED_VALUE"""),"2607D084")</f>
        <v>2607D084</v>
      </c>
      <c r="AD606" s="341">
        <f>IFERROR(__xludf.DUMMYFUNCTION("""COMPUTED_VALUE"""),46214.0)</f>
        <v>46214</v>
      </c>
      <c r="AE606" s="130" t="str">
        <f>IFERROR(__xludf.DUMMYFUNCTION("""COMPUTED_VALUE"""),"Dina")</f>
        <v>Dina</v>
      </c>
      <c r="AF606" s="130" t="str">
        <f>IFERROR(__xludf.DUMMYFUNCTION("""COMPUTED_VALUE"""),"081210092570")</f>
        <v>081210092570</v>
      </c>
      <c r="AG606" s="130" t="str">
        <f>IFERROR(__xludf.DUMMYFUNCTION("""COMPUTED_VALUE"""),"Gagal")</f>
        <v>Gagal</v>
      </c>
      <c r="AH606" s="130" t="str">
        <f>IFERROR(__xludf.DUMMYFUNCTION("""COMPUTED_VALUE"""),"open trip harian")</f>
        <v>open trip harian</v>
      </c>
      <c r="AI606" s="342">
        <f>IFERROR(__xludf.DUMMYFUNCTION("""COMPUTED_VALUE"""),46217.0)</f>
        <v>46217</v>
      </c>
      <c r="AJ606" s="130">
        <f>IFERROR(__xludf.DUMMYFUNCTION("""COMPUTED_VALUE"""),2.0)</f>
        <v>2</v>
      </c>
      <c r="AK606" s="343"/>
      <c r="AL606" s="130" t="str">
        <f>IFERROR(__xludf.DUMMYFUNCTION("""COMPUTED_VALUE"""),"FU 12 Juli")</f>
        <v>FU 12 Juli</v>
      </c>
    </row>
    <row r="607">
      <c r="M607" s="270"/>
      <c r="O607" s="271"/>
      <c r="P607" s="271"/>
      <c r="AC607" s="130" t="str">
        <f>IFERROR(__xludf.DUMMYFUNCTION("""COMPUTED_VALUE"""),"2607D093")</f>
        <v>2607D093</v>
      </c>
      <c r="AD607" s="341">
        <f>IFERROR(__xludf.DUMMYFUNCTION("""COMPUTED_VALUE"""),46216.0)</f>
        <v>46216</v>
      </c>
      <c r="AE607" s="130" t="str">
        <f>IFERROR(__xludf.DUMMYFUNCTION("""COMPUTED_VALUE"""),"Zalfaa Shine")</f>
        <v>Zalfaa Shine</v>
      </c>
      <c r="AF607" s="130" t="str">
        <f>IFERROR(__xludf.DUMMYFUNCTION("""COMPUTED_VALUE"""),"085117575763")</f>
        <v>085117575763</v>
      </c>
      <c r="AG607" s="130" t="str">
        <f>IFERROR(__xludf.DUMMYFUNCTION("""COMPUTED_VALUE"""),"Gagal")</f>
        <v>Gagal</v>
      </c>
      <c r="AH607" s="130" t="str">
        <f>IFERROR(__xludf.DUMMYFUNCTION("""COMPUTED_VALUE"""),"4H3M")</f>
        <v>4H3M</v>
      </c>
      <c r="AI607" s="342"/>
      <c r="AJ607" s="130"/>
      <c r="AK607" s="343"/>
      <c r="AL607" s="130" t="str">
        <f>IFERROR(__xludf.DUMMYFUNCTION("""COMPUTED_VALUE"""),"blum fiks jumlah peserta, FU 18 Juli")</f>
        <v>blum fiks jumlah peserta, FU 18 Juli</v>
      </c>
    </row>
    <row r="608">
      <c r="M608" s="270"/>
      <c r="O608" s="271"/>
      <c r="P608" s="271"/>
      <c r="AC608" s="130" t="str">
        <f>IFERROR(__xludf.DUMMYFUNCTION("""COMPUTED_VALUE"""),"2607D102")</f>
        <v>2607D102</v>
      </c>
      <c r="AD608" s="341">
        <f>IFERROR(__xludf.DUMMYFUNCTION("""COMPUTED_VALUE"""),46218.0)</f>
        <v>46218</v>
      </c>
      <c r="AE608" s="130" t="str">
        <f>IFERROR(__xludf.DUMMYFUNCTION("""COMPUTED_VALUE"""),"Nadine Gracella")</f>
        <v>Nadine Gracella</v>
      </c>
      <c r="AF608" s="130" t="str">
        <f>IFERROR(__xludf.DUMMYFUNCTION("""COMPUTED_VALUE"""),"081110037711")</f>
        <v>081110037711</v>
      </c>
      <c r="AG608" s="130" t="str">
        <f>IFERROR(__xludf.DUMMYFUNCTION("""COMPUTED_VALUE"""),"Gagal")</f>
        <v>Gagal</v>
      </c>
      <c r="AH608" s="130" t="str">
        <f>IFERROR(__xludf.DUMMYFUNCTION("""COMPUTED_VALUE"""),"3H2M opsi A")</f>
        <v>3H2M opsi A</v>
      </c>
      <c r="AI608" s="342"/>
      <c r="AJ608" s="130"/>
      <c r="AK608" s="343"/>
      <c r="AL608" s="130" t="str">
        <f>IFERROR(__xludf.DUMMYFUNCTION("""COMPUTED_VALUE"""),"gajadi trip, next timee")</f>
        <v>gajadi trip, next timee</v>
      </c>
    </row>
    <row r="609">
      <c r="M609" s="270"/>
      <c r="O609" s="271"/>
      <c r="P609" s="271"/>
      <c r="AC609" s="130" t="str">
        <f>IFERROR(__xludf.DUMMYFUNCTION("""COMPUTED_VALUE"""),"2607D106")</f>
        <v>2607D106</v>
      </c>
      <c r="AD609" s="341">
        <f>IFERROR(__xludf.DUMMYFUNCTION("""COMPUTED_VALUE"""),46219.0)</f>
        <v>46219</v>
      </c>
      <c r="AE609" s="130" t="str">
        <f>IFERROR(__xludf.DUMMYFUNCTION("""COMPUTED_VALUE"""),"Venda")</f>
        <v>Venda</v>
      </c>
      <c r="AF609" s="130" t="str">
        <f>IFERROR(__xludf.DUMMYFUNCTION("""COMPUTED_VALUE"""),"081254704910")</f>
        <v>081254704910</v>
      </c>
      <c r="AG609" s="130" t="str">
        <f>IFERROR(__xludf.DUMMYFUNCTION("""COMPUTED_VALUE"""),"Gagal")</f>
        <v>Gagal</v>
      </c>
      <c r="AH609" s="130" t="str">
        <f>IFERROR(__xludf.DUMMYFUNCTION("""COMPUTED_VALUE"""),"OT Djbal, MT ")</f>
        <v>OT Djbal, MT </v>
      </c>
      <c r="AI609" s="342">
        <f>IFERROR(__xludf.DUMMYFUNCTION("""COMPUTED_VALUE"""),46257.0)</f>
        <v>46257</v>
      </c>
      <c r="AJ609" s="130">
        <f>IFERROR(__xludf.DUMMYFUNCTION("""COMPUTED_VALUE"""),2.0)</f>
        <v>2</v>
      </c>
      <c r="AK609" s="343"/>
      <c r="AL609" s="130" t="str">
        <f>IFERROR(__xludf.DUMMYFUNCTION("""COMPUTED_VALUE"""),"cancell, blm jadi trip")</f>
        <v>cancell, blm jadi trip</v>
      </c>
    </row>
    <row r="610">
      <c r="M610" s="270"/>
      <c r="O610" s="271"/>
      <c r="P610" s="271"/>
      <c r="AC610" s="130" t="str">
        <f>IFERROR(__xludf.DUMMYFUNCTION("""COMPUTED_VALUE"""),"2607D107")</f>
        <v>2607D107</v>
      </c>
      <c r="AD610" s="341">
        <f>IFERROR(__xludf.DUMMYFUNCTION("""COMPUTED_VALUE"""),46219.0)</f>
        <v>46219</v>
      </c>
      <c r="AE610" s="130" t="str">
        <f>IFERROR(__xludf.DUMMYFUNCTION("""COMPUTED_VALUE"""),"Kak Mei")</f>
        <v>Kak Mei</v>
      </c>
      <c r="AF610" s="130" t="str">
        <f>IFERROR(__xludf.DUMMYFUNCTION("""COMPUTED_VALUE"""),"08133369900")</f>
        <v>08133369900</v>
      </c>
      <c r="AG610" s="130" t="str">
        <f>IFERROR(__xludf.DUMMYFUNCTION("""COMPUTED_VALUE"""),"Gagal")</f>
        <v>Gagal</v>
      </c>
      <c r="AH610" s="130" t="str">
        <f>IFERROR(__xludf.DUMMYFUNCTION("""COMPUTED_VALUE"""),"OT MT  ")</f>
        <v>OT MT  </v>
      </c>
      <c r="AI610" s="342"/>
      <c r="AJ610" s="130">
        <f>IFERROR(__xludf.DUMMYFUNCTION("""COMPUTED_VALUE"""),1.0)</f>
        <v>1</v>
      </c>
      <c r="AK610" s="343"/>
      <c r="AL610" s="130" t="str">
        <f>IFERROR(__xludf.DUMMYFUNCTION("""COMPUTED_VALUE"""),"gagalll")</f>
        <v>gagalll</v>
      </c>
    </row>
    <row r="611">
      <c r="M611" s="270"/>
      <c r="O611" s="271"/>
      <c r="P611" s="271"/>
      <c r="AC611" s="130" t="str">
        <f>IFERROR(__xludf.DUMMYFUNCTION("""COMPUTED_VALUE"""),"2607D115")</f>
        <v>2607D115</v>
      </c>
      <c r="AD611" s="341">
        <f>IFERROR(__xludf.DUMMYFUNCTION("""COMPUTED_VALUE"""),46220.0)</f>
        <v>46220</v>
      </c>
      <c r="AE611" s="130" t="str">
        <f>IFERROR(__xludf.DUMMYFUNCTION("""COMPUTED_VALUE"""),"Sanchit Singhal")</f>
        <v>Sanchit Singhal</v>
      </c>
      <c r="AF611" s="130" t="str">
        <f>IFERROR(__xludf.DUMMYFUNCTION("""COMPUTED_VALUE"""),"919971188334")</f>
        <v>919971188334</v>
      </c>
      <c r="AG611" s="130" t="str">
        <f>IFERROR(__xludf.DUMMYFUNCTION("""COMPUTED_VALUE"""),"Gagal")</f>
        <v>Gagal</v>
      </c>
      <c r="AH611" s="130" t="str">
        <f>IFERROR(__xludf.DUMMYFUNCTION("""COMPUTED_VALUE"""),"OT Ijen WNA")</f>
        <v>OT Ijen WNA</v>
      </c>
      <c r="AI611" s="342">
        <f>IFERROR(__xludf.DUMMYFUNCTION("""COMPUTED_VALUE"""),46223.0)</f>
        <v>46223</v>
      </c>
      <c r="AJ611" s="130">
        <f>IFERROR(__xludf.DUMMYFUNCTION("""COMPUTED_VALUE"""),4.0)</f>
        <v>4</v>
      </c>
      <c r="AK611" s="343"/>
      <c r="AL611" s="130" t="str">
        <f>IFERROR(__xludf.DUMMYFUNCTION("""COMPUTED_VALUE"""),"rencana berubahh")</f>
        <v>rencana berubahh</v>
      </c>
    </row>
    <row r="612">
      <c r="M612" s="270"/>
      <c r="O612" s="271"/>
      <c r="P612" s="271"/>
      <c r="AC612" s="130" t="str">
        <f>IFERROR(__xludf.DUMMYFUNCTION("""COMPUTED_VALUE"""),"2607D118")</f>
        <v>2607D118</v>
      </c>
      <c r="AD612" s="341">
        <f>IFERROR(__xludf.DUMMYFUNCTION("""COMPUTED_VALUE"""),46221.0)</f>
        <v>46221</v>
      </c>
      <c r="AE612" s="130" t="str">
        <f>IFERROR(__xludf.DUMMYFUNCTION("""COMPUTED_VALUE"""),"Jopp")</f>
        <v>Jopp</v>
      </c>
      <c r="AF612" s="130" t="str">
        <f>IFERROR(__xludf.DUMMYFUNCTION("""COMPUTED_VALUE"""),"0895402558037")</f>
        <v>0895402558037</v>
      </c>
      <c r="AG612" s="130" t="str">
        <f>IFERROR(__xludf.DUMMYFUNCTION("""COMPUTED_VALUE"""),"Gagal")</f>
        <v>Gagal</v>
      </c>
      <c r="AH612" s="130"/>
      <c r="AI612" s="342"/>
      <c r="AJ612" s="130"/>
      <c r="AK612" s="343"/>
      <c r="AL612" s="130" t="str">
        <f>IFERROR(__xludf.DUMMYFUNCTION("""COMPUTED_VALUE"""),"tanya OT underwater cave tidak ada")</f>
        <v>tanya OT underwater cave tidak ada</v>
      </c>
    </row>
    <row r="613">
      <c r="M613" s="270"/>
      <c r="O613" s="271"/>
      <c r="P613" s="271"/>
      <c r="AC613" s="130" t="str">
        <f>IFERROR(__xludf.DUMMYFUNCTION("""COMPUTED_VALUE"""),"2607D136")</f>
        <v>2607D136</v>
      </c>
      <c r="AD613" s="341">
        <f>IFERROR(__xludf.DUMMYFUNCTION("""COMPUTED_VALUE"""),46224.0)</f>
        <v>46224</v>
      </c>
      <c r="AE613" s="130" t="str">
        <f>IFERROR(__xludf.DUMMYFUNCTION("""COMPUTED_VALUE"""),"No name 52")</f>
        <v>No name 52</v>
      </c>
      <c r="AF613" s="130" t="str">
        <f>IFERROR(__xludf.DUMMYFUNCTION("""COMPUTED_VALUE"""),"082134254303")</f>
        <v>082134254303</v>
      </c>
      <c r="AG613" s="130" t="str">
        <f>IFERROR(__xludf.DUMMYFUNCTION("""COMPUTED_VALUE"""),"Gagal")</f>
        <v>Gagal</v>
      </c>
      <c r="AH613" s="130"/>
      <c r="AI613" s="342"/>
      <c r="AJ613" s="130"/>
      <c r="AK613" s="343"/>
      <c r="AL613" s="130" t="str">
        <f>IFERROR(__xludf.DUMMYFUNCTION("""COMPUTED_VALUE"""),"tanya trip ranukumbolo, gabisaa yaa")</f>
        <v>tanya trip ranukumbolo, gabisaa yaa</v>
      </c>
    </row>
    <row r="614">
      <c r="M614" s="270"/>
      <c r="O614" s="271"/>
      <c r="P614" s="271"/>
      <c r="AC614" s="130" t="str">
        <f>IFERROR(__xludf.DUMMYFUNCTION("""COMPUTED_VALUE"""),"2607D141")</f>
        <v>2607D141</v>
      </c>
      <c r="AD614" s="341">
        <f>IFERROR(__xludf.DUMMYFUNCTION("""COMPUTED_VALUE"""),46225.0)</f>
        <v>46225</v>
      </c>
      <c r="AE614" s="130" t="str">
        <f>IFERROR(__xludf.DUMMYFUNCTION("""COMPUTED_VALUE"""),"Shafa Qurratul")</f>
        <v>Shafa Qurratul</v>
      </c>
      <c r="AF614" s="130" t="str">
        <f>IFERROR(__xludf.DUMMYFUNCTION("""COMPUTED_VALUE"""),"089513353871")</f>
        <v>089513353871</v>
      </c>
      <c r="AG614" s="130" t="str">
        <f>IFERROR(__xludf.DUMMYFUNCTION("""COMPUTED_VALUE"""),"Gagal")</f>
        <v>Gagal</v>
      </c>
      <c r="AH614" s="130" t="str">
        <f>IFERROR(__xludf.DUMMYFUNCTION("""COMPUTED_VALUE"""),"1 day trip GI, Bedil, PM")</f>
        <v>1 day trip GI, Bedil, PM</v>
      </c>
      <c r="AI614" s="342">
        <f>IFERROR(__xludf.DUMMYFUNCTION("""COMPUTED_VALUE"""),46230.0)</f>
        <v>46230</v>
      </c>
      <c r="AJ614" s="130">
        <f>IFERROR(__xludf.DUMMYFUNCTION("""COMPUTED_VALUE"""),3.0)</f>
        <v>3</v>
      </c>
      <c r="AK614" s="343"/>
      <c r="AL614" s="130" t="str">
        <f>IFERROR(__xludf.DUMMYFUNCTION("""COMPUTED_VALUE"""),"gagall, lewat tgl uda di FU gabaless")</f>
        <v>gagall, lewat tgl uda di FU gabaless</v>
      </c>
    </row>
    <row r="615">
      <c r="M615" s="270"/>
      <c r="O615" s="271"/>
      <c r="P615" s="271"/>
    </row>
    <row r="616">
      <c r="M616" s="270"/>
      <c r="O616" s="271"/>
      <c r="P616" s="271"/>
    </row>
    <row r="617">
      <c r="M617" s="270"/>
      <c r="O617" s="271"/>
      <c r="P617" s="271"/>
    </row>
    <row r="618">
      <c r="M618" s="270"/>
      <c r="O618" s="271"/>
      <c r="P618" s="271"/>
    </row>
    <row r="619">
      <c r="M619" s="270"/>
      <c r="O619" s="271"/>
      <c r="P619" s="271"/>
    </row>
    <row r="620">
      <c r="M620" s="270"/>
      <c r="O620" s="271"/>
      <c r="P620" s="271"/>
    </row>
    <row r="621">
      <c r="M621" s="270"/>
      <c r="O621" s="271"/>
      <c r="P621" s="271"/>
    </row>
    <row r="622">
      <c r="M622" s="270"/>
      <c r="O622" s="271"/>
      <c r="P622" s="271"/>
    </row>
    <row r="623">
      <c r="M623" s="270"/>
      <c r="O623" s="271"/>
      <c r="P623" s="271"/>
    </row>
    <row r="624">
      <c r="M624" s="270"/>
      <c r="O624" s="271"/>
      <c r="P624" s="271"/>
    </row>
    <row r="625">
      <c r="M625" s="270"/>
      <c r="O625" s="271"/>
      <c r="P625" s="271"/>
    </row>
    <row r="626">
      <c r="M626" s="270"/>
      <c r="O626" s="271"/>
      <c r="P626" s="271"/>
    </row>
    <row r="627">
      <c r="M627" s="270"/>
      <c r="O627" s="271"/>
      <c r="P627" s="271"/>
    </row>
    <row r="628">
      <c r="M628" s="270"/>
      <c r="O628" s="271"/>
      <c r="P628" s="271"/>
    </row>
    <row r="629">
      <c r="M629" s="270"/>
      <c r="O629" s="271"/>
      <c r="P629" s="271"/>
    </row>
    <row r="630">
      <c r="M630" s="270"/>
      <c r="O630" s="271"/>
      <c r="P630" s="271"/>
    </row>
    <row r="631">
      <c r="M631" s="270"/>
      <c r="O631" s="271"/>
      <c r="P631" s="271"/>
    </row>
    <row r="632">
      <c r="M632" s="270"/>
      <c r="O632" s="271"/>
      <c r="P632" s="271"/>
    </row>
    <row r="633">
      <c r="M633" s="270"/>
      <c r="O633" s="271"/>
      <c r="P633" s="271"/>
    </row>
    <row r="634">
      <c r="M634" s="270"/>
      <c r="O634" s="271"/>
      <c r="P634" s="271"/>
    </row>
    <row r="635">
      <c r="M635" s="270"/>
      <c r="O635" s="271"/>
      <c r="P635" s="271"/>
    </row>
    <row r="636">
      <c r="M636" s="270"/>
      <c r="O636" s="271"/>
      <c r="P636" s="271"/>
    </row>
    <row r="637">
      <c r="M637" s="270"/>
      <c r="O637" s="271"/>
      <c r="P637" s="271"/>
    </row>
    <row r="638">
      <c r="M638" s="270"/>
      <c r="O638" s="271"/>
      <c r="P638" s="271"/>
    </row>
    <row r="639">
      <c r="M639" s="270"/>
      <c r="O639" s="271"/>
      <c r="P639" s="271"/>
    </row>
    <row r="640">
      <c r="M640" s="270"/>
      <c r="O640" s="271"/>
      <c r="P640" s="271"/>
    </row>
    <row r="641">
      <c r="M641" s="270"/>
      <c r="O641" s="271"/>
      <c r="P641" s="271"/>
    </row>
    <row r="642">
      <c r="M642" s="270"/>
      <c r="O642" s="271"/>
      <c r="P642" s="271"/>
    </row>
    <row r="643">
      <c r="M643" s="270"/>
      <c r="O643" s="271"/>
      <c r="P643" s="271"/>
    </row>
    <row r="644">
      <c r="M644" s="270"/>
      <c r="O644" s="271"/>
      <c r="P644" s="271"/>
    </row>
    <row r="645">
      <c r="M645" s="270"/>
      <c r="O645" s="271"/>
      <c r="P645" s="271"/>
    </row>
    <row r="646">
      <c r="M646" s="270"/>
      <c r="O646" s="271"/>
      <c r="P646" s="271"/>
    </row>
    <row r="647">
      <c r="M647" s="270"/>
      <c r="O647" s="271"/>
      <c r="P647" s="271"/>
    </row>
    <row r="648">
      <c r="M648" s="270"/>
      <c r="O648" s="271"/>
      <c r="P648" s="271"/>
    </row>
    <row r="649">
      <c r="M649" s="270"/>
      <c r="O649" s="271"/>
      <c r="P649" s="271"/>
    </row>
    <row r="650">
      <c r="M650" s="270"/>
      <c r="O650" s="271"/>
      <c r="P650" s="271"/>
    </row>
    <row r="651">
      <c r="M651" s="270"/>
      <c r="O651" s="271"/>
      <c r="P651" s="271"/>
    </row>
    <row r="652">
      <c r="M652" s="270"/>
      <c r="O652" s="271"/>
      <c r="P652" s="271"/>
    </row>
    <row r="653">
      <c r="M653" s="270"/>
      <c r="O653" s="271"/>
      <c r="P653" s="271"/>
    </row>
    <row r="654">
      <c r="M654" s="270"/>
      <c r="O654" s="271"/>
      <c r="P654" s="271"/>
    </row>
    <row r="655">
      <c r="M655" s="270"/>
      <c r="O655" s="271"/>
      <c r="P655" s="271"/>
    </row>
    <row r="656">
      <c r="M656" s="270"/>
      <c r="O656" s="271"/>
      <c r="P656" s="271"/>
    </row>
    <row r="657">
      <c r="M657" s="270"/>
      <c r="O657" s="271"/>
      <c r="P657" s="271"/>
    </row>
    <row r="658">
      <c r="M658" s="270"/>
      <c r="O658" s="271"/>
      <c r="P658" s="271"/>
    </row>
    <row r="659">
      <c r="M659" s="270"/>
      <c r="O659" s="271"/>
      <c r="P659" s="271"/>
    </row>
    <row r="660">
      <c r="M660" s="270"/>
      <c r="O660" s="271"/>
      <c r="P660" s="271"/>
    </row>
    <row r="661">
      <c r="M661" s="270"/>
      <c r="O661" s="271"/>
      <c r="P661" s="271"/>
    </row>
    <row r="662">
      <c r="M662" s="270"/>
      <c r="O662" s="271"/>
      <c r="P662" s="271"/>
    </row>
    <row r="663">
      <c r="M663" s="270"/>
      <c r="O663" s="271"/>
      <c r="P663" s="271"/>
    </row>
    <row r="664">
      <c r="M664" s="270"/>
      <c r="O664" s="271"/>
      <c r="P664" s="271"/>
    </row>
    <row r="665">
      <c r="M665" s="270"/>
      <c r="O665" s="271"/>
      <c r="P665" s="271"/>
    </row>
    <row r="666">
      <c r="M666" s="270"/>
      <c r="O666" s="271"/>
      <c r="P666" s="271"/>
    </row>
    <row r="667">
      <c r="M667" s="270"/>
      <c r="O667" s="271"/>
      <c r="P667" s="271"/>
    </row>
    <row r="668">
      <c r="M668" s="270"/>
      <c r="O668" s="271"/>
      <c r="P668" s="271"/>
    </row>
    <row r="669">
      <c r="M669" s="270"/>
      <c r="O669" s="271"/>
      <c r="P669" s="271"/>
    </row>
    <row r="670">
      <c r="M670" s="270"/>
      <c r="O670" s="271"/>
      <c r="P670" s="271"/>
    </row>
    <row r="671">
      <c r="M671" s="270"/>
      <c r="O671" s="271"/>
      <c r="P671" s="271"/>
    </row>
    <row r="672">
      <c r="M672" s="270"/>
      <c r="O672" s="271"/>
      <c r="P672" s="271"/>
    </row>
    <row r="673">
      <c r="M673" s="270"/>
      <c r="O673" s="271"/>
      <c r="P673" s="271"/>
    </row>
    <row r="674">
      <c r="M674" s="270"/>
      <c r="O674" s="271"/>
      <c r="P674" s="271"/>
    </row>
    <row r="675">
      <c r="M675" s="270"/>
      <c r="O675" s="271"/>
      <c r="P675" s="271"/>
    </row>
    <row r="676">
      <c r="M676" s="270"/>
      <c r="O676" s="271"/>
      <c r="P676" s="271"/>
    </row>
    <row r="677">
      <c r="M677" s="270"/>
      <c r="O677" s="271"/>
      <c r="P677" s="271"/>
    </row>
    <row r="678">
      <c r="M678" s="270"/>
      <c r="O678" s="271"/>
      <c r="P678" s="271"/>
    </row>
    <row r="679">
      <c r="M679" s="270"/>
      <c r="O679" s="271"/>
      <c r="P679" s="271"/>
    </row>
    <row r="680">
      <c r="M680" s="270"/>
      <c r="O680" s="271"/>
      <c r="P680" s="271"/>
    </row>
    <row r="681">
      <c r="M681" s="270"/>
      <c r="O681" s="271"/>
      <c r="P681" s="271"/>
    </row>
    <row r="682">
      <c r="M682" s="270"/>
      <c r="O682" s="271"/>
      <c r="P682" s="271"/>
    </row>
    <row r="683">
      <c r="M683" s="270"/>
      <c r="O683" s="271"/>
      <c r="P683" s="271"/>
    </row>
    <row r="684">
      <c r="M684" s="270"/>
      <c r="O684" s="271"/>
      <c r="P684" s="271"/>
    </row>
    <row r="685">
      <c r="M685" s="270"/>
      <c r="O685" s="271"/>
      <c r="P685" s="271"/>
    </row>
    <row r="686">
      <c r="M686" s="270"/>
      <c r="O686" s="271"/>
      <c r="P686" s="271"/>
    </row>
    <row r="687">
      <c r="M687" s="270"/>
      <c r="O687" s="271"/>
      <c r="P687" s="271"/>
    </row>
    <row r="688">
      <c r="M688" s="270"/>
      <c r="O688" s="271"/>
      <c r="P688" s="271"/>
    </row>
    <row r="689">
      <c r="M689" s="270"/>
      <c r="O689" s="271"/>
      <c r="P689" s="271"/>
    </row>
    <row r="690">
      <c r="M690" s="270"/>
      <c r="O690" s="271"/>
      <c r="P690" s="271"/>
    </row>
    <row r="691">
      <c r="M691" s="270"/>
      <c r="O691" s="271"/>
      <c r="P691" s="271"/>
    </row>
    <row r="692">
      <c r="M692" s="270"/>
      <c r="O692" s="271"/>
      <c r="P692" s="271"/>
    </row>
    <row r="693">
      <c r="M693" s="270"/>
      <c r="O693" s="271"/>
      <c r="P693" s="271"/>
    </row>
    <row r="694">
      <c r="M694" s="270"/>
      <c r="O694" s="271"/>
      <c r="P694" s="271"/>
    </row>
    <row r="695">
      <c r="M695" s="270"/>
      <c r="O695" s="271"/>
      <c r="P695" s="271"/>
    </row>
    <row r="696">
      <c r="M696" s="270"/>
      <c r="O696" s="271"/>
      <c r="P696" s="271"/>
    </row>
    <row r="697">
      <c r="M697" s="270"/>
      <c r="O697" s="271"/>
      <c r="P697" s="271"/>
    </row>
    <row r="698">
      <c r="M698" s="270"/>
      <c r="O698" s="271"/>
      <c r="P698" s="271"/>
    </row>
    <row r="699">
      <c r="M699" s="270"/>
      <c r="O699" s="271"/>
      <c r="P699" s="271"/>
    </row>
    <row r="700">
      <c r="M700" s="270"/>
      <c r="O700" s="271"/>
      <c r="P700" s="271"/>
    </row>
    <row r="701">
      <c r="M701" s="270"/>
      <c r="O701" s="271"/>
      <c r="P701" s="271"/>
    </row>
    <row r="702">
      <c r="M702" s="270"/>
      <c r="O702" s="271"/>
      <c r="P702" s="271"/>
    </row>
    <row r="703">
      <c r="M703" s="270"/>
      <c r="O703" s="271"/>
      <c r="P703" s="271"/>
    </row>
    <row r="704">
      <c r="M704" s="270"/>
      <c r="O704" s="271"/>
      <c r="P704" s="271"/>
    </row>
    <row r="705">
      <c r="M705" s="270"/>
      <c r="O705" s="271"/>
      <c r="P705" s="271"/>
    </row>
    <row r="706">
      <c r="M706" s="270"/>
      <c r="O706" s="271"/>
      <c r="P706" s="271"/>
    </row>
    <row r="707">
      <c r="M707" s="270"/>
      <c r="O707" s="271"/>
      <c r="P707" s="271"/>
    </row>
    <row r="708">
      <c r="M708" s="270"/>
      <c r="O708" s="271"/>
      <c r="P708" s="271"/>
    </row>
    <row r="709">
      <c r="M709" s="270"/>
      <c r="O709" s="271"/>
      <c r="P709" s="271"/>
    </row>
    <row r="710">
      <c r="M710" s="270"/>
      <c r="O710" s="271"/>
      <c r="P710" s="271"/>
    </row>
    <row r="711">
      <c r="M711" s="270"/>
      <c r="O711" s="271"/>
      <c r="P711" s="271"/>
    </row>
    <row r="712">
      <c r="M712" s="270"/>
      <c r="O712" s="271"/>
      <c r="P712" s="271"/>
    </row>
    <row r="713">
      <c r="M713" s="270"/>
      <c r="O713" s="271"/>
      <c r="P713" s="271"/>
    </row>
    <row r="714">
      <c r="M714" s="270"/>
      <c r="O714" s="271"/>
      <c r="P714" s="271"/>
    </row>
    <row r="715">
      <c r="M715" s="270"/>
      <c r="O715" s="271"/>
      <c r="P715" s="271"/>
    </row>
    <row r="716">
      <c r="M716" s="270"/>
      <c r="O716" s="271"/>
      <c r="P716" s="271"/>
    </row>
    <row r="717">
      <c r="M717" s="270"/>
      <c r="O717" s="271"/>
      <c r="P717" s="271"/>
    </row>
    <row r="718">
      <c r="M718" s="270"/>
      <c r="O718" s="271"/>
      <c r="P718" s="271"/>
    </row>
    <row r="719">
      <c r="M719" s="270"/>
      <c r="O719" s="271"/>
      <c r="P719" s="271"/>
    </row>
    <row r="720">
      <c r="M720" s="270"/>
      <c r="O720" s="271"/>
      <c r="P720" s="271"/>
    </row>
    <row r="721">
      <c r="M721" s="270"/>
      <c r="O721" s="271"/>
      <c r="P721" s="271"/>
    </row>
    <row r="722">
      <c r="M722" s="270"/>
      <c r="O722" s="271"/>
      <c r="P722" s="271"/>
    </row>
    <row r="723">
      <c r="M723" s="270"/>
      <c r="O723" s="271"/>
      <c r="P723" s="271"/>
    </row>
    <row r="724">
      <c r="M724" s="270"/>
      <c r="O724" s="271"/>
      <c r="P724" s="271"/>
    </row>
    <row r="725">
      <c r="M725" s="270"/>
      <c r="O725" s="271"/>
      <c r="P725" s="271"/>
    </row>
    <row r="726">
      <c r="M726" s="270"/>
      <c r="O726" s="271"/>
      <c r="P726" s="271"/>
    </row>
    <row r="727">
      <c r="M727" s="270"/>
      <c r="O727" s="271"/>
      <c r="P727" s="271"/>
    </row>
    <row r="728">
      <c r="M728" s="270"/>
      <c r="O728" s="271"/>
      <c r="P728" s="271"/>
    </row>
    <row r="729">
      <c r="M729" s="270"/>
      <c r="O729" s="271"/>
      <c r="P729" s="271"/>
    </row>
    <row r="730">
      <c r="M730" s="270"/>
      <c r="O730" s="271"/>
      <c r="P730" s="271"/>
    </row>
    <row r="731">
      <c r="M731" s="270"/>
      <c r="O731" s="271"/>
      <c r="P731" s="271"/>
    </row>
    <row r="732">
      <c r="M732" s="270"/>
      <c r="O732" s="271"/>
      <c r="P732" s="271"/>
    </row>
    <row r="733">
      <c r="M733" s="270"/>
      <c r="O733" s="271"/>
      <c r="P733" s="271"/>
    </row>
    <row r="734">
      <c r="M734" s="270"/>
      <c r="O734" s="271"/>
      <c r="P734" s="271"/>
    </row>
    <row r="735">
      <c r="M735" s="270"/>
      <c r="O735" s="271"/>
      <c r="P735" s="271"/>
    </row>
    <row r="736">
      <c r="M736" s="270"/>
      <c r="O736" s="271"/>
      <c r="P736" s="271"/>
    </row>
    <row r="737">
      <c r="M737" s="270"/>
      <c r="O737" s="271"/>
      <c r="P737" s="271"/>
    </row>
    <row r="738">
      <c r="M738" s="270"/>
      <c r="O738" s="271"/>
      <c r="P738" s="271"/>
    </row>
    <row r="739">
      <c r="M739" s="270"/>
      <c r="O739" s="271"/>
      <c r="P739" s="271"/>
    </row>
    <row r="740">
      <c r="M740" s="270"/>
      <c r="O740" s="271"/>
      <c r="P740" s="271"/>
    </row>
    <row r="741">
      <c r="M741" s="270"/>
      <c r="O741" s="271"/>
      <c r="P741" s="271"/>
    </row>
    <row r="742">
      <c r="M742" s="270"/>
      <c r="O742" s="271"/>
      <c r="P742" s="271"/>
    </row>
    <row r="743">
      <c r="M743" s="270"/>
      <c r="O743" s="271"/>
      <c r="P743" s="271"/>
    </row>
    <row r="744">
      <c r="M744" s="270"/>
      <c r="O744" s="271"/>
      <c r="P744" s="271"/>
    </row>
    <row r="745">
      <c r="M745" s="270"/>
      <c r="O745" s="271"/>
      <c r="P745" s="271"/>
    </row>
    <row r="746">
      <c r="M746" s="270"/>
      <c r="O746" s="271"/>
      <c r="P746" s="271"/>
    </row>
    <row r="747">
      <c r="M747" s="270"/>
      <c r="O747" s="271"/>
      <c r="P747" s="271"/>
    </row>
    <row r="748">
      <c r="M748" s="270"/>
      <c r="O748" s="271"/>
      <c r="P748" s="271"/>
    </row>
    <row r="749">
      <c r="M749" s="270"/>
      <c r="O749" s="271"/>
      <c r="P749" s="271"/>
    </row>
    <row r="750">
      <c r="M750" s="270"/>
      <c r="O750" s="271"/>
      <c r="P750" s="271"/>
    </row>
    <row r="751">
      <c r="M751" s="270"/>
      <c r="O751" s="271"/>
      <c r="P751" s="271"/>
    </row>
    <row r="752">
      <c r="M752" s="270"/>
      <c r="O752" s="271"/>
      <c r="P752" s="271"/>
    </row>
    <row r="753">
      <c r="M753" s="270"/>
      <c r="O753" s="271"/>
      <c r="P753" s="271"/>
    </row>
    <row r="754">
      <c r="M754" s="270"/>
      <c r="O754" s="271"/>
      <c r="P754" s="271"/>
    </row>
    <row r="755">
      <c r="M755" s="270"/>
      <c r="O755" s="271"/>
      <c r="P755" s="271"/>
    </row>
    <row r="756">
      <c r="M756" s="270"/>
      <c r="O756" s="271"/>
      <c r="P756" s="271"/>
    </row>
    <row r="757">
      <c r="M757" s="270"/>
      <c r="O757" s="271"/>
      <c r="P757" s="271"/>
    </row>
    <row r="758">
      <c r="M758" s="270"/>
      <c r="O758" s="271"/>
      <c r="P758" s="271"/>
    </row>
    <row r="759">
      <c r="M759" s="270"/>
      <c r="O759" s="271"/>
      <c r="P759" s="271"/>
    </row>
    <row r="760">
      <c r="M760" s="270"/>
      <c r="O760" s="271"/>
      <c r="P760" s="271"/>
    </row>
    <row r="761">
      <c r="M761" s="270"/>
      <c r="O761" s="271"/>
      <c r="P761" s="271"/>
    </row>
    <row r="762">
      <c r="M762" s="270"/>
      <c r="O762" s="271"/>
      <c r="P762" s="271"/>
    </row>
    <row r="763">
      <c r="M763" s="270"/>
      <c r="O763" s="271"/>
      <c r="P763" s="271"/>
    </row>
    <row r="764">
      <c r="M764" s="270"/>
      <c r="O764" s="271"/>
      <c r="P764" s="271"/>
    </row>
    <row r="765">
      <c r="M765" s="270"/>
      <c r="O765" s="271"/>
      <c r="P765" s="271"/>
    </row>
    <row r="766">
      <c r="M766" s="270"/>
      <c r="O766" s="271"/>
      <c r="P766" s="271"/>
    </row>
    <row r="767">
      <c r="M767" s="270"/>
      <c r="O767" s="271"/>
      <c r="P767" s="271"/>
    </row>
    <row r="768">
      <c r="M768" s="270"/>
      <c r="O768" s="271"/>
      <c r="P768" s="271"/>
    </row>
    <row r="769">
      <c r="M769" s="270"/>
      <c r="O769" s="271"/>
      <c r="P769" s="271"/>
    </row>
    <row r="770">
      <c r="M770" s="270"/>
      <c r="O770" s="271"/>
      <c r="P770" s="271"/>
    </row>
    <row r="771">
      <c r="M771" s="270"/>
      <c r="O771" s="271"/>
      <c r="P771" s="271"/>
    </row>
    <row r="772">
      <c r="M772" s="270"/>
      <c r="O772" s="271"/>
      <c r="P772" s="271"/>
    </row>
    <row r="773">
      <c r="M773" s="270"/>
      <c r="O773" s="271"/>
      <c r="P773" s="271"/>
    </row>
    <row r="774">
      <c r="M774" s="270"/>
      <c r="O774" s="271"/>
      <c r="P774" s="271"/>
    </row>
    <row r="775">
      <c r="M775" s="270"/>
      <c r="O775" s="271"/>
      <c r="P775" s="271"/>
    </row>
    <row r="776">
      <c r="M776" s="270"/>
      <c r="O776" s="271"/>
      <c r="P776" s="271"/>
    </row>
    <row r="777">
      <c r="M777" s="270"/>
      <c r="O777" s="271"/>
      <c r="P777" s="271"/>
    </row>
    <row r="778">
      <c r="M778" s="270"/>
      <c r="O778" s="271"/>
      <c r="P778" s="271"/>
    </row>
    <row r="779">
      <c r="M779" s="270"/>
      <c r="O779" s="271"/>
      <c r="P779" s="271"/>
    </row>
    <row r="780">
      <c r="M780" s="270"/>
      <c r="O780" s="271"/>
      <c r="P780" s="271"/>
    </row>
    <row r="781">
      <c r="M781" s="270"/>
      <c r="O781" s="271"/>
      <c r="P781" s="271"/>
    </row>
    <row r="782">
      <c r="M782" s="270"/>
      <c r="O782" s="271"/>
      <c r="P782" s="271"/>
    </row>
    <row r="783">
      <c r="M783" s="270"/>
      <c r="O783" s="271"/>
      <c r="P783" s="271"/>
    </row>
    <row r="784">
      <c r="M784" s="270"/>
      <c r="O784" s="271"/>
      <c r="P784" s="271"/>
    </row>
    <row r="785">
      <c r="M785" s="270"/>
      <c r="O785" s="271"/>
      <c r="P785" s="271"/>
    </row>
    <row r="786">
      <c r="M786" s="270"/>
      <c r="O786" s="271"/>
      <c r="P786" s="271"/>
    </row>
    <row r="787">
      <c r="M787" s="270"/>
      <c r="O787" s="271"/>
      <c r="P787" s="271"/>
    </row>
    <row r="788">
      <c r="M788" s="270"/>
      <c r="O788" s="271"/>
      <c r="P788" s="271"/>
    </row>
    <row r="789">
      <c r="M789" s="270"/>
      <c r="O789" s="271"/>
      <c r="P789" s="271"/>
    </row>
    <row r="790">
      <c r="M790" s="270"/>
      <c r="O790" s="271"/>
      <c r="P790" s="271"/>
    </row>
    <row r="791">
      <c r="M791" s="270"/>
      <c r="O791" s="271"/>
      <c r="P791" s="271"/>
    </row>
    <row r="792">
      <c r="M792" s="270"/>
      <c r="O792" s="271"/>
      <c r="P792" s="271"/>
    </row>
    <row r="793">
      <c r="M793" s="270"/>
      <c r="O793" s="271"/>
      <c r="P793" s="271"/>
    </row>
    <row r="794">
      <c r="M794" s="270"/>
      <c r="O794" s="271"/>
      <c r="P794" s="271"/>
    </row>
    <row r="795">
      <c r="M795" s="270"/>
      <c r="O795" s="271"/>
      <c r="P795" s="271"/>
    </row>
    <row r="796">
      <c r="M796" s="270"/>
      <c r="O796" s="271"/>
      <c r="P796" s="271"/>
    </row>
    <row r="797">
      <c r="M797" s="270"/>
      <c r="O797" s="271"/>
      <c r="P797" s="271"/>
    </row>
    <row r="798">
      <c r="M798" s="270"/>
      <c r="O798" s="271"/>
      <c r="P798" s="271"/>
    </row>
    <row r="799">
      <c r="M799" s="270"/>
      <c r="O799" s="271"/>
      <c r="P799" s="271"/>
    </row>
    <row r="800">
      <c r="M800" s="270"/>
      <c r="O800" s="271"/>
      <c r="P800" s="271"/>
    </row>
    <row r="801">
      <c r="M801" s="270"/>
      <c r="O801" s="271"/>
      <c r="P801" s="271"/>
    </row>
    <row r="802">
      <c r="M802" s="270"/>
      <c r="O802" s="271"/>
      <c r="P802" s="271"/>
    </row>
    <row r="803">
      <c r="M803" s="270"/>
      <c r="O803" s="271"/>
      <c r="P803" s="271"/>
    </row>
    <row r="804">
      <c r="M804" s="270"/>
      <c r="O804" s="271"/>
      <c r="P804" s="271"/>
    </row>
    <row r="805">
      <c r="M805" s="270"/>
      <c r="O805" s="271"/>
      <c r="P805" s="271"/>
    </row>
    <row r="806">
      <c r="M806" s="270"/>
      <c r="O806" s="271"/>
      <c r="P806" s="271"/>
    </row>
    <row r="807">
      <c r="M807" s="270"/>
      <c r="O807" s="271"/>
      <c r="P807" s="271"/>
    </row>
    <row r="808">
      <c r="M808" s="270"/>
      <c r="O808" s="271"/>
      <c r="P808" s="271"/>
    </row>
    <row r="809">
      <c r="M809" s="270"/>
      <c r="O809" s="271"/>
      <c r="P809" s="271"/>
    </row>
    <row r="810">
      <c r="M810" s="270"/>
      <c r="O810" s="271"/>
      <c r="P810" s="271"/>
    </row>
    <row r="811">
      <c r="M811" s="270"/>
      <c r="O811" s="271"/>
      <c r="P811" s="271"/>
    </row>
    <row r="812">
      <c r="M812" s="270"/>
      <c r="O812" s="271"/>
      <c r="P812" s="271"/>
    </row>
    <row r="813">
      <c r="M813" s="270"/>
      <c r="O813" s="271"/>
      <c r="P813" s="271"/>
    </row>
    <row r="814">
      <c r="M814" s="270"/>
      <c r="O814" s="271"/>
      <c r="P814" s="271"/>
    </row>
    <row r="815">
      <c r="M815" s="270"/>
      <c r="O815" s="271"/>
      <c r="P815" s="271"/>
    </row>
    <row r="816">
      <c r="M816" s="270"/>
      <c r="O816" s="271"/>
      <c r="P816" s="271"/>
    </row>
    <row r="817">
      <c r="M817" s="270"/>
      <c r="O817" s="271"/>
      <c r="P817" s="271"/>
    </row>
    <row r="818">
      <c r="M818" s="270"/>
      <c r="O818" s="271"/>
      <c r="P818" s="271"/>
    </row>
    <row r="819">
      <c r="M819" s="270"/>
      <c r="O819" s="271"/>
      <c r="P819" s="271"/>
    </row>
    <row r="820">
      <c r="M820" s="270"/>
      <c r="O820" s="271"/>
      <c r="P820" s="271"/>
    </row>
    <row r="821">
      <c r="M821" s="270"/>
      <c r="O821" s="271"/>
      <c r="P821" s="271"/>
    </row>
    <row r="822">
      <c r="M822" s="270"/>
      <c r="O822" s="271"/>
      <c r="P822" s="271"/>
    </row>
    <row r="823">
      <c r="M823" s="270"/>
      <c r="O823" s="271"/>
      <c r="P823" s="271"/>
    </row>
    <row r="824">
      <c r="M824" s="270"/>
      <c r="O824" s="271"/>
      <c r="P824" s="271"/>
    </row>
    <row r="825">
      <c r="M825" s="270"/>
      <c r="O825" s="271"/>
      <c r="P825" s="271"/>
    </row>
    <row r="826">
      <c r="M826" s="270"/>
      <c r="O826" s="271"/>
      <c r="P826" s="271"/>
    </row>
    <row r="827">
      <c r="M827" s="270"/>
      <c r="O827" s="271"/>
      <c r="P827" s="271"/>
    </row>
    <row r="828">
      <c r="M828" s="270"/>
      <c r="O828" s="271"/>
      <c r="P828" s="271"/>
    </row>
    <row r="829">
      <c r="M829" s="270"/>
      <c r="O829" s="271"/>
      <c r="P829" s="271"/>
    </row>
    <row r="830">
      <c r="M830" s="270"/>
      <c r="O830" s="271"/>
      <c r="P830" s="271"/>
    </row>
    <row r="831">
      <c r="M831" s="270"/>
      <c r="O831" s="271"/>
      <c r="P831" s="271"/>
    </row>
    <row r="832">
      <c r="M832" s="270"/>
      <c r="O832" s="271"/>
      <c r="P832" s="271"/>
    </row>
    <row r="833">
      <c r="M833" s="270"/>
      <c r="O833" s="271"/>
      <c r="P833" s="271"/>
    </row>
    <row r="834">
      <c r="M834" s="270"/>
      <c r="O834" s="271"/>
      <c r="P834" s="271"/>
    </row>
    <row r="835">
      <c r="M835" s="270"/>
      <c r="O835" s="271"/>
      <c r="P835" s="271"/>
    </row>
    <row r="836">
      <c r="M836" s="270"/>
      <c r="O836" s="271"/>
      <c r="P836" s="271"/>
    </row>
    <row r="837">
      <c r="M837" s="270"/>
      <c r="O837" s="271"/>
      <c r="P837" s="271"/>
    </row>
    <row r="838">
      <c r="M838" s="270"/>
      <c r="O838" s="271"/>
      <c r="P838" s="271"/>
    </row>
    <row r="839">
      <c r="M839" s="270"/>
      <c r="O839" s="271"/>
      <c r="P839" s="271"/>
    </row>
    <row r="840">
      <c r="M840" s="270"/>
      <c r="O840" s="271"/>
      <c r="P840" s="271"/>
    </row>
    <row r="841">
      <c r="M841" s="270"/>
      <c r="O841" s="271"/>
      <c r="P841" s="271"/>
    </row>
    <row r="842">
      <c r="M842" s="270"/>
      <c r="O842" s="271"/>
      <c r="P842" s="271"/>
    </row>
    <row r="843">
      <c r="M843" s="270"/>
      <c r="O843" s="271"/>
      <c r="P843" s="271"/>
    </row>
    <row r="844">
      <c r="M844" s="270"/>
      <c r="O844" s="271"/>
      <c r="P844" s="271"/>
    </row>
    <row r="845">
      <c r="M845" s="270"/>
      <c r="O845" s="271"/>
      <c r="P845" s="271"/>
    </row>
    <row r="846">
      <c r="M846" s="270"/>
      <c r="O846" s="271"/>
      <c r="P846" s="271"/>
    </row>
    <row r="847">
      <c r="M847" s="270"/>
      <c r="O847" s="271"/>
      <c r="P847" s="271"/>
    </row>
    <row r="848">
      <c r="M848" s="270"/>
      <c r="O848" s="271"/>
      <c r="P848" s="271"/>
    </row>
    <row r="849">
      <c r="M849" s="270"/>
      <c r="O849" s="271"/>
      <c r="P849" s="271"/>
    </row>
    <row r="850">
      <c r="M850" s="270"/>
      <c r="O850" s="271"/>
      <c r="P850" s="271"/>
    </row>
    <row r="851">
      <c r="M851" s="270"/>
      <c r="O851" s="271"/>
      <c r="P851" s="271"/>
    </row>
    <row r="852">
      <c r="M852" s="270"/>
      <c r="O852" s="271"/>
      <c r="P852" s="271"/>
    </row>
    <row r="853">
      <c r="M853" s="270"/>
      <c r="O853" s="271"/>
      <c r="P853" s="271"/>
    </row>
    <row r="854">
      <c r="M854" s="270"/>
      <c r="O854" s="271"/>
      <c r="P854" s="271"/>
    </row>
    <row r="855">
      <c r="M855" s="270"/>
      <c r="O855" s="271"/>
      <c r="P855" s="271"/>
    </row>
    <row r="856">
      <c r="M856" s="270"/>
      <c r="O856" s="271"/>
      <c r="P856" s="271"/>
    </row>
    <row r="857">
      <c r="M857" s="270"/>
      <c r="O857" s="271"/>
      <c r="P857" s="271"/>
    </row>
    <row r="858">
      <c r="M858" s="270"/>
      <c r="O858" s="271"/>
      <c r="P858" s="271"/>
    </row>
    <row r="859">
      <c r="M859" s="270"/>
      <c r="O859" s="271"/>
      <c r="P859" s="271"/>
    </row>
    <row r="860">
      <c r="M860" s="270"/>
      <c r="O860" s="271"/>
      <c r="P860" s="271"/>
    </row>
    <row r="861">
      <c r="M861" s="270"/>
      <c r="O861" s="271"/>
      <c r="P861" s="271"/>
    </row>
    <row r="862">
      <c r="M862" s="270"/>
      <c r="O862" s="271"/>
      <c r="P862" s="271"/>
    </row>
    <row r="863">
      <c r="M863" s="270"/>
      <c r="O863" s="271"/>
      <c r="P863" s="271"/>
    </row>
    <row r="864">
      <c r="M864" s="270"/>
      <c r="O864" s="271"/>
      <c r="P864" s="271"/>
    </row>
    <row r="865">
      <c r="M865" s="270"/>
      <c r="O865" s="271"/>
      <c r="P865" s="271"/>
    </row>
    <row r="866">
      <c r="M866" s="270"/>
      <c r="O866" s="271"/>
      <c r="P866" s="271"/>
    </row>
    <row r="867">
      <c r="M867" s="270"/>
      <c r="O867" s="271"/>
      <c r="P867" s="271"/>
    </row>
    <row r="868">
      <c r="M868" s="270"/>
      <c r="O868" s="271"/>
      <c r="P868" s="271"/>
    </row>
    <row r="869">
      <c r="M869" s="270"/>
      <c r="O869" s="271"/>
      <c r="P869" s="271"/>
    </row>
    <row r="870">
      <c r="M870" s="270"/>
      <c r="O870" s="271"/>
      <c r="P870" s="271"/>
    </row>
    <row r="871">
      <c r="M871" s="270"/>
      <c r="O871" s="271"/>
      <c r="P871" s="271"/>
    </row>
    <row r="872">
      <c r="M872" s="270"/>
      <c r="O872" s="271"/>
      <c r="P872" s="271"/>
    </row>
    <row r="873">
      <c r="M873" s="270"/>
      <c r="O873" s="271"/>
      <c r="P873" s="271"/>
    </row>
    <row r="874">
      <c r="M874" s="270"/>
      <c r="O874" s="271"/>
      <c r="P874" s="271"/>
    </row>
    <row r="875">
      <c r="M875" s="270"/>
      <c r="O875" s="271"/>
      <c r="P875" s="271"/>
    </row>
    <row r="876">
      <c r="M876" s="270"/>
      <c r="O876" s="271"/>
      <c r="P876" s="271"/>
    </row>
    <row r="877">
      <c r="M877" s="270"/>
      <c r="O877" s="271"/>
      <c r="P877" s="271"/>
    </row>
    <row r="878">
      <c r="M878" s="270"/>
      <c r="O878" s="271"/>
      <c r="P878" s="271"/>
    </row>
    <row r="879">
      <c r="M879" s="270"/>
      <c r="O879" s="271"/>
      <c r="P879" s="271"/>
    </row>
    <row r="880">
      <c r="M880" s="270"/>
      <c r="O880" s="271"/>
      <c r="P880" s="271"/>
    </row>
    <row r="881">
      <c r="M881" s="270"/>
      <c r="O881" s="271"/>
      <c r="P881" s="271"/>
    </row>
    <row r="882">
      <c r="M882" s="270"/>
      <c r="O882" s="271"/>
      <c r="P882" s="271"/>
    </row>
    <row r="883">
      <c r="M883" s="270"/>
      <c r="O883" s="271"/>
      <c r="P883" s="271"/>
    </row>
    <row r="884">
      <c r="M884" s="270"/>
      <c r="O884" s="271"/>
      <c r="P884" s="271"/>
    </row>
    <row r="885">
      <c r="M885" s="270"/>
      <c r="O885" s="271"/>
      <c r="P885" s="271"/>
    </row>
    <row r="886">
      <c r="M886" s="270"/>
      <c r="O886" s="271"/>
      <c r="P886" s="271"/>
    </row>
    <row r="887">
      <c r="M887" s="270"/>
      <c r="O887" s="271"/>
      <c r="P887" s="271"/>
    </row>
    <row r="888">
      <c r="M888" s="270"/>
      <c r="O888" s="271"/>
      <c r="P888" s="271"/>
    </row>
    <row r="889">
      <c r="M889" s="270"/>
      <c r="O889" s="271"/>
      <c r="P889" s="271"/>
    </row>
    <row r="890">
      <c r="M890" s="270"/>
      <c r="O890" s="271"/>
      <c r="P890" s="271"/>
    </row>
    <row r="891">
      <c r="M891" s="270"/>
      <c r="O891" s="271"/>
      <c r="P891" s="271"/>
    </row>
    <row r="892">
      <c r="M892" s="270"/>
      <c r="O892" s="271"/>
      <c r="P892" s="271"/>
    </row>
    <row r="893">
      <c r="M893" s="270"/>
      <c r="O893" s="271"/>
      <c r="P893" s="271"/>
    </row>
    <row r="894">
      <c r="M894" s="270"/>
      <c r="O894" s="271"/>
      <c r="P894" s="271"/>
    </row>
    <row r="895">
      <c r="M895" s="270"/>
      <c r="O895" s="271"/>
      <c r="P895" s="271"/>
    </row>
    <row r="896">
      <c r="M896" s="270"/>
      <c r="O896" s="271"/>
      <c r="P896" s="271"/>
    </row>
    <row r="897">
      <c r="M897" s="270"/>
      <c r="O897" s="271"/>
      <c r="P897" s="271"/>
    </row>
    <row r="898">
      <c r="M898" s="270"/>
      <c r="O898" s="271"/>
      <c r="P898" s="271"/>
    </row>
    <row r="899">
      <c r="M899" s="270"/>
      <c r="O899" s="271"/>
      <c r="P899" s="271"/>
    </row>
    <row r="900">
      <c r="M900" s="270"/>
      <c r="O900" s="271"/>
      <c r="P900" s="271"/>
    </row>
    <row r="901">
      <c r="M901" s="270"/>
      <c r="O901" s="271"/>
      <c r="P901" s="271"/>
    </row>
    <row r="902">
      <c r="M902" s="270"/>
      <c r="O902" s="271"/>
      <c r="P902" s="271"/>
    </row>
    <row r="903">
      <c r="M903" s="270"/>
      <c r="O903" s="271"/>
      <c r="P903" s="271"/>
    </row>
    <row r="904">
      <c r="M904" s="270"/>
      <c r="O904" s="271"/>
      <c r="P904" s="271"/>
    </row>
    <row r="905">
      <c r="M905" s="270"/>
      <c r="O905" s="271"/>
      <c r="P905" s="271"/>
    </row>
    <row r="906">
      <c r="M906" s="270"/>
      <c r="O906" s="271"/>
      <c r="P906" s="271"/>
    </row>
    <row r="907">
      <c r="M907" s="270"/>
      <c r="O907" s="271"/>
      <c r="P907" s="271"/>
    </row>
    <row r="908">
      <c r="M908" s="270"/>
      <c r="O908" s="271"/>
      <c r="P908" s="271"/>
    </row>
    <row r="909">
      <c r="M909" s="270"/>
      <c r="O909" s="271"/>
      <c r="P909" s="271"/>
    </row>
    <row r="910">
      <c r="M910" s="270"/>
      <c r="O910" s="271"/>
      <c r="P910" s="271"/>
    </row>
    <row r="911">
      <c r="M911" s="270"/>
      <c r="O911" s="271"/>
      <c r="P911" s="271"/>
    </row>
    <row r="912">
      <c r="M912" s="270"/>
      <c r="O912" s="271"/>
      <c r="P912" s="271"/>
    </row>
    <row r="913">
      <c r="M913" s="270"/>
      <c r="O913" s="271"/>
      <c r="P913" s="271"/>
    </row>
    <row r="914">
      <c r="M914" s="270"/>
      <c r="O914" s="271"/>
      <c r="P914" s="271"/>
    </row>
    <row r="915">
      <c r="M915" s="270"/>
      <c r="O915" s="271"/>
      <c r="P915" s="271"/>
    </row>
    <row r="916">
      <c r="M916" s="270"/>
      <c r="O916" s="271"/>
      <c r="P916" s="271"/>
    </row>
    <row r="917">
      <c r="M917" s="270"/>
      <c r="O917" s="271"/>
      <c r="P917" s="271"/>
    </row>
    <row r="918">
      <c r="M918" s="270"/>
      <c r="O918" s="271"/>
      <c r="P918" s="271"/>
    </row>
    <row r="919">
      <c r="M919" s="270"/>
      <c r="O919" s="271"/>
      <c r="P919" s="271"/>
    </row>
    <row r="920">
      <c r="M920" s="270"/>
      <c r="O920" s="271"/>
      <c r="P920" s="271"/>
    </row>
    <row r="921">
      <c r="M921" s="270"/>
      <c r="O921" s="271"/>
      <c r="P921" s="271"/>
    </row>
    <row r="922">
      <c r="M922" s="270"/>
      <c r="O922" s="271"/>
      <c r="P922" s="271"/>
    </row>
    <row r="923">
      <c r="M923" s="270"/>
      <c r="O923" s="271"/>
      <c r="P923" s="271"/>
    </row>
    <row r="924">
      <c r="M924" s="270"/>
      <c r="O924" s="271"/>
      <c r="P924" s="271"/>
    </row>
    <row r="925">
      <c r="M925" s="270"/>
      <c r="O925" s="271"/>
      <c r="P925" s="271"/>
    </row>
    <row r="926">
      <c r="M926" s="270"/>
      <c r="O926" s="271"/>
      <c r="P926" s="271"/>
    </row>
    <row r="927">
      <c r="M927" s="270"/>
      <c r="O927" s="271"/>
      <c r="P927" s="271"/>
    </row>
    <row r="928">
      <c r="M928" s="270"/>
      <c r="O928" s="271"/>
      <c r="P928" s="271"/>
    </row>
    <row r="929">
      <c r="M929" s="270"/>
      <c r="O929" s="271"/>
      <c r="P929" s="271"/>
    </row>
    <row r="930">
      <c r="M930" s="270"/>
      <c r="O930" s="271"/>
      <c r="P930" s="271"/>
    </row>
    <row r="931">
      <c r="M931" s="270"/>
      <c r="O931" s="271"/>
      <c r="P931" s="271"/>
    </row>
    <row r="932">
      <c r="M932" s="270"/>
      <c r="O932" s="271"/>
      <c r="P932" s="271"/>
    </row>
    <row r="933">
      <c r="M933" s="270"/>
      <c r="O933" s="271"/>
      <c r="P933" s="271"/>
    </row>
    <row r="934">
      <c r="M934" s="270"/>
      <c r="O934" s="271"/>
      <c r="P934" s="271"/>
    </row>
    <row r="935">
      <c r="M935" s="270"/>
      <c r="O935" s="271"/>
      <c r="P935" s="271"/>
    </row>
    <row r="936">
      <c r="M936" s="270"/>
      <c r="O936" s="271"/>
      <c r="P936" s="271"/>
    </row>
    <row r="937">
      <c r="M937" s="270"/>
      <c r="O937" s="271"/>
      <c r="P937" s="271"/>
    </row>
    <row r="938">
      <c r="M938" s="270"/>
      <c r="O938" s="271"/>
      <c r="P938" s="271"/>
    </row>
    <row r="939">
      <c r="M939" s="270"/>
      <c r="O939" s="271"/>
      <c r="P939" s="271"/>
    </row>
    <row r="940">
      <c r="M940" s="270"/>
      <c r="O940" s="271"/>
      <c r="P940" s="271"/>
    </row>
    <row r="941">
      <c r="M941" s="270"/>
      <c r="O941" s="271"/>
      <c r="P941" s="271"/>
    </row>
    <row r="942">
      <c r="M942" s="270"/>
      <c r="O942" s="271"/>
      <c r="P942" s="271"/>
    </row>
    <row r="943">
      <c r="M943" s="270"/>
      <c r="O943" s="271"/>
      <c r="P943" s="271"/>
    </row>
    <row r="944">
      <c r="M944" s="270"/>
      <c r="O944" s="271"/>
      <c r="P944" s="271"/>
    </row>
    <row r="945">
      <c r="M945" s="270"/>
      <c r="O945" s="271"/>
      <c r="P945" s="271"/>
    </row>
    <row r="946">
      <c r="M946" s="270"/>
      <c r="O946" s="271"/>
      <c r="P946" s="271"/>
    </row>
    <row r="947">
      <c r="M947" s="270"/>
      <c r="O947" s="271"/>
      <c r="P947" s="271"/>
    </row>
    <row r="948">
      <c r="M948" s="270"/>
      <c r="O948" s="271"/>
      <c r="P948" s="271"/>
    </row>
    <row r="949">
      <c r="M949" s="270"/>
      <c r="O949" s="271"/>
      <c r="P949" s="271"/>
    </row>
    <row r="950">
      <c r="M950" s="270"/>
      <c r="O950" s="271"/>
      <c r="P950" s="271"/>
    </row>
    <row r="951">
      <c r="M951" s="270"/>
      <c r="O951" s="271"/>
      <c r="P951" s="271"/>
    </row>
    <row r="952">
      <c r="M952" s="270"/>
      <c r="O952" s="271"/>
      <c r="P952" s="271"/>
    </row>
    <row r="953">
      <c r="M953" s="270"/>
      <c r="O953" s="271"/>
      <c r="P953" s="271"/>
    </row>
    <row r="954">
      <c r="M954" s="270"/>
      <c r="O954" s="271"/>
      <c r="P954" s="271"/>
    </row>
    <row r="955">
      <c r="M955" s="270"/>
      <c r="O955" s="271"/>
      <c r="P955" s="271"/>
    </row>
    <row r="956">
      <c r="M956" s="270"/>
      <c r="O956" s="271"/>
      <c r="P956" s="271"/>
    </row>
    <row r="957">
      <c r="M957" s="270"/>
      <c r="O957" s="271"/>
      <c r="P957" s="271"/>
    </row>
    <row r="958">
      <c r="M958" s="270"/>
      <c r="O958" s="271"/>
      <c r="P958" s="271"/>
    </row>
    <row r="959">
      <c r="M959" s="270"/>
      <c r="O959" s="271"/>
      <c r="P959" s="271"/>
    </row>
    <row r="960">
      <c r="M960" s="270"/>
      <c r="O960" s="271"/>
      <c r="P960" s="271"/>
    </row>
    <row r="961">
      <c r="M961" s="270"/>
      <c r="O961" s="271"/>
      <c r="P961" s="271"/>
    </row>
    <row r="962">
      <c r="M962" s="270"/>
      <c r="O962" s="271"/>
      <c r="P962" s="271"/>
    </row>
    <row r="963">
      <c r="M963" s="270"/>
      <c r="O963" s="271"/>
      <c r="P963" s="271"/>
    </row>
    <row r="964">
      <c r="M964" s="270"/>
      <c r="O964" s="271"/>
      <c r="P964" s="271"/>
    </row>
    <row r="965">
      <c r="M965" s="270"/>
      <c r="O965" s="271"/>
      <c r="P965" s="271"/>
    </row>
    <row r="966">
      <c r="M966" s="270"/>
      <c r="O966" s="271"/>
      <c r="P966" s="271"/>
    </row>
    <row r="967">
      <c r="M967" s="270"/>
      <c r="O967" s="271"/>
      <c r="P967" s="271"/>
    </row>
    <row r="968">
      <c r="M968" s="270"/>
      <c r="O968" s="271"/>
      <c r="P968" s="271"/>
    </row>
    <row r="969">
      <c r="M969" s="270"/>
      <c r="O969" s="271"/>
      <c r="P969" s="271"/>
    </row>
    <row r="970">
      <c r="M970" s="270"/>
      <c r="O970" s="271"/>
      <c r="P970" s="271"/>
    </row>
    <row r="971">
      <c r="M971" s="270"/>
      <c r="O971" s="271"/>
      <c r="P971" s="271"/>
    </row>
    <row r="972">
      <c r="M972" s="270"/>
      <c r="O972" s="271"/>
      <c r="P972" s="271"/>
    </row>
    <row r="973">
      <c r="M973" s="270"/>
      <c r="O973" s="271"/>
      <c r="P973" s="271"/>
    </row>
    <row r="974">
      <c r="M974" s="270"/>
      <c r="O974" s="271"/>
      <c r="P974" s="271"/>
    </row>
    <row r="975">
      <c r="M975" s="270"/>
      <c r="O975" s="271"/>
      <c r="P975" s="271"/>
    </row>
    <row r="976">
      <c r="M976" s="270"/>
      <c r="O976" s="271"/>
      <c r="P976" s="271"/>
    </row>
    <row r="977">
      <c r="M977" s="270"/>
      <c r="O977" s="271"/>
      <c r="P977" s="271"/>
    </row>
    <row r="978">
      <c r="M978" s="270"/>
      <c r="O978" s="271"/>
      <c r="P978" s="271"/>
    </row>
    <row r="979">
      <c r="M979" s="270"/>
      <c r="O979" s="271"/>
      <c r="P979" s="271"/>
    </row>
    <row r="980">
      <c r="M980" s="270"/>
      <c r="O980" s="271"/>
      <c r="P980" s="271"/>
    </row>
    <row r="981">
      <c r="M981" s="270"/>
      <c r="O981" s="271"/>
      <c r="P981" s="271"/>
    </row>
    <row r="982">
      <c r="M982" s="270"/>
      <c r="O982" s="271"/>
      <c r="P982" s="271"/>
    </row>
    <row r="983">
      <c r="M983" s="270"/>
      <c r="O983" s="271"/>
      <c r="P983" s="271"/>
    </row>
    <row r="984">
      <c r="M984" s="270"/>
      <c r="O984" s="271"/>
      <c r="P984" s="271"/>
    </row>
    <row r="985">
      <c r="M985" s="270"/>
      <c r="O985" s="271"/>
      <c r="P985" s="271"/>
    </row>
    <row r="986">
      <c r="M986" s="270"/>
      <c r="O986" s="271"/>
      <c r="P986" s="271"/>
    </row>
    <row r="987">
      <c r="M987" s="270"/>
      <c r="O987" s="271"/>
      <c r="P987" s="271"/>
    </row>
    <row r="988">
      <c r="M988" s="270"/>
      <c r="O988" s="271"/>
      <c r="P988" s="271"/>
    </row>
    <row r="989">
      <c r="M989" s="270"/>
      <c r="O989" s="271"/>
      <c r="P989" s="271"/>
    </row>
    <row r="990">
      <c r="M990" s="270"/>
      <c r="O990" s="271"/>
      <c r="P990" s="271"/>
    </row>
    <row r="991">
      <c r="M991" s="270"/>
      <c r="O991" s="271"/>
      <c r="P991" s="271"/>
    </row>
    <row r="992">
      <c r="M992" s="270"/>
      <c r="O992" s="271"/>
      <c r="P992" s="271"/>
    </row>
    <row r="993">
      <c r="M993" s="270"/>
      <c r="O993" s="271"/>
      <c r="P993" s="271"/>
    </row>
    <row r="994">
      <c r="M994" s="270"/>
      <c r="O994" s="271"/>
      <c r="P994" s="271"/>
    </row>
    <row r="995">
      <c r="M995" s="270"/>
      <c r="O995" s="271"/>
      <c r="P995" s="271"/>
    </row>
    <row r="996">
      <c r="M996" s="270"/>
      <c r="O996" s="271"/>
      <c r="P996" s="271"/>
    </row>
    <row r="997">
      <c r="M997" s="270"/>
      <c r="O997" s="271"/>
      <c r="P997" s="271"/>
    </row>
    <row r="998">
      <c r="M998" s="270"/>
      <c r="O998" s="271"/>
      <c r="P998" s="271"/>
    </row>
    <row r="999">
      <c r="M999" s="270"/>
      <c r="O999" s="271"/>
      <c r="P999" s="271"/>
    </row>
    <row r="1000">
      <c r="M1000" s="270"/>
      <c r="O1000" s="271"/>
      <c r="P1000" s="271"/>
    </row>
    <row r="1001">
      <c r="M1001" s="270"/>
      <c r="O1001" s="271"/>
      <c r="P1001" s="271"/>
    </row>
    <row r="1002">
      <c r="M1002" s="270"/>
      <c r="O1002" s="271"/>
      <c r="P1002" s="271"/>
    </row>
    <row r="1003">
      <c r="M1003" s="270"/>
      <c r="O1003" s="271"/>
      <c r="P1003" s="271"/>
    </row>
    <row r="1004">
      <c r="M1004" s="270"/>
      <c r="O1004" s="271"/>
      <c r="P1004" s="271"/>
    </row>
    <row r="1005">
      <c r="M1005" s="270"/>
      <c r="O1005" s="271"/>
      <c r="P1005" s="271"/>
    </row>
    <row r="1006">
      <c r="M1006" s="270"/>
      <c r="O1006" s="271"/>
      <c r="P1006" s="271"/>
    </row>
    <row r="1007">
      <c r="M1007" s="270"/>
      <c r="O1007" s="271"/>
      <c r="P1007" s="271"/>
    </row>
    <row r="1008">
      <c r="M1008" s="270"/>
      <c r="O1008" s="271"/>
      <c r="P1008" s="271"/>
    </row>
    <row r="1009">
      <c r="M1009" s="270"/>
      <c r="O1009" s="271"/>
      <c r="P1009" s="271"/>
    </row>
    <row r="1010">
      <c r="M1010" s="270"/>
      <c r="O1010" s="271"/>
      <c r="P1010" s="271"/>
    </row>
    <row r="1011">
      <c r="M1011" s="270"/>
      <c r="O1011" s="271"/>
      <c r="P1011" s="271"/>
    </row>
    <row r="1012">
      <c r="M1012" s="270"/>
      <c r="O1012" s="271"/>
      <c r="P1012" s="271"/>
    </row>
    <row r="1013">
      <c r="M1013" s="270"/>
      <c r="O1013" s="271"/>
      <c r="P1013" s="271"/>
    </row>
    <row r="1014">
      <c r="M1014" s="270"/>
      <c r="O1014" s="271"/>
      <c r="P1014" s="271"/>
    </row>
    <row r="1015">
      <c r="M1015" s="270"/>
      <c r="O1015" s="271"/>
      <c r="P1015" s="271"/>
    </row>
    <row r="1016">
      <c r="M1016" s="270"/>
      <c r="O1016" s="271"/>
      <c r="P1016" s="271"/>
    </row>
    <row r="1017">
      <c r="M1017" s="270"/>
      <c r="O1017" s="271"/>
      <c r="P1017" s="271"/>
    </row>
    <row r="1018">
      <c r="M1018" s="270"/>
      <c r="O1018" s="271"/>
      <c r="P1018" s="271"/>
    </row>
    <row r="1019">
      <c r="M1019" s="270"/>
      <c r="O1019" s="271"/>
      <c r="P1019" s="271"/>
    </row>
    <row r="1020">
      <c r="M1020" s="270"/>
      <c r="O1020" s="271"/>
      <c r="P1020" s="271"/>
    </row>
    <row r="1021">
      <c r="M1021" s="270"/>
      <c r="O1021" s="271"/>
      <c r="P1021" s="271"/>
    </row>
    <row r="1022">
      <c r="M1022" s="270"/>
      <c r="O1022" s="271"/>
      <c r="P1022" s="271"/>
    </row>
    <row r="1023">
      <c r="M1023" s="270"/>
      <c r="O1023" s="271"/>
      <c r="P1023" s="271"/>
    </row>
    <row r="1024">
      <c r="M1024" s="270"/>
      <c r="O1024" s="271"/>
      <c r="P1024" s="271"/>
    </row>
    <row r="1025">
      <c r="M1025" s="270"/>
      <c r="O1025" s="271"/>
      <c r="P1025" s="271"/>
    </row>
    <row r="1026">
      <c r="M1026" s="270"/>
      <c r="O1026" s="271"/>
      <c r="P1026" s="271"/>
    </row>
    <row r="1027">
      <c r="M1027" s="270"/>
      <c r="O1027" s="271"/>
      <c r="P1027" s="271"/>
    </row>
    <row r="1028">
      <c r="M1028" s="270"/>
      <c r="O1028" s="271"/>
      <c r="P1028" s="271"/>
    </row>
    <row r="1029">
      <c r="M1029" s="270"/>
      <c r="O1029" s="271"/>
      <c r="P1029" s="271"/>
    </row>
    <row r="1030">
      <c r="M1030" s="270"/>
      <c r="O1030" s="271"/>
      <c r="P1030" s="271"/>
    </row>
    <row r="1031">
      <c r="M1031" s="270"/>
      <c r="O1031" s="271"/>
      <c r="P1031" s="271"/>
    </row>
    <row r="1032">
      <c r="M1032" s="270"/>
      <c r="O1032" s="271"/>
      <c r="P1032" s="271"/>
    </row>
    <row r="1033">
      <c r="M1033" s="270"/>
      <c r="O1033" s="271"/>
      <c r="P1033" s="271"/>
    </row>
    <row r="1034">
      <c r="M1034" s="270"/>
      <c r="O1034" s="271"/>
      <c r="P1034" s="271"/>
    </row>
    <row r="1035">
      <c r="M1035" s="270"/>
      <c r="O1035" s="271"/>
      <c r="P1035" s="271"/>
    </row>
    <row r="1036">
      <c r="M1036" s="270"/>
      <c r="O1036" s="271"/>
      <c r="P1036" s="271"/>
    </row>
    <row r="1037">
      <c r="M1037" s="270"/>
      <c r="O1037" s="271"/>
      <c r="P1037" s="271"/>
    </row>
    <row r="1038">
      <c r="M1038" s="270"/>
      <c r="O1038" s="271"/>
      <c r="P1038" s="271"/>
    </row>
    <row r="1039">
      <c r="M1039" s="270"/>
      <c r="O1039" s="271"/>
      <c r="P1039" s="271"/>
    </row>
    <row r="1040">
      <c r="M1040" s="270"/>
      <c r="O1040" s="271"/>
      <c r="P1040" s="271"/>
    </row>
    <row r="1041">
      <c r="M1041" s="270"/>
      <c r="O1041" s="271"/>
      <c r="P1041" s="271"/>
    </row>
    <row r="1042">
      <c r="M1042" s="270"/>
      <c r="O1042" s="271"/>
      <c r="P1042" s="271"/>
    </row>
    <row r="1043">
      <c r="M1043" s="270"/>
      <c r="O1043" s="271"/>
      <c r="P1043" s="271"/>
    </row>
    <row r="1044">
      <c r="M1044" s="270"/>
      <c r="O1044" s="271"/>
      <c r="P1044" s="271"/>
    </row>
    <row r="1045">
      <c r="M1045" s="270"/>
      <c r="O1045" s="271"/>
      <c r="P1045" s="271"/>
    </row>
    <row r="1046">
      <c r="M1046" s="270"/>
      <c r="O1046" s="271"/>
      <c r="P1046" s="271"/>
    </row>
    <row r="1047">
      <c r="M1047" s="270"/>
      <c r="O1047" s="271"/>
      <c r="P1047" s="271"/>
    </row>
    <row r="1048">
      <c r="M1048" s="270"/>
      <c r="O1048" s="271"/>
      <c r="P1048" s="271"/>
    </row>
    <row r="1049">
      <c r="M1049" s="270"/>
      <c r="O1049" s="271"/>
      <c r="P1049" s="271"/>
    </row>
    <row r="1050">
      <c r="M1050" s="270"/>
      <c r="O1050" s="271"/>
      <c r="P1050" s="271"/>
    </row>
    <row r="1051">
      <c r="M1051" s="270"/>
      <c r="O1051" s="271"/>
      <c r="P1051" s="271"/>
    </row>
    <row r="1052">
      <c r="M1052" s="270"/>
      <c r="O1052" s="271"/>
      <c r="P1052" s="271"/>
    </row>
    <row r="1053">
      <c r="M1053" s="270"/>
      <c r="O1053" s="271"/>
      <c r="P1053" s="271"/>
    </row>
    <row r="1054">
      <c r="M1054" s="270"/>
      <c r="O1054" s="271"/>
      <c r="P1054" s="271"/>
    </row>
    <row r="1055">
      <c r="M1055" s="270"/>
      <c r="O1055" s="271"/>
      <c r="P1055" s="271"/>
    </row>
    <row r="1056">
      <c r="M1056" s="270"/>
      <c r="O1056" s="271"/>
      <c r="P1056" s="271"/>
    </row>
    <row r="1057">
      <c r="M1057" s="270"/>
      <c r="O1057" s="271"/>
      <c r="P1057" s="271"/>
    </row>
    <row r="1058">
      <c r="M1058" s="270"/>
      <c r="O1058" s="271"/>
      <c r="P1058" s="271"/>
    </row>
    <row r="1059">
      <c r="M1059" s="270"/>
      <c r="O1059" s="271"/>
      <c r="P1059" s="271"/>
    </row>
    <row r="1060">
      <c r="M1060" s="270"/>
      <c r="O1060" s="271"/>
      <c r="P1060" s="271"/>
    </row>
    <row r="1061">
      <c r="M1061" s="270"/>
      <c r="O1061" s="271"/>
      <c r="P1061" s="271"/>
    </row>
    <row r="1062">
      <c r="M1062" s="270"/>
      <c r="O1062" s="271"/>
      <c r="P1062" s="271"/>
    </row>
    <row r="1063">
      <c r="M1063" s="270"/>
      <c r="O1063" s="271"/>
      <c r="P1063" s="271"/>
    </row>
    <row r="1064">
      <c r="M1064" s="270"/>
      <c r="O1064" s="271"/>
      <c r="P1064" s="271"/>
    </row>
    <row r="1065">
      <c r="M1065" s="270"/>
      <c r="O1065" s="271"/>
      <c r="P1065" s="271"/>
    </row>
    <row r="1066">
      <c r="M1066" s="270"/>
      <c r="O1066" s="271"/>
      <c r="P1066" s="271"/>
    </row>
    <row r="1067">
      <c r="M1067" s="270"/>
      <c r="O1067" s="271"/>
      <c r="P1067" s="271"/>
    </row>
    <row r="1068">
      <c r="M1068" s="270"/>
      <c r="O1068" s="271"/>
      <c r="P1068" s="271"/>
    </row>
    <row r="1069">
      <c r="M1069" s="270"/>
      <c r="O1069" s="271"/>
      <c r="P1069" s="271"/>
    </row>
    <row r="1070">
      <c r="M1070" s="270"/>
      <c r="O1070" s="271"/>
      <c r="P1070" s="271"/>
    </row>
    <row r="1071">
      <c r="M1071" s="270"/>
      <c r="O1071" s="271"/>
      <c r="P1071" s="271"/>
    </row>
    <row r="1072">
      <c r="M1072" s="270"/>
      <c r="O1072" s="271"/>
      <c r="P1072" s="271"/>
    </row>
    <row r="1073">
      <c r="M1073" s="270"/>
      <c r="O1073" s="271"/>
      <c r="P1073" s="271"/>
    </row>
    <row r="1074">
      <c r="M1074" s="270"/>
      <c r="O1074" s="271"/>
      <c r="P1074" s="271"/>
    </row>
    <row r="1075">
      <c r="M1075" s="270"/>
      <c r="O1075" s="271"/>
      <c r="P1075" s="271"/>
    </row>
    <row r="1076">
      <c r="M1076" s="270"/>
      <c r="O1076" s="271"/>
      <c r="P1076" s="271"/>
    </row>
    <row r="1077">
      <c r="M1077" s="270"/>
      <c r="O1077" s="271"/>
      <c r="P1077" s="271"/>
    </row>
    <row r="1078">
      <c r="M1078" s="270"/>
      <c r="O1078" s="271"/>
      <c r="P1078" s="271"/>
    </row>
    <row r="1079">
      <c r="M1079" s="270"/>
      <c r="O1079" s="271"/>
      <c r="P1079" s="271"/>
    </row>
    <row r="1080">
      <c r="M1080" s="270"/>
      <c r="O1080" s="271"/>
      <c r="P1080" s="271"/>
    </row>
    <row r="1081">
      <c r="M1081" s="270"/>
      <c r="O1081" s="271"/>
      <c r="P1081" s="271"/>
    </row>
    <row r="1082">
      <c r="M1082" s="270"/>
      <c r="O1082" s="271"/>
      <c r="P1082" s="271"/>
    </row>
    <row r="1083">
      <c r="M1083" s="270"/>
      <c r="O1083" s="271"/>
      <c r="P1083" s="271"/>
    </row>
    <row r="1084">
      <c r="M1084" s="270"/>
      <c r="O1084" s="271"/>
      <c r="P1084" s="271"/>
    </row>
    <row r="1085">
      <c r="M1085" s="270"/>
      <c r="O1085" s="271"/>
      <c r="P1085" s="271"/>
    </row>
    <row r="1086">
      <c r="M1086" s="270"/>
      <c r="O1086" s="271"/>
      <c r="P1086" s="271"/>
    </row>
    <row r="1087">
      <c r="M1087" s="270"/>
      <c r="O1087" s="271"/>
      <c r="P1087" s="271"/>
    </row>
    <row r="1088">
      <c r="M1088" s="270"/>
      <c r="O1088" s="271"/>
      <c r="P1088" s="271"/>
    </row>
    <row r="1089">
      <c r="M1089" s="270"/>
      <c r="O1089" s="271"/>
      <c r="P1089" s="271"/>
    </row>
    <row r="1090">
      <c r="M1090" s="270"/>
      <c r="O1090" s="271"/>
      <c r="P1090" s="271"/>
    </row>
    <row r="1091">
      <c r="M1091" s="270"/>
      <c r="O1091" s="271"/>
      <c r="P1091" s="271"/>
    </row>
    <row r="1092">
      <c r="M1092" s="270"/>
      <c r="O1092" s="271"/>
      <c r="P1092" s="271"/>
    </row>
    <row r="1093">
      <c r="M1093" s="270"/>
      <c r="O1093" s="271"/>
      <c r="P1093" s="271"/>
    </row>
    <row r="1094">
      <c r="M1094" s="270"/>
      <c r="O1094" s="271"/>
      <c r="P1094" s="271"/>
    </row>
    <row r="1095">
      <c r="M1095" s="270"/>
      <c r="O1095" s="271"/>
      <c r="P1095" s="271"/>
    </row>
    <row r="1096">
      <c r="M1096" s="270"/>
      <c r="O1096" s="271"/>
      <c r="P1096" s="271"/>
    </row>
    <row r="1097">
      <c r="M1097" s="270"/>
      <c r="O1097" s="271"/>
      <c r="P1097" s="271"/>
    </row>
    <row r="1098">
      <c r="M1098" s="270"/>
      <c r="O1098" s="271"/>
      <c r="P1098" s="271"/>
    </row>
    <row r="1099">
      <c r="M1099" s="270"/>
      <c r="O1099" s="271"/>
      <c r="P1099" s="271"/>
    </row>
    <row r="1100">
      <c r="M1100" s="270"/>
      <c r="O1100" s="271"/>
      <c r="P1100" s="271"/>
    </row>
    <row r="1101">
      <c r="M1101" s="270"/>
      <c r="O1101" s="271"/>
      <c r="P1101" s="271"/>
    </row>
    <row r="1102">
      <c r="M1102" s="270"/>
      <c r="O1102" s="271"/>
      <c r="P1102" s="271"/>
    </row>
    <row r="1103">
      <c r="M1103" s="270"/>
      <c r="O1103" s="271"/>
      <c r="P1103" s="271"/>
    </row>
    <row r="1104">
      <c r="M1104" s="270"/>
      <c r="O1104" s="271"/>
      <c r="P1104" s="271"/>
    </row>
    <row r="1105">
      <c r="M1105" s="270"/>
      <c r="O1105" s="271"/>
      <c r="P1105" s="271"/>
    </row>
    <row r="1106">
      <c r="M1106" s="270"/>
      <c r="O1106" s="271"/>
      <c r="P1106" s="271"/>
    </row>
    <row r="1107">
      <c r="M1107" s="270"/>
      <c r="O1107" s="271"/>
      <c r="P1107" s="271"/>
    </row>
    <row r="1108">
      <c r="M1108" s="270"/>
      <c r="O1108" s="271"/>
      <c r="P1108" s="271"/>
    </row>
    <row r="1109">
      <c r="M1109" s="270"/>
      <c r="O1109" s="271"/>
      <c r="P1109" s="271"/>
    </row>
    <row r="1110">
      <c r="M1110" s="270"/>
      <c r="O1110" s="271"/>
      <c r="P1110" s="271"/>
    </row>
    <row r="1111">
      <c r="M1111" s="270"/>
      <c r="O1111" s="271"/>
      <c r="P1111" s="271"/>
    </row>
    <row r="1112">
      <c r="M1112" s="270"/>
      <c r="O1112" s="271"/>
      <c r="P1112" s="271"/>
    </row>
    <row r="1113">
      <c r="M1113" s="270"/>
      <c r="O1113" s="271"/>
      <c r="P1113" s="271"/>
    </row>
    <row r="1114">
      <c r="M1114" s="270"/>
      <c r="O1114" s="271"/>
      <c r="P1114" s="271"/>
    </row>
    <row r="1115">
      <c r="M1115" s="270"/>
      <c r="O1115" s="271"/>
      <c r="P1115" s="271"/>
    </row>
    <row r="1116">
      <c r="M1116" s="270"/>
      <c r="O1116" s="271"/>
      <c r="P1116" s="271"/>
    </row>
    <row r="1117">
      <c r="M1117" s="270"/>
      <c r="O1117" s="271"/>
      <c r="P1117" s="271"/>
    </row>
    <row r="1118">
      <c r="M1118" s="270"/>
      <c r="O1118" s="271"/>
      <c r="P1118" s="271"/>
    </row>
    <row r="1119">
      <c r="M1119" s="270"/>
      <c r="O1119" s="271"/>
      <c r="P1119" s="271"/>
    </row>
    <row r="1120">
      <c r="M1120" s="270"/>
      <c r="O1120" s="271"/>
      <c r="P1120" s="271"/>
    </row>
    <row r="1121">
      <c r="M1121" s="270"/>
      <c r="O1121" s="271"/>
      <c r="P1121" s="271"/>
    </row>
    <row r="1122">
      <c r="M1122" s="270"/>
      <c r="O1122" s="271"/>
      <c r="P1122" s="271"/>
    </row>
    <row r="1123">
      <c r="M1123" s="270"/>
      <c r="O1123" s="271"/>
      <c r="P1123" s="271"/>
    </row>
    <row r="1124">
      <c r="M1124" s="270"/>
      <c r="O1124" s="271"/>
      <c r="P1124" s="271"/>
    </row>
    <row r="1125">
      <c r="M1125" s="270"/>
      <c r="O1125" s="271"/>
      <c r="P1125" s="271"/>
    </row>
    <row r="1126">
      <c r="M1126" s="270"/>
      <c r="O1126" s="271"/>
      <c r="P1126" s="271"/>
    </row>
    <row r="1127">
      <c r="M1127" s="270"/>
      <c r="O1127" s="271"/>
      <c r="P1127" s="271"/>
    </row>
    <row r="1128">
      <c r="M1128" s="270"/>
      <c r="O1128" s="271"/>
      <c r="P1128" s="271"/>
    </row>
    <row r="1129">
      <c r="M1129" s="270"/>
      <c r="O1129" s="271"/>
      <c r="P1129" s="271"/>
    </row>
    <row r="1130">
      <c r="M1130" s="270"/>
      <c r="O1130" s="271"/>
      <c r="P1130" s="271"/>
    </row>
    <row r="1131">
      <c r="M1131" s="270"/>
      <c r="O1131" s="271"/>
      <c r="P1131" s="271"/>
    </row>
    <row r="1132">
      <c r="M1132" s="270"/>
      <c r="O1132" s="271"/>
      <c r="P1132" s="271"/>
    </row>
    <row r="1133">
      <c r="M1133" s="270"/>
      <c r="O1133" s="271"/>
      <c r="P1133" s="271"/>
    </row>
    <row r="1134">
      <c r="M1134" s="270"/>
      <c r="O1134" s="271"/>
      <c r="P1134" s="271"/>
    </row>
    <row r="1135">
      <c r="M1135" s="270"/>
      <c r="O1135" s="271"/>
      <c r="P1135" s="271"/>
    </row>
    <row r="1136">
      <c r="M1136" s="270"/>
      <c r="O1136" s="271"/>
      <c r="P1136" s="271"/>
    </row>
    <row r="1137">
      <c r="M1137" s="270"/>
      <c r="O1137" s="271"/>
      <c r="P1137" s="271"/>
    </row>
    <row r="1138">
      <c r="M1138" s="270"/>
      <c r="O1138" s="271"/>
      <c r="P1138" s="271"/>
    </row>
    <row r="1139">
      <c r="M1139" s="270"/>
      <c r="O1139" s="271"/>
      <c r="P1139" s="271"/>
    </row>
    <row r="1140">
      <c r="M1140" s="270"/>
      <c r="O1140" s="271"/>
      <c r="P1140" s="271"/>
    </row>
    <row r="1141">
      <c r="M1141" s="270"/>
      <c r="O1141" s="271"/>
      <c r="P1141" s="271"/>
    </row>
    <row r="1142">
      <c r="M1142" s="270"/>
      <c r="O1142" s="271"/>
      <c r="P1142" s="271"/>
    </row>
    <row r="1143">
      <c r="M1143" s="270"/>
      <c r="O1143" s="271"/>
      <c r="P1143" s="271"/>
    </row>
    <row r="1144">
      <c r="M1144" s="270"/>
      <c r="O1144" s="271"/>
      <c r="P1144" s="271"/>
    </row>
    <row r="1145">
      <c r="M1145" s="270"/>
      <c r="O1145" s="271"/>
      <c r="P1145" s="271"/>
    </row>
    <row r="1146">
      <c r="M1146" s="270"/>
      <c r="O1146" s="271"/>
      <c r="P1146" s="271"/>
    </row>
    <row r="1147">
      <c r="M1147" s="270"/>
      <c r="O1147" s="271"/>
      <c r="P1147" s="271"/>
    </row>
    <row r="1148">
      <c r="M1148" s="270"/>
      <c r="O1148" s="271"/>
      <c r="P1148" s="271"/>
    </row>
    <row r="1149">
      <c r="M1149" s="270"/>
      <c r="O1149" s="271"/>
      <c r="P1149" s="271"/>
    </row>
    <row r="1150">
      <c r="M1150" s="270"/>
      <c r="O1150" s="271"/>
      <c r="P1150" s="271"/>
    </row>
    <row r="1151">
      <c r="M1151" s="270"/>
      <c r="O1151" s="271"/>
      <c r="P1151" s="271"/>
    </row>
    <row r="1152">
      <c r="M1152" s="270"/>
      <c r="O1152" s="271"/>
      <c r="P1152" s="271"/>
    </row>
    <row r="1153">
      <c r="M1153" s="270"/>
      <c r="O1153" s="271"/>
      <c r="P1153" s="271"/>
    </row>
    <row r="1154">
      <c r="M1154" s="270"/>
      <c r="O1154" s="271"/>
      <c r="P1154" s="271"/>
    </row>
    <row r="1155">
      <c r="M1155" s="270"/>
      <c r="O1155" s="271"/>
      <c r="P1155" s="271"/>
    </row>
    <row r="1156">
      <c r="M1156" s="270"/>
      <c r="O1156" s="271"/>
      <c r="P1156" s="271"/>
    </row>
    <row r="1157">
      <c r="M1157" s="270"/>
      <c r="O1157" s="271"/>
      <c r="P1157" s="271"/>
    </row>
    <row r="1158">
      <c r="M1158" s="270"/>
      <c r="O1158" s="271"/>
      <c r="P1158" s="271"/>
    </row>
    <row r="1159">
      <c r="M1159" s="270"/>
      <c r="O1159" s="271"/>
      <c r="P1159" s="271"/>
    </row>
    <row r="1160">
      <c r="M1160" s="270"/>
      <c r="O1160" s="271"/>
      <c r="P1160" s="271"/>
    </row>
    <row r="1161">
      <c r="M1161" s="270"/>
      <c r="O1161" s="271"/>
      <c r="P1161" s="271"/>
    </row>
    <row r="1162">
      <c r="M1162" s="270"/>
      <c r="O1162" s="271"/>
      <c r="P1162" s="271"/>
    </row>
    <row r="1163">
      <c r="M1163" s="270"/>
      <c r="O1163" s="271"/>
      <c r="P1163" s="271"/>
    </row>
    <row r="1164">
      <c r="M1164" s="270"/>
      <c r="O1164" s="271"/>
      <c r="P1164" s="271"/>
    </row>
    <row r="1165">
      <c r="M1165" s="270"/>
      <c r="O1165" s="271"/>
      <c r="P1165" s="271"/>
    </row>
    <row r="1166">
      <c r="M1166" s="270"/>
      <c r="O1166" s="271"/>
      <c r="P1166" s="271"/>
    </row>
    <row r="1167">
      <c r="M1167" s="270"/>
      <c r="O1167" s="271"/>
      <c r="P1167" s="271"/>
    </row>
    <row r="1168">
      <c r="M1168" s="270"/>
      <c r="O1168" s="271"/>
      <c r="P1168" s="271"/>
    </row>
    <row r="1169">
      <c r="M1169" s="270"/>
      <c r="O1169" s="271"/>
      <c r="P1169" s="271"/>
    </row>
    <row r="1170">
      <c r="M1170" s="270"/>
      <c r="O1170" s="271"/>
      <c r="P1170" s="271"/>
    </row>
    <row r="1171">
      <c r="M1171" s="270"/>
      <c r="O1171" s="271"/>
      <c r="P1171" s="271"/>
    </row>
    <row r="1172">
      <c r="M1172" s="270"/>
      <c r="O1172" s="271"/>
      <c r="P1172" s="271"/>
    </row>
    <row r="1173">
      <c r="M1173" s="270"/>
      <c r="O1173" s="271"/>
      <c r="P1173" s="271"/>
    </row>
    <row r="1174">
      <c r="M1174" s="270"/>
      <c r="O1174" s="271"/>
      <c r="P1174" s="271"/>
    </row>
    <row r="1175">
      <c r="M1175" s="270"/>
      <c r="O1175" s="271"/>
      <c r="P1175" s="271"/>
    </row>
    <row r="1176">
      <c r="M1176" s="270"/>
      <c r="O1176" s="271"/>
      <c r="P1176" s="271"/>
    </row>
    <row r="1177">
      <c r="M1177" s="270"/>
      <c r="O1177" s="271"/>
      <c r="P1177" s="271"/>
    </row>
    <row r="1178">
      <c r="M1178" s="270"/>
      <c r="O1178" s="271"/>
      <c r="P1178" s="271"/>
    </row>
    <row r="1179">
      <c r="M1179" s="270"/>
      <c r="O1179" s="271"/>
      <c r="P1179" s="271"/>
    </row>
    <row r="1180">
      <c r="M1180" s="270"/>
      <c r="O1180" s="271"/>
      <c r="P1180" s="271"/>
    </row>
    <row r="1181">
      <c r="M1181" s="270"/>
      <c r="O1181" s="271"/>
      <c r="P1181" s="271"/>
    </row>
    <row r="1182">
      <c r="M1182" s="270"/>
      <c r="O1182" s="271"/>
      <c r="P1182" s="271"/>
    </row>
    <row r="1183">
      <c r="M1183" s="270"/>
      <c r="O1183" s="271"/>
      <c r="P1183" s="271"/>
    </row>
    <row r="1184">
      <c r="M1184" s="270"/>
      <c r="O1184" s="271"/>
      <c r="P1184" s="271"/>
    </row>
    <row r="1185">
      <c r="M1185" s="270"/>
      <c r="O1185" s="271"/>
      <c r="P1185" s="271"/>
    </row>
    <row r="1186">
      <c r="M1186" s="270"/>
      <c r="O1186" s="271"/>
      <c r="P1186" s="271"/>
    </row>
    <row r="1187">
      <c r="M1187" s="270"/>
      <c r="O1187" s="271"/>
      <c r="P1187" s="271"/>
    </row>
    <row r="1188">
      <c r="M1188" s="270"/>
      <c r="O1188" s="271"/>
      <c r="P1188" s="271"/>
    </row>
    <row r="1189">
      <c r="M1189" s="270"/>
      <c r="O1189" s="271"/>
      <c r="P1189" s="271"/>
    </row>
    <row r="1190">
      <c r="M1190" s="270"/>
      <c r="O1190" s="271"/>
      <c r="P1190" s="271"/>
    </row>
    <row r="1191">
      <c r="M1191" s="270"/>
      <c r="O1191" s="271"/>
      <c r="P1191" s="271"/>
    </row>
    <row r="1192">
      <c r="M1192" s="270"/>
      <c r="O1192" s="271"/>
      <c r="P1192" s="271"/>
    </row>
    <row r="1193">
      <c r="M1193" s="270"/>
      <c r="O1193" s="271"/>
      <c r="P1193" s="271"/>
    </row>
    <row r="1194">
      <c r="M1194" s="270"/>
      <c r="O1194" s="271"/>
      <c r="P1194" s="271"/>
    </row>
    <row r="1195">
      <c r="M1195" s="270"/>
      <c r="O1195" s="271"/>
      <c r="P1195" s="271"/>
    </row>
    <row r="1196">
      <c r="M1196" s="270"/>
      <c r="O1196" s="271"/>
      <c r="P1196" s="271"/>
    </row>
    <row r="1197">
      <c r="M1197" s="270"/>
      <c r="O1197" s="271"/>
      <c r="P1197" s="271"/>
    </row>
    <row r="1198">
      <c r="M1198" s="270"/>
      <c r="O1198" s="271"/>
      <c r="P1198" s="271"/>
    </row>
    <row r="1199">
      <c r="M1199" s="270"/>
      <c r="O1199" s="271"/>
      <c r="P1199" s="271"/>
    </row>
    <row r="1200">
      <c r="M1200" s="270"/>
      <c r="O1200" s="271"/>
      <c r="P1200" s="271"/>
    </row>
    <row r="1201">
      <c r="M1201" s="270"/>
      <c r="O1201" s="271"/>
      <c r="P1201" s="271"/>
    </row>
    <row r="1202">
      <c r="M1202" s="270"/>
      <c r="O1202" s="271"/>
      <c r="P1202" s="271"/>
    </row>
    <row r="1203">
      <c r="M1203" s="270"/>
      <c r="O1203" s="271"/>
      <c r="P1203" s="271"/>
    </row>
    <row r="1204">
      <c r="M1204" s="270"/>
      <c r="O1204" s="271"/>
      <c r="P1204" s="271"/>
    </row>
    <row r="1205">
      <c r="M1205" s="270"/>
      <c r="O1205" s="271"/>
      <c r="P1205" s="271"/>
    </row>
    <row r="1206">
      <c r="M1206" s="270"/>
      <c r="O1206" s="271"/>
      <c r="P1206" s="271"/>
    </row>
    <row r="1207">
      <c r="M1207" s="270"/>
      <c r="O1207" s="271"/>
      <c r="P1207" s="271"/>
    </row>
    <row r="1208">
      <c r="M1208" s="270"/>
      <c r="O1208" s="271"/>
      <c r="P1208" s="271"/>
    </row>
    <row r="1209">
      <c r="M1209" s="270"/>
      <c r="O1209" s="271"/>
      <c r="P1209" s="271"/>
    </row>
    <row r="1210">
      <c r="M1210" s="270"/>
      <c r="O1210" s="271"/>
      <c r="P1210" s="271"/>
    </row>
    <row r="1211">
      <c r="M1211" s="270"/>
      <c r="O1211" s="271"/>
      <c r="P1211" s="271"/>
    </row>
    <row r="1212">
      <c r="M1212" s="270"/>
      <c r="O1212" s="271"/>
      <c r="P1212" s="271"/>
    </row>
    <row r="1213">
      <c r="M1213" s="270"/>
      <c r="O1213" s="271"/>
      <c r="P1213" s="271"/>
    </row>
    <row r="1214">
      <c r="M1214" s="270"/>
      <c r="O1214" s="271"/>
      <c r="P1214" s="271"/>
    </row>
    <row r="1215">
      <c r="M1215" s="270"/>
      <c r="O1215" s="271"/>
      <c r="P1215" s="271"/>
    </row>
    <row r="1216">
      <c r="M1216" s="270"/>
      <c r="O1216" s="271"/>
      <c r="P1216" s="271"/>
    </row>
    <row r="1217">
      <c r="M1217" s="270"/>
      <c r="O1217" s="271"/>
      <c r="P1217" s="271"/>
    </row>
    <row r="1218">
      <c r="M1218" s="270"/>
      <c r="O1218" s="271"/>
      <c r="P1218" s="271"/>
    </row>
    <row r="1219">
      <c r="M1219" s="270"/>
      <c r="O1219" s="271"/>
      <c r="P1219" s="271"/>
    </row>
    <row r="1220">
      <c r="M1220" s="270"/>
      <c r="O1220" s="271"/>
      <c r="P1220" s="271"/>
    </row>
    <row r="1221">
      <c r="M1221" s="270"/>
      <c r="O1221" s="271"/>
      <c r="P1221" s="271"/>
    </row>
    <row r="1222">
      <c r="M1222" s="270"/>
      <c r="O1222" s="271"/>
      <c r="P1222" s="271"/>
    </row>
    <row r="1223">
      <c r="M1223" s="270"/>
      <c r="O1223" s="271"/>
      <c r="P1223" s="271"/>
    </row>
    <row r="1224">
      <c r="M1224" s="270"/>
      <c r="O1224" s="271"/>
      <c r="P1224" s="271"/>
    </row>
    <row r="1225">
      <c r="M1225" s="270"/>
      <c r="O1225" s="271"/>
      <c r="P1225" s="271"/>
    </row>
    <row r="1226">
      <c r="M1226" s="270"/>
      <c r="O1226" s="271"/>
      <c r="P1226" s="271"/>
    </row>
    <row r="1227">
      <c r="M1227" s="270"/>
      <c r="O1227" s="271"/>
      <c r="P1227" s="271"/>
    </row>
    <row r="1228">
      <c r="M1228" s="270"/>
      <c r="O1228" s="271"/>
      <c r="P1228" s="271"/>
    </row>
    <row r="1229">
      <c r="M1229" s="270"/>
      <c r="O1229" s="271"/>
      <c r="P1229" s="271"/>
    </row>
    <row r="1230">
      <c r="M1230" s="270"/>
      <c r="O1230" s="271"/>
      <c r="P1230" s="271"/>
    </row>
    <row r="1231">
      <c r="M1231" s="270"/>
      <c r="O1231" s="271"/>
      <c r="P1231" s="271"/>
    </row>
    <row r="1232">
      <c r="M1232" s="270"/>
      <c r="O1232" s="271"/>
      <c r="P1232" s="271"/>
    </row>
    <row r="1233">
      <c r="M1233" s="270"/>
      <c r="O1233" s="271"/>
      <c r="P1233" s="271"/>
    </row>
    <row r="1234">
      <c r="M1234" s="270"/>
      <c r="O1234" s="271"/>
      <c r="P1234" s="271"/>
    </row>
    <row r="1235">
      <c r="M1235" s="270"/>
      <c r="O1235" s="271"/>
      <c r="P1235" s="271"/>
    </row>
    <row r="1236">
      <c r="M1236" s="270"/>
      <c r="O1236" s="271"/>
      <c r="P1236" s="271"/>
    </row>
    <row r="1237">
      <c r="M1237" s="270"/>
      <c r="O1237" s="271"/>
      <c r="P1237" s="271"/>
    </row>
    <row r="1238">
      <c r="M1238" s="270"/>
      <c r="O1238" s="271"/>
      <c r="P1238" s="271"/>
    </row>
    <row r="1239">
      <c r="M1239" s="270"/>
      <c r="O1239" s="271"/>
      <c r="P1239" s="271"/>
    </row>
    <row r="1240">
      <c r="M1240" s="270"/>
      <c r="O1240" s="271"/>
      <c r="P1240" s="271"/>
    </row>
    <row r="1241">
      <c r="M1241" s="270"/>
      <c r="O1241" s="271"/>
      <c r="P1241" s="271"/>
    </row>
    <row r="1242">
      <c r="M1242" s="270"/>
      <c r="O1242" s="271"/>
      <c r="P1242" s="271"/>
    </row>
    <row r="1243">
      <c r="M1243" s="270"/>
      <c r="O1243" s="271"/>
      <c r="P1243" s="271"/>
    </row>
    <row r="1244">
      <c r="M1244" s="270"/>
      <c r="O1244" s="271"/>
      <c r="P1244" s="271"/>
    </row>
    <row r="1245">
      <c r="M1245" s="270"/>
      <c r="O1245" s="271"/>
      <c r="P1245" s="271"/>
    </row>
    <row r="1246">
      <c r="M1246" s="270"/>
      <c r="O1246" s="271"/>
      <c r="P1246" s="271"/>
    </row>
    <row r="1247">
      <c r="M1247" s="270"/>
      <c r="O1247" s="271"/>
      <c r="P1247" s="271"/>
    </row>
    <row r="1248">
      <c r="M1248" s="270"/>
      <c r="O1248" s="271"/>
      <c r="P1248" s="271"/>
    </row>
    <row r="1249">
      <c r="M1249" s="270"/>
      <c r="O1249" s="271"/>
      <c r="P1249" s="271"/>
    </row>
    <row r="1250">
      <c r="M1250" s="270"/>
      <c r="O1250" s="271"/>
      <c r="P1250" s="271"/>
    </row>
    <row r="1251">
      <c r="M1251" s="270"/>
      <c r="O1251" s="271"/>
      <c r="P1251" s="271"/>
    </row>
    <row r="1252">
      <c r="M1252" s="270"/>
      <c r="O1252" s="271"/>
      <c r="P1252" s="271"/>
    </row>
    <row r="1253">
      <c r="M1253" s="270"/>
      <c r="O1253" s="271"/>
      <c r="P1253" s="271"/>
    </row>
    <row r="1254">
      <c r="M1254" s="270"/>
      <c r="O1254" s="271"/>
      <c r="P1254" s="271"/>
    </row>
    <row r="1255">
      <c r="M1255" s="270"/>
      <c r="O1255" s="271"/>
      <c r="P1255" s="271"/>
    </row>
    <row r="1256">
      <c r="M1256" s="270"/>
      <c r="O1256" s="271"/>
      <c r="P1256" s="271"/>
    </row>
    <row r="1257">
      <c r="M1257" s="270"/>
      <c r="O1257" s="271"/>
      <c r="P1257" s="271"/>
    </row>
    <row r="1258">
      <c r="M1258" s="270"/>
      <c r="O1258" s="271"/>
      <c r="P1258" s="271"/>
    </row>
    <row r="1259">
      <c r="M1259" s="270"/>
      <c r="O1259" s="271"/>
      <c r="P1259" s="271"/>
    </row>
    <row r="1260">
      <c r="M1260" s="270"/>
      <c r="O1260" s="271"/>
      <c r="P1260" s="271"/>
    </row>
    <row r="1261">
      <c r="M1261" s="270"/>
      <c r="O1261" s="271"/>
      <c r="P1261" s="271"/>
    </row>
    <row r="1262">
      <c r="M1262" s="270"/>
      <c r="O1262" s="271"/>
      <c r="P1262" s="271"/>
    </row>
    <row r="1263">
      <c r="M1263" s="270"/>
      <c r="O1263" s="271"/>
      <c r="P1263" s="271"/>
    </row>
    <row r="1264">
      <c r="M1264" s="270"/>
      <c r="O1264" s="271"/>
      <c r="P1264" s="271"/>
    </row>
    <row r="1265">
      <c r="M1265" s="270"/>
      <c r="O1265" s="271"/>
      <c r="P1265" s="271"/>
    </row>
    <row r="1266">
      <c r="M1266" s="270"/>
      <c r="O1266" s="271"/>
      <c r="P1266" s="271"/>
    </row>
    <row r="1267">
      <c r="M1267" s="270"/>
      <c r="O1267" s="271"/>
      <c r="P1267" s="271"/>
    </row>
    <row r="1268">
      <c r="M1268" s="270"/>
      <c r="O1268" s="271"/>
      <c r="P1268" s="271"/>
    </row>
    <row r="1269">
      <c r="M1269" s="270"/>
      <c r="O1269" s="271"/>
      <c r="P1269" s="271"/>
    </row>
    <row r="1270">
      <c r="M1270" s="270"/>
      <c r="O1270" s="271"/>
      <c r="P1270" s="271"/>
    </row>
    <row r="1271">
      <c r="M1271" s="270"/>
      <c r="O1271" s="271"/>
      <c r="P1271" s="271"/>
    </row>
    <row r="1272">
      <c r="M1272" s="270"/>
      <c r="O1272" s="271"/>
      <c r="P1272" s="271"/>
    </row>
    <row r="1273">
      <c r="M1273" s="270"/>
      <c r="O1273" s="271"/>
      <c r="P1273" s="271"/>
    </row>
    <row r="1274">
      <c r="M1274" s="270"/>
      <c r="O1274" s="271"/>
      <c r="P1274" s="271"/>
    </row>
    <row r="1275">
      <c r="M1275" s="270"/>
      <c r="O1275" s="271"/>
      <c r="P1275" s="271"/>
    </row>
    <row r="1276">
      <c r="M1276" s="270"/>
      <c r="O1276" s="271"/>
      <c r="P1276" s="271"/>
    </row>
    <row r="1277">
      <c r="M1277" s="270"/>
      <c r="O1277" s="271"/>
      <c r="P1277" s="271"/>
    </row>
    <row r="1278">
      <c r="M1278" s="270"/>
      <c r="O1278" s="271"/>
      <c r="P1278" s="271"/>
    </row>
    <row r="1279">
      <c r="M1279" s="270"/>
      <c r="O1279" s="271"/>
      <c r="P1279" s="271"/>
    </row>
    <row r="1280">
      <c r="M1280" s="270"/>
      <c r="O1280" s="271"/>
      <c r="P1280" s="271"/>
    </row>
    <row r="1281">
      <c r="M1281" s="270"/>
      <c r="O1281" s="271"/>
      <c r="P1281" s="271"/>
    </row>
    <row r="1282">
      <c r="M1282" s="270"/>
      <c r="O1282" s="271"/>
      <c r="P1282" s="271"/>
    </row>
    <row r="1283">
      <c r="M1283" s="270"/>
      <c r="O1283" s="271"/>
      <c r="P1283" s="271"/>
    </row>
    <row r="1284">
      <c r="M1284" s="270"/>
      <c r="O1284" s="271"/>
      <c r="P1284" s="271"/>
    </row>
    <row r="1285">
      <c r="M1285" s="270"/>
      <c r="O1285" s="271"/>
      <c r="P1285" s="271"/>
    </row>
    <row r="1286">
      <c r="M1286" s="270"/>
      <c r="O1286" s="271"/>
      <c r="P1286" s="271"/>
    </row>
    <row r="1287">
      <c r="M1287" s="270"/>
      <c r="O1287" s="271"/>
      <c r="P1287" s="271"/>
    </row>
    <row r="1288">
      <c r="M1288" s="270"/>
      <c r="O1288" s="271"/>
      <c r="P1288" s="271"/>
    </row>
    <row r="1289">
      <c r="M1289" s="270"/>
      <c r="O1289" s="271"/>
      <c r="P1289" s="271"/>
    </row>
    <row r="1290">
      <c r="M1290" s="270"/>
      <c r="O1290" s="271"/>
      <c r="P1290" s="271"/>
    </row>
    <row r="1291">
      <c r="M1291" s="270"/>
      <c r="O1291" s="271"/>
      <c r="P1291" s="271"/>
    </row>
    <row r="1292">
      <c r="M1292" s="270"/>
      <c r="O1292" s="271"/>
      <c r="P1292" s="271"/>
    </row>
    <row r="1293">
      <c r="M1293" s="270"/>
      <c r="O1293" s="271"/>
      <c r="P1293" s="271"/>
    </row>
    <row r="1294">
      <c r="M1294" s="270"/>
      <c r="O1294" s="271"/>
      <c r="P1294" s="271"/>
    </row>
    <row r="1295">
      <c r="M1295" s="270"/>
      <c r="O1295" s="271"/>
      <c r="P1295" s="271"/>
    </row>
    <row r="1296">
      <c r="M1296" s="270"/>
      <c r="O1296" s="271"/>
      <c r="P1296" s="271"/>
    </row>
    <row r="1297">
      <c r="M1297" s="270"/>
      <c r="O1297" s="271"/>
      <c r="P1297" s="271"/>
    </row>
    <row r="1298">
      <c r="M1298" s="270"/>
      <c r="O1298" s="271"/>
      <c r="P1298" s="271"/>
    </row>
    <row r="1299">
      <c r="M1299" s="270"/>
      <c r="O1299" s="271"/>
      <c r="P1299" s="271"/>
    </row>
    <row r="1300">
      <c r="M1300" s="270"/>
      <c r="O1300" s="271"/>
      <c r="P1300" s="271"/>
    </row>
    <row r="1301">
      <c r="M1301" s="270"/>
      <c r="O1301" s="271"/>
      <c r="P1301" s="271"/>
    </row>
    <row r="1302">
      <c r="M1302" s="270"/>
      <c r="O1302" s="271"/>
      <c r="P1302" s="271"/>
    </row>
    <row r="1303">
      <c r="M1303" s="270"/>
      <c r="O1303" s="271"/>
      <c r="P1303" s="271"/>
    </row>
    <row r="1304">
      <c r="M1304" s="270"/>
      <c r="O1304" s="271"/>
      <c r="P1304" s="271"/>
    </row>
    <row r="1305">
      <c r="M1305" s="270"/>
      <c r="O1305" s="271"/>
      <c r="P1305" s="271"/>
    </row>
    <row r="1306">
      <c r="M1306" s="270"/>
      <c r="O1306" s="271"/>
      <c r="P1306" s="271"/>
    </row>
    <row r="1307">
      <c r="M1307" s="270"/>
      <c r="O1307" s="271"/>
      <c r="P1307" s="271"/>
    </row>
    <row r="1308">
      <c r="M1308" s="270"/>
      <c r="O1308" s="271"/>
      <c r="P1308" s="271"/>
    </row>
    <row r="1309">
      <c r="M1309" s="270"/>
      <c r="O1309" s="271"/>
      <c r="P1309" s="271"/>
    </row>
    <row r="1310">
      <c r="M1310" s="270"/>
      <c r="O1310" s="271"/>
      <c r="P1310" s="271"/>
    </row>
    <row r="1311">
      <c r="M1311" s="270"/>
      <c r="O1311" s="271"/>
      <c r="P1311" s="271"/>
    </row>
    <row r="1312">
      <c r="M1312" s="270"/>
      <c r="O1312" s="271"/>
      <c r="P1312" s="271"/>
    </row>
    <row r="1313">
      <c r="M1313" s="270"/>
      <c r="O1313" s="271"/>
      <c r="P1313" s="271"/>
    </row>
    <row r="1314">
      <c r="M1314" s="270"/>
      <c r="O1314" s="271"/>
      <c r="P1314" s="271"/>
    </row>
    <row r="1315">
      <c r="M1315" s="270"/>
      <c r="O1315" s="271"/>
      <c r="P1315" s="271"/>
    </row>
    <row r="1316">
      <c r="M1316" s="270"/>
      <c r="O1316" s="271"/>
      <c r="P1316" s="271"/>
    </row>
    <row r="1317">
      <c r="M1317" s="270"/>
      <c r="O1317" s="271"/>
      <c r="P1317" s="271"/>
    </row>
    <row r="1318">
      <c r="M1318" s="270"/>
      <c r="O1318" s="271"/>
      <c r="P1318" s="271"/>
    </row>
    <row r="1319">
      <c r="M1319" s="270"/>
      <c r="O1319" s="271"/>
      <c r="P1319" s="271"/>
    </row>
    <row r="1320">
      <c r="M1320" s="270"/>
      <c r="O1320" s="271"/>
      <c r="P1320" s="271"/>
    </row>
    <row r="1321">
      <c r="M1321" s="270"/>
      <c r="O1321" s="271"/>
      <c r="P1321" s="271"/>
    </row>
    <row r="1322">
      <c r="M1322" s="270"/>
      <c r="O1322" s="271"/>
      <c r="P1322" s="271"/>
    </row>
    <row r="1323">
      <c r="M1323" s="270"/>
      <c r="O1323" s="271"/>
      <c r="P1323" s="271"/>
    </row>
    <row r="1324">
      <c r="M1324" s="270"/>
      <c r="O1324" s="271"/>
      <c r="P1324" s="271"/>
    </row>
    <row r="1325">
      <c r="M1325" s="270"/>
      <c r="O1325" s="271"/>
      <c r="P1325" s="271"/>
    </row>
    <row r="1326">
      <c r="M1326" s="270"/>
      <c r="O1326" s="271"/>
      <c r="P1326" s="271"/>
    </row>
    <row r="1327">
      <c r="M1327" s="270"/>
      <c r="O1327" s="271"/>
      <c r="P1327" s="271"/>
    </row>
    <row r="1328">
      <c r="M1328" s="270"/>
      <c r="O1328" s="271"/>
      <c r="P1328" s="271"/>
    </row>
    <row r="1329">
      <c r="M1329" s="270"/>
      <c r="O1329" s="271"/>
      <c r="P1329" s="271"/>
    </row>
    <row r="1330">
      <c r="M1330" s="270"/>
      <c r="O1330" s="271"/>
      <c r="P1330" s="271"/>
    </row>
    <row r="1331">
      <c r="M1331" s="270"/>
      <c r="O1331" s="271"/>
      <c r="P1331" s="271"/>
    </row>
    <row r="1332">
      <c r="M1332" s="270"/>
      <c r="O1332" s="271"/>
      <c r="P1332" s="271"/>
    </row>
    <row r="1333">
      <c r="M1333" s="270"/>
      <c r="O1333" s="271"/>
      <c r="P1333" s="271"/>
    </row>
    <row r="1334">
      <c r="M1334" s="270"/>
      <c r="O1334" s="271"/>
      <c r="P1334" s="271"/>
    </row>
    <row r="1335">
      <c r="M1335" s="270"/>
      <c r="O1335" s="271"/>
      <c r="P1335" s="271"/>
    </row>
    <row r="1336">
      <c r="M1336" s="270"/>
      <c r="O1336" s="271"/>
      <c r="P1336" s="271"/>
    </row>
    <row r="1337">
      <c r="M1337" s="270"/>
      <c r="O1337" s="271"/>
      <c r="P1337" s="271"/>
    </row>
    <row r="1338">
      <c r="M1338" s="270"/>
      <c r="O1338" s="271"/>
      <c r="P1338" s="271"/>
    </row>
    <row r="1339">
      <c r="M1339" s="270"/>
      <c r="O1339" s="271"/>
      <c r="P1339" s="271"/>
    </row>
    <row r="1340">
      <c r="M1340" s="270"/>
      <c r="O1340" s="271"/>
      <c r="P1340" s="271"/>
    </row>
    <row r="1341">
      <c r="M1341" s="270"/>
      <c r="O1341" s="271"/>
      <c r="P1341" s="271"/>
    </row>
    <row r="1342">
      <c r="M1342" s="270"/>
      <c r="O1342" s="271"/>
      <c r="P1342" s="271"/>
    </row>
    <row r="1343">
      <c r="M1343" s="270"/>
      <c r="O1343" s="271"/>
      <c r="P1343" s="271"/>
    </row>
    <row r="1344">
      <c r="M1344" s="270"/>
      <c r="O1344" s="271"/>
      <c r="P1344" s="271"/>
    </row>
    <row r="1345">
      <c r="M1345" s="270"/>
      <c r="O1345" s="271"/>
      <c r="P1345" s="271"/>
    </row>
    <row r="1346">
      <c r="M1346" s="270"/>
      <c r="O1346" s="271"/>
      <c r="P1346" s="271"/>
    </row>
    <row r="1347">
      <c r="M1347" s="270"/>
      <c r="O1347" s="271"/>
      <c r="P1347" s="271"/>
    </row>
    <row r="1348">
      <c r="M1348" s="270"/>
      <c r="O1348" s="271"/>
      <c r="P1348" s="271"/>
    </row>
    <row r="1349">
      <c r="M1349" s="270"/>
      <c r="O1349" s="271"/>
      <c r="P1349" s="271"/>
    </row>
    <row r="1350">
      <c r="M1350" s="270"/>
      <c r="O1350" s="271"/>
      <c r="P1350" s="271"/>
    </row>
    <row r="1351">
      <c r="M1351" s="270"/>
      <c r="O1351" s="271"/>
      <c r="P1351" s="271"/>
    </row>
    <row r="1352">
      <c r="M1352" s="270"/>
      <c r="O1352" s="271"/>
      <c r="P1352" s="271"/>
    </row>
    <row r="1353">
      <c r="M1353" s="270"/>
      <c r="O1353" s="271"/>
      <c r="P1353" s="271"/>
    </row>
    <row r="1354">
      <c r="M1354" s="270"/>
      <c r="O1354" s="271"/>
      <c r="P1354" s="271"/>
    </row>
    <row r="1355">
      <c r="M1355" s="270"/>
      <c r="O1355" s="271"/>
      <c r="P1355" s="271"/>
    </row>
    <row r="1356">
      <c r="M1356" s="270"/>
      <c r="O1356" s="271"/>
      <c r="P1356" s="271"/>
    </row>
    <row r="1357">
      <c r="M1357" s="270"/>
      <c r="O1357" s="271"/>
      <c r="P1357" s="271"/>
    </row>
    <row r="1358">
      <c r="M1358" s="270"/>
      <c r="O1358" s="271"/>
      <c r="P1358" s="271"/>
    </row>
    <row r="1359">
      <c r="M1359" s="270"/>
      <c r="O1359" s="271"/>
      <c r="P1359" s="271"/>
    </row>
    <row r="1360">
      <c r="M1360" s="270"/>
      <c r="O1360" s="271"/>
      <c r="P1360" s="271"/>
    </row>
    <row r="1361">
      <c r="M1361" s="270"/>
      <c r="O1361" s="271"/>
      <c r="P1361" s="271"/>
    </row>
    <row r="1362">
      <c r="M1362" s="270"/>
      <c r="O1362" s="271"/>
      <c r="P1362" s="271"/>
    </row>
    <row r="1363">
      <c r="M1363" s="270"/>
      <c r="O1363" s="271"/>
      <c r="P1363" s="271"/>
    </row>
    <row r="1364">
      <c r="M1364" s="270"/>
      <c r="O1364" s="271"/>
      <c r="P1364" s="271"/>
    </row>
    <row r="1365">
      <c r="M1365" s="270"/>
      <c r="O1365" s="271"/>
      <c r="P1365" s="271"/>
    </row>
    <row r="1366">
      <c r="M1366" s="270"/>
      <c r="O1366" s="271"/>
      <c r="P1366" s="271"/>
    </row>
    <row r="1367">
      <c r="M1367" s="270"/>
      <c r="O1367" s="271"/>
      <c r="P1367" s="271"/>
    </row>
    <row r="1368">
      <c r="M1368" s="270"/>
      <c r="O1368" s="271"/>
      <c r="P1368" s="271"/>
    </row>
    <row r="1369">
      <c r="M1369" s="270"/>
      <c r="O1369" s="271"/>
      <c r="P1369" s="271"/>
    </row>
    <row r="1370">
      <c r="M1370" s="270"/>
      <c r="O1370" s="271"/>
      <c r="P1370" s="271"/>
    </row>
    <row r="1371">
      <c r="M1371" s="270"/>
      <c r="O1371" s="271"/>
      <c r="P1371" s="271"/>
    </row>
    <row r="1372">
      <c r="M1372" s="270"/>
      <c r="O1372" s="271"/>
      <c r="P1372" s="271"/>
    </row>
    <row r="1373">
      <c r="M1373" s="270"/>
      <c r="O1373" s="271"/>
      <c r="P1373" s="271"/>
    </row>
    <row r="1374">
      <c r="M1374" s="270"/>
      <c r="O1374" s="271"/>
      <c r="P1374" s="271"/>
    </row>
    <row r="1375">
      <c r="M1375" s="270"/>
      <c r="O1375" s="271"/>
      <c r="P1375" s="271"/>
    </row>
    <row r="1376">
      <c r="M1376" s="270"/>
      <c r="O1376" s="271"/>
      <c r="P1376" s="271"/>
    </row>
    <row r="1377">
      <c r="M1377" s="270"/>
      <c r="O1377" s="271"/>
      <c r="P1377" s="271"/>
    </row>
    <row r="1378">
      <c r="M1378" s="270"/>
      <c r="O1378" s="271"/>
      <c r="P1378" s="271"/>
    </row>
    <row r="1379">
      <c r="M1379" s="270"/>
      <c r="O1379" s="271"/>
      <c r="P1379" s="271"/>
    </row>
    <row r="1380">
      <c r="M1380" s="270"/>
      <c r="O1380" s="271"/>
      <c r="P1380" s="271"/>
    </row>
    <row r="1381">
      <c r="M1381" s="270"/>
      <c r="O1381" s="271"/>
      <c r="P1381" s="271"/>
    </row>
    <row r="1382">
      <c r="M1382" s="270"/>
      <c r="O1382" s="271"/>
      <c r="P1382" s="271"/>
    </row>
    <row r="1383">
      <c r="M1383" s="270"/>
      <c r="O1383" s="271"/>
      <c r="P1383" s="271"/>
    </row>
    <row r="1384">
      <c r="M1384" s="270"/>
      <c r="O1384" s="271"/>
      <c r="P1384" s="271"/>
    </row>
    <row r="1385">
      <c r="M1385" s="270"/>
      <c r="O1385" s="271"/>
      <c r="P1385" s="271"/>
    </row>
    <row r="1386">
      <c r="M1386" s="270"/>
      <c r="O1386" s="271"/>
      <c r="P1386" s="271"/>
    </row>
    <row r="1387">
      <c r="M1387" s="270"/>
      <c r="O1387" s="271"/>
      <c r="P1387" s="271"/>
    </row>
    <row r="1388">
      <c r="M1388" s="270"/>
      <c r="O1388" s="271"/>
      <c r="P1388" s="271"/>
    </row>
    <row r="1389">
      <c r="M1389" s="270"/>
      <c r="O1389" s="271"/>
      <c r="P1389" s="271"/>
    </row>
    <row r="1390">
      <c r="M1390" s="270"/>
      <c r="O1390" s="271"/>
      <c r="P1390" s="271"/>
    </row>
    <row r="1391">
      <c r="M1391" s="270"/>
      <c r="O1391" s="271"/>
      <c r="P1391" s="271"/>
    </row>
    <row r="1392">
      <c r="M1392" s="270"/>
      <c r="O1392" s="271"/>
      <c r="P1392" s="271"/>
    </row>
    <row r="1393">
      <c r="M1393" s="270"/>
      <c r="O1393" s="271"/>
      <c r="P1393" s="271"/>
    </row>
    <row r="1394">
      <c r="M1394" s="270"/>
      <c r="O1394" s="271"/>
      <c r="P1394" s="271"/>
    </row>
    <row r="1395">
      <c r="M1395" s="270"/>
      <c r="O1395" s="271"/>
      <c r="P1395" s="271"/>
    </row>
    <row r="1396">
      <c r="M1396" s="270"/>
      <c r="O1396" s="271"/>
      <c r="P1396" s="271"/>
    </row>
    <row r="1397">
      <c r="M1397" s="270"/>
      <c r="O1397" s="271"/>
      <c r="P1397" s="271"/>
    </row>
    <row r="1398">
      <c r="M1398" s="270"/>
      <c r="O1398" s="271"/>
      <c r="P1398" s="271"/>
    </row>
    <row r="1399">
      <c r="M1399" s="270"/>
      <c r="O1399" s="271"/>
      <c r="P1399" s="271"/>
    </row>
    <row r="1400">
      <c r="M1400" s="270"/>
      <c r="O1400" s="271"/>
      <c r="P1400" s="271"/>
    </row>
    <row r="1401">
      <c r="M1401" s="270"/>
      <c r="O1401" s="271"/>
      <c r="P1401" s="271"/>
    </row>
    <row r="1402">
      <c r="M1402" s="270"/>
      <c r="O1402" s="271"/>
      <c r="P1402" s="271"/>
    </row>
    <row r="1403">
      <c r="M1403" s="270"/>
      <c r="O1403" s="271"/>
      <c r="P1403" s="271"/>
    </row>
    <row r="1404">
      <c r="M1404" s="270"/>
      <c r="O1404" s="271"/>
      <c r="P1404" s="271"/>
    </row>
    <row r="1405">
      <c r="M1405" s="270"/>
      <c r="O1405" s="271"/>
      <c r="P1405" s="271"/>
    </row>
    <row r="1406">
      <c r="M1406" s="270"/>
      <c r="O1406" s="271"/>
      <c r="P1406" s="271"/>
    </row>
    <row r="1407">
      <c r="M1407" s="270"/>
      <c r="O1407" s="271"/>
      <c r="P1407" s="271"/>
    </row>
    <row r="1408">
      <c r="M1408" s="270"/>
      <c r="O1408" s="271"/>
      <c r="P1408" s="271"/>
    </row>
    <row r="1409">
      <c r="M1409" s="270"/>
      <c r="O1409" s="271"/>
      <c r="P1409" s="271"/>
    </row>
    <row r="1410">
      <c r="M1410" s="270"/>
      <c r="O1410" s="271"/>
      <c r="P1410" s="271"/>
    </row>
    <row r="1411">
      <c r="M1411" s="270"/>
      <c r="O1411" s="271"/>
      <c r="P1411" s="271"/>
    </row>
    <row r="1412">
      <c r="M1412" s="270"/>
      <c r="O1412" s="271"/>
      <c r="P1412" s="271"/>
    </row>
    <row r="1413">
      <c r="M1413" s="270"/>
      <c r="O1413" s="271"/>
      <c r="P1413" s="271"/>
    </row>
    <row r="1414">
      <c r="M1414" s="270"/>
      <c r="O1414" s="271"/>
      <c r="P1414" s="271"/>
    </row>
    <row r="1415">
      <c r="M1415" s="270"/>
      <c r="O1415" s="271"/>
      <c r="P1415" s="271"/>
    </row>
    <row r="1416">
      <c r="M1416" s="270"/>
      <c r="O1416" s="271"/>
      <c r="P1416" s="271"/>
    </row>
    <row r="1417">
      <c r="M1417" s="270"/>
      <c r="O1417" s="271"/>
      <c r="P1417" s="271"/>
    </row>
    <row r="1418">
      <c r="M1418" s="270"/>
      <c r="O1418" s="271"/>
      <c r="P1418" s="271"/>
    </row>
    <row r="1419">
      <c r="M1419" s="270"/>
      <c r="O1419" s="271"/>
      <c r="P1419" s="271"/>
    </row>
    <row r="1420">
      <c r="M1420" s="270"/>
      <c r="O1420" s="271"/>
      <c r="P1420" s="271"/>
    </row>
    <row r="1421">
      <c r="M1421" s="270"/>
      <c r="O1421" s="271"/>
      <c r="P1421" s="271"/>
    </row>
    <row r="1422">
      <c r="M1422" s="270"/>
      <c r="O1422" s="271"/>
      <c r="P1422" s="271"/>
    </row>
    <row r="1423">
      <c r="M1423" s="270"/>
      <c r="O1423" s="271"/>
      <c r="P1423" s="271"/>
    </row>
    <row r="1424">
      <c r="M1424" s="270"/>
      <c r="O1424" s="271"/>
      <c r="P1424" s="271"/>
    </row>
    <row r="1425">
      <c r="M1425" s="270"/>
      <c r="O1425" s="271"/>
      <c r="P1425" s="271"/>
    </row>
    <row r="1426">
      <c r="M1426" s="270"/>
      <c r="O1426" s="271"/>
      <c r="P1426" s="271"/>
    </row>
    <row r="1427">
      <c r="M1427" s="270"/>
      <c r="O1427" s="271"/>
      <c r="P1427" s="271"/>
    </row>
    <row r="1428">
      <c r="M1428" s="270"/>
      <c r="O1428" s="271"/>
      <c r="P1428" s="271"/>
    </row>
    <row r="1429">
      <c r="M1429" s="270"/>
      <c r="O1429" s="271"/>
      <c r="P1429" s="271"/>
    </row>
    <row r="1430">
      <c r="M1430" s="270"/>
      <c r="O1430" s="271"/>
      <c r="P1430" s="271"/>
    </row>
    <row r="1431">
      <c r="M1431" s="270"/>
      <c r="O1431" s="271"/>
      <c r="P1431" s="271"/>
    </row>
    <row r="1432">
      <c r="M1432" s="270"/>
      <c r="O1432" s="271"/>
      <c r="P1432" s="271"/>
    </row>
    <row r="1433">
      <c r="M1433" s="270"/>
      <c r="O1433" s="271"/>
      <c r="P1433" s="271"/>
    </row>
    <row r="1434">
      <c r="M1434" s="270"/>
      <c r="O1434" s="271"/>
      <c r="P1434" s="271"/>
    </row>
    <row r="1435">
      <c r="M1435" s="270"/>
      <c r="O1435" s="271"/>
      <c r="P1435" s="271"/>
    </row>
    <row r="1436">
      <c r="M1436" s="270"/>
      <c r="O1436" s="271"/>
      <c r="P1436" s="271"/>
    </row>
    <row r="1437">
      <c r="M1437" s="270"/>
      <c r="O1437" s="271"/>
      <c r="P1437" s="271"/>
    </row>
    <row r="1438">
      <c r="M1438" s="270"/>
      <c r="O1438" s="271"/>
      <c r="P1438" s="271"/>
    </row>
    <row r="1439">
      <c r="M1439" s="270"/>
      <c r="O1439" s="271"/>
      <c r="P1439" s="271"/>
    </row>
    <row r="1440">
      <c r="M1440" s="270"/>
      <c r="O1440" s="271"/>
      <c r="P1440" s="271"/>
    </row>
    <row r="1441">
      <c r="M1441" s="270"/>
      <c r="O1441" s="271"/>
      <c r="P1441" s="271"/>
    </row>
    <row r="1442">
      <c r="M1442" s="270"/>
      <c r="O1442" s="271"/>
      <c r="P1442" s="271"/>
    </row>
    <row r="1443">
      <c r="M1443" s="270"/>
      <c r="O1443" s="271"/>
      <c r="P1443" s="271"/>
    </row>
    <row r="1444">
      <c r="M1444" s="270"/>
      <c r="O1444" s="271"/>
      <c r="P1444" s="271"/>
    </row>
    <row r="1445">
      <c r="M1445" s="270"/>
      <c r="O1445" s="271"/>
      <c r="P1445" s="271"/>
    </row>
    <row r="1446">
      <c r="M1446" s="270"/>
      <c r="O1446" s="271"/>
      <c r="P1446" s="271"/>
    </row>
    <row r="1447">
      <c r="M1447" s="270"/>
      <c r="O1447" s="271"/>
      <c r="P1447" s="271"/>
    </row>
    <row r="1448">
      <c r="M1448" s="270"/>
      <c r="O1448" s="271"/>
      <c r="P1448" s="271"/>
    </row>
    <row r="1449">
      <c r="M1449" s="270"/>
      <c r="O1449" s="271"/>
      <c r="P1449" s="271"/>
    </row>
    <row r="1450">
      <c r="M1450" s="270"/>
      <c r="O1450" s="271"/>
      <c r="P1450" s="271"/>
    </row>
    <row r="1451">
      <c r="M1451" s="270"/>
      <c r="O1451" s="271"/>
      <c r="P1451" s="271"/>
    </row>
    <row r="1452">
      <c r="M1452" s="270"/>
      <c r="O1452" s="271"/>
      <c r="P1452" s="271"/>
    </row>
    <row r="1453">
      <c r="M1453" s="270"/>
      <c r="O1453" s="271"/>
      <c r="P1453" s="271"/>
    </row>
    <row r="1454">
      <c r="M1454" s="270"/>
      <c r="O1454" s="271"/>
      <c r="P1454" s="271"/>
    </row>
    <row r="1455">
      <c r="M1455" s="270"/>
      <c r="O1455" s="271"/>
      <c r="P1455" s="271"/>
    </row>
    <row r="1456">
      <c r="M1456" s="270"/>
      <c r="O1456" s="271"/>
      <c r="P1456" s="271"/>
    </row>
    <row r="1457">
      <c r="M1457" s="270"/>
      <c r="O1457" s="271"/>
      <c r="P1457" s="271"/>
    </row>
    <row r="1458">
      <c r="M1458" s="270"/>
      <c r="O1458" s="271"/>
      <c r="P1458" s="271"/>
    </row>
    <row r="1459">
      <c r="M1459" s="270"/>
      <c r="O1459" s="271"/>
      <c r="P1459" s="271"/>
    </row>
    <row r="1460">
      <c r="M1460" s="270"/>
      <c r="O1460" s="271"/>
      <c r="P1460" s="271"/>
    </row>
    <row r="1461">
      <c r="M1461" s="270"/>
      <c r="O1461" s="271"/>
      <c r="P1461" s="271"/>
    </row>
    <row r="1462">
      <c r="M1462" s="270"/>
      <c r="O1462" s="271"/>
      <c r="P1462" s="271"/>
    </row>
    <row r="1463">
      <c r="M1463" s="270"/>
      <c r="O1463" s="271"/>
      <c r="P1463" s="271"/>
    </row>
    <row r="1464">
      <c r="M1464" s="270"/>
      <c r="O1464" s="271"/>
      <c r="P1464" s="271"/>
    </row>
    <row r="1465">
      <c r="M1465" s="270"/>
      <c r="O1465" s="271"/>
      <c r="P1465" s="271"/>
    </row>
    <row r="1466">
      <c r="M1466" s="270"/>
      <c r="O1466" s="271"/>
      <c r="P1466" s="271"/>
    </row>
    <row r="1467">
      <c r="M1467" s="270"/>
      <c r="O1467" s="271"/>
      <c r="P1467" s="271"/>
    </row>
    <row r="1468">
      <c r="M1468" s="270"/>
      <c r="O1468" s="271"/>
      <c r="P1468" s="271"/>
    </row>
    <row r="1469">
      <c r="M1469" s="270"/>
      <c r="O1469" s="271"/>
      <c r="P1469" s="271"/>
    </row>
    <row r="1470">
      <c r="M1470" s="270"/>
      <c r="O1470" s="271"/>
      <c r="P1470" s="271"/>
    </row>
    <row r="1471">
      <c r="M1471" s="270"/>
      <c r="O1471" s="271"/>
      <c r="P1471" s="271"/>
    </row>
    <row r="1472">
      <c r="M1472" s="270"/>
      <c r="O1472" s="271"/>
      <c r="P1472" s="271"/>
    </row>
    <row r="1473">
      <c r="M1473" s="270"/>
      <c r="O1473" s="271"/>
      <c r="P1473" s="271"/>
    </row>
    <row r="1474">
      <c r="M1474" s="270"/>
      <c r="O1474" s="271"/>
      <c r="P1474" s="271"/>
    </row>
    <row r="1475">
      <c r="M1475" s="270"/>
      <c r="O1475" s="271"/>
      <c r="P1475" s="271"/>
    </row>
    <row r="1476">
      <c r="M1476" s="270"/>
      <c r="O1476" s="271"/>
      <c r="P1476" s="271"/>
    </row>
    <row r="1477">
      <c r="M1477" s="270"/>
      <c r="O1477" s="271"/>
      <c r="P1477" s="271"/>
    </row>
    <row r="1478">
      <c r="M1478" s="270"/>
      <c r="O1478" s="271"/>
      <c r="P1478" s="271"/>
    </row>
    <row r="1479">
      <c r="M1479" s="270"/>
      <c r="O1479" s="271"/>
      <c r="P1479" s="271"/>
    </row>
    <row r="1480">
      <c r="M1480" s="270"/>
      <c r="O1480" s="271"/>
      <c r="P1480" s="271"/>
    </row>
    <row r="1481">
      <c r="M1481" s="270"/>
      <c r="O1481" s="271"/>
      <c r="P1481" s="271"/>
    </row>
    <row r="1482">
      <c r="M1482" s="270"/>
      <c r="O1482" s="271"/>
      <c r="P1482" s="271"/>
    </row>
    <row r="1483">
      <c r="M1483" s="270"/>
      <c r="O1483" s="271"/>
      <c r="P1483" s="271"/>
    </row>
    <row r="1484">
      <c r="M1484" s="270"/>
      <c r="O1484" s="271"/>
      <c r="P1484" s="271"/>
    </row>
    <row r="1485">
      <c r="M1485" s="270"/>
      <c r="O1485" s="271"/>
      <c r="P1485" s="271"/>
    </row>
    <row r="1486">
      <c r="M1486" s="270"/>
      <c r="O1486" s="271"/>
      <c r="P1486" s="271"/>
    </row>
    <row r="1487">
      <c r="M1487" s="270"/>
      <c r="O1487" s="271"/>
      <c r="P1487" s="271"/>
    </row>
    <row r="1488">
      <c r="M1488" s="270"/>
      <c r="O1488" s="271"/>
      <c r="P1488" s="271"/>
    </row>
    <row r="1489">
      <c r="M1489" s="270"/>
      <c r="O1489" s="271"/>
      <c r="P1489" s="271"/>
    </row>
    <row r="1490">
      <c r="M1490" s="270"/>
      <c r="O1490" s="271"/>
      <c r="P1490" s="271"/>
    </row>
    <row r="1491">
      <c r="M1491" s="270"/>
      <c r="O1491" s="271"/>
      <c r="P1491" s="271"/>
    </row>
    <row r="1492">
      <c r="M1492" s="270"/>
      <c r="O1492" s="271"/>
      <c r="P1492" s="271"/>
    </row>
    <row r="1493">
      <c r="M1493" s="270"/>
      <c r="O1493" s="271"/>
      <c r="P1493" s="271"/>
    </row>
    <row r="1494">
      <c r="M1494" s="270"/>
      <c r="O1494" s="271"/>
      <c r="P1494" s="271"/>
    </row>
    <row r="1495">
      <c r="M1495" s="270"/>
      <c r="O1495" s="271"/>
      <c r="P1495" s="271"/>
    </row>
    <row r="1496">
      <c r="M1496" s="270"/>
      <c r="O1496" s="271"/>
      <c r="P1496" s="271"/>
    </row>
    <row r="1497">
      <c r="M1497" s="270"/>
      <c r="O1497" s="271"/>
      <c r="P1497" s="271"/>
    </row>
    <row r="1498">
      <c r="M1498" s="270"/>
      <c r="O1498" s="271"/>
      <c r="P1498" s="271"/>
    </row>
    <row r="1499">
      <c r="M1499" s="270"/>
      <c r="O1499" s="271"/>
      <c r="P1499" s="271"/>
    </row>
    <row r="1500">
      <c r="M1500" s="270"/>
      <c r="O1500" s="271"/>
      <c r="P1500" s="271"/>
    </row>
    <row r="1501">
      <c r="M1501" s="270"/>
      <c r="O1501" s="271"/>
      <c r="P1501" s="271"/>
    </row>
    <row r="1502">
      <c r="M1502" s="270"/>
      <c r="O1502" s="271"/>
      <c r="P1502" s="271"/>
    </row>
    <row r="1503">
      <c r="M1503" s="270"/>
      <c r="O1503" s="271"/>
      <c r="P1503" s="271"/>
    </row>
    <row r="1504">
      <c r="M1504" s="270"/>
      <c r="O1504" s="271"/>
      <c r="P1504" s="271"/>
    </row>
    <row r="1505">
      <c r="M1505" s="270"/>
      <c r="O1505" s="271"/>
      <c r="P1505" s="271"/>
    </row>
    <row r="1506">
      <c r="M1506" s="270"/>
      <c r="O1506" s="271"/>
      <c r="P1506" s="271"/>
    </row>
    <row r="1507">
      <c r="M1507" s="270"/>
      <c r="O1507" s="271"/>
      <c r="P1507" s="271"/>
    </row>
    <row r="1508">
      <c r="M1508" s="270"/>
      <c r="O1508" s="271"/>
      <c r="P1508" s="271"/>
    </row>
    <row r="1509">
      <c r="M1509" s="270"/>
      <c r="O1509" s="271"/>
      <c r="P1509" s="271"/>
    </row>
    <row r="1510">
      <c r="M1510" s="270"/>
      <c r="O1510" s="271"/>
      <c r="P1510" s="271"/>
    </row>
    <row r="1511">
      <c r="M1511" s="270"/>
      <c r="O1511" s="271"/>
      <c r="P1511" s="271"/>
    </row>
    <row r="1512">
      <c r="M1512" s="270"/>
      <c r="O1512" s="271"/>
      <c r="P1512" s="271"/>
    </row>
    <row r="1513">
      <c r="M1513" s="270"/>
      <c r="O1513" s="271"/>
      <c r="P1513" s="271"/>
    </row>
    <row r="1514">
      <c r="M1514" s="270"/>
      <c r="O1514" s="271"/>
      <c r="P1514" s="271"/>
    </row>
    <row r="1515">
      <c r="M1515" s="270"/>
      <c r="O1515" s="271"/>
      <c r="P1515" s="271"/>
    </row>
    <row r="1516">
      <c r="M1516" s="270"/>
      <c r="O1516" s="271"/>
      <c r="P1516" s="271"/>
    </row>
    <row r="1517">
      <c r="M1517" s="270"/>
      <c r="O1517" s="271"/>
      <c r="P1517" s="271"/>
    </row>
    <row r="1518">
      <c r="M1518" s="270"/>
      <c r="O1518" s="271"/>
      <c r="P1518" s="271"/>
    </row>
    <row r="1519">
      <c r="M1519" s="270"/>
      <c r="O1519" s="271"/>
      <c r="P1519" s="271"/>
    </row>
    <row r="1520">
      <c r="M1520" s="270"/>
      <c r="O1520" s="271"/>
      <c r="P1520" s="271"/>
    </row>
    <row r="1521">
      <c r="M1521" s="270"/>
      <c r="O1521" s="271"/>
      <c r="P1521" s="271"/>
    </row>
    <row r="1522">
      <c r="M1522" s="270"/>
      <c r="O1522" s="271"/>
      <c r="P1522" s="271"/>
    </row>
    <row r="1523">
      <c r="M1523" s="270"/>
      <c r="O1523" s="271"/>
      <c r="P1523" s="271"/>
    </row>
    <row r="1524">
      <c r="M1524" s="270"/>
      <c r="O1524" s="271"/>
      <c r="P1524" s="271"/>
    </row>
    <row r="1525">
      <c r="M1525" s="270"/>
      <c r="O1525" s="271"/>
      <c r="P1525" s="271"/>
    </row>
    <row r="1526">
      <c r="M1526" s="270"/>
      <c r="O1526" s="271"/>
      <c r="P1526" s="271"/>
    </row>
    <row r="1527">
      <c r="M1527" s="270"/>
      <c r="O1527" s="271"/>
      <c r="P1527" s="271"/>
    </row>
    <row r="1528">
      <c r="M1528" s="270"/>
      <c r="O1528" s="271"/>
      <c r="P1528" s="271"/>
    </row>
    <row r="1529">
      <c r="M1529" s="270"/>
      <c r="O1529" s="271"/>
      <c r="P1529" s="271"/>
    </row>
    <row r="1530">
      <c r="M1530" s="270"/>
      <c r="O1530" s="271"/>
      <c r="P1530" s="271"/>
    </row>
    <row r="1531">
      <c r="M1531" s="270"/>
      <c r="O1531" s="271"/>
      <c r="P1531" s="271"/>
    </row>
    <row r="1532">
      <c r="M1532" s="270"/>
      <c r="O1532" s="271"/>
      <c r="P1532" s="271"/>
    </row>
    <row r="1533">
      <c r="M1533" s="270"/>
      <c r="O1533" s="271"/>
      <c r="P1533" s="271"/>
    </row>
    <row r="1534">
      <c r="M1534" s="270"/>
      <c r="O1534" s="271"/>
      <c r="P1534" s="271"/>
    </row>
    <row r="1535">
      <c r="M1535" s="270"/>
      <c r="O1535" s="271"/>
      <c r="P1535" s="271"/>
    </row>
    <row r="1536">
      <c r="M1536" s="270"/>
      <c r="O1536" s="271"/>
      <c r="P1536" s="271"/>
    </row>
    <row r="1537">
      <c r="M1537" s="270"/>
      <c r="O1537" s="271"/>
      <c r="P1537" s="271"/>
    </row>
    <row r="1538">
      <c r="M1538" s="270"/>
      <c r="O1538" s="271"/>
      <c r="P1538" s="271"/>
    </row>
    <row r="1539">
      <c r="M1539" s="270"/>
      <c r="O1539" s="271"/>
      <c r="P1539" s="271"/>
    </row>
    <row r="1540">
      <c r="M1540" s="270"/>
      <c r="O1540" s="271"/>
      <c r="P1540" s="271"/>
    </row>
    <row r="1541">
      <c r="M1541" s="270"/>
      <c r="O1541" s="271"/>
      <c r="P1541" s="271"/>
    </row>
    <row r="1542">
      <c r="M1542" s="270"/>
      <c r="O1542" s="271"/>
      <c r="P1542" s="271"/>
    </row>
    <row r="1543">
      <c r="M1543" s="270"/>
      <c r="O1543" s="271"/>
      <c r="P1543" s="271"/>
    </row>
    <row r="1544">
      <c r="M1544" s="270"/>
      <c r="O1544" s="271"/>
      <c r="P1544" s="271"/>
    </row>
    <row r="1545">
      <c r="M1545" s="270"/>
      <c r="O1545" s="271"/>
      <c r="P1545" s="271"/>
    </row>
    <row r="1546">
      <c r="M1546" s="270"/>
      <c r="O1546" s="271"/>
      <c r="P1546" s="271"/>
    </row>
    <row r="1547">
      <c r="M1547" s="270"/>
      <c r="O1547" s="271"/>
      <c r="P1547" s="271"/>
    </row>
    <row r="1548">
      <c r="M1548" s="270"/>
      <c r="O1548" s="271"/>
      <c r="P1548" s="271"/>
    </row>
    <row r="1549">
      <c r="M1549" s="270"/>
      <c r="O1549" s="271"/>
      <c r="P1549" s="271"/>
    </row>
    <row r="1550">
      <c r="M1550" s="270"/>
      <c r="O1550" s="271"/>
      <c r="P1550" s="271"/>
    </row>
    <row r="1551">
      <c r="M1551" s="270"/>
      <c r="O1551" s="271"/>
      <c r="P1551" s="271"/>
    </row>
    <row r="1552">
      <c r="M1552" s="270"/>
      <c r="O1552" s="271"/>
      <c r="P1552" s="271"/>
    </row>
    <row r="1553">
      <c r="M1553" s="270"/>
      <c r="O1553" s="271"/>
      <c r="P1553" s="271"/>
    </row>
    <row r="1554">
      <c r="M1554" s="270"/>
      <c r="O1554" s="271"/>
      <c r="P1554" s="271"/>
    </row>
    <row r="1555">
      <c r="M1555" s="270"/>
      <c r="O1555" s="271"/>
      <c r="P1555" s="271"/>
    </row>
    <row r="1556">
      <c r="M1556" s="270"/>
      <c r="O1556" s="271"/>
      <c r="P1556" s="271"/>
    </row>
    <row r="1557">
      <c r="M1557" s="270"/>
      <c r="O1557" s="271"/>
      <c r="P1557" s="271"/>
    </row>
    <row r="1558">
      <c r="M1558" s="270"/>
      <c r="O1558" s="271"/>
      <c r="P1558" s="271"/>
    </row>
    <row r="1559">
      <c r="M1559" s="270"/>
      <c r="O1559" s="271"/>
      <c r="P1559" s="271"/>
    </row>
    <row r="1560">
      <c r="M1560" s="270"/>
      <c r="O1560" s="271"/>
      <c r="P1560" s="271"/>
    </row>
    <row r="1561">
      <c r="M1561" s="270"/>
      <c r="O1561" s="271"/>
      <c r="P1561" s="271"/>
    </row>
    <row r="1562">
      <c r="M1562" s="270"/>
      <c r="O1562" s="271"/>
      <c r="P1562" s="271"/>
    </row>
    <row r="1563">
      <c r="M1563" s="270"/>
      <c r="O1563" s="271"/>
      <c r="P1563" s="271"/>
    </row>
    <row r="1564">
      <c r="M1564" s="270"/>
      <c r="O1564" s="271"/>
      <c r="P1564" s="271"/>
    </row>
    <row r="1565">
      <c r="M1565" s="270"/>
      <c r="O1565" s="271"/>
      <c r="P1565" s="271"/>
    </row>
    <row r="1566">
      <c r="M1566" s="270"/>
      <c r="O1566" s="271"/>
      <c r="P1566" s="271"/>
    </row>
    <row r="1567">
      <c r="M1567" s="270"/>
      <c r="O1567" s="271"/>
      <c r="P1567" s="271"/>
    </row>
    <row r="1568">
      <c r="M1568" s="270"/>
      <c r="O1568" s="271"/>
      <c r="P1568" s="271"/>
    </row>
    <row r="1569">
      <c r="M1569" s="270"/>
      <c r="O1569" s="271"/>
      <c r="P1569" s="271"/>
    </row>
    <row r="1570">
      <c r="M1570" s="270"/>
      <c r="O1570" s="271"/>
      <c r="P1570" s="271"/>
    </row>
    <row r="1571">
      <c r="M1571" s="270"/>
      <c r="O1571" s="271"/>
      <c r="P1571" s="271"/>
    </row>
    <row r="1572">
      <c r="M1572" s="270"/>
      <c r="O1572" s="271"/>
      <c r="P1572" s="271"/>
    </row>
    <row r="1573">
      <c r="M1573" s="270"/>
      <c r="O1573" s="271"/>
      <c r="P1573" s="271"/>
    </row>
    <row r="1574">
      <c r="M1574" s="270"/>
      <c r="O1574" s="271"/>
      <c r="P1574" s="271"/>
    </row>
    <row r="1575">
      <c r="M1575" s="270"/>
      <c r="O1575" s="271"/>
      <c r="P1575" s="271"/>
    </row>
    <row r="1576">
      <c r="M1576" s="270"/>
      <c r="O1576" s="271"/>
      <c r="P1576" s="271"/>
    </row>
    <row r="1577">
      <c r="M1577" s="270"/>
      <c r="O1577" s="271"/>
      <c r="P1577" s="271"/>
    </row>
    <row r="1578">
      <c r="M1578" s="270"/>
      <c r="O1578" s="271"/>
      <c r="P1578" s="271"/>
    </row>
    <row r="1579">
      <c r="M1579" s="270"/>
      <c r="O1579" s="271"/>
      <c r="P1579" s="271"/>
    </row>
    <row r="1580">
      <c r="M1580" s="270"/>
      <c r="O1580" s="271"/>
      <c r="P1580" s="271"/>
    </row>
    <row r="1581">
      <c r="M1581" s="270"/>
      <c r="O1581" s="271"/>
      <c r="P1581" s="271"/>
    </row>
    <row r="1582">
      <c r="M1582" s="270"/>
      <c r="O1582" s="271"/>
      <c r="P1582" s="271"/>
    </row>
    <row r="1583">
      <c r="M1583" s="270"/>
      <c r="O1583" s="271"/>
      <c r="P1583" s="271"/>
    </row>
    <row r="1584">
      <c r="M1584" s="270"/>
      <c r="O1584" s="271"/>
      <c r="P1584" s="271"/>
    </row>
    <row r="1585">
      <c r="M1585" s="270"/>
      <c r="O1585" s="271"/>
      <c r="P1585" s="271"/>
    </row>
    <row r="1586">
      <c r="M1586" s="270"/>
      <c r="O1586" s="271"/>
      <c r="P1586" s="271"/>
    </row>
    <row r="1587">
      <c r="M1587" s="270"/>
      <c r="O1587" s="271"/>
      <c r="P1587" s="271"/>
    </row>
    <row r="1588">
      <c r="M1588" s="270"/>
      <c r="O1588" s="271"/>
      <c r="P1588" s="271"/>
    </row>
    <row r="1589">
      <c r="M1589" s="270"/>
      <c r="O1589" s="271"/>
      <c r="P1589" s="271"/>
    </row>
    <row r="1590">
      <c r="M1590" s="270"/>
      <c r="O1590" s="271"/>
      <c r="P1590" s="271"/>
    </row>
    <row r="1591">
      <c r="M1591" s="270"/>
      <c r="O1591" s="271"/>
      <c r="P1591" s="271"/>
    </row>
    <row r="1592">
      <c r="M1592" s="270"/>
      <c r="O1592" s="271"/>
      <c r="P1592" s="271"/>
    </row>
    <row r="1593">
      <c r="M1593" s="270"/>
      <c r="O1593" s="271"/>
      <c r="P1593" s="271"/>
    </row>
    <row r="1594">
      <c r="M1594" s="270"/>
      <c r="O1594" s="271"/>
      <c r="P1594" s="271"/>
    </row>
    <row r="1595">
      <c r="M1595" s="270"/>
      <c r="O1595" s="271"/>
      <c r="P1595" s="271"/>
    </row>
    <row r="1596">
      <c r="M1596" s="270"/>
      <c r="O1596" s="271"/>
      <c r="P1596" s="271"/>
    </row>
    <row r="1597">
      <c r="M1597" s="270"/>
      <c r="O1597" s="271"/>
      <c r="P1597" s="271"/>
    </row>
    <row r="1598">
      <c r="M1598" s="270"/>
      <c r="O1598" s="271"/>
      <c r="P1598" s="271"/>
    </row>
    <row r="1599">
      <c r="M1599" s="270"/>
      <c r="O1599" s="271"/>
      <c r="P1599" s="271"/>
    </row>
    <row r="1600">
      <c r="M1600" s="270"/>
      <c r="O1600" s="271"/>
      <c r="P1600" s="271"/>
    </row>
    <row r="1601">
      <c r="M1601" s="270"/>
      <c r="O1601" s="271"/>
      <c r="P1601" s="271"/>
    </row>
    <row r="1602">
      <c r="M1602" s="270"/>
      <c r="O1602" s="271"/>
      <c r="P1602" s="271"/>
    </row>
    <row r="1603">
      <c r="M1603" s="270"/>
      <c r="O1603" s="271"/>
      <c r="P1603" s="271"/>
    </row>
    <row r="1604">
      <c r="M1604" s="270"/>
      <c r="O1604" s="271"/>
      <c r="P1604" s="271"/>
    </row>
    <row r="1605">
      <c r="M1605" s="270"/>
      <c r="O1605" s="271"/>
      <c r="P1605" s="271"/>
    </row>
    <row r="1606">
      <c r="M1606" s="270"/>
      <c r="O1606" s="271"/>
      <c r="P1606" s="271"/>
    </row>
    <row r="1607">
      <c r="M1607" s="270"/>
      <c r="O1607" s="271"/>
      <c r="P1607" s="271"/>
    </row>
    <row r="1608">
      <c r="M1608" s="270"/>
      <c r="O1608" s="271"/>
      <c r="P1608" s="271"/>
    </row>
    <row r="1609">
      <c r="M1609" s="270"/>
      <c r="O1609" s="271"/>
      <c r="P1609" s="271"/>
    </row>
    <row r="1610">
      <c r="M1610" s="270"/>
      <c r="O1610" s="271"/>
      <c r="P1610" s="271"/>
    </row>
    <row r="1611">
      <c r="M1611" s="270"/>
      <c r="O1611" s="271"/>
      <c r="P1611" s="271"/>
    </row>
    <row r="1612">
      <c r="M1612" s="270"/>
      <c r="O1612" s="271"/>
      <c r="P1612" s="271"/>
    </row>
    <row r="1613">
      <c r="M1613" s="270"/>
      <c r="O1613" s="271"/>
      <c r="P1613" s="271"/>
    </row>
    <row r="1614">
      <c r="M1614" s="270"/>
      <c r="O1614" s="271"/>
      <c r="P1614" s="271"/>
    </row>
    <row r="1615">
      <c r="M1615" s="270"/>
      <c r="O1615" s="271"/>
      <c r="P1615" s="271"/>
    </row>
    <row r="1616">
      <c r="M1616" s="270"/>
      <c r="O1616" s="271"/>
      <c r="P1616" s="271"/>
    </row>
    <row r="1617">
      <c r="M1617" s="270"/>
      <c r="O1617" s="271"/>
      <c r="P1617" s="271"/>
    </row>
    <row r="1618">
      <c r="M1618" s="270"/>
      <c r="O1618" s="271"/>
      <c r="P1618" s="271"/>
    </row>
    <row r="1619">
      <c r="M1619" s="270"/>
      <c r="O1619" s="271"/>
      <c r="P1619" s="271"/>
    </row>
    <row r="1620">
      <c r="M1620" s="270"/>
      <c r="O1620" s="271"/>
      <c r="P1620" s="271"/>
    </row>
    <row r="1621">
      <c r="M1621" s="270"/>
      <c r="O1621" s="271"/>
      <c r="P1621" s="271"/>
    </row>
    <row r="1622">
      <c r="M1622" s="270"/>
      <c r="O1622" s="271"/>
      <c r="P1622" s="271"/>
    </row>
    <row r="1623">
      <c r="M1623" s="270"/>
      <c r="O1623" s="271"/>
      <c r="P1623" s="271"/>
    </row>
    <row r="1624">
      <c r="M1624" s="270"/>
      <c r="O1624" s="271"/>
      <c r="P1624" s="271"/>
    </row>
    <row r="1625">
      <c r="M1625" s="270"/>
      <c r="O1625" s="271"/>
      <c r="P1625" s="271"/>
    </row>
    <row r="1626">
      <c r="M1626" s="270"/>
      <c r="O1626" s="271"/>
      <c r="P1626" s="271"/>
    </row>
    <row r="1627">
      <c r="M1627" s="270"/>
      <c r="O1627" s="271"/>
      <c r="P1627" s="271"/>
    </row>
    <row r="1628">
      <c r="M1628" s="270"/>
      <c r="O1628" s="271"/>
      <c r="P1628" s="271"/>
    </row>
    <row r="1629">
      <c r="M1629" s="270"/>
      <c r="O1629" s="271"/>
      <c r="P1629" s="271"/>
    </row>
    <row r="1630">
      <c r="M1630" s="270"/>
      <c r="O1630" s="271"/>
      <c r="P1630" s="271"/>
    </row>
    <row r="1631">
      <c r="M1631" s="270"/>
      <c r="O1631" s="271"/>
      <c r="P1631" s="271"/>
    </row>
    <row r="1632">
      <c r="M1632" s="270"/>
      <c r="O1632" s="271"/>
      <c r="P1632" s="271"/>
    </row>
    <row r="1633">
      <c r="M1633" s="270"/>
      <c r="O1633" s="271"/>
      <c r="P1633" s="271"/>
    </row>
    <row r="1634">
      <c r="M1634" s="270"/>
      <c r="O1634" s="271"/>
      <c r="P1634" s="271"/>
    </row>
    <row r="1635">
      <c r="M1635" s="270"/>
      <c r="O1635" s="271"/>
      <c r="P1635" s="271"/>
    </row>
    <row r="1636">
      <c r="M1636" s="270"/>
      <c r="O1636" s="271"/>
      <c r="P1636" s="271"/>
    </row>
    <row r="1637">
      <c r="M1637" s="270"/>
      <c r="O1637" s="271"/>
      <c r="P1637" s="271"/>
    </row>
    <row r="1638">
      <c r="M1638" s="270"/>
      <c r="O1638" s="271"/>
      <c r="P1638" s="271"/>
    </row>
    <row r="1639">
      <c r="M1639" s="270"/>
      <c r="O1639" s="271"/>
      <c r="P1639" s="271"/>
    </row>
    <row r="1640">
      <c r="M1640" s="270"/>
      <c r="O1640" s="271"/>
      <c r="P1640" s="271"/>
    </row>
    <row r="1641">
      <c r="M1641" s="270"/>
      <c r="O1641" s="271"/>
      <c r="P1641" s="271"/>
    </row>
    <row r="1642">
      <c r="M1642" s="270"/>
      <c r="O1642" s="271"/>
      <c r="P1642" s="271"/>
    </row>
    <row r="1643">
      <c r="M1643" s="270"/>
      <c r="O1643" s="271"/>
      <c r="P1643" s="271"/>
    </row>
    <row r="1644">
      <c r="M1644" s="270"/>
      <c r="O1644" s="271"/>
      <c r="P1644" s="271"/>
    </row>
    <row r="1645">
      <c r="M1645" s="270"/>
      <c r="O1645" s="271"/>
      <c r="P1645" s="271"/>
    </row>
    <row r="1646">
      <c r="M1646" s="270"/>
      <c r="O1646" s="271"/>
      <c r="P1646" s="271"/>
    </row>
    <row r="1647">
      <c r="M1647" s="270"/>
      <c r="O1647" s="271"/>
      <c r="P1647" s="271"/>
    </row>
    <row r="1648">
      <c r="M1648" s="270"/>
      <c r="O1648" s="271"/>
      <c r="P1648" s="271"/>
    </row>
    <row r="1649">
      <c r="M1649" s="270"/>
      <c r="O1649" s="271"/>
      <c r="P1649" s="271"/>
    </row>
    <row r="1650">
      <c r="M1650" s="270"/>
      <c r="O1650" s="271"/>
      <c r="P1650" s="271"/>
    </row>
    <row r="1651">
      <c r="M1651" s="270"/>
      <c r="O1651" s="271"/>
      <c r="P1651" s="271"/>
    </row>
    <row r="1652">
      <c r="M1652" s="270"/>
      <c r="O1652" s="271"/>
      <c r="P1652" s="271"/>
    </row>
    <row r="1653">
      <c r="M1653" s="270"/>
      <c r="O1653" s="271"/>
      <c r="P1653" s="271"/>
    </row>
    <row r="1654">
      <c r="M1654" s="270"/>
      <c r="O1654" s="271"/>
      <c r="P1654" s="271"/>
    </row>
    <row r="1655">
      <c r="M1655" s="270"/>
      <c r="O1655" s="271"/>
      <c r="P1655" s="271"/>
    </row>
    <row r="1656">
      <c r="M1656" s="270"/>
      <c r="O1656" s="271"/>
      <c r="P1656" s="271"/>
    </row>
    <row r="1657">
      <c r="M1657" s="270"/>
      <c r="O1657" s="271"/>
      <c r="P1657" s="271"/>
    </row>
    <row r="1658">
      <c r="M1658" s="270"/>
      <c r="O1658" s="271"/>
      <c r="P1658" s="271"/>
    </row>
    <row r="1659">
      <c r="M1659" s="270"/>
      <c r="O1659" s="271"/>
      <c r="P1659" s="271"/>
    </row>
    <row r="1660">
      <c r="M1660" s="270"/>
      <c r="O1660" s="271"/>
      <c r="P1660" s="271"/>
    </row>
    <row r="1661">
      <c r="M1661" s="270"/>
      <c r="O1661" s="271"/>
      <c r="P1661" s="271"/>
    </row>
    <row r="1662">
      <c r="M1662" s="270"/>
      <c r="O1662" s="271"/>
      <c r="P1662" s="271"/>
    </row>
    <row r="1663">
      <c r="M1663" s="270"/>
      <c r="O1663" s="271"/>
      <c r="P1663" s="271"/>
    </row>
    <row r="1664">
      <c r="M1664" s="270"/>
      <c r="O1664" s="271"/>
      <c r="P1664" s="271"/>
    </row>
    <row r="1665">
      <c r="M1665" s="270"/>
      <c r="O1665" s="271"/>
      <c r="P1665" s="271"/>
    </row>
    <row r="1666">
      <c r="M1666" s="270"/>
      <c r="O1666" s="271"/>
      <c r="P1666" s="271"/>
    </row>
    <row r="1667">
      <c r="M1667" s="270"/>
      <c r="O1667" s="271"/>
      <c r="P1667" s="271"/>
    </row>
    <row r="1668">
      <c r="M1668" s="270"/>
      <c r="O1668" s="271"/>
      <c r="P1668" s="271"/>
    </row>
    <row r="1669">
      <c r="M1669" s="270"/>
      <c r="O1669" s="271"/>
      <c r="P1669" s="271"/>
    </row>
    <row r="1670">
      <c r="M1670" s="270"/>
      <c r="O1670" s="271"/>
      <c r="P1670" s="271"/>
    </row>
    <row r="1671">
      <c r="M1671" s="270"/>
      <c r="O1671" s="271"/>
      <c r="P1671" s="271"/>
    </row>
    <row r="1672">
      <c r="M1672" s="270"/>
      <c r="O1672" s="271"/>
      <c r="P1672" s="271"/>
    </row>
    <row r="1673">
      <c r="M1673" s="270"/>
      <c r="O1673" s="271"/>
      <c r="P1673" s="271"/>
    </row>
    <row r="1674">
      <c r="M1674" s="270"/>
      <c r="O1674" s="271"/>
      <c r="P1674" s="271"/>
    </row>
    <row r="1675">
      <c r="M1675" s="270"/>
      <c r="O1675" s="271"/>
      <c r="P1675" s="271"/>
    </row>
    <row r="1676">
      <c r="M1676" s="270"/>
      <c r="O1676" s="271"/>
      <c r="P1676" s="271"/>
    </row>
    <row r="1677">
      <c r="M1677" s="270"/>
      <c r="O1677" s="271"/>
      <c r="P1677" s="271"/>
    </row>
    <row r="1678">
      <c r="M1678" s="270"/>
      <c r="O1678" s="271"/>
      <c r="P1678" s="271"/>
    </row>
    <row r="1679">
      <c r="M1679" s="270"/>
      <c r="O1679" s="271"/>
      <c r="P1679" s="271"/>
    </row>
    <row r="1680">
      <c r="M1680" s="270"/>
      <c r="O1680" s="271"/>
      <c r="P1680" s="271"/>
    </row>
    <row r="1681">
      <c r="M1681" s="270"/>
      <c r="O1681" s="271"/>
      <c r="P1681" s="271"/>
    </row>
    <row r="1682">
      <c r="M1682" s="270"/>
      <c r="O1682" s="271"/>
      <c r="P1682" s="271"/>
    </row>
    <row r="1683">
      <c r="M1683" s="270"/>
      <c r="O1683" s="271"/>
      <c r="P1683" s="271"/>
    </row>
    <row r="1684">
      <c r="M1684" s="270"/>
      <c r="O1684" s="271"/>
      <c r="P1684" s="271"/>
    </row>
    <row r="1685">
      <c r="M1685" s="270"/>
      <c r="O1685" s="271"/>
      <c r="P1685" s="271"/>
    </row>
    <row r="1686">
      <c r="M1686" s="270"/>
      <c r="O1686" s="271"/>
      <c r="P1686" s="271"/>
    </row>
    <row r="1687">
      <c r="M1687" s="270"/>
      <c r="O1687" s="271"/>
      <c r="P1687" s="271"/>
    </row>
    <row r="1688">
      <c r="M1688" s="270"/>
      <c r="O1688" s="271"/>
      <c r="P1688" s="271"/>
    </row>
    <row r="1689">
      <c r="M1689" s="270"/>
      <c r="O1689" s="271"/>
      <c r="P1689" s="271"/>
    </row>
    <row r="1690">
      <c r="M1690" s="270"/>
      <c r="O1690" s="271"/>
      <c r="P1690" s="271"/>
    </row>
    <row r="1691">
      <c r="M1691" s="270"/>
      <c r="O1691" s="271"/>
      <c r="P1691" s="271"/>
    </row>
    <row r="1692">
      <c r="M1692" s="270"/>
      <c r="O1692" s="271"/>
      <c r="P1692" s="271"/>
    </row>
    <row r="1693">
      <c r="M1693" s="270"/>
      <c r="O1693" s="271"/>
      <c r="P1693" s="271"/>
    </row>
    <row r="1694">
      <c r="M1694" s="270"/>
      <c r="O1694" s="271"/>
      <c r="P1694" s="271"/>
    </row>
    <row r="1695">
      <c r="M1695" s="270"/>
      <c r="O1695" s="271"/>
      <c r="P1695" s="271"/>
    </row>
    <row r="1696">
      <c r="M1696" s="270"/>
      <c r="O1696" s="271"/>
      <c r="P1696" s="271"/>
    </row>
    <row r="1697">
      <c r="M1697" s="270"/>
      <c r="O1697" s="271"/>
      <c r="P1697" s="271"/>
    </row>
    <row r="1698">
      <c r="M1698" s="270"/>
      <c r="O1698" s="271"/>
      <c r="P1698" s="271"/>
    </row>
    <row r="1699">
      <c r="M1699" s="270"/>
      <c r="O1699" s="271"/>
      <c r="P1699" s="271"/>
    </row>
    <row r="1700">
      <c r="M1700" s="270"/>
      <c r="O1700" s="271"/>
      <c r="P1700" s="271"/>
    </row>
    <row r="1701">
      <c r="M1701" s="270"/>
      <c r="O1701" s="271"/>
      <c r="P1701" s="271"/>
    </row>
    <row r="1702">
      <c r="M1702" s="270"/>
      <c r="O1702" s="271"/>
      <c r="P1702" s="271"/>
    </row>
    <row r="1703">
      <c r="M1703" s="270"/>
      <c r="O1703" s="271"/>
      <c r="P1703" s="271"/>
    </row>
    <row r="1704">
      <c r="M1704" s="270"/>
      <c r="O1704" s="271"/>
      <c r="P1704" s="271"/>
    </row>
    <row r="1705">
      <c r="M1705" s="270"/>
      <c r="O1705" s="271"/>
      <c r="P1705" s="271"/>
    </row>
    <row r="1706">
      <c r="M1706" s="270"/>
      <c r="O1706" s="271"/>
      <c r="P1706" s="271"/>
    </row>
    <row r="1707">
      <c r="M1707" s="270"/>
      <c r="O1707" s="271"/>
      <c r="P1707" s="271"/>
    </row>
    <row r="1708">
      <c r="M1708" s="270"/>
      <c r="O1708" s="271"/>
      <c r="P1708" s="271"/>
    </row>
    <row r="1709">
      <c r="M1709" s="270"/>
      <c r="O1709" s="271"/>
      <c r="P1709" s="271"/>
    </row>
    <row r="1710">
      <c r="M1710" s="270"/>
      <c r="O1710" s="271"/>
      <c r="P1710" s="271"/>
    </row>
    <row r="1711">
      <c r="M1711" s="270"/>
      <c r="O1711" s="271"/>
      <c r="P1711" s="271"/>
    </row>
    <row r="1712">
      <c r="M1712" s="270"/>
      <c r="O1712" s="271"/>
      <c r="P1712" s="271"/>
    </row>
    <row r="1713">
      <c r="M1713" s="270"/>
      <c r="O1713" s="271"/>
      <c r="P1713" s="271"/>
    </row>
    <row r="1714">
      <c r="M1714" s="270"/>
      <c r="O1714" s="271"/>
      <c r="P1714" s="271"/>
    </row>
    <row r="1715">
      <c r="M1715" s="270"/>
      <c r="O1715" s="271"/>
      <c r="P1715" s="271"/>
    </row>
    <row r="1716">
      <c r="M1716" s="270"/>
      <c r="O1716" s="271"/>
      <c r="P1716" s="271"/>
    </row>
    <row r="1717">
      <c r="M1717" s="270"/>
      <c r="O1717" s="271"/>
      <c r="P1717" s="271"/>
    </row>
    <row r="1718">
      <c r="M1718" s="270"/>
      <c r="O1718" s="271"/>
      <c r="P1718" s="271"/>
    </row>
    <row r="1719">
      <c r="M1719" s="270"/>
      <c r="O1719" s="271"/>
      <c r="P1719" s="271"/>
    </row>
    <row r="1720">
      <c r="M1720" s="270"/>
      <c r="O1720" s="271"/>
      <c r="P1720" s="271"/>
    </row>
    <row r="1721">
      <c r="M1721" s="270"/>
      <c r="O1721" s="271"/>
      <c r="P1721" s="271"/>
    </row>
    <row r="1722">
      <c r="M1722" s="270"/>
      <c r="O1722" s="271"/>
      <c r="P1722" s="271"/>
    </row>
    <row r="1723">
      <c r="M1723" s="270"/>
      <c r="O1723" s="271"/>
      <c r="P1723" s="271"/>
    </row>
    <row r="1724">
      <c r="M1724" s="270"/>
      <c r="O1724" s="271"/>
      <c r="P1724" s="271"/>
    </row>
    <row r="1725">
      <c r="M1725" s="270"/>
      <c r="O1725" s="271"/>
      <c r="P1725" s="271"/>
    </row>
    <row r="1726">
      <c r="M1726" s="270"/>
      <c r="O1726" s="271"/>
      <c r="P1726" s="271"/>
    </row>
    <row r="1727">
      <c r="M1727" s="270"/>
      <c r="O1727" s="271"/>
      <c r="P1727" s="271"/>
    </row>
    <row r="1728">
      <c r="M1728" s="270"/>
      <c r="O1728" s="271"/>
      <c r="P1728" s="271"/>
    </row>
    <row r="1729">
      <c r="M1729" s="270"/>
      <c r="O1729" s="271"/>
      <c r="P1729" s="271"/>
    </row>
    <row r="1730">
      <c r="M1730" s="270"/>
      <c r="O1730" s="271"/>
      <c r="P1730" s="271"/>
    </row>
    <row r="1731">
      <c r="M1731" s="270"/>
      <c r="O1731" s="271"/>
      <c r="P1731" s="271"/>
    </row>
    <row r="1732">
      <c r="M1732" s="270"/>
      <c r="O1732" s="271"/>
      <c r="P1732" s="271"/>
    </row>
    <row r="1733">
      <c r="M1733" s="270"/>
      <c r="O1733" s="271"/>
      <c r="P1733" s="271"/>
    </row>
    <row r="1734">
      <c r="M1734" s="270"/>
      <c r="O1734" s="271"/>
      <c r="P1734" s="271"/>
    </row>
    <row r="1735">
      <c r="M1735" s="270"/>
      <c r="O1735" s="271"/>
      <c r="P1735" s="271"/>
    </row>
    <row r="1736">
      <c r="M1736" s="270"/>
      <c r="O1736" s="271"/>
      <c r="P1736" s="271"/>
    </row>
    <row r="1737">
      <c r="M1737" s="270"/>
      <c r="O1737" s="271"/>
      <c r="P1737" s="271"/>
    </row>
    <row r="1738">
      <c r="M1738" s="270"/>
      <c r="O1738" s="271"/>
      <c r="P1738" s="271"/>
    </row>
    <row r="1739">
      <c r="M1739" s="270"/>
      <c r="O1739" s="271"/>
      <c r="P1739" s="271"/>
    </row>
    <row r="1740">
      <c r="M1740" s="270"/>
      <c r="O1740" s="271"/>
      <c r="P1740" s="271"/>
    </row>
    <row r="1741">
      <c r="M1741" s="270"/>
      <c r="O1741" s="271"/>
      <c r="P1741" s="271"/>
    </row>
    <row r="1742">
      <c r="M1742" s="270"/>
      <c r="O1742" s="271"/>
      <c r="P1742" s="271"/>
    </row>
    <row r="1743">
      <c r="M1743" s="270"/>
      <c r="O1743" s="271"/>
      <c r="P1743" s="271"/>
    </row>
    <row r="1744">
      <c r="M1744" s="270"/>
      <c r="O1744" s="271"/>
      <c r="P1744" s="271"/>
    </row>
    <row r="1745">
      <c r="M1745" s="270"/>
      <c r="O1745" s="271"/>
      <c r="P1745" s="271"/>
    </row>
    <row r="1746">
      <c r="M1746" s="270"/>
      <c r="O1746" s="271"/>
      <c r="P1746" s="271"/>
    </row>
    <row r="1747">
      <c r="M1747" s="270"/>
      <c r="O1747" s="271"/>
      <c r="P1747" s="271"/>
    </row>
    <row r="1748">
      <c r="M1748" s="270"/>
      <c r="O1748" s="271"/>
      <c r="P1748" s="271"/>
    </row>
    <row r="1749">
      <c r="M1749" s="270"/>
      <c r="O1749" s="271"/>
      <c r="P1749" s="271"/>
    </row>
    <row r="1750">
      <c r="M1750" s="270"/>
      <c r="O1750" s="271"/>
      <c r="P1750" s="271"/>
    </row>
    <row r="1751">
      <c r="M1751" s="270"/>
      <c r="O1751" s="271"/>
      <c r="P1751" s="271"/>
    </row>
    <row r="1752">
      <c r="M1752" s="270"/>
      <c r="O1752" s="271"/>
      <c r="P1752" s="271"/>
    </row>
    <row r="1753">
      <c r="M1753" s="270"/>
      <c r="O1753" s="271"/>
      <c r="P1753" s="271"/>
    </row>
    <row r="1754">
      <c r="M1754" s="270"/>
      <c r="O1754" s="271"/>
      <c r="P1754" s="271"/>
    </row>
    <row r="1755">
      <c r="M1755" s="270"/>
      <c r="O1755" s="271"/>
      <c r="P1755" s="271"/>
    </row>
    <row r="1756">
      <c r="M1756" s="270"/>
      <c r="O1756" s="271"/>
      <c r="P1756" s="271"/>
    </row>
    <row r="1757">
      <c r="M1757" s="270"/>
      <c r="O1757" s="271"/>
      <c r="P1757" s="271"/>
    </row>
    <row r="1758">
      <c r="M1758" s="270"/>
      <c r="O1758" s="271"/>
      <c r="P1758" s="271"/>
    </row>
    <row r="1759">
      <c r="M1759" s="270"/>
      <c r="O1759" s="271"/>
      <c r="P1759" s="271"/>
    </row>
    <row r="1760">
      <c r="M1760" s="270"/>
      <c r="O1760" s="271"/>
      <c r="P1760" s="271"/>
    </row>
    <row r="1761">
      <c r="M1761" s="270"/>
      <c r="O1761" s="271"/>
      <c r="P1761" s="271"/>
    </row>
    <row r="1762">
      <c r="M1762" s="270"/>
      <c r="O1762" s="271"/>
      <c r="P1762" s="271"/>
    </row>
    <row r="1763">
      <c r="M1763" s="270"/>
      <c r="O1763" s="271"/>
      <c r="P1763" s="271"/>
    </row>
    <row r="1764">
      <c r="M1764" s="270"/>
      <c r="O1764" s="271"/>
      <c r="P1764" s="271"/>
    </row>
    <row r="1765">
      <c r="M1765" s="270"/>
      <c r="O1765" s="271"/>
      <c r="P1765" s="271"/>
    </row>
    <row r="1766">
      <c r="M1766" s="270"/>
      <c r="O1766" s="271"/>
      <c r="P1766" s="271"/>
    </row>
    <row r="1767">
      <c r="M1767" s="270"/>
      <c r="O1767" s="271"/>
      <c r="P1767" s="271"/>
    </row>
    <row r="1768">
      <c r="M1768" s="270"/>
      <c r="O1768" s="271"/>
      <c r="P1768" s="271"/>
    </row>
    <row r="1769">
      <c r="M1769" s="270"/>
      <c r="O1769" s="271"/>
      <c r="P1769" s="271"/>
    </row>
    <row r="1770">
      <c r="M1770" s="270"/>
      <c r="O1770" s="271"/>
      <c r="P1770" s="271"/>
    </row>
    <row r="1771">
      <c r="M1771" s="270"/>
      <c r="O1771" s="271"/>
      <c r="P1771" s="271"/>
    </row>
    <row r="1772">
      <c r="M1772" s="270"/>
      <c r="O1772" s="271"/>
      <c r="P1772" s="271"/>
    </row>
    <row r="1773">
      <c r="M1773" s="270"/>
      <c r="O1773" s="271"/>
      <c r="P1773" s="271"/>
    </row>
    <row r="1774">
      <c r="M1774" s="270"/>
      <c r="O1774" s="271"/>
      <c r="P1774" s="271"/>
    </row>
    <row r="1775">
      <c r="M1775" s="270"/>
      <c r="O1775" s="271"/>
      <c r="P1775" s="271"/>
    </row>
    <row r="1776">
      <c r="M1776" s="270"/>
      <c r="O1776" s="271"/>
      <c r="P1776" s="271"/>
    </row>
    <row r="1777">
      <c r="M1777" s="270"/>
      <c r="O1777" s="271"/>
      <c r="P1777" s="271"/>
    </row>
    <row r="1778">
      <c r="M1778" s="270"/>
      <c r="O1778" s="271"/>
      <c r="P1778" s="271"/>
    </row>
    <row r="1779">
      <c r="M1779" s="270"/>
      <c r="O1779" s="271"/>
      <c r="P1779" s="271"/>
    </row>
    <row r="1780">
      <c r="M1780" s="270"/>
      <c r="O1780" s="271"/>
      <c r="P1780" s="271"/>
    </row>
    <row r="1781">
      <c r="M1781" s="270"/>
      <c r="O1781" s="271"/>
      <c r="P1781" s="271"/>
    </row>
    <row r="1782">
      <c r="M1782" s="270"/>
      <c r="O1782" s="271"/>
      <c r="P1782" s="271"/>
    </row>
    <row r="1783">
      <c r="M1783" s="270"/>
      <c r="O1783" s="271"/>
      <c r="P1783" s="271"/>
    </row>
    <row r="1784">
      <c r="M1784" s="270"/>
      <c r="O1784" s="271"/>
      <c r="P1784" s="271"/>
    </row>
    <row r="1785">
      <c r="M1785" s="270"/>
      <c r="O1785" s="271"/>
      <c r="P1785" s="271"/>
    </row>
    <row r="1786">
      <c r="M1786" s="270"/>
      <c r="O1786" s="271"/>
      <c r="P1786" s="271"/>
    </row>
    <row r="1787">
      <c r="M1787" s="270"/>
      <c r="O1787" s="271"/>
      <c r="P1787" s="271"/>
    </row>
    <row r="1788">
      <c r="M1788" s="270"/>
      <c r="O1788" s="271"/>
      <c r="P1788" s="271"/>
    </row>
    <row r="1789">
      <c r="M1789" s="270"/>
      <c r="O1789" s="271"/>
      <c r="P1789" s="271"/>
    </row>
    <row r="1790">
      <c r="M1790" s="270"/>
      <c r="O1790" s="271"/>
      <c r="P1790" s="271"/>
    </row>
    <row r="1791">
      <c r="M1791" s="270"/>
      <c r="O1791" s="271"/>
      <c r="P1791" s="271"/>
    </row>
    <row r="1792">
      <c r="M1792" s="270"/>
      <c r="O1792" s="271"/>
      <c r="P1792" s="271"/>
    </row>
    <row r="1793">
      <c r="M1793" s="270"/>
      <c r="O1793" s="271"/>
      <c r="P1793" s="271"/>
    </row>
    <row r="1794">
      <c r="M1794" s="270"/>
      <c r="O1794" s="271"/>
      <c r="P1794" s="271"/>
    </row>
    <row r="1795">
      <c r="M1795" s="270"/>
      <c r="O1795" s="271"/>
      <c r="P1795" s="271"/>
    </row>
    <row r="1796">
      <c r="M1796" s="270"/>
      <c r="O1796" s="271"/>
      <c r="P1796" s="271"/>
    </row>
    <row r="1797">
      <c r="M1797" s="270"/>
      <c r="O1797" s="271"/>
      <c r="P1797" s="271"/>
    </row>
    <row r="1798">
      <c r="M1798" s="270"/>
      <c r="O1798" s="271"/>
      <c r="P1798" s="271"/>
    </row>
    <row r="1799">
      <c r="M1799" s="270"/>
      <c r="O1799" s="271"/>
      <c r="P1799" s="271"/>
    </row>
    <row r="1800">
      <c r="M1800" s="270"/>
      <c r="O1800" s="271"/>
      <c r="P1800" s="271"/>
    </row>
    <row r="1801">
      <c r="M1801" s="270"/>
      <c r="O1801" s="271"/>
      <c r="P1801" s="271"/>
    </row>
    <row r="1802">
      <c r="M1802" s="270"/>
      <c r="O1802" s="271"/>
      <c r="P1802" s="271"/>
    </row>
    <row r="1803">
      <c r="M1803" s="270"/>
      <c r="O1803" s="271"/>
      <c r="P1803" s="271"/>
    </row>
    <row r="1804">
      <c r="M1804" s="270"/>
      <c r="O1804" s="271"/>
      <c r="P1804" s="271"/>
    </row>
    <row r="1805">
      <c r="M1805" s="270"/>
      <c r="O1805" s="271"/>
      <c r="P1805" s="271"/>
    </row>
    <row r="1806">
      <c r="M1806" s="270"/>
      <c r="O1806" s="271"/>
      <c r="P1806" s="271"/>
    </row>
    <row r="1807">
      <c r="M1807" s="270"/>
      <c r="O1807" s="271"/>
      <c r="P1807" s="271"/>
    </row>
    <row r="1808">
      <c r="M1808" s="270"/>
      <c r="O1808" s="271"/>
      <c r="P1808" s="271"/>
    </row>
    <row r="1809">
      <c r="M1809" s="270"/>
      <c r="O1809" s="271"/>
      <c r="P1809" s="271"/>
    </row>
    <row r="1810">
      <c r="M1810" s="270"/>
      <c r="O1810" s="271"/>
      <c r="P1810" s="271"/>
    </row>
    <row r="1811">
      <c r="M1811" s="270"/>
      <c r="O1811" s="271"/>
      <c r="P1811" s="271"/>
    </row>
    <row r="1812">
      <c r="M1812" s="270"/>
      <c r="O1812" s="271"/>
      <c r="P1812" s="271"/>
    </row>
    <row r="1813">
      <c r="M1813" s="270"/>
      <c r="O1813" s="271"/>
      <c r="P1813" s="271"/>
    </row>
    <row r="1814">
      <c r="M1814" s="270"/>
      <c r="O1814" s="271"/>
      <c r="P1814" s="271"/>
    </row>
    <row r="1815">
      <c r="M1815" s="270"/>
      <c r="O1815" s="271"/>
      <c r="P1815" s="271"/>
    </row>
    <row r="1816">
      <c r="M1816" s="270"/>
      <c r="O1816" s="271"/>
      <c r="P1816" s="271"/>
    </row>
    <row r="1817">
      <c r="M1817" s="270"/>
      <c r="O1817" s="271"/>
      <c r="P1817" s="271"/>
    </row>
    <row r="1818">
      <c r="M1818" s="270"/>
      <c r="O1818" s="271"/>
      <c r="P1818" s="271"/>
    </row>
    <row r="1819">
      <c r="M1819" s="270"/>
      <c r="O1819" s="271"/>
      <c r="P1819" s="271"/>
    </row>
    <row r="1820">
      <c r="M1820" s="270"/>
      <c r="O1820" s="271"/>
      <c r="P1820" s="271"/>
    </row>
    <row r="1821">
      <c r="M1821" s="270"/>
      <c r="O1821" s="271"/>
      <c r="P1821" s="271"/>
    </row>
    <row r="1822">
      <c r="M1822" s="270"/>
      <c r="O1822" s="271"/>
      <c r="P1822" s="271"/>
    </row>
    <row r="1823">
      <c r="M1823" s="270"/>
      <c r="O1823" s="271"/>
      <c r="P1823" s="271"/>
    </row>
    <row r="1824">
      <c r="M1824" s="270"/>
      <c r="O1824" s="271"/>
      <c r="P1824" s="271"/>
    </row>
    <row r="1825">
      <c r="M1825" s="270"/>
      <c r="O1825" s="271"/>
      <c r="P1825" s="271"/>
    </row>
    <row r="1826">
      <c r="M1826" s="270"/>
      <c r="O1826" s="271"/>
      <c r="P1826" s="271"/>
    </row>
    <row r="1827">
      <c r="M1827" s="270"/>
      <c r="O1827" s="271"/>
      <c r="P1827" s="271"/>
    </row>
    <row r="1828">
      <c r="M1828" s="270"/>
      <c r="O1828" s="271"/>
      <c r="P1828" s="271"/>
    </row>
    <row r="1829">
      <c r="M1829" s="270"/>
      <c r="O1829" s="271"/>
      <c r="P1829" s="271"/>
    </row>
    <row r="1830">
      <c r="M1830" s="270"/>
      <c r="O1830" s="271"/>
      <c r="P1830" s="271"/>
    </row>
    <row r="1831">
      <c r="M1831" s="270"/>
      <c r="O1831" s="271"/>
      <c r="P1831" s="271"/>
    </row>
    <row r="1832">
      <c r="M1832" s="270"/>
      <c r="O1832" s="271"/>
      <c r="P1832" s="271"/>
    </row>
    <row r="1833">
      <c r="M1833" s="270"/>
      <c r="O1833" s="271"/>
      <c r="P1833" s="271"/>
    </row>
    <row r="1834">
      <c r="M1834" s="270"/>
      <c r="O1834" s="271"/>
      <c r="P1834" s="271"/>
    </row>
    <row r="1835">
      <c r="M1835" s="270"/>
      <c r="O1835" s="271"/>
      <c r="P1835" s="271"/>
    </row>
    <row r="1836">
      <c r="M1836" s="270"/>
      <c r="O1836" s="271"/>
      <c r="P1836" s="271"/>
    </row>
    <row r="1837">
      <c r="M1837" s="270"/>
      <c r="O1837" s="271"/>
      <c r="P1837" s="271"/>
    </row>
    <row r="1838">
      <c r="M1838" s="270"/>
      <c r="O1838" s="271"/>
      <c r="P1838" s="271"/>
    </row>
    <row r="1839">
      <c r="M1839" s="270"/>
      <c r="O1839" s="271"/>
      <c r="P1839" s="271"/>
    </row>
    <row r="1840">
      <c r="M1840" s="270"/>
      <c r="O1840" s="271"/>
      <c r="P1840" s="271"/>
    </row>
    <row r="1841">
      <c r="M1841" s="270"/>
      <c r="O1841" s="271"/>
      <c r="P1841" s="271"/>
    </row>
    <row r="1842">
      <c r="M1842" s="270"/>
      <c r="O1842" s="271"/>
      <c r="P1842" s="271"/>
    </row>
    <row r="1843">
      <c r="M1843" s="270"/>
      <c r="O1843" s="271"/>
      <c r="P1843" s="271"/>
    </row>
    <row r="1844">
      <c r="M1844" s="270"/>
      <c r="O1844" s="271"/>
      <c r="P1844" s="271"/>
    </row>
    <row r="1845">
      <c r="M1845" s="270"/>
      <c r="O1845" s="271"/>
      <c r="P1845" s="271"/>
    </row>
    <row r="1846">
      <c r="M1846" s="270"/>
      <c r="O1846" s="271"/>
      <c r="P1846" s="271"/>
    </row>
    <row r="1847">
      <c r="M1847" s="270"/>
      <c r="O1847" s="271"/>
      <c r="P1847" s="271"/>
    </row>
    <row r="1848">
      <c r="M1848" s="270"/>
      <c r="O1848" s="271"/>
      <c r="P1848" s="271"/>
    </row>
    <row r="1849">
      <c r="M1849" s="270"/>
      <c r="O1849" s="271"/>
      <c r="P1849" s="271"/>
    </row>
    <row r="1850">
      <c r="M1850" s="270"/>
      <c r="O1850" s="271"/>
      <c r="P1850" s="271"/>
    </row>
    <row r="1851">
      <c r="M1851" s="270"/>
      <c r="O1851" s="271"/>
      <c r="P1851" s="271"/>
    </row>
    <row r="1852">
      <c r="M1852" s="270"/>
      <c r="O1852" s="271"/>
      <c r="P1852" s="271"/>
    </row>
    <row r="1853">
      <c r="M1853" s="270"/>
      <c r="O1853" s="271"/>
      <c r="P1853" s="271"/>
    </row>
    <row r="1854">
      <c r="M1854" s="270"/>
      <c r="O1854" s="271"/>
      <c r="P1854" s="271"/>
    </row>
    <row r="1855">
      <c r="M1855" s="270"/>
      <c r="O1855" s="271"/>
      <c r="P1855" s="271"/>
    </row>
    <row r="1856">
      <c r="M1856" s="270"/>
      <c r="O1856" s="271"/>
      <c r="P1856" s="271"/>
    </row>
    <row r="1857">
      <c r="M1857" s="270"/>
      <c r="O1857" s="271"/>
      <c r="P1857" s="271"/>
    </row>
    <row r="1858">
      <c r="M1858" s="270"/>
      <c r="O1858" s="271"/>
      <c r="P1858" s="271"/>
    </row>
    <row r="1859">
      <c r="M1859" s="270"/>
      <c r="O1859" s="271"/>
      <c r="P1859" s="271"/>
    </row>
    <row r="1860">
      <c r="M1860" s="270"/>
      <c r="O1860" s="271"/>
      <c r="P1860" s="271"/>
    </row>
    <row r="1861">
      <c r="M1861" s="270"/>
      <c r="O1861" s="271"/>
      <c r="P1861" s="271"/>
    </row>
    <row r="1862">
      <c r="M1862" s="270"/>
      <c r="O1862" s="271"/>
      <c r="P1862" s="271"/>
    </row>
    <row r="1863">
      <c r="M1863" s="270"/>
      <c r="O1863" s="271"/>
      <c r="P1863" s="271"/>
    </row>
    <row r="1864">
      <c r="M1864" s="270"/>
      <c r="O1864" s="271"/>
      <c r="P1864" s="271"/>
    </row>
    <row r="1865">
      <c r="M1865" s="270"/>
      <c r="O1865" s="271"/>
      <c r="P1865" s="271"/>
    </row>
    <row r="1866">
      <c r="M1866" s="270"/>
      <c r="O1866" s="271"/>
      <c r="P1866" s="271"/>
    </row>
    <row r="1867">
      <c r="M1867" s="270"/>
      <c r="O1867" s="271"/>
      <c r="P1867" s="271"/>
    </row>
    <row r="1868">
      <c r="M1868" s="270"/>
      <c r="O1868" s="271"/>
      <c r="P1868" s="271"/>
    </row>
    <row r="1869">
      <c r="M1869" s="270"/>
      <c r="O1869" s="271"/>
      <c r="P1869" s="271"/>
    </row>
    <row r="1870">
      <c r="M1870" s="270"/>
      <c r="O1870" s="271"/>
      <c r="P1870" s="271"/>
    </row>
    <row r="1871">
      <c r="M1871" s="270"/>
      <c r="O1871" s="271"/>
      <c r="P1871" s="271"/>
    </row>
    <row r="1872">
      <c r="M1872" s="270"/>
      <c r="O1872" s="271"/>
      <c r="P1872" s="271"/>
    </row>
    <row r="1873">
      <c r="M1873" s="270"/>
      <c r="O1873" s="271"/>
      <c r="P1873" s="271"/>
    </row>
    <row r="1874">
      <c r="M1874" s="270"/>
      <c r="O1874" s="271"/>
      <c r="P1874" s="271"/>
    </row>
    <row r="1875">
      <c r="M1875" s="270"/>
      <c r="O1875" s="271"/>
      <c r="P1875" s="271"/>
    </row>
    <row r="1876">
      <c r="M1876" s="270"/>
      <c r="O1876" s="271"/>
      <c r="P1876" s="271"/>
    </row>
    <row r="1877">
      <c r="M1877" s="270"/>
      <c r="O1877" s="271"/>
      <c r="P1877" s="271"/>
    </row>
    <row r="1878">
      <c r="M1878" s="270"/>
      <c r="O1878" s="271"/>
      <c r="P1878" s="271"/>
    </row>
    <row r="1879">
      <c r="M1879" s="270"/>
      <c r="O1879" s="271"/>
      <c r="P1879" s="271"/>
    </row>
    <row r="1880">
      <c r="M1880" s="270"/>
      <c r="O1880" s="271"/>
      <c r="P1880" s="271"/>
    </row>
    <row r="1881">
      <c r="M1881" s="270"/>
      <c r="O1881" s="271"/>
      <c r="P1881" s="271"/>
    </row>
    <row r="1882">
      <c r="M1882" s="270"/>
      <c r="O1882" s="271"/>
      <c r="P1882" s="271"/>
    </row>
    <row r="1883">
      <c r="M1883" s="270"/>
      <c r="O1883" s="271"/>
      <c r="P1883" s="271"/>
    </row>
    <row r="1884">
      <c r="M1884" s="270"/>
      <c r="O1884" s="271"/>
      <c r="P1884" s="271"/>
    </row>
    <row r="1885">
      <c r="M1885" s="270"/>
      <c r="O1885" s="271"/>
      <c r="P1885" s="271"/>
    </row>
    <row r="1886">
      <c r="M1886" s="270"/>
      <c r="O1886" s="271"/>
      <c r="P1886" s="271"/>
    </row>
    <row r="1887">
      <c r="M1887" s="270"/>
      <c r="O1887" s="271"/>
      <c r="P1887" s="271"/>
    </row>
    <row r="1888">
      <c r="M1888" s="270"/>
      <c r="O1888" s="271"/>
      <c r="P1888" s="271"/>
    </row>
    <row r="1889">
      <c r="M1889" s="270"/>
      <c r="O1889" s="271"/>
      <c r="P1889" s="271"/>
    </row>
    <row r="1890">
      <c r="M1890" s="270"/>
      <c r="O1890" s="271"/>
      <c r="P1890" s="271"/>
    </row>
    <row r="1891">
      <c r="M1891" s="270"/>
      <c r="O1891" s="271"/>
      <c r="P1891" s="271"/>
    </row>
    <row r="1892">
      <c r="M1892" s="270"/>
      <c r="O1892" s="271"/>
      <c r="P1892" s="271"/>
    </row>
    <row r="1893">
      <c r="M1893" s="270"/>
      <c r="O1893" s="271"/>
      <c r="P1893" s="271"/>
    </row>
    <row r="1894">
      <c r="M1894" s="270"/>
      <c r="O1894" s="271"/>
      <c r="P1894" s="271"/>
    </row>
    <row r="1895">
      <c r="M1895" s="270"/>
      <c r="O1895" s="271"/>
      <c r="P1895" s="271"/>
    </row>
    <row r="1896">
      <c r="M1896" s="270"/>
      <c r="O1896" s="271"/>
      <c r="P1896" s="271"/>
    </row>
    <row r="1897">
      <c r="M1897" s="270"/>
      <c r="O1897" s="271"/>
      <c r="P1897" s="271"/>
    </row>
    <row r="1898">
      <c r="M1898" s="270"/>
      <c r="O1898" s="271"/>
      <c r="P1898" s="271"/>
    </row>
    <row r="1899">
      <c r="M1899" s="270"/>
      <c r="O1899" s="271"/>
      <c r="P1899" s="271"/>
    </row>
    <row r="1900">
      <c r="M1900" s="270"/>
      <c r="O1900" s="271"/>
      <c r="P1900" s="271"/>
    </row>
    <row r="1901">
      <c r="M1901" s="270"/>
      <c r="O1901" s="271"/>
      <c r="P1901" s="271"/>
    </row>
    <row r="1902">
      <c r="M1902" s="270"/>
      <c r="O1902" s="271"/>
      <c r="P1902" s="271"/>
    </row>
    <row r="1903">
      <c r="M1903" s="270"/>
      <c r="O1903" s="271"/>
      <c r="P1903" s="271"/>
    </row>
    <row r="1904">
      <c r="M1904" s="270"/>
      <c r="O1904" s="271"/>
      <c r="P1904" s="271"/>
    </row>
    <row r="1905">
      <c r="M1905" s="270"/>
      <c r="O1905" s="271"/>
      <c r="P1905" s="271"/>
    </row>
    <row r="1906">
      <c r="M1906" s="270"/>
      <c r="O1906" s="271"/>
      <c r="P1906" s="271"/>
    </row>
    <row r="1907">
      <c r="M1907" s="270"/>
      <c r="O1907" s="271"/>
      <c r="P1907" s="271"/>
    </row>
    <row r="1908">
      <c r="M1908" s="270"/>
      <c r="O1908" s="271"/>
      <c r="P1908" s="271"/>
    </row>
    <row r="1909">
      <c r="M1909" s="270"/>
      <c r="O1909" s="271"/>
      <c r="P1909" s="271"/>
    </row>
    <row r="1910">
      <c r="M1910" s="270"/>
      <c r="O1910" s="271"/>
      <c r="P1910" s="271"/>
    </row>
    <row r="1911">
      <c r="M1911" s="270"/>
      <c r="O1911" s="271"/>
      <c r="P1911" s="271"/>
    </row>
    <row r="1912">
      <c r="M1912" s="270"/>
      <c r="O1912" s="271"/>
      <c r="P1912" s="271"/>
    </row>
    <row r="1913">
      <c r="M1913" s="270"/>
      <c r="O1913" s="271"/>
      <c r="P1913" s="271"/>
    </row>
    <row r="1914">
      <c r="M1914" s="270"/>
      <c r="O1914" s="271"/>
      <c r="P1914" s="271"/>
    </row>
    <row r="1915">
      <c r="M1915" s="270"/>
      <c r="O1915" s="271"/>
      <c r="P1915" s="271"/>
    </row>
    <row r="1916">
      <c r="M1916" s="270"/>
      <c r="O1916" s="271"/>
      <c r="P1916" s="271"/>
    </row>
    <row r="1917">
      <c r="M1917" s="270"/>
      <c r="O1917" s="271"/>
      <c r="P1917" s="271"/>
    </row>
    <row r="1918">
      <c r="M1918" s="270"/>
      <c r="O1918" s="271"/>
      <c r="P1918" s="271"/>
    </row>
    <row r="1919">
      <c r="M1919" s="270"/>
      <c r="O1919" s="271"/>
      <c r="P1919" s="271"/>
    </row>
    <row r="1920">
      <c r="M1920" s="270"/>
      <c r="O1920" s="271"/>
      <c r="P1920" s="271"/>
    </row>
    <row r="1921">
      <c r="M1921" s="270"/>
      <c r="O1921" s="271"/>
      <c r="P1921" s="271"/>
    </row>
    <row r="1922">
      <c r="M1922" s="270"/>
      <c r="O1922" s="271"/>
      <c r="P1922" s="271"/>
    </row>
    <row r="1923">
      <c r="M1923" s="270"/>
      <c r="O1923" s="271"/>
      <c r="P1923" s="271"/>
    </row>
    <row r="1924">
      <c r="M1924" s="270"/>
      <c r="O1924" s="271"/>
      <c r="P1924" s="271"/>
    </row>
    <row r="1925">
      <c r="M1925" s="270"/>
      <c r="O1925" s="271"/>
      <c r="P1925" s="271"/>
    </row>
    <row r="1926">
      <c r="M1926" s="270"/>
      <c r="O1926" s="271"/>
      <c r="P1926" s="271"/>
    </row>
    <row r="1927">
      <c r="M1927" s="270"/>
      <c r="O1927" s="271"/>
      <c r="P1927" s="271"/>
    </row>
    <row r="1928">
      <c r="M1928" s="270"/>
      <c r="O1928" s="271"/>
      <c r="P1928" s="271"/>
    </row>
    <row r="1929">
      <c r="M1929" s="270"/>
      <c r="O1929" s="271"/>
      <c r="P1929" s="271"/>
    </row>
    <row r="1930">
      <c r="M1930" s="270"/>
      <c r="O1930" s="271"/>
      <c r="P1930" s="271"/>
    </row>
    <row r="1931">
      <c r="M1931" s="270"/>
      <c r="O1931" s="271"/>
      <c r="P1931" s="271"/>
    </row>
    <row r="1932">
      <c r="M1932" s="270"/>
      <c r="O1932" s="271"/>
      <c r="P1932" s="271"/>
    </row>
    <row r="1933">
      <c r="M1933" s="270"/>
      <c r="O1933" s="271"/>
      <c r="P1933" s="271"/>
    </row>
    <row r="1934">
      <c r="M1934" s="270"/>
      <c r="O1934" s="271"/>
      <c r="P1934" s="271"/>
    </row>
    <row r="1935">
      <c r="M1935" s="270"/>
      <c r="O1935" s="271"/>
      <c r="P1935" s="271"/>
    </row>
    <row r="1936">
      <c r="M1936" s="270"/>
      <c r="O1936" s="271"/>
      <c r="P1936" s="271"/>
    </row>
    <row r="1937">
      <c r="M1937" s="270"/>
      <c r="O1937" s="271"/>
      <c r="P1937" s="271"/>
    </row>
    <row r="1938">
      <c r="M1938" s="270"/>
      <c r="O1938" s="271"/>
      <c r="P1938" s="271"/>
    </row>
    <row r="1939">
      <c r="M1939" s="270"/>
      <c r="O1939" s="271"/>
      <c r="P1939" s="271"/>
    </row>
    <row r="1940">
      <c r="M1940" s="270"/>
      <c r="O1940" s="271"/>
      <c r="P1940" s="271"/>
    </row>
    <row r="1941">
      <c r="M1941" s="270"/>
      <c r="O1941" s="271"/>
      <c r="P1941" s="271"/>
    </row>
    <row r="1942">
      <c r="M1942" s="270"/>
      <c r="O1942" s="271"/>
      <c r="P1942" s="271"/>
    </row>
    <row r="1943">
      <c r="M1943" s="270"/>
      <c r="O1943" s="271"/>
      <c r="P1943" s="271"/>
    </row>
    <row r="1944">
      <c r="M1944" s="270"/>
      <c r="O1944" s="271"/>
      <c r="P1944" s="271"/>
    </row>
    <row r="1945">
      <c r="M1945" s="270"/>
      <c r="O1945" s="271"/>
      <c r="P1945" s="271"/>
    </row>
    <row r="1946">
      <c r="M1946" s="270"/>
      <c r="O1946" s="271"/>
      <c r="P1946" s="271"/>
    </row>
    <row r="1947">
      <c r="M1947" s="270"/>
      <c r="O1947" s="271"/>
      <c r="P1947" s="271"/>
    </row>
    <row r="1948">
      <c r="M1948" s="270"/>
      <c r="O1948" s="271"/>
      <c r="P1948" s="271"/>
    </row>
    <row r="1949">
      <c r="M1949" s="270"/>
      <c r="O1949" s="271"/>
      <c r="P1949" s="271"/>
    </row>
    <row r="1950">
      <c r="M1950" s="270"/>
      <c r="O1950" s="271"/>
      <c r="P1950" s="271"/>
    </row>
    <row r="1951">
      <c r="M1951" s="270"/>
      <c r="O1951" s="271"/>
      <c r="P1951" s="271"/>
    </row>
    <row r="1952">
      <c r="M1952" s="270"/>
      <c r="O1952" s="271"/>
      <c r="P1952" s="271"/>
    </row>
    <row r="1953">
      <c r="M1953" s="270"/>
      <c r="O1953" s="271"/>
      <c r="P1953" s="271"/>
    </row>
    <row r="1954">
      <c r="M1954" s="270"/>
      <c r="O1954" s="271"/>
      <c r="P1954" s="271"/>
    </row>
    <row r="1955">
      <c r="M1955" s="270"/>
      <c r="O1955" s="271"/>
      <c r="P1955" s="271"/>
    </row>
    <row r="1956">
      <c r="M1956" s="270"/>
      <c r="O1956" s="271"/>
      <c r="P1956" s="271"/>
    </row>
    <row r="1957">
      <c r="M1957" s="270"/>
      <c r="O1957" s="271"/>
      <c r="P1957" s="271"/>
    </row>
    <row r="1958">
      <c r="M1958" s="270"/>
      <c r="O1958" s="271"/>
      <c r="P1958" s="271"/>
    </row>
    <row r="1959">
      <c r="M1959" s="270"/>
      <c r="O1959" s="271"/>
      <c r="P1959" s="271"/>
    </row>
    <row r="1960">
      <c r="M1960" s="270"/>
      <c r="O1960" s="271"/>
      <c r="P1960" s="271"/>
    </row>
    <row r="1961">
      <c r="M1961" s="270"/>
      <c r="O1961" s="271"/>
      <c r="P1961" s="271"/>
    </row>
    <row r="1962">
      <c r="M1962" s="270"/>
      <c r="O1962" s="271"/>
      <c r="P1962" s="271"/>
    </row>
    <row r="1963">
      <c r="M1963" s="270"/>
      <c r="O1963" s="271"/>
      <c r="P1963" s="271"/>
    </row>
    <row r="1964">
      <c r="M1964" s="270"/>
      <c r="O1964" s="271"/>
      <c r="P1964" s="271"/>
    </row>
    <row r="1965">
      <c r="M1965" s="270"/>
      <c r="O1965" s="271"/>
      <c r="P1965" s="271"/>
    </row>
    <row r="1966">
      <c r="M1966" s="270"/>
      <c r="O1966" s="271"/>
      <c r="P1966" s="271"/>
    </row>
    <row r="1967">
      <c r="M1967" s="270"/>
      <c r="O1967" s="271"/>
      <c r="P1967" s="271"/>
    </row>
    <row r="1968">
      <c r="M1968" s="270"/>
      <c r="O1968" s="271"/>
      <c r="P1968" s="271"/>
    </row>
    <row r="1969">
      <c r="M1969" s="270"/>
      <c r="O1969" s="271"/>
      <c r="P1969" s="271"/>
    </row>
    <row r="1970">
      <c r="M1970" s="270"/>
      <c r="O1970" s="271"/>
      <c r="P1970" s="271"/>
    </row>
    <row r="1971">
      <c r="M1971" s="270"/>
      <c r="O1971" s="271"/>
      <c r="P1971" s="271"/>
    </row>
    <row r="1972">
      <c r="M1972" s="270"/>
      <c r="O1972" s="271"/>
      <c r="P1972" s="271"/>
    </row>
    <row r="1973">
      <c r="M1973" s="270"/>
      <c r="O1973" s="271"/>
      <c r="P1973" s="271"/>
    </row>
    <row r="1974">
      <c r="M1974" s="270"/>
      <c r="O1974" s="271"/>
      <c r="P1974" s="271"/>
    </row>
    <row r="1975">
      <c r="M1975" s="270"/>
      <c r="O1975" s="271"/>
      <c r="P1975" s="271"/>
    </row>
    <row r="1976">
      <c r="M1976" s="270"/>
      <c r="O1976" s="271"/>
      <c r="P1976" s="271"/>
    </row>
    <row r="1977">
      <c r="M1977" s="270"/>
      <c r="O1977" s="271"/>
      <c r="P1977" s="271"/>
    </row>
    <row r="1978">
      <c r="M1978" s="270"/>
      <c r="O1978" s="271"/>
      <c r="P1978" s="271"/>
    </row>
    <row r="1979">
      <c r="M1979" s="270"/>
      <c r="O1979" s="271"/>
      <c r="P1979" s="271"/>
    </row>
    <row r="1980">
      <c r="M1980" s="270"/>
      <c r="O1980" s="271"/>
      <c r="P1980" s="271"/>
    </row>
    <row r="1981">
      <c r="M1981" s="270"/>
      <c r="O1981" s="271"/>
      <c r="P1981" s="271"/>
    </row>
    <row r="1982">
      <c r="M1982" s="270"/>
      <c r="O1982" s="271"/>
      <c r="P1982" s="271"/>
    </row>
    <row r="1983">
      <c r="M1983" s="270"/>
      <c r="O1983" s="271"/>
      <c r="P1983" s="271"/>
    </row>
    <row r="1984">
      <c r="M1984" s="270"/>
      <c r="O1984" s="271"/>
      <c r="P1984" s="271"/>
    </row>
    <row r="1985">
      <c r="M1985" s="270"/>
      <c r="O1985" s="271"/>
      <c r="P1985" s="271"/>
    </row>
    <row r="1986">
      <c r="M1986" s="270"/>
      <c r="O1986" s="271"/>
      <c r="P1986" s="271"/>
    </row>
    <row r="1987">
      <c r="M1987" s="270"/>
      <c r="O1987" s="271"/>
      <c r="P1987" s="271"/>
    </row>
    <row r="1988">
      <c r="M1988" s="270"/>
      <c r="O1988" s="271"/>
      <c r="P1988" s="271"/>
    </row>
    <row r="1989">
      <c r="M1989" s="270"/>
      <c r="O1989" s="271"/>
      <c r="P1989" s="271"/>
    </row>
    <row r="1990">
      <c r="M1990" s="270"/>
      <c r="O1990" s="271"/>
      <c r="P1990" s="271"/>
    </row>
    <row r="1991">
      <c r="M1991" s="270"/>
      <c r="O1991" s="271"/>
      <c r="P1991" s="271"/>
    </row>
    <row r="1992">
      <c r="M1992" s="270"/>
      <c r="O1992" s="271"/>
      <c r="P1992" s="271"/>
    </row>
    <row r="1993">
      <c r="M1993" s="270"/>
      <c r="O1993" s="271"/>
      <c r="P1993" s="271"/>
    </row>
    <row r="1994">
      <c r="M1994" s="270"/>
      <c r="O1994" s="271"/>
      <c r="P1994" s="271"/>
    </row>
    <row r="1995">
      <c r="M1995" s="270"/>
      <c r="O1995" s="271"/>
      <c r="P1995" s="271"/>
    </row>
    <row r="1996">
      <c r="M1996" s="270"/>
      <c r="O1996" s="271"/>
      <c r="P1996" s="271"/>
    </row>
    <row r="1997">
      <c r="M1997" s="270"/>
      <c r="O1997" s="271"/>
      <c r="P1997" s="271"/>
    </row>
    <row r="1998">
      <c r="M1998" s="270"/>
      <c r="O1998" s="271"/>
      <c r="P1998" s="271"/>
    </row>
    <row r="1999">
      <c r="M1999" s="270"/>
      <c r="O1999" s="271"/>
      <c r="P1999" s="271"/>
    </row>
    <row r="2000">
      <c r="M2000" s="270"/>
      <c r="O2000" s="271"/>
      <c r="P2000" s="271"/>
    </row>
  </sheetData>
  <mergeCells count="6">
    <mergeCell ref="B17:C17"/>
    <mergeCell ref="B18:C19"/>
    <mergeCell ref="B21:C21"/>
    <mergeCell ref="B22:C23"/>
    <mergeCell ref="B25:C25"/>
    <mergeCell ref="B26:C27"/>
  </mergeCells>
  <conditionalFormatting sqref="F3:O2000">
    <cfRule type="expression" dxfId="9" priority="1">
      <formula>$J3="Leads Baru"</formula>
    </cfRule>
  </conditionalFormatting>
  <conditionalFormatting sqref="F3:O2000">
    <cfRule type="expression" dxfId="10" priority="2">
      <formula>$J3="Qualified"</formula>
    </cfRule>
  </conditionalFormatting>
  <conditionalFormatting sqref="F3:O2000">
    <cfRule type="expression" dxfId="11" priority="3">
      <formula>$J3="Prospek"</formula>
    </cfRule>
  </conditionalFormatting>
  <conditionalFormatting sqref="F3:O2000">
    <cfRule type="expression" dxfId="12" priority="4">
      <formula>$J3="Follow Up"</formula>
    </cfRule>
  </conditionalFormatting>
  <conditionalFormatting sqref="F3:O2000">
    <cfRule type="expression" dxfId="13" priority="5">
      <formula>$J3="Warm Leads"</formula>
    </cfRule>
  </conditionalFormatting>
  <conditionalFormatting sqref="F3:O2000">
    <cfRule type="expression" dxfId="14" priority="6">
      <formula>$J3="Hot Leads"</formula>
    </cfRule>
  </conditionalFormatting>
  <hyperlinks>
    <hyperlink r:id="rId4" ref="P3"/>
    <hyperlink r:id="rId5" ref="P4"/>
    <hyperlink r:id="rId6" ref="P5"/>
    <hyperlink r:id="rId7" ref="P6"/>
    <hyperlink r:id="rId8" ref="P7"/>
    <hyperlink r:id="rId9" location="heading=h.a9kqk3xbyygu" ref="P8"/>
    <hyperlink r:id="rId10" ref="P9"/>
    <hyperlink r:id="rId11" ref="P10"/>
    <hyperlink r:id="rId12" ref="P11"/>
    <hyperlink r:id="rId13" ref="P12"/>
    <hyperlink r:id="rId14" ref="P13"/>
    <hyperlink r:id="rId15" ref="P14"/>
    <hyperlink r:id="rId16" ref="P15"/>
    <hyperlink r:id="rId17" ref="P16"/>
    <hyperlink r:id="rId18" ref="P17"/>
    <hyperlink r:id="rId19" ref="P18"/>
    <hyperlink r:id="rId20" ref="P19"/>
    <hyperlink r:id="rId21" ref="P20"/>
    <hyperlink r:id="rId22" ref="P21"/>
    <hyperlink r:id="rId23" ref="P22"/>
    <hyperlink r:id="rId24" ref="P23"/>
    <hyperlink r:id="rId25" ref="P24"/>
    <hyperlink r:id="rId26" ref="P25"/>
    <hyperlink r:id="rId27" ref="P26"/>
    <hyperlink r:id="rId28" ref="P27"/>
    <hyperlink r:id="rId29" ref="P28"/>
    <hyperlink r:id="rId30" ref="P29"/>
    <hyperlink r:id="rId31" ref="P30"/>
    <hyperlink r:id="rId32" ref="P31"/>
    <hyperlink r:id="rId33" ref="P32"/>
    <hyperlink r:id="rId34" ref="P33"/>
    <hyperlink r:id="rId35" ref="P34"/>
    <hyperlink r:id="rId36" ref="P35"/>
    <hyperlink r:id="rId37" ref="P36"/>
    <hyperlink r:id="rId38" ref="P37"/>
    <hyperlink r:id="rId39" ref="P38"/>
    <hyperlink r:id="rId40" ref="P39"/>
    <hyperlink r:id="rId41" ref="P40"/>
    <hyperlink r:id="rId42" ref="P41"/>
    <hyperlink r:id="rId43" ref="P42"/>
    <hyperlink r:id="rId44" ref="P43"/>
    <hyperlink r:id="rId45" ref="P44"/>
    <hyperlink r:id="rId46" ref="P45"/>
    <hyperlink r:id="rId47" ref="P46"/>
    <hyperlink r:id="rId48" ref="P47"/>
    <hyperlink r:id="rId49" ref="P48"/>
    <hyperlink r:id="rId50" ref="P49"/>
    <hyperlink r:id="rId51" ref="P50"/>
    <hyperlink r:id="rId52" ref="P375"/>
    <hyperlink r:id="rId53" ref="P376"/>
    <hyperlink r:id="rId54" ref="P377"/>
    <hyperlink r:id="rId55" ref="P378"/>
    <hyperlink r:id="rId56" ref="P379"/>
    <hyperlink r:id="rId57" ref="P380"/>
    <hyperlink r:id="rId58" ref="P381"/>
    <hyperlink r:id="rId59" ref="P382"/>
    <hyperlink r:id="rId60" ref="P383"/>
    <hyperlink r:id="rId61" ref="P384"/>
    <hyperlink r:id="rId62" ref="P385"/>
    <hyperlink r:id="rId63" ref="P386"/>
    <hyperlink r:id="rId64" ref="P387"/>
    <hyperlink r:id="rId65" ref="P388"/>
    <hyperlink r:id="rId66" ref="P389"/>
    <hyperlink r:id="rId67" ref="P390"/>
    <hyperlink r:id="rId68" ref="P391"/>
    <hyperlink r:id="rId69" ref="P392"/>
    <hyperlink r:id="rId70" ref="P393"/>
    <hyperlink r:id="rId71" ref="P406"/>
    <hyperlink r:id="rId72" ref="P407"/>
    <hyperlink r:id="rId73" ref="P408"/>
    <hyperlink r:id="rId74" ref="P409"/>
    <hyperlink r:id="rId75" ref="P410"/>
    <hyperlink r:id="rId76" ref="P411"/>
    <hyperlink r:id="rId77" ref="P414"/>
    <hyperlink r:id="rId78" ref="P415"/>
    <hyperlink r:id="rId79" ref="P416"/>
  </hyperlinks>
  <drawing r:id="rId80"/>
  <legacyDrawing r:id="rId8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7.25"/>
    <col customWidth="1" min="3" max="3" width="13.75"/>
    <col customWidth="1" min="6" max="6" width="15.0"/>
    <col customWidth="1" min="7" max="7" width="14.63"/>
  </cols>
  <sheetData>
    <row r="2">
      <c r="B2" s="200" t="s">
        <v>10229</v>
      </c>
    </row>
    <row r="3">
      <c r="B3" s="321" t="s">
        <v>10194</v>
      </c>
      <c r="C3" s="322">
        <f>COUNTA('Input Data'!A2:A1003)</f>
        <v>2465</v>
      </c>
      <c r="E3" s="210"/>
    </row>
    <row r="4">
      <c r="B4" s="323" t="s">
        <v>10195</v>
      </c>
      <c r="C4" s="324">
        <f>COUNTIF('Input Data'!G:GG, "Closing")</f>
        <v>345</v>
      </c>
    </row>
    <row r="5">
      <c r="B5" s="323" t="s">
        <v>10196</v>
      </c>
      <c r="C5" s="325">
        <f>C4/C3</f>
        <v>0.139959432</v>
      </c>
    </row>
    <row r="6">
      <c r="B6" s="323" t="s">
        <v>10197</v>
      </c>
      <c r="C6" s="326">
        <f>SUMIF('Input Data'!G:G, "Closing", 'Input Data'!K:K)</f>
        <v>1474871200</v>
      </c>
    </row>
    <row r="7">
      <c r="B7" s="323" t="s">
        <v>10198</v>
      </c>
      <c r="C7" s="326">
        <f>SUMIFS('Input Data'!K:K, 'Input Data'!G:G, "&lt;&gt;Closing", 'Input Data'!G:G, "&lt;&gt;Gagal")</f>
        <v>3929422788</v>
      </c>
    </row>
    <row r="8">
      <c r="B8" s="327" t="s">
        <v>10199</v>
      </c>
      <c r="C8" s="328">
        <f>SUMIF('Input Data'!G:G, "Gagal", 'Input Data'!K:K)</f>
        <v>4018686012</v>
      </c>
    </row>
    <row r="10">
      <c r="B10" s="200" t="s">
        <v>10200</v>
      </c>
    </row>
    <row r="11">
      <c r="B11" s="203" t="s">
        <v>10201</v>
      </c>
      <c r="C11" s="204">
        <f>COUNTIF('Input Data'!G2:G1003,"Leads Baru")
</f>
        <v>511</v>
      </c>
    </row>
    <row r="12">
      <c r="B12" s="205" t="s">
        <v>34</v>
      </c>
      <c r="C12" s="206">
        <f>COUNTIF('Input Data'!G2:G1003,"Qualified")
</f>
        <v>173</v>
      </c>
    </row>
    <row r="13">
      <c r="B13" s="207" t="s">
        <v>43</v>
      </c>
      <c r="C13" s="208">
        <f>COUNTIF('Input Data'!G2:G1003,"Prospek")
</f>
        <v>24</v>
      </c>
    </row>
    <row r="14">
      <c r="B14" s="211" t="s">
        <v>49</v>
      </c>
      <c r="C14" s="212">
        <f>COUNTIF('Input Data'!G2:G1003,"Follow Up")
</f>
        <v>8</v>
      </c>
    </row>
    <row r="15">
      <c r="B15" s="213" t="s">
        <v>57</v>
      </c>
      <c r="C15" s="214">
        <f>COUNTIF('Input Data'!G2:G1003,"Warm Leads")
</f>
        <v>2</v>
      </c>
    </row>
    <row r="16">
      <c r="B16" s="216" t="s">
        <v>64</v>
      </c>
      <c r="C16" s="217">
        <f>COUNTIF('Input Data'!G2:G1003,"Hot Leads")
</f>
        <v>2</v>
      </c>
    </row>
    <row r="17">
      <c r="B17" s="219" t="s">
        <v>19</v>
      </c>
      <c r="C17" s="220">
        <f>COUNTIF('Input Data'!G2:G1003, "Closing")</f>
        <v>343</v>
      </c>
    </row>
    <row r="18">
      <c r="B18" s="221" t="s">
        <v>42</v>
      </c>
      <c r="C18" s="222">
        <f>COUNTIF('Input Data'!G2:G1003,"Gagal")
</f>
        <v>1381</v>
      </c>
    </row>
    <row r="19">
      <c r="B19" s="68" t="s">
        <v>10202</v>
      </c>
      <c r="C19" s="130">
        <f>sum(C11:C16)</f>
        <v>720</v>
      </c>
    </row>
    <row r="21">
      <c r="B21" s="200" t="s">
        <v>10203</v>
      </c>
    </row>
    <row r="22">
      <c r="B22" s="223" t="s">
        <v>5</v>
      </c>
      <c r="C22" s="223" t="s">
        <v>10204</v>
      </c>
      <c r="D22" s="223" t="s">
        <v>10205</v>
      </c>
      <c r="E22" s="223" t="s">
        <v>10206</v>
      </c>
      <c r="F22" s="223" t="s">
        <v>10207</v>
      </c>
      <c r="G22" s="223" t="s">
        <v>10208</v>
      </c>
    </row>
    <row r="23">
      <c r="B23" s="68" t="s">
        <v>129</v>
      </c>
      <c r="C23" s="224">
        <f>COUNTIF('Input Data'!F:F, "Dela")</f>
        <v>1217</v>
      </c>
      <c r="D23" s="224">
        <f>COUNTIFS('Input Data'!F:F, "Dela", 'Input Data'!G:G, "Closing")</f>
        <v>173</v>
      </c>
      <c r="E23" s="225">
        <f t="shared" ref="E23:E25" si="1">IFERROR(D23/C23, 0)</f>
        <v>0.1421528348</v>
      </c>
      <c r="F23" s="226">
        <f>IFERROR(AVERAGEIFS('Input Data'!K:K, 'Input Data'!F:F, "Dela", 'Input Data'!G:G, "Closing"), 0)</f>
        <v>4627280.745</v>
      </c>
      <c r="G23" s="227">
        <f>SUMIFS('Input Data'!K:K, 'Input Data'!F:F, "Dela", 'Input Data'!G:G, "Closing")</f>
        <v>744992200</v>
      </c>
    </row>
    <row r="24">
      <c r="B24" s="68" t="s">
        <v>18</v>
      </c>
      <c r="C24" s="224">
        <f>COUNTIF('Input Data'!F:F, "Alvin")</f>
        <v>871</v>
      </c>
      <c r="D24" s="224">
        <f>COUNTIFS('Input Data'!F:F, "Alvin", 'Input Data'!G:G, "Closing")</f>
        <v>113</v>
      </c>
      <c r="E24" s="225">
        <f t="shared" si="1"/>
        <v>0.1297359357</v>
      </c>
      <c r="F24" s="226">
        <f>IFERROR(AVERAGEIFS('Input Data'!K:K, 'Input Data'!F:F, "Alvin", 'Input Data'!G:G, "Closing"), 0)</f>
        <v>4702377.551</v>
      </c>
      <c r="G24" s="227">
        <f>SUMIFS('Input Data'!K:K, 'Input Data'!F:F, "Alvin", 'Input Data'!G:G, "Closing")</f>
        <v>460833000</v>
      </c>
    </row>
    <row r="25">
      <c r="B25" s="68" t="s">
        <v>983</v>
      </c>
      <c r="C25" s="224">
        <f>COUNTIF('Input Data'!F:F, "Holiday")</f>
        <v>377</v>
      </c>
      <c r="D25" s="224">
        <f>COUNTIFS('Input Data'!F:F, "Holiday", 'Input Data'!G:G, "Closing")</f>
        <v>57</v>
      </c>
      <c r="E25" s="225">
        <f t="shared" si="1"/>
        <v>0.151193634</v>
      </c>
      <c r="F25" s="226">
        <f>IFERROR(AVERAGEIFS('Input Data'!K:K, 'Input Data'!F:F, "Holiday", 'Input Data'!G:G, "Closing"), 0)</f>
        <v>5380920</v>
      </c>
      <c r="G25" s="227">
        <f>SUMIFS('Input Data'!K:K, 'Input Data'!F:F, "Holiday", 'Input Data'!G:G, "Closing")</f>
        <v>269046000</v>
      </c>
    </row>
    <row r="27">
      <c r="B27" s="200" t="s">
        <v>10209</v>
      </c>
    </row>
    <row r="28">
      <c r="B28" s="223" t="s">
        <v>4</v>
      </c>
      <c r="C28" s="223" t="s">
        <v>10204</v>
      </c>
      <c r="D28" s="223" t="s">
        <v>10205</v>
      </c>
      <c r="E28" s="223" t="s">
        <v>10206</v>
      </c>
      <c r="F28" s="223" t="s">
        <v>10207</v>
      </c>
      <c r="G28" s="223" t="s">
        <v>10208</v>
      </c>
    </row>
    <row r="29">
      <c r="B29" s="68" t="s">
        <v>17</v>
      </c>
      <c r="C29" s="130">
        <f>COUNTIF('Input Data'!E:E, "Website")</f>
        <v>800</v>
      </c>
      <c r="D29" s="130">
        <f>COUNTIFS('Input Data'!E:E, "Website", 'Input Data'!G:G, "Closing")</f>
        <v>123</v>
      </c>
      <c r="E29" s="229">
        <f t="shared" ref="E29:E33" si="2">IFERROR(D29/C29, 0)</f>
        <v>0.15375</v>
      </c>
      <c r="F29" s="226">
        <f>IFERROR(AVERAGEIFS('Input Data'!K:K, 'Input Data'!E:E, "Website", 'Input Data'!G:G, "Closing"), 0)</f>
        <v>5411780.18</v>
      </c>
      <c r="G29" s="226">
        <f>SUMIFS('Input Data'!K:K, 'Input Data'!E:E, "Website", 'Input Data'!G:G, "Closing")</f>
        <v>600707600</v>
      </c>
    </row>
    <row r="30">
      <c r="B30" s="68" t="s">
        <v>128</v>
      </c>
      <c r="C30" s="130">
        <f>COUNTIF('Input Data'!E:E, "Instagram")</f>
        <v>1109</v>
      </c>
      <c r="D30" s="130">
        <f>COUNTIFS('Input Data'!E:E, "Instagram", 'Input Data'!G:G, "Closing")</f>
        <v>140</v>
      </c>
      <c r="E30" s="229">
        <f t="shared" si="2"/>
        <v>0.1262398557</v>
      </c>
      <c r="F30" s="226">
        <f>IFERROR(AVERAGEIFS('Input Data'!K:K, 'Input Data'!E:E, "Instagram", 'Input Data'!G:G, "Closing"), 0)</f>
        <v>3434687.5</v>
      </c>
      <c r="G30" s="226">
        <f>SUMIFS('Input Data'!K:K, 'Input Data'!E:E, "Instagram", 'Input Data'!G:G, "Closing")</f>
        <v>439640000</v>
      </c>
    </row>
    <row r="31">
      <c r="B31" s="68" t="s">
        <v>1877</v>
      </c>
      <c r="C31" s="130">
        <f>COUNTIF('Input Data'!E:E, "Tiktok")</f>
        <v>32</v>
      </c>
      <c r="D31" s="130">
        <f>COUNTIFS('Input Data'!E:E, "Tiktok", 'Input Data'!G:G, "Closing")</f>
        <v>5</v>
      </c>
      <c r="E31" s="229">
        <f t="shared" si="2"/>
        <v>0.15625</v>
      </c>
      <c r="F31" s="226">
        <f>IFERROR(AVERAGEIFS('Input Data'!K:K, 'Input Data'!E:E, "Tiktok", 'Input Data'!G:G, "Closing"), 0)</f>
        <v>2944800</v>
      </c>
      <c r="G31" s="226">
        <f>SUMIFS('Input Data'!K:K, 'Input Data'!E:E, "Tiktok", 'Input Data'!G:G, "Closing")</f>
        <v>14724000</v>
      </c>
    </row>
    <row r="32">
      <c r="B32" s="68" t="s">
        <v>869</v>
      </c>
      <c r="C32" s="130">
        <f>COUNTIF('Input Data'!E:E, "Rekomendasi")</f>
        <v>29</v>
      </c>
      <c r="D32" s="130">
        <f>COUNTIFS('Input Data'!E:E, "Rekomendasi", 'Input Data'!G:G, "Closing")</f>
        <v>17</v>
      </c>
      <c r="E32" s="229">
        <f t="shared" si="2"/>
        <v>0.5862068966</v>
      </c>
      <c r="F32" s="226">
        <f>IFERROR(AVERAGEIFS('Input Data'!K:K, 'Input Data'!E:E, "Rekomendasi", 'Input Data'!G:G, "Closing"), 0)</f>
        <v>8551428.571</v>
      </c>
      <c r="G32" s="226">
        <f>SUMIFS('Input Data'!K:K, 'Input Data'!E:E, "Rekomendasi", 'Input Data'!G:G, "Closing")</f>
        <v>119720000</v>
      </c>
    </row>
    <row r="33">
      <c r="B33" s="68" t="s">
        <v>122</v>
      </c>
      <c r="C33" s="130">
        <f>COUNTIF('Input Data'!E:E, "Lainnya")</f>
        <v>494</v>
      </c>
      <c r="D33" s="130">
        <f>COUNTIFS('Input Data'!E:E, "Lainnya", 'Input Data'!G:G, "Closing")</f>
        <v>58</v>
      </c>
      <c r="E33" s="229">
        <f t="shared" si="2"/>
        <v>0.1174089069</v>
      </c>
      <c r="F33" s="226">
        <f>IFERROR(AVERAGEIFS('Input Data'!K:K, 'Input Data'!E:E, "lainnya", 'Input Data'!G:G, "Closing"), 0)</f>
        <v>5883913.725</v>
      </c>
      <c r="G33" s="226">
        <f>SUMIFS('Input Data'!K:K, 'Input Data'!E:E, "Lainnya", 'Input Data'!G:G, "Closing")</f>
        <v>300079600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3.88"/>
    <col customWidth="1" min="2" max="2" width="15.75"/>
    <col customWidth="1" min="3" max="3" width="10.75"/>
    <col customWidth="1" min="4" max="5" width="3.88"/>
    <col customWidth="1" min="6" max="7" width="9.5"/>
    <col customWidth="1" min="8" max="8" width="25.63"/>
    <col customWidth="1" min="9" max="9" width="15.75"/>
    <col customWidth="1" min="10" max="10" width="10.38"/>
    <col customWidth="1" min="11" max="11" width="20.63"/>
    <col customWidth="1" min="12" max="12" width="17.5"/>
    <col customWidth="1" min="13" max="13" width="5.63"/>
    <col customWidth="1" min="14" max="14" width="14.63"/>
    <col customWidth="1" min="15" max="15" width="35.63"/>
    <col customWidth="1" min="16" max="16" width="9.38"/>
    <col customWidth="1" min="17" max="19" width="9.5"/>
    <col customWidth="1" min="20" max="20" width="25.63"/>
    <col customWidth="1" min="21" max="21" width="15.75"/>
    <col customWidth="1" min="22" max="22" width="10.38"/>
    <col customWidth="1" min="23" max="24" width="17.5"/>
    <col customWidth="1" min="25" max="25" width="5.63"/>
    <col customWidth="1" min="26" max="26" width="14.63"/>
    <col customWidth="1" min="27" max="27" width="35.63"/>
    <col customWidth="1" min="28" max="28" width="7.25"/>
    <col customWidth="1" min="29" max="30" width="9.5"/>
    <col customWidth="1" min="31" max="31" width="25.63"/>
    <col customWidth="1" min="32" max="32" width="15.75"/>
    <col customWidth="1" min="33" max="33" width="10.38"/>
    <col customWidth="1" min="34" max="35" width="17.5"/>
    <col customWidth="1" min="36" max="36" width="5.63"/>
    <col customWidth="1" min="37" max="37" width="14.63"/>
    <col customWidth="1" min="38" max="38" width="35.63"/>
    <col customWidth="1" min="39" max="39" width="7.25"/>
  </cols>
  <sheetData>
    <row r="1">
      <c r="P1" s="271"/>
      <c r="Q1" s="200"/>
      <c r="R1" s="200"/>
      <c r="AC1" s="200"/>
    </row>
    <row r="2">
      <c r="A2" s="272"/>
      <c r="B2" s="273" t="s">
        <v>6</v>
      </c>
      <c r="C2" s="274" t="s">
        <v>10220</v>
      </c>
      <c r="D2" s="272"/>
      <c r="E2" s="272"/>
      <c r="F2" s="275" t="str">
        <f>IFERROR(__xludf.DUMMYFUNCTION("QUERY(
 'Input Data'!A:N,
 ""select A,B,C,D,G,H,I,J,K,L,N
  where F = 'Alvin'
    and M &lt;= 6
  order by M asc"",
 1
)
"),"KODE")</f>
        <v>KODE</v>
      </c>
      <c r="G2" s="275" t="str">
        <f>IFERROR(__xludf.DUMMYFUNCTION("""COMPUTED_VALUE"""),"TANGGAL")</f>
        <v>TANGGAL</v>
      </c>
      <c r="H2" s="275" t="str">
        <f>IFERROR(__xludf.DUMMYFUNCTION("""COMPUTED_VALUE"""),"NAMA")</f>
        <v>NAMA</v>
      </c>
      <c r="I2" s="275" t="str">
        <f>IFERROR(__xludf.DUMMYFUNCTION("""COMPUTED_VALUE"""),"WHATSAPP")</f>
        <v>WHATSAPP</v>
      </c>
      <c r="J2" s="275" t="str">
        <f>IFERROR(__xludf.DUMMYFUNCTION("""COMPUTED_VALUE"""),"STATUS")</f>
        <v>STATUS</v>
      </c>
      <c r="K2" s="275" t="str">
        <f>IFERROR(__xludf.DUMMYFUNCTION("""COMPUTED_VALUE"""),"PAKET / DESTINASI")</f>
        <v>PAKET / DESTINASI</v>
      </c>
      <c r="L2" s="275" t="str">
        <f>IFERROR(__xludf.DUMMYFUNCTION("""COMPUTED_VALUE"""),"TANGGAL TRIP")</f>
        <v>TANGGAL TRIP</v>
      </c>
      <c r="M2" s="275" t="str">
        <f>IFERROR(__xludf.DUMMYFUNCTION("""COMPUTED_VALUE"""),"PAX")</f>
        <v>PAX</v>
      </c>
      <c r="N2" s="275" t="str">
        <f>IFERROR(__xludf.DUMMYFUNCTION("""COMPUTED_VALUE"""),"ESTIMASI NILAI ORDER")</f>
        <v>ESTIMASI NILAI ORDER</v>
      </c>
      <c r="O2" s="275" t="str">
        <f>IFERROR(__xludf.DUMMYFUNCTION("""COMPUTED_VALUE"""),"KETERANGAN")</f>
        <v>KETERANGAN</v>
      </c>
      <c r="P2" s="329" t="str">
        <f>IFERROR(__xludf.DUMMYFUNCTION("""COMPUTED_VALUE"""),"ANALISA AI")</f>
        <v>ANALISA AI</v>
      </c>
      <c r="Q2" s="330"/>
      <c r="R2" s="331" t="str">
        <f>IFERROR(__xludf.DUMMYFUNCTION("QUERY(
 'Input Data'!A:M,
 ""select A,B,C,D,G,H,I,J,K,L
  where F = 'Alvin'
    and M =7
  order by M asc"",
 1
)
"),"KODE")</f>
        <v>KODE</v>
      </c>
      <c r="S2" s="331" t="str">
        <f>IFERROR(__xludf.DUMMYFUNCTION("""COMPUTED_VALUE"""),"TANGGAL")</f>
        <v>TANGGAL</v>
      </c>
      <c r="T2" s="331" t="str">
        <f>IFERROR(__xludf.DUMMYFUNCTION("""COMPUTED_VALUE"""),"NAMA")</f>
        <v>NAMA</v>
      </c>
      <c r="U2" s="331" t="str">
        <f>IFERROR(__xludf.DUMMYFUNCTION("""COMPUTED_VALUE"""),"WHATSAPP")</f>
        <v>WHATSAPP</v>
      </c>
      <c r="V2" s="331" t="str">
        <f>IFERROR(__xludf.DUMMYFUNCTION("""COMPUTED_VALUE"""),"STATUS")</f>
        <v>STATUS</v>
      </c>
      <c r="W2" s="331" t="str">
        <f>IFERROR(__xludf.DUMMYFUNCTION("""COMPUTED_VALUE"""),"PAKET / DESTINASI")</f>
        <v>PAKET / DESTINASI</v>
      </c>
      <c r="X2" s="331" t="str">
        <f>IFERROR(__xludf.DUMMYFUNCTION("""COMPUTED_VALUE"""),"TANGGAL TRIP")</f>
        <v>TANGGAL TRIP</v>
      </c>
      <c r="Y2" s="331" t="str">
        <f>IFERROR(__xludf.DUMMYFUNCTION("""COMPUTED_VALUE"""),"PAX")</f>
        <v>PAX</v>
      </c>
      <c r="Z2" s="331" t="str">
        <f>IFERROR(__xludf.DUMMYFUNCTION("""COMPUTED_VALUE"""),"ESTIMASI NILAI ORDER")</f>
        <v>ESTIMASI NILAI ORDER</v>
      </c>
      <c r="AA2" s="331" t="str">
        <f>IFERROR(__xludf.DUMMYFUNCTION("""COMPUTED_VALUE"""),"KETERANGAN")</f>
        <v>KETERANGAN</v>
      </c>
      <c r="AB2" s="272"/>
      <c r="AC2" s="282" t="str">
        <f>IFERROR(__xludf.DUMMYFUNCTION("QUERY(
 'Input Data'!A:M,
 ""select A,B,C,D,G,H,I,J,K,L
  where F = 'Alvin'
    and M= 8
  order by M asc"",
 1
)
"),"KODE")</f>
        <v>KODE</v>
      </c>
      <c r="AD2" s="282" t="str">
        <f>IFERROR(__xludf.DUMMYFUNCTION("""COMPUTED_VALUE"""),"TANGGAL")</f>
        <v>TANGGAL</v>
      </c>
      <c r="AE2" s="282" t="str">
        <f>IFERROR(__xludf.DUMMYFUNCTION("""COMPUTED_VALUE"""),"NAMA")</f>
        <v>NAMA</v>
      </c>
      <c r="AF2" s="282" t="str">
        <f>IFERROR(__xludf.DUMMYFUNCTION("""COMPUTED_VALUE"""),"WHATSAPP")</f>
        <v>WHATSAPP</v>
      </c>
      <c r="AG2" s="282" t="str">
        <f>IFERROR(__xludf.DUMMYFUNCTION("""COMPUTED_VALUE"""),"STATUS")</f>
        <v>STATUS</v>
      </c>
      <c r="AH2" s="282" t="str">
        <f>IFERROR(__xludf.DUMMYFUNCTION("""COMPUTED_VALUE"""),"PAKET / DESTINASI")</f>
        <v>PAKET / DESTINASI</v>
      </c>
      <c r="AI2" s="282" t="str">
        <f>IFERROR(__xludf.DUMMYFUNCTION("""COMPUTED_VALUE"""),"TANGGAL TRIP")</f>
        <v>TANGGAL TRIP</v>
      </c>
      <c r="AJ2" s="282" t="str">
        <f>IFERROR(__xludf.DUMMYFUNCTION("""COMPUTED_VALUE"""),"PAX")</f>
        <v>PAX</v>
      </c>
      <c r="AK2" s="282" t="str">
        <f>IFERROR(__xludf.DUMMYFUNCTION("""COMPUTED_VALUE"""),"ESTIMASI NILAI ORDER")</f>
        <v>ESTIMASI NILAI ORDER</v>
      </c>
      <c r="AL2" s="282" t="str">
        <f>IFERROR(__xludf.DUMMYFUNCTION("""COMPUTED_VALUE"""),"KETERANGAN")</f>
        <v>KETERANGAN</v>
      </c>
      <c r="AM2" s="272"/>
    </row>
    <row r="3">
      <c r="B3" s="283" t="s">
        <v>10201</v>
      </c>
      <c r="C3" s="284">
        <f>COUNTIF(J3:J1499,"Leads Baru")
</f>
        <v>104</v>
      </c>
      <c r="F3" s="285" t="str">
        <f>IFERROR(__xludf.DUMMYFUNCTION("""COMPUTED_VALUE"""),"2605A076")</f>
        <v>2605A076</v>
      </c>
      <c r="G3" s="286">
        <f>IFERROR(__xludf.DUMMYFUNCTION("""COMPUTED_VALUE"""),46157.0)</f>
        <v>46157</v>
      </c>
      <c r="H3" s="285" t="str">
        <f>IFERROR(__xludf.DUMMYFUNCTION("""COMPUTED_VALUE"""),"PAWON MAMI / Diajeng TAri")</f>
        <v>PAWON MAMI / Diajeng TAri</v>
      </c>
      <c r="I3" s="285" t="str">
        <f>IFERROR(__xludf.DUMMYFUNCTION("""COMPUTED_VALUE"""),"081904031152")</f>
        <v>081904031152</v>
      </c>
      <c r="J3" s="285" t="str">
        <f>IFERROR(__xludf.DUMMYFUNCTION("""COMPUTED_VALUE"""),"Leads Baru")</f>
        <v>Leads Baru</v>
      </c>
      <c r="K3" s="285" t="str">
        <f>IFERROR(__xludf.DUMMYFUNCTION("""COMPUTED_VALUE"""),"3h2m")</f>
        <v>3h2m</v>
      </c>
      <c r="L3" s="287"/>
      <c r="M3" s="285">
        <f>IFERROR(__xludf.DUMMYFUNCTION("""COMPUTED_VALUE"""),2.0)</f>
        <v>2</v>
      </c>
      <c r="N3" s="289"/>
      <c r="O3" s="285" t="str">
        <f>IFERROR(__xludf.DUMMYFUNCTION("""COMPUTED_VALUE"""),"fu 15 november")</f>
        <v>fu 15 november</v>
      </c>
      <c r="P3" s="320"/>
      <c r="R3" s="332" t="str">
        <f>IFERROR(__xludf.DUMMYFUNCTION("""COMPUTED_VALUE"""),"2601A001")</f>
        <v>2601A001</v>
      </c>
      <c r="S3" s="333">
        <f>IFERROR(__xludf.DUMMYFUNCTION("""COMPUTED_VALUE"""),46023.0)</f>
        <v>46023</v>
      </c>
      <c r="T3" s="332" t="str">
        <f>IFERROR(__xludf.DUMMYFUNCTION("""COMPUTED_VALUE"""),"Cynthia")</f>
        <v>Cynthia</v>
      </c>
      <c r="U3" s="332" t="str">
        <f>IFERROR(__xludf.DUMMYFUNCTION("""COMPUTED_VALUE"""),"081249880600")</f>
        <v>081249880600</v>
      </c>
      <c r="V3" s="332" t="str">
        <f>IFERROR(__xludf.DUMMYFUNCTION("""COMPUTED_VALUE"""),"Closing")</f>
        <v>Closing</v>
      </c>
      <c r="W3" s="332" t="str">
        <f>IFERROR(__xludf.DUMMYFUNCTION("""COMPUTED_VALUE"""),"Menjangan Tabuhan")</f>
        <v>Menjangan Tabuhan</v>
      </c>
      <c r="X3" s="334">
        <f>IFERROR(__xludf.DUMMYFUNCTION("""COMPUTED_VALUE"""),46025.0)</f>
        <v>46025</v>
      </c>
      <c r="Y3" s="332"/>
      <c r="Z3" s="335">
        <f>IFERROR(__xludf.DUMMYFUNCTION("""COMPUTED_VALUE"""),7905000.0)</f>
        <v>7905000</v>
      </c>
      <c r="AA3" s="332" t="str">
        <f>IFERROR(__xludf.DUMMYFUNCTION("""COMPUTED_VALUE"""),"tambah foto video")</f>
        <v>tambah foto video</v>
      </c>
      <c r="AC3" s="285" t="str">
        <f>IFERROR(__xludf.DUMMYFUNCTION("""COMPUTED_VALUE"""),"2601A002")</f>
        <v>2601A002</v>
      </c>
      <c r="AD3" s="286">
        <f>IFERROR(__xludf.DUMMYFUNCTION("""COMPUTED_VALUE"""),46023.0)</f>
        <v>46023</v>
      </c>
      <c r="AE3" s="285" t="str">
        <f>IFERROR(__xludf.DUMMYFUNCTION("""COMPUTED_VALUE"""),"Dewitri")</f>
        <v>Dewitri</v>
      </c>
      <c r="AF3" s="285" t="str">
        <f>IFERROR(__xludf.DUMMYFUNCTION("""COMPUTED_VALUE"""),"085776495791")</f>
        <v>085776495791</v>
      </c>
      <c r="AG3" s="285" t="str">
        <f>IFERROR(__xludf.DUMMYFUNCTION("""COMPUTED_VALUE"""),"Gagal")</f>
        <v>Gagal</v>
      </c>
      <c r="AH3" s="285" t="str">
        <f>IFERROR(__xludf.DUMMYFUNCTION("""COMPUTED_VALUE"""),"Kawah ijen")</f>
        <v>Kawah ijen</v>
      </c>
      <c r="AI3" s="287">
        <f>IFERROR(__xludf.DUMMYFUNCTION("""COMPUTED_VALUE"""),46023.0)</f>
        <v>46023</v>
      </c>
      <c r="AJ3" s="285">
        <f>IFERROR(__xludf.DUMMYFUNCTION("""COMPUTED_VALUE"""),3.0)</f>
        <v>3</v>
      </c>
      <c r="AK3" s="289"/>
      <c r="AL3" s="285"/>
    </row>
    <row r="4">
      <c r="B4" s="292" t="s">
        <v>34</v>
      </c>
      <c r="C4" s="293">
        <f>COUNTIF(J3:J1499,"Qualified")
</f>
        <v>87</v>
      </c>
      <c r="F4" s="285" t="str">
        <f>IFERROR(__xludf.DUMMYFUNCTION("""COMPUTED_VALUE"""),"2606A032")</f>
        <v>2606A032</v>
      </c>
      <c r="G4" s="286">
        <f>IFERROR(__xludf.DUMMYFUNCTION("""COMPUTED_VALUE"""),46179.0)</f>
        <v>46179</v>
      </c>
      <c r="H4" s="285" t="str">
        <f>IFERROR(__xludf.DUMMYFUNCTION("""COMPUTED_VALUE"""),"Nonny")</f>
        <v>Nonny</v>
      </c>
      <c r="I4" s="285" t="str">
        <f>IFERROR(__xludf.DUMMYFUNCTION("""COMPUTED_VALUE"""),"082150000898")</f>
        <v>082150000898</v>
      </c>
      <c r="J4" s="285" t="str">
        <f>IFERROR(__xludf.DUMMYFUNCTION("""COMPUTED_VALUE"""),"Leads Baru")</f>
        <v>Leads Baru</v>
      </c>
      <c r="K4" s="285"/>
      <c r="L4" s="287"/>
      <c r="M4" s="285">
        <f>IFERROR(__xludf.DUMMYFUNCTION("""COMPUTED_VALUE"""),2.0)</f>
        <v>2</v>
      </c>
      <c r="N4" s="289"/>
      <c r="O4" s="285"/>
      <c r="P4" s="320"/>
      <c r="R4" s="332" t="str">
        <f>IFERROR(__xludf.DUMMYFUNCTION("""COMPUTED_VALUE"""),"2601A013")</f>
        <v>2601A013</v>
      </c>
      <c r="S4" s="333">
        <f>IFERROR(__xludf.DUMMYFUNCTION("""COMPUTED_VALUE"""),46032.0)</f>
        <v>46032</v>
      </c>
      <c r="T4" s="332" t="str">
        <f>IFERROR(__xludf.DUMMYFUNCTION("""COMPUTED_VALUE"""),"Deni Sultan")</f>
        <v>Deni Sultan</v>
      </c>
      <c r="U4" s="332" t="str">
        <f>IFERROR(__xludf.DUMMYFUNCTION("""COMPUTED_VALUE"""),"081912435459‬")</f>
        <v>081912435459‬</v>
      </c>
      <c r="V4" s="332" t="str">
        <f>IFERROR(__xludf.DUMMYFUNCTION("""COMPUTED_VALUE"""),"Closing")</f>
        <v>Closing</v>
      </c>
      <c r="W4" s="332" t="str">
        <f>IFERROR(__xludf.DUMMYFUNCTION("""COMPUTED_VALUE"""),"MT")</f>
        <v>MT</v>
      </c>
      <c r="X4" s="334">
        <f>IFERROR(__xludf.DUMMYFUNCTION("""COMPUTED_VALUE"""),46046.0)</f>
        <v>46046</v>
      </c>
      <c r="Y4" s="332">
        <f>IFERROR(__xludf.DUMMYFUNCTION("""COMPUTED_VALUE"""),2.0)</f>
        <v>2</v>
      </c>
      <c r="Z4" s="335">
        <f>IFERROR(__xludf.DUMMYFUNCTION("""COMPUTED_VALUE"""),590000.0)</f>
        <v>590000</v>
      </c>
      <c r="AA4" s="332" t="str">
        <f>IFERROR(__xludf.DUMMYFUNCTION("""COMPUTED_VALUE"""),"order")</f>
        <v>order</v>
      </c>
      <c r="AC4" s="285" t="str">
        <f>IFERROR(__xludf.DUMMYFUNCTION("""COMPUTED_VALUE"""),"2601A003")</f>
        <v>2601A003</v>
      </c>
      <c r="AD4" s="286">
        <f>IFERROR(__xludf.DUMMYFUNCTION("""COMPUTED_VALUE"""),46024.0)</f>
        <v>46024</v>
      </c>
      <c r="AE4" s="285" t="str">
        <f>IFERROR(__xludf.DUMMYFUNCTION("""COMPUTED_VALUE"""),"Ulil albab")</f>
        <v>Ulil albab</v>
      </c>
      <c r="AF4" s="285" t="str">
        <f>IFERROR(__xludf.DUMMYFUNCTION("""COMPUTED_VALUE"""),"08561542812")</f>
        <v>08561542812</v>
      </c>
      <c r="AG4" s="285" t="str">
        <f>IFERROR(__xludf.DUMMYFUNCTION("""COMPUTED_VALUE"""),"Gagal")</f>
        <v>Gagal</v>
      </c>
      <c r="AH4" s="285" t="str">
        <f>IFERROR(__xludf.DUMMYFUNCTION("""COMPUTED_VALUE"""),"Trip MT")</f>
        <v>Trip MT</v>
      </c>
      <c r="AI4" s="287">
        <f>IFERROR(__xludf.DUMMYFUNCTION("""COMPUTED_VALUE"""),46024.0)</f>
        <v>46024</v>
      </c>
      <c r="AJ4" s="285">
        <f>IFERROR(__xludf.DUMMYFUNCTION("""COMPUTED_VALUE"""),4.0)</f>
        <v>4</v>
      </c>
      <c r="AK4" s="289"/>
      <c r="AL4" s="285" t="str">
        <f>IFERROR(__xludf.DUMMYFUNCTION("""COMPUTED_VALUE"""),"Over budget")</f>
        <v>Over budget</v>
      </c>
    </row>
    <row r="5">
      <c r="B5" s="294" t="s">
        <v>43</v>
      </c>
      <c r="C5" s="295">
        <f>COUNTIF(J3:J1499,"Prospek")
</f>
        <v>9</v>
      </c>
      <c r="F5" s="285" t="str">
        <f>IFERROR(__xludf.DUMMYFUNCTION("""COMPUTED_VALUE"""),"2606A065")</f>
        <v>2606A065</v>
      </c>
      <c r="G5" s="286">
        <f>IFERROR(__xludf.DUMMYFUNCTION("""COMPUTED_VALUE"""),46185.0)</f>
        <v>46185</v>
      </c>
      <c r="H5" s="285" t="str">
        <f>IFERROR(__xludf.DUMMYFUNCTION("""COMPUTED_VALUE"""),"Sinta Rossita")</f>
        <v>Sinta Rossita</v>
      </c>
      <c r="I5" s="285" t="str">
        <f>IFERROR(__xludf.DUMMYFUNCTION("""COMPUTED_VALUE"""),"081399313391")</f>
        <v>081399313391</v>
      </c>
      <c r="J5" s="285" t="str">
        <f>IFERROR(__xludf.DUMMYFUNCTION("""COMPUTED_VALUE"""),"Leads Baru")</f>
        <v>Leads Baru</v>
      </c>
      <c r="K5" s="285"/>
      <c r="L5" s="287"/>
      <c r="M5" s="285"/>
      <c r="N5" s="289"/>
      <c r="O5" s="285" t="str">
        <f>IFERROR(__xludf.DUMMYFUNCTION("""COMPUTED_VALUE"""),"fu 26 juli")</f>
        <v>fu 26 juli</v>
      </c>
      <c r="P5" s="320"/>
      <c r="R5" s="332" t="str">
        <f>IFERROR(__xludf.DUMMYFUNCTION("""COMPUTED_VALUE"""),"2601A016")</f>
        <v>2601A016</v>
      </c>
      <c r="S5" s="333">
        <f>IFERROR(__xludf.DUMMYFUNCTION("""COMPUTED_VALUE"""),46033.0)</f>
        <v>46033</v>
      </c>
      <c r="T5" s="332" t="str">
        <f>IFERROR(__xludf.DUMMYFUNCTION("""COMPUTED_VALUE"""),"Edwin")</f>
        <v>Edwin</v>
      </c>
      <c r="U5" s="332" t="str">
        <f>IFERROR(__xludf.DUMMYFUNCTION("""COMPUTED_VALUE"""),"085659981058")</f>
        <v>085659981058</v>
      </c>
      <c r="V5" s="332" t="str">
        <f>IFERROR(__xludf.DUMMYFUNCTION("""COMPUTED_VALUE"""),"Closing")</f>
        <v>Closing</v>
      </c>
      <c r="W5" s="332" t="str">
        <f>IFERROR(__xludf.DUMMYFUNCTION("""COMPUTED_VALUE"""),"Private trip 3H2M")</f>
        <v>Private trip 3H2M</v>
      </c>
      <c r="X5" s="334"/>
      <c r="Y5" s="332">
        <f>IFERROR(__xludf.DUMMYFUNCTION("""COMPUTED_VALUE"""),2.0)</f>
        <v>2</v>
      </c>
      <c r="Z5" s="335">
        <f>IFERROR(__xludf.DUMMYFUNCTION("""COMPUTED_VALUE"""),6794000.0)</f>
        <v>6794000</v>
      </c>
      <c r="AA5" s="332" t="str">
        <f>IFERROR(__xludf.DUMMYFUNCTION("""COMPUTED_VALUE"""),"order")</f>
        <v>order</v>
      </c>
      <c r="AC5" s="285" t="str">
        <f>IFERROR(__xludf.DUMMYFUNCTION("""COMPUTED_VALUE"""),"2601A004")</f>
        <v>2601A004</v>
      </c>
      <c r="AD5" s="286">
        <f>IFERROR(__xludf.DUMMYFUNCTION("""COMPUTED_VALUE"""),46024.0)</f>
        <v>46024</v>
      </c>
      <c r="AE5" s="285" t="str">
        <f>IFERROR(__xludf.DUMMYFUNCTION("""COMPUTED_VALUE"""),"Anto")</f>
        <v>Anto</v>
      </c>
      <c r="AF5" s="285" t="str">
        <f>IFERROR(__xludf.DUMMYFUNCTION("""COMPUTED_VALUE"""),"0818950503")</f>
        <v>0818950503</v>
      </c>
      <c r="AG5" s="285" t="str">
        <f>IFERROR(__xludf.DUMMYFUNCTION("""COMPUTED_VALUE"""),"Gagal")</f>
        <v>Gagal</v>
      </c>
      <c r="AH5" s="285"/>
      <c r="AI5" s="287"/>
      <c r="AJ5" s="285"/>
      <c r="AK5" s="289"/>
      <c r="AL5" s="285" t="str">
        <f>IFERROR(__xludf.DUMMYFUNCTION("""COMPUTED_VALUE"""),"jadinya ke malang")</f>
        <v>jadinya ke malang</v>
      </c>
    </row>
    <row r="6">
      <c r="B6" s="296" t="s">
        <v>49</v>
      </c>
      <c r="C6" s="297">
        <f>COUNTIF(J3:J1499,"Follow Up")
</f>
        <v>4</v>
      </c>
      <c r="F6" s="285" t="str">
        <f>IFERROR(__xludf.DUMMYFUNCTION("""COMPUTED_VALUE"""),"2606A072")</f>
        <v>2606A072</v>
      </c>
      <c r="G6" s="286">
        <f>IFERROR(__xludf.DUMMYFUNCTION("""COMPUTED_VALUE"""),46185.0)</f>
        <v>46185</v>
      </c>
      <c r="H6" s="285" t="str">
        <f>IFERROR(__xludf.DUMMYFUNCTION("""COMPUTED_VALUE"""),"Debby")</f>
        <v>Debby</v>
      </c>
      <c r="I6" s="285" t="str">
        <f>IFERROR(__xludf.DUMMYFUNCTION("""COMPUTED_VALUE"""),"08979381708")</f>
        <v>08979381708</v>
      </c>
      <c r="J6" s="285" t="str">
        <f>IFERROR(__xludf.DUMMYFUNCTION("""COMPUTED_VALUE"""),"Leads Baru")</f>
        <v>Leads Baru</v>
      </c>
      <c r="K6" s="285" t="str">
        <f>IFERROR(__xludf.DUMMYFUNCTION("""COMPUTED_VALUE"""),"3h2m")</f>
        <v>3h2m</v>
      </c>
      <c r="L6" s="287"/>
      <c r="M6" s="285">
        <f>IFERROR(__xludf.DUMMYFUNCTION("""COMPUTED_VALUE"""),3.0)</f>
        <v>3</v>
      </c>
      <c r="N6" s="289"/>
      <c r="O6" s="285" t="str">
        <f>IFERROR(__xludf.DUMMYFUNCTION("""COMPUTED_VALUE"""),"fu 28 september")</f>
        <v>fu 28 september</v>
      </c>
      <c r="P6" s="320"/>
      <c r="R6" s="332" t="str">
        <f>IFERROR(__xludf.DUMMYFUNCTION("""COMPUTED_VALUE"""),"2601A024")</f>
        <v>2601A024</v>
      </c>
      <c r="S6" s="333">
        <f>IFERROR(__xludf.DUMMYFUNCTION("""COMPUTED_VALUE"""),46041.0)</f>
        <v>46041</v>
      </c>
      <c r="T6" s="332" t="str">
        <f>IFERROR(__xludf.DUMMYFUNCTION("""COMPUTED_VALUE"""),"Adi Suseno")</f>
        <v>Adi Suseno</v>
      </c>
      <c r="U6" s="332" t="str">
        <f>IFERROR(__xludf.DUMMYFUNCTION("""COMPUTED_VALUE"""),"081293287733")</f>
        <v>081293287733</v>
      </c>
      <c r="V6" s="332" t="str">
        <f>IFERROR(__xludf.DUMMYFUNCTION("""COMPUTED_VALUE"""),"Closing")</f>
        <v>Closing</v>
      </c>
      <c r="W6" s="332" t="str">
        <f>IFERROR(__xludf.DUMMYFUNCTION("""COMPUTED_VALUE"""),"Trip ijen baluran dll")</f>
        <v>Trip ijen baluran dll</v>
      </c>
      <c r="X6" s="334">
        <f>IFERROR(__xludf.DUMMYFUNCTION("""COMPUTED_VALUE"""),46042.0)</f>
        <v>46042</v>
      </c>
      <c r="Y6" s="332"/>
      <c r="Z6" s="335">
        <f>IFERROR(__xludf.DUMMYFUNCTION("""COMPUTED_VALUE"""),3820000.0)</f>
        <v>3820000</v>
      </c>
      <c r="AA6" s="332" t="str">
        <f>IFERROR(__xludf.DUMMYFUNCTION("""COMPUTED_VALUE"""),"order")</f>
        <v>order</v>
      </c>
      <c r="AC6" s="285" t="str">
        <f>IFERROR(__xludf.DUMMYFUNCTION("""COMPUTED_VALUE"""),"2601A005")</f>
        <v>2601A005</v>
      </c>
      <c r="AD6" s="286">
        <f>IFERROR(__xludf.DUMMYFUNCTION("""COMPUTED_VALUE"""),46026.0)</f>
        <v>46026</v>
      </c>
      <c r="AE6" s="285" t="str">
        <f>IFERROR(__xludf.DUMMYFUNCTION("""COMPUTED_VALUE"""),"Tjen bie")</f>
        <v>Tjen bie</v>
      </c>
      <c r="AF6" s="285" t="str">
        <f>IFERROR(__xludf.DUMMYFUNCTION("""COMPUTED_VALUE"""),"081330627337")</f>
        <v>081330627337</v>
      </c>
      <c r="AG6" s="285" t="str">
        <f>IFERROR(__xludf.DUMMYFUNCTION("""COMPUTED_VALUE"""),"Gagal")</f>
        <v>Gagal</v>
      </c>
      <c r="AH6" s="285" t="str">
        <f>IFERROR(__xludf.DUMMYFUNCTION("""COMPUTED_VALUE"""),"3H2M Z")</f>
        <v>3H2M Z</v>
      </c>
      <c r="AI6" s="287">
        <f>IFERROR(__xludf.DUMMYFUNCTION("""COMPUTED_VALUE"""),46027.0)</f>
        <v>46027</v>
      </c>
      <c r="AJ6" s="285">
        <f>IFERROR(__xludf.DUMMYFUNCTION("""COMPUTED_VALUE"""),2.0)</f>
        <v>2</v>
      </c>
      <c r="AK6" s="289"/>
      <c r="AL6" s="285" t="str">
        <f>IFERROR(__xludf.DUMMYFUNCTION("""COMPUTED_VALUE"""),"Jadi ke lovina")</f>
        <v>Jadi ke lovina</v>
      </c>
    </row>
    <row r="7">
      <c r="B7" s="298" t="s">
        <v>57</v>
      </c>
      <c r="C7" s="299">
        <f>COUNTIF(J3:J1499,"Warm Leads")
</f>
        <v>2</v>
      </c>
      <c r="F7" s="285" t="str">
        <f>IFERROR(__xludf.DUMMYFUNCTION("""COMPUTED_VALUE"""),"2606A144")</f>
        <v>2606A144</v>
      </c>
      <c r="G7" s="286">
        <f>IFERROR(__xludf.DUMMYFUNCTION("""COMPUTED_VALUE"""),46197.0)</f>
        <v>46197</v>
      </c>
      <c r="H7" s="285" t="str">
        <f>IFERROR(__xludf.DUMMYFUNCTION("""COMPUTED_VALUE"""),"Indri Wilson")</f>
        <v>Indri Wilson</v>
      </c>
      <c r="I7" s="285" t="str">
        <f>IFERROR(__xludf.DUMMYFUNCTION("""COMPUTED_VALUE"""),"085200007722")</f>
        <v>085200007722</v>
      </c>
      <c r="J7" s="285" t="str">
        <f>IFERROR(__xludf.DUMMYFUNCTION("""COMPUTED_VALUE"""),"Leads Baru")</f>
        <v>Leads Baru</v>
      </c>
      <c r="K7" s="285"/>
      <c r="L7" s="287"/>
      <c r="M7" s="285"/>
      <c r="N7" s="289"/>
      <c r="O7" s="285"/>
      <c r="P7" s="320"/>
      <c r="R7" s="332" t="str">
        <f>IFERROR(__xludf.DUMMYFUNCTION("""COMPUTED_VALUE"""),"2601A030")</f>
        <v>2601A030</v>
      </c>
      <c r="S7" s="333">
        <f>IFERROR(__xludf.DUMMYFUNCTION("""COMPUTED_VALUE"""),46042.0)</f>
        <v>46042</v>
      </c>
      <c r="T7" s="332" t="str">
        <f>IFERROR(__xludf.DUMMYFUNCTION("""COMPUTED_VALUE"""),"Dwi Isti")</f>
        <v>Dwi Isti</v>
      </c>
      <c r="U7" s="332" t="str">
        <f>IFERROR(__xludf.DUMMYFUNCTION("""COMPUTED_VALUE"""),"089671917797")</f>
        <v>089671917797</v>
      </c>
      <c r="V7" s="332" t="str">
        <f>IFERROR(__xludf.DUMMYFUNCTION("""COMPUTED_VALUE"""),"Closing")</f>
        <v>Closing</v>
      </c>
      <c r="W7" s="332" t="str">
        <f>IFERROR(__xludf.DUMMYFUNCTION("""COMPUTED_VALUE"""),"3H2M B")</f>
        <v>3H2M B</v>
      </c>
      <c r="X7" s="334"/>
      <c r="Y7" s="332"/>
      <c r="Z7" s="335">
        <f>IFERROR(__xludf.DUMMYFUNCTION("""COMPUTED_VALUE"""),8603000.0)</f>
        <v>8603000</v>
      </c>
      <c r="AA7" s="332" t="str">
        <f>IFERROR(__xludf.DUMMYFUNCTION("""COMPUTED_VALUE"""),"ALHAMDULILAH ORDER")</f>
        <v>ALHAMDULILAH ORDER</v>
      </c>
      <c r="AC7" s="285" t="str">
        <f>IFERROR(__xludf.DUMMYFUNCTION("""COMPUTED_VALUE"""),"2601A006")</f>
        <v>2601A006</v>
      </c>
      <c r="AD7" s="286">
        <f>IFERROR(__xludf.DUMMYFUNCTION("""COMPUTED_VALUE"""),46027.0)</f>
        <v>46027</v>
      </c>
      <c r="AE7" s="285" t="str">
        <f>IFERROR(__xludf.DUMMYFUNCTION("""COMPUTED_VALUE"""),"Anindita purnamasari")</f>
        <v>Anindita purnamasari</v>
      </c>
      <c r="AF7" s="285" t="str">
        <f>IFERROR(__xludf.DUMMYFUNCTION("""COMPUTED_VALUE"""),"082233330301")</f>
        <v>082233330301</v>
      </c>
      <c r="AG7" s="285" t="str">
        <f>IFERROR(__xludf.DUMMYFUNCTION("""COMPUTED_VALUE"""),"Gagal")</f>
        <v>Gagal</v>
      </c>
      <c r="AH7" s="285" t="str">
        <f>IFERROR(__xludf.DUMMYFUNCTION("""COMPUTED_VALUE"""),"2H1M")</f>
        <v>2H1M</v>
      </c>
      <c r="AI7" s="287"/>
      <c r="AJ7" s="285">
        <f>IFERROR(__xludf.DUMMYFUNCTION("""COMPUTED_VALUE"""),2.0)</f>
        <v>2</v>
      </c>
      <c r="AK7" s="289"/>
      <c r="AL7" s="285" t="str">
        <f>IFERROR(__xludf.DUMMYFUNCTION("""COMPUTED_VALUE"""),"dikabari jika jadi ambil paketnya")</f>
        <v>dikabari jika jadi ambil paketnya</v>
      </c>
    </row>
    <row r="8">
      <c r="B8" s="302" t="s">
        <v>64</v>
      </c>
      <c r="C8" s="303">
        <f>COUNTIF(J3:J1499,"Hot Leads")
</f>
        <v>1</v>
      </c>
      <c r="F8" s="285" t="str">
        <f>IFERROR(__xludf.DUMMYFUNCTION("""COMPUTED_VALUE"""),"2606A145")</f>
        <v>2606A145</v>
      </c>
      <c r="G8" s="286">
        <f>IFERROR(__xludf.DUMMYFUNCTION("""COMPUTED_VALUE"""),46197.0)</f>
        <v>46197</v>
      </c>
      <c r="H8" s="285" t="str">
        <f>IFERROR(__xludf.DUMMYFUNCTION("""COMPUTED_VALUE"""),"Suryo Hardiono")</f>
        <v>Suryo Hardiono</v>
      </c>
      <c r="I8" s="285" t="str">
        <f>IFERROR(__xludf.DUMMYFUNCTION("""COMPUTED_VALUE"""),"0818210453")</f>
        <v>0818210453</v>
      </c>
      <c r="J8" s="285" t="str">
        <f>IFERROR(__xludf.DUMMYFUNCTION("""COMPUTED_VALUE"""),"Leads Baru")</f>
        <v>Leads Baru</v>
      </c>
      <c r="K8" s="285" t="str">
        <f>IFERROR(__xludf.DUMMYFUNCTION("""COMPUTED_VALUE"""),"3h2m")</f>
        <v>3h2m</v>
      </c>
      <c r="L8" s="287">
        <f>IFERROR(__xludf.DUMMYFUNCTION("""COMPUTED_VALUE"""),46205.0)</f>
        <v>46205</v>
      </c>
      <c r="M8" s="285"/>
      <c r="N8" s="289"/>
      <c r="O8" s="285"/>
      <c r="P8" s="320"/>
      <c r="R8" s="332" t="str">
        <f>IFERROR(__xludf.DUMMYFUNCTION("""COMPUTED_VALUE"""),"2511A001")</f>
        <v>2511A001</v>
      </c>
      <c r="S8" s="333">
        <f>IFERROR(__xludf.DUMMYFUNCTION("""COMPUTED_VALUE"""),45969.0)</f>
        <v>45969</v>
      </c>
      <c r="T8" s="332" t="str">
        <f>IFERROR(__xludf.DUMMYFUNCTION("""COMPUTED_VALUE"""),"Andika")</f>
        <v>Andika</v>
      </c>
      <c r="U8" s="332" t="str">
        <f>IFERROR(__xludf.DUMMYFUNCTION("""COMPUTED_VALUE"""),"082226664141")</f>
        <v>082226664141</v>
      </c>
      <c r="V8" s="332" t="str">
        <f>IFERROR(__xludf.DUMMYFUNCTION("""COMPUTED_VALUE"""),"Closing")</f>
        <v>Closing</v>
      </c>
      <c r="W8" s="332" t="str">
        <f>IFERROR(__xludf.DUMMYFUNCTION("""COMPUTED_VALUE"""),"Private Trip 3H2M Opsi A")</f>
        <v>Private Trip 3H2M Opsi A</v>
      </c>
      <c r="X8" s="334"/>
      <c r="Y8" s="332">
        <f>IFERROR(__xludf.DUMMYFUNCTION("""COMPUTED_VALUE"""),6.0)</f>
        <v>6</v>
      </c>
      <c r="Z8" s="335">
        <f>IFERROR(__xludf.DUMMYFUNCTION("""COMPUTED_VALUE"""),1.3638E7)</f>
        <v>13638000</v>
      </c>
      <c r="AA8" s="332" t="str">
        <f>IFERROR(__xludf.DUMMYFUNCTION("""COMPUTED_VALUE"""),"order")</f>
        <v>order</v>
      </c>
      <c r="AC8" s="285" t="str">
        <f>IFERROR(__xludf.DUMMYFUNCTION("""COMPUTED_VALUE"""),"2601A007")</f>
        <v>2601A007</v>
      </c>
      <c r="AD8" s="286">
        <f>IFERROR(__xludf.DUMMYFUNCTION("""COMPUTED_VALUE"""),46027.0)</f>
        <v>46027</v>
      </c>
      <c r="AE8" s="285" t="str">
        <f>IFERROR(__xludf.DUMMYFUNCTION("""COMPUTED_VALUE"""),"Riska")</f>
        <v>Riska</v>
      </c>
      <c r="AF8" s="285" t="str">
        <f>IFERROR(__xludf.DUMMYFUNCTION("""COMPUTED_VALUE"""),"08994700800")</f>
        <v>08994700800</v>
      </c>
      <c r="AG8" s="285" t="str">
        <f>IFERROR(__xludf.DUMMYFUNCTION("""COMPUTED_VALUE"""),"Gagal")</f>
        <v>Gagal</v>
      </c>
      <c r="AH8" s="285" t="str">
        <f>IFERROR(__xludf.DUMMYFUNCTION("""COMPUTED_VALUE"""),"3H2M A")</f>
        <v>3H2M A</v>
      </c>
      <c r="AI8" s="287"/>
      <c r="AJ8" s="285">
        <f>IFERROR(__xludf.DUMMYFUNCTION("""COMPUTED_VALUE"""),10.0)</f>
        <v>10</v>
      </c>
      <c r="AK8" s="289"/>
      <c r="AL8" s="285" t="str">
        <f>IFERROR(__xludf.DUMMYFUNCTION("""COMPUTED_VALUE"""),"tanya tanya, masih blm jawab follow up")</f>
        <v>tanya tanya, masih blm jawab follow up</v>
      </c>
    </row>
    <row r="9">
      <c r="B9" s="304" t="s">
        <v>19</v>
      </c>
      <c r="C9" s="305">
        <f>COUNTA(R3:R1499)</f>
        <v>113</v>
      </c>
      <c r="F9" s="285" t="str">
        <f>IFERROR(__xludf.DUMMYFUNCTION("""COMPUTED_VALUE"""),"2606A146")</f>
        <v>2606A146</v>
      </c>
      <c r="G9" s="286">
        <f>IFERROR(__xludf.DUMMYFUNCTION("""COMPUTED_VALUE"""),46197.0)</f>
        <v>46197</v>
      </c>
      <c r="H9" s="285" t="str">
        <f>IFERROR(__xludf.DUMMYFUNCTION("""COMPUTED_VALUE"""),"Rius Bukit")</f>
        <v>Rius Bukit</v>
      </c>
      <c r="I9" s="285" t="str">
        <f>IFERROR(__xludf.DUMMYFUNCTION("""COMPUTED_VALUE"""),"081382395521")</f>
        <v>081382395521</v>
      </c>
      <c r="J9" s="285" t="str">
        <f>IFERROR(__xludf.DUMMYFUNCTION("""COMPUTED_VALUE"""),"Leads Baru")</f>
        <v>Leads Baru</v>
      </c>
      <c r="K9" s="285" t="str">
        <f>IFERROR(__xludf.DUMMYFUNCTION("""COMPUTED_VALUE"""),"3h2m")</f>
        <v>3h2m</v>
      </c>
      <c r="L9" s="287"/>
      <c r="M9" s="285">
        <f>IFERROR(__xludf.DUMMYFUNCTION("""COMPUTED_VALUE"""),1.0)</f>
        <v>1</v>
      </c>
      <c r="N9" s="289"/>
      <c r="O9" s="285"/>
      <c r="P9" s="320"/>
      <c r="R9" s="332" t="str">
        <f>IFERROR(__xludf.DUMMYFUNCTION("""COMPUTED_VALUE"""),"2512A002")</f>
        <v>2512A002</v>
      </c>
      <c r="S9" s="333">
        <f>IFERROR(__xludf.DUMMYFUNCTION("""COMPUTED_VALUE"""),46021.0)</f>
        <v>46021</v>
      </c>
      <c r="T9" s="332" t="str">
        <f>IFERROR(__xludf.DUMMYFUNCTION("""COMPUTED_VALUE"""),"Kiky Rizkiyah")</f>
        <v>Kiky Rizkiyah</v>
      </c>
      <c r="U9" s="332" t="str">
        <f>IFERROR(__xludf.DUMMYFUNCTION("""COMPUTED_VALUE"""),"08123045710")</f>
        <v>08123045710</v>
      </c>
      <c r="V9" s="332" t="str">
        <f>IFERROR(__xludf.DUMMYFUNCTION("""COMPUTED_VALUE"""),"Closing")</f>
        <v>Closing</v>
      </c>
      <c r="W9" s="332" t="str">
        <f>IFERROR(__xludf.DUMMYFUNCTION("""COMPUTED_VALUE"""),"Private Trip 2H1M Custom")</f>
        <v>Private Trip 2H1M Custom</v>
      </c>
      <c r="X9" s="334"/>
      <c r="Y9" s="332"/>
      <c r="Z9" s="335">
        <f>IFERROR(__xludf.DUMMYFUNCTION("""COMPUTED_VALUE"""),7000000.0)</f>
        <v>7000000</v>
      </c>
      <c r="AA9" s="332" t="str">
        <f>IFERROR(__xludf.DUMMYFUNCTION("""COMPUTED_VALUE"""),"order")</f>
        <v>order</v>
      </c>
      <c r="AC9" s="285" t="str">
        <f>IFERROR(__xludf.DUMMYFUNCTION("""COMPUTED_VALUE"""),"2601A008")</f>
        <v>2601A008</v>
      </c>
      <c r="AD9" s="286">
        <f>IFERROR(__xludf.DUMMYFUNCTION("""COMPUTED_VALUE"""),46029.0)</f>
        <v>46029</v>
      </c>
      <c r="AE9" s="285" t="str">
        <f>IFERROR(__xludf.DUMMYFUNCTION("""COMPUTED_VALUE"""),"Helmi")</f>
        <v>Helmi</v>
      </c>
      <c r="AF9" s="285" t="str">
        <f>IFERROR(__xludf.DUMMYFUNCTION("""COMPUTED_VALUE"""),"083826179860‬")</f>
        <v>083826179860‬</v>
      </c>
      <c r="AG9" s="285" t="str">
        <f>IFERROR(__xludf.DUMMYFUNCTION("""COMPUTED_VALUE"""),"Gagal")</f>
        <v>Gagal</v>
      </c>
      <c r="AH9" s="285" t="str">
        <f>IFERROR(__xludf.DUMMYFUNCTION("""COMPUTED_VALUE"""),"1D IB")</f>
        <v>1D IB</v>
      </c>
      <c r="AI9" s="287">
        <f>IFERROR(__xludf.DUMMYFUNCTION("""COMPUTED_VALUE"""),46030.0)</f>
        <v>46030</v>
      </c>
      <c r="AJ9" s="285">
        <f>IFERROR(__xludf.DUMMYFUNCTION("""COMPUTED_VALUE"""),3.0)</f>
        <v>3</v>
      </c>
      <c r="AK9" s="289">
        <f>IFERROR(__xludf.DUMMYFUNCTION("""COMPUTED_VALUE"""),2076000.0)</f>
        <v>2076000</v>
      </c>
      <c r="AL9" s="285" t="str">
        <f>IFERROR(__xludf.DUMMYFUNCTION("""COMPUTED_VALUE"""),"order")</f>
        <v>order</v>
      </c>
    </row>
    <row r="10">
      <c r="B10" s="307" t="s">
        <v>42</v>
      </c>
      <c r="C10" s="308">
        <f>COUNTA(AC3:AC1499)</f>
        <v>547</v>
      </c>
      <c r="F10" s="285" t="str">
        <f>IFERROR(__xludf.DUMMYFUNCTION("""COMPUTED_VALUE"""),"2606A147")</f>
        <v>2606A147</v>
      </c>
      <c r="G10" s="286">
        <f>IFERROR(__xludf.DUMMYFUNCTION("""COMPUTED_VALUE"""),46197.0)</f>
        <v>46197</v>
      </c>
      <c r="H10" s="285" t="str">
        <f>IFERROR(__xludf.DUMMYFUNCTION("""COMPUTED_VALUE"""),"Sufathonah")</f>
        <v>Sufathonah</v>
      </c>
      <c r="I10" s="285" t="str">
        <f>IFERROR(__xludf.DUMMYFUNCTION("""COMPUTED_VALUE"""),"082248437101")</f>
        <v>082248437101</v>
      </c>
      <c r="J10" s="285" t="str">
        <f>IFERROR(__xludf.DUMMYFUNCTION("""COMPUTED_VALUE"""),"Leads Baru")</f>
        <v>Leads Baru</v>
      </c>
      <c r="K10" s="285"/>
      <c r="L10" s="287"/>
      <c r="M10" s="285"/>
      <c r="N10" s="289"/>
      <c r="O10" s="285"/>
      <c r="P10" s="320"/>
      <c r="R10" s="332" t="str">
        <f>IFERROR(__xludf.DUMMYFUNCTION("""COMPUTED_VALUE"""),"2601A057")</f>
        <v>2601A057</v>
      </c>
      <c r="S10" s="333">
        <f>IFERROR(__xludf.DUMMYFUNCTION("""COMPUTED_VALUE"""),46049.0)</f>
        <v>46049</v>
      </c>
      <c r="T10" s="332" t="str">
        <f>IFERROR(__xludf.DUMMYFUNCTION("""COMPUTED_VALUE"""),"Ari budiman")</f>
        <v>Ari budiman</v>
      </c>
      <c r="U10" s="332" t="str">
        <f>IFERROR(__xludf.DUMMYFUNCTION("""COMPUTED_VALUE"""),"081365613727")</f>
        <v>081365613727</v>
      </c>
      <c r="V10" s="332" t="str">
        <f>IFERROR(__xludf.DUMMYFUNCTION("""COMPUTED_VALUE"""),"Closing")</f>
        <v>Closing</v>
      </c>
      <c r="W10" s="332" t="str">
        <f>IFERROR(__xludf.DUMMYFUNCTION("""COMPUTED_VALUE"""),"Trip Teluk Hijau")</f>
        <v>Trip Teluk Hijau</v>
      </c>
      <c r="X10" s="334"/>
      <c r="Y10" s="332">
        <f>IFERROR(__xludf.DUMMYFUNCTION("""COMPUTED_VALUE"""),5.0)</f>
        <v>5</v>
      </c>
      <c r="Z10" s="335">
        <f>IFERROR(__xludf.DUMMYFUNCTION("""COMPUTED_VALUE"""),2250000.0)</f>
        <v>2250000</v>
      </c>
      <c r="AA10" s="332" t="str">
        <f>IFERROR(__xludf.DUMMYFUNCTION("""COMPUTED_VALUE"""),"order")</f>
        <v>order</v>
      </c>
      <c r="AC10" s="285" t="str">
        <f>IFERROR(__xludf.DUMMYFUNCTION("""COMPUTED_VALUE"""),"2601A009")</f>
        <v>2601A009</v>
      </c>
      <c r="AD10" s="286">
        <f>IFERROR(__xludf.DUMMYFUNCTION("""COMPUTED_VALUE"""),46030.0)</f>
        <v>46030</v>
      </c>
      <c r="AE10" s="285" t="str">
        <f>IFERROR(__xludf.DUMMYFUNCTION("""COMPUTED_VALUE"""),"Ruly")</f>
        <v>Ruly</v>
      </c>
      <c r="AF10" s="285" t="str">
        <f>IFERROR(__xludf.DUMMYFUNCTION("""COMPUTED_VALUE"""),"08170934898")</f>
        <v>08170934898</v>
      </c>
      <c r="AG10" s="285" t="str">
        <f>IFERROR(__xludf.DUMMYFUNCTION("""COMPUTED_VALUE"""),"Gagal")</f>
        <v>Gagal</v>
      </c>
      <c r="AH10" s="285" t="str">
        <f>IFERROR(__xludf.DUMMYFUNCTION("""COMPUTED_VALUE"""),"3H2M A")</f>
        <v>3H2M A</v>
      </c>
      <c r="AI10" s="287"/>
      <c r="AJ10" s="285">
        <f>IFERROR(__xludf.DUMMYFUNCTION("""COMPUTED_VALUE"""),2.0)</f>
        <v>2</v>
      </c>
      <c r="AK10" s="289"/>
      <c r="AL10" s="285" t="str">
        <f>IFERROR(__xludf.DUMMYFUNCTION("""COMPUTED_VALUE"""),"Tidak jawab")</f>
        <v>Tidak jawab</v>
      </c>
    </row>
    <row r="11">
      <c r="B11" s="309" t="s">
        <v>10222</v>
      </c>
      <c r="C11" s="310">
        <f>SUM(C3:C10)</f>
        <v>867</v>
      </c>
      <c r="F11" s="285" t="str">
        <f>IFERROR(__xludf.DUMMYFUNCTION("""COMPUTED_VALUE"""),"2606A148")</f>
        <v>2606A148</v>
      </c>
      <c r="G11" s="286">
        <f>IFERROR(__xludf.DUMMYFUNCTION("""COMPUTED_VALUE"""),46198.0)</f>
        <v>46198</v>
      </c>
      <c r="H11" s="285" t="str">
        <f>IFERROR(__xludf.DUMMYFUNCTION("""COMPUTED_VALUE"""),"Puspita")</f>
        <v>Puspita</v>
      </c>
      <c r="I11" s="285" t="str">
        <f>IFERROR(__xludf.DUMMYFUNCTION("""COMPUTED_VALUE"""),"081217386148")</f>
        <v>081217386148</v>
      </c>
      <c r="J11" s="285" t="str">
        <f>IFERROR(__xludf.DUMMYFUNCTION("""COMPUTED_VALUE"""),"Leads Baru")</f>
        <v>Leads Baru</v>
      </c>
      <c r="K11" s="285"/>
      <c r="L11" s="287"/>
      <c r="M11" s="285"/>
      <c r="N11" s="289"/>
      <c r="O11" s="285"/>
      <c r="P11" s="320"/>
      <c r="R11" s="332" t="str">
        <f>IFERROR(__xludf.DUMMYFUNCTION("""COMPUTED_VALUE"""),"2602A001")</f>
        <v>2602A001</v>
      </c>
      <c r="S11" s="333">
        <f>IFERROR(__xludf.DUMMYFUNCTION("""COMPUTED_VALUE"""),46023.0)</f>
        <v>46023</v>
      </c>
      <c r="T11" s="332" t="str">
        <f>IFERROR(__xludf.DUMMYFUNCTION("""COMPUTED_VALUE"""),"Layla")</f>
        <v>Layla</v>
      </c>
      <c r="U11" s="332" t="str">
        <f>IFERROR(__xludf.DUMMYFUNCTION("""COMPUTED_VALUE"""),"085334674721")</f>
        <v>085334674721</v>
      </c>
      <c r="V11" s="332" t="str">
        <f>IFERROR(__xludf.DUMMYFUNCTION("""COMPUTED_VALUE"""),"Closing")</f>
        <v>Closing</v>
      </c>
      <c r="W11" s="332" t="str">
        <f>IFERROR(__xludf.DUMMYFUNCTION("""COMPUTED_VALUE"""),"Trip 1D M , B")</f>
        <v>Trip 1D M , B</v>
      </c>
      <c r="X11" s="334">
        <f>IFERROR(__xludf.DUMMYFUNCTION("""COMPUTED_VALUE"""),46172.0)</f>
        <v>46172</v>
      </c>
      <c r="Y11" s="332">
        <f>IFERROR(__xludf.DUMMYFUNCTION("""COMPUTED_VALUE"""),4.0)</f>
        <v>4</v>
      </c>
      <c r="Z11" s="335">
        <f>IFERROR(__xludf.DUMMYFUNCTION("""COMPUTED_VALUE"""),3708000.0)</f>
        <v>3708000</v>
      </c>
      <c r="AA11" s="332" t="str">
        <f>IFERROR(__xludf.DUMMYFUNCTION("""COMPUTED_VALUE"""),"ALHAMDULILLAH ")</f>
        <v>ALHAMDULILLAH </v>
      </c>
      <c r="AC11" s="285" t="str">
        <f>IFERROR(__xludf.DUMMYFUNCTION("""COMPUTED_VALUE"""),"2601A010")</f>
        <v>2601A010</v>
      </c>
      <c r="AD11" s="286">
        <f>IFERROR(__xludf.DUMMYFUNCTION("""COMPUTED_VALUE"""),46030.0)</f>
        <v>46030</v>
      </c>
      <c r="AE11" s="285" t="str">
        <f>IFERROR(__xludf.DUMMYFUNCTION("""COMPUTED_VALUE"""),"Stephan")</f>
        <v>Stephan</v>
      </c>
      <c r="AF11" s="285" t="str">
        <f>IFERROR(__xludf.DUMMYFUNCTION("""COMPUTED_VALUE"""),"085105912829")</f>
        <v>085105912829</v>
      </c>
      <c r="AG11" s="285" t="str">
        <f>IFERROR(__xludf.DUMMYFUNCTION("""COMPUTED_VALUE"""),"Gagal")</f>
        <v>Gagal</v>
      </c>
      <c r="AH11" s="285" t="str">
        <f>IFERROR(__xludf.DUMMYFUNCTION("""COMPUTED_VALUE"""),"4H3M")</f>
        <v>4H3M</v>
      </c>
      <c r="AI11" s="287"/>
      <c r="AJ11" s="285">
        <f>IFERROR(__xludf.DUMMYFUNCTION("""COMPUTED_VALUE"""),2.0)</f>
        <v>2</v>
      </c>
      <c r="AK11" s="289"/>
      <c r="AL11" s="285" t="str">
        <f>IFERROR(__xludf.DUMMYFUNCTION("""COMPUTED_VALUE"""),"lagi pikir-pikir, FU pertengahan januari")</f>
        <v>lagi pikir-pikir, FU pertengahan januari</v>
      </c>
    </row>
    <row r="12">
      <c r="F12" s="285" t="str">
        <f>IFERROR(__xludf.DUMMYFUNCTION("""COMPUTED_VALUE"""),"2606A149")</f>
        <v>2606A149</v>
      </c>
      <c r="G12" s="286">
        <f>IFERROR(__xludf.DUMMYFUNCTION("""COMPUTED_VALUE"""),46198.0)</f>
        <v>46198</v>
      </c>
      <c r="H12" s="285" t="str">
        <f>IFERROR(__xludf.DUMMYFUNCTION("""COMPUTED_VALUE"""),"Ghea Aprilia")</f>
        <v>Ghea Aprilia</v>
      </c>
      <c r="I12" s="285" t="str">
        <f>IFERROR(__xludf.DUMMYFUNCTION("""COMPUTED_VALUE"""),"081310054097")</f>
        <v>081310054097</v>
      </c>
      <c r="J12" s="285" t="str">
        <f>IFERROR(__xludf.DUMMYFUNCTION("""COMPUTED_VALUE"""),"Leads Baru")</f>
        <v>Leads Baru</v>
      </c>
      <c r="K12" s="285"/>
      <c r="L12" s="287"/>
      <c r="M12" s="285"/>
      <c r="N12" s="289"/>
      <c r="O12" s="285"/>
      <c r="P12" s="320"/>
      <c r="R12" s="332" t="str">
        <f>IFERROR(__xludf.DUMMYFUNCTION("""COMPUTED_VALUE"""),"2602A007")</f>
        <v>2602A007</v>
      </c>
      <c r="S12" s="333">
        <f>IFERROR(__xludf.DUMMYFUNCTION("""COMPUTED_VALUE"""),46058.0)</f>
        <v>46058</v>
      </c>
      <c r="T12" s="332" t="str">
        <f>IFERROR(__xludf.DUMMYFUNCTION("""COMPUTED_VALUE"""),"Rizka")</f>
        <v>Rizka</v>
      </c>
      <c r="U12" s="332" t="str">
        <f>IFERROR(__xludf.DUMMYFUNCTION("""COMPUTED_VALUE"""),"085280537600")</f>
        <v>085280537600</v>
      </c>
      <c r="V12" s="332" t="str">
        <f>IFERROR(__xludf.DUMMYFUNCTION("""COMPUTED_VALUE"""),"Closing")</f>
        <v>Closing</v>
      </c>
      <c r="W12" s="332" t="str">
        <f>IFERROR(__xludf.DUMMYFUNCTION("""COMPUTED_VALUE"""),"2H1M Z (1D PM, 1D KW B)")</f>
        <v>2H1M Z (1D PM, 1D KW B)</v>
      </c>
      <c r="X12" s="334"/>
      <c r="Y12" s="332">
        <f>IFERROR(__xludf.DUMMYFUNCTION("""COMPUTED_VALUE"""),4.0)</f>
        <v>4</v>
      </c>
      <c r="Z12" s="335">
        <f>IFERROR(__xludf.DUMMYFUNCTION("""COMPUTED_VALUE"""),3840000.0)</f>
        <v>3840000</v>
      </c>
      <c r="AA12" s="332" t="str">
        <f>IFERROR(__xludf.DUMMYFUNCTION("""COMPUTED_VALUE"""),"Sudah DP alhamdulillah")</f>
        <v>Sudah DP alhamdulillah</v>
      </c>
      <c r="AC12" s="285" t="str">
        <f>IFERROR(__xludf.DUMMYFUNCTION("""COMPUTED_VALUE"""),"2601A011")</f>
        <v>2601A011</v>
      </c>
      <c r="AD12" s="286">
        <f>IFERROR(__xludf.DUMMYFUNCTION("""COMPUTED_VALUE"""),46031.0)</f>
        <v>46031</v>
      </c>
      <c r="AE12" s="285" t="str">
        <f>IFERROR(__xludf.DUMMYFUNCTION("""COMPUTED_VALUE"""),"carone")</f>
        <v>carone</v>
      </c>
      <c r="AF12" s="285" t="str">
        <f>IFERROR(__xludf.DUMMYFUNCTION("""COMPUTED_VALUE"""),"0877933043674")</f>
        <v>0877933043674</v>
      </c>
      <c r="AG12" s="285" t="str">
        <f>IFERROR(__xludf.DUMMYFUNCTION("""COMPUTED_VALUE"""),"Gagal")</f>
        <v>Gagal</v>
      </c>
      <c r="AH12" s="285" t="str">
        <f>IFERROR(__xludf.DUMMYFUNCTION("""COMPUTED_VALUE"""),"3H2M")</f>
        <v>3H2M</v>
      </c>
      <c r="AI12" s="287"/>
      <c r="AJ12" s="285"/>
      <c r="AK12" s="289"/>
      <c r="AL12" s="285" t="str">
        <f>IFERROR(__xludf.DUMMYFUNCTION("""COMPUTED_VALUE"""),"Masih tanya tanya")</f>
        <v>Masih tanya tanya</v>
      </c>
    </row>
    <row r="13">
      <c r="B13" s="311" t="s">
        <v>10223</v>
      </c>
      <c r="C13" s="312">
        <f>sum(C3:C8)/C11</f>
        <v>0.2387543253</v>
      </c>
      <c r="F13" s="285" t="str">
        <f>IFERROR(__xludf.DUMMYFUNCTION("""COMPUTED_VALUE"""),"2606A152")</f>
        <v>2606A152</v>
      </c>
      <c r="G13" s="286">
        <f>IFERROR(__xludf.DUMMYFUNCTION("""COMPUTED_VALUE"""),46199.0)</f>
        <v>46199</v>
      </c>
      <c r="H13" s="285" t="str">
        <f>IFERROR(__xludf.DUMMYFUNCTION("""COMPUTED_VALUE"""),"Ela")</f>
        <v>Ela</v>
      </c>
      <c r="I13" s="285" t="str">
        <f>IFERROR(__xludf.DUMMYFUNCTION("""COMPUTED_VALUE"""),"08561669566")</f>
        <v>08561669566</v>
      </c>
      <c r="J13" s="285" t="str">
        <f>IFERROR(__xludf.DUMMYFUNCTION("""COMPUTED_VALUE"""),"Leads Baru")</f>
        <v>Leads Baru</v>
      </c>
      <c r="K13" s="285"/>
      <c r="L13" s="287"/>
      <c r="M13" s="285"/>
      <c r="N13" s="289"/>
      <c r="O13" s="285"/>
      <c r="P13" s="320"/>
      <c r="R13" s="332" t="str">
        <f>IFERROR(__xludf.DUMMYFUNCTION("""COMPUTED_VALUE"""),"2602A012")</f>
        <v>2602A012</v>
      </c>
      <c r="S13" s="333">
        <f>IFERROR(__xludf.DUMMYFUNCTION("""COMPUTED_VALUE"""),46061.0)</f>
        <v>46061</v>
      </c>
      <c r="T13" s="332" t="str">
        <f>IFERROR(__xludf.DUMMYFUNCTION("""COMPUTED_VALUE"""),"Marina Woods")</f>
        <v>Marina Woods</v>
      </c>
      <c r="U13" s="332" t="str">
        <f>IFERROR(__xludf.DUMMYFUNCTION("""COMPUTED_VALUE"""),"447899367364")</f>
        <v>447899367364</v>
      </c>
      <c r="V13" s="332" t="str">
        <f>IFERROR(__xludf.DUMMYFUNCTION("""COMPUTED_VALUE"""),"Closing")</f>
        <v>Closing</v>
      </c>
      <c r="W13" s="332" t="str">
        <f>IFERROR(__xludf.DUMMYFUNCTION("""COMPUTED_VALUE"""),"Private Trip Ijen")</f>
        <v>Private Trip Ijen</v>
      </c>
      <c r="X13" s="334">
        <f>IFERROR(__xludf.DUMMYFUNCTION("""COMPUTED_VALUE"""),46062.0)</f>
        <v>46062</v>
      </c>
      <c r="Y13" s="332">
        <f>IFERROR(__xludf.DUMMYFUNCTION("""COMPUTED_VALUE"""),2.0)</f>
        <v>2</v>
      </c>
      <c r="Z13" s="335">
        <f>IFERROR(__xludf.DUMMYFUNCTION("""COMPUTED_VALUE"""),1600000.0)</f>
        <v>1600000</v>
      </c>
      <c r="AA13" s="332" t="str">
        <f>IFERROR(__xludf.DUMMYFUNCTION("""COMPUTED_VALUE"""),"order, sdh dp")</f>
        <v>order, sdh dp</v>
      </c>
      <c r="AC13" s="285" t="str">
        <f>IFERROR(__xludf.DUMMYFUNCTION("""COMPUTED_VALUE"""),"2601A012")</f>
        <v>2601A012</v>
      </c>
      <c r="AD13" s="286">
        <f>IFERROR(__xludf.DUMMYFUNCTION("""COMPUTED_VALUE"""),46031.0)</f>
        <v>46031</v>
      </c>
      <c r="AE13" s="285" t="str">
        <f>IFERROR(__xludf.DUMMYFUNCTION("""COMPUTED_VALUE"""),"Giet")</f>
        <v>Giet</v>
      </c>
      <c r="AF13" s="285" t="str">
        <f>IFERROR(__xludf.DUMMYFUNCTION("""COMPUTED_VALUE"""),"085377504433")</f>
        <v>085377504433</v>
      </c>
      <c r="AG13" s="285" t="str">
        <f>IFERROR(__xludf.DUMMYFUNCTION("""COMPUTED_VALUE"""),"Gagal")</f>
        <v>Gagal</v>
      </c>
      <c r="AH13" s="285" t="str">
        <f>IFERROR(__xludf.DUMMYFUNCTION("""COMPUTED_VALUE"""),"3H2M")</f>
        <v>3H2M</v>
      </c>
      <c r="AI13" s="287"/>
      <c r="AJ13" s="285"/>
      <c r="AK13" s="289"/>
      <c r="AL13" s="285" t="str">
        <f>IFERROR(__xludf.DUMMYFUNCTION("""COMPUTED_VALUE"""),"masih tanya tanya")</f>
        <v>masih tanya tanya</v>
      </c>
    </row>
    <row r="14">
      <c r="B14" s="313" t="s">
        <v>10224</v>
      </c>
      <c r="C14" s="314">
        <f>C9/C11</f>
        <v>0.1303344867</v>
      </c>
      <c r="F14" s="285" t="str">
        <f>IFERROR(__xludf.DUMMYFUNCTION("""COMPUTED_VALUE"""),"2606A155")</f>
        <v>2606A155</v>
      </c>
      <c r="G14" s="286">
        <f>IFERROR(__xludf.DUMMYFUNCTION("""COMPUTED_VALUE"""),46199.0)</f>
        <v>46199</v>
      </c>
      <c r="H14" s="285" t="str">
        <f>IFERROR(__xludf.DUMMYFUNCTION("""COMPUTED_VALUE"""),"Roy Desimoko")</f>
        <v>Roy Desimoko</v>
      </c>
      <c r="I14" s="285" t="str">
        <f>IFERROR(__xludf.DUMMYFUNCTION("""COMPUTED_VALUE"""),"081903974096")</f>
        <v>081903974096</v>
      </c>
      <c r="J14" s="285" t="str">
        <f>IFERROR(__xludf.DUMMYFUNCTION("""COMPUTED_VALUE"""),"Leads Baru")</f>
        <v>Leads Baru</v>
      </c>
      <c r="K14" s="285" t="str">
        <f>IFERROR(__xludf.DUMMYFUNCTION("""COMPUTED_VALUE"""),"3h2m")</f>
        <v>3h2m</v>
      </c>
      <c r="L14" s="287"/>
      <c r="M14" s="285"/>
      <c r="N14" s="289"/>
      <c r="O14" s="285"/>
      <c r="P14" s="320"/>
      <c r="R14" s="332" t="str">
        <f>IFERROR(__xludf.DUMMYFUNCTION("""COMPUTED_VALUE"""),"2602A018")</f>
        <v>2602A018</v>
      </c>
      <c r="S14" s="333">
        <f>IFERROR(__xludf.DUMMYFUNCTION("""COMPUTED_VALUE"""),46063.0)</f>
        <v>46063</v>
      </c>
      <c r="T14" s="332" t="str">
        <f>IFERROR(__xludf.DUMMYFUNCTION("""COMPUTED_VALUE"""),"Dila ")</f>
        <v>Dila </v>
      </c>
      <c r="U14" s="332" t="str">
        <f>IFERROR(__xludf.DUMMYFUNCTION("""COMPUTED_VALUE"""),"081332256246")</f>
        <v>081332256246</v>
      </c>
      <c r="V14" s="332" t="str">
        <f>IFERROR(__xludf.DUMMYFUNCTION("""COMPUTED_VALUE"""),"Closing")</f>
        <v>Closing</v>
      </c>
      <c r="W14" s="332" t="str">
        <f>IFERROR(__xludf.DUMMYFUNCTION("""COMPUTED_VALUE"""),"Open Trip Ijen")</f>
        <v>Open Trip Ijen</v>
      </c>
      <c r="X14" s="334">
        <f>IFERROR(__xludf.DUMMYFUNCTION("""COMPUTED_VALUE"""),46069.0)</f>
        <v>46069</v>
      </c>
      <c r="Y14" s="332">
        <f>IFERROR(__xludf.DUMMYFUNCTION("""COMPUTED_VALUE"""),4.0)</f>
        <v>4</v>
      </c>
      <c r="Z14" s="335">
        <f>IFERROR(__xludf.DUMMYFUNCTION("""COMPUTED_VALUE"""),1000000.0)</f>
        <v>1000000</v>
      </c>
      <c r="AA14" s="332" t="str">
        <f>IFERROR(__xludf.DUMMYFUNCTION("""COMPUTED_VALUE"""),"order,")</f>
        <v>order,</v>
      </c>
      <c r="AC14" s="285" t="str">
        <f>IFERROR(__xludf.DUMMYFUNCTION("""COMPUTED_VALUE"""),"2601A014")</f>
        <v>2601A014</v>
      </c>
      <c r="AD14" s="286">
        <f>IFERROR(__xludf.DUMMYFUNCTION("""COMPUTED_VALUE"""),46031.0)</f>
        <v>46031</v>
      </c>
      <c r="AE14" s="285" t="str">
        <f>IFERROR(__xludf.DUMMYFUNCTION("""COMPUTED_VALUE"""),"Asep")</f>
        <v>Asep</v>
      </c>
      <c r="AF14" s="285" t="str">
        <f>IFERROR(__xludf.DUMMYFUNCTION("""COMPUTED_VALUE"""),"085524416539")</f>
        <v>085524416539</v>
      </c>
      <c r="AG14" s="285" t="str">
        <f>IFERROR(__xludf.DUMMYFUNCTION("""COMPUTED_VALUE"""),"Gagal")</f>
        <v>Gagal</v>
      </c>
      <c r="AH14" s="285" t="str">
        <f>IFERROR(__xludf.DUMMYFUNCTION("""COMPUTED_VALUE"""),"Trip Alas Purwo")</f>
        <v>Trip Alas Purwo</v>
      </c>
      <c r="AI14" s="287"/>
      <c r="AJ14" s="285">
        <f>IFERROR(__xludf.DUMMYFUNCTION("""COMPUTED_VALUE"""),10.0)</f>
        <v>10</v>
      </c>
      <c r="AK14" s="289"/>
      <c r="AL14" s="285" t="str">
        <f>IFERROR(__xludf.DUMMYFUNCTION("""COMPUTED_VALUE"""),"tanya tanya")</f>
        <v>tanya tanya</v>
      </c>
    </row>
    <row r="15">
      <c r="B15" s="315" t="s">
        <v>10225</v>
      </c>
      <c r="C15" s="316">
        <f>C10/C11</f>
        <v>0.630911188</v>
      </c>
      <c r="F15" s="285" t="str">
        <f>IFERROR(__xludf.DUMMYFUNCTION("""COMPUTED_VALUE"""),"2606A157")</f>
        <v>2606A157</v>
      </c>
      <c r="G15" s="286">
        <f>IFERROR(__xludf.DUMMYFUNCTION("""COMPUTED_VALUE"""),46200.0)</f>
        <v>46200</v>
      </c>
      <c r="H15" s="285" t="str">
        <f>IFERROR(__xludf.DUMMYFUNCTION("""COMPUTED_VALUE"""),"Kantor")</f>
        <v>Kantor</v>
      </c>
      <c r="I15" s="285" t="str">
        <f>IFERROR(__xludf.DUMMYFUNCTION("""COMPUTED_VALUE"""),"081225210005")</f>
        <v>081225210005</v>
      </c>
      <c r="J15" s="285" t="str">
        <f>IFERROR(__xludf.DUMMYFUNCTION("""COMPUTED_VALUE"""),"Leads Baru")</f>
        <v>Leads Baru</v>
      </c>
      <c r="K15" s="285"/>
      <c r="L15" s="287"/>
      <c r="M15" s="285"/>
      <c r="N15" s="289"/>
      <c r="O15" s="285"/>
      <c r="P15" s="320"/>
      <c r="R15" s="332" t="str">
        <f>IFERROR(__xludf.DUMMYFUNCTION("""COMPUTED_VALUE"""),"2602A021")</f>
        <v>2602A021</v>
      </c>
      <c r="S15" s="333">
        <f>IFERROR(__xludf.DUMMYFUNCTION("""COMPUTED_VALUE"""),46066.0)</f>
        <v>46066</v>
      </c>
      <c r="T15" s="332" t="str">
        <f>IFERROR(__xludf.DUMMYFUNCTION("""COMPUTED_VALUE"""),"Owen")</f>
        <v>Owen</v>
      </c>
      <c r="U15" s="332" t="str">
        <f>IFERROR(__xludf.DUMMYFUNCTION("""COMPUTED_VALUE"""),"085100988588")</f>
        <v>085100988588</v>
      </c>
      <c r="V15" s="332" t="str">
        <f>IFERROR(__xludf.DUMMYFUNCTION("""COMPUTED_VALUE"""),"Closing")</f>
        <v>Closing</v>
      </c>
      <c r="W15" s="332" t="str">
        <f>IFERROR(__xludf.DUMMYFUNCTION("""COMPUTED_VALUE"""),"private trip M T")</f>
        <v>private trip M T</v>
      </c>
      <c r="X15" s="334">
        <f>IFERROR(__xludf.DUMMYFUNCTION("""COMPUTED_VALUE"""),46074.0)</f>
        <v>46074</v>
      </c>
      <c r="Y15" s="332">
        <f>IFERROR(__xludf.DUMMYFUNCTION("""COMPUTED_VALUE"""),3.0)</f>
        <v>3</v>
      </c>
      <c r="Z15" s="335">
        <f>IFERROR(__xludf.DUMMYFUNCTION("""COMPUTED_VALUE"""),1830000.0)</f>
        <v>1830000</v>
      </c>
      <c r="AA15" s="332" t="str">
        <f>IFERROR(__xludf.DUMMYFUNCTION("""COMPUTED_VALUE""")," order")</f>
        <v> order</v>
      </c>
      <c r="AC15" s="285" t="str">
        <f>IFERROR(__xludf.DUMMYFUNCTION("""COMPUTED_VALUE"""),"2601A015")</f>
        <v>2601A015</v>
      </c>
      <c r="AD15" s="286">
        <f>IFERROR(__xludf.DUMMYFUNCTION("""COMPUTED_VALUE"""),46033.0)</f>
        <v>46033</v>
      </c>
      <c r="AE15" s="285" t="str">
        <f>IFERROR(__xludf.DUMMYFUNCTION("""COMPUTED_VALUE"""),"Istinah")</f>
        <v>Istinah</v>
      </c>
      <c r="AF15" s="285" t="str">
        <f>IFERROR(__xludf.DUMMYFUNCTION("""COMPUTED_VALUE"""),"081334625968")</f>
        <v>081334625968</v>
      </c>
      <c r="AG15" s="285" t="str">
        <f>IFERROR(__xludf.DUMMYFUNCTION("""COMPUTED_VALUE"""),"Gagal")</f>
        <v>Gagal</v>
      </c>
      <c r="AH15" s="285" t="str">
        <f>IFERROR(__xludf.DUMMYFUNCTION("""COMPUTED_VALUE"""),"Trip Djawatan Baluran")</f>
        <v>Trip Djawatan Baluran</v>
      </c>
      <c r="AI15" s="287"/>
      <c r="AJ15" s="285">
        <f>IFERROR(__xludf.DUMMYFUNCTION("""COMPUTED_VALUE"""),10.0)</f>
        <v>10</v>
      </c>
      <c r="AK15" s="289"/>
      <c r="AL15" s="285" t="str">
        <f>IFERROR(__xludf.DUMMYFUNCTION("""COMPUTED_VALUE"""),"masih cari informasi")</f>
        <v>masih cari informasi</v>
      </c>
    </row>
    <row r="16">
      <c r="F16" s="285" t="str">
        <f>IFERROR(__xludf.DUMMYFUNCTION("""COMPUTED_VALUE"""),"2606A158")</f>
        <v>2606A158</v>
      </c>
      <c r="G16" s="286">
        <f>IFERROR(__xludf.DUMMYFUNCTION("""COMPUTED_VALUE"""),46200.0)</f>
        <v>46200</v>
      </c>
      <c r="H16" s="285" t="str">
        <f>IFERROR(__xludf.DUMMYFUNCTION("""COMPUTED_VALUE"""),"Kh")</f>
        <v>Kh</v>
      </c>
      <c r="I16" s="285" t="str">
        <f>IFERROR(__xludf.DUMMYFUNCTION("""COMPUTED_VALUE"""),"089601224903")</f>
        <v>089601224903</v>
      </c>
      <c r="J16" s="285" t="str">
        <f>IFERROR(__xludf.DUMMYFUNCTION("""COMPUTED_VALUE"""),"Leads Baru")</f>
        <v>Leads Baru</v>
      </c>
      <c r="K16" s="285"/>
      <c r="L16" s="287"/>
      <c r="M16" s="285"/>
      <c r="N16" s="289"/>
      <c r="O16" s="285"/>
      <c r="P16" s="320"/>
      <c r="R16" s="332" t="str">
        <f>IFERROR(__xludf.DUMMYFUNCTION("""COMPUTED_VALUE"""),"2602A023")</f>
        <v>2602A023</v>
      </c>
      <c r="S16" s="333">
        <f>IFERROR(__xludf.DUMMYFUNCTION("""COMPUTED_VALUE"""),46067.0)</f>
        <v>46067</v>
      </c>
      <c r="T16" s="332" t="str">
        <f>IFERROR(__xludf.DUMMYFUNCTION("""COMPUTED_VALUE"""),"Tri Handoko")</f>
        <v>Tri Handoko</v>
      </c>
      <c r="U16" s="332" t="str">
        <f>IFERROR(__xludf.DUMMYFUNCTION("""COMPUTED_VALUE"""),"08151629111")</f>
        <v>08151629111</v>
      </c>
      <c r="V16" s="332" t="str">
        <f>IFERROR(__xludf.DUMMYFUNCTION("""COMPUTED_VALUE"""),"Closing")</f>
        <v>Closing</v>
      </c>
      <c r="W16" s="332" t="str">
        <f>IFERROR(__xludf.DUMMYFUNCTION("""COMPUTED_VALUE"""),"Trip Menjangan Tabuhan")</f>
        <v>Trip Menjangan Tabuhan</v>
      </c>
      <c r="X16" s="334">
        <f>IFERROR(__xludf.DUMMYFUNCTION("""COMPUTED_VALUE"""),46069.0)</f>
        <v>46069</v>
      </c>
      <c r="Y16" s="332">
        <f>IFERROR(__xludf.DUMMYFUNCTION("""COMPUTED_VALUE"""),6.0)</f>
        <v>6</v>
      </c>
      <c r="Z16" s="335">
        <f>IFERROR(__xludf.DUMMYFUNCTION("""COMPUTED_VALUE"""),2460000.0)</f>
        <v>2460000</v>
      </c>
      <c r="AA16" s="332" t="str">
        <f>IFERROR(__xludf.DUMMYFUNCTION("""COMPUTED_VALUE"""),"order")</f>
        <v>order</v>
      </c>
      <c r="AC16" s="285" t="str">
        <f>IFERROR(__xludf.DUMMYFUNCTION("""COMPUTED_VALUE"""),"2601A017")</f>
        <v>2601A017</v>
      </c>
      <c r="AD16" s="286">
        <f>IFERROR(__xludf.DUMMYFUNCTION("""COMPUTED_VALUE"""),46035.0)</f>
        <v>46035</v>
      </c>
      <c r="AE16" s="285" t="str">
        <f>IFERROR(__xludf.DUMMYFUNCTION("""COMPUTED_VALUE"""),"Jessica")</f>
        <v>Jessica</v>
      </c>
      <c r="AF16" s="285" t="str">
        <f>IFERROR(__xludf.DUMMYFUNCTION("""COMPUTED_VALUE"""),"08113166995")</f>
        <v>08113166995</v>
      </c>
      <c r="AG16" s="285" t="str">
        <f>IFERROR(__xludf.DUMMYFUNCTION("""COMPUTED_VALUE"""),"Gagal")</f>
        <v>Gagal</v>
      </c>
      <c r="AH16" s="285" t="str">
        <f>IFERROR(__xludf.DUMMYFUNCTION("""COMPUTED_VALUE"""),"Trip Ijen")</f>
        <v>Trip Ijen</v>
      </c>
      <c r="AI16" s="287"/>
      <c r="AJ16" s="285"/>
      <c r="AK16" s="289"/>
      <c r="AL16" s="285" t="str">
        <f>IFERROR(__xludf.DUMMYFUNCTION("""COMPUTED_VALUE"""),"tidak ada respon")</f>
        <v>tidak ada respon</v>
      </c>
    </row>
    <row r="17">
      <c r="B17" s="317" t="s">
        <v>10226</v>
      </c>
      <c r="C17" s="195"/>
      <c r="F17" s="285" t="str">
        <f>IFERROR(__xludf.DUMMYFUNCTION("""COMPUTED_VALUE"""),"2606A160")</f>
        <v>2606A160</v>
      </c>
      <c r="G17" s="286">
        <f>IFERROR(__xludf.DUMMYFUNCTION("""COMPUTED_VALUE"""),46199.0)</f>
        <v>46199</v>
      </c>
      <c r="H17" s="285" t="str">
        <f>IFERROR(__xludf.DUMMYFUNCTION("""COMPUTED_VALUE"""),"Ela")</f>
        <v>Ela</v>
      </c>
      <c r="I17" s="285" t="str">
        <f>IFERROR(__xludf.DUMMYFUNCTION("""COMPUTED_VALUE"""),"08561669566")</f>
        <v>08561669566</v>
      </c>
      <c r="J17" s="285" t="str">
        <f>IFERROR(__xludf.DUMMYFUNCTION("""COMPUTED_VALUE"""),"Leads Baru")</f>
        <v>Leads Baru</v>
      </c>
      <c r="K17" s="285"/>
      <c r="L17" s="287"/>
      <c r="M17" s="285"/>
      <c r="N17" s="289"/>
      <c r="O17" s="285"/>
      <c r="P17" s="320"/>
      <c r="R17" s="332" t="str">
        <f>IFERROR(__xludf.DUMMYFUNCTION("""COMPUTED_VALUE"""),"2602A035")</f>
        <v>2602A035</v>
      </c>
      <c r="S17" s="333">
        <f>IFERROR(__xludf.DUMMYFUNCTION("""COMPUTED_VALUE"""),46072.0)</f>
        <v>46072</v>
      </c>
      <c r="T17" s="332" t="str">
        <f>IFERROR(__xludf.DUMMYFUNCTION("""COMPUTED_VALUE"""),"Widya sanjiwani")</f>
        <v>Widya sanjiwani</v>
      </c>
      <c r="U17" s="332" t="str">
        <f>IFERROR(__xludf.DUMMYFUNCTION("""COMPUTED_VALUE"""),"087857132284")</f>
        <v>087857132284</v>
      </c>
      <c r="V17" s="332" t="str">
        <f>IFERROR(__xludf.DUMMYFUNCTION("""COMPUTED_VALUE"""),"Closing")</f>
        <v>Closing</v>
      </c>
      <c r="W17" s="332" t="str">
        <f>IFERROR(__xludf.DUMMYFUNCTION("""COMPUTED_VALUE"""),"OT M T")</f>
        <v>OT M T</v>
      </c>
      <c r="X17" s="334">
        <f>IFERROR(__xludf.DUMMYFUNCTION("""COMPUTED_VALUE"""),46075.0)</f>
        <v>46075</v>
      </c>
      <c r="Y17" s="332">
        <f>IFERROR(__xludf.DUMMYFUNCTION("""COMPUTED_VALUE"""),2.0)</f>
        <v>2</v>
      </c>
      <c r="Z17" s="335">
        <f>IFERROR(__xludf.DUMMYFUNCTION("""COMPUTED_VALUE"""),590000.0)</f>
        <v>590000</v>
      </c>
      <c r="AA17" s="332" t="str">
        <f>IFERROR(__xludf.DUMMYFUNCTION("""COMPUTED_VALUE"""),"order")</f>
        <v>order</v>
      </c>
      <c r="AC17" s="285" t="str">
        <f>IFERROR(__xludf.DUMMYFUNCTION("""COMPUTED_VALUE"""),"2601A018")</f>
        <v>2601A018</v>
      </c>
      <c r="AD17" s="286">
        <f>IFERROR(__xludf.DUMMYFUNCTION("""COMPUTED_VALUE"""),46036.0)</f>
        <v>46036</v>
      </c>
      <c r="AE17" s="285" t="str">
        <f>IFERROR(__xludf.DUMMYFUNCTION("""COMPUTED_VALUE"""),"Kambali khan")</f>
        <v>Kambali khan</v>
      </c>
      <c r="AF17" s="285" t="str">
        <f>IFERROR(__xludf.DUMMYFUNCTION("""COMPUTED_VALUE"""),"081133300048")</f>
        <v>081133300048</v>
      </c>
      <c r="AG17" s="285" t="str">
        <f>IFERROR(__xludf.DUMMYFUNCTION("""COMPUTED_VALUE"""),"Gagal")</f>
        <v>Gagal</v>
      </c>
      <c r="AH17" s="285" t="str">
        <f>IFERROR(__xludf.DUMMYFUNCTION("""COMPUTED_VALUE"""),"rekom 2H1M")</f>
        <v>rekom 2H1M</v>
      </c>
      <c r="AI17" s="287"/>
      <c r="AJ17" s="285">
        <f>IFERROR(__xludf.DUMMYFUNCTION("""COMPUTED_VALUE"""),7.0)</f>
        <v>7</v>
      </c>
      <c r="AK17" s="289"/>
      <c r="AL17" s="285" t="str">
        <f>IFERROR(__xludf.DUMMYFUNCTION("""COMPUTED_VALUE"""),"tanya paket open trip ")</f>
        <v>tanya paket open trip </v>
      </c>
    </row>
    <row r="18">
      <c r="B18" s="318">
        <f>sum(Z3:Z1499)</f>
        <v>460833000</v>
      </c>
      <c r="C18" s="197"/>
      <c r="F18" s="285" t="str">
        <f>IFERROR(__xludf.DUMMYFUNCTION("""COMPUTED_VALUE"""),"2606A162")</f>
        <v>2606A162</v>
      </c>
      <c r="G18" s="286">
        <f>IFERROR(__xludf.DUMMYFUNCTION("""COMPUTED_VALUE"""),46200.0)</f>
        <v>46200</v>
      </c>
      <c r="H18" s="285" t="str">
        <f>IFERROR(__xludf.DUMMYFUNCTION("""COMPUTED_VALUE"""),"Nova Liyanti")</f>
        <v>Nova Liyanti</v>
      </c>
      <c r="I18" s="285" t="str">
        <f>IFERROR(__xludf.DUMMYFUNCTION("""COMPUTED_VALUE"""),"082388478881")</f>
        <v>082388478881</v>
      </c>
      <c r="J18" s="285" t="str">
        <f>IFERROR(__xludf.DUMMYFUNCTION("""COMPUTED_VALUE"""),"Leads Baru")</f>
        <v>Leads Baru</v>
      </c>
      <c r="K18" s="285" t="str">
        <f>IFERROR(__xludf.DUMMYFUNCTION("""COMPUTED_VALUE"""),"3h2m a")</f>
        <v>3h2m a</v>
      </c>
      <c r="L18" s="287"/>
      <c r="M18" s="285"/>
      <c r="N18" s="289"/>
      <c r="O18" s="285"/>
      <c r="P18" s="320"/>
      <c r="R18" s="332" t="str">
        <f>IFERROR(__xludf.DUMMYFUNCTION("""COMPUTED_VALUE"""),"2603A007")</f>
        <v>2603A007</v>
      </c>
      <c r="S18" s="333">
        <f>IFERROR(__xludf.DUMMYFUNCTION("""COMPUTED_VALUE"""),46085.0)</f>
        <v>46085</v>
      </c>
      <c r="T18" s="332" t="str">
        <f>IFERROR(__xludf.DUMMYFUNCTION("""COMPUTED_VALUE"""),"Shienny")</f>
        <v>Shienny</v>
      </c>
      <c r="U18" s="332" t="str">
        <f>IFERROR(__xludf.DUMMYFUNCTION("""COMPUTED_VALUE"""),"081225369612")</f>
        <v>081225369612</v>
      </c>
      <c r="V18" s="332" t="str">
        <f>IFERROR(__xludf.DUMMYFUNCTION("""COMPUTED_VALUE"""),"Closing")</f>
        <v>Closing</v>
      </c>
      <c r="W18" s="332" t="str">
        <f>IFERROR(__xludf.DUMMYFUNCTION("""COMPUTED_VALUE"""),"3H2M custom")</f>
        <v>3H2M custom</v>
      </c>
      <c r="X18" s="334"/>
      <c r="Y18" s="332">
        <f>IFERROR(__xludf.DUMMYFUNCTION("""COMPUTED_VALUE"""),3.0)</f>
        <v>3</v>
      </c>
      <c r="Z18" s="335">
        <f>IFERROR(__xludf.DUMMYFUNCTION("""COMPUTED_VALUE"""),1.05E7)</f>
        <v>10500000</v>
      </c>
      <c r="AA18" s="332" t="str">
        <f>IFERROR(__xludf.DUMMYFUNCTION("""COMPUTED_VALUE"""),"order")</f>
        <v>order</v>
      </c>
      <c r="AC18" s="285" t="str">
        <f>IFERROR(__xludf.DUMMYFUNCTION("""COMPUTED_VALUE"""),"2601A019")</f>
        <v>2601A019</v>
      </c>
      <c r="AD18" s="286">
        <f>IFERROR(__xludf.DUMMYFUNCTION("""COMPUTED_VALUE"""),46036.0)</f>
        <v>46036</v>
      </c>
      <c r="AE18" s="285" t="str">
        <f>IFERROR(__xludf.DUMMYFUNCTION("""COMPUTED_VALUE"""),"Harun")</f>
        <v>Harun</v>
      </c>
      <c r="AF18" s="285" t="str">
        <f>IFERROR(__xludf.DUMMYFUNCTION("""COMPUTED_VALUE"""),"085190940022")</f>
        <v>085190940022</v>
      </c>
      <c r="AG18" s="285" t="str">
        <f>IFERROR(__xludf.DUMMYFUNCTION("""COMPUTED_VALUE"""),"Gagal")</f>
        <v>Gagal</v>
      </c>
      <c r="AH18" s="285"/>
      <c r="AI18" s="287"/>
      <c r="AJ18" s="285"/>
      <c r="AK18" s="289"/>
      <c r="AL18" s="285" t="str">
        <f>IFERROR(__xludf.DUMMYFUNCTION("""COMPUTED_VALUE"""),"tidak ada respon")</f>
        <v>tidak ada respon</v>
      </c>
    </row>
    <row r="19">
      <c r="B19" s="201"/>
      <c r="C19" s="202"/>
      <c r="F19" s="285" t="str">
        <f>IFERROR(__xludf.DUMMYFUNCTION("""COMPUTED_VALUE"""),"2606A163")</f>
        <v>2606A163</v>
      </c>
      <c r="G19" s="286">
        <f>IFERROR(__xludf.DUMMYFUNCTION("""COMPUTED_VALUE"""),46200.0)</f>
        <v>46200</v>
      </c>
      <c r="H19" s="285" t="str">
        <f>IFERROR(__xludf.DUMMYFUNCTION("""COMPUTED_VALUE"""),"Tulus")</f>
        <v>Tulus</v>
      </c>
      <c r="I19" s="285" t="str">
        <f>IFERROR(__xludf.DUMMYFUNCTION("""COMPUTED_VALUE"""),"085640344085")</f>
        <v>085640344085</v>
      </c>
      <c r="J19" s="285" t="str">
        <f>IFERROR(__xludf.DUMMYFUNCTION("""COMPUTED_VALUE"""),"Leads Baru")</f>
        <v>Leads Baru</v>
      </c>
      <c r="K19" s="285" t="str">
        <f>IFERROR(__xludf.DUMMYFUNCTION("""COMPUTED_VALUE"""),"2h1m")</f>
        <v>2h1m</v>
      </c>
      <c r="L19" s="287"/>
      <c r="M19" s="285">
        <f>IFERROR(__xludf.DUMMYFUNCTION("""COMPUTED_VALUE"""),4.0)</f>
        <v>4</v>
      </c>
      <c r="N19" s="289">
        <f>IFERROR(__xludf.DUMMYFUNCTION("""COMPUTED_VALUE"""),4148000.0)</f>
        <v>4148000</v>
      </c>
      <c r="O19" s="285" t="str">
        <f>IFERROR(__xludf.DUMMYFUNCTION("""COMPUTED_VALUE"""),"fu 4 juli")</f>
        <v>fu 4 juli</v>
      </c>
      <c r="P19" s="320"/>
      <c r="R19" s="332" t="str">
        <f>IFERROR(__xludf.DUMMYFUNCTION("""COMPUTED_VALUE"""),"2603A013")</f>
        <v>2603A013</v>
      </c>
      <c r="S19" s="333">
        <f>IFERROR(__xludf.DUMMYFUNCTION("""COMPUTED_VALUE"""),46088.0)</f>
        <v>46088</v>
      </c>
      <c r="T19" s="332" t="str">
        <f>IFERROR(__xludf.DUMMYFUNCTION("""COMPUTED_VALUE"""),"Aisyah")</f>
        <v>Aisyah</v>
      </c>
      <c r="U19" s="332" t="str">
        <f>IFERROR(__xludf.DUMMYFUNCTION("""COMPUTED_VALUE"""),"085866955933")</f>
        <v>085866955933</v>
      </c>
      <c r="V19" s="332" t="str">
        <f>IFERROR(__xludf.DUMMYFUNCTION("""COMPUTED_VALUE"""),"Closing")</f>
        <v>Closing</v>
      </c>
      <c r="W19" s="332" t="str">
        <f>IFERROR(__xludf.DUMMYFUNCTION("""COMPUTED_VALUE"""),"3H2M Custom")</f>
        <v>3H2M Custom</v>
      </c>
      <c r="X19" s="334"/>
      <c r="Y19" s="332">
        <f>IFERROR(__xludf.DUMMYFUNCTION("""COMPUTED_VALUE"""),6.0)</f>
        <v>6</v>
      </c>
      <c r="Z19" s="335">
        <f>IFERROR(__xludf.DUMMYFUNCTION("""COMPUTED_VALUE"""),5780000.0)</f>
        <v>5780000</v>
      </c>
      <c r="AA19" s="332" t="str">
        <f>IFERROR(__xludf.DUMMYFUNCTION("""COMPUTED_VALUE"""),"order")</f>
        <v>order</v>
      </c>
      <c r="AC19" s="285" t="str">
        <f>IFERROR(__xludf.DUMMYFUNCTION("""COMPUTED_VALUE"""),"2601A020")</f>
        <v>2601A020</v>
      </c>
      <c r="AD19" s="286">
        <f>IFERROR(__xludf.DUMMYFUNCTION("""COMPUTED_VALUE"""),46037.0)</f>
        <v>46037</v>
      </c>
      <c r="AE19" s="285" t="str">
        <f>IFERROR(__xludf.DUMMYFUNCTION("""COMPUTED_VALUE"""),"Darius")</f>
        <v>Darius</v>
      </c>
      <c r="AF19" s="285" t="str">
        <f>IFERROR(__xludf.DUMMYFUNCTION("""COMPUTED_VALUE"""),"0811508236")</f>
        <v>0811508236</v>
      </c>
      <c r="AG19" s="285" t="str">
        <f>IFERROR(__xludf.DUMMYFUNCTION("""COMPUTED_VALUE"""),"Gagal")</f>
        <v>Gagal</v>
      </c>
      <c r="AH19" s="285" t="str">
        <f>IFERROR(__xludf.DUMMYFUNCTION("""COMPUTED_VALUE"""),"4H3M")</f>
        <v>4H3M</v>
      </c>
      <c r="AI19" s="287"/>
      <c r="AJ19" s="285">
        <f>IFERROR(__xludf.DUMMYFUNCTION("""COMPUTED_VALUE"""),10.0)</f>
        <v>10</v>
      </c>
      <c r="AK19" s="289"/>
      <c r="AL19" s="285" t="str">
        <f>IFERROR(__xludf.DUMMYFUNCTION("""COMPUTED_VALUE"""),"jadinya ke bali, temannya Aji")</f>
        <v>jadinya ke bali, temannya Aji</v>
      </c>
    </row>
    <row r="20">
      <c r="F20" s="285" t="str">
        <f>IFERROR(__xludf.DUMMYFUNCTION("""COMPUTED_VALUE"""),"2606A164")</f>
        <v>2606A164</v>
      </c>
      <c r="G20" s="286">
        <f>IFERROR(__xludf.DUMMYFUNCTION("""COMPUTED_VALUE"""),46200.0)</f>
        <v>46200</v>
      </c>
      <c r="H20" s="285" t="str">
        <f>IFERROR(__xludf.DUMMYFUNCTION("""COMPUTED_VALUE"""),"Ayuda")</f>
        <v>Ayuda</v>
      </c>
      <c r="I20" s="285" t="str">
        <f>IFERROR(__xludf.DUMMYFUNCTION("""COMPUTED_VALUE"""),"08155188661")</f>
        <v>08155188661</v>
      </c>
      <c r="J20" s="285" t="str">
        <f>IFERROR(__xludf.DUMMYFUNCTION("""COMPUTED_VALUE"""),"Leads Baru")</f>
        <v>Leads Baru</v>
      </c>
      <c r="K20" s="285"/>
      <c r="L20" s="287"/>
      <c r="M20" s="285"/>
      <c r="N20" s="289"/>
      <c r="O20" s="285"/>
      <c r="P20" s="320"/>
      <c r="R20" s="285" t="str">
        <f>IFERROR(__xludf.DUMMYFUNCTION("""COMPUTED_VALUE"""),"2603A026")</f>
        <v>2603A026</v>
      </c>
      <c r="S20" s="286">
        <f>IFERROR(__xludf.DUMMYFUNCTION("""COMPUTED_VALUE"""),46094.0)</f>
        <v>46094</v>
      </c>
      <c r="T20" s="285" t="str">
        <f>IFERROR(__xludf.DUMMYFUNCTION("""COMPUTED_VALUE"""),"Lia")</f>
        <v>Lia</v>
      </c>
      <c r="U20" s="285" t="str">
        <f>IFERROR(__xludf.DUMMYFUNCTION("""COMPUTED_VALUE"""),"08568541948")</f>
        <v>08568541948</v>
      </c>
      <c r="V20" s="285" t="str">
        <f>IFERROR(__xludf.DUMMYFUNCTION("""COMPUTED_VALUE"""),"Closing")</f>
        <v>Closing</v>
      </c>
      <c r="W20" s="285" t="str">
        <f>IFERROR(__xludf.DUMMYFUNCTION("""COMPUTED_VALUE"""),"OT 3H2M")</f>
        <v>OT 3H2M</v>
      </c>
      <c r="X20" s="287"/>
      <c r="Y20" s="285">
        <f>IFERROR(__xludf.DUMMYFUNCTION("""COMPUTED_VALUE"""),1.0)</f>
        <v>1</v>
      </c>
      <c r="Z20" s="289">
        <f>IFERROR(__xludf.DUMMYFUNCTION("""COMPUTED_VALUE"""),1600000.0)</f>
        <v>1600000</v>
      </c>
      <c r="AA20" s="285" t="str">
        <f>IFERROR(__xludf.DUMMYFUNCTION("""COMPUTED_VALUE"""),"order")</f>
        <v>order</v>
      </c>
      <c r="AC20" s="285" t="str">
        <f>IFERROR(__xludf.DUMMYFUNCTION("""COMPUTED_VALUE"""),"2601A021")</f>
        <v>2601A021</v>
      </c>
      <c r="AD20" s="286">
        <f>IFERROR(__xludf.DUMMYFUNCTION("""COMPUTED_VALUE"""),46038.0)</f>
        <v>46038</v>
      </c>
      <c r="AE20" s="285" t="str">
        <f>IFERROR(__xludf.DUMMYFUNCTION("""COMPUTED_VALUE"""),"Novita ")</f>
        <v>Novita </v>
      </c>
      <c r="AF20" s="285" t="str">
        <f>IFERROR(__xludf.DUMMYFUNCTION("""COMPUTED_VALUE"""),"085600920652")</f>
        <v>085600920652</v>
      </c>
      <c r="AG20" s="285" t="str">
        <f>IFERROR(__xludf.DUMMYFUNCTION("""COMPUTED_VALUE"""),"Gagal")</f>
        <v>Gagal</v>
      </c>
      <c r="AH20" s="285" t="str">
        <f>IFERROR(__xludf.DUMMYFUNCTION("""COMPUTED_VALUE"""),"Trip D, B")</f>
        <v>Trip D, B</v>
      </c>
      <c r="AI20" s="287">
        <f>IFERROR(__xludf.DUMMYFUNCTION("""COMPUTED_VALUE"""),46046.0)</f>
        <v>46046</v>
      </c>
      <c r="AJ20" s="285"/>
      <c r="AK20" s="289"/>
      <c r="AL20" s="285" t="str">
        <f>IFERROR(__xludf.DUMMYFUNCTION("""COMPUTED_VALUE"""),"masih belum minat")</f>
        <v>masih belum minat</v>
      </c>
    </row>
    <row r="21">
      <c r="B21" s="317" t="s">
        <v>10227</v>
      </c>
      <c r="C21" s="195"/>
      <c r="F21" s="285" t="str">
        <f>IFERROR(__xludf.DUMMYFUNCTION("""COMPUTED_VALUE"""),"2606A168")</f>
        <v>2606A168</v>
      </c>
      <c r="G21" s="286">
        <f>IFERROR(__xludf.DUMMYFUNCTION("""COMPUTED_VALUE"""),46201.0)</f>
        <v>46201</v>
      </c>
      <c r="H21" s="285" t="str">
        <f>IFERROR(__xludf.DUMMYFUNCTION("""COMPUTED_VALUE"""),"Eva Meutia")</f>
        <v>Eva Meutia</v>
      </c>
      <c r="I21" s="285" t="str">
        <f>IFERROR(__xludf.DUMMYFUNCTION("""COMPUTED_VALUE"""),"082298063585")</f>
        <v>082298063585</v>
      </c>
      <c r="J21" s="285" t="str">
        <f>IFERROR(__xludf.DUMMYFUNCTION("""COMPUTED_VALUE"""),"Leads Baru")</f>
        <v>Leads Baru</v>
      </c>
      <c r="K21" s="285" t="str">
        <f>IFERROR(__xludf.DUMMYFUNCTION("""COMPUTED_VALUE"""),"ot menjangan tabuhan")</f>
        <v>ot menjangan tabuhan</v>
      </c>
      <c r="L21" s="287"/>
      <c r="M21" s="285"/>
      <c r="N21" s="289"/>
      <c r="O21" s="285"/>
      <c r="P21" s="320"/>
      <c r="R21" s="285" t="str">
        <f>IFERROR(__xludf.DUMMYFUNCTION("""COMPUTED_VALUE"""),"2603A028")</f>
        <v>2603A028</v>
      </c>
      <c r="S21" s="286">
        <f>IFERROR(__xludf.DUMMYFUNCTION("""COMPUTED_VALUE"""),46095.0)</f>
        <v>46095</v>
      </c>
      <c r="T21" s="285" t="str">
        <f>IFERROR(__xludf.DUMMYFUNCTION("""COMPUTED_VALUE"""),"Dhion")</f>
        <v>Dhion</v>
      </c>
      <c r="U21" s="285" t="str">
        <f>IFERROR(__xludf.DUMMYFUNCTION("""COMPUTED_VALUE"""),"0882000645161")</f>
        <v>0882000645161</v>
      </c>
      <c r="V21" s="285" t="str">
        <f>IFERROR(__xludf.DUMMYFUNCTION("""COMPUTED_VALUE"""),"Closing")</f>
        <v>Closing</v>
      </c>
      <c r="W21" s="285" t="str">
        <f>IFERROR(__xludf.DUMMYFUNCTION("""COMPUTED_VALUE"""),"2H1M  Custom")</f>
        <v>2H1M  Custom</v>
      </c>
      <c r="X21" s="287"/>
      <c r="Y21" s="285">
        <f>IFERROR(__xludf.DUMMYFUNCTION("""COMPUTED_VALUE"""),5.0)</f>
        <v>5</v>
      </c>
      <c r="Z21" s="289">
        <f>IFERROR(__xludf.DUMMYFUNCTION("""COMPUTED_VALUE"""),4500000.0)</f>
        <v>4500000</v>
      </c>
      <c r="AA21" s="285" t="str">
        <f>IFERROR(__xludf.DUMMYFUNCTION("""COMPUTED_VALUE"""),"kirim penawaran")</f>
        <v>kirim penawaran</v>
      </c>
      <c r="AC21" s="285" t="str">
        <f>IFERROR(__xludf.DUMMYFUNCTION("""COMPUTED_VALUE"""),"2601A022")</f>
        <v>2601A022</v>
      </c>
      <c r="AD21" s="286">
        <f>IFERROR(__xludf.DUMMYFUNCTION("""COMPUTED_VALUE"""),46039.0)</f>
        <v>46039</v>
      </c>
      <c r="AE21" s="285" t="str">
        <f>IFERROR(__xludf.DUMMYFUNCTION("""COMPUTED_VALUE"""),"Abi Yuma")</f>
        <v>Abi Yuma</v>
      </c>
      <c r="AF21" s="285" t="str">
        <f>IFERROR(__xludf.DUMMYFUNCTION("""COMPUTED_VALUE"""),"08119025858")</f>
        <v>08119025858</v>
      </c>
      <c r="AG21" s="285" t="str">
        <f>IFERROR(__xludf.DUMMYFUNCTION("""COMPUTED_VALUE"""),"Gagal")</f>
        <v>Gagal</v>
      </c>
      <c r="AH21" s="285" t="str">
        <f>IFERROR(__xludf.DUMMYFUNCTION("""COMPUTED_VALUE"""),"2H3M")</f>
        <v>2H3M</v>
      </c>
      <c r="AI21" s="287"/>
      <c r="AJ21" s="285"/>
      <c r="AK21" s="289"/>
      <c r="AL21" s="285" t="str">
        <f>IFERROR(__xludf.DUMMYFUNCTION("""COMPUTED_VALUE"""),"tidak jawab")</f>
        <v>tidak jawab</v>
      </c>
    </row>
    <row r="22">
      <c r="B22" s="318">
        <f>sum(N3:N1499)</f>
        <v>1114459000</v>
      </c>
      <c r="C22" s="197"/>
      <c r="F22" s="285" t="str">
        <f>IFERROR(__xludf.DUMMYFUNCTION("""COMPUTED_VALUE"""),"2606A172")</f>
        <v>2606A172</v>
      </c>
      <c r="G22" s="286">
        <f>IFERROR(__xludf.DUMMYFUNCTION("""COMPUTED_VALUE"""),46202.0)</f>
        <v>46202</v>
      </c>
      <c r="H22" s="285" t="str">
        <f>IFERROR(__xludf.DUMMYFUNCTION("""COMPUTED_VALUE"""),"Farhan")</f>
        <v>Farhan</v>
      </c>
      <c r="I22" s="285" t="str">
        <f>IFERROR(__xludf.DUMMYFUNCTION("""COMPUTED_VALUE"""),"085737678028")</f>
        <v>085737678028</v>
      </c>
      <c r="J22" s="285" t="str">
        <f>IFERROR(__xludf.DUMMYFUNCTION("""COMPUTED_VALUE"""),"Leads Baru")</f>
        <v>Leads Baru</v>
      </c>
      <c r="K22" s="285"/>
      <c r="L22" s="287"/>
      <c r="M22" s="285"/>
      <c r="N22" s="289"/>
      <c r="O22" s="285"/>
      <c r="P22" s="320"/>
      <c r="R22" s="285" t="str">
        <f>IFERROR(__xludf.DUMMYFUNCTION("""COMPUTED_VALUE"""),"2603A037")</f>
        <v>2603A037</v>
      </c>
      <c r="S22" s="286">
        <f>IFERROR(__xludf.DUMMYFUNCTION("""COMPUTED_VALUE"""),46097.0)</f>
        <v>46097</v>
      </c>
      <c r="T22" s="285" t="str">
        <f>IFERROR(__xludf.DUMMYFUNCTION("""COMPUTED_VALUE"""),"Nungky")</f>
        <v>Nungky</v>
      </c>
      <c r="U22" s="285" t="str">
        <f>IFERROR(__xludf.DUMMYFUNCTION("""COMPUTED_VALUE"""),"08113040099‬")</f>
        <v>08113040099‬</v>
      </c>
      <c r="V22" s="285" t="str">
        <f>IFERROR(__xludf.DUMMYFUNCTION("""COMPUTED_VALUE"""),"Closing")</f>
        <v>Closing</v>
      </c>
      <c r="W22" s="285" t="str">
        <f>IFERROR(__xludf.DUMMYFUNCTION("""COMPUTED_VALUE"""),"1 day trip")</f>
        <v>1 day trip</v>
      </c>
      <c r="X22" s="287">
        <f>IFERROR(__xludf.DUMMYFUNCTION("""COMPUTED_VALUE"""),46109.0)</f>
        <v>46109</v>
      </c>
      <c r="Y22" s="285">
        <f>IFERROR(__xludf.DUMMYFUNCTION("""COMPUTED_VALUE"""),4.0)</f>
        <v>4</v>
      </c>
      <c r="Z22" s="289">
        <f>IFERROR(__xludf.DUMMYFUNCTION("""COMPUTED_VALUE"""),2560000.0)</f>
        <v>2560000</v>
      </c>
      <c r="AA22" s="285" t="str">
        <f>IFERROR(__xludf.DUMMYFUNCTION("""COMPUTED_VALUE"""),"alhamdulillah order ")</f>
        <v>alhamdulillah order </v>
      </c>
      <c r="AC22" s="285" t="str">
        <f>IFERROR(__xludf.DUMMYFUNCTION("""COMPUTED_VALUE"""),"2601A023")</f>
        <v>2601A023</v>
      </c>
      <c r="AD22" s="286">
        <f>IFERROR(__xludf.DUMMYFUNCTION("""COMPUTED_VALUE"""),46039.0)</f>
        <v>46039</v>
      </c>
      <c r="AE22" s="285" t="str">
        <f>IFERROR(__xludf.DUMMYFUNCTION("""COMPUTED_VALUE"""),"Aji")</f>
        <v>Aji</v>
      </c>
      <c r="AF22" s="285" t="str">
        <f>IFERROR(__xludf.DUMMYFUNCTION("""COMPUTED_VALUE"""),"082211224004")</f>
        <v>082211224004</v>
      </c>
      <c r="AG22" s="285" t="str">
        <f>IFERROR(__xludf.DUMMYFUNCTION("""COMPUTED_VALUE"""),"Gagal")</f>
        <v>Gagal</v>
      </c>
      <c r="AH22" s="285" t="str">
        <f>IFERROR(__xludf.DUMMYFUNCTION("""COMPUTED_VALUE"""),"3H4M")</f>
        <v>3H4M</v>
      </c>
      <c r="AI22" s="287"/>
      <c r="AJ22" s="285"/>
      <c r="AK22" s="289"/>
      <c r="AL22" s="285" t="str">
        <f>IFERROR(__xludf.DUMMYFUNCTION("""COMPUTED_VALUE"""),"jadinya ke bali")</f>
        <v>jadinya ke bali</v>
      </c>
    </row>
    <row r="23">
      <c r="B23" s="201"/>
      <c r="C23" s="202"/>
      <c r="F23" s="285" t="str">
        <f>IFERROR(__xludf.DUMMYFUNCTION("""COMPUTED_VALUE"""),"2606A179")</f>
        <v>2606A179</v>
      </c>
      <c r="G23" s="286">
        <f>IFERROR(__xludf.DUMMYFUNCTION("""COMPUTED_VALUE"""),46202.0)</f>
        <v>46202</v>
      </c>
      <c r="H23" s="285" t="str">
        <f>IFERROR(__xludf.DUMMYFUNCTION("""COMPUTED_VALUE"""),"Jessica")</f>
        <v>Jessica</v>
      </c>
      <c r="I23" s="285" t="str">
        <f>IFERROR(__xludf.DUMMYFUNCTION("""COMPUTED_VALUE"""),"082316352135")</f>
        <v>082316352135</v>
      </c>
      <c r="J23" s="285" t="str">
        <f>IFERROR(__xludf.DUMMYFUNCTION("""COMPUTED_VALUE"""),"Leads Baru")</f>
        <v>Leads Baru</v>
      </c>
      <c r="K23" s="285"/>
      <c r="L23" s="287"/>
      <c r="M23" s="285"/>
      <c r="N23" s="289"/>
      <c r="O23" s="285"/>
      <c r="P23" s="320"/>
      <c r="R23" s="285" t="str">
        <f>IFERROR(__xludf.DUMMYFUNCTION("""COMPUTED_VALUE"""),"2603A044")</f>
        <v>2603A044</v>
      </c>
      <c r="S23" s="286">
        <f>IFERROR(__xludf.DUMMYFUNCTION("""COMPUTED_VALUE"""),46098.0)</f>
        <v>46098</v>
      </c>
      <c r="T23" s="285" t="str">
        <f>IFERROR(__xludf.DUMMYFUNCTION("""COMPUTED_VALUE"""),"Dimas")</f>
        <v>Dimas</v>
      </c>
      <c r="U23" s="285" t="str">
        <f>IFERROR(__xludf.DUMMYFUNCTION("""COMPUTED_VALUE"""),"081297736447")</f>
        <v>081297736447</v>
      </c>
      <c r="V23" s="285" t="str">
        <f>IFERROR(__xludf.DUMMYFUNCTION("""COMPUTED_VALUE"""),"Closing")</f>
        <v>Closing</v>
      </c>
      <c r="W23" s="285" t="str">
        <f>IFERROR(__xludf.DUMMYFUNCTION("""COMPUTED_VALUE"""),"2H1M opsi D")</f>
        <v>2H1M opsi D</v>
      </c>
      <c r="X23" s="287"/>
      <c r="Y23" s="285">
        <f>IFERROR(__xludf.DUMMYFUNCTION("""COMPUTED_VALUE"""),4.0)</f>
        <v>4</v>
      </c>
      <c r="Z23" s="289">
        <f>IFERROR(__xludf.DUMMYFUNCTION("""COMPUTED_VALUE"""),4800000.0)</f>
        <v>4800000</v>
      </c>
      <c r="AA23" s="285" t="str">
        <f>IFERROR(__xludf.DUMMYFUNCTION("""COMPUTED_VALUE"""),"alhamdulillah order ")</f>
        <v>alhamdulillah order </v>
      </c>
      <c r="AC23" s="285" t="str">
        <f>IFERROR(__xludf.DUMMYFUNCTION("""COMPUTED_VALUE"""),"2601A025")</f>
        <v>2601A025</v>
      </c>
      <c r="AD23" s="286">
        <f>IFERROR(__xludf.DUMMYFUNCTION("""COMPUTED_VALUE"""),46041.0)</f>
        <v>46041</v>
      </c>
      <c r="AE23" s="285" t="str">
        <f>IFERROR(__xludf.DUMMYFUNCTION("""COMPUTED_VALUE"""),"Fadilah")</f>
        <v>Fadilah</v>
      </c>
      <c r="AF23" s="285" t="str">
        <f>IFERROR(__xludf.DUMMYFUNCTION("""COMPUTED_VALUE"""),"087715569423")</f>
        <v>087715569423</v>
      </c>
      <c r="AG23" s="285" t="str">
        <f>IFERROR(__xludf.DUMMYFUNCTION("""COMPUTED_VALUE"""),"Gagal")</f>
        <v>Gagal</v>
      </c>
      <c r="AH23" s="285" t="str">
        <f>IFERROR(__xludf.DUMMYFUNCTION("""COMPUTED_VALUE"""),"4H3M")</f>
        <v>4H3M</v>
      </c>
      <c r="AI23" s="287"/>
      <c r="AJ23" s="285"/>
      <c r="AK23" s="289"/>
      <c r="AL23" s="285"/>
    </row>
    <row r="24">
      <c r="F24" s="285" t="str">
        <f>IFERROR(__xludf.DUMMYFUNCTION("""COMPUTED_VALUE"""),"2606A180")</f>
        <v>2606A180</v>
      </c>
      <c r="G24" s="286">
        <f>IFERROR(__xludf.DUMMYFUNCTION("""COMPUTED_VALUE"""),46202.0)</f>
        <v>46202</v>
      </c>
      <c r="H24" s="285" t="str">
        <f>IFERROR(__xludf.DUMMYFUNCTION("""COMPUTED_VALUE"""),"Waaa")</f>
        <v>Waaa</v>
      </c>
      <c r="I24" s="285" t="str">
        <f>IFERROR(__xludf.DUMMYFUNCTION("""COMPUTED_VALUE"""),"082223083995")</f>
        <v>082223083995</v>
      </c>
      <c r="J24" s="285" t="str">
        <f>IFERROR(__xludf.DUMMYFUNCTION("""COMPUTED_VALUE"""),"Leads Baru")</f>
        <v>Leads Baru</v>
      </c>
      <c r="K24" s="285"/>
      <c r="L24" s="287"/>
      <c r="M24" s="285"/>
      <c r="N24" s="289"/>
      <c r="O24" s="285"/>
      <c r="P24" s="320"/>
      <c r="R24" s="285" t="str">
        <f>IFERROR(__xludf.DUMMYFUNCTION("""COMPUTED_VALUE"""),"2603A054")</f>
        <v>2603A054</v>
      </c>
      <c r="S24" s="286">
        <f>IFERROR(__xludf.DUMMYFUNCTION("""COMPUTED_VALUE"""),46100.0)</f>
        <v>46100</v>
      </c>
      <c r="T24" s="285" t="str">
        <f>IFERROR(__xludf.DUMMYFUNCTION("""COMPUTED_VALUE"""),"Soraya")</f>
        <v>Soraya</v>
      </c>
      <c r="U24" s="285" t="str">
        <f>IFERROR(__xludf.DUMMYFUNCTION("""COMPUTED_VALUE"""),"085839925828")</f>
        <v>085839925828</v>
      </c>
      <c r="V24" s="285" t="str">
        <f>IFERROR(__xludf.DUMMYFUNCTION("""COMPUTED_VALUE"""),"Closing")</f>
        <v>Closing</v>
      </c>
      <c r="W24" s="285" t="str">
        <f>IFERROR(__xludf.DUMMYFUNCTION("""COMPUTED_VALUE"""),"OT M T")</f>
        <v>OT M T</v>
      </c>
      <c r="X24" s="287">
        <f>IFERROR(__xludf.DUMMYFUNCTION("""COMPUTED_VALUE"""),46104.0)</f>
        <v>46104</v>
      </c>
      <c r="Y24" s="285">
        <f>IFERROR(__xludf.DUMMYFUNCTION("""COMPUTED_VALUE"""),3.0)</f>
        <v>3</v>
      </c>
      <c r="Z24" s="289">
        <f>IFERROR(__xludf.DUMMYFUNCTION("""COMPUTED_VALUE"""),1050000.0)</f>
        <v>1050000</v>
      </c>
      <c r="AA24" s="285" t="str">
        <f>IFERROR(__xludf.DUMMYFUNCTION("""COMPUTED_VALUE"""),"Alhamdulillah")</f>
        <v>Alhamdulillah</v>
      </c>
      <c r="AC24" s="285" t="str">
        <f>IFERROR(__xludf.DUMMYFUNCTION("""COMPUTED_VALUE"""),"2601A026")</f>
        <v>2601A026</v>
      </c>
      <c r="AD24" s="286">
        <f>IFERROR(__xludf.DUMMYFUNCTION("""COMPUTED_VALUE"""),46041.0)</f>
        <v>46041</v>
      </c>
      <c r="AE24" s="285" t="str">
        <f>IFERROR(__xludf.DUMMYFUNCTION("""COMPUTED_VALUE"""),"Okky")</f>
        <v>Okky</v>
      </c>
      <c r="AF24" s="285" t="str">
        <f>IFERROR(__xludf.DUMMYFUNCTION("""COMPUTED_VALUE"""),"081319880887")</f>
        <v>081319880887</v>
      </c>
      <c r="AG24" s="285" t="str">
        <f>IFERROR(__xludf.DUMMYFUNCTION("""COMPUTED_VALUE"""),"Gagal")</f>
        <v>Gagal</v>
      </c>
      <c r="AH24" s="285" t="str">
        <f>IFERROR(__xludf.DUMMYFUNCTION("""COMPUTED_VALUE"""),"3H2M A")</f>
        <v>3H2M A</v>
      </c>
      <c r="AI24" s="287"/>
      <c r="AJ24" s="285">
        <f>IFERROR(__xludf.DUMMYFUNCTION("""COMPUTED_VALUE"""),4.0)</f>
        <v>4</v>
      </c>
      <c r="AK24" s="289">
        <f>IFERROR(__xludf.DUMMYFUNCTION("""COMPUTED_VALUE"""),6808000.0)</f>
        <v>6808000</v>
      </c>
      <c r="AL24" s="285" t="str">
        <f>IFERROR(__xludf.DUMMYFUNCTION("""COMPUTED_VALUE"""),"gada balasan")</f>
        <v>gada balasan</v>
      </c>
    </row>
    <row r="25">
      <c r="B25" s="317" t="s">
        <v>10228</v>
      </c>
      <c r="C25" s="195"/>
      <c r="F25" s="285" t="str">
        <f>IFERROR(__xludf.DUMMYFUNCTION("""COMPUTED_VALUE"""),"2606A181")</f>
        <v>2606A181</v>
      </c>
      <c r="G25" s="286">
        <f>IFERROR(__xludf.DUMMYFUNCTION("""COMPUTED_VALUE"""),46202.0)</f>
        <v>46202</v>
      </c>
      <c r="H25" s="285" t="str">
        <f>IFERROR(__xludf.DUMMYFUNCTION("""COMPUTED_VALUE"""),"AH")</f>
        <v>AH</v>
      </c>
      <c r="I25" s="285" t="str">
        <f>IFERROR(__xludf.DUMMYFUNCTION("""COMPUTED_VALUE"""),"089669687979")</f>
        <v>089669687979</v>
      </c>
      <c r="J25" s="285" t="str">
        <f>IFERROR(__xludf.DUMMYFUNCTION("""COMPUTED_VALUE"""),"Leads Baru")</f>
        <v>Leads Baru</v>
      </c>
      <c r="K25" s="285" t="str">
        <f>IFERROR(__xludf.DUMMYFUNCTION("""COMPUTED_VALUE"""),"2H1M")</f>
        <v>2H1M</v>
      </c>
      <c r="L25" s="287"/>
      <c r="M25" s="285"/>
      <c r="N25" s="289"/>
      <c r="O25" s="285"/>
      <c r="P25" s="320"/>
      <c r="R25" s="285" t="str">
        <f>IFERROR(__xludf.DUMMYFUNCTION("""COMPUTED_VALUE"""),"2603A058")</f>
        <v>2603A058</v>
      </c>
      <c r="S25" s="286">
        <f>IFERROR(__xludf.DUMMYFUNCTION("""COMPUTED_VALUE"""),46101.0)</f>
        <v>46101</v>
      </c>
      <c r="T25" s="285" t="str">
        <f>IFERROR(__xludf.DUMMYFUNCTION("""COMPUTED_VALUE"""),"Joseph Ferdinand")</f>
        <v>Joseph Ferdinand</v>
      </c>
      <c r="U25" s="285" t="str">
        <f>IFERROR(__xludf.DUMMYFUNCTION("""COMPUTED_VALUE"""),"087729390111")</f>
        <v>087729390111</v>
      </c>
      <c r="V25" s="285" t="str">
        <f>IFERROR(__xludf.DUMMYFUNCTION("""COMPUTED_VALUE"""),"Closing")</f>
        <v>Closing</v>
      </c>
      <c r="W25" s="285" t="str">
        <f>IFERROR(__xludf.DUMMYFUNCTION("""COMPUTED_VALUE"""),"3H2M")</f>
        <v>3H2M</v>
      </c>
      <c r="X25" s="287"/>
      <c r="Y25" s="285">
        <f>IFERROR(__xludf.DUMMYFUNCTION("""COMPUTED_VALUE"""),10.0)</f>
        <v>10</v>
      </c>
      <c r="Z25" s="289">
        <f>IFERROR(__xludf.DUMMYFUNCTION("""COMPUTED_VALUE"""),2.198E7)</f>
        <v>21980000</v>
      </c>
      <c r="AA25" s="285" t="str">
        <f>IFERROR(__xludf.DUMMYFUNCTION("""COMPUTED_VALUE"""),"include votel manyar, 2 orang hanya ikut day 1, d2 &amp; d3 8 orang yang trip")</f>
        <v>include votel manyar, 2 orang hanya ikut day 1, d2 &amp; d3 8 orang yang trip</v>
      </c>
      <c r="AC25" s="285" t="str">
        <f>IFERROR(__xludf.DUMMYFUNCTION("""COMPUTED_VALUE"""),"2601A027")</f>
        <v>2601A027</v>
      </c>
      <c r="AD25" s="286">
        <f>IFERROR(__xludf.DUMMYFUNCTION("""COMPUTED_VALUE"""),46041.0)</f>
        <v>46041</v>
      </c>
      <c r="AE25" s="285" t="str">
        <f>IFERROR(__xludf.DUMMYFUNCTION("""COMPUTED_VALUE"""),"Tiyan")</f>
        <v>Tiyan</v>
      </c>
      <c r="AF25" s="285" t="str">
        <f>IFERROR(__xludf.DUMMYFUNCTION("""COMPUTED_VALUE"""),"085159766960")</f>
        <v>085159766960</v>
      </c>
      <c r="AG25" s="285" t="str">
        <f>IFERROR(__xludf.DUMMYFUNCTION("""COMPUTED_VALUE"""),"Gagal")</f>
        <v>Gagal</v>
      </c>
      <c r="AH25" s="285" t="str">
        <f>IFERROR(__xludf.DUMMYFUNCTION("""COMPUTED_VALUE"""),"3H2M")</f>
        <v>3H2M</v>
      </c>
      <c r="AI25" s="287"/>
      <c r="AJ25" s="285"/>
      <c r="AK25" s="289"/>
      <c r="AL25" s="285" t="str">
        <f>IFERROR(__xludf.DUMMYFUNCTION("""COMPUTED_VALUE"""),"tidak ada respon")</f>
        <v>tidak ada respon</v>
      </c>
    </row>
    <row r="26">
      <c r="B26" s="318">
        <f>sum(AK3:AK1499)</f>
        <v>1616588200</v>
      </c>
      <c r="C26" s="197"/>
      <c r="F26" s="285" t="str">
        <f>IFERROR(__xludf.DUMMYFUNCTION("""COMPUTED_VALUE"""),"2606A182")</f>
        <v>2606A182</v>
      </c>
      <c r="G26" s="286">
        <f>IFERROR(__xludf.DUMMYFUNCTION("""COMPUTED_VALUE"""),46203.0)</f>
        <v>46203</v>
      </c>
      <c r="H26" s="285" t="str">
        <f>IFERROR(__xludf.DUMMYFUNCTION("""COMPUTED_VALUE"""),"Irmayani")</f>
        <v>Irmayani</v>
      </c>
      <c r="I26" s="285" t="str">
        <f>IFERROR(__xludf.DUMMYFUNCTION("""COMPUTED_VALUE"""),"082218341333")</f>
        <v>082218341333</v>
      </c>
      <c r="J26" s="285" t="str">
        <f>IFERROR(__xludf.DUMMYFUNCTION("""COMPUTED_VALUE"""),"Leads Baru")</f>
        <v>Leads Baru</v>
      </c>
      <c r="K26" s="285" t="str">
        <f>IFERROR(__xludf.DUMMYFUNCTION("""COMPUTED_VALUE"""),"green island, tabuhan, menjangan")</f>
        <v>green island, tabuhan, menjangan</v>
      </c>
      <c r="L26" s="287"/>
      <c r="M26" s="285"/>
      <c r="N26" s="289"/>
      <c r="O26" s="285"/>
      <c r="P26" s="320"/>
      <c r="R26" s="285" t="str">
        <f>IFERROR(__xludf.DUMMYFUNCTION("""COMPUTED_VALUE"""),"2603A069")</f>
        <v>2603A069</v>
      </c>
      <c r="S26" s="286">
        <f>IFERROR(__xludf.DUMMYFUNCTION("""COMPUTED_VALUE"""),46102.0)</f>
        <v>46102</v>
      </c>
      <c r="T26" s="285" t="str">
        <f>IFERROR(__xludf.DUMMYFUNCTION("""COMPUTED_VALUE"""),"Theo")</f>
        <v>Theo</v>
      </c>
      <c r="U26" s="285" t="str">
        <f>IFERROR(__xludf.DUMMYFUNCTION("""COMPUTED_VALUE"""),"081322307227")</f>
        <v>081322307227</v>
      </c>
      <c r="V26" s="285" t="str">
        <f>IFERROR(__xludf.DUMMYFUNCTION("""COMPUTED_VALUE"""),"Closing")</f>
        <v>Closing</v>
      </c>
      <c r="W26" s="285" t="str">
        <f>IFERROR(__xludf.DUMMYFUNCTION("""COMPUTED_VALUE"""),"3h2m ")</f>
        <v>3h2m </v>
      </c>
      <c r="X26" s="287"/>
      <c r="Y26" s="285">
        <f>IFERROR(__xludf.DUMMYFUNCTION("""COMPUTED_VALUE"""),9.0)</f>
        <v>9</v>
      </c>
      <c r="Z26" s="289"/>
      <c r="AA26" s="285" t="str">
        <f>IFERROR(__xludf.DUMMYFUNCTION("""COMPUTED_VALUE"""),"ALHAMDULILLAH ORDER")</f>
        <v>ALHAMDULILLAH ORDER</v>
      </c>
      <c r="AC26" s="285" t="str">
        <f>IFERROR(__xludf.DUMMYFUNCTION("""COMPUTED_VALUE"""),"2601A028")</f>
        <v>2601A028</v>
      </c>
      <c r="AD26" s="286">
        <f>IFERROR(__xludf.DUMMYFUNCTION("""COMPUTED_VALUE"""),46041.0)</f>
        <v>46041</v>
      </c>
      <c r="AE26" s="285" t="str">
        <f>IFERROR(__xludf.DUMMYFUNCTION("""COMPUTED_VALUE"""),"Roha")</f>
        <v>Roha</v>
      </c>
      <c r="AF26" s="285" t="str">
        <f>IFERROR(__xludf.DUMMYFUNCTION("""COMPUTED_VALUE"""),"923344633856")</f>
        <v>923344633856</v>
      </c>
      <c r="AG26" s="285" t="str">
        <f>IFERROR(__xludf.DUMMYFUNCTION("""COMPUTED_VALUE"""),"Gagal")</f>
        <v>Gagal</v>
      </c>
      <c r="AH26" s="285" t="str">
        <f>IFERROR(__xludf.DUMMYFUNCTION("""COMPUTED_VALUE"""),"trip djawatan baluran")</f>
        <v>trip djawatan baluran</v>
      </c>
      <c r="AI26" s="287"/>
      <c r="AJ26" s="285">
        <f>IFERROR(__xludf.DUMMYFUNCTION("""COMPUTED_VALUE"""),2.0)</f>
        <v>2</v>
      </c>
      <c r="AK26" s="289"/>
      <c r="AL26" s="285" t="str">
        <f>IFERROR(__xludf.DUMMYFUNCTION("""COMPUTED_VALUE"""),"tidak tertarik ")</f>
        <v>tidak tertarik </v>
      </c>
    </row>
    <row r="27">
      <c r="B27" s="201"/>
      <c r="C27" s="202"/>
      <c r="F27" s="285" t="str">
        <f>IFERROR(__xludf.DUMMYFUNCTION("""COMPUTED_VALUE"""),"2606A183")</f>
        <v>2606A183</v>
      </c>
      <c r="G27" s="286">
        <f>IFERROR(__xludf.DUMMYFUNCTION("""COMPUTED_VALUE"""),46203.0)</f>
        <v>46203</v>
      </c>
      <c r="H27" s="285" t="str">
        <f>IFERROR(__xludf.DUMMYFUNCTION("""COMPUTED_VALUE"""),"Rosmalia")</f>
        <v>Rosmalia</v>
      </c>
      <c r="I27" s="285" t="str">
        <f>IFERROR(__xludf.DUMMYFUNCTION("""COMPUTED_VALUE"""),"08158102702")</f>
        <v>08158102702</v>
      </c>
      <c r="J27" s="285" t="str">
        <f>IFERROR(__xludf.DUMMYFUNCTION("""COMPUTED_VALUE"""),"Leads Baru")</f>
        <v>Leads Baru</v>
      </c>
      <c r="K27" s="285" t="str">
        <f>IFERROR(__xludf.DUMMYFUNCTION("""COMPUTED_VALUE"""),"ot 3h2m")</f>
        <v>ot 3h2m</v>
      </c>
      <c r="L27" s="287"/>
      <c r="M27" s="285"/>
      <c r="N27" s="289"/>
      <c r="O27" s="285"/>
      <c r="P27" s="320"/>
      <c r="R27" s="285" t="str">
        <f>IFERROR(__xludf.DUMMYFUNCTION("""COMPUTED_VALUE"""),"2603A081")</f>
        <v>2603A081</v>
      </c>
      <c r="S27" s="286">
        <f>IFERROR(__xludf.DUMMYFUNCTION("""COMPUTED_VALUE"""),46105.0)</f>
        <v>46105</v>
      </c>
      <c r="T27" s="285" t="str">
        <f>IFERROR(__xludf.DUMMYFUNCTION("""COMPUTED_VALUE"""),"Nur Hayati")</f>
        <v>Nur Hayati</v>
      </c>
      <c r="U27" s="285" t="str">
        <f>IFERROR(__xludf.DUMMYFUNCTION("""COMPUTED_VALUE"""),"081128889698")</f>
        <v>081128889698</v>
      </c>
      <c r="V27" s="285" t="str">
        <f>IFERROR(__xludf.DUMMYFUNCTION("""COMPUTED_VALUE"""),"Closing")</f>
        <v>Closing</v>
      </c>
      <c r="W27" s="285"/>
      <c r="X27" s="287"/>
      <c r="Y27" s="285"/>
      <c r="Z27" s="289"/>
      <c r="AA27" s="285" t="str">
        <f>IFERROR(__xludf.DUMMYFUNCTION("""COMPUTED_VALUE"""),"Saudara tamu Aisyah")</f>
        <v>Saudara tamu Aisyah</v>
      </c>
      <c r="AC27" s="285" t="str">
        <f>IFERROR(__xludf.DUMMYFUNCTION("""COMPUTED_VALUE"""),"2601A029")</f>
        <v>2601A029</v>
      </c>
      <c r="AD27" s="286">
        <f>IFERROR(__xludf.DUMMYFUNCTION("""COMPUTED_VALUE"""),46041.0)</f>
        <v>46041</v>
      </c>
      <c r="AE27" s="285" t="str">
        <f>IFERROR(__xludf.DUMMYFUNCTION("""COMPUTED_VALUE"""),"Tsabitah Nur")</f>
        <v>Tsabitah Nur</v>
      </c>
      <c r="AF27" s="285" t="str">
        <f>IFERROR(__xludf.DUMMYFUNCTION("""COMPUTED_VALUE"""),"085163058792")</f>
        <v>085163058792</v>
      </c>
      <c r="AG27" s="285" t="str">
        <f>IFERROR(__xludf.DUMMYFUNCTION("""COMPUTED_VALUE"""),"Gagal")</f>
        <v>Gagal</v>
      </c>
      <c r="AH27" s="285"/>
      <c r="AI27" s="287"/>
      <c r="AJ27" s="285"/>
      <c r="AK27" s="289"/>
      <c r="AL27" s="285" t="str">
        <f>IFERROR(__xludf.DUMMYFUNCTION("""COMPUTED_VALUE"""),"tidak ada respon")</f>
        <v>tidak ada respon</v>
      </c>
    </row>
    <row r="28">
      <c r="F28" s="285" t="str">
        <f>IFERROR(__xludf.DUMMYFUNCTION("""COMPUTED_VALUE"""),"2606A184")</f>
        <v>2606A184</v>
      </c>
      <c r="G28" s="286">
        <f>IFERROR(__xludf.DUMMYFUNCTION("""COMPUTED_VALUE"""),46203.0)</f>
        <v>46203</v>
      </c>
      <c r="H28" s="285" t="str">
        <f>IFERROR(__xludf.DUMMYFUNCTION("""COMPUTED_VALUE"""),"Ruth Velani")</f>
        <v>Ruth Velani</v>
      </c>
      <c r="I28" s="285" t="str">
        <f>IFERROR(__xludf.DUMMYFUNCTION("""COMPUTED_VALUE"""),"08121582928")</f>
        <v>08121582928</v>
      </c>
      <c r="J28" s="285" t="str">
        <f>IFERROR(__xludf.DUMMYFUNCTION("""COMPUTED_VALUE"""),"Leads Baru")</f>
        <v>Leads Baru</v>
      </c>
      <c r="K28" s="285" t="str">
        <f>IFERROR(__xludf.DUMMYFUNCTION("""COMPUTED_VALUE"""),"2h1m")</f>
        <v>2h1m</v>
      </c>
      <c r="L28" s="287"/>
      <c r="M28" s="285"/>
      <c r="N28" s="289"/>
      <c r="O28" s="285"/>
      <c r="P28" s="320"/>
      <c r="R28" s="285" t="str">
        <f>IFERROR(__xludf.DUMMYFUNCTION("""COMPUTED_VALUE"""),"2603A082")</f>
        <v>2603A082</v>
      </c>
      <c r="S28" s="286">
        <f>IFERROR(__xludf.DUMMYFUNCTION("""COMPUTED_VALUE"""),46105.0)</f>
        <v>46105</v>
      </c>
      <c r="T28" s="285" t="str">
        <f>IFERROR(__xludf.DUMMYFUNCTION("""COMPUTED_VALUE"""),"Anna Rozaq")</f>
        <v>Anna Rozaq</v>
      </c>
      <c r="U28" s="285" t="str">
        <f>IFERROR(__xludf.DUMMYFUNCTION("""COMPUTED_VALUE"""),"08122860749")</f>
        <v>08122860749</v>
      </c>
      <c r="V28" s="285" t="str">
        <f>IFERROR(__xludf.DUMMYFUNCTION("""COMPUTED_VALUE"""),"Closing")</f>
        <v>Closing</v>
      </c>
      <c r="W28" s="285" t="str">
        <f>IFERROR(__xludf.DUMMYFUNCTION("""COMPUTED_VALUE"""),"OT Ijen")</f>
        <v>OT Ijen</v>
      </c>
      <c r="X28" s="287">
        <f>IFERROR(__xludf.DUMMYFUNCTION("""COMPUTED_VALUE"""),46107.0)</f>
        <v>46107</v>
      </c>
      <c r="Y28" s="285">
        <f>IFERROR(__xludf.DUMMYFUNCTION("""COMPUTED_VALUE"""),3.0)</f>
        <v>3</v>
      </c>
      <c r="Z28" s="289">
        <f>IFERROR(__xludf.DUMMYFUNCTION("""COMPUTED_VALUE"""),975000.0)</f>
        <v>975000</v>
      </c>
      <c r="AA28" s="285" t="str">
        <f>IFERROR(__xludf.DUMMYFUNCTION("""COMPUTED_VALUE"""),"ALHAMDULILLAH")</f>
        <v>ALHAMDULILLAH</v>
      </c>
      <c r="AC28" s="285" t="str">
        <f>IFERROR(__xludf.DUMMYFUNCTION("""COMPUTED_VALUE"""),"2601A031")</f>
        <v>2601A031</v>
      </c>
      <c r="AD28" s="286">
        <f>IFERROR(__xludf.DUMMYFUNCTION("""COMPUTED_VALUE"""),46042.0)</f>
        <v>46042</v>
      </c>
      <c r="AE28" s="285" t="str">
        <f>IFERROR(__xludf.DUMMYFUNCTION("""COMPUTED_VALUE"""),"Honeymoon")</f>
        <v>Honeymoon</v>
      </c>
      <c r="AF28" s="285" t="str">
        <f>IFERROR(__xludf.DUMMYFUNCTION("""COMPUTED_VALUE"""),"087879654866")</f>
        <v>087879654866</v>
      </c>
      <c r="AG28" s="285" t="str">
        <f>IFERROR(__xludf.DUMMYFUNCTION("""COMPUTED_VALUE"""),"Gagal")</f>
        <v>Gagal</v>
      </c>
      <c r="AH28" s="285" t="str">
        <f>IFERROR(__xludf.DUMMYFUNCTION("""COMPUTED_VALUE"""),"3H2M Opsi A")</f>
        <v>3H2M Opsi A</v>
      </c>
      <c r="AI28" s="287"/>
      <c r="AJ28" s="285"/>
      <c r="AK28" s="289"/>
      <c r="AL28" s="285" t="str">
        <f>IFERROR(__xludf.DUMMYFUNCTION("""COMPUTED_VALUE"""),"tidak ada respon")</f>
        <v>tidak ada respon</v>
      </c>
    </row>
    <row r="29">
      <c r="F29" s="285" t="str">
        <f>IFERROR(__xludf.DUMMYFUNCTION("""COMPUTED_VALUE"""),"2606A185")</f>
        <v>2606A185</v>
      </c>
      <c r="G29" s="286">
        <f>IFERROR(__xludf.DUMMYFUNCTION("""COMPUTED_VALUE"""),46203.0)</f>
        <v>46203</v>
      </c>
      <c r="H29" s="285" t="str">
        <f>IFERROR(__xludf.DUMMYFUNCTION("""COMPUTED_VALUE"""),"Oktii Sahwati")</f>
        <v>Oktii Sahwati</v>
      </c>
      <c r="I29" s="285" t="str">
        <f>IFERROR(__xludf.DUMMYFUNCTION("""COMPUTED_VALUE"""),"082314162612")</f>
        <v>082314162612</v>
      </c>
      <c r="J29" s="285" t="str">
        <f>IFERROR(__xludf.DUMMYFUNCTION("""COMPUTED_VALUE"""),"Leads Baru")</f>
        <v>Leads Baru</v>
      </c>
      <c r="K29" s="285" t="str">
        <f>IFERROR(__xludf.DUMMYFUNCTION("""COMPUTED_VALUE"""),"ot mt")</f>
        <v>ot mt</v>
      </c>
      <c r="L29" s="287"/>
      <c r="M29" s="285"/>
      <c r="N29" s="289"/>
      <c r="O29" s="285"/>
      <c r="P29" s="320"/>
      <c r="R29" s="285" t="str">
        <f>IFERROR(__xludf.DUMMYFUNCTION("""COMPUTED_VALUE"""),"2603A096")</f>
        <v>2603A096</v>
      </c>
      <c r="S29" s="286">
        <f>IFERROR(__xludf.DUMMYFUNCTION("""COMPUTED_VALUE"""),46110.0)</f>
        <v>46110</v>
      </c>
      <c r="T29" s="285" t="str">
        <f>IFERROR(__xludf.DUMMYFUNCTION("""COMPUTED_VALUE"""),"Lilou")</f>
        <v>Lilou</v>
      </c>
      <c r="U29" s="285" t="str">
        <f>IFERROR(__xludf.DUMMYFUNCTION("""COMPUTED_VALUE"""),"41774641655")</f>
        <v>41774641655</v>
      </c>
      <c r="V29" s="285" t="str">
        <f>IFERROR(__xludf.DUMMYFUNCTION("""COMPUTED_VALUE"""),"Closing")</f>
        <v>Closing</v>
      </c>
      <c r="W29" s="285" t="str">
        <f>IFERROR(__xludf.DUMMYFUNCTION("""COMPUTED_VALUE"""),"OT M T")</f>
        <v>OT M T</v>
      </c>
      <c r="X29" s="287">
        <f>IFERROR(__xludf.DUMMYFUNCTION("""COMPUTED_VALUE"""),46113.0)</f>
        <v>46113</v>
      </c>
      <c r="Y29" s="285">
        <f>IFERROR(__xludf.DUMMYFUNCTION("""COMPUTED_VALUE"""),1.0)</f>
        <v>1</v>
      </c>
      <c r="Z29" s="289">
        <f>IFERROR(__xludf.DUMMYFUNCTION("""COMPUTED_VALUE"""),755000.0)</f>
        <v>755000</v>
      </c>
      <c r="AA29" s="285" t="str">
        <f>IFERROR(__xludf.DUMMYFUNCTION("""COMPUTED_VALUE"""),"orderr")</f>
        <v>orderr</v>
      </c>
      <c r="AC29" s="285" t="str">
        <f>IFERROR(__xludf.DUMMYFUNCTION("""COMPUTED_VALUE"""),"2601A032")</f>
        <v>2601A032</v>
      </c>
      <c r="AD29" s="286">
        <f>IFERROR(__xludf.DUMMYFUNCTION("""COMPUTED_VALUE"""),46042.0)</f>
        <v>46042</v>
      </c>
      <c r="AE29" s="285" t="str">
        <f>IFERROR(__xludf.DUMMYFUNCTION("""COMPUTED_VALUE"""),"Nurandita")</f>
        <v>Nurandita</v>
      </c>
      <c r="AF29" s="285" t="str">
        <f>IFERROR(__xludf.DUMMYFUNCTION("""COMPUTED_VALUE"""),"081317308408")</f>
        <v>081317308408</v>
      </c>
      <c r="AG29" s="285" t="str">
        <f>IFERROR(__xludf.DUMMYFUNCTION("""COMPUTED_VALUE"""),"Gagal")</f>
        <v>Gagal</v>
      </c>
      <c r="AH29" s="285" t="str">
        <f>IFERROR(__xludf.DUMMYFUNCTION("""COMPUTED_VALUE"""),"Private Trip 3H2M Custom")</f>
        <v>Private Trip 3H2M Custom</v>
      </c>
      <c r="AI29" s="287"/>
      <c r="AJ29" s="285">
        <f>IFERROR(__xludf.DUMMYFUNCTION("""COMPUTED_VALUE"""),21.0)</f>
        <v>21</v>
      </c>
      <c r="AK29" s="289">
        <f>IFERROR(__xludf.DUMMYFUNCTION("""COMPUTED_VALUE"""),5.166E7)</f>
        <v>51660000</v>
      </c>
      <c r="AL29" s="285" t="str">
        <f>IFERROR(__xludf.DUMMYFUNCTION("""COMPUTED_VALUE"""),"gada bbalasan")</f>
        <v>gada bbalasan</v>
      </c>
    </row>
    <row r="30">
      <c r="F30" s="285" t="str">
        <f>IFERROR(__xludf.DUMMYFUNCTION("""COMPUTED_VALUE"""),"2606A186")</f>
        <v>2606A186</v>
      </c>
      <c r="G30" s="286">
        <f>IFERROR(__xludf.DUMMYFUNCTION("""COMPUTED_VALUE"""),46203.0)</f>
        <v>46203</v>
      </c>
      <c r="H30" s="285" t="str">
        <f>IFERROR(__xludf.DUMMYFUNCTION("""COMPUTED_VALUE"""),"Arief Cahyadi")</f>
        <v>Arief Cahyadi</v>
      </c>
      <c r="I30" s="285" t="str">
        <f>IFERROR(__xludf.DUMMYFUNCTION("""COMPUTED_VALUE"""),"081381620825")</f>
        <v>081381620825</v>
      </c>
      <c r="J30" s="285" t="str">
        <f>IFERROR(__xludf.DUMMYFUNCTION("""COMPUTED_VALUE"""),"Leads Baru")</f>
        <v>Leads Baru</v>
      </c>
      <c r="K30" s="285"/>
      <c r="L30" s="287"/>
      <c r="M30" s="285"/>
      <c r="N30" s="289"/>
      <c r="O30" s="285"/>
      <c r="P30" s="320"/>
      <c r="R30" s="285" t="str">
        <f>IFERROR(__xludf.DUMMYFUNCTION("""COMPUTED_VALUE"""),"2603A097")</f>
        <v>2603A097</v>
      </c>
      <c r="S30" s="286">
        <f>IFERROR(__xludf.DUMMYFUNCTION("""COMPUTED_VALUE"""),46111.0)</f>
        <v>46111</v>
      </c>
      <c r="T30" s="285" t="str">
        <f>IFERROR(__xludf.DUMMYFUNCTION("""COMPUTED_VALUE"""),"Rere")</f>
        <v>Rere</v>
      </c>
      <c r="U30" s="285" t="str">
        <f>IFERROR(__xludf.DUMMYFUNCTION("""COMPUTED_VALUE"""),"085743314475")</f>
        <v>085743314475</v>
      </c>
      <c r="V30" s="285" t="str">
        <f>IFERROR(__xludf.DUMMYFUNCTION("""COMPUTED_VALUE"""),"Closing")</f>
        <v>Closing</v>
      </c>
      <c r="W30" s="285" t="str">
        <f>IFERROR(__xludf.DUMMYFUNCTION("""COMPUTED_VALUE"""),"3H2M Opsi A")</f>
        <v>3H2M Opsi A</v>
      </c>
      <c r="X30" s="287"/>
      <c r="Y30" s="285"/>
      <c r="Z30" s="289">
        <f>IFERROR(__xludf.DUMMYFUNCTION("""COMPUTED_VALUE"""),2.11E7)</f>
        <v>21100000</v>
      </c>
      <c r="AA30" s="285" t="str">
        <f>IFERROR(__xludf.DUMMYFUNCTION("""COMPUTED_VALUE"""),"buat penawaran")</f>
        <v>buat penawaran</v>
      </c>
      <c r="AC30" s="285" t="str">
        <f>IFERROR(__xludf.DUMMYFUNCTION("""COMPUTED_VALUE"""),"2601A033")</f>
        <v>2601A033</v>
      </c>
      <c r="AD30" s="286">
        <f>IFERROR(__xludf.DUMMYFUNCTION("""COMPUTED_VALUE"""),46042.0)</f>
        <v>46042</v>
      </c>
      <c r="AE30" s="285" t="str">
        <f>IFERROR(__xludf.DUMMYFUNCTION("""COMPUTED_VALUE"""),"Thio")</f>
        <v>Thio</v>
      </c>
      <c r="AF30" s="285" t="str">
        <f>IFERROR(__xludf.DUMMYFUNCTION("""COMPUTED_VALUE"""),"081219155817")</f>
        <v>081219155817</v>
      </c>
      <c r="AG30" s="285" t="str">
        <f>IFERROR(__xludf.DUMMYFUNCTION("""COMPUTED_VALUE"""),"Gagal")</f>
        <v>Gagal</v>
      </c>
      <c r="AH30" s="285" t="str">
        <f>IFERROR(__xludf.DUMMYFUNCTION("""COMPUTED_VALUE"""),"3H2M")</f>
        <v>3H2M</v>
      </c>
      <c r="AI30" s="287"/>
      <c r="AJ30" s="285">
        <f>IFERROR(__xludf.DUMMYFUNCTION("""COMPUTED_VALUE"""),7.0)</f>
        <v>7</v>
      </c>
      <c r="AK30" s="289"/>
      <c r="AL30" s="285" t="str">
        <f>IFERROR(__xludf.DUMMYFUNCTION("""COMPUTED_VALUE"""),"tanya tanya")</f>
        <v>tanya tanya</v>
      </c>
    </row>
    <row r="31">
      <c r="F31" s="285" t="str">
        <f>IFERROR(__xludf.DUMMYFUNCTION("""COMPUTED_VALUE"""),"2606A187")</f>
        <v>2606A187</v>
      </c>
      <c r="G31" s="286">
        <f>IFERROR(__xludf.DUMMYFUNCTION("""COMPUTED_VALUE"""),46203.0)</f>
        <v>46203</v>
      </c>
      <c r="H31" s="285" t="str">
        <f>IFERROR(__xludf.DUMMYFUNCTION("""COMPUTED_VALUE"""),"Maurilla S Imron")</f>
        <v>Maurilla S Imron</v>
      </c>
      <c r="I31" s="285" t="str">
        <f>IFERROR(__xludf.DUMMYFUNCTION("""COMPUTED_VALUE"""),"31616653777")</f>
        <v>31616653777</v>
      </c>
      <c r="J31" s="285" t="str">
        <f>IFERROR(__xludf.DUMMYFUNCTION("""COMPUTED_VALUE"""),"Leads Baru")</f>
        <v>Leads Baru</v>
      </c>
      <c r="K31" s="285" t="str">
        <f>IFERROR(__xludf.DUMMYFUNCTION("""COMPUTED_VALUE"""),"trip green island")</f>
        <v>trip green island</v>
      </c>
      <c r="L31" s="287"/>
      <c r="M31" s="285"/>
      <c r="N31" s="289"/>
      <c r="O31" s="285"/>
      <c r="P31" s="320"/>
      <c r="R31" s="285" t="str">
        <f>IFERROR(__xludf.DUMMYFUNCTION("""COMPUTED_VALUE"""),"2604A016")</f>
        <v>2604A016</v>
      </c>
      <c r="S31" s="286">
        <f>IFERROR(__xludf.DUMMYFUNCTION("""COMPUTED_VALUE"""),46118.0)</f>
        <v>46118</v>
      </c>
      <c r="T31" s="285" t="str">
        <f>IFERROR(__xludf.DUMMYFUNCTION("""COMPUTED_VALUE"""),"Mutia")</f>
        <v>Mutia</v>
      </c>
      <c r="U31" s="285" t="str">
        <f>IFERROR(__xludf.DUMMYFUNCTION("""COMPUTED_VALUE"""),"085647052939")</f>
        <v>085647052939</v>
      </c>
      <c r="V31" s="285" t="str">
        <f>IFERROR(__xludf.DUMMYFUNCTION("""COMPUTED_VALUE"""),"Closing")</f>
        <v>Closing</v>
      </c>
      <c r="W31" s="285" t="str">
        <f>IFERROR(__xludf.DUMMYFUNCTION("""COMPUTED_VALUE"""),"2H1M Custom")</f>
        <v>2H1M Custom</v>
      </c>
      <c r="X31" s="287"/>
      <c r="Y31" s="285">
        <f>IFERROR(__xludf.DUMMYFUNCTION("""COMPUTED_VALUE"""),6.0)</f>
        <v>6</v>
      </c>
      <c r="Z31" s="289">
        <f>IFERROR(__xludf.DUMMYFUNCTION("""COMPUTED_VALUE"""),6360000.0)</f>
        <v>6360000</v>
      </c>
      <c r="AA31" s="285" t="str">
        <f>IFERROR(__xludf.DUMMYFUNCTION("""COMPUTED_VALUE"""),"Alhamdulillah")</f>
        <v>Alhamdulillah</v>
      </c>
      <c r="AC31" s="285" t="str">
        <f>IFERROR(__xludf.DUMMYFUNCTION("""COMPUTED_VALUE"""),"2601A034")</f>
        <v>2601A034</v>
      </c>
      <c r="AD31" s="286">
        <f>IFERROR(__xludf.DUMMYFUNCTION("""COMPUTED_VALUE"""),46042.0)</f>
        <v>46042</v>
      </c>
      <c r="AE31" s="285" t="str">
        <f>IFERROR(__xludf.DUMMYFUNCTION("""COMPUTED_VALUE"""),"EL")</f>
        <v>EL</v>
      </c>
      <c r="AF31" s="285" t="str">
        <f>IFERROR(__xludf.DUMMYFUNCTION("""COMPUTED_VALUE"""),"085813040343")</f>
        <v>085813040343</v>
      </c>
      <c r="AG31" s="285" t="str">
        <f>IFERROR(__xludf.DUMMYFUNCTION("""COMPUTED_VALUE"""),"Gagal")</f>
        <v>Gagal</v>
      </c>
      <c r="AH31" s="285" t="str">
        <f>IFERROR(__xludf.DUMMYFUNCTION("""COMPUTED_VALUE"""),"3H2M")</f>
        <v>3H2M</v>
      </c>
      <c r="AI31" s="287"/>
      <c r="AJ31" s="285"/>
      <c r="AK31" s="289"/>
      <c r="AL31" s="285"/>
    </row>
    <row r="32">
      <c r="F32" s="285" t="str">
        <f>IFERROR(__xludf.DUMMYFUNCTION("""COMPUTED_VALUE"""),"2606A188")</f>
        <v>2606A188</v>
      </c>
      <c r="G32" s="286">
        <f>IFERROR(__xludf.DUMMYFUNCTION("""COMPUTED_VALUE"""),46203.0)</f>
        <v>46203</v>
      </c>
      <c r="H32" s="285" t="str">
        <f>IFERROR(__xludf.DUMMYFUNCTION("""COMPUTED_VALUE"""),"Defi")</f>
        <v>Defi</v>
      </c>
      <c r="I32" s="285" t="str">
        <f>IFERROR(__xludf.DUMMYFUNCTION("""COMPUTED_VALUE"""),"081369148426")</f>
        <v>081369148426</v>
      </c>
      <c r="J32" s="285" t="str">
        <f>IFERROR(__xludf.DUMMYFUNCTION("""COMPUTED_VALUE"""),"Leads Baru")</f>
        <v>Leads Baru</v>
      </c>
      <c r="K32" s="285" t="str">
        <f>IFERROR(__xludf.DUMMYFUNCTION("""COMPUTED_VALUE"""),"ot 3h2m")</f>
        <v>ot 3h2m</v>
      </c>
      <c r="L32" s="287"/>
      <c r="M32" s="285">
        <f>IFERROR(__xludf.DUMMYFUNCTION("""COMPUTED_VALUE"""),2.0)</f>
        <v>2</v>
      </c>
      <c r="N32" s="289"/>
      <c r="O32" s="285"/>
      <c r="P32" s="320"/>
      <c r="R32" s="285" t="str">
        <f>IFERROR(__xludf.DUMMYFUNCTION("""COMPUTED_VALUE"""),"2604A017")</f>
        <v>2604A017</v>
      </c>
      <c r="S32" s="286">
        <f>IFERROR(__xludf.DUMMYFUNCTION("""COMPUTED_VALUE"""),46119.0)</f>
        <v>46119</v>
      </c>
      <c r="T32" s="285" t="str">
        <f>IFERROR(__xludf.DUMMYFUNCTION("""COMPUTED_VALUE"""),"Fuad")</f>
        <v>Fuad</v>
      </c>
      <c r="U32" s="285" t="str">
        <f>IFERROR(__xludf.DUMMYFUNCTION("""COMPUTED_VALUE"""),"089508004646‬")</f>
        <v>089508004646‬</v>
      </c>
      <c r="V32" s="285" t="str">
        <f>IFERROR(__xludf.DUMMYFUNCTION("""COMPUTED_VALUE"""),"Closing")</f>
        <v>Closing</v>
      </c>
      <c r="W32" s="285" t="str">
        <f>IFERROR(__xludf.DUMMYFUNCTION("""COMPUTED_VALUE"""),"2H1M custom")</f>
        <v>2H1M custom</v>
      </c>
      <c r="X32" s="287">
        <f>IFERROR(__xludf.DUMMYFUNCTION("""COMPUTED_VALUE"""),46120.0)</f>
        <v>46120</v>
      </c>
      <c r="Y32" s="285">
        <f>IFERROR(__xludf.DUMMYFUNCTION("""COMPUTED_VALUE"""),2.0)</f>
        <v>2</v>
      </c>
      <c r="Z32" s="289">
        <f>IFERROR(__xludf.DUMMYFUNCTION("""COMPUTED_VALUE"""),4670000.0)</f>
        <v>4670000</v>
      </c>
      <c r="AA32" s="285" t="str">
        <f>IFERROR(__xludf.DUMMYFUNCTION("""COMPUTED_VALUE"""),"ALHAMDULILLAH")</f>
        <v>ALHAMDULILLAH</v>
      </c>
      <c r="AC32" s="285" t="str">
        <f>IFERROR(__xludf.DUMMYFUNCTION("""COMPUTED_VALUE"""),"2601A035")</f>
        <v>2601A035</v>
      </c>
      <c r="AD32" s="286">
        <f>IFERROR(__xludf.DUMMYFUNCTION("""COMPUTED_VALUE"""),46043.0)</f>
        <v>46043</v>
      </c>
      <c r="AE32" s="285" t="str">
        <f>IFERROR(__xludf.DUMMYFUNCTION("""COMPUTED_VALUE"""),"Metryayu")</f>
        <v>Metryayu</v>
      </c>
      <c r="AF32" s="285" t="str">
        <f>IFERROR(__xludf.DUMMYFUNCTION("""COMPUTED_VALUE"""),"081388272191")</f>
        <v>081388272191</v>
      </c>
      <c r="AG32" s="285" t="str">
        <f>IFERROR(__xludf.DUMMYFUNCTION("""COMPUTED_VALUE"""),"Gagal")</f>
        <v>Gagal</v>
      </c>
      <c r="AH32" s="285" t="str">
        <f>IFERROR(__xludf.DUMMYFUNCTION("""COMPUTED_VALUE"""),"Trip Djawatan Baluran")</f>
        <v>Trip Djawatan Baluran</v>
      </c>
      <c r="AI32" s="287"/>
      <c r="AJ32" s="285">
        <f>IFERROR(__xludf.DUMMYFUNCTION("""COMPUTED_VALUE"""),5.0)</f>
        <v>5</v>
      </c>
      <c r="AK32" s="289"/>
      <c r="AL32" s="285" t="str">
        <f>IFERROR(__xludf.DUMMYFUNCTION("""COMPUTED_VALUE"""),"tidak ada respon")</f>
        <v>tidak ada respon</v>
      </c>
    </row>
    <row r="33">
      <c r="F33" s="285" t="str">
        <f>IFERROR(__xludf.DUMMYFUNCTION("""COMPUTED_VALUE"""),"2606A191")</f>
        <v>2606A191</v>
      </c>
      <c r="G33" s="286">
        <f>IFERROR(__xludf.DUMMYFUNCTION("""COMPUTED_VALUE"""),46202.0)</f>
        <v>46202</v>
      </c>
      <c r="H33" s="285" t="str">
        <f>IFERROR(__xludf.DUMMYFUNCTION("""COMPUTED_VALUE"""),"Nicolas Viondra")</f>
        <v>Nicolas Viondra</v>
      </c>
      <c r="I33" s="285" t="str">
        <f>IFERROR(__xludf.DUMMYFUNCTION("""COMPUTED_VALUE"""),"087841507976")</f>
        <v>087841507976</v>
      </c>
      <c r="J33" s="285" t="str">
        <f>IFERROR(__xludf.DUMMYFUNCTION("""COMPUTED_VALUE"""),"Leads Baru")</f>
        <v>Leads Baru</v>
      </c>
      <c r="K33" s="285" t="str">
        <f>IFERROR(__xludf.DUMMYFUNCTION("""COMPUTED_VALUE"""),"kawah wurung")</f>
        <v>kawah wurung</v>
      </c>
      <c r="L33" s="287"/>
      <c r="M33" s="285"/>
      <c r="N33" s="289"/>
      <c r="O33" s="285"/>
      <c r="P33" s="320"/>
      <c r="R33" s="285" t="str">
        <f>IFERROR(__xludf.DUMMYFUNCTION("""COMPUTED_VALUE"""),"2604A023")</f>
        <v>2604A023</v>
      </c>
      <c r="S33" s="286">
        <f>IFERROR(__xludf.DUMMYFUNCTION("""COMPUTED_VALUE"""),46120.0)</f>
        <v>46120</v>
      </c>
      <c r="T33" s="285" t="str">
        <f>IFERROR(__xludf.DUMMYFUNCTION("""COMPUTED_VALUE"""),"Lea")</f>
        <v>Lea</v>
      </c>
      <c r="U33" s="285" t="str">
        <f>IFERROR(__xludf.DUMMYFUNCTION("""COMPUTED_VALUE"""),"08996778680")</f>
        <v>08996778680</v>
      </c>
      <c r="V33" s="285" t="str">
        <f>IFERROR(__xludf.DUMMYFUNCTION("""COMPUTED_VALUE"""),"Closing")</f>
        <v>Closing</v>
      </c>
      <c r="W33" s="285" t="str">
        <f>IFERROR(__xludf.DUMMYFUNCTION("""COMPUTED_VALUE"""),"2H2M opsi A")</f>
        <v>2H2M opsi A</v>
      </c>
      <c r="X33" s="287">
        <f>IFERROR(__xludf.DUMMYFUNCTION("""COMPUTED_VALUE"""),46121.0)</f>
        <v>46121</v>
      </c>
      <c r="Y33" s="285">
        <f>IFERROR(__xludf.DUMMYFUNCTION("""COMPUTED_VALUE"""),2.0)</f>
        <v>2</v>
      </c>
      <c r="Z33" s="289">
        <f>IFERROR(__xludf.DUMMYFUNCTION("""COMPUTED_VALUE"""),5714000.0)</f>
        <v>5714000</v>
      </c>
      <c r="AA33" s="285" t="str">
        <f>IFERROR(__xludf.DUMMYFUNCTION("""COMPUTED_VALUE"""),"ALHAMDULILLAH")</f>
        <v>ALHAMDULILLAH</v>
      </c>
      <c r="AC33" s="285" t="str">
        <f>IFERROR(__xludf.DUMMYFUNCTION("""COMPUTED_VALUE"""),"2601A036")</f>
        <v>2601A036</v>
      </c>
      <c r="AD33" s="286">
        <f>IFERROR(__xludf.DUMMYFUNCTION("""COMPUTED_VALUE"""),46043.0)</f>
        <v>46043</v>
      </c>
      <c r="AE33" s="285" t="str">
        <f>IFERROR(__xludf.DUMMYFUNCTION("""COMPUTED_VALUE"""),"Hj.Wiwin")</f>
        <v>Hj.Wiwin</v>
      </c>
      <c r="AF33" s="285" t="str">
        <f>IFERROR(__xludf.DUMMYFUNCTION("""COMPUTED_VALUE"""),"085213862132")</f>
        <v>085213862132</v>
      </c>
      <c r="AG33" s="285" t="str">
        <f>IFERROR(__xludf.DUMMYFUNCTION("""COMPUTED_VALUE"""),"Gagal")</f>
        <v>Gagal</v>
      </c>
      <c r="AH33" s="285" t="str">
        <f>IFERROR(__xludf.DUMMYFUNCTION("""COMPUTED_VALUE"""),"3H2M")</f>
        <v>3H2M</v>
      </c>
      <c r="AI33" s="287"/>
      <c r="AJ33" s="285">
        <f>IFERROR(__xludf.DUMMYFUNCTION("""COMPUTED_VALUE"""),10.0)</f>
        <v>10</v>
      </c>
      <c r="AK33" s="289">
        <f>IFERROR(__xludf.DUMMYFUNCTION("""COMPUTED_VALUE"""),2.865E7)</f>
        <v>28650000</v>
      </c>
      <c r="AL33" s="285" t="str">
        <f>IFERROR(__xludf.DUMMYFUNCTION("""COMPUTED_VALUE"""),"tidak ada respon")</f>
        <v>tidak ada respon</v>
      </c>
    </row>
    <row r="34">
      <c r="F34" s="285" t="str">
        <f>IFERROR(__xludf.DUMMYFUNCTION("""COMPUTED_VALUE"""),"2606A192")</f>
        <v>2606A192</v>
      </c>
      <c r="G34" s="286">
        <f>IFERROR(__xludf.DUMMYFUNCTION("""COMPUTED_VALUE"""),46203.0)</f>
        <v>46203</v>
      </c>
      <c r="H34" s="285" t="str">
        <f>IFERROR(__xludf.DUMMYFUNCTION("""COMPUTED_VALUE"""),"Tania")</f>
        <v>Tania</v>
      </c>
      <c r="I34" s="285" t="str">
        <f>IFERROR(__xludf.DUMMYFUNCTION("""COMPUTED_VALUE"""),"081246383680")</f>
        <v>081246383680</v>
      </c>
      <c r="J34" s="285" t="str">
        <f>IFERROR(__xludf.DUMMYFUNCTION("""COMPUTED_VALUE"""),"Leads Baru")</f>
        <v>Leads Baru</v>
      </c>
      <c r="K34" s="285" t="str">
        <f>IFERROR(__xludf.DUMMYFUNCTION("""COMPUTED_VALUE"""),"kawah ijen, baluran")</f>
        <v>kawah ijen, baluran</v>
      </c>
      <c r="L34" s="287"/>
      <c r="M34" s="285"/>
      <c r="N34" s="289"/>
      <c r="O34" s="285"/>
      <c r="P34" s="320"/>
      <c r="R34" s="285" t="str">
        <f>IFERROR(__xludf.DUMMYFUNCTION("""COMPUTED_VALUE"""),"2604A025")</f>
        <v>2604A025</v>
      </c>
      <c r="S34" s="286">
        <f>IFERROR(__xludf.DUMMYFUNCTION("""COMPUTED_VALUE"""),46120.0)</f>
        <v>46120</v>
      </c>
      <c r="T34" s="285" t="str">
        <f>IFERROR(__xludf.DUMMYFUNCTION("""COMPUTED_VALUE"""),"Audi firstania")</f>
        <v>Audi firstania</v>
      </c>
      <c r="U34" s="285" t="str">
        <f>IFERROR(__xludf.DUMMYFUNCTION("""COMPUTED_VALUE"""),"081334332305")</f>
        <v>081334332305</v>
      </c>
      <c r="V34" s="285" t="str">
        <f>IFERROR(__xludf.DUMMYFUNCTION("""COMPUTED_VALUE"""),"Closing")</f>
        <v>Closing</v>
      </c>
      <c r="W34" s="285" t="str">
        <f>IFERROR(__xludf.DUMMYFUNCTION("""COMPUTED_VALUE"""),"OT I")</f>
        <v>OT I</v>
      </c>
      <c r="X34" s="287">
        <f>IFERROR(__xludf.DUMMYFUNCTION("""COMPUTED_VALUE"""),46123.0)</f>
        <v>46123</v>
      </c>
      <c r="Y34" s="285">
        <f>IFERROR(__xludf.DUMMYFUNCTION("""COMPUTED_VALUE"""),2.0)</f>
        <v>2</v>
      </c>
      <c r="Z34" s="289">
        <f>IFERROR(__xludf.DUMMYFUNCTION("""COMPUTED_VALUE"""),500000.0)</f>
        <v>500000</v>
      </c>
      <c r="AA34" s="285" t="str">
        <f>IFERROR(__xludf.DUMMYFUNCTION("""COMPUTED_VALUE"""),"ALHAMDULILLAH")</f>
        <v>ALHAMDULILLAH</v>
      </c>
      <c r="AC34" s="285" t="str">
        <f>IFERROR(__xludf.DUMMYFUNCTION("""COMPUTED_VALUE"""),"2601A037")</f>
        <v>2601A037</v>
      </c>
      <c r="AD34" s="286">
        <f>IFERROR(__xludf.DUMMYFUNCTION("""COMPUTED_VALUE"""),46043.0)</f>
        <v>46043</v>
      </c>
      <c r="AE34" s="285" t="str">
        <f>IFERROR(__xludf.DUMMYFUNCTION("""COMPUTED_VALUE"""),"82118155984")</f>
        <v>82118155984</v>
      </c>
      <c r="AF34" s="285" t="str">
        <f>IFERROR(__xludf.DUMMYFUNCTION("""COMPUTED_VALUE"""),"082118155984")</f>
        <v>082118155984</v>
      </c>
      <c r="AG34" s="285" t="str">
        <f>IFERROR(__xludf.DUMMYFUNCTION("""COMPUTED_VALUE"""),"Gagal")</f>
        <v>Gagal</v>
      </c>
      <c r="AH34" s="285" t="str">
        <f>IFERROR(__xludf.DUMMYFUNCTION("""COMPUTED_VALUE"""),"3H2M")</f>
        <v>3H2M</v>
      </c>
      <c r="AI34" s="287"/>
      <c r="AJ34" s="285">
        <f>IFERROR(__xludf.DUMMYFUNCTION("""COMPUTED_VALUE"""),3.0)</f>
        <v>3</v>
      </c>
      <c r="AK34" s="289">
        <f>IFERROR(__xludf.DUMMYFUNCTION("""COMPUTED_VALUE"""),9192000.0)</f>
        <v>9192000</v>
      </c>
      <c r="AL34" s="285" t="str">
        <f>IFERROR(__xludf.DUMMYFUNCTION("""COMPUTED_VALUE"""),"belum dapat cuti")</f>
        <v>belum dapat cuti</v>
      </c>
    </row>
    <row r="35">
      <c r="F35" s="285" t="str">
        <f>IFERROR(__xludf.DUMMYFUNCTION("""COMPUTED_VALUE"""),"2607A001")</f>
        <v>2607A001</v>
      </c>
      <c r="G35" s="286">
        <f>IFERROR(__xludf.DUMMYFUNCTION("""COMPUTED_VALUE"""),46204.0)</f>
        <v>46204</v>
      </c>
      <c r="H35" s="285" t="str">
        <f>IFERROR(__xludf.DUMMYFUNCTION("""COMPUTED_VALUE"""),"Kurnia")</f>
        <v>Kurnia</v>
      </c>
      <c r="I35" s="285" t="str">
        <f>IFERROR(__xludf.DUMMYFUNCTION("""COMPUTED_VALUE"""),"08995212646")</f>
        <v>08995212646</v>
      </c>
      <c r="J35" s="285" t="str">
        <f>IFERROR(__xludf.DUMMYFUNCTION("""COMPUTED_VALUE"""),"Leads Baru")</f>
        <v>Leads Baru</v>
      </c>
      <c r="K35" s="285" t="str">
        <f>IFERROR(__xludf.DUMMYFUNCTION("""COMPUTED_VALUE"""),"ot menjangan tabuhan")</f>
        <v>ot menjangan tabuhan</v>
      </c>
      <c r="L35" s="287"/>
      <c r="M35" s="285"/>
      <c r="N35" s="289"/>
      <c r="O35" s="285"/>
      <c r="P35" s="320"/>
      <c r="R35" s="285" t="str">
        <f>IFERROR(__xludf.DUMMYFUNCTION("""COMPUTED_VALUE"""),"2604A026")</f>
        <v>2604A026</v>
      </c>
      <c r="S35" s="286">
        <f>IFERROR(__xludf.DUMMYFUNCTION("""COMPUTED_VALUE"""),46120.0)</f>
        <v>46120</v>
      </c>
      <c r="T35" s="285" t="str">
        <f>IFERROR(__xludf.DUMMYFUNCTION("""COMPUTED_VALUE"""),"Daninta")</f>
        <v>Daninta</v>
      </c>
      <c r="U35" s="285" t="str">
        <f>IFERROR(__xludf.DUMMYFUNCTION("""COMPUTED_VALUE"""),"081384847408")</f>
        <v>081384847408</v>
      </c>
      <c r="V35" s="285" t="str">
        <f>IFERROR(__xludf.DUMMYFUNCTION("""COMPUTED_VALUE"""),"Closing")</f>
        <v>Closing</v>
      </c>
      <c r="W35" s="285" t="str">
        <f>IFERROR(__xludf.DUMMYFUNCTION("""COMPUTED_VALUE"""),"OT M T")</f>
        <v>OT M T</v>
      </c>
      <c r="X35" s="287">
        <f>IFERROR(__xludf.DUMMYFUNCTION("""COMPUTED_VALUE"""),46128.0)</f>
        <v>46128</v>
      </c>
      <c r="Y35" s="285">
        <f>IFERROR(__xludf.DUMMYFUNCTION("""COMPUTED_VALUE"""),1.0)</f>
        <v>1</v>
      </c>
      <c r="Z35" s="289">
        <f>IFERROR(__xludf.DUMMYFUNCTION("""COMPUTED_VALUE"""),525000.0)</f>
        <v>525000</v>
      </c>
      <c r="AA35" s="285" t="str">
        <f>IFERROR(__xludf.DUMMYFUNCTION("""COMPUTED_VALUE"""),"Orderrrr")</f>
        <v>Orderrrr</v>
      </c>
      <c r="AC35" s="285" t="str">
        <f>IFERROR(__xludf.DUMMYFUNCTION("""COMPUTED_VALUE"""),"2601A038")</f>
        <v>2601A038</v>
      </c>
      <c r="AD35" s="286">
        <f>IFERROR(__xludf.DUMMYFUNCTION("""COMPUTED_VALUE"""),46044.0)</f>
        <v>46044</v>
      </c>
      <c r="AE35" s="285" t="str">
        <f>IFERROR(__xludf.DUMMYFUNCTION("""COMPUTED_VALUE"""),"81234323491")</f>
        <v>81234323491</v>
      </c>
      <c r="AF35" s="285" t="str">
        <f>IFERROR(__xludf.DUMMYFUNCTION("""COMPUTED_VALUE"""),"081234323491")</f>
        <v>081234323491</v>
      </c>
      <c r="AG35" s="285" t="str">
        <f>IFERROR(__xludf.DUMMYFUNCTION("""COMPUTED_VALUE"""),"Gagal")</f>
        <v>Gagal</v>
      </c>
      <c r="AH35" s="285" t="str">
        <f>IFERROR(__xludf.DUMMYFUNCTION("""COMPUTED_VALUE"""),"OT One day Ijen Baluran")</f>
        <v>OT One day Ijen Baluran</v>
      </c>
      <c r="AI35" s="287"/>
      <c r="AJ35" s="285"/>
      <c r="AK35" s="289"/>
      <c r="AL35" s="285"/>
    </row>
    <row r="36">
      <c r="F36" s="285" t="str">
        <f>IFERROR(__xludf.DUMMYFUNCTION("""COMPUTED_VALUE"""),"2607A002")</f>
        <v>2607A002</v>
      </c>
      <c r="G36" s="286">
        <f>IFERROR(__xludf.DUMMYFUNCTION("""COMPUTED_VALUE"""),46204.0)</f>
        <v>46204</v>
      </c>
      <c r="H36" s="285" t="str">
        <f>IFERROR(__xludf.DUMMYFUNCTION("""COMPUTED_VALUE"""),"Ryo")</f>
        <v>Ryo</v>
      </c>
      <c r="I36" s="285" t="str">
        <f>IFERROR(__xludf.DUMMYFUNCTION("""COMPUTED_VALUE"""),"081285321367")</f>
        <v>081285321367</v>
      </c>
      <c r="J36" s="285" t="str">
        <f>IFERROR(__xludf.DUMMYFUNCTION("""COMPUTED_VALUE"""),"Leads Baru")</f>
        <v>Leads Baru</v>
      </c>
      <c r="K36" s="285" t="str">
        <f>IFERROR(__xludf.DUMMYFUNCTION("""COMPUTED_VALUE"""),"ot 3h2m")</f>
        <v>ot 3h2m</v>
      </c>
      <c r="L36" s="287"/>
      <c r="M36" s="285"/>
      <c r="N36" s="289"/>
      <c r="O36" s="285"/>
      <c r="P36" s="320"/>
      <c r="R36" s="285" t="str">
        <f>IFERROR(__xludf.DUMMYFUNCTION("""COMPUTED_VALUE"""),"2604A028")</f>
        <v>2604A028</v>
      </c>
      <c r="S36" s="286">
        <f>IFERROR(__xludf.DUMMYFUNCTION("""COMPUTED_VALUE"""),46121.0)</f>
        <v>46121</v>
      </c>
      <c r="T36" s="285" t="str">
        <f>IFERROR(__xludf.DUMMYFUNCTION("""COMPUTED_VALUE"""),"Dila Kurnia")</f>
        <v>Dila Kurnia</v>
      </c>
      <c r="U36" s="285" t="str">
        <f>IFERROR(__xludf.DUMMYFUNCTION("""COMPUTED_VALUE"""),"081333336180")</f>
        <v>081333336180</v>
      </c>
      <c r="V36" s="285" t="str">
        <f>IFERROR(__xludf.DUMMYFUNCTION("""COMPUTED_VALUE"""),"Closing")</f>
        <v>Closing</v>
      </c>
      <c r="W36" s="285" t="str">
        <f>IFERROR(__xludf.DUMMYFUNCTION("""COMPUTED_VALUE"""),"1D WD, BD, GI, PM")</f>
        <v>1D WD, BD, GI, PM</v>
      </c>
      <c r="X36" s="287">
        <f>IFERROR(__xludf.DUMMYFUNCTION("""COMPUTED_VALUE"""),46143.0)</f>
        <v>46143</v>
      </c>
      <c r="Y36" s="285">
        <f>IFERROR(__xludf.DUMMYFUNCTION("""COMPUTED_VALUE"""),10.0)</f>
        <v>10</v>
      </c>
      <c r="Z36" s="289">
        <f>IFERROR(__xludf.DUMMYFUNCTION("""COMPUTED_VALUE"""),6100000.0)</f>
        <v>6100000</v>
      </c>
      <c r="AA36" s="285" t="str">
        <f>IFERROR(__xludf.DUMMYFUNCTION("""COMPUTED_VALUE"""),"Orderrrr")</f>
        <v>Orderrrr</v>
      </c>
      <c r="AC36" s="285" t="str">
        <f>IFERROR(__xludf.DUMMYFUNCTION("""COMPUTED_VALUE"""),"2601A039")</f>
        <v>2601A039</v>
      </c>
      <c r="AD36" s="286">
        <f>IFERROR(__xludf.DUMMYFUNCTION("""COMPUTED_VALUE"""),46044.0)</f>
        <v>46044</v>
      </c>
      <c r="AE36" s="285" t="str">
        <f>IFERROR(__xludf.DUMMYFUNCTION("""COMPUTED_VALUE"""),"Ikna")</f>
        <v>Ikna</v>
      </c>
      <c r="AF36" s="285" t="str">
        <f>IFERROR(__xludf.DUMMYFUNCTION("""COMPUTED_VALUE"""),"085780090877")</f>
        <v>085780090877</v>
      </c>
      <c r="AG36" s="285" t="str">
        <f>IFERROR(__xludf.DUMMYFUNCTION("""COMPUTED_VALUE"""),"Gagal")</f>
        <v>Gagal</v>
      </c>
      <c r="AH36" s="285" t="str">
        <f>IFERROR(__xludf.DUMMYFUNCTION("""COMPUTED_VALUE"""),"2H1M")</f>
        <v>2H1M</v>
      </c>
      <c r="AI36" s="287"/>
      <c r="AJ36" s="285"/>
      <c r="AK36" s="289"/>
      <c r="AL36" s="285"/>
    </row>
    <row r="37">
      <c r="F37" s="285" t="str">
        <f>IFERROR(__xludf.DUMMYFUNCTION("""COMPUTED_VALUE"""),"2607A003")</f>
        <v>2607A003</v>
      </c>
      <c r="G37" s="286">
        <f>IFERROR(__xludf.DUMMYFUNCTION("""COMPUTED_VALUE"""),46204.0)</f>
        <v>46204</v>
      </c>
      <c r="H37" s="285" t="str">
        <f>IFERROR(__xludf.DUMMYFUNCTION("""COMPUTED_VALUE"""),"Azwa")</f>
        <v>Azwa</v>
      </c>
      <c r="I37" s="285" t="str">
        <f>IFERROR(__xludf.DUMMYFUNCTION("""COMPUTED_VALUE"""),"085100655098")</f>
        <v>085100655098</v>
      </c>
      <c r="J37" s="285" t="str">
        <f>IFERROR(__xludf.DUMMYFUNCTION("""COMPUTED_VALUE"""),"Leads Baru")</f>
        <v>Leads Baru</v>
      </c>
      <c r="K37" s="285"/>
      <c r="L37" s="287"/>
      <c r="M37" s="285"/>
      <c r="N37" s="289"/>
      <c r="O37" s="285"/>
      <c r="P37" s="320"/>
      <c r="R37" s="285" t="str">
        <f>IFERROR(__xludf.DUMMYFUNCTION("""COMPUTED_VALUE"""),"2604A040")</f>
        <v>2604A040</v>
      </c>
      <c r="S37" s="286">
        <f>IFERROR(__xludf.DUMMYFUNCTION("""COMPUTED_VALUE"""),46124.0)</f>
        <v>46124</v>
      </c>
      <c r="T37" s="285" t="str">
        <f>IFERROR(__xludf.DUMMYFUNCTION("""COMPUTED_VALUE"""),"Daniel")</f>
        <v>Daniel</v>
      </c>
      <c r="U37" s="285" t="str">
        <f>IFERROR(__xludf.DUMMYFUNCTION("""COMPUTED_VALUE"""),"491718386314")</f>
        <v>491718386314</v>
      </c>
      <c r="V37" s="285" t="str">
        <f>IFERROR(__xludf.DUMMYFUNCTION("""COMPUTED_VALUE"""),"Closing")</f>
        <v>Closing</v>
      </c>
      <c r="W37" s="285" t="str">
        <f>IFERROR(__xludf.DUMMYFUNCTION("""COMPUTED_VALUE"""),"Trip ijen")</f>
        <v>Trip ijen</v>
      </c>
      <c r="X37" s="287"/>
      <c r="Y37" s="285">
        <f>IFERROR(__xludf.DUMMYFUNCTION("""COMPUTED_VALUE"""),4.0)</f>
        <v>4</v>
      </c>
      <c r="Z37" s="289">
        <f>IFERROR(__xludf.DUMMYFUNCTION("""COMPUTED_VALUE"""),2256000.0)</f>
        <v>2256000</v>
      </c>
      <c r="AA37" s="285" t="str">
        <f>IFERROR(__xludf.DUMMYFUNCTION("""COMPUTED_VALUE"""),"orderr")</f>
        <v>orderr</v>
      </c>
      <c r="AC37" s="285" t="str">
        <f>IFERROR(__xludf.DUMMYFUNCTION("""COMPUTED_VALUE"""),"2601A040")</f>
        <v>2601A040</v>
      </c>
      <c r="AD37" s="286">
        <f>IFERROR(__xludf.DUMMYFUNCTION("""COMPUTED_VALUE"""),46044.0)</f>
        <v>46044</v>
      </c>
      <c r="AE37" s="285" t="str">
        <f>IFERROR(__xludf.DUMMYFUNCTION("""COMPUTED_VALUE"""),"Fida")</f>
        <v>Fida</v>
      </c>
      <c r="AF37" s="285" t="str">
        <f>IFERROR(__xludf.DUMMYFUNCTION("""COMPUTED_VALUE"""),"085869776991")</f>
        <v>085869776991</v>
      </c>
      <c r="AG37" s="285" t="str">
        <f>IFERROR(__xludf.DUMMYFUNCTION("""COMPUTED_VALUE"""),"Gagal")</f>
        <v>Gagal</v>
      </c>
      <c r="AH37" s="285" t="str">
        <f>IFERROR(__xludf.DUMMYFUNCTION("""COMPUTED_VALUE"""),"3H2M")</f>
        <v>3H2M</v>
      </c>
      <c r="AI37" s="287"/>
      <c r="AJ37" s="285"/>
      <c r="AK37" s="289"/>
      <c r="AL37" s="285" t="str">
        <f>IFERROR(__xludf.DUMMYFUNCTION("""COMPUTED_VALUE"""),"tanya tanya")</f>
        <v>tanya tanya</v>
      </c>
    </row>
    <row r="38">
      <c r="F38" s="285" t="str">
        <f>IFERROR(__xludf.DUMMYFUNCTION("""COMPUTED_VALUE"""),"2607A004")</f>
        <v>2607A004</v>
      </c>
      <c r="G38" s="286">
        <f>IFERROR(__xludf.DUMMYFUNCTION("""COMPUTED_VALUE"""),46204.0)</f>
        <v>46204</v>
      </c>
      <c r="H38" s="285" t="str">
        <f>IFERROR(__xludf.DUMMYFUNCTION("""COMPUTED_VALUE"""),"Slamet Wardoyo")</f>
        <v>Slamet Wardoyo</v>
      </c>
      <c r="I38" s="285" t="str">
        <f>IFERROR(__xludf.DUMMYFUNCTION("""COMPUTED_VALUE"""),"08111526846")</f>
        <v>08111526846</v>
      </c>
      <c r="J38" s="285" t="str">
        <f>IFERROR(__xludf.DUMMYFUNCTION("""COMPUTED_VALUE"""),"Leads Baru")</f>
        <v>Leads Baru</v>
      </c>
      <c r="K38" s="285" t="str">
        <f>IFERROR(__xludf.DUMMYFUNCTION("""COMPUTED_VALUE"""),"menjangan")</f>
        <v>menjangan</v>
      </c>
      <c r="L38" s="287"/>
      <c r="M38" s="285"/>
      <c r="N38" s="289"/>
      <c r="O38" s="285"/>
      <c r="P38" s="320"/>
      <c r="R38" s="285" t="str">
        <f>IFERROR(__xludf.DUMMYFUNCTION("""COMPUTED_VALUE"""),"2604A056")</f>
        <v>2604A056</v>
      </c>
      <c r="S38" s="286">
        <f>IFERROR(__xludf.DUMMYFUNCTION("""COMPUTED_VALUE"""),46129.0)</f>
        <v>46129</v>
      </c>
      <c r="T38" s="285" t="str">
        <f>IFERROR(__xludf.DUMMYFUNCTION("""COMPUTED_VALUE"""),"Nesya")</f>
        <v>Nesya</v>
      </c>
      <c r="U38" s="285" t="str">
        <f>IFERROR(__xludf.DUMMYFUNCTION("""COMPUTED_VALUE"""),"0895397165196")</f>
        <v>0895397165196</v>
      </c>
      <c r="V38" s="285" t="str">
        <f>IFERROR(__xludf.DUMMYFUNCTION("""COMPUTED_VALUE"""),"Closing")</f>
        <v>Closing</v>
      </c>
      <c r="W38" s="285" t="str">
        <f>IFERROR(__xludf.DUMMYFUNCTION("""COMPUTED_VALUE"""),"3H2M opsi A")</f>
        <v>3H2M opsi A</v>
      </c>
      <c r="X38" s="287"/>
      <c r="Y38" s="285">
        <f>IFERROR(__xludf.DUMMYFUNCTION("""COMPUTED_VALUE"""),7.0)</f>
        <v>7</v>
      </c>
      <c r="Z38" s="289">
        <f>IFERROR(__xludf.DUMMYFUNCTION("""COMPUTED_VALUE"""),1.0094E7)</f>
        <v>10094000</v>
      </c>
      <c r="AA38" s="285" t="str">
        <f>IFERROR(__xludf.DUMMYFUNCTION("""COMPUTED_VALUE"""),"Gabung dengan Diah")</f>
        <v>Gabung dengan Diah</v>
      </c>
      <c r="AC38" s="285" t="str">
        <f>IFERROR(__xludf.DUMMYFUNCTION("""COMPUTED_VALUE"""),"2601A041")</f>
        <v>2601A041</v>
      </c>
      <c r="AD38" s="286">
        <f>IFERROR(__xludf.DUMMYFUNCTION("""COMPUTED_VALUE"""),46044.0)</f>
        <v>46044</v>
      </c>
      <c r="AE38" s="285" t="str">
        <f>IFERROR(__xludf.DUMMYFUNCTION("""COMPUTED_VALUE"""),"Pras bayu")</f>
        <v>Pras bayu</v>
      </c>
      <c r="AF38" s="285" t="str">
        <f>IFERROR(__xludf.DUMMYFUNCTION("""COMPUTED_VALUE"""),"08976412063")</f>
        <v>08976412063</v>
      </c>
      <c r="AG38" s="285" t="str">
        <f>IFERROR(__xludf.DUMMYFUNCTION("""COMPUTED_VALUE"""),"Gagal")</f>
        <v>Gagal</v>
      </c>
      <c r="AH38" s="285" t="str">
        <f>IFERROR(__xludf.DUMMYFUNCTION("""COMPUTED_VALUE"""),"Tanya tanya")</f>
        <v>Tanya tanya</v>
      </c>
      <c r="AI38" s="287"/>
      <c r="AJ38" s="285"/>
      <c r="AK38" s="289"/>
      <c r="AL38" s="285" t="str">
        <f>IFERROR(__xludf.DUMMYFUNCTION("""COMPUTED_VALUE"""),"mencari driver")</f>
        <v>mencari driver</v>
      </c>
    </row>
    <row r="39">
      <c r="F39" s="285" t="str">
        <f>IFERROR(__xludf.DUMMYFUNCTION("""COMPUTED_VALUE"""),"2607A005")</f>
        <v>2607A005</v>
      </c>
      <c r="G39" s="286">
        <f>IFERROR(__xludf.DUMMYFUNCTION("""COMPUTED_VALUE"""),46204.0)</f>
        <v>46204</v>
      </c>
      <c r="H39" s="285" t="str">
        <f>IFERROR(__xludf.DUMMYFUNCTION("""COMPUTED_VALUE"""),"Cucu Nabi")</f>
        <v>Cucu Nabi</v>
      </c>
      <c r="I39" s="285" t="str">
        <f>IFERROR(__xludf.DUMMYFUNCTION("""COMPUTED_VALUE"""),"082236936558")</f>
        <v>082236936558</v>
      </c>
      <c r="J39" s="285" t="str">
        <f>IFERROR(__xludf.DUMMYFUNCTION("""COMPUTED_VALUE"""),"Leads Baru")</f>
        <v>Leads Baru</v>
      </c>
      <c r="K39" s="285" t="str">
        <f>IFERROR(__xludf.DUMMYFUNCTION("""COMPUTED_VALUE"""),"ot kawah ijen, p bedil")</f>
        <v>ot kawah ijen, p bedil</v>
      </c>
      <c r="L39" s="287"/>
      <c r="M39" s="285"/>
      <c r="N39" s="289"/>
      <c r="O39" s="285"/>
      <c r="P39" s="320"/>
      <c r="R39" s="285" t="str">
        <f>IFERROR(__xludf.DUMMYFUNCTION("""COMPUTED_VALUE"""),"2604A064")</f>
        <v>2604A064</v>
      </c>
      <c r="S39" s="286">
        <f>IFERROR(__xludf.DUMMYFUNCTION("""COMPUTED_VALUE"""),46131.0)</f>
        <v>46131</v>
      </c>
      <c r="T39" s="285" t="str">
        <f>IFERROR(__xludf.DUMMYFUNCTION("""COMPUTED_VALUE"""),"Erlin")</f>
        <v>Erlin</v>
      </c>
      <c r="U39" s="285" t="str">
        <f>IFERROR(__xludf.DUMMYFUNCTION("""COMPUTED_VALUE"""),"085718104191")</f>
        <v>085718104191</v>
      </c>
      <c r="V39" s="285" t="str">
        <f>IFERROR(__xludf.DUMMYFUNCTION("""COMPUTED_VALUE"""),"Closing")</f>
        <v>Closing</v>
      </c>
      <c r="W39" s="285" t="str">
        <f>IFERROR(__xludf.DUMMYFUNCTION("""COMPUTED_VALUE"""),"3H2M/2H1M")</f>
        <v>3H2M/2H1M</v>
      </c>
      <c r="X39" s="287"/>
      <c r="Y39" s="285">
        <f>IFERROR(__xludf.DUMMYFUNCTION("""COMPUTED_VALUE"""),11.0)</f>
        <v>11</v>
      </c>
      <c r="Z39" s="289">
        <f>IFERROR(__xludf.DUMMYFUNCTION("""COMPUTED_VALUE"""),1.28E7)</f>
        <v>12800000</v>
      </c>
      <c r="AA39" s="285" t="str">
        <f>IFERROR(__xludf.DUMMYFUNCTION("""COMPUTED_VALUE"""),"alhamdulillah order")</f>
        <v>alhamdulillah order</v>
      </c>
      <c r="AC39" s="285" t="str">
        <f>IFERROR(__xludf.DUMMYFUNCTION("""COMPUTED_VALUE"""),"2601A042")</f>
        <v>2601A042</v>
      </c>
      <c r="AD39" s="286">
        <f>IFERROR(__xludf.DUMMYFUNCTION("""COMPUTED_VALUE"""),46044.0)</f>
        <v>46044</v>
      </c>
      <c r="AE39" s="285" t="str">
        <f>IFERROR(__xludf.DUMMYFUNCTION("""COMPUTED_VALUE"""),"85664690787")</f>
        <v>85664690787</v>
      </c>
      <c r="AF39" s="285" t="str">
        <f>IFERROR(__xludf.DUMMYFUNCTION("""COMPUTED_VALUE"""),"085664690787")</f>
        <v>085664690787</v>
      </c>
      <c r="AG39" s="285" t="str">
        <f>IFERROR(__xludf.DUMMYFUNCTION("""COMPUTED_VALUE"""),"Gagal")</f>
        <v>Gagal</v>
      </c>
      <c r="AH39" s="285"/>
      <c r="AI39" s="287"/>
      <c r="AJ39" s="285"/>
      <c r="AK39" s="289"/>
      <c r="AL39" s="285" t="str">
        <f>IFERROR(__xludf.DUMMYFUNCTION("""COMPUTED_VALUE"""),"idak ada respon")</f>
        <v>idak ada respon</v>
      </c>
    </row>
    <row r="40">
      <c r="F40" s="285" t="str">
        <f>IFERROR(__xludf.DUMMYFUNCTION("""COMPUTED_VALUE"""),"2607A006")</f>
        <v>2607A006</v>
      </c>
      <c r="G40" s="286">
        <f>IFERROR(__xludf.DUMMYFUNCTION("""COMPUTED_VALUE"""),46202.0)</f>
        <v>46202</v>
      </c>
      <c r="H40" s="285" t="str">
        <f>IFERROR(__xludf.DUMMYFUNCTION("""COMPUTED_VALUE"""),"Ana CC Ari")</f>
        <v>Ana CC Ari</v>
      </c>
      <c r="I40" s="285" t="str">
        <f>IFERROR(__xludf.DUMMYFUNCTION("""COMPUTED_VALUE"""),"081338720600")</f>
        <v>081338720600</v>
      </c>
      <c r="J40" s="285" t="str">
        <f>IFERROR(__xludf.DUMMYFUNCTION("""COMPUTED_VALUE"""),"Leads Baru")</f>
        <v>Leads Baru</v>
      </c>
      <c r="K40" s="285" t="str">
        <f>IFERROR(__xludf.DUMMYFUNCTION("""COMPUTED_VALUE"""),"3h2m")</f>
        <v>3h2m</v>
      </c>
      <c r="L40" s="287"/>
      <c r="M40" s="285">
        <f>IFERROR(__xludf.DUMMYFUNCTION("""COMPUTED_VALUE"""),2.0)</f>
        <v>2</v>
      </c>
      <c r="N40" s="289"/>
      <c r="O40" s="285"/>
      <c r="P40" s="320"/>
      <c r="R40" s="285" t="str">
        <f>IFERROR(__xludf.DUMMYFUNCTION("""COMPUTED_VALUE"""),"2604A065")</f>
        <v>2604A065</v>
      </c>
      <c r="S40" s="286">
        <f>IFERROR(__xludf.DUMMYFUNCTION("""COMPUTED_VALUE"""),46131.0)</f>
        <v>46131</v>
      </c>
      <c r="T40" s="285" t="str">
        <f>IFERROR(__xludf.DUMMYFUNCTION("""COMPUTED_VALUE"""),"Diah")</f>
        <v>Diah</v>
      </c>
      <c r="U40" s="285" t="str">
        <f>IFERROR(__xludf.DUMMYFUNCTION("""COMPUTED_VALUE"""),"081937996742")</f>
        <v>081937996742</v>
      </c>
      <c r="V40" s="285" t="str">
        <f>IFERROR(__xludf.DUMMYFUNCTION("""COMPUTED_VALUE"""),"Closing")</f>
        <v>Closing</v>
      </c>
      <c r="W40" s="285" t="str">
        <f>IFERROR(__xludf.DUMMYFUNCTION("""COMPUTED_VALUE"""),"3H2M opsi A")</f>
        <v>3H2M opsi A</v>
      </c>
      <c r="X40" s="287"/>
      <c r="Y40" s="285">
        <f>IFERROR(__xludf.DUMMYFUNCTION("""COMPUTED_VALUE"""),7.0)</f>
        <v>7</v>
      </c>
      <c r="Z40" s="289">
        <f>IFERROR(__xludf.DUMMYFUNCTION("""COMPUTED_VALUE"""),1.5632E7)</f>
        <v>15632000</v>
      </c>
      <c r="AA40" s="285" t="str">
        <f>IFERROR(__xludf.DUMMYFUNCTION("""COMPUTED_VALUE"""),"ALHAMDULILLAHHH")</f>
        <v>ALHAMDULILLAHHH</v>
      </c>
      <c r="AC40" s="285" t="str">
        <f>IFERROR(__xludf.DUMMYFUNCTION("""COMPUTED_VALUE"""),"2601A043")</f>
        <v>2601A043</v>
      </c>
      <c r="AD40" s="286">
        <f>IFERROR(__xludf.DUMMYFUNCTION("""COMPUTED_VALUE"""),46045.0)</f>
        <v>46045</v>
      </c>
      <c r="AE40" s="285" t="str">
        <f>IFERROR(__xludf.DUMMYFUNCTION("""COMPUTED_VALUE"""),"Farras")</f>
        <v>Farras</v>
      </c>
      <c r="AF40" s="285" t="str">
        <f>IFERROR(__xludf.DUMMYFUNCTION("""COMPUTED_VALUE"""),"082326313343")</f>
        <v>082326313343</v>
      </c>
      <c r="AG40" s="285" t="str">
        <f>IFERROR(__xludf.DUMMYFUNCTION("""COMPUTED_VALUE"""),"Gagal")</f>
        <v>Gagal</v>
      </c>
      <c r="AH40" s="285" t="str">
        <f>IFERROR(__xludf.DUMMYFUNCTION("""COMPUTED_VALUE"""),"4H3M")</f>
        <v>4H3M</v>
      </c>
      <c r="AI40" s="287">
        <f>IFERROR(__xludf.DUMMYFUNCTION("""COMPUTED_VALUE"""),46048.0)</f>
        <v>46048</v>
      </c>
      <c r="AJ40" s="285">
        <f>IFERROR(__xludf.DUMMYFUNCTION("""COMPUTED_VALUE"""),2.0)</f>
        <v>2</v>
      </c>
      <c r="AK40" s="289"/>
      <c r="AL40" s="285" t="str">
        <f>IFERROR(__xludf.DUMMYFUNCTION("""COMPUTED_VALUE"""),"belum cocok waktu")</f>
        <v>belum cocok waktu</v>
      </c>
    </row>
    <row r="41">
      <c r="F41" s="285" t="str">
        <f>IFERROR(__xludf.DUMMYFUNCTION("""COMPUTED_VALUE"""),"2607A007")</f>
        <v>2607A007</v>
      </c>
      <c r="G41" s="286">
        <f>IFERROR(__xludf.DUMMYFUNCTION("""COMPUTED_VALUE"""),46204.0)</f>
        <v>46204</v>
      </c>
      <c r="H41" s="285" t="str">
        <f>IFERROR(__xludf.DUMMYFUNCTION("""COMPUTED_VALUE"""),"Kisty Trahendra")</f>
        <v>Kisty Trahendra</v>
      </c>
      <c r="I41" s="285" t="str">
        <f>IFERROR(__xludf.DUMMYFUNCTION("""COMPUTED_VALUE"""),"081233086945")</f>
        <v>081233086945</v>
      </c>
      <c r="J41" s="285" t="str">
        <f>IFERROR(__xludf.DUMMYFUNCTION("""COMPUTED_VALUE"""),"Leads Baru")</f>
        <v>Leads Baru</v>
      </c>
      <c r="K41" s="285" t="str">
        <f>IFERROR(__xludf.DUMMYFUNCTION("""COMPUTED_VALUE"""),"3h2m")</f>
        <v>3h2m</v>
      </c>
      <c r="L41" s="287">
        <f>IFERROR(__xludf.DUMMYFUNCTION("""COMPUTED_VALUE"""),46206.0)</f>
        <v>46206</v>
      </c>
      <c r="M41" s="285">
        <f>IFERROR(__xludf.DUMMYFUNCTION("""COMPUTED_VALUE"""),3.0)</f>
        <v>3</v>
      </c>
      <c r="N41" s="289"/>
      <c r="O41" s="285"/>
      <c r="P41" s="320"/>
      <c r="R41" s="285" t="str">
        <f>IFERROR(__xludf.DUMMYFUNCTION("""COMPUTED_VALUE"""),"2604A079")</f>
        <v>2604A079</v>
      </c>
      <c r="S41" s="286">
        <f>IFERROR(__xludf.DUMMYFUNCTION("""COMPUTED_VALUE"""),46134.0)</f>
        <v>46134</v>
      </c>
      <c r="T41" s="285" t="str">
        <f>IFERROR(__xludf.DUMMYFUNCTION("""COMPUTED_VALUE"""),"Yulia")</f>
        <v>Yulia</v>
      </c>
      <c r="U41" s="285" t="str">
        <f>IFERROR(__xludf.DUMMYFUNCTION("""COMPUTED_VALUE"""),"085223012345")</f>
        <v>085223012345</v>
      </c>
      <c r="V41" s="285" t="str">
        <f>IFERROR(__xludf.DUMMYFUNCTION("""COMPUTED_VALUE"""),"Closing")</f>
        <v>Closing</v>
      </c>
      <c r="W41" s="285" t="str">
        <f>IFERROR(__xludf.DUMMYFUNCTION("""COMPUTED_VALUE"""),"3H2M A")</f>
        <v>3H2M A</v>
      </c>
      <c r="X41" s="287"/>
      <c r="Y41" s="285">
        <f>IFERROR(__xludf.DUMMYFUNCTION("""COMPUTED_VALUE"""),13.0)</f>
        <v>13</v>
      </c>
      <c r="Z41" s="289">
        <f>IFERROR(__xludf.DUMMYFUNCTION("""COMPUTED_VALUE"""),1.495E7)</f>
        <v>14950000</v>
      </c>
      <c r="AA41" s="285" t="str">
        <f>IFERROR(__xludf.DUMMYFUNCTION("""COMPUTED_VALUE"""),"masih dipelajari")</f>
        <v>masih dipelajari</v>
      </c>
      <c r="AC41" s="285" t="str">
        <f>IFERROR(__xludf.DUMMYFUNCTION("""COMPUTED_VALUE"""),"2601A044")</f>
        <v>2601A044</v>
      </c>
      <c r="AD41" s="286">
        <f>IFERROR(__xludf.DUMMYFUNCTION("""COMPUTED_VALUE"""),46045.0)</f>
        <v>46045</v>
      </c>
      <c r="AE41" s="285" t="str">
        <f>IFERROR(__xludf.DUMMYFUNCTION("""COMPUTED_VALUE"""),"Rosta")</f>
        <v>Rosta</v>
      </c>
      <c r="AF41" s="285" t="str">
        <f>IFERROR(__xludf.DUMMYFUNCTION("""COMPUTED_VALUE"""),"081382731664")</f>
        <v>081382731664</v>
      </c>
      <c r="AG41" s="285" t="str">
        <f>IFERROR(__xludf.DUMMYFUNCTION("""COMPUTED_VALUE"""),"Gagal")</f>
        <v>Gagal</v>
      </c>
      <c r="AH41" s="285" t="str">
        <f>IFERROR(__xludf.DUMMYFUNCTION("""COMPUTED_VALUE"""),"3H2M Custom")</f>
        <v>3H2M Custom</v>
      </c>
      <c r="AI41" s="287"/>
      <c r="AJ41" s="285">
        <f>IFERROR(__xludf.DUMMYFUNCTION("""COMPUTED_VALUE"""),60.0)</f>
        <v>60</v>
      </c>
      <c r="AK41" s="289">
        <f>IFERROR(__xludf.DUMMYFUNCTION("""COMPUTED_VALUE"""),1.5E8)</f>
        <v>150000000</v>
      </c>
      <c r="AL41" s="285" t="str">
        <f>IFERROR(__xludf.DUMMYFUNCTION("""COMPUTED_VALUE"""),"gaada balasan lagi")</f>
        <v>gaada balasan lagi</v>
      </c>
    </row>
    <row r="42">
      <c r="F42" s="285" t="str">
        <f>IFERROR(__xludf.DUMMYFUNCTION("""COMPUTED_VALUE"""),"2607A011")</f>
        <v>2607A011</v>
      </c>
      <c r="G42" s="286">
        <f>IFERROR(__xludf.DUMMYFUNCTION("""COMPUTED_VALUE"""),46204.0)</f>
        <v>46204</v>
      </c>
      <c r="H42" s="285" t="str">
        <f>IFERROR(__xludf.DUMMYFUNCTION("""COMPUTED_VALUE"""),"Fizara")</f>
        <v>Fizara</v>
      </c>
      <c r="I42" s="285" t="str">
        <f>IFERROR(__xludf.DUMMYFUNCTION("""COMPUTED_VALUE"""),"082134045075")</f>
        <v>082134045075</v>
      </c>
      <c r="J42" s="285" t="str">
        <f>IFERROR(__xludf.DUMMYFUNCTION("""COMPUTED_VALUE"""),"Leads Baru")</f>
        <v>Leads Baru</v>
      </c>
      <c r="K42" s="285" t="str">
        <f>IFERROR(__xludf.DUMMYFUNCTION("""COMPUTED_VALUE"""),"mt")</f>
        <v>mt</v>
      </c>
      <c r="L42" s="287">
        <f>IFERROR(__xludf.DUMMYFUNCTION("""COMPUTED_VALUE"""),46209.0)</f>
        <v>46209</v>
      </c>
      <c r="M42" s="285">
        <f>IFERROR(__xludf.DUMMYFUNCTION("""COMPUTED_VALUE"""),4.0)</f>
        <v>4</v>
      </c>
      <c r="N42" s="289"/>
      <c r="O42" s="285"/>
      <c r="P42" s="320"/>
      <c r="R42" s="285" t="str">
        <f>IFERROR(__xludf.DUMMYFUNCTION("""COMPUTED_VALUE"""),"2604A083")</f>
        <v>2604A083</v>
      </c>
      <c r="S42" s="286">
        <f>IFERROR(__xludf.DUMMYFUNCTION("""COMPUTED_VALUE"""),46135.0)</f>
        <v>46135</v>
      </c>
      <c r="T42" s="285" t="str">
        <f>IFERROR(__xludf.DUMMYFUNCTION("""COMPUTED_VALUE"""),"Gita")</f>
        <v>Gita</v>
      </c>
      <c r="U42" s="285" t="str">
        <f>IFERROR(__xludf.DUMMYFUNCTION("""COMPUTED_VALUE"""),"085156367823")</f>
        <v>085156367823</v>
      </c>
      <c r="V42" s="285" t="str">
        <f>IFERROR(__xludf.DUMMYFUNCTION("""COMPUTED_VALUE"""),"Closing")</f>
        <v>Closing</v>
      </c>
      <c r="W42" s="285" t="str">
        <f>IFERROR(__xludf.DUMMYFUNCTION("""COMPUTED_VALUE"""),"3H2M Custom")</f>
        <v>3H2M Custom</v>
      </c>
      <c r="X42" s="287"/>
      <c r="Y42" s="285">
        <f>IFERROR(__xludf.DUMMYFUNCTION("""COMPUTED_VALUE"""),2.0)</f>
        <v>2</v>
      </c>
      <c r="Z42" s="289">
        <f>IFERROR(__xludf.DUMMYFUNCTION("""COMPUTED_VALUE"""),7240000.0)</f>
        <v>7240000</v>
      </c>
      <c r="AA42" s="285" t="str">
        <f>IFERROR(__xludf.DUMMYFUNCTION("""COMPUTED_VALUE"""),"ALHAMDULILLAH")</f>
        <v>ALHAMDULILLAH</v>
      </c>
      <c r="AC42" s="285" t="str">
        <f>IFERROR(__xludf.DUMMYFUNCTION("""COMPUTED_VALUE"""),"2601A045")</f>
        <v>2601A045</v>
      </c>
      <c r="AD42" s="286">
        <f>IFERROR(__xludf.DUMMYFUNCTION("""COMPUTED_VALUE"""),46045.0)</f>
        <v>46045</v>
      </c>
      <c r="AE42" s="285" t="str">
        <f>IFERROR(__xludf.DUMMYFUNCTION("""COMPUTED_VALUE"""),"Yetty")</f>
        <v>Yetty</v>
      </c>
      <c r="AF42" s="285" t="str">
        <f>IFERROR(__xludf.DUMMYFUNCTION("""COMPUTED_VALUE"""),"081910011543")</f>
        <v>081910011543</v>
      </c>
      <c r="AG42" s="285" t="str">
        <f>IFERROR(__xludf.DUMMYFUNCTION("""COMPUTED_VALUE"""),"Gagal")</f>
        <v>Gagal</v>
      </c>
      <c r="AH42" s="285" t="str">
        <f>IFERROR(__xludf.DUMMYFUNCTION("""COMPUTED_VALUE"""),"Trip Ijen")</f>
        <v>Trip Ijen</v>
      </c>
      <c r="AI42" s="287"/>
      <c r="AJ42" s="285">
        <f>IFERROR(__xludf.DUMMYFUNCTION("""COMPUTED_VALUE"""),6.0)</f>
        <v>6</v>
      </c>
      <c r="AK42" s="289"/>
      <c r="AL42" s="285" t="str">
        <f>IFERROR(__xludf.DUMMYFUNCTION("""COMPUTED_VALUE"""),"mau di rundingkan dulu")</f>
        <v>mau di rundingkan dulu</v>
      </c>
    </row>
    <row r="43">
      <c r="F43" s="285" t="str">
        <f>IFERROR(__xludf.DUMMYFUNCTION("""COMPUTED_VALUE"""),"2607A013")</f>
        <v>2607A013</v>
      </c>
      <c r="G43" s="286">
        <f>IFERROR(__xludf.DUMMYFUNCTION("""COMPUTED_VALUE"""),46203.0)</f>
        <v>46203</v>
      </c>
      <c r="H43" s="285" t="str">
        <f>IFERROR(__xludf.DUMMYFUNCTION("""COMPUTED_VALUE"""),"Nani Tresnaningsih")</f>
        <v>Nani Tresnaningsih</v>
      </c>
      <c r="I43" s="285" t="str">
        <f>IFERROR(__xludf.DUMMYFUNCTION("""COMPUTED_VALUE"""),"081220806992")</f>
        <v>081220806992</v>
      </c>
      <c r="J43" s="285" t="str">
        <f>IFERROR(__xludf.DUMMYFUNCTION("""COMPUTED_VALUE"""),"Leads Baru")</f>
        <v>Leads Baru</v>
      </c>
      <c r="K43" s="285" t="str">
        <f>IFERROR(__xludf.DUMMYFUNCTION("""COMPUTED_VALUE"""),"3h2m")</f>
        <v>3h2m</v>
      </c>
      <c r="L43" s="287"/>
      <c r="M43" s="285">
        <f>IFERROR(__xludf.DUMMYFUNCTION("""COMPUTED_VALUE"""),10.0)</f>
        <v>10</v>
      </c>
      <c r="N43" s="289"/>
      <c r="O43" s="285"/>
      <c r="P43" s="320"/>
      <c r="R43" s="285" t="str">
        <f>IFERROR(__xludf.DUMMYFUNCTION("""COMPUTED_VALUE"""),"2604A090")</f>
        <v>2604A090</v>
      </c>
      <c r="S43" s="286">
        <f>IFERROR(__xludf.DUMMYFUNCTION("""COMPUTED_VALUE"""),46136.0)</f>
        <v>46136</v>
      </c>
      <c r="T43" s="285" t="str">
        <f>IFERROR(__xludf.DUMMYFUNCTION("""COMPUTED_VALUE"""),"vira")</f>
        <v>vira</v>
      </c>
      <c r="U43" s="285" t="str">
        <f>IFERROR(__xludf.DUMMYFUNCTION("""COMPUTED_VALUE"""),"087781523339")</f>
        <v>087781523339</v>
      </c>
      <c r="V43" s="285" t="str">
        <f>IFERROR(__xludf.DUMMYFUNCTION("""COMPUTED_VALUE"""),"Closing")</f>
        <v>Closing</v>
      </c>
      <c r="W43" s="285" t="str">
        <f>IFERROR(__xludf.DUMMYFUNCTION("""COMPUTED_VALUE"""),"1D M T")</f>
        <v>1D M T</v>
      </c>
      <c r="X43" s="287">
        <f>IFERROR(__xludf.DUMMYFUNCTION("""COMPUTED_VALUE"""),46147.0)</f>
        <v>46147</v>
      </c>
      <c r="Y43" s="285">
        <f>IFERROR(__xludf.DUMMYFUNCTION("""COMPUTED_VALUE"""),2.0)</f>
        <v>2</v>
      </c>
      <c r="Z43" s="289">
        <f>IFERROR(__xludf.DUMMYFUNCTION("""COMPUTED_VALUE"""),1700000.0)</f>
        <v>1700000</v>
      </c>
      <c r="AA43" s="285" t="str">
        <f>IFERROR(__xludf.DUMMYFUNCTION("""COMPUTED_VALUE"""),"ALHAMDULILLAH")</f>
        <v>ALHAMDULILLAH</v>
      </c>
      <c r="AC43" s="285" t="str">
        <f>IFERROR(__xludf.DUMMYFUNCTION("""COMPUTED_VALUE"""),"2601A046")</f>
        <v>2601A046</v>
      </c>
      <c r="AD43" s="286">
        <f>IFERROR(__xludf.DUMMYFUNCTION("""COMPUTED_VALUE"""),46046.0)</f>
        <v>46046</v>
      </c>
      <c r="AE43" s="285" t="str">
        <f>IFERROR(__xludf.DUMMYFUNCTION("""COMPUTED_VALUE"""),"A Sudibyo")</f>
        <v>A Sudibyo</v>
      </c>
      <c r="AF43" s="285" t="str">
        <f>IFERROR(__xludf.DUMMYFUNCTION("""COMPUTED_VALUE"""),"085102704611")</f>
        <v>085102704611</v>
      </c>
      <c r="AG43" s="285" t="str">
        <f>IFERROR(__xludf.DUMMYFUNCTION("""COMPUTED_VALUE"""),"Gagal")</f>
        <v>Gagal</v>
      </c>
      <c r="AH43" s="285" t="str">
        <f>IFERROR(__xludf.DUMMYFUNCTION("""COMPUTED_VALUE"""),"OT Djawatan")</f>
        <v>OT Djawatan</v>
      </c>
      <c r="AI43" s="287"/>
      <c r="AJ43" s="285">
        <f>IFERROR(__xludf.DUMMYFUNCTION("""COMPUTED_VALUE"""),2.0)</f>
        <v>2</v>
      </c>
      <c r="AK43" s="289">
        <f>IFERROR(__xludf.DUMMYFUNCTION("""COMPUTED_VALUE"""),1100000.0)</f>
        <v>1100000</v>
      </c>
      <c r="AL43" s="285" t="str">
        <f>IFERROR(__xludf.DUMMYFUNCTION("""COMPUTED_VALUE"""),"masih ditunda")</f>
        <v>masih ditunda</v>
      </c>
    </row>
    <row r="44">
      <c r="F44" s="285" t="str">
        <f>IFERROR(__xludf.DUMMYFUNCTION("""COMPUTED_VALUE"""),"2607A015")</f>
        <v>2607A015</v>
      </c>
      <c r="G44" s="286">
        <f>IFERROR(__xludf.DUMMYFUNCTION("""COMPUTED_VALUE"""),46205.0)</f>
        <v>46205</v>
      </c>
      <c r="H44" s="285" t="str">
        <f>IFERROR(__xludf.DUMMYFUNCTION("""COMPUTED_VALUE"""),"Tiwie")</f>
        <v>Tiwie</v>
      </c>
      <c r="I44" s="285" t="str">
        <f>IFERROR(__xludf.DUMMYFUNCTION("""COMPUTED_VALUE"""),"082136255566")</f>
        <v>082136255566</v>
      </c>
      <c r="J44" s="285" t="str">
        <f>IFERROR(__xludf.DUMMYFUNCTION("""COMPUTED_VALUE"""),"Leads Baru")</f>
        <v>Leads Baru</v>
      </c>
      <c r="K44" s="285"/>
      <c r="L44" s="287"/>
      <c r="M44" s="285"/>
      <c r="N44" s="289"/>
      <c r="O44" s="285"/>
      <c r="P44" s="320"/>
      <c r="R44" s="285" t="str">
        <f>IFERROR(__xludf.DUMMYFUNCTION("""COMPUTED_VALUE"""),"2604A089")</f>
        <v>2604A089</v>
      </c>
      <c r="S44" s="286">
        <f>IFERROR(__xludf.DUMMYFUNCTION("""COMPUTED_VALUE"""),46136.0)</f>
        <v>46136</v>
      </c>
      <c r="T44" s="285" t="str">
        <f>IFERROR(__xludf.DUMMYFUNCTION("""COMPUTED_VALUE"""),"Herfani")</f>
        <v>Herfani</v>
      </c>
      <c r="U44" s="285" t="str">
        <f>IFERROR(__xludf.DUMMYFUNCTION("""COMPUTED_VALUE"""),"081218648700")</f>
        <v>081218648700</v>
      </c>
      <c r="V44" s="285" t="str">
        <f>IFERROR(__xludf.DUMMYFUNCTION("""COMPUTED_VALUE"""),"Closing")</f>
        <v>Closing</v>
      </c>
      <c r="W44" s="285" t="str">
        <f>IFERROR(__xludf.DUMMYFUNCTION("""COMPUTED_VALUE"""),"3H2M A")</f>
        <v>3H2M A</v>
      </c>
      <c r="X44" s="287"/>
      <c r="Y44" s="285">
        <f>IFERROR(__xludf.DUMMYFUNCTION("""COMPUTED_VALUE"""),2.0)</f>
        <v>2</v>
      </c>
      <c r="Z44" s="289">
        <f>IFERROR(__xludf.DUMMYFUNCTION("""COMPUTED_VALUE"""),6000000.0)</f>
        <v>6000000</v>
      </c>
      <c r="AA44" s="285" t="str">
        <f>IFERROR(__xludf.DUMMYFUNCTION("""COMPUTED_VALUE"""),"ALHAMDULILLAH")</f>
        <v>ALHAMDULILLAH</v>
      </c>
      <c r="AC44" s="285" t="str">
        <f>IFERROR(__xludf.DUMMYFUNCTION("""COMPUTED_VALUE"""),"2601A047")</f>
        <v>2601A047</v>
      </c>
      <c r="AD44" s="286">
        <f>IFERROR(__xludf.DUMMYFUNCTION("""COMPUTED_VALUE"""),46046.0)</f>
        <v>46046</v>
      </c>
      <c r="AE44" s="285" t="str">
        <f>IFERROR(__xludf.DUMMYFUNCTION("""COMPUTED_VALUE"""),"Selvy")</f>
        <v>Selvy</v>
      </c>
      <c r="AF44" s="285" t="str">
        <f>IFERROR(__xludf.DUMMYFUNCTION("""COMPUTED_VALUE"""),"0811595446")</f>
        <v>0811595446</v>
      </c>
      <c r="AG44" s="285" t="str">
        <f>IFERROR(__xludf.DUMMYFUNCTION("""COMPUTED_VALUE"""),"Gagal")</f>
        <v>Gagal</v>
      </c>
      <c r="AH44" s="285"/>
      <c r="AI44" s="287"/>
      <c r="AJ44" s="285"/>
      <c r="AK44" s="289"/>
      <c r="AL44" s="285" t="str">
        <f>IFERROR(__xludf.DUMMYFUNCTION("""COMPUTED_VALUE"""),"tidak ada respon")</f>
        <v>tidak ada respon</v>
      </c>
    </row>
    <row r="45">
      <c r="F45" s="285" t="str">
        <f>IFERROR(__xludf.DUMMYFUNCTION("""COMPUTED_VALUE"""),"2607A016")</f>
        <v>2607A016</v>
      </c>
      <c r="G45" s="286">
        <f>IFERROR(__xludf.DUMMYFUNCTION("""COMPUTED_VALUE"""),46205.0)</f>
        <v>46205</v>
      </c>
      <c r="H45" s="285" t="str">
        <f>IFERROR(__xludf.DUMMYFUNCTION("""COMPUTED_VALUE"""),"Farah Pangestuty")</f>
        <v>Farah Pangestuty</v>
      </c>
      <c r="I45" s="285" t="str">
        <f>IFERROR(__xludf.DUMMYFUNCTION("""COMPUTED_VALUE"""),"0895805321900")</f>
        <v>0895805321900</v>
      </c>
      <c r="J45" s="285" t="str">
        <f>IFERROR(__xludf.DUMMYFUNCTION("""COMPUTED_VALUE"""),"Leads Baru")</f>
        <v>Leads Baru</v>
      </c>
      <c r="K45" s="285"/>
      <c r="L45" s="287"/>
      <c r="M45" s="285"/>
      <c r="N45" s="289"/>
      <c r="O45" s="285"/>
      <c r="P45" s="320"/>
      <c r="R45" s="285" t="str">
        <f>IFERROR(__xludf.DUMMYFUNCTION("""COMPUTED_VALUE"""),"2604A102")</f>
        <v>2604A102</v>
      </c>
      <c r="S45" s="286">
        <f>IFERROR(__xludf.DUMMYFUNCTION("""COMPUTED_VALUE"""),46138.0)</f>
        <v>46138</v>
      </c>
      <c r="T45" s="285" t="str">
        <f>IFERROR(__xludf.DUMMYFUNCTION("""COMPUTED_VALUE"""),"Nugi")</f>
        <v>Nugi</v>
      </c>
      <c r="U45" s="285" t="str">
        <f>IFERROR(__xludf.DUMMYFUNCTION("""COMPUTED_VALUE"""),"081381534020")</f>
        <v>081381534020</v>
      </c>
      <c r="V45" s="285" t="str">
        <f>IFERROR(__xludf.DUMMYFUNCTION("""COMPUTED_VALUE"""),"Closing")</f>
        <v>Closing</v>
      </c>
      <c r="W45" s="285" t="str">
        <f>IFERROR(__xludf.DUMMYFUNCTION("""COMPUTED_VALUE"""),"Trip 1D D, B")</f>
        <v>Trip 1D D, B</v>
      </c>
      <c r="X45" s="287">
        <f>IFERROR(__xludf.DUMMYFUNCTION("""COMPUTED_VALUE"""),46156.0)</f>
        <v>46156</v>
      </c>
      <c r="Y45" s="285">
        <f>IFERROR(__xludf.DUMMYFUNCTION("""COMPUTED_VALUE"""),2.0)</f>
        <v>2</v>
      </c>
      <c r="Z45" s="289">
        <f>IFERROR(__xludf.DUMMYFUNCTION("""COMPUTED_VALUE"""),1754000.0)</f>
        <v>1754000</v>
      </c>
      <c r="AA45" s="285" t="str">
        <f>IFERROR(__xludf.DUMMYFUNCTION("""COMPUTED_VALUE"""),"ALHAMDULILLAH")</f>
        <v>ALHAMDULILLAH</v>
      </c>
      <c r="AC45" s="285" t="str">
        <f>IFERROR(__xludf.DUMMYFUNCTION("""COMPUTED_VALUE"""),"2601A048")</f>
        <v>2601A048</v>
      </c>
      <c r="AD45" s="286">
        <f>IFERROR(__xludf.DUMMYFUNCTION("""COMPUTED_VALUE"""),46046.0)</f>
        <v>46046</v>
      </c>
      <c r="AE45" s="285" t="str">
        <f>IFERROR(__xludf.DUMMYFUNCTION("""COMPUTED_VALUE"""),"Des")</f>
        <v>Des</v>
      </c>
      <c r="AF45" s="285" t="str">
        <f>IFERROR(__xludf.DUMMYFUNCTION("""COMPUTED_VALUE"""),"085314764695")</f>
        <v>085314764695</v>
      </c>
      <c r="AG45" s="285" t="str">
        <f>IFERROR(__xludf.DUMMYFUNCTION("""COMPUTED_VALUE"""),"Gagal")</f>
        <v>Gagal</v>
      </c>
      <c r="AH45" s="285" t="str">
        <f>IFERROR(__xludf.DUMMYFUNCTION("""COMPUTED_VALUE"""),"3H2M")</f>
        <v>3H2M</v>
      </c>
      <c r="AI45" s="287"/>
      <c r="AJ45" s="285">
        <f>IFERROR(__xludf.DUMMYFUNCTION("""COMPUTED_VALUE"""),1.0)</f>
        <v>1</v>
      </c>
      <c r="AK45" s="289"/>
      <c r="AL45" s="285" t="str">
        <f>IFERROR(__xludf.DUMMYFUNCTION("""COMPUTED_VALUE"""),"tidak ada respon")</f>
        <v>tidak ada respon</v>
      </c>
    </row>
    <row r="46">
      <c r="F46" s="285" t="str">
        <f>IFERROR(__xludf.DUMMYFUNCTION("""COMPUTED_VALUE"""),"2607A017")</f>
        <v>2607A017</v>
      </c>
      <c r="G46" s="286">
        <f>IFERROR(__xludf.DUMMYFUNCTION("""COMPUTED_VALUE"""),46205.0)</f>
        <v>46205</v>
      </c>
      <c r="H46" s="285" t="str">
        <f>IFERROR(__xludf.DUMMYFUNCTION("""COMPUTED_VALUE"""),"Beby")</f>
        <v>Beby</v>
      </c>
      <c r="I46" s="285" t="str">
        <f>IFERROR(__xludf.DUMMYFUNCTION("""COMPUTED_VALUE"""),"081938069369")</f>
        <v>081938069369</v>
      </c>
      <c r="J46" s="285" t="str">
        <f>IFERROR(__xludf.DUMMYFUNCTION("""COMPUTED_VALUE"""),"Leads Baru")</f>
        <v>Leads Baru</v>
      </c>
      <c r="K46" s="285" t="str">
        <f>IFERROR(__xludf.DUMMYFUNCTION("""COMPUTED_VALUE"""),"ot menjangan tabuhan")</f>
        <v>ot menjangan tabuhan</v>
      </c>
      <c r="L46" s="287"/>
      <c r="M46" s="285"/>
      <c r="N46" s="289"/>
      <c r="O46" s="285"/>
      <c r="P46" s="320"/>
      <c r="R46" s="285" t="str">
        <f>IFERROR(__xludf.DUMMYFUNCTION("""COMPUTED_VALUE"""),"2604A108")</f>
        <v>2604A108</v>
      </c>
      <c r="S46" s="286">
        <f>IFERROR(__xludf.DUMMYFUNCTION("""COMPUTED_VALUE"""),46139.0)</f>
        <v>46139</v>
      </c>
      <c r="T46" s="285" t="str">
        <f>IFERROR(__xludf.DUMMYFUNCTION("""COMPUTED_VALUE"""),"Angela")</f>
        <v>Angela</v>
      </c>
      <c r="U46" s="285" t="str">
        <f>IFERROR(__xludf.DUMMYFUNCTION("""COMPUTED_VALUE"""),"081232652016")</f>
        <v>081232652016</v>
      </c>
      <c r="V46" s="285" t="str">
        <f>IFERROR(__xludf.DUMMYFUNCTION("""COMPUTED_VALUE"""),"Closing")</f>
        <v>Closing</v>
      </c>
      <c r="W46" s="285" t="str">
        <f>IFERROR(__xludf.DUMMYFUNCTION("""COMPUTED_VALUE"""),"2H1M Custom")</f>
        <v>2H1M Custom</v>
      </c>
      <c r="X46" s="287"/>
      <c r="Y46" s="285">
        <f>IFERROR(__xludf.DUMMYFUNCTION("""COMPUTED_VALUE"""),2.0)</f>
        <v>2</v>
      </c>
      <c r="Z46" s="289">
        <f>IFERROR(__xludf.DUMMYFUNCTION("""COMPUTED_VALUE"""),4100000.0)</f>
        <v>4100000</v>
      </c>
      <c r="AA46" s="285" t="str">
        <f>IFERROR(__xludf.DUMMYFUNCTION("""COMPUTED_VALUE"""),"ALHAMDULILLAH")</f>
        <v>ALHAMDULILLAH</v>
      </c>
      <c r="AC46" s="285" t="str">
        <f>IFERROR(__xludf.DUMMYFUNCTION("""COMPUTED_VALUE"""),"2601A049")</f>
        <v>2601A049</v>
      </c>
      <c r="AD46" s="286">
        <f>IFERROR(__xludf.DUMMYFUNCTION("""COMPUTED_VALUE"""),46046.0)</f>
        <v>46046</v>
      </c>
      <c r="AE46" s="285" t="str">
        <f>IFERROR(__xludf.DUMMYFUNCTION("""COMPUTED_VALUE"""),"Debyo")</f>
        <v>Debyo</v>
      </c>
      <c r="AF46" s="285" t="str">
        <f>IFERROR(__xludf.DUMMYFUNCTION("""COMPUTED_VALUE"""),"085643660340")</f>
        <v>085643660340</v>
      </c>
      <c r="AG46" s="285" t="str">
        <f>IFERROR(__xludf.DUMMYFUNCTION("""COMPUTED_VALUE"""),"Gagal")</f>
        <v>Gagal</v>
      </c>
      <c r="AH46" s="285" t="str">
        <f>IFERROR(__xludf.DUMMYFUNCTION("""COMPUTED_VALUE"""),"4H3M")</f>
        <v>4H3M</v>
      </c>
      <c r="AI46" s="287"/>
      <c r="AJ46" s="285">
        <f>IFERROR(__xludf.DUMMYFUNCTION("""COMPUTED_VALUE"""),80.0)</f>
        <v>80</v>
      </c>
      <c r="AK46" s="289">
        <f>IFERROR(__xludf.DUMMYFUNCTION("""COMPUTED_VALUE"""),2.12E8)</f>
        <v>212000000</v>
      </c>
      <c r="AL46" s="285" t="str">
        <f>IFERROR(__xludf.DUMMYFUNCTION("""COMPUTED_VALUE"""),"tidak balas lagi")</f>
        <v>tidak balas lagi</v>
      </c>
    </row>
    <row r="47">
      <c r="F47" s="285" t="str">
        <f>IFERROR(__xludf.DUMMYFUNCTION("""COMPUTED_VALUE"""),"2607A019")</f>
        <v>2607A019</v>
      </c>
      <c r="G47" s="286">
        <f>IFERROR(__xludf.DUMMYFUNCTION("""COMPUTED_VALUE"""),46205.0)</f>
        <v>46205</v>
      </c>
      <c r="H47" s="285" t="str">
        <f>IFERROR(__xludf.DUMMYFUNCTION("""COMPUTED_VALUE"""),"Nurita Pratama sari")</f>
        <v>Nurita Pratama sari</v>
      </c>
      <c r="I47" s="285" t="str">
        <f>IFERROR(__xludf.DUMMYFUNCTION("""COMPUTED_VALUE"""),"081225783915")</f>
        <v>081225783915</v>
      </c>
      <c r="J47" s="285" t="str">
        <f>IFERROR(__xludf.DUMMYFUNCTION("""COMPUTED_VALUE"""),"Leads Baru")</f>
        <v>Leads Baru</v>
      </c>
      <c r="K47" s="285" t="str">
        <f>IFERROR(__xludf.DUMMYFUNCTION("""COMPUTED_VALUE"""),"ot mt")</f>
        <v>ot mt</v>
      </c>
      <c r="L47" s="287">
        <f>IFERROR(__xludf.DUMMYFUNCTION("""COMPUTED_VALUE"""),46214.0)</f>
        <v>46214</v>
      </c>
      <c r="M47" s="285">
        <f>IFERROR(__xludf.DUMMYFUNCTION("""COMPUTED_VALUE"""),5.0)</f>
        <v>5</v>
      </c>
      <c r="N47" s="289">
        <f>IFERROR(__xludf.DUMMYFUNCTION("""COMPUTED_VALUE"""),1375000.0)</f>
        <v>1375000</v>
      </c>
      <c r="O47" s="285"/>
      <c r="P47" s="320"/>
      <c r="R47" s="285" t="str">
        <f>IFERROR(__xludf.DUMMYFUNCTION("""COMPUTED_VALUE"""),"2604A117")</f>
        <v>2604A117</v>
      </c>
      <c r="S47" s="286">
        <f>IFERROR(__xludf.DUMMYFUNCTION("""COMPUTED_VALUE"""),46142.0)</f>
        <v>46142</v>
      </c>
      <c r="T47" s="285" t="str">
        <f>IFERROR(__xludf.DUMMYFUNCTION("""COMPUTED_VALUE"""),"Zira")</f>
        <v>Zira</v>
      </c>
      <c r="U47" s="285" t="str">
        <f>IFERROR(__xludf.DUMMYFUNCTION("""COMPUTED_VALUE"""),"085718414898")</f>
        <v>085718414898</v>
      </c>
      <c r="V47" s="285" t="str">
        <f>IFERROR(__xludf.DUMMYFUNCTION("""COMPUTED_VALUE"""),"Closing")</f>
        <v>Closing</v>
      </c>
      <c r="W47" s="285" t="str">
        <f>IFERROR(__xludf.DUMMYFUNCTION("""COMPUTED_VALUE"""),"3H2M A")</f>
        <v>3H2M A</v>
      </c>
      <c r="X47" s="287"/>
      <c r="Y47" s="285">
        <f>IFERROR(__xludf.DUMMYFUNCTION("""COMPUTED_VALUE"""),4.0)</f>
        <v>4</v>
      </c>
      <c r="Z47" s="289">
        <f>IFERROR(__xludf.DUMMYFUNCTION("""COMPUTED_VALUE"""),6808000.0)</f>
        <v>6808000</v>
      </c>
      <c r="AA47" s="285" t="str">
        <f>IFERROR(__xludf.DUMMYFUNCTION("""COMPUTED_VALUE"""),"masih diskusi dgn keluarga")</f>
        <v>masih diskusi dgn keluarga</v>
      </c>
      <c r="AC47" s="285" t="str">
        <f>IFERROR(__xludf.DUMMYFUNCTION("""COMPUTED_VALUE"""),"2601A050")</f>
        <v>2601A050</v>
      </c>
      <c r="AD47" s="286">
        <f>IFERROR(__xludf.DUMMYFUNCTION("""COMPUTED_VALUE"""),46047.0)</f>
        <v>46047</v>
      </c>
      <c r="AE47" s="285" t="str">
        <f>IFERROR(__xludf.DUMMYFUNCTION("""COMPUTED_VALUE"""),"Eka")</f>
        <v>Eka</v>
      </c>
      <c r="AF47" s="285" t="str">
        <f>IFERROR(__xludf.DUMMYFUNCTION("""COMPUTED_VALUE"""),"08112913613")</f>
        <v>08112913613</v>
      </c>
      <c r="AG47" s="285" t="str">
        <f>IFERROR(__xludf.DUMMYFUNCTION("""COMPUTED_VALUE"""),"Gagal")</f>
        <v>Gagal</v>
      </c>
      <c r="AH47" s="285" t="str">
        <f>IFERROR(__xludf.DUMMYFUNCTION("""COMPUTED_VALUE""")," 3H2M Opsi A")</f>
        <v> 3H2M Opsi A</v>
      </c>
      <c r="AI47" s="287"/>
      <c r="AJ47" s="285">
        <f>IFERROR(__xludf.DUMMYFUNCTION("""COMPUTED_VALUE"""),9.0)</f>
        <v>9</v>
      </c>
      <c r="AK47" s="289">
        <f>IFERROR(__xludf.DUMMYFUNCTION("""COMPUTED_VALUE"""),1.1043E7)</f>
        <v>11043000</v>
      </c>
      <c r="AL47" s="285" t="str">
        <f>IFERROR(__xludf.DUMMYFUNCTION("""COMPUTED_VALUE"""),"gada balasan")</f>
        <v>gada balasan</v>
      </c>
    </row>
    <row r="48">
      <c r="F48" s="285" t="str">
        <f>IFERROR(__xludf.DUMMYFUNCTION("""COMPUTED_VALUE"""),"2607A020")</f>
        <v>2607A020</v>
      </c>
      <c r="G48" s="286">
        <f>IFERROR(__xludf.DUMMYFUNCTION("""COMPUTED_VALUE"""),46205.0)</f>
        <v>46205</v>
      </c>
      <c r="H48" s="285" t="str">
        <f>IFERROR(__xludf.DUMMYFUNCTION("""COMPUTED_VALUE"""),"Herwandasantoso (Angga)")</f>
        <v>Herwandasantoso (Angga)</v>
      </c>
      <c r="I48" s="285" t="str">
        <f>IFERROR(__xludf.DUMMYFUNCTION("""COMPUTED_VALUE"""),"089696696312")</f>
        <v>089696696312</v>
      </c>
      <c r="J48" s="285" t="str">
        <f>IFERROR(__xludf.DUMMYFUNCTION("""COMPUTED_VALUE"""),"Leads Baru")</f>
        <v>Leads Baru</v>
      </c>
      <c r="K48" s="285" t="str">
        <f>IFERROR(__xludf.DUMMYFUNCTION("""COMPUTED_VALUE"""),"one day trip Green island, djawatan")</f>
        <v>one day trip Green island, djawatan</v>
      </c>
      <c r="L48" s="287"/>
      <c r="M48" s="285"/>
      <c r="N48" s="289"/>
      <c r="O48" s="285"/>
      <c r="P48" s="320"/>
      <c r="R48" s="285" t="str">
        <f>IFERROR(__xludf.DUMMYFUNCTION("""COMPUTED_VALUE"""),"2605A013")</f>
        <v>2605A013</v>
      </c>
      <c r="S48" s="286">
        <f>IFERROR(__xludf.DUMMYFUNCTION("""COMPUTED_VALUE"""),46145.0)</f>
        <v>46145</v>
      </c>
      <c r="T48" s="285" t="str">
        <f>IFERROR(__xludf.DUMMYFUNCTION("""COMPUTED_VALUE"""),"Egy Religya")</f>
        <v>Egy Religya</v>
      </c>
      <c r="U48" s="285" t="str">
        <f>IFERROR(__xludf.DUMMYFUNCTION("""COMPUTED_VALUE"""),"088901619672")</f>
        <v>088901619672</v>
      </c>
      <c r="V48" s="285" t="str">
        <f>IFERROR(__xludf.DUMMYFUNCTION("""COMPUTED_VALUE"""),"Closing")</f>
        <v>Closing</v>
      </c>
      <c r="W48" s="285" t="str">
        <f>IFERROR(__xludf.DUMMYFUNCTION("""COMPUTED_VALUE"""),"3H2M Z")</f>
        <v>3H2M Z</v>
      </c>
      <c r="X48" s="287"/>
      <c r="Y48" s="285">
        <f>IFERROR(__xludf.DUMMYFUNCTION("""COMPUTED_VALUE"""),3.0)</f>
        <v>3</v>
      </c>
      <c r="Z48" s="289">
        <f>IFERROR(__xludf.DUMMYFUNCTION("""COMPUTED_VALUE"""),3885000.0)</f>
        <v>3885000</v>
      </c>
      <c r="AA48" s="285" t="str">
        <f>IFERROR(__xludf.DUMMYFUNCTION("""COMPUTED_VALUE"""),"ORDERR")</f>
        <v>ORDERR</v>
      </c>
      <c r="AC48" s="285" t="str">
        <f>IFERROR(__xludf.DUMMYFUNCTION("""COMPUTED_VALUE"""),"2601A051")</f>
        <v>2601A051</v>
      </c>
      <c r="AD48" s="286">
        <f>IFERROR(__xludf.DUMMYFUNCTION("""COMPUTED_VALUE"""),46047.0)</f>
        <v>46047</v>
      </c>
      <c r="AE48" s="285" t="str">
        <f>IFERROR(__xludf.DUMMYFUNCTION("""COMPUTED_VALUE"""),"Cynn")</f>
        <v>Cynn</v>
      </c>
      <c r="AF48" s="285" t="str">
        <f>IFERROR(__xludf.DUMMYFUNCTION("""COMPUTED_VALUE"""),"081227870375")</f>
        <v>081227870375</v>
      </c>
      <c r="AG48" s="285" t="str">
        <f>IFERROR(__xludf.DUMMYFUNCTION("""COMPUTED_VALUE"""),"Gagal")</f>
        <v>Gagal</v>
      </c>
      <c r="AH48" s="285" t="str">
        <f>IFERROR(__xludf.DUMMYFUNCTION("""COMPUTED_VALUE"""),"OT I, B")</f>
        <v>OT I, B</v>
      </c>
      <c r="AI48" s="287"/>
      <c r="AJ48" s="285">
        <f>IFERROR(__xludf.DUMMYFUNCTION("""COMPUTED_VALUE"""),2.0)</f>
        <v>2</v>
      </c>
      <c r="AK48" s="289"/>
      <c r="AL48" s="285" t="str">
        <f>IFERROR(__xludf.DUMMYFUNCTION("""COMPUTED_VALUE"""),"tanya tanya")</f>
        <v>tanya tanya</v>
      </c>
    </row>
    <row r="49">
      <c r="F49" s="285" t="str">
        <f>IFERROR(__xludf.DUMMYFUNCTION("""COMPUTED_VALUE"""),"2607A022")</f>
        <v>2607A022</v>
      </c>
      <c r="G49" s="286">
        <f>IFERROR(__xludf.DUMMYFUNCTION("""COMPUTED_VALUE"""),46205.0)</f>
        <v>46205</v>
      </c>
      <c r="H49" s="285" t="str">
        <f>IFERROR(__xludf.DUMMYFUNCTION("""COMPUTED_VALUE"""),"May")</f>
        <v>May</v>
      </c>
      <c r="I49" s="285" t="str">
        <f>IFERROR(__xludf.DUMMYFUNCTION("""COMPUTED_VALUE"""),"089693246388")</f>
        <v>089693246388</v>
      </c>
      <c r="J49" s="285" t="str">
        <f>IFERROR(__xludf.DUMMYFUNCTION("""COMPUTED_VALUE"""),"Leads Baru")</f>
        <v>Leads Baru</v>
      </c>
      <c r="K49" s="285" t="str">
        <f>IFERROR(__xludf.DUMMYFUNCTION("""COMPUTED_VALUE"""),"ot 3h2m")</f>
        <v>ot 3h2m</v>
      </c>
      <c r="L49" s="287"/>
      <c r="M49" s="285"/>
      <c r="N49" s="289"/>
      <c r="O49" s="285"/>
      <c r="P49" s="320"/>
      <c r="R49" s="285" t="str">
        <f>IFERROR(__xludf.DUMMYFUNCTION("""COMPUTED_VALUE"""),"2605A022")</f>
        <v>2605A022</v>
      </c>
      <c r="S49" s="286">
        <f>IFERROR(__xludf.DUMMYFUNCTION("""COMPUTED_VALUE"""),46146.0)</f>
        <v>46146</v>
      </c>
      <c r="T49" s="285" t="str">
        <f>IFERROR(__xludf.DUMMYFUNCTION("""COMPUTED_VALUE"""),"Dwi")</f>
        <v>Dwi</v>
      </c>
      <c r="U49" s="285" t="str">
        <f>IFERROR(__xludf.DUMMYFUNCTION("""COMPUTED_VALUE"""),"081216886288")</f>
        <v>081216886288</v>
      </c>
      <c r="V49" s="285" t="str">
        <f>IFERROR(__xludf.DUMMYFUNCTION("""COMPUTED_VALUE"""),"Closing")</f>
        <v>Closing</v>
      </c>
      <c r="W49" s="285" t="str">
        <f>IFERROR(__xludf.DUMMYFUNCTION("""COMPUTED_VALUE"""),"OT MT")</f>
        <v>OT MT</v>
      </c>
      <c r="X49" s="287">
        <f>IFERROR(__xludf.DUMMYFUNCTION("""COMPUTED_VALUE"""),46192.0)</f>
        <v>46192</v>
      </c>
      <c r="Y49" s="285">
        <f>IFERROR(__xludf.DUMMYFUNCTION("""COMPUTED_VALUE"""),2.0)</f>
        <v>2</v>
      </c>
      <c r="Z49" s="289">
        <f>IFERROR(__xludf.DUMMYFUNCTION("""COMPUTED_VALUE"""),525000.0)</f>
        <v>525000</v>
      </c>
      <c r="AA49" s="285" t="str">
        <f>IFERROR(__xludf.DUMMYFUNCTION("""COMPUTED_VALUE"""),"ORDERRR")</f>
        <v>ORDERRR</v>
      </c>
      <c r="AC49" s="285" t="str">
        <f>IFERROR(__xludf.DUMMYFUNCTION("""COMPUTED_VALUE"""),"2601A052")</f>
        <v>2601A052</v>
      </c>
      <c r="AD49" s="286">
        <f>IFERROR(__xludf.DUMMYFUNCTION("""COMPUTED_VALUE"""),46048.0)</f>
        <v>46048</v>
      </c>
      <c r="AE49" s="285" t="str">
        <f>IFERROR(__xludf.DUMMYFUNCTION("""COMPUTED_VALUE"""),"Syahnindita")</f>
        <v>Syahnindita</v>
      </c>
      <c r="AF49" s="285" t="str">
        <f>IFERROR(__xludf.DUMMYFUNCTION("""COMPUTED_VALUE"""),"081938890390")</f>
        <v>081938890390</v>
      </c>
      <c r="AG49" s="285" t="str">
        <f>IFERROR(__xludf.DUMMYFUNCTION("""COMPUTED_VALUE"""),"Gagal")</f>
        <v>Gagal</v>
      </c>
      <c r="AH49" s="285" t="str">
        <f>IFERROR(__xludf.DUMMYFUNCTION("""COMPUTED_VALUE"""),"3H2M Custom")</f>
        <v>3H2M Custom</v>
      </c>
      <c r="AI49" s="287"/>
      <c r="AJ49" s="285">
        <f>IFERROR(__xludf.DUMMYFUNCTION("""COMPUTED_VALUE"""),7.0)</f>
        <v>7</v>
      </c>
      <c r="AK49" s="289">
        <f>IFERROR(__xludf.DUMMYFUNCTION("""COMPUTED_VALUE"""),2.4661E7)</f>
        <v>24661000</v>
      </c>
      <c r="AL49" s="285" t="str">
        <f>IFERROR(__xludf.DUMMYFUNCTION("""COMPUTED_VALUE"""),"gadapat cuti, next mungkin dihubungi lagi")</f>
        <v>gadapat cuti, next mungkin dihubungi lagi</v>
      </c>
    </row>
    <row r="50">
      <c r="F50" s="285" t="str">
        <f>IFERROR(__xludf.DUMMYFUNCTION("""COMPUTED_VALUE"""),"2607A023")</f>
        <v>2607A023</v>
      </c>
      <c r="G50" s="286">
        <f>IFERROR(__xludf.DUMMYFUNCTION("""COMPUTED_VALUE"""),46205.0)</f>
        <v>46205</v>
      </c>
      <c r="H50" s="285" t="str">
        <f>IFERROR(__xludf.DUMMYFUNCTION("""COMPUTED_VALUE"""),"Strawberry")</f>
        <v>Strawberry</v>
      </c>
      <c r="I50" s="285" t="str">
        <f>IFERROR(__xludf.DUMMYFUNCTION("""COMPUTED_VALUE"""),"081573100206")</f>
        <v>081573100206</v>
      </c>
      <c r="J50" s="285" t="str">
        <f>IFERROR(__xludf.DUMMYFUNCTION("""COMPUTED_VALUE"""),"Leads Baru")</f>
        <v>Leads Baru</v>
      </c>
      <c r="K50" s="285" t="str">
        <f>IFERROR(__xludf.DUMMYFUNCTION("""COMPUTED_VALUE"""),"ot mt")</f>
        <v>ot mt</v>
      </c>
      <c r="L50" s="287">
        <f>IFERROR(__xludf.DUMMYFUNCTION("""COMPUTED_VALUE"""),46207.0)</f>
        <v>46207</v>
      </c>
      <c r="M50" s="285"/>
      <c r="N50" s="289"/>
      <c r="O50" s="285"/>
      <c r="P50" s="320"/>
      <c r="R50" s="285" t="str">
        <f>IFERROR(__xludf.DUMMYFUNCTION("""COMPUTED_VALUE"""),"2605A023")</f>
        <v>2605A023</v>
      </c>
      <c r="S50" s="286">
        <f>IFERROR(__xludf.DUMMYFUNCTION("""COMPUTED_VALUE"""),46145.0)</f>
        <v>46145</v>
      </c>
      <c r="T50" s="285" t="str">
        <f>IFERROR(__xludf.DUMMYFUNCTION("""COMPUTED_VALUE"""),"Elia ")</f>
        <v>Elia </v>
      </c>
      <c r="U50" s="285" t="str">
        <f>IFERROR(__xludf.DUMMYFUNCTION("""COMPUTED_VALUE"""),"081389029614")</f>
        <v>081389029614</v>
      </c>
      <c r="V50" s="285" t="str">
        <f>IFERROR(__xludf.DUMMYFUNCTION("""COMPUTED_VALUE"""),"Closing")</f>
        <v>Closing</v>
      </c>
      <c r="W50" s="285" t="str">
        <f>IFERROR(__xludf.DUMMYFUNCTION("""COMPUTED_VALUE"""),"Djawatan baluran")</f>
        <v>Djawatan baluran</v>
      </c>
      <c r="X50" s="287">
        <f>IFERROR(__xludf.DUMMYFUNCTION("""COMPUTED_VALUE"""),46164.0)</f>
        <v>46164</v>
      </c>
      <c r="Y50" s="285">
        <f>IFERROR(__xludf.DUMMYFUNCTION("""COMPUTED_VALUE"""),2.0)</f>
        <v>2</v>
      </c>
      <c r="Z50" s="289">
        <f>IFERROR(__xludf.DUMMYFUNCTION("""COMPUTED_VALUE"""),1754000.0)</f>
        <v>1754000</v>
      </c>
      <c r="AA50" s="285" t="str">
        <f>IFERROR(__xludf.DUMMYFUNCTION("""COMPUTED_VALUE"""),"alhamdulillah order")</f>
        <v>alhamdulillah order</v>
      </c>
      <c r="AC50" s="285" t="str">
        <f>IFERROR(__xludf.DUMMYFUNCTION("""COMPUTED_VALUE"""),"2601A053")</f>
        <v>2601A053</v>
      </c>
      <c r="AD50" s="286">
        <f>IFERROR(__xludf.DUMMYFUNCTION("""COMPUTED_VALUE"""),46048.0)</f>
        <v>46048</v>
      </c>
      <c r="AE50" s="285" t="str">
        <f>IFERROR(__xludf.DUMMYFUNCTION("""COMPUTED_VALUE"""),"Rasti")</f>
        <v>Rasti</v>
      </c>
      <c r="AF50" s="285" t="str">
        <f>IFERROR(__xludf.DUMMYFUNCTION("""COMPUTED_VALUE"""),"085333556995")</f>
        <v>085333556995</v>
      </c>
      <c r="AG50" s="285" t="str">
        <f>IFERROR(__xludf.DUMMYFUNCTION("""COMPUTED_VALUE"""),"Gagal")</f>
        <v>Gagal</v>
      </c>
      <c r="AH50" s="285"/>
      <c r="AI50" s="287"/>
      <c r="AJ50" s="285"/>
      <c r="AK50" s="289"/>
      <c r="AL50" s="285" t="str">
        <f>IFERROR(__xludf.DUMMYFUNCTION("""COMPUTED_VALUE"""),"tidak ada respon")</f>
        <v>tidak ada respon</v>
      </c>
    </row>
    <row r="51">
      <c r="F51" s="285" t="str">
        <f>IFERROR(__xludf.DUMMYFUNCTION("""COMPUTED_VALUE"""),"2607A028")</f>
        <v>2607A028</v>
      </c>
      <c r="G51" s="286">
        <f>IFERROR(__xludf.DUMMYFUNCTION("""COMPUTED_VALUE"""),46206.0)</f>
        <v>46206</v>
      </c>
      <c r="H51" s="285" t="str">
        <f>IFERROR(__xludf.DUMMYFUNCTION("""COMPUTED_VALUE"""),"Rydha G Mayaudy")</f>
        <v>Rydha G Mayaudy</v>
      </c>
      <c r="I51" s="285" t="str">
        <f>IFERROR(__xludf.DUMMYFUNCTION("""COMPUTED_VALUE"""),"081327357783")</f>
        <v>081327357783</v>
      </c>
      <c r="J51" s="285" t="str">
        <f>IFERROR(__xludf.DUMMYFUNCTION("""COMPUTED_VALUE"""),"Leads Baru")</f>
        <v>Leads Baru</v>
      </c>
      <c r="K51" s="285" t="str">
        <f>IFERROR(__xludf.DUMMYFUNCTION("""COMPUTED_VALUE"""),"ot mt")</f>
        <v>ot mt</v>
      </c>
      <c r="L51" s="287"/>
      <c r="M51" s="285"/>
      <c r="N51" s="289"/>
      <c r="O51" s="285"/>
      <c r="P51" s="320"/>
      <c r="R51" s="285" t="str">
        <f>IFERROR(__xludf.DUMMYFUNCTION("""COMPUTED_VALUE"""),"2605A028")</f>
        <v>2605A028</v>
      </c>
      <c r="S51" s="286">
        <f>IFERROR(__xludf.DUMMYFUNCTION("""COMPUTED_VALUE"""),46147.0)</f>
        <v>46147</v>
      </c>
      <c r="T51" s="285" t="str">
        <f>IFERROR(__xludf.DUMMYFUNCTION("""COMPUTED_VALUE"""),"Edward Esling")</f>
        <v>Edward Esling</v>
      </c>
      <c r="U51" s="285" t="str">
        <f>IFERROR(__xludf.DUMMYFUNCTION("""COMPUTED_VALUE"""),"447860207309")</f>
        <v>447860207309</v>
      </c>
      <c r="V51" s="285" t="str">
        <f>IFERROR(__xludf.DUMMYFUNCTION("""COMPUTED_VALUE"""),"Closing")</f>
        <v>Closing</v>
      </c>
      <c r="W51" s="285" t="str">
        <f>IFERROR(__xludf.DUMMYFUNCTION("""COMPUTED_VALUE"""),"ijen")</f>
        <v>ijen</v>
      </c>
      <c r="X51" s="287">
        <f>IFERROR(__xludf.DUMMYFUNCTION("""COMPUTED_VALUE"""),46148.0)</f>
        <v>46148</v>
      </c>
      <c r="Y51" s="285">
        <f>IFERROR(__xludf.DUMMYFUNCTION("""COMPUTED_VALUE"""),2.0)</f>
        <v>2</v>
      </c>
      <c r="Z51" s="289">
        <f>IFERROR(__xludf.DUMMYFUNCTION("""COMPUTED_VALUE"""),1700000.0)</f>
        <v>1700000</v>
      </c>
      <c r="AA51" s="285" t="str">
        <f>IFERROR(__xludf.DUMMYFUNCTION("""COMPUTED_VALUE"""),"ALHAMDULILLAH ORDER")</f>
        <v>ALHAMDULILLAH ORDER</v>
      </c>
      <c r="AC51" s="285" t="str">
        <f>IFERROR(__xludf.DUMMYFUNCTION("""COMPUTED_VALUE"""),"2601A054")</f>
        <v>2601A054</v>
      </c>
      <c r="AD51" s="286">
        <f>IFERROR(__xludf.DUMMYFUNCTION("""COMPUTED_VALUE"""),46048.0)</f>
        <v>46048</v>
      </c>
      <c r="AE51" s="285" t="str">
        <f>IFERROR(__xludf.DUMMYFUNCTION("""COMPUTED_VALUE"""),"Sendi")</f>
        <v>Sendi</v>
      </c>
      <c r="AF51" s="285" t="str">
        <f>IFERROR(__xludf.DUMMYFUNCTION("""COMPUTED_VALUE"""),"082244942939")</f>
        <v>082244942939</v>
      </c>
      <c r="AG51" s="285" t="str">
        <f>IFERROR(__xludf.DUMMYFUNCTION("""COMPUTED_VALUE"""),"Gagal")</f>
        <v>Gagal</v>
      </c>
      <c r="AH51" s="285" t="str">
        <f>IFERROR(__xludf.DUMMYFUNCTION("""COMPUTED_VALUE"""),"Trip Djawatan Baluran")</f>
        <v>Trip Djawatan Baluran</v>
      </c>
      <c r="AI51" s="287"/>
      <c r="AJ51" s="285">
        <f>IFERROR(__xludf.DUMMYFUNCTION("""COMPUTED_VALUE"""),4.0)</f>
        <v>4</v>
      </c>
      <c r="AK51" s="289"/>
      <c r="AL51" s="285" t="str">
        <f>IFERROR(__xludf.DUMMYFUNCTION("""COMPUTED_VALUE"""),"belum tertarik")</f>
        <v>belum tertarik</v>
      </c>
    </row>
    <row r="52">
      <c r="F52" s="285" t="str">
        <f>IFERROR(__xludf.DUMMYFUNCTION("""COMPUTED_VALUE"""),"2607A029")</f>
        <v>2607A029</v>
      </c>
      <c r="G52" s="286">
        <f>IFERROR(__xludf.DUMMYFUNCTION("""COMPUTED_VALUE"""),46206.0)</f>
        <v>46206</v>
      </c>
      <c r="H52" s="285" t="str">
        <f>IFERROR(__xludf.DUMMYFUNCTION("""COMPUTED_VALUE"""),"Herry Fahamsyah")</f>
        <v>Herry Fahamsyah</v>
      </c>
      <c r="I52" s="285" t="str">
        <f>IFERROR(__xludf.DUMMYFUNCTION("""COMPUTED_VALUE"""),"081294234000")</f>
        <v>081294234000</v>
      </c>
      <c r="J52" s="285" t="str">
        <f>IFERROR(__xludf.DUMMYFUNCTION("""COMPUTED_VALUE"""),"Leads Baru")</f>
        <v>Leads Baru</v>
      </c>
      <c r="K52" s="285" t="str">
        <f>IFERROR(__xludf.DUMMYFUNCTION("""COMPUTED_VALUE"""),"ot mt")</f>
        <v>ot mt</v>
      </c>
      <c r="L52" s="287"/>
      <c r="M52" s="285"/>
      <c r="N52" s="289"/>
      <c r="O52" s="285" t="str">
        <f>IFERROR(__xludf.DUMMYFUNCTION("""COMPUTED_VALUE"""),"1")</f>
        <v>1</v>
      </c>
      <c r="P52" s="320"/>
      <c r="R52" s="285" t="str">
        <f>IFERROR(__xludf.DUMMYFUNCTION("""COMPUTED_VALUE"""),"2605A029")</f>
        <v>2605A029</v>
      </c>
      <c r="S52" s="286">
        <f>IFERROR(__xludf.DUMMYFUNCTION("""COMPUTED_VALUE"""),46147.0)</f>
        <v>46147</v>
      </c>
      <c r="T52" s="285" t="str">
        <f>IFERROR(__xludf.DUMMYFUNCTION("""COMPUTED_VALUE"""),"JE")</f>
        <v>JE</v>
      </c>
      <c r="U52" s="285" t="str">
        <f>IFERROR(__xludf.DUMMYFUNCTION("""COMPUTED_VALUE"""),"08993838705")</f>
        <v>08993838705</v>
      </c>
      <c r="V52" s="285" t="str">
        <f>IFERROR(__xludf.DUMMYFUNCTION("""COMPUTED_VALUE"""),"Closing")</f>
        <v>Closing</v>
      </c>
      <c r="W52" s="285"/>
      <c r="X52" s="287"/>
      <c r="Y52" s="285">
        <f>IFERROR(__xludf.DUMMYFUNCTION("""COMPUTED_VALUE"""),22.0)</f>
        <v>22</v>
      </c>
      <c r="Z52" s="289"/>
      <c r="AA52" s="285" t="str">
        <f>IFERROR(__xludf.DUMMYFUNCTION("""COMPUTED_VALUE"""),"alhamdulillah closing")</f>
        <v>alhamdulillah closing</v>
      </c>
      <c r="AC52" s="285" t="str">
        <f>IFERROR(__xludf.DUMMYFUNCTION("""COMPUTED_VALUE"""),"2601A055")</f>
        <v>2601A055</v>
      </c>
      <c r="AD52" s="286">
        <f>IFERROR(__xludf.DUMMYFUNCTION("""COMPUTED_VALUE"""),46048.0)</f>
        <v>46048</v>
      </c>
      <c r="AE52" s="285" t="str">
        <f>IFERROR(__xludf.DUMMYFUNCTION("""COMPUTED_VALUE"""),"Hendro")</f>
        <v>Hendro</v>
      </c>
      <c r="AF52" s="285" t="str">
        <f>IFERROR(__xludf.DUMMYFUNCTION("""COMPUTED_VALUE"""),"081918004080")</f>
        <v>081918004080</v>
      </c>
      <c r="AG52" s="285" t="str">
        <f>IFERROR(__xludf.DUMMYFUNCTION("""COMPUTED_VALUE"""),"Gagal")</f>
        <v>Gagal</v>
      </c>
      <c r="AH52" s="285" t="str">
        <f>IFERROR(__xludf.DUMMYFUNCTION("""COMPUTED_VALUE"""),"Trip Djawatan Baluran")</f>
        <v>Trip Djawatan Baluran</v>
      </c>
      <c r="AI52" s="287"/>
      <c r="AJ52" s="285">
        <f>IFERROR(__xludf.DUMMYFUNCTION("""COMPUTED_VALUE"""),2.0)</f>
        <v>2</v>
      </c>
      <c r="AK52" s="289"/>
      <c r="AL52" s="285" t="str">
        <f>IFERROR(__xludf.DUMMYFUNCTION("""COMPUTED_VALUE"""),"tidak ada respon")</f>
        <v>tidak ada respon</v>
      </c>
    </row>
    <row r="53">
      <c r="F53" s="285" t="str">
        <f>IFERROR(__xludf.DUMMYFUNCTION("""COMPUTED_VALUE"""),"2607A030")</f>
        <v>2607A030</v>
      </c>
      <c r="G53" s="286">
        <f>IFERROR(__xludf.DUMMYFUNCTION("""COMPUTED_VALUE"""),46206.0)</f>
        <v>46206</v>
      </c>
      <c r="H53" s="285" t="str">
        <f>IFERROR(__xludf.DUMMYFUNCTION("""COMPUTED_VALUE"""),"Egi Gigih")</f>
        <v>Egi Gigih</v>
      </c>
      <c r="I53" s="285" t="str">
        <f>IFERROR(__xludf.DUMMYFUNCTION("""COMPUTED_VALUE"""),"08985999948")</f>
        <v>08985999948</v>
      </c>
      <c r="J53" s="285" t="str">
        <f>IFERROR(__xludf.DUMMYFUNCTION("""COMPUTED_VALUE"""),"Leads Baru")</f>
        <v>Leads Baru</v>
      </c>
      <c r="K53" s="285"/>
      <c r="L53" s="287"/>
      <c r="M53" s="285"/>
      <c r="N53" s="289"/>
      <c r="O53" s="285"/>
      <c r="P53" s="320"/>
      <c r="R53" s="285" t="str">
        <f>IFERROR(__xludf.DUMMYFUNCTION("""COMPUTED_VALUE"""),"2605A034")</f>
        <v>2605A034</v>
      </c>
      <c r="S53" s="286">
        <f>IFERROR(__xludf.DUMMYFUNCTION("""COMPUTED_VALUE"""),46150.0)</f>
        <v>46150</v>
      </c>
      <c r="T53" s="285" t="str">
        <f>IFERROR(__xludf.DUMMYFUNCTION("""COMPUTED_VALUE"""),"Itinn")</f>
        <v>Itinn</v>
      </c>
      <c r="U53" s="285" t="str">
        <f>IFERROR(__xludf.DUMMYFUNCTION("""COMPUTED_VALUE"""),"081318848401")</f>
        <v>081318848401</v>
      </c>
      <c r="V53" s="285" t="str">
        <f>IFERROR(__xludf.DUMMYFUNCTION("""COMPUTED_VALUE"""),"Closing")</f>
        <v>Closing</v>
      </c>
      <c r="W53" s="285" t="str">
        <f>IFERROR(__xludf.DUMMYFUNCTION("""COMPUTED_VALUE"""),"3H2M opsi A")</f>
        <v>3H2M opsi A</v>
      </c>
      <c r="X53" s="287">
        <f>IFERROR(__xludf.DUMMYFUNCTION("""COMPUTED_VALUE"""),46168.0)</f>
        <v>46168</v>
      </c>
      <c r="Y53" s="285">
        <f>IFERROR(__xludf.DUMMYFUNCTION("""COMPUTED_VALUE"""),2.0)</f>
        <v>2</v>
      </c>
      <c r="Z53" s="289">
        <f>IFERROR(__xludf.DUMMYFUNCTION("""COMPUTED_VALUE"""),6128000.0)</f>
        <v>6128000</v>
      </c>
      <c r="AA53" s="285" t="str">
        <f>IFERROR(__xludf.DUMMYFUNCTION("""COMPUTED_VALUE"""),"Alhamdulillah order")</f>
        <v>Alhamdulillah order</v>
      </c>
      <c r="AC53" s="285" t="str">
        <f>IFERROR(__xludf.DUMMYFUNCTION("""COMPUTED_VALUE"""),"2601A056")</f>
        <v>2601A056</v>
      </c>
      <c r="AD53" s="286">
        <f>IFERROR(__xludf.DUMMYFUNCTION("""COMPUTED_VALUE"""),46049.0)</f>
        <v>46049</v>
      </c>
      <c r="AE53" s="285" t="str">
        <f>IFERROR(__xludf.DUMMYFUNCTION("""COMPUTED_VALUE"""),"Aulia Rizky Amalia")</f>
        <v>Aulia Rizky Amalia</v>
      </c>
      <c r="AF53" s="285" t="str">
        <f>IFERROR(__xludf.DUMMYFUNCTION("""COMPUTED_VALUE"""),"083189971273")</f>
        <v>083189971273</v>
      </c>
      <c r="AG53" s="285" t="str">
        <f>IFERROR(__xludf.DUMMYFUNCTION("""COMPUTED_VALUE"""),"Gagal")</f>
        <v>Gagal</v>
      </c>
      <c r="AH53" s="285" t="str">
        <f>IFERROR(__xludf.DUMMYFUNCTION("""COMPUTED_VALUE"""),"custom 2H1M")</f>
        <v>custom 2H1M</v>
      </c>
      <c r="AI53" s="287"/>
      <c r="AJ53" s="285">
        <f>IFERROR(__xludf.DUMMYFUNCTION("""COMPUTED_VALUE"""),5.0)</f>
        <v>5</v>
      </c>
      <c r="AK53" s="289"/>
      <c r="AL53" s="285" t="str">
        <f>IFERROR(__xludf.DUMMYFUNCTION("""COMPUTED_VALUE"""),"sudah kirim penawaran, masih diinfokan ke temannya")</f>
        <v>sudah kirim penawaran, masih diinfokan ke temannya</v>
      </c>
    </row>
    <row r="54">
      <c r="F54" s="285" t="str">
        <f>IFERROR(__xludf.DUMMYFUNCTION("""COMPUTED_VALUE"""),"2607A031")</f>
        <v>2607A031</v>
      </c>
      <c r="G54" s="286">
        <f>IFERROR(__xludf.DUMMYFUNCTION("""COMPUTED_VALUE"""),46206.0)</f>
        <v>46206</v>
      </c>
      <c r="H54" s="285" t="str">
        <f>IFERROR(__xludf.DUMMYFUNCTION("""COMPUTED_VALUE"""),"Abe")</f>
        <v>Abe</v>
      </c>
      <c r="I54" s="285" t="str">
        <f>IFERROR(__xludf.DUMMYFUNCTION("""COMPUTED_VALUE"""),"08111895858")</f>
        <v>08111895858</v>
      </c>
      <c r="J54" s="285" t="str">
        <f>IFERROR(__xludf.DUMMYFUNCTION("""COMPUTED_VALUE"""),"Leads Baru")</f>
        <v>Leads Baru</v>
      </c>
      <c r="K54" s="285"/>
      <c r="L54" s="287"/>
      <c r="M54" s="285"/>
      <c r="N54" s="289"/>
      <c r="O54" s="285"/>
      <c r="P54" s="320"/>
      <c r="R54" s="285" t="str">
        <f>IFERROR(__xludf.DUMMYFUNCTION("""COMPUTED_VALUE"""),"2605A036")</f>
        <v>2605A036</v>
      </c>
      <c r="S54" s="286">
        <f>IFERROR(__xludf.DUMMYFUNCTION("""COMPUTED_VALUE"""),46148.0)</f>
        <v>46148</v>
      </c>
      <c r="T54" s="285" t="str">
        <f>IFERROR(__xludf.DUMMYFUNCTION("""COMPUTED_VALUE"""),"Prasti PNP")</f>
        <v>Prasti PNP</v>
      </c>
      <c r="U54" s="285" t="str">
        <f>IFERROR(__xludf.DUMMYFUNCTION("""COMPUTED_VALUE"""),"08119855855")</f>
        <v>08119855855</v>
      </c>
      <c r="V54" s="285" t="str">
        <f>IFERROR(__xludf.DUMMYFUNCTION("""COMPUTED_VALUE"""),"Closing")</f>
        <v>Closing</v>
      </c>
      <c r="W54" s="285" t="str">
        <f>IFERROR(__xludf.DUMMYFUNCTION("""COMPUTED_VALUE"""),"ot mt")</f>
        <v>ot mt</v>
      </c>
      <c r="X54" s="287"/>
      <c r="Y54" s="285">
        <f>IFERROR(__xludf.DUMMYFUNCTION("""COMPUTED_VALUE"""),3.0)</f>
        <v>3</v>
      </c>
      <c r="Z54" s="289"/>
      <c r="AA54" s="285" t="str">
        <f>IFERROR(__xludf.DUMMYFUNCTION("""COMPUTED_VALUE"""),"alhamdulillah")</f>
        <v>alhamdulillah</v>
      </c>
      <c r="AC54" s="285" t="str">
        <f>IFERROR(__xludf.DUMMYFUNCTION("""COMPUTED_VALUE"""),"2601A058")</f>
        <v>2601A058</v>
      </c>
      <c r="AD54" s="286">
        <f>IFERROR(__xludf.DUMMYFUNCTION("""COMPUTED_VALUE"""),46049.0)</f>
        <v>46049</v>
      </c>
      <c r="AE54" s="285" t="str">
        <f>IFERROR(__xludf.DUMMYFUNCTION("""COMPUTED_VALUE"""),"Caca")</f>
        <v>Caca</v>
      </c>
      <c r="AF54" s="285" t="str">
        <f>IFERROR(__xludf.DUMMYFUNCTION("""COMPUTED_VALUE"""),"081573666815")</f>
        <v>081573666815</v>
      </c>
      <c r="AG54" s="285" t="str">
        <f>IFERROR(__xludf.DUMMYFUNCTION("""COMPUTED_VALUE"""),"Gagal")</f>
        <v>Gagal</v>
      </c>
      <c r="AH54" s="285" t="str">
        <f>IFERROR(__xludf.DUMMYFUNCTION("""COMPUTED_VALUE"""),"Trip baluran")</f>
        <v>Trip baluran</v>
      </c>
      <c r="AI54" s="287"/>
      <c r="AJ54" s="285">
        <f>IFERROR(__xludf.DUMMYFUNCTION("""COMPUTED_VALUE"""),15.0)</f>
        <v>15</v>
      </c>
      <c r="AK54" s="289">
        <f>IFERROR(__xludf.DUMMYFUNCTION("""COMPUTED_VALUE"""),3900000.0)</f>
        <v>3900000</v>
      </c>
      <c r="AL54" s="285" t="str">
        <f>IFERROR(__xludf.DUMMYFUNCTION("""COMPUTED_VALUE"""),"tidak ada jawaban")</f>
        <v>tidak ada jawaban</v>
      </c>
    </row>
    <row r="55">
      <c r="F55" s="285" t="str">
        <f>IFERROR(__xludf.DUMMYFUNCTION("""COMPUTED_VALUE"""),"2607A033")</f>
        <v>2607A033</v>
      </c>
      <c r="G55" s="286">
        <f>IFERROR(__xludf.DUMMYFUNCTION("""COMPUTED_VALUE"""),46207.0)</f>
        <v>46207</v>
      </c>
      <c r="H55" s="285" t="str">
        <f>IFERROR(__xludf.DUMMYFUNCTION("""COMPUTED_VALUE"""),"Dian Fitria")</f>
        <v>Dian Fitria</v>
      </c>
      <c r="I55" s="285" t="str">
        <f>IFERROR(__xludf.DUMMYFUNCTION("""COMPUTED_VALUE"""),"085810088687")</f>
        <v>085810088687</v>
      </c>
      <c r="J55" s="285" t="str">
        <f>IFERROR(__xludf.DUMMYFUNCTION("""COMPUTED_VALUE"""),"Leads Baru")</f>
        <v>Leads Baru</v>
      </c>
      <c r="K55" s="285"/>
      <c r="L55" s="287"/>
      <c r="M55" s="285"/>
      <c r="N55" s="289"/>
      <c r="O55" s="285"/>
      <c r="P55" s="320"/>
      <c r="R55" s="285" t="str">
        <f>IFERROR(__xludf.DUMMYFUNCTION("""COMPUTED_VALUE"""),"2605A045")</f>
        <v>2605A045</v>
      </c>
      <c r="S55" s="286">
        <f>IFERROR(__xludf.DUMMYFUNCTION("""COMPUTED_VALUE"""),46151.0)</f>
        <v>46151</v>
      </c>
      <c r="T55" s="285" t="str">
        <f>IFERROR(__xludf.DUMMYFUNCTION("""COMPUTED_VALUE"""),"Victor")</f>
        <v>Victor</v>
      </c>
      <c r="U55" s="285" t="str">
        <f>IFERROR(__xludf.DUMMYFUNCTION("""COMPUTED_VALUE"""),"081282815552")</f>
        <v>081282815552</v>
      </c>
      <c r="V55" s="285" t="str">
        <f>IFERROR(__xludf.DUMMYFUNCTION("""COMPUTED_VALUE"""),"Closing")</f>
        <v>Closing</v>
      </c>
      <c r="W55" s="285" t="str">
        <f>IFERROR(__xludf.DUMMYFUNCTION("""COMPUTED_VALUE"""),"ot ijen")</f>
        <v>ot ijen</v>
      </c>
      <c r="X55" s="287">
        <f>IFERROR(__xludf.DUMMYFUNCTION("""COMPUTED_VALUE"""),46157.0)</f>
        <v>46157</v>
      </c>
      <c r="Y55" s="285">
        <f>IFERROR(__xludf.DUMMYFUNCTION("""COMPUTED_VALUE"""),2.0)</f>
        <v>2</v>
      </c>
      <c r="Z55" s="289">
        <f>IFERROR(__xludf.DUMMYFUNCTION("""COMPUTED_VALUE"""),500000.0)</f>
        <v>500000</v>
      </c>
      <c r="AA55" s="285" t="str">
        <f>IFERROR(__xludf.DUMMYFUNCTION("""COMPUTED_VALUE"""),"Alhamdulillah order")</f>
        <v>Alhamdulillah order</v>
      </c>
      <c r="AC55" s="285" t="str">
        <f>IFERROR(__xludf.DUMMYFUNCTION("""COMPUTED_VALUE"""),"2601A060")</f>
        <v>2601A060</v>
      </c>
      <c r="AD55" s="286">
        <f>IFERROR(__xludf.DUMMYFUNCTION("""COMPUTED_VALUE"""),46050.0)</f>
        <v>46050</v>
      </c>
      <c r="AE55" s="285" t="str">
        <f>IFERROR(__xludf.DUMMYFUNCTION("""COMPUTED_VALUE"""),"Lanny suyanto")</f>
        <v>Lanny suyanto</v>
      </c>
      <c r="AF55" s="285" t="str">
        <f>IFERROR(__xludf.DUMMYFUNCTION("""COMPUTED_VALUE"""),"0817220272")</f>
        <v>0817220272</v>
      </c>
      <c r="AG55" s="285" t="str">
        <f>IFERROR(__xludf.DUMMYFUNCTION("""COMPUTED_VALUE"""),"Gagal")</f>
        <v>Gagal</v>
      </c>
      <c r="AH55" s="285" t="str">
        <f>IFERROR(__xludf.DUMMYFUNCTION("""COMPUTED_VALUE"""),"4H3M")</f>
        <v>4H3M</v>
      </c>
      <c r="AI55" s="287"/>
      <c r="AJ55" s="285">
        <f>IFERROR(__xludf.DUMMYFUNCTION("""COMPUTED_VALUE"""),30.0)</f>
        <v>30</v>
      </c>
      <c r="AK55" s="289">
        <f>IFERROR(__xludf.DUMMYFUNCTION("""COMPUTED_VALUE"""),6.36E7)</f>
        <v>63600000</v>
      </c>
      <c r="AL55" s="285" t="str">
        <f>IFERROR(__xludf.DUMMYFUNCTION("""COMPUTED_VALUE"""),"tidak ada jawaban lagi")</f>
        <v>tidak ada jawaban lagi</v>
      </c>
    </row>
    <row r="56">
      <c r="F56" s="285" t="str">
        <f>IFERROR(__xludf.DUMMYFUNCTION("""COMPUTED_VALUE"""),"2607A034")</f>
        <v>2607A034</v>
      </c>
      <c r="G56" s="286">
        <f>IFERROR(__xludf.DUMMYFUNCTION("""COMPUTED_VALUE"""),46207.0)</f>
        <v>46207</v>
      </c>
      <c r="H56" s="285" t="str">
        <f>IFERROR(__xludf.DUMMYFUNCTION("""COMPUTED_VALUE"""),"Rahma Dj")</f>
        <v>Rahma Dj</v>
      </c>
      <c r="I56" s="285" t="str">
        <f>IFERROR(__xludf.DUMMYFUNCTION("""COMPUTED_VALUE"""),"085293971113")</f>
        <v>085293971113</v>
      </c>
      <c r="J56" s="285" t="str">
        <f>IFERROR(__xludf.DUMMYFUNCTION("""COMPUTED_VALUE"""),"Leads Baru")</f>
        <v>Leads Baru</v>
      </c>
      <c r="K56" s="285"/>
      <c r="L56" s="287"/>
      <c r="M56" s="285"/>
      <c r="N56" s="289"/>
      <c r="O56" s="285"/>
      <c r="P56" s="320"/>
      <c r="R56" s="285" t="str">
        <f>IFERROR(__xludf.DUMMYFUNCTION("""COMPUTED_VALUE"""),"2605A048")</f>
        <v>2605A048</v>
      </c>
      <c r="S56" s="286">
        <f>IFERROR(__xludf.DUMMYFUNCTION("""COMPUTED_VALUE"""),46150.0)</f>
        <v>46150</v>
      </c>
      <c r="T56" s="285" t="str">
        <f>IFERROR(__xludf.DUMMYFUNCTION("""COMPUTED_VALUE"""),"Ani Restuning Tias")</f>
        <v>Ani Restuning Tias</v>
      </c>
      <c r="U56" s="285" t="str">
        <f>IFERROR(__xludf.DUMMYFUNCTION("""COMPUTED_VALUE"""),"082148480303")</f>
        <v>082148480303</v>
      </c>
      <c r="V56" s="285" t="str">
        <f>IFERROR(__xludf.DUMMYFUNCTION("""COMPUTED_VALUE"""),"Closing")</f>
        <v>Closing</v>
      </c>
      <c r="W56" s="285" t="str">
        <f>IFERROR(__xludf.DUMMYFUNCTION("""COMPUTED_VALUE"""),"ot 3h2m")</f>
        <v>ot 3h2m</v>
      </c>
      <c r="X56" s="287"/>
      <c r="Y56" s="285">
        <f>IFERROR(__xludf.DUMMYFUNCTION("""COMPUTED_VALUE"""),4.0)</f>
        <v>4</v>
      </c>
      <c r="Z56" s="289">
        <f>IFERROR(__xludf.DUMMYFUNCTION("""COMPUTED_VALUE"""),6400000.0)</f>
        <v>6400000</v>
      </c>
      <c r="AA56" s="285" t="str">
        <f>IFERROR(__xludf.DUMMYFUNCTION("""COMPUTED_VALUE"""),"trip selesai")</f>
        <v>trip selesai</v>
      </c>
      <c r="AC56" s="285" t="str">
        <f>IFERROR(__xludf.DUMMYFUNCTION("""COMPUTED_VALUE"""),"2601A061")</f>
        <v>2601A061</v>
      </c>
      <c r="AD56" s="286">
        <f>IFERROR(__xludf.DUMMYFUNCTION("""COMPUTED_VALUE"""),46050.0)</f>
        <v>46050</v>
      </c>
      <c r="AE56" s="285" t="str">
        <f>IFERROR(__xludf.DUMMYFUNCTION("""COMPUTED_VALUE"""),"Sendy")</f>
        <v>Sendy</v>
      </c>
      <c r="AF56" s="285" t="str">
        <f>IFERROR(__xludf.DUMMYFUNCTION("""COMPUTED_VALUE"""),"087776660612")</f>
        <v>087776660612</v>
      </c>
      <c r="AG56" s="285" t="str">
        <f>IFERROR(__xludf.DUMMYFUNCTION("""COMPUTED_VALUE"""),"Gagal")</f>
        <v>Gagal</v>
      </c>
      <c r="AH56" s="285" t="str">
        <f>IFERROR(__xludf.DUMMYFUNCTION("""COMPUTED_VALUE"""),"OT D, B")</f>
        <v>OT D, B</v>
      </c>
      <c r="AI56" s="287"/>
      <c r="AJ56" s="285"/>
      <c r="AK56" s="289"/>
      <c r="AL56" s="285" t="str">
        <f>IFERROR(__xludf.DUMMYFUNCTION("""COMPUTED_VALUE"""),"sendiri")</f>
        <v>sendiri</v>
      </c>
    </row>
    <row r="57">
      <c r="F57" s="285" t="str">
        <f>IFERROR(__xludf.DUMMYFUNCTION("""COMPUTED_VALUE"""),"2607A035")</f>
        <v>2607A035</v>
      </c>
      <c r="G57" s="286">
        <f>IFERROR(__xludf.DUMMYFUNCTION("""COMPUTED_VALUE"""),46207.0)</f>
        <v>46207</v>
      </c>
      <c r="H57" s="285" t="str">
        <f>IFERROR(__xludf.DUMMYFUNCTION("""COMPUTED_VALUE"""),"Dian fitria")</f>
        <v>Dian fitria</v>
      </c>
      <c r="I57" s="285" t="str">
        <f>IFERROR(__xludf.DUMMYFUNCTION("""COMPUTED_VALUE"""),"085810088687")</f>
        <v>085810088687</v>
      </c>
      <c r="J57" s="285" t="str">
        <f>IFERROR(__xludf.DUMMYFUNCTION("""COMPUTED_VALUE"""),"Leads Baru")</f>
        <v>Leads Baru</v>
      </c>
      <c r="K57" s="285" t="str">
        <f>IFERROR(__xludf.DUMMYFUNCTION("""COMPUTED_VALUE"""),"djawatan, green island")</f>
        <v>djawatan, green island</v>
      </c>
      <c r="L57" s="287"/>
      <c r="M57" s="285"/>
      <c r="N57" s="289"/>
      <c r="O57" s="285"/>
      <c r="P57" s="320"/>
      <c r="R57" s="285" t="str">
        <f>IFERROR(__xludf.DUMMYFUNCTION("""COMPUTED_VALUE"""),"2605A062")</f>
        <v>2605A062</v>
      </c>
      <c r="S57" s="286">
        <f>IFERROR(__xludf.DUMMYFUNCTION("""COMPUTED_VALUE"""),46154.0)</f>
        <v>46154</v>
      </c>
      <c r="T57" s="285" t="str">
        <f>IFERROR(__xludf.DUMMYFUNCTION("""COMPUTED_VALUE"""),"Putu Vari Bagiarti")</f>
        <v>Putu Vari Bagiarti</v>
      </c>
      <c r="U57" s="285" t="str">
        <f>IFERROR(__xludf.DUMMYFUNCTION("""COMPUTED_VALUE"""),"0877855228338")</f>
        <v>0877855228338</v>
      </c>
      <c r="V57" s="285" t="str">
        <f>IFERROR(__xludf.DUMMYFUNCTION("""COMPUTED_VALUE"""),"Closing")</f>
        <v>Closing</v>
      </c>
      <c r="W57" s="285" t="str">
        <f>IFERROR(__xludf.DUMMYFUNCTION("""COMPUTED_VALUE"""),"ijen")</f>
        <v>ijen</v>
      </c>
      <c r="X57" s="287">
        <f>IFERROR(__xludf.DUMMYFUNCTION("""COMPUTED_VALUE"""),46157.0)</f>
        <v>46157</v>
      </c>
      <c r="Y57" s="285">
        <f>IFERROR(__xludf.DUMMYFUNCTION("""COMPUTED_VALUE"""),5.0)</f>
        <v>5</v>
      </c>
      <c r="Z57" s="289">
        <f>IFERROR(__xludf.DUMMYFUNCTION("""COMPUTED_VALUE"""),1820000.0)</f>
        <v>1820000</v>
      </c>
      <c r="AA57" s="285" t="str">
        <f>IFERROR(__xludf.DUMMYFUNCTION("""COMPUTED_VALUE"""),"Alhamdulillah order")</f>
        <v>Alhamdulillah order</v>
      </c>
      <c r="AC57" s="285" t="str">
        <f>IFERROR(__xludf.DUMMYFUNCTION("""COMPUTED_VALUE"""),"2601A062")</f>
        <v>2601A062</v>
      </c>
      <c r="AD57" s="286">
        <f>IFERROR(__xludf.DUMMYFUNCTION("""COMPUTED_VALUE"""),46051.0)</f>
        <v>46051</v>
      </c>
      <c r="AE57" s="285" t="str">
        <f>IFERROR(__xludf.DUMMYFUNCTION("""COMPUTED_VALUE"""),"Anugerah Perdana")</f>
        <v>Anugerah Perdana</v>
      </c>
      <c r="AF57" s="285" t="str">
        <f>IFERROR(__xludf.DUMMYFUNCTION("""COMPUTED_VALUE"""),"081329762124")</f>
        <v>081329762124</v>
      </c>
      <c r="AG57" s="285" t="str">
        <f>IFERROR(__xludf.DUMMYFUNCTION("""COMPUTED_VALUE"""),"Gagal")</f>
        <v>Gagal</v>
      </c>
      <c r="AH57" s="285" t="str">
        <f>IFERROR(__xludf.DUMMYFUNCTION("""COMPUTED_VALUE"""),"3H2M Opsi A")</f>
        <v>3H2M Opsi A</v>
      </c>
      <c r="AI57" s="287"/>
      <c r="AJ57" s="285">
        <f>IFERROR(__xludf.DUMMYFUNCTION("""COMPUTED_VALUE"""),2.0)</f>
        <v>2</v>
      </c>
      <c r="AK57" s="289">
        <f>IFERROR(__xludf.DUMMYFUNCTION("""COMPUTED_VALUE"""),6128000.0)</f>
        <v>6128000</v>
      </c>
      <c r="AL57" s="285" t="str">
        <f>IFERROR(__xludf.DUMMYFUNCTION("""COMPUTED_VALUE"""),"belum balas lagi")</f>
        <v>belum balas lagi</v>
      </c>
    </row>
    <row r="58">
      <c r="F58" s="285" t="str">
        <f>IFERROR(__xludf.DUMMYFUNCTION("""COMPUTED_VALUE"""),"2607A038")</f>
        <v>2607A038</v>
      </c>
      <c r="G58" s="286">
        <f>IFERROR(__xludf.DUMMYFUNCTION("""COMPUTED_VALUE"""),46207.0)</f>
        <v>46207</v>
      </c>
      <c r="H58" s="285" t="str">
        <f>IFERROR(__xludf.DUMMYFUNCTION("""COMPUTED_VALUE"""),"Fifi")</f>
        <v>Fifi</v>
      </c>
      <c r="I58" s="285" t="str">
        <f>IFERROR(__xludf.DUMMYFUNCTION("""COMPUTED_VALUE"""),"085156269850")</f>
        <v>085156269850</v>
      </c>
      <c r="J58" s="285" t="str">
        <f>IFERROR(__xludf.DUMMYFUNCTION("""COMPUTED_VALUE"""),"Leads Baru")</f>
        <v>Leads Baru</v>
      </c>
      <c r="K58" s="285" t="str">
        <f>IFERROR(__xludf.DUMMYFUNCTION("""COMPUTED_VALUE"""),"3h2m")</f>
        <v>3h2m</v>
      </c>
      <c r="L58" s="287"/>
      <c r="M58" s="285"/>
      <c r="N58" s="289"/>
      <c r="O58" s="285"/>
      <c r="P58" s="320"/>
      <c r="R58" s="285" t="str">
        <f>IFERROR(__xludf.DUMMYFUNCTION("""COMPUTED_VALUE"""),"2605A063")</f>
        <v>2605A063</v>
      </c>
      <c r="S58" s="286">
        <f>IFERROR(__xludf.DUMMYFUNCTION("""COMPUTED_VALUE"""),46153.0)</f>
        <v>46153</v>
      </c>
      <c r="T58" s="285" t="str">
        <f>IFERROR(__xludf.DUMMYFUNCTION("""COMPUTED_VALUE"""),"Civan")</f>
        <v>Civan</v>
      </c>
      <c r="U58" s="285" t="str">
        <f>IFERROR(__xludf.DUMMYFUNCTION("""COMPUTED_VALUE"""),"082338486647")</f>
        <v>082338486647</v>
      </c>
      <c r="V58" s="285" t="str">
        <f>IFERROR(__xludf.DUMMYFUNCTION("""COMPUTED_VALUE"""),"Closing")</f>
        <v>Closing</v>
      </c>
      <c r="W58" s="285" t="str">
        <f>IFERROR(__xludf.DUMMYFUNCTION("""COMPUTED_VALUE"""),"ot mt")</f>
        <v>ot mt</v>
      </c>
      <c r="X58" s="287">
        <f>IFERROR(__xludf.DUMMYFUNCTION("""COMPUTED_VALUE"""),46155.0)</f>
        <v>46155</v>
      </c>
      <c r="Y58" s="285">
        <f>IFERROR(__xludf.DUMMYFUNCTION("""COMPUTED_VALUE"""),2.0)</f>
        <v>2</v>
      </c>
      <c r="Z58" s="289">
        <f>IFERROR(__xludf.DUMMYFUNCTION("""COMPUTED_VALUE"""),800000.0)</f>
        <v>800000</v>
      </c>
      <c r="AA58" s="285" t="str">
        <f>IFERROR(__xludf.DUMMYFUNCTION("""COMPUTED_VALUE"""),"Alhamdulillah order")</f>
        <v>Alhamdulillah order</v>
      </c>
      <c r="AC58" s="285" t="str">
        <f>IFERROR(__xludf.DUMMYFUNCTION("""COMPUTED_VALUE"""),"2601A059")</f>
        <v>2601A059</v>
      </c>
      <c r="AD58" s="286">
        <f>IFERROR(__xludf.DUMMYFUNCTION("""COMPUTED_VALUE"""),46049.0)</f>
        <v>46049</v>
      </c>
      <c r="AE58" s="285" t="str">
        <f>IFERROR(__xludf.DUMMYFUNCTION("""COMPUTED_VALUE"""),"DR")</f>
        <v>DR</v>
      </c>
      <c r="AF58" s="285" t="str">
        <f>IFERROR(__xludf.DUMMYFUNCTION("""COMPUTED_VALUE"""),"085854406666")</f>
        <v>085854406666</v>
      </c>
      <c r="AG58" s="285" t="str">
        <f>IFERROR(__xludf.DUMMYFUNCTION("""COMPUTED_VALUE"""),"Gagal")</f>
        <v>Gagal</v>
      </c>
      <c r="AH58" s="285" t="str">
        <f>IFERROR(__xludf.DUMMYFUNCTION("""COMPUTED_VALUE"""),"3H2M Opsi B")</f>
        <v>3H2M Opsi B</v>
      </c>
      <c r="AI58" s="287"/>
      <c r="AJ58" s="285">
        <f>IFERROR(__xludf.DUMMYFUNCTION("""COMPUTED_VALUE"""),5.0)</f>
        <v>5</v>
      </c>
      <c r="AK58" s="289"/>
      <c r="AL58" s="285" t="str">
        <f>IFERROR(__xludf.DUMMYFUNCTION("""COMPUTED_VALUE"""),"Gagal karna tidak ada balasan lagi")</f>
        <v>Gagal karna tidak ada balasan lagi</v>
      </c>
    </row>
    <row r="59">
      <c r="F59" s="285" t="str">
        <f>IFERROR(__xludf.DUMMYFUNCTION("""COMPUTED_VALUE"""),"2607A039")</f>
        <v>2607A039</v>
      </c>
      <c r="G59" s="286">
        <f>IFERROR(__xludf.DUMMYFUNCTION("""COMPUTED_VALUE"""),46208.0)</f>
        <v>46208</v>
      </c>
      <c r="H59" s="285" t="str">
        <f>IFERROR(__xludf.DUMMYFUNCTION("""COMPUTED_VALUE"""),"Benny")</f>
        <v>Benny</v>
      </c>
      <c r="I59" s="285" t="str">
        <f>IFERROR(__xludf.DUMMYFUNCTION("""COMPUTED_VALUE"""),"081371627539")</f>
        <v>081371627539</v>
      </c>
      <c r="J59" s="285" t="str">
        <f>IFERROR(__xludf.DUMMYFUNCTION("""COMPUTED_VALUE"""),"Leads Baru")</f>
        <v>Leads Baru</v>
      </c>
      <c r="K59" s="285" t="str">
        <f>IFERROR(__xludf.DUMMYFUNCTION("""COMPUTED_VALUE"""),"trip menjangan tabuhan")</f>
        <v>trip menjangan tabuhan</v>
      </c>
      <c r="L59" s="287"/>
      <c r="M59" s="285"/>
      <c r="N59" s="289"/>
      <c r="O59" s="285"/>
      <c r="P59" s="320"/>
      <c r="R59" s="285" t="str">
        <f>IFERROR(__xludf.DUMMYFUNCTION("""COMPUTED_VALUE"""),"2605A074")</f>
        <v>2605A074</v>
      </c>
      <c r="S59" s="286">
        <f>IFERROR(__xludf.DUMMYFUNCTION("""COMPUTED_VALUE"""),46156.0)</f>
        <v>46156</v>
      </c>
      <c r="T59" s="285" t="str">
        <f>IFERROR(__xludf.DUMMYFUNCTION("""COMPUTED_VALUE"""),"Lina")</f>
        <v>Lina</v>
      </c>
      <c r="U59" s="285" t="str">
        <f>IFERROR(__xludf.DUMMYFUNCTION("""COMPUTED_VALUE"""),"0895603811349")</f>
        <v>0895603811349</v>
      </c>
      <c r="V59" s="285" t="str">
        <f>IFERROR(__xludf.DUMMYFUNCTION("""COMPUTED_VALUE"""),"Closing")</f>
        <v>Closing</v>
      </c>
      <c r="W59" s="285" t="str">
        <f>IFERROR(__xludf.DUMMYFUNCTION("""COMPUTED_VALUE"""),"ot mt")</f>
        <v>ot mt</v>
      </c>
      <c r="X59" s="287">
        <f>IFERROR(__xludf.DUMMYFUNCTION("""COMPUTED_VALUE"""),46166.0)</f>
        <v>46166</v>
      </c>
      <c r="Y59" s="285">
        <f>IFERROR(__xludf.DUMMYFUNCTION("""COMPUTED_VALUE"""),6.0)</f>
        <v>6</v>
      </c>
      <c r="Z59" s="289">
        <f>IFERROR(__xludf.DUMMYFUNCTION("""COMPUTED_VALUE"""),1650000.0)</f>
        <v>1650000</v>
      </c>
      <c r="AA59" s="285" t="str">
        <f>IFERROR(__xludf.DUMMYFUNCTION("""COMPUTED_VALUE"""),"alhamdulillah order")</f>
        <v>alhamdulillah order</v>
      </c>
      <c r="AC59" s="285" t="str">
        <f>IFERROR(__xludf.DUMMYFUNCTION("""COMPUTED_VALUE"""),"2601A063")</f>
        <v>2601A063</v>
      </c>
      <c r="AD59" s="286">
        <f>IFERROR(__xludf.DUMMYFUNCTION("""COMPUTED_VALUE"""),46051.0)</f>
        <v>46051</v>
      </c>
      <c r="AE59" s="285" t="str">
        <f>IFERROR(__xludf.DUMMYFUNCTION("""COMPUTED_VALUE"""),"Nasyajulia")</f>
        <v>Nasyajulia</v>
      </c>
      <c r="AF59" s="285" t="str">
        <f>IFERROR(__xludf.DUMMYFUNCTION("""COMPUTED_VALUE"""),"0881024866564")</f>
        <v>0881024866564</v>
      </c>
      <c r="AG59" s="285" t="str">
        <f>IFERROR(__xludf.DUMMYFUNCTION("""COMPUTED_VALUE"""),"Gagal")</f>
        <v>Gagal</v>
      </c>
      <c r="AH59" s="285"/>
      <c r="AI59" s="287"/>
      <c r="AJ59" s="285"/>
      <c r="AK59" s="289"/>
      <c r="AL59" s="285" t="str">
        <f>IFERROR(__xludf.DUMMYFUNCTION("""COMPUTED_VALUE"""),"belum tertarik")</f>
        <v>belum tertarik</v>
      </c>
    </row>
    <row r="60">
      <c r="F60" s="285" t="str">
        <f>IFERROR(__xludf.DUMMYFUNCTION("""COMPUTED_VALUE"""),"2607A040")</f>
        <v>2607A040</v>
      </c>
      <c r="G60" s="286">
        <f>IFERROR(__xludf.DUMMYFUNCTION("""COMPUTED_VALUE"""),46208.0)</f>
        <v>46208</v>
      </c>
      <c r="H60" s="285" t="str">
        <f>IFERROR(__xludf.DUMMYFUNCTION("""COMPUTED_VALUE"""),"Husnul utami")</f>
        <v>Husnul utami</v>
      </c>
      <c r="I60" s="285" t="str">
        <f>IFERROR(__xludf.DUMMYFUNCTION("""COMPUTED_VALUE"""),"08567215141")</f>
        <v>08567215141</v>
      </c>
      <c r="J60" s="285" t="str">
        <f>IFERROR(__xludf.DUMMYFUNCTION("""COMPUTED_VALUE"""),"Leads Baru")</f>
        <v>Leads Baru</v>
      </c>
      <c r="K60" s="285"/>
      <c r="L60" s="287"/>
      <c r="M60" s="285"/>
      <c r="N60" s="289"/>
      <c r="O60" s="285"/>
      <c r="P60" s="320"/>
      <c r="R60" s="285" t="str">
        <f>IFERROR(__xludf.DUMMYFUNCTION("""COMPUTED_VALUE"""),"2605A075")</f>
        <v>2605A075</v>
      </c>
      <c r="S60" s="286">
        <f>IFERROR(__xludf.DUMMYFUNCTION("""COMPUTED_VALUE"""),46160.0)</f>
        <v>46160</v>
      </c>
      <c r="T60" s="285" t="str">
        <f>IFERROR(__xludf.DUMMYFUNCTION("""COMPUTED_VALUE"""),"Veronica Merry")</f>
        <v>Veronica Merry</v>
      </c>
      <c r="U60" s="285" t="str">
        <f>IFERROR(__xludf.DUMMYFUNCTION("""COMPUTED_VALUE"""),"08112952345")</f>
        <v>08112952345</v>
      </c>
      <c r="V60" s="285" t="str">
        <f>IFERROR(__xludf.DUMMYFUNCTION("""COMPUTED_VALUE"""),"Closing")</f>
        <v>Closing</v>
      </c>
      <c r="W60" s="285" t="str">
        <f>IFERROR(__xludf.DUMMYFUNCTION("""COMPUTED_VALUE"""),"ot mt")</f>
        <v>ot mt</v>
      </c>
      <c r="X60" s="287">
        <f>IFERROR(__xludf.DUMMYFUNCTION("""COMPUTED_VALUE"""),46262.0)</f>
        <v>46262</v>
      </c>
      <c r="Y60" s="285">
        <f>IFERROR(__xludf.DUMMYFUNCTION("""COMPUTED_VALUE"""),2.0)</f>
        <v>2</v>
      </c>
      <c r="Z60" s="289">
        <f>IFERROR(__xludf.DUMMYFUNCTION("""COMPUTED_VALUE"""),800000.0)</f>
        <v>800000</v>
      </c>
      <c r="AA60" s="285" t="str">
        <f>IFERROR(__xludf.DUMMYFUNCTION("""COMPUTED_VALUE"""),"alhamdulillah order")</f>
        <v>alhamdulillah order</v>
      </c>
      <c r="AC60" s="285" t="str">
        <f>IFERROR(__xludf.DUMMYFUNCTION("""COMPUTED_VALUE"""),"2601A064")</f>
        <v>2601A064</v>
      </c>
      <c r="AD60" s="286">
        <f>IFERROR(__xludf.DUMMYFUNCTION("""COMPUTED_VALUE"""),46052.0)</f>
        <v>46052</v>
      </c>
      <c r="AE60" s="285" t="str">
        <f>IFERROR(__xludf.DUMMYFUNCTION("""COMPUTED_VALUE"""),"Hary ")</f>
        <v>Hary </v>
      </c>
      <c r="AF60" s="285" t="str">
        <f>IFERROR(__xludf.DUMMYFUNCTION("""COMPUTED_VALUE"""),"085257112446")</f>
        <v>085257112446</v>
      </c>
      <c r="AG60" s="285" t="str">
        <f>IFERROR(__xludf.DUMMYFUNCTION("""COMPUTED_VALUE"""),"Gagal")</f>
        <v>Gagal</v>
      </c>
      <c r="AH60" s="285" t="str">
        <f>IFERROR(__xludf.DUMMYFUNCTION("""COMPUTED_VALUE"""),"2H1M Custom")</f>
        <v>2H1M Custom</v>
      </c>
      <c r="AI60" s="287"/>
      <c r="AJ60" s="285">
        <f>IFERROR(__xludf.DUMMYFUNCTION("""COMPUTED_VALUE"""),2.0)</f>
        <v>2</v>
      </c>
      <c r="AK60" s="289"/>
      <c r="AL60" s="285" t="str">
        <f>IFERROR(__xludf.DUMMYFUNCTION("""COMPUTED_VALUE"""),"kurang minat karna jauh")</f>
        <v>kurang minat karna jauh</v>
      </c>
    </row>
    <row r="61">
      <c r="F61" s="285" t="str">
        <f>IFERROR(__xludf.DUMMYFUNCTION("""COMPUTED_VALUE"""),"2607A045")</f>
        <v>2607A045</v>
      </c>
      <c r="G61" s="286">
        <f>IFERROR(__xludf.DUMMYFUNCTION("""COMPUTED_VALUE"""),46208.0)</f>
        <v>46208</v>
      </c>
      <c r="H61" s="285" t="str">
        <f>IFERROR(__xludf.DUMMYFUNCTION("""COMPUTED_VALUE"""),"Obi")</f>
        <v>Obi</v>
      </c>
      <c r="I61" s="285" t="str">
        <f>IFERROR(__xludf.DUMMYFUNCTION("""COMPUTED_VALUE"""),"089650694886")</f>
        <v>089650694886</v>
      </c>
      <c r="J61" s="285" t="str">
        <f>IFERROR(__xludf.DUMMYFUNCTION("""COMPUTED_VALUE"""),"Leads Baru")</f>
        <v>Leads Baru</v>
      </c>
      <c r="K61" s="285" t="str">
        <f>IFERROR(__xludf.DUMMYFUNCTION("""COMPUTED_VALUE"""),"3h2m")</f>
        <v>3h2m</v>
      </c>
      <c r="L61" s="287"/>
      <c r="M61" s="285">
        <f>IFERROR(__xludf.DUMMYFUNCTION("""COMPUTED_VALUE"""),6.0)</f>
        <v>6</v>
      </c>
      <c r="N61" s="289"/>
      <c r="O61" s="285"/>
      <c r="P61" s="320"/>
      <c r="R61" s="285" t="str">
        <f>IFERROR(__xludf.DUMMYFUNCTION("""COMPUTED_VALUE"""),"2605A092")</f>
        <v>2605A092</v>
      </c>
      <c r="S61" s="286">
        <f>IFERROR(__xludf.DUMMYFUNCTION("""COMPUTED_VALUE"""),46158.0)</f>
        <v>46158</v>
      </c>
      <c r="T61" s="285" t="str">
        <f>IFERROR(__xludf.DUMMYFUNCTION("""COMPUTED_VALUE"""),"Elvy Savarina Suwenda")</f>
        <v>Elvy Savarina Suwenda</v>
      </c>
      <c r="U61" s="285" t="str">
        <f>IFERROR(__xludf.DUMMYFUNCTION("""COMPUTED_VALUE"""),"081573712979")</f>
        <v>081573712979</v>
      </c>
      <c r="V61" s="285" t="str">
        <f>IFERROR(__xludf.DUMMYFUNCTION("""COMPUTED_VALUE"""),"Closing")</f>
        <v>Closing</v>
      </c>
      <c r="W61" s="285" t="str">
        <f>IFERROR(__xludf.DUMMYFUNCTION("""COMPUTED_VALUE"""),"3h2m")</f>
        <v>3h2m</v>
      </c>
      <c r="X61" s="287">
        <f>IFERROR(__xludf.DUMMYFUNCTION("""COMPUTED_VALUE"""),46198.0)</f>
        <v>46198</v>
      </c>
      <c r="Y61" s="285">
        <f>IFERROR(__xludf.DUMMYFUNCTION("""COMPUTED_VALUE"""),9.0)</f>
        <v>9</v>
      </c>
      <c r="Z61" s="289">
        <f>IFERROR(__xludf.DUMMYFUNCTION("""COMPUTED_VALUE"""),1.2043E7)</f>
        <v>12043000</v>
      </c>
      <c r="AA61" s="285" t="str">
        <f>IFERROR(__xludf.DUMMYFUNCTION("""COMPUTED_VALUE"""),"alhamdulillah closing")</f>
        <v>alhamdulillah closing</v>
      </c>
      <c r="AC61" s="285" t="str">
        <f>IFERROR(__xludf.DUMMYFUNCTION("""COMPUTED_VALUE"""),"2601A065")</f>
        <v>2601A065</v>
      </c>
      <c r="AD61" s="286">
        <f>IFERROR(__xludf.DUMMYFUNCTION("""COMPUTED_VALUE"""),46053.0)</f>
        <v>46053</v>
      </c>
      <c r="AE61" s="285" t="str">
        <f>IFERROR(__xludf.DUMMYFUNCTION("""COMPUTED_VALUE"""),"Anna")</f>
        <v>Anna</v>
      </c>
      <c r="AF61" s="285" t="str">
        <f>IFERROR(__xludf.DUMMYFUNCTION("""COMPUTED_VALUE"""),"085829041849")</f>
        <v>085829041849</v>
      </c>
      <c r="AG61" s="285" t="str">
        <f>IFERROR(__xludf.DUMMYFUNCTION("""COMPUTED_VALUE"""),"Gagal")</f>
        <v>Gagal</v>
      </c>
      <c r="AH61" s="285" t="str">
        <f>IFERROR(__xludf.DUMMYFUNCTION("""COMPUTED_VALUE"""),"paket trip ijen")</f>
        <v>paket trip ijen</v>
      </c>
      <c r="AI61" s="287"/>
      <c r="AJ61" s="285">
        <f>IFERROR(__xludf.DUMMYFUNCTION("""COMPUTED_VALUE"""),12.0)</f>
        <v>12</v>
      </c>
      <c r="AK61" s="289"/>
      <c r="AL61" s="285" t="str">
        <f>IFERROR(__xludf.DUMMYFUNCTION("""COMPUTED_VALUE"""),"Masih ditawarkan ke tamunya")</f>
        <v>Masih ditawarkan ke tamunya</v>
      </c>
    </row>
    <row r="62">
      <c r="F62" s="285" t="str">
        <f>IFERROR(__xludf.DUMMYFUNCTION("""COMPUTED_VALUE"""),"2607A046")</f>
        <v>2607A046</v>
      </c>
      <c r="G62" s="286">
        <f>IFERROR(__xludf.DUMMYFUNCTION("""COMPUTED_VALUE"""),46208.0)</f>
        <v>46208</v>
      </c>
      <c r="H62" s="285" t="str">
        <f>IFERROR(__xludf.DUMMYFUNCTION("""COMPUTED_VALUE"""),"Rizky Ardhian")</f>
        <v>Rizky Ardhian</v>
      </c>
      <c r="I62" s="285" t="str">
        <f>IFERROR(__xludf.DUMMYFUNCTION("""COMPUTED_VALUE"""),"087710103785")</f>
        <v>087710103785</v>
      </c>
      <c r="J62" s="285" t="str">
        <f>IFERROR(__xludf.DUMMYFUNCTION("""COMPUTED_VALUE"""),"Leads Baru")</f>
        <v>Leads Baru</v>
      </c>
      <c r="K62" s="285" t="str">
        <f>IFERROR(__xludf.DUMMYFUNCTION("""COMPUTED_VALUE"""),"2h1m")</f>
        <v>2h1m</v>
      </c>
      <c r="L62" s="287"/>
      <c r="M62" s="285"/>
      <c r="N62" s="289"/>
      <c r="O62" s="285"/>
      <c r="P62" s="320"/>
      <c r="R62" s="285" t="str">
        <f>IFERROR(__xludf.DUMMYFUNCTION("""COMPUTED_VALUE"""),"2605A099")</f>
        <v>2605A099</v>
      </c>
      <c r="S62" s="286">
        <f>IFERROR(__xludf.DUMMYFUNCTION("""COMPUTED_VALUE"""),46161.0)</f>
        <v>46161</v>
      </c>
      <c r="T62" s="285" t="str">
        <f>IFERROR(__xludf.DUMMYFUNCTION("""COMPUTED_VALUE"""),"Erika Indriani")</f>
        <v>Erika Indriani</v>
      </c>
      <c r="U62" s="285" t="str">
        <f>IFERROR(__xludf.DUMMYFUNCTION("""COMPUTED_VALUE"""),"081294710496")</f>
        <v>081294710496</v>
      </c>
      <c r="V62" s="285" t="str">
        <f>IFERROR(__xludf.DUMMYFUNCTION("""COMPUTED_VALUE"""),"Closing")</f>
        <v>Closing</v>
      </c>
      <c r="W62" s="285" t="str">
        <f>IFERROR(__xludf.DUMMYFUNCTION("""COMPUTED_VALUE"""),"3h2m")</f>
        <v>3h2m</v>
      </c>
      <c r="X62" s="287"/>
      <c r="Y62" s="285">
        <f>IFERROR(__xludf.DUMMYFUNCTION("""COMPUTED_VALUE"""),3.0)</f>
        <v>3</v>
      </c>
      <c r="Z62" s="289">
        <f>IFERROR(__xludf.DUMMYFUNCTION("""COMPUTED_VALUE"""),7152000.0)</f>
        <v>7152000</v>
      </c>
      <c r="AA62" s="285" t="str">
        <f>IFERROR(__xludf.DUMMYFUNCTION("""COMPUTED_VALUE"""),"alhamdulillah order")</f>
        <v>alhamdulillah order</v>
      </c>
      <c r="AC62" s="285" t="str">
        <f>IFERROR(__xludf.DUMMYFUNCTION("""COMPUTED_VALUE"""),"2601A066")</f>
        <v>2601A066</v>
      </c>
      <c r="AD62" s="286">
        <f>IFERROR(__xludf.DUMMYFUNCTION("""COMPUTED_VALUE"""),46053.0)</f>
        <v>46053</v>
      </c>
      <c r="AE62" s="285" t="str">
        <f>IFERROR(__xludf.DUMMYFUNCTION("""COMPUTED_VALUE"""),"Rain")</f>
        <v>Rain</v>
      </c>
      <c r="AF62" s="285" t="str">
        <f>IFERROR(__xludf.DUMMYFUNCTION("""COMPUTED_VALUE"""),"085719601265")</f>
        <v>085719601265</v>
      </c>
      <c r="AG62" s="285" t="str">
        <f>IFERROR(__xludf.DUMMYFUNCTION("""COMPUTED_VALUE"""),"Gagal")</f>
        <v>Gagal</v>
      </c>
      <c r="AH62" s="285"/>
      <c r="AI62" s="287"/>
      <c r="AJ62" s="285"/>
      <c r="AK62" s="289"/>
      <c r="AL62" s="285" t="str">
        <f>IFERROR(__xludf.DUMMYFUNCTION("""COMPUTED_VALUE"""),"gagal, tidak ada balasan")</f>
        <v>gagal, tidak ada balasan</v>
      </c>
    </row>
    <row r="63">
      <c r="F63" s="285" t="str">
        <f>IFERROR(__xludf.DUMMYFUNCTION("""COMPUTED_VALUE"""),"2607A047")</f>
        <v>2607A047</v>
      </c>
      <c r="G63" s="286">
        <f>IFERROR(__xludf.DUMMYFUNCTION("""COMPUTED_VALUE"""),46209.0)</f>
        <v>46209</v>
      </c>
      <c r="H63" s="285" t="str">
        <f>IFERROR(__xludf.DUMMYFUNCTION("""COMPUTED_VALUE"""),"Hotline")</f>
        <v>Hotline</v>
      </c>
      <c r="I63" s="285" t="str">
        <f>IFERROR(__xludf.DUMMYFUNCTION("""COMPUTED_VALUE"""),"0811222037")</f>
        <v>0811222037</v>
      </c>
      <c r="J63" s="285" t="str">
        <f>IFERROR(__xludf.DUMMYFUNCTION("""COMPUTED_VALUE"""),"Leads Baru")</f>
        <v>Leads Baru</v>
      </c>
      <c r="K63" s="285"/>
      <c r="L63" s="287"/>
      <c r="M63" s="285"/>
      <c r="N63" s="289"/>
      <c r="O63" s="285"/>
      <c r="P63" s="320"/>
      <c r="R63" s="285" t="str">
        <f>IFERROR(__xludf.DUMMYFUNCTION("""COMPUTED_VALUE"""),"2605A102")</f>
        <v>2605A102</v>
      </c>
      <c r="S63" s="286">
        <f>IFERROR(__xludf.DUMMYFUNCTION("""COMPUTED_VALUE"""),46160.0)</f>
        <v>46160</v>
      </c>
      <c r="T63" s="285" t="str">
        <f>IFERROR(__xludf.DUMMYFUNCTION("""COMPUTED_VALUE"""),"fayez indra")</f>
        <v>fayez indra</v>
      </c>
      <c r="U63" s="285" t="str">
        <f>IFERROR(__xludf.DUMMYFUNCTION("""COMPUTED_VALUE"""),"0811891255")</f>
        <v>0811891255</v>
      </c>
      <c r="V63" s="285" t="str">
        <f>IFERROR(__xludf.DUMMYFUNCTION("""COMPUTED_VALUE"""),"Closing")</f>
        <v>Closing</v>
      </c>
      <c r="W63" s="285" t="str">
        <f>IFERROR(__xludf.DUMMYFUNCTION("""COMPUTED_VALUE"""),"2h1m")</f>
        <v>2h1m</v>
      </c>
      <c r="X63" s="287"/>
      <c r="Y63" s="285">
        <f>IFERROR(__xludf.DUMMYFUNCTION("""COMPUTED_VALUE"""),3.0)</f>
        <v>3</v>
      </c>
      <c r="Z63" s="289">
        <f>IFERROR(__xludf.DUMMYFUNCTION("""COMPUTED_VALUE"""),4935000.0)</f>
        <v>4935000</v>
      </c>
      <c r="AA63" s="285" t="str">
        <f>IFERROR(__xludf.DUMMYFUNCTION("""COMPUTED_VALUE"""),"fu 21 mei")</f>
        <v>fu 21 mei</v>
      </c>
      <c r="AC63" s="285" t="str">
        <f>IFERROR(__xludf.DUMMYFUNCTION("""COMPUTED_VALUE"""),"2601A067")</f>
        <v>2601A067</v>
      </c>
      <c r="AD63" s="286">
        <f>IFERROR(__xludf.DUMMYFUNCTION("""COMPUTED_VALUE"""),46053.0)</f>
        <v>46053</v>
      </c>
      <c r="AE63" s="285" t="str">
        <f>IFERROR(__xludf.DUMMYFUNCTION("""COMPUTED_VALUE"""),"JM Rouf")</f>
        <v>JM Rouf</v>
      </c>
      <c r="AF63" s="285" t="str">
        <f>IFERROR(__xludf.DUMMYFUNCTION("""COMPUTED_VALUE"""),"33617373308")</f>
        <v>33617373308</v>
      </c>
      <c r="AG63" s="285" t="str">
        <f>IFERROR(__xludf.DUMMYFUNCTION("""COMPUTED_VALUE"""),"Gagal")</f>
        <v>Gagal</v>
      </c>
      <c r="AH63" s="285" t="str">
        <f>IFERROR(__xludf.DUMMYFUNCTION("""COMPUTED_VALUE"""),"Trip D, PM, TI")</f>
        <v>Trip D, PM, TI</v>
      </c>
      <c r="AI63" s="287"/>
      <c r="AJ63" s="285"/>
      <c r="AK63" s="289"/>
      <c r="AL63" s="285" t="str">
        <f>IFERROR(__xludf.DUMMYFUNCTION("""COMPUTED_VALUE"""),"tidak minat")</f>
        <v>tidak minat</v>
      </c>
    </row>
    <row r="64">
      <c r="F64" s="285" t="str">
        <f>IFERROR(__xludf.DUMMYFUNCTION("""COMPUTED_VALUE"""),"2606A051")</f>
        <v>2606A051</v>
      </c>
      <c r="G64" s="286">
        <f>IFERROR(__xludf.DUMMYFUNCTION("""COMPUTED_VALUE"""),46209.0)</f>
        <v>46209</v>
      </c>
      <c r="H64" s="285" t="str">
        <f>IFERROR(__xludf.DUMMYFUNCTION("""COMPUTED_VALUE"""),"Kat")</f>
        <v>Kat</v>
      </c>
      <c r="I64" s="285" t="str">
        <f>IFERROR(__xludf.DUMMYFUNCTION("""COMPUTED_VALUE"""),"081290273672")</f>
        <v>081290273672</v>
      </c>
      <c r="J64" s="285" t="str">
        <f>IFERROR(__xludf.DUMMYFUNCTION("""COMPUTED_VALUE"""),"Leads Baru")</f>
        <v>Leads Baru</v>
      </c>
      <c r="K64" s="285"/>
      <c r="L64" s="287"/>
      <c r="M64" s="285"/>
      <c r="N64" s="289"/>
      <c r="O64" s="285"/>
      <c r="P64" s="320"/>
      <c r="R64" s="285" t="str">
        <f>IFERROR(__xludf.DUMMYFUNCTION("""COMPUTED_VALUE"""),"2605A104")</f>
        <v>2605A104</v>
      </c>
      <c r="S64" s="286">
        <f>IFERROR(__xludf.DUMMYFUNCTION("""COMPUTED_VALUE"""),46159.0)</f>
        <v>46159</v>
      </c>
      <c r="T64" s="285" t="str">
        <f>IFERROR(__xludf.DUMMYFUNCTION("""COMPUTED_VALUE"""),"Inggit Tribuana S")</f>
        <v>Inggit Tribuana S</v>
      </c>
      <c r="U64" s="285" t="str">
        <f>IFERROR(__xludf.DUMMYFUNCTION("""COMPUTED_VALUE"""),"087733021262")</f>
        <v>087733021262</v>
      </c>
      <c r="V64" s="285" t="str">
        <f>IFERROR(__xludf.DUMMYFUNCTION("""COMPUTED_VALUE"""),"Closing")</f>
        <v>Closing</v>
      </c>
      <c r="W64" s="285" t="str">
        <f>IFERROR(__xludf.DUMMYFUNCTION("""COMPUTED_VALUE"""),"2h1m")</f>
        <v>2h1m</v>
      </c>
      <c r="X64" s="287"/>
      <c r="Y64" s="285">
        <f>IFERROR(__xludf.DUMMYFUNCTION("""COMPUTED_VALUE"""),5.0)</f>
        <v>5</v>
      </c>
      <c r="Z64" s="289">
        <f>IFERROR(__xludf.DUMMYFUNCTION("""COMPUTED_VALUE"""),4800000.0)</f>
        <v>4800000</v>
      </c>
      <c r="AA64" s="285" t="str">
        <f>IFERROR(__xludf.DUMMYFUNCTION("""COMPUTED_VALUE"""),"alhamdulillah order")</f>
        <v>alhamdulillah order</v>
      </c>
      <c r="AC64" s="285" t="str">
        <f>IFERROR(__xludf.DUMMYFUNCTION("""COMPUTED_VALUE"""),"2601A068")</f>
        <v>2601A068</v>
      </c>
      <c r="AD64" s="286">
        <f>IFERROR(__xludf.DUMMYFUNCTION("""COMPUTED_VALUE"""),46053.0)</f>
        <v>46053</v>
      </c>
      <c r="AE64" s="285" t="str">
        <f>IFERROR(__xludf.DUMMYFUNCTION("""COMPUTED_VALUE"""),"Mila")</f>
        <v>Mila</v>
      </c>
      <c r="AF64" s="285" t="str">
        <f>IFERROR(__xludf.DUMMYFUNCTION("""COMPUTED_VALUE"""),"081511307136")</f>
        <v>081511307136</v>
      </c>
      <c r="AG64" s="285" t="str">
        <f>IFERROR(__xludf.DUMMYFUNCTION("""COMPUTED_VALUE"""),"Gagal")</f>
        <v>Gagal</v>
      </c>
      <c r="AH64" s="285"/>
      <c r="AI64" s="287"/>
      <c r="AJ64" s="285"/>
      <c r="AK64" s="289"/>
      <c r="AL64" s="285" t="str">
        <f>IFERROR(__xludf.DUMMYFUNCTION("""COMPUTED_VALUE"""),"Gagal Tidak ada respon")</f>
        <v>Gagal Tidak ada respon</v>
      </c>
    </row>
    <row r="65">
      <c r="F65" s="285" t="str">
        <f>IFERROR(__xludf.DUMMYFUNCTION("""COMPUTED_VALUE"""),"2607A056")</f>
        <v>2607A056</v>
      </c>
      <c r="G65" s="286">
        <f>IFERROR(__xludf.DUMMYFUNCTION("""COMPUTED_VALUE"""),46210.0)</f>
        <v>46210</v>
      </c>
      <c r="H65" s="285" t="str">
        <f>IFERROR(__xludf.DUMMYFUNCTION("""COMPUTED_VALUE"""),"Tina")</f>
        <v>Tina</v>
      </c>
      <c r="I65" s="285" t="str">
        <f>IFERROR(__xludf.DUMMYFUNCTION("""COMPUTED_VALUE"""),"081385621094")</f>
        <v>081385621094</v>
      </c>
      <c r="J65" s="285" t="str">
        <f>IFERROR(__xludf.DUMMYFUNCTION("""COMPUTED_VALUE"""),"Leads Baru")</f>
        <v>Leads Baru</v>
      </c>
      <c r="K65" s="285" t="str">
        <f>IFERROR(__xludf.DUMMYFUNCTION("""COMPUTED_VALUE"""),"2h1m")</f>
        <v>2h1m</v>
      </c>
      <c r="L65" s="287"/>
      <c r="M65" s="285"/>
      <c r="N65" s="289"/>
      <c r="O65" s="285"/>
      <c r="P65" s="320"/>
      <c r="R65" s="285" t="str">
        <f>IFERROR(__xludf.DUMMYFUNCTION("""COMPUTED_VALUE"""),"2605A105")</f>
        <v>2605A105</v>
      </c>
      <c r="S65" s="286">
        <f>IFERROR(__xludf.DUMMYFUNCTION("""COMPUTED_VALUE"""),46161.0)</f>
        <v>46161</v>
      </c>
      <c r="T65" s="285" t="str">
        <f>IFERROR(__xludf.DUMMYFUNCTION("""COMPUTED_VALUE"""),"Fani - Fatharani Salma N")</f>
        <v>Fani - Fatharani Salma N</v>
      </c>
      <c r="U65" s="285" t="str">
        <f>IFERROR(__xludf.DUMMYFUNCTION("""COMPUTED_VALUE"""),"081222612217")</f>
        <v>081222612217</v>
      </c>
      <c r="V65" s="285" t="str">
        <f>IFERROR(__xludf.DUMMYFUNCTION("""COMPUTED_VALUE"""),"Closing")</f>
        <v>Closing</v>
      </c>
      <c r="W65" s="285" t="str">
        <f>IFERROR(__xludf.DUMMYFUNCTION("""COMPUTED_VALUE"""),"ot 3h2m")</f>
        <v>ot 3h2m</v>
      </c>
      <c r="X65" s="287"/>
      <c r="Y65" s="285">
        <f>IFERROR(__xludf.DUMMYFUNCTION("""COMPUTED_VALUE"""),2.0)</f>
        <v>2</v>
      </c>
      <c r="Z65" s="289">
        <f>IFERROR(__xludf.DUMMYFUNCTION("""COMPUTED_VALUE"""),3200000.0)</f>
        <v>3200000</v>
      </c>
      <c r="AA65" s="285" t="str">
        <f>IFERROR(__xludf.DUMMYFUNCTION("""COMPUTED_VALUE"""),"ubah leads")</f>
        <v>ubah leads</v>
      </c>
      <c r="AC65" s="285" t="str">
        <f>IFERROR(__xludf.DUMMYFUNCTION("""COMPUTED_VALUE"""),"2602A002")</f>
        <v>2602A002</v>
      </c>
      <c r="AD65" s="286">
        <f>IFERROR(__xludf.DUMMYFUNCTION("""COMPUTED_VALUE"""),46055.0)</f>
        <v>46055</v>
      </c>
      <c r="AE65" s="285" t="str">
        <f>IFERROR(__xludf.DUMMYFUNCTION("""COMPUTED_VALUE"""),"Suci")</f>
        <v>Suci</v>
      </c>
      <c r="AF65" s="285" t="str">
        <f>IFERROR(__xludf.DUMMYFUNCTION("""COMPUTED_VALUE"""),"081233877184")</f>
        <v>081233877184</v>
      </c>
      <c r="AG65" s="285" t="str">
        <f>IFERROR(__xludf.DUMMYFUNCTION("""COMPUTED_VALUE"""),"Gagal")</f>
        <v>Gagal</v>
      </c>
      <c r="AH65" s="285" t="str">
        <f>IFERROR(__xludf.DUMMYFUNCTION("""COMPUTED_VALUE"""),"3H2M Opsi B")</f>
        <v>3H2M Opsi B</v>
      </c>
      <c r="AI65" s="287">
        <f>IFERROR(__xludf.DUMMYFUNCTION("""COMPUTED_VALUE"""),46117.0)</f>
        <v>46117</v>
      </c>
      <c r="AJ65" s="285">
        <f>IFERROR(__xludf.DUMMYFUNCTION("""COMPUTED_VALUE"""),4.0)</f>
        <v>4</v>
      </c>
      <c r="AK65" s="289"/>
      <c r="AL65" s="285" t="str">
        <f>IFERROR(__xludf.DUMMYFUNCTION("""COMPUTED_VALUE"""),"cancellll")</f>
        <v>cancellll</v>
      </c>
    </row>
    <row r="66">
      <c r="F66" s="285" t="str">
        <f>IFERROR(__xludf.DUMMYFUNCTION("""COMPUTED_VALUE"""),"2607A058")</f>
        <v>2607A058</v>
      </c>
      <c r="G66" s="286">
        <f>IFERROR(__xludf.DUMMYFUNCTION("""COMPUTED_VALUE"""),46211.0)</f>
        <v>46211</v>
      </c>
      <c r="H66" s="285" t="str">
        <f>IFERROR(__xludf.DUMMYFUNCTION("""COMPUTED_VALUE"""),"Anja")</f>
        <v>Anja</v>
      </c>
      <c r="I66" s="285" t="str">
        <f>IFERROR(__xludf.DUMMYFUNCTION("""COMPUTED_VALUE"""),"089502185680")</f>
        <v>089502185680</v>
      </c>
      <c r="J66" s="285" t="str">
        <f>IFERROR(__xludf.DUMMYFUNCTION("""COMPUTED_VALUE"""),"Leads Baru")</f>
        <v>Leads Baru</v>
      </c>
      <c r="K66" s="285" t="str">
        <f>IFERROR(__xludf.DUMMYFUNCTION("""COMPUTED_VALUE"""),"3h2m")</f>
        <v>3h2m</v>
      </c>
      <c r="L66" s="287"/>
      <c r="M66" s="285">
        <f>IFERROR(__xludf.DUMMYFUNCTION("""COMPUTED_VALUE"""),81.0)</f>
        <v>81</v>
      </c>
      <c r="N66" s="289"/>
      <c r="O66" s="285"/>
      <c r="P66" s="320"/>
      <c r="R66" s="285" t="str">
        <f>IFERROR(__xludf.DUMMYFUNCTION("""COMPUTED_VALUE"""),"2605A106")</f>
        <v>2605A106</v>
      </c>
      <c r="S66" s="286">
        <f>IFERROR(__xludf.DUMMYFUNCTION("""COMPUTED_VALUE"""),46162.0)</f>
        <v>46162</v>
      </c>
      <c r="T66" s="285" t="str">
        <f>IFERROR(__xludf.DUMMYFUNCTION("""COMPUTED_VALUE"""),"FAHMI")</f>
        <v>FAHMI</v>
      </c>
      <c r="U66" s="285" t="str">
        <f>IFERROR(__xludf.DUMMYFUNCTION("""COMPUTED_VALUE"""),"0877773781823")</f>
        <v>0877773781823</v>
      </c>
      <c r="V66" s="285" t="str">
        <f>IFERROR(__xludf.DUMMYFUNCTION("""COMPUTED_VALUE"""),"Closing")</f>
        <v>Closing</v>
      </c>
      <c r="W66" s="285" t="str">
        <f>IFERROR(__xludf.DUMMYFUNCTION("""COMPUTED_VALUE"""),"2h1m")</f>
        <v>2h1m</v>
      </c>
      <c r="X66" s="287"/>
      <c r="Y66" s="285">
        <f>IFERROR(__xludf.DUMMYFUNCTION("""COMPUTED_VALUE"""),7.0)</f>
        <v>7</v>
      </c>
      <c r="Z66" s="289">
        <f>IFERROR(__xludf.DUMMYFUNCTION("""COMPUTED_VALUE"""),1.1375E7)</f>
        <v>11375000</v>
      </c>
      <c r="AA66" s="285" t="str">
        <f>IFERROR(__xludf.DUMMYFUNCTION("""COMPUTED_VALUE"""),"ALHAMDULILLAH CLOSING")</f>
        <v>ALHAMDULILLAH CLOSING</v>
      </c>
      <c r="AC66" s="285" t="str">
        <f>IFERROR(__xludf.DUMMYFUNCTION("""COMPUTED_VALUE"""),"2602A003")</f>
        <v>2602A003</v>
      </c>
      <c r="AD66" s="286">
        <f>IFERROR(__xludf.DUMMYFUNCTION("""COMPUTED_VALUE"""),46056.0)</f>
        <v>46056</v>
      </c>
      <c r="AE66" s="285" t="str">
        <f>IFERROR(__xludf.DUMMYFUNCTION("""COMPUTED_VALUE"""),"Steven sieto")</f>
        <v>Steven sieto</v>
      </c>
      <c r="AF66" s="285" t="str">
        <f>IFERROR(__xludf.DUMMYFUNCTION("""COMPUTED_VALUE"""),"08165444838")</f>
        <v>08165444838</v>
      </c>
      <c r="AG66" s="285" t="str">
        <f>IFERROR(__xludf.DUMMYFUNCTION("""COMPUTED_VALUE"""),"Gagal")</f>
        <v>Gagal</v>
      </c>
      <c r="AH66" s="285" t="str">
        <f>IFERROR(__xludf.DUMMYFUNCTION("""COMPUTED_VALUE"""),"2H1M Z")</f>
        <v>2H1M Z</v>
      </c>
      <c r="AI66" s="287"/>
      <c r="AJ66" s="285">
        <f>IFERROR(__xludf.DUMMYFUNCTION("""COMPUTED_VALUE"""),20.0)</f>
        <v>20</v>
      </c>
      <c r="AK66" s="289">
        <f>IFERROR(__xludf.DUMMYFUNCTION("""COMPUTED_VALUE"""),1.5E7)</f>
        <v>15000000</v>
      </c>
      <c r="AL66" s="285" t="str">
        <f>IFERROR(__xludf.DUMMYFUNCTION("""COMPUTED_VALUE"""),"Blm balas lagi")</f>
        <v>Blm balas lagi</v>
      </c>
    </row>
    <row r="67">
      <c r="F67" s="285" t="str">
        <f>IFERROR(__xludf.DUMMYFUNCTION("""COMPUTED_VALUE"""),"2607A059")</f>
        <v>2607A059</v>
      </c>
      <c r="G67" s="286">
        <f>IFERROR(__xludf.DUMMYFUNCTION("""COMPUTED_VALUE"""),46211.0)</f>
        <v>46211</v>
      </c>
      <c r="H67" s="285" t="str">
        <f>IFERROR(__xludf.DUMMYFUNCTION("""COMPUTED_VALUE"""),"Welan")</f>
        <v>Welan</v>
      </c>
      <c r="I67" s="285" t="str">
        <f>IFERROR(__xludf.DUMMYFUNCTION("""COMPUTED_VALUE"""),"081286863086")</f>
        <v>081286863086</v>
      </c>
      <c r="J67" s="285" t="str">
        <f>IFERROR(__xludf.DUMMYFUNCTION("""COMPUTED_VALUE"""),"Leads Baru")</f>
        <v>Leads Baru</v>
      </c>
      <c r="K67" s="285"/>
      <c r="L67" s="287"/>
      <c r="M67" s="285"/>
      <c r="N67" s="289"/>
      <c r="O67" s="285"/>
      <c r="P67" s="320"/>
      <c r="R67" s="285" t="str">
        <f>IFERROR(__xludf.DUMMYFUNCTION("""COMPUTED_VALUE"""),"2605A107")</f>
        <v>2605A107</v>
      </c>
      <c r="S67" s="286">
        <f>IFERROR(__xludf.DUMMYFUNCTION("""COMPUTED_VALUE"""),46165.0)</f>
        <v>46165</v>
      </c>
      <c r="T67" s="285" t="str">
        <f>IFERROR(__xludf.DUMMYFUNCTION("""COMPUTED_VALUE"""),"Evi R. Wahyuni")</f>
        <v>Evi R. Wahyuni</v>
      </c>
      <c r="U67" s="285" t="str">
        <f>IFERROR(__xludf.DUMMYFUNCTION("""COMPUTED_VALUE"""),"08111030695")</f>
        <v>08111030695</v>
      </c>
      <c r="V67" s="285" t="str">
        <f>IFERROR(__xludf.DUMMYFUNCTION("""COMPUTED_VALUE"""),"Closing")</f>
        <v>Closing</v>
      </c>
      <c r="W67" s="285" t="str">
        <f>IFERROR(__xludf.DUMMYFUNCTION("""COMPUTED_VALUE"""),"ot djabal dan ijen")</f>
        <v>ot djabal dan ijen</v>
      </c>
      <c r="X67" s="287"/>
      <c r="Y67" s="285">
        <f>IFERROR(__xludf.DUMMYFUNCTION("""COMPUTED_VALUE"""),2.0)</f>
        <v>2</v>
      </c>
      <c r="Z67" s="289">
        <f>IFERROR(__xludf.DUMMYFUNCTION("""COMPUTED_VALUE"""),1600000.0)</f>
        <v>1600000</v>
      </c>
      <c r="AA67" s="285" t="str">
        <f>IFERROR(__xludf.DUMMYFUNCTION("""COMPUTED_VALUE"""),"alhamdulillah order:)")</f>
        <v>alhamdulillah order:)</v>
      </c>
      <c r="AC67" s="285" t="str">
        <f>IFERROR(__xludf.DUMMYFUNCTION("""COMPUTED_VALUE"""),"2602A004")</f>
        <v>2602A004</v>
      </c>
      <c r="AD67" s="286">
        <f>IFERROR(__xludf.DUMMYFUNCTION("""COMPUTED_VALUE"""),46057.0)</f>
        <v>46057</v>
      </c>
      <c r="AE67" s="285" t="str">
        <f>IFERROR(__xludf.DUMMYFUNCTION("""COMPUTED_VALUE"""),"83173513987")</f>
        <v>83173513987</v>
      </c>
      <c r="AF67" s="285" t="str">
        <f>IFERROR(__xludf.DUMMYFUNCTION("""COMPUTED_VALUE"""),"083173513987")</f>
        <v>083173513987</v>
      </c>
      <c r="AG67" s="285" t="str">
        <f>IFERROR(__xludf.DUMMYFUNCTION("""COMPUTED_VALUE"""),"Gagal")</f>
        <v>Gagal</v>
      </c>
      <c r="AH67" s="285" t="str">
        <f>IFERROR(__xludf.DUMMYFUNCTION("""COMPUTED_VALUE"""),"one day trip banyuwangi")</f>
        <v>one day trip banyuwangi</v>
      </c>
      <c r="AI67" s="287"/>
      <c r="AJ67" s="285">
        <f>IFERROR(__xludf.DUMMYFUNCTION("""COMPUTED_VALUE"""),1.0)</f>
        <v>1</v>
      </c>
      <c r="AK67" s="289"/>
      <c r="AL67" s="285"/>
    </row>
    <row r="68">
      <c r="F68" s="285" t="str">
        <f>IFERROR(__xludf.DUMMYFUNCTION("""COMPUTED_VALUE"""),"2607A061")</f>
        <v>2607A061</v>
      </c>
      <c r="G68" s="286">
        <f>IFERROR(__xludf.DUMMYFUNCTION("""COMPUTED_VALUE"""),46212.0)</f>
        <v>46212</v>
      </c>
      <c r="H68" s="285" t="str">
        <f>IFERROR(__xludf.DUMMYFUNCTION("""COMPUTED_VALUE"""),"Nawal")</f>
        <v>Nawal</v>
      </c>
      <c r="I68" s="285" t="str">
        <f>IFERROR(__xludf.DUMMYFUNCTION("""COMPUTED_VALUE"""),"087727562567")</f>
        <v>087727562567</v>
      </c>
      <c r="J68" s="285" t="str">
        <f>IFERROR(__xludf.DUMMYFUNCTION("""COMPUTED_VALUE"""),"Leads Baru")</f>
        <v>Leads Baru</v>
      </c>
      <c r="K68" s="285"/>
      <c r="L68" s="287"/>
      <c r="M68" s="285"/>
      <c r="N68" s="289"/>
      <c r="O68" s="285" t="str">
        <f>IFERROR(__xludf.DUMMYFUNCTION("""COMPUTED_VALUE"""),"lanjutan si arif")</f>
        <v>lanjutan si arif</v>
      </c>
      <c r="P68" s="320"/>
      <c r="R68" s="285" t="str">
        <f>IFERROR(__xludf.DUMMYFUNCTION("""COMPUTED_VALUE"""),"2605A108")</f>
        <v>2605A108</v>
      </c>
      <c r="S68" s="286">
        <f>IFERROR(__xludf.DUMMYFUNCTION("""COMPUTED_VALUE"""),46165.0)</f>
        <v>46165</v>
      </c>
      <c r="T68" s="285" t="str">
        <f>IFERROR(__xludf.DUMMYFUNCTION("""COMPUTED_VALUE"""),"Susi Septiani")</f>
        <v>Susi Septiani</v>
      </c>
      <c r="U68" s="285" t="str">
        <f>IFERROR(__xludf.DUMMYFUNCTION("""COMPUTED_VALUE"""),"087700511641")</f>
        <v>087700511641</v>
      </c>
      <c r="V68" s="285" t="str">
        <f>IFERROR(__xludf.DUMMYFUNCTION("""COMPUTED_VALUE"""),"Closing")</f>
        <v>Closing</v>
      </c>
      <c r="W68" s="285" t="str">
        <f>IFERROR(__xludf.DUMMYFUNCTION("""COMPUTED_VALUE"""),"3h2m z")</f>
        <v>3h2m z</v>
      </c>
      <c r="X68" s="287"/>
      <c r="Y68" s="285">
        <f>IFERROR(__xludf.DUMMYFUNCTION("""COMPUTED_VALUE"""),4.0)</f>
        <v>4</v>
      </c>
      <c r="Z68" s="289">
        <f>IFERROR(__xludf.DUMMYFUNCTION("""COMPUTED_VALUE"""),1.14E7)</f>
        <v>11400000</v>
      </c>
      <c r="AA68" s="285" t="str">
        <f>IFERROR(__xludf.DUMMYFUNCTION("""COMPUTED_VALUE"""),"alhamdulillah order:)")</f>
        <v>alhamdulillah order:)</v>
      </c>
      <c r="AC68" s="285" t="str">
        <f>IFERROR(__xludf.DUMMYFUNCTION("""COMPUTED_VALUE"""),"2602A005")</f>
        <v>2602A005</v>
      </c>
      <c r="AD68" s="286">
        <f>IFERROR(__xludf.DUMMYFUNCTION("""COMPUTED_VALUE"""),46058.0)</f>
        <v>46058</v>
      </c>
      <c r="AE68" s="285" t="str">
        <f>IFERROR(__xludf.DUMMYFUNCTION("""COMPUTED_VALUE"""),"Dr. Leny Erfiana")</f>
        <v>Dr. Leny Erfiana</v>
      </c>
      <c r="AF68" s="285" t="str">
        <f>IFERROR(__xludf.DUMMYFUNCTION("""COMPUTED_VALUE"""),"085236381772")</f>
        <v>085236381772</v>
      </c>
      <c r="AG68" s="285" t="str">
        <f>IFERROR(__xludf.DUMMYFUNCTION("""COMPUTED_VALUE"""),"Gagal")</f>
        <v>Gagal</v>
      </c>
      <c r="AH68" s="285" t="str">
        <f>IFERROR(__xludf.DUMMYFUNCTION("""COMPUTED_VALUE"""),"trip 3H2M")</f>
        <v>trip 3H2M</v>
      </c>
      <c r="AI68" s="287">
        <f>IFERROR(__xludf.DUMMYFUNCTION("""COMPUTED_VALUE"""),46097.0)</f>
        <v>46097</v>
      </c>
      <c r="AJ68" s="285">
        <f>IFERROR(__xludf.DUMMYFUNCTION("""COMPUTED_VALUE"""),3.0)</f>
        <v>3</v>
      </c>
      <c r="AK68" s="289">
        <f>IFERROR(__xludf.DUMMYFUNCTION("""COMPUTED_VALUE"""),6402000.0)</f>
        <v>6402000</v>
      </c>
      <c r="AL68" s="285" t="str">
        <f>IFERROR(__xludf.DUMMYFUNCTION("""COMPUTED_VALUE"""),"nanti dikabari lagi")</f>
        <v>nanti dikabari lagi</v>
      </c>
    </row>
    <row r="69">
      <c r="F69" s="285" t="str">
        <f>IFERROR(__xludf.DUMMYFUNCTION("""COMPUTED_VALUE"""),"2607A064")</f>
        <v>2607A064</v>
      </c>
      <c r="G69" s="286">
        <f>IFERROR(__xludf.DUMMYFUNCTION("""COMPUTED_VALUE"""),46212.0)</f>
        <v>46212</v>
      </c>
      <c r="H69" s="285" t="str">
        <f>IFERROR(__xludf.DUMMYFUNCTION("""COMPUTED_VALUE"""),"iip")</f>
        <v>iip</v>
      </c>
      <c r="I69" s="285" t="str">
        <f>IFERROR(__xludf.DUMMYFUNCTION("""COMPUTED_VALUE"""),"082113782323")</f>
        <v>082113782323</v>
      </c>
      <c r="J69" s="285" t="str">
        <f>IFERROR(__xludf.DUMMYFUNCTION("""COMPUTED_VALUE"""),"Leads Baru")</f>
        <v>Leads Baru</v>
      </c>
      <c r="K69" s="285" t="str">
        <f>IFERROR(__xludf.DUMMYFUNCTION("""COMPUTED_VALUE"""),"4h3m")</f>
        <v>4h3m</v>
      </c>
      <c r="L69" s="287"/>
      <c r="M69" s="285">
        <f>IFERROR(__xludf.DUMMYFUNCTION("""COMPUTED_VALUE"""),4.0)</f>
        <v>4</v>
      </c>
      <c r="N69" s="289"/>
      <c r="O69" s="285"/>
      <c r="P69" s="320"/>
      <c r="R69" s="285" t="str">
        <f>IFERROR(__xludf.DUMMYFUNCTION("""COMPUTED_VALUE"""),"2605A109")</f>
        <v>2605A109</v>
      </c>
      <c r="S69" s="286">
        <f>IFERROR(__xludf.DUMMYFUNCTION("""COMPUTED_VALUE"""),46165.0)</f>
        <v>46165</v>
      </c>
      <c r="T69" s="285" t="str">
        <f>IFERROR(__xludf.DUMMYFUNCTION("""COMPUTED_VALUE"""),"Dina Sanyoto")</f>
        <v>Dina Sanyoto</v>
      </c>
      <c r="U69" s="285" t="str">
        <f>IFERROR(__xludf.DUMMYFUNCTION("""COMPUTED_VALUE"""),"08123533968")</f>
        <v>08123533968</v>
      </c>
      <c r="V69" s="285" t="str">
        <f>IFERROR(__xludf.DUMMYFUNCTION("""COMPUTED_VALUE"""),"Closing")</f>
        <v>Closing</v>
      </c>
      <c r="W69" s="285" t="str">
        <f>IFERROR(__xludf.DUMMYFUNCTION("""COMPUTED_VALUE"""),"3h2m custome")</f>
        <v>3h2m custome</v>
      </c>
      <c r="X69" s="287"/>
      <c r="Y69" s="285">
        <f>IFERROR(__xludf.DUMMYFUNCTION("""COMPUTED_VALUE"""),3.0)</f>
        <v>3</v>
      </c>
      <c r="Z69" s="289">
        <f>IFERROR(__xludf.DUMMYFUNCTION("""COMPUTED_VALUE"""),5400000.0)</f>
        <v>5400000</v>
      </c>
      <c r="AA69" s="285" t="str">
        <f>IFERROR(__xludf.DUMMYFUNCTION("""COMPUTED_VALUE"""),"alhamdulillah closing")</f>
        <v>alhamdulillah closing</v>
      </c>
      <c r="AC69" s="285" t="str">
        <f>IFERROR(__xludf.DUMMYFUNCTION("""COMPUTED_VALUE"""),"2602A006")</f>
        <v>2602A006</v>
      </c>
      <c r="AD69" s="286">
        <f>IFERROR(__xludf.DUMMYFUNCTION("""COMPUTED_VALUE"""),46058.0)</f>
        <v>46058</v>
      </c>
      <c r="AE69" s="285" t="str">
        <f>IFERROR(__xludf.DUMMYFUNCTION("""COMPUTED_VALUE"""),"Akm")</f>
        <v>Akm</v>
      </c>
      <c r="AF69" s="285" t="str">
        <f>IFERROR(__xludf.DUMMYFUNCTION("""COMPUTED_VALUE"""),"085200412086")</f>
        <v>085200412086</v>
      </c>
      <c r="AG69" s="285" t="str">
        <f>IFERROR(__xludf.DUMMYFUNCTION("""COMPUTED_VALUE"""),"Gagal")</f>
        <v>Gagal</v>
      </c>
      <c r="AH69" s="285" t="str">
        <f>IFERROR(__xludf.DUMMYFUNCTION("""COMPUTED_VALUE"""),"Trip Green island")</f>
        <v>Trip Green island</v>
      </c>
      <c r="AI69" s="287"/>
      <c r="AJ69" s="285">
        <f>IFERROR(__xludf.DUMMYFUNCTION("""COMPUTED_VALUE"""),1.0)</f>
        <v>1</v>
      </c>
      <c r="AK69" s="289"/>
      <c r="AL69" s="285" t="str">
        <f>IFERROR(__xludf.DUMMYFUNCTION("""COMPUTED_VALUE"""),"sudah di trip lain")</f>
        <v>sudah di trip lain</v>
      </c>
    </row>
    <row r="70">
      <c r="F70" s="285" t="str">
        <f>IFERROR(__xludf.DUMMYFUNCTION("""COMPUTED_VALUE"""),"2607A065")</f>
        <v>2607A065</v>
      </c>
      <c r="G70" s="286">
        <f>IFERROR(__xludf.DUMMYFUNCTION("""COMPUTED_VALUE"""),46212.0)</f>
        <v>46212</v>
      </c>
      <c r="H70" s="285" t="str">
        <f>IFERROR(__xludf.DUMMYFUNCTION("""COMPUTED_VALUE"""),"SAP")</f>
        <v>SAP</v>
      </c>
      <c r="I70" s="285" t="str">
        <f>IFERROR(__xludf.DUMMYFUNCTION("""COMPUTED_VALUE"""),"088215224940")</f>
        <v>088215224940</v>
      </c>
      <c r="J70" s="285" t="str">
        <f>IFERROR(__xludf.DUMMYFUNCTION("""COMPUTED_VALUE"""),"Leads Baru")</f>
        <v>Leads Baru</v>
      </c>
      <c r="K70" s="285" t="str">
        <f>IFERROR(__xludf.DUMMYFUNCTION("""COMPUTED_VALUE"""),"ot 3h2m")</f>
        <v>ot 3h2m</v>
      </c>
      <c r="L70" s="287">
        <f>IFERROR(__xludf.DUMMYFUNCTION("""COMPUTED_VALUE"""),46216.0)</f>
        <v>46216</v>
      </c>
      <c r="M70" s="285">
        <f>IFERROR(__xludf.DUMMYFUNCTION("""COMPUTED_VALUE"""),1.0)</f>
        <v>1</v>
      </c>
      <c r="N70" s="289">
        <f>IFERROR(__xludf.DUMMYFUNCTION("""COMPUTED_VALUE"""),1600000.0)</f>
        <v>1600000</v>
      </c>
      <c r="O70" s="285" t="str">
        <f>IFERROR(__xludf.DUMMYFUNCTION("""COMPUTED_VALUE"""),"fu kalau ada ot 3h2m juli")</f>
        <v>fu kalau ada ot 3h2m juli</v>
      </c>
      <c r="P70" s="320"/>
      <c r="R70" s="285" t="str">
        <f>IFERROR(__xludf.DUMMYFUNCTION("""COMPUTED_VALUE"""),"2605A110")</f>
        <v>2605A110</v>
      </c>
      <c r="S70" s="286">
        <f>IFERROR(__xludf.DUMMYFUNCTION("""COMPUTED_VALUE"""),46167.0)</f>
        <v>46167</v>
      </c>
      <c r="T70" s="285" t="str">
        <f>IFERROR(__xludf.DUMMYFUNCTION("""COMPUTED_VALUE"""),"Y. Belinda")</f>
        <v>Y. Belinda</v>
      </c>
      <c r="U70" s="285" t="str">
        <f>IFERROR(__xludf.DUMMYFUNCTION("""COMPUTED_VALUE"""),"0817701995")</f>
        <v>0817701995</v>
      </c>
      <c r="V70" s="285" t="str">
        <f>IFERROR(__xludf.DUMMYFUNCTION("""COMPUTED_VALUE"""),"Closing")</f>
        <v>Closing</v>
      </c>
      <c r="W70" s="285" t="str">
        <f>IFERROR(__xludf.DUMMYFUNCTION("""COMPUTED_VALUE"""),"3h2m custom")</f>
        <v>3h2m custom</v>
      </c>
      <c r="X70" s="287"/>
      <c r="Y70" s="285">
        <f>IFERROR(__xludf.DUMMYFUNCTION("""COMPUTED_VALUE"""),1.0)</f>
        <v>1</v>
      </c>
      <c r="Z70" s="289">
        <f>IFERROR(__xludf.DUMMYFUNCTION("""COMPUTED_VALUE"""),4080000.0)</f>
        <v>4080000</v>
      </c>
      <c r="AA70" s="285" t="str">
        <f>IFERROR(__xludf.DUMMYFUNCTION("""COMPUTED_VALUE"""),"alhamdulillah order")</f>
        <v>alhamdulillah order</v>
      </c>
      <c r="AC70" s="285" t="str">
        <f>IFERROR(__xludf.DUMMYFUNCTION("""COMPUTED_VALUE"""),"2602A008")</f>
        <v>2602A008</v>
      </c>
      <c r="AD70" s="286">
        <f>IFERROR(__xludf.DUMMYFUNCTION("""COMPUTED_VALUE"""),46059.0)</f>
        <v>46059</v>
      </c>
      <c r="AE70" s="285" t="str">
        <f>IFERROR(__xludf.DUMMYFUNCTION("""COMPUTED_VALUE"""),"Michelle")</f>
        <v>Michelle</v>
      </c>
      <c r="AF70" s="285" t="str">
        <f>IFERROR(__xludf.DUMMYFUNCTION("""COMPUTED_VALUE"""),"08111807321")</f>
        <v>08111807321</v>
      </c>
      <c r="AG70" s="285" t="str">
        <f>IFERROR(__xludf.DUMMYFUNCTION("""COMPUTED_VALUE"""),"Gagal")</f>
        <v>Gagal</v>
      </c>
      <c r="AH70" s="285" t="str">
        <f>IFERROR(__xludf.DUMMYFUNCTION("""COMPUTED_VALUE"""),"Trip Teluk Hijau")</f>
        <v>Trip Teluk Hijau</v>
      </c>
      <c r="AI70" s="287">
        <f>IFERROR(__xludf.DUMMYFUNCTION("""COMPUTED_VALUE"""),46158.0)</f>
        <v>46158</v>
      </c>
      <c r="AJ70" s="285">
        <f>IFERROR(__xludf.DUMMYFUNCTION("""COMPUTED_VALUE"""),6.0)</f>
        <v>6</v>
      </c>
      <c r="AK70" s="289">
        <f>IFERROR(__xludf.DUMMYFUNCTION("""COMPUTED_VALUE"""),3090000.0)</f>
        <v>3090000</v>
      </c>
      <c r="AL70" s="285" t="str">
        <f>IFERROR(__xludf.DUMMYFUNCTION("""COMPUTED_VALUE"""),"tidak ada balasan")</f>
        <v>tidak ada balasan</v>
      </c>
    </row>
    <row r="71">
      <c r="F71" s="285" t="str">
        <f>IFERROR(__xludf.DUMMYFUNCTION("""COMPUTED_VALUE"""),"2607A067")</f>
        <v>2607A067</v>
      </c>
      <c r="G71" s="286">
        <f>IFERROR(__xludf.DUMMYFUNCTION("""COMPUTED_VALUE"""),46212.0)</f>
        <v>46212</v>
      </c>
      <c r="H71" s="285" t="str">
        <f>IFERROR(__xludf.DUMMYFUNCTION("""COMPUTED_VALUE"""),"Ria")</f>
        <v>Ria</v>
      </c>
      <c r="I71" s="285" t="str">
        <f>IFERROR(__xludf.DUMMYFUNCTION("""COMPUTED_VALUE"""),"082160925717")</f>
        <v>082160925717</v>
      </c>
      <c r="J71" s="285" t="str">
        <f>IFERROR(__xludf.DUMMYFUNCTION("""COMPUTED_VALUE"""),"Leads Baru")</f>
        <v>Leads Baru</v>
      </c>
      <c r="K71" s="285" t="str">
        <f>IFERROR(__xludf.DUMMYFUNCTION("""COMPUTED_VALUE"""),"ot mt")</f>
        <v>ot mt</v>
      </c>
      <c r="L71" s="287">
        <f>IFERROR(__xludf.DUMMYFUNCTION("""COMPUTED_VALUE"""),46231.0)</f>
        <v>46231</v>
      </c>
      <c r="M71" s="285">
        <f>IFERROR(__xludf.DUMMYFUNCTION("""COMPUTED_VALUE"""),4.0)</f>
        <v>4</v>
      </c>
      <c r="N71" s="289">
        <f>IFERROR(__xludf.DUMMYFUNCTION("""COMPUTED_VALUE"""),1900000.0)</f>
        <v>1900000</v>
      </c>
      <c r="O71" s="285" t="str">
        <f>IFERROR(__xludf.DUMMYFUNCTION("""COMPUTED_VALUE"""),"belum ada jawaban. fu 27 juli")</f>
        <v>belum ada jawaban. fu 27 juli</v>
      </c>
      <c r="P71" s="320"/>
      <c r="R71" s="285" t="str">
        <f>IFERROR(__xludf.DUMMYFUNCTION("""COMPUTED_VALUE"""),"2605A150")</f>
        <v>2605A150</v>
      </c>
      <c r="S71" s="286">
        <f>IFERROR(__xludf.DUMMYFUNCTION("""COMPUTED_VALUE"""),46166.0)</f>
        <v>46166</v>
      </c>
      <c r="T71" s="285" t="str">
        <f>IFERROR(__xludf.DUMMYFUNCTION("""COMPUTED_VALUE"""),"Iyop Ropika")</f>
        <v>Iyop Ropika</v>
      </c>
      <c r="U71" s="285" t="str">
        <f>IFERROR(__xludf.DUMMYFUNCTION("""COMPUTED_VALUE"""),"081567861222")</f>
        <v>081567861222</v>
      </c>
      <c r="V71" s="285" t="str">
        <f>IFERROR(__xludf.DUMMYFUNCTION("""COMPUTED_VALUE"""),"Closing")</f>
        <v>Closing</v>
      </c>
      <c r="W71" s="285" t="str">
        <f>IFERROR(__xludf.DUMMYFUNCTION("""COMPUTED_VALUE"""),"1d trip")</f>
        <v>1d trip</v>
      </c>
      <c r="X71" s="287"/>
      <c r="Y71" s="285">
        <f>IFERROR(__xludf.DUMMYFUNCTION("""COMPUTED_VALUE"""),5.0)</f>
        <v>5</v>
      </c>
      <c r="Z71" s="289">
        <f>IFERROR(__xludf.DUMMYFUNCTION("""COMPUTED_VALUE"""),2300000.0)</f>
        <v>2300000</v>
      </c>
      <c r="AA71" s="285" t="str">
        <f>IFERROR(__xludf.DUMMYFUNCTION("""COMPUTED_VALUE"""),"alhamdulillah closing")</f>
        <v>alhamdulillah closing</v>
      </c>
      <c r="AC71" s="285" t="str">
        <f>IFERROR(__xludf.DUMMYFUNCTION("""COMPUTED_VALUE"""),"2602A009")</f>
        <v>2602A009</v>
      </c>
      <c r="AD71" s="286">
        <f>IFERROR(__xludf.DUMMYFUNCTION("""COMPUTED_VALUE"""),46060.0)</f>
        <v>46060</v>
      </c>
      <c r="AE71" s="285" t="str">
        <f>IFERROR(__xludf.DUMMYFUNCTION("""COMPUTED_VALUE"""),"Julinda")</f>
        <v>Julinda</v>
      </c>
      <c r="AF71" s="285" t="str">
        <f>IFERROR(__xludf.DUMMYFUNCTION("""COMPUTED_VALUE"""),"08990033369")</f>
        <v>08990033369</v>
      </c>
      <c r="AG71" s="285" t="str">
        <f>IFERROR(__xludf.DUMMYFUNCTION("""COMPUTED_VALUE"""),"Gagal")</f>
        <v>Gagal</v>
      </c>
      <c r="AH71" s="285" t="str">
        <f>IFERROR(__xludf.DUMMYFUNCTION("""COMPUTED_VALUE"""),"OT Alas Purwo, D, PM")</f>
        <v>OT Alas Purwo, D, PM</v>
      </c>
      <c r="AI71" s="287">
        <f>IFERROR(__xludf.DUMMYFUNCTION("""COMPUTED_VALUE"""),46061.0)</f>
        <v>46061</v>
      </c>
      <c r="AJ71" s="285">
        <f>IFERROR(__xludf.DUMMYFUNCTION("""COMPUTED_VALUE"""),2.0)</f>
        <v>2</v>
      </c>
      <c r="AK71" s="289"/>
      <c r="AL71" s="285" t="str">
        <f>IFERROR(__xludf.DUMMYFUNCTION("""COMPUTED_VALUE"""),"belum balas lagi")</f>
        <v>belum balas lagi</v>
      </c>
    </row>
    <row r="72">
      <c r="F72" s="285" t="str">
        <f>IFERROR(__xludf.DUMMYFUNCTION("""COMPUTED_VALUE"""),"2607A068")</f>
        <v>2607A068</v>
      </c>
      <c r="G72" s="286">
        <f>IFERROR(__xludf.DUMMYFUNCTION("""COMPUTED_VALUE"""),46212.0)</f>
        <v>46212</v>
      </c>
      <c r="H72" s="285" t="str">
        <f>IFERROR(__xludf.DUMMYFUNCTION("""COMPUTED_VALUE"""),"Ririn")</f>
        <v>Ririn</v>
      </c>
      <c r="I72" s="285" t="str">
        <f>IFERROR(__xludf.DUMMYFUNCTION("""COMPUTED_VALUE"""),"081395097278")</f>
        <v>081395097278</v>
      </c>
      <c r="J72" s="285" t="str">
        <f>IFERROR(__xludf.DUMMYFUNCTION("""COMPUTED_VALUE"""),"Leads Baru")</f>
        <v>Leads Baru</v>
      </c>
      <c r="K72" s="285" t="str">
        <f>IFERROR(__xludf.DUMMYFUNCTION("""COMPUTED_VALUE"""),"ot 3h2m")</f>
        <v>ot 3h2m</v>
      </c>
      <c r="L72" s="287"/>
      <c r="M72" s="285">
        <f>IFERROR(__xludf.DUMMYFUNCTION("""COMPUTED_VALUE"""),2.0)</f>
        <v>2</v>
      </c>
      <c r="N72" s="289"/>
      <c r="O72" s="285" t="str">
        <f>IFERROR(__xludf.DUMMYFUNCTION("""COMPUTED_VALUE"""),"fu 31 juli")</f>
        <v>fu 31 juli</v>
      </c>
      <c r="P72" s="320"/>
      <c r="R72" s="285" t="str">
        <f>IFERROR(__xludf.DUMMYFUNCTION("""COMPUTED_VALUE"""),"2605A163")</f>
        <v>2605A163</v>
      </c>
      <c r="S72" s="286">
        <f>IFERROR(__xludf.DUMMYFUNCTION("""COMPUTED_VALUE"""),46164.0)</f>
        <v>46164</v>
      </c>
      <c r="T72" s="285" t="str">
        <f>IFERROR(__xludf.DUMMYFUNCTION("""COMPUTED_VALUE"""),"FIfi")</f>
        <v>FIfi</v>
      </c>
      <c r="U72" s="285" t="str">
        <f>IFERROR(__xludf.DUMMYFUNCTION("""COMPUTED_VALUE"""),"082126911503")</f>
        <v>082126911503</v>
      </c>
      <c r="V72" s="285" t="str">
        <f>IFERROR(__xludf.DUMMYFUNCTION("""COMPUTED_VALUE"""),"Closing")</f>
        <v>Closing</v>
      </c>
      <c r="W72" s="285" t="str">
        <f>IFERROR(__xludf.DUMMYFUNCTION("""COMPUTED_VALUE"""),"3h2m")</f>
        <v>3h2m</v>
      </c>
      <c r="X72" s="287"/>
      <c r="Y72" s="285">
        <f>IFERROR(__xludf.DUMMYFUNCTION("""COMPUTED_VALUE"""),5.0)</f>
        <v>5</v>
      </c>
      <c r="Z72" s="289">
        <f>IFERROR(__xludf.DUMMYFUNCTION("""COMPUTED_VALUE"""),7725000.0)</f>
        <v>7725000</v>
      </c>
      <c r="AA72" s="285" t="str">
        <f>IFERROR(__xludf.DUMMYFUNCTION("""COMPUTED_VALUE"""),"fu 6 juni")</f>
        <v>fu 6 juni</v>
      </c>
      <c r="AC72" s="285" t="str">
        <f>IFERROR(__xludf.DUMMYFUNCTION("""COMPUTED_VALUE"""),"2602A010")</f>
        <v>2602A010</v>
      </c>
      <c r="AD72" s="286">
        <f>IFERROR(__xludf.DUMMYFUNCTION("""COMPUTED_VALUE"""),46060.0)</f>
        <v>46060</v>
      </c>
      <c r="AE72" s="285" t="str">
        <f>IFERROR(__xludf.DUMMYFUNCTION("""COMPUTED_VALUE"""),"Lenny")</f>
        <v>Lenny</v>
      </c>
      <c r="AF72" s="285" t="str">
        <f>IFERROR(__xludf.DUMMYFUNCTION("""COMPUTED_VALUE"""),"081319190031")</f>
        <v>081319190031</v>
      </c>
      <c r="AG72" s="285" t="str">
        <f>IFERROR(__xludf.DUMMYFUNCTION("""COMPUTED_VALUE"""),"Gagal")</f>
        <v>Gagal</v>
      </c>
      <c r="AH72" s="285" t="str">
        <f>IFERROR(__xludf.DUMMYFUNCTION("""COMPUTED_VALUE"""),"OT 3H2M Everyday")</f>
        <v>OT 3H2M Everyday</v>
      </c>
      <c r="AI72" s="287"/>
      <c r="AJ72" s="285">
        <f>IFERROR(__xludf.DUMMYFUNCTION("""COMPUTED_VALUE"""),2.0)</f>
        <v>2</v>
      </c>
      <c r="AK72" s="289">
        <f>IFERROR(__xludf.DUMMYFUNCTION("""COMPUTED_VALUE"""),3200000.0)</f>
        <v>3200000</v>
      </c>
      <c r="AL72" s="285" t="str">
        <f>IFERROR(__xludf.DUMMYFUNCTION("""COMPUTED_VALUE"""),"masih tanya tanya")</f>
        <v>masih tanya tanya</v>
      </c>
    </row>
    <row r="73">
      <c r="F73" s="285" t="str">
        <f>IFERROR(__xludf.DUMMYFUNCTION("""COMPUTED_VALUE"""),"2607A070")</f>
        <v>2607A070</v>
      </c>
      <c r="G73" s="286">
        <f>IFERROR(__xludf.DUMMYFUNCTION("""COMPUTED_VALUE"""),46212.0)</f>
        <v>46212</v>
      </c>
      <c r="H73" s="285" t="str">
        <f>IFERROR(__xludf.DUMMYFUNCTION("""COMPUTED_VALUE"""),"Yafi Diningrat")</f>
        <v>Yafi Diningrat</v>
      </c>
      <c r="I73" s="285" t="str">
        <f>IFERROR(__xludf.DUMMYFUNCTION("""COMPUTED_VALUE"""),"081461138919")</f>
        <v>081461138919</v>
      </c>
      <c r="J73" s="285" t="str">
        <f>IFERROR(__xludf.DUMMYFUNCTION("""COMPUTED_VALUE"""),"Leads Baru")</f>
        <v>Leads Baru</v>
      </c>
      <c r="K73" s="285" t="str">
        <f>IFERROR(__xludf.DUMMYFUNCTION("""COMPUTED_VALUE"""),"3h2m")</f>
        <v>3h2m</v>
      </c>
      <c r="L73" s="287"/>
      <c r="M73" s="285"/>
      <c r="N73" s="289"/>
      <c r="O73" s="285"/>
      <c r="P73" s="320"/>
      <c r="R73" s="285" t="str">
        <f>IFERROR(__xludf.DUMMYFUNCTION("""COMPUTED_VALUE"""),"2605A183")</f>
        <v>2605A183</v>
      </c>
      <c r="S73" s="286">
        <f>IFERROR(__xludf.DUMMYFUNCTION("""COMPUTED_VALUE"""),46159.0)</f>
        <v>46159</v>
      </c>
      <c r="T73" s="285" t="str">
        <f>IFERROR(__xludf.DUMMYFUNCTION("""COMPUTED_VALUE"""),"Rudi PS")</f>
        <v>Rudi PS</v>
      </c>
      <c r="U73" s="285" t="str">
        <f>IFERROR(__xludf.DUMMYFUNCTION("""COMPUTED_VALUE"""),"085742850411")</f>
        <v>085742850411</v>
      </c>
      <c r="V73" s="285" t="str">
        <f>IFERROR(__xludf.DUMMYFUNCTION("""COMPUTED_VALUE"""),"Closing")</f>
        <v>Closing</v>
      </c>
      <c r="W73" s="285" t="str">
        <f>IFERROR(__xludf.DUMMYFUNCTION("""COMPUTED_VALUE"""),"3h2m a + Kawah Wurung")</f>
        <v>3h2m a + Kawah Wurung</v>
      </c>
      <c r="X73" s="287"/>
      <c r="Y73" s="285">
        <f>IFERROR(__xludf.DUMMYFUNCTION("""COMPUTED_VALUE"""),2.0)</f>
        <v>2</v>
      </c>
      <c r="Z73" s="289">
        <f>IFERROR(__xludf.DUMMYFUNCTION("""COMPUTED_VALUE"""),650000.0)</f>
        <v>650000</v>
      </c>
      <c r="AA73" s="285" t="str">
        <f>IFERROR(__xludf.DUMMYFUNCTION("""COMPUTED_VALUE"""),"alhamdulillah")</f>
        <v>alhamdulillah</v>
      </c>
      <c r="AC73" s="285" t="str">
        <f>IFERROR(__xludf.DUMMYFUNCTION("""COMPUTED_VALUE"""),"2602A011")</f>
        <v>2602A011</v>
      </c>
      <c r="AD73" s="286">
        <f>IFERROR(__xludf.DUMMYFUNCTION("""COMPUTED_VALUE"""),46061.0)</f>
        <v>46061</v>
      </c>
      <c r="AE73" s="285" t="str">
        <f>IFERROR(__xludf.DUMMYFUNCTION("""COMPUTED_VALUE"""),"A.M")</f>
        <v>A.M</v>
      </c>
      <c r="AF73" s="285" t="str">
        <f>IFERROR(__xludf.DUMMYFUNCTION("""COMPUTED_VALUE"""),"085141444406")</f>
        <v>085141444406</v>
      </c>
      <c r="AG73" s="285" t="str">
        <f>IFERROR(__xludf.DUMMYFUNCTION("""COMPUTED_VALUE"""),"Gagal")</f>
        <v>Gagal</v>
      </c>
      <c r="AH73" s="285" t="str">
        <f>IFERROR(__xludf.DUMMYFUNCTION("""COMPUTED_VALUE"""),"OT D, B")</f>
        <v>OT D, B</v>
      </c>
      <c r="AI73" s="287">
        <f>IFERROR(__xludf.DUMMYFUNCTION("""COMPUTED_VALUE"""),46068.0)</f>
        <v>46068</v>
      </c>
      <c r="AJ73" s="285">
        <f>IFERROR(__xludf.DUMMYFUNCTION("""COMPUTED_VALUE"""),2.0)</f>
        <v>2</v>
      </c>
      <c r="AK73" s="289">
        <f>IFERROR(__xludf.DUMMYFUNCTION("""COMPUTED_VALUE"""),1100000.0)</f>
        <v>1100000</v>
      </c>
      <c r="AL73" s="285" t="str">
        <f>IFERROR(__xludf.DUMMYFUNCTION("""COMPUTED_VALUE"""),"nanti dikabari jika fiks, masih di luar negri, FU 2 maret")</f>
        <v>nanti dikabari jika fiks, masih di luar negri, FU 2 maret</v>
      </c>
    </row>
    <row r="74">
      <c r="F74" s="285" t="str">
        <f>IFERROR(__xludf.DUMMYFUNCTION("""COMPUTED_VALUE"""),"2607A071")</f>
        <v>2607A071</v>
      </c>
      <c r="G74" s="286">
        <f>IFERROR(__xludf.DUMMYFUNCTION("""COMPUTED_VALUE"""),46212.0)</f>
        <v>46212</v>
      </c>
      <c r="H74" s="285" t="str">
        <f>IFERROR(__xludf.DUMMYFUNCTION("""COMPUTED_VALUE"""),"Dindanh")</f>
        <v>Dindanh</v>
      </c>
      <c r="I74" s="285" t="str">
        <f>IFERROR(__xludf.DUMMYFUNCTION("""COMPUTED_VALUE"""),"0895611937365")</f>
        <v>0895611937365</v>
      </c>
      <c r="J74" s="285" t="str">
        <f>IFERROR(__xludf.DUMMYFUNCTION("""COMPUTED_VALUE"""),"Leads Baru")</f>
        <v>Leads Baru</v>
      </c>
      <c r="K74" s="285" t="str">
        <f>IFERROR(__xludf.DUMMYFUNCTION("""COMPUTED_VALUE"""),"ot mt")</f>
        <v>ot mt</v>
      </c>
      <c r="L74" s="287"/>
      <c r="M74" s="285"/>
      <c r="N74" s="289"/>
      <c r="O74" s="285"/>
      <c r="P74" s="320"/>
      <c r="R74" s="285" t="str">
        <f>IFERROR(__xludf.DUMMYFUNCTION("""COMPUTED_VALUE"""),"2605A184")</f>
        <v>2605A184</v>
      </c>
      <c r="S74" s="286">
        <f>IFERROR(__xludf.DUMMYFUNCTION("""COMPUTED_VALUE"""),46172.0)</f>
        <v>46172</v>
      </c>
      <c r="T74" s="285" t="str">
        <f>IFERROR(__xludf.DUMMYFUNCTION("""COMPUTED_VALUE"""),"Toto Sugiarto")</f>
        <v>Toto Sugiarto</v>
      </c>
      <c r="U74" s="285" t="str">
        <f>IFERROR(__xludf.DUMMYFUNCTION("""COMPUTED_VALUE"""),"08122338006")</f>
        <v>08122338006</v>
      </c>
      <c r="V74" s="285" t="str">
        <f>IFERROR(__xludf.DUMMYFUNCTION("""COMPUTED_VALUE"""),"Closing")</f>
        <v>Closing</v>
      </c>
      <c r="W74" s="285" t="str">
        <f>IFERROR(__xludf.DUMMYFUNCTION("""COMPUTED_VALUE"""),"3h2m opsi b")</f>
        <v>3h2m opsi b</v>
      </c>
      <c r="X74" s="287"/>
      <c r="Y74" s="285">
        <f>IFERROR(__xludf.DUMMYFUNCTION("""COMPUTED_VALUE"""),2.0)</f>
        <v>2</v>
      </c>
      <c r="Z74" s="289">
        <f>IFERROR(__xludf.DUMMYFUNCTION("""COMPUTED_VALUE"""),4720000.0)</f>
        <v>4720000</v>
      </c>
      <c r="AA74" s="285" t="str">
        <f>IFERROR(__xludf.DUMMYFUNCTION("""COMPUTED_VALUE"""),"closing")</f>
        <v>closing</v>
      </c>
      <c r="AC74" s="285" t="str">
        <f>IFERROR(__xludf.DUMMYFUNCTION("""COMPUTED_VALUE"""),"2602A013")</f>
        <v>2602A013</v>
      </c>
      <c r="AD74" s="286">
        <f>IFERROR(__xludf.DUMMYFUNCTION("""COMPUTED_VALUE"""),46062.0)</f>
        <v>46062</v>
      </c>
      <c r="AE74" s="285" t="str">
        <f>IFERROR(__xludf.DUMMYFUNCTION("""COMPUTED_VALUE"""),"Shethe")</f>
        <v>Shethe</v>
      </c>
      <c r="AF74" s="285" t="str">
        <f>IFERROR(__xludf.DUMMYFUNCTION("""COMPUTED_VALUE"""),"085729951440")</f>
        <v>085729951440</v>
      </c>
      <c r="AG74" s="285" t="str">
        <f>IFERROR(__xludf.DUMMYFUNCTION("""COMPUTED_VALUE"""),"Gagal")</f>
        <v>Gagal</v>
      </c>
      <c r="AH74" s="285" t="str">
        <f>IFERROR(__xludf.DUMMYFUNCTION("""COMPUTED_VALUE"""),"Trip Ijen")</f>
        <v>Trip Ijen</v>
      </c>
      <c r="AI74" s="287"/>
      <c r="AJ74" s="285">
        <f>IFERROR(__xludf.DUMMYFUNCTION("""COMPUTED_VALUE"""),5.0)</f>
        <v>5</v>
      </c>
      <c r="AK74" s="289"/>
      <c r="AL74" s="285" t="str">
        <f>IFERROR(__xludf.DUMMYFUNCTION("""COMPUTED_VALUE"""),"tanya tanya")</f>
        <v>tanya tanya</v>
      </c>
    </row>
    <row r="75">
      <c r="F75" s="285" t="str">
        <f>IFERROR(__xludf.DUMMYFUNCTION("""COMPUTED_VALUE"""),"2607A072")</f>
        <v>2607A072</v>
      </c>
      <c r="G75" s="286">
        <f>IFERROR(__xludf.DUMMYFUNCTION("""COMPUTED_VALUE"""),46212.0)</f>
        <v>46212</v>
      </c>
      <c r="H75" s="285" t="str">
        <f>IFERROR(__xludf.DUMMYFUNCTION("""COMPUTED_VALUE"""),"Kiki D Tamara")</f>
        <v>Kiki D Tamara</v>
      </c>
      <c r="I75" s="285" t="str">
        <f>IFERROR(__xludf.DUMMYFUNCTION("""COMPUTED_VALUE"""),"085280034034")</f>
        <v>085280034034</v>
      </c>
      <c r="J75" s="285" t="str">
        <f>IFERROR(__xludf.DUMMYFUNCTION("""COMPUTED_VALUE"""),"Leads Baru")</f>
        <v>Leads Baru</v>
      </c>
      <c r="K75" s="285" t="str">
        <f>IFERROR(__xludf.DUMMYFUNCTION("""COMPUTED_VALUE"""),"one day trip baluran")</f>
        <v>one day trip baluran</v>
      </c>
      <c r="L75" s="287"/>
      <c r="M75" s="285"/>
      <c r="N75" s="289"/>
      <c r="O75" s="285"/>
      <c r="P75" s="320"/>
      <c r="R75" s="285" t="str">
        <f>IFERROR(__xludf.DUMMYFUNCTION("""COMPUTED_VALUE"""),"2606A001")</f>
        <v>2606A001</v>
      </c>
      <c r="S75" s="286">
        <f>IFERROR(__xludf.DUMMYFUNCTION("""COMPUTED_VALUE"""),46174.0)</f>
        <v>46174</v>
      </c>
      <c r="T75" s="285" t="str">
        <f>IFERROR(__xludf.DUMMYFUNCTION("""COMPUTED_VALUE"""),"Abdi/neneng")</f>
        <v>Abdi/neneng</v>
      </c>
      <c r="U75" s="285" t="str">
        <f>IFERROR(__xludf.DUMMYFUNCTION("""COMPUTED_VALUE"""),"082348709609")</f>
        <v>082348709609</v>
      </c>
      <c r="V75" s="285" t="str">
        <f>IFERROR(__xludf.DUMMYFUNCTION("""COMPUTED_VALUE"""),"Closing")</f>
        <v>Closing</v>
      </c>
      <c r="W75" s="285" t="str">
        <f>IFERROR(__xludf.DUMMYFUNCTION("""COMPUTED_VALUE"""),"ot menjangan tabuhan")</f>
        <v>ot menjangan tabuhan</v>
      </c>
      <c r="X75" s="287">
        <f>IFERROR(__xludf.DUMMYFUNCTION("""COMPUTED_VALUE"""),46174.0)</f>
        <v>46174</v>
      </c>
      <c r="Y75" s="285">
        <f>IFERROR(__xludf.DUMMYFUNCTION("""COMPUTED_VALUE"""),3.0)</f>
        <v>3</v>
      </c>
      <c r="Z75" s="289">
        <f>IFERROR(__xludf.DUMMYFUNCTION("""COMPUTED_VALUE"""),825000.0)</f>
        <v>825000</v>
      </c>
      <c r="AA75" s="285" t="str">
        <f>IFERROR(__xludf.DUMMYFUNCTION("""COMPUTED_VALUE"""),"alhamdulillah order")</f>
        <v>alhamdulillah order</v>
      </c>
      <c r="AC75" s="285" t="str">
        <f>IFERROR(__xludf.DUMMYFUNCTION("""COMPUTED_VALUE"""),"2602A014")</f>
        <v>2602A014</v>
      </c>
      <c r="AD75" s="286">
        <f>IFERROR(__xludf.DUMMYFUNCTION("""COMPUTED_VALUE"""),46062.0)</f>
        <v>46062</v>
      </c>
      <c r="AE75" s="285" t="str">
        <f>IFERROR(__xludf.DUMMYFUNCTION("""COMPUTED_VALUE"""),"Sunardi Edy Sukamto")</f>
        <v>Sunardi Edy Sukamto</v>
      </c>
      <c r="AF75" s="285" t="str">
        <f>IFERROR(__xludf.DUMMYFUNCTION("""COMPUTED_VALUE"""),"08123282494")</f>
        <v>08123282494</v>
      </c>
      <c r="AG75" s="285" t="str">
        <f>IFERROR(__xludf.DUMMYFUNCTION("""COMPUTED_VALUE"""),"Gagal")</f>
        <v>Gagal</v>
      </c>
      <c r="AH75" s="285" t="str">
        <f>IFERROR(__xludf.DUMMYFUNCTION("""COMPUTED_VALUE"""),"1 day Trip D,MU,PM")</f>
        <v>1 day Trip D,MU,PM</v>
      </c>
      <c r="AI75" s="287">
        <f>IFERROR(__xludf.DUMMYFUNCTION("""COMPUTED_VALUE"""),46067.0)</f>
        <v>46067</v>
      </c>
      <c r="AJ75" s="285">
        <f>IFERROR(__xludf.DUMMYFUNCTION("""COMPUTED_VALUE"""),32.0)</f>
        <v>32</v>
      </c>
      <c r="AK75" s="289">
        <f>IFERROR(__xludf.DUMMYFUNCTION("""COMPUTED_VALUE"""),7360000.0)</f>
        <v>7360000</v>
      </c>
      <c r="AL75" s="285" t="str">
        <f>IFERROR(__xludf.DUMMYFUNCTION("""COMPUTED_VALUE"""),"rombongan tidak jadi berangkat")</f>
        <v>rombongan tidak jadi berangkat</v>
      </c>
    </row>
    <row r="76">
      <c r="F76" s="285" t="str">
        <f>IFERROR(__xludf.DUMMYFUNCTION("""COMPUTED_VALUE"""),"2607A073")</f>
        <v>2607A073</v>
      </c>
      <c r="G76" s="286">
        <f>IFERROR(__xludf.DUMMYFUNCTION("""COMPUTED_VALUE"""),46212.0)</f>
        <v>46212</v>
      </c>
      <c r="H76" s="285" t="str">
        <f>IFERROR(__xludf.DUMMYFUNCTION("""COMPUTED_VALUE"""),"Sahwa F")</f>
        <v>Sahwa F</v>
      </c>
      <c r="I76" s="285" t="str">
        <f>IFERROR(__xludf.DUMMYFUNCTION("""COMPUTED_VALUE"""),"087883257780")</f>
        <v>087883257780</v>
      </c>
      <c r="J76" s="285" t="str">
        <f>IFERROR(__xludf.DUMMYFUNCTION("""COMPUTED_VALUE"""),"Leads Baru")</f>
        <v>Leads Baru</v>
      </c>
      <c r="K76" s="285" t="str">
        <f>IFERROR(__xludf.DUMMYFUNCTION("""COMPUTED_VALUE"""),"ot 2h1m")</f>
        <v>ot 2h1m</v>
      </c>
      <c r="L76" s="287"/>
      <c r="M76" s="285"/>
      <c r="N76" s="289"/>
      <c r="O76" s="285"/>
      <c r="P76" s="320"/>
      <c r="R76" s="285" t="str">
        <f>IFERROR(__xludf.DUMMYFUNCTION("""COMPUTED_VALUE"""),"2605A197")</f>
        <v>2605A197</v>
      </c>
      <c r="S76" s="286">
        <f>IFERROR(__xludf.DUMMYFUNCTION("""COMPUTED_VALUE"""),46173.0)</f>
        <v>46173</v>
      </c>
      <c r="T76" s="285" t="str">
        <f>IFERROR(__xludf.DUMMYFUNCTION("""COMPUTED_VALUE"""),"Hui")</f>
        <v>Hui</v>
      </c>
      <c r="U76" s="285" t="str">
        <f>IFERROR(__xludf.DUMMYFUNCTION("""COMPUTED_VALUE"""),"087771140857")</f>
        <v>087771140857</v>
      </c>
      <c r="V76" s="285" t="str">
        <f>IFERROR(__xludf.DUMMYFUNCTION("""COMPUTED_VALUE"""),"Closing")</f>
        <v>Closing</v>
      </c>
      <c r="W76" s="285" t="str">
        <f>IFERROR(__xludf.DUMMYFUNCTION("""COMPUTED_VALUE"""),"ijen wurung")</f>
        <v>ijen wurung</v>
      </c>
      <c r="X76" s="287">
        <f>IFERROR(__xludf.DUMMYFUNCTION("""COMPUTED_VALUE"""),46186.0)</f>
        <v>46186</v>
      </c>
      <c r="Y76" s="285">
        <f>IFERROR(__xludf.DUMMYFUNCTION("""COMPUTED_VALUE"""),4.0)</f>
        <v>4</v>
      </c>
      <c r="Z76" s="289">
        <f>IFERROR(__xludf.DUMMYFUNCTION("""COMPUTED_VALUE"""),2040000.0)</f>
        <v>2040000</v>
      </c>
      <c r="AA76" s="285" t="str">
        <f>IFERROR(__xludf.DUMMYFUNCTION("""COMPUTED_VALUE"""),"alhamdulillah order")</f>
        <v>alhamdulillah order</v>
      </c>
      <c r="AC76" s="285" t="str">
        <f>IFERROR(__xludf.DUMMYFUNCTION("""COMPUTED_VALUE"""),"2602A015")</f>
        <v>2602A015</v>
      </c>
      <c r="AD76" s="286">
        <f>IFERROR(__xludf.DUMMYFUNCTION("""COMPUTED_VALUE"""),46062.0)</f>
        <v>46062</v>
      </c>
      <c r="AE76" s="285" t="str">
        <f>IFERROR(__xludf.DUMMYFUNCTION("""COMPUTED_VALUE"""),"Trisna")</f>
        <v>Trisna</v>
      </c>
      <c r="AF76" s="285" t="str">
        <f>IFERROR(__xludf.DUMMYFUNCTION("""COMPUTED_VALUE"""),"081332193311")</f>
        <v>081332193311</v>
      </c>
      <c r="AG76" s="285" t="str">
        <f>IFERROR(__xludf.DUMMYFUNCTION("""COMPUTED_VALUE"""),"Gagal")</f>
        <v>Gagal</v>
      </c>
      <c r="AH76" s="285" t="str">
        <f>IFERROR(__xludf.DUMMYFUNCTION("""COMPUTED_VALUE"""),"Trip GI")</f>
        <v>Trip GI</v>
      </c>
      <c r="AI76" s="287"/>
      <c r="AJ76" s="285">
        <f>IFERROR(__xludf.DUMMYFUNCTION("""COMPUTED_VALUE"""),2.0)</f>
        <v>2</v>
      </c>
      <c r="AK76" s="289"/>
      <c r="AL76" s="285" t="str">
        <f>IFERROR(__xludf.DUMMYFUNCTION("""COMPUTED_VALUE"""),"gagal karna tidak tertarik")</f>
        <v>gagal karna tidak tertarik</v>
      </c>
    </row>
    <row r="77">
      <c r="F77" s="285" t="str">
        <f>IFERROR(__xludf.DUMMYFUNCTION("""COMPUTED_VALUE"""),"2607A074")</f>
        <v>2607A074</v>
      </c>
      <c r="G77" s="286">
        <f>IFERROR(__xludf.DUMMYFUNCTION("""COMPUTED_VALUE"""),46212.0)</f>
        <v>46212</v>
      </c>
      <c r="H77" s="285" t="str">
        <f>IFERROR(__xludf.DUMMYFUNCTION("""COMPUTED_VALUE"""),"Alviona")</f>
        <v>Alviona</v>
      </c>
      <c r="I77" s="285" t="str">
        <f>IFERROR(__xludf.DUMMYFUNCTION("""COMPUTED_VALUE"""),"081360338914")</f>
        <v>081360338914</v>
      </c>
      <c r="J77" s="285" t="str">
        <f>IFERROR(__xludf.DUMMYFUNCTION("""COMPUTED_VALUE"""),"Leads Baru")</f>
        <v>Leads Baru</v>
      </c>
      <c r="K77" s="285" t="str">
        <f>IFERROR(__xludf.DUMMYFUNCTION("""COMPUTED_VALUE"""),"ot mt")</f>
        <v>ot mt</v>
      </c>
      <c r="L77" s="287">
        <f>IFERROR(__xludf.DUMMYFUNCTION("""COMPUTED_VALUE"""),46215.0)</f>
        <v>46215</v>
      </c>
      <c r="M77" s="285">
        <f>IFERROR(__xludf.DUMMYFUNCTION("""COMPUTED_VALUE"""),5.0)</f>
        <v>5</v>
      </c>
      <c r="N77" s="289"/>
      <c r="O77" s="285"/>
      <c r="P77" s="320"/>
      <c r="R77" s="285" t="str">
        <f>IFERROR(__xludf.DUMMYFUNCTION("""COMPUTED_VALUE"""),"2606A014")</f>
        <v>2606A014</v>
      </c>
      <c r="S77" s="286">
        <f>IFERROR(__xludf.DUMMYFUNCTION("""COMPUTED_VALUE"""),46175.0)</f>
        <v>46175</v>
      </c>
      <c r="T77" s="285" t="str">
        <f>IFERROR(__xludf.DUMMYFUNCTION("""COMPUTED_VALUE"""),"Nabila Fathonah")</f>
        <v>Nabila Fathonah</v>
      </c>
      <c r="U77" s="285" t="str">
        <f>IFERROR(__xludf.DUMMYFUNCTION("""COMPUTED_VALUE"""),"081213890303")</f>
        <v>081213890303</v>
      </c>
      <c r="V77" s="285" t="str">
        <f>IFERROR(__xludf.DUMMYFUNCTION("""COMPUTED_VALUE"""),"Closing")</f>
        <v>Closing</v>
      </c>
      <c r="W77" s="285" t="str">
        <f>IFERROR(__xludf.DUMMYFUNCTION("""COMPUTED_VALUE"""),"ot mt")</f>
        <v>ot mt</v>
      </c>
      <c r="X77" s="287">
        <f>IFERROR(__xludf.DUMMYFUNCTION("""COMPUTED_VALUE"""),46179.0)</f>
        <v>46179</v>
      </c>
      <c r="Y77" s="285">
        <f>IFERROR(__xludf.DUMMYFUNCTION("""COMPUTED_VALUE"""),3.0)</f>
        <v>3</v>
      </c>
      <c r="Z77" s="289">
        <f>IFERROR(__xludf.DUMMYFUNCTION("""COMPUTED_VALUE"""),825000.0)</f>
        <v>825000</v>
      </c>
      <c r="AA77" s="285" t="str">
        <f>IFERROR(__xludf.DUMMYFUNCTION("""COMPUTED_VALUE"""),"alhamdulillah")</f>
        <v>alhamdulillah</v>
      </c>
      <c r="AC77" s="285" t="str">
        <f>IFERROR(__xludf.DUMMYFUNCTION("""COMPUTED_VALUE"""),"2602A016")</f>
        <v>2602A016</v>
      </c>
      <c r="AD77" s="286">
        <f>IFERROR(__xludf.DUMMYFUNCTION("""COMPUTED_VALUE"""),46062.0)</f>
        <v>46062</v>
      </c>
      <c r="AE77" s="285" t="str">
        <f>IFERROR(__xludf.DUMMYFUNCTION("""COMPUTED_VALUE"""),"Ulul Amri")</f>
        <v>Ulul Amri</v>
      </c>
      <c r="AF77" s="285" t="str">
        <f>IFERROR(__xludf.DUMMYFUNCTION("""COMPUTED_VALUE"""),"085278155358")</f>
        <v>085278155358</v>
      </c>
      <c r="AG77" s="285" t="str">
        <f>IFERROR(__xludf.DUMMYFUNCTION("""COMPUTED_VALUE"""),"Gagal")</f>
        <v>Gagal</v>
      </c>
      <c r="AH77" s="285" t="str">
        <f>IFERROR(__xludf.DUMMYFUNCTION("""COMPUTED_VALUE"""),"Trip Ijen")</f>
        <v>Trip Ijen</v>
      </c>
      <c r="AI77" s="287">
        <f>IFERROR(__xludf.DUMMYFUNCTION("""COMPUTED_VALUE"""),46067.0)</f>
        <v>46067</v>
      </c>
      <c r="AJ77" s="285">
        <f>IFERROR(__xludf.DUMMYFUNCTION("""COMPUTED_VALUE"""),5.0)</f>
        <v>5</v>
      </c>
      <c r="AK77" s="289"/>
      <c r="AL77" s="285" t="str">
        <f>IFERROR(__xludf.DUMMYFUNCTION("""COMPUTED_VALUE"""),"lewat tanggal dan tidak balas lagi")</f>
        <v>lewat tanggal dan tidak balas lagi</v>
      </c>
    </row>
    <row r="78">
      <c r="F78" s="285" t="str">
        <f>IFERROR(__xludf.DUMMYFUNCTION("""COMPUTED_VALUE"""),"2607A076")</f>
        <v>2607A076</v>
      </c>
      <c r="G78" s="286">
        <f>IFERROR(__xludf.DUMMYFUNCTION("""COMPUTED_VALUE"""),46213.0)</f>
        <v>46213</v>
      </c>
      <c r="H78" s="285" t="str">
        <f>IFERROR(__xludf.DUMMYFUNCTION("""COMPUTED_VALUE"""),"Nita")</f>
        <v>Nita</v>
      </c>
      <c r="I78" s="285" t="str">
        <f>IFERROR(__xludf.DUMMYFUNCTION("""COMPUTED_VALUE"""),"0895810866664")</f>
        <v>0895810866664</v>
      </c>
      <c r="J78" s="285" t="str">
        <f>IFERROR(__xludf.DUMMYFUNCTION("""COMPUTED_VALUE"""),"Leads Baru")</f>
        <v>Leads Baru</v>
      </c>
      <c r="K78" s="285" t="str">
        <f>IFERROR(__xludf.DUMMYFUNCTION("""COMPUTED_VALUE"""),"2h1m")</f>
        <v>2h1m</v>
      </c>
      <c r="L78" s="287"/>
      <c r="M78" s="285"/>
      <c r="N78" s="289"/>
      <c r="O78" s="285"/>
      <c r="P78" s="320"/>
      <c r="R78" s="285" t="str">
        <f>IFERROR(__xludf.DUMMYFUNCTION("""COMPUTED_VALUE"""),"2606A029")</f>
        <v>2606A029</v>
      </c>
      <c r="S78" s="286">
        <f>IFERROR(__xludf.DUMMYFUNCTION("""COMPUTED_VALUE"""),46178.0)</f>
        <v>46178</v>
      </c>
      <c r="T78" s="285" t="str">
        <f>IFERROR(__xludf.DUMMYFUNCTION("""COMPUTED_VALUE"""),"Gunarti")</f>
        <v>Gunarti</v>
      </c>
      <c r="U78" s="285" t="str">
        <f>IFERROR(__xludf.DUMMYFUNCTION("""COMPUTED_VALUE"""),"085156458302")</f>
        <v>085156458302</v>
      </c>
      <c r="V78" s="285" t="str">
        <f>IFERROR(__xludf.DUMMYFUNCTION("""COMPUTED_VALUE"""),"Closing")</f>
        <v>Closing</v>
      </c>
      <c r="W78" s="285" t="str">
        <f>IFERROR(__xludf.DUMMYFUNCTION("""COMPUTED_VALUE"""),"ot mt")</f>
        <v>ot mt</v>
      </c>
      <c r="X78" s="287">
        <f>IFERROR(__xludf.DUMMYFUNCTION("""COMPUTED_VALUE"""),46180.0)</f>
        <v>46180</v>
      </c>
      <c r="Y78" s="285">
        <f>IFERROR(__xludf.DUMMYFUNCTION("""COMPUTED_VALUE"""),2.0)</f>
        <v>2</v>
      </c>
      <c r="Z78" s="289">
        <f>IFERROR(__xludf.DUMMYFUNCTION("""COMPUTED_VALUE"""),550000.0)</f>
        <v>550000</v>
      </c>
      <c r="AA78" s="285" t="str">
        <f>IFERROR(__xludf.DUMMYFUNCTION("""COMPUTED_VALUE"""),"alhamdulillah order")</f>
        <v>alhamdulillah order</v>
      </c>
      <c r="AC78" s="285" t="str">
        <f>IFERROR(__xludf.DUMMYFUNCTION("""COMPUTED_VALUE"""),"2602A017")</f>
        <v>2602A017</v>
      </c>
      <c r="AD78" s="286">
        <f>IFERROR(__xludf.DUMMYFUNCTION("""COMPUTED_VALUE"""),46063.0)</f>
        <v>46063</v>
      </c>
      <c r="AE78" s="285" t="str">
        <f>IFERROR(__xludf.DUMMYFUNCTION("""COMPUTED_VALUE"""),"Rosidbagus")</f>
        <v>Rosidbagus</v>
      </c>
      <c r="AF78" s="285" t="str">
        <f>IFERROR(__xludf.DUMMYFUNCTION("""COMPUTED_VALUE"""),"082123031677")</f>
        <v>082123031677</v>
      </c>
      <c r="AG78" s="285" t="str">
        <f>IFERROR(__xludf.DUMMYFUNCTION("""COMPUTED_VALUE"""),"Gagal")</f>
        <v>Gagal</v>
      </c>
      <c r="AH78" s="285" t="str">
        <f>IFERROR(__xludf.DUMMYFUNCTION("""COMPUTED_VALUE"""),"Trip D, B")</f>
        <v>Trip D, B</v>
      </c>
      <c r="AI78" s="287">
        <f>IFERROR(__xludf.DUMMYFUNCTION("""COMPUTED_VALUE"""),46105.0)</f>
        <v>46105</v>
      </c>
      <c r="AJ78" s="285">
        <f>IFERROR(__xludf.DUMMYFUNCTION("""COMPUTED_VALUE"""),6.0)</f>
        <v>6</v>
      </c>
      <c r="AK78" s="289">
        <f>IFERROR(__xludf.DUMMYFUNCTION("""COMPUTED_VALUE"""),4290000.0)</f>
        <v>4290000</v>
      </c>
      <c r="AL78" s="285" t="str">
        <f>IFERROR(__xludf.DUMMYFUNCTION("""COMPUTED_VALUE"""),"gada respon")</f>
        <v>gada respon</v>
      </c>
    </row>
    <row r="79">
      <c r="F79" s="285" t="str">
        <f>IFERROR(__xludf.DUMMYFUNCTION("""COMPUTED_VALUE"""),"2607A078")</f>
        <v>2607A078</v>
      </c>
      <c r="G79" s="286">
        <f>IFERROR(__xludf.DUMMYFUNCTION("""COMPUTED_VALUE"""),46213.0)</f>
        <v>46213</v>
      </c>
      <c r="H79" s="285" t="str">
        <f>IFERROR(__xludf.DUMMYFUNCTION("""COMPUTED_VALUE"""),"S")</f>
        <v>S</v>
      </c>
      <c r="I79" s="285" t="str">
        <f>IFERROR(__xludf.DUMMYFUNCTION("""COMPUTED_VALUE"""),"0816522962")</f>
        <v>0816522962</v>
      </c>
      <c r="J79" s="285" t="str">
        <f>IFERROR(__xludf.DUMMYFUNCTION("""COMPUTED_VALUE"""),"Leads Baru")</f>
        <v>Leads Baru</v>
      </c>
      <c r="K79" s="285"/>
      <c r="L79" s="287"/>
      <c r="M79" s="285"/>
      <c r="N79" s="289"/>
      <c r="O79" s="285"/>
      <c r="P79" s="320"/>
      <c r="R79" s="285" t="str">
        <f>IFERROR(__xludf.DUMMYFUNCTION("""COMPUTED_VALUE"""),"2606A037")</f>
        <v>2606A037</v>
      </c>
      <c r="S79" s="286">
        <f>IFERROR(__xludf.DUMMYFUNCTION("""COMPUTED_VALUE"""),46180.0)</f>
        <v>46180</v>
      </c>
      <c r="T79" s="285" t="str">
        <f>IFERROR(__xludf.DUMMYFUNCTION("""COMPUTED_VALUE"""),"Rahmawati Ahmad")</f>
        <v>Rahmawati Ahmad</v>
      </c>
      <c r="U79" s="285" t="str">
        <f>IFERROR(__xludf.DUMMYFUNCTION("""COMPUTED_VALUE"""),"081315387703")</f>
        <v>081315387703</v>
      </c>
      <c r="V79" s="285" t="str">
        <f>IFERROR(__xludf.DUMMYFUNCTION("""COMPUTED_VALUE"""),"Closing")</f>
        <v>Closing</v>
      </c>
      <c r="W79" s="285" t="str">
        <f>IFERROR(__xludf.DUMMYFUNCTION("""COMPUTED_VALUE"""),"2h1m ")</f>
        <v>2h1m </v>
      </c>
      <c r="X79" s="287">
        <f>IFERROR(__xludf.DUMMYFUNCTION("""COMPUTED_VALUE"""),46216.0)</f>
        <v>46216</v>
      </c>
      <c r="Y79" s="285">
        <f>IFERROR(__xludf.DUMMYFUNCTION("""COMPUTED_VALUE"""),5.0)</f>
        <v>5</v>
      </c>
      <c r="Z79" s="289">
        <f>IFERROR(__xludf.DUMMYFUNCTION("""COMPUTED_VALUE"""),4430000.0)</f>
        <v>4430000</v>
      </c>
      <c r="AA79" s="285" t="str">
        <f>IFERROR(__xludf.DUMMYFUNCTION("""COMPUTED_VALUE"""),"order")</f>
        <v>order</v>
      </c>
      <c r="AC79" s="285" t="str">
        <f>IFERROR(__xludf.DUMMYFUNCTION("""COMPUTED_VALUE"""),"2602A019")</f>
        <v>2602A019</v>
      </c>
      <c r="AD79" s="286">
        <f>IFERROR(__xludf.DUMMYFUNCTION("""COMPUTED_VALUE"""),46066.0)</f>
        <v>46066</v>
      </c>
      <c r="AE79" s="285" t="str">
        <f>IFERROR(__xludf.DUMMYFUNCTION("""COMPUTED_VALUE"""),"Dev")</f>
        <v>Dev</v>
      </c>
      <c r="AF79" s="285" t="str">
        <f>IFERROR(__xludf.DUMMYFUNCTION("""COMPUTED_VALUE"""),"0895411763369")</f>
        <v>0895411763369</v>
      </c>
      <c r="AG79" s="285" t="str">
        <f>IFERROR(__xludf.DUMMYFUNCTION("""COMPUTED_VALUE"""),"Gagal")</f>
        <v>Gagal</v>
      </c>
      <c r="AH79" s="285"/>
      <c r="AI79" s="287"/>
      <c r="AJ79" s="285"/>
      <c r="AK79" s="289"/>
      <c r="AL79" s="285"/>
    </row>
    <row r="80">
      <c r="F80" s="285" t="str">
        <f>IFERROR(__xludf.DUMMYFUNCTION("""COMPUTED_VALUE"""),"2607A079")</f>
        <v>2607A079</v>
      </c>
      <c r="G80" s="286">
        <f>IFERROR(__xludf.DUMMYFUNCTION("""COMPUTED_VALUE"""),46213.0)</f>
        <v>46213</v>
      </c>
      <c r="H80" s="285" t="str">
        <f>IFERROR(__xludf.DUMMYFUNCTION("""COMPUTED_VALUE"""),"Weriyanti")</f>
        <v>Weriyanti</v>
      </c>
      <c r="I80" s="285" t="str">
        <f>IFERROR(__xludf.DUMMYFUNCTION("""COMPUTED_VALUE"""),"082130675113")</f>
        <v>082130675113</v>
      </c>
      <c r="J80" s="285" t="str">
        <f>IFERROR(__xludf.DUMMYFUNCTION("""COMPUTED_VALUE"""),"Leads Baru")</f>
        <v>Leads Baru</v>
      </c>
      <c r="K80" s="285"/>
      <c r="L80" s="287"/>
      <c r="M80" s="285"/>
      <c r="N80" s="289"/>
      <c r="O80" s="285"/>
      <c r="P80" s="320"/>
      <c r="R80" s="285" t="str">
        <f>IFERROR(__xludf.DUMMYFUNCTION("""COMPUTED_VALUE"""),"2606A046")</f>
        <v>2606A046</v>
      </c>
      <c r="S80" s="286">
        <f>IFERROR(__xludf.DUMMYFUNCTION("""COMPUTED_VALUE"""),46181.0)</f>
        <v>46181</v>
      </c>
      <c r="T80" s="285" t="str">
        <f>IFERROR(__xludf.DUMMYFUNCTION("""COMPUTED_VALUE"""),"vinni")</f>
        <v>vinni</v>
      </c>
      <c r="U80" s="285" t="str">
        <f>IFERROR(__xludf.DUMMYFUNCTION("""COMPUTED_VALUE"""),"085860596632")</f>
        <v>085860596632</v>
      </c>
      <c r="V80" s="285" t="str">
        <f>IFERROR(__xludf.DUMMYFUNCTION("""COMPUTED_VALUE"""),"Closing")</f>
        <v>Closing</v>
      </c>
      <c r="W80" s="285" t="str">
        <f>IFERROR(__xludf.DUMMYFUNCTION("""COMPUTED_VALUE"""),"2h1m")</f>
        <v>2h1m</v>
      </c>
      <c r="X80" s="287"/>
      <c r="Y80" s="285">
        <f>IFERROR(__xludf.DUMMYFUNCTION("""COMPUTED_VALUE"""),14.0)</f>
        <v>14</v>
      </c>
      <c r="Z80" s="289">
        <f>IFERROR(__xludf.DUMMYFUNCTION("""COMPUTED_VALUE"""),1.9955E7)</f>
        <v>19955000</v>
      </c>
      <c r="AA80" s="285" t="str">
        <f>IFERROR(__xludf.DUMMYFUNCTION("""COMPUTED_VALUE"""),"alhamdulillah order")</f>
        <v>alhamdulillah order</v>
      </c>
      <c r="AC80" s="285" t="str">
        <f>IFERROR(__xludf.DUMMYFUNCTION("""COMPUTED_VALUE"""),"2602A020")</f>
        <v>2602A020</v>
      </c>
      <c r="AD80" s="286">
        <f>IFERROR(__xludf.DUMMYFUNCTION("""COMPUTED_VALUE"""),46066.0)</f>
        <v>46066</v>
      </c>
      <c r="AE80" s="285" t="str">
        <f>IFERROR(__xludf.DUMMYFUNCTION("""COMPUTED_VALUE"""),"Happy Petals")</f>
        <v>Happy Petals</v>
      </c>
      <c r="AF80" s="285" t="str">
        <f>IFERROR(__xludf.DUMMYFUNCTION("""COMPUTED_VALUE"""),"08315680898")</f>
        <v>08315680898</v>
      </c>
      <c r="AG80" s="285" t="str">
        <f>IFERROR(__xludf.DUMMYFUNCTION("""COMPUTED_VALUE"""),"Gagal")</f>
        <v>Gagal</v>
      </c>
      <c r="AH80" s="285" t="str">
        <f>IFERROR(__xludf.DUMMYFUNCTION("""COMPUTED_VALUE"""),"Trip Menjangan, Ijen")</f>
        <v>Trip Menjangan, Ijen</v>
      </c>
      <c r="AI80" s="287"/>
      <c r="AJ80" s="285">
        <f>IFERROR(__xludf.DUMMYFUNCTION("""COMPUTED_VALUE"""),3.0)</f>
        <v>3</v>
      </c>
      <c r="AK80" s="289"/>
      <c r="AL80" s="285" t="str">
        <f>IFERROR(__xludf.DUMMYFUNCTION("""COMPUTED_VALUE"""),"tanya tanya")</f>
        <v>tanya tanya</v>
      </c>
    </row>
    <row r="81">
      <c r="F81" s="285" t="str">
        <f>IFERROR(__xludf.DUMMYFUNCTION("""COMPUTED_VALUE"""),"2607A080")</f>
        <v>2607A080</v>
      </c>
      <c r="G81" s="286">
        <f>IFERROR(__xludf.DUMMYFUNCTION("""COMPUTED_VALUE"""),46214.0)</f>
        <v>46214</v>
      </c>
      <c r="H81" s="285" t="str">
        <f>IFERROR(__xludf.DUMMYFUNCTION("""COMPUTED_VALUE"""),"Ayut")</f>
        <v>Ayut</v>
      </c>
      <c r="I81" s="285" t="str">
        <f>IFERROR(__xludf.DUMMYFUNCTION("""COMPUTED_VALUE"""),"081328286644")</f>
        <v>081328286644</v>
      </c>
      <c r="J81" s="285" t="str">
        <f>IFERROR(__xludf.DUMMYFUNCTION("""COMPUTED_VALUE"""),"Leads Baru")</f>
        <v>Leads Baru</v>
      </c>
      <c r="K81" s="285" t="str">
        <f>IFERROR(__xludf.DUMMYFUNCTION("""COMPUTED_VALUE"""),"ot mt")</f>
        <v>ot mt</v>
      </c>
      <c r="L81" s="287">
        <f>IFERROR(__xludf.DUMMYFUNCTION("""COMPUTED_VALUE"""),46215.0)</f>
        <v>46215</v>
      </c>
      <c r="M81" s="285">
        <f>IFERROR(__xludf.DUMMYFUNCTION("""COMPUTED_VALUE"""),4.0)</f>
        <v>4</v>
      </c>
      <c r="N81" s="289"/>
      <c r="O81" s="285"/>
      <c r="P81" s="320"/>
      <c r="R81" s="285" t="str">
        <f>IFERROR(__xludf.DUMMYFUNCTION("""COMPUTED_VALUE"""),"2606A047")</f>
        <v>2606A047</v>
      </c>
      <c r="S81" s="286">
        <f>IFERROR(__xludf.DUMMYFUNCTION("""COMPUTED_VALUE"""),46181.0)</f>
        <v>46181</v>
      </c>
      <c r="T81" s="285" t="str">
        <f>IFERROR(__xludf.DUMMYFUNCTION("""COMPUTED_VALUE"""),"Eny")</f>
        <v>Eny</v>
      </c>
      <c r="U81" s="285" t="str">
        <f>IFERROR(__xludf.DUMMYFUNCTION("""COMPUTED_VALUE"""),"081945997749")</f>
        <v>081945997749</v>
      </c>
      <c r="V81" s="285" t="str">
        <f>IFERROR(__xludf.DUMMYFUNCTION("""COMPUTED_VALUE"""),"Closing")</f>
        <v>Closing</v>
      </c>
      <c r="W81" s="285" t="str">
        <f>IFERROR(__xludf.DUMMYFUNCTION("""COMPUTED_VALUE"""),"3h2m")</f>
        <v>3h2m</v>
      </c>
      <c r="X81" s="287">
        <f>IFERROR(__xludf.DUMMYFUNCTION("""COMPUTED_VALUE"""),46202.0)</f>
        <v>46202</v>
      </c>
      <c r="Y81" s="285">
        <f>IFERROR(__xludf.DUMMYFUNCTION("""COMPUTED_VALUE"""),8.0)</f>
        <v>8</v>
      </c>
      <c r="Z81" s="289">
        <f>IFERROR(__xludf.DUMMYFUNCTION("""COMPUTED_VALUE"""),1.04E7)</f>
        <v>10400000</v>
      </c>
      <c r="AA81" s="285"/>
      <c r="AC81" s="285" t="str">
        <f>IFERROR(__xludf.DUMMYFUNCTION("""COMPUTED_VALUE"""),"2602A022")</f>
        <v>2602A022</v>
      </c>
      <c r="AD81" s="286">
        <f>IFERROR(__xludf.DUMMYFUNCTION("""COMPUTED_VALUE"""),46067.0)</f>
        <v>46067</v>
      </c>
      <c r="AE81" s="285" t="str">
        <f>IFERROR(__xludf.DUMMYFUNCTION("""COMPUTED_VALUE"""),"Rahayu")</f>
        <v>Rahayu</v>
      </c>
      <c r="AF81" s="285" t="str">
        <f>IFERROR(__xludf.DUMMYFUNCTION("""COMPUTED_VALUE"""),"08113392183")</f>
        <v>08113392183</v>
      </c>
      <c r="AG81" s="285" t="str">
        <f>IFERROR(__xludf.DUMMYFUNCTION("""COMPUTED_VALUE"""),"Gagal")</f>
        <v>Gagal</v>
      </c>
      <c r="AH81" s="285" t="str">
        <f>IFERROR(__xludf.DUMMYFUNCTION("""COMPUTED_VALUE"""),"2H1M")</f>
        <v>2H1M</v>
      </c>
      <c r="AI81" s="287"/>
      <c r="AJ81" s="285">
        <f>IFERROR(__xludf.DUMMYFUNCTION("""COMPUTED_VALUE"""),1.0)</f>
        <v>1</v>
      </c>
      <c r="AK81" s="289">
        <f>IFERROR(__xludf.DUMMYFUNCTION("""COMPUTED_VALUE"""),4680000.0)</f>
        <v>4680000</v>
      </c>
      <c r="AL81" s="285" t="str">
        <f>IFERROR(__xludf.DUMMYFUNCTION("""COMPUTED_VALUE"""),"belum balas lagi")</f>
        <v>belum balas lagi</v>
      </c>
    </row>
    <row r="82">
      <c r="F82" s="285" t="str">
        <f>IFERROR(__xludf.DUMMYFUNCTION("""COMPUTED_VALUE"""),"2607A081")</f>
        <v>2607A081</v>
      </c>
      <c r="G82" s="286">
        <f>IFERROR(__xludf.DUMMYFUNCTION("""COMPUTED_VALUE"""),46214.0)</f>
        <v>46214</v>
      </c>
      <c r="H82" s="285" t="str">
        <f>IFERROR(__xludf.DUMMYFUNCTION("""COMPUTED_VALUE"""),"Jovanka")</f>
        <v>Jovanka</v>
      </c>
      <c r="I82" s="285" t="str">
        <f>IFERROR(__xludf.DUMMYFUNCTION("""COMPUTED_VALUE"""),"085121509059")</f>
        <v>085121509059</v>
      </c>
      <c r="J82" s="285" t="str">
        <f>IFERROR(__xludf.DUMMYFUNCTION("""COMPUTED_VALUE"""),"Leads Baru")</f>
        <v>Leads Baru</v>
      </c>
      <c r="K82" s="285" t="str">
        <f>IFERROR(__xludf.DUMMYFUNCTION("""COMPUTED_VALUE"""),"ot djawatan baluran")</f>
        <v>ot djawatan baluran</v>
      </c>
      <c r="L82" s="287">
        <f>IFERROR(__xludf.DUMMYFUNCTION("""COMPUTED_VALUE"""),46225.0)</f>
        <v>46225</v>
      </c>
      <c r="M82" s="285">
        <f>IFERROR(__xludf.DUMMYFUNCTION("""COMPUTED_VALUE"""),1.0)</f>
        <v>1</v>
      </c>
      <c r="N82" s="289"/>
      <c r="O82" s="285"/>
      <c r="P82" s="320"/>
      <c r="R82" s="285" t="str">
        <f>IFERROR(__xludf.DUMMYFUNCTION("""COMPUTED_VALUE"""),"2606A049")</f>
        <v>2606A049</v>
      </c>
      <c r="S82" s="286">
        <f>IFERROR(__xludf.DUMMYFUNCTION("""COMPUTED_VALUE"""),46182.0)</f>
        <v>46182</v>
      </c>
      <c r="T82" s="285" t="str">
        <f>IFERROR(__xludf.DUMMYFUNCTION("""COMPUTED_VALUE"""),"Lutfiya")</f>
        <v>Lutfiya</v>
      </c>
      <c r="U82" s="285" t="str">
        <f>IFERROR(__xludf.DUMMYFUNCTION("""COMPUTED_VALUE"""),"085732131060")</f>
        <v>085732131060</v>
      </c>
      <c r="V82" s="285" t="str">
        <f>IFERROR(__xludf.DUMMYFUNCTION("""COMPUTED_VALUE"""),"Closing")</f>
        <v>Closing</v>
      </c>
      <c r="W82" s="285" t="str">
        <f>IFERROR(__xludf.DUMMYFUNCTION("""COMPUTED_VALUE"""),"ot mt")</f>
        <v>ot mt</v>
      </c>
      <c r="X82" s="287">
        <f>IFERROR(__xludf.DUMMYFUNCTION("""COMPUTED_VALUE"""),46187.0)</f>
        <v>46187</v>
      </c>
      <c r="Y82" s="285">
        <f>IFERROR(__xludf.DUMMYFUNCTION("""COMPUTED_VALUE"""),2.0)</f>
        <v>2</v>
      </c>
      <c r="Z82" s="289">
        <f>IFERROR(__xludf.DUMMYFUNCTION("""COMPUTED_VALUE"""),550000.0)</f>
        <v>550000</v>
      </c>
      <c r="AA82" s="285" t="str">
        <f>IFERROR(__xludf.DUMMYFUNCTION("""COMPUTED_VALUE"""),"alhamdulillah closing")</f>
        <v>alhamdulillah closing</v>
      </c>
      <c r="AC82" s="285" t="str">
        <f>IFERROR(__xludf.DUMMYFUNCTION("""COMPUTED_VALUE"""),"2512A003")</f>
        <v>2512A003</v>
      </c>
      <c r="AD82" s="286">
        <f>IFERROR(__xludf.DUMMYFUNCTION("""COMPUTED_VALUE"""),46067.0)</f>
        <v>46067</v>
      </c>
      <c r="AE82" s="285" t="str">
        <f>IFERROR(__xludf.DUMMYFUNCTION("""COMPUTED_VALUE"""),"Arif Dalan Wisata")</f>
        <v>Arif Dalan Wisata</v>
      </c>
      <c r="AF82" s="285" t="str">
        <f>IFERROR(__xludf.DUMMYFUNCTION("""COMPUTED_VALUE"""),"082121616867")</f>
        <v>082121616867</v>
      </c>
      <c r="AG82" s="285" t="str">
        <f>IFERROR(__xludf.DUMMYFUNCTION("""COMPUTED_VALUE"""),"Gagal")</f>
        <v>Gagal</v>
      </c>
      <c r="AH82" s="285" t="str">
        <f>IFERROR(__xludf.DUMMYFUNCTION("""COMPUTED_VALUE"""),"2H2M Custom")</f>
        <v>2H2M Custom</v>
      </c>
      <c r="AI82" s="287"/>
      <c r="AJ82" s="285">
        <f>IFERROR(__xludf.DUMMYFUNCTION("""COMPUTED_VALUE"""),35.0)</f>
        <v>35</v>
      </c>
      <c r="AK82" s="289">
        <f>IFERROR(__xludf.DUMMYFUNCTION("""COMPUTED_VALUE"""),5.25E7)</f>
        <v>52500000</v>
      </c>
      <c r="AL82" s="285" t="str">
        <f>IFERROR(__xludf.DUMMYFUNCTION("""COMPUTED_VALUE"""),"sudah buat penawaran")</f>
        <v>sudah buat penawaran</v>
      </c>
    </row>
    <row r="83">
      <c r="F83" s="285" t="str">
        <f>IFERROR(__xludf.DUMMYFUNCTION("""COMPUTED_VALUE"""),"2607A083")</f>
        <v>2607A083</v>
      </c>
      <c r="G83" s="286">
        <f>IFERROR(__xludf.DUMMYFUNCTION("""COMPUTED_VALUE"""),46215.0)</f>
        <v>46215</v>
      </c>
      <c r="H83" s="285" t="str">
        <f>IFERROR(__xludf.DUMMYFUNCTION("""COMPUTED_VALUE"""),"Anna Jannah")</f>
        <v>Anna Jannah</v>
      </c>
      <c r="I83" s="285" t="str">
        <f>IFERROR(__xludf.DUMMYFUNCTION("""COMPUTED_VALUE"""),"081233420014")</f>
        <v>081233420014</v>
      </c>
      <c r="J83" s="285" t="str">
        <f>IFERROR(__xludf.DUMMYFUNCTION("""COMPUTED_VALUE"""),"Leads Baru")</f>
        <v>Leads Baru</v>
      </c>
      <c r="K83" s="285" t="str">
        <f>IFERROR(__xludf.DUMMYFUNCTION("""COMPUTED_VALUE"""),"3h2m")</f>
        <v>3h2m</v>
      </c>
      <c r="L83" s="287"/>
      <c r="M83" s="285"/>
      <c r="N83" s="289"/>
      <c r="O83" s="285"/>
      <c r="P83" s="320"/>
      <c r="R83" s="285" t="str">
        <f>IFERROR(__xludf.DUMMYFUNCTION("""COMPUTED_VALUE"""),"2606A062")</f>
        <v>2606A062</v>
      </c>
      <c r="S83" s="286">
        <f>IFERROR(__xludf.DUMMYFUNCTION("""COMPUTED_VALUE"""),46184.0)</f>
        <v>46184</v>
      </c>
      <c r="T83" s="285" t="str">
        <f>IFERROR(__xludf.DUMMYFUNCTION("""COMPUTED_VALUE"""),"Yanti Hian Hwa")</f>
        <v>Yanti Hian Hwa</v>
      </c>
      <c r="U83" s="285" t="str">
        <f>IFERROR(__xludf.DUMMYFUNCTION("""COMPUTED_VALUE"""),"081904978487")</f>
        <v>081904978487</v>
      </c>
      <c r="V83" s="285" t="str">
        <f>IFERROR(__xludf.DUMMYFUNCTION("""COMPUTED_VALUE"""),"Closing")</f>
        <v>Closing</v>
      </c>
      <c r="W83" s="285" t="str">
        <f>IFERROR(__xludf.DUMMYFUNCTION("""COMPUTED_VALUE"""),"4h3m")</f>
        <v>4h3m</v>
      </c>
      <c r="X83" s="287"/>
      <c r="Y83" s="285">
        <f>IFERROR(__xludf.DUMMYFUNCTION("""COMPUTED_VALUE"""),46303.0)</f>
        <v>46303</v>
      </c>
      <c r="Z83" s="289"/>
      <c r="AA83" s="285"/>
      <c r="AC83" s="285" t="str">
        <f>IFERROR(__xludf.DUMMYFUNCTION("""COMPUTED_VALUE"""),"2602A024")</f>
        <v>2602A024</v>
      </c>
      <c r="AD83" s="286">
        <f>IFERROR(__xludf.DUMMYFUNCTION("""COMPUTED_VALUE"""),46069.0)</f>
        <v>46069</v>
      </c>
      <c r="AE83" s="285" t="str">
        <f>IFERROR(__xludf.DUMMYFUNCTION("""COMPUTED_VALUE"""),"Dirga")</f>
        <v>Dirga</v>
      </c>
      <c r="AF83" s="285" t="str">
        <f>IFERROR(__xludf.DUMMYFUNCTION("""COMPUTED_VALUE"""),"083819575522‬")</f>
        <v>083819575522‬</v>
      </c>
      <c r="AG83" s="285" t="str">
        <f>IFERROR(__xludf.DUMMYFUNCTION("""COMPUTED_VALUE"""),"Gagal")</f>
        <v>Gagal</v>
      </c>
      <c r="AH83" s="285" t="str">
        <f>IFERROR(__xludf.DUMMYFUNCTION("""COMPUTED_VALUE"""),"3H2M")</f>
        <v>3H2M</v>
      </c>
      <c r="AI83" s="287"/>
      <c r="AJ83" s="285">
        <f>IFERROR(__xludf.DUMMYFUNCTION("""COMPUTED_VALUE"""),2.0)</f>
        <v>2</v>
      </c>
      <c r="AK83" s="289"/>
      <c r="AL83" s="285" t="str">
        <f>IFERROR(__xludf.DUMMYFUNCTION("""COMPUTED_VALUE"""),"budget masih kurang")</f>
        <v>budget masih kurang</v>
      </c>
    </row>
    <row r="84">
      <c r="F84" s="285" t="str">
        <f>IFERROR(__xludf.DUMMYFUNCTION("""COMPUTED_VALUE"""),"2607A085")</f>
        <v>2607A085</v>
      </c>
      <c r="G84" s="286">
        <f>IFERROR(__xludf.DUMMYFUNCTION("""COMPUTED_VALUE"""),46227.0)</f>
        <v>46227</v>
      </c>
      <c r="H84" s="285" t="str">
        <f>IFERROR(__xludf.DUMMYFUNCTION("""COMPUTED_VALUE"""),"Azra Yasmin")</f>
        <v>Azra Yasmin</v>
      </c>
      <c r="I84" s="285" t="str">
        <f>IFERROR(__xludf.DUMMYFUNCTION("""COMPUTED_VALUE"""),"081370919897")</f>
        <v>081370919897</v>
      </c>
      <c r="J84" s="285" t="str">
        <f>IFERROR(__xludf.DUMMYFUNCTION("""COMPUTED_VALUE"""),"Leads Baru")</f>
        <v>Leads Baru</v>
      </c>
      <c r="K84" s="285" t="str">
        <f>IFERROR(__xludf.DUMMYFUNCTION("""COMPUTED_VALUE"""),"ot 3h2m")</f>
        <v>ot 3h2m</v>
      </c>
      <c r="L84" s="287">
        <f>IFERROR(__xludf.DUMMYFUNCTION("""COMPUTED_VALUE"""),46283.0)</f>
        <v>46283</v>
      </c>
      <c r="M84" s="285">
        <f>IFERROR(__xludf.DUMMYFUNCTION("""COMPUTED_VALUE"""),1.0)</f>
        <v>1</v>
      </c>
      <c r="N84" s="289">
        <f>IFERROR(__xludf.DUMMYFUNCTION("""COMPUTED_VALUE"""),1600000.0)</f>
        <v>1600000</v>
      </c>
      <c r="O84" s="285" t="str">
        <f>IFERROR(__xludf.DUMMYFUNCTION("""COMPUTED_VALUE"""),"fu 28 agustus")</f>
        <v>fu 28 agustus</v>
      </c>
      <c r="P84" s="320"/>
      <c r="R84" s="285" t="str">
        <f>IFERROR(__xludf.DUMMYFUNCTION("""COMPUTED_VALUE"""),"2606A064")</f>
        <v>2606A064</v>
      </c>
      <c r="S84" s="286">
        <f>IFERROR(__xludf.DUMMYFUNCTION("""COMPUTED_VALUE"""),46184.0)</f>
        <v>46184</v>
      </c>
      <c r="T84" s="285" t="str">
        <f>IFERROR(__xludf.DUMMYFUNCTION("""COMPUTED_VALUE"""),"Hendi R")</f>
        <v>Hendi R</v>
      </c>
      <c r="U84" s="285" t="str">
        <f>IFERROR(__xludf.DUMMYFUNCTION("""COMPUTED_VALUE"""),"081328504598")</f>
        <v>081328504598</v>
      </c>
      <c r="V84" s="285" t="str">
        <f>IFERROR(__xludf.DUMMYFUNCTION("""COMPUTED_VALUE"""),"Closing")</f>
        <v>Closing</v>
      </c>
      <c r="W84" s="285" t="str">
        <f>IFERROR(__xludf.DUMMYFUNCTION("""COMPUTED_VALUE"""),"3h2m")</f>
        <v>3h2m</v>
      </c>
      <c r="X84" s="287"/>
      <c r="Y84" s="285">
        <f>IFERROR(__xludf.DUMMYFUNCTION("""COMPUTED_VALUE"""),6.0)</f>
        <v>6</v>
      </c>
      <c r="Z84" s="289"/>
      <c r="AA84" s="285" t="str">
        <f>IFERROR(__xludf.DUMMYFUNCTION("""COMPUTED_VALUE"""),"ALHAMDULILLAH ORDER")</f>
        <v>ALHAMDULILLAH ORDER</v>
      </c>
      <c r="AC84" s="285" t="str">
        <f>IFERROR(__xludf.DUMMYFUNCTION("""COMPUTED_VALUE"""),"2602A025")</f>
        <v>2602A025</v>
      </c>
      <c r="AD84" s="286">
        <f>IFERROR(__xludf.DUMMYFUNCTION("""COMPUTED_VALUE"""),46069.0)</f>
        <v>46069</v>
      </c>
      <c r="AE84" s="285" t="str">
        <f>IFERROR(__xludf.DUMMYFUNCTION("""COMPUTED_VALUE"""),"083134610505‬")</f>
        <v>083134610505‬</v>
      </c>
      <c r="AF84" s="285" t="str">
        <f>IFERROR(__xludf.DUMMYFUNCTION("""COMPUTED_VALUE"""),"083134610505‬")</f>
        <v>083134610505‬</v>
      </c>
      <c r="AG84" s="285" t="str">
        <f>IFERROR(__xludf.DUMMYFUNCTION("""COMPUTED_VALUE"""),"Gagal")</f>
        <v>Gagal</v>
      </c>
      <c r="AH84" s="285" t="str">
        <f>IFERROR(__xludf.DUMMYFUNCTION("""COMPUTED_VALUE"""),"3H2M")</f>
        <v>3H2M</v>
      </c>
      <c r="AI84" s="287"/>
      <c r="AJ84" s="285">
        <f>IFERROR(__xludf.DUMMYFUNCTION("""COMPUTED_VALUE"""),2.0)</f>
        <v>2</v>
      </c>
      <c r="AK84" s="289"/>
      <c r="AL84" s="285" t="str">
        <f>IFERROR(__xludf.DUMMYFUNCTION("""COMPUTED_VALUE"""),"tidak ada jawaban")</f>
        <v>tidak ada jawaban</v>
      </c>
    </row>
    <row r="85">
      <c r="F85" s="285" t="str">
        <f>IFERROR(__xludf.DUMMYFUNCTION("""COMPUTED_VALUE"""),"2607A086")</f>
        <v>2607A086</v>
      </c>
      <c r="G85" s="286">
        <f>IFERROR(__xludf.DUMMYFUNCTION("""COMPUTED_VALUE"""),46216.0)</f>
        <v>46216</v>
      </c>
      <c r="H85" s="285" t="str">
        <f>IFERROR(__xludf.DUMMYFUNCTION("""COMPUTED_VALUE"""),"Novianti Nurniah")</f>
        <v>Novianti Nurniah</v>
      </c>
      <c r="I85" s="285" t="str">
        <f>IFERROR(__xludf.DUMMYFUNCTION("""COMPUTED_VALUE"""),"082112952018")</f>
        <v>082112952018</v>
      </c>
      <c r="J85" s="285" t="str">
        <f>IFERROR(__xludf.DUMMYFUNCTION("""COMPUTED_VALUE"""),"Leads Baru")</f>
        <v>Leads Baru</v>
      </c>
      <c r="K85" s="285" t="str">
        <f>IFERROR(__xludf.DUMMYFUNCTION("""COMPUTED_VALUE"""),"2h1m djabal mt")</f>
        <v>2h1m djabal mt</v>
      </c>
      <c r="L85" s="287"/>
      <c r="M85" s="285">
        <f>IFERROR(__xludf.DUMMYFUNCTION("""COMPUTED_VALUE"""),2.0)</f>
        <v>2</v>
      </c>
      <c r="N85" s="289">
        <f>IFERROR(__xludf.DUMMYFUNCTION("""COMPUTED_VALUE"""),5230000.0)</f>
        <v>5230000</v>
      </c>
      <c r="O85" s="285" t="str">
        <f>IFERROR(__xludf.DUMMYFUNCTION("""COMPUTED_VALUE"""),"fu 3 agustus")</f>
        <v>fu 3 agustus</v>
      </c>
      <c r="P85" s="320"/>
      <c r="R85" s="285" t="str">
        <f>IFERROR(__xludf.DUMMYFUNCTION("""COMPUTED_VALUE"""),"2606A067")</f>
        <v>2606A067</v>
      </c>
      <c r="S85" s="286">
        <f>IFERROR(__xludf.DUMMYFUNCTION("""COMPUTED_VALUE"""),46185.0)</f>
        <v>46185</v>
      </c>
      <c r="T85" s="285" t="str">
        <f>IFERROR(__xludf.DUMMYFUNCTION("""COMPUTED_VALUE"""),"Kinah")</f>
        <v>Kinah</v>
      </c>
      <c r="U85" s="285" t="str">
        <f>IFERROR(__xludf.DUMMYFUNCTION("""COMPUTED_VALUE"""),"081210860625")</f>
        <v>081210860625</v>
      </c>
      <c r="V85" s="285" t="str">
        <f>IFERROR(__xludf.DUMMYFUNCTION("""COMPUTED_VALUE"""),"Closing")</f>
        <v>Closing</v>
      </c>
      <c r="W85" s="285" t="str">
        <f>IFERROR(__xludf.DUMMYFUNCTION("""COMPUTED_VALUE"""),"OTMT")</f>
        <v>OTMT</v>
      </c>
      <c r="X85" s="287"/>
      <c r="Y85" s="285">
        <f>IFERROR(__xludf.DUMMYFUNCTION("""COMPUTED_VALUE"""),2.0)</f>
        <v>2</v>
      </c>
      <c r="Z85" s="289">
        <f>IFERROR(__xludf.DUMMYFUNCTION("""COMPUTED_VALUE"""),500000.0)</f>
        <v>500000</v>
      </c>
      <c r="AA85" s="285" t="str">
        <f>IFERROR(__xludf.DUMMYFUNCTION("""COMPUTED_VALUE"""),"FU 1 JULI")</f>
        <v>FU 1 JULI</v>
      </c>
      <c r="AC85" s="285" t="str">
        <f>IFERROR(__xludf.DUMMYFUNCTION("""COMPUTED_VALUE"""),"2602A026")</f>
        <v>2602A026</v>
      </c>
      <c r="AD85" s="286">
        <f>IFERROR(__xludf.DUMMYFUNCTION("""COMPUTED_VALUE"""),46069.0)</f>
        <v>46069</v>
      </c>
      <c r="AE85" s="285" t="str">
        <f>IFERROR(__xludf.DUMMYFUNCTION("""COMPUTED_VALUE"""),"Ira")</f>
        <v>Ira</v>
      </c>
      <c r="AF85" s="285" t="str">
        <f>IFERROR(__xludf.DUMMYFUNCTION("""COMPUTED_VALUE"""),"083820481784‬")</f>
        <v>083820481784‬</v>
      </c>
      <c r="AG85" s="285" t="str">
        <f>IFERROR(__xludf.DUMMYFUNCTION("""COMPUTED_VALUE"""),"Gagal")</f>
        <v>Gagal</v>
      </c>
      <c r="AH85" s="285" t="str">
        <f>IFERROR(__xludf.DUMMYFUNCTION("""COMPUTED_VALUE"""),"3H2M")</f>
        <v>3H2M</v>
      </c>
      <c r="AI85" s="287"/>
      <c r="AJ85" s="285">
        <f>IFERROR(__xludf.DUMMYFUNCTION("""COMPUTED_VALUE"""),2.0)</f>
        <v>2</v>
      </c>
      <c r="AK85" s="289"/>
      <c r="AL85" s="285" t="str">
        <f>IFERROR(__xludf.DUMMYFUNCTION("""COMPUTED_VALUE"""),"gada balasan")</f>
        <v>gada balasan</v>
      </c>
    </row>
    <row r="86">
      <c r="F86" s="285" t="str">
        <f>IFERROR(__xludf.DUMMYFUNCTION("""COMPUTED_VALUE"""),"2607A098")</f>
        <v>2607A098</v>
      </c>
      <c r="G86" s="286">
        <f>IFERROR(__xludf.DUMMYFUNCTION("""COMPUTED_VALUE"""),46218.0)</f>
        <v>46218</v>
      </c>
      <c r="H86" s="285" t="str">
        <f>IFERROR(__xludf.DUMMYFUNCTION("""COMPUTED_VALUE"""),"Susy T")</f>
        <v>Susy T</v>
      </c>
      <c r="I86" s="285" t="str">
        <f>IFERROR(__xludf.DUMMYFUNCTION("""COMPUTED_VALUE"""),"085817439701")</f>
        <v>085817439701</v>
      </c>
      <c r="J86" s="285" t="str">
        <f>IFERROR(__xludf.DUMMYFUNCTION("""COMPUTED_VALUE"""),"Leads Baru")</f>
        <v>Leads Baru</v>
      </c>
      <c r="K86" s="285" t="str">
        <f>IFERROR(__xludf.DUMMYFUNCTION("""COMPUTED_VALUE"""),"ot ijen")</f>
        <v>ot ijen</v>
      </c>
      <c r="L86" s="287"/>
      <c r="M86" s="285">
        <f>IFERROR(__xludf.DUMMYFUNCTION("""COMPUTED_VALUE"""),3.0)</f>
        <v>3</v>
      </c>
      <c r="N86" s="289">
        <f>IFERROR(__xludf.DUMMYFUNCTION("""COMPUTED_VALUE"""),750000.0)</f>
        <v>750000</v>
      </c>
      <c r="O86" s="285" t="str">
        <f>IFERROR(__xludf.DUMMYFUNCTION("""COMPUTED_VALUE"""),"fu 18 juli")</f>
        <v>fu 18 juli</v>
      </c>
      <c r="P86" s="320"/>
      <c r="R86" s="285" t="str">
        <f>IFERROR(__xludf.DUMMYFUNCTION("""COMPUTED_VALUE"""),"2606A086")</f>
        <v>2606A086</v>
      </c>
      <c r="S86" s="286">
        <f>IFERROR(__xludf.DUMMYFUNCTION("""COMPUTED_VALUE"""),46187.0)</f>
        <v>46187</v>
      </c>
      <c r="T86" s="285" t="str">
        <f>IFERROR(__xludf.DUMMYFUNCTION("""COMPUTED_VALUE"""),"Siska W. Wardhana")</f>
        <v>Siska W. Wardhana</v>
      </c>
      <c r="U86" s="285" t="str">
        <f>IFERROR(__xludf.DUMMYFUNCTION("""COMPUTED_VALUE"""),"087822020430")</f>
        <v>087822020430</v>
      </c>
      <c r="V86" s="285" t="str">
        <f>IFERROR(__xludf.DUMMYFUNCTION("""COMPUTED_VALUE"""),"Closing")</f>
        <v>Closing</v>
      </c>
      <c r="W86" s="285" t="str">
        <f>IFERROR(__xludf.DUMMYFUNCTION("""COMPUTED_VALUE"""),"3h2m")</f>
        <v>3h2m</v>
      </c>
      <c r="X86" s="287">
        <f>IFERROR(__xludf.DUMMYFUNCTION("""COMPUTED_VALUE"""),46192.0)</f>
        <v>46192</v>
      </c>
      <c r="Y86" s="285"/>
      <c r="Z86" s="289"/>
      <c r="AA86" s="285"/>
      <c r="AC86" s="285" t="str">
        <f>IFERROR(__xludf.DUMMYFUNCTION("""COMPUTED_VALUE"""),"2602A027")</f>
        <v>2602A027</v>
      </c>
      <c r="AD86" s="286">
        <f>IFERROR(__xludf.DUMMYFUNCTION("""COMPUTED_VALUE"""),46070.0)</f>
        <v>46070</v>
      </c>
      <c r="AE86" s="285" t="str">
        <f>IFERROR(__xludf.DUMMYFUNCTION("""COMPUTED_VALUE"""),"Elita")</f>
        <v>Elita</v>
      </c>
      <c r="AF86" s="285" t="str">
        <f>IFERROR(__xludf.DUMMYFUNCTION("""COMPUTED_VALUE"""),"0818669148‬")</f>
        <v>0818669148‬</v>
      </c>
      <c r="AG86" s="285" t="str">
        <f>IFERROR(__xludf.DUMMYFUNCTION("""COMPUTED_VALUE"""),"Gagal")</f>
        <v>Gagal</v>
      </c>
      <c r="AH86" s="285" t="str">
        <f>IFERROR(__xludf.DUMMYFUNCTION("""COMPUTED_VALUE"""),"2H1M")</f>
        <v>2H1M</v>
      </c>
      <c r="AI86" s="287"/>
      <c r="AJ86" s="285"/>
      <c r="AK86" s="289"/>
      <c r="AL86" s="285" t="str">
        <f>IFERROR(__xludf.DUMMYFUNCTION("""COMPUTED_VALUE"""),"tidak ada jawaban")</f>
        <v>tidak ada jawaban</v>
      </c>
    </row>
    <row r="87">
      <c r="F87" s="285" t="str">
        <f>IFERROR(__xludf.DUMMYFUNCTION("""COMPUTED_VALUE"""),"2607A109")</f>
        <v>2607A109</v>
      </c>
      <c r="G87" s="286">
        <f>IFERROR(__xludf.DUMMYFUNCTION("""COMPUTED_VALUE"""),46220.0)</f>
        <v>46220</v>
      </c>
      <c r="H87" s="285" t="str">
        <f>IFERROR(__xludf.DUMMYFUNCTION("""COMPUTED_VALUE"""),"Tina")</f>
        <v>Tina</v>
      </c>
      <c r="I87" s="285" t="str">
        <f>IFERROR(__xludf.DUMMYFUNCTION("""COMPUTED_VALUE"""),"085249058336")</f>
        <v>085249058336</v>
      </c>
      <c r="J87" s="285" t="str">
        <f>IFERROR(__xludf.DUMMYFUNCTION("""COMPUTED_VALUE"""),"Leads Baru")</f>
        <v>Leads Baru</v>
      </c>
      <c r="K87" s="285" t="str">
        <f>IFERROR(__xludf.DUMMYFUNCTION("""COMPUTED_VALUE"""),"2h1m opsi b")</f>
        <v>2h1m opsi b</v>
      </c>
      <c r="L87" s="287"/>
      <c r="M87" s="285">
        <f>IFERROR(__xludf.DUMMYFUNCTION("""COMPUTED_VALUE"""),4.0)</f>
        <v>4</v>
      </c>
      <c r="N87" s="289"/>
      <c r="O87" s="285" t="str">
        <f>IFERROR(__xludf.DUMMYFUNCTION("""COMPUTED_VALUE"""),"fu 18 juli")</f>
        <v>fu 18 juli</v>
      </c>
      <c r="P87" s="320"/>
      <c r="R87" s="285" t="str">
        <f>IFERROR(__xludf.DUMMYFUNCTION("""COMPUTED_VALUE"""),"2606A090")</f>
        <v>2606A090</v>
      </c>
      <c r="S87" s="286">
        <f>IFERROR(__xludf.DUMMYFUNCTION("""COMPUTED_VALUE"""),46189.0)</f>
        <v>46189</v>
      </c>
      <c r="T87" s="285" t="str">
        <f>IFERROR(__xludf.DUMMYFUNCTION("""COMPUTED_VALUE"""),"Meyna")</f>
        <v>Meyna</v>
      </c>
      <c r="U87" s="285" t="str">
        <f>IFERROR(__xludf.DUMMYFUNCTION("""COMPUTED_VALUE"""),"081212488212")</f>
        <v>081212488212</v>
      </c>
      <c r="V87" s="285" t="str">
        <f>IFERROR(__xludf.DUMMYFUNCTION("""COMPUTED_VALUE"""),"Closing")</f>
        <v>Closing</v>
      </c>
      <c r="W87" s="285" t="str">
        <f>IFERROR(__xludf.DUMMYFUNCTION("""COMPUTED_VALUE"""),"priv mt")</f>
        <v>priv mt</v>
      </c>
      <c r="X87" s="287">
        <f>IFERROR(__xludf.DUMMYFUNCTION("""COMPUTED_VALUE"""),46191.0)</f>
        <v>46191</v>
      </c>
      <c r="Y87" s="285">
        <f>IFERROR(__xludf.DUMMYFUNCTION("""COMPUTED_VALUE"""),3.0)</f>
        <v>3</v>
      </c>
      <c r="Z87" s="289">
        <f>IFERROR(__xludf.DUMMYFUNCTION("""COMPUTED_VALUE"""),1830000.0)</f>
        <v>1830000</v>
      </c>
      <c r="AA87" s="285" t="str">
        <f>IFERROR(__xludf.DUMMYFUNCTION("""COMPUTED_VALUE"""),"alhamdulillah orderrrr")</f>
        <v>alhamdulillah orderrrr</v>
      </c>
      <c r="AC87" s="285" t="str">
        <f>IFERROR(__xludf.DUMMYFUNCTION("""COMPUTED_VALUE"""),"2602A033")</f>
        <v>2602A033</v>
      </c>
      <c r="AD87" s="286">
        <f>IFERROR(__xludf.DUMMYFUNCTION("""COMPUTED_VALUE"""),46070.0)</f>
        <v>46070</v>
      </c>
      <c r="AE87" s="285" t="str">
        <f>IFERROR(__xludf.DUMMYFUNCTION("""COMPUTED_VALUE"""),"sekar")</f>
        <v>sekar</v>
      </c>
      <c r="AF87" s="285" t="str">
        <f>IFERROR(__xludf.DUMMYFUNCTION("""COMPUTED_VALUE"""),"085651299413‬")</f>
        <v>085651299413‬</v>
      </c>
      <c r="AG87" s="285" t="str">
        <f>IFERROR(__xludf.DUMMYFUNCTION("""COMPUTED_VALUE"""),"Gagal")</f>
        <v>Gagal</v>
      </c>
      <c r="AH87" s="285" t="str">
        <f>IFERROR(__xludf.DUMMYFUNCTION("""COMPUTED_VALUE"""),"2H1M")</f>
        <v>2H1M</v>
      </c>
      <c r="AI87" s="287"/>
      <c r="AJ87" s="285">
        <f>IFERROR(__xludf.DUMMYFUNCTION("""COMPUTED_VALUE"""),12.0)</f>
        <v>12</v>
      </c>
      <c r="AK87" s="289">
        <f>IFERROR(__xludf.DUMMYFUNCTION("""COMPUTED_VALUE"""),1.14E7)</f>
        <v>11400000</v>
      </c>
      <c r="AL87" s="285" t="str">
        <f>IFERROR(__xludf.DUMMYFUNCTION("""COMPUTED_VALUE"""),"sudah di followup. tidak ada jawaban")</f>
        <v>sudah di followup. tidak ada jawaban</v>
      </c>
    </row>
    <row r="88">
      <c r="F88" s="285" t="str">
        <f>IFERROR(__xludf.DUMMYFUNCTION("""COMPUTED_VALUE"""),"2607A111")</f>
        <v>2607A111</v>
      </c>
      <c r="G88" s="286">
        <f>IFERROR(__xludf.DUMMYFUNCTION("""COMPUTED_VALUE"""),46220.0)</f>
        <v>46220</v>
      </c>
      <c r="H88" s="285" t="str">
        <f>IFERROR(__xludf.DUMMYFUNCTION("""COMPUTED_VALUE"""),"Aida S")</f>
        <v>Aida S</v>
      </c>
      <c r="I88" s="285" t="str">
        <f>IFERROR(__xludf.DUMMYFUNCTION("""COMPUTED_VALUE"""),"08992971712")</f>
        <v>08992971712</v>
      </c>
      <c r="J88" s="285" t="str">
        <f>IFERROR(__xludf.DUMMYFUNCTION("""COMPUTED_VALUE"""),"Leads Baru")</f>
        <v>Leads Baru</v>
      </c>
      <c r="K88" s="285" t="str">
        <f>IFERROR(__xludf.DUMMYFUNCTION("""COMPUTED_VALUE"""),"2h1m")</f>
        <v>2h1m</v>
      </c>
      <c r="L88" s="287"/>
      <c r="M88" s="285">
        <f>IFERROR(__xludf.DUMMYFUNCTION("""COMPUTED_VALUE"""),2.0)</f>
        <v>2</v>
      </c>
      <c r="N88" s="289">
        <f>IFERROR(__xludf.DUMMYFUNCTION("""COMPUTED_VALUE"""),4200000.0)</f>
        <v>4200000</v>
      </c>
      <c r="O88" s="285" t="str">
        <f>IFERROR(__xludf.DUMMYFUNCTION("""COMPUTED_VALUE"""),"fu 29 juli")</f>
        <v>fu 29 juli</v>
      </c>
      <c r="P88" s="320"/>
      <c r="R88" s="285" t="str">
        <f>IFERROR(__xludf.DUMMYFUNCTION("""COMPUTED_VALUE"""),"2606A096")</f>
        <v>2606A096</v>
      </c>
      <c r="S88" s="286">
        <f>IFERROR(__xludf.DUMMYFUNCTION("""COMPUTED_VALUE"""),46189.0)</f>
        <v>46189</v>
      </c>
      <c r="T88" s="285" t="str">
        <f>IFERROR(__xludf.DUMMYFUNCTION("""COMPUTED_VALUE"""),"Zulva")</f>
        <v>Zulva</v>
      </c>
      <c r="U88" s="285" t="str">
        <f>IFERROR(__xludf.DUMMYFUNCTION("""COMPUTED_VALUE"""),"081231922270")</f>
        <v>081231922270</v>
      </c>
      <c r="V88" s="285" t="str">
        <f>IFERROR(__xludf.DUMMYFUNCTION("""COMPUTED_VALUE"""),"Closing")</f>
        <v>Closing</v>
      </c>
      <c r="W88" s="285" t="str">
        <f>IFERROR(__xludf.DUMMYFUNCTION("""COMPUTED_VALUE"""),"2h1m")</f>
        <v>2h1m</v>
      </c>
      <c r="X88" s="287"/>
      <c r="Y88" s="285">
        <f>IFERROR(__xludf.DUMMYFUNCTION("""COMPUTED_VALUE"""),3.0)</f>
        <v>3</v>
      </c>
      <c r="Z88" s="289"/>
      <c r="AA88" s="285"/>
      <c r="AC88" s="285" t="str">
        <f>IFERROR(__xludf.DUMMYFUNCTION("""COMPUTED_VALUE"""),"2602A029")</f>
        <v>2602A029</v>
      </c>
      <c r="AD88" s="286">
        <f>IFERROR(__xludf.DUMMYFUNCTION("""COMPUTED_VALUE"""),46071.0)</f>
        <v>46071</v>
      </c>
      <c r="AE88" s="285" t="str">
        <f>IFERROR(__xludf.DUMMYFUNCTION("""COMPUTED_VALUE"""),"Neni")</f>
        <v>Neni</v>
      </c>
      <c r="AF88" s="285" t="str">
        <f>IFERROR(__xludf.DUMMYFUNCTION("""COMPUTED_VALUE"""),"081213494140‬")</f>
        <v>081213494140‬</v>
      </c>
      <c r="AG88" s="285" t="str">
        <f>IFERROR(__xludf.DUMMYFUNCTION("""COMPUTED_VALUE"""),"Gagal")</f>
        <v>Gagal</v>
      </c>
      <c r="AH88" s="285" t="str">
        <f>IFERROR(__xludf.DUMMYFUNCTION("""COMPUTED_VALUE"""),"djabal")</f>
        <v>djabal</v>
      </c>
      <c r="AI88" s="287">
        <f>IFERROR(__xludf.DUMMYFUNCTION("""COMPUTED_VALUE"""),46105.0)</f>
        <v>46105</v>
      </c>
      <c r="AJ88" s="285">
        <f>IFERROR(__xludf.DUMMYFUNCTION("""COMPUTED_VALUE"""),2.0)</f>
        <v>2</v>
      </c>
      <c r="AK88" s="289">
        <f>IFERROR(__xludf.DUMMYFUNCTION("""COMPUTED_VALUE"""),2280200.0)</f>
        <v>2280200</v>
      </c>
      <c r="AL88" s="285" t="str">
        <f>IFERROR(__xludf.DUMMYFUNCTION("""COMPUTED_VALUE"""),"lewat tanggal. tidak balas")</f>
        <v>lewat tanggal. tidak balas</v>
      </c>
    </row>
    <row r="89">
      <c r="F89" s="285" t="str">
        <f>IFERROR(__xludf.DUMMYFUNCTION("""COMPUTED_VALUE"""),"2607A112")</f>
        <v>2607A112</v>
      </c>
      <c r="G89" s="286">
        <f>IFERROR(__xludf.DUMMYFUNCTION("""COMPUTED_VALUE"""),46221.0)</f>
        <v>46221</v>
      </c>
      <c r="H89" s="285" t="str">
        <f>IFERROR(__xludf.DUMMYFUNCTION("""COMPUTED_VALUE"""),"Rahma")</f>
        <v>Rahma</v>
      </c>
      <c r="I89" s="285" t="str">
        <f>IFERROR(__xludf.DUMMYFUNCTION("""COMPUTED_VALUE"""),"082216649126")</f>
        <v>082216649126</v>
      </c>
      <c r="J89" s="285" t="str">
        <f>IFERROR(__xludf.DUMMYFUNCTION("""COMPUTED_VALUE"""),"Leads Baru")</f>
        <v>Leads Baru</v>
      </c>
      <c r="K89" s="285" t="str">
        <f>IFERROR(__xludf.DUMMYFUNCTION("""COMPUTED_VALUE"""),"ot 3h2m")</f>
        <v>ot 3h2m</v>
      </c>
      <c r="L89" s="287"/>
      <c r="M89" s="285"/>
      <c r="N89" s="289"/>
      <c r="O89" s="285"/>
      <c r="P89" s="320"/>
      <c r="R89" s="285" t="str">
        <f>IFERROR(__xludf.DUMMYFUNCTION("""COMPUTED_VALUE"""),"2606A100")</f>
        <v>2606A100</v>
      </c>
      <c r="S89" s="286">
        <f>IFERROR(__xludf.DUMMYFUNCTION("""COMPUTED_VALUE"""),46189.0)</f>
        <v>46189</v>
      </c>
      <c r="T89" s="285" t="str">
        <f>IFERROR(__xludf.DUMMYFUNCTION("""COMPUTED_VALUE"""),"Uus Ruslan Hamid")</f>
        <v>Uus Ruslan Hamid</v>
      </c>
      <c r="U89" s="285" t="str">
        <f>IFERROR(__xludf.DUMMYFUNCTION("""COMPUTED_VALUE"""),"081222477207")</f>
        <v>081222477207</v>
      </c>
      <c r="V89" s="285" t="str">
        <f>IFERROR(__xludf.DUMMYFUNCTION("""COMPUTED_VALUE"""),"Closing")</f>
        <v>Closing</v>
      </c>
      <c r="W89" s="285" t="str">
        <f>IFERROR(__xludf.DUMMYFUNCTION("""COMPUTED_VALUE"""),"2h1m")</f>
        <v>2h1m</v>
      </c>
      <c r="X89" s="287"/>
      <c r="Y89" s="285">
        <f>IFERROR(__xludf.DUMMYFUNCTION("""COMPUTED_VALUE"""),11.0)</f>
        <v>11</v>
      </c>
      <c r="Z89" s="289">
        <f>IFERROR(__xludf.DUMMYFUNCTION("""COMPUTED_VALUE"""),7480000.0)</f>
        <v>7480000</v>
      </c>
      <c r="AA89" s="285"/>
      <c r="AC89" s="285" t="str">
        <f>IFERROR(__xludf.DUMMYFUNCTION("""COMPUTED_VALUE"""),"2602A030")</f>
        <v>2602A030</v>
      </c>
      <c r="AD89" s="286">
        <f>IFERROR(__xludf.DUMMYFUNCTION("""COMPUTED_VALUE"""),46071.0)</f>
        <v>46071</v>
      </c>
      <c r="AE89" s="285" t="str">
        <f>IFERROR(__xludf.DUMMYFUNCTION("""COMPUTED_VALUE"""),"GA")</f>
        <v>GA</v>
      </c>
      <c r="AF89" s="285" t="str">
        <f>IFERROR(__xludf.DUMMYFUNCTION("""COMPUTED_VALUE"""),"087701802154‬")</f>
        <v>087701802154‬</v>
      </c>
      <c r="AG89" s="285" t="str">
        <f>IFERROR(__xludf.DUMMYFUNCTION("""COMPUTED_VALUE"""),"Gagal")</f>
        <v>Gagal</v>
      </c>
      <c r="AH89" s="285" t="str">
        <f>IFERROR(__xludf.DUMMYFUNCTION("""COMPUTED_VALUE"""),"3H2M / 4H3M")</f>
        <v>3H2M / 4H3M</v>
      </c>
      <c r="AI89" s="287"/>
      <c r="AJ89" s="285"/>
      <c r="AK89" s="289"/>
      <c r="AL89" s="285" t="str">
        <f>IFERROR(__xludf.DUMMYFUNCTION("""COMPUTED_VALUE"""),"gada bbalasan")</f>
        <v>gada bbalasan</v>
      </c>
    </row>
    <row r="90">
      <c r="F90" s="285" t="str">
        <f>IFERROR(__xludf.DUMMYFUNCTION("""COMPUTED_VALUE"""),"2607A115")</f>
        <v>2607A115</v>
      </c>
      <c r="G90" s="286">
        <f>IFERROR(__xludf.DUMMYFUNCTION("""COMPUTED_VALUE"""),46222.0)</f>
        <v>46222</v>
      </c>
      <c r="H90" s="285" t="str">
        <f>IFERROR(__xludf.DUMMYFUNCTION("""COMPUTED_VALUE"""),"Rani Advokat")</f>
        <v>Rani Advokat</v>
      </c>
      <c r="I90" s="285" t="str">
        <f>IFERROR(__xludf.DUMMYFUNCTION("""COMPUTED_VALUE"""),"082112809533")</f>
        <v>082112809533</v>
      </c>
      <c r="J90" s="285" t="str">
        <f>IFERROR(__xludf.DUMMYFUNCTION("""COMPUTED_VALUE"""),"Leads Baru")</f>
        <v>Leads Baru</v>
      </c>
      <c r="K90" s="285" t="str">
        <f>IFERROR(__xludf.DUMMYFUNCTION("""COMPUTED_VALUE"""),"one day trip")</f>
        <v>one day trip</v>
      </c>
      <c r="L90" s="287"/>
      <c r="M90" s="285">
        <f>IFERROR(__xludf.DUMMYFUNCTION("""COMPUTED_VALUE"""),4.0)</f>
        <v>4</v>
      </c>
      <c r="N90" s="289"/>
      <c r="O90" s="285" t="str">
        <f>IFERROR(__xludf.DUMMYFUNCTION("""COMPUTED_VALUE"""),"fu 30 Juli")</f>
        <v>fu 30 Juli</v>
      </c>
      <c r="P90" s="320"/>
      <c r="R90" s="285" t="str">
        <f>IFERROR(__xludf.DUMMYFUNCTION("""COMPUTED_VALUE"""),"2606A106")</f>
        <v>2606A106</v>
      </c>
      <c r="S90" s="286">
        <f>IFERROR(__xludf.DUMMYFUNCTION("""COMPUTED_VALUE"""),46188.0)</f>
        <v>46188</v>
      </c>
      <c r="T90" s="285" t="str">
        <f>IFERROR(__xludf.DUMMYFUNCTION("""COMPUTED_VALUE"""),"Sherly")</f>
        <v>Sherly</v>
      </c>
      <c r="U90" s="285" t="str">
        <f>IFERROR(__xludf.DUMMYFUNCTION("""COMPUTED_VALUE"""),"082272452929")</f>
        <v>082272452929</v>
      </c>
      <c r="V90" s="285" t="str">
        <f>IFERROR(__xludf.DUMMYFUNCTION("""COMPUTED_VALUE"""),"Closing")</f>
        <v>Closing</v>
      </c>
      <c r="W90" s="285" t="str">
        <f>IFERROR(__xludf.DUMMYFUNCTION("""COMPUTED_VALUE"""),"ot mt ")</f>
        <v>ot mt </v>
      </c>
      <c r="X90" s="287">
        <f>IFERROR(__xludf.DUMMYFUNCTION("""COMPUTED_VALUE"""),46222.0)</f>
        <v>46222</v>
      </c>
      <c r="Y90" s="285">
        <f>IFERROR(__xludf.DUMMYFUNCTION("""COMPUTED_VALUE"""),2.0)</f>
        <v>2</v>
      </c>
      <c r="Z90" s="289">
        <f>IFERROR(__xludf.DUMMYFUNCTION("""COMPUTED_VALUE"""),550000.0)</f>
        <v>550000</v>
      </c>
      <c r="AA90" s="285" t="str">
        <f>IFERROR(__xludf.DUMMYFUNCTION("""COMPUTED_VALUE"""),"alhamdulillah order")</f>
        <v>alhamdulillah order</v>
      </c>
      <c r="AC90" s="285" t="str">
        <f>IFERROR(__xludf.DUMMYFUNCTION("""COMPUTED_VALUE"""),"2602A031")</f>
        <v>2602A031</v>
      </c>
      <c r="AD90" s="286">
        <f>IFERROR(__xludf.DUMMYFUNCTION("""COMPUTED_VALUE"""),46071.0)</f>
        <v>46071</v>
      </c>
      <c r="AE90" s="285" t="str">
        <f>IFERROR(__xludf.DUMMYFUNCTION("""COMPUTED_VALUE"""),"Zavic")</f>
        <v>Zavic</v>
      </c>
      <c r="AF90" s="285" t="str">
        <f>IFERROR(__xludf.DUMMYFUNCTION("""COMPUTED_VALUE"""),"6588137243")</f>
        <v>6588137243</v>
      </c>
      <c r="AG90" s="285" t="str">
        <f>IFERROR(__xludf.DUMMYFUNCTION("""COMPUTED_VALUE"""),"Gagal")</f>
        <v>Gagal</v>
      </c>
      <c r="AH90" s="285" t="str">
        <f>IFERROR(__xludf.DUMMYFUNCTION("""COMPUTED_VALUE"""),"Trip D, B")</f>
        <v>Trip D, B</v>
      </c>
      <c r="AI90" s="287">
        <f>IFERROR(__xludf.DUMMYFUNCTION("""COMPUTED_VALUE"""),46086.0)</f>
        <v>46086</v>
      </c>
      <c r="AJ90" s="285">
        <f>IFERROR(__xludf.DUMMYFUNCTION("""COMPUTED_VALUE"""),3.0)</f>
        <v>3</v>
      </c>
      <c r="AK90" s="289"/>
      <c r="AL90" s="285" t="str">
        <f>IFERROR(__xludf.DUMMYFUNCTION("""COMPUTED_VALUE"""),"teman kendrick, pesan di trip lain")</f>
        <v>teman kendrick, pesan di trip lain</v>
      </c>
    </row>
    <row r="91">
      <c r="F91" s="285" t="str">
        <f>IFERROR(__xludf.DUMMYFUNCTION("""COMPUTED_VALUE"""),"2607A117")</f>
        <v>2607A117</v>
      </c>
      <c r="G91" s="286">
        <f>IFERROR(__xludf.DUMMYFUNCTION("""COMPUTED_VALUE"""),46222.0)</f>
        <v>46222</v>
      </c>
      <c r="H91" s="285" t="str">
        <f>IFERROR(__xludf.DUMMYFUNCTION("""COMPUTED_VALUE"""),"Naufal")</f>
        <v>Naufal</v>
      </c>
      <c r="I91" s="285" t="str">
        <f>IFERROR(__xludf.DUMMYFUNCTION("""COMPUTED_VALUE"""),"082211161338")</f>
        <v>082211161338</v>
      </c>
      <c r="J91" s="285" t="str">
        <f>IFERROR(__xludf.DUMMYFUNCTION("""COMPUTED_VALUE"""),"Leads Baru")</f>
        <v>Leads Baru</v>
      </c>
      <c r="K91" s="285"/>
      <c r="L91" s="287"/>
      <c r="M91" s="285"/>
      <c r="N91" s="289"/>
      <c r="O91" s="285" t="str">
        <f>IFERROR(__xludf.DUMMYFUNCTION("""COMPUTED_VALUE"""),"fu 16 Oktobber")</f>
        <v>fu 16 Oktobber</v>
      </c>
      <c r="P91" s="320"/>
      <c r="R91" s="285" t="str">
        <f>IFERROR(__xludf.DUMMYFUNCTION("""COMPUTED_VALUE"""),"2606A109")</f>
        <v>2606A109</v>
      </c>
      <c r="S91" s="286">
        <f>IFERROR(__xludf.DUMMYFUNCTION("""COMPUTED_VALUE"""),46191.0)</f>
        <v>46191</v>
      </c>
      <c r="T91" s="285" t="str">
        <f>IFERROR(__xludf.DUMMYFUNCTION("""COMPUTED_VALUE"""),"Daniel")</f>
        <v>Daniel</v>
      </c>
      <c r="U91" s="285" t="str">
        <f>IFERROR(__xludf.DUMMYFUNCTION("""COMPUTED_VALUE"""),"082210164678")</f>
        <v>082210164678</v>
      </c>
      <c r="V91" s="285" t="str">
        <f>IFERROR(__xludf.DUMMYFUNCTION("""COMPUTED_VALUE"""),"Closing")</f>
        <v>Closing</v>
      </c>
      <c r="W91" s="285" t="str">
        <f>IFERROR(__xludf.DUMMYFUNCTION("""COMPUTED_VALUE"""),"ot alas purwo")</f>
        <v>ot alas purwo</v>
      </c>
      <c r="X91" s="287"/>
      <c r="Y91" s="285"/>
      <c r="Z91" s="289">
        <f>IFERROR(__xludf.DUMMYFUNCTION("""COMPUTED_VALUE"""),1100000.0)</f>
        <v>1100000</v>
      </c>
      <c r="AA91" s="285" t="str">
        <f>IFERROR(__xludf.DUMMYFUNCTION("""COMPUTED_VALUE"""),"orderrr")</f>
        <v>orderrr</v>
      </c>
      <c r="AC91" s="285" t="str">
        <f>IFERROR(__xludf.DUMMYFUNCTION("""COMPUTED_VALUE"""),"2602A032")</f>
        <v>2602A032</v>
      </c>
      <c r="AD91" s="286">
        <f>IFERROR(__xludf.DUMMYFUNCTION("""COMPUTED_VALUE"""),46071.0)</f>
        <v>46071</v>
      </c>
      <c r="AE91" s="285" t="str">
        <f>IFERROR(__xludf.DUMMYFUNCTION("""COMPUTED_VALUE"""),"Kendrick")</f>
        <v>Kendrick</v>
      </c>
      <c r="AF91" s="285" t="str">
        <f>IFERROR(__xludf.DUMMYFUNCTION("""COMPUTED_VALUE"""),"6587571305")</f>
        <v>6587571305</v>
      </c>
      <c r="AG91" s="285" t="str">
        <f>IFERROR(__xludf.DUMMYFUNCTION("""COMPUTED_VALUE"""),"Gagal")</f>
        <v>Gagal</v>
      </c>
      <c r="AH91" s="285" t="str">
        <f>IFERROR(__xludf.DUMMYFUNCTION("""COMPUTED_VALUE"""),"Trip D, B")</f>
        <v>Trip D, B</v>
      </c>
      <c r="AI91" s="287">
        <f>IFERROR(__xludf.DUMMYFUNCTION("""COMPUTED_VALUE"""),46085.0)</f>
        <v>46085</v>
      </c>
      <c r="AJ91" s="285">
        <f>IFERROR(__xludf.DUMMYFUNCTION("""COMPUTED_VALUE"""),3.0)</f>
        <v>3</v>
      </c>
      <c r="AK91" s="289"/>
      <c r="AL91" s="285" t="str">
        <f>IFERROR(__xludf.DUMMYFUNCTION("""COMPUTED_VALUE"""),"pesan di trip lain")</f>
        <v>pesan di trip lain</v>
      </c>
    </row>
    <row r="92">
      <c r="F92" s="285" t="str">
        <f>IFERROR(__xludf.DUMMYFUNCTION("""COMPUTED_VALUE"""),"2607A118")</f>
        <v>2607A118</v>
      </c>
      <c r="G92" s="286">
        <f>IFERROR(__xludf.DUMMYFUNCTION("""COMPUTED_VALUE"""),46223.0)</f>
        <v>46223</v>
      </c>
      <c r="H92" s="285" t="str">
        <f>IFERROR(__xludf.DUMMYFUNCTION("""COMPUTED_VALUE"""),"Dewi")</f>
        <v>Dewi</v>
      </c>
      <c r="I92" s="285" t="str">
        <f>IFERROR(__xludf.DUMMYFUNCTION("""COMPUTED_VALUE"""),"081314046102")</f>
        <v>081314046102</v>
      </c>
      <c r="J92" s="285" t="str">
        <f>IFERROR(__xludf.DUMMYFUNCTION("""COMPUTED_VALUE"""),"Leads Baru")</f>
        <v>Leads Baru</v>
      </c>
      <c r="K92" s="285" t="str">
        <f>IFERROR(__xludf.DUMMYFUNCTION("""COMPUTED_VALUE"""),"ot 3h2m")</f>
        <v>ot 3h2m</v>
      </c>
      <c r="L92" s="287"/>
      <c r="M92" s="285">
        <f>IFERROR(__xludf.DUMMYFUNCTION("""COMPUTED_VALUE"""),2.0)</f>
        <v>2</v>
      </c>
      <c r="N92" s="289"/>
      <c r="O92" s="285"/>
      <c r="P92" s="320"/>
      <c r="R92" s="285" t="str">
        <f>IFERROR(__xludf.DUMMYFUNCTION("""COMPUTED_VALUE"""),"2606A119")</f>
        <v>2606A119</v>
      </c>
      <c r="S92" s="286">
        <f>IFERROR(__xludf.DUMMYFUNCTION("""COMPUTED_VALUE"""),46193.0)</f>
        <v>46193</v>
      </c>
      <c r="T92" s="285" t="str">
        <f>IFERROR(__xludf.DUMMYFUNCTION("""COMPUTED_VALUE"""),"Tazkia Fitri N")</f>
        <v>Tazkia Fitri N</v>
      </c>
      <c r="U92" s="285" t="str">
        <f>IFERROR(__xludf.DUMMYFUNCTION("""COMPUTED_VALUE"""),"082132383408")</f>
        <v>082132383408</v>
      </c>
      <c r="V92" s="285" t="str">
        <f>IFERROR(__xludf.DUMMYFUNCTION("""COMPUTED_VALUE"""),"Closing")</f>
        <v>Closing</v>
      </c>
      <c r="W92" s="285" t="str">
        <f>IFERROR(__xludf.DUMMYFUNCTION("""COMPUTED_VALUE"""),"ot menjangan tabuhan")</f>
        <v>ot menjangan tabuhan</v>
      </c>
      <c r="X92" s="287">
        <f>IFERROR(__xludf.DUMMYFUNCTION("""COMPUTED_VALUE"""),46200.0)</f>
        <v>46200</v>
      </c>
      <c r="Y92" s="285">
        <f>IFERROR(__xludf.DUMMYFUNCTION("""COMPUTED_VALUE"""),2.0)</f>
        <v>2</v>
      </c>
      <c r="Z92" s="289"/>
      <c r="AA92" s="285"/>
      <c r="AC92" s="285" t="str">
        <f>IFERROR(__xludf.DUMMYFUNCTION("""COMPUTED_VALUE"""),"2602A034")</f>
        <v>2602A034</v>
      </c>
      <c r="AD92" s="286">
        <f>IFERROR(__xludf.DUMMYFUNCTION("""COMPUTED_VALUE"""),46072.0)</f>
        <v>46072</v>
      </c>
      <c r="AE92" s="285" t="str">
        <f>IFERROR(__xludf.DUMMYFUNCTION("""COMPUTED_VALUE"""),"Saktia")</f>
        <v>Saktia</v>
      </c>
      <c r="AF92" s="285" t="str">
        <f>IFERROR(__xludf.DUMMYFUNCTION("""COMPUTED_VALUE"""),"083840449658")</f>
        <v>083840449658</v>
      </c>
      <c r="AG92" s="285" t="str">
        <f>IFERROR(__xludf.DUMMYFUNCTION("""COMPUTED_VALUE"""),"Gagal")</f>
        <v>Gagal</v>
      </c>
      <c r="AH92" s="285"/>
      <c r="AI92" s="287"/>
      <c r="AJ92" s="285"/>
      <c r="AK92" s="289"/>
      <c r="AL92" s="285" t="str">
        <f>IFERROR(__xludf.DUMMYFUNCTION("""COMPUTED_VALUE"""),"hanya menyapa")</f>
        <v>hanya menyapa</v>
      </c>
    </row>
    <row r="93">
      <c r="F93" s="285" t="str">
        <f>IFERROR(__xludf.DUMMYFUNCTION("""COMPUTED_VALUE"""),"2607A121")</f>
        <v>2607A121</v>
      </c>
      <c r="G93" s="286">
        <f>IFERROR(__xludf.DUMMYFUNCTION("""COMPUTED_VALUE"""),46223.0)</f>
        <v>46223</v>
      </c>
      <c r="H93" s="285" t="str">
        <f>IFERROR(__xludf.DUMMYFUNCTION("""COMPUTED_VALUE"""),"Elsa")</f>
        <v>Elsa</v>
      </c>
      <c r="I93" s="285" t="str">
        <f>IFERROR(__xludf.DUMMYFUNCTION("""COMPUTED_VALUE"""),"087888218814")</f>
        <v>087888218814</v>
      </c>
      <c r="J93" s="285" t="str">
        <f>IFERROR(__xludf.DUMMYFUNCTION("""COMPUTED_VALUE"""),"Leads Baru")</f>
        <v>Leads Baru</v>
      </c>
      <c r="K93" s="285" t="str">
        <f>IFERROR(__xludf.DUMMYFUNCTION("""COMPUTED_VALUE"""),"2h1m opsi b")</f>
        <v>2h1m opsi b</v>
      </c>
      <c r="L93" s="287"/>
      <c r="M93" s="285">
        <f>IFERROR(__xludf.DUMMYFUNCTION("""COMPUTED_VALUE"""),2.0)</f>
        <v>2</v>
      </c>
      <c r="N93" s="289">
        <f>IFERROR(__xludf.DUMMYFUNCTION("""COMPUTED_VALUE"""),6128000.0)</f>
        <v>6128000</v>
      </c>
      <c r="O93" s="285" t="str">
        <f>IFERROR(__xludf.DUMMYFUNCTION("""COMPUTED_VALUE"""),"fu 28 juli")</f>
        <v>fu 28 juli</v>
      </c>
      <c r="P93" s="320"/>
      <c r="R93" s="285" t="str">
        <f>IFERROR(__xludf.DUMMYFUNCTION("""COMPUTED_VALUE"""),"2606A120")</f>
        <v>2606A120</v>
      </c>
      <c r="S93" s="286">
        <f>IFERROR(__xludf.DUMMYFUNCTION("""COMPUTED_VALUE"""),46193.0)</f>
        <v>46193</v>
      </c>
      <c r="T93" s="285" t="str">
        <f>IFERROR(__xludf.DUMMYFUNCTION("""COMPUTED_VALUE"""),"Enni Riyana")</f>
        <v>Enni Riyana</v>
      </c>
      <c r="U93" s="285" t="str">
        <f>IFERROR(__xludf.DUMMYFUNCTION("""COMPUTED_VALUE"""),"081233717129")</f>
        <v>081233717129</v>
      </c>
      <c r="V93" s="285" t="str">
        <f>IFERROR(__xludf.DUMMYFUNCTION("""COMPUTED_VALUE"""),"Closing")</f>
        <v>Closing</v>
      </c>
      <c r="W93" s="285"/>
      <c r="X93" s="287"/>
      <c r="Y93" s="285"/>
      <c r="Z93" s="289"/>
      <c r="AA93" s="285"/>
      <c r="AC93" s="285" t="str">
        <f>IFERROR(__xludf.DUMMYFUNCTION("""COMPUTED_VALUE"""),"2602A036")</f>
        <v>2602A036</v>
      </c>
      <c r="AD93" s="286">
        <f>IFERROR(__xludf.DUMMYFUNCTION("""COMPUTED_VALUE"""),46072.0)</f>
        <v>46072</v>
      </c>
      <c r="AE93" s="285" t="str">
        <f>IFERROR(__xludf.DUMMYFUNCTION("""COMPUTED_VALUE"""),"salsabila")</f>
        <v>salsabila</v>
      </c>
      <c r="AF93" s="285" t="str">
        <f>IFERROR(__xludf.DUMMYFUNCTION("""COMPUTED_VALUE"""),"081357790927‬")</f>
        <v>081357790927‬</v>
      </c>
      <c r="AG93" s="285" t="str">
        <f>IFERROR(__xludf.DUMMYFUNCTION("""COMPUTED_VALUE"""),"Gagal")</f>
        <v>Gagal</v>
      </c>
      <c r="AH93" s="285" t="str">
        <f>IFERROR(__xludf.DUMMYFUNCTION("""COMPUTED_VALUE"""),"2H1M")</f>
        <v>2H1M</v>
      </c>
      <c r="AI93" s="287"/>
      <c r="AJ93" s="285">
        <f>IFERROR(__xludf.DUMMYFUNCTION("""COMPUTED_VALUE"""),46115.0)</f>
        <v>46115</v>
      </c>
      <c r="AK93" s="289">
        <f>IFERROR(__xludf.DUMMYFUNCTION("""COMPUTED_VALUE"""),5400000.0)</f>
        <v>5400000</v>
      </c>
      <c r="AL93" s="285" t="str">
        <f>IFERROR(__xludf.DUMMYFUNCTION("""COMPUTED_VALUE"""),"tidak ada balasan lagi")</f>
        <v>tidak ada balasan lagi</v>
      </c>
    </row>
    <row r="94">
      <c r="F94" s="285" t="str">
        <f>IFERROR(__xludf.DUMMYFUNCTION("""COMPUTED_VALUE"""),"2607A123")</f>
        <v>2607A123</v>
      </c>
      <c r="G94" s="286">
        <f>IFERROR(__xludf.DUMMYFUNCTION("""COMPUTED_VALUE"""),46224.0)</f>
        <v>46224</v>
      </c>
      <c r="H94" s="285" t="str">
        <f>IFERROR(__xludf.DUMMYFUNCTION("""COMPUTED_VALUE"""),"Ria")</f>
        <v>Ria</v>
      </c>
      <c r="I94" s="285" t="str">
        <f>IFERROR(__xludf.DUMMYFUNCTION("""COMPUTED_VALUE"""),"089690908261")</f>
        <v>089690908261</v>
      </c>
      <c r="J94" s="285" t="str">
        <f>IFERROR(__xludf.DUMMYFUNCTION("""COMPUTED_VALUE"""),"Leads Baru")</f>
        <v>Leads Baru</v>
      </c>
      <c r="K94" s="285" t="str">
        <f>IFERROR(__xludf.DUMMYFUNCTION("""COMPUTED_VALUE"""),"1 day baluran")</f>
        <v>1 day baluran</v>
      </c>
      <c r="L94" s="287"/>
      <c r="M94" s="285">
        <f>IFERROR(__xludf.DUMMYFUNCTION("""COMPUTED_VALUE"""),2.0)</f>
        <v>2</v>
      </c>
      <c r="N94" s="289"/>
      <c r="O94" s="285" t="str">
        <f>IFERROR(__xludf.DUMMYFUNCTION("""COMPUTED_VALUE"""),"fu 27 juli")</f>
        <v>fu 27 juli</v>
      </c>
      <c r="P94" s="320"/>
      <c r="R94" s="285" t="str">
        <f>IFERROR(__xludf.DUMMYFUNCTION("""COMPUTED_VALUE"""),"2606A124")</f>
        <v>2606A124</v>
      </c>
      <c r="S94" s="286">
        <f>IFERROR(__xludf.DUMMYFUNCTION("""COMPUTED_VALUE"""),46194.0)</f>
        <v>46194</v>
      </c>
      <c r="T94" s="285" t="str">
        <f>IFERROR(__xludf.DUMMYFUNCTION("""COMPUTED_VALUE"""),"Restika Andiarini")</f>
        <v>Restika Andiarini</v>
      </c>
      <c r="U94" s="285" t="str">
        <f>IFERROR(__xludf.DUMMYFUNCTION("""COMPUTED_VALUE"""),"081312959028")</f>
        <v>081312959028</v>
      </c>
      <c r="V94" s="285" t="str">
        <f>IFERROR(__xludf.DUMMYFUNCTION("""COMPUTED_VALUE"""),"Closing")</f>
        <v>Closing</v>
      </c>
      <c r="W94" s="285" t="str">
        <f>IFERROR(__xludf.DUMMYFUNCTION("""COMPUTED_VALUE"""),"2h1m")</f>
        <v>2h1m</v>
      </c>
      <c r="X94" s="287"/>
      <c r="Y94" s="285">
        <f>IFERROR(__xludf.DUMMYFUNCTION("""COMPUTED_VALUE"""),4.0)</f>
        <v>4</v>
      </c>
      <c r="Z94" s="289">
        <f>IFERROR(__xludf.DUMMYFUNCTION("""COMPUTED_VALUE"""),4200000.0)</f>
        <v>4200000</v>
      </c>
      <c r="AA94" s="285" t="str">
        <f>IFERROR(__xludf.DUMMYFUNCTION("""COMPUTED_VALUE"""),"alhamdulillah closig")</f>
        <v>alhamdulillah closig</v>
      </c>
      <c r="AC94" s="285" t="str">
        <f>IFERROR(__xludf.DUMMYFUNCTION("""COMPUTED_VALUE"""),"2602A038")</f>
        <v>2602A038</v>
      </c>
      <c r="AD94" s="286">
        <f>IFERROR(__xludf.DUMMYFUNCTION("""COMPUTED_VALUE"""),46074.0)</f>
        <v>46074</v>
      </c>
      <c r="AE94" s="285" t="str">
        <f>IFERROR(__xludf.DUMMYFUNCTION("""COMPUTED_VALUE"""),"Dewi ")</f>
        <v>Dewi </v>
      </c>
      <c r="AF94" s="285" t="str">
        <f>IFERROR(__xludf.DUMMYFUNCTION("""COMPUTED_VALUE"""),"085217294719")</f>
        <v>085217294719</v>
      </c>
      <c r="AG94" s="285" t="str">
        <f>IFERROR(__xludf.DUMMYFUNCTION("""COMPUTED_VALUE"""),"Gagal")</f>
        <v>Gagal</v>
      </c>
      <c r="AH94" s="285" t="str">
        <f>IFERROR(__xludf.DUMMYFUNCTION("""COMPUTED_VALUE"""),"3H2M A")</f>
        <v>3H2M A</v>
      </c>
      <c r="AI94" s="287"/>
      <c r="AJ94" s="285">
        <f>IFERROR(__xludf.DUMMYFUNCTION("""COMPUTED_VALUE"""),2.0)</f>
        <v>2</v>
      </c>
      <c r="AK94" s="289">
        <f>IFERROR(__xludf.DUMMYFUNCTION("""COMPUTED_VALUE"""),7194000.0)</f>
        <v>7194000</v>
      </c>
      <c r="AL94" s="285" t="str">
        <f>IFERROR(__xludf.DUMMYFUNCTION("""COMPUTED_VALUE"""),"cancel")</f>
        <v>cancel</v>
      </c>
    </row>
    <row r="95">
      <c r="F95" s="285" t="str">
        <f>IFERROR(__xludf.DUMMYFUNCTION("""COMPUTED_VALUE"""),"2607A126")</f>
        <v>2607A126</v>
      </c>
      <c r="G95" s="286">
        <f>IFERROR(__xludf.DUMMYFUNCTION("""COMPUTED_VALUE"""),46226.0)</f>
        <v>46226</v>
      </c>
      <c r="H95" s="285" t="str">
        <f>IFERROR(__xludf.DUMMYFUNCTION("""COMPUTED_VALUE"""),"Iqbal")</f>
        <v>Iqbal</v>
      </c>
      <c r="I95" s="285" t="str">
        <f>IFERROR(__xludf.DUMMYFUNCTION("""COMPUTED_VALUE"""),"085191202656")</f>
        <v>085191202656</v>
      </c>
      <c r="J95" s="285" t="str">
        <f>IFERROR(__xludf.DUMMYFUNCTION("""COMPUTED_VALUE"""),"Leads Baru")</f>
        <v>Leads Baru</v>
      </c>
      <c r="K95" s="285" t="str">
        <f>IFERROR(__xludf.DUMMYFUNCTION("""COMPUTED_VALUE"""),"private trip menjangan tabuhan")</f>
        <v>private trip menjangan tabuhan</v>
      </c>
      <c r="L95" s="287"/>
      <c r="M95" s="285">
        <f>IFERROR(__xludf.DUMMYFUNCTION("""COMPUTED_VALUE"""),2.0)</f>
        <v>2</v>
      </c>
      <c r="N95" s="289">
        <f>IFERROR(__xludf.DUMMYFUNCTION("""COMPUTED_VALUE"""),1700000.0)</f>
        <v>1700000</v>
      </c>
      <c r="O95" s="285" t="str">
        <f>IFERROR(__xludf.DUMMYFUNCTION("""COMPUTED_VALUE"""),"fu 28 Juli")</f>
        <v>fu 28 Juli</v>
      </c>
      <c r="P95" s="320"/>
      <c r="R95" s="285" t="str">
        <f>IFERROR(__xludf.DUMMYFUNCTION("""COMPUTED_VALUE"""),"2606A134")</f>
        <v>2606A134</v>
      </c>
      <c r="S95" s="286">
        <f>IFERROR(__xludf.DUMMYFUNCTION("""COMPUTED_VALUE"""),46197.0)</f>
        <v>46197</v>
      </c>
      <c r="T95" s="285" t="str">
        <f>IFERROR(__xludf.DUMMYFUNCTION("""COMPUTED_VALUE"""),"Tasya")</f>
        <v>Tasya</v>
      </c>
      <c r="U95" s="285" t="str">
        <f>IFERROR(__xludf.DUMMYFUNCTION("""COMPUTED_VALUE"""),"085313264911")</f>
        <v>085313264911</v>
      </c>
      <c r="V95" s="285" t="str">
        <f>IFERROR(__xludf.DUMMYFUNCTION("""COMPUTED_VALUE"""),"Closing")</f>
        <v>Closing</v>
      </c>
      <c r="W95" s="285" t="str">
        <f>IFERROR(__xludf.DUMMYFUNCTION("""COMPUTED_VALUE"""),"ot mt")</f>
        <v>ot mt</v>
      </c>
      <c r="X95" s="287">
        <f>IFERROR(__xludf.DUMMYFUNCTION("""COMPUTED_VALUE"""),46198.0)</f>
        <v>46198</v>
      </c>
      <c r="Y95" s="285">
        <f>IFERROR(__xludf.DUMMYFUNCTION("""COMPUTED_VALUE"""),4.0)</f>
        <v>4</v>
      </c>
      <c r="Z95" s="289">
        <f>IFERROR(__xludf.DUMMYFUNCTION("""COMPUTED_VALUE"""),1600000.0)</f>
        <v>1600000</v>
      </c>
      <c r="AA95" s="285" t="str">
        <f>IFERROR(__xludf.DUMMYFUNCTION("""COMPUTED_VALUE"""),"alhamdulillah closing")</f>
        <v>alhamdulillah closing</v>
      </c>
      <c r="AC95" s="285" t="str">
        <f>IFERROR(__xludf.DUMMYFUNCTION("""COMPUTED_VALUE"""),"2602A039")</f>
        <v>2602A039</v>
      </c>
      <c r="AD95" s="286">
        <f>IFERROR(__xludf.DUMMYFUNCTION("""COMPUTED_VALUE"""),46074.0)</f>
        <v>46074</v>
      </c>
      <c r="AE95" s="285" t="str">
        <f>IFERROR(__xludf.DUMMYFUNCTION("""COMPUTED_VALUE"""),"Eren")</f>
        <v>Eren</v>
      </c>
      <c r="AF95" s="285" t="str">
        <f>IFERROR(__xludf.DUMMYFUNCTION("""COMPUTED_VALUE"""),"085171061151")</f>
        <v>085171061151</v>
      </c>
      <c r="AG95" s="285" t="str">
        <f>IFERROR(__xludf.DUMMYFUNCTION("""COMPUTED_VALUE"""),"Gagal")</f>
        <v>Gagal</v>
      </c>
      <c r="AH95" s="285"/>
      <c r="AI95" s="287"/>
      <c r="AJ95" s="285"/>
      <c r="AK95" s="289"/>
      <c r="AL95" s="285" t="str">
        <f>IFERROR(__xludf.DUMMYFUNCTION("""COMPUTED_VALUE"""),"hanya menyapa")</f>
        <v>hanya menyapa</v>
      </c>
    </row>
    <row r="96">
      <c r="F96" s="285" t="str">
        <f>IFERROR(__xludf.DUMMYFUNCTION("""COMPUTED_VALUE"""),"2607A128")</f>
        <v>2607A128</v>
      </c>
      <c r="G96" s="286">
        <f>IFERROR(__xludf.DUMMYFUNCTION("""COMPUTED_VALUE"""),46225.0)</f>
        <v>46225</v>
      </c>
      <c r="H96" s="285" t="str">
        <f>IFERROR(__xludf.DUMMYFUNCTION("""COMPUTED_VALUE"""),"Rihma")</f>
        <v>Rihma</v>
      </c>
      <c r="I96" s="285" t="str">
        <f>IFERROR(__xludf.DUMMYFUNCTION("""COMPUTED_VALUE"""),"087873048893")</f>
        <v>087873048893</v>
      </c>
      <c r="J96" s="285" t="str">
        <f>IFERROR(__xludf.DUMMYFUNCTION("""COMPUTED_VALUE"""),"Leads Baru")</f>
        <v>Leads Baru</v>
      </c>
      <c r="K96" s="285" t="str">
        <f>IFERROR(__xludf.DUMMYFUNCTION("""COMPUTED_VALUE"""),"djawatan baluran")</f>
        <v>djawatan baluran</v>
      </c>
      <c r="L96" s="287">
        <f>IFERROR(__xludf.DUMMYFUNCTION("""COMPUTED_VALUE"""),46254.0)</f>
        <v>46254</v>
      </c>
      <c r="M96" s="285">
        <f>IFERROR(__xludf.DUMMYFUNCTION("""COMPUTED_VALUE"""),2.0)</f>
        <v>2</v>
      </c>
      <c r="N96" s="289"/>
      <c r="O96" s="285"/>
      <c r="P96" s="320"/>
      <c r="R96" s="285" t="str">
        <f>IFERROR(__xludf.DUMMYFUNCTION("""COMPUTED_VALUE"""),"2606A135")</f>
        <v>2606A135</v>
      </c>
      <c r="S96" s="286">
        <f>IFERROR(__xludf.DUMMYFUNCTION("""COMPUTED_VALUE"""),46197.0)</f>
        <v>46197</v>
      </c>
      <c r="T96" s="285" t="str">
        <f>IFERROR(__xludf.DUMMYFUNCTION("""COMPUTED_VALUE"""),"Silvia Fraixedas")</f>
        <v>Silvia Fraixedas</v>
      </c>
      <c r="U96" s="285" t="str">
        <f>IFERROR(__xludf.DUMMYFUNCTION("""COMPUTED_VALUE"""),"34690823148")</f>
        <v>34690823148</v>
      </c>
      <c r="V96" s="285" t="str">
        <f>IFERROR(__xludf.DUMMYFUNCTION("""COMPUTED_VALUE"""),"Closing")</f>
        <v>Closing</v>
      </c>
      <c r="W96" s="285" t="str">
        <f>IFERROR(__xludf.DUMMYFUNCTION("""COMPUTED_VALUE"""),"ot baluran dan alas purwo")</f>
        <v>ot baluran dan alas purwo</v>
      </c>
      <c r="X96" s="287"/>
      <c r="Y96" s="285">
        <f>IFERROR(__xludf.DUMMYFUNCTION("""COMPUTED_VALUE"""),1.0)</f>
        <v>1</v>
      </c>
      <c r="Z96" s="289">
        <f>IFERROR(__xludf.DUMMYFUNCTION("""COMPUTED_VALUE"""),1450000.0)</f>
        <v>1450000</v>
      </c>
      <c r="AA96" s="285" t="str">
        <f>IFERROR(__xludf.DUMMYFUNCTION("""COMPUTED_VALUE"""),"alhamdulillah closing")</f>
        <v>alhamdulillah closing</v>
      </c>
      <c r="AC96" s="285" t="str">
        <f>IFERROR(__xludf.DUMMYFUNCTION("""COMPUTED_VALUE"""),"2602A040")</f>
        <v>2602A040</v>
      </c>
      <c r="AD96" s="286">
        <f>IFERROR(__xludf.DUMMYFUNCTION("""COMPUTED_VALUE"""),46075.0)</f>
        <v>46075</v>
      </c>
      <c r="AE96" s="285" t="str">
        <f>IFERROR(__xludf.DUMMYFUNCTION("""COMPUTED_VALUE"""),"isti")</f>
        <v>isti</v>
      </c>
      <c r="AF96" s="285" t="str">
        <f>IFERROR(__xludf.DUMMYFUNCTION("""COMPUTED_VALUE"""),"08123019533")</f>
        <v>08123019533</v>
      </c>
      <c r="AG96" s="285" t="str">
        <f>IFERROR(__xludf.DUMMYFUNCTION("""COMPUTED_VALUE"""),"Gagal")</f>
        <v>Gagal</v>
      </c>
      <c r="AH96" s="285" t="str">
        <f>IFERROR(__xludf.DUMMYFUNCTION("""COMPUTED_VALUE"""),"2H1M C")</f>
        <v>2H1M C</v>
      </c>
      <c r="AI96" s="287">
        <f>IFERROR(__xludf.DUMMYFUNCTION("""COMPUTED_VALUE"""),46103.0)</f>
        <v>46103</v>
      </c>
      <c r="AJ96" s="285">
        <f>IFERROR(__xludf.DUMMYFUNCTION("""COMPUTED_VALUE"""),15.0)</f>
        <v>15</v>
      </c>
      <c r="AK96" s="289">
        <f>IFERROR(__xludf.DUMMYFUNCTION("""COMPUTED_VALUE"""),1.245E7)</f>
        <v>12450000</v>
      </c>
      <c r="AL96" s="285" t="str">
        <f>IFERROR(__xludf.DUMMYFUNCTION("""COMPUTED_VALUE"""),"buat penawaran")</f>
        <v>buat penawaran</v>
      </c>
    </row>
    <row r="97">
      <c r="F97" s="285" t="str">
        <f>IFERROR(__xludf.DUMMYFUNCTION("""COMPUTED_VALUE"""),"2607A132")</f>
        <v>2607A132</v>
      </c>
      <c r="G97" s="286">
        <f>IFERROR(__xludf.DUMMYFUNCTION("""COMPUTED_VALUE"""),46215.0)</f>
        <v>46215</v>
      </c>
      <c r="H97" s="285" t="str">
        <f>IFERROR(__xludf.DUMMYFUNCTION("""COMPUTED_VALUE"""),"Susan")</f>
        <v>Susan</v>
      </c>
      <c r="I97" s="285" t="str">
        <f>IFERROR(__xludf.DUMMYFUNCTION("""COMPUTED_VALUE"""),"081211966196")</f>
        <v>081211966196</v>
      </c>
      <c r="J97" s="285" t="str">
        <f>IFERROR(__xludf.DUMMYFUNCTION("""COMPUTED_VALUE"""),"Leads Baru")</f>
        <v>Leads Baru</v>
      </c>
      <c r="K97" s="285" t="str">
        <f>IFERROR(__xludf.DUMMYFUNCTION("""COMPUTED_VALUE"""),"3H2M")</f>
        <v>3H2M</v>
      </c>
      <c r="L97" s="287"/>
      <c r="M97" s="285"/>
      <c r="N97" s="289"/>
      <c r="O97" s="285" t="str">
        <f>IFERROR(__xludf.DUMMYFUNCTION("""COMPUTED_VALUE"""),"fu 30 juli")</f>
        <v>fu 30 juli</v>
      </c>
      <c r="P97" s="320"/>
      <c r="R97" s="285" t="str">
        <f>IFERROR(__xludf.DUMMYFUNCTION("""COMPUTED_VALUE"""),"2606A154")</f>
        <v>2606A154</v>
      </c>
      <c r="S97" s="286">
        <f>IFERROR(__xludf.DUMMYFUNCTION("""COMPUTED_VALUE"""),46199.0)</f>
        <v>46199</v>
      </c>
      <c r="T97" s="285" t="str">
        <f>IFERROR(__xludf.DUMMYFUNCTION("""COMPUTED_VALUE"""),"Ika Damajanti")</f>
        <v>Ika Damajanti</v>
      </c>
      <c r="U97" s="285" t="str">
        <f>IFERROR(__xludf.DUMMYFUNCTION("""COMPUTED_VALUE"""),"081949691117")</f>
        <v>081949691117</v>
      </c>
      <c r="V97" s="285" t="str">
        <f>IFERROR(__xludf.DUMMYFUNCTION("""COMPUTED_VALUE"""),"Closing")</f>
        <v>Closing</v>
      </c>
      <c r="W97" s="285" t="str">
        <f>IFERROR(__xludf.DUMMYFUNCTION("""COMPUTED_VALUE"""),"3h2m")</f>
        <v>3h2m</v>
      </c>
      <c r="X97" s="287">
        <f>IFERROR(__xludf.DUMMYFUNCTION("""COMPUTED_VALUE"""),46215.0)</f>
        <v>46215</v>
      </c>
      <c r="Y97" s="285">
        <f>IFERROR(__xludf.DUMMYFUNCTION("""COMPUTED_VALUE"""),3.0)</f>
        <v>3</v>
      </c>
      <c r="Z97" s="289"/>
      <c r="AA97" s="285" t="str">
        <f>IFERROR(__xludf.DUMMYFUNCTION("""COMPUTED_VALUE"""),"alhamdulillah")</f>
        <v>alhamdulillah</v>
      </c>
      <c r="AC97" s="285" t="str">
        <f>IFERROR(__xludf.DUMMYFUNCTION("""COMPUTED_VALUE"""),"2602A041")</f>
        <v>2602A041</v>
      </c>
      <c r="AD97" s="286">
        <f>IFERROR(__xludf.DUMMYFUNCTION("""COMPUTED_VALUE"""),46075.0)</f>
        <v>46075</v>
      </c>
      <c r="AE97" s="285" t="str">
        <f>IFERROR(__xludf.DUMMYFUNCTION("""COMPUTED_VALUE"""),"Wadihah")</f>
        <v>Wadihah</v>
      </c>
      <c r="AF97" s="285" t="str">
        <f>IFERROR(__xludf.DUMMYFUNCTION("""COMPUTED_VALUE"""),"60175756486")</f>
        <v>60175756486</v>
      </c>
      <c r="AG97" s="285" t="str">
        <f>IFERROR(__xludf.DUMMYFUNCTION("""COMPUTED_VALUE"""),"Gagal")</f>
        <v>Gagal</v>
      </c>
      <c r="AH97" s="285" t="str">
        <f>IFERROR(__xludf.DUMMYFUNCTION("""COMPUTED_VALUE"""),"4H3M")</f>
        <v>4H3M</v>
      </c>
      <c r="AI97" s="287"/>
      <c r="AJ97" s="285">
        <f>IFERROR(__xludf.DUMMYFUNCTION("""COMPUTED_VALUE"""),3.0)</f>
        <v>3</v>
      </c>
      <c r="AK97" s="289"/>
      <c r="AL97" s="285"/>
    </row>
    <row r="98">
      <c r="F98" s="285" t="str">
        <f>IFERROR(__xludf.DUMMYFUNCTION("""COMPUTED_VALUE"""),"2607A134")</f>
        <v>2607A134</v>
      </c>
      <c r="G98" s="286">
        <f>IFERROR(__xludf.DUMMYFUNCTION("""COMPUTED_VALUE"""),46227.0)</f>
        <v>46227</v>
      </c>
      <c r="H98" s="285" t="str">
        <f>IFERROR(__xludf.DUMMYFUNCTION("""COMPUTED_VALUE"""),"Astuti Istiningsih")</f>
        <v>Astuti Istiningsih</v>
      </c>
      <c r="I98" s="285" t="str">
        <f>IFERROR(__xludf.DUMMYFUNCTION("""COMPUTED_VALUE"""),"085865549483")</f>
        <v>085865549483</v>
      </c>
      <c r="J98" s="285" t="str">
        <f>IFERROR(__xludf.DUMMYFUNCTION("""COMPUTED_VALUE"""),"Leads Baru")</f>
        <v>Leads Baru</v>
      </c>
      <c r="K98" s="285" t="str">
        <f>IFERROR(__xludf.DUMMYFUNCTION("""COMPUTED_VALUE"""),"2H1M ")</f>
        <v>2H1M </v>
      </c>
      <c r="L98" s="287"/>
      <c r="M98" s="285"/>
      <c r="N98" s="289"/>
      <c r="O98" s="285"/>
      <c r="P98" s="320"/>
      <c r="R98" s="285" t="str">
        <f>IFERROR(__xludf.DUMMYFUNCTION("""COMPUTED_VALUE"""),"2606A166")</f>
        <v>2606A166</v>
      </c>
      <c r="S98" s="286">
        <f>IFERROR(__xludf.DUMMYFUNCTION("""COMPUTED_VALUE"""),46201.0)</f>
        <v>46201</v>
      </c>
      <c r="T98" s="285" t="str">
        <f>IFERROR(__xludf.DUMMYFUNCTION("""COMPUTED_VALUE"""),"Ananda Budimulia")</f>
        <v>Ananda Budimulia</v>
      </c>
      <c r="U98" s="285" t="str">
        <f>IFERROR(__xludf.DUMMYFUNCTION("""COMPUTED_VALUE"""),"0811179656")</f>
        <v>0811179656</v>
      </c>
      <c r="V98" s="285" t="str">
        <f>IFERROR(__xludf.DUMMYFUNCTION("""COMPUTED_VALUE"""),"Closing")</f>
        <v>Closing</v>
      </c>
      <c r="W98" s="285" t="str">
        <f>IFERROR(__xludf.DUMMYFUNCTION("""COMPUTED_VALUE"""),"private trip menjangan tabuhan")</f>
        <v>private trip menjangan tabuhan</v>
      </c>
      <c r="X98" s="287">
        <f>IFERROR(__xludf.DUMMYFUNCTION("""COMPUTED_VALUE"""),46202.0)</f>
        <v>46202</v>
      </c>
      <c r="Y98" s="285">
        <f>IFERROR(__xludf.DUMMYFUNCTION("""COMPUTED_VALUE"""),5.0)</f>
        <v>5</v>
      </c>
      <c r="Z98" s="289">
        <f>IFERROR(__xludf.DUMMYFUNCTION("""COMPUTED_VALUE"""),2300000.0)</f>
        <v>2300000</v>
      </c>
      <c r="AA98" s="285"/>
      <c r="AC98" s="285" t="str">
        <f>IFERROR(__xludf.DUMMYFUNCTION("""COMPUTED_VALUE"""),"2602A042")</f>
        <v>2602A042</v>
      </c>
      <c r="AD98" s="286">
        <f>IFERROR(__xludf.DUMMYFUNCTION("""COMPUTED_VALUE"""),46075.0)</f>
        <v>46075</v>
      </c>
      <c r="AE98" s="285" t="str">
        <f>IFERROR(__xludf.DUMMYFUNCTION("""COMPUTED_VALUE"""),"Alfiani")</f>
        <v>Alfiani</v>
      </c>
      <c r="AF98" s="285" t="str">
        <f>IFERROR(__xludf.DUMMYFUNCTION("""COMPUTED_VALUE"""),"085183014626")</f>
        <v>085183014626</v>
      </c>
      <c r="AG98" s="285" t="str">
        <f>IFERROR(__xludf.DUMMYFUNCTION("""COMPUTED_VALUE"""),"Gagal")</f>
        <v>Gagal</v>
      </c>
      <c r="AH98" s="285" t="str">
        <f>IFERROR(__xludf.DUMMYFUNCTION("""COMPUTED_VALUE"""),"OT B")</f>
        <v>OT B</v>
      </c>
      <c r="AI98" s="287">
        <f>IFERROR(__xludf.DUMMYFUNCTION("""COMPUTED_VALUE"""),46143.0)</f>
        <v>46143</v>
      </c>
      <c r="AJ98" s="285">
        <f>IFERROR(__xludf.DUMMYFUNCTION("""COMPUTED_VALUE"""),1.0)</f>
        <v>1</v>
      </c>
      <c r="AK98" s="289"/>
      <c r="AL98" s="285" t="str">
        <f>IFERROR(__xludf.DUMMYFUNCTION("""COMPUTED_VALUE"""),"tidak ada jawaban, lewat tanggal")</f>
        <v>tidak ada jawaban, lewat tanggal</v>
      </c>
    </row>
    <row r="99">
      <c r="F99" s="285" t="str">
        <f>IFERROR(__xludf.DUMMYFUNCTION("""COMPUTED_VALUE"""),"2607A135")</f>
        <v>2607A135</v>
      </c>
      <c r="G99" s="286">
        <f>IFERROR(__xludf.DUMMYFUNCTION("""COMPUTED_VALUE"""),46228.0)</f>
        <v>46228</v>
      </c>
      <c r="H99" s="285" t="str">
        <f>IFERROR(__xludf.DUMMYFUNCTION("""COMPUTED_VALUE"""),"Wilo / Graciatri")</f>
        <v>Wilo / Graciatri</v>
      </c>
      <c r="I99" s="285" t="str">
        <f>IFERROR(__xludf.DUMMYFUNCTION("""COMPUTED_VALUE"""),"087871797151")</f>
        <v>087871797151</v>
      </c>
      <c r="J99" s="285" t="str">
        <f>IFERROR(__xludf.DUMMYFUNCTION("""COMPUTED_VALUE"""),"Leads Baru")</f>
        <v>Leads Baru</v>
      </c>
      <c r="K99" s="285" t="str">
        <f>IFERROR(__xludf.DUMMYFUNCTION("""COMPUTED_VALUE"""),"OT Baluran")</f>
        <v>OT Baluran</v>
      </c>
      <c r="L99" s="287">
        <f>IFERROR(__xludf.DUMMYFUNCTION("""COMPUTED_VALUE"""),46232.0)</f>
        <v>46232</v>
      </c>
      <c r="M99" s="285">
        <f>IFERROR(__xludf.DUMMYFUNCTION("""COMPUTED_VALUE"""),2.0)</f>
        <v>2</v>
      </c>
      <c r="N99" s="289">
        <f>IFERROR(__xludf.DUMMYFUNCTION("""COMPUTED_VALUE"""),700000.0)</f>
        <v>700000</v>
      </c>
      <c r="O99" s="285" t="str">
        <f>IFERROR(__xludf.DUMMYFUNCTION("""COMPUTED_VALUE"""),"orderr")</f>
        <v>orderr</v>
      </c>
      <c r="P99" s="320"/>
      <c r="R99" s="285" t="str">
        <f>IFERROR(__xludf.DUMMYFUNCTION("""COMPUTED_VALUE"""),"2606A167")</f>
        <v>2606A167</v>
      </c>
      <c r="S99" s="286">
        <f>IFERROR(__xludf.DUMMYFUNCTION("""COMPUTED_VALUE"""),46201.0)</f>
        <v>46201</v>
      </c>
      <c r="T99" s="285" t="str">
        <f>IFERROR(__xludf.DUMMYFUNCTION("""COMPUTED_VALUE"""),"Maya Puspitasari")</f>
        <v>Maya Puspitasari</v>
      </c>
      <c r="U99" s="285" t="str">
        <f>IFERROR(__xludf.DUMMYFUNCTION("""COMPUTED_VALUE"""),"08111857666")</f>
        <v>08111857666</v>
      </c>
      <c r="V99" s="285" t="str">
        <f>IFERROR(__xludf.DUMMYFUNCTION("""COMPUTED_VALUE"""),"Closing")</f>
        <v>Closing</v>
      </c>
      <c r="W99" s="285" t="str">
        <f>IFERROR(__xludf.DUMMYFUNCTION("""COMPUTED_VALUE"""),"ot menjangan-tabuhan")</f>
        <v>ot menjangan-tabuhan</v>
      </c>
      <c r="X99" s="287">
        <f>IFERROR(__xludf.DUMMYFUNCTION("""COMPUTED_VALUE"""),46202.0)</f>
        <v>46202</v>
      </c>
      <c r="Y99" s="285">
        <f>IFERROR(__xludf.DUMMYFUNCTION("""COMPUTED_VALUE"""),4.0)</f>
        <v>4</v>
      </c>
      <c r="Z99" s="289">
        <f>IFERROR(__xludf.DUMMYFUNCTION("""COMPUTED_VALUE"""),1600000.0)</f>
        <v>1600000</v>
      </c>
      <c r="AA99" s="285" t="str">
        <f>IFERROR(__xludf.DUMMYFUNCTION("""COMPUTED_VALUE"""),"alhamdulillah closing")</f>
        <v>alhamdulillah closing</v>
      </c>
      <c r="AC99" s="285" t="str">
        <f>IFERROR(__xludf.DUMMYFUNCTION("""COMPUTED_VALUE"""),"2602A043")</f>
        <v>2602A043</v>
      </c>
      <c r="AD99" s="286">
        <f>IFERROR(__xludf.DUMMYFUNCTION("""COMPUTED_VALUE"""),46076.0)</f>
        <v>46076</v>
      </c>
      <c r="AE99" s="285" t="str">
        <f>IFERROR(__xludf.DUMMYFUNCTION("""COMPUTED_VALUE"""),"Arlius")</f>
        <v>Arlius</v>
      </c>
      <c r="AF99" s="285" t="str">
        <f>IFERROR(__xludf.DUMMYFUNCTION("""COMPUTED_VALUE"""),"082233596825")</f>
        <v>082233596825</v>
      </c>
      <c r="AG99" s="285" t="str">
        <f>IFERROR(__xludf.DUMMYFUNCTION("""COMPUTED_VALUE"""),"Gagal")</f>
        <v>Gagal</v>
      </c>
      <c r="AH99" s="285" t="str">
        <f>IFERROR(__xludf.DUMMYFUNCTION("""COMPUTED_VALUE"""),"3H2M opsi B")</f>
        <v>3H2M opsi B</v>
      </c>
      <c r="AI99" s="287"/>
      <c r="AJ99" s="285">
        <f>IFERROR(__xludf.DUMMYFUNCTION("""COMPUTED_VALUE"""),5.0)</f>
        <v>5</v>
      </c>
      <c r="AK99" s="289">
        <f>IFERROR(__xludf.DUMMYFUNCTION("""COMPUTED_VALUE"""),5225000.0)</f>
        <v>5225000</v>
      </c>
      <c r="AL99" s="285" t="str">
        <f>IFERROR(__xludf.DUMMYFUNCTION("""COMPUTED_VALUE"""),"masih di rundingkan")</f>
        <v>masih di rundingkan</v>
      </c>
    </row>
    <row r="100">
      <c r="F100" s="285" t="str">
        <f>IFERROR(__xludf.DUMMYFUNCTION("""COMPUTED_VALUE"""),"2607A137")</f>
        <v>2607A137</v>
      </c>
      <c r="G100" s="286">
        <f>IFERROR(__xludf.DUMMYFUNCTION("""COMPUTED_VALUE"""),46229.0)</f>
        <v>46229</v>
      </c>
      <c r="H100" s="285" t="str">
        <f>IFERROR(__xludf.DUMMYFUNCTION("""COMPUTED_VALUE"""),"Mita Septiani")</f>
        <v>Mita Septiani</v>
      </c>
      <c r="I100" s="285" t="str">
        <f>IFERROR(__xludf.DUMMYFUNCTION("""COMPUTED_VALUE"""),"085283226164")</f>
        <v>085283226164</v>
      </c>
      <c r="J100" s="285" t="str">
        <f>IFERROR(__xludf.DUMMYFUNCTION("""COMPUTED_VALUE"""),"Leads Baru")</f>
        <v>Leads Baru</v>
      </c>
      <c r="K100" s="285" t="str">
        <f>IFERROR(__xludf.DUMMYFUNCTION("""COMPUTED_VALUE"""),"OT Djawatan Baluran")</f>
        <v>OT Djawatan Baluran</v>
      </c>
      <c r="L100" s="287">
        <f>IFERROR(__xludf.DUMMYFUNCTION("""COMPUTED_VALUE"""),46238.0)</f>
        <v>46238</v>
      </c>
      <c r="M100" s="285">
        <f>IFERROR(__xludf.DUMMYFUNCTION("""COMPUTED_VALUE"""),2.0)</f>
        <v>2</v>
      </c>
      <c r="N100" s="289"/>
      <c r="O100" s="285"/>
      <c r="P100" s="320"/>
      <c r="R100" s="285" t="str">
        <f>IFERROR(__xludf.DUMMYFUNCTION("""COMPUTED_VALUE"""),"2606A169")</f>
        <v>2606A169</v>
      </c>
      <c r="S100" s="286">
        <f>IFERROR(__xludf.DUMMYFUNCTION("""COMPUTED_VALUE"""),46201.0)</f>
        <v>46201</v>
      </c>
      <c r="T100" s="285" t="str">
        <f>IFERROR(__xludf.DUMMYFUNCTION("""COMPUTED_VALUE"""),"Sebastien")</f>
        <v>Sebastien</v>
      </c>
      <c r="U100" s="285" t="str">
        <f>IFERROR(__xludf.DUMMYFUNCTION("""COMPUTED_VALUE"""),"33683796292")</f>
        <v>33683796292</v>
      </c>
      <c r="V100" s="285" t="str">
        <f>IFERROR(__xludf.DUMMYFUNCTION("""COMPUTED_VALUE"""),"Closing")</f>
        <v>Closing</v>
      </c>
      <c r="W100" s="285" t="str">
        <f>IFERROR(__xludf.DUMMYFUNCTION("""COMPUTED_VALUE"""),"alas purwo")</f>
        <v>alas purwo</v>
      </c>
      <c r="X100" s="287">
        <f>IFERROR(__xludf.DUMMYFUNCTION("""COMPUTED_VALUE"""),46205.0)</f>
        <v>46205</v>
      </c>
      <c r="Y100" s="285">
        <f>IFERROR(__xludf.DUMMYFUNCTION("""COMPUTED_VALUE"""),1.0)</f>
        <v>1</v>
      </c>
      <c r="Z100" s="289">
        <f>IFERROR(__xludf.DUMMYFUNCTION("""COMPUTED_VALUE"""),3200000.0)</f>
        <v>3200000</v>
      </c>
      <c r="AA100" s="285"/>
      <c r="AC100" s="285" t="str">
        <f>IFERROR(__xludf.DUMMYFUNCTION("""COMPUTED_VALUE"""),"2602A044")</f>
        <v>2602A044</v>
      </c>
      <c r="AD100" s="286">
        <f>IFERROR(__xludf.DUMMYFUNCTION("""COMPUTED_VALUE"""),46076.0)</f>
        <v>46076</v>
      </c>
      <c r="AE100" s="285" t="str">
        <f>IFERROR(__xludf.DUMMYFUNCTION("""COMPUTED_VALUE"""),"Ratih Yuniarti")</f>
        <v>Ratih Yuniarti</v>
      </c>
      <c r="AF100" s="285" t="str">
        <f>IFERROR(__xludf.DUMMYFUNCTION("""COMPUTED_VALUE"""),"081381545499")</f>
        <v>081381545499</v>
      </c>
      <c r="AG100" s="285" t="str">
        <f>IFERROR(__xludf.DUMMYFUNCTION("""COMPUTED_VALUE"""),"Gagal")</f>
        <v>Gagal</v>
      </c>
      <c r="AH100" s="285"/>
      <c r="AI100" s="287"/>
      <c r="AJ100" s="285">
        <f>IFERROR(__xludf.DUMMYFUNCTION("""COMPUTED_VALUE"""),2.0)</f>
        <v>2</v>
      </c>
      <c r="AK100" s="289"/>
      <c r="AL100" s="285" t="str">
        <f>IFERROR(__xludf.DUMMYFUNCTION("""COMPUTED_VALUE"""),"belum dijawab")</f>
        <v>belum dijawab</v>
      </c>
    </row>
    <row r="101">
      <c r="F101" s="285" t="str">
        <f>IFERROR(__xludf.DUMMYFUNCTION("""COMPUTED_VALUE"""),"2607A138")</f>
        <v>2607A138</v>
      </c>
      <c r="G101" s="286">
        <f>IFERROR(__xludf.DUMMYFUNCTION("""COMPUTED_VALUE"""),46229.0)</f>
        <v>46229</v>
      </c>
      <c r="H101" s="285" t="str">
        <f>IFERROR(__xludf.DUMMYFUNCTION("""COMPUTED_VALUE"""),"Eka Annisa")</f>
        <v>Eka Annisa</v>
      </c>
      <c r="I101" s="285" t="str">
        <f>IFERROR(__xludf.DUMMYFUNCTION("""COMPUTED_VALUE"""),"085814145826")</f>
        <v>085814145826</v>
      </c>
      <c r="J101" s="285" t="str">
        <f>IFERROR(__xludf.DUMMYFUNCTION("""COMPUTED_VALUE"""),"Leads Baru")</f>
        <v>Leads Baru</v>
      </c>
      <c r="K101" s="285" t="str">
        <f>IFERROR(__xludf.DUMMYFUNCTION("""COMPUTED_VALUE"""),"OT Djawatan Baluran")</f>
        <v>OT Djawatan Baluran</v>
      </c>
      <c r="L101" s="287"/>
      <c r="M101" s="285"/>
      <c r="N101" s="289"/>
      <c r="O101" s="285"/>
      <c r="P101" s="320"/>
      <c r="R101" s="285" t="str">
        <f>IFERROR(__xludf.DUMMYFUNCTION("""COMPUTED_VALUE"""),"2606A170")</f>
        <v>2606A170</v>
      </c>
      <c r="S101" s="286">
        <f>IFERROR(__xludf.DUMMYFUNCTION("""COMPUTED_VALUE"""),46201.0)</f>
        <v>46201</v>
      </c>
      <c r="T101" s="285" t="str">
        <f>IFERROR(__xludf.DUMMYFUNCTION("""COMPUTED_VALUE"""),"Imasyithah")</f>
        <v>Imasyithah</v>
      </c>
      <c r="U101" s="285" t="str">
        <f>IFERROR(__xludf.DUMMYFUNCTION("""COMPUTED_VALUE"""),"087743823003")</f>
        <v>087743823003</v>
      </c>
      <c r="V101" s="285" t="str">
        <f>IFERROR(__xludf.DUMMYFUNCTION("""COMPUTED_VALUE"""),"Closing")</f>
        <v>Closing</v>
      </c>
      <c r="W101" s="285" t="str">
        <f>IFERROR(__xludf.DUMMYFUNCTION("""COMPUTED_VALUE"""),"3h2m custom")</f>
        <v>3h2m custom</v>
      </c>
      <c r="X101" s="287"/>
      <c r="Y101" s="285">
        <f>IFERROR(__xludf.DUMMYFUNCTION("""COMPUTED_VALUE"""),3.0)</f>
        <v>3</v>
      </c>
      <c r="Z101" s="289"/>
      <c r="AA101" s="285"/>
      <c r="AC101" s="285" t="str">
        <f>IFERROR(__xludf.DUMMYFUNCTION("""COMPUTED_VALUE"""),"2602A046")</f>
        <v>2602A046</v>
      </c>
      <c r="AD101" s="286">
        <f>IFERROR(__xludf.DUMMYFUNCTION("""COMPUTED_VALUE"""),46077.0)</f>
        <v>46077</v>
      </c>
      <c r="AE101" s="285" t="str">
        <f>IFERROR(__xludf.DUMMYFUNCTION("""COMPUTED_VALUE"""),"Michaela Ambrozyova")</f>
        <v>Michaela Ambrozyova</v>
      </c>
      <c r="AF101" s="285" t="str">
        <f>IFERROR(__xludf.DUMMYFUNCTION("""COMPUTED_VALUE"""),"421908320035")</f>
        <v>421908320035</v>
      </c>
      <c r="AG101" s="285" t="str">
        <f>IFERROR(__xludf.DUMMYFUNCTION("""COMPUTED_VALUE"""),"Gagal")</f>
        <v>Gagal</v>
      </c>
      <c r="AH101" s="285" t="str">
        <f>IFERROR(__xludf.DUMMYFUNCTION("""COMPUTED_VALUE"""),"ijen")</f>
        <v>ijen</v>
      </c>
      <c r="AI101" s="287"/>
      <c r="AJ101" s="285"/>
      <c r="AK101" s="289"/>
      <c r="AL101" s="285"/>
    </row>
    <row r="102">
      <c r="F102" s="285" t="str">
        <f>IFERROR(__xludf.DUMMYFUNCTION("""COMPUTED_VALUE"""),"2607A139")</f>
        <v>2607A139</v>
      </c>
      <c r="G102" s="286">
        <f>IFERROR(__xludf.DUMMYFUNCTION("""COMPUTED_VALUE"""),46229.0)</f>
        <v>46229</v>
      </c>
      <c r="H102" s="285" t="str">
        <f>IFERROR(__xludf.DUMMYFUNCTION("""COMPUTED_VALUE"""),"Febrina Nanda Arviani")</f>
        <v>Febrina Nanda Arviani</v>
      </c>
      <c r="I102" s="285" t="str">
        <f>IFERROR(__xludf.DUMMYFUNCTION("""COMPUTED_VALUE"""),"085643364720")</f>
        <v>085643364720</v>
      </c>
      <c r="J102" s="285" t="str">
        <f>IFERROR(__xludf.DUMMYFUNCTION("""COMPUTED_VALUE"""),"Leads Baru")</f>
        <v>Leads Baru</v>
      </c>
      <c r="K102" s="285" t="str">
        <f>IFERROR(__xludf.DUMMYFUNCTION("""COMPUTED_VALUE"""),"2H1M")</f>
        <v>2H1M</v>
      </c>
      <c r="L102" s="287">
        <f>IFERROR(__xludf.DUMMYFUNCTION("""COMPUTED_VALUE"""),46375.0)</f>
        <v>46375</v>
      </c>
      <c r="M102" s="285">
        <f>IFERROR(__xludf.DUMMYFUNCTION("""COMPUTED_VALUE"""),14.0)</f>
        <v>14</v>
      </c>
      <c r="N102" s="289"/>
      <c r="O102" s="285"/>
      <c r="P102" s="320"/>
      <c r="R102" s="285" t="str">
        <f>IFERROR(__xludf.DUMMYFUNCTION("""COMPUTED_VALUE"""),"2606A173")</f>
        <v>2606A173</v>
      </c>
      <c r="S102" s="286">
        <f>IFERROR(__xludf.DUMMYFUNCTION("""COMPUTED_VALUE"""),46203.0)</f>
        <v>46203</v>
      </c>
      <c r="T102" s="285" t="str">
        <f>IFERROR(__xludf.DUMMYFUNCTION("""COMPUTED_VALUE"""),"Wiwien Arianti")</f>
        <v>Wiwien Arianti</v>
      </c>
      <c r="U102" s="285" t="str">
        <f>IFERROR(__xludf.DUMMYFUNCTION("""COMPUTED_VALUE"""),"0818483300")</f>
        <v>0818483300</v>
      </c>
      <c r="V102" s="285" t="str">
        <f>IFERROR(__xludf.DUMMYFUNCTION("""COMPUTED_VALUE"""),"Closing")</f>
        <v>Closing</v>
      </c>
      <c r="W102" s="285" t="str">
        <f>IFERROR(__xludf.DUMMYFUNCTION("""COMPUTED_VALUE"""),"otmt dan ijen")</f>
        <v>otmt dan ijen</v>
      </c>
      <c r="X102" s="287">
        <f>IFERROR(__xludf.DUMMYFUNCTION("""COMPUTED_VALUE"""),46204.0)</f>
        <v>46204</v>
      </c>
      <c r="Y102" s="285">
        <f>IFERROR(__xludf.DUMMYFUNCTION("""COMPUTED_VALUE"""),7.0)</f>
        <v>7</v>
      </c>
      <c r="Z102" s="289">
        <f>IFERROR(__xludf.DUMMYFUNCTION("""COMPUTED_VALUE"""),2800000.0)</f>
        <v>2800000</v>
      </c>
      <c r="AA102" s="285" t="str">
        <f>IFERROR(__xludf.DUMMYFUNCTION("""COMPUTED_VALUE"""),"alhamdulillah closing")</f>
        <v>alhamdulillah closing</v>
      </c>
      <c r="AC102" s="285" t="str">
        <f>IFERROR(__xludf.DUMMYFUNCTION("""COMPUTED_VALUE"""),"2602A047")</f>
        <v>2602A047</v>
      </c>
      <c r="AD102" s="286">
        <f>IFERROR(__xludf.DUMMYFUNCTION("""COMPUTED_VALUE"""),46078.0)</f>
        <v>46078</v>
      </c>
      <c r="AE102" s="285" t="str">
        <f>IFERROR(__xludf.DUMMYFUNCTION("""COMPUTED_VALUE"""),"Daniel")</f>
        <v>Daniel</v>
      </c>
      <c r="AF102" s="285" t="str">
        <f>IFERROR(__xludf.DUMMYFUNCTION("""COMPUTED_VALUE"""),"081212195507")</f>
        <v>081212195507</v>
      </c>
      <c r="AG102" s="285" t="str">
        <f>IFERROR(__xludf.DUMMYFUNCTION("""COMPUTED_VALUE"""),"Gagal")</f>
        <v>Gagal</v>
      </c>
      <c r="AH102" s="285" t="str">
        <f>IFERROR(__xludf.DUMMYFUNCTION("""COMPUTED_VALUE"""),"Green island")</f>
        <v>Green island</v>
      </c>
      <c r="AI102" s="287">
        <f>IFERROR(__xludf.DUMMYFUNCTION("""COMPUTED_VALUE"""),46100.0)</f>
        <v>46100</v>
      </c>
      <c r="AJ102" s="285">
        <f>IFERROR(__xludf.DUMMYFUNCTION("""COMPUTED_VALUE"""),4.0)</f>
        <v>4</v>
      </c>
      <c r="AK102" s="289">
        <f>IFERROR(__xludf.DUMMYFUNCTION("""COMPUTED_VALUE"""),3328000.0)</f>
        <v>3328000</v>
      </c>
      <c r="AL102" s="285" t="str">
        <f>IFERROR(__xludf.DUMMYFUNCTION("""COMPUTED_VALUE"""),"Tidak dibalas")</f>
        <v>Tidak dibalas</v>
      </c>
    </row>
    <row r="103">
      <c r="F103" s="285" t="str">
        <f>IFERROR(__xludf.DUMMYFUNCTION("""COMPUTED_VALUE"""),"2607A140")</f>
        <v>2607A140</v>
      </c>
      <c r="G103" s="286">
        <f>IFERROR(__xludf.DUMMYFUNCTION("""COMPUTED_VALUE"""),46230.0)</f>
        <v>46230</v>
      </c>
      <c r="H103" s="285" t="str">
        <f>IFERROR(__xludf.DUMMYFUNCTION("""COMPUTED_VALUE"""),"Elvi Dwi Yunitasari")</f>
        <v>Elvi Dwi Yunitasari</v>
      </c>
      <c r="I103" s="285" t="str">
        <f>IFERROR(__xludf.DUMMYFUNCTION("""COMPUTED_VALUE"""),"0895366571911")</f>
        <v>0895366571911</v>
      </c>
      <c r="J103" s="285" t="str">
        <f>IFERROR(__xludf.DUMMYFUNCTION("""COMPUTED_VALUE"""),"Leads Baru")</f>
        <v>Leads Baru</v>
      </c>
      <c r="K103" s="285" t="str">
        <f>IFERROR(__xludf.DUMMYFUNCTION("""COMPUTED_VALUE"""),"Menjangan Tabuhan")</f>
        <v>Menjangan Tabuhan</v>
      </c>
      <c r="L103" s="287"/>
      <c r="M103" s="285"/>
      <c r="N103" s="289"/>
      <c r="O103" s="285"/>
      <c r="P103" s="320"/>
      <c r="R103" s="285" t="str">
        <f>IFERROR(__xludf.DUMMYFUNCTION("""COMPUTED_VALUE"""),"2607A026")</f>
        <v>2607A026</v>
      </c>
      <c r="S103" s="286">
        <f>IFERROR(__xludf.DUMMYFUNCTION("""COMPUTED_VALUE"""),46206.0)</f>
        <v>46206</v>
      </c>
      <c r="T103" s="285" t="str">
        <f>IFERROR(__xludf.DUMMYFUNCTION("""COMPUTED_VALUE"""),"Putri Feni Rosa Uli")</f>
        <v>Putri Feni Rosa Uli</v>
      </c>
      <c r="U103" s="285" t="str">
        <f>IFERROR(__xludf.DUMMYFUNCTION("""COMPUTED_VALUE"""),"081319102213")</f>
        <v>081319102213</v>
      </c>
      <c r="V103" s="285" t="str">
        <f>IFERROR(__xludf.DUMMYFUNCTION("""COMPUTED_VALUE"""),"Closing")</f>
        <v>Closing</v>
      </c>
      <c r="W103" s="285" t="str">
        <f>IFERROR(__xludf.DUMMYFUNCTION("""COMPUTED_VALUE"""),"2h1m custom")</f>
        <v>2h1m custom</v>
      </c>
      <c r="X103" s="287"/>
      <c r="Y103" s="285"/>
      <c r="Z103" s="289">
        <f>IFERROR(__xludf.DUMMYFUNCTION("""COMPUTED_VALUE"""),4120000.0)</f>
        <v>4120000</v>
      </c>
      <c r="AA103" s="285" t="str">
        <f>IFERROR(__xludf.DUMMYFUNCTION("""COMPUTED_VALUE"""),"alhamdulillah closing")</f>
        <v>alhamdulillah closing</v>
      </c>
      <c r="AC103" s="285" t="str">
        <f>IFERROR(__xludf.DUMMYFUNCTION("""COMPUTED_VALUE"""),"2602A048")</f>
        <v>2602A048</v>
      </c>
      <c r="AD103" s="286">
        <f>IFERROR(__xludf.DUMMYFUNCTION("""COMPUTED_VALUE"""),46079.0)</f>
        <v>46079</v>
      </c>
      <c r="AE103" s="285" t="str">
        <f>IFERROR(__xludf.DUMMYFUNCTION("""COMPUTED_VALUE"""),"Rahel Dellavany")</f>
        <v>Rahel Dellavany</v>
      </c>
      <c r="AF103" s="285" t="str">
        <f>IFERROR(__xludf.DUMMYFUNCTION("""COMPUTED_VALUE"""),"088213211982")</f>
        <v>088213211982</v>
      </c>
      <c r="AG103" s="285" t="str">
        <f>IFERROR(__xludf.DUMMYFUNCTION("""COMPUTED_VALUE"""),"Gagal")</f>
        <v>Gagal</v>
      </c>
      <c r="AH103" s="285" t="str">
        <f>IFERROR(__xludf.DUMMYFUNCTION("""COMPUTED_VALUE"""),"Trip D,B")</f>
        <v>Trip D,B</v>
      </c>
      <c r="AI103" s="287">
        <f>IFERROR(__xludf.DUMMYFUNCTION("""COMPUTED_VALUE"""),46110.0)</f>
        <v>46110</v>
      </c>
      <c r="AJ103" s="285">
        <f>IFERROR(__xludf.DUMMYFUNCTION("""COMPUTED_VALUE"""),6.0)</f>
        <v>6</v>
      </c>
      <c r="AK103" s="289">
        <f>IFERROR(__xludf.DUMMYFUNCTION("""COMPUTED_VALUE"""),4290000.0)</f>
        <v>4290000</v>
      </c>
      <c r="AL103" s="285" t="str">
        <f>IFERROR(__xludf.DUMMYFUNCTION("""COMPUTED_VALUE"""),"Blm balas")</f>
        <v>Blm balas</v>
      </c>
    </row>
    <row r="104">
      <c r="F104" s="285" t="str">
        <f>IFERROR(__xludf.DUMMYFUNCTION("""COMPUTED_VALUE"""),"2607A141")</f>
        <v>2607A141</v>
      </c>
      <c r="G104" s="286">
        <f>IFERROR(__xludf.DUMMYFUNCTION("""COMPUTED_VALUE"""),46230.0)</f>
        <v>46230</v>
      </c>
      <c r="H104" s="285" t="str">
        <f>IFERROR(__xludf.DUMMYFUNCTION("""COMPUTED_VALUE"""),"Izmaa")</f>
        <v>Izmaa</v>
      </c>
      <c r="I104" s="285" t="str">
        <f>IFERROR(__xludf.DUMMYFUNCTION("""COMPUTED_VALUE"""),"081909392890")</f>
        <v>081909392890</v>
      </c>
      <c r="J104" s="285" t="str">
        <f>IFERROR(__xludf.DUMMYFUNCTION("""COMPUTED_VALUE"""),"Leads Baru")</f>
        <v>Leads Baru</v>
      </c>
      <c r="K104" s="285" t="str">
        <f>IFERROR(__xludf.DUMMYFUNCTION("""COMPUTED_VALUE"""),"2h1m")</f>
        <v>2h1m</v>
      </c>
      <c r="L104" s="287"/>
      <c r="M104" s="285"/>
      <c r="N104" s="289"/>
      <c r="O104" s="285"/>
      <c r="P104" s="320"/>
      <c r="R104" s="285" t="str">
        <f>IFERROR(__xludf.DUMMYFUNCTION("""COMPUTED_VALUE"""),"2607A043")</f>
        <v>2607A043</v>
      </c>
      <c r="S104" s="286">
        <f>IFERROR(__xludf.DUMMYFUNCTION("""COMPUTED_VALUE"""),46204.0)</f>
        <v>46204</v>
      </c>
      <c r="T104" s="285" t="str">
        <f>IFERROR(__xludf.DUMMYFUNCTION("""COMPUTED_VALUE"""),"Achmad N. Romdoni")</f>
        <v>Achmad N. Romdoni</v>
      </c>
      <c r="U104" s="285" t="str">
        <f>IFERROR(__xludf.DUMMYFUNCTION("""COMPUTED_VALUE"""),"0818473300")</f>
        <v>0818473300</v>
      </c>
      <c r="V104" s="285" t="str">
        <f>IFERROR(__xludf.DUMMYFUNCTION("""COMPUTED_VALUE"""),"Closing")</f>
        <v>Closing</v>
      </c>
      <c r="W104" s="285" t="str">
        <f>IFERROR(__xludf.DUMMYFUNCTION("""COMPUTED_VALUE"""),"ot kawah ijen")</f>
        <v>ot kawah ijen</v>
      </c>
      <c r="X104" s="287">
        <f>IFERROR(__xludf.DUMMYFUNCTION("""COMPUTED_VALUE"""),46205.0)</f>
        <v>46205</v>
      </c>
      <c r="Y104" s="285">
        <f>IFERROR(__xludf.DUMMYFUNCTION("""COMPUTED_VALUE"""),1.0)</f>
        <v>1</v>
      </c>
      <c r="Z104" s="289"/>
      <c r="AA104" s="285" t="str">
        <f>IFERROR(__xludf.DUMMYFUNCTION("""COMPUTED_VALUE"""),"Order")</f>
        <v>Order</v>
      </c>
      <c r="AC104" s="285" t="str">
        <f>IFERROR(__xludf.DUMMYFUNCTION("""COMPUTED_VALUE"""),"2602A049")</f>
        <v>2602A049</v>
      </c>
      <c r="AD104" s="286">
        <f>IFERROR(__xludf.DUMMYFUNCTION("""COMPUTED_VALUE"""),46080.0)</f>
        <v>46080</v>
      </c>
      <c r="AE104" s="285" t="str">
        <f>IFERROR(__xludf.DUMMYFUNCTION("""COMPUTED_VALUE"""),"Cahyo")</f>
        <v>Cahyo</v>
      </c>
      <c r="AF104" s="285" t="str">
        <f>IFERROR(__xludf.DUMMYFUNCTION("""COMPUTED_VALUE"""),"085643322282")</f>
        <v>085643322282</v>
      </c>
      <c r="AG104" s="285" t="str">
        <f>IFERROR(__xludf.DUMMYFUNCTION("""COMPUTED_VALUE"""),"Gagal")</f>
        <v>Gagal</v>
      </c>
      <c r="AH104" s="285" t="str">
        <f>IFERROR(__xludf.DUMMYFUNCTION("""COMPUTED_VALUE"""),"Paket Outbond D, B")</f>
        <v>Paket Outbond D, B</v>
      </c>
      <c r="AI104" s="287"/>
      <c r="AJ104" s="285"/>
      <c r="AK104" s="289">
        <f>IFERROR(__xludf.DUMMYFUNCTION("""COMPUTED_VALUE"""),3.18E7)</f>
        <v>31800000</v>
      </c>
      <c r="AL104" s="285" t="str">
        <f>IFERROR(__xludf.DUMMYFUNCTION("""COMPUTED_VALUE"""),"buat penawaran, fu mei")</f>
        <v>buat penawaran, fu mei</v>
      </c>
    </row>
    <row r="105">
      <c r="F105" s="285" t="str">
        <f>IFERROR(__xludf.DUMMYFUNCTION("""COMPUTED_VALUE"""),"2607A142")</f>
        <v>2607A142</v>
      </c>
      <c r="G105" s="286">
        <f>IFERROR(__xludf.DUMMYFUNCTION("""COMPUTED_VALUE"""),46230.0)</f>
        <v>46230</v>
      </c>
      <c r="H105" s="285" t="str">
        <f>IFERROR(__xludf.DUMMYFUNCTION("""COMPUTED_VALUE"""),"Ina")</f>
        <v>Ina</v>
      </c>
      <c r="I105" s="285" t="str">
        <f>IFERROR(__xludf.DUMMYFUNCTION("""COMPUTED_VALUE"""),"085921732936")</f>
        <v>085921732936</v>
      </c>
      <c r="J105" s="285" t="str">
        <f>IFERROR(__xludf.DUMMYFUNCTION("""COMPUTED_VALUE"""),"Leads Baru")</f>
        <v>Leads Baru</v>
      </c>
      <c r="K105" s="285" t="str">
        <f>IFERROR(__xludf.DUMMYFUNCTION("""COMPUTED_VALUE"""),"ot 3h2m")</f>
        <v>ot 3h2m</v>
      </c>
      <c r="L105" s="287"/>
      <c r="M105" s="285"/>
      <c r="N105" s="289"/>
      <c r="O105" s="285"/>
      <c r="P105" s="320"/>
      <c r="R105" s="285" t="str">
        <f>IFERROR(__xludf.DUMMYFUNCTION("""COMPUTED_VALUE"""),"2607A044")</f>
        <v>2607A044</v>
      </c>
      <c r="S105" s="286">
        <f>IFERROR(__xludf.DUMMYFUNCTION("""COMPUTED_VALUE"""),46207.0)</f>
        <v>46207</v>
      </c>
      <c r="T105" s="285" t="str">
        <f>IFERROR(__xludf.DUMMYFUNCTION("""COMPUTED_VALUE"""),"Junaidi")</f>
        <v>Junaidi</v>
      </c>
      <c r="U105" s="285"/>
      <c r="V105" s="285" t="str">
        <f>IFERROR(__xludf.DUMMYFUNCTION("""COMPUTED_VALUE"""),"Closing")</f>
        <v>Closing</v>
      </c>
      <c r="W105" s="285" t="str">
        <f>IFERROR(__xludf.DUMMYFUNCTION("""COMPUTED_VALUE"""),"2H1M Z")</f>
        <v>2H1M Z</v>
      </c>
      <c r="X105" s="287"/>
      <c r="Y105" s="285">
        <f>IFERROR(__xludf.DUMMYFUNCTION("""COMPUTED_VALUE"""),4.0)</f>
        <v>4</v>
      </c>
      <c r="Z105" s="289"/>
      <c r="AA105" s="285"/>
      <c r="AC105" s="285" t="str">
        <f>IFERROR(__xludf.DUMMYFUNCTION("""COMPUTED_VALUE"""),"2602A050 ")</f>
        <v>2602A050 </v>
      </c>
      <c r="AD105" s="286">
        <f>IFERROR(__xludf.DUMMYFUNCTION("""COMPUTED_VALUE"""),46079.0)</f>
        <v>46079</v>
      </c>
      <c r="AE105" s="285" t="str">
        <f>IFERROR(__xludf.DUMMYFUNCTION("""COMPUTED_VALUE"""),"Rahma")</f>
        <v>Rahma</v>
      </c>
      <c r="AF105" s="285" t="str">
        <f>IFERROR(__xludf.DUMMYFUNCTION("""COMPUTED_VALUE"""),"085865278003")</f>
        <v>085865278003</v>
      </c>
      <c r="AG105" s="285" t="str">
        <f>IFERROR(__xludf.DUMMYFUNCTION("""COMPUTED_VALUE"""),"Gagal")</f>
        <v>Gagal</v>
      </c>
      <c r="AH105" s="285" t="str">
        <f>IFERROR(__xludf.DUMMYFUNCTION("""COMPUTED_VALUE"""),"OT M, T, D, B")</f>
        <v>OT M, T, D, B</v>
      </c>
      <c r="AI105" s="287"/>
      <c r="AJ105" s="285"/>
      <c r="AK105" s="289"/>
      <c r="AL105" s="285" t="str">
        <f>IFERROR(__xludf.DUMMYFUNCTION("""COMPUTED_VALUE"""),"tidak balas lagi")</f>
        <v>tidak balas lagi</v>
      </c>
    </row>
    <row r="106">
      <c r="F106" s="285" t="str">
        <f>IFERROR(__xludf.DUMMYFUNCTION("""COMPUTED_VALUE"""),"2607A143")</f>
        <v>2607A143</v>
      </c>
      <c r="G106" s="286">
        <f>IFERROR(__xludf.DUMMYFUNCTION("""COMPUTED_VALUE"""),46231.0)</f>
        <v>46231</v>
      </c>
      <c r="H106" s="285" t="str">
        <f>IFERROR(__xludf.DUMMYFUNCTION("""COMPUTED_VALUE"""),"Nadra")</f>
        <v>Nadra</v>
      </c>
      <c r="I106" s="285" t="str">
        <f>IFERROR(__xludf.DUMMYFUNCTION("""COMPUTED_VALUE"""),"081218670190")</f>
        <v>081218670190</v>
      </c>
      <c r="J106" s="285" t="str">
        <f>IFERROR(__xludf.DUMMYFUNCTION("""COMPUTED_VALUE"""),"Leads Baru")</f>
        <v>Leads Baru</v>
      </c>
      <c r="K106" s="285" t="str">
        <f>IFERROR(__xludf.DUMMYFUNCTION("""COMPUTED_VALUE"""),"ot 3h2m")</f>
        <v>ot 3h2m</v>
      </c>
      <c r="L106" s="287"/>
      <c r="M106" s="285"/>
      <c r="N106" s="289"/>
      <c r="O106" s="285"/>
      <c r="P106" s="320"/>
      <c r="R106" s="285" t="str">
        <f>IFERROR(__xludf.DUMMYFUNCTION("""COMPUTED_VALUE"""),"2607A049")</f>
        <v>2607A049</v>
      </c>
      <c r="S106" s="286">
        <f>IFERROR(__xludf.DUMMYFUNCTION("""COMPUTED_VALUE"""),46209.0)</f>
        <v>46209</v>
      </c>
      <c r="T106" s="285" t="str">
        <f>IFERROR(__xludf.DUMMYFUNCTION("""COMPUTED_VALUE"""),"Ranie")</f>
        <v>Ranie</v>
      </c>
      <c r="U106" s="285" t="str">
        <f>IFERROR(__xludf.DUMMYFUNCTION("""COMPUTED_VALUE"""),"082231874445")</f>
        <v>082231874445</v>
      </c>
      <c r="V106" s="285" t="str">
        <f>IFERROR(__xludf.DUMMYFUNCTION("""COMPUTED_VALUE"""),"Closing")</f>
        <v>Closing</v>
      </c>
      <c r="W106" s="285" t="str">
        <f>IFERROR(__xludf.DUMMYFUNCTION("""COMPUTED_VALUE"""),"djawatan, baluran")</f>
        <v>djawatan, baluran</v>
      </c>
      <c r="X106" s="287">
        <f>IFERROR(__xludf.DUMMYFUNCTION("""COMPUTED_VALUE"""),46210.0)</f>
        <v>46210</v>
      </c>
      <c r="Y106" s="285">
        <f>IFERROR(__xludf.DUMMYFUNCTION("""COMPUTED_VALUE"""),3.0)</f>
        <v>3</v>
      </c>
      <c r="Z106" s="289">
        <f>IFERROR(__xludf.DUMMYFUNCTION("""COMPUTED_VALUE"""),1875000.0)</f>
        <v>1875000</v>
      </c>
      <c r="AA106" s="285" t="str">
        <f>IFERROR(__xludf.DUMMYFUNCTION("""COMPUTED_VALUE"""),"Order")</f>
        <v>Order</v>
      </c>
      <c r="AC106" s="285" t="str">
        <f>IFERROR(__xludf.DUMMYFUNCTION("""COMPUTED_VALUE"""),"2603A001")</f>
        <v>2603A001</v>
      </c>
      <c r="AD106" s="286">
        <f>IFERROR(__xludf.DUMMYFUNCTION("""COMPUTED_VALUE"""),46054.0)</f>
        <v>46054</v>
      </c>
      <c r="AE106" s="285" t="str">
        <f>IFERROR(__xludf.DUMMYFUNCTION("""COMPUTED_VALUE"""),"Rachim")</f>
        <v>Rachim</v>
      </c>
      <c r="AF106" s="285" t="str">
        <f>IFERROR(__xludf.DUMMYFUNCTION("""COMPUTED_VALUE"""),"081281050468")</f>
        <v>081281050468</v>
      </c>
      <c r="AG106" s="285" t="str">
        <f>IFERROR(__xludf.DUMMYFUNCTION("""COMPUTED_VALUE"""),"Gagal")</f>
        <v>Gagal</v>
      </c>
      <c r="AH106" s="285" t="str">
        <f>IFERROR(__xludf.DUMMYFUNCTION("""COMPUTED_VALUE"""),"Trip M, T ")</f>
        <v>Trip M, T </v>
      </c>
      <c r="AI106" s="287">
        <f>IFERROR(__xludf.DUMMYFUNCTION("""COMPUTED_VALUE"""),46107.0)</f>
        <v>46107</v>
      </c>
      <c r="AJ106" s="285">
        <f>IFERROR(__xludf.DUMMYFUNCTION("""COMPUTED_VALUE"""),46178.0)</f>
        <v>46178</v>
      </c>
      <c r="AK106" s="289"/>
      <c r="AL106" s="285" t="str">
        <f>IFERROR(__xludf.DUMMYFUNCTION("""COMPUTED_VALUE"""),"cancel trip tanpa keterangan")</f>
        <v>cancel trip tanpa keterangan</v>
      </c>
    </row>
    <row r="107">
      <c r="F107" s="285" t="str">
        <f>IFERROR(__xludf.DUMMYFUNCTION("""COMPUTED_VALUE"""),"2602A037")</f>
        <v>2602A037</v>
      </c>
      <c r="G107" s="286">
        <f>IFERROR(__xludf.DUMMYFUNCTION("""COMPUTED_VALUE"""),46073.0)</f>
        <v>46073</v>
      </c>
      <c r="H107" s="285" t="str">
        <f>IFERROR(__xludf.DUMMYFUNCTION("""COMPUTED_VALUE"""),"ine resmisari")</f>
        <v>ine resmisari</v>
      </c>
      <c r="I107" s="285" t="str">
        <f>IFERROR(__xludf.DUMMYFUNCTION("""COMPUTED_VALUE"""),"089689976234‬")</f>
        <v>089689976234‬</v>
      </c>
      <c r="J107" s="285" t="str">
        <f>IFERROR(__xludf.DUMMYFUNCTION("""COMPUTED_VALUE"""),"Qualified")</f>
        <v>Qualified</v>
      </c>
      <c r="K107" s="285" t="str">
        <f>IFERROR(__xludf.DUMMYFUNCTION("""COMPUTED_VALUE"""),"4H3M")</f>
        <v>4H3M</v>
      </c>
      <c r="L107" s="287"/>
      <c r="M107" s="285">
        <f>IFERROR(__xludf.DUMMYFUNCTION("""COMPUTED_VALUE"""),48.0)</f>
        <v>48</v>
      </c>
      <c r="N107" s="289">
        <f>IFERROR(__xludf.DUMMYFUNCTION("""COMPUTED_VALUE"""),7.92E7)</f>
        <v>79200000</v>
      </c>
      <c r="O107" s="285" t="str">
        <f>IFERROR(__xludf.DUMMYFUNCTION("""COMPUTED_VALUE"""),"buat penawaran, fu mei")</f>
        <v>buat penawaran, fu mei</v>
      </c>
      <c r="P107" s="291" t="str">
        <f>IFERROR(__xludf.DUMMYFUNCTION("""COMPUTED_VALUE"""),"https://docs.google.com/document/d/15qIbL8EqkYecD8xmNsC_kTkMe29yBIrWPoEF_6kHtto/edit?usp=sharing")</f>
        <v>https://docs.google.com/document/d/15qIbL8EqkYecD8xmNsC_kTkMe29yBIrWPoEF_6kHtto/edit?usp=sharing</v>
      </c>
      <c r="R107" s="285" t="str">
        <f>IFERROR(__xludf.DUMMYFUNCTION("""COMPUTED_VALUE"""),"2607A050")</f>
        <v>2607A050</v>
      </c>
      <c r="S107" s="286">
        <f>IFERROR(__xludf.DUMMYFUNCTION("""COMPUTED_VALUE"""),46210.0)</f>
        <v>46210</v>
      </c>
      <c r="T107" s="285" t="str">
        <f>IFERROR(__xludf.DUMMYFUNCTION("""COMPUTED_VALUE"""),"Asep Sanudin")</f>
        <v>Asep Sanudin</v>
      </c>
      <c r="U107" s="285" t="str">
        <f>IFERROR(__xludf.DUMMYFUNCTION("""COMPUTED_VALUE"""),"97455020935")</f>
        <v>97455020935</v>
      </c>
      <c r="V107" s="285" t="str">
        <f>IFERROR(__xludf.DUMMYFUNCTION("""COMPUTED_VALUE"""),"Closing")</f>
        <v>Closing</v>
      </c>
      <c r="W107" s="285" t="str">
        <f>IFERROR(__xludf.DUMMYFUNCTION("""COMPUTED_VALUE"""),"5h4m")</f>
        <v>5h4m</v>
      </c>
      <c r="X107" s="287"/>
      <c r="Y107" s="285">
        <f>IFERROR(__xludf.DUMMYFUNCTION("""COMPUTED_VALUE"""),2.0)</f>
        <v>2</v>
      </c>
      <c r="Z107" s="289">
        <f>IFERROR(__xludf.DUMMYFUNCTION("""COMPUTED_VALUE"""),1.82E7)</f>
        <v>18200000</v>
      </c>
      <c r="AA107" s="285" t="str">
        <f>IFERROR(__xludf.DUMMYFUNCTION("""COMPUTED_VALUE"""),"orderr")</f>
        <v>orderr</v>
      </c>
      <c r="AC107" s="285" t="str">
        <f>IFERROR(__xludf.DUMMYFUNCTION("""COMPUTED_VALUE"""),"2603A002")</f>
        <v>2603A002</v>
      </c>
      <c r="AD107" s="286">
        <f>IFERROR(__xludf.DUMMYFUNCTION("""COMPUTED_VALUE"""),46082.0)</f>
        <v>46082</v>
      </c>
      <c r="AE107" s="285" t="str">
        <f>IFERROR(__xludf.DUMMYFUNCTION("""COMPUTED_VALUE"""),"Alvin")</f>
        <v>Alvin</v>
      </c>
      <c r="AF107" s="285" t="str">
        <f>IFERROR(__xludf.DUMMYFUNCTION("""COMPUTED_VALUE"""),"089601668159")</f>
        <v>089601668159</v>
      </c>
      <c r="AG107" s="285" t="str">
        <f>IFERROR(__xludf.DUMMYFUNCTION("""COMPUTED_VALUE"""),"Gagal")</f>
        <v>Gagal</v>
      </c>
      <c r="AH107" s="285" t="str">
        <f>IFERROR(__xludf.DUMMYFUNCTION("""COMPUTED_VALUE"""),"4H3M")</f>
        <v>4H3M</v>
      </c>
      <c r="AI107" s="287">
        <f>IFERROR(__xludf.DUMMYFUNCTION("""COMPUTED_VALUE"""),46098.0)</f>
        <v>46098</v>
      </c>
      <c r="AJ107" s="285">
        <f>IFERROR(__xludf.DUMMYFUNCTION("""COMPUTED_VALUE"""),5.0)</f>
        <v>5</v>
      </c>
      <c r="AK107" s="289">
        <f>IFERROR(__xludf.DUMMYFUNCTION("""COMPUTED_VALUE"""),1.85E7)</f>
        <v>18500000</v>
      </c>
      <c r="AL107" s="285" t="str">
        <f>IFERROR(__xludf.DUMMYFUNCTION("""COMPUTED_VALUE"""),"gada balasan")</f>
        <v>gada balasan</v>
      </c>
    </row>
    <row r="108">
      <c r="F108" s="285" t="str">
        <f>IFERROR(__xludf.DUMMYFUNCTION("""COMPUTED_VALUE"""),"2603A100")</f>
        <v>2603A100</v>
      </c>
      <c r="G108" s="286">
        <f>IFERROR(__xludf.DUMMYFUNCTION("""COMPUTED_VALUE"""),46112.0)</f>
        <v>46112</v>
      </c>
      <c r="H108" s="285" t="str">
        <f>IFERROR(__xludf.DUMMYFUNCTION("""COMPUTED_VALUE"""),"Johannes andri")</f>
        <v>Johannes andri</v>
      </c>
      <c r="I108" s="285" t="str">
        <f>IFERROR(__xludf.DUMMYFUNCTION("""COMPUTED_VALUE"""),"081585091369")</f>
        <v>081585091369</v>
      </c>
      <c r="J108" s="285" t="str">
        <f>IFERROR(__xludf.DUMMYFUNCTION("""COMPUTED_VALUE"""),"Qualified")</f>
        <v>Qualified</v>
      </c>
      <c r="K108" s="285" t="str">
        <f>IFERROR(__xludf.DUMMYFUNCTION("""COMPUTED_VALUE"""),"2h1m custom")</f>
        <v>2h1m custom</v>
      </c>
      <c r="L108" s="287"/>
      <c r="M108" s="285">
        <f>IFERROR(__xludf.DUMMYFUNCTION("""COMPUTED_VALUE"""),5.0)</f>
        <v>5</v>
      </c>
      <c r="N108" s="289">
        <f>IFERROR(__xludf.DUMMYFUNCTION("""COMPUTED_VALUE"""),4500000.0)</f>
        <v>4500000</v>
      </c>
      <c r="O108" s="285" t="str">
        <f>IFERROR(__xludf.DUMMYFUNCTION("""COMPUTED_VALUE"""),"fu 26 juli")</f>
        <v>fu 26 juli</v>
      </c>
      <c r="P108" s="291" t="str">
        <f>IFERROR(__xludf.DUMMYFUNCTION("""COMPUTED_VALUE"""),"https://docs.google.com/document/d/1uAH3ykAbKawbzM_wfwn9AYQ_fp4j1HibtJPXpJZtjOU/edit?usp=sharing")</f>
        <v>https://docs.google.com/document/d/1uAH3ykAbKawbzM_wfwn9AYQ_fp4j1HibtJPXpJZtjOU/edit?usp=sharing</v>
      </c>
      <c r="R108" s="285" t="str">
        <f>IFERROR(__xludf.DUMMYFUNCTION("""COMPUTED_VALUE"""),"2607A062")</f>
        <v>2607A062</v>
      </c>
      <c r="S108" s="286">
        <f>IFERROR(__xludf.DUMMYFUNCTION("""COMPUTED_VALUE"""),46212.0)</f>
        <v>46212</v>
      </c>
      <c r="T108" s="285" t="str">
        <f>IFERROR(__xludf.DUMMYFUNCTION("""COMPUTED_VALUE"""),"kiky Poerwanti")</f>
        <v>kiky Poerwanti</v>
      </c>
      <c r="U108" s="285" t="str">
        <f>IFERROR(__xludf.DUMMYFUNCTION("""COMPUTED_VALUE"""),"085221033300")</f>
        <v>085221033300</v>
      </c>
      <c r="V108" s="285" t="str">
        <f>IFERROR(__xludf.DUMMYFUNCTION("""COMPUTED_VALUE"""),"Closing")</f>
        <v>Closing</v>
      </c>
      <c r="W108" s="285" t="str">
        <f>IFERROR(__xludf.DUMMYFUNCTION("""COMPUTED_VALUE"""),"private trip mt")</f>
        <v>private trip mt</v>
      </c>
      <c r="X108" s="287">
        <f>IFERROR(__xludf.DUMMYFUNCTION("""COMPUTED_VALUE"""),46214.0)</f>
        <v>46214</v>
      </c>
      <c r="Y108" s="285">
        <f>IFERROR(__xludf.DUMMYFUNCTION("""COMPUTED_VALUE"""),4.0)</f>
        <v>4</v>
      </c>
      <c r="Z108" s="289">
        <f>IFERROR(__xludf.DUMMYFUNCTION("""COMPUTED_VALUE"""),2000000.0)</f>
        <v>2000000</v>
      </c>
      <c r="AA108" s="285" t="str">
        <f>IFERROR(__xludf.DUMMYFUNCTION("""COMPUTED_VALUE"""),"alhamdulillah closing")</f>
        <v>alhamdulillah closing</v>
      </c>
      <c r="AC108" s="285" t="str">
        <f>IFERROR(__xludf.DUMMYFUNCTION("""COMPUTED_VALUE"""),"2603A003")</f>
        <v>2603A003</v>
      </c>
      <c r="AD108" s="286">
        <f>IFERROR(__xludf.DUMMYFUNCTION("""COMPUTED_VALUE"""),46082.0)</f>
        <v>46082</v>
      </c>
      <c r="AE108" s="285" t="str">
        <f>IFERROR(__xludf.DUMMYFUNCTION("""COMPUTED_VALUE"""),"Tania")</f>
        <v>Tania</v>
      </c>
      <c r="AF108" s="285" t="str">
        <f>IFERROR(__xludf.DUMMYFUNCTION("""COMPUTED_VALUE"""),"081232783200")</f>
        <v>081232783200</v>
      </c>
      <c r="AG108" s="285" t="str">
        <f>IFERROR(__xludf.DUMMYFUNCTION("""COMPUTED_VALUE"""),"Gagal")</f>
        <v>Gagal</v>
      </c>
      <c r="AH108" s="285" t="str">
        <f>IFERROR(__xludf.DUMMYFUNCTION("""COMPUTED_VALUE"""),"Private Trip Menjangan")</f>
        <v>Private Trip Menjangan</v>
      </c>
      <c r="AI108" s="287">
        <f>IFERROR(__xludf.DUMMYFUNCTION("""COMPUTED_VALUE"""),46103.0)</f>
        <v>46103</v>
      </c>
      <c r="AJ108" s="285">
        <f>IFERROR(__xludf.DUMMYFUNCTION("""COMPUTED_VALUE"""),3.0)</f>
        <v>3</v>
      </c>
      <c r="AK108" s="289">
        <f>IFERROR(__xludf.DUMMYFUNCTION("""COMPUTED_VALUE"""),2379000.0)</f>
        <v>2379000</v>
      </c>
      <c r="AL108" s="285" t="str">
        <f>IFERROR(__xludf.DUMMYFUNCTION("""COMPUTED_VALUE"""),"sudah kirim penawaran, tidak balas lagi")</f>
        <v>sudah kirim penawaran, tidak balas lagi</v>
      </c>
    </row>
    <row r="109">
      <c r="F109" s="285" t="str">
        <f>IFERROR(__xludf.DUMMYFUNCTION("""COMPUTED_VALUE"""),"2604A010")</f>
        <v>2604A010</v>
      </c>
      <c r="G109" s="286">
        <f>IFERROR(__xludf.DUMMYFUNCTION("""COMPUTED_VALUE"""),46116.0)</f>
        <v>46116</v>
      </c>
      <c r="H109" s="285" t="str">
        <f>IFERROR(__xludf.DUMMYFUNCTION("""COMPUTED_VALUE"""),"Fany")</f>
        <v>Fany</v>
      </c>
      <c r="I109" s="285" t="str">
        <f>IFERROR(__xludf.DUMMYFUNCTION("""COMPUTED_VALUE"""),"081283753936")</f>
        <v>081283753936</v>
      </c>
      <c r="J109" s="285" t="str">
        <f>IFERROR(__xludf.DUMMYFUNCTION("""COMPUTED_VALUE"""),"Qualified")</f>
        <v>Qualified</v>
      </c>
      <c r="K109" s="285" t="str">
        <f>IFERROR(__xludf.DUMMYFUNCTION("""COMPUTED_VALUE"""),"3h2m opsi B")</f>
        <v>3h2m opsi B</v>
      </c>
      <c r="L109" s="287"/>
      <c r="M109" s="285">
        <f>IFERROR(__xludf.DUMMYFUNCTION("""COMPUTED_VALUE"""),5.0)</f>
        <v>5</v>
      </c>
      <c r="N109" s="289">
        <f>IFERROR(__xludf.DUMMYFUNCTION("""COMPUTED_VALUE"""),5225000.0)</f>
        <v>5225000</v>
      </c>
      <c r="O109" s="285" t="str">
        <f>IFERROR(__xludf.DUMMYFUNCTION("""COMPUTED_VALUE"""),"fu mei")</f>
        <v>fu mei</v>
      </c>
      <c r="P109" s="291" t="str">
        <f>IFERROR(__xludf.DUMMYFUNCTION("""COMPUTED_VALUE"""),"https://docs.google.com/document/d/1REAXMG0es5KNvHeF-KAsTxul7WHsXn6y-H12x460mng/edit?usp=sharing")</f>
        <v>https://docs.google.com/document/d/1REAXMG0es5KNvHeF-KAsTxul7WHsXn6y-H12x460mng/edit?usp=sharing</v>
      </c>
      <c r="R109" s="285" t="str">
        <f>IFERROR(__xludf.DUMMYFUNCTION("""COMPUTED_VALUE"""),"2607A063")</f>
        <v>2607A063</v>
      </c>
      <c r="S109" s="286">
        <f>IFERROR(__xludf.DUMMYFUNCTION("""COMPUTED_VALUE"""),46211.0)</f>
        <v>46211</v>
      </c>
      <c r="T109" s="285" t="str">
        <f>IFERROR(__xludf.DUMMYFUNCTION("""COMPUTED_VALUE"""),"Tonie")</f>
        <v>Tonie</v>
      </c>
      <c r="U109" s="285" t="str">
        <f>IFERROR(__xludf.DUMMYFUNCTION("""COMPUTED_VALUE"""),"081232639790")</f>
        <v>081232639790</v>
      </c>
      <c r="V109" s="285" t="str">
        <f>IFERROR(__xludf.DUMMYFUNCTION("""COMPUTED_VALUE"""),"Closing")</f>
        <v>Closing</v>
      </c>
      <c r="W109" s="285" t="str">
        <f>IFERROR(__xludf.DUMMYFUNCTION("""COMPUTED_VALUE"""),"djawatan")</f>
        <v>djawatan</v>
      </c>
      <c r="X109" s="287">
        <f>IFERROR(__xludf.DUMMYFUNCTION("""COMPUTED_VALUE"""),46213.0)</f>
        <v>46213</v>
      </c>
      <c r="Y109" s="285">
        <f>IFERROR(__xludf.DUMMYFUNCTION("""COMPUTED_VALUE"""),2.0)</f>
        <v>2</v>
      </c>
      <c r="Z109" s="289"/>
      <c r="AA109" s="285"/>
      <c r="AC109" s="285" t="str">
        <f>IFERROR(__xludf.DUMMYFUNCTION("""COMPUTED_VALUE"""),"2603A004")</f>
        <v>2603A004</v>
      </c>
      <c r="AD109" s="286">
        <f>IFERROR(__xludf.DUMMYFUNCTION("""COMPUTED_VALUE"""),46082.0)</f>
        <v>46082</v>
      </c>
      <c r="AE109" s="285" t="str">
        <f>IFERROR(__xludf.DUMMYFUNCTION("""COMPUTED_VALUE"""),"Lidya")</f>
        <v>Lidya</v>
      </c>
      <c r="AF109" s="285" t="str">
        <f>IFERROR(__xludf.DUMMYFUNCTION("""COMPUTED_VALUE"""),"083198770259")</f>
        <v>083198770259</v>
      </c>
      <c r="AG109" s="285" t="str">
        <f>IFERROR(__xludf.DUMMYFUNCTION("""COMPUTED_VALUE"""),"Gagal")</f>
        <v>Gagal</v>
      </c>
      <c r="AH109" s="285" t="str">
        <f>IFERROR(__xludf.DUMMYFUNCTION("""COMPUTED_VALUE"""),"Private Trip 3H2M")</f>
        <v>Private Trip 3H2M</v>
      </c>
      <c r="AI109" s="287"/>
      <c r="AJ109" s="285">
        <f>IFERROR(__xludf.DUMMYFUNCTION("""COMPUTED_VALUE"""),46146.0)</f>
        <v>46146</v>
      </c>
      <c r="AK109" s="289">
        <f>IFERROR(__xludf.DUMMYFUNCTION("""COMPUTED_VALUE"""),7100000.0)</f>
        <v>7100000</v>
      </c>
      <c r="AL109" s="285" t="str">
        <f>IFERROR(__xludf.DUMMYFUNCTION("""COMPUTED_VALUE"""),"perubahan major rencana liburan")</f>
        <v>perubahan major rencana liburan</v>
      </c>
    </row>
    <row r="110">
      <c r="F110" s="285" t="str">
        <f>IFERROR(__xludf.DUMMYFUNCTION("""COMPUTED_VALUE"""),"2604A018")</f>
        <v>2604A018</v>
      </c>
      <c r="G110" s="286">
        <f>IFERROR(__xludf.DUMMYFUNCTION("""COMPUTED_VALUE"""),46119.0)</f>
        <v>46119</v>
      </c>
      <c r="H110" s="285" t="str">
        <f>IFERROR(__xludf.DUMMYFUNCTION("""COMPUTED_VALUE"""),"Guntur Dwi Prakoso")</f>
        <v>Guntur Dwi Prakoso</v>
      </c>
      <c r="I110" s="285" t="str">
        <f>IFERROR(__xludf.DUMMYFUNCTION("""COMPUTED_VALUE"""),"082121655422‬")</f>
        <v>082121655422‬</v>
      </c>
      <c r="J110" s="285" t="str">
        <f>IFERROR(__xludf.DUMMYFUNCTION("""COMPUTED_VALUE"""),"Qualified")</f>
        <v>Qualified</v>
      </c>
      <c r="K110" s="285" t="str">
        <f>IFERROR(__xludf.DUMMYFUNCTION("""COMPUTED_VALUE"""),"2h1m Custom")</f>
        <v>2h1m Custom</v>
      </c>
      <c r="L110" s="287"/>
      <c r="M110" s="285">
        <f>IFERROR(__xludf.DUMMYFUNCTION("""COMPUTED_VALUE"""),3.0)</f>
        <v>3</v>
      </c>
      <c r="N110" s="289"/>
      <c r="O110" s="285" t="str">
        <f>IFERROR(__xludf.DUMMYFUNCTION("""COMPUTED_VALUE"""),"di reschedule. fu 18 juni")</f>
        <v>di reschedule. fu 18 juni</v>
      </c>
      <c r="P110" s="291" t="str">
        <f>IFERROR(__xludf.DUMMYFUNCTION("""COMPUTED_VALUE"""),"https://docs.google.com/document/d/1nlkDUjK4f2dbu3E3yMwYkk8VhWAlpqNkTprb-q4o_rw/edit?usp=sharing")</f>
        <v>https://docs.google.com/document/d/1nlkDUjK4f2dbu3E3yMwYkk8VhWAlpqNkTprb-q4o_rw/edit?usp=sharing</v>
      </c>
      <c r="R110" s="285" t="str">
        <f>IFERROR(__xludf.DUMMYFUNCTION("""COMPUTED_VALUE"""),"2607A069")</f>
        <v>2607A069</v>
      </c>
      <c r="S110" s="286">
        <f>IFERROR(__xludf.DUMMYFUNCTION("""COMPUTED_VALUE"""),46209.0)</f>
        <v>46209</v>
      </c>
      <c r="T110" s="285" t="str">
        <f>IFERROR(__xludf.DUMMYFUNCTION("""COMPUTED_VALUE"""),"Ismi Anita Rukani")</f>
        <v>Ismi Anita Rukani</v>
      </c>
      <c r="U110" s="285" t="str">
        <f>IFERROR(__xludf.DUMMYFUNCTION("""COMPUTED_VALUE"""),"082371352381")</f>
        <v>082371352381</v>
      </c>
      <c r="V110" s="285" t="str">
        <f>IFERROR(__xludf.DUMMYFUNCTION("""COMPUTED_VALUE"""),"Closing")</f>
        <v>Closing</v>
      </c>
      <c r="W110" s="285" t="str">
        <f>IFERROR(__xludf.DUMMYFUNCTION("""COMPUTED_VALUE"""),"ot mt")</f>
        <v>ot mt</v>
      </c>
      <c r="X110" s="287">
        <f>IFERROR(__xludf.DUMMYFUNCTION("""COMPUTED_VALUE"""),46226.0)</f>
        <v>46226</v>
      </c>
      <c r="Y110" s="285">
        <f>IFERROR(__xludf.DUMMYFUNCTION("""COMPUTED_VALUE"""),2.0)</f>
        <v>2</v>
      </c>
      <c r="Z110" s="289">
        <f>IFERROR(__xludf.DUMMYFUNCTION("""COMPUTED_VALUE"""),800000.0)</f>
        <v>800000</v>
      </c>
      <c r="AA110" s="285" t="str">
        <f>IFERROR(__xludf.DUMMYFUNCTION("""COMPUTED_VALUE"""),"alhamdulillah")</f>
        <v>alhamdulillah</v>
      </c>
      <c r="AC110" s="285" t="str">
        <f>IFERROR(__xludf.DUMMYFUNCTION("""COMPUTED_VALUE"""),"2603A005")</f>
        <v>2603A005</v>
      </c>
      <c r="AD110" s="286">
        <f>IFERROR(__xludf.DUMMYFUNCTION("""COMPUTED_VALUE"""),46082.0)</f>
        <v>46082</v>
      </c>
      <c r="AE110" s="285" t="str">
        <f>IFERROR(__xludf.DUMMYFUNCTION("""COMPUTED_VALUE"""),"Isti")</f>
        <v>Isti</v>
      </c>
      <c r="AF110" s="285" t="str">
        <f>IFERROR(__xludf.DUMMYFUNCTION("""COMPUTED_VALUE"""),"61402000436")</f>
        <v>61402000436</v>
      </c>
      <c r="AG110" s="285" t="str">
        <f>IFERROR(__xludf.DUMMYFUNCTION("""COMPUTED_VALUE"""),"Gagal")</f>
        <v>Gagal</v>
      </c>
      <c r="AH110" s="285"/>
      <c r="AI110" s="287"/>
      <c r="AJ110" s="285">
        <f>IFERROR(__xludf.DUMMYFUNCTION("""COMPUTED_VALUE"""),1.0)</f>
        <v>1</v>
      </c>
      <c r="AK110" s="289"/>
      <c r="AL110" s="285" t="str">
        <f>IFERROR(__xludf.DUMMYFUNCTION("""COMPUTED_VALUE"""),"menanyakan tanggal")</f>
        <v>menanyakan tanggal</v>
      </c>
    </row>
    <row r="111">
      <c r="F111" s="285" t="str">
        <f>IFERROR(__xludf.DUMMYFUNCTION("""COMPUTED_VALUE"""),"2604A019")</f>
        <v>2604A019</v>
      </c>
      <c r="G111" s="286">
        <f>IFERROR(__xludf.DUMMYFUNCTION("""COMPUTED_VALUE"""),46119.0)</f>
        <v>46119</v>
      </c>
      <c r="H111" s="285" t="str">
        <f>IFERROR(__xludf.DUMMYFUNCTION("""COMPUTED_VALUE"""),"Laili Maghfiroh")</f>
        <v>Laili Maghfiroh</v>
      </c>
      <c r="I111" s="285" t="str">
        <f>IFERROR(__xludf.DUMMYFUNCTION("""COMPUTED_VALUE"""),"085730946704")</f>
        <v>085730946704</v>
      </c>
      <c r="J111" s="285" t="str">
        <f>IFERROR(__xludf.DUMMYFUNCTION("""COMPUTED_VALUE"""),"Qualified")</f>
        <v>Qualified</v>
      </c>
      <c r="K111" s="285" t="str">
        <f>IFERROR(__xludf.DUMMYFUNCTION("""COMPUTED_VALUE"""),"Trip M, B")</f>
        <v>Trip M, B</v>
      </c>
      <c r="L111" s="287"/>
      <c r="M111" s="285">
        <f>IFERROR(__xludf.DUMMYFUNCTION("""COMPUTED_VALUE"""),3.0)</f>
        <v>3</v>
      </c>
      <c r="N111" s="289">
        <f>IFERROR(__xludf.DUMMYFUNCTION("""COMPUTED_VALUE"""),3516000.0)</f>
        <v>3516000</v>
      </c>
      <c r="O111" s="285" t="str">
        <f>IFERROR(__xludf.DUMMYFUNCTION("""COMPUTED_VALUE"""),"FU Awal mei")</f>
        <v>FU Awal mei</v>
      </c>
      <c r="P111" s="291" t="str">
        <f>IFERROR(__xludf.DUMMYFUNCTION("""COMPUTED_VALUE"""),"https://docs.google.com/document/d/1p6FbS35eOdJX4G5UmJlySPAi66eKpChvJtpZ2RCtn0s/edit?usp=sharing")</f>
        <v>https://docs.google.com/document/d/1p6FbS35eOdJX4G5UmJlySPAi66eKpChvJtpZ2RCtn0s/edit?usp=sharing</v>
      </c>
      <c r="R111" s="285" t="str">
        <f>IFERROR(__xludf.DUMMYFUNCTION("""COMPUTED_VALUE"""),"2607A093")</f>
        <v>2607A093</v>
      </c>
      <c r="S111" s="286">
        <f>IFERROR(__xludf.DUMMYFUNCTION("""COMPUTED_VALUE"""),46217.0)</f>
        <v>46217</v>
      </c>
      <c r="T111" s="285" t="str">
        <f>IFERROR(__xludf.DUMMYFUNCTION("""COMPUTED_VALUE"""),"Andre Sihombing")</f>
        <v>Andre Sihombing</v>
      </c>
      <c r="U111" s="285" t="str">
        <f>IFERROR(__xludf.DUMMYFUNCTION("""COMPUTED_VALUE"""),"081808432801")</f>
        <v>081808432801</v>
      </c>
      <c r="V111" s="285" t="str">
        <f>IFERROR(__xludf.DUMMYFUNCTION("""COMPUTED_VALUE"""),"Closing")</f>
        <v>Closing</v>
      </c>
      <c r="W111" s="285" t="str">
        <f>IFERROR(__xludf.DUMMYFUNCTION("""COMPUTED_VALUE"""),"2h1m custome")</f>
        <v>2h1m custome</v>
      </c>
      <c r="X111" s="287">
        <f>IFERROR(__xludf.DUMMYFUNCTION("""COMPUTED_VALUE"""),46223.0)</f>
        <v>46223</v>
      </c>
      <c r="Y111" s="285">
        <f>IFERROR(__xludf.DUMMYFUNCTION("""COMPUTED_VALUE"""),2.0)</f>
        <v>2</v>
      </c>
      <c r="Z111" s="289">
        <f>IFERROR(__xludf.DUMMYFUNCTION("""COMPUTED_VALUE"""),2800000.0)</f>
        <v>2800000</v>
      </c>
      <c r="AA111" s="285" t="str">
        <f>IFERROR(__xludf.DUMMYFUNCTION("""COMPUTED_VALUE"""),"fu 18 juli")</f>
        <v>fu 18 juli</v>
      </c>
      <c r="AC111" s="285" t="str">
        <f>IFERROR(__xludf.DUMMYFUNCTION("""COMPUTED_VALUE"""),"2603A006")</f>
        <v>2603A006</v>
      </c>
      <c r="AD111" s="286">
        <f>IFERROR(__xludf.DUMMYFUNCTION("""COMPUTED_VALUE"""),46084.0)</f>
        <v>46084</v>
      </c>
      <c r="AE111" s="285" t="str">
        <f>IFERROR(__xludf.DUMMYFUNCTION("""COMPUTED_VALUE"""),"Isna  Valufi")</f>
        <v>Isna  Valufi</v>
      </c>
      <c r="AF111" s="285" t="str">
        <f>IFERROR(__xludf.DUMMYFUNCTION("""COMPUTED_VALUE"""),"087825743455")</f>
        <v>087825743455</v>
      </c>
      <c r="AG111" s="285" t="str">
        <f>IFERROR(__xludf.DUMMYFUNCTION("""COMPUTED_VALUE"""),"Gagal")</f>
        <v>Gagal</v>
      </c>
      <c r="AH111" s="285" t="str">
        <f>IFERROR(__xludf.DUMMYFUNCTION("""COMPUTED_VALUE"""),"OT 3D2N")</f>
        <v>OT 3D2N</v>
      </c>
      <c r="AI111" s="287"/>
      <c r="AJ111" s="285">
        <f>IFERROR(__xludf.DUMMYFUNCTION("""COMPUTED_VALUE"""),1.0)</f>
        <v>1</v>
      </c>
      <c r="AK111" s="289">
        <f>IFERROR(__xludf.DUMMYFUNCTION("""COMPUTED_VALUE"""),1600000.0)</f>
        <v>1600000</v>
      </c>
      <c r="AL111" s="285" t="str">
        <f>IFERROR(__xludf.DUMMYFUNCTION("""COMPUTED_VALUE"""),"gajadi ambil cuti")</f>
        <v>gajadi ambil cuti</v>
      </c>
    </row>
    <row r="112">
      <c r="F112" s="285" t="str">
        <f>IFERROR(__xludf.DUMMYFUNCTION("""COMPUTED_VALUE"""),"2604A022")</f>
        <v>2604A022</v>
      </c>
      <c r="G112" s="286">
        <f>IFERROR(__xludf.DUMMYFUNCTION("""COMPUTED_VALUE"""),46120.0)</f>
        <v>46120</v>
      </c>
      <c r="H112" s="285" t="str">
        <f>IFERROR(__xludf.DUMMYFUNCTION("""COMPUTED_VALUE"""),"Suvi")</f>
        <v>Suvi</v>
      </c>
      <c r="I112" s="285" t="str">
        <f>IFERROR(__xludf.DUMMYFUNCTION("""COMPUTED_VALUE"""),"08127519858")</f>
        <v>08127519858</v>
      </c>
      <c r="J112" s="285" t="str">
        <f>IFERROR(__xludf.DUMMYFUNCTION("""COMPUTED_VALUE"""),"Qualified")</f>
        <v>Qualified</v>
      </c>
      <c r="K112" s="285" t="str">
        <f>IFERROR(__xludf.DUMMYFUNCTION("""COMPUTED_VALUE"""),"3H2M / 4H3M")</f>
        <v>3H2M / 4H3M</v>
      </c>
      <c r="L112" s="287"/>
      <c r="M112" s="285">
        <f>IFERROR(__xludf.DUMMYFUNCTION("""COMPUTED_VALUE"""),6.0)</f>
        <v>6</v>
      </c>
      <c r="N112" s="289"/>
      <c r="O112" s="285" t="str">
        <f>IFERROR(__xludf.DUMMYFUNCTION("""COMPUTED_VALUE"""),"FU 10 mei")</f>
        <v>FU 10 mei</v>
      </c>
      <c r="P112" s="291" t="str">
        <f>IFERROR(__xludf.DUMMYFUNCTION("""COMPUTED_VALUE"""),"https://docs.google.com/document/d/13AGnN7-A4DwLwb8t7WqtzcF3aSk3R5f5pEdD2SMe_dE/edit?usp=sharing")</f>
        <v>https://docs.google.com/document/d/13AGnN7-A4DwLwb8t7WqtzcF3aSk3R5f5pEdD2SMe_dE/edit?usp=sharing</v>
      </c>
      <c r="R112" s="285" t="str">
        <f>IFERROR(__xludf.DUMMYFUNCTION("""COMPUTED_VALUE"""),"2607A094")</f>
        <v>2607A094</v>
      </c>
      <c r="S112" s="286">
        <f>IFERROR(__xludf.DUMMYFUNCTION("""COMPUTED_VALUE"""),46218.0)</f>
        <v>46218</v>
      </c>
      <c r="T112" s="285" t="str">
        <f>IFERROR(__xludf.DUMMYFUNCTION("""COMPUTED_VALUE"""),"Endah")</f>
        <v>Endah</v>
      </c>
      <c r="U112" s="285" t="str">
        <f>IFERROR(__xludf.DUMMYFUNCTION("""COMPUTED_VALUE"""),"081392172151")</f>
        <v>081392172151</v>
      </c>
      <c r="V112" s="285" t="str">
        <f>IFERROR(__xludf.DUMMYFUNCTION("""COMPUTED_VALUE"""),"Closing")</f>
        <v>Closing</v>
      </c>
      <c r="W112" s="285" t="str">
        <f>IFERROR(__xludf.DUMMYFUNCTION("""COMPUTED_VALUE"""),"2h1m custome")</f>
        <v>2h1m custome</v>
      </c>
      <c r="X112" s="287"/>
      <c r="Y112" s="285">
        <f>IFERROR(__xludf.DUMMYFUNCTION("""COMPUTED_VALUE"""),2.0)</f>
        <v>2</v>
      </c>
      <c r="Z112" s="289">
        <f>IFERROR(__xludf.DUMMYFUNCTION("""COMPUTED_VALUE"""),3560000.0)</f>
        <v>3560000</v>
      </c>
      <c r="AA112" s="285" t="str">
        <f>IFERROR(__xludf.DUMMYFUNCTION("""COMPUTED_VALUE"""),"alhamdulillah closing")</f>
        <v>alhamdulillah closing</v>
      </c>
      <c r="AC112" s="285" t="str">
        <f>IFERROR(__xludf.DUMMYFUNCTION("""COMPUTED_VALUE"""),"2603A008")</f>
        <v>2603A008</v>
      </c>
      <c r="AD112" s="286">
        <f>IFERROR(__xludf.DUMMYFUNCTION("""COMPUTED_VALUE"""),46086.0)</f>
        <v>46086</v>
      </c>
      <c r="AE112" s="285" t="str">
        <f>IFERROR(__xludf.DUMMYFUNCTION("""COMPUTED_VALUE"""),"Kang Uu EO Adventurious")</f>
        <v>Kang Uu EO Adventurious</v>
      </c>
      <c r="AF112" s="285" t="str">
        <f>IFERROR(__xludf.DUMMYFUNCTION("""COMPUTED_VALUE"""),"081931299010")</f>
        <v>081931299010</v>
      </c>
      <c r="AG112" s="285" t="str">
        <f>IFERROR(__xludf.DUMMYFUNCTION("""COMPUTED_VALUE"""),"Gagal")</f>
        <v>Gagal</v>
      </c>
      <c r="AH112" s="285" t="str">
        <f>IFERROR(__xludf.DUMMYFUNCTION("""COMPUTED_VALUE"""),"One day trip D B")</f>
        <v>One day trip D B</v>
      </c>
      <c r="AI112" s="287">
        <f>IFERROR(__xludf.DUMMYFUNCTION("""COMPUTED_VALUE"""),46121.0)</f>
        <v>46121</v>
      </c>
      <c r="AJ112" s="285">
        <f>IFERROR(__xludf.DUMMYFUNCTION("""COMPUTED_VALUE"""),23.0)</f>
        <v>23</v>
      </c>
      <c r="AK112" s="289">
        <f>IFERROR(__xludf.DUMMYFUNCTION("""COMPUTED_VALUE"""),1.403E7)</f>
        <v>14030000</v>
      </c>
      <c r="AL112" s="285" t="str">
        <f>IFERROR(__xludf.DUMMYFUNCTION("""COMPUTED_VALUE"""),"Tidak ada jawaban")</f>
        <v>Tidak ada jawaban</v>
      </c>
    </row>
    <row r="113">
      <c r="F113" s="285" t="str">
        <f>IFERROR(__xludf.DUMMYFUNCTION("""COMPUTED_VALUE"""),"2604A037")</f>
        <v>2604A037</v>
      </c>
      <c r="G113" s="286">
        <f>IFERROR(__xludf.DUMMYFUNCTION("""COMPUTED_VALUE"""),46123.0)</f>
        <v>46123</v>
      </c>
      <c r="H113" s="285" t="str">
        <f>IFERROR(__xludf.DUMMYFUNCTION("""COMPUTED_VALUE"""),"tanti")</f>
        <v>tanti</v>
      </c>
      <c r="I113" s="285" t="str">
        <f>IFERROR(__xludf.DUMMYFUNCTION("""COMPUTED_VALUE"""),"08121429009")</f>
        <v>08121429009</v>
      </c>
      <c r="J113" s="285" t="str">
        <f>IFERROR(__xludf.DUMMYFUNCTION("""COMPUTED_VALUE"""),"Qualified")</f>
        <v>Qualified</v>
      </c>
      <c r="K113" s="285" t="str">
        <f>IFERROR(__xludf.DUMMYFUNCTION("""COMPUTED_VALUE"""),"OT 3H2M")</f>
        <v>OT 3H2M</v>
      </c>
      <c r="L113" s="287"/>
      <c r="M113" s="285">
        <f>IFERROR(__xludf.DUMMYFUNCTION("""COMPUTED_VALUE"""),2.0)</f>
        <v>2</v>
      </c>
      <c r="N113" s="289">
        <f>IFERROR(__xludf.DUMMYFUNCTION("""COMPUTED_VALUE"""),3200000.0)</f>
        <v>3200000</v>
      </c>
      <c r="O113" s="285" t="str">
        <f>IFERROR(__xludf.DUMMYFUNCTION("""COMPUTED_VALUE"""),"fu 10  mei")</f>
        <v>fu 10  mei</v>
      </c>
      <c r="P113" s="291" t="str">
        <f>IFERROR(__xludf.DUMMYFUNCTION("""COMPUTED_VALUE"""),"https://docs.google.com/document/d/1tw1BYXESqh0wP9bkhQBi4V1R3etBrR0QP_d9R6VH1fU/edit?usp=sharing")</f>
        <v>https://docs.google.com/document/d/1tw1BYXESqh0wP9bkhQBi4V1R3etBrR0QP_d9R6VH1fU/edit?usp=sharing</v>
      </c>
      <c r="R113" s="285" t="str">
        <f>IFERROR(__xludf.DUMMYFUNCTION("""COMPUTED_VALUE"""),"2607A125")</f>
        <v>2607A125</v>
      </c>
      <c r="S113" s="286">
        <f>IFERROR(__xludf.DUMMYFUNCTION("""COMPUTED_VALUE"""),46224.0)</f>
        <v>46224</v>
      </c>
      <c r="T113" s="285" t="str">
        <f>IFERROR(__xludf.DUMMYFUNCTION("""COMPUTED_VALUE"""),"Dewi Kumalasari")</f>
        <v>Dewi Kumalasari</v>
      </c>
      <c r="U113" s="285" t="str">
        <f>IFERROR(__xludf.DUMMYFUNCTION("""COMPUTED_VALUE"""),"081393048488")</f>
        <v>081393048488</v>
      </c>
      <c r="V113" s="285" t="str">
        <f>IFERROR(__xludf.DUMMYFUNCTION("""COMPUTED_VALUE"""),"Closing")</f>
        <v>Closing</v>
      </c>
      <c r="W113" s="285" t="str">
        <f>IFERROR(__xludf.DUMMYFUNCTION("""COMPUTED_VALUE"""),"2h1m custom")</f>
        <v>2h1m custom</v>
      </c>
      <c r="X113" s="287"/>
      <c r="Y113" s="285">
        <f>IFERROR(__xludf.DUMMYFUNCTION("""COMPUTED_VALUE"""),1.0)</f>
        <v>1</v>
      </c>
      <c r="Z113" s="289">
        <f>IFERROR(__xludf.DUMMYFUNCTION("""COMPUTED_VALUE"""),2620000.0)</f>
        <v>2620000</v>
      </c>
      <c r="AA113" s="285" t="str">
        <f>IFERROR(__xludf.DUMMYFUNCTION("""COMPUTED_VALUE"""),"fu 23 juli")</f>
        <v>fu 23 juli</v>
      </c>
      <c r="AC113" s="285" t="str">
        <f>IFERROR(__xludf.DUMMYFUNCTION("""COMPUTED_VALUE"""),"2603A009")</f>
        <v>2603A009</v>
      </c>
      <c r="AD113" s="286">
        <f>IFERROR(__xludf.DUMMYFUNCTION("""COMPUTED_VALUE"""),46086.0)</f>
        <v>46086</v>
      </c>
      <c r="AE113" s="285" t="str">
        <f>IFERROR(__xludf.DUMMYFUNCTION("""COMPUTED_VALUE"""),"Centuryviktor")</f>
        <v>Centuryviktor</v>
      </c>
      <c r="AF113" s="285" t="str">
        <f>IFERROR(__xludf.DUMMYFUNCTION("""COMPUTED_VALUE"""),"085717505050")</f>
        <v>085717505050</v>
      </c>
      <c r="AG113" s="285" t="str">
        <f>IFERROR(__xludf.DUMMYFUNCTION("""COMPUTED_VALUE"""),"Gagal")</f>
        <v>Gagal</v>
      </c>
      <c r="AH113" s="285" t="str">
        <f>IFERROR(__xludf.DUMMYFUNCTION("""COMPUTED_VALUE"""),"4H3M ")</f>
        <v>4H3M </v>
      </c>
      <c r="AI113" s="287">
        <f>IFERROR(__xludf.DUMMYFUNCTION("""COMPUTED_VALUE"""),46101.0)</f>
        <v>46101</v>
      </c>
      <c r="AJ113" s="285">
        <f>IFERROR(__xludf.DUMMYFUNCTION("""COMPUTED_VALUE"""),4.0)</f>
        <v>4</v>
      </c>
      <c r="AK113" s="289">
        <f>IFERROR(__xludf.DUMMYFUNCTION("""COMPUTED_VALUE"""),1.6E7)</f>
        <v>16000000</v>
      </c>
      <c r="AL113" s="285" t="str">
        <f>IFERROR(__xludf.DUMMYFUNCTION("""COMPUTED_VALUE"""),"cancel, jadinya ke jogja")</f>
        <v>cancel, jadinya ke jogja</v>
      </c>
    </row>
    <row r="114">
      <c r="F114" s="285" t="str">
        <f>IFERROR(__xludf.DUMMYFUNCTION("""COMPUTED_VALUE"""),"2604A045")</f>
        <v>2604A045</v>
      </c>
      <c r="G114" s="286">
        <f>IFERROR(__xludf.DUMMYFUNCTION("""COMPUTED_VALUE"""),46124.0)</f>
        <v>46124</v>
      </c>
      <c r="H114" s="285" t="str">
        <f>IFERROR(__xludf.DUMMYFUNCTION("""COMPUTED_VALUE"""),"Celine")</f>
        <v>Celine</v>
      </c>
      <c r="I114" s="285" t="str">
        <f>IFERROR(__xludf.DUMMYFUNCTION("""COMPUTED_VALUE"""),"087813520145")</f>
        <v>087813520145</v>
      </c>
      <c r="J114" s="285" t="str">
        <f>IFERROR(__xludf.DUMMYFUNCTION("""COMPUTED_VALUE"""),"Qualified")</f>
        <v>Qualified</v>
      </c>
      <c r="K114" s="285" t="str">
        <f>IFERROR(__xludf.DUMMYFUNCTION("""COMPUTED_VALUE"""),"Trip D, B, PM, Kawah wurung")</f>
        <v>Trip D, B, PM, Kawah wurung</v>
      </c>
      <c r="L114" s="287"/>
      <c r="M114" s="285">
        <f>IFERROR(__xludf.DUMMYFUNCTION("""COMPUTED_VALUE"""),3.0)</f>
        <v>3</v>
      </c>
      <c r="N114" s="289">
        <f>IFERROR(__xludf.DUMMYFUNCTION("""COMPUTED_VALUE"""),3540000.0)</f>
        <v>3540000</v>
      </c>
      <c r="O114" s="285" t="str">
        <f>IFERROR(__xludf.DUMMYFUNCTION("""COMPUTED_VALUE"""),"FU 5 mei")</f>
        <v>FU 5 mei</v>
      </c>
      <c r="P114" s="291" t="str">
        <f>IFERROR(__xludf.DUMMYFUNCTION("""COMPUTED_VALUE"""),"https://docs.google.com/document/d/1kA7lEu7PdLCfWjo5mzgEk9bw7rm4B8A2fmokR6EtvjI/edit?usp=sharing")</f>
        <v>https://docs.google.com/document/d/1kA7lEu7PdLCfWjo5mzgEk9bw7rm4B8A2fmokR6EtvjI/edit?usp=sharing</v>
      </c>
      <c r="R114" s="285" t="str">
        <f>IFERROR(__xludf.DUMMYFUNCTION("""COMPUTED_VALUE"""),"2607A129")</f>
        <v>2607A129</v>
      </c>
      <c r="S114" s="286">
        <f>IFERROR(__xludf.DUMMYFUNCTION("""COMPUTED_VALUE"""),46225.0)</f>
        <v>46225</v>
      </c>
      <c r="T114" s="285" t="str">
        <f>IFERROR(__xludf.DUMMYFUNCTION("""COMPUTED_VALUE"""),"Andy Regan")</f>
        <v>Andy Regan</v>
      </c>
      <c r="U114" s="285" t="str">
        <f>IFERROR(__xludf.DUMMYFUNCTION("""COMPUTED_VALUE"""),"085692676171")</f>
        <v>085692676171</v>
      </c>
      <c r="V114" s="285" t="str">
        <f>IFERROR(__xludf.DUMMYFUNCTION("""COMPUTED_VALUE"""),"Closing")</f>
        <v>Closing</v>
      </c>
      <c r="W114" s="285" t="str">
        <f>IFERROR(__xludf.DUMMYFUNCTION("""COMPUTED_VALUE"""),"ot menjangan tabuhan, ot ijen")</f>
        <v>ot menjangan tabuhan, ot ijen</v>
      </c>
      <c r="X114" s="287">
        <f>IFERROR(__xludf.DUMMYFUNCTION("""COMPUTED_VALUE"""),46227.0)</f>
        <v>46227</v>
      </c>
      <c r="Y114" s="285">
        <f>IFERROR(__xludf.DUMMYFUNCTION("""COMPUTED_VALUE"""),1.0)</f>
        <v>1</v>
      </c>
      <c r="Z114" s="289">
        <f>IFERROR(__xludf.DUMMYFUNCTION("""COMPUTED_VALUE"""),650000.0)</f>
        <v>650000</v>
      </c>
      <c r="AA114" s="285" t="str">
        <f>IFERROR(__xludf.DUMMYFUNCTION("""COMPUTED_VALUE"""),"alhamdulillah order")</f>
        <v>alhamdulillah order</v>
      </c>
      <c r="AC114" s="285" t="str">
        <f>IFERROR(__xludf.DUMMYFUNCTION("""COMPUTED_VALUE"""),"2603A010")</f>
        <v>2603A010</v>
      </c>
      <c r="AD114" s="286">
        <f>IFERROR(__xludf.DUMMYFUNCTION("""COMPUTED_VALUE"""),46087.0)</f>
        <v>46087</v>
      </c>
      <c r="AE114" s="285" t="str">
        <f>IFERROR(__xludf.DUMMYFUNCTION("""COMPUTED_VALUE"""),"Hilda")</f>
        <v>Hilda</v>
      </c>
      <c r="AF114" s="285" t="str">
        <f>IFERROR(__xludf.DUMMYFUNCTION("""COMPUTED_VALUE"""),"081396838385")</f>
        <v>081396838385</v>
      </c>
      <c r="AG114" s="285" t="str">
        <f>IFERROR(__xludf.DUMMYFUNCTION("""COMPUTED_VALUE"""),"Gagal")</f>
        <v>Gagal</v>
      </c>
      <c r="AH114" s="285" t="str">
        <f>IFERROR(__xludf.DUMMYFUNCTION("""COMPUTED_VALUE"""),"OT I")</f>
        <v>OT I</v>
      </c>
      <c r="AI114" s="287"/>
      <c r="AJ114" s="285"/>
      <c r="AK114" s="289"/>
      <c r="AL114" s="285" t="str">
        <f>IFERROR(__xludf.DUMMYFUNCTION("""COMPUTED_VALUE"""),"mau nanya-nnya dlu")</f>
        <v>mau nanya-nnya dlu</v>
      </c>
    </row>
    <row r="115">
      <c r="F115" s="285" t="str">
        <f>IFERROR(__xludf.DUMMYFUNCTION("""COMPUTED_VALUE"""),"2604A047")</f>
        <v>2604A047</v>
      </c>
      <c r="G115" s="286">
        <f>IFERROR(__xludf.DUMMYFUNCTION("""COMPUTED_VALUE"""),46126.0)</f>
        <v>46126</v>
      </c>
      <c r="H115" s="285" t="str">
        <f>IFERROR(__xludf.DUMMYFUNCTION("""COMPUTED_VALUE"""),"Fina")</f>
        <v>Fina</v>
      </c>
      <c r="I115" s="285" t="str">
        <f>IFERROR(__xludf.DUMMYFUNCTION("""COMPUTED_VALUE"""),"089514536194")</f>
        <v>089514536194</v>
      </c>
      <c r="J115" s="285" t="str">
        <f>IFERROR(__xludf.DUMMYFUNCTION("""COMPUTED_VALUE"""),"Qualified")</f>
        <v>Qualified</v>
      </c>
      <c r="K115" s="285" t="str">
        <f>IFERROR(__xludf.DUMMYFUNCTION("""COMPUTED_VALUE"""),"3h2m opsi A")</f>
        <v>3h2m opsi A</v>
      </c>
      <c r="L115" s="287"/>
      <c r="M115" s="285">
        <f>IFERROR(__xludf.DUMMYFUNCTION("""COMPUTED_VALUE"""),8.0)</f>
        <v>8</v>
      </c>
      <c r="N115" s="289">
        <f>IFERROR(__xludf.DUMMYFUNCTION("""COMPUTED_VALUE"""),1.5E7)</f>
        <v>15000000</v>
      </c>
      <c r="O115" s="285" t="str">
        <f>IFERROR(__xludf.DUMMYFUNCTION("""COMPUTED_VALUE"""),"masih dishare ke grup, Fu 2 mei")</f>
        <v>masih dishare ke grup, Fu 2 mei</v>
      </c>
      <c r="P115" s="291" t="str">
        <f>IFERROR(__xludf.DUMMYFUNCTION("""COMPUTED_VALUE"""),"https://docs.google.com/document/d/1paIhZipVKAvm_NxzkVLzS3a8DtPRoJonkdvzfHoWmrI/edit?usp=sharing")</f>
        <v>https://docs.google.com/document/d/1paIhZipVKAvm_NxzkVLzS3a8DtPRoJonkdvzfHoWmrI/edit?usp=sharing</v>
      </c>
      <c r="R115" s="285" t="str">
        <f>IFERROR(__xludf.DUMMYFUNCTION("""COMPUTED_VALUE"""),"2607A133")</f>
        <v>2607A133</v>
      </c>
      <c r="S115" s="286">
        <f>IFERROR(__xludf.DUMMYFUNCTION("""COMPUTED_VALUE"""),46227.0)</f>
        <v>46227</v>
      </c>
      <c r="T115" s="285" t="str">
        <f>IFERROR(__xludf.DUMMYFUNCTION("""COMPUTED_VALUE"""),"Yosef Julius Kevin")</f>
        <v>Yosef Julius Kevin</v>
      </c>
      <c r="U115" s="285" t="str">
        <f>IFERROR(__xludf.DUMMYFUNCTION("""COMPUTED_VALUE"""),"085924525225")</f>
        <v>085924525225</v>
      </c>
      <c r="V115" s="285" t="str">
        <f>IFERROR(__xludf.DUMMYFUNCTION("""COMPUTED_VALUE"""),"Closing")</f>
        <v>Closing</v>
      </c>
      <c r="W115" s="285" t="str">
        <f>IFERROR(__xludf.DUMMYFUNCTION("""COMPUTED_VALUE"""),"ot ijen")</f>
        <v>ot ijen</v>
      </c>
      <c r="X115" s="287">
        <f>IFERROR(__xludf.DUMMYFUNCTION("""COMPUTED_VALUE"""),46231.0)</f>
        <v>46231</v>
      </c>
      <c r="Y115" s="285">
        <f>IFERROR(__xludf.DUMMYFUNCTION("""COMPUTED_VALUE"""),1.0)</f>
        <v>1</v>
      </c>
      <c r="Z115" s="289">
        <f>IFERROR(__xludf.DUMMYFUNCTION("""COMPUTED_VALUE"""),250000.0)</f>
        <v>250000</v>
      </c>
      <c r="AA115" s="285" t="str">
        <f>IFERROR(__xludf.DUMMYFUNCTION("""COMPUTED_VALUE"""),"alhamdulillah order")</f>
        <v>alhamdulillah order</v>
      </c>
      <c r="AC115" s="285" t="str">
        <f>IFERROR(__xludf.DUMMYFUNCTION("""COMPUTED_VALUE"""),"2603A011")</f>
        <v>2603A011</v>
      </c>
      <c r="AD115" s="286">
        <f>IFERROR(__xludf.DUMMYFUNCTION("""COMPUTED_VALUE"""),46087.0)</f>
        <v>46087</v>
      </c>
      <c r="AE115" s="285" t="str">
        <f>IFERROR(__xludf.DUMMYFUNCTION("""COMPUTED_VALUE"""),"Edwin pramana")</f>
        <v>Edwin pramana</v>
      </c>
      <c r="AF115" s="285" t="str">
        <f>IFERROR(__xludf.DUMMYFUNCTION("""COMPUTED_VALUE"""),"085640932304")</f>
        <v>085640932304</v>
      </c>
      <c r="AG115" s="285" t="str">
        <f>IFERROR(__xludf.DUMMYFUNCTION("""COMPUTED_VALUE"""),"Gagal")</f>
        <v>Gagal</v>
      </c>
      <c r="AH115" s="285" t="str">
        <f>IFERROR(__xludf.DUMMYFUNCTION("""COMPUTED_VALUE"""),"3H2M Custom")</f>
        <v>3H2M Custom</v>
      </c>
      <c r="AI115" s="287"/>
      <c r="AJ115" s="285">
        <f>IFERROR(__xludf.DUMMYFUNCTION("""COMPUTED_VALUE"""),4.0)</f>
        <v>4</v>
      </c>
      <c r="AK115" s="289">
        <f>IFERROR(__xludf.DUMMYFUNCTION("""COMPUTED_VALUE"""),7120000.0)</f>
        <v>7120000</v>
      </c>
      <c r="AL115" s="285" t="str">
        <f>IFERROR(__xludf.DUMMYFUNCTION("""COMPUTED_VALUE"""),"tidak ada balasan lagi")</f>
        <v>tidak ada balasan lagi</v>
      </c>
    </row>
    <row r="116">
      <c r="F116" s="285" t="str">
        <f>IFERROR(__xludf.DUMMYFUNCTION("""COMPUTED_VALUE"""),"2604A051")</f>
        <v>2604A051</v>
      </c>
      <c r="G116" s="286">
        <f>IFERROR(__xludf.DUMMYFUNCTION("""COMPUTED_VALUE"""),46126.0)</f>
        <v>46126</v>
      </c>
      <c r="H116" s="285" t="str">
        <f>IFERROR(__xludf.DUMMYFUNCTION("""COMPUTED_VALUE"""),"Indriya")</f>
        <v>Indriya</v>
      </c>
      <c r="I116" s="285" t="str">
        <f>IFERROR(__xludf.DUMMYFUNCTION("""COMPUTED_VALUE"""),"082271637123")</f>
        <v>082271637123</v>
      </c>
      <c r="J116" s="285" t="str">
        <f>IFERROR(__xludf.DUMMYFUNCTION("""COMPUTED_VALUE"""),"Qualified")</f>
        <v>Qualified</v>
      </c>
      <c r="K116" s="285" t="str">
        <f>IFERROR(__xludf.DUMMYFUNCTION("""COMPUTED_VALUE"""),"4H3M")</f>
        <v>4H3M</v>
      </c>
      <c r="L116" s="287">
        <f>IFERROR(__xludf.DUMMYFUNCTION("""COMPUTED_VALUE"""),46223.0)</f>
        <v>46223</v>
      </c>
      <c r="M116" s="285">
        <f>IFERROR(__xludf.DUMMYFUNCTION("""COMPUTED_VALUE"""),4.0)</f>
        <v>4</v>
      </c>
      <c r="N116" s="289">
        <f>IFERROR(__xludf.DUMMYFUNCTION("""COMPUTED_VALUE"""),8460000.0)</f>
        <v>8460000</v>
      </c>
      <c r="O116" s="285"/>
      <c r="P116" s="291" t="str">
        <f>IFERROR(__xludf.DUMMYFUNCTION("""COMPUTED_VALUE"""),"https://docs.google.com/document/d/16HUEAj4hDXhu6YcxeOlYhOKJyT8jY-eWNZLthHortcw/edit?usp=sharing")</f>
        <v>https://docs.google.com/document/d/16HUEAj4hDXhu6YcxeOlYhOKJyT8jY-eWNZLthHortcw/edit?usp=sharing</v>
      </c>
      <c r="R116" s="285"/>
      <c r="S116" s="285"/>
      <c r="T116" s="285"/>
      <c r="U116" s="285"/>
      <c r="V116" s="285"/>
      <c r="W116" s="285"/>
      <c r="X116" s="285"/>
      <c r="Y116" s="285"/>
      <c r="Z116" s="285"/>
      <c r="AA116" s="285"/>
      <c r="AC116" s="285" t="str">
        <f>IFERROR(__xludf.DUMMYFUNCTION("""COMPUTED_VALUE"""),"2603A012")</f>
        <v>2603A012</v>
      </c>
      <c r="AD116" s="286">
        <f>IFERROR(__xludf.DUMMYFUNCTION("""COMPUTED_VALUE"""),46087.0)</f>
        <v>46087</v>
      </c>
      <c r="AE116" s="285" t="str">
        <f>IFERROR(__xludf.DUMMYFUNCTION("""COMPUTED_VALUE"""),"Shinta tata")</f>
        <v>Shinta tata</v>
      </c>
      <c r="AF116" s="285" t="str">
        <f>IFERROR(__xludf.DUMMYFUNCTION("""COMPUTED_VALUE"""),"087783170939")</f>
        <v>087783170939</v>
      </c>
      <c r="AG116" s="285" t="str">
        <f>IFERROR(__xludf.DUMMYFUNCTION("""COMPUTED_VALUE"""),"Gagal")</f>
        <v>Gagal</v>
      </c>
      <c r="AH116" s="285" t="str">
        <f>IFERROR(__xludf.DUMMYFUNCTION("""COMPUTED_VALUE"""),"Trip I")</f>
        <v>Trip I</v>
      </c>
      <c r="AI116" s="287"/>
      <c r="AJ116" s="285">
        <f>IFERROR(__xludf.DUMMYFUNCTION("""COMPUTED_VALUE"""),2.0)</f>
        <v>2</v>
      </c>
      <c r="AK116" s="289"/>
      <c r="AL116" s="285"/>
    </row>
    <row r="117">
      <c r="F117" s="285" t="str">
        <f>IFERROR(__xludf.DUMMYFUNCTION("""COMPUTED_VALUE"""),"2604A053")</f>
        <v>2604A053</v>
      </c>
      <c r="G117" s="286">
        <f>IFERROR(__xludf.DUMMYFUNCTION("""COMPUTED_VALUE"""),46127.0)</f>
        <v>46127</v>
      </c>
      <c r="H117" s="285" t="str">
        <f>IFERROR(__xludf.DUMMYFUNCTION("""COMPUTED_VALUE"""),"No Name")</f>
        <v>No Name</v>
      </c>
      <c r="I117" s="285" t="str">
        <f>IFERROR(__xludf.DUMMYFUNCTION("""COMPUTED_VALUE"""),"089654451424")</f>
        <v>089654451424</v>
      </c>
      <c r="J117" s="285" t="str">
        <f>IFERROR(__xludf.DUMMYFUNCTION("""COMPUTED_VALUE"""),"Qualified")</f>
        <v>Qualified</v>
      </c>
      <c r="K117" s="285" t="str">
        <f>IFERROR(__xludf.DUMMYFUNCTION("""COMPUTED_VALUE"""),"3H2M Opsi A")</f>
        <v>3H2M Opsi A</v>
      </c>
      <c r="L117" s="287"/>
      <c r="M117" s="285">
        <f>IFERROR(__xludf.DUMMYFUNCTION("""COMPUTED_VALUE"""),3.0)</f>
        <v>3</v>
      </c>
      <c r="N117" s="289">
        <f>IFERROR(__xludf.DUMMYFUNCTION("""COMPUTED_VALUE"""),6402000.0)</f>
        <v>6402000</v>
      </c>
      <c r="O117" s="285"/>
      <c r="P117" s="291" t="str">
        <f>IFERROR(__xludf.DUMMYFUNCTION("""COMPUTED_VALUE"""),"https://docs.google.com/document/d/1aOPRpMvvQewirm47rXVCTEB-xFW7SKdTHnDsy40Ie0o/edit?usp=sharing")</f>
        <v>https://docs.google.com/document/d/1aOPRpMvvQewirm47rXVCTEB-xFW7SKdTHnDsy40Ie0o/edit?usp=sharing</v>
      </c>
      <c r="R117" s="285"/>
      <c r="S117" s="285"/>
      <c r="T117" s="285"/>
      <c r="U117" s="285"/>
      <c r="V117" s="285"/>
      <c r="W117" s="285"/>
      <c r="X117" s="285"/>
      <c r="Y117" s="285"/>
      <c r="Z117" s="285"/>
      <c r="AA117" s="285"/>
      <c r="AC117" s="285" t="str">
        <f>IFERROR(__xludf.DUMMYFUNCTION("""COMPUTED_VALUE"""),"2603A014")</f>
        <v>2603A014</v>
      </c>
      <c r="AD117" s="286">
        <f>IFERROR(__xludf.DUMMYFUNCTION("""COMPUTED_VALUE"""),46088.0)</f>
        <v>46088</v>
      </c>
      <c r="AE117" s="285" t="str">
        <f>IFERROR(__xludf.DUMMYFUNCTION("""COMPUTED_VALUE"""),"Saskia")</f>
        <v>Saskia</v>
      </c>
      <c r="AF117" s="285" t="str">
        <f>IFERROR(__xludf.DUMMYFUNCTION("""COMPUTED_VALUE"""),"089503197071")</f>
        <v>089503197071</v>
      </c>
      <c r="AG117" s="285" t="str">
        <f>IFERROR(__xludf.DUMMYFUNCTION("""COMPUTED_VALUE"""),"Gagal")</f>
        <v>Gagal</v>
      </c>
      <c r="AH117" s="285"/>
      <c r="AI117" s="287"/>
      <c r="AJ117" s="285"/>
      <c r="AK117" s="289"/>
      <c r="AL117" s="285" t="str">
        <f>IFERROR(__xludf.DUMMYFUNCTION("""COMPUTED_VALUE"""),"hanya menyapa.")</f>
        <v>hanya menyapa.</v>
      </c>
    </row>
    <row r="118">
      <c r="F118" s="285" t="str">
        <f>IFERROR(__xludf.DUMMYFUNCTION("""COMPUTED_VALUE"""),"2604A058")</f>
        <v>2604A058</v>
      </c>
      <c r="G118" s="286">
        <f>IFERROR(__xludf.DUMMYFUNCTION("""COMPUTED_VALUE"""),46130.0)</f>
        <v>46130</v>
      </c>
      <c r="H118" s="285" t="str">
        <f>IFERROR(__xludf.DUMMYFUNCTION("""COMPUTED_VALUE"""),"Ambar")</f>
        <v>Ambar</v>
      </c>
      <c r="I118" s="285" t="str">
        <f>IFERROR(__xludf.DUMMYFUNCTION("""COMPUTED_VALUE"""),"082141083242")</f>
        <v>082141083242</v>
      </c>
      <c r="J118" s="285" t="str">
        <f>IFERROR(__xludf.DUMMYFUNCTION("""COMPUTED_VALUE"""),"Qualified")</f>
        <v>Qualified</v>
      </c>
      <c r="K118" s="285" t="str">
        <f>IFERROR(__xludf.DUMMYFUNCTION("""COMPUTED_VALUE"""),"OT D, B, M , T")</f>
        <v>OT D, B, M , T</v>
      </c>
      <c r="L118" s="287"/>
      <c r="M118" s="285">
        <f>IFERROR(__xludf.DUMMYFUNCTION("""COMPUTED_VALUE"""),2.0)</f>
        <v>2</v>
      </c>
      <c r="N118" s="289">
        <f>IFERROR(__xludf.DUMMYFUNCTION("""COMPUTED_VALUE"""),1100000.0)</f>
        <v>1100000</v>
      </c>
      <c r="O118" s="285"/>
      <c r="P118" s="291" t="str">
        <f>IFERROR(__xludf.DUMMYFUNCTION("""COMPUTED_VALUE"""),"https://docs.google.com/document/d/1quEnHGdTJcq9hhALJ1AJUKQ-azpep4kmgHwXiKRMJ5A/edit?usp=sharing")</f>
        <v>https://docs.google.com/document/d/1quEnHGdTJcq9hhALJ1AJUKQ-azpep4kmgHwXiKRMJ5A/edit?usp=sharing</v>
      </c>
      <c r="R118" s="285"/>
      <c r="S118" s="285"/>
      <c r="T118" s="285"/>
      <c r="U118" s="285"/>
      <c r="V118" s="285"/>
      <c r="W118" s="285"/>
      <c r="X118" s="285"/>
      <c r="Y118" s="285"/>
      <c r="Z118" s="285"/>
      <c r="AA118" s="285"/>
      <c r="AC118" s="285" t="str">
        <f>IFERROR(__xludf.DUMMYFUNCTION("""COMPUTED_VALUE"""),"2603A015")</f>
        <v>2603A015</v>
      </c>
      <c r="AD118" s="286">
        <f>IFERROR(__xludf.DUMMYFUNCTION("""COMPUTED_VALUE"""),46088.0)</f>
        <v>46088</v>
      </c>
      <c r="AE118" s="285" t="str">
        <f>IFERROR(__xludf.DUMMYFUNCTION("""COMPUTED_VALUE"""),"fith")</f>
        <v>fith</v>
      </c>
      <c r="AF118" s="285" t="str">
        <f>IFERROR(__xludf.DUMMYFUNCTION("""COMPUTED_VALUE"""),"089518004829")</f>
        <v>089518004829</v>
      </c>
      <c r="AG118" s="285" t="str">
        <f>IFERROR(__xludf.DUMMYFUNCTION("""COMPUTED_VALUE"""),"Gagal")</f>
        <v>Gagal</v>
      </c>
      <c r="AH118" s="285" t="str">
        <f>IFERROR(__xludf.DUMMYFUNCTION("""COMPUTED_VALUE"""),"3H2M")</f>
        <v>3H2M</v>
      </c>
      <c r="AI118" s="287"/>
      <c r="AJ118" s="285">
        <f>IFERROR(__xludf.DUMMYFUNCTION("""COMPUTED_VALUE"""),2.0)</f>
        <v>2</v>
      </c>
      <c r="AK118" s="289"/>
      <c r="AL118" s="285"/>
    </row>
    <row r="119">
      <c r="F119" s="285" t="str">
        <f>IFERROR(__xludf.DUMMYFUNCTION("""COMPUTED_VALUE"""),"2604A061")</f>
        <v>2604A061</v>
      </c>
      <c r="G119" s="286">
        <f>IFERROR(__xludf.DUMMYFUNCTION("""COMPUTED_VALUE"""),46131.0)</f>
        <v>46131</v>
      </c>
      <c r="H119" s="285" t="str">
        <f>IFERROR(__xludf.DUMMYFUNCTION("""COMPUTED_VALUE"""),"Juniffia")</f>
        <v>Juniffia</v>
      </c>
      <c r="I119" s="285" t="str">
        <f>IFERROR(__xludf.DUMMYFUNCTION("""COMPUTED_VALUE"""),"085524734259")</f>
        <v>085524734259</v>
      </c>
      <c r="J119" s="285" t="str">
        <f>IFERROR(__xludf.DUMMYFUNCTION("""COMPUTED_VALUE"""),"Qualified")</f>
        <v>Qualified</v>
      </c>
      <c r="K119" s="285" t="str">
        <f>IFERROR(__xludf.DUMMYFUNCTION("""COMPUTED_VALUE"""),"2h1m")</f>
        <v>2h1m</v>
      </c>
      <c r="L119" s="287">
        <f>IFERROR(__xludf.DUMMYFUNCTION("""COMPUTED_VALUE"""),46185.0)</f>
        <v>46185</v>
      </c>
      <c r="M119" s="285">
        <f>IFERROR(__xludf.DUMMYFUNCTION("""COMPUTED_VALUE"""),2.0)</f>
        <v>2</v>
      </c>
      <c r="N119" s="289">
        <f>IFERROR(__xludf.DUMMYFUNCTION("""COMPUTED_VALUE"""),3780000.0)</f>
        <v>3780000</v>
      </c>
      <c r="O119" s="285" t="str">
        <f>IFERROR(__xludf.DUMMYFUNCTION("""COMPUTED_VALUE"""),"kirim penawaran, Akhir mei")</f>
        <v>kirim penawaran, Akhir mei</v>
      </c>
      <c r="P119" s="291" t="str">
        <f>IFERROR(__xludf.DUMMYFUNCTION("""COMPUTED_VALUE"""),"https://docs.google.com/document/d/1LHtpVf3NdAI-vAH9vaeB8Rj2K3uRud5DL47eGjvvoxU/edit?usp=sharing")</f>
        <v>https://docs.google.com/document/d/1LHtpVf3NdAI-vAH9vaeB8Rj2K3uRud5DL47eGjvvoxU/edit?usp=sharing</v>
      </c>
      <c r="R119" s="285"/>
      <c r="S119" s="285"/>
      <c r="T119" s="285"/>
      <c r="U119" s="285"/>
      <c r="V119" s="285"/>
      <c r="W119" s="285"/>
      <c r="X119" s="285"/>
      <c r="Y119" s="285"/>
      <c r="Z119" s="285"/>
      <c r="AA119" s="285"/>
      <c r="AC119" s="285" t="str">
        <f>IFERROR(__xludf.DUMMYFUNCTION("""COMPUTED_VALUE"""),"2603A016")</f>
        <v>2603A016</v>
      </c>
      <c r="AD119" s="286">
        <f>IFERROR(__xludf.DUMMYFUNCTION("""COMPUTED_VALUE"""),46088.0)</f>
        <v>46088</v>
      </c>
      <c r="AE119" s="285" t="str">
        <f>IFERROR(__xludf.DUMMYFUNCTION("""COMPUTED_VALUE"""),"Robertus Samosir")</f>
        <v>Robertus Samosir</v>
      </c>
      <c r="AF119" s="285" t="str">
        <f>IFERROR(__xludf.DUMMYFUNCTION("""COMPUTED_VALUE"""),"085363908264")</f>
        <v>085363908264</v>
      </c>
      <c r="AG119" s="285" t="str">
        <f>IFERROR(__xludf.DUMMYFUNCTION("""COMPUTED_VALUE"""),"Gagal")</f>
        <v>Gagal</v>
      </c>
      <c r="AH119" s="285" t="str">
        <f>IFERROR(__xludf.DUMMYFUNCTION("""COMPUTED_VALUE"""),"Custom 3H2M")</f>
        <v>Custom 3H2M</v>
      </c>
      <c r="AI119" s="287"/>
      <c r="AJ119" s="285">
        <f>IFERROR(__xludf.DUMMYFUNCTION("""COMPUTED_VALUE"""),5.0)</f>
        <v>5</v>
      </c>
      <c r="AK119" s="289">
        <f>IFERROR(__xludf.DUMMYFUNCTION("""COMPUTED_VALUE"""),8515000.0)</f>
        <v>8515000</v>
      </c>
      <c r="AL119" s="285" t="str">
        <f>IFERROR(__xludf.DUMMYFUNCTION("""COMPUTED_VALUE"""),"sejak kirim penawaran tidak ada balasan lagi")</f>
        <v>sejak kirim penawaran tidak ada balasan lagi</v>
      </c>
    </row>
    <row r="120">
      <c r="F120" s="285" t="str">
        <f>IFERROR(__xludf.DUMMYFUNCTION("""COMPUTED_VALUE"""),"2604A063")</f>
        <v>2604A063</v>
      </c>
      <c r="G120" s="286">
        <f>IFERROR(__xludf.DUMMYFUNCTION("""COMPUTED_VALUE"""),46131.0)</f>
        <v>46131</v>
      </c>
      <c r="H120" s="285" t="str">
        <f>IFERROR(__xludf.DUMMYFUNCTION("""COMPUTED_VALUE"""),"Sky")</f>
        <v>Sky</v>
      </c>
      <c r="I120" s="285" t="str">
        <f>IFERROR(__xludf.DUMMYFUNCTION("""COMPUTED_VALUE"""),"08156960491")</f>
        <v>08156960491</v>
      </c>
      <c r="J120" s="285" t="str">
        <f>IFERROR(__xludf.DUMMYFUNCTION("""COMPUTED_VALUE"""),"Qualified")</f>
        <v>Qualified</v>
      </c>
      <c r="K120" s="285" t="str">
        <f>IFERROR(__xludf.DUMMYFUNCTION("""COMPUTED_VALUE"""),"3H2M opsi A")</f>
        <v>3H2M opsi A</v>
      </c>
      <c r="L120" s="287"/>
      <c r="M120" s="285">
        <f>IFERROR(__xludf.DUMMYFUNCTION("""COMPUTED_VALUE"""),2.0)</f>
        <v>2</v>
      </c>
      <c r="N120" s="289">
        <f>IFERROR(__xludf.DUMMYFUNCTION("""COMPUTED_VALUE"""),6828000.0)</f>
        <v>6828000</v>
      </c>
      <c r="O120" s="285" t="str">
        <f>IFERROR(__xludf.DUMMYFUNCTION("""COMPUTED_VALUE"""),"kirim penawaran, FU Akhir mei")</f>
        <v>kirim penawaran, FU Akhir mei</v>
      </c>
      <c r="P120" s="291" t="str">
        <f>IFERROR(__xludf.DUMMYFUNCTION("""COMPUTED_VALUE"""),"https://docs.google.com/document/d/1NMY6AVs3XJ5H-UpmXMShvrtxwceCqEsZREFZ0ipc56Y/edit?usp=sharing")</f>
        <v>https://docs.google.com/document/d/1NMY6AVs3XJ5H-UpmXMShvrtxwceCqEsZREFZ0ipc56Y/edit?usp=sharing</v>
      </c>
      <c r="R120" s="285"/>
      <c r="S120" s="285"/>
      <c r="T120" s="285"/>
      <c r="U120" s="285"/>
      <c r="V120" s="285"/>
      <c r="W120" s="285"/>
      <c r="X120" s="285"/>
      <c r="Y120" s="285"/>
      <c r="Z120" s="285"/>
      <c r="AA120" s="285"/>
      <c r="AC120" s="285" t="str">
        <f>IFERROR(__xludf.DUMMYFUNCTION("""COMPUTED_VALUE"""),"2603A017")</f>
        <v>2603A017</v>
      </c>
      <c r="AD120" s="286">
        <f>IFERROR(__xludf.DUMMYFUNCTION("""COMPUTED_VALUE"""),46089.0)</f>
        <v>46089</v>
      </c>
      <c r="AE120" s="285" t="str">
        <f>IFERROR(__xludf.DUMMYFUNCTION("""COMPUTED_VALUE"""),"Thierry")</f>
        <v>Thierry</v>
      </c>
      <c r="AF120" s="285" t="str">
        <f>IFERROR(__xludf.DUMMYFUNCTION("""COMPUTED_VALUE"""),"33769485350")</f>
        <v>33769485350</v>
      </c>
      <c r="AG120" s="285" t="str">
        <f>IFERROR(__xludf.DUMMYFUNCTION("""COMPUTED_VALUE"""),"Gagal")</f>
        <v>Gagal</v>
      </c>
      <c r="AH120" s="285" t="str">
        <f>IFERROR(__xludf.DUMMYFUNCTION("""COMPUTED_VALUE"""),"Trip ijen")</f>
        <v>Trip ijen</v>
      </c>
      <c r="AI120" s="287"/>
      <c r="AJ120" s="285">
        <f>IFERROR(__xludf.DUMMYFUNCTION("""COMPUTED_VALUE"""),1.0)</f>
        <v>1</v>
      </c>
      <c r="AK120" s="289">
        <f>IFERROR(__xludf.DUMMYFUNCTION("""COMPUTED_VALUE"""),500000.0)</f>
        <v>500000</v>
      </c>
      <c r="AL120" s="285" t="str">
        <f>IFERROR(__xludf.DUMMYFUNCTION("""COMPUTED_VALUE"""),"kirim penawaran")</f>
        <v>kirim penawaran</v>
      </c>
    </row>
    <row r="121">
      <c r="F121" s="285" t="str">
        <f>IFERROR(__xludf.DUMMYFUNCTION("""COMPUTED_VALUE"""),"2604A074")</f>
        <v>2604A074</v>
      </c>
      <c r="G121" s="286">
        <f>IFERROR(__xludf.DUMMYFUNCTION("""COMPUTED_VALUE"""),46133.0)</f>
        <v>46133</v>
      </c>
      <c r="H121" s="285" t="str">
        <f>IFERROR(__xludf.DUMMYFUNCTION("""COMPUTED_VALUE"""),"Ivan")</f>
        <v>Ivan</v>
      </c>
      <c r="I121" s="285" t="str">
        <f>IFERROR(__xludf.DUMMYFUNCTION("""COMPUTED_VALUE"""),"085213014214")</f>
        <v>085213014214</v>
      </c>
      <c r="J121" s="285" t="str">
        <f>IFERROR(__xludf.DUMMYFUNCTION("""COMPUTED_VALUE"""),"Qualified")</f>
        <v>Qualified</v>
      </c>
      <c r="K121" s="285" t="str">
        <f>IFERROR(__xludf.DUMMYFUNCTION("""COMPUTED_VALUE"""),"OT 3H2M")</f>
        <v>OT 3H2M</v>
      </c>
      <c r="L121" s="287"/>
      <c r="M121" s="285">
        <f>IFERROR(__xludf.DUMMYFUNCTION("""COMPUTED_VALUE"""),6.0)</f>
        <v>6</v>
      </c>
      <c r="N121" s="289">
        <f>IFERROR(__xludf.DUMMYFUNCTION("""COMPUTED_VALUE"""),9600000.0)</f>
        <v>9600000</v>
      </c>
      <c r="O121" s="285" t="str">
        <f>IFERROR(__xludf.DUMMYFUNCTION("""COMPUTED_VALUE"""),"nanti diinfokan kembali, FU 10 mei")</f>
        <v>nanti diinfokan kembali, FU 10 mei</v>
      </c>
      <c r="P121" s="291" t="str">
        <f>IFERROR(__xludf.DUMMYFUNCTION("""COMPUTED_VALUE"""),"https://docs.google.com/document/d/1BRzmkPrY-4K7f9NS6fTkubITgAmZ4yesMYBT3sI5Mdc/edit?usp=sharing")</f>
        <v>https://docs.google.com/document/d/1BRzmkPrY-4K7f9NS6fTkubITgAmZ4yesMYBT3sI5Mdc/edit?usp=sharing</v>
      </c>
      <c r="R121" s="285"/>
      <c r="S121" s="285"/>
      <c r="T121" s="285"/>
      <c r="U121" s="285"/>
      <c r="V121" s="285"/>
      <c r="W121" s="285"/>
      <c r="X121" s="285"/>
      <c r="Y121" s="285"/>
      <c r="Z121" s="285"/>
      <c r="AA121" s="285"/>
      <c r="AC121" s="285" t="str">
        <f>IFERROR(__xludf.DUMMYFUNCTION("""COMPUTED_VALUE"""),"2603A018")</f>
        <v>2603A018</v>
      </c>
      <c r="AD121" s="286">
        <f>IFERROR(__xludf.DUMMYFUNCTION("""COMPUTED_VALUE"""),46089.0)</f>
        <v>46089</v>
      </c>
      <c r="AE121" s="285" t="str">
        <f>IFERROR(__xludf.DUMMYFUNCTION("""COMPUTED_VALUE"""),"Bramantyo Saksono")</f>
        <v>Bramantyo Saksono</v>
      </c>
      <c r="AF121" s="285" t="str">
        <f>IFERROR(__xludf.DUMMYFUNCTION("""COMPUTED_VALUE"""),"081231717107")</f>
        <v>081231717107</v>
      </c>
      <c r="AG121" s="285" t="str">
        <f>IFERROR(__xludf.DUMMYFUNCTION("""COMPUTED_VALUE"""),"Gagal")</f>
        <v>Gagal</v>
      </c>
      <c r="AH121" s="285" t="str">
        <f>IFERROR(__xludf.DUMMYFUNCTION("""COMPUTED_VALUE"""),"Custom 3H2M")</f>
        <v>Custom 3H2M</v>
      </c>
      <c r="AI121" s="287"/>
      <c r="AJ121" s="285">
        <f>IFERROR(__xludf.DUMMYFUNCTION("""COMPUTED_VALUE"""),4.0)</f>
        <v>4</v>
      </c>
      <c r="AK121" s="289">
        <f>IFERROR(__xludf.DUMMYFUNCTION("""COMPUTED_VALUE"""),1.066E7)</f>
        <v>10660000</v>
      </c>
      <c r="AL121" s="285" t="str">
        <f>IFERROR(__xludf.DUMMYFUNCTION("""COMPUTED_VALUE"""),"sejak kirim penawaran tidak ada balasan lagi")</f>
        <v>sejak kirim penawaran tidak ada balasan lagi</v>
      </c>
    </row>
    <row r="122">
      <c r="F122" s="285" t="str">
        <f>IFERROR(__xludf.DUMMYFUNCTION("""COMPUTED_VALUE"""),"2604A080")</f>
        <v>2604A080</v>
      </c>
      <c r="G122" s="286">
        <f>IFERROR(__xludf.DUMMYFUNCTION("""COMPUTED_VALUE"""),46134.0)</f>
        <v>46134</v>
      </c>
      <c r="H122" s="285" t="str">
        <f>IFERROR(__xludf.DUMMYFUNCTION("""COMPUTED_VALUE"""),"Shinta")</f>
        <v>Shinta</v>
      </c>
      <c r="I122" s="285" t="str">
        <f>IFERROR(__xludf.DUMMYFUNCTION("""COMPUTED_VALUE"""),"0811218443")</f>
        <v>0811218443</v>
      </c>
      <c r="J122" s="285" t="str">
        <f>IFERROR(__xludf.DUMMYFUNCTION("""COMPUTED_VALUE"""),"Qualified")</f>
        <v>Qualified</v>
      </c>
      <c r="K122" s="285" t="str">
        <f>IFERROR(__xludf.DUMMYFUNCTION("""COMPUTED_VALUE"""),"Trip D, MU, PM")</f>
        <v>Trip D, MU, PM</v>
      </c>
      <c r="L122" s="287"/>
      <c r="M122" s="285">
        <f>IFERROR(__xludf.DUMMYFUNCTION("""COMPUTED_VALUE"""),10.0)</f>
        <v>10</v>
      </c>
      <c r="N122" s="289">
        <f>IFERROR(__xludf.DUMMYFUNCTION("""COMPUTED_VALUE"""),2980000.0)</f>
        <v>2980000</v>
      </c>
      <c r="O122" s="285" t="str">
        <f>IFERROR(__xludf.DUMMYFUNCTION("""COMPUTED_VALUE"""),"dipelajari dlu")</f>
        <v>dipelajari dlu</v>
      </c>
      <c r="P122" s="291" t="str">
        <f>IFERROR(__xludf.DUMMYFUNCTION("""COMPUTED_VALUE"""),"https://docs.google.com/document/d/1crEyDPG7f_0XqK0KInVWj3it23s284T7IZ-leajieXA/edit?usp=sharing")</f>
        <v>https://docs.google.com/document/d/1crEyDPG7f_0XqK0KInVWj3it23s284T7IZ-leajieXA/edit?usp=sharing</v>
      </c>
      <c r="R122" s="285"/>
      <c r="S122" s="285"/>
      <c r="T122" s="285"/>
      <c r="U122" s="285"/>
      <c r="V122" s="285"/>
      <c r="W122" s="285"/>
      <c r="X122" s="285"/>
      <c r="Y122" s="285"/>
      <c r="Z122" s="285"/>
      <c r="AA122" s="285"/>
      <c r="AC122" s="285" t="str">
        <f>IFERROR(__xludf.DUMMYFUNCTION("""COMPUTED_VALUE"""),"2603A019")</f>
        <v>2603A019</v>
      </c>
      <c r="AD122" s="286">
        <f>IFERROR(__xludf.DUMMYFUNCTION("""COMPUTED_VALUE"""),46089.0)</f>
        <v>46089</v>
      </c>
      <c r="AE122" s="285" t="str">
        <f>IFERROR(__xludf.DUMMYFUNCTION("""COMPUTED_VALUE"""),"Prista")</f>
        <v>Prista</v>
      </c>
      <c r="AF122" s="285" t="str">
        <f>IFERROR(__xludf.DUMMYFUNCTION("""COMPUTED_VALUE"""),"081219103733")</f>
        <v>081219103733</v>
      </c>
      <c r="AG122" s="285" t="str">
        <f>IFERROR(__xludf.DUMMYFUNCTION("""COMPUTED_VALUE"""),"Gagal")</f>
        <v>Gagal</v>
      </c>
      <c r="AH122" s="285"/>
      <c r="AI122" s="287"/>
      <c r="AJ122" s="285"/>
      <c r="AK122" s="289"/>
      <c r="AL122" s="285" t="str">
        <f>IFERROR(__xludf.DUMMYFUNCTION("""COMPUTED_VALUE"""),"hanya menyapa")</f>
        <v>hanya menyapa</v>
      </c>
    </row>
    <row r="123">
      <c r="F123" s="285" t="str">
        <f>IFERROR(__xludf.DUMMYFUNCTION("""COMPUTED_VALUE"""),"2604A082")</f>
        <v>2604A082</v>
      </c>
      <c r="G123" s="286">
        <f>IFERROR(__xludf.DUMMYFUNCTION("""COMPUTED_VALUE"""),46134.0)</f>
        <v>46134</v>
      </c>
      <c r="H123" s="285" t="str">
        <f>IFERROR(__xludf.DUMMYFUNCTION("""COMPUTED_VALUE"""),"Adela")</f>
        <v>Adela</v>
      </c>
      <c r="I123" s="285" t="str">
        <f>IFERROR(__xludf.DUMMYFUNCTION("""COMPUTED_VALUE"""),"088233811775")</f>
        <v>088233811775</v>
      </c>
      <c r="J123" s="285" t="str">
        <f>IFERROR(__xludf.DUMMYFUNCTION("""COMPUTED_VALUE"""),"Qualified")</f>
        <v>Qualified</v>
      </c>
      <c r="K123" s="285"/>
      <c r="L123" s="287"/>
      <c r="M123" s="285">
        <f>IFERROR(__xludf.DUMMYFUNCTION("""COMPUTED_VALUE"""),46272.0)</f>
        <v>46272</v>
      </c>
      <c r="N123" s="289">
        <f>IFERROR(__xludf.DUMMYFUNCTION("""COMPUTED_VALUE"""),1.215E7)</f>
        <v>12150000</v>
      </c>
      <c r="O123" s="285" t="str">
        <f>IFERROR(__xludf.DUMMYFUNCTION("""COMPUTED_VALUE"""),"fu 5 mei")</f>
        <v>fu 5 mei</v>
      </c>
      <c r="P123" s="291" t="str">
        <f>IFERROR(__xludf.DUMMYFUNCTION("""COMPUTED_VALUE"""),"https://docs.google.com/document/d/1nAJHVlz5vRjq3zLEU_XS0DhSy4iXhXydO4qH5MOImQE/edit?usp=sharing")</f>
        <v>https://docs.google.com/document/d/1nAJHVlz5vRjq3zLEU_XS0DhSy4iXhXydO4qH5MOImQE/edit?usp=sharing</v>
      </c>
      <c r="R123" s="285"/>
      <c r="S123" s="285"/>
      <c r="T123" s="285"/>
      <c r="U123" s="285"/>
      <c r="V123" s="285"/>
      <c r="W123" s="285"/>
      <c r="X123" s="285"/>
      <c r="Y123" s="285"/>
      <c r="Z123" s="285"/>
      <c r="AA123" s="285"/>
      <c r="AC123" s="285" t="str">
        <f>IFERROR(__xludf.DUMMYFUNCTION("""COMPUTED_VALUE"""),"2603A020")</f>
        <v>2603A020</v>
      </c>
      <c r="AD123" s="286">
        <f>IFERROR(__xludf.DUMMYFUNCTION("""COMPUTED_VALUE"""),46090.0)</f>
        <v>46090</v>
      </c>
      <c r="AE123" s="285" t="str">
        <f>IFERROR(__xludf.DUMMYFUNCTION("""COMPUTED_VALUE"""),"Tya")</f>
        <v>Tya</v>
      </c>
      <c r="AF123" s="285" t="str">
        <f>IFERROR(__xludf.DUMMYFUNCTION("""COMPUTED_VALUE"""),"085227006091")</f>
        <v>085227006091</v>
      </c>
      <c r="AG123" s="285" t="str">
        <f>IFERROR(__xludf.DUMMYFUNCTION("""COMPUTED_VALUE"""),"Gagal")</f>
        <v>Gagal</v>
      </c>
      <c r="AH123" s="285" t="str">
        <f>IFERROR(__xludf.DUMMYFUNCTION("""COMPUTED_VALUE"""),"2H1M custom")</f>
        <v>2H1M custom</v>
      </c>
      <c r="AI123" s="287"/>
      <c r="AJ123" s="285">
        <f>IFERROR(__xludf.DUMMYFUNCTION("""COMPUTED_VALUE"""),2.0)</f>
        <v>2</v>
      </c>
      <c r="AK123" s="289">
        <f>IFERROR(__xludf.DUMMYFUNCTION("""COMPUTED_VALUE"""),5220000.0)</f>
        <v>5220000</v>
      </c>
      <c r="AL123" s="285" t="str">
        <f>IFERROR(__xludf.DUMMYFUNCTION("""COMPUTED_VALUE"""),"gada jawaban dan kelanjutan")</f>
        <v>gada jawaban dan kelanjutan</v>
      </c>
    </row>
    <row r="124">
      <c r="F124" s="285" t="str">
        <f>IFERROR(__xludf.DUMMYFUNCTION("""COMPUTED_VALUE"""),"2604A085")</f>
        <v>2604A085</v>
      </c>
      <c r="G124" s="286">
        <f>IFERROR(__xludf.DUMMYFUNCTION("""COMPUTED_VALUE"""),46135.0)</f>
        <v>46135</v>
      </c>
      <c r="H124" s="285" t="str">
        <f>IFERROR(__xludf.DUMMYFUNCTION("""COMPUTED_VALUE"""),"ohandjohari")</f>
        <v>ohandjohari</v>
      </c>
      <c r="I124" s="285" t="str">
        <f>IFERROR(__xludf.DUMMYFUNCTION("""COMPUTED_VALUE"""),"087898652288")</f>
        <v>087898652288</v>
      </c>
      <c r="J124" s="285" t="str">
        <f>IFERROR(__xludf.DUMMYFUNCTION("""COMPUTED_VALUE"""),"Qualified")</f>
        <v>Qualified</v>
      </c>
      <c r="K124" s="285" t="str">
        <f>IFERROR(__xludf.DUMMYFUNCTION("""COMPUTED_VALUE"""),"2H1M")</f>
        <v>2H1M</v>
      </c>
      <c r="L124" s="287"/>
      <c r="M124" s="285">
        <f>IFERROR(__xludf.DUMMYFUNCTION("""COMPUTED_VALUE"""),15.0)</f>
        <v>15</v>
      </c>
      <c r="N124" s="289">
        <f>IFERROR(__xludf.DUMMYFUNCTION("""COMPUTED_VALUE"""),1.275E7)</f>
        <v>12750000</v>
      </c>
      <c r="O124" s="285" t="str">
        <f>IFERROR(__xludf.DUMMYFUNCTION("""COMPUTED_VALUE"""),"fu 25 april")</f>
        <v>fu 25 april</v>
      </c>
      <c r="P124" s="291" t="str">
        <f>IFERROR(__xludf.DUMMYFUNCTION("""COMPUTED_VALUE"""),"https://docs.google.com/document/d/1Q3qTaUazgE9lLwQqm8vUURZqmMuH72E1TFQW2NQG2kY/edit?usp=sharing")</f>
        <v>https://docs.google.com/document/d/1Q3qTaUazgE9lLwQqm8vUURZqmMuH72E1TFQW2NQG2kY/edit?usp=sharing</v>
      </c>
      <c r="R124" s="285"/>
      <c r="S124" s="285"/>
      <c r="T124" s="285"/>
      <c r="U124" s="285"/>
      <c r="V124" s="285"/>
      <c r="W124" s="285"/>
      <c r="X124" s="285"/>
      <c r="Y124" s="285"/>
      <c r="Z124" s="285"/>
      <c r="AA124" s="285"/>
      <c r="AC124" s="285" t="str">
        <f>IFERROR(__xludf.DUMMYFUNCTION("""COMPUTED_VALUE"""),"2603A021")</f>
        <v>2603A021</v>
      </c>
      <c r="AD124" s="286">
        <f>IFERROR(__xludf.DUMMYFUNCTION("""COMPUTED_VALUE"""),46091.0)</f>
        <v>46091</v>
      </c>
      <c r="AE124" s="285" t="str">
        <f>IFERROR(__xludf.DUMMYFUNCTION("""COMPUTED_VALUE"""),"Kheira")</f>
        <v>Kheira</v>
      </c>
      <c r="AF124" s="285" t="str">
        <f>IFERROR(__xludf.DUMMYFUNCTION("""COMPUTED_VALUE"""),"082310921117")</f>
        <v>082310921117</v>
      </c>
      <c r="AG124" s="285" t="str">
        <f>IFERROR(__xludf.DUMMYFUNCTION("""COMPUTED_VALUE"""),"Gagal")</f>
        <v>Gagal</v>
      </c>
      <c r="AH124" s="285" t="str">
        <f>IFERROR(__xludf.DUMMYFUNCTION("""COMPUTED_VALUE"""),"3H2M Custom")</f>
        <v>3H2M Custom</v>
      </c>
      <c r="AI124" s="287"/>
      <c r="AJ124" s="285">
        <f>IFERROR(__xludf.DUMMYFUNCTION("""COMPUTED_VALUE"""),6.0)</f>
        <v>6</v>
      </c>
      <c r="AK124" s="289">
        <f>IFERROR(__xludf.DUMMYFUNCTION("""COMPUTED_VALUE"""),1.377E7)</f>
        <v>13770000</v>
      </c>
      <c r="AL124" s="285" t="str">
        <f>IFERROR(__xludf.DUMMYFUNCTION("""COMPUTED_VALUE"""),"cancel ")</f>
        <v>cancel </v>
      </c>
    </row>
    <row r="125">
      <c r="F125" s="285" t="str">
        <f>IFERROR(__xludf.DUMMYFUNCTION("""COMPUTED_VALUE"""),"2604A086")</f>
        <v>2604A086</v>
      </c>
      <c r="G125" s="286">
        <f>IFERROR(__xludf.DUMMYFUNCTION("""COMPUTED_VALUE"""),46136.0)</f>
        <v>46136</v>
      </c>
      <c r="H125" s="285" t="str">
        <f>IFERROR(__xludf.DUMMYFUNCTION("""COMPUTED_VALUE"""),"dee")</f>
        <v>dee</v>
      </c>
      <c r="I125" s="285" t="str">
        <f>IFERROR(__xludf.DUMMYFUNCTION("""COMPUTED_VALUE"""),"082124668365")</f>
        <v>082124668365</v>
      </c>
      <c r="J125" s="285" t="str">
        <f>IFERROR(__xludf.DUMMYFUNCTION("""COMPUTED_VALUE"""),"Qualified")</f>
        <v>Qualified</v>
      </c>
      <c r="K125" s="285" t="str">
        <f>IFERROR(__xludf.DUMMYFUNCTION("""COMPUTED_VALUE"""),"OT M T")</f>
        <v>OT M T</v>
      </c>
      <c r="L125" s="287">
        <f>IFERROR(__xludf.DUMMYFUNCTION("""COMPUTED_VALUE"""),46144.0)</f>
        <v>46144</v>
      </c>
      <c r="M125" s="285">
        <f>IFERROR(__xludf.DUMMYFUNCTION("""COMPUTED_VALUE"""),10.0)</f>
        <v>10</v>
      </c>
      <c r="N125" s="289">
        <f>IFERROR(__xludf.DUMMYFUNCTION("""COMPUTED_VALUE"""),2950000.0)</f>
        <v>2950000</v>
      </c>
      <c r="O125" s="285" t="str">
        <f>IFERROR(__xludf.DUMMYFUNCTION("""COMPUTED_VALUE"""),"FU 25 April")</f>
        <v>FU 25 April</v>
      </c>
      <c r="P125" s="291" t="str">
        <f>IFERROR(__xludf.DUMMYFUNCTION("""COMPUTED_VALUE"""),"https://docs.google.com/document/d/1-MhHQT8Z0Ma1W4qm-jLxesBmHCQwtRm0kGn27JMhQGU/edit?usp=sharing")</f>
        <v>https://docs.google.com/document/d/1-MhHQT8Z0Ma1W4qm-jLxesBmHCQwtRm0kGn27JMhQGU/edit?usp=sharing</v>
      </c>
      <c r="R125" s="285"/>
      <c r="S125" s="285"/>
      <c r="T125" s="285"/>
      <c r="U125" s="285"/>
      <c r="V125" s="285"/>
      <c r="W125" s="285"/>
      <c r="X125" s="285"/>
      <c r="Y125" s="285"/>
      <c r="Z125" s="285"/>
      <c r="AA125" s="285"/>
      <c r="AC125" s="285" t="str">
        <f>IFERROR(__xludf.DUMMYFUNCTION("""COMPUTED_VALUE"""),"2603A022")</f>
        <v>2603A022</v>
      </c>
      <c r="AD125" s="286">
        <f>IFERROR(__xludf.DUMMYFUNCTION("""COMPUTED_VALUE"""),46093.0)</f>
        <v>46093</v>
      </c>
      <c r="AE125" s="285" t="str">
        <f>IFERROR(__xludf.DUMMYFUNCTION("""COMPUTED_VALUE"""),"Fiona")</f>
        <v>Fiona</v>
      </c>
      <c r="AF125" s="285" t="str">
        <f>IFERROR(__xludf.DUMMYFUNCTION("""COMPUTED_VALUE"""),"087751327799")</f>
        <v>087751327799</v>
      </c>
      <c r="AG125" s="285" t="str">
        <f>IFERROR(__xludf.DUMMYFUNCTION("""COMPUTED_VALUE"""),"Gagal")</f>
        <v>Gagal</v>
      </c>
      <c r="AH125" s="285" t="str">
        <f>IFERROR(__xludf.DUMMYFUNCTION("""COMPUTED_VALUE"""),"Green island")</f>
        <v>Green island</v>
      </c>
      <c r="AI125" s="287">
        <f>IFERROR(__xludf.DUMMYFUNCTION("""COMPUTED_VALUE"""),46103.0)</f>
        <v>46103</v>
      </c>
      <c r="AJ125" s="285">
        <f>IFERROR(__xludf.DUMMYFUNCTION("""COMPUTED_VALUE"""),8.0)</f>
        <v>8</v>
      </c>
      <c r="AK125" s="289">
        <f>IFERROR(__xludf.DUMMYFUNCTION("""COMPUTED_VALUE"""),5320000.0)</f>
        <v>5320000</v>
      </c>
      <c r="AL125" s="285" t="str">
        <f>IFERROR(__xludf.DUMMYFUNCTION("""COMPUTED_VALUE"""),"tidak jadi dulu tripnya")</f>
        <v>tidak jadi dulu tripnya</v>
      </c>
    </row>
    <row r="126">
      <c r="F126" s="285" t="str">
        <f>IFERROR(__xludf.DUMMYFUNCTION("""COMPUTED_VALUE"""),"2604A087")</f>
        <v>2604A087</v>
      </c>
      <c r="G126" s="286">
        <f>IFERROR(__xludf.DUMMYFUNCTION("""COMPUTED_VALUE"""),46136.0)</f>
        <v>46136</v>
      </c>
      <c r="H126" s="285" t="str">
        <f>IFERROR(__xludf.DUMMYFUNCTION("""COMPUTED_VALUE"""),"fitri")</f>
        <v>fitri</v>
      </c>
      <c r="I126" s="285" t="str">
        <f>IFERROR(__xludf.DUMMYFUNCTION("""COMPUTED_VALUE"""),"0811213038")</f>
        <v>0811213038</v>
      </c>
      <c r="J126" s="285" t="str">
        <f>IFERROR(__xludf.DUMMYFUNCTION("""COMPUTED_VALUE"""),"Qualified")</f>
        <v>Qualified</v>
      </c>
      <c r="K126" s="285" t="str">
        <f>IFERROR(__xludf.DUMMYFUNCTION("""COMPUTED_VALUE"""),"Trip GI BD")</f>
        <v>Trip GI BD</v>
      </c>
      <c r="L126" s="287">
        <f>IFERROR(__xludf.DUMMYFUNCTION("""COMPUTED_VALUE"""),46157.0)</f>
        <v>46157</v>
      </c>
      <c r="M126" s="285">
        <f>IFERROR(__xludf.DUMMYFUNCTION("""COMPUTED_VALUE"""),4.0)</f>
        <v>4</v>
      </c>
      <c r="N126" s="289">
        <f>IFERROR(__xludf.DUMMYFUNCTION("""COMPUTED_VALUE"""),1540000.0)</f>
        <v>1540000</v>
      </c>
      <c r="O126" s="285" t="str">
        <f>IFERROR(__xludf.DUMMYFUNCTION("""COMPUTED_VALUE"""),"Kirim penawaran")</f>
        <v>Kirim penawaran</v>
      </c>
      <c r="P126" s="291" t="str">
        <f>IFERROR(__xludf.DUMMYFUNCTION("""COMPUTED_VALUE"""),"https://docs.google.com/document/d/1ubk1wW-1mElYA-372--VhpvqOQiUdh5QFXC_BduMTa0/edit?usp=sharing")</f>
        <v>https://docs.google.com/document/d/1ubk1wW-1mElYA-372--VhpvqOQiUdh5QFXC_BduMTa0/edit?usp=sharing</v>
      </c>
      <c r="R126" s="285"/>
      <c r="S126" s="285"/>
      <c r="T126" s="285"/>
      <c r="U126" s="285"/>
      <c r="V126" s="285"/>
      <c r="W126" s="285"/>
      <c r="X126" s="285"/>
      <c r="Y126" s="285"/>
      <c r="Z126" s="285"/>
      <c r="AA126" s="285"/>
      <c r="AC126" s="285" t="str">
        <f>IFERROR(__xludf.DUMMYFUNCTION("""COMPUTED_VALUE"""),"2603A023")</f>
        <v>2603A023</v>
      </c>
      <c r="AD126" s="286">
        <f>IFERROR(__xludf.DUMMYFUNCTION("""COMPUTED_VALUE"""),46093.0)</f>
        <v>46093</v>
      </c>
      <c r="AE126" s="285" t="str">
        <f>IFERROR(__xludf.DUMMYFUNCTION("""COMPUTED_VALUE"""),"Sefin")</f>
        <v>Sefin</v>
      </c>
      <c r="AF126" s="285" t="str">
        <f>IFERROR(__xludf.DUMMYFUNCTION("""COMPUTED_VALUE"""),"082136353737")</f>
        <v>082136353737</v>
      </c>
      <c r="AG126" s="285" t="str">
        <f>IFERROR(__xludf.DUMMYFUNCTION("""COMPUTED_VALUE"""),"Gagal")</f>
        <v>Gagal</v>
      </c>
      <c r="AH126" s="285" t="str">
        <f>IFERROR(__xludf.DUMMYFUNCTION("""COMPUTED_VALUE"""),"3H2M")</f>
        <v>3H2M</v>
      </c>
      <c r="AI126" s="287"/>
      <c r="AJ126" s="285">
        <f>IFERROR(__xludf.DUMMYFUNCTION("""COMPUTED_VALUE"""),2.0)</f>
        <v>2</v>
      </c>
      <c r="AK126" s="289">
        <f>IFERROR(__xludf.DUMMYFUNCTION("""COMPUTED_VALUE"""),6128000.0)</f>
        <v>6128000</v>
      </c>
      <c r="AL126" s="285" t="str">
        <f>IFERROR(__xludf.DUMMYFUNCTION("""COMPUTED_VALUE"""),"cuti belum di acc ")</f>
        <v>cuti belum di acc </v>
      </c>
    </row>
    <row r="127">
      <c r="F127" s="285" t="str">
        <f>IFERROR(__xludf.DUMMYFUNCTION("""COMPUTED_VALUE"""),"2604A091")</f>
        <v>2604A091</v>
      </c>
      <c r="G127" s="286">
        <f>IFERROR(__xludf.DUMMYFUNCTION("""COMPUTED_VALUE"""),46137.0)</f>
        <v>46137</v>
      </c>
      <c r="H127" s="285" t="str">
        <f>IFERROR(__xludf.DUMMYFUNCTION("""COMPUTED_VALUE"""),"Dhisty")</f>
        <v>Dhisty</v>
      </c>
      <c r="I127" s="285" t="str">
        <f>IFERROR(__xludf.DUMMYFUNCTION("""COMPUTED_VALUE"""),"081283753989")</f>
        <v>081283753989</v>
      </c>
      <c r="J127" s="285" t="str">
        <f>IFERROR(__xludf.DUMMYFUNCTION("""COMPUTED_VALUE"""),"Qualified")</f>
        <v>Qualified</v>
      </c>
      <c r="K127" s="285" t="str">
        <f>IFERROR(__xludf.DUMMYFUNCTION("""COMPUTED_VALUE"""),"OT M T")</f>
        <v>OT M T</v>
      </c>
      <c r="L127" s="287">
        <f>IFERROR(__xludf.DUMMYFUNCTION("""COMPUTED_VALUE"""),46158.0)</f>
        <v>46158</v>
      </c>
      <c r="M127" s="285">
        <f>IFERROR(__xludf.DUMMYFUNCTION("""COMPUTED_VALUE"""),5.0)</f>
        <v>5</v>
      </c>
      <c r="N127" s="289">
        <f>IFERROR(__xludf.DUMMYFUNCTION("""COMPUTED_VALUE"""),1475000.0)</f>
        <v>1475000</v>
      </c>
      <c r="O127" s="285"/>
      <c r="P127" s="291" t="str">
        <f>IFERROR(__xludf.DUMMYFUNCTION("""COMPUTED_VALUE"""),"https://docs.google.com/document/d/1L9HSPspX9R4zKi8QK1MZuYY0iQp2DRH5GFRrvjkeOLs/edit?usp=sharing")</f>
        <v>https://docs.google.com/document/d/1L9HSPspX9R4zKi8QK1MZuYY0iQp2DRH5GFRrvjkeOLs/edit?usp=sharing</v>
      </c>
      <c r="R127" s="285"/>
      <c r="S127" s="285"/>
      <c r="T127" s="285"/>
      <c r="U127" s="285"/>
      <c r="V127" s="285"/>
      <c r="W127" s="285"/>
      <c r="X127" s="285"/>
      <c r="Y127" s="285"/>
      <c r="Z127" s="285"/>
      <c r="AA127" s="285"/>
      <c r="AC127" s="285" t="str">
        <f>IFERROR(__xludf.DUMMYFUNCTION("""COMPUTED_VALUE"""),"2603A024")</f>
        <v>2603A024</v>
      </c>
      <c r="AD127" s="286">
        <f>IFERROR(__xludf.DUMMYFUNCTION("""COMPUTED_VALUE"""),46094.0)</f>
        <v>46094</v>
      </c>
      <c r="AE127" s="285" t="str">
        <f>IFERROR(__xludf.DUMMYFUNCTION("""COMPUTED_VALUE"""),"Novira")</f>
        <v>Novira</v>
      </c>
      <c r="AF127" s="285" t="str">
        <f>IFERROR(__xludf.DUMMYFUNCTION("""COMPUTED_VALUE"""),"085187010197")</f>
        <v>085187010197</v>
      </c>
      <c r="AG127" s="285" t="str">
        <f>IFERROR(__xludf.DUMMYFUNCTION("""COMPUTED_VALUE"""),"Gagal")</f>
        <v>Gagal</v>
      </c>
      <c r="AH127" s="285" t="str">
        <f>IFERROR(__xludf.DUMMYFUNCTION("""COMPUTED_VALUE"""),"Trip D, B")</f>
        <v>Trip D, B</v>
      </c>
      <c r="AI127" s="287">
        <f>IFERROR(__xludf.DUMMYFUNCTION("""COMPUTED_VALUE"""),46104.0)</f>
        <v>46104</v>
      </c>
      <c r="AJ127" s="285">
        <f>IFERROR(__xludf.DUMMYFUNCTION("""COMPUTED_VALUE"""),3.0)</f>
        <v>3</v>
      </c>
      <c r="AK127" s="289">
        <f>IFERROR(__xludf.DUMMYFUNCTION("""COMPUTED_VALUE"""),2250000.0)</f>
        <v>2250000</v>
      </c>
      <c r="AL127" s="285" t="str">
        <f>IFERROR(__xludf.DUMMYFUNCTION("""COMPUTED_VALUE"""),"gaada balasan")</f>
        <v>gaada balasan</v>
      </c>
    </row>
    <row r="128">
      <c r="F128" s="285" t="str">
        <f>IFERROR(__xludf.DUMMYFUNCTION("""COMPUTED_VALUE"""),"2604A092")</f>
        <v>2604A092</v>
      </c>
      <c r="G128" s="286">
        <f>IFERROR(__xludf.DUMMYFUNCTION("""COMPUTED_VALUE"""),46137.0)</f>
        <v>46137</v>
      </c>
      <c r="H128" s="285" t="str">
        <f>IFERROR(__xludf.DUMMYFUNCTION("""COMPUTED_VALUE"""),"Abednego")</f>
        <v>Abednego</v>
      </c>
      <c r="I128" s="285" t="str">
        <f>IFERROR(__xludf.DUMMYFUNCTION("""COMPUTED_VALUE"""),"081284386772")</f>
        <v>081284386772</v>
      </c>
      <c r="J128" s="285" t="str">
        <f>IFERROR(__xludf.DUMMYFUNCTION("""COMPUTED_VALUE"""),"Qualified")</f>
        <v>Qualified</v>
      </c>
      <c r="K128" s="285" t="str">
        <f>IFERROR(__xludf.DUMMYFUNCTION("""COMPUTED_VALUE"""),"2H1M custom")</f>
        <v>2H1M custom</v>
      </c>
      <c r="L128" s="287">
        <f>IFERROR(__xludf.DUMMYFUNCTION("""COMPUTED_VALUE"""),46170.0)</f>
        <v>46170</v>
      </c>
      <c r="M128" s="285">
        <f>IFERROR(__xludf.DUMMYFUNCTION("""COMPUTED_VALUE"""),3.0)</f>
        <v>3</v>
      </c>
      <c r="N128" s="289">
        <f>IFERROR(__xludf.DUMMYFUNCTION("""COMPUTED_VALUE"""),5985000.0)</f>
        <v>5985000</v>
      </c>
      <c r="O128" s="285" t="str">
        <f>IFERROR(__xludf.DUMMYFUNCTION("""COMPUTED_VALUE"""),"masih sounding ke klg")</f>
        <v>masih sounding ke klg</v>
      </c>
      <c r="P128" s="291" t="str">
        <f>IFERROR(__xludf.DUMMYFUNCTION("""COMPUTED_VALUE"""),"https://docs.google.com/document/d/1vteeac6aA8eiuiUJ8iHe6n1MzFrmrTpdV2sh0idIupY/edit?usp=sharing")</f>
        <v>https://docs.google.com/document/d/1vteeac6aA8eiuiUJ8iHe6n1MzFrmrTpdV2sh0idIupY/edit?usp=sharing</v>
      </c>
      <c r="R128" s="285"/>
      <c r="S128" s="285"/>
      <c r="T128" s="285"/>
      <c r="U128" s="285"/>
      <c r="V128" s="285"/>
      <c r="W128" s="285"/>
      <c r="X128" s="285"/>
      <c r="Y128" s="285"/>
      <c r="Z128" s="285"/>
      <c r="AA128" s="285"/>
      <c r="AC128" s="285" t="str">
        <f>IFERROR(__xludf.DUMMYFUNCTION("""COMPUTED_VALUE"""),"2603A025")</f>
        <v>2603A025</v>
      </c>
      <c r="AD128" s="286">
        <f>IFERROR(__xludf.DUMMYFUNCTION("""COMPUTED_VALUE"""),46094.0)</f>
        <v>46094</v>
      </c>
      <c r="AE128" s="285" t="str">
        <f>IFERROR(__xludf.DUMMYFUNCTION("""COMPUTED_VALUE"""),"Melati")</f>
        <v>Melati</v>
      </c>
      <c r="AF128" s="285" t="str">
        <f>IFERROR(__xludf.DUMMYFUNCTION("""COMPUTED_VALUE"""),"085717888548")</f>
        <v>085717888548</v>
      </c>
      <c r="AG128" s="285" t="str">
        <f>IFERROR(__xludf.DUMMYFUNCTION("""COMPUTED_VALUE"""),"Gagal")</f>
        <v>Gagal</v>
      </c>
      <c r="AH128" s="285" t="str">
        <f>IFERROR(__xludf.DUMMYFUNCTION("""COMPUTED_VALUE"""),"2H1M Custom")</f>
        <v>2H1M Custom</v>
      </c>
      <c r="AI128" s="287">
        <f>IFERROR(__xludf.DUMMYFUNCTION("""COMPUTED_VALUE"""),46115.0)</f>
        <v>46115</v>
      </c>
      <c r="AJ128" s="285">
        <f>IFERROR(__xludf.DUMMYFUNCTION("""COMPUTED_VALUE"""),4.0)</f>
        <v>4</v>
      </c>
      <c r="AK128" s="289">
        <f>IFERROR(__xludf.DUMMYFUNCTION("""COMPUTED_VALUE"""),5400000.0)</f>
        <v>5400000</v>
      </c>
      <c r="AL128" s="285" t="str">
        <f>IFERROR(__xludf.DUMMYFUNCTION("""COMPUTED_VALUE"""),"buat penawaran")</f>
        <v>buat penawaran</v>
      </c>
    </row>
    <row r="129">
      <c r="F129" s="285" t="str">
        <f>IFERROR(__xludf.DUMMYFUNCTION("""COMPUTED_VALUE"""),"2604A093")</f>
        <v>2604A093</v>
      </c>
      <c r="G129" s="286">
        <f>IFERROR(__xludf.DUMMYFUNCTION("""COMPUTED_VALUE"""),46137.0)</f>
        <v>46137</v>
      </c>
      <c r="H129" s="285" t="str">
        <f>IFERROR(__xludf.DUMMYFUNCTION("""COMPUTED_VALUE"""),"Daryanto")</f>
        <v>Daryanto</v>
      </c>
      <c r="I129" s="285" t="str">
        <f>IFERROR(__xludf.DUMMYFUNCTION("""COMPUTED_VALUE"""),"081910237755")</f>
        <v>081910237755</v>
      </c>
      <c r="J129" s="285" t="str">
        <f>IFERROR(__xludf.DUMMYFUNCTION("""COMPUTED_VALUE"""),"Qualified")</f>
        <v>Qualified</v>
      </c>
      <c r="K129" s="285" t="str">
        <f>IFERROR(__xludf.DUMMYFUNCTION("""COMPUTED_VALUE"""),"3H2M ")</f>
        <v>3H2M </v>
      </c>
      <c r="L129" s="287"/>
      <c r="M129" s="285">
        <f>IFERROR(__xludf.DUMMYFUNCTION("""COMPUTED_VALUE"""),2.0)</f>
        <v>2</v>
      </c>
      <c r="N129" s="289">
        <f>IFERROR(__xludf.DUMMYFUNCTION("""COMPUTED_VALUE"""),4500000.0)</f>
        <v>4500000</v>
      </c>
      <c r="O129" s="285"/>
      <c r="P129" s="291" t="str">
        <f>IFERROR(__xludf.DUMMYFUNCTION("""COMPUTED_VALUE"""),"https://docs.google.com/document/d/1cXkin868abmMBNGqgxRbfwpBvp__EyksqLQ9mPJaLxA/edit?usp=sharing")</f>
        <v>https://docs.google.com/document/d/1cXkin868abmMBNGqgxRbfwpBvp__EyksqLQ9mPJaLxA/edit?usp=sharing</v>
      </c>
      <c r="R129" s="285"/>
      <c r="S129" s="285"/>
      <c r="T129" s="285"/>
      <c r="U129" s="285"/>
      <c r="V129" s="285"/>
      <c r="W129" s="285"/>
      <c r="X129" s="285"/>
      <c r="Y129" s="285"/>
      <c r="Z129" s="285"/>
      <c r="AA129" s="285"/>
      <c r="AC129" s="285" t="str">
        <f>IFERROR(__xludf.DUMMYFUNCTION("""COMPUTED_VALUE"""),"2603A027")</f>
        <v>2603A027</v>
      </c>
      <c r="AD129" s="286">
        <f>IFERROR(__xludf.DUMMYFUNCTION("""COMPUTED_VALUE"""),46094.0)</f>
        <v>46094</v>
      </c>
      <c r="AE129" s="285" t="str">
        <f>IFERROR(__xludf.DUMMYFUNCTION("""COMPUTED_VALUE"""),"Syaharani Martiza")</f>
        <v>Syaharani Martiza</v>
      </c>
      <c r="AF129" s="285" t="str">
        <f>IFERROR(__xludf.DUMMYFUNCTION("""COMPUTED_VALUE"""),"081280082608")</f>
        <v>081280082608</v>
      </c>
      <c r="AG129" s="285" t="str">
        <f>IFERROR(__xludf.DUMMYFUNCTION("""COMPUTED_VALUE"""),"Gagal")</f>
        <v>Gagal</v>
      </c>
      <c r="AH129" s="285" t="str">
        <f>IFERROR(__xludf.DUMMYFUNCTION("""COMPUTED_VALUE"""),"3H2M Custom")</f>
        <v>3H2M Custom</v>
      </c>
      <c r="AI129" s="287"/>
      <c r="AJ129" s="285">
        <f>IFERROR(__xludf.DUMMYFUNCTION("""COMPUTED_VALUE"""),5.0)</f>
        <v>5</v>
      </c>
      <c r="AK129" s="289"/>
      <c r="AL129" s="285" t="str">
        <f>IFERROR(__xludf.DUMMYFUNCTION("""COMPUTED_VALUE"""),"belum ada balasan")</f>
        <v>belum ada balasan</v>
      </c>
    </row>
    <row r="130">
      <c r="F130" s="285" t="str">
        <f>IFERROR(__xludf.DUMMYFUNCTION("""COMPUTED_VALUE"""),"2604A099")</f>
        <v>2604A099</v>
      </c>
      <c r="G130" s="286">
        <f>IFERROR(__xludf.DUMMYFUNCTION("""COMPUTED_VALUE"""),46138.0)</f>
        <v>46138</v>
      </c>
      <c r="H130" s="285" t="str">
        <f>IFERROR(__xludf.DUMMYFUNCTION("""COMPUTED_VALUE"""),"Tazkia")</f>
        <v>Tazkia</v>
      </c>
      <c r="I130" s="285" t="str">
        <f>IFERROR(__xludf.DUMMYFUNCTION("""COMPUTED_VALUE"""),"081585349602")</f>
        <v>081585349602</v>
      </c>
      <c r="J130" s="285" t="str">
        <f>IFERROR(__xludf.DUMMYFUNCTION("""COMPUTED_VALUE"""),"Qualified")</f>
        <v>Qualified</v>
      </c>
      <c r="K130" s="285" t="str">
        <f>IFERROR(__xludf.DUMMYFUNCTION("""COMPUTED_VALUE"""),"2H1M B")</f>
        <v>2H1M B</v>
      </c>
      <c r="L130" s="287"/>
      <c r="M130" s="285">
        <f>IFERROR(__xludf.DUMMYFUNCTION("""COMPUTED_VALUE"""),5.0)</f>
        <v>5</v>
      </c>
      <c r="N130" s="289">
        <f>IFERROR(__xludf.DUMMYFUNCTION("""COMPUTED_VALUE"""),4430000.0)</f>
        <v>4430000</v>
      </c>
      <c r="O130" s="285" t="str">
        <f>IFERROR(__xludf.DUMMYFUNCTION("""COMPUTED_VALUE"""),"masih diskusi")</f>
        <v>masih diskusi</v>
      </c>
      <c r="P130" s="291" t="str">
        <f>IFERROR(__xludf.DUMMYFUNCTION("""COMPUTED_VALUE"""),"https://docs.google.com/document/d/14l3RtkaGRNNZ_I7ulRJYn7dDOhlXgk4hre3-ij3lRbQ/edit?usp=sharing")</f>
        <v>https://docs.google.com/document/d/14l3RtkaGRNNZ_I7ulRJYn7dDOhlXgk4hre3-ij3lRbQ/edit?usp=sharing</v>
      </c>
      <c r="R130" s="285"/>
      <c r="S130" s="285"/>
      <c r="T130" s="285"/>
      <c r="U130" s="285"/>
      <c r="V130" s="285"/>
      <c r="W130" s="285"/>
      <c r="X130" s="285"/>
      <c r="Y130" s="285"/>
      <c r="Z130" s="285"/>
      <c r="AA130" s="285"/>
      <c r="AC130" s="285" t="str">
        <f>IFERROR(__xludf.DUMMYFUNCTION("""COMPUTED_VALUE"""),"2603A029")</f>
        <v>2603A029</v>
      </c>
      <c r="AD130" s="286">
        <f>IFERROR(__xludf.DUMMYFUNCTION("""COMPUTED_VALUE"""),46094.0)</f>
        <v>46094</v>
      </c>
      <c r="AE130" s="285" t="str">
        <f>IFERROR(__xludf.DUMMYFUNCTION("""COMPUTED_VALUE"""),"Kreshna")</f>
        <v>Kreshna</v>
      </c>
      <c r="AF130" s="285" t="str">
        <f>IFERROR(__xludf.DUMMYFUNCTION("""COMPUTED_VALUE"""),"082286779677‬")</f>
        <v>082286779677‬</v>
      </c>
      <c r="AG130" s="285" t="str">
        <f>IFERROR(__xludf.DUMMYFUNCTION("""COMPUTED_VALUE"""),"Gagal")</f>
        <v>Gagal</v>
      </c>
      <c r="AH130" s="285" t="str">
        <f>IFERROR(__xludf.DUMMYFUNCTION("""COMPUTED_VALUE"""),"taman galuh")</f>
        <v>taman galuh</v>
      </c>
      <c r="AI130" s="287"/>
      <c r="AJ130" s="285"/>
      <c r="AK130" s="289"/>
      <c r="AL130" s="285" t="str">
        <f>IFERROR(__xludf.DUMMYFUNCTION("""COMPUTED_VALUE"""),"gagal, rencana mau ke taman galuh")</f>
        <v>gagal, rencana mau ke taman galuh</v>
      </c>
    </row>
    <row r="131">
      <c r="F131" s="285" t="str">
        <f>IFERROR(__xludf.DUMMYFUNCTION("""COMPUTED_VALUE"""),"2604A103")</f>
        <v>2604A103</v>
      </c>
      <c r="G131" s="286">
        <f>IFERROR(__xludf.DUMMYFUNCTION("""COMPUTED_VALUE"""),46138.0)</f>
        <v>46138</v>
      </c>
      <c r="H131" s="285" t="str">
        <f>IFERROR(__xludf.DUMMYFUNCTION("""COMPUTED_VALUE"""),"Adela")</f>
        <v>Adela</v>
      </c>
      <c r="I131" s="285" t="str">
        <f>IFERROR(__xludf.DUMMYFUNCTION("""COMPUTED_VALUE"""),"082134085922")</f>
        <v>082134085922</v>
      </c>
      <c r="J131" s="285" t="str">
        <f>IFERROR(__xludf.DUMMYFUNCTION("""COMPUTED_VALUE"""),"Qualified")</f>
        <v>Qualified</v>
      </c>
      <c r="K131" s="285" t="str">
        <f>IFERROR(__xludf.DUMMYFUNCTION("""COMPUTED_VALUE"""),"3H2M A")</f>
        <v>3H2M A</v>
      </c>
      <c r="L131" s="287"/>
      <c r="M131" s="285">
        <f>IFERROR(__xludf.DUMMYFUNCTION("""COMPUTED_VALUE"""),2.0)</f>
        <v>2</v>
      </c>
      <c r="N131" s="289">
        <f>IFERROR(__xludf.DUMMYFUNCTION("""COMPUTED_VALUE"""),6128000.0)</f>
        <v>6128000</v>
      </c>
      <c r="O131" s="285" t="str">
        <f>IFERROR(__xludf.DUMMYFUNCTION("""COMPUTED_VALUE"""),"buat penawaran")</f>
        <v>buat penawaran</v>
      </c>
      <c r="P131" s="291" t="str">
        <f>IFERROR(__xludf.DUMMYFUNCTION("""COMPUTED_VALUE"""),"https://docs.google.com/document/d/1SKPH9CgKJRwvJtRhzpxB_dS6MlzgksszSCgZPThJZQk/edit?usp=sharing")</f>
        <v>https://docs.google.com/document/d/1SKPH9CgKJRwvJtRhzpxB_dS6MlzgksszSCgZPThJZQk/edit?usp=sharing</v>
      </c>
      <c r="R131" s="285"/>
      <c r="S131" s="285"/>
      <c r="T131" s="285"/>
      <c r="U131" s="285"/>
      <c r="V131" s="285"/>
      <c r="W131" s="285"/>
      <c r="X131" s="285"/>
      <c r="Y131" s="285"/>
      <c r="Z131" s="285"/>
      <c r="AA131" s="285"/>
      <c r="AC131" s="285" t="str">
        <f>IFERROR(__xludf.DUMMYFUNCTION("""COMPUTED_VALUE"""),"2603A030")</f>
        <v>2603A030</v>
      </c>
      <c r="AD131" s="286">
        <f>IFERROR(__xludf.DUMMYFUNCTION("""COMPUTED_VALUE"""),46095.0)</f>
        <v>46095</v>
      </c>
      <c r="AE131" s="285" t="str">
        <f>IFERROR(__xludf.DUMMYFUNCTION("""COMPUTED_VALUE"""),"Atika")</f>
        <v>Atika</v>
      </c>
      <c r="AF131" s="285" t="str">
        <f>IFERROR(__xludf.DUMMYFUNCTION("""COMPUTED_VALUE"""),"081234028695")</f>
        <v>081234028695</v>
      </c>
      <c r="AG131" s="285" t="str">
        <f>IFERROR(__xludf.DUMMYFUNCTION("""COMPUTED_VALUE"""),"Gagal")</f>
        <v>Gagal</v>
      </c>
      <c r="AH131" s="285" t="str">
        <f>IFERROR(__xludf.DUMMYFUNCTION("""COMPUTED_VALUE"""),"2H1M")</f>
        <v>2H1M</v>
      </c>
      <c r="AI131" s="287"/>
      <c r="AJ131" s="285">
        <f>IFERROR(__xludf.DUMMYFUNCTION("""COMPUTED_VALUE"""),5.0)</f>
        <v>5</v>
      </c>
      <c r="AK131" s="289">
        <f>IFERROR(__xludf.DUMMYFUNCTION("""COMPUTED_VALUE"""),4750000.0)</f>
        <v>4750000</v>
      </c>
      <c r="AL131" s="285"/>
    </row>
    <row r="132">
      <c r="F132" s="285" t="str">
        <f>IFERROR(__xludf.DUMMYFUNCTION("""COMPUTED_VALUE"""),"2604A104")</f>
        <v>2604A104</v>
      </c>
      <c r="G132" s="286">
        <f>IFERROR(__xludf.DUMMYFUNCTION("""COMPUTED_VALUE"""),46139.0)</f>
        <v>46139</v>
      </c>
      <c r="H132" s="285" t="str">
        <f>IFERROR(__xludf.DUMMYFUNCTION("""COMPUTED_VALUE"""),"Wati")</f>
        <v>Wati</v>
      </c>
      <c r="I132" s="285" t="str">
        <f>IFERROR(__xludf.DUMMYFUNCTION("""COMPUTED_VALUE"""),"081291435110")</f>
        <v>081291435110</v>
      </c>
      <c r="J132" s="285" t="str">
        <f>IFERROR(__xludf.DUMMYFUNCTION("""COMPUTED_VALUE"""),"Qualified")</f>
        <v>Qualified</v>
      </c>
      <c r="K132" s="285" t="str">
        <f>IFERROR(__xludf.DUMMYFUNCTION("""COMPUTED_VALUE"""),"2h1m")</f>
        <v>2h1m</v>
      </c>
      <c r="L132" s="287">
        <f>IFERROR(__xludf.DUMMYFUNCTION("""COMPUTED_VALUE"""),46324.0)</f>
        <v>46324</v>
      </c>
      <c r="M132" s="285">
        <f>IFERROR(__xludf.DUMMYFUNCTION("""COMPUTED_VALUE"""),12.0)</f>
        <v>12</v>
      </c>
      <c r="N132" s="289">
        <f>IFERROR(__xludf.DUMMYFUNCTION("""COMPUTED_VALUE"""),1.17E7)</f>
        <v>11700000</v>
      </c>
      <c r="O132" s="285" t="str">
        <f>IFERROR(__xludf.DUMMYFUNCTION("""COMPUTED_VALUE"""),"buat penawaran")</f>
        <v>buat penawaran</v>
      </c>
      <c r="P132" s="291" t="str">
        <f>IFERROR(__xludf.DUMMYFUNCTION("""COMPUTED_VALUE"""),"https://docs.google.com/document/d/1-OPncysgZtsXtKEyiniZ2gSmzQDiG_DgZ38ohiQ24kM/edit?usp=sharing")</f>
        <v>https://docs.google.com/document/d/1-OPncysgZtsXtKEyiniZ2gSmzQDiG_DgZ38ohiQ24kM/edit?usp=sharing</v>
      </c>
      <c r="R132" s="285"/>
      <c r="S132" s="285"/>
      <c r="T132" s="285"/>
      <c r="U132" s="285"/>
      <c r="V132" s="285"/>
      <c r="W132" s="285"/>
      <c r="X132" s="285"/>
      <c r="Y132" s="285"/>
      <c r="Z132" s="285"/>
      <c r="AA132" s="285"/>
      <c r="AC132" s="285" t="str">
        <f>IFERROR(__xludf.DUMMYFUNCTION("""COMPUTED_VALUE"""),"2603A031")</f>
        <v>2603A031</v>
      </c>
      <c r="AD132" s="286">
        <f>IFERROR(__xludf.DUMMYFUNCTION("""COMPUTED_VALUE"""),46096.0)</f>
        <v>46096</v>
      </c>
      <c r="AE132" s="285" t="str">
        <f>IFERROR(__xludf.DUMMYFUNCTION("""COMPUTED_VALUE"""),"Anisa")</f>
        <v>Anisa</v>
      </c>
      <c r="AF132" s="285" t="str">
        <f>IFERROR(__xludf.DUMMYFUNCTION("""COMPUTED_VALUE"""),"089613987223‬")</f>
        <v>089613987223‬</v>
      </c>
      <c r="AG132" s="285" t="str">
        <f>IFERROR(__xludf.DUMMYFUNCTION("""COMPUTED_VALUE"""),"Gagal")</f>
        <v>Gagal</v>
      </c>
      <c r="AH132" s="285" t="str">
        <f>IFERROR(__xludf.DUMMYFUNCTION("""COMPUTED_VALUE"""),"trip menjangan baluran")</f>
        <v>trip menjangan baluran</v>
      </c>
      <c r="AI132" s="287">
        <f>IFERROR(__xludf.DUMMYFUNCTION("""COMPUTED_VALUE"""),46105.0)</f>
        <v>46105</v>
      </c>
      <c r="AJ132" s="285">
        <f>IFERROR(__xludf.DUMMYFUNCTION("""COMPUTED_VALUE"""),2.0)</f>
        <v>2</v>
      </c>
      <c r="AK132" s="289"/>
      <c r="AL132" s="285"/>
    </row>
    <row r="133">
      <c r="F133" s="285" t="str">
        <f>IFERROR(__xludf.DUMMYFUNCTION("""COMPUTED_VALUE"""),"2604A106")</f>
        <v>2604A106</v>
      </c>
      <c r="G133" s="286">
        <f>IFERROR(__xludf.DUMMYFUNCTION("""COMPUTED_VALUE"""),46139.0)</f>
        <v>46139</v>
      </c>
      <c r="H133" s="285" t="str">
        <f>IFERROR(__xludf.DUMMYFUNCTION("""COMPUTED_VALUE"""),"Velin")</f>
        <v>Velin</v>
      </c>
      <c r="I133" s="285" t="str">
        <f>IFERROR(__xludf.DUMMYFUNCTION("""COMPUTED_VALUE"""),"081215488294")</f>
        <v>081215488294</v>
      </c>
      <c r="J133" s="285" t="str">
        <f>IFERROR(__xludf.DUMMYFUNCTION("""COMPUTED_VALUE"""),"Qualified")</f>
        <v>Qualified</v>
      </c>
      <c r="K133" s="285" t="str">
        <f>IFERROR(__xludf.DUMMYFUNCTION("""COMPUTED_VALUE"""),"3H2M")</f>
        <v>3H2M</v>
      </c>
      <c r="L133" s="287"/>
      <c r="M133" s="285">
        <f>IFERROR(__xludf.DUMMYFUNCTION("""COMPUTED_VALUE"""),2.0)</f>
        <v>2</v>
      </c>
      <c r="N133" s="289">
        <f>IFERROR(__xludf.DUMMYFUNCTION("""COMPUTED_VALUE"""),6920000.0)</f>
        <v>6920000</v>
      </c>
      <c r="O133" s="285" t="str">
        <f>IFERROR(__xludf.DUMMYFUNCTION("""COMPUTED_VALUE"""),"buat penawaran")</f>
        <v>buat penawaran</v>
      </c>
      <c r="P133" s="291" t="str">
        <f>IFERROR(__xludf.DUMMYFUNCTION("""COMPUTED_VALUE"""),"https://docs.google.com/document/d/1FYLPBZh9jqZeJJiQgqAdfOq1nQPZSFqldtD-swYXk0s/edit?usp=sharing")</f>
        <v>https://docs.google.com/document/d/1FYLPBZh9jqZeJJiQgqAdfOq1nQPZSFqldtD-swYXk0s/edit?usp=sharing</v>
      </c>
      <c r="R133" s="285"/>
      <c r="S133" s="285"/>
      <c r="T133" s="285"/>
      <c r="U133" s="285"/>
      <c r="V133" s="285"/>
      <c r="W133" s="285"/>
      <c r="X133" s="285"/>
      <c r="Y133" s="285"/>
      <c r="Z133" s="285"/>
      <c r="AA133" s="285"/>
      <c r="AC133" s="285" t="str">
        <f>IFERROR(__xludf.DUMMYFUNCTION("""COMPUTED_VALUE"""),"2603A032")</f>
        <v>2603A032</v>
      </c>
      <c r="AD133" s="286">
        <f>IFERROR(__xludf.DUMMYFUNCTION("""COMPUTED_VALUE"""),46096.0)</f>
        <v>46096</v>
      </c>
      <c r="AE133" s="285" t="str">
        <f>IFERROR(__xludf.DUMMYFUNCTION("""COMPUTED_VALUE"""),"Alya nadya")</f>
        <v>Alya nadya</v>
      </c>
      <c r="AF133" s="285" t="str">
        <f>IFERROR(__xludf.DUMMYFUNCTION("""COMPUTED_VALUE"""),"08112001339‬")</f>
        <v>08112001339‬</v>
      </c>
      <c r="AG133" s="285" t="str">
        <f>IFERROR(__xludf.DUMMYFUNCTION("""COMPUTED_VALUE"""),"Gagal")</f>
        <v>Gagal</v>
      </c>
      <c r="AH133" s="285" t="str">
        <f>IFERROR(__xludf.DUMMYFUNCTION("""COMPUTED_VALUE"""),"4H3M Custom")</f>
        <v>4H3M Custom</v>
      </c>
      <c r="AI133" s="287"/>
      <c r="AJ133" s="285">
        <f>IFERROR(__xludf.DUMMYFUNCTION("""COMPUTED_VALUE"""),6.0)</f>
        <v>6</v>
      </c>
      <c r="AK133" s="289">
        <f>IFERROR(__xludf.DUMMYFUNCTION("""COMPUTED_VALUE"""),1.4781E7)</f>
        <v>14781000</v>
      </c>
      <c r="AL133" s="285"/>
    </row>
    <row r="134">
      <c r="F134" s="285" t="str">
        <f>IFERROR(__xludf.DUMMYFUNCTION("""COMPUTED_VALUE"""),"2604A110")</f>
        <v>2604A110</v>
      </c>
      <c r="G134" s="286">
        <f>IFERROR(__xludf.DUMMYFUNCTION("""COMPUTED_VALUE"""),46140.0)</f>
        <v>46140</v>
      </c>
      <c r="H134" s="285" t="str">
        <f>IFERROR(__xludf.DUMMYFUNCTION("""COMPUTED_VALUE"""),"Sylvi")</f>
        <v>Sylvi</v>
      </c>
      <c r="I134" s="285" t="str">
        <f>IFERROR(__xludf.DUMMYFUNCTION("""COMPUTED_VALUE"""),"0811324349")</f>
        <v>0811324349</v>
      </c>
      <c r="J134" s="285" t="str">
        <f>IFERROR(__xludf.DUMMYFUNCTION("""COMPUTED_VALUE"""),"Qualified")</f>
        <v>Qualified</v>
      </c>
      <c r="K134" s="285" t="str">
        <f>IFERROR(__xludf.DUMMYFUNCTION("""COMPUTED_VALUE"""),"trip 1D AP, D, PM")</f>
        <v>trip 1D AP, D, PM</v>
      </c>
      <c r="L134" s="287">
        <f>IFERROR(__xludf.DUMMYFUNCTION("""COMPUTED_VALUE"""),46157.0)</f>
        <v>46157</v>
      </c>
      <c r="M134" s="285">
        <f>IFERROR(__xludf.DUMMYFUNCTION("""COMPUTED_VALUE"""),2.0)</f>
        <v>2</v>
      </c>
      <c r="N134" s="289">
        <f>IFERROR(__xludf.DUMMYFUNCTION("""COMPUTED_VALUE"""),1768000.0)</f>
        <v>1768000</v>
      </c>
      <c r="O134" s="285" t="str">
        <f>IFERROR(__xludf.DUMMYFUNCTION("""COMPUTED_VALUE"""),"reschadule, masih opname")</f>
        <v>reschadule, masih opname</v>
      </c>
      <c r="P134" s="291" t="str">
        <f>IFERROR(__xludf.DUMMYFUNCTION("""COMPUTED_VALUE"""),"https://docs.google.com/document/d/12LmUlhImDvJNn0V1MKO4HEy6bRM_N22I7irWYQHppRQ/edit?usp=sharing")</f>
        <v>https://docs.google.com/document/d/12LmUlhImDvJNn0V1MKO4HEy6bRM_N22I7irWYQHppRQ/edit?usp=sharing</v>
      </c>
      <c r="R134" s="285"/>
      <c r="S134" s="285"/>
      <c r="T134" s="285"/>
      <c r="U134" s="285"/>
      <c r="V134" s="285"/>
      <c r="W134" s="285"/>
      <c r="X134" s="285"/>
      <c r="Y134" s="285"/>
      <c r="Z134" s="285"/>
      <c r="AA134" s="285"/>
      <c r="AC134" s="285" t="str">
        <f>IFERROR(__xludf.DUMMYFUNCTION("""COMPUTED_VALUE"""),"2603A033")</f>
        <v>2603A033</v>
      </c>
      <c r="AD134" s="286">
        <f>IFERROR(__xludf.DUMMYFUNCTION("""COMPUTED_VALUE"""),46096.0)</f>
        <v>46096</v>
      </c>
      <c r="AE134" s="285" t="str">
        <f>IFERROR(__xludf.DUMMYFUNCTION("""COMPUTED_VALUE"""),"Dewanti Ajeng")</f>
        <v>Dewanti Ajeng</v>
      </c>
      <c r="AF134" s="285" t="str">
        <f>IFERROR(__xludf.DUMMYFUNCTION("""COMPUTED_VALUE"""),"081323981858‬")</f>
        <v>081323981858‬</v>
      </c>
      <c r="AG134" s="285" t="str">
        <f>IFERROR(__xludf.DUMMYFUNCTION("""COMPUTED_VALUE"""),"Gagal")</f>
        <v>Gagal</v>
      </c>
      <c r="AH134" s="285" t="str">
        <f>IFERROR(__xludf.DUMMYFUNCTION("""COMPUTED_VALUE"""),"2H1M Custom")</f>
        <v>2H1M Custom</v>
      </c>
      <c r="AI134" s="287"/>
      <c r="AJ134" s="285">
        <f>IFERROR(__xludf.DUMMYFUNCTION("""COMPUTED_VALUE"""),2.0)</f>
        <v>2</v>
      </c>
      <c r="AK134" s="289">
        <f>IFERROR(__xludf.DUMMYFUNCTION("""COMPUTED_VALUE"""),5400000.0)</f>
        <v>5400000</v>
      </c>
      <c r="AL134" s="285" t="str">
        <f>IFERROR(__xludf.DUMMYFUNCTION("""COMPUTED_VALUE"""),"masih diskusi")</f>
        <v>masih diskusi</v>
      </c>
    </row>
    <row r="135">
      <c r="F135" s="285" t="str">
        <f>IFERROR(__xludf.DUMMYFUNCTION("""COMPUTED_VALUE"""),"2604A112")</f>
        <v>2604A112</v>
      </c>
      <c r="G135" s="286">
        <f>IFERROR(__xludf.DUMMYFUNCTION("""COMPUTED_VALUE"""),46140.0)</f>
        <v>46140</v>
      </c>
      <c r="H135" s="285" t="str">
        <f>IFERROR(__xludf.DUMMYFUNCTION("""COMPUTED_VALUE"""),"Bu Minar")</f>
        <v>Bu Minar</v>
      </c>
      <c r="I135" s="285" t="str">
        <f>IFERROR(__xludf.DUMMYFUNCTION("""COMPUTED_VALUE"""),"081310320316")</f>
        <v>081310320316</v>
      </c>
      <c r="J135" s="285" t="str">
        <f>IFERROR(__xludf.DUMMYFUNCTION("""COMPUTED_VALUE"""),"Qualified")</f>
        <v>Qualified</v>
      </c>
      <c r="K135" s="285" t="str">
        <f>IFERROR(__xludf.DUMMYFUNCTION("""COMPUTED_VALUE"""),"4H3M")</f>
        <v>4H3M</v>
      </c>
      <c r="L135" s="287"/>
      <c r="M135" s="285">
        <f>IFERROR(__xludf.DUMMYFUNCTION("""COMPUTED_VALUE"""),4.0)</f>
        <v>4</v>
      </c>
      <c r="N135" s="289">
        <f>IFERROR(__xludf.DUMMYFUNCTION("""COMPUTED_VALUE"""),8460000.0)</f>
        <v>8460000</v>
      </c>
      <c r="O135" s="285" t="str">
        <f>IFERROR(__xludf.DUMMYFUNCTION("""COMPUTED_VALUE"""),"Reschadule juli. FU pertengahan juni")</f>
        <v>Reschadule juli. FU pertengahan juni</v>
      </c>
      <c r="P135" s="291" t="str">
        <f>IFERROR(__xludf.DUMMYFUNCTION("""COMPUTED_VALUE"""),"https://docs.google.com/document/d/1AEURLeT-OST2QAG-jZMSk3SeOSMAZYVFkJ2p4yrSbkw/edit?usp=sharing")</f>
        <v>https://docs.google.com/document/d/1AEURLeT-OST2QAG-jZMSk3SeOSMAZYVFkJ2p4yrSbkw/edit?usp=sharing</v>
      </c>
      <c r="R135" s="285"/>
      <c r="S135" s="285"/>
      <c r="T135" s="285"/>
      <c r="U135" s="285"/>
      <c r="V135" s="285"/>
      <c r="W135" s="285"/>
      <c r="X135" s="285"/>
      <c r="Y135" s="285"/>
      <c r="Z135" s="285"/>
      <c r="AA135" s="285"/>
      <c r="AC135" s="285" t="str">
        <f>IFERROR(__xludf.DUMMYFUNCTION("""COMPUTED_VALUE"""),"2603A034")</f>
        <v>2603A034</v>
      </c>
      <c r="AD135" s="286">
        <f>IFERROR(__xludf.DUMMYFUNCTION("""COMPUTED_VALUE"""),46096.0)</f>
        <v>46096</v>
      </c>
      <c r="AE135" s="285" t="str">
        <f>IFERROR(__xludf.DUMMYFUNCTION("""COMPUTED_VALUE"""),"Utari")</f>
        <v>Utari</v>
      </c>
      <c r="AF135" s="285" t="str">
        <f>IFERROR(__xludf.DUMMYFUNCTION("""COMPUTED_VALUE"""),"082131035023‬")</f>
        <v>082131035023‬</v>
      </c>
      <c r="AG135" s="285" t="str">
        <f>IFERROR(__xludf.DUMMYFUNCTION("""COMPUTED_VALUE"""),"Gagal")</f>
        <v>Gagal</v>
      </c>
      <c r="AH135" s="285" t="str">
        <f>IFERROR(__xludf.DUMMYFUNCTION("""COMPUTED_VALUE"""),"Trip + yoga")</f>
        <v>Trip + yoga</v>
      </c>
      <c r="AI135" s="287"/>
      <c r="AJ135" s="285">
        <f>IFERROR(__xludf.DUMMYFUNCTION("""COMPUTED_VALUE"""),20.0)</f>
        <v>20</v>
      </c>
      <c r="AK135" s="289"/>
      <c r="AL135" s="285" t="str">
        <f>IFERROR(__xludf.DUMMYFUNCTION("""COMPUTED_VALUE"""),"tidak ada kelanjutan. di fu tidak ada balasan")</f>
        <v>tidak ada kelanjutan. di fu tidak ada balasan</v>
      </c>
    </row>
    <row r="136">
      <c r="F136" s="285" t="str">
        <f>IFERROR(__xludf.DUMMYFUNCTION("""COMPUTED_VALUE"""),"2604A119")</f>
        <v>2604A119</v>
      </c>
      <c r="G136" s="286">
        <f>IFERROR(__xludf.DUMMYFUNCTION("""COMPUTED_VALUE"""),46142.0)</f>
        <v>46142</v>
      </c>
      <c r="H136" s="285" t="str">
        <f>IFERROR(__xludf.DUMMYFUNCTION("""COMPUTED_VALUE"""),"Bambang")</f>
        <v>Bambang</v>
      </c>
      <c r="I136" s="285" t="str">
        <f>IFERROR(__xludf.DUMMYFUNCTION("""COMPUTED_VALUE"""),"08112484200")</f>
        <v>08112484200</v>
      </c>
      <c r="J136" s="285" t="str">
        <f>IFERROR(__xludf.DUMMYFUNCTION("""COMPUTED_VALUE"""),"Qualified")</f>
        <v>Qualified</v>
      </c>
      <c r="K136" s="285" t="str">
        <f>IFERROR(__xludf.DUMMYFUNCTION("""COMPUTED_VALUE"""),"3H2M A/B")</f>
        <v>3H2M A/B</v>
      </c>
      <c r="L136" s="287"/>
      <c r="M136" s="285">
        <f>IFERROR(__xludf.DUMMYFUNCTION("""COMPUTED_VALUE"""),30.0)</f>
        <v>30</v>
      </c>
      <c r="N136" s="289">
        <f>IFERROR(__xludf.DUMMYFUNCTION("""COMPUTED_VALUE"""),4.44E7)</f>
        <v>44400000</v>
      </c>
      <c r="O136" s="285" t="str">
        <f>IFERROR(__xludf.DUMMYFUNCTION("""COMPUTED_VALUE"""),"FU1 juni")</f>
        <v>FU1 juni</v>
      </c>
      <c r="P136" s="320"/>
      <c r="R136" s="285"/>
      <c r="S136" s="285"/>
      <c r="T136" s="285"/>
      <c r="U136" s="285"/>
      <c r="V136" s="285"/>
      <c r="W136" s="285"/>
      <c r="X136" s="285"/>
      <c r="Y136" s="285"/>
      <c r="Z136" s="285"/>
      <c r="AA136" s="285"/>
      <c r="AC136" s="285" t="str">
        <f>IFERROR(__xludf.DUMMYFUNCTION("""COMPUTED_VALUE"""),"2603A035")</f>
        <v>2603A035</v>
      </c>
      <c r="AD136" s="286">
        <f>IFERROR(__xludf.DUMMYFUNCTION("""COMPUTED_VALUE"""),46096.0)</f>
        <v>46096</v>
      </c>
      <c r="AE136" s="285" t="str">
        <f>IFERROR(__xludf.DUMMYFUNCTION("""COMPUTED_VALUE"""),"Della")</f>
        <v>Della</v>
      </c>
      <c r="AF136" s="285" t="str">
        <f>IFERROR(__xludf.DUMMYFUNCTION("""COMPUTED_VALUE"""),"081296160678‬")</f>
        <v>081296160678‬</v>
      </c>
      <c r="AG136" s="285" t="str">
        <f>IFERROR(__xludf.DUMMYFUNCTION("""COMPUTED_VALUE"""),"Gagal")</f>
        <v>Gagal</v>
      </c>
      <c r="AH136" s="285" t="str">
        <f>IFERROR(__xludf.DUMMYFUNCTION("""COMPUTED_VALUE"""),"3H2M Custom")</f>
        <v>3H2M Custom</v>
      </c>
      <c r="AI136" s="287">
        <f>IFERROR(__xludf.DUMMYFUNCTION("""COMPUTED_VALUE"""),46108.0)</f>
        <v>46108</v>
      </c>
      <c r="AJ136" s="285">
        <f>IFERROR(__xludf.DUMMYFUNCTION("""COMPUTED_VALUE"""),10.0)</f>
        <v>10</v>
      </c>
      <c r="AK136" s="289"/>
      <c r="AL136" s="285" t="str">
        <f>IFERROR(__xludf.DUMMYFUNCTION("""COMPUTED_VALUE"""),"tidak bales lagi")</f>
        <v>tidak bales lagi</v>
      </c>
    </row>
    <row r="137">
      <c r="F137" s="285" t="str">
        <f>IFERROR(__xludf.DUMMYFUNCTION("""COMPUTED_VALUE"""),"2605A001")</f>
        <v>2605A001</v>
      </c>
      <c r="G137" s="286">
        <f>IFERROR(__xludf.DUMMYFUNCTION("""COMPUTED_VALUE"""),46143.0)</f>
        <v>46143</v>
      </c>
      <c r="H137" s="285" t="str">
        <f>IFERROR(__xludf.DUMMYFUNCTION("""COMPUTED_VALUE"""),"Henda")</f>
        <v>Henda</v>
      </c>
      <c r="I137" s="285" t="str">
        <f>IFERROR(__xludf.DUMMYFUNCTION("""COMPUTED_VALUE"""),"081290016726")</f>
        <v>081290016726</v>
      </c>
      <c r="J137" s="285" t="str">
        <f>IFERROR(__xludf.DUMMYFUNCTION("""COMPUTED_VALUE"""),"Qualified")</f>
        <v>Qualified</v>
      </c>
      <c r="K137" s="285" t="str">
        <f>IFERROR(__xludf.DUMMYFUNCTION("""COMPUTED_VALUE"""),"OT 3H2M")</f>
        <v>OT 3H2M</v>
      </c>
      <c r="L137" s="287"/>
      <c r="M137" s="285">
        <f>IFERROR(__xludf.DUMMYFUNCTION("""COMPUTED_VALUE"""),3.0)</f>
        <v>3</v>
      </c>
      <c r="N137" s="289">
        <f>IFERROR(__xludf.DUMMYFUNCTION("""COMPUTED_VALUE"""),4800000.0)</f>
        <v>4800000</v>
      </c>
      <c r="O137" s="285" t="str">
        <f>IFERROR(__xludf.DUMMYFUNCTION("""COMPUTED_VALUE"""),"FU 20 Juni")</f>
        <v>FU 20 Juni</v>
      </c>
      <c r="P137" s="320"/>
      <c r="R137" s="285"/>
      <c r="S137" s="285"/>
      <c r="T137" s="285"/>
      <c r="U137" s="285"/>
      <c r="V137" s="285"/>
      <c r="W137" s="285"/>
      <c r="X137" s="285"/>
      <c r="Y137" s="285"/>
      <c r="Z137" s="285"/>
      <c r="AA137" s="285"/>
      <c r="AC137" s="285" t="str">
        <f>IFERROR(__xludf.DUMMYFUNCTION("""COMPUTED_VALUE"""),"2603A036")</f>
        <v>2603A036</v>
      </c>
      <c r="AD137" s="286">
        <f>IFERROR(__xludf.DUMMYFUNCTION("""COMPUTED_VALUE"""),46097.0)</f>
        <v>46097</v>
      </c>
      <c r="AE137" s="285" t="str">
        <f>IFERROR(__xludf.DUMMYFUNCTION("""COMPUTED_VALUE"""),"Anie")</f>
        <v>Anie</v>
      </c>
      <c r="AF137" s="285" t="str">
        <f>IFERROR(__xludf.DUMMYFUNCTION("""COMPUTED_VALUE"""),"08157628944‬")</f>
        <v>08157628944‬</v>
      </c>
      <c r="AG137" s="285" t="str">
        <f>IFERROR(__xludf.DUMMYFUNCTION("""COMPUTED_VALUE"""),"Gagal")</f>
        <v>Gagal</v>
      </c>
      <c r="AH137" s="285" t="str">
        <f>IFERROR(__xludf.DUMMYFUNCTION("""COMPUTED_VALUE"""),"3H2M opsi A")</f>
        <v>3H2M opsi A</v>
      </c>
      <c r="AI137" s="287"/>
      <c r="AJ137" s="285">
        <f>IFERROR(__xludf.DUMMYFUNCTION("""COMPUTED_VALUE"""),4.0)</f>
        <v>4</v>
      </c>
      <c r="AK137" s="289">
        <f>IFERROR(__xludf.DUMMYFUNCTION("""COMPUTED_VALUE"""),6808000.0)</f>
        <v>6808000</v>
      </c>
      <c r="AL137" s="285" t="str">
        <f>IFERROR(__xludf.DUMMYFUNCTION("""COMPUTED_VALUE"""),"gada kelanjutan")</f>
        <v>gada kelanjutan</v>
      </c>
    </row>
    <row r="138">
      <c r="F138" s="285" t="str">
        <f>IFERROR(__xludf.DUMMYFUNCTION("""COMPUTED_VALUE"""),"2605A007")</f>
        <v>2605A007</v>
      </c>
      <c r="G138" s="286">
        <f>IFERROR(__xludf.DUMMYFUNCTION("""COMPUTED_VALUE"""),46143.0)</f>
        <v>46143</v>
      </c>
      <c r="H138" s="285" t="str">
        <f>IFERROR(__xludf.DUMMYFUNCTION("""COMPUTED_VALUE"""),"Rahayoe")</f>
        <v>Rahayoe</v>
      </c>
      <c r="I138" s="285" t="str">
        <f>IFERROR(__xludf.DUMMYFUNCTION("""COMPUTED_VALUE"""),"081269731661")</f>
        <v>081269731661</v>
      </c>
      <c r="J138" s="285" t="str">
        <f>IFERROR(__xludf.DUMMYFUNCTION("""COMPUTED_VALUE"""),"Qualified")</f>
        <v>Qualified</v>
      </c>
      <c r="K138" s="285" t="str">
        <f>IFERROR(__xludf.DUMMYFUNCTION("""COMPUTED_VALUE"""),"3H2M")</f>
        <v>3H2M</v>
      </c>
      <c r="L138" s="287"/>
      <c r="M138" s="285">
        <f>IFERROR(__xludf.DUMMYFUNCTION("""COMPUTED_VALUE"""),5.0)</f>
        <v>5</v>
      </c>
      <c r="N138" s="289"/>
      <c r="O138" s="285" t="str">
        <f>IFERROR(__xludf.DUMMYFUNCTION("""COMPUTED_VALUE"""),"fu 28 mei")</f>
        <v>fu 28 mei</v>
      </c>
      <c r="P138" s="320"/>
      <c r="R138" s="285"/>
      <c r="S138" s="285"/>
      <c r="T138" s="285"/>
      <c r="U138" s="285"/>
      <c r="V138" s="285"/>
      <c r="W138" s="285"/>
      <c r="X138" s="285"/>
      <c r="Y138" s="285"/>
      <c r="Z138" s="285"/>
      <c r="AA138" s="285"/>
      <c r="AC138" s="285" t="str">
        <f>IFERROR(__xludf.DUMMYFUNCTION("""COMPUTED_VALUE"""),"2603A038")</f>
        <v>2603A038</v>
      </c>
      <c r="AD138" s="286">
        <f>IFERROR(__xludf.DUMMYFUNCTION("""COMPUTED_VALUE"""),46097.0)</f>
        <v>46097</v>
      </c>
      <c r="AE138" s="285" t="str">
        <f>IFERROR(__xludf.DUMMYFUNCTION("""COMPUTED_VALUE"""),"Mick")</f>
        <v>Mick</v>
      </c>
      <c r="AF138" s="285" t="str">
        <f>IFERROR(__xludf.DUMMYFUNCTION("""COMPUTED_VALUE"""),"‪+32491368865‬")</f>
        <v>‪+32491368865‬</v>
      </c>
      <c r="AG138" s="285" t="str">
        <f>IFERROR(__xludf.DUMMYFUNCTION("""COMPUTED_VALUE"""),"Gagal")</f>
        <v>Gagal</v>
      </c>
      <c r="AH138" s="285" t="str">
        <f>IFERROR(__xludf.DUMMYFUNCTION("""COMPUTED_VALUE"""),"1D ijen")</f>
        <v>1D ijen</v>
      </c>
      <c r="AI138" s="287">
        <f>IFERROR(__xludf.DUMMYFUNCTION("""COMPUTED_VALUE"""),46097.0)</f>
        <v>46097</v>
      </c>
      <c r="AJ138" s="285">
        <f>IFERROR(__xludf.DUMMYFUNCTION("""COMPUTED_VALUE"""),1.0)</f>
        <v>1</v>
      </c>
      <c r="AK138" s="289">
        <f>IFERROR(__xludf.DUMMYFUNCTION("""COMPUTED_VALUE"""),500000.0)</f>
        <v>500000</v>
      </c>
      <c r="AL138" s="285"/>
    </row>
    <row r="139">
      <c r="F139" s="285" t="str">
        <f>IFERROR(__xludf.DUMMYFUNCTION("""COMPUTED_VALUE"""),"2605A009")</f>
        <v>2605A009</v>
      </c>
      <c r="G139" s="286">
        <f>IFERROR(__xludf.DUMMYFUNCTION("""COMPUTED_VALUE"""),46144.0)</f>
        <v>46144</v>
      </c>
      <c r="H139" s="285" t="str">
        <f>IFERROR(__xludf.DUMMYFUNCTION("""COMPUTED_VALUE"""),"Ameena")</f>
        <v>Ameena</v>
      </c>
      <c r="I139" s="285" t="str">
        <f>IFERROR(__xludf.DUMMYFUNCTION("""COMPUTED_VALUE"""),"082334704822")</f>
        <v>082334704822</v>
      </c>
      <c r="J139" s="285" t="str">
        <f>IFERROR(__xludf.DUMMYFUNCTION("""COMPUTED_VALUE"""),"Qualified")</f>
        <v>Qualified</v>
      </c>
      <c r="K139" s="285" t="str">
        <f>IFERROR(__xludf.DUMMYFUNCTION("""COMPUTED_VALUE"""),"Trip T")</f>
        <v>Trip T</v>
      </c>
      <c r="L139" s="287"/>
      <c r="M139" s="285">
        <f>IFERROR(__xludf.DUMMYFUNCTION("""COMPUTED_VALUE"""),4.0)</f>
        <v>4</v>
      </c>
      <c r="N139" s="289">
        <f>IFERROR(__xludf.DUMMYFUNCTION("""COMPUTED_VALUE"""),2000000.0)</f>
        <v>2000000</v>
      </c>
      <c r="O139" s="285" t="str">
        <f>IFERROR(__xludf.DUMMYFUNCTION("""COMPUTED_VALUE"""),"masih komfir ke temannnya")</f>
        <v>masih komfir ke temannnya</v>
      </c>
      <c r="P139" s="320"/>
      <c r="R139" s="285"/>
      <c r="S139" s="285"/>
      <c r="T139" s="285"/>
      <c r="U139" s="285"/>
      <c r="V139" s="285"/>
      <c r="W139" s="285"/>
      <c r="X139" s="285"/>
      <c r="Y139" s="285"/>
      <c r="Z139" s="285"/>
      <c r="AA139" s="285"/>
      <c r="AC139" s="285" t="str">
        <f>IFERROR(__xludf.DUMMYFUNCTION("""COMPUTED_VALUE"""),"2603A039")</f>
        <v>2603A039</v>
      </c>
      <c r="AD139" s="286">
        <f>IFERROR(__xludf.DUMMYFUNCTION("""COMPUTED_VALUE"""),46097.0)</f>
        <v>46097</v>
      </c>
      <c r="AE139" s="285" t="str">
        <f>IFERROR(__xludf.DUMMYFUNCTION("""COMPUTED_VALUE"""),"Milen")</f>
        <v>Milen</v>
      </c>
      <c r="AF139" s="285" t="str">
        <f>IFERROR(__xludf.DUMMYFUNCTION("""COMPUTED_VALUE"""),"085121117005")</f>
        <v>085121117005</v>
      </c>
      <c r="AG139" s="285" t="str">
        <f>IFERROR(__xludf.DUMMYFUNCTION("""COMPUTED_VALUE"""),"Gagal")</f>
        <v>Gagal</v>
      </c>
      <c r="AH139" s="285" t="str">
        <f>IFERROR(__xludf.DUMMYFUNCTION("""COMPUTED_VALUE"""),"Outing")</f>
        <v>Outing</v>
      </c>
      <c r="AI139" s="287"/>
      <c r="AJ139" s="285">
        <f>IFERROR(__xludf.DUMMYFUNCTION("""COMPUTED_VALUE"""),55.0)</f>
        <v>55</v>
      </c>
      <c r="AK139" s="289">
        <f>IFERROR(__xludf.DUMMYFUNCTION("""COMPUTED_VALUE"""),7.975E7)</f>
        <v>79750000</v>
      </c>
      <c r="AL139" s="285" t="str">
        <f>IFERROR(__xludf.DUMMYFUNCTION("""COMPUTED_VALUE"""),"tidak jadi diselenggarakan di BWI")</f>
        <v>tidak jadi diselenggarakan di BWI</v>
      </c>
    </row>
    <row r="140">
      <c r="F140" s="285" t="str">
        <f>IFERROR(__xludf.DUMMYFUNCTION("""COMPUTED_VALUE"""),"2605A016")</f>
        <v>2605A016</v>
      </c>
      <c r="G140" s="286">
        <f>IFERROR(__xludf.DUMMYFUNCTION("""COMPUTED_VALUE"""),46145.0)</f>
        <v>46145</v>
      </c>
      <c r="H140" s="285" t="str">
        <f>IFERROR(__xludf.DUMMYFUNCTION("""COMPUTED_VALUE"""),"Adi")</f>
        <v>Adi</v>
      </c>
      <c r="I140" s="285" t="str">
        <f>IFERROR(__xludf.DUMMYFUNCTION("""COMPUTED_VALUE"""),"081234584744‬")</f>
        <v>081234584744‬</v>
      </c>
      <c r="J140" s="285" t="str">
        <f>IFERROR(__xludf.DUMMYFUNCTION("""COMPUTED_VALUE"""),"Qualified")</f>
        <v>Qualified</v>
      </c>
      <c r="K140" s="285" t="str">
        <f>IFERROR(__xludf.DUMMYFUNCTION("""COMPUTED_VALUE"""),"2H1M Custom")</f>
        <v>2H1M Custom</v>
      </c>
      <c r="L140" s="287"/>
      <c r="M140" s="285">
        <f>IFERROR(__xludf.DUMMYFUNCTION("""COMPUTED_VALUE"""),3.0)</f>
        <v>3</v>
      </c>
      <c r="N140" s="289">
        <f>IFERROR(__xludf.DUMMYFUNCTION("""COMPUTED_VALUE"""),2970000.0)</f>
        <v>2970000</v>
      </c>
      <c r="O140" s="285" t="str">
        <f>IFERROR(__xludf.DUMMYFUNCTION("""COMPUTED_VALUE"""),"masih dipertimbangkan")</f>
        <v>masih dipertimbangkan</v>
      </c>
      <c r="P140" s="320"/>
      <c r="R140" s="285"/>
      <c r="S140" s="285"/>
      <c r="T140" s="285"/>
      <c r="U140" s="285"/>
      <c r="V140" s="285"/>
      <c r="W140" s="285"/>
      <c r="X140" s="285"/>
      <c r="Y140" s="285"/>
      <c r="Z140" s="285"/>
      <c r="AA140" s="285"/>
      <c r="AC140" s="285" t="str">
        <f>IFERROR(__xludf.DUMMYFUNCTION("""COMPUTED_VALUE"""),"2603A040")</f>
        <v>2603A040</v>
      </c>
      <c r="AD140" s="286">
        <f>IFERROR(__xludf.DUMMYFUNCTION("""COMPUTED_VALUE"""),46097.0)</f>
        <v>46097</v>
      </c>
      <c r="AE140" s="285" t="str">
        <f>IFERROR(__xludf.DUMMYFUNCTION("""COMPUTED_VALUE"""),"erika")</f>
        <v>erika</v>
      </c>
      <c r="AF140" s="285" t="str">
        <f>IFERROR(__xludf.DUMMYFUNCTION("""COMPUTED_VALUE"""),"087878283448‬")</f>
        <v>087878283448‬</v>
      </c>
      <c r="AG140" s="285" t="str">
        <f>IFERROR(__xludf.DUMMYFUNCTION("""COMPUTED_VALUE"""),"Gagal")</f>
        <v>Gagal</v>
      </c>
      <c r="AH140" s="285" t="str">
        <f>IFERROR(__xludf.DUMMYFUNCTION("""COMPUTED_VALUE"""),"2H1M")</f>
        <v>2H1M</v>
      </c>
      <c r="AI140" s="287">
        <f>IFERROR(__xludf.DUMMYFUNCTION("""COMPUTED_VALUE"""),46104.0)</f>
        <v>46104</v>
      </c>
      <c r="AJ140" s="285">
        <f>IFERROR(__xludf.DUMMYFUNCTION("""COMPUTED_VALUE"""),2.0)</f>
        <v>2</v>
      </c>
      <c r="AK140" s="289"/>
      <c r="AL140" s="285" t="str">
        <f>IFERROR(__xludf.DUMMYFUNCTION("""COMPUTED_VALUE"""),"lewat tanggal")</f>
        <v>lewat tanggal</v>
      </c>
    </row>
    <row r="141">
      <c r="F141" s="285" t="str">
        <f>IFERROR(__xludf.DUMMYFUNCTION("""COMPUTED_VALUE"""),"2605A020")</f>
        <v>2605A020</v>
      </c>
      <c r="G141" s="286">
        <f>IFERROR(__xludf.DUMMYFUNCTION("""COMPUTED_VALUE"""),46146.0)</f>
        <v>46146</v>
      </c>
      <c r="H141" s="285" t="str">
        <f>IFERROR(__xludf.DUMMYFUNCTION("""COMPUTED_VALUE"""),"Elok")</f>
        <v>Elok</v>
      </c>
      <c r="I141" s="285" t="str">
        <f>IFERROR(__xludf.DUMMYFUNCTION("""COMPUTED_VALUE"""),"082295407134‬")</f>
        <v>082295407134‬</v>
      </c>
      <c r="J141" s="285" t="str">
        <f>IFERROR(__xludf.DUMMYFUNCTION("""COMPUTED_VALUE"""),"Qualified")</f>
        <v>Qualified</v>
      </c>
      <c r="K141" s="285" t="str">
        <f>IFERROR(__xludf.DUMMYFUNCTION("""COMPUTED_VALUE"""),"2H1M / 3H2M")</f>
        <v>2H1M / 3H2M</v>
      </c>
      <c r="L141" s="287"/>
      <c r="M141" s="285">
        <f>IFERROR(__xludf.DUMMYFUNCTION("""COMPUTED_VALUE"""),2.0)</f>
        <v>2</v>
      </c>
      <c r="N141" s="289">
        <f>IFERROR(__xludf.DUMMYFUNCTION("""COMPUTED_VALUE"""),7200000.0)</f>
        <v>7200000</v>
      </c>
      <c r="O141" s="285" t="str">
        <f>IFERROR(__xludf.DUMMYFUNCTION("""COMPUTED_VALUE"""),"FU 7 Mei")</f>
        <v>FU 7 Mei</v>
      </c>
      <c r="P141" s="320"/>
      <c r="R141" s="285"/>
      <c r="S141" s="285"/>
      <c r="T141" s="285"/>
      <c r="U141" s="285"/>
      <c r="V141" s="285"/>
      <c r="W141" s="285"/>
      <c r="X141" s="285"/>
      <c r="Y141" s="285"/>
      <c r="Z141" s="285"/>
      <c r="AA141" s="285"/>
      <c r="AC141" s="285" t="str">
        <f>IFERROR(__xludf.DUMMYFUNCTION("""COMPUTED_VALUE"""),"2603A041")</f>
        <v>2603A041</v>
      </c>
      <c r="AD141" s="286">
        <f>IFERROR(__xludf.DUMMYFUNCTION("""COMPUTED_VALUE"""),46097.0)</f>
        <v>46097</v>
      </c>
      <c r="AE141" s="285" t="str">
        <f>IFERROR(__xludf.DUMMYFUNCTION("""COMPUTED_VALUE"""),"Yuliana")</f>
        <v>Yuliana</v>
      </c>
      <c r="AF141" s="285" t="str">
        <f>IFERROR(__xludf.DUMMYFUNCTION("""COMPUTED_VALUE"""),"081331128788‬")</f>
        <v>081331128788‬</v>
      </c>
      <c r="AG141" s="285" t="str">
        <f>IFERROR(__xludf.DUMMYFUNCTION("""COMPUTED_VALUE"""),"Gagal")</f>
        <v>Gagal</v>
      </c>
      <c r="AH141" s="285" t="str">
        <f>IFERROR(__xludf.DUMMYFUNCTION("""COMPUTED_VALUE"""),"1Day trip")</f>
        <v>1Day trip</v>
      </c>
      <c r="AI141" s="287">
        <f>IFERROR(__xludf.DUMMYFUNCTION("""COMPUTED_VALUE"""),46101.0)</f>
        <v>46101</v>
      </c>
      <c r="AJ141" s="285">
        <f>IFERROR(__xludf.DUMMYFUNCTION("""COMPUTED_VALUE"""),4.0)</f>
        <v>4</v>
      </c>
      <c r="AK141" s="289">
        <f>IFERROR(__xludf.DUMMYFUNCTION("""COMPUTED_VALUE"""),2200000.0)</f>
        <v>2200000</v>
      </c>
      <c r="AL141" s="285" t="str">
        <f>IFERROR(__xludf.DUMMYFUNCTION("""COMPUTED_VALUE"""),"guide fullbooked")</f>
        <v>guide fullbooked</v>
      </c>
    </row>
    <row r="142">
      <c r="F142" s="285" t="str">
        <f>IFERROR(__xludf.DUMMYFUNCTION("""COMPUTED_VALUE"""),"2605A024")</f>
        <v>2605A024</v>
      </c>
      <c r="G142" s="286">
        <f>IFERROR(__xludf.DUMMYFUNCTION("""COMPUTED_VALUE"""),46145.0)</f>
        <v>46145</v>
      </c>
      <c r="H142" s="285" t="str">
        <f>IFERROR(__xludf.DUMMYFUNCTION("""COMPUTED_VALUE"""),"Adi")</f>
        <v>Adi</v>
      </c>
      <c r="I142" s="285" t="str">
        <f>IFERROR(__xludf.DUMMYFUNCTION("""COMPUTED_VALUE"""),"081234584744")</f>
        <v>081234584744</v>
      </c>
      <c r="J142" s="285" t="str">
        <f>IFERROR(__xludf.DUMMYFUNCTION("""COMPUTED_VALUE"""),"Qualified")</f>
        <v>Qualified</v>
      </c>
      <c r="K142" s="285" t="str">
        <f>IFERROR(__xludf.DUMMYFUNCTION("""COMPUTED_VALUE"""),"2h1m z")</f>
        <v>2h1m z</v>
      </c>
      <c r="L142" s="287"/>
      <c r="M142" s="285"/>
      <c r="N142" s="289">
        <f>IFERROR(__xludf.DUMMYFUNCTION("""COMPUTED_VALUE"""),2970000.0)</f>
        <v>2970000</v>
      </c>
      <c r="O142" s="285" t="str">
        <f>IFERROR(__xludf.DUMMYFUNCTION("""COMPUTED_VALUE"""),"masih dipertimbangkan. fu 4 juni")</f>
        <v>masih dipertimbangkan. fu 4 juni</v>
      </c>
      <c r="P142" s="320"/>
      <c r="R142" s="285"/>
      <c r="S142" s="285"/>
      <c r="T142" s="285"/>
      <c r="U142" s="285"/>
      <c r="V142" s="285"/>
      <c r="W142" s="285"/>
      <c r="X142" s="285"/>
      <c r="Y142" s="285"/>
      <c r="Z142" s="285"/>
      <c r="AA142" s="285"/>
      <c r="AC142" s="285" t="str">
        <f>IFERROR(__xludf.DUMMYFUNCTION("""COMPUTED_VALUE"""),",2603A042")</f>
        <v>,2603A042</v>
      </c>
      <c r="AD142" s="286">
        <f>IFERROR(__xludf.DUMMYFUNCTION("""COMPUTED_VALUE"""),46097.0)</f>
        <v>46097</v>
      </c>
      <c r="AE142" s="285" t="str">
        <f>IFERROR(__xludf.DUMMYFUNCTION("""COMPUTED_VALUE"""),"dhesy")</f>
        <v>dhesy</v>
      </c>
      <c r="AF142" s="285" t="str">
        <f>IFERROR(__xludf.DUMMYFUNCTION("""COMPUTED_VALUE"""),"085739541848‬")</f>
        <v>085739541848‬</v>
      </c>
      <c r="AG142" s="285" t="str">
        <f>IFERROR(__xludf.DUMMYFUNCTION("""COMPUTED_VALUE"""),"Gagal")</f>
        <v>Gagal</v>
      </c>
      <c r="AH142" s="285" t="str">
        <f>IFERROR(__xludf.DUMMYFUNCTION("""COMPUTED_VALUE"""),"1 day trip custom")</f>
        <v>1 day trip custom</v>
      </c>
      <c r="AI142" s="287">
        <f>IFERROR(__xludf.DUMMYFUNCTION("""COMPUTED_VALUE"""),46115.0)</f>
        <v>46115</v>
      </c>
      <c r="AJ142" s="285">
        <f>IFERROR(__xludf.DUMMYFUNCTION("""COMPUTED_VALUE"""),2.0)</f>
        <v>2</v>
      </c>
      <c r="AK142" s="289">
        <f>IFERROR(__xludf.DUMMYFUNCTION("""COMPUTED_VALUE"""),3454000.0)</f>
        <v>3454000</v>
      </c>
      <c r="AL142" s="285" t="str">
        <f>IFERROR(__xludf.DUMMYFUNCTION("""COMPUTED_VALUE"""),"tidak jadi liburan")</f>
        <v>tidak jadi liburan</v>
      </c>
    </row>
    <row r="143">
      <c r="F143" s="285" t="str">
        <f>IFERROR(__xludf.DUMMYFUNCTION("""COMPUTED_VALUE"""),"2605A027")</f>
        <v>2605A027</v>
      </c>
      <c r="G143" s="286">
        <f>IFERROR(__xludf.DUMMYFUNCTION("""COMPUTED_VALUE"""),46146.0)</f>
        <v>46146</v>
      </c>
      <c r="H143" s="285" t="str">
        <f>IFERROR(__xludf.DUMMYFUNCTION("""COMPUTED_VALUE"""),"Nuraini")</f>
        <v>Nuraini</v>
      </c>
      <c r="I143" s="285" t="str">
        <f>IFERROR(__xludf.DUMMYFUNCTION("""COMPUTED_VALUE"""),"083893689355")</f>
        <v>083893689355</v>
      </c>
      <c r="J143" s="285" t="str">
        <f>IFERROR(__xludf.DUMMYFUNCTION("""COMPUTED_VALUE"""),"Qualified")</f>
        <v>Qualified</v>
      </c>
      <c r="K143" s="285" t="str">
        <f>IFERROR(__xludf.DUMMYFUNCTION("""COMPUTED_VALUE"""),"OTMT")</f>
        <v>OTMT</v>
      </c>
      <c r="L143" s="287">
        <f>IFERROR(__xludf.DUMMYFUNCTION("""COMPUTED_VALUE"""),46158.0)</f>
        <v>46158</v>
      </c>
      <c r="M143" s="285">
        <f>IFERROR(__xludf.DUMMYFUNCTION("""COMPUTED_VALUE"""),2.0)</f>
        <v>2</v>
      </c>
      <c r="N143" s="289">
        <f>IFERROR(__xludf.DUMMYFUNCTION("""COMPUTED_VALUE"""),590000.0)</f>
        <v>590000</v>
      </c>
      <c r="O143" s="285" t="str">
        <f>IFERROR(__xludf.DUMMYFUNCTION("""COMPUTED_VALUE"""),"blm balas lagi")</f>
        <v>blm balas lagi</v>
      </c>
      <c r="P143" s="320"/>
      <c r="R143" s="285"/>
      <c r="S143" s="285"/>
      <c r="T143" s="285"/>
      <c r="U143" s="285"/>
      <c r="V143" s="285"/>
      <c r="W143" s="285"/>
      <c r="X143" s="285"/>
      <c r="Y143" s="285"/>
      <c r="Z143" s="285"/>
      <c r="AA143" s="285"/>
      <c r="AC143" s="285" t="str">
        <f>IFERROR(__xludf.DUMMYFUNCTION("""COMPUTED_VALUE"""),"2603A043")</f>
        <v>2603A043</v>
      </c>
      <c r="AD143" s="286">
        <f>IFERROR(__xludf.DUMMYFUNCTION("""COMPUTED_VALUE"""),46098.0)</f>
        <v>46098</v>
      </c>
      <c r="AE143" s="285" t="str">
        <f>IFERROR(__xludf.DUMMYFUNCTION("""COMPUTED_VALUE"""),"Firda")</f>
        <v>Firda</v>
      </c>
      <c r="AF143" s="285" t="str">
        <f>IFERROR(__xludf.DUMMYFUNCTION("""COMPUTED_VALUE"""),"081290621363‬")</f>
        <v>081290621363‬</v>
      </c>
      <c r="AG143" s="285" t="str">
        <f>IFERROR(__xludf.DUMMYFUNCTION("""COMPUTED_VALUE"""),"Gagal")</f>
        <v>Gagal</v>
      </c>
      <c r="AH143" s="285" t="str">
        <f>IFERROR(__xludf.DUMMYFUNCTION("""COMPUTED_VALUE"""),"package honeymoon 3H2M")</f>
        <v>package honeymoon 3H2M</v>
      </c>
      <c r="AI143" s="287">
        <f>IFERROR(__xludf.DUMMYFUNCTION("""COMPUTED_VALUE"""),46118.0)</f>
        <v>46118</v>
      </c>
      <c r="AJ143" s="285">
        <f>IFERROR(__xludf.DUMMYFUNCTION("""COMPUTED_VALUE"""),2.0)</f>
        <v>2</v>
      </c>
      <c r="AK143" s="289">
        <f>IFERROR(__xludf.DUMMYFUNCTION("""COMPUTED_VALUE"""),5600000.0)</f>
        <v>5600000</v>
      </c>
      <c r="AL143" s="285" t="str">
        <f>IFERROR(__xludf.DUMMYFUNCTION("""COMPUTED_VALUE"""),"buat penawaran")</f>
        <v>buat penawaran</v>
      </c>
    </row>
    <row r="144">
      <c r="F144" s="285" t="str">
        <f>IFERROR(__xludf.DUMMYFUNCTION("""COMPUTED_VALUE"""),"2605A030")</f>
        <v>2605A030</v>
      </c>
      <c r="G144" s="286">
        <f>IFERROR(__xludf.DUMMYFUNCTION("""COMPUTED_VALUE"""),46147.0)</f>
        <v>46147</v>
      </c>
      <c r="H144" s="285" t="str">
        <f>IFERROR(__xludf.DUMMYFUNCTION("""COMPUTED_VALUE"""),"Ery Hikmawati")</f>
        <v>Ery Hikmawati</v>
      </c>
      <c r="I144" s="285" t="str">
        <f>IFERROR(__xludf.DUMMYFUNCTION("""COMPUTED_VALUE"""),"085285143243")</f>
        <v>085285143243</v>
      </c>
      <c r="J144" s="285" t="str">
        <f>IFERROR(__xludf.DUMMYFUNCTION("""COMPUTED_VALUE"""),"Qualified")</f>
        <v>Qualified</v>
      </c>
      <c r="K144" s="285" t="str">
        <f>IFERROR(__xludf.DUMMYFUNCTION("""COMPUTED_VALUE"""),"ot 3h2m")</f>
        <v>ot 3h2m</v>
      </c>
      <c r="L144" s="287"/>
      <c r="M144" s="285">
        <f>IFERROR(__xludf.DUMMYFUNCTION("""COMPUTED_VALUE"""),4.0)</f>
        <v>4</v>
      </c>
      <c r="N144" s="289">
        <f>IFERROR(__xludf.DUMMYFUNCTION("""COMPUTED_VALUE"""),6400000.0)</f>
        <v>6400000</v>
      </c>
      <c r="O144" s="285" t="str">
        <f>IFERROR(__xludf.DUMMYFUNCTION("""COMPUTED_VALUE"""),"kasi tau travel sby-bwi. fu 4 juli")</f>
        <v>kasi tau travel sby-bwi. fu 4 juli</v>
      </c>
      <c r="P144" s="320"/>
      <c r="R144" s="285"/>
      <c r="S144" s="285"/>
      <c r="T144" s="285"/>
      <c r="U144" s="285"/>
      <c r="V144" s="285"/>
      <c r="W144" s="285"/>
      <c r="X144" s="285"/>
      <c r="Y144" s="285"/>
      <c r="Z144" s="285"/>
      <c r="AA144" s="285"/>
      <c r="AC144" s="285" t="str">
        <f>IFERROR(__xludf.DUMMYFUNCTION("""COMPUTED_VALUE"""),"2603A045")</f>
        <v>2603A045</v>
      </c>
      <c r="AD144" s="286">
        <f>IFERROR(__xludf.DUMMYFUNCTION("""COMPUTED_VALUE"""),46098.0)</f>
        <v>46098</v>
      </c>
      <c r="AE144" s="285" t="str">
        <f>IFERROR(__xludf.DUMMYFUNCTION("""COMPUTED_VALUE"""),"081280377799‬")</f>
        <v>081280377799‬</v>
      </c>
      <c r="AF144" s="285" t="str">
        <f>IFERROR(__xludf.DUMMYFUNCTION("""COMPUTED_VALUE"""),"081280377799‬")</f>
        <v>081280377799‬</v>
      </c>
      <c r="AG144" s="285" t="str">
        <f>IFERROR(__xludf.DUMMYFUNCTION("""COMPUTED_VALUE"""),"Gagal")</f>
        <v>Gagal</v>
      </c>
      <c r="AH144" s="285" t="str">
        <f>IFERROR(__xludf.DUMMYFUNCTION("""COMPUTED_VALUE"""),"trip W,B")</f>
        <v>trip W,B</v>
      </c>
      <c r="AI144" s="287">
        <f>IFERROR(__xludf.DUMMYFUNCTION("""COMPUTED_VALUE"""),46102.0)</f>
        <v>46102</v>
      </c>
      <c r="AJ144" s="285">
        <f>IFERROR(__xludf.DUMMYFUNCTION("""COMPUTED_VALUE"""),8.0)</f>
        <v>8</v>
      </c>
      <c r="AK144" s="289"/>
      <c r="AL144" s="285" t="str">
        <f>IFERROR(__xludf.DUMMYFUNCTION("""COMPUTED_VALUE"""),"gaada balesan")</f>
        <v>gaada balesan</v>
      </c>
    </row>
    <row r="145">
      <c r="F145" s="285" t="str">
        <f>IFERROR(__xludf.DUMMYFUNCTION("""COMPUTED_VALUE"""),"2605A032")</f>
        <v>2605A032</v>
      </c>
      <c r="G145" s="286">
        <f>IFERROR(__xludf.DUMMYFUNCTION("""COMPUTED_VALUE"""),46149.0)</f>
        <v>46149</v>
      </c>
      <c r="H145" s="285" t="str">
        <f>IFERROR(__xludf.DUMMYFUNCTION("""COMPUTED_VALUE"""),"Kak Ayu PT Lombok Traveling Tours")</f>
        <v>Kak Ayu PT Lombok Traveling Tours</v>
      </c>
      <c r="I145" s="285" t="str">
        <f>IFERROR(__xludf.DUMMYFUNCTION("""COMPUTED_VALUE"""),"082236869216")</f>
        <v>082236869216</v>
      </c>
      <c r="J145" s="285" t="str">
        <f>IFERROR(__xludf.DUMMYFUNCTION("""COMPUTED_VALUE"""),"Qualified")</f>
        <v>Qualified</v>
      </c>
      <c r="K145" s="285" t="str">
        <f>IFERROR(__xludf.DUMMYFUNCTION("""COMPUTED_VALUE"""),"4h3m")</f>
        <v>4h3m</v>
      </c>
      <c r="L145" s="287"/>
      <c r="M145" s="285">
        <f>IFERROR(__xludf.DUMMYFUNCTION("""COMPUTED_VALUE"""),55.0)</f>
        <v>55</v>
      </c>
      <c r="N145" s="289">
        <f>IFERROR(__xludf.DUMMYFUNCTION("""COMPUTED_VALUE"""),2.7775E8)</f>
        <v>277750000</v>
      </c>
      <c r="O145" s="285" t="str">
        <f>IFERROR(__xludf.DUMMYFUNCTION("""COMPUTED_VALUE"""),"fu 14 mei")</f>
        <v>fu 14 mei</v>
      </c>
      <c r="P145" s="320"/>
      <c r="R145" s="285"/>
      <c r="S145" s="285"/>
      <c r="T145" s="285"/>
      <c r="U145" s="285"/>
      <c r="V145" s="285"/>
      <c r="W145" s="285"/>
      <c r="X145" s="285"/>
      <c r="Y145" s="285"/>
      <c r="Z145" s="285"/>
      <c r="AA145" s="285"/>
      <c r="AC145" s="285" t="str">
        <f>IFERROR(__xludf.DUMMYFUNCTION("""COMPUTED_VALUE"""),"2603A046")</f>
        <v>2603A046</v>
      </c>
      <c r="AD145" s="286">
        <f>IFERROR(__xludf.DUMMYFUNCTION("""COMPUTED_VALUE"""),46098.0)</f>
        <v>46098</v>
      </c>
      <c r="AE145" s="285" t="str">
        <f>IFERROR(__xludf.DUMMYFUNCTION("""COMPUTED_VALUE"""),"Effi")</f>
        <v>Effi</v>
      </c>
      <c r="AF145" s="285" t="str">
        <f>IFERROR(__xludf.DUMMYFUNCTION("""COMPUTED_VALUE"""),"081249343718")</f>
        <v>081249343718</v>
      </c>
      <c r="AG145" s="285" t="str">
        <f>IFERROR(__xludf.DUMMYFUNCTION("""COMPUTED_VALUE"""),"Gagal")</f>
        <v>Gagal</v>
      </c>
      <c r="AH145" s="285" t="str">
        <f>IFERROR(__xludf.DUMMYFUNCTION("""COMPUTED_VALUE"""),"4H3M")</f>
        <v>4H3M</v>
      </c>
      <c r="AI145" s="287">
        <f>IFERROR(__xludf.DUMMYFUNCTION("""COMPUTED_VALUE"""),46100.0)</f>
        <v>46100</v>
      </c>
      <c r="AJ145" s="285">
        <f>IFERROR(__xludf.DUMMYFUNCTION("""COMPUTED_VALUE"""),5.0)</f>
        <v>5</v>
      </c>
      <c r="AK145" s="289">
        <f>IFERROR(__xludf.DUMMYFUNCTION("""COMPUTED_VALUE"""),1.1375E7)</f>
        <v>11375000</v>
      </c>
      <c r="AL145" s="285" t="str">
        <f>IFERROR(__xludf.DUMMYFUNCTION("""COMPUTED_VALUE"""),"tidak jadi karena banyak destinasi tutup")</f>
        <v>tidak jadi karena banyak destinasi tutup</v>
      </c>
    </row>
    <row r="146">
      <c r="F146" s="285" t="str">
        <f>IFERROR(__xludf.DUMMYFUNCTION("""COMPUTED_VALUE"""),"2605A040")</f>
        <v>2605A040</v>
      </c>
      <c r="G146" s="286">
        <f>IFERROR(__xludf.DUMMYFUNCTION("""COMPUTED_VALUE"""),46147.0)</f>
        <v>46147</v>
      </c>
      <c r="H146" s="285" t="str">
        <f>IFERROR(__xludf.DUMMYFUNCTION("""COMPUTED_VALUE"""),"Sarah")</f>
        <v>Sarah</v>
      </c>
      <c r="I146" s="285" t="str">
        <f>IFERROR(__xludf.DUMMYFUNCTION("""COMPUTED_VALUE"""),"08988700324")</f>
        <v>08988700324</v>
      </c>
      <c r="J146" s="285" t="str">
        <f>IFERROR(__xludf.DUMMYFUNCTION("""COMPUTED_VALUE"""),"Qualified")</f>
        <v>Qualified</v>
      </c>
      <c r="K146" s="285" t="str">
        <f>IFERROR(__xludf.DUMMYFUNCTION("""COMPUTED_VALUE"""),"Open trip")</f>
        <v>Open trip</v>
      </c>
      <c r="L146" s="287"/>
      <c r="M146" s="285">
        <f>IFERROR(__xludf.DUMMYFUNCTION("""COMPUTED_VALUE"""),2.0)</f>
        <v>2</v>
      </c>
      <c r="N146" s="289"/>
      <c r="O146" s="285" t="str">
        <f>IFERROR(__xludf.DUMMYFUNCTION("""COMPUTED_VALUE"""),"fu 2 agustus")</f>
        <v>fu 2 agustus</v>
      </c>
      <c r="P146" s="320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C146" s="285" t="str">
        <f>IFERROR(__xludf.DUMMYFUNCTION("""COMPUTED_VALUE"""),"2603A047")</f>
        <v>2603A047</v>
      </c>
      <c r="AD146" s="286">
        <f>IFERROR(__xludf.DUMMYFUNCTION("""COMPUTED_VALUE"""),46100.0)</f>
        <v>46100</v>
      </c>
      <c r="AE146" s="285" t="str">
        <f>IFERROR(__xludf.DUMMYFUNCTION("""COMPUTED_VALUE"""),"Rahman")</f>
        <v>Rahman</v>
      </c>
      <c r="AF146" s="285" t="str">
        <f>IFERROR(__xludf.DUMMYFUNCTION("""COMPUTED_VALUE"""),"081223505020")</f>
        <v>081223505020</v>
      </c>
      <c r="AG146" s="285" t="str">
        <f>IFERROR(__xludf.DUMMYFUNCTION("""COMPUTED_VALUE"""),"Gagal")</f>
        <v>Gagal</v>
      </c>
      <c r="AH146" s="285" t="str">
        <f>IFERROR(__xludf.DUMMYFUNCTION("""COMPUTED_VALUE"""),"OT 3H2M ")</f>
        <v>OT 3H2M </v>
      </c>
      <c r="AI146" s="287"/>
      <c r="AJ146" s="285">
        <f>IFERROR(__xludf.DUMMYFUNCTION("""COMPUTED_VALUE"""),2.0)</f>
        <v>2</v>
      </c>
      <c r="AK146" s="289"/>
      <c r="AL146" s="285" t="str">
        <f>IFERROR(__xludf.DUMMYFUNCTION("""COMPUTED_VALUE"""),"gaada balesan")</f>
        <v>gaada balesan</v>
      </c>
    </row>
    <row r="147">
      <c r="F147" s="285" t="str">
        <f>IFERROR(__xludf.DUMMYFUNCTION("""COMPUTED_VALUE"""),"2605A041")</f>
        <v>2605A041</v>
      </c>
      <c r="G147" s="286">
        <f>IFERROR(__xludf.DUMMYFUNCTION("""COMPUTED_VALUE"""),46149.0)</f>
        <v>46149</v>
      </c>
      <c r="H147" s="285" t="str">
        <f>IFERROR(__xludf.DUMMYFUNCTION("""COMPUTED_VALUE"""),"Anabel")</f>
        <v>Anabel</v>
      </c>
      <c r="I147" s="285" t="str">
        <f>IFERROR(__xludf.DUMMYFUNCTION("""COMPUTED_VALUE"""),"08112121232")</f>
        <v>08112121232</v>
      </c>
      <c r="J147" s="285" t="str">
        <f>IFERROR(__xludf.DUMMYFUNCTION("""COMPUTED_VALUE"""),"Qualified")</f>
        <v>Qualified</v>
      </c>
      <c r="K147" s="285" t="str">
        <f>IFERROR(__xludf.DUMMYFUNCTION("""COMPUTED_VALUE"""),"1d djawatan green island")</f>
        <v>1d djawatan green island</v>
      </c>
      <c r="L147" s="287">
        <f>IFERROR(__xludf.DUMMYFUNCTION("""COMPUTED_VALUE"""),46186.0)</f>
        <v>46186</v>
      </c>
      <c r="M147" s="285">
        <f>IFERROR(__xludf.DUMMYFUNCTION("""COMPUTED_VALUE"""),4.0)</f>
        <v>4</v>
      </c>
      <c r="N147" s="289">
        <f>IFERROR(__xludf.DUMMYFUNCTION("""COMPUTED_VALUE"""),2300000.0)</f>
        <v>2300000</v>
      </c>
      <c r="O147" s="285" t="str">
        <f>IFERROR(__xludf.DUMMYFUNCTION("""COMPUTED_VALUE"""),"fu 28 mei")</f>
        <v>fu 28 mei</v>
      </c>
      <c r="P147" s="320"/>
      <c r="R147" s="285"/>
      <c r="S147" s="285"/>
      <c r="T147" s="285"/>
      <c r="U147" s="285"/>
      <c r="V147" s="285"/>
      <c r="W147" s="285"/>
      <c r="X147" s="285"/>
      <c r="Y147" s="285"/>
      <c r="Z147" s="285"/>
      <c r="AA147" s="285"/>
      <c r="AC147" s="285" t="str">
        <f>IFERROR(__xludf.DUMMYFUNCTION("""COMPUTED_VALUE"""),"2603A048")</f>
        <v>2603A048</v>
      </c>
      <c r="AD147" s="286">
        <f>IFERROR(__xludf.DUMMYFUNCTION("""COMPUTED_VALUE"""),46100.0)</f>
        <v>46100</v>
      </c>
      <c r="AE147" s="285" t="str">
        <f>IFERROR(__xludf.DUMMYFUNCTION("""COMPUTED_VALUE"""),"Hanim")</f>
        <v>Hanim</v>
      </c>
      <c r="AF147" s="285" t="str">
        <f>IFERROR(__xludf.DUMMYFUNCTION("""COMPUTED_VALUE"""),"0818588593")</f>
        <v>0818588593</v>
      </c>
      <c r="AG147" s="285" t="str">
        <f>IFERROR(__xludf.DUMMYFUNCTION("""COMPUTED_VALUE"""),"Gagal")</f>
        <v>Gagal</v>
      </c>
      <c r="AH147" s="285" t="str">
        <f>IFERROR(__xludf.DUMMYFUNCTION("""COMPUTED_VALUE"""),"3H2M opsi A")</f>
        <v>3H2M opsi A</v>
      </c>
      <c r="AI147" s="287">
        <f>IFERROR(__xludf.DUMMYFUNCTION("""COMPUTED_VALUE"""),46107.0)</f>
        <v>46107</v>
      </c>
      <c r="AJ147" s="285">
        <f>IFERROR(__xludf.DUMMYFUNCTION("""COMPUTED_VALUE"""),6.0)</f>
        <v>6</v>
      </c>
      <c r="AK147" s="289">
        <f>IFERROR(__xludf.DUMMYFUNCTION("""COMPUTED_VALUE"""),1615000.0)</f>
        <v>1615000</v>
      </c>
      <c r="AL147" s="285" t="str">
        <f>IFERROR(__xludf.DUMMYFUNCTION("""COMPUTED_VALUE"""),"tidak balas ")</f>
        <v>tidak balas </v>
      </c>
    </row>
    <row r="148">
      <c r="F148" s="285" t="str">
        <f>IFERROR(__xludf.DUMMYFUNCTION("""COMPUTED_VALUE"""),"2605A050")</f>
        <v>2605A050</v>
      </c>
      <c r="G148" s="286">
        <f>IFERROR(__xludf.DUMMYFUNCTION("""COMPUTED_VALUE"""),46151.0)</f>
        <v>46151</v>
      </c>
      <c r="H148" s="285" t="str">
        <f>IFERROR(__xludf.DUMMYFUNCTION("""COMPUTED_VALUE"""),"Mita")</f>
        <v>Mita</v>
      </c>
      <c r="I148" s="285" t="str">
        <f>IFERROR(__xludf.DUMMYFUNCTION("""COMPUTED_VALUE"""),"0895339162517")</f>
        <v>0895339162517</v>
      </c>
      <c r="J148" s="285" t="str">
        <f>IFERROR(__xludf.DUMMYFUNCTION("""COMPUTED_VALUE"""),"Qualified")</f>
        <v>Qualified</v>
      </c>
      <c r="K148" s="285" t="str">
        <f>IFERROR(__xludf.DUMMYFUNCTION("""COMPUTED_VALUE"""),"2H1M CUSTOM")</f>
        <v>2H1M CUSTOM</v>
      </c>
      <c r="L148" s="287"/>
      <c r="M148" s="285">
        <f>IFERROR(__xludf.DUMMYFUNCTION("""COMPUTED_VALUE"""),2.0)</f>
        <v>2</v>
      </c>
      <c r="N148" s="289">
        <f>IFERROR(__xludf.DUMMYFUNCTION("""COMPUTED_VALUE"""),4540000.0)</f>
        <v>4540000</v>
      </c>
      <c r="O148" s="285" t="str">
        <f>IFERROR(__xludf.DUMMYFUNCTION("""COMPUTED_VALUE"""),"fu 10 mei")</f>
        <v>fu 10 mei</v>
      </c>
      <c r="P148" s="320"/>
      <c r="R148" s="285"/>
      <c r="S148" s="285"/>
      <c r="T148" s="285"/>
      <c r="U148" s="285"/>
      <c r="V148" s="285"/>
      <c r="W148" s="285"/>
      <c r="X148" s="285"/>
      <c r="Y148" s="285"/>
      <c r="Z148" s="285"/>
      <c r="AA148" s="285"/>
      <c r="AC148" s="285" t="str">
        <f>IFERROR(__xludf.DUMMYFUNCTION("""COMPUTED_VALUE"""),"2603A049")</f>
        <v>2603A049</v>
      </c>
      <c r="AD148" s="286">
        <f>IFERROR(__xludf.DUMMYFUNCTION("""COMPUTED_VALUE"""),46100.0)</f>
        <v>46100</v>
      </c>
      <c r="AE148" s="285" t="str">
        <f>IFERROR(__xludf.DUMMYFUNCTION("""COMPUTED_VALUE"""),"Lora")</f>
        <v>Lora</v>
      </c>
      <c r="AF148" s="285" t="str">
        <f>IFERROR(__xludf.DUMMYFUNCTION("""COMPUTED_VALUE"""),"081328298312")</f>
        <v>081328298312</v>
      </c>
      <c r="AG148" s="285" t="str">
        <f>IFERROR(__xludf.DUMMYFUNCTION("""COMPUTED_VALUE"""),"Gagal")</f>
        <v>Gagal</v>
      </c>
      <c r="AH148" s="285" t="str">
        <f>IFERROR(__xludf.DUMMYFUNCTION("""COMPUTED_VALUE"""),"trip 1d D, B")</f>
        <v>trip 1d D, B</v>
      </c>
      <c r="AI148" s="287">
        <f>IFERROR(__xludf.DUMMYFUNCTION("""COMPUTED_VALUE"""),46105.0)</f>
        <v>46105</v>
      </c>
      <c r="AJ148" s="285">
        <f>IFERROR(__xludf.DUMMYFUNCTION("""COMPUTED_VALUE"""),5.0)</f>
        <v>5</v>
      </c>
      <c r="AK148" s="289">
        <f>IFERROR(__xludf.DUMMYFUNCTION("""COMPUTED_VALUE"""),2750000.0)</f>
        <v>2750000</v>
      </c>
      <c r="AL148" s="285" t="str">
        <f>IFERROR(__xludf.DUMMYFUNCTION("""COMPUTED_VALUE"""),"tidak balas ")</f>
        <v>tidak balas </v>
      </c>
    </row>
    <row r="149">
      <c r="F149" s="285" t="str">
        <f>IFERROR(__xludf.DUMMYFUNCTION("""COMPUTED_VALUE"""),"2605A052")</f>
        <v>2605A052</v>
      </c>
      <c r="G149" s="286">
        <f>IFERROR(__xludf.DUMMYFUNCTION("""COMPUTED_VALUE"""),46152.0)</f>
        <v>46152</v>
      </c>
      <c r="H149" s="285" t="str">
        <f>IFERROR(__xludf.DUMMYFUNCTION("""COMPUTED_VALUE"""),"Ade")</f>
        <v>Ade</v>
      </c>
      <c r="I149" s="285" t="str">
        <f>IFERROR(__xludf.DUMMYFUNCTION("""COMPUTED_VALUE"""),"089699870731")</f>
        <v>089699870731</v>
      </c>
      <c r="J149" s="285" t="str">
        <f>IFERROR(__xludf.DUMMYFUNCTION("""COMPUTED_VALUE"""),"Qualified")</f>
        <v>Qualified</v>
      </c>
      <c r="K149" s="285" t="str">
        <f>IFERROR(__xludf.DUMMYFUNCTION("""COMPUTED_VALUE"""),"ot 2h1m")</f>
        <v>ot 2h1m</v>
      </c>
      <c r="L149" s="287"/>
      <c r="M149" s="285">
        <f>IFERROR(__xludf.DUMMYFUNCTION("""COMPUTED_VALUE"""),4.0)</f>
        <v>4</v>
      </c>
      <c r="N149" s="289">
        <f>IFERROR(__xludf.DUMMYFUNCTION("""COMPUTED_VALUE"""),3900000.0)</f>
        <v>3900000</v>
      </c>
      <c r="O149" s="285" t="str">
        <f>IFERROR(__xludf.DUMMYFUNCTION("""COMPUTED_VALUE"""),"fu 14 mei")</f>
        <v>fu 14 mei</v>
      </c>
      <c r="P149" s="320"/>
      <c r="R149" s="285"/>
      <c r="S149" s="285"/>
      <c r="T149" s="285"/>
      <c r="U149" s="285"/>
      <c r="V149" s="285"/>
      <c r="W149" s="285"/>
      <c r="X149" s="285"/>
      <c r="Y149" s="285"/>
      <c r="Z149" s="285"/>
      <c r="AA149" s="285"/>
      <c r="AC149" s="285" t="str">
        <f>IFERROR(__xludf.DUMMYFUNCTION("""COMPUTED_VALUE"""),"2603A050")</f>
        <v>2603A050</v>
      </c>
      <c r="AD149" s="286">
        <f>IFERROR(__xludf.DUMMYFUNCTION("""COMPUTED_VALUE"""),46100.0)</f>
        <v>46100</v>
      </c>
      <c r="AE149" s="285" t="str">
        <f>IFERROR(__xludf.DUMMYFUNCTION("""COMPUTED_VALUE"""),"Naufal")</f>
        <v>Naufal</v>
      </c>
      <c r="AF149" s="285" t="str">
        <f>IFERROR(__xludf.DUMMYFUNCTION("""COMPUTED_VALUE"""),"082242394571")</f>
        <v>082242394571</v>
      </c>
      <c r="AG149" s="285" t="str">
        <f>IFERROR(__xludf.DUMMYFUNCTION("""COMPUTED_VALUE"""),"Gagal")</f>
        <v>Gagal</v>
      </c>
      <c r="AH149" s="285" t="str">
        <f>IFERROR(__xludf.DUMMYFUNCTION("""COMPUTED_VALUE"""),"Trip I")</f>
        <v>Trip I</v>
      </c>
      <c r="AI149" s="287">
        <f>IFERROR(__xludf.DUMMYFUNCTION("""COMPUTED_VALUE"""),46115.0)</f>
        <v>46115</v>
      </c>
      <c r="AJ149" s="285">
        <f>IFERROR(__xludf.DUMMYFUNCTION("""COMPUTED_VALUE"""),2.0)</f>
        <v>2</v>
      </c>
      <c r="AK149" s="289">
        <f>IFERROR(__xludf.DUMMYFUNCTION("""COMPUTED_VALUE"""),1228000.0)</f>
        <v>1228000</v>
      </c>
      <c r="AL149" s="285" t="str">
        <f>IFERROR(__xludf.DUMMYFUNCTION("""COMPUTED_VALUE"""),"gajadi")</f>
        <v>gajadi</v>
      </c>
    </row>
    <row r="150">
      <c r="F150" s="285" t="str">
        <f>IFERROR(__xludf.DUMMYFUNCTION("""COMPUTED_VALUE"""),"2605A054")</f>
        <v>2605A054</v>
      </c>
      <c r="G150" s="286">
        <f>IFERROR(__xludf.DUMMYFUNCTION("""COMPUTED_VALUE"""),46152.0)</f>
        <v>46152</v>
      </c>
      <c r="H150" s="285" t="str">
        <f>IFERROR(__xludf.DUMMYFUNCTION("""COMPUTED_VALUE"""),"Hana Harsyika")</f>
        <v>Hana Harsyika</v>
      </c>
      <c r="I150" s="285" t="str">
        <f>IFERROR(__xludf.DUMMYFUNCTION("""COMPUTED_VALUE"""),"081299148988")</f>
        <v>081299148988</v>
      </c>
      <c r="J150" s="285" t="str">
        <f>IFERROR(__xludf.DUMMYFUNCTION("""COMPUTED_VALUE"""),"Qualified")</f>
        <v>Qualified</v>
      </c>
      <c r="K150" s="285" t="str">
        <f>IFERROR(__xludf.DUMMYFUNCTION("""COMPUTED_VALUE"""),"3h2m custom")</f>
        <v>3h2m custom</v>
      </c>
      <c r="L150" s="287"/>
      <c r="M150" s="285">
        <f>IFERROR(__xludf.DUMMYFUNCTION("""COMPUTED_VALUE"""),5.0)</f>
        <v>5</v>
      </c>
      <c r="N150" s="289"/>
      <c r="O150" s="285" t="str">
        <f>IFERROR(__xludf.DUMMYFUNCTION("""COMPUTED_VALUE"""),"fu 25 mei. hitung paket")</f>
        <v>fu 25 mei. hitung paket</v>
      </c>
      <c r="P150" s="320"/>
      <c r="R150" s="285"/>
      <c r="S150" s="285"/>
      <c r="T150" s="285"/>
      <c r="U150" s="285"/>
      <c r="V150" s="285"/>
      <c r="W150" s="285"/>
      <c r="X150" s="285"/>
      <c r="Y150" s="285"/>
      <c r="Z150" s="285"/>
      <c r="AA150" s="285"/>
      <c r="AC150" s="285" t="str">
        <f>IFERROR(__xludf.DUMMYFUNCTION("""COMPUTED_VALUE"""),"2603A051 ")</f>
        <v>2603A051 </v>
      </c>
      <c r="AD150" s="286">
        <f>IFERROR(__xludf.DUMMYFUNCTION("""COMPUTED_VALUE"""),46100.0)</f>
        <v>46100</v>
      </c>
      <c r="AE150" s="285" t="str">
        <f>IFERROR(__xludf.DUMMYFUNCTION("""COMPUTED_VALUE"""),"Affan")</f>
        <v>Affan</v>
      </c>
      <c r="AF150" s="285" t="str">
        <f>IFERROR(__xludf.DUMMYFUNCTION("""COMPUTED_VALUE"""),"085655722271")</f>
        <v>085655722271</v>
      </c>
      <c r="AG150" s="285" t="str">
        <f>IFERROR(__xludf.DUMMYFUNCTION("""COMPUTED_VALUE"""),"Gagal")</f>
        <v>Gagal</v>
      </c>
      <c r="AH150" s="285" t="str">
        <f>IFERROR(__xludf.DUMMYFUNCTION("""COMPUTED_VALUE"""),"Trip I")</f>
        <v>Trip I</v>
      </c>
      <c r="AI150" s="287">
        <f>IFERROR(__xludf.DUMMYFUNCTION("""COMPUTED_VALUE"""),46104.0)</f>
        <v>46104</v>
      </c>
      <c r="AJ150" s="285">
        <f>IFERROR(__xludf.DUMMYFUNCTION("""COMPUTED_VALUE"""),4.0)</f>
        <v>4</v>
      </c>
      <c r="AK150" s="289"/>
      <c r="AL150" s="285" t="str">
        <f>IFERROR(__xludf.DUMMYFUNCTION("""COMPUTED_VALUE"""),"blm minat OT, pengennya Priv Trip")</f>
        <v>blm minat OT, pengennya Priv Trip</v>
      </c>
    </row>
    <row r="151">
      <c r="F151" s="285" t="str">
        <f>IFERROR(__xludf.DUMMYFUNCTION("""COMPUTED_VALUE"""),"2605A055")</f>
        <v>2605A055</v>
      </c>
      <c r="G151" s="286">
        <f>IFERROR(__xludf.DUMMYFUNCTION("""COMPUTED_VALUE"""),46152.0)</f>
        <v>46152</v>
      </c>
      <c r="H151" s="285" t="str">
        <f>IFERROR(__xludf.DUMMYFUNCTION("""COMPUTED_VALUE"""),"Sabita")</f>
        <v>Sabita</v>
      </c>
      <c r="I151" s="285" t="str">
        <f>IFERROR(__xludf.DUMMYFUNCTION("""COMPUTED_VALUE"""),"089663948105")</f>
        <v>089663948105</v>
      </c>
      <c r="J151" s="285" t="str">
        <f>IFERROR(__xludf.DUMMYFUNCTION("""COMPUTED_VALUE"""),"Qualified")</f>
        <v>Qualified</v>
      </c>
      <c r="K151" s="285" t="str">
        <f>IFERROR(__xludf.DUMMYFUNCTION("""COMPUTED_VALUE"""),"open trip 2h1m")</f>
        <v>open trip 2h1m</v>
      </c>
      <c r="L151" s="287"/>
      <c r="M151" s="285">
        <f>IFERROR(__xludf.DUMMYFUNCTION("""COMPUTED_VALUE"""),2.0)</f>
        <v>2</v>
      </c>
      <c r="N151" s="289">
        <f>IFERROR(__xludf.DUMMYFUNCTION("""COMPUTED_VALUE"""),1650000.0)</f>
        <v>1650000</v>
      </c>
      <c r="O151" s="285" t="str">
        <f>IFERROR(__xludf.DUMMYFUNCTION("""COMPUTED_VALUE"""),"fu 7 juni")</f>
        <v>fu 7 juni</v>
      </c>
      <c r="P151" s="320"/>
      <c r="R151" s="285"/>
      <c r="S151" s="285"/>
      <c r="T151" s="285"/>
      <c r="U151" s="285"/>
      <c r="V151" s="285"/>
      <c r="W151" s="285"/>
      <c r="X151" s="285"/>
      <c r="Y151" s="285"/>
      <c r="Z151" s="285"/>
      <c r="AA151" s="285"/>
      <c r="AC151" s="285" t="str">
        <f>IFERROR(__xludf.DUMMYFUNCTION("""COMPUTED_VALUE"""),"2603A052")</f>
        <v>2603A052</v>
      </c>
      <c r="AD151" s="286">
        <f>IFERROR(__xludf.DUMMYFUNCTION("""COMPUTED_VALUE"""),46100.0)</f>
        <v>46100</v>
      </c>
      <c r="AE151" s="285" t="str">
        <f>IFERROR(__xludf.DUMMYFUNCTION("""COMPUTED_VALUE"""),"81330104625")</f>
        <v>81330104625</v>
      </c>
      <c r="AF151" s="285" t="str">
        <f>IFERROR(__xludf.DUMMYFUNCTION("""COMPUTED_VALUE"""),"081330104625")</f>
        <v>081330104625</v>
      </c>
      <c r="AG151" s="285" t="str">
        <f>IFERROR(__xludf.DUMMYFUNCTION("""COMPUTED_VALUE"""),"Gagal")</f>
        <v>Gagal</v>
      </c>
      <c r="AH151" s="285"/>
      <c r="AI151" s="287"/>
      <c r="AJ151" s="285"/>
      <c r="AK151" s="289"/>
      <c r="AL151" s="285" t="str">
        <f>IFERROR(__xludf.DUMMYFUNCTION("""COMPUTED_VALUE"""),"hanya menyapa")</f>
        <v>hanya menyapa</v>
      </c>
    </row>
    <row r="152">
      <c r="F152" s="285" t="str">
        <f>IFERROR(__xludf.DUMMYFUNCTION("""COMPUTED_VALUE"""),"2605A057")</f>
        <v>2605A057</v>
      </c>
      <c r="G152" s="286">
        <f>IFERROR(__xludf.DUMMYFUNCTION("""COMPUTED_VALUE"""),46152.0)</f>
        <v>46152</v>
      </c>
      <c r="H152" s="285" t="str">
        <f>IFERROR(__xludf.DUMMYFUNCTION("""COMPUTED_VALUE"""),"Faisal")</f>
        <v>Faisal</v>
      </c>
      <c r="I152" s="285" t="str">
        <f>IFERROR(__xludf.DUMMYFUNCTION("""COMPUTED_VALUE"""),"081903870457")</f>
        <v>081903870457</v>
      </c>
      <c r="J152" s="285" t="str">
        <f>IFERROR(__xludf.DUMMYFUNCTION("""COMPUTED_VALUE"""),"Qualified")</f>
        <v>Qualified</v>
      </c>
      <c r="K152" s="285" t="str">
        <f>IFERROR(__xludf.DUMMYFUNCTION("""COMPUTED_VALUE"""),"menjangan tabuhan")</f>
        <v>menjangan tabuhan</v>
      </c>
      <c r="L152" s="287">
        <f>IFERROR(__xludf.DUMMYFUNCTION("""COMPUTED_VALUE"""),46207.0)</f>
        <v>46207</v>
      </c>
      <c r="M152" s="285">
        <f>IFERROR(__xludf.DUMMYFUNCTION("""COMPUTED_VALUE"""),15.0)</f>
        <v>15</v>
      </c>
      <c r="N152" s="289">
        <f>IFERROR(__xludf.DUMMYFUNCTION("""COMPUTED_VALUE"""),4425000.0)</f>
        <v>4425000</v>
      </c>
      <c r="O152" s="285" t="str">
        <f>IFERROR(__xludf.DUMMYFUNCTION("""COMPUTED_VALUE"""),"fu 1 juli")</f>
        <v>fu 1 juli</v>
      </c>
      <c r="P152" s="320"/>
      <c r="R152" s="285"/>
      <c r="S152" s="285"/>
      <c r="T152" s="285"/>
      <c r="U152" s="285"/>
      <c r="V152" s="285"/>
      <c r="W152" s="285"/>
      <c r="X152" s="285"/>
      <c r="Y152" s="285"/>
      <c r="Z152" s="285"/>
      <c r="AA152" s="285"/>
      <c r="AC152" s="285" t="str">
        <f>IFERROR(__xludf.DUMMYFUNCTION("""COMPUTED_VALUE"""),"2603A053")</f>
        <v>2603A053</v>
      </c>
      <c r="AD152" s="286">
        <f>IFERROR(__xludf.DUMMYFUNCTION("""COMPUTED_VALUE"""),46100.0)</f>
        <v>46100</v>
      </c>
      <c r="AE152" s="285" t="str">
        <f>IFERROR(__xludf.DUMMYFUNCTION("""COMPUTED_VALUE"""),"Farrah")</f>
        <v>Farrah</v>
      </c>
      <c r="AF152" s="285" t="str">
        <f>IFERROR(__xludf.DUMMYFUNCTION("""COMPUTED_VALUE"""),"082117932324")</f>
        <v>082117932324</v>
      </c>
      <c r="AG152" s="285" t="str">
        <f>IFERROR(__xludf.DUMMYFUNCTION("""COMPUTED_VALUE"""),"Gagal")</f>
        <v>Gagal</v>
      </c>
      <c r="AH152" s="285"/>
      <c r="AI152" s="287">
        <f>IFERROR(__xludf.DUMMYFUNCTION("""COMPUTED_VALUE"""),46104.0)</f>
        <v>46104</v>
      </c>
      <c r="AJ152" s="285"/>
      <c r="AK152" s="289"/>
      <c r="AL152" s="285" t="str">
        <f>IFERROR(__xludf.DUMMYFUNCTION("""COMPUTED_VALUE"""),"hanya menyapa")</f>
        <v>hanya menyapa</v>
      </c>
    </row>
    <row r="153">
      <c r="F153" s="285" t="str">
        <f>IFERROR(__xludf.DUMMYFUNCTION("""COMPUTED_VALUE"""),"2605A061")</f>
        <v>2605A061</v>
      </c>
      <c r="G153" s="286">
        <f>IFERROR(__xludf.DUMMYFUNCTION("""COMPUTED_VALUE"""),46154.0)</f>
        <v>46154</v>
      </c>
      <c r="H153" s="285" t="str">
        <f>IFERROR(__xludf.DUMMYFUNCTION("""COMPUTED_VALUE"""),"Deltaforce")</f>
        <v>Deltaforce</v>
      </c>
      <c r="I153" s="285" t="str">
        <f>IFERROR(__xludf.DUMMYFUNCTION("""COMPUTED_VALUE"""),"085212014707")</f>
        <v>085212014707</v>
      </c>
      <c r="J153" s="285" t="str">
        <f>IFERROR(__xludf.DUMMYFUNCTION("""COMPUTED_VALUE"""),"Qualified")</f>
        <v>Qualified</v>
      </c>
      <c r="K153" s="285" t="str">
        <f>IFERROR(__xludf.DUMMYFUNCTION("""COMPUTED_VALUE"""),"ot menjangan tabuhan")</f>
        <v>ot menjangan tabuhan</v>
      </c>
      <c r="L153" s="287">
        <f>IFERROR(__xludf.DUMMYFUNCTION("""COMPUTED_VALUE"""),46158.0)</f>
        <v>46158</v>
      </c>
      <c r="M153" s="285">
        <f>IFERROR(__xludf.DUMMYFUNCTION("""COMPUTED_VALUE"""),2.0)</f>
        <v>2</v>
      </c>
      <c r="N153" s="289">
        <f>IFERROR(__xludf.DUMMYFUNCTION("""COMPUTED_VALUE"""),550000.0)</f>
        <v>550000</v>
      </c>
      <c r="O153" s="285" t="str">
        <f>IFERROR(__xludf.DUMMYFUNCTION("""COMPUTED_VALUE"""),"belum ada balasan. fu 13 mei")</f>
        <v>belum ada balasan. fu 13 mei</v>
      </c>
      <c r="P153" s="320"/>
      <c r="R153" s="285"/>
      <c r="S153" s="285"/>
      <c r="T153" s="285"/>
      <c r="U153" s="285"/>
      <c r="V153" s="285"/>
      <c r="W153" s="285"/>
      <c r="X153" s="285"/>
      <c r="Y153" s="285"/>
      <c r="Z153" s="285"/>
      <c r="AA153" s="285"/>
      <c r="AC153" s="285" t="str">
        <f>IFERROR(__xludf.DUMMYFUNCTION("""COMPUTED_VALUE"""),"2603A055")</f>
        <v>2603A055</v>
      </c>
      <c r="AD153" s="286">
        <f>IFERROR(__xludf.DUMMYFUNCTION("""COMPUTED_VALUE"""),46101.0)</f>
        <v>46101</v>
      </c>
      <c r="AE153" s="285" t="str">
        <f>IFERROR(__xludf.DUMMYFUNCTION("""COMPUTED_VALUE"""),"Amalia Ridhawati")</f>
        <v>Amalia Ridhawati</v>
      </c>
      <c r="AF153" s="285" t="str">
        <f>IFERROR(__xludf.DUMMYFUNCTION("""COMPUTED_VALUE"""),"081959744329")</f>
        <v>081959744329</v>
      </c>
      <c r="AG153" s="285" t="str">
        <f>IFERROR(__xludf.DUMMYFUNCTION("""COMPUTED_VALUE"""),"Gagal")</f>
        <v>Gagal</v>
      </c>
      <c r="AH153" s="285" t="str">
        <f>IFERROR(__xludf.DUMMYFUNCTION("""COMPUTED_VALUE"""),"Wurung Baluran")</f>
        <v>Wurung Baluran</v>
      </c>
      <c r="AI153" s="287">
        <f>IFERROR(__xludf.DUMMYFUNCTION("""COMPUTED_VALUE"""),46104.0)</f>
        <v>46104</v>
      </c>
      <c r="AJ153" s="285">
        <f>IFERROR(__xludf.DUMMYFUNCTION("""COMPUTED_VALUE"""),5.0)</f>
        <v>5</v>
      </c>
      <c r="AK153" s="289">
        <f>IFERROR(__xludf.DUMMYFUNCTION("""COMPUTED_VALUE"""),3140000.0)</f>
        <v>3140000</v>
      </c>
      <c r="AL153" s="285" t="str">
        <f>IFERROR(__xludf.DUMMYFUNCTION("""COMPUTED_VALUE"""),"sudah dapat trip lain ")</f>
        <v>sudah dapat trip lain </v>
      </c>
    </row>
    <row r="154">
      <c r="F154" s="285" t="str">
        <f>IFERROR(__xludf.DUMMYFUNCTION("""COMPUTED_VALUE"""),"2605A069")</f>
        <v>2605A069</v>
      </c>
      <c r="G154" s="286">
        <f>IFERROR(__xludf.DUMMYFUNCTION("""COMPUTED_VALUE"""),46155.0)</f>
        <v>46155</v>
      </c>
      <c r="H154" s="285" t="str">
        <f>IFERROR(__xludf.DUMMYFUNCTION("""COMPUTED_VALUE"""),"Jess")</f>
        <v>Jess</v>
      </c>
      <c r="I154" s="285" t="str">
        <f>IFERROR(__xludf.DUMMYFUNCTION("""COMPUTED_VALUE"""),"089508748886")</f>
        <v>089508748886</v>
      </c>
      <c r="J154" s="285" t="str">
        <f>IFERROR(__xludf.DUMMYFUNCTION("""COMPUTED_VALUE"""),"Qualified")</f>
        <v>Qualified</v>
      </c>
      <c r="K154" s="285" t="str">
        <f>IFERROR(__xludf.DUMMYFUNCTION("""COMPUTED_VALUE"""),"menjangan tabuhan")</f>
        <v>menjangan tabuhan</v>
      </c>
      <c r="L154" s="287">
        <f>IFERROR(__xludf.DUMMYFUNCTION("""COMPUTED_VALUE"""),46202.0)</f>
        <v>46202</v>
      </c>
      <c r="M154" s="285">
        <f>IFERROR(__xludf.DUMMYFUNCTION("""COMPUTED_VALUE"""),2.0)</f>
        <v>2</v>
      </c>
      <c r="N154" s="289">
        <f>IFERROR(__xludf.DUMMYFUNCTION("""COMPUTED_VALUE"""),800000.0)</f>
        <v>800000</v>
      </c>
      <c r="O154" s="285" t="str">
        <f>IFERROR(__xludf.DUMMYFUNCTION("""COMPUTED_VALUE"""),"fu 14 mei")</f>
        <v>fu 14 mei</v>
      </c>
      <c r="P154" s="320"/>
      <c r="R154" s="285"/>
      <c r="S154" s="285"/>
      <c r="T154" s="285"/>
      <c r="U154" s="285"/>
      <c r="V154" s="285"/>
      <c r="W154" s="285"/>
      <c r="X154" s="285"/>
      <c r="Y154" s="285"/>
      <c r="Z154" s="285"/>
      <c r="AA154" s="285"/>
      <c r="AC154" s="285" t="str">
        <f>IFERROR(__xludf.DUMMYFUNCTION("""COMPUTED_VALUE"""),"2603A056")</f>
        <v>2603A056</v>
      </c>
      <c r="AD154" s="286">
        <f>IFERROR(__xludf.DUMMYFUNCTION("""COMPUTED_VALUE"""),46101.0)</f>
        <v>46101</v>
      </c>
      <c r="AE154" s="285" t="str">
        <f>IFERROR(__xludf.DUMMYFUNCTION("""COMPUTED_VALUE"""),"Reyzan")</f>
        <v>Reyzan</v>
      </c>
      <c r="AF154" s="285" t="str">
        <f>IFERROR(__xludf.DUMMYFUNCTION("""COMPUTED_VALUE"""),"085158096108")</f>
        <v>085158096108</v>
      </c>
      <c r="AG154" s="285" t="str">
        <f>IFERROR(__xludf.DUMMYFUNCTION("""COMPUTED_VALUE"""),"Gagal")</f>
        <v>Gagal</v>
      </c>
      <c r="AH154" s="285"/>
      <c r="AI154" s="287"/>
      <c r="AJ154" s="285">
        <f>IFERROR(__xludf.DUMMYFUNCTION("""COMPUTED_VALUE"""),1.0)</f>
        <v>1</v>
      </c>
      <c r="AK154" s="289"/>
      <c r="AL154" s="285" t="str">
        <f>IFERROR(__xludf.DUMMYFUNCTION("""COMPUTED_VALUE"""),"ga bales lagi")</f>
        <v>ga bales lagi</v>
      </c>
    </row>
    <row r="155">
      <c r="F155" s="285" t="str">
        <f>IFERROR(__xludf.DUMMYFUNCTION("""COMPUTED_VALUE"""),"2605A070")</f>
        <v>2605A070</v>
      </c>
      <c r="G155" s="286">
        <f>IFERROR(__xludf.DUMMYFUNCTION("""COMPUTED_VALUE"""),46155.0)</f>
        <v>46155</v>
      </c>
      <c r="H155" s="285" t="str">
        <f>IFERROR(__xludf.DUMMYFUNCTION("""COMPUTED_VALUE"""),"Alma Tiara Cindy")</f>
        <v>Alma Tiara Cindy</v>
      </c>
      <c r="I155" s="285" t="str">
        <f>IFERROR(__xludf.DUMMYFUNCTION("""COMPUTED_VALUE"""),"081214064884")</f>
        <v>081214064884</v>
      </c>
      <c r="J155" s="285" t="str">
        <f>IFERROR(__xludf.DUMMYFUNCTION("""COMPUTED_VALUE"""),"Qualified")</f>
        <v>Qualified</v>
      </c>
      <c r="K155" s="285" t="str">
        <f>IFERROR(__xludf.DUMMYFUNCTION("""COMPUTED_VALUE"""),"3h2m ot alas purwo")</f>
        <v>3h2m ot alas purwo</v>
      </c>
      <c r="L155" s="287"/>
      <c r="M155" s="285">
        <f>IFERROR(__xludf.DUMMYFUNCTION("""COMPUTED_VALUE"""),5.0)</f>
        <v>5</v>
      </c>
      <c r="N155" s="289">
        <f>IFERROR(__xludf.DUMMYFUNCTION("""COMPUTED_VALUE"""),8000000.0)</f>
        <v>8000000</v>
      </c>
      <c r="O155" s="285" t="str">
        <f>IFERROR(__xludf.DUMMYFUNCTION("""COMPUTED_VALUE"""),"fu 14 mei")</f>
        <v>fu 14 mei</v>
      </c>
      <c r="P155" s="320"/>
      <c r="R155" s="285"/>
      <c r="S155" s="285"/>
      <c r="T155" s="285"/>
      <c r="U155" s="285"/>
      <c r="V155" s="285"/>
      <c r="W155" s="285"/>
      <c r="X155" s="285"/>
      <c r="Y155" s="285"/>
      <c r="Z155" s="285"/>
      <c r="AA155" s="285"/>
      <c r="AC155" s="285" t="str">
        <f>IFERROR(__xludf.DUMMYFUNCTION("""COMPUTED_VALUE"""),"2603A057")</f>
        <v>2603A057</v>
      </c>
      <c r="AD155" s="286">
        <f>IFERROR(__xludf.DUMMYFUNCTION("""COMPUTED_VALUE"""),46101.0)</f>
        <v>46101</v>
      </c>
      <c r="AE155" s="285" t="str">
        <f>IFERROR(__xludf.DUMMYFUNCTION("""COMPUTED_VALUE"""),"Abel")</f>
        <v>Abel</v>
      </c>
      <c r="AF155" s="285" t="str">
        <f>IFERROR(__xludf.DUMMYFUNCTION("""COMPUTED_VALUE"""),"081703445500")</f>
        <v>081703445500</v>
      </c>
      <c r="AG155" s="285" t="str">
        <f>IFERROR(__xludf.DUMMYFUNCTION("""COMPUTED_VALUE"""),"Gagal")</f>
        <v>Gagal</v>
      </c>
      <c r="AH155" s="285" t="str">
        <f>IFERROR(__xludf.DUMMYFUNCTION("""COMPUTED_VALUE"""),"1D Trip")</f>
        <v>1D Trip</v>
      </c>
      <c r="AI155" s="287"/>
      <c r="AJ155" s="285">
        <f>IFERROR(__xludf.DUMMYFUNCTION("""COMPUTED_VALUE"""),3.0)</f>
        <v>3</v>
      </c>
      <c r="AK155" s="289"/>
      <c r="AL155" s="285"/>
    </row>
    <row r="156">
      <c r="F156" s="285" t="str">
        <f>IFERROR(__xludf.DUMMYFUNCTION("""COMPUTED_VALUE"""),"2605A071")</f>
        <v>2605A071</v>
      </c>
      <c r="G156" s="286">
        <f>IFERROR(__xludf.DUMMYFUNCTION("""COMPUTED_VALUE"""),46155.0)</f>
        <v>46155</v>
      </c>
      <c r="H156" s="285" t="str">
        <f>IFERROR(__xludf.DUMMYFUNCTION("""COMPUTED_VALUE"""),"Dewi Tyas")</f>
        <v>Dewi Tyas</v>
      </c>
      <c r="I156" s="285" t="str">
        <f>IFERROR(__xludf.DUMMYFUNCTION("""COMPUTED_VALUE"""),"08170621716")</f>
        <v>08170621716</v>
      </c>
      <c r="J156" s="285" t="str">
        <f>IFERROR(__xludf.DUMMYFUNCTION("""COMPUTED_VALUE"""),"Qualified")</f>
        <v>Qualified</v>
      </c>
      <c r="K156" s="285" t="str">
        <f>IFERROR(__xludf.DUMMYFUNCTION("""COMPUTED_VALUE"""),"2h1m opsi b")</f>
        <v>2h1m opsi b</v>
      </c>
      <c r="L156" s="287"/>
      <c r="M156" s="285">
        <f>IFERROR(__xludf.DUMMYFUNCTION("""COMPUTED_VALUE"""),3.0)</f>
        <v>3</v>
      </c>
      <c r="N156" s="289">
        <f>IFERROR(__xludf.DUMMYFUNCTION("""COMPUTED_VALUE"""),3867000.0)</f>
        <v>3867000</v>
      </c>
      <c r="O156" s="285" t="str">
        <f>IFERROR(__xludf.DUMMYFUNCTION("""COMPUTED_VALUE"""),"fu 14 mei")</f>
        <v>fu 14 mei</v>
      </c>
      <c r="P156" s="320"/>
      <c r="R156" s="285"/>
      <c r="S156" s="285"/>
      <c r="T156" s="285"/>
      <c r="U156" s="285"/>
      <c r="V156" s="285"/>
      <c r="W156" s="285"/>
      <c r="X156" s="285"/>
      <c r="Y156" s="285"/>
      <c r="Z156" s="285"/>
      <c r="AA156" s="285"/>
      <c r="AC156" s="285" t="str">
        <f>IFERROR(__xludf.DUMMYFUNCTION("""COMPUTED_VALUE"""),"2603A059")</f>
        <v>2603A059</v>
      </c>
      <c r="AD156" s="286">
        <f>IFERROR(__xludf.DUMMYFUNCTION("""COMPUTED_VALUE"""),46101.0)</f>
        <v>46101</v>
      </c>
      <c r="AE156" s="285" t="str">
        <f>IFERROR(__xludf.DUMMYFUNCTION("""COMPUTED_VALUE"""),"Jassoon")</f>
        <v>Jassoon</v>
      </c>
      <c r="AF156" s="285" t="str">
        <f>IFERROR(__xludf.DUMMYFUNCTION("""COMPUTED_VALUE"""),"085692669956")</f>
        <v>085692669956</v>
      </c>
      <c r="AG156" s="285" t="str">
        <f>IFERROR(__xludf.DUMMYFUNCTION("""COMPUTED_VALUE"""),"Gagal")</f>
        <v>Gagal</v>
      </c>
      <c r="AH156" s="285" t="str">
        <f>IFERROR(__xludf.DUMMYFUNCTION("""COMPUTED_VALUE"""),"Trip I, B, PB, Alas prwo")</f>
        <v>Trip I, B, PB, Alas prwo</v>
      </c>
      <c r="AI156" s="287"/>
      <c r="AJ156" s="285">
        <f>IFERROR(__xludf.DUMMYFUNCTION("""COMPUTED_VALUE"""),7.0)</f>
        <v>7</v>
      </c>
      <c r="AK156" s="289"/>
      <c r="AL156" s="285" t="str">
        <f>IFERROR(__xludf.DUMMYFUNCTION("""COMPUTED_VALUE"""),"gagal karna full book dan dadakan")</f>
        <v>gagal karna full book dan dadakan</v>
      </c>
    </row>
    <row r="157">
      <c r="F157" s="285" t="str">
        <f>IFERROR(__xludf.DUMMYFUNCTION("""COMPUTED_VALUE"""),"2605A090")</f>
        <v>2605A090</v>
      </c>
      <c r="G157" s="286">
        <f>IFERROR(__xludf.DUMMYFUNCTION("""COMPUTED_VALUE"""),46159.0)</f>
        <v>46159</v>
      </c>
      <c r="H157" s="285" t="str">
        <f>IFERROR(__xludf.DUMMYFUNCTION("""COMPUTED_VALUE"""),"Bu'e Herni")</f>
        <v>Bu'e Herni</v>
      </c>
      <c r="I157" s="285" t="str">
        <f>IFERROR(__xludf.DUMMYFUNCTION("""COMPUTED_VALUE"""),"081226689898")</f>
        <v>081226689898</v>
      </c>
      <c r="J157" s="285" t="str">
        <f>IFERROR(__xludf.DUMMYFUNCTION("""COMPUTED_VALUE"""),"Qualified")</f>
        <v>Qualified</v>
      </c>
      <c r="K157" s="285" t="str">
        <f>IFERROR(__xludf.DUMMYFUNCTION("""COMPUTED_VALUE"""),"4h3m")</f>
        <v>4h3m</v>
      </c>
      <c r="L157" s="287"/>
      <c r="M157" s="285">
        <f>IFERROR(__xludf.DUMMYFUNCTION("""COMPUTED_VALUE"""),10.0)</f>
        <v>10</v>
      </c>
      <c r="N157" s="289">
        <f>IFERROR(__xludf.DUMMYFUNCTION("""COMPUTED_VALUE"""),1.418E7)</f>
        <v>14180000</v>
      </c>
      <c r="O157" s="285" t="str">
        <f>IFERROR(__xludf.DUMMYFUNCTION("""COMPUTED_VALUE"""),"fu 4 september")</f>
        <v>fu 4 september</v>
      </c>
      <c r="P157" s="320"/>
      <c r="R157" s="285"/>
      <c r="S157" s="285"/>
      <c r="T157" s="285"/>
      <c r="U157" s="285"/>
      <c r="V157" s="285"/>
      <c r="W157" s="285"/>
      <c r="X157" s="285"/>
      <c r="Y157" s="285"/>
      <c r="Z157" s="285"/>
      <c r="AA157" s="285"/>
      <c r="AC157" s="285" t="str">
        <f>IFERROR(__xludf.DUMMYFUNCTION("""COMPUTED_VALUE"""),"2603A060")</f>
        <v>2603A060</v>
      </c>
      <c r="AD157" s="286">
        <f>IFERROR(__xludf.DUMMYFUNCTION("""COMPUTED_VALUE"""),46101.0)</f>
        <v>46101</v>
      </c>
      <c r="AE157" s="285" t="str">
        <f>IFERROR(__xludf.DUMMYFUNCTION("""COMPUTED_VALUE"""),"Lavita")</f>
        <v>Lavita</v>
      </c>
      <c r="AF157" s="285" t="str">
        <f>IFERROR(__xludf.DUMMYFUNCTION("""COMPUTED_VALUE"""),"082139029314")</f>
        <v>082139029314</v>
      </c>
      <c r="AG157" s="285" t="str">
        <f>IFERROR(__xludf.DUMMYFUNCTION("""COMPUTED_VALUE"""),"Gagal")</f>
        <v>Gagal</v>
      </c>
      <c r="AH157" s="285" t="str">
        <f>IFERROR(__xludf.DUMMYFUNCTION("""COMPUTED_VALUE"""),"Trip B, D, M")</f>
        <v>Trip B, D, M</v>
      </c>
      <c r="AI157" s="287">
        <f>IFERROR(__xludf.DUMMYFUNCTION("""COMPUTED_VALUE"""),46115.0)</f>
        <v>46115</v>
      </c>
      <c r="AJ157" s="285">
        <f>IFERROR(__xludf.DUMMYFUNCTION("""COMPUTED_VALUE"""),8.0)</f>
        <v>8</v>
      </c>
      <c r="AK157" s="289"/>
      <c r="AL157" s="285"/>
    </row>
    <row r="158">
      <c r="F158" s="285" t="str">
        <f>IFERROR(__xludf.DUMMYFUNCTION("""COMPUTED_VALUE"""),"2605A091")</f>
        <v>2605A091</v>
      </c>
      <c r="G158" s="286">
        <f>IFERROR(__xludf.DUMMYFUNCTION("""COMPUTED_VALUE"""),46158.0)</f>
        <v>46158</v>
      </c>
      <c r="H158" s="285" t="str">
        <f>IFERROR(__xludf.DUMMYFUNCTION("""COMPUTED_VALUE"""),"Esti")</f>
        <v>Esti</v>
      </c>
      <c r="I158" s="285" t="str">
        <f>IFERROR(__xludf.DUMMYFUNCTION("""COMPUTED_VALUE"""),"08118779374")</f>
        <v>08118779374</v>
      </c>
      <c r="J158" s="285" t="str">
        <f>IFERROR(__xludf.DUMMYFUNCTION("""COMPUTED_VALUE"""),"Qualified")</f>
        <v>Qualified</v>
      </c>
      <c r="K158" s="285" t="str">
        <f>IFERROR(__xludf.DUMMYFUNCTION("""COMPUTED_VALUE"""),"3h2m opsi b")</f>
        <v>3h2m opsi b</v>
      </c>
      <c r="L158" s="287"/>
      <c r="M158" s="285">
        <f>IFERROR(__xludf.DUMMYFUNCTION("""COMPUTED_VALUE"""),7.0)</f>
        <v>7</v>
      </c>
      <c r="N158" s="289">
        <f>IFERROR(__xludf.DUMMYFUNCTION("""COMPUTED_VALUE"""),8603000.0)</f>
        <v>8603000</v>
      </c>
      <c r="O158" s="285" t="str">
        <f>IFERROR(__xludf.DUMMYFUNCTION("""COMPUTED_VALUE"""),"fu 28 juni ")</f>
        <v>fu 28 juni </v>
      </c>
      <c r="P158" s="320"/>
      <c r="R158" s="285"/>
      <c r="S158" s="285"/>
      <c r="T158" s="285"/>
      <c r="U158" s="285"/>
      <c r="V158" s="285"/>
      <c r="W158" s="285"/>
      <c r="X158" s="285"/>
      <c r="Y158" s="285"/>
      <c r="Z158" s="285"/>
      <c r="AA158" s="285"/>
      <c r="AC158" s="285" t="str">
        <f>IFERROR(__xludf.DUMMYFUNCTION("""COMPUTED_VALUE"""),"2603A061")</f>
        <v>2603A061</v>
      </c>
      <c r="AD158" s="286">
        <f>IFERROR(__xludf.DUMMYFUNCTION("""COMPUTED_VALUE"""),46102.0)</f>
        <v>46102</v>
      </c>
      <c r="AE158" s="285" t="str">
        <f>IFERROR(__xludf.DUMMYFUNCTION("""COMPUTED_VALUE"""),"Nanda")</f>
        <v>Nanda</v>
      </c>
      <c r="AF158" s="285" t="str">
        <f>IFERROR(__xludf.DUMMYFUNCTION("""COMPUTED_VALUE"""),"081385271542")</f>
        <v>081385271542</v>
      </c>
      <c r="AG158" s="285" t="str">
        <f>IFERROR(__xludf.DUMMYFUNCTION("""COMPUTED_VALUE"""),"Gagal")</f>
        <v>Gagal</v>
      </c>
      <c r="AH158" s="285"/>
      <c r="AI158" s="287">
        <f>IFERROR(__xludf.DUMMYFUNCTION("""COMPUTED_VALUE"""),46102.0)</f>
        <v>46102</v>
      </c>
      <c r="AJ158" s="285"/>
      <c r="AK158" s="289"/>
      <c r="AL158" s="285" t="str">
        <f>IFERROR(__xludf.DUMMYFUNCTION("""COMPUTED_VALUE"""),"tanya sewa motor")</f>
        <v>tanya sewa motor</v>
      </c>
    </row>
    <row r="159">
      <c r="F159" s="285" t="str">
        <f>IFERROR(__xludf.DUMMYFUNCTION("""COMPUTED_VALUE"""),"2605A095")</f>
        <v>2605A095</v>
      </c>
      <c r="G159" s="286">
        <f>IFERROR(__xludf.DUMMYFUNCTION("""COMPUTED_VALUE"""),46160.0)</f>
        <v>46160</v>
      </c>
      <c r="H159" s="285" t="str">
        <f>IFERROR(__xludf.DUMMYFUNCTION("""COMPUTED_VALUE"""),"Rina Noor")</f>
        <v>Rina Noor</v>
      </c>
      <c r="I159" s="285" t="str">
        <f>IFERROR(__xludf.DUMMYFUNCTION("""COMPUTED_VALUE"""),"085287379772")</f>
        <v>085287379772</v>
      </c>
      <c r="J159" s="285" t="str">
        <f>IFERROR(__xludf.DUMMYFUNCTION("""COMPUTED_VALUE"""),"Qualified")</f>
        <v>Qualified</v>
      </c>
      <c r="K159" s="285" t="str">
        <f>IFERROR(__xludf.DUMMYFUNCTION("""COMPUTED_VALUE"""),"3h2m")</f>
        <v>3h2m</v>
      </c>
      <c r="L159" s="287"/>
      <c r="M159" s="285">
        <f>IFERROR(__xludf.DUMMYFUNCTION("""COMPUTED_VALUE"""),50.0)</f>
        <v>50</v>
      </c>
      <c r="N159" s="289">
        <f>IFERROR(__xludf.DUMMYFUNCTION("""COMPUTED_VALUE"""),7.45E7)</f>
        <v>74500000</v>
      </c>
      <c r="O159" s="285" t="str">
        <f>IFERROR(__xludf.DUMMYFUNCTION("""COMPUTED_VALUE"""),"fu 23 mei")</f>
        <v>fu 23 mei</v>
      </c>
      <c r="P159" s="320"/>
      <c r="R159" s="285"/>
      <c r="S159" s="285"/>
      <c r="T159" s="285"/>
      <c r="U159" s="285"/>
      <c r="V159" s="285"/>
      <c r="W159" s="285"/>
      <c r="X159" s="285"/>
      <c r="Y159" s="285"/>
      <c r="Z159" s="285"/>
      <c r="AA159" s="285"/>
      <c r="AC159" s="285" t="str">
        <f>IFERROR(__xludf.DUMMYFUNCTION("""COMPUTED_VALUE"""),"2603A062")</f>
        <v>2603A062</v>
      </c>
      <c r="AD159" s="286">
        <f>IFERROR(__xludf.DUMMYFUNCTION("""COMPUTED_VALUE"""),46101.0)</f>
        <v>46101</v>
      </c>
      <c r="AE159" s="285" t="str">
        <f>IFERROR(__xludf.DUMMYFUNCTION("""COMPUTED_VALUE"""),"Fatim")</f>
        <v>Fatim</v>
      </c>
      <c r="AF159" s="285" t="str">
        <f>IFERROR(__xludf.DUMMYFUNCTION("""COMPUTED_VALUE"""),"085700662935")</f>
        <v>085700662935</v>
      </c>
      <c r="AG159" s="285" t="str">
        <f>IFERROR(__xludf.DUMMYFUNCTION("""COMPUTED_VALUE"""),"Gagal")</f>
        <v>Gagal</v>
      </c>
      <c r="AH159" s="285" t="str">
        <f>IFERROR(__xludf.DUMMYFUNCTION("""COMPUTED_VALUE"""),"Trip yg tersedia")</f>
        <v>Trip yg tersedia</v>
      </c>
      <c r="AI159" s="287"/>
      <c r="AJ159" s="285">
        <f>IFERROR(__xludf.DUMMYFUNCTION("""COMPUTED_VALUE"""),2.0)</f>
        <v>2</v>
      </c>
      <c r="AK159" s="289"/>
      <c r="AL159" s="285"/>
    </row>
    <row r="160">
      <c r="F160" s="285" t="str">
        <f>IFERROR(__xludf.DUMMYFUNCTION("""COMPUTED_VALUE"""),"2605A155")</f>
        <v>2605A155</v>
      </c>
      <c r="G160" s="286">
        <f>IFERROR(__xludf.DUMMYFUNCTION("""COMPUTED_VALUE"""),46167.0)</f>
        <v>46167</v>
      </c>
      <c r="H160" s="285" t="str">
        <f>IFERROR(__xludf.DUMMYFUNCTION("""COMPUTED_VALUE"""),"Diandra")</f>
        <v>Diandra</v>
      </c>
      <c r="I160" s="285" t="str">
        <f>IFERROR(__xludf.DUMMYFUNCTION("""COMPUTED_VALUE"""),"081382032024")</f>
        <v>081382032024</v>
      </c>
      <c r="J160" s="285" t="str">
        <f>IFERROR(__xludf.DUMMYFUNCTION("""COMPUTED_VALUE"""),"Qualified")</f>
        <v>Qualified</v>
      </c>
      <c r="K160" s="285" t="str">
        <f>IFERROR(__xludf.DUMMYFUNCTION("""COMPUTED_VALUE"""),"3h2m")</f>
        <v>3h2m</v>
      </c>
      <c r="L160" s="287"/>
      <c r="M160" s="285">
        <f>IFERROR(__xludf.DUMMYFUNCTION("""COMPUTED_VALUE"""),2.0)</f>
        <v>2</v>
      </c>
      <c r="N160" s="289">
        <f>IFERROR(__xludf.DUMMYFUNCTION("""COMPUTED_VALUE"""),6128000.0)</f>
        <v>6128000</v>
      </c>
      <c r="O160" s="285" t="str">
        <f>IFERROR(__xludf.DUMMYFUNCTION("""COMPUTED_VALUE"""),"fu 5 juli")</f>
        <v>fu 5 juli</v>
      </c>
      <c r="P160" s="320"/>
      <c r="R160" s="285"/>
      <c r="S160" s="285"/>
      <c r="T160" s="285"/>
      <c r="U160" s="285"/>
      <c r="V160" s="285"/>
      <c r="W160" s="285"/>
      <c r="X160" s="285"/>
      <c r="Y160" s="285"/>
      <c r="Z160" s="285"/>
      <c r="AA160" s="285"/>
      <c r="AC160" s="285" t="str">
        <f>IFERROR(__xludf.DUMMYFUNCTION("""COMPUTED_VALUE"""),"2603A063")</f>
        <v>2603A063</v>
      </c>
      <c r="AD160" s="286">
        <f>IFERROR(__xludf.DUMMYFUNCTION("""COMPUTED_VALUE"""),46102.0)</f>
        <v>46102</v>
      </c>
      <c r="AE160" s="285" t="str">
        <f>IFERROR(__xludf.DUMMYFUNCTION("""COMPUTED_VALUE"""),"Asha")</f>
        <v>Asha</v>
      </c>
      <c r="AF160" s="285" t="str">
        <f>IFERROR(__xludf.DUMMYFUNCTION("""COMPUTED_VALUE"""),"085876052620")</f>
        <v>085876052620</v>
      </c>
      <c r="AG160" s="285" t="str">
        <f>IFERROR(__xludf.DUMMYFUNCTION("""COMPUTED_VALUE"""),"Gagal")</f>
        <v>Gagal</v>
      </c>
      <c r="AH160" s="285" t="str">
        <f>IFERROR(__xludf.DUMMYFUNCTION("""COMPUTED_VALUE"""),"Trip M, T")</f>
        <v>Trip M, T</v>
      </c>
      <c r="AI160" s="287">
        <f>IFERROR(__xludf.DUMMYFUNCTION("""COMPUTED_VALUE"""),46103.0)</f>
        <v>46103</v>
      </c>
      <c r="AJ160" s="285"/>
      <c r="AK160" s="289"/>
      <c r="AL160" s="285" t="str">
        <f>IFERROR(__xludf.DUMMYFUNCTION("""COMPUTED_VALUE"""),"Full Booked")</f>
        <v>Full Booked</v>
      </c>
    </row>
    <row r="161">
      <c r="F161" s="285" t="str">
        <f>IFERROR(__xludf.DUMMYFUNCTION("""COMPUTED_VALUE"""),"2605A182")</f>
        <v>2605A182</v>
      </c>
      <c r="G161" s="286">
        <f>IFERROR(__xludf.DUMMYFUNCTION("""COMPUTED_VALUE"""),46172.0)</f>
        <v>46172</v>
      </c>
      <c r="H161" s="285" t="str">
        <f>IFERROR(__xludf.DUMMYFUNCTION("""COMPUTED_VALUE"""),"Tio Martha")</f>
        <v>Tio Martha</v>
      </c>
      <c r="I161" s="285" t="str">
        <f>IFERROR(__xludf.DUMMYFUNCTION("""COMPUTED_VALUE"""),"081398976079")</f>
        <v>081398976079</v>
      </c>
      <c r="J161" s="285" t="str">
        <f>IFERROR(__xludf.DUMMYFUNCTION("""COMPUTED_VALUE"""),"Qualified")</f>
        <v>Qualified</v>
      </c>
      <c r="K161" s="285" t="str">
        <f>IFERROR(__xludf.DUMMYFUNCTION("""COMPUTED_VALUE"""),"3h2m a")</f>
        <v>3h2m a</v>
      </c>
      <c r="L161" s="287">
        <f>IFERROR(__xludf.DUMMYFUNCTION("""COMPUTED_VALUE"""),46256.0)</f>
        <v>46256</v>
      </c>
      <c r="M161" s="285">
        <f>IFERROR(__xludf.DUMMYFUNCTION("""COMPUTED_VALUE"""),6.0)</f>
        <v>6</v>
      </c>
      <c r="N161" s="289"/>
      <c r="O161" s="285" t="str">
        <f>IFERROR(__xludf.DUMMYFUNCTION("""COMPUTED_VALUE"""),"buat penawaran 31 mei")</f>
        <v>buat penawaran 31 mei</v>
      </c>
      <c r="P161" s="320"/>
      <c r="R161" s="285"/>
      <c r="S161" s="285"/>
      <c r="T161" s="285"/>
      <c r="U161" s="285"/>
      <c r="V161" s="285"/>
      <c r="W161" s="285"/>
      <c r="X161" s="285"/>
      <c r="Y161" s="285"/>
      <c r="Z161" s="285"/>
      <c r="AA161" s="285"/>
      <c r="AC161" s="285" t="str">
        <f>IFERROR(__xludf.DUMMYFUNCTION("""COMPUTED_VALUE"""),"2603A064")</f>
        <v>2603A064</v>
      </c>
      <c r="AD161" s="286">
        <f>IFERROR(__xludf.DUMMYFUNCTION("""COMPUTED_VALUE"""),46102.0)</f>
        <v>46102</v>
      </c>
      <c r="AE161" s="285" t="str">
        <f>IFERROR(__xludf.DUMMYFUNCTION("""COMPUTED_VALUE"""),"Mariska")</f>
        <v>Mariska</v>
      </c>
      <c r="AF161" s="285" t="str">
        <f>IFERROR(__xludf.DUMMYFUNCTION("""COMPUTED_VALUE"""),"08813229259")</f>
        <v>08813229259</v>
      </c>
      <c r="AG161" s="285" t="str">
        <f>IFERROR(__xludf.DUMMYFUNCTION("""COMPUTED_VALUE"""),"Gagal")</f>
        <v>Gagal</v>
      </c>
      <c r="AH161" s="285" t="str">
        <f>IFERROR(__xludf.DUMMYFUNCTION("""COMPUTED_VALUE"""),"3H2M Everyday")</f>
        <v>3H2M Everyday</v>
      </c>
      <c r="AI161" s="287">
        <f>IFERROR(__xludf.DUMMYFUNCTION("""COMPUTED_VALUE"""),46104.0)</f>
        <v>46104</v>
      </c>
      <c r="AJ161" s="285">
        <f>IFERROR(__xludf.DUMMYFUNCTION("""COMPUTED_VALUE"""),2.0)</f>
        <v>2</v>
      </c>
      <c r="AK161" s="289"/>
      <c r="AL161" s="285" t="str">
        <f>IFERROR(__xludf.DUMMYFUNCTION("""COMPUTED_VALUE"""),"masih cek ketersediaan")</f>
        <v>masih cek ketersediaan</v>
      </c>
    </row>
    <row r="162">
      <c r="F162" s="285" t="str">
        <f>IFERROR(__xludf.DUMMYFUNCTION("""COMPUTED_VALUE"""),"2605A185")</f>
        <v>2605A185</v>
      </c>
      <c r="G162" s="286">
        <f>IFERROR(__xludf.DUMMYFUNCTION("""COMPUTED_VALUE"""),46173.0)</f>
        <v>46173</v>
      </c>
      <c r="H162" s="285" t="str">
        <f>IFERROR(__xludf.DUMMYFUNCTION("""COMPUTED_VALUE"""),"Atik Haidar Hernawan")</f>
        <v>Atik Haidar Hernawan</v>
      </c>
      <c r="I162" s="285" t="str">
        <f>IFERROR(__xludf.DUMMYFUNCTION("""COMPUTED_VALUE"""),"085335015678")</f>
        <v>085335015678</v>
      </c>
      <c r="J162" s="285" t="str">
        <f>IFERROR(__xludf.DUMMYFUNCTION("""COMPUTED_VALUE"""),"Qualified")</f>
        <v>Qualified</v>
      </c>
      <c r="K162" s="285" t="str">
        <f>IFERROR(__xludf.DUMMYFUNCTION("""COMPUTED_VALUE"""),"3h2m")</f>
        <v>3h2m</v>
      </c>
      <c r="L162" s="287"/>
      <c r="M162" s="285">
        <f>IFERROR(__xludf.DUMMYFUNCTION("""COMPUTED_VALUE"""),3.0)</f>
        <v>3</v>
      </c>
      <c r="N162" s="289"/>
      <c r="O162" s="285" t="str">
        <f>IFERROR(__xludf.DUMMYFUNCTION("""COMPUTED_VALUE"""),"fu 20 juni")</f>
        <v>fu 20 juni</v>
      </c>
      <c r="P162" s="320"/>
      <c r="R162" s="285"/>
      <c r="S162" s="285"/>
      <c r="T162" s="285"/>
      <c r="U162" s="285"/>
      <c r="V162" s="285"/>
      <c r="W162" s="285"/>
      <c r="X162" s="285"/>
      <c r="Y162" s="285"/>
      <c r="Z162" s="285"/>
      <c r="AA162" s="285"/>
      <c r="AC162" s="285" t="str">
        <f>IFERROR(__xludf.DUMMYFUNCTION("""COMPUTED_VALUE"""),"2603A065")</f>
        <v>2603A065</v>
      </c>
      <c r="AD162" s="286">
        <f>IFERROR(__xludf.DUMMYFUNCTION("""COMPUTED_VALUE"""),46102.0)</f>
        <v>46102</v>
      </c>
      <c r="AE162" s="285" t="str">
        <f>IFERROR(__xludf.DUMMYFUNCTION("""COMPUTED_VALUE"""),"Tiara")</f>
        <v>Tiara</v>
      </c>
      <c r="AF162" s="285" t="str">
        <f>IFERROR(__xludf.DUMMYFUNCTION("""COMPUTED_VALUE"""),"082231220446")</f>
        <v>082231220446</v>
      </c>
      <c r="AG162" s="285" t="str">
        <f>IFERROR(__xludf.DUMMYFUNCTION("""COMPUTED_VALUE"""),"Gagal")</f>
        <v>Gagal</v>
      </c>
      <c r="AH162" s="285" t="str">
        <f>IFERROR(__xludf.DUMMYFUNCTION("""COMPUTED_VALUE"""),"Trip M, T")</f>
        <v>Trip M, T</v>
      </c>
      <c r="AI162" s="287">
        <f>IFERROR(__xludf.DUMMYFUNCTION("""COMPUTED_VALUE"""),46103.0)</f>
        <v>46103</v>
      </c>
      <c r="AJ162" s="285">
        <f>IFERROR(__xludf.DUMMYFUNCTION("""COMPUTED_VALUE"""),3.0)</f>
        <v>3</v>
      </c>
      <c r="AK162" s="289"/>
      <c r="AL162" s="285" t="str">
        <f>IFERROR(__xludf.DUMMYFUNCTION("""COMPUTED_VALUE"""),"Full Booked")</f>
        <v>Full Booked</v>
      </c>
    </row>
    <row r="163">
      <c r="F163" s="285" t="str">
        <f>IFERROR(__xludf.DUMMYFUNCTION("""COMPUTED_VALUE"""),"2606A009")</f>
        <v>2606A009</v>
      </c>
      <c r="G163" s="286">
        <f>IFERROR(__xludf.DUMMYFUNCTION("""COMPUTED_VALUE"""),46176.0)</f>
        <v>46176</v>
      </c>
      <c r="H163" s="285" t="str">
        <f>IFERROR(__xludf.DUMMYFUNCTION("""COMPUTED_VALUE"""),"Amel")</f>
        <v>Amel</v>
      </c>
      <c r="I163" s="285" t="str">
        <f>IFERROR(__xludf.DUMMYFUNCTION("""COMPUTED_VALUE"""),"081336558887")</f>
        <v>081336558887</v>
      </c>
      <c r="J163" s="285" t="str">
        <f>IFERROR(__xludf.DUMMYFUNCTION("""COMPUTED_VALUE"""),"Qualified")</f>
        <v>Qualified</v>
      </c>
      <c r="K163" s="285" t="str">
        <f>IFERROR(__xludf.DUMMYFUNCTION("""COMPUTED_VALUE"""),"2h1m custome")</f>
        <v>2h1m custome</v>
      </c>
      <c r="L163" s="287"/>
      <c r="M163" s="285">
        <f>IFERROR(__xludf.DUMMYFUNCTION("""COMPUTED_VALUE"""),2.0)</f>
        <v>2</v>
      </c>
      <c r="N163" s="289">
        <f>IFERROR(__xludf.DUMMYFUNCTION("""COMPUTED_VALUE"""),4840000.0)</f>
        <v>4840000</v>
      </c>
      <c r="O163" s="285" t="str">
        <f>IFERROR(__xludf.DUMMYFUNCTION("""COMPUTED_VALUE"""),"fu 19 juni hanya menyapa")</f>
        <v>fu 19 juni hanya menyapa</v>
      </c>
      <c r="P163" s="320"/>
      <c r="R163" s="285"/>
      <c r="S163" s="285"/>
      <c r="T163" s="285"/>
      <c r="U163" s="285"/>
      <c r="V163" s="285"/>
      <c r="W163" s="285"/>
      <c r="X163" s="285"/>
      <c r="Y163" s="285"/>
      <c r="Z163" s="285"/>
      <c r="AA163" s="285"/>
      <c r="AC163" s="285" t="str">
        <f>IFERROR(__xludf.DUMMYFUNCTION("""COMPUTED_VALUE"""),"2603A066")</f>
        <v>2603A066</v>
      </c>
      <c r="AD163" s="286">
        <f>IFERROR(__xludf.DUMMYFUNCTION("""COMPUTED_VALUE"""),46074.0)</f>
        <v>46074</v>
      </c>
      <c r="AE163" s="285" t="str">
        <f>IFERROR(__xludf.DUMMYFUNCTION("""COMPUTED_VALUE"""),"Dila")</f>
        <v>Dila</v>
      </c>
      <c r="AF163" s="285" t="str">
        <f>IFERROR(__xludf.DUMMYFUNCTION("""COMPUTED_VALUE"""),"082388994261")</f>
        <v>082388994261</v>
      </c>
      <c r="AG163" s="285" t="str">
        <f>IFERROR(__xludf.DUMMYFUNCTION("""COMPUTED_VALUE"""),"Gagal")</f>
        <v>Gagal</v>
      </c>
      <c r="AH163" s="285" t="str">
        <f>IFERROR(__xludf.DUMMYFUNCTION("""COMPUTED_VALUE"""),"3H2M Custom")</f>
        <v>3H2M Custom</v>
      </c>
      <c r="AI163" s="287"/>
      <c r="AJ163" s="285">
        <f>IFERROR(__xludf.DUMMYFUNCTION("""COMPUTED_VALUE"""),7.0)</f>
        <v>7</v>
      </c>
      <c r="AK163" s="289"/>
      <c r="AL163" s="285" t="str">
        <f>IFERROR(__xludf.DUMMYFUNCTION("""COMPUTED_VALUE"""),"FUll Booked")</f>
        <v>FUll Booked</v>
      </c>
    </row>
    <row r="164">
      <c r="F164" s="285" t="str">
        <f>IFERROR(__xludf.DUMMYFUNCTION("""COMPUTED_VALUE"""),"2606A010")</f>
        <v>2606A010</v>
      </c>
      <c r="G164" s="286">
        <f>IFERROR(__xludf.DUMMYFUNCTION("""COMPUTED_VALUE"""),46176.0)</f>
        <v>46176</v>
      </c>
      <c r="H164" s="285" t="str">
        <f>IFERROR(__xludf.DUMMYFUNCTION("""COMPUTED_VALUE"""),"Ahmad Yasin Yusuf")</f>
        <v>Ahmad Yasin Yusuf</v>
      </c>
      <c r="I164" s="285" t="str">
        <f>IFERROR(__xludf.DUMMYFUNCTION("""COMPUTED_VALUE"""),"082140573838")</f>
        <v>082140573838</v>
      </c>
      <c r="J164" s="285" t="str">
        <f>IFERROR(__xludf.DUMMYFUNCTION("""COMPUTED_VALUE"""),"Qualified")</f>
        <v>Qualified</v>
      </c>
      <c r="K164" s="285" t="str">
        <f>IFERROR(__xludf.DUMMYFUNCTION("""COMPUTED_VALUE"""),"1d ijen")</f>
        <v>1d ijen</v>
      </c>
      <c r="L164" s="287">
        <f>IFERROR(__xludf.DUMMYFUNCTION("""COMPUTED_VALUE"""),46249.0)</f>
        <v>46249</v>
      </c>
      <c r="M164" s="285">
        <f>IFERROR(__xludf.DUMMYFUNCTION("""COMPUTED_VALUE"""),14.0)</f>
        <v>14</v>
      </c>
      <c r="N164" s="289">
        <f>IFERROR(__xludf.DUMMYFUNCTION("""COMPUTED_VALUE"""),3920000.0)</f>
        <v>3920000</v>
      </c>
      <c r="O164" s="285" t="str">
        <f>IFERROR(__xludf.DUMMYFUNCTION("""COMPUTED_VALUE"""),"fu 27 juni")</f>
        <v>fu 27 juni</v>
      </c>
      <c r="P164" s="320"/>
      <c r="R164" s="285"/>
      <c r="S164" s="285"/>
      <c r="T164" s="285"/>
      <c r="U164" s="285"/>
      <c r="V164" s="285"/>
      <c r="W164" s="285"/>
      <c r="X164" s="285"/>
      <c r="Y164" s="285"/>
      <c r="Z164" s="285"/>
      <c r="AA164" s="285"/>
      <c r="AC164" s="285" t="str">
        <f>IFERROR(__xludf.DUMMYFUNCTION("""COMPUTED_VALUE"""),"2603A067")</f>
        <v>2603A067</v>
      </c>
      <c r="AD164" s="286">
        <f>IFERROR(__xludf.DUMMYFUNCTION("""COMPUTED_VALUE"""),46102.0)</f>
        <v>46102</v>
      </c>
      <c r="AE164" s="285" t="str">
        <f>IFERROR(__xludf.DUMMYFUNCTION("""COMPUTED_VALUE"""),"Nala")</f>
        <v>Nala</v>
      </c>
      <c r="AF164" s="285" t="str">
        <f>IFERROR(__xludf.DUMMYFUNCTION("""COMPUTED_VALUE"""),"081283022336")</f>
        <v>081283022336</v>
      </c>
      <c r="AG164" s="285" t="str">
        <f>IFERROR(__xludf.DUMMYFUNCTION("""COMPUTED_VALUE"""),"Gagal")</f>
        <v>Gagal</v>
      </c>
      <c r="AH164" s="285" t="str">
        <f>IFERROR(__xludf.DUMMYFUNCTION("""COMPUTED_VALUE"""),"Trip W")</f>
        <v>Trip W</v>
      </c>
      <c r="AI164" s="287">
        <f>IFERROR(__xludf.DUMMYFUNCTION("""COMPUTED_VALUE"""),46103.0)</f>
        <v>46103</v>
      </c>
      <c r="AJ164" s="285">
        <f>IFERROR(__xludf.DUMMYFUNCTION("""COMPUTED_VALUE"""),4.0)</f>
        <v>4</v>
      </c>
      <c r="AK164" s="289"/>
      <c r="AL164" s="285"/>
    </row>
    <row r="165">
      <c r="F165" s="285" t="str">
        <f>IFERROR(__xludf.DUMMYFUNCTION("""COMPUTED_VALUE"""),"2606A011")</f>
        <v>2606A011</v>
      </c>
      <c r="G165" s="286">
        <f>IFERROR(__xludf.DUMMYFUNCTION("""COMPUTED_VALUE"""),46176.0)</f>
        <v>46176</v>
      </c>
      <c r="H165" s="285" t="str">
        <f>IFERROR(__xludf.DUMMYFUNCTION("""COMPUTED_VALUE"""),"Shinta Ayu")</f>
        <v>Shinta Ayu</v>
      </c>
      <c r="I165" s="285" t="str">
        <f>IFERROR(__xludf.DUMMYFUNCTION("""COMPUTED_VALUE"""),"082132838971")</f>
        <v>082132838971</v>
      </c>
      <c r="J165" s="285" t="str">
        <f>IFERROR(__xludf.DUMMYFUNCTION("""COMPUTED_VALUE"""),"Qualified")</f>
        <v>Qualified</v>
      </c>
      <c r="K165" s="285" t="str">
        <f>IFERROR(__xludf.DUMMYFUNCTION("""COMPUTED_VALUE"""),"3h2m a")</f>
        <v>3h2m a</v>
      </c>
      <c r="L165" s="287">
        <f>IFERROR(__xludf.DUMMYFUNCTION("""COMPUTED_VALUE"""),46184.0)</f>
        <v>46184</v>
      </c>
      <c r="M165" s="285">
        <f>IFERROR(__xludf.DUMMYFUNCTION("""COMPUTED_VALUE"""),2.0)</f>
        <v>2</v>
      </c>
      <c r="N165" s="289">
        <f>IFERROR(__xludf.DUMMYFUNCTION("""COMPUTED_VALUE"""),4540000.0)</f>
        <v>4540000</v>
      </c>
      <c r="O165" s="285" t="str">
        <f>IFERROR(__xludf.DUMMYFUNCTION("""COMPUTED_VALUE"""),"fu 5 juni")</f>
        <v>fu 5 juni</v>
      </c>
      <c r="P165" s="320"/>
      <c r="R165" s="285"/>
      <c r="S165" s="285"/>
      <c r="T165" s="285"/>
      <c r="U165" s="285"/>
      <c r="V165" s="285"/>
      <c r="W165" s="285"/>
      <c r="X165" s="285"/>
      <c r="Y165" s="285"/>
      <c r="Z165" s="285"/>
      <c r="AA165" s="285"/>
      <c r="AC165" s="285" t="str">
        <f>IFERROR(__xludf.DUMMYFUNCTION("""COMPUTED_VALUE"""),"2603A068")</f>
        <v>2603A068</v>
      </c>
      <c r="AD165" s="286">
        <f>IFERROR(__xludf.DUMMYFUNCTION("""COMPUTED_VALUE"""),46102.0)</f>
        <v>46102</v>
      </c>
      <c r="AE165" s="285" t="str">
        <f>IFERROR(__xludf.DUMMYFUNCTION("""COMPUTED_VALUE"""),"Apri")</f>
        <v>Apri</v>
      </c>
      <c r="AF165" s="285" t="str">
        <f>IFERROR(__xludf.DUMMYFUNCTION("""COMPUTED_VALUE"""),"082122906213")</f>
        <v>082122906213</v>
      </c>
      <c r="AG165" s="285" t="str">
        <f>IFERROR(__xludf.DUMMYFUNCTION("""COMPUTED_VALUE"""),"Gagal")</f>
        <v>Gagal</v>
      </c>
      <c r="AH165" s="285" t="str">
        <f>IFERROR(__xludf.DUMMYFUNCTION("""COMPUTED_VALUE"""),"3H2M Opsi B")</f>
        <v>3H2M Opsi B</v>
      </c>
      <c r="AI165" s="287"/>
      <c r="AJ165" s="285">
        <f>IFERROR(__xludf.DUMMYFUNCTION("""COMPUTED_VALUE"""),46115.0)</f>
        <v>46115</v>
      </c>
      <c r="AK165" s="289">
        <f>IFERROR(__xludf.DUMMYFUNCTION("""COMPUTED_VALUE"""),4854000.0)</f>
        <v>4854000</v>
      </c>
      <c r="AL165" s="285" t="str">
        <f>IFERROR(__xludf.DUMMYFUNCTION("""COMPUTED_VALUE"""),"sdh fu gada jawaban")</f>
        <v>sdh fu gada jawaban</v>
      </c>
    </row>
    <row r="166">
      <c r="F166" s="285" t="str">
        <f>IFERROR(__xludf.DUMMYFUNCTION("""COMPUTED_VALUE"""),"2606A012")</f>
        <v>2606A012</v>
      </c>
      <c r="G166" s="286">
        <f>IFERROR(__xludf.DUMMYFUNCTION("""COMPUTED_VALUE"""),46176.0)</f>
        <v>46176</v>
      </c>
      <c r="H166" s="285" t="str">
        <f>IFERROR(__xludf.DUMMYFUNCTION("""COMPUTED_VALUE"""),"Reee")</f>
        <v>Reee</v>
      </c>
      <c r="I166" s="285" t="str">
        <f>IFERROR(__xludf.DUMMYFUNCTION("""COMPUTED_VALUE"""),"081231263678")</f>
        <v>081231263678</v>
      </c>
      <c r="J166" s="285" t="str">
        <f>IFERROR(__xludf.DUMMYFUNCTION("""COMPUTED_VALUE"""),"Qualified")</f>
        <v>Qualified</v>
      </c>
      <c r="K166" s="285" t="str">
        <f>IFERROR(__xludf.DUMMYFUNCTION("""COMPUTED_VALUE"""),"pvt mt")</f>
        <v>pvt mt</v>
      </c>
      <c r="L166" s="287">
        <f>IFERROR(__xludf.DUMMYFUNCTION("""COMPUTED_VALUE"""),46186.0)</f>
        <v>46186</v>
      </c>
      <c r="M166" s="285">
        <f>IFERROR(__xludf.DUMMYFUNCTION("""COMPUTED_VALUE"""),5.0)</f>
        <v>5</v>
      </c>
      <c r="N166" s="289">
        <f>IFERROR(__xludf.DUMMYFUNCTION("""COMPUTED_VALUE"""),2300000.0)</f>
        <v>2300000</v>
      </c>
      <c r="O166" s="285" t="str">
        <f>IFERROR(__xludf.DUMMYFUNCTION("""COMPUTED_VALUE"""),"fu 5 juni")</f>
        <v>fu 5 juni</v>
      </c>
      <c r="P166" s="320"/>
      <c r="R166" s="285"/>
      <c r="S166" s="285"/>
      <c r="T166" s="285"/>
      <c r="U166" s="285"/>
      <c r="V166" s="285"/>
      <c r="W166" s="285"/>
      <c r="X166" s="285"/>
      <c r="Y166" s="285"/>
      <c r="Z166" s="285"/>
      <c r="AA166" s="285"/>
      <c r="AC166" s="285" t="str">
        <f>IFERROR(__xludf.DUMMYFUNCTION("""COMPUTED_VALUE"""),"2603A070")</f>
        <v>2603A070</v>
      </c>
      <c r="AD166" s="286">
        <f>IFERROR(__xludf.DUMMYFUNCTION("""COMPUTED_VALUE"""),46103.0)</f>
        <v>46103</v>
      </c>
      <c r="AE166" s="285" t="str">
        <f>IFERROR(__xludf.DUMMYFUNCTION("""COMPUTED_VALUE"""),"Gina")</f>
        <v>Gina</v>
      </c>
      <c r="AF166" s="285" t="str">
        <f>IFERROR(__xludf.DUMMYFUNCTION("""COMPUTED_VALUE"""),"081277714893‬")</f>
        <v>081277714893‬</v>
      </c>
      <c r="AG166" s="285" t="str">
        <f>IFERROR(__xludf.DUMMYFUNCTION("""COMPUTED_VALUE"""),"Gagal")</f>
        <v>Gagal</v>
      </c>
      <c r="AH166" s="285" t="str">
        <f>IFERROR(__xludf.DUMMYFUNCTION("""COMPUTED_VALUE"""),"2h1m")</f>
        <v>2h1m</v>
      </c>
      <c r="AI166" s="287">
        <f>IFERROR(__xludf.DUMMYFUNCTION("""COMPUTED_VALUE"""),46103.0)</f>
        <v>46103</v>
      </c>
      <c r="AJ166" s="285">
        <f>IFERROR(__xludf.DUMMYFUNCTION("""COMPUTED_VALUE"""),3.0)</f>
        <v>3</v>
      </c>
      <c r="AK166" s="289"/>
      <c r="AL166" s="285" t="str">
        <f>IFERROR(__xludf.DUMMYFUNCTION("""COMPUTED_VALUE"""),"guide dan transport saja,sdh Full booked")</f>
        <v>guide dan transport saja,sdh Full booked</v>
      </c>
    </row>
    <row r="167">
      <c r="F167" s="285" t="str">
        <f>IFERROR(__xludf.DUMMYFUNCTION("""COMPUTED_VALUE"""),"2606A050")</f>
        <v>2606A050</v>
      </c>
      <c r="G167" s="286">
        <f>IFERROR(__xludf.DUMMYFUNCTION("""COMPUTED_VALUE"""),46182.0)</f>
        <v>46182</v>
      </c>
      <c r="H167" s="285" t="str">
        <f>IFERROR(__xludf.DUMMYFUNCTION("""COMPUTED_VALUE"""),"Erma Nurfajriah")</f>
        <v>Erma Nurfajriah</v>
      </c>
      <c r="I167" s="285" t="str">
        <f>IFERROR(__xludf.DUMMYFUNCTION("""COMPUTED_VALUE"""),"085762982172")</f>
        <v>085762982172</v>
      </c>
      <c r="J167" s="285" t="str">
        <f>IFERROR(__xludf.DUMMYFUNCTION("""COMPUTED_VALUE"""),"Qualified")</f>
        <v>Qualified</v>
      </c>
      <c r="K167" s="285"/>
      <c r="L167" s="287">
        <f>IFERROR(__xludf.DUMMYFUNCTION("""COMPUTED_VALUE"""),46184.0)</f>
        <v>46184</v>
      </c>
      <c r="M167" s="285"/>
      <c r="N167" s="289"/>
      <c r="O167" s="285"/>
      <c r="P167" s="320"/>
      <c r="R167" s="285"/>
      <c r="S167" s="285"/>
      <c r="T167" s="285"/>
      <c r="U167" s="285"/>
      <c r="V167" s="285"/>
      <c r="W167" s="285"/>
      <c r="X167" s="285"/>
      <c r="Y167" s="285"/>
      <c r="Z167" s="285"/>
      <c r="AA167" s="285"/>
      <c r="AC167" s="285" t="str">
        <f>IFERROR(__xludf.DUMMYFUNCTION("""COMPUTED_VALUE"""),"2603A071")</f>
        <v>2603A071</v>
      </c>
      <c r="AD167" s="286">
        <f>IFERROR(__xludf.DUMMYFUNCTION("""COMPUTED_VALUE"""),46103.0)</f>
        <v>46103</v>
      </c>
      <c r="AE167" s="285" t="str">
        <f>IFERROR(__xludf.DUMMYFUNCTION("""COMPUTED_VALUE"""),"Vina")</f>
        <v>Vina</v>
      </c>
      <c r="AF167" s="285" t="str">
        <f>IFERROR(__xludf.DUMMYFUNCTION("""COMPUTED_VALUE"""),"‪088227004534‬")</f>
        <v>‪088227004534‬</v>
      </c>
      <c r="AG167" s="285" t="str">
        <f>IFERROR(__xludf.DUMMYFUNCTION("""COMPUTED_VALUE"""),"Gagal")</f>
        <v>Gagal</v>
      </c>
      <c r="AH167" s="285" t="str">
        <f>IFERROR(__xludf.DUMMYFUNCTION("""COMPUTED_VALUE"""),"Trip menjangan")</f>
        <v>Trip menjangan</v>
      </c>
      <c r="AI167" s="287">
        <f>IFERROR(__xludf.DUMMYFUNCTION("""COMPUTED_VALUE"""),46104.0)</f>
        <v>46104</v>
      </c>
      <c r="AJ167" s="285">
        <f>IFERROR(__xludf.DUMMYFUNCTION("""COMPUTED_VALUE"""),2.0)</f>
        <v>2</v>
      </c>
      <c r="AK167" s="289"/>
      <c r="AL167" s="285" t="str">
        <f>IFERROR(__xludf.DUMMYFUNCTION("""COMPUTED_VALUE"""),"fullbooked")</f>
        <v>fullbooked</v>
      </c>
    </row>
    <row r="168">
      <c r="F168" s="285" t="str">
        <f>IFERROR(__xludf.DUMMYFUNCTION("""COMPUTED_VALUE"""),"2606A127")</f>
        <v>2606A127</v>
      </c>
      <c r="G168" s="286">
        <f>IFERROR(__xludf.DUMMYFUNCTION("""COMPUTED_VALUE"""),46194.0)</f>
        <v>46194</v>
      </c>
      <c r="H168" s="285" t="str">
        <f>IFERROR(__xludf.DUMMYFUNCTION("""COMPUTED_VALUE"""),"Shabrina Kamila")</f>
        <v>Shabrina Kamila</v>
      </c>
      <c r="I168" s="285" t="str">
        <f>IFERROR(__xludf.DUMMYFUNCTION("""COMPUTED_VALUE"""),"082228618585")</f>
        <v>082228618585</v>
      </c>
      <c r="J168" s="285" t="str">
        <f>IFERROR(__xludf.DUMMYFUNCTION("""COMPUTED_VALUE"""),"Qualified")</f>
        <v>Qualified</v>
      </c>
      <c r="K168" s="285" t="str">
        <f>IFERROR(__xludf.DUMMYFUNCTION("""COMPUTED_VALUE"""),"ot menjangan tabuhan")</f>
        <v>ot menjangan tabuhan</v>
      </c>
      <c r="L168" s="287">
        <f>IFERROR(__xludf.DUMMYFUNCTION("""COMPUTED_VALUE"""),46273.0)</f>
        <v>46273</v>
      </c>
      <c r="M168" s="285">
        <f>IFERROR(__xludf.DUMMYFUNCTION("""COMPUTED_VALUE"""),2.0)</f>
        <v>2</v>
      </c>
      <c r="N168" s="289">
        <f>IFERROR(__xludf.DUMMYFUNCTION("""COMPUTED_VALUE"""),800000.0)</f>
        <v>800000</v>
      </c>
      <c r="O168" s="285" t="str">
        <f>IFERROR(__xludf.DUMMYFUNCTION("""COMPUTED_VALUE"""),"fu 1 agustus")</f>
        <v>fu 1 agustus</v>
      </c>
      <c r="P168" s="320"/>
      <c r="R168" s="285"/>
      <c r="S168" s="285"/>
      <c r="T168" s="285"/>
      <c r="U168" s="285"/>
      <c r="V168" s="285"/>
      <c r="W168" s="285"/>
      <c r="X168" s="285"/>
      <c r="Y168" s="285"/>
      <c r="Z168" s="285"/>
      <c r="AA168" s="285"/>
      <c r="AC168" s="285" t="str">
        <f>IFERROR(__xludf.DUMMYFUNCTION("""COMPUTED_VALUE"""),"2603A072")</f>
        <v>2603A072</v>
      </c>
      <c r="AD168" s="286">
        <f>IFERROR(__xludf.DUMMYFUNCTION("""COMPUTED_VALUE"""),46104.0)</f>
        <v>46104</v>
      </c>
      <c r="AE168" s="285" t="str">
        <f>IFERROR(__xludf.DUMMYFUNCTION("""COMPUTED_VALUE"""),"Jumadi")</f>
        <v>Jumadi</v>
      </c>
      <c r="AF168" s="285" t="str">
        <f>IFERROR(__xludf.DUMMYFUNCTION("""COMPUTED_VALUE"""),"081329379133")</f>
        <v>081329379133</v>
      </c>
      <c r="AG168" s="285" t="str">
        <f>IFERROR(__xludf.DUMMYFUNCTION("""COMPUTED_VALUE"""),"Gagal")</f>
        <v>Gagal</v>
      </c>
      <c r="AH168" s="285" t="str">
        <f>IFERROR(__xludf.DUMMYFUNCTION("""COMPUTED_VALUE"""),"TN Baluran")</f>
        <v>TN Baluran</v>
      </c>
      <c r="AI168" s="287">
        <f>IFERROR(__xludf.DUMMYFUNCTION("""COMPUTED_VALUE"""),46105.0)</f>
        <v>46105</v>
      </c>
      <c r="AJ168" s="285">
        <f>IFERROR(__xludf.DUMMYFUNCTION("""COMPUTED_VALUE"""),6.0)</f>
        <v>6</v>
      </c>
      <c r="AK168" s="289"/>
      <c r="AL168" s="285" t="str">
        <f>IFERROR(__xludf.DUMMYFUNCTION("""COMPUTED_VALUE"""),"Jeep Fullbooked")</f>
        <v>Jeep Fullbooked</v>
      </c>
    </row>
    <row r="169">
      <c r="F169" s="285" t="str">
        <f>IFERROR(__xludf.DUMMYFUNCTION("""COMPUTED_VALUE"""),"2606A128")</f>
        <v>2606A128</v>
      </c>
      <c r="G169" s="286">
        <f>IFERROR(__xludf.DUMMYFUNCTION("""COMPUTED_VALUE"""),46195.0)</f>
        <v>46195</v>
      </c>
      <c r="H169" s="285" t="str">
        <f>IFERROR(__xludf.DUMMYFUNCTION("""COMPUTED_VALUE"""),"Adist")</f>
        <v>Adist</v>
      </c>
      <c r="I169" s="285" t="str">
        <f>IFERROR(__xludf.DUMMYFUNCTION("""COMPUTED_VALUE"""),"089524036828")</f>
        <v>089524036828</v>
      </c>
      <c r="J169" s="285" t="str">
        <f>IFERROR(__xludf.DUMMYFUNCTION("""COMPUTED_VALUE"""),"Qualified")</f>
        <v>Qualified</v>
      </c>
      <c r="K169" s="285" t="str">
        <f>IFERROR(__xludf.DUMMYFUNCTION("""COMPUTED_VALUE"""),"kawah wurung baluran")</f>
        <v>kawah wurung baluran</v>
      </c>
      <c r="L169" s="287"/>
      <c r="M169" s="285">
        <f>IFERROR(__xludf.DUMMYFUNCTION("""COMPUTED_VALUE"""),2.0)</f>
        <v>2</v>
      </c>
      <c r="N169" s="289">
        <f>IFERROR(__xludf.DUMMYFUNCTION("""COMPUTED_VALUE"""),2154000.0)</f>
        <v>2154000</v>
      </c>
      <c r="O169" s="285" t="str">
        <f>IFERROR(__xludf.DUMMYFUNCTION("""COMPUTED_VALUE"""),"fu 8 agustus")</f>
        <v>fu 8 agustus</v>
      </c>
      <c r="P169" s="320"/>
      <c r="R169" s="285"/>
      <c r="S169" s="285"/>
      <c r="T169" s="285"/>
      <c r="U169" s="285"/>
      <c r="V169" s="285"/>
      <c r="W169" s="285"/>
      <c r="X169" s="285"/>
      <c r="Y169" s="285"/>
      <c r="Z169" s="285"/>
      <c r="AA169" s="285"/>
      <c r="AC169" s="285" t="str">
        <f>IFERROR(__xludf.DUMMYFUNCTION("""COMPUTED_VALUE"""),"2603A073")</f>
        <v>2603A073</v>
      </c>
      <c r="AD169" s="286">
        <f>IFERROR(__xludf.DUMMYFUNCTION("""COMPUTED_VALUE"""),46104.0)</f>
        <v>46104</v>
      </c>
      <c r="AE169" s="285" t="str">
        <f>IFERROR(__xludf.DUMMYFUNCTION("""COMPUTED_VALUE"""),"Ayu")</f>
        <v>Ayu</v>
      </c>
      <c r="AF169" s="285" t="str">
        <f>IFERROR(__xludf.DUMMYFUNCTION("""COMPUTED_VALUE"""),"6591642479")</f>
        <v>6591642479</v>
      </c>
      <c r="AG169" s="285" t="str">
        <f>IFERROR(__xludf.DUMMYFUNCTION("""COMPUTED_VALUE"""),"Gagal")</f>
        <v>Gagal</v>
      </c>
      <c r="AH169" s="285" t="str">
        <f>IFERROR(__xludf.DUMMYFUNCTION("""COMPUTED_VALUE"""),"OT Djawatan")</f>
        <v>OT Djawatan</v>
      </c>
      <c r="AI169" s="287">
        <f>IFERROR(__xludf.DUMMYFUNCTION("""COMPUTED_VALUE"""),46106.0)</f>
        <v>46106</v>
      </c>
      <c r="AJ169" s="285">
        <f>IFERROR(__xludf.DUMMYFUNCTION("""COMPUTED_VALUE"""),1.0)</f>
        <v>1</v>
      </c>
      <c r="AK169" s="289"/>
      <c r="AL169" s="285" t="str">
        <f>IFERROR(__xludf.DUMMYFUNCTION("""COMPUTED_VALUE"""),"menunggu barengan OT")</f>
        <v>menunggu barengan OT</v>
      </c>
    </row>
    <row r="170">
      <c r="F170" s="285" t="str">
        <f>IFERROR(__xludf.DUMMYFUNCTION("""COMPUTED_VALUE"""),"2606A153")</f>
        <v>2606A153</v>
      </c>
      <c r="G170" s="286">
        <f>IFERROR(__xludf.DUMMYFUNCTION("""COMPUTED_VALUE"""),46199.0)</f>
        <v>46199</v>
      </c>
      <c r="H170" s="285" t="str">
        <f>IFERROR(__xludf.DUMMYFUNCTION("""COMPUTED_VALUE"""),"Nora")</f>
        <v>Nora</v>
      </c>
      <c r="I170" s="285" t="str">
        <f>IFERROR(__xludf.DUMMYFUNCTION("""COMPUTED_VALUE"""),"082277733031")</f>
        <v>082277733031</v>
      </c>
      <c r="J170" s="285" t="str">
        <f>IFERROR(__xludf.DUMMYFUNCTION("""COMPUTED_VALUE"""),"Qualified")</f>
        <v>Qualified</v>
      </c>
      <c r="K170" s="285" t="str">
        <f>IFERROR(__xludf.DUMMYFUNCTION("""COMPUTED_VALUE"""),"ot menjangan-tabuhan")</f>
        <v>ot menjangan-tabuhan</v>
      </c>
      <c r="L170" s="287">
        <f>IFERROR(__xludf.DUMMYFUNCTION("""COMPUTED_VALUE"""),46201.0)</f>
        <v>46201</v>
      </c>
      <c r="M170" s="285">
        <f>IFERROR(__xludf.DUMMYFUNCTION("""COMPUTED_VALUE"""),1.0)</f>
        <v>1</v>
      </c>
      <c r="N170" s="289"/>
      <c r="O170" s="285"/>
      <c r="P170" s="320"/>
      <c r="R170" s="285"/>
      <c r="S170" s="285"/>
      <c r="T170" s="285"/>
      <c r="U170" s="285"/>
      <c r="V170" s="285"/>
      <c r="W170" s="285"/>
      <c r="X170" s="285"/>
      <c r="Y170" s="285"/>
      <c r="Z170" s="285"/>
      <c r="AA170" s="285"/>
      <c r="AC170" s="285" t="str">
        <f>IFERROR(__xludf.DUMMYFUNCTION("""COMPUTED_VALUE"""),"2603A074")</f>
        <v>2603A074</v>
      </c>
      <c r="AD170" s="286">
        <f>IFERROR(__xludf.DUMMYFUNCTION("""COMPUTED_VALUE"""),46104.0)</f>
        <v>46104</v>
      </c>
      <c r="AE170" s="285" t="str">
        <f>IFERROR(__xludf.DUMMYFUNCTION("""COMPUTED_VALUE"""),"Rizal")</f>
        <v>Rizal</v>
      </c>
      <c r="AF170" s="285" t="str">
        <f>IFERROR(__xludf.DUMMYFUNCTION("""COMPUTED_VALUE"""),"08133316528")</f>
        <v>08133316528</v>
      </c>
      <c r="AG170" s="285" t="str">
        <f>IFERROR(__xludf.DUMMYFUNCTION("""COMPUTED_VALUE"""),"Gagal")</f>
        <v>Gagal</v>
      </c>
      <c r="AH170" s="285" t="str">
        <f>IFERROR(__xludf.DUMMYFUNCTION("""COMPUTED_VALUE"""),"3H2M")</f>
        <v>3H2M</v>
      </c>
      <c r="AI170" s="287"/>
      <c r="AJ170" s="285">
        <f>IFERROR(__xludf.DUMMYFUNCTION("""COMPUTED_VALUE"""),2.0)</f>
        <v>2</v>
      </c>
      <c r="AK170" s="289">
        <f>IFERROR(__xludf.DUMMYFUNCTION("""COMPUTED_VALUE"""),4800000.0)</f>
        <v>4800000</v>
      </c>
      <c r="AL170" s="285" t="str">
        <f>IFERROR(__xludf.DUMMYFUNCTION("""COMPUTED_VALUE"""),"centang 1, ga bales lagi")</f>
        <v>centang 1, ga bales lagi</v>
      </c>
    </row>
    <row r="171">
      <c r="F171" s="285" t="str">
        <f>IFERROR(__xludf.DUMMYFUNCTION("""COMPUTED_VALUE"""),"2606A159")</f>
        <v>2606A159</v>
      </c>
      <c r="G171" s="286">
        <f>IFERROR(__xludf.DUMMYFUNCTION("""COMPUTED_VALUE"""),46199.0)</f>
        <v>46199</v>
      </c>
      <c r="H171" s="285" t="str">
        <f>IFERROR(__xludf.DUMMYFUNCTION("""COMPUTED_VALUE"""),"Retno puspo dewi")</f>
        <v>Retno puspo dewi</v>
      </c>
      <c r="I171" s="285" t="str">
        <f>IFERROR(__xludf.DUMMYFUNCTION("""COMPUTED_VALUE"""),"085741929888")</f>
        <v>085741929888</v>
      </c>
      <c r="J171" s="285" t="str">
        <f>IFERROR(__xludf.DUMMYFUNCTION("""COMPUTED_VALUE"""),"Qualified")</f>
        <v>Qualified</v>
      </c>
      <c r="K171" s="285" t="str">
        <f>IFERROR(__xludf.DUMMYFUNCTION("""COMPUTED_VALUE"""),"ot menjangan tabuhan")</f>
        <v>ot menjangan tabuhan</v>
      </c>
      <c r="L171" s="287">
        <f>IFERROR(__xludf.DUMMYFUNCTION("""COMPUTED_VALUE"""),46213.0)</f>
        <v>46213</v>
      </c>
      <c r="M171" s="285">
        <f>IFERROR(__xludf.DUMMYFUNCTION("""COMPUTED_VALUE"""),9.0)</f>
        <v>9</v>
      </c>
      <c r="N171" s="289"/>
      <c r="O171" s="285"/>
      <c r="P171" s="320"/>
      <c r="R171" s="285"/>
      <c r="S171" s="285"/>
      <c r="T171" s="285"/>
      <c r="U171" s="285"/>
      <c r="V171" s="285"/>
      <c r="W171" s="285"/>
      <c r="X171" s="285"/>
      <c r="Y171" s="285"/>
      <c r="Z171" s="285"/>
      <c r="AA171" s="285"/>
      <c r="AC171" s="285" t="str">
        <f>IFERROR(__xludf.DUMMYFUNCTION("""COMPUTED_VALUE"""),"2603A075")</f>
        <v>2603A075</v>
      </c>
      <c r="AD171" s="286">
        <f>IFERROR(__xludf.DUMMYFUNCTION("""COMPUTED_VALUE"""),46104.0)</f>
        <v>46104</v>
      </c>
      <c r="AE171" s="285" t="str">
        <f>IFERROR(__xludf.DUMMYFUNCTION("""COMPUTED_VALUE"""),"Rofik")</f>
        <v>Rofik</v>
      </c>
      <c r="AF171" s="285" t="str">
        <f>IFERROR(__xludf.DUMMYFUNCTION("""COMPUTED_VALUE"""),"081335689977")</f>
        <v>081335689977</v>
      </c>
      <c r="AG171" s="285" t="str">
        <f>IFERROR(__xludf.DUMMYFUNCTION("""COMPUTED_VALUE"""),"Gagal")</f>
        <v>Gagal</v>
      </c>
      <c r="AH171" s="285" t="str">
        <f>IFERROR(__xludf.DUMMYFUNCTION("""COMPUTED_VALUE"""),"Trip Pulau Bedil")</f>
        <v>Trip Pulau Bedil</v>
      </c>
      <c r="AI171" s="287">
        <f>IFERROR(__xludf.DUMMYFUNCTION("""COMPUTED_VALUE"""),46107.0)</f>
        <v>46107</v>
      </c>
      <c r="AJ171" s="285">
        <f>IFERROR(__xludf.DUMMYFUNCTION("""COMPUTED_VALUE"""),4.0)</f>
        <v>4</v>
      </c>
      <c r="AK171" s="289"/>
      <c r="AL171" s="285"/>
    </row>
    <row r="172">
      <c r="F172" s="285" t="str">
        <f>IFERROR(__xludf.DUMMYFUNCTION("""COMPUTED_VALUE"""),"2606A189")</f>
        <v>2606A189</v>
      </c>
      <c r="G172" s="286">
        <f>IFERROR(__xludf.DUMMYFUNCTION("""COMPUTED_VALUE"""),46203.0)</f>
        <v>46203</v>
      </c>
      <c r="H172" s="285" t="str">
        <f>IFERROR(__xludf.DUMMYFUNCTION("""COMPUTED_VALUE"""),"Rheina")</f>
        <v>Rheina</v>
      </c>
      <c r="I172" s="285" t="str">
        <f>IFERROR(__xludf.DUMMYFUNCTION("""COMPUTED_VALUE"""),"087878473633")</f>
        <v>087878473633</v>
      </c>
      <c r="J172" s="285" t="str">
        <f>IFERROR(__xludf.DUMMYFUNCTION("""COMPUTED_VALUE"""),"Qualified")</f>
        <v>Qualified</v>
      </c>
      <c r="K172" s="285" t="str">
        <f>IFERROR(__xludf.DUMMYFUNCTION("""COMPUTED_VALUE"""),"ot 3h2m")</f>
        <v>ot 3h2m</v>
      </c>
      <c r="L172" s="287"/>
      <c r="M172" s="285">
        <f>IFERROR(__xludf.DUMMYFUNCTION("""COMPUTED_VALUE"""),5.0)</f>
        <v>5</v>
      </c>
      <c r="N172" s="289"/>
      <c r="O172" s="285"/>
      <c r="P172" s="320"/>
      <c r="R172" s="285"/>
      <c r="S172" s="285"/>
      <c r="T172" s="285"/>
      <c r="U172" s="285"/>
      <c r="V172" s="285"/>
      <c r="W172" s="285"/>
      <c r="X172" s="285"/>
      <c r="Y172" s="285"/>
      <c r="Z172" s="285"/>
      <c r="AA172" s="285"/>
      <c r="AC172" s="285" t="str">
        <f>IFERROR(__xludf.DUMMYFUNCTION("""COMPUTED_VALUE"""),"2603A076")</f>
        <v>2603A076</v>
      </c>
      <c r="AD172" s="286">
        <f>IFERROR(__xludf.DUMMYFUNCTION("""COMPUTED_VALUE"""),46104.0)</f>
        <v>46104</v>
      </c>
      <c r="AE172" s="285" t="str">
        <f>IFERROR(__xludf.DUMMYFUNCTION("""COMPUTED_VALUE"""),"Fit Ummu Kenzie")</f>
        <v>Fit Ummu Kenzie</v>
      </c>
      <c r="AF172" s="285" t="str">
        <f>IFERROR(__xludf.DUMMYFUNCTION("""COMPUTED_VALUE"""),"081214842048")</f>
        <v>081214842048</v>
      </c>
      <c r="AG172" s="285" t="str">
        <f>IFERROR(__xludf.DUMMYFUNCTION("""COMPUTED_VALUE"""),"Gagal")</f>
        <v>Gagal</v>
      </c>
      <c r="AH172" s="285" t="str">
        <f>IFERROR(__xludf.DUMMYFUNCTION("""COMPUTED_VALUE"""),"Dj, TN B")</f>
        <v>Dj, TN B</v>
      </c>
      <c r="AI172" s="287"/>
      <c r="AJ172" s="285">
        <f>IFERROR(__xludf.DUMMYFUNCTION("""COMPUTED_VALUE"""),3.0)</f>
        <v>3</v>
      </c>
      <c r="AK172" s="289"/>
      <c r="AL172" s="285" t="str">
        <f>IFERROR(__xludf.DUMMYFUNCTION("""COMPUTED_VALUE"""),"hanya menyapa")</f>
        <v>hanya menyapa</v>
      </c>
    </row>
    <row r="173">
      <c r="F173" s="285" t="str">
        <f>IFERROR(__xludf.DUMMYFUNCTION("""COMPUTED_VALUE"""),"2607A010")</f>
        <v>2607A010</v>
      </c>
      <c r="G173" s="286">
        <f>IFERROR(__xludf.DUMMYFUNCTION("""COMPUTED_VALUE"""),46204.0)</f>
        <v>46204</v>
      </c>
      <c r="H173" s="285" t="str">
        <f>IFERROR(__xludf.DUMMYFUNCTION("""COMPUTED_VALUE"""),"Maya louise")</f>
        <v>Maya louise</v>
      </c>
      <c r="I173" s="285" t="str">
        <f>IFERROR(__xludf.DUMMYFUNCTION("""COMPUTED_VALUE"""),"082117667550")</f>
        <v>082117667550</v>
      </c>
      <c r="J173" s="285" t="str">
        <f>IFERROR(__xludf.DUMMYFUNCTION("""COMPUTED_VALUE"""),"Qualified")</f>
        <v>Qualified</v>
      </c>
      <c r="K173" s="285" t="str">
        <f>IFERROR(__xludf.DUMMYFUNCTION("""COMPUTED_VALUE"""),"3h2m")</f>
        <v>3h2m</v>
      </c>
      <c r="L173" s="287"/>
      <c r="M173" s="285"/>
      <c r="N173" s="289"/>
      <c r="O173" s="285"/>
      <c r="P173" s="320"/>
      <c r="R173" s="285"/>
      <c r="S173" s="285"/>
      <c r="T173" s="285"/>
      <c r="U173" s="285"/>
      <c r="V173" s="285"/>
      <c r="W173" s="285"/>
      <c r="X173" s="285"/>
      <c r="Y173" s="285"/>
      <c r="Z173" s="285"/>
      <c r="AA173" s="285"/>
      <c r="AC173" s="285" t="str">
        <f>IFERROR(__xludf.DUMMYFUNCTION("""COMPUTED_VALUE"""),"2603A077")</f>
        <v>2603A077</v>
      </c>
      <c r="AD173" s="286">
        <f>IFERROR(__xludf.DUMMYFUNCTION("""COMPUTED_VALUE"""),46104.0)</f>
        <v>46104</v>
      </c>
      <c r="AE173" s="285" t="str">
        <f>IFERROR(__xludf.DUMMYFUNCTION("""COMPUTED_VALUE"""),"Dimas Bimayakti")</f>
        <v>Dimas Bimayakti</v>
      </c>
      <c r="AF173" s="285" t="str">
        <f>IFERROR(__xludf.DUMMYFUNCTION("""COMPUTED_VALUE"""),"081233350666")</f>
        <v>081233350666</v>
      </c>
      <c r="AG173" s="285" t="str">
        <f>IFERROR(__xludf.DUMMYFUNCTION("""COMPUTED_VALUE"""),"Gagal")</f>
        <v>Gagal</v>
      </c>
      <c r="AH173" s="285"/>
      <c r="AI173" s="287"/>
      <c r="AJ173" s="285"/>
      <c r="AK173" s="289"/>
      <c r="AL173" s="285" t="str">
        <f>IFERROR(__xludf.DUMMYFUNCTION("""COMPUTED_VALUE"""),"hanya menyapa")</f>
        <v>hanya menyapa</v>
      </c>
    </row>
    <row r="174">
      <c r="F174" s="285" t="str">
        <f>IFERROR(__xludf.DUMMYFUNCTION("""COMPUTED_VALUE"""),"2607A027")</f>
        <v>2607A027</v>
      </c>
      <c r="G174" s="286">
        <f>IFERROR(__xludf.DUMMYFUNCTION("""COMPUTED_VALUE"""),46206.0)</f>
        <v>46206</v>
      </c>
      <c r="H174" s="285" t="str">
        <f>IFERROR(__xludf.DUMMYFUNCTION("""COMPUTED_VALUE"""),"Bella Fahillah")</f>
        <v>Bella Fahillah</v>
      </c>
      <c r="I174" s="285" t="str">
        <f>IFERROR(__xludf.DUMMYFUNCTION("""COMPUTED_VALUE"""),"081319895179")</f>
        <v>081319895179</v>
      </c>
      <c r="J174" s="285" t="str">
        <f>IFERROR(__xludf.DUMMYFUNCTION("""COMPUTED_VALUE"""),"Qualified")</f>
        <v>Qualified</v>
      </c>
      <c r="K174" s="285" t="str">
        <f>IFERROR(__xludf.DUMMYFUNCTION("""COMPUTED_VALUE"""),"ot 3h2m")</f>
        <v>ot 3h2m</v>
      </c>
      <c r="L174" s="287"/>
      <c r="M174" s="285">
        <f>IFERROR(__xludf.DUMMYFUNCTION("""COMPUTED_VALUE"""),2.0)</f>
        <v>2</v>
      </c>
      <c r="N174" s="289">
        <f>IFERROR(__xludf.DUMMYFUNCTION("""COMPUTED_VALUE"""),3200000.0)</f>
        <v>3200000</v>
      </c>
      <c r="O174" s="285"/>
      <c r="P174" s="320"/>
      <c r="R174" s="285"/>
      <c r="S174" s="285"/>
      <c r="T174" s="285"/>
      <c r="U174" s="285"/>
      <c r="V174" s="285"/>
      <c r="W174" s="285"/>
      <c r="X174" s="285"/>
      <c r="Y174" s="285"/>
      <c r="Z174" s="285"/>
      <c r="AA174" s="285"/>
      <c r="AC174" s="285" t="str">
        <f>IFERROR(__xludf.DUMMYFUNCTION("""COMPUTED_VALUE"""),"2603A078")</f>
        <v>2603A078</v>
      </c>
      <c r="AD174" s="286">
        <f>IFERROR(__xludf.DUMMYFUNCTION("""COMPUTED_VALUE"""),46104.0)</f>
        <v>46104</v>
      </c>
      <c r="AE174" s="285" t="str">
        <f>IFERROR(__xludf.DUMMYFUNCTION("""COMPUTED_VALUE"""),"Nosi")</f>
        <v>Nosi</v>
      </c>
      <c r="AF174" s="285" t="str">
        <f>IFERROR(__xludf.DUMMYFUNCTION("""COMPUTED_VALUE"""),"085808356934")</f>
        <v>085808356934</v>
      </c>
      <c r="AG174" s="285" t="str">
        <f>IFERROR(__xludf.DUMMYFUNCTION("""COMPUTED_VALUE"""),"Gagal")</f>
        <v>Gagal</v>
      </c>
      <c r="AH174" s="285" t="str">
        <f>IFERROR(__xludf.DUMMYFUNCTION("""COMPUTED_VALUE"""),"OT 3H2M")</f>
        <v>OT 3H2M</v>
      </c>
      <c r="AI174" s="287"/>
      <c r="AJ174" s="285">
        <f>IFERROR(__xludf.DUMMYFUNCTION("""COMPUTED_VALUE"""),3.0)</f>
        <v>3</v>
      </c>
      <c r="AK174" s="289">
        <f>IFERROR(__xludf.DUMMYFUNCTION("""COMPUTED_VALUE"""),4800000.0)</f>
        <v>4800000</v>
      </c>
      <c r="AL174" s="285" t="str">
        <f>IFERROR(__xludf.DUMMYFUNCTION("""COMPUTED_VALUE"""),"diskusi tanggal, fu mei")</f>
        <v>diskusi tanggal, fu mei</v>
      </c>
    </row>
    <row r="175">
      <c r="F175" s="285" t="str">
        <f>IFERROR(__xludf.DUMMYFUNCTION("""COMPUTED_VALUE"""),"2607A036")</f>
        <v>2607A036</v>
      </c>
      <c r="G175" s="286">
        <f>IFERROR(__xludf.DUMMYFUNCTION("""COMPUTED_VALUE"""),46207.0)</f>
        <v>46207</v>
      </c>
      <c r="H175" s="285" t="str">
        <f>IFERROR(__xludf.DUMMYFUNCTION("""COMPUTED_VALUE"""),"Tri Asti")</f>
        <v>Tri Asti</v>
      </c>
      <c r="I175" s="285" t="str">
        <f>IFERROR(__xludf.DUMMYFUNCTION("""COMPUTED_VALUE"""),"085704142819")</f>
        <v>085704142819</v>
      </c>
      <c r="J175" s="285" t="str">
        <f>IFERROR(__xludf.DUMMYFUNCTION("""COMPUTED_VALUE"""),"Qualified")</f>
        <v>Qualified</v>
      </c>
      <c r="K175" s="285" t="str">
        <f>IFERROR(__xludf.DUMMYFUNCTION("""COMPUTED_VALUE"""),"ot mt")</f>
        <v>ot mt</v>
      </c>
      <c r="L175" s="287">
        <f>IFERROR(__xludf.DUMMYFUNCTION("""COMPUTED_VALUE"""),46249.0)</f>
        <v>46249</v>
      </c>
      <c r="M175" s="285">
        <f>IFERROR(__xludf.DUMMYFUNCTION("""COMPUTED_VALUE"""),100.0)</f>
        <v>100</v>
      </c>
      <c r="N175" s="289"/>
      <c r="O175" s="285"/>
      <c r="P175" s="320"/>
      <c r="R175" s="285"/>
      <c r="S175" s="285"/>
      <c r="T175" s="285"/>
      <c r="U175" s="285"/>
      <c r="V175" s="285"/>
      <c r="W175" s="285"/>
      <c r="X175" s="285"/>
      <c r="Y175" s="285"/>
      <c r="Z175" s="285"/>
      <c r="AA175" s="285"/>
      <c r="AC175" s="285" t="str">
        <f>IFERROR(__xludf.DUMMYFUNCTION("""COMPUTED_VALUE"""),"2603A079")</f>
        <v>2603A079</v>
      </c>
      <c r="AD175" s="286">
        <f>IFERROR(__xludf.DUMMYFUNCTION("""COMPUTED_VALUE"""),46104.0)</f>
        <v>46104</v>
      </c>
      <c r="AE175" s="285" t="str">
        <f>IFERROR(__xludf.DUMMYFUNCTION("""COMPUTED_VALUE"""),"Gita")</f>
        <v>Gita</v>
      </c>
      <c r="AF175" s="285" t="str">
        <f>IFERROR(__xludf.DUMMYFUNCTION("""COMPUTED_VALUE"""),"081385759664")</f>
        <v>081385759664</v>
      </c>
      <c r="AG175" s="285" t="str">
        <f>IFERROR(__xludf.DUMMYFUNCTION("""COMPUTED_VALUE"""),"Gagal")</f>
        <v>Gagal</v>
      </c>
      <c r="AH175" s="285" t="str">
        <f>IFERROR(__xludf.DUMMYFUNCTION("""COMPUTED_VALUE"""),"Ijen, Tn B")</f>
        <v>Ijen, Tn B</v>
      </c>
      <c r="AI175" s="287"/>
      <c r="AJ175" s="285">
        <f>IFERROR(__xludf.DUMMYFUNCTION("""COMPUTED_VALUE"""),46114.0)</f>
        <v>46114</v>
      </c>
      <c r="AK175" s="289"/>
      <c r="AL175" s="285" t="str">
        <f>IFERROR(__xludf.DUMMYFUNCTION("""COMPUTED_VALUE"""),"tidak ada jawaban")</f>
        <v>tidak ada jawaban</v>
      </c>
    </row>
    <row r="176">
      <c r="F176" s="285" t="str">
        <f>IFERROR(__xludf.DUMMYFUNCTION("""COMPUTED_VALUE"""),"2607A037")</f>
        <v>2607A037</v>
      </c>
      <c r="G176" s="286">
        <f>IFERROR(__xludf.DUMMYFUNCTION("""COMPUTED_VALUE"""),46205.0)</f>
        <v>46205</v>
      </c>
      <c r="H176" s="285" t="str">
        <f>IFERROR(__xludf.DUMMYFUNCTION("""COMPUTED_VALUE"""),"Raditya Hadi")</f>
        <v>Raditya Hadi</v>
      </c>
      <c r="I176" s="285" t="str">
        <f>IFERROR(__xludf.DUMMYFUNCTION("""COMPUTED_VALUE"""),"089669300224")</f>
        <v>089669300224</v>
      </c>
      <c r="J176" s="285" t="str">
        <f>IFERROR(__xludf.DUMMYFUNCTION("""COMPUTED_VALUE"""),"Qualified")</f>
        <v>Qualified</v>
      </c>
      <c r="K176" s="285" t="str">
        <f>IFERROR(__xludf.DUMMYFUNCTION("""COMPUTED_VALUE"""),"3h2m custom")</f>
        <v>3h2m custom</v>
      </c>
      <c r="L176" s="287">
        <f>IFERROR(__xludf.DUMMYFUNCTION("""COMPUTED_VALUE"""),46247.0)</f>
        <v>46247</v>
      </c>
      <c r="M176" s="285">
        <f>IFERROR(__xludf.DUMMYFUNCTION("""COMPUTED_VALUE"""),2.0)</f>
        <v>2</v>
      </c>
      <c r="N176" s="289"/>
      <c r="O176" s="285" t="str">
        <f>IFERROR(__xludf.DUMMYFUNCTION("""COMPUTED_VALUE"""),"fu 1 gustus")</f>
        <v>fu 1 gustus</v>
      </c>
      <c r="P176" s="320"/>
      <c r="R176" s="285"/>
      <c r="S176" s="285"/>
      <c r="T176" s="285"/>
      <c r="U176" s="285"/>
      <c r="V176" s="285"/>
      <c r="W176" s="285"/>
      <c r="X176" s="285"/>
      <c r="Y176" s="285"/>
      <c r="Z176" s="285"/>
      <c r="AA176" s="285"/>
      <c r="AC176" s="285" t="str">
        <f>IFERROR(__xludf.DUMMYFUNCTION("""COMPUTED_VALUE"""),"2603A080")</f>
        <v>2603A080</v>
      </c>
      <c r="AD176" s="286">
        <f>IFERROR(__xludf.DUMMYFUNCTION("""COMPUTED_VALUE"""),46105.0)</f>
        <v>46105</v>
      </c>
      <c r="AE176" s="285" t="str">
        <f>IFERROR(__xludf.DUMMYFUNCTION("""COMPUTED_VALUE"""),"Willy")</f>
        <v>Willy</v>
      </c>
      <c r="AF176" s="285" t="str">
        <f>IFERROR(__xludf.DUMMYFUNCTION("""COMPUTED_VALUE"""),"083109605882")</f>
        <v>083109605882</v>
      </c>
      <c r="AG176" s="285" t="str">
        <f>IFERROR(__xludf.DUMMYFUNCTION("""COMPUTED_VALUE"""),"Gagal")</f>
        <v>Gagal</v>
      </c>
      <c r="AH176" s="285" t="str">
        <f>IFERROR(__xludf.DUMMYFUNCTION("""COMPUTED_VALUE"""),"3H2M")</f>
        <v>3H2M</v>
      </c>
      <c r="AI176" s="287"/>
      <c r="AJ176" s="285">
        <f>IFERROR(__xludf.DUMMYFUNCTION("""COMPUTED_VALUE"""),2.0)</f>
        <v>2</v>
      </c>
      <c r="AK176" s="289"/>
      <c r="AL176" s="285" t="str">
        <f>IFERROR(__xludf.DUMMYFUNCTION("""COMPUTED_VALUE"""),"ga bales lagi")</f>
        <v>ga bales lagi</v>
      </c>
    </row>
    <row r="177">
      <c r="F177" s="285" t="str">
        <f>IFERROR(__xludf.DUMMYFUNCTION("""COMPUTED_VALUE"""),"2607A053")</f>
        <v>2607A053</v>
      </c>
      <c r="G177" s="286">
        <f>IFERROR(__xludf.DUMMYFUNCTION("""COMPUTED_VALUE"""),46210.0)</f>
        <v>46210</v>
      </c>
      <c r="H177" s="285" t="str">
        <f>IFERROR(__xludf.DUMMYFUNCTION("""COMPUTED_VALUE"""),"Ryo")</f>
        <v>Ryo</v>
      </c>
      <c r="I177" s="285" t="str">
        <f>IFERROR(__xludf.DUMMYFUNCTION("""COMPUTED_VALUE"""),"08170929888")</f>
        <v>08170929888</v>
      </c>
      <c r="J177" s="285" t="str">
        <f>IFERROR(__xludf.DUMMYFUNCTION("""COMPUTED_VALUE"""),"Qualified")</f>
        <v>Qualified</v>
      </c>
      <c r="K177" s="285" t="str">
        <f>IFERROR(__xludf.DUMMYFUNCTION("""COMPUTED_VALUE"""),"ot mt, ot kawah ijen")</f>
        <v>ot mt, ot kawah ijen</v>
      </c>
      <c r="L177" s="287"/>
      <c r="M177" s="285"/>
      <c r="N177" s="289"/>
      <c r="O177" s="285"/>
      <c r="P177" s="320"/>
      <c r="R177" s="285"/>
      <c r="S177" s="285"/>
      <c r="T177" s="285"/>
      <c r="U177" s="285"/>
      <c r="V177" s="285"/>
      <c r="W177" s="285"/>
      <c r="X177" s="285"/>
      <c r="Y177" s="285"/>
      <c r="Z177" s="285"/>
      <c r="AA177" s="285"/>
      <c r="AC177" s="285" t="str">
        <f>IFERROR(__xludf.DUMMYFUNCTION("""COMPUTED_VALUE"""),"2603A083")</f>
        <v>2603A083</v>
      </c>
      <c r="AD177" s="286">
        <f>IFERROR(__xludf.DUMMYFUNCTION("""COMPUTED_VALUE"""),46105.0)</f>
        <v>46105</v>
      </c>
      <c r="AE177" s="285" t="str">
        <f>IFERROR(__xludf.DUMMYFUNCTION("""COMPUTED_VALUE"""),"Jerick")</f>
        <v>Jerick</v>
      </c>
      <c r="AF177" s="285" t="str">
        <f>IFERROR(__xludf.DUMMYFUNCTION("""COMPUTED_VALUE"""),"081227576654")</f>
        <v>081227576654</v>
      </c>
      <c r="AG177" s="285" t="str">
        <f>IFERROR(__xludf.DUMMYFUNCTION("""COMPUTED_VALUE"""),"Gagal")</f>
        <v>Gagal</v>
      </c>
      <c r="AH177" s="285" t="str">
        <f>IFERROR(__xludf.DUMMYFUNCTION("""COMPUTED_VALUE"""),"2H1M")</f>
        <v>2H1M</v>
      </c>
      <c r="AI177" s="287"/>
      <c r="AJ177" s="285">
        <f>IFERROR(__xludf.DUMMYFUNCTION("""COMPUTED_VALUE"""),3.0)</f>
        <v>3</v>
      </c>
      <c r="AK177" s="289"/>
      <c r="AL177" s="285"/>
    </row>
    <row r="178">
      <c r="F178" s="285" t="str">
        <f>IFERROR(__xludf.DUMMYFUNCTION("""COMPUTED_VALUE"""),"2607A060")</f>
        <v>2607A060</v>
      </c>
      <c r="G178" s="286">
        <f>IFERROR(__xludf.DUMMYFUNCTION("""COMPUTED_VALUE"""),46211.0)</f>
        <v>46211</v>
      </c>
      <c r="H178" s="285" t="str">
        <f>IFERROR(__xludf.DUMMYFUNCTION("""COMPUTED_VALUE"""),"Arif")</f>
        <v>Arif</v>
      </c>
      <c r="I178" s="285" t="str">
        <f>IFERROR(__xludf.DUMMYFUNCTION("""COMPUTED_VALUE"""),"085156825258")</f>
        <v>085156825258</v>
      </c>
      <c r="J178" s="285" t="str">
        <f>IFERROR(__xludf.DUMMYFUNCTION("""COMPUTED_VALUE"""),"Qualified")</f>
        <v>Qualified</v>
      </c>
      <c r="K178" s="285" t="str">
        <f>IFERROR(__xludf.DUMMYFUNCTION("""COMPUTED_VALUE"""),"2h1m")</f>
        <v>2h1m</v>
      </c>
      <c r="L178" s="287"/>
      <c r="M178" s="285"/>
      <c r="N178" s="289"/>
      <c r="O178" s="285"/>
      <c r="P178" s="320"/>
      <c r="R178" s="285"/>
      <c r="S178" s="285"/>
      <c r="T178" s="285"/>
      <c r="U178" s="285"/>
      <c r="V178" s="285"/>
      <c r="W178" s="285"/>
      <c r="X178" s="285"/>
      <c r="Y178" s="285"/>
      <c r="Z178" s="285"/>
      <c r="AA178" s="285"/>
      <c r="AC178" s="285" t="str">
        <f>IFERROR(__xludf.DUMMYFUNCTION("""COMPUTED_VALUE"""),"2603A084")</f>
        <v>2603A084</v>
      </c>
      <c r="AD178" s="286">
        <f>IFERROR(__xludf.DUMMYFUNCTION("""COMPUTED_VALUE"""),46105.0)</f>
        <v>46105</v>
      </c>
      <c r="AE178" s="285" t="str">
        <f>IFERROR(__xludf.DUMMYFUNCTION("""COMPUTED_VALUE"""),"Citra")</f>
        <v>Citra</v>
      </c>
      <c r="AF178" s="285" t="str">
        <f>IFERROR(__xludf.DUMMYFUNCTION("""COMPUTED_VALUE"""),"085179972674")</f>
        <v>085179972674</v>
      </c>
      <c r="AG178" s="285" t="str">
        <f>IFERROR(__xludf.DUMMYFUNCTION("""COMPUTED_VALUE"""),"Gagal")</f>
        <v>Gagal</v>
      </c>
      <c r="AH178" s="285"/>
      <c r="AI178" s="287"/>
      <c r="AJ178" s="285"/>
      <c r="AK178" s="289"/>
      <c r="AL178" s="285" t="str">
        <f>IFERROR(__xludf.DUMMYFUNCTION("""COMPUTED_VALUE"""),"ga bales lagi")</f>
        <v>ga bales lagi</v>
      </c>
    </row>
    <row r="179">
      <c r="F179" s="285" t="str">
        <f>IFERROR(__xludf.DUMMYFUNCTION("""COMPUTED_VALUE"""),"2607A075")</f>
        <v>2607A075</v>
      </c>
      <c r="G179" s="286">
        <f>IFERROR(__xludf.DUMMYFUNCTION("""COMPUTED_VALUE"""),46211.0)</f>
        <v>46211</v>
      </c>
      <c r="H179" s="285" t="str">
        <f>IFERROR(__xludf.DUMMYFUNCTION("""COMPUTED_VALUE"""),"Anggita")</f>
        <v>Anggita</v>
      </c>
      <c r="I179" s="285" t="str">
        <f>IFERROR(__xludf.DUMMYFUNCTION("""COMPUTED_VALUE"""),"089633806802")</f>
        <v>089633806802</v>
      </c>
      <c r="J179" s="285" t="str">
        <f>IFERROR(__xludf.DUMMYFUNCTION("""COMPUTED_VALUE"""),"Qualified")</f>
        <v>Qualified</v>
      </c>
      <c r="K179" s="285" t="str">
        <f>IFERROR(__xludf.DUMMYFUNCTION("""COMPUTED_VALUE"""),"ot 3h2m")</f>
        <v>ot 3h2m</v>
      </c>
      <c r="L179" s="287"/>
      <c r="M179" s="285">
        <f>IFERROR(__xludf.DUMMYFUNCTION("""COMPUTED_VALUE"""),2.0)</f>
        <v>2</v>
      </c>
      <c r="N179" s="289">
        <f>IFERROR(__xludf.DUMMYFUNCTION("""COMPUTED_VALUE"""),3200000.0)</f>
        <v>3200000</v>
      </c>
      <c r="O179" s="285" t="str">
        <f>IFERROR(__xludf.DUMMYFUNCTION("""COMPUTED_VALUE"""),"fu 1 november")</f>
        <v>fu 1 november</v>
      </c>
      <c r="P179" s="320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C179" s="285" t="str">
        <f>IFERROR(__xludf.DUMMYFUNCTION("""COMPUTED_VALUE"""),"2603A085")</f>
        <v>2603A085</v>
      </c>
      <c r="AD179" s="286">
        <f>IFERROR(__xludf.DUMMYFUNCTION("""COMPUTED_VALUE"""),46105.0)</f>
        <v>46105</v>
      </c>
      <c r="AE179" s="285" t="str">
        <f>IFERROR(__xludf.DUMMYFUNCTION("""COMPUTED_VALUE"""),"Eas")</f>
        <v>Eas</v>
      </c>
      <c r="AF179" s="285" t="str">
        <f>IFERROR(__xludf.DUMMYFUNCTION("""COMPUTED_VALUE"""),"088227226909")</f>
        <v>088227226909</v>
      </c>
      <c r="AG179" s="285" t="str">
        <f>IFERROR(__xludf.DUMMYFUNCTION("""COMPUTED_VALUE"""),"Gagal")</f>
        <v>Gagal</v>
      </c>
      <c r="AH179" s="285" t="str">
        <f>IFERROR(__xludf.DUMMYFUNCTION("""COMPUTED_VALUE"""),"OT 3H2M")</f>
        <v>OT 3H2M</v>
      </c>
      <c r="AI179" s="287"/>
      <c r="AJ179" s="285">
        <f>IFERROR(__xludf.DUMMYFUNCTION("""COMPUTED_VALUE"""),46083.0)</f>
        <v>46083</v>
      </c>
      <c r="AK179" s="289">
        <f>IFERROR(__xludf.DUMMYFUNCTION("""COMPUTED_VALUE"""),1600000.0)</f>
        <v>1600000</v>
      </c>
      <c r="AL179" s="285" t="str">
        <f>IFERROR(__xludf.DUMMYFUNCTION("""COMPUTED_VALUE"""),"belum ada balasan")</f>
        <v>belum ada balasan</v>
      </c>
    </row>
    <row r="180">
      <c r="F180" s="285" t="str">
        <f>IFERROR(__xludf.DUMMYFUNCTION("""COMPUTED_VALUE"""),"2607A082")</f>
        <v>2607A082</v>
      </c>
      <c r="G180" s="286">
        <f>IFERROR(__xludf.DUMMYFUNCTION("""COMPUTED_VALUE"""),46214.0)</f>
        <v>46214</v>
      </c>
      <c r="H180" s="285" t="str">
        <f>IFERROR(__xludf.DUMMYFUNCTION("""COMPUTED_VALUE"""),"Angle")</f>
        <v>Angle</v>
      </c>
      <c r="I180" s="285" t="str">
        <f>IFERROR(__xludf.DUMMYFUNCTION("""COMPUTED_VALUE"""),"082199531598")</f>
        <v>082199531598</v>
      </c>
      <c r="J180" s="285" t="str">
        <f>IFERROR(__xludf.DUMMYFUNCTION("""COMPUTED_VALUE"""),"Qualified")</f>
        <v>Qualified</v>
      </c>
      <c r="K180" s="285" t="str">
        <f>IFERROR(__xludf.DUMMYFUNCTION("""COMPUTED_VALUE"""),"3h2m")</f>
        <v>3h2m</v>
      </c>
      <c r="L180" s="287">
        <f>IFERROR(__xludf.DUMMYFUNCTION("""COMPUTED_VALUE"""),46225.0)</f>
        <v>46225</v>
      </c>
      <c r="M180" s="285">
        <f>IFERROR(__xludf.DUMMYFUNCTION("""COMPUTED_VALUE"""),5.0)</f>
        <v>5</v>
      </c>
      <c r="N180" s="289"/>
      <c r="O180" s="285"/>
      <c r="P180" s="320"/>
      <c r="R180" s="285"/>
      <c r="S180" s="285"/>
      <c r="T180" s="285"/>
      <c r="U180" s="285"/>
      <c r="V180" s="285"/>
      <c r="W180" s="285"/>
      <c r="X180" s="285"/>
      <c r="Y180" s="285"/>
      <c r="Z180" s="285"/>
      <c r="AA180" s="285"/>
      <c r="AC180" s="285" t="str">
        <f>IFERROR(__xludf.DUMMYFUNCTION("""COMPUTED_VALUE"""),"2603A086")</f>
        <v>2603A086</v>
      </c>
      <c r="AD180" s="286">
        <f>IFERROR(__xludf.DUMMYFUNCTION("""COMPUTED_VALUE"""),46105.0)</f>
        <v>46105</v>
      </c>
      <c r="AE180" s="285" t="str">
        <f>IFERROR(__xludf.DUMMYFUNCTION("""COMPUTED_VALUE"""),"Maulana")</f>
        <v>Maulana</v>
      </c>
      <c r="AF180" s="285" t="str">
        <f>IFERROR(__xludf.DUMMYFUNCTION("""COMPUTED_VALUE"""),"085159991579‬")</f>
        <v>085159991579‬</v>
      </c>
      <c r="AG180" s="285" t="str">
        <f>IFERROR(__xludf.DUMMYFUNCTION("""COMPUTED_VALUE"""),"Gagal")</f>
        <v>Gagal</v>
      </c>
      <c r="AH180" s="285" t="str">
        <f>IFERROR(__xludf.DUMMYFUNCTION("""COMPUTED_VALUE"""),"2H1M")</f>
        <v>2H1M</v>
      </c>
      <c r="AI180" s="287"/>
      <c r="AJ180" s="285">
        <f>IFERROR(__xludf.DUMMYFUNCTION("""COMPUTED_VALUE"""),15.0)</f>
        <v>15</v>
      </c>
      <c r="AK180" s="289">
        <f>IFERROR(__xludf.DUMMYFUNCTION("""COMPUTED_VALUE"""),1.125E7)</f>
        <v>11250000</v>
      </c>
      <c r="AL180" s="285" t="str">
        <f>IFERROR(__xludf.DUMMYFUNCTION("""COMPUTED_VALUE"""),"tidak ada balasan")</f>
        <v>tidak ada balasan</v>
      </c>
    </row>
    <row r="181">
      <c r="F181" s="285" t="str">
        <f>IFERROR(__xludf.DUMMYFUNCTION("""COMPUTED_VALUE"""),"2607A088")</f>
        <v>2607A088</v>
      </c>
      <c r="G181" s="286">
        <f>IFERROR(__xludf.DUMMYFUNCTION("""COMPUTED_VALUE"""),46217.0)</f>
        <v>46217</v>
      </c>
      <c r="H181" s="285" t="str">
        <f>IFERROR(__xludf.DUMMYFUNCTION("""COMPUTED_VALUE"""),"Lindhuet")</f>
        <v>Lindhuet</v>
      </c>
      <c r="I181" s="285" t="str">
        <f>IFERROR(__xludf.DUMMYFUNCTION("""COMPUTED_VALUE"""),"082136993306")</f>
        <v>082136993306</v>
      </c>
      <c r="J181" s="285" t="str">
        <f>IFERROR(__xludf.DUMMYFUNCTION("""COMPUTED_VALUE"""),"Qualified")</f>
        <v>Qualified</v>
      </c>
      <c r="K181" s="285" t="str">
        <f>IFERROR(__xludf.DUMMYFUNCTION("""COMPUTED_VALUE"""),"3h2m")</f>
        <v>3h2m</v>
      </c>
      <c r="L181" s="287"/>
      <c r="M181" s="285">
        <f>IFERROR(__xludf.DUMMYFUNCTION("""COMPUTED_VALUE"""),4.0)</f>
        <v>4</v>
      </c>
      <c r="N181" s="289">
        <f>IFERROR(__xludf.DUMMYFUNCTION("""COMPUTED_VALUE"""),6808000.0)</f>
        <v>6808000</v>
      </c>
      <c r="O181" s="285" t="str">
        <f>IFERROR(__xludf.DUMMYFUNCTION("""COMPUTED_VALUE"""),"fu 5 november")</f>
        <v>fu 5 november</v>
      </c>
      <c r="P181" s="320"/>
      <c r="R181" s="285"/>
      <c r="S181" s="285"/>
      <c r="T181" s="285"/>
      <c r="U181" s="285"/>
      <c r="V181" s="285"/>
      <c r="W181" s="285"/>
      <c r="X181" s="285"/>
      <c r="Y181" s="285"/>
      <c r="Z181" s="285"/>
      <c r="AA181" s="285"/>
      <c r="AC181" s="285" t="str">
        <f>IFERROR(__xludf.DUMMYFUNCTION("""COMPUTED_VALUE"""),"2603A087")</f>
        <v>2603A087</v>
      </c>
      <c r="AD181" s="286">
        <f>IFERROR(__xludf.DUMMYFUNCTION("""COMPUTED_VALUE"""),46105.0)</f>
        <v>46105</v>
      </c>
      <c r="AE181" s="285" t="str">
        <f>IFERROR(__xludf.DUMMYFUNCTION("""COMPUTED_VALUE"""),"Hasan")</f>
        <v>Hasan</v>
      </c>
      <c r="AF181" s="285" t="str">
        <f>IFERROR(__xludf.DUMMYFUNCTION("""COMPUTED_VALUE"""),"081515607686")</f>
        <v>081515607686</v>
      </c>
      <c r="AG181" s="285" t="str">
        <f>IFERROR(__xludf.DUMMYFUNCTION("""COMPUTED_VALUE"""),"Gagal")</f>
        <v>Gagal</v>
      </c>
      <c r="AH181" s="285"/>
      <c r="AI181" s="287"/>
      <c r="AJ181" s="285"/>
      <c r="AK181" s="289"/>
      <c r="AL181" s="285" t="str">
        <f>IFERROR(__xludf.DUMMYFUNCTION("""COMPUTED_VALUE"""),"hanya menyapa")</f>
        <v>hanya menyapa</v>
      </c>
    </row>
    <row r="182">
      <c r="F182" s="285" t="str">
        <f>IFERROR(__xludf.DUMMYFUNCTION("""COMPUTED_VALUE"""),"2607A092")</f>
        <v>2607A092</v>
      </c>
      <c r="G182" s="286">
        <f>IFERROR(__xludf.DUMMYFUNCTION("""COMPUTED_VALUE"""),46217.0)</f>
        <v>46217</v>
      </c>
      <c r="H182" s="285" t="str">
        <f>IFERROR(__xludf.DUMMYFUNCTION("""COMPUTED_VALUE"""),"Yohana Alfine")</f>
        <v>Yohana Alfine</v>
      </c>
      <c r="I182" s="285" t="str">
        <f>IFERROR(__xludf.DUMMYFUNCTION("""COMPUTED_VALUE"""),"085133290757")</f>
        <v>085133290757</v>
      </c>
      <c r="J182" s="285" t="str">
        <f>IFERROR(__xludf.DUMMYFUNCTION("""COMPUTED_VALUE"""),"Qualified")</f>
        <v>Qualified</v>
      </c>
      <c r="K182" s="285" t="str">
        <f>IFERROR(__xludf.DUMMYFUNCTION("""COMPUTED_VALUE"""),"2h1m custom")</f>
        <v>2h1m custom</v>
      </c>
      <c r="L182" s="287"/>
      <c r="M182" s="285">
        <f>IFERROR(__xludf.DUMMYFUNCTION("""COMPUTED_VALUE"""),6.0)</f>
        <v>6</v>
      </c>
      <c r="N182" s="289">
        <f>IFERROR(__xludf.DUMMYFUNCTION("""COMPUTED_VALUE"""),6120000.0)</f>
        <v>6120000</v>
      </c>
      <c r="O182" s="285" t="str">
        <f>IFERROR(__xludf.DUMMYFUNCTION("""COMPUTED_VALUE"""),"fu 18 Juli")</f>
        <v>fu 18 Juli</v>
      </c>
      <c r="P182" s="320"/>
      <c r="R182" s="285"/>
      <c r="S182" s="285"/>
      <c r="T182" s="285"/>
      <c r="U182" s="285"/>
      <c r="V182" s="285"/>
      <c r="W182" s="285"/>
      <c r="X182" s="285"/>
      <c r="Y182" s="285"/>
      <c r="Z182" s="285"/>
      <c r="AA182" s="285"/>
      <c r="AC182" s="285" t="str">
        <f>IFERROR(__xludf.DUMMYFUNCTION("""COMPUTED_VALUE"""),"2603A088")</f>
        <v>2603A088</v>
      </c>
      <c r="AD182" s="286">
        <f>IFERROR(__xludf.DUMMYFUNCTION("""COMPUTED_VALUE"""),46106.0)</f>
        <v>46106</v>
      </c>
      <c r="AE182" s="285" t="str">
        <f>IFERROR(__xludf.DUMMYFUNCTION("""COMPUTED_VALUE"""),"Ima")</f>
        <v>Ima</v>
      </c>
      <c r="AF182" s="285" t="str">
        <f>IFERROR(__xludf.DUMMYFUNCTION("""COMPUTED_VALUE"""),"13654803212")</f>
        <v>13654803212</v>
      </c>
      <c r="AG182" s="285" t="str">
        <f>IFERROR(__xludf.DUMMYFUNCTION("""COMPUTED_VALUE"""),"Gagal")</f>
        <v>Gagal</v>
      </c>
      <c r="AH182" s="285" t="str">
        <f>IFERROR(__xludf.DUMMYFUNCTION("""COMPUTED_VALUE"""),"1D trip B")</f>
        <v>1D trip B</v>
      </c>
      <c r="AI182" s="287"/>
      <c r="AJ182" s="285"/>
      <c r="AK182" s="289"/>
      <c r="AL182" s="285"/>
    </row>
    <row r="183">
      <c r="F183" s="285" t="str">
        <f>IFERROR(__xludf.DUMMYFUNCTION("""COMPUTED_VALUE"""),"2607A095")</f>
        <v>2607A095</v>
      </c>
      <c r="G183" s="286">
        <f>IFERROR(__xludf.DUMMYFUNCTION("""COMPUTED_VALUE"""),46218.0)</f>
        <v>46218</v>
      </c>
      <c r="H183" s="285" t="str">
        <f>IFERROR(__xludf.DUMMYFUNCTION("""COMPUTED_VALUE"""),"Indri")</f>
        <v>Indri</v>
      </c>
      <c r="I183" s="285" t="str">
        <f>IFERROR(__xludf.DUMMYFUNCTION("""COMPUTED_VALUE"""),"081287471173")</f>
        <v>081287471173</v>
      </c>
      <c r="J183" s="285" t="str">
        <f>IFERROR(__xludf.DUMMYFUNCTION("""COMPUTED_VALUE"""),"Qualified")</f>
        <v>Qualified</v>
      </c>
      <c r="K183" s="285" t="str">
        <f>IFERROR(__xludf.DUMMYFUNCTION("""COMPUTED_VALUE"""),"2h1m custome")</f>
        <v>2h1m custome</v>
      </c>
      <c r="L183" s="287">
        <f>IFERROR(__xludf.DUMMYFUNCTION("""COMPUTED_VALUE"""),46260.0)</f>
        <v>46260</v>
      </c>
      <c r="M183" s="285">
        <f>IFERROR(__xludf.DUMMYFUNCTION("""COMPUTED_VALUE"""),4.0)</f>
        <v>4</v>
      </c>
      <c r="N183" s="289">
        <f>IFERROR(__xludf.DUMMYFUNCTION("""COMPUTED_VALUE"""),5000000.0)</f>
        <v>5000000</v>
      </c>
      <c r="O183" s="285" t="str">
        <f>IFERROR(__xludf.DUMMYFUNCTION("""COMPUTED_VALUE"""),"fu 1 agustus")</f>
        <v>fu 1 agustus</v>
      </c>
      <c r="P183" s="320"/>
      <c r="R183" s="285"/>
      <c r="S183" s="285"/>
      <c r="T183" s="285"/>
      <c r="U183" s="285"/>
      <c r="V183" s="285"/>
      <c r="W183" s="285"/>
      <c r="X183" s="285"/>
      <c r="Y183" s="285"/>
      <c r="Z183" s="285"/>
      <c r="AA183" s="285"/>
      <c r="AC183" s="285" t="str">
        <f>IFERROR(__xludf.DUMMYFUNCTION("""COMPUTED_VALUE"""),"2603A089")</f>
        <v>2603A089</v>
      </c>
      <c r="AD183" s="286">
        <f>IFERROR(__xludf.DUMMYFUNCTION("""COMPUTED_VALUE"""),46107.0)</f>
        <v>46107</v>
      </c>
      <c r="AE183" s="285" t="str">
        <f>IFERROR(__xludf.DUMMYFUNCTION("""COMPUTED_VALUE"""),"Ky")</f>
        <v>Ky</v>
      </c>
      <c r="AF183" s="285" t="str">
        <f>IFERROR(__xludf.DUMMYFUNCTION("""COMPUTED_VALUE"""),"08977155877")</f>
        <v>08977155877</v>
      </c>
      <c r="AG183" s="285" t="str">
        <f>IFERROR(__xludf.DUMMYFUNCTION("""COMPUTED_VALUE"""),"Gagal")</f>
        <v>Gagal</v>
      </c>
      <c r="AH183" s="285" t="str">
        <f>IFERROR(__xludf.DUMMYFUNCTION("""COMPUTED_VALUE"""),"1D trip ")</f>
        <v>1D trip </v>
      </c>
      <c r="AI183" s="287">
        <f>IFERROR(__xludf.DUMMYFUNCTION("""COMPUTED_VALUE"""),46122.0)</f>
        <v>46122</v>
      </c>
      <c r="AJ183" s="285"/>
      <c r="AK183" s="289"/>
      <c r="AL183" s="285"/>
    </row>
    <row r="184">
      <c r="F184" s="285" t="str">
        <f>IFERROR(__xludf.DUMMYFUNCTION("""COMPUTED_VALUE"""),"2607A096")</f>
        <v>2607A096</v>
      </c>
      <c r="G184" s="286">
        <f>IFERROR(__xludf.DUMMYFUNCTION("""COMPUTED_VALUE"""),46218.0)</f>
        <v>46218</v>
      </c>
      <c r="H184" s="285" t="str">
        <f>IFERROR(__xludf.DUMMYFUNCTION("""COMPUTED_VALUE"""),"Rahmawati.nurf")</f>
        <v>Rahmawati.nurf</v>
      </c>
      <c r="I184" s="285" t="str">
        <f>IFERROR(__xludf.DUMMYFUNCTION("""COMPUTED_VALUE"""),"085524477985")</f>
        <v>085524477985</v>
      </c>
      <c r="J184" s="285" t="str">
        <f>IFERROR(__xludf.DUMMYFUNCTION("""COMPUTED_VALUE"""),"Qualified")</f>
        <v>Qualified</v>
      </c>
      <c r="K184" s="285" t="str">
        <f>IFERROR(__xludf.DUMMYFUNCTION("""COMPUTED_VALUE"""),"3h2m opsi a")</f>
        <v>3h2m opsi a</v>
      </c>
      <c r="L184" s="287"/>
      <c r="M184" s="285">
        <f>IFERROR(__xludf.DUMMYFUNCTION("""COMPUTED_VALUE"""),2.0)</f>
        <v>2</v>
      </c>
      <c r="N184" s="289">
        <f>IFERROR(__xludf.DUMMYFUNCTION("""COMPUTED_VALUE"""),6128000.0)</f>
        <v>6128000</v>
      </c>
      <c r="O184" s="285" t="str">
        <f>IFERROR(__xludf.DUMMYFUNCTION("""COMPUTED_VALUE"""),"fu 25 november")</f>
        <v>fu 25 november</v>
      </c>
      <c r="P184" s="320"/>
      <c r="R184" s="285"/>
      <c r="S184" s="285"/>
      <c r="T184" s="285"/>
      <c r="U184" s="285"/>
      <c r="V184" s="285"/>
      <c r="W184" s="285"/>
      <c r="X184" s="285"/>
      <c r="Y184" s="285"/>
      <c r="Z184" s="285"/>
      <c r="AA184" s="285"/>
      <c r="AC184" s="285" t="str">
        <f>IFERROR(__xludf.DUMMYFUNCTION("""COMPUTED_VALUE"""),"2603A090")</f>
        <v>2603A090</v>
      </c>
      <c r="AD184" s="286">
        <f>IFERROR(__xludf.DUMMYFUNCTION("""COMPUTED_VALUE"""),46108.0)</f>
        <v>46108</v>
      </c>
      <c r="AE184" s="285" t="str">
        <f>IFERROR(__xludf.DUMMYFUNCTION("""COMPUTED_VALUE"""),"Maria Fransisca")</f>
        <v>Maria Fransisca</v>
      </c>
      <c r="AF184" s="285" t="str">
        <f>IFERROR(__xludf.DUMMYFUNCTION("""COMPUTED_VALUE"""),"085939380996")</f>
        <v>085939380996</v>
      </c>
      <c r="AG184" s="285" t="str">
        <f>IFERROR(__xludf.DUMMYFUNCTION("""COMPUTED_VALUE"""),"Gagal")</f>
        <v>Gagal</v>
      </c>
      <c r="AH184" s="285" t="str">
        <f>IFERROR(__xludf.DUMMYFUNCTION("""COMPUTED_VALUE"""),"OT Ijen, TN B")</f>
        <v>OT Ijen, TN B</v>
      </c>
      <c r="AI184" s="287">
        <f>IFERROR(__xludf.DUMMYFUNCTION("""COMPUTED_VALUE"""),46142.0)</f>
        <v>46142</v>
      </c>
      <c r="AJ184" s="285">
        <f>IFERROR(__xludf.DUMMYFUNCTION("""COMPUTED_VALUE"""),2.0)</f>
        <v>2</v>
      </c>
      <c r="AK184" s="289">
        <f>IFERROR(__xludf.DUMMYFUNCTION("""COMPUTED_VALUE"""),1960000.0)</f>
        <v>1960000</v>
      </c>
      <c r="AL184" s="285" t="str">
        <f>IFERROR(__xludf.DUMMYFUNCTION("""COMPUTED_VALUE"""),"tidak jadi")</f>
        <v>tidak jadi</v>
      </c>
    </row>
    <row r="185">
      <c r="F185" s="285" t="str">
        <f>IFERROR(__xludf.DUMMYFUNCTION("""COMPUTED_VALUE"""),"2607A100")</f>
        <v>2607A100</v>
      </c>
      <c r="G185" s="286">
        <f>IFERROR(__xludf.DUMMYFUNCTION("""COMPUTED_VALUE"""),46218.0)</f>
        <v>46218</v>
      </c>
      <c r="H185" s="285" t="str">
        <f>IFERROR(__xludf.DUMMYFUNCTION("""COMPUTED_VALUE"""),"Suyati Edisun")</f>
        <v>Suyati Edisun</v>
      </c>
      <c r="I185" s="285" t="str">
        <f>IFERROR(__xludf.DUMMYFUNCTION("""COMPUTED_VALUE"""),"08158845650")</f>
        <v>08158845650</v>
      </c>
      <c r="J185" s="285" t="str">
        <f>IFERROR(__xludf.DUMMYFUNCTION("""COMPUTED_VALUE"""),"Qualified")</f>
        <v>Qualified</v>
      </c>
      <c r="K185" s="285" t="str">
        <f>IFERROR(__xludf.DUMMYFUNCTION("""COMPUTED_VALUE"""),"3h2m opsi a")</f>
        <v>3h2m opsi a</v>
      </c>
      <c r="L185" s="287"/>
      <c r="M185" s="285">
        <f>IFERROR(__xludf.DUMMYFUNCTION("""COMPUTED_VALUE"""),10.0)</f>
        <v>10</v>
      </c>
      <c r="N185" s="289">
        <f>IFERROR(__xludf.DUMMYFUNCTION("""COMPUTED_VALUE"""),1.132E7)</f>
        <v>11320000</v>
      </c>
      <c r="O185" s="285" t="str">
        <f>IFERROR(__xludf.DUMMYFUNCTION("""COMPUTED_VALUE"""),"fu 27 juli")</f>
        <v>fu 27 juli</v>
      </c>
      <c r="P185" s="320"/>
      <c r="R185" s="285"/>
      <c r="S185" s="285"/>
      <c r="T185" s="285"/>
      <c r="U185" s="285"/>
      <c r="V185" s="285"/>
      <c r="W185" s="285"/>
      <c r="X185" s="285"/>
      <c r="Y185" s="285"/>
      <c r="Z185" s="285"/>
      <c r="AA185" s="285"/>
      <c r="AC185" s="285" t="str">
        <f>IFERROR(__xludf.DUMMYFUNCTION("""COMPUTED_VALUE"""),"2603A091")</f>
        <v>2603A091</v>
      </c>
      <c r="AD185" s="286">
        <f>IFERROR(__xludf.DUMMYFUNCTION("""COMPUTED_VALUE"""),46108.0)</f>
        <v>46108</v>
      </c>
      <c r="AE185" s="285" t="str">
        <f>IFERROR(__xludf.DUMMYFUNCTION("""COMPUTED_VALUE"""),"CC Jaqline")</f>
        <v>CC Jaqline</v>
      </c>
      <c r="AF185" s="285" t="str">
        <f>IFERROR(__xludf.DUMMYFUNCTION("""COMPUTED_VALUE"""),"08113491029")</f>
        <v>08113491029</v>
      </c>
      <c r="AG185" s="285" t="str">
        <f>IFERROR(__xludf.DUMMYFUNCTION("""COMPUTED_VALUE"""),"Gagal")</f>
        <v>Gagal</v>
      </c>
      <c r="AH185" s="285" t="str">
        <f>IFERROR(__xludf.DUMMYFUNCTION("""COMPUTED_VALUE"""),"Private Trip 3H2M Custome")</f>
        <v>Private Trip 3H2M Custome</v>
      </c>
      <c r="AI185" s="287"/>
      <c r="AJ185" s="285">
        <f>IFERROR(__xludf.DUMMYFUNCTION("""COMPUTED_VALUE"""),46115.0)</f>
        <v>46115</v>
      </c>
      <c r="AK185" s="289">
        <f>IFERROR(__xludf.DUMMYFUNCTION("""COMPUTED_VALUE"""),5940000.0)</f>
        <v>5940000</v>
      </c>
      <c r="AL185" s="285" t="str">
        <f>IFERROR(__xludf.DUMMYFUNCTION("""COMPUTED_VALUE"""),"gada balasan")</f>
        <v>gada balasan</v>
      </c>
    </row>
    <row r="186">
      <c r="F186" s="285" t="str">
        <f>IFERROR(__xludf.DUMMYFUNCTION("""COMPUTED_VALUE"""),"2607A106")</f>
        <v>2607A106</v>
      </c>
      <c r="G186" s="286">
        <f>IFERROR(__xludf.DUMMYFUNCTION("""COMPUTED_VALUE"""),46220.0)</f>
        <v>46220</v>
      </c>
      <c r="H186" s="285" t="str">
        <f>IFERROR(__xludf.DUMMYFUNCTION("""COMPUTED_VALUE"""),"Sindi Monica")</f>
        <v>Sindi Monica</v>
      </c>
      <c r="I186" s="285" t="str">
        <f>IFERROR(__xludf.DUMMYFUNCTION("""COMPUTED_VALUE"""),"081111815532")</f>
        <v>081111815532</v>
      </c>
      <c r="J186" s="285" t="str">
        <f>IFERROR(__xludf.DUMMYFUNCTION("""COMPUTED_VALUE"""),"Qualified")</f>
        <v>Qualified</v>
      </c>
      <c r="K186" s="285" t="str">
        <f>IFERROR(__xludf.DUMMYFUNCTION("""COMPUTED_VALUE"""),"Djawatan baluran")</f>
        <v>Djawatan baluran</v>
      </c>
      <c r="L186" s="287">
        <f>IFERROR(__xludf.DUMMYFUNCTION("""COMPUTED_VALUE"""),46257.0)</f>
        <v>46257</v>
      </c>
      <c r="M186" s="285">
        <f>IFERROR(__xludf.DUMMYFUNCTION("""COMPUTED_VALUE"""),2.0)</f>
        <v>2</v>
      </c>
      <c r="N186" s="289">
        <f>IFERROR(__xludf.DUMMYFUNCTION("""COMPUTED_VALUE"""),1100000.0)</f>
        <v>1100000</v>
      </c>
      <c r="O186" s="285" t="str">
        <f>IFERROR(__xludf.DUMMYFUNCTION("""COMPUTED_VALUE"""),"fu 4 agustus ")</f>
        <v>fu 4 agustus </v>
      </c>
      <c r="P186" s="320"/>
      <c r="R186" s="285"/>
      <c r="S186" s="285"/>
      <c r="T186" s="285"/>
      <c r="U186" s="285"/>
      <c r="V186" s="285"/>
      <c r="W186" s="285"/>
      <c r="X186" s="285"/>
      <c r="Y186" s="285"/>
      <c r="Z186" s="285"/>
      <c r="AA186" s="285"/>
      <c r="AC186" s="285" t="str">
        <f>IFERROR(__xludf.DUMMYFUNCTION("""COMPUTED_VALUE"""),"2603A092")</f>
        <v>2603A092</v>
      </c>
      <c r="AD186" s="286">
        <f>IFERROR(__xludf.DUMMYFUNCTION("""COMPUTED_VALUE"""),46109.0)</f>
        <v>46109</v>
      </c>
      <c r="AE186" s="285" t="str">
        <f>IFERROR(__xludf.DUMMYFUNCTION("""COMPUTED_VALUE"""),"Shafna")</f>
        <v>Shafna</v>
      </c>
      <c r="AF186" s="285" t="str">
        <f>IFERROR(__xludf.DUMMYFUNCTION("""COMPUTED_VALUE"""),"085156081067")</f>
        <v>085156081067</v>
      </c>
      <c r="AG186" s="285" t="str">
        <f>IFERROR(__xludf.DUMMYFUNCTION("""COMPUTED_VALUE"""),"Gagal")</f>
        <v>Gagal</v>
      </c>
      <c r="AH186" s="285" t="str">
        <f>IFERROR(__xludf.DUMMYFUNCTION("""COMPUTED_VALUE"""),"3h2m custom")</f>
        <v>3h2m custom</v>
      </c>
      <c r="AI186" s="287"/>
      <c r="AJ186" s="285">
        <f>IFERROR(__xludf.DUMMYFUNCTION("""COMPUTED_VALUE"""),2.0)</f>
        <v>2</v>
      </c>
      <c r="AK186" s="289">
        <f>IFERROR(__xludf.DUMMYFUNCTION("""COMPUTED_VALUE"""),3250000.0)</f>
        <v>3250000</v>
      </c>
      <c r="AL186" s="285" t="str">
        <f>IFERROR(__xludf.DUMMYFUNCTION("""COMPUTED_VALUE"""),"ada suatu hal")</f>
        <v>ada suatu hal</v>
      </c>
    </row>
    <row r="187">
      <c r="F187" s="285" t="str">
        <f>IFERROR(__xludf.DUMMYFUNCTION("""COMPUTED_VALUE"""),"2607A107")</f>
        <v>2607A107</v>
      </c>
      <c r="G187" s="286">
        <f>IFERROR(__xludf.DUMMYFUNCTION("""COMPUTED_VALUE"""),46215.0)</f>
        <v>46215</v>
      </c>
      <c r="H187" s="285" t="str">
        <f>IFERROR(__xludf.DUMMYFUNCTION("""COMPUTED_VALUE"""),"Dhevy Ayuningrum")</f>
        <v>Dhevy Ayuningrum</v>
      </c>
      <c r="I187" s="285" t="str">
        <f>IFERROR(__xludf.DUMMYFUNCTION("""COMPUTED_VALUE"""),"083832561912")</f>
        <v>083832561912</v>
      </c>
      <c r="J187" s="285" t="str">
        <f>IFERROR(__xludf.DUMMYFUNCTION("""COMPUTED_VALUE"""),"Qualified")</f>
        <v>Qualified</v>
      </c>
      <c r="K187" s="285" t="str">
        <f>IFERROR(__xludf.DUMMYFUNCTION("""COMPUTED_VALUE"""),"ot mt")</f>
        <v>ot mt</v>
      </c>
      <c r="L187" s="287">
        <f>IFERROR(__xludf.DUMMYFUNCTION("""COMPUTED_VALUE"""),46254.0)</f>
        <v>46254</v>
      </c>
      <c r="M187" s="285">
        <f>IFERROR(__xludf.DUMMYFUNCTION("""COMPUTED_VALUE"""),2.0)</f>
        <v>2</v>
      </c>
      <c r="N187" s="289">
        <f>IFERROR(__xludf.DUMMYFUNCTION("""COMPUTED_VALUE"""),800000.0)</f>
        <v>800000</v>
      </c>
      <c r="O187" s="285" t="str">
        <f>IFERROR(__xludf.DUMMYFUNCTION("""COMPUTED_VALUE"""),"fu 30 juli")</f>
        <v>fu 30 juli</v>
      </c>
      <c r="P187" s="320"/>
      <c r="R187" s="285"/>
      <c r="S187" s="285"/>
      <c r="T187" s="285"/>
      <c r="U187" s="285"/>
      <c r="V187" s="285"/>
      <c r="W187" s="285"/>
      <c r="X187" s="285"/>
      <c r="Y187" s="285"/>
      <c r="Z187" s="285"/>
      <c r="AA187" s="285"/>
      <c r="AC187" s="285" t="str">
        <f>IFERROR(__xludf.DUMMYFUNCTION("""COMPUTED_VALUE"""),"2603A093")</f>
        <v>2603A093</v>
      </c>
      <c r="AD187" s="286">
        <f>IFERROR(__xludf.DUMMYFUNCTION("""COMPUTED_VALUE"""),46109.0)</f>
        <v>46109</v>
      </c>
      <c r="AE187" s="285" t="str">
        <f>IFERROR(__xludf.DUMMYFUNCTION("""COMPUTED_VALUE"""),"Dita")</f>
        <v>Dita</v>
      </c>
      <c r="AF187" s="285" t="str">
        <f>IFERROR(__xludf.DUMMYFUNCTION("""COMPUTED_VALUE"""),"081225546717")</f>
        <v>081225546717</v>
      </c>
      <c r="AG187" s="285" t="str">
        <f>IFERROR(__xludf.DUMMYFUNCTION("""COMPUTED_VALUE"""),"Gagal")</f>
        <v>Gagal</v>
      </c>
      <c r="AH187" s="285"/>
      <c r="AI187" s="287"/>
      <c r="AJ187" s="285"/>
      <c r="AK187" s="289"/>
      <c r="AL187" s="285" t="str">
        <f>IFERROR(__xludf.DUMMYFUNCTION("""COMPUTED_VALUE"""),"hanya menyapa")</f>
        <v>hanya menyapa</v>
      </c>
    </row>
    <row r="188">
      <c r="F188" s="285" t="str">
        <f>IFERROR(__xludf.DUMMYFUNCTION("""COMPUTED_VALUE"""),"2607A116")</f>
        <v>2607A116</v>
      </c>
      <c r="G188" s="286">
        <f>IFERROR(__xludf.DUMMYFUNCTION("""COMPUTED_VALUE"""),46222.0)</f>
        <v>46222</v>
      </c>
      <c r="H188" s="285" t="str">
        <f>IFERROR(__xludf.DUMMYFUNCTION("""COMPUTED_VALUE"""),"Hani")</f>
        <v>Hani</v>
      </c>
      <c r="I188" s="285" t="str">
        <f>IFERROR(__xludf.DUMMYFUNCTION("""COMPUTED_VALUE"""),"081294961561")</f>
        <v>081294961561</v>
      </c>
      <c r="J188" s="285" t="str">
        <f>IFERROR(__xludf.DUMMYFUNCTION("""COMPUTED_VALUE"""),"Qualified")</f>
        <v>Qualified</v>
      </c>
      <c r="K188" s="285" t="str">
        <f>IFERROR(__xludf.DUMMYFUNCTION("""COMPUTED_VALUE"""),"4h3m custom")</f>
        <v>4h3m custom</v>
      </c>
      <c r="L188" s="287"/>
      <c r="M188" s="285">
        <f>IFERROR(__xludf.DUMMYFUNCTION("""COMPUTED_VALUE"""),18.0)</f>
        <v>18</v>
      </c>
      <c r="N188" s="289"/>
      <c r="O188" s="285" t="str">
        <f>IFERROR(__xludf.DUMMYFUNCTION("""COMPUTED_VALUE"""),"fu 1 Agustus")</f>
        <v>fu 1 Agustus</v>
      </c>
      <c r="P188" s="320"/>
      <c r="R188" s="285"/>
      <c r="S188" s="285"/>
      <c r="T188" s="285"/>
      <c r="U188" s="285"/>
      <c r="V188" s="285"/>
      <c r="W188" s="285"/>
      <c r="X188" s="285"/>
      <c r="Y188" s="285"/>
      <c r="Z188" s="285"/>
      <c r="AA188" s="285"/>
      <c r="AC188" s="285" t="str">
        <f>IFERROR(__xludf.DUMMYFUNCTION("""COMPUTED_VALUE"""),"2603A094")</f>
        <v>2603A094</v>
      </c>
      <c r="AD188" s="286">
        <f>IFERROR(__xludf.DUMMYFUNCTION("""COMPUTED_VALUE"""),46109.0)</f>
        <v>46109</v>
      </c>
      <c r="AE188" s="285" t="str">
        <f>IFERROR(__xludf.DUMMYFUNCTION("""COMPUTED_VALUE"""),"Tuti Hernawati")</f>
        <v>Tuti Hernawati</v>
      </c>
      <c r="AF188" s="285" t="str">
        <f>IFERROR(__xludf.DUMMYFUNCTION("""COMPUTED_VALUE"""),"08122006220")</f>
        <v>08122006220</v>
      </c>
      <c r="AG188" s="285" t="str">
        <f>IFERROR(__xludf.DUMMYFUNCTION("""COMPUTED_VALUE"""),"Gagal")</f>
        <v>Gagal</v>
      </c>
      <c r="AH188" s="285"/>
      <c r="AI188" s="287"/>
      <c r="AJ188" s="285"/>
      <c r="AK188" s="289"/>
      <c r="AL188" s="285" t="str">
        <f>IFERROR(__xludf.DUMMYFUNCTION("""COMPUTED_VALUE"""),"hanya menyapa")</f>
        <v>hanya menyapa</v>
      </c>
    </row>
    <row r="189">
      <c r="F189" s="285" t="str">
        <f>IFERROR(__xludf.DUMMYFUNCTION("""COMPUTED_VALUE"""),"2607A119")</f>
        <v>2607A119</v>
      </c>
      <c r="G189" s="286">
        <f>IFERROR(__xludf.DUMMYFUNCTION("""COMPUTED_VALUE"""),46223.0)</f>
        <v>46223</v>
      </c>
      <c r="H189" s="285" t="str">
        <f>IFERROR(__xludf.DUMMYFUNCTION("""COMPUTED_VALUE"""),"Grasella")</f>
        <v>Grasella</v>
      </c>
      <c r="I189" s="285" t="str">
        <f>IFERROR(__xludf.DUMMYFUNCTION("""COMPUTED_VALUE"""),"081333539750")</f>
        <v>081333539750</v>
      </c>
      <c r="J189" s="285" t="str">
        <f>IFERROR(__xludf.DUMMYFUNCTION("""COMPUTED_VALUE"""),"Qualified")</f>
        <v>Qualified</v>
      </c>
      <c r="K189" s="285" t="str">
        <f>IFERROR(__xludf.DUMMYFUNCTION("""COMPUTED_VALUE"""),"ot menjangan tabuhan")</f>
        <v>ot menjangan tabuhan</v>
      </c>
      <c r="L189" s="287">
        <f>IFERROR(__xludf.DUMMYFUNCTION("""COMPUTED_VALUE"""),46250.0)</f>
        <v>46250</v>
      </c>
      <c r="M189" s="285">
        <f>IFERROR(__xludf.DUMMYFUNCTION("""COMPUTED_VALUE"""),3.0)</f>
        <v>3</v>
      </c>
      <c r="N189" s="289">
        <f>IFERROR(__xludf.DUMMYFUNCTION("""COMPUTED_VALUE"""),3510000.0)</f>
        <v>3510000</v>
      </c>
      <c r="O189" s="285" t="str">
        <f>IFERROR(__xludf.DUMMYFUNCTION("""COMPUTED_VALUE"""),"fu 3 agustus")</f>
        <v>fu 3 agustus</v>
      </c>
      <c r="P189" s="320"/>
      <c r="R189" s="285"/>
      <c r="S189" s="285"/>
      <c r="T189" s="285"/>
      <c r="U189" s="285"/>
      <c r="V189" s="285"/>
      <c r="W189" s="285"/>
      <c r="X189" s="285"/>
      <c r="Y189" s="285"/>
      <c r="Z189" s="285"/>
      <c r="AA189" s="285"/>
      <c r="AC189" s="285" t="str">
        <f>IFERROR(__xludf.DUMMYFUNCTION("""COMPUTED_VALUE"""),"2603A095")</f>
        <v>2603A095</v>
      </c>
      <c r="AD189" s="286">
        <f>IFERROR(__xludf.DUMMYFUNCTION("""COMPUTED_VALUE"""),46109.0)</f>
        <v>46109</v>
      </c>
      <c r="AE189" s="285" t="str">
        <f>IFERROR(__xludf.DUMMYFUNCTION("""COMPUTED_VALUE"""),"Afif")</f>
        <v>Afif</v>
      </c>
      <c r="AF189" s="285" t="str">
        <f>IFERROR(__xludf.DUMMYFUNCTION("""COMPUTED_VALUE"""),"085138016373")</f>
        <v>085138016373</v>
      </c>
      <c r="AG189" s="285" t="str">
        <f>IFERROR(__xludf.DUMMYFUNCTION("""COMPUTED_VALUE"""),"Gagal")</f>
        <v>Gagal</v>
      </c>
      <c r="AH189" s="285" t="str">
        <f>IFERROR(__xludf.DUMMYFUNCTION("""COMPUTED_VALUE"""),"Privat Trip  2H1M Custome")</f>
        <v>Privat Trip  2H1M Custome</v>
      </c>
      <c r="AI189" s="287"/>
      <c r="AJ189" s="285">
        <f>IFERROR(__xludf.DUMMYFUNCTION("""COMPUTED_VALUE"""),5.0)</f>
        <v>5</v>
      </c>
      <c r="AK189" s="289">
        <f>IFERROR(__xludf.DUMMYFUNCTION("""COMPUTED_VALUE"""),1040000.0)</f>
        <v>1040000</v>
      </c>
      <c r="AL189" s="285" t="str">
        <f>IFERROR(__xludf.DUMMYFUNCTION("""COMPUTED_VALUE"""),"belum deal sm istri")</f>
        <v>belum deal sm istri</v>
      </c>
    </row>
    <row r="190">
      <c r="F190" s="285" t="str">
        <f>IFERROR(__xludf.DUMMYFUNCTION("""COMPUTED_VALUE"""),"2607A127")</f>
        <v>2607A127</v>
      </c>
      <c r="G190" s="286">
        <f>IFERROR(__xludf.DUMMYFUNCTION("""COMPUTED_VALUE"""),46225.0)</f>
        <v>46225</v>
      </c>
      <c r="H190" s="285" t="str">
        <f>IFERROR(__xludf.DUMMYFUNCTION("""COMPUTED_VALUE"""),"Ulfah")</f>
        <v>Ulfah</v>
      </c>
      <c r="I190" s="285" t="str">
        <f>IFERROR(__xludf.DUMMYFUNCTION("""COMPUTED_VALUE"""),"085790757388")</f>
        <v>085790757388</v>
      </c>
      <c r="J190" s="285" t="str">
        <f>IFERROR(__xludf.DUMMYFUNCTION("""COMPUTED_VALUE"""),"Qualified")</f>
        <v>Qualified</v>
      </c>
      <c r="K190" s="285" t="str">
        <f>IFERROR(__xludf.DUMMYFUNCTION("""COMPUTED_VALUE"""),"ot djawatan baluran, ot kawah ijen")</f>
        <v>ot djawatan baluran, ot kawah ijen</v>
      </c>
      <c r="L190" s="287"/>
      <c r="M190" s="285">
        <f>IFERROR(__xludf.DUMMYFUNCTION("""COMPUTED_VALUE"""),2.0)</f>
        <v>2</v>
      </c>
      <c r="N190" s="289"/>
      <c r="O190" s="285"/>
      <c r="P190" s="320"/>
      <c r="R190" s="285"/>
      <c r="S190" s="285"/>
      <c r="T190" s="285"/>
      <c r="U190" s="285"/>
      <c r="V190" s="285"/>
      <c r="W190" s="285"/>
      <c r="X190" s="285"/>
      <c r="Y190" s="285"/>
      <c r="Z190" s="285"/>
      <c r="AA190" s="285"/>
      <c r="AC190" s="285" t="str">
        <f>IFERROR(__xludf.DUMMYFUNCTION("""COMPUTED_VALUE"""),"2603A098")</f>
        <v>2603A098</v>
      </c>
      <c r="AD190" s="286">
        <f>IFERROR(__xludf.DUMMYFUNCTION("""COMPUTED_VALUE"""),46111.0)</f>
        <v>46111</v>
      </c>
      <c r="AE190" s="285" t="str">
        <f>IFERROR(__xludf.DUMMYFUNCTION("""COMPUTED_VALUE"""),"082322648604")</f>
        <v>082322648604</v>
      </c>
      <c r="AF190" s="285" t="str">
        <f>IFERROR(__xludf.DUMMYFUNCTION("""COMPUTED_VALUE"""),"082322648604")</f>
        <v>082322648604</v>
      </c>
      <c r="AG190" s="285" t="str">
        <f>IFERROR(__xludf.DUMMYFUNCTION("""COMPUTED_VALUE"""),"Gagal")</f>
        <v>Gagal</v>
      </c>
      <c r="AH190" s="285" t="str">
        <f>IFERROR(__xludf.DUMMYFUNCTION("""COMPUTED_VALUE"""),"trip alas purwo")</f>
        <v>trip alas purwo</v>
      </c>
      <c r="AI190" s="287">
        <f>IFERROR(__xludf.DUMMYFUNCTION("""COMPUTED_VALUE"""),46131.0)</f>
        <v>46131</v>
      </c>
      <c r="AJ190" s="285"/>
      <c r="AK190" s="289"/>
      <c r="AL190" s="285" t="str">
        <f>IFERROR(__xludf.DUMMYFUNCTION("""COMPUTED_VALUE"""),"gada balasan")</f>
        <v>gada balasan</v>
      </c>
    </row>
    <row r="191">
      <c r="F191" s="285" t="str">
        <f>IFERROR(__xludf.DUMMYFUNCTION("""COMPUTED_VALUE"""),"2607A130")</f>
        <v>2607A130</v>
      </c>
      <c r="G191" s="286">
        <f>IFERROR(__xludf.DUMMYFUNCTION("""COMPUTED_VALUE"""),46226.0)</f>
        <v>46226</v>
      </c>
      <c r="H191" s="285" t="str">
        <f>IFERROR(__xludf.DUMMYFUNCTION("""COMPUTED_VALUE"""),"Mochammad Rifqy")</f>
        <v>Mochammad Rifqy</v>
      </c>
      <c r="I191" s="285" t="str">
        <f>IFERROR(__xludf.DUMMYFUNCTION("""COMPUTED_VALUE"""),"081233361003")</f>
        <v>081233361003</v>
      </c>
      <c r="J191" s="285" t="str">
        <f>IFERROR(__xludf.DUMMYFUNCTION("""COMPUTED_VALUE"""),"Qualified")</f>
        <v>Qualified</v>
      </c>
      <c r="K191" s="285" t="str">
        <f>IFERROR(__xludf.DUMMYFUNCTION("""COMPUTED_VALUE"""),"ot mt ")</f>
        <v>ot mt </v>
      </c>
      <c r="L191" s="287">
        <f>IFERROR(__xludf.DUMMYFUNCTION("""COMPUTED_VALUE"""),46232.0)</f>
        <v>46232</v>
      </c>
      <c r="M191" s="285">
        <f>IFERROR(__xludf.DUMMYFUNCTION("""COMPUTED_VALUE"""),2.0)</f>
        <v>2</v>
      </c>
      <c r="N191" s="289">
        <f>IFERROR(__xludf.DUMMYFUNCTION("""COMPUTED_VALUE"""),800000.0)</f>
        <v>800000</v>
      </c>
      <c r="O191" s="285" t="str">
        <f>IFERROR(__xludf.DUMMYFUNCTION("""COMPUTED_VALUE"""),"fu 27 Juli")</f>
        <v>fu 27 Juli</v>
      </c>
      <c r="P191" s="320"/>
      <c r="R191" s="285"/>
      <c r="S191" s="285"/>
      <c r="T191" s="285"/>
      <c r="U191" s="285"/>
      <c r="V191" s="285"/>
      <c r="W191" s="285"/>
      <c r="X191" s="285"/>
      <c r="Y191" s="285"/>
      <c r="Z191" s="285"/>
      <c r="AA191" s="285"/>
      <c r="AC191" s="285" t="str">
        <f>IFERROR(__xludf.DUMMYFUNCTION("""COMPUTED_VALUE"""),"2603A099")</f>
        <v>2603A099</v>
      </c>
      <c r="AD191" s="286">
        <f>IFERROR(__xludf.DUMMYFUNCTION("""COMPUTED_VALUE"""),46112.0)</f>
        <v>46112</v>
      </c>
      <c r="AE191" s="285" t="str">
        <f>IFERROR(__xludf.DUMMYFUNCTION("""COMPUTED_VALUE"""),"Aulia")</f>
        <v>Aulia</v>
      </c>
      <c r="AF191" s="285" t="str">
        <f>IFERROR(__xludf.DUMMYFUNCTION("""COMPUTED_VALUE"""),"081284714903‬")</f>
        <v>081284714903‬</v>
      </c>
      <c r="AG191" s="285" t="str">
        <f>IFERROR(__xludf.DUMMYFUNCTION("""COMPUTED_VALUE"""),"Gagal")</f>
        <v>Gagal</v>
      </c>
      <c r="AH191" s="285" t="str">
        <f>IFERROR(__xludf.DUMMYFUNCTION("""COMPUTED_VALUE"""),"2H1M Custom")</f>
        <v>2H1M Custom</v>
      </c>
      <c r="AI191" s="287"/>
      <c r="AJ191" s="285">
        <f>IFERROR(__xludf.DUMMYFUNCTION("""COMPUTED_VALUE"""),2.0)</f>
        <v>2</v>
      </c>
      <c r="AK191" s="289">
        <f>IFERROR(__xludf.DUMMYFUNCTION("""COMPUTED_VALUE"""),3300000.0)</f>
        <v>3300000</v>
      </c>
      <c r="AL191" s="285" t="str">
        <f>IFERROR(__xludf.DUMMYFUNCTION("""COMPUTED_VALUE"""),"gada balasan")</f>
        <v>gada balasan</v>
      </c>
    </row>
    <row r="192">
      <c r="F192" s="285" t="str">
        <f>IFERROR(__xludf.DUMMYFUNCTION("""COMPUTED_VALUE"""),"2607A131")</f>
        <v>2607A131</v>
      </c>
      <c r="G192" s="286">
        <f>IFERROR(__xludf.DUMMYFUNCTION("""COMPUTED_VALUE"""),46227.0)</f>
        <v>46227</v>
      </c>
      <c r="H192" s="285" t="str">
        <f>IFERROR(__xludf.DUMMYFUNCTION("""COMPUTED_VALUE"""),"Dedy Simon")</f>
        <v>Dedy Simon</v>
      </c>
      <c r="I192" s="285" t="str">
        <f>IFERROR(__xludf.DUMMYFUNCTION("""COMPUTED_VALUE"""),"085865559424")</f>
        <v>085865559424</v>
      </c>
      <c r="J192" s="285" t="str">
        <f>IFERROR(__xludf.DUMMYFUNCTION("""COMPUTED_VALUE"""),"Qualified")</f>
        <v>Qualified</v>
      </c>
      <c r="K192" s="285" t="str">
        <f>IFERROR(__xludf.DUMMYFUNCTION("""COMPUTED_VALUE"""),"3h2m custom")</f>
        <v>3h2m custom</v>
      </c>
      <c r="L192" s="287"/>
      <c r="M192" s="285">
        <f>IFERROR(__xludf.DUMMYFUNCTION("""COMPUTED_VALUE"""),2.0)</f>
        <v>2</v>
      </c>
      <c r="N192" s="289">
        <f>IFERROR(__xludf.DUMMYFUNCTION("""COMPUTED_VALUE"""),6700000.0)</f>
        <v>6700000</v>
      </c>
      <c r="O192" s="285" t="str">
        <f>IFERROR(__xludf.DUMMYFUNCTION("""COMPUTED_VALUE"""),"fu 28 juli")</f>
        <v>fu 28 juli</v>
      </c>
      <c r="P192" s="320"/>
      <c r="R192" s="285"/>
      <c r="S192" s="285"/>
      <c r="T192" s="285"/>
      <c r="U192" s="285"/>
      <c r="V192" s="285"/>
      <c r="W192" s="285"/>
      <c r="X192" s="285"/>
      <c r="Y192" s="285"/>
      <c r="Z192" s="285"/>
      <c r="AA192" s="285"/>
      <c r="AC192" s="285" t="str">
        <f>IFERROR(__xludf.DUMMYFUNCTION("""COMPUTED_VALUE"""),"2603A101")</f>
        <v>2603A101</v>
      </c>
      <c r="AD192" s="286">
        <f>IFERROR(__xludf.DUMMYFUNCTION("""COMPUTED_VALUE"""),46112.0)</f>
        <v>46112</v>
      </c>
      <c r="AE192" s="285" t="str">
        <f>IFERROR(__xludf.DUMMYFUNCTION("""COMPUTED_VALUE"""),"ervina")</f>
        <v>ervina</v>
      </c>
      <c r="AF192" s="285" t="str">
        <f>IFERROR(__xludf.DUMMYFUNCTION("""COMPUTED_VALUE"""),"081333473764")</f>
        <v>081333473764</v>
      </c>
      <c r="AG192" s="285" t="str">
        <f>IFERROR(__xludf.DUMMYFUNCTION("""COMPUTED_VALUE"""),"Gagal")</f>
        <v>Gagal</v>
      </c>
      <c r="AH192" s="285" t="str">
        <f>IFERROR(__xludf.DUMMYFUNCTION("""COMPUTED_VALUE"""),"1d ijen baluran")</f>
        <v>1d ijen baluran</v>
      </c>
      <c r="AI192" s="287"/>
      <c r="AJ192" s="285">
        <f>IFERROR(__xludf.DUMMYFUNCTION("""COMPUTED_VALUE"""),3.0)</f>
        <v>3</v>
      </c>
      <c r="AK192" s="289">
        <f>IFERROR(__xludf.DUMMYFUNCTION("""COMPUTED_VALUE"""),2076000.0)</f>
        <v>2076000</v>
      </c>
      <c r="AL192" s="285" t="str">
        <f>IFERROR(__xludf.DUMMYFUNCTION("""COMPUTED_VALUE"""),"ga dpt cuti")</f>
        <v>ga dpt cuti</v>
      </c>
    </row>
    <row r="193">
      <c r="F193" s="285" t="str">
        <f>IFERROR(__xludf.DUMMYFUNCTION("""COMPUTED_VALUE"""),"2607A136")</f>
        <v>2607A136</v>
      </c>
      <c r="G193" s="286">
        <f>IFERROR(__xludf.DUMMYFUNCTION("""COMPUTED_VALUE"""),46229.0)</f>
        <v>46229</v>
      </c>
      <c r="H193" s="285" t="str">
        <f>IFERROR(__xludf.DUMMYFUNCTION("""COMPUTED_VALUE"""),"Ananda Akbar")</f>
        <v>Ananda Akbar</v>
      </c>
      <c r="I193" s="285" t="str">
        <f>IFERROR(__xludf.DUMMYFUNCTION("""COMPUTED_VALUE"""),"081313588468")</f>
        <v>081313588468</v>
      </c>
      <c r="J193" s="285" t="str">
        <f>IFERROR(__xludf.DUMMYFUNCTION("""COMPUTED_VALUE"""),"Qualified")</f>
        <v>Qualified</v>
      </c>
      <c r="K193" s="285" t="str">
        <f>IFERROR(__xludf.DUMMYFUNCTION("""COMPUTED_VALUE"""),"Menjangan Tabuhan")</f>
        <v>Menjangan Tabuhan</v>
      </c>
      <c r="L193" s="287">
        <f>IFERROR(__xludf.DUMMYFUNCTION("""COMPUTED_VALUE"""),46235.0)</f>
        <v>46235</v>
      </c>
      <c r="M193" s="285">
        <f>IFERROR(__xludf.DUMMYFUNCTION("""COMPUTED_VALUE"""),7.0)</f>
        <v>7</v>
      </c>
      <c r="N193" s="289"/>
      <c r="O193" s="285"/>
      <c r="P193" s="320"/>
      <c r="R193" s="285"/>
      <c r="S193" s="285"/>
      <c r="T193" s="285"/>
      <c r="U193" s="285"/>
      <c r="V193" s="285"/>
      <c r="W193" s="285"/>
      <c r="X193" s="285"/>
      <c r="Y193" s="285"/>
      <c r="Z193" s="285"/>
      <c r="AA193" s="285"/>
      <c r="AC193" s="285" t="str">
        <f>IFERROR(__xludf.DUMMYFUNCTION("""COMPUTED_VALUE"""),"2603A102")</f>
        <v>2603A102</v>
      </c>
      <c r="AD193" s="286">
        <f>IFERROR(__xludf.DUMMYFUNCTION("""COMPUTED_VALUE"""),46112.0)</f>
        <v>46112</v>
      </c>
      <c r="AE193" s="285" t="str">
        <f>IFERROR(__xludf.DUMMYFUNCTION("""COMPUTED_VALUE"""),"Martha")</f>
        <v>Martha</v>
      </c>
      <c r="AF193" s="285" t="str">
        <f>IFERROR(__xludf.DUMMYFUNCTION("""COMPUTED_VALUE"""),"087853537626")</f>
        <v>087853537626</v>
      </c>
      <c r="AG193" s="285" t="str">
        <f>IFERROR(__xludf.DUMMYFUNCTION("""COMPUTED_VALUE"""),"Gagal")</f>
        <v>Gagal</v>
      </c>
      <c r="AH193" s="285" t="str">
        <f>IFERROR(__xludf.DUMMYFUNCTION("""COMPUTED_VALUE"""),"OT 1D")</f>
        <v>OT 1D</v>
      </c>
      <c r="AI193" s="287">
        <f>IFERROR(__xludf.DUMMYFUNCTION("""COMPUTED_VALUE"""),46114.0)</f>
        <v>46114</v>
      </c>
      <c r="AJ193" s="285">
        <f>IFERROR(__xludf.DUMMYFUNCTION("""COMPUTED_VALUE"""),2.0)</f>
        <v>2</v>
      </c>
      <c r="AK193" s="289">
        <f>IFERROR(__xludf.DUMMYFUNCTION("""COMPUTED_VALUE"""),1100000.0)</f>
        <v>1100000</v>
      </c>
      <c r="AL193" s="285" t="str">
        <f>IFERROR(__xludf.DUMMYFUNCTION("""COMPUTED_VALUE"""),"tidak ada jawaban")</f>
        <v>tidak ada jawaban</v>
      </c>
    </row>
    <row r="194">
      <c r="F194" s="285" t="str">
        <f>IFERROR(__xludf.DUMMYFUNCTION("""COMPUTED_VALUE"""),"2605A035")</f>
        <v>2605A035</v>
      </c>
      <c r="G194" s="286">
        <f>IFERROR(__xludf.DUMMYFUNCTION("""COMPUTED_VALUE"""),46147.0)</f>
        <v>46147</v>
      </c>
      <c r="H194" s="285" t="str">
        <f>IFERROR(__xludf.DUMMYFUNCTION("""COMPUTED_VALUE"""),"Veny")</f>
        <v>Veny</v>
      </c>
      <c r="I194" s="285" t="str">
        <f>IFERROR(__xludf.DUMMYFUNCTION("""COMPUTED_VALUE"""),"081384777185")</f>
        <v>081384777185</v>
      </c>
      <c r="J194" s="285" t="str">
        <f>IFERROR(__xludf.DUMMYFUNCTION("""COMPUTED_VALUE"""),"Prospek")</f>
        <v>Prospek</v>
      </c>
      <c r="K194" s="285" t="str">
        <f>IFERROR(__xludf.DUMMYFUNCTION("""COMPUTED_VALUE"""),"2H1M")</f>
        <v>2H1M</v>
      </c>
      <c r="L194" s="287"/>
      <c r="M194" s="285">
        <f>IFERROR(__xludf.DUMMYFUNCTION("""COMPUTED_VALUE"""),4.0)</f>
        <v>4</v>
      </c>
      <c r="N194" s="289">
        <f>IFERROR(__xludf.DUMMYFUNCTION("""COMPUTED_VALUE"""),4000000.0)</f>
        <v>4000000</v>
      </c>
      <c r="O194" s="285" t="str">
        <f>IFERROR(__xludf.DUMMYFUNCTION("""COMPUTED_VALUE"""),"fu 15 mei")</f>
        <v>fu 15 mei</v>
      </c>
      <c r="P194" s="320"/>
      <c r="R194" s="285"/>
      <c r="S194" s="285"/>
      <c r="T194" s="285"/>
      <c r="U194" s="285"/>
      <c r="V194" s="285"/>
      <c r="W194" s="285"/>
      <c r="X194" s="285"/>
      <c r="Y194" s="285"/>
      <c r="Z194" s="285"/>
      <c r="AA194" s="285"/>
      <c r="AC194" s="285" t="str">
        <f>IFERROR(__xludf.DUMMYFUNCTION("""COMPUTED_VALUE"""),"2603A103")</f>
        <v>2603A103</v>
      </c>
      <c r="AD194" s="286">
        <f>IFERROR(__xludf.DUMMYFUNCTION("""COMPUTED_VALUE"""),46112.0)</f>
        <v>46112</v>
      </c>
      <c r="AE194" s="285" t="str">
        <f>IFERROR(__xludf.DUMMYFUNCTION("""COMPUTED_VALUE"""),"Vella")</f>
        <v>Vella</v>
      </c>
      <c r="AF194" s="285" t="str">
        <f>IFERROR(__xludf.DUMMYFUNCTION("""COMPUTED_VALUE"""),"085156904985")</f>
        <v>085156904985</v>
      </c>
      <c r="AG194" s="285" t="str">
        <f>IFERROR(__xludf.DUMMYFUNCTION("""COMPUTED_VALUE"""),"Gagal")</f>
        <v>Gagal</v>
      </c>
      <c r="AH194" s="285" t="str">
        <f>IFERROR(__xludf.DUMMYFUNCTION("""COMPUTED_VALUE"""),"2H1M")</f>
        <v>2H1M</v>
      </c>
      <c r="AI194" s="287"/>
      <c r="AJ194" s="285">
        <f>IFERROR(__xludf.DUMMYFUNCTION("""COMPUTED_VALUE"""),4.0)</f>
        <v>4</v>
      </c>
      <c r="AK194" s="289"/>
      <c r="AL194" s="285" t="str">
        <f>IFERROR(__xludf.DUMMYFUNCTION("""COMPUTED_VALUE"""),"gada kelanjutan")</f>
        <v>gada kelanjutan</v>
      </c>
    </row>
    <row r="195">
      <c r="F195" s="285" t="str">
        <f>IFERROR(__xludf.DUMMYFUNCTION("""COMPUTED_VALUE"""),"2605A100")</f>
        <v>2605A100</v>
      </c>
      <c r="G195" s="286">
        <f>IFERROR(__xludf.DUMMYFUNCTION("""COMPUTED_VALUE"""),46160.0)</f>
        <v>46160</v>
      </c>
      <c r="H195" s="285" t="str">
        <f>IFERROR(__xludf.DUMMYFUNCTION("""COMPUTED_VALUE"""),"Ardi")</f>
        <v>Ardi</v>
      </c>
      <c r="I195" s="285" t="str">
        <f>IFERROR(__xludf.DUMMYFUNCTION("""COMPUTED_VALUE"""),"087809404555")</f>
        <v>087809404555</v>
      </c>
      <c r="J195" s="285" t="str">
        <f>IFERROR(__xludf.DUMMYFUNCTION("""COMPUTED_VALUE"""),"Prospek")</f>
        <v>Prospek</v>
      </c>
      <c r="K195" s="285" t="str">
        <f>IFERROR(__xludf.DUMMYFUNCTION("""COMPUTED_VALUE"""),"3h2m a")</f>
        <v>3h2m a</v>
      </c>
      <c r="L195" s="287"/>
      <c r="M195" s="285">
        <f>IFERROR(__xludf.DUMMYFUNCTION("""COMPUTED_VALUE"""),75.0)</f>
        <v>75</v>
      </c>
      <c r="N195" s="289">
        <f>IFERROR(__xludf.DUMMYFUNCTION("""COMPUTED_VALUE"""),1.35E8)</f>
        <v>135000000</v>
      </c>
      <c r="O195" s="285" t="str">
        <f>IFERROR(__xludf.DUMMYFUNCTION("""COMPUTED_VALUE"""),"fu 8 agustus")</f>
        <v>fu 8 agustus</v>
      </c>
      <c r="P195" s="320"/>
      <c r="R195" s="285"/>
      <c r="S195" s="285"/>
      <c r="T195" s="285"/>
      <c r="U195" s="285"/>
      <c r="V195" s="285"/>
      <c r="W195" s="285"/>
      <c r="X195" s="285"/>
      <c r="Y195" s="285"/>
      <c r="Z195" s="285"/>
      <c r="AA195" s="285"/>
      <c r="AC195" s="285" t="str">
        <f>IFERROR(__xludf.DUMMYFUNCTION("""COMPUTED_VALUE"""),"2604A001")</f>
        <v>2604A001</v>
      </c>
      <c r="AD195" s="286">
        <f>IFERROR(__xludf.DUMMYFUNCTION("""COMPUTED_VALUE"""),46113.0)</f>
        <v>46113</v>
      </c>
      <c r="AE195" s="285" t="str">
        <f>IFERROR(__xludf.DUMMYFUNCTION("""COMPUTED_VALUE"""),"Silvi")</f>
        <v>Silvi</v>
      </c>
      <c r="AF195" s="285" t="str">
        <f>IFERROR(__xludf.DUMMYFUNCTION("""COMPUTED_VALUE"""),"085263434303")</f>
        <v>085263434303</v>
      </c>
      <c r="AG195" s="285" t="str">
        <f>IFERROR(__xludf.DUMMYFUNCTION("""COMPUTED_VALUE"""),"Gagal")</f>
        <v>Gagal</v>
      </c>
      <c r="AH195" s="285" t="str">
        <f>IFERROR(__xludf.DUMMYFUNCTION("""COMPUTED_VALUE"""),"trip custom")</f>
        <v>trip custom</v>
      </c>
      <c r="AI195" s="287"/>
      <c r="AJ195" s="285">
        <f>IFERROR(__xludf.DUMMYFUNCTION("""COMPUTED_VALUE"""),2.0)</f>
        <v>2</v>
      </c>
      <c r="AK195" s="289"/>
      <c r="AL195" s="285" t="str">
        <f>IFERROR(__xludf.DUMMYFUNCTION("""COMPUTED_VALUE"""),"lewat tanggal. sdh fu tdk ada jawaban")</f>
        <v>lewat tanggal. sdh fu tdk ada jawaban</v>
      </c>
    </row>
    <row r="196">
      <c r="F196" s="285" t="str">
        <f>IFERROR(__xludf.DUMMYFUNCTION("""COMPUTED_VALUE"""),"2605A174")</f>
        <v>2605A174</v>
      </c>
      <c r="G196" s="286">
        <f>IFERROR(__xludf.DUMMYFUNCTION("""COMPUTED_VALUE"""),46163.0)</f>
        <v>46163</v>
      </c>
      <c r="H196" s="285" t="str">
        <f>IFERROR(__xludf.DUMMYFUNCTION("""COMPUTED_VALUE"""),"Inggrid")</f>
        <v>Inggrid</v>
      </c>
      <c r="I196" s="285" t="str">
        <f>IFERROR(__xludf.DUMMYFUNCTION("""COMPUTED_VALUE"""),"081807130203")</f>
        <v>081807130203</v>
      </c>
      <c r="J196" s="285" t="str">
        <f>IFERROR(__xludf.DUMMYFUNCTION("""COMPUTED_VALUE"""),"Prospek")</f>
        <v>Prospek</v>
      </c>
      <c r="K196" s="285" t="str">
        <f>IFERROR(__xludf.DUMMYFUNCTION("""COMPUTED_VALUE"""),"3h2m")</f>
        <v>3h2m</v>
      </c>
      <c r="L196" s="287"/>
      <c r="M196" s="285"/>
      <c r="N196" s="289"/>
      <c r="O196" s="285" t="str">
        <f>IFERROR(__xludf.DUMMYFUNCTION("""COMPUTED_VALUE"""),"fu 12 juni")</f>
        <v>fu 12 juni</v>
      </c>
      <c r="P196" s="320"/>
      <c r="R196" s="285"/>
      <c r="S196" s="285"/>
      <c r="T196" s="285"/>
      <c r="U196" s="285"/>
      <c r="V196" s="285"/>
      <c r="W196" s="285"/>
      <c r="X196" s="285"/>
      <c r="Y196" s="285"/>
      <c r="Z196" s="285"/>
      <c r="AA196" s="285"/>
      <c r="AC196" s="285" t="str">
        <f>IFERROR(__xludf.DUMMYFUNCTION("""COMPUTED_VALUE"""),"2604A002")</f>
        <v>2604A002</v>
      </c>
      <c r="AD196" s="286">
        <f>IFERROR(__xludf.DUMMYFUNCTION("""COMPUTED_VALUE"""),46113.0)</f>
        <v>46113</v>
      </c>
      <c r="AE196" s="285" t="str">
        <f>IFERROR(__xludf.DUMMYFUNCTION("""COMPUTED_VALUE"""),"Hilda")</f>
        <v>Hilda</v>
      </c>
      <c r="AF196" s="285" t="str">
        <f>IFERROR(__xludf.DUMMYFUNCTION("""COMPUTED_VALUE"""),"085892683767")</f>
        <v>085892683767</v>
      </c>
      <c r="AG196" s="285" t="str">
        <f>IFERROR(__xludf.DUMMYFUNCTION("""COMPUTED_VALUE"""),"Gagal")</f>
        <v>Gagal</v>
      </c>
      <c r="AH196" s="285" t="str">
        <f>IFERROR(__xludf.DUMMYFUNCTION("""COMPUTED_VALUE"""),"2h1m opsi B")</f>
        <v>2h1m opsi B</v>
      </c>
      <c r="AI196" s="287"/>
      <c r="AJ196" s="285">
        <f>IFERROR(__xludf.DUMMYFUNCTION("""COMPUTED_VALUE"""),3.0)</f>
        <v>3</v>
      </c>
      <c r="AK196" s="289"/>
      <c r="AL196" s="285" t="str">
        <f>IFERROR(__xludf.DUMMYFUNCTION("""COMPUTED_VALUE"""),"gada balasan")</f>
        <v>gada balasan</v>
      </c>
    </row>
    <row r="197">
      <c r="F197" s="285" t="str">
        <f>IFERROR(__xludf.DUMMYFUNCTION("""COMPUTED_VALUE"""),"2606A002")</f>
        <v>2606A002</v>
      </c>
      <c r="G197" s="286">
        <f>IFERROR(__xludf.DUMMYFUNCTION("""COMPUTED_VALUE"""),46174.0)</f>
        <v>46174</v>
      </c>
      <c r="H197" s="285" t="str">
        <f>IFERROR(__xludf.DUMMYFUNCTION("""COMPUTED_VALUE"""),"Andin")</f>
        <v>Andin</v>
      </c>
      <c r="I197" s="285" t="str">
        <f>IFERROR(__xludf.DUMMYFUNCTION("""COMPUTED_VALUE"""),"08388605526")</f>
        <v>08388605526</v>
      </c>
      <c r="J197" s="285" t="str">
        <f>IFERROR(__xludf.DUMMYFUNCTION("""COMPUTED_VALUE"""),"Prospek")</f>
        <v>Prospek</v>
      </c>
      <c r="K197" s="285" t="str">
        <f>IFERROR(__xludf.DUMMYFUNCTION("""COMPUTED_VALUE"""),"3h2m opsi a")</f>
        <v>3h2m opsi a</v>
      </c>
      <c r="L197" s="287"/>
      <c r="M197" s="285">
        <f>IFERROR(__xludf.DUMMYFUNCTION("""COMPUTED_VALUE"""),2.0)</f>
        <v>2</v>
      </c>
      <c r="N197" s="289">
        <f>IFERROR(__xludf.DUMMYFUNCTION("""COMPUTED_VALUE"""),6128000.0)</f>
        <v>6128000</v>
      </c>
      <c r="O197" s="285" t="str">
        <f>IFERROR(__xludf.DUMMYFUNCTION("""COMPUTED_VALUE"""),"fu 6 agustus")</f>
        <v>fu 6 agustus</v>
      </c>
      <c r="P197" s="320"/>
      <c r="R197" s="285"/>
      <c r="S197" s="285"/>
      <c r="T197" s="285"/>
      <c r="U197" s="285"/>
      <c r="V197" s="285"/>
      <c r="W197" s="285"/>
      <c r="X197" s="285"/>
      <c r="Y197" s="285"/>
      <c r="Z197" s="285"/>
      <c r="AA197" s="285"/>
      <c r="AC197" s="285" t="str">
        <f>IFERROR(__xludf.DUMMYFUNCTION("""COMPUTED_VALUE"""),"2604A003")</f>
        <v>2604A003</v>
      </c>
      <c r="AD197" s="286">
        <f>IFERROR(__xludf.DUMMYFUNCTION("""COMPUTED_VALUE"""),46113.0)</f>
        <v>46113</v>
      </c>
      <c r="AE197" s="285" t="str">
        <f>IFERROR(__xludf.DUMMYFUNCTION("""COMPUTED_VALUE"""),"Ridha Yunita")</f>
        <v>Ridha Yunita</v>
      </c>
      <c r="AF197" s="285" t="str">
        <f>IFERROR(__xludf.DUMMYFUNCTION("""COMPUTED_VALUE"""),"085648223685")</f>
        <v>085648223685</v>
      </c>
      <c r="AG197" s="285" t="str">
        <f>IFERROR(__xludf.DUMMYFUNCTION("""COMPUTED_VALUE"""),"Gagal")</f>
        <v>Gagal</v>
      </c>
      <c r="AH197" s="285" t="str">
        <f>IFERROR(__xludf.DUMMYFUNCTION("""COMPUTED_VALUE"""),"OT 1D D, PM, teluk ijo")</f>
        <v>OT 1D D, PM, teluk ijo</v>
      </c>
      <c r="AI197" s="287"/>
      <c r="AJ197" s="285">
        <f>IFERROR(__xludf.DUMMYFUNCTION("""COMPUTED_VALUE"""),3.0)</f>
        <v>3</v>
      </c>
      <c r="AK197" s="289"/>
      <c r="AL197" s="285" t="str">
        <f>IFERROR(__xludf.DUMMYFUNCTION("""COMPUTED_VALUE"""),"cancel karna ada suatu hal")</f>
        <v>cancel karna ada suatu hal</v>
      </c>
    </row>
    <row r="198">
      <c r="F198" s="285" t="str">
        <f>IFERROR(__xludf.DUMMYFUNCTION("""COMPUTED_VALUE"""),"2606A008")</f>
        <v>2606A008</v>
      </c>
      <c r="G198" s="286">
        <f>IFERROR(__xludf.DUMMYFUNCTION("""COMPUTED_VALUE"""),46175.0)</f>
        <v>46175</v>
      </c>
      <c r="H198" s="336" t="str">
        <f>IFERROR(__xludf.DUMMYFUNCTION("""COMPUTED_VALUE"""),"Shanty.Fitria.id")</f>
        <v>Shanty.Fitria.id</v>
      </c>
      <c r="I198" s="285" t="str">
        <f>IFERROR(__xludf.DUMMYFUNCTION("""COMPUTED_VALUE"""),"087751821466")</f>
        <v>087751821466</v>
      </c>
      <c r="J198" s="285" t="str">
        <f>IFERROR(__xludf.DUMMYFUNCTION("""COMPUTED_VALUE"""),"Prospek")</f>
        <v>Prospek</v>
      </c>
      <c r="K198" s="285" t="str">
        <f>IFERROR(__xludf.DUMMYFUNCTION("""COMPUTED_VALUE"""),"ot djabal ")</f>
        <v>ot djabal </v>
      </c>
      <c r="L198" s="287"/>
      <c r="M198" s="285">
        <f>IFERROR(__xludf.DUMMYFUNCTION("""COMPUTED_VALUE"""),1.0)</f>
        <v>1</v>
      </c>
      <c r="N198" s="289">
        <f>IFERROR(__xludf.DUMMYFUNCTION("""COMPUTED_VALUE"""),550000.0)</f>
        <v>550000</v>
      </c>
      <c r="O198" s="285" t="str">
        <f>IFERROR(__xludf.DUMMYFUNCTION("""COMPUTED_VALUE"""),"fu 15 juni hanya menyapa")</f>
        <v>fu 15 juni hanya menyapa</v>
      </c>
      <c r="P198" s="320"/>
      <c r="R198" s="285"/>
      <c r="S198" s="285"/>
      <c r="T198" s="285"/>
      <c r="U198" s="285"/>
      <c r="V198" s="285"/>
      <c r="W198" s="285"/>
      <c r="X198" s="285"/>
      <c r="Y198" s="285"/>
      <c r="Z198" s="285"/>
      <c r="AA198" s="285"/>
      <c r="AC198" s="285" t="str">
        <f>IFERROR(__xludf.DUMMYFUNCTION("""COMPUTED_VALUE"""),"2604A004")</f>
        <v>2604A004</v>
      </c>
      <c r="AD198" s="286">
        <f>IFERROR(__xludf.DUMMYFUNCTION("""COMPUTED_VALUE"""),46113.0)</f>
        <v>46113</v>
      </c>
      <c r="AE198" s="285" t="str">
        <f>IFERROR(__xludf.DUMMYFUNCTION("""COMPUTED_VALUE"""),"Natasya Lavebellita")</f>
        <v>Natasya Lavebellita</v>
      </c>
      <c r="AF198" s="285" t="str">
        <f>IFERROR(__xludf.DUMMYFUNCTION("""COMPUTED_VALUE"""),"085649074001")</f>
        <v>085649074001</v>
      </c>
      <c r="AG198" s="285" t="str">
        <f>IFERROR(__xludf.DUMMYFUNCTION("""COMPUTED_VALUE"""),"Gagal")</f>
        <v>Gagal</v>
      </c>
      <c r="AH198" s="285" t="str">
        <f>IFERROR(__xludf.DUMMYFUNCTION("""COMPUTED_VALUE"""),"1D B, D")</f>
        <v>1D B, D</v>
      </c>
      <c r="AI198" s="287">
        <f>IFERROR(__xludf.DUMMYFUNCTION("""COMPUTED_VALUE"""),46123.0)</f>
        <v>46123</v>
      </c>
      <c r="AJ198" s="285"/>
      <c r="AK198" s="289"/>
      <c r="AL198" s="285" t="str">
        <f>IFERROR(__xludf.DUMMYFUNCTION("""COMPUTED_VALUE"""),"tidak ada balasan")</f>
        <v>tidak ada balasan</v>
      </c>
    </row>
    <row r="199">
      <c r="F199" s="285" t="str">
        <f>IFERROR(__xludf.DUMMYFUNCTION("""COMPUTED_VALUE"""),"2606A016")</f>
        <v>2606A016</v>
      </c>
      <c r="G199" s="286">
        <f>IFERROR(__xludf.DUMMYFUNCTION("""COMPUTED_VALUE"""),46176.0)</f>
        <v>46176</v>
      </c>
      <c r="H199" s="285" t="str">
        <f>IFERROR(__xludf.DUMMYFUNCTION("""COMPUTED_VALUE"""),"Erna")</f>
        <v>Erna</v>
      </c>
      <c r="I199" s="285" t="str">
        <f>IFERROR(__xludf.DUMMYFUNCTION("""COMPUTED_VALUE"""),"08568698886")</f>
        <v>08568698886</v>
      </c>
      <c r="J199" s="285" t="str">
        <f>IFERROR(__xludf.DUMMYFUNCTION("""COMPUTED_VALUE"""),"Prospek")</f>
        <v>Prospek</v>
      </c>
      <c r="K199" s="285" t="str">
        <f>IFERROR(__xludf.DUMMYFUNCTION("""COMPUTED_VALUE"""),"3h2m")</f>
        <v>3h2m</v>
      </c>
      <c r="L199" s="287"/>
      <c r="M199" s="285">
        <f>IFERROR(__xludf.DUMMYFUNCTION("""COMPUTED_VALUE"""),4.0)</f>
        <v>4</v>
      </c>
      <c r="N199" s="289">
        <f>IFERROR(__xludf.DUMMYFUNCTION("""COMPUTED_VALUE"""),3060000.0)</f>
        <v>3060000</v>
      </c>
      <c r="O199" s="285" t="str">
        <f>IFERROR(__xludf.DUMMYFUNCTION("""COMPUTED_VALUE"""),"fu 22 juni")</f>
        <v>fu 22 juni</v>
      </c>
      <c r="P199" s="320"/>
      <c r="R199" s="285"/>
      <c r="S199" s="285"/>
      <c r="T199" s="285"/>
      <c r="U199" s="285"/>
      <c r="V199" s="285"/>
      <c r="W199" s="285"/>
      <c r="X199" s="285"/>
      <c r="Y199" s="285"/>
      <c r="Z199" s="285"/>
      <c r="AA199" s="285"/>
      <c r="AC199" s="285" t="str">
        <f>IFERROR(__xludf.DUMMYFUNCTION("""COMPUTED_VALUE"""),"2604A005")</f>
        <v>2604A005</v>
      </c>
      <c r="AD199" s="286">
        <f>IFERROR(__xludf.DUMMYFUNCTION("""COMPUTED_VALUE"""),46113.0)</f>
        <v>46113</v>
      </c>
      <c r="AE199" s="285" t="str">
        <f>IFERROR(__xludf.DUMMYFUNCTION("""COMPUTED_VALUE"""),"Maulina Sefi")</f>
        <v>Maulina Sefi</v>
      </c>
      <c r="AF199" s="285" t="str">
        <f>IFERROR(__xludf.DUMMYFUNCTION("""COMPUTED_VALUE"""),"085730578147")</f>
        <v>085730578147</v>
      </c>
      <c r="AG199" s="285" t="str">
        <f>IFERROR(__xludf.DUMMYFUNCTION("""COMPUTED_VALUE"""),"Gagal")</f>
        <v>Gagal</v>
      </c>
      <c r="AH199" s="285" t="str">
        <f>IFERROR(__xludf.DUMMYFUNCTION("""COMPUTED_VALUE"""),"OT M, T")</f>
        <v>OT M, T</v>
      </c>
      <c r="AI199" s="287">
        <f>IFERROR(__xludf.DUMMYFUNCTION("""COMPUTED_VALUE"""),46117.0)</f>
        <v>46117</v>
      </c>
      <c r="AJ199" s="285">
        <f>IFERROR(__xludf.DUMMYFUNCTION("""COMPUTED_VALUE"""),2.0)</f>
        <v>2</v>
      </c>
      <c r="AK199" s="289">
        <f>IFERROR(__xludf.DUMMYFUNCTION("""COMPUTED_VALUE"""),295000.0)</f>
        <v>295000</v>
      </c>
      <c r="AL199" s="285" t="str">
        <f>IFERROR(__xludf.DUMMYFUNCTION("""COMPUTED_VALUE"""),"tidak jadi")</f>
        <v>tidak jadi</v>
      </c>
    </row>
    <row r="200">
      <c r="F200" s="285" t="str">
        <f>IFERROR(__xludf.DUMMYFUNCTION("""COMPUTED_VALUE"""),"2606A031")</f>
        <v>2606A031</v>
      </c>
      <c r="G200" s="286">
        <f>IFERROR(__xludf.DUMMYFUNCTION("""COMPUTED_VALUE"""),46179.0)</f>
        <v>46179</v>
      </c>
      <c r="H200" s="285" t="str">
        <f>IFERROR(__xludf.DUMMYFUNCTION("""COMPUTED_VALUE"""),"Evelyn Patricia")</f>
        <v>Evelyn Patricia</v>
      </c>
      <c r="I200" s="285" t="str">
        <f>IFERROR(__xludf.DUMMYFUNCTION("""COMPUTED_VALUE"""),"082255427210")</f>
        <v>082255427210</v>
      </c>
      <c r="J200" s="285" t="str">
        <f>IFERROR(__xludf.DUMMYFUNCTION("""COMPUTED_VALUE"""),"Prospek")</f>
        <v>Prospek</v>
      </c>
      <c r="K200" s="285" t="str">
        <f>IFERROR(__xludf.DUMMYFUNCTION("""COMPUTED_VALUE"""),"ot 3h2m")</f>
        <v>ot 3h2m</v>
      </c>
      <c r="L200" s="287"/>
      <c r="M200" s="285">
        <f>IFERROR(__xludf.DUMMYFUNCTION("""COMPUTED_VALUE"""),3.0)</f>
        <v>3</v>
      </c>
      <c r="N200" s="289">
        <f>IFERROR(__xludf.DUMMYFUNCTION("""COMPUTED_VALUE"""),4800000.0)</f>
        <v>4800000</v>
      </c>
      <c r="O200" s="285" t="str">
        <f>IFERROR(__xludf.DUMMYFUNCTION("""COMPUTED_VALUE"""),"fu 5 agustus")</f>
        <v>fu 5 agustus</v>
      </c>
      <c r="P200" s="320"/>
      <c r="R200" s="285"/>
      <c r="S200" s="285"/>
      <c r="T200" s="285"/>
      <c r="U200" s="285"/>
      <c r="V200" s="285"/>
      <c r="W200" s="285"/>
      <c r="X200" s="285"/>
      <c r="Y200" s="285"/>
      <c r="Z200" s="285"/>
      <c r="AA200" s="285"/>
      <c r="AC200" s="285" t="str">
        <f>IFERROR(__xludf.DUMMYFUNCTION("""COMPUTED_VALUE"""),"2604A006")</f>
        <v>2604A006</v>
      </c>
      <c r="AD200" s="286">
        <f>IFERROR(__xludf.DUMMYFUNCTION("""COMPUTED_VALUE"""),46114.0)</f>
        <v>46114</v>
      </c>
      <c r="AE200" s="285" t="str">
        <f>IFERROR(__xludf.DUMMYFUNCTION("""COMPUTED_VALUE"""),"Bila")</f>
        <v>Bila</v>
      </c>
      <c r="AF200" s="285" t="str">
        <f>IFERROR(__xludf.DUMMYFUNCTION("""COMPUTED_VALUE"""),"081223853354")</f>
        <v>081223853354</v>
      </c>
      <c r="AG200" s="285" t="str">
        <f>IFERROR(__xludf.DUMMYFUNCTION("""COMPUTED_VALUE"""),"Gagal")</f>
        <v>Gagal</v>
      </c>
      <c r="AH200" s="285" t="str">
        <f>IFERROR(__xludf.DUMMYFUNCTION("""COMPUTED_VALUE"""),"1D green island")</f>
        <v>1D green island</v>
      </c>
      <c r="AI200" s="287"/>
      <c r="AJ200" s="285">
        <f>IFERROR(__xludf.DUMMYFUNCTION("""COMPUTED_VALUE"""),7.0)</f>
        <v>7</v>
      </c>
      <c r="AK200" s="289">
        <f>IFERROR(__xludf.DUMMYFUNCTION("""COMPUTED_VALUE"""),3822000.0)</f>
        <v>3822000</v>
      </c>
      <c r="AL200" s="285" t="str">
        <f>IFERROR(__xludf.DUMMYFUNCTION("""COMPUTED_VALUE"""),"buat penawaran, tidak ada balasan")</f>
        <v>buat penawaran, tidak ada balasan</v>
      </c>
    </row>
    <row r="201">
      <c r="F201" s="285" t="str">
        <f>IFERROR(__xludf.DUMMYFUNCTION("""COMPUTED_VALUE"""),"2607A090")</f>
        <v>2607A090</v>
      </c>
      <c r="G201" s="286">
        <f>IFERROR(__xludf.DUMMYFUNCTION("""COMPUTED_VALUE"""),46217.0)</f>
        <v>46217</v>
      </c>
      <c r="H201" s="285" t="str">
        <f>IFERROR(__xludf.DUMMYFUNCTION("""COMPUTED_VALUE"""),"elies")</f>
        <v>elies</v>
      </c>
      <c r="I201" s="285" t="str">
        <f>IFERROR(__xludf.DUMMYFUNCTION("""COMPUTED_VALUE"""),"082117699364")</f>
        <v>082117699364</v>
      </c>
      <c r="J201" s="285" t="str">
        <f>IFERROR(__xludf.DUMMYFUNCTION("""COMPUTED_VALUE"""),"Prospek")</f>
        <v>Prospek</v>
      </c>
      <c r="K201" s="285" t="str">
        <f>IFERROR(__xludf.DUMMYFUNCTION("""COMPUTED_VALUE"""),"2h1m custom")</f>
        <v>2h1m custom</v>
      </c>
      <c r="L201" s="287">
        <f>IFERROR(__xludf.DUMMYFUNCTION("""COMPUTED_VALUE"""),46260.0)</f>
        <v>46260</v>
      </c>
      <c r="M201" s="285">
        <f>IFERROR(__xludf.DUMMYFUNCTION("""COMPUTED_VALUE"""),2.0)</f>
        <v>2</v>
      </c>
      <c r="N201" s="289">
        <f>IFERROR(__xludf.DUMMYFUNCTION("""COMPUTED_VALUE"""),5740000.0)</f>
        <v>5740000</v>
      </c>
      <c r="O201" s="285" t="str">
        <f>IFERROR(__xludf.DUMMYFUNCTION("""COMPUTED_VALUE"""),"fu 27 Juli")</f>
        <v>fu 27 Juli</v>
      </c>
      <c r="P201" s="320"/>
      <c r="R201" s="285"/>
      <c r="S201" s="285"/>
      <c r="T201" s="285"/>
      <c r="U201" s="285"/>
      <c r="V201" s="285"/>
      <c r="W201" s="285"/>
      <c r="X201" s="285"/>
      <c r="Y201" s="285"/>
      <c r="Z201" s="285"/>
      <c r="AA201" s="285"/>
      <c r="AC201" s="285" t="str">
        <f>IFERROR(__xludf.DUMMYFUNCTION("""COMPUTED_VALUE"""),"2604A007")</f>
        <v>2604A007</v>
      </c>
      <c r="AD201" s="286">
        <f>IFERROR(__xludf.DUMMYFUNCTION("""COMPUTED_VALUE"""),46114.0)</f>
        <v>46114</v>
      </c>
      <c r="AE201" s="285" t="str">
        <f>IFERROR(__xludf.DUMMYFUNCTION("""COMPUTED_VALUE"""),"Novi")</f>
        <v>Novi</v>
      </c>
      <c r="AF201" s="285" t="str">
        <f>IFERROR(__xludf.DUMMYFUNCTION("""COMPUTED_VALUE"""),"08129524407")</f>
        <v>08129524407</v>
      </c>
      <c r="AG201" s="285" t="str">
        <f>IFERROR(__xludf.DUMMYFUNCTION("""COMPUTED_VALUE"""),"Gagal")</f>
        <v>Gagal</v>
      </c>
      <c r="AH201" s="285" t="str">
        <f>IFERROR(__xludf.DUMMYFUNCTION("""COMPUTED_VALUE"""),"2H1M Opsi B")</f>
        <v>2H1M Opsi B</v>
      </c>
      <c r="AI201" s="287"/>
      <c r="AJ201" s="285">
        <f>IFERROR(__xludf.DUMMYFUNCTION("""COMPUTED_VALUE"""),6.0)</f>
        <v>6</v>
      </c>
      <c r="AK201" s="289">
        <f>IFERROR(__xludf.DUMMYFUNCTION("""COMPUTED_VALUE"""),8040000.0)</f>
        <v>8040000</v>
      </c>
      <c r="AL201" s="285" t="str">
        <f>IFERROR(__xludf.DUMMYFUNCTION("""COMPUTED_VALUE"""),"nanti dihubungi jika sudah fiks paxnya, fu juni")</f>
        <v>nanti dihubungi jika sudah fiks paxnya, fu juni</v>
      </c>
    </row>
    <row r="202">
      <c r="F202" s="285" t="str">
        <f>IFERROR(__xludf.DUMMYFUNCTION("""COMPUTED_VALUE"""),"2607A102")</f>
        <v>2607A102</v>
      </c>
      <c r="G202" s="286">
        <f>IFERROR(__xludf.DUMMYFUNCTION("""COMPUTED_VALUE"""),46219.0)</f>
        <v>46219</v>
      </c>
      <c r="H202" s="285" t="str">
        <f>IFERROR(__xludf.DUMMYFUNCTION("""COMPUTED_VALUE"""),"Melan")</f>
        <v>Melan</v>
      </c>
      <c r="I202" s="285" t="str">
        <f>IFERROR(__xludf.DUMMYFUNCTION("""COMPUTED_VALUE"""),"08111563390")</f>
        <v>08111563390</v>
      </c>
      <c r="J202" s="285" t="str">
        <f>IFERROR(__xludf.DUMMYFUNCTION("""COMPUTED_VALUE"""),"Prospek")</f>
        <v>Prospek</v>
      </c>
      <c r="K202" s="285" t="str">
        <f>IFERROR(__xludf.DUMMYFUNCTION("""COMPUTED_VALUE"""),"3h2m")</f>
        <v>3h2m</v>
      </c>
      <c r="L202" s="287"/>
      <c r="M202" s="285">
        <f>IFERROR(__xludf.DUMMYFUNCTION("""COMPUTED_VALUE"""),2.0)</f>
        <v>2</v>
      </c>
      <c r="N202" s="289">
        <f>IFERROR(__xludf.DUMMYFUNCTION("""COMPUTED_VALUE"""),6200000.0)</f>
        <v>6200000</v>
      </c>
      <c r="O202" s="285" t="str">
        <f>IFERROR(__xludf.DUMMYFUNCTION("""COMPUTED_VALUE"""),"fu 30 juli")</f>
        <v>fu 30 juli</v>
      </c>
      <c r="P202" s="320"/>
      <c r="R202" s="285"/>
      <c r="S202" s="285"/>
      <c r="T202" s="285"/>
      <c r="U202" s="285"/>
      <c r="V202" s="285"/>
      <c r="W202" s="285"/>
      <c r="X202" s="285"/>
      <c r="Y202" s="285"/>
      <c r="Z202" s="285"/>
      <c r="AA202" s="285"/>
      <c r="AC202" s="285" t="str">
        <f>IFERROR(__xludf.DUMMYFUNCTION("""COMPUTED_VALUE"""),"2604A008")</f>
        <v>2604A008</v>
      </c>
      <c r="AD202" s="286">
        <f>IFERROR(__xludf.DUMMYFUNCTION("""COMPUTED_VALUE"""),46114.0)</f>
        <v>46114</v>
      </c>
      <c r="AE202" s="285" t="str">
        <f>IFERROR(__xludf.DUMMYFUNCTION("""COMPUTED_VALUE"""),"Siswati Utami")</f>
        <v>Siswati Utami</v>
      </c>
      <c r="AF202" s="285" t="str">
        <f>IFERROR(__xludf.DUMMYFUNCTION("""COMPUTED_VALUE"""),"082236322033")</f>
        <v>082236322033</v>
      </c>
      <c r="AG202" s="285" t="str">
        <f>IFERROR(__xludf.DUMMYFUNCTION("""COMPUTED_VALUE"""),"Gagal")</f>
        <v>Gagal</v>
      </c>
      <c r="AH202" s="285" t="str">
        <f>IFERROR(__xludf.DUMMYFUNCTION("""COMPUTED_VALUE"""),"1D D, B")</f>
        <v>1D D, B</v>
      </c>
      <c r="AI202" s="287"/>
      <c r="AJ202" s="285">
        <f>IFERROR(__xludf.DUMMYFUNCTION("""COMPUTED_VALUE"""),3.0)</f>
        <v>3</v>
      </c>
      <c r="AK202" s="289">
        <f>IFERROR(__xludf.DUMMYFUNCTION("""COMPUTED_VALUE"""),1875000.0)</f>
        <v>1875000</v>
      </c>
      <c r="AL202" s="285" t="str">
        <f>IFERROR(__xludf.DUMMYFUNCTION("""COMPUTED_VALUE"""),"ga ada kelanjutan")</f>
        <v>ga ada kelanjutan</v>
      </c>
    </row>
    <row r="203">
      <c r="F203" s="285" t="str">
        <f>IFERROR(__xludf.DUMMYFUNCTION("""COMPUTED_VALUE"""),"2607A018")</f>
        <v>2607A018</v>
      </c>
      <c r="G203" s="286">
        <f>IFERROR(__xludf.DUMMYFUNCTION("""COMPUTED_VALUE"""),46205.0)</f>
        <v>46205</v>
      </c>
      <c r="H203" s="285" t="str">
        <f>IFERROR(__xludf.DUMMYFUNCTION("""COMPUTED_VALUE"""),"Antonius")</f>
        <v>Antonius</v>
      </c>
      <c r="I203" s="285" t="str">
        <f>IFERROR(__xludf.DUMMYFUNCTION("""COMPUTED_VALUE"""),"08164885392")</f>
        <v>08164885392</v>
      </c>
      <c r="J203" s="285" t="str">
        <f>IFERROR(__xludf.DUMMYFUNCTION("""COMPUTED_VALUE"""),"Follow Up")</f>
        <v>Follow Up</v>
      </c>
      <c r="K203" s="285" t="str">
        <f>IFERROR(__xludf.DUMMYFUNCTION("""COMPUTED_VALUE"""),"2h1m opsi b")</f>
        <v>2h1m opsi b</v>
      </c>
      <c r="L203" s="287"/>
      <c r="M203" s="285">
        <f>IFERROR(__xludf.DUMMYFUNCTION("""COMPUTED_VALUE"""),2.0)</f>
        <v>2</v>
      </c>
      <c r="N203" s="289"/>
      <c r="O203" s="285"/>
      <c r="P203" s="320"/>
      <c r="R203" s="285"/>
      <c r="S203" s="285"/>
      <c r="T203" s="285"/>
      <c r="U203" s="285"/>
      <c r="V203" s="285"/>
      <c r="W203" s="285"/>
      <c r="X203" s="285"/>
      <c r="Y203" s="285"/>
      <c r="Z203" s="285"/>
      <c r="AA203" s="285"/>
      <c r="AC203" s="285" t="str">
        <f>IFERROR(__xludf.DUMMYFUNCTION("""COMPUTED_VALUE"""),"2604A009")</f>
        <v>2604A009</v>
      </c>
      <c r="AD203" s="286">
        <f>IFERROR(__xludf.DUMMYFUNCTION("""COMPUTED_VALUE"""),46115.0)</f>
        <v>46115</v>
      </c>
      <c r="AE203" s="285" t="str">
        <f>IFERROR(__xludf.DUMMYFUNCTION("""COMPUTED_VALUE"""),"Dewi")</f>
        <v>Dewi</v>
      </c>
      <c r="AF203" s="285" t="str">
        <f>IFERROR(__xludf.DUMMYFUNCTION("""COMPUTED_VALUE"""),"085880530215")</f>
        <v>085880530215</v>
      </c>
      <c r="AG203" s="285" t="str">
        <f>IFERROR(__xludf.DUMMYFUNCTION("""COMPUTED_VALUE"""),"Gagal")</f>
        <v>Gagal</v>
      </c>
      <c r="AH203" s="285" t="str">
        <f>IFERROR(__xludf.DUMMYFUNCTION("""COMPUTED_VALUE"""),"3H2M opsi A")</f>
        <v>3H2M opsi A</v>
      </c>
      <c r="AI203" s="287"/>
      <c r="AJ203" s="285">
        <f>IFERROR(__xludf.DUMMYFUNCTION("""COMPUTED_VALUE"""),2.0)</f>
        <v>2</v>
      </c>
      <c r="AK203" s="289"/>
      <c r="AL203" s="285" t="str">
        <f>IFERROR(__xludf.DUMMYFUNCTION("""COMPUTED_VALUE"""),"gada balasan")</f>
        <v>gada balasan</v>
      </c>
    </row>
    <row r="204">
      <c r="F204" s="285" t="str">
        <f>IFERROR(__xludf.DUMMYFUNCTION("""COMPUTED_VALUE"""),"2607A024")</f>
        <v>2607A024</v>
      </c>
      <c r="G204" s="286">
        <f>IFERROR(__xludf.DUMMYFUNCTION("""COMPUTED_VALUE"""),46205.0)</f>
        <v>46205</v>
      </c>
      <c r="H204" s="285" t="str">
        <f>IFERROR(__xludf.DUMMYFUNCTION("""COMPUTED_VALUE"""),"Firdaus Ramadhan")</f>
        <v>Firdaus Ramadhan</v>
      </c>
      <c r="I204" s="285" t="str">
        <f>IFERROR(__xludf.DUMMYFUNCTION("""COMPUTED_VALUE"""),"081213484025")</f>
        <v>081213484025</v>
      </c>
      <c r="J204" s="285" t="str">
        <f>IFERROR(__xludf.DUMMYFUNCTION("""COMPUTED_VALUE"""),"Follow Up")</f>
        <v>Follow Up</v>
      </c>
      <c r="K204" s="285" t="str">
        <f>IFERROR(__xludf.DUMMYFUNCTION("""COMPUTED_VALUE"""),"ot3h2m")</f>
        <v>ot3h2m</v>
      </c>
      <c r="L204" s="287"/>
      <c r="M204" s="285">
        <f>IFERROR(__xludf.DUMMYFUNCTION("""COMPUTED_VALUE"""),1.0)</f>
        <v>1</v>
      </c>
      <c r="N204" s="289">
        <f>IFERROR(__xludf.DUMMYFUNCTION("""COMPUTED_VALUE"""),1600000.0)</f>
        <v>1600000</v>
      </c>
      <c r="O204" s="285"/>
      <c r="P204" s="320"/>
      <c r="R204" s="285"/>
      <c r="S204" s="285"/>
      <c r="T204" s="285"/>
      <c r="U204" s="285"/>
      <c r="V204" s="285"/>
      <c r="W204" s="285"/>
      <c r="X204" s="285"/>
      <c r="Y204" s="285"/>
      <c r="Z204" s="285"/>
      <c r="AA204" s="285"/>
      <c r="AC204" s="285" t="str">
        <f>IFERROR(__xludf.DUMMYFUNCTION("""COMPUTED_VALUE"""),"2604A011")</f>
        <v>2604A011</v>
      </c>
      <c r="AD204" s="286">
        <f>IFERROR(__xludf.DUMMYFUNCTION("""COMPUTED_VALUE"""),46116.0)</f>
        <v>46116</v>
      </c>
      <c r="AE204" s="285" t="str">
        <f>IFERROR(__xludf.DUMMYFUNCTION("""COMPUTED_VALUE"""),"Anto")</f>
        <v>Anto</v>
      </c>
      <c r="AF204" s="285" t="str">
        <f>IFERROR(__xludf.DUMMYFUNCTION("""COMPUTED_VALUE"""),"085727801119")</f>
        <v>085727801119</v>
      </c>
      <c r="AG204" s="285" t="str">
        <f>IFERROR(__xludf.DUMMYFUNCTION("""COMPUTED_VALUE"""),"Gagal")</f>
        <v>Gagal</v>
      </c>
      <c r="AH204" s="285" t="str">
        <f>IFERROR(__xludf.DUMMYFUNCTION("""COMPUTED_VALUE"""),"OT  D, B")</f>
        <v>OT  D, B</v>
      </c>
      <c r="AI204" s="287">
        <f>IFERROR(__xludf.DUMMYFUNCTION("""COMPUTED_VALUE"""),46119.0)</f>
        <v>46119</v>
      </c>
      <c r="AJ204" s="285">
        <f>IFERROR(__xludf.DUMMYFUNCTION("""COMPUTED_VALUE"""),2.0)</f>
        <v>2</v>
      </c>
      <c r="AK204" s="289">
        <f>IFERROR(__xludf.DUMMYFUNCTION("""COMPUTED_VALUE"""),1100000.0)</f>
        <v>1100000</v>
      </c>
      <c r="AL204" s="285" t="str">
        <f>IFERROR(__xludf.DUMMYFUNCTION("""COMPUTED_VALUE"""),"tidak ada respon")</f>
        <v>tidak ada respon</v>
      </c>
    </row>
    <row r="205">
      <c r="F205" s="285" t="str">
        <f>IFERROR(__xludf.DUMMYFUNCTION("""COMPUTED_VALUE"""),"2606A052")</f>
        <v>2606A052</v>
      </c>
      <c r="G205" s="286">
        <f>IFERROR(__xludf.DUMMYFUNCTION("""COMPUTED_VALUE"""),46209.0)</f>
        <v>46209</v>
      </c>
      <c r="H205" s="285" t="str">
        <f>IFERROR(__xludf.DUMMYFUNCTION("""COMPUTED_VALUE"""),"Dayat")</f>
        <v>Dayat</v>
      </c>
      <c r="I205" s="285" t="str">
        <f>IFERROR(__xludf.DUMMYFUNCTION("""COMPUTED_VALUE"""),"08986944442")</f>
        <v>08986944442</v>
      </c>
      <c r="J205" s="285" t="str">
        <f>IFERROR(__xludf.DUMMYFUNCTION("""COMPUTED_VALUE"""),"Follow Up")</f>
        <v>Follow Up</v>
      </c>
      <c r="K205" s="285" t="str">
        <f>IFERROR(__xludf.DUMMYFUNCTION("""COMPUTED_VALUE"""),"ot mt")</f>
        <v>ot mt</v>
      </c>
      <c r="L205" s="287">
        <f>IFERROR(__xludf.DUMMYFUNCTION("""COMPUTED_VALUE"""),46218.0)</f>
        <v>46218</v>
      </c>
      <c r="M205" s="285">
        <f>IFERROR(__xludf.DUMMYFUNCTION("""COMPUTED_VALUE"""),2.0)</f>
        <v>2</v>
      </c>
      <c r="N205" s="289"/>
      <c r="O205" s="285"/>
      <c r="P205" s="320"/>
      <c r="R205" s="285"/>
      <c r="S205" s="285"/>
      <c r="T205" s="285"/>
      <c r="U205" s="285"/>
      <c r="V205" s="285"/>
      <c r="W205" s="285"/>
      <c r="X205" s="285"/>
      <c r="Y205" s="285"/>
      <c r="Z205" s="285"/>
      <c r="AA205" s="285"/>
      <c r="AC205" s="285" t="str">
        <f>IFERROR(__xludf.DUMMYFUNCTION("""COMPUTED_VALUE"""),"2604A012")</f>
        <v>2604A012</v>
      </c>
      <c r="AD205" s="286">
        <f>IFERROR(__xludf.DUMMYFUNCTION("""COMPUTED_VALUE"""),46118.0)</f>
        <v>46118</v>
      </c>
      <c r="AE205" s="285" t="str">
        <f>IFERROR(__xludf.DUMMYFUNCTION("""COMPUTED_VALUE"""),"Arina Safira")</f>
        <v>Arina Safira</v>
      </c>
      <c r="AF205" s="285" t="str">
        <f>IFERROR(__xludf.DUMMYFUNCTION("""COMPUTED_VALUE"""),"08111990367")</f>
        <v>08111990367</v>
      </c>
      <c r="AG205" s="285" t="str">
        <f>IFERROR(__xludf.DUMMYFUNCTION("""COMPUTED_VALUE"""),"Gagal")</f>
        <v>Gagal</v>
      </c>
      <c r="AH205" s="285" t="str">
        <f>IFERROR(__xludf.DUMMYFUNCTION("""COMPUTED_VALUE"""),"trip wurung, D, B")</f>
        <v>trip wurung, D, B</v>
      </c>
      <c r="AI205" s="287"/>
      <c r="AJ205" s="285"/>
      <c r="AK205" s="289"/>
      <c r="AL205" s="285" t="str">
        <f>IFERROR(__xludf.DUMMYFUNCTION("""COMPUTED_VALUE"""),"gajadi")</f>
        <v>gajadi</v>
      </c>
    </row>
    <row r="206">
      <c r="F206" s="285" t="str">
        <f>IFERROR(__xludf.DUMMYFUNCTION("""COMPUTED_VALUE"""),"2607A122")</f>
        <v>2607A122</v>
      </c>
      <c r="G206" s="286">
        <f>IFERROR(__xludf.DUMMYFUNCTION("""COMPUTED_VALUE"""),46224.0)</f>
        <v>46224</v>
      </c>
      <c r="H206" s="285" t="str">
        <f>IFERROR(__xludf.DUMMYFUNCTION("""COMPUTED_VALUE"""),"Brian")</f>
        <v>Brian</v>
      </c>
      <c r="I206" s="285" t="str">
        <f>IFERROR(__xludf.DUMMYFUNCTION("""COMPUTED_VALUE"""),"081234544110")</f>
        <v>081234544110</v>
      </c>
      <c r="J206" s="285" t="str">
        <f>IFERROR(__xludf.DUMMYFUNCTION("""COMPUTED_VALUE"""),"Follow Up")</f>
        <v>Follow Up</v>
      </c>
      <c r="K206" s="285" t="str">
        <f>IFERROR(__xludf.DUMMYFUNCTION("""COMPUTED_VALUE"""),"2h1m paketan 1 day trip")</f>
        <v>2h1m paketan 1 day trip</v>
      </c>
      <c r="L206" s="287"/>
      <c r="M206" s="285">
        <f>IFERROR(__xludf.DUMMYFUNCTION("""COMPUTED_VALUE"""),2.0)</f>
        <v>2</v>
      </c>
      <c r="N206" s="289">
        <f>IFERROR(__xludf.DUMMYFUNCTION("""COMPUTED_VALUE"""),1700000.0)</f>
        <v>1700000</v>
      </c>
      <c r="O206" s="285" t="str">
        <f>IFERROR(__xludf.DUMMYFUNCTION("""COMPUTED_VALUE"""),"fu 30 juli")</f>
        <v>fu 30 juli</v>
      </c>
      <c r="P206" s="320"/>
      <c r="R206" s="285"/>
      <c r="S206" s="285"/>
      <c r="T206" s="285"/>
      <c r="U206" s="285"/>
      <c r="V206" s="285"/>
      <c r="W206" s="285"/>
      <c r="X206" s="285"/>
      <c r="Y206" s="285"/>
      <c r="Z206" s="285"/>
      <c r="AA206" s="285"/>
      <c r="AC206" s="285" t="str">
        <f>IFERROR(__xludf.DUMMYFUNCTION("""COMPUTED_VALUE"""),"2604A013")</f>
        <v>2604A013</v>
      </c>
      <c r="AD206" s="286">
        <f>IFERROR(__xludf.DUMMYFUNCTION("""COMPUTED_VALUE"""),46118.0)</f>
        <v>46118</v>
      </c>
      <c r="AE206" s="285" t="str">
        <f>IFERROR(__xludf.DUMMYFUNCTION("""COMPUTED_VALUE"""),"Mira")</f>
        <v>Mira</v>
      </c>
      <c r="AF206" s="285" t="str">
        <f>IFERROR(__xludf.DUMMYFUNCTION("""COMPUTED_VALUE"""),"60195025953")</f>
        <v>60195025953</v>
      </c>
      <c r="AG206" s="285" t="str">
        <f>IFERROR(__xludf.DUMMYFUNCTION("""COMPUTED_VALUE"""),"Gagal")</f>
        <v>Gagal</v>
      </c>
      <c r="AH206" s="285" t="str">
        <f>IFERROR(__xludf.DUMMYFUNCTION("""COMPUTED_VALUE"""),"Trip Tabuhan")</f>
        <v>Trip Tabuhan</v>
      </c>
      <c r="AI206" s="287"/>
      <c r="AJ206" s="285">
        <f>IFERROR(__xludf.DUMMYFUNCTION("""COMPUTED_VALUE"""),2.0)</f>
        <v>2</v>
      </c>
      <c r="AK206" s="289"/>
      <c r="AL206" s="285" t="str">
        <f>IFERROR(__xludf.DUMMYFUNCTION("""COMPUTED_VALUE"""),"tidak ada balasan")</f>
        <v>tidak ada balasan</v>
      </c>
    </row>
    <row r="207">
      <c r="F207" s="285" t="str">
        <f>IFERROR(__xludf.DUMMYFUNCTION("""COMPUTED_VALUE"""),"2512A001")</f>
        <v>2512A001</v>
      </c>
      <c r="G207" s="286">
        <f>IFERROR(__xludf.DUMMYFUNCTION("""COMPUTED_VALUE"""),45996.0)</f>
        <v>45996</v>
      </c>
      <c r="H207" s="285" t="str">
        <f>IFERROR(__xludf.DUMMYFUNCTION("""COMPUTED_VALUE"""),"Kian Djiang(Agus setia budi)")</f>
        <v>Kian Djiang(Agus setia budi)</v>
      </c>
      <c r="I207" s="285" t="str">
        <f>IFERROR(__xludf.DUMMYFUNCTION("""COMPUTED_VALUE"""),"0895603297486")</f>
        <v>0895603297486</v>
      </c>
      <c r="J207" s="285" t="str">
        <f>IFERROR(__xludf.DUMMYFUNCTION("""COMPUTED_VALUE"""),"Warm Leads")</f>
        <v>Warm Leads</v>
      </c>
      <c r="K207" s="285" t="str">
        <f>IFERROR(__xludf.DUMMYFUNCTION("""COMPUTED_VALUE"""),"4H3M")</f>
        <v>4H3M</v>
      </c>
      <c r="L207" s="287"/>
      <c r="M207" s="285">
        <f>IFERROR(__xludf.DUMMYFUNCTION("""COMPUTED_VALUE"""),50.0)</f>
        <v>50</v>
      </c>
      <c r="N207" s="289">
        <f>IFERROR(__xludf.DUMMYFUNCTION("""COMPUTED_VALUE"""),1.257E8)</f>
        <v>125700000</v>
      </c>
      <c r="O207" s="285" t="str">
        <f>IFERROR(__xludf.DUMMYFUNCTION("""COMPUTED_VALUE"""),"DP bulan Juli (Trip bulan Agustus)")</f>
        <v>DP bulan Juli (Trip bulan Agustus)</v>
      </c>
      <c r="P207" s="320"/>
      <c r="R207" s="285"/>
      <c r="S207" s="285"/>
      <c r="T207" s="285"/>
      <c r="U207" s="285"/>
      <c r="V207" s="285"/>
      <c r="W207" s="285"/>
      <c r="X207" s="285"/>
      <c r="Y207" s="285"/>
      <c r="Z207" s="285"/>
      <c r="AA207" s="285"/>
      <c r="AC207" s="285" t="str">
        <f>IFERROR(__xludf.DUMMYFUNCTION("""COMPUTED_VALUE"""),"2604A014")</f>
        <v>2604A014</v>
      </c>
      <c r="AD207" s="286">
        <f>IFERROR(__xludf.DUMMYFUNCTION("""COMPUTED_VALUE"""),46118.0)</f>
        <v>46118</v>
      </c>
      <c r="AE207" s="285" t="str">
        <f>IFERROR(__xludf.DUMMYFUNCTION("""COMPUTED_VALUE"""),"Nabila Ratna")</f>
        <v>Nabila Ratna</v>
      </c>
      <c r="AF207" s="285" t="str">
        <f>IFERROR(__xludf.DUMMYFUNCTION("""COMPUTED_VALUE"""),"081322226980")</f>
        <v>081322226980</v>
      </c>
      <c r="AG207" s="285" t="str">
        <f>IFERROR(__xludf.DUMMYFUNCTION("""COMPUTED_VALUE"""),"Gagal")</f>
        <v>Gagal</v>
      </c>
      <c r="AH207" s="285"/>
      <c r="AI207" s="287"/>
      <c r="AJ207" s="285"/>
      <c r="AK207" s="289"/>
      <c r="AL207" s="285" t="str">
        <f>IFERROR(__xludf.DUMMYFUNCTION("""COMPUTED_VALUE"""),"Hanya menyapa")</f>
        <v>Hanya menyapa</v>
      </c>
    </row>
    <row r="208">
      <c r="F208" s="285" t="str">
        <f>IFERROR(__xludf.DUMMYFUNCTION("""COMPUTED_VALUE"""),"2606A123")</f>
        <v>2606A123</v>
      </c>
      <c r="G208" s="286">
        <f>IFERROR(__xludf.DUMMYFUNCTION("""COMPUTED_VALUE"""),46194.0)</f>
        <v>46194</v>
      </c>
      <c r="H208" s="285" t="str">
        <f>IFERROR(__xludf.DUMMYFUNCTION("""COMPUTED_VALUE"""),"Nabila")</f>
        <v>Nabila</v>
      </c>
      <c r="I208" s="285" t="str">
        <f>IFERROR(__xludf.DUMMYFUNCTION("""COMPUTED_VALUE"""),"085771173990")</f>
        <v>085771173990</v>
      </c>
      <c r="J208" s="285" t="str">
        <f>IFERROR(__xludf.DUMMYFUNCTION("""COMPUTED_VALUE"""),"Warm Leads")</f>
        <v>Warm Leads</v>
      </c>
      <c r="K208" s="285" t="str">
        <f>IFERROR(__xludf.DUMMYFUNCTION("""COMPUTED_VALUE"""),"ot menjangan-tabuhan")</f>
        <v>ot menjangan-tabuhan</v>
      </c>
      <c r="L208" s="287"/>
      <c r="M208" s="285">
        <f>IFERROR(__xludf.DUMMYFUNCTION("""COMPUTED_VALUE"""),1.0)</f>
        <v>1</v>
      </c>
      <c r="N208" s="289"/>
      <c r="O208" s="285" t="str">
        <f>IFERROR(__xludf.DUMMYFUNCTION("""COMPUTED_VALUE"""),"FU 27 juli")</f>
        <v>FU 27 juli</v>
      </c>
      <c r="P208" s="320"/>
      <c r="R208" s="285"/>
      <c r="S208" s="285"/>
      <c r="T208" s="285"/>
      <c r="U208" s="285"/>
      <c r="V208" s="285"/>
      <c r="W208" s="285"/>
      <c r="X208" s="285"/>
      <c r="Y208" s="285"/>
      <c r="Z208" s="285"/>
      <c r="AA208" s="285"/>
      <c r="AC208" s="285" t="str">
        <f>IFERROR(__xludf.DUMMYFUNCTION("""COMPUTED_VALUE"""),"2604A015")</f>
        <v>2604A015</v>
      </c>
      <c r="AD208" s="286">
        <f>IFERROR(__xludf.DUMMYFUNCTION("""COMPUTED_VALUE"""),46118.0)</f>
        <v>46118</v>
      </c>
      <c r="AE208" s="285" t="str">
        <f>IFERROR(__xludf.DUMMYFUNCTION("""COMPUTED_VALUE"""),"Fadjrin")</f>
        <v>Fadjrin</v>
      </c>
      <c r="AF208" s="285" t="str">
        <f>IFERROR(__xludf.DUMMYFUNCTION("""COMPUTED_VALUE"""),"082285208277")</f>
        <v>082285208277</v>
      </c>
      <c r="AG208" s="285" t="str">
        <f>IFERROR(__xludf.DUMMYFUNCTION("""COMPUTED_VALUE"""),"Gagal")</f>
        <v>Gagal</v>
      </c>
      <c r="AH208" s="285" t="str">
        <f>IFERROR(__xludf.DUMMYFUNCTION("""COMPUTED_VALUE"""),"3h2m / 2h1m custom")</f>
        <v>3h2m / 2h1m custom</v>
      </c>
      <c r="AI208" s="287"/>
      <c r="AJ208" s="285">
        <f>IFERROR(__xludf.DUMMYFUNCTION("""COMPUTED_VALUE"""),22.0)</f>
        <v>22</v>
      </c>
      <c r="AK208" s="289">
        <f>IFERROR(__xludf.DUMMYFUNCTION("""COMPUTED_VALUE"""),3.696E7)</f>
        <v>36960000</v>
      </c>
      <c r="AL208" s="285" t="str">
        <f>IFERROR(__xludf.DUMMYFUNCTION("""COMPUTED_VALUE"""),"tidak ada balasan")</f>
        <v>tidak ada balasan</v>
      </c>
    </row>
    <row r="209">
      <c r="F209" s="285" t="str">
        <f>IFERROR(__xludf.DUMMYFUNCTION("""COMPUTED_VALUE"""),"2607A144")</f>
        <v>2607A144</v>
      </c>
      <c r="G209" s="286">
        <f>IFERROR(__xludf.DUMMYFUNCTION("""COMPUTED_VALUE"""),46231.0)</f>
        <v>46231</v>
      </c>
      <c r="H209" s="285" t="str">
        <f>IFERROR(__xludf.DUMMYFUNCTION("""COMPUTED_VALUE"""),"Ria Pradita")</f>
        <v>Ria Pradita</v>
      </c>
      <c r="I209" s="285" t="str">
        <f>IFERROR(__xludf.DUMMYFUNCTION("""COMPUTED_VALUE"""),"082210031502")</f>
        <v>082210031502</v>
      </c>
      <c r="J209" s="285" t="str">
        <f>IFERROR(__xludf.DUMMYFUNCTION("""COMPUTED_VALUE"""),"Hot Leads")</f>
        <v>Hot Leads</v>
      </c>
      <c r="K209" s="285" t="str">
        <f>IFERROR(__xludf.DUMMYFUNCTION("""COMPUTED_VALUE"""),"ot menjangan tabuhann")</f>
        <v>ot menjangan tabuhann</v>
      </c>
      <c r="L209" s="287">
        <f>IFERROR(__xludf.DUMMYFUNCTION("""COMPUTED_VALUE"""),46239.0)</f>
        <v>46239</v>
      </c>
      <c r="M209" s="285">
        <f>IFERROR(__xludf.DUMMYFUNCTION("""COMPUTED_VALUE"""),2.0)</f>
        <v>2</v>
      </c>
      <c r="N209" s="289">
        <f>IFERROR(__xludf.DUMMYFUNCTION("""COMPUTED_VALUE"""),800000.0)</f>
        <v>800000</v>
      </c>
      <c r="O209" s="285"/>
      <c r="P209" s="320"/>
      <c r="R209" s="285"/>
      <c r="S209" s="285"/>
      <c r="T209" s="285"/>
      <c r="U209" s="285"/>
      <c r="V209" s="285"/>
      <c r="W209" s="285"/>
      <c r="X209" s="285"/>
      <c r="Y209" s="285"/>
      <c r="Z209" s="285"/>
      <c r="AA209" s="285"/>
      <c r="AC209" s="285" t="str">
        <f>IFERROR(__xludf.DUMMYFUNCTION("""COMPUTED_VALUE"""),"2604A020")</f>
        <v>2604A020</v>
      </c>
      <c r="AD209" s="286">
        <f>IFERROR(__xludf.DUMMYFUNCTION("""COMPUTED_VALUE"""),46119.0)</f>
        <v>46119</v>
      </c>
      <c r="AE209" s="285" t="str">
        <f>IFERROR(__xludf.DUMMYFUNCTION("""COMPUTED_VALUE"""),"Joshi")</f>
        <v>Joshi</v>
      </c>
      <c r="AF209" s="285" t="str">
        <f>IFERROR(__xludf.DUMMYFUNCTION("""COMPUTED_VALUE"""),"087839921505")</f>
        <v>087839921505</v>
      </c>
      <c r="AG209" s="285" t="str">
        <f>IFERROR(__xludf.DUMMYFUNCTION("""COMPUTED_VALUE"""),"Gagal")</f>
        <v>Gagal</v>
      </c>
      <c r="AH209" s="285"/>
      <c r="AI209" s="287"/>
      <c r="AJ209" s="285"/>
      <c r="AK209" s="289"/>
      <c r="AL209" s="285" t="str">
        <f>IFERROR(__xludf.DUMMYFUNCTION("""COMPUTED_VALUE"""),"hanya menyapa")</f>
        <v>hanya menyapa</v>
      </c>
    </row>
    <row r="210"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320"/>
      <c r="R210" s="285"/>
      <c r="S210" s="285"/>
      <c r="T210" s="285"/>
      <c r="U210" s="285"/>
      <c r="V210" s="285"/>
      <c r="W210" s="285"/>
      <c r="X210" s="285"/>
      <c r="Y210" s="285"/>
      <c r="Z210" s="285"/>
      <c r="AA210" s="285"/>
      <c r="AC210" s="285" t="str">
        <f>IFERROR(__xludf.DUMMYFUNCTION("""COMPUTED_VALUE"""),"2604A021")</f>
        <v>2604A021</v>
      </c>
      <c r="AD210" s="286">
        <f>IFERROR(__xludf.DUMMYFUNCTION("""COMPUTED_VALUE"""),46120.0)</f>
        <v>46120</v>
      </c>
      <c r="AE210" s="285" t="str">
        <f>IFERROR(__xludf.DUMMYFUNCTION("""COMPUTED_VALUE"""),"Ana")</f>
        <v>Ana</v>
      </c>
      <c r="AF210" s="285" t="str">
        <f>IFERROR(__xludf.DUMMYFUNCTION("""COMPUTED_VALUE"""),"085811281799")</f>
        <v>085811281799</v>
      </c>
      <c r="AG210" s="285" t="str">
        <f>IFERROR(__xludf.DUMMYFUNCTION("""COMPUTED_VALUE"""),"Gagal")</f>
        <v>Gagal</v>
      </c>
      <c r="AH210" s="285" t="str">
        <f>IFERROR(__xludf.DUMMYFUNCTION("""COMPUTED_VALUE"""),"1D ijen")</f>
        <v>1D ijen</v>
      </c>
      <c r="AI210" s="287">
        <f>IFERROR(__xludf.DUMMYFUNCTION("""COMPUTED_VALUE"""),46142.0)</f>
        <v>46142</v>
      </c>
      <c r="AJ210" s="285">
        <f>IFERROR(__xludf.DUMMYFUNCTION("""COMPUTED_VALUE"""),5.0)</f>
        <v>5</v>
      </c>
      <c r="AK210" s="289">
        <f>IFERROR(__xludf.DUMMYFUNCTION("""COMPUTED_VALUE"""),2135000.0)</f>
        <v>2135000</v>
      </c>
      <c r="AL210" s="285" t="str">
        <f>IFERROR(__xludf.DUMMYFUNCTION("""COMPUTED_VALUE"""),"belum jadi pergi")</f>
        <v>belum jadi pergi</v>
      </c>
    </row>
    <row r="211"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320"/>
      <c r="R211" s="285"/>
      <c r="S211" s="285"/>
      <c r="T211" s="285"/>
      <c r="U211" s="285"/>
      <c r="V211" s="285"/>
      <c r="W211" s="285"/>
      <c r="X211" s="285"/>
      <c r="Y211" s="285"/>
      <c r="Z211" s="285"/>
      <c r="AA211" s="285"/>
      <c r="AC211" s="285" t="str">
        <f>IFERROR(__xludf.DUMMYFUNCTION("""COMPUTED_VALUE"""),"2604A024")</f>
        <v>2604A024</v>
      </c>
      <c r="AD211" s="286">
        <f>IFERROR(__xludf.DUMMYFUNCTION("""COMPUTED_VALUE"""),46120.0)</f>
        <v>46120</v>
      </c>
      <c r="AE211" s="285" t="str">
        <f>IFERROR(__xludf.DUMMYFUNCTION("""COMPUTED_VALUE"""),"Hawari")</f>
        <v>Hawari</v>
      </c>
      <c r="AF211" s="285" t="str">
        <f>IFERROR(__xludf.DUMMYFUNCTION("""COMPUTED_VALUE"""),"081316099832")</f>
        <v>081316099832</v>
      </c>
      <c r="AG211" s="285" t="str">
        <f>IFERROR(__xludf.DUMMYFUNCTION("""COMPUTED_VALUE"""),"Gagal")</f>
        <v>Gagal</v>
      </c>
      <c r="AH211" s="285" t="str">
        <f>IFERROR(__xludf.DUMMYFUNCTION("""COMPUTED_VALUE"""),"3H2M")</f>
        <v>3H2M</v>
      </c>
      <c r="AI211" s="287"/>
      <c r="AJ211" s="285">
        <f>IFERROR(__xludf.DUMMYFUNCTION("""COMPUTED_VALUE"""),46083.0)</f>
        <v>46083</v>
      </c>
      <c r="AK211" s="289"/>
      <c r="AL211" s="285" t="str">
        <f>IFERROR(__xludf.DUMMYFUNCTION("""COMPUTED_VALUE"""),"tidak ada balasan")</f>
        <v>tidak ada balasan</v>
      </c>
    </row>
    <row r="212"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320"/>
      <c r="R212" s="285"/>
      <c r="S212" s="285"/>
      <c r="T212" s="285"/>
      <c r="U212" s="285"/>
      <c r="V212" s="285"/>
      <c r="W212" s="285"/>
      <c r="X212" s="285"/>
      <c r="Y212" s="285"/>
      <c r="Z212" s="285"/>
      <c r="AA212" s="285"/>
      <c r="AC212" s="285" t="str">
        <f>IFERROR(__xludf.DUMMYFUNCTION("""COMPUTED_VALUE"""),"2604A027")</f>
        <v>2604A027</v>
      </c>
      <c r="AD212" s="286">
        <f>IFERROR(__xludf.DUMMYFUNCTION("""COMPUTED_VALUE"""),46120.0)</f>
        <v>46120</v>
      </c>
      <c r="AE212" s="285" t="str">
        <f>IFERROR(__xludf.DUMMYFUNCTION("""COMPUTED_VALUE"""),"Ara")</f>
        <v>Ara</v>
      </c>
      <c r="AF212" s="285" t="str">
        <f>IFERROR(__xludf.DUMMYFUNCTION("""COMPUTED_VALUE"""),"0895635984294")</f>
        <v>0895635984294</v>
      </c>
      <c r="AG212" s="285" t="str">
        <f>IFERROR(__xludf.DUMMYFUNCTION("""COMPUTED_VALUE"""),"Gagal")</f>
        <v>Gagal</v>
      </c>
      <c r="AH212" s="285"/>
      <c r="AI212" s="287"/>
      <c r="AJ212" s="285"/>
      <c r="AK212" s="289"/>
      <c r="AL212" s="285" t="str">
        <f>IFERROR(__xludf.DUMMYFUNCTION("""COMPUTED_VALUE"""),"gada balasan")</f>
        <v>gada balasan</v>
      </c>
    </row>
    <row r="213"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320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  <c r="AC213" s="285" t="str">
        <f>IFERROR(__xludf.DUMMYFUNCTION("""COMPUTED_VALUE"""),"2604A029")</f>
        <v>2604A029</v>
      </c>
      <c r="AD213" s="286">
        <f>IFERROR(__xludf.DUMMYFUNCTION("""COMPUTED_VALUE"""),46122.0)</f>
        <v>46122</v>
      </c>
      <c r="AE213" s="285" t="str">
        <f>IFERROR(__xludf.DUMMYFUNCTION("""COMPUTED_VALUE"""),"Triaz")</f>
        <v>Triaz</v>
      </c>
      <c r="AF213" s="285" t="str">
        <f>IFERROR(__xludf.DUMMYFUNCTION("""COMPUTED_VALUE"""),"08971173658")</f>
        <v>08971173658</v>
      </c>
      <c r="AG213" s="285" t="str">
        <f>IFERROR(__xludf.DUMMYFUNCTION("""COMPUTED_VALUE"""),"Gagal")</f>
        <v>Gagal</v>
      </c>
      <c r="AH213" s="285" t="str">
        <f>IFERROR(__xludf.DUMMYFUNCTION("""COMPUTED_VALUE"""),"1D trip")</f>
        <v>1D trip</v>
      </c>
      <c r="AI213" s="287"/>
      <c r="AJ213" s="285">
        <f>IFERROR(__xludf.DUMMYFUNCTION("""COMPUTED_VALUE"""),3.0)</f>
        <v>3</v>
      </c>
      <c r="AK213" s="289">
        <f>IFERROR(__xludf.DUMMYFUNCTION("""COMPUTED_VALUE"""),1500000.0)</f>
        <v>1500000</v>
      </c>
      <c r="AL213" s="285" t="str">
        <f>IFERROR(__xludf.DUMMYFUNCTION("""COMPUTED_VALUE"""),"tidak ada balasan")</f>
        <v>tidak ada balasan</v>
      </c>
    </row>
    <row r="214"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320"/>
      <c r="R214" s="285"/>
      <c r="S214" s="285"/>
      <c r="T214" s="285"/>
      <c r="U214" s="285"/>
      <c r="V214" s="285"/>
      <c r="W214" s="285"/>
      <c r="X214" s="285"/>
      <c r="Y214" s="285"/>
      <c r="Z214" s="285"/>
      <c r="AA214" s="285"/>
      <c r="AC214" s="285" t="str">
        <f>IFERROR(__xludf.DUMMYFUNCTION("""COMPUTED_VALUE"""),"2604A030")</f>
        <v>2604A030</v>
      </c>
      <c r="AD214" s="286">
        <f>IFERROR(__xludf.DUMMYFUNCTION("""COMPUTED_VALUE"""),46122.0)</f>
        <v>46122</v>
      </c>
      <c r="AE214" s="285" t="str">
        <f>IFERROR(__xludf.DUMMYFUNCTION("""COMPUTED_VALUE"""),"Febian Basyara")</f>
        <v>Febian Basyara</v>
      </c>
      <c r="AF214" s="285" t="str">
        <f>IFERROR(__xludf.DUMMYFUNCTION("""COMPUTED_VALUE"""),"082179631328")</f>
        <v>082179631328</v>
      </c>
      <c r="AG214" s="285" t="str">
        <f>IFERROR(__xludf.DUMMYFUNCTION("""COMPUTED_VALUE"""),"Gagal")</f>
        <v>Gagal</v>
      </c>
      <c r="AH214" s="285"/>
      <c r="AI214" s="287"/>
      <c r="AJ214" s="285"/>
      <c r="AK214" s="289"/>
      <c r="AL214" s="285" t="str">
        <f>IFERROR(__xludf.DUMMYFUNCTION("""COMPUTED_VALUE"""),"hanya menyapa")</f>
        <v>hanya menyapa</v>
      </c>
    </row>
    <row r="215"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320"/>
      <c r="R215" s="285"/>
      <c r="S215" s="285"/>
      <c r="T215" s="285"/>
      <c r="U215" s="285"/>
      <c r="V215" s="285"/>
      <c r="W215" s="285"/>
      <c r="X215" s="285"/>
      <c r="Y215" s="285"/>
      <c r="Z215" s="285"/>
      <c r="AA215" s="285"/>
      <c r="AC215" s="285" t="str">
        <f>IFERROR(__xludf.DUMMYFUNCTION("""COMPUTED_VALUE"""),"2604A031")</f>
        <v>2604A031</v>
      </c>
      <c r="AD215" s="286">
        <f>IFERROR(__xludf.DUMMYFUNCTION("""COMPUTED_VALUE"""),46123.0)</f>
        <v>46123</v>
      </c>
      <c r="AE215" s="285" t="str">
        <f>IFERROR(__xludf.DUMMYFUNCTION("""COMPUTED_VALUE"""),"Rinda")</f>
        <v>Rinda</v>
      </c>
      <c r="AF215" s="285" t="str">
        <f>IFERROR(__xludf.DUMMYFUNCTION("""COMPUTED_VALUE"""),"087780084085")</f>
        <v>087780084085</v>
      </c>
      <c r="AG215" s="285" t="str">
        <f>IFERROR(__xludf.DUMMYFUNCTION("""COMPUTED_VALUE"""),"Gagal")</f>
        <v>Gagal</v>
      </c>
      <c r="AH215" s="285" t="str">
        <f>IFERROR(__xludf.DUMMYFUNCTION("""COMPUTED_VALUE"""),"Ijen baluran")</f>
        <v>Ijen baluran</v>
      </c>
      <c r="AI215" s="287">
        <f>IFERROR(__xludf.DUMMYFUNCTION("""COMPUTED_VALUE"""),46130.0)</f>
        <v>46130</v>
      </c>
      <c r="AJ215" s="285">
        <f>IFERROR(__xludf.DUMMYFUNCTION("""COMPUTED_VALUE"""),3.0)</f>
        <v>3</v>
      </c>
      <c r="AK215" s="289">
        <f>IFERROR(__xludf.DUMMYFUNCTION("""COMPUTED_VALUE"""),2076000.0)</f>
        <v>2076000</v>
      </c>
      <c r="AL215" s="285" t="str">
        <f>IFERROR(__xludf.DUMMYFUNCTION("""COMPUTED_VALUE"""),"Tidak ada balasan")</f>
        <v>Tidak ada balasan</v>
      </c>
    </row>
    <row r="216"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320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C216" s="285" t="str">
        <f>IFERROR(__xludf.DUMMYFUNCTION("""COMPUTED_VALUE"""),"2604A032")</f>
        <v>2604A032</v>
      </c>
      <c r="AD216" s="286">
        <f>IFERROR(__xludf.DUMMYFUNCTION("""COMPUTED_VALUE"""),46123.0)</f>
        <v>46123</v>
      </c>
      <c r="AE216" s="285" t="str">
        <f>IFERROR(__xludf.DUMMYFUNCTION("""COMPUTED_VALUE"""),"RCM Tour")</f>
        <v>RCM Tour</v>
      </c>
      <c r="AF216" s="285" t="str">
        <f>IFERROR(__xludf.DUMMYFUNCTION("""COMPUTED_VALUE"""),"082258993434")</f>
        <v>082258993434</v>
      </c>
      <c r="AG216" s="285" t="str">
        <f>IFERROR(__xludf.DUMMYFUNCTION("""COMPUTED_VALUE"""),"Gagal")</f>
        <v>Gagal</v>
      </c>
      <c r="AH216" s="285" t="str">
        <f>IFERROR(__xludf.DUMMYFUNCTION("""COMPUTED_VALUE"""),"3h2m")</f>
        <v>3h2m</v>
      </c>
      <c r="AI216" s="287"/>
      <c r="AJ216" s="285">
        <f>IFERROR(__xludf.DUMMYFUNCTION("""COMPUTED_VALUE"""),20.0)</f>
        <v>20</v>
      </c>
      <c r="AK216" s="289">
        <f>IFERROR(__xludf.DUMMYFUNCTION("""COMPUTED_VALUE"""),3.2E7)</f>
        <v>32000000</v>
      </c>
      <c r="AL216" s="285" t="str">
        <f>IFERROR(__xludf.DUMMYFUNCTION("""COMPUTED_VALUE"""),"jadinya ke Bangkok")</f>
        <v>jadinya ke Bangkok</v>
      </c>
    </row>
    <row r="217"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320"/>
      <c r="R217" s="285"/>
      <c r="S217" s="285"/>
      <c r="T217" s="285"/>
      <c r="U217" s="285"/>
      <c r="V217" s="285"/>
      <c r="W217" s="285"/>
      <c r="X217" s="285"/>
      <c r="Y217" s="285"/>
      <c r="Z217" s="285"/>
      <c r="AA217" s="285"/>
      <c r="AC217" s="285" t="str">
        <f>IFERROR(__xludf.DUMMYFUNCTION("""COMPUTED_VALUE"""),"2604A033")</f>
        <v>2604A033</v>
      </c>
      <c r="AD217" s="286">
        <f>IFERROR(__xludf.DUMMYFUNCTION("""COMPUTED_VALUE"""),46121.0)</f>
        <v>46121</v>
      </c>
      <c r="AE217" s="285" t="str">
        <f>IFERROR(__xludf.DUMMYFUNCTION("""COMPUTED_VALUE"""),"Della")</f>
        <v>Della</v>
      </c>
      <c r="AF217" s="285" t="str">
        <f>IFERROR(__xludf.DUMMYFUNCTION("""COMPUTED_VALUE"""),"082334491671")</f>
        <v>082334491671</v>
      </c>
      <c r="AG217" s="285" t="str">
        <f>IFERROR(__xludf.DUMMYFUNCTION("""COMPUTED_VALUE"""),"Gagal")</f>
        <v>Gagal</v>
      </c>
      <c r="AH217" s="285" t="str">
        <f>IFERROR(__xludf.DUMMYFUNCTION("""COMPUTED_VALUE"""),"OT M T")</f>
        <v>OT M T</v>
      </c>
      <c r="AI217" s="287">
        <f>IFERROR(__xludf.DUMMYFUNCTION("""COMPUTED_VALUE"""),46132.0)</f>
        <v>46132</v>
      </c>
      <c r="AJ217" s="285">
        <f>IFERROR(__xludf.DUMMYFUNCTION("""COMPUTED_VALUE"""),1.0)</f>
        <v>1</v>
      </c>
      <c r="AK217" s="289">
        <f>IFERROR(__xludf.DUMMYFUNCTION("""COMPUTED_VALUE"""),525000.0)</f>
        <v>525000</v>
      </c>
      <c r="AL217" s="285" t="str">
        <f>IFERROR(__xludf.DUMMYFUNCTION("""COMPUTED_VALUE"""),"Tidak ada peserta")</f>
        <v>Tidak ada peserta</v>
      </c>
    </row>
    <row r="218"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320"/>
      <c r="R218" s="285"/>
      <c r="S218" s="285"/>
      <c r="T218" s="285"/>
      <c r="U218" s="285"/>
      <c r="V218" s="285"/>
      <c r="W218" s="285"/>
      <c r="X218" s="285"/>
      <c r="Y218" s="285"/>
      <c r="Z218" s="285"/>
      <c r="AA218" s="285"/>
      <c r="AC218" s="285" t="str">
        <f>IFERROR(__xludf.DUMMYFUNCTION("""COMPUTED_VALUE"""),"2604A034")</f>
        <v>2604A034</v>
      </c>
      <c r="AD218" s="286">
        <f>IFERROR(__xludf.DUMMYFUNCTION("""COMPUTED_VALUE"""),46121.0)</f>
        <v>46121</v>
      </c>
      <c r="AE218" s="285" t="str">
        <f>IFERROR(__xludf.DUMMYFUNCTION("""COMPUTED_VALUE"""),"Ika")</f>
        <v>Ika</v>
      </c>
      <c r="AF218" s="285" t="str">
        <f>IFERROR(__xludf.DUMMYFUNCTION("""COMPUTED_VALUE"""),"089699872548")</f>
        <v>089699872548</v>
      </c>
      <c r="AG218" s="285" t="str">
        <f>IFERROR(__xludf.DUMMYFUNCTION("""COMPUTED_VALUE"""),"Gagal")</f>
        <v>Gagal</v>
      </c>
      <c r="AH218" s="285" t="str">
        <f>IFERROR(__xludf.DUMMYFUNCTION("""COMPUTED_VALUE"""),"OT I")</f>
        <v>OT I</v>
      </c>
      <c r="AI218" s="287"/>
      <c r="AJ218" s="285"/>
      <c r="AK218" s="289"/>
      <c r="AL218" s="285" t="str">
        <f>IFERROR(__xludf.DUMMYFUNCTION("""COMPUTED_VALUE"""),"tidak ada balasan")</f>
        <v>tidak ada balasan</v>
      </c>
    </row>
    <row r="219"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320"/>
      <c r="R219" s="285"/>
      <c r="S219" s="285"/>
      <c r="T219" s="285"/>
      <c r="U219" s="285"/>
      <c r="V219" s="285"/>
      <c r="W219" s="285"/>
      <c r="X219" s="285"/>
      <c r="Y219" s="285"/>
      <c r="Z219" s="285"/>
      <c r="AA219" s="285"/>
      <c r="AC219" s="285" t="str">
        <f>IFERROR(__xludf.DUMMYFUNCTION("""COMPUTED_VALUE"""),"2604A035")</f>
        <v>2604A035</v>
      </c>
      <c r="AD219" s="286">
        <f>IFERROR(__xludf.DUMMYFUNCTION("""COMPUTED_VALUE"""),46121.0)</f>
        <v>46121</v>
      </c>
      <c r="AE219" s="285" t="str">
        <f>IFERROR(__xludf.DUMMYFUNCTION("""COMPUTED_VALUE"""),"Sinta Nurmawati")</f>
        <v>Sinta Nurmawati</v>
      </c>
      <c r="AF219" s="285" t="str">
        <f>IFERROR(__xludf.DUMMYFUNCTION("""COMPUTED_VALUE"""),"08977537928")</f>
        <v>08977537928</v>
      </c>
      <c r="AG219" s="285" t="str">
        <f>IFERROR(__xludf.DUMMYFUNCTION("""COMPUTED_VALUE"""),"Gagal")</f>
        <v>Gagal</v>
      </c>
      <c r="AH219" s="285" t="str">
        <f>IFERROR(__xludf.DUMMYFUNCTION("""COMPUTED_VALUE"""),"ot 3h2m ")</f>
        <v>ot 3h2m </v>
      </c>
      <c r="AI219" s="287"/>
      <c r="AJ219" s="285">
        <f>IFERROR(__xludf.DUMMYFUNCTION("""COMPUTED_VALUE"""),2.0)</f>
        <v>2</v>
      </c>
      <c r="AK219" s="289">
        <f>IFERROR(__xludf.DUMMYFUNCTION("""COMPUTED_VALUE"""),3200000.0)</f>
        <v>3200000</v>
      </c>
      <c r="AL219" s="285" t="str">
        <f>IFERROR(__xludf.DUMMYFUNCTION("""COMPUTED_VALUE"""),"Tidak ada balasan")</f>
        <v>Tidak ada balasan</v>
      </c>
    </row>
    <row r="220"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320"/>
      <c r="R220" s="285"/>
      <c r="S220" s="285"/>
      <c r="T220" s="285"/>
      <c r="U220" s="285"/>
      <c r="V220" s="285"/>
      <c r="W220" s="285"/>
      <c r="X220" s="285"/>
      <c r="Y220" s="285"/>
      <c r="Z220" s="285"/>
      <c r="AA220" s="285"/>
      <c r="AC220" s="285" t="str">
        <f>IFERROR(__xludf.DUMMYFUNCTION("""COMPUTED_VALUE"""),"2604A036")</f>
        <v>2604A036</v>
      </c>
      <c r="AD220" s="286">
        <f>IFERROR(__xludf.DUMMYFUNCTION("""COMPUTED_VALUE"""),46123.0)</f>
        <v>46123</v>
      </c>
      <c r="AE220" s="285" t="str">
        <f>IFERROR(__xludf.DUMMYFUNCTION("""COMPUTED_VALUE"""),"sinta")</f>
        <v>sinta</v>
      </c>
      <c r="AF220" s="285" t="str">
        <f>IFERROR(__xludf.DUMMYFUNCTION("""COMPUTED_VALUE"""),"085903711129")</f>
        <v>085903711129</v>
      </c>
      <c r="AG220" s="285" t="str">
        <f>IFERROR(__xludf.DUMMYFUNCTION("""COMPUTED_VALUE"""),"Gagal")</f>
        <v>Gagal</v>
      </c>
      <c r="AH220" s="285" t="str">
        <f>IFERROR(__xludf.DUMMYFUNCTION("""COMPUTED_VALUE"""),"3H2M Opsi B")</f>
        <v>3H2M Opsi B</v>
      </c>
      <c r="AI220" s="287"/>
      <c r="AJ220" s="285">
        <f>IFERROR(__xludf.DUMMYFUNCTION("""COMPUTED_VALUE"""),5.0)</f>
        <v>5</v>
      </c>
      <c r="AK220" s="289">
        <f>IFERROR(__xludf.DUMMYFUNCTION("""COMPUTED_VALUE"""),5225000.0)</f>
        <v>5225000</v>
      </c>
      <c r="AL220" s="285" t="str">
        <f>IFERROR(__xludf.DUMMYFUNCTION("""COMPUTED_VALUE"""),"sudah  join di penawaran lain")</f>
        <v>sudah  join di penawaran lain</v>
      </c>
    </row>
    <row r="221"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320"/>
      <c r="R221" s="285"/>
      <c r="S221" s="285"/>
      <c r="T221" s="285"/>
      <c r="U221" s="285"/>
      <c r="V221" s="285"/>
      <c r="W221" s="285"/>
      <c r="X221" s="285"/>
      <c r="Y221" s="285"/>
      <c r="Z221" s="285"/>
      <c r="AA221" s="285"/>
      <c r="AC221" s="285" t="str">
        <f>IFERROR(__xludf.DUMMYFUNCTION("""COMPUTED_VALUE"""),"2604A038")</f>
        <v>2604A038</v>
      </c>
      <c r="AD221" s="286">
        <f>IFERROR(__xludf.DUMMYFUNCTION("""COMPUTED_VALUE"""),46123.0)</f>
        <v>46123</v>
      </c>
      <c r="AE221" s="285" t="str">
        <f>IFERROR(__xludf.DUMMYFUNCTION("""COMPUTED_VALUE"""),"No Name")</f>
        <v>No Name</v>
      </c>
      <c r="AF221" s="285" t="str">
        <f>IFERROR(__xludf.DUMMYFUNCTION("""COMPUTED_VALUE"""),"08112424428")</f>
        <v>08112424428</v>
      </c>
      <c r="AG221" s="285" t="str">
        <f>IFERROR(__xludf.DUMMYFUNCTION("""COMPUTED_VALUE"""),"Gagal")</f>
        <v>Gagal</v>
      </c>
      <c r="AH221" s="285" t="str">
        <f>IFERROR(__xludf.DUMMYFUNCTION("""COMPUTED_VALUE"""),"OT 3H2M")</f>
        <v>OT 3H2M</v>
      </c>
      <c r="AI221" s="287">
        <f>IFERROR(__xludf.DUMMYFUNCTION("""COMPUTED_VALUE"""),46156.0)</f>
        <v>46156</v>
      </c>
      <c r="AJ221" s="285">
        <f>IFERROR(__xludf.DUMMYFUNCTION("""COMPUTED_VALUE"""),2.0)</f>
        <v>2</v>
      </c>
      <c r="AK221" s="289">
        <f>IFERROR(__xludf.DUMMYFUNCTION("""COMPUTED_VALUE"""),3200000.0)</f>
        <v>3200000</v>
      </c>
      <c r="AL221" s="285" t="str">
        <f>IFERROR(__xludf.DUMMYFUNCTION("""COMPUTED_VALUE"""),"trip mandiri")</f>
        <v>trip mandiri</v>
      </c>
    </row>
    <row r="222"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320"/>
      <c r="R222" s="285"/>
      <c r="S222" s="285"/>
      <c r="T222" s="285"/>
      <c r="U222" s="285"/>
      <c r="V222" s="285"/>
      <c r="W222" s="285"/>
      <c r="X222" s="285"/>
      <c r="Y222" s="285"/>
      <c r="Z222" s="285"/>
      <c r="AA222" s="285"/>
      <c r="AC222" s="285" t="str">
        <f>IFERROR(__xludf.DUMMYFUNCTION("""COMPUTED_VALUE"""),"2604A039")</f>
        <v>2604A039</v>
      </c>
      <c r="AD222" s="286">
        <f>IFERROR(__xludf.DUMMYFUNCTION("""COMPUTED_VALUE"""),46123.0)</f>
        <v>46123</v>
      </c>
      <c r="AE222" s="285" t="str">
        <f>IFERROR(__xludf.DUMMYFUNCTION("""COMPUTED_VALUE"""),"Septin")</f>
        <v>Septin</v>
      </c>
      <c r="AF222" s="285" t="str">
        <f>IFERROR(__xludf.DUMMYFUNCTION("""COMPUTED_VALUE"""),"081515771848")</f>
        <v>081515771848</v>
      </c>
      <c r="AG222" s="285" t="str">
        <f>IFERROR(__xludf.DUMMYFUNCTION("""COMPUTED_VALUE"""),"Gagal")</f>
        <v>Gagal</v>
      </c>
      <c r="AH222" s="285" t="str">
        <f>IFERROR(__xludf.DUMMYFUNCTION("""COMPUTED_VALUE"""),"Trip GI")</f>
        <v>Trip GI</v>
      </c>
      <c r="AI222" s="287">
        <f>IFERROR(__xludf.DUMMYFUNCTION("""COMPUTED_VALUE"""),46157.0)</f>
        <v>46157</v>
      </c>
      <c r="AJ222" s="285">
        <f>IFERROR(__xludf.DUMMYFUNCTION("""COMPUTED_VALUE"""),6.0)</f>
        <v>6</v>
      </c>
      <c r="AK222" s="289">
        <f>IFERROR(__xludf.DUMMYFUNCTION("""COMPUTED_VALUE"""),3570000.0)</f>
        <v>3570000</v>
      </c>
      <c r="AL222" s="285" t="str">
        <f>IFERROR(__xludf.DUMMYFUNCTION("""COMPUTED_VALUE"""),"tidak ada jawaban")</f>
        <v>tidak ada jawaban</v>
      </c>
    </row>
    <row r="223"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320"/>
      <c r="R223" s="285"/>
      <c r="S223" s="285"/>
      <c r="T223" s="285"/>
      <c r="U223" s="285"/>
      <c r="V223" s="285"/>
      <c r="W223" s="285"/>
      <c r="X223" s="285"/>
      <c r="Y223" s="285"/>
      <c r="Z223" s="285"/>
      <c r="AA223" s="285"/>
      <c r="AC223" s="285" t="str">
        <f>IFERROR(__xludf.DUMMYFUNCTION("""COMPUTED_VALUE"""),"2604A041")</f>
        <v>2604A041</v>
      </c>
      <c r="AD223" s="286">
        <f>IFERROR(__xludf.DUMMYFUNCTION("""COMPUTED_VALUE"""),46124.0)</f>
        <v>46124</v>
      </c>
      <c r="AE223" s="285" t="str">
        <f>IFERROR(__xludf.DUMMYFUNCTION("""COMPUTED_VALUE"""),"Hilman")</f>
        <v>Hilman</v>
      </c>
      <c r="AF223" s="285" t="str">
        <f>IFERROR(__xludf.DUMMYFUNCTION("""COMPUTED_VALUE"""),"087851935254")</f>
        <v>087851935254</v>
      </c>
      <c r="AG223" s="285" t="str">
        <f>IFERROR(__xludf.DUMMYFUNCTION("""COMPUTED_VALUE"""),"Gagal")</f>
        <v>Gagal</v>
      </c>
      <c r="AH223" s="285" t="str">
        <f>IFERROR(__xludf.DUMMYFUNCTION("""COMPUTED_VALUE"""),"1D D, B ")</f>
        <v>1D D, B </v>
      </c>
      <c r="AI223" s="287">
        <f>IFERROR(__xludf.DUMMYFUNCTION("""COMPUTED_VALUE"""),46144.0)</f>
        <v>46144</v>
      </c>
      <c r="AJ223" s="285">
        <f>IFERROR(__xludf.DUMMYFUNCTION("""COMPUTED_VALUE"""),5.0)</f>
        <v>5</v>
      </c>
      <c r="AK223" s="289">
        <f>IFERROR(__xludf.DUMMYFUNCTION("""COMPUTED_VALUE"""),2115000.0)</f>
        <v>2115000</v>
      </c>
      <c r="AL223" s="285" t="str">
        <f>IFERROR(__xludf.DUMMYFUNCTION("""COMPUTED_VALUE"""),"tidak ada jawaban")</f>
        <v>tidak ada jawaban</v>
      </c>
    </row>
    <row r="224"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320"/>
      <c r="R224" s="285"/>
      <c r="S224" s="285"/>
      <c r="T224" s="285"/>
      <c r="U224" s="285"/>
      <c r="V224" s="285"/>
      <c r="W224" s="285"/>
      <c r="X224" s="285"/>
      <c r="Y224" s="285"/>
      <c r="Z224" s="285"/>
      <c r="AA224" s="285"/>
      <c r="AC224" s="285" t="str">
        <f>IFERROR(__xludf.DUMMYFUNCTION("""COMPUTED_VALUE"""),"2604A042")</f>
        <v>2604A042</v>
      </c>
      <c r="AD224" s="286">
        <f>IFERROR(__xludf.DUMMYFUNCTION("""COMPUTED_VALUE"""),46124.0)</f>
        <v>46124</v>
      </c>
      <c r="AE224" s="285" t="str">
        <f>IFERROR(__xludf.DUMMYFUNCTION("""COMPUTED_VALUE"""),"Finni yuliani")</f>
        <v>Finni yuliani</v>
      </c>
      <c r="AF224" s="285" t="str">
        <f>IFERROR(__xludf.DUMMYFUNCTION("""COMPUTED_VALUE"""),"0895320822521")</f>
        <v>0895320822521</v>
      </c>
      <c r="AG224" s="285" t="str">
        <f>IFERROR(__xludf.DUMMYFUNCTION("""COMPUTED_VALUE"""),"Gagal")</f>
        <v>Gagal</v>
      </c>
      <c r="AH224" s="285"/>
      <c r="AI224" s="287"/>
      <c r="AJ224" s="285"/>
      <c r="AK224" s="289"/>
      <c r="AL224" s="285" t="str">
        <f>IFERROR(__xludf.DUMMYFUNCTION("""COMPUTED_VALUE"""),"Hanya menyapa")</f>
        <v>Hanya menyapa</v>
      </c>
    </row>
    <row r="225"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320"/>
      <c r="R225" s="285"/>
      <c r="S225" s="285"/>
      <c r="T225" s="285"/>
      <c r="U225" s="285"/>
      <c r="V225" s="285"/>
      <c r="W225" s="285"/>
      <c r="X225" s="285"/>
      <c r="Y225" s="285"/>
      <c r="Z225" s="285"/>
      <c r="AA225" s="285"/>
      <c r="AC225" s="285" t="str">
        <f>IFERROR(__xludf.DUMMYFUNCTION("""COMPUTED_VALUE"""),"2604A043")</f>
        <v>2604A043</v>
      </c>
      <c r="AD225" s="286">
        <f>IFERROR(__xludf.DUMMYFUNCTION("""COMPUTED_VALUE"""),46124.0)</f>
        <v>46124</v>
      </c>
      <c r="AE225" s="285" t="str">
        <f>IFERROR(__xludf.DUMMYFUNCTION("""COMPUTED_VALUE"""),"Haryanda bagus")</f>
        <v>Haryanda bagus</v>
      </c>
      <c r="AF225" s="285" t="str">
        <f>IFERROR(__xludf.DUMMYFUNCTION("""COMPUTED_VALUE"""),"085258584658")</f>
        <v>085258584658</v>
      </c>
      <c r="AG225" s="285" t="str">
        <f>IFERROR(__xludf.DUMMYFUNCTION("""COMPUTED_VALUE"""),"Gagal")</f>
        <v>Gagal</v>
      </c>
      <c r="AH225" s="285"/>
      <c r="AI225" s="287"/>
      <c r="AJ225" s="285"/>
      <c r="AK225" s="289"/>
      <c r="AL225" s="285" t="str">
        <f>IFERROR(__xludf.DUMMYFUNCTION("""COMPUTED_VALUE"""),"Hanya menyapa")</f>
        <v>Hanya menyapa</v>
      </c>
    </row>
    <row r="226"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320"/>
      <c r="R226" s="285"/>
      <c r="S226" s="285"/>
      <c r="T226" s="285"/>
      <c r="U226" s="285"/>
      <c r="V226" s="285"/>
      <c r="W226" s="285"/>
      <c r="X226" s="285"/>
      <c r="Y226" s="285"/>
      <c r="Z226" s="285"/>
      <c r="AA226" s="285"/>
      <c r="AC226" s="285" t="str">
        <f>IFERROR(__xludf.DUMMYFUNCTION("""COMPUTED_VALUE"""),"2604A044")</f>
        <v>2604A044</v>
      </c>
      <c r="AD226" s="286">
        <f>IFERROR(__xludf.DUMMYFUNCTION("""COMPUTED_VALUE"""),46124.0)</f>
        <v>46124</v>
      </c>
      <c r="AE226" s="285" t="str">
        <f>IFERROR(__xludf.DUMMYFUNCTION("""COMPUTED_VALUE"""),"No Name")</f>
        <v>No Name</v>
      </c>
      <c r="AF226" s="285" t="str">
        <f>IFERROR(__xludf.DUMMYFUNCTION("""COMPUTED_VALUE"""),"085117752548")</f>
        <v>085117752548</v>
      </c>
      <c r="AG226" s="285" t="str">
        <f>IFERROR(__xludf.DUMMYFUNCTION("""COMPUTED_VALUE"""),"Gagal")</f>
        <v>Gagal</v>
      </c>
      <c r="AH226" s="285" t="str">
        <f>IFERROR(__xludf.DUMMYFUNCTION("""COMPUTED_VALUE""")," OT 2D1N")</f>
        <v> OT 2D1N</v>
      </c>
      <c r="AI226" s="287"/>
      <c r="AJ226" s="285">
        <f>IFERROR(__xludf.DUMMYFUNCTION("""COMPUTED_VALUE"""),1.0)</f>
        <v>1</v>
      </c>
      <c r="AK226" s="289"/>
      <c r="AL226" s="285" t="str">
        <f>IFERROR(__xludf.DUMMYFUNCTION("""COMPUTED_VALUE"""),"gada balasan")</f>
        <v>gada balasan</v>
      </c>
    </row>
    <row r="227"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320"/>
      <c r="R227" s="285"/>
      <c r="S227" s="285"/>
      <c r="T227" s="285"/>
      <c r="U227" s="285"/>
      <c r="V227" s="285"/>
      <c r="W227" s="285"/>
      <c r="X227" s="285"/>
      <c r="Y227" s="285"/>
      <c r="Z227" s="285"/>
      <c r="AA227" s="285"/>
      <c r="AC227" s="285" t="str">
        <f>IFERROR(__xludf.DUMMYFUNCTION("""COMPUTED_VALUE"""),"2604A046")</f>
        <v>2604A046</v>
      </c>
      <c r="AD227" s="286">
        <f>IFERROR(__xludf.DUMMYFUNCTION("""COMPUTED_VALUE"""),46125.0)</f>
        <v>46125</v>
      </c>
      <c r="AE227" s="285" t="str">
        <f>IFERROR(__xludf.DUMMYFUNCTION("""COMPUTED_VALUE"""),"Taju")</f>
        <v>Taju</v>
      </c>
      <c r="AF227" s="285" t="str">
        <f>IFERROR(__xludf.DUMMYFUNCTION("""COMPUTED_VALUE"""),"082134237377")</f>
        <v>082134237377</v>
      </c>
      <c r="AG227" s="285" t="str">
        <f>IFERROR(__xludf.DUMMYFUNCTION("""COMPUTED_VALUE"""),"Gagal")</f>
        <v>Gagal</v>
      </c>
      <c r="AH227" s="285" t="str">
        <f>IFERROR(__xludf.DUMMYFUNCTION("""COMPUTED_VALUE"""),"2h1m  custom")</f>
        <v>2h1m  custom</v>
      </c>
      <c r="AI227" s="287"/>
      <c r="AJ227" s="285">
        <f>IFERROR(__xludf.DUMMYFUNCTION("""COMPUTED_VALUE"""),6.0)</f>
        <v>6</v>
      </c>
      <c r="AK227" s="289">
        <f>IFERROR(__xludf.DUMMYFUNCTION("""COMPUTED_VALUE"""),7800000.0)</f>
        <v>7800000</v>
      </c>
      <c r="AL227" s="285" t="str">
        <f>IFERROR(__xludf.DUMMYFUNCTION("""COMPUTED_VALUE"""),"gada jawaban, sdh fu")</f>
        <v>gada jawaban, sdh fu</v>
      </c>
    </row>
    <row r="228"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320"/>
      <c r="R228" s="285"/>
      <c r="S228" s="285"/>
      <c r="T228" s="285"/>
      <c r="U228" s="285"/>
      <c r="V228" s="285"/>
      <c r="W228" s="285"/>
      <c r="X228" s="285"/>
      <c r="Y228" s="285"/>
      <c r="Z228" s="285"/>
      <c r="AA228" s="285"/>
      <c r="AC228" s="285" t="str">
        <f>IFERROR(__xludf.DUMMYFUNCTION("""COMPUTED_VALUE"""),"2604A048")</f>
        <v>2604A048</v>
      </c>
      <c r="AD228" s="286">
        <f>IFERROR(__xludf.DUMMYFUNCTION("""COMPUTED_VALUE"""),46126.0)</f>
        <v>46126</v>
      </c>
      <c r="AE228" s="285" t="str">
        <f>IFERROR(__xludf.DUMMYFUNCTION("""COMPUTED_VALUE"""),"billy")</f>
        <v>billy</v>
      </c>
      <c r="AF228" s="285" t="str">
        <f>IFERROR(__xludf.DUMMYFUNCTION("""COMPUTED_VALUE"""),"081215050763")</f>
        <v>081215050763</v>
      </c>
      <c r="AG228" s="285" t="str">
        <f>IFERROR(__xludf.DUMMYFUNCTION("""COMPUTED_VALUE"""),"Gagal")</f>
        <v>Gagal</v>
      </c>
      <c r="AH228" s="285"/>
      <c r="AI228" s="287"/>
      <c r="AJ228" s="285"/>
      <c r="AK228" s="289"/>
      <c r="AL228" s="285" t="str">
        <f>IFERROR(__xludf.DUMMYFUNCTION("""COMPUTED_VALUE"""),"hanya menyapa")</f>
        <v>hanya menyapa</v>
      </c>
    </row>
    <row r="229"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320"/>
      <c r="R229" s="285"/>
      <c r="S229" s="285"/>
      <c r="T229" s="285"/>
      <c r="U229" s="285"/>
      <c r="V229" s="285"/>
      <c r="W229" s="285"/>
      <c r="X229" s="285"/>
      <c r="Y229" s="285"/>
      <c r="Z229" s="285"/>
      <c r="AA229" s="285"/>
      <c r="AC229" s="285" t="str">
        <f>IFERROR(__xludf.DUMMYFUNCTION("""COMPUTED_VALUE"""),"2604A049")</f>
        <v>2604A049</v>
      </c>
      <c r="AD229" s="286">
        <f>IFERROR(__xludf.DUMMYFUNCTION("""COMPUTED_VALUE"""),46126.0)</f>
        <v>46126</v>
      </c>
      <c r="AE229" s="285" t="str">
        <f>IFERROR(__xludf.DUMMYFUNCTION("""COMPUTED_VALUE"""),"Eva Januari")</f>
        <v>Eva Januari</v>
      </c>
      <c r="AF229" s="285" t="str">
        <f>IFERROR(__xludf.DUMMYFUNCTION("""COMPUTED_VALUE"""),"081348062223")</f>
        <v>081348062223</v>
      </c>
      <c r="AG229" s="285" t="str">
        <f>IFERROR(__xludf.DUMMYFUNCTION("""COMPUTED_VALUE"""),"Gagal")</f>
        <v>Gagal</v>
      </c>
      <c r="AH229" s="285" t="str">
        <f>IFERROR(__xludf.DUMMYFUNCTION("""COMPUTED_VALUE"""),"2h1m")</f>
        <v>2h1m</v>
      </c>
      <c r="AI229" s="287"/>
      <c r="AJ229" s="285"/>
      <c r="AK229" s="289"/>
      <c r="AL229" s="285" t="str">
        <f>IFERROR(__xludf.DUMMYFUNCTION("""COMPUTED_VALUE"""),"gada balasan")</f>
        <v>gada balasan</v>
      </c>
    </row>
    <row r="230"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320"/>
      <c r="R230" s="285"/>
      <c r="S230" s="285"/>
      <c r="T230" s="285"/>
      <c r="U230" s="285"/>
      <c r="V230" s="285"/>
      <c r="W230" s="285"/>
      <c r="X230" s="285"/>
      <c r="Y230" s="285"/>
      <c r="Z230" s="285"/>
      <c r="AA230" s="285"/>
      <c r="AC230" s="285" t="str">
        <f>IFERROR(__xludf.DUMMYFUNCTION("""COMPUTED_VALUE"""),"2604A050")</f>
        <v>2604A050</v>
      </c>
      <c r="AD230" s="286">
        <f>IFERROR(__xludf.DUMMYFUNCTION("""COMPUTED_VALUE"""),46126.0)</f>
        <v>46126</v>
      </c>
      <c r="AE230" s="285" t="str">
        <f>IFERROR(__xludf.DUMMYFUNCTION("""COMPUTED_VALUE"""),"Tasya Widya")</f>
        <v>Tasya Widya</v>
      </c>
      <c r="AF230" s="285" t="str">
        <f>IFERROR(__xludf.DUMMYFUNCTION("""COMPUTED_VALUE"""),"08112991307")</f>
        <v>08112991307</v>
      </c>
      <c r="AG230" s="285" t="str">
        <f>IFERROR(__xludf.DUMMYFUNCTION("""COMPUTED_VALUE"""),"Gagal")</f>
        <v>Gagal</v>
      </c>
      <c r="AH230" s="285" t="str">
        <f>IFERROR(__xludf.DUMMYFUNCTION("""COMPUTED_VALUE"""),"2H1M ")</f>
        <v>2H1M </v>
      </c>
      <c r="AI230" s="287"/>
      <c r="AJ230" s="285">
        <f>IFERROR(__xludf.DUMMYFUNCTION("""COMPUTED_VALUE"""),3.0)</f>
        <v>3</v>
      </c>
      <c r="AK230" s="289">
        <f>IFERROR(__xludf.DUMMYFUNCTION("""COMPUTED_VALUE"""),5850000.0)</f>
        <v>5850000</v>
      </c>
      <c r="AL230" s="285" t="str">
        <f>IFERROR(__xludf.DUMMYFUNCTION("""COMPUTED_VALUE"""),"tak ada jawaban")</f>
        <v>tak ada jawaban</v>
      </c>
    </row>
    <row r="231"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320"/>
      <c r="R231" s="285"/>
      <c r="S231" s="285"/>
      <c r="T231" s="285"/>
      <c r="U231" s="285"/>
      <c r="V231" s="285"/>
      <c r="W231" s="285"/>
      <c r="X231" s="285"/>
      <c r="Y231" s="285"/>
      <c r="Z231" s="285"/>
      <c r="AA231" s="285"/>
      <c r="AC231" s="285" t="str">
        <f>IFERROR(__xludf.DUMMYFUNCTION("""COMPUTED_VALUE"""),"2604A052")</f>
        <v>2604A052</v>
      </c>
      <c r="AD231" s="286">
        <f>IFERROR(__xludf.DUMMYFUNCTION("""COMPUTED_VALUE"""),46126.0)</f>
        <v>46126</v>
      </c>
      <c r="AE231" s="285" t="str">
        <f>IFERROR(__xludf.DUMMYFUNCTION("""COMPUTED_VALUE"""),"kikii")</f>
        <v>kikii</v>
      </c>
      <c r="AF231" s="285" t="str">
        <f>IFERROR(__xludf.DUMMYFUNCTION("""COMPUTED_VALUE"""),"085656704404")</f>
        <v>085656704404</v>
      </c>
      <c r="AG231" s="285" t="str">
        <f>IFERROR(__xludf.DUMMYFUNCTION("""COMPUTED_VALUE"""),"Gagal")</f>
        <v>Gagal</v>
      </c>
      <c r="AH231" s="285" t="str">
        <f>IFERROR(__xludf.DUMMYFUNCTION("""COMPUTED_VALUE"""),"2H1M Opsi A")</f>
        <v>2H1M Opsi A</v>
      </c>
      <c r="AI231" s="287"/>
      <c r="AJ231" s="285">
        <f>IFERROR(__xludf.DUMMYFUNCTION("""COMPUTED_VALUE"""),2.0)</f>
        <v>2</v>
      </c>
      <c r="AK231" s="289"/>
      <c r="AL231" s="285" t="str">
        <f>IFERROR(__xludf.DUMMYFUNCTION("""COMPUTED_VALUE"""),"gada balasan")</f>
        <v>gada balasan</v>
      </c>
    </row>
    <row r="232"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320"/>
      <c r="R232" s="285"/>
      <c r="S232" s="285"/>
      <c r="T232" s="285"/>
      <c r="U232" s="285"/>
      <c r="V232" s="285"/>
      <c r="W232" s="285"/>
      <c r="X232" s="285"/>
      <c r="Y232" s="285"/>
      <c r="Z232" s="285"/>
      <c r="AA232" s="285"/>
      <c r="AC232" s="285" t="str">
        <f>IFERROR(__xludf.DUMMYFUNCTION("""COMPUTED_VALUE"""),"2604A054")</f>
        <v>2604A054</v>
      </c>
      <c r="AD232" s="286">
        <f>IFERROR(__xludf.DUMMYFUNCTION("""COMPUTED_VALUE"""),46128.0)</f>
        <v>46128</v>
      </c>
      <c r="AE232" s="285" t="str">
        <f>IFERROR(__xludf.DUMMYFUNCTION("""COMPUTED_VALUE"""),"Pinastika")</f>
        <v>Pinastika</v>
      </c>
      <c r="AF232" s="285" t="str">
        <f>IFERROR(__xludf.DUMMYFUNCTION("""COMPUTED_VALUE"""),"081990039512")</f>
        <v>081990039512</v>
      </c>
      <c r="AG232" s="285" t="str">
        <f>IFERROR(__xludf.DUMMYFUNCTION("""COMPUTED_VALUE"""),"Gagal")</f>
        <v>Gagal</v>
      </c>
      <c r="AH232" s="285" t="str">
        <f>IFERROR(__xludf.DUMMYFUNCTION("""COMPUTED_VALUE"""),"3h2m")</f>
        <v>3h2m</v>
      </c>
      <c r="AI232" s="287"/>
      <c r="AJ232" s="285">
        <f>IFERROR(__xludf.DUMMYFUNCTION("""COMPUTED_VALUE"""),3.0)</f>
        <v>3</v>
      </c>
      <c r="AK232" s="289"/>
      <c r="AL232" s="285" t="str">
        <f>IFERROR(__xludf.DUMMYFUNCTION("""COMPUTED_VALUE"""),"gada balasan")</f>
        <v>gada balasan</v>
      </c>
    </row>
    <row r="233"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320"/>
      <c r="R233" s="285"/>
      <c r="S233" s="285"/>
      <c r="T233" s="285"/>
      <c r="U233" s="285"/>
      <c r="V233" s="285"/>
      <c r="W233" s="285"/>
      <c r="X233" s="285"/>
      <c r="Y233" s="285"/>
      <c r="Z233" s="285"/>
      <c r="AA233" s="285"/>
      <c r="AC233" s="285" t="str">
        <f>IFERROR(__xludf.DUMMYFUNCTION("""COMPUTED_VALUE"""),"2604A055")</f>
        <v>2604A055</v>
      </c>
      <c r="AD233" s="286">
        <f>IFERROR(__xludf.DUMMYFUNCTION("""COMPUTED_VALUE"""),46128.0)</f>
        <v>46128</v>
      </c>
      <c r="AE233" s="285" t="str">
        <f>IFERROR(__xludf.DUMMYFUNCTION("""COMPUTED_VALUE"""),"Elita")</f>
        <v>Elita</v>
      </c>
      <c r="AF233" s="285" t="str">
        <f>IFERROR(__xludf.DUMMYFUNCTION("""COMPUTED_VALUE"""),"08133636406")</f>
        <v>08133636406</v>
      </c>
      <c r="AG233" s="285" t="str">
        <f>IFERROR(__xludf.DUMMYFUNCTION("""COMPUTED_VALUE"""),"Gagal")</f>
        <v>Gagal</v>
      </c>
      <c r="AH233" s="285" t="str">
        <f>IFERROR(__xludf.DUMMYFUNCTION("""COMPUTED_VALUE"""),"OT B")</f>
        <v>OT B</v>
      </c>
      <c r="AI233" s="287">
        <f>IFERROR(__xludf.DUMMYFUNCTION("""COMPUTED_VALUE"""),46131.0)</f>
        <v>46131</v>
      </c>
      <c r="AJ233" s="285">
        <f>IFERROR(__xludf.DUMMYFUNCTION("""COMPUTED_VALUE"""),2.0)</f>
        <v>2</v>
      </c>
      <c r="AK233" s="289">
        <f>IFERROR(__xludf.DUMMYFUNCTION("""COMPUTED_VALUE"""),700000.0)</f>
        <v>700000</v>
      </c>
      <c r="AL233" s="285" t="str">
        <f>IFERROR(__xludf.DUMMYFUNCTION("""COMPUTED_VALUE"""),"tidak ada balasan")</f>
        <v>tidak ada balasan</v>
      </c>
    </row>
    <row r="234"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320"/>
      <c r="R234" s="285"/>
      <c r="S234" s="285"/>
      <c r="T234" s="285"/>
      <c r="U234" s="285"/>
      <c r="V234" s="285"/>
      <c r="W234" s="285"/>
      <c r="X234" s="285"/>
      <c r="Y234" s="285"/>
      <c r="Z234" s="285"/>
      <c r="AA234" s="285"/>
      <c r="AC234" s="285" t="str">
        <f>IFERROR(__xludf.DUMMYFUNCTION("""COMPUTED_VALUE"""),"2604A057")</f>
        <v>2604A057</v>
      </c>
      <c r="AD234" s="286">
        <f>IFERROR(__xludf.DUMMYFUNCTION("""COMPUTED_VALUE"""),46129.0)</f>
        <v>46129</v>
      </c>
      <c r="AE234" s="285" t="str">
        <f>IFERROR(__xludf.DUMMYFUNCTION("""COMPUTED_VALUE"""),"Salsabila")</f>
        <v>Salsabila</v>
      </c>
      <c r="AF234" s="285" t="str">
        <f>IFERROR(__xludf.DUMMYFUNCTION("""COMPUTED_VALUE"""),"085264954614")</f>
        <v>085264954614</v>
      </c>
      <c r="AG234" s="285" t="str">
        <f>IFERROR(__xludf.DUMMYFUNCTION("""COMPUTED_VALUE"""),"Gagal")</f>
        <v>Gagal</v>
      </c>
      <c r="AH234" s="285" t="str">
        <f>IFERROR(__xludf.DUMMYFUNCTION("""COMPUTED_VALUE"""),"trip T, I")</f>
        <v>trip T, I</v>
      </c>
      <c r="AI234" s="287">
        <f>IFERROR(__xludf.DUMMYFUNCTION("""COMPUTED_VALUE"""),46139.0)</f>
        <v>46139</v>
      </c>
      <c r="AJ234" s="285">
        <f>IFERROR(__xludf.DUMMYFUNCTION("""COMPUTED_VALUE"""),1.0)</f>
        <v>1</v>
      </c>
      <c r="AK234" s="289">
        <f>IFERROR(__xludf.DUMMYFUNCTION("""COMPUTED_VALUE"""),525000.0)</f>
        <v>525000</v>
      </c>
      <c r="AL234" s="285" t="str">
        <f>IFERROR(__xludf.DUMMYFUNCTION("""COMPUTED_VALUE"""),"tak ada jawaban")</f>
        <v>tak ada jawaban</v>
      </c>
    </row>
    <row r="235"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320"/>
      <c r="R235" s="285"/>
      <c r="S235" s="285"/>
      <c r="T235" s="285"/>
      <c r="U235" s="285"/>
      <c r="V235" s="285"/>
      <c r="W235" s="285"/>
      <c r="X235" s="285"/>
      <c r="Y235" s="285"/>
      <c r="Z235" s="285"/>
      <c r="AA235" s="285"/>
      <c r="AC235" s="285" t="str">
        <f>IFERROR(__xludf.DUMMYFUNCTION("""COMPUTED_VALUE"""),"2604A059")</f>
        <v>2604A059</v>
      </c>
      <c r="AD235" s="286">
        <f>IFERROR(__xludf.DUMMYFUNCTION("""COMPUTED_VALUE"""),46130.0)</f>
        <v>46130</v>
      </c>
      <c r="AE235" s="285" t="str">
        <f>IFERROR(__xludf.DUMMYFUNCTION("""COMPUTED_VALUE"""),"Nana")</f>
        <v>Nana</v>
      </c>
      <c r="AF235" s="285" t="str">
        <f>IFERROR(__xludf.DUMMYFUNCTION("""COMPUTED_VALUE"""),"081325151578")</f>
        <v>081325151578</v>
      </c>
      <c r="AG235" s="285" t="str">
        <f>IFERROR(__xludf.DUMMYFUNCTION("""COMPUTED_VALUE"""),"Gagal")</f>
        <v>Gagal</v>
      </c>
      <c r="AH235" s="285" t="str">
        <f>IFERROR(__xludf.DUMMYFUNCTION("""COMPUTED_VALUE"""),"Trip 3H2M")</f>
        <v>Trip 3H2M</v>
      </c>
      <c r="AI235" s="287"/>
      <c r="AJ235" s="285">
        <f>IFERROR(__xludf.DUMMYFUNCTION("""COMPUTED_VALUE"""),10.0)</f>
        <v>10</v>
      </c>
      <c r="AK235" s="289"/>
      <c r="AL235" s="285" t="str">
        <f>IFERROR(__xludf.DUMMYFUNCTION("""COMPUTED_VALUE"""),"ada bbrp hal yg kuranf memungkinkan")</f>
        <v>ada bbrp hal yg kuranf memungkinkan</v>
      </c>
    </row>
    <row r="236"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320"/>
      <c r="R236" s="285"/>
      <c r="S236" s="285"/>
      <c r="T236" s="285"/>
      <c r="U236" s="285"/>
      <c r="V236" s="285"/>
      <c r="W236" s="285"/>
      <c r="X236" s="285"/>
      <c r="Y236" s="285"/>
      <c r="Z236" s="285"/>
      <c r="AA236" s="285"/>
      <c r="AC236" s="285" t="str">
        <f>IFERROR(__xludf.DUMMYFUNCTION("""COMPUTED_VALUE"""),"2604A060")</f>
        <v>2604A060</v>
      </c>
      <c r="AD236" s="286">
        <f>IFERROR(__xludf.DUMMYFUNCTION("""COMPUTED_VALUE"""),46130.0)</f>
        <v>46130</v>
      </c>
      <c r="AE236" s="285" t="str">
        <f>IFERROR(__xludf.DUMMYFUNCTION("""COMPUTED_VALUE"""),"Naya")</f>
        <v>Naya</v>
      </c>
      <c r="AF236" s="285" t="str">
        <f>IFERROR(__xludf.DUMMYFUNCTION("""COMPUTED_VALUE"""),"081320793223")</f>
        <v>081320793223</v>
      </c>
      <c r="AG236" s="285" t="str">
        <f>IFERROR(__xludf.DUMMYFUNCTION("""COMPUTED_VALUE"""),"Gagal")</f>
        <v>Gagal</v>
      </c>
      <c r="AH236" s="285" t="str">
        <f>IFERROR(__xludf.DUMMYFUNCTION("""COMPUTED_VALUE"""),"2h3m")</f>
        <v>2h3m</v>
      </c>
      <c r="AI236" s="287"/>
      <c r="AJ236" s="285">
        <f>IFERROR(__xludf.DUMMYFUNCTION("""COMPUTED_VALUE"""),4.0)</f>
        <v>4</v>
      </c>
      <c r="AK236" s="289">
        <f>IFERROR(__xludf.DUMMYFUNCTION("""COMPUTED_VALUE"""),4480000.0)</f>
        <v>4480000</v>
      </c>
      <c r="AL236" s="285" t="str">
        <f>IFERROR(__xludf.DUMMYFUNCTION("""COMPUTED_VALUE"""),"masih cari cuti")</f>
        <v>masih cari cuti</v>
      </c>
    </row>
    <row r="237"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320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  <c r="AC237" s="285" t="str">
        <f>IFERROR(__xludf.DUMMYFUNCTION("""COMPUTED_VALUE"""),"2604A062")</f>
        <v>2604A062</v>
      </c>
      <c r="AD237" s="286">
        <f>IFERROR(__xludf.DUMMYFUNCTION("""COMPUTED_VALUE"""),46131.0)</f>
        <v>46131</v>
      </c>
      <c r="AE237" s="285" t="str">
        <f>IFERROR(__xludf.DUMMYFUNCTION("""COMPUTED_VALUE"""),"May SK")</f>
        <v>May SK</v>
      </c>
      <c r="AF237" s="285" t="str">
        <f>IFERROR(__xludf.DUMMYFUNCTION("""COMPUTED_VALUE"""),"08161133838")</f>
        <v>08161133838</v>
      </c>
      <c r="AG237" s="285" t="str">
        <f>IFERROR(__xludf.DUMMYFUNCTION("""COMPUTED_VALUE"""),"Gagal")</f>
        <v>Gagal</v>
      </c>
      <c r="AH237" s="285" t="str">
        <f>IFERROR(__xludf.DUMMYFUNCTION("""COMPUTED_VALUE"""),"3h2m")</f>
        <v>3h2m</v>
      </c>
      <c r="AI237" s="287"/>
      <c r="AJ237" s="285">
        <f>IFERROR(__xludf.DUMMYFUNCTION("""COMPUTED_VALUE"""),2.0)</f>
        <v>2</v>
      </c>
      <c r="AK237" s="289"/>
      <c r="AL237" s="285" t="str">
        <f>IFERROR(__xludf.DUMMYFUNCTION("""COMPUTED_VALUE"""),"fu lagi 16 mei")</f>
        <v>fu lagi 16 mei</v>
      </c>
    </row>
    <row r="238"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320"/>
      <c r="R238" s="285"/>
      <c r="S238" s="285"/>
      <c r="T238" s="285"/>
      <c r="U238" s="285"/>
      <c r="V238" s="285"/>
      <c r="W238" s="285"/>
      <c r="X238" s="285"/>
      <c r="Y238" s="285"/>
      <c r="Z238" s="285"/>
      <c r="AA238" s="285"/>
      <c r="AC238" s="285" t="str">
        <f>IFERROR(__xludf.DUMMYFUNCTION("""COMPUTED_VALUE"""),"2604A066")</f>
        <v>2604A066</v>
      </c>
      <c r="AD238" s="286">
        <f>IFERROR(__xludf.DUMMYFUNCTION("""COMPUTED_VALUE"""),46131.0)</f>
        <v>46131</v>
      </c>
      <c r="AE238" s="285" t="str">
        <f>IFERROR(__xludf.DUMMYFUNCTION("""COMPUTED_VALUE"""),"Ponny")</f>
        <v>Ponny</v>
      </c>
      <c r="AF238" s="285" t="str">
        <f>IFERROR(__xludf.DUMMYFUNCTION("""COMPUTED_VALUE"""),"087878896548")</f>
        <v>087878896548</v>
      </c>
      <c r="AG238" s="285" t="str">
        <f>IFERROR(__xludf.DUMMYFUNCTION("""COMPUTED_VALUE"""),"Gagal")</f>
        <v>Gagal</v>
      </c>
      <c r="AH238" s="285" t="str">
        <f>IFERROR(__xludf.DUMMYFUNCTION("""COMPUTED_VALUE"""),"Trip D, B, GI")</f>
        <v>Trip D, B, GI</v>
      </c>
      <c r="AI238" s="287"/>
      <c r="AJ238" s="285">
        <f>IFERROR(__xludf.DUMMYFUNCTION("""COMPUTED_VALUE"""),2.0)</f>
        <v>2</v>
      </c>
      <c r="AK238" s="289">
        <f>IFERROR(__xludf.DUMMYFUNCTION("""COMPUTED_VALUE"""),2740000.0)</f>
        <v>2740000</v>
      </c>
      <c r="AL238" s="285" t="str">
        <f>IFERROR(__xludf.DUMMYFUNCTION("""COMPUTED_VALUE"""),"sudah booking ditempat lain")</f>
        <v>sudah booking ditempat lain</v>
      </c>
    </row>
    <row r="239"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320"/>
      <c r="R239" s="285"/>
      <c r="S239" s="285"/>
      <c r="T239" s="285"/>
      <c r="U239" s="285"/>
      <c r="V239" s="285"/>
      <c r="W239" s="285"/>
      <c r="X239" s="285"/>
      <c r="Y239" s="285"/>
      <c r="Z239" s="285"/>
      <c r="AA239" s="285"/>
      <c r="AC239" s="285" t="str">
        <f>IFERROR(__xludf.DUMMYFUNCTION("""COMPUTED_VALUE"""),"2604A067")</f>
        <v>2604A067</v>
      </c>
      <c r="AD239" s="286">
        <f>IFERROR(__xludf.DUMMYFUNCTION("""COMPUTED_VALUE"""),46131.0)</f>
        <v>46131</v>
      </c>
      <c r="AE239" s="285" t="str">
        <f>IFERROR(__xludf.DUMMYFUNCTION("""COMPUTED_VALUE"""),"No name")</f>
        <v>No name</v>
      </c>
      <c r="AF239" s="285" t="str">
        <f>IFERROR(__xludf.DUMMYFUNCTION("""COMPUTED_VALUE"""),"088286131858")</f>
        <v>088286131858</v>
      </c>
      <c r="AG239" s="285" t="str">
        <f>IFERROR(__xludf.DUMMYFUNCTION("""COMPUTED_VALUE"""),"Gagal")</f>
        <v>Gagal</v>
      </c>
      <c r="AH239" s="285"/>
      <c r="AI239" s="287"/>
      <c r="AJ239" s="285"/>
      <c r="AK239" s="289"/>
      <c r="AL239" s="285"/>
    </row>
    <row r="240"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320"/>
      <c r="R240" s="285"/>
      <c r="S240" s="285"/>
      <c r="T240" s="285"/>
      <c r="U240" s="285"/>
      <c r="V240" s="285"/>
      <c r="W240" s="285"/>
      <c r="X240" s="285"/>
      <c r="Y240" s="285"/>
      <c r="Z240" s="285"/>
      <c r="AA240" s="285"/>
      <c r="AC240" s="285" t="str">
        <f>IFERROR(__xludf.DUMMYFUNCTION("""COMPUTED_VALUE"""),"2604A068")</f>
        <v>2604A068</v>
      </c>
      <c r="AD240" s="286">
        <f>IFERROR(__xludf.DUMMYFUNCTION("""COMPUTED_VALUE"""),46131.0)</f>
        <v>46131</v>
      </c>
      <c r="AE240" s="285" t="str">
        <f>IFERROR(__xludf.DUMMYFUNCTION("""COMPUTED_VALUE"""),"Dhini")</f>
        <v>Dhini</v>
      </c>
      <c r="AF240" s="285" t="str">
        <f>IFERROR(__xludf.DUMMYFUNCTION("""COMPUTED_VALUE"""),"082123207691")</f>
        <v>082123207691</v>
      </c>
      <c r="AG240" s="285" t="str">
        <f>IFERROR(__xludf.DUMMYFUNCTION("""COMPUTED_VALUE"""),"Gagal")</f>
        <v>Gagal</v>
      </c>
      <c r="AH240" s="285" t="str">
        <f>IFERROR(__xludf.DUMMYFUNCTION("""COMPUTED_VALUE"""),"OT 3H2M")</f>
        <v>OT 3H2M</v>
      </c>
      <c r="AI240" s="287"/>
      <c r="AJ240" s="285">
        <f>IFERROR(__xludf.DUMMYFUNCTION("""COMPUTED_VALUE"""),2.0)</f>
        <v>2</v>
      </c>
      <c r="AK240" s="289">
        <f>IFERROR(__xludf.DUMMYFUNCTION("""COMPUTED_VALUE"""),3200000.0)</f>
        <v>3200000</v>
      </c>
      <c r="AL240" s="285" t="str">
        <f>IFERROR(__xludf.DUMMYFUNCTION("""COMPUTED_VALUE"""),"gada jawaban")</f>
        <v>gada jawaban</v>
      </c>
    </row>
    <row r="241"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320"/>
      <c r="R241" s="285"/>
      <c r="S241" s="285"/>
      <c r="T241" s="285"/>
      <c r="U241" s="285"/>
      <c r="V241" s="285"/>
      <c r="W241" s="285"/>
      <c r="X241" s="285"/>
      <c r="Y241" s="285"/>
      <c r="Z241" s="285"/>
      <c r="AA241" s="285"/>
      <c r="AC241" s="285" t="str">
        <f>IFERROR(__xludf.DUMMYFUNCTION("""COMPUTED_VALUE"""),"2604A069")</f>
        <v>2604A069</v>
      </c>
      <c r="AD241" s="286">
        <f>IFERROR(__xludf.DUMMYFUNCTION("""COMPUTED_VALUE"""),46131.0)</f>
        <v>46131</v>
      </c>
      <c r="AE241" s="285" t="str">
        <f>IFERROR(__xludf.DUMMYFUNCTION("""COMPUTED_VALUE"""),"Javier")</f>
        <v>Javier</v>
      </c>
      <c r="AF241" s="285" t="str">
        <f>IFERROR(__xludf.DUMMYFUNCTION("""COMPUTED_VALUE"""),"085183107452")</f>
        <v>085183107452</v>
      </c>
      <c r="AG241" s="285" t="str">
        <f>IFERROR(__xludf.DUMMYFUNCTION("""COMPUTED_VALUE"""),"Gagal")</f>
        <v>Gagal</v>
      </c>
      <c r="AH241" s="285" t="str">
        <f>IFERROR(__xludf.DUMMYFUNCTION("""COMPUTED_VALUE"""),"Trip M T")</f>
        <v>Trip M T</v>
      </c>
      <c r="AI241" s="287"/>
      <c r="AJ241" s="285">
        <f>IFERROR(__xludf.DUMMYFUNCTION("""COMPUTED_VALUE"""),2.0)</f>
        <v>2</v>
      </c>
      <c r="AK241" s="289">
        <f>IFERROR(__xludf.DUMMYFUNCTION("""COMPUTED_VALUE"""),1050000.0)</f>
        <v>1050000</v>
      </c>
      <c r="AL241" s="285" t="str">
        <f>IFERROR(__xludf.DUMMYFUNCTION("""COMPUTED_VALUE"""),"mencari yg dr sby")</f>
        <v>mencari yg dr sby</v>
      </c>
    </row>
    <row r="242"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320"/>
      <c r="R242" s="285"/>
      <c r="S242" s="285"/>
      <c r="T242" s="285"/>
      <c r="U242" s="285"/>
      <c r="V242" s="285"/>
      <c r="W242" s="285"/>
      <c r="X242" s="285"/>
      <c r="Y242" s="285"/>
      <c r="Z242" s="285"/>
      <c r="AA242" s="285"/>
      <c r="AC242" s="285" t="str">
        <f>IFERROR(__xludf.DUMMYFUNCTION("""COMPUTED_VALUE"""),"2604A070")</f>
        <v>2604A070</v>
      </c>
      <c r="AD242" s="286">
        <f>IFERROR(__xludf.DUMMYFUNCTION("""COMPUTED_VALUE"""),46131.0)</f>
        <v>46131</v>
      </c>
      <c r="AE242" s="285" t="str">
        <f>IFERROR(__xludf.DUMMYFUNCTION("""COMPUTED_VALUE"""),"Jerik")</f>
        <v>Jerik</v>
      </c>
      <c r="AF242" s="285" t="str">
        <f>IFERROR(__xludf.DUMMYFUNCTION("""COMPUTED_VALUE"""),"08139190325")</f>
        <v>08139190325</v>
      </c>
      <c r="AG242" s="285" t="str">
        <f>IFERROR(__xludf.DUMMYFUNCTION("""COMPUTED_VALUE"""),"Gagal")</f>
        <v>Gagal</v>
      </c>
      <c r="AH242" s="285" t="str">
        <f>IFERROR(__xludf.DUMMYFUNCTION("""COMPUTED_VALUE"""),"Trip I, AP, D,")</f>
        <v>Trip I, AP, D,</v>
      </c>
      <c r="AI242" s="287"/>
      <c r="AJ242" s="285"/>
      <c r="AK242" s="289"/>
      <c r="AL242" s="285" t="str">
        <f>IFERROR(__xludf.DUMMYFUNCTION("""COMPUTED_VALUE"""),"belum balas lagi.")</f>
        <v>belum balas lagi.</v>
      </c>
    </row>
    <row r="243"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320"/>
      <c r="R243" s="285"/>
      <c r="S243" s="285"/>
      <c r="T243" s="285"/>
      <c r="U243" s="285"/>
      <c r="V243" s="285"/>
      <c r="W243" s="285"/>
      <c r="X243" s="285"/>
      <c r="Y243" s="285"/>
      <c r="Z243" s="285"/>
      <c r="AA243" s="285"/>
      <c r="AC243" s="285" t="str">
        <f>IFERROR(__xludf.DUMMYFUNCTION("""COMPUTED_VALUE"""),"2604A071")</f>
        <v>2604A071</v>
      </c>
      <c r="AD243" s="286">
        <f>IFERROR(__xludf.DUMMYFUNCTION("""COMPUTED_VALUE"""),46132.0)</f>
        <v>46132</v>
      </c>
      <c r="AE243" s="285" t="str">
        <f>IFERROR(__xludf.DUMMYFUNCTION("""COMPUTED_VALUE"""),"Marsheilla A")</f>
        <v>Marsheilla A</v>
      </c>
      <c r="AF243" s="285" t="str">
        <f>IFERROR(__xludf.DUMMYFUNCTION("""COMPUTED_VALUE"""),"081284460967")</f>
        <v>081284460967</v>
      </c>
      <c r="AG243" s="285" t="str">
        <f>IFERROR(__xludf.DUMMYFUNCTION("""COMPUTED_VALUE"""),"Gagal")</f>
        <v>Gagal</v>
      </c>
      <c r="AH243" s="285" t="str">
        <f>IFERROR(__xludf.DUMMYFUNCTION("""COMPUTED_VALUE"""),"4H3M")</f>
        <v>4H3M</v>
      </c>
      <c r="AI243" s="287"/>
      <c r="AJ243" s="285">
        <f>IFERROR(__xludf.DUMMYFUNCTION("""COMPUTED_VALUE"""),2.0)</f>
        <v>2</v>
      </c>
      <c r="AK243" s="289">
        <f>IFERROR(__xludf.DUMMYFUNCTION("""COMPUTED_VALUE"""),7820000.0)</f>
        <v>7820000</v>
      </c>
      <c r="AL243" s="285" t="str">
        <f>IFERROR(__xludf.DUMMYFUNCTION("""COMPUTED_VALUE"""),"gada jawaban")</f>
        <v>gada jawaban</v>
      </c>
    </row>
    <row r="244"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320"/>
      <c r="R244" s="285"/>
      <c r="S244" s="285"/>
      <c r="T244" s="285"/>
      <c r="U244" s="285"/>
      <c r="V244" s="285"/>
      <c r="W244" s="285"/>
      <c r="X244" s="285"/>
      <c r="Y244" s="285"/>
      <c r="Z244" s="285"/>
      <c r="AA244" s="285"/>
      <c r="AC244" s="285" t="str">
        <f>IFERROR(__xludf.DUMMYFUNCTION("""COMPUTED_VALUE"""),"2604A072")</f>
        <v>2604A072</v>
      </c>
      <c r="AD244" s="286">
        <f>IFERROR(__xludf.DUMMYFUNCTION("""COMPUTED_VALUE"""),46132.0)</f>
        <v>46132</v>
      </c>
      <c r="AE244" s="285" t="str">
        <f>IFERROR(__xludf.DUMMYFUNCTION("""COMPUTED_VALUE"""),"Ria Febri")</f>
        <v>Ria Febri</v>
      </c>
      <c r="AF244" s="285" t="str">
        <f>IFERROR(__xludf.DUMMYFUNCTION("""COMPUTED_VALUE"""),"081252405710")</f>
        <v>081252405710</v>
      </c>
      <c r="AG244" s="285" t="str">
        <f>IFERROR(__xludf.DUMMYFUNCTION("""COMPUTED_VALUE"""),"Gagal")</f>
        <v>Gagal</v>
      </c>
      <c r="AH244" s="285" t="str">
        <f>IFERROR(__xludf.DUMMYFUNCTION("""COMPUTED_VALUE"""),"OT M T")</f>
        <v>OT M T</v>
      </c>
      <c r="AI244" s="287"/>
      <c r="AJ244" s="285"/>
      <c r="AK244" s="289"/>
      <c r="AL244" s="285" t="str">
        <f>IFERROR(__xludf.DUMMYFUNCTION("""COMPUTED_VALUE"""),"tidak ada balasan")</f>
        <v>tidak ada balasan</v>
      </c>
    </row>
    <row r="245"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320"/>
      <c r="R245" s="285"/>
      <c r="S245" s="285"/>
      <c r="T245" s="285"/>
      <c r="U245" s="285"/>
      <c r="V245" s="285"/>
      <c r="W245" s="285"/>
      <c r="X245" s="285"/>
      <c r="Y245" s="285"/>
      <c r="Z245" s="285"/>
      <c r="AA245" s="285"/>
      <c r="AC245" s="285" t="str">
        <f>IFERROR(__xludf.DUMMYFUNCTION("""COMPUTED_VALUE"""),"2604A073")</f>
        <v>2604A073</v>
      </c>
      <c r="AD245" s="286">
        <f>IFERROR(__xludf.DUMMYFUNCTION("""COMPUTED_VALUE"""),46133.0)</f>
        <v>46133</v>
      </c>
      <c r="AE245" s="285" t="str">
        <f>IFERROR(__xludf.DUMMYFUNCTION("""COMPUTED_VALUE"""),"No Name")</f>
        <v>No Name</v>
      </c>
      <c r="AF245" s="285" t="str">
        <f>IFERROR(__xludf.DUMMYFUNCTION("""COMPUTED_VALUE"""),"085156638641")</f>
        <v>085156638641</v>
      </c>
      <c r="AG245" s="285" t="str">
        <f>IFERROR(__xludf.DUMMYFUNCTION("""COMPUTED_VALUE"""),"Gagal")</f>
        <v>Gagal</v>
      </c>
      <c r="AH245" s="285" t="str">
        <f>IFERROR(__xludf.DUMMYFUNCTION("""COMPUTED_VALUE"""),"OT 3H2M")</f>
        <v>OT 3H2M</v>
      </c>
      <c r="AI245" s="287"/>
      <c r="AJ245" s="285">
        <f>IFERROR(__xludf.DUMMYFUNCTION("""COMPUTED_VALUE"""),2.0)</f>
        <v>2</v>
      </c>
      <c r="AK245" s="289"/>
      <c r="AL245" s="285" t="str">
        <f>IFERROR(__xludf.DUMMYFUNCTION("""COMPUTED_VALUE"""),"FULLBOOKED")</f>
        <v>FULLBOOKED</v>
      </c>
    </row>
    <row r="246"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320"/>
      <c r="R246" s="285"/>
      <c r="S246" s="285"/>
      <c r="T246" s="285"/>
      <c r="U246" s="285"/>
      <c r="V246" s="285"/>
      <c r="W246" s="285"/>
      <c r="X246" s="285"/>
      <c r="Y246" s="285"/>
      <c r="Z246" s="285"/>
      <c r="AA246" s="285"/>
      <c r="AC246" s="285" t="str">
        <f>IFERROR(__xludf.DUMMYFUNCTION("""COMPUTED_VALUE"""),"2604A075")</f>
        <v>2604A075</v>
      </c>
      <c r="AD246" s="286">
        <f>IFERROR(__xludf.DUMMYFUNCTION("""COMPUTED_VALUE"""),46133.0)</f>
        <v>46133</v>
      </c>
      <c r="AE246" s="285" t="str">
        <f>IFERROR(__xludf.DUMMYFUNCTION("""COMPUTED_VALUE"""),"Auliahelen")</f>
        <v>Auliahelen</v>
      </c>
      <c r="AF246" s="285" t="str">
        <f>IFERROR(__xludf.DUMMYFUNCTION("""COMPUTED_VALUE"""),"085655941390")</f>
        <v>085655941390</v>
      </c>
      <c r="AG246" s="285" t="str">
        <f>IFERROR(__xludf.DUMMYFUNCTION("""COMPUTED_VALUE"""),"Gagal")</f>
        <v>Gagal</v>
      </c>
      <c r="AH246" s="285" t="str">
        <f>IFERROR(__xludf.DUMMYFUNCTION("""COMPUTED_VALUE"""),"2H1M opsi C")</f>
        <v>2H1M opsi C</v>
      </c>
      <c r="AI246" s="287"/>
      <c r="AJ246" s="285">
        <f>IFERROR(__xludf.DUMMYFUNCTION("""COMPUTED_VALUE"""),4.0)</f>
        <v>4</v>
      </c>
      <c r="AK246" s="289"/>
      <c r="AL246" s="285" t="str">
        <f>IFERROR(__xludf.DUMMYFUNCTION("""COMPUTED_VALUE"""),"gada balasan")</f>
        <v>gada balasan</v>
      </c>
    </row>
    <row r="247"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320"/>
      <c r="R247" s="285"/>
      <c r="S247" s="285"/>
      <c r="T247" s="285"/>
      <c r="U247" s="285"/>
      <c r="V247" s="285"/>
      <c r="W247" s="285"/>
      <c r="X247" s="285"/>
      <c r="Y247" s="285"/>
      <c r="Z247" s="285"/>
      <c r="AA247" s="285"/>
      <c r="AC247" s="285" t="str">
        <f>IFERROR(__xludf.DUMMYFUNCTION("""COMPUTED_VALUE"""),"2604A076")</f>
        <v>2604A076</v>
      </c>
      <c r="AD247" s="286">
        <f>IFERROR(__xludf.DUMMYFUNCTION("""COMPUTED_VALUE"""),46133.0)</f>
        <v>46133</v>
      </c>
      <c r="AE247" s="285" t="str">
        <f>IFERROR(__xludf.DUMMYFUNCTION("""COMPUTED_VALUE"""),"Nia ")</f>
        <v>Nia </v>
      </c>
      <c r="AF247" s="285" t="str">
        <f>IFERROR(__xludf.DUMMYFUNCTION("""COMPUTED_VALUE"""),"082326666677")</f>
        <v>082326666677</v>
      </c>
      <c r="AG247" s="285" t="str">
        <f>IFERROR(__xludf.DUMMYFUNCTION("""COMPUTED_VALUE"""),"Gagal")</f>
        <v>Gagal</v>
      </c>
      <c r="AH247" s="285" t="str">
        <f>IFERROR(__xludf.DUMMYFUNCTION("""COMPUTED_VALUE"""),"Trip MT")</f>
        <v>Trip MT</v>
      </c>
      <c r="AI247" s="287"/>
      <c r="AJ247" s="285">
        <f>IFERROR(__xludf.DUMMYFUNCTION("""COMPUTED_VALUE"""),5.0)</f>
        <v>5</v>
      </c>
      <c r="AK247" s="289"/>
      <c r="AL247" s="285" t="str">
        <f>IFERROR(__xludf.DUMMYFUNCTION("""COMPUTED_VALUE"""),"gada balasan")</f>
        <v>gada balasan</v>
      </c>
    </row>
    <row r="248"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320"/>
      <c r="R248" s="285"/>
      <c r="S248" s="285"/>
      <c r="T248" s="285"/>
      <c r="U248" s="285"/>
      <c r="V248" s="285"/>
      <c r="W248" s="285"/>
      <c r="X248" s="285"/>
      <c r="Y248" s="285"/>
      <c r="Z248" s="285"/>
      <c r="AA248" s="285"/>
      <c r="AC248" s="285" t="str">
        <f>IFERROR(__xludf.DUMMYFUNCTION("""COMPUTED_VALUE"""),"2604A078")</f>
        <v>2604A078</v>
      </c>
      <c r="AD248" s="286">
        <f>IFERROR(__xludf.DUMMYFUNCTION("""COMPUTED_VALUE"""),46133.0)</f>
        <v>46133</v>
      </c>
      <c r="AE248" s="285" t="str">
        <f>IFERROR(__xludf.DUMMYFUNCTION("""COMPUTED_VALUE"""),"Bel")</f>
        <v>Bel</v>
      </c>
      <c r="AF248" s="285" t="str">
        <f>IFERROR(__xludf.DUMMYFUNCTION("""COMPUTED_VALUE"""),"085716233752")</f>
        <v>085716233752</v>
      </c>
      <c r="AG248" s="285" t="str">
        <f>IFERROR(__xludf.DUMMYFUNCTION("""COMPUTED_VALUE"""),"Gagal")</f>
        <v>Gagal</v>
      </c>
      <c r="AH248" s="285" t="str">
        <f>IFERROR(__xludf.DUMMYFUNCTION("""COMPUTED_VALUE"""),"OT GI")</f>
        <v>OT GI</v>
      </c>
      <c r="AI248" s="287"/>
      <c r="AJ248" s="285">
        <f>IFERROR(__xludf.DUMMYFUNCTION("""COMPUTED_VALUE"""),1.0)</f>
        <v>1</v>
      </c>
      <c r="AK248" s="289"/>
      <c r="AL248" s="285" t="str">
        <f>IFERROR(__xludf.DUMMYFUNCTION("""COMPUTED_VALUE"""),"Lempar Holiday")</f>
        <v>Lempar Holiday</v>
      </c>
    </row>
    <row r="249"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320"/>
      <c r="R249" s="285"/>
      <c r="S249" s="285"/>
      <c r="T249" s="285"/>
      <c r="U249" s="285"/>
      <c r="V249" s="285"/>
      <c r="W249" s="285"/>
      <c r="X249" s="285"/>
      <c r="Y249" s="285"/>
      <c r="Z249" s="285"/>
      <c r="AA249" s="285"/>
      <c r="AC249" s="285" t="str">
        <f>IFERROR(__xludf.DUMMYFUNCTION("""COMPUTED_VALUE"""),"2604A081")</f>
        <v>2604A081</v>
      </c>
      <c r="AD249" s="286">
        <f>IFERROR(__xludf.DUMMYFUNCTION("""COMPUTED_VALUE"""),46134.0)</f>
        <v>46134</v>
      </c>
      <c r="AE249" s="285" t="str">
        <f>IFERROR(__xludf.DUMMYFUNCTION("""COMPUTED_VALUE"""),"Lintang Ramadhanti")</f>
        <v>Lintang Ramadhanti</v>
      </c>
      <c r="AF249" s="285" t="str">
        <f>IFERROR(__xludf.DUMMYFUNCTION("""COMPUTED_VALUE"""),"085711471680")</f>
        <v>085711471680</v>
      </c>
      <c r="AG249" s="285" t="str">
        <f>IFERROR(__xludf.DUMMYFUNCTION("""COMPUTED_VALUE"""),"Gagal")</f>
        <v>Gagal</v>
      </c>
      <c r="AH249" s="285" t="str">
        <f>IFERROR(__xludf.DUMMYFUNCTION("""COMPUTED_VALUE"""),"OT M T")</f>
        <v>OT M T</v>
      </c>
      <c r="AI249" s="287">
        <f>IFERROR(__xludf.DUMMYFUNCTION("""COMPUTED_VALUE"""),46144.0)</f>
        <v>46144</v>
      </c>
      <c r="AJ249" s="285">
        <f>IFERROR(__xludf.DUMMYFUNCTION("""COMPUTED_VALUE"""),2.0)</f>
        <v>2</v>
      </c>
      <c r="AK249" s="289">
        <f>IFERROR(__xludf.DUMMYFUNCTION("""COMPUTED_VALUE"""),590000.0)</f>
        <v>590000</v>
      </c>
      <c r="AL249" s="285" t="str">
        <f>IFERROR(__xludf.DUMMYFUNCTION("""COMPUTED_VALUE"""),"tidak ada balasan")</f>
        <v>tidak ada balasan</v>
      </c>
    </row>
    <row r="250"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320"/>
      <c r="R250" s="285"/>
      <c r="S250" s="285"/>
      <c r="T250" s="285"/>
      <c r="U250" s="285"/>
      <c r="V250" s="285"/>
      <c r="W250" s="285"/>
      <c r="X250" s="285"/>
      <c r="Y250" s="285"/>
      <c r="Z250" s="285"/>
      <c r="AA250" s="285"/>
      <c r="AC250" s="285" t="str">
        <f>IFERROR(__xludf.DUMMYFUNCTION("""COMPUTED_VALUE"""),"2604A084")</f>
        <v>2604A084</v>
      </c>
      <c r="AD250" s="286">
        <f>IFERROR(__xludf.DUMMYFUNCTION("""COMPUTED_VALUE"""),46104.0)</f>
        <v>46104</v>
      </c>
      <c r="AE250" s="285" t="str">
        <f>IFERROR(__xludf.DUMMYFUNCTION("""COMPUTED_VALUE"""),"Yaya")</f>
        <v>Yaya</v>
      </c>
      <c r="AF250" s="285" t="str">
        <f>IFERROR(__xludf.DUMMYFUNCTION("""COMPUTED_VALUE"""),"081217799593")</f>
        <v>081217799593</v>
      </c>
      <c r="AG250" s="285" t="str">
        <f>IFERROR(__xludf.DUMMYFUNCTION("""COMPUTED_VALUE"""),"Gagal")</f>
        <v>Gagal</v>
      </c>
      <c r="AH250" s="285" t="str">
        <f>IFERROR(__xludf.DUMMYFUNCTION("""COMPUTED_VALUE"""),"OT 3H2M")</f>
        <v>OT 3H2M</v>
      </c>
      <c r="AI250" s="287"/>
      <c r="AJ250" s="285">
        <f>IFERROR(__xludf.DUMMYFUNCTION("""COMPUTED_VALUE"""),4.0)</f>
        <v>4</v>
      </c>
      <c r="AK250" s="289">
        <f>IFERROR(__xludf.DUMMYFUNCTION("""COMPUTED_VALUE"""),6400000.0)</f>
        <v>6400000</v>
      </c>
      <c r="AL250" s="285" t="str">
        <f>IFERROR(__xludf.DUMMYFUNCTION("""COMPUTED_VALUE"""),"Jadi di Trip lain")</f>
        <v>Jadi di Trip lain</v>
      </c>
    </row>
    <row r="251"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320"/>
      <c r="R251" s="285"/>
      <c r="S251" s="285"/>
      <c r="T251" s="285"/>
      <c r="U251" s="285"/>
      <c r="V251" s="285"/>
      <c r="W251" s="285"/>
      <c r="X251" s="285"/>
      <c r="Y251" s="285"/>
      <c r="Z251" s="285"/>
      <c r="AA251" s="285"/>
      <c r="AC251" s="285" t="str">
        <f>IFERROR(__xludf.DUMMYFUNCTION("""COMPUTED_VALUE"""),"2604A088")</f>
        <v>2604A088</v>
      </c>
      <c r="AD251" s="286">
        <f>IFERROR(__xludf.DUMMYFUNCTION("""COMPUTED_VALUE"""),46136.0)</f>
        <v>46136</v>
      </c>
      <c r="AE251" s="285" t="str">
        <f>IFERROR(__xludf.DUMMYFUNCTION("""COMPUTED_VALUE"""),"Ninis")</f>
        <v>Ninis</v>
      </c>
      <c r="AF251" s="285" t="str">
        <f>IFERROR(__xludf.DUMMYFUNCTION("""COMPUTED_VALUE"""),"085855855990")</f>
        <v>085855855990</v>
      </c>
      <c r="AG251" s="285" t="str">
        <f>IFERROR(__xludf.DUMMYFUNCTION("""COMPUTED_VALUE"""),"Gagal")</f>
        <v>Gagal</v>
      </c>
      <c r="AH251" s="285"/>
      <c r="AI251" s="287"/>
      <c r="AJ251" s="285"/>
      <c r="AK251" s="289"/>
      <c r="AL251" s="285" t="str">
        <f>IFERROR(__xludf.DUMMYFUNCTION("""COMPUTED_VALUE"""),"tidak jadi")</f>
        <v>tidak jadi</v>
      </c>
    </row>
    <row r="252"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320"/>
      <c r="R252" s="285"/>
      <c r="S252" s="285"/>
      <c r="T252" s="285"/>
      <c r="U252" s="285"/>
      <c r="V252" s="285"/>
      <c r="W252" s="285"/>
      <c r="X252" s="285"/>
      <c r="Y252" s="285"/>
      <c r="Z252" s="285"/>
      <c r="AA252" s="285"/>
      <c r="AC252" s="285" t="str">
        <f>IFERROR(__xludf.DUMMYFUNCTION("""COMPUTED_VALUE"""),"2604A094")</f>
        <v>2604A094</v>
      </c>
      <c r="AD252" s="286">
        <f>IFERROR(__xludf.DUMMYFUNCTION("""COMPUTED_VALUE"""),46137.0)</f>
        <v>46137</v>
      </c>
      <c r="AE252" s="285" t="str">
        <f>IFERROR(__xludf.DUMMYFUNCTION("""COMPUTED_VALUE"""),"Ahmad")</f>
        <v>Ahmad</v>
      </c>
      <c r="AF252" s="285" t="str">
        <f>IFERROR(__xludf.DUMMYFUNCTION("""COMPUTED_VALUE"""),"082329480260")</f>
        <v>082329480260</v>
      </c>
      <c r="AG252" s="285" t="str">
        <f>IFERROR(__xludf.DUMMYFUNCTION("""COMPUTED_VALUE"""),"Gagal")</f>
        <v>Gagal</v>
      </c>
      <c r="AH252" s="285" t="str">
        <f>IFERROR(__xludf.DUMMYFUNCTION("""COMPUTED_VALUE"""),"OT M T")</f>
        <v>OT M T</v>
      </c>
      <c r="AI252" s="287">
        <f>IFERROR(__xludf.DUMMYFUNCTION("""COMPUTED_VALUE"""),46144.0)</f>
        <v>46144</v>
      </c>
      <c r="AJ252" s="285">
        <f>IFERROR(__xludf.DUMMYFUNCTION("""COMPUTED_VALUE"""),6.0)</f>
        <v>6</v>
      </c>
      <c r="AK252" s="289">
        <f>IFERROR(__xludf.DUMMYFUNCTION("""COMPUTED_VALUE"""),1770000.0)</f>
        <v>1770000</v>
      </c>
      <c r="AL252" s="285" t="str">
        <f>IFERROR(__xludf.DUMMYFUNCTION("""COMPUTED_VALUE"""),"tidak jadi")</f>
        <v>tidak jadi</v>
      </c>
    </row>
    <row r="253"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320"/>
      <c r="R253" s="285"/>
      <c r="S253" s="285"/>
      <c r="T253" s="285"/>
      <c r="U253" s="285"/>
      <c r="V253" s="285"/>
      <c r="W253" s="285"/>
      <c r="X253" s="285"/>
      <c r="Y253" s="285"/>
      <c r="Z253" s="285"/>
      <c r="AA253" s="285"/>
      <c r="AC253" s="285" t="str">
        <f>IFERROR(__xludf.DUMMYFUNCTION("""COMPUTED_VALUE"""),"2604A095")</f>
        <v>2604A095</v>
      </c>
      <c r="AD253" s="286">
        <f>IFERROR(__xludf.DUMMYFUNCTION("""COMPUTED_VALUE"""),46137.0)</f>
        <v>46137</v>
      </c>
      <c r="AE253" s="285" t="str">
        <f>IFERROR(__xludf.DUMMYFUNCTION("""COMPUTED_VALUE"""),"Febriana ")</f>
        <v>Febriana </v>
      </c>
      <c r="AF253" s="285" t="str">
        <f>IFERROR(__xludf.DUMMYFUNCTION("""COMPUTED_VALUE"""),"082128547423")</f>
        <v>082128547423</v>
      </c>
      <c r="AG253" s="285" t="str">
        <f>IFERROR(__xludf.DUMMYFUNCTION("""COMPUTED_VALUE"""),"Gagal")</f>
        <v>Gagal</v>
      </c>
      <c r="AH253" s="285" t="str">
        <f>IFERROR(__xludf.DUMMYFUNCTION("""COMPUTED_VALUE"""),"OT M T")</f>
        <v>OT M T</v>
      </c>
      <c r="AI253" s="287">
        <f>IFERROR(__xludf.DUMMYFUNCTION("""COMPUTED_VALUE"""),46143.0)</f>
        <v>46143</v>
      </c>
      <c r="AJ253" s="285">
        <f>IFERROR(__xludf.DUMMYFUNCTION("""COMPUTED_VALUE"""),2.0)</f>
        <v>2</v>
      </c>
      <c r="AK253" s="289">
        <f>IFERROR(__xludf.DUMMYFUNCTION("""COMPUTED_VALUE"""),590000.0)</f>
        <v>590000</v>
      </c>
      <c r="AL253" s="285" t="str">
        <f>IFERROR(__xludf.DUMMYFUNCTION("""COMPUTED_VALUE"""),"Tidak ada respon")</f>
        <v>Tidak ada respon</v>
      </c>
    </row>
    <row r="254"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320"/>
      <c r="R254" s="285"/>
      <c r="S254" s="285"/>
      <c r="T254" s="285"/>
      <c r="U254" s="285"/>
      <c r="V254" s="285"/>
      <c r="W254" s="285"/>
      <c r="X254" s="285"/>
      <c r="Y254" s="285"/>
      <c r="Z254" s="285"/>
      <c r="AA254" s="285"/>
      <c r="AC254" s="285" t="str">
        <f>IFERROR(__xludf.DUMMYFUNCTION("""COMPUTED_VALUE"""),"2604A096")</f>
        <v>2604A096</v>
      </c>
      <c r="AD254" s="286">
        <f>IFERROR(__xludf.DUMMYFUNCTION("""COMPUTED_VALUE"""),46137.0)</f>
        <v>46137</v>
      </c>
      <c r="AE254" s="285" t="str">
        <f>IFERROR(__xludf.DUMMYFUNCTION("""COMPUTED_VALUE"""),"Kamila")</f>
        <v>Kamila</v>
      </c>
      <c r="AF254" s="285" t="str">
        <f>IFERROR(__xludf.DUMMYFUNCTION("""COMPUTED_VALUE"""),"085220860983")</f>
        <v>085220860983</v>
      </c>
      <c r="AG254" s="285" t="str">
        <f>IFERROR(__xludf.DUMMYFUNCTION("""COMPUTED_VALUE"""),"Gagal")</f>
        <v>Gagal</v>
      </c>
      <c r="AH254" s="285" t="str">
        <f>IFERROR(__xludf.DUMMYFUNCTION("""COMPUTED_VALUE"""),"3H2M opsi A")</f>
        <v>3H2M opsi A</v>
      </c>
      <c r="AI254" s="287"/>
      <c r="AJ254" s="285"/>
      <c r="AK254" s="289"/>
      <c r="AL254" s="285" t="str">
        <f>IFERROR(__xludf.DUMMYFUNCTION("""COMPUTED_VALUE"""),"tidak ada jawaban")</f>
        <v>tidak ada jawaban</v>
      </c>
    </row>
    <row r="255"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320"/>
      <c r="R255" s="285"/>
      <c r="S255" s="285"/>
      <c r="T255" s="285"/>
      <c r="U255" s="285"/>
      <c r="V255" s="285"/>
      <c r="W255" s="285"/>
      <c r="X255" s="285"/>
      <c r="Y255" s="285"/>
      <c r="Z255" s="285"/>
      <c r="AA255" s="285"/>
      <c r="AC255" s="285" t="str">
        <f>IFERROR(__xludf.DUMMYFUNCTION("""COMPUTED_VALUE"""),"2604A097")</f>
        <v>2604A097</v>
      </c>
      <c r="AD255" s="286">
        <f>IFERROR(__xludf.DUMMYFUNCTION("""COMPUTED_VALUE"""),46137.0)</f>
        <v>46137</v>
      </c>
      <c r="AE255" s="285" t="str">
        <f>IFERROR(__xludf.DUMMYFUNCTION("""COMPUTED_VALUE"""),"No Name")</f>
        <v>No Name</v>
      </c>
      <c r="AF255" s="285" t="str">
        <f>IFERROR(__xludf.DUMMYFUNCTION("""COMPUTED_VALUE"""),"081249491409")</f>
        <v>081249491409</v>
      </c>
      <c r="AG255" s="285" t="str">
        <f>IFERROR(__xludf.DUMMYFUNCTION("""COMPUTED_VALUE"""),"Gagal")</f>
        <v>Gagal</v>
      </c>
      <c r="AH255" s="285"/>
      <c r="AI255" s="287"/>
      <c r="AJ255" s="285"/>
      <c r="AK255" s="289"/>
      <c r="AL255" s="285" t="str">
        <f>IFERROR(__xludf.DUMMYFUNCTION("""COMPUTED_VALUE"""),"hanya menyapa saja. tidak ada lanjutan")</f>
        <v>hanya menyapa saja. tidak ada lanjutan</v>
      </c>
    </row>
    <row r="256"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320"/>
      <c r="R256" s="285"/>
      <c r="S256" s="285"/>
      <c r="T256" s="285"/>
      <c r="U256" s="285"/>
      <c r="V256" s="285"/>
      <c r="W256" s="285"/>
      <c r="X256" s="285"/>
      <c r="Y256" s="285"/>
      <c r="Z256" s="285"/>
      <c r="AA256" s="285"/>
      <c r="AC256" s="285" t="str">
        <f>IFERROR(__xludf.DUMMYFUNCTION("""COMPUTED_VALUE"""),"2604A098")</f>
        <v>2604A098</v>
      </c>
      <c r="AD256" s="286">
        <f>IFERROR(__xludf.DUMMYFUNCTION("""COMPUTED_VALUE"""),46138.0)</f>
        <v>46138</v>
      </c>
      <c r="AE256" s="285" t="str">
        <f>IFERROR(__xludf.DUMMYFUNCTION("""COMPUTED_VALUE"""),"Rio")</f>
        <v>Rio</v>
      </c>
      <c r="AF256" s="285" t="str">
        <f>IFERROR(__xludf.DUMMYFUNCTION("""COMPUTED_VALUE"""),"61415927600")</f>
        <v>61415927600</v>
      </c>
      <c r="AG256" s="285" t="str">
        <f>IFERROR(__xludf.DUMMYFUNCTION("""COMPUTED_VALUE"""),"Gagal")</f>
        <v>Gagal</v>
      </c>
      <c r="AH256" s="285" t="str">
        <f>IFERROR(__xludf.DUMMYFUNCTION("""COMPUTED_VALUE"""),"OT I")</f>
        <v>OT I</v>
      </c>
      <c r="AI256" s="287"/>
      <c r="AJ256" s="285">
        <f>IFERROR(__xludf.DUMMYFUNCTION("""COMPUTED_VALUE"""),1.0)</f>
        <v>1</v>
      </c>
      <c r="AK256" s="289">
        <f>IFERROR(__xludf.DUMMYFUNCTION("""COMPUTED_VALUE"""),450000.0)</f>
        <v>450000</v>
      </c>
      <c r="AL256" s="285" t="str">
        <f>IFERROR(__xludf.DUMMYFUNCTION("""COMPUTED_VALUE"""),"tdkjawab")</f>
        <v>tdkjawab</v>
      </c>
    </row>
    <row r="257"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320"/>
      <c r="R257" s="285"/>
      <c r="S257" s="285"/>
      <c r="T257" s="285"/>
      <c r="U257" s="285"/>
      <c r="V257" s="285"/>
      <c r="W257" s="285"/>
      <c r="X257" s="285"/>
      <c r="Y257" s="285"/>
      <c r="Z257" s="285"/>
      <c r="AA257" s="285"/>
      <c r="AC257" s="285" t="str">
        <f>IFERROR(__xludf.DUMMYFUNCTION("""COMPUTED_VALUE"""),"2604A100")</f>
        <v>2604A100</v>
      </c>
      <c r="AD257" s="286">
        <f>IFERROR(__xludf.DUMMYFUNCTION("""COMPUTED_VALUE"""),46138.0)</f>
        <v>46138</v>
      </c>
      <c r="AE257" s="285" t="str">
        <f>IFERROR(__xludf.DUMMYFUNCTION("""COMPUTED_VALUE"""),"Raihan")</f>
        <v>Raihan</v>
      </c>
      <c r="AF257" s="285" t="str">
        <f>IFERROR(__xludf.DUMMYFUNCTION("""COMPUTED_VALUE"""),"081280746600")</f>
        <v>081280746600</v>
      </c>
      <c r="AG257" s="285" t="str">
        <f>IFERROR(__xludf.DUMMYFUNCTION("""COMPUTED_VALUE"""),"Gagal")</f>
        <v>Gagal</v>
      </c>
      <c r="AH257" s="285" t="str">
        <f>IFERROR(__xludf.DUMMYFUNCTION("""COMPUTED_VALUE"""),"OT 3H2M")</f>
        <v>OT 3H2M</v>
      </c>
      <c r="AI257" s="287"/>
      <c r="AJ257" s="285">
        <f>IFERROR(__xludf.DUMMYFUNCTION("""COMPUTED_VALUE"""),1.0)</f>
        <v>1</v>
      </c>
      <c r="AK257" s="289"/>
      <c r="AL257" s="285" t="str">
        <f>IFERROR(__xludf.DUMMYFUNCTION("""COMPUTED_VALUE"""),"Full booked")</f>
        <v>Full booked</v>
      </c>
    </row>
    <row r="258"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320"/>
      <c r="R258" s="285"/>
      <c r="S258" s="285"/>
      <c r="T258" s="285"/>
      <c r="U258" s="285"/>
      <c r="V258" s="285"/>
      <c r="W258" s="285"/>
      <c r="X258" s="285"/>
      <c r="Y258" s="285"/>
      <c r="Z258" s="285"/>
      <c r="AA258" s="285"/>
      <c r="AC258" s="285" t="str">
        <f>IFERROR(__xludf.DUMMYFUNCTION("""COMPUTED_VALUE"""),"2604A101")</f>
        <v>2604A101</v>
      </c>
      <c r="AD258" s="286">
        <f>IFERROR(__xludf.DUMMYFUNCTION("""COMPUTED_VALUE"""),46138.0)</f>
        <v>46138</v>
      </c>
      <c r="AE258" s="285" t="str">
        <f>IFERROR(__xludf.DUMMYFUNCTION("""COMPUTED_VALUE"""),"Regy")</f>
        <v>Regy</v>
      </c>
      <c r="AF258" s="285" t="str">
        <f>IFERROR(__xludf.DUMMYFUNCTION("""COMPUTED_VALUE"""),"082114630240")</f>
        <v>082114630240</v>
      </c>
      <c r="AG258" s="285" t="str">
        <f>IFERROR(__xludf.DUMMYFUNCTION("""COMPUTED_VALUE"""),"Gagal")</f>
        <v>Gagal</v>
      </c>
      <c r="AH258" s="285" t="str">
        <f>IFERROR(__xludf.DUMMYFUNCTION("""COMPUTED_VALUE"""),"OT 3H2M")</f>
        <v>OT 3H2M</v>
      </c>
      <c r="AI258" s="287"/>
      <c r="AJ258" s="285"/>
      <c r="AK258" s="289"/>
      <c r="AL258" s="285" t="str">
        <f>IFERROR(__xludf.DUMMYFUNCTION("""COMPUTED_VALUE"""),"tidak dapat kereta")</f>
        <v>tidak dapat kereta</v>
      </c>
    </row>
    <row r="259"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320"/>
      <c r="R259" s="285"/>
      <c r="S259" s="285"/>
      <c r="T259" s="285"/>
      <c r="U259" s="285"/>
      <c r="V259" s="285"/>
      <c r="W259" s="285"/>
      <c r="X259" s="285"/>
      <c r="Y259" s="285"/>
      <c r="Z259" s="285"/>
      <c r="AA259" s="285"/>
      <c r="AC259" s="285" t="str">
        <f>IFERROR(__xludf.DUMMYFUNCTION("""COMPUTED_VALUE"""),"2604A105")</f>
        <v>2604A105</v>
      </c>
      <c r="AD259" s="286">
        <f>IFERROR(__xludf.DUMMYFUNCTION("""COMPUTED_VALUE"""),46139.0)</f>
        <v>46139</v>
      </c>
      <c r="AE259" s="285" t="str">
        <f>IFERROR(__xludf.DUMMYFUNCTION("""COMPUTED_VALUE"""),"Rifqa")</f>
        <v>Rifqa</v>
      </c>
      <c r="AF259" s="285" t="str">
        <f>IFERROR(__xludf.DUMMYFUNCTION("""COMPUTED_VALUE"""),"081511299298")</f>
        <v>081511299298</v>
      </c>
      <c r="AG259" s="285" t="str">
        <f>IFERROR(__xludf.DUMMYFUNCTION("""COMPUTED_VALUE"""),"Gagal")</f>
        <v>Gagal</v>
      </c>
      <c r="AH259" s="285"/>
      <c r="AI259" s="287"/>
      <c r="AJ259" s="285"/>
      <c r="AK259" s="289"/>
      <c r="AL259" s="285" t="str">
        <f>IFERROR(__xludf.DUMMYFUNCTION("""COMPUTED_VALUE"""),"last fu ")</f>
        <v>last fu </v>
      </c>
    </row>
    <row r="260"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320"/>
      <c r="R260" s="285"/>
      <c r="S260" s="285"/>
      <c r="T260" s="285"/>
      <c r="U260" s="285"/>
      <c r="V260" s="285"/>
      <c r="W260" s="285"/>
      <c r="X260" s="285"/>
      <c r="Y260" s="285"/>
      <c r="Z260" s="285"/>
      <c r="AA260" s="285"/>
      <c r="AC260" s="285" t="str">
        <f>IFERROR(__xludf.DUMMYFUNCTION("""COMPUTED_VALUE"""),"2604A107")</f>
        <v>2604A107</v>
      </c>
      <c r="AD260" s="286">
        <f>IFERROR(__xludf.DUMMYFUNCTION("""COMPUTED_VALUE"""),46139.0)</f>
        <v>46139</v>
      </c>
      <c r="AE260" s="285" t="str">
        <f>IFERROR(__xludf.DUMMYFUNCTION("""COMPUTED_VALUE"""),"Firda")</f>
        <v>Firda</v>
      </c>
      <c r="AF260" s="285" t="str">
        <f>IFERROR(__xludf.DUMMYFUNCTION("""COMPUTED_VALUE"""),"089508614381")</f>
        <v>089508614381</v>
      </c>
      <c r="AG260" s="285" t="str">
        <f>IFERROR(__xludf.DUMMYFUNCTION("""COMPUTED_VALUE"""),"Gagal")</f>
        <v>Gagal</v>
      </c>
      <c r="AH260" s="285" t="str">
        <f>IFERROR(__xludf.DUMMYFUNCTION("""COMPUTED_VALUE"""),"Trip I")</f>
        <v>Trip I</v>
      </c>
      <c r="AI260" s="287">
        <f>IFERROR(__xludf.DUMMYFUNCTION("""COMPUTED_VALUE"""),46144.0)</f>
        <v>46144</v>
      </c>
      <c r="AJ260" s="285">
        <f>IFERROR(__xludf.DUMMYFUNCTION("""COMPUTED_VALUE"""),1.0)</f>
        <v>1</v>
      </c>
      <c r="AK260" s="289">
        <f>IFERROR(__xludf.DUMMYFUNCTION("""COMPUTED_VALUE"""),250000.0)</f>
        <v>250000</v>
      </c>
      <c r="AL260" s="285" t="str">
        <f>IFERROR(__xludf.DUMMYFUNCTION("""COMPUTED_VALUE"""),"gajadi")</f>
        <v>gajadi</v>
      </c>
    </row>
    <row r="261"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320"/>
      <c r="R261" s="285"/>
      <c r="S261" s="285"/>
      <c r="T261" s="285"/>
      <c r="U261" s="285"/>
      <c r="V261" s="285"/>
      <c r="W261" s="285"/>
      <c r="X261" s="285"/>
      <c r="Y261" s="285"/>
      <c r="Z261" s="285"/>
      <c r="AA261" s="285"/>
      <c r="AC261" s="285" t="str">
        <f>IFERROR(__xludf.DUMMYFUNCTION("""COMPUTED_VALUE"""),"2604A109")</f>
        <v>2604A109</v>
      </c>
      <c r="AD261" s="286">
        <f>IFERROR(__xludf.DUMMYFUNCTION("""COMPUTED_VALUE"""),46139.0)</f>
        <v>46139</v>
      </c>
      <c r="AE261" s="285" t="str">
        <f>IFERROR(__xludf.DUMMYFUNCTION("""COMPUTED_VALUE"""),"Firda Audia")</f>
        <v>Firda Audia</v>
      </c>
      <c r="AF261" s="285" t="str">
        <f>IFERROR(__xludf.DUMMYFUNCTION("""COMPUTED_VALUE"""),"081294433651")</f>
        <v>081294433651</v>
      </c>
      <c r="AG261" s="285" t="str">
        <f>IFERROR(__xludf.DUMMYFUNCTION("""COMPUTED_VALUE"""),"Gagal")</f>
        <v>Gagal</v>
      </c>
      <c r="AH261" s="285" t="str">
        <f>IFERROR(__xludf.DUMMYFUNCTION("""COMPUTED_VALUE"""),"2H1M")</f>
        <v>2H1M</v>
      </c>
      <c r="AI261" s="287"/>
      <c r="AJ261" s="285">
        <f>IFERROR(__xludf.DUMMYFUNCTION("""COMPUTED_VALUE"""),12.0)</f>
        <v>12</v>
      </c>
      <c r="AK261" s="289"/>
      <c r="AL261" s="285" t="str">
        <f>IFERROR(__xludf.DUMMYFUNCTION("""COMPUTED_VALUE"""),"gada balasan. sdh fu")</f>
        <v>gada balasan. sdh fu</v>
      </c>
    </row>
    <row r="262"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320"/>
      <c r="R262" s="285"/>
      <c r="S262" s="285"/>
      <c r="T262" s="285"/>
      <c r="U262" s="285"/>
      <c r="V262" s="285"/>
      <c r="W262" s="285"/>
      <c r="X262" s="285"/>
      <c r="Y262" s="285"/>
      <c r="Z262" s="285"/>
      <c r="AA262" s="285"/>
      <c r="AC262" s="285" t="str">
        <f>IFERROR(__xludf.DUMMYFUNCTION("""COMPUTED_VALUE"""),"2604A111")</f>
        <v>2604A111</v>
      </c>
      <c r="AD262" s="286">
        <f>IFERROR(__xludf.DUMMYFUNCTION("""COMPUTED_VALUE"""),46140.0)</f>
        <v>46140</v>
      </c>
      <c r="AE262" s="285" t="str">
        <f>IFERROR(__xludf.DUMMYFUNCTION("""COMPUTED_VALUE"""),"Mifta")</f>
        <v>Mifta</v>
      </c>
      <c r="AF262" s="285" t="str">
        <f>IFERROR(__xludf.DUMMYFUNCTION("""COMPUTED_VALUE"""),"081380177255")</f>
        <v>081380177255</v>
      </c>
      <c r="AG262" s="285" t="str">
        <f>IFERROR(__xludf.DUMMYFUNCTION("""COMPUTED_VALUE"""),"Gagal")</f>
        <v>Gagal</v>
      </c>
      <c r="AH262" s="285" t="str">
        <f>IFERROR(__xludf.DUMMYFUNCTION("""COMPUTED_VALUE"""),"OT 3H2M")</f>
        <v>OT 3H2M</v>
      </c>
      <c r="AI262" s="287"/>
      <c r="AJ262" s="285">
        <f>IFERROR(__xludf.DUMMYFUNCTION("""COMPUTED_VALUE"""),2.0)</f>
        <v>2</v>
      </c>
      <c r="AK262" s="289">
        <f>IFERROR(__xludf.DUMMYFUNCTION("""COMPUTED_VALUE"""),3200000.0)</f>
        <v>3200000</v>
      </c>
      <c r="AL262" s="285" t="str">
        <f>IFERROR(__xludf.DUMMYFUNCTION("""COMPUTED_VALUE"""),"Gagal, Vendor Full Booked")</f>
        <v>Gagal, Vendor Full Booked</v>
      </c>
    </row>
    <row r="263"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320"/>
      <c r="R263" s="285"/>
      <c r="S263" s="285"/>
      <c r="T263" s="285"/>
      <c r="U263" s="285"/>
      <c r="V263" s="285"/>
      <c r="W263" s="285"/>
      <c r="X263" s="285"/>
      <c r="Y263" s="285"/>
      <c r="Z263" s="285"/>
      <c r="AA263" s="285"/>
      <c r="AC263" s="285" t="str">
        <f>IFERROR(__xludf.DUMMYFUNCTION("""COMPUTED_VALUE"""),"2604A113")</f>
        <v>2604A113</v>
      </c>
      <c r="AD263" s="286">
        <f>IFERROR(__xludf.DUMMYFUNCTION("""COMPUTED_VALUE"""),46140.0)</f>
        <v>46140</v>
      </c>
      <c r="AE263" s="285" t="str">
        <f>IFERROR(__xludf.DUMMYFUNCTION("""COMPUTED_VALUE"""),"Winda")</f>
        <v>Winda</v>
      </c>
      <c r="AF263" s="285" t="str">
        <f>IFERROR(__xludf.DUMMYFUNCTION("""COMPUTED_VALUE"""),"085194589069")</f>
        <v>085194589069</v>
      </c>
      <c r="AG263" s="285" t="str">
        <f>IFERROR(__xludf.DUMMYFUNCTION("""COMPUTED_VALUE"""),"Gagal")</f>
        <v>Gagal</v>
      </c>
      <c r="AH263" s="285" t="str">
        <f>IFERROR(__xludf.DUMMYFUNCTION("""COMPUTED_VALUE"""),"OT M T")</f>
        <v>OT M T</v>
      </c>
      <c r="AI263" s="287">
        <f>IFERROR(__xludf.DUMMYFUNCTION("""COMPUTED_VALUE"""),46143.0)</f>
        <v>46143</v>
      </c>
      <c r="AJ263" s="285">
        <f>IFERROR(__xludf.DUMMYFUNCTION("""COMPUTED_VALUE"""),2.0)</f>
        <v>2</v>
      </c>
      <c r="AK263" s="289">
        <f>IFERROR(__xludf.DUMMYFUNCTION("""COMPUTED_VALUE"""),1050000.0)</f>
        <v>1050000</v>
      </c>
      <c r="AL263" s="285" t="str">
        <f>IFERROR(__xludf.DUMMYFUNCTION("""COMPUTED_VALUE"""),"Full Booked")</f>
        <v>Full Booked</v>
      </c>
    </row>
    <row r="264"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320"/>
      <c r="R264" s="285"/>
      <c r="S264" s="285"/>
      <c r="T264" s="285"/>
      <c r="U264" s="285"/>
      <c r="V264" s="285"/>
      <c r="W264" s="285"/>
      <c r="X264" s="285"/>
      <c r="Y264" s="285"/>
      <c r="Z264" s="285"/>
      <c r="AA264" s="285"/>
      <c r="AC264" s="285" t="str">
        <f>IFERROR(__xludf.DUMMYFUNCTION("""COMPUTED_VALUE"""),"2604A114")</f>
        <v>2604A114</v>
      </c>
      <c r="AD264" s="286">
        <f>IFERROR(__xludf.DUMMYFUNCTION("""COMPUTED_VALUE"""),46141.0)</f>
        <v>46141</v>
      </c>
      <c r="AE264" s="285" t="str">
        <f>IFERROR(__xludf.DUMMYFUNCTION("""COMPUTED_VALUE"""),"Renzy")</f>
        <v>Renzy</v>
      </c>
      <c r="AF264" s="285" t="str">
        <f>IFERROR(__xludf.DUMMYFUNCTION("""COMPUTED_VALUE"""),"082167892924")</f>
        <v>082167892924</v>
      </c>
      <c r="AG264" s="285" t="str">
        <f>IFERROR(__xludf.DUMMYFUNCTION("""COMPUTED_VALUE"""),"Gagal")</f>
        <v>Gagal</v>
      </c>
      <c r="AH264" s="285" t="str">
        <f>IFERROR(__xludf.DUMMYFUNCTION("""COMPUTED_VALUE"""),"OT 3H2M")</f>
        <v>OT 3H2M</v>
      </c>
      <c r="AI264" s="287">
        <f>IFERROR(__xludf.DUMMYFUNCTION("""COMPUTED_VALUE"""),46143.0)</f>
        <v>46143</v>
      </c>
      <c r="AJ264" s="285">
        <f>IFERROR(__xludf.DUMMYFUNCTION("""COMPUTED_VALUE"""),1.0)</f>
        <v>1</v>
      </c>
      <c r="AK264" s="289">
        <f>IFERROR(__xludf.DUMMYFUNCTION("""COMPUTED_VALUE"""),1600000.0)</f>
        <v>1600000</v>
      </c>
      <c r="AL264" s="285" t="str">
        <f>IFERROR(__xludf.DUMMYFUNCTION("""COMPUTED_VALUE"""),"Full Booked")</f>
        <v>Full Booked</v>
      </c>
    </row>
    <row r="265"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320"/>
      <c r="R265" s="285"/>
      <c r="S265" s="285"/>
      <c r="T265" s="285"/>
      <c r="U265" s="285"/>
      <c r="V265" s="285"/>
      <c r="W265" s="285"/>
      <c r="X265" s="285"/>
      <c r="Y265" s="285"/>
      <c r="Z265" s="285"/>
      <c r="AA265" s="285"/>
      <c r="AC265" s="285" t="str">
        <f>IFERROR(__xludf.DUMMYFUNCTION("""COMPUTED_VALUE"""),"2604A115")</f>
        <v>2604A115</v>
      </c>
      <c r="AD265" s="286">
        <f>IFERROR(__xludf.DUMMYFUNCTION("""COMPUTED_VALUE"""),46141.0)</f>
        <v>46141</v>
      </c>
      <c r="AE265" s="285" t="str">
        <f>IFERROR(__xludf.DUMMYFUNCTION("""COMPUTED_VALUE"""),"Izul")</f>
        <v>Izul</v>
      </c>
      <c r="AF265" s="285" t="str">
        <f>IFERROR(__xludf.DUMMYFUNCTION("""COMPUTED_VALUE"""),"085866663713")</f>
        <v>085866663713</v>
      </c>
      <c r="AG265" s="285" t="str">
        <f>IFERROR(__xludf.DUMMYFUNCTION("""COMPUTED_VALUE"""),"Gagal")</f>
        <v>Gagal</v>
      </c>
      <c r="AH265" s="285"/>
      <c r="AI265" s="287">
        <f>IFERROR(__xludf.DUMMYFUNCTION("""COMPUTED_VALUE"""),46157.0)</f>
        <v>46157</v>
      </c>
      <c r="AJ265" s="285"/>
      <c r="AK265" s="289"/>
      <c r="AL265" s="285" t="str">
        <f>IFERROR(__xludf.DUMMYFUNCTION("""COMPUTED_VALUE"""),"tidak ada balasan")</f>
        <v>tidak ada balasan</v>
      </c>
    </row>
    <row r="266"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320"/>
      <c r="R266" s="285"/>
      <c r="S266" s="285"/>
      <c r="T266" s="285"/>
      <c r="U266" s="285"/>
      <c r="V266" s="285"/>
      <c r="W266" s="285"/>
      <c r="X266" s="285"/>
      <c r="Y266" s="285"/>
      <c r="Z266" s="285"/>
      <c r="AA266" s="285"/>
      <c r="AC266" s="285" t="str">
        <f>IFERROR(__xludf.DUMMYFUNCTION("""COMPUTED_VALUE"""),"2604A116")</f>
        <v>2604A116</v>
      </c>
      <c r="AD266" s="286">
        <f>IFERROR(__xludf.DUMMYFUNCTION("""COMPUTED_VALUE"""),46141.0)</f>
        <v>46141</v>
      </c>
      <c r="AE266" s="285" t="str">
        <f>IFERROR(__xludf.DUMMYFUNCTION("""COMPUTED_VALUE"""),"Lia")</f>
        <v>Lia</v>
      </c>
      <c r="AF266" s="285" t="str">
        <f>IFERROR(__xludf.DUMMYFUNCTION("""COMPUTED_VALUE"""),"089637597579")</f>
        <v>089637597579</v>
      </c>
      <c r="AG266" s="285" t="str">
        <f>IFERROR(__xludf.DUMMYFUNCTION("""COMPUTED_VALUE"""),"Gagal")</f>
        <v>Gagal</v>
      </c>
      <c r="AH266" s="285" t="str">
        <f>IFERROR(__xludf.DUMMYFUNCTION("""COMPUTED_VALUE"""),"2H1M")</f>
        <v>2H1M</v>
      </c>
      <c r="AI266" s="287"/>
      <c r="AJ266" s="285">
        <f>IFERROR(__xludf.DUMMYFUNCTION("""COMPUTED_VALUE"""),5.0)</f>
        <v>5</v>
      </c>
      <c r="AK266" s="289">
        <f>IFERROR(__xludf.DUMMYFUNCTION("""COMPUTED_VALUE"""),4430000.0)</f>
        <v>4430000</v>
      </c>
      <c r="AL266" s="285" t="str">
        <f>IFERROR(__xludf.DUMMYFUNCTION("""COMPUTED_VALUE"""),"Kehabisan Tiket Transport")</f>
        <v>Kehabisan Tiket Transport</v>
      </c>
    </row>
    <row r="267"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320"/>
      <c r="R267" s="285"/>
      <c r="S267" s="285"/>
      <c r="T267" s="285"/>
      <c r="U267" s="285"/>
      <c r="V267" s="285"/>
      <c r="W267" s="285"/>
      <c r="X267" s="285"/>
      <c r="Y267" s="285"/>
      <c r="Z267" s="285"/>
      <c r="AA267" s="285"/>
      <c r="AC267" s="285" t="str">
        <f>IFERROR(__xludf.DUMMYFUNCTION("""COMPUTED_VALUE"""),"2604A118")</f>
        <v>2604A118</v>
      </c>
      <c r="AD267" s="286">
        <f>IFERROR(__xludf.DUMMYFUNCTION("""COMPUTED_VALUE"""),46142.0)</f>
        <v>46142</v>
      </c>
      <c r="AE267" s="285" t="str">
        <f>IFERROR(__xludf.DUMMYFUNCTION("""COMPUTED_VALUE"""),"Dwipa")</f>
        <v>Dwipa</v>
      </c>
      <c r="AF267" s="285" t="str">
        <f>IFERROR(__xludf.DUMMYFUNCTION("""COMPUTED_VALUE"""),"081294550707")</f>
        <v>081294550707</v>
      </c>
      <c r="AG267" s="285" t="str">
        <f>IFERROR(__xludf.DUMMYFUNCTION("""COMPUTED_VALUE"""),"Gagal")</f>
        <v>Gagal</v>
      </c>
      <c r="AH267" s="285" t="str">
        <f>IFERROR(__xludf.DUMMYFUNCTION("""COMPUTED_VALUE"""),"OT M T")</f>
        <v>OT M T</v>
      </c>
      <c r="AI267" s="287"/>
      <c r="AJ267" s="285"/>
      <c r="AK267" s="289"/>
      <c r="AL267" s="285" t="str">
        <f>IFERROR(__xludf.DUMMYFUNCTION("""COMPUTED_VALUE"""),"fullbookedd")</f>
        <v>fullbookedd</v>
      </c>
    </row>
    <row r="268"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320"/>
      <c r="R268" s="285"/>
      <c r="S268" s="285"/>
      <c r="T268" s="285"/>
      <c r="U268" s="285"/>
      <c r="V268" s="285"/>
      <c r="W268" s="285"/>
      <c r="X268" s="285"/>
      <c r="Y268" s="285"/>
      <c r="Z268" s="285"/>
      <c r="AA268" s="285"/>
      <c r="AC268" s="285" t="str">
        <f>IFERROR(__xludf.DUMMYFUNCTION("""COMPUTED_VALUE"""),"2605A002")</f>
        <v>2605A002</v>
      </c>
      <c r="AD268" s="286">
        <f>IFERROR(__xludf.DUMMYFUNCTION("""COMPUTED_VALUE"""),46143.0)</f>
        <v>46143</v>
      </c>
      <c r="AE268" s="285" t="str">
        <f>IFERROR(__xludf.DUMMYFUNCTION("""COMPUTED_VALUE"""),"Ledi Fara")</f>
        <v>Ledi Fara</v>
      </c>
      <c r="AF268" s="285" t="str">
        <f>IFERROR(__xludf.DUMMYFUNCTION("""COMPUTED_VALUE"""),"088126620344")</f>
        <v>088126620344</v>
      </c>
      <c r="AG268" s="285" t="str">
        <f>IFERROR(__xludf.DUMMYFUNCTION("""COMPUTED_VALUE"""),"Gagal")</f>
        <v>Gagal</v>
      </c>
      <c r="AH268" s="285" t="str">
        <f>IFERROR(__xludf.DUMMYFUNCTION("""COMPUTED_VALUE"""),"Trip I")</f>
        <v>Trip I</v>
      </c>
      <c r="AI268" s="287">
        <f>IFERROR(__xludf.DUMMYFUNCTION("""COMPUTED_VALUE"""),46144.0)</f>
        <v>46144</v>
      </c>
      <c r="AJ268" s="285">
        <f>IFERROR(__xludf.DUMMYFUNCTION("""COMPUTED_VALUE"""),5.0)</f>
        <v>5</v>
      </c>
      <c r="AK268" s="289">
        <f>IFERROR(__xludf.DUMMYFUNCTION("""COMPUTED_VALUE"""),1820000.0)</f>
        <v>1820000</v>
      </c>
      <c r="AL268" s="285" t="str">
        <f>IFERROR(__xludf.DUMMYFUNCTION("""COMPUTED_VALUE"""),"penipu")</f>
        <v>penipu</v>
      </c>
    </row>
    <row r="269"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320"/>
      <c r="R269" s="285"/>
      <c r="S269" s="285"/>
      <c r="T269" s="285"/>
      <c r="U269" s="285"/>
      <c r="V269" s="285"/>
      <c r="W269" s="285"/>
      <c r="X269" s="285"/>
      <c r="Y269" s="285"/>
      <c r="Z269" s="285"/>
      <c r="AA269" s="285"/>
      <c r="AC269" s="285" t="str">
        <f>IFERROR(__xludf.DUMMYFUNCTION("""COMPUTED_VALUE"""),"2605A003")</f>
        <v>2605A003</v>
      </c>
      <c r="AD269" s="286">
        <f>IFERROR(__xludf.DUMMYFUNCTION("""COMPUTED_VALUE"""),46143.0)</f>
        <v>46143</v>
      </c>
      <c r="AE269" s="285" t="str">
        <f>IFERROR(__xludf.DUMMYFUNCTION("""COMPUTED_VALUE"""),"Gina")</f>
        <v>Gina</v>
      </c>
      <c r="AF269" s="285" t="str">
        <f>IFERROR(__xludf.DUMMYFUNCTION("""COMPUTED_VALUE"""),"089609977265")</f>
        <v>089609977265</v>
      </c>
      <c r="AG269" s="285" t="str">
        <f>IFERROR(__xludf.DUMMYFUNCTION("""COMPUTED_VALUE"""),"Gagal")</f>
        <v>Gagal</v>
      </c>
      <c r="AH269" s="285" t="str">
        <f>IFERROR(__xludf.DUMMYFUNCTION("""COMPUTED_VALUE"""),"OT MT")</f>
        <v>OT MT</v>
      </c>
      <c r="AI269" s="287">
        <f>IFERROR(__xludf.DUMMYFUNCTION("""COMPUTED_VALUE"""),46144.0)</f>
        <v>46144</v>
      </c>
      <c r="AJ269" s="285"/>
      <c r="AK269" s="289"/>
      <c r="AL269" s="285" t="str">
        <f>IFERROR(__xludf.DUMMYFUNCTION("""COMPUTED_VALUE"""),"Fullbooked")</f>
        <v>Fullbooked</v>
      </c>
    </row>
    <row r="270"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320"/>
      <c r="R270" s="285"/>
      <c r="S270" s="285"/>
      <c r="T270" s="285"/>
      <c r="U270" s="285"/>
      <c r="V270" s="285"/>
      <c r="W270" s="285"/>
      <c r="X270" s="285"/>
      <c r="Y270" s="285"/>
      <c r="Z270" s="285"/>
      <c r="AA270" s="285"/>
      <c r="AC270" s="285" t="str">
        <f>IFERROR(__xludf.DUMMYFUNCTION("""COMPUTED_VALUE"""),"2605A004")</f>
        <v>2605A004</v>
      </c>
      <c r="AD270" s="286">
        <f>IFERROR(__xludf.DUMMYFUNCTION("""COMPUTED_VALUE"""),46143.0)</f>
        <v>46143</v>
      </c>
      <c r="AE270" s="285" t="str">
        <f>IFERROR(__xludf.DUMMYFUNCTION("""COMPUTED_VALUE"""),"Kharisma")</f>
        <v>Kharisma</v>
      </c>
      <c r="AF270" s="285" t="str">
        <f>IFERROR(__xludf.DUMMYFUNCTION("""COMPUTED_VALUE"""),"081268902321")</f>
        <v>081268902321</v>
      </c>
      <c r="AG270" s="285" t="str">
        <f>IFERROR(__xludf.DUMMYFUNCTION("""COMPUTED_VALUE"""),"Gagal")</f>
        <v>Gagal</v>
      </c>
      <c r="AH270" s="285" t="str">
        <f>IFERROR(__xludf.DUMMYFUNCTION("""COMPUTED_VALUE"""),"OT MT")</f>
        <v>OT MT</v>
      </c>
      <c r="AI270" s="287">
        <f>IFERROR(__xludf.DUMMYFUNCTION("""COMPUTED_VALUE"""),46157.0)</f>
        <v>46157</v>
      </c>
      <c r="AJ270" s="285">
        <f>IFERROR(__xludf.DUMMYFUNCTION("""COMPUTED_VALUE"""),2.0)</f>
        <v>2</v>
      </c>
      <c r="AK270" s="289"/>
      <c r="AL270" s="285" t="str">
        <f>IFERROR(__xludf.DUMMYFUNCTION("""COMPUTED_VALUE"""),"Fullbooked")</f>
        <v>Fullbooked</v>
      </c>
    </row>
    <row r="271"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320"/>
      <c r="R271" s="285"/>
      <c r="S271" s="285"/>
      <c r="T271" s="285"/>
      <c r="U271" s="285"/>
      <c r="V271" s="285"/>
      <c r="W271" s="285"/>
      <c r="X271" s="285"/>
      <c r="Y271" s="285"/>
      <c r="Z271" s="285"/>
      <c r="AA271" s="285"/>
      <c r="AC271" s="285" t="str">
        <f>IFERROR(__xludf.DUMMYFUNCTION("""COMPUTED_VALUE"""),"2605A005")</f>
        <v>2605A005</v>
      </c>
      <c r="AD271" s="286">
        <f>IFERROR(__xludf.DUMMYFUNCTION("""COMPUTED_VALUE"""),46143.0)</f>
        <v>46143</v>
      </c>
      <c r="AE271" s="285" t="str">
        <f>IFERROR(__xludf.DUMMYFUNCTION("""COMPUTED_VALUE"""),"Rieska amalia")</f>
        <v>Rieska amalia</v>
      </c>
      <c r="AF271" s="285" t="str">
        <f>IFERROR(__xludf.DUMMYFUNCTION("""COMPUTED_VALUE"""),"085742479784")</f>
        <v>085742479784</v>
      </c>
      <c r="AG271" s="285" t="str">
        <f>IFERROR(__xludf.DUMMYFUNCTION("""COMPUTED_VALUE"""),"Gagal")</f>
        <v>Gagal</v>
      </c>
      <c r="AH271" s="285" t="str">
        <f>IFERROR(__xludf.DUMMYFUNCTION("""COMPUTED_VALUE"""),"2H1M A")</f>
        <v>2H1M A</v>
      </c>
      <c r="AI271" s="287"/>
      <c r="AJ271" s="285">
        <f>IFERROR(__xludf.DUMMYFUNCTION("""COMPUTED_VALUE"""),11.0)</f>
        <v>11</v>
      </c>
      <c r="AK271" s="289"/>
      <c r="AL271" s="285" t="str">
        <f>IFERROR(__xludf.DUMMYFUNCTION("""COMPUTED_VALUE"""),"Fullbooked")</f>
        <v>Fullbooked</v>
      </c>
    </row>
    <row r="272"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320"/>
      <c r="R272" s="285"/>
      <c r="S272" s="285"/>
      <c r="T272" s="285"/>
      <c r="U272" s="285"/>
      <c r="V272" s="285"/>
      <c r="W272" s="285"/>
      <c r="X272" s="285"/>
      <c r="Y272" s="285"/>
      <c r="Z272" s="285"/>
      <c r="AA272" s="285"/>
      <c r="AC272" s="285" t="str">
        <f>IFERROR(__xludf.DUMMYFUNCTION("""COMPUTED_VALUE"""),"2605A006")</f>
        <v>2605A006</v>
      </c>
      <c r="AD272" s="286">
        <f>IFERROR(__xludf.DUMMYFUNCTION("""COMPUTED_VALUE"""),46143.0)</f>
        <v>46143</v>
      </c>
      <c r="AE272" s="285" t="str">
        <f>IFERROR(__xludf.DUMMYFUNCTION("""COMPUTED_VALUE"""),"Olala")</f>
        <v>Olala</v>
      </c>
      <c r="AF272" s="285" t="str">
        <f>IFERROR(__xludf.DUMMYFUNCTION("""COMPUTED_VALUE"""),"082227708228")</f>
        <v>082227708228</v>
      </c>
      <c r="AG272" s="285" t="str">
        <f>IFERROR(__xludf.DUMMYFUNCTION("""COMPUTED_VALUE"""),"Gagal")</f>
        <v>Gagal</v>
      </c>
      <c r="AH272" s="285" t="str">
        <f>IFERROR(__xludf.DUMMYFUNCTION("""COMPUTED_VALUE"""),"Trip B / Sewa Jeep")</f>
        <v>Trip B / Sewa Jeep</v>
      </c>
      <c r="AI272" s="287">
        <f>IFERROR(__xludf.DUMMYFUNCTION("""COMPUTED_VALUE"""),46157.0)</f>
        <v>46157</v>
      </c>
      <c r="AJ272" s="285"/>
      <c r="AK272" s="289"/>
      <c r="AL272" s="285" t="str">
        <f>IFERROR(__xludf.DUMMYFUNCTION("""COMPUTED_VALUE"""),"Fullbooked")</f>
        <v>Fullbooked</v>
      </c>
    </row>
    <row r="273"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320"/>
      <c r="R273" s="285"/>
      <c r="S273" s="285"/>
      <c r="T273" s="285"/>
      <c r="U273" s="285"/>
      <c r="V273" s="285"/>
      <c r="W273" s="285"/>
      <c r="X273" s="285"/>
      <c r="Y273" s="285"/>
      <c r="Z273" s="285"/>
      <c r="AA273" s="285"/>
      <c r="AC273" s="285" t="str">
        <f>IFERROR(__xludf.DUMMYFUNCTION("""COMPUTED_VALUE"""),"2605A006")</f>
        <v>2605A006</v>
      </c>
      <c r="AD273" s="286">
        <f>IFERROR(__xludf.DUMMYFUNCTION("""COMPUTED_VALUE"""),46143.0)</f>
        <v>46143</v>
      </c>
      <c r="AE273" s="285" t="str">
        <f>IFERROR(__xludf.DUMMYFUNCTION("""COMPUTED_VALUE"""),"Tika")</f>
        <v>Tika</v>
      </c>
      <c r="AF273" s="285" t="str">
        <f>IFERROR(__xludf.DUMMYFUNCTION("""COMPUTED_VALUE"""),"082344805275")</f>
        <v>082344805275</v>
      </c>
      <c r="AG273" s="285" t="str">
        <f>IFERROR(__xludf.DUMMYFUNCTION("""COMPUTED_VALUE"""),"Gagal")</f>
        <v>Gagal</v>
      </c>
      <c r="AH273" s="285" t="str">
        <f>IFERROR(__xludf.DUMMYFUNCTION("""COMPUTED_VALUE"""),"Trip M T , B")</f>
        <v>Trip M T , B</v>
      </c>
      <c r="AI273" s="287">
        <f>IFERROR(__xludf.DUMMYFUNCTION("""COMPUTED_VALUE"""),46156.0)</f>
        <v>46156</v>
      </c>
      <c r="AJ273" s="285">
        <f>IFERROR(__xludf.DUMMYFUNCTION("""COMPUTED_VALUE"""),2.0)</f>
        <v>2</v>
      </c>
      <c r="AK273" s="289"/>
      <c r="AL273" s="285" t="str">
        <f>IFERROR(__xludf.DUMMYFUNCTION("""COMPUTED_VALUE"""),"fullbooked")</f>
        <v>fullbooked</v>
      </c>
    </row>
    <row r="274"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320"/>
      <c r="R274" s="285"/>
      <c r="S274" s="285"/>
      <c r="T274" s="285"/>
      <c r="U274" s="285"/>
      <c r="V274" s="285"/>
      <c r="W274" s="285"/>
      <c r="X274" s="285"/>
      <c r="Y274" s="285"/>
      <c r="Z274" s="285"/>
      <c r="AA274" s="285"/>
      <c r="AC274" s="285" t="str">
        <f>IFERROR(__xludf.DUMMYFUNCTION("""COMPUTED_VALUE"""),"2605A010")</f>
        <v>2605A010</v>
      </c>
      <c r="AD274" s="286">
        <f>IFERROR(__xludf.DUMMYFUNCTION("""COMPUTED_VALUE"""),46144.0)</f>
        <v>46144</v>
      </c>
      <c r="AE274" s="285" t="str">
        <f>IFERROR(__xludf.DUMMYFUNCTION("""COMPUTED_VALUE"""),"Miftahul Ulum")</f>
        <v>Miftahul Ulum</v>
      </c>
      <c r="AF274" s="285" t="str">
        <f>IFERROR(__xludf.DUMMYFUNCTION("""COMPUTED_VALUE"""),"085604046643")</f>
        <v>085604046643</v>
      </c>
      <c r="AG274" s="285" t="str">
        <f>IFERROR(__xludf.DUMMYFUNCTION("""COMPUTED_VALUE"""),"Gagal")</f>
        <v>Gagal</v>
      </c>
      <c r="AH274" s="285"/>
      <c r="AI274" s="287"/>
      <c r="AJ274" s="285"/>
      <c r="AK274" s="289"/>
      <c r="AL274" s="285" t="str">
        <f>IFERROR(__xludf.DUMMYFUNCTION("""COMPUTED_VALUE"""),"gada balasan")</f>
        <v>gada balasan</v>
      </c>
    </row>
    <row r="275"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320"/>
      <c r="R275" s="285"/>
      <c r="S275" s="285"/>
      <c r="T275" s="285"/>
      <c r="U275" s="285"/>
      <c r="V275" s="285"/>
      <c r="W275" s="285"/>
      <c r="X275" s="285"/>
      <c r="Y275" s="285"/>
      <c r="Z275" s="285"/>
      <c r="AA275" s="285"/>
      <c r="AC275" s="285" t="str">
        <f>IFERROR(__xludf.DUMMYFUNCTION("""COMPUTED_VALUE"""),"2605A011")</f>
        <v>2605A011</v>
      </c>
      <c r="AD275" s="286">
        <f>IFERROR(__xludf.DUMMYFUNCTION("""COMPUTED_VALUE"""),46145.0)</f>
        <v>46145</v>
      </c>
      <c r="AE275" s="285" t="str">
        <f>IFERROR(__xludf.DUMMYFUNCTION("""COMPUTED_VALUE"""),"Rony")</f>
        <v>Rony</v>
      </c>
      <c r="AF275" s="285" t="str">
        <f>IFERROR(__xludf.DUMMYFUNCTION("""COMPUTED_VALUE"""),"085863963349")</f>
        <v>085863963349</v>
      </c>
      <c r="AG275" s="285" t="str">
        <f>IFERROR(__xludf.DUMMYFUNCTION("""COMPUTED_VALUE"""),"Gagal")</f>
        <v>Gagal</v>
      </c>
      <c r="AH275" s="285" t="str">
        <f>IFERROR(__xludf.DUMMYFUNCTION("""COMPUTED_VALUE"""),"1D ")</f>
        <v>1D </v>
      </c>
      <c r="AI275" s="287">
        <f>IFERROR(__xludf.DUMMYFUNCTION("""COMPUTED_VALUE"""),46173.0)</f>
        <v>46173</v>
      </c>
      <c r="AJ275" s="285">
        <f>IFERROR(__xludf.DUMMYFUNCTION("""COMPUTED_VALUE"""),46300.0)</f>
        <v>46300</v>
      </c>
      <c r="AK275" s="289"/>
      <c r="AL275" s="285" t="str">
        <f>IFERROR(__xludf.DUMMYFUNCTION("""COMPUTED_VALUE"""),"tidak ada balasan")</f>
        <v>tidak ada balasan</v>
      </c>
    </row>
    <row r="276"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320"/>
      <c r="R276" s="285"/>
      <c r="S276" s="285"/>
      <c r="T276" s="285"/>
      <c r="U276" s="285"/>
      <c r="V276" s="285"/>
      <c r="W276" s="285"/>
      <c r="X276" s="285"/>
      <c r="Y276" s="285"/>
      <c r="Z276" s="285"/>
      <c r="AA276" s="285"/>
      <c r="AC276" s="285" t="str">
        <f>IFERROR(__xludf.DUMMYFUNCTION("""COMPUTED_VALUE"""),"2605A012")</f>
        <v>2605A012</v>
      </c>
      <c r="AD276" s="286">
        <f>IFERROR(__xludf.DUMMYFUNCTION("""COMPUTED_VALUE"""),46145.0)</f>
        <v>46145</v>
      </c>
      <c r="AE276" s="285" t="str">
        <f>IFERROR(__xludf.DUMMYFUNCTION("""COMPUTED_VALUE"""),"Reyni")</f>
        <v>Reyni</v>
      </c>
      <c r="AF276" s="285" t="str">
        <f>IFERROR(__xludf.DUMMYFUNCTION("""COMPUTED_VALUE"""),"085339626665")</f>
        <v>085339626665</v>
      </c>
      <c r="AG276" s="285" t="str">
        <f>IFERROR(__xludf.DUMMYFUNCTION("""COMPUTED_VALUE"""),"Gagal")</f>
        <v>Gagal</v>
      </c>
      <c r="AH276" s="285" t="str">
        <f>IFERROR(__xludf.DUMMYFUNCTION("""COMPUTED_VALUE"""),"OTMT")</f>
        <v>OTMT</v>
      </c>
      <c r="AI276" s="287">
        <f>IFERROR(__xludf.DUMMYFUNCTION("""COMPUTED_VALUE"""),46170.0)</f>
        <v>46170</v>
      </c>
      <c r="AJ276" s="285">
        <f>IFERROR(__xludf.DUMMYFUNCTION("""COMPUTED_VALUE"""),2.0)</f>
        <v>2</v>
      </c>
      <c r="AK276" s="289">
        <f>IFERROR(__xludf.DUMMYFUNCTION("""COMPUTED_VALUE"""),1050000.0)</f>
        <v>1050000</v>
      </c>
      <c r="AL276" s="285" t="str">
        <f>IFERROR(__xludf.DUMMYFUNCTION("""COMPUTED_VALUE"""),"gada jawaban. gagal")</f>
        <v>gada jawaban. gagal</v>
      </c>
    </row>
    <row r="277"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320"/>
      <c r="R277" s="285"/>
      <c r="S277" s="285"/>
      <c r="T277" s="285"/>
      <c r="U277" s="285"/>
      <c r="V277" s="285"/>
      <c r="W277" s="285"/>
      <c r="X277" s="285"/>
      <c r="Y277" s="285"/>
      <c r="Z277" s="285"/>
      <c r="AA277" s="285"/>
      <c r="AC277" s="285" t="str">
        <f>IFERROR(__xludf.DUMMYFUNCTION("""COMPUTED_VALUE"""),"2605A014")</f>
        <v>2605A014</v>
      </c>
      <c r="AD277" s="286">
        <f>IFERROR(__xludf.DUMMYFUNCTION("""COMPUTED_VALUE"""),46145.0)</f>
        <v>46145</v>
      </c>
      <c r="AE277" s="285" t="str">
        <f>IFERROR(__xludf.DUMMYFUNCTION("""COMPUTED_VALUE"""),"Amel (Safara)")</f>
        <v>Amel (Safara)</v>
      </c>
      <c r="AF277" s="285" t="str">
        <f>IFERROR(__xludf.DUMMYFUNCTION("""COMPUTED_VALUE"""),"081252511149")</f>
        <v>081252511149</v>
      </c>
      <c r="AG277" s="285" t="str">
        <f>IFERROR(__xludf.DUMMYFUNCTION("""COMPUTED_VALUE"""),"Gagal")</f>
        <v>Gagal</v>
      </c>
      <c r="AH277" s="285" t="str">
        <f>IFERROR(__xludf.DUMMYFUNCTION("""COMPUTED_VALUE"""),"3H2M Z (exc. transport)")</f>
        <v>3H2M Z (exc. transport)</v>
      </c>
      <c r="AI277" s="287"/>
      <c r="AJ277" s="285">
        <f>IFERROR(__xludf.DUMMYFUNCTION("""COMPUTED_VALUE"""),2.0)</f>
        <v>2</v>
      </c>
      <c r="AK277" s="289">
        <f>IFERROR(__xludf.DUMMYFUNCTION("""COMPUTED_VALUE"""),2600000.0)</f>
        <v>2600000</v>
      </c>
      <c r="AL277" s="285" t="str">
        <f>IFERROR(__xludf.DUMMYFUNCTION("""COMPUTED_VALUE"""),"kemungkinan perjadin")</f>
        <v>kemungkinan perjadin</v>
      </c>
    </row>
    <row r="278"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320"/>
      <c r="R278" s="285"/>
      <c r="S278" s="285"/>
      <c r="T278" s="285"/>
      <c r="U278" s="285"/>
      <c r="V278" s="285"/>
      <c r="W278" s="285"/>
      <c r="X278" s="285"/>
      <c r="Y278" s="285"/>
      <c r="Z278" s="285"/>
      <c r="AA278" s="285"/>
      <c r="AC278" s="285" t="str">
        <f>IFERROR(__xludf.DUMMYFUNCTION("""COMPUTED_VALUE"""),"2605A015")</f>
        <v>2605A015</v>
      </c>
      <c r="AD278" s="286">
        <f>IFERROR(__xludf.DUMMYFUNCTION("""COMPUTED_VALUE"""),46144.0)</f>
        <v>46144</v>
      </c>
      <c r="AE278" s="285" t="str">
        <f>IFERROR(__xludf.DUMMYFUNCTION("""COMPUTED_VALUE"""),"Lailia M")</f>
        <v>Lailia M</v>
      </c>
      <c r="AF278" s="285" t="str">
        <f>IFERROR(__xludf.DUMMYFUNCTION("""COMPUTED_VALUE"""),"082143232230")</f>
        <v>082143232230</v>
      </c>
      <c r="AG278" s="285" t="str">
        <f>IFERROR(__xludf.DUMMYFUNCTION("""COMPUTED_VALUE"""),"Gagal")</f>
        <v>Gagal</v>
      </c>
      <c r="AH278" s="285"/>
      <c r="AI278" s="287"/>
      <c r="AJ278" s="285"/>
      <c r="AK278" s="289"/>
      <c r="AL278" s="285" t="str">
        <f>IFERROR(__xludf.DUMMYFUNCTION("""COMPUTED_VALUE"""),"ga jadi, sdh tdk di bwi")</f>
        <v>ga jadi, sdh tdk di bwi</v>
      </c>
    </row>
    <row r="279"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320"/>
      <c r="R279" s="285"/>
      <c r="S279" s="285"/>
      <c r="T279" s="285"/>
      <c r="U279" s="285"/>
      <c r="V279" s="285"/>
      <c r="W279" s="285"/>
      <c r="X279" s="285"/>
      <c r="Y279" s="285"/>
      <c r="Z279" s="285"/>
      <c r="AA279" s="285"/>
      <c r="AC279" s="285" t="str">
        <f>IFERROR(__xludf.DUMMYFUNCTION("""COMPUTED_VALUE"""),"2605A017")</f>
        <v>2605A017</v>
      </c>
      <c r="AD279" s="286">
        <f>IFERROR(__xludf.DUMMYFUNCTION("""COMPUTED_VALUE"""),46145.0)</f>
        <v>46145</v>
      </c>
      <c r="AE279" s="285" t="str">
        <f>IFERROR(__xludf.DUMMYFUNCTION("""COMPUTED_VALUE"""),"Dhana")</f>
        <v>Dhana</v>
      </c>
      <c r="AF279" s="285" t="str">
        <f>IFERROR(__xludf.DUMMYFUNCTION("""COMPUTED_VALUE"""),"085669866741‬")</f>
        <v>085669866741‬</v>
      </c>
      <c r="AG279" s="285" t="str">
        <f>IFERROR(__xludf.DUMMYFUNCTION("""COMPUTED_VALUE"""),"Gagal")</f>
        <v>Gagal</v>
      </c>
      <c r="AH279" s="285" t="str">
        <f>IFERROR(__xludf.DUMMYFUNCTION("""COMPUTED_VALUE"""),"OT M T")</f>
        <v>OT M T</v>
      </c>
      <c r="AI279" s="287">
        <f>IFERROR(__xludf.DUMMYFUNCTION("""COMPUTED_VALUE"""),46157.0)</f>
        <v>46157</v>
      </c>
      <c r="AJ279" s="285">
        <f>IFERROR(__xludf.DUMMYFUNCTION("""COMPUTED_VALUE"""),6.0)</f>
        <v>6</v>
      </c>
      <c r="AK279" s="289">
        <f>IFERROR(__xludf.DUMMYFUNCTION("""COMPUTED_VALUE"""),3150000.0)</f>
        <v>3150000</v>
      </c>
      <c r="AL279" s="285" t="str">
        <f>IFERROR(__xludf.DUMMYFUNCTION("""COMPUTED_VALUE"""),"cancell")</f>
        <v>cancell</v>
      </c>
    </row>
    <row r="280"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320"/>
      <c r="R280" s="285"/>
      <c r="S280" s="285"/>
      <c r="T280" s="285"/>
      <c r="U280" s="285"/>
      <c r="V280" s="285"/>
      <c r="W280" s="285"/>
      <c r="X280" s="285"/>
      <c r="Y280" s="285"/>
      <c r="Z280" s="285"/>
      <c r="AA280" s="285"/>
      <c r="AC280" s="285" t="str">
        <f>IFERROR(__xludf.DUMMYFUNCTION("""COMPUTED_VALUE"""),"2605A018")</f>
        <v>2605A018</v>
      </c>
      <c r="AD280" s="286">
        <f>IFERROR(__xludf.DUMMYFUNCTION("""COMPUTED_VALUE"""),46145.0)</f>
        <v>46145</v>
      </c>
      <c r="AE280" s="285" t="str">
        <f>IFERROR(__xludf.DUMMYFUNCTION("""COMPUTED_VALUE"""),"Alya Belinda")</f>
        <v>Alya Belinda</v>
      </c>
      <c r="AF280" s="285" t="str">
        <f>IFERROR(__xludf.DUMMYFUNCTION("""COMPUTED_VALUE"""),"081227162986‬")</f>
        <v>081227162986‬</v>
      </c>
      <c r="AG280" s="285" t="str">
        <f>IFERROR(__xludf.DUMMYFUNCTION("""COMPUTED_VALUE"""),"Gagal")</f>
        <v>Gagal</v>
      </c>
      <c r="AH280" s="285" t="str">
        <f>IFERROR(__xludf.DUMMYFUNCTION("""COMPUTED_VALUE"""),"Trip M T")</f>
        <v>Trip M T</v>
      </c>
      <c r="AI280" s="287">
        <f>IFERROR(__xludf.DUMMYFUNCTION("""COMPUTED_VALUE"""),46158.0)</f>
        <v>46158</v>
      </c>
      <c r="AJ280" s="285">
        <f>IFERROR(__xludf.DUMMYFUNCTION("""COMPUTED_VALUE"""),3.0)</f>
        <v>3</v>
      </c>
      <c r="AK280" s="289"/>
      <c r="AL280" s="285" t="str">
        <f>IFERROR(__xludf.DUMMYFUNCTION("""COMPUTED_VALUE"""),"gada balasan lagi")</f>
        <v>gada balasan lagi</v>
      </c>
    </row>
    <row r="281"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320"/>
      <c r="R281" s="285"/>
      <c r="S281" s="285"/>
      <c r="T281" s="285"/>
      <c r="U281" s="285"/>
      <c r="V281" s="285"/>
      <c r="W281" s="285"/>
      <c r="X281" s="285"/>
      <c r="Y281" s="285"/>
      <c r="Z281" s="285"/>
      <c r="AA281" s="285"/>
      <c r="AC281" s="285" t="str">
        <f>IFERROR(__xludf.DUMMYFUNCTION("""COMPUTED_VALUE"""),"2605A019")</f>
        <v>2605A019</v>
      </c>
      <c r="AD281" s="286">
        <f>IFERROR(__xludf.DUMMYFUNCTION("""COMPUTED_VALUE"""),46115.0)</f>
        <v>46115</v>
      </c>
      <c r="AE281" s="285" t="str">
        <f>IFERROR(__xludf.DUMMYFUNCTION("""COMPUTED_VALUE"""),"Nadine")</f>
        <v>Nadine</v>
      </c>
      <c r="AF281" s="285" t="str">
        <f>IFERROR(__xludf.DUMMYFUNCTION("""COMPUTED_VALUE"""),"08886682380‬")</f>
        <v>08886682380‬</v>
      </c>
      <c r="AG281" s="285" t="str">
        <f>IFERROR(__xludf.DUMMYFUNCTION("""COMPUTED_VALUE"""),"Gagal")</f>
        <v>Gagal</v>
      </c>
      <c r="AH281" s="285" t="str">
        <f>IFERROR(__xludf.DUMMYFUNCTION("""COMPUTED_VALUE"""),"Trip M T")</f>
        <v>Trip M T</v>
      </c>
      <c r="AI281" s="287">
        <f>IFERROR(__xludf.DUMMYFUNCTION("""COMPUTED_VALUE"""),46158.0)</f>
        <v>46158</v>
      </c>
      <c r="AJ281" s="285"/>
      <c r="AK281" s="289"/>
      <c r="AL281" s="285" t="str">
        <f>IFERROR(__xludf.DUMMYFUNCTION("""COMPUTED_VALUE"""),"gada balasan")</f>
        <v>gada balasan</v>
      </c>
    </row>
    <row r="282"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320"/>
      <c r="R282" s="285"/>
      <c r="S282" s="285"/>
      <c r="T282" s="285"/>
      <c r="U282" s="285"/>
      <c r="V282" s="285"/>
      <c r="W282" s="285"/>
      <c r="X282" s="285"/>
      <c r="Y282" s="285"/>
      <c r="Z282" s="285"/>
      <c r="AA282" s="285"/>
      <c r="AC282" s="285" t="str">
        <f>IFERROR(__xludf.DUMMYFUNCTION("""COMPUTED_VALUE"""),"2605A021")</f>
        <v>2605A021</v>
      </c>
      <c r="AD282" s="286">
        <f>IFERROR(__xludf.DUMMYFUNCTION("""COMPUTED_VALUE"""),46146.0)</f>
        <v>46146</v>
      </c>
      <c r="AE282" s="285" t="str">
        <f>IFERROR(__xludf.DUMMYFUNCTION("""COMPUTED_VALUE"""),"Satrya jaya")</f>
        <v>Satrya jaya</v>
      </c>
      <c r="AF282" s="285" t="str">
        <f>IFERROR(__xludf.DUMMYFUNCTION("""COMPUTED_VALUE"""),"082158024089")</f>
        <v>082158024089</v>
      </c>
      <c r="AG282" s="285" t="str">
        <f>IFERROR(__xludf.DUMMYFUNCTION("""COMPUTED_VALUE"""),"Gagal")</f>
        <v>Gagal</v>
      </c>
      <c r="AH282" s="285" t="str">
        <f>IFERROR(__xludf.DUMMYFUNCTION("""COMPUTED_VALUE"""),"OT MT")</f>
        <v>OT MT</v>
      </c>
      <c r="AI282" s="287">
        <f>IFERROR(__xludf.DUMMYFUNCTION("""COMPUTED_VALUE"""),46158.0)</f>
        <v>46158</v>
      </c>
      <c r="AJ282" s="285">
        <f>IFERROR(__xludf.DUMMYFUNCTION("""COMPUTED_VALUE"""),3.0)</f>
        <v>3</v>
      </c>
      <c r="AK282" s="289">
        <f>IFERROR(__xludf.DUMMYFUNCTION("""COMPUTED_VALUE"""),885000.0)</f>
        <v>885000</v>
      </c>
      <c r="AL282" s="285" t="str">
        <f>IFERROR(__xludf.DUMMYFUNCTION("""COMPUTED_VALUE"""),"nunggu peserta lain, diinfo jika sudah ada")</f>
        <v>nunggu peserta lain, diinfo jika sudah ada</v>
      </c>
    </row>
    <row r="283"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320"/>
      <c r="R283" s="285"/>
      <c r="S283" s="285"/>
      <c r="T283" s="285"/>
      <c r="U283" s="285"/>
      <c r="V283" s="285"/>
      <c r="W283" s="285"/>
      <c r="X283" s="285"/>
      <c r="Y283" s="285"/>
      <c r="Z283" s="285"/>
      <c r="AA283" s="285"/>
      <c r="AC283" s="285" t="str">
        <f>IFERROR(__xludf.DUMMYFUNCTION("""COMPUTED_VALUE"""),"2605A025")</f>
        <v>2605A025</v>
      </c>
      <c r="AD283" s="286">
        <f>IFERROR(__xludf.DUMMYFUNCTION("""COMPUTED_VALUE"""),46145.0)</f>
        <v>46145</v>
      </c>
      <c r="AE283" s="285" t="str">
        <f>IFERROR(__xludf.DUMMYFUNCTION("""COMPUTED_VALUE"""),"Dhana caesar")</f>
        <v>Dhana caesar</v>
      </c>
      <c r="AF283" s="285" t="str">
        <f>IFERROR(__xludf.DUMMYFUNCTION("""COMPUTED_VALUE"""),"085669866741")</f>
        <v>085669866741</v>
      </c>
      <c r="AG283" s="285" t="str">
        <f>IFERROR(__xludf.DUMMYFUNCTION("""COMPUTED_VALUE"""),"Gagal")</f>
        <v>Gagal</v>
      </c>
      <c r="AH283" s="285" t="str">
        <f>IFERROR(__xludf.DUMMYFUNCTION("""COMPUTED_VALUE"""),"OTMT")</f>
        <v>OTMT</v>
      </c>
      <c r="AI283" s="287">
        <f>IFERROR(__xludf.DUMMYFUNCTION("""COMPUTED_VALUE"""),46157.0)</f>
        <v>46157</v>
      </c>
      <c r="AJ283" s="285">
        <f>IFERROR(__xludf.DUMMYFUNCTION("""COMPUTED_VALUE"""),6.0)</f>
        <v>6</v>
      </c>
      <c r="AK283" s="289">
        <f>IFERROR(__xludf.DUMMYFUNCTION("""COMPUTED_VALUE"""),1650000.0)</f>
        <v>1650000</v>
      </c>
      <c r="AL283" s="285" t="str">
        <f>IFERROR(__xludf.DUMMYFUNCTION("""COMPUTED_VALUE"""),"tidak jadi ambil paketnya")</f>
        <v>tidak jadi ambil paketnya</v>
      </c>
    </row>
    <row r="284"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320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C284" s="285" t="str">
        <f>IFERROR(__xludf.DUMMYFUNCTION("""COMPUTED_VALUE"""),"2605A026")</f>
        <v>2605A026</v>
      </c>
      <c r="AD284" s="286">
        <f>IFERROR(__xludf.DUMMYFUNCTION("""COMPUTED_VALUE"""),46146.0)</f>
        <v>46146</v>
      </c>
      <c r="AE284" s="285" t="str">
        <f>IFERROR(__xludf.DUMMYFUNCTION("""COMPUTED_VALUE"""),"Ezra")</f>
        <v>Ezra</v>
      </c>
      <c r="AF284" s="285" t="str">
        <f>IFERROR(__xludf.DUMMYFUNCTION("""COMPUTED_VALUE"""),"0881080202667")</f>
        <v>0881080202667</v>
      </c>
      <c r="AG284" s="285" t="str">
        <f>IFERROR(__xludf.DUMMYFUNCTION("""COMPUTED_VALUE"""),"Gagal")</f>
        <v>Gagal</v>
      </c>
      <c r="AH284" s="285" t="str">
        <f>IFERROR(__xludf.DUMMYFUNCTION("""COMPUTED_VALUE"""),"D, B")</f>
        <v>D, B</v>
      </c>
      <c r="AI284" s="287"/>
      <c r="AJ284" s="285"/>
      <c r="AK284" s="289"/>
      <c r="AL284" s="285" t="str">
        <f>IFERROR(__xludf.DUMMYFUNCTION("""COMPUTED_VALUE"""),"tdk ada jawaban")</f>
        <v>tdk ada jawaban</v>
      </c>
    </row>
    <row r="285"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320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C285" s="285" t="str">
        <f>IFERROR(__xludf.DUMMYFUNCTION("""COMPUTED_VALUE"""),"2605A031")</f>
        <v>2605A031</v>
      </c>
      <c r="AD285" s="286">
        <f>IFERROR(__xludf.DUMMYFUNCTION("""COMPUTED_VALUE"""),46148.0)</f>
        <v>46148</v>
      </c>
      <c r="AE285" s="285" t="str">
        <f>IFERROR(__xludf.DUMMYFUNCTION("""COMPUTED_VALUE"""),"Natasya Aulia Izzati R")</f>
        <v>Natasya Aulia Izzati R</v>
      </c>
      <c r="AF285" s="285" t="str">
        <f>IFERROR(__xludf.DUMMYFUNCTION("""COMPUTED_VALUE"""),"0895395178369")</f>
        <v>0895395178369</v>
      </c>
      <c r="AG285" s="285" t="str">
        <f>IFERROR(__xludf.DUMMYFUNCTION("""COMPUTED_VALUE"""),"Gagal")</f>
        <v>Gagal</v>
      </c>
      <c r="AH285" s="285" t="str">
        <f>IFERROR(__xludf.DUMMYFUNCTION("""COMPUTED_VALUE"""),"menjangan tabuhan")</f>
        <v>menjangan tabuhan</v>
      </c>
      <c r="AI285" s="287">
        <f>IFERROR(__xludf.DUMMYFUNCTION("""COMPUTED_VALUE"""),46157.0)</f>
        <v>46157</v>
      </c>
      <c r="AJ285" s="285">
        <f>IFERROR(__xludf.DUMMYFUNCTION("""COMPUTED_VALUE"""),4.0)</f>
        <v>4</v>
      </c>
      <c r="AK285" s="289">
        <f>IFERROR(__xludf.DUMMYFUNCTION("""COMPUTED_VALUE"""),2000000.0)</f>
        <v>2000000</v>
      </c>
      <c r="AL285" s="285" t="str">
        <f>IFERROR(__xludf.DUMMYFUNCTION("""COMPUTED_VALUE"""),"FULLBOOKED")</f>
        <v>FULLBOOKED</v>
      </c>
    </row>
    <row r="286"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320"/>
      <c r="R286" s="285"/>
      <c r="S286" s="285"/>
      <c r="T286" s="285"/>
      <c r="U286" s="285"/>
      <c r="V286" s="285"/>
      <c r="W286" s="285"/>
      <c r="X286" s="285"/>
      <c r="Y286" s="285"/>
      <c r="Z286" s="285"/>
      <c r="AA286" s="285"/>
      <c r="AC286" s="285" t="str">
        <f>IFERROR(__xludf.DUMMYFUNCTION("""COMPUTED_VALUE"""),"2605A033")</f>
        <v>2605A033</v>
      </c>
      <c r="AD286" s="286">
        <f>IFERROR(__xludf.DUMMYFUNCTION("""COMPUTED_VALUE"""),46147.0)</f>
        <v>46147</v>
      </c>
      <c r="AE286" s="285" t="str">
        <f>IFERROR(__xludf.DUMMYFUNCTION("""COMPUTED_VALUE"""),"Bella Al Azis")</f>
        <v>Bella Al Azis</v>
      </c>
      <c r="AF286" s="285" t="str">
        <f>IFERROR(__xludf.DUMMYFUNCTION("""COMPUTED_VALUE"""),"081391601261")</f>
        <v>081391601261</v>
      </c>
      <c r="AG286" s="285" t="str">
        <f>IFERROR(__xludf.DUMMYFUNCTION("""COMPUTED_VALUE"""),"Gagal")</f>
        <v>Gagal</v>
      </c>
      <c r="AH286" s="285" t="str">
        <f>IFERROR(__xludf.DUMMYFUNCTION("""COMPUTED_VALUE"""),"ot djabal")</f>
        <v>ot djabal</v>
      </c>
      <c r="AI286" s="287">
        <f>IFERROR(__xludf.DUMMYFUNCTION("""COMPUTED_VALUE"""),46159.0)</f>
        <v>46159</v>
      </c>
      <c r="AJ286" s="285">
        <f>IFERROR(__xludf.DUMMYFUNCTION("""COMPUTED_VALUE"""),2.0)</f>
        <v>2</v>
      </c>
      <c r="AK286" s="289">
        <f>IFERROR(__xludf.DUMMYFUNCTION("""COMPUTED_VALUE"""),1100000.0)</f>
        <v>1100000</v>
      </c>
      <c r="AL286" s="285" t="str">
        <f>IFERROR(__xludf.DUMMYFUNCTION("""COMPUTED_VALUE"""),"tidak menyebutkan alasan tidak jadi ")</f>
        <v>tidak menyebutkan alasan tidak jadi </v>
      </c>
    </row>
    <row r="287"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320"/>
      <c r="R287" s="285"/>
      <c r="S287" s="285"/>
      <c r="T287" s="285"/>
      <c r="U287" s="285"/>
      <c r="V287" s="285"/>
      <c r="W287" s="285"/>
      <c r="X287" s="285"/>
      <c r="Y287" s="285"/>
      <c r="Z287" s="285"/>
      <c r="AA287" s="285"/>
      <c r="AC287" s="285" t="str">
        <f>IFERROR(__xludf.DUMMYFUNCTION("""COMPUTED_VALUE"""),"2605A037")</f>
        <v>2605A037</v>
      </c>
      <c r="AD287" s="286">
        <f>IFERROR(__xludf.DUMMYFUNCTION("""COMPUTED_VALUE"""),46148.0)</f>
        <v>46148</v>
      </c>
      <c r="AE287" s="285" t="str">
        <f>IFERROR(__xludf.DUMMYFUNCTION("""COMPUTED_VALUE"""),"nasyab")</f>
        <v>nasyab</v>
      </c>
      <c r="AF287" s="285" t="str">
        <f>IFERROR(__xludf.DUMMYFUNCTION("""COMPUTED_VALUE"""),"0882009584159")</f>
        <v>0882009584159</v>
      </c>
      <c r="AG287" s="285" t="str">
        <f>IFERROR(__xludf.DUMMYFUNCTION("""COMPUTED_VALUE"""),"Gagal")</f>
        <v>Gagal</v>
      </c>
      <c r="AH287" s="285" t="str">
        <f>IFERROR(__xludf.DUMMYFUNCTION("""COMPUTED_VALUE"""),"green island")</f>
        <v>green island</v>
      </c>
      <c r="AI287" s="287"/>
      <c r="AJ287" s="285">
        <f>IFERROR(__xludf.DUMMYFUNCTION("""COMPUTED_VALUE"""),5.0)</f>
        <v>5</v>
      </c>
      <c r="AK287" s="289">
        <f>IFERROR(__xludf.DUMMYFUNCTION("""COMPUTED_VALUE"""),2650000.0)</f>
        <v>2650000</v>
      </c>
      <c r="AL287" s="285" t="str">
        <f>IFERROR(__xludf.DUMMYFUNCTION("""COMPUTED_VALUE"""),"gada balasan")</f>
        <v>gada balasan</v>
      </c>
    </row>
    <row r="288"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320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C288" s="285" t="str">
        <f>IFERROR(__xludf.DUMMYFUNCTION("""COMPUTED_VALUE"""),"2605A038")</f>
        <v>2605A038</v>
      </c>
      <c r="AD288" s="286">
        <f>IFERROR(__xludf.DUMMYFUNCTION("""COMPUTED_VALUE"""),46147.0)</f>
        <v>46147</v>
      </c>
      <c r="AE288" s="285"/>
      <c r="AF288" s="285" t="str">
        <f>IFERROR(__xludf.DUMMYFUNCTION("""COMPUTED_VALUE"""),"085184659081")</f>
        <v>085184659081</v>
      </c>
      <c r="AG288" s="285" t="str">
        <f>IFERROR(__xludf.DUMMYFUNCTION("""COMPUTED_VALUE"""),"Gagal")</f>
        <v>Gagal</v>
      </c>
      <c r="AH288" s="285" t="str">
        <f>IFERROR(__xludf.DUMMYFUNCTION("""COMPUTED_VALUE"""),"ot djabal")</f>
        <v>ot djabal</v>
      </c>
      <c r="AI288" s="287">
        <f>IFERROR(__xludf.DUMMYFUNCTION("""COMPUTED_VALUE"""),46157.0)</f>
        <v>46157</v>
      </c>
      <c r="AJ288" s="285"/>
      <c r="AK288" s="289"/>
      <c r="AL288" s="285" t="str">
        <f>IFERROR(__xludf.DUMMYFUNCTION("""COMPUTED_VALUE"""),"FULLBOOKED")</f>
        <v>FULLBOOKED</v>
      </c>
    </row>
    <row r="289"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320"/>
      <c r="R289" s="285"/>
      <c r="S289" s="285"/>
      <c r="T289" s="285"/>
      <c r="U289" s="285"/>
      <c r="V289" s="285"/>
      <c r="W289" s="285"/>
      <c r="X289" s="285"/>
      <c r="Y289" s="285"/>
      <c r="Z289" s="285"/>
      <c r="AA289" s="285"/>
      <c r="AC289" s="285" t="str">
        <f>IFERROR(__xludf.DUMMYFUNCTION("""COMPUTED_VALUE"""),"2605A039")</f>
        <v>2605A039</v>
      </c>
      <c r="AD289" s="286">
        <f>IFERROR(__xludf.DUMMYFUNCTION("""COMPUTED_VALUE"""),46148.0)</f>
        <v>46148</v>
      </c>
      <c r="AE289" s="285" t="str">
        <f>IFERROR(__xludf.DUMMYFUNCTION("""COMPUTED_VALUE"""),"FADHIL")</f>
        <v>FADHIL</v>
      </c>
      <c r="AF289" s="285" t="str">
        <f>IFERROR(__xludf.DUMMYFUNCTION("""COMPUTED_VALUE"""),"081229036282")</f>
        <v>081229036282</v>
      </c>
      <c r="AG289" s="285" t="str">
        <f>IFERROR(__xludf.DUMMYFUNCTION("""COMPUTED_VALUE"""),"Gagal")</f>
        <v>Gagal</v>
      </c>
      <c r="AH289" s="285" t="str">
        <f>IFERROR(__xludf.DUMMYFUNCTION("""COMPUTED_VALUE"""),"snoekling")</f>
        <v>snoekling</v>
      </c>
      <c r="AI289" s="287">
        <f>IFERROR(__xludf.DUMMYFUNCTION("""COMPUTED_VALUE"""),46151.0)</f>
        <v>46151</v>
      </c>
      <c r="AJ289" s="285">
        <f>IFERROR(__xludf.DUMMYFUNCTION("""COMPUTED_VALUE"""),2.0)</f>
        <v>2</v>
      </c>
      <c r="AK289" s="289"/>
      <c r="AL289" s="285" t="str">
        <f>IFERROR(__xludf.DUMMYFUNCTION("""COMPUTED_VALUE"""),"gada jawaban. gagal")</f>
        <v>gada jawaban. gagal</v>
      </c>
    </row>
    <row r="290"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320"/>
      <c r="R290" s="285"/>
      <c r="S290" s="285"/>
      <c r="T290" s="285"/>
      <c r="U290" s="285"/>
      <c r="V290" s="285"/>
      <c r="W290" s="285"/>
      <c r="X290" s="285"/>
      <c r="Y290" s="285"/>
      <c r="Z290" s="285"/>
      <c r="AA290" s="285"/>
      <c r="AC290" s="285" t="str">
        <f>IFERROR(__xludf.DUMMYFUNCTION("""COMPUTED_VALUE"""),"2605A042")</f>
        <v>2605A042</v>
      </c>
      <c r="AD290" s="286">
        <f>IFERROR(__xludf.DUMMYFUNCTION("""COMPUTED_VALUE"""),46149.0)</f>
        <v>46149</v>
      </c>
      <c r="AE290" s="285" t="str">
        <f>IFERROR(__xludf.DUMMYFUNCTION("""COMPUTED_VALUE"""),"Lilis")</f>
        <v>Lilis</v>
      </c>
      <c r="AF290" s="285" t="str">
        <f>IFERROR(__xludf.DUMMYFUNCTION("""COMPUTED_VALUE"""),"081285371101")</f>
        <v>081285371101</v>
      </c>
      <c r="AG290" s="285" t="str">
        <f>IFERROR(__xludf.DUMMYFUNCTION("""COMPUTED_VALUE"""),"Gagal")</f>
        <v>Gagal</v>
      </c>
      <c r="AH290" s="285" t="str">
        <f>IFERROR(__xludf.DUMMYFUNCTION("""COMPUTED_VALUE"""),"3h2m open trip")</f>
        <v>3h2m open trip</v>
      </c>
      <c r="AI290" s="287">
        <f>IFERROR(__xludf.DUMMYFUNCTION("""COMPUTED_VALUE"""),46166.0)</f>
        <v>46166</v>
      </c>
      <c r="AJ290" s="285">
        <f>IFERROR(__xludf.DUMMYFUNCTION("""COMPUTED_VALUE"""),1.0)</f>
        <v>1</v>
      </c>
      <c r="AK290" s="289"/>
      <c r="AL290" s="285" t="str">
        <f>IFERROR(__xludf.DUMMYFUNCTION("""COMPUTED_VALUE"""),"ditunda rencananya")</f>
        <v>ditunda rencananya</v>
      </c>
    </row>
    <row r="291"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320"/>
      <c r="R291" s="285"/>
      <c r="S291" s="285"/>
      <c r="T291" s="285"/>
      <c r="U291" s="285"/>
      <c r="V291" s="285"/>
      <c r="W291" s="285"/>
      <c r="X291" s="285"/>
      <c r="Y291" s="285"/>
      <c r="Z291" s="285"/>
      <c r="AA291" s="285"/>
      <c r="AC291" s="285" t="str">
        <f>IFERROR(__xludf.DUMMYFUNCTION("""COMPUTED_VALUE"""),"2605A043")</f>
        <v>2605A043</v>
      </c>
      <c r="AD291" s="286">
        <f>IFERROR(__xludf.DUMMYFUNCTION("""COMPUTED_VALUE"""),46149.0)</f>
        <v>46149</v>
      </c>
      <c r="AE291" s="285" t="str">
        <f>IFERROR(__xludf.DUMMYFUNCTION("""COMPUTED_VALUE"""),"M. Aryawira C")</f>
        <v>M. Aryawira C</v>
      </c>
      <c r="AF291" s="285" t="str">
        <f>IFERROR(__xludf.DUMMYFUNCTION("""COMPUTED_VALUE"""),"085842903250")</f>
        <v>085842903250</v>
      </c>
      <c r="AG291" s="285" t="str">
        <f>IFERROR(__xludf.DUMMYFUNCTION("""COMPUTED_VALUE"""),"Gagal")</f>
        <v>Gagal</v>
      </c>
      <c r="AH291" s="285" t="str">
        <f>IFERROR(__xludf.DUMMYFUNCTION("""COMPUTED_VALUE"""),"ot 3h2m")</f>
        <v>ot 3h2m</v>
      </c>
      <c r="AI291" s="287"/>
      <c r="AJ291" s="285"/>
      <c r="AK291" s="289"/>
      <c r="AL291" s="285" t="str">
        <f>IFERROR(__xludf.DUMMYFUNCTION("""COMPUTED_VALUE"""),"gada balasan lagi")</f>
        <v>gada balasan lagi</v>
      </c>
    </row>
    <row r="292"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320"/>
      <c r="R292" s="285"/>
      <c r="S292" s="285"/>
      <c r="T292" s="285"/>
      <c r="U292" s="285"/>
      <c r="V292" s="285"/>
      <c r="W292" s="285"/>
      <c r="X292" s="285"/>
      <c r="Y292" s="285"/>
      <c r="Z292" s="285"/>
      <c r="AA292" s="285"/>
      <c r="AC292" s="285" t="str">
        <f>IFERROR(__xludf.DUMMYFUNCTION("""COMPUTED_VALUE"""),"2605A044")</f>
        <v>2605A044</v>
      </c>
      <c r="AD292" s="286">
        <f>IFERROR(__xludf.DUMMYFUNCTION("""COMPUTED_VALUE"""),46150.0)</f>
        <v>46150</v>
      </c>
      <c r="AE292" s="285" t="str">
        <f>IFERROR(__xludf.DUMMYFUNCTION("""COMPUTED_VALUE"""),"Mitaaa")</f>
        <v>Mitaaa</v>
      </c>
      <c r="AF292" s="285" t="str">
        <f>IFERROR(__xludf.DUMMYFUNCTION("""COMPUTED_VALUE"""),"085729200538")</f>
        <v>085729200538</v>
      </c>
      <c r="AG292" s="285" t="str">
        <f>IFERROR(__xludf.DUMMYFUNCTION("""COMPUTED_VALUE"""),"Gagal")</f>
        <v>Gagal</v>
      </c>
      <c r="AH292" s="285" t="str">
        <f>IFERROR(__xludf.DUMMYFUNCTION("""COMPUTED_VALUE"""),"3h2m")</f>
        <v>3h2m</v>
      </c>
      <c r="AI292" s="287"/>
      <c r="AJ292" s="285">
        <f>IFERROR(__xludf.DUMMYFUNCTION("""COMPUTED_VALUE"""),2.0)</f>
        <v>2</v>
      </c>
      <c r="AK292" s="289"/>
      <c r="AL292" s="285" t="str">
        <f>IFERROR(__xludf.DUMMYFUNCTION("""COMPUTED_VALUE"""),"gada balasan")</f>
        <v>gada balasan</v>
      </c>
    </row>
    <row r="293"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320"/>
      <c r="R293" s="285"/>
      <c r="S293" s="285"/>
      <c r="T293" s="285"/>
      <c r="U293" s="285"/>
      <c r="V293" s="285"/>
      <c r="W293" s="285"/>
      <c r="X293" s="285"/>
      <c r="Y293" s="285"/>
      <c r="Z293" s="285"/>
      <c r="AA293" s="285"/>
      <c r="AC293" s="285" t="str">
        <f>IFERROR(__xludf.DUMMYFUNCTION("""COMPUTED_VALUE"""),"2605A046")</f>
        <v>2605A046</v>
      </c>
      <c r="AD293" s="286">
        <f>IFERROR(__xludf.DUMMYFUNCTION("""COMPUTED_VALUE"""),46149.0)</f>
        <v>46149</v>
      </c>
      <c r="AE293" s="285" t="str">
        <f>IFERROR(__xludf.DUMMYFUNCTION("""COMPUTED_VALUE"""),"Annisa Eka Fitrianti")</f>
        <v>Annisa Eka Fitrianti</v>
      </c>
      <c r="AF293" s="285" t="str">
        <f>IFERROR(__xludf.DUMMYFUNCTION("""COMPUTED_VALUE"""),"082240709074")</f>
        <v>082240709074</v>
      </c>
      <c r="AG293" s="285" t="str">
        <f>IFERROR(__xludf.DUMMYFUNCTION("""COMPUTED_VALUE"""),"Gagal")</f>
        <v>Gagal</v>
      </c>
      <c r="AH293" s="285" t="str">
        <f>IFERROR(__xludf.DUMMYFUNCTION("""COMPUTED_VALUE"""),"private trip mt")</f>
        <v>private trip mt</v>
      </c>
      <c r="AI293" s="287">
        <f>IFERROR(__xludf.DUMMYFUNCTION("""COMPUTED_VALUE"""),46158.0)</f>
        <v>46158</v>
      </c>
      <c r="AJ293" s="285">
        <f>IFERROR(__xludf.DUMMYFUNCTION("""COMPUTED_VALUE"""),3.0)</f>
        <v>3</v>
      </c>
      <c r="AK293" s="289"/>
      <c r="AL293" s="285" t="str">
        <f>IFERROR(__xludf.DUMMYFUNCTION("""COMPUTED_VALUE"""),"gada jawaban. gagal")</f>
        <v>gada jawaban. gagal</v>
      </c>
    </row>
    <row r="294"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320"/>
      <c r="R294" s="285"/>
      <c r="S294" s="285"/>
      <c r="T294" s="285"/>
      <c r="U294" s="285"/>
      <c r="V294" s="285"/>
      <c r="W294" s="285"/>
      <c r="X294" s="285"/>
      <c r="Y294" s="285"/>
      <c r="Z294" s="285"/>
      <c r="AA294" s="285"/>
      <c r="AC294" s="285" t="str">
        <f>IFERROR(__xludf.DUMMYFUNCTION("""COMPUTED_VALUE"""),"2605A047")</f>
        <v>2605A047</v>
      </c>
      <c r="AD294" s="286">
        <f>IFERROR(__xludf.DUMMYFUNCTION("""COMPUTED_VALUE"""),46151.0)</f>
        <v>46151</v>
      </c>
      <c r="AE294" s="285" t="str">
        <f>IFERROR(__xludf.DUMMYFUNCTION("""COMPUTED_VALUE"""),"Yefta Andrea")</f>
        <v>Yefta Andrea</v>
      </c>
      <c r="AF294" s="285" t="str">
        <f>IFERROR(__xludf.DUMMYFUNCTION("""COMPUTED_VALUE"""),"081227001402")</f>
        <v>081227001402</v>
      </c>
      <c r="AG294" s="285" t="str">
        <f>IFERROR(__xludf.DUMMYFUNCTION("""COMPUTED_VALUE"""),"Gagal")</f>
        <v>Gagal</v>
      </c>
      <c r="AH294" s="285" t="str">
        <f>IFERROR(__xludf.DUMMYFUNCTION("""COMPUTED_VALUE"""),"3h2m")</f>
        <v>3h2m</v>
      </c>
      <c r="AI294" s="287"/>
      <c r="AJ294" s="285">
        <f>IFERROR(__xludf.DUMMYFUNCTION("""COMPUTED_VALUE"""),2.0)</f>
        <v>2</v>
      </c>
      <c r="AK294" s="289"/>
      <c r="AL294" s="285"/>
    </row>
    <row r="295"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320"/>
      <c r="R295" s="285"/>
      <c r="S295" s="285"/>
      <c r="T295" s="285"/>
      <c r="U295" s="285"/>
      <c r="V295" s="285"/>
      <c r="W295" s="285"/>
      <c r="X295" s="285"/>
      <c r="Y295" s="285"/>
      <c r="Z295" s="285"/>
      <c r="AA295" s="285"/>
      <c r="AC295" s="285" t="str">
        <f>IFERROR(__xludf.DUMMYFUNCTION("""COMPUTED_VALUE"""),"2605A049 ")</f>
        <v>2605A049 </v>
      </c>
      <c r="AD295" s="286">
        <f>IFERROR(__xludf.DUMMYFUNCTION("""COMPUTED_VALUE"""),46150.0)</f>
        <v>46150</v>
      </c>
      <c r="AE295" s="285" t="str">
        <f>IFERROR(__xludf.DUMMYFUNCTION("""COMPUTED_VALUE"""),"Artha")</f>
        <v>Artha</v>
      </c>
      <c r="AF295" s="285" t="str">
        <f>IFERROR(__xludf.DUMMYFUNCTION("""COMPUTED_VALUE"""),"082220229150")</f>
        <v>082220229150</v>
      </c>
      <c r="AG295" s="285" t="str">
        <f>IFERROR(__xludf.DUMMYFUNCTION("""COMPUTED_VALUE"""),"Gagal")</f>
        <v>Gagal</v>
      </c>
      <c r="AH295" s="285" t="str">
        <f>IFERROR(__xludf.DUMMYFUNCTION("""COMPUTED_VALUE"""),"djabal")</f>
        <v>djabal</v>
      </c>
      <c r="AI295" s="287">
        <f>IFERROR(__xludf.DUMMYFUNCTION("""COMPUTED_VALUE"""),46157.0)</f>
        <v>46157</v>
      </c>
      <c r="AJ295" s="285">
        <f>IFERROR(__xludf.DUMMYFUNCTION("""COMPUTED_VALUE"""),2.0)</f>
        <v>2</v>
      </c>
      <c r="AK295" s="289">
        <f>IFERROR(__xludf.DUMMYFUNCTION("""COMPUTED_VALUE"""),1754000.0)</f>
        <v>1754000</v>
      </c>
      <c r="AL295" s="285" t="str">
        <f>IFERROR(__xludf.DUMMYFUNCTION("""COMPUTED_VALUE"""),"ortu sakit")</f>
        <v>ortu sakit</v>
      </c>
    </row>
    <row r="296"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320"/>
      <c r="R296" s="285"/>
      <c r="S296" s="285"/>
      <c r="T296" s="285"/>
      <c r="U296" s="285"/>
      <c r="V296" s="285"/>
      <c r="W296" s="285"/>
      <c r="X296" s="285"/>
      <c r="Y296" s="285"/>
      <c r="Z296" s="285"/>
      <c r="AA296" s="285"/>
      <c r="AC296" s="285" t="str">
        <f>IFERROR(__xludf.DUMMYFUNCTION("""COMPUTED_VALUE"""),"2605A051")</f>
        <v>2605A051</v>
      </c>
      <c r="AD296" s="286">
        <f>IFERROR(__xludf.DUMMYFUNCTION("""COMPUTED_VALUE"""),46152.0)</f>
        <v>46152</v>
      </c>
      <c r="AE296" s="285" t="str">
        <f>IFERROR(__xludf.DUMMYFUNCTION("""COMPUTED_VALUE"""),"Akuuu")</f>
        <v>Akuuu</v>
      </c>
      <c r="AF296" s="285" t="str">
        <f>IFERROR(__xludf.DUMMYFUNCTION("""COMPUTED_VALUE"""),"089514875765")</f>
        <v>089514875765</v>
      </c>
      <c r="AG296" s="285" t="str">
        <f>IFERROR(__xludf.DUMMYFUNCTION("""COMPUTED_VALUE"""),"Gagal")</f>
        <v>Gagal</v>
      </c>
      <c r="AH296" s="285"/>
      <c r="AI296" s="287"/>
      <c r="AJ296" s="285"/>
      <c r="AK296" s="289"/>
      <c r="AL296" s="285" t="str">
        <f>IFERROR(__xludf.DUMMYFUNCTION("""COMPUTED_VALUE"""),"gada balasan")</f>
        <v>gada balasan</v>
      </c>
    </row>
    <row r="297"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320"/>
      <c r="R297" s="285"/>
      <c r="S297" s="285"/>
      <c r="T297" s="285"/>
      <c r="U297" s="285"/>
      <c r="V297" s="285"/>
      <c r="W297" s="285"/>
      <c r="X297" s="285"/>
      <c r="Y297" s="285"/>
      <c r="Z297" s="285"/>
      <c r="AA297" s="285"/>
      <c r="AC297" s="285" t="str">
        <f>IFERROR(__xludf.DUMMYFUNCTION("""COMPUTED_VALUE"""),"2605A053")</f>
        <v>2605A053</v>
      </c>
      <c r="AD297" s="286">
        <f>IFERROR(__xludf.DUMMYFUNCTION("""COMPUTED_VALUE"""),46152.0)</f>
        <v>46152</v>
      </c>
      <c r="AE297" s="285" t="str">
        <f>IFERROR(__xludf.DUMMYFUNCTION("""COMPUTED_VALUE"""),"Intan")</f>
        <v>Intan</v>
      </c>
      <c r="AF297" s="285" t="str">
        <f>IFERROR(__xludf.DUMMYFUNCTION("""COMPUTED_VALUE"""),"081280775907")</f>
        <v>081280775907</v>
      </c>
      <c r="AG297" s="285" t="str">
        <f>IFERROR(__xludf.DUMMYFUNCTION("""COMPUTED_VALUE"""),"Gagal")</f>
        <v>Gagal</v>
      </c>
      <c r="AH297" s="285" t="str">
        <f>IFERROR(__xludf.DUMMYFUNCTION("""COMPUTED_VALUE"""),"OT 3H2M")</f>
        <v>OT 3H2M</v>
      </c>
      <c r="AI297" s="287"/>
      <c r="AJ297" s="285">
        <f>IFERROR(__xludf.DUMMYFUNCTION("""COMPUTED_VALUE"""),4.0)</f>
        <v>4</v>
      </c>
      <c r="AK297" s="289">
        <f>IFERROR(__xludf.DUMMYFUNCTION("""COMPUTED_VALUE"""),6400000.0)</f>
        <v>6400000</v>
      </c>
      <c r="AL297" s="285" t="str">
        <f>IFERROR(__xludf.DUMMYFUNCTION("""COMPUTED_VALUE"""),"Fullbooked")</f>
        <v>Fullbooked</v>
      </c>
    </row>
    <row r="298"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320"/>
      <c r="R298" s="285"/>
      <c r="S298" s="285"/>
      <c r="T298" s="285"/>
      <c r="U298" s="285"/>
      <c r="V298" s="285"/>
      <c r="W298" s="285"/>
      <c r="X298" s="285"/>
      <c r="Y298" s="285"/>
      <c r="Z298" s="285"/>
      <c r="AA298" s="285"/>
      <c r="AC298" s="285" t="str">
        <f>IFERROR(__xludf.DUMMYFUNCTION("""COMPUTED_VALUE"""),"2605A056")</f>
        <v>2605A056</v>
      </c>
      <c r="AD298" s="286">
        <f>IFERROR(__xludf.DUMMYFUNCTION("""COMPUTED_VALUE"""),46152.0)</f>
        <v>46152</v>
      </c>
      <c r="AE298" s="285" t="str">
        <f>IFERROR(__xludf.DUMMYFUNCTION("""COMPUTED_VALUE"""),"Tifa")</f>
        <v>Tifa</v>
      </c>
      <c r="AF298" s="285" t="str">
        <f>IFERROR(__xludf.DUMMYFUNCTION("""COMPUTED_VALUE"""),"08998768348")</f>
        <v>08998768348</v>
      </c>
      <c r="AG298" s="285" t="str">
        <f>IFERROR(__xludf.DUMMYFUNCTION("""COMPUTED_VALUE"""),"Gagal")</f>
        <v>Gagal</v>
      </c>
      <c r="AH298" s="285"/>
      <c r="AI298" s="287"/>
      <c r="AJ298" s="285"/>
      <c r="AK298" s="289"/>
      <c r="AL298" s="285" t="str">
        <f>IFERROR(__xludf.DUMMYFUNCTION("""COMPUTED_VALUE"""),"gada balasan")</f>
        <v>gada balasan</v>
      </c>
    </row>
    <row r="299"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320"/>
      <c r="R299" s="285"/>
      <c r="S299" s="285"/>
      <c r="T299" s="285"/>
      <c r="U299" s="285"/>
      <c r="V299" s="285"/>
      <c r="W299" s="285"/>
      <c r="X299" s="285"/>
      <c r="Y299" s="285"/>
      <c r="Z299" s="285"/>
      <c r="AA299" s="285"/>
      <c r="AC299" s="285" t="str">
        <f>IFERROR(__xludf.DUMMYFUNCTION("""COMPUTED_VALUE"""),"2605A058")</f>
        <v>2605A058</v>
      </c>
      <c r="AD299" s="286">
        <f>IFERROR(__xludf.DUMMYFUNCTION("""COMPUTED_VALUE"""),46153.0)</f>
        <v>46153</v>
      </c>
      <c r="AE299" s="285" t="str">
        <f>IFERROR(__xludf.DUMMYFUNCTION("""COMPUTED_VALUE"""),"Syila")</f>
        <v>Syila</v>
      </c>
      <c r="AF299" s="285" t="str">
        <f>IFERROR(__xludf.DUMMYFUNCTION("""COMPUTED_VALUE"""),"085230222999")</f>
        <v>085230222999</v>
      </c>
      <c r="AG299" s="285" t="str">
        <f>IFERROR(__xludf.DUMMYFUNCTION("""COMPUTED_VALUE"""),"Gagal")</f>
        <v>Gagal</v>
      </c>
      <c r="AH299" s="285" t="str">
        <f>IFERROR(__xludf.DUMMYFUNCTION("""COMPUTED_VALUE"""),"ot3h2m")</f>
        <v>ot3h2m</v>
      </c>
      <c r="AI299" s="287"/>
      <c r="AJ299" s="285">
        <f>IFERROR(__xludf.DUMMYFUNCTION("""COMPUTED_VALUE"""),1.0)</f>
        <v>1</v>
      </c>
      <c r="AK299" s="289">
        <f>IFERROR(__xludf.DUMMYFUNCTION("""COMPUTED_VALUE"""),1.6E7)</f>
        <v>16000000</v>
      </c>
      <c r="AL299" s="285" t="str">
        <f>IFERROR(__xludf.DUMMYFUNCTION("""COMPUTED_VALUE"""),"fullbooked")</f>
        <v>fullbooked</v>
      </c>
    </row>
    <row r="300"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320"/>
      <c r="R300" s="285"/>
      <c r="S300" s="285"/>
      <c r="T300" s="285"/>
      <c r="U300" s="285"/>
      <c r="V300" s="285"/>
      <c r="W300" s="285"/>
      <c r="X300" s="285"/>
      <c r="Y300" s="285"/>
      <c r="Z300" s="285"/>
      <c r="AA300" s="285"/>
      <c r="AC300" s="285" t="str">
        <f>IFERROR(__xludf.DUMMYFUNCTION("""COMPUTED_VALUE"""),"2605A059")</f>
        <v>2605A059</v>
      </c>
      <c r="AD300" s="286">
        <f>IFERROR(__xludf.DUMMYFUNCTION("""COMPUTED_VALUE"""),46153.0)</f>
        <v>46153</v>
      </c>
      <c r="AE300" s="285" t="str">
        <f>IFERROR(__xludf.DUMMYFUNCTION("""COMPUTED_VALUE"""),"Dania Nurrizky")</f>
        <v>Dania Nurrizky</v>
      </c>
      <c r="AF300" s="285" t="str">
        <f>IFERROR(__xludf.DUMMYFUNCTION("""COMPUTED_VALUE"""),"087803446447")</f>
        <v>087803446447</v>
      </c>
      <c r="AG300" s="285" t="str">
        <f>IFERROR(__xludf.DUMMYFUNCTION("""COMPUTED_VALUE"""),"Gagal")</f>
        <v>Gagal</v>
      </c>
      <c r="AH300" s="285"/>
      <c r="AI300" s="287"/>
      <c r="AJ300" s="285"/>
      <c r="AK300" s="289"/>
      <c r="AL300" s="285" t="str">
        <f>IFERROR(__xludf.DUMMYFUNCTION("""COMPUTED_VALUE"""),"gada balasan")</f>
        <v>gada balasan</v>
      </c>
    </row>
    <row r="301"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320"/>
      <c r="R301" s="285"/>
      <c r="S301" s="285"/>
      <c r="T301" s="285"/>
      <c r="U301" s="285"/>
      <c r="V301" s="285"/>
      <c r="W301" s="285"/>
      <c r="X301" s="285"/>
      <c r="Y301" s="285"/>
      <c r="Z301" s="285"/>
      <c r="AA301" s="285"/>
      <c r="AC301" s="285" t="str">
        <f>IFERROR(__xludf.DUMMYFUNCTION("""COMPUTED_VALUE"""),"2605A060 ")</f>
        <v>2605A060 </v>
      </c>
      <c r="AD301" s="286">
        <f>IFERROR(__xludf.DUMMYFUNCTION("""COMPUTED_VALUE"""),46154.0)</f>
        <v>46154</v>
      </c>
      <c r="AE301" s="285" t="str">
        <f>IFERROR(__xludf.DUMMYFUNCTION("""COMPUTED_VALUE"""),"Silmina")</f>
        <v>Silmina</v>
      </c>
      <c r="AF301" s="285" t="str">
        <f>IFERROR(__xludf.DUMMYFUNCTION("""COMPUTED_VALUE"""),"0813939177291")</f>
        <v>0813939177291</v>
      </c>
      <c r="AG301" s="285" t="str">
        <f>IFERROR(__xludf.DUMMYFUNCTION("""COMPUTED_VALUE"""),"Gagal")</f>
        <v>Gagal</v>
      </c>
      <c r="AH301" s="285" t="str">
        <f>IFERROR(__xludf.DUMMYFUNCTION("""COMPUTED_VALUE"""),"ot menjangan tabuhan")</f>
        <v>ot menjangan tabuhan</v>
      </c>
      <c r="AI301" s="287">
        <f>IFERROR(__xludf.DUMMYFUNCTION("""COMPUTED_VALUE"""),46156.0)</f>
        <v>46156</v>
      </c>
      <c r="AJ301" s="285">
        <f>IFERROR(__xludf.DUMMYFUNCTION("""COMPUTED_VALUE"""),2.0)</f>
        <v>2</v>
      </c>
      <c r="AK301" s="289">
        <f>IFERROR(__xludf.DUMMYFUNCTION("""COMPUTED_VALUE"""),800000.0)</f>
        <v>800000</v>
      </c>
      <c r="AL301" s="285" t="str">
        <f>IFERROR(__xludf.DUMMYFUNCTION("""COMPUTED_VALUE"""),"fullbooked")</f>
        <v>fullbooked</v>
      </c>
    </row>
    <row r="302"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320"/>
      <c r="R302" s="285"/>
      <c r="S302" s="285"/>
      <c r="T302" s="285"/>
      <c r="U302" s="285"/>
      <c r="V302" s="285"/>
      <c r="W302" s="285"/>
      <c r="X302" s="285"/>
      <c r="Y302" s="285"/>
      <c r="Z302" s="285"/>
      <c r="AA302" s="285"/>
      <c r="AC302" s="285" t="str">
        <f>IFERROR(__xludf.DUMMYFUNCTION("""COMPUTED_VALUE"""),"2605A064")</f>
        <v>2605A064</v>
      </c>
      <c r="AD302" s="286">
        <f>IFERROR(__xludf.DUMMYFUNCTION("""COMPUTED_VALUE"""),46154.0)</f>
        <v>46154</v>
      </c>
      <c r="AE302" s="285" t="str">
        <f>IFERROR(__xludf.DUMMYFUNCTION("""COMPUTED_VALUE"""),"Pawestri")</f>
        <v>Pawestri</v>
      </c>
      <c r="AF302" s="285" t="str">
        <f>IFERROR(__xludf.DUMMYFUNCTION("""COMPUTED_VALUE"""),"081330631454")</f>
        <v>081330631454</v>
      </c>
      <c r="AG302" s="285" t="str">
        <f>IFERROR(__xludf.DUMMYFUNCTION("""COMPUTED_VALUE"""),"Gagal")</f>
        <v>Gagal</v>
      </c>
      <c r="AH302" s="285" t="str">
        <f>IFERROR(__xludf.DUMMYFUNCTION("""COMPUTED_VALUE"""),"menjangan baluran")</f>
        <v>menjangan baluran</v>
      </c>
      <c r="AI302" s="287"/>
      <c r="AJ302" s="285">
        <f>IFERROR(__xludf.DUMMYFUNCTION("""COMPUTED_VALUE"""),2.0)</f>
        <v>2</v>
      </c>
      <c r="AK302" s="289">
        <f>IFERROR(__xludf.DUMMYFUNCTION("""COMPUTED_VALUE"""),3454000.0)</f>
        <v>3454000</v>
      </c>
      <c r="AL302" s="285" t="str">
        <f>IFERROR(__xludf.DUMMYFUNCTION("""COMPUTED_VALUE"""),"gada balasan")</f>
        <v>gada balasan</v>
      </c>
    </row>
    <row r="303"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320"/>
      <c r="R303" s="285"/>
      <c r="S303" s="285"/>
      <c r="T303" s="285"/>
      <c r="U303" s="285"/>
      <c r="V303" s="285"/>
      <c r="W303" s="285"/>
      <c r="X303" s="285"/>
      <c r="Y303" s="285"/>
      <c r="Z303" s="285"/>
      <c r="AA303" s="285"/>
      <c r="AC303" s="285" t="str">
        <f>IFERROR(__xludf.DUMMYFUNCTION("""COMPUTED_VALUE"""),"2605A065")</f>
        <v>2605A065</v>
      </c>
      <c r="AD303" s="286">
        <f>IFERROR(__xludf.DUMMYFUNCTION("""COMPUTED_VALUE"""),46154.0)</f>
        <v>46154</v>
      </c>
      <c r="AE303" s="285" t="str">
        <f>IFERROR(__xludf.DUMMYFUNCTION("""COMPUTED_VALUE"""),"Nanaa")</f>
        <v>Nanaa</v>
      </c>
      <c r="AF303" s="285" t="str">
        <f>IFERROR(__xludf.DUMMYFUNCTION("""COMPUTED_VALUE"""),"0895391374217")</f>
        <v>0895391374217</v>
      </c>
      <c r="AG303" s="285" t="str">
        <f>IFERROR(__xludf.DUMMYFUNCTION("""COMPUTED_VALUE"""),"Gagal")</f>
        <v>Gagal</v>
      </c>
      <c r="AH303" s="285" t="str">
        <f>IFERROR(__xludf.DUMMYFUNCTION("""COMPUTED_VALUE"""),"3h2m")</f>
        <v>3h2m</v>
      </c>
      <c r="AI303" s="287"/>
      <c r="AJ303" s="285">
        <f>IFERROR(__xludf.DUMMYFUNCTION("""COMPUTED_VALUE"""),4.0)</f>
        <v>4</v>
      </c>
      <c r="AK303" s="289"/>
      <c r="AL303" s="285" t="str">
        <f>IFERROR(__xludf.DUMMYFUNCTION("""COMPUTED_VALUE"""),"fullbooked")</f>
        <v>fullbooked</v>
      </c>
    </row>
    <row r="304"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320"/>
      <c r="R304" s="285"/>
      <c r="S304" s="285"/>
      <c r="T304" s="285"/>
      <c r="U304" s="285"/>
      <c r="V304" s="285"/>
      <c r="W304" s="285"/>
      <c r="X304" s="285"/>
      <c r="Y304" s="285"/>
      <c r="Z304" s="285"/>
      <c r="AA304" s="285"/>
      <c r="AC304" s="285" t="str">
        <f>IFERROR(__xludf.DUMMYFUNCTION("""COMPUTED_VALUE"""),"2605A066")</f>
        <v>2605A066</v>
      </c>
      <c r="AD304" s="286">
        <f>IFERROR(__xludf.DUMMYFUNCTION("""COMPUTED_VALUE"""),46155.0)</f>
        <v>46155</v>
      </c>
      <c r="AE304" s="285" t="str">
        <f>IFERROR(__xludf.DUMMYFUNCTION("""COMPUTED_VALUE"""),"Ariel")</f>
        <v>Ariel</v>
      </c>
      <c r="AF304" s="285" t="str">
        <f>IFERROR(__xludf.DUMMYFUNCTION("""COMPUTED_VALUE"""),"089674666179")</f>
        <v>089674666179</v>
      </c>
      <c r="AG304" s="285" t="str">
        <f>IFERROR(__xludf.DUMMYFUNCTION("""COMPUTED_VALUE"""),"Gagal")</f>
        <v>Gagal</v>
      </c>
      <c r="AH304" s="285" t="str">
        <f>IFERROR(__xludf.DUMMYFUNCTION("""COMPUTED_VALUE"""),"menjangan tabuhan")</f>
        <v>menjangan tabuhan</v>
      </c>
      <c r="AI304" s="287">
        <f>IFERROR(__xludf.DUMMYFUNCTION("""COMPUTED_VALUE"""),46171.0)</f>
        <v>46171</v>
      </c>
      <c r="AJ304" s="285">
        <f>IFERROR(__xludf.DUMMYFUNCTION("""COMPUTED_VALUE"""),2.0)</f>
        <v>2</v>
      </c>
      <c r="AK304" s="289">
        <f>IFERROR(__xludf.DUMMYFUNCTION("""COMPUTED_VALUE"""),800000.0)</f>
        <v>800000</v>
      </c>
      <c r="AL304" s="285" t="str">
        <f>IFERROR(__xludf.DUMMYFUNCTION("""COMPUTED_VALUE"""),"gada balasan")</f>
        <v>gada balasan</v>
      </c>
    </row>
    <row r="305"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320"/>
      <c r="R305" s="285"/>
      <c r="S305" s="285"/>
      <c r="T305" s="285"/>
      <c r="U305" s="285"/>
      <c r="V305" s="285"/>
      <c r="W305" s="285"/>
      <c r="X305" s="285"/>
      <c r="Y305" s="285"/>
      <c r="Z305" s="285"/>
      <c r="AA305" s="285"/>
      <c r="AC305" s="285" t="str">
        <f>IFERROR(__xludf.DUMMYFUNCTION("""COMPUTED_VALUE"""),"2605A067")</f>
        <v>2605A067</v>
      </c>
      <c r="AD305" s="286">
        <f>IFERROR(__xludf.DUMMYFUNCTION("""COMPUTED_VALUE"""),46155.0)</f>
        <v>46155</v>
      </c>
      <c r="AE305" s="285" t="str">
        <f>IFERROR(__xludf.DUMMYFUNCTION("""COMPUTED_VALUE"""),"Khafid syaifulloh")</f>
        <v>Khafid syaifulloh</v>
      </c>
      <c r="AF305" s="285" t="str">
        <f>IFERROR(__xludf.DUMMYFUNCTION("""COMPUTED_VALUE"""),"085850956899")</f>
        <v>085850956899</v>
      </c>
      <c r="AG305" s="285" t="str">
        <f>IFERROR(__xludf.DUMMYFUNCTION("""COMPUTED_VALUE"""),"Gagal")</f>
        <v>Gagal</v>
      </c>
      <c r="AH305" s="285" t="str">
        <f>IFERROR(__xludf.DUMMYFUNCTION("""COMPUTED_VALUE"""),"ot menjangan tabuhan")</f>
        <v>ot menjangan tabuhan</v>
      </c>
      <c r="AI305" s="287"/>
      <c r="AJ305" s="285">
        <f>IFERROR(__xludf.DUMMYFUNCTION("""COMPUTED_VALUE"""),2.0)</f>
        <v>2</v>
      </c>
      <c r="AK305" s="289"/>
      <c r="AL305" s="285" t="str">
        <f>IFERROR(__xludf.DUMMYFUNCTION("""COMPUTED_VALUE"""),"gada balasan")</f>
        <v>gada balasan</v>
      </c>
    </row>
    <row r="306"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320"/>
      <c r="R306" s="285"/>
      <c r="S306" s="285"/>
      <c r="T306" s="285"/>
      <c r="U306" s="285"/>
      <c r="V306" s="285"/>
      <c r="W306" s="285"/>
      <c r="X306" s="285"/>
      <c r="Y306" s="285"/>
      <c r="Z306" s="285"/>
      <c r="AA306" s="285"/>
      <c r="AC306" s="285" t="str">
        <f>IFERROR(__xludf.DUMMYFUNCTION("""COMPUTED_VALUE"""),"2605A068")</f>
        <v>2605A068</v>
      </c>
      <c r="AD306" s="286">
        <f>IFERROR(__xludf.DUMMYFUNCTION("""COMPUTED_VALUE"""),46155.0)</f>
        <v>46155</v>
      </c>
      <c r="AE306" s="285" t="str">
        <f>IFERROR(__xludf.DUMMYFUNCTION("""COMPUTED_VALUE"""),"Widya")</f>
        <v>Widya</v>
      </c>
      <c r="AF306" s="285" t="str">
        <f>IFERROR(__xludf.DUMMYFUNCTION("""COMPUTED_VALUE"""),"085731314222")</f>
        <v>085731314222</v>
      </c>
      <c r="AG306" s="285" t="str">
        <f>IFERROR(__xludf.DUMMYFUNCTION("""COMPUTED_VALUE"""),"Gagal")</f>
        <v>Gagal</v>
      </c>
      <c r="AH306" s="285" t="str">
        <f>IFERROR(__xludf.DUMMYFUNCTION("""COMPUTED_VALUE"""),"green island")</f>
        <v>green island</v>
      </c>
      <c r="AI306" s="287">
        <f>IFERROR(__xludf.DUMMYFUNCTION("""COMPUTED_VALUE"""),46156.0)</f>
        <v>46156</v>
      </c>
      <c r="AJ306" s="285">
        <f>IFERROR(__xludf.DUMMYFUNCTION("""COMPUTED_VALUE"""),2.0)</f>
        <v>2</v>
      </c>
      <c r="AK306" s="289"/>
      <c r="AL306" s="285" t="str">
        <f>IFERROR(__xludf.DUMMYFUNCTION("""COMPUTED_VALUE"""),"fullbooked")</f>
        <v>fullbooked</v>
      </c>
    </row>
    <row r="307"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320"/>
      <c r="R307" s="285"/>
      <c r="S307" s="285"/>
      <c r="T307" s="285"/>
      <c r="U307" s="285"/>
      <c r="V307" s="285"/>
      <c r="W307" s="285"/>
      <c r="X307" s="285"/>
      <c r="Y307" s="285"/>
      <c r="Z307" s="285"/>
      <c r="AA307" s="285"/>
      <c r="AC307" s="285" t="str">
        <f>IFERROR(__xludf.DUMMYFUNCTION("""COMPUTED_VALUE"""),"2605A072")</f>
        <v>2605A072</v>
      </c>
      <c r="AD307" s="286">
        <f>IFERROR(__xludf.DUMMYFUNCTION("""COMPUTED_VALUE"""),46155.0)</f>
        <v>46155</v>
      </c>
      <c r="AE307" s="285" t="str">
        <f>IFERROR(__xludf.DUMMYFUNCTION("""COMPUTED_VALUE"""),"Retno Wulandari")</f>
        <v>Retno Wulandari</v>
      </c>
      <c r="AF307" s="285" t="str">
        <f>IFERROR(__xludf.DUMMYFUNCTION("""COMPUTED_VALUE"""),"081333116719")</f>
        <v>081333116719</v>
      </c>
      <c r="AG307" s="285" t="str">
        <f>IFERROR(__xludf.DUMMYFUNCTION("""COMPUTED_VALUE"""),"Gagal")</f>
        <v>Gagal</v>
      </c>
      <c r="AH307" s="285"/>
      <c r="AI307" s="287">
        <f>IFERROR(__xludf.DUMMYFUNCTION("""COMPUTED_VALUE"""),46157.0)</f>
        <v>46157</v>
      </c>
      <c r="AJ307" s="285"/>
      <c r="AK307" s="289"/>
      <c r="AL307" s="285" t="str">
        <f>IFERROR(__xludf.DUMMYFUNCTION("""COMPUTED_VALUE"""),"fullbooked")</f>
        <v>fullbooked</v>
      </c>
    </row>
    <row r="308"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320"/>
      <c r="R308" s="285"/>
      <c r="S308" s="285"/>
      <c r="T308" s="285"/>
      <c r="U308" s="285"/>
      <c r="V308" s="285"/>
      <c r="W308" s="285"/>
      <c r="X308" s="285"/>
      <c r="Y308" s="285"/>
      <c r="Z308" s="285"/>
      <c r="AA308" s="285"/>
      <c r="AC308" s="285" t="str">
        <f>IFERROR(__xludf.DUMMYFUNCTION("""COMPUTED_VALUE"""),"2605A073")</f>
        <v>2605A073</v>
      </c>
      <c r="AD308" s="286">
        <f>IFERROR(__xludf.DUMMYFUNCTION("""COMPUTED_VALUE"""),46156.0)</f>
        <v>46156</v>
      </c>
      <c r="AE308" s="285" t="str">
        <f>IFERROR(__xludf.DUMMYFUNCTION("""COMPUTED_VALUE"""),"Indrie A.ch")</f>
        <v>Indrie A.ch</v>
      </c>
      <c r="AF308" s="285" t="str">
        <f>IFERROR(__xludf.DUMMYFUNCTION("""COMPUTED_VALUE"""),"089617299022")</f>
        <v>089617299022</v>
      </c>
      <c r="AG308" s="285" t="str">
        <f>IFERROR(__xludf.DUMMYFUNCTION("""COMPUTED_VALUE"""),"Gagal")</f>
        <v>Gagal</v>
      </c>
      <c r="AH308" s="285"/>
      <c r="AI308" s="287"/>
      <c r="AJ308" s="285"/>
      <c r="AK308" s="289"/>
      <c r="AL308" s="285" t="str">
        <f>IFERROR(__xludf.DUMMYFUNCTION("""COMPUTED_VALUE"""),"gada balasan")</f>
        <v>gada balasan</v>
      </c>
    </row>
    <row r="309"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320"/>
      <c r="R309" s="285"/>
      <c r="S309" s="285"/>
      <c r="T309" s="285"/>
      <c r="U309" s="285"/>
      <c r="V309" s="285"/>
      <c r="W309" s="285"/>
      <c r="X309" s="285"/>
      <c r="Y309" s="285"/>
      <c r="Z309" s="285"/>
      <c r="AA309" s="285"/>
      <c r="AC309" s="285" t="str">
        <f>IFERROR(__xludf.DUMMYFUNCTION("""COMPUTED_VALUE"""),"2605A077")</f>
        <v>2605A077</v>
      </c>
      <c r="AD309" s="286">
        <f>IFERROR(__xludf.DUMMYFUNCTION("""COMPUTED_VALUE"""),46157.0)</f>
        <v>46157</v>
      </c>
      <c r="AE309" s="285" t="str">
        <f>IFERROR(__xludf.DUMMYFUNCTION("""COMPUTED_VALUE"""),"Fajar NR")</f>
        <v>Fajar NR</v>
      </c>
      <c r="AF309" s="285" t="str">
        <f>IFERROR(__xludf.DUMMYFUNCTION("""COMPUTED_VALUE"""),"085725692529")</f>
        <v>085725692529</v>
      </c>
      <c r="AG309" s="285" t="str">
        <f>IFERROR(__xludf.DUMMYFUNCTION("""COMPUTED_VALUE"""),"Gagal")</f>
        <v>Gagal</v>
      </c>
      <c r="AH309" s="285" t="str">
        <f>IFERROR(__xludf.DUMMYFUNCTION("""COMPUTED_VALUE"""),"1 day")</f>
        <v>1 day</v>
      </c>
      <c r="AI309" s="287"/>
      <c r="AJ309" s="285"/>
      <c r="AK309" s="289"/>
      <c r="AL309" s="285" t="str">
        <f>IFERROR(__xludf.DUMMYFUNCTION("""COMPUTED_VALUE"""),"ditunda")</f>
        <v>ditunda</v>
      </c>
    </row>
    <row r="310"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320"/>
      <c r="R310" s="285"/>
      <c r="S310" s="285"/>
      <c r="T310" s="285"/>
      <c r="U310" s="285"/>
      <c r="V310" s="285"/>
      <c r="W310" s="285"/>
      <c r="X310" s="285"/>
      <c r="Y310" s="285"/>
      <c r="Z310" s="285"/>
      <c r="AA310" s="285"/>
      <c r="AC310" s="285" t="str">
        <f>IFERROR(__xludf.DUMMYFUNCTION("""COMPUTED_VALUE"""),"2605A078")</f>
        <v>2605A078</v>
      </c>
      <c r="AD310" s="286">
        <f>IFERROR(__xludf.DUMMYFUNCTION("""COMPUTED_VALUE"""),46157.0)</f>
        <v>46157</v>
      </c>
      <c r="AE310" s="285" t="str">
        <f>IFERROR(__xludf.DUMMYFUNCTION("""COMPUTED_VALUE"""),"Tiara Malinda")</f>
        <v>Tiara Malinda</v>
      </c>
      <c r="AF310" s="285" t="str">
        <f>IFERROR(__xludf.DUMMYFUNCTION("""COMPUTED_VALUE"""),"085273813010")</f>
        <v>085273813010</v>
      </c>
      <c r="AG310" s="285" t="str">
        <f>IFERROR(__xludf.DUMMYFUNCTION("""COMPUTED_VALUE"""),"Gagal")</f>
        <v>Gagal</v>
      </c>
      <c r="AH310" s="285" t="str">
        <f>IFERROR(__xludf.DUMMYFUNCTION("""COMPUTED_VALUE"""),"3h2m honeymoon")</f>
        <v>3h2m honeymoon</v>
      </c>
      <c r="AI310" s="287"/>
      <c r="AJ310" s="285">
        <f>IFERROR(__xludf.DUMMYFUNCTION("""COMPUTED_VALUE"""),2.0)</f>
        <v>2</v>
      </c>
      <c r="AK310" s="289"/>
      <c r="AL310" s="285" t="str">
        <f>IFERROR(__xludf.DUMMYFUNCTION("""COMPUTED_VALUE"""),"lewat tanggal")</f>
        <v>lewat tanggal</v>
      </c>
    </row>
    <row r="311"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320"/>
      <c r="R311" s="285"/>
      <c r="S311" s="285"/>
      <c r="T311" s="285"/>
      <c r="U311" s="285"/>
      <c r="V311" s="285"/>
      <c r="W311" s="285"/>
      <c r="X311" s="285"/>
      <c r="Y311" s="285"/>
      <c r="Z311" s="285"/>
      <c r="AA311" s="285"/>
      <c r="AC311" s="285" t="str">
        <f>IFERROR(__xludf.DUMMYFUNCTION("""COMPUTED_VALUE"""),"2605A079")</f>
        <v>2605A079</v>
      </c>
      <c r="AD311" s="286">
        <f>IFERROR(__xludf.DUMMYFUNCTION("""COMPUTED_VALUE"""),46157.0)</f>
        <v>46157</v>
      </c>
      <c r="AE311" s="285" t="str">
        <f>IFERROR(__xludf.DUMMYFUNCTION("""COMPUTED_VALUE"""),"Tike Hervianty")</f>
        <v>Tike Hervianty</v>
      </c>
      <c r="AF311" s="285" t="str">
        <f>IFERROR(__xludf.DUMMYFUNCTION("""COMPUTED_VALUE"""),"082323800099")</f>
        <v>082323800099</v>
      </c>
      <c r="AG311" s="285" t="str">
        <f>IFERROR(__xludf.DUMMYFUNCTION("""COMPUTED_VALUE"""),"Gagal")</f>
        <v>Gagal</v>
      </c>
      <c r="AH311" s="285" t="str">
        <f>IFERROR(__xludf.DUMMYFUNCTION("""COMPUTED_VALUE"""),"ot mt")</f>
        <v>ot mt</v>
      </c>
      <c r="AI311" s="287">
        <f>IFERROR(__xludf.DUMMYFUNCTION("""COMPUTED_VALUE"""),46184.0)</f>
        <v>46184</v>
      </c>
      <c r="AJ311" s="285">
        <f>IFERROR(__xludf.DUMMYFUNCTION("""COMPUTED_VALUE"""),2.0)</f>
        <v>2</v>
      </c>
      <c r="AK311" s="289">
        <f>IFERROR(__xludf.DUMMYFUNCTION("""COMPUTED_VALUE"""),800000.0)</f>
        <v>800000</v>
      </c>
      <c r="AL311" s="285" t="str">
        <f>IFERROR(__xludf.DUMMYFUNCTION("""COMPUTED_VALUE"""),"lewat tanggal")</f>
        <v>lewat tanggal</v>
      </c>
    </row>
    <row r="312"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320"/>
      <c r="R312" s="285"/>
      <c r="S312" s="285"/>
      <c r="T312" s="285"/>
      <c r="U312" s="285"/>
      <c r="V312" s="285"/>
      <c r="W312" s="285"/>
      <c r="X312" s="285"/>
      <c r="Y312" s="285"/>
      <c r="Z312" s="285"/>
      <c r="AA312" s="285"/>
      <c r="AC312" s="285" t="str">
        <f>IFERROR(__xludf.DUMMYFUNCTION("""COMPUTED_VALUE"""),"2605A080")</f>
        <v>2605A080</v>
      </c>
      <c r="AD312" s="286">
        <f>IFERROR(__xludf.DUMMYFUNCTION("""COMPUTED_VALUE"""),46157.0)</f>
        <v>46157</v>
      </c>
      <c r="AE312" s="285" t="str">
        <f>IFERROR(__xludf.DUMMYFUNCTION("""COMPUTED_VALUE"""),"Chika")</f>
        <v>Chika</v>
      </c>
      <c r="AF312" s="285" t="str">
        <f>IFERROR(__xludf.DUMMYFUNCTION("""COMPUTED_VALUE"""),"081997896316")</f>
        <v>081997896316</v>
      </c>
      <c r="AG312" s="285" t="str">
        <f>IFERROR(__xludf.DUMMYFUNCTION("""COMPUTED_VALUE"""),"Gagal")</f>
        <v>Gagal</v>
      </c>
      <c r="AH312" s="285" t="str">
        <f>IFERROR(__xludf.DUMMYFUNCTION("""COMPUTED_VALUE"""),"2h1m z")</f>
        <v>2h1m z</v>
      </c>
      <c r="AI312" s="287">
        <f>IFERROR(__xludf.DUMMYFUNCTION("""COMPUTED_VALUE"""),46187.0)</f>
        <v>46187</v>
      </c>
      <c r="AJ312" s="285">
        <f>IFERROR(__xludf.DUMMYFUNCTION("""COMPUTED_VALUE"""),2.0)</f>
        <v>2</v>
      </c>
      <c r="AK312" s="289">
        <f>IFERROR(__xludf.DUMMYFUNCTION("""COMPUTED_VALUE"""),4516000.0)</f>
        <v>4516000</v>
      </c>
      <c r="AL312" s="285" t="str">
        <f>IFERROR(__xludf.DUMMYFUNCTION("""COMPUTED_VALUE"""),"lewat tanggal")</f>
        <v>lewat tanggal</v>
      </c>
    </row>
    <row r="313"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320"/>
      <c r="R313" s="285"/>
      <c r="S313" s="285"/>
      <c r="T313" s="285"/>
      <c r="U313" s="285"/>
      <c r="V313" s="285"/>
      <c r="W313" s="285"/>
      <c r="X313" s="285"/>
      <c r="Y313" s="285"/>
      <c r="Z313" s="285"/>
      <c r="AA313" s="285"/>
      <c r="AC313" s="285" t="str">
        <f>IFERROR(__xludf.DUMMYFUNCTION("""COMPUTED_VALUE"""),"2605A081")</f>
        <v>2605A081</v>
      </c>
      <c r="AD313" s="286">
        <f>IFERROR(__xludf.DUMMYFUNCTION("""COMPUTED_VALUE"""),46157.0)</f>
        <v>46157</v>
      </c>
      <c r="AE313" s="285" t="str">
        <f>IFERROR(__xludf.DUMMYFUNCTION("""COMPUTED_VALUE"""),"Intan Dewi Sartika")</f>
        <v>Intan Dewi Sartika</v>
      </c>
      <c r="AF313" s="285" t="str">
        <f>IFERROR(__xludf.DUMMYFUNCTION("""COMPUTED_VALUE"""),"08989681962")</f>
        <v>08989681962</v>
      </c>
      <c r="AG313" s="285" t="str">
        <f>IFERROR(__xludf.DUMMYFUNCTION("""COMPUTED_VALUE"""),"Gagal")</f>
        <v>Gagal</v>
      </c>
      <c r="AH313" s="285" t="str">
        <f>IFERROR(__xludf.DUMMYFUNCTION("""COMPUTED_VALUE"""),"open trip")</f>
        <v>open trip</v>
      </c>
      <c r="AI313" s="287"/>
      <c r="AJ313" s="285"/>
      <c r="AK313" s="289"/>
      <c r="AL313" s="285" t="str">
        <f>IFERROR(__xludf.DUMMYFUNCTION("""COMPUTED_VALUE"""),"lewat tanggal")</f>
        <v>lewat tanggal</v>
      </c>
    </row>
    <row r="314"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320"/>
      <c r="R314" s="285"/>
      <c r="S314" s="285"/>
      <c r="T314" s="285"/>
      <c r="U314" s="285"/>
      <c r="V314" s="285"/>
      <c r="W314" s="285"/>
      <c r="X314" s="285"/>
      <c r="Y314" s="285"/>
      <c r="Z314" s="285"/>
      <c r="AA314" s="285"/>
      <c r="AC314" s="285" t="str">
        <f>IFERROR(__xludf.DUMMYFUNCTION("""COMPUTED_VALUE"""),"2605A082")</f>
        <v>2605A082</v>
      </c>
      <c r="AD314" s="286">
        <f>IFERROR(__xludf.DUMMYFUNCTION("""COMPUTED_VALUE"""),46158.0)</f>
        <v>46158</v>
      </c>
      <c r="AE314" s="285" t="str">
        <f>IFERROR(__xludf.DUMMYFUNCTION("""COMPUTED_VALUE"""),"Muhammad Fakhri M")</f>
        <v>Muhammad Fakhri M</v>
      </c>
      <c r="AF314" s="285" t="str">
        <f>IFERROR(__xludf.DUMMYFUNCTION("""COMPUTED_VALUE"""),"085226131173")</f>
        <v>085226131173</v>
      </c>
      <c r="AG314" s="285" t="str">
        <f>IFERROR(__xludf.DUMMYFUNCTION("""COMPUTED_VALUE"""),"Gagal")</f>
        <v>Gagal</v>
      </c>
      <c r="AH314" s="285" t="str">
        <f>IFERROR(__xludf.DUMMYFUNCTION("""COMPUTED_VALUE"""),"open trip menjangan")</f>
        <v>open trip menjangan</v>
      </c>
      <c r="AI314" s="287">
        <f>IFERROR(__xludf.DUMMYFUNCTION("""COMPUTED_VALUE"""),46186.0)</f>
        <v>46186</v>
      </c>
      <c r="AJ314" s="285">
        <f>IFERROR(__xludf.DUMMYFUNCTION("""COMPUTED_VALUE"""),1.0)</f>
        <v>1</v>
      </c>
      <c r="AK314" s="289"/>
      <c r="AL314" s="285" t="str">
        <f>IFERROR(__xludf.DUMMYFUNCTION("""COMPUTED_VALUE"""),"lewat tanggal")</f>
        <v>lewat tanggal</v>
      </c>
    </row>
    <row r="315"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320"/>
      <c r="R315" s="285"/>
      <c r="S315" s="285"/>
      <c r="T315" s="285"/>
      <c r="U315" s="285"/>
      <c r="V315" s="285"/>
      <c r="W315" s="285"/>
      <c r="X315" s="285"/>
      <c r="Y315" s="285"/>
      <c r="Z315" s="285"/>
      <c r="AA315" s="285"/>
      <c r="AC315" s="285" t="str">
        <f>IFERROR(__xludf.DUMMYFUNCTION("""COMPUTED_VALUE"""),"2605A083")</f>
        <v>2605A083</v>
      </c>
      <c r="AD315" s="286">
        <f>IFERROR(__xludf.DUMMYFUNCTION("""COMPUTED_VALUE"""),46159.0)</f>
        <v>46159</v>
      </c>
      <c r="AE315" s="285" t="str">
        <f>IFERROR(__xludf.DUMMYFUNCTION("""COMPUTED_VALUE"""),"Farchan")</f>
        <v>Farchan</v>
      </c>
      <c r="AF315" s="285" t="str">
        <f>IFERROR(__xludf.DUMMYFUNCTION("""COMPUTED_VALUE"""),"089512860188")</f>
        <v>089512860188</v>
      </c>
      <c r="AG315" s="285" t="str">
        <f>IFERROR(__xludf.DUMMYFUNCTION("""COMPUTED_VALUE"""),"Gagal")</f>
        <v>Gagal</v>
      </c>
      <c r="AH315" s="285" t="str">
        <f>IFERROR(__xludf.DUMMYFUNCTION("""COMPUTED_VALUE"""),"ot mt")</f>
        <v>ot mt</v>
      </c>
      <c r="AI315" s="287"/>
      <c r="AJ315" s="285">
        <f>IFERROR(__xludf.DUMMYFUNCTION("""COMPUTED_VALUE"""),6.0)</f>
        <v>6</v>
      </c>
      <c r="AK315" s="289"/>
      <c r="AL315" s="285" t="str">
        <f>IFERROR(__xludf.DUMMYFUNCTION("""COMPUTED_VALUE"""),"lewat tanggal")</f>
        <v>lewat tanggal</v>
      </c>
    </row>
    <row r="316"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320"/>
      <c r="R316" s="285"/>
      <c r="S316" s="285"/>
      <c r="T316" s="285"/>
      <c r="U316" s="285"/>
      <c r="V316" s="285"/>
      <c r="W316" s="285"/>
      <c r="X316" s="285"/>
      <c r="Y316" s="285"/>
      <c r="Z316" s="285"/>
      <c r="AA316" s="285"/>
      <c r="AC316" s="285" t="str">
        <f>IFERROR(__xludf.DUMMYFUNCTION("""COMPUTED_VALUE"""),"2605A084")</f>
        <v>2605A084</v>
      </c>
      <c r="AD316" s="286">
        <f>IFERROR(__xludf.DUMMYFUNCTION("""COMPUTED_VALUE"""),46159.0)</f>
        <v>46159</v>
      </c>
      <c r="AE316" s="285" t="str">
        <f>IFERROR(__xludf.DUMMYFUNCTION("""COMPUTED_VALUE"""),"Ika PB")</f>
        <v>Ika PB</v>
      </c>
      <c r="AF316" s="285" t="str">
        <f>IFERROR(__xludf.DUMMYFUNCTION("""COMPUTED_VALUE"""),"08156515800")</f>
        <v>08156515800</v>
      </c>
      <c r="AG316" s="285" t="str">
        <f>IFERROR(__xludf.DUMMYFUNCTION("""COMPUTED_VALUE"""),"Gagal")</f>
        <v>Gagal</v>
      </c>
      <c r="AH316" s="285" t="str">
        <f>IFERROR(__xludf.DUMMYFUNCTION("""COMPUTED_VALUE"""),"3h2m")</f>
        <v>3h2m</v>
      </c>
      <c r="AI316" s="287"/>
      <c r="AJ316" s="285">
        <f>IFERROR(__xludf.DUMMYFUNCTION("""COMPUTED_VALUE"""),2.0)</f>
        <v>2</v>
      </c>
      <c r="AK316" s="289"/>
      <c r="AL316" s="285" t="str">
        <f>IFERROR(__xludf.DUMMYFUNCTION("""COMPUTED_VALUE"""),"waktu tidak pas")</f>
        <v>waktu tidak pas</v>
      </c>
    </row>
    <row r="317"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320"/>
      <c r="R317" s="285"/>
      <c r="S317" s="285"/>
      <c r="T317" s="285"/>
      <c r="U317" s="285"/>
      <c r="V317" s="285"/>
      <c r="W317" s="285"/>
      <c r="X317" s="285"/>
      <c r="Y317" s="285"/>
      <c r="Z317" s="285"/>
      <c r="AA317" s="285"/>
      <c r="AC317" s="285" t="str">
        <f>IFERROR(__xludf.DUMMYFUNCTION("""COMPUTED_VALUE"""),"2605A085")</f>
        <v>2605A085</v>
      </c>
      <c r="AD317" s="286">
        <f>IFERROR(__xludf.DUMMYFUNCTION("""COMPUTED_VALUE"""),46159.0)</f>
        <v>46159</v>
      </c>
      <c r="AE317" s="285" t="str">
        <f>IFERROR(__xludf.DUMMYFUNCTION("""COMPUTED_VALUE"""),"Rudi")</f>
        <v>Rudi</v>
      </c>
      <c r="AF317" s="285" t="str">
        <f>IFERROR(__xludf.DUMMYFUNCTION("""COMPUTED_VALUE"""),"0857742850411")</f>
        <v>0857742850411</v>
      </c>
      <c r="AG317" s="285" t="str">
        <f>IFERROR(__xludf.DUMMYFUNCTION("""COMPUTED_VALUE"""),"Gagal")</f>
        <v>Gagal</v>
      </c>
      <c r="AH317" s="285" t="str">
        <f>IFERROR(__xludf.DUMMYFUNCTION("""COMPUTED_VALUE"""),"3h2m opsi a")</f>
        <v>3h2m opsi a</v>
      </c>
      <c r="AI317" s="287"/>
      <c r="AJ317" s="285">
        <f>IFERROR(__xludf.DUMMYFUNCTION("""COMPUTED_VALUE"""),2.0)</f>
        <v>2</v>
      </c>
      <c r="AK317" s="289">
        <f>IFERROR(__xludf.DUMMYFUNCTION("""COMPUTED_VALUE"""),6128000.0)</f>
        <v>6128000</v>
      </c>
      <c r="AL317" s="285" t="str">
        <f>IFERROR(__xludf.DUMMYFUNCTION("""COMPUTED_VALUE"""),"gada balasan")</f>
        <v>gada balasan</v>
      </c>
    </row>
    <row r="318"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320"/>
      <c r="R318" s="285"/>
      <c r="S318" s="285"/>
      <c r="T318" s="285"/>
      <c r="U318" s="285"/>
      <c r="V318" s="285"/>
      <c r="W318" s="285"/>
      <c r="X318" s="285"/>
      <c r="Y318" s="285"/>
      <c r="Z318" s="285"/>
      <c r="AA318" s="285"/>
      <c r="AC318" s="285" t="str">
        <f>IFERROR(__xludf.DUMMYFUNCTION("""COMPUTED_VALUE"""),"2605A086")</f>
        <v>2605A086</v>
      </c>
      <c r="AD318" s="286">
        <f>IFERROR(__xludf.DUMMYFUNCTION("""COMPUTED_VALUE"""),46159.0)</f>
        <v>46159</v>
      </c>
      <c r="AE318" s="285" t="str">
        <f>IFERROR(__xludf.DUMMYFUNCTION("""COMPUTED_VALUE"""),"Purwanto")</f>
        <v>Purwanto</v>
      </c>
      <c r="AF318" s="285" t="str">
        <f>IFERROR(__xludf.DUMMYFUNCTION("""COMPUTED_VALUE"""),"0859106863261")</f>
        <v>0859106863261</v>
      </c>
      <c r="AG318" s="285" t="str">
        <f>IFERROR(__xludf.DUMMYFUNCTION("""COMPUTED_VALUE"""),"Gagal")</f>
        <v>Gagal</v>
      </c>
      <c r="AH318" s="285" t="str">
        <f>IFERROR(__xludf.DUMMYFUNCTION("""COMPUTED_VALUE"""),"pantai ketapang")</f>
        <v>pantai ketapang</v>
      </c>
      <c r="AI318" s="287">
        <f>IFERROR(__xludf.DUMMYFUNCTION("""COMPUTED_VALUE"""),46205.0)</f>
        <v>46205</v>
      </c>
      <c r="AJ318" s="285">
        <f>IFERROR(__xludf.DUMMYFUNCTION("""COMPUTED_VALUE"""),5.0)</f>
        <v>5</v>
      </c>
      <c r="AK318" s="289"/>
      <c r="AL318" s="285" t="str">
        <f>IFERROR(__xludf.DUMMYFUNCTION("""COMPUTED_VALUE"""),"gada balasan")</f>
        <v>gada balasan</v>
      </c>
    </row>
    <row r="319"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320"/>
      <c r="R319" s="285"/>
      <c r="S319" s="285"/>
      <c r="T319" s="285"/>
      <c r="U319" s="285"/>
      <c r="V319" s="285"/>
      <c r="W319" s="285"/>
      <c r="X319" s="285"/>
      <c r="Y319" s="285"/>
      <c r="Z319" s="285"/>
      <c r="AA319" s="285"/>
      <c r="AC319" s="285" t="str">
        <f>IFERROR(__xludf.DUMMYFUNCTION("""COMPUTED_VALUE"""),"2605A087")</f>
        <v>2605A087</v>
      </c>
      <c r="AD319" s="286">
        <f>IFERROR(__xludf.DUMMYFUNCTION("""COMPUTED_VALUE"""),46159.0)</f>
        <v>46159</v>
      </c>
      <c r="AE319" s="285" t="str">
        <f>IFERROR(__xludf.DUMMYFUNCTION("""COMPUTED_VALUE"""),"Meliyana")</f>
        <v>Meliyana</v>
      </c>
      <c r="AF319" s="285" t="str">
        <f>IFERROR(__xludf.DUMMYFUNCTION("""COMPUTED_VALUE"""),"083813795762")</f>
        <v>083813795762</v>
      </c>
      <c r="AG319" s="285" t="str">
        <f>IFERROR(__xludf.DUMMYFUNCTION("""COMPUTED_VALUE"""),"Gagal")</f>
        <v>Gagal</v>
      </c>
      <c r="AH319" s="285" t="str">
        <f>IFERROR(__xludf.DUMMYFUNCTION("""COMPUTED_VALUE"""),"ot 3h2m")</f>
        <v>ot 3h2m</v>
      </c>
      <c r="AI319" s="287"/>
      <c r="AJ319" s="285"/>
      <c r="AK319" s="289"/>
      <c r="AL319" s="285" t="str">
        <f>IFERROR(__xludf.DUMMYFUNCTION("""COMPUTED_VALUE"""),"gada balasan")</f>
        <v>gada balasan</v>
      </c>
    </row>
    <row r="320"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320"/>
      <c r="R320" s="285"/>
      <c r="S320" s="285"/>
      <c r="T320" s="285"/>
      <c r="U320" s="285"/>
      <c r="V320" s="285"/>
      <c r="W320" s="285"/>
      <c r="X320" s="285"/>
      <c r="Y320" s="285"/>
      <c r="Z320" s="285"/>
      <c r="AA320" s="285"/>
      <c r="AC320" s="285" t="str">
        <f>IFERROR(__xludf.DUMMYFUNCTION("""COMPUTED_VALUE"""),"2605A088")</f>
        <v>2605A088</v>
      </c>
      <c r="AD320" s="286">
        <f>IFERROR(__xludf.DUMMYFUNCTION("""COMPUTED_VALUE"""),46160.0)</f>
        <v>46160</v>
      </c>
      <c r="AE320" s="285" t="str">
        <f>IFERROR(__xludf.DUMMYFUNCTION("""COMPUTED_VALUE"""),"Linson")</f>
        <v>Linson</v>
      </c>
      <c r="AF320" s="285" t="str">
        <f>IFERROR(__xludf.DUMMYFUNCTION("""COMPUTED_VALUE"""),"08114107337")</f>
        <v>08114107337</v>
      </c>
      <c r="AG320" s="285" t="str">
        <f>IFERROR(__xludf.DUMMYFUNCTION("""COMPUTED_VALUE"""),"Gagal")</f>
        <v>Gagal</v>
      </c>
      <c r="AH320" s="285" t="str">
        <f>IFERROR(__xludf.DUMMYFUNCTION("""COMPUTED_VALUE"""),"ot selatan")</f>
        <v>ot selatan</v>
      </c>
      <c r="AI320" s="287">
        <f>IFERROR(__xludf.DUMMYFUNCTION("""COMPUTED_VALUE"""),46169.0)</f>
        <v>46169</v>
      </c>
      <c r="AJ320" s="285">
        <f>IFERROR(__xludf.DUMMYFUNCTION("""COMPUTED_VALUE"""),2.0)</f>
        <v>2</v>
      </c>
      <c r="AK320" s="289">
        <f>IFERROR(__xludf.DUMMYFUNCTION("""COMPUTED_VALUE"""),2098000.0)</f>
        <v>2098000</v>
      </c>
      <c r="AL320" s="285" t="str">
        <f>IFERROR(__xludf.DUMMYFUNCTION("""COMPUTED_VALUE"""),"gada jawaban")</f>
        <v>gada jawaban</v>
      </c>
    </row>
    <row r="321"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320"/>
      <c r="R321" s="285"/>
      <c r="S321" s="285"/>
      <c r="T321" s="285"/>
      <c r="U321" s="285"/>
      <c r="V321" s="285"/>
      <c r="W321" s="285"/>
      <c r="X321" s="285"/>
      <c r="Y321" s="285"/>
      <c r="Z321" s="285"/>
      <c r="AA321" s="285"/>
      <c r="AC321" s="285" t="str">
        <f>IFERROR(__xludf.DUMMYFUNCTION("""COMPUTED_VALUE"""),"2605A089")</f>
        <v>2605A089</v>
      </c>
      <c r="AD321" s="286">
        <f>IFERROR(__xludf.DUMMYFUNCTION("""COMPUTED_VALUE"""),46159.0)</f>
        <v>46159</v>
      </c>
      <c r="AE321" s="285" t="str">
        <f>IFERROR(__xludf.DUMMYFUNCTION("""COMPUTED_VALUE"""),"Lia (English Course 21 Laily)")</f>
        <v>Lia (English Course 21 Laily)</v>
      </c>
      <c r="AF321" s="285" t="str">
        <f>IFERROR(__xludf.DUMMYFUNCTION("""COMPUTED_VALUE"""),"081382380538")</f>
        <v>081382380538</v>
      </c>
      <c r="AG321" s="285" t="str">
        <f>IFERROR(__xludf.DUMMYFUNCTION("""COMPUTED_VALUE"""),"Gagal")</f>
        <v>Gagal</v>
      </c>
      <c r="AH321" s="285" t="str">
        <f>IFERROR(__xludf.DUMMYFUNCTION("""COMPUTED_VALUE"""),"3h2m a")</f>
        <v>3h2m a</v>
      </c>
      <c r="AI321" s="287"/>
      <c r="AJ321" s="285">
        <f>IFERROR(__xludf.DUMMYFUNCTION("""COMPUTED_VALUE"""),2.0)</f>
        <v>2</v>
      </c>
      <c r="AK321" s="289">
        <f>IFERROR(__xludf.DUMMYFUNCTION("""COMPUTED_VALUE"""),7194000.0)</f>
        <v>7194000</v>
      </c>
      <c r="AL321" s="285" t="str">
        <f>IFERROR(__xludf.DUMMYFUNCTION("""COMPUTED_VALUE"""),"gada balasan")</f>
        <v>gada balasan</v>
      </c>
    </row>
    <row r="322"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320"/>
      <c r="R322" s="285"/>
      <c r="S322" s="285"/>
      <c r="T322" s="285"/>
      <c r="U322" s="285"/>
      <c r="V322" s="285"/>
      <c r="W322" s="285"/>
      <c r="X322" s="285"/>
      <c r="Y322" s="285"/>
      <c r="Z322" s="285"/>
      <c r="AA322" s="285"/>
      <c r="AC322" s="285" t="str">
        <f>IFERROR(__xludf.DUMMYFUNCTION("""COMPUTED_VALUE"""),"2605A093")</f>
        <v>2605A093</v>
      </c>
      <c r="AD322" s="286">
        <f>IFERROR(__xludf.DUMMYFUNCTION("""COMPUTED_VALUE"""),46161.0)</f>
        <v>46161</v>
      </c>
      <c r="AE322" s="285" t="str">
        <f>IFERROR(__xludf.DUMMYFUNCTION("""COMPUTED_VALUE"""),"Vita")</f>
        <v>Vita</v>
      </c>
      <c r="AF322" s="285" t="str">
        <f>IFERROR(__xludf.DUMMYFUNCTION("""COMPUTED_VALUE"""),"081532791437")</f>
        <v>081532791437</v>
      </c>
      <c r="AG322" s="285" t="str">
        <f>IFERROR(__xludf.DUMMYFUNCTION("""COMPUTED_VALUE"""),"Gagal")</f>
        <v>Gagal</v>
      </c>
      <c r="AH322" s="285" t="str">
        <f>IFERROR(__xludf.DUMMYFUNCTION("""COMPUTED_VALUE"""),"pv mt")</f>
        <v>pv mt</v>
      </c>
      <c r="AI322" s="287">
        <f>IFERROR(__xludf.DUMMYFUNCTION("""COMPUTED_VALUE"""),46167.0)</f>
        <v>46167</v>
      </c>
      <c r="AJ322" s="285">
        <f>IFERROR(__xludf.DUMMYFUNCTION("""COMPUTED_VALUE"""),7.0)</f>
        <v>7</v>
      </c>
      <c r="AK322" s="289">
        <f>IFERROR(__xludf.DUMMYFUNCTION("""COMPUTED_VALUE"""),2590000.0)</f>
        <v>2590000</v>
      </c>
      <c r="AL322" s="285" t="str">
        <f>IFERROR(__xludf.DUMMYFUNCTION("""COMPUTED_VALUE"""),"lewat tanggal")</f>
        <v>lewat tanggal</v>
      </c>
    </row>
    <row r="323"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320"/>
      <c r="R323" s="285"/>
      <c r="S323" s="285"/>
      <c r="T323" s="285"/>
      <c r="U323" s="285"/>
      <c r="V323" s="285"/>
      <c r="W323" s="285"/>
      <c r="X323" s="285"/>
      <c r="Y323" s="285"/>
      <c r="Z323" s="285"/>
      <c r="AA323" s="285"/>
      <c r="AC323" s="285" t="str">
        <f>IFERROR(__xludf.DUMMYFUNCTION("""COMPUTED_VALUE"""),"2605A094")</f>
        <v>2605A094</v>
      </c>
      <c r="AD323" s="286">
        <f>IFERROR(__xludf.DUMMYFUNCTION("""COMPUTED_VALUE"""),46161.0)</f>
        <v>46161</v>
      </c>
      <c r="AE323" s="285" t="str">
        <f>IFERROR(__xludf.DUMMYFUNCTION("""COMPUTED_VALUE"""),"Munir A 88")</f>
        <v>Munir A 88</v>
      </c>
      <c r="AF323" s="285" t="str">
        <f>IFERROR(__xludf.DUMMYFUNCTION("""COMPUTED_VALUE"""),"081230330998")</f>
        <v>081230330998</v>
      </c>
      <c r="AG323" s="285" t="str">
        <f>IFERROR(__xludf.DUMMYFUNCTION("""COMPUTED_VALUE"""),"Gagal")</f>
        <v>Gagal</v>
      </c>
      <c r="AH323" s="285" t="str">
        <f>IFERROR(__xludf.DUMMYFUNCTION("""COMPUTED_VALUE"""),"1d green island")</f>
        <v>1d green island</v>
      </c>
      <c r="AI323" s="287"/>
      <c r="AJ323" s="285">
        <f>IFERROR(__xludf.DUMMYFUNCTION("""COMPUTED_VALUE"""),6.0)</f>
        <v>6</v>
      </c>
      <c r="AK323" s="289">
        <f>IFERROR(__xludf.DUMMYFUNCTION("""COMPUTED_VALUE"""),4170000.0)</f>
        <v>4170000</v>
      </c>
      <c r="AL323" s="285" t="str">
        <f>IFERROR(__xludf.DUMMYFUNCTION("""COMPUTED_VALUE"""),"gada balasan")</f>
        <v>gada balasan</v>
      </c>
    </row>
    <row r="324"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320"/>
      <c r="R324" s="285"/>
      <c r="S324" s="285"/>
      <c r="T324" s="285"/>
      <c r="U324" s="285"/>
      <c r="V324" s="285"/>
      <c r="W324" s="285"/>
      <c r="X324" s="285"/>
      <c r="Y324" s="285"/>
      <c r="Z324" s="285"/>
      <c r="AA324" s="285"/>
      <c r="AC324" s="285" t="str">
        <f>IFERROR(__xludf.DUMMYFUNCTION("""COMPUTED_VALUE"""),"2605A096")</f>
        <v>2605A096</v>
      </c>
      <c r="AD324" s="286">
        <f>IFERROR(__xludf.DUMMYFUNCTION("""COMPUTED_VALUE"""),46161.0)</f>
        <v>46161</v>
      </c>
      <c r="AE324" s="285" t="str">
        <f>IFERROR(__xludf.DUMMYFUNCTION("""COMPUTED_VALUE"""),"Weta Wety")</f>
        <v>Weta Wety</v>
      </c>
      <c r="AF324" s="285" t="str">
        <f>IFERROR(__xludf.DUMMYFUNCTION("""COMPUTED_VALUE"""),"0881010971344")</f>
        <v>0881010971344</v>
      </c>
      <c r="AG324" s="285" t="str">
        <f>IFERROR(__xludf.DUMMYFUNCTION("""COMPUTED_VALUE"""),"Gagal")</f>
        <v>Gagal</v>
      </c>
      <c r="AH324" s="285" t="str">
        <f>IFERROR(__xludf.DUMMYFUNCTION("""COMPUTED_VALUE"""),"ot mt")</f>
        <v>ot mt</v>
      </c>
      <c r="AI324" s="287">
        <f>IFERROR(__xludf.DUMMYFUNCTION("""COMPUTED_VALUE"""),46172.0)</f>
        <v>46172</v>
      </c>
      <c r="AJ324" s="285">
        <f>IFERROR(__xludf.DUMMYFUNCTION("""COMPUTED_VALUE"""),3.0)</f>
        <v>3</v>
      </c>
      <c r="AK324" s="289">
        <f>IFERROR(__xludf.DUMMYFUNCTION("""COMPUTED_VALUE"""),825000.0)</f>
        <v>825000</v>
      </c>
      <c r="AL324" s="285" t="str">
        <f>IFERROR(__xludf.DUMMYFUNCTION("""COMPUTED_VALUE"""),"fu 22 mei")</f>
        <v>fu 22 mei</v>
      </c>
    </row>
    <row r="325"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320"/>
      <c r="R325" s="285"/>
      <c r="S325" s="285"/>
      <c r="T325" s="285"/>
      <c r="U325" s="285"/>
      <c r="V325" s="285"/>
      <c r="W325" s="285"/>
      <c r="X325" s="285"/>
      <c r="Y325" s="285"/>
      <c r="Z325" s="285"/>
      <c r="AA325" s="285"/>
      <c r="AC325" s="285" t="str">
        <f>IFERROR(__xludf.DUMMYFUNCTION("""COMPUTED_VALUE"""),"2605A097")</f>
        <v>2605A097</v>
      </c>
      <c r="AD325" s="286">
        <f>IFERROR(__xludf.DUMMYFUNCTION("""COMPUTED_VALUE"""),46161.0)</f>
        <v>46161</v>
      </c>
      <c r="AE325" s="285" t="str">
        <f>IFERROR(__xludf.DUMMYFUNCTION("""COMPUTED_VALUE"""),"Fatih")</f>
        <v>Fatih</v>
      </c>
      <c r="AF325" s="285" t="str">
        <f>IFERROR(__xludf.DUMMYFUNCTION("""COMPUTED_VALUE"""),"085122906880")</f>
        <v>085122906880</v>
      </c>
      <c r="AG325" s="285" t="str">
        <f>IFERROR(__xludf.DUMMYFUNCTION("""COMPUTED_VALUE"""),"Gagal")</f>
        <v>Gagal</v>
      </c>
      <c r="AH325" s="285" t="str">
        <f>IFERROR(__xludf.DUMMYFUNCTION("""COMPUTED_VALUE"""),"priv mt")</f>
        <v>priv mt</v>
      </c>
      <c r="AI325" s="287">
        <f>IFERROR(__xludf.DUMMYFUNCTION("""COMPUTED_VALUE"""),46194.0)</f>
        <v>46194</v>
      </c>
      <c r="AJ325" s="285">
        <f>IFERROR(__xludf.DUMMYFUNCTION("""COMPUTED_VALUE"""),2.0)</f>
        <v>2</v>
      </c>
      <c r="AK325" s="289">
        <f>IFERROR(__xludf.DUMMYFUNCTION("""COMPUTED_VALUE"""),1700000.0)</f>
        <v>1700000</v>
      </c>
      <c r="AL325" s="285" t="str">
        <f>IFERROR(__xludf.DUMMYFUNCTION("""COMPUTED_VALUE"""),"gada balasan")</f>
        <v>gada balasan</v>
      </c>
    </row>
    <row r="326"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320"/>
      <c r="R326" s="285"/>
      <c r="S326" s="285"/>
      <c r="T326" s="285"/>
      <c r="U326" s="285"/>
      <c r="V326" s="285"/>
      <c r="W326" s="285"/>
      <c r="X326" s="285"/>
      <c r="Y326" s="285"/>
      <c r="Z326" s="285"/>
      <c r="AA326" s="285"/>
      <c r="AC326" s="285" t="str">
        <f>IFERROR(__xludf.DUMMYFUNCTION("""COMPUTED_VALUE"""),"2605A098")</f>
        <v>2605A098</v>
      </c>
      <c r="AD326" s="286">
        <f>IFERROR(__xludf.DUMMYFUNCTION("""COMPUTED_VALUE"""),46157.0)</f>
        <v>46157</v>
      </c>
      <c r="AE326" s="285" t="str">
        <f>IFERROR(__xludf.DUMMYFUNCTION("""COMPUTED_VALUE"""),"Sheilla Ravi")</f>
        <v>Sheilla Ravi</v>
      </c>
      <c r="AF326" s="285" t="str">
        <f>IFERROR(__xludf.DUMMYFUNCTION("""COMPUTED_VALUE"""),"082243523520")</f>
        <v>082243523520</v>
      </c>
      <c r="AG326" s="285" t="str">
        <f>IFERROR(__xludf.DUMMYFUNCTION("""COMPUTED_VALUE"""),"Gagal")</f>
        <v>Gagal</v>
      </c>
      <c r="AH326" s="285" t="str">
        <f>IFERROR(__xludf.DUMMYFUNCTION("""COMPUTED_VALUE"""),"3h2m a")</f>
        <v>3h2m a</v>
      </c>
      <c r="AI326" s="287"/>
      <c r="AJ326" s="285">
        <f>IFERROR(__xludf.DUMMYFUNCTION("""COMPUTED_VALUE"""),2.0)</f>
        <v>2</v>
      </c>
      <c r="AK326" s="289">
        <f>IFERROR(__xludf.DUMMYFUNCTION("""COMPUTED_VALUE"""),6128000.0)</f>
        <v>6128000</v>
      </c>
      <c r="AL326" s="285" t="str">
        <f>IFERROR(__xludf.DUMMYFUNCTION("""COMPUTED_VALUE"""),"ganti destinasi bukan bwi")</f>
        <v>ganti destinasi bukan bwi</v>
      </c>
    </row>
    <row r="327"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320"/>
      <c r="R327" s="285"/>
      <c r="S327" s="285"/>
      <c r="T327" s="285"/>
      <c r="U327" s="285"/>
      <c r="V327" s="285"/>
      <c r="W327" s="285"/>
      <c r="X327" s="285"/>
      <c r="Y327" s="285"/>
      <c r="Z327" s="285"/>
      <c r="AA327" s="285"/>
      <c r="AC327" s="285" t="str">
        <f>IFERROR(__xludf.DUMMYFUNCTION("""COMPUTED_VALUE"""),"2605A101")</f>
        <v>2605A101</v>
      </c>
      <c r="AD327" s="286">
        <f>IFERROR(__xludf.DUMMYFUNCTION("""COMPUTED_VALUE"""),46162.0)</f>
        <v>46162</v>
      </c>
      <c r="AE327" s="285" t="str">
        <f>IFERROR(__xludf.DUMMYFUNCTION("""COMPUTED_VALUE"""),"Farida Umaiyanti")</f>
        <v>Farida Umaiyanti</v>
      </c>
      <c r="AF327" s="285" t="str">
        <f>IFERROR(__xludf.DUMMYFUNCTION("""COMPUTED_VALUE"""),"0813331962444")</f>
        <v>0813331962444</v>
      </c>
      <c r="AG327" s="285" t="str">
        <f>IFERROR(__xludf.DUMMYFUNCTION("""COMPUTED_VALUE"""),"Gagal")</f>
        <v>Gagal</v>
      </c>
      <c r="AH327" s="285" t="str">
        <f>IFERROR(__xludf.DUMMYFUNCTION("""COMPUTED_VALUE"""),"2h1m")</f>
        <v>2h1m</v>
      </c>
      <c r="AI327" s="287">
        <f>IFERROR(__xludf.DUMMYFUNCTION("""COMPUTED_VALUE"""),46172.0)</f>
        <v>46172</v>
      </c>
      <c r="AJ327" s="285">
        <f>IFERROR(__xludf.DUMMYFUNCTION("""COMPUTED_VALUE"""),3.0)</f>
        <v>3</v>
      </c>
      <c r="AK327" s="289">
        <f>IFERROR(__xludf.DUMMYFUNCTION("""COMPUTED_VALUE"""),4740000.0)</f>
        <v>4740000</v>
      </c>
      <c r="AL327" s="285"/>
    </row>
    <row r="328"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320"/>
      <c r="R328" s="285"/>
      <c r="S328" s="285"/>
      <c r="T328" s="285"/>
      <c r="U328" s="285"/>
      <c r="V328" s="285"/>
      <c r="W328" s="285"/>
      <c r="X328" s="285"/>
      <c r="Y328" s="285"/>
      <c r="Z328" s="285"/>
      <c r="AA328" s="285"/>
      <c r="AC328" s="285" t="str">
        <f>IFERROR(__xludf.DUMMYFUNCTION("""COMPUTED_VALUE"""),"2605A103")</f>
        <v>2605A103</v>
      </c>
      <c r="AD328" s="286">
        <f>IFERROR(__xludf.DUMMYFUNCTION("""COMPUTED_VALUE"""),46162.0)</f>
        <v>46162</v>
      </c>
      <c r="AE328" s="285" t="str">
        <f>IFERROR(__xludf.DUMMYFUNCTION("""COMPUTED_VALUE"""),"Su")</f>
        <v>Su</v>
      </c>
      <c r="AF328" s="285" t="str">
        <f>IFERROR(__xludf.DUMMYFUNCTION("""COMPUTED_VALUE"""),"8613915050808")</f>
        <v>8613915050808</v>
      </c>
      <c r="AG328" s="285" t="str">
        <f>IFERROR(__xludf.DUMMYFUNCTION("""COMPUTED_VALUE"""),"Gagal")</f>
        <v>Gagal</v>
      </c>
      <c r="AH328" s="285" t="str">
        <f>IFERROR(__xludf.DUMMYFUNCTION("""COMPUTED_VALUE"""),"ot mt")</f>
        <v>ot mt</v>
      </c>
      <c r="AI328" s="287">
        <f>IFERROR(__xludf.DUMMYFUNCTION("""COMPUTED_VALUE"""),46164.0)</f>
        <v>46164</v>
      </c>
      <c r="AJ328" s="285">
        <f>IFERROR(__xludf.DUMMYFUNCTION("""COMPUTED_VALUE"""),3.0)</f>
        <v>3</v>
      </c>
      <c r="AK328" s="289">
        <f>IFERROR(__xludf.DUMMYFUNCTION("""COMPUTED_VALUE"""),1800000.0)</f>
        <v>1800000</v>
      </c>
      <c r="AL328" s="285" t="str">
        <f>IFERROR(__xludf.DUMMYFUNCTION("""COMPUTED_VALUE"""),"fu 21 mei")</f>
        <v>fu 21 mei</v>
      </c>
    </row>
    <row r="329"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320"/>
      <c r="R329" s="285"/>
      <c r="S329" s="285"/>
      <c r="T329" s="285"/>
      <c r="U329" s="285"/>
      <c r="V329" s="285"/>
      <c r="W329" s="285"/>
      <c r="X329" s="285"/>
      <c r="Y329" s="285"/>
      <c r="Z329" s="285"/>
      <c r="AA329" s="285"/>
      <c r="AC329" s="285" t="str">
        <f>IFERROR(__xludf.DUMMYFUNCTION("""COMPUTED_VALUE"""),"2605A111")</f>
        <v>2605A111</v>
      </c>
      <c r="AD329" s="286">
        <f>IFERROR(__xludf.DUMMYFUNCTION("""COMPUTED_VALUE"""),46160.0)</f>
        <v>46160</v>
      </c>
      <c r="AE329" s="285" t="str">
        <f>IFERROR(__xludf.DUMMYFUNCTION("""COMPUTED_VALUE"""),"Achmad Elyas")</f>
        <v>Achmad Elyas</v>
      </c>
      <c r="AF329" s="285" t="str">
        <f>IFERROR(__xludf.DUMMYFUNCTION("""COMPUTED_VALUE"""),"081235277773")</f>
        <v>081235277773</v>
      </c>
      <c r="AG329" s="285" t="str">
        <f>IFERROR(__xludf.DUMMYFUNCTION("""COMPUTED_VALUE"""),"Gagal")</f>
        <v>Gagal</v>
      </c>
      <c r="AH329" s="285" t="str">
        <f>IFERROR(__xludf.DUMMYFUNCTION("""COMPUTED_VALUE"""),"tn baluran")</f>
        <v>tn baluran</v>
      </c>
      <c r="AI329" s="287"/>
      <c r="AJ329" s="285"/>
      <c r="AK329" s="289"/>
      <c r="AL329" s="285" t="str">
        <f>IFERROR(__xludf.DUMMYFUNCTION("""COMPUTED_VALUE"""),"gada jawaban, hanya menyapa")</f>
        <v>gada jawaban, hanya menyapa</v>
      </c>
    </row>
    <row r="330"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320"/>
      <c r="R330" s="285"/>
      <c r="S330" s="285"/>
      <c r="T330" s="285"/>
      <c r="U330" s="285"/>
      <c r="V330" s="285"/>
      <c r="W330" s="285"/>
      <c r="X330" s="285"/>
      <c r="Y330" s="285"/>
      <c r="Z330" s="285"/>
      <c r="AA330" s="285"/>
      <c r="AC330" s="285" t="str">
        <f>IFERROR(__xludf.DUMMYFUNCTION("""COMPUTED_VALUE"""),"2605A112")</f>
        <v>2605A112</v>
      </c>
      <c r="AD330" s="286">
        <f>IFERROR(__xludf.DUMMYFUNCTION("""COMPUTED_VALUE"""),46156.0)</f>
        <v>46156</v>
      </c>
      <c r="AE330" s="285" t="str">
        <f>IFERROR(__xludf.DUMMYFUNCTION("""COMPUTED_VALUE"""),"Farel")</f>
        <v>Farel</v>
      </c>
      <c r="AF330" s="285" t="str">
        <f>IFERROR(__xludf.DUMMYFUNCTION("""COMPUTED_VALUE"""),"082182847878")</f>
        <v>082182847878</v>
      </c>
      <c r="AG330" s="285" t="str">
        <f>IFERROR(__xludf.DUMMYFUNCTION("""COMPUTED_VALUE"""),"Gagal")</f>
        <v>Gagal</v>
      </c>
      <c r="AH330" s="285" t="str">
        <f>IFERROR(__xludf.DUMMYFUNCTION("""COMPUTED_VALUE"""),"3h2m")</f>
        <v>3h2m</v>
      </c>
      <c r="AI330" s="287"/>
      <c r="AJ330" s="285">
        <f>IFERROR(__xludf.DUMMYFUNCTION("""COMPUTED_VALUE"""),4.0)</f>
        <v>4</v>
      </c>
      <c r="AK330" s="289">
        <f>IFERROR(__xludf.DUMMYFUNCTION("""COMPUTED_VALUE"""),6808000.0)</f>
        <v>6808000</v>
      </c>
      <c r="AL330" s="285" t="str">
        <f>IFERROR(__xludf.DUMMYFUNCTION("""COMPUTED_VALUE"""),"blm bisa melanjutkan")</f>
        <v>blm bisa melanjutkan</v>
      </c>
    </row>
    <row r="331"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320"/>
      <c r="R331" s="285"/>
      <c r="S331" s="285"/>
      <c r="T331" s="285"/>
      <c r="U331" s="285"/>
      <c r="V331" s="285"/>
      <c r="W331" s="285"/>
      <c r="X331" s="285"/>
      <c r="Y331" s="285"/>
      <c r="Z331" s="285"/>
      <c r="AA331" s="285"/>
      <c r="AC331" s="285" t="str">
        <f>IFERROR(__xludf.DUMMYFUNCTION("""COMPUTED_VALUE"""),"2605A113")</f>
        <v>2605A113</v>
      </c>
      <c r="AD331" s="286">
        <f>IFERROR(__xludf.DUMMYFUNCTION("""COMPUTED_VALUE"""),46156.0)</f>
        <v>46156</v>
      </c>
      <c r="AE331" s="285" t="str">
        <f>IFERROR(__xludf.DUMMYFUNCTION("""COMPUTED_VALUE"""),"Didyn")</f>
        <v>Didyn</v>
      </c>
      <c r="AF331" s="285" t="str">
        <f>IFERROR(__xludf.DUMMYFUNCTION("""COMPUTED_VALUE"""),"087779670032")</f>
        <v>087779670032</v>
      </c>
      <c r="AG331" s="285" t="str">
        <f>IFERROR(__xludf.DUMMYFUNCTION("""COMPUTED_VALUE"""),"Gagal")</f>
        <v>Gagal</v>
      </c>
      <c r="AH331" s="285" t="str">
        <f>IFERROR(__xludf.DUMMYFUNCTION("""COMPUTED_VALUE"""),"3h2m")</f>
        <v>3h2m</v>
      </c>
      <c r="AI331" s="287"/>
      <c r="AJ331" s="285">
        <f>IFERROR(__xludf.DUMMYFUNCTION("""COMPUTED_VALUE"""),15.0)</f>
        <v>15</v>
      </c>
      <c r="AK331" s="289"/>
      <c r="AL331" s="285"/>
    </row>
    <row r="332"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320"/>
      <c r="R332" s="285"/>
      <c r="S332" s="285"/>
      <c r="T332" s="285"/>
      <c r="U332" s="285"/>
      <c r="V332" s="285"/>
      <c r="W332" s="285"/>
      <c r="X332" s="285"/>
      <c r="Y332" s="285"/>
      <c r="Z332" s="285"/>
      <c r="AA332" s="285"/>
      <c r="AC332" s="285" t="str">
        <f>IFERROR(__xludf.DUMMYFUNCTION("""COMPUTED_VALUE"""),"2605A114")</f>
        <v>2605A114</v>
      </c>
      <c r="AD332" s="286">
        <f>IFERROR(__xludf.DUMMYFUNCTION("""COMPUTED_VALUE"""),46157.0)</f>
        <v>46157</v>
      </c>
      <c r="AE332" s="285" t="str">
        <f>IFERROR(__xludf.DUMMYFUNCTION("""COMPUTED_VALUE"""),"Wulan")</f>
        <v>Wulan</v>
      </c>
      <c r="AF332" s="285" t="str">
        <f>IFERROR(__xludf.DUMMYFUNCTION("""COMPUTED_VALUE"""),"08129541224")</f>
        <v>08129541224</v>
      </c>
      <c r="AG332" s="285" t="str">
        <f>IFERROR(__xludf.DUMMYFUNCTION("""COMPUTED_VALUE"""),"Gagal")</f>
        <v>Gagal</v>
      </c>
      <c r="AH332" s="285" t="str">
        <f>IFERROR(__xludf.DUMMYFUNCTION("""COMPUTED_VALUE"""),"ot mt")</f>
        <v>ot mt</v>
      </c>
      <c r="AI332" s="287">
        <f>IFERROR(__xludf.DUMMYFUNCTION("""COMPUTED_VALUE"""),46158.0)</f>
        <v>46158</v>
      </c>
      <c r="AJ332" s="285"/>
      <c r="AK332" s="289"/>
      <c r="AL332" s="285" t="str">
        <f>IFERROR(__xludf.DUMMYFUNCTION("""COMPUTED_VALUE"""),"fullbooked")</f>
        <v>fullbooked</v>
      </c>
    </row>
    <row r="333"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320"/>
      <c r="R333" s="285"/>
      <c r="S333" s="285"/>
      <c r="T333" s="285"/>
      <c r="U333" s="285"/>
      <c r="V333" s="285"/>
      <c r="W333" s="285"/>
      <c r="X333" s="285"/>
      <c r="Y333" s="285"/>
      <c r="Z333" s="285"/>
      <c r="AA333" s="285"/>
      <c r="AC333" s="285" t="str">
        <f>IFERROR(__xludf.DUMMYFUNCTION("""COMPUTED_VALUE"""),"2605A115")</f>
        <v>2605A115</v>
      </c>
      <c r="AD333" s="286">
        <f>IFERROR(__xludf.DUMMYFUNCTION("""COMPUTED_VALUE"""),46157.0)</f>
        <v>46157</v>
      </c>
      <c r="AE333" s="285" t="str">
        <f>IFERROR(__xludf.DUMMYFUNCTION("""COMPUTED_VALUE"""),"Nan")</f>
        <v>Nan</v>
      </c>
      <c r="AF333" s="285" t="str">
        <f>IFERROR(__xludf.DUMMYFUNCTION("""COMPUTED_VALUE"""),"083821675707")</f>
        <v>083821675707</v>
      </c>
      <c r="AG333" s="285" t="str">
        <f>IFERROR(__xludf.DUMMYFUNCTION("""COMPUTED_VALUE"""),"Gagal")</f>
        <v>Gagal</v>
      </c>
      <c r="AH333" s="285" t="str">
        <f>IFERROR(__xludf.DUMMYFUNCTION("""COMPUTED_VALUE"""),"ot mt")</f>
        <v>ot mt</v>
      </c>
      <c r="AI333" s="287"/>
      <c r="AJ333" s="285"/>
      <c r="AK333" s="289"/>
      <c r="AL333" s="285" t="str">
        <f>IFERROR(__xludf.DUMMYFUNCTION("""COMPUTED_VALUE"""),"hanya menyapa. tidak ada lanjutan")</f>
        <v>hanya menyapa. tidak ada lanjutan</v>
      </c>
    </row>
    <row r="334"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320"/>
      <c r="R334" s="285"/>
      <c r="S334" s="285"/>
      <c r="T334" s="285"/>
      <c r="U334" s="285"/>
      <c r="V334" s="285"/>
      <c r="W334" s="285"/>
      <c r="X334" s="285"/>
      <c r="Y334" s="285"/>
      <c r="Z334" s="285"/>
      <c r="AA334" s="285"/>
      <c r="AC334" s="285" t="str">
        <f>IFERROR(__xludf.DUMMYFUNCTION("""COMPUTED_VALUE"""),"2605A116")</f>
        <v>2605A116</v>
      </c>
      <c r="AD334" s="286">
        <f>IFERROR(__xludf.DUMMYFUNCTION("""COMPUTED_VALUE"""),46157.0)</f>
        <v>46157</v>
      </c>
      <c r="AE334" s="285" t="str">
        <f>IFERROR(__xludf.DUMMYFUNCTION("""COMPUTED_VALUE"""),"Qiboo")</f>
        <v>Qiboo</v>
      </c>
      <c r="AF334" s="285" t="str">
        <f>IFERROR(__xludf.DUMMYFUNCTION("""COMPUTED_VALUE"""),"081391158925")</f>
        <v>081391158925</v>
      </c>
      <c r="AG334" s="285" t="str">
        <f>IFERROR(__xludf.DUMMYFUNCTION("""COMPUTED_VALUE"""),"Gagal")</f>
        <v>Gagal</v>
      </c>
      <c r="AH334" s="285"/>
      <c r="AI334" s="287"/>
      <c r="AJ334" s="285"/>
      <c r="AK334" s="289"/>
      <c r="AL334" s="285" t="str">
        <f>IFERROR(__xludf.DUMMYFUNCTION("""COMPUTED_VALUE"""),"hanya menyapa. tidak ada lanjutan")</f>
        <v>hanya menyapa. tidak ada lanjutan</v>
      </c>
    </row>
    <row r="335"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320"/>
      <c r="R335" s="285"/>
      <c r="S335" s="285"/>
      <c r="T335" s="285"/>
      <c r="U335" s="285"/>
      <c r="V335" s="285"/>
      <c r="W335" s="285"/>
      <c r="X335" s="285"/>
      <c r="Y335" s="285"/>
      <c r="Z335" s="285"/>
      <c r="AA335" s="285"/>
      <c r="AC335" s="285" t="str">
        <f>IFERROR(__xludf.DUMMYFUNCTION("""COMPUTED_VALUE"""),"2605A117")</f>
        <v>2605A117</v>
      </c>
      <c r="AD335" s="286">
        <f>IFERROR(__xludf.DUMMYFUNCTION("""COMPUTED_VALUE"""),46157.0)</f>
        <v>46157</v>
      </c>
      <c r="AE335" s="285" t="str">
        <f>IFERROR(__xludf.DUMMYFUNCTION("""COMPUTED_VALUE"""),"Titi")</f>
        <v>Titi</v>
      </c>
      <c r="AF335" s="285" t="str">
        <f>IFERROR(__xludf.DUMMYFUNCTION("""COMPUTED_VALUE"""),"089528279993")</f>
        <v>089528279993</v>
      </c>
      <c r="AG335" s="285" t="str">
        <f>IFERROR(__xludf.DUMMYFUNCTION("""COMPUTED_VALUE"""),"Gagal")</f>
        <v>Gagal</v>
      </c>
      <c r="AH335" s="285" t="str">
        <f>IFERROR(__xludf.DUMMYFUNCTION("""COMPUTED_VALUE"""),"private mt")</f>
        <v>private mt</v>
      </c>
      <c r="AI335" s="287">
        <f>IFERROR(__xludf.DUMMYFUNCTION("""COMPUTED_VALUE"""),46158.0)</f>
        <v>46158</v>
      </c>
      <c r="AJ335" s="285">
        <f>IFERROR(__xludf.DUMMYFUNCTION("""COMPUTED_VALUE"""),2.0)</f>
        <v>2</v>
      </c>
      <c r="AK335" s="289"/>
      <c r="AL335" s="285" t="str">
        <f>IFERROR(__xludf.DUMMYFUNCTION("""COMPUTED_VALUE"""),"fullbooked")</f>
        <v>fullbooked</v>
      </c>
    </row>
    <row r="336"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320"/>
      <c r="R336" s="285"/>
      <c r="S336" s="285"/>
      <c r="T336" s="285"/>
      <c r="U336" s="285"/>
      <c r="V336" s="285"/>
      <c r="W336" s="285"/>
      <c r="X336" s="285"/>
      <c r="Y336" s="285"/>
      <c r="Z336" s="285"/>
      <c r="AA336" s="285"/>
      <c r="AC336" s="285" t="str">
        <f>IFERROR(__xludf.DUMMYFUNCTION("""COMPUTED_VALUE"""),"2605A118")</f>
        <v>2605A118</v>
      </c>
      <c r="AD336" s="286">
        <f>IFERROR(__xludf.DUMMYFUNCTION("""COMPUTED_VALUE"""),46158.0)</f>
        <v>46158</v>
      </c>
      <c r="AE336" s="285" t="str">
        <f>IFERROR(__xludf.DUMMYFUNCTION("""COMPUTED_VALUE"""),"Diky")</f>
        <v>Diky</v>
      </c>
      <c r="AF336" s="285" t="str">
        <f>IFERROR(__xludf.DUMMYFUNCTION("""COMPUTED_VALUE"""),"083861309679")</f>
        <v>083861309679</v>
      </c>
      <c r="AG336" s="285" t="str">
        <f>IFERROR(__xludf.DUMMYFUNCTION("""COMPUTED_VALUE"""),"Gagal")</f>
        <v>Gagal</v>
      </c>
      <c r="AH336" s="285" t="str">
        <f>IFERROR(__xludf.DUMMYFUNCTION("""COMPUTED_VALUE"""),"ot djawatan dan green island 1d")</f>
        <v>ot djawatan dan green island 1d</v>
      </c>
      <c r="AI336" s="287"/>
      <c r="AJ336" s="285"/>
      <c r="AK336" s="289"/>
      <c r="AL336" s="285" t="str">
        <f>IFERROR(__xludf.DUMMYFUNCTION("""COMPUTED_VALUE"""),"tidak ada jawaban")</f>
        <v>tidak ada jawaban</v>
      </c>
    </row>
    <row r="337"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320"/>
      <c r="R337" s="285"/>
      <c r="S337" s="285"/>
      <c r="T337" s="285"/>
      <c r="U337" s="285"/>
      <c r="V337" s="285"/>
      <c r="W337" s="285"/>
      <c r="X337" s="285"/>
      <c r="Y337" s="285"/>
      <c r="Z337" s="285"/>
      <c r="AA337" s="285"/>
      <c r="AC337" s="285" t="str">
        <f>IFERROR(__xludf.DUMMYFUNCTION("""COMPUTED_VALUE"""),"2605A119")</f>
        <v>2605A119</v>
      </c>
      <c r="AD337" s="286">
        <f>IFERROR(__xludf.DUMMYFUNCTION("""COMPUTED_VALUE"""),46159.0)</f>
        <v>46159</v>
      </c>
      <c r="AE337" s="285" t="str">
        <f>IFERROR(__xludf.DUMMYFUNCTION("""COMPUTED_VALUE"""),"A")</f>
        <v>A</v>
      </c>
      <c r="AF337" s="285" t="str">
        <f>IFERROR(__xludf.DUMMYFUNCTION("""COMPUTED_VALUE"""),"60195593369")</f>
        <v>60195593369</v>
      </c>
      <c r="AG337" s="285" t="str">
        <f>IFERROR(__xludf.DUMMYFUNCTION("""COMPUTED_VALUE"""),"Gagal")</f>
        <v>Gagal</v>
      </c>
      <c r="AH337" s="285"/>
      <c r="AI337" s="287"/>
      <c r="AJ337" s="285"/>
      <c r="AK337" s="289"/>
      <c r="AL337" s="285" t="str">
        <f>IFERROR(__xludf.DUMMYFUNCTION("""COMPUTED_VALUE"""),"hanya menyapa. tidak ada lanjutan")</f>
        <v>hanya menyapa. tidak ada lanjutan</v>
      </c>
    </row>
    <row r="338"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320"/>
      <c r="R338" s="285"/>
      <c r="S338" s="285"/>
      <c r="T338" s="285"/>
      <c r="U338" s="285"/>
      <c r="V338" s="285"/>
      <c r="W338" s="285"/>
      <c r="X338" s="285"/>
      <c r="Y338" s="285"/>
      <c r="Z338" s="285"/>
      <c r="AA338" s="285"/>
      <c r="AC338" s="285" t="str">
        <f>IFERROR(__xludf.DUMMYFUNCTION("""COMPUTED_VALUE"""),"2605A120")</f>
        <v>2605A120</v>
      </c>
      <c r="AD338" s="286">
        <f>IFERROR(__xludf.DUMMYFUNCTION("""COMPUTED_VALUE"""),46159.0)</f>
        <v>46159</v>
      </c>
      <c r="AE338" s="285" t="str">
        <f>IFERROR(__xludf.DUMMYFUNCTION("""COMPUTED_VALUE"""),"Achasaurs")</f>
        <v>Achasaurs</v>
      </c>
      <c r="AF338" s="285" t="str">
        <f>IFERROR(__xludf.DUMMYFUNCTION("""COMPUTED_VALUE"""),"082122694354")</f>
        <v>082122694354</v>
      </c>
      <c r="AG338" s="285" t="str">
        <f>IFERROR(__xludf.DUMMYFUNCTION("""COMPUTED_VALUE"""),"Gagal")</f>
        <v>Gagal</v>
      </c>
      <c r="AH338" s="285" t="str">
        <f>IFERROR(__xludf.DUMMYFUNCTION("""COMPUTED_VALUE"""),"1d alas purwo")</f>
        <v>1d alas purwo</v>
      </c>
      <c r="AI338" s="287"/>
      <c r="AJ338" s="285">
        <f>IFERROR(__xludf.DUMMYFUNCTION("""COMPUTED_VALUE"""),5.0)</f>
        <v>5</v>
      </c>
      <c r="AK338" s="289"/>
      <c r="AL338" s="285" t="str">
        <f>IFERROR(__xludf.DUMMYFUNCTION("""COMPUTED_VALUE"""),"gada balasan")</f>
        <v>gada balasan</v>
      </c>
    </row>
    <row r="339"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320"/>
      <c r="R339" s="285"/>
      <c r="S339" s="285"/>
      <c r="T339" s="285"/>
      <c r="U339" s="285"/>
      <c r="V339" s="285"/>
      <c r="W339" s="285"/>
      <c r="X339" s="285"/>
      <c r="Y339" s="285"/>
      <c r="Z339" s="285"/>
      <c r="AA339" s="285"/>
      <c r="AC339" s="285" t="str">
        <f>IFERROR(__xludf.DUMMYFUNCTION("""COMPUTED_VALUE"""),"2605A121")</f>
        <v>2605A121</v>
      </c>
      <c r="AD339" s="286">
        <f>IFERROR(__xludf.DUMMYFUNCTION("""COMPUTED_VALUE"""),46158.0)</f>
        <v>46158</v>
      </c>
      <c r="AE339" s="285" t="str">
        <f>IFERROR(__xludf.DUMMYFUNCTION("""COMPUTED_VALUE"""),"Izna")</f>
        <v>Izna</v>
      </c>
      <c r="AF339" s="285" t="str">
        <f>IFERROR(__xludf.DUMMYFUNCTION("""COMPUTED_VALUE"""),"0817466226")</f>
        <v>0817466226</v>
      </c>
      <c r="AG339" s="285" t="str">
        <f>IFERROR(__xludf.DUMMYFUNCTION("""COMPUTED_VALUE"""),"Gagal")</f>
        <v>Gagal</v>
      </c>
      <c r="AH339" s="285" t="str">
        <f>IFERROR(__xludf.DUMMYFUNCTION("""COMPUTED_VALUE"""),"ot mt")</f>
        <v>ot mt</v>
      </c>
      <c r="AI339" s="287">
        <f>IFERROR(__xludf.DUMMYFUNCTION("""COMPUTED_VALUE"""),46161.0)</f>
        <v>46161</v>
      </c>
      <c r="AJ339" s="285">
        <f>IFERROR(__xludf.DUMMYFUNCTION("""COMPUTED_VALUE"""),3.0)</f>
        <v>3</v>
      </c>
      <c r="AK339" s="289"/>
      <c r="AL339" s="285" t="str">
        <f>IFERROR(__xludf.DUMMYFUNCTION("""COMPUTED_VALUE"""),"gada jawaban")</f>
        <v>gada jawaban</v>
      </c>
    </row>
    <row r="340"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320"/>
      <c r="R340" s="285"/>
      <c r="S340" s="285"/>
      <c r="T340" s="285"/>
      <c r="U340" s="285"/>
      <c r="V340" s="285"/>
      <c r="W340" s="285"/>
      <c r="X340" s="285"/>
      <c r="Y340" s="285"/>
      <c r="Z340" s="285"/>
      <c r="AA340" s="285"/>
      <c r="AC340" s="285" t="str">
        <f>IFERROR(__xludf.DUMMYFUNCTION("""COMPUTED_VALUE"""),"2605A122")</f>
        <v>2605A122</v>
      </c>
      <c r="AD340" s="286">
        <f>IFERROR(__xludf.DUMMYFUNCTION("""COMPUTED_VALUE"""),46160.0)</f>
        <v>46160</v>
      </c>
      <c r="AE340" s="285" t="str">
        <f>IFERROR(__xludf.DUMMYFUNCTION("""COMPUTED_VALUE"""),"Nasyitha Valia")</f>
        <v>Nasyitha Valia</v>
      </c>
      <c r="AF340" s="285" t="str">
        <f>IFERROR(__xludf.DUMMYFUNCTION("""COMPUTED_VALUE"""),"089601307446")</f>
        <v>089601307446</v>
      </c>
      <c r="AG340" s="285" t="str">
        <f>IFERROR(__xludf.DUMMYFUNCTION("""COMPUTED_VALUE"""),"Gagal")</f>
        <v>Gagal</v>
      </c>
      <c r="AH340" s="285"/>
      <c r="AI340" s="287"/>
      <c r="AJ340" s="285"/>
      <c r="AK340" s="289"/>
      <c r="AL340" s="285" t="str">
        <f>IFERROR(__xludf.DUMMYFUNCTION("""COMPUTED_VALUE"""),"gada jawaban")</f>
        <v>gada jawaban</v>
      </c>
    </row>
    <row r="341"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320"/>
      <c r="R341" s="285"/>
      <c r="S341" s="285"/>
      <c r="T341" s="285"/>
      <c r="U341" s="285"/>
      <c r="V341" s="285"/>
      <c r="W341" s="285"/>
      <c r="X341" s="285"/>
      <c r="Y341" s="285"/>
      <c r="Z341" s="285"/>
      <c r="AA341" s="285"/>
      <c r="AC341" s="285" t="str">
        <f>IFERROR(__xludf.DUMMYFUNCTION("""COMPUTED_VALUE"""),"2605A123")</f>
        <v>2605A123</v>
      </c>
      <c r="AD341" s="286">
        <f>IFERROR(__xludf.DUMMYFUNCTION("""COMPUTED_VALUE"""),46160.0)</f>
        <v>46160</v>
      </c>
      <c r="AE341" s="285" t="str">
        <f>IFERROR(__xludf.DUMMYFUNCTION("""COMPUTED_VALUE"""),"Delia")</f>
        <v>Delia</v>
      </c>
      <c r="AF341" s="285" t="str">
        <f>IFERROR(__xludf.DUMMYFUNCTION("""COMPUTED_VALUE"""),"081294202024")</f>
        <v>081294202024</v>
      </c>
      <c r="AG341" s="285" t="str">
        <f>IFERROR(__xludf.DUMMYFUNCTION("""COMPUTED_VALUE"""),"Gagal")</f>
        <v>Gagal</v>
      </c>
      <c r="AH341" s="285" t="str">
        <f>IFERROR(__xludf.DUMMYFUNCTION("""COMPUTED_VALUE"""),"ot")</f>
        <v>ot</v>
      </c>
      <c r="AI341" s="287"/>
      <c r="AJ341" s="285">
        <f>IFERROR(__xludf.DUMMYFUNCTION("""COMPUTED_VALUE"""),1.0)</f>
        <v>1</v>
      </c>
      <c r="AK341" s="289"/>
      <c r="AL341" s="285" t="str">
        <f>IFERROR(__xludf.DUMMYFUNCTION("""COMPUTED_VALUE"""),"belum ada jawaban")</f>
        <v>belum ada jawaban</v>
      </c>
    </row>
    <row r="342"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320"/>
      <c r="R342" s="285"/>
      <c r="S342" s="285"/>
      <c r="T342" s="285"/>
      <c r="U342" s="285"/>
      <c r="V342" s="285"/>
      <c r="W342" s="285"/>
      <c r="X342" s="285"/>
      <c r="Y342" s="285"/>
      <c r="Z342" s="285"/>
      <c r="AA342" s="285"/>
      <c r="AC342" s="285" t="str">
        <f>IFERROR(__xludf.DUMMYFUNCTION("""COMPUTED_VALUE"""),"2605A124")</f>
        <v>2605A124</v>
      </c>
      <c r="AD342" s="286">
        <f>IFERROR(__xludf.DUMMYFUNCTION("""COMPUTED_VALUE"""),46161.0)</f>
        <v>46161</v>
      </c>
      <c r="AE342" s="285" t="str">
        <f>IFERROR(__xludf.DUMMYFUNCTION("""COMPUTED_VALUE"""),"Francois Vaz")</f>
        <v>Francois Vaz</v>
      </c>
      <c r="AF342" s="285" t="str">
        <f>IFERROR(__xludf.DUMMYFUNCTION("""COMPUTED_VALUE"""),"33637680194")</f>
        <v>33637680194</v>
      </c>
      <c r="AG342" s="285" t="str">
        <f>IFERROR(__xludf.DUMMYFUNCTION("""COMPUTED_VALUE"""),"Gagal")</f>
        <v>Gagal</v>
      </c>
      <c r="AH342" s="285" t="str">
        <f>IFERROR(__xludf.DUMMYFUNCTION("""COMPUTED_VALUE"""),"ijen-tumpak sewu-bromo-malang")</f>
        <v>ijen-tumpak sewu-bromo-malang</v>
      </c>
      <c r="AI342" s="287">
        <f>IFERROR(__xludf.DUMMYFUNCTION("""COMPUTED_VALUE"""),46173.0)</f>
        <v>46173</v>
      </c>
      <c r="AJ342" s="285">
        <f>IFERROR(__xludf.DUMMYFUNCTION("""COMPUTED_VALUE"""),3.0)</f>
        <v>3</v>
      </c>
      <c r="AK342" s="289"/>
      <c r="AL342" s="285" t="str">
        <f>IFERROR(__xludf.DUMMYFUNCTION("""COMPUTED_VALUE"""),"diarahkan ke holiday")</f>
        <v>diarahkan ke holiday</v>
      </c>
    </row>
    <row r="343"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320"/>
      <c r="R343" s="285"/>
      <c r="S343" s="285"/>
      <c r="T343" s="285"/>
      <c r="U343" s="285"/>
      <c r="V343" s="285"/>
      <c r="W343" s="285"/>
      <c r="X343" s="285"/>
      <c r="Y343" s="285"/>
      <c r="Z343" s="285"/>
      <c r="AA343" s="285"/>
      <c r="AC343" s="285" t="str">
        <f>IFERROR(__xludf.DUMMYFUNCTION("""COMPUTED_VALUE"""),"2605A125")</f>
        <v>2605A125</v>
      </c>
      <c r="AD343" s="286">
        <f>IFERROR(__xludf.DUMMYFUNCTION("""COMPUTED_VALUE"""),46161.0)</f>
        <v>46161</v>
      </c>
      <c r="AE343" s="285" t="str">
        <f>IFERROR(__xludf.DUMMYFUNCTION("""COMPUTED_VALUE"""),"Lusyana Sitorus")</f>
        <v>Lusyana Sitorus</v>
      </c>
      <c r="AF343" s="285" t="str">
        <f>IFERROR(__xludf.DUMMYFUNCTION("""COMPUTED_VALUE"""),"081370159206")</f>
        <v>081370159206</v>
      </c>
      <c r="AG343" s="285" t="str">
        <f>IFERROR(__xludf.DUMMYFUNCTION("""COMPUTED_VALUE"""),"Gagal")</f>
        <v>Gagal</v>
      </c>
      <c r="AH343" s="285"/>
      <c r="AI343" s="287"/>
      <c r="AJ343" s="285"/>
      <c r="AK343" s="289"/>
      <c r="AL343" s="285" t="str">
        <f>IFERROR(__xludf.DUMMYFUNCTION("""COMPUTED_VALUE"""),"gada jawaban")</f>
        <v>gada jawaban</v>
      </c>
    </row>
    <row r="344"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320"/>
      <c r="R344" s="285"/>
      <c r="S344" s="285"/>
      <c r="T344" s="285"/>
      <c r="U344" s="285"/>
      <c r="V344" s="285"/>
      <c r="W344" s="285"/>
      <c r="X344" s="285"/>
      <c r="Y344" s="285"/>
      <c r="Z344" s="285"/>
      <c r="AA344" s="285"/>
      <c r="AC344" s="285" t="str">
        <f>IFERROR(__xludf.DUMMYFUNCTION("""COMPUTED_VALUE"""),"2605A126")</f>
        <v>2605A126</v>
      </c>
      <c r="AD344" s="286">
        <f>IFERROR(__xludf.DUMMYFUNCTION("""COMPUTED_VALUE"""),46162.0)</f>
        <v>46162</v>
      </c>
      <c r="AE344" s="285" t="str">
        <f>IFERROR(__xludf.DUMMYFUNCTION("""COMPUTED_VALUE"""),"w")</f>
        <v>w</v>
      </c>
      <c r="AF344" s="285" t="str">
        <f>IFERROR(__xludf.DUMMYFUNCTION("""COMPUTED_VALUE"""),"0895393730460")</f>
        <v>0895393730460</v>
      </c>
      <c r="AG344" s="285" t="str">
        <f>IFERROR(__xludf.DUMMYFUNCTION("""COMPUTED_VALUE"""),"Gagal")</f>
        <v>Gagal</v>
      </c>
      <c r="AH344" s="285" t="str">
        <f>IFERROR(__xludf.DUMMYFUNCTION("""COMPUTED_VALUE"""),"green island")</f>
        <v>green island</v>
      </c>
      <c r="AI344" s="287"/>
      <c r="AJ344" s="285"/>
      <c r="AK344" s="289"/>
      <c r="AL344" s="285" t="str">
        <f>IFERROR(__xludf.DUMMYFUNCTION("""COMPUTED_VALUE"""),"gada jawaban")</f>
        <v>gada jawaban</v>
      </c>
    </row>
    <row r="345"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320"/>
      <c r="R345" s="285"/>
      <c r="S345" s="285"/>
      <c r="T345" s="285"/>
      <c r="U345" s="285"/>
      <c r="V345" s="285"/>
      <c r="W345" s="285"/>
      <c r="X345" s="285"/>
      <c r="Y345" s="285"/>
      <c r="Z345" s="285"/>
      <c r="AA345" s="285"/>
      <c r="AC345" s="285" t="str">
        <f>IFERROR(__xludf.DUMMYFUNCTION("""COMPUTED_VALUE"""),"2605A127")</f>
        <v>2605A127</v>
      </c>
      <c r="AD345" s="286">
        <f>IFERROR(__xludf.DUMMYFUNCTION("""COMPUTED_VALUE"""),46162.0)</f>
        <v>46162</v>
      </c>
      <c r="AE345" s="285" t="str">
        <f>IFERROR(__xludf.DUMMYFUNCTION("""COMPUTED_VALUE"""),"j")</f>
        <v>j</v>
      </c>
      <c r="AF345" s="285" t="str">
        <f>IFERROR(__xludf.DUMMYFUNCTION("""COMPUTED_VALUE"""),"085603008700")</f>
        <v>085603008700</v>
      </c>
      <c r="AG345" s="285" t="str">
        <f>IFERROR(__xludf.DUMMYFUNCTION("""COMPUTED_VALUE"""),"Gagal")</f>
        <v>Gagal</v>
      </c>
      <c r="AH345" s="285" t="str">
        <f>IFERROR(__xludf.DUMMYFUNCTION("""COMPUTED_VALUE"""),"ot mt")</f>
        <v>ot mt</v>
      </c>
      <c r="AI345" s="287">
        <f>IFERROR(__xludf.DUMMYFUNCTION("""COMPUTED_VALUE"""),46163.0)</f>
        <v>46163</v>
      </c>
      <c r="AJ345" s="285"/>
      <c r="AK345" s="289"/>
      <c r="AL345" s="285" t="str">
        <f>IFERROR(__xludf.DUMMYFUNCTION("""COMPUTED_VALUE"""),"gada jawaban")</f>
        <v>gada jawaban</v>
      </c>
    </row>
    <row r="346"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320"/>
      <c r="R346" s="285"/>
      <c r="S346" s="285"/>
      <c r="T346" s="285"/>
      <c r="U346" s="285"/>
      <c r="V346" s="285"/>
      <c r="W346" s="285"/>
      <c r="X346" s="285"/>
      <c r="Y346" s="285"/>
      <c r="Z346" s="285"/>
      <c r="AA346" s="285"/>
      <c r="AC346" s="285" t="str">
        <f>IFERROR(__xludf.DUMMYFUNCTION("""COMPUTED_VALUE"""),"2605A128")</f>
        <v>2605A128</v>
      </c>
      <c r="AD346" s="286">
        <f>IFERROR(__xludf.DUMMYFUNCTION("""COMPUTED_VALUE"""),46161.0)</f>
        <v>46161</v>
      </c>
      <c r="AE346" s="285" t="str">
        <f>IFERROR(__xludf.DUMMYFUNCTION("""COMPUTED_VALUE"""),"Andre Martin")</f>
        <v>Andre Martin</v>
      </c>
      <c r="AF346" s="285" t="str">
        <f>IFERROR(__xludf.DUMMYFUNCTION("""COMPUTED_VALUE"""),"0895392130140")</f>
        <v>0895392130140</v>
      </c>
      <c r="AG346" s="285" t="str">
        <f>IFERROR(__xludf.DUMMYFUNCTION("""COMPUTED_VALUE"""),"Gagal")</f>
        <v>Gagal</v>
      </c>
      <c r="AH346" s="285" t="str">
        <f>IFERROR(__xludf.DUMMYFUNCTION("""COMPUTED_VALUE"""),"ot 3h2m ")</f>
        <v>ot 3h2m </v>
      </c>
      <c r="AI346" s="287"/>
      <c r="AJ346" s="285">
        <f>IFERROR(__xludf.DUMMYFUNCTION("""COMPUTED_VALUE"""),1.0)</f>
        <v>1</v>
      </c>
      <c r="AK346" s="289">
        <f>IFERROR(__xludf.DUMMYFUNCTION("""COMPUTED_VALUE"""),1600000.0)</f>
        <v>1600000</v>
      </c>
      <c r="AL346" s="285" t="str">
        <f>IFERROR(__xludf.DUMMYFUNCTION("""COMPUTED_VALUE"""),"gada barengan")</f>
        <v>gada barengan</v>
      </c>
    </row>
    <row r="347"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320"/>
      <c r="R347" s="285"/>
      <c r="S347" s="285"/>
      <c r="T347" s="285"/>
      <c r="U347" s="285"/>
      <c r="V347" s="285"/>
      <c r="W347" s="285"/>
      <c r="X347" s="285"/>
      <c r="Y347" s="285"/>
      <c r="Z347" s="285"/>
      <c r="AA347" s="285"/>
      <c r="AC347" s="285" t="str">
        <f>IFERROR(__xludf.DUMMYFUNCTION("""COMPUTED_VALUE"""),"2605A129")</f>
        <v>2605A129</v>
      </c>
      <c r="AD347" s="286">
        <f>IFERROR(__xludf.DUMMYFUNCTION("""COMPUTED_VALUE"""),46162.0)</f>
        <v>46162</v>
      </c>
      <c r="AE347" s="285" t="str">
        <f>IFERROR(__xludf.DUMMYFUNCTION("""COMPUTED_VALUE"""),"Evi ")</f>
        <v>Evi </v>
      </c>
      <c r="AF347" s="285" t="str">
        <f>IFERROR(__xludf.DUMMYFUNCTION("""COMPUTED_VALUE"""),"081315380368")</f>
        <v>081315380368</v>
      </c>
      <c r="AG347" s="285" t="str">
        <f>IFERROR(__xludf.DUMMYFUNCTION("""COMPUTED_VALUE"""),"Gagal")</f>
        <v>Gagal</v>
      </c>
      <c r="AH347" s="285" t="str">
        <f>IFERROR(__xludf.DUMMYFUNCTION("""COMPUTED_VALUE"""),"open trip djawatan, mt")</f>
        <v>open trip djawatan, mt</v>
      </c>
      <c r="AI347" s="287"/>
      <c r="AJ347" s="285"/>
      <c r="AK347" s="289">
        <f>IFERROR(__xludf.DUMMYFUNCTION("""COMPUTED_VALUE"""),750000.0)</f>
        <v>750000</v>
      </c>
      <c r="AL347" s="285"/>
    </row>
    <row r="348"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320"/>
      <c r="R348" s="285"/>
      <c r="S348" s="285"/>
      <c r="T348" s="285"/>
      <c r="U348" s="285"/>
      <c r="V348" s="285"/>
      <c r="W348" s="285"/>
      <c r="X348" s="285"/>
      <c r="Y348" s="285"/>
      <c r="Z348" s="285"/>
      <c r="AA348" s="285"/>
      <c r="AC348" s="285" t="str">
        <f>IFERROR(__xludf.DUMMYFUNCTION("""COMPUTED_VALUE"""),"2605A130")</f>
        <v>2605A130</v>
      </c>
      <c r="AD348" s="286">
        <f>IFERROR(__xludf.DUMMYFUNCTION("""COMPUTED_VALUE"""),46163.0)</f>
        <v>46163</v>
      </c>
      <c r="AE348" s="285" t="str">
        <f>IFERROR(__xludf.DUMMYFUNCTION("""COMPUTED_VALUE"""),"Adawiyah Salma")</f>
        <v>Adawiyah Salma</v>
      </c>
      <c r="AF348" s="285" t="str">
        <f>IFERROR(__xludf.DUMMYFUNCTION("""COMPUTED_VALUE"""),"08119371515")</f>
        <v>08119371515</v>
      </c>
      <c r="AG348" s="285" t="str">
        <f>IFERROR(__xludf.DUMMYFUNCTION("""COMPUTED_VALUE"""),"Gagal")</f>
        <v>Gagal</v>
      </c>
      <c r="AH348" s="285" t="str">
        <f>IFERROR(__xludf.DUMMYFUNCTION("""COMPUTED_VALUE"""),"ot mt")</f>
        <v>ot mt</v>
      </c>
      <c r="AI348" s="287">
        <f>IFERROR(__xludf.DUMMYFUNCTION("""COMPUTED_VALUE"""),46173.0)</f>
        <v>46173</v>
      </c>
      <c r="AJ348" s="285">
        <f>IFERROR(__xludf.DUMMYFUNCTION("""COMPUTED_VALUE"""),2.0)</f>
        <v>2</v>
      </c>
      <c r="AK348" s="289">
        <f>IFERROR(__xludf.DUMMYFUNCTION("""COMPUTED_VALUE"""),550000.0)</f>
        <v>550000</v>
      </c>
      <c r="AL348" s="285" t="str">
        <f>IFERROR(__xludf.DUMMYFUNCTION("""COMPUTED_VALUE"""),"fullbooked")</f>
        <v>fullbooked</v>
      </c>
    </row>
    <row r="349"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320"/>
      <c r="R349" s="285"/>
      <c r="S349" s="285"/>
      <c r="T349" s="285"/>
      <c r="U349" s="285"/>
      <c r="V349" s="285"/>
      <c r="W349" s="285"/>
      <c r="X349" s="285"/>
      <c r="Y349" s="285"/>
      <c r="Z349" s="285"/>
      <c r="AA349" s="285"/>
      <c r="AC349" s="285" t="str">
        <f>IFERROR(__xludf.DUMMYFUNCTION("""COMPUTED_VALUE"""),"2605A131")</f>
        <v>2605A131</v>
      </c>
      <c r="AD349" s="286">
        <f>IFERROR(__xludf.DUMMYFUNCTION("""COMPUTED_VALUE"""),46162.0)</f>
        <v>46162</v>
      </c>
      <c r="AE349" s="285" t="str">
        <f>IFERROR(__xludf.DUMMYFUNCTION("""COMPUTED_VALUE"""),"a")</f>
        <v>a</v>
      </c>
      <c r="AF349" s="285" t="str">
        <f>IFERROR(__xludf.DUMMYFUNCTION("""COMPUTED_VALUE"""),"0811121202")</f>
        <v>0811121202</v>
      </c>
      <c r="AG349" s="285" t="str">
        <f>IFERROR(__xludf.DUMMYFUNCTION("""COMPUTED_VALUE"""),"Gagal")</f>
        <v>Gagal</v>
      </c>
      <c r="AH349" s="285" t="str">
        <f>IFERROR(__xludf.DUMMYFUNCTION("""COMPUTED_VALUE"""),"open trip  ")</f>
        <v>open trip  </v>
      </c>
      <c r="AI349" s="287"/>
      <c r="AJ349" s="285"/>
      <c r="AK349" s="289"/>
      <c r="AL349" s="285" t="str">
        <f>IFERROR(__xludf.DUMMYFUNCTION("""COMPUTED_VALUE"""),"gada kelanjutan")</f>
        <v>gada kelanjutan</v>
      </c>
    </row>
    <row r="350"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320"/>
      <c r="R350" s="285"/>
      <c r="S350" s="285"/>
      <c r="T350" s="285"/>
      <c r="U350" s="285"/>
      <c r="V350" s="285"/>
      <c r="W350" s="285"/>
      <c r="X350" s="285"/>
      <c r="Y350" s="285"/>
      <c r="Z350" s="285"/>
      <c r="AA350" s="285"/>
      <c r="AC350" s="285" t="str">
        <f>IFERROR(__xludf.DUMMYFUNCTION("""COMPUTED_VALUE"""),"2605A132")</f>
        <v>2605A132</v>
      </c>
      <c r="AD350" s="286">
        <f>IFERROR(__xludf.DUMMYFUNCTION("""COMPUTED_VALUE"""),46159.0)</f>
        <v>46159</v>
      </c>
      <c r="AE350" s="285" t="str">
        <f>IFERROR(__xludf.DUMMYFUNCTION("""COMPUTED_VALUE"""),"Anggun")</f>
        <v>Anggun</v>
      </c>
      <c r="AF350" s="285" t="str">
        <f>IFERROR(__xludf.DUMMYFUNCTION("""COMPUTED_VALUE"""),"081332685738")</f>
        <v>081332685738</v>
      </c>
      <c r="AG350" s="285" t="str">
        <f>IFERROR(__xludf.DUMMYFUNCTION("""COMPUTED_VALUE"""),"Gagal")</f>
        <v>Gagal</v>
      </c>
      <c r="AH350" s="285" t="str">
        <f>IFERROR(__xludf.DUMMYFUNCTION("""COMPUTED_VALUE"""),"djawatan baluran tabuhan")</f>
        <v>djawatan baluran tabuhan</v>
      </c>
      <c r="AI350" s="287">
        <f>IFERROR(__xludf.DUMMYFUNCTION("""COMPUTED_VALUE"""),46169.0)</f>
        <v>46169</v>
      </c>
      <c r="AJ350" s="285">
        <f>IFERROR(__xludf.DUMMYFUNCTION("""COMPUTED_VALUE"""),7.0)</f>
        <v>7</v>
      </c>
      <c r="AK350" s="289">
        <f>IFERROR(__xludf.DUMMYFUNCTION("""COMPUTED_VALUE"""),8120000.0)</f>
        <v>8120000</v>
      </c>
      <c r="AL350" s="285" t="str">
        <f>IFERROR(__xludf.DUMMYFUNCTION("""COMPUTED_VALUE"""),"gada kelanjutan")</f>
        <v>gada kelanjutan</v>
      </c>
    </row>
    <row r="351"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320"/>
      <c r="R351" s="285"/>
      <c r="S351" s="285"/>
      <c r="T351" s="285"/>
      <c r="U351" s="285"/>
      <c r="V351" s="285"/>
      <c r="W351" s="285"/>
      <c r="X351" s="285"/>
      <c r="Y351" s="285"/>
      <c r="Z351" s="285"/>
      <c r="AA351" s="285"/>
      <c r="AC351" s="285" t="str">
        <f>IFERROR(__xludf.DUMMYFUNCTION("""COMPUTED_VALUE"""),"2605A133")</f>
        <v>2605A133</v>
      </c>
      <c r="AD351" s="286">
        <f>IFERROR(__xludf.DUMMYFUNCTION("""COMPUTED_VALUE"""),46158.0)</f>
        <v>46158</v>
      </c>
      <c r="AE351" s="285" t="str">
        <f>IFERROR(__xludf.DUMMYFUNCTION("""COMPUTED_VALUE"""),"Assa Rohana")</f>
        <v>Assa Rohana</v>
      </c>
      <c r="AF351" s="285" t="str">
        <f>IFERROR(__xludf.DUMMYFUNCTION("""COMPUTED_VALUE"""),"081291653213")</f>
        <v>081291653213</v>
      </c>
      <c r="AG351" s="285" t="str">
        <f>IFERROR(__xludf.DUMMYFUNCTION("""COMPUTED_VALUE"""),"Gagal")</f>
        <v>Gagal</v>
      </c>
      <c r="AH351" s="285" t="str">
        <f>IFERROR(__xludf.DUMMYFUNCTION("""COMPUTED_VALUE"""),"1d green island")</f>
        <v>1d green island</v>
      </c>
      <c r="AI351" s="287">
        <f>IFERROR(__xludf.DUMMYFUNCTION("""COMPUTED_VALUE"""),46165.0)</f>
        <v>46165</v>
      </c>
      <c r="AJ351" s="285">
        <f>IFERROR(__xludf.DUMMYFUNCTION("""COMPUTED_VALUE"""),1.0)</f>
        <v>1</v>
      </c>
      <c r="AK351" s="289">
        <f>IFERROR(__xludf.DUMMYFUNCTION("""COMPUTED_VALUE"""),2388000.0)</f>
        <v>2388000</v>
      </c>
      <c r="AL351" s="285" t="str">
        <f>IFERROR(__xludf.DUMMYFUNCTION("""COMPUTED_VALUE"""),"gada balasan")</f>
        <v>gada balasan</v>
      </c>
    </row>
    <row r="352"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320"/>
      <c r="R352" s="285"/>
      <c r="S352" s="285"/>
      <c r="T352" s="285"/>
      <c r="U352" s="285"/>
      <c r="V352" s="285"/>
      <c r="W352" s="285"/>
      <c r="X352" s="285"/>
      <c r="Y352" s="285"/>
      <c r="Z352" s="285"/>
      <c r="AA352" s="285"/>
      <c r="AC352" s="285" t="str">
        <f>IFERROR(__xludf.DUMMYFUNCTION("""COMPUTED_VALUE"""),"2605A134")</f>
        <v>2605A134</v>
      </c>
      <c r="AD352" s="286">
        <f>IFERROR(__xludf.DUMMYFUNCTION("""COMPUTED_VALUE"""),46158.0)</f>
        <v>46158</v>
      </c>
      <c r="AE352" s="285" t="str">
        <f>IFERROR(__xludf.DUMMYFUNCTION("""COMPUTED_VALUE"""),"Ima ")</f>
        <v>Ima </v>
      </c>
      <c r="AF352" s="285" t="str">
        <f>IFERROR(__xludf.DUMMYFUNCTION("""COMPUTED_VALUE"""),"081233171118")</f>
        <v>081233171118</v>
      </c>
      <c r="AG352" s="285" t="str">
        <f>IFERROR(__xludf.DUMMYFUNCTION("""COMPUTED_VALUE"""),"Gagal")</f>
        <v>Gagal</v>
      </c>
      <c r="AH352" s="285" t="str">
        <f>IFERROR(__xludf.DUMMYFUNCTION("""COMPUTED_VALUE"""),"2h1m")</f>
        <v>2h1m</v>
      </c>
      <c r="AI352" s="287"/>
      <c r="AJ352" s="285">
        <f>IFERROR(__xludf.DUMMYFUNCTION("""COMPUTED_VALUE"""),5.0)</f>
        <v>5</v>
      </c>
      <c r="AK352" s="289">
        <f>IFERROR(__xludf.DUMMYFUNCTION("""COMPUTED_VALUE"""),4100000.0)</f>
        <v>4100000</v>
      </c>
      <c r="AL352" s="285" t="str">
        <f>IFERROR(__xludf.DUMMYFUNCTION("""COMPUTED_VALUE"""),"gada balasan")</f>
        <v>gada balasan</v>
      </c>
    </row>
    <row r="353"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320"/>
      <c r="R353" s="285"/>
      <c r="S353" s="285"/>
      <c r="T353" s="285"/>
      <c r="U353" s="285"/>
      <c r="V353" s="285"/>
      <c r="W353" s="285"/>
      <c r="X353" s="285"/>
      <c r="Y353" s="285"/>
      <c r="Z353" s="285"/>
      <c r="AA353" s="285"/>
      <c r="AC353" s="285" t="str">
        <f>IFERROR(__xludf.DUMMYFUNCTION("""COMPUTED_VALUE"""),"2605A135")</f>
        <v>2605A135</v>
      </c>
      <c r="AD353" s="286">
        <f>IFERROR(__xludf.DUMMYFUNCTION("""COMPUTED_VALUE"""),46163.0)</f>
        <v>46163</v>
      </c>
      <c r="AE353" s="285" t="str">
        <f>IFERROR(__xludf.DUMMYFUNCTION("""COMPUTED_VALUE"""),"Shafna Agiska")</f>
        <v>Shafna Agiska</v>
      </c>
      <c r="AF353" s="285" t="str">
        <f>IFERROR(__xludf.DUMMYFUNCTION("""COMPUTED_VALUE"""),"081246285093")</f>
        <v>081246285093</v>
      </c>
      <c r="AG353" s="285" t="str">
        <f>IFERROR(__xludf.DUMMYFUNCTION("""COMPUTED_VALUE"""),"Gagal")</f>
        <v>Gagal</v>
      </c>
      <c r="AH353" s="285"/>
      <c r="AI353" s="287"/>
      <c r="AJ353" s="285"/>
      <c r="AK353" s="289"/>
      <c r="AL353" s="285" t="str">
        <f>IFERROR(__xludf.DUMMYFUNCTION("""COMPUTED_VALUE"""),"tanya warung bu har saja. tidak ikut trip")</f>
        <v>tanya warung bu har saja. tidak ikut trip</v>
      </c>
    </row>
    <row r="354"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320"/>
      <c r="R354" s="285"/>
      <c r="S354" s="285"/>
      <c r="T354" s="285"/>
      <c r="U354" s="285"/>
      <c r="V354" s="285"/>
      <c r="W354" s="285"/>
      <c r="X354" s="285"/>
      <c r="Y354" s="285"/>
      <c r="Z354" s="285"/>
      <c r="AA354" s="285"/>
      <c r="AC354" s="285" t="str">
        <f>IFERROR(__xludf.DUMMYFUNCTION("""COMPUTED_VALUE"""),"2605A136")</f>
        <v>2605A136</v>
      </c>
      <c r="AD354" s="286">
        <f>IFERROR(__xludf.DUMMYFUNCTION("""COMPUTED_VALUE"""),46163.0)</f>
        <v>46163</v>
      </c>
      <c r="AE354" s="285" t="str">
        <f>IFERROR(__xludf.DUMMYFUNCTION("""COMPUTED_VALUE"""),"REZA")</f>
        <v>REZA</v>
      </c>
      <c r="AF354" s="285" t="str">
        <f>IFERROR(__xludf.DUMMYFUNCTION("""COMPUTED_VALUE"""),"082330998760")</f>
        <v>082330998760</v>
      </c>
      <c r="AG354" s="285" t="str">
        <f>IFERROR(__xludf.DUMMYFUNCTION("""COMPUTED_VALUE"""),"Gagal")</f>
        <v>Gagal</v>
      </c>
      <c r="AH354" s="285" t="str">
        <f>IFERROR(__xludf.DUMMYFUNCTION("""COMPUTED_VALUE"""),"prvt menjangan tabuhan")</f>
        <v>prvt menjangan tabuhan</v>
      </c>
      <c r="AI354" s="287">
        <f>IFERROR(__xludf.DUMMYFUNCTION("""COMPUTED_VALUE"""),46172.0)</f>
        <v>46172</v>
      </c>
      <c r="AJ354" s="285">
        <f>IFERROR(__xludf.DUMMYFUNCTION("""COMPUTED_VALUE"""),6.0)</f>
        <v>6</v>
      </c>
      <c r="AK354" s="289"/>
      <c r="AL354" s="285" t="str">
        <f>IFERROR(__xludf.DUMMYFUNCTION("""COMPUTED_VALUE"""),"fullbooked")</f>
        <v>fullbooked</v>
      </c>
    </row>
    <row r="355"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320"/>
      <c r="R355" s="285"/>
      <c r="S355" s="285"/>
      <c r="T355" s="285"/>
      <c r="U355" s="285"/>
      <c r="V355" s="285"/>
      <c r="W355" s="285"/>
      <c r="X355" s="285"/>
      <c r="Y355" s="285"/>
      <c r="Z355" s="285"/>
      <c r="AA355" s="285"/>
      <c r="AC355" s="285" t="str">
        <f>IFERROR(__xludf.DUMMYFUNCTION("""COMPUTED_VALUE"""),"2605A137")</f>
        <v>2605A137</v>
      </c>
      <c r="AD355" s="286">
        <f>IFERROR(__xludf.DUMMYFUNCTION("""COMPUTED_VALUE"""),46164.0)</f>
        <v>46164</v>
      </c>
      <c r="AE355" s="285" t="str">
        <f>IFERROR(__xludf.DUMMYFUNCTION("""COMPUTED_VALUE"""),"Della")</f>
        <v>Della</v>
      </c>
      <c r="AF355" s="285" t="str">
        <f>IFERROR(__xludf.DUMMYFUNCTION("""COMPUTED_VALUE"""),"085710070572")</f>
        <v>085710070572</v>
      </c>
      <c r="AG355" s="285" t="str">
        <f>IFERROR(__xludf.DUMMYFUNCTION("""COMPUTED_VALUE"""),"Gagal")</f>
        <v>Gagal</v>
      </c>
      <c r="AH355" s="285" t="str">
        <f>IFERROR(__xludf.DUMMYFUNCTION("""COMPUTED_VALUE"""),"ot djabal")</f>
        <v>ot djabal</v>
      </c>
      <c r="AI355" s="287">
        <f>IFERROR(__xludf.DUMMYFUNCTION("""COMPUTED_VALUE"""),46196.0)</f>
        <v>46196</v>
      </c>
      <c r="AJ355" s="285">
        <f>IFERROR(__xludf.DUMMYFUNCTION("""COMPUTED_VALUE"""),2.0)</f>
        <v>2</v>
      </c>
      <c r="AK355" s="289">
        <f>IFERROR(__xludf.DUMMYFUNCTION("""COMPUTED_VALUE"""),1100000.0)</f>
        <v>1100000</v>
      </c>
      <c r="AL355" s="285" t="str">
        <f>IFERROR(__xludf.DUMMYFUNCTION("""COMPUTED_VALUE"""),"gada jawaban")</f>
        <v>gada jawaban</v>
      </c>
    </row>
    <row r="356"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320"/>
      <c r="R356" s="285"/>
      <c r="S356" s="285"/>
      <c r="T356" s="285"/>
      <c r="U356" s="285"/>
      <c r="V356" s="285"/>
      <c r="W356" s="285"/>
      <c r="X356" s="285"/>
      <c r="Y356" s="285"/>
      <c r="Z356" s="285"/>
      <c r="AA356" s="285"/>
      <c r="AC356" s="285" t="str">
        <f>IFERROR(__xludf.DUMMYFUNCTION("""COMPUTED_VALUE"""),"2605A138")</f>
        <v>2605A138</v>
      </c>
      <c r="AD356" s="286">
        <f>IFERROR(__xludf.DUMMYFUNCTION("""COMPUTED_VALUE"""),46164.0)</f>
        <v>46164</v>
      </c>
      <c r="AE356" s="285" t="str">
        <f>IFERROR(__xludf.DUMMYFUNCTION("""COMPUTED_VALUE"""),"Asri S Rahmi")</f>
        <v>Asri S Rahmi</v>
      </c>
      <c r="AF356" s="285" t="str">
        <f>IFERROR(__xludf.DUMMYFUNCTION("""COMPUTED_VALUE"""),"087848774252")</f>
        <v>087848774252</v>
      </c>
      <c r="AG356" s="285" t="str">
        <f>IFERROR(__xludf.DUMMYFUNCTION("""COMPUTED_VALUE"""),"Gagal")</f>
        <v>Gagal</v>
      </c>
      <c r="AH356" s="285" t="str">
        <f>IFERROR(__xludf.DUMMYFUNCTION("""COMPUTED_VALUE"""),"prvt menjangan tabuhan")</f>
        <v>prvt menjangan tabuhan</v>
      </c>
      <c r="AI356" s="287">
        <f>IFERROR(__xludf.DUMMYFUNCTION("""COMPUTED_VALUE"""),46171.0)</f>
        <v>46171</v>
      </c>
      <c r="AJ356" s="285">
        <f>IFERROR(__xludf.DUMMYFUNCTION("""COMPUTED_VALUE"""),5.0)</f>
        <v>5</v>
      </c>
      <c r="AK356" s="289"/>
      <c r="AL356" s="285" t="str">
        <f>IFERROR(__xludf.DUMMYFUNCTION("""COMPUTED_VALUE"""),"lewat tanggal")</f>
        <v>lewat tanggal</v>
      </c>
    </row>
    <row r="357"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320"/>
      <c r="R357" s="285"/>
      <c r="S357" s="285"/>
      <c r="T357" s="285"/>
      <c r="U357" s="285"/>
      <c r="V357" s="285"/>
      <c r="W357" s="285"/>
      <c r="X357" s="285"/>
      <c r="Y357" s="285"/>
      <c r="Z357" s="285"/>
      <c r="AA357" s="285"/>
      <c r="AC357" s="285" t="str">
        <f>IFERROR(__xludf.DUMMYFUNCTION("""COMPUTED_VALUE"""),"2605A139")</f>
        <v>2605A139</v>
      </c>
      <c r="AD357" s="286">
        <f>IFERROR(__xludf.DUMMYFUNCTION("""COMPUTED_VALUE"""),46164.0)</f>
        <v>46164</v>
      </c>
      <c r="AE357" s="285" t="str">
        <f>IFERROR(__xludf.DUMMYFUNCTION("""COMPUTED_VALUE"""),"Jan (Bibos)")</f>
        <v>Jan (Bibos)</v>
      </c>
      <c r="AF357" s="285" t="str">
        <f>IFERROR(__xludf.DUMMYFUNCTION("""COMPUTED_VALUE"""),"081316236303")</f>
        <v>081316236303</v>
      </c>
      <c r="AG357" s="285" t="str">
        <f>IFERROR(__xludf.DUMMYFUNCTION("""COMPUTED_VALUE"""),"Gagal")</f>
        <v>Gagal</v>
      </c>
      <c r="AH357" s="285" t="str">
        <f>IFERROR(__xludf.DUMMYFUNCTION("""COMPUTED_VALUE"""),"Green Island")</f>
        <v>Green Island</v>
      </c>
      <c r="AI357" s="287"/>
      <c r="AJ357" s="285">
        <f>IFERROR(__xludf.DUMMYFUNCTION("""COMPUTED_VALUE"""),2.0)</f>
        <v>2</v>
      </c>
      <c r="AK357" s="289">
        <f>IFERROR(__xludf.DUMMYFUNCTION("""COMPUTED_VALUE"""),1900000.0)</f>
        <v>1900000</v>
      </c>
      <c r="AL357" s="285" t="str">
        <f>IFERROR(__xludf.DUMMYFUNCTION("""COMPUTED_VALUE"""),"ga jadi")</f>
        <v>ga jadi</v>
      </c>
    </row>
    <row r="358"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320"/>
      <c r="R358" s="285"/>
      <c r="S358" s="285"/>
      <c r="T358" s="285"/>
      <c r="U358" s="285"/>
      <c r="V358" s="285"/>
      <c r="W358" s="285"/>
      <c r="X358" s="285"/>
      <c r="Y358" s="285"/>
      <c r="Z358" s="285"/>
      <c r="AA358" s="285"/>
      <c r="AC358" s="285" t="str">
        <f>IFERROR(__xludf.DUMMYFUNCTION("""COMPUTED_VALUE"""),"2605A140")</f>
        <v>2605A140</v>
      </c>
      <c r="AD358" s="286">
        <f>IFERROR(__xludf.DUMMYFUNCTION("""COMPUTED_VALUE"""),46165.0)</f>
        <v>46165</v>
      </c>
      <c r="AE358" s="285" t="str">
        <f>IFERROR(__xludf.DUMMYFUNCTION("""COMPUTED_VALUE"""),"Mutiara")</f>
        <v>Mutiara</v>
      </c>
      <c r="AF358" s="285" t="str">
        <f>IFERROR(__xludf.DUMMYFUNCTION("""COMPUTED_VALUE"""),"085799081096")</f>
        <v>085799081096</v>
      </c>
      <c r="AG358" s="285" t="str">
        <f>IFERROR(__xludf.DUMMYFUNCTION("""COMPUTED_VALUE"""),"Gagal")</f>
        <v>Gagal</v>
      </c>
      <c r="AH358" s="285" t="str">
        <f>IFERROR(__xludf.DUMMYFUNCTION("""COMPUTED_VALUE"""),"ot mt")</f>
        <v>ot mt</v>
      </c>
      <c r="AI358" s="287"/>
      <c r="AJ358" s="285">
        <f>IFERROR(__xludf.DUMMYFUNCTION("""COMPUTED_VALUE"""),2.0)</f>
        <v>2</v>
      </c>
      <c r="AK358" s="289">
        <f>IFERROR(__xludf.DUMMYFUNCTION("""COMPUTED_VALUE"""),550000.0)</f>
        <v>550000</v>
      </c>
      <c r="AL358" s="285" t="str">
        <f>IFERROR(__xludf.DUMMYFUNCTION("""COMPUTED_VALUE"""),"fullbooked")</f>
        <v>fullbooked</v>
      </c>
    </row>
    <row r="359"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320"/>
      <c r="R359" s="285"/>
      <c r="S359" s="285"/>
      <c r="T359" s="285"/>
      <c r="U359" s="285"/>
      <c r="V359" s="285"/>
      <c r="W359" s="285"/>
      <c r="X359" s="285"/>
      <c r="Y359" s="285"/>
      <c r="Z359" s="285"/>
      <c r="AA359" s="285"/>
      <c r="AC359" s="285" t="str">
        <f>IFERROR(__xludf.DUMMYFUNCTION("""COMPUTED_VALUE"""),"2605A141")</f>
        <v>2605A141</v>
      </c>
      <c r="AD359" s="286">
        <f>IFERROR(__xludf.DUMMYFUNCTION("""COMPUTED_VALUE"""),46164.0)</f>
        <v>46164</v>
      </c>
      <c r="AE359" s="285" t="str">
        <f>IFERROR(__xludf.DUMMYFUNCTION("""COMPUTED_VALUE"""),"Max")</f>
        <v>Max</v>
      </c>
      <c r="AF359" s="285" t="str">
        <f>IFERROR(__xludf.DUMMYFUNCTION("""COMPUTED_VALUE"""),"601114129530")</f>
        <v>601114129530</v>
      </c>
      <c r="AG359" s="285" t="str">
        <f>IFERROR(__xludf.DUMMYFUNCTION("""COMPUTED_VALUE"""),"Gagal")</f>
        <v>Gagal</v>
      </c>
      <c r="AH359" s="285" t="str">
        <f>IFERROR(__xludf.DUMMYFUNCTION("""COMPUTED_VALUE"""),"djabal")</f>
        <v>djabal</v>
      </c>
      <c r="AI359" s="287">
        <f>IFERROR(__xludf.DUMMYFUNCTION("""COMPUTED_VALUE"""),46222.0)</f>
        <v>46222</v>
      </c>
      <c r="AJ359" s="285">
        <f>IFERROR(__xludf.DUMMYFUNCTION("""COMPUTED_VALUE"""),2.0)</f>
        <v>2</v>
      </c>
      <c r="AK359" s="289">
        <f>IFERROR(__xludf.DUMMYFUNCTION("""COMPUTED_VALUE"""),2300000.0)</f>
        <v>2300000</v>
      </c>
      <c r="AL359" s="285" t="str">
        <f>IFERROR(__xludf.DUMMYFUNCTION("""COMPUTED_VALUE"""),"tidak jadi pergi")</f>
        <v>tidak jadi pergi</v>
      </c>
    </row>
    <row r="360"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320"/>
      <c r="R360" s="285"/>
      <c r="S360" s="285"/>
      <c r="T360" s="285"/>
      <c r="U360" s="285"/>
      <c r="V360" s="285"/>
      <c r="W360" s="285"/>
      <c r="X360" s="285"/>
      <c r="Y360" s="285"/>
      <c r="Z360" s="285"/>
      <c r="AA360" s="285"/>
      <c r="AC360" s="285" t="str">
        <f>IFERROR(__xludf.DUMMYFUNCTION("""COMPUTED_VALUE"""),"2605A142")</f>
        <v>2605A142</v>
      </c>
      <c r="AD360" s="286">
        <f>IFERROR(__xludf.DUMMYFUNCTION("""COMPUTED_VALUE"""),46164.0)</f>
        <v>46164</v>
      </c>
      <c r="AE360" s="285" t="str">
        <f>IFERROR(__xludf.DUMMYFUNCTION("""COMPUTED_VALUE"""),"Nindya A")</f>
        <v>Nindya A</v>
      </c>
      <c r="AF360" s="285" t="str">
        <f>IFERROR(__xludf.DUMMYFUNCTION("""COMPUTED_VALUE"""),"081284177651")</f>
        <v>081284177651</v>
      </c>
      <c r="AG360" s="285" t="str">
        <f>IFERROR(__xludf.DUMMYFUNCTION("""COMPUTED_VALUE"""),"Gagal")</f>
        <v>Gagal</v>
      </c>
      <c r="AH360" s="285"/>
      <c r="AI360" s="287"/>
      <c r="AJ360" s="285"/>
      <c r="AK360" s="289"/>
      <c r="AL360" s="285" t="str">
        <f>IFERROR(__xludf.DUMMYFUNCTION("""COMPUTED_VALUE"""),"ke admin 1")</f>
        <v>ke admin 1</v>
      </c>
    </row>
    <row r="361"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320"/>
      <c r="R361" s="285"/>
      <c r="S361" s="285"/>
      <c r="T361" s="285"/>
      <c r="U361" s="285"/>
      <c r="V361" s="285"/>
      <c r="W361" s="285"/>
      <c r="X361" s="285"/>
      <c r="Y361" s="285"/>
      <c r="Z361" s="285"/>
      <c r="AA361" s="285"/>
      <c r="AC361" s="285" t="str">
        <f>IFERROR(__xludf.DUMMYFUNCTION("""COMPUTED_VALUE"""),"2605A143")</f>
        <v>2605A143</v>
      </c>
      <c r="AD361" s="286">
        <f>IFERROR(__xludf.DUMMYFUNCTION("""COMPUTED_VALUE"""),46165.0)</f>
        <v>46165</v>
      </c>
      <c r="AE361" s="285" t="str">
        <f>IFERROR(__xludf.DUMMYFUNCTION("""COMPUTED_VALUE"""),"Dilla")</f>
        <v>Dilla</v>
      </c>
      <c r="AF361" s="285" t="str">
        <f>IFERROR(__xludf.DUMMYFUNCTION("""COMPUTED_VALUE"""),"081380278612")</f>
        <v>081380278612</v>
      </c>
      <c r="AG361" s="285" t="str">
        <f>IFERROR(__xludf.DUMMYFUNCTION("""COMPUTED_VALUE"""),"Gagal")</f>
        <v>Gagal</v>
      </c>
      <c r="AH361" s="285" t="str">
        <f>IFERROR(__xludf.DUMMYFUNCTION("""COMPUTED_VALUE"""),"2h1m opsi a")</f>
        <v>2h1m opsi a</v>
      </c>
      <c r="AI361" s="287"/>
      <c r="AJ361" s="285">
        <f>IFERROR(__xludf.DUMMYFUNCTION("""COMPUTED_VALUE"""),2.0)</f>
        <v>2</v>
      </c>
      <c r="AK361" s="289"/>
      <c r="AL361" s="285" t="str">
        <f>IFERROR(__xludf.DUMMYFUNCTION("""COMPUTED_VALUE"""),"gada balasan")</f>
        <v>gada balasan</v>
      </c>
    </row>
    <row r="362"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320"/>
      <c r="R362" s="285"/>
      <c r="S362" s="285"/>
      <c r="T362" s="285"/>
      <c r="U362" s="285"/>
      <c r="V362" s="285"/>
      <c r="W362" s="285"/>
      <c r="X362" s="285"/>
      <c r="Y362" s="285"/>
      <c r="Z362" s="285"/>
      <c r="AA362" s="285"/>
      <c r="AC362" s="285" t="str">
        <f>IFERROR(__xludf.DUMMYFUNCTION("""COMPUTED_VALUE"""),"2605A144")</f>
        <v>2605A144</v>
      </c>
      <c r="AD362" s="286">
        <f>IFERROR(__xludf.DUMMYFUNCTION("""COMPUTED_VALUE"""),46165.0)</f>
        <v>46165</v>
      </c>
      <c r="AE362" s="285" t="str">
        <f>IFERROR(__xludf.DUMMYFUNCTION("""COMPUTED_VALUE"""),"Marcellinoo")</f>
        <v>Marcellinoo</v>
      </c>
      <c r="AF362" s="285" t="str">
        <f>IFERROR(__xludf.DUMMYFUNCTION("""COMPUTED_VALUE"""),"085649538313")</f>
        <v>085649538313</v>
      </c>
      <c r="AG362" s="285" t="str">
        <f>IFERROR(__xludf.DUMMYFUNCTION("""COMPUTED_VALUE"""),"Gagal")</f>
        <v>Gagal</v>
      </c>
      <c r="AH362" s="285" t="str">
        <f>IFERROR(__xludf.DUMMYFUNCTION("""COMPUTED_VALUE"""),"ot mt")</f>
        <v>ot mt</v>
      </c>
      <c r="AI362" s="287">
        <f>IFERROR(__xludf.DUMMYFUNCTION("""COMPUTED_VALUE"""),46173.0)</f>
        <v>46173</v>
      </c>
      <c r="AJ362" s="285">
        <f>IFERROR(__xludf.DUMMYFUNCTION("""COMPUTED_VALUE"""),4.0)</f>
        <v>4</v>
      </c>
      <c r="AK362" s="289"/>
      <c r="AL362" s="285" t="str">
        <f>IFERROR(__xludf.DUMMYFUNCTION("""COMPUTED_VALUE"""),"fullbooked")</f>
        <v>fullbooked</v>
      </c>
    </row>
    <row r="363"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320"/>
      <c r="R363" s="285"/>
      <c r="S363" s="285"/>
      <c r="T363" s="285"/>
      <c r="U363" s="285"/>
      <c r="V363" s="285"/>
      <c r="W363" s="285"/>
      <c r="X363" s="285"/>
      <c r="Y363" s="285"/>
      <c r="Z363" s="285"/>
      <c r="AA363" s="285"/>
      <c r="AC363" s="285" t="str">
        <f>IFERROR(__xludf.DUMMYFUNCTION("""COMPUTED_VALUE"""),"2605A145")</f>
        <v>2605A145</v>
      </c>
      <c r="AD363" s="286">
        <f>IFERROR(__xludf.DUMMYFUNCTION("""COMPUTED_VALUE"""),46165.0)</f>
        <v>46165</v>
      </c>
      <c r="AE363" s="285" t="str">
        <f>IFERROR(__xludf.DUMMYFUNCTION("""COMPUTED_VALUE"""),"Vidya")</f>
        <v>Vidya</v>
      </c>
      <c r="AF363" s="285" t="str">
        <f>IFERROR(__xludf.DUMMYFUNCTION("""COMPUTED_VALUE"""),"081934681839")</f>
        <v>081934681839</v>
      </c>
      <c r="AG363" s="285" t="str">
        <f>IFERROR(__xludf.DUMMYFUNCTION("""COMPUTED_VALUE"""),"Gagal")</f>
        <v>Gagal</v>
      </c>
      <c r="AH363" s="285" t="str">
        <f>IFERROR(__xludf.DUMMYFUNCTION("""COMPUTED_VALUE"""),"2h1m")</f>
        <v>2h1m</v>
      </c>
      <c r="AI363" s="287">
        <f>IFERROR(__xludf.DUMMYFUNCTION("""COMPUTED_VALUE"""),46172.0)</f>
        <v>46172</v>
      </c>
      <c r="AJ363" s="285">
        <f>IFERROR(__xludf.DUMMYFUNCTION("""COMPUTED_VALUE"""),2.0)</f>
        <v>2</v>
      </c>
      <c r="AK363" s="289">
        <f>IFERROR(__xludf.DUMMYFUNCTION("""COMPUTED_VALUE"""),4890000.0)</f>
        <v>4890000</v>
      </c>
      <c r="AL363" s="285" t="str">
        <f>IFERROR(__xludf.DUMMYFUNCTION("""COMPUTED_VALUE"""),"mepet dengan kerjaan")</f>
        <v>mepet dengan kerjaan</v>
      </c>
    </row>
    <row r="364"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320"/>
      <c r="R364" s="285"/>
      <c r="S364" s="285"/>
      <c r="T364" s="285"/>
      <c r="U364" s="285"/>
      <c r="V364" s="285"/>
      <c r="W364" s="285"/>
      <c r="X364" s="285"/>
      <c r="Y364" s="285"/>
      <c r="Z364" s="285"/>
      <c r="AA364" s="285"/>
      <c r="AC364" s="285" t="str">
        <f>IFERROR(__xludf.DUMMYFUNCTION("""COMPUTED_VALUE"""),"2605A146")</f>
        <v>2605A146</v>
      </c>
      <c r="AD364" s="286">
        <f>IFERROR(__xludf.DUMMYFUNCTION("""COMPUTED_VALUE"""),46166.0)</f>
        <v>46166</v>
      </c>
      <c r="AE364" s="285" t="str">
        <f>IFERROR(__xludf.DUMMYFUNCTION("""COMPUTED_VALUE"""),"Zanura")</f>
        <v>Zanura</v>
      </c>
      <c r="AF364" s="285" t="str">
        <f>IFERROR(__xludf.DUMMYFUNCTION("""COMPUTED_VALUE"""),"082113925550")</f>
        <v>082113925550</v>
      </c>
      <c r="AG364" s="285" t="str">
        <f>IFERROR(__xludf.DUMMYFUNCTION("""COMPUTED_VALUE"""),"Gagal")</f>
        <v>Gagal</v>
      </c>
      <c r="AH364" s="285" t="str">
        <f>IFERROR(__xludf.DUMMYFUNCTION("""COMPUTED_VALUE"""),"3h2m")</f>
        <v>3h2m</v>
      </c>
      <c r="AI364" s="287"/>
      <c r="AJ364" s="285">
        <f>IFERROR(__xludf.DUMMYFUNCTION("""COMPUTED_VALUE"""),4.0)</f>
        <v>4</v>
      </c>
      <c r="AK364" s="289">
        <f>IFERROR(__xludf.DUMMYFUNCTION("""COMPUTED_VALUE"""),9500000.0)</f>
        <v>9500000</v>
      </c>
      <c r="AL364" s="285" t="str">
        <f>IFERROR(__xludf.DUMMYFUNCTION("""COMPUTED_VALUE"""),"gada balasan")</f>
        <v>gada balasan</v>
      </c>
    </row>
    <row r="365"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320"/>
      <c r="R365" s="285"/>
      <c r="S365" s="285"/>
      <c r="T365" s="285"/>
      <c r="U365" s="285"/>
      <c r="V365" s="285"/>
      <c r="W365" s="285"/>
      <c r="X365" s="285"/>
      <c r="Y365" s="285"/>
      <c r="Z365" s="285"/>
      <c r="AA365" s="285"/>
      <c r="AC365" s="285" t="str">
        <f>IFERROR(__xludf.DUMMYFUNCTION("""COMPUTED_VALUE"""),"2605A147")</f>
        <v>2605A147</v>
      </c>
      <c r="AD365" s="286">
        <f>IFERROR(__xludf.DUMMYFUNCTION("""COMPUTED_VALUE"""),46166.0)</f>
        <v>46166</v>
      </c>
      <c r="AE365" s="285" t="str">
        <f>IFERROR(__xludf.DUMMYFUNCTION("""COMPUTED_VALUE"""),"Kristiana")</f>
        <v>Kristiana</v>
      </c>
      <c r="AF365" s="285" t="str">
        <f>IFERROR(__xludf.DUMMYFUNCTION("""COMPUTED_VALUE"""),"082220182316")</f>
        <v>082220182316</v>
      </c>
      <c r="AG365" s="285" t="str">
        <f>IFERROR(__xludf.DUMMYFUNCTION("""COMPUTED_VALUE"""),"Gagal")</f>
        <v>Gagal</v>
      </c>
      <c r="AH365" s="285" t="str">
        <f>IFERROR(__xludf.DUMMYFUNCTION("""COMPUTED_VALUE"""),"menjangan tabuhan")</f>
        <v>menjangan tabuhan</v>
      </c>
      <c r="AI365" s="287">
        <f>IFERROR(__xludf.DUMMYFUNCTION("""COMPUTED_VALUE"""),46172.0)</f>
        <v>46172</v>
      </c>
      <c r="AJ365" s="285">
        <f>IFERROR(__xludf.DUMMYFUNCTION("""COMPUTED_VALUE"""),5.0)</f>
        <v>5</v>
      </c>
      <c r="AK365" s="289"/>
      <c r="AL365" s="285" t="str">
        <f>IFERROR(__xludf.DUMMYFUNCTION("""COMPUTED_VALUE"""),"fullbooked")</f>
        <v>fullbooked</v>
      </c>
    </row>
    <row r="366"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320"/>
      <c r="R366" s="285"/>
      <c r="S366" s="285"/>
      <c r="T366" s="285"/>
      <c r="U366" s="285"/>
      <c r="V366" s="285"/>
      <c r="W366" s="285"/>
      <c r="X366" s="285"/>
      <c r="Y366" s="285"/>
      <c r="Z366" s="285"/>
      <c r="AA366" s="285"/>
      <c r="AC366" s="285" t="str">
        <f>IFERROR(__xludf.DUMMYFUNCTION("""COMPUTED_VALUE"""),"2605A148")</f>
        <v>2605A148</v>
      </c>
      <c r="AD366" s="286">
        <f>IFERROR(__xludf.DUMMYFUNCTION("""COMPUTED_VALUE"""),46166.0)</f>
        <v>46166</v>
      </c>
      <c r="AE366" s="285" t="str">
        <f>IFERROR(__xludf.DUMMYFUNCTION("""COMPUTED_VALUE"""),"Femy Rahma F")</f>
        <v>Femy Rahma F</v>
      </c>
      <c r="AF366" s="285" t="str">
        <f>IFERROR(__xludf.DUMMYFUNCTION("""COMPUTED_VALUE"""),"081226919375")</f>
        <v>081226919375</v>
      </c>
      <c r="AG366" s="285" t="str">
        <f>IFERROR(__xludf.DUMMYFUNCTION("""COMPUTED_VALUE"""),"Gagal")</f>
        <v>Gagal</v>
      </c>
      <c r="AH366" s="285" t="str">
        <f>IFERROR(__xludf.DUMMYFUNCTION("""COMPUTED_VALUE"""),"2h1m opsi b")</f>
        <v>2h1m opsi b</v>
      </c>
      <c r="AI366" s="287"/>
      <c r="AJ366" s="285">
        <f>IFERROR(__xludf.DUMMYFUNCTION("""COMPUTED_VALUE"""),2.0)</f>
        <v>2</v>
      </c>
      <c r="AK366" s="289">
        <f>IFERROR(__xludf.DUMMYFUNCTION("""COMPUTED_VALUE"""),3588000.0)</f>
        <v>3588000</v>
      </c>
      <c r="AL366" s="285" t="str">
        <f>IFERROR(__xludf.DUMMYFUNCTION("""COMPUTED_VALUE"""),"belum ada jawaban")</f>
        <v>belum ada jawaban</v>
      </c>
    </row>
    <row r="367"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320"/>
      <c r="R367" s="285"/>
      <c r="S367" s="285"/>
      <c r="T367" s="285"/>
      <c r="U367" s="285"/>
      <c r="V367" s="285"/>
      <c r="W367" s="285"/>
      <c r="X367" s="285"/>
      <c r="Y367" s="285"/>
      <c r="Z367" s="285"/>
      <c r="AA367" s="285"/>
      <c r="AC367" s="285" t="str">
        <f>IFERROR(__xludf.DUMMYFUNCTION("""COMPUTED_VALUE"""),"2605A149")</f>
        <v>2605A149</v>
      </c>
      <c r="AD367" s="286">
        <f>IFERROR(__xludf.DUMMYFUNCTION("""COMPUTED_VALUE"""),46166.0)</f>
        <v>46166</v>
      </c>
      <c r="AE367" s="285" t="str">
        <f>IFERROR(__xludf.DUMMYFUNCTION("""COMPUTED_VALUE"""),"Resti")</f>
        <v>Resti</v>
      </c>
      <c r="AF367" s="285" t="str">
        <f>IFERROR(__xludf.DUMMYFUNCTION("""COMPUTED_VALUE"""),"081389486106")</f>
        <v>081389486106</v>
      </c>
      <c r="AG367" s="285" t="str">
        <f>IFERROR(__xludf.DUMMYFUNCTION("""COMPUTED_VALUE"""),"Gagal")</f>
        <v>Gagal</v>
      </c>
      <c r="AH367" s="285" t="str">
        <f>IFERROR(__xludf.DUMMYFUNCTION("""COMPUTED_VALUE"""),"3h2m")</f>
        <v>3h2m</v>
      </c>
      <c r="AI367" s="287"/>
      <c r="AJ367" s="285">
        <f>IFERROR(__xludf.DUMMYFUNCTION("""COMPUTED_VALUE"""),15.0)</f>
        <v>15</v>
      </c>
      <c r="AK367" s="289">
        <f>IFERROR(__xludf.DUMMYFUNCTION("""COMPUTED_VALUE"""),1.545E7)</f>
        <v>15450000</v>
      </c>
      <c r="AL367" s="285" t="str">
        <f>IFERROR(__xludf.DUMMYFUNCTION("""COMPUTED_VALUE"""),"tiket pesawat habis")</f>
        <v>tiket pesawat habis</v>
      </c>
    </row>
    <row r="368"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320"/>
      <c r="R368" s="285"/>
      <c r="S368" s="285"/>
      <c r="T368" s="285"/>
      <c r="U368" s="285"/>
      <c r="V368" s="285"/>
      <c r="W368" s="285"/>
      <c r="X368" s="285"/>
      <c r="Y368" s="285"/>
      <c r="Z368" s="285"/>
      <c r="AA368" s="285"/>
      <c r="AC368" s="285" t="str">
        <f>IFERROR(__xludf.DUMMYFUNCTION("""COMPUTED_VALUE"""),"2605A151")</f>
        <v>2605A151</v>
      </c>
      <c r="AD368" s="286">
        <f>IFERROR(__xludf.DUMMYFUNCTION("""COMPUTED_VALUE"""),46166.0)</f>
        <v>46166</v>
      </c>
      <c r="AE368" s="285" t="str">
        <f>IFERROR(__xludf.DUMMYFUNCTION("""COMPUTED_VALUE"""),"cit cit cuit")</f>
        <v>cit cit cuit</v>
      </c>
      <c r="AF368" s="285" t="str">
        <f>IFERROR(__xludf.DUMMYFUNCTION("""COMPUTED_VALUE"""),"085920638180")</f>
        <v>085920638180</v>
      </c>
      <c r="AG368" s="285" t="str">
        <f>IFERROR(__xludf.DUMMYFUNCTION("""COMPUTED_VALUE"""),"Gagal")</f>
        <v>Gagal</v>
      </c>
      <c r="AH368" s="285" t="str">
        <f>IFERROR(__xludf.DUMMYFUNCTION("""COMPUTED_VALUE"""),"green island")</f>
        <v>green island</v>
      </c>
      <c r="AI368" s="287">
        <f>IFERROR(__xludf.DUMMYFUNCTION("""COMPUTED_VALUE"""),46179.0)</f>
        <v>46179</v>
      </c>
      <c r="AJ368" s="285">
        <f>IFERROR(__xludf.DUMMYFUNCTION("""COMPUTED_VALUE"""),3.0)</f>
        <v>3</v>
      </c>
      <c r="AK368" s="289">
        <f>IFERROR(__xludf.DUMMYFUNCTION("""COMPUTED_VALUE"""),2199000.0)</f>
        <v>2199000</v>
      </c>
      <c r="AL368" s="285"/>
    </row>
    <row r="369"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320"/>
      <c r="R369" s="285"/>
      <c r="S369" s="285"/>
      <c r="T369" s="285"/>
      <c r="U369" s="285"/>
      <c r="V369" s="285"/>
      <c r="W369" s="285"/>
      <c r="X369" s="285"/>
      <c r="Y369" s="285"/>
      <c r="Z369" s="285"/>
      <c r="AA369" s="285"/>
      <c r="AC369" s="285" t="str">
        <f>IFERROR(__xludf.DUMMYFUNCTION("""COMPUTED_VALUE"""),"2605A152")</f>
        <v>2605A152</v>
      </c>
      <c r="AD369" s="286">
        <f>IFERROR(__xludf.DUMMYFUNCTION("""COMPUTED_VALUE"""),46167.0)</f>
        <v>46167</v>
      </c>
      <c r="AE369" s="285" t="str">
        <f>IFERROR(__xludf.DUMMYFUNCTION("""COMPUTED_VALUE"""),"gitaningtyas9")</f>
        <v>gitaningtyas9</v>
      </c>
      <c r="AF369" s="285" t="str">
        <f>IFERROR(__xludf.DUMMYFUNCTION("""COMPUTED_VALUE"""),"085232578449")</f>
        <v>085232578449</v>
      </c>
      <c r="AG369" s="285" t="str">
        <f>IFERROR(__xludf.DUMMYFUNCTION("""COMPUTED_VALUE"""),"Gagal")</f>
        <v>Gagal</v>
      </c>
      <c r="AH369" s="285" t="str">
        <f>IFERROR(__xludf.DUMMYFUNCTION("""COMPUTED_VALUE"""),"ot djabal")</f>
        <v>ot djabal</v>
      </c>
      <c r="AI369" s="287"/>
      <c r="AJ369" s="285">
        <f>IFERROR(__xludf.DUMMYFUNCTION("""COMPUTED_VALUE"""),4.0)</f>
        <v>4</v>
      </c>
      <c r="AK369" s="289">
        <f>IFERROR(__xludf.DUMMYFUNCTION("""COMPUTED_VALUE"""),2200000.0)</f>
        <v>2200000</v>
      </c>
      <c r="AL369" s="285"/>
    </row>
    <row r="370"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320"/>
      <c r="R370" s="285"/>
      <c r="S370" s="285"/>
      <c r="T370" s="285"/>
      <c r="U370" s="285"/>
      <c r="V370" s="285"/>
      <c r="W370" s="285"/>
      <c r="X370" s="285"/>
      <c r="Y370" s="285"/>
      <c r="Z370" s="285"/>
      <c r="AA370" s="285"/>
      <c r="AC370" s="285" t="str">
        <f>IFERROR(__xludf.DUMMYFUNCTION("""COMPUTED_VALUE"""),"2605A153")</f>
        <v>2605A153</v>
      </c>
      <c r="AD370" s="286">
        <f>IFERROR(__xludf.DUMMYFUNCTION("""COMPUTED_VALUE"""),46167.0)</f>
        <v>46167</v>
      </c>
      <c r="AE370" s="285" t="str">
        <f>IFERROR(__xludf.DUMMYFUNCTION("""COMPUTED_VALUE"""),".")</f>
        <v>.</v>
      </c>
      <c r="AF370" s="285" t="str">
        <f>IFERROR(__xludf.DUMMYFUNCTION("""COMPUTED_VALUE"""),"085784410760")</f>
        <v>085784410760</v>
      </c>
      <c r="AG370" s="285" t="str">
        <f>IFERROR(__xludf.DUMMYFUNCTION("""COMPUTED_VALUE"""),"Gagal")</f>
        <v>Gagal</v>
      </c>
      <c r="AH370" s="285"/>
      <c r="AI370" s="287"/>
      <c r="AJ370" s="285"/>
      <c r="AK370" s="289"/>
      <c r="AL370" s="285" t="str">
        <f>IFERROR(__xludf.DUMMYFUNCTION("""COMPUTED_VALUE"""),"hanya menyapa. gada balasan")</f>
        <v>hanya menyapa. gada balasan</v>
      </c>
    </row>
    <row r="371"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320"/>
      <c r="R371" s="285"/>
      <c r="S371" s="285"/>
      <c r="T371" s="285"/>
      <c r="U371" s="285"/>
      <c r="V371" s="285"/>
      <c r="W371" s="285"/>
      <c r="X371" s="285"/>
      <c r="Y371" s="285"/>
      <c r="Z371" s="285"/>
      <c r="AA371" s="285"/>
      <c r="AC371" s="285" t="str">
        <f>IFERROR(__xludf.DUMMYFUNCTION("""COMPUTED_VALUE"""),"2605A154")</f>
        <v>2605A154</v>
      </c>
      <c r="AD371" s="286">
        <f>IFERROR(__xludf.DUMMYFUNCTION("""COMPUTED_VALUE"""),46167.0)</f>
        <v>46167</v>
      </c>
      <c r="AE371" s="285" t="str">
        <f>IFERROR(__xludf.DUMMYFUNCTION("""COMPUTED_VALUE"""),"Rahmad Insani Ilman")</f>
        <v>Rahmad Insani Ilman</v>
      </c>
      <c r="AF371" s="285" t="str">
        <f>IFERROR(__xludf.DUMMYFUNCTION("""COMPUTED_VALUE"""),"085173255983")</f>
        <v>085173255983</v>
      </c>
      <c r="AG371" s="285" t="str">
        <f>IFERROR(__xludf.DUMMYFUNCTION("""COMPUTED_VALUE"""),"Gagal")</f>
        <v>Gagal</v>
      </c>
      <c r="AH371" s="285" t="str">
        <f>IFERROR(__xludf.DUMMYFUNCTION("""COMPUTED_VALUE"""),"ot djawatan")</f>
        <v>ot djawatan</v>
      </c>
      <c r="AI371" s="287">
        <f>IFERROR(__xludf.DUMMYFUNCTION("""COMPUTED_VALUE"""),46193.0)</f>
        <v>46193</v>
      </c>
      <c r="AJ371" s="285"/>
      <c r="AK371" s="289"/>
      <c r="AL371" s="285" t="str">
        <f>IFERROR(__xludf.DUMMYFUNCTION("""COMPUTED_VALUE"""),"gada balasan  ")</f>
        <v>gada balasan  </v>
      </c>
    </row>
    <row r="372"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320"/>
      <c r="R372" s="285"/>
      <c r="S372" s="285"/>
      <c r="T372" s="285"/>
      <c r="U372" s="285"/>
      <c r="V372" s="285"/>
      <c r="W372" s="285"/>
      <c r="X372" s="285"/>
      <c r="Y372" s="285"/>
      <c r="Z372" s="285"/>
      <c r="AA372" s="285"/>
      <c r="AC372" s="285" t="str">
        <f>IFERROR(__xludf.DUMMYFUNCTION("""COMPUTED_VALUE"""),"2605A156")</f>
        <v>2605A156</v>
      </c>
      <c r="AD372" s="286">
        <f>IFERROR(__xludf.DUMMYFUNCTION("""COMPUTED_VALUE"""),46168.0)</f>
        <v>46168</v>
      </c>
      <c r="AE372" s="285" t="str">
        <f>IFERROR(__xludf.DUMMYFUNCTION("""COMPUTED_VALUE"""),"Azkia")</f>
        <v>Azkia</v>
      </c>
      <c r="AF372" s="285" t="str">
        <f>IFERROR(__xludf.DUMMYFUNCTION("""COMPUTED_VALUE"""),"085648462808")</f>
        <v>085648462808</v>
      </c>
      <c r="AG372" s="285" t="str">
        <f>IFERROR(__xludf.DUMMYFUNCTION("""COMPUTED_VALUE"""),"Gagal")</f>
        <v>Gagal</v>
      </c>
      <c r="AH372" s="285" t="str">
        <f>IFERROR(__xludf.DUMMYFUNCTION("""COMPUTED_VALUE"""),"ot ijen")</f>
        <v>ot ijen</v>
      </c>
      <c r="AI372" s="287">
        <f>IFERROR(__xludf.DUMMYFUNCTION("""COMPUTED_VALUE"""),46172.0)</f>
        <v>46172</v>
      </c>
      <c r="AJ372" s="285">
        <f>IFERROR(__xludf.DUMMYFUNCTION("""COMPUTED_VALUE"""),2.0)</f>
        <v>2</v>
      </c>
      <c r="AK372" s="289">
        <f>IFERROR(__xludf.DUMMYFUNCTION("""COMPUTED_VALUE"""),500000.0)</f>
        <v>500000</v>
      </c>
      <c r="AL372" s="285" t="str">
        <f>IFERROR(__xludf.DUMMYFUNCTION("""COMPUTED_VALUE"""),"belum jadi")</f>
        <v>belum jadi</v>
      </c>
    </row>
    <row r="373"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320"/>
      <c r="R373" s="285"/>
      <c r="S373" s="285"/>
      <c r="T373" s="285"/>
      <c r="U373" s="285"/>
      <c r="V373" s="285"/>
      <c r="W373" s="285"/>
      <c r="X373" s="285"/>
      <c r="Y373" s="285"/>
      <c r="Z373" s="285"/>
      <c r="AA373" s="285"/>
      <c r="AC373" s="285" t="str">
        <f>IFERROR(__xludf.DUMMYFUNCTION("""COMPUTED_VALUE"""),"2605A157")</f>
        <v>2605A157</v>
      </c>
      <c r="AD373" s="286">
        <f>IFERROR(__xludf.DUMMYFUNCTION("""COMPUTED_VALUE"""),46167.0)</f>
        <v>46167</v>
      </c>
      <c r="AE373" s="285" t="str">
        <f>IFERROR(__xludf.DUMMYFUNCTION("""COMPUTED_VALUE"""),"vivi")</f>
        <v>vivi</v>
      </c>
      <c r="AF373" s="285" t="str">
        <f>IFERROR(__xludf.DUMMYFUNCTION("""COMPUTED_VALUE"""),"082276942844")</f>
        <v>082276942844</v>
      </c>
      <c r="AG373" s="285" t="str">
        <f>IFERROR(__xludf.DUMMYFUNCTION("""COMPUTED_VALUE"""),"Gagal")</f>
        <v>Gagal</v>
      </c>
      <c r="AH373" s="285" t="str">
        <f>IFERROR(__xludf.DUMMYFUNCTION("""COMPUTED_VALUE"""),"open trip")</f>
        <v>open trip</v>
      </c>
      <c r="AI373" s="287"/>
      <c r="AJ373" s="285"/>
      <c r="AK373" s="289"/>
      <c r="AL373" s="285" t="str">
        <f>IFERROR(__xludf.DUMMYFUNCTION("""COMPUTED_VALUE"""),"gada kelanjutan")</f>
        <v>gada kelanjutan</v>
      </c>
    </row>
    <row r="374"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320"/>
      <c r="R374" s="285"/>
      <c r="S374" s="285"/>
      <c r="T374" s="285"/>
      <c r="U374" s="285"/>
      <c r="V374" s="285"/>
      <c r="W374" s="285"/>
      <c r="X374" s="285"/>
      <c r="Y374" s="285"/>
      <c r="Z374" s="285"/>
      <c r="AA374" s="285"/>
      <c r="AC374" s="285" t="str">
        <f>IFERROR(__xludf.DUMMYFUNCTION("""COMPUTED_VALUE"""),"2605A158")</f>
        <v>2605A158</v>
      </c>
      <c r="AD374" s="286">
        <f>IFERROR(__xludf.DUMMYFUNCTION("""COMPUTED_VALUE"""),46167.0)</f>
        <v>46167</v>
      </c>
      <c r="AE374" s="285" t="str">
        <f>IFERROR(__xludf.DUMMYFUNCTION("""COMPUTED_VALUE"""),"Farid")</f>
        <v>Farid</v>
      </c>
      <c r="AF374" s="285" t="str">
        <f>IFERROR(__xludf.DUMMYFUNCTION("""COMPUTED_VALUE"""),"085366752778")</f>
        <v>085366752778</v>
      </c>
      <c r="AG374" s="285" t="str">
        <f>IFERROR(__xludf.DUMMYFUNCTION("""COMPUTED_VALUE"""),"Gagal")</f>
        <v>Gagal</v>
      </c>
      <c r="AH374" s="285" t="str">
        <f>IFERROR(__xludf.DUMMYFUNCTION("""COMPUTED_VALUE"""),"ot gi")</f>
        <v>ot gi</v>
      </c>
      <c r="AI374" s="287">
        <f>IFERROR(__xludf.DUMMYFUNCTION("""COMPUTED_VALUE"""),46171.0)</f>
        <v>46171</v>
      </c>
      <c r="AJ374" s="285">
        <f>IFERROR(__xludf.DUMMYFUNCTION("""COMPUTED_VALUE"""),1.0)</f>
        <v>1</v>
      </c>
      <c r="AK374" s="289">
        <f>IFERROR(__xludf.DUMMYFUNCTION("""COMPUTED_VALUE"""),160000.0)</f>
        <v>160000</v>
      </c>
      <c r="AL374" s="285" t="str">
        <f>IFERROR(__xludf.DUMMYFUNCTION("""COMPUTED_VALUE"""),"gada kelanjutan")</f>
        <v>gada kelanjutan</v>
      </c>
    </row>
    <row r="375"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320"/>
      <c r="R375" s="285"/>
      <c r="S375" s="285"/>
      <c r="T375" s="285"/>
      <c r="U375" s="285"/>
      <c r="V375" s="285"/>
      <c r="W375" s="285"/>
      <c r="X375" s="285"/>
      <c r="Y375" s="285"/>
      <c r="Z375" s="285"/>
      <c r="AA375" s="285"/>
      <c r="AC375" s="285" t="str">
        <f>IFERROR(__xludf.DUMMYFUNCTION("""COMPUTED_VALUE"""),"2605A159 ")</f>
        <v>2605A159 </v>
      </c>
      <c r="AD375" s="286">
        <f>IFERROR(__xludf.DUMMYFUNCTION("""COMPUTED_VALUE"""),46167.0)</f>
        <v>46167</v>
      </c>
      <c r="AE375" s="285" t="str">
        <f>IFERROR(__xludf.DUMMYFUNCTION("""COMPUTED_VALUE"""),"Icha Be Your Travel")</f>
        <v>Icha Be Your Travel</v>
      </c>
      <c r="AF375" s="285" t="str">
        <f>IFERROR(__xludf.DUMMYFUNCTION("""COMPUTED_VALUE"""),"085861405067")</f>
        <v>085861405067</v>
      </c>
      <c r="AG375" s="285" t="str">
        <f>IFERROR(__xludf.DUMMYFUNCTION("""COMPUTED_VALUE"""),"Gagal")</f>
        <v>Gagal</v>
      </c>
      <c r="AH375" s="285" t="str">
        <f>IFERROR(__xludf.DUMMYFUNCTION("""COMPUTED_VALUE"""),"3h2m")</f>
        <v>3h2m</v>
      </c>
      <c r="AI375" s="287"/>
      <c r="AJ375" s="285">
        <f>IFERROR(__xludf.DUMMYFUNCTION("""COMPUTED_VALUE"""),50.0)</f>
        <v>50</v>
      </c>
      <c r="AK375" s="289"/>
      <c r="AL375" s="285"/>
    </row>
    <row r="376"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320"/>
      <c r="R376" s="285"/>
      <c r="S376" s="285"/>
      <c r="T376" s="285"/>
      <c r="U376" s="285"/>
      <c r="V376" s="285"/>
      <c r="W376" s="285"/>
      <c r="X376" s="285"/>
      <c r="Y376" s="285"/>
      <c r="Z376" s="285"/>
      <c r="AA376" s="285"/>
      <c r="AC376" s="285" t="str">
        <f>IFERROR(__xludf.DUMMYFUNCTION("""COMPUTED_VALUE"""),"2605A160")</f>
        <v>2605A160</v>
      </c>
      <c r="AD376" s="286">
        <f>IFERROR(__xludf.DUMMYFUNCTION("""COMPUTED_VALUE"""),46168.0)</f>
        <v>46168</v>
      </c>
      <c r="AE376" s="285" t="str">
        <f>IFERROR(__xludf.DUMMYFUNCTION("""COMPUTED_VALUE"""),"Yuniar")</f>
        <v>Yuniar</v>
      </c>
      <c r="AF376" s="285" t="str">
        <f>IFERROR(__xludf.DUMMYFUNCTION("""COMPUTED_VALUE"""),"085736654095")</f>
        <v>085736654095</v>
      </c>
      <c r="AG376" s="285" t="str">
        <f>IFERROR(__xludf.DUMMYFUNCTION("""COMPUTED_VALUE"""),"Gagal")</f>
        <v>Gagal</v>
      </c>
      <c r="AH376" s="285" t="str">
        <f>IFERROR(__xludf.DUMMYFUNCTION("""COMPUTED_VALUE"""),"ot mt")</f>
        <v>ot mt</v>
      </c>
      <c r="AI376" s="287"/>
      <c r="AJ376" s="285">
        <f>IFERROR(__xludf.DUMMYFUNCTION("""COMPUTED_VALUE"""),3.0)</f>
        <v>3</v>
      </c>
      <c r="AK376" s="289"/>
      <c r="AL376" s="285" t="str">
        <f>IFERROR(__xludf.DUMMYFUNCTION("""COMPUTED_VALUE"""),"lewat tanggal")</f>
        <v>lewat tanggal</v>
      </c>
    </row>
    <row r="377"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320"/>
      <c r="R377" s="285"/>
      <c r="S377" s="285"/>
      <c r="T377" s="285"/>
      <c r="U377" s="285"/>
      <c r="V377" s="285"/>
      <c r="W377" s="285"/>
      <c r="X377" s="285"/>
      <c r="Y377" s="285"/>
      <c r="Z377" s="285"/>
      <c r="AA377" s="285"/>
      <c r="AC377" s="285" t="str">
        <f>IFERROR(__xludf.DUMMYFUNCTION("""COMPUTED_VALUE"""),"2605A161")</f>
        <v>2605A161</v>
      </c>
      <c r="AD377" s="286">
        <f>IFERROR(__xludf.DUMMYFUNCTION("""COMPUTED_VALUE"""),46168.0)</f>
        <v>46168</v>
      </c>
      <c r="AE377" s="285" t="str">
        <f>IFERROR(__xludf.DUMMYFUNCTION("""COMPUTED_VALUE"""),"nothing")</f>
        <v>nothing</v>
      </c>
      <c r="AF377" s="285" t="str">
        <f>IFERROR(__xludf.DUMMYFUNCTION("""COMPUTED_VALUE"""),"082313456020")</f>
        <v>082313456020</v>
      </c>
      <c r="AG377" s="285" t="str">
        <f>IFERROR(__xludf.DUMMYFUNCTION("""COMPUTED_VALUE"""),"Gagal")</f>
        <v>Gagal</v>
      </c>
      <c r="AH377" s="285" t="str">
        <f>IFERROR(__xludf.DUMMYFUNCTION("""COMPUTED_VALUE"""),"freediving")</f>
        <v>freediving</v>
      </c>
      <c r="AI377" s="287">
        <f>IFERROR(__xludf.DUMMYFUNCTION("""COMPUTED_VALUE"""),46170.0)</f>
        <v>46170</v>
      </c>
      <c r="AJ377" s="285"/>
      <c r="AK377" s="289"/>
      <c r="AL377" s="285" t="str">
        <f>IFERROR(__xludf.DUMMYFUNCTION("""COMPUTED_VALUE"""),"gada jawaban")</f>
        <v>gada jawaban</v>
      </c>
    </row>
    <row r="378"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320"/>
      <c r="R378" s="285"/>
      <c r="S378" s="285"/>
      <c r="T378" s="285"/>
      <c r="U378" s="285"/>
      <c r="V378" s="285"/>
      <c r="W378" s="285"/>
      <c r="X378" s="285"/>
      <c r="Y378" s="285"/>
      <c r="Z378" s="285"/>
      <c r="AA378" s="285"/>
      <c r="AC378" s="285" t="str">
        <f>IFERROR(__xludf.DUMMYFUNCTION("""COMPUTED_VALUE"""),"2605A162")</f>
        <v>2605A162</v>
      </c>
      <c r="AD378" s="286">
        <f>IFERROR(__xludf.DUMMYFUNCTION("""COMPUTED_VALUE"""),46168.0)</f>
        <v>46168</v>
      </c>
      <c r="AE378" s="285" t="str">
        <f>IFERROR(__xludf.DUMMYFUNCTION("""COMPUTED_VALUE"""),".")</f>
        <v>.</v>
      </c>
      <c r="AF378" s="285" t="str">
        <f>IFERROR(__xludf.DUMMYFUNCTION("""COMPUTED_VALUE"""),"085814920711")</f>
        <v>085814920711</v>
      </c>
      <c r="AG378" s="285" t="str">
        <f>IFERROR(__xludf.DUMMYFUNCTION("""COMPUTED_VALUE"""),"Gagal")</f>
        <v>Gagal</v>
      </c>
      <c r="AH378" s="285" t="str">
        <f>IFERROR(__xludf.DUMMYFUNCTION("""COMPUTED_VALUE"""),"ot djabal")</f>
        <v>ot djabal</v>
      </c>
      <c r="AI378" s="287"/>
      <c r="AJ378" s="285">
        <f>IFERROR(__xludf.DUMMYFUNCTION("""COMPUTED_VALUE"""),3.0)</f>
        <v>3</v>
      </c>
      <c r="AK378" s="289">
        <f>IFERROR(__xludf.DUMMYFUNCTION("""COMPUTED_VALUE"""),1650000.0)</f>
        <v>1650000</v>
      </c>
      <c r="AL378" s="285" t="str">
        <f>IFERROR(__xludf.DUMMYFUNCTION("""COMPUTED_VALUE"""),"gada jawaban")</f>
        <v>gada jawaban</v>
      </c>
    </row>
    <row r="379"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320"/>
      <c r="R379" s="285"/>
      <c r="S379" s="285"/>
      <c r="T379" s="285"/>
      <c r="U379" s="285"/>
      <c r="V379" s="285"/>
      <c r="W379" s="285"/>
      <c r="X379" s="285"/>
      <c r="Y379" s="285"/>
      <c r="Z379" s="285"/>
      <c r="AA379" s="285"/>
      <c r="AC379" s="285" t="str">
        <f>IFERROR(__xludf.DUMMYFUNCTION("""COMPUTED_VALUE"""),"2605A164")</f>
        <v>2605A164</v>
      </c>
      <c r="AD379" s="286">
        <f>IFERROR(__xludf.DUMMYFUNCTION("""COMPUTED_VALUE"""),46169.0)</f>
        <v>46169</v>
      </c>
      <c r="AE379" s="285" t="str">
        <f>IFERROR(__xludf.DUMMYFUNCTION("""COMPUTED_VALUE"""),"Imma Kristy")</f>
        <v>Imma Kristy</v>
      </c>
      <c r="AF379" s="285" t="str">
        <f>IFERROR(__xludf.DUMMYFUNCTION("""COMPUTED_VALUE"""),"081223647600")</f>
        <v>081223647600</v>
      </c>
      <c r="AG379" s="285" t="str">
        <f>IFERROR(__xludf.DUMMYFUNCTION("""COMPUTED_VALUE"""),"Gagal")</f>
        <v>Gagal</v>
      </c>
      <c r="AH379" s="285" t="str">
        <f>IFERROR(__xludf.DUMMYFUNCTION("""COMPUTED_VALUE"""),"3h2m opsi a")</f>
        <v>3h2m opsi a</v>
      </c>
      <c r="AI379" s="287"/>
      <c r="AJ379" s="285">
        <f>IFERROR(__xludf.DUMMYFUNCTION("""COMPUTED_VALUE"""),2.0)</f>
        <v>2</v>
      </c>
      <c r="AK379" s="289">
        <f>IFERROR(__xludf.DUMMYFUNCTION("""COMPUTED_VALUE"""),8378000.0)</f>
        <v>8378000</v>
      </c>
      <c r="AL379" s="285" t="str">
        <f>IFERROR(__xludf.DUMMYFUNCTION("""COMPUTED_VALUE"""),"gada jawaban lagi")</f>
        <v>gada jawaban lagi</v>
      </c>
    </row>
    <row r="380"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320"/>
      <c r="R380" s="285"/>
      <c r="S380" s="285"/>
      <c r="T380" s="285"/>
      <c r="U380" s="285"/>
      <c r="V380" s="285"/>
      <c r="W380" s="285"/>
      <c r="X380" s="285"/>
      <c r="Y380" s="285"/>
      <c r="Z380" s="285"/>
      <c r="AA380" s="285"/>
      <c r="AC380" s="285" t="str">
        <f>IFERROR(__xludf.DUMMYFUNCTION("""COMPUTED_VALUE"""),"2605A165")</f>
        <v>2605A165</v>
      </c>
      <c r="AD380" s="286">
        <f>IFERROR(__xludf.DUMMYFUNCTION("""COMPUTED_VALUE"""),46158.0)</f>
        <v>46158</v>
      </c>
      <c r="AE380" s="285" t="str">
        <f>IFERROR(__xludf.DUMMYFUNCTION("""COMPUTED_VALUE"""),"Nadiah")</f>
        <v>Nadiah</v>
      </c>
      <c r="AF380" s="285" t="str">
        <f>IFERROR(__xludf.DUMMYFUNCTION("""COMPUTED_VALUE"""),"082247534027")</f>
        <v>082247534027</v>
      </c>
      <c r="AG380" s="285" t="str">
        <f>IFERROR(__xludf.DUMMYFUNCTION("""COMPUTED_VALUE"""),"Gagal")</f>
        <v>Gagal</v>
      </c>
      <c r="AH380" s="285" t="str">
        <f>IFERROR(__xludf.DUMMYFUNCTION("""COMPUTED_VALUE"""),"mt")</f>
        <v>mt</v>
      </c>
      <c r="AI380" s="287">
        <f>IFERROR(__xludf.DUMMYFUNCTION("""COMPUTED_VALUE"""),46172.0)</f>
        <v>46172</v>
      </c>
      <c r="AJ380" s="285"/>
      <c r="AK380" s="289"/>
      <c r="AL380" s="285" t="str">
        <f>IFERROR(__xludf.DUMMYFUNCTION("""COMPUTED_VALUE"""),"fullbooked")</f>
        <v>fullbooked</v>
      </c>
    </row>
    <row r="381"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320"/>
      <c r="R381" s="285"/>
      <c r="S381" s="285"/>
      <c r="T381" s="285"/>
      <c r="U381" s="285"/>
      <c r="V381" s="285"/>
      <c r="W381" s="285"/>
      <c r="X381" s="285"/>
      <c r="Y381" s="285"/>
      <c r="Z381" s="285"/>
      <c r="AA381" s="285"/>
      <c r="AC381" s="285" t="str">
        <f>IFERROR(__xludf.DUMMYFUNCTION("""COMPUTED_VALUE"""),"2605A166")</f>
        <v>2605A166</v>
      </c>
      <c r="AD381" s="286">
        <f>IFERROR(__xludf.DUMMYFUNCTION("""COMPUTED_VALUE"""),46169.0)</f>
        <v>46169</v>
      </c>
      <c r="AE381" s="285" t="str">
        <f>IFERROR(__xludf.DUMMYFUNCTION("""COMPUTED_VALUE"""),"Galih Mahardhika")</f>
        <v>Galih Mahardhika</v>
      </c>
      <c r="AF381" s="285" t="str">
        <f>IFERROR(__xludf.DUMMYFUNCTION("""COMPUTED_VALUE"""),"081390096111")</f>
        <v>081390096111</v>
      </c>
      <c r="AG381" s="285" t="str">
        <f>IFERROR(__xludf.DUMMYFUNCTION("""COMPUTED_VALUE"""),"Gagal")</f>
        <v>Gagal</v>
      </c>
      <c r="AH381" s="285"/>
      <c r="AI381" s="287"/>
      <c r="AJ381" s="285"/>
      <c r="AK381" s="289"/>
      <c r="AL381" s="285" t="str">
        <f>IFERROR(__xludf.DUMMYFUNCTION("""COMPUTED_VALUE"""),"gada jawaban")</f>
        <v>gada jawaban</v>
      </c>
    </row>
    <row r="382"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320"/>
      <c r="R382" s="285"/>
      <c r="S382" s="285"/>
      <c r="T382" s="285"/>
      <c r="U382" s="285"/>
      <c r="V382" s="285"/>
      <c r="W382" s="285"/>
      <c r="X382" s="285"/>
      <c r="Y382" s="285"/>
      <c r="Z382" s="285"/>
      <c r="AA382" s="285"/>
      <c r="AC382" s="285" t="str">
        <f>IFERROR(__xludf.DUMMYFUNCTION("""COMPUTED_VALUE"""),"2605A167")</f>
        <v>2605A167</v>
      </c>
      <c r="AD382" s="286">
        <f>IFERROR(__xludf.DUMMYFUNCTION("""COMPUTED_VALUE"""),46169.0)</f>
        <v>46169</v>
      </c>
      <c r="AE382" s="285" t="str">
        <f>IFERROR(__xludf.DUMMYFUNCTION("""COMPUTED_VALUE"""),"Octavishanta")</f>
        <v>Octavishanta</v>
      </c>
      <c r="AF382" s="285" t="str">
        <f>IFERROR(__xludf.DUMMYFUNCTION("""COMPUTED_VALUE"""),"085871964453")</f>
        <v>085871964453</v>
      </c>
      <c r="AG382" s="285" t="str">
        <f>IFERROR(__xludf.DUMMYFUNCTION("""COMPUTED_VALUE"""),"Gagal")</f>
        <v>Gagal</v>
      </c>
      <c r="AH382" s="285" t="str">
        <f>IFERROR(__xludf.DUMMYFUNCTION("""COMPUTED_VALUE"""),"ot mt")</f>
        <v>ot mt</v>
      </c>
      <c r="AI382" s="287"/>
      <c r="AJ382" s="285"/>
      <c r="AK382" s="289"/>
      <c r="AL382" s="285" t="str">
        <f>IFERROR(__xludf.DUMMYFUNCTION("""COMPUTED_VALUE"""),"gada jawaban")</f>
        <v>gada jawaban</v>
      </c>
    </row>
    <row r="383"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320"/>
      <c r="R383" s="285"/>
      <c r="S383" s="285"/>
      <c r="T383" s="285"/>
      <c r="U383" s="285"/>
      <c r="V383" s="285"/>
      <c r="W383" s="285"/>
      <c r="X383" s="285"/>
      <c r="Y383" s="285"/>
      <c r="Z383" s="285"/>
      <c r="AA383" s="285"/>
      <c r="AC383" s="285" t="str">
        <f>IFERROR(__xludf.DUMMYFUNCTION("""COMPUTED_VALUE"""),"2605A168")</f>
        <v>2605A168</v>
      </c>
      <c r="AD383" s="286">
        <f>IFERROR(__xludf.DUMMYFUNCTION("""COMPUTED_VALUE"""),46168.0)</f>
        <v>46168</v>
      </c>
      <c r="AE383" s="285" t="str">
        <f>IFERROR(__xludf.DUMMYFUNCTION("""COMPUTED_VALUE"""),"Aprillia")</f>
        <v>Aprillia</v>
      </c>
      <c r="AF383" s="285" t="str">
        <f>IFERROR(__xludf.DUMMYFUNCTION("""COMPUTED_VALUE"""),"081230039048")</f>
        <v>081230039048</v>
      </c>
      <c r="AG383" s="285" t="str">
        <f>IFERROR(__xludf.DUMMYFUNCTION("""COMPUTED_VALUE"""),"Gagal")</f>
        <v>Gagal</v>
      </c>
      <c r="AH383" s="285" t="str">
        <f>IFERROR(__xludf.DUMMYFUNCTION("""COMPUTED_VALUE"""),"2h1m")</f>
        <v>2h1m</v>
      </c>
      <c r="AI383" s="287"/>
      <c r="AJ383" s="285">
        <f>IFERROR(__xludf.DUMMYFUNCTION("""COMPUTED_VALUE"""),5.0)</f>
        <v>5</v>
      </c>
      <c r="AK383" s="289">
        <f>IFERROR(__xludf.DUMMYFUNCTION("""COMPUTED_VALUE"""),5925000.0)</f>
        <v>5925000</v>
      </c>
      <c r="AL383" s="285" t="str">
        <f>IFERROR(__xludf.DUMMYFUNCTION("""COMPUTED_VALUE"""),"gada jawaban")</f>
        <v>gada jawaban</v>
      </c>
    </row>
    <row r="384"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320"/>
      <c r="R384" s="285"/>
      <c r="S384" s="285"/>
      <c r="T384" s="285"/>
      <c r="U384" s="285"/>
      <c r="V384" s="285"/>
      <c r="W384" s="285"/>
      <c r="X384" s="285"/>
      <c r="Y384" s="285"/>
      <c r="Z384" s="285"/>
      <c r="AA384" s="285"/>
      <c r="AC384" s="285" t="str">
        <f>IFERROR(__xludf.DUMMYFUNCTION("""COMPUTED_VALUE"""),"2605A169")</f>
        <v>2605A169</v>
      </c>
      <c r="AD384" s="286">
        <f>IFERROR(__xludf.DUMMYFUNCTION("""COMPUTED_VALUE"""),46169.0)</f>
        <v>46169</v>
      </c>
      <c r="AE384" s="285" t="str">
        <f>IFERROR(__xludf.DUMMYFUNCTION("""COMPUTED_VALUE"""),"Astrid")</f>
        <v>Astrid</v>
      </c>
      <c r="AF384" s="285" t="str">
        <f>IFERROR(__xludf.DUMMYFUNCTION("""COMPUTED_VALUE"""),"081272734381")</f>
        <v>081272734381</v>
      </c>
      <c r="AG384" s="285" t="str">
        <f>IFERROR(__xludf.DUMMYFUNCTION("""COMPUTED_VALUE"""),"Gagal")</f>
        <v>Gagal</v>
      </c>
      <c r="AH384" s="285" t="str">
        <f>IFERROR(__xludf.DUMMYFUNCTION("""COMPUTED_VALUE"""),"4h3m")</f>
        <v>4h3m</v>
      </c>
      <c r="AI384" s="287"/>
      <c r="AJ384" s="285">
        <f>IFERROR(__xludf.DUMMYFUNCTION("""COMPUTED_VALUE"""),40.0)</f>
        <v>40</v>
      </c>
      <c r="AK384" s="289"/>
      <c r="AL384" s="285"/>
    </row>
    <row r="385"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320"/>
      <c r="R385" s="285"/>
      <c r="S385" s="285"/>
      <c r="T385" s="285"/>
      <c r="U385" s="285"/>
      <c r="V385" s="285"/>
      <c r="W385" s="285"/>
      <c r="X385" s="285"/>
      <c r="Y385" s="285"/>
      <c r="Z385" s="285"/>
      <c r="AA385" s="285"/>
      <c r="AC385" s="285" t="str">
        <f>IFERROR(__xludf.DUMMYFUNCTION("""COMPUTED_VALUE"""),"2605A170")</f>
        <v>2605A170</v>
      </c>
      <c r="AD385" s="286">
        <f>IFERROR(__xludf.DUMMYFUNCTION("""COMPUTED_VALUE"""),46170.0)</f>
        <v>46170</v>
      </c>
      <c r="AE385" s="285" t="str">
        <f>IFERROR(__xludf.DUMMYFUNCTION("""COMPUTED_VALUE"""),"Ida Puspa Rk")</f>
        <v>Ida Puspa Rk</v>
      </c>
      <c r="AF385" s="285" t="str">
        <f>IFERROR(__xludf.DUMMYFUNCTION("""COMPUTED_VALUE"""),"08113322328")</f>
        <v>08113322328</v>
      </c>
      <c r="AG385" s="285" t="str">
        <f>IFERROR(__xludf.DUMMYFUNCTION("""COMPUTED_VALUE"""),"Gagal")</f>
        <v>Gagal</v>
      </c>
      <c r="AH385" s="285" t="str">
        <f>IFERROR(__xludf.DUMMYFUNCTION("""COMPUTED_VALUE"""),"mt")</f>
        <v>mt</v>
      </c>
      <c r="AI385" s="287">
        <f>IFERROR(__xludf.DUMMYFUNCTION("""COMPUTED_VALUE"""),46172.0)</f>
        <v>46172</v>
      </c>
      <c r="AJ385" s="285">
        <f>IFERROR(__xludf.DUMMYFUNCTION("""COMPUTED_VALUE"""),4.0)</f>
        <v>4</v>
      </c>
      <c r="AK385" s="289"/>
      <c r="AL385" s="285" t="str">
        <f>IFERROR(__xludf.DUMMYFUNCTION("""COMPUTED_VALUE"""),"fullbooked")</f>
        <v>fullbooked</v>
      </c>
    </row>
    <row r="386"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320"/>
      <c r="R386" s="285"/>
      <c r="S386" s="285"/>
      <c r="T386" s="285"/>
      <c r="U386" s="285"/>
      <c r="V386" s="285"/>
      <c r="W386" s="285"/>
      <c r="X386" s="285"/>
      <c r="Y386" s="285"/>
      <c r="Z386" s="285"/>
      <c r="AA386" s="285"/>
      <c r="AC386" s="285" t="str">
        <f>IFERROR(__xludf.DUMMYFUNCTION("""COMPUTED_VALUE"""),"2605A171")</f>
        <v>2605A171</v>
      </c>
      <c r="AD386" s="286">
        <f>IFERROR(__xludf.DUMMYFUNCTION("""COMPUTED_VALUE"""),46170.0)</f>
        <v>46170</v>
      </c>
      <c r="AE386" s="285" t="str">
        <f>IFERROR(__xludf.DUMMYFUNCTION("""COMPUTED_VALUE"""),"Santha")</f>
        <v>Santha</v>
      </c>
      <c r="AF386" s="285" t="str">
        <f>IFERROR(__xludf.DUMMYFUNCTION("""COMPUTED_VALUE"""),"081213035217")</f>
        <v>081213035217</v>
      </c>
      <c r="AG386" s="285" t="str">
        <f>IFERROR(__xludf.DUMMYFUNCTION("""COMPUTED_VALUE"""),"Gagal")</f>
        <v>Gagal</v>
      </c>
      <c r="AH386" s="285" t="str">
        <f>IFERROR(__xludf.DUMMYFUNCTION("""COMPUTED_VALUE"""),"ot 3h2m")</f>
        <v>ot 3h2m</v>
      </c>
      <c r="AI386" s="287">
        <f>IFERROR(__xludf.DUMMYFUNCTION("""COMPUTED_VALUE"""),46186.0)</f>
        <v>46186</v>
      </c>
      <c r="AJ386" s="285">
        <f>IFERROR(__xludf.DUMMYFUNCTION("""COMPUTED_VALUE"""),2.0)</f>
        <v>2</v>
      </c>
      <c r="AK386" s="289">
        <f>IFERROR(__xludf.DUMMYFUNCTION("""COMPUTED_VALUE"""),3200000.0)</f>
        <v>3200000</v>
      </c>
      <c r="AL386" s="285" t="str">
        <f>IFERROR(__xludf.DUMMYFUNCTION("""COMPUTED_VALUE"""),"gada balasan dr dia")</f>
        <v>gada balasan dr dia</v>
      </c>
    </row>
    <row r="387"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320"/>
      <c r="R387" s="285"/>
      <c r="S387" s="285"/>
      <c r="T387" s="285"/>
      <c r="U387" s="285"/>
      <c r="V387" s="285"/>
      <c r="W387" s="285"/>
      <c r="X387" s="285"/>
      <c r="Y387" s="285"/>
      <c r="Z387" s="285"/>
      <c r="AA387" s="285"/>
      <c r="AC387" s="285" t="str">
        <f>IFERROR(__xludf.DUMMYFUNCTION("""COMPUTED_VALUE"""),"2605A173")</f>
        <v>2605A173</v>
      </c>
      <c r="AD387" s="286">
        <f>IFERROR(__xludf.DUMMYFUNCTION("""COMPUTED_VALUE"""),46170.0)</f>
        <v>46170</v>
      </c>
      <c r="AE387" s="285" t="str">
        <f>IFERROR(__xludf.DUMMYFUNCTION("""COMPUTED_VALUE"""),"Ismawati Subroto")</f>
        <v>Ismawati Subroto</v>
      </c>
      <c r="AF387" s="285" t="str">
        <f>IFERROR(__xludf.DUMMYFUNCTION("""COMPUTED_VALUE"""),"081554688688")</f>
        <v>081554688688</v>
      </c>
      <c r="AG387" s="285" t="str">
        <f>IFERROR(__xludf.DUMMYFUNCTION("""COMPUTED_VALUE"""),"Gagal")</f>
        <v>Gagal</v>
      </c>
      <c r="AH387" s="285" t="str">
        <f>IFERROR(__xludf.DUMMYFUNCTION("""COMPUTED_VALUE"""),"3h2m opsi a")</f>
        <v>3h2m opsi a</v>
      </c>
      <c r="AI387" s="287">
        <f>IFERROR(__xludf.DUMMYFUNCTION("""COMPUTED_VALUE"""),46210.0)</f>
        <v>46210</v>
      </c>
      <c r="AJ387" s="285">
        <f>IFERROR(__xludf.DUMMYFUNCTION("""COMPUTED_VALUE"""),3.0)</f>
        <v>3</v>
      </c>
      <c r="AK387" s="289">
        <f>IFERROR(__xludf.DUMMYFUNCTION("""COMPUTED_VALUE"""),7401000.0)</f>
        <v>7401000</v>
      </c>
      <c r="AL387" s="285" t="str">
        <f>IFERROR(__xludf.DUMMYFUNCTION("""COMPUTED_VALUE"""),"tdk ada jawaban")</f>
        <v>tdk ada jawaban</v>
      </c>
    </row>
    <row r="388"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320"/>
      <c r="R388" s="285"/>
      <c r="S388" s="285"/>
      <c r="T388" s="285"/>
      <c r="U388" s="285"/>
      <c r="V388" s="285"/>
      <c r="W388" s="285"/>
      <c r="X388" s="285"/>
      <c r="Y388" s="285"/>
      <c r="Z388" s="285"/>
      <c r="AA388" s="285"/>
      <c r="AC388" s="285" t="str">
        <f>IFERROR(__xludf.DUMMYFUNCTION("""COMPUTED_VALUE"""),"2605A175")</f>
        <v>2605A175</v>
      </c>
      <c r="AD388" s="286">
        <f>IFERROR(__xludf.DUMMYFUNCTION("""COMPUTED_VALUE"""),46170.0)</f>
        <v>46170</v>
      </c>
      <c r="AE388" s="285" t="str">
        <f>IFERROR(__xludf.DUMMYFUNCTION("""COMPUTED_VALUE"""),"Nisa")</f>
        <v>Nisa</v>
      </c>
      <c r="AF388" s="285" t="str">
        <f>IFERROR(__xludf.DUMMYFUNCTION("""COMPUTED_VALUE"""),"082218072120")</f>
        <v>082218072120</v>
      </c>
      <c r="AG388" s="285" t="str">
        <f>IFERROR(__xludf.DUMMYFUNCTION("""COMPUTED_VALUE"""),"Gagal")</f>
        <v>Gagal</v>
      </c>
      <c r="AH388" s="285" t="str">
        <f>IFERROR(__xludf.DUMMYFUNCTION("""COMPUTED_VALUE"""),"ot mt")</f>
        <v>ot mt</v>
      </c>
      <c r="AI388" s="287">
        <f>IFERROR(__xludf.DUMMYFUNCTION("""COMPUTED_VALUE"""),46171.0)</f>
        <v>46171</v>
      </c>
      <c r="AJ388" s="285">
        <f>IFERROR(__xludf.DUMMYFUNCTION("""COMPUTED_VALUE"""),3.0)</f>
        <v>3</v>
      </c>
      <c r="AK388" s="289"/>
      <c r="AL388" s="285" t="str">
        <f>IFERROR(__xludf.DUMMYFUNCTION("""COMPUTED_VALUE"""),"fullbooked")</f>
        <v>fullbooked</v>
      </c>
    </row>
    <row r="389"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320"/>
      <c r="R389" s="285"/>
      <c r="S389" s="285"/>
      <c r="T389" s="285"/>
      <c r="U389" s="285"/>
      <c r="V389" s="285"/>
      <c r="W389" s="285"/>
      <c r="X389" s="285"/>
      <c r="Y389" s="285"/>
      <c r="Z389" s="285"/>
      <c r="AA389" s="285"/>
      <c r="AC389" s="285" t="str">
        <f>IFERROR(__xludf.DUMMYFUNCTION("""COMPUTED_VALUE"""),"2605A176")</f>
        <v>2605A176</v>
      </c>
      <c r="AD389" s="286">
        <f>IFERROR(__xludf.DUMMYFUNCTION("""COMPUTED_VALUE"""),46166.0)</f>
        <v>46166</v>
      </c>
      <c r="AE389" s="285" t="str">
        <f>IFERROR(__xludf.DUMMYFUNCTION("""COMPUTED_VALUE"""),"Rainandri")</f>
        <v>Rainandri</v>
      </c>
      <c r="AF389" s="285" t="str">
        <f>IFERROR(__xludf.DUMMYFUNCTION("""COMPUTED_VALUE"""),"081298666966")</f>
        <v>081298666966</v>
      </c>
      <c r="AG389" s="285" t="str">
        <f>IFERROR(__xludf.DUMMYFUNCTION("""COMPUTED_VALUE"""),"Gagal")</f>
        <v>Gagal</v>
      </c>
      <c r="AH389" s="285" t="str">
        <f>IFERROR(__xludf.DUMMYFUNCTION("""COMPUTED_VALUE"""),"3h2m a")</f>
        <v>3h2m a</v>
      </c>
      <c r="AI389" s="287"/>
      <c r="AJ389" s="285">
        <f>IFERROR(__xludf.DUMMYFUNCTION("""COMPUTED_VALUE"""),3.0)</f>
        <v>3</v>
      </c>
      <c r="AK389" s="289">
        <f>IFERROR(__xludf.DUMMYFUNCTION("""COMPUTED_VALUE"""),6402000.0)</f>
        <v>6402000</v>
      </c>
      <c r="AL389" s="285" t="str">
        <f>IFERROR(__xludf.DUMMYFUNCTION("""COMPUTED_VALUE"""),"belum ada jawaban")</f>
        <v>belum ada jawaban</v>
      </c>
    </row>
    <row r="390"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320"/>
      <c r="R390" s="285"/>
      <c r="S390" s="285"/>
      <c r="T390" s="285"/>
      <c r="U390" s="285"/>
      <c r="V390" s="285"/>
      <c r="W390" s="285"/>
      <c r="X390" s="285"/>
      <c r="Y390" s="285"/>
      <c r="Z390" s="285"/>
      <c r="AA390" s="285"/>
      <c r="AC390" s="285" t="str">
        <f>IFERROR(__xludf.DUMMYFUNCTION("""COMPUTED_VALUE"""),"2605A177")</f>
        <v>2605A177</v>
      </c>
      <c r="AD390" s="286">
        <f>IFERROR(__xludf.DUMMYFUNCTION("""COMPUTED_VALUE"""),46171.0)</f>
        <v>46171</v>
      </c>
      <c r="AE390" s="285" t="str">
        <f>IFERROR(__xludf.DUMMYFUNCTION("""COMPUTED_VALUE"""),"Suci")</f>
        <v>Suci</v>
      </c>
      <c r="AF390" s="285" t="str">
        <f>IFERROR(__xludf.DUMMYFUNCTION("""COMPUTED_VALUE"""),"081805344739")</f>
        <v>081805344739</v>
      </c>
      <c r="AG390" s="285" t="str">
        <f>IFERROR(__xludf.DUMMYFUNCTION("""COMPUTED_VALUE"""),"Gagal")</f>
        <v>Gagal</v>
      </c>
      <c r="AH390" s="285" t="str">
        <f>IFERROR(__xludf.DUMMYFUNCTION("""COMPUTED_VALUE"""),"djabal")</f>
        <v>djabal</v>
      </c>
      <c r="AI390" s="287"/>
      <c r="AJ390" s="285">
        <f>IFERROR(__xludf.DUMMYFUNCTION("""COMPUTED_VALUE"""),3.0)</f>
        <v>3</v>
      </c>
      <c r="AK390" s="289">
        <f>IFERROR(__xludf.DUMMYFUNCTION("""COMPUTED_VALUE"""),1875000.0)</f>
        <v>1875000</v>
      </c>
      <c r="AL390" s="285" t="str">
        <f>IFERROR(__xludf.DUMMYFUNCTION("""COMPUTED_VALUE"""),"belum ada jawaban")</f>
        <v>belum ada jawaban</v>
      </c>
    </row>
    <row r="391"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320"/>
      <c r="R391" s="285"/>
      <c r="S391" s="285"/>
      <c r="T391" s="285"/>
      <c r="U391" s="285"/>
      <c r="V391" s="285"/>
      <c r="W391" s="285"/>
      <c r="X391" s="285"/>
      <c r="Y391" s="285"/>
      <c r="Z391" s="285"/>
      <c r="AA391" s="285"/>
      <c r="AC391" s="285" t="str">
        <f>IFERROR(__xludf.DUMMYFUNCTION("""COMPUTED_VALUE"""),"2605A178")</f>
        <v>2605A178</v>
      </c>
      <c r="AD391" s="286">
        <f>IFERROR(__xludf.DUMMYFUNCTION("""COMPUTED_VALUE"""),46171.0)</f>
        <v>46171</v>
      </c>
      <c r="AE391" s="285" t="str">
        <f>IFERROR(__xludf.DUMMYFUNCTION("""COMPUTED_VALUE"""),"Helena")</f>
        <v>Helena</v>
      </c>
      <c r="AF391" s="285" t="str">
        <f>IFERROR(__xludf.DUMMYFUNCTION("""COMPUTED_VALUE"""),"081382881388")</f>
        <v>081382881388</v>
      </c>
      <c r="AG391" s="285" t="str">
        <f>IFERROR(__xludf.DUMMYFUNCTION("""COMPUTED_VALUE"""),"Gagal")</f>
        <v>Gagal</v>
      </c>
      <c r="AH391" s="285" t="str">
        <f>IFERROR(__xludf.DUMMYFUNCTION("""COMPUTED_VALUE"""),"baluran")</f>
        <v>baluran</v>
      </c>
      <c r="AI391" s="287"/>
      <c r="AJ391" s="285">
        <f>IFERROR(__xludf.DUMMYFUNCTION("""COMPUTED_VALUE"""),2.0)</f>
        <v>2</v>
      </c>
      <c r="AK391" s="289"/>
      <c r="AL391" s="285" t="str">
        <f>IFERROR(__xludf.DUMMYFUNCTION("""COMPUTED_VALUE"""),"gada balasan dr dia")</f>
        <v>gada balasan dr dia</v>
      </c>
    </row>
    <row r="392"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320"/>
      <c r="R392" s="285"/>
      <c r="S392" s="285"/>
      <c r="T392" s="285"/>
      <c r="U392" s="285"/>
      <c r="V392" s="285"/>
      <c r="W392" s="285"/>
      <c r="X392" s="285"/>
      <c r="Y392" s="285"/>
      <c r="Z392" s="285"/>
      <c r="AA392" s="285"/>
      <c r="AC392" s="285" t="str">
        <f>IFERROR(__xludf.DUMMYFUNCTION("""COMPUTED_VALUE"""),"2605A179")</f>
        <v>2605A179</v>
      </c>
      <c r="AD392" s="286">
        <f>IFERROR(__xludf.DUMMYFUNCTION("""COMPUTED_VALUE"""),46171.0)</f>
        <v>46171</v>
      </c>
      <c r="AE392" s="285" t="str">
        <f>IFERROR(__xludf.DUMMYFUNCTION("""COMPUTED_VALUE"""),"Donny Ananta Putra")</f>
        <v>Donny Ananta Putra</v>
      </c>
      <c r="AF392" s="285" t="str">
        <f>IFERROR(__xludf.DUMMYFUNCTION("""COMPUTED_VALUE"""),"089627626226")</f>
        <v>089627626226</v>
      </c>
      <c r="AG392" s="285" t="str">
        <f>IFERROR(__xludf.DUMMYFUNCTION("""COMPUTED_VALUE"""),"Gagal")</f>
        <v>Gagal</v>
      </c>
      <c r="AH392" s="285" t="str">
        <f>IFERROR(__xludf.DUMMYFUNCTION("""COMPUTED_VALUE"""),"1d trip")</f>
        <v>1d trip</v>
      </c>
      <c r="AI392" s="287"/>
      <c r="AJ392" s="285">
        <f>IFERROR(__xludf.DUMMYFUNCTION("""COMPUTED_VALUE"""),2.0)</f>
        <v>2</v>
      </c>
      <c r="AK392" s="289"/>
      <c r="AL392" s="285" t="str">
        <f>IFERROR(__xludf.DUMMYFUNCTION("""COMPUTED_VALUE"""),"gada jawabaan")</f>
        <v>gada jawabaan</v>
      </c>
    </row>
    <row r="393"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320"/>
      <c r="R393" s="285"/>
      <c r="S393" s="285"/>
      <c r="T393" s="285"/>
      <c r="U393" s="285"/>
      <c r="V393" s="285"/>
      <c r="W393" s="285"/>
      <c r="X393" s="285"/>
      <c r="Y393" s="285"/>
      <c r="Z393" s="285"/>
      <c r="AA393" s="285"/>
      <c r="AC393" s="285" t="str">
        <f>IFERROR(__xludf.DUMMYFUNCTION("""COMPUTED_VALUE"""),"2605A180")</f>
        <v>2605A180</v>
      </c>
      <c r="AD393" s="286">
        <f>IFERROR(__xludf.DUMMYFUNCTION("""COMPUTED_VALUE"""),46171.0)</f>
        <v>46171</v>
      </c>
      <c r="AE393" s="285" t="str">
        <f>IFERROR(__xludf.DUMMYFUNCTION("""COMPUTED_VALUE"""),"ludovic renaudin")</f>
        <v>ludovic renaudin</v>
      </c>
      <c r="AF393" s="285" t="str">
        <f>IFERROR(__xludf.DUMMYFUNCTION("""COMPUTED_VALUE"""),"61421302475")</f>
        <v>61421302475</v>
      </c>
      <c r="AG393" s="285" t="str">
        <f>IFERROR(__xludf.DUMMYFUNCTION("""COMPUTED_VALUE"""),"Gagal")</f>
        <v>Gagal</v>
      </c>
      <c r="AH393" s="285" t="str">
        <f>IFERROR(__xludf.DUMMYFUNCTION("""COMPUTED_VALUE"""),"ijen")</f>
        <v>ijen</v>
      </c>
      <c r="AI393" s="287">
        <f>IFERROR(__xludf.DUMMYFUNCTION("""COMPUTED_VALUE"""),46172.0)</f>
        <v>46172</v>
      </c>
      <c r="AJ393" s="285"/>
      <c r="AK393" s="289"/>
      <c r="AL393" s="285" t="str">
        <f>IFERROR(__xludf.DUMMYFUNCTION("""COMPUTED_VALUE"""),"gada kelanjutan")</f>
        <v>gada kelanjutan</v>
      </c>
    </row>
    <row r="394"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320"/>
      <c r="R394" s="285"/>
      <c r="S394" s="285"/>
      <c r="T394" s="285"/>
      <c r="U394" s="285"/>
      <c r="V394" s="285"/>
      <c r="W394" s="285"/>
      <c r="X394" s="285"/>
      <c r="Y394" s="285"/>
      <c r="Z394" s="285"/>
      <c r="AA394" s="285"/>
      <c r="AC394" s="285" t="str">
        <f>IFERROR(__xludf.DUMMYFUNCTION("""COMPUTED_VALUE"""),"2605A181")</f>
        <v>2605A181</v>
      </c>
      <c r="AD394" s="286">
        <f>IFERROR(__xludf.DUMMYFUNCTION("""COMPUTED_VALUE"""),46171.0)</f>
        <v>46171</v>
      </c>
      <c r="AE394" s="285" t="str">
        <f>IFERROR(__xludf.DUMMYFUNCTION("""COMPUTED_VALUE"""),"Dewa")</f>
        <v>Dewa</v>
      </c>
      <c r="AF394" s="285" t="str">
        <f>IFERROR(__xludf.DUMMYFUNCTION("""COMPUTED_VALUE"""),"08133953708")</f>
        <v>08133953708</v>
      </c>
      <c r="AG394" s="285" t="str">
        <f>IFERROR(__xludf.DUMMYFUNCTION("""COMPUTED_VALUE"""),"Gagal")</f>
        <v>Gagal</v>
      </c>
      <c r="AH394" s="285" t="str">
        <f>IFERROR(__xludf.DUMMYFUNCTION("""COMPUTED_VALUE"""),"mt")</f>
        <v>mt</v>
      </c>
      <c r="AI394" s="287">
        <f>IFERROR(__xludf.DUMMYFUNCTION("""COMPUTED_VALUE"""),46173.0)</f>
        <v>46173</v>
      </c>
      <c r="AJ394" s="285"/>
      <c r="AK394" s="289"/>
      <c r="AL394" s="285" t="str">
        <f>IFERROR(__xludf.DUMMYFUNCTION("""COMPUTED_VALUE"""),"fullbooked")</f>
        <v>fullbooked</v>
      </c>
    </row>
    <row r="395"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320"/>
      <c r="R395" s="285"/>
      <c r="S395" s="285"/>
      <c r="T395" s="285"/>
      <c r="U395" s="285"/>
      <c r="V395" s="285"/>
      <c r="W395" s="285"/>
      <c r="X395" s="285"/>
      <c r="Y395" s="285"/>
      <c r="Z395" s="285"/>
      <c r="AA395" s="285"/>
      <c r="AC395" s="285" t="str">
        <f>IFERROR(__xludf.DUMMYFUNCTION("""COMPUTED_VALUE"""),"2605A186")</f>
        <v>2605A186</v>
      </c>
      <c r="AD395" s="286">
        <f>IFERROR(__xludf.DUMMYFUNCTION("""COMPUTED_VALUE"""),46171.0)</f>
        <v>46171</v>
      </c>
      <c r="AE395" s="285" t="str">
        <f>IFERROR(__xludf.DUMMYFUNCTION("""COMPUTED_VALUE"""),"Nadiacinta")</f>
        <v>Nadiacinta</v>
      </c>
      <c r="AF395" s="285" t="str">
        <f>IFERROR(__xludf.DUMMYFUNCTION("""COMPUTED_VALUE"""),"089668201047")</f>
        <v>089668201047</v>
      </c>
      <c r="AG395" s="285" t="str">
        <f>IFERROR(__xludf.DUMMYFUNCTION("""COMPUTED_VALUE"""),"Gagal")</f>
        <v>Gagal</v>
      </c>
      <c r="AH395" s="285" t="str">
        <f>IFERROR(__xludf.DUMMYFUNCTION("""COMPUTED_VALUE"""),"2h1m")</f>
        <v>2h1m</v>
      </c>
      <c r="AI395" s="287"/>
      <c r="AJ395" s="285">
        <f>IFERROR(__xludf.DUMMYFUNCTION("""COMPUTED_VALUE"""),7.0)</f>
        <v>7</v>
      </c>
      <c r="AK395" s="289">
        <f>IFERROR(__xludf.DUMMYFUNCTION("""COMPUTED_VALUE"""),7595000.0)</f>
        <v>7595000</v>
      </c>
      <c r="AL395" s="285"/>
    </row>
    <row r="396"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320"/>
      <c r="R396" s="285"/>
      <c r="S396" s="285"/>
      <c r="T396" s="285"/>
      <c r="U396" s="285"/>
      <c r="V396" s="285"/>
      <c r="W396" s="285"/>
      <c r="X396" s="285"/>
      <c r="Y396" s="285"/>
      <c r="Z396" s="285"/>
      <c r="AA396" s="285"/>
      <c r="AC396" s="285" t="str">
        <f>IFERROR(__xludf.DUMMYFUNCTION("""COMPUTED_VALUE"""),"2605A187")</f>
        <v>2605A187</v>
      </c>
      <c r="AD396" s="286">
        <f>IFERROR(__xludf.DUMMYFUNCTION("""COMPUTED_VALUE"""),46172.0)</f>
        <v>46172</v>
      </c>
      <c r="AE396" s="285" t="str">
        <f>IFERROR(__xludf.DUMMYFUNCTION("""COMPUTED_VALUE"""),"propertybanten")</f>
        <v>propertybanten</v>
      </c>
      <c r="AF396" s="285" t="str">
        <f>IFERROR(__xludf.DUMMYFUNCTION("""COMPUTED_VALUE"""),"081219111164")</f>
        <v>081219111164</v>
      </c>
      <c r="AG396" s="285" t="str">
        <f>IFERROR(__xludf.DUMMYFUNCTION("""COMPUTED_VALUE"""),"Gagal")</f>
        <v>Gagal</v>
      </c>
      <c r="AH396" s="285"/>
      <c r="AI396" s="287"/>
      <c r="AJ396" s="285"/>
      <c r="AK396" s="289"/>
      <c r="AL396" s="285" t="str">
        <f>IFERROR(__xludf.DUMMYFUNCTION("""COMPUTED_VALUE"""),"hanya menyapa")</f>
        <v>hanya menyapa</v>
      </c>
    </row>
    <row r="397"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320"/>
      <c r="R397" s="285"/>
      <c r="S397" s="285"/>
      <c r="T397" s="285"/>
      <c r="U397" s="285"/>
      <c r="V397" s="285"/>
      <c r="W397" s="285"/>
      <c r="X397" s="285"/>
      <c r="Y397" s="285"/>
      <c r="Z397" s="285"/>
      <c r="AA397" s="285"/>
      <c r="AC397" s="285" t="str">
        <f>IFERROR(__xludf.DUMMYFUNCTION("""COMPUTED_VALUE"""),"2605A188")</f>
        <v>2605A188</v>
      </c>
      <c r="AD397" s="286">
        <f>IFERROR(__xludf.DUMMYFUNCTION("""COMPUTED_VALUE"""),46172.0)</f>
        <v>46172</v>
      </c>
      <c r="AE397" s="285" t="str">
        <f>IFERROR(__xludf.DUMMYFUNCTION("""COMPUTED_VALUE"""),"Dian Mawar")</f>
        <v>Dian Mawar</v>
      </c>
      <c r="AF397" s="285" t="str">
        <f>IFERROR(__xludf.DUMMYFUNCTION("""COMPUTED_VALUE"""),"085230866967")</f>
        <v>085230866967</v>
      </c>
      <c r="AG397" s="285" t="str">
        <f>IFERROR(__xludf.DUMMYFUNCTION("""COMPUTED_VALUE"""),"Gagal")</f>
        <v>Gagal</v>
      </c>
      <c r="AH397" s="285"/>
      <c r="AI397" s="287"/>
      <c r="AJ397" s="285"/>
      <c r="AK397" s="289"/>
      <c r="AL397" s="285" t="str">
        <f>IFERROR(__xludf.DUMMYFUNCTION("""COMPUTED_VALUE"""),"hanya menyapa")</f>
        <v>hanya menyapa</v>
      </c>
    </row>
    <row r="398"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320"/>
      <c r="R398" s="285"/>
      <c r="S398" s="285"/>
      <c r="T398" s="285"/>
      <c r="U398" s="285"/>
      <c r="V398" s="285"/>
      <c r="W398" s="285"/>
      <c r="X398" s="285"/>
      <c r="Y398" s="285"/>
      <c r="Z398" s="285"/>
      <c r="AA398" s="285"/>
      <c r="AC398" s="285" t="str">
        <f>IFERROR(__xludf.DUMMYFUNCTION("""COMPUTED_VALUE"""),"2605A189")</f>
        <v>2605A189</v>
      </c>
      <c r="AD398" s="286">
        <f>IFERROR(__xludf.DUMMYFUNCTION("""COMPUTED_VALUE"""),46171.0)</f>
        <v>46171</v>
      </c>
      <c r="AE398" s="285" t="str">
        <f>IFERROR(__xludf.DUMMYFUNCTION("""COMPUTED_VALUE"""),"Alfina Fara")</f>
        <v>Alfina Fara</v>
      </c>
      <c r="AF398" s="285" t="str">
        <f>IFERROR(__xludf.DUMMYFUNCTION("""COMPUTED_VALUE"""),"087834432980")</f>
        <v>087834432980</v>
      </c>
      <c r="AG398" s="285" t="str">
        <f>IFERROR(__xludf.DUMMYFUNCTION("""COMPUTED_VALUE"""),"Gagal")</f>
        <v>Gagal</v>
      </c>
      <c r="AH398" s="285" t="str">
        <f>IFERROR(__xludf.DUMMYFUNCTION("""COMPUTED_VALUE"""),"1d")</f>
        <v>1d</v>
      </c>
      <c r="AI398" s="287">
        <f>IFERROR(__xludf.DUMMYFUNCTION("""COMPUTED_VALUE"""),46184.0)</f>
        <v>46184</v>
      </c>
      <c r="AJ398" s="285">
        <f>IFERROR(__xludf.DUMMYFUNCTION("""COMPUTED_VALUE"""),80.0)</f>
        <v>80</v>
      </c>
      <c r="AK398" s="289">
        <f>IFERROR(__xludf.DUMMYFUNCTION("""COMPUTED_VALUE"""),6.24E7)</f>
        <v>62400000</v>
      </c>
      <c r="AL398" s="285" t="str">
        <f>IFERROR(__xludf.DUMMYFUNCTION("""COMPUTED_VALUE"""),"gada balasan")</f>
        <v>gada balasan</v>
      </c>
    </row>
    <row r="399"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320"/>
      <c r="R399" s="285"/>
      <c r="S399" s="285"/>
      <c r="T399" s="285"/>
      <c r="U399" s="285"/>
      <c r="V399" s="285"/>
      <c r="W399" s="285"/>
      <c r="X399" s="285"/>
      <c r="Y399" s="285"/>
      <c r="Z399" s="285"/>
      <c r="AA399" s="285"/>
      <c r="AC399" s="285" t="str">
        <f>IFERROR(__xludf.DUMMYFUNCTION("""COMPUTED_VALUE"""),"2605A190")</f>
        <v>2605A190</v>
      </c>
      <c r="AD399" s="286">
        <f>IFERROR(__xludf.DUMMYFUNCTION("""COMPUTED_VALUE"""),46172.0)</f>
        <v>46172</v>
      </c>
      <c r="AE399" s="285" t="str">
        <f>IFERROR(__xludf.DUMMYFUNCTION("""COMPUTED_VALUE"""),"Siti Zahra")</f>
        <v>Siti Zahra</v>
      </c>
      <c r="AF399" s="285" t="str">
        <f>IFERROR(__xludf.DUMMYFUNCTION("""COMPUTED_VALUE"""),"081293799918")</f>
        <v>081293799918</v>
      </c>
      <c r="AG399" s="285" t="str">
        <f>IFERROR(__xludf.DUMMYFUNCTION("""COMPUTED_VALUE"""),"Gagal")</f>
        <v>Gagal</v>
      </c>
      <c r="AH399" s="285" t="str">
        <f>IFERROR(__xludf.DUMMYFUNCTION("""COMPUTED_VALUE"""),"3h2m a")</f>
        <v>3h2m a</v>
      </c>
      <c r="AI399" s="287"/>
      <c r="AJ399" s="285"/>
      <c r="AK399" s="289"/>
      <c r="AL399" s="285" t="str">
        <f>IFERROR(__xludf.DUMMYFUNCTION("""COMPUTED_VALUE"""),"gada balasan")</f>
        <v>gada balasan</v>
      </c>
    </row>
    <row r="400"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320"/>
      <c r="R400" s="285"/>
      <c r="S400" s="285"/>
      <c r="T400" s="285"/>
      <c r="U400" s="285"/>
      <c r="V400" s="285"/>
      <c r="W400" s="285"/>
      <c r="X400" s="285"/>
      <c r="Y400" s="285"/>
      <c r="Z400" s="285"/>
      <c r="AA400" s="285"/>
      <c r="AC400" s="285" t="str">
        <f>IFERROR(__xludf.DUMMYFUNCTION("""COMPUTED_VALUE"""),"2605A191")</f>
        <v>2605A191</v>
      </c>
      <c r="AD400" s="286">
        <f>IFERROR(__xludf.DUMMYFUNCTION("""COMPUTED_VALUE"""),46172.0)</f>
        <v>46172</v>
      </c>
      <c r="AE400" s="285" t="str">
        <f>IFERROR(__xludf.DUMMYFUNCTION("""COMPUTED_VALUE"""),"Rob")</f>
        <v>Rob</v>
      </c>
      <c r="AF400" s="285" t="str">
        <f>IFERROR(__xludf.DUMMYFUNCTION("""COMPUTED_VALUE"""),"4915150428553")</f>
        <v>4915150428553</v>
      </c>
      <c r="AG400" s="285" t="str">
        <f>IFERROR(__xludf.DUMMYFUNCTION("""COMPUTED_VALUE"""),"Gagal")</f>
        <v>Gagal</v>
      </c>
      <c r="AH400" s="285" t="str">
        <f>IFERROR(__xludf.DUMMYFUNCTION("""COMPUTED_VALUE"""),"kopi kemiren")</f>
        <v>kopi kemiren</v>
      </c>
      <c r="AI400" s="287"/>
      <c r="AJ400" s="285">
        <f>IFERROR(__xludf.DUMMYFUNCTION("""COMPUTED_VALUE"""),1.0)</f>
        <v>1</v>
      </c>
      <c r="AK400" s="289"/>
      <c r="AL400" s="285" t="str">
        <f>IFERROR(__xludf.DUMMYFUNCTION("""COMPUTED_VALUE"""),"minimal 2 orang. gagal")</f>
        <v>minimal 2 orang. gagal</v>
      </c>
    </row>
    <row r="401"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320"/>
      <c r="R401" s="285"/>
      <c r="S401" s="285"/>
      <c r="T401" s="285"/>
      <c r="U401" s="285"/>
      <c r="V401" s="285"/>
      <c r="W401" s="285"/>
      <c r="X401" s="285"/>
      <c r="Y401" s="285"/>
      <c r="Z401" s="285"/>
      <c r="AA401" s="285"/>
      <c r="AC401" s="285" t="str">
        <f>IFERROR(__xludf.DUMMYFUNCTION("""COMPUTED_VALUE"""),"2605A192")</f>
        <v>2605A192</v>
      </c>
      <c r="AD401" s="286">
        <f>IFERROR(__xludf.DUMMYFUNCTION("""COMPUTED_VALUE"""),46172.0)</f>
        <v>46172</v>
      </c>
      <c r="AE401" s="285" t="str">
        <f>IFERROR(__xludf.DUMMYFUNCTION("""COMPUTED_VALUE"""),".")</f>
        <v>.</v>
      </c>
      <c r="AF401" s="285" t="str">
        <f>IFERROR(__xludf.DUMMYFUNCTION("""COMPUTED_VALUE"""),"085930419048")</f>
        <v>085930419048</v>
      </c>
      <c r="AG401" s="285" t="str">
        <f>IFERROR(__xludf.DUMMYFUNCTION("""COMPUTED_VALUE"""),"Gagal")</f>
        <v>Gagal</v>
      </c>
      <c r="AH401" s="285" t="str">
        <f>IFERROR(__xludf.DUMMYFUNCTION("""COMPUTED_VALUE"""),"scuba dive")</f>
        <v>scuba dive</v>
      </c>
      <c r="AI401" s="287"/>
      <c r="AJ401" s="285">
        <f>IFERROR(__xludf.DUMMYFUNCTION("""COMPUTED_VALUE"""),1.0)</f>
        <v>1</v>
      </c>
      <c r="AK401" s="289"/>
      <c r="AL401" s="285" t="str">
        <f>IFERROR(__xludf.DUMMYFUNCTION("""COMPUTED_VALUE"""),"belum ada jawaban")</f>
        <v>belum ada jawaban</v>
      </c>
    </row>
    <row r="402"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320"/>
      <c r="R402" s="285"/>
      <c r="S402" s="285"/>
      <c r="T402" s="285"/>
      <c r="U402" s="285"/>
      <c r="V402" s="285"/>
      <c r="W402" s="285"/>
      <c r="X402" s="285"/>
      <c r="Y402" s="285"/>
      <c r="Z402" s="285"/>
      <c r="AA402" s="285"/>
      <c r="AC402" s="285" t="str">
        <f>IFERROR(__xludf.DUMMYFUNCTION("""COMPUTED_VALUE"""),"2605A193")</f>
        <v>2605A193</v>
      </c>
      <c r="AD402" s="286">
        <f>IFERROR(__xludf.DUMMYFUNCTION("""COMPUTED_VALUE"""),46173.0)</f>
        <v>46173</v>
      </c>
      <c r="AE402" s="285" t="str">
        <f>IFERROR(__xludf.DUMMYFUNCTION("""COMPUTED_VALUE"""),"Ratih Afrida")</f>
        <v>Ratih Afrida</v>
      </c>
      <c r="AF402" s="285" t="str">
        <f>IFERROR(__xludf.DUMMYFUNCTION("""COMPUTED_VALUE"""),"082329524902")</f>
        <v>082329524902</v>
      </c>
      <c r="AG402" s="285" t="str">
        <f>IFERROR(__xludf.DUMMYFUNCTION("""COMPUTED_VALUE"""),"Gagal")</f>
        <v>Gagal</v>
      </c>
      <c r="AH402" s="285" t="str">
        <f>IFERROR(__xludf.DUMMYFUNCTION("""COMPUTED_VALUE"""),"4h3m")</f>
        <v>4h3m</v>
      </c>
      <c r="AI402" s="287"/>
      <c r="AJ402" s="285">
        <f>IFERROR(__xludf.DUMMYFUNCTION("""COMPUTED_VALUE"""),1.0)</f>
        <v>1</v>
      </c>
      <c r="AK402" s="289"/>
      <c r="AL402" s="285" t="str">
        <f>IFERROR(__xludf.DUMMYFUNCTION("""COMPUTED_VALUE"""),"gada balasan")</f>
        <v>gada balasan</v>
      </c>
    </row>
    <row r="403"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320"/>
      <c r="R403" s="285"/>
      <c r="S403" s="285"/>
      <c r="T403" s="285"/>
      <c r="U403" s="285"/>
      <c r="V403" s="285"/>
      <c r="W403" s="285"/>
      <c r="X403" s="285"/>
      <c r="Y403" s="285"/>
      <c r="Z403" s="285"/>
      <c r="AA403" s="285"/>
      <c r="AC403" s="285" t="str">
        <f>IFERROR(__xludf.DUMMYFUNCTION("""COMPUTED_VALUE"""),"2605A194")</f>
        <v>2605A194</v>
      </c>
      <c r="AD403" s="286">
        <f>IFERROR(__xludf.DUMMYFUNCTION("""COMPUTED_VALUE"""),46173.0)</f>
        <v>46173</v>
      </c>
      <c r="AE403" s="285" t="str">
        <f>IFERROR(__xludf.DUMMYFUNCTION("""COMPUTED_VALUE"""),"Filia Harumi")</f>
        <v>Filia Harumi</v>
      </c>
      <c r="AF403" s="285" t="str">
        <f>IFERROR(__xludf.DUMMYFUNCTION("""COMPUTED_VALUE"""),"082336440688")</f>
        <v>082336440688</v>
      </c>
      <c r="AG403" s="285" t="str">
        <f>IFERROR(__xludf.DUMMYFUNCTION("""COMPUTED_VALUE"""),"Gagal")</f>
        <v>Gagal</v>
      </c>
      <c r="AH403" s="285" t="str">
        <f>IFERROR(__xludf.DUMMYFUNCTION("""COMPUTED_VALUE"""),"2h1m")</f>
        <v>2h1m</v>
      </c>
      <c r="AI403" s="287"/>
      <c r="AJ403" s="285">
        <f>IFERROR(__xludf.DUMMYFUNCTION("""COMPUTED_VALUE"""),7.0)</f>
        <v>7</v>
      </c>
      <c r="AK403" s="289"/>
      <c r="AL403" s="285" t="str">
        <f>IFERROR(__xludf.DUMMYFUNCTION("""COMPUTED_VALUE"""),"gada balasan")</f>
        <v>gada balasan</v>
      </c>
    </row>
    <row r="404"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320"/>
      <c r="R404" s="285"/>
      <c r="S404" s="285"/>
      <c r="T404" s="285"/>
      <c r="U404" s="285"/>
      <c r="V404" s="285"/>
      <c r="W404" s="285"/>
      <c r="X404" s="285"/>
      <c r="Y404" s="285"/>
      <c r="Z404" s="285"/>
      <c r="AA404" s="285"/>
      <c r="AC404" s="285" t="str">
        <f>IFERROR(__xludf.DUMMYFUNCTION("""COMPUTED_VALUE"""),"2605A195")</f>
        <v>2605A195</v>
      </c>
      <c r="AD404" s="286">
        <f>IFERROR(__xludf.DUMMYFUNCTION("""COMPUTED_VALUE"""),46173.0)</f>
        <v>46173</v>
      </c>
      <c r="AE404" s="285" t="str">
        <f>IFERROR(__xludf.DUMMYFUNCTION("""COMPUTED_VALUE"""),"Tesa")</f>
        <v>Tesa</v>
      </c>
      <c r="AF404" s="285" t="str">
        <f>IFERROR(__xludf.DUMMYFUNCTION("""COMPUTED_VALUE"""),"082131231542")</f>
        <v>082131231542</v>
      </c>
      <c r="AG404" s="285" t="str">
        <f>IFERROR(__xludf.DUMMYFUNCTION("""COMPUTED_VALUE"""),"Gagal")</f>
        <v>Gagal</v>
      </c>
      <c r="AH404" s="285" t="str">
        <f>IFERROR(__xludf.DUMMYFUNCTION("""COMPUTED_VALUE"""),"djawatan baluran")</f>
        <v>djawatan baluran</v>
      </c>
      <c r="AI404" s="287">
        <f>IFERROR(__xludf.DUMMYFUNCTION("""COMPUTED_VALUE"""),46174.0)</f>
        <v>46174</v>
      </c>
      <c r="AJ404" s="285"/>
      <c r="AK404" s="289"/>
      <c r="AL404" s="285" t="str">
        <f>IFERROR(__xludf.DUMMYFUNCTION("""COMPUTED_VALUE"""),"tidak ada jawaban")</f>
        <v>tidak ada jawaban</v>
      </c>
    </row>
    <row r="405"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320"/>
      <c r="R405" s="285"/>
      <c r="S405" s="285"/>
      <c r="T405" s="285"/>
      <c r="U405" s="285"/>
      <c r="V405" s="285"/>
      <c r="W405" s="285"/>
      <c r="X405" s="285"/>
      <c r="Y405" s="285"/>
      <c r="Z405" s="285"/>
      <c r="AA405" s="285"/>
      <c r="AC405" s="285" t="str">
        <f>IFERROR(__xludf.DUMMYFUNCTION("""COMPUTED_VALUE"""),"2605A196")</f>
        <v>2605A196</v>
      </c>
      <c r="AD405" s="286">
        <f>IFERROR(__xludf.DUMMYFUNCTION("""COMPUTED_VALUE"""),46173.0)</f>
        <v>46173</v>
      </c>
      <c r="AE405" s="285" t="str">
        <f>IFERROR(__xludf.DUMMYFUNCTION("""COMPUTED_VALUE"""),"faisal Novianto")</f>
        <v>faisal Novianto</v>
      </c>
      <c r="AF405" s="285" t="str">
        <f>IFERROR(__xludf.DUMMYFUNCTION("""COMPUTED_VALUE"""),"085887393710")</f>
        <v>085887393710</v>
      </c>
      <c r="AG405" s="285" t="str">
        <f>IFERROR(__xludf.DUMMYFUNCTION("""COMPUTED_VALUE"""),"Gagal")</f>
        <v>Gagal</v>
      </c>
      <c r="AH405" s="285" t="str">
        <f>IFERROR(__xludf.DUMMYFUNCTION("""COMPUTED_VALUE"""),"ot menjangan tabuhan")</f>
        <v>ot menjangan tabuhan</v>
      </c>
      <c r="AI405" s="287">
        <f>IFERROR(__xludf.DUMMYFUNCTION("""COMPUTED_VALUE"""),46202.0)</f>
        <v>46202</v>
      </c>
      <c r="AJ405" s="285">
        <f>IFERROR(__xludf.DUMMYFUNCTION("""COMPUTED_VALUE"""),1.0)</f>
        <v>1</v>
      </c>
      <c r="AK405" s="289">
        <f>IFERROR(__xludf.DUMMYFUNCTION("""COMPUTED_VALUE"""),400000.0)</f>
        <v>400000</v>
      </c>
      <c r="AL405" s="285" t="str">
        <f>IFERROR(__xludf.DUMMYFUNCTION("""COMPUTED_VALUE"""),"gada kelanjutan")</f>
        <v>gada kelanjutan</v>
      </c>
    </row>
    <row r="406"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320"/>
      <c r="R406" s="285"/>
      <c r="S406" s="285"/>
      <c r="T406" s="285"/>
      <c r="U406" s="285"/>
      <c r="V406" s="285"/>
      <c r="W406" s="285"/>
      <c r="X406" s="285"/>
      <c r="Y406" s="285"/>
      <c r="Z406" s="285"/>
      <c r="AA406" s="285"/>
      <c r="AC406" s="285" t="str">
        <f>IFERROR(__xludf.DUMMYFUNCTION("""COMPUTED_VALUE"""),"2606A003")</f>
        <v>2606A003</v>
      </c>
      <c r="AD406" s="286">
        <f>IFERROR(__xludf.DUMMYFUNCTION("""COMPUTED_VALUE"""),46174.0)</f>
        <v>46174</v>
      </c>
      <c r="AE406" s="285" t="str">
        <f>IFERROR(__xludf.DUMMYFUNCTION("""COMPUTED_VALUE"""),"Elly Winarni")</f>
        <v>Elly Winarni</v>
      </c>
      <c r="AF406" s="285" t="str">
        <f>IFERROR(__xludf.DUMMYFUNCTION("""COMPUTED_VALUE"""),"082218000812")</f>
        <v>082218000812</v>
      </c>
      <c r="AG406" s="285" t="str">
        <f>IFERROR(__xludf.DUMMYFUNCTION("""COMPUTED_VALUE"""),"Gagal")</f>
        <v>Gagal</v>
      </c>
      <c r="AH406" s="285" t="str">
        <f>IFERROR(__xludf.DUMMYFUNCTION("""COMPUTED_VALUE"""),"green island")</f>
        <v>green island</v>
      </c>
      <c r="AI406" s="287"/>
      <c r="AJ406" s="285"/>
      <c r="AK406" s="289"/>
      <c r="AL406" s="285" t="str">
        <f>IFERROR(__xludf.DUMMYFUNCTION("""COMPUTED_VALUE"""),"gada balasan")</f>
        <v>gada balasan</v>
      </c>
    </row>
    <row r="407"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320"/>
      <c r="R407" s="285"/>
      <c r="S407" s="285"/>
      <c r="T407" s="285"/>
      <c r="U407" s="285"/>
      <c r="V407" s="285"/>
      <c r="W407" s="285"/>
      <c r="X407" s="285"/>
      <c r="Y407" s="285"/>
      <c r="Z407" s="285"/>
      <c r="AA407" s="285"/>
      <c r="AC407" s="285" t="str">
        <f>IFERROR(__xludf.DUMMYFUNCTION("""COMPUTED_VALUE"""),"2606A004")</f>
        <v>2606A004</v>
      </c>
      <c r="AD407" s="286">
        <f>IFERROR(__xludf.DUMMYFUNCTION("""COMPUTED_VALUE"""),46174.0)</f>
        <v>46174</v>
      </c>
      <c r="AE407" s="285" t="str">
        <f>IFERROR(__xludf.DUMMYFUNCTION("""COMPUTED_VALUE"""),"Vidya")</f>
        <v>Vidya</v>
      </c>
      <c r="AF407" s="285" t="str">
        <f>IFERROR(__xludf.DUMMYFUNCTION("""COMPUTED_VALUE"""),"081320972509")</f>
        <v>081320972509</v>
      </c>
      <c r="AG407" s="285" t="str">
        <f>IFERROR(__xludf.DUMMYFUNCTION("""COMPUTED_VALUE"""),"Gagal")</f>
        <v>Gagal</v>
      </c>
      <c r="AH407" s="285" t="str">
        <f>IFERROR(__xludf.DUMMYFUNCTION("""COMPUTED_VALUE"""),"ot mt")</f>
        <v>ot mt</v>
      </c>
      <c r="AI407" s="287">
        <f>IFERROR(__xludf.DUMMYFUNCTION("""COMPUTED_VALUE"""),46192.0)</f>
        <v>46192</v>
      </c>
      <c r="AJ407" s="285"/>
      <c r="AK407" s="289"/>
      <c r="AL407" s="285"/>
    </row>
    <row r="408"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320"/>
      <c r="R408" s="285"/>
      <c r="S408" s="285"/>
      <c r="T408" s="285"/>
      <c r="U408" s="285"/>
      <c r="V408" s="285"/>
      <c r="W408" s="285"/>
      <c r="X408" s="285"/>
      <c r="Y408" s="285"/>
      <c r="Z408" s="285"/>
      <c r="AA408" s="285"/>
      <c r="AC408" s="285" t="str">
        <f>IFERROR(__xludf.DUMMYFUNCTION("""COMPUTED_VALUE"""),"2606A005")</f>
        <v>2606A005</v>
      </c>
      <c r="AD408" s="286">
        <f>IFERROR(__xludf.DUMMYFUNCTION("""COMPUTED_VALUE"""),46174.0)</f>
        <v>46174</v>
      </c>
      <c r="AE408" s="285" t="str">
        <f>IFERROR(__xludf.DUMMYFUNCTION("""COMPUTED_VALUE"""),"kuntum")</f>
        <v>kuntum</v>
      </c>
      <c r="AF408" s="285" t="str">
        <f>IFERROR(__xludf.DUMMYFUNCTION("""COMPUTED_VALUE"""),"085811967836")</f>
        <v>085811967836</v>
      </c>
      <c r="AG408" s="285" t="str">
        <f>IFERROR(__xludf.DUMMYFUNCTION("""COMPUTED_VALUE"""),"Gagal")</f>
        <v>Gagal</v>
      </c>
      <c r="AH408" s="285"/>
      <c r="AI408" s="287"/>
      <c r="AJ408" s="285"/>
      <c r="AK408" s="289"/>
      <c r="AL408" s="285" t="str">
        <f>IFERROR(__xludf.DUMMYFUNCTION("""COMPUTED_VALUE"""),"hanya menyapa")</f>
        <v>hanya menyapa</v>
      </c>
    </row>
    <row r="409"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320"/>
      <c r="R409" s="285"/>
      <c r="S409" s="285"/>
      <c r="T409" s="285"/>
      <c r="U409" s="285"/>
      <c r="V409" s="285"/>
      <c r="W409" s="285"/>
      <c r="X409" s="285"/>
      <c r="Y409" s="285"/>
      <c r="Z409" s="285"/>
      <c r="AA409" s="285"/>
      <c r="AC409" s="285" t="str">
        <f>IFERROR(__xludf.DUMMYFUNCTION("""COMPUTED_VALUE"""),"2606A006")</f>
        <v>2606A006</v>
      </c>
      <c r="AD409" s="286">
        <f>IFERROR(__xludf.DUMMYFUNCTION("""COMPUTED_VALUE"""),46175.0)</f>
        <v>46175</v>
      </c>
      <c r="AE409" s="285" t="str">
        <f>IFERROR(__xludf.DUMMYFUNCTION("""COMPUTED_VALUE"""),"Aini")</f>
        <v>Aini</v>
      </c>
      <c r="AF409" s="285" t="str">
        <f>IFERROR(__xludf.DUMMYFUNCTION("""COMPUTED_VALUE"""),"082384016827")</f>
        <v>082384016827</v>
      </c>
      <c r="AG409" s="285" t="str">
        <f>IFERROR(__xludf.DUMMYFUNCTION("""COMPUTED_VALUE"""),"Gagal")</f>
        <v>Gagal</v>
      </c>
      <c r="AH409" s="285" t="str">
        <f>IFERROR(__xludf.DUMMYFUNCTION("""COMPUTED_VALUE"""),"4h3m")</f>
        <v>4h3m</v>
      </c>
      <c r="AI409" s="287"/>
      <c r="AJ409" s="285">
        <f>IFERROR(__xludf.DUMMYFUNCTION("""COMPUTED_VALUE"""),2.0)</f>
        <v>2</v>
      </c>
      <c r="AK409" s="289">
        <f>IFERROR(__xludf.DUMMYFUNCTION("""COMPUTED_VALUE"""),7820000.0)</f>
        <v>7820000</v>
      </c>
      <c r="AL409" s="285" t="str">
        <f>IFERROR(__xludf.DUMMYFUNCTION("""COMPUTED_VALUE"""),"gabisa cuti")</f>
        <v>gabisa cuti</v>
      </c>
    </row>
    <row r="410"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320"/>
      <c r="R410" s="285"/>
      <c r="S410" s="285"/>
      <c r="T410" s="285"/>
      <c r="U410" s="285"/>
      <c r="V410" s="285"/>
      <c r="W410" s="285"/>
      <c r="X410" s="285"/>
      <c r="Y410" s="285"/>
      <c r="Z410" s="285"/>
      <c r="AA410" s="285"/>
      <c r="AC410" s="285" t="str">
        <f>IFERROR(__xludf.DUMMYFUNCTION("""COMPUTED_VALUE"""),"2606A007")</f>
        <v>2606A007</v>
      </c>
      <c r="AD410" s="286">
        <f>IFERROR(__xludf.DUMMYFUNCTION("""COMPUTED_VALUE"""),46175.0)</f>
        <v>46175</v>
      </c>
      <c r="AE410" s="285" t="str">
        <f>IFERROR(__xludf.DUMMYFUNCTION("""COMPUTED_VALUE"""),"Anis Binti Syahab")</f>
        <v>Anis Binti Syahab</v>
      </c>
      <c r="AF410" s="285" t="str">
        <f>IFERROR(__xludf.DUMMYFUNCTION("""COMPUTED_VALUE"""),"085183092270")</f>
        <v>085183092270</v>
      </c>
      <c r="AG410" s="285" t="str">
        <f>IFERROR(__xludf.DUMMYFUNCTION("""COMPUTED_VALUE"""),"Gagal")</f>
        <v>Gagal</v>
      </c>
      <c r="AH410" s="285" t="str">
        <f>IFERROR(__xludf.DUMMYFUNCTION("""COMPUTED_VALUE"""),"2h1m")</f>
        <v>2h1m</v>
      </c>
      <c r="AI410" s="287"/>
      <c r="AJ410" s="285">
        <f>IFERROR(__xludf.DUMMYFUNCTION("""COMPUTED_VALUE"""),5.0)</f>
        <v>5</v>
      </c>
      <c r="AK410" s="289">
        <f>IFERROR(__xludf.DUMMYFUNCTION("""COMPUTED_VALUE"""),5625000.0)</f>
        <v>5625000</v>
      </c>
      <c r="AL410" s="285" t="str">
        <f>IFERROR(__xludf.DUMMYFUNCTION("""COMPUTED_VALUE"""),"saudara nya sakit")</f>
        <v>saudara nya sakit</v>
      </c>
    </row>
    <row r="411"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320"/>
      <c r="R411" s="285"/>
      <c r="S411" s="285"/>
      <c r="T411" s="285"/>
      <c r="U411" s="285"/>
      <c r="V411" s="285"/>
      <c r="W411" s="285"/>
      <c r="X411" s="285"/>
      <c r="Y411" s="285"/>
      <c r="Z411" s="285"/>
      <c r="AA411" s="285"/>
      <c r="AC411" s="285" t="str">
        <f>IFERROR(__xludf.DUMMYFUNCTION("""COMPUTED_VALUE"""),"2606A013")</f>
        <v>2606A013</v>
      </c>
      <c r="AD411" s="286">
        <f>IFERROR(__xludf.DUMMYFUNCTION("""COMPUTED_VALUE"""),46176.0)</f>
        <v>46176</v>
      </c>
      <c r="AE411" s="285" t="str">
        <f>IFERROR(__xludf.DUMMYFUNCTION("""COMPUTED_VALUE"""),"Dian")</f>
        <v>Dian</v>
      </c>
      <c r="AF411" s="285" t="str">
        <f>IFERROR(__xludf.DUMMYFUNCTION("""COMPUTED_VALUE"""),"087884100669")</f>
        <v>087884100669</v>
      </c>
      <c r="AG411" s="285" t="str">
        <f>IFERROR(__xludf.DUMMYFUNCTION("""COMPUTED_VALUE"""),"Gagal")</f>
        <v>Gagal</v>
      </c>
      <c r="AH411" s="285" t="str">
        <f>IFERROR(__xludf.DUMMYFUNCTION("""COMPUTED_VALUE"""),"ot ijen")</f>
        <v>ot ijen</v>
      </c>
      <c r="AI411" s="287">
        <f>IFERROR(__xludf.DUMMYFUNCTION("""COMPUTED_VALUE"""),46178.0)</f>
        <v>46178</v>
      </c>
      <c r="AJ411" s="285">
        <f>IFERROR(__xludf.DUMMYFUNCTION("""COMPUTED_VALUE"""),1.0)</f>
        <v>1</v>
      </c>
      <c r="AK411" s="289">
        <f>IFERROR(__xludf.DUMMYFUNCTION("""COMPUTED_VALUE"""),250000.0)</f>
        <v>250000</v>
      </c>
      <c r="AL411" s="285" t="str">
        <f>IFERROR(__xludf.DUMMYFUNCTION("""COMPUTED_VALUE"""),"tetiba balik jkt, ada urusan")</f>
        <v>tetiba balik jkt, ada urusan</v>
      </c>
    </row>
    <row r="412"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320"/>
      <c r="R412" s="285"/>
      <c r="S412" s="285"/>
      <c r="T412" s="285"/>
      <c r="U412" s="285"/>
      <c r="V412" s="285"/>
      <c r="W412" s="285"/>
      <c r="X412" s="285"/>
      <c r="Y412" s="285"/>
      <c r="Z412" s="285"/>
      <c r="AA412" s="285"/>
      <c r="AC412" s="285" t="str">
        <f>IFERROR(__xludf.DUMMYFUNCTION("""COMPUTED_VALUE"""),"2606A015")</f>
        <v>2606A015</v>
      </c>
      <c r="AD412" s="286">
        <f>IFERROR(__xludf.DUMMYFUNCTION("""COMPUTED_VALUE"""),46177.0)</f>
        <v>46177</v>
      </c>
      <c r="AE412" s="285" t="str">
        <f>IFERROR(__xludf.DUMMYFUNCTION("""COMPUTED_VALUE"""),"Lukyy")</f>
        <v>Lukyy</v>
      </c>
      <c r="AF412" s="285" t="str">
        <f>IFERROR(__xludf.DUMMYFUNCTION("""COMPUTED_VALUE"""),"085952884267")</f>
        <v>085952884267</v>
      </c>
      <c r="AG412" s="285" t="str">
        <f>IFERROR(__xludf.DUMMYFUNCTION("""COMPUTED_VALUE"""),"Gagal")</f>
        <v>Gagal</v>
      </c>
      <c r="AH412" s="285" t="str">
        <f>IFERROR(__xludf.DUMMYFUNCTION("""COMPUTED_VALUE"""),"3h2m")</f>
        <v>3h2m</v>
      </c>
      <c r="AI412" s="287"/>
      <c r="AJ412" s="285">
        <f>IFERROR(__xludf.DUMMYFUNCTION("""COMPUTED_VALUE"""),3.0)</f>
        <v>3</v>
      </c>
      <c r="AK412" s="289">
        <f>IFERROR(__xludf.DUMMYFUNCTION("""COMPUTED_VALUE"""),6402000.0)</f>
        <v>6402000</v>
      </c>
      <c r="AL412" s="285" t="str">
        <f>IFERROR(__xludf.DUMMYFUNCTION("""COMPUTED_VALUE"""),"gada balasan")</f>
        <v>gada balasan</v>
      </c>
    </row>
    <row r="413"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320"/>
      <c r="R413" s="285"/>
      <c r="S413" s="285"/>
      <c r="T413" s="285"/>
      <c r="U413" s="285"/>
      <c r="V413" s="285"/>
      <c r="W413" s="285"/>
      <c r="X413" s="285"/>
      <c r="Y413" s="285"/>
      <c r="Z413" s="285"/>
      <c r="AA413" s="285"/>
      <c r="AC413" s="285" t="str">
        <f>IFERROR(__xludf.DUMMYFUNCTION("""COMPUTED_VALUE"""),"2606A017")</f>
        <v>2606A017</v>
      </c>
      <c r="AD413" s="286">
        <f>IFERROR(__xludf.DUMMYFUNCTION("""COMPUTED_VALUE"""),46177.0)</f>
        <v>46177</v>
      </c>
      <c r="AE413" s="285" t="str">
        <f>IFERROR(__xludf.DUMMYFUNCTION("""COMPUTED_VALUE"""),"Fahrizal")</f>
        <v>Fahrizal</v>
      </c>
      <c r="AF413" s="285" t="str">
        <f>IFERROR(__xludf.DUMMYFUNCTION("""COMPUTED_VALUE"""),"085329469824")</f>
        <v>085329469824</v>
      </c>
      <c r="AG413" s="285" t="str">
        <f>IFERROR(__xludf.DUMMYFUNCTION("""COMPUTED_VALUE"""),"Gagal")</f>
        <v>Gagal</v>
      </c>
      <c r="AH413" s="285" t="str">
        <f>IFERROR(__xludf.DUMMYFUNCTION("""COMPUTED_VALUE"""),"2h1m")</f>
        <v>2h1m</v>
      </c>
      <c r="AI413" s="287">
        <f>IFERROR(__xludf.DUMMYFUNCTION("""COMPUTED_VALUE"""),46181.0)</f>
        <v>46181</v>
      </c>
      <c r="AJ413" s="285">
        <f>IFERROR(__xludf.DUMMYFUNCTION("""COMPUTED_VALUE"""),2.0)</f>
        <v>2</v>
      </c>
      <c r="AK413" s="289"/>
      <c r="AL413" s="285"/>
    </row>
    <row r="414"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320"/>
      <c r="R414" s="285"/>
      <c r="S414" s="285"/>
      <c r="T414" s="285"/>
      <c r="U414" s="285"/>
      <c r="V414" s="285"/>
      <c r="W414" s="285"/>
      <c r="X414" s="285"/>
      <c r="Y414" s="285"/>
      <c r="Z414" s="285"/>
      <c r="AA414" s="285"/>
      <c r="AC414" s="285" t="str">
        <f>IFERROR(__xludf.DUMMYFUNCTION("""COMPUTED_VALUE"""),"2606A018")</f>
        <v>2606A018</v>
      </c>
      <c r="AD414" s="286">
        <f>IFERROR(__xludf.DUMMYFUNCTION("""COMPUTED_VALUE"""),46174.0)</f>
        <v>46174</v>
      </c>
      <c r="AE414" s="285" t="str">
        <f>IFERROR(__xludf.DUMMYFUNCTION("""COMPUTED_VALUE"""),"Boby Nusanesia")</f>
        <v>Boby Nusanesia</v>
      </c>
      <c r="AF414" s="285" t="str">
        <f>IFERROR(__xludf.DUMMYFUNCTION("""COMPUTED_VALUE"""),"081234747500")</f>
        <v>081234747500</v>
      </c>
      <c r="AG414" s="285" t="str">
        <f>IFERROR(__xludf.DUMMYFUNCTION("""COMPUTED_VALUE"""),"Gagal")</f>
        <v>Gagal</v>
      </c>
      <c r="AH414" s="285"/>
      <c r="AI414" s="287"/>
      <c r="AJ414" s="285">
        <f>IFERROR(__xludf.DUMMYFUNCTION("""COMPUTED_VALUE"""),8.0)</f>
        <v>8</v>
      </c>
      <c r="AK414" s="289"/>
      <c r="AL414" s="285" t="str">
        <f>IFERROR(__xludf.DUMMYFUNCTION("""COMPUTED_VALUE"""),"gada balasan")</f>
        <v>gada balasan</v>
      </c>
    </row>
    <row r="415"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320"/>
      <c r="R415" s="285"/>
      <c r="S415" s="285"/>
      <c r="T415" s="285"/>
      <c r="U415" s="285"/>
      <c r="V415" s="285"/>
      <c r="W415" s="285"/>
      <c r="X415" s="285"/>
      <c r="Y415" s="285"/>
      <c r="Z415" s="285"/>
      <c r="AA415" s="285"/>
      <c r="AC415" s="285" t="str">
        <f>IFERROR(__xludf.DUMMYFUNCTION("""COMPUTED_VALUE"""),"2606A019")</f>
        <v>2606A019</v>
      </c>
      <c r="AD415" s="286">
        <f>IFERROR(__xludf.DUMMYFUNCTION("""COMPUTED_VALUE"""),46177.0)</f>
        <v>46177</v>
      </c>
      <c r="AE415" s="285" t="str">
        <f>IFERROR(__xludf.DUMMYFUNCTION("""COMPUTED_VALUE"""),"ismail")</f>
        <v>ismail</v>
      </c>
      <c r="AF415" s="285" t="str">
        <f>IFERROR(__xludf.DUMMYFUNCTION("""COMPUTED_VALUE"""),"085819717587")</f>
        <v>085819717587</v>
      </c>
      <c r="AG415" s="285" t="str">
        <f>IFERROR(__xludf.DUMMYFUNCTION("""COMPUTED_VALUE"""),"Gagal")</f>
        <v>Gagal</v>
      </c>
      <c r="AH415" s="285" t="str">
        <f>IFERROR(__xludf.DUMMYFUNCTION("""COMPUTED_VALUE"""),"djabal")</f>
        <v>djabal</v>
      </c>
      <c r="AI415" s="287"/>
      <c r="AJ415" s="285">
        <f>IFERROR(__xludf.DUMMYFUNCTION("""COMPUTED_VALUE"""),1.0)</f>
        <v>1</v>
      </c>
      <c r="AK415" s="289"/>
      <c r="AL415" s="285" t="str">
        <f>IFERROR(__xludf.DUMMYFUNCTION("""COMPUTED_VALUE"""),"gada balasan")</f>
        <v>gada balasan</v>
      </c>
    </row>
    <row r="416"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320"/>
      <c r="R416" s="285"/>
      <c r="S416" s="285"/>
      <c r="T416" s="285"/>
      <c r="U416" s="285"/>
      <c r="V416" s="285"/>
      <c r="W416" s="285"/>
      <c r="X416" s="285"/>
      <c r="Y416" s="285"/>
      <c r="Z416" s="285"/>
      <c r="AA416" s="285"/>
      <c r="AC416" s="285" t="str">
        <f>IFERROR(__xludf.DUMMYFUNCTION("""COMPUTED_VALUE"""),"2606A020")</f>
        <v>2606A020</v>
      </c>
      <c r="AD416" s="286">
        <f>IFERROR(__xludf.DUMMYFUNCTION("""COMPUTED_VALUE"""),46177.0)</f>
        <v>46177</v>
      </c>
      <c r="AE416" s="285" t="str">
        <f>IFERROR(__xludf.DUMMYFUNCTION("""COMPUTED_VALUE"""),"fiorenza")</f>
        <v>fiorenza</v>
      </c>
      <c r="AF416" s="285" t="str">
        <f>IFERROR(__xludf.DUMMYFUNCTION("""COMPUTED_VALUE"""),"085643427366")</f>
        <v>085643427366</v>
      </c>
      <c r="AG416" s="285" t="str">
        <f>IFERROR(__xludf.DUMMYFUNCTION("""COMPUTED_VALUE"""),"Gagal")</f>
        <v>Gagal</v>
      </c>
      <c r="AH416" s="285" t="str">
        <f>IFERROR(__xludf.DUMMYFUNCTION("""COMPUTED_VALUE"""),"3h2m opsi b")</f>
        <v>3h2m opsi b</v>
      </c>
      <c r="AI416" s="287"/>
      <c r="AJ416" s="285">
        <f>IFERROR(__xludf.DUMMYFUNCTION("""COMPUTED_VALUE"""),13.0)</f>
        <v>13</v>
      </c>
      <c r="AK416" s="289"/>
      <c r="AL416" s="285" t="str">
        <f>IFERROR(__xludf.DUMMYFUNCTION("""COMPUTED_VALUE"""),"gada balasan")</f>
        <v>gada balasan</v>
      </c>
    </row>
    <row r="417"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320"/>
      <c r="R417" s="285"/>
      <c r="S417" s="285"/>
      <c r="T417" s="285"/>
      <c r="U417" s="285"/>
      <c r="V417" s="285"/>
      <c r="W417" s="285"/>
      <c r="X417" s="285"/>
      <c r="Y417" s="285"/>
      <c r="Z417" s="285"/>
      <c r="AA417" s="285"/>
      <c r="AC417" s="285" t="str">
        <f>IFERROR(__xludf.DUMMYFUNCTION("""COMPUTED_VALUE"""),"2606A021")</f>
        <v>2606A021</v>
      </c>
      <c r="AD417" s="286">
        <f>IFERROR(__xludf.DUMMYFUNCTION("""COMPUTED_VALUE"""),46177.0)</f>
        <v>46177</v>
      </c>
      <c r="AE417" s="285" t="str">
        <f>IFERROR(__xludf.DUMMYFUNCTION("""COMPUTED_VALUE"""),"Amanda kurnia")</f>
        <v>Amanda kurnia</v>
      </c>
      <c r="AF417" s="285" t="str">
        <f>IFERROR(__xludf.DUMMYFUNCTION("""COMPUTED_VALUE"""),"081380343328")</f>
        <v>081380343328</v>
      </c>
      <c r="AG417" s="285" t="str">
        <f>IFERROR(__xludf.DUMMYFUNCTION("""COMPUTED_VALUE"""),"Gagal")</f>
        <v>Gagal</v>
      </c>
      <c r="AH417" s="285" t="str">
        <f>IFERROR(__xludf.DUMMYFUNCTION("""COMPUTED_VALUE"""),"ot djabal")</f>
        <v>ot djabal</v>
      </c>
      <c r="AI417" s="287"/>
      <c r="AJ417" s="285"/>
      <c r="AK417" s="289"/>
      <c r="AL417" s="285" t="str">
        <f>IFERROR(__xludf.DUMMYFUNCTION("""COMPUTED_VALUE"""),"gada balasan")</f>
        <v>gada balasan</v>
      </c>
    </row>
    <row r="418"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320"/>
      <c r="R418" s="285"/>
      <c r="S418" s="285"/>
      <c r="T418" s="285"/>
      <c r="U418" s="285"/>
      <c r="V418" s="285"/>
      <c r="W418" s="285"/>
      <c r="X418" s="285"/>
      <c r="Y418" s="285"/>
      <c r="Z418" s="285"/>
      <c r="AA418" s="285"/>
      <c r="AC418" s="285" t="str">
        <f>IFERROR(__xludf.DUMMYFUNCTION("""COMPUTED_VALUE"""),"2606A022")</f>
        <v>2606A022</v>
      </c>
      <c r="AD418" s="286">
        <f>IFERROR(__xludf.DUMMYFUNCTION("""COMPUTED_VALUE"""),46178.0)</f>
        <v>46178</v>
      </c>
      <c r="AE418" s="285" t="str">
        <f>IFERROR(__xludf.DUMMYFUNCTION("""COMPUTED_VALUE"""),"Sardjono")</f>
        <v>Sardjono</v>
      </c>
      <c r="AF418" s="285" t="str">
        <f>IFERROR(__xludf.DUMMYFUNCTION("""COMPUTED_VALUE"""),"081575008778")</f>
        <v>081575008778</v>
      </c>
      <c r="AG418" s="285" t="str">
        <f>IFERROR(__xludf.DUMMYFUNCTION("""COMPUTED_VALUE"""),"Gagal")</f>
        <v>Gagal</v>
      </c>
      <c r="AH418" s="285" t="str">
        <f>IFERROR(__xludf.DUMMYFUNCTION("""COMPUTED_VALUE"""),"2h1m b")</f>
        <v>2h1m b</v>
      </c>
      <c r="AI418" s="287"/>
      <c r="AJ418" s="285">
        <f>IFERROR(__xludf.DUMMYFUNCTION("""COMPUTED_VALUE"""),4.0)</f>
        <v>4</v>
      </c>
      <c r="AK418" s="289">
        <f>IFERROR(__xludf.DUMMYFUNCTION("""COMPUTED_VALUE"""),4148000.0)</f>
        <v>4148000</v>
      </c>
      <c r="AL418" s="285" t="str">
        <f>IFERROR(__xludf.DUMMYFUNCTION("""COMPUTED_VALUE"""),"gada balasan")</f>
        <v>gada balasan</v>
      </c>
    </row>
    <row r="419"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320"/>
      <c r="R419" s="285"/>
      <c r="S419" s="285"/>
      <c r="T419" s="285"/>
      <c r="U419" s="285"/>
      <c r="V419" s="285"/>
      <c r="W419" s="285"/>
      <c r="X419" s="285"/>
      <c r="Y419" s="285"/>
      <c r="Z419" s="285"/>
      <c r="AA419" s="285"/>
      <c r="AC419" s="285" t="str">
        <f>IFERROR(__xludf.DUMMYFUNCTION("""COMPUTED_VALUE"""),"2606A023")</f>
        <v>2606A023</v>
      </c>
      <c r="AD419" s="286">
        <f>IFERROR(__xludf.DUMMYFUNCTION("""COMPUTED_VALUE"""),46178.0)</f>
        <v>46178</v>
      </c>
      <c r="AE419" s="285" t="str">
        <f>IFERROR(__xludf.DUMMYFUNCTION("""COMPUTED_VALUE"""),"Iman Syafirman")</f>
        <v>Iman Syafirman</v>
      </c>
      <c r="AF419" s="285" t="str">
        <f>IFERROR(__xludf.DUMMYFUNCTION("""COMPUTED_VALUE"""),"081211777810")</f>
        <v>081211777810</v>
      </c>
      <c r="AG419" s="285" t="str">
        <f>IFERROR(__xludf.DUMMYFUNCTION("""COMPUTED_VALUE"""),"Gagal")</f>
        <v>Gagal</v>
      </c>
      <c r="AH419" s="285" t="str">
        <f>IFERROR(__xludf.DUMMYFUNCTION("""COMPUTED_VALUE"""),"3h2m b")</f>
        <v>3h2m b</v>
      </c>
      <c r="AI419" s="287">
        <f>IFERROR(__xludf.DUMMYFUNCTION("""COMPUTED_VALUE"""),46209.0)</f>
        <v>46209</v>
      </c>
      <c r="AJ419" s="285">
        <f>IFERROR(__xludf.DUMMYFUNCTION("""COMPUTED_VALUE"""),5.0)</f>
        <v>5</v>
      </c>
      <c r="AK419" s="289"/>
      <c r="AL419" s="285" t="str">
        <f>IFERROR(__xludf.DUMMYFUNCTION("""COMPUTED_VALUE"""),"gada balasan")</f>
        <v>gada balasan</v>
      </c>
    </row>
    <row r="420"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320"/>
      <c r="R420" s="285"/>
      <c r="S420" s="285"/>
      <c r="T420" s="285"/>
      <c r="U420" s="285"/>
      <c r="V420" s="285"/>
      <c r="W420" s="285"/>
      <c r="X420" s="285"/>
      <c r="Y420" s="285"/>
      <c r="Z420" s="285"/>
      <c r="AA420" s="285"/>
      <c r="AC420" s="285" t="str">
        <f>IFERROR(__xludf.DUMMYFUNCTION("""COMPUTED_VALUE"""),"2606A024")</f>
        <v>2606A024</v>
      </c>
      <c r="AD420" s="286">
        <f>IFERROR(__xludf.DUMMYFUNCTION("""COMPUTED_VALUE"""),46178.0)</f>
        <v>46178</v>
      </c>
      <c r="AE420" s="285" t="str">
        <f>IFERROR(__xludf.DUMMYFUNCTION("""COMPUTED_VALUE"""),"Esra Henita Marito")</f>
        <v>Esra Henita Marito</v>
      </c>
      <c r="AF420" s="285" t="str">
        <f>IFERROR(__xludf.DUMMYFUNCTION("""COMPUTED_VALUE"""),"089629191295")</f>
        <v>089629191295</v>
      </c>
      <c r="AG420" s="285" t="str">
        <f>IFERROR(__xludf.DUMMYFUNCTION("""COMPUTED_VALUE"""),"Gagal")</f>
        <v>Gagal</v>
      </c>
      <c r="AH420" s="285" t="str">
        <f>IFERROR(__xludf.DUMMYFUNCTION("""COMPUTED_VALUE"""),"ot gi ")</f>
        <v>ot gi </v>
      </c>
      <c r="AI420" s="287">
        <f>IFERROR(__xludf.DUMMYFUNCTION("""COMPUTED_VALUE"""),46189.0)</f>
        <v>46189</v>
      </c>
      <c r="AJ420" s="285">
        <f>IFERROR(__xludf.DUMMYFUNCTION("""COMPUTED_VALUE"""),2.0)</f>
        <v>2</v>
      </c>
      <c r="AK420" s="289"/>
      <c r="AL420" s="285" t="str">
        <f>IFERROR(__xludf.DUMMYFUNCTION("""COMPUTED_VALUE"""),"alihkan ke holiday")</f>
        <v>alihkan ke holiday</v>
      </c>
    </row>
    <row r="421"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320"/>
      <c r="R421" s="285"/>
      <c r="S421" s="285"/>
      <c r="T421" s="285"/>
      <c r="U421" s="285"/>
      <c r="V421" s="285"/>
      <c r="W421" s="285"/>
      <c r="X421" s="285"/>
      <c r="Y421" s="285"/>
      <c r="Z421" s="285"/>
      <c r="AA421" s="285"/>
      <c r="AC421" s="285" t="str">
        <f>IFERROR(__xludf.DUMMYFUNCTION("""COMPUTED_VALUE"""),"2606A025")</f>
        <v>2606A025</v>
      </c>
      <c r="AD421" s="286">
        <f>IFERROR(__xludf.DUMMYFUNCTION("""COMPUTED_VALUE"""),46178.0)</f>
        <v>46178</v>
      </c>
      <c r="AE421" s="285" t="str">
        <f>IFERROR(__xludf.DUMMYFUNCTION("""COMPUTED_VALUE"""),"Devita Permatasari")</f>
        <v>Devita Permatasari</v>
      </c>
      <c r="AF421" s="285" t="str">
        <f>IFERROR(__xludf.DUMMYFUNCTION("""COMPUTED_VALUE"""),"089518850465")</f>
        <v>089518850465</v>
      </c>
      <c r="AG421" s="285" t="str">
        <f>IFERROR(__xludf.DUMMYFUNCTION("""COMPUTED_VALUE"""),"Gagal")</f>
        <v>Gagal</v>
      </c>
      <c r="AH421" s="285" t="str">
        <f>IFERROR(__xludf.DUMMYFUNCTION("""COMPUTED_VALUE"""),"ot djabal")</f>
        <v>ot djabal</v>
      </c>
      <c r="AI421" s="287"/>
      <c r="AJ421" s="285">
        <f>IFERROR(__xludf.DUMMYFUNCTION("""COMPUTED_VALUE"""),2.0)</f>
        <v>2</v>
      </c>
      <c r="AK421" s="289"/>
      <c r="AL421" s="285" t="str">
        <f>IFERROR(__xludf.DUMMYFUNCTION("""COMPUTED_VALUE"""),"gada kelanjutan")</f>
        <v>gada kelanjutan</v>
      </c>
    </row>
    <row r="422"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320"/>
      <c r="R422" s="285"/>
      <c r="S422" s="285"/>
      <c r="T422" s="285"/>
      <c r="U422" s="285"/>
      <c r="V422" s="285"/>
      <c r="W422" s="285"/>
      <c r="X422" s="285"/>
      <c r="Y422" s="285"/>
      <c r="Z422" s="285"/>
      <c r="AA422" s="285"/>
      <c r="AC422" s="285" t="str">
        <f>IFERROR(__xludf.DUMMYFUNCTION("""COMPUTED_VALUE"""),"2606A026")</f>
        <v>2606A026</v>
      </c>
      <c r="AD422" s="286">
        <f>IFERROR(__xludf.DUMMYFUNCTION("""COMPUTED_VALUE"""),46179.0)</f>
        <v>46179</v>
      </c>
      <c r="AE422" s="285" t="str">
        <f>IFERROR(__xludf.DUMMYFUNCTION("""COMPUTED_VALUE"""),"Lilis")</f>
        <v>Lilis</v>
      </c>
      <c r="AF422" s="285" t="str">
        <f>IFERROR(__xludf.DUMMYFUNCTION("""COMPUTED_VALUE"""),"08129092824")</f>
        <v>08129092824</v>
      </c>
      <c r="AG422" s="285" t="str">
        <f>IFERROR(__xludf.DUMMYFUNCTION("""COMPUTED_VALUE"""),"Gagal")</f>
        <v>Gagal</v>
      </c>
      <c r="AH422" s="285"/>
      <c r="AI422" s="287"/>
      <c r="AJ422" s="285"/>
      <c r="AK422" s="289"/>
      <c r="AL422" s="285" t="str">
        <f>IFERROR(__xludf.DUMMYFUNCTION("""COMPUTED_VALUE"""),"hanya menyapa")</f>
        <v>hanya menyapa</v>
      </c>
    </row>
    <row r="423"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320"/>
      <c r="R423" s="285"/>
      <c r="S423" s="285"/>
      <c r="T423" s="285"/>
      <c r="U423" s="285"/>
      <c r="V423" s="285"/>
      <c r="W423" s="285"/>
      <c r="X423" s="285"/>
      <c r="Y423" s="285"/>
      <c r="Z423" s="285"/>
      <c r="AA423" s="285"/>
      <c r="AC423" s="285" t="str">
        <f>IFERROR(__xludf.DUMMYFUNCTION("""COMPUTED_VALUE"""),"2606A027")</f>
        <v>2606A027</v>
      </c>
      <c r="AD423" s="286">
        <f>IFERROR(__xludf.DUMMYFUNCTION("""COMPUTED_VALUE"""),46179.0)</f>
        <v>46179</v>
      </c>
      <c r="AE423" s="285" t="str">
        <f>IFERROR(__xludf.DUMMYFUNCTION("""COMPUTED_VALUE"""),"Linda")</f>
        <v>Linda</v>
      </c>
      <c r="AF423" s="285" t="str">
        <f>IFERROR(__xludf.DUMMYFUNCTION("""COMPUTED_VALUE"""),"082343223731")</f>
        <v>082343223731</v>
      </c>
      <c r="AG423" s="285" t="str">
        <f>IFERROR(__xludf.DUMMYFUNCTION("""COMPUTED_VALUE"""),"Gagal")</f>
        <v>Gagal</v>
      </c>
      <c r="AH423" s="285"/>
      <c r="AI423" s="287"/>
      <c r="AJ423" s="285"/>
      <c r="AK423" s="289"/>
      <c r="AL423" s="285" t="str">
        <f>IFERROR(__xludf.DUMMYFUNCTION("""COMPUTED_VALUE"""),"hanya menyapa")</f>
        <v>hanya menyapa</v>
      </c>
    </row>
    <row r="424"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320"/>
      <c r="R424" s="285"/>
      <c r="S424" s="285"/>
      <c r="T424" s="285"/>
      <c r="U424" s="285"/>
      <c r="V424" s="285"/>
      <c r="W424" s="285"/>
      <c r="X424" s="285"/>
      <c r="Y424" s="285"/>
      <c r="Z424" s="285"/>
      <c r="AA424" s="285"/>
      <c r="AC424" s="285" t="str">
        <f>IFERROR(__xludf.DUMMYFUNCTION("""COMPUTED_VALUE"""),"2606A028")</f>
        <v>2606A028</v>
      </c>
      <c r="AD424" s="286">
        <f>IFERROR(__xludf.DUMMYFUNCTION("""COMPUTED_VALUE"""),46179.0)</f>
        <v>46179</v>
      </c>
      <c r="AE424" s="285" t="str">
        <f>IFERROR(__xludf.DUMMYFUNCTION("""COMPUTED_VALUE"""),"qnylia")</f>
        <v>qnylia</v>
      </c>
      <c r="AF424" s="285" t="str">
        <f>IFERROR(__xludf.DUMMYFUNCTION("""COMPUTED_VALUE"""),"085190882445")</f>
        <v>085190882445</v>
      </c>
      <c r="AG424" s="285" t="str">
        <f>IFERROR(__xludf.DUMMYFUNCTION("""COMPUTED_VALUE"""),"Gagal")</f>
        <v>Gagal</v>
      </c>
      <c r="AH424" s="285" t="str">
        <f>IFERROR(__xludf.DUMMYFUNCTION("""COMPUTED_VALUE"""),"2h1m b")</f>
        <v>2h1m b</v>
      </c>
      <c r="AI424" s="287"/>
      <c r="AJ424" s="285">
        <f>IFERROR(__xludf.DUMMYFUNCTION("""COMPUTED_VALUE"""),4.0)</f>
        <v>4</v>
      </c>
      <c r="AK424" s="289"/>
      <c r="AL424" s="285" t="str">
        <f>IFERROR(__xludf.DUMMYFUNCTION("""COMPUTED_VALUE"""),"gada kelanjutan")</f>
        <v>gada kelanjutan</v>
      </c>
    </row>
    <row r="425"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320"/>
      <c r="R425" s="285"/>
      <c r="S425" s="285"/>
      <c r="T425" s="285"/>
      <c r="U425" s="285"/>
      <c r="V425" s="285"/>
      <c r="W425" s="285"/>
      <c r="X425" s="285"/>
      <c r="Y425" s="285"/>
      <c r="Z425" s="285"/>
      <c r="AA425" s="285"/>
      <c r="AC425" s="285" t="str">
        <f>IFERROR(__xludf.DUMMYFUNCTION("""COMPUTED_VALUE"""),"2606A030")</f>
        <v>2606A030</v>
      </c>
      <c r="AD425" s="286">
        <f>IFERROR(__xludf.DUMMYFUNCTION("""COMPUTED_VALUE"""),46179.0)</f>
        <v>46179</v>
      </c>
      <c r="AE425" s="285" t="str">
        <f>IFERROR(__xludf.DUMMYFUNCTION("""COMPUTED_VALUE"""),"Atika (sriminartimulyono1975)")</f>
        <v>Atika (sriminartimulyono1975)</v>
      </c>
      <c r="AF425" s="285" t="str">
        <f>IFERROR(__xludf.DUMMYFUNCTION("""COMPUTED_VALUE"""),"081238241039")</f>
        <v>081238241039</v>
      </c>
      <c r="AG425" s="285" t="str">
        <f>IFERROR(__xludf.DUMMYFUNCTION("""COMPUTED_VALUE"""),"Gagal")</f>
        <v>Gagal</v>
      </c>
      <c r="AH425" s="285" t="str">
        <f>IFERROR(__xludf.DUMMYFUNCTION("""COMPUTED_VALUE"""),"green island")</f>
        <v>green island</v>
      </c>
      <c r="AI425" s="287"/>
      <c r="AJ425" s="285">
        <f>IFERROR(__xludf.DUMMYFUNCTION("""COMPUTED_VALUE"""),5.0)</f>
        <v>5</v>
      </c>
      <c r="AK425" s="289">
        <f>IFERROR(__xludf.DUMMYFUNCTION("""COMPUTED_VALUE"""),2650000.0)</f>
        <v>2650000</v>
      </c>
      <c r="AL425" s="285" t="str">
        <f>IFERROR(__xludf.DUMMYFUNCTION("""COMPUTED_VALUE"""),"ganti ke jogja")</f>
        <v>ganti ke jogja</v>
      </c>
    </row>
    <row r="426"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320"/>
      <c r="R426" s="285"/>
      <c r="S426" s="285"/>
      <c r="T426" s="285"/>
      <c r="U426" s="285"/>
      <c r="V426" s="285"/>
      <c r="W426" s="285"/>
      <c r="X426" s="285"/>
      <c r="Y426" s="285"/>
      <c r="Z426" s="285"/>
      <c r="AA426" s="285"/>
      <c r="AC426" s="285" t="str">
        <f>IFERROR(__xludf.DUMMYFUNCTION("""COMPUTED_VALUE"""),"2606A033")</f>
        <v>2606A033</v>
      </c>
      <c r="AD426" s="286">
        <f>IFERROR(__xludf.DUMMYFUNCTION("""COMPUTED_VALUE"""),46179.0)</f>
        <v>46179</v>
      </c>
      <c r="AE426" s="285" t="str">
        <f>IFERROR(__xludf.DUMMYFUNCTION("""COMPUTED_VALUE"""),"FNI")</f>
        <v>FNI</v>
      </c>
      <c r="AF426" s="285" t="str">
        <f>IFERROR(__xludf.DUMMYFUNCTION("""COMPUTED_VALUE"""),"085740434420")</f>
        <v>085740434420</v>
      </c>
      <c r="AG426" s="285" t="str">
        <f>IFERROR(__xludf.DUMMYFUNCTION("""COMPUTED_VALUE"""),"Gagal")</f>
        <v>Gagal</v>
      </c>
      <c r="AH426" s="285" t="str">
        <f>IFERROR(__xludf.DUMMYFUNCTION("""COMPUTED_VALUE"""),"pvt mt")</f>
        <v>pvt mt</v>
      </c>
      <c r="AI426" s="287">
        <f>IFERROR(__xludf.DUMMYFUNCTION("""COMPUTED_VALUE"""),46207.0)</f>
        <v>46207</v>
      </c>
      <c r="AJ426" s="285">
        <f>IFERROR(__xludf.DUMMYFUNCTION("""COMPUTED_VALUE"""),3.0)</f>
        <v>3</v>
      </c>
      <c r="AK426" s="289">
        <f>IFERROR(__xludf.DUMMYFUNCTION("""COMPUTED_VALUE"""),1830000.0)</f>
        <v>1830000</v>
      </c>
      <c r="AL426" s="285" t="str">
        <f>IFERROR(__xludf.DUMMYFUNCTION("""COMPUTED_VALUE"""),"gada balasan")</f>
        <v>gada balasan</v>
      </c>
    </row>
    <row r="427"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320"/>
      <c r="R427" s="285"/>
      <c r="S427" s="285"/>
      <c r="T427" s="285"/>
      <c r="U427" s="285"/>
      <c r="V427" s="285"/>
      <c r="W427" s="285"/>
      <c r="X427" s="285"/>
      <c r="Y427" s="285"/>
      <c r="Z427" s="285"/>
      <c r="AA427" s="285"/>
      <c r="AC427" s="285" t="str">
        <f>IFERROR(__xludf.DUMMYFUNCTION("""COMPUTED_VALUE"""),"2606A034")</f>
        <v>2606A034</v>
      </c>
      <c r="AD427" s="286">
        <f>IFERROR(__xludf.DUMMYFUNCTION("""COMPUTED_VALUE"""),46179.0)</f>
        <v>46179</v>
      </c>
      <c r="AE427" s="285" t="str">
        <f>IFERROR(__xludf.DUMMYFUNCTION("""COMPUTED_VALUE"""),"Denys (Mimi Embun)")</f>
        <v>Denys (Mimi Embun)</v>
      </c>
      <c r="AF427" s="285" t="str">
        <f>IFERROR(__xludf.DUMMYFUNCTION("""COMPUTED_VALUE"""),"085645398313")</f>
        <v>085645398313</v>
      </c>
      <c r="AG427" s="285" t="str">
        <f>IFERROR(__xludf.DUMMYFUNCTION("""COMPUTED_VALUE"""),"Gagal")</f>
        <v>Gagal</v>
      </c>
      <c r="AH427" s="285" t="str">
        <f>IFERROR(__xludf.DUMMYFUNCTION("""COMPUTED_VALUE"""),"3h2m b")</f>
        <v>3h2m b</v>
      </c>
      <c r="AI427" s="287"/>
      <c r="AJ427" s="285">
        <f>IFERROR(__xludf.DUMMYFUNCTION("""COMPUTED_VALUE"""),5.0)</f>
        <v>5</v>
      </c>
      <c r="AK427" s="289">
        <f>IFERROR(__xludf.DUMMYFUNCTION("""COMPUTED_VALUE"""),5225000.0)</f>
        <v>5225000</v>
      </c>
      <c r="AL427" s="285" t="str">
        <f>IFERROR(__xludf.DUMMYFUNCTION("""COMPUTED_VALUE"""),"berhalangan")</f>
        <v>berhalangan</v>
      </c>
    </row>
    <row r="428"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320"/>
      <c r="R428" s="285"/>
      <c r="S428" s="285"/>
      <c r="T428" s="285"/>
      <c r="U428" s="285"/>
      <c r="V428" s="285"/>
      <c r="W428" s="285"/>
      <c r="X428" s="285"/>
      <c r="Y428" s="285"/>
      <c r="Z428" s="285"/>
      <c r="AA428" s="285"/>
      <c r="AC428" s="285" t="str">
        <f>IFERROR(__xludf.DUMMYFUNCTION("""COMPUTED_VALUE"""),"2606A035")</f>
        <v>2606A035</v>
      </c>
      <c r="AD428" s="286">
        <f>IFERROR(__xludf.DUMMYFUNCTION("""COMPUTED_VALUE"""),46179.0)</f>
        <v>46179</v>
      </c>
      <c r="AE428" s="285" t="str">
        <f>IFERROR(__xludf.DUMMYFUNCTION("""COMPUTED_VALUE"""),"Sabrinaa")</f>
        <v>Sabrinaa</v>
      </c>
      <c r="AF428" s="285" t="str">
        <f>IFERROR(__xludf.DUMMYFUNCTION("""COMPUTED_VALUE"""),"081329829251")</f>
        <v>081329829251</v>
      </c>
      <c r="AG428" s="285" t="str">
        <f>IFERROR(__xludf.DUMMYFUNCTION("""COMPUTED_VALUE"""),"Gagal")</f>
        <v>Gagal</v>
      </c>
      <c r="AH428" s="285" t="str">
        <f>IFERROR(__xludf.DUMMYFUNCTION("""COMPUTED_VALUE"""),"3h2m a + green island")</f>
        <v>3h2m a + green island</v>
      </c>
      <c r="AI428" s="287"/>
      <c r="AJ428" s="285">
        <f>IFERROR(__xludf.DUMMYFUNCTION("""COMPUTED_VALUE"""),5.0)</f>
        <v>5</v>
      </c>
      <c r="AK428" s="289"/>
      <c r="AL428" s="285" t="str">
        <f>IFERROR(__xludf.DUMMYFUNCTION("""COMPUTED_VALUE"""),"gada balasan")</f>
        <v>gada balasan</v>
      </c>
    </row>
    <row r="429"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320"/>
      <c r="R429" s="285"/>
      <c r="S429" s="285"/>
      <c r="T429" s="285"/>
      <c r="U429" s="285"/>
      <c r="V429" s="285"/>
      <c r="W429" s="285"/>
      <c r="X429" s="285"/>
      <c r="Y429" s="285"/>
      <c r="Z429" s="285"/>
      <c r="AA429" s="285"/>
      <c r="AC429" s="285" t="str">
        <f>IFERROR(__xludf.DUMMYFUNCTION("""COMPUTED_VALUE"""),"2606A036")</f>
        <v>2606A036</v>
      </c>
      <c r="AD429" s="286">
        <f>IFERROR(__xludf.DUMMYFUNCTION("""COMPUTED_VALUE"""),46180.0)</f>
        <v>46180</v>
      </c>
      <c r="AE429" s="285" t="str">
        <f>IFERROR(__xludf.DUMMYFUNCTION("""COMPUTED_VALUE"""),"Lulu Amirah")</f>
        <v>Lulu Amirah</v>
      </c>
      <c r="AF429" s="285" t="str">
        <f>IFERROR(__xludf.DUMMYFUNCTION("""COMPUTED_VALUE"""),"085793432795")</f>
        <v>085793432795</v>
      </c>
      <c r="AG429" s="285" t="str">
        <f>IFERROR(__xludf.DUMMYFUNCTION("""COMPUTED_VALUE"""),"Gagal")</f>
        <v>Gagal</v>
      </c>
      <c r="AH429" s="285"/>
      <c r="AI429" s="287"/>
      <c r="AJ429" s="285"/>
      <c r="AK429" s="289"/>
      <c r="AL429" s="285" t="str">
        <f>IFERROR(__xludf.DUMMYFUNCTION("""COMPUTED_VALUE"""),"tanya-tanya aja")</f>
        <v>tanya-tanya aja</v>
      </c>
    </row>
    <row r="430"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320"/>
      <c r="R430" s="285"/>
      <c r="S430" s="285"/>
      <c r="T430" s="285"/>
      <c r="U430" s="285"/>
      <c r="V430" s="285"/>
      <c r="W430" s="285"/>
      <c r="X430" s="285"/>
      <c r="Y430" s="285"/>
      <c r="Z430" s="285"/>
      <c r="AA430" s="285"/>
      <c r="AC430" s="285" t="str">
        <f>IFERROR(__xludf.DUMMYFUNCTION("""COMPUTED_VALUE"""),"2606A038")</f>
        <v>2606A038</v>
      </c>
      <c r="AD430" s="286">
        <f>IFERROR(__xludf.DUMMYFUNCTION("""COMPUTED_VALUE"""),46180.0)</f>
        <v>46180</v>
      </c>
      <c r="AE430" s="285" t="str">
        <f>IFERROR(__xludf.DUMMYFUNCTION("""COMPUTED_VALUE"""),"faaa")</f>
        <v>faaa</v>
      </c>
      <c r="AF430" s="285" t="str">
        <f>IFERROR(__xludf.DUMMYFUNCTION("""COMPUTED_VALUE"""),"085138590590")</f>
        <v>085138590590</v>
      </c>
      <c r="AG430" s="285" t="str">
        <f>IFERROR(__xludf.DUMMYFUNCTION("""COMPUTED_VALUE"""),"Gagal")</f>
        <v>Gagal</v>
      </c>
      <c r="AH430" s="285" t="str">
        <f>IFERROR(__xludf.DUMMYFUNCTION("""COMPUTED_VALUE"""),"3h2m b")</f>
        <v>3h2m b</v>
      </c>
      <c r="AI430" s="287"/>
      <c r="AJ430" s="285"/>
      <c r="AK430" s="289"/>
      <c r="AL430" s="285" t="str">
        <f>IFERROR(__xludf.DUMMYFUNCTION("""COMPUTED_VALUE"""),"gada balasan")</f>
        <v>gada balasan</v>
      </c>
    </row>
    <row r="431"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320"/>
      <c r="R431" s="285"/>
      <c r="S431" s="285"/>
      <c r="T431" s="285"/>
      <c r="U431" s="285"/>
      <c r="V431" s="285"/>
      <c r="W431" s="285"/>
      <c r="X431" s="285"/>
      <c r="Y431" s="285"/>
      <c r="Z431" s="285"/>
      <c r="AA431" s="285"/>
      <c r="AC431" s="285" t="str">
        <f>IFERROR(__xludf.DUMMYFUNCTION("""COMPUTED_VALUE"""),"2606A039")</f>
        <v>2606A039</v>
      </c>
      <c r="AD431" s="286">
        <f>IFERROR(__xludf.DUMMYFUNCTION("""COMPUTED_VALUE"""),46179.0)</f>
        <v>46179</v>
      </c>
      <c r="AE431" s="285" t="str">
        <f>IFERROR(__xludf.DUMMYFUNCTION("""COMPUTED_VALUE"""),"ndupandw")</f>
        <v>ndupandw</v>
      </c>
      <c r="AF431" s="285" t="str">
        <f>IFERROR(__xludf.DUMMYFUNCTION("""COMPUTED_VALUE"""),"0895360766092")</f>
        <v>0895360766092</v>
      </c>
      <c r="AG431" s="285" t="str">
        <f>IFERROR(__xludf.DUMMYFUNCTION("""COMPUTED_VALUE"""),"Gagal")</f>
        <v>Gagal</v>
      </c>
      <c r="AH431" s="285" t="str">
        <f>IFERROR(__xludf.DUMMYFUNCTION("""COMPUTED_VALUE"""),"ot 2h1m")</f>
        <v>ot 2h1m</v>
      </c>
      <c r="AI431" s="287"/>
      <c r="AJ431" s="285"/>
      <c r="AK431" s="289"/>
      <c r="AL431" s="285" t="str">
        <f>IFERROR(__xludf.DUMMYFUNCTION("""COMPUTED_VALUE"""),"lewat tanggal")</f>
        <v>lewat tanggal</v>
      </c>
    </row>
    <row r="432"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320"/>
      <c r="R432" s="285"/>
      <c r="S432" s="285"/>
      <c r="T432" s="285"/>
      <c r="U432" s="285"/>
      <c r="V432" s="285"/>
      <c r="W432" s="285"/>
      <c r="X432" s="285"/>
      <c r="Y432" s="285"/>
      <c r="Z432" s="285"/>
      <c r="AA432" s="285"/>
      <c r="AC432" s="285" t="str">
        <f>IFERROR(__xludf.DUMMYFUNCTION("""COMPUTED_VALUE"""),"2606A040")</f>
        <v>2606A040</v>
      </c>
      <c r="AD432" s="286">
        <f>IFERROR(__xludf.DUMMYFUNCTION("""COMPUTED_VALUE"""),46180.0)</f>
        <v>46180</v>
      </c>
      <c r="AE432" s="285" t="str">
        <f>IFERROR(__xludf.DUMMYFUNCTION("""COMPUTED_VALUE"""),"anabelle")</f>
        <v>anabelle</v>
      </c>
      <c r="AF432" s="285" t="str">
        <f>IFERROR(__xludf.DUMMYFUNCTION("""COMPUTED_VALUE"""),"08179426253")</f>
        <v>08179426253</v>
      </c>
      <c r="AG432" s="285" t="str">
        <f>IFERROR(__xludf.DUMMYFUNCTION("""COMPUTED_VALUE"""),"Gagal")</f>
        <v>Gagal</v>
      </c>
      <c r="AH432" s="285" t="str">
        <f>IFERROR(__xludf.DUMMYFUNCTION("""COMPUTED_VALUE"""),"ot 3h2m")</f>
        <v>ot 3h2m</v>
      </c>
      <c r="AI432" s="287"/>
      <c r="AJ432" s="285">
        <f>IFERROR(__xludf.DUMMYFUNCTION("""COMPUTED_VALUE"""),7.0)</f>
        <v>7</v>
      </c>
      <c r="AK432" s="289">
        <f>IFERROR(__xludf.DUMMYFUNCTION("""COMPUTED_VALUE"""),1.12E7)</f>
        <v>11200000</v>
      </c>
      <c r="AL432" s="285"/>
    </row>
    <row r="433"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320"/>
      <c r="R433" s="285"/>
      <c r="S433" s="285"/>
      <c r="T433" s="285"/>
      <c r="U433" s="285"/>
      <c r="V433" s="285"/>
      <c r="W433" s="285"/>
      <c r="X433" s="285"/>
      <c r="Y433" s="285"/>
      <c r="Z433" s="285"/>
      <c r="AA433" s="285"/>
      <c r="AC433" s="285" t="str">
        <f>IFERROR(__xludf.DUMMYFUNCTION("""COMPUTED_VALUE"""),"2606A041")</f>
        <v>2606A041</v>
      </c>
      <c r="AD433" s="286">
        <f>IFERROR(__xludf.DUMMYFUNCTION("""COMPUTED_VALUE"""),46180.0)</f>
        <v>46180</v>
      </c>
      <c r="AE433" s="285" t="str">
        <f>IFERROR(__xludf.DUMMYFUNCTION("""COMPUTED_VALUE"""),"andrian RW")</f>
        <v>andrian RW</v>
      </c>
      <c r="AF433" s="285" t="str">
        <f>IFERROR(__xludf.DUMMYFUNCTION("""COMPUTED_VALUE"""),"081388663674")</f>
        <v>081388663674</v>
      </c>
      <c r="AG433" s="285" t="str">
        <f>IFERROR(__xludf.DUMMYFUNCTION("""COMPUTED_VALUE"""),"Gagal")</f>
        <v>Gagal</v>
      </c>
      <c r="AH433" s="285" t="str">
        <f>IFERROR(__xludf.DUMMYFUNCTION("""COMPUTED_VALUE"""),"2h1m")</f>
        <v>2h1m</v>
      </c>
      <c r="AI433" s="287"/>
      <c r="AJ433" s="285"/>
      <c r="AK433" s="289"/>
      <c r="AL433" s="285" t="str">
        <f>IFERROR(__xludf.DUMMYFUNCTION("""COMPUTED_VALUE"""),"gada balasan")</f>
        <v>gada balasan</v>
      </c>
    </row>
    <row r="434"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320"/>
      <c r="R434" s="285"/>
      <c r="S434" s="285"/>
      <c r="T434" s="285"/>
      <c r="U434" s="285"/>
      <c r="V434" s="285"/>
      <c r="W434" s="285"/>
      <c r="X434" s="285"/>
      <c r="Y434" s="285"/>
      <c r="Z434" s="285"/>
      <c r="AA434" s="285"/>
      <c r="AC434" s="285" t="str">
        <f>IFERROR(__xludf.DUMMYFUNCTION("""COMPUTED_VALUE"""),"2606A042")</f>
        <v>2606A042</v>
      </c>
      <c r="AD434" s="286">
        <f>IFERROR(__xludf.DUMMYFUNCTION("""COMPUTED_VALUE"""),46180.0)</f>
        <v>46180</v>
      </c>
      <c r="AE434" s="285" t="str">
        <f>IFERROR(__xludf.DUMMYFUNCTION("""COMPUTED_VALUE"""),"Thiaa")</f>
        <v>Thiaa</v>
      </c>
      <c r="AF434" s="285" t="str">
        <f>IFERROR(__xludf.DUMMYFUNCTION("""COMPUTED_VALUE"""),"081388330262")</f>
        <v>081388330262</v>
      </c>
      <c r="AG434" s="285" t="str">
        <f>IFERROR(__xludf.DUMMYFUNCTION("""COMPUTED_VALUE"""),"Gagal")</f>
        <v>Gagal</v>
      </c>
      <c r="AH434" s="285" t="str">
        <f>IFERROR(__xludf.DUMMYFUNCTION("""COMPUTED_VALUE"""),"ot mt")</f>
        <v>ot mt</v>
      </c>
      <c r="AI434" s="287"/>
      <c r="AJ434" s="285"/>
      <c r="AK434" s="289"/>
      <c r="AL434" s="285" t="str">
        <f>IFERROR(__xludf.DUMMYFUNCTION("""COMPUTED_VALUE"""),"gada balasan")</f>
        <v>gada balasan</v>
      </c>
    </row>
    <row r="435"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320"/>
      <c r="R435" s="285"/>
      <c r="S435" s="285"/>
      <c r="T435" s="285"/>
      <c r="U435" s="285"/>
      <c r="V435" s="285"/>
      <c r="W435" s="285"/>
      <c r="X435" s="285"/>
      <c r="Y435" s="285"/>
      <c r="Z435" s="285"/>
      <c r="AA435" s="285"/>
      <c r="AC435" s="285" t="str">
        <f>IFERROR(__xludf.DUMMYFUNCTION("""COMPUTED_VALUE"""),"2606A043")</f>
        <v>2606A043</v>
      </c>
      <c r="AD435" s="286">
        <f>IFERROR(__xludf.DUMMYFUNCTION("""COMPUTED_VALUE"""),46181.0)</f>
        <v>46181</v>
      </c>
      <c r="AE435" s="285" t="str">
        <f>IFERROR(__xludf.DUMMYFUNCTION("""COMPUTED_VALUE"""),"Tri nurhajati")</f>
        <v>Tri nurhajati</v>
      </c>
      <c r="AF435" s="285" t="str">
        <f>IFERROR(__xludf.DUMMYFUNCTION("""COMPUTED_VALUE"""),"087777290722")</f>
        <v>087777290722</v>
      </c>
      <c r="AG435" s="285" t="str">
        <f>IFERROR(__xludf.DUMMYFUNCTION("""COMPUTED_VALUE"""),"Gagal")</f>
        <v>Gagal</v>
      </c>
      <c r="AH435" s="285" t="str">
        <f>IFERROR(__xludf.DUMMYFUNCTION("""COMPUTED_VALUE"""),"3h2m")</f>
        <v>3h2m</v>
      </c>
      <c r="AI435" s="287"/>
      <c r="AJ435" s="285">
        <f>IFERROR(__xludf.DUMMYFUNCTION("""COMPUTED_VALUE"""),7.0)</f>
        <v>7</v>
      </c>
      <c r="AK435" s="289"/>
      <c r="AL435" s="285" t="str">
        <f>IFERROR(__xludf.DUMMYFUNCTION("""COMPUTED_VALUE"""),"jadinya ke Bali")</f>
        <v>jadinya ke Bali</v>
      </c>
    </row>
    <row r="436"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320"/>
      <c r="R436" s="285"/>
      <c r="S436" s="285"/>
      <c r="T436" s="285"/>
      <c r="U436" s="285"/>
      <c r="V436" s="285"/>
      <c r="W436" s="285"/>
      <c r="X436" s="285"/>
      <c r="Y436" s="285"/>
      <c r="Z436" s="285"/>
      <c r="AA436" s="285"/>
      <c r="AC436" s="285" t="str">
        <f>IFERROR(__xludf.DUMMYFUNCTION("""COMPUTED_VALUE"""),"2606A044")</f>
        <v>2606A044</v>
      </c>
      <c r="AD436" s="286">
        <f>IFERROR(__xludf.DUMMYFUNCTION("""COMPUTED_VALUE"""),46181.0)</f>
        <v>46181</v>
      </c>
      <c r="AE436" s="285" t="str">
        <f>IFERROR(__xludf.DUMMYFUNCTION("""COMPUTED_VALUE"""),"Iin")</f>
        <v>Iin</v>
      </c>
      <c r="AF436" s="285" t="str">
        <f>IFERROR(__xludf.DUMMYFUNCTION("""COMPUTED_VALUE"""),"081296007655")</f>
        <v>081296007655</v>
      </c>
      <c r="AG436" s="285" t="str">
        <f>IFERROR(__xludf.DUMMYFUNCTION("""COMPUTED_VALUE"""),"Gagal")</f>
        <v>Gagal</v>
      </c>
      <c r="AH436" s="285" t="str">
        <f>IFERROR(__xludf.DUMMYFUNCTION("""COMPUTED_VALUE"""),"2h1m")</f>
        <v>2h1m</v>
      </c>
      <c r="AI436" s="287"/>
      <c r="AJ436" s="285"/>
      <c r="AK436" s="289"/>
      <c r="AL436" s="285" t="str">
        <f>IFERROR(__xludf.DUMMYFUNCTION("""COMPUTED_VALUE"""),"ga jadi, tdk menyebutkan alasan")</f>
        <v>ga jadi, tdk menyebutkan alasan</v>
      </c>
    </row>
    <row r="437"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320"/>
      <c r="R437" s="285"/>
      <c r="S437" s="285"/>
      <c r="T437" s="285"/>
      <c r="U437" s="285"/>
      <c r="V437" s="285"/>
      <c r="W437" s="285"/>
      <c r="X437" s="285"/>
      <c r="Y437" s="285"/>
      <c r="Z437" s="285"/>
      <c r="AA437" s="285"/>
      <c r="AC437" s="285" t="str">
        <f>IFERROR(__xludf.DUMMYFUNCTION("""COMPUTED_VALUE"""),"2606A045")</f>
        <v>2606A045</v>
      </c>
      <c r="AD437" s="286">
        <f>IFERROR(__xludf.DUMMYFUNCTION("""COMPUTED_VALUE"""),46181.0)</f>
        <v>46181</v>
      </c>
      <c r="AE437" s="285" t="str">
        <f>IFERROR(__xludf.DUMMYFUNCTION("""COMPUTED_VALUE"""),"Desy / raja salad")</f>
        <v>Desy / raja salad</v>
      </c>
      <c r="AF437" s="285" t="str">
        <f>IFERROR(__xludf.DUMMYFUNCTION("""COMPUTED_VALUE"""),"082153526000")</f>
        <v>082153526000</v>
      </c>
      <c r="AG437" s="285" t="str">
        <f>IFERROR(__xludf.DUMMYFUNCTION("""COMPUTED_VALUE"""),"Gagal")</f>
        <v>Gagal</v>
      </c>
      <c r="AH437" s="285" t="str">
        <f>IFERROR(__xludf.DUMMYFUNCTION("""COMPUTED_VALUE"""),"1h")</f>
        <v>1h</v>
      </c>
      <c r="AI437" s="287"/>
      <c r="AJ437" s="285">
        <f>IFERROR(__xludf.DUMMYFUNCTION("""COMPUTED_VALUE"""),18.0)</f>
        <v>18</v>
      </c>
      <c r="AK437" s="289"/>
      <c r="AL437" s="285" t="str">
        <f>IFERROR(__xludf.DUMMYFUNCTION("""COMPUTED_VALUE"""),"gada balasan")</f>
        <v>gada balasan</v>
      </c>
    </row>
    <row r="438"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320"/>
      <c r="R438" s="285"/>
      <c r="S438" s="285"/>
      <c r="T438" s="285"/>
      <c r="U438" s="285"/>
      <c r="V438" s="285"/>
      <c r="W438" s="285"/>
      <c r="X438" s="285"/>
      <c r="Y438" s="285"/>
      <c r="Z438" s="285"/>
      <c r="AA438" s="285"/>
      <c r="AC438" s="285" t="str">
        <f>IFERROR(__xludf.DUMMYFUNCTION("""COMPUTED_VALUE"""),"2606A048")</f>
        <v>2606A048</v>
      </c>
      <c r="AD438" s="286">
        <f>IFERROR(__xludf.DUMMYFUNCTION("""COMPUTED_VALUE"""),46181.0)</f>
        <v>46181</v>
      </c>
      <c r="AE438" s="285" t="str">
        <f>IFERROR(__xludf.DUMMYFUNCTION("""COMPUTED_VALUE"""),"Anita Rismaya")</f>
        <v>Anita Rismaya</v>
      </c>
      <c r="AF438" s="285" t="str">
        <f>IFERROR(__xludf.DUMMYFUNCTION("""COMPUTED_VALUE"""),"087777270743")</f>
        <v>087777270743</v>
      </c>
      <c r="AG438" s="285" t="str">
        <f>IFERROR(__xludf.DUMMYFUNCTION("""COMPUTED_VALUE"""),"Gagal")</f>
        <v>Gagal</v>
      </c>
      <c r="AH438" s="285" t="str">
        <f>IFERROR(__xludf.DUMMYFUNCTION("""COMPUTED_VALUE"""),"ot baluran dan alas purwo")</f>
        <v>ot baluran dan alas purwo</v>
      </c>
      <c r="AI438" s="287"/>
      <c r="AJ438" s="285"/>
      <c r="AK438" s="289"/>
      <c r="AL438" s="285" t="str">
        <f>IFERROR(__xludf.DUMMYFUNCTION("""COMPUTED_VALUE"""),"gada balasan")</f>
        <v>gada balasan</v>
      </c>
    </row>
    <row r="439"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320"/>
      <c r="R439" s="285"/>
      <c r="S439" s="285"/>
      <c r="T439" s="285"/>
      <c r="U439" s="285"/>
      <c r="V439" s="285"/>
      <c r="W439" s="285"/>
      <c r="X439" s="285"/>
      <c r="Y439" s="285"/>
      <c r="Z439" s="285"/>
      <c r="AA439" s="285"/>
      <c r="AC439" s="285" t="str">
        <f>IFERROR(__xludf.DUMMYFUNCTION("""COMPUTED_VALUE"""),"2606A051")</f>
        <v>2606A051</v>
      </c>
      <c r="AD439" s="286">
        <f>IFERROR(__xludf.DUMMYFUNCTION("""COMPUTED_VALUE"""),46182.0)</f>
        <v>46182</v>
      </c>
      <c r="AE439" s="285" t="str">
        <f>IFERROR(__xludf.DUMMYFUNCTION("""COMPUTED_VALUE"""),"Najwa ")</f>
        <v>Najwa </v>
      </c>
      <c r="AF439" s="285" t="str">
        <f>IFERROR(__xludf.DUMMYFUNCTION("""COMPUTED_VALUE"""),"081339893441")</f>
        <v>081339893441</v>
      </c>
      <c r="AG439" s="285" t="str">
        <f>IFERROR(__xludf.DUMMYFUNCTION("""COMPUTED_VALUE"""),"Gagal")</f>
        <v>Gagal</v>
      </c>
      <c r="AH439" s="285" t="str">
        <f>IFERROR(__xludf.DUMMYFUNCTION("""COMPUTED_VALUE"""),"1d djabal")</f>
        <v>1d djabal</v>
      </c>
      <c r="AI439" s="287">
        <f>IFERROR(__xludf.DUMMYFUNCTION("""COMPUTED_VALUE"""),46188.0)</f>
        <v>46188</v>
      </c>
      <c r="AJ439" s="285">
        <f>IFERROR(__xludf.DUMMYFUNCTION("""COMPUTED_VALUE"""),3.0)</f>
        <v>3</v>
      </c>
      <c r="AK439" s="289"/>
      <c r="AL439" s="285"/>
    </row>
    <row r="440"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320"/>
      <c r="R440" s="285"/>
      <c r="S440" s="285"/>
      <c r="T440" s="285"/>
      <c r="U440" s="285"/>
      <c r="V440" s="285"/>
      <c r="W440" s="285"/>
      <c r="X440" s="285"/>
      <c r="Y440" s="285"/>
      <c r="Z440" s="285"/>
      <c r="AA440" s="285"/>
      <c r="AC440" s="285" t="str">
        <f>IFERROR(__xludf.DUMMYFUNCTION("""COMPUTED_VALUE"""),"2606A052")</f>
        <v>2606A052</v>
      </c>
      <c r="AD440" s="286">
        <f>IFERROR(__xludf.DUMMYFUNCTION("""COMPUTED_VALUE"""),46182.0)</f>
        <v>46182</v>
      </c>
      <c r="AE440" s="285" t="str">
        <f>IFERROR(__xludf.DUMMYFUNCTION("""COMPUTED_VALUE"""),"Resti")</f>
        <v>Resti</v>
      </c>
      <c r="AF440" s="285" t="str">
        <f>IFERROR(__xludf.DUMMYFUNCTION("""COMPUTED_VALUE"""),"085787309812")</f>
        <v>085787309812</v>
      </c>
      <c r="AG440" s="285" t="str">
        <f>IFERROR(__xludf.DUMMYFUNCTION("""COMPUTED_VALUE"""),"Gagal")</f>
        <v>Gagal</v>
      </c>
      <c r="AH440" s="285"/>
      <c r="AI440" s="287"/>
      <c r="AJ440" s="285">
        <f>IFERROR(__xludf.DUMMYFUNCTION("""COMPUTED_VALUE"""),30.0)</f>
        <v>30</v>
      </c>
      <c r="AK440" s="289"/>
      <c r="AL440" s="285" t="str">
        <f>IFERROR(__xludf.DUMMYFUNCTION("""COMPUTED_VALUE"""),"tiket pesawat habis")</f>
        <v>tiket pesawat habis</v>
      </c>
    </row>
    <row r="441"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320"/>
      <c r="R441" s="285"/>
      <c r="S441" s="285"/>
      <c r="T441" s="285"/>
      <c r="U441" s="285"/>
      <c r="V441" s="285"/>
      <c r="W441" s="285"/>
      <c r="X441" s="285"/>
      <c r="Y441" s="285"/>
      <c r="Z441" s="285"/>
      <c r="AA441" s="285"/>
      <c r="AC441" s="285" t="str">
        <f>IFERROR(__xludf.DUMMYFUNCTION("""COMPUTED_VALUE"""),"2606A053")</f>
        <v>2606A053</v>
      </c>
      <c r="AD441" s="286">
        <f>IFERROR(__xludf.DUMMYFUNCTION("""COMPUTED_VALUE"""),46183.0)</f>
        <v>46183</v>
      </c>
      <c r="AE441" s="285" t="str">
        <f>IFERROR(__xludf.DUMMYFUNCTION("""COMPUTED_VALUE"""),"vivin")</f>
        <v>vivin</v>
      </c>
      <c r="AF441" s="285" t="str">
        <f>IFERROR(__xludf.DUMMYFUNCTION("""COMPUTED_VALUE"""),"089519990936")</f>
        <v>089519990936</v>
      </c>
      <c r="AG441" s="285" t="str">
        <f>IFERROR(__xludf.DUMMYFUNCTION("""COMPUTED_VALUE"""),"Gagal")</f>
        <v>Gagal</v>
      </c>
      <c r="AH441" s="285" t="str">
        <f>IFERROR(__xludf.DUMMYFUNCTION("""COMPUTED_VALUE"""),"ot 3h2m")</f>
        <v>ot 3h2m</v>
      </c>
      <c r="AI441" s="287">
        <f>IFERROR(__xludf.DUMMYFUNCTION("""COMPUTED_VALUE"""),46193.0)</f>
        <v>46193</v>
      </c>
      <c r="AJ441" s="285">
        <f>IFERROR(__xludf.DUMMYFUNCTION("""COMPUTED_VALUE"""),1.0)</f>
        <v>1</v>
      </c>
      <c r="AK441" s="289"/>
      <c r="AL441" s="285" t="str">
        <f>IFERROR(__xludf.DUMMYFUNCTION("""COMPUTED_VALUE"""),"gada balasan")</f>
        <v>gada balasan</v>
      </c>
    </row>
    <row r="442"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320"/>
      <c r="R442" s="285"/>
      <c r="S442" s="285"/>
      <c r="T442" s="285"/>
      <c r="U442" s="285"/>
      <c r="V442" s="285"/>
      <c r="W442" s="285"/>
      <c r="X442" s="285"/>
      <c r="Y442" s="285"/>
      <c r="Z442" s="285"/>
      <c r="AA442" s="285"/>
      <c r="AC442" s="285" t="str">
        <f>IFERROR(__xludf.DUMMYFUNCTION("""COMPUTED_VALUE"""),"2606A054")</f>
        <v>2606A054</v>
      </c>
      <c r="AD442" s="286">
        <f>IFERROR(__xludf.DUMMYFUNCTION("""COMPUTED_VALUE"""),46183.0)</f>
        <v>46183</v>
      </c>
      <c r="AE442" s="285" t="str">
        <f>IFERROR(__xludf.DUMMYFUNCTION("""COMPUTED_VALUE"""),"Annisa fida")</f>
        <v>Annisa fida</v>
      </c>
      <c r="AF442" s="285" t="str">
        <f>IFERROR(__xludf.DUMMYFUNCTION("""COMPUTED_VALUE"""),"082120003212")</f>
        <v>082120003212</v>
      </c>
      <c r="AG442" s="285" t="str">
        <f>IFERROR(__xludf.DUMMYFUNCTION("""COMPUTED_VALUE"""),"Gagal")</f>
        <v>Gagal</v>
      </c>
      <c r="AH442" s="285" t="str">
        <f>IFERROR(__xludf.DUMMYFUNCTION("""COMPUTED_VALUE"""),"ot ijen baluran")</f>
        <v>ot ijen baluran</v>
      </c>
      <c r="AI442" s="287">
        <f>IFERROR(__xludf.DUMMYFUNCTION("""COMPUTED_VALUE"""),46210.0)</f>
        <v>46210</v>
      </c>
      <c r="AJ442" s="285">
        <f>IFERROR(__xludf.DUMMYFUNCTION("""COMPUTED_VALUE"""),4.0)</f>
        <v>4</v>
      </c>
      <c r="AK442" s="289"/>
      <c r="AL442" s="285" t="str">
        <f>IFERROR(__xludf.DUMMYFUNCTION("""COMPUTED_VALUE"""),"gada balasan")</f>
        <v>gada balasan</v>
      </c>
    </row>
    <row r="443"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320"/>
      <c r="R443" s="285"/>
      <c r="S443" s="285"/>
      <c r="T443" s="285"/>
      <c r="U443" s="285"/>
      <c r="V443" s="285"/>
      <c r="W443" s="285"/>
      <c r="X443" s="285"/>
      <c r="Y443" s="285"/>
      <c r="Z443" s="285"/>
      <c r="AA443" s="285"/>
      <c r="AC443" s="285" t="str">
        <f>IFERROR(__xludf.DUMMYFUNCTION("""COMPUTED_VALUE"""),"2606A055")</f>
        <v>2606A055</v>
      </c>
      <c r="AD443" s="286">
        <f>IFERROR(__xludf.DUMMYFUNCTION("""COMPUTED_VALUE"""),46183.0)</f>
        <v>46183</v>
      </c>
      <c r="AE443" s="285" t="str">
        <f>IFERROR(__xludf.DUMMYFUNCTION("""COMPUTED_VALUE"""),"Rifky Ballas")</f>
        <v>Rifky Ballas</v>
      </c>
      <c r="AF443" s="285" t="str">
        <f>IFERROR(__xludf.DUMMYFUNCTION("""COMPUTED_VALUE"""),"081133320075")</f>
        <v>081133320075</v>
      </c>
      <c r="AG443" s="285" t="str">
        <f>IFERROR(__xludf.DUMMYFUNCTION("""COMPUTED_VALUE"""),"Gagal")</f>
        <v>Gagal</v>
      </c>
      <c r="AH443" s="285" t="str">
        <f>IFERROR(__xludf.DUMMYFUNCTION("""COMPUTED_VALUE"""),"4h3m")</f>
        <v>4h3m</v>
      </c>
      <c r="AI443" s="287"/>
      <c r="AJ443" s="285">
        <f>IFERROR(__xludf.DUMMYFUNCTION("""COMPUTED_VALUE"""),5.0)</f>
        <v>5</v>
      </c>
      <c r="AK443" s="289">
        <f>IFERROR(__xludf.DUMMYFUNCTION("""COMPUTED_VALUE"""),1.0E7)</f>
        <v>10000000</v>
      </c>
      <c r="AL443" s="285" t="str">
        <f>IFERROR(__xludf.DUMMYFUNCTION("""COMPUTED_VALUE"""),"ga jadi")</f>
        <v>ga jadi</v>
      </c>
    </row>
    <row r="444"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320"/>
      <c r="R444" s="285"/>
      <c r="S444" s="285"/>
      <c r="T444" s="285"/>
      <c r="U444" s="285"/>
      <c r="V444" s="285"/>
      <c r="W444" s="285"/>
      <c r="X444" s="285"/>
      <c r="Y444" s="285"/>
      <c r="Z444" s="285"/>
      <c r="AA444" s="285"/>
      <c r="AC444" s="285" t="str">
        <f>IFERROR(__xludf.DUMMYFUNCTION("""COMPUTED_VALUE"""),"2606A056")</f>
        <v>2606A056</v>
      </c>
      <c r="AD444" s="286">
        <f>IFERROR(__xludf.DUMMYFUNCTION("""COMPUTED_VALUE"""),46183.0)</f>
        <v>46183</v>
      </c>
      <c r="AE444" s="285" t="str">
        <f>IFERROR(__xludf.DUMMYFUNCTION("""COMPUTED_VALUE"""),"Yolanda")</f>
        <v>Yolanda</v>
      </c>
      <c r="AF444" s="285" t="str">
        <f>IFERROR(__xludf.DUMMYFUNCTION("""COMPUTED_VALUE"""),"08179892215")</f>
        <v>08179892215</v>
      </c>
      <c r="AG444" s="285" t="str">
        <f>IFERROR(__xludf.DUMMYFUNCTION("""COMPUTED_VALUE"""),"Gagal")</f>
        <v>Gagal</v>
      </c>
      <c r="AH444" s="285" t="str">
        <f>IFERROR(__xludf.DUMMYFUNCTION("""COMPUTED_VALUE"""),"green island")</f>
        <v>green island</v>
      </c>
      <c r="AI444" s="287">
        <f>IFERROR(__xludf.DUMMYFUNCTION("""COMPUTED_VALUE"""),46184.0)</f>
        <v>46184</v>
      </c>
      <c r="AJ444" s="285">
        <f>IFERROR(__xludf.DUMMYFUNCTION("""COMPUTED_VALUE"""),4.0)</f>
        <v>4</v>
      </c>
      <c r="AK444" s="289"/>
      <c r="AL444" s="285" t="str">
        <f>IFERROR(__xludf.DUMMYFUNCTION("""COMPUTED_VALUE"""),"ga deal sm harganya")</f>
        <v>ga deal sm harganya</v>
      </c>
    </row>
    <row r="445"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320"/>
      <c r="R445" s="285"/>
      <c r="S445" s="285"/>
      <c r="T445" s="285"/>
      <c r="U445" s="285"/>
      <c r="V445" s="285"/>
      <c r="W445" s="285"/>
      <c r="X445" s="285"/>
      <c r="Y445" s="285"/>
      <c r="Z445" s="285"/>
      <c r="AA445" s="285"/>
      <c r="AC445" s="285" t="str">
        <f>IFERROR(__xludf.DUMMYFUNCTION("""COMPUTED_VALUE"""),"2606A057")</f>
        <v>2606A057</v>
      </c>
      <c r="AD445" s="286">
        <f>IFERROR(__xludf.DUMMYFUNCTION("""COMPUTED_VALUE"""),46183.0)</f>
        <v>46183</v>
      </c>
      <c r="AE445" s="285" t="str">
        <f>IFERROR(__xludf.DUMMYFUNCTION("""COMPUTED_VALUE"""),"Farren Idfila")</f>
        <v>Farren Idfila</v>
      </c>
      <c r="AF445" s="285" t="str">
        <f>IFERROR(__xludf.DUMMYFUNCTION("""COMPUTED_VALUE"""),"081901195005")</f>
        <v>081901195005</v>
      </c>
      <c r="AG445" s="285" t="str">
        <f>IFERROR(__xludf.DUMMYFUNCTION("""COMPUTED_VALUE"""),"Gagal")</f>
        <v>Gagal</v>
      </c>
      <c r="AH445" s="285" t="str">
        <f>IFERROR(__xludf.DUMMYFUNCTION("""COMPUTED_VALUE"""),"2h1m")</f>
        <v>2h1m</v>
      </c>
      <c r="AI445" s="287">
        <f>IFERROR(__xludf.DUMMYFUNCTION("""COMPUTED_VALUE"""),46188.0)</f>
        <v>46188</v>
      </c>
      <c r="AJ445" s="285">
        <f>IFERROR(__xludf.DUMMYFUNCTION("""COMPUTED_VALUE"""),2.0)</f>
        <v>2</v>
      </c>
      <c r="AK445" s="289"/>
      <c r="AL445" s="285" t="str">
        <f>IFERROR(__xludf.DUMMYFUNCTION("""COMPUTED_VALUE"""),"gada balasan")</f>
        <v>gada balasan</v>
      </c>
    </row>
    <row r="446"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320"/>
      <c r="R446" s="285"/>
      <c r="S446" s="285"/>
      <c r="T446" s="285"/>
      <c r="U446" s="285"/>
      <c r="V446" s="285"/>
      <c r="W446" s="285"/>
      <c r="X446" s="285"/>
      <c r="Y446" s="285"/>
      <c r="Z446" s="285"/>
      <c r="AA446" s="285"/>
      <c r="AC446" s="285" t="str">
        <f>IFERROR(__xludf.DUMMYFUNCTION("""COMPUTED_VALUE"""),"2606A058")</f>
        <v>2606A058</v>
      </c>
      <c r="AD446" s="286">
        <f>IFERROR(__xludf.DUMMYFUNCTION("""COMPUTED_VALUE"""),46183.0)</f>
        <v>46183</v>
      </c>
      <c r="AE446" s="285" t="str">
        <f>IFERROR(__xludf.DUMMYFUNCTION("""COMPUTED_VALUE"""),"Bela")</f>
        <v>Bela</v>
      </c>
      <c r="AF446" s="285" t="str">
        <f>IFERROR(__xludf.DUMMYFUNCTION("""COMPUTED_VALUE"""),"08975849406")</f>
        <v>08975849406</v>
      </c>
      <c r="AG446" s="285" t="str">
        <f>IFERROR(__xludf.DUMMYFUNCTION("""COMPUTED_VALUE"""),"Gagal")</f>
        <v>Gagal</v>
      </c>
      <c r="AH446" s="285" t="str">
        <f>IFERROR(__xludf.DUMMYFUNCTION("""COMPUTED_VALUE"""),"green island")</f>
        <v>green island</v>
      </c>
      <c r="AI446" s="287">
        <f>IFERROR(__xludf.DUMMYFUNCTION("""COMPUTED_VALUE"""),46186.0)</f>
        <v>46186</v>
      </c>
      <c r="AJ446" s="285">
        <f>IFERROR(__xludf.DUMMYFUNCTION("""COMPUTED_VALUE"""),3.0)</f>
        <v>3</v>
      </c>
      <c r="AK446" s="289"/>
      <c r="AL446" s="285" t="str">
        <f>IFERROR(__xludf.DUMMYFUNCTION("""COMPUTED_VALUE"""),"lewat tanggal")</f>
        <v>lewat tanggal</v>
      </c>
    </row>
    <row r="447"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320"/>
      <c r="R447" s="285"/>
      <c r="S447" s="285"/>
      <c r="T447" s="285"/>
      <c r="U447" s="285"/>
      <c r="V447" s="285"/>
      <c r="W447" s="285"/>
      <c r="X447" s="285"/>
      <c r="Y447" s="285"/>
      <c r="Z447" s="285"/>
      <c r="AA447" s="285"/>
      <c r="AC447" s="285" t="str">
        <f>IFERROR(__xludf.DUMMYFUNCTION("""COMPUTED_VALUE"""),"2606A059")</f>
        <v>2606A059</v>
      </c>
      <c r="AD447" s="286">
        <f>IFERROR(__xludf.DUMMYFUNCTION("""COMPUTED_VALUE"""),46183.0)</f>
        <v>46183</v>
      </c>
      <c r="AE447" s="285" t="str">
        <f>IFERROR(__xludf.DUMMYFUNCTION("""COMPUTED_VALUE"""),"Dinda N")</f>
        <v>Dinda N</v>
      </c>
      <c r="AF447" s="285" t="str">
        <f>IFERROR(__xludf.DUMMYFUNCTION("""COMPUTED_VALUE"""),"081291286545")</f>
        <v>081291286545</v>
      </c>
      <c r="AG447" s="285" t="str">
        <f>IFERROR(__xludf.DUMMYFUNCTION("""COMPUTED_VALUE"""),"Gagal")</f>
        <v>Gagal</v>
      </c>
      <c r="AH447" s="285" t="str">
        <f>IFERROR(__xludf.DUMMYFUNCTION("""COMPUTED_VALUE"""),"Djawatan Baluran")</f>
        <v>Djawatan Baluran</v>
      </c>
      <c r="AI447" s="287">
        <f>IFERROR(__xludf.DUMMYFUNCTION("""COMPUTED_VALUE"""),46203.0)</f>
        <v>46203</v>
      </c>
      <c r="AJ447" s="285">
        <f>IFERROR(__xludf.DUMMYFUNCTION("""COMPUTED_VALUE"""),4.0)</f>
        <v>4</v>
      </c>
      <c r="AK447" s="289"/>
      <c r="AL447" s="285" t="str">
        <f>IFERROR(__xludf.DUMMYFUNCTION("""COMPUTED_VALUE"""),"FU 20 Juni")</f>
        <v>FU 20 Juni</v>
      </c>
    </row>
    <row r="448"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320"/>
      <c r="R448" s="285"/>
      <c r="S448" s="285"/>
      <c r="T448" s="285"/>
      <c r="U448" s="285"/>
      <c r="V448" s="285"/>
      <c r="W448" s="285"/>
      <c r="X448" s="285"/>
      <c r="Y448" s="285"/>
      <c r="Z448" s="285"/>
      <c r="AA448" s="285"/>
      <c r="AC448" s="285" t="str">
        <f>IFERROR(__xludf.DUMMYFUNCTION("""COMPUTED_VALUE"""),"2606A060")</f>
        <v>2606A060</v>
      </c>
      <c r="AD448" s="286">
        <f>IFERROR(__xludf.DUMMYFUNCTION("""COMPUTED_VALUE"""),46184.0)</f>
        <v>46184</v>
      </c>
      <c r="AE448" s="285" t="str">
        <f>IFERROR(__xludf.DUMMYFUNCTION("""COMPUTED_VALUE"""),"Samsul")</f>
        <v>Samsul</v>
      </c>
      <c r="AF448" s="285" t="str">
        <f>IFERROR(__xludf.DUMMYFUNCTION("""COMPUTED_VALUE"""),"0817322325")</f>
        <v>0817322325</v>
      </c>
      <c r="AG448" s="285" t="str">
        <f>IFERROR(__xludf.DUMMYFUNCTION("""COMPUTED_VALUE"""),"Gagal")</f>
        <v>Gagal</v>
      </c>
      <c r="AH448" s="285" t="str">
        <f>IFERROR(__xludf.DUMMYFUNCTION("""COMPUTED_VALUE"""),"1d green island")</f>
        <v>1d green island</v>
      </c>
      <c r="AI448" s="287">
        <f>IFERROR(__xludf.DUMMYFUNCTION("""COMPUTED_VALUE"""),46188.0)</f>
        <v>46188</v>
      </c>
      <c r="AJ448" s="285">
        <f>IFERROR(__xludf.DUMMYFUNCTION("""COMPUTED_VALUE"""),4.0)</f>
        <v>4</v>
      </c>
      <c r="AK448" s="289">
        <f>IFERROR(__xludf.DUMMYFUNCTION("""COMPUTED_VALUE"""),2560000.0)</f>
        <v>2560000</v>
      </c>
      <c r="AL448" s="285" t="str">
        <f>IFERROR(__xludf.DUMMYFUNCTION("""COMPUTED_VALUE"""),"ga dapat cuti")</f>
        <v>ga dapat cuti</v>
      </c>
    </row>
    <row r="449"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320"/>
      <c r="R449" s="285"/>
      <c r="S449" s="285"/>
      <c r="T449" s="285"/>
      <c r="U449" s="285"/>
      <c r="V449" s="285"/>
      <c r="W449" s="285"/>
      <c r="X449" s="285"/>
      <c r="Y449" s="285"/>
      <c r="Z449" s="285"/>
      <c r="AA449" s="285"/>
      <c r="AC449" s="285" t="str">
        <f>IFERROR(__xludf.DUMMYFUNCTION("""COMPUTED_VALUE"""),"2606A061")</f>
        <v>2606A061</v>
      </c>
      <c r="AD449" s="286">
        <f>IFERROR(__xludf.DUMMYFUNCTION("""COMPUTED_VALUE"""),46184.0)</f>
        <v>46184</v>
      </c>
      <c r="AE449" s="285" t="str">
        <f>IFERROR(__xludf.DUMMYFUNCTION("""COMPUTED_VALUE"""),"LMT Production")</f>
        <v>LMT Production</v>
      </c>
      <c r="AF449" s="285" t="str">
        <f>IFERROR(__xludf.DUMMYFUNCTION("""COMPUTED_VALUE"""),"082225480707")</f>
        <v>082225480707</v>
      </c>
      <c r="AG449" s="285" t="str">
        <f>IFERROR(__xludf.DUMMYFUNCTION("""COMPUTED_VALUE"""),"Gagal")</f>
        <v>Gagal</v>
      </c>
      <c r="AH449" s="285" t="str">
        <f>IFERROR(__xludf.DUMMYFUNCTION("""COMPUTED_VALUE"""),"ot mt")</f>
        <v>ot mt</v>
      </c>
      <c r="AI449" s="287"/>
      <c r="AJ449" s="285"/>
      <c r="AK449" s="289"/>
      <c r="AL449" s="285" t="str">
        <f>IFERROR(__xludf.DUMMYFUNCTION("""COMPUTED_VALUE"""),"gada jawaban")</f>
        <v>gada jawaban</v>
      </c>
    </row>
    <row r="450"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320"/>
      <c r="R450" s="285"/>
      <c r="S450" s="285"/>
      <c r="T450" s="285"/>
      <c r="U450" s="285"/>
      <c r="V450" s="285"/>
      <c r="W450" s="285"/>
      <c r="X450" s="285"/>
      <c r="Y450" s="285"/>
      <c r="Z450" s="285"/>
      <c r="AA450" s="285"/>
      <c r="AC450" s="285" t="str">
        <f>IFERROR(__xludf.DUMMYFUNCTION("""COMPUTED_VALUE"""),"2606A063")</f>
        <v>2606A063</v>
      </c>
      <c r="AD450" s="286">
        <f>IFERROR(__xludf.DUMMYFUNCTION("""COMPUTED_VALUE"""),46184.0)</f>
        <v>46184</v>
      </c>
      <c r="AE450" s="285" t="str">
        <f>IFERROR(__xludf.DUMMYFUNCTION("""COMPUTED_VALUE"""),"Adella Andi Melati")</f>
        <v>Adella Andi Melati</v>
      </c>
      <c r="AF450" s="285" t="str">
        <f>IFERROR(__xludf.DUMMYFUNCTION("""COMPUTED_VALUE"""),"081332178160")</f>
        <v>081332178160</v>
      </c>
      <c r="AG450" s="285" t="str">
        <f>IFERROR(__xludf.DUMMYFUNCTION("""COMPUTED_VALUE"""),"Gagal")</f>
        <v>Gagal</v>
      </c>
      <c r="AH450" s="285" t="str">
        <f>IFERROR(__xludf.DUMMYFUNCTION("""COMPUTED_VALUE"""),"green island")</f>
        <v>green island</v>
      </c>
      <c r="AI450" s="287"/>
      <c r="AJ450" s="285">
        <f>IFERROR(__xludf.DUMMYFUNCTION("""COMPUTED_VALUE"""),6.0)</f>
        <v>6</v>
      </c>
      <c r="AK450" s="289"/>
      <c r="AL450" s="285" t="str">
        <f>IFERROR(__xludf.DUMMYFUNCTION("""COMPUTED_VALUE"""),"gada balasan")</f>
        <v>gada balasan</v>
      </c>
    </row>
    <row r="451"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320"/>
      <c r="R451" s="285"/>
      <c r="S451" s="285"/>
      <c r="T451" s="285"/>
      <c r="U451" s="285"/>
      <c r="V451" s="285"/>
      <c r="W451" s="285"/>
      <c r="X451" s="285"/>
      <c r="Y451" s="285"/>
      <c r="Z451" s="285"/>
      <c r="AA451" s="285"/>
      <c r="AC451" s="285" t="str">
        <f>IFERROR(__xludf.DUMMYFUNCTION("""COMPUTED_VALUE"""),"2606A066")</f>
        <v>2606A066</v>
      </c>
      <c r="AD451" s="286">
        <f>IFERROR(__xludf.DUMMYFUNCTION("""COMPUTED_VALUE"""),46181.0)</f>
        <v>46181</v>
      </c>
      <c r="AE451" s="285" t="str">
        <f>IFERROR(__xludf.DUMMYFUNCTION("""COMPUTED_VALUE"""),"Mustika Yulia Akhmi")</f>
        <v>Mustika Yulia Akhmi</v>
      </c>
      <c r="AF451" s="285" t="str">
        <f>IFERROR(__xludf.DUMMYFUNCTION("""COMPUTED_VALUE"""),"085794552546")</f>
        <v>085794552546</v>
      </c>
      <c r="AG451" s="285" t="str">
        <f>IFERROR(__xludf.DUMMYFUNCTION("""COMPUTED_VALUE"""),"Gagal")</f>
        <v>Gagal</v>
      </c>
      <c r="AH451" s="285" t="str">
        <f>IFERROR(__xludf.DUMMYFUNCTION("""COMPUTED_VALUE"""),"2h1m")</f>
        <v>2h1m</v>
      </c>
      <c r="AI451" s="287"/>
      <c r="AJ451" s="285">
        <f>IFERROR(__xludf.DUMMYFUNCTION("""COMPUTED_VALUE"""),2.0)</f>
        <v>2</v>
      </c>
      <c r="AK451" s="289"/>
      <c r="AL451" s="285" t="str">
        <f>IFERROR(__xludf.DUMMYFUNCTION("""COMPUTED_VALUE"""),"gada balasan")</f>
        <v>gada balasan</v>
      </c>
    </row>
    <row r="452"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320"/>
      <c r="R452" s="285"/>
      <c r="S452" s="285"/>
      <c r="T452" s="285"/>
      <c r="U452" s="285"/>
      <c r="V452" s="285"/>
      <c r="W452" s="285"/>
      <c r="X452" s="285"/>
      <c r="Y452" s="285"/>
      <c r="Z452" s="285"/>
      <c r="AA452" s="285"/>
      <c r="AC452" s="285" t="str">
        <f>IFERROR(__xludf.DUMMYFUNCTION("""COMPUTED_VALUE"""),"2606A068")</f>
        <v>2606A068</v>
      </c>
      <c r="AD452" s="286">
        <f>IFERROR(__xludf.DUMMYFUNCTION("""COMPUTED_VALUE"""),46185.0)</f>
        <v>46185</v>
      </c>
      <c r="AE452" s="285" t="str">
        <f>IFERROR(__xludf.DUMMYFUNCTION("""COMPUTED_VALUE"""),"Avivah")</f>
        <v>Avivah</v>
      </c>
      <c r="AF452" s="285" t="str">
        <f>IFERROR(__xludf.DUMMYFUNCTION("""COMPUTED_VALUE"""),"08211635729")</f>
        <v>08211635729</v>
      </c>
      <c r="AG452" s="285" t="str">
        <f>IFERROR(__xludf.DUMMYFUNCTION("""COMPUTED_VALUE"""),"Gagal")</f>
        <v>Gagal</v>
      </c>
      <c r="AH452" s="285" t="str">
        <f>IFERROR(__xludf.DUMMYFUNCTION("""COMPUTED_VALUE"""),"3h2m")</f>
        <v>3h2m</v>
      </c>
      <c r="AI452" s="287"/>
      <c r="AJ452" s="285">
        <f>IFERROR(__xludf.DUMMYFUNCTION("""COMPUTED_VALUE"""),2.0)</f>
        <v>2</v>
      </c>
      <c r="AK452" s="289"/>
      <c r="AL452" s="285" t="str">
        <f>IFERROR(__xludf.DUMMYFUNCTION("""COMPUTED_VALUE"""),"tidak ada kelanjutan")</f>
        <v>tidak ada kelanjutan</v>
      </c>
    </row>
    <row r="453"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320"/>
      <c r="R453" s="285"/>
      <c r="S453" s="285"/>
      <c r="T453" s="285"/>
      <c r="U453" s="285"/>
      <c r="V453" s="285"/>
      <c r="W453" s="285"/>
      <c r="X453" s="285"/>
      <c r="Y453" s="285"/>
      <c r="Z453" s="285"/>
      <c r="AA453" s="285"/>
      <c r="AC453" s="285" t="str">
        <f>IFERROR(__xludf.DUMMYFUNCTION("""COMPUTED_VALUE"""),"2606A069")</f>
        <v>2606A069</v>
      </c>
      <c r="AD453" s="286">
        <f>IFERROR(__xludf.DUMMYFUNCTION("""COMPUTED_VALUE"""),46185.0)</f>
        <v>46185</v>
      </c>
      <c r="AE453" s="285" t="str">
        <f>IFERROR(__xludf.DUMMYFUNCTION("""COMPUTED_VALUE"""),"Mary Stephanie")</f>
        <v>Mary Stephanie</v>
      </c>
      <c r="AF453" s="285" t="str">
        <f>IFERROR(__xludf.DUMMYFUNCTION("""COMPUTED_VALUE"""),"081297574099")</f>
        <v>081297574099</v>
      </c>
      <c r="AG453" s="285" t="str">
        <f>IFERROR(__xludf.DUMMYFUNCTION("""COMPUTED_VALUE"""),"Gagal")</f>
        <v>Gagal</v>
      </c>
      <c r="AH453" s="285" t="str">
        <f>IFERROR(__xludf.DUMMYFUNCTION("""COMPUTED_VALUE"""),"4h3m")</f>
        <v>4h3m</v>
      </c>
      <c r="AI453" s="287"/>
      <c r="AJ453" s="285">
        <f>IFERROR(__xludf.DUMMYFUNCTION("""COMPUTED_VALUE"""),21.0)</f>
        <v>21</v>
      </c>
      <c r="AK453" s="289"/>
      <c r="AL453" s="285" t="str">
        <f>IFERROR(__xludf.DUMMYFUNCTION("""COMPUTED_VALUE"""),"liburan ke hanoi")</f>
        <v>liburan ke hanoi</v>
      </c>
    </row>
    <row r="454"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320"/>
      <c r="R454" s="285"/>
      <c r="S454" s="285"/>
      <c r="T454" s="285"/>
      <c r="U454" s="285"/>
      <c r="V454" s="285"/>
      <c r="W454" s="285"/>
      <c r="X454" s="285"/>
      <c r="Y454" s="285"/>
      <c r="Z454" s="285"/>
      <c r="AA454" s="285"/>
      <c r="AC454" s="285" t="str">
        <f>IFERROR(__xludf.DUMMYFUNCTION("""COMPUTED_VALUE"""),"2606A070")</f>
        <v>2606A070</v>
      </c>
      <c r="AD454" s="286">
        <f>IFERROR(__xludf.DUMMYFUNCTION("""COMPUTED_VALUE"""),46185.0)</f>
        <v>46185</v>
      </c>
      <c r="AE454" s="285" t="str">
        <f>IFERROR(__xludf.DUMMYFUNCTION("""COMPUTED_VALUE"""),"Tina")</f>
        <v>Tina</v>
      </c>
      <c r="AF454" s="285" t="str">
        <f>IFERROR(__xludf.DUMMYFUNCTION("""COMPUTED_VALUE"""),"082221808429")</f>
        <v>082221808429</v>
      </c>
      <c r="AG454" s="285" t="str">
        <f>IFERROR(__xludf.DUMMYFUNCTION("""COMPUTED_VALUE"""),"Gagal")</f>
        <v>Gagal</v>
      </c>
      <c r="AH454" s="285" t="str">
        <f>IFERROR(__xludf.DUMMYFUNCTION("""COMPUTED_VALUE"""),"2h1m")</f>
        <v>2h1m</v>
      </c>
      <c r="AI454" s="287">
        <f>IFERROR(__xludf.DUMMYFUNCTION("""COMPUTED_VALUE"""),46205.0)</f>
        <v>46205</v>
      </c>
      <c r="AJ454" s="285">
        <f>IFERROR(__xludf.DUMMYFUNCTION("""COMPUTED_VALUE"""),2.0)</f>
        <v>2</v>
      </c>
      <c r="AK454" s="289"/>
      <c r="AL454" s="285" t="str">
        <f>IFERROR(__xludf.DUMMYFUNCTION("""COMPUTED_VALUE"""),"gada balasan")</f>
        <v>gada balasan</v>
      </c>
    </row>
    <row r="455"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320"/>
      <c r="R455" s="285"/>
      <c r="S455" s="285"/>
      <c r="T455" s="285"/>
      <c r="U455" s="285"/>
      <c r="V455" s="285"/>
      <c r="W455" s="285"/>
      <c r="X455" s="285"/>
      <c r="Y455" s="285"/>
      <c r="Z455" s="285"/>
      <c r="AA455" s="285"/>
      <c r="AC455" s="285" t="str">
        <f>IFERROR(__xludf.DUMMYFUNCTION("""COMPUTED_VALUE"""),"2606A071")</f>
        <v>2606A071</v>
      </c>
      <c r="AD455" s="286">
        <f>IFERROR(__xludf.DUMMYFUNCTION("""COMPUTED_VALUE"""),46185.0)</f>
        <v>46185</v>
      </c>
      <c r="AE455" s="285" t="str">
        <f>IFERROR(__xludf.DUMMYFUNCTION("""COMPUTED_VALUE"""),"East Region Newspage")</f>
        <v>East Region Newspage</v>
      </c>
      <c r="AF455" s="285" t="str">
        <f>IFERROR(__xludf.DUMMYFUNCTION("""COMPUTED_VALUE"""),"081119971052")</f>
        <v>081119971052</v>
      </c>
      <c r="AG455" s="285" t="str">
        <f>IFERROR(__xludf.DUMMYFUNCTION("""COMPUTED_VALUE"""),"Gagal")</f>
        <v>Gagal</v>
      </c>
      <c r="AH455" s="285" t="str">
        <f>IFERROR(__xludf.DUMMYFUNCTION("""COMPUTED_VALUE"""),"ijen")</f>
        <v>ijen</v>
      </c>
      <c r="AI455" s="287">
        <f>IFERROR(__xludf.DUMMYFUNCTION("""COMPUTED_VALUE"""),46186.0)</f>
        <v>46186</v>
      </c>
      <c r="AJ455" s="285"/>
      <c r="AK455" s="289"/>
      <c r="AL455" s="285" t="str">
        <f>IFERROR(__xludf.DUMMYFUNCTION("""COMPUTED_VALUE"""),"gada jawaban")</f>
        <v>gada jawaban</v>
      </c>
    </row>
    <row r="456"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320"/>
      <c r="R456" s="285"/>
      <c r="S456" s="285"/>
      <c r="T456" s="285"/>
      <c r="U456" s="285"/>
      <c r="V456" s="285"/>
      <c r="W456" s="285"/>
      <c r="X456" s="285"/>
      <c r="Y456" s="285"/>
      <c r="Z456" s="285"/>
      <c r="AA456" s="285"/>
      <c r="AC456" s="285" t="str">
        <f>IFERROR(__xludf.DUMMYFUNCTION("""COMPUTED_VALUE"""),"2606A073")</f>
        <v>2606A073</v>
      </c>
      <c r="AD456" s="286">
        <f>IFERROR(__xludf.DUMMYFUNCTION("""COMPUTED_VALUE"""),46185.0)</f>
        <v>46185</v>
      </c>
      <c r="AE456" s="285" t="str">
        <f>IFERROR(__xludf.DUMMYFUNCTION("""COMPUTED_VALUE"""),"Bagus")</f>
        <v>Bagus</v>
      </c>
      <c r="AF456" s="285" t="str">
        <f>IFERROR(__xludf.DUMMYFUNCTION("""COMPUTED_VALUE"""),"085211132129")</f>
        <v>085211132129</v>
      </c>
      <c r="AG456" s="285" t="str">
        <f>IFERROR(__xludf.DUMMYFUNCTION("""COMPUTED_VALUE"""),"Gagal")</f>
        <v>Gagal</v>
      </c>
      <c r="AH456" s="285" t="str">
        <f>IFERROR(__xludf.DUMMYFUNCTION("""COMPUTED_VALUE"""),"kawah ijen")</f>
        <v>kawah ijen</v>
      </c>
      <c r="AI456" s="287">
        <f>IFERROR(__xludf.DUMMYFUNCTION("""COMPUTED_VALUE"""),46185.0)</f>
        <v>46185</v>
      </c>
      <c r="AJ456" s="285">
        <f>IFERROR(__xludf.DUMMYFUNCTION("""COMPUTED_VALUE"""),2.0)</f>
        <v>2</v>
      </c>
      <c r="AK456" s="289"/>
      <c r="AL456" s="285" t="str">
        <f>IFERROR(__xludf.DUMMYFUNCTION("""COMPUTED_VALUE"""),"ke mbak dela")</f>
        <v>ke mbak dela</v>
      </c>
    </row>
    <row r="457"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320"/>
      <c r="R457" s="285"/>
      <c r="S457" s="285"/>
      <c r="T457" s="285"/>
      <c r="U457" s="285"/>
      <c r="V457" s="285"/>
      <c r="W457" s="285"/>
      <c r="X457" s="285"/>
      <c r="Y457" s="285"/>
      <c r="Z457" s="285"/>
      <c r="AA457" s="285"/>
      <c r="AC457" s="285" t="str">
        <f>IFERROR(__xludf.DUMMYFUNCTION("""COMPUTED_VALUE"""),"2606A074")</f>
        <v>2606A074</v>
      </c>
      <c r="AD457" s="286">
        <f>IFERROR(__xludf.DUMMYFUNCTION("""COMPUTED_VALUE"""),46181.0)</f>
        <v>46181</v>
      </c>
      <c r="AE457" s="285" t="str">
        <f>IFERROR(__xludf.DUMMYFUNCTION("""COMPUTED_VALUE"""),"Ana/Gemar tour")</f>
        <v>Ana/Gemar tour</v>
      </c>
      <c r="AF457" s="285" t="str">
        <f>IFERROR(__xludf.DUMMYFUNCTION("""COMPUTED_VALUE"""),"081912800435")</f>
        <v>081912800435</v>
      </c>
      <c r="AG457" s="285" t="str">
        <f>IFERROR(__xludf.DUMMYFUNCTION("""COMPUTED_VALUE"""),"Gagal")</f>
        <v>Gagal</v>
      </c>
      <c r="AH457" s="285" t="str">
        <f>IFERROR(__xludf.DUMMYFUNCTION("""COMPUTED_VALUE"""),"3h2m")</f>
        <v>3h2m</v>
      </c>
      <c r="AI457" s="287"/>
      <c r="AJ457" s="285">
        <f>IFERROR(__xludf.DUMMYFUNCTION("""COMPUTED_VALUE"""),30.0)</f>
        <v>30</v>
      </c>
      <c r="AK457" s="289"/>
      <c r="AL457" s="285" t="str">
        <f>IFERROR(__xludf.DUMMYFUNCTION("""COMPUTED_VALUE"""),"gada balasan lagi")</f>
        <v>gada balasan lagi</v>
      </c>
    </row>
    <row r="458"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320"/>
      <c r="R458" s="285"/>
      <c r="S458" s="285"/>
      <c r="T458" s="285"/>
      <c r="U458" s="285"/>
      <c r="V458" s="285"/>
      <c r="W458" s="285"/>
      <c r="X458" s="285"/>
      <c r="Y458" s="285"/>
      <c r="Z458" s="285"/>
      <c r="AA458" s="285"/>
      <c r="AC458" s="285" t="str">
        <f>IFERROR(__xludf.DUMMYFUNCTION("""COMPUTED_VALUE"""),"2606A075")</f>
        <v>2606A075</v>
      </c>
      <c r="AD458" s="286">
        <f>IFERROR(__xludf.DUMMYFUNCTION("""COMPUTED_VALUE"""),46186.0)</f>
        <v>46186</v>
      </c>
      <c r="AE458" s="285" t="str">
        <f>IFERROR(__xludf.DUMMYFUNCTION("""COMPUTED_VALUE"""),"Vs")</f>
        <v>Vs</v>
      </c>
      <c r="AF458" s="285" t="str">
        <f>IFERROR(__xludf.DUMMYFUNCTION("""COMPUTED_VALUE"""),"081220542445")</f>
        <v>081220542445</v>
      </c>
      <c r="AG458" s="285" t="str">
        <f>IFERROR(__xludf.DUMMYFUNCTION("""COMPUTED_VALUE"""),"Gagal")</f>
        <v>Gagal</v>
      </c>
      <c r="AH458" s="285"/>
      <c r="AI458" s="287"/>
      <c r="AJ458" s="285">
        <f>IFERROR(__xludf.DUMMYFUNCTION("""COMPUTED_VALUE"""),4.0)</f>
        <v>4</v>
      </c>
      <c r="AK458" s="289"/>
      <c r="AL458" s="285" t="str">
        <f>IFERROR(__xludf.DUMMYFUNCTION("""COMPUTED_VALUE"""),"gada kelanjutan")</f>
        <v>gada kelanjutan</v>
      </c>
    </row>
    <row r="459"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320"/>
      <c r="R459" s="285"/>
      <c r="S459" s="285"/>
      <c r="T459" s="285"/>
      <c r="U459" s="285"/>
      <c r="V459" s="285"/>
      <c r="W459" s="285"/>
      <c r="X459" s="285"/>
      <c r="Y459" s="285"/>
      <c r="Z459" s="285"/>
      <c r="AA459" s="285"/>
      <c r="AC459" s="285" t="str">
        <f>IFERROR(__xludf.DUMMYFUNCTION("""COMPUTED_VALUE"""),"2606A076")</f>
        <v>2606A076</v>
      </c>
      <c r="AD459" s="286">
        <f>IFERROR(__xludf.DUMMYFUNCTION("""COMPUTED_VALUE"""),46186.0)</f>
        <v>46186</v>
      </c>
      <c r="AE459" s="285" t="str">
        <f>IFERROR(__xludf.DUMMYFUNCTION("""COMPUTED_VALUE"""),"Yuliana Rahayu")</f>
        <v>Yuliana Rahayu</v>
      </c>
      <c r="AF459" s="285" t="str">
        <f>IFERROR(__xludf.DUMMYFUNCTION("""COMPUTED_VALUE"""),"082112272745")</f>
        <v>082112272745</v>
      </c>
      <c r="AG459" s="285" t="str">
        <f>IFERROR(__xludf.DUMMYFUNCTION("""COMPUTED_VALUE"""),"Gagal")</f>
        <v>Gagal</v>
      </c>
      <c r="AH459" s="285" t="str">
        <f>IFERROR(__xludf.DUMMYFUNCTION("""COMPUTED_VALUE"""),"OT 3H2M")</f>
        <v>OT 3H2M</v>
      </c>
      <c r="AI459" s="287"/>
      <c r="AJ459" s="285"/>
      <c r="AK459" s="289"/>
      <c r="AL459" s="285" t="str">
        <f>IFERROR(__xludf.DUMMYFUNCTION("""COMPUTED_VALUE"""),"gada kelanjutan")</f>
        <v>gada kelanjutan</v>
      </c>
    </row>
    <row r="460"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320"/>
      <c r="R460" s="285"/>
      <c r="S460" s="285"/>
      <c r="T460" s="285"/>
      <c r="U460" s="285"/>
      <c r="V460" s="285"/>
      <c r="W460" s="285"/>
      <c r="X460" s="285"/>
      <c r="Y460" s="285"/>
      <c r="Z460" s="285"/>
      <c r="AA460" s="285"/>
      <c r="AC460" s="285" t="str">
        <f>IFERROR(__xludf.DUMMYFUNCTION("""COMPUTED_VALUE"""),"2606A077")</f>
        <v>2606A077</v>
      </c>
      <c r="AD460" s="286">
        <f>IFERROR(__xludf.DUMMYFUNCTION("""COMPUTED_VALUE"""),46186.0)</f>
        <v>46186</v>
      </c>
      <c r="AE460" s="285" t="str">
        <f>IFERROR(__xludf.DUMMYFUNCTION("""COMPUTED_VALUE"""),"Adika Wiroyudo - Agil")</f>
        <v>Adika Wiroyudo - Agil</v>
      </c>
      <c r="AF460" s="285" t="str">
        <f>IFERROR(__xludf.DUMMYFUNCTION("""COMPUTED_VALUE"""),"08111104123")</f>
        <v>08111104123</v>
      </c>
      <c r="AG460" s="285" t="str">
        <f>IFERROR(__xludf.DUMMYFUNCTION("""COMPUTED_VALUE"""),"Gagal")</f>
        <v>Gagal</v>
      </c>
      <c r="AH460" s="285" t="str">
        <f>IFERROR(__xludf.DUMMYFUNCTION("""COMPUTED_VALUE"""),"Menjangan")</f>
        <v>Menjangan</v>
      </c>
      <c r="AI460" s="287">
        <f>IFERROR(__xludf.DUMMYFUNCTION("""COMPUTED_VALUE"""),46189.0)</f>
        <v>46189</v>
      </c>
      <c r="AJ460" s="285">
        <f>IFERROR(__xludf.DUMMYFUNCTION("""COMPUTED_VALUE"""),3.0)</f>
        <v>3</v>
      </c>
      <c r="AK460" s="289"/>
      <c r="AL460" s="285" t="str">
        <f>IFERROR(__xludf.DUMMYFUNCTION("""COMPUTED_VALUE"""),"fullbooked")</f>
        <v>fullbooked</v>
      </c>
    </row>
    <row r="461"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320"/>
      <c r="R461" s="285"/>
      <c r="S461" s="285"/>
      <c r="T461" s="285"/>
      <c r="U461" s="285"/>
      <c r="V461" s="285"/>
      <c r="W461" s="285"/>
      <c r="X461" s="285"/>
      <c r="Y461" s="285"/>
      <c r="Z461" s="285"/>
      <c r="AA461" s="285"/>
      <c r="AC461" s="285" t="str">
        <f>IFERROR(__xludf.DUMMYFUNCTION("""COMPUTED_VALUE"""),"2606A078")</f>
        <v>2606A078</v>
      </c>
      <c r="AD461" s="286">
        <f>IFERROR(__xludf.DUMMYFUNCTION("""COMPUTED_VALUE"""),46182.0)</f>
        <v>46182</v>
      </c>
      <c r="AE461" s="285" t="str">
        <f>IFERROR(__xludf.DUMMYFUNCTION("""COMPUTED_VALUE"""),"dinna sulinda")</f>
        <v>dinna sulinda</v>
      </c>
      <c r="AF461" s="285" t="str">
        <f>IFERROR(__xludf.DUMMYFUNCTION("""COMPUTED_VALUE"""),"085695366620")</f>
        <v>085695366620</v>
      </c>
      <c r="AG461" s="285" t="str">
        <f>IFERROR(__xludf.DUMMYFUNCTION("""COMPUTED_VALUE"""),"Gagal")</f>
        <v>Gagal</v>
      </c>
      <c r="AH461" s="285" t="str">
        <f>IFERROR(__xludf.DUMMYFUNCTION("""COMPUTED_VALUE"""),"baluran")</f>
        <v>baluran</v>
      </c>
      <c r="AI461" s="287">
        <f>IFERROR(__xludf.DUMMYFUNCTION("""COMPUTED_VALUE"""),46189.0)</f>
        <v>46189</v>
      </c>
      <c r="AJ461" s="285">
        <f>IFERROR(__xludf.DUMMYFUNCTION("""COMPUTED_VALUE"""),7.0)</f>
        <v>7</v>
      </c>
      <c r="AK461" s="289">
        <f>IFERROR(__xludf.DUMMYFUNCTION("""COMPUTED_VALUE"""),3010000.0)</f>
        <v>3010000</v>
      </c>
      <c r="AL461" s="285" t="str">
        <f>IFERROR(__xludf.DUMMYFUNCTION("""COMPUTED_VALUE"""),"ga jadi")</f>
        <v>ga jadi</v>
      </c>
    </row>
    <row r="462"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320"/>
      <c r="R462" s="285"/>
      <c r="S462" s="285"/>
      <c r="T462" s="285"/>
      <c r="U462" s="285"/>
      <c r="V462" s="285"/>
      <c r="W462" s="285"/>
      <c r="X462" s="285"/>
      <c r="Y462" s="285"/>
      <c r="Z462" s="285"/>
      <c r="AA462" s="285"/>
      <c r="AC462" s="285" t="str">
        <f>IFERROR(__xludf.DUMMYFUNCTION("""COMPUTED_VALUE"""),"2606A079")</f>
        <v>2606A079</v>
      </c>
      <c r="AD462" s="286">
        <f>IFERROR(__xludf.DUMMYFUNCTION("""COMPUTED_VALUE"""),46186.0)</f>
        <v>46186</v>
      </c>
      <c r="AE462" s="285" t="str">
        <f>IFERROR(__xludf.DUMMYFUNCTION("""COMPUTED_VALUE"""),"Rizky")</f>
        <v>Rizky</v>
      </c>
      <c r="AF462" s="285" t="str">
        <f>IFERROR(__xludf.DUMMYFUNCTION("""COMPUTED_VALUE"""),"08176696659")</f>
        <v>08176696659</v>
      </c>
      <c r="AG462" s="285" t="str">
        <f>IFERROR(__xludf.DUMMYFUNCTION("""COMPUTED_VALUE"""),"Gagal")</f>
        <v>Gagal</v>
      </c>
      <c r="AH462" s="285" t="str">
        <f>IFERROR(__xludf.DUMMYFUNCTION("""COMPUTED_VALUE"""),"3h2m")</f>
        <v>3h2m</v>
      </c>
      <c r="AI462" s="287"/>
      <c r="AJ462" s="285">
        <f>IFERROR(__xludf.DUMMYFUNCTION("""COMPUTED_VALUE"""),2.0)</f>
        <v>2</v>
      </c>
      <c r="AK462" s="289"/>
      <c r="AL462" s="285"/>
    </row>
    <row r="463"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320"/>
      <c r="R463" s="285"/>
      <c r="S463" s="285"/>
      <c r="T463" s="285"/>
      <c r="U463" s="285"/>
      <c r="V463" s="285"/>
      <c r="W463" s="285"/>
      <c r="X463" s="285"/>
      <c r="Y463" s="285"/>
      <c r="Z463" s="285"/>
      <c r="AA463" s="285"/>
      <c r="AC463" s="285" t="str">
        <f>IFERROR(__xludf.DUMMYFUNCTION("""COMPUTED_VALUE"""),"2606A080")</f>
        <v>2606A080</v>
      </c>
      <c r="AD463" s="286">
        <f>IFERROR(__xludf.DUMMYFUNCTION("""COMPUTED_VALUE"""),46187.0)</f>
        <v>46187</v>
      </c>
      <c r="AE463" s="285" t="str">
        <f>IFERROR(__xludf.DUMMYFUNCTION("""COMPUTED_VALUE"""),"Dewi")</f>
        <v>Dewi</v>
      </c>
      <c r="AF463" s="285" t="str">
        <f>IFERROR(__xludf.DUMMYFUNCTION("""COMPUTED_VALUE"""),"087700088777")</f>
        <v>087700088777</v>
      </c>
      <c r="AG463" s="285" t="str">
        <f>IFERROR(__xludf.DUMMYFUNCTION("""COMPUTED_VALUE"""),"Gagal")</f>
        <v>Gagal</v>
      </c>
      <c r="AH463" s="285" t="str">
        <f>IFERROR(__xludf.DUMMYFUNCTION("""COMPUTED_VALUE"""),"3h2m")</f>
        <v>3h2m</v>
      </c>
      <c r="AI463" s="287">
        <f>IFERROR(__xludf.DUMMYFUNCTION("""COMPUTED_VALUE"""),46195.0)</f>
        <v>46195</v>
      </c>
      <c r="AJ463" s="285"/>
      <c r="AK463" s="289"/>
      <c r="AL463" s="285" t="str">
        <f>IFERROR(__xludf.DUMMYFUNCTION("""COMPUTED_VALUE"""),"gada balasan")</f>
        <v>gada balasan</v>
      </c>
    </row>
    <row r="464"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320"/>
      <c r="R464" s="285"/>
      <c r="S464" s="285"/>
      <c r="T464" s="285"/>
      <c r="U464" s="285"/>
      <c r="V464" s="285"/>
      <c r="W464" s="285"/>
      <c r="X464" s="285"/>
      <c r="Y464" s="285"/>
      <c r="Z464" s="285"/>
      <c r="AA464" s="285"/>
      <c r="AC464" s="285" t="str">
        <f>IFERROR(__xludf.DUMMYFUNCTION("""COMPUTED_VALUE"""),"2606A081")</f>
        <v>2606A081</v>
      </c>
      <c r="AD464" s="286">
        <f>IFERROR(__xludf.DUMMYFUNCTION("""COMPUTED_VALUE"""),46187.0)</f>
        <v>46187</v>
      </c>
      <c r="AE464" s="285" t="str">
        <f>IFERROR(__xludf.DUMMYFUNCTION("""COMPUTED_VALUE"""),"Kristina")</f>
        <v>Kristina</v>
      </c>
      <c r="AF464" s="285" t="str">
        <f>IFERROR(__xludf.DUMMYFUNCTION("""COMPUTED_VALUE"""),"085803909655")</f>
        <v>085803909655</v>
      </c>
      <c r="AG464" s="285" t="str">
        <f>IFERROR(__xludf.DUMMYFUNCTION("""COMPUTED_VALUE"""),"Gagal")</f>
        <v>Gagal</v>
      </c>
      <c r="AH464" s="285" t="str">
        <f>IFERROR(__xludf.DUMMYFUNCTION("""COMPUTED_VALUE"""),"3h2m")</f>
        <v>3h2m</v>
      </c>
      <c r="AI464" s="287">
        <f>IFERROR(__xludf.DUMMYFUNCTION("""COMPUTED_VALUE"""),46188.0)</f>
        <v>46188</v>
      </c>
      <c r="AJ464" s="285">
        <f>IFERROR(__xludf.DUMMYFUNCTION("""COMPUTED_VALUE"""),1.0)</f>
        <v>1</v>
      </c>
      <c r="AK464" s="289"/>
      <c r="AL464" s="285" t="str">
        <f>IFERROR(__xludf.DUMMYFUNCTION("""COMPUTED_VALUE"""),"ga dapat cuti")</f>
        <v>ga dapat cuti</v>
      </c>
    </row>
    <row r="465"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320"/>
      <c r="R465" s="285"/>
      <c r="S465" s="285"/>
      <c r="T465" s="285"/>
      <c r="U465" s="285"/>
      <c r="V465" s="285"/>
      <c r="W465" s="285"/>
      <c r="X465" s="285"/>
      <c r="Y465" s="285"/>
      <c r="Z465" s="285"/>
      <c r="AA465" s="285"/>
      <c r="AC465" s="285" t="str">
        <f>IFERROR(__xludf.DUMMYFUNCTION("""COMPUTED_VALUE"""),"2606A082")</f>
        <v>2606A082</v>
      </c>
      <c r="AD465" s="286">
        <f>IFERROR(__xludf.DUMMYFUNCTION("""COMPUTED_VALUE"""),46187.0)</f>
        <v>46187</v>
      </c>
      <c r="AE465" s="285" t="str">
        <f>IFERROR(__xludf.DUMMYFUNCTION("""COMPUTED_VALUE"""),"Ika")</f>
        <v>Ika</v>
      </c>
      <c r="AF465" s="285" t="str">
        <f>IFERROR(__xludf.DUMMYFUNCTION("""COMPUTED_VALUE"""),"083892207080")</f>
        <v>083892207080</v>
      </c>
      <c r="AG465" s="285" t="str">
        <f>IFERROR(__xludf.DUMMYFUNCTION("""COMPUTED_VALUE"""),"Gagal")</f>
        <v>Gagal</v>
      </c>
      <c r="AH465" s="285" t="str">
        <f>IFERROR(__xludf.DUMMYFUNCTION("""COMPUTED_VALUE"""),"ot 3h2m")</f>
        <v>ot 3h2m</v>
      </c>
      <c r="AI465" s="287">
        <f>IFERROR(__xludf.DUMMYFUNCTION("""COMPUTED_VALUE"""),46212.0)</f>
        <v>46212</v>
      </c>
      <c r="AJ465" s="285"/>
      <c r="AK465" s="289"/>
      <c r="AL465" s="285" t="str">
        <f>IFERROR(__xludf.DUMMYFUNCTION("""COMPUTED_VALUE"""),"gada balasan")</f>
        <v>gada balasan</v>
      </c>
    </row>
    <row r="466"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320"/>
      <c r="R466" s="285"/>
      <c r="S466" s="285"/>
      <c r="T466" s="285"/>
      <c r="U466" s="285"/>
      <c r="V466" s="285"/>
      <c r="W466" s="285"/>
      <c r="X466" s="285"/>
      <c r="Y466" s="285"/>
      <c r="Z466" s="285"/>
      <c r="AA466" s="285"/>
      <c r="AC466" s="285" t="str">
        <f>IFERROR(__xludf.DUMMYFUNCTION("""COMPUTED_VALUE"""),"2606A083")</f>
        <v>2606A083</v>
      </c>
      <c r="AD466" s="286">
        <f>IFERROR(__xludf.DUMMYFUNCTION("""COMPUTED_VALUE"""),46187.0)</f>
        <v>46187</v>
      </c>
      <c r="AE466" s="285" t="str">
        <f>IFERROR(__xludf.DUMMYFUNCTION("""COMPUTED_VALUE"""),"Fillah")</f>
        <v>Fillah</v>
      </c>
      <c r="AF466" s="285" t="str">
        <f>IFERROR(__xludf.DUMMYFUNCTION("""COMPUTED_VALUE"""),"081338671112")</f>
        <v>081338671112</v>
      </c>
      <c r="AG466" s="285" t="str">
        <f>IFERROR(__xludf.DUMMYFUNCTION("""COMPUTED_VALUE"""),"Gagal")</f>
        <v>Gagal</v>
      </c>
      <c r="AH466" s="285"/>
      <c r="AI466" s="287"/>
      <c r="AJ466" s="285"/>
      <c r="AK466" s="289"/>
      <c r="AL466" s="285" t="str">
        <f>IFERROR(__xludf.DUMMYFUNCTION("""COMPUTED_VALUE"""),"gada kelanjutan")</f>
        <v>gada kelanjutan</v>
      </c>
    </row>
    <row r="467"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320"/>
      <c r="R467" s="285"/>
      <c r="S467" s="285"/>
      <c r="T467" s="285"/>
      <c r="U467" s="285"/>
      <c r="V467" s="285"/>
      <c r="W467" s="285"/>
      <c r="X467" s="285"/>
      <c r="Y467" s="285"/>
      <c r="Z467" s="285"/>
      <c r="AA467" s="285"/>
      <c r="AC467" s="285" t="str">
        <f>IFERROR(__xludf.DUMMYFUNCTION("""COMPUTED_VALUE"""),"2606A084")</f>
        <v>2606A084</v>
      </c>
      <c r="AD467" s="286">
        <f>IFERROR(__xludf.DUMMYFUNCTION("""COMPUTED_VALUE"""),46187.0)</f>
        <v>46187</v>
      </c>
      <c r="AE467" s="285" t="str">
        <f>IFERROR(__xludf.DUMMYFUNCTION("""COMPUTED_VALUE"""),"Shafa")</f>
        <v>Shafa</v>
      </c>
      <c r="AF467" s="285" t="str">
        <f>IFERROR(__xludf.DUMMYFUNCTION("""COMPUTED_VALUE"""),"08976211029")</f>
        <v>08976211029</v>
      </c>
      <c r="AG467" s="285" t="str">
        <f>IFERROR(__xludf.DUMMYFUNCTION("""COMPUTED_VALUE"""),"Gagal")</f>
        <v>Gagal</v>
      </c>
      <c r="AH467" s="285" t="str">
        <f>IFERROR(__xludf.DUMMYFUNCTION("""COMPUTED_VALUE"""),"ot kawah ijen")</f>
        <v>ot kawah ijen</v>
      </c>
      <c r="AI467" s="287">
        <f>IFERROR(__xludf.DUMMYFUNCTION("""COMPUTED_VALUE"""),46208.0)</f>
        <v>46208</v>
      </c>
      <c r="AJ467" s="285">
        <f>IFERROR(__xludf.DUMMYFUNCTION("""COMPUTED_VALUE"""),4.0)</f>
        <v>4</v>
      </c>
      <c r="AK467" s="289"/>
      <c r="AL467" s="285"/>
    </row>
    <row r="468"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320"/>
      <c r="R468" s="285"/>
      <c r="S468" s="285"/>
      <c r="T468" s="285"/>
      <c r="U468" s="285"/>
      <c r="V468" s="285"/>
      <c r="W468" s="285"/>
      <c r="X468" s="285"/>
      <c r="Y468" s="285"/>
      <c r="Z468" s="285"/>
      <c r="AA468" s="285"/>
      <c r="AC468" s="285" t="str">
        <f>IFERROR(__xludf.DUMMYFUNCTION("""COMPUTED_VALUE"""),"2606A085")</f>
        <v>2606A085</v>
      </c>
      <c r="AD468" s="286">
        <f>IFERROR(__xludf.DUMMYFUNCTION("""COMPUTED_VALUE"""),46187.0)</f>
        <v>46187</v>
      </c>
      <c r="AE468" s="285" t="str">
        <f>IFERROR(__xludf.DUMMYFUNCTION("""COMPUTED_VALUE"""),"Andika")</f>
        <v>Andika</v>
      </c>
      <c r="AF468" s="285" t="str">
        <f>IFERROR(__xludf.DUMMYFUNCTION("""COMPUTED_VALUE"""),"081325210466")</f>
        <v>081325210466</v>
      </c>
      <c r="AG468" s="285" t="str">
        <f>IFERROR(__xludf.DUMMYFUNCTION("""COMPUTED_VALUE"""),"Gagal")</f>
        <v>Gagal</v>
      </c>
      <c r="AH468" s="285"/>
      <c r="AI468" s="287"/>
      <c r="AJ468" s="285"/>
      <c r="AK468" s="289"/>
      <c r="AL468" s="285"/>
    </row>
    <row r="469"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320"/>
      <c r="R469" s="285"/>
      <c r="S469" s="285"/>
      <c r="T469" s="285"/>
      <c r="U469" s="285"/>
      <c r="V469" s="285"/>
      <c r="W469" s="285"/>
      <c r="X469" s="285"/>
      <c r="Y469" s="285"/>
      <c r="Z469" s="285"/>
      <c r="AA469" s="285"/>
      <c r="AC469" s="285" t="str">
        <f>IFERROR(__xludf.DUMMYFUNCTION("""COMPUTED_VALUE"""),"2606A087")</f>
        <v>2606A087</v>
      </c>
      <c r="AD469" s="286">
        <f>IFERROR(__xludf.DUMMYFUNCTION("""COMPUTED_VALUE"""),46187.0)</f>
        <v>46187</v>
      </c>
      <c r="AE469" s="285" t="str">
        <f>IFERROR(__xludf.DUMMYFUNCTION("""COMPUTED_VALUE"""),"Hidayat")</f>
        <v>Hidayat</v>
      </c>
      <c r="AF469" s="285" t="str">
        <f>IFERROR(__xludf.DUMMYFUNCTION("""COMPUTED_VALUE"""),"085325252348")</f>
        <v>085325252348</v>
      </c>
      <c r="AG469" s="285" t="str">
        <f>IFERROR(__xludf.DUMMYFUNCTION("""COMPUTED_VALUE"""),"Gagal")</f>
        <v>Gagal</v>
      </c>
      <c r="AH469" s="285"/>
      <c r="AI469" s="287"/>
      <c r="AJ469" s="285"/>
      <c r="AK469" s="289"/>
      <c r="AL469" s="285"/>
    </row>
    <row r="470"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320"/>
      <c r="R470" s="285"/>
      <c r="S470" s="285"/>
      <c r="T470" s="285"/>
      <c r="U470" s="285"/>
      <c r="V470" s="285"/>
      <c r="W470" s="285"/>
      <c r="X470" s="285"/>
      <c r="Y470" s="285"/>
      <c r="Z470" s="285"/>
      <c r="AA470" s="285"/>
      <c r="AC470" s="285" t="str">
        <f>IFERROR(__xludf.DUMMYFUNCTION("""COMPUTED_VALUE"""),"2606A088")</f>
        <v>2606A088</v>
      </c>
      <c r="AD470" s="286">
        <f>IFERROR(__xludf.DUMMYFUNCTION("""COMPUTED_VALUE"""),46188.0)</f>
        <v>46188</v>
      </c>
      <c r="AE470" s="285" t="str">
        <f>IFERROR(__xludf.DUMMYFUNCTION("""COMPUTED_VALUE"""),"Pidharhyu")</f>
        <v>Pidharhyu</v>
      </c>
      <c r="AF470" s="285" t="str">
        <f>IFERROR(__xludf.DUMMYFUNCTION("""COMPUTED_VALUE"""),"083840125855")</f>
        <v>083840125855</v>
      </c>
      <c r="AG470" s="285" t="str">
        <f>IFERROR(__xludf.DUMMYFUNCTION("""COMPUTED_VALUE"""),"Gagal")</f>
        <v>Gagal</v>
      </c>
      <c r="AH470" s="285" t="str">
        <f>IFERROR(__xludf.DUMMYFUNCTION("""COMPUTED_VALUE"""),"3h2m opsi a ")</f>
        <v>3h2m opsi a </v>
      </c>
      <c r="AI470" s="287"/>
      <c r="AJ470" s="285">
        <f>IFERROR(__xludf.DUMMYFUNCTION("""COMPUTED_VALUE"""),2.0)</f>
        <v>2</v>
      </c>
      <c r="AK470" s="289">
        <f>IFERROR(__xludf.DUMMYFUNCTION("""COMPUTED_VALUE"""),6128000.0)</f>
        <v>6128000</v>
      </c>
      <c r="AL470" s="285"/>
    </row>
    <row r="471"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320"/>
      <c r="R471" s="285"/>
      <c r="S471" s="285"/>
      <c r="T471" s="285"/>
      <c r="U471" s="285"/>
      <c r="V471" s="285"/>
      <c r="W471" s="285"/>
      <c r="X471" s="285"/>
      <c r="Y471" s="285"/>
      <c r="Z471" s="285"/>
      <c r="AA471" s="285"/>
      <c r="AC471" s="285" t="str">
        <f>IFERROR(__xludf.DUMMYFUNCTION("""COMPUTED_VALUE"""),"2606A089")</f>
        <v>2606A089</v>
      </c>
      <c r="AD471" s="286">
        <f>IFERROR(__xludf.DUMMYFUNCTION("""COMPUTED_VALUE"""),46188.0)</f>
        <v>46188</v>
      </c>
      <c r="AE471" s="285" t="str">
        <f>IFERROR(__xludf.DUMMYFUNCTION("""COMPUTED_VALUE"""),"Radit")</f>
        <v>Radit</v>
      </c>
      <c r="AF471" s="285" t="str">
        <f>IFERROR(__xludf.DUMMYFUNCTION("""COMPUTED_VALUE"""),"082136423185")</f>
        <v>082136423185</v>
      </c>
      <c r="AG471" s="285" t="str">
        <f>IFERROR(__xludf.DUMMYFUNCTION("""COMPUTED_VALUE"""),"Gagal")</f>
        <v>Gagal</v>
      </c>
      <c r="AH471" s="285" t="str">
        <f>IFERROR(__xludf.DUMMYFUNCTION("""COMPUTED_VALUE"""),"4h3m")</f>
        <v>4h3m</v>
      </c>
      <c r="AI471" s="287"/>
      <c r="AJ471" s="285">
        <f>IFERROR(__xludf.DUMMYFUNCTION("""COMPUTED_VALUE"""),5.0)</f>
        <v>5</v>
      </c>
      <c r="AK471" s="289"/>
      <c r="AL471" s="285"/>
    </row>
    <row r="472"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320"/>
      <c r="R472" s="285"/>
      <c r="S472" s="285"/>
      <c r="T472" s="285"/>
      <c r="U472" s="285"/>
      <c r="V472" s="285"/>
      <c r="W472" s="285"/>
      <c r="X472" s="285"/>
      <c r="Y472" s="285"/>
      <c r="Z472" s="285"/>
      <c r="AA472" s="285"/>
      <c r="AC472" s="285" t="str">
        <f>IFERROR(__xludf.DUMMYFUNCTION("""COMPUTED_VALUE"""),"2606A091")</f>
        <v>2606A091</v>
      </c>
      <c r="AD472" s="286">
        <f>IFERROR(__xludf.DUMMYFUNCTION("""COMPUTED_VALUE"""),46188.0)</f>
        <v>46188</v>
      </c>
      <c r="AE472" s="285" t="str">
        <f>IFERROR(__xludf.DUMMYFUNCTION("""COMPUTED_VALUE"""),"Ida Susanti")</f>
        <v>Ida Susanti</v>
      </c>
      <c r="AF472" s="285" t="str">
        <f>IFERROR(__xludf.DUMMYFUNCTION("""COMPUTED_VALUE"""),"085283500101")</f>
        <v>085283500101</v>
      </c>
      <c r="AG472" s="285" t="str">
        <f>IFERROR(__xludf.DUMMYFUNCTION("""COMPUTED_VALUE"""),"Gagal")</f>
        <v>Gagal</v>
      </c>
      <c r="AH472" s="285" t="str">
        <f>IFERROR(__xludf.DUMMYFUNCTION("""COMPUTED_VALUE"""),"djawatan-baluran")</f>
        <v>djawatan-baluran</v>
      </c>
      <c r="AI472" s="287">
        <f>IFERROR(__xludf.DUMMYFUNCTION("""COMPUTED_VALUE"""),46191.0)</f>
        <v>46191</v>
      </c>
      <c r="AJ472" s="285">
        <f>IFERROR(__xludf.DUMMYFUNCTION("""COMPUTED_VALUE"""),5.0)</f>
        <v>5</v>
      </c>
      <c r="AK472" s="289"/>
      <c r="AL472" s="285"/>
    </row>
    <row r="473"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320"/>
      <c r="R473" s="285"/>
      <c r="S473" s="285"/>
      <c r="T473" s="285"/>
      <c r="U473" s="285"/>
      <c r="V473" s="285"/>
      <c r="W473" s="285"/>
      <c r="X473" s="285"/>
      <c r="Y473" s="285"/>
      <c r="Z473" s="285"/>
      <c r="AA473" s="285"/>
      <c r="AC473" s="285" t="str">
        <f>IFERROR(__xludf.DUMMYFUNCTION("""COMPUTED_VALUE"""),"2606A092")</f>
        <v>2606A092</v>
      </c>
      <c r="AD473" s="286">
        <f>IFERROR(__xludf.DUMMYFUNCTION("""COMPUTED_VALUE"""),46188.0)</f>
        <v>46188</v>
      </c>
      <c r="AE473" s="285" t="str">
        <f>IFERROR(__xludf.DUMMYFUNCTION("""COMPUTED_VALUE"""),"Muhammad Izza")</f>
        <v>Muhammad Izza</v>
      </c>
      <c r="AF473" s="285" t="str">
        <f>IFERROR(__xludf.DUMMYFUNCTION("""COMPUTED_VALUE"""),"085820623370")</f>
        <v>085820623370</v>
      </c>
      <c r="AG473" s="285" t="str">
        <f>IFERROR(__xludf.DUMMYFUNCTION("""COMPUTED_VALUE"""),"Gagal")</f>
        <v>Gagal</v>
      </c>
      <c r="AH473" s="285"/>
      <c r="AI473" s="287"/>
      <c r="AJ473" s="285"/>
      <c r="AK473" s="289"/>
      <c r="AL473" s="285"/>
    </row>
    <row r="474"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320"/>
      <c r="R474" s="285"/>
      <c r="S474" s="285"/>
      <c r="T474" s="285"/>
      <c r="U474" s="285"/>
      <c r="V474" s="285"/>
      <c r="W474" s="285"/>
      <c r="X474" s="285"/>
      <c r="Y474" s="285"/>
      <c r="Z474" s="285"/>
      <c r="AA474" s="285"/>
      <c r="AC474" s="285" t="str">
        <f>IFERROR(__xludf.DUMMYFUNCTION("""COMPUTED_VALUE"""),"2606A093")</f>
        <v>2606A093</v>
      </c>
      <c r="AD474" s="286">
        <f>IFERROR(__xludf.DUMMYFUNCTION("""COMPUTED_VALUE"""),46189.0)</f>
        <v>46189</v>
      </c>
      <c r="AE474" s="285" t="str">
        <f>IFERROR(__xludf.DUMMYFUNCTION("""COMPUTED_VALUE"""),"Sabrina")</f>
        <v>Sabrina</v>
      </c>
      <c r="AF474" s="285" t="str">
        <f>IFERROR(__xludf.DUMMYFUNCTION("""COMPUTED_VALUE"""),"082257679080")</f>
        <v>082257679080</v>
      </c>
      <c r="AG474" s="285" t="str">
        <f>IFERROR(__xludf.DUMMYFUNCTION("""COMPUTED_VALUE"""),"Gagal")</f>
        <v>Gagal</v>
      </c>
      <c r="AH474" s="285"/>
      <c r="AI474" s="287"/>
      <c r="AJ474" s="285"/>
      <c r="AK474" s="289"/>
      <c r="AL474" s="285"/>
    </row>
    <row r="475"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320"/>
      <c r="R475" s="285"/>
      <c r="S475" s="285"/>
      <c r="T475" s="285"/>
      <c r="U475" s="285"/>
      <c r="V475" s="285"/>
      <c r="W475" s="285"/>
      <c r="X475" s="285"/>
      <c r="Y475" s="285"/>
      <c r="Z475" s="285"/>
      <c r="AA475" s="285"/>
      <c r="AC475" s="285" t="str">
        <f>IFERROR(__xludf.DUMMYFUNCTION("""COMPUTED_VALUE"""),"2606A094")</f>
        <v>2606A094</v>
      </c>
      <c r="AD475" s="286">
        <f>IFERROR(__xludf.DUMMYFUNCTION("""COMPUTED_VALUE"""),46189.0)</f>
        <v>46189</v>
      </c>
      <c r="AE475" s="285" t="str">
        <f>IFERROR(__xludf.DUMMYFUNCTION("""COMPUTED_VALUE"""),"Adi")</f>
        <v>Adi</v>
      </c>
      <c r="AF475" s="285" t="str">
        <f>IFERROR(__xludf.DUMMYFUNCTION("""COMPUTED_VALUE"""),"082164033322")</f>
        <v>082164033322</v>
      </c>
      <c r="AG475" s="285" t="str">
        <f>IFERROR(__xludf.DUMMYFUNCTION("""COMPUTED_VALUE"""),"Gagal")</f>
        <v>Gagal</v>
      </c>
      <c r="AH475" s="285"/>
      <c r="AI475" s="287"/>
      <c r="AJ475" s="285"/>
      <c r="AK475" s="289"/>
      <c r="AL475" s="285"/>
    </row>
    <row r="476"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320"/>
      <c r="R476" s="285"/>
      <c r="S476" s="285"/>
      <c r="T476" s="285"/>
      <c r="U476" s="285"/>
      <c r="V476" s="285"/>
      <c r="W476" s="285"/>
      <c r="X476" s="285"/>
      <c r="Y476" s="285"/>
      <c r="Z476" s="285"/>
      <c r="AA476" s="285"/>
      <c r="AC476" s="285" t="str">
        <f>IFERROR(__xludf.DUMMYFUNCTION("""COMPUTED_VALUE"""),"2606A095")</f>
        <v>2606A095</v>
      </c>
      <c r="AD476" s="286">
        <f>IFERROR(__xludf.DUMMYFUNCTION("""COMPUTED_VALUE"""),46189.0)</f>
        <v>46189</v>
      </c>
      <c r="AE476" s="285" t="str">
        <f>IFERROR(__xludf.DUMMYFUNCTION("""COMPUTED_VALUE"""),"Azwar Mahruz")</f>
        <v>Azwar Mahruz</v>
      </c>
      <c r="AF476" s="285" t="str">
        <f>IFERROR(__xludf.DUMMYFUNCTION("""COMPUTED_VALUE"""),"081228290766")</f>
        <v>081228290766</v>
      </c>
      <c r="AG476" s="285" t="str">
        <f>IFERROR(__xludf.DUMMYFUNCTION("""COMPUTED_VALUE"""),"Gagal")</f>
        <v>Gagal</v>
      </c>
      <c r="AH476" s="285"/>
      <c r="AI476" s="287"/>
      <c r="AJ476" s="285"/>
      <c r="AK476" s="289"/>
      <c r="AL476" s="285"/>
    </row>
    <row r="477"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320"/>
      <c r="R477" s="285"/>
      <c r="S477" s="285"/>
      <c r="T477" s="285"/>
      <c r="U477" s="285"/>
      <c r="V477" s="285"/>
      <c r="W477" s="285"/>
      <c r="X477" s="285"/>
      <c r="Y477" s="285"/>
      <c r="Z477" s="285"/>
      <c r="AA477" s="285"/>
      <c r="AC477" s="285" t="str">
        <f>IFERROR(__xludf.DUMMYFUNCTION("""COMPUTED_VALUE"""),"2606A097")</f>
        <v>2606A097</v>
      </c>
      <c r="AD477" s="286">
        <f>IFERROR(__xludf.DUMMYFUNCTION("""COMPUTED_VALUE"""),46190.0)</f>
        <v>46190</v>
      </c>
      <c r="AE477" s="285" t="str">
        <f>IFERROR(__xludf.DUMMYFUNCTION("""COMPUTED_VALUE"""),"Ms Iren")</f>
        <v>Ms Iren</v>
      </c>
      <c r="AF477" s="285" t="str">
        <f>IFERROR(__xludf.DUMMYFUNCTION("""COMPUTED_VALUE"""),"085651169669")</f>
        <v>085651169669</v>
      </c>
      <c r="AG477" s="285" t="str">
        <f>IFERROR(__xludf.DUMMYFUNCTION("""COMPUTED_VALUE"""),"Gagal")</f>
        <v>Gagal</v>
      </c>
      <c r="AH477" s="285"/>
      <c r="AI477" s="287"/>
      <c r="AJ477" s="285"/>
      <c r="AK477" s="289"/>
      <c r="AL477" s="285"/>
    </row>
    <row r="478"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320"/>
      <c r="R478" s="285"/>
      <c r="S478" s="285"/>
      <c r="T478" s="285"/>
      <c r="U478" s="285"/>
      <c r="V478" s="285"/>
      <c r="W478" s="285"/>
      <c r="X478" s="285"/>
      <c r="Y478" s="285"/>
      <c r="Z478" s="285"/>
      <c r="AA478" s="285"/>
      <c r="AC478" s="285" t="str">
        <f>IFERROR(__xludf.DUMMYFUNCTION("""COMPUTED_VALUE"""),"2606A098")</f>
        <v>2606A098</v>
      </c>
      <c r="AD478" s="286">
        <f>IFERROR(__xludf.DUMMYFUNCTION("""COMPUTED_VALUE"""),46190.0)</f>
        <v>46190</v>
      </c>
      <c r="AE478" s="285" t="str">
        <f>IFERROR(__xludf.DUMMYFUNCTION("""COMPUTED_VALUE"""),"Bila")</f>
        <v>Bila</v>
      </c>
      <c r="AF478" s="285" t="str">
        <f>IFERROR(__xludf.DUMMYFUNCTION("""COMPUTED_VALUE"""),"081909411920")</f>
        <v>081909411920</v>
      </c>
      <c r="AG478" s="285" t="str">
        <f>IFERROR(__xludf.DUMMYFUNCTION("""COMPUTED_VALUE"""),"Gagal")</f>
        <v>Gagal</v>
      </c>
      <c r="AH478" s="285" t="str">
        <f>IFERROR(__xludf.DUMMYFUNCTION("""COMPUTED_VALUE"""),"2h1m")</f>
        <v>2h1m</v>
      </c>
      <c r="AI478" s="287">
        <f>IFERROR(__xludf.DUMMYFUNCTION("""COMPUTED_VALUE"""),46215.0)</f>
        <v>46215</v>
      </c>
      <c r="AJ478" s="285"/>
      <c r="AK478" s="289">
        <f>IFERROR(__xludf.DUMMYFUNCTION("""COMPUTED_VALUE"""),2388000.0)</f>
        <v>2388000</v>
      </c>
      <c r="AL478" s="285" t="str">
        <f>IFERROR(__xludf.DUMMYFUNCTION("""COMPUTED_VALUE"""),"fu 1 juli")</f>
        <v>fu 1 juli</v>
      </c>
    </row>
    <row r="479"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320"/>
      <c r="R479" s="285"/>
      <c r="S479" s="285"/>
      <c r="T479" s="285"/>
      <c r="U479" s="285"/>
      <c r="V479" s="285"/>
      <c r="W479" s="285"/>
      <c r="X479" s="285"/>
      <c r="Y479" s="285"/>
      <c r="Z479" s="285"/>
      <c r="AA479" s="285"/>
      <c r="AC479" s="285" t="str">
        <f>IFERROR(__xludf.DUMMYFUNCTION("""COMPUTED_VALUE"""),"2606A099")</f>
        <v>2606A099</v>
      </c>
      <c r="AD479" s="286">
        <f>IFERROR(__xludf.DUMMYFUNCTION("""COMPUTED_VALUE"""),46190.0)</f>
        <v>46190</v>
      </c>
      <c r="AE479" s="285" t="str">
        <f>IFERROR(__xludf.DUMMYFUNCTION("""COMPUTED_VALUE"""),"Dhea Putri")</f>
        <v>Dhea Putri</v>
      </c>
      <c r="AF479" s="285" t="str">
        <f>IFERROR(__xludf.DUMMYFUNCTION("""COMPUTED_VALUE"""),"082340594270")</f>
        <v>082340594270</v>
      </c>
      <c r="AG479" s="285" t="str">
        <f>IFERROR(__xludf.DUMMYFUNCTION("""COMPUTED_VALUE"""),"Gagal")</f>
        <v>Gagal</v>
      </c>
      <c r="AH479" s="285"/>
      <c r="AI479" s="287"/>
      <c r="AJ479" s="285"/>
      <c r="AK479" s="289"/>
      <c r="AL479" s="285"/>
    </row>
    <row r="480"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320"/>
      <c r="R480" s="285"/>
      <c r="S480" s="285"/>
      <c r="T480" s="285"/>
      <c r="U480" s="285"/>
      <c r="V480" s="285"/>
      <c r="W480" s="285"/>
      <c r="X480" s="285"/>
      <c r="Y480" s="285"/>
      <c r="Z480" s="285"/>
      <c r="AA480" s="285"/>
      <c r="AC480" s="285" t="str">
        <f>IFERROR(__xludf.DUMMYFUNCTION("""COMPUTED_VALUE"""),"2606A101")</f>
        <v>2606A101</v>
      </c>
      <c r="AD480" s="286">
        <f>IFERROR(__xludf.DUMMYFUNCTION("""COMPUTED_VALUE"""),46190.0)</f>
        <v>46190</v>
      </c>
      <c r="AE480" s="285" t="str">
        <f>IFERROR(__xludf.DUMMYFUNCTION("""COMPUTED_VALUE"""),"Laila")</f>
        <v>Laila</v>
      </c>
      <c r="AF480" s="285" t="str">
        <f>IFERROR(__xludf.DUMMYFUNCTION("""COMPUTED_VALUE"""),"082335617345")</f>
        <v>082335617345</v>
      </c>
      <c r="AG480" s="285" t="str">
        <f>IFERROR(__xludf.DUMMYFUNCTION("""COMPUTED_VALUE"""),"Gagal")</f>
        <v>Gagal</v>
      </c>
      <c r="AH480" s="285"/>
      <c r="AI480" s="287"/>
      <c r="AJ480" s="285"/>
      <c r="AK480" s="289"/>
      <c r="AL480" s="285"/>
    </row>
    <row r="481"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320"/>
      <c r="R481" s="285"/>
      <c r="S481" s="285"/>
      <c r="T481" s="285"/>
      <c r="U481" s="285"/>
      <c r="V481" s="285"/>
      <c r="W481" s="285"/>
      <c r="X481" s="285"/>
      <c r="Y481" s="285"/>
      <c r="Z481" s="285"/>
      <c r="AA481" s="285"/>
      <c r="AC481" s="285" t="str">
        <f>IFERROR(__xludf.DUMMYFUNCTION("""COMPUTED_VALUE"""),"2606A102")</f>
        <v>2606A102</v>
      </c>
      <c r="AD481" s="286">
        <f>IFERROR(__xludf.DUMMYFUNCTION("""COMPUTED_VALUE"""),46191.0)</f>
        <v>46191</v>
      </c>
      <c r="AE481" s="285" t="str">
        <f>IFERROR(__xludf.DUMMYFUNCTION("""COMPUTED_VALUE"""),"Mustika")</f>
        <v>Mustika</v>
      </c>
      <c r="AF481" s="285" t="str">
        <f>IFERROR(__xludf.DUMMYFUNCTION("""COMPUTED_VALUE"""),"081218888987")</f>
        <v>081218888987</v>
      </c>
      <c r="AG481" s="285" t="str">
        <f>IFERROR(__xludf.DUMMYFUNCTION("""COMPUTED_VALUE"""),"Gagal")</f>
        <v>Gagal</v>
      </c>
      <c r="AH481" s="285" t="str">
        <f>IFERROR(__xludf.DUMMYFUNCTION("""COMPUTED_VALUE"""),"trip jeep")</f>
        <v>trip jeep</v>
      </c>
      <c r="AI481" s="287">
        <f>IFERROR(__xludf.DUMMYFUNCTION("""COMPUTED_VALUE"""),46191.0)</f>
        <v>46191</v>
      </c>
      <c r="AJ481" s="285"/>
      <c r="AK481" s="289"/>
      <c r="AL481" s="285" t="str">
        <f>IFERROR(__xludf.DUMMYFUNCTION("""COMPUTED_VALUE"""),"gada kelanjutan jawaban")</f>
        <v>gada kelanjutan jawaban</v>
      </c>
    </row>
    <row r="482"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320"/>
      <c r="R482" s="285"/>
      <c r="S482" s="285"/>
      <c r="T482" s="285"/>
      <c r="U482" s="285"/>
      <c r="V482" s="285"/>
      <c r="W482" s="285"/>
      <c r="X482" s="285"/>
      <c r="Y482" s="285"/>
      <c r="Z482" s="285"/>
      <c r="AA482" s="285"/>
      <c r="AC482" s="285" t="str">
        <f>IFERROR(__xludf.DUMMYFUNCTION("""COMPUTED_VALUE"""),"2606A103")</f>
        <v>2606A103</v>
      </c>
      <c r="AD482" s="286">
        <f>IFERROR(__xludf.DUMMYFUNCTION("""COMPUTED_VALUE"""),46191.0)</f>
        <v>46191</v>
      </c>
      <c r="AE482" s="285" t="str">
        <f>IFERROR(__xludf.DUMMYFUNCTION("""COMPUTED_VALUE"""),"Mila")</f>
        <v>Mila</v>
      </c>
      <c r="AF482" s="285" t="str">
        <f>IFERROR(__xludf.DUMMYFUNCTION("""COMPUTED_VALUE"""),"087796840618")</f>
        <v>087796840618</v>
      </c>
      <c r="AG482" s="285" t="str">
        <f>IFERROR(__xludf.DUMMYFUNCTION("""COMPUTED_VALUE"""),"Gagal")</f>
        <v>Gagal</v>
      </c>
      <c r="AH482" s="285" t="str">
        <f>IFERROR(__xludf.DUMMYFUNCTION("""COMPUTED_VALUE"""),"terakota djawatan")</f>
        <v>terakota djawatan</v>
      </c>
      <c r="AI482" s="287">
        <f>IFERROR(__xludf.DUMMYFUNCTION("""COMPUTED_VALUE"""),46191.0)</f>
        <v>46191</v>
      </c>
      <c r="AJ482" s="285">
        <f>IFERROR(__xludf.DUMMYFUNCTION("""COMPUTED_VALUE"""),2.0)</f>
        <v>2</v>
      </c>
      <c r="AK482" s="289">
        <f>IFERROR(__xludf.DUMMYFUNCTION("""COMPUTED_VALUE"""),1700000.0)</f>
        <v>1700000</v>
      </c>
      <c r="AL482" s="285" t="str">
        <f>IFERROR(__xludf.DUMMYFUNCTION("""COMPUTED_VALUE"""),"gada kelanjutan jawaban")</f>
        <v>gada kelanjutan jawaban</v>
      </c>
    </row>
    <row r="483"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320"/>
      <c r="R483" s="285"/>
      <c r="S483" s="285"/>
      <c r="T483" s="285"/>
      <c r="U483" s="285"/>
      <c r="V483" s="285"/>
      <c r="W483" s="285"/>
      <c r="X483" s="285"/>
      <c r="Y483" s="285"/>
      <c r="Z483" s="285"/>
      <c r="AA483" s="285"/>
      <c r="AC483" s="285" t="str">
        <f>IFERROR(__xludf.DUMMYFUNCTION("""COMPUTED_VALUE"""),"2606A104")</f>
        <v>2606A104</v>
      </c>
      <c r="AD483" s="286">
        <f>IFERROR(__xludf.DUMMYFUNCTION("""COMPUTED_VALUE"""),46191.0)</f>
        <v>46191</v>
      </c>
      <c r="AE483" s="285" t="str">
        <f>IFERROR(__xludf.DUMMYFUNCTION("""COMPUTED_VALUE"""),"Ibu Nia")</f>
        <v>Ibu Nia</v>
      </c>
      <c r="AF483" s="285" t="str">
        <f>IFERROR(__xludf.DUMMYFUNCTION("""COMPUTED_VALUE"""),"89685150775")</f>
        <v>89685150775</v>
      </c>
      <c r="AG483" s="285" t="str">
        <f>IFERROR(__xludf.DUMMYFUNCTION("""COMPUTED_VALUE"""),"Gagal")</f>
        <v>Gagal</v>
      </c>
      <c r="AH483" s="285" t="str">
        <f>IFERROR(__xludf.DUMMYFUNCTION("""COMPUTED_VALUE"""),"3h2m")</f>
        <v>3h2m</v>
      </c>
      <c r="AI483" s="287"/>
      <c r="AJ483" s="285">
        <f>IFERROR(__xludf.DUMMYFUNCTION("""COMPUTED_VALUE"""),10.0)</f>
        <v>10</v>
      </c>
      <c r="AK483" s="289"/>
      <c r="AL483" s="285" t="str">
        <f>IFERROR(__xludf.DUMMYFUNCTION("""COMPUTED_VALUE"""),"ga jadi")</f>
        <v>ga jadi</v>
      </c>
    </row>
    <row r="484"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320"/>
      <c r="R484" s="285"/>
      <c r="S484" s="285"/>
      <c r="T484" s="285"/>
      <c r="U484" s="285"/>
      <c r="V484" s="285"/>
      <c r="W484" s="285"/>
      <c r="X484" s="285"/>
      <c r="Y484" s="285"/>
      <c r="Z484" s="285"/>
      <c r="AA484" s="285"/>
      <c r="AC484" s="285" t="str">
        <f>IFERROR(__xludf.DUMMYFUNCTION("""COMPUTED_VALUE"""),"2606A105")</f>
        <v>2606A105</v>
      </c>
      <c r="AD484" s="286">
        <f>IFERROR(__xludf.DUMMYFUNCTION("""COMPUTED_VALUE"""),46191.0)</f>
        <v>46191</v>
      </c>
      <c r="AE484" s="285" t="str">
        <f>IFERROR(__xludf.DUMMYFUNCTION("""COMPUTED_VALUE"""),"Marta Adriana")</f>
        <v>Marta Adriana</v>
      </c>
      <c r="AF484" s="285" t="str">
        <f>IFERROR(__xludf.DUMMYFUNCTION("""COMPUTED_VALUE"""),"81332739083")</f>
        <v>81332739083</v>
      </c>
      <c r="AG484" s="285" t="str">
        <f>IFERROR(__xludf.DUMMYFUNCTION("""COMPUTED_VALUE"""),"Gagal")</f>
        <v>Gagal</v>
      </c>
      <c r="AH484" s="285" t="str">
        <f>IFERROR(__xludf.DUMMYFUNCTION("""COMPUTED_VALUE"""),"4h3m")</f>
        <v>4h3m</v>
      </c>
      <c r="AI484" s="287"/>
      <c r="AJ484" s="285">
        <f>IFERROR(__xludf.DUMMYFUNCTION("""COMPUTED_VALUE"""),4.0)</f>
        <v>4</v>
      </c>
      <c r="AK484" s="289"/>
      <c r="AL484" s="285"/>
    </row>
    <row r="485"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320"/>
      <c r="R485" s="285"/>
      <c r="S485" s="285"/>
      <c r="T485" s="285"/>
      <c r="U485" s="285"/>
      <c r="V485" s="285"/>
      <c r="W485" s="285"/>
      <c r="X485" s="285"/>
      <c r="Y485" s="285"/>
      <c r="Z485" s="285"/>
      <c r="AA485" s="285"/>
      <c r="AC485" s="285" t="str">
        <f>IFERROR(__xludf.DUMMYFUNCTION("""COMPUTED_VALUE"""),"2606A107")</f>
        <v>2606A107</v>
      </c>
      <c r="AD485" s="286">
        <f>IFERROR(__xludf.DUMMYFUNCTION("""COMPUTED_VALUE"""),46191.0)</f>
        <v>46191</v>
      </c>
      <c r="AE485" s="285" t="str">
        <f>IFERROR(__xludf.DUMMYFUNCTION("""COMPUTED_VALUE"""),"Yuni Ayundian")</f>
        <v>Yuni Ayundian</v>
      </c>
      <c r="AF485" s="285" t="str">
        <f>IFERROR(__xludf.DUMMYFUNCTION("""COMPUTED_VALUE"""),"081381340494")</f>
        <v>081381340494</v>
      </c>
      <c r="AG485" s="285" t="str">
        <f>IFERROR(__xludf.DUMMYFUNCTION("""COMPUTED_VALUE"""),"Gagal")</f>
        <v>Gagal</v>
      </c>
      <c r="AH485" s="285"/>
      <c r="AI485" s="287"/>
      <c r="AJ485" s="285"/>
      <c r="AK485" s="289"/>
      <c r="AL485" s="285"/>
    </row>
    <row r="486"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320"/>
      <c r="R486" s="285"/>
      <c r="S486" s="285"/>
      <c r="T486" s="285"/>
      <c r="U486" s="285"/>
      <c r="V486" s="285"/>
      <c r="W486" s="285"/>
      <c r="X486" s="285"/>
      <c r="Y486" s="285"/>
      <c r="Z486" s="285"/>
      <c r="AA486" s="285"/>
      <c r="AC486" s="285" t="str">
        <f>IFERROR(__xludf.DUMMYFUNCTION("""COMPUTED_VALUE"""),"2606A108")</f>
        <v>2606A108</v>
      </c>
      <c r="AD486" s="286">
        <f>IFERROR(__xludf.DUMMYFUNCTION("""COMPUTED_VALUE"""),46191.0)</f>
        <v>46191</v>
      </c>
      <c r="AE486" s="285" t="str">
        <f>IFERROR(__xludf.DUMMYFUNCTION("""COMPUTED_VALUE"""),"Nisa")</f>
        <v>Nisa</v>
      </c>
      <c r="AF486" s="285" t="str">
        <f>IFERROR(__xludf.DUMMYFUNCTION("""COMPUTED_VALUE"""),"085939478038")</f>
        <v>085939478038</v>
      </c>
      <c r="AG486" s="285" t="str">
        <f>IFERROR(__xludf.DUMMYFUNCTION("""COMPUTED_VALUE"""),"Gagal")</f>
        <v>Gagal</v>
      </c>
      <c r="AH486" s="285"/>
      <c r="AI486" s="287"/>
      <c r="AJ486" s="285"/>
      <c r="AK486" s="289"/>
      <c r="AL486" s="285"/>
    </row>
    <row r="487"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320"/>
      <c r="R487" s="285"/>
      <c r="S487" s="285"/>
      <c r="T487" s="285"/>
      <c r="U487" s="285"/>
      <c r="V487" s="285"/>
      <c r="W487" s="285"/>
      <c r="X487" s="285"/>
      <c r="Y487" s="285"/>
      <c r="Z487" s="285"/>
      <c r="AA487" s="285"/>
      <c r="AC487" s="285" t="str">
        <f>IFERROR(__xludf.DUMMYFUNCTION("""COMPUTED_VALUE"""),"2606A110")</f>
        <v>2606A110</v>
      </c>
      <c r="AD487" s="286">
        <f>IFERROR(__xludf.DUMMYFUNCTION("""COMPUTED_VALUE"""),46192.0)</f>
        <v>46192</v>
      </c>
      <c r="AE487" s="285" t="str">
        <f>IFERROR(__xludf.DUMMYFUNCTION("""COMPUTED_VALUE"""),"Ben")</f>
        <v>Ben</v>
      </c>
      <c r="AF487" s="285" t="str">
        <f>IFERROR(__xludf.DUMMYFUNCTION("""COMPUTED_VALUE"""),"087890161405")</f>
        <v>087890161405</v>
      </c>
      <c r="AG487" s="285" t="str">
        <f>IFERROR(__xludf.DUMMYFUNCTION("""COMPUTED_VALUE"""),"Gagal")</f>
        <v>Gagal</v>
      </c>
      <c r="AH487" s="285"/>
      <c r="AI487" s="287"/>
      <c r="AJ487" s="285"/>
      <c r="AK487" s="289"/>
      <c r="AL487" s="285"/>
    </row>
    <row r="488"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320"/>
      <c r="R488" s="285"/>
      <c r="S488" s="285"/>
      <c r="T488" s="285"/>
      <c r="U488" s="285"/>
      <c r="V488" s="285"/>
      <c r="W488" s="285"/>
      <c r="X488" s="285"/>
      <c r="Y488" s="285"/>
      <c r="Z488" s="285"/>
      <c r="AA488" s="285"/>
      <c r="AC488" s="285" t="str">
        <f>IFERROR(__xludf.DUMMYFUNCTION("""COMPUTED_VALUE"""),"2606A111")</f>
        <v>2606A111</v>
      </c>
      <c r="AD488" s="286">
        <f>IFERROR(__xludf.DUMMYFUNCTION("""COMPUTED_VALUE"""),46192.0)</f>
        <v>46192</v>
      </c>
      <c r="AE488" s="285" t="str">
        <f>IFERROR(__xludf.DUMMYFUNCTION("""COMPUTED_VALUE"""),"Michelle")</f>
        <v>Michelle</v>
      </c>
      <c r="AF488" s="285" t="str">
        <f>IFERROR(__xludf.DUMMYFUNCTION("""COMPUTED_VALUE"""),"085101408599")</f>
        <v>085101408599</v>
      </c>
      <c r="AG488" s="285" t="str">
        <f>IFERROR(__xludf.DUMMYFUNCTION("""COMPUTED_VALUE"""),"Gagal")</f>
        <v>Gagal</v>
      </c>
      <c r="AH488" s="285"/>
      <c r="AI488" s="287"/>
      <c r="AJ488" s="285"/>
      <c r="AK488" s="289"/>
      <c r="AL488" s="285"/>
    </row>
    <row r="489"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320"/>
      <c r="R489" s="285"/>
      <c r="S489" s="285"/>
      <c r="T489" s="285"/>
      <c r="U489" s="285"/>
      <c r="V489" s="285"/>
      <c r="W489" s="285"/>
      <c r="X489" s="285"/>
      <c r="Y489" s="285"/>
      <c r="Z489" s="285"/>
      <c r="AA489" s="285"/>
      <c r="AC489" s="285" t="str">
        <f>IFERROR(__xludf.DUMMYFUNCTION("""COMPUTED_VALUE"""),"2606A112")</f>
        <v>2606A112</v>
      </c>
      <c r="AD489" s="286">
        <f>IFERROR(__xludf.DUMMYFUNCTION("""COMPUTED_VALUE"""),46192.0)</f>
        <v>46192</v>
      </c>
      <c r="AE489" s="285" t="str">
        <f>IFERROR(__xludf.DUMMYFUNCTION("""COMPUTED_VALUE"""),"Erlina")</f>
        <v>Erlina</v>
      </c>
      <c r="AF489" s="285" t="str">
        <f>IFERROR(__xludf.DUMMYFUNCTION("""COMPUTED_VALUE"""),"0882007396294")</f>
        <v>0882007396294</v>
      </c>
      <c r="AG489" s="285" t="str">
        <f>IFERROR(__xludf.DUMMYFUNCTION("""COMPUTED_VALUE"""),"Gagal")</f>
        <v>Gagal</v>
      </c>
      <c r="AH489" s="285"/>
      <c r="AI489" s="287"/>
      <c r="AJ489" s="285"/>
      <c r="AK489" s="289"/>
      <c r="AL489" s="285"/>
    </row>
    <row r="490"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320"/>
      <c r="R490" s="285"/>
      <c r="S490" s="285"/>
      <c r="T490" s="285"/>
      <c r="U490" s="285"/>
      <c r="V490" s="285"/>
      <c r="W490" s="285"/>
      <c r="X490" s="285"/>
      <c r="Y490" s="285"/>
      <c r="Z490" s="285"/>
      <c r="AA490" s="285"/>
      <c r="AC490" s="285" t="str">
        <f>IFERROR(__xludf.DUMMYFUNCTION("""COMPUTED_VALUE"""),"2606A113")</f>
        <v>2606A113</v>
      </c>
      <c r="AD490" s="286">
        <f>IFERROR(__xludf.DUMMYFUNCTION("""COMPUTED_VALUE"""),46192.0)</f>
        <v>46192</v>
      </c>
      <c r="AE490" s="285" t="str">
        <f>IFERROR(__xludf.DUMMYFUNCTION("""COMPUTED_VALUE"""),"aisah")</f>
        <v>aisah</v>
      </c>
      <c r="AF490" s="285" t="str">
        <f>IFERROR(__xludf.DUMMYFUNCTION("""COMPUTED_VALUE"""),"0881026701834")</f>
        <v>0881026701834</v>
      </c>
      <c r="AG490" s="285" t="str">
        <f>IFERROR(__xludf.DUMMYFUNCTION("""COMPUTED_VALUE"""),"Gagal")</f>
        <v>Gagal</v>
      </c>
      <c r="AH490" s="285" t="str">
        <f>IFERROR(__xludf.DUMMYFUNCTION("""COMPUTED_VALUE"""),"3h2m z")</f>
        <v>3h2m z</v>
      </c>
      <c r="AI490" s="287"/>
      <c r="AJ490" s="285">
        <f>IFERROR(__xludf.DUMMYFUNCTION("""COMPUTED_VALUE"""),24.0)</f>
        <v>24</v>
      </c>
      <c r="AK490" s="289"/>
      <c r="AL490" s="285"/>
    </row>
    <row r="491"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320"/>
      <c r="R491" s="285"/>
      <c r="S491" s="285"/>
      <c r="T491" s="285"/>
      <c r="U491" s="285"/>
      <c r="V491" s="285"/>
      <c r="W491" s="285"/>
      <c r="X491" s="285"/>
      <c r="Y491" s="285"/>
      <c r="Z491" s="285"/>
      <c r="AA491" s="285"/>
      <c r="AC491" s="285" t="str">
        <f>IFERROR(__xludf.DUMMYFUNCTION("""COMPUTED_VALUE"""),"2606A114")</f>
        <v>2606A114</v>
      </c>
      <c r="AD491" s="286">
        <f>IFERROR(__xludf.DUMMYFUNCTION("""COMPUTED_VALUE"""),46192.0)</f>
        <v>46192</v>
      </c>
      <c r="AE491" s="285" t="str">
        <f>IFERROR(__xludf.DUMMYFUNCTION("""COMPUTED_VALUE"""),"Princes feby")</f>
        <v>Princes feby</v>
      </c>
      <c r="AF491" s="285" t="str">
        <f>IFERROR(__xludf.DUMMYFUNCTION("""COMPUTED_VALUE"""),"0882009610223")</f>
        <v>0882009610223</v>
      </c>
      <c r="AG491" s="285" t="str">
        <f>IFERROR(__xludf.DUMMYFUNCTION("""COMPUTED_VALUE"""),"Gagal")</f>
        <v>Gagal</v>
      </c>
      <c r="AH491" s="285" t="str">
        <f>IFERROR(__xludf.DUMMYFUNCTION("""COMPUTED_VALUE"""),"OTMT")</f>
        <v>OTMT</v>
      </c>
      <c r="AI491" s="287"/>
      <c r="AJ491" s="285">
        <f>IFERROR(__xludf.DUMMYFUNCTION("""COMPUTED_VALUE"""),2.0)</f>
        <v>2</v>
      </c>
      <c r="AK491" s="289"/>
      <c r="AL491" s="285"/>
    </row>
    <row r="492"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320"/>
      <c r="R492" s="285"/>
      <c r="S492" s="285"/>
      <c r="T492" s="285"/>
      <c r="U492" s="285"/>
      <c r="V492" s="285"/>
      <c r="W492" s="285"/>
      <c r="X492" s="285"/>
      <c r="Y492" s="285"/>
      <c r="Z492" s="285"/>
      <c r="AA492" s="285"/>
      <c r="AC492" s="285" t="str">
        <f>IFERROR(__xludf.DUMMYFUNCTION("""COMPUTED_VALUE"""),"2606A115")</f>
        <v>2606A115</v>
      </c>
      <c r="AD492" s="286">
        <f>IFERROR(__xludf.DUMMYFUNCTION("""COMPUTED_VALUE"""),46192.0)</f>
        <v>46192</v>
      </c>
      <c r="AE492" s="285" t="str">
        <f>IFERROR(__xludf.DUMMYFUNCTION("""COMPUTED_VALUE"""),"Yeni")</f>
        <v>Yeni</v>
      </c>
      <c r="AF492" s="285" t="str">
        <f>IFERROR(__xludf.DUMMYFUNCTION("""COMPUTED_VALUE"""),"082214220424")</f>
        <v>082214220424</v>
      </c>
      <c r="AG492" s="285" t="str">
        <f>IFERROR(__xludf.DUMMYFUNCTION("""COMPUTED_VALUE"""),"Gagal")</f>
        <v>Gagal</v>
      </c>
      <c r="AH492" s="285" t="str">
        <f>IFERROR(__xludf.DUMMYFUNCTION("""COMPUTED_VALUE"""),"3H2M A + GI")</f>
        <v>3H2M A + GI</v>
      </c>
      <c r="AI492" s="287"/>
      <c r="AJ492" s="285">
        <f>IFERROR(__xludf.DUMMYFUNCTION("""COMPUTED_VALUE"""),6.0)</f>
        <v>6</v>
      </c>
      <c r="AK492" s="289"/>
      <c r="AL492" s="285" t="str">
        <f>IFERROR(__xludf.DUMMYFUNCTION("""COMPUTED_VALUE"""),"teman bu nia")</f>
        <v>teman bu nia</v>
      </c>
    </row>
    <row r="493"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320"/>
      <c r="R493" s="285"/>
      <c r="S493" s="285"/>
      <c r="T493" s="285"/>
      <c r="U493" s="285"/>
      <c r="V493" s="285"/>
      <c r="W493" s="285"/>
      <c r="X493" s="285"/>
      <c r="Y493" s="285"/>
      <c r="Z493" s="285"/>
      <c r="AA493" s="285"/>
      <c r="AC493" s="285" t="str">
        <f>IFERROR(__xludf.DUMMYFUNCTION("""COMPUTED_VALUE"""),"2606A116")</f>
        <v>2606A116</v>
      </c>
      <c r="AD493" s="286">
        <f>IFERROR(__xludf.DUMMYFUNCTION("""COMPUTED_VALUE"""),46192.0)</f>
        <v>46192</v>
      </c>
      <c r="AE493" s="285" t="str">
        <f>IFERROR(__xludf.DUMMYFUNCTION("""COMPUTED_VALUE"""),"Ric")</f>
        <v>Ric</v>
      </c>
      <c r="AF493" s="285" t="str">
        <f>IFERROR(__xludf.DUMMYFUNCTION("""COMPUTED_VALUE"""),"081331530796")</f>
        <v>081331530796</v>
      </c>
      <c r="AG493" s="285" t="str">
        <f>IFERROR(__xludf.DUMMYFUNCTION("""COMPUTED_VALUE"""),"Gagal")</f>
        <v>Gagal</v>
      </c>
      <c r="AH493" s="285"/>
      <c r="AI493" s="287"/>
      <c r="AJ493" s="285"/>
      <c r="AK493" s="289"/>
      <c r="AL493" s="285"/>
    </row>
    <row r="494"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320"/>
      <c r="R494" s="285"/>
      <c r="S494" s="285"/>
      <c r="T494" s="285"/>
      <c r="U494" s="285"/>
      <c r="V494" s="285"/>
      <c r="W494" s="285"/>
      <c r="X494" s="285"/>
      <c r="Y494" s="285"/>
      <c r="Z494" s="285"/>
      <c r="AA494" s="285"/>
      <c r="AC494" s="285" t="str">
        <f>IFERROR(__xludf.DUMMYFUNCTION("""COMPUTED_VALUE"""),"2606A117")</f>
        <v>2606A117</v>
      </c>
      <c r="AD494" s="286">
        <f>IFERROR(__xludf.DUMMYFUNCTION("""COMPUTED_VALUE"""),46192.0)</f>
        <v>46192</v>
      </c>
      <c r="AE494" s="285" t="str">
        <f>IFERROR(__xludf.DUMMYFUNCTION("""COMPUTED_VALUE"""),"Dini")</f>
        <v>Dini</v>
      </c>
      <c r="AF494" s="285" t="str">
        <f>IFERROR(__xludf.DUMMYFUNCTION("""COMPUTED_VALUE"""),"081285314396")</f>
        <v>081285314396</v>
      </c>
      <c r="AG494" s="285" t="str">
        <f>IFERROR(__xludf.DUMMYFUNCTION("""COMPUTED_VALUE"""),"Gagal")</f>
        <v>Gagal</v>
      </c>
      <c r="AH494" s="285"/>
      <c r="AI494" s="287"/>
      <c r="AJ494" s="285">
        <f>IFERROR(__xludf.DUMMYFUNCTION("""COMPUTED_VALUE"""),3.0)</f>
        <v>3</v>
      </c>
      <c r="AK494" s="289"/>
      <c r="AL494" s="285"/>
    </row>
    <row r="495"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320"/>
      <c r="R495" s="285"/>
      <c r="S495" s="285"/>
      <c r="T495" s="285"/>
      <c r="U495" s="285"/>
      <c r="V495" s="285"/>
      <c r="W495" s="285"/>
      <c r="X495" s="285"/>
      <c r="Y495" s="285"/>
      <c r="Z495" s="285"/>
      <c r="AA495" s="285"/>
      <c r="AC495" s="285" t="str">
        <f>IFERROR(__xludf.DUMMYFUNCTION("""COMPUTED_VALUE"""),"2606A118")</f>
        <v>2606A118</v>
      </c>
      <c r="AD495" s="286">
        <f>IFERROR(__xludf.DUMMYFUNCTION("""COMPUTED_VALUE"""),46192.0)</f>
        <v>46192</v>
      </c>
      <c r="AE495" s="285" t="str">
        <f>IFERROR(__xludf.DUMMYFUNCTION("""COMPUTED_VALUE"""),"Anggi")</f>
        <v>Anggi</v>
      </c>
      <c r="AF495" s="285" t="str">
        <f>IFERROR(__xludf.DUMMYFUNCTION("""COMPUTED_VALUE"""),"081252511682")</f>
        <v>081252511682</v>
      </c>
      <c r="AG495" s="285" t="str">
        <f>IFERROR(__xludf.DUMMYFUNCTION("""COMPUTED_VALUE"""),"Gagal")</f>
        <v>Gagal</v>
      </c>
      <c r="AH495" s="285" t="str">
        <f>IFERROR(__xludf.DUMMYFUNCTION("""COMPUTED_VALUE"""),"2H1M Z")</f>
        <v>2H1M Z</v>
      </c>
      <c r="AI495" s="287"/>
      <c r="AJ495" s="285">
        <f>IFERROR(__xludf.DUMMYFUNCTION("""COMPUTED_VALUE"""),3.0)</f>
        <v>3</v>
      </c>
      <c r="AK495" s="289"/>
      <c r="AL495" s="285"/>
    </row>
    <row r="496"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320"/>
      <c r="R496" s="285"/>
      <c r="S496" s="285"/>
      <c r="T496" s="285"/>
      <c r="U496" s="285"/>
      <c r="V496" s="285"/>
      <c r="W496" s="285"/>
      <c r="X496" s="285"/>
      <c r="Y496" s="285"/>
      <c r="Z496" s="285"/>
      <c r="AA496" s="285"/>
      <c r="AC496" s="285" t="str">
        <f>IFERROR(__xludf.DUMMYFUNCTION("""COMPUTED_VALUE"""),"2606A121")</f>
        <v>2606A121</v>
      </c>
      <c r="AD496" s="286">
        <f>IFERROR(__xludf.DUMMYFUNCTION("""COMPUTED_VALUE"""),46193.0)</f>
        <v>46193</v>
      </c>
      <c r="AE496" s="285" t="str">
        <f>IFERROR(__xludf.DUMMYFUNCTION("""COMPUTED_VALUE"""),"Putri")</f>
        <v>Putri</v>
      </c>
      <c r="AF496" s="285" t="str">
        <f>IFERROR(__xludf.DUMMYFUNCTION("""COMPUTED_VALUE"""),"08116665035")</f>
        <v>08116665035</v>
      </c>
      <c r="AG496" s="285" t="str">
        <f>IFERROR(__xludf.DUMMYFUNCTION("""COMPUTED_VALUE"""),"Gagal")</f>
        <v>Gagal</v>
      </c>
      <c r="AH496" s="285"/>
      <c r="AI496" s="287"/>
      <c r="AJ496" s="285"/>
      <c r="AK496" s="289"/>
      <c r="AL496" s="285"/>
    </row>
    <row r="497"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320"/>
      <c r="R497" s="337"/>
      <c r="S497" s="337"/>
      <c r="T497" s="337"/>
      <c r="U497" s="337"/>
      <c r="V497" s="337"/>
      <c r="W497" s="337"/>
      <c r="X497" s="337"/>
      <c r="Y497" s="337"/>
      <c r="Z497" s="337"/>
      <c r="AA497" s="337"/>
      <c r="AC497" s="337" t="str">
        <f>IFERROR(__xludf.DUMMYFUNCTION("""COMPUTED_VALUE"""),"2606A122")</f>
        <v>2606A122</v>
      </c>
      <c r="AD497" s="338">
        <f>IFERROR(__xludf.DUMMYFUNCTION("""COMPUTED_VALUE"""),46194.0)</f>
        <v>46194</v>
      </c>
      <c r="AE497" s="337" t="str">
        <f>IFERROR(__xludf.DUMMYFUNCTION("""COMPUTED_VALUE"""),"Ratih Dewi")</f>
        <v>Ratih Dewi</v>
      </c>
      <c r="AF497" s="337" t="str">
        <f>IFERROR(__xludf.DUMMYFUNCTION("""COMPUTED_VALUE"""),"081326522626")</f>
        <v>081326522626</v>
      </c>
      <c r="AG497" s="337" t="str">
        <f>IFERROR(__xludf.DUMMYFUNCTION("""COMPUTED_VALUE"""),"Gagal")</f>
        <v>Gagal</v>
      </c>
      <c r="AH497" s="337"/>
      <c r="AI497" s="339"/>
      <c r="AJ497" s="337"/>
      <c r="AK497" s="340"/>
      <c r="AL497" s="337"/>
    </row>
    <row r="498">
      <c r="P498" s="271"/>
      <c r="AC498" s="130" t="str">
        <f>IFERROR(__xludf.DUMMYFUNCTION("""COMPUTED_VALUE"""),"2606A125")</f>
        <v>2606A125</v>
      </c>
      <c r="AD498" s="341">
        <f>IFERROR(__xludf.DUMMYFUNCTION("""COMPUTED_VALUE"""),46194.0)</f>
        <v>46194</v>
      </c>
      <c r="AE498" s="130" t="str">
        <f>IFERROR(__xludf.DUMMYFUNCTION("""COMPUTED_VALUE"""),"Callista Dwi Adriani")</f>
        <v>Callista Dwi Adriani</v>
      </c>
      <c r="AF498" s="130" t="str">
        <f>IFERROR(__xludf.DUMMYFUNCTION("""COMPUTED_VALUE"""),"081281097690")</f>
        <v>081281097690</v>
      </c>
      <c r="AG498" s="130" t="str">
        <f>IFERROR(__xludf.DUMMYFUNCTION("""COMPUTED_VALUE"""),"Gagal")</f>
        <v>Gagal</v>
      </c>
      <c r="AH498" s="130"/>
      <c r="AI498" s="342"/>
      <c r="AJ498" s="130"/>
      <c r="AK498" s="343"/>
      <c r="AL498" s="130"/>
    </row>
    <row r="499">
      <c r="P499" s="271"/>
      <c r="AC499" s="130" t="str">
        <f>IFERROR(__xludf.DUMMYFUNCTION("""COMPUTED_VALUE"""),"2606A126")</f>
        <v>2606A126</v>
      </c>
      <c r="AD499" s="341">
        <f>IFERROR(__xludf.DUMMYFUNCTION("""COMPUTED_VALUE"""),46194.0)</f>
        <v>46194</v>
      </c>
      <c r="AE499" s="130" t="str">
        <f>IFERROR(__xludf.DUMMYFUNCTION("""COMPUTED_VALUE"""),"Yani S. Abdillah")</f>
        <v>Yani S. Abdillah</v>
      </c>
      <c r="AF499" s="130" t="str">
        <f>IFERROR(__xludf.DUMMYFUNCTION("""COMPUTED_VALUE"""),"08122020275")</f>
        <v>08122020275</v>
      </c>
      <c r="AG499" s="130" t="str">
        <f>IFERROR(__xludf.DUMMYFUNCTION("""COMPUTED_VALUE"""),"Gagal")</f>
        <v>Gagal</v>
      </c>
      <c r="AH499" s="130"/>
      <c r="AI499" s="342"/>
      <c r="AJ499" s="130"/>
      <c r="AK499" s="343"/>
      <c r="AL499" s="130"/>
    </row>
    <row r="500">
      <c r="P500" s="271"/>
      <c r="AC500" s="130" t="str">
        <f>IFERROR(__xludf.DUMMYFUNCTION("""COMPUTED_VALUE"""),"2606A129")</f>
        <v>2606A129</v>
      </c>
      <c r="AD500" s="341">
        <f>IFERROR(__xludf.DUMMYFUNCTION("""COMPUTED_VALUE"""),46194.0)</f>
        <v>46194</v>
      </c>
      <c r="AE500" s="130" t="str">
        <f>IFERROR(__xludf.DUMMYFUNCTION("""COMPUTED_VALUE"""),"Revy")</f>
        <v>Revy</v>
      </c>
      <c r="AF500" s="130" t="str">
        <f>IFERROR(__xludf.DUMMYFUNCTION("""COMPUTED_VALUE"""),"083134918749")</f>
        <v>083134918749</v>
      </c>
      <c r="AG500" s="130" t="str">
        <f>IFERROR(__xludf.DUMMYFUNCTION("""COMPUTED_VALUE"""),"Gagal")</f>
        <v>Gagal</v>
      </c>
      <c r="AH500" s="130"/>
      <c r="AI500" s="342"/>
      <c r="AJ500" s="130"/>
      <c r="AK500" s="343"/>
      <c r="AL500" s="130"/>
    </row>
    <row r="501">
      <c r="P501" s="271"/>
      <c r="AC501" s="130" t="str">
        <f>IFERROR(__xludf.DUMMYFUNCTION("""COMPUTED_VALUE"""),"2606A130")</f>
        <v>2606A130</v>
      </c>
      <c r="AD501" s="341">
        <f>IFERROR(__xludf.DUMMYFUNCTION("""COMPUTED_VALUE"""),46195.0)</f>
        <v>46195</v>
      </c>
      <c r="AE501" s="130" t="str">
        <f>IFERROR(__xludf.DUMMYFUNCTION("""COMPUTED_VALUE"""),"Abdul Rochman")</f>
        <v>Abdul Rochman</v>
      </c>
      <c r="AF501" s="130" t="str">
        <f>IFERROR(__xludf.DUMMYFUNCTION("""COMPUTED_VALUE"""),"087777171801")</f>
        <v>087777171801</v>
      </c>
      <c r="AG501" s="130" t="str">
        <f>IFERROR(__xludf.DUMMYFUNCTION("""COMPUTED_VALUE"""),"Gagal")</f>
        <v>Gagal</v>
      </c>
      <c r="AH501" s="130"/>
      <c r="AI501" s="342"/>
      <c r="AJ501" s="130"/>
      <c r="AK501" s="343"/>
      <c r="AL501" s="130"/>
    </row>
    <row r="502">
      <c r="P502" s="271"/>
      <c r="AC502" s="130" t="str">
        <f>IFERROR(__xludf.DUMMYFUNCTION("""COMPUTED_VALUE"""),"2606A131")</f>
        <v>2606A131</v>
      </c>
      <c r="AD502" s="341">
        <f>IFERROR(__xludf.DUMMYFUNCTION("""COMPUTED_VALUE"""),46195.0)</f>
        <v>46195</v>
      </c>
      <c r="AE502" s="130" t="str">
        <f>IFERROR(__xludf.DUMMYFUNCTION("""COMPUTED_VALUE"""),"Arvian Syach")</f>
        <v>Arvian Syach</v>
      </c>
      <c r="AF502" s="130" t="str">
        <f>IFERROR(__xludf.DUMMYFUNCTION("""COMPUTED_VALUE"""),"081333162462")</f>
        <v>081333162462</v>
      </c>
      <c r="AG502" s="130" t="str">
        <f>IFERROR(__xludf.DUMMYFUNCTION("""COMPUTED_VALUE"""),"Gagal")</f>
        <v>Gagal</v>
      </c>
      <c r="AH502" s="130" t="str">
        <f>IFERROR(__xludf.DUMMYFUNCTION("""COMPUTED_VALUE"""),"menjangan-tabuhan")</f>
        <v>menjangan-tabuhan</v>
      </c>
      <c r="AI502" s="342">
        <f>IFERROR(__xludf.DUMMYFUNCTION("""COMPUTED_VALUE"""),46207.0)</f>
        <v>46207</v>
      </c>
      <c r="AJ502" s="130">
        <f>IFERROR(__xludf.DUMMYFUNCTION("""COMPUTED_VALUE"""),13.0)</f>
        <v>13</v>
      </c>
      <c r="AK502" s="343"/>
      <c r="AL502" s="130"/>
    </row>
    <row r="503">
      <c r="P503" s="271"/>
      <c r="AC503" s="130" t="str">
        <f>IFERROR(__xludf.DUMMYFUNCTION("""COMPUTED_VALUE"""),"2606A132")</f>
        <v>2606A132</v>
      </c>
      <c r="AD503" s="341">
        <f>IFERROR(__xludf.DUMMYFUNCTION("""COMPUTED_VALUE"""),46195.0)</f>
        <v>46195</v>
      </c>
      <c r="AE503" s="130" t="str">
        <f>IFERROR(__xludf.DUMMYFUNCTION("""COMPUTED_VALUE"""),"Nida")</f>
        <v>Nida</v>
      </c>
      <c r="AF503" s="130" t="str">
        <f>IFERROR(__xludf.DUMMYFUNCTION("""COMPUTED_VALUE"""),"082391927294")</f>
        <v>082391927294</v>
      </c>
      <c r="AG503" s="130" t="str">
        <f>IFERROR(__xludf.DUMMYFUNCTION("""COMPUTED_VALUE"""),"Gagal")</f>
        <v>Gagal</v>
      </c>
      <c r="AH503" s="130"/>
      <c r="AI503" s="342"/>
      <c r="AJ503" s="130"/>
      <c r="AK503" s="343"/>
      <c r="AL503" s="130"/>
    </row>
    <row r="504">
      <c r="P504" s="271"/>
      <c r="AC504" s="130" t="str">
        <f>IFERROR(__xludf.DUMMYFUNCTION("""COMPUTED_VALUE"""),"2606A133")</f>
        <v>2606A133</v>
      </c>
      <c r="AD504" s="341">
        <f>IFERROR(__xludf.DUMMYFUNCTION("""COMPUTED_VALUE"""),46195.0)</f>
        <v>46195</v>
      </c>
      <c r="AE504" s="130" t="str">
        <f>IFERROR(__xludf.DUMMYFUNCTION("""COMPUTED_VALUE"""),"Nadhira")</f>
        <v>Nadhira</v>
      </c>
      <c r="AF504" s="130" t="str">
        <f>IFERROR(__xludf.DUMMYFUNCTION("""COMPUTED_VALUE"""),"081578131207")</f>
        <v>081578131207</v>
      </c>
      <c r="AG504" s="130" t="str">
        <f>IFERROR(__xludf.DUMMYFUNCTION("""COMPUTED_VALUE"""),"Gagal")</f>
        <v>Gagal</v>
      </c>
      <c r="AH504" s="130" t="str">
        <f>IFERROR(__xludf.DUMMYFUNCTION("""COMPUTED_VALUE"""),"ot menjangan tabuhan")</f>
        <v>ot menjangan tabuhan</v>
      </c>
      <c r="AI504" s="342">
        <f>IFERROR(__xludf.DUMMYFUNCTION("""COMPUTED_VALUE"""),46216.0)</f>
        <v>46216</v>
      </c>
      <c r="AJ504" s="130">
        <f>IFERROR(__xludf.DUMMYFUNCTION("""COMPUTED_VALUE"""),1.0)</f>
        <v>1</v>
      </c>
      <c r="AK504" s="343"/>
      <c r="AL504" s="130" t="str">
        <f>IFERROR(__xludf.DUMMYFUNCTION("""COMPUTED_VALUE"""),"gada kelanjutan")</f>
        <v>gada kelanjutan</v>
      </c>
    </row>
    <row r="505">
      <c r="P505" s="271"/>
      <c r="AC505" s="130" t="str">
        <f>IFERROR(__xludf.DUMMYFUNCTION("""COMPUTED_VALUE"""),"2606A136")</f>
        <v>2606A136</v>
      </c>
      <c r="AD505" s="341">
        <f>IFERROR(__xludf.DUMMYFUNCTION("""COMPUTED_VALUE"""),46195.0)</f>
        <v>46195</v>
      </c>
      <c r="AE505" s="130" t="str">
        <f>IFERROR(__xludf.DUMMYFUNCTION("""COMPUTED_VALUE"""),"Nurman Basuki")</f>
        <v>Nurman Basuki</v>
      </c>
      <c r="AF505" s="130" t="str">
        <f>IFERROR(__xludf.DUMMYFUNCTION("""COMPUTED_VALUE"""),"08111011070")</f>
        <v>08111011070</v>
      </c>
      <c r="AG505" s="130" t="str">
        <f>IFERROR(__xludf.DUMMYFUNCTION("""COMPUTED_VALUE"""),"Gagal")</f>
        <v>Gagal</v>
      </c>
      <c r="AH505" s="130" t="str">
        <f>IFERROR(__xludf.DUMMYFUNCTION("""COMPUTED_VALUE"""),"3h2m")</f>
        <v>3h2m</v>
      </c>
      <c r="AI505" s="342">
        <f>IFERROR(__xludf.DUMMYFUNCTION("""COMPUTED_VALUE"""),46205.0)</f>
        <v>46205</v>
      </c>
      <c r="AJ505" s="130">
        <f>IFERROR(__xludf.DUMMYFUNCTION("""COMPUTED_VALUE"""),2.0)</f>
        <v>2</v>
      </c>
      <c r="AK505" s="343"/>
      <c r="AL505" s="130"/>
    </row>
    <row r="506">
      <c r="P506" s="271"/>
      <c r="AC506" s="130" t="str">
        <f>IFERROR(__xludf.DUMMYFUNCTION("""COMPUTED_VALUE"""),"2606A137")</f>
        <v>2606A137</v>
      </c>
      <c r="AD506" s="341">
        <f>IFERROR(__xludf.DUMMYFUNCTION("""COMPUTED_VALUE"""),46196.0)</f>
        <v>46196</v>
      </c>
      <c r="AE506" s="130" t="str">
        <f>IFERROR(__xludf.DUMMYFUNCTION("""COMPUTED_VALUE"""),"Nilam Mughni")</f>
        <v>Nilam Mughni</v>
      </c>
      <c r="AF506" s="130" t="str">
        <f>IFERROR(__xludf.DUMMYFUNCTION("""COMPUTED_VALUE"""),"087737811823")</f>
        <v>087737811823</v>
      </c>
      <c r="AG506" s="130" t="str">
        <f>IFERROR(__xludf.DUMMYFUNCTION("""COMPUTED_VALUE"""),"Gagal")</f>
        <v>Gagal</v>
      </c>
      <c r="AH506" s="130"/>
      <c r="AI506" s="342"/>
      <c r="AJ506" s="130"/>
      <c r="AK506" s="343"/>
      <c r="AL506" s="130"/>
    </row>
    <row r="507">
      <c r="P507" s="271"/>
      <c r="AC507" s="130" t="str">
        <f>IFERROR(__xludf.DUMMYFUNCTION("""COMPUTED_VALUE"""),"2606A138")</f>
        <v>2606A138</v>
      </c>
      <c r="AD507" s="341">
        <f>IFERROR(__xludf.DUMMYFUNCTION("""COMPUTED_VALUE"""),46196.0)</f>
        <v>46196</v>
      </c>
      <c r="AE507" s="130" t="str">
        <f>IFERROR(__xludf.DUMMYFUNCTION("""COMPUTED_VALUE"""),"Rebimun")</f>
        <v>Rebimun</v>
      </c>
      <c r="AF507" s="130" t="str">
        <f>IFERROR(__xludf.DUMMYFUNCTION("""COMPUTED_VALUE"""),"081910652439")</f>
        <v>081910652439</v>
      </c>
      <c r="AG507" s="130" t="str">
        <f>IFERROR(__xludf.DUMMYFUNCTION("""COMPUTED_VALUE"""),"Gagal")</f>
        <v>Gagal</v>
      </c>
      <c r="AH507" s="130" t="str">
        <f>IFERROR(__xludf.DUMMYFUNCTION("""COMPUTED_VALUE"""),"Menjangan-Tabuhan")</f>
        <v>Menjangan-Tabuhan</v>
      </c>
      <c r="AI507" s="342">
        <f>IFERROR(__xludf.DUMMYFUNCTION("""COMPUTED_VALUE"""),46208.0)</f>
        <v>46208</v>
      </c>
      <c r="AJ507" s="130">
        <f>IFERROR(__xludf.DUMMYFUNCTION("""COMPUTED_VALUE"""),7.0)</f>
        <v>7</v>
      </c>
      <c r="AK507" s="343"/>
      <c r="AL507" s="130"/>
    </row>
    <row r="508">
      <c r="P508" s="271"/>
      <c r="AC508" s="130" t="str">
        <f>IFERROR(__xludf.DUMMYFUNCTION("""COMPUTED_VALUE"""),"2606A139")</f>
        <v>2606A139</v>
      </c>
      <c r="AD508" s="341">
        <f>IFERROR(__xludf.DUMMYFUNCTION("""COMPUTED_VALUE"""),46196.0)</f>
        <v>46196</v>
      </c>
      <c r="AE508" s="130" t="str">
        <f>IFERROR(__xludf.DUMMYFUNCTION("""COMPUTED_VALUE"""),"Aulia Irvana")</f>
        <v>Aulia Irvana</v>
      </c>
      <c r="AF508" s="130" t="str">
        <f>IFERROR(__xludf.DUMMYFUNCTION("""COMPUTED_VALUE"""),"0895357925773")</f>
        <v>0895357925773</v>
      </c>
      <c r="AG508" s="130" t="str">
        <f>IFERROR(__xludf.DUMMYFUNCTION("""COMPUTED_VALUE"""),"Gagal")</f>
        <v>Gagal</v>
      </c>
      <c r="AH508" s="130"/>
      <c r="AI508" s="342"/>
      <c r="AJ508" s="130"/>
      <c r="AK508" s="343"/>
      <c r="AL508" s="130" t="str">
        <f>IFERROR(__xludf.DUMMYFUNCTION("""COMPUTED_VALUE"""),"fullbooked")</f>
        <v>fullbooked</v>
      </c>
    </row>
    <row r="509">
      <c r="P509" s="271"/>
      <c r="AC509" s="130" t="str">
        <f>IFERROR(__xludf.DUMMYFUNCTION("""COMPUTED_VALUE"""),"2606A140")</f>
        <v>2606A140</v>
      </c>
      <c r="AD509" s="341">
        <f>IFERROR(__xludf.DUMMYFUNCTION("""COMPUTED_VALUE"""),46196.0)</f>
        <v>46196</v>
      </c>
      <c r="AE509" s="130" t="str">
        <f>IFERROR(__xludf.DUMMYFUNCTION("""COMPUTED_VALUE"""),"Ulfia")</f>
        <v>Ulfia</v>
      </c>
      <c r="AF509" s="130" t="str">
        <f>IFERROR(__xludf.DUMMYFUNCTION("""COMPUTED_VALUE"""),"081346534653")</f>
        <v>081346534653</v>
      </c>
      <c r="AG509" s="130" t="str">
        <f>IFERROR(__xludf.DUMMYFUNCTION("""COMPUTED_VALUE"""),"Gagal")</f>
        <v>Gagal</v>
      </c>
      <c r="AH509" s="130" t="str">
        <f>IFERROR(__xludf.DUMMYFUNCTION("""COMPUTED_VALUE"""),"4h3m")</f>
        <v>4h3m</v>
      </c>
      <c r="AI509" s="342"/>
      <c r="AJ509" s="130">
        <f>IFERROR(__xludf.DUMMYFUNCTION("""COMPUTED_VALUE"""),3.0)</f>
        <v>3</v>
      </c>
      <c r="AK509" s="343"/>
      <c r="AL509" s="130" t="str">
        <f>IFERROR(__xludf.DUMMYFUNCTION("""COMPUTED_VALUE"""),"kesibukan lain")</f>
        <v>kesibukan lain</v>
      </c>
    </row>
    <row r="510">
      <c r="P510" s="271"/>
      <c r="AC510" s="130" t="str">
        <f>IFERROR(__xludf.DUMMYFUNCTION("""COMPUTED_VALUE"""),"2606A141")</f>
        <v>2606A141</v>
      </c>
      <c r="AD510" s="341">
        <f>IFERROR(__xludf.DUMMYFUNCTION("""COMPUTED_VALUE"""),46197.0)</f>
        <v>46197</v>
      </c>
      <c r="AE510" s="130" t="str">
        <f>IFERROR(__xludf.DUMMYFUNCTION("""COMPUTED_VALUE"""),"Trinur")</f>
        <v>Trinur</v>
      </c>
      <c r="AF510" s="130" t="str">
        <f>IFERROR(__xludf.DUMMYFUNCTION("""COMPUTED_VALUE"""),"085201527193")</f>
        <v>085201527193</v>
      </c>
      <c r="AG510" s="130" t="str">
        <f>IFERROR(__xludf.DUMMYFUNCTION("""COMPUTED_VALUE"""),"Gagal")</f>
        <v>Gagal</v>
      </c>
      <c r="AH510" s="130" t="str">
        <f>IFERROR(__xludf.DUMMYFUNCTION("""COMPUTED_VALUE"""),"ot djawatan baluran")</f>
        <v>ot djawatan baluran</v>
      </c>
      <c r="AI510" s="342"/>
      <c r="AJ510" s="130">
        <f>IFERROR(__xludf.DUMMYFUNCTION("""COMPUTED_VALUE"""),2.0)</f>
        <v>2</v>
      </c>
      <c r="AK510" s="343"/>
      <c r="AL510" s="130"/>
    </row>
    <row r="511">
      <c r="P511" s="271"/>
      <c r="AC511" s="130" t="str">
        <f>IFERROR(__xludf.DUMMYFUNCTION("""COMPUTED_VALUE"""),"2606A142")</f>
        <v>2606A142</v>
      </c>
      <c r="AD511" s="341">
        <f>IFERROR(__xludf.DUMMYFUNCTION("""COMPUTED_VALUE"""),46197.0)</f>
        <v>46197</v>
      </c>
      <c r="AE511" s="130" t="str">
        <f>IFERROR(__xludf.DUMMYFUNCTION("""COMPUTED_VALUE"""),"Andre")</f>
        <v>Andre</v>
      </c>
      <c r="AF511" s="130" t="str">
        <f>IFERROR(__xludf.DUMMYFUNCTION("""COMPUTED_VALUE"""),"082266369983")</f>
        <v>082266369983</v>
      </c>
      <c r="AG511" s="130" t="str">
        <f>IFERROR(__xludf.DUMMYFUNCTION("""COMPUTED_VALUE"""),"Gagal")</f>
        <v>Gagal</v>
      </c>
      <c r="AH511" s="130" t="str">
        <f>IFERROR(__xludf.DUMMYFUNCTION("""COMPUTED_VALUE"""),"4h3m")</f>
        <v>4h3m</v>
      </c>
      <c r="AI511" s="342"/>
      <c r="AJ511" s="130">
        <f>IFERROR(__xludf.DUMMYFUNCTION("""COMPUTED_VALUE"""),50.0)</f>
        <v>50</v>
      </c>
      <c r="AK511" s="343"/>
      <c r="AL511" s="130"/>
    </row>
    <row r="512">
      <c r="P512" s="271"/>
      <c r="AC512" s="130" t="str">
        <f>IFERROR(__xludf.DUMMYFUNCTION("""COMPUTED_VALUE"""),"2606A143")</f>
        <v>2606A143</v>
      </c>
      <c r="AD512" s="341">
        <f>IFERROR(__xludf.DUMMYFUNCTION("""COMPUTED_VALUE"""),46197.0)</f>
        <v>46197</v>
      </c>
      <c r="AE512" s="130" t="str">
        <f>IFERROR(__xludf.DUMMYFUNCTION("""COMPUTED_VALUE"""),"Syadz")</f>
        <v>Syadz</v>
      </c>
      <c r="AF512" s="130" t="str">
        <f>IFERROR(__xludf.DUMMYFUNCTION("""COMPUTED_VALUE"""),"082226203285")</f>
        <v>082226203285</v>
      </c>
      <c r="AG512" s="130" t="str">
        <f>IFERROR(__xludf.DUMMYFUNCTION("""COMPUTED_VALUE"""),"Gagal")</f>
        <v>Gagal</v>
      </c>
      <c r="AH512" s="130"/>
      <c r="AI512" s="342"/>
      <c r="AJ512" s="130"/>
      <c r="AK512" s="343"/>
      <c r="AL512" s="130"/>
    </row>
    <row r="513">
      <c r="P513" s="271"/>
      <c r="AC513" s="130" t="str">
        <f>IFERROR(__xludf.DUMMYFUNCTION("""COMPUTED_VALUE"""),"2606A150")</f>
        <v>2606A150</v>
      </c>
      <c r="AD513" s="341">
        <f>IFERROR(__xludf.DUMMYFUNCTION("""COMPUTED_VALUE"""),46181.0)</f>
        <v>46181</v>
      </c>
      <c r="AE513" s="130" t="str">
        <f>IFERROR(__xludf.DUMMYFUNCTION("""COMPUTED_VALUE"""),"Alfian CK")</f>
        <v>Alfian CK</v>
      </c>
      <c r="AF513" s="130" t="str">
        <f>IFERROR(__xludf.DUMMYFUNCTION("""COMPUTED_VALUE"""),"08971083016")</f>
        <v>08971083016</v>
      </c>
      <c r="AG513" s="130" t="str">
        <f>IFERROR(__xludf.DUMMYFUNCTION("""COMPUTED_VALUE"""),"Gagal")</f>
        <v>Gagal</v>
      </c>
      <c r="AH513" s="130" t="str">
        <f>IFERROR(__xludf.DUMMYFUNCTION("""COMPUTED_VALUE"""),"2h1m")</f>
        <v>2h1m</v>
      </c>
      <c r="AI513" s="342"/>
      <c r="AJ513" s="130">
        <f>IFERROR(__xludf.DUMMYFUNCTION("""COMPUTED_VALUE"""),7.0)</f>
        <v>7</v>
      </c>
      <c r="AK513" s="343"/>
      <c r="AL513" s="130" t="str">
        <f>IFERROR(__xludf.DUMMYFUNCTION("""COMPUTED_VALUE"""),"gada kelajutan")</f>
        <v>gada kelajutan</v>
      </c>
    </row>
    <row r="514">
      <c r="P514" s="271"/>
      <c r="AC514" s="130" t="str">
        <f>IFERROR(__xludf.DUMMYFUNCTION("""COMPUTED_VALUE"""),"2606A151")</f>
        <v>2606A151</v>
      </c>
      <c r="AD514" s="341">
        <f>IFERROR(__xludf.DUMMYFUNCTION("""COMPUTED_VALUE"""),46187.0)</f>
        <v>46187</v>
      </c>
      <c r="AE514" s="130" t="str">
        <f>IFERROR(__xludf.DUMMYFUNCTION("""COMPUTED_VALUE"""),"Mas Ilmi")</f>
        <v>Mas Ilmi</v>
      </c>
      <c r="AF514" s="130" t="str">
        <f>IFERROR(__xludf.DUMMYFUNCTION("""COMPUTED_VALUE"""),"085730877644")</f>
        <v>085730877644</v>
      </c>
      <c r="AG514" s="130" t="str">
        <f>IFERROR(__xludf.DUMMYFUNCTION("""COMPUTED_VALUE"""),"Gagal")</f>
        <v>Gagal</v>
      </c>
      <c r="AH514" s="130" t="str">
        <f>IFERROR(__xludf.DUMMYFUNCTION("""COMPUTED_VALUE"""),"3h2m")</f>
        <v>3h2m</v>
      </c>
      <c r="AI514" s="342">
        <f>IFERROR(__xludf.DUMMYFUNCTION("""COMPUTED_VALUE"""),46190.0)</f>
        <v>46190</v>
      </c>
      <c r="AJ514" s="130">
        <f>IFERROR(__xludf.DUMMYFUNCTION("""COMPUTED_VALUE"""),2.0)</f>
        <v>2</v>
      </c>
      <c r="AK514" s="343"/>
      <c r="AL514" s="130" t="str">
        <f>IFERROR(__xludf.DUMMYFUNCTION("""COMPUTED_VALUE"""),"lewat tanggal")</f>
        <v>lewat tanggal</v>
      </c>
    </row>
    <row r="515">
      <c r="P515" s="271"/>
      <c r="AC515" s="130" t="str">
        <f>IFERROR(__xludf.DUMMYFUNCTION("""COMPUTED_VALUE"""),"2606A156")</f>
        <v>2606A156</v>
      </c>
      <c r="AD515" s="341">
        <f>IFERROR(__xludf.DUMMYFUNCTION("""COMPUTED_VALUE"""),46199.0)</f>
        <v>46199</v>
      </c>
      <c r="AE515" s="130" t="str">
        <f>IFERROR(__xludf.DUMMYFUNCTION("""COMPUTED_VALUE"""),"Diana")</f>
        <v>Diana</v>
      </c>
      <c r="AF515" s="130" t="str">
        <f>IFERROR(__xludf.DUMMYFUNCTION("""COMPUTED_VALUE"""),"085178114894")</f>
        <v>085178114894</v>
      </c>
      <c r="AG515" s="130" t="str">
        <f>IFERROR(__xludf.DUMMYFUNCTION("""COMPUTED_VALUE"""),"Gagal")</f>
        <v>Gagal</v>
      </c>
      <c r="AH515" s="130"/>
      <c r="AI515" s="342"/>
      <c r="AJ515" s="130"/>
      <c r="AK515" s="343"/>
      <c r="AL515" s="130" t="str">
        <f>IFERROR(__xludf.DUMMYFUNCTION("""COMPUTED_VALUE"""),"lewat tanggal")</f>
        <v>lewat tanggal</v>
      </c>
    </row>
    <row r="516">
      <c r="P516" s="271"/>
      <c r="AC516" s="130" t="str">
        <f>IFERROR(__xludf.DUMMYFUNCTION("""COMPUTED_VALUE"""),"2606A161")</f>
        <v>2606A161</v>
      </c>
      <c r="AD516" s="341">
        <f>IFERROR(__xludf.DUMMYFUNCTION("""COMPUTED_VALUE"""),46200.0)</f>
        <v>46200</v>
      </c>
      <c r="AE516" s="130" t="str">
        <f>IFERROR(__xludf.DUMMYFUNCTION("""COMPUTED_VALUE"""),"Hanna")</f>
        <v>Hanna</v>
      </c>
      <c r="AF516" s="130" t="str">
        <f>IFERROR(__xludf.DUMMYFUNCTION("""COMPUTED_VALUE"""),"089535162399")</f>
        <v>089535162399</v>
      </c>
      <c r="AG516" s="130" t="str">
        <f>IFERROR(__xludf.DUMMYFUNCTION("""COMPUTED_VALUE"""),"Gagal")</f>
        <v>Gagal</v>
      </c>
      <c r="AH516" s="130" t="str">
        <f>IFERROR(__xludf.DUMMYFUNCTION("""COMPUTED_VALUE"""),"ot menjangan tabuhan")</f>
        <v>ot menjangan tabuhan</v>
      </c>
      <c r="AI516" s="342">
        <f>IFERROR(__xludf.DUMMYFUNCTION("""COMPUTED_VALUE"""),46201.0)</f>
        <v>46201</v>
      </c>
      <c r="AJ516" s="130">
        <f>IFERROR(__xludf.DUMMYFUNCTION("""COMPUTED_VALUE"""),1.0)</f>
        <v>1</v>
      </c>
      <c r="AK516" s="343"/>
      <c r="AL516" s="130" t="str">
        <f>IFERROR(__xludf.DUMMYFUNCTION("""COMPUTED_VALUE"""),"Full booked")</f>
        <v>Full booked</v>
      </c>
    </row>
    <row r="517">
      <c r="P517" s="271"/>
      <c r="AC517" s="130" t="str">
        <f>IFERROR(__xludf.DUMMYFUNCTION("""COMPUTED_VALUE"""),"2606A165")</f>
        <v>2606A165</v>
      </c>
      <c r="AD517" s="341">
        <f>IFERROR(__xludf.DUMMYFUNCTION("""COMPUTED_VALUE"""),46201.0)</f>
        <v>46201</v>
      </c>
      <c r="AE517" s="130" t="str">
        <f>IFERROR(__xludf.DUMMYFUNCTION("""COMPUTED_VALUE"""),"Andres")</f>
        <v>Andres</v>
      </c>
      <c r="AF517" s="130" t="str">
        <f>IFERROR(__xludf.DUMMYFUNCTION("""COMPUTED_VALUE"""),"573002444692")</f>
        <v>573002444692</v>
      </c>
      <c r="AG517" s="130" t="str">
        <f>IFERROR(__xludf.DUMMYFUNCTION("""COMPUTED_VALUE"""),"Gagal")</f>
        <v>Gagal</v>
      </c>
      <c r="AH517" s="130" t="str">
        <f>IFERROR(__xludf.DUMMYFUNCTION("""COMPUTED_VALUE"""),"tumpak sewu, bromo, ijen crater")</f>
        <v>tumpak sewu, bromo, ijen crater</v>
      </c>
      <c r="AI517" s="342"/>
      <c r="AJ517" s="130"/>
      <c r="AK517" s="343"/>
      <c r="AL517" s="130"/>
    </row>
    <row r="518">
      <c r="P518" s="271"/>
      <c r="AC518" s="130" t="str">
        <f>IFERROR(__xludf.DUMMYFUNCTION("""COMPUTED_VALUE"""),"2606A171")</f>
        <v>2606A171</v>
      </c>
      <c r="AD518" s="341">
        <f>IFERROR(__xludf.DUMMYFUNCTION("""COMPUTED_VALUE"""),46201.0)</f>
        <v>46201</v>
      </c>
      <c r="AE518" s="130" t="str">
        <f>IFERROR(__xludf.DUMMYFUNCTION("""COMPUTED_VALUE"""),"Elfathir")</f>
        <v>Elfathir</v>
      </c>
      <c r="AF518" s="130" t="str">
        <f>IFERROR(__xludf.DUMMYFUNCTION("""COMPUTED_VALUE"""),"087888173283")</f>
        <v>087888173283</v>
      </c>
      <c r="AG518" s="130" t="str">
        <f>IFERROR(__xludf.DUMMYFUNCTION("""COMPUTED_VALUE"""),"Gagal")</f>
        <v>Gagal</v>
      </c>
      <c r="AH518" s="130" t="str">
        <f>IFERROR(__xludf.DUMMYFUNCTION("""COMPUTED_VALUE"""),"3h2m")</f>
        <v>3h2m</v>
      </c>
      <c r="AI518" s="342"/>
      <c r="AJ518" s="130">
        <f>IFERROR(__xludf.DUMMYFUNCTION("""COMPUTED_VALUE"""),4.0)</f>
        <v>4</v>
      </c>
      <c r="AK518" s="343"/>
      <c r="AL518" s="130" t="str">
        <f>IFERROR(__xludf.DUMMYFUNCTION("""COMPUTED_VALUE"""),"fullbooked")</f>
        <v>fullbooked</v>
      </c>
    </row>
    <row r="519">
      <c r="P519" s="271"/>
      <c r="AC519" s="130" t="str">
        <f>IFERROR(__xludf.DUMMYFUNCTION("""COMPUTED_VALUE"""),"2606A178")</f>
        <v>2606A178</v>
      </c>
      <c r="AD519" s="341">
        <f>IFERROR(__xludf.DUMMYFUNCTION("""COMPUTED_VALUE"""),46202.0)</f>
        <v>46202</v>
      </c>
      <c r="AE519" s="130" t="str">
        <f>IFERROR(__xludf.DUMMYFUNCTION("""COMPUTED_VALUE"""),"Verry D Irianto")</f>
        <v>Verry D Irianto</v>
      </c>
      <c r="AF519" s="130" t="str">
        <f>IFERROR(__xludf.DUMMYFUNCTION("""COMPUTED_VALUE"""),"082343696677")</f>
        <v>082343696677</v>
      </c>
      <c r="AG519" s="130" t="str">
        <f>IFERROR(__xludf.DUMMYFUNCTION("""COMPUTED_VALUE"""),"Gagal")</f>
        <v>Gagal</v>
      </c>
      <c r="AH519" s="130" t="str">
        <f>IFERROR(__xludf.DUMMYFUNCTION("""COMPUTED_VALUE"""),"ot menjangan tabuhan, private baluran")</f>
        <v>ot menjangan tabuhan, private baluran</v>
      </c>
      <c r="AI519" s="342">
        <f>IFERROR(__xludf.DUMMYFUNCTION("""COMPUTED_VALUE"""),46208.0)</f>
        <v>46208</v>
      </c>
      <c r="AJ519" s="130"/>
      <c r="AK519" s="343"/>
      <c r="AL519" s="130" t="str">
        <f>IFERROR(__xludf.DUMMYFUNCTION("""COMPUTED_VALUE"""),"fullbooked")</f>
        <v>fullbooked</v>
      </c>
    </row>
    <row r="520">
      <c r="P520" s="271"/>
      <c r="AC520" s="130" t="str">
        <f>IFERROR(__xludf.DUMMYFUNCTION("""COMPUTED_VALUE"""),"2606A190")</f>
        <v>2606A190</v>
      </c>
      <c r="AD520" s="341">
        <f>IFERROR(__xludf.DUMMYFUNCTION("""COMPUTED_VALUE"""),46202.0)</f>
        <v>46202</v>
      </c>
      <c r="AE520" s="130" t="str">
        <f>IFERROR(__xludf.DUMMYFUNCTION("""COMPUTED_VALUE"""),"Furi")</f>
        <v>Furi</v>
      </c>
      <c r="AF520" s="130" t="str">
        <f>IFERROR(__xludf.DUMMYFUNCTION("""COMPUTED_VALUE"""),"085692605967")</f>
        <v>085692605967</v>
      </c>
      <c r="AG520" s="130" t="str">
        <f>IFERROR(__xludf.DUMMYFUNCTION("""COMPUTED_VALUE"""),"Gagal")</f>
        <v>Gagal</v>
      </c>
      <c r="AH520" s="130" t="str">
        <f>IFERROR(__xludf.DUMMYFUNCTION("""COMPUTED_VALUE"""),"Green island")</f>
        <v>Green island</v>
      </c>
      <c r="AI520" s="342"/>
      <c r="AJ520" s="130"/>
      <c r="AK520" s="343"/>
      <c r="AL520" s="130"/>
    </row>
    <row r="521">
      <c r="P521" s="271"/>
      <c r="AC521" s="130" t="str">
        <f>IFERROR(__xludf.DUMMYFUNCTION("""COMPUTED_VALUE"""),"2607A008")</f>
        <v>2607A008</v>
      </c>
      <c r="AD521" s="341">
        <f>IFERROR(__xludf.DUMMYFUNCTION("""COMPUTED_VALUE"""),46204.0)</f>
        <v>46204</v>
      </c>
      <c r="AE521" s="130" t="str">
        <f>IFERROR(__xludf.DUMMYFUNCTION("""COMPUTED_VALUE"""),"Muhammmad Rizki")</f>
        <v>Muhammmad Rizki</v>
      </c>
      <c r="AF521" s="130" t="str">
        <f>IFERROR(__xludf.DUMMYFUNCTION("""COMPUTED_VALUE"""),"085697279896")</f>
        <v>085697279896</v>
      </c>
      <c r="AG521" s="130" t="str">
        <f>IFERROR(__xludf.DUMMYFUNCTION("""COMPUTED_VALUE"""),"Gagal")</f>
        <v>Gagal</v>
      </c>
      <c r="AH521" s="130" t="str">
        <f>IFERROR(__xludf.DUMMYFUNCTION("""COMPUTED_VALUE"""),"menjangan")</f>
        <v>menjangan</v>
      </c>
      <c r="AI521" s="342">
        <f>IFERROR(__xludf.DUMMYFUNCTION("""COMPUTED_VALUE"""),46207.0)</f>
        <v>46207</v>
      </c>
      <c r="AJ521" s="130">
        <f>IFERROR(__xludf.DUMMYFUNCTION("""COMPUTED_VALUE"""),4.0)</f>
        <v>4</v>
      </c>
      <c r="AK521" s="343"/>
      <c r="AL521" s="130"/>
    </row>
    <row r="522">
      <c r="P522" s="271"/>
      <c r="AC522" s="130" t="str">
        <f>IFERROR(__xludf.DUMMYFUNCTION("""COMPUTED_VALUE"""),"2607A009")</f>
        <v>2607A009</v>
      </c>
      <c r="AD522" s="341">
        <f>IFERROR(__xludf.DUMMYFUNCTION("""COMPUTED_VALUE"""),46204.0)</f>
        <v>46204</v>
      </c>
      <c r="AE522" s="130" t="str">
        <f>IFERROR(__xludf.DUMMYFUNCTION("""COMPUTED_VALUE"""),"R")</f>
        <v>R</v>
      </c>
      <c r="AF522" s="130" t="str">
        <f>IFERROR(__xludf.DUMMYFUNCTION("""COMPUTED_VALUE"""),"085138086133")</f>
        <v>085138086133</v>
      </c>
      <c r="AG522" s="130" t="str">
        <f>IFERROR(__xludf.DUMMYFUNCTION("""COMPUTED_VALUE"""),"Gagal")</f>
        <v>Gagal</v>
      </c>
      <c r="AH522" s="130"/>
      <c r="AI522" s="342">
        <f>IFERROR(__xludf.DUMMYFUNCTION("""COMPUTED_VALUE"""),46206.0)</f>
        <v>46206</v>
      </c>
      <c r="AJ522" s="130"/>
      <c r="AK522" s="343"/>
      <c r="AL522" s="130" t="str">
        <f>IFERROR(__xludf.DUMMYFUNCTION("""COMPUTED_VALUE"""),"gada kelanjutan")</f>
        <v>gada kelanjutan</v>
      </c>
    </row>
    <row r="523">
      <c r="P523" s="271"/>
      <c r="AC523" s="130" t="str">
        <f>IFERROR(__xludf.DUMMYFUNCTION("""COMPUTED_VALUE"""),"2607A012")</f>
        <v>2607A012</v>
      </c>
      <c r="AD523" s="341">
        <f>IFERROR(__xludf.DUMMYFUNCTION("""COMPUTED_VALUE"""),46203.0)</f>
        <v>46203</v>
      </c>
      <c r="AE523" s="130" t="str">
        <f>IFERROR(__xludf.DUMMYFUNCTION("""COMPUTED_VALUE"""),"Inne Vidyano")</f>
        <v>Inne Vidyano</v>
      </c>
      <c r="AF523" s="130" t="str">
        <f>IFERROR(__xludf.DUMMYFUNCTION("""COMPUTED_VALUE"""),"081378118030")</f>
        <v>081378118030</v>
      </c>
      <c r="AG523" s="130" t="str">
        <f>IFERROR(__xludf.DUMMYFUNCTION("""COMPUTED_VALUE"""),"Gagal")</f>
        <v>Gagal</v>
      </c>
      <c r="AH523" s="130" t="str">
        <f>IFERROR(__xludf.DUMMYFUNCTION("""COMPUTED_VALUE"""),"4h3m")</f>
        <v>4h3m</v>
      </c>
      <c r="AI523" s="342"/>
      <c r="AJ523" s="130">
        <f>IFERROR(__xludf.DUMMYFUNCTION("""COMPUTED_VALUE"""),5.0)</f>
        <v>5</v>
      </c>
      <c r="AK523" s="343"/>
      <c r="AL523" s="130" t="str">
        <f>IFERROR(__xludf.DUMMYFUNCTION("""COMPUTED_VALUE"""),"wkatunya belum ada, kalau jadi nanti dihubungi lagi")</f>
        <v>wkatunya belum ada, kalau jadi nanti dihubungi lagi</v>
      </c>
    </row>
    <row r="524">
      <c r="P524" s="271"/>
      <c r="AC524" s="130" t="str">
        <f>IFERROR(__xludf.DUMMYFUNCTION("""COMPUTED_VALUE"""),"2607A021")</f>
        <v>2607A021</v>
      </c>
      <c r="AD524" s="341">
        <f>IFERROR(__xludf.DUMMYFUNCTION("""COMPUTED_VALUE"""),46205.0)</f>
        <v>46205</v>
      </c>
      <c r="AE524" s="130" t="str">
        <f>IFERROR(__xludf.DUMMYFUNCTION("""COMPUTED_VALUE"""),"Martina Susanti")</f>
        <v>Martina Susanti</v>
      </c>
      <c r="AF524" s="130" t="str">
        <f>IFERROR(__xludf.DUMMYFUNCTION("""COMPUTED_VALUE"""),"082214248001")</f>
        <v>082214248001</v>
      </c>
      <c r="AG524" s="130" t="str">
        <f>IFERROR(__xludf.DUMMYFUNCTION("""COMPUTED_VALUE"""),"Gagal")</f>
        <v>Gagal</v>
      </c>
      <c r="AH524" s="130"/>
      <c r="AI524" s="342"/>
      <c r="AJ524" s="130"/>
      <c r="AK524" s="343"/>
      <c r="AL524" s="130" t="str">
        <f>IFERROR(__xludf.DUMMYFUNCTION("""COMPUTED_VALUE"""),"mt fullbooked")</f>
        <v>mt fullbooked</v>
      </c>
    </row>
    <row r="525">
      <c r="P525" s="271"/>
      <c r="AC525" s="130" t="str">
        <f>IFERROR(__xludf.DUMMYFUNCTION("""COMPUTED_VALUE"""),"2607A025")</f>
        <v>2607A025</v>
      </c>
      <c r="AD525" s="341">
        <f>IFERROR(__xludf.DUMMYFUNCTION("""COMPUTED_VALUE"""),46206.0)</f>
        <v>46206</v>
      </c>
      <c r="AE525" s="130" t="str">
        <f>IFERROR(__xludf.DUMMYFUNCTION("""COMPUTED_VALUE"""),"Suryanto")</f>
        <v>Suryanto</v>
      </c>
      <c r="AF525" s="130" t="str">
        <f>IFERROR(__xludf.DUMMYFUNCTION("""COMPUTED_VALUE"""),"082177890789")</f>
        <v>082177890789</v>
      </c>
      <c r="AG525" s="130" t="str">
        <f>IFERROR(__xludf.DUMMYFUNCTION("""COMPUTED_VALUE"""),"Gagal")</f>
        <v>Gagal</v>
      </c>
      <c r="AH525" s="130" t="str">
        <f>IFERROR(__xludf.DUMMYFUNCTION("""COMPUTED_VALUE"""),"ijen")</f>
        <v>ijen</v>
      </c>
      <c r="AI525" s="342">
        <f>IFERROR(__xludf.DUMMYFUNCTION("""COMPUTED_VALUE"""),46208.0)</f>
        <v>46208</v>
      </c>
      <c r="AJ525" s="130"/>
      <c r="AK525" s="343"/>
      <c r="AL525" s="130" t="str">
        <f>IFERROR(__xludf.DUMMYFUNCTION("""COMPUTED_VALUE"""),"pengen lihat blue fire")</f>
        <v>pengen lihat blue fire</v>
      </c>
    </row>
    <row r="526">
      <c r="P526" s="271"/>
      <c r="AC526" s="130" t="str">
        <f>IFERROR(__xludf.DUMMYFUNCTION("""COMPUTED_VALUE"""),"2607A032")</f>
        <v>2607A032</v>
      </c>
      <c r="AD526" s="341">
        <f>IFERROR(__xludf.DUMMYFUNCTION("""COMPUTED_VALUE"""),46206.0)</f>
        <v>46206</v>
      </c>
      <c r="AE526" s="130" t="str">
        <f>IFERROR(__xludf.DUMMYFUNCTION("""COMPUTED_VALUE"""),"Yulisa Ani")</f>
        <v>Yulisa Ani</v>
      </c>
      <c r="AF526" s="130" t="str">
        <f>IFERROR(__xludf.DUMMYFUNCTION("""COMPUTED_VALUE"""),"081330713582")</f>
        <v>081330713582</v>
      </c>
      <c r="AG526" s="130" t="str">
        <f>IFERROR(__xludf.DUMMYFUNCTION("""COMPUTED_VALUE"""),"Gagal")</f>
        <v>Gagal</v>
      </c>
      <c r="AH526" s="130" t="str">
        <f>IFERROR(__xludf.DUMMYFUNCTION("""COMPUTED_VALUE"""),"Djawatan, baluran")</f>
        <v>Djawatan, baluran</v>
      </c>
      <c r="AI526" s="342">
        <f>IFERROR(__xludf.DUMMYFUNCTION("""COMPUTED_VALUE"""),46208.0)</f>
        <v>46208</v>
      </c>
      <c r="AJ526" s="130">
        <f>IFERROR(__xludf.DUMMYFUNCTION("""COMPUTED_VALUE"""),5.0)</f>
        <v>5</v>
      </c>
      <c r="AK526" s="343"/>
      <c r="AL526" s="130" t="str">
        <f>IFERROR(__xludf.DUMMYFUNCTION("""COMPUTED_VALUE"""),"gada jawaban")</f>
        <v>gada jawaban</v>
      </c>
    </row>
    <row r="527">
      <c r="P527" s="271"/>
      <c r="AC527" s="130" t="str">
        <f>IFERROR(__xludf.DUMMYFUNCTION("""COMPUTED_VALUE"""),"2607A041")</f>
        <v>2607A041</v>
      </c>
      <c r="AD527" s="341">
        <f>IFERROR(__xludf.DUMMYFUNCTION("""COMPUTED_VALUE"""),46207.0)</f>
        <v>46207</v>
      </c>
      <c r="AE527" s="130" t="str">
        <f>IFERROR(__xludf.DUMMYFUNCTION("""COMPUTED_VALUE"""),"putra")</f>
        <v>putra</v>
      </c>
      <c r="AF527" s="130" t="str">
        <f>IFERROR(__xludf.DUMMYFUNCTION("""COMPUTED_VALUE"""),"082117565038")</f>
        <v>082117565038</v>
      </c>
      <c r="AG527" s="130" t="str">
        <f>IFERROR(__xludf.DUMMYFUNCTION("""COMPUTED_VALUE"""),"Gagal")</f>
        <v>Gagal</v>
      </c>
      <c r="AH527" s="130" t="str">
        <f>IFERROR(__xludf.DUMMYFUNCTION("""COMPUTED_VALUE"""),"trip menjangan tabuhan")</f>
        <v>trip menjangan tabuhan</v>
      </c>
      <c r="AI527" s="342">
        <f>IFERROR(__xludf.DUMMYFUNCTION("""COMPUTED_VALUE"""),46209.0)</f>
        <v>46209</v>
      </c>
      <c r="AJ527" s="130">
        <f>IFERROR(__xludf.DUMMYFUNCTION("""COMPUTED_VALUE"""),4.0)</f>
        <v>4</v>
      </c>
      <c r="AK527" s="343"/>
      <c r="AL527" s="130"/>
    </row>
    <row r="528">
      <c r="P528" s="271"/>
      <c r="AC528" s="130" t="str">
        <f>IFERROR(__xludf.DUMMYFUNCTION("""COMPUTED_VALUE"""),"2607A042")</f>
        <v>2607A042</v>
      </c>
      <c r="AD528" s="341">
        <f>IFERROR(__xludf.DUMMYFUNCTION("""COMPUTED_VALUE"""),46208.0)</f>
        <v>46208</v>
      </c>
      <c r="AE528" s="130" t="str">
        <f>IFERROR(__xludf.DUMMYFUNCTION("""COMPUTED_VALUE"""),"Septa")</f>
        <v>Septa</v>
      </c>
      <c r="AF528" s="130" t="str">
        <f>IFERROR(__xludf.DUMMYFUNCTION("""COMPUTED_VALUE"""),"97477029200")</f>
        <v>97477029200</v>
      </c>
      <c r="AG528" s="130" t="str">
        <f>IFERROR(__xludf.DUMMYFUNCTION("""COMPUTED_VALUE"""),"Gagal")</f>
        <v>Gagal</v>
      </c>
      <c r="AH528" s="130"/>
      <c r="AI528" s="342"/>
      <c r="AJ528" s="130">
        <f>IFERROR(__xludf.DUMMYFUNCTION("""COMPUTED_VALUE"""),3.0)</f>
        <v>3</v>
      </c>
      <c r="AK528" s="343"/>
      <c r="AL528" s="130" t="str">
        <f>IFERROR(__xludf.DUMMYFUNCTION("""COMPUTED_VALUE"""),"booking lewat suami (Asep)")</f>
        <v>booking lewat suami (Asep)</v>
      </c>
    </row>
    <row r="529">
      <c r="P529" s="271"/>
      <c r="AC529" s="130" t="str">
        <f>IFERROR(__xludf.DUMMYFUNCTION("""COMPUTED_VALUE"""),"2607A048")</f>
        <v>2607A048</v>
      </c>
      <c r="AD529" s="341">
        <f>IFERROR(__xludf.DUMMYFUNCTION("""COMPUTED_VALUE"""),46209.0)</f>
        <v>46209</v>
      </c>
      <c r="AE529" s="130" t="str">
        <f>IFERROR(__xludf.DUMMYFUNCTION("""COMPUTED_VALUE"""),"Echapita")</f>
        <v>Echapita</v>
      </c>
      <c r="AF529" s="130" t="str">
        <f>IFERROR(__xludf.DUMMYFUNCTION("""COMPUTED_VALUE"""),"0816692496")</f>
        <v>0816692496</v>
      </c>
      <c r="AG529" s="130" t="str">
        <f>IFERROR(__xludf.DUMMYFUNCTION("""COMPUTED_VALUE"""),"Gagal")</f>
        <v>Gagal</v>
      </c>
      <c r="AH529" s="130" t="str">
        <f>IFERROR(__xludf.DUMMYFUNCTION("""COMPUTED_VALUE"""),"djawatan, green island, pulau merah")</f>
        <v>djawatan, green island, pulau merah</v>
      </c>
      <c r="AI529" s="342"/>
      <c r="AJ529" s="130"/>
      <c r="AK529" s="343"/>
      <c r="AL529" s="130" t="str">
        <f>IFERROR(__xludf.DUMMYFUNCTION("""COMPUTED_VALUE"""),"gada balasan")</f>
        <v>gada balasan</v>
      </c>
    </row>
    <row r="530">
      <c r="P530" s="271"/>
      <c r="AC530" s="130" t="str">
        <f>IFERROR(__xludf.DUMMYFUNCTION("""COMPUTED_VALUE"""),"2607A054")</f>
        <v>2607A054</v>
      </c>
      <c r="AD530" s="341">
        <f>IFERROR(__xludf.DUMMYFUNCTION("""COMPUTED_VALUE"""),46210.0)</f>
        <v>46210</v>
      </c>
      <c r="AE530" s="130" t="str">
        <f>IFERROR(__xludf.DUMMYFUNCTION("""COMPUTED_VALUE"""),"Tri Suryaningsih")</f>
        <v>Tri Suryaningsih</v>
      </c>
      <c r="AF530" s="130" t="str">
        <f>IFERROR(__xludf.DUMMYFUNCTION("""COMPUTED_VALUE"""),"087887127156")</f>
        <v>087887127156</v>
      </c>
      <c r="AG530" s="130" t="str">
        <f>IFERROR(__xludf.DUMMYFUNCTION("""COMPUTED_VALUE"""),"Gagal")</f>
        <v>Gagal</v>
      </c>
      <c r="AH530" s="130" t="str">
        <f>IFERROR(__xludf.DUMMYFUNCTION("""COMPUTED_VALUE"""),"menjangan tabuhan")</f>
        <v>menjangan tabuhan</v>
      </c>
      <c r="AI530" s="342"/>
      <c r="AJ530" s="130"/>
      <c r="AK530" s="343"/>
      <c r="AL530" s="130" t="str">
        <f>IFERROR(__xludf.DUMMYFUNCTION("""COMPUTED_VALUE"""),"gada balasan")</f>
        <v>gada balasan</v>
      </c>
    </row>
    <row r="531">
      <c r="P531" s="271"/>
      <c r="AC531" s="130" t="str">
        <f>IFERROR(__xludf.DUMMYFUNCTION("""COMPUTED_VALUE"""),"2607A055")</f>
        <v>2607A055</v>
      </c>
      <c r="AD531" s="341">
        <f>IFERROR(__xludf.DUMMYFUNCTION("""COMPUTED_VALUE"""),46209.0)</f>
        <v>46209</v>
      </c>
      <c r="AE531" s="130" t="str">
        <f>IFERROR(__xludf.DUMMYFUNCTION("""COMPUTED_VALUE"""),"Widia")</f>
        <v>Widia</v>
      </c>
      <c r="AF531" s="130" t="str">
        <f>IFERROR(__xludf.DUMMYFUNCTION("""COMPUTED_VALUE"""),"081381222334")</f>
        <v>081381222334</v>
      </c>
      <c r="AG531" s="130" t="str">
        <f>IFERROR(__xludf.DUMMYFUNCTION("""COMPUTED_VALUE"""),"Gagal")</f>
        <v>Gagal</v>
      </c>
      <c r="AH531" s="130"/>
      <c r="AI531" s="342"/>
      <c r="AJ531" s="130"/>
      <c r="AK531" s="343"/>
      <c r="AL531" s="130" t="str">
        <f>IFERROR(__xludf.DUMMYFUNCTION("""COMPUTED_VALUE"""),"closing di holiday")</f>
        <v>closing di holiday</v>
      </c>
    </row>
    <row r="532">
      <c r="P532" s="271"/>
      <c r="AC532" s="130" t="str">
        <f>IFERROR(__xludf.DUMMYFUNCTION("""COMPUTED_VALUE"""),"2607A057")</f>
        <v>2607A057</v>
      </c>
      <c r="AD532" s="341">
        <f>IFERROR(__xludf.DUMMYFUNCTION("""COMPUTED_VALUE"""),46211.0)</f>
        <v>46211</v>
      </c>
      <c r="AE532" s="130" t="str">
        <f>IFERROR(__xludf.DUMMYFUNCTION("""COMPUTED_VALUE"""),"Sonya McGuire")</f>
        <v>Sonya McGuire</v>
      </c>
      <c r="AF532" s="130" t="str">
        <f>IFERROR(__xludf.DUMMYFUNCTION("""COMPUTED_VALUE"""),"61494143452")</f>
        <v>61494143452</v>
      </c>
      <c r="AG532" s="130" t="str">
        <f>IFERROR(__xludf.DUMMYFUNCTION("""COMPUTED_VALUE"""),"Gagal")</f>
        <v>Gagal</v>
      </c>
      <c r="AH532" s="130"/>
      <c r="AI532" s="342"/>
      <c r="AJ532" s="130"/>
      <c r="AK532" s="343"/>
      <c r="AL532" s="130"/>
    </row>
    <row r="533">
      <c r="P533" s="271"/>
      <c r="AC533" s="130" t="str">
        <f>IFERROR(__xludf.DUMMYFUNCTION("""COMPUTED_VALUE"""),"2607A066")</f>
        <v>2607A066</v>
      </c>
      <c r="AD533" s="341">
        <f>IFERROR(__xludf.DUMMYFUNCTION("""COMPUTED_VALUE"""),46212.0)</f>
        <v>46212</v>
      </c>
      <c r="AE533" s="130" t="str">
        <f>IFERROR(__xludf.DUMMYFUNCTION("""COMPUTED_VALUE"""),"E")</f>
        <v>E</v>
      </c>
      <c r="AF533" s="130" t="str">
        <f>IFERROR(__xludf.DUMMYFUNCTION("""COMPUTED_VALUE"""),"081196911366")</f>
        <v>081196911366</v>
      </c>
      <c r="AG533" s="130" t="str">
        <f>IFERROR(__xludf.DUMMYFUNCTION("""COMPUTED_VALUE"""),"Gagal")</f>
        <v>Gagal</v>
      </c>
      <c r="AH533" s="130" t="str">
        <f>IFERROR(__xludf.DUMMYFUNCTION("""COMPUTED_VALUE"""),"1day trip gree island ")</f>
        <v>1day trip gree island </v>
      </c>
      <c r="AI533" s="342">
        <f>IFERROR(__xludf.DUMMYFUNCTION("""COMPUTED_VALUE"""),46214.0)</f>
        <v>46214</v>
      </c>
      <c r="AJ533" s="130">
        <f>IFERROR(__xludf.DUMMYFUNCTION("""COMPUTED_VALUE"""),1.0)</f>
        <v>1</v>
      </c>
      <c r="AK533" s="343"/>
      <c r="AL533" s="130" t="str">
        <f>IFERROR(__xludf.DUMMYFUNCTION("""COMPUTED_VALUE"""),"gada balasan")</f>
        <v>gada balasan</v>
      </c>
    </row>
    <row r="534">
      <c r="P534" s="271"/>
      <c r="AC534" s="130" t="str">
        <f>IFERROR(__xludf.DUMMYFUNCTION("""COMPUTED_VALUE"""),"2607A077")</f>
        <v>2607A077</v>
      </c>
      <c r="AD534" s="341">
        <f>IFERROR(__xludf.DUMMYFUNCTION("""COMPUTED_VALUE"""),46213.0)</f>
        <v>46213</v>
      </c>
      <c r="AE534" s="130" t="str">
        <f>IFERROR(__xludf.DUMMYFUNCTION("""COMPUTED_VALUE"""),"Assyifaa Haris")</f>
        <v>Assyifaa Haris</v>
      </c>
      <c r="AF534" s="130" t="str">
        <f>IFERROR(__xludf.DUMMYFUNCTION("""COMPUTED_VALUE"""),"082110962526")</f>
        <v>082110962526</v>
      </c>
      <c r="AG534" s="130" t="str">
        <f>IFERROR(__xludf.DUMMYFUNCTION("""COMPUTED_VALUE"""),"Gagal")</f>
        <v>Gagal</v>
      </c>
      <c r="AH534" s="130" t="str">
        <f>IFERROR(__xludf.DUMMYFUNCTION("""COMPUTED_VALUE"""),"pvt mt")</f>
        <v>pvt mt</v>
      </c>
      <c r="AI534" s="342">
        <f>IFERROR(__xludf.DUMMYFUNCTION("""COMPUTED_VALUE"""),46258.0)</f>
        <v>46258</v>
      </c>
      <c r="AJ534" s="130">
        <f>IFERROR(__xludf.DUMMYFUNCTION("""COMPUTED_VALUE"""),3.0)</f>
        <v>3</v>
      </c>
      <c r="AK534" s="343">
        <f>IFERROR(__xludf.DUMMYFUNCTION("""COMPUTED_VALUE"""),1830000.0)</f>
        <v>1830000</v>
      </c>
      <c r="AL534" s="130" t="str">
        <f>IFERROR(__xludf.DUMMYFUNCTION("""COMPUTED_VALUE"""),"ga jadi")</f>
        <v>ga jadi</v>
      </c>
    </row>
    <row r="535">
      <c r="P535" s="271"/>
      <c r="AC535" s="130" t="str">
        <f>IFERROR(__xludf.DUMMYFUNCTION("""COMPUTED_VALUE"""),"2607A084")</f>
        <v>2607A084</v>
      </c>
      <c r="AD535" s="341">
        <f>IFERROR(__xludf.DUMMYFUNCTION("""COMPUTED_VALUE"""),46215.0)</f>
        <v>46215</v>
      </c>
      <c r="AE535" s="130" t="str">
        <f>IFERROR(__xludf.DUMMYFUNCTION("""COMPUTED_VALUE"""),"Tyas")</f>
        <v>Tyas</v>
      </c>
      <c r="AF535" s="130" t="str">
        <f>IFERROR(__xludf.DUMMYFUNCTION("""COMPUTED_VALUE"""),"087815880399")</f>
        <v>087815880399</v>
      </c>
      <c r="AG535" s="130" t="str">
        <f>IFERROR(__xludf.DUMMYFUNCTION("""COMPUTED_VALUE"""),"Gagal")</f>
        <v>Gagal</v>
      </c>
      <c r="AH535" s="130" t="str">
        <f>IFERROR(__xludf.DUMMYFUNCTION("""COMPUTED_VALUE"""),"3h2m")</f>
        <v>3h2m</v>
      </c>
      <c r="AI535" s="342"/>
      <c r="AJ535" s="130">
        <f>IFERROR(__xludf.DUMMYFUNCTION("""COMPUTED_VALUE"""),1.0)</f>
        <v>1</v>
      </c>
      <c r="AK535" s="343"/>
      <c r="AL535" s="130" t="str">
        <f>IFERROR(__xludf.DUMMYFUNCTION("""COMPUTED_VALUE"""),"ga dapat cuti")</f>
        <v>ga dapat cuti</v>
      </c>
    </row>
    <row r="536">
      <c r="P536" s="271"/>
      <c r="AC536" s="130" t="str">
        <f>IFERROR(__xludf.DUMMYFUNCTION("""COMPUTED_VALUE"""),"2607A087")</f>
        <v>2607A087</v>
      </c>
      <c r="AD536" s="341">
        <f>IFERROR(__xludf.DUMMYFUNCTION("""COMPUTED_VALUE"""),46216.0)</f>
        <v>46216</v>
      </c>
      <c r="AE536" s="130" t="str">
        <f>IFERROR(__xludf.DUMMYFUNCTION("""COMPUTED_VALUE"""),"Comet")</f>
        <v>Comet</v>
      </c>
      <c r="AF536" s="130" t="str">
        <f>IFERROR(__xludf.DUMMYFUNCTION("""COMPUTED_VALUE"""),"08118820096")</f>
        <v>08118820096</v>
      </c>
      <c r="AG536" s="130" t="str">
        <f>IFERROR(__xludf.DUMMYFUNCTION("""COMPUTED_VALUE"""),"Gagal")</f>
        <v>Gagal</v>
      </c>
      <c r="AH536" s="130" t="str">
        <f>IFERROR(__xludf.DUMMYFUNCTION("""COMPUTED_VALUE"""),"3h2m")</f>
        <v>3h2m</v>
      </c>
      <c r="AI536" s="342">
        <f>IFERROR(__xludf.DUMMYFUNCTION("""COMPUTED_VALUE"""),46233.0)</f>
        <v>46233</v>
      </c>
      <c r="AJ536" s="130">
        <f>IFERROR(__xludf.DUMMYFUNCTION("""COMPUTED_VALUE"""),2.0)</f>
        <v>2</v>
      </c>
      <c r="AK536" s="343"/>
      <c r="AL536" s="130"/>
    </row>
    <row r="537">
      <c r="P537" s="271"/>
      <c r="AC537" s="130" t="str">
        <f>IFERROR(__xludf.DUMMYFUNCTION("""COMPUTED_VALUE"""),"2607A089")</f>
        <v>2607A089</v>
      </c>
      <c r="AD537" s="341">
        <f>IFERROR(__xludf.DUMMYFUNCTION("""COMPUTED_VALUE"""),46217.0)</f>
        <v>46217</v>
      </c>
      <c r="AE537" s="130" t="str">
        <f>IFERROR(__xludf.DUMMYFUNCTION("""COMPUTED_VALUE"""),"louise nabila")</f>
        <v>louise nabila</v>
      </c>
      <c r="AF537" s="130" t="str">
        <f>IFERROR(__xludf.DUMMYFUNCTION("""COMPUTED_VALUE"""),"085713686220")</f>
        <v>085713686220</v>
      </c>
      <c r="AG537" s="130" t="str">
        <f>IFERROR(__xludf.DUMMYFUNCTION("""COMPUTED_VALUE"""),"Gagal")</f>
        <v>Gagal</v>
      </c>
      <c r="AH537" s="130" t="str">
        <f>IFERROR(__xludf.DUMMYFUNCTION("""COMPUTED_VALUE"""),"kawah ijen")</f>
        <v>kawah ijen</v>
      </c>
      <c r="AI537" s="342"/>
      <c r="AJ537" s="130">
        <f>IFERROR(__xludf.DUMMYFUNCTION("""COMPUTED_VALUE"""),2.0)</f>
        <v>2</v>
      </c>
      <c r="AK537" s="343">
        <f>IFERROR(__xludf.DUMMYFUNCTION("""COMPUTED_VALUE"""),1228000.0)</f>
        <v>1228000</v>
      </c>
      <c r="AL537" s="130" t="str">
        <f>IFERROR(__xludf.DUMMYFUNCTION("""COMPUTED_VALUE"""),"gada balasan")</f>
        <v>gada balasan</v>
      </c>
    </row>
    <row r="538">
      <c r="P538" s="271"/>
      <c r="AC538" s="130" t="str">
        <f>IFERROR(__xludf.DUMMYFUNCTION("""COMPUTED_VALUE"""),"2607A091")</f>
        <v>2607A091</v>
      </c>
      <c r="AD538" s="341">
        <f>IFERROR(__xludf.DUMMYFUNCTION("""COMPUTED_VALUE"""),46217.0)</f>
        <v>46217</v>
      </c>
      <c r="AE538" s="130" t="str">
        <f>IFERROR(__xludf.DUMMYFUNCTION("""COMPUTED_VALUE"""),"Lina")</f>
        <v>Lina</v>
      </c>
      <c r="AF538" s="130" t="str">
        <f>IFERROR(__xludf.DUMMYFUNCTION("""COMPUTED_VALUE"""),"08133635580")</f>
        <v>08133635580</v>
      </c>
      <c r="AG538" s="130" t="str">
        <f>IFERROR(__xludf.DUMMYFUNCTION("""COMPUTED_VALUE"""),"Gagal")</f>
        <v>Gagal</v>
      </c>
      <c r="AH538" s="130" t="str">
        <f>IFERROR(__xludf.DUMMYFUNCTION("""COMPUTED_VALUE"""),"3h2m ot atau private")</f>
        <v>3h2m ot atau private</v>
      </c>
      <c r="AI538" s="342"/>
      <c r="AJ538" s="130">
        <f>IFERROR(__xludf.DUMMYFUNCTION("""COMPUTED_VALUE"""),1.0)</f>
        <v>1</v>
      </c>
      <c r="AK538" s="343">
        <f>IFERROR(__xludf.DUMMYFUNCTION("""COMPUTED_VALUE"""),1200000.0)</f>
        <v>1200000</v>
      </c>
      <c r="AL538" s="130" t="str">
        <f>IFERROR(__xludf.DUMMYFUNCTION("""COMPUTED_VALUE"""),"tidak ada balasan")</f>
        <v>tidak ada balasan</v>
      </c>
    </row>
    <row r="539">
      <c r="P539" s="271"/>
      <c r="AC539" s="130" t="str">
        <f>IFERROR(__xludf.DUMMYFUNCTION("""COMPUTED_VALUE"""),"2607A097")</f>
        <v>2607A097</v>
      </c>
      <c r="AD539" s="341">
        <f>IFERROR(__xludf.DUMMYFUNCTION("""COMPUTED_VALUE"""),46218.0)</f>
        <v>46218</v>
      </c>
      <c r="AE539" s="130" t="str">
        <f>IFERROR(__xludf.DUMMYFUNCTION("""COMPUTED_VALUE"""),"Abang Hafiz")</f>
        <v>Abang Hafiz</v>
      </c>
      <c r="AF539" s="130" t="str">
        <f>IFERROR(__xludf.DUMMYFUNCTION("""COMPUTED_VALUE"""),"082198990220")</f>
        <v>082198990220</v>
      </c>
      <c r="AG539" s="130" t="str">
        <f>IFERROR(__xludf.DUMMYFUNCTION("""COMPUTED_VALUE"""),"Gagal")</f>
        <v>Gagal</v>
      </c>
      <c r="AH539" s="130" t="str">
        <f>IFERROR(__xludf.DUMMYFUNCTION("""COMPUTED_VALUE"""),"2h1m opsi a")</f>
        <v>2h1m opsi a</v>
      </c>
      <c r="AI539" s="342">
        <f>IFERROR(__xludf.DUMMYFUNCTION("""COMPUTED_VALUE"""),46227.0)</f>
        <v>46227</v>
      </c>
      <c r="AJ539" s="130">
        <f>IFERROR(__xludf.DUMMYFUNCTION("""COMPUTED_VALUE"""),2.0)</f>
        <v>2</v>
      </c>
      <c r="AK539" s="343">
        <f>IFERROR(__xludf.DUMMYFUNCTION("""COMPUTED_VALUE"""),4680000.0)</f>
        <v>4680000</v>
      </c>
      <c r="AL539" s="130" t="str">
        <f>IFERROR(__xludf.DUMMYFUNCTION("""COMPUTED_VALUE"""),"gada balasan, sdh fu")</f>
        <v>gada balasan, sdh fu</v>
      </c>
    </row>
    <row r="540">
      <c r="P540" s="271"/>
      <c r="AC540" s="130" t="str">
        <f>IFERROR(__xludf.DUMMYFUNCTION("""COMPUTED_VALUE"""),"2607A099")</f>
        <v>2607A099</v>
      </c>
      <c r="AD540" s="341">
        <f>IFERROR(__xludf.DUMMYFUNCTION("""COMPUTED_VALUE"""),46218.0)</f>
        <v>46218</v>
      </c>
      <c r="AE540" s="130" t="str">
        <f>IFERROR(__xludf.DUMMYFUNCTION("""COMPUTED_VALUE"""),"Sabrina")</f>
        <v>Sabrina</v>
      </c>
      <c r="AF540" s="130" t="str">
        <f>IFERROR(__xludf.DUMMYFUNCTION("""COMPUTED_VALUE"""),"085664539661")</f>
        <v>085664539661</v>
      </c>
      <c r="AG540" s="130" t="str">
        <f>IFERROR(__xludf.DUMMYFUNCTION("""COMPUTED_VALUE"""),"Gagal")</f>
        <v>Gagal</v>
      </c>
      <c r="AH540" s="130"/>
      <c r="AI540" s="342">
        <f>IFERROR(__xludf.DUMMYFUNCTION("""COMPUTED_VALUE"""),46221.0)</f>
        <v>46221</v>
      </c>
      <c r="AJ540" s="130">
        <f>IFERROR(__xludf.DUMMYFUNCTION("""COMPUTED_VALUE"""),6.0)</f>
        <v>6</v>
      </c>
      <c r="AK540" s="343">
        <f>IFERROR(__xludf.DUMMYFUNCTION("""COMPUTED_VALUE"""),1650000.0)</f>
        <v>1650000</v>
      </c>
      <c r="AL540" s="130" t="str">
        <f>IFERROR(__xludf.DUMMYFUNCTION("""COMPUTED_VALUE"""),"ga jadi, tdk memberi alasan")</f>
        <v>ga jadi, tdk memberi alasan</v>
      </c>
    </row>
    <row r="541">
      <c r="P541" s="271"/>
      <c r="AC541" s="130" t="str">
        <f>IFERROR(__xludf.DUMMYFUNCTION("""COMPUTED_VALUE"""),"2607A103")</f>
        <v>2607A103</v>
      </c>
      <c r="AD541" s="341">
        <f>IFERROR(__xludf.DUMMYFUNCTION("""COMPUTED_VALUE"""),46219.0)</f>
        <v>46219</v>
      </c>
      <c r="AE541" s="130" t="str">
        <f>IFERROR(__xludf.DUMMYFUNCTION("""COMPUTED_VALUE"""),"Jenny Susmita Susilo")</f>
        <v>Jenny Susmita Susilo</v>
      </c>
      <c r="AF541" s="130" t="str">
        <f>IFERROR(__xludf.DUMMYFUNCTION("""COMPUTED_VALUE"""),"08126647030")</f>
        <v>08126647030</v>
      </c>
      <c r="AG541" s="130" t="str">
        <f>IFERROR(__xludf.DUMMYFUNCTION("""COMPUTED_VALUE"""),"Gagal")</f>
        <v>Gagal</v>
      </c>
      <c r="AH541" s="130" t="str">
        <f>IFERROR(__xludf.DUMMYFUNCTION("""COMPUTED_VALUE"""),"ot djabal")</f>
        <v>ot djabal</v>
      </c>
      <c r="AI541" s="342"/>
      <c r="AJ541" s="130"/>
      <c r="AK541" s="343"/>
      <c r="AL541" s="130" t="str">
        <f>IFERROR(__xludf.DUMMYFUNCTION("""COMPUTED_VALUE"""),"gada balasan")</f>
        <v>gada balasan</v>
      </c>
    </row>
    <row r="542">
      <c r="P542" s="271"/>
      <c r="AC542" s="130" t="str">
        <f>IFERROR(__xludf.DUMMYFUNCTION("""COMPUTED_VALUE"""),"2607A104")</f>
        <v>2607A104</v>
      </c>
      <c r="AD542" s="341">
        <f>IFERROR(__xludf.DUMMYFUNCTION("""COMPUTED_VALUE"""),46219.0)</f>
        <v>46219</v>
      </c>
      <c r="AE542" s="130" t="str">
        <f>IFERROR(__xludf.DUMMYFUNCTION("""COMPUTED_VALUE"""),"Del")</f>
        <v>Del</v>
      </c>
      <c r="AF542" s="130" t="str">
        <f>IFERROR(__xludf.DUMMYFUNCTION("""COMPUTED_VALUE"""),"081324026657")</f>
        <v>081324026657</v>
      </c>
      <c r="AG542" s="130" t="str">
        <f>IFERROR(__xludf.DUMMYFUNCTION("""COMPUTED_VALUE"""),"Gagal")</f>
        <v>Gagal</v>
      </c>
      <c r="AH542" s="130"/>
      <c r="AI542" s="342"/>
      <c r="AJ542" s="130"/>
      <c r="AK542" s="343"/>
      <c r="AL542" s="130" t="str">
        <f>IFERROR(__xludf.DUMMYFUNCTION("""COMPUTED_VALUE"""),"gada balasan")</f>
        <v>gada balasan</v>
      </c>
    </row>
    <row r="543">
      <c r="P543" s="271"/>
      <c r="AC543" s="130" t="str">
        <f>IFERROR(__xludf.DUMMYFUNCTION("""COMPUTED_VALUE"""),"2607A105")</f>
        <v>2607A105</v>
      </c>
      <c r="AD543" s="341">
        <f>IFERROR(__xludf.DUMMYFUNCTION("""COMPUTED_VALUE"""),46219.0)</f>
        <v>46219</v>
      </c>
      <c r="AE543" s="130" t="str">
        <f>IFERROR(__xludf.DUMMYFUNCTION("""COMPUTED_VALUE"""),"Ali Juwaidi ABdullah")</f>
        <v>Ali Juwaidi ABdullah</v>
      </c>
      <c r="AF543" s="130" t="str">
        <f>IFERROR(__xludf.DUMMYFUNCTION("""COMPUTED_VALUE"""),"081252217698")</f>
        <v>081252217698</v>
      </c>
      <c r="AG543" s="130" t="str">
        <f>IFERROR(__xludf.DUMMYFUNCTION("""COMPUTED_VALUE"""),"Gagal")</f>
        <v>Gagal</v>
      </c>
      <c r="AH543" s="130" t="str">
        <f>IFERROR(__xludf.DUMMYFUNCTION("""COMPUTED_VALUE"""),"2h1m")</f>
        <v>2h1m</v>
      </c>
      <c r="AI543" s="342">
        <f>IFERROR(__xludf.DUMMYFUNCTION("""COMPUTED_VALUE"""),46237.0)</f>
        <v>46237</v>
      </c>
      <c r="AJ543" s="130">
        <f>IFERROR(__xludf.DUMMYFUNCTION("""COMPUTED_VALUE"""),2.0)</f>
        <v>2</v>
      </c>
      <c r="AK543" s="343">
        <f>IFERROR(__xludf.DUMMYFUNCTION("""COMPUTED_VALUE"""),5740000.0)</f>
        <v>5740000</v>
      </c>
      <c r="AL543" s="130" t="str">
        <f>IFERROR(__xludf.DUMMYFUNCTION("""COMPUTED_VALUE"""),"deal di mbak dela")</f>
        <v>deal di mbak dela</v>
      </c>
    </row>
    <row r="544">
      <c r="P544" s="271"/>
      <c r="AC544" s="130" t="str">
        <f>IFERROR(__xludf.DUMMYFUNCTION("""COMPUTED_VALUE"""),"2607A108")</f>
        <v>2607A108</v>
      </c>
      <c r="AD544" s="341">
        <f>IFERROR(__xludf.DUMMYFUNCTION("""COMPUTED_VALUE"""),46220.0)</f>
        <v>46220</v>
      </c>
      <c r="AE544" s="130" t="str">
        <f>IFERROR(__xludf.DUMMYFUNCTION("""COMPUTED_VALUE"""),"Estu Putri")</f>
        <v>Estu Putri</v>
      </c>
      <c r="AF544" s="130" t="str">
        <f>IFERROR(__xludf.DUMMYFUNCTION("""COMPUTED_VALUE"""),"081395096244")</f>
        <v>081395096244</v>
      </c>
      <c r="AG544" s="130" t="str">
        <f>IFERROR(__xludf.DUMMYFUNCTION("""COMPUTED_VALUE"""),"Gagal")</f>
        <v>Gagal</v>
      </c>
      <c r="AH544" s="130" t="str">
        <f>IFERROR(__xludf.DUMMYFUNCTION("""COMPUTED_VALUE"""),"ot 3h2m")</f>
        <v>ot 3h2m</v>
      </c>
      <c r="AI544" s="342"/>
      <c r="AJ544" s="130"/>
      <c r="AK544" s="343"/>
      <c r="AL544" s="130" t="str">
        <f>IFERROR(__xludf.DUMMYFUNCTION("""COMPUTED_VALUE"""),"gada balasan")</f>
        <v>gada balasan</v>
      </c>
    </row>
    <row r="545">
      <c r="P545" s="271"/>
      <c r="AC545" s="130" t="str">
        <f>IFERROR(__xludf.DUMMYFUNCTION("""COMPUTED_VALUE"""),"2607A110")</f>
        <v>2607A110</v>
      </c>
      <c r="AD545" s="341">
        <f>IFERROR(__xludf.DUMMYFUNCTION("""COMPUTED_VALUE"""),46220.0)</f>
        <v>46220</v>
      </c>
      <c r="AE545" s="130" t="str">
        <f>IFERROR(__xludf.DUMMYFUNCTION("""COMPUTED_VALUE"""),"Pauline Leolopulisa")</f>
        <v>Pauline Leolopulisa</v>
      </c>
      <c r="AF545" s="130" t="str">
        <f>IFERROR(__xludf.DUMMYFUNCTION("""COMPUTED_VALUE"""),"0818914220")</f>
        <v>0818914220</v>
      </c>
      <c r="AG545" s="130" t="str">
        <f>IFERROR(__xludf.DUMMYFUNCTION("""COMPUTED_VALUE"""),"Gagal")</f>
        <v>Gagal</v>
      </c>
      <c r="AH545" s="130" t="str">
        <f>IFERROR(__xludf.DUMMYFUNCTION("""COMPUTED_VALUE"""),"4h3m custome")</f>
        <v>4h3m custome</v>
      </c>
      <c r="AI545" s="342">
        <f>IFERROR(__xludf.DUMMYFUNCTION("""COMPUTED_VALUE"""),46239.0)</f>
        <v>46239</v>
      </c>
      <c r="AJ545" s="130">
        <f>IFERROR(__xludf.DUMMYFUNCTION("""COMPUTED_VALUE"""),12.0)</f>
        <v>12</v>
      </c>
      <c r="AK545" s="343">
        <f>IFERROR(__xludf.DUMMYFUNCTION("""COMPUTED_VALUE"""),2.88E7)</f>
        <v>28800000</v>
      </c>
      <c r="AL545" s="130" t="str">
        <f>IFERROR(__xludf.DUMMYFUNCTION("""COMPUTED_VALUE"""),"ga jadi ke bwi")</f>
        <v>ga jadi ke bwi</v>
      </c>
    </row>
    <row r="546">
      <c r="P546" s="271"/>
      <c r="AC546" s="130" t="str">
        <f>IFERROR(__xludf.DUMMYFUNCTION("""COMPUTED_VALUE"""),"2607A113")</f>
        <v>2607A113</v>
      </c>
      <c r="AD546" s="341">
        <f>IFERROR(__xludf.DUMMYFUNCTION("""COMPUTED_VALUE"""),46221.0)</f>
        <v>46221</v>
      </c>
      <c r="AE546" s="130" t="str">
        <f>IFERROR(__xludf.DUMMYFUNCTION("""COMPUTED_VALUE"""),"Tabitha")</f>
        <v>Tabitha</v>
      </c>
      <c r="AF546" s="130" t="str">
        <f>IFERROR(__xludf.DUMMYFUNCTION("""COMPUTED_VALUE"""),"087898652273")</f>
        <v>087898652273</v>
      </c>
      <c r="AG546" s="130" t="str">
        <f>IFERROR(__xludf.DUMMYFUNCTION("""COMPUTED_VALUE"""),"Gagal")</f>
        <v>Gagal</v>
      </c>
      <c r="AH546" s="130" t="str">
        <f>IFERROR(__xludf.DUMMYFUNCTION("""COMPUTED_VALUE"""),"Kawah Ijen")</f>
        <v>Kawah Ijen</v>
      </c>
      <c r="AI546" s="342">
        <f>IFERROR(__xludf.DUMMYFUNCTION("""COMPUTED_VALUE"""),46225.0)</f>
        <v>46225</v>
      </c>
      <c r="AJ546" s="130">
        <f>IFERROR(__xludf.DUMMYFUNCTION("""COMPUTED_VALUE"""),2.0)</f>
        <v>2</v>
      </c>
      <c r="AK546" s="343">
        <f>IFERROR(__xludf.DUMMYFUNCTION("""COMPUTED_VALUE"""),1228000.0)</f>
        <v>1228000</v>
      </c>
      <c r="AL546" s="130" t="str">
        <f>IFERROR(__xludf.DUMMYFUNCTION("""COMPUTED_VALUE"""),"gada balasan")</f>
        <v>gada balasan</v>
      </c>
    </row>
    <row r="547">
      <c r="P547" s="271"/>
      <c r="AC547" s="130" t="str">
        <f>IFERROR(__xludf.DUMMYFUNCTION("""COMPUTED_VALUE"""),"2607A114")</f>
        <v>2607A114</v>
      </c>
      <c r="AD547" s="341">
        <f>IFERROR(__xludf.DUMMYFUNCTION("""COMPUTED_VALUE"""),46221.0)</f>
        <v>46221</v>
      </c>
      <c r="AE547" s="130" t="str">
        <f>IFERROR(__xludf.DUMMYFUNCTION("""COMPUTED_VALUE"""),"Angel Ginting")</f>
        <v>Angel Ginting</v>
      </c>
      <c r="AF547" s="130" t="str">
        <f>IFERROR(__xludf.DUMMYFUNCTION("""COMPUTED_VALUE"""),"081285924668")</f>
        <v>081285924668</v>
      </c>
      <c r="AG547" s="130" t="str">
        <f>IFERROR(__xludf.DUMMYFUNCTION("""COMPUTED_VALUE"""),"Gagal")</f>
        <v>Gagal</v>
      </c>
      <c r="AH547" s="130" t="str">
        <f>IFERROR(__xludf.DUMMYFUNCTION("""COMPUTED_VALUE"""),"3h2m opsi a")</f>
        <v>3h2m opsi a</v>
      </c>
      <c r="AI547" s="342">
        <f>IFERROR(__xludf.DUMMYFUNCTION("""COMPUTED_VALUE"""),46255.0)</f>
        <v>46255</v>
      </c>
      <c r="AJ547" s="130">
        <f>IFERROR(__xludf.DUMMYFUNCTION("""COMPUTED_VALUE"""),3.0)</f>
        <v>3</v>
      </c>
      <c r="AK547" s="343">
        <f>IFERROR(__xludf.DUMMYFUNCTION("""COMPUTED_VALUE"""),6402000.0)</f>
        <v>6402000</v>
      </c>
      <c r="AL547" s="130" t="str">
        <f>IFERROR(__xludf.DUMMYFUNCTION("""COMPUTED_VALUE"""),"tdk sesuai budget dan rencana")</f>
        <v>tdk sesuai budget dan rencana</v>
      </c>
    </row>
    <row r="548">
      <c r="P548" s="271"/>
      <c r="AC548" s="130" t="str">
        <f>IFERROR(__xludf.DUMMYFUNCTION("""COMPUTED_VALUE"""),"2607A120")</f>
        <v>2607A120</v>
      </c>
      <c r="AD548" s="341">
        <f>IFERROR(__xludf.DUMMYFUNCTION("""COMPUTED_VALUE"""),46223.0)</f>
        <v>46223</v>
      </c>
      <c r="AE548" s="130" t="str">
        <f>IFERROR(__xludf.DUMMYFUNCTION("""COMPUTED_VALUE"""),"Yudha")</f>
        <v>Yudha</v>
      </c>
      <c r="AF548" s="130" t="str">
        <f>IFERROR(__xludf.DUMMYFUNCTION("""COMPUTED_VALUE"""),"081578704112")</f>
        <v>081578704112</v>
      </c>
      <c r="AG548" s="130" t="str">
        <f>IFERROR(__xludf.DUMMYFUNCTION("""COMPUTED_VALUE"""),"Gagal")</f>
        <v>Gagal</v>
      </c>
      <c r="AH548" s="130" t="str">
        <f>IFERROR(__xludf.DUMMYFUNCTION("""COMPUTED_VALUE"""),"2D1N")</f>
        <v>2D1N</v>
      </c>
      <c r="AI548" s="342"/>
      <c r="AJ548" s="130">
        <f>IFERROR(__xludf.DUMMYFUNCTION("""COMPUTED_VALUE"""),4.0)</f>
        <v>4</v>
      </c>
      <c r="AK548" s="343"/>
      <c r="AL548" s="130" t="str">
        <f>IFERROR(__xludf.DUMMYFUNCTION("""COMPUTED_VALUE"""),"ga jadi")</f>
        <v>ga jadi</v>
      </c>
    </row>
    <row r="549">
      <c r="P549" s="271"/>
      <c r="AC549" s="130" t="str">
        <f>IFERROR(__xludf.DUMMYFUNCTION("""COMPUTED_VALUE"""),"2607A124")</f>
        <v>2607A124</v>
      </c>
      <c r="AD549" s="341">
        <f>IFERROR(__xludf.DUMMYFUNCTION("""COMPUTED_VALUE"""),46224.0)</f>
        <v>46224</v>
      </c>
      <c r="AE549" s="130" t="str">
        <f>IFERROR(__xludf.DUMMYFUNCTION("""COMPUTED_VALUE"""),"Santoso")</f>
        <v>Santoso</v>
      </c>
      <c r="AF549" s="130" t="str">
        <f>IFERROR(__xludf.DUMMYFUNCTION("""COMPUTED_VALUE"""),"082228987734")</f>
        <v>082228987734</v>
      </c>
      <c r="AG549" s="130" t="str">
        <f>IFERROR(__xludf.DUMMYFUNCTION("""COMPUTED_VALUE"""),"Gagal")</f>
        <v>Gagal</v>
      </c>
      <c r="AH549" s="130" t="str">
        <f>IFERROR(__xludf.DUMMYFUNCTION("""COMPUTED_VALUE"""),"green island, djawatan")</f>
        <v>green island, djawatan</v>
      </c>
      <c r="AI549" s="342"/>
      <c r="AJ549" s="130">
        <f>IFERROR(__xludf.DUMMYFUNCTION("""COMPUTED_VALUE"""),3.0)</f>
        <v>3</v>
      </c>
      <c r="AK549" s="343">
        <f>IFERROR(__xludf.DUMMYFUNCTION("""COMPUTED_VALUE"""),2460000.0)</f>
        <v>2460000</v>
      </c>
      <c r="AL549" s="130" t="str">
        <f>IFERROR(__xludf.DUMMYFUNCTION("""COMPUTED_VALUE"""),"gada balasan")</f>
        <v>gada balasan</v>
      </c>
    </row>
    <row r="550">
      <c r="P550" s="271"/>
    </row>
    <row r="551">
      <c r="P551" s="271"/>
    </row>
    <row r="552">
      <c r="P552" s="271"/>
    </row>
    <row r="553">
      <c r="P553" s="271"/>
    </row>
    <row r="554">
      <c r="P554" s="271"/>
    </row>
    <row r="555">
      <c r="P555" s="271"/>
    </row>
    <row r="556">
      <c r="P556" s="271"/>
    </row>
    <row r="557">
      <c r="P557" s="271"/>
    </row>
    <row r="558">
      <c r="P558" s="271"/>
    </row>
    <row r="559">
      <c r="P559" s="271"/>
    </row>
    <row r="560">
      <c r="P560" s="271"/>
    </row>
    <row r="561">
      <c r="P561" s="271"/>
    </row>
    <row r="562">
      <c r="P562" s="271"/>
    </row>
    <row r="563">
      <c r="P563" s="271"/>
    </row>
    <row r="564">
      <c r="P564" s="271"/>
    </row>
    <row r="565">
      <c r="P565" s="271"/>
    </row>
    <row r="566">
      <c r="P566" s="271"/>
    </row>
    <row r="567">
      <c r="P567" s="271"/>
    </row>
    <row r="568">
      <c r="P568" s="271"/>
    </row>
    <row r="569">
      <c r="P569" s="271"/>
    </row>
    <row r="570">
      <c r="P570" s="271"/>
    </row>
    <row r="571">
      <c r="P571" s="271"/>
    </row>
    <row r="572">
      <c r="P572" s="271"/>
    </row>
    <row r="573">
      <c r="P573" s="271"/>
    </row>
    <row r="574">
      <c r="P574" s="271"/>
    </row>
    <row r="575">
      <c r="P575" s="271"/>
    </row>
    <row r="576">
      <c r="P576" s="271"/>
    </row>
    <row r="577">
      <c r="P577" s="271"/>
    </row>
    <row r="578">
      <c r="P578" s="271"/>
    </row>
    <row r="579">
      <c r="P579" s="271"/>
    </row>
    <row r="580">
      <c r="P580" s="271"/>
    </row>
    <row r="581">
      <c r="P581" s="271"/>
    </row>
    <row r="582">
      <c r="P582" s="271"/>
    </row>
    <row r="583">
      <c r="P583" s="271"/>
    </row>
    <row r="584">
      <c r="P584" s="271"/>
    </row>
    <row r="585">
      <c r="P585" s="271"/>
    </row>
    <row r="586">
      <c r="P586" s="271"/>
    </row>
    <row r="587">
      <c r="P587" s="271"/>
    </row>
    <row r="588">
      <c r="P588" s="271"/>
    </row>
    <row r="589">
      <c r="P589" s="271"/>
    </row>
    <row r="590">
      <c r="P590" s="271"/>
    </row>
    <row r="591">
      <c r="P591" s="271"/>
    </row>
    <row r="592">
      <c r="P592" s="271"/>
    </row>
    <row r="593">
      <c r="P593" s="271"/>
    </row>
    <row r="594">
      <c r="P594" s="271"/>
    </row>
    <row r="595">
      <c r="P595" s="271"/>
    </row>
    <row r="596">
      <c r="P596" s="271"/>
    </row>
    <row r="597">
      <c r="P597" s="271"/>
    </row>
    <row r="598">
      <c r="P598" s="271"/>
    </row>
    <row r="599">
      <c r="P599" s="271"/>
    </row>
    <row r="600">
      <c r="P600" s="271"/>
    </row>
    <row r="601">
      <c r="P601" s="271"/>
    </row>
    <row r="602">
      <c r="P602" s="271"/>
    </row>
    <row r="603">
      <c r="P603" s="271"/>
    </row>
    <row r="604">
      <c r="P604" s="271"/>
    </row>
    <row r="605">
      <c r="P605" s="271"/>
    </row>
    <row r="606">
      <c r="P606" s="271"/>
    </row>
    <row r="607">
      <c r="P607" s="271"/>
    </row>
    <row r="608">
      <c r="P608" s="271"/>
    </row>
    <row r="609">
      <c r="P609" s="271"/>
    </row>
    <row r="610">
      <c r="P610" s="271"/>
    </row>
    <row r="611">
      <c r="P611" s="271"/>
    </row>
    <row r="612">
      <c r="P612" s="271"/>
    </row>
    <row r="613">
      <c r="P613" s="271"/>
    </row>
    <row r="614">
      <c r="P614" s="271"/>
    </row>
    <row r="615">
      <c r="P615" s="271"/>
    </row>
    <row r="616">
      <c r="P616" s="271"/>
    </row>
    <row r="617">
      <c r="P617" s="271"/>
    </row>
    <row r="618">
      <c r="P618" s="271"/>
    </row>
    <row r="619">
      <c r="P619" s="271"/>
    </row>
    <row r="620">
      <c r="P620" s="271"/>
    </row>
    <row r="621">
      <c r="P621" s="271"/>
    </row>
    <row r="622">
      <c r="P622" s="271"/>
    </row>
    <row r="623">
      <c r="P623" s="271"/>
    </row>
    <row r="624">
      <c r="P624" s="271"/>
    </row>
    <row r="625">
      <c r="P625" s="271"/>
    </row>
    <row r="626">
      <c r="P626" s="271"/>
    </row>
    <row r="627">
      <c r="P627" s="271"/>
    </row>
    <row r="628">
      <c r="P628" s="271"/>
    </row>
    <row r="629">
      <c r="P629" s="271"/>
    </row>
    <row r="630">
      <c r="P630" s="271"/>
    </row>
    <row r="631">
      <c r="P631" s="271"/>
    </row>
    <row r="632">
      <c r="P632" s="271"/>
    </row>
    <row r="633">
      <c r="P633" s="271"/>
    </row>
    <row r="634">
      <c r="P634" s="271"/>
    </row>
    <row r="635">
      <c r="P635" s="271"/>
    </row>
    <row r="636">
      <c r="P636" s="271"/>
    </row>
    <row r="637">
      <c r="P637" s="271"/>
    </row>
    <row r="638">
      <c r="P638" s="271"/>
    </row>
    <row r="639">
      <c r="P639" s="271"/>
    </row>
    <row r="640">
      <c r="P640" s="271"/>
    </row>
    <row r="641">
      <c r="P641" s="271"/>
    </row>
    <row r="642">
      <c r="P642" s="271"/>
    </row>
    <row r="643">
      <c r="P643" s="271"/>
    </row>
    <row r="644">
      <c r="P644" s="271"/>
    </row>
    <row r="645">
      <c r="P645" s="271"/>
    </row>
    <row r="646">
      <c r="P646" s="271"/>
    </row>
    <row r="647">
      <c r="P647" s="271"/>
    </row>
    <row r="648">
      <c r="P648" s="271"/>
    </row>
    <row r="649">
      <c r="P649" s="271"/>
    </row>
    <row r="650">
      <c r="P650" s="271"/>
    </row>
    <row r="651">
      <c r="P651" s="271"/>
    </row>
    <row r="652">
      <c r="P652" s="271"/>
    </row>
    <row r="653">
      <c r="P653" s="271"/>
    </row>
    <row r="654">
      <c r="P654" s="271"/>
    </row>
    <row r="655">
      <c r="P655" s="271"/>
    </row>
    <row r="656">
      <c r="P656" s="271"/>
    </row>
    <row r="657">
      <c r="P657" s="271"/>
    </row>
    <row r="658">
      <c r="P658" s="271"/>
    </row>
    <row r="659">
      <c r="P659" s="271"/>
    </row>
    <row r="660">
      <c r="P660" s="271"/>
    </row>
    <row r="661">
      <c r="P661" s="271"/>
    </row>
    <row r="662">
      <c r="P662" s="271"/>
    </row>
    <row r="663">
      <c r="P663" s="271"/>
    </row>
    <row r="664">
      <c r="P664" s="271"/>
    </row>
    <row r="665">
      <c r="P665" s="271"/>
    </row>
    <row r="666">
      <c r="P666" s="271"/>
    </row>
    <row r="667">
      <c r="P667" s="271"/>
    </row>
    <row r="668">
      <c r="P668" s="271"/>
    </row>
    <row r="669">
      <c r="P669" s="271"/>
    </row>
    <row r="670">
      <c r="P670" s="271"/>
    </row>
    <row r="671">
      <c r="P671" s="271"/>
    </row>
    <row r="672">
      <c r="P672" s="271"/>
    </row>
    <row r="673">
      <c r="P673" s="271"/>
    </row>
    <row r="674">
      <c r="P674" s="271"/>
    </row>
    <row r="675">
      <c r="P675" s="271"/>
    </row>
    <row r="676">
      <c r="P676" s="271"/>
    </row>
    <row r="677">
      <c r="P677" s="271"/>
    </row>
    <row r="678">
      <c r="P678" s="271"/>
    </row>
    <row r="679">
      <c r="P679" s="271"/>
    </row>
    <row r="680">
      <c r="P680" s="271"/>
    </row>
    <row r="681">
      <c r="P681" s="271"/>
    </row>
    <row r="682">
      <c r="P682" s="271"/>
    </row>
    <row r="683">
      <c r="P683" s="271"/>
    </row>
    <row r="684">
      <c r="P684" s="271"/>
    </row>
    <row r="685">
      <c r="P685" s="271"/>
    </row>
    <row r="686">
      <c r="P686" s="271"/>
    </row>
    <row r="687">
      <c r="P687" s="271"/>
    </row>
    <row r="688">
      <c r="P688" s="271"/>
    </row>
    <row r="689">
      <c r="P689" s="271"/>
    </row>
    <row r="690">
      <c r="P690" s="271"/>
    </row>
    <row r="691">
      <c r="P691" s="271"/>
    </row>
    <row r="692">
      <c r="P692" s="271"/>
    </row>
    <row r="693">
      <c r="P693" s="271"/>
    </row>
    <row r="694">
      <c r="P694" s="271"/>
    </row>
    <row r="695">
      <c r="P695" s="271"/>
    </row>
    <row r="696">
      <c r="P696" s="271"/>
    </row>
    <row r="697">
      <c r="P697" s="271"/>
    </row>
    <row r="698">
      <c r="P698" s="271"/>
    </row>
    <row r="699">
      <c r="P699" s="271"/>
    </row>
    <row r="700">
      <c r="P700" s="271"/>
    </row>
    <row r="701">
      <c r="P701" s="271"/>
    </row>
    <row r="702">
      <c r="P702" s="271"/>
    </row>
    <row r="703">
      <c r="P703" s="271"/>
    </row>
    <row r="704">
      <c r="P704" s="271"/>
    </row>
    <row r="705">
      <c r="P705" s="271"/>
    </row>
    <row r="706">
      <c r="P706" s="271"/>
    </row>
    <row r="707">
      <c r="P707" s="271"/>
    </row>
    <row r="708">
      <c r="P708" s="271"/>
    </row>
    <row r="709">
      <c r="P709" s="271"/>
    </row>
    <row r="710">
      <c r="P710" s="271"/>
    </row>
    <row r="711">
      <c r="P711" s="271"/>
    </row>
    <row r="712">
      <c r="P712" s="271"/>
    </row>
    <row r="713">
      <c r="P713" s="271"/>
    </row>
    <row r="714">
      <c r="P714" s="271"/>
    </row>
    <row r="715">
      <c r="P715" s="271"/>
    </row>
    <row r="716">
      <c r="P716" s="271"/>
    </row>
    <row r="717">
      <c r="P717" s="271"/>
    </row>
    <row r="718">
      <c r="P718" s="271"/>
    </row>
    <row r="719">
      <c r="P719" s="271"/>
    </row>
    <row r="720">
      <c r="P720" s="271"/>
    </row>
    <row r="721">
      <c r="P721" s="271"/>
    </row>
    <row r="722">
      <c r="P722" s="271"/>
    </row>
    <row r="723">
      <c r="P723" s="271"/>
    </row>
    <row r="724">
      <c r="P724" s="271"/>
    </row>
    <row r="725">
      <c r="P725" s="271"/>
    </row>
    <row r="726">
      <c r="P726" s="271"/>
    </row>
    <row r="727">
      <c r="P727" s="271"/>
    </row>
    <row r="728">
      <c r="P728" s="271"/>
    </row>
    <row r="729">
      <c r="P729" s="271"/>
    </row>
    <row r="730">
      <c r="P730" s="271"/>
    </row>
    <row r="731">
      <c r="P731" s="271"/>
    </row>
    <row r="732">
      <c r="P732" s="271"/>
    </row>
    <row r="733">
      <c r="P733" s="271"/>
    </row>
    <row r="734">
      <c r="P734" s="271"/>
    </row>
    <row r="735">
      <c r="P735" s="271"/>
    </row>
    <row r="736">
      <c r="P736" s="271"/>
    </row>
    <row r="737">
      <c r="P737" s="271"/>
    </row>
    <row r="738">
      <c r="P738" s="271"/>
    </row>
    <row r="739">
      <c r="P739" s="271"/>
    </row>
    <row r="740">
      <c r="P740" s="271"/>
    </row>
    <row r="741">
      <c r="P741" s="271"/>
    </row>
    <row r="742">
      <c r="P742" s="271"/>
    </row>
    <row r="743">
      <c r="P743" s="271"/>
    </row>
    <row r="744">
      <c r="P744" s="271"/>
    </row>
    <row r="745">
      <c r="P745" s="271"/>
    </row>
    <row r="746">
      <c r="P746" s="271"/>
    </row>
    <row r="747">
      <c r="P747" s="271"/>
    </row>
    <row r="748">
      <c r="P748" s="271"/>
    </row>
    <row r="749">
      <c r="P749" s="271"/>
    </row>
    <row r="750">
      <c r="P750" s="271"/>
    </row>
    <row r="751">
      <c r="P751" s="271"/>
    </row>
    <row r="752">
      <c r="P752" s="271"/>
    </row>
    <row r="753">
      <c r="P753" s="271"/>
    </row>
    <row r="754">
      <c r="P754" s="271"/>
    </row>
    <row r="755">
      <c r="P755" s="271"/>
    </row>
    <row r="756">
      <c r="P756" s="271"/>
    </row>
    <row r="757">
      <c r="P757" s="271"/>
    </row>
    <row r="758">
      <c r="P758" s="271"/>
    </row>
    <row r="759">
      <c r="P759" s="271"/>
    </row>
    <row r="760">
      <c r="P760" s="271"/>
    </row>
    <row r="761">
      <c r="P761" s="271"/>
    </row>
    <row r="762">
      <c r="P762" s="271"/>
    </row>
    <row r="763">
      <c r="P763" s="271"/>
    </row>
    <row r="764">
      <c r="P764" s="271"/>
    </row>
    <row r="765">
      <c r="P765" s="271"/>
    </row>
    <row r="766">
      <c r="P766" s="271"/>
    </row>
    <row r="767">
      <c r="P767" s="271"/>
    </row>
    <row r="768">
      <c r="P768" s="271"/>
    </row>
    <row r="769">
      <c r="P769" s="271"/>
    </row>
    <row r="770">
      <c r="P770" s="271"/>
    </row>
    <row r="771">
      <c r="P771" s="271"/>
    </row>
    <row r="772">
      <c r="P772" s="271"/>
    </row>
    <row r="773">
      <c r="P773" s="271"/>
    </row>
    <row r="774">
      <c r="P774" s="271"/>
    </row>
    <row r="775">
      <c r="P775" s="271"/>
    </row>
    <row r="776">
      <c r="P776" s="271"/>
    </row>
    <row r="777">
      <c r="P777" s="271"/>
    </row>
    <row r="778">
      <c r="P778" s="271"/>
    </row>
    <row r="779">
      <c r="P779" s="271"/>
    </row>
    <row r="780">
      <c r="P780" s="271"/>
    </row>
    <row r="781">
      <c r="P781" s="271"/>
    </row>
    <row r="782">
      <c r="P782" s="271"/>
    </row>
    <row r="783">
      <c r="P783" s="271"/>
    </row>
    <row r="784">
      <c r="P784" s="271"/>
    </row>
    <row r="785">
      <c r="P785" s="271"/>
    </row>
    <row r="786">
      <c r="P786" s="271"/>
    </row>
    <row r="787">
      <c r="P787" s="271"/>
    </row>
    <row r="788">
      <c r="P788" s="271"/>
    </row>
    <row r="789">
      <c r="P789" s="271"/>
    </row>
    <row r="790">
      <c r="P790" s="271"/>
    </row>
    <row r="791">
      <c r="P791" s="271"/>
    </row>
    <row r="792">
      <c r="P792" s="271"/>
    </row>
    <row r="793">
      <c r="P793" s="271"/>
    </row>
    <row r="794">
      <c r="P794" s="271"/>
    </row>
    <row r="795">
      <c r="P795" s="271"/>
    </row>
    <row r="796">
      <c r="P796" s="271"/>
    </row>
    <row r="797">
      <c r="P797" s="271"/>
    </row>
    <row r="798">
      <c r="P798" s="271"/>
    </row>
    <row r="799">
      <c r="P799" s="271"/>
    </row>
    <row r="800">
      <c r="P800" s="271"/>
    </row>
    <row r="801">
      <c r="P801" s="271"/>
    </row>
    <row r="802">
      <c r="P802" s="271"/>
    </row>
    <row r="803">
      <c r="P803" s="271"/>
    </row>
    <row r="804">
      <c r="P804" s="271"/>
    </row>
    <row r="805">
      <c r="P805" s="271"/>
    </row>
    <row r="806">
      <c r="P806" s="271"/>
    </row>
    <row r="807">
      <c r="P807" s="271"/>
    </row>
    <row r="808">
      <c r="P808" s="271"/>
    </row>
    <row r="809">
      <c r="P809" s="271"/>
    </row>
    <row r="810">
      <c r="P810" s="271"/>
    </row>
    <row r="811">
      <c r="P811" s="271"/>
    </row>
    <row r="812">
      <c r="P812" s="271"/>
    </row>
    <row r="813">
      <c r="P813" s="271"/>
    </row>
    <row r="814">
      <c r="P814" s="271"/>
    </row>
    <row r="815">
      <c r="P815" s="271"/>
    </row>
    <row r="816">
      <c r="P816" s="271"/>
    </row>
    <row r="817">
      <c r="P817" s="271"/>
    </row>
    <row r="818">
      <c r="P818" s="271"/>
    </row>
    <row r="819">
      <c r="P819" s="271"/>
    </row>
    <row r="820">
      <c r="P820" s="271"/>
    </row>
    <row r="821">
      <c r="P821" s="271"/>
    </row>
    <row r="822">
      <c r="P822" s="271"/>
    </row>
    <row r="823">
      <c r="P823" s="271"/>
    </row>
    <row r="824">
      <c r="P824" s="271"/>
    </row>
    <row r="825">
      <c r="P825" s="271"/>
    </row>
    <row r="826">
      <c r="P826" s="271"/>
    </row>
    <row r="827">
      <c r="P827" s="271"/>
    </row>
    <row r="828">
      <c r="P828" s="271"/>
    </row>
    <row r="829">
      <c r="P829" s="271"/>
    </row>
    <row r="830">
      <c r="P830" s="271"/>
    </row>
    <row r="831">
      <c r="P831" s="271"/>
    </row>
    <row r="832">
      <c r="P832" s="271"/>
    </row>
    <row r="833">
      <c r="P833" s="271"/>
    </row>
    <row r="834">
      <c r="P834" s="271"/>
    </row>
    <row r="835">
      <c r="P835" s="271"/>
    </row>
    <row r="836">
      <c r="P836" s="271"/>
    </row>
    <row r="837">
      <c r="P837" s="271"/>
    </row>
    <row r="838">
      <c r="P838" s="271"/>
    </row>
    <row r="839">
      <c r="P839" s="271"/>
    </row>
    <row r="840">
      <c r="P840" s="271"/>
    </row>
    <row r="841">
      <c r="P841" s="271"/>
    </row>
    <row r="842">
      <c r="P842" s="271"/>
    </row>
    <row r="843">
      <c r="P843" s="271"/>
    </row>
    <row r="844">
      <c r="P844" s="271"/>
    </row>
    <row r="845">
      <c r="P845" s="271"/>
    </row>
    <row r="846">
      <c r="P846" s="271"/>
    </row>
    <row r="847">
      <c r="P847" s="271"/>
    </row>
    <row r="848">
      <c r="P848" s="271"/>
    </row>
    <row r="849">
      <c r="P849" s="271"/>
    </row>
    <row r="850">
      <c r="P850" s="271"/>
    </row>
    <row r="851">
      <c r="P851" s="271"/>
    </row>
    <row r="852">
      <c r="P852" s="271"/>
    </row>
    <row r="853">
      <c r="P853" s="271"/>
    </row>
    <row r="854">
      <c r="P854" s="271"/>
    </row>
    <row r="855">
      <c r="P855" s="271"/>
    </row>
    <row r="856">
      <c r="P856" s="271"/>
    </row>
    <row r="857">
      <c r="P857" s="271"/>
    </row>
    <row r="858">
      <c r="P858" s="271"/>
    </row>
    <row r="859">
      <c r="P859" s="271"/>
    </row>
    <row r="860">
      <c r="P860" s="271"/>
    </row>
    <row r="861">
      <c r="P861" s="271"/>
    </row>
    <row r="862">
      <c r="P862" s="271"/>
    </row>
    <row r="863">
      <c r="P863" s="271"/>
    </row>
    <row r="864">
      <c r="P864" s="271"/>
    </row>
    <row r="865">
      <c r="P865" s="271"/>
    </row>
    <row r="866">
      <c r="P866" s="271"/>
    </row>
    <row r="867">
      <c r="P867" s="271"/>
    </row>
    <row r="868">
      <c r="P868" s="271"/>
    </row>
    <row r="869">
      <c r="P869" s="271"/>
    </row>
    <row r="870">
      <c r="P870" s="271"/>
    </row>
    <row r="871">
      <c r="P871" s="271"/>
    </row>
    <row r="872">
      <c r="P872" s="271"/>
    </row>
    <row r="873">
      <c r="P873" s="271"/>
    </row>
    <row r="874">
      <c r="P874" s="271"/>
    </row>
    <row r="875">
      <c r="P875" s="271"/>
    </row>
    <row r="876">
      <c r="P876" s="271"/>
    </row>
    <row r="877">
      <c r="P877" s="271"/>
    </row>
    <row r="878">
      <c r="P878" s="271"/>
    </row>
    <row r="879">
      <c r="P879" s="271"/>
    </row>
    <row r="880">
      <c r="P880" s="271"/>
    </row>
    <row r="881">
      <c r="P881" s="271"/>
    </row>
    <row r="882">
      <c r="P882" s="271"/>
    </row>
    <row r="883">
      <c r="P883" s="271"/>
    </row>
    <row r="884">
      <c r="P884" s="271"/>
    </row>
    <row r="885">
      <c r="P885" s="271"/>
    </row>
    <row r="886">
      <c r="P886" s="271"/>
    </row>
    <row r="887">
      <c r="P887" s="271"/>
    </row>
    <row r="888">
      <c r="P888" s="271"/>
    </row>
    <row r="889">
      <c r="P889" s="271"/>
    </row>
    <row r="890">
      <c r="P890" s="271"/>
    </row>
    <row r="891">
      <c r="P891" s="271"/>
    </row>
    <row r="892">
      <c r="P892" s="271"/>
    </row>
    <row r="893">
      <c r="P893" s="271"/>
    </row>
    <row r="894">
      <c r="P894" s="271"/>
    </row>
    <row r="895">
      <c r="P895" s="271"/>
    </row>
    <row r="896">
      <c r="P896" s="271"/>
    </row>
    <row r="897">
      <c r="P897" s="271"/>
    </row>
    <row r="898">
      <c r="P898" s="271"/>
    </row>
    <row r="899">
      <c r="P899" s="271"/>
    </row>
    <row r="900">
      <c r="P900" s="271"/>
    </row>
    <row r="901">
      <c r="P901" s="271"/>
    </row>
    <row r="902">
      <c r="P902" s="271"/>
    </row>
    <row r="903">
      <c r="P903" s="271"/>
    </row>
    <row r="904">
      <c r="P904" s="271"/>
    </row>
    <row r="905">
      <c r="P905" s="271"/>
    </row>
    <row r="906">
      <c r="P906" s="271"/>
    </row>
    <row r="907">
      <c r="P907" s="271"/>
    </row>
    <row r="908">
      <c r="P908" s="271"/>
    </row>
    <row r="909">
      <c r="P909" s="271"/>
    </row>
    <row r="910">
      <c r="P910" s="271"/>
    </row>
    <row r="911">
      <c r="P911" s="271"/>
    </row>
    <row r="912">
      <c r="P912" s="271"/>
    </row>
    <row r="913">
      <c r="P913" s="271"/>
    </row>
    <row r="914">
      <c r="P914" s="271"/>
    </row>
    <row r="915">
      <c r="P915" s="271"/>
    </row>
    <row r="916">
      <c r="P916" s="271"/>
    </row>
    <row r="917">
      <c r="P917" s="271"/>
    </row>
    <row r="918">
      <c r="P918" s="271"/>
    </row>
    <row r="919">
      <c r="P919" s="271"/>
    </row>
    <row r="920">
      <c r="P920" s="271"/>
    </row>
    <row r="921">
      <c r="P921" s="271"/>
    </row>
    <row r="922">
      <c r="P922" s="271"/>
    </row>
    <row r="923">
      <c r="P923" s="271"/>
    </row>
    <row r="924">
      <c r="P924" s="271"/>
    </row>
    <row r="925">
      <c r="P925" s="271"/>
    </row>
    <row r="926">
      <c r="P926" s="271"/>
    </row>
    <row r="927">
      <c r="P927" s="271"/>
    </row>
    <row r="928">
      <c r="P928" s="271"/>
    </row>
    <row r="929">
      <c r="P929" s="271"/>
    </row>
    <row r="930">
      <c r="P930" s="271"/>
    </row>
    <row r="931">
      <c r="P931" s="271"/>
    </row>
    <row r="932">
      <c r="P932" s="271"/>
    </row>
    <row r="933">
      <c r="P933" s="271"/>
    </row>
    <row r="934">
      <c r="P934" s="271"/>
    </row>
    <row r="935">
      <c r="P935" s="271"/>
    </row>
    <row r="936">
      <c r="P936" s="271"/>
    </row>
    <row r="937">
      <c r="P937" s="271"/>
    </row>
    <row r="938">
      <c r="P938" s="271"/>
    </row>
    <row r="939">
      <c r="P939" s="271"/>
    </row>
    <row r="940">
      <c r="P940" s="271"/>
    </row>
    <row r="941">
      <c r="P941" s="271"/>
    </row>
    <row r="942">
      <c r="P942" s="271"/>
    </row>
    <row r="943">
      <c r="P943" s="271"/>
    </row>
    <row r="944">
      <c r="P944" s="271"/>
    </row>
    <row r="945">
      <c r="P945" s="271"/>
    </row>
    <row r="946">
      <c r="P946" s="271"/>
    </row>
    <row r="947">
      <c r="P947" s="271"/>
    </row>
    <row r="948">
      <c r="P948" s="271"/>
    </row>
    <row r="949">
      <c r="P949" s="271"/>
    </row>
    <row r="950">
      <c r="P950" s="271"/>
    </row>
    <row r="951">
      <c r="P951" s="271"/>
    </row>
    <row r="952">
      <c r="P952" s="271"/>
    </row>
    <row r="953">
      <c r="P953" s="271"/>
    </row>
    <row r="954">
      <c r="P954" s="271"/>
    </row>
    <row r="955">
      <c r="P955" s="271"/>
    </row>
    <row r="956">
      <c r="P956" s="271"/>
    </row>
    <row r="957">
      <c r="P957" s="271"/>
    </row>
    <row r="958">
      <c r="P958" s="271"/>
    </row>
    <row r="959">
      <c r="P959" s="271"/>
    </row>
    <row r="960">
      <c r="P960" s="271"/>
    </row>
    <row r="961">
      <c r="P961" s="271"/>
    </row>
    <row r="962">
      <c r="P962" s="271"/>
    </row>
    <row r="963">
      <c r="P963" s="271"/>
    </row>
    <row r="964">
      <c r="P964" s="271"/>
    </row>
    <row r="965">
      <c r="P965" s="271"/>
    </row>
    <row r="966">
      <c r="P966" s="271"/>
    </row>
    <row r="967">
      <c r="P967" s="271"/>
    </row>
    <row r="968">
      <c r="P968" s="271"/>
    </row>
    <row r="969">
      <c r="P969" s="271"/>
    </row>
    <row r="970">
      <c r="P970" s="271"/>
    </row>
    <row r="971">
      <c r="P971" s="271"/>
    </row>
    <row r="972">
      <c r="P972" s="271"/>
    </row>
    <row r="973">
      <c r="P973" s="271"/>
    </row>
    <row r="974">
      <c r="P974" s="271"/>
    </row>
    <row r="975">
      <c r="P975" s="271"/>
    </row>
    <row r="976">
      <c r="P976" s="271"/>
    </row>
    <row r="977">
      <c r="P977" s="271"/>
    </row>
    <row r="978">
      <c r="P978" s="271"/>
    </row>
    <row r="979">
      <c r="P979" s="271"/>
    </row>
    <row r="980">
      <c r="P980" s="271"/>
    </row>
    <row r="981">
      <c r="P981" s="271"/>
    </row>
    <row r="982">
      <c r="P982" s="271"/>
    </row>
    <row r="983">
      <c r="P983" s="271"/>
    </row>
    <row r="984">
      <c r="P984" s="271"/>
    </row>
    <row r="985">
      <c r="P985" s="271"/>
    </row>
    <row r="986">
      <c r="P986" s="271"/>
    </row>
    <row r="987">
      <c r="P987" s="271"/>
    </row>
    <row r="988">
      <c r="P988" s="271"/>
    </row>
    <row r="989">
      <c r="P989" s="271"/>
    </row>
    <row r="990">
      <c r="P990" s="271"/>
    </row>
    <row r="991">
      <c r="P991" s="271"/>
    </row>
    <row r="992">
      <c r="P992" s="271"/>
    </row>
    <row r="993">
      <c r="P993" s="271"/>
    </row>
    <row r="994">
      <c r="P994" s="271"/>
    </row>
    <row r="995">
      <c r="P995" s="271"/>
    </row>
    <row r="996">
      <c r="P996" s="271"/>
    </row>
    <row r="997">
      <c r="P997" s="271"/>
    </row>
    <row r="998">
      <c r="P998" s="271"/>
    </row>
    <row r="999">
      <c r="P999" s="271"/>
    </row>
    <row r="1000">
      <c r="P1000" s="271"/>
    </row>
    <row r="1001">
      <c r="P1001" s="271"/>
    </row>
    <row r="1002">
      <c r="P1002" s="271"/>
    </row>
    <row r="1003">
      <c r="P1003" s="271"/>
    </row>
    <row r="1004">
      <c r="P1004" s="271"/>
    </row>
    <row r="1005">
      <c r="P1005" s="271"/>
    </row>
    <row r="1006">
      <c r="P1006" s="271"/>
    </row>
    <row r="1007">
      <c r="P1007" s="271"/>
    </row>
    <row r="1008">
      <c r="P1008" s="271"/>
    </row>
    <row r="1009">
      <c r="P1009" s="271"/>
    </row>
    <row r="1010">
      <c r="P1010" s="271"/>
    </row>
    <row r="1011">
      <c r="P1011" s="271"/>
    </row>
    <row r="1012">
      <c r="P1012" s="271"/>
    </row>
    <row r="1013">
      <c r="P1013" s="271"/>
    </row>
    <row r="1014">
      <c r="P1014" s="271"/>
    </row>
    <row r="1015">
      <c r="P1015" s="271"/>
    </row>
    <row r="1016">
      <c r="P1016" s="271"/>
    </row>
    <row r="1017">
      <c r="P1017" s="271"/>
    </row>
    <row r="1018">
      <c r="P1018" s="271"/>
    </row>
    <row r="1019">
      <c r="P1019" s="271"/>
    </row>
    <row r="1020">
      <c r="P1020" s="271"/>
    </row>
    <row r="1021">
      <c r="P1021" s="271"/>
    </row>
    <row r="1022">
      <c r="P1022" s="271"/>
    </row>
    <row r="1023">
      <c r="P1023" s="271"/>
    </row>
    <row r="1024">
      <c r="P1024" s="271"/>
    </row>
    <row r="1025">
      <c r="P1025" s="271"/>
    </row>
    <row r="1026">
      <c r="P1026" s="271"/>
    </row>
    <row r="1027">
      <c r="P1027" s="271"/>
    </row>
    <row r="1028">
      <c r="P1028" s="271"/>
    </row>
    <row r="1029">
      <c r="P1029" s="271"/>
    </row>
    <row r="1030">
      <c r="P1030" s="271"/>
    </row>
    <row r="1031">
      <c r="P1031" s="271"/>
    </row>
    <row r="1032">
      <c r="P1032" s="271"/>
    </row>
    <row r="1033">
      <c r="P1033" s="271"/>
    </row>
    <row r="1034">
      <c r="P1034" s="271"/>
    </row>
    <row r="1035">
      <c r="P1035" s="271"/>
    </row>
    <row r="1036">
      <c r="P1036" s="271"/>
    </row>
    <row r="1037">
      <c r="P1037" s="271"/>
    </row>
    <row r="1038">
      <c r="P1038" s="271"/>
    </row>
    <row r="1039">
      <c r="P1039" s="271"/>
    </row>
    <row r="1040">
      <c r="P1040" s="271"/>
    </row>
    <row r="1041">
      <c r="P1041" s="271"/>
    </row>
    <row r="1042">
      <c r="P1042" s="271"/>
    </row>
    <row r="1043">
      <c r="P1043" s="271"/>
    </row>
    <row r="1044">
      <c r="P1044" s="271"/>
    </row>
    <row r="1045">
      <c r="P1045" s="271"/>
    </row>
    <row r="1046">
      <c r="P1046" s="271"/>
    </row>
    <row r="1047">
      <c r="P1047" s="271"/>
    </row>
    <row r="1048">
      <c r="P1048" s="271"/>
    </row>
    <row r="1049">
      <c r="P1049" s="271"/>
    </row>
    <row r="1050">
      <c r="P1050" s="271"/>
    </row>
    <row r="1051">
      <c r="P1051" s="271"/>
    </row>
    <row r="1052">
      <c r="P1052" s="271"/>
    </row>
    <row r="1053">
      <c r="P1053" s="271"/>
    </row>
    <row r="1054">
      <c r="P1054" s="271"/>
    </row>
    <row r="1055">
      <c r="P1055" s="271"/>
    </row>
    <row r="1056">
      <c r="P1056" s="271"/>
    </row>
    <row r="1057">
      <c r="P1057" s="271"/>
    </row>
    <row r="1058">
      <c r="P1058" s="271"/>
    </row>
    <row r="1059">
      <c r="P1059" s="271"/>
    </row>
    <row r="1060">
      <c r="P1060" s="271"/>
    </row>
    <row r="1061">
      <c r="P1061" s="271"/>
    </row>
    <row r="1062">
      <c r="P1062" s="271"/>
    </row>
    <row r="1063">
      <c r="P1063" s="271"/>
    </row>
    <row r="1064">
      <c r="P1064" s="271"/>
    </row>
    <row r="1065">
      <c r="P1065" s="271"/>
    </row>
    <row r="1066">
      <c r="P1066" s="271"/>
    </row>
    <row r="1067">
      <c r="P1067" s="271"/>
    </row>
    <row r="1068">
      <c r="P1068" s="271"/>
    </row>
    <row r="1069">
      <c r="P1069" s="271"/>
    </row>
    <row r="1070">
      <c r="P1070" s="271"/>
    </row>
    <row r="1071">
      <c r="P1071" s="271"/>
    </row>
    <row r="1072">
      <c r="P1072" s="271"/>
    </row>
    <row r="1073">
      <c r="P1073" s="271"/>
    </row>
    <row r="1074">
      <c r="P1074" s="271"/>
    </row>
    <row r="1075">
      <c r="P1075" s="271"/>
    </row>
    <row r="1076">
      <c r="P1076" s="271"/>
    </row>
    <row r="1077">
      <c r="P1077" s="271"/>
    </row>
    <row r="1078">
      <c r="P1078" s="271"/>
    </row>
    <row r="1079">
      <c r="P1079" s="271"/>
    </row>
    <row r="1080">
      <c r="P1080" s="271"/>
    </row>
    <row r="1081">
      <c r="P1081" s="271"/>
    </row>
    <row r="1082">
      <c r="P1082" s="271"/>
    </row>
    <row r="1083">
      <c r="P1083" s="271"/>
    </row>
    <row r="1084">
      <c r="P1084" s="271"/>
    </row>
    <row r="1085">
      <c r="P1085" s="271"/>
    </row>
    <row r="1086">
      <c r="P1086" s="271"/>
    </row>
    <row r="1087">
      <c r="P1087" s="271"/>
    </row>
    <row r="1088">
      <c r="P1088" s="271"/>
    </row>
    <row r="1089">
      <c r="P1089" s="271"/>
    </row>
    <row r="1090">
      <c r="P1090" s="271"/>
    </row>
    <row r="1091">
      <c r="P1091" s="271"/>
    </row>
    <row r="1092">
      <c r="P1092" s="271"/>
    </row>
    <row r="1093">
      <c r="P1093" s="271"/>
    </row>
    <row r="1094">
      <c r="P1094" s="271"/>
    </row>
    <row r="1095">
      <c r="P1095" s="271"/>
    </row>
    <row r="1096">
      <c r="P1096" s="271"/>
    </row>
    <row r="1097">
      <c r="P1097" s="271"/>
    </row>
    <row r="1098">
      <c r="P1098" s="271"/>
    </row>
    <row r="1099">
      <c r="P1099" s="271"/>
    </row>
    <row r="1100">
      <c r="P1100" s="271"/>
    </row>
    <row r="1101">
      <c r="P1101" s="271"/>
    </row>
    <row r="1102">
      <c r="P1102" s="271"/>
    </row>
    <row r="1103">
      <c r="P1103" s="271"/>
    </row>
    <row r="1104">
      <c r="P1104" s="271"/>
    </row>
    <row r="1105">
      <c r="P1105" s="271"/>
    </row>
    <row r="1106">
      <c r="P1106" s="271"/>
    </row>
    <row r="1107">
      <c r="P1107" s="271"/>
    </row>
    <row r="1108">
      <c r="P1108" s="271"/>
    </row>
    <row r="1109">
      <c r="P1109" s="271"/>
    </row>
    <row r="1110">
      <c r="P1110" s="271"/>
    </row>
    <row r="1111">
      <c r="P1111" s="271"/>
    </row>
    <row r="1112">
      <c r="P1112" s="271"/>
    </row>
    <row r="1113">
      <c r="P1113" s="271"/>
    </row>
    <row r="1114">
      <c r="P1114" s="271"/>
    </row>
    <row r="1115">
      <c r="P1115" s="271"/>
    </row>
    <row r="1116">
      <c r="P1116" s="271"/>
    </row>
    <row r="1117">
      <c r="P1117" s="271"/>
    </row>
    <row r="1118">
      <c r="P1118" s="271"/>
    </row>
    <row r="1119">
      <c r="P1119" s="271"/>
    </row>
    <row r="1120">
      <c r="P1120" s="271"/>
    </row>
    <row r="1121">
      <c r="P1121" s="271"/>
    </row>
    <row r="1122">
      <c r="P1122" s="271"/>
    </row>
    <row r="1123">
      <c r="P1123" s="271"/>
    </row>
    <row r="1124">
      <c r="P1124" s="271"/>
    </row>
    <row r="1125">
      <c r="P1125" s="271"/>
    </row>
    <row r="1126">
      <c r="P1126" s="271"/>
    </row>
    <row r="1127">
      <c r="P1127" s="271"/>
    </row>
    <row r="1128">
      <c r="P1128" s="271"/>
    </row>
    <row r="1129">
      <c r="P1129" s="271"/>
    </row>
    <row r="1130">
      <c r="P1130" s="271"/>
    </row>
    <row r="1131">
      <c r="P1131" s="271"/>
    </row>
    <row r="1132">
      <c r="P1132" s="271"/>
    </row>
    <row r="1133">
      <c r="P1133" s="271"/>
    </row>
    <row r="1134">
      <c r="P1134" s="271"/>
    </row>
    <row r="1135">
      <c r="P1135" s="271"/>
    </row>
    <row r="1136">
      <c r="P1136" s="271"/>
    </row>
    <row r="1137">
      <c r="P1137" s="271"/>
    </row>
    <row r="1138">
      <c r="P1138" s="271"/>
    </row>
    <row r="1139">
      <c r="P1139" s="271"/>
    </row>
    <row r="1140">
      <c r="P1140" s="271"/>
    </row>
    <row r="1141">
      <c r="P1141" s="271"/>
    </row>
    <row r="1142">
      <c r="P1142" s="271"/>
    </row>
    <row r="1143">
      <c r="P1143" s="271"/>
    </row>
    <row r="1144">
      <c r="P1144" s="271"/>
    </row>
    <row r="1145">
      <c r="P1145" s="271"/>
    </row>
    <row r="1146">
      <c r="P1146" s="271"/>
    </row>
    <row r="1147">
      <c r="P1147" s="271"/>
    </row>
    <row r="1148">
      <c r="P1148" s="271"/>
    </row>
    <row r="1149">
      <c r="P1149" s="271"/>
    </row>
    <row r="1150">
      <c r="P1150" s="271"/>
    </row>
    <row r="1151">
      <c r="P1151" s="271"/>
    </row>
    <row r="1152">
      <c r="P1152" s="271"/>
    </row>
    <row r="1153">
      <c r="P1153" s="271"/>
    </row>
    <row r="1154">
      <c r="P1154" s="271"/>
    </row>
    <row r="1155">
      <c r="P1155" s="271"/>
    </row>
    <row r="1156">
      <c r="P1156" s="271"/>
    </row>
    <row r="1157">
      <c r="P1157" s="271"/>
    </row>
    <row r="1158">
      <c r="P1158" s="271"/>
    </row>
    <row r="1159">
      <c r="P1159" s="271"/>
    </row>
    <row r="1160">
      <c r="P1160" s="271"/>
    </row>
    <row r="1161">
      <c r="P1161" s="271"/>
    </row>
    <row r="1162">
      <c r="P1162" s="271"/>
    </row>
    <row r="1163">
      <c r="P1163" s="271"/>
    </row>
    <row r="1164">
      <c r="P1164" s="271"/>
    </row>
    <row r="1165">
      <c r="P1165" s="271"/>
    </row>
    <row r="1166">
      <c r="P1166" s="271"/>
    </row>
    <row r="1167">
      <c r="P1167" s="271"/>
    </row>
    <row r="1168">
      <c r="P1168" s="271"/>
    </row>
    <row r="1169">
      <c r="P1169" s="271"/>
    </row>
    <row r="1170">
      <c r="P1170" s="271"/>
    </row>
    <row r="1171">
      <c r="P1171" s="271"/>
    </row>
    <row r="1172">
      <c r="P1172" s="271"/>
    </row>
    <row r="1173">
      <c r="P1173" s="271"/>
    </row>
    <row r="1174">
      <c r="P1174" s="271"/>
    </row>
    <row r="1175">
      <c r="P1175" s="271"/>
    </row>
    <row r="1176">
      <c r="P1176" s="271"/>
    </row>
    <row r="1177">
      <c r="P1177" s="271"/>
    </row>
    <row r="1178">
      <c r="P1178" s="271"/>
    </row>
    <row r="1179">
      <c r="P1179" s="271"/>
    </row>
    <row r="1180">
      <c r="P1180" s="271"/>
    </row>
    <row r="1181">
      <c r="P1181" s="271"/>
    </row>
    <row r="1182">
      <c r="P1182" s="271"/>
    </row>
    <row r="1183">
      <c r="P1183" s="271"/>
    </row>
    <row r="1184">
      <c r="P1184" s="271"/>
    </row>
    <row r="1185">
      <c r="P1185" s="271"/>
    </row>
    <row r="1186">
      <c r="P1186" s="271"/>
    </row>
    <row r="1187">
      <c r="P1187" s="271"/>
    </row>
    <row r="1188">
      <c r="P1188" s="271"/>
    </row>
    <row r="1189">
      <c r="P1189" s="271"/>
    </row>
    <row r="1190">
      <c r="P1190" s="271"/>
    </row>
    <row r="1191">
      <c r="P1191" s="271"/>
    </row>
    <row r="1192">
      <c r="P1192" s="271"/>
    </row>
    <row r="1193">
      <c r="P1193" s="271"/>
    </row>
    <row r="1194">
      <c r="P1194" s="271"/>
    </row>
    <row r="1195">
      <c r="P1195" s="271"/>
    </row>
    <row r="1196">
      <c r="P1196" s="271"/>
    </row>
    <row r="1197">
      <c r="P1197" s="271"/>
    </row>
    <row r="1198">
      <c r="P1198" s="271"/>
    </row>
    <row r="1199">
      <c r="P1199" s="271"/>
    </row>
    <row r="1200">
      <c r="P1200" s="271"/>
    </row>
    <row r="1201">
      <c r="P1201" s="271"/>
    </row>
    <row r="1202">
      <c r="P1202" s="271"/>
    </row>
    <row r="1203">
      <c r="P1203" s="271"/>
    </row>
    <row r="1204">
      <c r="P1204" s="271"/>
    </row>
    <row r="1205">
      <c r="P1205" s="271"/>
    </row>
    <row r="1206">
      <c r="P1206" s="271"/>
    </row>
    <row r="1207">
      <c r="P1207" s="271"/>
    </row>
    <row r="1208">
      <c r="P1208" s="271"/>
    </row>
    <row r="1209">
      <c r="P1209" s="271"/>
    </row>
    <row r="1210">
      <c r="P1210" s="271"/>
    </row>
    <row r="1211">
      <c r="P1211" s="271"/>
    </row>
    <row r="1212">
      <c r="P1212" s="271"/>
    </row>
    <row r="1213">
      <c r="P1213" s="271"/>
    </row>
    <row r="1214">
      <c r="P1214" s="271"/>
    </row>
    <row r="1215">
      <c r="P1215" s="271"/>
    </row>
    <row r="1216">
      <c r="P1216" s="271"/>
    </row>
    <row r="1217">
      <c r="P1217" s="271"/>
    </row>
    <row r="1218">
      <c r="P1218" s="271"/>
    </row>
    <row r="1219">
      <c r="P1219" s="271"/>
    </row>
    <row r="1220">
      <c r="P1220" s="271"/>
    </row>
    <row r="1221">
      <c r="P1221" s="271"/>
    </row>
    <row r="1222">
      <c r="P1222" s="271"/>
    </row>
    <row r="1223">
      <c r="P1223" s="271"/>
    </row>
    <row r="1224">
      <c r="P1224" s="271"/>
    </row>
    <row r="1225">
      <c r="P1225" s="271"/>
    </row>
    <row r="1226">
      <c r="P1226" s="271"/>
    </row>
    <row r="1227">
      <c r="P1227" s="271"/>
    </row>
    <row r="1228">
      <c r="P1228" s="271"/>
    </row>
    <row r="1229">
      <c r="P1229" s="271"/>
    </row>
    <row r="1230">
      <c r="P1230" s="271"/>
    </row>
    <row r="1231">
      <c r="P1231" s="271"/>
    </row>
    <row r="1232">
      <c r="P1232" s="271"/>
    </row>
    <row r="1233">
      <c r="P1233" s="271"/>
    </row>
    <row r="1234">
      <c r="P1234" s="271"/>
    </row>
    <row r="1235">
      <c r="P1235" s="271"/>
    </row>
    <row r="1236">
      <c r="P1236" s="271"/>
    </row>
    <row r="1237">
      <c r="P1237" s="271"/>
    </row>
    <row r="1238">
      <c r="P1238" s="271"/>
    </row>
    <row r="1239">
      <c r="P1239" s="271"/>
    </row>
    <row r="1240">
      <c r="P1240" s="271"/>
    </row>
    <row r="1241">
      <c r="P1241" s="271"/>
    </row>
    <row r="1242">
      <c r="P1242" s="271"/>
    </row>
    <row r="1243">
      <c r="P1243" s="271"/>
    </row>
    <row r="1244">
      <c r="P1244" s="271"/>
    </row>
    <row r="1245">
      <c r="P1245" s="271"/>
    </row>
    <row r="1246">
      <c r="P1246" s="271"/>
    </row>
    <row r="1247">
      <c r="P1247" s="271"/>
    </row>
    <row r="1248">
      <c r="P1248" s="271"/>
    </row>
    <row r="1249">
      <c r="P1249" s="271"/>
    </row>
    <row r="1250">
      <c r="P1250" s="271"/>
    </row>
    <row r="1251">
      <c r="P1251" s="271"/>
    </row>
    <row r="1252">
      <c r="P1252" s="271"/>
    </row>
    <row r="1253">
      <c r="P1253" s="271"/>
    </row>
    <row r="1254">
      <c r="P1254" s="271"/>
    </row>
    <row r="1255">
      <c r="P1255" s="271"/>
    </row>
    <row r="1256">
      <c r="P1256" s="271"/>
    </row>
    <row r="1257">
      <c r="P1257" s="271"/>
    </row>
    <row r="1258">
      <c r="P1258" s="271"/>
    </row>
    <row r="1259">
      <c r="P1259" s="271"/>
    </row>
    <row r="1260">
      <c r="P1260" s="271"/>
    </row>
    <row r="1261">
      <c r="P1261" s="271"/>
    </row>
    <row r="1262">
      <c r="P1262" s="271"/>
    </row>
    <row r="1263">
      <c r="P1263" s="271"/>
    </row>
    <row r="1264">
      <c r="P1264" s="271"/>
    </row>
    <row r="1265">
      <c r="P1265" s="271"/>
    </row>
    <row r="1266">
      <c r="P1266" s="271"/>
    </row>
    <row r="1267">
      <c r="P1267" s="271"/>
    </row>
    <row r="1268">
      <c r="P1268" s="271"/>
    </row>
    <row r="1269">
      <c r="P1269" s="271"/>
    </row>
    <row r="1270">
      <c r="P1270" s="271"/>
    </row>
    <row r="1271">
      <c r="P1271" s="271"/>
    </row>
    <row r="1272">
      <c r="P1272" s="271"/>
    </row>
    <row r="1273">
      <c r="P1273" s="271"/>
    </row>
    <row r="1274">
      <c r="P1274" s="271"/>
    </row>
    <row r="1275">
      <c r="P1275" s="271"/>
    </row>
    <row r="1276">
      <c r="P1276" s="271"/>
    </row>
    <row r="1277">
      <c r="P1277" s="271"/>
    </row>
    <row r="1278">
      <c r="P1278" s="271"/>
    </row>
    <row r="1279">
      <c r="P1279" s="271"/>
    </row>
    <row r="1280">
      <c r="P1280" s="271"/>
    </row>
    <row r="1281">
      <c r="P1281" s="271"/>
    </row>
    <row r="1282">
      <c r="P1282" s="271"/>
    </row>
    <row r="1283">
      <c r="P1283" s="271"/>
    </row>
    <row r="1284">
      <c r="P1284" s="271"/>
    </row>
    <row r="1285">
      <c r="P1285" s="271"/>
    </row>
    <row r="1286">
      <c r="P1286" s="271"/>
    </row>
    <row r="1287">
      <c r="P1287" s="271"/>
    </row>
    <row r="1288">
      <c r="P1288" s="271"/>
    </row>
    <row r="1289">
      <c r="P1289" s="271"/>
    </row>
    <row r="1290">
      <c r="P1290" s="271"/>
    </row>
    <row r="1291">
      <c r="P1291" s="271"/>
    </row>
    <row r="1292">
      <c r="P1292" s="271"/>
    </row>
    <row r="1293">
      <c r="P1293" s="271"/>
    </row>
    <row r="1294">
      <c r="P1294" s="271"/>
    </row>
    <row r="1295">
      <c r="P1295" s="271"/>
    </row>
    <row r="1296">
      <c r="P1296" s="271"/>
    </row>
    <row r="1297">
      <c r="P1297" s="271"/>
    </row>
    <row r="1298">
      <c r="P1298" s="271"/>
    </row>
    <row r="1299">
      <c r="P1299" s="271"/>
    </row>
    <row r="1300">
      <c r="P1300" s="271"/>
    </row>
    <row r="1301">
      <c r="P1301" s="271"/>
    </row>
    <row r="1302">
      <c r="P1302" s="271"/>
    </row>
    <row r="1303">
      <c r="P1303" s="271"/>
    </row>
    <row r="1304">
      <c r="P1304" s="271"/>
    </row>
    <row r="1305">
      <c r="P1305" s="271"/>
    </row>
    <row r="1306">
      <c r="P1306" s="271"/>
    </row>
    <row r="1307">
      <c r="P1307" s="271"/>
    </row>
    <row r="1308">
      <c r="P1308" s="271"/>
    </row>
    <row r="1309">
      <c r="P1309" s="271"/>
    </row>
    <row r="1310">
      <c r="P1310" s="271"/>
    </row>
    <row r="1311">
      <c r="P1311" s="271"/>
    </row>
    <row r="1312">
      <c r="P1312" s="271"/>
    </row>
    <row r="1313">
      <c r="P1313" s="271"/>
    </row>
    <row r="1314">
      <c r="P1314" s="271"/>
    </row>
    <row r="1315">
      <c r="P1315" s="271"/>
    </row>
    <row r="1316">
      <c r="P1316" s="271"/>
    </row>
    <row r="1317">
      <c r="P1317" s="271"/>
    </row>
    <row r="1318">
      <c r="P1318" s="271"/>
    </row>
    <row r="1319">
      <c r="P1319" s="271"/>
    </row>
    <row r="1320">
      <c r="P1320" s="271"/>
    </row>
    <row r="1321">
      <c r="P1321" s="271"/>
    </row>
    <row r="1322">
      <c r="P1322" s="271"/>
    </row>
    <row r="1323">
      <c r="P1323" s="271"/>
    </row>
    <row r="1324">
      <c r="P1324" s="271"/>
    </row>
    <row r="1325">
      <c r="P1325" s="271"/>
    </row>
    <row r="1326">
      <c r="P1326" s="271"/>
    </row>
    <row r="1327">
      <c r="P1327" s="271"/>
    </row>
    <row r="1328">
      <c r="P1328" s="271"/>
    </row>
    <row r="1329">
      <c r="P1329" s="271"/>
    </row>
    <row r="1330">
      <c r="P1330" s="271"/>
    </row>
    <row r="1331">
      <c r="P1331" s="271"/>
    </row>
    <row r="1332">
      <c r="P1332" s="271"/>
    </row>
    <row r="1333">
      <c r="P1333" s="271"/>
    </row>
    <row r="1334">
      <c r="P1334" s="271"/>
    </row>
    <row r="1335">
      <c r="P1335" s="271"/>
    </row>
    <row r="1336">
      <c r="P1336" s="271"/>
    </row>
    <row r="1337">
      <c r="P1337" s="271"/>
    </row>
    <row r="1338">
      <c r="P1338" s="271"/>
    </row>
    <row r="1339">
      <c r="P1339" s="271"/>
    </row>
    <row r="1340">
      <c r="P1340" s="271"/>
    </row>
    <row r="1341">
      <c r="P1341" s="271"/>
    </row>
    <row r="1342">
      <c r="P1342" s="271"/>
    </row>
    <row r="1343">
      <c r="P1343" s="271"/>
    </row>
    <row r="1344">
      <c r="P1344" s="271"/>
    </row>
    <row r="1345">
      <c r="P1345" s="271"/>
    </row>
    <row r="1346">
      <c r="P1346" s="271"/>
    </row>
    <row r="1347">
      <c r="P1347" s="271"/>
    </row>
    <row r="1348">
      <c r="P1348" s="271"/>
    </row>
    <row r="1349">
      <c r="P1349" s="271"/>
    </row>
    <row r="1350">
      <c r="P1350" s="271"/>
    </row>
    <row r="1351">
      <c r="P1351" s="271"/>
    </row>
    <row r="1352">
      <c r="P1352" s="271"/>
    </row>
    <row r="1353">
      <c r="P1353" s="271"/>
    </row>
    <row r="1354">
      <c r="P1354" s="271"/>
    </row>
    <row r="1355">
      <c r="P1355" s="271"/>
    </row>
    <row r="1356">
      <c r="P1356" s="271"/>
    </row>
    <row r="1357">
      <c r="P1357" s="271"/>
    </row>
    <row r="1358">
      <c r="P1358" s="271"/>
    </row>
    <row r="1359">
      <c r="P1359" s="271"/>
    </row>
    <row r="1360">
      <c r="P1360" s="271"/>
    </row>
    <row r="1361">
      <c r="P1361" s="271"/>
    </row>
    <row r="1362">
      <c r="P1362" s="271"/>
    </row>
    <row r="1363">
      <c r="P1363" s="271"/>
    </row>
    <row r="1364">
      <c r="P1364" s="271"/>
    </row>
    <row r="1365">
      <c r="P1365" s="271"/>
    </row>
    <row r="1366">
      <c r="P1366" s="271"/>
    </row>
    <row r="1367">
      <c r="P1367" s="271"/>
    </row>
    <row r="1368">
      <c r="P1368" s="271"/>
    </row>
    <row r="1369">
      <c r="P1369" s="271"/>
    </row>
    <row r="1370">
      <c r="P1370" s="271"/>
    </row>
    <row r="1371">
      <c r="P1371" s="271"/>
    </row>
    <row r="1372">
      <c r="P1372" s="271"/>
    </row>
    <row r="1373">
      <c r="P1373" s="271"/>
    </row>
    <row r="1374">
      <c r="P1374" s="271"/>
    </row>
    <row r="1375">
      <c r="P1375" s="271"/>
    </row>
    <row r="1376">
      <c r="P1376" s="271"/>
    </row>
    <row r="1377">
      <c r="P1377" s="271"/>
    </row>
    <row r="1378">
      <c r="P1378" s="271"/>
    </row>
    <row r="1379">
      <c r="P1379" s="271"/>
    </row>
    <row r="1380">
      <c r="P1380" s="271"/>
    </row>
    <row r="1381">
      <c r="P1381" s="271"/>
    </row>
    <row r="1382">
      <c r="P1382" s="271"/>
    </row>
    <row r="1383">
      <c r="P1383" s="271"/>
    </row>
    <row r="1384">
      <c r="P1384" s="271"/>
    </row>
    <row r="1385">
      <c r="P1385" s="271"/>
    </row>
    <row r="1386">
      <c r="P1386" s="271"/>
    </row>
    <row r="1387">
      <c r="P1387" s="271"/>
    </row>
    <row r="1388">
      <c r="P1388" s="271"/>
    </row>
    <row r="1389">
      <c r="P1389" s="271"/>
    </row>
    <row r="1390">
      <c r="P1390" s="271"/>
    </row>
    <row r="1391">
      <c r="P1391" s="271"/>
    </row>
    <row r="1392">
      <c r="P1392" s="271"/>
    </row>
    <row r="1393">
      <c r="P1393" s="271"/>
    </row>
    <row r="1394">
      <c r="P1394" s="271"/>
    </row>
    <row r="1395">
      <c r="P1395" s="271"/>
    </row>
    <row r="1396">
      <c r="P1396" s="271"/>
    </row>
    <row r="1397">
      <c r="P1397" s="271"/>
    </row>
    <row r="1398">
      <c r="P1398" s="271"/>
    </row>
    <row r="1399">
      <c r="P1399" s="271"/>
    </row>
    <row r="1400">
      <c r="P1400" s="271"/>
    </row>
    <row r="1401">
      <c r="P1401" s="271"/>
    </row>
    <row r="1402">
      <c r="P1402" s="271"/>
    </row>
    <row r="1403">
      <c r="P1403" s="271"/>
    </row>
    <row r="1404">
      <c r="P1404" s="271"/>
    </row>
    <row r="1405">
      <c r="P1405" s="271"/>
    </row>
    <row r="1406">
      <c r="P1406" s="271"/>
    </row>
    <row r="1407">
      <c r="P1407" s="271"/>
    </row>
    <row r="1408">
      <c r="P1408" s="271"/>
    </row>
    <row r="1409">
      <c r="P1409" s="271"/>
    </row>
    <row r="1410">
      <c r="P1410" s="271"/>
    </row>
    <row r="1411">
      <c r="P1411" s="271"/>
    </row>
    <row r="1412">
      <c r="P1412" s="271"/>
    </row>
    <row r="1413">
      <c r="P1413" s="271"/>
    </row>
    <row r="1414">
      <c r="P1414" s="271"/>
    </row>
    <row r="1415">
      <c r="P1415" s="271"/>
    </row>
    <row r="1416">
      <c r="P1416" s="271"/>
    </row>
    <row r="1417">
      <c r="P1417" s="271"/>
    </row>
    <row r="1418">
      <c r="P1418" s="271"/>
    </row>
    <row r="1419">
      <c r="P1419" s="271"/>
    </row>
    <row r="1420">
      <c r="P1420" s="271"/>
    </row>
    <row r="1421">
      <c r="P1421" s="271"/>
    </row>
    <row r="1422">
      <c r="P1422" s="271"/>
    </row>
    <row r="1423">
      <c r="P1423" s="271"/>
    </row>
    <row r="1424">
      <c r="P1424" s="271"/>
    </row>
    <row r="1425">
      <c r="P1425" s="271"/>
    </row>
    <row r="1426">
      <c r="P1426" s="271"/>
    </row>
    <row r="1427">
      <c r="P1427" s="271"/>
    </row>
    <row r="1428">
      <c r="P1428" s="271"/>
    </row>
    <row r="1429">
      <c r="P1429" s="271"/>
    </row>
    <row r="1430">
      <c r="P1430" s="271"/>
    </row>
    <row r="1431">
      <c r="P1431" s="271"/>
    </row>
    <row r="1432">
      <c r="P1432" s="271"/>
    </row>
    <row r="1433">
      <c r="P1433" s="271"/>
    </row>
    <row r="1434">
      <c r="P1434" s="271"/>
    </row>
    <row r="1435">
      <c r="P1435" s="271"/>
    </row>
    <row r="1436">
      <c r="P1436" s="271"/>
    </row>
    <row r="1437">
      <c r="P1437" s="271"/>
    </row>
    <row r="1438">
      <c r="P1438" s="271"/>
    </row>
    <row r="1439">
      <c r="P1439" s="271"/>
    </row>
    <row r="1440">
      <c r="P1440" s="271"/>
    </row>
    <row r="1441">
      <c r="P1441" s="271"/>
    </row>
    <row r="1442">
      <c r="P1442" s="271"/>
    </row>
    <row r="1443">
      <c r="P1443" s="271"/>
    </row>
    <row r="1444">
      <c r="P1444" s="271"/>
    </row>
    <row r="1445">
      <c r="P1445" s="271"/>
    </row>
    <row r="1446">
      <c r="P1446" s="271"/>
    </row>
    <row r="1447">
      <c r="P1447" s="271"/>
    </row>
    <row r="1448">
      <c r="P1448" s="271"/>
    </row>
    <row r="1449">
      <c r="P1449" s="271"/>
    </row>
    <row r="1450">
      <c r="P1450" s="271"/>
    </row>
    <row r="1451">
      <c r="P1451" s="271"/>
    </row>
    <row r="1452">
      <c r="P1452" s="271"/>
    </row>
    <row r="1453">
      <c r="P1453" s="271"/>
    </row>
    <row r="1454">
      <c r="P1454" s="271"/>
    </row>
    <row r="1455">
      <c r="P1455" s="271"/>
    </row>
    <row r="1456">
      <c r="P1456" s="271"/>
    </row>
    <row r="1457">
      <c r="P1457" s="271"/>
    </row>
    <row r="1458">
      <c r="P1458" s="271"/>
    </row>
    <row r="1459">
      <c r="P1459" s="271"/>
    </row>
    <row r="1460">
      <c r="P1460" s="271"/>
    </row>
    <row r="1461">
      <c r="P1461" s="271"/>
    </row>
    <row r="1462">
      <c r="P1462" s="271"/>
    </row>
    <row r="1463">
      <c r="P1463" s="271"/>
    </row>
    <row r="1464">
      <c r="P1464" s="271"/>
    </row>
    <row r="1465">
      <c r="P1465" s="271"/>
    </row>
    <row r="1466">
      <c r="P1466" s="271"/>
    </row>
    <row r="1467">
      <c r="P1467" s="271"/>
    </row>
    <row r="1468">
      <c r="P1468" s="271"/>
    </row>
    <row r="1469">
      <c r="P1469" s="271"/>
    </row>
    <row r="1470">
      <c r="P1470" s="271"/>
    </row>
    <row r="1471">
      <c r="P1471" s="271"/>
    </row>
    <row r="1472">
      <c r="P1472" s="271"/>
    </row>
    <row r="1473">
      <c r="P1473" s="271"/>
    </row>
    <row r="1474">
      <c r="P1474" s="271"/>
    </row>
    <row r="1475">
      <c r="P1475" s="271"/>
    </row>
    <row r="1476">
      <c r="P1476" s="271"/>
    </row>
    <row r="1477">
      <c r="P1477" s="271"/>
    </row>
    <row r="1478">
      <c r="P1478" s="271"/>
    </row>
    <row r="1479">
      <c r="P1479" s="271"/>
    </row>
    <row r="1480">
      <c r="P1480" s="271"/>
    </row>
    <row r="1481">
      <c r="P1481" s="271"/>
    </row>
    <row r="1482">
      <c r="P1482" s="271"/>
    </row>
    <row r="1483">
      <c r="P1483" s="271"/>
    </row>
    <row r="1484">
      <c r="P1484" s="271"/>
    </row>
    <row r="1485">
      <c r="P1485" s="271"/>
    </row>
    <row r="1486">
      <c r="P1486" s="271"/>
    </row>
    <row r="1487">
      <c r="P1487" s="271"/>
    </row>
    <row r="1488">
      <c r="P1488" s="271"/>
    </row>
    <row r="1489">
      <c r="P1489" s="271"/>
    </row>
    <row r="1490">
      <c r="P1490" s="271"/>
    </row>
    <row r="1491">
      <c r="P1491" s="271"/>
    </row>
    <row r="1492">
      <c r="P1492" s="271"/>
    </row>
    <row r="1493">
      <c r="P1493" s="271"/>
    </row>
    <row r="1494">
      <c r="P1494" s="271"/>
    </row>
    <row r="1495">
      <c r="P1495" s="271"/>
    </row>
    <row r="1496">
      <c r="P1496" s="271"/>
    </row>
    <row r="1497">
      <c r="P1497" s="271"/>
    </row>
    <row r="1498">
      <c r="P1498" s="271"/>
    </row>
    <row r="1499">
      <c r="P1499" s="271"/>
    </row>
  </sheetData>
  <mergeCells count="6">
    <mergeCell ref="B17:C17"/>
    <mergeCell ref="B18:C19"/>
    <mergeCell ref="B21:C21"/>
    <mergeCell ref="B22:C23"/>
    <mergeCell ref="B25:C25"/>
    <mergeCell ref="B26:C27"/>
  </mergeCells>
  <conditionalFormatting sqref="F3:O1499">
    <cfRule type="expression" dxfId="9" priority="1">
      <formula>$J3="Leads Baru"</formula>
    </cfRule>
  </conditionalFormatting>
  <conditionalFormatting sqref="F3:O1499">
    <cfRule type="expression" dxfId="10" priority="2">
      <formula>$J3="Qualified"</formula>
    </cfRule>
  </conditionalFormatting>
  <conditionalFormatting sqref="F3:O1499">
    <cfRule type="expression" dxfId="11" priority="3">
      <formula>$J3="Prospek"</formula>
    </cfRule>
  </conditionalFormatting>
  <conditionalFormatting sqref="F3:O1499">
    <cfRule type="expression" dxfId="12" priority="4">
      <formula>$J3="Follow Up"</formula>
    </cfRule>
  </conditionalFormatting>
  <conditionalFormatting sqref="F3:O1499">
    <cfRule type="expression" dxfId="13" priority="5">
      <formula>$J3="Warm Leads"</formula>
    </cfRule>
  </conditionalFormatting>
  <conditionalFormatting sqref="F3:O1499">
    <cfRule type="expression" dxfId="14" priority="6">
      <formula>$J3="Hot Leads"</formula>
    </cfRule>
  </conditionalFormatting>
  <hyperlinks>
    <hyperlink r:id="rId1" ref="P107"/>
    <hyperlink r:id="rId2" ref="P108"/>
    <hyperlink r:id="rId3" ref="P109"/>
    <hyperlink r:id="rId4" ref="P110"/>
    <hyperlink r:id="rId5" ref="P111"/>
    <hyperlink r:id="rId6" ref="P112"/>
    <hyperlink r:id="rId7" ref="P113"/>
    <hyperlink r:id="rId8" ref="P114"/>
    <hyperlink r:id="rId9" ref="P115"/>
    <hyperlink r:id="rId10" ref="P116"/>
    <hyperlink r:id="rId11" ref="P117"/>
    <hyperlink r:id="rId12" ref="P118"/>
    <hyperlink r:id="rId13" ref="P119"/>
    <hyperlink r:id="rId14" ref="P120"/>
    <hyperlink r:id="rId15" ref="P121"/>
    <hyperlink r:id="rId16" ref="P122"/>
    <hyperlink r:id="rId17" ref="P123"/>
    <hyperlink r:id="rId18" ref="P124"/>
    <hyperlink r:id="rId19" ref="P125"/>
    <hyperlink r:id="rId20" ref="P126"/>
    <hyperlink r:id="rId21" ref="P127"/>
    <hyperlink r:id="rId22" ref="P128"/>
    <hyperlink r:id="rId23" ref="P129"/>
    <hyperlink r:id="rId24" ref="P130"/>
    <hyperlink r:id="rId25" ref="P131"/>
    <hyperlink r:id="rId26" ref="P132"/>
    <hyperlink r:id="rId27" ref="P133"/>
    <hyperlink r:id="rId28" ref="P134"/>
    <hyperlink r:id="rId29" ref="P135"/>
    <hyperlink r:id="rId30" ref="H198"/>
  </hyperlinks>
  <drawing r:id="rId31"/>
  <tableParts count="1">
    <tablePart r:id="rId3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88"/>
    <col customWidth="1" min="2" max="2" width="15.75"/>
    <col customWidth="1" min="3" max="3" width="10.75"/>
    <col customWidth="1" min="4" max="5" width="3.88"/>
    <col customWidth="1" min="6" max="7" width="9.5"/>
    <col customWidth="1" min="8" max="8" width="25.63"/>
    <col customWidth="1" min="9" max="9" width="15.75"/>
    <col customWidth="1" min="10" max="10" width="10.38"/>
    <col customWidth="1" min="11" max="12" width="17.5"/>
    <col customWidth="1" min="13" max="13" width="5.63"/>
    <col customWidth="1" min="14" max="14" width="14.63"/>
    <col customWidth="1" min="15" max="15" width="35.63"/>
    <col customWidth="1" min="16" max="16" width="7.25"/>
    <col customWidth="1" min="17" max="18" width="9.5"/>
    <col customWidth="1" min="19" max="19" width="25.63"/>
    <col customWidth="1" min="20" max="20" width="15.75"/>
    <col customWidth="1" min="21" max="21" width="10.38"/>
    <col customWidth="1" min="22" max="23" width="17.5"/>
    <col customWidth="1" min="24" max="24" width="5.63"/>
    <col customWidth="1" min="25" max="25" width="14.63"/>
    <col customWidth="1" min="26" max="26" width="35.63"/>
    <col customWidth="1" min="27" max="27" width="7.25"/>
    <col customWidth="1" min="28" max="29" width="9.5"/>
    <col customWidth="1" min="30" max="30" width="25.63"/>
    <col customWidth="1" min="31" max="31" width="15.75"/>
    <col customWidth="1" min="32" max="32" width="10.38"/>
    <col customWidth="1" min="33" max="34" width="17.5"/>
    <col customWidth="1" min="35" max="35" width="5.63"/>
    <col customWidth="1" min="36" max="36" width="14.63"/>
    <col customWidth="1" min="37" max="37" width="35.63"/>
    <col customWidth="1" min="38" max="38" width="7.25"/>
  </cols>
  <sheetData>
    <row r="1">
      <c r="A1" s="68" t="s">
        <v>966</v>
      </c>
      <c r="Q1" s="200"/>
      <c r="AB1" s="200"/>
    </row>
    <row r="2">
      <c r="A2" s="272"/>
      <c r="B2" s="273" t="s">
        <v>6</v>
      </c>
      <c r="C2" s="274" t="s">
        <v>10220</v>
      </c>
      <c r="D2" s="272"/>
      <c r="E2" s="272"/>
      <c r="F2" s="275" t="str">
        <f>IFERROR(__xludf.DUMMYFUNCTION("QUERY(
 'Input Data'!A:M,
 ""select A,B,C,D,G,H,I,J,K,L
  where F = 'Holiday'
    and M &lt;= 6
  order by M asc"",
 1
)
"),"KODE")</f>
        <v>KODE</v>
      </c>
      <c r="G2" s="275" t="str">
        <f>IFERROR(__xludf.DUMMYFUNCTION("""COMPUTED_VALUE"""),"TANGGAL")</f>
        <v>TANGGAL</v>
      </c>
      <c r="H2" s="275" t="str">
        <f>IFERROR(__xludf.DUMMYFUNCTION("""COMPUTED_VALUE"""),"NAMA")</f>
        <v>NAMA</v>
      </c>
      <c r="I2" s="275" t="str">
        <f>IFERROR(__xludf.DUMMYFUNCTION("""COMPUTED_VALUE"""),"WHATSAPP")</f>
        <v>WHATSAPP</v>
      </c>
      <c r="J2" s="275" t="str">
        <f>IFERROR(__xludf.DUMMYFUNCTION("""COMPUTED_VALUE"""),"STATUS")</f>
        <v>STATUS</v>
      </c>
      <c r="K2" s="275" t="str">
        <f>IFERROR(__xludf.DUMMYFUNCTION("""COMPUTED_VALUE"""),"PAKET / DESTINASI")</f>
        <v>PAKET / DESTINASI</v>
      </c>
      <c r="L2" s="275" t="str">
        <f>IFERROR(__xludf.DUMMYFUNCTION("""COMPUTED_VALUE"""),"TANGGAL TRIP")</f>
        <v>TANGGAL TRIP</v>
      </c>
      <c r="M2" s="275" t="str">
        <f>IFERROR(__xludf.DUMMYFUNCTION("""COMPUTED_VALUE"""),"PAX")</f>
        <v>PAX</v>
      </c>
      <c r="N2" s="275" t="str">
        <f>IFERROR(__xludf.DUMMYFUNCTION("""COMPUTED_VALUE"""),"ESTIMASI NILAI ORDER")</f>
        <v>ESTIMASI NILAI ORDER</v>
      </c>
      <c r="O2" s="275" t="str">
        <f>IFERROR(__xludf.DUMMYFUNCTION("""COMPUTED_VALUE"""),"KETERANGAN")</f>
        <v>KETERANGAN</v>
      </c>
      <c r="P2" s="272"/>
      <c r="Q2" s="280" t="str">
        <f>IFERROR(__xludf.DUMMYFUNCTION("QUERY(
 'Input Data'!A:M,
 ""select A,B,C,D,G,H,I,J,K,L
  where F = 'Holiday'
    and M =7
  order by M asc"",
 1
)
"),"KODE")</f>
        <v>KODE</v>
      </c>
      <c r="R2" s="280" t="str">
        <f>IFERROR(__xludf.DUMMYFUNCTION("""COMPUTED_VALUE"""),"TANGGAL")</f>
        <v>TANGGAL</v>
      </c>
      <c r="S2" s="280" t="str">
        <f>IFERROR(__xludf.DUMMYFUNCTION("""COMPUTED_VALUE"""),"NAMA")</f>
        <v>NAMA</v>
      </c>
      <c r="T2" s="280" t="str">
        <f>IFERROR(__xludf.DUMMYFUNCTION("""COMPUTED_VALUE"""),"WHATSAPP")</f>
        <v>WHATSAPP</v>
      </c>
      <c r="U2" s="280" t="str">
        <f>IFERROR(__xludf.DUMMYFUNCTION("""COMPUTED_VALUE"""),"STATUS")</f>
        <v>STATUS</v>
      </c>
      <c r="V2" s="280" t="str">
        <f>IFERROR(__xludf.DUMMYFUNCTION("""COMPUTED_VALUE"""),"PAKET / DESTINASI")</f>
        <v>PAKET / DESTINASI</v>
      </c>
      <c r="W2" s="280" t="str">
        <f>IFERROR(__xludf.DUMMYFUNCTION("""COMPUTED_VALUE"""),"TANGGAL TRIP")</f>
        <v>TANGGAL TRIP</v>
      </c>
      <c r="X2" s="280" t="str">
        <f>IFERROR(__xludf.DUMMYFUNCTION("""COMPUTED_VALUE"""),"PAX")</f>
        <v>PAX</v>
      </c>
      <c r="Y2" s="280" t="str">
        <f>IFERROR(__xludf.DUMMYFUNCTION("""COMPUTED_VALUE"""),"ESTIMASI NILAI ORDER")</f>
        <v>ESTIMASI NILAI ORDER</v>
      </c>
      <c r="Z2" s="280" t="str">
        <f>IFERROR(__xludf.DUMMYFUNCTION("""COMPUTED_VALUE"""),"KETERANGAN")</f>
        <v>KETERANGAN</v>
      </c>
      <c r="AA2" s="272"/>
      <c r="AB2" s="282" t="str">
        <f>IFERROR(__xludf.DUMMYFUNCTION("QUERY(
 'Input Data'!A:M,
 ""select A,B,C,D,G,H,I,J,K,L
  where F = 'Holiday'
    and M= 8
  order by M asc"",
 1
)
"),"KODE")</f>
        <v>KODE</v>
      </c>
      <c r="AC2" s="282" t="str">
        <f>IFERROR(__xludf.DUMMYFUNCTION("""COMPUTED_VALUE"""),"TANGGAL")</f>
        <v>TANGGAL</v>
      </c>
      <c r="AD2" s="282" t="str">
        <f>IFERROR(__xludf.DUMMYFUNCTION("""COMPUTED_VALUE"""),"NAMA")</f>
        <v>NAMA</v>
      </c>
      <c r="AE2" s="282" t="str">
        <f>IFERROR(__xludf.DUMMYFUNCTION("""COMPUTED_VALUE"""),"WHATSAPP")</f>
        <v>WHATSAPP</v>
      </c>
      <c r="AF2" s="282" t="str">
        <f>IFERROR(__xludf.DUMMYFUNCTION("""COMPUTED_VALUE"""),"STATUS")</f>
        <v>STATUS</v>
      </c>
      <c r="AG2" s="282" t="str">
        <f>IFERROR(__xludf.DUMMYFUNCTION("""COMPUTED_VALUE"""),"PAKET / DESTINASI")</f>
        <v>PAKET / DESTINASI</v>
      </c>
      <c r="AH2" s="282" t="str">
        <f>IFERROR(__xludf.DUMMYFUNCTION("""COMPUTED_VALUE"""),"TANGGAL TRIP")</f>
        <v>TANGGAL TRIP</v>
      </c>
      <c r="AI2" s="282" t="str">
        <f>IFERROR(__xludf.DUMMYFUNCTION("""COMPUTED_VALUE"""),"PAX")</f>
        <v>PAX</v>
      </c>
      <c r="AJ2" s="282" t="str">
        <f>IFERROR(__xludf.DUMMYFUNCTION("""COMPUTED_VALUE"""),"ESTIMASI NILAI ORDER")</f>
        <v>ESTIMASI NILAI ORDER</v>
      </c>
      <c r="AK2" s="282" t="str">
        <f>IFERROR(__xludf.DUMMYFUNCTION("""COMPUTED_VALUE"""),"KETERANGAN")</f>
        <v>KETERANGAN</v>
      </c>
      <c r="AL2" s="272"/>
    </row>
    <row r="3">
      <c r="B3" s="283" t="s">
        <v>10201</v>
      </c>
      <c r="C3" s="284">
        <f>COUNTIF(J3:J497,"Leads Baru")
</f>
        <v>35</v>
      </c>
      <c r="F3" s="285" t="str">
        <f>IFERROR(__xludf.DUMMYFUNCTION("""COMPUTED_VALUE"""),"2604H037")</f>
        <v>2604H037</v>
      </c>
      <c r="G3" s="286">
        <f>IFERROR(__xludf.DUMMYFUNCTION("""COMPUTED_VALUE"""),46129.0)</f>
        <v>46129</v>
      </c>
      <c r="H3" s="285" t="str">
        <f>IFERROR(__xludf.DUMMYFUNCTION("""COMPUTED_VALUE"""),"Iqbal WP")</f>
        <v>Iqbal WP</v>
      </c>
      <c r="I3" s="285" t="str">
        <f>IFERROR(__xludf.DUMMYFUNCTION("""COMPUTED_VALUE"""),"082210722324")</f>
        <v>082210722324</v>
      </c>
      <c r="J3" s="285" t="str">
        <f>IFERROR(__xludf.DUMMYFUNCTION("""COMPUTED_VALUE"""),"Leads Baru")</f>
        <v>Leads Baru</v>
      </c>
      <c r="K3" s="285" t="str">
        <f>IFERROR(__xludf.DUMMYFUNCTION("""COMPUTED_VALUE"""),"3h2m opsi b")</f>
        <v>3h2m opsi b</v>
      </c>
      <c r="L3" s="287"/>
      <c r="M3" s="285">
        <f>IFERROR(__xludf.DUMMYFUNCTION("""COMPUTED_VALUE"""),150.0)</f>
        <v>150</v>
      </c>
      <c r="N3" s="289">
        <f>IFERROR(__xludf.DUMMYFUNCTION("""COMPUTED_VALUE"""),2.1075E8)</f>
        <v>210750000</v>
      </c>
      <c r="O3" s="285" t="str">
        <f>IFERROR(__xludf.DUMMYFUNCTION("""COMPUTED_VALUE"""),"Fu nanti")</f>
        <v>Fu nanti</v>
      </c>
      <c r="Q3" s="285" t="str">
        <f>IFERROR(__xludf.DUMMYFUNCTION("""COMPUTED_VALUE"""),"2601H001")</f>
        <v>2601H001</v>
      </c>
      <c r="R3" s="286">
        <f>IFERROR(__xludf.DUMMYFUNCTION("""COMPUTED_VALUE"""),46023.0)</f>
        <v>46023</v>
      </c>
      <c r="S3" s="285" t="str">
        <f>IFERROR(__xludf.DUMMYFUNCTION("""COMPUTED_VALUE"""),"Imam Syaroni")</f>
        <v>Imam Syaroni</v>
      </c>
      <c r="T3" s="285" t="str">
        <f>IFERROR(__xludf.DUMMYFUNCTION("""COMPUTED_VALUE"""),"0811311157")</f>
        <v>0811311157</v>
      </c>
      <c r="U3" s="285" t="str">
        <f>IFERROR(__xludf.DUMMYFUNCTION("""COMPUTED_VALUE"""),"Closing")</f>
        <v>Closing</v>
      </c>
      <c r="V3" s="285" t="str">
        <f>IFERROR(__xludf.DUMMYFUNCTION("""COMPUTED_VALUE"""),"One day Baluran")</f>
        <v>One day Baluran</v>
      </c>
      <c r="W3" s="287">
        <f>IFERROR(__xludf.DUMMYFUNCTION("""COMPUTED_VALUE"""),46023.0)</f>
        <v>46023</v>
      </c>
      <c r="X3" s="285">
        <f>IFERROR(__xludf.DUMMYFUNCTION("""COMPUTED_VALUE"""),3.0)</f>
        <v>3</v>
      </c>
      <c r="Y3" s="289"/>
      <c r="Z3" s="285" t="str">
        <f>IFERROR(__xludf.DUMMYFUNCTION("""COMPUTED_VALUE"""),"Alhamdulillah closing")</f>
        <v>Alhamdulillah closing</v>
      </c>
      <c r="AB3" s="285" t="str">
        <f>IFERROR(__xludf.DUMMYFUNCTION("""COMPUTED_VALUE"""),"2601H008")</f>
        <v>2601H008</v>
      </c>
      <c r="AC3" s="286">
        <f>IFERROR(__xludf.DUMMYFUNCTION("""COMPUTED_VALUE"""),46036.0)</f>
        <v>46036</v>
      </c>
      <c r="AD3" s="285" t="str">
        <f>IFERROR(__xludf.DUMMYFUNCTION("""COMPUTED_VALUE"""),"Ricca")</f>
        <v>Ricca</v>
      </c>
      <c r="AE3" s="285" t="str">
        <f>IFERROR(__xludf.DUMMYFUNCTION("""COMPUTED_VALUE"""),"08998279499")</f>
        <v>08998279499</v>
      </c>
      <c r="AF3" s="285" t="str">
        <f>IFERROR(__xludf.DUMMYFUNCTION("""COMPUTED_VALUE"""),"Gagal")</f>
        <v>Gagal</v>
      </c>
      <c r="AG3" s="285"/>
      <c r="AH3" s="287"/>
      <c r="AI3" s="285"/>
      <c r="AJ3" s="289"/>
      <c r="AK3" s="285" t="str">
        <f>IFERROR(__xludf.DUMMYFUNCTION("""COMPUTED_VALUE"""),"tanya-tanya")</f>
        <v>tanya-tanya</v>
      </c>
    </row>
    <row r="4">
      <c r="B4" s="292" t="s">
        <v>34</v>
      </c>
      <c r="C4" s="293">
        <f>COUNTIF(J3:J497,"Qualified")
</f>
        <v>55</v>
      </c>
      <c r="F4" s="285" t="str">
        <f>IFERROR(__xludf.DUMMYFUNCTION("""COMPUTED_VALUE"""),"2604H053")</f>
        <v>2604H053</v>
      </c>
      <c r="G4" s="286">
        <f>IFERROR(__xludf.DUMMYFUNCTION("""COMPUTED_VALUE"""),46139.0)</f>
        <v>46139</v>
      </c>
      <c r="H4" s="285" t="str">
        <f>IFERROR(__xludf.DUMMYFUNCTION("""COMPUTED_VALUE"""),"Rizky BtoB")</f>
        <v>Rizky BtoB</v>
      </c>
      <c r="I4" s="285" t="str">
        <f>IFERROR(__xludf.DUMMYFUNCTION("""COMPUTED_VALUE"""),"081281102660")</f>
        <v>081281102660</v>
      </c>
      <c r="J4" s="285" t="str">
        <f>IFERROR(__xludf.DUMMYFUNCTION("""COMPUTED_VALUE"""),"Leads Baru")</f>
        <v>Leads Baru</v>
      </c>
      <c r="K4" s="285" t="str">
        <f>IFERROR(__xludf.DUMMYFUNCTION("""COMPUTED_VALUE"""),"ijen Baluran ")</f>
        <v>ijen Baluran </v>
      </c>
      <c r="L4" s="287"/>
      <c r="M4" s="285"/>
      <c r="N4" s="289"/>
      <c r="O4" s="285" t="str">
        <f>IFERROR(__xludf.DUMMYFUNCTION("""COMPUTED_VALUE"""),"fu 1 juli")</f>
        <v>fu 1 juli</v>
      </c>
      <c r="Q4" s="285" t="str">
        <f>IFERROR(__xludf.DUMMYFUNCTION("""COMPUTED_VALUE"""),"2601H002")</f>
        <v>2601H002</v>
      </c>
      <c r="R4" s="286">
        <f>IFERROR(__xludf.DUMMYFUNCTION("""COMPUTED_VALUE"""),46022.0)</f>
        <v>46022</v>
      </c>
      <c r="S4" s="285" t="str">
        <f>IFERROR(__xludf.DUMMYFUNCTION("""COMPUTED_VALUE"""),"Puspita Anggasari")</f>
        <v>Puspita Anggasari</v>
      </c>
      <c r="T4" s="285" t="str">
        <f>IFERROR(__xludf.DUMMYFUNCTION("""COMPUTED_VALUE"""),"081317773235")</f>
        <v>081317773235</v>
      </c>
      <c r="U4" s="285" t="str">
        <f>IFERROR(__xludf.DUMMYFUNCTION("""COMPUTED_VALUE"""),"Closing")</f>
        <v>Closing</v>
      </c>
      <c r="V4" s="285"/>
      <c r="W4" s="287">
        <f>IFERROR(__xludf.DUMMYFUNCTION("""COMPUTED_VALUE"""),46025.0)</f>
        <v>46025</v>
      </c>
      <c r="X4" s="285">
        <f>IFERROR(__xludf.DUMMYFUNCTION("""COMPUTED_VALUE"""),5.0)</f>
        <v>5</v>
      </c>
      <c r="Y4" s="289"/>
      <c r="Z4" s="285"/>
      <c r="AB4" s="285" t="str">
        <f>IFERROR(__xludf.DUMMYFUNCTION("""COMPUTED_VALUE"""),"2601H009")</f>
        <v>2601H009</v>
      </c>
      <c r="AC4" s="286">
        <f>IFERROR(__xludf.DUMMYFUNCTION("""COMPUTED_VALUE"""),46036.0)</f>
        <v>46036</v>
      </c>
      <c r="AD4" s="285" t="str">
        <f>IFERROR(__xludf.DUMMYFUNCTION("""COMPUTED_VALUE"""),"Malazza")</f>
        <v>Malazza</v>
      </c>
      <c r="AE4" s="285" t="str">
        <f>IFERROR(__xludf.DUMMYFUNCTION("""COMPUTED_VALUE"""),"081311114375")</f>
        <v>081311114375</v>
      </c>
      <c r="AF4" s="285" t="str">
        <f>IFERROR(__xludf.DUMMYFUNCTION("""COMPUTED_VALUE"""),"Gagal")</f>
        <v>Gagal</v>
      </c>
      <c r="AG4" s="285"/>
      <c r="AH4" s="287"/>
      <c r="AI4" s="285">
        <f>IFERROR(__xludf.DUMMYFUNCTION("""COMPUTED_VALUE"""),15.0)</f>
        <v>15</v>
      </c>
      <c r="AJ4" s="289">
        <f>IFERROR(__xludf.DUMMYFUNCTION("""COMPUTED_VALUE"""),3750000.0)</f>
        <v>3750000</v>
      </c>
      <c r="AK4" s="285" t="str">
        <f>IFERROR(__xludf.DUMMYFUNCTION("""COMPUTED_VALUE"""),"sdh lebih fu 5x, tidak ada jawaban lebih lanjut")</f>
        <v>sdh lebih fu 5x, tidak ada jawaban lebih lanjut</v>
      </c>
    </row>
    <row r="5">
      <c r="B5" s="294" t="s">
        <v>43</v>
      </c>
      <c r="C5" s="295">
        <f>COUNTIF(J3:J497,"Prospek")
</f>
        <v>7</v>
      </c>
      <c r="F5" s="285" t="str">
        <f>IFERROR(__xludf.DUMMYFUNCTION("""COMPUTED_VALUE"""),"2605H024")</f>
        <v>2605H024</v>
      </c>
      <c r="G5" s="286">
        <f>IFERROR(__xludf.DUMMYFUNCTION("""COMPUTED_VALUE"""),46158.0)</f>
        <v>46158</v>
      </c>
      <c r="H5" s="285" t="str">
        <f>IFERROR(__xludf.DUMMYFUNCTION("""COMPUTED_VALUE"""),"Denny Bagus")</f>
        <v>Denny Bagus</v>
      </c>
      <c r="I5" s="285" t="str">
        <f>IFERROR(__xludf.DUMMYFUNCTION("""COMPUTED_VALUE"""),"0818900058")</f>
        <v>0818900058</v>
      </c>
      <c r="J5" s="285" t="str">
        <f>IFERROR(__xludf.DUMMYFUNCTION("""COMPUTED_VALUE"""),"Leads Baru")</f>
        <v>Leads Baru</v>
      </c>
      <c r="K5" s="285" t="str">
        <f>IFERROR(__xludf.DUMMYFUNCTION("""COMPUTED_VALUE"""),"Ijen")</f>
        <v>Ijen</v>
      </c>
      <c r="L5" s="287"/>
      <c r="M5" s="285"/>
      <c r="N5" s="289"/>
      <c r="O5" s="285" t="str">
        <f>IFERROR(__xludf.DUMMYFUNCTION("""COMPUTED_VALUE"""),"tanya blue fire. kabarin kalau bluefire buka")</f>
        <v>tanya blue fire. kabarin kalau bluefire buka</v>
      </c>
      <c r="Q5" s="285" t="str">
        <f>IFERROR(__xludf.DUMMYFUNCTION("""COMPUTED_VALUE"""),"2601H003")</f>
        <v>2601H003</v>
      </c>
      <c r="R5" s="286">
        <f>IFERROR(__xludf.DUMMYFUNCTION("""COMPUTED_VALUE"""),46003.0)</f>
        <v>46003</v>
      </c>
      <c r="S5" s="285" t="str">
        <f>IFERROR(__xludf.DUMMYFUNCTION("""COMPUTED_VALUE"""),"Sri")</f>
        <v>Sri</v>
      </c>
      <c r="T5" s="285" t="str">
        <f>IFERROR(__xludf.DUMMYFUNCTION("""COMPUTED_VALUE"""),"0816691965")</f>
        <v>0816691965</v>
      </c>
      <c r="U5" s="285" t="str">
        <f>IFERROR(__xludf.DUMMYFUNCTION("""COMPUTED_VALUE"""),"Closing")</f>
        <v>Closing</v>
      </c>
      <c r="V5" s="285"/>
      <c r="W5" s="287"/>
      <c r="X5" s="285">
        <f>IFERROR(__xludf.DUMMYFUNCTION("""COMPUTED_VALUE"""),10.0)</f>
        <v>10</v>
      </c>
      <c r="Y5" s="289">
        <f>IFERROR(__xludf.DUMMYFUNCTION("""COMPUTED_VALUE"""),6870000.0)</f>
        <v>6870000</v>
      </c>
      <c r="Z5" s="285"/>
      <c r="AB5" s="285" t="str">
        <f>IFERROR(__xludf.DUMMYFUNCTION("""COMPUTED_VALUE"""),"2601H010")</f>
        <v>2601H010</v>
      </c>
      <c r="AC5" s="286">
        <f>IFERROR(__xludf.DUMMYFUNCTION("""COMPUTED_VALUE"""),46036.0)</f>
        <v>46036</v>
      </c>
      <c r="AD5" s="285" t="str">
        <f>IFERROR(__xludf.DUMMYFUNCTION("""COMPUTED_VALUE"""),"Vica")</f>
        <v>Vica</v>
      </c>
      <c r="AE5" s="285" t="str">
        <f>IFERROR(__xludf.DUMMYFUNCTION("""COMPUTED_VALUE"""),"085716117974")</f>
        <v>085716117974</v>
      </c>
      <c r="AF5" s="285" t="str">
        <f>IFERROR(__xludf.DUMMYFUNCTION("""COMPUTED_VALUE"""),"Gagal")</f>
        <v>Gagal</v>
      </c>
      <c r="AG5" s="285"/>
      <c r="AH5" s="287"/>
      <c r="AI5" s="285"/>
      <c r="AJ5" s="289"/>
      <c r="AK5" s="285" t="str">
        <f>IFERROR(__xludf.DUMMYFUNCTION("""COMPUTED_VALUE"""),"next time")</f>
        <v>next time</v>
      </c>
    </row>
    <row r="6">
      <c r="B6" s="296" t="s">
        <v>49</v>
      </c>
      <c r="C6" s="297">
        <f>COUNTIF(J3:J497,"Follow Up")
</f>
        <v>1</v>
      </c>
      <c r="F6" s="285" t="str">
        <f>IFERROR(__xludf.DUMMYFUNCTION("""COMPUTED_VALUE"""),"2605H032")</f>
        <v>2605H032</v>
      </c>
      <c r="G6" s="286">
        <f>IFERROR(__xludf.DUMMYFUNCTION("""COMPUTED_VALUE"""),46160.0)</f>
        <v>46160</v>
      </c>
      <c r="H6" s="285" t="str">
        <f>IFERROR(__xludf.DUMMYFUNCTION("""COMPUTED_VALUE"""),"Asna Ruhmiyati")</f>
        <v>Asna Ruhmiyati</v>
      </c>
      <c r="I6" s="285" t="str">
        <f>IFERROR(__xludf.DUMMYFUNCTION("""COMPUTED_VALUE"""),"081290257006")</f>
        <v>081290257006</v>
      </c>
      <c r="J6" s="285" t="str">
        <f>IFERROR(__xludf.DUMMYFUNCTION("""COMPUTED_VALUE"""),"Leads Baru")</f>
        <v>Leads Baru</v>
      </c>
      <c r="K6" s="285" t="str">
        <f>IFERROR(__xludf.DUMMYFUNCTION("""COMPUTED_VALUE"""),"open trip")</f>
        <v>open trip</v>
      </c>
      <c r="L6" s="287"/>
      <c r="M6" s="285"/>
      <c r="N6" s="289"/>
      <c r="O6" s="285" t="str">
        <f>IFERROR(__xludf.DUMMYFUNCTION("""COMPUTED_VALUE"""),"fu 2 juli")</f>
        <v>fu 2 juli</v>
      </c>
      <c r="Q6" s="285" t="str">
        <f>IFERROR(__xludf.DUMMYFUNCTION("""COMPUTED_VALUE"""),"2601H004")</f>
        <v>2601H004</v>
      </c>
      <c r="R6" s="286">
        <f>IFERROR(__xludf.DUMMYFUNCTION("""COMPUTED_VALUE"""),46034.0)</f>
        <v>46034</v>
      </c>
      <c r="S6" s="285" t="str">
        <f>IFERROR(__xludf.DUMMYFUNCTION("""COMPUTED_VALUE"""),"Arum Radiasti")</f>
        <v>Arum Radiasti</v>
      </c>
      <c r="T6" s="285" t="str">
        <f>IFERROR(__xludf.DUMMYFUNCTION("""COMPUTED_VALUE"""),"08164844630")</f>
        <v>08164844630</v>
      </c>
      <c r="U6" s="285" t="str">
        <f>IFERROR(__xludf.DUMMYFUNCTION("""COMPUTED_VALUE"""),"Closing")</f>
        <v>Closing</v>
      </c>
      <c r="V6" s="285"/>
      <c r="W6" s="287"/>
      <c r="X6" s="285">
        <f>IFERROR(__xludf.DUMMYFUNCTION("""COMPUTED_VALUE"""),5.0)</f>
        <v>5</v>
      </c>
      <c r="Y6" s="289">
        <f>IFERROR(__xludf.DUMMYFUNCTION("""COMPUTED_VALUE"""),6650000.0)</f>
        <v>6650000</v>
      </c>
      <c r="Z6" s="285"/>
      <c r="AB6" s="285" t="str">
        <f>IFERROR(__xludf.DUMMYFUNCTION("""COMPUTED_VALUE"""),"2601H011")</f>
        <v>2601H011</v>
      </c>
      <c r="AC6" s="286">
        <f>IFERROR(__xludf.DUMMYFUNCTION("""COMPUTED_VALUE"""),46034.0)</f>
        <v>46034</v>
      </c>
      <c r="AD6" s="285" t="str">
        <f>IFERROR(__xludf.DUMMYFUNCTION("""COMPUTED_VALUE"""),"Lily suharyani")</f>
        <v>Lily suharyani</v>
      </c>
      <c r="AE6" s="285" t="str">
        <f>IFERROR(__xludf.DUMMYFUNCTION("""COMPUTED_VALUE"""),"08159288885")</f>
        <v>08159288885</v>
      </c>
      <c r="AF6" s="285" t="str">
        <f>IFERROR(__xludf.DUMMYFUNCTION("""COMPUTED_VALUE"""),"Gagal")</f>
        <v>Gagal</v>
      </c>
      <c r="AG6" s="285"/>
      <c r="AH6" s="287"/>
      <c r="AI6" s="285"/>
      <c r="AJ6" s="289"/>
      <c r="AK6" s="285" t="str">
        <f>IFERROR(__xludf.DUMMYFUNCTION("""COMPUTED_VALUE"""),"tunggu cuaca mendukung, sudah FU ")</f>
        <v>tunggu cuaca mendukung, sudah FU </v>
      </c>
    </row>
    <row r="7">
      <c r="B7" s="298" t="s">
        <v>57</v>
      </c>
      <c r="C7" s="299">
        <f>COUNTIF(J3:J497,"Warm Leads")
</f>
        <v>0</v>
      </c>
      <c r="F7" s="285" t="str">
        <f>IFERROR(__xludf.DUMMYFUNCTION("""COMPUTED_VALUE"""),"2605H036")</f>
        <v>2605H036</v>
      </c>
      <c r="G7" s="286">
        <f>IFERROR(__xludf.DUMMYFUNCTION("""COMPUTED_VALUE"""),46162.0)</f>
        <v>46162</v>
      </c>
      <c r="H7" s="285" t="str">
        <f>IFERROR(__xludf.DUMMYFUNCTION("""COMPUTED_VALUE"""),"Arifuddin Alie")</f>
        <v>Arifuddin Alie</v>
      </c>
      <c r="I7" s="285" t="str">
        <f>IFERROR(__xludf.DUMMYFUNCTION("""COMPUTED_VALUE"""),"08179019300")</f>
        <v>08179019300</v>
      </c>
      <c r="J7" s="285" t="str">
        <f>IFERROR(__xludf.DUMMYFUNCTION("""COMPUTED_VALUE"""),"Leads Baru")</f>
        <v>Leads Baru</v>
      </c>
      <c r="K7" s="285" t="str">
        <f>IFERROR(__xludf.DUMMYFUNCTION("""COMPUTED_VALUE"""),"3h2m")</f>
        <v>3h2m</v>
      </c>
      <c r="L7" s="287"/>
      <c r="M7" s="285">
        <f>IFERROR(__xludf.DUMMYFUNCTION("""COMPUTED_VALUE"""),15.0)</f>
        <v>15</v>
      </c>
      <c r="N7" s="289"/>
      <c r="O7" s="285" t="str">
        <f>IFERROR(__xludf.DUMMYFUNCTION("""COMPUTED_VALUE"""),"buat penawaran dulu. fu 10 september")</f>
        <v>buat penawaran dulu. fu 10 september</v>
      </c>
      <c r="Q7" s="285" t="str">
        <f>IFERROR(__xludf.DUMMYFUNCTION("""COMPUTED_VALUE"""),"2601H005")</f>
        <v>2601H005</v>
      </c>
      <c r="R7" s="286">
        <f>IFERROR(__xludf.DUMMYFUNCTION("""COMPUTED_VALUE"""),46027.0)</f>
        <v>46027</v>
      </c>
      <c r="S7" s="285" t="str">
        <f>IFERROR(__xludf.DUMMYFUNCTION("""COMPUTED_VALUE"""),"Gugun Gunawan")</f>
        <v>Gugun Gunawan</v>
      </c>
      <c r="T7" s="285" t="str">
        <f>IFERROR(__xludf.DUMMYFUNCTION("""COMPUTED_VALUE"""),"08128010671")</f>
        <v>08128010671</v>
      </c>
      <c r="U7" s="285" t="str">
        <f>IFERROR(__xludf.DUMMYFUNCTION("""COMPUTED_VALUE"""),"Closing")</f>
        <v>Closing</v>
      </c>
      <c r="V7" s="285"/>
      <c r="W7" s="287">
        <f>IFERROR(__xludf.DUMMYFUNCTION("""COMPUTED_VALUE"""),46039.0)</f>
        <v>46039</v>
      </c>
      <c r="X7" s="285">
        <f>IFERROR(__xludf.DUMMYFUNCTION("""COMPUTED_VALUE"""),4.0)</f>
        <v>4</v>
      </c>
      <c r="Y7" s="289">
        <f>IFERROR(__xludf.DUMMYFUNCTION("""COMPUTED_VALUE"""),3872000.0)</f>
        <v>3872000</v>
      </c>
      <c r="Z7" s="285"/>
      <c r="AB7" s="285" t="str">
        <f>IFERROR(__xludf.DUMMYFUNCTION("""COMPUTED_VALUE"""),"2601H012")</f>
        <v>2601H012</v>
      </c>
      <c r="AC7" s="286">
        <f>IFERROR(__xludf.DUMMYFUNCTION("""COMPUTED_VALUE"""),46036.0)</f>
        <v>46036</v>
      </c>
      <c r="AD7" s="285" t="str">
        <f>IFERROR(__xludf.DUMMYFUNCTION("""COMPUTED_VALUE"""),"Ronny Quarto")</f>
        <v>Ronny Quarto</v>
      </c>
      <c r="AE7" s="285" t="str">
        <f>IFERROR(__xludf.DUMMYFUNCTION("""COMPUTED_VALUE"""),"08111441733")</f>
        <v>08111441733</v>
      </c>
      <c r="AF7" s="285" t="str">
        <f>IFERROR(__xludf.DUMMYFUNCTION("""COMPUTED_VALUE"""),"Gagal")</f>
        <v>Gagal</v>
      </c>
      <c r="AG7" s="285"/>
      <c r="AH7" s="287"/>
      <c r="AI7" s="285"/>
      <c r="AJ7" s="289"/>
      <c r="AK7" s="285" t="str">
        <f>IFERROR(__xludf.DUMMYFUNCTION("""COMPUTED_VALUE"""),"tanya-tanya")</f>
        <v>tanya-tanya</v>
      </c>
    </row>
    <row r="8">
      <c r="B8" s="302" t="s">
        <v>64</v>
      </c>
      <c r="C8" s="303">
        <f>COUNTIF(J3:J497,"Hot Leads")
</f>
        <v>0</v>
      </c>
      <c r="F8" s="285" t="str">
        <f>IFERROR(__xludf.DUMMYFUNCTION("""COMPUTED_VALUE"""),"2605H037")</f>
        <v>2605H037</v>
      </c>
      <c r="G8" s="286">
        <f>IFERROR(__xludf.DUMMYFUNCTION("""COMPUTED_VALUE"""),46163.0)</f>
        <v>46163</v>
      </c>
      <c r="H8" s="285" t="str">
        <f>IFERROR(__xludf.DUMMYFUNCTION("""COMPUTED_VALUE"""),"Yani YN Snack")</f>
        <v>Yani YN Snack</v>
      </c>
      <c r="I8" s="285" t="str">
        <f>IFERROR(__xludf.DUMMYFUNCTION("""COMPUTED_VALUE"""),"081291902737")</f>
        <v>081291902737</v>
      </c>
      <c r="J8" s="285" t="str">
        <f>IFERROR(__xludf.DUMMYFUNCTION("""COMPUTED_VALUE"""),"Leads Baru")</f>
        <v>Leads Baru</v>
      </c>
      <c r="K8" s="285"/>
      <c r="L8" s="287">
        <f>IFERROR(__xludf.DUMMYFUNCTION("""COMPUTED_VALUE"""),2027.0)</f>
        <v>2027</v>
      </c>
      <c r="M8" s="285"/>
      <c r="N8" s="289"/>
      <c r="O8" s="285" t="str">
        <f>IFERROR(__xludf.DUMMYFUNCTION("""COMPUTED_VALUE"""),"fu 25 desember ")</f>
        <v>fu 25 desember </v>
      </c>
      <c r="Q8" s="285" t="str">
        <f>IFERROR(__xludf.DUMMYFUNCTION("""COMPUTED_VALUE"""),"2601H006")</f>
        <v>2601H006</v>
      </c>
      <c r="R8" s="286">
        <f>IFERROR(__xludf.DUMMYFUNCTION("""COMPUTED_VALUE"""),46033.0)</f>
        <v>46033</v>
      </c>
      <c r="S8" s="285" t="str">
        <f>IFERROR(__xludf.DUMMYFUNCTION("""COMPUTED_VALUE"""),"Dzulfikri")</f>
        <v>Dzulfikri</v>
      </c>
      <c r="T8" s="285" t="str">
        <f>IFERROR(__xludf.DUMMYFUNCTION("""COMPUTED_VALUE"""),"081385881976")</f>
        <v>081385881976</v>
      </c>
      <c r="U8" s="285" t="str">
        <f>IFERROR(__xludf.DUMMYFUNCTION("""COMPUTED_VALUE"""),"Closing")</f>
        <v>Closing</v>
      </c>
      <c r="V8" s="285"/>
      <c r="W8" s="287"/>
      <c r="X8" s="285">
        <f>IFERROR(__xludf.DUMMYFUNCTION("""COMPUTED_VALUE"""),5.0)</f>
        <v>5</v>
      </c>
      <c r="Y8" s="289">
        <f>IFERROR(__xludf.DUMMYFUNCTION("""COMPUTED_VALUE"""),8465000.0)</f>
        <v>8465000</v>
      </c>
      <c r="Z8" s="285"/>
      <c r="AB8" s="285" t="str">
        <f>IFERROR(__xludf.DUMMYFUNCTION("""COMPUTED_VALUE"""),"2601H013")</f>
        <v>2601H013</v>
      </c>
      <c r="AC8" s="286">
        <f>IFERROR(__xludf.DUMMYFUNCTION("""COMPUTED_VALUE"""),46035.0)</f>
        <v>46035</v>
      </c>
      <c r="AD8" s="285" t="str">
        <f>IFERROR(__xludf.DUMMYFUNCTION("""COMPUTED_VALUE"""),"Fitri")</f>
        <v>Fitri</v>
      </c>
      <c r="AE8" s="285" t="str">
        <f>IFERROR(__xludf.DUMMYFUNCTION("""COMPUTED_VALUE"""),"082125355099")</f>
        <v>082125355099</v>
      </c>
      <c r="AF8" s="285" t="str">
        <f>IFERROR(__xludf.DUMMYFUNCTION("""COMPUTED_VALUE"""),"Gagal")</f>
        <v>Gagal</v>
      </c>
      <c r="AG8" s="285" t="str">
        <f>IFERROR(__xludf.DUMMYFUNCTION("""COMPUTED_VALUE"""),"Kawah Ijen Only")</f>
        <v>Kawah Ijen Only</v>
      </c>
      <c r="AH8" s="287"/>
      <c r="AI8" s="285">
        <f>IFERROR(__xludf.DUMMYFUNCTION("""COMPUTED_VALUE"""),2.0)</f>
        <v>2</v>
      </c>
      <c r="AJ8" s="289"/>
      <c r="AK8" s="285" t="str">
        <f>IFERROR(__xludf.DUMMYFUNCTION("""COMPUTED_VALUE"""),"next time")</f>
        <v>next time</v>
      </c>
    </row>
    <row r="9">
      <c r="B9" s="304" t="s">
        <v>19</v>
      </c>
      <c r="C9" s="305">
        <f>COUNTA(Q3:Q497)</f>
        <v>57</v>
      </c>
      <c r="F9" s="285" t="str">
        <f>IFERROR(__xludf.DUMMYFUNCTION("""COMPUTED_VALUE"""),"2605H040")</f>
        <v>2605H040</v>
      </c>
      <c r="G9" s="286">
        <f>IFERROR(__xludf.DUMMYFUNCTION("""COMPUTED_VALUE"""),46164.0)</f>
        <v>46164</v>
      </c>
      <c r="H9" s="285" t="str">
        <f>IFERROR(__xludf.DUMMYFUNCTION("""COMPUTED_VALUE"""),"Titi Murni")</f>
        <v>Titi Murni</v>
      </c>
      <c r="I9" s="285" t="str">
        <f>IFERROR(__xludf.DUMMYFUNCTION("""COMPUTED_VALUE"""),"081218470810")</f>
        <v>081218470810</v>
      </c>
      <c r="J9" s="285" t="str">
        <f>IFERROR(__xludf.DUMMYFUNCTION("""COMPUTED_VALUE"""),"Leads Baru")</f>
        <v>Leads Baru</v>
      </c>
      <c r="K9" s="285"/>
      <c r="L9" s="287"/>
      <c r="M9" s="285"/>
      <c r="N9" s="289"/>
      <c r="O9" s="285" t="str">
        <f>IFERROR(__xludf.DUMMYFUNCTION("""COMPUTED_VALUE"""),"masih tanya tanya, fu19 juni")</f>
        <v>masih tanya tanya, fu19 juni</v>
      </c>
      <c r="Q9" s="285" t="str">
        <f>IFERROR(__xludf.DUMMYFUNCTION("""COMPUTED_VALUE"""),"2601H007")</f>
        <v>2601H007</v>
      </c>
      <c r="R9" s="286">
        <f>IFERROR(__xludf.DUMMYFUNCTION("""COMPUTED_VALUE"""),46041.0)</f>
        <v>46041</v>
      </c>
      <c r="S9" s="285" t="str">
        <f>IFERROR(__xludf.DUMMYFUNCTION("""COMPUTED_VALUE"""),"Yudha KAI")</f>
        <v>Yudha KAI</v>
      </c>
      <c r="T9" s="285" t="str">
        <f>IFERROR(__xludf.DUMMYFUNCTION("""COMPUTED_VALUE"""),"081299954736")</f>
        <v>081299954736</v>
      </c>
      <c r="U9" s="285" t="str">
        <f>IFERROR(__xludf.DUMMYFUNCTION("""COMPUTED_VALUE"""),"Closing")</f>
        <v>Closing</v>
      </c>
      <c r="V9" s="285"/>
      <c r="W9" s="287"/>
      <c r="X9" s="285">
        <f>IFERROR(__xludf.DUMMYFUNCTION("""COMPUTED_VALUE"""),15.0)</f>
        <v>15</v>
      </c>
      <c r="Y9" s="289">
        <f>IFERROR(__xludf.DUMMYFUNCTION("""COMPUTED_VALUE"""),7275000.0)</f>
        <v>7275000</v>
      </c>
      <c r="Z9" s="285"/>
      <c r="AB9" s="285" t="str">
        <f>IFERROR(__xludf.DUMMYFUNCTION("""COMPUTED_VALUE"""),"2601H014")</f>
        <v>2601H014</v>
      </c>
      <c r="AC9" s="286">
        <f>IFERROR(__xludf.DUMMYFUNCTION("""COMPUTED_VALUE"""),46038.0)</f>
        <v>46038</v>
      </c>
      <c r="AD9" s="285" t="str">
        <f>IFERROR(__xludf.DUMMYFUNCTION("""COMPUTED_VALUE"""),"Ilham")</f>
        <v>Ilham</v>
      </c>
      <c r="AE9" s="285" t="str">
        <f>IFERROR(__xludf.DUMMYFUNCTION("""COMPUTED_VALUE"""),"089696367463")</f>
        <v>089696367463</v>
      </c>
      <c r="AF9" s="285" t="str">
        <f>IFERROR(__xludf.DUMMYFUNCTION("""COMPUTED_VALUE"""),"Gagal")</f>
        <v>Gagal</v>
      </c>
      <c r="AG9" s="285"/>
      <c r="AH9" s="287"/>
      <c r="AI9" s="285"/>
      <c r="AJ9" s="289"/>
      <c r="AK9" s="285" t="str">
        <f>IFERROR(__xludf.DUMMYFUNCTION("""COMPUTED_VALUE"""),"tanya trip start jakarta, sudah FU 13 feb")</f>
        <v>tanya trip start jakarta, sudah FU 13 feb</v>
      </c>
    </row>
    <row r="10">
      <c r="B10" s="307" t="s">
        <v>42</v>
      </c>
      <c r="C10" s="308">
        <f>COUNTA(AB3:AB497)</f>
        <v>222</v>
      </c>
      <c r="F10" s="285" t="str">
        <f>IFERROR(__xludf.DUMMYFUNCTION("""COMPUTED_VALUE"""),"2605H056")</f>
        <v>2605H056</v>
      </c>
      <c r="G10" s="286">
        <f>IFERROR(__xludf.DUMMYFUNCTION("""COMPUTED_VALUE"""),46171.0)</f>
        <v>46171</v>
      </c>
      <c r="H10" s="285" t="str">
        <f>IFERROR(__xludf.DUMMYFUNCTION("""COMPUTED_VALUE"""),"Letsman Tendy")</f>
        <v>Letsman Tendy</v>
      </c>
      <c r="I10" s="285" t="str">
        <f>IFERROR(__xludf.DUMMYFUNCTION("""COMPUTED_VALUE"""),"081908168888")</f>
        <v>081908168888</v>
      </c>
      <c r="J10" s="285" t="str">
        <f>IFERROR(__xludf.DUMMYFUNCTION("""COMPUTED_VALUE"""),"Leads Baru")</f>
        <v>Leads Baru</v>
      </c>
      <c r="K10" s="285" t="str">
        <f>IFERROR(__xludf.DUMMYFUNCTION("""COMPUTED_VALUE"""),"3h2m")</f>
        <v>3h2m</v>
      </c>
      <c r="L10" s="287"/>
      <c r="M10" s="285">
        <f>IFERROR(__xludf.DUMMYFUNCTION("""COMPUTED_VALUE"""),10.0)</f>
        <v>10</v>
      </c>
      <c r="N10" s="289">
        <f>IFERROR(__xludf.DUMMYFUNCTION("""COMPUTED_VALUE"""),9530000.0)</f>
        <v>9530000</v>
      </c>
      <c r="O10" s="285" t="str">
        <f>IFERROR(__xludf.DUMMYFUNCTION("""COMPUTED_VALUE"""),"fu 7 juni")</f>
        <v>fu 7 juni</v>
      </c>
      <c r="Q10" s="285" t="str">
        <f>IFERROR(__xludf.DUMMYFUNCTION("""COMPUTED_VALUE"""),"2601H028")</f>
        <v>2601H028</v>
      </c>
      <c r="R10" s="286">
        <f>IFERROR(__xludf.DUMMYFUNCTION("""COMPUTED_VALUE"""),46045.0)</f>
        <v>46045</v>
      </c>
      <c r="S10" s="285" t="str">
        <f>IFERROR(__xludf.DUMMYFUNCTION("""COMPUTED_VALUE"""),"Jennifer Jones")</f>
        <v>Jennifer Jones</v>
      </c>
      <c r="T10" s="285" t="str">
        <f>IFERROR(__xludf.DUMMYFUNCTION("""COMPUTED_VALUE"""),"087887878902")</f>
        <v>087887878902</v>
      </c>
      <c r="U10" s="285" t="str">
        <f>IFERROR(__xludf.DUMMYFUNCTION("""COMPUTED_VALUE"""),"Closing")</f>
        <v>Closing</v>
      </c>
      <c r="V10" s="285" t="str">
        <f>IFERROR(__xludf.DUMMYFUNCTION("""COMPUTED_VALUE"""),"OT I")</f>
        <v>OT I</v>
      </c>
      <c r="W10" s="287">
        <f>IFERROR(__xludf.DUMMYFUNCTION("""COMPUTED_VALUE"""),46048.0)</f>
        <v>46048</v>
      </c>
      <c r="X10" s="285">
        <f>IFERROR(__xludf.DUMMYFUNCTION("""COMPUTED_VALUE"""),1.0)</f>
        <v>1</v>
      </c>
      <c r="Y10" s="289">
        <f>IFERROR(__xludf.DUMMYFUNCTION("""COMPUTED_VALUE"""),325000.0)</f>
        <v>325000</v>
      </c>
      <c r="Z10" s="285" t="str">
        <f>IFERROR(__xludf.DUMMYFUNCTION("""COMPUTED_VALUE"""),"order")</f>
        <v>order</v>
      </c>
      <c r="AB10" s="285" t="str">
        <f>IFERROR(__xludf.DUMMYFUNCTION("""COMPUTED_VALUE"""),"2601H016")</f>
        <v>2601H016</v>
      </c>
      <c r="AC10" s="286">
        <f>IFERROR(__xludf.DUMMYFUNCTION("""COMPUTED_VALUE"""),46038.0)</f>
        <v>46038</v>
      </c>
      <c r="AD10" s="285" t="str">
        <f>IFERROR(__xludf.DUMMYFUNCTION("""COMPUTED_VALUE"""),"Nujiya")</f>
        <v>Nujiya</v>
      </c>
      <c r="AE10" s="285" t="str">
        <f>IFERROR(__xludf.DUMMYFUNCTION("""COMPUTED_VALUE"""),"085716716929")</f>
        <v>085716716929</v>
      </c>
      <c r="AF10" s="285" t="str">
        <f>IFERROR(__xludf.DUMMYFUNCTION("""COMPUTED_VALUE"""),"Gagal")</f>
        <v>Gagal</v>
      </c>
      <c r="AG10" s="285" t="str">
        <f>IFERROR(__xludf.DUMMYFUNCTION("""COMPUTED_VALUE"""),"OT 3H2M")</f>
        <v>OT 3H2M</v>
      </c>
      <c r="AH10" s="287"/>
      <c r="AI10" s="285"/>
      <c r="AJ10" s="289"/>
      <c r="AK10" s="285" t="str">
        <f>IFERROR(__xludf.DUMMYFUNCTION("""COMPUTED_VALUE"""),"tanya-tanya OT, FU tgl 6 feb")</f>
        <v>tanya-tanya OT, FU tgl 6 feb</v>
      </c>
    </row>
    <row r="11">
      <c r="B11" s="309" t="s">
        <v>10222</v>
      </c>
      <c r="C11" s="310">
        <f>SUM(C3:C10)</f>
        <v>377</v>
      </c>
      <c r="F11" s="285" t="str">
        <f>IFERROR(__xludf.DUMMYFUNCTION("""COMPUTED_VALUE"""),"2605H061")</f>
        <v>2605H061</v>
      </c>
      <c r="G11" s="286">
        <f>IFERROR(__xludf.DUMMYFUNCTION("""COMPUTED_VALUE"""),46173.0)</f>
        <v>46173</v>
      </c>
      <c r="H11" s="285" t="str">
        <f>IFERROR(__xludf.DUMMYFUNCTION("""COMPUTED_VALUE"""),"Heri Budiono")</f>
        <v>Heri Budiono</v>
      </c>
      <c r="I11" s="285" t="str">
        <f>IFERROR(__xludf.DUMMYFUNCTION("""COMPUTED_VALUE"""),"0817834730")</f>
        <v>0817834730</v>
      </c>
      <c r="J11" s="285" t="str">
        <f>IFERROR(__xludf.DUMMYFUNCTION("""COMPUTED_VALUE"""),"Leads Baru")</f>
        <v>Leads Baru</v>
      </c>
      <c r="K11" s="285"/>
      <c r="L11" s="287"/>
      <c r="M11" s="285"/>
      <c r="N11" s="289"/>
      <c r="O11" s="285" t="str">
        <f>IFERROR(__xludf.DUMMYFUNCTION("""COMPUTED_VALUE"""),"hanya menyapa. fu juni")</f>
        <v>hanya menyapa. fu juni</v>
      </c>
      <c r="Q11" s="285" t="str">
        <f>IFERROR(__xludf.DUMMYFUNCTION("""COMPUTED_VALUE"""),"2601H032")</f>
        <v>2601H032</v>
      </c>
      <c r="R11" s="286">
        <f>IFERROR(__xludf.DUMMYFUNCTION("""COMPUTED_VALUE"""),46047.0)</f>
        <v>46047</v>
      </c>
      <c r="S11" s="285" t="str">
        <f>IFERROR(__xludf.DUMMYFUNCTION("""COMPUTED_VALUE"""),"Janny (Bambang)")</f>
        <v>Janny (Bambang)</v>
      </c>
      <c r="T11" s="285" t="str">
        <f>IFERROR(__xludf.DUMMYFUNCTION("""COMPUTED_VALUE"""),"0816828184")</f>
        <v>0816828184</v>
      </c>
      <c r="U11" s="285" t="str">
        <f>IFERROR(__xludf.DUMMYFUNCTION("""COMPUTED_VALUE"""),"Closing")</f>
        <v>Closing</v>
      </c>
      <c r="V11" s="285" t="str">
        <f>IFERROR(__xludf.DUMMYFUNCTION("""COMPUTED_VALUE"""),"paket custom")</f>
        <v>paket custom</v>
      </c>
      <c r="W11" s="287"/>
      <c r="X11" s="285">
        <f>IFERROR(__xludf.DUMMYFUNCTION("""COMPUTED_VALUE"""),12.0)</f>
        <v>12</v>
      </c>
      <c r="Y11" s="289">
        <f>IFERROR(__xludf.DUMMYFUNCTION("""COMPUTED_VALUE"""),1.3988E7)</f>
        <v>13988000</v>
      </c>
      <c r="Z11" s="285" t="str">
        <f>IFERROR(__xludf.DUMMYFUNCTION("""COMPUTED_VALUE"""),"order")</f>
        <v>order</v>
      </c>
      <c r="AB11" s="285" t="str">
        <f>IFERROR(__xludf.DUMMYFUNCTION("""COMPUTED_VALUE"""),"2601H017")</f>
        <v>2601H017</v>
      </c>
      <c r="AC11" s="286">
        <f>IFERROR(__xludf.DUMMYFUNCTION("""COMPUTED_VALUE"""),46039.0)</f>
        <v>46039</v>
      </c>
      <c r="AD11" s="285" t="str">
        <f>IFERROR(__xludf.DUMMYFUNCTION("""COMPUTED_VALUE"""),"Tanpa Nama")</f>
        <v>Tanpa Nama</v>
      </c>
      <c r="AE11" s="285" t="str">
        <f>IFERROR(__xludf.DUMMYFUNCTION("""COMPUTED_VALUE"""),"087773897140")</f>
        <v>087773897140</v>
      </c>
      <c r="AF11" s="285" t="str">
        <f>IFERROR(__xludf.DUMMYFUNCTION("""COMPUTED_VALUE"""),"Gagal")</f>
        <v>Gagal</v>
      </c>
      <c r="AG11" s="285" t="str">
        <f>IFERROR(__xludf.DUMMYFUNCTION("""COMPUTED_VALUE"""),"Full Day Trip I, KW, B")</f>
        <v>Full Day Trip I, KW, B</v>
      </c>
      <c r="AH11" s="287"/>
      <c r="AI11" s="285">
        <f>IFERROR(__xludf.DUMMYFUNCTION("""COMPUTED_VALUE"""),1.0)</f>
        <v>1</v>
      </c>
      <c r="AJ11" s="289"/>
      <c r="AK11" s="285" t="str">
        <f>IFERROR(__xludf.DUMMYFUNCTION("""COMPUTED_VALUE"""),"Masih dipertimbangkan karena cuman sendiri")</f>
        <v>Masih dipertimbangkan karena cuman sendiri</v>
      </c>
    </row>
    <row r="12">
      <c r="F12" s="285" t="str">
        <f>IFERROR(__xludf.DUMMYFUNCTION("""COMPUTED_VALUE"""),"2605H062")</f>
        <v>2605H062</v>
      </c>
      <c r="G12" s="286">
        <f>IFERROR(__xludf.DUMMYFUNCTION("""COMPUTED_VALUE"""),46173.0)</f>
        <v>46173</v>
      </c>
      <c r="H12" s="285" t="str">
        <f>IFERROR(__xludf.DUMMYFUNCTION("""COMPUTED_VALUE"""),"Masdar")</f>
        <v>Masdar</v>
      </c>
      <c r="I12" s="285" t="str">
        <f>IFERROR(__xludf.DUMMYFUNCTION("""COMPUTED_VALUE"""),"08111334507")</f>
        <v>08111334507</v>
      </c>
      <c r="J12" s="285" t="str">
        <f>IFERROR(__xludf.DUMMYFUNCTION("""COMPUTED_VALUE"""),"Leads Baru")</f>
        <v>Leads Baru</v>
      </c>
      <c r="K12" s="285"/>
      <c r="L12" s="287"/>
      <c r="M12" s="285"/>
      <c r="N12" s="289"/>
      <c r="O12" s="285" t="str">
        <f>IFERROR(__xludf.DUMMYFUNCTION("""COMPUTED_VALUE"""),"hanya menyapa. fu 7 juni")</f>
        <v>hanya menyapa. fu 7 juni</v>
      </c>
      <c r="Q12" s="285" t="str">
        <f>IFERROR(__xludf.DUMMYFUNCTION("""COMPUTED_VALUE"""),"2601H033")</f>
        <v>2601H033</v>
      </c>
      <c r="R12" s="286">
        <f>IFERROR(__xludf.DUMMYFUNCTION("""COMPUTED_VALUE"""),46034.0)</f>
        <v>46034</v>
      </c>
      <c r="S12" s="285" t="str">
        <f>IFERROR(__xludf.DUMMYFUNCTION("""COMPUTED_VALUE"""),"Masayuanna")</f>
        <v>Masayuanna</v>
      </c>
      <c r="T12" s="285" t="str">
        <f>IFERROR(__xludf.DUMMYFUNCTION("""COMPUTED_VALUE"""),"08170172205")</f>
        <v>08170172205</v>
      </c>
      <c r="U12" s="285" t="str">
        <f>IFERROR(__xludf.DUMMYFUNCTION("""COMPUTED_VALUE"""),"Closing")</f>
        <v>Closing</v>
      </c>
      <c r="V12" s="285" t="str">
        <f>IFERROR(__xludf.DUMMYFUNCTION("""COMPUTED_VALUE"""),"4D3N Custom")</f>
        <v>4D3N Custom</v>
      </c>
      <c r="W12" s="287"/>
      <c r="X12" s="285">
        <f>IFERROR(__xludf.DUMMYFUNCTION("""COMPUTED_VALUE"""),11.0)</f>
        <v>11</v>
      </c>
      <c r="Y12" s="289">
        <f>IFERROR(__xludf.DUMMYFUNCTION("""COMPUTED_VALUE"""),9936000.0)</f>
        <v>9936000</v>
      </c>
      <c r="Z12" s="285" t="str">
        <f>IFERROR(__xludf.DUMMYFUNCTION("""COMPUTED_VALUE"""),"alhamdulillah sudah DP ")</f>
        <v>alhamdulillah sudah DP </v>
      </c>
      <c r="AB12" s="285" t="str">
        <f>IFERROR(__xludf.DUMMYFUNCTION("""COMPUTED_VALUE"""),"2601H018")</f>
        <v>2601H018</v>
      </c>
      <c r="AC12" s="286">
        <f>IFERROR(__xludf.DUMMYFUNCTION("""COMPUTED_VALUE"""),46041.0)</f>
        <v>46041</v>
      </c>
      <c r="AD12" s="285" t="str">
        <f>IFERROR(__xludf.DUMMYFUNCTION("""COMPUTED_VALUE"""),"Tanpa Nama 2")</f>
        <v>Tanpa Nama 2</v>
      </c>
      <c r="AE12" s="285" t="str">
        <f>IFERROR(__xludf.DUMMYFUNCTION("""COMPUTED_VALUE"""),"0817190695")</f>
        <v>0817190695</v>
      </c>
      <c r="AF12" s="285" t="str">
        <f>IFERROR(__xludf.DUMMYFUNCTION("""COMPUTED_VALUE"""),"Gagal")</f>
        <v>Gagal</v>
      </c>
      <c r="AG12" s="285"/>
      <c r="AH12" s="287"/>
      <c r="AI12" s="285"/>
      <c r="AJ12" s="289"/>
      <c r="AK12" s="285" t="str">
        <f>IFERROR(__xludf.DUMMYFUNCTION("""COMPUTED_VALUE"""),"menarik pesan")</f>
        <v>menarik pesan</v>
      </c>
    </row>
    <row r="13">
      <c r="B13" s="311" t="s">
        <v>10223</v>
      </c>
      <c r="C13" s="312">
        <f>sum(C3:C8)/C11</f>
        <v>0.2599469496</v>
      </c>
      <c r="F13" s="285" t="str">
        <f>IFERROR(__xludf.DUMMYFUNCTION("""COMPUTED_VALUE"""),"2605H063")</f>
        <v>2605H063</v>
      </c>
      <c r="G13" s="286">
        <f>IFERROR(__xludf.DUMMYFUNCTION("""COMPUTED_VALUE"""),46173.0)</f>
        <v>46173</v>
      </c>
      <c r="H13" s="285" t="str">
        <f>IFERROR(__xludf.DUMMYFUNCTION("""COMPUTED_VALUE"""),"Liza Icha")</f>
        <v>Liza Icha</v>
      </c>
      <c r="I13" s="285" t="str">
        <f>IFERROR(__xludf.DUMMYFUNCTION("""COMPUTED_VALUE"""),"081314233382")</f>
        <v>081314233382</v>
      </c>
      <c r="J13" s="285" t="str">
        <f>IFERROR(__xludf.DUMMYFUNCTION("""COMPUTED_VALUE"""),"Leads Baru")</f>
        <v>Leads Baru</v>
      </c>
      <c r="K13" s="285"/>
      <c r="L13" s="287"/>
      <c r="M13" s="285"/>
      <c r="N13" s="289"/>
      <c r="O13" s="285" t="str">
        <f>IFERROR(__xludf.DUMMYFUNCTION("""COMPUTED_VALUE"""),"fu 7 juni")</f>
        <v>fu 7 juni</v>
      </c>
      <c r="Q13" s="285" t="str">
        <f>IFERROR(__xludf.DUMMYFUNCTION("""COMPUTED_VALUE"""),"2502H002")</f>
        <v>2502H002</v>
      </c>
      <c r="R13" s="286">
        <f>IFERROR(__xludf.DUMMYFUNCTION("""COMPUTED_VALUE"""),46055.0)</f>
        <v>46055</v>
      </c>
      <c r="S13" s="285" t="str">
        <f>IFERROR(__xludf.DUMMYFUNCTION("""COMPUTED_VALUE"""),"Ahmad risky")</f>
        <v>Ahmad risky</v>
      </c>
      <c r="T13" s="285" t="str">
        <f>IFERROR(__xludf.DUMMYFUNCTION("""COMPUTED_VALUE"""),"08176885123")</f>
        <v>08176885123</v>
      </c>
      <c r="U13" s="285" t="str">
        <f>IFERROR(__xludf.DUMMYFUNCTION("""COMPUTED_VALUE"""),"Closing")</f>
        <v>Closing</v>
      </c>
      <c r="V13" s="285" t="str">
        <f>IFERROR(__xludf.DUMMYFUNCTION("""COMPUTED_VALUE"""),"paket custom 2H1M")</f>
        <v>paket custom 2H1M</v>
      </c>
      <c r="W13" s="287"/>
      <c r="X13" s="285">
        <f>IFERROR(__xludf.DUMMYFUNCTION("""COMPUTED_VALUE"""),4.0)</f>
        <v>4</v>
      </c>
      <c r="Y13" s="289">
        <f>IFERROR(__xludf.DUMMYFUNCTION("""COMPUTED_VALUE"""),3000000.0)</f>
        <v>3000000</v>
      </c>
      <c r="Z13" s="285" t="str">
        <f>IFERROR(__xludf.DUMMYFUNCTION("""COMPUTED_VALUE"""),"order")</f>
        <v>order</v>
      </c>
      <c r="AB13" s="285" t="str">
        <f>IFERROR(__xludf.DUMMYFUNCTION("""COMPUTED_VALUE"""),"2601H019")</f>
        <v>2601H019</v>
      </c>
      <c r="AC13" s="286">
        <f>IFERROR(__xludf.DUMMYFUNCTION("""COMPUTED_VALUE"""),46041.0)</f>
        <v>46041</v>
      </c>
      <c r="AD13" s="285" t="str">
        <f>IFERROR(__xludf.DUMMYFUNCTION("""COMPUTED_VALUE"""),"Joehernie")</f>
        <v>Joehernie</v>
      </c>
      <c r="AE13" s="285" t="str">
        <f>IFERROR(__xludf.DUMMYFUNCTION("""COMPUTED_VALUE"""),"085947419056")</f>
        <v>085947419056</v>
      </c>
      <c r="AF13" s="285" t="str">
        <f>IFERROR(__xludf.DUMMYFUNCTION("""COMPUTED_VALUE"""),"Gagal")</f>
        <v>Gagal</v>
      </c>
      <c r="AG13" s="285"/>
      <c r="AH13" s="287"/>
      <c r="AI13" s="285"/>
      <c r="AJ13" s="289"/>
      <c r="AK13" s="285" t="str">
        <f>IFERROR(__xludf.DUMMYFUNCTION("""COMPUTED_VALUE"""),"tanya-tanya, FU belum ada respond")</f>
        <v>tanya-tanya, FU belum ada respond</v>
      </c>
    </row>
    <row r="14">
      <c r="B14" s="313" t="s">
        <v>10224</v>
      </c>
      <c r="C14" s="314">
        <f>C9/C11</f>
        <v>0.151193634</v>
      </c>
      <c r="F14" s="285" t="str">
        <f>IFERROR(__xludf.DUMMYFUNCTION("""COMPUTED_VALUE"""),"2606H007")</f>
        <v>2606H007</v>
      </c>
      <c r="G14" s="286">
        <f>IFERROR(__xludf.DUMMYFUNCTION("""COMPUTED_VALUE"""),46178.0)</f>
        <v>46178</v>
      </c>
      <c r="H14" s="285" t="str">
        <f>IFERROR(__xludf.DUMMYFUNCTION("""COMPUTED_VALUE"""),"David Barlian")</f>
        <v>David Barlian</v>
      </c>
      <c r="I14" s="285" t="str">
        <f>IFERROR(__xludf.DUMMYFUNCTION("""COMPUTED_VALUE"""),"087878934431")</f>
        <v>087878934431</v>
      </c>
      <c r="J14" s="285" t="str">
        <f>IFERROR(__xludf.DUMMYFUNCTION("""COMPUTED_VALUE"""),"Leads Baru")</f>
        <v>Leads Baru</v>
      </c>
      <c r="K14" s="285" t="str">
        <f>IFERROR(__xludf.DUMMYFUNCTION("""COMPUTED_VALUE"""),"3h2m opsi b")</f>
        <v>3h2m opsi b</v>
      </c>
      <c r="L14" s="287"/>
      <c r="M14" s="285">
        <f>IFERROR(__xludf.DUMMYFUNCTION("""COMPUTED_VALUE"""),25.0)</f>
        <v>25</v>
      </c>
      <c r="N14" s="289"/>
      <c r="O14" s="285" t="str">
        <f>IFERROR(__xludf.DUMMYFUNCTION("""COMPUTED_VALUE"""),"buat penawaran tanggal 7 juni")</f>
        <v>buat penawaran tanggal 7 juni</v>
      </c>
      <c r="Q14" s="285" t="str">
        <f>IFERROR(__xludf.DUMMYFUNCTION("""COMPUTED_VALUE"""),"2602H017")</f>
        <v>2602H017</v>
      </c>
      <c r="R14" s="286">
        <f>IFERROR(__xludf.DUMMYFUNCTION("""COMPUTED_VALUE"""),46065.0)</f>
        <v>46065</v>
      </c>
      <c r="S14" s="285" t="str">
        <f>IFERROR(__xludf.DUMMYFUNCTION("""COMPUTED_VALUE"""),"Sisca")</f>
        <v>Sisca</v>
      </c>
      <c r="T14" s="285" t="str">
        <f>IFERROR(__xludf.DUMMYFUNCTION("""COMPUTED_VALUE"""),"0816900261")</f>
        <v>0816900261</v>
      </c>
      <c r="U14" s="285" t="str">
        <f>IFERROR(__xludf.DUMMYFUNCTION("""COMPUTED_VALUE"""),"Closing")</f>
        <v>Closing</v>
      </c>
      <c r="V14" s="285" t="str">
        <f>IFERROR(__xludf.DUMMYFUNCTION("""COMPUTED_VALUE"""),"trip ijen ")</f>
        <v>trip ijen </v>
      </c>
      <c r="W14" s="287">
        <f>IFERROR(__xludf.DUMMYFUNCTION("""COMPUTED_VALUE"""),46151.0)</f>
        <v>46151</v>
      </c>
      <c r="X14" s="285">
        <f>IFERROR(__xludf.DUMMYFUNCTION("""COMPUTED_VALUE"""),5.0)</f>
        <v>5</v>
      </c>
      <c r="Y14" s="289">
        <f>IFERROR(__xludf.DUMMYFUNCTION("""COMPUTED_VALUE"""),1.222E7)</f>
        <v>12220000</v>
      </c>
      <c r="Z14" s="285" t="str">
        <f>IFERROR(__xludf.DUMMYFUNCTION("""COMPUTED_VALUE"""),"alhamdulillah order")</f>
        <v>alhamdulillah order</v>
      </c>
      <c r="AB14" s="285" t="str">
        <f>IFERROR(__xludf.DUMMYFUNCTION("""COMPUTED_VALUE"""),"2601H020")</f>
        <v>2601H020</v>
      </c>
      <c r="AC14" s="286">
        <f>IFERROR(__xludf.DUMMYFUNCTION("""COMPUTED_VALUE"""),46041.0)</f>
        <v>46041</v>
      </c>
      <c r="AD14" s="285" t="str">
        <f>IFERROR(__xludf.DUMMYFUNCTION("""COMPUTED_VALUE"""),"Nawaf")</f>
        <v>Nawaf</v>
      </c>
      <c r="AE14" s="285" t="str">
        <f>IFERROR(__xludf.DUMMYFUNCTION("""COMPUTED_VALUE"""),"087787049591")</f>
        <v>087787049591</v>
      </c>
      <c r="AF14" s="285" t="str">
        <f>IFERROR(__xludf.DUMMYFUNCTION("""COMPUTED_VALUE"""),"Gagal")</f>
        <v>Gagal</v>
      </c>
      <c r="AG14" s="285" t="str">
        <f>IFERROR(__xludf.DUMMYFUNCTION("""COMPUTED_VALUE"""),"Half Day Trip Ijen")</f>
        <v>Half Day Trip Ijen</v>
      </c>
      <c r="AH14" s="287"/>
      <c r="AI14" s="285">
        <f>IFERROR(__xludf.DUMMYFUNCTION("""COMPUTED_VALUE"""),20.0)</f>
        <v>20</v>
      </c>
      <c r="AJ14" s="289"/>
      <c r="AK14" s="285" t="str">
        <f>IFERROR(__xludf.DUMMYFUNCTION("""COMPUTED_VALUE"""),"lain kali ke banyuwangi")</f>
        <v>lain kali ke banyuwangi</v>
      </c>
    </row>
    <row r="15">
      <c r="B15" s="315" t="s">
        <v>10225</v>
      </c>
      <c r="C15" s="316">
        <f>C10/C11</f>
        <v>0.5888594164</v>
      </c>
      <c r="F15" s="285" t="str">
        <f>IFERROR(__xludf.DUMMYFUNCTION("""COMPUTED_VALUE"""),"2606H040")</f>
        <v>2606H040</v>
      </c>
      <c r="G15" s="286">
        <f>IFERROR(__xludf.DUMMYFUNCTION("""COMPUTED_VALUE"""),46192.0)</f>
        <v>46192</v>
      </c>
      <c r="H15" s="285" t="str">
        <f>IFERROR(__xludf.DUMMYFUNCTION("""COMPUTED_VALUE"""),"Tardi Simatupang")</f>
        <v>Tardi Simatupang</v>
      </c>
      <c r="I15" s="285" t="str">
        <f>IFERROR(__xludf.DUMMYFUNCTION("""COMPUTED_VALUE"""),"0811855219")</f>
        <v>0811855219</v>
      </c>
      <c r="J15" s="285" t="str">
        <f>IFERROR(__xludf.DUMMYFUNCTION("""COMPUTED_VALUE"""),"Leads Baru")</f>
        <v>Leads Baru</v>
      </c>
      <c r="K15" s="285" t="str">
        <f>IFERROR(__xludf.DUMMYFUNCTION("""COMPUTED_VALUE"""),"pulau merah")</f>
        <v>pulau merah</v>
      </c>
      <c r="L15" s="287"/>
      <c r="M15" s="285"/>
      <c r="N15" s="289"/>
      <c r="O15" s="285" t="str">
        <f>IFERROR(__xludf.DUMMYFUNCTION("""COMPUTED_VALUE"""),"belum ada kelanjutan")</f>
        <v>belum ada kelanjutan</v>
      </c>
      <c r="Q15" s="285" t="str">
        <f>IFERROR(__xludf.DUMMYFUNCTION("""COMPUTED_VALUE"""),"2602H020 ")</f>
        <v>2602H020 </v>
      </c>
      <c r="R15" s="286">
        <f>IFERROR(__xludf.DUMMYFUNCTION("""COMPUTED_VALUE"""),46067.0)</f>
        <v>46067</v>
      </c>
      <c r="S15" s="285" t="str">
        <f>IFERROR(__xludf.DUMMYFUNCTION("""COMPUTED_VALUE"""),"Santi")</f>
        <v>Santi</v>
      </c>
      <c r="T15" s="285" t="str">
        <f>IFERROR(__xludf.DUMMYFUNCTION("""COMPUTED_VALUE"""),"08159439990")</f>
        <v>08159439990</v>
      </c>
      <c r="U15" s="285" t="str">
        <f>IFERROR(__xludf.DUMMYFUNCTION("""COMPUTED_VALUE"""),"Closing")</f>
        <v>Closing</v>
      </c>
      <c r="V15" s="285" t="str">
        <f>IFERROR(__xludf.DUMMYFUNCTION("""COMPUTED_VALUE"""),"trip 1 day M,T,B")</f>
        <v>trip 1 day M,T,B</v>
      </c>
      <c r="W15" s="287">
        <f>IFERROR(__xludf.DUMMYFUNCTION("""COMPUTED_VALUE"""),46068.0)</f>
        <v>46068</v>
      </c>
      <c r="X15" s="285">
        <f>IFERROR(__xludf.DUMMYFUNCTION("""COMPUTED_VALUE"""),2.0)</f>
        <v>2</v>
      </c>
      <c r="Y15" s="289">
        <f>IFERROR(__xludf.DUMMYFUNCTION("""COMPUTED_VALUE"""),3070000.0)</f>
        <v>3070000</v>
      </c>
      <c r="Z15" s="285" t="str">
        <f>IFERROR(__xludf.DUMMYFUNCTION("""COMPUTED_VALUE"""),"alhamdulillah order")</f>
        <v>alhamdulillah order</v>
      </c>
      <c r="AB15" s="285" t="str">
        <f>IFERROR(__xludf.DUMMYFUNCTION("""COMPUTED_VALUE"""),"2601H021")</f>
        <v>2601H021</v>
      </c>
      <c r="AC15" s="286">
        <f>IFERROR(__xludf.DUMMYFUNCTION("""COMPUTED_VALUE"""),46036.0)</f>
        <v>46036</v>
      </c>
      <c r="AD15" s="285" t="str">
        <f>IFERROR(__xludf.DUMMYFUNCTION("""COMPUTED_VALUE"""),"Firyaal Nadhira")</f>
        <v>Firyaal Nadhira</v>
      </c>
      <c r="AE15" s="285" t="str">
        <f>IFERROR(__xludf.DUMMYFUNCTION("""COMPUTED_VALUE"""),"08978426315")</f>
        <v>08978426315</v>
      </c>
      <c r="AF15" s="285" t="str">
        <f>IFERROR(__xludf.DUMMYFUNCTION("""COMPUTED_VALUE"""),"Gagal")</f>
        <v>Gagal</v>
      </c>
      <c r="AG15" s="285" t="str">
        <f>IFERROR(__xludf.DUMMYFUNCTION("""COMPUTED_VALUE"""),"3H2M Custom")</f>
        <v>3H2M Custom</v>
      </c>
      <c r="AH15" s="287"/>
      <c r="AI15" s="285">
        <f>IFERROR(__xludf.DUMMYFUNCTION("""COMPUTED_VALUE"""),9.0)</f>
        <v>9</v>
      </c>
      <c r="AJ15" s="289">
        <f>IFERROR(__xludf.DUMMYFUNCTION("""COMPUTED_VALUE"""),1.2204E7)</f>
        <v>12204000</v>
      </c>
      <c r="AK15" s="285" t="str">
        <f>IFERROR(__xludf.DUMMYFUNCTION("""COMPUTED_VALUE"""),"masih belum ada jawaban")</f>
        <v>masih belum ada jawaban</v>
      </c>
    </row>
    <row r="16">
      <c r="F16" s="285" t="str">
        <f>IFERROR(__xludf.DUMMYFUNCTION("""COMPUTED_VALUE"""),"2606H042")</f>
        <v>2606H042</v>
      </c>
      <c r="G16" s="286">
        <f>IFERROR(__xludf.DUMMYFUNCTION("""COMPUTED_VALUE"""),46193.0)</f>
        <v>46193</v>
      </c>
      <c r="H16" s="285" t="str">
        <f>IFERROR(__xludf.DUMMYFUNCTION("""COMPUTED_VALUE"""),"Geri")</f>
        <v>Geri</v>
      </c>
      <c r="I16" s="285" t="str">
        <f>IFERROR(__xludf.DUMMYFUNCTION("""COMPUTED_VALUE"""),"0895328886777")</f>
        <v>0895328886777</v>
      </c>
      <c r="J16" s="285" t="str">
        <f>IFERROR(__xludf.DUMMYFUNCTION("""COMPUTED_VALUE"""),"Leads Baru")</f>
        <v>Leads Baru</v>
      </c>
      <c r="K16" s="285" t="str">
        <f>IFERROR(__xludf.DUMMYFUNCTION("""COMPUTED_VALUE"""),"ijen")</f>
        <v>ijen</v>
      </c>
      <c r="L16" s="287"/>
      <c r="M16" s="285"/>
      <c r="N16" s="289"/>
      <c r="O16" s="285" t="str">
        <f>IFERROR(__xludf.DUMMYFUNCTION("""COMPUTED_VALUE"""),"gada balasan. fu 21 juni")</f>
        <v>gada balasan. fu 21 juni</v>
      </c>
      <c r="Q16" s="285" t="str">
        <f>IFERROR(__xludf.DUMMYFUNCTION("""COMPUTED_VALUE"""),"2602H026")</f>
        <v>2602H026</v>
      </c>
      <c r="R16" s="286">
        <f>IFERROR(__xludf.DUMMYFUNCTION("""COMPUTED_VALUE"""),46071.0)</f>
        <v>46071</v>
      </c>
      <c r="S16" s="285" t="str">
        <f>IFERROR(__xludf.DUMMYFUNCTION("""COMPUTED_VALUE"""),"Manda Alvita")</f>
        <v>Manda Alvita</v>
      </c>
      <c r="T16" s="285" t="str">
        <f>IFERROR(__xludf.DUMMYFUNCTION("""COMPUTED_VALUE"""),"081901716202")</f>
        <v>081901716202</v>
      </c>
      <c r="U16" s="285" t="str">
        <f>IFERROR(__xludf.DUMMYFUNCTION("""COMPUTED_VALUE"""),"Closing")</f>
        <v>Closing</v>
      </c>
      <c r="V16" s="285" t="str">
        <f>IFERROR(__xludf.DUMMYFUNCTION("""COMPUTED_VALUE"""),"custom 3H2M")</f>
        <v>custom 3H2M</v>
      </c>
      <c r="W16" s="287"/>
      <c r="X16" s="285">
        <f>IFERROR(__xludf.DUMMYFUNCTION("""COMPUTED_VALUE"""),3.0)</f>
        <v>3</v>
      </c>
      <c r="Y16" s="289">
        <f>IFERROR(__xludf.DUMMYFUNCTION("""COMPUTED_VALUE"""),5682000.0)</f>
        <v>5682000</v>
      </c>
      <c r="Z16" s="285" t="str">
        <f>IFERROR(__xludf.DUMMYFUNCTION("""COMPUTED_VALUE"""),"alhamdulillah order :)")</f>
        <v>alhamdulillah order :)</v>
      </c>
      <c r="AB16" s="285" t="str">
        <f>IFERROR(__xludf.DUMMYFUNCTION("""COMPUTED_VALUE"""),"2601H022")</f>
        <v>2601H022</v>
      </c>
      <c r="AC16" s="286">
        <f>IFERROR(__xludf.DUMMYFUNCTION("""COMPUTED_VALUE"""),46036.0)</f>
        <v>46036</v>
      </c>
      <c r="AD16" s="285" t="str">
        <f>IFERROR(__xludf.DUMMYFUNCTION("""COMPUTED_VALUE"""),"JH")</f>
        <v>JH</v>
      </c>
      <c r="AE16" s="285" t="str">
        <f>IFERROR(__xludf.DUMMYFUNCTION("""COMPUTED_VALUE"""),"081310300909")</f>
        <v>081310300909</v>
      </c>
      <c r="AF16" s="285" t="str">
        <f>IFERROR(__xludf.DUMMYFUNCTION("""COMPUTED_VALUE"""),"Gagal")</f>
        <v>Gagal</v>
      </c>
      <c r="AG16" s="285"/>
      <c r="AH16" s="287"/>
      <c r="AI16" s="285"/>
      <c r="AJ16" s="289"/>
      <c r="AK16" s="285" t="str">
        <f>IFERROR(__xludf.DUMMYFUNCTION("""COMPUTED_VALUE"""),"tanya-tanya OT I, next time ke Bwi")</f>
        <v>tanya-tanya OT I, next time ke Bwi</v>
      </c>
    </row>
    <row r="17">
      <c r="B17" s="317" t="s">
        <v>10226</v>
      </c>
      <c r="C17" s="195"/>
      <c r="F17" s="285" t="str">
        <f>IFERROR(__xludf.DUMMYFUNCTION("""COMPUTED_VALUE"""),"2606H050")</f>
        <v>2606H050</v>
      </c>
      <c r="G17" s="286">
        <f>IFERROR(__xludf.DUMMYFUNCTION("""COMPUTED_VALUE"""),46225.0)</f>
        <v>46225</v>
      </c>
      <c r="H17" s="285" t="str">
        <f>IFERROR(__xludf.DUMMYFUNCTION("""COMPUTED_VALUE"""),"Nike Zulfarli Mawardi")</f>
        <v>Nike Zulfarli Mawardi</v>
      </c>
      <c r="I17" s="285" t="str">
        <f>IFERROR(__xludf.DUMMYFUNCTION("""COMPUTED_VALUE"""),"08111001580")</f>
        <v>08111001580</v>
      </c>
      <c r="J17" s="285" t="str">
        <f>IFERROR(__xludf.DUMMYFUNCTION("""COMPUTED_VALUE"""),"Leads Baru")</f>
        <v>Leads Baru</v>
      </c>
      <c r="K17" s="285" t="str">
        <f>IFERROR(__xludf.DUMMYFUNCTION("""COMPUTED_VALUE"""),"3h2m")</f>
        <v>3h2m</v>
      </c>
      <c r="L17" s="287">
        <f>IFERROR(__xludf.DUMMYFUNCTION("""COMPUTED_VALUE"""),46264.0)</f>
        <v>46264</v>
      </c>
      <c r="M17" s="285">
        <f>IFERROR(__xludf.DUMMYFUNCTION("""COMPUTED_VALUE"""),16.0)</f>
        <v>16</v>
      </c>
      <c r="N17" s="289"/>
      <c r="O17" s="285"/>
      <c r="Q17" s="285" t="str">
        <f>IFERROR(__xludf.DUMMYFUNCTION("""COMPUTED_VALUE"""),"2602H028")</f>
        <v>2602H028</v>
      </c>
      <c r="R17" s="286">
        <f>IFERROR(__xludf.DUMMYFUNCTION("""COMPUTED_VALUE"""),46072.0)</f>
        <v>46072</v>
      </c>
      <c r="S17" s="285" t="str">
        <f>IFERROR(__xludf.DUMMYFUNCTION("""COMPUTED_VALUE"""),"Deddy ")</f>
        <v>Deddy </v>
      </c>
      <c r="T17" s="285" t="str">
        <f>IFERROR(__xludf.DUMMYFUNCTION("""COMPUTED_VALUE"""),"081323194567")</f>
        <v>081323194567</v>
      </c>
      <c r="U17" s="285" t="str">
        <f>IFERROR(__xludf.DUMMYFUNCTION("""COMPUTED_VALUE"""),"Closing")</f>
        <v>Closing</v>
      </c>
      <c r="V17" s="285" t="str">
        <f>IFERROR(__xludf.DUMMYFUNCTION("""COMPUTED_VALUE"""),"custom 2H1M")</f>
        <v>custom 2H1M</v>
      </c>
      <c r="W17" s="287"/>
      <c r="X17" s="285">
        <f>IFERROR(__xludf.DUMMYFUNCTION("""COMPUTED_VALUE"""),6.0)</f>
        <v>6</v>
      </c>
      <c r="Y17" s="289">
        <f>IFERROR(__xludf.DUMMYFUNCTION("""COMPUTED_VALUE"""),8262000.0)</f>
        <v>8262000</v>
      </c>
      <c r="Z17" s="285" t="str">
        <f>IFERROR(__xludf.DUMMYFUNCTION("""COMPUTED_VALUE"""),"ALHAMDULILLAH ORDER")</f>
        <v>ALHAMDULILLAH ORDER</v>
      </c>
      <c r="AB17" s="285" t="str">
        <f>IFERROR(__xludf.DUMMYFUNCTION("""COMPUTED_VALUE"""),"2601H023")</f>
        <v>2601H023</v>
      </c>
      <c r="AC17" s="286">
        <f>IFERROR(__xludf.DUMMYFUNCTION("""COMPUTED_VALUE"""),46043.0)</f>
        <v>46043</v>
      </c>
      <c r="AD17" s="285" t="str">
        <f>IFERROR(__xludf.DUMMYFUNCTION("""COMPUTED_VALUE"""),"Jameelali")</f>
        <v>Jameelali</v>
      </c>
      <c r="AE17" s="285" t="str">
        <f>IFERROR(__xludf.DUMMYFUNCTION("""COMPUTED_VALUE"""),"08888540196")</f>
        <v>08888540196</v>
      </c>
      <c r="AF17" s="285" t="str">
        <f>IFERROR(__xludf.DUMMYFUNCTION("""COMPUTED_VALUE"""),"Gagal")</f>
        <v>Gagal</v>
      </c>
      <c r="AG17" s="285" t="str">
        <f>IFERROR(__xludf.DUMMYFUNCTION("""COMPUTED_VALUE"""),"Fullday Trip D, GI, PM")</f>
        <v>Fullday Trip D, GI, PM</v>
      </c>
      <c r="AH17" s="287"/>
      <c r="AI17" s="285">
        <f>IFERROR(__xludf.DUMMYFUNCTION("""COMPUTED_VALUE"""),2.0)</f>
        <v>2</v>
      </c>
      <c r="AJ17" s="289">
        <f>IFERROR(__xludf.DUMMYFUNCTION("""COMPUTED_VALUE"""),1512000.0)</f>
        <v>1512000</v>
      </c>
      <c r="AK17" s="285" t="str">
        <f>IFERROR(__xludf.DUMMYFUNCTION("""COMPUTED_VALUE"""),"tanggal sudah lewat, tidak balas waktu FU")</f>
        <v>tanggal sudah lewat, tidak balas waktu FU</v>
      </c>
    </row>
    <row r="18">
      <c r="B18" s="318">
        <f>sum(Y3:Y497)</f>
        <v>269046000</v>
      </c>
      <c r="C18" s="197"/>
      <c r="F18" s="285" t="str">
        <f>IFERROR(__xludf.DUMMYFUNCTION("""COMPUTED_VALUE"""),"2606H052")</f>
        <v>2606H052</v>
      </c>
      <c r="G18" s="286">
        <f>IFERROR(__xludf.DUMMYFUNCTION("""COMPUTED_VALUE"""),46196.0)</f>
        <v>46196</v>
      </c>
      <c r="H18" s="285" t="str">
        <f>IFERROR(__xludf.DUMMYFUNCTION("""COMPUTED_VALUE"""),"Andhika Gembul")</f>
        <v>Andhika Gembul</v>
      </c>
      <c r="I18" s="285" t="str">
        <f>IFERROR(__xludf.DUMMYFUNCTION("""COMPUTED_VALUE"""),"087852485097")</f>
        <v>087852485097</v>
      </c>
      <c r="J18" s="285" t="str">
        <f>IFERROR(__xludf.DUMMYFUNCTION("""COMPUTED_VALUE"""),"Leads Baru")</f>
        <v>Leads Baru</v>
      </c>
      <c r="K18" s="285" t="str">
        <f>IFERROR(__xludf.DUMMYFUNCTION("""COMPUTED_VALUE"""),"3h2m custom")</f>
        <v>3h2m custom</v>
      </c>
      <c r="L18" s="287"/>
      <c r="M18" s="285">
        <f>IFERROR(__xludf.DUMMYFUNCTION("""COMPUTED_VALUE"""),2.0)</f>
        <v>2</v>
      </c>
      <c r="N18" s="289"/>
      <c r="O18" s="285"/>
      <c r="Q18" s="285" t="str">
        <f>IFERROR(__xludf.DUMMYFUNCTION("""COMPUTED_VALUE"""),"2603D006")</f>
        <v>2603D006</v>
      </c>
      <c r="R18" s="286">
        <f>IFERROR(__xludf.DUMMYFUNCTION("""COMPUTED_VALUE"""),46092.0)</f>
        <v>46092</v>
      </c>
      <c r="S18" s="285" t="str">
        <f>IFERROR(__xludf.DUMMYFUNCTION("""COMPUTED_VALUE"""),"Shella")</f>
        <v>Shella</v>
      </c>
      <c r="T18" s="285" t="str">
        <f>IFERROR(__xludf.DUMMYFUNCTION("""COMPUTED_VALUE"""),"082123875017")</f>
        <v>082123875017</v>
      </c>
      <c r="U18" s="285" t="str">
        <f>IFERROR(__xludf.DUMMYFUNCTION("""COMPUTED_VALUE"""),"Closing")</f>
        <v>Closing</v>
      </c>
      <c r="V18" s="285" t="str">
        <f>IFERROR(__xludf.DUMMYFUNCTION("""COMPUTED_VALUE"""),"Full day trip B,D,PM")</f>
        <v>Full day trip B,D,PM</v>
      </c>
      <c r="W18" s="287">
        <f>IFERROR(__xludf.DUMMYFUNCTION("""COMPUTED_VALUE"""),46100.0)</f>
        <v>46100</v>
      </c>
      <c r="X18" s="285">
        <f>IFERROR(__xludf.DUMMYFUNCTION("""COMPUTED_VALUE"""),6.0)</f>
        <v>6</v>
      </c>
      <c r="Y18" s="289">
        <f>IFERROR(__xludf.DUMMYFUNCTION("""COMPUTED_VALUE"""),2850000.0)</f>
        <v>2850000</v>
      </c>
      <c r="Z18" s="285" t="str">
        <f>IFERROR(__xludf.DUMMYFUNCTION("""COMPUTED_VALUE"""),"orderrr")</f>
        <v>orderrr</v>
      </c>
      <c r="AB18" s="285" t="str">
        <f>IFERROR(__xludf.DUMMYFUNCTION("""COMPUTED_VALUE"""),"2601H024")</f>
        <v>2601H024</v>
      </c>
      <c r="AC18" s="286">
        <f>IFERROR(__xludf.DUMMYFUNCTION("""COMPUTED_VALUE"""),46043.0)</f>
        <v>46043</v>
      </c>
      <c r="AD18" s="285" t="str">
        <f>IFERROR(__xludf.DUMMYFUNCTION("""COMPUTED_VALUE"""),"Hany Sintya")</f>
        <v>Hany Sintya</v>
      </c>
      <c r="AE18" s="285" t="str">
        <f>IFERROR(__xludf.DUMMYFUNCTION("""COMPUTED_VALUE"""),"085211221371")</f>
        <v>085211221371</v>
      </c>
      <c r="AF18" s="285" t="str">
        <f>IFERROR(__xludf.DUMMYFUNCTION("""COMPUTED_VALUE"""),"Gagal")</f>
        <v>Gagal</v>
      </c>
      <c r="AG18" s="285"/>
      <c r="AH18" s="287"/>
      <c r="AI18" s="285"/>
      <c r="AJ18" s="289"/>
      <c r="AK18" s="285" t="str">
        <f>IFERROR(__xludf.DUMMYFUNCTION("""COMPUTED_VALUE""")," ")</f>
        <v> </v>
      </c>
    </row>
    <row r="19">
      <c r="B19" s="201"/>
      <c r="C19" s="202"/>
      <c r="F19" s="285" t="str">
        <f>IFERROR(__xludf.DUMMYFUNCTION("""COMPUTED_VALUE"""),"2606H065")</f>
        <v>2606H065</v>
      </c>
      <c r="G19" s="286">
        <f>IFERROR(__xludf.DUMMYFUNCTION("""COMPUTED_VALUE"""),46199.0)</f>
        <v>46199</v>
      </c>
      <c r="H19" s="285" t="str">
        <f>IFERROR(__xludf.DUMMYFUNCTION("""COMPUTED_VALUE"""),"Ririen Indrasari")</f>
        <v>Ririen Indrasari</v>
      </c>
      <c r="I19" s="285" t="str">
        <f>IFERROR(__xludf.DUMMYFUNCTION("""COMPUTED_VALUE"""),"08118984499")</f>
        <v>08118984499</v>
      </c>
      <c r="J19" s="285" t="str">
        <f>IFERROR(__xludf.DUMMYFUNCTION("""COMPUTED_VALUE"""),"Leads Baru")</f>
        <v>Leads Baru</v>
      </c>
      <c r="K19" s="285" t="str">
        <f>IFERROR(__xludf.DUMMYFUNCTION("""COMPUTED_VALUE"""),"2h1m pp sby")</f>
        <v>2h1m pp sby</v>
      </c>
      <c r="L19" s="287"/>
      <c r="M19" s="285"/>
      <c r="N19" s="289"/>
      <c r="O19" s="285"/>
      <c r="Q19" s="285" t="str">
        <f>IFERROR(__xludf.DUMMYFUNCTION("""COMPUTED_VALUE"""),"2603H018")</f>
        <v>2603H018</v>
      </c>
      <c r="R19" s="286">
        <f>IFERROR(__xludf.DUMMYFUNCTION("""COMPUTED_VALUE"""),46097.0)</f>
        <v>46097</v>
      </c>
      <c r="S19" s="285" t="str">
        <f>IFERROR(__xludf.DUMMYFUNCTION("""COMPUTED_VALUE"""),"Wardah")</f>
        <v>Wardah</v>
      </c>
      <c r="T19" s="285" t="str">
        <f>IFERROR(__xludf.DUMMYFUNCTION("""COMPUTED_VALUE"""),"08159644745")</f>
        <v>08159644745</v>
      </c>
      <c r="U19" s="285" t="str">
        <f>IFERROR(__xludf.DUMMYFUNCTION("""COMPUTED_VALUE"""),"Closing")</f>
        <v>Closing</v>
      </c>
      <c r="V19" s="285" t="str">
        <f>IFERROR(__xludf.DUMMYFUNCTION("""COMPUTED_VALUE"""),"3H2M")</f>
        <v>3H2M</v>
      </c>
      <c r="W19" s="287"/>
      <c r="X19" s="285">
        <f>IFERROR(__xludf.DUMMYFUNCTION("""COMPUTED_VALUE"""),8.0)</f>
        <v>8</v>
      </c>
      <c r="Y19" s="289">
        <f>IFERROR(__xludf.DUMMYFUNCTION("""COMPUTED_VALUE"""),1.42E7)</f>
        <v>14200000</v>
      </c>
      <c r="Z19" s="285" t="str">
        <f>IFERROR(__xludf.DUMMYFUNCTION("""COMPUTED_VALUE"""),"alhamdulillah order ")</f>
        <v>alhamdulillah order </v>
      </c>
      <c r="AB19" s="285" t="str">
        <f>IFERROR(__xludf.DUMMYFUNCTION("""COMPUTED_VALUE"""),"2601H025")</f>
        <v>2601H025</v>
      </c>
      <c r="AC19" s="286">
        <f>IFERROR(__xludf.DUMMYFUNCTION("""COMPUTED_VALUE"""),46043.0)</f>
        <v>46043</v>
      </c>
      <c r="AD19" s="285" t="str">
        <f>IFERROR(__xludf.DUMMYFUNCTION("""COMPUTED_VALUE"""),"Hilman Febriana")</f>
        <v>Hilman Febriana</v>
      </c>
      <c r="AE19" s="285" t="str">
        <f>IFERROR(__xludf.DUMMYFUNCTION("""COMPUTED_VALUE"""),"085161498070")</f>
        <v>085161498070</v>
      </c>
      <c r="AF19" s="285" t="str">
        <f>IFERROR(__xludf.DUMMYFUNCTION("""COMPUTED_VALUE"""),"Gagal")</f>
        <v>Gagal</v>
      </c>
      <c r="AG19" s="285" t="str">
        <f>IFERROR(__xludf.DUMMYFUNCTION("""COMPUTED_VALUE"""),"3H2M Opsi B")</f>
        <v>3H2M Opsi B</v>
      </c>
      <c r="AH19" s="287"/>
      <c r="AI19" s="285">
        <f>IFERROR(__xludf.DUMMYFUNCTION("""COMPUTED_VALUE"""),5.0)</f>
        <v>5</v>
      </c>
      <c r="AJ19" s="289">
        <f>IFERROR(__xludf.DUMMYFUNCTION("""COMPUTED_VALUE"""),1.0825E7)</f>
        <v>10825000</v>
      </c>
      <c r="AK19" s="285" t="str">
        <f>IFERROR(__xludf.DUMMYFUNCTION("""COMPUTED_VALUE"""),"tidak ada balasan, sudah fu")</f>
        <v>tidak ada balasan, sudah fu</v>
      </c>
    </row>
    <row r="20">
      <c r="F20" s="285" t="str">
        <f>IFERROR(__xludf.DUMMYFUNCTION("""COMPUTED_VALUE"""),"2606H066")</f>
        <v>2606H066</v>
      </c>
      <c r="G20" s="286">
        <f>IFERROR(__xludf.DUMMYFUNCTION("""COMPUTED_VALUE"""),46199.0)</f>
        <v>46199</v>
      </c>
      <c r="H20" s="285" t="str">
        <f>IFERROR(__xludf.DUMMYFUNCTION("""COMPUTED_VALUE"""),"Ima Z")</f>
        <v>Ima Z</v>
      </c>
      <c r="I20" s="285" t="str">
        <f>IFERROR(__xludf.DUMMYFUNCTION("""COMPUTED_VALUE"""),"082230577700")</f>
        <v>082230577700</v>
      </c>
      <c r="J20" s="285" t="str">
        <f>IFERROR(__xludf.DUMMYFUNCTION("""COMPUTED_VALUE"""),"Leads Baru")</f>
        <v>Leads Baru</v>
      </c>
      <c r="K20" s="285" t="str">
        <f>IFERROR(__xludf.DUMMYFUNCTION("""COMPUTED_VALUE"""),"3h2m")</f>
        <v>3h2m</v>
      </c>
      <c r="L20" s="287"/>
      <c r="M20" s="285">
        <f>IFERROR(__xludf.DUMMYFUNCTION("""COMPUTED_VALUE"""),7.0)</f>
        <v>7</v>
      </c>
      <c r="N20" s="289"/>
      <c r="O20" s="285"/>
      <c r="Q20" s="285" t="str">
        <f>IFERROR(__xludf.DUMMYFUNCTION("""COMPUTED_VALUE"""),"2603H034")</f>
        <v>2603H034</v>
      </c>
      <c r="R20" s="286">
        <f>IFERROR(__xludf.DUMMYFUNCTION("""COMPUTED_VALUE"""),46104.0)</f>
        <v>46104</v>
      </c>
      <c r="S20" s="285" t="str">
        <f>IFERROR(__xludf.DUMMYFUNCTION("""COMPUTED_VALUE"""),"Whiesa")</f>
        <v>Whiesa</v>
      </c>
      <c r="T20" s="285" t="str">
        <f>IFERROR(__xludf.DUMMYFUNCTION("""COMPUTED_VALUE"""),"0895351124523")</f>
        <v>0895351124523</v>
      </c>
      <c r="U20" s="285" t="str">
        <f>IFERROR(__xludf.DUMMYFUNCTION("""COMPUTED_VALUE"""),"Closing")</f>
        <v>Closing</v>
      </c>
      <c r="V20" s="285" t="str">
        <f>IFERROR(__xludf.DUMMYFUNCTION("""COMPUTED_VALUE"""),"Private trip Baluran")</f>
        <v>Private trip Baluran</v>
      </c>
      <c r="W20" s="287">
        <f>IFERROR(__xludf.DUMMYFUNCTION("""COMPUTED_VALUE"""),46105.0)</f>
        <v>46105</v>
      </c>
      <c r="X20" s="285">
        <f>IFERROR(__xludf.DUMMYFUNCTION("""COMPUTED_VALUE"""),4.0)</f>
        <v>4</v>
      </c>
      <c r="Y20" s="289">
        <f>IFERROR(__xludf.DUMMYFUNCTION("""COMPUTED_VALUE"""),1800000.0)</f>
        <v>1800000</v>
      </c>
      <c r="Z20" s="285" t="str">
        <f>IFERROR(__xludf.DUMMYFUNCTION("""COMPUTED_VALUE"""),"orderrr")</f>
        <v>orderrr</v>
      </c>
      <c r="AB20" s="285" t="str">
        <f>IFERROR(__xludf.DUMMYFUNCTION("""COMPUTED_VALUE"""),"2601H026")</f>
        <v>2601H026</v>
      </c>
      <c r="AC20" s="286">
        <f>IFERROR(__xludf.DUMMYFUNCTION("""COMPUTED_VALUE"""),46039.0)</f>
        <v>46039</v>
      </c>
      <c r="AD20" s="285" t="str">
        <f>IFERROR(__xludf.DUMMYFUNCTION("""COMPUTED_VALUE"""),"Kirina")</f>
        <v>Kirina</v>
      </c>
      <c r="AE20" s="285" t="str">
        <f>IFERROR(__xludf.DUMMYFUNCTION("""COMPUTED_VALUE"""),"0811822173")</f>
        <v>0811822173</v>
      </c>
      <c r="AF20" s="285" t="str">
        <f>IFERROR(__xludf.DUMMYFUNCTION("""COMPUTED_VALUE"""),"Gagal")</f>
        <v>Gagal</v>
      </c>
      <c r="AG20" s="285" t="str">
        <f>IFERROR(__xludf.DUMMYFUNCTION("""COMPUTED_VALUE"""),"3H2M Custom")</f>
        <v>3H2M Custom</v>
      </c>
      <c r="AH20" s="287"/>
      <c r="AI20" s="285">
        <f>IFERROR(__xludf.DUMMYFUNCTION("""COMPUTED_VALUE"""),17.0)</f>
        <v>17</v>
      </c>
      <c r="AJ20" s="289">
        <f>IFERROR(__xludf.DUMMYFUNCTION("""COMPUTED_VALUE"""),2.295E7)</f>
        <v>22950000</v>
      </c>
      <c r="AK20" s="285" t="str">
        <f>IFERROR(__xludf.DUMMYFUNCTION("""COMPUTED_VALUE"""),"ganti destinasi ke malaysia")</f>
        <v>ganti destinasi ke malaysia</v>
      </c>
    </row>
    <row r="21">
      <c r="B21" s="317" t="s">
        <v>10227</v>
      </c>
      <c r="C21" s="195"/>
      <c r="F21" s="285" t="str">
        <f>IFERROR(__xludf.DUMMYFUNCTION("""COMPUTED_VALUE"""),"2606H067")</f>
        <v>2606H067</v>
      </c>
      <c r="G21" s="286">
        <f>IFERROR(__xludf.DUMMYFUNCTION("""COMPUTED_VALUE"""),46199.0)</f>
        <v>46199</v>
      </c>
      <c r="H21" s="285" t="str">
        <f>IFERROR(__xludf.DUMMYFUNCTION("""COMPUTED_VALUE"""),"Tjiptaningsih")</f>
        <v>Tjiptaningsih</v>
      </c>
      <c r="I21" s="285" t="str">
        <f>IFERROR(__xludf.DUMMYFUNCTION("""COMPUTED_VALUE"""),"08161801862")</f>
        <v>08161801862</v>
      </c>
      <c r="J21" s="285" t="str">
        <f>IFERROR(__xludf.DUMMYFUNCTION("""COMPUTED_VALUE"""),"Leads Baru")</f>
        <v>Leads Baru</v>
      </c>
      <c r="K21" s="285" t="str">
        <f>IFERROR(__xludf.DUMMYFUNCTION("""COMPUTED_VALUE"""),"ot3h2m")</f>
        <v>ot3h2m</v>
      </c>
      <c r="L21" s="287"/>
      <c r="M21" s="285">
        <f>IFERROR(__xludf.DUMMYFUNCTION("""COMPUTED_VALUE"""),2.0)</f>
        <v>2</v>
      </c>
      <c r="N21" s="289"/>
      <c r="O21" s="285"/>
      <c r="Q21" s="285" t="str">
        <f>IFERROR(__xludf.DUMMYFUNCTION("""COMPUTED_VALUE"""),"2603H035")</f>
        <v>2603H035</v>
      </c>
      <c r="R21" s="286">
        <f>IFERROR(__xludf.DUMMYFUNCTION("""COMPUTED_VALUE"""),46109.0)</f>
        <v>46109</v>
      </c>
      <c r="S21" s="285" t="str">
        <f>IFERROR(__xludf.DUMMYFUNCTION("""COMPUTED_VALUE"""),"Wardah (Fathia)")</f>
        <v>Wardah (Fathia)</v>
      </c>
      <c r="T21" s="285" t="str">
        <f>IFERROR(__xludf.DUMMYFUNCTION("""COMPUTED_VALUE"""),"0895365134371")</f>
        <v>0895365134371</v>
      </c>
      <c r="U21" s="285" t="str">
        <f>IFERROR(__xludf.DUMMYFUNCTION("""COMPUTED_VALUE"""),"Closing")</f>
        <v>Closing</v>
      </c>
      <c r="V21" s="285" t="str">
        <f>IFERROR(__xludf.DUMMYFUNCTION("""COMPUTED_VALUE"""),"OT Ijen")</f>
        <v>OT Ijen</v>
      </c>
      <c r="W21" s="287">
        <f>IFERROR(__xludf.DUMMYFUNCTION("""COMPUTED_VALUE"""),46109.0)</f>
        <v>46109</v>
      </c>
      <c r="X21" s="285">
        <f>IFERROR(__xludf.DUMMYFUNCTION("""COMPUTED_VALUE"""),1.0)</f>
        <v>1</v>
      </c>
      <c r="Y21" s="289"/>
      <c r="Z21" s="285" t="str">
        <f>IFERROR(__xludf.DUMMYFUNCTION("""COMPUTED_VALUE"""),"orderr")</f>
        <v>orderr</v>
      </c>
      <c r="AB21" s="285" t="str">
        <f>IFERROR(__xludf.DUMMYFUNCTION("""COMPUTED_VALUE"""),"2601H029")</f>
        <v>2601H029</v>
      </c>
      <c r="AC21" s="286">
        <f>IFERROR(__xludf.DUMMYFUNCTION("""COMPUTED_VALUE"""),46046.0)</f>
        <v>46046</v>
      </c>
      <c r="AD21" s="285" t="str">
        <f>IFERROR(__xludf.DUMMYFUNCTION("""COMPUTED_VALUE"""),"Budi biro hb tour jakarta")</f>
        <v>Budi biro hb tour jakarta</v>
      </c>
      <c r="AE21" s="285" t="str">
        <f>IFERROR(__xludf.DUMMYFUNCTION("""COMPUTED_VALUE"""),"082211661806")</f>
        <v>082211661806</v>
      </c>
      <c r="AF21" s="285" t="str">
        <f>IFERROR(__xludf.DUMMYFUNCTION("""COMPUTED_VALUE"""),"Gagal")</f>
        <v>Gagal</v>
      </c>
      <c r="AG21" s="285" t="str">
        <f>IFERROR(__xludf.DUMMYFUNCTION("""COMPUTED_VALUE"""),"2H1N")</f>
        <v>2H1N</v>
      </c>
      <c r="AH21" s="287"/>
      <c r="AI21" s="285">
        <f>IFERROR(__xludf.DUMMYFUNCTION("""COMPUTED_VALUE"""),36.0)</f>
        <v>36</v>
      </c>
      <c r="AJ21" s="289">
        <f>IFERROR(__xludf.DUMMYFUNCTION("""COMPUTED_VALUE"""),2.52E7)</f>
        <v>25200000</v>
      </c>
      <c r="AK21" s="285" t="str">
        <f>IFERROR(__xludf.DUMMYFUNCTION("""COMPUTED_VALUE"""),"sdh fu, tidak ada jawaban")</f>
        <v>sdh fu, tidak ada jawaban</v>
      </c>
    </row>
    <row r="22">
      <c r="B22" s="318">
        <f>sum(N3:N497)</f>
        <v>1411396888</v>
      </c>
      <c r="C22" s="197"/>
      <c r="F22" s="285" t="str">
        <f>IFERROR(__xludf.DUMMYFUNCTION("""COMPUTED_VALUE"""),"2606H069")</f>
        <v>2606H069</v>
      </c>
      <c r="G22" s="286">
        <f>IFERROR(__xludf.DUMMYFUNCTION("""COMPUTED_VALUE"""),46200.0)</f>
        <v>46200</v>
      </c>
      <c r="H22" s="285" t="str">
        <f>IFERROR(__xludf.DUMMYFUNCTION("""COMPUTED_VALUE"""),"Candra Libriyanto")</f>
        <v>Candra Libriyanto</v>
      </c>
      <c r="I22" s="285" t="str">
        <f>IFERROR(__xludf.DUMMYFUNCTION("""COMPUTED_VALUE"""),"085779936276")</f>
        <v>085779936276</v>
      </c>
      <c r="J22" s="285" t="str">
        <f>IFERROR(__xludf.DUMMYFUNCTION("""COMPUTED_VALUE"""),"Leads Baru")</f>
        <v>Leads Baru</v>
      </c>
      <c r="K22" s="285"/>
      <c r="L22" s="287"/>
      <c r="M22" s="285"/>
      <c r="N22" s="289"/>
      <c r="O22" s="285" t="str">
        <f>IFERROR(__xludf.DUMMYFUNCTION("""COMPUTED_VALUE"""),"hanya menyapa. fu 6 juli")</f>
        <v>hanya menyapa. fu 6 juli</v>
      </c>
      <c r="Q22" s="285" t="str">
        <f>IFERROR(__xludf.DUMMYFUNCTION("""COMPUTED_VALUE"""),"2604H001")</f>
        <v>2604H001</v>
      </c>
      <c r="R22" s="286">
        <f>IFERROR(__xludf.DUMMYFUNCTION("""COMPUTED_VALUE"""),46116.0)</f>
        <v>46116</v>
      </c>
      <c r="S22" s="285" t="str">
        <f>IFERROR(__xludf.DUMMYFUNCTION("""COMPUTED_VALUE"""),"Dwi Parmawati")</f>
        <v>Dwi Parmawati</v>
      </c>
      <c r="T22" s="285" t="str">
        <f>IFERROR(__xludf.DUMMYFUNCTION("""COMPUTED_VALUE"""),"081282935135")</f>
        <v>081282935135</v>
      </c>
      <c r="U22" s="285" t="str">
        <f>IFERROR(__xludf.DUMMYFUNCTION("""COMPUTED_VALUE"""),"Closing")</f>
        <v>Closing</v>
      </c>
      <c r="V22" s="285" t="str">
        <f>IFERROR(__xludf.DUMMYFUNCTION("""COMPUTED_VALUE"""),"3H2M opsi A")</f>
        <v>3H2M opsi A</v>
      </c>
      <c r="W22" s="287"/>
      <c r="X22" s="285">
        <f>IFERROR(__xludf.DUMMYFUNCTION("""COMPUTED_VALUE"""),4.0)</f>
        <v>4</v>
      </c>
      <c r="Y22" s="289">
        <f>IFERROR(__xludf.DUMMYFUNCTION("""COMPUTED_VALUE"""),7548000.0)</f>
        <v>7548000</v>
      </c>
      <c r="Z22" s="285" t="str">
        <f>IFERROR(__xludf.DUMMYFUNCTION("""COMPUTED_VALUE"""),"Alhamdulillah order :)))")</f>
        <v>Alhamdulillah order :)))</v>
      </c>
      <c r="AB22" s="285" t="str">
        <f>IFERROR(__xludf.DUMMYFUNCTION("""COMPUTED_VALUE"""),"2601H030")</f>
        <v>2601H030</v>
      </c>
      <c r="AC22" s="286">
        <f>IFERROR(__xludf.DUMMYFUNCTION("""COMPUTED_VALUE"""),46047.0)</f>
        <v>46047</v>
      </c>
      <c r="AD22" s="285" t="str">
        <f>IFERROR(__xludf.DUMMYFUNCTION("""COMPUTED_VALUE"""),"Lung")</f>
        <v>Lung</v>
      </c>
      <c r="AE22" s="285" t="str">
        <f>IFERROR(__xludf.DUMMYFUNCTION("""COMPUTED_VALUE"""),"081224146323")</f>
        <v>081224146323</v>
      </c>
      <c r="AF22" s="285" t="str">
        <f>IFERROR(__xludf.DUMMYFUNCTION("""COMPUTED_VALUE"""),"Gagal")</f>
        <v>Gagal</v>
      </c>
      <c r="AG22" s="285" t="str">
        <f>IFERROR(__xludf.DUMMYFUNCTION("""COMPUTED_VALUE"""),"4D3N Custom")</f>
        <v>4D3N Custom</v>
      </c>
      <c r="AH22" s="287"/>
      <c r="AI22" s="285">
        <f>IFERROR(__xludf.DUMMYFUNCTION("""COMPUTED_VALUE"""),2.0)</f>
        <v>2</v>
      </c>
      <c r="AJ22" s="289">
        <f>IFERROR(__xludf.DUMMYFUNCTION("""COMPUTED_VALUE"""),6990000.0)</f>
        <v>6990000</v>
      </c>
      <c r="AK22" s="285" t="str">
        <f>IFERROR(__xludf.DUMMYFUNCTION("""COMPUTED_VALUE"""),"tanya tanya dulu")</f>
        <v>tanya tanya dulu</v>
      </c>
    </row>
    <row r="23">
      <c r="B23" s="201"/>
      <c r="C23" s="202"/>
      <c r="F23" s="285" t="str">
        <f>IFERROR(__xludf.DUMMYFUNCTION("""COMPUTED_VALUE"""),"2606H070")</f>
        <v>2606H070</v>
      </c>
      <c r="G23" s="286">
        <f>IFERROR(__xludf.DUMMYFUNCTION("""COMPUTED_VALUE"""),46200.0)</f>
        <v>46200</v>
      </c>
      <c r="H23" s="285" t="str">
        <f>IFERROR(__xludf.DUMMYFUNCTION("""COMPUTED_VALUE"""),"Yogi Alfionanta")</f>
        <v>Yogi Alfionanta</v>
      </c>
      <c r="I23" s="285" t="str">
        <f>IFERROR(__xludf.DUMMYFUNCTION("""COMPUTED_VALUE"""),"0811150708")</f>
        <v>0811150708</v>
      </c>
      <c r="J23" s="285" t="str">
        <f>IFERROR(__xludf.DUMMYFUNCTION("""COMPUTED_VALUE"""),"Leads Baru")</f>
        <v>Leads Baru</v>
      </c>
      <c r="K23" s="285"/>
      <c r="L23" s="287"/>
      <c r="M23" s="285">
        <f>IFERROR(__xludf.DUMMYFUNCTION("""COMPUTED_VALUE"""),4.0)</f>
        <v>4</v>
      </c>
      <c r="N23" s="289"/>
      <c r="O23" s="285" t="str">
        <f>IFERROR(__xludf.DUMMYFUNCTION("""COMPUTED_VALUE"""),"fu 30 juni")</f>
        <v>fu 30 juni</v>
      </c>
      <c r="Q23" s="285" t="str">
        <f>IFERROR(__xludf.DUMMYFUNCTION("""COMPUTED_VALUE"""),"2604H005")</f>
        <v>2604H005</v>
      </c>
      <c r="R23" s="286">
        <f>IFERROR(__xludf.DUMMYFUNCTION("""COMPUTED_VALUE"""),46117.0)</f>
        <v>46117</v>
      </c>
      <c r="S23" s="285" t="str">
        <f>IFERROR(__xludf.DUMMYFUNCTION("""COMPUTED_VALUE"""),"Gouw Tau Hu")</f>
        <v>Gouw Tau Hu</v>
      </c>
      <c r="T23" s="285" t="str">
        <f>IFERROR(__xludf.DUMMYFUNCTION("""COMPUTED_VALUE"""),"081318916892")</f>
        <v>081318916892</v>
      </c>
      <c r="U23" s="285" t="str">
        <f>IFERROR(__xludf.DUMMYFUNCTION("""COMPUTED_VALUE"""),"Closing")</f>
        <v>Closing</v>
      </c>
      <c r="V23" s="285" t="str">
        <f>IFERROR(__xludf.DUMMYFUNCTION("""COMPUTED_VALUE"""),"4h3m")</f>
        <v>4h3m</v>
      </c>
      <c r="W23" s="287"/>
      <c r="X23" s="285">
        <f>IFERROR(__xludf.DUMMYFUNCTION("""COMPUTED_VALUE"""),2.0)</f>
        <v>2</v>
      </c>
      <c r="Y23" s="289">
        <f>IFERROR(__xludf.DUMMYFUNCTION("""COMPUTED_VALUE"""),7034000.0)</f>
        <v>7034000</v>
      </c>
      <c r="Z23" s="285" t="str">
        <f>IFERROR(__xludf.DUMMYFUNCTION("""COMPUTED_VALUE"""),"alhamdulillah order :)")</f>
        <v>alhamdulillah order :)</v>
      </c>
      <c r="AB23" s="285" t="str">
        <f>IFERROR(__xludf.DUMMYFUNCTION("""COMPUTED_VALUE"""),"2601H031")</f>
        <v>2601H031</v>
      </c>
      <c r="AC23" s="286">
        <f>IFERROR(__xludf.DUMMYFUNCTION("""COMPUTED_VALUE"""),46047.0)</f>
        <v>46047</v>
      </c>
      <c r="AD23" s="285" t="str">
        <f>IFERROR(__xludf.DUMMYFUNCTION("""COMPUTED_VALUE"""),"Nuke")</f>
        <v>Nuke</v>
      </c>
      <c r="AE23" s="285" t="str">
        <f>IFERROR(__xludf.DUMMYFUNCTION("""COMPUTED_VALUE"""),"08170279102")</f>
        <v>08170279102</v>
      </c>
      <c r="AF23" s="285" t="str">
        <f>IFERROR(__xludf.DUMMYFUNCTION("""COMPUTED_VALUE"""),"Gagal")</f>
        <v>Gagal</v>
      </c>
      <c r="AG23" s="285"/>
      <c r="AH23" s="287"/>
      <c r="AI23" s="285"/>
      <c r="AJ23" s="289"/>
      <c r="AK23" s="285" t="str">
        <f>IFERROR(__xludf.DUMMYFUNCTION("""COMPUTED_VALUE"""),"tanya tanya PL Tour Banyuwangi")</f>
        <v>tanya tanya PL Tour Banyuwangi</v>
      </c>
    </row>
    <row r="24">
      <c r="F24" s="285" t="str">
        <f>IFERROR(__xludf.DUMMYFUNCTION("""COMPUTED_VALUE"""),"2606H071")</f>
        <v>2606H071</v>
      </c>
      <c r="G24" s="286">
        <f>IFERROR(__xludf.DUMMYFUNCTION("""COMPUTED_VALUE"""),46201.0)</f>
        <v>46201</v>
      </c>
      <c r="H24" s="285" t="str">
        <f>IFERROR(__xludf.DUMMYFUNCTION("""COMPUTED_VALUE"""),"M Shirly WUNAS")</f>
        <v>M Shirly WUNAS</v>
      </c>
      <c r="I24" s="285" t="str">
        <f>IFERROR(__xludf.DUMMYFUNCTION("""COMPUTED_VALUE"""),"081354584785")</f>
        <v>081354584785</v>
      </c>
      <c r="J24" s="285" t="str">
        <f>IFERROR(__xludf.DUMMYFUNCTION("""COMPUTED_VALUE"""),"Leads Baru")</f>
        <v>Leads Baru</v>
      </c>
      <c r="K24" s="285"/>
      <c r="L24" s="287">
        <f>IFERROR(__xludf.DUMMYFUNCTION("""COMPUTED_VALUE"""),46252.0)</f>
        <v>46252</v>
      </c>
      <c r="M24" s="285">
        <f>IFERROR(__xludf.DUMMYFUNCTION("""COMPUTED_VALUE"""),10.0)</f>
        <v>10</v>
      </c>
      <c r="N24" s="289"/>
      <c r="O24" s="285"/>
      <c r="Q24" s="285" t="str">
        <f>IFERROR(__xludf.DUMMYFUNCTION("""COMPUTED_VALUE"""),"2604H010")</f>
        <v>2604H010</v>
      </c>
      <c r="R24" s="286">
        <f>IFERROR(__xludf.DUMMYFUNCTION("""COMPUTED_VALUE"""),46119.0)</f>
        <v>46119</v>
      </c>
      <c r="S24" s="285" t="str">
        <f>IFERROR(__xludf.DUMMYFUNCTION("""COMPUTED_VALUE"""),"Fina")</f>
        <v>Fina</v>
      </c>
      <c r="T24" s="285" t="str">
        <f>IFERROR(__xludf.DUMMYFUNCTION("""COMPUTED_VALUE"""),"088210269765")</f>
        <v>088210269765</v>
      </c>
      <c r="U24" s="285" t="str">
        <f>IFERROR(__xludf.DUMMYFUNCTION("""COMPUTED_VALUE"""),"Closing")</f>
        <v>Closing</v>
      </c>
      <c r="V24" s="285" t="str">
        <f>IFERROR(__xludf.DUMMYFUNCTION("""COMPUTED_VALUE"""),"ot ijen")</f>
        <v>ot ijen</v>
      </c>
      <c r="W24" s="287">
        <f>IFERROR(__xludf.DUMMYFUNCTION("""COMPUTED_VALUE"""),46122.0)</f>
        <v>46122</v>
      </c>
      <c r="X24" s="285">
        <f>IFERROR(__xludf.DUMMYFUNCTION("""COMPUTED_VALUE"""),1.0)</f>
        <v>1</v>
      </c>
      <c r="Y24" s="289">
        <f>IFERROR(__xludf.DUMMYFUNCTION("""COMPUTED_VALUE"""),250000.0)</f>
        <v>250000</v>
      </c>
      <c r="Z24" s="285" t="str">
        <f>IFERROR(__xludf.DUMMYFUNCTION("""COMPUTED_VALUE"""),"ALHAMDULILLAH ORDER")</f>
        <v>ALHAMDULILLAH ORDER</v>
      </c>
      <c r="AB24" s="285" t="str">
        <f>IFERROR(__xludf.DUMMYFUNCTION("""COMPUTED_VALUE"""),"2601H034")</f>
        <v>2601H034</v>
      </c>
      <c r="AC24" s="286">
        <f>IFERROR(__xludf.DUMMYFUNCTION("""COMPUTED_VALUE"""),46050.0)</f>
        <v>46050</v>
      </c>
      <c r="AD24" s="285" t="str">
        <f>IFERROR(__xludf.DUMMYFUNCTION("""COMPUTED_VALUE"""),"Isna")</f>
        <v>Isna</v>
      </c>
      <c r="AE24" s="285" t="str">
        <f>IFERROR(__xludf.DUMMYFUNCTION("""COMPUTED_VALUE"""),"085691313250")</f>
        <v>085691313250</v>
      </c>
      <c r="AF24" s="285" t="str">
        <f>IFERROR(__xludf.DUMMYFUNCTION("""COMPUTED_VALUE"""),"Gagal")</f>
        <v>Gagal</v>
      </c>
      <c r="AG24" s="285" t="str">
        <f>IFERROR(__xludf.DUMMYFUNCTION("""COMPUTED_VALUE"""),"Halfday Trip Baluran")</f>
        <v>Halfday Trip Baluran</v>
      </c>
      <c r="AH24" s="287"/>
      <c r="AI24" s="285">
        <f>IFERROR(__xludf.DUMMYFUNCTION("""COMPUTED_VALUE"""),2.0)</f>
        <v>2</v>
      </c>
      <c r="AJ24" s="289"/>
      <c r="AK24" s="285" t="str">
        <f>IFERROR(__xludf.DUMMYFUNCTION("""COMPUTED_VALUE"""),"tidak jadi ke banyuwangi")</f>
        <v>tidak jadi ke banyuwangi</v>
      </c>
    </row>
    <row r="25">
      <c r="B25" s="317" t="s">
        <v>10228</v>
      </c>
      <c r="C25" s="195"/>
      <c r="F25" s="285" t="str">
        <f>IFERROR(__xludf.DUMMYFUNCTION("""COMPUTED_VALUE"""),"2606H072")</f>
        <v>2606H072</v>
      </c>
      <c r="G25" s="286">
        <f>IFERROR(__xludf.DUMMYFUNCTION("""COMPUTED_VALUE"""),46201.0)</f>
        <v>46201</v>
      </c>
      <c r="H25" s="285" t="str">
        <f>IFERROR(__xludf.DUMMYFUNCTION("""COMPUTED_VALUE"""),"Hamdan")</f>
        <v>Hamdan</v>
      </c>
      <c r="I25" s="285" t="str">
        <f>IFERROR(__xludf.DUMMYFUNCTION("""COMPUTED_VALUE"""),"085755678335")</f>
        <v>085755678335</v>
      </c>
      <c r="J25" s="285" t="str">
        <f>IFERROR(__xludf.DUMMYFUNCTION("""COMPUTED_VALUE"""),"Leads Baru")</f>
        <v>Leads Baru</v>
      </c>
      <c r="K25" s="285"/>
      <c r="L25" s="287"/>
      <c r="M25" s="285"/>
      <c r="N25" s="289"/>
      <c r="O25" s="285" t="str">
        <f>IFERROR(__xludf.DUMMYFUNCTION("""COMPUTED_VALUE"""),"hana menyapa")</f>
        <v>hana menyapa</v>
      </c>
      <c r="Q25" s="285" t="str">
        <f>IFERROR(__xludf.DUMMYFUNCTION("""COMPUTED_VALUE"""),"2604H013")</f>
        <v>2604H013</v>
      </c>
      <c r="R25" s="286">
        <f>IFERROR(__xludf.DUMMYFUNCTION("""COMPUTED_VALUE"""),46120.0)</f>
        <v>46120</v>
      </c>
      <c r="S25" s="285" t="str">
        <f>IFERROR(__xludf.DUMMYFUNCTION("""COMPUTED_VALUE"""),"Arman Khoirur Rizal")</f>
        <v>Arman Khoirur Rizal</v>
      </c>
      <c r="T25" s="285" t="str">
        <f>IFERROR(__xludf.DUMMYFUNCTION("""COMPUTED_VALUE"""),"085811625761")</f>
        <v>085811625761</v>
      </c>
      <c r="U25" s="285" t="str">
        <f>IFERROR(__xludf.DUMMYFUNCTION("""COMPUTED_VALUE"""),"Closing")</f>
        <v>Closing</v>
      </c>
      <c r="V25" s="285" t="str">
        <f>IFERROR(__xludf.DUMMYFUNCTION("""COMPUTED_VALUE"""),"one day trip Djabal PM")</f>
        <v>one day trip Djabal PM</v>
      </c>
      <c r="W25" s="287">
        <f>IFERROR(__xludf.DUMMYFUNCTION("""COMPUTED_VALUE"""),46155.0)</f>
        <v>46155</v>
      </c>
      <c r="X25" s="285">
        <f>IFERROR(__xludf.DUMMYFUNCTION("""COMPUTED_VALUE"""),2.0)</f>
        <v>2</v>
      </c>
      <c r="Y25" s="289">
        <f>IFERROR(__xludf.DUMMYFUNCTION("""COMPUTED_VALUE"""),3240000.0)</f>
        <v>3240000</v>
      </c>
      <c r="Z25" s="285" t="str">
        <f>IFERROR(__xludf.DUMMYFUNCTION("""COMPUTED_VALUE"""),"alhamdulillah order")</f>
        <v>alhamdulillah order</v>
      </c>
      <c r="AB25" s="285" t="str">
        <f>IFERROR(__xludf.DUMMYFUNCTION("""COMPUTED_VALUE"""),"2601H035")</f>
        <v>2601H035</v>
      </c>
      <c r="AC25" s="286">
        <f>IFERROR(__xludf.DUMMYFUNCTION("""COMPUTED_VALUE"""),46050.0)</f>
        <v>46050</v>
      </c>
      <c r="AD25" s="285" t="str">
        <f>IFERROR(__xludf.DUMMYFUNCTION("""COMPUTED_VALUE"""),"Aul's")</f>
        <v>Aul's</v>
      </c>
      <c r="AE25" s="285" t="str">
        <f>IFERROR(__xludf.DUMMYFUNCTION("""COMPUTED_VALUE"""),"08567198838")</f>
        <v>08567198838</v>
      </c>
      <c r="AF25" s="285" t="str">
        <f>IFERROR(__xludf.DUMMYFUNCTION("""COMPUTED_VALUE"""),"Gagal")</f>
        <v>Gagal</v>
      </c>
      <c r="AG25" s="285" t="str">
        <f>IFERROR(__xludf.DUMMYFUNCTION("""COMPUTED_VALUE"""),"3D2N ")</f>
        <v>3D2N </v>
      </c>
      <c r="AH25" s="287"/>
      <c r="AI25" s="285">
        <f>IFERROR(__xludf.DUMMYFUNCTION("""COMPUTED_VALUE"""),20.0)</f>
        <v>20</v>
      </c>
      <c r="AJ25" s="289"/>
      <c r="AK25" s="285" t="str">
        <f>IFERROR(__xludf.DUMMYFUNCTION("""COMPUTED_VALUE"""),"tidak membalas")</f>
        <v>tidak membalas</v>
      </c>
    </row>
    <row r="26">
      <c r="B26" s="318">
        <f>sum(AJ3:AJ497)</f>
        <v>915218000</v>
      </c>
      <c r="C26" s="197"/>
      <c r="F26" s="285" t="str">
        <f>IFERROR(__xludf.DUMMYFUNCTION("""COMPUTED_VALUE"""),"2606H076")</f>
        <v>2606H076</v>
      </c>
      <c r="G26" s="286">
        <f>IFERROR(__xludf.DUMMYFUNCTION("""COMPUTED_VALUE"""),46202.0)</f>
        <v>46202</v>
      </c>
      <c r="H26" s="285" t="str">
        <f>IFERROR(__xludf.DUMMYFUNCTION("""COMPUTED_VALUE"""),"Johanna Tobing")</f>
        <v>Johanna Tobing</v>
      </c>
      <c r="I26" s="285" t="str">
        <f>IFERROR(__xludf.DUMMYFUNCTION("""COMPUTED_VALUE"""),"081294187963")</f>
        <v>081294187963</v>
      </c>
      <c r="J26" s="285" t="str">
        <f>IFERROR(__xludf.DUMMYFUNCTION("""COMPUTED_VALUE"""),"Leads Baru")</f>
        <v>Leads Baru</v>
      </c>
      <c r="K26" s="285" t="str">
        <f>IFERROR(__xludf.DUMMYFUNCTION("""COMPUTED_VALUE"""),"4h3m")</f>
        <v>4h3m</v>
      </c>
      <c r="L26" s="287"/>
      <c r="M26" s="285">
        <f>IFERROR(__xludf.DUMMYFUNCTION("""COMPUTED_VALUE"""),15.0)</f>
        <v>15</v>
      </c>
      <c r="N26" s="289"/>
      <c r="O26" s="285" t="str">
        <f>IFERROR(__xludf.DUMMYFUNCTION("""COMPUTED_VALUE"""),"fu 20 juli")</f>
        <v>fu 20 juli</v>
      </c>
      <c r="Q26" s="285" t="str">
        <f>IFERROR(__xludf.DUMMYFUNCTION("""COMPUTED_VALUE"""),"2604H022")</f>
        <v>2604H022</v>
      </c>
      <c r="R26" s="286">
        <f>IFERROR(__xludf.DUMMYFUNCTION("""COMPUTED_VALUE"""),46124.0)</f>
        <v>46124</v>
      </c>
      <c r="S26" s="285" t="str">
        <f>IFERROR(__xludf.DUMMYFUNCTION("""COMPUTED_VALUE"""),"Hasna hafizhah Salma")</f>
        <v>Hasna hafizhah Salma</v>
      </c>
      <c r="T26" s="285" t="str">
        <f>IFERROR(__xludf.DUMMYFUNCTION("""COMPUTED_VALUE"""),"081282497701")</f>
        <v>081282497701</v>
      </c>
      <c r="U26" s="285" t="str">
        <f>IFERROR(__xludf.DUMMYFUNCTION("""COMPUTED_VALUE"""),"Closing")</f>
        <v>Closing</v>
      </c>
      <c r="V26" s="285" t="str">
        <f>IFERROR(__xludf.DUMMYFUNCTION("""COMPUTED_VALUE"""),"ot 3h2m")</f>
        <v>ot 3h2m</v>
      </c>
      <c r="W26" s="287"/>
      <c r="X26" s="285">
        <f>IFERROR(__xludf.DUMMYFUNCTION("""COMPUTED_VALUE"""),1.0)</f>
        <v>1</v>
      </c>
      <c r="Y26" s="289">
        <f>IFERROR(__xludf.DUMMYFUNCTION("""COMPUTED_VALUE"""),1600000.0)</f>
        <v>1600000</v>
      </c>
      <c r="Z26" s="285" t="str">
        <f>IFERROR(__xludf.DUMMYFUNCTION("""COMPUTED_VALUE"""),"alhamdulillah order")</f>
        <v>alhamdulillah order</v>
      </c>
      <c r="AB26" s="285" t="str">
        <f>IFERROR(__xludf.DUMMYFUNCTION("""COMPUTED_VALUE"""),"2601H037")</f>
        <v>2601H037</v>
      </c>
      <c r="AC26" s="286">
        <f>IFERROR(__xludf.DUMMYFUNCTION("""COMPUTED_VALUE"""),46051.0)</f>
        <v>46051</v>
      </c>
      <c r="AD26" s="285" t="str">
        <f>IFERROR(__xludf.DUMMYFUNCTION("""COMPUTED_VALUE"""),"Damaiyanti SM")</f>
        <v>Damaiyanti SM</v>
      </c>
      <c r="AE26" s="285" t="str">
        <f>IFERROR(__xludf.DUMMYFUNCTION("""COMPUTED_VALUE"""),"08121052141")</f>
        <v>08121052141</v>
      </c>
      <c r="AF26" s="285" t="str">
        <f>IFERROR(__xludf.DUMMYFUNCTION("""COMPUTED_VALUE"""),"Gagal")</f>
        <v>Gagal</v>
      </c>
      <c r="AG26" s="285" t="str">
        <f>IFERROR(__xludf.DUMMYFUNCTION("""COMPUTED_VALUE"""),"custom 3H2M")</f>
        <v>custom 3H2M</v>
      </c>
      <c r="AH26" s="287"/>
      <c r="AI26" s="285">
        <f>IFERROR(__xludf.DUMMYFUNCTION("""COMPUTED_VALUE"""),11.0)</f>
        <v>11</v>
      </c>
      <c r="AJ26" s="289">
        <f>IFERROR(__xludf.DUMMYFUNCTION("""COMPUTED_VALUE"""),2.5135E7)</f>
        <v>25135000</v>
      </c>
      <c r="AK26" s="285" t="str">
        <f>IFERROR(__xludf.DUMMYFUNCTION("""COMPUTED_VALUE"""),"sdh fu lebih dr 5 kali, tidak ada jawaban")</f>
        <v>sdh fu lebih dr 5 kali, tidak ada jawaban</v>
      </c>
    </row>
    <row r="27">
      <c r="B27" s="201"/>
      <c r="C27" s="202"/>
      <c r="F27" s="285" t="str">
        <f>IFERROR(__xludf.DUMMYFUNCTION("""COMPUTED_VALUE"""),"2606H078")</f>
        <v>2606H078</v>
      </c>
      <c r="G27" s="286">
        <f>IFERROR(__xludf.DUMMYFUNCTION("""COMPUTED_VALUE"""),46203.0)</f>
        <v>46203</v>
      </c>
      <c r="H27" s="285" t="str">
        <f>IFERROR(__xludf.DUMMYFUNCTION("""COMPUTED_VALUE"""),"san")</f>
        <v>san</v>
      </c>
      <c r="I27" s="285" t="str">
        <f>IFERROR(__xludf.DUMMYFUNCTION("""COMPUTED_VALUE"""),"082135522620")</f>
        <v>082135522620</v>
      </c>
      <c r="J27" s="285" t="str">
        <f>IFERROR(__xludf.DUMMYFUNCTION("""COMPUTED_VALUE"""),"Leads Baru")</f>
        <v>Leads Baru</v>
      </c>
      <c r="K27" s="285"/>
      <c r="L27" s="287"/>
      <c r="M27" s="285"/>
      <c r="N27" s="289"/>
      <c r="O27" s="285" t="str">
        <f>IFERROR(__xludf.DUMMYFUNCTION("""COMPUTED_VALUE"""),"hanya menyapa")</f>
        <v>hanya menyapa</v>
      </c>
      <c r="Q27" s="285" t="str">
        <f>IFERROR(__xludf.DUMMYFUNCTION("""COMPUTED_VALUE"""),"2604H029")</f>
        <v>2604H029</v>
      </c>
      <c r="R27" s="286">
        <f>IFERROR(__xludf.DUMMYFUNCTION("""COMPUTED_VALUE"""),46128.0)</f>
        <v>46128</v>
      </c>
      <c r="S27" s="285" t="str">
        <f>IFERROR(__xludf.DUMMYFUNCTION("""COMPUTED_VALUE"""),"Ibrahim")</f>
        <v>Ibrahim</v>
      </c>
      <c r="T27" s="285" t="str">
        <f>IFERROR(__xludf.DUMMYFUNCTION("""COMPUTED_VALUE"""),"0878773573445")</f>
        <v>0878773573445</v>
      </c>
      <c r="U27" s="285" t="str">
        <f>IFERROR(__xludf.DUMMYFUNCTION("""COMPUTED_VALUE"""),"Closing")</f>
        <v>Closing</v>
      </c>
      <c r="V27" s="285" t="str">
        <f>IFERROR(__xludf.DUMMYFUNCTION("""COMPUTED_VALUE"""),"ot green island")</f>
        <v>ot green island</v>
      </c>
      <c r="W27" s="287">
        <f>IFERROR(__xludf.DUMMYFUNCTION("""COMPUTED_VALUE"""),46158.0)</f>
        <v>46158</v>
      </c>
      <c r="X27" s="285">
        <f>IFERROR(__xludf.DUMMYFUNCTION("""COMPUTED_VALUE"""),2.0)</f>
        <v>2</v>
      </c>
      <c r="Y27" s="289">
        <f>IFERROR(__xludf.DUMMYFUNCTION("""COMPUTED_VALUE"""),400000.0)</f>
        <v>400000</v>
      </c>
      <c r="Z27" s="285" t="str">
        <f>IFERROR(__xludf.DUMMYFUNCTION("""COMPUTED_VALUE"""),"fu 15 mei")</f>
        <v>fu 15 mei</v>
      </c>
      <c r="AB27" s="285" t="str">
        <f>IFERROR(__xludf.DUMMYFUNCTION("""COMPUTED_VALUE"""),"2601H038")</f>
        <v>2601H038</v>
      </c>
      <c r="AC27" s="286">
        <f>IFERROR(__xludf.DUMMYFUNCTION("""COMPUTED_VALUE"""),46051.0)</f>
        <v>46051</v>
      </c>
      <c r="AD27" s="285" t="str">
        <f>IFERROR(__xludf.DUMMYFUNCTION("""COMPUTED_VALUE"""),"Yanti")</f>
        <v>Yanti</v>
      </c>
      <c r="AE27" s="285" t="str">
        <f>IFERROR(__xludf.DUMMYFUNCTION("""COMPUTED_VALUE"""),"082217222215")</f>
        <v>082217222215</v>
      </c>
      <c r="AF27" s="285" t="str">
        <f>IFERROR(__xludf.DUMMYFUNCTION("""COMPUTED_VALUE"""),"Gagal")</f>
        <v>Gagal</v>
      </c>
      <c r="AG27" s="285" t="str">
        <f>IFERROR(__xludf.DUMMYFUNCTION("""COMPUTED_VALUE"""),"2D1N Custom")</f>
        <v>2D1N Custom</v>
      </c>
      <c r="AH27" s="287">
        <f>IFERROR(__xludf.DUMMYFUNCTION("""COMPUTED_VALUE"""),46235.0)</f>
        <v>46235</v>
      </c>
      <c r="AI27" s="285">
        <f>IFERROR(__xludf.DUMMYFUNCTION("""COMPUTED_VALUE"""),25.0)</f>
        <v>25</v>
      </c>
      <c r="AJ27" s="289">
        <f>IFERROR(__xludf.DUMMYFUNCTION("""COMPUTED_VALUE"""),1.3875E7)</f>
        <v>13875000</v>
      </c>
      <c r="AK27" s="285" t="str">
        <f>IFERROR(__xludf.DUMMYFUNCTION("""COMPUTED_VALUE"""),"gajadiii")</f>
        <v>gajadiii</v>
      </c>
    </row>
    <row r="28">
      <c r="F28" s="285" t="str">
        <f>IFERROR(__xludf.DUMMYFUNCTION("""COMPUTED_VALUE"""),"2607H019")</f>
        <v>2607H019</v>
      </c>
      <c r="G28" s="286">
        <f>IFERROR(__xludf.DUMMYFUNCTION("""COMPUTED_VALUE"""),46212.0)</f>
        <v>46212</v>
      </c>
      <c r="H28" s="285" t="str">
        <f>IFERROR(__xludf.DUMMYFUNCTION("""COMPUTED_VALUE"""),"Tati Lamria")</f>
        <v>Tati Lamria</v>
      </c>
      <c r="I28" s="285" t="str">
        <f>IFERROR(__xludf.DUMMYFUNCTION("""COMPUTED_VALUE"""),"082110499578")</f>
        <v>082110499578</v>
      </c>
      <c r="J28" s="285" t="str">
        <f>IFERROR(__xludf.DUMMYFUNCTION("""COMPUTED_VALUE"""),"Leads Baru")</f>
        <v>Leads Baru</v>
      </c>
      <c r="K28" s="285" t="str">
        <f>IFERROR(__xludf.DUMMYFUNCTION("""COMPUTED_VALUE"""),"ot 3h2m")</f>
        <v>ot 3h2m</v>
      </c>
      <c r="L28" s="287"/>
      <c r="M28" s="285"/>
      <c r="N28" s="289"/>
      <c r="O28" s="285" t="str">
        <f>IFERROR(__xludf.DUMMYFUNCTION("""COMPUTED_VALUE"""),"hanya menyapa. fu 18 juli")</f>
        <v>hanya menyapa. fu 18 juli</v>
      </c>
      <c r="Q28" s="285" t="str">
        <f>IFERROR(__xludf.DUMMYFUNCTION("""COMPUTED_VALUE"""),"2604H031")</f>
        <v>2604H031</v>
      </c>
      <c r="R28" s="286">
        <f>IFERROR(__xludf.DUMMYFUNCTION("""COMPUTED_VALUE"""),46128.0)</f>
        <v>46128</v>
      </c>
      <c r="S28" s="285" t="str">
        <f>IFERROR(__xludf.DUMMYFUNCTION("""COMPUTED_VALUE"""),"iwatmasud")</f>
        <v>iwatmasud</v>
      </c>
      <c r="T28" s="285" t="str">
        <f>IFERROR(__xludf.DUMMYFUNCTION("""COMPUTED_VALUE"""),"081774174123")</f>
        <v>081774174123</v>
      </c>
      <c r="U28" s="285" t="str">
        <f>IFERROR(__xludf.DUMMYFUNCTION("""COMPUTED_VALUE"""),"Closing")</f>
        <v>Closing</v>
      </c>
      <c r="V28" s="285" t="str">
        <f>IFERROR(__xludf.DUMMYFUNCTION("""COMPUTED_VALUE"""),"2h1m opsi a")</f>
        <v>2h1m opsi a</v>
      </c>
      <c r="W28" s="287"/>
      <c r="X28" s="285">
        <f>IFERROR(__xludf.DUMMYFUNCTION("""COMPUTED_VALUE"""),1.0)</f>
        <v>1</v>
      </c>
      <c r="Y28" s="289">
        <f>IFERROR(__xludf.DUMMYFUNCTION("""COMPUTED_VALUE"""),3324000.0)</f>
        <v>3324000</v>
      </c>
      <c r="Z28" s="285" t="str">
        <f>IFERROR(__xludf.DUMMYFUNCTION("""COMPUTED_VALUE"""),"alhamdulilah order")</f>
        <v>alhamdulilah order</v>
      </c>
      <c r="AB28" s="285" t="str">
        <f>IFERROR(__xludf.DUMMYFUNCTION("""COMPUTED_VALUE"""),"2601H039")</f>
        <v>2601H039</v>
      </c>
      <c r="AC28" s="286">
        <f>IFERROR(__xludf.DUMMYFUNCTION("""COMPUTED_VALUE"""),46052.0)</f>
        <v>46052</v>
      </c>
      <c r="AD28" s="285" t="str">
        <f>IFERROR(__xludf.DUMMYFUNCTION("""COMPUTED_VALUE"""),"Watty Purba")</f>
        <v>Watty Purba</v>
      </c>
      <c r="AE28" s="285" t="str">
        <f>IFERROR(__xludf.DUMMYFUNCTION("""COMPUTED_VALUE"""),"089643601225")</f>
        <v>089643601225</v>
      </c>
      <c r="AF28" s="285" t="str">
        <f>IFERROR(__xludf.DUMMYFUNCTION("""COMPUTED_VALUE"""),"Gagal")</f>
        <v>Gagal</v>
      </c>
      <c r="AG28" s="285" t="str">
        <f>IFERROR(__xludf.DUMMYFUNCTION("""COMPUTED_VALUE"""),"3D2N Custom")</f>
        <v>3D2N Custom</v>
      </c>
      <c r="AH28" s="287"/>
      <c r="AI28" s="285">
        <f>IFERROR(__xludf.DUMMYFUNCTION("""COMPUTED_VALUE"""),4.0)</f>
        <v>4</v>
      </c>
      <c r="AJ28" s="289">
        <f>IFERROR(__xludf.DUMMYFUNCTION("""COMPUTED_VALUE"""),1.178E7)</f>
        <v>11780000</v>
      </c>
      <c r="AK28" s="285" t="str">
        <f>IFERROR(__xludf.DUMMYFUNCTION("""COMPUTED_VALUE"""),"masih hujan, tunggu cuaca membaik")</f>
        <v>masih hujan, tunggu cuaca membaik</v>
      </c>
    </row>
    <row r="29">
      <c r="F29" s="285" t="str">
        <f>IFERROR(__xludf.DUMMYFUNCTION("""COMPUTED_VALUE"""),"2607H030")</f>
        <v>2607H030</v>
      </c>
      <c r="G29" s="286">
        <f>IFERROR(__xludf.DUMMYFUNCTION("""COMPUTED_VALUE"""),46223.0)</f>
        <v>46223</v>
      </c>
      <c r="H29" s="285" t="str">
        <f>IFERROR(__xludf.DUMMYFUNCTION("""COMPUTED_VALUE"""),"Nenny")</f>
        <v>Nenny</v>
      </c>
      <c r="I29" s="285" t="str">
        <f>IFERROR(__xludf.DUMMYFUNCTION("""COMPUTED_VALUE"""),"081296991900")</f>
        <v>081296991900</v>
      </c>
      <c r="J29" s="285" t="str">
        <f>IFERROR(__xludf.DUMMYFUNCTION("""COMPUTED_VALUE"""),"Leads Baru")</f>
        <v>Leads Baru</v>
      </c>
      <c r="K29" s="285"/>
      <c r="L29" s="287"/>
      <c r="M29" s="285"/>
      <c r="N29" s="289"/>
      <c r="O29" s="285"/>
      <c r="Q29" s="285" t="str">
        <f>IFERROR(__xludf.DUMMYFUNCTION("""COMPUTED_VALUE"""),"2604H038")</f>
        <v>2604H038</v>
      </c>
      <c r="R29" s="286">
        <f>IFERROR(__xludf.DUMMYFUNCTION("""COMPUTED_VALUE"""),46130.0)</f>
        <v>46130</v>
      </c>
      <c r="S29" s="285" t="str">
        <f>IFERROR(__xludf.DUMMYFUNCTION("""COMPUTED_VALUE"""),"evie (Elvia Charlin)")</f>
        <v>evie (Elvia Charlin)</v>
      </c>
      <c r="T29" s="285" t="str">
        <f>IFERROR(__xludf.DUMMYFUNCTION("""COMPUTED_VALUE"""),"0811172641")</f>
        <v>0811172641</v>
      </c>
      <c r="U29" s="285" t="str">
        <f>IFERROR(__xludf.DUMMYFUNCTION("""COMPUTED_VALUE"""),"Closing")</f>
        <v>Closing</v>
      </c>
      <c r="V29" s="285" t="str">
        <f>IFERROR(__xludf.DUMMYFUNCTION("""COMPUTED_VALUE"""),"3h2m b drop bali")</f>
        <v>3h2m b drop bali</v>
      </c>
      <c r="W29" s="287"/>
      <c r="X29" s="285">
        <f>IFERROR(__xludf.DUMMYFUNCTION("""COMPUTED_VALUE"""),16.0)</f>
        <v>16</v>
      </c>
      <c r="Y29" s="289">
        <f>IFERROR(__xludf.DUMMYFUNCTION("""COMPUTED_VALUE"""),3.36E7)</f>
        <v>33600000</v>
      </c>
      <c r="Z29" s="285" t="str">
        <f>IFERROR(__xludf.DUMMYFUNCTION("""COMPUTED_VALUE"""),"alhamdulillah order")</f>
        <v>alhamdulillah order</v>
      </c>
      <c r="AB29" s="285" t="str">
        <f>IFERROR(__xludf.DUMMYFUNCTION("""COMPUTED_VALUE"""),"2601H040")</f>
        <v>2601H040</v>
      </c>
      <c r="AC29" s="286">
        <f>IFERROR(__xludf.DUMMYFUNCTION("""COMPUTED_VALUE"""),46052.0)</f>
        <v>46052</v>
      </c>
      <c r="AD29" s="285" t="str">
        <f>IFERROR(__xludf.DUMMYFUNCTION("""COMPUTED_VALUE"""),"Joyce Mawuntu")</f>
        <v>Joyce Mawuntu</v>
      </c>
      <c r="AE29" s="285" t="str">
        <f>IFERROR(__xludf.DUMMYFUNCTION("""COMPUTED_VALUE"""),"08998844499")</f>
        <v>08998844499</v>
      </c>
      <c r="AF29" s="285" t="str">
        <f>IFERROR(__xludf.DUMMYFUNCTION("""COMPUTED_VALUE"""),"Gagal")</f>
        <v>Gagal</v>
      </c>
      <c r="AG29" s="285" t="str">
        <f>IFERROR(__xludf.DUMMYFUNCTION("""COMPUTED_VALUE"""),"6D5M Custom")</f>
        <v>6D5M Custom</v>
      </c>
      <c r="AH29" s="287"/>
      <c r="AI29" s="285">
        <f>IFERROR(__xludf.DUMMYFUNCTION("""COMPUTED_VALUE"""),26.0)</f>
        <v>26</v>
      </c>
      <c r="AJ29" s="289"/>
      <c r="AK29" s="285" t="str">
        <f>IFERROR(__xludf.DUMMYFUNCTION("""COMPUTED_VALUE"""),"pengajuan ke manajemen ")</f>
        <v>pengajuan ke manajemen </v>
      </c>
    </row>
    <row r="30">
      <c r="F30" s="285" t="str">
        <f>IFERROR(__xludf.DUMMYFUNCTION("""COMPUTED_VALUE"""),"2607H031")</f>
        <v>2607H031</v>
      </c>
      <c r="G30" s="286">
        <f>IFERROR(__xludf.DUMMYFUNCTION("""COMPUTED_VALUE"""),46223.0)</f>
        <v>46223</v>
      </c>
      <c r="H30" s="285" t="str">
        <f>IFERROR(__xludf.DUMMYFUNCTION("""COMPUTED_VALUE"""),"Sulfa Fitriani Lamunuhia")</f>
        <v>Sulfa Fitriani Lamunuhia</v>
      </c>
      <c r="I30" s="285" t="str">
        <f>IFERROR(__xludf.DUMMYFUNCTION("""COMPUTED_VALUE"""),"085287322501")</f>
        <v>085287322501</v>
      </c>
      <c r="J30" s="285" t="str">
        <f>IFERROR(__xludf.DUMMYFUNCTION("""COMPUTED_VALUE"""),"Leads Baru")</f>
        <v>Leads Baru</v>
      </c>
      <c r="K30" s="285"/>
      <c r="L30" s="287"/>
      <c r="M30" s="285"/>
      <c r="N30" s="289"/>
      <c r="O30" s="285"/>
      <c r="Q30" s="285" t="str">
        <f>IFERROR(__xludf.DUMMYFUNCTION("""COMPUTED_VALUE"""),"2604H041")</f>
        <v>2604H041</v>
      </c>
      <c r="R30" s="286">
        <f>IFERROR(__xludf.DUMMYFUNCTION("""COMPUTED_VALUE"""),46131.0)</f>
        <v>46131</v>
      </c>
      <c r="S30" s="285" t="str">
        <f>IFERROR(__xludf.DUMMYFUNCTION("""COMPUTED_VALUE"""),"Dewi (Teman bu Dina)")</f>
        <v>Dewi (Teman bu Dina)</v>
      </c>
      <c r="T30" s="285" t="str">
        <f>IFERROR(__xludf.DUMMYFUNCTION("""COMPUTED_VALUE"""),"081311116988")</f>
        <v>081311116988</v>
      </c>
      <c r="U30" s="285" t="str">
        <f>IFERROR(__xludf.DUMMYFUNCTION("""COMPUTED_VALUE"""),"Closing")</f>
        <v>Closing</v>
      </c>
      <c r="V30" s="285" t="str">
        <f>IFERROR(__xludf.DUMMYFUNCTION("""COMPUTED_VALUE"""),"3h2m")</f>
        <v>3h2m</v>
      </c>
      <c r="W30" s="287"/>
      <c r="X30" s="285">
        <f>IFERROR(__xludf.DUMMYFUNCTION("""COMPUTED_VALUE"""),4.0)</f>
        <v>4</v>
      </c>
      <c r="Y30" s="289">
        <f>IFERROR(__xludf.DUMMYFUNCTION("""COMPUTED_VALUE"""),8200000.0)</f>
        <v>8200000</v>
      </c>
      <c r="Z30" s="285" t="str">
        <f>IFERROR(__xludf.DUMMYFUNCTION("""COMPUTED_VALUE"""),"alhamdulillah closing")</f>
        <v>alhamdulillah closing</v>
      </c>
      <c r="AB30" s="285" t="str">
        <f>IFERROR(__xludf.DUMMYFUNCTION("""COMPUTED_VALUE"""),"2602H001")</f>
        <v>2602H001</v>
      </c>
      <c r="AC30" s="286">
        <f>IFERROR(__xludf.DUMMYFUNCTION("""COMPUTED_VALUE"""),46054.0)</f>
        <v>46054</v>
      </c>
      <c r="AD30" s="285" t="str">
        <f>IFERROR(__xludf.DUMMYFUNCTION("""COMPUTED_VALUE"""),"Purwanto")</f>
        <v>Purwanto</v>
      </c>
      <c r="AE30" s="285" t="str">
        <f>IFERROR(__xludf.DUMMYFUNCTION("""COMPUTED_VALUE"""),"08128200401")</f>
        <v>08128200401</v>
      </c>
      <c r="AF30" s="285" t="str">
        <f>IFERROR(__xludf.DUMMYFUNCTION("""COMPUTED_VALUE"""),"Gagal")</f>
        <v>Gagal</v>
      </c>
      <c r="AG30" s="285"/>
      <c r="AH30" s="287"/>
      <c r="AI30" s="285"/>
      <c r="AJ30" s="289"/>
      <c r="AK30" s="285" t="str">
        <f>IFERROR(__xludf.DUMMYFUNCTION("""COMPUTED_VALUE"""),"tanya tanya")</f>
        <v>tanya tanya</v>
      </c>
    </row>
    <row r="31">
      <c r="F31" s="285" t="str">
        <f>IFERROR(__xludf.DUMMYFUNCTION("""COMPUTED_VALUE"""),"2607H034")</f>
        <v>2607H034</v>
      </c>
      <c r="G31" s="286">
        <f>IFERROR(__xludf.DUMMYFUNCTION("""COMPUTED_VALUE"""),46226.0)</f>
        <v>46226</v>
      </c>
      <c r="H31" s="285" t="str">
        <f>IFERROR(__xludf.DUMMYFUNCTION("""COMPUTED_VALUE"""),"Sorta")</f>
        <v>Sorta</v>
      </c>
      <c r="I31" s="285" t="str">
        <f>IFERROR(__xludf.DUMMYFUNCTION("""COMPUTED_VALUE"""),"08116197505")</f>
        <v>08116197505</v>
      </c>
      <c r="J31" s="285" t="str">
        <f>IFERROR(__xludf.DUMMYFUNCTION("""COMPUTED_VALUE"""),"Leads Baru")</f>
        <v>Leads Baru</v>
      </c>
      <c r="K31" s="285"/>
      <c r="L31" s="287"/>
      <c r="M31" s="285"/>
      <c r="N31" s="289"/>
      <c r="O31" s="285"/>
      <c r="Q31" s="285" t="str">
        <f>IFERROR(__xludf.DUMMYFUNCTION("""COMPUTED_VALUE"""),"2604H046")</f>
        <v>2604H046</v>
      </c>
      <c r="R31" s="286">
        <f>IFERROR(__xludf.DUMMYFUNCTION("""COMPUTED_VALUE"""),46134.0)</f>
        <v>46134</v>
      </c>
      <c r="S31" s="285" t="str">
        <f>IFERROR(__xludf.DUMMYFUNCTION("""COMPUTED_VALUE"""),"Deva Mulia")</f>
        <v>Deva Mulia</v>
      </c>
      <c r="T31" s="285" t="str">
        <f>IFERROR(__xludf.DUMMYFUNCTION("""COMPUTED_VALUE"""),"08567669986")</f>
        <v>08567669986</v>
      </c>
      <c r="U31" s="285" t="str">
        <f>IFERROR(__xludf.DUMMYFUNCTION("""COMPUTED_VALUE"""),"Closing")</f>
        <v>Closing</v>
      </c>
      <c r="V31" s="285" t="str">
        <f>IFERROR(__xludf.DUMMYFUNCTION("""COMPUTED_VALUE"""),"OT 3H2M opsi A")</f>
        <v>OT 3H2M opsi A</v>
      </c>
      <c r="W31" s="287"/>
      <c r="X31" s="285">
        <f>IFERROR(__xludf.DUMMYFUNCTION("""COMPUTED_VALUE"""),3.0)</f>
        <v>3</v>
      </c>
      <c r="Y31" s="289">
        <f>IFERROR(__xludf.DUMMYFUNCTION("""COMPUTED_VALUE"""),6474000.0)</f>
        <v>6474000</v>
      </c>
      <c r="Z31" s="285" t="str">
        <f>IFERROR(__xludf.DUMMYFUNCTION("""COMPUTED_VALUE"""),"alhamdulillaah order")</f>
        <v>alhamdulillaah order</v>
      </c>
      <c r="AB31" s="285" t="str">
        <f>IFERROR(__xludf.DUMMYFUNCTION("""COMPUTED_VALUE"""),"2602H003")</f>
        <v>2602H003</v>
      </c>
      <c r="AC31" s="286">
        <f>IFERROR(__xludf.DUMMYFUNCTION("""COMPUTED_VALUE"""),46056.0)</f>
        <v>46056</v>
      </c>
      <c r="AD31" s="285" t="str">
        <f>IFERROR(__xludf.DUMMYFUNCTION("""COMPUTED_VALUE"""),"Marysa")</f>
        <v>Marysa</v>
      </c>
      <c r="AE31" s="285" t="str">
        <f>IFERROR(__xludf.DUMMYFUNCTION("""COMPUTED_VALUE"""),"088905841570")</f>
        <v>088905841570</v>
      </c>
      <c r="AF31" s="285" t="str">
        <f>IFERROR(__xludf.DUMMYFUNCTION("""COMPUTED_VALUE"""),"Gagal")</f>
        <v>Gagal</v>
      </c>
      <c r="AG31" s="285" t="str">
        <f>IFERROR(__xludf.DUMMYFUNCTION("""COMPUTED_VALUE"""),"custom ijen, djawatan")</f>
        <v>custom ijen, djawatan</v>
      </c>
      <c r="AH31" s="287">
        <f>IFERROR(__xludf.DUMMYFUNCTION("""COMPUTED_VALUE"""),46100.0)</f>
        <v>46100</v>
      </c>
      <c r="AI31" s="285">
        <f>IFERROR(__xludf.DUMMYFUNCTION("""COMPUTED_VALUE"""),3.0)</f>
        <v>3</v>
      </c>
      <c r="AJ31" s="289">
        <f>IFERROR(__xludf.DUMMYFUNCTION("""COMPUTED_VALUE"""),1575000.0)</f>
        <v>1575000</v>
      </c>
      <c r="AK31" s="285" t="str">
        <f>IFERROR(__xludf.DUMMYFUNCTION("""COMPUTED_VALUE"""),"sudah FU tidak di balas, gagal")</f>
        <v>sudah FU tidak di balas, gagal</v>
      </c>
    </row>
    <row r="32">
      <c r="F32" s="285" t="str">
        <f>IFERROR(__xludf.DUMMYFUNCTION("""COMPUTED_VALUE"""),"2607H040")</f>
        <v>2607H040</v>
      </c>
      <c r="G32" s="286">
        <f>IFERROR(__xludf.DUMMYFUNCTION("""COMPUTED_VALUE"""),46228.0)</f>
        <v>46228</v>
      </c>
      <c r="H32" s="285" t="str">
        <f>IFERROR(__xludf.DUMMYFUNCTION("""COMPUTED_VALUE"""),"Zulkaif")</f>
        <v>Zulkaif</v>
      </c>
      <c r="I32" s="285" t="str">
        <f>IFERROR(__xludf.DUMMYFUNCTION("""COMPUTED_VALUE"""),"923465376582")</f>
        <v>923465376582</v>
      </c>
      <c r="J32" s="285" t="str">
        <f>IFERROR(__xludf.DUMMYFUNCTION("""COMPUTED_VALUE"""),"Leads Baru")</f>
        <v>Leads Baru</v>
      </c>
      <c r="K32" s="285"/>
      <c r="L32" s="287"/>
      <c r="M32" s="285"/>
      <c r="N32" s="289"/>
      <c r="O32" s="285" t="str">
        <f>IFERROR(__xludf.DUMMYFUNCTION("""COMPUTED_VALUE"""),"FU 31 Juli")</f>
        <v>FU 31 Juli</v>
      </c>
      <c r="Q32" s="285" t="str">
        <f>IFERROR(__xludf.DUMMYFUNCTION("""COMPUTED_VALUE"""),"2604H051")</f>
        <v>2604H051</v>
      </c>
      <c r="R32" s="286">
        <f>IFERROR(__xludf.DUMMYFUNCTION("""COMPUTED_VALUE"""),46137.0)</f>
        <v>46137</v>
      </c>
      <c r="S32" s="285" t="str">
        <f>IFERROR(__xludf.DUMMYFUNCTION("""COMPUTED_VALUE"""),"Fitri")</f>
        <v>Fitri</v>
      </c>
      <c r="T32" s="285" t="str">
        <f>IFERROR(__xludf.DUMMYFUNCTION("""COMPUTED_VALUE"""),"082210475679")</f>
        <v>082210475679</v>
      </c>
      <c r="U32" s="285" t="str">
        <f>IFERROR(__xludf.DUMMYFUNCTION("""COMPUTED_VALUE"""),"Closing")</f>
        <v>Closing</v>
      </c>
      <c r="V32" s="285" t="str">
        <f>IFERROR(__xludf.DUMMYFUNCTION("""COMPUTED_VALUE"""),"ijen")</f>
        <v>ijen</v>
      </c>
      <c r="W32" s="287">
        <f>IFERROR(__xludf.DUMMYFUNCTION("""COMPUTED_VALUE"""),46157.0)</f>
        <v>46157</v>
      </c>
      <c r="X32" s="285">
        <f>IFERROR(__xludf.DUMMYFUNCTION("""COMPUTED_VALUE"""),14.0)</f>
        <v>14</v>
      </c>
      <c r="Y32" s="289">
        <f>IFERROR(__xludf.DUMMYFUNCTION("""COMPUTED_VALUE"""),4620000.0)</f>
        <v>4620000</v>
      </c>
      <c r="Z32" s="285" t="str">
        <f>IFERROR(__xludf.DUMMYFUNCTION("""COMPUTED_VALUE"""),"alhamdulillah order")</f>
        <v>alhamdulillah order</v>
      </c>
      <c r="AB32" s="285" t="str">
        <f>IFERROR(__xludf.DUMMYFUNCTION("""COMPUTED_VALUE"""),"2602H005")</f>
        <v>2602H005</v>
      </c>
      <c r="AC32" s="286">
        <f>IFERROR(__xludf.DUMMYFUNCTION("""COMPUTED_VALUE"""),46058.0)</f>
        <v>46058</v>
      </c>
      <c r="AD32" s="285" t="str">
        <f>IFERROR(__xludf.DUMMYFUNCTION("""COMPUTED_VALUE"""),"The ramadhan")</f>
        <v>The ramadhan</v>
      </c>
      <c r="AE32" s="285" t="str">
        <f>IFERROR(__xludf.DUMMYFUNCTION("""COMPUTED_VALUE"""),"08159852356")</f>
        <v>08159852356</v>
      </c>
      <c r="AF32" s="285" t="str">
        <f>IFERROR(__xludf.DUMMYFUNCTION("""COMPUTED_VALUE"""),"Gagal")</f>
        <v>Gagal</v>
      </c>
      <c r="AG32" s="285"/>
      <c r="AH32" s="287"/>
      <c r="AI32" s="285"/>
      <c r="AJ32" s="289"/>
      <c r="AK32" s="285" t="str">
        <f>IFERROR(__xludf.DUMMYFUNCTION("""COMPUTED_VALUE"""),"masih menyapa")</f>
        <v>masih menyapa</v>
      </c>
    </row>
    <row r="33">
      <c r="F33" s="285" t="str">
        <f>IFERROR(__xludf.DUMMYFUNCTION("""COMPUTED_VALUE"""),"2607H041")</f>
        <v>2607H041</v>
      </c>
      <c r="G33" s="286">
        <f>IFERROR(__xludf.DUMMYFUNCTION("""COMPUTED_VALUE"""),46228.0)</f>
        <v>46228</v>
      </c>
      <c r="H33" s="285" t="str">
        <f>IFERROR(__xludf.DUMMYFUNCTION("""COMPUTED_VALUE"""),"Khan")</f>
        <v>Khan</v>
      </c>
      <c r="I33" s="285" t="str">
        <f>IFERROR(__xludf.DUMMYFUNCTION("""COMPUTED_VALUE"""),"082318029504")</f>
        <v>082318029504</v>
      </c>
      <c r="J33" s="285" t="str">
        <f>IFERROR(__xludf.DUMMYFUNCTION("""COMPUTED_VALUE"""),"Leads Baru")</f>
        <v>Leads Baru</v>
      </c>
      <c r="K33" s="285"/>
      <c r="L33" s="287"/>
      <c r="M33" s="285"/>
      <c r="N33" s="289"/>
      <c r="O33" s="285" t="str">
        <f>IFERROR(__xludf.DUMMYFUNCTION("""COMPUTED_VALUE"""),"FU 31 Juli")</f>
        <v>FU 31 Juli</v>
      </c>
      <c r="Q33" s="285" t="str">
        <f>IFERROR(__xludf.DUMMYFUNCTION("""COMPUTED_VALUE"""),"2604H054")</f>
        <v>2604H054</v>
      </c>
      <c r="R33" s="286">
        <f>IFERROR(__xludf.DUMMYFUNCTION("""COMPUTED_VALUE"""),46139.0)</f>
        <v>46139</v>
      </c>
      <c r="S33" s="285" t="str">
        <f>IFERROR(__xludf.DUMMYFUNCTION("""COMPUTED_VALUE"""),"Nyoman Adiartha")</f>
        <v>Nyoman Adiartha</v>
      </c>
      <c r="T33" s="285" t="str">
        <f>IFERROR(__xludf.DUMMYFUNCTION("""COMPUTED_VALUE"""),"081287966354")</f>
        <v>081287966354</v>
      </c>
      <c r="U33" s="285" t="str">
        <f>IFERROR(__xludf.DUMMYFUNCTION("""COMPUTED_VALUE"""),"Closing")</f>
        <v>Closing</v>
      </c>
      <c r="V33" s="285" t="str">
        <f>IFERROR(__xludf.DUMMYFUNCTION("""COMPUTED_VALUE"""),"ijen")</f>
        <v>ijen</v>
      </c>
      <c r="W33" s="287">
        <f>IFERROR(__xludf.DUMMYFUNCTION("""COMPUTED_VALUE"""),46192.0)</f>
        <v>46192</v>
      </c>
      <c r="X33" s="285">
        <f>IFERROR(__xludf.DUMMYFUNCTION("""COMPUTED_VALUE"""),3.0)</f>
        <v>3</v>
      </c>
      <c r="Y33" s="289">
        <f>IFERROR(__xludf.DUMMYFUNCTION("""COMPUTED_VALUE"""),1101000.0)</f>
        <v>1101000</v>
      </c>
      <c r="Z33" s="285" t="str">
        <f>IFERROR(__xludf.DUMMYFUNCTION("""COMPUTED_VALUE"""),"fu 28 april")</f>
        <v>fu 28 april</v>
      </c>
      <c r="AB33" s="285" t="str">
        <f>IFERROR(__xludf.DUMMYFUNCTION("""COMPUTED_VALUE"""),"2601H006")</f>
        <v>2601H006</v>
      </c>
      <c r="AC33" s="286">
        <f>IFERROR(__xludf.DUMMYFUNCTION("""COMPUTED_VALUE"""),46058.0)</f>
        <v>46058</v>
      </c>
      <c r="AD33" s="285" t="str">
        <f>IFERROR(__xludf.DUMMYFUNCTION("""COMPUTED_VALUE"""),"Joanna Siti Fatimah ")</f>
        <v>Joanna Siti Fatimah </v>
      </c>
      <c r="AE33" s="285" t="str">
        <f>IFERROR(__xludf.DUMMYFUNCTION("""COMPUTED_VALUE"""),"082208226449")</f>
        <v>082208226449</v>
      </c>
      <c r="AF33" s="285" t="str">
        <f>IFERROR(__xludf.DUMMYFUNCTION("""COMPUTED_VALUE"""),"Gagal")</f>
        <v>Gagal</v>
      </c>
      <c r="AG33" s="285" t="str">
        <f>IFERROR(__xludf.DUMMYFUNCTION("""COMPUTED_VALUE"""),"OT 3H2M")</f>
        <v>OT 3H2M</v>
      </c>
      <c r="AH33" s="287"/>
      <c r="AI33" s="285">
        <f>IFERROR(__xludf.DUMMYFUNCTION("""COMPUTED_VALUE"""),1.0)</f>
        <v>1</v>
      </c>
      <c r="AJ33" s="289">
        <f>IFERROR(__xludf.DUMMYFUNCTION("""COMPUTED_VALUE"""),1600000.0)</f>
        <v>1600000</v>
      </c>
      <c r="AK33" s="285" t="str">
        <f>IFERROR(__xludf.DUMMYFUNCTION("""COMPUTED_VALUE"""),"tanya tanya OT, blm ada balasan lagi")</f>
        <v>tanya tanya OT, blm ada balasan lagi</v>
      </c>
    </row>
    <row r="34">
      <c r="F34" s="285" t="str">
        <f>IFERROR(__xludf.DUMMYFUNCTION("""COMPUTED_VALUE"""),"4607H042")</f>
        <v>4607H042</v>
      </c>
      <c r="G34" s="286">
        <f>IFERROR(__xludf.DUMMYFUNCTION("""COMPUTED_VALUE"""),46228.0)</f>
        <v>46228</v>
      </c>
      <c r="H34" s="285" t="str">
        <f>IFERROR(__xludf.DUMMYFUNCTION("""COMPUTED_VALUE"""),"Lestariwika")</f>
        <v>Lestariwika</v>
      </c>
      <c r="I34" s="285" t="str">
        <f>IFERROR(__xludf.DUMMYFUNCTION("""COMPUTED_VALUE"""),"087821793262")</f>
        <v>087821793262</v>
      </c>
      <c r="J34" s="285" t="str">
        <f>IFERROR(__xludf.DUMMYFUNCTION("""COMPUTED_VALUE"""),"Leads Baru")</f>
        <v>Leads Baru</v>
      </c>
      <c r="K34" s="285"/>
      <c r="L34" s="287"/>
      <c r="M34" s="285"/>
      <c r="N34" s="289"/>
      <c r="O34" s="285" t="str">
        <f>IFERROR(__xludf.DUMMYFUNCTION("""COMPUTED_VALUE"""),"FU 31 Juli")</f>
        <v>FU 31 Juli</v>
      </c>
      <c r="Q34" s="285" t="str">
        <f>IFERROR(__xludf.DUMMYFUNCTION("""COMPUTED_VALUE"""),"2604H060")</f>
        <v>2604H060</v>
      </c>
      <c r="R34" s="286">
        <f>IFERROR(__xludf.DUMMYFUNCTION("""COMPUTED_VALUE"""),46142.0)</f>
        <v>46142</v>
      </c>
      <c r="S34" s="285" t="str">
        <f>IFERROR(__xludf.DUMMYFUNCTION("""COMPUTED_VALUE"""),"Nana")</f>
        <v>Nana</v>
      </c>
      <c r="T34" s="285" t="str">
        <f>IFERROR(__xludf.DUMMYFUNCTION("""COMPUTED_VALUE"""),"081398081190")</f>
        <v>081398081190</v>
      </c>
      <c r="U34" s="285" t="str">
        <f>IFERROR(__xludf.DUMMYFUNCTION("""COMPUTED_VALUE"""),"Closing")</f>
        <v>Closing</v>
      </c>
      <c r="V34" s="285" t="str">
        <f>IFERROR(__xludf.DUMMYFUNCTION("""COMPUTED_VALUE"""),"ot menjangan tabuhan ")</f>
        <v>ot menjangan tabuhan </v>
      </c>
      <c r="W34" s="287">
        <f>IFERROR(__xludf.DUMMYFUNCTION("""COMPUTED_VALUE"""),46145.0)</f>
        <v>46145</v>
      </c>
      <c r="X34" s="285">
        <f>IFERROR(__xludf.DUMMYFUNCTION("""COMPUTED_VALUE"""),2.0)</f>
        <v>2</v>
      </c>
      <c r="Y34" s="289">
        <f>IFERROR(__xludf.DUMMYFUNCTION("""COMPUTED_VALUE"""),590000.0)</f>
        <v>590000</v>
      </c>
      <c r="Z34" s="285" t="str">
        <f>IFERROR(__xludf.DUMMYFUNCTION("""COMPUTED_VALUE"""),"alhamdulillah order")</f>
        <v>alhamdulillah order</v>
      </c>
      <c r="AB34" s="285" t="str">
        <f>IFERROR(__xludf.DUMMYFUNCTION("""COMPUTED_VALUE"""),"2602H007")</f>
        <v>2602H007</v>
      </c>
      <c r="AC34" s="286">
        <f>IFERROR(__xludf.DUMMYFUNCTION("""COMPUTED_VALUE"""),46058.0)</f>
        <v>46058</v>
      </c>
      <c r="AD34" s="285" t="str">
        <f>IFERROR(__xludf.DUMMYFUNCTION("""COMPUTED_VALUE"""),"Agam Jibran")</f>
        <v>Agam Jibran</v>
      </c>
      <c r="AE34" s="285" t="str">
        <f>IFERROR(__xludf.DUMMYFUNCTION("""COMPUTED_VALUE"""),"08118470707")</f>
        <v>08118470707</v>
      </c>
      <c r="AF34" s="285" t="str">
        <f>IFERROR(__xludf.DUMMYFUNCTION("""COMPUTED_VALUE"""),"Gagal")</f>
        <v>Gagal</v>
      </c>
      <c r="AG34" s="285"/>
      <c r="AH34" s="287"/>
      <c r="AI34" s="285">
        <f>IFERROR(__xludf.DUMMYFUNCTION("""COMPUTED_VALUE"""),8.0)</f>
        <v>8</v>
      </c>
      <c r="AJ34" s="289"/>
      <c r="AK34" s="285" t="str">
        <f>IFERROR(__xludf.DUMMYFUNCTION("""COMPUTED_VALUE"""),"tamu ga jadi, karena ada konflik timur tengah")</f>
        <v>tamu ga jadi, karena ada konflik timur tengah</v>
      </c>
    </row>
    <row r="35">
      <c r="F35" s="285" t="str">
        <f>IFERROR(__xludf.DUMMYFUNCTION("""COMPUTED_VALUE"""),"2607H044")</f>
        <v>2607H044</v>
      </c>
      <c r="G35" s="286">
        <f>IFERROR(__xludf.DUMMYFUNCTION("""COMPUTED_VALUE"""),46230.0)</f>
        <v>46230</v>
      </c>
      <c r="H35" s="285" t="str">
        <f>IFERROR(__xludf.DUMMYFUNCTION("""COMPUTED_VALUE"""),"Dewi")</f>
        <v>Dewi</v>
      </c>
      <c r="I35" s="285" t="str">
        <f>IFERROR(__xludf.DUMMYFUNCTION("""COMPUTED_VALUE"""),"087879068834")</f>
        <v>087879068834</v>
      </c>
      <c r="J35" s="285" t="str">
        <f>IFERROR(__xludf.DUMMYFUNCTION("""COMPUTED_VALUE"""),"Leads Baru")</f>
        <v>Leads Baru</v>
      </c>
      <c r="K35" s="285" t="str">
        <f>IFERROR(__xludf.DUMMYFUNCTION("""COMPUTED_VALUE"""),"Private trip 2H1M")</f>
        <v>Private trip 2H1M</v>
      </c>
      <c r="L35" s="287"/>
      <c r="M35" s="285">
        <f>IFERROR(__xludf.DUMMYFUNCTION("""COMPUTED_VALUE"""),1.0)</f>
        <v>1</v>
      </c>
      <c r="N35" s="289"/>
      <c r="O35" s="285" t="str">
        <f>IFERROR(__xludf.DUMMYFUNCTION("""COMPUTED_VALUE"""),"fu 5 Agustus")</f>
        <v>fu 5 Agustus</v>
      </c>
      <c r="Q35" s="285" t="str">
        <f>IFERROR(__xludf.DUMMYFUNCTION("""COMPUTED_VALUE"""),"2605H001")</f>
        <v>2605H001</v>
      </c>
      <c r="R35" s="286">
        <f>IFERROR(__xludf.DUMMYFUNCTION("""COMPUTED_VALUE"""),46143.0)</f>
        <v>46143</v>
      </c>
      <c r="S35" s="285" t="str">
        <f>IFERROR(__xludf.DUMMYFUNCTION("""COMPUTED_VALUE"""),"Novira Riyanti")</f>
        <v>Novira Riyanti</v>
      </c>
      <c r="T35" s="285" t="str">
        <f>IFERROR(__xludf.DUMMYFUNCTION("""COMPUTED_VALUE"""),"085213504430")</f>
        <v>085213504430</v>
      </c>
      <c r="U35" s="285" t="str">
        <f>IFERROR(__xludf.DUMMYFUNCTION("""COMPUTED_VALUE"""),"Closing")</f>
        <v>Closing</v>
      </c>
      <c r="V35" s="285" t="str">
        <f>IFERROR(__xludf.DUMMYFUNCTION("""COMPUTED_VALUE"""),"2h1m custom")</f>
        <v>2h1m custom</v>
      </c>
      <c r="W35" s="287"/>
      <c r="X35" s="285">
        <f>IFERROR(__xludf.DUMMYFUNCTION("""COMPUTED_VALUE"""),2.0)</f>
        <v>2</v>
      </c>
      <c r="Y35" s="289">
        <f>IFERROR(__xludf.DUMMYFUNCTION("""COMPUTED_VALUE"""),5500000.0)</f>
        <v>5500000</v>
      </c>
      <c r="Z35" s="285" t="str">
        <f>IFERROR(__xludf.DUMMYFUNCTION("""COMPUTED_VALUE"""),"alhamdulillah order")</f>
        <v>alhamdulillah order</v>
      </c>
      <c r="AB35" s="285" t="str">
        <f>IFERROR(__xludf.DUMMYFUNCTION("""COMPUTED_VALUE"""),"2602H008")</f>
        <v>2602H008</v>
      </c>
      <c r="AC35" s="286">
        <f>IFERROR(__xludf.DUMMYFUNCTION("""COMPUTED_VALUE"""),46058.0)</f>
        <v>46058</v>
      </c>
      <c r="AD35" s="285" t="str">
        <f>IFERROR(__xludf.DUMMYFUNCTION("""COMPUTED_VALUE"""),"Hening pram")</f>
        <v>Hening pram</v>
      </c>
      <c r="AE35" s="285" t="str">
        <f>IFERROR(__xludf.DUMMYFUNCTION("""COMPUTED_VALUE"""),"085649595000")</f>
        <v>085649595000</v>
      </c>
      <c r="AF35" s="285" t="str">
        <f>IFERROR(__xludf.DUMMYFUNCTION("""COMPUTED_VALUE"""),"Gagal")</f>
        <v>Gagal</v>
      </c>
      <c r="AG35" s="285" t="str">
        <f>IFERROR(__xludf.DUMMYFUNCTION("""COMPUTED_VALUE"""),"trip baluran")</f>
        <v>trip baluran</v>
      </c>
      <c r="AH35" s="287"/>
      <c r="AI35" s="285">
        <f>IFERROR(__xludf.DUMMYFUNCTION("""COMPUTED_VALUE"""),1.0)</f>
        <v>1</v>
      </c>
      <c r="AJ35" s="289">
        <f>IFERROR(__xludf.DUMMYFUNCTION("""COMPUTED_VALUE"""),710000.0)</f>
        <v>710000</v>
      </c>
      <c r="AK35" s="285" t="str">
        <f>IFERROR(__xludf.DUMMYFUNCTION("""COMPUTED_VALUE"""),"tanya tanya, ragu cuaca")</f>
        <v>tanya tanya, ragu cuaca</v>
      </c>
    </row>
    <row r="36">
      <c r="F36" s="285" t="str">
        <f>IFERROR(__xludf.DUMMYFUNCTION("""COMPUTED_VALUE"""),"2607H045")</f>
        <v>2607H045</v>
      </c>
      <c r="G36" s="286">
        <f>IFERROR(__xludf.DUMMYFUNCTION("""COMPUTED_VALUE"""),46230.0)</f>
        <v>46230</v>
      </c>
      <c r="H36" s="285" t="str">
        <f>IFERROR(__xludf.DUMMYFUNCTION("""COMPUTED_VALUE"""),"Putrisastra")</f>
        <v>Putrisastra</v>
      </c>
      <c r="I36" s="285" t="str">
        <f>IFERROR(__xludf.DUMMYFUNCTION("""COMPUTED_VALUE"""),"08881868324")</f>
        <v>08881868324</v>
      </c>
      <c r="J36" s="285" t="str">
        <f>IFERROR(__xludf.DUMMYFUNCTION("""COMPUTED_VALUE"""),"Leads Baru")</f>
        <v>Leads Baru</v>
      </c>
      <c r="K36" s="285" t="str">
        <f>IFERROR(__xludf.DUMMYFUNCTION("""COMPUTED_VALUE"""),"Ijen")</f>
        <v>Ijen</v>
      </c>
      <c r="L36" s="287"/>
      <c r="M36" s="285"/>
      <c r="N36" s="289"/>
      <c r="O36" s="285" t="str">
        <f>IFERROR(__xludf.DUMMYFUNCTION("""COMPUTED_VALUE"""),"fu 5 Agustus")</f>
        <v>fu 5 Agustus</v>
      </c>
      <c r="Q36" s="285" t="str">
        <f>IFERROR(__xludf.DUMMYFUNCTION("""COMPUTED_VALUE"""),"2605H004")</f>
        <v>2605H004</v>
      </c>
      <c r="R36" s="286">
        <f>IFERROR(__xludf.DUMMYFUNCTION("""COMPUTED_VALUE"""),46148.0)</f>
        <v>46148</v>
      </c>
      <c r="S36" s="285" t="str">
        <f>IFERROR(__xludf.DUMMYFUNCTION("""COMPUTED_VALUE"""),"Mohammad Faiz")</f>
        <v>Mohammad Faiz</v>
      </c>
      <c r="T36" s="285" t="str">
        <f>IFERROR(__xludf.DUMMYFUNCTION("""COMPUTED_VALUE"""),"082295287622")</f>
        <v>082295287622</v>
      </c>
      <c r="U36" s="285" t="str">
        <f>IFERROR(__xludf.DUMMYFUNCTION("""COMPUTED_VALUE"""),"Closing")</f>
        <v>Closing</v>
      </c>
      <c r="V36" s="285" t="str">
        <f>IFERROR(__xludf.DUMMYFUNCTION("""COMPUTED_VALUE"""),"pvt 1d gi")</f>
        <v>pvt 1d gi</v>
      </c>
      <c r="W36" s="287">
        <f>IFERROR(__xludf.DUMMYFUNCTION("""COMPUTED_VALUE"""),46188.0)</f>
        <v>46188</v>
      </c>
      <c r="X36" s="285">
        <f>IFERROR(__xludf.DUMMYFUNCTION("""COMPUTED_VALUE"""),2.0)</f>
        <v>2</v>
      </c>
      <c r="Y36" s="289">
        <f>IFERROR(__xludf.DUMMYFUNCTION("""COMPUTED_VALUE"""),1512000.0)</f>
        <v>1512000</v>
      </c>
      <c r="Z36" s="285" t="str">
        <f>IFERROR(__xludf.DUMMYFUNCTION("""COMPUTED_VALUE"""),"alhamdulilah order")</f>
        <v>alhamdulilah order</v>
      </c>
      <c r="AB36" s="285" t="str">
        <f>IFERROR(__xludf.DUMMYFUNCTION("""COMPUTED_VALUE"""),"2602H010")</f>
        <v>2602H010</v>
      </c>
      <c r="AC36" s="286">
        <f>IFERROR(__xludf.DUMMYFUNCTION("""COMPUTED_VALUE"""),46058.0)</f>
        <v>46058</v>
      </c>
      <c r="AD36" s="285" t="str">
        <f>IFERROR(__xludf.DUMMYFUNCTION("""COMPUTED_VALUE"""),"Yuki sagita")</f>
        <v>Yuki sagita</v>
      </c>
      <c r="AE36" s="285" t="str">
        <f>IFERROR(__xludf.DUMMYFUNCTION("""COMPUTED_VALUE"""),"087893489357")</f>
        <v>087893489357</v>
      </c>
      <c r="AF36" s="285" t="str">
        <f>IFERROR(__xludf.DUMMYFUNCTION("""COMPUTED_VALUE"""),"Gagal")</f>
        <v>Gagal</v>
      </c>
      <c r="AG36" s="285" t="str">
        <f>IFERROR(__xludf.DUMMYFUNCTION("""COMPUTED_VALUE"""),"trip ijen")</f>
        <v>trip ijen</v>
      </c>
      <c r="AH36" s="287"/>
      <c r="AI36" s="285"/>
      <c r="AJ36" s="289"/>
      <c r="AK36" s="285" t="str">
        <f>IFERROR(__xludf.DUMMYFUNCTION("""COMPUTED_VALUE"""),"tanya tanya, FU kembali 10 Mei ")</f>
        <v>tanya tanya, FU kembali 10 Mei </v>
      </c>
    </row>
    <row r="37">
      <c r="F37" s="285" t="str">
        <f>IFERROR(__xludf.DUMMYFUNCTION("""COMPUTED_VALUE"""),"2807H048")</f>
        <v>2807H048</v>
      </c>
      <c r="G37" s="286">
        <f>IFERROR(__xludf.DUMMYFUNCTION("""COMPUTED_VALUE"""),46231.0)</f>
        <v>46231</v>
      </c>
      <c r="H37" s="285" t="str">
        <f>IFERROR(__xludf.DUMMYFUNCTION("""COMPUTED_VALUE"""),"Uliana")</f>
        <v>Uliana</v>
      </c>
      <c r="I37" s="285" t="str">
        <f>IFERROR(__xludf.DUMMYFUNCTION("""COMPUTED_VALUE"""),"08176744907")</f>
        <v>08176744907</v>
      </c>
      <c r="J37" s="285" t="str">
        <f>IFERROR(__xludf.DUMMYFUNCTION("""COMPUTED_VALUE"""),"Leads Baru")</f>
        <v>Leads Baru</v>
      </c>
      <c r="K37" s="285" t="str">
        <f>IFERROR(__xludf.DUMMYFUNCTION("""COMPUTED_VALUE"""),"3H2M Opsi A")</f>
        <v>3H2M Opsi A</v>
      </c>
      <c r="L37" s="287"/>
      <c r="M37" s="285"/>
      <c r="N37" s="289"/>
      <c r="O37" s="285"/>
      <c r="Q37" s="285" t="str">
        <f>IFERROR(__xludf.DUMMYFUNCTION("""COMPUTED_VALUE"""),"2605H006")</f>
        <v>2605H006</v>
      </c>
      <c r="R37" s="286">
        <f>IFERROR(__xludf.DUMMYFUNCTION("""COMPUTED_VALUE"""),46150.0)</f>
        <v>46150</v>
      </c>
      <c r="S37" s="285" t="str">
        <f>IFERROR(__xludf.DUMMYFUNCTION("""COMPUTED_VALUE"""),"Meila Karina")</f>
        <v>Meila Karina</v>
      </c>
      <c r="T37" s="285" t="str">
        <f>IFERROR(__xludf.DUMMYFUNCTION("""COMPUTED_VALUE"""),"082140233311")</f>
        <v>082140233311</v>
      </c>
      <c r="U37" s="285" t="str">
        <f>IFERROR(__xludf.DUMMYFUNCTION("""COMPUTED_VALUE"""),"Closing")</f>
        <v>Closing</v>
      </c>
      <c r="V37" s="285" t="str">
        <f>IFERROR(__xludf.DUMMYFUNCTION("""COMPUTED_VALUE"""),"one day trip")</f>
        <v>one day trip</v>
      </c>
      <c r="W37" s="287">
        <f>IFERROR(__xludf.DUMMYFUNCTION("""COMPUTED_VALUE"""),46172.0)</f>
        <v>46172</v>
      </c>
      <c r="X37" s="285">
        <f>IFERROR(__xludf.DUMMYFUNCTION("""COMPUTED_VALUE"""),10.0)</f>
        <v>10</v>
      </c>
      <c r="Y37" s="289">
        <f>IFERROR(__xludf.DUMMYFUNCTION("""COMPUTED_VALUE"""),6600000.0)</f>
        <v>6600000</v>
      </c>
      <c r="Z37" s="285" t="str">
        <f>IFERROR(__xludf.DUMMYFUNCTION("""COMPUTED_VALUE"""),"Alhamdulillah order")</f>
        <v>Alhamdulillah order</v>
      </c>
      <c r="AB37" s="285" t="str">
        <f>IFERROR(__xludf.DUMMYFUNCTION("""COMPUTED_VALUE"""),"2602H011")</f>
        <v>2602H011</v>
      </c>
      <c r="AC37" s="286">
        <f>IFERROR(__xludf.DUMMYFUNCTION("""COMPUTED_VALUE"""),46061.0)</f>
        <v>46061</v>
      </c>
      <c r="AD37" s="285" t="str">
        <f>IFERROR(__xludf.DUMMYFUNCTION("""COMPUTED_VALUE"""),"Iren")</f>
        <v>Iren</v>
      </c>
      <c r="AE37" s="285" t="str">
        <f>IFERROR(__xludf.DUMMYFUNCTION("""COMPUTED_VALUE"""),"081286754646")</f>
        <v>081286754646</v>
      </c>
      <c r="AF37" s="285" t="str">
        <f>IFERROR(__xludf.DUMMYFUNCTION("""COMPUTED_VALUE"""),"Gagal")</f>
        <v>Gagal</v>
      </c>
      <c r="AG37" s="285" t="str">
        <f>IFERROR(__xludf.DUMMYFUNCTION("""COMPUTED_VALUE"""),"paket custom 3H2M")</f>
        <v>paket custom 3H2M</v>
      </c>
      <c r="AH37" s="287"/>
      <c r="AI37" s="285"/>
      <c r="AJ37" s="289"/>
      <c r="AK37" s="285" t="str">
        <f>IFERROR(__xludf.DUMMYFUNCTION("""COMPUTED_VALUE"""),"blm dapat kabar dari mertua")</f>
        <v>blm dapat kabar dari mertua</v>
      </c>
    </row>
    <row r="38">
      <c r="F38" s="285" t="str">
        <f>IFERROR(__xludf.DUMMYFUNCTION("""COMPUTED_VALUE"""),"2601H015")</f>
        <v>2601H015</v>
      </c>
      <c r="G38" s="286">
        <f>IFERROR(__xludf.DUMMYFUNCTION("""COMPUTED_VALUE"""),46038.0)</f>
        <v>46038</v>
      </c>
      <c r="H38" s="285" t="str">
        <f>IFERROR(__xludf.DUMMYFUNCTION("""COMPUTED_VALUE"""),"Neneng Juraidah")</f>
        <v>Neneng Juraidah</v>
      </c>
      <c r="I38" s="285" t="str">
        <f>IFERROR(__xludf.DUMMYFUNCTION("""COMPUTED_VALUE"""),"08111339362")</f>
        <v>08111339362</v>
      </c>
      <c r="J38" s="285" t="str">
        <f>IFERROR(__xludf.DUMMYFUNCTION("""COMPUTED_VALUE"""),"Qualified")</f>
        <v>Qualified</v>
      </c>
      <c r="K38" s="285" t="str">
        <f>IFERROR(__xludf.DUMMYFUNCTION("""COMPUTED_VALUE"""),"3H2M Custom")</f>
        <v>3H2M Custom</v>
      </c>
      <c r="L38" s="287"/>
      <c r="M38" s="285">
        <f>IFERROR(__xludf.DUMMYFUNCTION("""COMPUTED_VALUE"""),7.0)</f>
        <v>7</v>
      </c>
      <c r="N38" s="289">
        <f>IFERROR(__xludf.DUMMYFUNCTION("""COMPUTED_VALUE"""),1.7108888E7)</f>
        <v>17108888</v>
      </c>
      <c r="O38" s="285" t="str">
        <f>IFERROR(__xludf.DUMMYFUNCTION("""COMPUTED_VALUE"""),"FU lagi setelah lebaran, fu 1 juli")</f>
        <v>FU lagi setelah lebaran, fu 1 juli</v>
      </c>
      <c r="Q38" s="285" t="str">
        <f>IFERROR(__xludf.DUMMYFUNCTION("""COMPUTED_VALUE"""),"2605H007")</f>
        <v>2605H007</v>
      </c>
      <c r="R38" s="286">
        <f>IFERROR(__xludf.DUMMYFUNCTION("""COMPUTED_VALUE"""),46153.0)</f>
        <v>46153</v>
      </c>
      <c r="S38" s="285" t="str">
        <f>IFERROR(__xludf.DUMMYFUNCTION("""COMPUTED_VALUE"""),"Yuliastuti Bahri")</f>
        <v>Yuliastuti Bahri</v>
      </c>
      <c r="T38" s="285" t="str">
        <f>IFERROR(__xludf.DUMMYFUNCTION("""COMPUTED_VALUE"""),"082210786654")</f>
        <v>082210786654</v>
      </c>
      <c r="U38" s="285" t="str">
        <f>IFERROR(__xludf.DUMMYFUNCTION("""COMPUTED_VALUE"""),"Closing")</f>
        <v>Closing</v>
      </c>
      <c r="V38" s="285" t="str">
        <f>IFERROR(__xludf.DUMMYFUNCTION("""COMPUTED_VALUE"""),"2h1m custom")</f>
        <v>2h1m custom</v>
      </c>
      <c r="W38" s="287"/>
      <c r="X38" s="285">
        <f>IFERROR(__xludf.DUMMYFUNCTION("""COMPUTED_VALUE"""),3.0)</f>
        <v>3</v>
      </c>
      <c r="Y38" s="289">
        <f>IFERROR(__xludf.DUMMYFUNCTION("""COMPUTED_VALUE"""),2373000.0)</f>
        <v>2373000</v>
      </c>
      <c r="Z38" s="285" t="str">
        <f>IFERROR(__xludf.DUMMYFUNCTION("""COMPUTED_VALUE"""),"Alhamdulillah order")</f>
        <v>Alhamdulillah order</v>
      </c>
      <c r="AB38" s="285" t="str">
        <f>IFERROR(__xludf.DUMMYFUNCTION("""COMPUTED_VALUE"""),"2602H012")</f>
        <v>2602H012</v>
      </c>
      <c r="AC38" s="286">
        <f>IFERROR(__xludf.DUMMYFUNCTION("""COMPUTED_VALUE"""),46061.0)</f>
        <v>46061</v>
      </c>
      <c r="AD38" s="285" t="str">
        <f>IFERROR(__xludf.DUMMYFUNCTION("""COMPUTED_VALUE"""),"Fera Wardani")</f>
        <v>Fera Wardani</v>
      </c>
      <c r="AE38" s="285" t="str">
        <f>IFERROR(__xludf.DUMMYFUNCTION("""COMPUTED_VALUE"""),"087711258932")</f>
        <v>087711258932</v>
      </c>
      <c r="AF38" s="285" t="str">
        <f>IFERROR(__xludf.DUMMYFUNCTION("""COMPUTED_VALUE"""),"Gagal")</f>
        <v>Gagal</v>
      </c>
      <c r="AG38" s="285" t="str">
        <f>IFERROR(__xludf.DUMMYFUNCTION("""COMPUTED_VALUE"""),"paket custom 2H1M")</f>
        <v>paket custom 2H1M</v>
      </c>
      <c r="AH38" s="287"/>
      <c r="AI38" s="285">
        <f>IFERROR(__xludf.DUMMYFUNCTION("""COMPUTED_VALUE"""),3.0)</f>
        <v>3</v>
      </c>
      <c r="AJ38" s="289"/>
      <c r="AK38" s="285" t="str">
        <f>IFERROR(__xludf.DUMMYFUNCTION("""COMPUTED_VALUE"""),"akan dikabarin lagi")</f>
        <v>akan dikabarin lagi</v>
      </c>
    </row>
    <row r="39">
      <c r="F39" s="285" t="str">
        <f>IFERROR(__xludf.DUMMYFUNCTION("""COMPUTED_VALUE"""),"2601H027")</f>
        <v>2601H027</v>
      </c>
      <c r="G39" s="286">
        <f>IFERROR(__xludf.DUMMYFUNCTION("""COMPUTED_VALUE"""),46046.0)</f>
        <v>46046</v>
      </c>
      <c r="H39" s="285" t="str">
        <f>IFERROR(__xludf.DUMMYFUNCTION("""COMPUTED_VALUE"""),"Titin Karyati")</f>
        <v>Titin Karyati</v>
      </c>
      <c r="I39" s="285" t="str">
        <f>IFERROR(__xludf.DUMMYFUNCTION("""COMPUTED_VALUE"""),"085285949394")</f>
        <v>085285949394</v>
      </c>
      <c r="J39" s="285" t="str">
        <f>IFERROR(__xludf.DUMMYFUNCTION("""COMPUTED_VALUE"""),"Qualified")</f>
        <v>Qualified</v>
      </c>
      <c r="K39" s="285" t="str">
        <f>IFERROR(__xludf.DUMMYFUNCTION("""COMPUTED_VALUE"""),"2D1N Custom")</f>
        <v>2D1N Custom</v>
      </c>
      <c r="L39" s="287"/>
      <c r="M39" s="285">
        <f>IFERROR(__xludf.DUMMYFUNCTION("""COMPUTED_VALUE"""),25.0)</f>
        <v>25</v>
      </c>
      <c r="N39" s="289">
        <f>IFERROR(__xludf.DUMMYFUNCTION("""COMPUTED_VALUE"""),3.175E7)</f>
        <v>31750000</v>
      </c>
      <c r="O39" s="285" t="str">
        <f>IFERROR(__xludf.DUMMYFUNCTION("""COMPUTED_VALUE"""),"FU lagi mendekati FU 20 Agustus ")</f>
        <v>FU lagi mendekati FU 20 Agustus </v>
      </c>
      <c r="Q39" s="285" t="str">
        <f>IFERROR(__xludf.DUMMYFUNCTION("""COMPUTED_VALUE"""),"2605H020")</f>
        <v>2605H020</v>
      </c>
      <c r="R39" s="286">
        <f>IFERROR(__xludf.DUMMYFUNCTION("""COMPUTED_VALUE"""),46157.0)</f>
        <v>46157</v>
      </c>
      <c r="S39" s="285" t="str">
        <f>IFERROR(__xludf.DUMMYFUNCTION("""COMPUTED_VALUE"""),"Priska / Danti /Rizki")</f>
        <v>Priska / Danti /Rizki</v>
      </c>
      <c r="T39" s="285" t="str">
        <f>IFERROR(__xludf.DUMMYFUNCTION("""COMPUTED_VALUE"""),"08122044545")</f>
        <v>08122044545</v>
      </c>
      <c r="U39" s="285" t="str">
        <f>IFERROR(__xludf.DUMMYFUNCTION("""COMPUTED_VALUE"""),"Closing")</f>
        <v>Closing</v>
      </c>
      <c r="V39" s="285" t="str">
        <f>IFERROR(__xludf.DUMMYFUNCTION("""COMPUTED_VALUE"""),"Djawatan, Green Island, Pulau Merah")</f>
        <v>Djawatan, Green Island, Pulau Merah</v>
      </c>
      <c r="W39" s="287">
        <f>IFERROR(__xludf.DUMMYFUNCTION("""COMPUTED_VALUE"""),46160.0)</f>
        <v>46160</v>
      </c>
      <c r="X39" s="285">
        <f>IFERROR(__xludf.DUMMYFUNCTION("""COMPUTED_VALUE"""),4.0)</f>
        <v>4</v>
      </c>
      <c r="Y39" s="289">
        <f>IFERROR(__xludf.DUMMYFUNCTION("""COMPUTED_VALUE"""),1636000.0)</f>
        <v>1636000</v>
      </c>
      <c r="Z39" s="285" t="str">
        <f>IFERROR(__xludf.DUMMYFUNCTION("""COMPUTED_VALUE"""),"alhamdulilah order")</f>
        <v>alhamdulilah order</v>
      </c>
      <c r="AB39" s="285" t="str">
        <f>IFERROR(__xludf.DUMMYFUNCTION("""COMPUTED_VALUE"""),"2602H013")</f>
        <v>2602H013</v>
      </c>
      <c r="AC39" s="286">
        <f>IFERROR(__xludf.DUMMYFUNCTION("""COMPUTED_VALUE"""),46062.0)</f>
        <v>46062</v>
      </c>
      <c r="AD39" s="285" t="str">
        <f>IFERROR(__xludf.DUMMYFUNCTION("""COMPUTED_VALUE"""),"Risda")</f>
        <v>Risda</v>
      </c>
      <c r="AE39" s="285" t="str">
        <f>IFERROR(__xludf.DUMMYFUNCTION("""COMPUTED_VALUE"""),"08895370735")</f>
        <v>08895370735</v>
      </c>
      <c r="AF39" s="285" t="str">
        <f>IFERROR(__xludf.DUMMYFUNCTION("""COMPUTED_VALUE"""),"Gagal")</f>
        <v>Gagal</v>
      </c>
      <c r="AG39" s="285" t="str">
        <f>IFERROR(__xludf.DUMMYFUNCTION("""COMPUTED_VALUE"""),"OT custom 2H1M")</f>
        <v>OT custom 2H1M</v>
      </c>
      <c r="AH39" s="287"/>
      <c r="AI39" s="285"/>
      <c r="AJ39" s="289"/>
      <c r="AK39" s="285" t="str">
        <f>IFERROR(__xludf.DUMMYFUNCTION("""COMPUTED_VALUE"""),"pekerjaan blm bisa ditinggal")</f>
        <v>pekerjaan blm bisa ditinggal</v>
      </c>
    </row>
    <row r="40">
      <c r="F40" s="285" t="str">
        <f>IFERROR(__xludf.DUMMYFUNCTION("""COMPUTED_VALUE"""),"2602H004")</f>
        <v>2602H004</v>
      </c>
      <c r="G40" s="286">
        <f>IFERROR(__xludf.DUMMYFUNCTION("""COMPUTED_VALUE"""),46057.0)</f>
        <v>46057</v>
      </c>
      <c r="H40" s="285" t="str">
        <f>IFERROR(__xludf.DUMMYFUNCTION("""COMPUTED_VALUE"""),"Dhesy aryanti")</f>
        <v>Dhesy aryanti</v>
      </c>
      <c r="I40" s="285" t="str">
        <f>IFERROR(__xludf.DUMMYFUNCTION("""COMPUTED_VALUE"""),"08128504020")</f>
        <v>08128504020</v>
      </c>
      <c r="J40" s="285" t="str">
        <f>IFERROR(__xludf.DUMMYFUNCTION("""COMPUTED_VALUE"""),"Qualified")</f>
        <v>Qualified</v>
      </c>
      <c r="K40" s="285" t="str">
        <f>IFERROR(__xludf.DUMMYFUNCTION("""COMPUTED_VALUE"""),"1 day trip")</f>
        <v>1 day trip</v>
      </c>
      <c r="L40" s="287">
        <f>IFERROR(__xludf.DUMMYFUNCTION("""COMPUTED_VALUE"""),46382.0)</f>
        <v>46382</v>
      </c>
      <c r="M40" s="285">
        <f>IFERROR(__xludf.DUMMYFUNCTION("""COMPUTED_VALUE"""),4.0)</f>
        <v>4</v>
      </c>
      <c r="N40" s="289">
        <f>IFERROR(__xludf.DUMMYFUNCTION("""COMPUTED_VALUE"""),1940000.0)</f>
        <v>1940000</v>
      </c>
      <c r="O40" s="285" t="str">
        <f>IFERROR(__xludf.DUMMYFUNCTION("""COMPUTED_VALUE"""),"FU 20 September, tunggu informasi selanjutnya")</f>
        <v>FU 20 September, tunggu informasi selanjutnya</v>
      </c>
      <c r="Q40" s="285" t="str">
        <f>IFERROR(__xludf.DUMMYFUNCTION("""COMPUTED_VALUE"""),"2605H034")</f>
        <v>2605H034</v>
      </c>
      <c r="R40" s="286">
        <f>IFERROR(__xludf.DUMMYFUNCTION("""COMPUTED_VALUE"""),46161.0)</f>
        <v>46161</v>
      </c>
      <c r="S40" s="285" t="str">
        <f>IFERROR(__xludf.DUMMYFUNCTION("""COMPUTED_VALUE"""),"Ambarwati")</f>
        <v>Ambarwati</v>
      </c>
      <c r="T40" s="285" t="str">
        <f>IFERROR(__xludf.DUMMYFUNCTION("""COMPUTED_VALUE"""),"085777449526")</f>
        <v>085777449526</v>
      </c>
      <c r="U40" s="285" t="str">
        <f>IFERROR(__xludf.DUMMYFUNCTION("""COMPUTED_VALUE"""),"Closing")</f>
        <v>Closing</v>
      </c>
      <c r="V40" s="285" t="str">
        <f>IFERROR(__xludf.DUMMYFUNCTION("""COMPUTED_VALUE"""),"djabal")</f>
        <v>djabal</v>
      </c>
      <c r="W40" s="287">
        <f>IFERROR(__xludf.DUMMYFUNCTION("""COMPUTED_VALUE"""),46168.0)</f>
        <v>46168</v>
      </c>
      <c r="X40" s="285">
        <f>IFERROR(__xludf.DUMMYFUNCTION("""COMPUTED_VALUE"""),4.0)</f>
        <v>4</v>
      </c>
      <c r="Y40" s="289">
        <f>IFERROR(__xludf.DUMMYFUNCTION("""COMPUTED_VALUE"""),1320000.0)</f>
        <v>1320000</v>
      </c>
      <c r="Z40" s="285" t="str">
        <f>IFERROR(__xludf.DUMMYFUNCTION("""COMPUTED_VALUE"""),"allhamdulillah order")</f>
        <v>allhamdulillah order</v>
      </c>
      <c r="AB40" s="285" t="str">
        <f>IFERROR(__xludf.DUMMYFUNCTION("""COMPUTED_VALUE"""),"2602H014")</f>
        <v>2602H014</v>
      </c>
      <c r="AC40" s="286">
        <f>IFERROR(__xludf.DUMMYFUNCTION("""COMPUTED_VALUE"""),46062.0)</f>
        <v>46062</v>
      </c>
      <c r="AD40" s="285" t="str">
        <f>IFERROR(__xludf.DUMMYFUNCTION("""COMPUTED_VALUE"""),"Bulan - Famouz Boutique")</f>
        <v>Bulan - Famouz Boutique</v>
      </c>
      <c r="AE40" s="285" t="str">
        <f>IFERROR(__xludf.DUMMYFUNCTION("""COMPUTED_VALUE"""),"081901091304")</f>
        <v>081901091304</v>
      </c>
      <c r="AF40" s="285" t="str">
        <f>IFERROR(__xludf.DUMMYFUNCTION("""COMPUTED_VALUE"""),"Gagal")</f>
        <v>Gagal</v>
      </c>
      <c r="AG40" s="285" t="str">
        <f>IFERROR(__xludf.DUMMYFUNCTION("""COMPUTED_VALUE"""),"trip ijen")</f>
        <v>trip ijen</v>
      </c>
      <c r="AH40" s="287"/>
      <c r="AI40" s="285">
        <f>IFERROR(__xludf.DUMMYFUNCTION("""COMPUTED_VALUE"""),2.0)</f>
        <v>2</v>
      </c>
      <c r="AJ40" s="289"/>
      <c r="AK40" s="285" t="str">
        <f>IFERROR(__xludf.DUMMYFUNCTION("""COMPUTED_VALUE"""),"blm balas lagi, sudah FU ")</f>
        <v>blm balas lagi, sudah FU </v>
      </c>
    </row>
    <row r="41">
      <c r="F41" s="285" t="str">
        <f>IFERROR(__xludf.DUMMYFUNCTION("""COMPUTED_VALUE"""),"2602H016")</f>
        <v>2602H016</v>
      </c>
      <c r="G41" s="286">
        <f>IFERROR(__xludf.DUMMYFUNCTION("""COMPUTED_VALUE"""),46065.0)</f>
        <v>46065</v>
      </c>
      <c r="H41" s="285" t="str">
        <f>IFERROR(__xludf.DUMMYFUNCTION("""COMPUTED_VALUE"""),"Resi Milawati ")</f>
        <v>Resi Milawati </v>
      </c>
      <c r="I41" s="285" t="str">
        <f>IFERROR(__xludf.DUMMYFUNCTION("""COMPUTED_VALUE"""),"085284074321")</f>
        <v>085284074321</v>
      </c>
      <c r="J41" s="285" t="str">
        <f>IFERROR(__xludf.DUMMYFUNCTION("""COMPUTED_VALUE"""),"Qualified")</f>
        <v>Qualified</v>
      </c>
      <c r="K41" s="285" t="str">
        <f>IFERROR(__xludf.DUMMYFUNCTION("""COMPUTED_VALUE"""),"3H2M")</f>
        <v>3H2M</v>
      </c>
      <c r="L41" s="287"/>
      <c r="M41" s="285">
        <f>IFERROR(__xludf.DUMMYFUNCTION("""COMPUTED_VALUE"""),2.0)</f>
        <v>2</v>
      </c>
      <c r="N41" s="289">
        <f>IFERROR(__xludf.DUMMYFUNCTION("""COMPUTED_VALUE"""),6270000.0)</f>
        <v>6270000</v>
      </c>
      <c r="O41" s="285" t="str">
        <f>IFERROR(__xludf.DUMMYFUNCTION("""COMPUTED_VALUE"""),"FU tgl 2 juli. nunggu cuti")</f>
        <v>FU tgl 2 juli. nunggu cuti</v>
      </c>
      <c r="Q41" s="285" t="str">
        <f>IFERROR(__xludf.DUMMYFUNCTION("""COMPUTED_VALUE"""),"2605H035")</f>
        <v>2605H035</v>
      </c>
      <c r="R41" s="286">
        <f>IFERROR(__xludf.DUMMYFUNCTION("""COMPUTED_VALUE"""),46161.0)</f>
        <v>46161</v>
      </c>
      <c r="S41" s="285" t="str">
        <f>IFERROR(__xludf.DUMMYFUNCTION("""COMPUTED_VALUE"""),"Herni Apriyani")</f>
        <v>Herni Apriyani</v>
      </c>
      <c r="T41" s="285" t="str">
        <f>IFERROR(__xludf.DUMMYFUNCTION("""COMPUTED_VALUE"""),"081287672642")</f>
        <v>081287672642</v>
      </c>
      <c r="U41" s="285" t="str">
        <f>IFERROR(__xludf.DUMMYFUNCTION("""COMPUTED_VALUE"""),"Closing")</f>
        <v>Closing</v>
      </c>
      <c r="V41" s="285" t="str">
        <f>IFERROR(__xludf.DUMMYFUNCTION("""COMPUTED_VALUE"""),"2d1n opsi a")</f>
        <v>2d1n opsi a</v>
      </c>
      <c r="W41" s="287"/>
      <c r="X41" s="285">
        <f>IFERROR(__xludf.DUMMYFUNCTION("""COMPUTED_VALUE"""),4.0)</f>
        <v>4</v>
      </c>
      <c r="Y41" s="289">
        <f>IFERROR(__xludf.DUMMYFUNCTION("""COMPUTED_VALUE"""),2196000.0)</f>
        <v>2196000</v>
      </c>
      <c r="Z41" s="285" t="str">
        <f>IFERROR(__xludf.DUMMYFUNCTION("""COMPUTED_VALUE"""),"alhamdulilah order")</f>
        <v>alhamdulilah order</v>
      </c>
      <c r="AB41" s="285" t="str">
        <f>IFERROR(__xludf.DUMMYFUNCTION("""COMPUTED_VALUE"""),"2602H015")</f>
        <v>2602H015</v>
      </c>
      <c r="AC41" s="286">
        <f>IFERROR(__xludf.DUMMYFUNCTION("""COMPUTED_VALUE"""),46062.0)</f>
        <v>46062</v>
      </c>
      <c r="AD41" s="285" t="str">
        <f>IFERROR(__xludf.DUMMYFUNCTION("""COMPUTED_VALUE"""),"Inneke Mamina")</f>
        <v>Inneke Mamina</v>
      </c>
      <c r="AE41" s="285" t="str">
        <f>IFERROR(__xludf.DUMMYFUNCTION("""COMPUTED_VALUE"""),"081342910610")</f>
        <v>081342910610</v>
      </c>
      <c r="AF41" s="285" t="str">
        <f>IFERROR(__xludf.DUMMYFUNCTION("""COMPUTED_VALUE"""),"Gagal")</f>
        <v>Gagal</v>
      </c>
      <c r="AG41" s="285" t="str">
        <f>IFERROR(__xludf.DUMMYFUNCTION("""COMPUTED_VALUE"""),"2H1M")</f>
        <v>2H1M</v>
      </c>
      <c r="AH41" s="287">
        <f>IFERROR(__xludf.DUMMYFUNCTION("""COMPUTED_VALUE"""),46102.0)</f>
        <v>46102</v>
      </c>
      <c r="AI41" s="285"/>
      <c r="AJ41" s="289"/>
      <c r="AK41" s="285" t="str">
        <f>IFERROR(__xludf.DUMMYFUNCTION("""COMPUTED_VALUE"""),"berubah rute, glamping daerah semeru  ")</f>
        <v>berubah rute, glamping daerah semeru  </v>
      </c>
    </row>
    <row r="42">
      <c r="F42" s="285" t="str">
        <f>IFERROR(__xludf.DUMMYFUNCTION("""COMPUTED_VALUE"""),"2602H038")</f>
        <v>2602H038</v>
      </c>
      <c r="G42" s="286">
        <f>IFERROR(__xludf.DUMMYFUNCTION("""COMPUTED_VALUE"""),46080.0)</f>
        <v>46080</v>
      </c>
      <c r="H42" s="285" t="str">
        <f>IFERROR(__xludf.DUMMYFUNCTION("""COMPUTED_VALUE"""),"Annisa Syarifah ")</f>
        <v>Annisa Syarifah </v>
      </c>
      <c r="I42" s="285" t="str">
        <f>IFERROR(__xludf.DUMMYFUNCTION("""COMPUTED_VALUE"""),"082110566678")</f>
        <v>082110566678</v>
      </c>
      <c r="J42" s="285" t="str">
        <f>IFERROR(__xludf.DUMMYFUNCTION("""COMPUTED_VALUE"""),"Qualified")</f>
        <v>Qualified</v>
      </c>
      <c r="K42" s="285" t="str">
        <f>IFERROR(__xludf.DUMMYFUNCTION("""COMPUTED_VALUE"""),"trip 2H2M")</f>
        <v>trip 2H2M</v>
      </c>
      <c r="L42" s="287">
        <f>IFERROR(__xludf.DUMMYFUNCTION("""COMPUTED_VALUE"""),46214.0)</f>
        <v>46214</v>
      </c>
      <c r="M42" s="285">
        <f>IFERROR(__xludf.DUMMYFUNCTION("""COMPUTED_VALUE"""),3.0)</f>
        <v>3</v>
      </c>
      <c r="N42" s="289">
        <f>IFERROR(__xludf.DUMMYFUNCTION("""COMPUTED_VALUE"""),4050000.0)</f>
        <v>4050000</v>
      </c>
      <c r="O42" s="285" t="str">
        <f>IFERROR(__xludf.DUMMYFUNCTION("""COMPUTED_VALUE"""),"buat penawaran, fu 25 juni")</f>
        <v>buat penawaran, fu 25 juni</v>
      </c>
      <c r="Q42" s="285" t="str">
        <f>IFERROR(__xludf.DUMMYFUNCTION("""COMPUTED_VALUE"""),"2605H059")</f>
        <v>2605H059</v>
      </c>
      <c r="R42" s="286">
        <f>IFERROR(__xludf.DUMMYFUNCTION("""COMPUTED_VALUE"""),46172.0)</f>
        <v>46172</v>
      </c>
      <c r="S42" s="285" t="str">
        <f>IFERROR(__xludf.DUMMYFUNCTION("""COMPUTED_VALUE"""),"Rina Cumie Kristanti")</f>
        <v>Rina Cumie Kristanti</v>
      </c>
      <c r="T42" s="285" t="str">
        <f>IFERROR(__xludf.DUMMYFUNCTION("""COMPUTED_VALUE"""),"08128749759")</f>
        <v>08128749759</v>
      </c>
      <c r="U42" s="285" t="str">
        <f>IFERROR(__xludf.DUMMYFUNCTION("""COMPUTED_VALUE"""),"Closing")</f>
        <v>Closing</v>
      </c>
      <c r="V42" s="285" t="str">
        <f>IFERROR(__xludf.DUMMYFUNCTION("""COMPUTED_VALUE"""),"ot mt dan ijen")</f>
        <v>ot mt dan ijen</v>
      </c>
      <c r="W42" s="287"/>
      <c r="X42" s="285">
        <f>IFERROR(__xludf.DUMMYFUNCTION("""COMPUTED_VALUE"""),1.0)</f>
        <v>1</v>
      </c>
      <c r="Y42" s="289"/>
      <c r="Z42" s="285" t="str">
        <f>IFERROR(__xludf.DUMMYFUNCTION("""COMPUTED_VALUE"""),"alhamdulillah order")</f>
        <v>alhamdulillah order</v>
      </c>
      <c r="AB42" s="285" t="str">
        <f>IFERROR(__xludf.DUMMYFUNCTION("""COMPUTED_VALUE"""),"2602H018")</f>
        <v>2602H018</v>
      </c>
      <c r="AC42" s="286">
        <f>IFERROR(__xludf.DUMMYFUNCTION("""COMPUTED_VALUE"""),46067.0)</f>
        <v>46067</v>
      </c>
      <c r="AD42" s="285" t="str">
        <f>IFERROR(__xludf.DUMMYFUNCTION("""COMPUTED_VALUE"""),"Evi Rinawati ")</f>
        <v>Evi Rinawati </v>
      </c>
      <c r="AE42" s="285" t="str">
        <f>IFERROR(__xludf.DUMMYFUNCTION("""COMPUTED_VALUE"""),"082123333559")</f>
        <v>082123333559</v>
      </c>
      <c r="AF42" s="285" t="str">
        <f>IFERROR(__xludf.DUMMYFUNCTION("""COMPUTED_VALUE"""),"Gagal")</f>
        <v>Gagal</v>
      </c>
      <c r="AG42" s="285" t="str">
        <f>IFERROR(__xludf.DUMMYFUNCTION("""COMPUTED_VALUE"""),"1 day trip D,AP,PM")</f>
        <v>1 day trip D,AP,PM</v>
      </c>
      <c r="AH42" s="287"/>
      <c r="AI42" s="285">
        <f>IFERROR(__xludf.DUMMYFUNCTION("""COMPUTED_VALUE"""),3.0)</f>
        <v>3</v>
      </c>
      <c r="AJ42" s="289"/>
      <c r="AK42" s="285" t="str">
        <f>IFERROR(__xludf.DUMMYFUNCTION("""COMPUTED_VALUE"""),"tanya tanya, suda FU 16 feb")</f>
        <v>tanya tanya, suda FU 16 feb</v>
      </c>
    </row>
    <row r="43">
      <c r="F43" s="285" t="str">
        <f>IFERROR(__xludf.DUMMYFUNCTION("""COMPUTED_VALUE"""),"2602H041")</f>
        <v>2602H041</v>
      </c>
      <c r="G43" s="286">
        <f>IFERROR(__xludf.DUMMYFUNCTION("""COMPUTED_VALUE"""),46080.0)</f>
        <v>46080</v>
      </c>
      <c r="H43" s="285" t="str">
        <f>IFERROR(__xludf.DUMMYFUNCTION("""COMPUTED_VALUE"""),"Putri ")</f>
        <v>Putri </v>
      </c>
      <c r="I43" s="285" t="str">
        <f>IFERROR(__xludf.DUMMYFUNCTION("""COMPUTED_VALUE"""),"081568478359")</f>
        <v>081568478359</v>
      </c>
      <c r="J43" s="285" t="str">
        <f>IFERROR(__xludf.DUMMYFUNCTION("""COMPUTED_VALUE"""),"Qualified")</f>
        <v>Qualified</v>
      </c>
      <c r="K43" s="285" t="str">
        <f>IFERROR(__xludf.DUMMYFUNCTION("""COMPUTED_VALUE"""),"trip 4H3M")</f>
        <v>trip 4H3M</v>
      </c>
      <c r="L43" s="287"/>
      <c r="M43" s="285">
        <f>IFERROR(__xludf.DUMMYFUNCTION("""COMPUTED_VALUE"""),22.0)</f>
        <v>22</v>
      </c>
      <c r="N43" s="289">
        <f>IFERROR(__xludf.DUMMYFUNCTION("""COMPUTED_VALUE"""),2.924E7)</f>
        <v>29240000</v>
      </c>
      <c r="O43" s="285" t="str">
        <f>IFERROR(__xludf.DUMMYFUNCTION("""COMPUTED_VALUE"""),"nanya pricelist paket, fu 25 juni")</f>
        <v>nanya pricelist paket, fu 25 juni</v>
      </c>
      <c r="Q43" s="285" t="str">
        <f>IFERROR(__xludf.DUMMYFUNCTION("""COMPUTED_VALUE"""),"2605H064")</f>
        <v>2605H064</v>
      </c>
      <c r="R43" s="286">
        <f>IFERROR(__xludf.DUMMYFUNCTION("""COMPUTED_VALUE"""),46173.0)</f>
        <v>46173</v>
      </c>
      <c r="S43" s="285" t="str">
        <f>IFERROR(__xludf.DUMMYFUNCTION("""COMPUTED_VALUE"""),"Ayana")</f>
        <v>Ayana</v>
      </c>
      <c r="T43" s="285" t="str">
        <f>IFERROR(__xludf.DUMMYFUNCTION("""COMPUTED_VALUE"""),"0811164772")</f>
        <v>0811164772</v>
      </c>
      <c r="U43" s="285" t="str">
        <f>IFERROR(__xludf.DUMMYFUNCTION("""COMPUTED_VALUE"""),"Closing")</f>
        <v>Closing</v>
      </c>
      <c r="V43" s="285" t="str">
        <f>IFERROR(__xludf.DUMMYFUNCTION("""COMPUTED_VALUE"""),"djabal")</f>
        <v>djabal</v>
      </c>
      <c r="W43" s="287">
        <f>IFERROR(__xludf.DUMMYFUNCTION("""COMPUTED_VALUE"""),46203.0)</f>
        <v>46203</v>
      </c>
      <c r="X43" s="285">
        <f>IFERROR(__xludf.DUMMYFUNCTION("""COMPUTED_VALUE"""),4.0)</f>
        <v>4</v>
      </c>
      <c r="Y43" s="289">
        <f>IFERROR(__xludf.DUMMYFUNCTION("""COMPUTED_VALUE"""),1320000.0)</f>
        <v>1320000</v>
      </c>
      <c r="Z43" s="285" t="str">
        <f>IFERROR(__xludf.DUMMYFUNCTION("""COMPUTED_VALUE"""),"alhamdulillah order")</f>
        <v>alhamdulillah order</v>
      </c>
      <c r="AB43" s="285" t="str">
        <f>IFERROR(__xludf.DUMMYFUNCTION("""COMPUTED_VALUE"""),"2602H019")</f>
        <v>2602H019</v>
      </c>
      <c r="AC43" s="286">
        <f>IFERROR(__xludf.DUMMYFUNCTION("""COMPUTED_VALUE"""),46065.0)</f>
        <v>46065</v>
      </c>
      <c r="AD43" s="285" t="str">
        <f>IFERROR(__xludf.DUMMYFUNCTION("""COMPUTED_VALUE"""),"Adam ")</f>
        <v>Adam </v>
      </c>
      <c r="AE43" s="285" t="str">
        <f>IFERROR(__xludf.DUMMYFUNCTION("""COMPUTED_VALUE"""),"082299137858")</f>
        <v>082299137858</v>
      </c>
      <c r="AF43" s="285" t="str">
        <f>IFERROR(__xludf.DUMMYFUNCTION("""COMPUTED_VALUE"""),"Gagal")</f>
        <v>Gagal</v>
      </c>
      <c r="AG43" s="285" t="str">
        <f>IFERROR(__xludf.DUMMYFUNCTION("""COMPUTED_VALUE"""),"custom 2H1M")</f>
        <v>custom 2H1M</v>
      </c>
      <c r="AH43" s="287"/>
      <c r="AI43" s="285"/>
      <c r="AJ43" s="289"/>
      <c r="AK43" s="285" t="str">
        <f>IFERROR(__xludf.DUMMYFUNCTION("""COMPUTED_VALUE"""),"sdh fu, tidak ada jawaban, gagal")</f>
        <v>sdh fu, tidak ada jawaban, gagal</v>
      </c>
    </row>
    <row r="44">
      <c r="F44" s="285" t="str">
        <f>IFERROR(__xludf.DUMMYFUNCTION("""COMPUTED_VALUE"""),"2604H006")</f>
        <v>2604H006</v>
      </c>
      <c r="G44" s="286">
        <f>IFERROR(__xludf.DUMMYFUNCTION("""COMPUTED_VALUE"""),46118.0)</f>
        <v>46118</v>
      </c>
      <c r="H44" s="285" t="str">
        <f>IFERROR(__xludf.DUMMYFUNCTION("""COMPUTED_VALUE"""),"Susilowati")</f>
        <v>Susilowati</v>
      </c>
      <c r="I44" s="285" t="str">
        <f>IFERROR(__xludf.DUMMYFUNCTION("""COMPUTED_VALUE"""),"081291435110")</f>
        <v>081291435110</v>
      </c>
      <c r="J44" s="285" t="str">
        <f>IFERROR(__xludf.DUMMYFUNCTION("""COMPUTED_VALUE"""),"Qualified")</f>
        <v>Qualified</v>
      </c>
      <c r="K44" s="285" t="str">
        <f>IFERROR(__xludf.DUMMYFUNCTION("""COMPUTED_VALUE"""),"3h2m")</f>
        <v>3h2m</v>
      </c>
      <c r="L44" s="287"/>
      <c r="M44" s="285">
        <f>IFERROR(__xludf.DUMMYFUNCTION("""COMPUTED_VALUE"""),10.0)</f>
        <v>10</v>
      </c>
      <c r="N44" s="289">
        <f>IFERROR(__xludf.DUMMYFUNCTION("""COMPUTED_VALUE"""),1.7E7)</f>
        <v>17000000</v>
      </c>
      <c r="O44" s="285" t="str">
        <f>IFERROR(__xludf.DUMMYFUNCTION("""COMPUTED_VALUE"""),"blm balas. fu lagi 27 juli")</f>
        <v>blm balas. fu lagi 27 juli</v>
      </c>
      <c r="Q44" s="285" t="str">
        <f>IFERROR(__xludf.DUMMYFUNCTION("""COMPUTED_VALUE"""),"2606H003")</f>
        <v>2606H003</v>
      </c>
      <c r="R44" s="286">
        <f>IFERROR(__xludf.DUMMYFUNCTION("""COMPUTED_VALUE"""),46175.0)</f>
        <v>46175</v>
      </c>
      <c r="S44" s="285" t="str">
        <f>IFERROR(__xludf.DUMMYFUNCTION("""COMPUTED_VALUE"""),"Hernowo")</f>
        <v>Hernowo</v>
      </c>
      <c r="T44" s="285" t="str">
        <f>IFERROR(__xludf.DUMMYFUNCTION("""COMPUTED_VALUE"""),"081585138723")</f>
        <v>081585138723</v>
      </c>
      <c r="U44" s="285" t="str">
        <f>IFERROR(__xludf.DUMMYFUNCTION("""COMPUTED_VALUE"""),"Closing")</f>
        <v>Closing</v>
      </c>
      <c r="V44" s="285" t="str">
        <f>IFERROR(__xludf.DUMMYFUNCTION("""COMPUTED_VALUE"""),"3H2M")</f>
        <v>3H2M</v>
      </c>
      <c r="W44" s="287"/>
      <c r="X44" s="285">
        <f>IFERROR(__xludf.DUMMYFUNCTION("""COMPUTED_VALUE"""),5.0)</f>
        <v>5</v>
      </c>
      <c r="Y44" s="289">
        <f>IFERROR(__xludf.DUMMYFUNCTION("""COMPUTED_VALUE"""),7000000.0)</f>
        <v>7000000</v>
      </c>
      <c r="Z44" s="285" t="str">
        <f>IFERROR(__xludf.DUMMYFUNCTION("""COMPUTED_VALUE"""),"alhamdulilah closing")</f>
        <v>alhamdulilah closing</v>
      </c>
      <c r="AB44" s="285" t="str">
        <f>IFERROR(__xludf.DUMMYFUNCTION("""COMPUTED_VALUE"""),"2602H021")</f>
        <v>2602H021</v>
      </c>
      <c r="AC44" s="286">
        <f>IFERROR(__xludf.DUMMYFUNCTION("""COMPUTED_VALUE"""),46068.0)</f>
        <v>46068</v>
      </c>
      <c r="AD44" s="285" t="str">
        <f>IFERROR(__xludf.DUMMYFUNCTION("""COMPUTED_VALUE"""),"Endang ")</f>
        <v>Endang </v>
      </c>
      <c r="AE44" s="285" t="str">
        <f>IFERROR(__xludf.DUMMYFUNCTION("""COMPUTED_VALUE"""),"081314667994")</f>
        <v>081314667994</v>
      </c>
      <c r="AF44" s="285" t="str">
        <f>IFERROR(__xludf.DUMMYFUNCTION("""COMPUTED_VALUE"""),"Gagal")</f>
        <v>Gagal</v>
      </c>
      <c r="AG44" s="285" t="str">
        <f>IFERROR(__xludf.DUMMYFUNCTION("""COMPUTED_VALUE"""),"custom 5H4M")</f>
        <v>custom 5H4M</v>
      </c>
      <c r="AH44" s="287"/>
      <c r="AI44" s="285">
        <f>IFERROR(__xludf.DUMMYFUNCTION("""COMPUTED_VALUE"""),5.0)</f>
        <v>5</v>
      </c>
      <c r="AJ44" s="289">
        <f>IFERROR(__xludf.DUMMYFUNCTION("""COMPUTED_VALUE"""),1.8175E7)</f>
        <v>18175000</v>
      </c>
      <c r="AK44" s="285" t="str">
        <f>IFERROR(__xludf.DUMMYFUNCTION("""COMPUTED_VALUE"""),"gajadi ke Banyuwangi ")</f>
        <v>gajadi ke Banyuwangi </v>
      </c>
    </row>
    <row r="45">
      <c r="F45" s="285" t="str">
        <f>IFERROR(__xludf.DUMMYFUNCTION("""COMPUTED_VALUE"""),"2604H024")</f>
        <v>2604H024</v>
      </c>
      <c r="G45" s="286">
        <f>IFERROR(__xludf.DUMMYFUNCTION("""COMPUTED_VALUE"""),46125.0)</f>
        <v>46125</v>
      </c>
      <c r="H45" s="285" t="str">
        <f>IFERROR(__xludf.DUMMYFUNCTION("""COMPUTED_VALUE"""),"Michael Rully")</f>
        <v>Michael Rully</v>
      </c>
      <c r="I45" s="285" t="str">
        <f>IFERROR(__xludf.DUMMYFUNCTION("""COMPUTED_VALUE"""),"085156580342")</f>
        <v>085156580342</v>
      </c>
      <c r="J45" s="285" t="str">
        <f>IFERROR(__xludf.DUMMYFUNCTION("""COMPUTED_VALUE"""),"Qualified")</f>
        <v>Qualified</v>
      </c>
      <c r="K45" s="285" t="str">
        <f>IFERROR(__xludf.DUMMYFUNCTION("""COMPUTED_VALUE"""),"3h2m opsi b")</f>
        <v>3h2m opsi b</v>
      </c>
      <c r="L45" s="287"/>
      <c r="M45" s="285">
        <f>IFERROR(__xludf.DUMMYFUNCTION("""COMPUTED_VALUE"""),2.0)</f>
        <v>2</v>
      </c>
      <c r="N45" s="289">
        <f>IFERROR(__xludf.DUMMYFUNCTION("""COMPUTED_VALUE"""),5664000.0)</f>
        <v>5664000</v>
      </c>
      <c r="O45" s="285" t="str">
        <f>IFERROR(__xludf.DUMMYFUNCTION("""COMPUTED_VALUE"""),"fu 18 juni")</f>
        <v>fu 18 juni</v>
      </c>
      <c r="Q45" s="285" t="str">
        <f>IFERROR(__xludf.DUMMYFUNCTION("""COMPUTED_VALUE"""),"2606H008")</f>
        <v>2606H008</v>
      </c>
      <c r="R45" s="286">
        <f>IFERROR(__xludf.DUMMYFUNCTION("""COMPUTED_VALUE"""),46179.0)</f>
        <v>46179</v>
      </c>
      <c r="S45" s="285" t="str">
        <f>IFERROR(__xludf.DUMMYFUNCTION("""COMPUTED_VALUE"""),"Aryanti")</f>
        <v>Aryanti</v>
      </c>
      <c r="T45" s="285" t="str">
        <f>IFERROR(__xludf.DUMMYFUNCTION("""COMPUTED_VALUE"""),"0811907784")</f>
        <v>0811907784</v>
      </c>
      <c r="U45" s="285" t="str">
        <f>IFERROR(__xludf.DUMMYFUNCTION("""COMPUTED_VALUE"""),"Closing")</f>
        <v>Closing</v>
      </c>
      <c r="V45" s="285" t="str">
        <f>IFERROR(__xludf.DUMMYFUNCTION("""COMPUTED_VALUE"""),"ijen baluran")</f>
        <v>ijen baluran</v>
      </c>
      <c r="W45" s="287">
        <f>IFERROR(__xludf.DUMMYFUNCTION("""COMPUTED_VALUE"""),46191.0)</f>
        <v>46191</v>
      </c>
      <c r="X45" s="285">
        <f>IFERROR(__xludf.DUMMYFUNCTION("""COMPUTED_VALUE"""),4.0)</f>
        <v>4</v>
      </c>
      <c r="Y45" s="289">
        <f>IFERROR(__xludf.DUMMYFUNCTION("""COMPUTED_VALUE"""),2252000.0)</f>
        <v>2252000</v>
      </c>
      <c r="Z45" s="285" t="str">
        <f>IFERROR(__xludf.DUMMYFUNCTION("""COMPUTED_VALUE"""),"alhamdulillah closing")</f>
        <v>alhamdulillah closing</v>
      </c>
      <c r="AB45" s="285" t="str">
        <f>IFERROR(__xludf.DUMMYFUNCTION("""COMPUTED_VALUE"""),"2602H022")</f>
        <v>2602H022</v>
      </c>
      <c r="AC45" s="286">
        <f>IFERROR(__xludf.DUMMYFUNCTION("""COMPUTED_VALUE"""),46068.0)</f>
        <v>46068</v>
      </c>
      <c r="AD45" s="285" t="str">
        <f>IFERROR(__xludf.DUMMYFUNCTION("""COMPUTED_VALUE"""),"Endah")</f>
        <v>Endah</v>
      </c>
      <c r="AE45" s="285" t="str">
        <f>IFERROR(__xludf.DUMMYFUNCTION("""COMPUTED_VALUE"""),"08119990526")</f>
        <v>08119990526</v>
      </c>
      <c r="AF45" s="285" t="str">
        <f>IFERROR(__xludf.DUMMYFUNCTION("""COMPUTED_VALUE"""),"Gagal")</f>
        <v>Gagal</v>
      </c>
      <c r="AG45" s="285" t="str">
        <f>IFERROR(__xludf.DUMMYFUNCTION("""COMPUTED_VALUE"""),"custom 5H4M")</f>
        <v>custom 5H4M</v>
      </c>
      <c r="AH45" s="287"/>
      <c r="AI45" s="285">
        <f>IFERROR(__xludf.DUMMYFUNCTION("""COMPUTED_VALUE"""),4.0)</f>
        <v>4</v>
      </c>
      <c r="AJ45" s="289">
        <f>IFERROR(__xludf.DUMMYFUNCTION("""COMPUTED_VALUE"""),1.306E7)</f>
        <v>13060000</v>
      </c>
      <c r="AK45" s="285" t="str">
        <f>IFERROR(__xludf.DUMMYFUNCTION("""COMPUTED_VALUE"""),"belum jadi ke bwi, next time")</f>
        <v>belum jadi ke bwi, next time</v>
      </c>
    </row>
    <row r="46">
      <c r="F46" s="285" t="str">
        <f>IFERROR(__xludf.DUMMYFUNCTION("""COMPUTED_VALUE"""),"2604H047")</f>
        <v>2604H047</v>
      </c>
      <c r="G46" s="286">
        <f>IFERROR(__xludf.DUMMYFUNCTION("""COMPUTED_VALUE"""),46134.0)</f>
        <v>46134</v>
      </c>
      <c r="H46" s="285" t="str">
        <f>IFERROR(__xludf.DUMMYFUNCTION("""COMPUTED_VALUE"""),"DENIS")</f>
        <v>DENIS</v>
      </c>
      <c r="I46" s="285" t="str">
        <f>IFERROR(__xludf.DUMMYFUNCTION("""COMPUTED_VALUE"""),"08128534418")</f>
        <v>08128534418</v>
      </c>
      <c r="J46" s="285" t="str">
        <f>IFERROR(__xludf.DUMMYFUNCTION("""COMPUTED_VALUE"""),"Qualified")</f>
        <v>Qualified</v>
      </c>
      <c r="K46" s="285" t="str">
        <f>IFERROR(__xludf.DUMMYFUNCTION("""COMPUTED_VALUE"""),"3h2m")</f>
        <v>3h2m</v>
      </c>
      <c r="L46" s="287"/>
      <c r="M46" s="285">
        <f>IFERROR(__xludf.DUMMYFUNCTION("""COMPUTED_VALUE"""),40.0)</f>
        <v>40</v>
      </c>
      <c r="N46" s="289">
        <f>IFERROR(__xludf.DUMMYFUNCTION("""COMPUTED_VALUE"""),8.4E7)</f>
        <v>84000000</v>
      </c>
      <c r="O46" s="285" t="str">
        <f>IFERROR(__xludf.DUMMYFUNCTION("""COMPUTED_VALUE"""),"FU 18 juni")</f>
        <v>FU 18 juni</v>
      </c>
      <c r="Q46" s="285" t="str">
        <f>IFERROR(__xludf.DUMMYFUNCTION("""COMPUTED_VALUE"""),"2606H012")</f>
        <v>2606H012</v>
      </c>
      <c r="R46" s="286">
        <f>IFERROR(__xludf.DUMMYFUNCTION("""COMPUTED_VALUE"""),46181.0)</f>
        <v>46181</v>
      </c>
      <c r="S46" s="285" t="str">
        <f>IFERROR(__xludf.DUMMYFUNCTION("""COMPUTED_VALUE"""),"Ario Isnadi")</f>
        <v>Ario Isnadi</v>
      </c>
      <c r="T46" s="285" t="str">
        <f>IFERROR(__xludf.DUMMYFUNCTION("""COMPUTED_VALUE"""),"085156381325")</f>
        <v>085156381325</v>
      </c>
      <c r="U46" s="285" t="str">
        <f>IFERROR(__xludf.DUMMYFUNCTION("""COMPUTED_VALUE"""),"Closing")</f>
        <v>Closing</v>
      </c>
      <c r="V46" s="285" t="str">
        <f>IFERROR(__xludf.DUMMYFUNCTION("""COMPUTED_VALUE"""),"id green island")</f>
        <v>id green island</v>
      </c>
      <c r="W46" s="287">
        <f>IFERROR(__xludf.DUMMYFUNCTION("""COMPUTED_VALUE"""),46207.0)</f>
        <v>46207</v>
      </c>
      <c r="X46" s="285">
        <f>IFERROR(__xludf.DUMMYFUNCTION("""COMPUTED_VALUE"""),4.0)</f>
        <v>4</v>
      </c>
      <c r="Y46" s="289">
        <f>IFERROR(__xludf.DUMMYFUNCTION("""COMPUTED_VALUE"""),1636000.0)</f>
        <v>1636000</v>
      </c>
      <c r="Z46" s="285" t="str">
        <f>IFERROR(__xludf.DUMMYFUNCTION("""COMPUTED_VALUE"""),"alhmadulillah")</f>
        <v>alhmadulillah</v>
      </c>
      <c r="AB46" s="285" t="str">
        <f>IFERROR(__xludf.DUMMYFUNCTION("""COMPUTED_VALUE"""),"2602H023")</f>
        <v>2602H023</v>
      </c>
      <c r="AC46" s="286">
        <f>IFERROR(__xludf.DUMMYFUNCTION("""COMPUTED_VALUE"""),46069.0)</f>
        <v>46069</v>
      </c>
      <c r="AD46" s="285" t="str">
        <f>IFERROR(__xludf.DUMMYFUNCTION("""COMPUTED_VALUE"""),"Indri")</f>
        <v>Indri</v>
      </c>
      <c r="AE46" s="285" t="str">
        <f>IFERROR(__xludf.DUMMYFUNCTION("""COMPUTED_VALUE"""),"08151655501")</f>
        <v>08151655501</v>
      </c>
      <c r="AF46" s="285" t="str">
        <f>IFERROR(__xludf.DUMMYFUNCTION("""COMPUTED_VALUE"""),"Gagal")</f>
        <v>Gagal</v>
      </c>
      <c r="AG46" s="285" t="str">
        <f>IFERROR(__xludf.DUMMYFUNCTION("""COMPUTED_VALUE"""),"custom 3H2M")</f>
        <v>custom 3H2M</v>
      </c>
      <c r="AH46" s="287"/>
      <c r="AI46" s="285">
        <f>IFERROR(__xludf.DUMMYFUNCTION("""COMPUTED_VALUE"""),2.0)</f>
        <v>2</v>
      </c>
      <c r="AJ46" s="289">
        <f>IFERROR(__xludf.DUMMYFUNCTION("""COMPUTED_VALUE"""),7116000.0)</f>
        <v>7116000</v>
      </c>
      <c r="AK46" s="285" t="str">
        <f>IFERROR(__xludf.DUMMYFUNCTION("""COMPUTED_VALUE"""),"tidak jadi")</f>
        <v>tidak jadi</v>
      </c>
    </row>
    <row r="47">
      <c r="F47" s="285" t="str">
        <f>IFERROR(__xludf.DUMMYFUNCTION("""COMPUTED_VALUE"""),"2604H052")</f>
        <v>2604H052</v>
      </c>
      <c r="G47" s="286">
        <f>IFERROR(__xludf.DUMMYFUNCTION("""COMPUTED_VALUE"""),46138.0)</f>
        <v>46138</v>
      </c>
      <c r="H47" s="285" t="str">
        <f>IFERROR(__xludf.DUMMYFUNCTION("""COMPUTED_VALUE"""),"Tyo")</f>
        <v>Tyo</v>
      </c>
      <c r="I47" s="285" t="str">
        <f>IFERROR(__xludf.DUMMYFUNCTION("""COMPUTED_VALUE"""),"081519481132")</f>
        <v>081519481132</v>
      </c>
      <c r="J47" s="285" t="str">
        <f>IFERROR(__xludf.DUMMYFUNCTION("""COMPUTED_VALUE"""),"Qualified")</f>
        <v>Qualified</v>
      </c>
      <c r="K47" s="285" t="str">
        <f>IFERROR(__xludf.DUMMYFUNCTION("""COMPUTED_VALUE"""),"one day wurung baluran")</f>
        <v>one day wurung baluran</v>
      </c>
      <c r="L47" s="287">
        <f>IFERROR(__xludf.DUMMYFUNCTION("""COMPUTED_VALUE"""),46207.0)</f>
        <v>46207</v>
      </c>
      <c r="M47" s="285">
        <f>IFERROR(__xludf.DUMMYFUNCTION("""COMPUTED_VALUE"""),2.0)</f>
        <v>2</v>
      </c>
      <c r="N47" s="289">
        <f>IFERROR(__xludf.DUMMYFUNCTION("""COMPUTED_VALUE"""),1550000.0)</f>
        <v>1550000</v>
      </c>
      <c r="O47" s="285" t="str">
        <f>IFERROR(__xludf.DUMMYFUNCTION("""COMPUTED_VALUE"""),"fu 26 juni")</f>
        <v>fu 26 juni</v>
      </c>
      <c r="Q47" s="285" t="str">
        <f>IFERROR(__xludf.DUMMYFUNCTION("""COMPUTED_VALUE"""),"2606H016")</f>
        <v>2606H016</v>
      </c>
      <c r="R47" s="286">
        <f>IFERROR(__xludf.DUMMYFUNCTION("""COMPUTED_VALUE"""),46183.0)</f>
        <v>46183</v>
      </c>
      <c r="S47" s="285" t="str">
        <f>IFERROR(__xludf.DUMMYFUNCTION("""COMPUTED_VALUE"""),"Wulan")</f>
        <v>Wulan</v>
      </c>
      <c r="T47" s="285" t="str">
        <f>IFERROR(__xludf.DUMMYFUNCTION("""COMPUTED_VALUE"""),"081199348")</f>
        <v>081199348</v>
      </c>
      <c r="U47" s="285" t="str">
        <f>IFERROR(__xludf.DUMMYFUNCTION("""COMPUTED_VALUE"""),"Closing")</f>
        <v>Closing</v>
      </c>
      <c r="V47" s="285" t="str">
        <f>IFERROR(__xludf.DUMMYFUNCTION("""COMPUTED_VALUE"""),"3h2m custome")</f>
        <v>3h2m custome</v>
      </c>
      <c r="W47" s="287"/>
      <c r="X47" s="285">
        <f>IFERROR(__xludf.DUMMYFUNCTION("""COMPUTED_VALUE"""),4.0)</f>
        <v>4</v>
      </c>
      <c r="Y47" s="289">
        <f>IFERROR(__xludf.DUMMYFUNCTION("""COMPUTED_VALUE"""),5800000.0)</f>
        <v>5800000</v>
      </c>
      <c r="Z47" s="285" t="str">
        <f>IFERROR(__xludf.DUMMYFUNCTION("""COMPUTED_VALUE"""),"alhamdulillah order")</f>
        <v>alhamdulillah order</v>
      </c>
      <c r="AB47" s="285" t="str">
        <f>IFERROR(__xludf.DUMMYFUNCTION("""COMPUTED_VALUE"""),"2602H024")</f>
        <v>2602H024</v>
      </c>
      <c r="AC47" s="286">
        <f>IFERROR(__xludf.DUMMYFUNCTION("""COMPUTED_VALUE"""),46070.0)</f>
        <v>46070</v>
      </c>
      <c r="AD47" s="285" t="str">
        <f>IFERROR(__xludf.DUMMYFUNCTION("""COMPUTED_VALUE"""),"Retna")</f>
        <v>Retna</v>
      </c>
      <c r="AE47" s="285" t="str">
        <f>IFERROR(__xludf.DUMMYFUNCTION("""COMPUTED_VALUE"""),"081210704720")</f>
        <v>081210704720</v>
      </c>
      <c r="AF47" s="285" t="str">
        <f>IFERROR(__xludf.DUMMYFUNCTION("""COMPUTED_VALUE"""),"Gagal")</f>
        <v>Gagal</v>
      </c>
      <c r="AG47" s="285" t="str">
        <f>IFERROR(__xludf.DUMMYFUNCTION("""COMPUTED_VALUE"""),"3H2M")</f>
        <v>3H2M</v>
      </c>
      <c r="AH47" s="287">
        <f>IFERROR(__xludf.DUMMYFUNCTION("""COMPUTED_VALUE"""),46101.0)</f>
        <v>46101</v>
      </c>
      <c r="AI47" s="285">
        <f>IFERROR(__xludf.DUMMYFUNCTION("""COMPUTED_VALUE"""),5.0)</f>
        <v>5</v>
      </c>
      <c r="AJ47" s="289">
        <f>IFERROR(__xludf.DUMMYFUNCTION("""COMPUTED_VALUE"""),7000000.0)</f>
        <v>7000000</v>
      </c>
      <c r="AK47" s="285" t="str">
        <f>IFERROR(__xludf.DUMMYFUNCTION("""COMPUTED_VALUE"""),"gajadi full booked")</f>
        <v>gajadi full booked</v>
      </c>
    </row>
    <row r="48">
      <c r="F48" s="285" t="str">
        <f>IFERROR(__xludf.DUMMYFUNCTION("""COMPUTED_VALUE"""),"2604H059")</f>
        <v>2604H059</v>
      </c>
      <c r="G48" s="286">
        <f>IFERROR(__xludf.DUMMYFUNCTION("""COMPUTED_VALUE"""),46142.0)</f>
        <v>46142</v>
      </c>
      <c r="H48" s="285" t="str">
        <f>IFERROR(__xludf.DUMMYFUNCTION("""COMPUTED_VALUE"""),"Febri")</f>
        <v>Febri</v>
      </c>
      <c r="I48" s="285" t="str">
        <f>IFERROR(__xludf.DUMMYFUNCTION("""COMPUTED_VALUE"""),"088221153498")</f>
        <v>088221153498</v>
      </c>
      <c r="J48" s="285" t="str">
        <f>IFERROR(__xludf.DUMMYFUNCTION("""COMPUTED_VALUE"""),"Qualified")</f>
        <v>Qualified</v>
      </c>
      <c r="K48" s="285" t="str">
        <f>IFERROR(__xludf.DUMMYFUNCTION("""COMPUTED_VALUE"""),"full day ijen wurung baluran")</f>
        <v>full day ijen wurung baluran</v>
      </c>
      <c r="L48" s="287"/>
      <c r="M48" s="285">
        <f>IFERROR(__xludf.DUMMYFUNCTION("""COMPUTED_VALUE"""),3.0)</f>
        <v>3</v>
      </c>
      <c r="N48" s="289">
        <f>IFERROR(__xludf.DUMMYFUNCTION("""COMPUTED_VALUE"""),2106000.0)</f>
        <v>2106000</v>
      </c>
      <c r="O48" s="285" t="str">
        <f>IFERROR(__xludf.DUMMYFUNCTION("""COMPUTED_VALUE"""),"masih tanya2 open trip juga. fu 26 juni")</f>
        <v>masih tanya2 open trip juga. fu 26 juni</v>
      </c>
      <c r="Q48" s="285" t="str">
        <f>IFERROR(__xludf.DUMMYFUNCTION("""COMPUTED_VALUE"""),"2606H026")</f>
        <v>2606H026</v>
      </c>
      <c r="R48" s="286">
        <f>IFERROR(__xludf.DUMMYFUNCTION("""COMPUTED_VALUE"""),46187.0)</f>
        <v>46187</v>
      </c>
      <c r="S48" s="285" t="str">
        <f>IFERROR(__xludf.DUMMYFUNCTION("""COMPUTED_VALUE"""),"Ita Qurotul")</f>
        <v>Ita Qurotul</v>
      </c>
      <c r="T48" s="285" t="str">
        <f>IFERROR(__xludf.DUMMYFUNCTION("""COMPUTED_VALUE"""),"085730728356")</f>
        <v>085730728356</v>
      </c>
      <c r="U48" s="285" t="str">
        <f>IFERROR(__xludf.DUMMYFUNCTION("""COMPUTED_VALUE"""),"Closing")</f>
        <v>Closing</v>
      </c>
      <c r="V48" s="285" t="str">
        <f>IFERROR(__xludf.DUMMYFUNCTION("""COMPUTED_VALUE"""),"1d green island")</f>
        <v>1d green island</v>
      </c>
      <c r="W48" s="287">
        <f>IFERROR(__xludf.DUMMYFUNCTION("""COMPUTED_VALUE"""),46203.0)</f>
        <v>46203</v>
      </c>
      <c r="X48" s="285">
        <f>IFERROR(__xludf.DUMMYFUNCTION("""COMPUTED_VALUE"""),2.0)</f>
        <v>2</v>
      </c>
      <c r="Y48" s="289">
        <f>IFERROR(__xludf.DUMMYFUNCTION("""COMPUTED_VALUE"""),2016000.0)</f>
        <v>2016000</v>
      </c>
      <c r="Z48" s="285" t="str">
        <f>IFERROR(__xludf.DUMMYFUNCTION("""COMPUTED_VALUE"""),"Alhamdulillah closing")</f>
        <v>Alhamdulillah closing</v>
      </c>
      <c r="AB48" s="285" t="str">
        <f>IFERROR(__xludf.DUMMYFUNCTION("""COMPUTED_VALUE"""),"2602H025")</f>
        <v>2602H025</v>
      </c>
      <c r="AC48" s="286">
        <f>IFERROR(__xludf.DUMMYFUNCTION("""COMPUTED_VALUE"""),46071.0)</f>
        <v>46071</v>
      </c>
      <c r="AD48" s="285" t="str">
        <f>IFERROR(__xludf.DUMMYFUNCTION("""COMPUTED_VALUE"""),"Tanpa nama 3")</f>
        <v>Tanpa nama 3</v>
      </c>
      <c r="AE48" s="285" t="str">
        <f>IFERROR(__xludf.DUMMYFUNCTION("""COMPUTED_VALUE"""),"087789300092")</f>
        <v>087789300092</v>
      </c>
      <c r="AF48" s="285" t="str">
        <f>IFERROR(__xludf.DUMMYFUNCTION("""COMPUTED_VALUE"""),"Gagal")</f>
        <v>Gagal</v>
      </c>
      <c r="AG48" s="285"/>
      <c r="AH48" s="287"/>
      <c r="AI48" s="285"/>
      <c r="AJ48" s="289"/>
      <c r="AK48" s="285" t="str">
        <f>IFERROR(__xludf.DUMMYFUNCTION("""COMPUTED_VALUE"""),"menyapa saja")</f>
        <v>menyapa saja</v>
      </c>
    </row>
    <row r="49">
      <c r="F49" s="285" t="str">
        <f>IFERROR(__xludf.DUMMYFUNCTION("""COMPUTED_VALUE"""),"2605H002")</f>
        <v>2605H002</v>
      </c>
      <c r="G49" s="286">
        <f>IFERROR(__xludf.DUMMYFUNCTION("""COMPUTED_VALUE"""),46143.0)</f>
        <v>46143</v>
      </c>
      <c r="H49" s="285" t="str">
        <f>IFERROR(__xludf.DUMMYFUNCTION("""COMPUTED_VALUE"""),"Widya")</f>
        <v>Widya</v>
      </c>
      <c r="I49" s="285" t="str">
        <f>IFERROR(__xludf.DUMMYFUNCTION("""COMPUTED_VALUE"""),"085706144955")</f>
        <v>085706144955</v>
      </c>
      <c r="J49" s="285" t="str">
        <f>IFERROR(__xludf.DUMMYFUNCTION("""COMPUTED_VALUE"""),"Qualified")</f>
        <v>Qualified</v>
      </c>
      <c r="K49" s="285" t="str">
        <f>IFERROR(__xludf.DUMMYFUNCTION("""COMPUTED_VALUE"""),"OT Green Island")</f>
        <v>OT Green Island</v>
      </c>
      <c r="L49" s="287"/>
      <c r="M49" s="285"/>
      <c r="N49" s="289"/>
      <c r="O49" s="285" t="str">
        <f>IFERROR(__xludf.DUMMYFUNCTION("""COMPUTED_VALUE"""),"fu 19 juni")</f>
        <v>fu 19 juni</v>
      </c>
      <c r="Q49" s="285" t="str">
        <f>IFERROR(__xludf.DUMMYFUNCTION("""COMPUTED_VALUE"""),"2606H041")</f>
        <v>2606H041</v>
      </c>
      <c r="R49" s="286">
        <f>IFERROR(__xludf.DUMMYFUNCTION("""COMPUTED_VALUE"""),46192.0)</f>
        <v>46192</v>
      </c>
      <c r="S49" s="285" t="str">
        <f>IFERROR(__xludf.DUMMYFUNCTION("""COMPUTED_VALUE"""),"Ana (Maisyafriana)")</f>
        <v>Ana (Maisyafriana)</v>
      </c>
      <c r="T49" s="285" t="str">
        <f>IFERROR(__xludf.DUMMYFUNCTION("""COMPUTED_VALUE"""),"0816599036")</f>
        <v>0816599036</v>
      </c>
      <c r="U49" s="285" t="str">
        <f>IFERROR(__xludf.DUMMYFUNCTION("""COMPUTED_VALUE"""),"Closing")</f>
        <v>Closing</v>
      </c>
      <c r="V49" s="285" t="str">
        <f>IFERROR(__xludf.DUMMYFUNCTION("""COMPUTED_VALUE"""),"ot 3h2m")</f>
        <v>ot 3h2m</v>
      </c>
      <c r="W49" s="287">
        <f>IFERROR(__xludf.DUMMYFUNCTION("""COMPUTED_VALUE"""),46197.0)</f>
        <v>46197</v>
      </c>
      <c r="X49" s="285">
        <f>IFERROR(__xludf.DUMMYFUNCTION("""COMPUTED_VALUE"""),2.0)</f>
        <v>2</v>
      </c>
      <c r="Y49" s="289">
        <f>IFERROR(__xludf.DUMMYFUNCTION("""COMPUTED_VALUE"""),3200000.0)</f>
        <v>3200000</v>
      </c>
      <c r="Z49" s="285" t="str">
        <f>IFERROR(__xludf.DUMMYFUNCTION("""COMPUTED_VALUE"""),"alhamdulillah orrdeerr")</f>
        <v>alhamdulillah orrdeerr</v>
      </c>
      <c r="AB49" s="285" t="str">
        <f>IFERROR(__xludf.DUMMYFUNCTION("""COMPUTED_VALUE"""),"2602H027")</f>
        <v>2602H027</v>
      </c>
      <c r="AC49" s="286">
        <f>IFERROR(__xludf.DUMMYFUNCTION("""COMPUTED_VALUE"""),46072.0)</f>
        <v>46072</v>
      </c>
      <c r="AD49" s="285" t="str">
        <f>IFERROR(__xludf.DUMMYFUNCTION("""COMPUTED_VALUE"""),"Deti")</f>
        <v>Deti</v>
      </c>
      <c r="AE49" s="285" t="str">
        <f>IFERROR(__xludf.DUMMYFUNCTION("""COMPUTED_VALUE"""),"081318771766")</f>
        <v>081318771766</v>
      </c>
      <c r="AF49" s="285" t="str">
        <f>IFERROR(__xludf.DUMMYFUNCTION("""COMPUTED_VALUE"""),"Gagal")</f>
        <v>Gagal</v>
      </c>
      <c r="AG49" s="285" t="str">
        <f>IFERROR(__xludf.DUMMYFUNCTION("""COMPUTED_VALUE"""),"3H2M")</f>
        <v>3H2M</v>
      </c>
      <c r="AH49" s="287"/>
      <c r="AI49" s="285"/>
      <c r="AJ49" s="289"/>
      <c r="AK49" s="285" t="str">
        <f>IFERROR(__xludf.DUMMYFUNCTION("""COMPUTED_VALUE"""),"last fu 11 april, tidak ada jawaban, sdh di fu")</f>
        <v>last fu 11 april, tidak ada jawaban, sdh di fu</v>
      </c>
    </row>
    <row r="50">
      <c r="F50" s="285" t="str">
        <f>IFERROR(__xludf.DUMMYFUNCTION("""COMPUTED_VALUE"""),"2605H008")</f>
        <v>2605H008</v>
      </c>
      <c r="G50" s="286">
        <f>IFERROR(__xludf.DUMMYFUNCTION("""COMPUTED_VALUE"""),46154.0)</f>
        <v>46154</v>
      </c>
      <c r="H50" s="285" t="str">
        <f>IFERROR(__xludf.DUMMYFUNCTION("""COMPUTED_VALUE"""),"cy ncy")</f>
        <v>cy ncy</v>
      </c>
      <c r="I50" s="285" t="str">
        <f>IFERROR(__xludf.DUMMYFUNCTION("""COMPUTED_VALUE"""),"082124589606")</f>
        <v>082124589606</v>
      </c>
      <c r="J50" s="285" t="str">
        <f>IFERROR(__xludf.DUMMYFUNCTION("""COMPUTED_VALUE"""),"Qualified")</f>
        <v>Qualified</v>
      </c>
      <c r="K50" s="285" t="str">
        <f>IFERROR(__xludf.DUMMYFUNCTION("""COMPUTED_VALUE"""),"3h2m")</f>
        <v>3h2m</v>
      </c>
      <c r="L50" s="287"/>
      <c r="M50" s="285">
        <f>IFERROR(__xludf.DUMMYFUNCTION("""COMPUTED_VALUE"""),30.0)</f>
        <v>30</v>
      </c>
      <c r="N50" s="289">
        <f>IFERROR(__xludf.DUMMYFUNCTION("""COMPUTED_VALUE"""),5.175E7)</f>
        <v>51750000</v>
      </c>
      <c r="O50" s="285" t="str">
        <f>IFERROR(__xludf.DUMMYFUNCTION("""COMPUTED_VALUE"""),"fu 26 Juni")</f>
        <v>fu 26 Juni</v>
      </c>
      <c r="Q50" s="285" t="str">
        <f>IFERROR(__xludf.DUMMYFUNCTION("""COMPUTED_VALUE"""),"2606H046")</f>
        <v>2606H046</v>
      </c>
      <c r="R50" s="286">
        <f>IFERROR(__xludf.DUMMYFUNCTION("""COMPUTED_VALUE"""),46194.0)</f>
        <v>46194</v>
      </c>
      <c r="S50" s="285" t="str">
        <f>IFERROR(__xludf.DUMMYFUNCTION("""COMPUTED_VALUE"""),"Febi")</f>
        <v>Febi</v>
      </c>
      <c r="T50" s="285" t="str">
        <f>IFERROR(__xludf.DUMMYFUNCTION("""COMPUTED_VALUE"""),"08128530835")</f>
        <v>08128530835</v>
      </c>
      <c r="U50" s="285" t="str">
        <f>IFERROR(__xludf.DUMMYFUNCTION("""COMPUTED_VALUE"""),"Closing")</f>
        <v>Closing</v>
      </c>
      <c r="V50" s="285" t="str">
        <f>IFERROR(__xludf.DUMMYFUNCTION("""COMPUTED_VALUE"""),"private ijen &amp; baluran")</f>
        <v>private ijen &amp; baluran</v>
      </c>
      <c r="W50" s="287">
        <f>IFERROR(__xludf.DUMMYFUNCTION("""COMPUTED_VALUE"""),46203.0)</f>
        <v>46203</v>
      </c>
      <c r="X50" s="285">
        <f>IFERROR(__xludf.DUMMYFUNCTION("""COMPUTED_VALUE"""),3.0)</f>
        <v>3</v>
      </c>
      <c r="Y50" s="289">
        <f>IFERROR(__xludf.DUMMYFUNCTION("""COMPUTED_VALUE"""),2157000.0)</f>
        <v>2157000</v>
      </c>
      <c r="Z50" s="285" t="str">
        <f>IFERROR(__xludf.DUMMYFUNCTION("""COMPUTED_VALUE"""),"Alhamdulillah closing")</f>
        <v>Alhamdulillah closing</v>
      </c>
      <c r="AB50" s="285" t="str">
        <f>IFERROR(__xludf.DUMMYFUNCTION("""COMPUTED_VALUE"""),"2602H029")</f>
        <v>2602H029</v>
      </c>
      <c r="AC50" s="286">
        <f>IFERROR(__xludf.DUMMYFUNCTION("""COMPUTED_VALUE"""),46073.0)</f>
        <v>46073</v>
      </c>
      <c r="AD50" s="285" t="str">
        <f>IFERROR(__xludf.DUMMYFUNCTION("""COMPUTED_VALUE"""),"Adriana")</f>
        <v>Adriana</v>
      </c>
      <c r="AE50" s="285" t="str">
        <f>IFERROR(__xludf.DUMMYFUNCTION("""COMPUTED_VALUE"""),"08128767915")</f>
        <v>08128767915</v>
      </c>
      <c r="AF50" s="285" t="str">
        <f>IFERROR(__xludf.DUMMYFUNCTION("""COMPUTED_VALUE"""),"Gagal")</f>
        <v>Gagal</v>
      </c>
      <c r="AG50" s="285" t="str">
        <f>IFERROR(__xludf.DUMMYFUNCTION("""COMPUTED_VALUE"""),"                                                                                           ")</f>
        <v>                                                                                           </v>
      </c>
      <c r="AH50" s="287"/>
      <c r="AI50" s="285">
        <f>IFERROR(__xludf.DUMMYFUNCTION("""COMPUTED_VALUE"""),25.0)</f>
        <v>25</v>
      </c>
      <c r="AJ50" s="289">
        <f>IFERROR(__xludf.DUMMYFUNCTION("""COMPUTED_VALUE"""),1.0562E7)</f>
        <v>10562000</v>
      </c>
      <c r="AK50" s="285" t="str">
        <f>IFERROR(__xludf.DUMMYFUNCTION("""COMPUTED_VALUE"""),"anggota blm mau")</f>
        <v>anggota blm mau</v>
      </c>
    </row>
    <row r="51">
      <c r="F51" s="285" t="str">
        <f>IFERROR(__xludf.DUMMYFUNCTION("""COMPUTED_VALUE"""),"2605H010")</f>
        <v>2605H010</v>
      </c>
      <c r="G51" s="286">
        <f>IFERROR(__xludf.DUMMYFUNCTION("""COMPUTED_VALUE"""),46154.0)</f>
        <v>46154</v>
      </c>
      <c r="H51" s="285" t="str">
        <f>IFERROR(__xludf.DUMMYFUNCTION("""COMPUTED_VALUE"""),"Bayu (ikan)")</f>
        <v>Bayu (ikan)</v>
      </c>
      <c r="I51" s="285" t="str">
        <f>IFERROR(__xludf.DUMMYFUNCTION("""COMPUTED_VALUE"""),"085718258132")</f>
        <v>085718258132</v>
      </c>
      <c r="J51" s="285" t="str">
        <f>IFERROR(__xludf.DUMMYFUNCTION("""COMPUTED_VALUE"""),"Qualified")</f>
        <v>Qualified</v>
      </c>
      <c r="K51" s="285" t="str">
        <f>IFERROR(__xludf.DUMMYFUNCTION("""COMPUTED_VALUE"""),"3h2m b")</f>
        <v>3h2m b</v>
      </c>
      <c r="L51" s="287"/>
      <c r="M51" s="285">
        <f>IFERROR(__xludf.DUMMYFUNCTION("""COMPUTED_VALUE"""),2.0)</f>
        <v>2</v>
      </c>
      <c r="N51" s="289">
        <f>IFERROR(__xludf.DUMMYFUNCTION("""COMPUTED_VALUE"""),5664000.0)</f>
        <v>5664000</v>
      </c>
      <c r="O51" s="285" t="str">
        <f>IFERROR(__xludf.DUMMYFUNCTION("""COMPUTED_VALUE"""),"fu 18 juni")</f>
        <v>fu 18 juni</v>
      </c>
      <c r="Q51" s="285" t="str">
        <f>IFERROR(__xludf.DUMMYFUNCTION("""COMPUTED_VALUE"""),"2606H051")</f>
        <v>2606H051</v>
      </c>
      <c r="R51" s="286">
        <f>IFERROR(__xludf.DUMMYFUNCTION("""COMPUTED_VALUE"""),46196.0)</f>
        <v>46196</v>
      </c>
      <c r="S51" s="285" t="str">
        <f>IFERROR(__xludf.DUMMYFUNCTION("""COMPUTED_VALUE"""),"Ramses")</f>
        <v>Ramses</v>
      </c>
      <c r="T51" s="285" t="str">
        <f>IFERROR(__xludf.DUMMYFUNCTION("""COMPUTED_VALUE"""),"081310272999")</f>
        <v>081310272999</v>
      </c>
      <c r="U51" s="285" t="str">
        <f>IFERROR(__xludf.DUMMYFUNCTION("""COMPUTED_VALUE"""),"Closing")</f>
        <v>Closing</v>
      </c>
      <c r="V51" s="285" t="str">
        <f>IFERROR(__xludf.DUMMYFUNCTION("""COMPUTED_VALUE"""),"private ijen")</f>
        <v>private ijen</v>
      </c>
      <c r="W51" s="287">
        <f>IFERROR(__xludf.DUMMYFUNCTION("""COMPUTED_VALUE"""),46198.0)</f>
        <v>46198</v>
      </c>
      <c r="X51" s="285">
        <f>IFERROR(__xludf.DUMMYFUNCTION("""COMPUTED_VALUE"""),5.0)</f>
        <v>5</v>
      </c>
      <c r="Y51" s="289">
        <f>IFERROR(__xludf.DUMMYFUNCTION("""COMPUTED_VALUE"""),1470000.0)</f>
        <v>1470000</v>
      </c>
      <c r="Z51" s="285" t="str">
        <f>IFERROR(__xludf.DUMMYFUNCTION("""COMPUTED_VALUE"""),"Alhamdulillah closing")</f>
        <v>Alhamdulillah closing</v>
      </c>
      <c r="AB51" s="285" t="str">
        <f>IFERROR(__xludf.DUMMYFUNCTION("""COMPUTED_VALUE"""),"2602H030")</f>
        <v>2602H030</v>
      </c>
      <c r="AC51" s="286">
        <f>IFERROR(__xludf.DUMMYFUNCTION("""COMPUTED_VALUE"""),46073.0)</f>
        <v>46073</v>
      </c>
      <c r="AD51" s="285" t="str">
        <f>IFERROR(__xludf.DUMMYFUNCTION("""COMPUTED_VALUE"""),"KrismanD")</f>
        <v>KrismanD</v>
      </c>
      <c r="AE51" s="285" t="str">
        <f>IFERROR(__xludf.DUMMYFUNCTION("""COMPUTED_VALUE"""),"087877174256")</f>
        <v>087877174256</v>
      </c>
      <c r="AF51" s="285" t="str">
        <f>IFERROR(__xludf.DUMMYFUNCTION("""COMPUTED_VALUE"""),"Gagal")</f>
        <v>Gagal</v>
      </c>
      <c r="AG51" s="285" t="str">
        <f>IFERROR(__xludf.DUMMYFUNCTION("""COMPUTED_VALUE"""),"OT Ijen")</f>
        <v>OT Ijen</v>
      </c>
      <c r="AH51" s="287"/>
      <c r="AI51" s="285">
        <f>IFERROR(__xludf.DUMMYFUNCTION("""COMPUTED_VALUE"""),2.0)</f>
        <v>2</v>
      </c>
      <c r="AJ51" s="289">
        <f>IFERROR(__xludf.DUMMYFUNCTION("""COMPUTED_VALUE"""),590000.0)</f>
        <v>590000</v>
      </c>
      <c r="AK51" s="285" t="str">
        <f>IFERROR(__xludf.DUMMYFUNCTION("""COMPUTED_VALUE"""),"ada keponakan menikah, ditunda")</f>
        <v>ada keponakan menikah, ditunda</v>
      </c>
    </row>
    <row r="52">
      <c r="F52" s="285" t="str">
        <f>IFERROR(__xludf.DUMMYFUNCTION("""COMPUTED_VALUE"""),"2605H021")</f>
        <v>2605H021</v>
      </c>
      <c r="G52" s="286">
        <f>IFERROR(__xludf.DUMMYFUNCTION("""COMPUTED_VALUE"""),46156.0)</f>
        <v>46156</v>
      </c>
      <c r="H52" s="285" t="str">
        <f>IFERROR(__xludf.DUMMYFUNCTION("""COMPUTED_VALUE"""),"Henda M E")</f>
        <v>Henda M E</v>
      </c>
      <c r="I52" s="285" t="str">
        <f>IFERROR(__xludf.DUMMYFUNCTION("""COMPUTED_VALUE"""),"081290016726")</f>
        <v>081290016726</v>
      </c>
      <c r="J52" s="285" t="str">
        <f>IFERROR(__xludf.DUMMYFUNCTION("""COMPUTED_VALUE"""),"Qualified")</f>
        <v>Qualified</v>
      </c>
      <c r="K52" s="285" t="str">
        <f>IFERROR(__xludf.DUMMYFUNCTION("""COMPUTED_VALUE"""),"2h1m opsi c + ijen")</f>
        <v>2h1m opsi c + ijen</v>
      </c>
      <c r="L52" s="287"/>
      <c r="M52" s="285">
        <f>IFERROR(__xludf.DUMMYFUNCTION("""COMPUTED_VALUE"""),6.0)</f>
        <v>6</v>
      </c>
      <c r="N52" s="289">
        <f>IFERROR(__xludf.DUMMYFUNCTION("""COMPUTED_VALUE"""),7380000.0)</f>
        <v>7380000</v>
      </c>
      <c r="O52" s="285" t="str">
        <f>IFERROR(__xludf.DUMMYFUNCTION("""COMPUTED_VALUE"""),"fu 18 juni")</f>
        <v>fu 18 juni</v>
      </c>
      <c r="Q52" s="285" t="str">
        <f>IFERROR(__xludf.DUMMYFUNCTION("""COMPUTED_VALUE"""),"2606H062")</f>
        <v>2606H062</v>
      </c>
      <c r="R52" s="286">
        <f>IFERROR(__xludf.DUMMYFUNCTION("""COMPUTED_VALUE"""),46198.0)</f>
        <v>46198</v>
      </c>
      <c r="S52" s="285" t="str">
        <f>IFERROR(__xludf.DUMMYFUNCTION("""COMPUTED_VALUE"""),"Puji Laksono Saudi")</f>
        <v>Puji Laksono Saudi</v>
      </c>
      <c r="T52" s="285" t="str">
        <f>IFERROR(__xludf.DUMMYFUNCTION("""COMPUTED_VALUE"""),"966 50 513 2279")</f>
        <v>966 50 513 2279</v>
      </c>
      <c r="U52" s="285" t="str">
        <f>IFERROR(__xludf.DUMMYFUNCTION("""COMPUTED_VALUE"""),"Closing")</f>
        <v>Closing</v>
      </c>
      <c r="V52" s="285" t="str">
        <f>IFERROR(__xludf.DUMMYFUNCTION("""COMPUTED_VALUE"""),"mt")</f>
        <v>mt</v>
      </c>
      <c r="W52" s="287"/>
      <c r="X52" s="285"/>
      <c r="Y52" s="289"/>
      <c r="Z52" s="285"/>
      <c r="AB52" s="285" t="str">
        <f>IFERROR(__xludf.DUMMYFUNCTION("""COMPUTED_VALUE"""),"2602H031")</f>
        <v>2602H031</v>
      </c>
      <c r="AC52" s="286">
        <f>IFERROR(__xludf.DUMMYFUNCTION("""COMPUTED_VALUE"""),46074.0)</f>
        <v>46074</v>
      </c>
      <c r="AD52" s="285" t="str">
        <f>IFERROR(__xludf.DUMMYFUNCTION("""COMPUTED_VALUE"""),"Endah Yuliany")</f>
        <v>Endah Yuliany</v>
      </c>
      <c r="AE52" s="285" t="str">
        <f>IFERROR(__xludf.DUMMYFUNCTION("""COMPUTED_VALUE"""),"08995550168")</f>
        <v>08995550168</v>
      </c>
      <c r="AF52" s="285" t="str">
        <f>IFERROR(__xludf.DUMMYFUNCTION("""COMPUTED_VALUE"""),"Gagal")</f>
        <v>Gagal</v>
      </c>
      <c r="AG52" s="285" t="str">
        <f>IFERROR(__xludf.DUMMYFUNCTION("""COMPUTED_VALUE"""),"custom 3H2M")</f>
        <v>custom 3H2M</v>
      </c>
      <c r="AH52" s="287"/>
      <c r="AI52" s="285">
        <f>IFERROR(__xludf.DUMMYFUNCTION("""COMPUTED_VALUE"""),3.0)</f>
        <v>3</v>
      </c>
      <c r="AJ52" s="289">
        <f>IFERROR(__xludf.DUMMYFUNCTION("""COMPUTED_VALUE"""),5700000.0)</f>
        <v>5700000</v>
      </c>
      <c r="AK52" s="285" t="str">
        <f>IFERROR(__xludf.DUMMYFUNCTION("""COMPUTED_VALUE"""),"kalau trip jadi akan dihubungi kembali ")</f>
        <v>kalau trip jadi akan dihubungi kembali </v>
      </c>
    </row>
    <row r="53">
      <c r="F53" s="285" t="str">
        <f>IFERROR(__xludf.DUMMYFUNCTION("""COMPUTED_VALUE"""),"2605H025")</f>
        <v>2605H025</v>
      </c>
      <c r="G53" s="286">
        <f>IFERROR(__xludf.DUMMYFUNCTION("""COMPUTED_VALUE"""),46158.0)</f>
        <v>46158</v>
      </c>
      <c r="H53" s="285" t="str">
        <f>IFERROR(__xludf.DUMMYFUNCTION("""COMPUTED_VALUE"""),"Emil")</f>
        <v>Emil</v>
      </c>
      <c r="I53" s="285" t="str">
        <f>IFERROR(__xludf.DUMMYFUNCTION("""COMPUTED_VALUE"""),"082299201440")</f>
        <v>082299201440</v>
      </c>
      <c r="J53" s="285" t="str">
        <f>IFERROR(__xludf.DUMMYFUNCTION("""COMPUTED_VALUE"""),"Qualified")</f>
        <v>Qualified</v>
      </c>
      <c r="K53" s="285" t="str">
        <f>IFERROR(__xludf.DUMMYFUNCTION("""COMPUTED_VALUE"""),"3h2m")</f>
        <v>3h2m</v>
      </c>
      <c r="L53" s="287"/>
      <c r="M53" s="285">
        <f>IFERROR(__xludf.DUMMYFUNCTION("""COMPUTED_VALUE"""),6.0)</f>
        <v>6</v>
      </c>
      <c r="N53" s="289">
        <f>IFERROR(__xludf.DUMMYFUNCTION("""COMPUTED_VALUE"""),9672000.0)</f>
        <v>9672000</v>
      </c>
      <c r="O53" s="285" t="str">
        <f>IFERROR(__xludf.DUMMYFUNCTION("""COMPUTED_VALUE"""),"masih belum ada balasan. fu 25 juli")</f>
        <v>masih belum ada balasan. fu 25 juli</v>
      </c>
      <c r="Q53" s="285" t="str">
        <f>IFERROR(__xludf.DUMMYFUNCTION("""COMPUTED_VALUE"""),"2607H005")</f>
        <v>2607H005</v>
      </c>
      <c r="R53" s="286">
        <f>IFERROR(__xludf.DUMMYFUNCTION("""COMPUTED_VALUE"""),46204.0)</f>
        <v>46204</v>
      </c>
      <c r="S53" s="285" t="str">
        <f>IFERROR(__xludf.DUMMYFUNCTION("""COMPUTED_VALUE"""),"Rina")</f>
        <v>Rina</v>
      </c>
      <c r="T53" s="285" t="str">
        <f>IFERROR(__xludf.DUMMYFUNCTION("""COMPUTED_VALUE"""),"0818127306")</f>
        <v>0818127306</v>
      </c>
      <c r="U53" s="285" t="str">
        <f>IFERROR(__xludf.DUMMYFUNCTION("""COMPUTED_VALUE"""),"Closing")</f>
        <v>Closing</v>
      </c>
      <c r="V53" s="285" t="str">
        <f>IFERROR(__xludf.DUMMYFUNCTION("""COMPUTED_VALUE"""),"5h4m")</f>
        <v>5h4m</v>
      </c>
      <c r="W53" s="287"/>
      <c r="X53" s="285">
        <f>IFERROR(__xludf.DUMMYFUNCTION("""COMPUTED_VALUE"""),4.0)</f>
        <v>4</v>
      </c>
      <c r="Y53" s="289"/>
      <c r="Z53" s="285" t="str">
        <f>IFERROR(__xludf.DUMMYFUNCTION("""COMPUTED_VALUE"""),"alhamdulillah closing")</f>
        <v>alhamdulillah closing</v>
      </c>
      <c r="AB53" s="285" t="str">
        <f>IFERROR(__xludf.DUMMYFUNCTION("""COMPUTED_VALUE"""),"2602H032")</f>
        <v>2602H032</v>
      </c>
      <c r="AC53" s="286">
        <f>IFERROR(__xludf.DUMMYFUNCTION("""COMPUTED_VALUE"""),46074.0)</f>
        <v>46074</v>
      </c>
      <c r="AD53" s="285" t="str">
        <f>IFERROR(__xludf.DUMMYFUNCTION("""COMPUTED_VALUE"""),"Lia")</f>
        <v>Lia</v>
      </c>
      <c r="AE53" s="285" t="str">
        <f>IFERROR(__xludf.DUMMYFUNCTION("""COMPUTED_VALUE"""),"081218137992")</f>
        <v>081218137992</v>
      </c>
      <c r="AF53" s="285" t="str">
        <f>IFERROR(__xludf.DUMMYFUNCTION("""COMPUTED_VALUE"""),"Gagal")</f>
        <v>Gagal</v>
      </c>
      <c r="AG53" s="285" t="str">
        <f>IFERROR(__xludf.DUMMYFUNCTION("""COMPUTED_VALUE"""),"4H3M")</f>
        <v>4H3M</v>
      </c>
      <c r="AH53" s="287"/>
      <c r="AI53" s="285">
        <f>IFERROR(__xludf.DUMMYFUNCTION("""COMPUTED_VALUE"""),4.0)</f>
        <v>4</v>
      </c>
      <c r="AJ53" s="289">
        <f>IFERROR(__xludf.DUMMYFUNCTION("""COMPUTED_VALUE"""),1.4204E7)</f>
        <v>14204000</v>
      </c>
      <c r="AK53" s="285" t="str">
        <f>IFERROR(__xludf.DUMMYFUNCTION("""COMPUTED_VALUE"""),"penuh cari tiket dll, pending ke banyuwangi, gagal")</f>
        <v>penuh cari tiket dll, pending ke banyuwangi, gagal</v>
      </c>
    </row>
    <row r="54">
      <c r="F54" s="285" t="str">
        <f>IFERROR(__xludf.DUMMYFUNCTION("""COMPUTED_VALUE"""),"2605H041")</f>
        <v>2605H041</v>
      </c>
      <c r="G54" s="286">
        <f>IFERROR(__xludf.DUMMYFUNCTION("""COMPUTED_VALUE"""),46164.0)</f>
        <v>46164</v>
      </c>
      <c r="H54" s="285" t="str">
        <f>IFERROR(__xludf.DUMMYFUNCTION("""COMPUTED_VALUE"""),"Indriana")</f>
        <v>Indriana</v>
      </c>
      <c r="I54" s="285" t="str">
        <f>IFERROR(__xludf.DUMMYFUNCTION("""COMPUTED_VALUE"""),"087875147180")</f>
        <v>087875147180</v>
      </c>
      <c r="J54" s="285" t="str">
        <f>IFERROR(__xludf.DUMMYFUNCTION("""COMPUTED_VALUE"""),"Qualified")</f>
        <v>Qualified</v>
      </c>
      <c r="K54" s="285" t="str">
        <f>IFERROR(__xludf.DUMMYFUNCTION("""COMPUTED_VALUE"""),"baluran")</f>
        <v>baluran</v>
      </c>
      <c r="L54" s="287">
        <f>IFERROR(__xludf.DUMMYFUNCTION("""COMPUTED_VALUE"""),46204.0)</f>
        <v>46204</v>
      </c>
      <c r="M54" s="285">
        <f>IFERROR(__xludf.DUMMYFUNCTION("""COMPUTED_VALUE"""),2.0)</f>
        <v>2</v>
      </c>
      <c r="N54" s="289">
        <f>IFERROR(__xludf.DUMMYFUNCTION("""COMPUTED_VALUE"""),1550000.0)</f>
        <v>1550000</v>
      </c>
      <c r="O54" s="285" t="str">
        <f>IFERROR(__xludf.DUMMYFUNCTION("""COMPUTED_VALUE"""),"fu 20 juni")</f>
        <v>fu 20 juni</v>
      </c>
      <c r="Q54" s="285" t="str">
        <f>IFERROR(__xludf.DUMMYFUNCTION("""COMPUTED_VALUE"""),"2607H006")</f>
        <v>2607H006</v>
      </c>
      <c r="R54" s="286">
        <f>IFERROR(__xludf.DUMMYFUNCTION("""COMPUTED_VALUE"""),46204.0)</f>
        <v>46204</v>
      </c>
      <c r="S54" s="285" t="str">
        <f>IFERROR(__xludf.DUMMYFUNCTION("""COMPUTED_VALUE"""),"Vero")</f>
        <v>Vero</v>
      </c>
      <c r="T54" s="285" t="str">
        <f>IFERROR(__xludf.DUMMYFUNCTION("""COMPUTED_VALUE"""),"08558899111")</f>
        <v>08558899111</v>
      </c>
      <c r="U54" s="285" t="str">
        <f>IFERROR(__xludf.DUMMYFUNCTION("""COMPUTED_VALUE"""),"Closing")</f>
        <v>Closing</v>
      </c>
      <c r="V54" s="285" t="str">
        <f>IFERROR(__xludf.DUMMYFUNCTION("""COMPUTED_VALUE"""),"3H2M")</f>
        <v>3H2M</v>
      </c>
      <c r="W54" s="287"/>
      <c r="X54" s="285"/>
      <c r="Y54" s="289"/>
      <c r="Z54" s="285" t="str">
        <f>IFERROR(__xludf.DUMMYFUNCTION("""COMPUTED_VALUE"""),"alhamdulillah closing")</f>
        <v>alhamdulillah closing</v>
      </c>
      <c r="AB54" s="285" t="str">
        <f>IFERROR(__xludf.DUMMYFUNCTION("""COMPUTED_VALUE"""),"2602H033")</f>
        <v>2602H033</v>
      </c>
      <c r="AC54" s="286">
        <f>IFERROR(__xludf.DUMMYFUNCTION("""COMPUTED_VALUE"""),46074.0)</f>
        <v>46074</v>
      </c>
      <c r="AD54" s="285" t="str">
        <f>IFERROR(__xludf.DUMMYFUNCTION("""COMPUTED_VALUE"""),"Rizki")</f>
        <v>Rizki</v>
      </c>
      <c r="AE54" s="285" t="str">
        <f>IFERROR(__xludf.DUMMYFUNCTION("""COMPUTED_VALUE"""),"081138884333")</f>
        <v>081138884333</v>
      </c>
      <c r="AF54" s="285" t="str">
        <f>IFERROR(__xludf.DUMMYFUNCTION("""COMPUTED_VALUE"""),"Gagal")</f>
        <v>Gagal</v>
      </c>
      <c r="AG54" s="285" t="str">
        <f>IFERROR(__xludf.DUMMYFUNCTION("""COMPUTED_VALUE"""),"custom 2H1M")</f>
        <v>custom 2H1M</v>
      </c>
      <c r="AH54" s="287"/>
      <c r="AI54" s="285">
        <f>IFERROR(__xludf.DUMMYFUNCTION("""COMPUTED_VALUE"""),4.0)</f>
        <v>4</v>
      </c>
      <c r="AJ54" s="289">
        <f>IFERROR(__xludf.DUMMYFUNCTION("""COMPUTED_VALUE"""),8800000.0)</f>
        <v>8800000</v>
      </c>
      <c r="AK54" s="285" t="str">
        <f>IFERROR(__xludf.DUMMYFUNCTION("""COMPUTED_VALUE"""),"trip di tunda")</f>
        <v>trip di tunda</v>
      </c>
    </row>
    <row r="55">
      <c r="F55" s="285" t="str">
        <f>IFERROR(__xludf.DUMMYFUNCTION("""COMPUTED_VALUE"""),"2605H045")</f>
        <v>2605H045</v>
      </c>
      <c r="G55" s="286">
        <f>IFERROR(__xludf.DUMMYFUNCTION("""COMPUTED_VALUE"""),46166.0)</f>
        <v>46166</v>
      </c>
      <c r="H55" s="285" t="str">
        <f>IFERROR(__xludf.DUMMYFUNCTION("""COMPUTED_VALUE"""),"Elly/Mamah Fadil")</f>
        <v>Elly/Mamah Fadil</v>
      </c>
      <c r="I55" s="285" t="str">
        <f>IFERROR(__xludf.DUMMYFUNCTION("""COMPUTED_VALUE"""),"085924584545")</f>
        <v>085924584545</v>
      </c>
      <c r="J55" s="285" t="str">
        <f>IFERROR(__xludf.DUMMYFUNCTION("""COMPUTED_VALUE"""),"Qualified")</f>
        <v>Qualified</v>
      </c>
      <c r="K55" s="285" t="str">
        <f>IFERROR(__xludf.DUMMYFUNCTION("""COMPUTED_VALUE"""),"3h2m")</f>
        <v>3h2m</v>
      </c>
      <c r="L55" s="287">
        <f>IFERROR(__xludf.DUMMYFUNCTION("""COMPUTED_VALUE"""),46661.0)</f>
        <v>46661</v>
      </c>
      <c r="M55" s="285">
        <f>IFERROR(__xludf.DUMMYFUNCTION("""COMPUTED_VALUE"""),48.0)</f>
        <v>48</v>
      </c>
      <c r="N55" s="289">
        <f>IFERROR(__xludf.DUMMYFUNCTION("""COMPUTED_VALUE"""),8.88E7)</f>
        <v>88800000</v>
      </c>
      <c r="O55" s="285" t="str">
        <f>IFERROR(__xludf.DUMMYFUNCTION("""COMPUTED_VALUE"""),"fu 7 desember 2026")</f>
        <v>fu 7 desember 2026</v>
      </c>
      <c r="Q55" s="285" t="str">
        <f>IFERROR(__xludf.DUMMYFUNCTION("""COMPUTED_VALUE"""),"2607H008")</f>
        <v>2607H008</v>
      </c>
      <c r="R55" s="286">
        <f>IFERROR(__xludf.DUMMYFUNCTION("""COMPUTED_VALUE"""),46205.0)</f>
        <v>46205</v>
      </c>
      <c r="S55" s="285" t="str">
        <f>IFERROR(__xludf.DUMMYFUNCTION("""COMPUTED_VALUE"""),"qalbi mirxela")</f>
        <v>qalbi mirxela</v>
      </c>
      <c r="T55" s="285" t="str">
        <f>IFERROR(__xludf.DUMMYFUNCTION("""COMPUTED_VALUE"""),"087787401148")</f>
        <v>087787401148</v>
      </c>
      <c r="U55" s="285" t="str">
        <f>IFERROR(__xludf.DUMMYFUNCTION("""COMPUTED_VALUE"""),"Closing")</f>
        <v>Closing</v>
      </c>
      <c r="V55" s="285" t="str">
        <f>IFERROR(__xludf.DUMMYFUNCTION("""COMPUTED_VALUE"""),"3h2m")</f>
        <v>3h2m</v>
      </c>
      <c r="W55" s="287"/>
      <c r="X55" s="285">
        <f>IFERROR(__xludf.DUMMYFUNCTION("""COMPUTED_VALUE"""),4.0)</f>
        <v>4</v>
      </c>
      <c r="Y55" s="289">
        <f>IFERROR(__xludf.DUMMYFUNCTION("""COMPUTED_VALUE"""),6800000.0)</f>
        <v>6800000</v>
      </c>
      <c r="Z55" s="285" t="str">
        <f>IFERROR(__xludf.DUMMYFUNCTION("""COMPUTED_VALUE"""),"Alhamdulillah closing")</f>
        <v>Alhamdulillah closing</v>
      </c>
      <c r="AB55" s="285" t="str">
        <f>IFERROR(__xludf.DUMMYFUNCTION("""COMPUTED_VALUE"""),"2602H034")</f>
        <v>2602H034</v>
      </c>
      <c r="AC55" s="286">
        <f>IFERROR(__xludf.DUMMYFUNCTION("""COMPUTED_VALUE"""),46076.0)</f>
        <v>46076</v>
      </c>
      <c r="AD55" s="285" t="str">
        <f>IFERROR(__xludf.DUMMYFUNCTION("""COMPUTED_VALUE"""),"Yusuf ")</f>
        <v>Yusuf </v>
      </c>
      <c r="AE55" s="285" t="str">
        <f>IFERROR(__xludf.DUMMYFUNCTION("""COMPUTED_VALUE"""),"081213195404")</f>
        <v>081213195404</v>
      </c>
      <c r="AF55" s="285" t="str">
        <f>IFERROR(__xludf.DUMMYFUNCTION("""COMPUTED_VALUE"""),"Gagal")</f>
        <v>Gagal</v>
      </c>
      <c r="AG55" s="285" t="str">
        <f>IFERROR(__xludf.DUMMYFUNCTION("""COMPUTED_VALUE"""),"trip AP,B")</f>
        <v>trip AP,B</v>
      </c>
      <c r="AH55" s="287"/>
      <c r="AI55" s="285">
        <f>IFERROR(__xludf.DUMMYFUNCTION("""COMPUTED_VALUE"""),1.0)</f>
        <v>1</v>
      </c>
      <c r="AJ55" s="289">
        <f>IFERROR(__xludf.DUMMYFUNCTION("""COMPUTED_VALUE"""),1175000.0)</f>
        <v>1175000</v>
      </c>
      <c r="AK55" s="285" t="str">
        <f>IFERROR(__xludf.DUMMYFUNCTION("""COMPUTED_VALUE"""),"belum dapat cuti")</f>
        <v>belum dapat cuti</v>
      </c>
    </row>
    <row r="56">
      <c r="F56" s="285" t="str">
        <f>IFERROR(__xludf.DUMMYFUNCTION("""COMPUTED_VALUE"""),"2605H046")</f>
        <v>2605H046</v>
      </c>
      <c r="G56" s="286">
        <f>IFERROR(__xludf.DUMMYFUNCTION("""COMPUTED_VALUE"""),46167.0)</f>
        <v>46167</v>
      </c>
      <c r="H56" s="285" t="str">
        <f>IFERROR(__xludf.DUMMYFUNCTION("""COMPUTED_VALUE"""),"Iis Wasitoh")</f>
        <v>Iis Wasitoh</v>
      </c>
      <c r="I56" s="285" t="str">
        <f>IFERROR(__xludf.DUMMYFUNCTION("""COMPUTED_VALUE"""),"0811865752")</f>
        <v>0811865752</v>
      </c>
      <c r="J56" s="285" t="str">
        <f>IFERROR(__xludf.DUMMYFUNCTION("""COMPUTED_VALUE"""),"Qualified")</f>
        <v>Qualified</v>
      </c>
      <c r="K56" s="285" t="str">
        <f>IFERROR(__xludf.DUMMYFUNCTION("""COMPUTED_VALUE"""),"4h3m")</f>
        <v>4h3m</v>
      </c>
      <c r="L56" s="287"/>
      <c r="M56" s="285">
        <f>IFERROR(__xludf.DUMMYFUNCTION("""COMPUTED_VALUE"""),5.0)</f>
        <v>5</v>
      </c>
      <c r="N56" s="289">
        <f>IFERROR(__xludf.DUMMYFUNCTION("""COMPUTED_VALUE"""),1.125E7)</f>
        <v>11250000</v>
      </c>
      <c r="O56" s="285" t="str">
        <f>IFERROR(__xludf.DUMMYFUNCTION("""COMPUTED_VALUE"""),"fu 18 juni")</f>
        <v>fu 18 juni</v>
      </c>
      <c r="Q56" s="285" t="str">
        <f>IFERROR(__xludf.DUMMYFUNCTION("""COMPUTED_VALUE"""),"2607H011")</f>
        <v>2607H011</v>
      </c>
      <c r="R56" s="286">
        <f>IFERROR(__xludf.DUMMYFUNCTION("""COMPUTED_VALUE"""),46208.0)</f>
        <v>46208</v>
      </c>
      <c r="S56" s="285" t="str">
        <f>IFERROR(__xludf.DUMMYFUNCTION("""COMPUTED_VALUE"""),"Lisa Margareth")</f>
        <v>Lisa Margareth</v>
      </c>
      <c r="T56" s="285" t="str">
        <f>IFERROR(__xludf.DUMMYFUNCTION("""COMPUTED_VALUE"""),"081310905429")</f>
        <v>081310905429</v>
      </c>
      <c r="U56" s="285" t="str">
        <f>IFERROR(__xludf.DUMMYFUNCTION("""COMPUTED_VALUE"""),"Closing")</f>
        <v>Closing</v>
      </c>
      <c r="V56" s="285" t="str">
        <f>IFERROR(__xludf.DUMMYFUNCTION("""COMPUTED_VALUE"""),"2h1m custome")</f>
        <v>2h1m custome</v>
      </c>
      <c r="W56" s="287"/>
      <c r="X56" s="285">
        <f>IFERROR(__xludf.DUMMYFUNCTION("""COMPUTED_VALUE"""),5.0)</f>
        <v>5</v>
      </c>
      <c r="Y56" s="289">
        <f>IFERROR(__xludf.DUMMYFUNCTION("""COMPUTED_VALUE"""),4900000.0)</f>
        <v>4900000</v>
      </c>
      <c r="Z56" s="285" t="str">
        <f>IFERROR(__xludf.DUMMYFUNCTION("""COMPUTED_VALUE"""),"Alhamdulillah closing")</f>
        <v>Alhamdulillah closing</v>
      </c>
      <c r="AB56" s="285" t="str">
        <f>IFERROR(__xludf.DUMMYFUNCTION("""COMPUTED_VALUE"""),"2602H035")</f>
        <v>2602H035</v>
      </c>
      <c r="AC56" s="286">
        <f>IFERROR(__xludf.DUMMYFUNCTION("""COMPUTED_VALUE"""),46078.0)</f>
        <v>46078</v>
      </c>
      <c r="AD56" s="285" t="str">
        <f>IFERROR(__xludf.DUMMYFUNCTION("""COMPUTED_VALUE"""),"Kaluna ")</f>
        <v>Kaluna </v>
      </c>
      <c r="AE56" s="285" t="str">
        <f>IFERROR(__xludf.DUMMYFUNCTION("""COMPUTED_VALUE"""),"081511375046")</f>
        <v>081511375046</v>
      </c>
      <c r="AF56" s="285" t="str">
        <f>IFERROR(__xludf.DUMMYFUNCTION("""COMPUTED_VALUE"""),"Gagal")</f>
        <v>Gagal</v>
      </c>
      <c r="AG56" s="285"/>
      <c r="AH56" s="287"/>
      <c r="AI56" s="285"/>
      <c r="AJ56" s="289"/>
      <c r="AK56" s="285" t="str">
        <f>IFERROR(__xludf.DUMMYFUNCTION("""COMPUTED_VALUE"""),"hanya menyapa, tidak ada balasan ")</f>
        <v>hanya menyapa, tidak ada balasan </v>
      </c>
    </row>
    <row r="57">
      <c r="F57" s="285" t="str">
        <f>IFERROR(__xludf.DUMMYFUNCTION("""COMPUTED_VALUE"""),"2606H013")</f>
        <v>2606H013</v>
      </c>
      <c r="G57" s="286">
        <f>IFERROR(__xludf.DUMMYFUNCTION("""COMPUTED_VALUE"""),46182.0)</f>
        <v>46182</v>
      </c>
      <c r="H57" s="285" t="str">
        <f>IFERROR(__xludf.DUMMYFUNCTION("""COMPUTED_VALUE"""),"Evi (Netty)")</f>
        <v>Evi (Netty)</v>
      </c>
      <c r="I57" s="285" t="str">
        <f>IFERROR(__xludf.DUMMYFUNCTION("""COMPUTED_VALUE"""),"087825224105")</f>
        <v>087825224105</v>
      </c>
      <c r="J57" s="285" t="str">
        <f>IFERROR(__xludf.DUMMYFUNCTION("""COMPUTED_VALUE"""),"Qualified")</f>
        <v>Qualified</v>
      </c>
      <c r="K57" s="285" t="str">
        <f>IFERROR(__xludf.DUMMYFUNCTION("""COMPUTED_VALUE"""),"3h2m a")</f>
        <v>3h2m a</v>
      </c>
      <c r="L57" s="287">
        <f>IFERROR(__xludf.DUMMYFUNCTION("""COMPUTED_VALUE"""),46198.0)</f>
        <v>46198</v>
      </c>
      <c r="M57" s="285">
        <f>IFERROR(__xludf.DUMMYFUNCTION("""COMPUTED_VALUE"""),8.0)</f>
        <v>8</v>
      </c>
      <c r="N57" s="289">
        <f>IFERROR(__xludf.DUMMYFUNCTION("""COMPUTED_VALUE"""),1.084E7)</f>
        <v>10840000</v>
      </c>
      <c r="O57" s="285" t="str">
        <f>IFERROR(__xludf.DUMMYFUNCTION("""COMPUTED_VALUE"""),"FU 21 JUNI")</f>
        <v>FU 21 JUNI</v>
      </c>
      <c r="Q57" s="285" t="str">
        <f>IFERROR(__xludf.DUMMYFUNCTION("""COMPUTED_VALUE"""),"2607H013")</f>
        <v>2607H013</v>
      </c>
      <c r="R57" s="286">
        <f>IFERROR(__xludf.DUMMYFUNCTION("""COMPUTED_VALUE"""),46208.0)</f>
        <v>46208</v>
      </c>
      <c r="S57" s="285" t="str">
        <f>IFERROR(__xludf.DUMMYFUNCTION("""COMPUTED_VALUE"""),"lala")</f>
        <v>lala</v>
      </c>
      <c r="T57" s="285" t="str">
        <f>IFERROR(__xludf.DUMMYFUNCTION("""COMPUTED_VALUE"""),"081387759309")</f>
        <v>081387759309</v>
      </c>
      <c r="U57" s="285" t="str">
        <f>IFERROR(__xludf.DUMMYFUNCTION("""COMPUTED_VALUE"""),"Closing")</f>
        <v>Closing</v>
      </c>
      <c r="V57" s="285" t="str">
        <f>IFERROR(__xludf.DUMMYFUNCTION("""COMPUTED_VALUE"""),"2H1M")</f>
        <v>2H1M</v>
      </c>
      <c r="W57" s="287"/>
      <c r="X57" s="285">
        <f>IFERROR(__xludf.DUMMYFUNCTION("""COMPUTED_VALUE"""),4.0)</f>
        <v>4</v>
      </c>
      <c r="Y57" s="289">
        <f>IFERROR(__xludf.DUMMYFUNCTION("""COMPUTED_VALUE"""),1.29E7)</f>
        <v>12900000</v>
      </c>
      <c r="Z57" s="285" t="str">
        <f>IFERROR(__xludf.DUMMYFUNCTION("""COMPUTED_VALUE"""),"Alhamdulillah closing")</f>
        <v>Alhamdulillah closing</v>
      </c>
      <c r="AB57" s="285" t="str">
        <f>IFERROR(__xludf.DUMMYFUNCTION("""COMPUTED_VALUE"""),"2602H036")</f>
        <v>2602H036</v>
      </c>
      <c r="AC57" s="286">
        <f>IFERROR(__xludf.DUMMYFUNCTION("""COMPUTED_VALUE"""),46078.0)</f>
        <v>46078</v>
      </c>
      <c r="AD57" s="285" t="str">
        <f>IFERROR(__xludf.DUMMYFUNCTION("""COMPUTED_VALUE"""),"Sarah")</f>
        <v>Sarah</v>
      </c>
      <c r="AE57" s="285" t="str">
        <f>IFERROR(__xludf.DUMMYFUNCTION("""COMPUTED_VALUE"""),"087865579642")</f>
        <v>087865579642</v>
      </c>
      <c r="AF57" s="285" t="str">
        <f>IFERROR(__xludf.DUMMYFUNCTION("""COMPUTED_VALUE"""),"Gagal")</f>
        <v>Gagal</v>
      </c>
      <c r="AG57" s="285" t="str">
        <f>IFERROR(__xludf.DUMMYFUNCTION("""COMPUTED_VALUE"""),"OT Ijen")</f>
        <v>OT Ijen</v>
      </c>
      <c r="AH57" s="287"/>
      <c r="AI57" s="285">
        <f>IFERROR(__xludf.DUMMYFUNCTION("""COMPUTED_VALUE"""),1.0)</f>
        <v>1</v>
      </c>
      <c r="AJ57" s="289"/>
      <c r="AK57" s="285" t="str">
        <f>IFERROR(__xludf.DUMMYFUNCTION("""COMPUTED_VALUE"""),"sdh fu, tidak ada jawaban")</f>
        <v>sdh fu, tidak ada jawaban</v>
      </c>
    </row>
    <row r="58">
      <c r="F58" s="285" t="str">
        <f>IFERROR(__xludf.DUMMYFUNCTION("""COMPUTED_VALUE"""),"2606H022")</f>
        <v>2606H022</v>
      </c>
      <c r="G58" s="286">
        <f>IFERROR(__xludf.DUMMYFUNCTION("""COMPUTED_VALUE"""),46187.0)</f>
        <v>46187</v>
      </c>
      <c r="H58" s="285" t="str">
        <f>IFERROR(__xludf.DUMMYFUNCTION("""COMPUTED_VALUE"""),"Nurul Khairat")</f>
        <v>Nurul Khairat</v>
      </c>
      <c r="I58" s="285" t="str">
        <f>IFERROR(__xludf.DUMMYFUNCTION("""COMPUTED_VALUE"""),"085710002559")</f>
        <v>085710002559</v>
      </c>
      <c r="J58" s="285" t="str">
        <f>IFERROR(__xludf.DUMMYFUNCTION("""COMPUTED_VALUE"""),"Qualified")</f>
        <v>Qualified</v>
      </c>
      <c r="K58" s="285" t="str">
        <f>IFERROR(__xludf.DUMMYFUNCTION("""COMPUTED_VALUE"""),"3h2m b")</f>
        <v>3h2m b</v>
      </c>
      <c r="L58" s="287">
        <f>IFERROR(__xludf.DUMMYFUNCTION("""COMPUTED_VALUE"""),46255.0)</f>
        <v>46255</v>
      </c>
      <c r="M58" s="285">
        <f>IFERROR(__xludf.DUMMYFUNCTION("""COMPUTED_VALUE"""),8.0)</f>
        <v>8</v>
      </c>
      <c r="N58" s="289">
        <f>IFERROR(__xludf.DUMMYFUNCTION("""COMPUTED_VALUE"""),9120000.0)</f>
        <v>9120000</v>
      </c>
      <c r="O58" s="285" t="str">
        <f>IFERROR(__xludf.DUMMYFUNCTION("""COMPUTED_VALUE"""),"fu bulan 1 Agustus")</f>
        <v>fu bulan 1 Agustus</v>
      </c>
      <c r="Q58" s="285" t="str">
        <f>IFERROR(__xludf.DUMMYFUNCTION("""COMPUTED_VALUE"""),"2607H016")</f>
        <v>2607H016</v>
      </c>
      <c r="R58" s="286">
        <f>IFERROR(__xludf.DUMMYFUNCTION("""COMPUTED_VALUE"""),46209.0)</f>
        <v>46209</v>
      </c>
      <c r="S58" s="285" t="str">
        <f>IFERROR(__xludf.DUMMYFUNCTION("""COMPUTED_VALUE"""),"Widia Cahyadi")</f>
        <v>Widia Cahyadi</v>
      </c>
      <c r="T58" s="285" t="str">
        <f>IFERROR(__xludf.DUMMYFUNCTION("""COMPUTED_VALUE"""),"081381222334")</f>
        <v>081381222334</v>
      </c>
      <c r="U58" s="285" t="str">
        <f>IFERROR(__xludf.DUMMYFUNCTION("""COMPUTED_VALUE"""),"Closing")</f>
        <v>Closing</v>
      </c>
      <c r="V58" s="285" t="str">
        <f>IFERROR(__xludf.DUMMYFUNCTION("""COMPUTED_VALUE"""),"2h1m custom")</f>
        <v>2h1m custom</v>
      </c>
      <c r="W58" s="287"/>
      <c r="X58" s="285">
        <f>IFERROR(__xludf.DUMMYFUNCTION("""COMPUTED_VALUE"""),4.0)</f>
        <v>4</v>
      </c>
      <c r="Y58" s="289">
        <f>IFERROR(__xludf.DUMMYFUNCTION("""COMPUTED_VALUE"""),4360000.0)</f>
        <v>4360000</v>
      </c>
      <c r="Z58" s="285" t="str">
        <f>IFERROR(__xludf.DUMMYFUNCTION("""COMPUTED_VALUE"""),"orderr")</f>
        <v>orderr</v>
      </c>
      <c r="AB58" s="285" t="str">
        <f>IFERROR(__xludf.DUMMYFUNCTION("""COMPUTED_VALUE"""),"2602H037")</f>
        <v>2602H037</v>
      </c>
      <c r="AC58" s="286">
        <f>IFERROR(__xludf.DUMMYFUNCTION("""COMPUTED_VALUE"""),46078.0)</f>
        <v>46078</v>
      </c>
      <c r="AD58" s="285" t="str">
        <f>IFERROR(__xludf.DUMMYFUNCTION("""COMPUTED_VALUE"""),"Maya Nasution ")</f>
        <v>Maya Nasution </v>
      </c>
      <c r="AE58" s="285" t="str">
        <f>IFERROR(__xludf.DUMMYFUNCTION("""COMPUTED_VALUE"""),"085261014027")</f>
        <v>085261014027</v>
      </c>
      <c r="AF58" s="285" t="str">
        <f>IFERROR(__xludf.DUMMYFUNCTION("""COMPUTED_VALUE"""),"Gagal")</f>
        <v>Gagal</v>
      </c>
      <c r="AG58" s="285" t="str">
        <f>IFERROR(__xludf.DUMMYFUNCTION("""COMPUTED_VALUE"""),"custom 3H2M ")</f>
        <v>custom 3H2M </v>
      </c>
      <c r="AH58" s="287">
        <f>IFERROR(__xludf.DUMMYFUNCTION("""COMPUTED_VALUE"""),46105.0)</f>
        <v>46105</v>
      </c>
      <c r="AI58" s="285">
        <f>IFERROR(__xludf.DUMMYFUNCTION("""COMPUTED_VALUE"""),3.0)</f>
        <v>3</v>
      </c>
      <c r="AJ58" s="289">
        <f>IFERROR(__xludf.DUMMYFUNCTION("""COMPUTED_VALUE"""),1.17E7)</f>
        <v>11700000</v>
      </c>
      <c r="AK58" s="285" t="str">
        <f>IFERROR(__xludf.DUMMYFUNCTION("""COMPUTED_VALUE"""),"tidak jadi")</f>
        <v>tidak jadi</v>
      </c>
    </row>
    <row r="59">
      <c r="F59" s="285" t="str">
        <f>IFERROR(__xludf.DUMMYFUNCTION("""COMPUTED_VALUE"""),"2606H027")</f>
        <v>2606H027</v>
      </c>
      <c r="G59" s="286">
        <f>IFERROR(__xludf.DUMMYFUNCTION("""COMPUTED_VALUE"""),46188.0)</f>
        <v>46188</v>
      </c>
      <c r="H59" s="285" t="str">
        <f>IFERROR(__xludf.DUMMYFUNCTION("""COMPUTED_VALUE"""),"Imung")</f>
        <v>Imung</v>
      </c>
      <c r="I59" s="285" t="str">
        <f>IFERROR(__xludf.DUMMYFUNCTION("""COMPUTED_VALUE"""),"081389822063")</f>
        <v>081389822063</v>
      </c>
      <c r="J59" s="285" t="str">
        <f>IFERROR(__xludf.DUMMYFUNCTION("""COMPUTED_VALUE"""),"Qualified")</f>
        <v>Qualified</v>
      </c>
      <c r="K59" s="285" t="str">
        <f>IFERROR(__xludf.DUMMYFUNCTION("""COMPUTED_VALUE"""),"3h2m")</f>
        <v>3h2m</v>
      </c>
      <c r="L59" s="287">
        <f>IFERROR(__xludf.DUMMYFUNCTION("""COMPUTED_VALUE"""),46203.0)</f>
        <v>46203</v>
      </c>
      <c r="M59" s="285">
        <f>IFERROR(__xludf.DUMMYFUNCTION("""COMPUTED_VALUE"""),4.0)</f>
        <v>4</v>
      </c>
      <c r="N59" s="289"/>
      <c r="O59" s="285" t="str">
        <f>IFERROR(__xludf.DUMMYFUNCTION("""COMPUTED_VALUE"""),"fu 20 juni")</f>
        <v>fu 20 juni</v>
      </c>
      <c r="Q59" s="285" t="str">
        <f>IFERROR(__xludf.DUMMYFUNCTION("""COMPUTED_VALUE"""),"2607H043")</f>
        <v>2607H043</v>
      </c>
      <c r="R59" s="286">
        <f>IFERROR(__xludf.DUMMYFUNCTION("""COMPUTED_VALUE"""),46229.0)</f>
        <v>46229</v>
      </c>
      <c r="S59" s="285" t="str">
        <f>IFERROR(__xludf.DUMMYFUNCTION("""COMPUTED_VALUE"""),"Yuri Shizcha")</f>
        <v>Yuri Shizcha</v>
      </c>
      <c r="T59" s="285" t="str">
        <f>IFERROR(__xludf.DUMMYFUNCTION("""COMPUTED_VALUE"""),"082298566223")</f>
        <v>082298566223</v>
      </c>
      <c r="U59" s="285" t="str">
        <f>IFERROR(__xludf.DUMMYFUNCTION("""COMPUTED_VALUE"""),"Closing")</f>
        <v>Closing</v>
      </c>
      <c r="V59" s="285" t="str">
        <f>IFERROR(__xludf.DUMMYFUNCTION("""COMPUTED_VALUE"""),"2H1M opsi C")</f>
        <v>2H1M opsi C</v>
      </c>
      <c r="W59" s="287"/>
      <c r="X59" s="285">
        <f>IFERROR(__xludf.DUMMYFUNCTION("""COMPUTED_VALUE"""),2.0)</f>
        <v>2</v>
      </c>
      <c r="Y59" s="289">
        <f>IFERROR(__xludf.DUMMYFUNCTION("""COMPUTED_VALUE"""),5652000.0)</f>
        <v>5652000</v>
      </c>
      <c r="Z59" s="285" t="str">
        <f>IFERROR(__xludf.DUMMYFUNCTION("""COMPUTED_VALUE"""),"orderr")</f>
        <v>orderr</v>
      </c>
      <c r="AB59" s="285" t="str">
        <f>IFERROR(__xludf.DUMMYFUNCTION("""COMPUTED_VALUE"""),"2602H039")</f>
        <v>2602H039</v>
      </c>
      <c r="AC59" s="286">
        <f>IFERROR(__xludf.DUMMYFUNCTION("""COMPUTED_VALUE"""),46080.0)</f>
        <v>46080</v>
      </c>
      <c r="AD59" s="285" t="str">
        <f>IFERROR(__xludf.DUMMYFUNCTION("""COMPUTED_VALUE"""),"Neny Triana")</f>
        <v>Neny Triana</v>
      </c>
      <c r="AE59" s="285" t="str">
        <f>IFERROR(__xludf.DUMMYFUNCTION("""COMPUTED_VALUE"""),"087887138799")</f>
        <v>087887138799</v>
      </c>
      <c r="AF59" s="285" t="str">
        <f>IFERROR(__xludf.DUMMYFUNCTION("""COMPUTED_VALUE"""),"Gagal")</f>
        <v>Gagal</v>
      </c>
      <c r="AG59" s="285" t="str">
        <f>IFERROR(__xludf.DUMMYFUNCTION("""COMPUTED_VALUE"""),"custom 2H1M")</f>
        <v>custom 2H1M</v>
      </c>
      <c r="AH59" s="287"/>
      <c r="AI59" s="285">
        <f>IFERROR(__xludf.DUMMYFUNCTION("""COMPUTED_VALUE"""),34.0)</f>
        <v>34</v>
      </c>
      <c r="AJ59" s="289">
        <f>IFERROR(__xludf.DUMMYFUNCTION("""COMPUTED_VALUE"""),2.669E7)</f>
        <v>26690000</v>
      </c>
      <c r="AK59" s="285" t="str">
        <f>IFERROR(__xludf.DUMMYFUNCTION("""COMPUTED_VALUE"""),"pakai rekomendasi dari hotel")</f>
        <v>pakai rekomendasi dari hotel</v>
      </c>
    </row>
    <row r="60">
      <c r="F60" s="285" t="str">
        <f>IFERROR(__xludf.DUMMYFUNCTION("""COMPUTED_VALUE"""),"2606H028")</f>
        <v>2606H028</v>
      </c>
      <c r="G60" s="286">
        <f>IFERROR(__xludf.DUMMYFUNCTION("""COMPUTED_VALUE"""),46188.0)</f>
        <v>46188</v>
      </c>
      <c r="H60" s="285" t="str">
        <f>IFERROR(__xludf.DUMMYFUNCTION("""COMPUTED_VALUE"""),"Wiilda Ivn")</f>
        <v>Wiilda Ivn</v>
      </c>
      <c r="I60" s="285" t="str">
        <f>IFERROR(__xludf.DUMMYFUNCTION("""COMPUTED_VALUE"""),"088271003869")</f>
        <v>088271003869</v>
      </c>
      <c r="J60" s="285" t="str">
        <f>IFERROR(__xludf.DUMMYFUNCTION("""COMPUTED_VALUE"""),"Qualified")</f>
        <v>Qualified</v>
      </c>
      <c r="K60" s="285" t="str">
        <f>IFERROR(__xludf.DUMMYFUNCTION("""COMPUTED_VALUE"""),"ot mt")</f>
        <v>ot mt</v>
      </c>
      <c r="L60" s="287">
        <f>IFERROR(__xludf.DUMMYFUNCTION("""COMPUTED_VALUE"""),46188.0)</f>
        <v>46188</v>
      </c>
      <c r="M60" s="285">
        <f>IFERROR(__xludf.DUMMYFUNCTION("""COMPUTED_VALUE"""),1.0)</f>
        <v>1</v>
      </c>
      <c r="N60" s="289">
        <f>IFERROR(__xludf.DUMMYFUNCTION("""COMPUTED_VALUE"""),500000.0)</f>
        <v>500000</v>
      </c>
      <c r="O60" s="285" t="str">
        <f>IFERROR(__xludf.DUMMYFUNCTION("""COMPUTED_VALUE"""),"fu 15 juni")</f>
        <v>fu 15 juni</v>
      </c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B60" s="285" t="str">
        <f>IFERROR(__xludf.DUMMYFUNCTION("""COMPUTED_VALUE"""),"2602H040")</f>
        <v>2602H040</v>
      </c>
      <c r="AC60" s="286">
        <f>IFERROR(__xludf.DUMMYFUNCTION("""COMPUTED_VALUE"""),46080.0)</f>
        <v>46080</v>
      </c>
      <c r="AD60" s="285" t="str">
        <f>IFERROR(__xludf.DUMMYFUNCTION("""COMPUTED_VALUE"""),"Ismu")</f>
        <v>Ismu</v>
      </c>
      <c r="AE60" s="285" t="str">
        <f>IFERROR(__xludf.DUMMYFUNCTION("""COMPUTED_VALUE"""),"085711540382")</f>
        <v>085711540382</v>
      </c>
      <c r="AF60" s="285" t="str">
        <f>IFERROR(__xludf.DUMMYFUNCTION("""COMPUTED_VALUE"""),"Gagal")</f>
        <v>Gagal</v>
      </c>
      <c r="AG60" s="285" t="str">
        <f>IFERROR(__xludf.DUMMYFUNCTION("""COMPUTED_VALUE"""),"3h2m")</f>
        <v>3h2m</v>
      </c>
      <c r="AH60" s="287"/>
      <c r="AI60" s="285">
        <f>IFERROR(__xludf.DUMMYFUNCTION("""COMPUTED_VALUE"""),3.0)</f>
        <v>3</v>
      </c>
      <c r="AJ60" s="289">
        <f>IFERROR(__xludf.DUMMYFUNCTION("""COMPUTED_VALUE"""),6474000.0)</f>
        <v>6474000</v>
      </c>
      <c r="AK60" s="285" t="str">
        <f>IFERROR(__xludf.DUMMYFUNCTION("""COMPUTED_VALUE"""),"sdh fu 5 kali, tdk ada kelanjutan")</f>
        <v>sdh fu 5 kali, tdk ada kelanjutan</v>
      </c>
    </row>
    <row r="61">
      <c r="F61" s="285" t="str">
        <f>IFERROR(__xludf.DUMMYFUNCTION("""COMPUTED_VALUE"""),"2606H033")</f>
        <v>2606H033</v>
      </c>
      <c r="G61" s="286">
        <f>IFERROR(__xludf.DUMMYFUNCTION("""COMPUTED_VALUE"""),46190.0)</f>
        <v>46190</v>
      </c>
      <c r="H61" s="285" t="str">
        <f>IFERROR(__xludf.DUMMYFUNCTION("""COMPUTED_VALUE"""),"Alfa Reza")</f>
        <v>Alfa Reza</v>
      </c>
      <c r="I61" s="285" t="str">
        <f>IFERROR(__xludf.DUMMYFUNCTION("""COMPUTED_VALUE"""),"085389493068")</f>
        <v>085389493068</v>
      </c>
      <c r="J61" s="285" t="str">
        <f>IFERROR(__xludf.DUMMYFUNCTION("""COMPUTED_VALUE"""),"Qualified")</f>
        <v>Qualified</v>
      </c>
      <c r="K61" s="285"/>
      <c r="L61" s="287"/>
      <c r="M61" s="285"/>
      <c r="N61" s="289"/>
      <c r="O61" s="285" t="str">
        <f>IFERROR(__xludf.DUMMYFUNCTION("""COMPUTED_VALUE"""),"hanya menyapa")</f>
        <v>hanya menyapa</v>
      </c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B61" s="285" t="str">
        <f>IFERROR(__xludf.DUMMYFUNCTION("""COMPUTED_VALUE"""),"2603H001")</f>
        <v>2603H001</v>
      </c>
      <c r="AC61" s="286">
        <f>IFERROR(__xludf.DUMMYFUNCTION("""COMPUTED_VALUE"""),46082.0)</f>
        <v>46082</v>
      </c>
      <c r="AD61" s="285" t="str">
        <f>IFERROR(__xludf.DUMMYFUNCTION("""COMPUTED_VALUE"""),"Rafael")</f>
        <v>Rafael</v>
      </c>
      <c r="AE61" s="285" t="str">
        <f>IFERROR(__xludf.DUMMYFUNCTION("""COMPUTED_VALUE"""),"082176804310")</f>
        <v>082176804310</v>
      </c>
      <c r="AF61" s="285" t="str">
        <f>IFERROR(__xludf.DUMMYFUNCTION("""COMPUTED_VALUE"""),"Gagal")</f>
        <v>Gagal</v>
      </c>
      <c r="AG61" s="285" t="str">
        <f>IFERROR(__xludf.DUMMYFUNCTION("""COMPUTED_VALUE"""),"custom 2H1M")</f>
        <v>custom 2H1M</v>
      </c>
      <c r="AH61" s="287">
        <f>IFERROR(__xludf.DUMMYFUNCTION("""COMPUTED_VALUE"""),46103.0)</f>
        <v>46103</v>
      </c>
      <c r="AI61" s="285">
        <f>IFERROR(__xludf.DUMMYFUNCTION("""COMPUTED_VALUE"""),5.0)</f>
        <v>5</v>
      </c>
      <c r="AJ61" s="289">
        <f>IFERROR(__xludf.DUMMYFUNCTION("""COMPUTED_VALUE"""),5750000.0)</f>
        <v>5750000</v>
      </c>
      <c r="AK61" s="285" t="str">
        <f>IFERROR(__xludf.DUMMYFUNCTION("""COMPUTED_VALUE"""),"gajadi ke Banyuwangi ")</f>
        <v>gajadi ke Banyuwangi </v>
      </c>
    </row>
    <row r="62">
      <c r="F62" s="285" t="str">
        <f>IFERROR(__xludf.DUMMYFUNCTION("""COMPUTED_VALUE"""),"2606H034")</f>
        <v>2606H034</v>
      </c>
      <c r="G62" s="286">
        <f>IFERROR(__xludf.DUMMYFUNCTION("""COMPUTED_VALUE"""),46190.0)</f>
        <v>46190</v>
      </c>
      <c r="H62" s="285" t="str">
        <f>IFERROR(__xludf.DUMMYFUNCTION("""COMPUTED_VALUE"""),"Kaniakenz")</f>
        <v>Kaniakenz</v>
      </c>
      <c r="I62" s="285" t="str">
        <f>IFERROR(__xludf.DUMMYFUNCTION("""COMPUTED_VALUE"""),"081916201006")</f>
        <v>081916201006</v>
      </c>
      <c r="J62" s="285" t="str">
        <f>IFERROR(__xludf.DUMMYFUNCTION("""COMPUTED_VALUE"""),"Qualified")</f>
        <v>Qualified</v>
      </c>
      <c r="K62" s="285" t="str">
        <f>IFERROR(__xludf.DUMMYFUNCTION("""COMPUTED_VALUE"""),"ot atau private green island")</f>
        <v>ot atau private green island</v>
      </c>
      <c r="L62" s="287">
        <f>IFERROR(__xludf.DUMMYFUNCTION("""COMPUTED_VALUE"""),46192.0)</f>
        <v>46192</v>
      </c>
      <c r="M62" s="285">
        <f>IFERROR(__xludf.DUMMYFUNCTION("""COMPUTED_VALUE"""),2.0)</f>
        <v>2</v>
      </c>
      <c r="N62" s="289">
        <f>IFERROR(__xludf.DUMMYFUNCTION("""COMPUTED_VALUE"""),1100000.0)</f>
        <v>1100000</v>
      </c>
      <c r="O62" s="285" t="str">
        <f>IFERROR(__xludf.DUMMYFUNCTION("""COMPUTED_VALUE"""),"fu 18 juni")</f>
        <v>fu 18 juni</v>
      </c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B62" s="285" t="str">
        <f>IFERROR(__xludf.DUMMYFUNCTION("""COMPUTED_VALUE"""),"2603H002")</f>
        <v>2603H002</v>
      </c>
      <c r="AC62" s="286">
        <f>IFERROR(__xludf.DUMMYFUNCTION("""COMPUTED_VALUE"""),46206.0)</f>
        <v>46206</v>
      </c>
      <c r="AD62" s="285" t="str">
        <f>IFERROR(__xludf.DUMMYFUNCTION("""COMPUTED_VALUE"""),"Faqih al ghifari")</f>
        <v>Faqih al ghifari</v>
      </c>
      <c r="AE62" s="285" t="str">
        <f>IFERROR(__xludf.DUMMYFUNCTION("""COMPUTED_VALUE"""),"081291207572")</f>
        <v>081291207572</v>
      </c>
      <c r="AF62" s="285" t="str">
        <f>IFERROR(__xludf.DUMMYFUNCTION("""COMPUTED_VALUE"""),"Gagal")</f>
        <v>Gagal</v>
      </c>
      <c r="AG62" s="285" t="str">
        <f>IFERROR(__xludf.DUMMYFUNCTION("""COMPUTED_VALUE"""),"4H3M")</f>
        <v>4H3M</v>
      </c>
      <c r="AH62" s="287"/>
      <c r="AI62" s="285">
        <f>IFERROR(__xludf.DUMMYFUNCTION("""COMPUTED_VALUE"""),70.0)</f>
        <v>70</v>
      </c>
      <c r="AJ62" s="289"/>
      <c r="AK62" s="285" t="str">
        <f>IFERROR(__xludf.DUMMYFUNCTION("""COMPUTED_VALUE"""),"lemparan leads dari trip bwi, tidak jadi")</f>
        <v>lemparan leads dari trip bwi, tidak jadi</v>
      </c>
    </row>
    <row r="63">
      <c r="F63" s="285" t="str">
        <f>IFERROR(__xludf.DUMMYFUNCTION("""COMPUTED_VALUE"""),"2606H035")</f>
        <v>2606H035</v>
      </c>
      <c r="G63" s="286">
        <f>IFERROR(__xludf.DUMMYFUNCTION("""COMPUTED_VALUE"""),46191.0)</f>
        <v>46191</v>
      </c>
      <c r="H63" s="285" t="str">
        <f>IFERROR(__xludf.DUMMYFUNCTION("""COMPUTED_VALUE"""),"Fitri")</f>
        <v>Fitri</v>
      </c>
      <c r="I63" s="285" t="str">
        <f>IFERROR(__xludf.DUMMYFUNCTION("""COMPUTED_VALUE"""),"085881222196")</f>
        <v>085881222196</v>
      </c>
      <c r="J63" s="285" t="str">
        <f>IFERROR(__xludf.DUMMYFUNCTION("""COMPUTED_VALUE"""),"Qualified")</f>
        <v>Qualified</v>
      </c>
      <c r="K63" s="285" t="str">
        <f>IFERROR(__xludf.DUMMYFUNCTION("""COMPUTED_VALUE"""),"ot custom 4 hari")</f>
        <v>ot custom 4 hari</v>
      </c>
      <c r="L63" s="287"/>
      <c r="M63" s="285">
        <f>IFERROR(__xludf.DUMMYFUNCTION("""COMPUTED_VALUE"""),4.0)</f>
        <v>4</v>
      </c>
      <c r="N63" s="289">
        <f>IFERROR(__xludf.DUMMYFUNCTION("""COMPUTED_VALUE"""),6700000.0)</f>
        <v>6700000</v>
      </c>
      <c r="O63" s="285" t="str">
        <f>IFERROR(__xludf.DUMMYFUNCTION("""COMPUTED_VALUE"""),"fu 1 Agustus")</f>
        <v>fu 1 Agustus</v>
      </c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B63" s="285" t="str">
        <f>IFERROR(__xludf.DUMMYFUNCTION("""COMPUTED_VALUE"""),"2603H003")</f>
        <v>2603H003</v>
      </c>
      <c r="AC63" s="286">
        <f>IFERROR(__xludf.DUMMYFUNCTION("""COMPUTED_VALUE"""),46089.0)</f>
        <v>46089</v>
      </c>
      <c r="AD63" s="285" t="str">
        <f>IFERROR(__xludf.DUMMYFUNCTION("""COMPUTED_VALUE"""),"Mika anggi")</f>
        <v>Mika anggi</v>
      </c>
      <c r="AE63" s="285" t="str">
        <f>IFERROR(__xludf.DUMMYFUNCTION("""COMPUTED_VALUE"""),"082267757603")</f>
        <v>082267757603</v>
      </c>
      <c r="AF63" s="285" t="str">
        <f>IFERROR(__xludf.DUMMYFUNCTION("""COMPUTED_VALUE"""),"Gagal")</f>
        <v>Gagal</v>
      </c>
      <c r="AG63" s="285"/>
      <c r="AH63" s="287"/>
      <c r="AI63" s="285"/>
      <c r="AJ63" s="289"/>
      <c r="AK63" s="285" t="str">
        <f>IFERROR(__xludf.DUMMYFUNCTION("""COMPUTED_VALUE"""),"masih menyapa, sudah fu ")</f>
        <v>masih menyapa, sudah fu </v>
      </c>
    </row>
    <row r="64">
      <c r="F64" s="285" t="str">
        <f>IFERROR(__xludf.DUMMYFUNCTION("""COMPUTED_VALUE"""),"2606H036")</f>
        <v>2606H036</v>
      </c>
      <c r="G64" s="286">
        <f>IFERROR(__xludf.DUMMYFUNCTION("""COMPUTED_VALUE"""),46191.0)</f>
        <v>46191</v>
      </c>
      <c r="H64" s="285" t="str">
        <f>IFERROR(__xludf.DUMMYFUNCTION("""COMPUTED_VALUE"""),"Aki Priyanggo")</f>
        <v>Aki Priyanggo</v>
      </c>
      <c r="I64" s="285" t="str">
        <f>IFERROR(__xludf.DUMMYFUNCTION("""COMPUTED_VALUE"""),"081119990136")</f>
        <v>081119990136</v>
      </c>
      <c r="J64" s="285" t="str">
        <f>IFERROR(__xludf.DUMMYFUNCTION("""COMPUTED_VALUE"""),"Qualified")</f>
        <v>Qualified</v>
      </c>
      <c r="K64" s="285" t="str">
        <f>IFERROR(__xludf.DUMMYFUNCTION("""COMPUTED_VALUE"""),"4h3m")</f>
        <v>4h3m</v>
      </c>
      <c r="L64" s="287">
        <f>IFERROR(__xludf.DUMMYFUNCTION("""COMPUTED_VALUE"""),46539.0)</f>
        <v>46539</v>
      </c>
      <c r="M64" s="285">
        <f>IFERROR(__xludf.DUMMYFUNCTION("""COMPUTED_VALUE"""),18.0)</f>
        <v>18</v>
      </c>
      <c r="N64" s="289"/>
      <c r="O64" s="285" t="str">
        <f>IFERROR(__xludf.DUMMYFUNCTION("""COMPUTED_VALUE"""),"fu 10 Agustus")</f>
        <v>fu 10 Agustus</v>
      </c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B64" s="285" t="str">
        <f>IFERROR(__xludf.DUMMYFUNCTION("""COMPUTED_VALUE"""),"2603H004")</f>
        <v>2603H004</v>
      </c>
      <c r="AC64" s="286">
        <f>IFERROR(__xludf.DUMMYFUNCTION("""COMPUTED_VALUE"""),46090.0)</f>
        <v>46090</v>
      </c>
      <c r="AD64" s="285" t="str">
        <f>IFERROR(__xludf.DUMMYFUNCTION("""COMPUTED_VALUE"""),"Ika")</f>
        <v>Ika</v>
      </c>
      <c r="AE64" s="285" t="str">
        <f>IFERROR(__xludf.DUMMYFUNCTION("""COMPUTED_VALUE"""),"08161816290")</f>
        <v>08161816290</v>
      </c>
      <c r="AF64" s="285" t="str">
        <f>IFERROR(__xludf.DUMMYFUNCTION("""COMPUTED_VALUE"""),"Gagal")</f>
        <v>Gagal</v>
      </c>
      <c r="AG64" s="285"/>
      <c r="AH64" s="287"/>
      <c r="AI64" s="285"/>
      <c r="AJ64" s="289"/>
      <c r="AK64" s="285" t="str">
        <f>IFERROR(__xludf.DUMMYFUNCTION("""COMPUTED_VALUE"""),"sdh fu, tidak ada jawaban")</f>
        <v>sdh fu, tidak ada jawaban</v>
      </c>
    </row>
    <row r="65">
      <c r="F65" s="285" t="str">
        <f>IFERROR(__xludf.DUMMYFUNCTION("""COMPUTED_VALUE"""),"2606H043")</f>
        <v>2606H043</v>
      </c>
      <c r="G65" s="286">
        <f>IFERROR(__xludf.DUMMYFUNCTION("""COMPUTED_VALUE"""),46193.0)</f>
        <v>46193</v>
      </c>
      <c r="H65" s="285" t="str">
        <f>IFERROR(__xludf.DUMMYFUNCTION("""COMPUTED_VALUE"""),"Juniar Shanny")</f>
        <v>Juniar Shanny</v>
      </c>
      <c r="I65" s="285" t="str">
        <f>IFERROR(__xludf.DUMMYFUNCTION("""COMPUTED_VALUE"""),"08561108252")</f>
        <v>08561108252</v>
      </c>
      <c r="J65" s="285" t="str">
        <f>IFERROR(__xludf.DUMMYFUNCTION("""COMPUTED_VALUE"""),"Qualified")</f>
        <v>Qualified</v>
      </c>
      <c r="K65" s="285" t="str">
        <f>IFERROR(__xludf.DUMMYFUNCTION("""COMPUTED_VALUE"""),"3h2m")</f>
        <v>3h2m</v>
      </c>
      <c r="L65" s="287"/>
      <c r="M65" s="285">
        <f>IFERROR(__xludf.DUMMYFUNCTION("""COMPUTED_VALUE"""),11.0)</f>
        <v>11</v>
      </c>
      <c r="N65" s="289">
        <f>IFERROR(__xludf.DUMMYFUNCTION("""COMPUTED_VALUE"""),1.815E7)</f>
        <v>18150000</v>
      </c>
      <c r="O65" s="285" t="str">
        <f>IFERROR(__xludf.DUMMYFUNCTION("""COMPUTED_VALUE"""),"fu 28 juni")</f>
        <v>fu 28 juni</v>
      </c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B65" s="285" t="str">
        <f>IFERROR(__xludf.DUMMYFUNCTION("""COMPUTED_VALUE"""),"2603H005")</f>
        <v>2603H005</v>
      </c>
      <c r="AC65" s="286">
        <f>IFERROR(__xludf.DUMMYFUNCTION("""COMPUTED_VALUE"""),46092.0)</f>
        <v>46092</v>
      </c>
      <c r="AD65" s="285" t="str">
        <f>IFERROR(__xludf.DUMMYFUNCTION("""COMPUTED_VALUE"""),"Yani")</f>
        <v>Yani</v>
      </c>
      <c r="AE65" s="285" t="str">
        <f>IFERROR(__xludf.DUMMYFUNCTION("""COMPUTED_VALUE"""),"087780925178")</f>
        <v>087780925178</v>
      </c>
      <c r="AF65" s="285" t="str">
        <f>IFERROR(__xludf.DUMMYFUNCTION("""COMPUTED_VALUE"""),"Gagal")</f>
        <v>Gagal</v>
      </c>
      <c r="AG65" s="285" t="str">
        <f>IFERROR(__xludf.DUMMYFUNCTION("""COMPUTED_VALUE"""),"3H2M opsi A")</f>
        <v>3H2M opsi A</v>
      </c>
      <c r="AH65" s="287"/>
      <c r="AI65" s="285">
        <f>IFERROR(__xludf.DUMMYFUNCTION("""COMPUTED_VALUE"""),5.0)</f>
        <v>5</v>
      </c>
      <c r="AJ65" s="289">
        <f>IFERROR(__xludf.DUMMYFUNCTION("""COMPUTED_VALUE"""),9100000.0)</f>
        <v>9100000</v>
      </c>
      <c r="AK65" s="285" t="str">
        <f>IFERROR(__xludf.DUMMYFUNCTION("""COMPUTED_VALUE"""),"masih tanya ")</f>
        <v>masih tanya </v>
      </c>
    </row>
    <row r="66">
      <c r="F66" s="285" t="str">
        <f>IFERROR(__xludf.DUMMYFUNCTION("""COMPUTED_VALUE"""),"2606H049")</f>
        <v>2606H049</v>
      </c>
      <c r="G66" s="286">
        <f>IFERROR(__xludf.DUMMYFUNCTION("""COMPUTED_VALUE"""),46195.0)</f>
        <v>46195</v>
      </c>
      <c r="H66" s="285" t="str">
        <f>IFERROR(__xludf.DUMMYFUNCTION("""COMPUTED_VALUE"""),"Niputu")</f>
        <v>Niputu</v>
      </c>
      <c r="I66" s="285" t="str">
        <f>IFERROR(__xludf.DUMMYFUNCTION("""COMPUTED_VALUE"""),"0811163458")</f>
        <v>0811163458</v>
      </c>
      <c r="J66" s="285" t="str">
        <f>IFERROR(__xludf.DUMMYFUNCTION("""COMPUTED_VALUE"""),"Qualified")</f>
        <v>Qualified</v>
      </c>
      <c r="K66" s="285" t="str">
        <f>IFERROR(__xludf.DUMMYFUNCTION("""COMPUTED_VALUE"""),"2h1m")</f>
        <v>2h1m</v>
      </c>
      <c r="L66" s="287">
        <f>IFERROR(__xludf.DUMMYFUNCTION("""COMPUTED_VALUE"""),46257.0)</f>
        <v>46257</v>
      </c>
      <c r="M66" s="285">
        <f>IFERROR(__xludf.DUMMYFUNCTION("""COMPUTED_VALUE"""),3.0)</f>
        <v>3</v>
      </c>
      <c r="N66" s="289">
        <f>IFERROR(__xludf.DUMMYFUNCTION("""COMPUTED_VALUE"""),3930000.0)</f>
        <v>3930000</v>
      </c>
      <c r="O66" s="285" t="str">
        <f>IFERROR(__xludf.DUMMYFUNCTION("""COMPUTED_VALUE"""),"fu 18 juli")</f>
        <v>fu 18 juli</v>
      </c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B66" s="285" t="str">
        <f>IFERROR(__xludf.DUMMYFUNCTION("""COMPUTED_VALUE"""),"2603H007")</f>
        <v>2603H007</v>
      </c>
      <c r="AC66" s="286">
        <f>IFERROR(__xludf.DUMMYFUNCTION("""COMPUTED_VALUE"""),46092.0)</f>
        <v>46092</v>
      </c>
      <c r="AD66" s="285" t="str">
        <f>IFERROR(__xludf.DUMMYFUNCTION("""COMPUTED_VALUE"""),"Hendrik")</f>
        <v>Hendrik</v>
      </c>
      <c r="AE66" s="285" t="str">
        <f>IFERROR(__xludf.DUMMYFUNCTION("""COMPUTED_VALUE"""),"08127880606")</f>
        <v>08127880606</v>
      </c>
      <c r="AF66" s="285" t="str">
        <f>IFERROR(__xludf.DUMMYFUNCTION("""COMPUTED_VALUE"""),"Gagal")</f>
        <v>Gagal</v>
      </c>
      <c r="AG66" s="285" t="str">
        <f>IFERROR(__xludf.DUMMYFUNCTION("""COMPUTED_VALUE"""),"OT kawah ijen")</f>
        <v>OT kawah ijen</v>
      </c>
      <c r="AH66" s="287">
        <f>IFERROR(__xludf.DUMMYFUNCTION("""COMPUTED_VALUE"""),46102.0)</f>
        <v>46102</v>
      </c>
      <c r="AI66" s="285">
        <f>IFERROR(__xludf.DUMMYFUNCTION("""COMPUTED_VALUE"""),4.0)</f>
        <v>4</v>
      </c>
      <c r="AJ66" s="289">
        <f>IFERROR(__xludf.DUMMYFUNCTION("""COMPUTED_VALUE"""),1400000.0)</f>
        <v>1400000</v>
      </c>
      <c r="AK66" s="285" t="str">
        <f>IFERROR(__xludf.DUMMYFUNCTION("""COMPUTED_VALUE"""),"tanya tanya ")</f>
        <v>tanya tanya </v>
      </c>
    </row>
    <row r="67">
      <c r="F67" s="285" t="str">
        <f>IFERROR(__xludf.DUMMYFUNCTION("""COMPUTED_VALUE"""),"2606H053")</f>
        <v>2606H053</v>
      </c>
      <c r="G67" s="286">
        <f>IFERROR(__xludf.DUMMYFUNCTION("""COMPUTED_VALUE"""),46196.0)</f>
        <v>46196</v>
      </c>
      <c r="H67" s="285" t="str">
        <f>IFERROR(__xludf.DUMMYFUNCTION("""COMPUTED_VALUE"""),"widya")</f>
        <v>widya</v>
      </c>
      <c r="I67" s="285" t="str">
        <f>IFERROR(__xludf.DUMMYFUNCTION("""COMPUTED_VALUE"""),"082353713516")</f>
        <v>082353713516</v>
      </c>
      <c r="J67" s="285" t="str">
        <f>IFERROR(__xludf.DUMMYFUNCTION("""COMPUTED_VALUE"""),"Qualified")</f>
        <v>Qualified</v>
      </c>
      <c r="K67" s="285" t="str">
        <f>IFERROR(__xludf.DUMMYFUNCTION("""COMPUTED_VALUE"""),"1day trip")</f>
        <v>1day trip</v>
      </c>
      <c r="L67" s="287"/>
      <c r="M67" s="285">
        <f>IFERROR(__xludf.DUMMYFUNCTION("""COMPUTED_VALUE"""),1.0)</f>
        <v>1</v>
      </c>
      <c r="N67" s="289"/>
      <c r="O67" s="285" t="str">
        <f>IFERROR(__xludf.DUMMYFUNCTION("""COMPUTED_VALUE"""),"fu 28 juni")</f>
        <v>fu 28 juni</v>
      </c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B67" s="285" t="str">
        <f>IFERROR(__xludf.DUMMYFUNCTION("""COMPUTED_VALUE"""),"2603H008")</f>
        <v>2603H008</v>
      </c>
      <c r="AC67" s="286">
        <f>IFERROR(__xludf.DUMMYFUNCTION("""COMPUTED_VALUE"""),46092.0)</f>
        <v>46092</v>
      </c>
      <c r="AD67" s="285" t="str">
        <f>IFERROR(__xludf.DUMMYFUNCTION("""COMPUTED_VALUE"""),"Amin")</f>
        <v>Amin</v>
      </c>
      <c r="AE67" s="285" t="str">
        <f>IFERROR(__xludf.DUMMYFUNCTION("""COMPUTED_VALUE"""),"085100362378")</f>
        <v>085100362378</v>
      </c>
      <c r="AF67" s="285" t="str">
        <f>IFERROR(__xludf.DUMMYFUNCTION("""COMPUTED_VALUE"""),"Gagal")</f>
        <v>Gagal</v>
      </c>
      <c r="AG67" s="285" t="str">
        <f>IFERROR(__xludf.DUMMYFUNCTION("""COMPUTED_VALUE"""),"trip kawah ijen ")</f>
        <v>trip kawah ijen </v>
      </c>
      <c r="AH67" s="287"/>
      <c r="AI67" s="285">
        <f>IFERROR(__xludf.DUMMYFUNCTION("""COMPUTED_VALUE"""),38.0)</f>
        <v>38</v>
      </c>
      <c r="AJ67" s="289">
        <f>IFERROR(__xludf.DUMMYFUNCTION("""COMPUTED_VALUE"""),1.425E7)</f>
        <v>14250000</v>
      </c>
      <c r="AK67" s="285" t="str">
        <f>IFERROR(__xludf.DUMMYFUNCTION("""COMPUTED_VALUE"""),"tanyaa harga")</f>
        <v>tanyaa harga</v>
      </c>
    </row>
    <row r="68">
      <c r="F68" s="285" t="str">
        <f>IFERROR(__xludf.DUMMYFUNCTION("""COMPUTED_VALUE"""),"2606H061")</f>
        <v>2606H061</v>
      </c>
      <c r="G68" s="286">
        <f>IFERROR(__xludf.DUMMYFUNCTION("""COMPUTED_VALUE"""),46198.0)</f>
        <v>46198</v>
      </c>
      <c r="H68" s="285" t="str">
        <f>IFERROR(__xludf.DUMMYFUNCTION("""COMPUTED_VALUE"""),"Suheriyah")</f>
        <v>Suheriyah</v>
      </c>
      <c r="I68" s="285" t="str">
        <f>IFERROR(__xludf.DUMMYFUNCTION("""COMPUTED_VALUE"""),"081310347856")</f>
        <v>081310347856</v>
      </c>
      <c r="J68" s="285" t="str">
        <f>IFERROR(__xludf.DUMMYFUNCTION("""COMPUTED_VALUE"""),"Qualified")</f>
        <v>Qualified</v>
      </c>
      <c r="K68" s="285" t="str">
        <f>IFERROR(__xludf.DUMMYFUNCTION("""COMPUTED_VALUE"""),"3h2m")</f>
        <v>3h2m</v>
      </c>
      <c r="L68" s="287">
        <f>IFERROR(__xludf.DUMMYFUNCTION("""COMPUTED_VALUE"""),2027.0)</f>
        <v>2027</v>
      </c>
      <c r="M68" s="285">
        <f>IFERROR(__xludf.DUMMYFUNCTION("""COMPUTED_VALUE"""),20.0)</f>
        <v>20</v>
      </c>
      <c r="N68" s="289"/>
      <c r="O68" s="285" t="str">
        <f>IFERROR(__xludf.DUMMYFUNCTION("""COMPUTED_VALUE"""),"fu 2 juli")</f>
        <v>fu 2 juli</v>
      </c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B68" s="285" t="str">
        <f>IFERROR(__xludf.DUMMYFUNCTION("""COMPUTED_VALUE"""),"2603H009")</f>
        <v>2603H009</v>
      </c>
      <c r="AC68" s="286">
        <f>IFERROR(__xludf.DUMMYFUNCTION("""COMPUTED_VALUE"""),46093.0)</f>
        <v>46093</v>
      </c>
      <c r="AD68" s="285" t="str">
        <f>IFERROR(__xludf.DUMMYFUNCTION("""COMPUTED_VALUE"""),"Nayla")</f>
        <v>Nayla</v>
      </c>
      <c r="AE68" s="285" t="str">
        <f>IFERROR(__xludf.DUMMYFUNCTION("""COMPUTED_VALUE"""),"083899549083")</f>
        <v>083899549083</v>
      </c>
      <c r="AF68" s="285" t="str">
        <f>IFERROR(__xludf.DUMMYFUNCTION("""COMPUTED_VALUE"""),"Gagal")</f>
        <v>Gagal</v>
      </c>
      <c r="AG68" s="285" t="str">
        <f>IFERROR(__xludf.DUMMYFUNCTION("""COMPUTED_VALUE"""),"custom 3H2M")</f>
        <v>custom 3H2M</v>
      </c>
      <c r="AH68" s="287"/>
      <c r="AI68" s="285">
        <f>IFERROR(__xludf.DUMMYFUNCTION("""COMPUTED_VALUE"""),2.0)</f>
        <v>2</v>
      </c>
      <c r="AJ68" s="289">
        <f>IFERROR(__xludf.DUMMYFUNCTION("""COMPUTED_VALUE"""),8190000.0)</f>
        <v>8190000</v>
      </c>
      <c r="AK68" s="285" t="str">
        <f>IFERROR(__xludf.DUMMYFUNCTION("""COMPUTED_VALUE"""),"ssudah di follow up, tidak ada jawaban, gagal")</f>
        <v>ssudah di follow up, tidak ada jawaban, gagal</v>
      </c>
    </row>
    <row r="69">
      <c r="F69" s="285" t="str">
        <f>IFERROR(__xludf.DUMMYFUNCTION("""COMPUTED_VALUE"""),"2606H063")</f>
        <v>2606H063</v>
      </c>
      <c r="G69" s="286">
        <f>IFERROR(__xludf.DUMMYFUNCTION("""COMPUTED_VALUE"""),46198.0)</f>
        <v>46198</v>
      </c>
      <c r="H69" s="285" t="str">
        <f>IFERROR(__xludf.DUMMYFUNCTION("""COMPUTED_VALUE"""),"Falira")</f>
        <v>Falira</v>
      </c>
      <c r="I69" s="285" t="str">
        <f>IFERROR(__xludf.DUMMYFUNCTION("""COMPUTED_VALUE"""),"082114059775")</f>
        <v>082114059775</v>
      </c>
      <c r="J69" s="285" t="str">
        <f>IFERROR(__xludf.DUMMYFUNCTION("""COMPUTED_VALUE"""),"Qualified")</f>
        <v>Qualified</v>
      </c>
      <c r="K69" s="285" t="str">
        <f>IFERROR(__xludf.DUMMYFUNCTION("""COMPUTED_VALUE"""),"3h2m")</f>
        <v>3h2m</v>
      </c>
      <c r="L69" s="287"/>
      <c r="M69" s="285">
        <f>IFERROR(__xludf.DUMMYFUNCTION("""COMPUTED_VALUE"""),40.0)</f>
        <v>40</v>
      </c>
      <c r="N69" s="289"/>
      <c r="O69" s="285" t="str">
        <f>IFERROR(__xludf.DUMMYFUNCTION("""COMPUTED_VALUE"""),"buat penawaran. fu 2 juli")</f>
        <v>buat penawaran. fu 2 juli</v>
      </c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B69" s="285" t="str">
        <f>IFERROR(__xludf.DUMMYFUNCTION("""COMPUTED_VALUE"""),"2603H010")</f>
        <v>2603H010</v>
      </c>
      <c r="AC69" s="286">
        <f>IFERROR(__xludf.DUMMYFUNCTION("""COMPUTED_VALUE"""),46094.0)</f>
        <v>46094</v>
      </c>
      <c r="AD69" s="285" t="str">
        <f>IFERROR(__xludf.DUMMYFUNCTION("""COMPUTED_VALUE"""),"iing")</f>
        <v>iing</v>
      </c>
      <c r="AE69" s="285" t="str">
        <f>IFERROR(__xludf.DUMMYFUNCTION("""COMPUTED_VALUE"""),"081388999950")</f>
        <v>081388999950</v>
      </c>
      <c r="AF69" s="285" t="str">
        <f>IFERROR(__xludf.DUMMYFUNCTION("""COMPUTED_VALUE"""),"Gagal")</f>
        <v>Gagal</v>
      </c>
      <c r="AG69" s="285" t="str">
        <f>IFERROR(__xludf.DUMMYFUNCTION("""COMPUTED_VALUE"""),"3H2M")</f>
        <v>3H2M</v>
      </c>
      <c r="AH69" s="287">
        <f>IFERROR(__xludf.DUMMYFUNCTION("""COMPUTED_VALUE"""),46100.0)</f>
        <v>46100</v>
      </c>
      <c r="AI69" s="285">
        <f>IFERROR(__xludf.DUMMYFUNCTION("""COMPUTED_VALUE"""),4.0)</f>
        <v>4</v>
      </c>
      <c r="AJ69" s="289">
        <f>IFERROR(__xludf.DUMMYFUNCTION("""COMPUTED_VALUE"""),1.27E7)</f>
        <v>12700000</v>
      </c>
      <c r="AK69" s="285" t="str">
        <f>IFERROR(__xludf.DUMMYFUNCTION("""COMPUTED_VALUE"""),"full booked")</f>
        <v>full booked</v>
      </c>
    </row>
    <row r="70">
      <c r="F70" s="285" t="str">
        <f>IFERROR(__xludf.DUMMYFUNCTION("""COMPUTED_VALUE"""),"2606H064")</f>
        <v>2606H064</v>
      </c>
      <c r="G70" s="286">
        <f>IFERROR(__xludf.DUMMYFUNCTION("""COMPUTED_VALUE"""),46199.0)</f>
        <v>46199</v>
      </c>
      <c r="H70" s="285" t="str">
        <f>IFERROR(__xludf.DUMMYFUNCTION("""COMPUTED_VALUE"""),"Gilang Ramadhan")</f>
        <v>Gilang Ramadhan</v>
      </c>
      <c r="I70" s="285" t="str">
        <f>IFERROR(__xludf.DUMMYFUNCTION("""COMPUTED_VALUE"""),"081287492544")</f>
        <v>081287492544</v>
      </c>
      <c r="J70" s="285" t="str">
        <f>IFERROR(__xludf.DUMMYFUNCTION("""COMPUTED_VALUE"""),"Qualified")</f>
        <v>Qualified</v>
      </c>
      <c r="K70" s="285" t="str">
        <f>IFERROR(__xludf.DUMMYFUNCTION("""COMPUTED_VALUE"""),"3h2m")</f>
        <v>3h2m</v>
      </c>
      <c r="L70" s="287"/>
      <c r="M70" s="285">
        <f>IFERROR(__xludf.DUMMYFUNCTION("""COMPUTED_VALUE"""),70.0)</f>
        <v>70</v>
      </c>
      <c r="N70" s="289"/>
      <c r="O70" s="285" t="str">
        <f>IFERROR(__xludf.DUMMYFUNCTION("""COMPUTED_VALUE"""),"buat penawaran. fu 2 juli")</f>
        <v>buat penawaran. fu 2 juli</v>
      </c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B70" s="285" t="str">
        <f>IFERROR(__xludf.DUMMYFUNCTION("""COMPUTED_VALUE"""),"2603H011")</f>
        <v>2603H011</v>
      </c>
      <c r="AC70" s="286">
        <f>IFERROR(__xludf.DUMMYFUNCTION("""COMPUTED_VALUE"""),46094.0)</f>
        <v>46094</v>
      </c>
      <c r="AD70" s="285" t="str">
        <f>IFERROR(__xludf.DUMMYFUNCTION("""COMPUTED_VALUE"""),"Mvxlv")</f>
        <v>Mvxlv</v>
      </c>
      <c r="AE70" s="285" t="str">
        <f>IFERROR(__xludf.DUMMYFUNCTION("""COMPUTED_VALUE"""),"082315466518")</f>
        <v>082315466518</v>
      </c>
      <c r="AF70" s="285" t="str">
        <f>IFERROR(__xludf.DUMMYFUNCTION("""COMPUTED_VALUE"""),"Gagal")</f>
        <v>Gagal</v>
      </c>
      <c r="AG70" s="285"/>
      <c r="AH70" s="287"/>
      <c r="AI70" s="285"/>
      <c r="AJ70" s="289"/>
      <c r="AK70" s="285" t="str">
        <f>IFERROR(__xludf.DUMMYFUNCTION("""COMPUTED_VALUE"""),"tidak jadi, travel dari bogor")</f>
        <v>tidak jadi, travel dari bogor</v>
      </c>
    </row>
    <row r="71">
      <c r="F71" s="285" t="str">
        <f>IFERROR(__xludf.DUMMYFUNCTION("""COMPUTED_VALUE"""),"2606H068")</f>
        <v>2606H068</v>
      </c>
      <c r="G71" s="286">
        <f>IFERROR(__xludf.DUMMYFUNCTION("""COMPUTED_VALUE"""),46200.0)</f>
        <v>46200</v>
      </c>
      <c r="H71" s="285" t="str">
        <f>IFERROR(__xludf.DUMMYFUNCTION("""COMPUTED_VALUE"""),"Tyas Ningrum")</f>
        <v>Tyas Ningrum</v>
      </c>
      <c r="I71" s="285" t="str">
        <f>IFERROR(__xludf.DUMMYFUNCTION("""COMPUTED_VALUE"""),"08119670339")</f>
        <v>08119670339</v>
      </c>
      <c r="J71" s="285" t="str">
        <f>IFERROR(__xludf.DUMMYFUNCTION("""COMPUTED_VALUE"""),"Qualified")</f>
        <v>Qualified</v>
      </c>
      <c r="K71" s="285" t="str">
        <f>IFERROR(__xludf.DUMMYFUNCTION("""COMPUTED_VALUE"""),"4h3m")</f>
        <v>4h3m</v>
      </c>
      <c r="L71" s="287"/>
      <c r="M71" s="285">
        <f>IFERROR(__xludf.DUMMYFUNCTION("""COMPUTED_VALUE"""),5.0)</f>
        <v>5</v>
      </c>
      <c r="N71" s="289"/>
      <c r="O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B71" s="285" t="str">
        <f>IFERROR(__xludf.DUMMYFUNCTION("""COMPUTED_VALUE"""),"2603H012")</f>
        <v>2603H012</v>
      </c>
      <c r="AC71" s="286">
        <f>IFERROR(__xludf.DUMMYFUNCTION("""COMPUTED_VALUE"""),46094.0)</f>
        <v>46094</v>
      </c>
      <c r="AD71" s="285" t="str">
        <f>IFERROR(__xludf.DUMMYFUNCTION("""COMPUTED_VALUE"""),"Agnes Putri")</f>
        <v>Agnes Putri</v>
      </c>
      <c r="AE71" s="285" t="str">
        <f>IFERROR(__xludf.DUMMYFUNCTION("""COMPUTED_VALUE"""),"085697084349")</f>
        <v>085697084349</v>
      </c>
      <c r="AF71" s="285" t="str">
        <f>IFERROR(__xludf.DUMMYFUNCTION("""COMPUTED_VALUE"""),"Gagal")</f>
        <v>Gagal</v>
      </c>
      <c r="AG71" s="285" t="str">
        <f>IFERROR(__xludf.DUMMYFUNCTION("""COMPUTED_VALUE"""),"trip Ijen, Baluran")</f>
        <v>trip Ijen, Baluran</v>
      </c>
      <c r="AH71" s="287">
        <f>IFERROR(__xludf.DUMMYFUNCTION("""COMPUTED_VALUE"""),46098.0)</f>
        <v>46098</v>
      </c>
      <c r="AI71" s="285"/>
      <c r="AJ71" s="289"/>
      <c r="AK71" s="285" t="str">
        <f>IFERROR(__xludf.DUMMYFUNCTION("""COMPUTED_VALUE"""),"trip nya diganti ke Trenggalek ")</f>
        <v>trip nya diganti ke Trenggalek </v>
      </c>
    </row>
    <row r="72">
      <c r="F72" s="285" t="str">
        <f>IFERROR(__xludf.DUMMYFUNCTION("""COMPUTED_VALUE"""),"2606H073")</f>
        <v>2606H073</v>
      </c>
      <c r="G72" s="286">
        <f>IFERROR(__xludf.DUMMYFUNCTION("""COMPUTED_VALUE"""),46201.0)</f>
        <v>46201</v>
      </c>
      <c r="H72" s="285" t="str">
        <f>IFERROR(__xludf.DUMMYFUNCTION("""COMPUTED_VALUE"""),"Edy")</f>
        <v>Edy</v>
      </c>
      <c r="I72" s="285" t="str">
        <f>IFERROR(__xludf.DUMMYFUNCTION("""COMPUTED_VALUE"""),"082195284422")</f>
        <v>082195284422</v>
      </c>
      <c r="J72" s="285" t="str">
        <f>IFERROR(__xludf.DUMMYFUNCTION("""COMPUTED_VALUE"""),"Qualified")</f>
        <v>Qualified</v>
      </c>
      <c r="K72" s="285" t="str">
        <f>IFERROR(__xludf.DUMMYFUNCTION("""COMPUTED_VALUE"""),"2H1M opsi A")</f>
        <v>2H1M opsi A</v>
      </c>
      <c r="L72" s="287"/>
      <c r="M72" s="285">
        <f>IFERROR(__xludf.DUMMYFUNCTION("""COMPUTED_VALUE"""),2.0)</f>
        <v>2</v>
      </c>
      <c r="N72" s="289">
        <f>IFERROR(__xludf.DUMMYFUNCTION("""COMPUTED_VALUE"""),4110000.0)</f>
        <v>4110000</v>
      </c>
      <c r="O72" s="285" t="str">
        <f>IFERROR(__xludf.DUMMYFUNCTION("""COMPUTED_VALUE"""),"fu 15 juli. konfirmasi buka baluran")</f>
        <v>fu 15 juli. konfirmasi buka baluran</v>
      </c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B72" s="285" t="str">
        <f>IFERROR(__xludf.DUMMYFUNCTION("""COMPUTED_VALUE"""),"2603H014")</f>
        <v>2603H014</v>
      </c>
      <c r="AC72" s="286">
        <f>IFERROR(__xludf.DUMMYFUNCTION("""COMPUTED_VALUE"""),46095.0)</f>
        <v>46095</v>
      </c>
      <c r="AD72" s="285" t="str">
        <f>IFERROR(__xludf.DUMMYFUNCTION("""COMPUTED_VALUE"""),"Azhar")</f>
        <v>Azhar</v>
      </c>
      <c r="AE72" s="285" t="str">
        <f>IFERROR(__xludf.DUMMYFUNCTION("""COMPUTED_VALUE"""),"08161612238")</f>
        <v>08161612238</v>
      </c>
      <c r="AF72" s="285" t="str">
        <f>IFERROR(__xludf.DUMMYFUNCTION("""COMPUTED_VALUE"""),"Gagal")</f>
        <v>Gagal</v>
      </c>
      <c r="AG72" s="285" t="str">
        <f>IFERROR(__xludf.DUMMYFUNCTION("""COMPUTED_VALUE"""),"custom 2H1M ")</f>
        <v>custom 2H1M </v>
      </c>
      <c r="AH72" s="287"/>
      <c r="AI72" s="285">
        <f>IFERROR(__xludf.DUMMYFUNCTION("""COMPUTED_VALUE"""),3.0)</f>
        <v>3</v>
      </c>
      <c r="AJ72" s="289">
        <f>IFERROR(__xludf.DUMMYFUNCTION("""COMPUTED_VALUE"""),8315000.0)</f>
        <v>8315000</v>
      </c>
      <c r="AK72" s="285" t="str">
        <f>IFERROR(__xludf.DUMMYFUNCTION("""COMPUTED_VALUE"""),"tidak ada jawaban, sdh fu")</f>
        <v>tidak ada jawaban, sdh fu</v>
      </c>
    </row>
    <row r="73">
      <c r="F73" s="285" t="str">
        <f>IFERROR(__xludf.DUMMYFUNCTION("""COMPUTED_VALUE"""),"2606H081")</f>
        <v>2606H081</v>
      </c>
      <c r="G73" s="286">
        <f>IFERROR(__xludf.DUMMYFUNCTION("""COMPUTED_VALUE"""),46203.0)</f>
        <v>46203</v>
      </c>
      <c r="H73" s="285" t="str">
        <f>IFERROR(__xludf.DUMMYFUNCTION("""COMPUTED_VALUE"""),"Daniez")</f>
        <v>Daniez</v>
      </c>
      <c r="I73" s="285" t="str">
        <f>IFERROR(__xludf.DUMMYFUNCTION("""COMPUTED_VALUE"""),"085736335573")</f>
        <v>085736335573</v>
      </c>
      <c r="J73" s="285" t="str">
        <f>IFERROR(__xludf.DUMMYFUNCTION("""COMPUTED_VALUE"""),"Qualified")</f>
        <v>Qualified</v>
      </c>
      <c r="K73" s="285" t="str">
        <f>IFERROR(__xludf.DUMMYFUNCTION("""COMPUTED_VALUE"""),"mt")</f>
        <v>mt</v>
      </c>
      <c r="L73" s="287">
        <f>IFERROR(__xludf.DUMMYFUNCTION("""COMPUTED_VALUE"""),46207.0)</f>
        <v>46207</v>
      </c>
      <c r="M73" s="285">
        <f>IFERROR(__xludf.DUMMYFUNCTION("""COMPUTED_VALUE"""),5.0)</f>
        <v>5</v>
      </c>
      <c r="N73" s="289">
        <f>IFERROR(__xludf.DUMMYFUNCTION("""COMPUTED_VALUE"""),2675000.0)</f>
        <v>2675000</v>
      </c>
      <c r="O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B73" s="285" t="str">
        <f>IFERROR(__xludf.DUMMYFUNCTION("""COMPUTED_VALUE"""),"2603H015")</f>
        <v>2603H015</v>
      </c>
      <c r="AC73" s="286">
        <f>IFERROR(__xludf.DUMMYFUNCTION("""COMPUTED_VALUE"""),46095.0)</f>
        <v>46095</v>
      </c>
      <c r="AD73" s="285" t="str">
        <f>IFERROR(__xludf.DUMMYFUNCTION("""COMPUTED_VALUE"""),"Isti")</f>
        <v>Isti</v>
      </c>
      <c r="AE73" s="285" t="str">
        <f>IFERROR(__xludf.DUMMYFUNCTION("""COMPUTED_VALUE"""),"085817202531")</f>
        <v>085817202531</v>
      </c>
      <c r="AF73" s="285" t="str">
        <f>IFERROR(__xludf.DUMMYFUNCTION("""COMPUTED_VALUE"""),"Gagal")</f>
        <v>Gagal</v>
      </c>
      <c r="AG73" s="285" t="str">
        <f>IFERROR(__xludf.DUMMYFUNCTION("""COMPUTED_VALUE"""),"paket custom")</f>
        <v>paket custom</v>
      </c>
      <c r="AH73" s="287">
        <f>IFERROR(__xludf.DUMMYFUNCTION("""COMPUTED_VALUE"""),46104.0)</f>
        <v>46104</v>
      </c>
      <c r="AI73" s="285">
        <f>IFERROR(__xludf.DUMMYFUNCTION("""COMPUTED_VALUE"""),4.0)</f>
        <v>4</v>
      </c>
      <c r="AJ73" s="289">
        <f>IFERROR(__xludf.DUMMYFUNCTION("""COMPUTED_VALUE"""),7148000.0)</f>
        <v>7148000</v>
      </c>
      <c r="AK73" s="285" t="str">
        <f>IFERROR(__xludf.DUMMYFUNCTION("""COMPUTED_VALUE"""),"sudah kirim penawaran, masih diskusi ")</f>
        <v>sudah kirim penawaran, masih diskusi </v>
      </c>
    </row>
    <row r="74">
      <c r="F74" s="285" t="str">
        <f>IFERROR(__xludf.DUMMYFUNCTION("""COMPUTED_VALUE"""),"2606H084")</f>
        <v>2606H084</v>
      </c>
      <c r="G74" s="286">
        <f>IFERROR(__xludf.DUMMYFUNCTION("""COMPUTED_VALUE"""),46203.0)</f>
        <v>46203</v>
      </c>
      <c r="H74" s="285" t="str">
        <f>IFERROR(__xludf.DUMMYFUNCTION("""COMPUTED_VALUE"""),"Atik Wibawati")</f>
        <v>Atik Wibawati</v>
      </c>
      <c r="I74" s="285" t="str">
        <f>IFERROR(__xludf.DUMMYFUNCTION("""COMPUTED_VALUE"""),"0811900059")</f>
        <v>0811900059</v>
      </c>
      <c r="J74" s="285" t="str">
        <f>IFERROR(__xludf.DUMMYFUNCTION("""COMPUTED_VALUE"""),"Qualified")</f>
        <v>Qualified</v>
      </c>
      <c r="K74" s="285" t="str">
        <f>IFERROR(__xludf.DUMMYFUNCTION("""COMPUTED_VALUE"""),"3h2m")</f>
        <v>3h2m</v>
      </c>
      <c r="L74" s="287"/>
      <c r="M74" s="285">
        <f>IFERROR(__xludf.DUMMYFUNCTION("""COMPUTED_VALUE"""),15.0)</f>
        <v>15</v>
      </c>
      <c r="N74" s="289">
        <f>IFERROR(__xludf.DUMMYFUNCTION("""COMPUTED_VALUE"""),2.7E7)</f>
        <v>27000000</v>
      </c>
      <c r="O74" s="285" t="str">
        <f>IFERROR(__xludf.DUMMYFUNCTION("""COMPUTED_VALUE"""),"fu 16 Juli")</f>
        <v>fu 16 Juli</v>
      </c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B74" s="285" t="str">
        <f>IFERROR(__xludf.DUMMYFUNCTION("""COMPUTED_VALUE"""),"2603H016")</f>
        <v>2603H016</v>
      </c>
      <c r="AC74" s="286">
        <f>IFERROR(__xludf.DUMMYFUNCTION("""COMPUTED_VALUE"""),46096.0)</f>
        <v>46096</v>
      </c>
      <c r="AD74" s="285" t="str">
        <f>IFERROR(__xludf.DUMMYFUNCTION("""COMPUTED_VALUE"""),"Rindra")</f>
        <v>Rindra</v>
      </c>
      <c r="AE74" s="285" t="str">
        <f>IFERROR(__xludf.DUMMYFUNCTION("""COMPUTED_VALUE"""),"085722362657")</f>
        <v>085722362657</v>
      </c>
      <c r="AF74" s="285" t="str">
        <f>IFERROR(__xludf.DUMMYFUNCTION("""COMPUTED_VALUE"""),"Gagal")</f>
        <v>Gagal</v>
      </c>
      <c r="AG74" s="285" t="str">
        <f>IFERROR(__xludf.DUMMYFUNCTION("""COMPUTED_VALUE"""),"custom 4H3M")</f>
        <v>custom 4H3M</v>
      </c>
      <c r="AH74" s="287"/>
      <c r="AI74" s="285">
        <f>IFERROR(__xludf.DUMMYFUNCTION("""COMPUTED_VALUE"""),2.0)</f>
        <v>2</v>
      </c>
      <c r="AJ74" s="289"/>
      <c r="AK74" s="285" t="str">
        <f>IFERROR(__xludf.DUMMYFUNCTION("""COMPUTED_VALUE"""),"tanya tanya dulu")</f>
        <v>tanya tanya dulu</v>
      </c>
    </row>
    <row r="75">
      <c r="F75" s="285" t="str">
        <f>IFERROR(__xludf.DUMMYFUNCTION("""COMPUTED_VALUE"""),"2607H012")</f>
        <v>2607H012</v>
      </c>
      <c r="G75" s="286">
        <f>IFERROR(__xludf.DUMMYFUNCTION("""COMPUTED_VALUE"""),46208.0)</f>
        <v>46208</v>
      </c>
      <c r="H75" s="285" t="str">
        <f>IFERROR(__xludf.DUMMYFUNCTION("""COMPUTED_VALUE"""),"reynanda nadhira")</f>
        <v>reynanda nadhira</v>
      </c>
      <c r="I75" s="285" t="str">
        <f>IFERROR(__xludf.DUMMYFUNCTION("""COMPUTED_VALUE"""),"088220708108")</f>
        <v>088220708108</v>
      </c>
      <c r="J75" s="285" t="str">
        <f>IFERROR(__xludf.DUMMYFUNCTION("""COMPUTED_VALUE"""),"Qualified")</f>
        <v>Qualified</v>
      </c>
      <c r="K75" s="285" t="str">
        <f>IFERROR(__xludf.DUMMYFUNCTION("""COMPUTED_VALUE"""),"2h1m custome")</f>
        <v>2h1m custome</v>
      </c>
      <c r="L75" s="287"/>
      <c r="M75" s="285"/>
      <c r="N75" s="289"/>
      <c r="O75" s="285" t="str">
        <f>IFERROR(__xludf.DUMMYFUNCTION("""COMPUTED_VALUE"""),"FU 20 Juli")</f>
        <v>FU 20 Juli</v>
      </c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B75" s="285" t="str">
        <f>IFERROR(__xludf.DUMMYFUNCTION("""COMPUTED_VALUE"""),"2603H017")</f>
        <v>2603H017</v>
      </c>
      <c r="AC75" s="286">
        <f>IFERROR(__xludf.DUMMYFUNCTION("""COMPUTED_VALUE"""),46096.0)</f>
        <v>46096</v>
      </c>
      <c r="AD75" s="285" t="str">
        <f>IFERROR(__xludf.DUMMYFUNCTION("""COMPUTED_VALUE"""),"Saskia")</f>
        <v>Saskia</v>
      </c>
      <c r="AE75" s="285" t="str">
        <f>IFERROR(__xludf.DUMMYFUNCTION("""COMPUTED_VALUE"""),"089636427447")</f>
        <v>089636427447</v>
      </c>
      <c r="AF75" s="285" t="str">
        <f>IFERROR(__xludf.DUMMYFUNCTION("""COMPUTED_VALUE"""),"Gagal")</f>
        <v>Gagal</v>
      </c>
      <c r="AG75" s="285" t="str">
        <f>IFERROR(__xludf.DUMMYFUNCTION("""COMPUTED_VALUE"""),"4H3M")</f>
        <v>4H3M</v>
      </c>
      <c r="AH75" s="287"/>
      <c r="AI75" s="285">
        <f>IFERROR(__xludf.DUMMYFUNCTION("""COMPUTED_VALUE"""),3.0)</f>
        <v>3</v>
      </c>
      <c r="AJ75" s="289">
        <f>IFERROR(__xludf.DUMMYFUNCTION("""COMPUTED_VALUE"""),7002000.0)</f>
        <v>7002000</v>
      </c>
      <c r="AK75" s="285" t="str">
        <f>IFERROR(__xludf.DUMMYFUNCTION("""COMPUTED_VALUE"""),"trip ditunda karena suatu alasan")</f>
        <v>trip ditunda karena suatu alasan</v>
      </c>
    </row>
    <row r="76">
      <c r="F76" s="285" t="str">
        <f>IFERROR(__xludf.DUMMYFUNCTION("""COMPUTED_VALUE"""),"2607H015")</f>
        <v>2607H015</v>
      </c>
      <c r="G76" s="286">
        <f>IFERROR(__xludf.DUMMYFUNCTION("""COMPUTED_VALUE"""),46209.0)</f>
        <v>46209</v>
      </c>
      <c r="H76" s="285" t="str">
        <f>IFERROR(__xludf.DUMMYFUNCTION("""COMPUTED_VALUE"""),"mine")</f>
        <v>mine</v>
      </c>
      <c r="I76" s="285" t="str">
        <f>IFERROR(__xludf.DUMMYFUNCTION("""COMPUTED_VALUE"""),"085251153623")</f>
        <v>085251153623</v>
      </c>
      <c r="J76" s="285" t="str">
        <f>IFERROR(__xludf.DUMMYFUNCTION("""COMPUTED_VALUE"""),"Qualified")</f>
        <v>Qualified</v>
      </c>
      <c r="K76" s="285" t="str">
        <f>IFERROR(__xludf.DUMMYFUNCTION("""COMPUTED_VALUE"""),"3H2M custome")</f>
        <v>3H2M custome</v>
      </c>
      <c r="L76" s="287"/>
      <c r="M76" s="285">
        <f>IFERROR(__xludf.DUMMYFUNCTION("""COMPUTED_VALUE"""),10.0)</f>
        <v>10</v>
      </c>
      <c r="N76" s="289"/>
      <c r="O76" s="285" t="str">
        <f>IFERROR(__xludf.DUMMYFUNCTION("""COMPUTED_VALUE"""),"FU 18 Juli ")</f>
        <v>FU 18 Juli </v>
      </c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B76" s="285" t="str">
        <f>IFERROR(__xludf.DUMMYFUNCTION("""COMPUTED_VALUE"""),"2603H019")</f>
        <v>2603H019</v>
      </c>
      <c r="AC76" s="286">
        <f>IFERROR(__xludf.DUMMYFUNCTION("""COMPUTED_VALUE"""),46097.0)</f>
        <v>46097</v>
      </c>
      <c r="AD76" s="285" t="str">
        <f>IFERROR(__xludf.DUMMYFUNCTION("""COMPUTED_VALUE"""),"Nanin")</f>
        <v>Nanin</v>
      </c>
      <c r="AE76" s="285" t="str">
        <f>IFERROR(__xludf.DUMMYFUNCTION("""COMPUTED_VALUE"""),"085269166524")</f>
        <v>085269166524</v>
      </c>
      <c r="AF76" s="285" t="str">
        <f>IFERROR(__xludf.DUMMYFUNCTION("""COMPUTED_VALUE"""),"Gagal")</f>
        <v>Gagal</v>
      </c>
      <c r="AG76" s="285" t="str">
        <f>IFERROR(__xludf.DUMMYFUNCTION("""COMPUTED_VALUE"""),"custom 3H2M")</f>
        <v>custom 3H2M</v>
      </c>
      <c r="AH76" s="287">
        <f>IFERROR(__xludf.DUMMYFUNCTION("""COMPUTED_VALUE"""),46102.0)</f>
        <v>46102</v>
      </c>
      <c r="AI76" s="285">
        <f>IFERROR(__xludf.DUMMYFUNCTION("""COMPUTED_VALUE"""),4.0)</f>
        <v>4</v>
      </c>
      <c r="AJ76" s="289">
        <f>IFERROR(__xludf.DUMMYFUNCTION("""COMPUTED_VALUE"""),1.356E7)</f>
        <v>13560000</v>
      </c>
      <c r="AK76" s="285" t="str">
        <f>IFERROR(__xludf.DUMMYFUNCTION("""COMPUTED_VALUE"""),"lewat tanggal tidak balas")</f>
        <v>lewat tanggal tidak balas</v>
      </c>
    </row>
    <row r="77">
      <c r="F77" s="285" t="str">
        <f>IFERROR(__xludf.DUMMYFUNCTION("""COMPUTED_VALUE"""),"2607H017")</f>
        <v>2607H017</v>
      </c>
      <c r="G77" s="286">
        <f>IFERROR(__xludf.DUMMYFUNCTION("""COMPUTED_VALUE"""),46210.0)</f>
        <v>46210</v>
      </c>
      <c r="H77" s="285" t="str">
        <f>IFERROR(__xludf.DUMMYFUNCTION("""COMPUTED_VALUE"""),"Delta Echo Nov2 Yankee")</f>
        <v>Delta Echo Nov2 Yankee</v>
      </c>
      <c r="I77" s="285" t="str">
        <f>IFERROR(__xludf.DUMMYFUNCTION("""COMPUTED_VALUE"""),"089515196502")</f>
        <v>089515196502</v>
      </c>
      <c r="J77" s="285" t="str">
        <f>IFERROR(__xludf.DUMMYFUNCTION("""COMPUTED_VALUE"""),"Qualified")</f>
        <v>Qualified</v>
      </c>
      <c r="K77" s="285" t="str">
        <f>IFERROR(__xludf.DUMMYFUNCTION("""COMPUTED_VALUE"""),"ot ijen")</f>
        <v>ot ijen</v>
      </c>
      <c r="L77" s="287">
        <f>IFERROR(__xludf.DUMMYFUNCTION("""COMPUTED_VALUE"""),46240.0)</f>
        <v>46240</v>
      </c>
      <c r="M77" s="285">
        <f>IFERROR(__xludf.DUMMYFUNCTION("""COMPUTED_VALUE"""),2.0)</f>
        <v>2</v>
      </c>
      <c r="N77" s="289">
        <f>IFERROR(__xludf.DUMMYFUNCTION("""COMPUTED_VALUE"""),500000.0)</f>
        <v>500000</v>
      </c>
      <c r="O77" s="285" t="str">
        <f>IFERROR(__xludf.DUMMYFUNCTION("""COMPUTED_VALUE"""),"fu 28 juli")</f>
        <v>fu 28 juli</v>
      </c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B77" s="285" t="str">
        <f>IFERROR(__xludf.DUMMYFUNCTION("""COMPUTED_VALUE"""),"2603H020")</f>
        <v>2603H020</v>
      </c>
      <c r="AC77" s="286">
        <f>IFERROR(__xludf.DUMMYFUNCTION("""COMPUTED_VALUE"""),46099.0)</f>
        <v>46099</v>
      </c>
      <c r="AD77" s="285" t="str">
        <f>IFERROR(__xludf.DUMMYFUNCTION("""COMPUTED_VALUE"""),"Robby")</f>
        <v>Robby</v>
      </c>
      <c r="AE77" s="285" t="str">
        <f>IFERROR(__xludf.DUMMYFUNCTION("""COMPUTED_VALUE""")," 087785169652")</f>
        <v> 087785169652</v>
      </c>
      <c r="AF77" s="285" t="str">
        <f>IFERROR(__xludf.DUMMYFUNCTION("""COMPUTED_VALUE"""),"Gagal")</f>
        <v>Gagal</v>
      </c>
      <c r="AG77" s="285" t="str">
        <f>IFERROR(__xludf.DUMMYFUNCTION("""COMPUTED_VALUE"""),"custom 4H3M ")</f>
        <v>custom 4H3M </v>
      </c>
      <c r="AH77" s="287"/>
      <c r="AI77" s="285">
        <f>IFERROR(__xludf.DUMMYFUNCTION("""COMPUTED_VALUE"""),3.0)</f>
        <v>3</v>
      </c>
      <c r="AJ77" s="289">
        <f>IFERROR(__xludf.DUMMYFUNCTION("""COMPUTED_VALUE"""),1.0719E7)</f>
        <v>10719000</v>
      </c>
      <c r="AK77" s="285" t="str">
        <f>IFERROR(__xludf.DUMMYFUNCTION("""COMPUTED_VALUE"""),"ga jadi katanya")</f>
        <v>ga jadi katanya</v>
      </c>
    </row>
    <row r="78">
      <c r="F78" s="285" t="str">
        <f>IFERROR(__xludf.DUMMYFUNCTION("""COMPUTED_VALUE"""),"2607H021")</f>
        <v>2607H021</v>
      </c>
      <c r="G78" s="286">
        <f>IFERROR(__xludf.DUMMYFUNCTION("""COMPUTED_VALUE"""),46212.0)</f>
        <v>46212</v>
      </c>
      <c r="H78" s="285" t="str">
        <f>IFERROR(__xludf.DUMMYFUNCTION("""COMPUTED_VALUE"""),"Risky Siregar")</f>
        <v>Risky Siregar</v>
      </c>
      <c r="I78" s="285" t="str">
        <f>IFERROR(__xludf.DUMMYFUNCTION("""COMPUTED_VALUE"""),"08112206522")</f>
        <v>08112206522</v>
      </c>
      <c r="J78" s="285" t="str">
        <f>IFERROR(__xludf.DUMMYFUNCTION("""COMPUTED_VALUE"""),"Qualified")</f>
        <v>Qualified</v>
      </c>
      <c r="K78" s="285" t="str">
        <f>IFERROR(__xludf.DUMMYFUNCTION("""COMPUTED_VALUE"""),"ot ijen, baluran")</f>
        <v>ot ijen, baluran</v>
      </c>
      <c r="L78" s="287">
        <f>IFERROR(__xludf.DUMMYFUNCTION("""COMPUTED_VALUE"""),46248.0)</f>
        <v>46248</v>
      </c>
      <c r="M78" s="285">
        <f>IFERROR(__xludf.DUMMYFUNCTION("""COMPUTED_VALUE"""),2.0)</f>
        <v>2</v>
      </c>
      <c r="N78" s="289"/>
      <c r="O78" s="285" t="str">
        <f>IFERROR(__xludf.DUMMYFUNCTION("""COMPUTED_VALUE"""),"Rencana trip 14 Agustus, FU 1 Agustus")</f>
        <v>Rencana trip 14 Agustus, FU 1 Agustus</v>
      </c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B78" s="285" t="str">
        <f>IFERROR(__xludf.DUMMYFUNCTION("""COMPUTED_VALUE"""),"2603H021")</f>
        <v>2603H021</v>
      </c>
      <c r="AC78" s="286">
        <f>IFERROR(__xludf.DUMMYFUNCTION("""COMPUTED_VALUE"""),46099.0)</f>
        <v>46099</v>
      </c>
      <c r="AD78" s="285" t="str">
        <f>IFERROR(__xludf.DUMMYFUNCTION("""COMPUTED_VALUE"""),"Cece Ayu")</f>
        <v>Cece Ayu</v>
      </c>
      <c r="AE78" s="285" t="str">
        <f>IFERROR(__xludf.DUMMYFUNCTION("""COMPUTED_VALUE"""),"088991164964")</f>
        <v>088991164964</v>
      </c>
      <c r="AF78" s="285" t="str">
        <f>IFERROR(__xludf.DUMMYFUNCTION("""COMPUTED_VALUE"""),"Gagal")</f>
        <v>Gagal</v>
      </c>
      <c r="AG78" s="285" t="str">
        <f>IFERROR(__xludf.DUMMYFUNCTION("""COMPUTED_VALUE"""),"1 day trip ")</f>
        <v>1 day trip </v>
      </c>
      <c r="AH78" s="287"/>
      <c r="AI78" s="285">
        <f>IFERROR(__xludf.DUMMYFUNCTION("""COMPUTED_VALUE"""),3.0)</f>
        <v>3</v>
      </c>
      <c r="AJ78" s="289">
        <f>IFERROR(__xludf.DUMMYFUNCTION("""COMPUTED_VALUE"""),3300000.0)</f>
        <v>3300000</v>
      </c>
      <c r="AK78" s="285" t="str">
        <f>IFERROR(__xludf.DUMMYFUNCTION("""COMPUTED_VALUE"""),"sakit, tidak jadi trip")</f>
        <v>sakit, tidak jadi trip</v>
      </c>
    </row>
    <row r="79">
      <c r="F79" s="285" t="str">
        <f>IFERROR(__xludf.DUMMYFUNCTION("""COMPUTED_VALUE"""),"2607H022")</f>
        <v>2607H022</v>
      </c>
      <c r="G79" s="286">
        <f>IFERROR(__xludf.DUMMYFUNCTION("""COMPUTED_VALUE"""),46214.0)</f>
        <v>46214</v>
      </c>
      <c r="H79" s="285" t="str">
        <f>IFERROR(__xludf.DUMMYFUNCTION("""COMPUTED_VALUE"""),"Dewi Dahlia")</f>
        <v>Dewi Dahlia</v>
      </c>
      <c r="I79" s="285" t="str">
        <f>IFERROR(__xludf.DUMMYFUNCTION("""COMPUTED_VALUE"""),"081196901118")</f>
        <v>081196901118</v>
      </c>
      <c r="J79" s="285" t="str">
        <f>IFERROR(__xludf.DUMMYFUNCTION("""COMPUTED_VALUE"""),"Qualified")</f>
        <v>Qualified</v>
      </c>
      <c r="K79" s="285" t="str">
        <f>IFERROR(__xludf.DUMMYFUNCTION("""COMPUTED_VALUE"""),"ot menjangan tabuhan")</f>
        <v>ot menjangan tabuhan</v>
      </c>
      <c r="L79" s="287"/>
      <c r="M79" s="285"/>
      <c r="N79" s="289"/>
      <c r="O79" s="285" t="str">
        <f>IFERROR(__xludf.DUMMYFUNCTION("""COMPUTED_VALUE"""),"FU 1 Agustus")</f>
        <v>FU 1 Agustus</v>
      </c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B79" s="285" t="str">
        <f>IFERROR(__xludf.DUMMYFUNCTION("""COMPUTED_VALUE"""),"2603H022")</f>
        <v>2603H022</v>
      </c>
      <c r="AC79" s="286">
        <f>IFERROR(__xludf.DUMMYFUNCTION("""COMPUTED_VALUE"""),46100.0)</f>
        <v>46100</v>
      </c>
      <c r="AD79" s="285" t="str">
        <f>IFERROR(__xludf.DUMMYFUNCTION("""COMPUTED_VALUE"""),"Keiza")</f>
        <v>Keiza</v>
      </c>
      <c r="AE79" s="285" t="str">
        <f>IFERROR(__xludf.DUMMYFUNCTION("""COMPUTED_VALUE"""),"081617779529")</f>
        <v>081617779529</v>
      </c>
      <c r="AF79" s="285" t="str">
        <f>IFERROR(__xludf.DUMMYFUNCTION("""COMPUTED_VALUE"""),"Gagal")</f>
        <v>Gagal</v>
      </c>
      <c r="AG79" s="285" t="str">
        <f>IFERROR(__xludf.DUMMYFUNCTION("""COMPUTED_VALUE"""),"paket custom I, M, T")</f>
        <v>paket custom I, M, T</v>
      </c>
      <c r="AH79" s="287">
        <f>IFERROR(__xludf.DUMMYFUNCTION("""COMPUTED_VALUE"""),46106.0)</f>
        <v>46106</v>
      </c>
      <c r="AI79" s="285">
        <f>IFERROR(__xludf.DUMMYFUNCTION("""COMPUTED_VALUE"""),6.0)</f>
        <v>6</v>
      </c>
      <c r="AJ79" s="289"/>
      <c r="AK79" s="285" t="str">
        <f>IFERROR(__xludf.DUMMYFUNCTION("""COMPUTED_VALUE"""),"masih diskus sm keluarga ")</f>
        <v>masih diskus sm keluarga </v>
      </c>
    </row>
    <row r="80">
      <c r="F80" s="285" t="str">
        <f>IFERROR(__xludf.DUMMYFUNCTION("""COMPUTED_VALUE"""),"2607H025")</f>
        <v>2607H025</v>
      </c>
      <c r="G80" s="286">
        <f>IFERROR(__xludf.DUMMYFUNCTION("""COMPUTED_VALUE"""),46218.0)</f>
        <v>46218</v>
      </c>
      <c r="H80" s="285" t="str">
        <f>IFERROR(__xludf.DUMMYFUNCTION("""COMPUTED_VALUE"""),"Maya")</f>
        <v>Maya</v>
      </c>
      <c r="I80" s="285" t="str">
        <f>IFERROR(__xludf.DUMMYFUNCTION("""COMPUTED_VALUE"""),"081219107234")</f>
        <v>081219107234</v>
      </c>
      <c r="J80" s="285" t="str">
        <f>IFERROR(__xludf.DUMMYFUNCTION("""COMPUTED_VALUE"""),"Qualified")</f>
        <v>Qualified</v>
      </c>
      <c r="K80" s="285" t="str">
        <f>IFERROR(__xludf.DUMMYFUNCTION("""COMPUTED_VALUE"""),"2d1m custome")</f>
        <v>2d1m custome</v>
      </c>
      <c r="L80" s="287">
        <f>IFERROR(__xludf.DUMMYFUNCTION("""COMPUTED_VALUE"""),46330.0)</f>
        <v>46330</v>
      </c>
      <c r="M80" s="285">
        <f>IFERROR(__xludf.DUMMYFUNCTION("""COMPUTED_VALUE"""),4.0)</f>
        <v>4</v>
      </c>
      <c r="N80" s="289"/>
      <c r="O80" s="285" t="str">
        <f>IFERROR(__xludf.DUMMYFUNCTION("""COMPUTED_VALUE"""),"FU 20 Agustus")</f>
        <v>FU 20 Agustus</v>
      </c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B80" s="285" t="str">
        <f>IFERROR(__xludf.DUMMYFUNCTION("""COMPUTED_VALUE"""),"2603H023")</f>
        <v>2603H023</v>
      </c>
      <c r="AC80" s="286">
        <f>IFERROR(__xludf.DUMMYFUNCTION("""COMPUTED_VALUE"""),46100.0)</f>
        <v>46100</v>
      </c>
      <c r="AD80" s="285" t="str">
        <f>IFERROR(__xludf.DUMMYFUNCTION("""COMPUTED_VALUE"""),"Yose")</f>
        <v>Yose</v>
      </c>
      <c r="AE80" s="285" t="str">
        <f>IFERROR(__xludf.DUMMYFUNCTION("""COMPUTED_VALUE"""),"0816100262")</f>
        <v>0816100262</v>
      </c>
      <c r="AF80" s="285" t="str">
        <f>IFERROR(__xludf.DUMMYFUNCTION("""COMPUTED_VALUE"""),"Gagal")</f>
        <v>Gagal</v>
      </c>
      <c r="AG80" s="285"/>
      <c r="AH80" s="287"/>
      <c r="AI80" s="285"/>
      <c r="AJ80" s="289"/>
      <c r="AK80" s="285" t="str">
        <f>IFERROR(__xludf.DUMMYFUNCTION("""COMPUTED_VALUE"""),"menyapa ")</f>
        <v>menyapa </v>
      </c>
    </row>
    <row r="81">
      <c r="F81" s="285" t="str">
        <f>IFERROR(__xludf.DUMMYFUNCTION("""COMPUTED_VALUE"""),"2607H026")</f>
        <v>2607H026</v>
      </c>
      <c r="G81" s="286">
        <f>IFERROR(__xludf.DUMMYFUNCTION("""COMPUTED_VALUE"""),46221.0)</f>
        <v>46221</v>
      </c>
      <c r="H81" s="285" t="str">
        <f>IFERROR(__xludf.DUMMYFUNCTION("""COMPUTED_VALUE"""),"Evi Melva")</f>
        <v>Evi Melva</v>
      </c>
      <c r="I81" s="285" t="str">
        <f>IFERROR(__xludf.DUMMYFUNCTION("""COMPUTED_VALUE"""),"081310040544")</f>
        <v>081310040544</v>
      </c>
      <c r="J81" s="285" t="str">
        <f>IFERROR(__xludf.DUMMYFUNCTION("""COMPUTED_VALUE"""),"Qualified")</f>
        <v>Qualified</v>
      </c>
      <c r="K81" s="285" t="str">
        <f>IFERROR(__xludf.DUMMYFUNCTION("""COMPUTED_VALUE"""),"OT 3H2M")</f>
        <v>OT 3H2M</v>
      </c>
      <c r="L81" s="287">
        <f>IFERROR(__xludf.DUMMYFUNCTION("""COMPUTED_VALUE"""),46256.0)</f>
        <v>46256</v>
      </c>
      <c r="M81" s="285">
        <f>IFERROR(__xludf.DUMMYFUNCTION("""COMPUTED_VALUE"""),2.0)</f>
        <v>2</v>
      </c>
      <c r="N81" s="289">
        <f>IFERROR(__xludf.DUMMYFUNCTION("""COMPUTED_VALUE"""),3200000.0)</f>
        <v>3200000</v>
      </c>
      <c r="O81" s="285" t="str">
        <f>IFERROR(__xludf.DUMMYFUNCTION("""COMPUTED_VALUE"""),"FU  1 Agustus")</f>
        <v>FU  1 Agustus</v>
      </c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B81" s="285" t="str">
        <f>IFERROR(__xludf.DUMMYFUNCTION("""COMPUTED_VALUE"""),"2603H024")</f>
        <v>2603H024</v>
      </c>
      <c r="AC81" s="286">
        <f>IFERROR(__xludf.DUMMYFUNCTION("""COMPUTED_VALUE"""),46099.0)</f>
        <v>46099</v>
      </c>
      <c r="AD81" s="285" t="str">
        <f>IFERROR(__xludf.DUMMYFUNCTION("""COMPUTED_VALUE"""),"ZJT")</f>
        <v>ZJT</v>
      </c>
      <c r="AE81" s="285" t="str">
        <f>IFERROR(__xludf.DUMMYFUNCTION("""COMPUTED_VALUE"""),"087870159618")</f>
        <v>087870159618</v>
      </c>
      <c r="AF81" s="285" t="str">
        <f>IFERROR(__xludf.DUMMYFUNCTION("""COMPUTED_VALUE"""),"Gagal")</f>
        <v>Gagal</v>
      </c>
      <c r="AG81" s="285"/>
      <c r="AH81" s="287"/>
      <c r="AI81" s="285"/>
      <c r="AJ81" s="289"/>
      <c r="AK81" s="285" t="str">
        <f>IFERROR(__xludf.DUMMYFUNCTION("""COMPUTED_VALUE"""),"Hanya menyapa saja, tidak ada jawaban")</f>
        <v>Hanya menyapa saja, tidak ada jawaban</v>
      </c>
    </row>
    <row r="82">
      <c r="F82" s="285" t="str">
        <f>IFERROR(__xludf.DUMMYFUNCTION("""COMPUTED_VALUE"""),"2607H028")</f>
        <v>2607H028</v>
      </c>
      <c r="G82" s="286">
        <f>IFERROR(__xludf.DUMMYFUNCTION("""COMPUTED_VALUE"""),46222.0)</f>
        <v>46222</v>
      </c>
      <c r="H82" s="285" t="str">
        <f>IFERROR(__xludf.DUMMYFUNCTION("""COMPUTED_VALUE"""),"Ardiyan")</f>
        <v>Ardiyan</v>
      </c>
      <c r="I82" s="285" t="str">
        <f>IFERROR(__xludf.DUMMYFUNCTION("""COMPUTED_VALUE"""),"085217053581")</f>
        <v>085217053581</v>
      </c>
      <c r="J82" s="285" t="str">
        <f>IFERROR(__xludf.DUMMYFUNCTION("""COMPUTED_VALUE"""),"Qualified")</f>
        <v>Qualified</v>
      </c>
      <c r="K82" s="285" t="str">
        <f>IFERROR(__xludf.DUMMYFUNCTION("""COMPUTED_VALUE"""),"3h2m paket A")</f>
        <v>3h2m paket A</v>
      </c>
      <c r="L82" s="287"/>
      <c r="M82" s="285"/>
      <c r="N82" s="289"/>
      <c r="O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B82" s="285" t="str">
        <f>IFERROR(__xludf.DUMMYFUNCTION("""COMPUTED_VALUE"""),"2603H025")</f>
        <v>2603H025</v>
      </c>
      <c r="AC82" s="286">
        <f>IFERROR(__xludf.DUMMYFUNCTION("""COMPUTED_VALUE"""),46100.0)</f>
        <v>46100</v>
      </c>
      <c r="AD82" s="285" t="str">
        <f>IFERROR(__xludf.DUMMYFUNCTION("""COMPUTED_VALUE"""),"Ary")</f>
        <v>Ary</v>
      </c>
      <c r="AE82" s="285" t="str">
        <f>IFERROR(__xludf.DUMMYFUNCTION("""COMPUTED_VALUE"""),"081292929829")</f>
        <v>081292929829</v>
      </c>
      <c r="AF82" s="285" t="str">
        <f>IFERROR(__xludf.DUMMYFUNCTION("""COMPUTED_VALUE"""),"Gagal")</f>
        <v>Gagal</v>
      </c>
      <c r="AG82" s="285"/>
      <c r="AH82" s="287"/>
      <c r="AI82" s="285"/>
      <c r="AJ82" s="289"/>
      <c r="AK82" s="285" t="str">
        <f>IFERROR(__xludf.DUMMYFUNCTION("""COMPUTED_VALUE"""),"tidak bales lagi")</f>
        <v>tidak bales lagi</v>
      </c>
    </row>
    <row r="83">
      <c r="F83" s="285" t="str">
        <f>IFERROR(__xludf.DUMMYFUNCTION("""COMPUTED_VALUE"""),"2607H029")</f>
        <v>2607H029</v>
      </c>
      <c r="G83" s="286">
        <f>IFERROR(__xludf.DUMMYFUNCTION("""COMPUTED_VALUE"""),46222.0)</f>
        <v>46222</v>
      </c>
      <c r="H83" s="285" t="str">
        <f>IFERROR(__xludf.DUMMYFUNCTION("""COMPUTED_VALUE"""),"Wuannjean")</f>
        <v>Wuannjean</v>
      </c>
      <c r="I83" s="285" t="str">
        <f>IFERROR(__xludf.DUMMYFUNCTION("""COMPUTED_VALUE"""),"8613881908296")</f>
        <v>8613881908296</v>
      </c>
      <c r="J83" s="285" t="str">
        <f>IFERROR(__xludf.DUMMYFUNCTION("""COMPUTED_VALUE"""),"Qualified")</f>
        <v>Qualified</v>
      </c>
      <c r="K83" s="285" t="str">
        <f>IFERROR(__xludf.DUMMYFUNCTION("""COMPUTED_VALUE"""),"bromo ijen")</f>
        <v>bromo ijen</v>
      </c>
      <c r="L83" s="287"/>
      <c r="M83" s="285">
        <f>IFERROR(__xludf.DUMMYFUNCTION("""COMPUTED_VALUE"""),2.0)</f>
        <v>2</v>
      </c>
      <c r="N83" s="289">
        <f>IFERROR(__xludf.DUMMYFUNCTION("""COMPUTED_VALUE"""),7000000.0)</f>
        <v>7000000</v>
      </c>
      <c r="O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B83" s="285" t="str">
        <f>IFERROR(__xludf.DUMMYFUNCTION("""COMPUTED_VALUE"""),"2603H026")</f>
        <v>2603H026</v>
      </c>
      <c r="AC83" s="286">
        <f>IFERROR(__xludf.DUMMYFUNCTION("""COMPUTED_VALUE"""),46101.0)</f>
        <v>46101</v>
      </c>
      <c r="AD83" s="285" t="str">
        <f>IFERROR(__xludf.DUMMYFUNCTION("""COMPUTED_VALUE"""),"Diana")</f>
        <v>Diana</v>
      </c>
      <c r="AE83" s="285" t="str">
        <f>IFERROR(__xludf.DUMMYFUNCTION("""COMPUTED_VALUE"""),"088242778250")</f>
        <v>088242778250</v>
      </c>
      <c r="AF83" s="285" t="str">
        <f>IFERROR(__xludf.DUMMYFUNCTION("""COMPUTED_VALUE"""),"Gagal")</f>
        <v>Gagal</v>
      </c>
      <c r="AG83" s="285"/>
      <c r="AH83" s="287"/>
      <c r="AI83" s="285"/>
      <c r="AJ83" s="289"/>
      <c r="AK83" s="285" t="str">
        <f>IFERROR(__xludf.DUMMYFUNCTION("""COMPUTED_VALUE"""),"tanya travel penjemputan tangerang")</f>
        <v>tanya travel penjemputan tangerang</v>
      </c>
    </row>
    <row r="84">
      <c r="F84" s="285" t="str">
        <f>IFERROR(__xludf.DUMMYFUNCTION("""COMPUTED_VALUE"""),"2607H032")</f>
        <v>2607H032</v>
      </c>
      <c r="G84" s="286">
        <f>IFERROR(__xludf.DUMMYFUNCTION("""COMPUTED_VALUE"""),46223.0)</f>
        <v>46223</v>
      </c>
      <c r="H84" s="285" t="str">
        <f>IFERROR(__xludf.DUMMYFUNCTION("""COMPUTED_VALUE"""),"Rico")</f>
        <v>Rico</v>
      </c>
      <c r="I84" s="285" t="str">
        <f>IFERROR(__xludf.DUMMYFUNCTION("""COMPUTED_VALUE"""),"081317747818")</f>
        <v>081317747818</v>
      </c>
      <c r="J84" s="285" t="str">
        <f>IFERROR(__xludf.DUMMYFUNCTION("""COMPUTED_VALUE"""),"Qualified")</f>
        <v>Qualified</v>
      </c>
      <c r="K84" s="285" t="str">
        <f>IFERROR(__xludf.DUMMYFUNCTION("""COMPUTED_VALUE"""),"kawah ijen, kawah wurung, TN baluran")</f>
        <v>kawah ijen, kawah wurung, TN baluran</v>
      </c>
      <c r="L84" s="287">
        <f>IFERROR(__xludf.DUMMYFUNCTION("""COMPUTED_VALUE"""),46249.0)</f>
        <v>46249</v>
      </c>
      <c r="M84" s="285">
        <f>IFERROR(__xludf.DUMMYFUNCTION("""COMPUTED_VALUE"""),2.0)</f>
        <v>2</v>
      </c>
      <c r="N84" s="289"/>
      <c r="O84" s="285" t="str">
        <f>IFERROR(__xludf.DUMMYFUNCTION("""COMPUTED_VALUE"""),"fu 30 Juli")</f>
        <v>fu 30 Juli</v>
      </c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B84" s="285" t="str">
        <f>IFERROR(__xludf.DUMMYFUNCTION("""COMPUTED_VALUE"""),"2603H027")</f>
        <v>2603H027</v>
      </c>
      <c r="AC84" s="286">
        <f>IFERROR(__xludf.DUMMYFUNCTION("""COMPUTED_VALUE"""),46101.0)</f>
        <v>46101</v>
      </c>
      <c r="AD84" s="285" t="str">
        <f>IFERROR(__xludf.DUMMYFUNCTION("""COMPUTED_VALUE"""),"Rosa")</f>
        <v>Rosa</v>
      </c>
      <c r="AE84" s="285" t="str">
        <f>IFERROR(__xludf.DUMMYFUNCTION("""COMPUTED_VALUE"""),"08111209639")</f>
        <v>08111209639</v>
      </c>
      <c r="AF84" s="285" t="str">
        <f>IFERROR(__xludf.DUMMYFUNCTION("""COMPUTED_VALUE"""),"Gagal")</f>
        <v>Gagal</v>
      </c>
      <c r="AG84" s="285" t="str">
        <f>IFERROR(__xludf.DUMMYFUNCTION("""COMPUTED_VALUE"""),"OT kawah ijen")</f>
        <v>OT kawah ijen</v>
      </c>
      <c r="AH84" s="287"/>
      <c r="AI84" s="285">
        <f>IFERROR(__xludf.DUMMYFUNCTION("""COMPUTED_VALUE"""),3.0)</f>
        <v>3</v>
      </c>
      <c r="AJ84" s="289"/>
      <c r="AK84" s="285" t="str">
        <f>IFERROR(__xludf.DUMMYFUNCTION("""COMPUTED_VALUE"""),"gajadi ")</f>
        <v>gajadi </v>
      </c>
    </row>
    <row r="85">
      <c r="F85" s="285" t="str">
        <f>IFERROR(__xludf.DUMMYFUNCTION("""COMPUTED_VALUE"""),"2607H033")</f>
        <v>2607H033</v>
      </c>
      <c r="G85" s="286">
        <f>IFERROR(__xludf.DUMMYFUNCTION("""COMPUTED_VALUE"""),46225.0)</f>
        <v>46225</v>
      </c>
      <c r="H85" s="285" t="str">
        <f>IFERROR(__xludf.DUMMYFUNCTION("""COMPUTED_VALUE"""),"Vanvan")</f>
        <v>Vanvan</v>
      </c>
      <c r="I85" s="285" t="str">
        <f>IFERROR(__xludf.DUMMYFUNCTION("""COMPUTED_VALUE"""),"085813318881")</f>
        <v>085813318881</v>
      </c>
      <c r="J85" s="285" t="str">
        <f>IFERROR(__xludf.DUMMYFUNCTION("""COMPUTED_VALUE"""),"Qualified")</f>
        <v>Qualified</v>
      </c>
      <c r="K85" s="285"/>
      <c r="L85" s="287"/>
      <c r="M85" s="285">
        <f>IFERROR(__xludf.DUMMYFUNCTION("""COMPUTED_VALUE"""),3.0)</f>
        <v>3</v>
      </c>
      <c r="N85" s="289"/>
      <c r="O85" s="285" t="str">
        <f>IFERROR(__xludf.DUMMYFUNCTION("""COMPUTED_VALUE"""),"fu 20 Agustus")</f>
        <v>fu 20 Agustus</v>
      </c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B85" s="285" t="str">
        <f>IFERROR(__xludf.DUMMYFUNCTION("""COMPUTED_VALUE"""),"2603H028")</f>
        <v>2603H028</v>
      </c>
      <c r="AC85" s="286">
        <f>IFERROR(__xludf.DUMMYFUNCTION("""COMPUTED_VALUE"""),46102.0)</f>
        <v>46102</v>
      </c>
      <c r="AD85" s="285" t="str">
        <f>IFERROR(__xludf.DUMMYFUNCTION("""COMPUTED_VALUE"""),"Aurelia")</f>
        <v>Aurelia</v>
      </c>
      <c r="AE85" s="285" t="str">
        <f>IFERROR(__xludf.DUMMYFUNCTION("""COMPUTED_VALUE"""),"089654354284")</f>
        <v>089654354284</v>
      </c>
      <c r="AF85" s="285" t="str">
        <f>IFERROR(__xludf.DUMMYFUNCTION("""COMPUTED_VALUE"""),"Gagal")</f>
        <v>Gagal</v>
      </c>
      <c r="AG85" s="285" t="str">
        <f>IFERROR(__xludf.DUMMYFUNCTION("""COMPUTED_VALUE"""),"Trip alas purwo")</f>
        <v>Trip alas purwo</v>
      </c>
      <c r="AH85" s="287"/>
      <c r="AI85" s="285">
        <f>IFERROR(__xludf.DUMMYFUNCTION("""COMPUTED_VALUE"""),4.0)</f>
        <v>4</v>
      </c>
      <c r="AJ85" s="289"/>
      <c r="AK85" s="285" t="str">
        <f>IFERROR(__xludf.DUMMYFUNCTION("""COMPUTED_VALUE"""),"full booked ")</f>
        <v>full booked </v>
      </c>
    </row>
    <row r="86">
      <c r="F86" s="285" t="str">
        <f>IFERROR(__xludf.DUMMYFUNCTION("""COMPUTED_VALUE"""),"2607H035")</f>
        <v>2607H035</v>
      </c>
      <c r="G86" s="286">
        <f>IFERROR(__xludf.DUMMYFUNCTION("""COMPUTED_VALUE"""),46226.0)</f>
        <v>46226</v>
      </c>
      <c r="H86" s="285" t="str">
        <f>IFERROR(__xludf.DUMMYFUNCTION("""COMPUTED_VALUE"""),"Windi")</f>
        <v>Windi</v>
      </c>
      <c r="I86" s="285" t="str">
        <f>IFERROR(__xludf.DUMMYFUNCTION("""COMPUTED_VALUE"""),"081199893689")</f>
        <v>081199893689</v>
      </c>
      <c r="J86" s="285" t="str">
        <f>IFERROR(__xludf.DUMMYFUNCTION("""COMPUTED_VALUE"""),"Qualified")</f>
        <v>Qualified</v>
      </c>
      <c r="K86" s="285" t="str">
        <f>IFERROR(__xludf.DUMMYFUNCTION("""COMPUTED_VALUE"""),"Baluran")</f>
        <v>Baluran</v>
      </c>
      <c r="L86" s="287"/>
      <c r="M86" s="285">
        <f>IFERROR(__xludf.DUMMYFUNCTION("""COMPUTED_VALUE"""),6.0)</f>
        <v>6</v>
      </c>
      <c r="N86" s="289"/>
      <c r="O86" s="285" t="str">
        <f>IFERROR(__xludf.DUMMYFUNCTION("""COMPUTED_VALUE"""),"FU 1 Agustus")</f>
        <v>FU 1 Agustus</v>
      </c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B86" s="285" t="str">
        <f>IFERROR(__xludf.DUMMYFUNCTION("""COMPUTED_VALUE"""),"2603H029")</f>
        <v>2603H029</v>
      </c>
      <c r="AC86" s="286">
        <f>IFERROR(__xludf.DUMMYFUNCTION("""COMPUTED_VALUE"""),46103.0)</f>
        <v>46103</v>
      </c>
      <c r="AD86" s="285" t="str">
        <f>IFERROR(__xludf.DUMMYFUNCTION("""COMPUTED_VALUE"""),"Siti Aisah")</f>
        <v>Siti Aisah</v>
      </c>
      <c r="AE86" s="285" t="str">
        <f>IFERROR(__xludf.DUMMYFUNCTION("""COMPUTED_VALUE"""),"085229861829")</f>
        <v>085229861829</v>
      </c>
      <c r="AF86" s="285" t="str">
        <f>IFERROR(__xludf.DUMMYFUNCTION("""COMPUTED_VALUE"""),"Gagal")</f>
        <v>Gagal</v>
      </c>
      <c r="AG86" s="285"/>
      <c r="AH86" s="287"/>
      <c r="AI86" s="285"/>
      <c r="AJ86" s="289"/>
      <c r="AK86" s="285" t="str">
        <f>IFERROR(__xludf.DUMMYFUNCTION("""COMPUTED_VALUE"""),"tanya travel ")</f>
        <v>tanya travel </v>
      </c>
    </row>
    <row r="87">
      <c r="F87" s="285" t="str">
        <f>IFERROR(__xludf.DUMMYFUNCTION("""COMPUTED_VALUE"""),"2607H036")</f>
        <v>2607H036</v>
      </c>
      <c r="G87" s="286">
        <f>IFERROR(__xludf.DUMMYFUNCTION("""COMPUTED_VALUE"""),46227.0)</f>
        <v>46227</v>
      </c>
      <c r="H87" s="285" t="str">
        <f>IFERROR(__xludf.DUMMYFUNCTION("""COMPUTED_VALUE"""),"Riany Mutiara")</f>
        <v>Riany Mutiara</v>
      </c>
      <c r="I87" s="285" t="str">
        <f>IFERROR(__xludf.DUMMYFUNCTION("""COMPUTED_VALUE"""),"0818190878")</f>
        <v>0818190878</v>
      </c>
      <c r="J87" s="285" t="str">
        <f>IFERROR(__xludf.DUMMYFUNCTION("""COMPUTED_VALUE"""),"Qualified")</f>
        <v>Qualified</v>
      </c>
      <c r="K87" s="285" t="str">
        <f>IFERROR(__xludf.DUMMYFUNCTION("""COMPUTED_VALUE"""),"Ijen, Baluran")</f>
        <v>Ijen, Baluran</v>
      </c>
      <c r="L87" s="287"/>
      <c r="M87" s="285"/>
      <c r="N87" s="289"/>
      <c r="O87" s="285" t="str">
        <f>IFERROR(__xludf.DUMMYFUNCTION("""COMPUTED_VALUE"""),"FU 26 Agustus")</f>
        <v>FU 26 Agustus</v>
      </c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B87" s="285" t="str">
        <f>IFERROR(__xludf.DUMMYFUNCTION("""COMPUTED_VALUE"""),"2603H030")</f>
        <v>2603H030</v>
      </c>
      <c r="AC87" s="286">
        <f>IFERROR(__xludf.DUMMYFUNCTION("""COMPUTED_VALUE"""),46103.0)</f>
        <v>46103</v>
      </c>
      <c r="AD87" s="285" t="str">
        <f>IFERROR(__xludf.DUMMYFUNCTION("""COMPUTED_VALUE"""),"Arnold")</f>
        <v>Arnold</v>
      </c>
      <c r="AE87" s="285" t="str">
        <f>IFERROR(__xludf.DUMMYFUNCTION("""COMPUTED_VALUE"""),"08989068488")</f>
        <v>08989068488</v>
      </c>
      <c r="AF87" s="285" t="str">
        <f>IFERROR(__xludf.DUMMYFUNCTION("""COMPUTED_VALUE"""),"Gagal")</f>
        <v>Gagal</v>
      </c>
      <c r="AG87" s="285" t="str">
        <f>IFERROR(__xludf.DUMMYFUNCTION("""COMPUTED_VALUE"""),"trip menjangan ")</f>
        <v>trip menjangan </v>
      </c>
      <c r="AH87" s="287">
        <f>IFERROR(__xludf.DUMMYFUNCTION("""COMPUTED_VALUE"""),46104.0)</f>
        <v>46104</v>
      </c>
      <c r="AI87" s="285">
        <f>IFERROR(__xludf.DUMMYFUNCTION("""COMPUTED_VALUE"""),1.0)</f>
        <v>1</v>
      </c>
      <c r="AJ87" s="289"/>
      <c r="AK87" s="285" t="str">
        <f>IFERROR(__xludf.DUMMYFUNCTION("""COMPUTED_VALUE"""),"full booked ")</f>
        <v>full booked </v>
      </c>
    </row>
    <row r="88">
      <c r="F88" s="285" t="str">
        <f>IFERROR(__xludf.DUMMYFUNCTION("""COMPUTED_VALUE"""),"2607H037")</f>
        <v>2607H037</v>
      </c>
      <c r="G88" s="286">
        <f>IFERROR(__xludf.DUMMYFUNCTION("""COMPUTED_VALUE"""),46227.0)</f>
        <v>46227</v>
      </c>
      <c r="H88" s="285" t="str">
        <f>IFERROR(__xludf.DUMMYFUNCTION("""COMPUTED_VALUE"""),"Galih Prasetyo")</f>
        <v>Galih Prasetyo</v>
      </c>
      <c r="I88" s="285" t="str">
        <f>IFERROR(__xludf.DUMMYFUNCTION("""COMPUTED_VALUE"""),"081211669667")</f>
        <v>081211669667</v>
      </c>
      <c r="J88" s="285" t="str">
        <f>IFERROR(__xludf.DUMMYFUNCTION("""COMPUTED_VALUE"""),"Qualified")</f>
        <v>Qualified</v>
      </c>
      <c r="K88" s="285" t="str">
        <f>IFERROR(__xludf.DUMMYFUNCTION("""COMPUTED_VALUE"""),"Hiace Bali Banyuwangi")</f>
        <v>Hiace Bali Banyuwangi</v>
      </c>
      <c r="L88" s="287"/>
      <c r="M88" s="285">
        <f>IFERROR(__xludf.DUMMYFUNCTION("""COMPUTED_VALUE"""),2.0)</f>
        <v>2</v>
      </c>
      <c r="N88" s="289"/>
      <c r="O88" s="285" t="str">
        <f>IFERROR(__xludf.DUMMYFUNCTION("""COMPUTED_VALUE"""),"fu 26 juli")</f>
        <v>fu 26 juli</v>
      </c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B88" s="285" t="str">
        <f>IFERROR(__xludf.DUMMYFUNCTION("""COMPUTED_VALUE"""),"2603H031")</f>
        <v>2603H031</v>
      </c>
      <c r="AC88" s="286">
        <f>IFERROR(__xludf.DUMMYFUNCTION("""COMPUTED_VALUE"""),46047.0)</f>
        <v>46047</v>
      </c>
      <c r="AD88" s="285" t="str">
        <f>IFERROR(__xludf.DUMMYFUNCTION("""COMPUTED_VALUE"""),"Selvi")</f>
        <v>Selvi</v>
      </c>
      <c r="AE88" s="285" t="str">
        <f>IFERROR(__xludf.DUMMYFUNCTION("""COMPUTED_VALUE"""),"085782512477")</f>
        <v>085782512477</v>
      </c>
      <c r="AF88" s="285" t="str">
        <f>IFERROR(__xludf.DUMMYFUNCTION("""COMPUTED_VALUE"""),"Gagal")</f>
        <v>Gagal</v>
      </c>
      <c r="AG88" s="285" t="str">
        <f>IFERROR(__xludf.DUMMYFUNCTION("""COMPUTED_VALUE"""),"2H1M")</f>
        <v>2H1M</v>
      </c>
      <c r="AH88" s="287"/>
      <c r="AI88" s="285">
        <f>IFERROR(__xludf.DUMMYFUNCTION("""COMPUTED_VALUE"""),4.0)</f>
        <v>4</v>
      </c>
      <c r="AJ88" s="289">
        <f>IFERROR(__xludf.DUMMYFUNCTION("""COMPUTED_VALUE"""),5372000.0)</f>
        <v>5372000</v>
      </c>
      <c r="AK88" s="285" t="str">
        <f>IFERROR(__xludf.DUMMYFUNCTION("""COMPUTED_VALUE"""),"cancel. tidak memberi alasan")</f>
        <v>cancel. tidak memberi alasan</v>
      </c>
    </row>
    <row r="89">
      <c r="F89" s="285" t="str">
        <f>IFERROR(__xludf.DUMMYFUNCTION("""COMPUTED_VALUE"""),"2607H038")</f>
        <v>2607H038</v>
      </c>
      <c r="G89" s="286">
        <f>IFERROR(__xludf.DUMMYFUNCTION("""COMPUTED_VALUE"""),46227.0)</f>
        <v>46227</v>
      </c>
      <c r="H89" s="285" t="str">
        <f>IFERROR(__xludf.DUMMYFUNCTION("""COMPUTED_VALUE"""),"Nina Husniah")</f>
        <v>Nina Husniah</v>
      </c>
      <c r="I89" s="285" t="str">
        <f>IFERROR(__xludf.DUMMYFUNCTION("""COMPUTED_VALUE"""),"085945485608")</f>
        <v>085945485608</v>
      </c>
      <c r="J89" s="285" t="str">
        <f>IFERROR(__xludf.DUMMYFUNCTION("""COMPUTED_VALUE"""),"Qualified")</f>
        <v>Qualified</v>
      </c>
      <c r="K89" s="285" t="str">
        <f>IFERROR(__xludf.DUMMYFUNCTION("""COMPUTED_VALUE"""),"ijen")</f>
        <v>ijen</v>
      </c>
      <c r="L89" s="287"/>
      <c r="M89" s="285"/>
      <c r="N89" s="289">
        <f>IFERROR(__xludf.DUMMYFUNCTION("""COMPUTED_VALUE"""),9480000.0)</f>
        <v>9480000</v>
      </c>
      <c r="O89" s="285" t="str">
        <f>IFERROR(__xludf.DUMMYFUNCTION("""COMPUTED_VALUE"""),"fu 30 juli")</f>
        <v>fu 30 juli</v>
      </c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B89" s="285" t="str">
        <f>IFERROR(__xludf.DUMMYFUNCTION("""COMPUTED_VALUE"""),"2603H032")</f>
        <v>2603H032</v>
      </c>
      <c r="AC89" s="286">
        <f>IFERROR(__xludf.DUMMYFUNCTION("""COMPUTED_VALUE"""),46107.0)</f>
        <v>46107</v>
      </c>
      <c r="AD89" s="285" t="str">
        <f>IFERROR(__xludf.DUMMYFUNCTION("""COMPUTED_VALUE"""),"Nia")</f>
        <v>Nia</v>
      </c>
      <c r="AE89" s="285" t="str">
        <f>IFERROR(__xludf.DUMMYFUNCTION("""COMPUTED_VALUE"""),"08977155877")</f>
        <v>08977155877</v>
      </c>
      <c r="AF89" s="285" t="str">
        <f>IFERROR(__xludf.DUMMYFUNCTION("""COMPUTED_VALUE"""),"Gagal")</f>
        <v>Gagal</v>
      </c>
      <c r="AG89" s="285" t="str">
        <f>IFERROR(__xludf.DUMMYFUNCTION("""COMPUTED_VALUE"""),"full day trip")</f>
        <v>full day trip</v>
      </c>
      <c r="AH89" s="287">
        <f>IFERROR(__xludf.DUMMYFUNCTION("""COMPUTED_VALUE"""),46123.0)</f>
        <v>46123</v>
      </c>
      <c r="AI89" s="285">
        <f>IFERROR(__xludf.DUMMYFUNCTION("""COMPUTED_VALUE"""),3.0)</f>
        <v>3</v>
      </c>
      <c r="AJ89" s="289"/>
      <c r="AK89" s="285" t="str">
        <f>IFERROR(__xludf.DUMMYFUNCTION("""COMPUTED_VALUE"""),"ditunda dulu abis melahirkan")</f>
        <v>ditunda dulu abis melahirkan</v>
      </c>
    </row>
    <row r="90">
      <c r="F90" s="285" t="str">
        <f>IFERROR(__xludf.DUMMYFUNCTION("""COMPUTED_VALUE"""),"2607H039")</f>
        <v>2607H039</v>
      </c>
      <c r="G90" s="286">
        <f>IFERROR(__xludf.DUMMYFUNCTION("""COMPUTED_VALUE"""),46227.0)</f>
        <v>46227</v>
      </c>
      <c r="H90" s="285" t="str">
        <f>IFERROR(__xludf.DUMMYFUNCTION("""COMPUTED_VALUE"""),"Cyntia Elita")</f>
        <v>Cyntia Elita</v>
      </c>
      <c r="I90" s="285" t="str">
        <f>IFERROR(__xludf.DUMMYFUNCTION("""COMPUTED_VALUE"""),"081314586313")</f>
        <v>081314586313</v>
      </c>
      <c r="J90" s="285" t="str">
        <f>IFERROR(__xludf.DUMMYFUNCTION("""COMPUTED_VALUE"""),"Qualified")</f>
        <v>Qualified</v>
      </c>
      <c r="K90" s="285" t="str">
        <f>IFERROR(__xludf.DUMMYFUNCTION("""COMPUTED_VALUE"""),"ijen")</f>
        <v>ijen</v>
      </c>
      <c r="L90" s="287"/>
      <c r="M90" s="285">
        <f>IFERROR(__xludf.DUMMYFUNCTION("""COMPUTED_VALUE"""),2.0)</f>
        <v>2</v>
      </c>
      <c r="N90" s="289"/>
      <c r="O90" s="285" t="str">
        <f>IFERROR(__xludf.DUMMYFUNCTION("""COMPUTED_VALUE"""),"fu 30 Juli")</f>
        <v>fu 30 Juli</v>
      </c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B90" s="285" t="str">
        <f>IFERROR(__xludf.DUMMYFUNCTION("""COMPUTED_VALUE"""),"2603H033")</f>
        <v>2603H033</v>
      </c>
      <c r="AC90" s="286">
        <f>IFERROR(__xludf.DUMMYFUNCTION("""COMPUTED_VALUE"""),46108.0)</f>
        <v>46108</v>
      </c>
      <c r="AD90" s="285" t="str">
        <f>IFERROR(__xludf.DUMMYFUNCTION("""COMPUTED_VALUE"""),"Wiwit")</f>
        <v>Wiwit</v>
      </c>
      <c r="AE90" s="285" t="str">
        <f>IFERROR(__xludf.DUMMYFUNCTION("""COMPUTED_VALUE"""),"081776091975")</f>
        <v>081776091975</v>
      </c>
      <c r="AF90" s="285" t="str">
        <f>IFERROR(__xludf.DUMMYFUNCTION("""COMPUTED_VALUE"""),"Gagal")</f>
        <v>Gagal</v>
      </c>
      <c r="AG90" s="285" t="str">
        <f>IFERROR(__xludf.DUMMYFUNCTION("""COMPUTED_VALUE"""),"2H1M custom")</f>
        <v>2H1M custom</v>
      </c>
      <c r="AH90" s="287"/>
      <c r="AI90" s="285">
        <f>IFERROR(__xludf.DUMMYFUNCTION("""COMPUTED_VALUE"""),46302.0)</f>
        <v>46302</v>
      </c>
      <c r="AJ90" s="289"/>
      <c r="AK90" s="285" t="str">
        <f>IFERROR(__xludf.DUMMYFUNCTION("""COMPUTED_VALUE"""),"budget belum cukup untuk transportasi dll")</f>
        <v>budget belum cukup untuk transportasi dll</v>
      </c>
    </row>
    <row r="91">
      <c r="F91" s="285" t="str">
        <f>IFERROR(__xludf.DUMMYFUNCTION("""COMPUTED_VALUE"""),"2607H046")</f>
        <v>2607H046</v>
      </c>
      <c r="G91" s="286">
        <f>IFERROR(__xludf.DUMMYFUNCTION("""COMPUTED_VALUE"""),46230.0)</f>
        <v>46230</v>
      </c>
      <c r="H91" s="285" t="str">
        <f>IFERROR(__xludf.DUMMYFUNCTION("""COMPUTED_VALUE"""),"Dewi Ningtyas")</f>
        <v>Dewi Ningtyas</v>
      </c>
      <c r="I91" s="285" t="str">
        <f>IFERROR(__xludf.DUMMYFUNCTION("""COMPUTED_VALUE"""),"085742774705")</f>
        <v>085742774705</v>
      </c>
      <c r="J91" s="285" t="str">
        <f>IFERROR(__xludf.DUMMYFUNCTION("""COMPUTED_VALUE"""),"Qualified")</f>
        <v>Qualified</v>
      </c>
      <c r="K91" s="285" t="str">
        <f>IFERROR(__xludf.DUMMYFUNCTION("""COMPUTED_VALUE"""),"OT Djawatan, Green Island")</f>
        <v>OT Djawatan, Green Island</v>
      </c>
      <c r="L91" s="287"/>
      <c r="M91" s="285">
        <f>IFERROR(__xludf.DUMMYFUNCTION("""COMPUTED_VALUE"""),1.0)</f>
        <v>1</v>
      </c>
      <c r="N91" s="289">
        <f>IFERROR(__xludf.DUMMYFUNCTION("""COMPUTED_VALUE"""),425000.0)</f>
        <v>425000</v>
      </c>
      <c r="O91" s="285" t="str">
        <f>IFERROR(__xludf.DUMMYFUNCTION("""COMPUTED_VALUE"""),"FU 1 Agustus")</f>
        <v>FU 1 Agustus</v>
      </c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B91" s="285" t="str">
        <f>IFERROR(__xludf.DUMMYFUNCTION("""COMPUTED_VALUE"""),"2603H036")</f>
        <v>2603H036</v>
      </c>
      <c r="AC91" s="286">
        <f>IFERROR(__xludf.DUMMYFUNCTION("""COMPUTED_VALUE"""),46109.0)</f>
        <v>46109</v>
      </c>
      <c r="AD91" s="285" t="str">
        <f>IFERROR(__xludf.DUMMYFUNCTION("""COMPUTED_VALUE"""),"Mely")</f>
        <v>Mely</v>
      </c>
      <c r="AE91" s="285" t="str">
        <f>IFERROR(__xludf.DUMMYFUNCTION("""COMPUTED_VALUE"""),"087775555912")</f>
        <v>087775555912</v>
      </c>
      <c r="AF91" s="285" t="str">
        <f>IFERROR(__xludf.DUMMYFUNCTION("""COMPUTED_VALUE"""),"Gagal")</f>
        <v>Gagal</v>
      </c>
      <c r="AG91" s="285" t="str">
        <f>IFERROR(__xludf.DUMMYFUNCTION("""COMPUTED_VALUE"""),"private trip Ijen")</f>
        <v>private trip Ijen</v>
      </c>
      <c r="AH91" s="287">
        <f>IFERROR(__xludf.DUMMYFUNCTION("""COMPUTED_VALUE"""),46148.0)</f>
        <v>46148</v>
      </c>
      <c r="AI91" s="285">
        <f>IFERROR(__xludf.DUMMYFUNCTION("""COMPUTED_VALUE"""),4.0)</f>
        <v>4</v>
      </c>
      <c r="AJ91" s="289">
        <f>IFERROR(__xludf.DUMMYFUNCTION("""COMPUTED_VALUE"""),1160000.0)</f>
        <v>1160000</v>
      </c>
      <c r="AK91" s="285" t="str">
        <f>IFERROR(__xludf.DUMMYFUNCTION("""COMPUTED_VALUE"""),"sdh fu, gada jawaban")</f>
        <v>sdh fu, gada jawaban</v>
      </c>
    </row>
    <row r="92">
      <c r="F92" s="285" t="str">
        <f>IFERROR(__xludf.DUMMYFUNCTION("""COMPUTED_VALUE"""),"2807H047")</f>
        <v>2807H047</v>
      </c>
      <c r="G92" s="286">
        <f>IFERROR(__xludf.DUMMYFUNCTION("""COMPUTED_VALUE"""),46231.0)</f>
        <v>46231</v>
      </c>
      <c r="H92" s="285" t="str">
        <f>IFERROR(__xludf.DUMMYFUNCTION("""COMPUTED_VALUE"""),"Rita")</f>
        <v>Rita</v>
      </c>
      <c r="I92" s="285" t="str">
        <f>IFERROR(__xludf.DUMMYFUNCTION("""COMPUTED_VALUE"""),"08811388172")</f>
        <v>08811388172</v>
      </c>
      <c r="J92" s="285" t="str">
        <f>IFERROR(__xludf.DUMMYFUNCTION("""COMPUTED_VALUE"""),"Qualified")</f>
        <v>Qualified</v>
      </c>
      <c r="K92" s="285" t="str">
        <f>IFERROR(__xludf.DUMMYFUNCTION("""COMPUTED_VALUE"""),"3H2M")</f>
        <v>3H2M</v>
      </c>
      <c r="L92" s="287">
        <f>IFERROR(__xludf.DUMMYFUNCTION("""COMPUTED_VALUE"""),46256.0)</f>
        <v>46256</v>
      </c>
      <c r="M92" s="285">
        <f>IFERROR(__xludf.DUMMYFUNCTION("""COMPUTED_VALUE"""),3.0)</f>
        <v>3</v>
      </c>
      <c r="N92" s="289"/>
      <c r="O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B92" s="285" t="str">
        <f>IFERROR(__xludf.DUMMYFUNCTION("""COMPUTED_VALUE"""),"2603H037")</f>
        <v>2603H037</v>
      </c>
      <c r="AC92" s="286">
        <f>IFERROR(__xludf.DUMMYFUNCTION("""COMPUTED_VALUE"""),46109.0)</f>
        <v>46109</v>
      </c>
      <c r="AD92" s="285" t="str">
        <f>IFERROR(__xludf.DUMMYFUNCTION("""COMPUTED_VALUE"""),"Toni")</f>
        <v>Toni</v>
      </c>
      <c r="AE92" s="285" t="str">
        <f>IFERROR(__xludf.DUMMYFUNCTION("""COMPUTED_VALUE"""),"081314571743")</f>
        <v>081314571743</v>
      </c>
      <c r="AF92" s="285" t="str">
        <f>IFERROR(__xludf.DUMMYFUNCTION("""COMPUTED_VALUE"""),"Gagal")</f>
        <v>Gagal</v>
      </c>
      <c r="AG92" s="285"/>
      <c r="AH92" s="287">
        <f>IFERROR(__xludf.DUMMYFUNCTION("""COMPUTED_VALUE"""),46109.0)</f>
        <v>46109</v>
      </c>
      <c r="AI92" s="285"/>
      <c r="AJ92" s="289"/>
      <c r="AK92" s="285" t="str">
        <f>IFERROR(__xludf.DUMMYFUNCTION("""COMPUTED_VALUE"""),"sdh selesai trip")</f>
        <v>sdh selesai trip</v>
      </c>
    </row>
    <row r="93">
      <c r="F93" s="285" t="str">
        <f>IFERROR(__xludf.DUMMYFUNCTION("""COMPUTED_VALUE"""),"2601H036")</f>
        <v>2601H036</v>
      </c>
      <c r="G93" s="286">
        <f>IFERROR(__xludf.DUMMYFUNCTION("""COMPUTED_VALUE"""),46050.0)</f>
        <v>46050</v>
      </c>
      <c r="H93" s="285" t="str">
        <f>IFERROR(__xludf.DUMMYFUNCTION("""COMPUTED_VALUE"""),"Guruh Tolowijoyo")</f>
        <v>Guruh Tolowijoyo</v>
      </c>
      <c r="I93" s="285" t="str">
        <f>IFERROR(__xludf.DUMMYFUNCTION("""COMPUTED_VALUE"""),"081932057178")</f>
        <v>081932057178</v>
      </c>
      <c r="J93" s="285" t="str">
        <f>IFERROR(__xludf.DUMMYFUNCTION("""COMPUTED_VALUE"""),"Prospek")</f>
        <v>Prospek</v>
      </c>
      <c r="K93" s="285" t="str">
        <f>IFERROR(__xludf.DUMMYFUNCTION("""COMPUTED_VALUE"""),"2D1N Custom")</f>
        <v>2D1N Custom</v>
      </c>
      <c r="L93" s="287"/>
      <c r="M93" s="285">
        <f>IFERROR(__xludf.DUMMYFUNCTION("""COMPUTED_VALUE"""),30.0)</f>
        <v>30</v>
      </c>
      <c r="N93" s="289">
        <f>IFERROR(__xludf.DUMMYFUNCTION("""COMPUTED_VALUE"""),5.355E7)</f>
        <v>53550000</v>
      </c>
      <c r="O93" s="285" t="str">
        <f>IFERROR(__xludf.DUMMYFUNCTION("""COMPUTED_VALUE"""),"FU kembali tgl 7 juni")</f>
        <v>FU kembali tgl 7 juni</v>
      </c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B93" s="285" t="str">
        <f>IFERROR(__xludf.DUMMYFUNCTION("""COMPUTED_VALUE"""),"2603H038")</f>
        <v>2603H038</v>
      </c>
      <c r="AC93" s="286">
        <f>IFERROR(__xludf.DUMMYFUNCTION("""COMPUTED_VALUE"""),46110.0)</f>
        <v>46110</v>
      </c>
      <c r="AD93" s="285" t="str">
        <f>IFERROR(__xludf.DUMMYFUNCTION("""COMPUTED_VALUE"""),"Lan Nio")</f>
        <v>Lan Nio</v>
      </c>
      <c r="AE93" s="285" t="str">
        <f>IFERROR(__xludf.DUMMYFUNCTION("""COMPUTED_VALUE"""),"085946474149")</f>
        <v>085946474149</v>
      </c>
      <c r="AF93" s="285" t="str">
        <f>IFERROR(__xludf.DUMMYFUNCTION("""COMPUTED_VALUE"""),"Gagal")</f>
        <v>Gagal</v>
      </c>
      <c r="AG93" s="285" t="str">
        <f>IFERROR(__xludf.DUMMYFUNCTION("""COMPUTED_VALUE"""),"1 day I,KW,D ")</f>
        <v>1 day I,KW,D </v>
      </c>
      <c r="AH93" s="287"/>
      <c r="AI93" s="285">
        <f>IFERROR(__xludf.DUMMYFUNCTION("""COMPUTED_VALUE"""),24.0)</f>
        <v>24</v>
      </c>
      <c r="AJ93" s="289">
        <f>IFERROR(__xludf.DUMMYFUNCTION("""COMPUTED_VALUE"""),1.6125E7)</f>
        <v>16125000</v>
      </c>
      <c r="AK93" s="285" t="str">
        <f>IFERROR(__xludf.DUMMYFUNCTION("""COMPUTED_VALUE"""),"gajadi ke bwi, alasan tdk diketahui")</f>
        <v>gajadi ke bwi, alasan tdk diketahui</v>
      </c>
    </row>
    <row r="94">
      <c r="F94" s="285" t="str">
        <f>IFERROR(__xludf.DUMMYFUNCTION("""COMPUTED_VALUE"""),"2602H009")</f>
        <v>2602H009</v>
      </c>
      <c r="G94" s="286">
        <f>IFERROR(__xludf.DUMMYFUNCTION("""COMPUTED_VALUE"""),46058.0)</f>
        <v>46058</v>
      </c>
      <c r="H94" s="285" t="str">
        <f>IFERROR(__xludf.DUMMYFUNCTION("""COMPUTED_VALUE"""),"Aweng")</f>
        <v>Aweng</v>
      </c>
      <c r="I94" s="285" t="str">
        <f>IFERROR(__xludf.DUMMYFUNCTION("""COMPUTED_VALUE"""),"0817125048")</f>
        <v>0817125048</v>
      </c>
      <c r="J94" s="285" t="str">
        <f>IFERROR(__xludf.DUMMYFUNCTION("""COMPUTED_VALUE"""),"Prospek")</f>
        <v>Prospek</v>
      </c>
      <c r="K94" s="285" t="str">
        <f>IFERROR(__xludf.DUMMYFUNCTION("""COMPUTED_VALUE"""),"custom 2H1M")</f>
        <v>custom 2H1M</v>
      </c>
      <c r="L94" s="287"/>
      <c r="M94" s="285">
        <f>IFERROR(__xludf.DUMMYFUNCTION("""COMPUTED_VALUE"""),12.0)</f>
        <v>12</v>
      </c>
      <c r="N94" s="289">
        <f>IFERROR(__xludf.DUMMYFUNCTION("""COMPUTED_VALUE"""),1.2E7)</f>
        <v>12000000</v>
      </c>
      <c r="O94" s="285" t="str">
        <f>IFERROR(__xludf.DUMMYFUNCTION("""COMPUTED_VALUE"""),"FU kembali tgl 10 Juli")</f>
        <v>FU kembali tgl 10 Juli</v>
      </c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B94" s="285" t="str">
        <f>IFERROR(__xludf.DUMMYFUNCTION("""COMPUTED_VALUE"""),"2603H039")</f>
        <v>2603H039</v>
      </c>
      <c r="AC94" s="286">
        <f>IFERROR(__xludf.DUMMYFUNCTION("""COMPUTED_VALUE"""),46110.0)</f>
        <v>46110</v>
      </c>
      <c r="AD94" s="285" t="str">
        <f>IFERROR(__xludf.DUMMYFUNCTION("""COMPUTED_VALUE"""),"Arifah")</f>
        <v>Arifah</v>
      </c>
      <c r="AE94" s="285" t="str">
        <f>IFERROR(__xludf.DUMMYFUNCTION("""COMPUTED_VALUE"""),"082257033370")</f>
        <v>082257033370</v>
      </c>
      <c r="AF94" s="285" t="str">
        <f>IFERROR(__xludf.DUMMYFUNCTION("""COMPUTED_VALUE"""),"Gagal")</f>
        <v>Gagal</v>
      </c>
      <c r="AG94" s="285" t="str">
        <f>IFERROR(__xludf.DUMMYFUNCTION("""COMPUTED_VALUE"""),"custom 2H1M")</f>
        <v>custom 2H1M</v>
      </c>
      <c r="AH94" s="287">
        <f>IFERROR(__xludf.DUMMYFUNCTION("""COMPUTED_VALUE"""),46116.0)</f>
        <v>46116</v>
      </c>
      <c r="AI94" s="285">
        <f>IFERROR(__xludf.DUMMYFUNCTION("""COMPUTED_VALUE"""),2.0)</f>
        <v>2</v>
      </c>
      <c r="AJ94" s="289"/>
      <c r="AK94" s="285" t="str">
        <f>IFERROR(__xludf.DUMMYFUNCTION("""COMPUTED_VALUE"""),"belum jadi liburan")</f>
        <v>belum jadi liburan</v>
      </c>
    </row>
    <row r="95">
      <c r="F95" s="285" t="str">
        <f>IFERROR(__xludf.DUMMYFUNCTION("""COMPUTED_VALUE"""),"2603H013 ")</f>
        <v>2603H013 </v>
      </c>
      <c r="G95" s="286">
        <f>IFERROR(__xludf.DUMMYFUNCTION("""COMPUTED_VALUE"""),46095.0)</f>
        <v>46095</v>
      </c>
      <c r="H95" s="285" t="str">
        <f>IFERROR(__xludf.DUMMYFUNCTION("""COMPUTED_VALUE"""),"Fadli")</f>
        <v>Fadli</v>
      </c>
      <c r="I95" s="285" t="str">
        <f>IFERROR(__xludf.DUMMYFUNCTION("""COMPUTED_VALUE"""),"087877926169")</f>
        <v>087877926169</v>
      </c>
      <c r="J95" s="285" t="str">
        <f>IFERROR(__xludf.DUMMYFUNCTION("""COMPUTED_VALUE"""),"Prospek")</f>
        <v>Prospek</v>
      </c>
      <c r="K95" s="285" t="str">
        <f>IFERROR(__xludf.DUMMYFUNCTION("""COMPUTED_VALUE"""),"3H2M")</f>
        <v>3H2M</v>
      </c>
      <c r="L95" s="287"/>
      <c r="M95" s="285">
        <f>IFERROR(__xludf.DUMMYFUNCTION("""COMPUTED_VALUE"""),140.0)</f>
        <v>140</v>
      </c>
      <c r="N95" s="289">
        <f>IFERROR(__xludf.DUMMYFUNCTION("""COMPUTED_VALUE"""),6.3E8)</f>
        <v>630000000</v>
      </c>
      <c r="O95" s="285" t="str">
        <f>IFERROR(__xludf.DUMMYFUNCTION("""COMPUTED_VALUE"""),"FU 7 juni")</f>
        <v>FU 7 juni</v>
      </c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B95" s="285" t="str">
        <f>IFERROR(__xludf.DUMMYFUNCTION("""COMPUTED_VALUE"""),"2603H040")</f>
        <v>2603H040</v>
      </c>
      <c r="AC95" s="286">
        <f>IFERROR(__xludf.DUMMYFUNCTION("""COMPUTED_VALUE"""),46111.0)</f>
        <v>46111</v>
      </c>
      <c r="AD95" s="285" t="str">
        <f>IFERROR(__xludf.DUMMYFUNCTION("""COMPUTED_VALUE"""),"Herman Purnawan")</f>
        <v>Herman Purnawan</v>
      </c>
      <c r="AE95" s="285" t="str">
        <f>IFERROR(__xludf.DUMMYFUNCTION("""COMPUTED_VALUE"""),"081514652888")</f>
        <v>081514652888</v>
      </c>
      <c r="AF95" s="285" t="str">
        <f>IFERROR(__xludf.DUMMYFUNCTION("""COMPUTED_VALUE"""),"Gagal")</f>
        <v>Gagal</v>
      </c>
      <c r="AG95" s="285" t="str">
        <f>IFERROR(__xludf.DUMMYFUNCTION("""COMPUTED_VALUE"""),"3H2M opsi B")</f>
        <v>3H2M opsi B</v>
      </c>
      <c r="AH95" s="287">
        <f>IFERROR(__xludf.DUMMYFUNCTION("""COMPUTED_VALUE"""),46168.0)</f>
        <v>46168</v>
      </c>
      <c r="AI95" s="285">
        <f>IFERROR(__xludf.DUMMYFUNCTION("""COMPUTED_VALUE"""),30.0)</f>
        <v>30</v>
      </c>
      <c r="AJ95" s="289">
        <f>IFERROR(__xludf.DUMMYFUNCTION("""COMPUTED_VALUE"""),5.895E7)</f>
        <v>58950000</v>
      </c>
      <c r="AK95" s="285" t="str">
        <f>IFERROR(__xludf.DUMMYFUNCTION("""COMPUTED_VALUE"""),"ganti destinasi jakarta-tasik-garut-cimidey")</f>
        <v>ganti destinasi jakarta-tasik-garut-cimidey</v>
      </c>
    </row>
    <row r="96">
      <c r="F96" s="285" t="str">
        <f>IFERROR(__xludf.DUMMYFUNCTION("""COMPUTED_VALUE"""),"2604H026")</f>
        <v>2604H026</v>
      </c>
      <c r="G96" s="286">
        <f>IFERROR(__xludf.DUMMYFUNCTION("""COMPUTED_VALUE"""),46125.0)</f>
        <v>46125</v>
      </c>
      <c r="H96" s="285" t="str">
        <f>IFERROR(__xludf.DUMMYFUNCTION("""COMPUTED_VALUE"""),"Ayutria")</f>
        <v>Ayutria</v>
      </c>
      <c r="I96" s="285" t="str">
        <f>IFERROR(__xludf.DUMMYFUNCTION("""COMPUTED_VALUE"""),"081290960337")</f>
        <v>081290960337</v>
      </c>
      <c r="J96" s="285" t="str">
        <f>IFERROR(__xludf.DUMMYFUNCTION("""COMPUTED_VALUE"""),"Prospek")</f>
        <v>Prospek</v>
      </c>
      <c r="K96" s="285" t="str">
        <f>IFERROR(__xludf.DUMMYFUNCTION("""COMPUTED_VALUE"""),"one day trip wurung djabal")</f>
        <v>one day trip wurung djabal</v>
      </c>
      <c r="L96" s="287"/>
      <c r="M96" s="285">
        <f>IFERROR(__xludf.DUMMYFUNCTION("""COMPUTED_VALUE"""),4.0)</f>
        <v>4</v>
      </c>
      <c r="N96" s="289">
        <f>IFERROR(__xludf.DUMMYFUNCTION("""COMPUTED_VALUE"""),1632000.0)</f>
        <v>1632000</v>
      </c>
      <c r="O96" s="285" t="str">
        <f>IFERROR(__xludf.DUMMYFUNCTION("""COMPUTED_VALUE"""),"fu 2 juli")</f>
        <v>fu 2 juli</v>
      </c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B96" s="285" t="str">
        <f>IFERROR(__xludf.DUMMYFUNCTION("""COMPUTED_VALUE"""),"2604H002")</f>
        <v>2604H002</v>
      </c>
      <c r="AC96" s="286">
        <f>IFERROR(__xludf.DUMMYFUNCTION("""COMPUTED_VALUE"""),46116.0)</f>
        <v>46116</v>
      </c>
      <c r="AD96" s="285" t="str">
        <f>IFERROR(__xludf.DUMMYFUNCTION("""COMPUTED_VALUE"""),"Diniwati Muchtar")</f>
        <v>Diniwati Muchtar</v>
      </c>
      <c r="AE96" s="285" t="str">
        <f>IFERROR(__xludf.DUMMYFUNCTION("""COMPUTED_VALUE"""),"081581537746")</f>
        <v>081581537746</v>
      </c>
      <c r="AF96" s="285" t="str">
        <f>IFERROR(__xludf.DUMMYFUNCTION("""COMPUTED_VALUE"""),"Gagal")</f>
        <v>Gagal</v>
      </c>
      <c r="AG96" s="285"/>
      <c r="AH96" s="287"/>
      <c r="AI96" s="285"/>
      <c r="AJ96" s="289"/>
      <c r="AK96" s="285" t="str">
        <f>IFERROR(__xludf.DUMMYFUNCTION("""COMPUTED_VALUE"""),"tidak ada jawaban")</f>
        <v>tidak ada jawaban</v>
      </c>
    </row>
    <row r="97">
      <c r="F97" s="285" t="str">
        <f>IFERROR(__xludf.DUMMYFUNCTION("""COMPUTED_VALUE"""),"2604H033")</f>
        <v>2604H033</v>
      </c>
      <c r="G97" s="286">
        <f>IFERROR(__xludf.DUMMYFUNCTION("""COMPUTED_VALUE"""),46128.0)</f>
        <v>46128</v>
      </c>
      <c r="H97" s="285" t="str">
        <f>IFERROR(__xludf.DUMMYFUNCTION("""COMPUTED_VALUE"""),"Fie KOL SPECIALIST")</f>
        <v>Fie KOL SPECIALIST</v>
      </c>
      <c r="I97" s="285" t="str">
        <f>IFERROR(__xludf.DUMMYFUNCTION("""COMPUTED_VALUE"""),"081210688493")</f>
        <v>081210688493</v>
      </c>
      <c r="J97" s="285" t="str">
        <f>IFERROR(__xludf.DUMMYFUNCTION("""COMPUTED_VALUE"""),"Prospek")</f>
        <v>Prospek</v>
      </c>
      <c r="K97" s="285" t="str">
        <f>IFERROR(__xludf.DUMMYFUNCTION("""COMPUTED_VALUE"""),"3H2M")</f>
        <v>3H2M</v>
      </c>
      <c r="L97" s="287">
        <f>IFERROR(__xludf.DUMMYFUNCTION("""COMPUTED_VALUE"""),46261.0)</f>
        <v>46261</v>
      </c>
      <c r="M97" s="285">
        <f>IFERROR(__xludf.DUMMYFUNCTION("""COMPUTED_VALUE"""),2.0)</f>
        <v>2</v>
      </c>
      <c r="N97" s="289">
        <f>IFERROR(__xludf.DUMMYFUNCTION("""COMPUTED_VALUE"""),3200000.0)</f>
        <v>3200000</v>
      </c>
      <c r="O97" s="285" t="str">
        <f>IFERROR(__xludf.DUMMYFUNCTION("""COMPUTED_VALUE"""),"fu 2 juli")</f>
        <v>fu 2 juli</v>
      </c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B97" s="285" t="str">
        <f>IFERROR(__xludf.DUMMYFUNCTION("""COMPUTED_VALUE"""),"2604H003")</f>
        <v>2604H003</v>
      </c>
      <c r="AC97" s="286">
        <f>IFERROR(__xludf.DUMMYFUNCTION("""COMPUTED_VALUE"""),46116.0)</f>
        <v>46116</v>
      </c>
      <c r="AD97" s="285" t="str">
        <f>IFERROR(__xludf.DUMMYFUNCTION("""COMPUTED_VALUE"""),"Dr. Alifia Klinik Pratama Mawar 2")</f>
        <v>Dr. Alifia Klinik Pratama Mawar 2</v>
      </c>
      <c r="AE97" s="285" t="str">
        <f>IFERROR(__xludf.DUMMYFUNCTION("""COMPUTED_VALUE"""),"085353110859")</f>
        <v>085353110859</v>
      </c>
      <c r="AF97" s="285" t="str">
        <f>IFERROR(__xludf.DUMMYFUNCTION("""COMPUTED_VALUE"""),"Gagal")</f>
        <v>Gagal</v>
      </c>
      <c r="AG97" s="285" t="str">
        <f>IFERROR(__xludf.DUMMYFUNCTION("""COMPUTED_VALUE"""),"4h3m atau 3h2m")</f>
        <v>4h3m atau 3h2m</v>
      </c>
      <c r="AH97" s="287">
        <f>IFERROR(__xludf.DUMMYFUNCTION("""COMPUTED_VALUE"""),46131.0)</f>
        <v>46131</v>
      </c>
      <c r="AI97" s="285">
        <f>IFERROR(__xludf.DUMMYFUNCTION("""COMPUTED_VALUE"""),2.0)</f>
        <v>2</v>
      </c>
      <c r="AJ97" s="289">
        <f>IFERROR(__xludf.DUMMYFUNCTION("""COMPUTED_VALUE"""),6270000.0)</f>
        <v>6270000</v>
      </c>
      <c r="AK97" s="285" t="str">
        <f>IFERROR(__xludf.DUMMYFUNCTION("""COMPUTED_VALUE"""),"ga dapat cuti")</f>
        <v>ga dapat cuti</v>
      </c>
    </row>
    <row r="98">
      <c r="F98" s="285" t="str">
        <f>IFERROR(__xludf.DUMMYFUNCTION("""COMPUTED_VALUE"""),"2606H020")</f>
        <v>2606H020</v>
      </c>
      <c r="G98" s="286">
        <f>IFERROR(__xludf.DUMMYFUNCTION("""COMPUTED_VALUE"""),46184.0)</f>
        <v>46184</v>
      </c>
      <c r="H98" s="285" t="str">
        <f>IFERROR(__xludf.DUMMYFUNCTION("""COMPUTED_VALUE"""),"Rita")</f>
        <v>Rita</v>
      </c>
      <c r="I98" s="285" t="str">
        <f>IFERROR(__xludf.DUMMYFUNCTION("""COMPUTED_VALUE"""),"081380107830")</f>
        <v>081380107830</v>
      </c>
      <c r="J98" s="285" t="str">
        <f>IFERROR(__xludf.DUMMYFUNCTION("""COMPUTED_VALUE"""),"Prospek")</f>
        <v>Prospek</v>
      </c>
      <c r="K98" s="285" t="str">
        <f>IFERROR(__xludf.DUMMYFUNCTION("""COMPUTED_VALUE"""),"3h2m opsi a")</f>
        <v>3h2m opsi a</v>
      </c>
      <c r="L98" s="287">
        <f>IFERROR(__xludf.DUMMYFUNCTION("""COMPUTED_VALUE"""),46195.0)</f>
        <v>46195</v>
      </c>
      <c r="M98" s="285">
        <f>IFERROR(__xludf.DUMMYFUNCTION("""COMPUTED_VALUE"""),5.0)</f>
        <v>5</v>
      </c>
      <c r="N98" s="289">
        <f>IFERROR(__xludf.DUMMYFUNCTION("""COMPUTED_VALUE"""),7000000.0)</f>
        <v>7000000</v>
      </c>
      <c r="O98" s="285" t="str">
        <f>IFERROR(__xludf.DUMMYFUNCTION("""COMPUTED_VALUE"""),"fu 19 juni")</f>
        <v>fu 19 juni</v>
      </c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B98" s="285" t="str">
        <f>IFERROR(__xludf.DUMMYFUNCTION("""COMPUTED_VALUE"""),"2604H004")</f>
        <v>2604H004</v>
      </c>
      <c r="AC98" s="286">
        <f>IFERROR(__xludf.DUMMYFUNCTION("""COMPUTED_VALUE"""),46116.0)</f>
        <v>46116</v>
      </c>
      <c r="AD98" s="285" t="str">
        <f>IFERROR(__xludf.DUMMYFUNCTION("""COMPUTED_VALUE"""),"Reni")</f>
        <v>Reni</v>
      </c>
      <c r="AE98" s="285" t="str">
        <f>IFERROR(__xludf.DUMMYFUNCTION("""COMPUTED_VALUE"""),"085755092376")</f>
        <v>085755092376</v>
      </c>
      <c r="AF98" s="285" t="str">
        <f>IFERROR(__xludf.DUMMYFUNCTION("""COMPUTED_VALUE"""),"Gagal")</f>
        <v>Gagal</v>
      </c>
      <c r="AG98" s="285" t="str">
        <f>IFERROR(__xludf.DUMMYFUNCTION("""COMPUTED_VALUE"""),"Djawatan Baluran")</f>
        <v>Djawatan Baluran</v>
      </c>
      <c r="AH98" s="287"/>
      <c r="AI98" s="285">
        <f>IFERROR(__xludf.DUMMYFUNCTION("""COMPUTED_VALUE"""),4.0)</f>
        <v>4</v>
      </c>
      <c r="AJ98" s="289">
        <f>IFERROR(__xludf.DUMMYFUNCTION("""COMPUTED_VALUE"""),1820000.0)</f>
        <v>1820000</v>
      </c>
      <c r="AK98" s="285" t="str">
        <f>IFERROR(__xludf.DUMMYFUNCTION("""COMPUTED_VALUE"""),"tidak jadi, bertepatan dengan acara sekolah anak")</f>
        <v>tidak jadi, bertepatan dengan acara sekolah anak</v>
      </c>
    </row>
    <row r="99">
      <c r="F99" s="285" t="str">
        <f>IFERROR(__xludf.DUMMYFUNCTION("""COMPUTED_VALUE"""),"2606H082")</f>
        <v>2606H082</v>
      </c>
      <c r="G99" s="286">
        <f>IFERROR(__xludf.DUMMYFUNCTION("""COMPUTED_VALUE"""),46203.0)</f>
        <v>46203</v>
      </c>
      <c r="H99" s="285" t="str">
        <f>IFERROR(__xludf.DUMMYFUNCTION("""COMPUTED_VALUE"""),"Diana")</f>
        <v>Diana</v>
      </c>
      <c r="I99" s="285" t="str">
        <f>IFERROR(__xludf.DUMMYFUNCTION("""COMPUTED_VALUE"""),"085715229706")</f>
        <v>085715229706</v>
      </c>
      <c r="J99" s="285" t="str">
        <f>IFERROR(__xludf.DUMMYFUNCTION("""COMPUTED_VALUE"""),"Prospek")</f>
        <v>Prospek</v>
      </c>
      <c r="K99" s="285" t="str">
        <f>IFERROR(__xludf.DUMMYFUNCTION("""COMPUTED_VALUE"""),"ijen")</f>
        <v>ijen</v>
      </c>
      <c r="L99" s="287">
        <f>IFERROR(__xludf.DUMMYFUNCTION("""COMPUTED_VALUE"""),46382.0)</f>
        <v>46382</v>
      </c>
      <c r="M99" s="285">
        <f>IFERROR(__xludf.DUMMYFUNCTION("""COMPUTED_VALUE"""),4.0)</f>
        <v>4</v>
      </c>
      <c r="N99" s="289">
        <f>IFERROR(__xludf.DUMMYFUNCTION("""COMPUTED_VALUE"""),1160000.0)</f>
        <v>1160000</v>
      </c>
      <c r="O99" s="285" t="str">
        <f>IFERROR(__xludf.DUMMYFUNCTION("""COMPUTED_VALUE"""),"fu 1 desember")</f>
        <v>fu 1 desember</v>
      </c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B99" s="285" t="str">
        <f>IFERROR(__xludf.DUMMYFUNCTION("""COMPUTED_VALUE"""),"2604H007")</f>
        <v>2604H007</v>
      </c>
      <c r="AC99" s="286">
        <f>IFERROR(__xludf.DUMMYFUNCTION("""COMPUTED_VALUE"""),46118.0)</f>
        <v>46118</v>
      </c>
      <c r="AD99" s="285" t="str">
        <f>IFERROR(__xludf.DUMMYFUNCTION("""COMPUTED_VALUE"""),"Alia")</f>
        <v>Alia</v>
      </c>
      <c r="AE99" s="285" t="str">
        <f>IFERROR(__xludf.DUMMYFUNCTION("""COMPUTED_VALUE"""),"081328864731")</f>
        <v>081328864731</v>
      </c>
      <c r="AF99" s="285" t="str">
        <f>IFERROR(__xludf.DUMMYFUNCTION("""COMPUTED_VALUE"""),"Gagal")</f>
        <v>Gagal</v>
      </c>
      <c r="AG99" s="285" t="str">
        <f>IFERROR(__xludf.DUMMYFUNCTION("""COMPUTED_VALUE"""),"Trip Ijen")</f>
        <v>Trip Ijen</v>
      </c>
      <c r="AH99" s="287">
        <f>IFERROR(__xludf.DUMMYFUNCTION("""COMPUTED_VALUE"""),46158.0)</f>
        <v>46158</v>
      </c>
      <c r="AI99" s="285">
        <f>IFERROR(__xludf.DUMMYFUNCTION("""COMPUTED_VALUE"""),3.0)</f>
        <v>3</v>
      </c>
      <c r="AJ99" s="289">
        <f>IFERROR(__xludf.DUMMYFUNCTION("""COMPUTED_VALUE"""),3150000.0)</f>
        <v>3150000</v>
      </c>
      <c r="AK99" s="285" t="str">
        <f>IFERROR(__xludf.DUMMYFUNCTION("""COMPUTED_VALUE"""),"gagal, belum jadi, tidak menyampaikan alasan")</f>
        <v>gagal, belum jadi, tidak menyampaikan alasan</v>
      </c>
    </row>
    <row r="100">
      <c r="F100" s="285" t="str">
        <f>IFERROR(__xludf.DUMMYFUNCTION("""COMPUTED_VALUE"""),"2606A024")</f>
        <v>2606A024</v>
      </c>
      <c r="G100" s="286">
        <f>IFERROR(__xludf.DUMMYFUNCTION("""COMPUTED_VALUE"""),46187.0)</f>
        <v>46187</v>
      </c>
      <c r="H100" s="285" t="str">
        <f>IFERROR(__xludf.DUMMYFUNCTION("""COMPUTED_VALUE"""),"Dhiana")</f>
        <v>Dhiana</v>
      </c>
      <c r="I100" s="285" t="str">
        <f>IFERROR(__xludf.DUMMYFUNCTION("""COMPUTED_VALUE"""),"085882731012")</f>
        <v>085882731012</v>
      </c>
      <c r="J100" s="285" t="str">
        <f>IFERROR(__xludf.DUMMYFUNCTION("""COMPUTED_VALUE"""),"Follow Up")</f>
        <v>Follow Up</v>
      </c>
      <c r="K100" s="285" t="str">
        <f>IFERROR(__xludf.DUMMYFUNCTION("""COMPUTED_VALUE"""),"ot green island")</f>
        <v>ot green island</v>
      </c>
      <c r="L100" s="287">
        <f>IFERROR(__xludf.DUMMYFUNCTION("""COMPUTED_VALUE"""),46190.0)</f>
        <v>46190</v>
      </c>
      <c r="M100" s="285">
        <f>IFERROR(__xludf.DUMMYFUNCTION("""COMPUTED_VALUE"""),2.0)</f>
        <v>2</v>
      </c>
      <c r="N100" s="289">
        <f>IFERROR(__xludf.DUMMYFUNCTION("""COMPUTED_VALUE"""),1100000.0)</f>
        <v>1100000</v>
      </c>
      <c r="O100" s="285" t="str">
        <f>IFERROR(__xludf.DUMMYFUNCTION("""COMPUTED_VALUE"""),"fu 16 juni")</f>
        <v>fu 16 juni</v>
      </c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B100" s="285" t="str">
        <f>IFERROR(__xludf.DUMMYFUNCTION("""COMPUTED_VALUE"""),"2604H008")</f>
        <v>2604H008</v>
      </c>
      <c r="AC100" s="286">
        <f>IFERROR(__xludf.DUMMYFUNCTION("""COMPUTED_VALUE"""),46118.0)</f>
        <v>46118</v>
      </c>
      <c r="AD100" s="285" t="str">
        <f>IFERROR(__xludf.DUMMYFUNCTION("""COMPUTED_VALUE"""),"Ferry")</f>
        <v>Ferry</v>
      </c>
      <c r="AE100" s="285" t="str">
        <f>IFERROR(__xludf.DUMMYFUNCTION("""COMPUTED_VALUE"""),"081806041477")</f>
        <v>081806041477</v>
      </c>
      <c r="AF100" s="285" t="str">
        <f>IFERROR(__xludf.DUMMYFUNCTION("""COMPUTED_VALUE"""),"Gagal")</f>
        <v>Gagal</v>
      </c>
      <c r="AG100" s="285" t="str">
        <f>IFERROR(__xludf.DUMMYFUNCTION("""COMPUTED_VALUE"""),"2H1M custom")</f>
        <v>2H1M custom</v>
      </c>
      <c r="AH100" s="287"/>
      <c r="AI100" s="285">
        <f>IFERROR(__xludf.DUMMYFUNCTION("""COMPUTED_VALUE"""),15.0)</f>
        <v>15</v>
      </c>
      <c r="AJ100" s="289">
        <f>IFERROR(__xludf.DUMMYFUNCTION("""COMPUTED_VALUE"""),1.242E7)</f>
        <v>12420000</v>
      </c>
      <c r="AK100" s="285" t="str">
        <f>IFERROR(__xludf.DUMMYFUNCTION("""COMPUTED_VALUE"""),"ditunda karena suatu alasan")</f>
        <v>ditunda karena suatu alasan</v>
      </c>
    </row>
    <row r="101"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B101" s="285" t="str">
        <f>IFERROR(__xludf.DUMMYFUNCTION("""COMPUTED_VALUE"""),"2604H009")</f>
        <v>2604H009</v>
      </c>
      <c r="AC101" s="286">
        <f>IFERROR(__xludf.DUMMYFUNCTION("""COMPUTED_VALUE"""),46118.0)</f>
        <v>46118</v>
      </c>
      <c r="AD101" s="285" t="str">
        <f>IFERROR(__xludf.DUMMYFUNCTION("""COMPUTED_VALUE"""),"Saini Sasa")</f>
        <v>Saini Sasa</v>
      </c>
      <c r="AE101" s="285" t="str">
        <f>IFERROR(__xludf.DUMMYFUNCTION("""COMPUTED_VALUE"""),"087780196808")</f>
        <v>087780196808</v>
      </c>
      <c r="AF101" s="285" t="str">
        <f>IFERROR(__xludf.DUMMYFUNCTION("""COMPUTED_VALUE"""),"Gagal")</f>
        <v>Gagal</v>
      </c>
      <c r="AG101" s="285" t="str">
        <f>IFERROR(__xludf.DUMMYFUNCTION("""COMPUTED_VALUE"""),"OT Djawatan Baluran")</f>
        <v>OT Djawatan Baluran</v>
      </c>
      <c r="AH101" s="287">
        <f>IFERROR(__xludf.DUMMYFUNCTION("""COMPUTED_VALUE"""),46119.0)</f>
        <v>46119</v>
      </c>
      <c r="AI101" s="285">
        <f>IFERROR(__xludf.DUMMYFUNCTION("""COMPUTED_VALUE"""),1.0)</f>
        <v>1</v>
      </c>
      <c r="AJ101" s="289">
        <f>IFERROR(__xludf.DUMMYFUNCTION("""COMPUTED_VALUE"""),550000.0)</f>
        <v>550000</v>
      </c>
      <c r="AK101" s="285" t="str">
        <f>IFERROR(__xludf.DUMMYFUNCTION("""COMPUTED_VALUE"""),"tidak jadi dan tidak menyampaikan alasana")</f>
        <v>tidak jadi dan tidak menyampaikan alasana</v>
      </c>
    </row>
    <row r="102"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B102" s="285" t="str">
        <f>IFERROR(__xludf.DUMMYFUNCTION("""COMPUTED_VALUE"""),"2604H011")</f>
        <v>2604H011</v>
      </c>
      <c r="AC102" s="286">
        <f>IFERROR(__xludf.DUMMYFUNCTION("""COMPUTED_VALUE"""),46119.0)</f>
        <v>46119</v>
      </c>
      <c r="AD102" s="285" t="str">
        <f>IFERROR(__xludf.DUMMYFUNCTION("""COMPUTED_VALUE"""),"Yusuf Nurwahid (Bang Jep)")</f>
        <v>Yusuf Nurwahid (Bang Jep)</v>
      </c>
      <c r="AE102" s="285" t="str">
        <f>IFERROR(__xludf.DUMMYFUNCTION("""COMPUTED_VALUE"""),"081286570089")</f>
        <v>081286570089</v>
      </c>
      <c r="AF102" s="285" t="str">
        <f>IFERROR(__xludf.DUMMYFUNCTION("""COMPUTED_VALUE"""),"Gagal")</f>
        <v>Gagal</v>
      </c>
      <c r="AG102" s="285" t="str">
        <f>IFERROR(__xludf.DUMMYFUNCTION("""COMPUTED_VALUE"""),"3h2m")</f>
        <v>3h2m</v>
      </c>
      <c r="AH102" s="287"/>
      <c r="AI102" s="285">
        <f>IFERROR(__xludf.DUMMYFUNCTION("""COMPUTED_VALUE"""),115.0)</f>
        <v>115</v>
      </c>
      <c r="AJ102" s="289">
        <f>IFERROR(__xludf.DUMMYFUNCTION("""COMPUTED_VALUE"""),1.725E8)</f>
        <v>172500000</v>
      </c>
      <c r="AK102" s="285" t="str">
        <f>IFERROR(__xludf.DUMMYFUNCTION("""COMPUTED_VALUE"""),"ditunda ke bwi, karena jauh, dan pilh destinasi yg lebih dekat")</f>
        <v>ditunda ke bwi, karena jauh, dan pilh destinasi yg lebih dekat</v>
      </c>
    </row>
    <row r="103"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  <c r="AB103" s="285" t="str">
        <f>IFERROR(__xludf.DUMMYFUNCTION("""COMPUTED_VALUE"""),"2604H012")</f>
        <v>2604H012</v>
      </c>
      <c r="AC103" s="286">
        <f>IFERROR(__xludf.DUMMYFUNCTION("""COMPUTED_VALUE"""),46119.0)</f>
        <v>46119</v>
      </c>
      <c r="AD103" s="285" t="str">
        <f>IFERROR(__xludf.DUMMYFUNCTION("""COMPUTED_VALUE"""),"Tri Kodrat Prasetyo")</f>
        <v>Tri Kodrat Prasetyo</v>
      </c>
      <c r="AE103" s="285" t="str">
        <f>IFERROR(__xludf.DUMMYFUNCTION("""COMPUTED_VALUE"""),"085777314701")</f>
        <v>085777314701</v>
      </c>
      <c r="AF103" s="285" t="str">
        <f>IFERROR(__xludf.DUMMYFUNCTION("""COMPUTED_VALUE"""),"Gagal")</f>
        <v>Gagal</v>
      </c>
      <c r="AG103" s="285" t="str">
        <f>IFERROR(__xludf.DUMMYFUNCTION("""COMPUTED_VALUE"""),"one day trip green island ")</f>
        <v>one day trip green island </v>
      </c>
      <c r="AH103" s="287">
        <f>IFERROR(__xludf.DUMMYFUNCTION("""COMPUTED_VALUE"""),46130.0)</f>
        <v>46130</v>
      </c>
      <c r="AI103" s="285">
        <f>IFERROR(__xludf.DUMMYFUNCTION("""COMPUTED_VALUE"""),2.0)</f>
        <v>2</v>
      </c>
      <c r="AJ103" s="289">
        <f>IFERROR(__xludf.DUMMYFUNCTION("""COMPUTED_VALUE"""),1512000.0)</f>
        <v>1512000</v>
      </c>
      <c r="AK103" s="285" t="str">
        <f>IFERROR(__xludf.DUMMYFUNCTION("""COMPUTED_VALUE"""),"sdh fu tidak ada jawaban")</f>
        <v>sdh fu tidak ada jawaban</v>
      </c>
    </row>
    <row r="104"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  <c r="AB104" s="285" t="str">
        <f>IFERROR(__xludf.DUMMYFUNCTION("""COMPUTED_VALUE"""),"2604H014")</f>
        <v>2604H014</v>
      </c>
      <c r="AC104" s="286">
        <f>IFERROR(__xludf.DUMMYFUNCTION("""COMPUTED_VALUE"""),46120.0)</f>
        <v>46120</v>
      </c>
      <c r="AD104" s="285" t="str">
        <f>IFERROR(__xludf.DUMMYFUNCTION("""COMPUTED_VALUE"""),"Sonia")</f>
        <v>Sonia</v>
      </c>
      <c r="AE104" s="285" t="str">
        <f>IFERROR(__xludf.DUMMYFUNCTION("""COMPUTED_VALUE"""),"083866677292")</f>
        <v>083866677292</v>
      </c>
      <c r="AF104" s="285" t="str">
        <f>IFERROR(__xludf.DUMMYFUNCTION("""COMPUTED_VALUE"""),"Gagal")</f>
        <v>Gagal</v>
      </c>
      <c r="AG104" s="285" t="str">
        <f>IFERROR(__xludf.DUMMYFUNCTION("""COMPUTED_VALUE"""),"3H2M ")</f>
        <v>3H2M </v>
      </c>
      <c r="AH104" s="287"/>
      <c r="AI104" s="285">
        <f>IFERROR(__xludf.DUMMYFUNCTION("""COMPUTED_VALUE"""),70.0)</f>
        <v>70</v>
      </c>
      <c r="AJ104" s="289"/>
      <c r="AK104" s="285" t="str">
        <f>IFERROR(__xludf.DUMMYFUNCTION("""COMPUTED_VALUE"""),"sdh fu. tidak ada jawaban")</f>
        <v>sdh fu. tidak ada jawaban</v>
      </c>
    </row>
    <row r="105"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B105" s="285" t="str">
        <f>IFERROR(__xludf.DUMMYFUNCTION("""COMPUTED_VALUE"""),"2604H015")</f>
        <v>2604H015</v>
      </c>
      <c r="AC105" s="286">
        <f>IFERROR(__xludf.DUMMYFUNCTION("""COMPUTED_VALUE"""),46121.0)</f>
        <v>46121</v>
      </c>
      <c r="AD105" s="285" t="str">
        <f>IFERROR(__xludf.DUMMYFUNCTION("""COMPUTED_VALUE"""),"M Hendri (PT Puncak Jaya Wisata)")</f>
        <v>M Hendri (PT Puncak Jaya Wisata)</v>
      </c>
      <c r="AE105" s="285" t="str">
        <f>IFERROR(__xludf.DUMMYFUNCTION("""COMPUTED_VALUE"""),"0838116255966")</f>
        <v>0838116255966</v>
      </c>
      <c r="AF105" s="285" t="str">
        <f>IFERROR(__xludf.DUMMYFUNCTION("""COMPUTED_VALUE"""),"Gagal")</f>
        <v>Gagal</v>
      </c>
      <c r="AG105" s="285" t="str">
        <f>IFERROR(__xludf.DUMMYFUNCTION("""COMPUTED_VALUE"""),"3H2M opsi A")</f>
        <v>3H2M opsi A</v>
      </c>
      <c r="AH105" s="287"/>
      <c r="AI105" s="285">
        <f>IFERROR(__xludf.DUMMYFUNCTION("""COMPUTED_VALUE"""),44.0)</f>
        <v>44</v>
      </c>
      <c r="AJ105" s="289"/>
      <c r="AK105" s="285" t="str">
        <f>IFERROR(__xludf.DUMMYFUNCTION("""COMPUTED_VALUE"""),"gada kelanjutan")</f>
        <v>gada kelanjutan</v>
      </c>
    </row>
    <row r="106"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B106" s="285" t="str">
        <f>IFERROR(__xludf.DUMMYFUNCTION("""COMPUTED_VALUE"""),"2604H016")</f>
        <v>2604H016</v>
      </c>
      <c r="AC106" s="286">
        <f>IFERROR(__xludf.DUMMYFUNCTION("""COMPUTED_VALUE"""),46121.0)</f>
        <v>46121</v>
      </c>
      <c r="AD106" s="285" t="str">
        <f>IFERROR(__xludf.DUMMYFUNCTION("""COMPUTED_VALUE"""),"Sani Adiwati")</f>
        <v>Sani Adiwati</v>
      </c>
      <c r="AE106" s="285" t="str">
        <f>IFERROR(__xludf.DUMMYFUNCTION("""COMPUTED_VALUE"""),"081280703155")</f>
        <v>081280703155</v>
      </c>
      <c r="AF106" s="285" t="str">
        <f>IFERROR(__xludf.DUMMYFUNCTION("""COMPUTED_VALUE"""),"Gagal")</f>
        <v>Gagal</v>
      </c>
      <c r="AG106" s="285" t="str">
        <f>IFERROR(__xludf.DUMMYFUNCTION("""COMPUTED_VALUE"""),"one day trip bwi")</f>
        <v>one day trip bwi</v>
      </c>
      <c r="AH106" s="287">
        <f>IFERROR(__xludf.DUMMYFUNCTION("""COMPUTED_VALUE"""),46143.0)</f>
        <v>46143</v>
      </c>
      <c r="AI106" s="285"/>
      <c r="AJ106" s="289"/>
      <c r="AK106" s="285" t="str">
        <f>IFERROR(__xludf.DUMMYFUNCTION("""COMPUTED_VALUE"""),"batal karena anak-anak ujian")</f>
        <v>batal karena anak-anak ujian</v>
      </c>
    </row>
    <row r="107"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B107" s="285" t="str">
        <f>IFERROR(__xludf.DUMMYFUNCTION("""COMPUTED_VALUE"""),"2604H017")</f>
        <v>2604H017</v>
      </c>
      <c r="AC107" s="286">
        <f>IFERROR(__xludf.DUMMYFUNCTION("""COMPUTED_VALUE"""),46121.0)</f>
        <v>46121</v>
      </c>
      <c r="AD107" s="285" t="str">
        <f>IFERROR(__xludf.DUMMYFUNCTION("""COMPUTED_VALUE"""),"Asna Hasjim")</f>
        <v>Asna Hasjim</v>
      </c>
      <c r="AE107" s="285" t="str">
        <f>IFERROR(__xludf.DUMMYFUNCTION("""COMPUTED_VALUE"""),"08123521577")</f>
        <v>08123521577</v>
      </c>
      <c r="AF107" s="285" t="str">
        <f>IFERROR(__xludf.DUMMYFUNCTION("""COMPUTED_VALUE"""),"Gagal")</f>
        <v>Gagal</v>
      </c>
      <c r="AG107" s="285" t="str">
        <f>IFERROR(__xludf.DUMMYFUNCTION("""COMPUTED_VALUE"""),"SBY-MLG-BATU-BWI")</f>
        <v>SBY-MLG-BATU-BWI</v>
      </c>
      <c r="AH107" s="287"/>
      <c r="AI107" s="285">
        <f>IFERROR(__xludf.DUMMYFUNCTION("""COMPUTED_VALUE"""),10.0)</f>
        <v>10</v>
      </c>
      <c r="AJ107" s="289">
        <f>IFERROR(__xludf.DUMMYFUNCTION("""COMPUTED_VALUE"""),4.175E7)</f>
        <v>41750000</v>
      </c>
      <c r="AK107" s="285" t="str">
        <f>IFERROR(__xludf.DUMMYFUNCTION("""COMPUTED_VALUE"""),"gada jawaban, sdh fu")</f>
        <v>gada jawaban, sdh fu</v>
      </c>
    </row>
    <row r="108"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B108" s="285" t="str">
        <f>IFERROR(__xludf.DUMMYFUNCTION("""COMPUTED_VALUE"""),"2604H018")</f>
        <v>2604H018</v>
      </c>
      <c r="AC108" s="286">
        <f>IFERROR(__xludf.DUMMYFUNCTION("""COMPUTED_VALUE"""),46121.0)</f>
        <v>46121</v>
      </c>
      <c r="AD108" s="285" t="str">
        <f>IFERROR(__xludf.DUMMYFUNCTION("""COMPUTED_VALUE"""),"Abby (Byy Me Tours)")</f>
        <v>Abby (Byy Me Tours)</v>
      </c>
      <c r="AE108" s="285" t="str">
        <f>IFERROR(__xludf.DUMMYFUNCTION("""COMPUTED_VALUE"""),"085168888024")</f>
        <v>085168888024</v>
      </c>
      <c r="AF108" s="285" t="str">
        <f>IFERROR(__xludf.DUMMYFUNCTION("""COMPUTED_VALUE"""),"Gagal")</f>
        <v>Gagal</v>
      </c>
      <c r="AG108" s="285" t="str">
        <f>IFERROR(__xludf.DUMMYFUNCTION("""COMPUTED_VALUE"""),"3H2M OPSI A")</f>
        <v>3H2M OPSI A</v>
      </c>
      <c r="AH108" s="287"/>
      <c r="AI108" s="285">
        <f>IFERROR(__xludf.DUMMYFUNCTION("""COMPUTED_VALUE"""),46301.0)</f>
        <v>46301</v>
      </c>
      <c r="AJ108" s="289"/>
      <c r="AK108" s="285" t="str">
        <f>IFERROR(__xludf.DUMMYFUNCTION("""COMPUTED_VALUE"""),"gada jawaban")</f>
        <v>gada jawaban</v>
      </c>
    </row>
    <row r="109"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B109" s="285" t="str">
        <f>IFERROR(__xludf.DUMMYFUNCTION("""COMPUTED_VALUE"""),"2604H019")</f>
        <v>2604H019</v>
      </c>
      <c r="AC109" s="286">
        <f>IFERROR(__xludf.DUMMYFUNCTION("""COMPUTED_VALUE"""),46122.0)</f>
        <v>46122</v>
      </c>
      <c r="AD109" s="285" t="str">
        <f>IFERROR(__xludf.DUMMYFUNCTION("""COMPUTED_VALUE"""),"Sandra")</f>
        <v>Sandra</v>
      </c>
      <c r="AE109" s="285" t="str">
        <f>IFERROR(__xludf.DUMMYFUNCTION("""COMPUTED_VALUE"""),"085895459898")</f>
        <v>085895459898</v>
      </c>
      <c r="AF109" s="285" t="str">
        <f>IFERROR(__xludf.DUMMYFUNCTION("""COMPUTED_VALUE"""),"Gagal")</f>
        <v>Gagal</v>
      </c>
      <c r="AG109" s="285" t="str">
        <f>IFERROR(__xludf.DUMMYFUNCTION("""COMPUTED_VALUE"""),"3h2m custom")</f>
        <v>3h2m custom</v>
      </c>
      <c r="AH109" s="287"/>
      <c r="AI109" s="285">
        <f>IFERROR(__xludf.DUMMYFUNCTION("""COMPUTED_VALUE"""),24.0)</f>
        <v>24</v>
      </c>
      <c r="AJ109" s="289">
        <f>IFERROR(__xludf.DUMMYFUNCTION("""COMPUTED_VALUE"""),7.704E7)</f>
        <v>77040000</v>
      </c>
      <c r="AK109" s="285" t="str">
        <f>IFERROR(__xludf.DUMMYFUNCTION("""COMPUTED_VALUE"""),"sdh fu, gada jawaban")</f>
        <v>sdh fu, gada jawaban</v>
      </c>
    </row>
    <row r="110"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B110" s="285" t="str">
        <f>IFERROR(__xludf.DUMMYFUNCTION("""COMPUTED_VALUE"""),"2604H020")</f>
        <v>2604H020</v>
      </c>
      <c r="AC110" s="286">
        <f>IFERROR(__xludf.DUMMYFUNCTION("""COMPUTED_VALUE"""),46122.0)</f>
        <v>46122</v>
      </c>
      <c r="AD110" s="285" t="str">
        <f>IFERROR(__xludf.DUMMYFUNCTION("""COMPUTED_VALUE"""),"Nina Marliana")</f>
        <v>Nina Marliana</v>
      </c>
      <c r="AE110" s="285" t="str">
        <f>IFERROR(__xludf.DUMMYFUNCTION("""COMPUTED_VALUE"""),"08119447521")</f>
        <v>08119447521</v>
      </c>
      <c r="AF110" s="285" t="str">
        <f>IFERROR(__xludf.DUMMYFUNCTION("""COMPUTED_VALUE"""),"Gagal")</f>
        <v>Gagal</v>
      </c>
      <c r="AG110" s="285"/>
      <c r="AH110" s="287"/>
      <c r="AI110" s="285"/>
      <c r="AJ110" s="289"/>
      <c r="AK110" s="285" t="str">
        <f>IFERROR(__xludf.DUMMYFUNCTION("""COMPUTED_VALUE"""),"memutuskan ke labuan bajo")</f>
        <v>memutuskan ke labuan bajo</v>
      </c>
    </row>
    <row r="111"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B111" s="285" t="str">
        <f>IFERROR(__xludf.DUMMYFUNCTION("""COMPUTED_VALUE"""),"2604H021")</f>
        <v>2604H021</v>
      </c>
      <c r="AC111" s="286">
        <f>IFERROR(__xludf.DUMMYFUNCTION("""COMPUTED_VALUE"""),46123.0)</f>
        <v>46123</v>
      </c>
      <c r="AD111" s="285" t="str">
        <f>IFERROR(__xludf.DUMMYFUNCTION("""COMPUTED_VALUE"""),"Subhan")</f>
        <v>Subhan</v>
      </c>
      <c r="AE111" s="285" t="str">
        <f>IFERROR(__xludf.DUMMYFUNCTION("""COMPUTED_VALUE"""),"08112424428")</f>
        <v>08112424428</v>
      </c>
      <c r="AF111" s="285" t="str">
        <f>IFERROR(__xludf.DUMMYFUNCTION("""COMPUTED_VALUE"""),"Gagal")</f>
        <v>Gagal</v>
      </c>
      <c r="AG111" s="285" t="str">
        <f>IFERROR(__xludf.DUMMYFUNCTION("""COMPUTED_VALUE"""),"3h2m")</f>
        <v>3h2m</v>
      </c>
      <c r="AH111" s="287"/>
      <c r="AI111" s="285">
        <f>IFERROR(__xludf.DUMMYFUNCTION("""COMPUTED_VALUE"""),2.0)</f>
        <v>2</v>
      </c>
      <c r="AJ111" s="289"/>
      <c r="AK111" s="285" t="str">
        <f>IFERROR(__xludf.DUMMYFUNCTION("""COMPUTED_VALUE"""),"ingin jalan sendiri, sdh ditawarkan ot 3h2m")</f>
        <v>ingin jalan sendiri, sdh ditawarkan ot 3h2m</v>
      </c>
    </row>
    <row r="112"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B112" s="285" t="str">
        <f>IFERROR(__xludf.DUMMYFUNCTION("""COMPUTED_VALUE"""),"2604H023")</f>
        <v>2604H023</v>
      </c>
      <c r="AC112" s="286">
        <f>IFERROR(__xludf.DUMMYFUNCTION("""COMPUTED_VALUE"""),46124.0)</f>
        <v>46124</v>
      </c>
      <c r="AD112" s="285" t="str">
        <f>IFERROR(__xludf.DUMMYFUNCTION("""COMPUTED_VALUE"""),"Giyanti")</f>
        <v>Giyanti</v>
      </c>
      <c r="AE112" s="285" t="str">
        <f>IFERROR(__xludf.DUMMYFUNCTION("""COMPUTED_VALUE"""),"081399154139")</f>
        <v>081399154139</v>
      </c>
      <c r="AF112" s="285" t="str">
        <f>IFERROR(__xludf.DUMMYFUNCTION("""COMPUTED_VALUE"""),"Gagal")</f>
        <v>Gagal</v>
      </c>
      <c r="AG112" s="285" t="str">
        <f>IFERROR(__xludf.DUMMYFUNCTION("""COMPUTED_VALUE"""),"3h2m opsi a")</f>
        <v>3h2m opsi a</v>
      </c>
      <c r="AH112" s="287">
        <f>IFERROR(__xludf.DUMMYFUNCTION("""COMPUTED_VALUE"""),46155.0)</f>
        <v>46155</v>
      </c>
      <c r="AI112" s="285">
        <f>IFERROR(__xludf.DUMMYFUNCTION("""COMPUTED_VALUE"""),7.0)</f>
        <v>7</v>
      </c>
      <c r="AJ112" s="289">
        <f>IFERROR(__xludf.DUMMYFUNCTION("""COMPUTED_VALUE"""),1.0227E7)</f>
        <v>10227000</v>
      </c>
      <c r="AK112" s="285" t="str">
        <f>IFERROR(__xludf.DUMMYFUNCTION("""COMPUTED_VALUE"""),"tidak ada jawaban, sdh fu 5 kali")</f>
        <v>tidak ada jawaban, sdh fu 5 kali</v>
      </c>
    </row>
    <row r="113"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B113" s="285" t="str">
        <f>IFERROR(__xludf.DUMMYFUNCTION("""COMPUTED_VALUE"""),"2604H025")</f>
        <v>2604H025</v>
      </c>
      <c r="AC113" s="286">
        <f>IFERROR(__xludf.DUMMYFUNCTION("""COMPUTED_VALUE"""),46125.0)</f>
        <v>46125</v>
      </c>
      <c r="AD113" s="285" t="str">
        <f>IFERROR(__xludf.DUMMYFUNCTION("""COMPUTED_VALUE"""),"D'Rona")</f>
        <v>D'Rona</v>
      </c>
      <c r="AE113" s="285" t="str">
        <f>IFERROR(__xludf.DUMMYFUNCTION("""COMPUTED_VALUE"""),"081314814657")</f>
        <v>081314814657</v>
      </c>
      <c r="AF113" s="285" t="str">
        <f>IFERROR(__xludf.DUMMYFUNCTION("""COMPUTED_VALUE"""),"Gagal")</f>
        <v>Gagal</v>
      </c>
      <c r="AG113" s="285" t="str">
        <f>IFERROR(__xludf.DUMMYFUNCTION("""COMPUTED_VALUE"""),"open trip")</f>
        <v>open trip</v>
      </c>
      <c r="AH113" s="287"/>
      <c r="AI113" s="285">
        <f>IFERROR(__xludf.DUMMYFUNCTION("""COMPUTED_VALUE"""),2.0)</f>
        <v>2</v>
      </c>
      <c r="AJ113" s="289">
        <f>IFERROR(__xludf.DUMMYFUNCTION("""COMPUTED_VALUE"""),3200000.0)</f>
        <v>3200000</v>
      </c>
      <c r="AK113" s="285" t="str">
        <f>IFERROR(__xludf.DUMMYFUNCTION("""COMPUTED_VALUE"""),"gada jawaban")</f>
        <v>gada jawaban</v>
      </c>
    </row>
    <row r="114"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B114" s="285" t="str">
        <f>IFERROR(__xludf.DUMMYFUNCTION("""COMPUTED_VALUE"""),"2604H027")</f>
        <v>2604H027</v>
      </c>
      <c r="AC114" s="286">
        <f>IFERROR(__xludf.DUMMYFUNCTION("""COMPUTED_VALUE"""),46126.0)</f>
        <v>46126</v>
      </c>
      <c r="AD114" s="285" t="str">
        <f>IFERROR(__xludf.DUMMYFUNCTION("""COMPUTED_VALUE"""),"Kiki")</f>
        <v>Kiki</v>
      </c>
      <c r="AE114" s="285" t="str">
        <f>IFERROR(__xludf.DUMMYFUNCTION("""COMPUTED_VALUE"""),"081288110888")</f>
        <v>081288110888</v>
      </c>
      <c r="AF114" s="285" t="str">
        <f>IFERROR(__xludf.DUMMYFUNCTION("""COMPUTED_VALUE"""),"Gagal")</f>
        <v>Gagal</v>
      </c>
      <c r="AG114" s="285" t="str">
        <f>IFERROR(__xludf.DUMMYFUNCTION("""COMPUTED_VALUE"""),"BROMOO")</f>
        <v>BROMOO</v>
      </c>
      <c r="AH114" s="287"/>
      <c r="AI114" s="285">
        <f>IFERROR(__xludf.DUMMYFUNCTION("""COMPUTED_VALUE"""),5.0)</f>
        <v>5</v>
      </c>
      <c r="AJ114" s="289"/>
      <c r="AK114" s="285" t="str">
        <f>IFERROR(__xludf.DUMMYFUNCTION("""COMPUTED_VALUE"""),"tidak ada kelanjurutan")</f>
        <v>tidak ada kelanjurutan</v>
      </c>
    </row>
    <row r="115"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  <c r="AB115" s="285" t="str">
        <f>IFERROR(__xludf.DUMMYFUNCTION("""COMPUTED_VALUE"""),"2604H028")</f>
        <v>2604H028</v>
      </c>
      <c r="AC115" s="286">
        <f>IFERROR(__xludf.DUMMYFUNCTION("""COMPUTED_VALUE"""),46126.0)</f>
        <v>46126</v>
      </c>
      <c r="AD115" s="285" t="str">
        <f>IFERROR(__xludf.DUMMYFUNCTION("""COMPUTED_VALUE"""),"Melia")</f>
        <v>Melia</v>
      </c>
      <c r="AE115" s="285" t="str">
        <f>IFERROR(__xludf.DUMMYFUNCTION("""COMPUTED_VALUE"""),"0811195318")</f>
        <v>0811195318</v>
      </c>
      <c r="AF115" s="285" t="str">
        <f>IFERROR(__xludf.DUMMYFUNCTION("""COMPUTED_VALUE"""),"Gagal")</f>
        <v>Gagal</v>
      </c>
      <c r="AG115" s="285" t="str">
        <f>IFERROR(__xludf.DUMMYFUNCTION("""COMPUTED_VALUE"""),"1d djabal")</f>
        <v>1d djabal</v>
      </c>
      <c r="AH115" s="287">
        <f>IFERROR(__xludf.DUMMYFUNCTION("""COMPUTED_VALUE"""),46128.0)</f>
        <v>46128</v>
      </c>
      <c r="AI115" s="285">
        <f>IFERROR(__xludf.DUMMYFUNCTION("""COMPUTED_VALUE"""),4.0)</f>
        <v>4</v>
      </c>
      <c r="AJ115" s="289">
        <f>IFERROR(__xludf.DUMMYFUNCTION("""COMPUTED_VALUE"""),1320000.0)</f>
        <v>1320000</v>
      </c>
      <c r="AK115" s="285"/>
    </row>
    <row r="116"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B116" s="285" t="str">
        <f>IFERROR(__xludf.DUMMYFUNCTION("""COMPUTED_VALUE"""),"2604H030")</f>
        <v>2604H030</v>
      </c>
      <c r="AC116" s="286">
        <f>IFERROR(__xludf.DUMMYFUNCTION("""COMPUTED_VALUE"""),46128.0)</f>
        <v>46128</v>
      </c>
      <c r="AD116" s="285" t="str">
        <f>IFERROR(__xludf.DUMMYFUNCTION("""COMPUTED_VALUE"""),"Santy")</f>
        <v>Santy</v>
      </c>
      <c r="AE116" s="285" t="str">
        <f>IFERROR(__xludf.DUMMYFUNCTION("""COMPUTED_VALUE"""),"081219708830")</f>
        <v>081219708830</v>
      </c>
      <c r="AF116" s="285" t="str">
        <f>IFERROR(__xludf.DUMMYFUNCTION("""COMPUTED_VALUE"""),"Gagal")</f>
        <v>Gagal</v>
      </c>
      <c r="AG116" s="285" t="str">
        <f>IFERROR(__xludf.DUMMYFUNCTION("""COMPUTED_VALUE"""),"3h2m opsi a")</f>
        <v>3h2m opsi a</v>
      </c>
      <c r="AH116" s="287"/>
      <c r="AI116" s="285">
        <f>IFERROR(__xludf.DUMMYFUNCTION("""COMPUTED_VALUE"""),7.0)</f>
        <v>7</v>
      </c>
      <c r="AJ116" s="289">
        <f>IFERROR(__xludf.DUMMYFUNCTION("""COMPUTED_VALUE"""),1.0227E7)</f>
        <v>10227000</v>
      </c>
      <c r="AK116" s="285" t="str">
        <f>IFERROR(__xludf.DUMMYFUNCTION("""COMPUTED_VALUE"""),"gagal. tidak ada jawaban, sdh fu 5 kali")</f>
        <v>gagal. tidak ada jawaban, sdh fu 5 kali</v>
      </c>
    </row>
    <row r="117"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  <c r="AB117" s="285" t="str">
        <f>IFERROR(__xludf.DUMMYFUNCTION("""COMPUTED_VALUE"""),"2604H032")</f>
        <v>2604H032</v>
      </c>
      <c r="AC117" s="286">
        <f>IFERROR(__xludf.DUMMYFUNCTION("""COMPUTED_VALUE"""),46128.0)</f>
        <v>46128</v>
      </c>
      <c r="AD117" s="285" t="str">
        <f>IFERROR(__xludf.DUMMYFUNCTION("""COMPUTED_VALUE"""),"Rizky M")</f>
        <v>Rizky M</v>
      </c>
      <c r="AE117" s="285" t="str">
        <f>IFERROR(__xludf.DUMMYFUNCTION("""COMPUTED_VALUE"""),"085733618059")</f>
        <v>085733618059</v>
      </c>
      <c r="AF117" s="285" t="str">
        <f>IFERROR(__xludf.DUMMYFUNCTION("""COMPUTED_VALUE"""),"Gagal")</f>
        <v>Gagal</v>
      </c>
      <c r="AG117" s="285" t="str">
        <f>IFERROR(__xludf.DUMMYFUNCTION("""COMPUTED_VALUE"""),"Trip Pulau Merah")</f>
        <v>Trip Pulau Merah</v>
      </c>
      <c r="AH117" s="287"/>
      <c r="AI117" s="285">
        <f>IFERROR(__xludf.DUMMYFUNCTION("""COMPUTED_VALUE"""),1.0)</f>
        <v>1</v>
      </c>
      <c r="AJ117" s="289">
        <f>IFERROR(__xludf.DUMMYFUNCTION("""COMPUTED_VALUE"""),740000.0)</f>
        <v>740000</v>
      </c>
      <c r="AK117" s="285" t="str">
        <f>IFERROR(__xludf.DUMMYFUNCTION("""COMPUTED_VALUE"""),"pengajuan cuti ditolak")</f>
        <v>pengajuan cuti ditolak</v>
      </c>
    </row>
    <row r="118"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  <c r="AB118" s="285" t="str">
        <f>IFERROR(__xludf.DUMMYFUNCTION("""COMPUTED_VALUE"""),"2604H034")</f>
        <v>2604H034</v>
      </c>
      <c r="AC118" s="286">
        <f>IFERROR(__xludf.DUMMYFUNCTION("""COMPUTED_VALUE"""),46128.0)</f>
        <v>46128</v>
      </c>
      <c r="AD118" s="285" t="str">
        <f>IFERROR(__xludf.DUMMYFUNCTION("""COMPUTED_VALUE"""),"Vitantri Anggayasti")</f>
        <v>Vitantri Anggayasti</v>
      </c>
      <c r="AE118" s="285" t="str">
        <f>IFERROR(__xludf.DUMMYFUNCTION("""COMPUTED_VALUE"""),"087880392332")</f>
        <v>087880392332</v>
      </c>
      <c r="AF118" s="285" t="str">
        <f>IFERROR(__xludf.DUMMYFUNCTION("""COMPUTED_VALUE"""),"Gagal")</f>
        <v>Gagal</v>
      </c>
      <c r="AG118" s="285" t="str">
        <f>IFERROR(__xludf.DUMMYFUNCTION("""COMPUTED_VALUE"""),"3h2m")</f>
        <v>3h2m</v>
      </c>
      <c r="AH118" s="287"/>
      <c r="AI118" s="285">
        <f>IFERROR(__xludf.DUMMYFUNCTION("""COMPUTED_VALUE"""),3.0)</f>
        <v>3</v>
      </c>
      <c r="AJ118" s="289">
        <f>IFERROR(__xludf.DUMMYFUNCTION("""COMPUTED_VALUE"""),7224000.0)</f>
        <v>7224000</v>
      </c>
      <c r="AK118" s="285" t="str">
        <f>IFERROR(__xludf.DUMMYFUNCTION("""COMPUTED_VALUE"""),"tidak ada jawaban")</f>
        <v>tidak ada jawaban</v>
      </c>
    </row>
    <row r="119"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B119" s="285" t="str">
        <f>IFERROR(__xludf.DUMMYFUNCTION("""COMPUTED_VALUE"""),"2604H035")</f>
        <v>2604H035</v>
      </c>
      <c r="AC119" s="286">
        <f>IFERROR(__xludf.DUMMYFUNCTION("""COMPUTED_VALUE"""),46129.0)</f>
        <v>46129</v>
      </c>
      <c r="AD119" s="285" t="str">
        <f>IFERROR(__xludf.DUMMYFUNCTION("""COMPUTED_VALUE"""),"Elmy")</f>
        <v>Elmy</v>
      </c>
      <c r="AE119" s="285" t="str">
        <f>IFERROR(__xludf.DUMMYFUNCTION("""COMPUTED_VALUE"""),"087774597676")</f>
        <v>087774597676</v>
      </c>
      <c r="AF119" s="285" t="str">
        <f>IFERROR(__xludf.DUMMYFUNCTION("""COMPUTED_VALUE"""),"Gagal")</f>
        <v>Gagal</v>
      </c>
      <c r="AG119" s="285" t="str">
        <f>IFERROR(__xludf.DUMMYFUNCTION("""COMPUTED_VALUE"""),"2h1m a")</f>
        <v>2h1m a</v>
      </c>
      <c r="AH119" s="287">
        <f>IFERROR(__xludf.DUMMYFUNCTION("""COMPUTED_VALUE"""),46192.0)</f>
        <v>46192</v>
      </c>
      <c r="AI119" s="285">
        <f>IFERROR(__xludf.DUMMYFUNCTION("""COMPUTED_VALUE"""),4.0)</f>
        <v>4</v>
      </c>
      <c r="AJ119" s="289">
        <f>IFERROR(__xludf.DUMMYFUNCTION("""COMPUTED_VALUE"""),3884000.0)</f>
        <v>3884000</v>
      </c>
      <c r="AK119" s="285" t="str">
        <f>IFERROR(__xludf.DUMMYFUNCTION("""COMPUTED_VALUE"""),"tdhk ada jawaban")</f>
        <v>tdhk ada jawaban</v>
      </c>
    </row>
    <row r="120"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B120" s="285" t="str">
        <f>IFERROR(__xludf.DUMMYFUNCTION("""COMPUTED_VALUE"""),"2604H036")</f>
        <v>2604H036</v>
      </c>
      <c r="AC120" s="286">
        <f>IFERROR(__xludf.DUMMYFUNCTION("""COMPUTED_VALUE"""),46129.0)</f>
        <v>46129</v>
      </c>
      <c r="AD120" s="285" t="str">
        <f>IFERROR(__xludf.DUMMYFUNCTION("""COMPUTED_VALUE"""),"Iswan")</f>
        <v>Iswan</v>
      </c>
      <c r="AE120" s="285" t="str">
        <f>IFERROR(__xludf.DUMMYFUNCTION("""COMPUTED_VALUE"""),"088212041590")</f>
        <v>088212041590</v>
      </c>
      <c r="AF120" s="285" t="str">
        <f>IFERROR(__xludf.DUMMYFUNCTION("""COMPUTED_VALUE"""),"Gagal")</f>
        <v>Gagal</v>
      </c>
      <c r="AG120" s="285" t="str">
        <f>IFERROR(__xludf.DUMMYFUNCTION("""COMPUTED_VALUE"""),"3h2m atau 4h3m")</f>
        <v>3h2m atau 4h3m</v>
      </c>
      <c r="AH120" s="287"/>
      <c r="AI120" s="285">
        <f>IFERROR(__xludf.DUMMYFUNCTION("""COMPUTED_VALUE"""),10.0)</f>
        <v>10</v>
      </c>
      <c r="AJ120" s="289">
        <f>IFERROR(__xludf.DUMMYFUNCTION("""COMPUTED_VALUE"""),1.17E7)</f>
        <v>11700000</v>
      </c>
      <c r="AK120" s="285" t="str">
        <f>IFERROR(__xludf.DUMMYFUNCTION("""COMPUTED_VALUE"""),"tidak ada respon")</f>
        <v>tidak ada respon</v>
      </c>
    </row>
    <row r="121"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B121" s="285" t="str">
        <f>IFERROR(__xludf.DUMMYFUNCTION("""COMPUTED_VALUE"""),"2604H039")</f>
        <v>2604H039</v>
      </c>
      <c r="AC121" s="286">
        <f>IFERROR(__xludf.DUMMYFUNCTION("""COMPUTED_VALUE"""),46131.0)</f>
        <v>46131</v>
      </c>
      <c r="AD121" s="285" t="str">
        <f>IFERROR(__xludf.DUMMYFUNCTION("""COMPUTED_VALUE"""),"Dina Wahyuni")</f>
        <v>Dina Wahyuni</v>
      </c>
      <c r="AE121" s="285" t="str">
        <f>IFERROR(__xludf.DUMMYFUNCTION("""COMPUTED_VALUE"""),"08161148511")</f>
        <v>08161148511</v>
      </c>
      <c r="AF121" s="285" t="str">
        <f>IFERROR(__xludf.DUMMYFUNCTION("""COMPUTED_VALUE"""),"Gagal")</f>
        <v>Gagal</v>
      </c>
      <c r="AG121" s="285" t="str">
        <f>IFERROR(__xludf.DUMMYFUNCTION("""COMPUTED_VALUE"""),"ot")</f>
        <v>ot</v>
      </c>
      <c r="AH121" s="287"/>
      <c r="AI121" s="285">
        <f>IFERROR(__xludf.DUMMYFUNCTION("""COMPUTED_VALUE"""),4.0)</f>
        <v>4</v>
      </c>
      <c r="AJ121" s="289"/>
      <c r="AK121" s="285" t="str">
        <f>IFERROR(__xludf.DUMMYFUNCTION("""COMPUTED_VALUE"""),"fu 5 juli. ganti komunikasi ke bu dewi")</f>
        <v>fu 5 juli. ganti komunikasi ke bu dewi</v>
      </c>
    </row>
    <row r="122"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B122" s="285" t="str">
        <f>IFERROR(__xludf.DUMMYFUNCTION("""COMPUTED_VALUE"""),"2604H040")</f>
        <v>2604H040</v>
      </c>
      <c r="AC122" s="286">
        <f>IFERROR(__xludf.DUMMYFUNCTION("""COMPUTED_VALUE"""),46131.0)</f>
        <v>46131</v>
      </c>
      <c r="AD122" s="285" t="str">
        <f>IFERROR(__xludf.DUMMYFUNCTION("""COMPUTED_VALUE"""),"Reza IM3")</f>
        <v>Reza IM3</v>
      </c>
      <c r="AE122" s="285" t="str">
        <f>IFERROR(__xludf.DUMMYFUNCTION("""COMPUTED_VALUE"""),"08152350888")</f>
        <v>08152350888</v>
      </c>
      <c r="AF122" s="285" t="str">
        <f>IFERROR(__xludf.DUMMYFUNCTION("""COMPUTED_VALUE"""),"Gagal")</f>
        <v>Gagal</v>
      </c>
      <c r="AG122" s="285" t="str">
        <f>IFERROR(__xludf.DUMMYFUNCTION("""COMPUTED_VALUE"""),"ijen bromo")</f>
        <v>ijen bromo</v>
      </c>
      <c r="AH122" s="287"/>
      <c r="AI122" s="285">
        <f>IFERROR(__xludf.DUMMYFUNCTION("""COMPUTED_VALUE"""),2.0)</f>
        <v>2</v>
      </c>
      <c r="AJ122" s="289">
        <f>IFERROR(__xludf.DUMMYFUNCTION("""COMPUTED_VALUE"""),7000000.0)</f>
        <v>7000000</v>
      </c>
      <c r="AK122" s="285" t="str">
        <f>IFERROR(__xludf.DUMMYFUNCTION("""COMPUTED_VALUE"""),"harus cancel, nanti dikontal lagi")</f>
        <v>harus cancel, nanti dikontal lagi</v>
      </c>
    </row>
    <row r="123"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B123" s="285" t="str">
        <f>IFERROR(__xludf.DUMMYFUNCTION("""COMPUTED_VALUE"""),"2604H042")</f>
        <v>2604H042</v>
      </c>
      <c r="AC123" s="286">
        <f>IFERROR(__xludf.DUMMYFUNCTION("""COMPUTED_VALUE"""),46133.0)</f>
        <v>46133</v>
      </c>
      <c r="AD123" s="285" t="str">
        <f>IFERROR(__xludf.DUMMYFUNCTION("""COMPUTED_VALUE"""),"Fen")</f>
        <v>Fen</v>
      </c>
      <c r="AE123" s="285" t="str">
        <f>IFERROR(__xludf.DUMMYFUNCTION("""COMPUTED_VALUE"""),"085158598922")</f>
        <v>085158598922</v>
      </c>
      <c r="AF123" s="285" t="str">
        <f>IFERROR(__xludf.DUMMYFUNCTION("""COMPUTED_VALUE"""),"Gagal")</f>
        <v>Gagal</v>
      </c>
      <c r="AG123" s="285" t="str">
        <f>IFERROR(__xludf.DUMMYFUNCTION("""COMPUTED_VALUE"""),"green island ")</f>
        <v>green island </v>
      </c>
      <c r="AH123" s="287"/>
      <c r="AI123" s="285"/>
      <c r="AJ123" s="289"/>
      <c r="AK123" s="285" t="str">
        <f>IFERROR(__xludf.DUMMYFUNCTION("""COMPUTED_VALUE"""),"gada jawaban, chat singkat2")</f>
        <v>gada jawaban, chat singkat2</v>
      </c>
    </row>
    <row r="124"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B124" s="285" t="str">
        <f>IFERROR(__xludf.DUMMYFUNCTION("""COMPUTED_VALUE"""),"2604H043")</f>
        <v>2604H043</v>
      </c>
      <c r="AC124" s="286">
        <f>IFERROR(__xludf.DUMMYFUNCTION("""COMPUTED_VALUE"""),46133.0)</f>
        <v>46133</v>
      </c>
      <c r="AD124" s="285" t="str">
        <f>IFERROR(__xludf.DUMMYFUNCTION("""COMPUTED_VALUE"""),"fk")</f>
        <v>fk</v>
      </c>
      <c r="AE124" s="285" t="str">
        <f>IFERROR(__xludf.DUMMYFUNCTION("""COMPUTED_VALUE"""),"087877279125")</f>
        <v>087877279125</v>
      </c>
      <c r="AF124" s="285" t="str">
        <f>IFERROR(__xludf.DUMMYFUNCTION("""COMPUTED_VALUE"""),"Gagal")</f>
        <v>Gagal</v>
      </c>
      <c r="AG124" s="285" t="str">
        <f>IFERROR(__xludf.DUMMYFUNCTION("""COMPUTED_VALUE"""),"ot")</f>
        <v>ot</v>
      </c>
      <c r="AH124" s="287"/>
      <c r="AI124" s="285">
        <f>IFERROR(__xludf.DUMMYFUNCTION("""COMPUTED_VALUE"""),1.0)</f>
        <v>1</v>
      </c>
      <c r="AJ124" s="289"/>
      <c r="AK124" s="285" t="str">
        <f>IFERROR(__xludf.DUMMYFUNCTION("""COMPUTED_VALUE"""),"gada jawaban. sdh fu")</f>
        <v>gada jawaban. sdh fu</v>
      </c>
    </row>
    <row r="125"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B125" s="285" t="str">
        <f>IFERROR(__xludf.DUMMYFUNCTION("""COMPUTED_VALUE"""),"2604H044")</f>
        <v>2604H044</v>
      </c>
      <c r="AC125" s="286">
        <f>IFERROR(__xludf.DUMMYFUNCTION("""COMPUTED_VALUE"""),46133.0)</f>
        <v>46133</v>
      </c>
      <c r="AD125" s="285" t="str">
        <f>IFERROR(__xludf.DUMMYFUNCTION("""COMPUTED_VALUE"""),"Jagad")</f>
        <v>Jagad</v>
      </c>
      <c r="AE125" s="285" t="str">
        <f>IFERROR(__xludf.DUMMYFUNCTION("""COMPUTED_VALUE"""),"082123328238")</f>
        <v>082123328238</v>
      </c>
      <c r="AF125" s="285" t="str">
        <f>IFERROR(__xludf.DUMMYFUNCTION("""COMPUTED_VALUE"""),"Gagal")</f>
        <v>Gagal</v>
      </c>
      <c r="AG125" s="285"/>
      <c r="AH125" s="287"/>
      <c r="AI125" s="285"/>
      <c r="AJ125" s="289"/>
      <c r="AK125" s="285"/>
    </row>
    <row r="126"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B126" s="285" t="str">
        <f>IFERROR(__xludf.DUMMYFUNCTION("""COMPUTED_VALUE"""),"2604H045")</f>
        <v>2604H045</v>
      </c>
      <c r="AC126" s="286">
        <f>IFERROR(__xludf.DUMMYFUNCTION("""COMPUTED_VALUE"""),46134.0)</f>
        <v>46134</v>
      </c>
      <c r="AD126" s="285" t="str">
        <f>IFERROR(__xludf.DUMMYFUNCTION("""COMPUTED_VALUE"""),"Rika Ismet")</f>
        <v>Rika Ismet</v>
      </c>
      <c r="AE126" s="285" t="str">
        <f>IFERROR(__xludf.DUMMYFUNCTION("""COMPUTED_VALUE"""),"081322357646")</f>
        <v>081322357646</v>
      </c>
      <c r="AF126" s="285" t="str">
        <f>IFERROR(__xludf.DUMMYFUNCTION("""COMPUTED_VALUE"""),"Gagal")</f>
        <v>Gagal</v>
      </c>
      <c r="AG126" s="285" t="str">
        <f>IFERROR(__xludf.DUMMYFUNCTION("""COMPUTED_VALUE"""),"full day trip Alas Purwo-DJawatan-PM")</f>
        <v>full day trip Alas Purwo-DJawatan-PM</v>
      </c>
      <c r="AH126" s="287"/>
      <c r="AI126" s="285">
        <f>IFERROR(__xludf.DUMMYFUNCTION("""COMPUTED_VALUE"""),10.0)</f>
        <v>10</v>
      </c>
      <c r="AJ126" s="289">
        <f>IFERROR(__xludf.DUMMYFUNCTION("""COMPUTED_VALUE"""),4500000.0)</f>
        <v>4500000</v>
      </c>
      <c r="AK126" s="285" t="str">
        <f>IFERROR(__xludf.DUMMYFUNCTION("""COMPUTED_VALUE"""),"banyak yg tidak bisa ikutan")</f>
        <v>banyak yg tidak bisa ikutan</v>
      </c>
    </row>
    <row r="127"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B127" s="285" t="str">
        <f>IFERROR(__xludf.DUMMYFUNCTION("""COMPUTED_VALUE"""),"2604H048")</f>
        <v>2604H048</v>
      </c>
      <c r="AC127" s="286">
        <f>IFERROR(__xludf.DUMMYFUNCTION("""COMPUTED_VALUE"""),46136.0)</f>
        <v>46136</v>
      </c>
      <c r="AD127" s="285" t="str">
        <f>IFERROR(__xludf.DUMMYFUNCTION("""COMPUTED_VALUE"""),"Athaya Shafa Nisya")</f>
        <v>Athaya Shafa Nisya</v>
      </c>
      <c r="AE127" s="285" t="str">
        <f>IFERROR(__xludf.DUMMYFUNCTION("""COMPUTED_VALUE"""),"0895621537011")</f>
        <v>0895621537011</v>
      </c>
      <c r="AF127" s="285" t="str">
        <f>IFERROR(__xludf.DUMMYFUNCTION("""COMPUTED_VALUE"""),"Gagal")</f>
        <v>Gagal</v>
      </c>
      <c r="AG127" s="285" t="str">
        <f>IFERROR(__xludf.DUMMYFUNCTION("""COMPUTED_VALUE"""),"ot menjangan tabuhan")</f>
        <v>ot menjangan tabuhan</v>
      </c>
      <c r="AH127" s="287"/>
      <c r="AI127" s="285">
        <f>IFERROR(__xludf.DUMMYFUNCTION("""COMPUTED_VALUE"""),1.0)</f>
        <v>1</v>
      </c>
      <c r="AJ127" s="289">
        <f>IFERROR(__xludf.DUMMYFUNCTION("""COMPUTED_VALUE"""),295000.0)</f>
        <v>295000</v>
      </c>
      <c r="AK127" s="285" t="str">
        <f>IFERROR(__xludf.DUMMYFUNCTION("""COMPUTED_VALUE"""),"tidak ada jawaban. sdh fu")</f>
        <v>tidak ada jawaban. sdh fu</v>
      </c>
    </row>
    <row r="128"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B128" s="285" t="str">
        <f>IFERROR(__xludf.DUMMYFUNCTION("""COMPUTED_VALUE"""),"2604H049")</f>
        <v>2604H049</v>
      </c>
      <c r="AC128" s="286">
        <f>IFERROR(__xludf.DUMMYFUNCTION("""COMPUTED_VALUE"""),46136.0)</f>
        <v>46136</v>
      </c>
      <c r="AD128" s="285" t="str">
        <f>IFERROR(__xludf.DUMMYFUNCTION("""COMPUTED_VALUE"""),"Felicia")</f>
        <v>Felicia</v>
      </c>
      <c r="AE128" s="285" t="str">
        <f>IFERROR(__xludf.DUMMYFUNCTION("""COMPUTED_VALUE"""),"082110434575")</f>
        <v>082110434575</v>
      </c>
      <c r="AF128" s="285" t="str">
        <f>IFERROR(__xludf.DUMMYFUNCTION("""COMPUTED_VALUE"""),"Gagal")</f>
        <v>Gagal</v>
      </c>
      <c r="AG128" s="285" t="str">
        <f>IFERROR(__xludf.DUMMYFUNCTION("""COMPUTED_VALUE"""),"2h1m opsi c")</f>
        <v>2h1m opsi c</v>
      </c>
      <c r="AH128" s="287"/>
      <c r="AI128" s="285">
        <f>IFERROR(__xludf.DUMMYFUNCTION("""COMPUTED_VALUE"""),4.0)</f>
        <v>4</v>
      </c>
      <c r="AJ128" s="289">
        <f>IFERROR(__xludf.DUMMYFUNCTION("""COMPUTED_VALUE"""),5288000.0)</f>
        <v>5288000</v>
      </c>
      <c r="AK128" s="285" t="str">
        <f>IFERROR(__xludf.DUMMYFUNCTION("""COMPUTED_VALUE"""),"ada acara lain, ga jadi liburan")</f>
        <v>ada acara lain, ga jadi liburan</v>
      </c>
    </row>
    <row r="129"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B129" s="285" t="str">
        <f>IFERROR(__xludf.DUMMYFUNCTION("""COMPUTED_VALUE"""),"2604H050")</f>
        <v>2604H050</v>
      </c>
      <c r="AC129" s="286">
        <f>IFERROR(__xludf.DUMMYFUNCTION("""COMPUTED_VALUE"""),46136.0)</f>
        <v>46136</v>
      </c>
      <c r="AD129" s="285" t="str">
        <f>IFERROR(__xludf.DUMMYFUNCTION("""COMPUTED_VALUE"""),"baso")</f>
        <v>baso</v>
      </c>
      <c r="AE129" s="285" t="str">
        <f>IFERROR(__xludf.DUMMYFUNCTION("""COMPUTED_VALUE"""),"081514026092")</f>
        <v>081514026092</v>
      </c>
      <c r="AF129" s="285" t="str">
        <f>IFERROR(__xludf.DUMMYFUNCTION("""COMPUTED_VALUE"""),"Gagal")</f>
        <v>Gagal</v>
      </c>
      <c r="AG129" s="285" t="str">
        <f>IFERROR(__xludf.DUMMYFUNCTION("""COMPUTED_VALUE"""),"2h1m")</f>
        <v>2h1m</v>
      </c>
      <c r="AH129" s="287">
        <f>IFERROR(__xludf.DUMMYFUNCTION("""COMPUTED_VALUE"""),46137.0)</f>
        <v>46137</v>
      </c>
      <c r="AI129" s="285">
        <f>IFERROR(__xludf.DUMMYFUNCTION("""COMPUTED_VALUE"""),2.0)</f>
        <v>2</v>
      </c>
      <c r="AJ129" s="289">
        <f>IFERROR(__xludf.DUMMYFUNCTION("""COMPUTED_VALUE"""),6000000.0)</f>
        <v>6000000</v>
      </c>
      <c r="AK129" s="285" t="str">
        <f>IFERROR(__xludf.DUMMYFUNCTION("""COMPUTED_VALUE"""),"lanjut ke jogja")</f>
        <v>lanjut ke jogja</v>
      </c>
    </row>
    <row r="130"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  <c r="AB130" s="285" t="str">
        <f>IFERROR(__xludf.DUMMYFUNCTION("""COMPUTED_VALUE"""),"2604H055")</f>
        <v>2604H055</v>
      </c>
      <c r="AC130" s="286">
        <f>IFERROR(__xludf.DUMMYFUNCTION("""COMPUTED_VALUE"""),46139.0)</f>
        <v>46139</v>
      </c>
      <c r="AD130" s="285" t="str">
        <f>IFERROR(__xludf.DUMMYFUNCTION("""COMPUTED_VALUE"""),"Firda Fitria_PLK_PND")</f>
        <v>Firda Fitria_PLK_PND</v>
      </c>
      <c r="AE130" s="285" t="str">
        <f>IFERROR(__xludf.DUMMYFUNCTION("""COMPUTED_VALUE"""),"089508614381")</f>
        <v>089508614381</v>
      </c>
      <c r="AF130" s="285" t="str">
        <f>IFERROR(__xludf.DUMMYFUNCTION("""COMPUTED_VALUE"""),"Gagal")</f>
        <v>Gagal</v>
      </c>
      <c r="AG130" s="285"/>
      <c r="AH130" s="287">
        <f>IFERROR(__xludf.DUMMYFUNCTION("""COMPUTED_VALUE"""),46144.0)</f>
        <v>46144</v>
      </c>
      <c r="AI130" s="285">
        <f>IFERROR(__xludf.DUMMYFUNCTION("""COMPUTED_VALUE"""),1.0)</f>
        <v>1</v>
      </c>
      <c r="AJ130" s="289"/>
      <c r="AK130" s="285" t="str">
        <f>IFERROR(__xludf.DUMMYFUNCTION("""COMPUTED_VALUE"""),"sdh fu, gada balasan, balas singkat2")</f>
        <v>sdh fu, gada balasan, balas singkat2</v>
      </c>
    </row>
    <row r="131"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B131" s="285" t="str">
        <f>IFERROR(__xludf.DUMMYFUNCTION("""COMPUTED_VALUE"""),"2604H056")</f>
        <v>2604H056</v>
      </c>
      <c r="AC131" s="286">
        <f>IFERROR(__xludf.DUMMYFUNCTION("""COMPUTED_VALUE"""),46140.0)</f>
        <v>46140</v>
      </c>
      <c r="AD131" s="285" t="str">
        <f>IFERROR(__xludf.DUMMYFUNCTION("""COMPUTED_VALUE"""),"Indri")</f>
        <v>Indri</v>
      </c>
      <c r="AE131" s="285" t="str">
        <f>IFERROR(__xludf.DUMMYFUNCTION("""COMPUTED_VALUE"""),"081222363338")</f>
        <v>081222363338</v>
      </c>
      <c r="AF131" s="285" t="str">
        <f>IFERROR(__xludf.DUMMYFUNCTION("""COMPUTED_VALUE"""),"Gagal")</f>
        <v>Gagal</v>
      </c>
      <c r="AG131" s="285" t="str">
        <f>IFERROR(__xludf.DUMMYFUNCTION("""COMPUTED_VALUE"""),"3h2m")</f>
        <v>3h2m</v>
      </c>
      <c r="AH131" s="287"/>
      <c r="AI131" s="285">
        <f>IFERROR(__xludf.DUMMYFUNCTION("""COMPUTED_VALUE"""),5.0)</f>
        <v>5</v>
      </c>
      <c r="AJ131" s="289"/>
      <c r="AK131" s="285" t="str">
        <f>IFERROR(__xludf.DUMMYFUNCTION("""COMPUTED_VALUE"""),"tidak ada balasan")</f>
        <v>tidak ada balasan</v>
      </c>
    </row>
    <row r="132"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B132" s="285" t="str">
        <f>IFERROR(__xludf.DUMMYFUNCTION("""COMPUTED_VALUE"""),"2604H057")</f>
        <v>2604H057</v>
      </c>
      <c r="AC132" s="286">
        <f>IFERROR(__xludf.DUMMYFUNCTION("""COMPUTED_VALUE"""),46141.0)</f>
        <v>46141</v>
      </c>
      <c r="AD132" s="285" t="str">
        <f>IFERROR(__xludf.DUMMYFUNCTION("""COMPUTED_VALUE"""),"Win")</f>
        <v>Win</v>
      </c>
      <c r="AE132" s="285" t="str">
        <f>IFERROR(__xludf.DUMMYFUNCTION("""COMPUTED_VALUE"""),"081288900039")</f>
        <v>081288900039</v>
      </c>
      <c r="AF132" s="285" t="str">
        <f>IFERROR(__xludf.DUMMYFUNCTION("""COMPUTED_VALUE"""),"Gagal")</f>
        <v>Gagal</v>
      </c>
      <c r="AG132" s="285" t="str">
        <f>IFERROR(__xludf.DUMMYFUNCTION("""COMPUTED_VALUE"""),"2h1m")</f>
        <v>2h1m</v>
      </c>
      <c r="AH132" s="287"/>
      <c r="AI132" s="285"/>
      <c r="AJ132" s="289"/>
      <c r="AK132" s="285" t="str">
        <f>IFERROR(__xludf.DUMMYFUNCTION("""COMPUTED_VALUE"""),"gada balasan. sdh fu")</f>
        <v>gada balasan. sdh fu</v>
      </c>
    </row>
    <row r="133"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B133" s="285" t="str">
        <f>IFERROR(__xludf.DUMMYFUNCTION("""COMPUTED_VALUE"""),"2604H058")</f>
        <v>2604H058</v>
      </c>
      <c r="AC133" s="286">
        <f>IFERROR(__xludf.DUMMYFUNCTION("""COMPUTED_VALUE"""),46142.0)</f>
        <v>46142</v>
      </c>
      <c r="AD133" s="285" t="str">
        <f>IFERROR(__xludf.DUMMYFUNCTION("""COMPUTED_VALUE"""),"Rani")</f>
        <v>Rani</v>
      </c>
      <c r="AE133" s="285" t="str">
        <f>IFERROR(__xludf.DUMMYFUNCTION("""COMPUTED_VALUE"""),"082118242484")</f>
        <v>082118242484</v>
      </c>
      <c r="AF133" s="285" t="str">
        <f>IFERROR(__xludf.DUMMYFUNCTION("""COMPUTED_VALUE"""),"Gagal")</f>
        <v>Gagal</v>
      </c>
      <c r="AG133" s="285" t="str">
        <f>IFERROR(__xludf.DUMMYFUNCTION("""COMPUTED_VALUE"""),"3h2m")</f>
        <v>3h2m</v>
      </c>
      <c r="AH133" s="287">
        <f>IFERROR(__xludf.DUMMYFUNCTION("""COMPUTED_VALUE"""),46193.0)</f>
        <v>46193</v>
      </c>
      <c r="AI133" s="285">
        <f>IFERROR(__xludf.DUMMYFUNCTION("""COMPUTED_VALUE"""),5.0)</f>
        <v>5</v>
      </c>
      <c r="AJ133" s="289">
        <f>IFERROR(__xludf.DUMMYFUNCTION("""COMPUTED_VALUE"""),1.055E7)</f>
        <v>10550000</v>
      </c>
      <c r="AK133" s="285" t="str">
        <f>IFERROR(__xludf.DUMMYFUNCTION("""COMPUTED_VALUE"""),"ada kegiatan pelatihan, sehingga waktu kurang cocok")</f>
        <v>ada kegiatan pelatihan, sehingga waktu kurang cocok</v>
      </c>
    </row>
    <row r="134"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B134" s="285" t="str">
        <f>IFERROR(__xludf.DUMMYFUNCTION("""COMPUTED_VALUE"""),"2605A003")</f>
        <v>2605A003</v>
      </c>
      <c r="AC134" s="286">
        <f>IFERROR(__xludf.DUMMYFUNCTION("""COMPUTED_VALUE"""),46146.0)</f>
        <v>46146</v>
      </c>
      <c r="AD134" s="285" t="str">
        <f>IFERROR(__xludf.DUMMYFUNCTION("""COMPUTED_VALUE"""),"Ragillia Ramadhani")</f>
        <v>Ragillia Ramadhani</v>
      </c>
      <c r="AE134" s="285" t="str">
        <f>IFERROR(__xludf.DUMMYFUNCTION("""COMPUTED_VALUE"""),"08995373206")</f>
        <v>08995373206</v>
      </c>
      <c r="AF134" s="285" t="str">
        <f>IFERROR(__xludf.DUMMYFUNCTION("""COMPUTED_VALUE"""),"Gagal")</f>
        <v>Gagal</v>
      </c>
      <c r="AG134" s="285" t="str">
        <f>IFERROR(__xludf.DUMMYFUNCTION("""COMPUTED_VALUE"""),"ot green island - spot t - water blow")</f>
        <v>ot green island - spot t - water blow</v>
      </c>
      <c r="AH134" s="287">
        <f>IFERROR(__xludf.DUMMYFUNCTION("""COMPUTED_VALUE"""),46177.0)</f>
        <v>46177</v>
      </c>
      <c r="AI134" s="285">
        <f>IFERROR(__xludf.DUMMYFUNCTION("""COMPUTED_VALUE"""),2.0)</f>
        <v>2</v>
      </c>
      <c r="AJ134" s="289">
        <f>IFERROR(__xludf.DUMMYFUNCTION("""COMPUTED_VALUE"""),1100000.0)</f>
        <v>1100000</v>
      </c>
      <c r="AK134" s="285" t="str">
        <f>IFERROR(__xludf.DUMMYFUNCTION("""COMPUTED_VALUE"""),"tidak ada jawaban, sdh fu")</f>
        <v>tidak ada jawaban, sdh fu</v>
      </c>
    </row>
    <row r="135"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B135" s="285" t="str">
        <f>IFERROR(__xludf.DUMMYFUNCTION("""COMPUTED_VALUE"""),"2605H005")</f>
        <v>2605H005</v>
      </c>
      <c r="AC135" s="286">
        <f>IFERROR(__xludf.DUMMYFUNCTION("""COMPUTED_VALUE"""),46150.0)</f>
        <v>46150</v>
      </c>
      <c r="AD135" s="285" t="str">
        <f>IFERROR(__xludf.DUMMYFUNCTION("""COMPUTED_VALUE"""),"Firdaus")</f>
        <v>Firdaus</v>
      </c>
      <c r="AE135" s="285" t="str">
        <f>IFERROR(__xludf.DUMMYFUNCTION("""COMPUTED_VALUE"""),"082282178669")</f>
        <v>082282178669</v>
      </c>
      <c r="AF135" s="285" t="str">
        <f>IFERROR(__xludf.DUMMYFUNCTION("""COMPUTED_VALUE"""),"Gagal")</f>
        <v>Gagal</v>
      </c>
      <c r="AG135" s="285" t="str">
        <f>IFERROR(__xludf.DUMMYFUNCTION("""COMPUTED_VALUE"""),"ijen")</f>
        <v>ijen</v>
      </c>
      <c r="AH135" s="287"/>
      <c r="AI135" s="285">
        <f>IFERROR(__xludf.DUMMYFUNCTION("""COMPUTED_VALUE"""),1.0)</f>
        <v>1</v>
      </c>
      <c r="AJ135" s="289">
        <f>IFERROR(__xludf.DUMMYFUNCTION("""COMPUTED_VALUE"""),250000.0)</f>
        <v>250000</v>
      </c>
      <c r="AK135" s="285" t="str">
        <f>IFERROR(__xludf.DUMMYFUNCTION("""COMPUTED_VALUE"""),"maunya lihat blue fire")</f>
        <v>maunya lihat blue fire</v>
      </c>
    </row>
    <row r="136"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B136" s="285" t="str">
        <f>IFERROR(__xludf.DUMMYFUNCTION("""COMPUTED_VALUE"""),"2605H009")</f>
        <v>2605H009</v>
      </c>
      <c r="AC136" s="286">
        <f>IFERROR(__xludf.DUMMYFUNCTION("""COMPUTED_VALUE"""),46154.0)</f>
        <v>46154</v>
      </c>
      <c r="AD136" s="285" t="str">
        <f>IFERROR(__xludf.DUMMYFUNCTION("""COMPUTED_VALUE"""),".")</f>
        <v>.</v>
      </c>
      <c r="AE136" s="285" t="str">
        <f>IFERROR(__xludf.DUMMYFUNCTION("""COMPUTED_VALUE"""),"089684929926")</f>
        <v>089684929926</v>
      </c>
      <c r="AF136" s="285" t="str">
        <f>IFERROR(__xludf.DUMMYFUNCTION("""COMPUTED_VALUE"""),"Gagal")</f>
        <v>Gagal</v>
      </c>
      <c r="AG136" s="285"/>
      <c r="AH136" s="287"/>
      <c r="AI136" s="285"/>
      <c r="AJ136" s="289"/>
      <c r="AK136" s="285" t="str">
        <f>IFERROR(__xludf.DUMMYFUNCTION("""COMPUTED_VALUE"""),"gada jawaban")</f>
        <v>gada jawaban</v>
      </c>
    </row>
    <row r="137"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B137" s="285" t="str">
        <f>IFERROR(__xludf.DUMMYFUNCTION("""COMPUTED_VALUE"""),"2605H011")</f>
        <v>2605H011</v>
      </c>
      <c r="AC137" s="286">
        <f>IFERROR(__xludf.DUMMYFUNCTION("""COMPUTED_VALUE"""),46154.0)</f>
        <v>46154</v>
      </c>
      <c r="AD137" s="285" t="str">
        <f>IFERROR(__xludf.DUMMYFUNCTION("""COMPUTED_VALUE"""),"Lelina")</f>
        <v>Lelina</v>
      </c>
      <c r="AE137" s="285" t="str">
        <f>IFERROR(__xludf.DUMMYFUNCTION("""COMPUTED_VALUE"""),"085890770078")</f>
        <v>085890770078</v>
      </c>
      <c r="AF137" s="285" t="str">
        <f>IFERROR(__xludf.DUMMYFUNCTION("""COMPUTED_VALUE"""),"Gagal")</f>
        <v>Gagal</v>
      </c>
      <c r="AG137" s="285" t="str">
        <f>IFERROR(__xludf.DUMMYFUNCTION("""COMPUTED_VALUE"""),"ot ")</f>
        <v>ot </v>
      </c>
      <c r="AH137" s="287"/>
      <c r="AI137" s="285">
        <f>IFERROR(__xludf.DUMMYFUNCTION("""COMPUTED_VALUE"""),2.0)</f>
        <v>2</v>
      </c>
      <c r="AJ137" s="289"/>
      <c r="AK137" s="285" t="str">
        <f>IFERROR(__xludf.DUMMYFUNCTION("""COMPUTED_VALUE"""),"fulbooked")</f>
        <v>fulbooked</v>
      </c>
    </row>
    <row r="138"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B138" s="285" t="str">
        <f>IFERROR(__xludf.DUMMYFUNCTION("""COMPUTED_VALUE"""),"2605H012")</f>
        <v>2605H012</v>
      </c>
      <c r="AC138" s="286">
        <f>IFERROR(__xludf.DUMMYFUNCTION("""COMPUTED_VALUE"""),46155.0)</f>
        <v>46155</v>
      </c>
      <c r="AD138" s="285" t="str">
        <f>IFERROR(__xludf.DUMMYFUNCTION("""COMPUTED_VALUE"""),"Dewi Tyas")</f>
        <v>Dewi Tyas</v>
      </c>
      <c r="AE138" s="285" t="str">
        <f>IFERROR(__xludf.DUMMYFUNCTION("""COMPUTED_VALUE"""),"08170621716")</f>
        <v>08170621716</v>
      </c>
      <c r="AF138" s="285" t="str">
        <f>IFERROR(__xludf.DUMMYFUNCTION("""COMPUTED_VALUE"""),"Gagal")</f>
        <v>Gagal</v>
      </c>
      <c r="AG138" s="285" t="str">
        <f>IFERROR(__xludf.DUMMYFUNCTION("""COMPUTED_VALUE"""),"2d1n opsi a")</f>
        <v>2d1n opsi a</v>
      </c>
      <c r="AH138" s="287"/>
      <c r="AI138" s="285"/>
      <c r="AJ138" s="289">
        <f>IFERROR(__xludf.DUMMYFUNCTION("""COMPUTED_VALUE"""),3696000.0)</f>
        <v>3696000</v>
      </c>
      <c r="AK138" s="285" t="str">
        <f>IFERROR(__xludf.DUMMYFUNCTION("""COMPUTED_VALUE"""),"gajadi katanya")</f>
        <v>gajadi katanya</v>
      </c>
    </row>
    <row r="139"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B139" s="285" t="str">
        <f>IFERROR(__xludf.DUMMYFUNCTION("""COMPUTED_VALUE"""),"2605H013")</f>
        <v>2605H013</v>
      </c>
      <c r="AC139" s="286">
        <f>IFERROR(__xludf.DUMMYFUNCTION("""COMPUTED_VALUE"""),46154.0)</f>
        <v>46154</v>
      </c>
      <c r="AD139" s="285" t="str">
        <f>IFERROR(__xludf.DUMMYFUNCTION("""COMPUTED_VALUE"""),"SW")</f>
        <v>SW</v>
      </c>
      <c r="AE139" s="285" t="str">
        <f>IFERROR(__xludf.DUMMYFUNCTION("""COMPUTED_VALUE"""),"082316630493")</f>
        <v>082316630493</v>
      </c>
      <c r="AF139" s="285" t="str">
        <f>IFERROR(__xludf.DUMMYFUNCTION("""COMPUTED_VALUE"""),"Gagal")</f>
        <v>Gagal</v>
      </c>
      <c r="AG139" s="285"/>
      <c r="AH139" s="287"/>
      <c r="AI139" s="285"/>
      <c r="AJ139" s="289"/>
      <c r="AK139" s="285" t="str">
        <f>IFERROR(__xludf.DUMMYFUNCTION("""COMPUTED_VALUE"""),"fullbooked")</f>
        <v>fullbooked</v>
      </c>
    </row>
    <row r="140"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  <c r="AB140" s="285" t="str">
        <f>IFERROR(__xludf.DUMMYFUNCTION("""COMPUTED_VALUE"""),"2605H014")</f>
        <v>2605H014</v>
      </c>
      <c r="AC140" s="286">
        <f>IFERROR(__xludf.DUMMYFUNCTION("""COMPUTED_VALUE"""),46154.0)</f>
        <v>46154</v>
      </c>
      <c r="AD140" s="285" t="str">
        <f>IFERROR(__xludf.DUMMYFUNCTION("""COMPUTED_VALUE"""),"Fransiana Florida")</f>
        <v>Fransiana Florida</v>
      </c>
      <c r="AE140" s="285" t="str">
        <f>IFERROR(__xludf.DUMMYFUNCTION("""COMPUTED_VALUE"""),"089516923648")</f>
        <v>089516923648</v>
      </c>
      <c r="AF140" s="285" t="str">
        <f>IFERROR(__xludf.DUMMYFUNCTION("""COMPUTED_VALUE"""),"Gagal")</f>
        <v>Gagal</v>
      </c>
      <c r="AG140" s="285"/>
      <c r="AH140" s="287"/>
      <c r="AI140" s="285"/>
      <c r="AJ140" s="289"/>
      <c r="AK140" s="285" t="str">
        <f>IFERROR(__xludf.DUMMYFUNCTION("""COMPUTED_VALUE"""),"gada kelanjutan")</f>
        <v>gada kelanjutan</v>
      </c>
    </row>
    <row r="141"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  <c r="AB141" s="285" t="str">
        <f>IFERROR(__xludf.DUMMYFUNCTION("""COMPUTED_VALUE"""),"2605H015")</f>
        <v>2605H015</v>
      </c>
      <c r="AC141" s="286">
        <f>IFERROR(__xludf.DUMMYFUNCTION("""COMPUTED_VALUE"""),46155.0)</f>
        <v>46155</v>
      </c>
      <c r="AD141" s="285" t="str">
        <f>IFERROR(__xludf.DUMMYFUNCTION("""COMPUTED_VALUE"""),"Fitriayu")</f>
        <v>Fitriayu</v>
      </c>
      <c r="AE141" s="285" t="str">
        <f>IFERROR(__xludf.DUMMYFUNCTION("""COMPUTED_VALUE"""),"081280520880")</f>
        <v>081280520880</v>
      </c>
      <c r="AF141" s="285" t="str">
        <f>IFERROR(__xludf.DUMMYFUNCTION("""COMPUTED_VALUE"""),"Gagal")</f>
        <v>Gagal</v>
      </c>
      <c r="AG141" s="285" t="str">
        <f>IFERROR(__xludf.DUMMYFUNCTION("""COMPUTED_VALUE"""),"Green Island")</f>
        <v>Green Island</v>
      </c>
      <c r="AH141" s="287">
        <f>IFERROR(__xludf.DUMMYFUNCTION("""COMPUTED_VALUE"""),46158.0)</f>
        <v>46158</v>
      </c>
      <c r="AI141" s="285">
        <f>IFERROR(__xludf.DUMMYFUNCTION("""COMPUTED_VALUE"""),3.0)</f>
        <v>3</v>
      </c>
      <c r="AJ141" s="289">
        <f>IFERROR(__xludf.DUMMYFUNCTION("""COMPUTED_VALUE"""),1650000.0)</f>
        <v>1650000</v>
      </c>
      <c r="AK141" s="285" t="str">
        <f>IFERROR(__xludf.DUMMYFUNCTION("""COMPUTED_VALUE"""),"fullbooked")</f>
        <v>fullbooked</v>
      </c>
    </row>
    <row r="142"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B142" s="285" t="str">
        <f>IFERROR(__xludf.DUMMYFUNCTION("""COMPUTED_VALUE"""),"2605H016")</f>
        <v>2605H016</v>
      </c>
      <c r="AC142" s="286">
        <f>IFERROR(__xludf.DUMMYFUNCTION("""COMPUTED_VALUE"""),46155.0)</f>
        <v>46155</v>
      </c>
      <c r="AD142" s="285" t="str">
        <f>IFERROR(__xludf.DUMMYFUNCTION("""COMPUTED_VALUE"""),"Sinta Lestari")</f>
        <v>Sinta Lestari</v>
      </c>
      <c r="AE142" s="285" t="str">
        <f>IFERROR(__xludf.DUMMYFUNCTION("""COMPUTED_VALUE"""),"085757564784")</f>
        <v>085757564784</v>
      </c>
      <c r="AF142" s="285" t="str">
        <f>IFERROR(__xludf.DUMMYFUNCTION("""COMPUTED_VALUE"""),"Gagal")</f>
        <v>Gagal</v>
      </c>
      <c r="AG142" s="285" t="str">
        <f>IFERROR(__xludf.DUMMYFUNCTION("""COMPUTED_VALUE"""),"3d2n atau 4d3n")</f>
        <v>3d2n atau 4d3n</v>
      </c>
      <c r="AH142" s="287"/>
      <c r="AI142" s="285"/>
      <c r="AJ142" s="289"/>
      <c r="AK142" s="285" t="str">
        <f>IFERROR(__xludf.DUMMYFUNCTION("""COMPUTED_VALUE"""),"gada jawaban")</f>
        <v>gada jawaban</v>
      </c>
    </row>
    <row r="143"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B143" s="285" t="str">
        <f>IFERROR(__xludf.DUMMYFUNCTION("""COMPUTED_VALUE"""),"2605H017")</f>
        <v>2605H017</v>
      </c>
      <c r="AC143" s="286">
        <f>IFERROR(__xludf.DUMMYFUNCTION("""COMPUTED_VALUE"""),46156.0)</f>
        <v>46156</v>
      </c>
      <c r="AD143" s="285" t="str">
        <f>IFERROR(__xludf.DUMMYFUNCTION("""COMPUTED_VALUE"""),"Mas Fahrul Sr")</f>
        <v>Mas Fahrul Sr</v>
      </c>
      <c r="AE143" s="285" t="str">
        <f>IFERROR(__xludf.DUMMYFUNCTION("""COMPUTED_VALUE"""),"089518874147")</f>
        <v>089518874147</v>
      </c>
      <c r="AF143" s="285" t="str">
        <f>IFERROR(__xludf.DUMMYFUNCTION("""COMPUTED_VALUE"""),"Gagal")</f>
        <v>Gagal</v>
      </c>
      <c r="AG143" s="285"/>
      <c r="AH143" s="287"/>
      <c r="AI143" s="285"/>
      <c r="AJ143" s="289"/>
      <c r="AK143" s="285" t="str">
        <f>IFERROR(__xludf.DUMMYFUNCTION("""COMPUTED_VALUE"""),"gada jawaban")</f>
        <v>gada jawaban</v>
      </c>
    </row>
    <row r="144"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B144" s="285" t="str">
        <f>IFERROR(__xludf.DUMMYFUNCTION("""COMPUTED_VALUE"""),"2605H018")</f>
        <v>2605H018</v>
      </c>
      <c r="AC144" s="286">
        <f>IFERROR(__xludf.DUMMYFUNCTION("""COMPUTED_VALUE"""),46156.0)</f>
        <v>46156</v>
      </c>
      <c r="AD144" s="285" t="str">
        <f>IFERROR(__xludf.DUMMYFUNCTION("""COMPUTED_VALUE"""),"Jimmy")</f>
        <v>Jimmy</v>
      </c>
      <c r="AE144" s="285" t="str">
        <f>IFERROR(__xludf.DUMMYFUNCTION("""COMPUTED_VALUE"""),"081805260478")</f>
        <v>081805260478</v>
      </c>
      <c r="AF144" s="285" t="str">
        <f>IFERROR(__xludf.DUMMYFUNCTION("""COMPUTED_VALUE"""),"Gagal")</f>
        <v>Gagal</v>
      </c>
      <c r="AG144" s="285" t="str">
        <f>IFERROR(__xludf.DUMMYFUNCTION("""COMPUTED_VALUE"""),"2h1m")</f>
        <v>2h1m</v>
      </c>
      <c r="AH144" s="287">
        <f>IFERROR(__xludf.DUMMYFUNCTION("""COMPUTED_VALUE"""),46181.0)</f>
        <v>46181</v>
      </c>
      <c r="AI144" s="285"/>
      <c r="AJ144" s="289"/>
      <c r="AK144" s="285" t="str">
        <f>IFERROR(__xludf.DUMMYFUNCTION("""COMPUTED_VALUE"""),"gada jawaban. ada saudara datang")</f>
        <v>gada jawaban. ada saudara datang</v>
      </c>
    </row>
    <row r="145"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B145" s="285" t="str">
        <f>IFERROR(__xludf.DUMMYFUNCTION("""COMPUTED_VALUE"""),"2605H019")</f>
        <v>2605H019</v>
      </c>
      <c r="AC145" s="286">
        <f>IFERROR(__xludf.DUMMYFUNCTION("""COMPUTED_VALUE"""),46156.0)</f>
        <v>46156</v>
      </c>
      <c r="AD145" s="285" t="str">
        <f>IFERROR(__xludf.DUMMYFUNCTION("""COMPUTED_VALUE"""),"Mona")</f>
        <v>Mona</v>
      </c>
      <c r="AE145" s="285" t="str">
        <f>IFERROR(__xludf.DUMMYFUNCTION("""COMPUTED_VALUE"""),"081389465730")</f>
        <v>081389465730</v>
      </c>
      <c r="AF145" s="285" t="str">
        <f>IFERROR(__xludf.DUMMYFUNCTION("""COMPUTED_VALUE"""),"Gagal")</f>
        <v>Gagal</v>
      </c>
      <c r="AG145" s="285" t="str">
        <f>IFERROR(__xludf.DUMMYFUNCTION("""COMPUTED_VALUE"""),"menjangan tanbuhan baluran")</f>
        <v>menjangan tanbuhan baluran</v>
      </c>
      <c r="AH145" s="287"/>
      <c r="AI145" s="285">
        <f>IFERROR(__xludf.DUMMYFUNCTION("""COMPUTED_VALUE"""),4.0)</f>
        <v>4</v>
      </c>
      <c r="AJ145" s="289">
        <f>IFERROR(__xludf.DUMMYFUNCTION("""COMPUTED_VALUE"""),3272000.0)</f>
        <v>3272000</v>
      </c>
      <c r="AK145" s="285" t="str">
        <f>IFERROR(__xludf.DUMMYFUNCTION("""COMPUTED_VALUE"""),"gada balasan")</f>
        <v>gada balasan</v>
      </c>
    </row>
    <row r="146"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B146" s="285" t="str">
        <f>IFERROR(__xludf.DUMMYFUNCTION("""COMPUTED_VALUE"""),"2605H022")</f>
        <v>2605H022</v>
      </c>
      <c r="AC146" s="286">
        <f>IFERROR(__xludf.DUMMYFUNCTION("""COMPUTED_VALUE"""),46157.0)</f>
        <v>46157</v>
      </c>
      <c r="AD146" s="285" t="str">
        <f>IFERROR(__xludf.DUMMYFUNCTION("""COMPUTED_VALUE"""),"Aidil")</f>
        <v>Aidil</v>
      </c>
      <c r="AE146" s="285" t="str">
        <f>IFERROR(__xludf.DUMMYFUNCTION("""COMPUTED_VALUE"""),"087877422991")</f>
        <v>087877422991</v>
      </c>
      <c r="AF146" s="285" t="str">
        <f>IFERROR(__xludf.DUMMYFUNCTION("""COMPUTED_VALUE"""),"Gagal")</f>
        <v>Gagal</v>
      </c>
      <c r="AG146" s="285" t="str">
        <f>IFERROR(__xludf.DUMMYFUNCTION("""COMPUTED_VALUE"""),"3h2m")</f>
        <v>3h2m</v>
      </c>
      <c r="AH146" s="287"/>
      <c r="AI146" s="285"/>
      <c r="AJ146" s="289"/>
      <c r="AK146" s="285" t="str">
        <f>IFERROR(__xludf.DUMMYFUNCTION("""COMPUTED_VALUE"""),"gada jawaban. sdh fu")</f>
        <v>gada jawaban. sdh fu</v>
      </c>
    </row>
    <row r="147"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  <c r="AB147" s="285" t="str">
        <f>IFERROR(__xludf.DUMMYFUNCTION("""COMPUTED_VALUE"""),"2605H023")</f>
        <v>2605H023</v>
      </c>
      <c r="AC147" s="286">
        <f>IFERROR(__xludf.DUMMYFUNCTION("""COMPUTED_VALUE"""),46157.0)</f>
        <v>46157</v>
      </c>
      <c r="AD147" s="285" t="str">
        <f>IFERROR(__xludf.DUMMYFUNCTION("""COMPUTED_VALUE"""),"Sarah")</f>
        <v>Sarah</v>
      </c>
      <c r="AE147" s="285" t="str">
        <f>IFERROR(__xludf.DUMMYFUNCTION("""COMPUTED_VALUE"""),"08111008820")</f>
        <v>08111008820</v>
      </c>
      <c r="AF147" s="285" t="str">
        <f>IFERROR(__xludf.DUMMYFUNCTION("""COMPUTED_VALUE"""),"Gagal")</f>
        <v>Gagal</v>
      </c>
      <c r="AG147" s="285" t="str">
        <f>IFERROR(__xludf.DUMMYFUNCTION("""COMPUTED_VALUE"""),"2h1m opsi c")</f>
        <v>2h1m opsi c</v>
      </c>
      <c r="AH147" s="287"/>
      <c r="AI147" s="285">
        <f>IFERROR(__xludf.DUMMYFUNCTION("""COMPUTED_VALUE"""),3.0)</f>
        <v>3</v>
      </c>
      <c r="AJ147" s="289">
        <f>IFERROR(__xludf.DUMMYFUNCTION("""COMPUTED_VALUE"""),5034000.0)</f>
        <v>5034000</v>
      </c>
      <c r="AK147" s="285" t="str">
        <f>IFERROR(__xludf.DUMMYFUNCTION("""COMPUTED_VALUE"""),"gada jawaban")</f>
        <v>gada jawaban</v>
      </c>
    </row>
    <row r="148"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B148" s="285" t="str">
        <f>IFERROR(__xludf.DUMMYFUNCTION("""COMPUTED_VALUE"""),"2605H026")</f>
        <v>2605H026</v>
      </c>
      <c r="AC148" s="286">
        <f>IFERROR(__xludf.DUMMYFUNCTION("""COMPUTED_VALUE"""),46158.0)</f>
        <v>46158</v>
      </c>
      <c r="AD148" s="285" t="str">
        <f>IFERROR(__xludf.DUMMYFUNCTION("""COMPUTED_VALUE"""),"HAPPY NETI TOUR")</f>
        <v>HAPPY NETI TOUR</v>
      </c>
      <c r="AE148" s="285" t="str">
        <f>IFERROR(__xludf.DUMMYFUNCTION("""COMPUTED_VALUE"""),"081280894243")</f>
        <v>081280894243</v>
      </c>
      <c r="AF148" s="285" t="str">
        <f>IFERROR(__xludf.DUMMYFUNCTION("""COMPUTED_VALUE"""),"Gagal")</f>
        <v>Gagal</v>
      </c>
      <c r="AG148" s="285" t="str">
        <f>IFERROR(__xludf.DUMMYFUNCTION("""COMPUTED_VALUE"""),"2h1m + bromo")</f>
        <v>2h1m + bromo</v>
      </c>
      <c r="AH148" s="287"/>
      <c r="AI148" s="285">
        <f>IFERROR(__xludf.DUMMYFUNCTION("""COMPUTED_VALUE"""),20.0)</f>
        <v>20</v>
      </c>
      <c r="AJ148" s="289"/>
      <c r="AK148" s="285" t="str">
        <f>IFERROR(__xludf.DUMMYFUNCTION("""COMPUTED_VALUE"""),"gada kelanjutan")</f>
        <v>gada kelanjutan</v>
      </c>
    </row>
    <row r="149"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B149" s="285" t="str">
        <f>IFERROR(__xludf.DUMMYFUNCTION("""COMPUTED_VALUE"""),"2605H027")</f>
        <v>2605H027</v>
      </c>
      <c r="AC149" s="286">
        <f>IFERROR(__xludf.DUMMYFUNCTION("""COMPUTED_VALUE"""),46153.0)</f>
        <v>46153</v>
      </c>
      <c r="AD149" s="285" t="str">
        <f>IFERROR(__xludf.DUMMYFUNCTION("""COMPUTED_VALUE"""),"Syila")</f>
        <v>Syila</v>
      </c>
      <c r="AE149" s="285" t="str">
        <f>IFERROR(__xludf.DUMMYFUNCTION("""COMPUTED_VALUE"""),"085230222999")</f>
        <v>085230222999</v>
      </c>
      <c r="AF149" s="285" t="str">
        <f>IFERROR(__xludf.DUMMYFUNCTION("""COMPUTED_VALUE"""),"Gagal")</f>
        <v>Gagal</v>
      </c>
      <c r="AG149" s="285" t="str">
        <f>IFERROR(__xludf.DUMMYFUNCTION("""COMPUTED_VALUE"""),"ot 3h2m")</f>
        <v>ot 3h2m</v>
      </c>
      <c r="AH149" s="287"/>
      <c r="AI149" s="285">
        <f>IFERROR(__xludf.DUMMYFUNCTION("""COMPUTED_VALUE"""),1.0)</f>
        <v>1</v>
      </c>
      <c r="AJ149" s="289"/>
      <c r="AK149" s="285" t="str">
        <f>IFERROR(__xludf.DUMMYFUNCTION("""COMPUTED_VALUE"""),"fullbooked")</f>
        <v>fullbooked</v>
      </c>
    </row>
    <row r="150"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B150" s="285" t="str">
        <f>IFERROR(__xludf.DUMMYFUNCTION("""COMPUTED_VALUE"""),"2605H028")</f>
        <v>2605H028</v>
      </c>
      <c r="AC150" s="286">
        <f>IFERROR(__xludf.DUMMYFUNCTION("""COMPUTED_VALUE"""),46158.0)</f>
        <v>46158</v>
      </c>
      <c r="AD150" s="285" t="str">
        <f>IFERROR(__xludf.DUMMYFUNCTION("""COMPUTED_VALUE"""),"Aprillia")</f>
        <v>Aprillia</v>
      </c>
      <c r="AE150" s="285" t="str">
        <f>IFERROR(__xludf.DUMMYFUNCTION("""COMPUTED_VALUE"""),"081230039048")</f>
        <v>081230039048</v>
      </c>
      <c r="AF150" s="285" t="str">
        <f>IFERROR(__xludf.DUMMYFUNCTION("""COMPUTED_VALUE"""),"Gagal")</f>
        <v>Gagal</v>
      </c>
      <c r="AG150" s="285" t="str">
        <f>IFERROR(__xludf.DUMMYFUNCTION("""COMPUTED_VALUE"""),"2H1M opsi C")</f>
        <v>2H1M opsi C</v>
      </c>
      <c r="AH150" s="287"/>
      <c r="AI150" s="285">
        <f>IFERROR(__xludf.DUMMYFUNCTION("""COMPUTED_VALUE"""),5.0)</f>
        <v>5</v>
      </c>
      <c r="AJ150" s="289">
        <f>IFERROR(__xludf.DUMMYFUNCTION("""COMPUTED_VALUE"""),5420000.0)</f>
        <v>5420000</v>
      </c>
      <c r="AK150" s="285" t="str">
        <f>IFERROR(__xludf.DUMMYFUNCTION("""COMPUTED_VALUE"""),"tidak ada balasan lanjutan")</f>
        <v>tidak ada balasan lanjutan</v>
      </c>
    </row>
    <row r="151"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B151" s="285" t="str">
        <f>IFERROR(__xludf.DUMMYFUNCTION("""COMPUTED_VALUE"""),"2605H029")</f>
        <v>2605H029</v>
      </c>
      <c r="AC151" s="286">
        <f>IFERROR(__xludf.DUMMYFUNCTION("""COMPUTED_VALUE"""),46159.0)</f>
        <v>46159</v>
      </c>
      <c r="AD151" s="285" t="str">
        <f>IFERROR(__xludf.DUMMYFUNCTION("""COMPUTED_VALUE"""),"Alphanto Juratno (Anto)")</f>
        <v>Alphanto Juratno (Anto)</v>
      </c>
      <c r="AE151" s="285" t="str">
        <f>IFERROR(__xludf.DUMMYFUNCTION("""COMPUTED_VALUE"""),"081285905445")</f>
        <v>081285905445</v>
      </c>
      <c r="AF151" s="285" t="str">
        <f>IFERROR(__xludf.DUMMYFUNCTION("""COMPUTED_VALUE"""),"Gagal")</f>
        <v>Gagal</v>
      </c>
      <c r="AG151" s="285"/>
      <c r="AH151" s="287"/>
      <c r="AI151" s="285"/>
      <c r="AJ151" s="289"/>
      <c r="AK151" s="285" t="str">
        <f>IFERROR(__xludf.DUMMYFUNCTION("""COMPUTED_VALUE"""),"gada jawaban")</f>
        <v>gada jawaban</v>
      </c>
    </row>
    <row r="152"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B152" s="285" t="str">
        <f>IFERROR(__xludf.DUMMYFUNCTION("""COMPUTED_VALUE"""),"2605H030")</f>
        <v>2605H030</v>
      </c>
      <c r="AC152" s="286">
        <f>IFERROR(__xludf.DUMMYFUNCTION("""COMPUTED_VALUE"""),46159.0)</f>
        <v>46159</v>
      </c>
      <c r="AD152" s="285" t="str">
        <f>IFERROR(__xludf.DUMMYFUNCTION("""COMPUTED_VALUE"""),"Mega")</f>
        <v>Mega</v>
      </c>
      <c r="AE152" s="285" t="str">
        <f>IFERROR(__xludf.DUMMYFUNCTION("""COMPUTED_VALUE"""),"087899928570")</f>
        <v>087899928570</v>
      </c>
      <c r="AF152" s="285" t="str">
        <f>IFERROR(__xludf.DUMMYFUNCTION("""COMPUTED_VALUE"""),"Gagal")</f>
        <v>Gagal</v>
      </c>
      <c r="AG152" s="285" t="str">
        <f>IFERROR(__xludf.DUMMYFUNCTION("""COMPUTED_VALUE"""),"2h1m z")</f>
        <v>2h1m z</v>
      </c>
      <c r="AH152" s="287"/>
      <c r="AI152" s="285">
        <f>IFERROR(__xludf.DUMMYFUNCTION("""COMPUTED_VALUE"""),4.0)</f>
        <v>4</v>
      </c>
      <c r="AJ152" s="289">
        <f>IFERROR(__xludf.DUMMYFUNCTION("""COMPUTED_VALUE"""),3556000.0)</f>
        <v>3556000</v>
      </c>
      <c r="AK152" s="285" t="str">
        <f>IFERROR(__xludf.DUMMYFUNCTION("""COMPUTED_VALUE"""),"tidak ada kelanjutan")</f>
        <v>tidak ada kelanjutan</v>
      </c>
    </row>
    <row r="153"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B153" s="285" t="str">
        <f>IFERROR(__xludf.DUMMYFUNCTION("""COMPUTED_VALUE"""),"2605H031")</f>
        <v>2605H031</v>
      </c>
      <c r="AC153" s="286">
        <f>IFERROR(__xludf.DUMMYFUNCTION("""COMPUTED_VALUE"""),46159.0)</f>
        <v>46159</v>
      </c>
      <c r="AD153" s="285" t="str">
        <f>IFERROR(__xludf.DUMMYFUNCTION("""COMPUTED_VALUE"""),"(Nia) Khaerunia Amalah Ga Pluit")</f>
        <v>(Nia) Khaerunia Amalah Ga Pluit</v>
      </c>
      <c r="AE153" s="285" t="str">
        <f>IFERROR(__xludf.DUMMYFUNCTION("""COMPUTED_VALUE"""),"091586296189")</f>
        <v>091586296189</v>
      </c>
      <c r="AF153" s="285" t="str">
        <f>IFERROR(__xludf.DUMMYFUNCTION("""COMPUTED_VALUE"""),"Gagal")</f>
        <v>Gagal</v>
      </c>
      <c r="AG153" s="285"/>
      <c r="AH153" s="287"/>
      <c r="AI153" s="285">
        <f>IFERROR(__xludf.DUMMYFUNCTION("""COMPUTED_VALUE"""),3.0)</f>
        <v>3</v>
      </c>
      <c r="AJ153" s="289"/>
      <c r="AK153" s="285" t="str">
        <f>IFERROR(__xludf.DUMMYFUNCTION("""COMPUTED_VALUE"""),"gada jawaban")</f>
        <v>gada jawaban</v>
      </c>
    </row>
    <row r="154"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B154" s="285" t="str">
        <f>IFERROR(__xludf.DUMMYFUNCTION("""COMPUTED_VALUE"""),"2605H033")</f>
        <v>2605H033</v>
      </c>
      <c r="AC154" s="286">
        <f>IFERROR(__xludf.DUMMYFUNCTION("""COMPUTED_VALUE"""),46161.0)</f>
        <v>46161</v>
      </c>
      <c r="AD154" s="285" t="str">
        <f>IFERROR(__xludf.DUMMYFUNCTION("""COMPUTED_VALUE"""),"Ari Artikarini")</f>
        <v>Ari Artikarini</v>
      </c>
      <c r="AE154" s="285" t="str">
        <f>IFERROR(__xludf.DUMMYFUNCTION("""COMPUTED_VALUE"""),"08522900777229")</f>
        <v>08522900777229</v>
      </c>
      <c r="AF154" s="285" t="str">
        <f>IFERROR(__xludf.DUMMYFUNCTION("""COMPUTED_VALUE"""),"Gagal")</f>
        <v>Gagal</v>
      </c>
      <c r="AG154" s="285" t="str">
        <f>IFERROR(__xludf.DUMMYFUNCTION("""COMPUTED_VALUE"""),"1d bwi")</f>
        <v>1d bwi</v>
      </c>
      <c r="AH154" s="287"/>
      <c r="AI154" s="285"/>
      <c r="AJ154" s="289"/>
      <c r="AK154" s="285" t="str">
        <f>IFERROR(__xludf.DUMMYFUNCTION("""COMPUTED_VALUE"""),"diread sj, takda jawaban")</f>
        <v>diread sj, takda jawaban</v>
      </c>
    </row>
    <row r="155"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B155" s="285" t="str">
        <f>IFERROR(__xludf.DUMMYFUNCTION("""COMPUTED_VALUE"""),"2605H038")</f>
        <v>2605H038</v>
      </c>
      <c r="AC155" s="286">
        <f>IFERROR(__xludf.DUMMYFUNCTION("""COMPUTED_VALUE"""),46161.0)</f>
        <v>46161</v>
      </c>
      <c r="AD155" s="285" t="str">
        <f>IFERROR(__xludf.DUMMYFUNCTION("""COMPUTED_VALUE"""),"Bastian")</f>
        <v>Bastian</v>
      </c>
      <c r="AE155" s="285" t="str">
        <f>IFERROR(__xludf.DUMMYFUNCTION("""COMPUTED_VALUE"""),"0818576760")</f>
        <v>0818576760</v>
      </c>
      <c r="AF155" s="285" t="str">
        <f>IFERROR(__xludf.DUMMYFUNCTION("""COMPUTED_VALUE"""),"Gagal")</f>
        <v>Gagal</v>
      </c>
      <c r="AG155" s="285" t="str">
        <f>IFERROR(__xludf.DUMMYFUNCTION("""COMPUTED_VALUE"""),"ot baluran")</f>
        <v>ot baluran</v>
      </c>
      <c r="AH155" s="287">
        <f>IFERROR(__xludf.DUMMYFUNCTION("""COMPUTED_VALUE"""),46161.0)</f>
        <v>46161</v>
      </c>
      <c r="AI155" s="285">
        <f>IFERROR(__xludf.DUMMYFUNCTION("""COMPUTED_VALUE"""),1.0)</f>
        <v>1</v>
      </c>
      <c r="AJ155" s="289"/>
      <c r="AK155" s="285" t="str">
        <f>IFERROR(__xludf.DUMMYFUNCTION("""COMPUTED_VALUE"""),"waktunya mepet dan masih kejar kerjaan")</f>
        <v>waktunya mepet dan masih kejar kerjaan</v>
      </c>
    </row>
    <row r="156"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  <c r="AB156" s="285" t="str">
        <f>IFERROR(__xludf.DUMMYFUNCTION("""COMPUTED_VALUE"""),"2605H039")</f>
        <v>2605H039</v>
      </c>
      <c r="AC156" s="286">
        <f>IFERROR(__xludf.DUMMYFUNCTION("""COMPUTED_VALUE"""),46163.0)</f>
        <v>46163</v>
      </c>
      <c r="AD156" s="285" t="str">
        <f>IFERROR(__xludf.DUMMYFUNCTION("""COMPUTED_VALUE"""),"Soegi")</f>
        <v>Soegi</v>
      </c>
      <c r="AE156" s="285" t="str">
        <f>IFERROR(__xludf.DUMMYFUNCTION("""COMPUTED_VALUE"""),"087878849659")</f>
        <v>087878849659</v>
      </c>
      <c r="AF156" s="285" t="str">
        <f>IFERROR(__xludf.DUMMYFUNCTION("""COMPUTED_VALUE"""),"Gagal")</f>
        <v>Gagal</v>
      </c>
      <c r="AG156" s="285"/>
      <c r="AH156" s="287"/>
      <c r="AI156" s="285"/>
      <c r="AJ156" s="289"/>
      <c r="AK156" s="285" t="str">
        <f>IFERROR(__xludf.DUMMYFUNCTION("""COMPUTED_VALUE"""),"gada jawaban")</f>
        <v>gada jawaban</v>
      </c>
    </row>
    <row r="157"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B157" s="285" t="str">
        <f>IFERROR(__xludf.DUMMYFUNCTION("""COMPUTED_VALUE"""),"2605H042")</f>
        <v>2605H042</v>
      </c>
      <c r="AC157" s="286">
        <f>IFERROR(__xludf.DUMMYFUNCTION("""COMPUTED_VALUE"""),46164.0)</f>
        <v>46164</v>
      </c>
      <c r="AD157" s="285" t="str">
        <f>IFERROR(__xludf.DUMMYFUNCTION("""COMPUTED_VALUE"""),"Cindy Amelia")</f>
        <v>Cindy Amelia</v>
      </c>
      <c r="AE157" s="285" t="str">
        <f>IFERROR(__xludf.DUMMYFUNCTION("""COMPUTED_VALUE"""),"082143742389")</f>
        <v>082143742389</v>
      </c>
      <c r="AF157" s="285" t="str">
        <f>IFERROR(__xludf.DUMMYFUNCTION("""COMPUTED_VALUE"""),"Gagal")</f>
        <v>Gagal</v>
      </c>
      <c r="AG157" s="285" t="str">
        <f>IFERROR(__xludf.DUMMYFUNCTION("""COMPUTED_VALUE"""),"djawatan baluran")</f>
        <v>djawatan baluran</v>
      </c>
      <c r="AH157" s="287">
        <f>IFERROR(__xludf.DUMMYFUNCTION("""COMPUTED_VALUE"""),46170.0)</f>
        <v>46170</v>
      </c>
      <c r="AI157" s="285">
        <f>IFERROR(__xludf.DUMMYFUNCTION("""COMPUTED_VALUE"""),7.0)</f>
        <v>7</v>
      </c>
      <c r="AJ157" s="289">
        <f>IFERROR(__xludf.DUMMYFUNCTION("""COMPUTED_VALUE"""),2352000.0)</f>
        <v>2352000</v>
      </c>
      <c r="AK157" s="285" t="str">
        <f>IFERROR(__xludf.DUMMYFUNCTION("""COMPUTED_VALUE"""),"lewat tanggal")</f>
        <v>lewat tanggal</v>
      </c>
    </row>
    <row r="158"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B158" s="285" t="str">
        <f>IFERROR(__xludf.DUMMYFUNCTION("""COMPUTED_VALUE"""),"2605H043")</f>
        <v>2605H043</v>
      </c>
      <c r="AC158" s="286">
        <f>IFERROR(__xludf.DUMMYFUNCTION("""COMPUTED_VALUE"""),46166.0)</f>
        <v>46166</v>
      </c>
      <c r="AD158" s="285" t="str">
        <f>IFERROR(__xludf.DUMMYFUNCTION("""COMPUTED_VALUE"""),"Dita Anggraini N.M")</f>
        <v>Dita Anggraini N.M</v>
      </c>
      <c r="AE158" s="285" t="str">
        <f>IFERROR(__xludf.DUMMYFUNCTION("""COMPUTED_VALUE"""),"082334253693")</f>
        <v>082334253693</v>
      </c>
      <c r="AF158" s="285" t="str">
        <f>IFERROR(__xludf.DUMMYFUNCTION("""COMPUTED_VALUE"""),"Gagal")</f>
        <v>Gagal</v>
      </c>
      <c r="AG158" s="285" t="str">
        <f>IFERROR(__xludf.DUMMYFUNCTION("""COMPUTED_VALUE"""),"dokumentasi kano tabuhan")</f>
        <v>dokumentasi kano tabuhan</v>
      </c>
      <c r="AH158" s="287"/>
      <c r="AI158" s="285"/>
      <c r="AJ158" s="289">
        <f>IFERROR(__xludf.DUMMYFUNCTION("""COMPUTED_VALUE"""),2500000.0)</f>
        <v>2500000</v>
      </c>
      <c r="AK158" s="285" t="str">
        <f>IFERROR(__xludf.DUMMYFUNCTION("""COMPUTED_VALUE"""),"gada jawaban")</f>
        <v>gada jawaban</v>
      </c>
    </row>
    <row r="159"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B159" s="285" t="str">
        <f>IFERROR(__xludf.DUMMYFUNCTION("""COMPUTED_VALUE"""),"2605H044")</f>
        <v>2605H044</v>
      </c>
      <c r="AC159" s="286">
        <f>IFERROR(__xludf.DUMMYFUNCTION("""COMPUTED_VALUE"""),46167.0)</f>
        <v>46167</v>
      </c>
      <c r="AD159" s="285" t="str">
        <f>IFERROR(__xludf.DUMMYFUNCTION("""COMPUTED_VALUE"""),"Edwuar")</f>
        <v>Edwuar</v>
      </c>
      <c r="AE159" s="285" t="str">
        <f>IFERROR(__xludf.DUMMYFUNCTION("""COMPUTED_VALUE"""),"081288178168")</f>
        <v>081288178168</v>
      </c>
      <c r="AF159" s="285" t="str">
        <f>IFERROR(__xludf.DUMMYFUNCTION("""COMPUTED_VALUE"""),"Gagal")</f>
        <v>Gagal</v>
      </c>
      <c r="AG159" s="285" t="str">
        <f>IFERROR(__xludf.DUMMYFUNCTION("""COMPUTED_VALUE"""),"2h1m")</f>
        <v>2h1m</v>
      </c>
      <c r="AH159" s="287">
        <f>IFERROR(__xludf.DUMMYFUNCTION("""COMPUTED_VALUE"""),46170.0)</f>
        <v>46170</v>
      </c>
      <c r="AI159" s="285">
        <f>IFERROR(__xludf.DUMMYFUNCTION("""COMPUTED_VALUE"""),2.0)</f>
        <v>2</v>
      </c>
      <c r="AJ159" s="289">
        <f>IFERROR(__xludf.DUMMYFUNCTION("""COMPUTED_VALUE"""),2784000.0)</f>
        <v>2784000</v>
      </c>
      <c r="AK159" s="285" t="str">
        <f>IFERROR(__xludf.DUMMYFUNCTION("""COMPUTED_VALUE"""),"lewat tanggal")</f>
        <v>lewat tanggal</v>
      </c>
    </row>
    <row r="160"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B160" s="285" t="str">
        <f>IFERROR(__xludf.DUMMYFUNCTION("""COMPUTED_VALUE"""),"2605H047")</f>
        <v>2605H047</v>
      </c>
      <c r="AC160" s="286">
        <f>IFERROR(__xludf.DUMMYFUNCTION("""COMPUTED_VALUE"""),46167.0)</f>
        <v>46167</v>
      </c>
      <c r="AD160" s="285" t="str">
        <f>IFERROR(__xludf.DUMMYFUNCTION("""COMPUTED_VALUE"""),"Tria Ayu Safitri")</f>
        <v>Tria Ayu Safitri</v>
      </c>
      <c r="AE160" s="285" t="str">
        <f>IFERROR(__xludf.DUMMYFUNCTION("""COMPUTED_VALUE"""),"085234172937")</f>
        <v>085234172937</v>
      </c>
      <c r="AF160" s="285" t="str">
        <f>IFERROR(__xludf.DUMMYFUNCTION("""COMPUTED_VALUE"""),"Gagal")</f>
        <v>Gagal</v>
      </c>
      <c r="AG160" s="285" t="str">
        <f>IFERROR(__xludf.DUMMYFUNCTION("""COMPUTED_VALUE"""),"gerbang raung")</f>
        <v>gerbang raung</v>
      </c>
      <c r="AH160" s="287">
        <f>IFERROR(__xludf.DUMMYFUNCTION("""COMPUTED_VALUE"""),46169.0)</f>
        <v>46169</v>
      </c>
      <c r="AI160" s="285">
        <f>IFERROR(__xludf.DUMMYFUNCTION("""COMPUTED_VALUE"""),30.0)</f>
        <v>30</v>
      </c>
      <c r="AJ160" s="289"/>
      <c r="AK160" s="285" t="str">
        <f>IFERROR(__xludf.DUMMYFUNCTION("""COMPUTED_VALUE"""),"waktu lewat, gada konfirmasi")</f>
        <v>waktu lewat, gada konfirmasi</v>
      </c>
    </row>
    <row r="161"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B161" s="285" t="str">
        <f>IFERROR(__xludf.DUMMYFUNCTION("""COMPUTED_VALUE"""),"2605H048")</f>
        <v>2605H048</v>
      </c>
      <c r="AC161" s="286">
        <f>IFERROR(__xludf.DUMMYFUNCTION("""COMPUTED_VALUE"""),46168.0)</f>
        <v>46168</v>
      </c>
      <c r="AD161" s="285" t="str">
        <f>IFERROR(__xludf.DUMMYFUNCTION("""COMPUTED_VALUE"""),"agunghw25")</f>
        <v>agunghw25</v>
      </c>
      <c r="AE161" s="285" t="str">
        <f>IFERROR(__xludf.DUMMYFUNCTION("""COMPUTED_VALUE"""),"085692467719")</f>
        <v>085692467719</v>
      </c>
      <c r="AF161" s="285" t="str">
        <f>IFERROR(__xludf.DUMMYFUNCTION("""COMPUTED_VALUE"""),"Gagal")</f>
        <v>Gagal</v>
      </c>
      <c r="AG161" s="285" t="str">
        <f>IFERROR(__xludf.DUMMYFUNCTION("""COMPUTED_VALUE"""),"2h1m")</f>
        <v>2h1m</v>
      </c>
      <c r="AH161" s="287"/>
      <c r="AI161" s="285">
        <f>IFERROR(__xludf.DUMMYFUNCTION("""COMPUTED_VALUE"""),5.0)</f>
        <v>5</v>
      </c>
      <c r="AJ161" s="289">
        <f>IFERROR(__xludf.DUMMYFUNCTION("""COMPUTED_VALUE"""),5420000.0)</f>
        <v>5420000</v>
      </c>
      <c r="AK161" s="285" t="str">
        <f>IFERROR(__xludf.DUMMYFUNCTION("""COMPUTED_VALUE"""),"ga jadi, fullbooked")</f>
        <v>ga jadi, fullbooked</v>
      </c>
    </row>
    <row r="162"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  <c r="AB162" s="285" t="str">
        <f>IFERROR(__xludf.DUMMYFUNCTION("""COMPUTED_VALUE"""),"2605H049")</f>
        <v>2605H049</v>
      </c>
      <c r="AC162" s="286">
        <f>IFERROR(__xludf.DUMMYFUNCTION("""COMPUTED_VALUE"""),46168.0)</f>
        <v>46168</v>
      </c>
      <c r="AD162" s="285" t="str">
        <f>IFERROR(__xludf.DUMMYFUNCTION("""COMPUTED_VALUE"""),"dedewww")</f>
        <v>dedewww</v>
      </c>
      <c r="AE162" s="285" t="str">
        <f>IFERROR(__xludf.DUMMYFUNCTION("""COMPUTED_VALUE"""),"085693602638")</f>
        <v>085693602638</v>
      </c>
      <c r="AF162" s="285" t="str">
        <f>IFERROR(__xludf.DUMMYFUNCTION("""COMPUTED_VALUE"""),"Gagal")</f>
        <v>Gagal</v>
      </c>
      <c r="AG162" s="285"/>
      <c r="AH162" s="287"/>
      <c r="AI162" s="285">
        <f>IFERROR(__xludf.DUMMYFUNCTION("""COMPUTED_VALUE"""),3.0)</f>
        <v>3</v>
      </c>
      <c r="AJ162" s="289"/>
      <c r="AK162" s="285" t="str">
        <f>IFERROR(__xludf.DUMMYFUNCTION("""COMPUTED_VALUE"""),"gada jawaban. diread saja. sdh lewat tanggal trip")</f>
        <v>gada jawaban. diread saja. sdh lewat tanggal trip</v>
      </c>
    </row>
    <row r="163"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B163" s="285" t="str">
        <f>IFERROR(__xludf.DUMMYFUNCTION("""COMPUTED_VALUE"""),"2605H050")</f>
        <v>2605H050</v>
      </c>
      <c r="AC163" s="286">
        <f>IFERROR(__xludf.DUMMYFUNCTION("""COMPUTED_VALUE"""),46168.0)</f>
        <v>46168</v>
      </c>
      <c r="AD163" s="285" t="str">
        <f>IFERROR(__xludf.DUMMYFUNCTION("""COMPUTED_VALUE"""),"Desi Permatasari")</f>
        <v>Desi Permatasari</v>
      </c>
      <c r="AE163" s="285" t="str">
        <f>IFERROR(__xludf.DUMMYFUNCTION("""COMPUTED_VALUE"""),"081289410535")</f>
        <v>081289410535</v>
      </c>
      <c r="AF163" s="285" t="str">
        <f>IFERROR(__xludf.DUMMYFUNCTION("""COMPUTED_VALUE"""),"Gagal")</f>
        <v>Gagal</v>
      </c>
      <c r="AG163" s="285" t="str">
        <f>IFERROR(__xludf.DUMMYFUNCTION("""COMPUTED_VALUE"""),"2h1m")</f>
        <v>2h1m</v>
      </c>
      <c r="AH163" s="287">
        <f>IFERROR(__xludf.DUMMYFUNCTION("""COMPUTED_VALUE"""),46203.0)</f>
        <v>46203</v>
      </c>
      <c r="AI163" s="285">
        <f>IFERROR(__xludf.DUMMYFUNCTION("""COMPUTED_VALUE"""),2.0)</f>
        <v>2</v>
      </c>
      <c r="AJ163" s="289">
        <f>IFERROR(__xludf.DUMMYFUNCTION("""COMPUTED_VALUE"""),2364000.0)</f>
        <v>2364000</v>
      </c>
      <c r="AK163" s="285" t="str">
        <f>IFERROR(__xludf.DUMMYFUNCTION("""COMPUTED_VALUE"""),"tidak jadi, temannya sdh pesan")</f>
        <v>tidak jadi, temannya sdh pesan</v>
      </c>
    </row>
    <row r="164"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B164" s="285" t="str">
        <f>IFERROR(__xludf.DUMMYFUNCTION("""COMPUTED_VALUE"""),"2605H051")</f>
        <v>2605H051</v>
      </c>
      <c r="AC164" s="286">
        <f>IFERROR(__xludf.DUMMYFUNCTION("""COMPUTED_VALUE"""),46169.0)</f>
        <v>46169</v>
      </c>
      <c r="AD164" s="285" t="str">
        <f>IFERROR(__xludf.DUMMYFUNCTION("""COMPUTED_VALUE"""),"Edwin Dharmawan")</f>
        <v>Edwin Dharmawan</v>
      </c>
      <c r="AE164" s="285" t="str">
        <f>IFERROR(__xludf.DUMMYFUNCTION("""COMPUTED_VALUE"""),"087787182932")</f>
        <v>087787182932</v>
      </c>
      <c r="AF164" s="285" t="str">
        <f>IFERROR(__xludf.DUMMYFUNCTION("""COMPUTED_VALUE"""),"Gagal")</f>
        <v>Gagal</v>
      </c>
      <c r="AG164" s="285"/>
      <c r="AH164" s="287"/>
      <c r="AI164" s="285"/>
      <c r="AJ164" s="289"/>
      <c r="AK164" s="285" t="str">
        <f>IFERROR(__xludf.DUMMYFUNCTION("""COMPUTED_VALUE"""),"hanya menyapa, tdk ada balasan")</f>
        <v>hanya menyapa, tdk ada balasan</v>
      </c>
    </row>
    <row r="165"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B165" s="285" t="str">
        <f>IFERROR(__xludf.DUMMYFUNCTION("""COMPUTED_VALUE"""),"2605H052")</f>
        <v>2605H052</v>
      </c>
      <c r="AC165" s="286">
        <f>IFERROR(__xludf.DUMMYFUNCTION("""COMPUTED_VALUE"""),46170.0)</f>
        <v>46170</v>
      </c>
      <c r="AD165" s="285" t="str">
        <f>IFERROR(__xludf.DUMMYFUNCTION("""COMPUTED_VALUE"""),"Ibnu")</f>
        <v>Ibnu</v>
      </c>
      <c r="AE165" s="285" t="str">
        <f>IFERROR(__xludf.DUMMYFUNCTION("""COMPUTED_VALUE"""),"08158133150")</f>
        <v>08158133150</v>
      </c>
      <c r="AF165" s="285" t="str">
        <f>IFERROR(__xludf.DUMMYFUNCTION("""COMPUTED_VALUE"""),"Gagal")</f>
        <v>Gagal</v>
      </c>
      <c r="AG165" s="285"/>
      <c r="AH165" s="287"/>
      <c r="AI165" s="285"/>
      <c r="AJ165" s="289"/>
      <c r="AK165" s="285" t="str">
        <f>IFERROR(__xludf.DUMMYFUNCTION("""COMPUTED_VALUE"""),"gada jawaban, hanya menyapa")</f>
        <v>gada jawaban, hanya menyapa</v>
      </c>
    </row>
    <row r="166"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B166" s="285" t="str">
        <f>IFERROR(__xludf.DUMMYFUNCTION("""COMPUTED_VALUE"""),"2605H053")</f>
        <v>2605H053</v>
      </c>
      <c r="AC166" s="286">
        <f>IFERROR(__xludf.DUMMYFUNCTION("""COMPUTED_VALUE"""),46170.0)</f>
        <v>46170</v>
      </c>
      <c r="AD166" s="285" t="str">
        <f>IFERROR(__xludf.DUMMYFUNCTION("""COMPUTED_VALUE"""),"Ananda")</f>
        <v>Ananda</v>
      </c>
      <c r="AE166" s="285" t="str">
        <f>IFERROR(__xludf.DUMMYFUNCTION("""COMPUTED_VALUE"""),"089514598257")</f>
        <v>089514598257</v>
      </c>
      <c r="AF166" s="285" t="str">
        <f>IFERROR(__xludf.DUMMYFUNCTION("""COMPUTED_VALUE"""),"Gagal")</f>
        <v>Gagal</v>
      </c>
      <c r="AG166" s="285"/>
      <c r="AH166" s="287"/>
      <c r="AI166" s="285"/>
      <c r="AJ166" s="289"/>
      <c r="AK166" s="285" t="str">
        <f>IFERROR(__xludf.DUMMYFUNCTION("""COMPUTED_VALUE"""),"gada jawaban, hanya menyapa")</f>
        <v>gada jawaban, hanya menyapa</v>
      </c>
    </row>
    <row r="167"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B167" s="285" t="str">
        <f>IFERROR(__xludf.DUMMYFUNCTION("""COMPUTED_VALUE"""),"2605H054")</f>
        <v>2605H054</v>
      </c>
      <c r="AC167" s="286">
        <f>IFERROR(__xludf.DUMMYFUNCTION("""COMPUTED_VALUE"""),46170.0)</f>
        <v>46170</v>
      </c>
      <c r="AD167" s="285" t="str">
        <f>IFERROR(__xludf.DUMMYFUNCTION("""COMPUTED_VALUE"""),"Nimaschubby6")</f>
        <v>Nimaschubby6</v>
      </c>
      <c r="AE167" s="285" t="str">
        <f>IFERROR(__xludf.DUMMYFUNCTION("""COMPUTED_VALUE"""),"081289725449")</f>
        <v>081289725449</v>
      </c>
      <c r="AF167" s="285" t="str">
        <f>IFERROR(__xludf.DUMMYFUNCTION("""COMPUTED_VALUE"""),"Gagal")</f>
        <v>Gagal</v>
      </c>
      <c r="AG167" s="285" t="str">
        <f>IFERROR(__xludf.DUMMYFUNCTION("""COMPUTED_VALUE"""),"ijen baluran")</f>
        <v>ijen baluran</v>
      </c>
      <c r="AH167" s="287">
        <f>IFERROR(__xludf.DUMMYFUNCTION("""COMPUTED_VALUE"""),46172.0)</f>
        <v>46172</v>
      </c>
      <c r="AI167" s="285">
        <f>IFERROR(__xludf.DUMMYFUNCTION("""COMPUTED_VALUE"""),1.0)</f>
        <v>1</v>
      </c>
      <c r="AJ167" s="289"/>
      <c r="AK167" s="285" t="str">
        <f>IFERROR(__xludf.DUMMYFUNCTION("""COMPUTED_VALUE"""),"fullbooked jeep")</f>
        <v>fullbooked jeep</v>
      </c>
    </row>
    <row r="168"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B168" s="285" t="str">
        <f>IFERROR(__xludf.DUMMYFUNCTION("""COMPUTED_VALUE"""),"2605H055")</f>
        <v>2605H055</v>
      </c>
      <c r="AC168" s="286">
        <f>IFERROR(__xludf.DUMMYFUNCTION("""COMPUTED_VALUE"""),46171.0)</f>
        <v>46171</v>
      </c>
      <c r="AD168" s="285" t="str">
        <f>IFERROR(__xludf.DUMMYFUNCTION("""COMPUTED_VALUE"""),"Melinda")</f>
        <v>Melinda</v>
      </c>
      <c r="AE168" s="285" t="str">
        <f>IFERROR(__xludf.DUMMYFUNCTION("""COMPUTED_VALUE"""),"085893098776")</f>
        <v>085893098776</v>
      </c>
      <c r="AF168" s="285" t="str">
        <f>IFERROR(__xludf.DUMMYFUNCTION("""COMPUTED_VALUE"""),"Gagal")</f>
        <v>Gagal</v>
      </c>
      <c r="AG168" s="285"/>
      <c r="AH168" s="287"/>
      <c r="AI168" s="285"/>
      <c r="AJ168" s="289"/>
      <c r="AK168" s="285" t="str">
        <f>IFERROR(__xludf.DUMMYFUNCTION("""COMPUTED_VALUE"""),"gada jawaban, hanya menyapa")</f>
        <v>gada jawaban, hanya menyapa</v>
      </c>
    </row>
    <row r="169"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B169" s="285" t="str">
        <f>IFERROR(__xludf.DUMMYFUNCTION("""COMPUTED_VALUE"""),"2605H057")</f>
        <v>2605H057</v>
      </c>
      <c r="AC169" s="286">
        <f>IFERROR(__xludf.DUMMYFUNCTION("""COMPUTED_VALUE"""),46171.0)</f>
        <v>46171</v>
      </c>
      <c r="AD169" s="285" t="str">
        <f>IFERROR(__xludf.DUMMYFUNCTION("""COMPUTED_VALUE"""),"Laras MTRAVEL TIME INDONESIA")</f>
        <v>Laras MTRAVEL TIME INDONESIA</v>
      </c>
      <c r="AE169" s="285" t="str">
        <f>IFERROR(__xludf.DUMMYFUNCTION("""COMPUTED_VALUE"""),"088210941010")</f>
        <v>088210941010</v>
      </c>
      <c r="AF169" s="285" t="str">
        <f>IFERROR(__xludf.DUMMYFUNCTION("""COMPUTED_VALUE"""),"Gagal")</f>
        <v>Gagal</v>
      </c>
      <c r="AG169" s="285" t="str">
        <f>IFERROR(__xludf.DUMMYFUNCTION("""COMPUTED_VALUE"""),"mt")</f>
        <v>mt</v>
      </c>
      <c r="AH169" s="287">
        <f>IFERROR(__xludf.DUMMYFUNCTION("""COMPUTED_VALUE"""),46172.0)</f>
        <v>46172</v>
      </c>
      <c r="AI169" s="285">
        <f>IFERROR(__xludf.DUMMYFUNCTION("""COMPUTED_VALUE"""),3.0)</f>
        <v>3</v>
      </c>
      <c r="AJ169" s="289"/>
      <c r="AK169" s="285" t="str">
        <f>IFERROR(__xludf.DUMMYFUNCTION("""COMPUTED_VALUE"""),"fullbooked")</f>
        <v>fullbooked</v>
      </c>
    </row>
    <row r="170"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B170" s="285" t="str">
        <f>IFERROR(__xludf.DUMMYFUNCTION("""COMPUTED_VALUE"""),"2605H057")</f>
        <v>2605H057</v>
      </c>
      <c r="AC170" s="286">
        <f>IFERROR(__xludf.DUMMYFUNCTION("""COMPUTED_VALUE"""),46172.0)</f>
        <v>46172</v>
      </c>
      <c r="AD170" s="285" t="str">
        <f>IFERROR(__xludf.DUMMYFUNCTION("""COMPUTED_VALUE"""),"Machlisa")</f>
        <v>Machlisa</v>
      </c>
      <c r="AE170" s="285" t="str">
        <f>IFERROR(__xludf.DUMMYFUNCTION("""COMPUTED_VALUE"""),"08111017917")</f>
        <v>08111017917</v>
      </c>
      <c r="AF170" s="285" t="str">
        <f>IFERROR(__xludf.DUMMYFUNCTION("""COMPUTED_VALUE"""),"Gagal")</f>
        <v>Gagal</v>
      </c>
      <c r="AG170" s="285" t="str">
        <f>IFERROR(__xludf.DUMMYFUNCTION("""COMPUTED_VALUE"""),"ot mt")</f>
        <v>ot mt</v>
      </c>
      <c r="AH170" s="287">
        <f>IFERROR(__xludf.DUMMYFUNCTION("""COMPUTED_VALUE"""),46173.0)</f>
        <v>46173</v>
      </c>
      <c r="AI170" s="285"/>
      <c r="AJ170" s="289"/>
      <c r="AK170" s="285" t="str">
        <f>IFERROR(__xludf.DUMMYFUNCTION("""COMPUTED_VALUE"""),"fullbooked")</f>
        <v>fullbooked</v>
      </c>
    </row>
    <row r="171"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B171" s="285" t="str">
        <f>IFERROR(__xludf.DUMMYFUNCTION("""COMPUTED_VALUE"""),"2605H058")</f>
        <v>2605H058</v>
      </c>
      <c r="AC171" s="286">
        <f>IFERROR(__xludf.DUMMYFUNCTION("""COMPUTED_VALUE"""),46172.0)</f>
        <v>46172</v>
      </c>
      <c r="AD171" s="285" t="str">
        <f>IFERROR(__xludf.DUMMYFUNCTION("""COMPUTED_VALUE"""),"Toto Sugiarto")</f>
        <v>Toto Sugiarto</v>
      </c>
      <c r="AE171" s="285" t="str">
        <f>IFERROR(__xludf.DUMMYFUNCTION("""COMPUTED_VALUE"""),"08122338006")</f>
        <v>08122338006</v>
      </c>
      <c r="AF171" s="285" t="str">
        <f>IFERROR(__xludf.DUMMYFUNCTION("""COMPUTED_VALUE"""),"Gagal")</f>
        <v>Gagal</v>
      </c>
      <c r="AG171" s="285" t="str">
        <f>IFERROR(__xludf.DUMMYFUNCTION("""COMPUTED_VALUE"""),"3h2m")</f>
        <v>3h2m</v>
      </c>
      <c r="AH171" s="287"/>
      <c r="AI171" s="285">
        <f>IFERROR(__xludf.DUMMYFUNCTION("""COMPUTED_VALUE"""),2.0)</f>
        <v>2</v>
      </c>
      <c r="AJ171" s="289"/>
      <c r="AK171" s="285" t="str">
        <f>IFERROR(__xludf.DUMMYFUNCTION("""COMPUTED_VALUE"""),"gada jawaban")</f>
        <v>gada jawaban</v>
      </c>
    </row>
    <row r="172"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B172" s="285" t="str">
        <f>IFERROR(__xludf.DUMMYFUNCTION("""COMPUTED_VALUE"""),"2605H060 ")</f>
        <v>2605H060 </v>
      </c>
      <c r="AC172" s="286">
        <f>IFERROR(__xludf.DUMMYFUNCTION("""COMPUTED_VALUE"""),46172.0)</f>
        <v>46172</v>
      </c>
      <c r="AD172" s="285" t="str">
        <f>IFERROR(__xludf.DUMMYFUNCTION("""COMPUTED_VALUE"""),"KANAJI")</f>
        <v>KANAJI</v>
      </c>
      <c r="AE172" s="285" t="str">
        <f>IFERROR(__xludf.DUMMYFUNCTION("""COMPUTED_VALUE"""),"081237141000")</f>
        <v>081237141000</v>
      </c>
      <c r="AF172" s="285" t="str">
        <f>IFERROR(__xludf.DUMMYFUNCTION("""COMPUTED_VALUE"""),"Gagal")</f>
        <v>Gagal</v>
      </c>
      <c r="AG172" s="285" t="str">
        <f>IFERROR(__xludf.DUMMYFUNCTION("""COMPUTED_VALUE"""),"green island")</f>
        <v>green island</v>
      </c>
      <c r="AH172" s="287"/>
      <c r="AI172" s="285">
        <f>IFERROR(__xludf.DUMMYFUNCTION("""COMPUTED_VALUE"""),2.0)</f>
        <v>2</v>
      </c>
      <c r="AJ172" s="289"/>
      <c r="AK172" s="285" t="str">
        <f>IFERROR(__xludf.DUMMYFUNCTION("""COMPUTED_VALUE"""),"waktu ke bwi kurang tepat")</f>
        <v>waktu ke bwi kurang tepat</v>
      </c>
    </row>
    <row r="173"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B173" s="285" t="str">
        <f>IFERROR(__xludf.DUMMYFUNCTION("""COMPUTED_VALUE"""),"2606H001")</f>
        <v>2606H001</v>
      </c>
      <c r="AC173" s="286">
        <f>IFERROR(__xludf.DUMMYFUNCTION("""COMPUTED_VALUE"""),46174.0)</f>
        <v>46174</v>
      </c>
      <c r="AD173" s="285" t="str">
        <f>IFERROR(__xludf.DUMMYFUNCTION("""COMPUTED_VALUE"""),"Dr. Mustika")</f>
        <v>Dr. Mustika</v>
      </c>
      <c r="AE173" s="285" t="str">
        <f>IFERROR(__xludf.DUMMYFUNCTION("""COMPUTED_VALUE"""),"081218888987")</f>
        <v>081218888987</v>
      </c>
      <c r="AF173" s="285" t="str">
        <f>IFERROR(__xludf.DUMMYFUNCTION("""COMPUTED_VALUE"""),"Gagal")</f>
        <v>Gagal</v>
      </c>
      <c r="AG173" s="285" t="str">
        <f>IFERROR(__xludf.DUMMYFUNCTION("""COMPUTED_VALUE"""),"ijen bromo")</f>
        <v>ijen bromo</v>
      </c>
      <c r="AH173" s="287"/>
      <c r="AI173" s="285">
        <f>IFERROR(__xludf.DUMMYFUNCTION("""COMPUTED_VALUE"""),3.0)</f>
        <v>3</v>
      </c>
      <c r="AJ173" s="289"/>
      <c r="AK173" s="285" t="str">
        <f>IFERROR(__xludf.DUMMYFUNCTION("""COMPUTED_VALUE"""),"ga jadi, hewan di destinasi mulai sedikit, tdk tertarik lagi")</f>
        <v>ga jadi, hewan di destinasi mulai sedikit, tdk tertarik lagi</v>
      </c>
    </row>
    <row r="174"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B174" s="285" t="str">
        <f>IFERROR(__xludf.DUMMYFUNCTION("""COMPUTED_VALUE"""),"2606H002")</f>
        <v>2606H002</v>
      </c>
      <c r="AC174" s="286">
        <f>IFERROR(__xludf.DUMMYFUNCTION("""COMPUTED_VALUE"""),46175.0)</f>
        <v>46175</v>
      </c>
      <c r="AD174" s="285" t="str">
        <f>IFERROR(__xludf.DUMMYFUNCTION("""COMPUTED_VALUE"""),"Olsho")</f>
        <v>Olsho</v>
      </c>
      <c r="AE174" s="285" t="str">
        <f>IFERROR(__xludf.DUMMYFUNCTION("""COMPUTED_VALUE"""),"085695957454")</f>
        <v>085695957454</v>
      </c>
      <c r="AF174" s="285" t="str">
        <f>IFERROR(__xludf.DUMMYFUNCTION("""COMPUTED_VALUE"""),"Gagal")</f>
        <v>Gagal</v>
      </c>
      <c r="AG174" s="285"/>
      <c r="AH174" s="287"/>
      <c r="AI174" s="285"/>
      <c r="AJ174" s="289"/>
      <c r="AK174" s="285" t="str">
        <f>IFERROR(__xludf.DUMMYFUNCTION("""COMPUTED_VALUE""")," hanya menyapa")</f>
        <v> hanya menyapa</v>
      </c>
    </row>
    <row r="175"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  <c r="AB175" s="285" t="str">
        <f>IFERROR(__xludf.DUMMYFUNCTION("""COMPUTED_VALUE"""),"2606H005")</f>
        <v>2606H005</v>
      </c>
      <c r="AC175" s="286">
        <f>IFERROR(__xludf.DUMMYFUNCTION("""COMPUTED_VALUE"""),46176.0)</f>
        <v>46176</v>
      </c>
      <c r="AD175" s="285" t="str">
        <f>IFERROR(__xludf.DUMMYFUNCTION("""COMPUTED_VALUE"""),"Kukuh Pradani")</f>
        <v>Kukuh Pradani</v>
      </c>
      <c r="AE175" s="285" t="str">
        <f>IFERROR(__xludf.DUMMYFUNCTION("""COMPUTED_VALUE"""),"08121852395")</f>
        <v>08121852395</v>
      </c>
      <c r="AF175" s="285" t="str">
        <f>IFERROR(__xludf.DUMMYFUNCTION("""COMPUTED_VALUE"""),"Gagal")</f>
        <v>Gagal</v>
      </c>
      <c r="AG175" s="285" t="str">
        <f>IFERROR(__xludf.DUMMYFUNCTION("""COMPUTED_VALUE"""),"ot djabal")</f>
        <v>ot djabal</v>
      </c>
      <c r="AH175" s="287">
        <f>IFERROR(__xludf.DUMMYFUNCTION("""COMPUTED_VALUE"""),46181.0)</f>
        <v>46181</v>
      </c>
      <c r="AI175" s="285">
        <f>IFERROR(__xludf.DUMMYFUNCTION("""COMPUTED_VALUE"""),2.0)</f>
        <v>2</v>
      </c>
      <c r="AJ175" s="289">
        <f>IFERROR(__xludf.DUMMYFUNCTION("""COMPUTED_VALUE"""),1100000.0)</f>
        <v>1100000</v>
      </c>
      <c r="AK175" s="285" t="str">
        <f>IFERROR(__xludf.DUMMYFUNCTION("""COMPUTED_VALUE"""),"ga ada jawaban")</f>
        <v>ga ada jawaban</v>
      </c>
    </row>
    <row r="176"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B176" s="285" t="str">
        <f>IFERROR(__xludf.DUMMYFUNCTION("""COMPUTED_VALUE"""),"2606H006")</f>
        <v>2606H006</v>
      </c>
      <c r="AC176" s="286">
        <f>IFERROR(__xludf.DUMMYFUNCTION("""COMPUTED_VALUE"""),46178.0)</f>
        <v>46178</v>
      </c>
      <c r="AD176" s="285" t="str">
        <f>IFERROR(__xludf.DUMMYFUNCTION("""COMPUTED_VALUE"""),"Esra Henita Marito")</f>
        <v>Esra Henita Marito</v>
      </c>
      <c r="AE176" s="285" t="str">
        <f>IFERROR(__xludf.DUMMYFUNCTION("""COMPUTED_VALUE"""),"089629191295")</f>
        <v>089629191295</v>
      </c>
      <c r="AF176" s="285" t="str">
        <f>IFERROR(__xludf.DUMMYFUNCTION("""COMPUTED_VALUE"""),"Gagal")</f>
        <v>Gagal</v>
      </c>
      <c r="AG176" s="285" t="str">
        <f>IFERROR(__xludf.DUMMYFUNCTION("""COMPUTED_VALUE"""),"ot gi ")</f>
        <v>ot gi </v>
      </c>
      <c r="AH176" s="287">
        <f>IFERROR(__xludf.DUMMYFUNCTION("""COMPUTED_VALUE"""),46189.0)</f>
        <v>46189</v>
      </c>
      <c r="AI176" s="285"/>
      <c r="AJ176" s="289"/>
      <c r="AK176" s="285" t="str">
        <f>IFERROR(__xludf.DUMMYFUNCTION("""COMPUTED_VALUE"""),"tidak ada jawaban")</f>
        <v>tidak ada jawaban</v>
      </c>
    </row>
    <row r="177"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B177" s="285" t="str">
        <f>IFERROR(__xludf.DUMMYFUNCTION("""COMPUTED_VALUE"""),"2606H009")</f>
        <v>2606H009</v>
      </c>
      <c r="AC177" s="286">
        <f>IFERROR(__xludf.DUMMYFUNCTION("""COMPUTED_VALUE"""),46179.0)</f>
        <v>46179</v>
      </c>
      <c r="AD177" s="285" t="str">
        <f>IFERROR(__xludf.DUMMYFUNCTION("""COMPUTED_VALUE"""),"Yuli")</f>
        <v>Yuli</v>
      </c>
      <c r="AE177" s="285" t="str">
        <f>IFERROR(__xludf.DUMMYFUNCTION("""COMPUTED_VALUE"""),"08131323299")</f>
        <v>08131323299</v>
      </c>
      <c r="AF177" s="285" t="str">
        <f>IFERROR(__xludf.DUMMYFUNCTION("""COMPUTED_VALUE"""),"Gagal")</f>
        <v>Gagal</v>
      </c>
      <c r="AG177" s="285"/>
      <c r="AH177" s="287"/>
      <c r="AI177" s="285"/>
      <c r="AJ177" s="289"/>
      <c r="AK177" s="285" t="str">
        <f>IFERROR(__xludf.DUMMYFUNCTION("""COMPUTED_VALUE"""),"ga ada jawaban")</f>
        <v>ga ada jawaban</v>
      </c>
    </row>
    <row r="178"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B178" s="285" t="str">
        <f>IFERROR(__xludf.DUMMYFUNCTION("""COMPUTED_VALUE"""),"2606H010")</f>
        <v>2606H010</v>
      </c>
      <c r="AC178" s="286">
        <f>IFERROR(__xludf.DUMMYFUNCTION("""COMPUTED_VALUE"""),46180.0)</f>
        <v>46180</v>
      </c>
      <c r="AD178" s="285" t="str">
        <f>IFERROR(__xludf.DUMMYFUNCTION("""COMPUTED_VALUE"""),"Mariana")</f>
        <v>Mariana</v>
      </c>
      <c r="AE178" s="285" t="str">
        <f>IFERROR(__xludf.DUMMYFUNCTION("""COMPUTED_VALUE"""),"081318285566")</f>
        <v>081318285566</v>
      </c>
      <c r="AF178" s="285" t="str">
        <f>IFERROR(__xludf.DUMMYFUNCTION("""COMPUTED_VALUE"""),"Gagal")</f>
        <v>Gagal</v>
      </c>
      <c r="AG178" s="285" t="str">
        <f>IFERROR(__xludf.DUMMYFUNCTION("""COMPUTED_VALUE"""),"ot tnp ijen")</f>
        <v>ot tnp ijen</v>
      </c>
      <c r="AH178" s="287"/>
      <c r="AI178" s="285">
        <f>IFERROR(__xludf.DUMMYFUNCTION("""COMPUTED_VALUE"""),3.0)</f>
        <v>3</v>
      </c>
      <c r="AJ178" s="289"/>
      <c r="AK178" s="285" t="str">
        <f>IFERROR(__xludf.DUMMYFUNCTION("""COMPUTED_VALUE"""),"gada balasan")</f>
        <v>gada balasan</v>
      </c>
    </row>
    <row r="179"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B179" s="285" t="str">
        <f>IFERROR(__xludf.DUMMYFUNCTION("""COMPUTED_VALUE"""),"2606H011")</f>
        <v>2606H011</v>
      </c>
      <c r="AC179" s="286">
        <f>IFERROR(__xludf.DUMMYFUNCTION("""COMPUTED_VALUE"""),46180.0)</f>
        <v>46180</v>
      </c>
      <c r="AD179" s="285" t="str">
        <f>IFERROR(__xludf.DUMMYFUNCTION("""COMPUTED_VALUE"""),"Veronica Sulyani Sanusi ")</f>
        <v>Veronica Sulyani Sanusi </v>
      </c>
      <c r="AE179" s="285" t="str">
        <f>IFERROR(__xludf.DUMMYFUNCTION("""COMPUTED_VALUE"""),"081808081161")</f>
        <v>081808081161</v>
      </c>
      <c r="AF179" s="285" t="str">
        <f>IFERROR(__xludf.DUMMYFUNCTION("""COMPUTED_VALUE"""),"Gagal")</f>
        <v>Gagal</v>
      </c>
      <c r="AG179" s="285" t="str">
        <f>IFERROR(__xludf.DUMMYFUNCTION("""COMPUTED_VALUE"""),"ot")</f>
        <v>ot</v>
      </c>
      <c r="AH179" s="287"/>
      <c r="AI179" s="285">
        <f>IFERROR(__xludf.DUMMYFUNCTION("""COMPUTED_VALUE"""),3.0)</f>
        <v>3</v>
      </c>
      <c r="AJ179" s="289"/>
      <c r="AK179" s="285" t="str">
        <f>IFERROR(__xludf.DUMMYFUNCTION("""COMPUTED_VALUE"""),"pergi ke jogja")</f>
        <v>pergi ke jogja</v>
      </c>
    </row>
    <row r="180"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B180" s="285" t="str">
        <f>IFERROR(__xludf.DUMMYFUNCTION("""COMPUTED_VALUE"""),"2606H014")</f>
        <v>2606H014</v>
      </c>
      <c r="AC180" s="286">
        <f>IFERROR(__xludf.DUMMYFUNCTION("""COMPUTED_VALUE"""),46183.0)</f>
        <v>46183</v>
      </c>
      <c r="AD180" s="285" t="str">
        <f>IFERROR(__xludf.DUMMYFUNCTION("""COMPUTED_VALUE"""),"Aulia Putri Rahmadita")</f>
        <v>Aulia Putri Rahmadita</v>
      </c>
      <c r="AE180" s="285" t="str">
        <f>IFERROR(__xludf.DUMMYFUNCTION("""COMPUTED_VALUE"""),"085817418180")</f>
        <v>085817418180</v>
      </c>
      <c r="AF180" s="285" t="str">
        <f>IFERROR(__xludf.DUMMYFUNCTION("""COMPUTED_VALUE"""),"Gagal")</f>
        <v>Gagal</v>
      </c>
      <c r="AG180" s="285" t="str">
        <f>IFERROR(__xludf.DUMMYFUNCTION("""COMPUTED_VALUE"""),"green island")</f>
        <v>green island</v>
      </c>
      <c r="AH180" s="287"/>
      <c r="AI180" s="285"/>
      <c r="AJ180" s="289"/>
      <c r="AK180" s="285" t="str">
        <f>IFERROR(__xludf.DUMMYFUNCTION("""COMPUTED_VALUE"""),"cuma tanya tanya aja")</f>
        <v>cuma tanya tanya aja</v>
      </c>
    </row>
    <row r="181"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B181" s="285" t="str">
        <f>IFERROR(__xludf.DUMMYFUNCTION("""COMPUTED_VALUE"""),"2606H015")</f>
        <v>2606H015</v>
      </c>
      <c r="AC181" s="286">
        <f>IFERROR(__xludf.DUMMYFUNCTION("""COMPUTED_VALUE"""),46183.0)</f>
        <v>46183</v>
      </c>
      <c r="AD181" s="285" t="str">
        <f>IFERROR(__xludf.DUMMYFUNCTION("""COMPUTED_VALUE"""),"Rakha")</f>
        <v>Rakha</v>
      </c>
      <c r="AE181" s="285" t="str">
        <f>IFERROR(__xludf.DUMMYFUNCTION("""COMPUTED_VALUE"""),"08119114704")</f>
        <v>08119114704</v>
      </c>
      <c r="AF181" s="285" t="str">
        <f>IFERROR(__xludf.DUMMYFUNCTION("""COMPUTED_VALUE"""),"Gagal")</f>
        <v>Gagal</v>
      </c>
      <c r="AG181" s="285" t="str">
        <f>IFERROR(__xludf.DUMMYFUNCTION("""COMPUTED_VALUE"""),"2h1m")</f>
        <v>2h1m</v>
      </c>
      <c r="AH181" s="287">
        <f>IFERROR(__xludf.DUMMYFUNCTION("""COMPUTED_VALUE"""),46198.0)</f>
        <v>46198</v>
      </c>
      <c r="AI181" s="285">
        <f>IFERROR(__xludf.DUMMYFUNCTION("""COMPUTED_VALUE"""),3.0)</f>
        <v>3</v>
      </c>
      <c r="AJ181" s="289"/>
      <c r="AK181" s="285" t="str">
        <f>IFERROR(__xludf.DUMMYFUNCTION("""COMPUTED_VALUE"""),"ga ada jawaban")</f>
        <v>ga ada jawaban</v>
      </c>
    </row>
    <row r="182"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B182" s="285" t="str">
        <f>IFERROR(__xludf.DUMMYFUNCTION("""COMPUTED_VALUE"""),"2606H017")</f>
        <v>2606H017</v>
      </c>
      <c r="AC182" s="286">
        <f>IFERROR(__xludf.DUMMYFUNCTION("""COMPUTED_VALUE"""),46183.0)</f>
        <v>46183</v>
      </c>
      <c r="AD182" s="285" t="str">
        <f>IFERROR(__xludf.DUMMYFUNCTION("""COMPUTED_VALUE"""),"Widhi Baskara")</f>
        <v>Widhi Baskara</v>
      </c>
      <c r="AE182" s="285" t="str">
        <f>IFERROR(__xludf.DUMMYFUNCTION("""COMPUTED_VALUE"""),"08128008500")</f>
        <v>08128008500</v>
      </c>
      <c r="AF182" s="285" t="str">
        <f>IFERROR(__xludf.DUMMYFUNCTION("""COMPUTED_VALUE"""),"Gagal")</f>
        <v>Gagal</v>
      </c>
      <c r="AG182" s="285" t="str">
        <f>IFERROR(__xludf.DUMMYFUNCTION("""COMPUTED_VALUE"""),"custome ")</f>
        <v>custome </v>
      </c>
      <c r="AH182" s="287"/>
      <c r="AI182" s="285">
        <f>IFERROR(__xludf.DUMMYFUNCTION("""COMPUTED_VALUE"""),2.0)</f>
        <v>2</v>
      </c>
      <c r="AJ182" s="289"/>
      <c r="AK182" s="285" t="str">
        <f>IFERROR(__xludf.DUMMYFUNCTION("""COMPUTED_VALUE"""),"sdh pulang")</f>
        <v>sdh pulang</v>
      </c>
    </row>
    <row r="183"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B183" s="285" t="str">
        <f>IFERROR(__xludf.DUMMYFUNCTION("""COMPUTED_VALUE"""),"2606H018")</f>
        <v>2606H018</v>
      </c>
      <c r="AC183" s="286">
        <f>IFERROR(__xludf.DUMMYFUNCTION("""COMPUTED_VALUE"""),46184.0)</f>
        <v>46184</v>
      </c>
      <c r="AD183" s="285" t="str">
        <f>IFERROR(__xludf.DUMMYFUNCTION("""COMPUTED_VALUE"""),"Farah")</f>
        <v>Farah</v>
      </c>
      <c r="AE183" s="285" t="str">
        <f>IFERROR(__xludf.DUMMYFUNCTION("""COMPUTED_VALUE"""),"087852361571")</f>
        <v>087852361571</v>
      </c>
      <c r="AF183" s="285" t="str">
        <f>IFERROR(__xludf.DUMMYFUNCTION("""COMPUTED_VALUE"""),"Gagal")</f>
        <v>Gagal</v>
      </c>
      <c r="AG183" s="285" t="str">
        <f>IFERROR(__xludf.DUMMYFUNCTION("""COMPUTED_VALUE"""),"menjangan tabuhan")</f>
        <v>menjangan tabuhan</v>
      </c>
      <c r="AH183" s="287">
        <f>IFERROR(__xludf.DUMMYFUNCTION("""COMPUTED_VALUE"""),46188.0)</f>
        <v>46188</v>
      </c>
      <c r="AI183" s="285">
        <f>IFERROR(__xludf.DUMMYFUNCTION("""COMPUTED_VALUE"""),4.0)</f>
        <v>4</v>
      </c>
      <c r="AJ183" s="289"/>
      <c r="AK183" s="285" t="str">
        <f>IFERROR(__xludf.DUMMYFUNCTION("""COMPUTED_VALUE"""),"gada balasan")</f>
        <v>gada balasan</v>
      </c>
    </row>
    <row r="184"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B184" s="285" t="str">
        <f>IFERROR(__xludf.DUMMYFUNCTION("""COMPUTED_VALUE"""),"2606H019")</f>
        <v>2606H019</v>
      </c>
      <c r="AC184" s="286">
        <f>IFERROR(__xludf.DUMMYFUNCTION("""COMPUTED_VALUE"""),46184.0)</f>
        <v>46184</v>
      </c>
      <c r="AD184" s="285" t="str">
        <f>IFERROR(__xludf.DUMMYFUNCTION("""COMPUTED_VALUE"""),"Glory Nactasia")</f>
        <v>Glory Nactasia</v>
      </c>
      <c r="AE184" s="285" t="str">
        <f>IFERROR(__xludf.DUMMYFUNCTION("""COMPUTED_VALUE"""),"082273522093")</f>
        <v>082273522093</v>
      </c>
      <c r="AF184" s="285" t="str">
        <f>IFERROR(__xludf.DUMMYFUNCTION("""COMPUTED_VALUE"""),"Gagal")</f>
        <v>Gagal</v>
      </c>
      <c r="AG184" s="285" t="str">
        <f>IFERROR(__xludf.DUMMYFUNCTION("""COMPUTED_VALUE"""),"3h2m opsi a")</f>
        <v>3h2m opsi a</v>
      </c>
      <c r="AH184" s="287">
        <f>IFERROR(__xludf.DUMMYFUNCTION("""COMPUTED_VALUE"""),46192.0)</f>
        <v>46192</v>
      </c>
      <c r="AI184" s="285">
        <f>IFERROR(__xludf.DUMMYFUNCTION("""COMPUTED_VALUE"""),2.0)</f>
        <v>2</v>
      </c>
      <c r="AJ184" s="289">
        <f>IFERROR(__xludf.DUMMYFUNCTION("""COMPUTED_VALUE"""),3135000.0)</f>
        <v>3135000</v>
      </c>
      <c r="AK184" s="285" t="str">
        <f>IFERROR(__xludf.DUMMYFUNCTION("""COMPUTED_VALUE"""),"ngilang abis dikasi form")</f>
        <v>ngilang abis dikasi form</v>
      </c>
    </row>
    <row r="185"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B185" s="285" t="str">
        <f>IFERROR(__xludf.DUMMYFUNCTION("""COMPUTED_VALUE"""),"2606H021")</f>
        <v>2606H021</v>
      </c>
      <c r="AC185" s="286">
        <f>IFERROR(__xludf.DUMMYFUNCTION("""COMPUTED_VALUE"""),46185.0)</f>
        <v>46185</v>
      </c>
      <c r="AD185" s="285" t="str">
        <f>IFERROR(__xludf.DUMMYFUNCTION("""COMPUTED_VALUE"""),"Nur Faizah")</f>
        <v>Nur Faizah</v>
      </c>
      <c r="AE185" s="285" t="str">
        <f>IFERROR(__xludf.DUMMYFUNCTION("""COMPUTED_VALUE"""),"085259177468")</f>
        <v>085259177468</v>
      </c>
      <c r="AF185" s="285" t="str">
        <f>IFERROR(__xludf.DUMMYFUNCTION("""COMPUTED_VALUE"""),"Gagal")</f>
        <v>Gagal</v>
      </c>
      <c r="AG185" s="285" t="str">
        <f>IFERROR(__xludf.DUMMYFUNCTION("""COMPUTED_VALUE"""),"mt b")</f>
        <v>mt b</v>
      </c>
      <c r="AH185" s="287">
        <f>IFERROR(__xludf.DUMMYFUNCTION("""COMPUTED_VALUE"""),46186.0)</f>
        <v>46186</v>
      </c>
      <c r="AI185" s="285">
        <f>IFERROR(__xludf.DUMMYFUNCTION("""COMPUTED_VALUE"""),2.0)</f>
        <v>2</v>
      </c>
      <c r="AJ185" s="289">
        <f>IFERROR(__xludf.DUMMYFUNCTION("""COMPUTED_VALUE"""),3070000.0)</f>
        <v>3070000</v>
      </c>
      <c r="AK185" s="285" t="str">
        <f>IFERROR(__xludf.DUMMYFUNCTION("""COMPUTED_VALUE"""),"ga ada jawaban")</f>
        <v>ga ada jawaban</v>
      </c>
    </row>
    <row r="186"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B186" s="285" t="str">
        <f>IFERROR(__xludf.DUMMYFUNCTION("""COMPUTED_VALUE"""),"2606H023")</f>
        <v>2606H023</v>
      </c>
      <c r="AC186" s="286">
        <f>IFERROR(__xludf.DUMMYFUNCTION("""COMPUTED_VALUE"""),46187.0)</f>
        <v>46187</v>
      </c>
      <c r="AD186" s="285" t="str">
        <f>IFERROR(__xludf.DUMMYFUNCTION("""COMPUTED_VALUE"""),"Dini FItriani Noor Robiah")</f>
        <v>Dini FItriani Noor Robiah</v>
      </c>
      <c r="AE186" s="285" t="str">
        <f>IFERROR(__xludf.DUMMYFUNCTION("""COMPUTED_VALUE"""),"085795192469")</f>
        <v>085795192469</v>
      </c>
      <c r="AF186" s="285" t="str">
        <f>IFERROR(__xludf.DUMMYFUNCTION("""COMPUTED_VALUE"""),"Gagal")</f>
        <v>Gagal</v>
      </c>
      <c r="AG186" s="285"/>
      <c r="AH186" s="287"/>
      <c r="AI186" s="285"/>
      <c r="AJ186" s="289"/>
      <c r="AK186" s="285" t="str">
        <f>IFERROR(__xludf.DUMMYFUNCTION("""COMPUTED_VALUE"""),"gajadi ke Banyuwangi")</f>
        <v>gajadi ke Banyuwangi</v>
      </c>
    </row>
    <row r="187"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B187" s="285" t="str">
        <f>IFERROR(__xludf.DUMMYFUNCTION("""COMPUTED_VALUE"""),"2606H025")</f>
        <v>2606H025</v>
      </c>
      <c r="AC187" s="286">
        <f>IFERROR(__xludf.DUMMYFUNCTION("""COMPUTED_VALUE"""),46187.0)</f>
        <v>46187</v>
      </c>
      <c r="AD187" s="285" t="str">
        <f>IFERROR(__xludf.DUMMYFUNCTION("""COMPUTED_VALUE"""),"Ani")</f>
        <v>Ani</v>
      </c>
      <c r="AE187" s="285" t="str">
        <f>IFERROR(__xludf.DUMMYFUNCTION("""COMPUTED_VALUE"""),"081213653888")</f>
        <v>081213653888</v>
      </c>
      <c r="AF187" s="285" t="str">
        <f>IFERROR(__xludf.DUMMYFUNCTION("""COMPUTED_VALUE"""),"Gagal")</f>
        <v>Gagal</v>
      </c>
      <c r="AG187" s="285" t="str">
        <f>IFERROR(__xludf.DUMMYFUNCTION("""COMPUTED_VALUE"""),"ijen")</f>
        <v>ijen</v>
      </c>
      <c r="AH187" s="287">
        <f>IFERROR(__xludf.DUMMYFUNCTION("""COMPUTED_VALUE"""),46203.0)</f>
        <v>46203</v>
      </c>
      <c r="AI187" s="285">
        <f>IFERROR(__xludf.DUMMYFUNCTION("""COMPUTED_VALUE"""),3.0)</f>
        <v>3</v>
      </c>
      <c r="AJ187" s="289">
        <f>IFERROR(__xludf.DUMMYFUNCTION("""COMPUTED_VALUE"""),1101000.0)</f>
        <v>1101000</v>
      </c>
      <c r="AK187" s="285" t="str">
        <f>IFERROR(__xludf.DUMMYFUNCTION("""COMPUTED_VALUE"""),"waktunya ")</f>
        <v>waktunya </v>
      </c>
    </row>
    <row r="188"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  <c r="AB188" s="285" t="str">
        <f>IFERROR(__xludf.DUMMYFUNCTION("""COMPUTED_VALUE"""),"2606H029")</f>
        <v>2606H029</v>
      </c>
      <c r="AC188" s="286">
        <f>IFERROR(__xludf.DUMMYFUNCTION("""COMPUTED_VALUE"""),46190.0)</f>
        <v>46190</v>
      </c>
      <c r="AD188" s="285" t="str">
        <f>IFERROR(__xludf.DUMMYFUNCTION("""COMPUTED_VALUE"""),"Dessy")</f>
        <v>Dessy</v>
      </c>
      <c r="AE188" s="285" t="str">
        <f>IFERROR(__xludf.DUMMYFUNCTION("""COMPUTED_VALUE"""),"081319250775")</f>
        <v>081319250775</v>
      </c>
      <c r="AF188" s="285" t="str">
        <f>IFERROR(__xludf.DUMMYFUNCTION("""COMPUTED_VALUE"""),"Gagal")</f>
        <v>Gagal</v>
      </c>
      <c r="AG188" s="285" t="str">
        <f>IFERROR(__xludf.DUMMYFUNCTION("""COMPUTED_VALUE"""),"otmt")</f>
        <v>otmt</v>
      </c>
      <c r="AH188" s="287"/>
      <c r="AI188" s="285">
        <f>IFERROR(__xludf.DUMMYFUNCTION("""COMPUTED_VALUE"""),3.0)</f>
        <v>3</v>
      </c>
      <c r="AJ188" s="289">
        <f>IFERROR(__xludf.DUMMYFUNCTION("""COMPUTED_VALUE"""),1500000.0)</f>
        <v>1500000</v>
      </c>
      <c r="AK188" s="285" t="str">
        <f>IFERROR(__xludf.DUMMYFUNCTION("""COMPUTED_VALUE"""),"ga ada balasan")</f>
        <v>ga ada balasan</v>
      </c>
    </row>
    <row r="189"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B189" s="285" t="str">
        <f>IFERROR(__xludf.DUMMYFUNCTION("""COMPUTED_VALUE"""),"2606H030")</f>
        <v>2606H030</v>
      </c>
      <c r="AC189" s="286">
        <f>IFERROR(__xludf.DUMMYFUNCTION("""COMPUTED_VALUE"""),46190.0)</f>
        <v>46190</v>
      </c>
      <c r="AD189" s="285" t="str">
        <f>IFERROR(__xludf.DUMMYFUNCTION("""COMPUTED_VALUE"""),"Priharto")</f>
        <v>Priharto</v>
      </c>
      <c r="AE189" s="285" t="str">
        <f>IFERROR(__xludf.DUMMYFUNCTION("""COMPUTED_VALUE"""),"081245999494")</f>
        <v>081245999494</v>
      </c>
      <c r="AF189" s="285" t="str">
        <f>IFERROR(__xludf.DUMMYFUNCTION("""COMPUTED_VALUE"""),"Gagal")</f>
        <v>Gagal</v>
      </c>
      <c r="AG189" s="285" t="str">
        <f>IFERROR(__xludf.DUMMYFUNCTION("""COMPUTED_VALUE"""),"ot")</f>
        <v>ot</v>
      </c>
      <c r="AH189" s="287">
        <f>IFERROR(__xludf.DUMMYFUNCTION("""COMPUTED_VALUE"""),46208.0)</f>
        <v>46208</v>
      </c>
      <c r="AI189" s="285"/>
      <c r="AJ189" s="289"/>
      <c r="AK189" s="285" t="str">
        <f>IFERROR(__xludf.DUMMYFUNCTION("""COMPUTED_VALUE"""),"belum ada momennya")</f>
        <v>belum ada momennya</v>
      </c>
    </row>
    <row r="190"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B190" s="285" t="str">
        <f>IFERROR(__xludf.DUMMYFUNCTION("""COMPUTED_VALUE"""),"2606H031")</f>
        <v>2606H031</v>
      </c>
      <c r="AC190" s="286">
        <f>IFERROR(__xludf.DUMMYFUNCTION("""COMPUTED_VALUE"""),46188.0)</f>
        <v>46188</v>
      </c>
      <c r="AD190" s="285" t="str">
        <f>IFERROR(__xludf.DUMMYFUNCTION("""COMPUTED_VALUE"""),"afan")</f>
        <v>afan</v>
      </c>
      <c r="AE190" s="285" t="str">
        <f>IFERROR(__xludf.DUMMYFUNCTION("""COMPUTED_VALUE"""),"0882001195600")</f>
        <v>0882001195600</v>
      </c>
      <c r="AF190" s="285" t="str">
        <f>IFERROR(__xludf.DUMMYFUNCTION("""COMPUTED_VALUE"""),"Gagal")</f>
        <v>Gagal</v>
      </c>
      <c r="AG190" s="285"/>
      <c r="AH190" s="287"/>
      <c r="AI190" s="285"/>
      <c r="AJ190" s="289"/>
      <c r="AK190" s="285" t="str">
        <f>IFERROR(__xludf.DUMMYFUNCTION("""COMPUTED_VALUE"""),"gada balasan")</f>
        <v>gada balasan</v>
      </c>
    </row>
    <row r="191"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B191" s="285" t="str">
        <f>IFERROR(__xludf.DUMMYFUNCTION("""COMPUTED_VALUE"""),"2606H032")</f>
        <v>2606H032</v>
      </c>
      <c r="AC191" s="286">
        <f>IFERROR(__xludf.DUMMYFUNCTION("""COMPUTED_VALUE"""),46188.0)</f>
        <v>46188</v>
      </c>
      <c r="AD191" s="285" t="str">
        <f>IFERROR(__xludf.DUMMYFUNCTION("""COMPUTED_VALUE"""),"Nancy")</f>
        <v>Nancy</v>
      </c>
      <c r="AE191" s="285" t="str">
        <f>IFERROR(__xludf.DUMMYFUNCTION("""COMPUTED_VALUE"""),"08119461909")</f>
        <v>08119461909</v>
      </c>
      <c r="AF191" s="285" t="str">
        <f>IFERROR(__xludf.DUMMYFUNCTION("""COMPUTED_VALUE"""),"Gagal")</f>
        <v>Gagal</v>
      </c>
      <c r="AG191" s="285"/>
      <c r="AH191" s="287"/>
      <c r="AI191" s="285"/>
      <c r="AJ191" s="289"/>
      <c r="AK191" s="285" t="str">
        <f>IFERROR(__xludf.DUMMYFUNCTION("""COMPUTED_VALUE"""),"gada balasan")</f>
        <v>gada balasan</v>
      </c>
    </row>
    <row r="192"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B192" s="285" t="str">
        <f>IFERROR(__xludf.DUMMYFUNCTION("""COMPUTED_VALUE"""),"2606H037")</f>
        <v>2606H037</v>
      </c>
      <c r="AC192" s="286">
        <f>IFERROR(__xludf.DUMMYFUNCTION("""COMPUTED_VALUE"""),46192.0)</f>
        <v>46192</v>
      </c>
      <c r="AD192" s="285" t="str">
        <f>IFERROR(__xludf.DUMMYFUNCTION("""COMPUTED_VALUE"""),"Erlin Sudarwati")</f>
        <v>Erlin Sudarwati</v>
      </c>
      <c r="AE192" s="285" t="str">
        <f>IFERROR(__xludf.DUMMYFUNCTION("""COMPUTED_VALUE"""),"08161669721")</f>
        <v>08161669721</v>
      </c>
      <c r="AF192" s="285" t="str">
        <f>IFERROR(__xludf.DUMMYFUNCTION("""COMPUTED_VALUE"""),"Gagal")</f>
        <v>Gagal</v>
      </c>
      <c r="AG192" s="285" t="str">
        <f>IFERROR(__xludf.DUMMYFUNCTION("""COMPUTED_VALUE"""),"2H1M")</f>
        <v>2H1M</v>
      </c>
      <c r="AH192" s="287">
        <f>IFERROR(__xludf.DUMMYFUNCTION("""COMPUTED_VALUE"""),46212.0)</f>
        <v>46212</v>
      </c>
      <c r="AI192" s="285">
        <f>IFERROR(__xludf.DUMMYFUNCTION("""COMPUTED_VALUE"""),4.0)</f>
        <v>4</v>
      </c>
      <c r="AJ192" s="289"/>
      <c r="AK192" s="285" t="str">
        <f>IFERROR(__xludf.DUMMYFUNCTION("""COMPUTED_VALUE"""),"ga ada balasan")</f>
        <v>ga ada balasan</v>
      </c>
    </row>
    <row r="193"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  <c r="AB193" s="285" t="str">
        <f>IFERROR(__xludf.DUMMYFUNCTION("""COMPUTED_VALUE"""),"2606H038")</f>
        <v>2606H038</v>
      </c>
      <c r="AC193" s="286">
        <f>IFERROR(__xludf.DUMMYFUNCTION("""COMPUTED_VALUE"""),46191.0)</f>
        <v>46191</v>
      </c>
      <c r="AD193" s="285" t="str">
        <f>IFERROR(__xludf.DUMMYFUNCTION("""COMPUTED_VALUE"""),"Desihaliza")</f>
        <v>Desihaliza</v>
      </c>
      <c r="AE193" s="285" t="str">
        <f>IFERROR(__xludf.DUMMYFUNCTION("""COMPUTED_VALUE"""),"081911129694")</f>
        <v>081911129694</v>
      </c>
      <c r="AF193" s="285" t="str">
        <f>IFERROR(__xludf.DUMMYFUNCTION("""COMPUTED_VALUE"""),"Gagal")</f>
        <v>Gagal</v>
      </c>
      <c r="AG193" s="285" t="str">
        <f>IFERROR(__xludf.DUMMYFUNCTION("""COMPUTED_VALUE"""),"ot pulau")</f>
        <v>ot pulau</v>
      </c>
      <c r="AH193" s="287"/>
      <c r="AI193" s="285">
        <f>IFERROR(__xludf.DUMMYFUNCTION("""COMPUTED_VALUE"""),2.0)</f>
        <v>2</v>
      </c>
      <c r="AJ193" s="289"/>
      <c r="AK193" s="285" t="str">
        <f>IFERROR(__xludf.DUMMYFUNCTION("""COMPUTED_VALUE"""),"fu 26 juni")</f>
        <v>fu 26 juni</v>
      </c>
    </row>
    <row r="194"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B194" s="285" t="str">
        <f>IFERROR(__xludf.DUMMYFUNCTION("""COMPUTED_VALUE"""),"2606H039")</f>
        <v>2606H039</v>
      </c>
      <c r="AC194" s="286">
        <f>IFERROR(__xludf.DUMMYFUNCTION("""COMPUTED_VALUE"""),46192.0)</f>
        <v>46192</v>
      </c>
      <c r="AD194" s="285" t="str">
        <f>IFERROR(__xludf.DUMMYFUNCTION("""COMPUTED_VALUE"""),"Pramita ")</f>
        <v>Pramita </v>
      </c>
      <c r="AE194" s="285" t="str">
        <f>IFERROR(__xludf.DUMMYFUNCTION("""COMPUTED_VALUE"""),"089513059712")</f>
        <v>089513059712</v>
      </c>
      <c r="AF194" s="285" t="str">
        <f>IFERROR(__xludf.DUMMYFUNCTION("""COMPUTED_VALUE"""),"Gagal")</f>
        <v>Gagal</v>
      </c>
      <c r="AG194" s="285"/>
      <c r="AH194" s="287"/>
      <c r="AI194" s="285"/>
      <c r="AJ194" s="289"/>
      <c r="AK194" s="285" t="str">
        <f>IFERROR(__xludf.DUMMYFUNCTION("""COMPUTED_VALUE"""),"ga ada balasan")</f>
        <v>ga ada balasan</v>
      </c>
    </row>
    <row r="195"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B195" s="285" t="str">
        <f>IFERROR(__xludf.DUMMYFUNCTION("""COMPUTED_VALUE"""),"2606H044")</f>
        <v>2606H044</v>
      </c>
      <c r="AC195" s="286">
        <f>IFERROR(__xludf.DUMMYFUNCTION("""COMPUTED_VALUE"""),46193.0)</f>
        <v>46193</v>
      </c>
      <c r="AD195" s="285" t="str">
        <f>IFERROR(__xludf.DUMMYFUNCTION("""COMPUTED_VALUE"""),"Callista Fritzie")</f>
        <v>Callista Fritzie</v>
      </c>
      <c r="AE195" s="285" t="str">
        <f>IFERROR(__xludf.DUMMYFUNCTION("""COMPUTED_VALUE"""),"087783839913")</f>
        <v>087783839913</v>
      </c>
      <c r="AF195" s="285" t="str">
        <f>IFERROR(__xludf.DUMMYFUNCTION("""COMPUTED_VALUE"""),"Gagal")</f>
        <v>Gagal</v>
      </c>
      <c r="AG195" s="285"/>
      <c r="AH195" s="287"/>
      <c r="AI195" s="285">
        <f>IFERROR(__xludf.DUMMYFUNCTION("""COMPUTED_VALUE"""),3.0)</f>
        <v>3</v>
      </c>
      <c r="AJ195" s="289"/>
      <c r="AK195" s="285" t="str">
        <f>IFERROR(__xludf.DUMMYFUNCTION("""COMPUTED_VALUE"""),"ga ada balasan")</f>
        <v>ga ada balasan</v>
      </c>
    </row>
    <row r="196"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  <c r="AB196" s="285" t="str">
        <f>IFERROR(__xludf.DUMMYFUNCTION("""COMPUTED_VALUE"""),"2606H045")</f>
        <v>2606H045</v>
      </c>
      <c r="AC196" s="286">
        <f>IFERROR(__xludf.DUMMYFUNCTION("""COMPUTED_VALUE"""),46193.0)</f>
        <v>46193</v>
      </c>
      <c r="AD196" s="285" t="str">
        <f>IFERROR(__xludf.DUMMYFUNCTION("""COMPUTED_VALUE"""),"Monn")</f>
        <v>Monn</v>
      </c>
      <c r="AE196" s="285" t="str">
        <f>IFERROR(__xludf.DUMMYFUNCTION("""COMPUTED_VALUE"""),"085943044896")</f>
        <v>085943044896</v>
      </c>
      <c r="AF196" s="285" t="str">
        <f>IFERROR(__xludf.DUMMYFUNCTION("""COMPUTED_VALUE"""),"Gagal")</f>
        <v>Gagal</v>
      </c>
      <c r="AG196" s="285" t="str">
        <f>IFERROR(__xludf.DUMMYFUNCTION("""COMPUTED_VALUE"""),"ijen")</f>
        <v>ijen</v>
      </c>
      <c r="AH196" s="287"/>
      <c r="AI196" s="285"/>
      <c r="AJ196" s="289"/>
      <c r="AK196" s="285" t="str">
        <f>IFERROR(__xludf.DUMMYFUNCTION("""COMPUTED_VALUE"""),"ga ada balasan")</f>
        <v>ga ada balasan</v>
      </c>
    </row>
    <row r="197"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B197" s="285" t="str">
        <f>IFERROR(__xludf.DUMMYFUNCTION("""COMPUTED_VALUE"""),"2606H047")</f>
        <v>2606H047</v>
      </c>
      <c r="AC197" s="286">
        <f>IFERROR(__xludf.DUMMYFUNCTION("""COMPUTED_VALUE"""),46194.0)</f>
        <v>46194</v>
      </c>
      <c r="AD197" s="285" t="str">
        <f>IFERROR(__xludf.DUMMYFUNCTION("""COMPUTED_VALUE"""),"Enggar JLP Acrylic")</f>
        <v>Enggar JLP Acrylic</v>
      </c>
      <c r="AE197" s="285" t="str">
        <f>IFERROR(__xludf.DUMMYFUNCTION("""COMPUTED_VALUE"""),"08982360981")</f>
        <v>08982360981</v>
      </c>
      <c r="AF197" s="285" t="str">
        <f>IFERROR(__xludf.DUMMYFUNCTION("""COMPUTED_VALUE"""),"Gagal")</f>
        <v>Gagal</v>
      </c>
      <c r="AG197" s="285" t="str">
        <f>IFERROR(__xludf.DUMMYFUNCTION("""COMPUTED_VALUE"""),"djabal")</f>
        <v>djabal</v>
      </c>
      <c r="AH197" s="287">
        <f>IFERROR(__xludf.DUMMYFUNCTION("""COMPUTED_VALUE"""),46212.0)</f>
        <v>46212</v>
      </c>
      <c r="AI197" s="285">
        <f>IFERROR(__xludf.DUMMYFUNCTION("""COMPUTED_VALUE"""),7.0)</f>
        <v>7</v>
      </c>
      <c r="AJ197" s="289">
        <f>IFERROR(__xludf.DUMMYFUNCTION("""COMPUTED_VALUE"""),2352000.0)</f>
        <v>2352000</v>
      </c>
      <c r="AK197" s="285" t="str">
        <f>IFERROR(__xludf.DUMMYFUNCTION("""COMPUTED_VALUE"""),"tidak ada balasan ")</f>
        <v>tidak ada balasan </v>
      </c>
    </row>
    <row r="198"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B198" s="285" t="str">
        <f>IFERROR(__xludf.DUMMYFUNCTION("""COMPUTED_VALUE"""),"2606H048")</f>
        <v>2606H048</v>
      </c>
      <c r="AC198" s="286">
        <f>IFERROR(__xludf.DUMMYFUNCTION("""COMPUTED_VALUE"""),46194.0)</f>
        <v>46194</v>
      </c>
      <c r="AD198" s="285" t="str">
        <f>IFERROR(__xludf.DUMMYFUNCTION("""COMPUTED_VALUE"""),"Mayu DIana")</f>
        <v>Mayu DIana</v>
      </c>
      <c r="AE198" s="285" t="str">
        <f>IFERROR(__xludf.DUMMYFUNCTION("""COMPUTED_VALUE"""),"081574231080")</f>
        <v>081574231080</v>
      </c>
      <c r="AF198" s="285" t="str">
        <f>IFERROR(__xludf.DUMMYFUNCTION("""COMPUTED_VALUE"""),"Gagal")</f>
        <v>Gagal</v>
      </c>
      <c r="AG198" s="285" t="str">
        <f>IFERROR(__xludf.DUMMYFUNCTION("""COMPUTED_VALUE"""),"djabal")</f>
        <v>djabal</v>
      </c>
      <c r="AH198" s="287">
        <f>IFERROR(__xludf.DUMMYFUNCTION("""COMPUTED_VALUE"""),46202.0)</f>
        <v>46202</v>
      </c>
      <c r="AI198" s="285">
        <f>IFERROR(__xludf.DUMMYFUNCTION("""COMPUTED_VALUE"""),1.0)</f>
        <v>1</v>
      </c>
      <c r="AJ198" s="289">
        <f>IFERROR(__xludf.DUMMYFUNCTION("""COMPUTED_VALUE"""),450000.0)</f>
        <v>450000</v>
      </c>
      <c r="AK198" s="285"/>
    </row>
    <row r="199"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B199" s="285" t="str">
        <f>IFERROR(__xludf.DUMMYFUNCTION("""COMPUTED_VALUE"""),"2606H054")</f>
        <v>2606H054</v>
      </c>
      <c r="AC199" s="286">
        <f>IFERROR(__xludf.DUMMYFUNCTION("""COMPUTED_VALUE"""),46196.0)</f>
        <v>46196</v>
      </c>
      <c r="AD199" s="285" t="str">
        <f>IFERROR(__xludf.DUMMYFUNCTION("""COMPUTED_VALUE"""),"Pradana Kurnia")</f>
        <v>Pradana Kurnia</v>
      </c>
      <c r="AE199" s="285" t="str">
        <f>IFERROR(__xludf.DUMMYFUNCTION("""COMPUTED_VALUE"""),"08118499425")</f>
        <v>08118499425</v>
      </c>
      <c r="AF199" s="285" t="str">
        <f>IFERROR(__xludf.DUMMYFUNCTION("""COMPUTED_VALUE"""),"Gagal")</f>
        <v>Gagal</v>
      </c>
      <c r="AG199" s="285"/>
      <c r="AH199" s="287"/>
      <c r="AI199" s="285"/>
      <c r="AJ199" s="289"/>
      <c r="AK199" s="285" t="str">
        <f>IFERROR(__xludf.DUMMYFUNCTION("""COMPUTED_VALUE"""),"hanya menyapa. ga ada balasan")</f>
        <v>hanya menyapa. ga ada balasan</v>
      </c>
    </row>
    <row r="200"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B200" s="285" t="str">
        <f>IFERROR(__xludf.DUMMYFUNCTION("""COMPUTED_VALUE"""),"2606H055")</f>
        <v>2606H055</v>
      </c>
      <c r="AC200" s="286">
        <f>IFERROR(__xludf.DUMMYFUNCTION("""COMPUTED_VALUE"""),46196.0)</f>
        <v>46196</v>
      </c>
      <c r="AD200" s="285" t="str">
        <f>IFERROR(__xludf.DUMMYFUNCTION("""COMPUTED_VALUE"""),"Nadira")</f>
        <v>Nadira</v>
      </c>
      <c r="AE200" s="285" t="str">
        <f>IFERROR(__xludf.DUMMYFUNCTION("""COMPUTED_VALUE"""),"085813800245")</f>
        <v>085813800245</v>
      </c>
      <c r="AF200" s="285" t="str">
        <f>IFERROR(__xludf.DUMMYFUNCTION("""COMPUTED_VALUE"""),"Gagal")</f>
        <v>Gagal</v>
      </c>
      <c r="AG200" s="285" t="str">
        <f>IFERROR(__xludf.DUMMYFUNCTION("""COMPUTED_VALUE"""),"ot")</f>
        <v>ot</v>
      </c>
      <c r="AH200" s="287"/>
      <c r="AI200" s="285">
        <f>IFERROR(__xludf.DUMMYFUNCTION("""COMPUTED_VALUE"""),2.0)</f>
        <v>2</v>
      </c>
      <c r="AJ200" s="289"/>
      <c r="AK200" s="285" t="str">
        <f>IFERROR(__xludf.DUMMYFUNCTION("""COMPUTED_VALUE"""),"ga ada balasan")</f>
        <v>ga ada balasan</v>
      </c>
    </row>
    <row r="201"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B201" s="285" t="str">
        <f>IFERROR(__xludf.DUMMYFUNCTION("""COMPUTED_VALUE"""),"2606H056")</f>
        <v>2606H056</v>
      </c>
      <c r="AC201" s="286">
        <f>IFERROR(__xludf.DUMMYFUNCTION("""COMPUTED_VALUE"""),46196.0)</f>
        <v>46196</v>
      </c>
      <c r="AD201" s="285" t="str">
        <f>IFERROR(__xludf.DUMMYFUNCTION("""COMPUTED_VALUE"""),"Tamariska Citra")</f>
        <v>Tamariska Citra</v>
      </c>
      <c r="AE201" s="285" t="str">
        <f>IFERROR(__xludf.DUMMYFUNCTION("""COMPUTED_VALUE"""),"085804778540")</f>
        <v>085804778540</v>
      </c>
      <c r="AF201" s="285" t="str">
        <f>IFERROR(__xludf.DUMMYFUNCTION("""COMPUTED_VALUE"""),"Gagal")</f>
        <v>Gagal</v>
      </c>
      <c r="AG201" s="285" t="str">
        <f>IFERROR(__xludf.DUMMYFUNCTION("""COMPUTED_VALUE"""),"1 day trip green island")</f>
        <v>1 day trip green island</v>
      </c>
      <c r="AH201" s="287">
        <f>IFERROR(__xludf.DUMMYFUNCTION("""COMPUTED_VALUE"""),46205.0)</f>
        <v>46205</v>
      </c>
      <c r="AI201" s="285">
        <f>IFERROR(__xludf.DUMMYFUNCTION("""COMPUTED_VALUE"""),2.0)</f>
        <v>2</v>
      </c>
      <c r="AJ201" s="289">
        <f>IFERROR(__xludf.DUMMYFUNCTION("""COMPUTED_VALUE"""),1512000.0)</f>
        <v>1512000</v>
      </c>
      <c r="AK201" s="285" t="str">
        <f>IFERROR(__xludf.DUMMYFUNCTION("""COMPUTED_VALUE"""),"ga ada balasan")</f>
        <v>ga ada balasan</v>
      </c>
    </row>
    <row r="202"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B202" s="285" t="str">
        <f>IFERROR(__xludf.DUMMYFUNCTION("""COMPUTED_VALUE"""),"2606H057")</f>
        <v>2606H057</v>
      </c>
      <c r="AC202" s="286">
        <f>IFERROR(__xludf.DUMMYFUNCTION("""COMPUTED_VALUE"""),46197.0)</f>
        <v>46197</v>
      </c>
      <c r="AD202" s="285" t="str">
        <f>IFERROR(__xludf.DUMMYFUNCTION("""COMPUTED_VALUE"""),"Luqi Bawafi")</f>
        <v>Luqi Bawafi</v>
      </c>
      <c r="AE202" s="285" t="str">
        <f>IFERROR(__xludf.DUMMYFUNCTION("""COMPUTED_VALUE"""),"08151832281")</f>
        <v>08151832281</v>
      </c>
      <c r="AF202" s="285" t="str">
        <f>IFERROR(__xludf.DUMMYFUNCTION("""COMPUTED_VALUE"""),"Gagal")</f>
        <v>Gagal</v>
      </c>
      <c r="AG202" s="285" t="str">
        <f>IFERROR(__xludf.DUMMYFUNCTION("""COMPUTED_VALUE"""),"4h3m ")</f>
        <v>4h3m </v>
      </c>
      <c r="AH202" s="287">
        <f>IFERROR(__xludf.DUMMYFUNCTION("""COMPUTED_VALUE"""),46204.0)</f>
        <v>46204</v>
      </c>
      <c r="AI202" s="285">
        <f>IFERROR(__xludf.DUMMYFUNCTION("""COMPUTED_VALUE"""),2.0)</f>
        <v>2</v>
      </c>
      <c r="AJ202" s="289">
        <f>IFERROR(__xludf.DUMMYFUNCTION("""COMPUTED_VALUE"""),7890000.0)</f>
        <v>7890000</v>
      </c>
      <c r="AK202" s="285" t="str">
        <f>IFERROR(__xludf.DUMMYFUNCTION("""COMPUTED_VALUE"""),"ga ada balasan")</f>
        <v>ga ada balasan</v>
      </c>
    </row>
    <row r="203"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B203" s="285" t="str">
        <f>IFERROR(__xludf.DUMMYFUNCTION("""COMPUTED_VALUE"""),"2606H058")</f>
        <v>2606H058</v>
      </c>
      <c r="AC203" s="286">
        <f>IFERROR(__xludf.DUMMYFUNCTION("""COMPUTED_VALUE"""),46197.0)</f>
        <v>46197</v>
      </c>
      <c r="AD203" s="285" t="str">
        <f>IFERROR(__xludf.DUMMYFUNCTION("""COMPUTED_VALUE"""),"Gigih Susilo (Egi)")</f>
        <v>Gigih Susilo (Egi)</v>
      </c>
      <c r="AE203" s="285" t="str">
        <f>IFERROR(__xludf.DUMMYFUNCTION("""COMPUTED_VALUE"""),"081294622218")</f>
        <v>081294622218</v>
      </c>
      <c r="AF203" s="285" t="str">
        <f>IFERROR(__xludf.DUMMYFUNCTION("""COMPUTED_VALUE"""),"Gagal")</f>
        <v>Gagal</v>
      </c>
      <c r="AG203" s="285" t="str">
        <f>IFERROR(__xludf.DUMMYFUNCTION("""COMPUTED_VALUE"""),"ot mt")</f>
        <v>ot mt</v>
      </c>
      <c r="AH203" s="287"/>
      <c r="AI203" s="285"/>
      <c r="AJ203" s="289"/>
      <c r="AK203" s="285" t="str">
        <f>IFERROR(__xludf.DUMMYFUNCTION("""COMPUTED_VALUE"""),"ga ada balasan")</f>
        <v>ga ada balasan</v>
      </c>
    </row>
    <row r="204"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B204" s="285" t="str">
        <f>IFERROR(__xludf.DUMMYFUNCTION("""COMPUTED_VALUE"""),"2606H059")</f>
        <v>2606H059</v>
      </c>
      <c r="AC204" s="286">
        <f>IFERROR(__xludf.DUMMYFUNCTION("""COMPUTED_VALUE"""),46197.0)</f>
        <v>46197</v>
      </c>
      <c r="AD204" s="285" t="str">
        <f>IFERROR(__xludf.DUMMYFUNCTION("""COMPUTED_VALUE"""),"Achmad Soeseno")</f>
        <v>Achmad Soeseno</v>
      </c>
      <c r="AE204" s="285" t="str">
        <f>IFERROR(__xludf.DUMMYFUNCTION("""COMPUTED_VALUE"""),"0811824509")</f>
        <v>0811824509</v>
      </c>
      <c r="AF204" s="285" t="str">
        <f>IFERROR(__xludf.DUMMYFUNCTION("""COMPUTED_VALUE"""),"Gagal")</f>
        <v>Gagal</v>
      </c>
      <c r="AG204" s="285" t="str">
        <f>IFERROR(__xludf.DUMMYFUNCTION("""COMPUTED_VALUE"""),"3h2m")</f>
        <v>3h2m</v>
      </c>
      <c r="AH204" s="287"/>
      <c r="AI204" s="285"/>
      <c r="AJ204" s="289"/>
      <c r="AK204" s="285" t="str">
        <f>IFERROR(__xludf.DUMMYFUNCTION("""COMPUTED_VALUE"""),"ga ada balasan")</f>
        <v>ga ada balasan</v>
      </c>
    </row>
    <row r="205"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B205" s="285" t="str">
        <f>IFERROR(__xludf.DUMMYFUNCTION("""COMPUTED_VALUE"""),"2606H060")</f>
        <v>2606H060</v>
      </c>
      <c r="AC205" s="286">
        <f>IFERROR(__xludf.DUMMYFUNCTION("""COMPUTED_VALUE"""),46197.0)</f>
        <v>46197</v>
      </c>
      <c r="AD205" s="285" t="str">
        <f>IFERROR(__xludf.DUMMYFUNCTION("""COMPUTED_VALUE"""),"Wijaya")</f>
        <v>Wijaya</v>
      </c>
      <c r="AE205" s="285" t="str">
        <f>IFERROR(__xludf.DUMMYFUNCTION("""COMPUTED_VALUE"""),"08816840342")</f>
        <v>08816840342</v>
      </c>
      <c r="AF205" s="285" t="str">
        <f>IFERROR(__xludf.DUMMYFUNCTION("""COMPUTED_VALUE"""),"Gagal")</f>
        <v>Gagal</v>
      </c>
      <c r="AG205" s="285" t="str">
        <f>IFERROR(__xludf.DUMMYFUNCTION("""COMPUTED_VALUE"""),"kawah wurung, djawatan, baluran")</f>
        <v>kawah wurung, djawatan, baluran</v>
      </c>
      <c r="AH205" s="287">
        <f>IFERROR(__xludf.DUMMYFUNCTION("""COMPUTED_VALUE"""),46198.0)</f>
        <v>46198</v>
      </c>
      <c r="AI205" s="285">
        <f>IFERROR(__xludf.DUMMYFUNCTION("""COMPUTED_VALUE"""),3.0)</f>
        <v>3</v>
      </c>
      <c r="AJ205" s="289"/>
      <c r="AK205" s="285" t="str">
        <f>IFERROR(__xludf.DUMMYFUNCTION("""COMPUTED_VALUE"""),"ga ada jawaban")</f>
        <v>ga ada jawaban</v>
      </c>
    </row>
    <row r="206"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B206" s="285" t="str">
        <f>IFERROR(__xludf.DUMMYFUNCTION("""COMPUTED_VALUE"""),"2606H074")</f>
        <v>2606H074</v>
      </c>
      <c r="AC206" s="286">
        <f>IFERROR(__xludf.DUMMYFUNCTION("""COMPUTED_VALUE"""),46202.0)</f>
        <v>46202</v>
      </c>
      <c r="AD206" s="285" t="str">
        <f>IFERROR(__xludf.DUMMYFUNCTION("""COMPUTED_VALUE"""),"Rizha Prasetya")</f>
        <v>Rizha Prasetya</v>
      </c>
      <c r="AE206" s="285" t="str">
        <f>IFERROR(__xludf.DUMMYFUNCTION("""COMPUTED_VALUE"""),"081779949172")</f>
        <v>081779949172</v>
      </c>
      <c r="AF206" s="285" t="str">
        <f>IFERROR(__xludf.DUMMYFUNCTION("""COMPUTED_VALUE"""),"Gagal")</f>
        <v>Gagal</v>
      </c>
      <c r="AG206" s="285"/>
      <c r="AH206" s="287"/>
      <c r="AI206" s="285"/>
      <c r="AJ206" s="289"/>
      <c r="AK206" s="285" t="str">
        <f>IFERROR(__xludf.DUMMYFUNCTION("""COMPUTED_VALUE"""),"tidak jadi")</f>
        <v>tidak jadi</v>
      </c>
    </row>
    <row r="207"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B207" s="285" t="str">
        <f>IFERROR(__xludf.DUMMYFUNCTION("""COMPUTED_VALUE"""),"2606H075")</f>
        <v>2606H075</v>
      </c>
      <c r="AC207" s="286">
        <f>IFERROR(__xludf.DUMMYFUNCTION("""COMPUTED_VALUE"""),46201.0)</f>
        <v>46201</v>
      </c>
      <c r="AD207" s="285" t="str">
        <f>IFERROR(__xludf.DUMMYFUNCTION("""COMPUTED_VALUE"""),"Dhian")</f>
        <v>Dhian</v>
      </c>
      <c r="AE207" s="285" t="str">
        <f>IFERROR(__xludf.DUMMYFUNCTION("""COMPUTED_VALUE"""),"085727771009")</f>
        <v>085727771009</v>
      </c>
      <c r="AF207" s="285" t="str">
        <f>IFERROR(__xludf.DUMMYFUNCTION("""COMPUTED_VALUE"""),"Gagal")</f>
        <v>Gagal</v>
      </c>
      <c r="AG207" s="285"/>
      <c r="AH207" s="287"/>
      <c r="AI207" s="285"/>
      <c r="AJ207" s="289"/>
      <c r="AK207" s="285" t="str">
        <f>IFERROR(__xludf.DUMMYFUNCTION("""COMPUTED_VALUE"""),"hanya menyapa")</f>
        <v>hanya menyapa</v>
      </c>
    </row>
    <row r="208"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B208" s="285" t="str">
        <f>IFERROR(__xludf.DUMMYFUNCTION("""COMPUTED_VALUE"""),"2606H077")</f>
        <v>2606H077</v>
      </c>
      <c r="AC208" s="286">
        <f>IFERROR(__xludf.DUMMYFUNCTION("""COMPUTED_VALUE"""),46202.0)</f>
        <v>46202</v>
      </c>
      <c r="AD208" s="285" t="str">
        <f>IFERROR(__xludf.DUMMYFUNCTION("""COMPUTED_VALUE"""),"Ashok")</f>
        <v>Ashok</v>
      </c>
      <c r="AE208" s="285" t="str">
        <f>IFERROR(__xludf.DUMMYFUNCTION("""COMPUTED_VALUE"""),"089684005241")</f>
        <v>089684005241</v>
      </c>
      <c r="AF208" s="285" t="str">
        <f>IFERROR(__xludf.DUMMYFUNCTION("""COMPUTED_VALUE"""),"Gagal")</f>
        <v>Gagal</v>
      </c>
      <c r="AG208" s="285" t="str">
        <f>IFERROR(__xludf.DUMMYFUNCTION("""COMPUTED_VALUE"""),"ot kawah ijen")</f>
        <v>ot kawah ijen</v>
      </c>
      <c r="AH208" s="287">
        <f>IFERROR(__xludf.DUMMYFUNCTION("""COMPUTED_VALUE"""),46218.0)</f>
        <v>46218</v>
      </c>
      <c r="AI208" s="285">
        <f>IFERROR(__xludf.DUMMYFUNCTION("""COMPUTED_VALUE"""),4.0)</f>
        <v>4</v>
      </c>
      <c r="AJ208" s="289">
        <f>IFERROR(__xludf.DUMMYFUNCTION("""COMPUTED_VALUE"""),1000000.0)</f>
        <v>1000000</v>
      </c>
      <c r="AK208" s="285" t="str">
        <f>IFERROR(__xludf.DUMMYFUNCTION("""COMPUTED_VALUE"""),"ga ada balasan")</f>
        <v>ga ada balasan</v>
      </c>
    </row>
    <row r="209"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B209" s="285" t="str">
        <f>IFERROR(__xludf.DUMMYFUNCTION("""COMPUTED_VALUE"""),"2606H079")</f>
        <v>2606H079</v>
      </c>
      <c r="AC209" s="286">
        <f>IFERROR(__xludf.DUMMYFUNCTION("""COMPUTED_VALUE"""),46203.0)</f>
        <v>46203</v>
      </c>
      <c r="AD209" s="285" t="str">
        <f>IFERROR(__xludf.DUMMYFUNCTION("""COMPUTED_VALUE"""),"DW")</f>
        <v>DW</v>
      </c>
      <c r="AE209" s="285" t="str">
        <f>IFERROR(__xludf.DUMMYFUNCTION("""COMPUTED_VALUE"""),"0895385148361")</f>
        <v>0895385148361</v>
      </c>
      <c r="AF209" s="285" t="str">
        <f>IFERROR(__xludf.DUMMYFUNCTION("""COMPUTED_VALUE"""),"Gagal")</f>
        <v>Gagal</v>
      </c>
      <c r="AG209" s="285"/>
      <c r="AH209" s="287"/>
      <c r="AI209" s="285"/>
      <c r="AJ209" s="289"/>
      <c r="AK209" s="285" t="str">
        <f>IFERROR(__xludf.DUMMYFUNCTION("""COMPUTED_VALUE"""),"transportasi tidak ada")</f>
        <v>transportasi tidak ada</v>
      </c>
    </row>
    <row r="210"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  <c r="AB210" s="285" t="str">
        <f>IFERROR(__xludf.DUMMYFUNCTION("""COMPUTED_VALUE"""),"2606H080")</f>
        <v>2606H080</v>
      </c>
      <c r="AC210" s="286">
        <f>IFERROR(__xludf.DUMMYFUNCTION("""COMPUTED_VALUE"""),46203.0)</f>
        <v>46203</v>
      </c>
      <c r="AD210" s="285" t="str">
        <f>IFERROR(__xludf.DUMMYFUNCTION("""COMPUTED_VALUE"""),"URM")</f>
        <v>URM</v>
      </c>
      <c r="AE210" s="285" t="str">
        <f>IFERROR(__xludf.DUMMYFUNCTION("""COMPUTED_VALUE"""),"081514089980")</f>
        <v>081514089980</v>
      </c>
      <c r="AF210" s="285" t="str">
        <f>IFERROR(__xludf.DUMMYFUNCTION("""COMPUTED_VALUE"""),"Gagal")</f>
        <v>Gagal</v>
      </c>
      <c r="AG210" s="285"/>
      <c r="AH210" s="287"/>
      <c r="AI210" s="285"/>
      <c r="AJ210" s="289"/>
      <c r="AK210" s="285" t="str">
        <f>IFERROR(__xludf.DUMMYFUNCTION("""COMPUTED_VALUE"""),"gada balasan")</f>
        <v>gada balasan</v>
      </c>
    </row>
    <row r="211"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B211" s="285" t="str">
        <f>IFERROR(__xludf.DUMMYFUNCTION("""COMPUTED_VALUE"""),"2606H083")</f>
        <v>2606H083</v>
      </c>
      <c r="AC211" s="286">
        <f>IFERROR(__xludf.DUMMYFUNCTION("""COMPUTED_VALUE"""),46203.0)</f>
        <v>46203</v>
      </c>
      <c r="AD211" s="285" t="str">
        <f>IFERROR(__xludf.DUMMYFUNCTION("""COMPUTED_VALUE"""),"Etra Efendi Malin Janiah")</f>
        <v>Etra Efendi Malin Janiah</v>
      </c>
      <c r="AE211" s="285" t="str">
        <f>IFERROR(__xludf.DUMMYFUNCTION("""COMPUTED_VALUE"""),"081381809707")</f>
        <v>081381809707</v>
      </c>
      <c r="AF211" s="285" t="str">
        <f>IFERROR(__xludf.DUMMYFUNCTION("""COMPUTED_VALUE"""),"Gagal")</f>
        <v>Gagal</v>
      </c>
      <c r="AG211" s="285" t="str">
        <f>IFERROR(__xludf.DUMMYFUNCTION("""COMPUTED_VALUE"""),"ijen")</f>
        <v>ijen</v>
      </c>
      <c r="AH211" s="287">
        <f>IFERROR(__xludf.DUMMYFUNCTION("""COMPUTED_VALUE"""),46204.0)</f>
        <v>46204</v>
      </c>
      <c r="AI211" s="285">
        <f>IFERROR(__xludf.DUMMYFUNCTION("""COMPUTED_VALUE"""),1.0)</f>
        <v>1</v>
      </c>
      <c r="AJ211" s="289">
        <f>IFERROR(__xludf.DUMMYFUNCTION("""COMPUTED_VALUE"""),250000.0)</f>
        <v>250000</v>
      </c>
      <c r="AK211" s="285" t="str">
        <f>IFERROR(__xludf.DUMMYFUNCTION("""COMPUTED_VALUE"""),"waktunya tidak tepat")</f>
        <v>waktunya tidak tepat</v>
      </c>
    </row>
    <row r="212"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B212" s="285" t="str">
        <f>IFERROR(__xludf.DUMMYFUNCTION("""COMPUTED_VALUE"""),"2607H001")</f>
        <v>2607H001</v>
      </c>
      <c r="AC212" s="286">
        <f>IFERROR(__xludf.DUMMYFUNCTION("""COMPUTED_VALUE"""),46204.0)</f>
        <v>46204</v>
      </c>
      <c r="AD212" s="285" t="str">
        <f>IFERROR(__xludf.DUMMYFUNCTION("""COMPUTED_VALUE"""),"Anisa Yasila")</f>
        <v>Anisa Yasila</v>
      </c>
      <c r="AE212" s="285" t="str">
        <f>IFERROR(__xludf.DUMMYFUNCTION("""COMPUTED_VALUE"""),"085859511658")</f>
        <v>085859511658</v>
      </c>
      <c r="AF212" s="285" t="str">
        <f>IFERROR(__xludf.DUMMYFUNCTION("""COMPUTED_VALUE"""),"Gagal")</f>
        <v>Gagal</v>
      </c>
      <c r="AG212" s="285" t="str">
        <f>IFERROR(__xludf.DUMMYFUNCTION("""COMPUTED_VALUE"""),"mt dan ijen")</f>
        <v>mt dan ijen</v>
      </c>
      <c r="AH212" s="287"/>
      <c r="AI212" s="285"/>
      <c r="AJ212" s="289"/>
      <c r="AK212" s="285" t="str">
        <f>IFERROR(__xludf.DUMMYFUNCTION("""COMPUTED_VALUE"""),"gada balasan")</f>
        <v>gada balasan</v>
      </c>
    </row>
    <row r="213"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B213" s="285" t="str">
        <f>IFERROR(__xludf.DUMMYFUNCTION("""COMPUTED_VALUE"""),"2607H002")</f>
        <v>2607H002</v>
      </c>
      <c r="AC213" s="286">
        <f>IFERROR(__xludf.DUMMYFUNCTION("""COMPUTED_VALUE"""),46204.0)</f>
        <v>46204</v>
      </c>
      <c r="AD213" s="285" t="str">
        <f>IFERROR(__xludf.DUMMYFUNCTION("""COMPUTED_VALUE"""),"elyn")</f>
        <v>elyn</v>
      </c>
      <c r="AE213" s="285" t="str">
        <f>IFERROR(__xludf.DUMMYFUNCTION("""COMPUTED_VALUE"""),"08129594635")</f>
        <v>08129594635</v>
      </c>
      <c r="AF213" s="285" t="str">
        <f>IFERROR(__xludf.DUMMYFUNCTION("""COMPUTED_VALUE"""),"Gagal")</f>
        <v>Gagal</v>
      </c>
      <c r="AG213" s="285"/>
      <c r="AH213" s="287"/>
      <c r="AI213" s="285"/>
      <c r="AJ213" s="289"/>
      <c r="AK213" s="285" t="str">
        <f>IFERROR(__xludf.DUMMYFUNCTION("""COMPUTED_VALUE"""),"gada balasan")</f>
        <v>gada balasan</v>
      </c>
    </row>
    <row r="214"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B214" s="285" t="str">
        <f>IFERROR(__xludf.DUMMYFUNCTION("""COMPUTED_VALUE"""),"2607H003")</f>
        <v>2607H003</v>
      </c>
      <c r="AC214" s="286">
        <f>IFERROR(__xludf.DUMMYFUNCTION("""COMPUTED_VALUE"""),46204.0)</f>
        <v>46204</v>
      </c>
      <c r="AD214" s="285" t="str">
        <f>IFERROR(__xludf.DUMMYFUNCTION("""COMPUTED_VALUE"""),"Slamet Wardoyo")</f>
        <v>Slamet Wardoyo</v>
      </c>
      <c r="AE214" s="285" t="str">
        <f>IFERROR(__xludf.DUMMYFUNCTION("""COMPUTED_VALUE"""),"08111526846")</f>
        <v>08111526846</v>
      </c>
      <c r="AF214" s="285" t="str">
        <f>IFERROR(__xludf.DUMMYFUNCTION("""COMPUTED_VALUE"""),"Gagal")</f>
        <v>Gagal</v>
      </c>
      <c r="AG214" s="285" t="str">
        <f>IFERROR(__xludf.DUMMYFUNCTION("""COMPUTED_VALUE"""),"mt")</f>
        <v>mt</v>
      </c>
      <c r="AH214" s="287">
        <f>IFERROR(__xludf.DUMMYFUNCTION("""COMPUTED_VALUE"""),46207.0)</f>
        <v>46207</v>
      </c>
      <c r="AI214" s="285">
        <f>IFERROR(__xludf.DUMMYFUNCTION("""COMPUTED_VALUE"""),5.0)</f>
        <v>5</v>
      </c>
      <c r="AJ214" s="289"/>
      <c r="AK214" s="285" t="str">
        <f>IFERROR(__xludf.DUMMYFUNCTION("""COMPUTED_VALUE"""),"slot kapal full booked")</f>
        <v>slot kapal full booked</v>
      </c>
    </row>
    <row r="215"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B215" s="285" t="str">
        <f>IFERROR(__xludf.DUMMYFUNCTION("""COMPUTED_VALUE"""),"2607H004")</f>
        <v>2607H004</v>
      </c>
      <c r="AC215" s="286">
        <f>IFERROR(__xludf.DUMMYFUNCTION("""COMPUTED_VALUE"""),46204.0)</f>
        <v>46204</v>
      </c>
      <c r="AD215" s="285" t="str">
        <f>IFERROR(__xludf.DUMMYFUNCTION("""COMPUTED_VALUE"""),"Tarra")</f>
        <v>Tarra</v>
      </c>
      <c r="AE215" s="285" t="str">
        <f>IFERROR(__xludf.DUMMYFUNCTION("""COMPUTED_VALUE"""),"087884963330")</f>
        <v>087884963330</v>
      </c>
      <c r="AF215" s="285" t="str">
        <f>IFERROR(__xludf.DUMMYFUNCTION("""COMPUTED_VALUE"""),"Gagal")</f>
        <v>Gagal</v>
      </c>
      <c r="AG215" s="285" t="str">
        <f>IFERROR(__xludf.DUMMYFUNCTION("""COMPUTED_VALUE"""),"mt ijen")</f>
        <v>mt ijen</v>
      </c>
      <c r="AH215" s="287"/>
      <c r="AI215" s="285">
        <f>IFERROR(__xludf.DUMMYFUNCTION("""COMPUTED_VALUE"""),1.0)</f>
        <v>1</v>
      </c>
      <c r="AJ215" s="289"/>
      <c r="AK215" s="285" t="str">
        <f>IFERROR(__xludf.DUMMYFUNCTION("""COMPUTED_VALUE"""),"gada balasan")</f>
        <v>gada balasan</v>
      </c>
    </row>
    <row r="216"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B216" s="285" t="str">
        <f>IFERROR(__xludf.DUMMYFUNCTION("""COMPUTED_VALUE"""),"2607H007")</f>
        <v>2607H007</v>
      </c>
      <c r="AC216" s="286">
        <f>IFERROR(__xludf.DUMMYFUNCTION("""COMPUTED_VALUE"""),46205.0)</f>
        <v>46205</v>
      </c>
      <c r="AD216" s="285" t="str">
        <f>IFERROR(__xludf.DUMMYFUNCTION("""COMPUTED_VALUE"""),"Saif")</f>
        <v>Saif</v>
      </c>
      <c r="AE216" s="285" t="str">
        <f>IFERROR(__xludf.DUMMYFUNCTION("""COMPUTED_VALUE"""),"085259955829")</f>
        <v>085259955829</v>
      </c>
      <c r="AF216" s="285" t="str">
        <f>IFERROR(__xludf.DUMMYFUNCTION("""COMPUTED_VALUE"""),"Gagal")</f>
        <v>Gagal</v>
      </c>
      <c r="AG216" s="285" t="str">
        <f>IFERROR(__xludf.DUMMYFUNCTION("""COMPUTED_VALUE"""),"2D")</f>
        <v>2D</v>
      </c>
      <c r="AH216" s="287"/>
      <c r="AI216" s="285"/>
      <c r="AJ216" s="289"/>
      <c r="AK216" s="285" t="str">
        <f>IFERROR(__xludf.DUMMYFUNCTION("""COMPUTED_VALUE"""),"blm ada kelanjutan ")</f>
        <v>blm ada kelanjutan </v>
      </c>
    </row>
    <row r="217"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B217" s="285" t="str">
        <f>IFERROR(__xludf.DUMMYFUNCTION("""COMPUTED_VALUE"""),"2607H009")</f>
        <v>2607H009</v>
      </c>
      <c r="AC217" s="286">
        <f>IFERROR(__xludf.DUMMYFUNCTION("""COMPUTED_VALUE"""),46206.0)</f>
        <v>46206</v>
      </c>
      <c r="AD217" s="285" t="str">
        <f>IFERROR(__xludf.DUMMYFUNCTION("""COMPUTED_VALUE"""),"Fifit")</f>
        <v>Fifit</v>
      </c>
      <c r="AE217" s="285" t="str">
        <f>IFERROR(__xludf.DUMMYFUNCTION("""COMPUTED_VALUE"""),"081905026305")</f>
        <v>081905026305</v>
      </c>
      <c r="AF217" s="285" t="str">
        <f>IFERROR(__xludf.DUMMYFUNCTION("""COMPUTED_VALUE"""),"Gagal")</f>
        <v>Gagal</v>
      </c>
      <c r="AG217" s="285" t="str">
        <f>IFERROR(__xludf.DUMMYFUNCTION("""COMPUTED_VALUE"""),"ot 3h2m")</f>
        <v>ot 3h2m</v>
      </c>
      <c r="AH217" s="287"/>
      <c r="AI217" s="285">
        <f>IFERROR(__xludf.DUMMYFUNCTION("""COMPUTED_VALUE"""),2.0)</f>
        <v>2</v>
      </c>
      <c r="AJ217" s="289"/>
      <c r="AK217" s="285" t="str">
        <f>IFERROR(__xludf.DUMMYFUNCTION("""COMPUTED_VALUE"""),"ga kasi alasan gagal")</f>
        <v>ga kasi alasan gagal</v>
      </c>
    </row>
    <row r="218"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B218" s="285" t="str">
        <f>IFERROR(__xludf.DUMMYFUNCTION("""COMPUTED_VALUE"""),"2607H010")</f>
        <v>2607H010</v>
      </c>
      <c r="AC218" s="286">
        <f>IFERROR(__xludf.DUMMYFUNCTION("""COMPUTED_VALUE"""),46207.0)</f>
        <v>46207</v>
      </c>
      <c r="AD218" s="285" t="str">
        <f>IFERROR(__xludf.DUMMYFUNCTION("""COMPUTED_VALUE"""),"Wildan")</f>
        <v>Wildan</v>
      </c>
      <c r="AE218" s="285" t="str">
        <f>IFERROR(__xludf.DUMMYFUNCTION("""COMPUTED_VALUE"""),"087785913322")</f>
        <v>087785913322</v>
      </c>
      <c r="AF218" s="285" t="str">
        <f>IFERROR(__xludf.DUMMYFUNCTION("""COMPUTED_VALUE"""),"Gagal")</f>
        <v>Gagal</v>
      </c>
      <c r="AG218" s="285" t="str">
        <f>IFERROR(__xludf.DUMMYFUNCTION("""COMPUTED_VALUE"""),"pulau merah, green island")</f>
        <v>pulau merah, green island</v>
      </c>
      <c r="AH218" s="287"/>
      <c r="AI218" s="285">
        <f>IFERROR(__xludf.DUMMYFUNCTION("""COMPUTED_VALUE"""),10.0)</f>
        <v>10</v>
      </c>
      <c r="AJ218" s="289"/>
      <c r="AK218" s="285" t="str">
        <f>IFERROR(__xludf.DUMMYFUNCTION("""COMPUTED_VALUE"""),"ga ada balasan")</f>
        <v>ga ada balasan</v>
      </c>
    </row>
    <row r="219"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B219" s="285" t="str">
        <f>IFERROR(__xludf.DUMMYFUNCTION("""COMPUTED_VALUE"""),"2607H014")</f>
        <v>2607H014</v>
      </c>
      <c r="AC219" s="286">
        <f>IFERROR(__xludf.DUMMYFUNCTION("""COMPUTED_VALUE"""),46209.0)</f>
        <v>46209</v>
      </c>
      <c r="AD219" s="285" t="str">
        <f>IFERROR(__xludf.DUMMYFUNCTION("""COMPUTED_VALUE"""),"Rudi Setiawan")</f>
        <v>Rudi Setiawan</v>
      </c>
      <c r="AE219" s="285" t="str">
        <f>IFERROR(__xludf.DUMMYFUNCTION("""COMPUTED_VALUE"""),"08129691597")</f>
        <v>08129691597</v>
      </c>
      <c r="AF219" s="285" t="str">
        <f>IFERROR(__xludf.DUMMYFUNCTION("""COMPUTED_VALUE"""),"Gagal")</f>
        <v>Gagal</v>
      </c>
      <c r="AG219" s="285" t="str">
        <f>IFERROR(__xludf.DUMMYFUNCTION("""COMPUTED_VALUE"""),"2h1m")</f>
        <v>2h1m</v>
      </c>
      <c r="AH219" s="287"/>
      <c r="AI219" s="285"/>
      <c r="AJ219" s="289"/>
      <c r="AK219" s="285" t="str">
        <f>IFERROR(__xludf.DUMMYFUNCTION("""COMPUTED_VALUE"""),"ga ada balasan")</f>
        <v>ga ada balasan</v>
      </c>
    </row>
    <row r="220"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B220" s="285" t="str">
        <f>IFERROR(__xludf.DUMMYFUNCTION("""COMPUTED_VALUE"""),"2607H018")</f>
        <v>2607H018</v>
      </c>
      <c r="AC220" s="286">
        <f>IFERROR(__xludf.DUMMYFUNCTION("""COMPUTED_VALUE"""),46212.0)</f>
        <v>46212</v>
      </c>
      <c r="AD220" s="285" t="str">
        <f>IFERROR(__xludf.DUMMYFUNCTION("""COMPUTED_VALUE"""),"Lukman")</f>
        <v>Lukman</v>
      </c>
      <c r="AE220" s="285" t="str">
        <f>IFERROR(__xludf.DUMMYFUNCTION("""COMPUTED_VALUE"""),"087855815777")</f>
        <v>087855815777</v>
      </c>
      <c r="AF220" s="285" t="str">
        <f>IFERROR(__xludf.DUMMYFUNCTION("""COMPUTED_VALUE"""),"Gagal")</f>
        <v>Gagal</v>
      </c>
      <c r="AG220" s="285"/>
      <c r="AH220" s="287"/>
      <c r="AI220" s="285"/>
      <c r="AJ220" s="289"/>
      <c r="AK220" s="285" t="str">
        <f>IFERROR(__xludf.DUMMYFUNCTION("""COMPUTED_VALUE"""),"ga ada balasan")</f>
        <v>ga ada balasan</v>
      </c>
    </row>
    <row r="221"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B221" s="285" t="str">
        <f>IFERROR(__xludf.DUMMYFUNCTION("""COMPUTED_VALUE"""),"2607H020")</f>
        <v>2607H020</v>
      </c>
      <c r="AC221" s="286">
        <f>IFERROR(__xludf.DUMMYFUNCTION("""COMPUTED_VALUE"""),46212.0)</f>
        <v>46212</v>
      </c>
      <c r="AD221" s="285" t="str">
        <f>IFERROR(__xludf.DUMMYFUNCTION("""COMPUTED_VALUE"""),"Astuti Nurwidiyanti")</f>
        <v>Astuti Nurwidiyanti</v>
      </c>
      <c r="AE221" s="285" t="str">
        <f>IFERROR(__xludf.DUMMYFUNCTION("""COMPUTED_VALUE"""),"0818119143")</f>
        <v>0818119143</v>
      </c>
      <c r="AF221" s="285" t="str">
        <f>IFERROR(__xludf.DUMMYFUNCTION("""COMPUTED_VALUE"""),"Gagal")</f>
        <v>Gagal</v>
      </c>
      <c r="AG221" s="285"/>
      <c r="AH221" s="287"/>
      <c r="AI221" s="285"/>
      <c r="AJ221" s="289"/>
      <c r="AK221" s="285" t="str">
        <f>IFERROR(__xludf.DUMMYFUNCTION("""COMPUTED_VALUE"""),"ga ada balasan")</f>
        <v>ga ada balasan</v>
      </c>
    </row>
    <row r="222"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B222" s="285" t="str">
        <f>IFERROR(__xludf.DUMMYFUNCTION("""COMPUTED_VALUE"""),"2607H023")</f>
        <v>2607H023</v>
      </c>
      <c r="AC222" s="286">
        <f>IFERROR(__xludf.DUMMYFUNCTION("""COMPUTED_VALUE"""),46215.0)</f>
        <v>46215</v>
      </c>
      <c r="AD222" s="285" t="str">
        <f>IFERROR(__xludf.DUMMYFUNCTION("""COMPUTED_VALUE"""),"Putri")</f>
        <v>Putri</v>
      </c>
      <c r="AE222" s="285" t="str">
        <f>IFERROR(__xludf.DUMMYFUNCTION("""COMPUTED_VALUE"""),"085331277118")</f>
        <v>085331277118</v>
      </c>
      <c r="AF222" s="285" t="str">
        <f>IFERROR(__xludf.DUMMYFUNCTION("""COMPUTED_VALUE"""),"Gagal")</f>
        <v>Gagal</v>
      </c>
      <c r="AG222" s="285" t="str">
        <f>IFERROR(__xludf.DUMMYFUNCTION("""COMPUTED_VALUE"""),"green island")</f>
        <v>green island</v>
      </c>
      <c r="AH222" s="287"/>
      <c r="AI222" s="285"/>
      <c r="AJ222" s="289"/>
      <c r="AK222" s="285" t="str">
        <f>IFERROR(__xludf.DUMMYFUNCTION("""COMPUTED_VALUE"""),"gagal tidak ada balasan")</f>
        <v>gagal tidak ada balasan</v>
      </c>
    </row>
    <row r="223"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B223" s="285" t="str">
        <f>IFERROR(__xludf.DUMMYFUNCTION("""COMPUTED_VALUE"""),"2607H024")</f>
        <v>2607H024</v>
      </c>
      <c r="AC223" s="286">
        <f>IFERROR(__xludf.DUMMYFUNCTION("""COMPUTED_VALUE"""),46218.0)</f>
        <v>46218</v>
      </c>
      <c r="AD223" s="285" t="str">
        <f>IFERROR(__xludf.DUMMYFUNCTION("""COMPUTED_VALUE"""),"Ingrid")</f>
        <v>Ingrid</v>
      </c>
      <c r="AE223" s="285" t="str">
        <f>IFERROR(__xludf.DUMMYFUNCTION("""COMPUTED_VALUE"""),"081311041396")</f>
        <v>081311041396</v>
      </c>
      <c r="AF223" s="285" t="str">
        <f>IFERROR(__xludf.DUMMYFUNCTION("""COMPUTED_VALUE"""),"Gagal")</f>
        <v>Gagal</v>
      </c>
      <c r="AG223" s="285" t="str">
        <f>IFERROR(__xludf.DUMMYFUNCTION("""COMPUTED_VALUE"""),"4h3m custome")</f>
        <v>4h3m custome</v>
      </c>
      <c r="AH223" s="287"/>
      <c r="AI223" s="285"/>
      <c r="AJ223" s="289"/>
      <c r="AK223" s="285" t="str">
        <f>IFERROR(__xludf.DUMMYFUNCTION("""COMPUTED_VALUE"""),"tiket liburan mahal lebih murah ke bali")</f>
        <v>tiket liburan mahal lebih murah ke bali</v>
      </c>
    </row>
    <row r="224"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B224" s="285" t="str">
        <f>IFERROR(__xludf.DUMMYFUNCTION("""COMPUTED_VALUE"""),"2607H027")</f>
        <v>2607H027</v>
      </c>
      <c r="AC224" s="286">
        <f>IFERROR(__xludf.DUMMYFUNCTION("""COMPUTED_VALUE"""),46222.0)</f>
        <v>46222</v>
      </c>
      <c r="AD224" s="285" t="str">
        <f>IFERROR(__xludf.DUMMYFUNCTION("""COMPUTED_VALUE"""),"Risma")</f>
        <v>Risma</v>
      </c>
      <c r="AE224" s="285" t="str">
        <f>IFERROR(__xludf.DUMMYFUNCTION("""COMPUTED_VALUE"""),"085255829904")</f>
        <v>085255829904</v>
      </c>
      <c r="AF224" s="285" t="str">
        <f>IFERROR(__xludf.DUMMYFUNCTION("""COMPUTED_VALUE"""),"Gagal")</f>
        <v>Gagal</v>
      </c>
      <c r="AG224" s="285" t="str">
        <f>IFERROR(__xludf.DUMMYFUNCTION("""COMPUTED_VALUE"""),"Pulau merah")</f>
        <v>Pulau merah</v>
      </c>
      <c r="AH224" s="287">
        <f>IFERROR(__xludf.DUMMYFUNCTION("""COMPUTED_VALUE"""),46227.0)</f>
        <v>46227</v>
      </c>
      <c r="AI224" s="285">
        <f>IFERROR(__xludf.DUMMYFUNCTION("""COMPUTED_VALUE"""),2.0)</f>
        <v>2</v>
      </c>
      <c r="AJ224" s="289">
        <f>IFERROR(__xludf.DUMMYFUNCTION("""COMPUTED_VALUE"""),900000.0)</f>
        <v>900000</v>
      </c>
      <c r="AK224" s="285" t="str">
        <f>IFERROR(__xludf.DUMMYFUNCTION("""COMPUTED_VALUE"""),"gagal tidak dapat cuti")</f>
        <v>gagal tidak dapat cuti</v>
      </c>
    </row>
    <row r="225"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B225" s="285"/>
      <c r="AC225" s="285"/>
      <c r="AD225" s="285"/>
      <c r="AE225" s="285"/>
      <c r="AF225" s="285"/>
      <c r="AG225" s="285"/>
      <c r="AH225" s="285"/>
      <c r="AI225" s="285"/>
      <c r="AJ225" s="285"/>
      <c r="AK225" s="285"/>
    </row>
    <row r="226"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  <c r="AB226" s="285"/>
      <c r="AC226" s="285"/>
      <c r="AD226" s="285"/>
      <c r="AE226" s="285"/>
      <c r="AF226" s="285"/>
      <c r="AG226" s="285"/>
      <c r="AH226" s="285"/>
      <c r="AI226" s="285"/>
      <c r="AJ226" s="285"/>
      <c r="AK226" s="285"/>
    </row>
    <row r="227"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B227" s="285"/>
      <c r="AC227" s="285"/>
      <c r="AD227" s="285"/>
      <c r="AE227" s="285"/>
      <c r="AF227" s="285"/>
      <c r="AG227" s="285"/>
      <c r="AH227" s="285"/>
      <c r="AI227" s="285"/>
      <c r="AJ227" s="285"/>
      <c r="AK227" s="285"/>
    </row>
    <row r="228"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B228" s="285"/>
      <c r="AC228" s="285"/>
      <c r="AD228" s="285"/>
      <c r="AE228" s="285"/>
      <c r="AF228" s="285"/>
      <c r="AG228" s="285"/>
      <c r="AH228" s="285"/>
      <c r="AI228" s="285"/>
      <c r="AJ228" s="285"/>
      <c r="AK228" s="285"/>
    </row>
    <row r="229"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B229" s="285"/>
      <c r="AC229" s="285"/>
      <c r="AD229" s="285"/>
      <c r="AE229" s="285"/>
      <c r="AF229" s="285"/>
      <c r="AG229" s="285"/>
      <c r="AH229" s="285"/>
      <c r="AI229" s="285"/>
      <c r="AJ229" s="285"/>
      <c r="AK229" s="285"/>
    </row>
    <row r="230"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B230" s="285"/>
      <c r="AC230" s="285"/>
      <c r="AD230" s="285"/>
      <c r="AE230" s="285"/>
      <c r="AF230" s="285"/>
      <c r="AG230" s="285"/>
      <c r="AH230" s="285"/>
      <c r="AI230" s="285"/>
      <c r="AJ230" s="285"/>
      <c r="AK230" s="285"/>
    </row>
    <row r="231"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B231" s="285"/>
      <c r="AC231" s="285"/>
      <c r="AD231" s="285"/>
      <c r="AE231" s="285"/>
      <c r="AF231" s="285"/>
      <c r="AG231" s="285"/>
      <c r="AH231" s="285"/>
      <c r="AI231" s="285"/>
      <c r="AJ231" s="285"/>
      <c r="AK231" s="285"/>
    </row>
    <row r="232"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B232" s="285"/>
      <c r="AC232" s="285"/>
      <c r="AD232" s="285"/>
      <c r="AE232" s="285"/>
      <c r="AF232" s="285"/>
      <c r="AG232" s="285"/>
      <c r="AH232" s="285"/>
      <c r="AI232" s="285"/>
      <c r="AJ232" s="285"/>
      <c r="AK232" s="285"/>
    </row>
    <row r="233"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B233" s="285"/>
      <c r="AC233" s="285"/>
      <c r="AD233" s="285"/>
      <c r="AE233" s="285"/>
      <c r="AF233" s="285"/>
      <c r="AG233" s="285"/>
      <c r="AH233" s="285"/>
      <c r="AI233" s="285"/>
      <c r="AJ233" s="285"/>
      <c r="AK233" s="285"/>
    </row>
    <row r="234"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B234" s="285"/>
      <c r="AC234" s="285"/>
      <c r="AD234" s="285"/>
      <c r="AE234" s="285"/>
      <c r="AF234" s="285"/>
      <c r="AG234" s="285"/>
      <c r="AH234" s="285"/>
      <c r="AI234" s="285"/>
      <c r="AJ234" s="285"/>
      <c r="AK234" s="285"/>
    </row>
    <row r="235"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B235" s="285"/>
      <c r="AC235" s="285"/>
      <c r="AD235" s="285"/>
      <c r="AE235" s="285"/>
      <c r="AF235" s="285"/>
      <c r="AG235" s="285"/>
      <c r="AH235" s="285"/>
      <c r="AI235" s="285"/>
      <c r="AJ235" s="285"/>
      <c r="AK235" s="285"/>
    </row>
    <row r="236"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  <c r="AB236" s="285"/>
      <c r="AC236" s="285"/>
      <c r="AD236" s="285"/>
      <c r="AE236" s="285"/>
      <c r="AF236" s="285"/>
      <c r="AG236" s="285"/>
      <c r="AH236" s="285"/>
      <c r="AI236" s="285"/>
      <c r="AJ236" s="285"/>
      <c r="AK236" s="285"/>
    </row>
    <row r="237"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B237" s="285"/>
      <c r="AC237" s="285"/>
      <c r="AD237" s="285"/>
      <c r="AE237" s="285"/>
      <c r="AF237" s="285"/>
      <c r="AG237" s="285"/>
      <c r="AH237" s="285"/>
      <c r="AI237" s="285"/>
      <c r="AJ237" s="285"/>
      <c r="AK237" s="285"/>
    </row>
    <row r="238"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B238" s="285"/>
      <c r="AC238" s="285"/>
      <c r="AD238" s="285"/>
      <c r="AE238" s="285"/>
      <c r="AF238" s="285"/>
      <c r="AG238" s="285"/>
      <c r="AH238" s="285"/>
      <c r="AI238" s="285"/>
      <c r="AJ238" s="285"/>
      <c r="AK238" s="285"/>
    </row>
    <row r="239"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B239" s="285"/>
      <c r="AC239" s="285"/>
      <c r="AD239" s="285"/>
      <c r="AE239" s="285"/>
      <c r="AF239" s="285"/>
      <c r="AG239" s="285"/>
      <c r="AH239" s="285"/>
      <c r="AI239" s="285"/>
      <c r="AJ239" s="285"/>
      <c r="AK239" s="285"/>
    </row>
    <row r="240"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B240" s="285"/>
      <c r="AC240" s="285"/>
      <c r="AD240" s="285"/>
      <c r="AE240" s="285"/>
      <c r="AF240" s="285"/>
      <c r="AG240" s="285"/>
      <c r="AH240" s="285"/>
      <c r="AI240" s="285"/>
      <c r="AJ240" s="285"/>
      <c r="AK240" s="285"/>
    </row>
    <row r="241"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B241" s="285"/>
      <c r="AC241" s="285"/>
      <c r="AD241" s="285"/>
      <c r="AE241" s="285"/>
      <c r="AF241" s="285"/>
      <c r="AG241" s="285"/>
      <c r="AH241" s="285"/>
      <c r="AI241" s="285"/>
      <c r="AJ241" s="285"/>
      <c r="AK241" s="285"/>
    </row>
    <row r="242"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B242" s="285"/>
      <c r="AC242" s="285"/>
      <c r="AD242" s="285"/>
      <c r="AE242" s="285"/>
      <c r="AF242" s="285"/>
      <c r="AG242" s="285"/>
      <c r="AH242" s="285"/>
      <c r="AI242" s="285"/>
      <c r="AJ242" s="285"/>
      <c r="AK242" s="285"/>
    </row>
    <row r="243"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B243" s="285"/>
      <c r="AC243" s="285"/>
      <c r="AD243" s="285"/>
      <c r="AE243" s="285"/>
      <c r="AF243" s="285"/>
      <c r="AG243" s="285"/>
      <c r="AH243" s="285"/>
      <c r="AI243" s="285"/>
      <c r="AJ243" s="285"/>
      <c r="AK243" s="285"/>
    </row>
    <row r="244"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B244" s="285"/>
      <c r="AC244" s="285"/>
      <c r="AD244" s="285"/>
      <c r="AE244" s="285"/>
      <c r="AF244" s="285"/>
      <c r="AG244" s="285"/>
      <c r="AH244" s="285"/>
      <c r="AI244" s="285"/>
      <c r="AJ244" s="285"/>
      <c r="AK244" s="285"/>
    </row>
    <row r="245"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B245" s="285"/>
      <c r="AC245" s="285"/>
      <c r="AD245" s="285"/>
      <c r="AE245" s="285"/>
      <c r="AF245" s="285"/>
      <c r="AG245" s="285"/>
      <c r="AH245" s="285"/>
      <c r="AI245" s="285"/>
      <c r="AJ245" s="285"/>
      <c r="AK245" s="285"/>
    </row>
    <row r="246"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B246" s="285"/>
      <c r="AC246" s="285"/>
      <c r="AD246" s="285"/>
      <c r="AE246" s="285"/>
      <c r="AF246" s="285"/>
      <c r="AG246" s="285"/>
      <c r="AH246" s="285"/>
      <c r="AI246" s="285"/>
      <c r="AJ246" s="285"/>
      <c r="AK246" s="285"/>
    </row>
    <row r="247"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B247" s="285"/>
      <c r="AC247" s="285"/>
      <c r="AD247" s="285"/>
      <c r="AE247" s="285"/>
      <c r="AF247" s="285"/>
      <c r="AG247" s="285"/>
      <c r="AH247" s="285"/>
      <c r="AI247" s="285"/>
      <c r="AJ247" s="285"/>
      <c r="AK247" s="285"/>
    </row>
    <row r="248"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B248" s="285"/>
      <c r="AC248" s="285"/>
      <c r="AD248" s="285"/>
      <c r="AE248" s="285"/>
      <c r="AF248" s="285"/>
      <c r="AG248" s="285"/>
      <c r="AH248" s="285"/>
      <c r="AI248" s="285"/>
      <c r="AJ248" s="285"/>
      <c r="AK248" s="285"/>
    </row>
    <row r="249"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B249" s="285"/>
      <c r="AC249" s="285"/>
      <c r="AD249" s="285"/>
      <c r="AE249" s="285"/>
      <c r="AF249" s="285"/>
      <c r="AG249" s="285"/>
      <c r="AH249" s="285"/>
      <c r="AI249" s="285"/>
      <c r="AJ249" s="285"/>
      <c r="AK249" s="285"/>
    </row>
    <row r="250"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B250" s="285"/>
      <c r="AC250" s="285"/>
      <c r="AD250" s="285"/>
      <c r="AE250" s="285"/>
      <c r="AF250" s="285"/>
      <c r="AG250" s="285"/>
      <c r="AH250" s="285"/>
      <c r="AI250" s="285"/>
      <c r="AJ250" s="285"/>
      <c r="AK250" s="285"/>
    </row>
    <row r="251"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B251" s="285"/>
      <c r="AC251" s="285"/>
      <c r="AD251" s="285"/>
      <c r="AE251" s="285"/>
      <c r="AF251" s="285"/>
      <c r="AG251" s="285"/>
      <c r="AH251" s="285"/>
      <c r="AI251" s="285"/>
      <c r="AJ251" s="285"/>
      <c r="AK251" s="285"/>
    </row>
    <row r="252"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  <c r="AB252" s="285"/>
      <c r="AC252" s="285"/>
      <c r="AD252" s="285"/>
      <c r="AE252" s="285"/>
      <c r="AF252" s="285"/>
      <c r="AG252" s="285"/>
      <c r="AH252" s="285"/>
      <c r="AI252" s="285"/>
      <c r="AJ252" s="285"/>
      <c r="AK252" s="285"/>
    </row>
    <row r="253"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B253" s="285"/>
      <c r="AC253" s="285"/>
      <c r="AD253" s="285"/>
      <c r="AE253" s="285"/>
      <c r="AF253" s="285"/>
      <c r="AG253" s="285"/>
      <c r="AH253" s="285"/>
      <c r="AI253" s="285"/>
      <c r="AJ253" s="285"/>
      <c r="AK253" s="285"/>
    </row>
    <row r="254"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B254" s="285"/>
      <c r="AC254" s="285"/>
      <c r="AD254" s="285"/>
      <c r="AE254" s="285"/>
      <c r="AF254" s="285"/>
      <c r="AG254" s="285"/>
      <c r="AH254" s="285"/>
      <c r="AI254" s="285"/>
      <c r="AJ254" s="285"/>
      <c r="AK254" s="285"/>
    </row>
    <row r="255"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B255" s="285"/>
      <c r="AC255" s="285"/>
      <c r="AD255" s="285"/>
      <c r="AE255" s="285"/>
      <c r="AF255" s="285"/>
      <c r="AG255" s="285"/>
      <c r="AH255" s="285"/>
      <c r="AI255" s="285"/>
      <c r="AJ255" s="285"/>
      <c r="AK255" s="285"/>
    </row>
    <row r="256"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B256" s="285"/>
      <c r="AC256" s="285"/>
      <c r="AD256" s="285"/>
      <c r="AE256" s="285"/>
      <c r="AF256" s="285"/>
      <c r="AG256" s="285"/>
      <c r="AH256" s="285"/>
      <c r="AI256" s="285"/>
      <c r="AJ256" s="285"/>
      <c r="AK256" s="285"/>
    </row>
    <row r="257"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B257" s="285"/>
      <c r="AC257" s="285"/>
      <c r="AD257" s="285"/>
      <c r="AE257" s="285"/>
      <c r="AF257" s="285"/>
      <c r="AG257" s="285"/>
      <c r="AH257" s="285"/>
      <c r="AI257" s="285"/>
      <c r="AJ257" s="285"/>
      <c r="AK257" s="285"/>
    </row>
    <row r="258"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  <c r="AB258" s="285"/>
      <c r="AC258" s="285"/>
      <c r="AD258" s="285"/>
      <c r="AE258" s="285"/>
      <c r="AF258" s="285"/>
      <c r="AG258" s="285"/>
      <c r="AH258" s="285"/>
      <c r="AI258" s="285"/>
      <c r="AJ258" s="285"/>
      <c r="AK258" s="285"/>
    </row>
    <row r="259"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  <c r="AB259" s="285"/>
      <c r="AC259" s="285"/>
      <c r="AD259" s="285"/>
      <c r="AE259" s="285"/>
      <c r="AF259" s="285"/>
      <c r="AG259" s="285"/>
      <c r="AH259" s="285"/>
      <c r="AI259" s="285"/>
      <c r="AJ259" s="285"/>
      <c r="AK259" s="285"/>
    </row>
    <row r="260"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B260" s="285"/>
      <c r="AC260" s="285"/>
      <c r="AD260" s="285"/>
      <c r="AE260" s="285"/>
      <c r="AF260" s="285"/>
      <c r="AG260" s="285"/>
      <c r="AH260" s="285"/>
      <c r="AI260" s="285"/>
      <c r="AJ260" s="285"/>
      <c r="AK260" s="285"/>
    </row>
    <row r="261"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B261" s="285"/>
      <c r="AC261" s="285"/>
      <c r="AD261" s="285"/>
      <c r="AE261" s="285"/>
      <c r="AF261" s="285"/>
      <c r="AG261" s="285"/>
      <c r="AH261" s="285"/>
      <c r="AI261" s="285"/>
      <c r="AJ261" s="285"/>
      <c r="AK261" s="285"/>
    </row>
    <row r="262"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B262" s="285"/>
      <c r="AC262" s="285"/>
      <c r="AD262" s="285"/>
      <c r="AE262" s="285"/>
      <c r="AF262" s="285"/>
      <c r="AG262" s="285"/>
      <c r="AH262" s="285"/>
      <c r="AI262" s="285"/>
      <c r="AJ262" s="285"/>
      <c r="AK262" s="285"/>
    </row>
    <row r="263"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  <c r="AB263" s="285"/>
      <c r="AC263" s="285"/>
      <c r="AD263" s="285"/>
      <c r="AE263" s="285"/>
      <c r="AF263" s="285"/>
      <c r="AG263" s="285"/>
      <c r="AH263" s="285"/>
      <c r="AI263" s="285"/>
      <c r="AJ263" s="285"/>
      <c r="AK263" s="285"/>
    </row>
    <row r="264"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  <c r="AB264" s="285"/>
      <c r="AC264" s="285"/>
      <c r="AD264" s="285"/>
      <c r="AE264" s="285"/>
      <c r="AF264" s="285"/>
      <c r="AG264" s="285"/>
      <c r="AH264" s="285"/>
      <c r="AI264" s="285"/>
      <c r="AJ264" s="285"/>
      <c r="AK264" s="285"/>
    </row>
    <row r="265"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B265" s="285"/>
      <c r="AC265" s="285"/>
      <c r="AD265" s="285"/>
      <c r="AE265" s="285"/>
      <c r="AF265" s="285"/>
      <c r="AG265" s="285"/>
      <c r="AH265" s="285"/>
      <c r="AI265" s="285"/>
      <c r="AJ265" s="285"/>
      <c r="AK265" s="285"/>
    </row>
    <row r="266"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B266" s="285"/>
      <c r="AC266" s="285"/>
      <c r="AD266" s="285"/>
      <c r="AE266" s="285"/>
      <c r="AF266" s="285"/>
      <c r="AG266" s="285"/>
      <c r="AH266" s="285"/>
      <c r="AI266" s="285"/>
      <c r="AJ266" s="285"/>
      <c r="AK266" s="285"/>
    </row>
    <row r="267"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  <c r="AB267" s="285"/>
      <c r="AC267" s="285"/>
      <c r="AD267" s="285"/>
      <c r="AE267" s="285"/>
      <c r="AF267" s="285"/>
      <c r="AG267" s="285"/>
      <c r="AH267" s="285"/>
      <c r="AI267" s="285"/>
      <c r="AJ267" s="285"/>
      <c r="AK267" s="285"/>
    </row>
    <row r="268"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  <c r="AB268" s="285"/>
      <c r="AC268" s="285"/>
      <c r="AD268" s="285"/>
      <c r="AE268" s="285"/>
      <c r="AF268" s="285"/>
      <c r="AG268" s="285"/>
      <c r="AH268" s="285"/>
      <c r="AI268" s="285"/>
      <c r="AJ268" s="285"/>
      <c r="AK268" s="285"/>
    </row>
    <row r="269"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  <c r="AB269" s="285"/>
      <c r="AC269" s="285"/>
      <c r="AD269" s="285"/>
      <c r="AE269" s="285"/>
      <c r="AF269" s="285"/>
      <c r="AG269" s="285"/>
      <c r="AH269" s="285"/>
      <c r="AI269" s="285"/>
      <c r="AJ269" s="285"/>
      <c r="AK269" s="285"/>
    </row>
    <row r="270"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  <c r="AB270" s="285"/>
      <c r="AC270" s="285"/>
      <c r="AD270" s="285"/>
      <c r="AE270" s="285"/>
      <c r="AF270" s="285"/>
      <c r="AG270" s="285"/>
      <c r="AH270" s="285"/>
      <c r="AI270" s="285"/>
      <c r="AJ270" s="285"/>
      <c r="AK270" s="285"/>
    </row>
    <row r="271"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  <c r="AB271" s="285"/>
      <c r="AC271" s="285"/>
      <c r="AD271" s="285"/>
      <c r="AE271" s="285"/>
      <c r="AF271" s="285"/>
      <c r="AG271" s="285"/>
      <c r="AH271" s="285"/>
      <c r="AI271" s="285"/>
      <c r="AJ271" s="285"/>
      <c r="AK271" s="285"/>
    </row>
    <row r="272"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B272" s="285"/>
      <c r="AC272" s="285"/>
      <c r="AD272" s="285"/>
      <c r="AE272" s="285"/>
      <c r="AF272" s="285"/>
      <c r="AG272" s="285"/>
      <c r="AH272" s="285"/>
      <c r="AI272" s="285"/>
      <c r="AJ272" s="285"/>
      <c r="AK272" s="285"/>
    </row>
    <row r="273"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  <c r="AB273" s="285"/>
      <c r="AC273" s="285"/>
      <c r="AD273" s="285"/>
      <c r="AE273" s="285"/>
      <c r="AF273" s="285"/>
      <c r="AG273" s="285"/>
      <c r="AH273" s="285"/>
      <c r="AI273" s="285"/>
      <c r="AJ273" s="285"/>
      <c r="AK273" s="285"/>
    </row>
    <row r="274"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  <c r="AB274" s="285"/>
      <c r="AC274" s="285"/>
      <c r="AD274" s="285"/>
      <c r="AE274" s="285"/>
      <c r="AF274" s="285"/>
      <c r="AG274" s="285"/>
      <c r="AH274" s="285"/>
      <c r="AI274" s="285"/>
      <c r="AJ274" s="285"/>
      <c r="AK274" s="285"/>
    </row>
    <row r="275"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  <c r="AB275" s="285"/>
      <c r="AC275" s="285"/>
      <c r="AD275" s="285"/>
      <c r="AE275" s="285"/>
      <c r="AF275" s="285"/>
      <c r="AG275" s="285"/>
      <c r="AH275" s="285"/>
      <c r="AI275" s="285"/>
      <c r="AJ275" s="285"/>
      <c r="AK275" s="285"/>
    </row>
    <row r="276"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B276" s="285"/>
      <c r="AC276" s="285"/>
      <c r="AD276" s="285"/>
      <c r="AE276" s="285"/>
      <c r="AF276" s="285"/>
      <c r="AG276" s="285"/>
      <c r="AH276" s="285"/>
      <c r="AI276" s="285"/>
      <c r="AJ276" s="285"/>
      <c r="AK276" s="285"/>
    </row>
    <row r="277"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B277" s="285"/>
      <c r="AC277" s="285"/>
      <c r="AD277" s="285"/>
      <c r="AE277" s="285"/>
      <c r="AF277" s="285"/>
      <c r="AG277" s="285"/>
      <c r="AH277" s="285"/>
      <c r="AI277" s="285"/>
      <c r="AJ277" s="285"/>
      <c r="AK277" s="285"/>
    </row>
    <row r="278"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  <c r="AB278" s="285"/>
      <c r="AC278" s="285"/>
      <c r="AD278" s="285"/>
      <c r="AE278" s="285"/>
      <c r="AF278" s="285"/>
      <c r="AG278" s="285"/>
      <c r="AH278" s="285"/>
      <c r="AI278" s="285"/>
      <c r="AJ278" s="285"/>
      <c r="AK278" s="285"/>
    </row>
    <row r="279"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  <c r="AB279" s="285"/>
      <c r="AC279" s="285"/>
      <c r="AD279" s="285"/>
      <c r="AE279" s="285"/>
      <c r="AF279" s="285"/>
      <c r="AG279" s="285"/>
      <c r="AH279" s="285"/>
      <c r="AI279" s="285"/>
      <c r="AJ279" s="285"/>
      <c r="AK279" s="285"/>
    </row>
    <row r="280"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B280" s="285"/>
      <c r="AC280" s="285"/>
      <c r="AD280" s="285"/>
      <c r="AE280" s="285"/>
      <c r="AF280" s="285"/>
      <c r="AG280" s="285"/>
      <c r="AH280" s="285"/>
      <c r="AI280" s="285"/>
      <c r="AJ280" s="285"/>
      <c r="AK280" s="285"/>
    </row>
    <row r="281"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  <c r="AB281" s="285"/>
      <c r="AC281" s="285"/>
      <c r="AD281" s="285"/>
      <c r="AE281" s="285"/>
      <c r="AF281" s="285"/>
      <c r="AG281" s="285"/>
      <c r="AH281" s="285"/>
      <c r="AI281" s="285"/>
      <c r="AJ281" s="285"/>
      <c r="AK281" s="285"/>
    </row>
    <row r="282"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  <c r="AB282" s="285"/>
      <c r="AC282" s="285"/>
      <c r="AD282" s="285"/>
      <c r="AE282" s="285"/>
      <c r="AF282" s="285"/>
      <c r="AG282" s="285"/>
      <c r="AH282" s="285"/>
      <c r="AI282" s="285"/>
      <c r="AJ282" s="285"/>
      <c r="AK282" s="285"/>
    </row>
    <row r="283"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  <c r="AB283" s="285"/>
      <c r="AC283" s="285"/>
      <c r="AD283" s="285"/>
      <c r="AE283" s="285"/>
      <c r="AF283" s="285"/>
      <c r="AG283" s="285"/>
      <c r="AH283" s="285"/>
      <c r="AI283" s="285"/>
      <c r="AJ283" s="285"/>
      <c r="AK283" s="285"/>
    </row>
    <row r="284"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B284" s="285"/>
      <c r="AC284" s="285"/>
      <c r="AD284" s="285"/>
      <c r="AE284" s="285"/>
      <c r="AF284" s="285"/>
      <c r="AG284" s="285"/>
      <c r="AH284" s="285"/>
      <c r="AI284" s="285"/>
      <c r="AJ284" s="285"/>
      <c r="AK284" s="285"/>
    </row>
    <row r="285"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B285" s="285"/>
      <c r="AC285" s="285"/>
      <c r="AD285" s="285"/>
      <c r="AE285" s="285"/>
      <c r="AF285" s="285"/>
      <c r="AG285" s="285"/>
      <c r="AH285" s="285"/>
      <c r="AI285" s="285"/>
      <c r="AJ285" s="285"/>
      <c r="AK285" s="285"/>
    </row>
    <row r="286"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  <c r="AB286" s="285"/>
      <c r="AC286" s="285"/>
      <c r="AD286" s="285"/>
      <c r="AE286" s="285"/>
      <c r="AF286" s="285"/>
      <c r="AG286" s="285"/>
      <c r="AH286" s="285"/>
      <c r="AI286" s="285"/>
      <c r="AJ286" s="285"/>
      <c r="AK286" s="285"/>
    </row>
    <row r="287"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  <c r="AB287" s="285"/>
      <c r="AC287" s="285"/>
      <c r="AD287" s="285"/>
      <c r="AE287" s="285"/>
      <c r="AF287" s="285"/>
      <c r="AG287" s="285"/>
      <c r="AH287" s="285"/>
      <c r="AI287" s="285"/>
      <c r="AJ287" s="285"/>
      <c r="AK287" s="285"/>
    </row>
    <row r="288"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B288" s="285"/>
      <c r="AC288" s="285"/>
      <c r="AD288" s="285"/>
      <c r="AE288" s="285"/>
      <c r="AF288" s="285"/>
      <c r="AG288" s="285"/>
      <c r="AH288" s="285"/>
      <c r="AI288" s="285"/>
      <c r="AJ288" s="285"/>
      <c r="AK288" s="285"/>
    </row>
    <row r="289"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  <c r="AB289" s="285"/>
      <c r="AC289" s="285"/>
      <c r="AD289" s="285"/>
      <c r="AE289" s="285"/>
      <c r="AF289" s="285"/>
      <c r="AG289" s="285"/>
      <c r="AH289" s="285"/>
      <c r="AI289" s="285"/>
      <c r="AJ289" s="285"/>
      <c r="AK289" s="285"/>
    </row>
    <row r="290"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  <c r="AB290" s="285"/>
      <c r="AC290" s="285"/>
      <c r="AD290" s="285"/>
      <c r="AE290" s="285"/>
      <c r="AF290" s="285"/>
      <c r="AG290" s="285"/>
      <c r="AH290" s="285"/>
      <c r="AI290" s="285"/>
      <c r="AJ290" s="285"/>
      <c r="AK290" s="285"/>
    </row>
    <row r="291"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  <c r="AB291" s="285"/>
      <c r="AC291" s="285"/>
      <c r="AD291" s="285"/>
      <c r="AE291" s="285"/>
      <c r="AF291" s="285"/>
      <c r="AG291" s="285"/>
      <c r="AH291" s="285"/>
      <c r="AI291" s="285"/>
      <c r="AJ291" s="285"/>
      <c r="AK291" s="285"/>
    </row>
    <row r="292"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  <c r="AB292" s="285"/>
      <c r="AC292" s="285"/>
      <c r="AD292" s="285"/>
      <c r="AE292" s="285"/>
      <c r="AF292" s="285"/>
      <c r="AG292" s="285"/>
      <c r="AH292" s="285"/>
      <c r="AI292" s="285"/>
      <c r="AJ292" s="285"/>
      <c r="AK292" s="285"/>
    </row>
    <row r="293"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  <c r="AB293" s="285"/>
      <c r="AC293" s="285"/>
      <c r="AD293" s="285"/>
      <c r="AE293" s="285"/>
      <c r="AF293" s="285"/>
      <c r="AG293" s="285"/>
      <c r="AH293" s="285"/>
      <c r="AI293" s="285"/>
      <c r="AJ293" s="285"/>
      <c r="AK293" s="285"/>
    </row>
    <row r="294"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  <c r="AB294" s="285"/>
      <c r="AC294" s="285"/>
      <c r="AD294" s="285"/>
      <c r="AE294" s="285"/>
      <c r="AF294" s="285"/>
      <c r="AG294" s="285"/>
      <c r="AH294" s="285"/>
      <c r="AI294" s="285"/>
      <c r="AJ294" s="285"/>
      <c r="AK294" s="285"/>
    </row>
    <row r="295"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  <c r="AB295" s="285"/>
      <c r="AC295" s="285"/>
      <c r="AD295" s="285"/>
      <c r="AE295" s="285"/>
      <c r="AF295" s="285"/>
      <c r="AG295" s="285"/>
      <c r="AH295" s="285"/>
      <c r="AI295" s="285"/>
      <c r="AJ295" s="285"/>
      <c r="AK295" s="285"/>
    </row>
    <row r="296"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  <c r="AB296" s="285"/>
      <c r="AC296" s="285"/>
      <c r="AD296" s="285"/>
      <c r="AE296" s="285"/>
      <c r="AF296" s="285"/>
      <c r="AG296" s="285"/>
      <c r="AH296" s="285"/>
      <c r="AI296" s="285"/>
      <c r="AJ296" s="285"/>
      <c r="AK296" s="285"/>
    </row>
    <row r="297"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  <c r="AB297" s="285"/>
      <c r="AC297" s="285"/>
      <c r="AD297" s="285"/>
      <c r="AE297" s="285"/>
      <c r="AF297" s="285"/>
      <c r="AG297" s="285"/>
      <c r="AH297" s="285"/>
      <c r="AI297" s="285"/>
      <c r="AJ297" s="285"/>
      <c r="AK297" s="285"/>
    </row>
    <row r="298"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  <c r="AB298" s="285"/>
      <c r="AC298" s="285"/>
      <c r="AD298" s="285"/>
      <c r="AE298" s="285"/>
      <c r="AF298" s="285"/>
      <c r="AG298" s="285"/>
      <c r="AH298" s="285"/>
      <c r="AI298" s="285"/>
      <c r="AJ298" s="285"/>
      <c r="AK298" s="285"/>
    </row>
    <row r="299"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  <c r="AB299" s="285"/>
      <c r="AC299" s="285"/>
      <c r="AD299" s="285"/>
      <c r="AE299" s="285"/>
      <c r="AF299" s="285"/>
      <c r="AG299" s="285"/>
      <c r="AH299" s="285"/>
      <c r="AI299" s="285"/>
      <c r="AJ299" s="285"/>
      <c r="AK299" s="285"/>
    </row>
    <row r="300"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  <c r="AB300" s="285"/>
      <c r="AC300" s="285"/>
      <c r="AD300" s="285"/>
      <c r="AE300" s="285"/>
      <c r="AF300" s="285"/>
      <c r="AG300" s="285"/>
      <c r="AH300" s="285"/>
      <c r="AI300" s="285"/>
      <c r="AJ300" s="285"/>
      <c r="AK300" s="285"/>
    </row>
    <row r="301"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  <c r="AB301" s="285"/>
      <c r="AC301" s="285"/>
      <c r="AD301" s="285"/>
      <c r="AE301" s="285"/>
      <c r="AF301" s="285"/>
      <c r="AG301" s="285"/>
      <c r="AH301" s="285"/>
      <c r="AI301" s="285"/>
      <c r="AJ301" s="285"/>
      <c r="AK301" s="285"/>
    </row>
    <row r="302"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  <c r="AB302" s="285"/>
      <c r="AC302" s="285"/>
      <c r="AD302" s="285"/>
      <c r="AE302" s="285"/>
      <c r="AF302" s="285"/>
      <c r="AG302" s="285"/>
      <c r="AH302" s="285"/>
      <c r="AI302" s="285"/>
      <c r="AJ302" s="285"/>
      <c r="AK302" s="285"/>
    </row>
    <row r="303"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  <c r="AB303" s="285"/>
      <c r="AC303" s="285"/>
      <c r="AD303" s="285"/>
      <c r="AE303" s="285"/>
      <c r="AF303" s="285"/>
      <c r="AG303" s="285"/>
      <c r="AH303" s="285"/>
      <c r="AI303" s="285"/>
      <c r="AJ303" s="285"/>
      <c r="AK303" s="285"/>
    </row>
    <row r="304"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  <c r="AB304" s="285"/>
      <c r="AC304" s="285"/>
      <c r="AD304" s="285"/>
      <c r="AE304" s="285"/>
      <c r="AF304" s="285"/>
      <c r="AG304" s="285"/>
      <c r="AH304" s="285"/>
      <c r="AI304" s="285"/>
      <c r="AJ304" s="285"/>
      <c r="AK304" s="285"/>
    </row>
    <row r="305"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  <c r="AB305" s="285"/>
      <c r="AC305" s="285"/>
      <c r="AD305" s="285"/>
      <c r="AE305" s="285"/>
      <c r="AF305" s="285"/>
      <c r="AG305" s="285"/>
      <c r="AH305" s="285"/>
      <c r="AI305" s="285"/>
      <c r="AJ305" s="285"/>
      <c r="AK305" s="285"/>
    </row>
    <row r="306"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B306" s="285"/>
      <c r="AC306" s="285"/>
      <c r="AD306" s="285"/>
      <c r="AE306" s="285"/>
      <c r="AF306" s="285"/>
      <c r="AG306" s="285"/>
      <c r="AH306" s="285"/>
      <c r="AI306" s="285"/>
      <c r="AJ306" s="285"/>
      <c r="AK306" s="285"/>
    </row>
    <row r="307"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B307" s="285"/>
      <c r="AC307" s="285"/>
      <c r="AD307" s="285"/>
      <c r="AE307" s="285"/>
      <c r="AF307" s="285"/>
      <c r="AG307" s="285"/>
      <c r="AH307" s="285"/>
      <c r="AI307" s="285"/>
      <c r="AJ307" s="285"/>
      <c r="AK307" s="285"/>
    </row>
    <row r="308"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  <c r="AB308" s="285"/>
      <c r="AC308" s="285"/>
      <c r="AD308" s="285"/>
      <c r="AE308" s="285"/>
      <c r="AF308" s="285"/>
      <c r="AG308" s="285"/>
      <c r="AH308" s="285"/>
      <c r="AI308" s="285"/>
      <c r="AJ308" s="285"/>
      <c r="AK308" s="285"/>
    </row>
    <row r="309"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  <c r="AB309" s="285"/>
      <c r="AC309" s="285"/>
      <c r="AD309" s="285"/>
      <c r="AE309" s="285"/>
      <c r="AF309" s="285"/>
      <c r="AG309" s="285"/>
      <c r="AH309" s="285"/>
      <c r="AI309" s="285"/>
      <c r="AJ309" s="285"/>
      <c r="AK309" s="285"/>
    </row>
    <row r="310"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  <c r="AB310" s="285"/>
      <c r="AC310" s="285"/>
      <c r="AD310" s="285"/>
      <c r="AE310" s="285"/>
      <c r="AF310" s="285"/>
      <c r="AG310" s="285"/>
      <c r="AH310" s="285"/>
      <c r="AI310" s="285"/>
      <c r="AJ310" s="285"/>
      <c r="AK310" s="285"/>
    </row>
    <row r="311"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B311" s="285"/>
      <c r="AC311" s="285"/>
      <c r="AD311" s="285"/>
      <c r="AE311" s="285"/>
      <c r="AF311" s="285"/>
      <c r="AG311" s="285"/>
      <c r="AH311" s="285"/>
      <c r="AI311" s="285"/>
      <c r="AJ311" s="285"/>
      <c r="AK311" s="285"/>
    </row>
    <row r="312"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  <c r="AB312" s="285"/>
      <c r="AC312" s="285"/>
      <c r="AD312" s="285"/>
      <c r="AE312" s="285"/>
      <c r="AF312" s="285"/>
      <c r="AG312" s="285"/>
      <c r="AH312" s="285"/>
      <c r="AI312" s="285"/>
      <c r="AJ312" s="285"/>
      <c r="AK312" s="285"/>
    </row>
    <row r="313"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B313" s="285"/>
      <c r="AC313" s="285"/>
      <c r="AD313" s="285"/>
      <c r="AE313" s="285"/>
      <c r="AF313" s="285"/>
      <c r="AG313" s="285"/>
      <c r="AH313" s="285"/>
      <c r="AI313" s="285"/>
      <c r="AJ313" s="285"/>
      <c r="AK313" s="285"/>
    </row>
    <row r="314"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  <c r="AB314" s="285"/>
      <c r="AC314" s="285"/>
      <c r="AD314" s="285"/>
      <c r="AE314" s="285"/>
      <c r="AF314" s="285"/>
      <c r="AG314" s="285"/>
      <c r="AH314" s="285"/>
      <c r="AI314" s="285"/>
      <c r="AJ314" s="285"/>
      <c r="AK314" s="285"/>
    </row>
    <row r="315"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B315" s="285"/>
      <c r="AC315" s="285"/>
      <c r="AD315" s="285"/>
      <c r="AE315" s="285"/>
      <c r="AF315" s="285"/>
      <c r="AG315" s="285"/>
      <c r="AH315" s="285"/>
      <c r="AI315" s="285"/>
      <c r="AJ315" s="285"/>
      <c r="AK315" s="285"/>
    </row>
    <row r="316"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B316" s="285"/>
      <c r="AC316" s="285"/>
      <c r="AD316" s="285"/>
      <c r="AE316" s="285"/>
      <c r="AF316" s="285"/>
      <c r="AG316" s="285"/>
      <c r="AH316" s="285"/>
      <c r="AI316" s="285"/>
      <c r="AJ316" s="285"/>
      <c r="AK316" s="285"/>
    </row>
    <row r="317"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B317" s="285"/>
      <c r="AC317" s="285"/>
      <c r="AD317" s="285"/>
      <c r="AE317" s="285"/>
      <c r="AF317" s="285"/>
      <c r="AG317" s="285"/>
      <c r="AH317" s="285"/>
      <c r="AI317" s="285"/>
      <c r="AJ317" s="285"/>
      <c r="AK317" s="285"/>
    </row>
    <row r="318"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B318" s="285"/>
      <c r="AC318" s="285"/>
      <c r="AD318" s="285"/>
      <c r="AE318" s="285"/>
      <c r="AF318" s="285"/>
      <c r="AG318" s="285"/>
      <c r="AH318" s="285"/>
      <c r="AI318" s="285"/>
      <c r="AJ318" s="285"/>
      <c r="AK318" s="285"/>
    </row>
    <row r="319"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B319" s="285"/>
      <c r="AC319" s="285"/>
      <c r="AD319" s="285"/>
      <c r="AE319" s="285"/>
      <c r="AF319" s="285"/>
      <c r="AG319" s="285"/>
      <c r="AH319" s="285"/>
      <c r="AI319" s="285"/>
      <c r="AJ319" s="285"/>
      <c r="AK319" s="285"/>
    </row>
    <row r="320"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  <c r="AB320" s="285"/>
      <c r="AC320" s="285"/>
      <c r="AD320" s="285"/>
      <c r="AE320" s="285"/>
      <c r="AF320" s="285"/>
      <c r="AG320" s="285"/>
      <c r="AH320" s="285"/>
      <c r="AI320" s="285"/>
      <c r="AJ320" s="285"/>
      <c r="AK320" s="285"/>
    </row>
    <row r="321"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  <c r="AB321" s="285"/>
      <c r="AC321" s="285"/>
      <c r="AD321" s="285"/>
      <c r="AE321" s="285"/>
      <c r="AF321" s="285"/>
      <c r="AG321" s="285"/>
      <c r="AH321" s="285"/>
      <c r="AI321" s="285"/>
      <c r="AJ321" s="285"/>
      <c r="AK321" s="285"/>
    </row>
    <row r="322"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  <c r="AB322" s="285"/>
      <c r="AC322" s="285"/>
      <c r="AD322" s="285"/>
      <c r="AE322" s="285"/>
      <c r="AF322" s="285"/>
      <c r="AG322" s="285"/>
      <c r="AH322" s="285"/>
      <c r="AI322" s="285"/>
      <c r="AJ322" s="285"/>
      <c r="AK322" s="285"/>
    </row>
    <row r="323"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  <c r="AB323" s="285"/>
      <c r="AC323" s="285"/>
      <c r="AD323" s="285"/>
      <c r="AE323" s="285"/>
      <c r="AF323" s="285"/>
      <c r="AG323" s="285"/>
      <c r="AH323" s="285"/>
      <c r="AI323" s="285"/>
      <c r="AJ323" s="285"/>
      <c r="AK323" s="285"/>
    </row>
    <row r="324"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  <c r="AB324" s="285"/>
      <c r="AC324" s="285"/>
      <c r="AD324" s="285"/>
      <c r="AE324" s="285"/>
      <c r="AF324" s="285"/>
      <c r="AG324" s="285"/>
      <c r="AH324" s="285"/>
      <c r="AI324" s="285"/>
      <c r="AJ324" s="285"/>
      <c r="AK324" s="285"/>
    </row>
    <row r="325"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  <c r="AB325" s="285"/>
      <c r="AC325" s="285"/>
      <c r="AD325" s="285"/>
      <c r="AE325" s="285"/>
      <c r="AF325" s="285"/>
      <c r="AG325" s="285"/>
      <c r="AH325" s="285"/>
      <c r="AI325" s="285"/>
      <c r="AJ325" s="285"/>
      <c r="AK325" s="285"/>
    </row>
    <row r="326"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  <c r="AB326" s="285"/>
      <c r="AC326" s="285"/>
      <c r="AD326" s="285"/>
      <c r="AE326" s="285"/>
      <c r="AF326" s="285"/>
      <c r="AG326" s="285"/>
      <c r="AH326" s="285"/>
      <c r="AI326" s="285"/>
      <c r="AJ326" s="285"/>
      <c r="AK326" s="285"/>
    </row>
    <row r="327"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  <c r="AB327" s="285"/>
      <c r="AC327" s="285"/>
      <c r="AD327" s="285"/>
      <c r="AE327" s="285"/>
      <c r="AF327" s="285"/>
      <c r="AG327" s="285"/>
      <c r="AH327" s="285"/>
      <c r="AI327" s="285"/>
      <c r="AJ327" s="285"/>
      <c r="AK327" s="285"/>
    </row>
    <row r="328"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  <c r="AB328" s="285"/>
      <c r="AC328" s="285"/>
      <c r="AD328" s="285"/>
      <c r="AE328" s="285"/>
      <c r="AF328" s="285"/>
      <c r="AG328" s="285"/>
      <c r="AH328" s="285"/>
      <c r="AI328" s="285"/>
      <c r="AJ328" s="285"/>
      <c r="AK328" s="285"/>
    </row>
    <row r="329"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  <c r="AB329" s="285"/>
      <c r="AC329" s="285"/>
      <c r="AD329" s="285"/>
      <c r="AE329" s="285"/>
      <c r="AF329" s="285"/>
      <c r="AG329" s="285"/>
      <c r="AH329" s="285"/>
      <c r="AI329" s="285"/>
      <c r="AJ329" s="285"/>
      <c r="AK329" s="285"/>
    </row>
    <row r="330"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  <c r="AB330" s="285"/>
      <c r="AC330" s="285"/>
      <c r="AD330" s="285"/>
      <c r="AE330" s="285"/>
      <c r="AF330" s="285"/>
      <c r="AG330" s="285"/>
      <c r="AH330" s="285"/>
      <c r="AI330" s="285"/>
      <c r="AJ330" s="285"/>
      <c r="AK330" s="285"/>
    </row>
    <row r="331"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  <c r="AB331" s="285"/>
      <c r="AC331" s="285"/>
      <c r="AD331" s="285"/>
      <c r="AE331" s="285"/>
      <c r="AF331" s="285"/>
      <c r="AG331" s="285"/>
      <c r="AH331" s="285"/>
      <c r="AI331" s="285"/>
      <c r="AJ331" s="285"/>
      <c r="AK331" s="285"/>
    </row>
    <row r="332"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  <c r="AB332" s="285"/>
      <c r="AC332" s="285"/>
      <c r="AD332" s="285"/>
      <c r="AE332" s="285"/>
      <c r="AF332" s="285"/>
      <c r="AG332" s="285"/>
      <c r="AH332" s="285"/>
      <c r="AI332" s="285"/>
      <c r="AJ332" s="285"/>
      <c r="AK332" s="285"/>
    </row>
    <row r="333"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  <c r="AB333" s="285"/>
      <c r="AC333" s="285"/>
      <c r="AD333" s="285"/>
      <c r="AE333" s="285"/>
      <c r="AF333" s="285"/>
      <c r="AG333" s="285"/>
      <c r="AH333" s="285"/>
      <c r="AI333" s="285"/>
      <c r="AJ333" s="285"/>
      <c r="AK333" s="285"/>
    </row>
    <row r="334"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  <c r="AB334" s="285"/>
      <c r="AC334" s="285"/>
      <c r="AD334" s="285"/>
      <c r="AE334" s="285"/>
      <c r="AF334" s="285"/>
      <c r="AG334" s="285"/>
      <c r="AH334" s="285"/>
      <c r="AI334" s="285"/>
      <c r="AJ334" s="285"/>
      <c r="AK334" s="285"/>
    </row>
    <row r="335"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  <c r="AB335" s="285"/>
      <c r="AC335" s="285"/>
      <c r="AD335" s="285"/>
      <c r="AE335" s="285"/>
      <c r="AF335" s="285"/>
      <c r="AG335" s="285"/>
      <c r="AH335" s="285"/>
      <c r="AI335" s="285"/>
      <c r="AJ335" s="285"/>
      <c r="AK335" s="285"/>
    </row>
    <row r="336"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  <c r="AB336" s="285"/>
      <c r="AC336" s="285"/>
      <c r="AD336" s="285"/>
      <c r="AE336" s="285"/>
      <c r="AF336" s="285"/>
      <c r="AG336" s="285"/>
      <c r="AH336" s="285"/>
      <c r="AI336" s="285"/>
      <c r="AJ336" s="285"/>
      <c r="AK336" s="285"/>
    </row>
    <row r="337"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  <c r="AB337" s="285"/>
      <c r="AC337" s="285"/>
      <c r="AD337" s="285"/>
      <c r="AE337" s="285"/>
      <c r="AF337" s="285"/>
      <c r="AG337" s="285"/>
      <c r="AH337" s="285"/>
      <c r="AI337" s="285"/>
      <c r="AJ337" s="285"/>
      <c r="AK337" s="285"/>
    </row>
    <row r="338"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  <c r="AB338" s="285"/>
      <c r="AC338" s="285"/>
      <c r="AD338" s="285"/>
      <c r="AE338" s="285"/>
      <c r="AF338" s="285"/>
      <c r="AG338" s="285"/>
      <c r="AH338" s="285"/>
      <c r="AI338" s="285"/>
      <c r="AJ338" s="285"/>
      <c r="AK338" s="285"/>
    </row>
    <row r="339"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  <c r="AB339" s="285"/>
      <c r="AC339" s="285"/>
      <c r="AD339" s="285"/>
      <c r="AE339" s="285"/>
      <c r="AF339" s="285"/>
      <c r="AG339" s="285"/>
      <c r="AH339" s="285"/>
      <c r="AI339" s="285"/>
      <c r="AJ339" s="285"/>
      <c r="AK339" s="285"/>
    </row>
    <row r="340"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  <c r="AB340" s="285"/>
      <c r="AC340" s="285"/>
      <c r="AD340" s="285"/>
      <c r="AE340" s="285"/>
      <c r="AF340" s="285"/>
      <c r="AG340" s="285"/>
      <c r="AH340" s="285"/>
      <c r="AI340" s="285"/>
      <c r="AJ340" s="285"/>
      <c r="AK340" s="285"/>
    </row>
    <row r="341"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  <c r="AB341" s="285"/>
      <c r="AC341" s="285"/>
      <c r="AD341" s="285"/>
      <c r="AE341" s="285"/>
      <c r="AF341" s="285"/>
      <c r="AG341" s="285"/>
      <c r="AH341" s="285"/>
      <c r="AI341" s="285"/>
      <c r="AJ341" s="285"/>
      <c r="AK341" s="285"/>
    </row>
    <row r="342"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  <c r="AB342" s="285"/>
      <c r="AC342" s="285"/>
      <c r="AD342" s="285"/>
      <c r="AE342" s="285"/>
      <c r="AF342" s="285"/>
      <c r="AG342" s="285"/>
      <c r="AH342" s="285"/>
      <c r="AI342" s="285"/>
      <c r="AJ342" s="285"/>
      <c r="AK342" s="285"/>
    </row>
    <row r="343"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  <c r="AB343" s="285"/>
      <c r="AC343" s="285"/>
      <c r="AD343" s="285"/>
      <c r="AE343" s="285"/>
      <c r="AF343" s="285"/>
      <c r="AG343" s="285"/>
      <c r="AH343" s="285"/>
      <c r="AI343" s="285"/>
      <c r="AJ343" s="285"/>
      <c r="AK343" s="285"/>
    </row>
    <row r="344"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  <c r="AB344" s="285"/>
      <c r="AC344" s="285"/>
      <c r="AD344" s="285"/>
      <c r="AE344" s="285"/>
      <c r="AF344" s="285"/>
      <c r="AG344" s="285"/>
      <c r="AH344" s="285"/>
      <c r="AI344" s="285"/>
      <c r="AJ344" s="285"/>
      <c r="AK344" s="285"/>
    </row>
    <row r="345"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  <c r="AB345" s="285"/>
      <c r="AC345" s="285"/>
      <c r="AD345" s="285"/>
      <c r="AE345" s="285"/>
      <c r="AF345" s="285"/>
      <c r="AG345" s="285"/>
      <c r="AH345" s="285"/>
      <c r="AI345" s="285"/>
      <c r="AJ345" s="285"/>
      <c r="AK345" s="285"/>
    </row>
    <row r="346"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  <c r="AB346" s="285"/>
      <c r="AC346" s="285"/>
      <c r="AD346" s="285"/>
      <c r="AE346" s="285"/>
      <c r="AF346" s="285"/>
      <c r="AG346" s="285"/>
      <c r="AH346" s="285"/>
      <c r="AI346" s="285"/>
      <c r="AJ346" s="285"/>
      <c r="AK346" s="285"/>
    </row>
    <row r="347"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  <c r="AB347" s="285"/>
      <c r="AC347" s="285"/>
      <c r="AD347" s="285"/>
      <c r="AE347" s="285"/>
      <c r="AF347" s="285"/>
      <c r="AG347" s="285"/>
      <c r="AH347" s="285"/>
      <c r="AI347" s="285"/>
      <c r="AJ347" s="285"/>
      <c r="AK347" s="285"/>
    </row>
    <row r="348"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  <c r="AB348" s="285"/>
      <c r="AC348" s="285"/>
      <c r="AD348" s="285"/>
      <c r="AE348" s="285"/>
      <c r="AF348" s="285"/>
      <c r="AG348" s="285"/>
      <c r="AH348" s="285"/>
      <c r="AI348" s="285"/>
      <c r="AJ348" s="285"/>
      <c r="AK348" s="285"/>
    </row>
    <row r="349"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  <c r="AB349" s="285"/>
      <c r="AC349" s="285"/>
      <c r="AD349" s="285"/>
      <c r="AE349" s="285"/>
      <c r="AF349" s="285"/>
      <c r="AG349" s="285"/>
      <c r="AH349" s="285"/>
      <c r="AI349" s="285"/>
      <c r="AJ349" s="285"/>
      <c r="AK349" s="285"/>
    </row>
    <row r="350"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  <c r="AB350" s="285"/>
      <c r="AC350" s="285"/>
      <c r="AD350" s="285"/>
      <c r="AE350" s="285"/>
      <c r="AF350" s="285"/>
      <c r="AG350" s="285"/>
      <c r="AH350" s="285"/>
      <c r="AI350" s="285"/>
      <c r="AJ350" s="285"/>
      <c r="AK350" s="285"/>
    </row>
    <row r="351"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  <c r="AB351" s="285"/>
      <c r="AC351" s="285"/>
      <c r="AD351" s="285"/>
      <c r="AE351" s="285"/>
      <c r="AF351" s="285"/>
      <c r="AG351" s="285"/>
      <c r="AH351" s="285"/>
      <c r="AI351" s="285"/>
      <c r="AJ351" s="285"/>
      <c r="AK351" s="285"/>
    </row>
    <row r="352"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  <c r="AB352" s="285"/>
      <c r="AC352" s="285"/>
      <c r="AD352" s="285"/>
      <c r="AE352" s="285"/>
      <c r="AF352" s="285"/>
      <c r="AG352" s="285"/>
      <c r="AH352" s="285"/>
      <c r="AI352" s="285"/>
      <c r="AJ352" s="285"/>
      <c r="AK352" s="285"/>
    </row>
    <row r="353"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  <c r="AB353" s="285"/>
      <c r="AC353" s="285"/>
      <c r="AD353" s="285"/>
      <c r="AE353" s="285"/>
      <c r="AF353" s="285"/>
      <c r="AG353" s="285"/>
      <c r="AH353" s="285"/>
      <c r="AI353" s="285"/>
      <c r="AJ353" s="285"/>
      <c r="AK353" s="285"/>
    </row>
    <row r="354"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  <c r="AB354" s="285"/>
      <c r="AC354" s="285"/>
      <c r="AD354" s="285"/>
      <c r="AE354" s="285"/>
      <c r="AF354" s="285"/>
      <c r="AG354" s="285"/>
      <c r="AH354" s="285"/>
      <c r="AI354" s="285"/>
      <c r="AJ354" s="285"/>
      <c r="AK354" s="285"/>
    </row>
    <row r="355"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  <c r="AB355" s="285"/>
      <c r="AC355" s="285"/>
      <c r="AD355" s="285"/>
      <c r="AE355" s="285"/>
      <c r="AF355" s="285"/>
      <c r="AG355" s="285"/>
      <c r="AH355" s="285"/>
      <c r="AI355" s="285"/>
      <c r="AJ355" s="285"/>
      <c r="AK355" s="285"/>
    </row>
    <row r="356"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  <c r="AB356" s="285"/>
      <c r="AC356" s="285"/>
      <c r="AD356" s="285"/>
      <c r="AE356" s="285"/>
      <c r="AF356" s="285"/>
      <c r="AG356" s="285"/>
      <c r="AH356" s="285"/>
      <c r="AI356" s="285"/>
      <c r="AJ356" s="285"/>
      <c r="AK356" s="285"/>
    </row>
    <row r="357"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  <c r="AB357" s="285"/>
      <c r="AC357" s="285"/>
      <c r="AD357" s="285"/>
      <c r="AE357" s="285"/>
      <c r="AF357" s="285"/>
      <c r="AG357" s="285"/>
      <c r="AH357" s="285"/>
      <c r="AI357" s="285"/>
      <c r="AJ357" s="285"/>
      <c r="AK357" s="285"/>
    </row>
    <row r="358"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  <c r="AB358" s="285"/>
      <c r="AC358" s="285"/>
      <c r="AD358" s="285"/>
      <c r="AE358" s="285"/>
      <c r="AF358" s="285"/>
      <c r="AG358" s="285"/>
      <c r="AH358" s="285"/>
      <c r="AI358" s="285"/>
      <c r="AJ358" s="285"/>
      <c r="AK358" s="285"/>
    </row>
    <row r="359"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  <c r="AB359" s="285"/>
      <c r="AC359" s="285"/>
      <c r="AD359" s="285"/>
      <c r="AE359" s="285"/>
      <c r="AF359" s="285"/>
      <c r="AG359" s="285"/>
      <c r="AH359" s="285"/>
      <c r="AI359" s="285"/>
      <c r="AJ359" s="285"/>
      <c r="AK359" s="285"/>
    </row>
    <row r="360"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  <c r="AB360" s="285"/>
      <c r="AC360" s="285"/>
      <c r="AD360" s="285"/>
      <c r="AE360" s="285"/>
      <c r="AF360" s="285"/>
      <c r="AG360" s="285"/>
      <c r="AH360" s="285"/>
      <c r="AI360" s="285"/>
      <c r="AJ360" s="285"/>
      <c r="AK360" s="285"/>
    </row>
    <row r="361"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  <c r="AB361" s="285"/>
      <c r="AC361" s="285"/>
      <c r="AD361" s="285"/>
      <c r="AE361" s="285"/>
      <c r="AF361" s="285"/>
      <c r="AG361" s="285"/>
      <c r="AH361" s="285"/>
      <c r="AI361" s="285"/>
      <c r="AJ361" s="285"/>
      <c r="AK361" s="285"/>
    </row>
    <row r="362"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  <c r="AB362" s="285"/>
      <c r="AC362" s="285"/>
      <c r="AD362" s="285"/>
      <c r="AE362" s="285"/>
      <c r="AF362" s="285"/>
      <c r="AG362" s="285"/>
      <c r="AH362" s="285"/>
      <c r="AI362" s="285"/>
      <c r="AJ362" s="285"/>
      <c r="AK362" s="285"/>
    </row>
    <row r="363"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  <c r="AB363" s="285"/>
      <c r="AC363" s="285"/>
      <c r="AD363" s="285"/>
      <c r="AE363" s="285"/>
      <c r="AF363" s="285"/>
      <c r="AG363" s="285"/>
      <c r="AH363" s="285"/>
      <c r="AI363" s="285"/>
      <c r="AJ363" s="285"/>
      <c r="AK363" s="285"/>
    </row>
    <row r="364"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  <c r="AB364" s="285"/>
      <c r="AC364" s="285"/>
      <c r="AD364" s="285"/>
      <c r="AE364" s="285"/>
      <c r="AF364" s="285"/>
      <c r="AG364" s="285"/>
      <c r="AH364" s="285"/>
      <c r="AI364" s="285"/>
      <c r="AJ364" s="285"/>
      <c r="AK364" s="285"/>
    </row>
    <row r="365"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  <c r="AB365" s="285"/>
      <c r="AC365" s="285"/>
      <c r="AD365" s="285"/>
      <c r="AE365" s="285"/>
      <c r="AF365" s="285"/>
      <c r="AG365" s="285"/>
      <c r="AH365" s="285"/>
      <c r="AI365" s="285"/>
      <c r="AJ365" s="285"/>
      <c r="AK365" s="285"/>
    </row>
    <row r="366"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  <c r="AB366" s="285"/>
      <c r="AC366" s="285"/>
      <c r="AD366" s="285"/>
      <c r="AE366" s="285"/>
      <c r="AF366" s="285"/>
      <c r="AG366" s="285"/>
      <c r="AH366" s="285"/>
      <c r="AI366" s="285"/>
      <c r="AJ366" s="285"/>
      <c r="AK366" s="285"/>
    </row>
    <row r="367"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  <c r="AB367" s="285"/>
      <c r="AC367" s="285"/>
      <c r="AD367" s="285"/>
      <c r="AE367" s="285"/>
      <c r="AF367" s="285"/>
      <c r="AG367" s="285"/>
      <c r="AH367" s="285"/>
      <c r="AI367" s="285"/>
      <c r="AJ367" s="285"/>
      <c r="AK367" s="285"/>
    </row>
    <row r="368"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  <c r="AB368" s="285"/>
      <c r="AC368" s="285"/>
      <c r="AD368" s="285"/>
      <c r="AE368" s="285"/>
      <c r="AF368" s="285"/>
      <c r="AG368" s="285"/>
      <c r="AH368" s="285"/>
      <c r="AI368" s="285"/>
      <c r="AJ368" s="285"/>
      <c r="AK368" s="285"/>
    </row>
    <row r="369"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  <c r="AB369" s="285"/>
      <c r="AC369" s="285"/>
      <c r="AD369" s="285"/>
      <c r="AE369" s="285"/>
      <c r="AF369" s="285"/>
      <c r="AG369" s="285"/>
      <c r="AH369" s="285"/>
      <c r="AI369" s="285"/>
      <c r="AJ369" s="285"/>
      <c r="AK369" s="285"/>
    </row>
    <row r="370"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  <c r="AB370" s="285"/>
      <c r="AC370" s="285"/>
      <c r="AD370" s="285"/>
      <c r="AE370" s="285"/>
      <c r="AF370" s="285"/>
      <c r="AG370" s="285"/>
      <c r="AH370" s="285"/>
      <c r="AI370" s="285"/>
      <c r="AJ370" s="285"/>
      <c r="AK370" s="285"/>
    </row>
    <row r="371"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  <c r="AB371" s="285"/>
      <c r="AC371" s="285"/>
      <c r="AD371" s="285"/>
      <c r="AE371" s="285"/>
      <c r="AF371" s="285"/>
      <c r="AG371" s="285"/>
      <c r="AH371" s="285"/>
      <c r="AI371" s="285"/>
      <c r="AJ371" s="285"/>
      <c r="AK371" s="285"/>
    </row>
    <row r="372"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  <c r="AB372" s="285"/>
      <c r="AC372" s="285"/>
      <c r="AD372" s="285"/>
      <c r="AE372" s="285"/>
      <c r="AF372" s="285"/>
      <c r="AG372" s="285"/>
      <c r="AH372" s="285"/>
      <c r="AI372" s="285"/>
      <c r="AJ372" s="285"/>
      <c r="AK372" s="285"/>
    </row>
    <row r="373"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  <c r="AB373" s="285"/>
      <c r="AC373" s="285"/>
      <c r="AD373" s="285"/>
      <c r="AE373" s="285"/>
      <c r="AF373" s="285"/>
      <c r="AG373" s="285"/>
      <c r="AH373" s="285"/>
      <c r="AI373" s="285"/>
      <c r="AJ373" s="285"/>
      <c r="AK373" s="285"/>
    </row>
    <row r="374"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  <c r="AB374" s="285"/>
      <c r="AC374" s="285"/>
      <c r="AD374" s="285"/>
      <c r="AE374" s="285"/>
      <c r="AF374" s="285"/>
      <c r="AG374" s="285"/>
      <c r="AH374" s="285"/>
      <c r="AI374" s="285"/>
      <c r="AJ374" s="285"/>
      <c r="AK374" s="285"/>
    </row>
    <row r="375"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  <c r="AB375" s="285"/>
      <c r="AC375" s="285"/>
      <c r="AD375" s="285"/>
      <c r="AE375" s="285"/>
      <c r="AF375" s="285"/>
      <c r="AG375" s="285"/>
      <c r="AH375" s="285"/>
      <c r="AI375" s="285"/>
      <c r="AJ375" s="285"/>
      <c r="AK375" s="285"/>
    </row>
    <row r="376"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  <c r="AB376" s="285"/>
      <c r="AC376" s="285"/>
      <c r="AD376" s="285"/>
      <c r="AE376" s="285"/>
      <c r="AF376" s="285"/>
      <c r="AG376" s="285"/>
      <c r="AH376" s="285"/>
      <c r="AI376" s="285"/>
      <c r="AJ376" s="285"/>
      <c r="AK376" s="285"/>
    </row>
    <row r="377"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  <c r="AB377" s="285"/>
      <c r="AC377" s="285"/>
      <c r="AD377" s="285"/>
      <c r="AE377" s="285"/>
      <c r="AF377" s="285"/>
      <c r="AG377" s="285"/>
      <c r="AH377" s="285"/>
      <c r="AI377" s="285"/>
      <c r="AJ377" s="285"/>
      <c r="AK377" s="285"/>
    </row>
    <row r="378"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  <c r="AB378" s="285"/>
      <c r="AC378" s="285"/>
      <c r="AD378" s="285"/>
      <c r="AE378" s="285"/>
      <c r="AF378" s="285"/>
      <c r="AG378" s="285"/>
      <c r="AH378" s="285"/>
      <c r="AI378" s="285"/>
      <c r="AJ378" s="285"/>
      <c r="AK378" s="285"/>
    </row>
    <row r="379"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  <c r="AB379" s="285"/>
      <c r="AC379" s="285"/>
      <c r="AD379" s="285"/>
      <c r="AE379" s="285"/>
      <c r="AF379" s="285"/>
      <c r="AG379" s="285"/>
      <c r="AH379" s="285"/>
      <c r="AI379" s="285"/>
      <c r="AJ379" s="285"/>
      <c r="AK379" s="285"/>
    </row>
    <row r="380"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  <c r="AB380" s="285"/>
      <c r="AC380" s="285"/>
      <c r="AD380" s="285"/>
      <c r="AE380" s="285"/>
      <c r="AF380" s="285"/>
      <c r="AG380" s="285"/>
      <c r="AH380" s="285"/>
      <c r="AI380" s="285"/>
      <c r="AJ380" s="285"/>
      <c r="AK380" s="285"/>
    </row>
    <row r="381"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  <c r="AB381" s="285"/>
      <c r="AC381" s="285"/>
      <c r="AD381" s="285"/>
      <c r="AE381" s="285"/>
      <c r="AF381" s="285"/>
      <c r="AG381" s="285"/>
      <c r="AH381" s="285"/>
      <c r="AI381" s="285"/>
      <c r="AJ381" s="285"/>
      <c r="AK381" s="285"/>
    </row>
    <row r="382"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  <c r="AB382" s="285"/>
      <c r="AC382" s="285"/>
      <c r="AD382" s="285"/>
      <c r="AE382" s="285"/>
      <c r="AF382" s="285"/>
      <c r="AG382" s="285"/>
      <c r="AH382" s="285"/>
      <c r="AI382" s="285"/>
      <c r="AJ382" s="285"/>
      <c r="AK382" s="285"/>
    </row>
    <row r="383"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  <c r="AB383" s="285"/>
      <c r="AC383" s="285"/>
      <c r="AD383" s="285"/>
      <c r="AE383" s="285"/>
      <c r="AF383" s="285"/>
      <c r="AG383" s="285"/>
      <c r="AH383" s="285"/>
      <c r="AI383" s="285"/>
      <c r="AJ383" s="285"/>
      <c r="AK383" s="285"/>
    </row>
    <row r="384"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  <c r="AB384" s="285"/>
      <c r="AC384" s="285"/>
      <c r="AD384" s="285"/>
      <c r="AE384" s="285"/>
      <c r="AF384" s="285"/>
      <c r="AG384" s="285"/>
      <c r="AH384" s="285"/>
      <c r="AI384" s="285"/>
      <c r="AJ384" s="285"/>
      <c r="AK384" s="285"/>
    </row>
    <row r="385"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  <c r="AB385" s="285"/>
      <c r="AC385" s="285"/>
      <c r="AD385" s="285"/>
      <c r="AE385" s="285"/>
      <c r="AF385" s="285"/>
      <c r="AG385" s="285"/>
      <c r="AH385" s="285"/>
      <c r="AI385" s="285"/>
      <c r="AJ385" s="285"/>
      <c r="AK385" s="285"/>
    </row>
    <row r="386"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  <c r="AB386" s="285"/>
      <c r="AC386" s="285"/>
      <c r="AD386" s="285"/>
      <c r="AE386" s="285"/>
      <c r="AF386" s="285"/>
      <c r="AG386" s="285"/>
      <c r="AH386" s="285"/>
      <c r="AI386" s="285"/>
      <c r="AJ386" s="285"/>
      <c r="AK386" s="285"/>
    </row>
    <row r="387"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  <c r="AB387" s="285"/>
      <c r="AC387" s="285"/>
      <c r="AD387" s="285"/>
      <c r="AE387" s="285"/>
      <c r="AF387" s="285"/>
      <c r="AG387" s="285"/>
      <c r="AH387" s="285"/>
      <c r="AI387" s="285"/>
      <c r="AJ387" s="285"/>
      <c r="AK387" s="285"/>
    </row>
    <row r="388"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  <c r="AB388" s="285"/>
      <c r="AC388" s="285"/>
      <c r="AD388" s="285"/>
      <c r="AE388" s="285"/>
      <c r="AF388" s="285"/>
      <c r="AG388" s="285"/>
      <c r="AH388" s="285"/>
      <c r="AI388" s="285"/>
      <c r="AJ388" s="285"/>
      <c r="AK388" s="285"/>
    </row>
    <row r="389"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  <c r="AB389" s="285"/>
      <c r="AC389" s="285"/>
      <c r="AD389" s="285"/>
      <c r="AE389" s="285"/>
      <c r="AF389" s="285"/>
      <c r="AG389" s="285"/>
      <c r="AH389" s="285"/>
      <c r="AI389" s="285"/>
      <c r="AJ389" s="285"/>
      <c r="AK389" s="285"/>
    </row>
    <row r="390"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  <c r="AB390" s="285"/>
      <c r="AC390" s="285"/>
      <c r="AD390" s="285"/>
      <c r="AE390" s="285"/>
      <c r="AF390" s="285"/>
      <c r="AG390" s="285"/>
      <c r="AH390" s="285"/>
      <c r="AI390" s="285"/>
      <c r="AJ390" s="285"/>
      <c r="AK390" s="285"/>
    </row>
    <row r="391"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  <c r="AB391" s="285"/>
      <c r="AC391" s="285"/>
      <c r="AD391" s="285"/>
      <c r="AE391" s="285"/>
      <c r="AF391" s="285"/>
      <c r="AG391" s="285"/>
      <c r="AH391" s="285"/>
      <c r="AI391" s="285"/>
      <c r="AJ391" s="285"/>
      <c r="AK391" s="285"/>
    </row>
    <row r="392"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  <c r="AB392" s="285"/>
      <c r="AC392" s="285"/>
      <c r="AD392" s="285"/>
      <c r="AE392" s="285"/>
      <c r="AF392" s="285"/>
      <c r="AG392" s="285"/>
      <c r="AH392" s="285"/>
      <c r="AI392" s="285"/>
      <c r="AJ392" s="285"/>
      <c r="AK392" s="285"/>
    </row>
    <row r="393"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  <c r="AB393" s="285"/>
      <c r="AC393" s="285"/>
      <c r="AD393" s="285"/>
      <c r="AE393" s="285"/>
      <c r="AF393" s="285"/>
      <c r="AG393" s="285"/>
      <c r="AH393" s="285"/>
      <c r="AI393" s="285"/>
      <c r="AJ393" s="285"/>
      <c r="AK393" s="285"/>
    </row>
    <row r="394"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  <c r="AB394" s="285"/>
      <c r="AC394" s="285"/>
      <c r="AD394" s="285"/>
      <c r="AE394" s="285"/>
      <c r="AF394" s="285"/>
      <c r="AG394" s="285"/>
      <c r="AH394" s="285"/>
      <c r="AI394" s="285"/>
      <c r="AJ394" s="285"/>
      <c r="AK394" s="285"/>
    </row>
    <row r="395"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  <c r="AB395" s="285"/>
      <c r="AC395" s="285"/>
      <c r="AD395" s="285"/>
      <c r="AE395" s="285"/>
      <c r="AF395" s="285"/>
      <c r="AG395" s="285"/>
      <c r="AH395" s="285"/>
      <c r="AI395" s="285"/>
      <c r="AJ395" s="285"/>
      <c r="AK395" s="285"/>
    </row>
    <row r="396"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  <c r="AB396" s="285"/>
      <c r="AC396" s="285"/>
      <c r="AD396" s="285"/>
      <c r="AE396" s="285"/>
      <c r="AF396" s="285"/>
      <c r="AG396" s="285"/>
      <c r="AH396" s="285"/>
      <c r="AI396" s="285"/>
      <c r="AJ396" s="285"/>
      <c r="AK396" s="285"/>
    </row>
    <row r="397"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  <c r="AB397" s="285"/>
      <c r="AC397" s="285"/>
      <c r="AD397" s="285"/>
      <c r="AE397" s="285"/>
      <c r="AF397" s="285"/>
      <c r="AG397" s="285"/>
      <c r="AH397" s="285"/>
      <c r="AI397" s="285"/>
      <c r="AJ397" s="285"/>
      <c r="AK397" s="285"/>
    </row>
    <row r="398"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  <c r="AB398" s="285"/>
      <c r="AC398" s="285"/>
      <c r="AD398" s="285"/>
      <c r="AE398" s="285"/>
      <c r="AF398" s="285"/>
      <c r="AG398" s="285"/>
      <c r="AH398" s="285"/>
      <c r="AI398" s="285"/>
      <c r="AJ398" s="285"/>
      <c r="AK398" s="285"/>
    </row>
    <row r="399"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  <c r="AB399" s="285"/>
      <c r="AC399" s="285"/>
      <c r="AD399" s="285"/>
      <c r="AE399" s="285"/>
      <c r="AF399" s="285"/>
      <c r="AG399" s="285"/>
      <c r="AH399" s="285"/>
      <c r="AI399" s="285"/>
      <c r="AJ399" s="285"/>
      <c r="AK399" s="285"/>
    </row>
    <row r="400"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  <c r="AB400" s="285"/>
      <c r="AC400" s="285"/>
      <c r="AD400" s="285"/>
      <c r="AE400" s="285"/>
      <c r="AF400" s="285"/>
      <c r="AG400" s="285"/>
      <c r="AH400" s="285"/>
      <c r="AI400" s="285"/>
      <c r="AJ400" s="285"/>
      <c r="AK400" s="285"/>
    </row>
    <row r="401"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  <c r="AB401" s="285"/>
      <c r="AC401" s="285"/>
      <c r="AD401" s="285"/>
      <c r="AE401" s="285"/>
      <c r="AF401" s="285"/>
      <c r="AG401" s="285"/>
      <c r="AH401" s="285"/>
      <c r="AI401" s="285"/>
      <c r="AJ401" s="285"/>
      <c r="AK401" s="285"/>
    </row>
    <row r="402"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  <c r="AB402" s="285"/>
      <c r="AC402" s="285"/>
      <c r="AD402" s="285"/>
      <c r="AE402" s="285"/>
      <c r="AF402" s="285"/>
      <c r="AG402" s="285"/>
      <c r="AH402" s="285"/>
      <c r="AI402" s="285"/>
      <c r="AJ402" s="285"/>
      <c r="AK402" s="285"/>
    </row>
    <row r="403"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  <c r="AB403" s="285"/>
      <c r="AC403" s="285"/>
      <c r="AD403" s="285"/>
      <c r="AE403" s="285"/>
      <c r="AF403" s="285"/>
      <c r="AG403" s="285"/>
      <c r="AH403" s="285"/>
      <c r="AI403" s="285"/>
      <c r="AJ403" s="285"/>
      <c r="AK403" s="285"/>
    </row>
    <row r="404"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  <c r="AB404" s="285"/>
      <c r="AC404" s="285"/>
      <c r="AD404" s="285"/>
      <c r="AE404" s="285"/>
      <c r="AF404" s="285"/>
      <c r="AG404" s="285"/>
      <c r="AH404" s="285"/>
      <c r="AI404" s="285"/>
      <c r="AJ404" s="285"/>
      <c r="AK404" s="285"/>
    </row>
    <row r="405"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  <c r="AB405" s="285"/>
      <c r="AC405" s="285"/>
      <c r="AD405" s="285"/>
      <c r="AE405" s="285"/>
      <c r="AF405" s="285"/>
      <c r="AG405" s="285"/>
      <c r="AH405" s="285"/>
      <c r="AI405" s="285"/>
      <c r="AJ405" s="285"/>
      <c r="AK405" s="285"/>
    </row>
    <row r="406"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  <c r="AB406" s="285"/>
      <c r="AC406" s="285"/>
      <c r="AD406" s="285"/>
      <c r="AE406" s="285"/>
      <c r="AF406" s="285"/>
      <c r="AG406" s="285"/>
      <c r="AH406" s="285"/>
      <c r="AI406" s="285"/>
      <c r="AJ406" s="285"/>
      <c r="AK406" s="285"/>
    </row>
    <row r="407"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  <c r="AB407" s="285"/>
      <c r="AC407" s="285"/>
      <c r="AD407" s="285"/>
      <c r="AE407" s="285"/>
      <c r="AF407" s="285"/>
      <c r="AG407" s="285"/>
      <c r="AH407" s="285"/>
      <c r="AI407" s="285"/>
      <c r="AJ407" s="285"/>
      <c r="AK407" s="285"/>
    </row>
    <row r="408"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  <c r="AB408" s="285"/>
      <c r="AC408" s="285"/>
      <c r="AD408" s="285"/>
      <c r="AE408" s="285"/>
      <c r="AF408" s="285"/>
      <c r="AG408" s="285"/>
      <c r="AH408" s="285"/>
      <c r="AI408" s="285"/>
      <c r="AJ408" s="285"/>
      <c r="AK408" s="285"/>
    </row>
    <row r="409"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  <c r="AB409" s="285"/>
      <c r="AC409" s="285"/>
      <c r="AD409" s="285"/>
      <c r="AE409" s="285"/>
      <c r="AF409" s="285"/>
      <c r="AG409" s="285"/>
      <c r="AH409" s="285"/>
      <c r="AI409" s="285"/>
      <c r="AJ409" s="285"/>
      <c r="AK409" s="285"/>
    </row>
    <row r="410"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  <c r="AB410" s="285"/>
      <c r="AC410" s="285"/>
      <c r="AD410" s="285"/>
      <c r="AE410" s="285"/>
      <c r="AF410" s="285"/>
      <c r="AG410" s="285"/>
      <c r="AH410" s="285"/>
      <c r="AI410" s="285"/>
      <c r="AJ410" s="285"/>
      <c r="AK410" s="285"/>
    </row>
    <row r="411"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  <c r="AB411" s="285"/>
      <c r="AC411" s="285"/>
      <c r="AD411" s="285"/>
      <c r="AE411" s="285"/>
      <c r="AF411" s="285"/>
      <c r="AG411" s="285"/>
      <c r="AH411" s="285"/>
      <c r="AI411" s="285"/>
      <c r="AJ411" s="285"/>
      <c r="AK411" s="285"/>
    </row>
    <row r="412"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  <c r="AB412" s="285"/>
      <c r="AC412" s="285"/>
      <c r="AD412" s="285"/>
      <c r="AE412" s="285"/>
      <c r="AF412" s="285"/>
      <c r="AG412" s="285"/>
      <c r="AH412" s="285"/>
      <c r="AI412" s="285"/>
      <c r="AJ412" s="285"/>
      <c r="AK412" s="285"/>
    </row>
    <row r="413"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  <c r="AB413" s="285"/>
      <c r="AC413" s="285"/>
      <c r="AD413" s="285"/>
      <c r="AE413" s="285"/>
      <c r="AF413" s="285"/>
      <c r="AG413" s="285"/>
      <c r="AH413" s="285"/>
      <c r="AI413" s="285"/>
      <c r="AJ413" s="285"/>
      <c r="AK413" s="285"/>
    </row>
    <row r="414"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  <c r="AB414" s="285"/>
      <c r="AC414" s="285"/>
      <c r="AD414" s="285"/>
      <c r="AE414" s="285"/>
      <c r="AF414" s="285"/>
      <c r="AG414" s="285"/>
      <c r="AH414" s="285"/>
      <c r="AI414" s="285"/>
      <c r="AJ414" s="285"/>
      <c r="AK414" s="285"/>
    </row>
    <row r="415"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  <c r="AB415" s="285"/>
      <c r="AC415" s="285"/>
      <c r="AD415" s="285"/>
      <c r="AE415" s="285"/>
      <c r="AF415" s="285"/>
      <c r="AG415" s="285"/>
      <c r="AH415" s="285"/>
      <c r="AI415" s="285"/>
      <c r="AJ415" s="285"/>
      <c r="AK415" s="285"/>
    </row>
    <row r="416"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  <c r="AB416" s="285"/>
      <c r="AC416" s="285"/>
      <c r="AD416" s="285"/>
      <c r="AE416" s="285"/>
      <c r="AF416" s="285"/>
      <c r="AG416" s="285"/>
      <c r="AH416" s="285"/>
      <c r="AI416" s="285"/>
      <c r="AJ416" s="285"/>
      <c r="AK416" s="285"/>
    </row>
    <row r="417"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  <c r="AB417" s="285"/>
      <c r="AC417" s="285"/>
      <c r="AD417" s="285"/>
      <c r="AE417" s="285"/>
      <c r="AF417" s="285"/>
      <c r="AG417" s="285"/>
      <c r="AH417" s="285"/>
      <c r="AI417" s="285"/>
      <c r="AJ417" s="285"/>
      <c r="AK417" s="285"/>
    </row>
    <row r="418"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  <c r="AB418" s="285"/>
      <c r="AC418" s="285"/>
      <c r="AD418" s="285"/>
      <c r="AE418" s="285"/>
      <c r="AF418" s="285"/>
      <c r="AG418" s="285"/>
      <c r="AH418" s="285"/>
      <c r="AI418" s="285"/>
      <c r="AJ418" s="285"/>
      <c r="AK418" s="285"/>
    </row>
    <row r="419"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  <c r="AB419" s="285"/>
      <c r="AC419" s="285"/>
      <c r="AD419" s="285"/>
      <c r="AE419" s="285"/>
      <c r="AF419" s="285"/>
      <c r="AG419" s="285"/>
      <c r="AH419" s="285"/>
      <c r="AI419" s="285"/>
      <c r="AJ419" s="285"/>
      <c r="AK419" s="285"/>
    </row>
    <row r="420"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  <c r="AB420" s="285"/>
      <c r="AC420" s="285"/>
      <c r="AD420" s="285"/>
      <c r="AE420" s="285"/>
      <c r="AF420" s="285"/>
      <c r="AG420" s="285"/>
      <c r="AH420" s="285"/>
      <c r="AI420" s="285"/>
      <c r="AJ420" s="285"/>
      <c r="AK420" s="285"/>
    </row>
    <row r="421"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  <c r="AB421" s="285"/>
      <c r="AC421" s="285"/>
      <c r="AD421" s="285"/>
      <c r="AE421" s="285"/>
      <c r="AF421" s="285"/>
      <c r="AG421" s="285"/>
      <c r="AH421" s="285"/>
      <c r="AI421" s="285"/>
      <c r="AJ421" s="285"/>
      <c r="AK421" s="285"/>
    </row>
    <row r="422"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  <c r="AB422" s="285"/>
      <c r="AC422" s="285"/>
      <c r="AD422" s="285"/>
      <c r="AE422" s="285"/>
      <c r="AF422" s="285"/>
      <c r="AG422" s="285"/>
      <c r="AH422" s="285"/>
      <c r="AI422" s="285"/>
      <c r="AJ422" s="285"/>
      <c r="AK422" s="285"/>
    </row>
    <row r="423"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  <c r="AB423" s="285"/>
      <c r="AC423" s="285"/>
      <c r="AD423" s="285"/>
      <c r="AE423" s="285"/>
      <c r="AF423" s="285"/>
      <c r="AG423" s="285"/>
      <c r="AH423" s="285"/>
      <c r="AI423" s="285"/>
      <c r="AJ423" s="285"/>
      <c r="AK423" s="285"/>
    </row>
    <row r="424"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  <c r="AB424" s="285"/>
      <c r="AC424" s="285"/>
      <c r="AD424" s="285"/>
      <c r="AE424" s="285"/>
      <c r="AF424" s="285"/>
      <c r="AG424" s="285"/>
      <c r="AH424" s="285"/>
      <c r="AI424" s="285"/>
      <c r="AJ424" s="285"/>
      <c r="AK424" s="285"/>
    </row>
    <row r="425"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  <c r="AB425" s="285"/>
      <c r="AC425" s="285"/>
      <c r="AD425" s="285"/>
      <c r="AE425" s="285"/>
      <c r="AF425" s="285"/>
      <c r="AG425" s="285"/>
      <c r="AH425" s="285"/>
      <c r="AI425" s="285"/>
      <c r="AJ425" s="285"/>
      <c r="AK425" s="285"/>
    </row>
    <row r="426"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  <c r="AB426" s="285"/>
      <c r="AC426" s="285"/>
      <c r="AD426" s="285"/>
      <c r="AE426" s="285"/>
      <c r="AF426" s="285"/>
      <c r="AG426" s="285"/>
      <c r="AH426" s="285"/>
      <c r="AI426" s="285"/>
      <c r="AJ426" s="285"/>
      <c r="AK426" s="285"/>
    </row>
    <row r="427"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  <c r="AB427" s="285"/>
      <c r="AC427" s="285"/>
      <c r="AD427" s="285"/>
      <c r="AE427" s="285"/>
      <c r="AF427" s="285"/>
      <c r="AG427" s="285"/>
      <c r="AH427" s="285"/>
      <c r="AI427" s="285"/>
      <c r="AJ427" s="285"/>
      <c r="AK427" s="285"/>
    </row>
    <row r="428"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  <c r="AB428" s="285"/>
      <c r="AC428" s="285"/>
      <c r="AD428" s="285"/>
      <c r="AE428" s="285"/>
      <c r="AF428" s="285"/>
      <c r="AG428" s="285"/>
      <c r="AH428" s="285"/>
      <c r="AI428" s="285"/>
      <c r="AJ428" s="285"/>
      <c r="AK428" s="285"/>
    </row>
    <row r="429"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  <c r="AB429" s="285"/>
      <c r="AC429" s="285"/>
      <c r="AD429" s="285"/>
      <c r="AE429" s="285"/>
      <c r="AF429" s="285"/>
      <c r="AG429" s="285"/>
      <c r="AH429" s="285"/>
      <c r="AI429" s="285"/>
      <c r="AJ429" s="285"/>
      <c r="AK429" s="285"/>
    </row>
    <row r="430"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  <c r="AB430" s="285"/>
      <c r="AC430" s="285"/>
      <c r="AD430" s="285"/>
      <c r="AE430" s="285"/>
      <c r="AF430" s="285"/>
      <c r="AG430" s="285"/>
      <c r="AH430" s="285"/>
      <c r="AI430" s="285"/>
      <c r="AJ430" s="285"/>
      <c r="AK430" s="285"/>
    </row>
    <row r="431"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  <c r="AB431" s="285"/>
      <c r="AC431" s="285"/>
      <c r="AD431" s="285"/>
      <c r="AE431" s="285"/>
      <c r="AF431" s="285"/>
      <c r="AG431" s="285"/>
      <c r="AH431" s="285"/>
      <c r="AI431" s="285"/>
      <c r="AJ431" s="285"/>
      <c r="AK431" s="285"/>
    </row>
    <row r="432"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  <c r="AB432" s="285"/>
      <c r="AC432" s="285"/>
      <c r="AD432" s="285"/>
      <c r="AE432" s="285"/>
      <c r="AF432" s="285"/>
      <c r="AG432" s="285"/>
      <c r="AH432" s="285"/>
      <c r="AI432" s="285"/>
      <c r="AJ432" s="285"/>
      <c r="AK432" s="285"/>
    </row>
    <row r="433"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  <c r="AB433" s="285"/>
      <c r="AC433" s="285"/>
      <c r="AD433" s="285"/>
      <c r="AE433" s="285"/>
      <c r="AF433" s="285"/>
      <c r="AG433" s="285"/>
      <c r="AH433" s="285"/>
      <c r="AI433" s="285"/>
      <c r="AJ433" s="285"/>
      <c r="AK433" s="285"/>
    </row>
    <row r="434"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  <c r="AB434" s="285"/>
      <c r="AC434" s="285"/>
      <c r="AD434" s="285"/>
      <c r="AE434" s="285"/>
      <c r="AF434" s="285"/>
      <c r="AG434" s="285"/>
      <c r="AH434" s="285"/>
      <c r="AI434" s="285"/>
      <c r="AJ434" s="285"/>
      <c r="AK434" s="285"/>
    </row>
    <row r="435"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  <c r="AB435" s="285"/>
      <c r="AC435" s="285"/>
      <c r="AD435" s="285"/>
      <c r="AE435" s="285"/>
      <c r="AF435" s="285"/>
      <c r="AG435" s="285"/>
      <c r="AH435" s="285"/>
      <c r="AI435" s="285"/>
      <c r="AJ435" s="285"/>
      <c r="AK435" s="285"/>
    </row>
    <row r="436"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  <c r="AB436" s="285"/>
      <c r="AC436" s="285"/>
      <c r="AD436" s="285"/>
      <c r="AE436" s="285"/>
      <c r="AF436" s="285"/>
      <c r="AG436" s="285"/>
      <c r="AH436" s="285"/>
      <c r="AI436" s="285"/>
      <c r="AJ436" s="285"/>
      <c r="AK436" s="285"/>
    </row>
    <row r="437"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  <c r="AB437" s="285"/>
      <c r="AC437" s="285"/>
      <c r="AD437" s="285"/>
      <c r="AE437" s="285"/>
      <c r="AF437" s="285"/>
      <c r="AG437" s="285"/>
      <c r="AH437" s="285"/>
      <c r="AI437" s="285"/>
      <c r="AJ437" s="285"/>
      <c r="AK437" s="285"/>
    </row>
    <row r="438"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  <c r="AB438" s="285"/>
      <c r="AC438" s="285"/>
      <c r="AD438" s="285"/>
      <c r="AE438" s="285"/>
      <c r="AF438" s="285"/>
      <c r="AG438" s="285"/>
      <c r="AH438" s="285"/>
      <c r="AI438" s="285"/>
      <c r="AJ438" s="285"/>
      <c r="AK438" s="285"/>
    </row>
    <row r="439"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  <c r="AB439" s="285"/>
      <c r="AC439" s="285"/>
      <c r="AD439" s="285"/>
      <c r="AE439" s="285"/>
      <c r="AF439" s="285"/>
      <c r="AG439" s="285"/>
      <c r="AH439" s="285"/>
      <c r="AI439" s="285"/>
      <c r="AJ439" s="285"/>
      <c r="AK439" s="285"/>
    </row>
    <row r="440"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  <c r="AB440" s="285"/>
      <c r="AC440" s="285"/>
      <c r="AD440" s="285"/>
      <c r="AE440" s="285"/>
      <c r="AF440" s="285"/>
      <c r="AG440" s="285"/>
      <c r="AH440" s="285"/>
      <c r="AI440" s="285"/>
      <c r="AJ440" s="285"/>
      <c r="AK440" s="285"/>
    </row>
    <row r="441"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  <c r="AB441" s="285"/>
      <c r="AC441" s="285"/>
      <c r="AD441" s="285"/>
      <c r="AE441" s="285"/>
      <c r="AF441" s="285"/>
      <c r="AG441" s="285"/>
      <c r="AH441" s="285"/>
      <c r="AI441" s="285"/>
      <c r="AJ441" s="285"/>
      <c r="AK441" s="285"/>
    </row>
    <row r="442"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  <c r="AB442" s="285"/>
      <c r="AC442" s="285"/>
      <c r="AD442" s="285"/>
      <c r="AE442" s="285"/>
      <c r="AF442" s="285"/>
      <c r="AG442" s="285"/>
      <c r="AH442" s="285"/>
      <c r="AI442" s="285"/>
      <c r="AJ442" s="285"/>
      <c r="AK442" s="285"/>
    </row>
    <row r="443"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  <c r="AB443" s="285"/>
      <c r="AC443" s="285"/>
      <c r="AD443" s="285"/>
      <c r="AE443" s="285"/>
      <c r="AF443" s="285"/>
      <c r="AG443" s="285"/>
      <c r="AH443" s="285"/>
      <c r="AI443" s="285"/>
      <c r="AJ443" s="285"/>
      <c r="AK443" s="285"/>
    </row>
    <row r="444"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  <c r="AB444" s="285"/>
      <c r="AC444" s="285"/>
      <c r="AD444" s="285"/>
      <c r="AE444" s="285"/>
      <c r="AF444" s="285"/>
      <c r="AG444" s="285"/>
      <c r="AH444" s="285"/>
      <c r="AI444" s="285"/>
      <c r="AJ444" s="285"/>
      <c r="AK444" s="285"/>
    </row>
    <row r="445"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  <c r="AB445" s="285"/>
      <c r="AC445" s="285"/>
      <c r="AD445" s="285"/>
      <c r="AE445" s="285"/>
      <c r="AF445" s="285"/>
      <c r="AG445" s="285"/>
      <c r="AH445" s="285"/>
      <c r="AI445" s="285"/>
      <c r="AJ445" s="285"/>
      <c r="AK445" s="285"/>
    </row>
    <row r="446"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  <c r="AB446" s="285"/>
      <c r="AC446" s="285"/>
      <c r="AD446" s="285"/>
      <c r="AE446" s="285"/>
      <c r="AF446" s="285"/>
      <c r="AG446" s="285"/>
      <c r="AH446" s="285"/>
      <c r="AI446" s="285"/>
      <c r="AJ446" s="285"/>
      <c r="AK446" s="285"/>
    </row>
    <row r="447"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  <c r="AB447" s="285"/>
      <c r="AC447" s="285"/>
      <c r="AD447" s="285"/>
      <c r="AE447" s="285"/>
      <c r="AF447" s="285"/>
      <c r="AG447" s="285"/>
      <c r="AH447" s="285"/>
      <c r="AI447" s="285"/>
      <c r="AJ447" s="285"/>
      <c r="AK447" s="285"/>
    </row>
    <row r="448"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  <c r="AB448" s="285"/>
      <c r="AC448" s="285"/>
      <c r="AD448" s="285"/>
      <c r="AE448" s="285"/>
      <c r="AF448" s="285"/>
      <c r="AG448" s="285"/>
      <c r="AH448" s="285"/>
      <c r="AI448" s="285"/>
      <c r="AJ448" s="285"/>
      <c r="AK448" s="285"/>
    </row>
    <row r="449"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  <c r="AB449" s="285"/>
      <c r="AC449" s="285"/>
      <c r="AD449" s="285"/>
      <c r="AE449" s="285"/>
      <c r="AF449" s="285"/>
      <c r="AG449" s="285"/>
      <c r="AH449" s="285"/>
      <c r="AI449" s="285"/>
      <c r="AJ449" s="285"/>
      <c r="AK449" s="285"/>
    </row>
    <row r="450"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  <c r="AB450" s="285"/>
      <c r="AC450" s="285"/>
      <c r="AD450" s="285"/>
      <c r="AE450" s="285"/>
      <c r="AF450" s="285"/>
      <c r="AG450" s="285"/>
      <c r="AH450" s="285"/>
      <c r="AI450" s="285"/>
      <c r="AJ450" s="285"/>
      <c r="AK450" s="285"/>
    </row>
    <row r="451"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  <c r="AB451" s="285"/>
      <c r="AC451" s="285"/>
      <c r="AD451" s="285"/>
      <c r="AE451" s="285"/>
      <c r="AF451" s="285"/>
      <c r="AG451" s="285"/>
      <c r="AH451" s="285"/>
      <c r="AI451" s="285"/>
      <c r="AJ451" s="285"/>
      <c r="AK451" s="285"/>
    </row>
    <row r="452"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  <c r="AB452" s="285"/>
      <c r="AC452" s="285"/>
      <c r="AD452" s="285"/>
      <c r="AE452" s="285"/>
      <c r="AF452" s="285"/>
      <c r="AG452" s="285"/>
      <c r="AH452" s="285"/>
      <c r="AI452" s="285"/>
      <c r="AJ452" s="285"/>
      <c r="AK452" s="285"/>
    </row>
    <row r="453"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  <c r="AB453" s="285"/>
      <c r="AC453" s="285"/>
      <c r="AD453" s="285"/>
      <c r="AE453" s="285"/>
      <c r="AF453" s="285"/>
      <c r="AG453" s="285"/>
      <c r="AH453" s="285"/>
      <c r="AI453" s="285"/>
      <c r="AJ453" s="285"/>
      <c r="AK453" s="285"/>
    </row>
    <row r="454"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  <c r="AB454" s="285"/>
      <c r="AC454" s="285"/>
      <c r="AD454" s="285"/>
      <c r="AE454" s="285"/>
      <c r="AF454" s="285"/>
      <c r="AG454" s="285"/>
      <c r="AH454" s="285"/>
      <c r="AI454" s="285"/>
      <c r="AJ454" s="285"/>
      <c r="AK454" s="285"/>
    </row>
    <row r="455"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  <c r="AB455" s="285"/>
      <c r="AC455" s="285"/>
      <c r="AD455" s="285"/>
      <c r="AE455" s="285"/>
      <c r="AF455" s="285"/>
      <c r="AG455" s="285"/>
      <c r="AH455" s="285"/>
      <c r="AI455" s="285"/>
      <c r="AJ455" s="285"/>
      <c r="AK455" s="285"/>
    </row>
    <row r="456"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  <c r="AB456" s="285"/>
      <c r="AC456" s="285"/>
      <c r="AD456" s="285"/>
      <c r="AE456" s="285"/>
      <c r="AF456" s="285"/>
      <c r="AG456" s="285"/>
      <c r="AH456" s="285"/>
      <c r="AI456" s="285"/>
      <c r="AJ456" s="285"/>
      <c r="AK456" s="285"/>
    </row>
    <row r="457"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  <c r="AB457" s="285"/>
      <c r="AC457" s="285"/>
      <c r="AD457" s="285"/>
      <c r="AE457" s="285"/>
      <c r="AF457" s="285"/>
      <c r="AG457" s="285"/>
      <c r="AH457" s="285"/>
      <c r="AI457" s="285"/>
      <c r="AJ457" s="285"/>
      <c r="AK457" s="285"/>
    </row>
    <row r="458"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  <c r="AB458" s="285"/>
      <c r="AC458" s="285"/>
      <c r="AD458" s="285"/>
      <c r="AE458" s="285"/>
      <c r="AF458" s="285"/>
      <c r="AG458" s="285"/>
      <c r="AH458" s="285"/>
      <c r="AI458" s="285"/>
      <c r="AJ458" s="285"/>
      <c r="AK458" s="285"/>
    </row>
    <row r="459"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  <c r="AB459" s="285"/>
      <c r="AC459" s="285"/>
      <c r="AD459" s="285"/>
      <c r="AE459" s="285"/>
      <c r="AF459" s="285"/>
      <c r="AG459" s="285"/>
      <c r="AH459" s="285"/>
      <c r="AI459" s="285"/>
      <c r="AJ459" s="285"/>
      <c r="AK459" s="285"/>
    </row>
    <row r="460"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  <c r="AB460" s="285"/>
      <c r="AC460" s="285"/>
      <c r="AD460" s="285"/>
      <c r="AE460" s="285"/>
      <c r="AF460" s="285"/>
      <c r="AG460" s="285"/>
      <c r="AH460" s="285"/>
      <c r="AI460" s="285"/>
      <c r="AJ460" s="285"/>
      <c r="AK460" s="285"/>
    </row>
    <row r="461"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  <c r="AB461" s="285"/>
      <c r="AC461" s="285"/>
      <c r="AD461" s="285"/>
      <c r="AE461" s="285"/>
      <c r="AF461" s="285"/>
      <c r="AG461" s="285"/>
      <c r="AH461" s="285"/>
      <c r="AI461" s="285"/>
      <c r="AJ461" s="285"/>
      <c r="AK461" s="285"/>
    </row>
    <row r="462"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  <c r="AB462" s="285"/>
      <c r="AC462" s="285"/>
      <c r="AD462" s="285"/>
      <c r="AE462" s="285"/>
      <c r="AF462" s="285"/>
      <c r="AG462" s="285"/>
      <c r="AH462" s="285"/>
      <c r="AI462" s="285"/>
      <c r="AJ462" s="285"/>
      <c r="AK462" s="285"/>
    </row>
    <row r="463"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  <c r="AB463" s="285"/>
      <c r="AC463" s="285"/>
      <c r="AD463" s="285"/>
      <c r="AE463" s="285"/>
      <c r="AF463" s="285"/>
      <c r="AG463" s="285"/>
      <c r="AH463" s="285"/>
      <c r="AI463" s="285"/>
      <c r="AJ463" s="285"/>
      <c r="AK463" s="285"/>
    </row>
    <row r="464"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  <c r="AB464" s="285"/>
      <c r="AC464" s="285"/>
      <c r="AD464" s="285"/>
      <c r="AE464" s="285"/>
      <c r="AF464" s="285"/>
      <c r="AG464" s="285"/>
      <c r="AH464" s="285"/>
      <c r="AI464" s="285"/>
      <c r="AJ464" s="285"/>
      <c r="AK464" s="285"/>
    </row>
    <row r="465"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  <c r="AB465" s="285"/>
      <c r="AC465" s="285"/>
      <c r="AD465" s="285"/>
      <c r="AE465" s="285"/>
      <c r="AF465" s="285"/>
      <c r="AG465" s="285"/>
      <c r="AH465" s="285"/>
      <c r="AI465" s="285"/>
      <c r="AJ465" s="285"/>
      <c r="AK465" s="285"/>
    </row>
    <row r="466"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  <c r="AB466" s="285"/>
      <c r="AC466" s="285"/>
      <c r="AD466" s="285"/>
      <c r="AE466" s="285"/>
      <c r="AF466" s="285"/>
      <c r="AG466" s="285"/>
      <c r="AH466" s="285"/>
      <c r="AI466" s="285"/>
      <c r="AJ466" s="285"/>
      <c r="AK466" s="285"/>
    </row>
    <row r="467"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  <c r="AB467" s="285"/>
      <c r="AC467" s="285"/>
      <c r="AD467" s="285"/>
      <c r="AE467" s="285"/>
      <c r="AF467" s="285"/>
      <c r="AG467" s="285"/>
      <c r="AH467" s="285"/>
      <c r="AI467" s="285"/>
      <c r="AJ467" s="285"/>
      <c r="AK467" s="285"/>
    </row>
    <row r="468"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  <c r="AB468" s="285"/>
      <c r="AC468" s="285"/>
      <c r="AD468" s="285"/>
      <c r="AE468" s="285"/>
      <c r="AF468" s="285"/>
      <c r="AG468" s="285"/>
      <c r="AH468" s="285"/>
      <c r="AI468" s="285"/>
      <c r="AJ468" s="285"/>
      <c r="AK468" s="285"/>
    </row>
    <row r="469"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  <c r="AB469" s="285"/>
      <c r="AC469" s="285"/>
      <c r="AD469" s="285"/>
      <c r="AE469" s="285"/>
      <c r="AF469" s="285"/>
      <c r="AG469" s="285"/>
      <c r="AH469" s="285"/>
      <c r="AI469" s="285"/>
      <c r="AJ469" s="285"/>
      <c r="AK469" s="285"/>
    </row>
    <row r="470"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  <c r="AB470" s="285"/>
      <c r="AC470" s="285"/>
      <c r="AD470" s="285"/>
      <c r="AE470" s="285"/>
      <c r="AF470" s="285"/>
      <c r="AG470" s="285"/>
      <c r="AH470" s="285"/>
      <c r="AI470" s="285"/>
      <c r="AJ470" s="285"/>
      <c r="AK470" s="285"/>
    </row>
    <row r="471"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  <c r="AB471" s="285"/>
      <c r="AC471" s="285"/>
      <c r="AD471" s="285"/>
      <c r="AE471" s="285"/>
      <c r="AF471" s="285"/>
      <c r="AG471" s="285"/>
      <c r="AH471" s="285"/>
      <c r="AI471" s="285"/>
      <c r="AJ471" s="285"/>
      <c r="AK471" s="285"/>
    </row>
    <row r="472"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  <c r="AB472" s="285"/>
      <c r="AC472" s="285"/>
      <c r="AD472" s="285"/>
      <c r="AE472" s="285"/>
      <c r="AF472" s="285"/>
      <c r="AG472" s="285"/>
      <c r="AH472" s="285"/>
      <c r="AI472" s="285"/>
      <c r="AJ472" s="285"/>
      <c r="AK472" s="285"/>
    </row>
    <row r="473"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  <c r="AB473" s="285"/>
      <c r="AC473" s="285"/>
      <c r="AD473" s="285"/>
      <c r="AE473" s="285"/>
      <c r="AF473" s="285"/>
      <c r="AG473" s="285"/>
      <c r="AH473" s="285"/>
      <c r="AI473" s="285"/>
      <c r="AJ473" s="285"/>
      <c r="AK473" s="285"/>
    </row>
    <row r="474"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  <c r="AB474" s="285"/>
      <c r="AC474" s="285"/>
      <c r="AD474" s="285"/>
      <c r="AE474" s="285"/>
      <c r="AF474" s="285"/>
      <c r="AG474" s="285"/>
      <c r="AH474" s="285"/>
      <c r="AI474" s="285"/>
      <c r="AJ474" s="285"/>
      <c r="AK474" s="285"/>
    </row>
    <row r="475"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  <c r="AB475" s="285"/>
      <c r="AC475" s="285"/>
      <c r="AD475" s="285"/>
      <c r="AE475" s="285"/>
      <c r="AF475" s="285"/>
      <c r="AG475" s="285"/>
      <c r="AH475" s="285"/>
      <c r="AI475" s="285"/>
      <c r="AJ475" s="285"/>
      <c r="AK475" s="285"/>
    </row>
    <row r="476"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  <c r="AB476" s="285"/>
      <c r="AC476" s="285"/>
      <c r="AD476" s="285"/>
      <c r="AE476" s="285"/>
      <c r="AF476" s="285"/>
      <c r="AG476" s="285"/>
      <c r="AH476" s="285"/>
      <c r="AI476" s="285"/>
      <c r="AJ476" s="285"/>
      <c r="AK476" s="285"/>
    </row>
    <row r="477"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  <c r="AB477" s="285"/>
      <c r="AC477" s="285"/>
      <c r="AD477" s="285"/>
      <c r="AE477" s="285"/>
      <c r="AF477" s="285"/>
      <c r="AG477" s="285"/>
      <c r="AH477" s="285"/>
      <c r="AI477" s="285"/>
      <c r="AJ477" s="285"/>
      <c r="AK477" s="285"/>
    </row>
    <row r="478"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  <c r="AB478" s="285"/>
      <c r="AC478" s="285"/>
      <c r="AD478" s="285"/>
      <c r="AE478" s="285"/>
      <c r="AF478" s="285"/>
      <c r="AG478" s="285"/>
      <c r="AH478" s="285"/>
      <c r="AI478" s="285"/>
      <c r="AJ478" s="285"/>
      <c r="AK478" s="285"/>
    </row>
    <row r="479"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  <c r="AB479" s="285"/>
      <c r="AC479" s="285"/>
      <c r="AD479" s="285"/>
      <c r="AE479" s="285"/>
      <c r="AF479" s="285"/>
      <c r="AG479" s="285"/>
      <c r="AH479" s="285"/>
      <c r="AI479" s="285"/>
      <c r="AJ479" s="285"/>
      <c r="AK479" s="285"/>
    </row>
    <row r="480"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  <c r="AB480" s="285"/>
      <c r="AC480" s="285"/>
      <c r="AD480" s="285"/>
      <c r="AE480" s="285"/>
      <c r="AF480" s="285"/>
      <c r="AG480" s="285"/>
      <c r="AH480" s="285"/>
      <c r="AI480" s="285"/>
      <c r="AJ480" s="285"/>
      <c r="AK480" s="285"/>
    </row>
    <row r="481"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  <c r="AB481" s="285"/>
      <c r="AC481" s="285"/>
      <c r="AD481" s="285"/>
      <c r="AE481" s="285"/>
      <c r="AF481" s="285"/>
      <c r="AG481" s="285"/>
      <c r="AH481" s="285"/>
      <c r="AI481" s="285"/>
      <c r="AJ481" s="285"/>
      <c r="AK481" s="285"/>
    </row>
    <row r="482"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  <c r="AB482" s="285"/>
      <c r="AC482" s="285"/>
      <c r="AD482" s="285"/>
      <c r="AE482" s="285"/>
      <c r="AF482" s="285"/>
      <c r="AG482" s="285"/>
      <c r="AH482" s="285"/>
      <c r="AI482" s="285"/>
      <c r="AJ482" s="285"/>
      <c r="AK482" s="285"/>
    </row>
    <row r="483"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  <c r="AB483" s="285"/>
      <c r="AC483" s="285"/>
      <c r="AD483" s="285"/>
      <c r="AE483" s="285"/>
      <c r="AF483" s="285"/>
      <c r="AG483" s="285"/>
      <c r="AH483" s="285"/>
      <c r="AI483" s="285"/>
      <c r="AJ483" s="285"/>
      <c r="AK483" s="285"/>
    </row>
    <row r="484"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  <c r="AB484" s="285"/>
      <c r="AC484" s="285"/>
      <c r="AD484" s="285"/>
      <c r="AE484" s="285"/>
      <c r="AF484" s="285"/>
      <c r="AG484" s="285"/>
      <c r="AH484" s="285"/>
      <c r="AI484" s="285"/>
      <c r="AJ484" s="285"/>
      <c r="AK484" s="285"/>
    </row>
    <row r="485"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  <c r="AB485" s="285"/>
      <c r="AC485" s="285"/>
      <c r="AD485" s="285"/>
      <c r="AE485" s="285"/>
      <c r="AF485" s="285"/>
      <c r="AG485" s="285"/>
      <c r="AH485" s="285"/>
      <c r="AI485" s="285"/>
      <c r="AJ485" s="285"/>
      <c r="AK485" s="285"/>
    </row>
    <row r="486"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  <c r="AB486" s="285"/>
      <c r="AC486" s="285"/>
      <c r="AD486" s="285"/>
      <c r="AE486" s="285"/>
      <c r="AF486" s="285"/>
      <c r="AG486" s="285"/>
      <c r="AH486" s="285"/>
      <c r="AI486" s="285"/>
      <c r="AJ486" s="285"/>
      <c r="AK486" s="285"/>
    </row>
    <row r="487"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  <c r="AB487" s="285"/>
      <c r="AC487" s="285"/>
      <c r="AD487" s="285"/>
      <c r="AE487" s="285"/>
      <c r="AF487" s="285"/>
      <c r="AG487" s="285"/>
      <c r="AH487" s="285"/>
      <c r="AI487" s="285"/>
      <c r="AJ487" s="285"/>
      <c r="AK487" s="285"/>
    </row>
    <row r="488"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  <c r="AB488" s="285"/>
      <c r="AC488" s="285"/>
      <c r="AD488" s="285"/>
      <c r="AE488" s="285"/>
      <c r="AF488" s="285"/>
      <c r="AG488" s="285"/>
      <c r="AH488" s="285"/>
      <c r="AI488" s="285"/>
      <c r="AJ488" s="285"/>
      <c r="AK488" s="285"/>
    </row>
    <row r="489"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  <c r="AB489" s="285"/>
      <c r="AC489" s="285"/>
      <c r="AD489" s="285"/>
      <c r="AE489" s="285"/>
      <c r="AF489" s="285"/>
      <c r="AG489" s="285"/>
      <c r="AH489" s="285"/>
      <c r="AI489" s="285"/>
      <c r="AJ489" s="285"/>
      <c r="AK489" s="285"/>
    </row>
    <row r="490"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  <c r="AB490" s="285"/>
      <c r="AC490" s="285"/>
      <c r="AD490" s="285"/>
      <c r="AE490" s="285"/>
      <c r="AF490" s="285"/>
      <c r="AG490" s="285"/>
      <c r="AH490" s="285"/>
      <c r="AI490" s="285"/>
      <c r="AJ490" s="285"/>
      <c r="AK490" s="285"/>
    </row>
    <row r="491"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  <c r="AB491" s="285"/>
      <c r="AC491" s="285"/>
      <c r="AD491" s="285"/>
      <c r="AE491" s="285"/>
      <c r="AF491" s="285"/>
      <c r="AG491" s="285"/>
      <c r="AH491" s="285"/>
      <c r="AI491" s="285"/>
      <c r="AJ491" s="285"/>
      <c r="AK491" s="285"/>
    </row>
    <row r="492"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  <c r="AB492" s="285"/>
      <c r="AC492" s="285"/>
      <c r="AD492" s="285"/>
      <c r="AE492" s="285"/>
      <c r="AF492" s="285"/>
      <c r="AG492" s="285"/>
      <c r="AH492" s="285"/>
      <c r="AI492" s="285"/>
      <c r="AJ492" s="285"/>
      <c r="AK492" s="285"/>
    </row>
    <row r="493"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  <c r="AB493" s="285"/>
      <c r="AC493" s="285"/>
      <c r="AD493" s="285"/>
      <c r="AE493" s="285"/>
      <c r="AF493" s="285"/>
      <c r="AG493" s="285"/>
      <c r="AH493" s="285"/>
      <c r="AI493" s="285"/>
      <c r="AJ493" s="285"/>
      <c r="AK493" s="285"/>
    </row>
    <row r="494"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  <c r="AB494" s="285"/>
      <c r="AC494" s="285"/>
      <c r="AD494" s="285"/>
      <c r="AE494" s="285"/>
      <c r="AF494" s="285"/>
      <c r="AG494" s="285"/>
      <c r="AH494" s="285"/>
      <c r="AI494" s="285"/>
      <c r="AJ494" s="285"/>
      <c r="AK494" s="285"/>
    </row>
    <row r="495"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  <c r="AB495" s="285"/>
      <c r="AC495" s="285"/>
      <c r="AD495" s="285"/>
      <c r="AE495" s="285"/>
      <c r="AF495" s="285"/>
      <c r="AG495" s="285"/>
      <c r="AH495" s="285"/>
      <c r="AI495" s="285"/>
      <c r="AJ495" s="285"/>
      <c r="AK495" s="285"/>
    </row>
    <row r="496"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  <c r="AB496" s="285"/>
      <c r="AC496" s="285"/>
      <c r="AD496" s="285"/>
      <c r="AE496" s="285"/>
      <c r="AF496" s="285"/>
      <c r="AG496" s="285"/>
      <c r="AH496" s="285"/>
      <c r="AI496" s="285"/>
      <c r="AJ496" s="285"/>
      <c r="AK496" s="285"/>
    </row>
    <row r="497"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Q497" s="337"/>
      <c r="R497" s="337"/>
      <c r="S497" s="337"/>
      <c r="T497" s="337"/>
      <c r="U497" s="337"/>
      <c r="V497" s="337"/>
      <c r="W497" s="337"/>
      <c r="X497" s="337"/>
      <c r="Y497" s="337"/>
      <c r="Z497" s="337"/>
      <c r="AB497" s="337"/>
      <c r="AC497" s="337"/>
      <c r="AD497" s="337"/>
      <c r="AE497" s="337"/>
      <c r="AF497" s="337"/>
      <c r="AG497" s="337"/>
      <c r="AH497" s="337"/>
      <c r="AI497" s="337"/>
      <c r="AJ497" s="337"/>
      <c r="AK497" s="337"/>
    </row>
  </sheetData>
  <mergeCells count="6">
    <mergeCell ref="B17:C17"/>
    <mergeCell ref="B18:C19"/>
    <mergeCell ref="B21:C21"/>
    <mergeCell ref="B22:C23"/>
    <mergeCell ref="B25:C25"/>
    <mergeCell ref="B26:C27"/>
  </mergeCells>
  <conditionalFormatting sqref="F3:O497">
    <cfRule type="expression" dxfId="9" priority="1">
      <formula>$J3="Leads Baru"</formula>
    </cfRule>
  </conditionalFormatting>
  <conditionalFormatting sqref="F3:O497">
    <cfRule type="expression" dxfId="10" priority="2">
      <formula>$J3="Qualified"</formula>
    </cfRule>
  </conditionalFormatting>
  <conditionalFormatting sqref="F3:O497">
    <cfRule type="expression" dxfId="11" priority="3">
      <formula>$J3="Prospek"</formula>
    </cfRule>
  </conditionalFormatting>
  <conditionalFormatting sqref="F3:O497">
    <cfRule type="expression" dxfId="12" priority="4">
      <formula>$J3="Follow Up"</formula>
    </cfRule>
  </conditionalFormatting>
  <conditionalFormatting sqref="F3:O497">
    <cfRule type="expression" dxfId="13" priority="5">
      <formula>$J3="Warm Leads"</formula>
    </cfRule>
  </conditionalFormatting>
  <conditionalFormatting sqref="F3:O497">
    <cfRule type="expression" dxfId="14" priority="6">
      <formula>$J3="Hot Leads"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88"/>
    <col customWidth="1" min="2" max="2" width="15.75"/>
    <col customWidth="1" min="3" max="3" width="10.75"/>
    <col customWidth="1" min="4" max="5" width="3.88"/>
    <col customWidth="1" min="6" max="7" width="9.5"/>
    <col customWidth="1" min="8" max="8" width="25.63"/>
    <col customWidth="1" min="9" max="9" width="15.75"/>
    <col customWidth="1" min="10" max="10" width="10.38"/>
    <col customWidth="1" min="11" max="12" width="17.5"/>
    <col customWidth="1" min="13" max="13" width="5.63"/>
    <col customWidth="1" min="14" max="14" width="14.63"/>
    <col customWidth="1" min="15" max="15" width="35.63"/>
    <col customWidth="1" min="16" max="16" width="7.25"/>
    <col customWidth="1" min="17" max="18" width="9.5"/>
    <col customWidth="1" min="19" max="19" width="25.63"/>
    <col customWidth="1" min="20" max="20" width="15.75"/>
    <col customWidth="1" min="21" max="21" width="10.38"/>
    <col customWidth="1" min="22" max="23" width="17.5"/>
    <col customWidth="1" min="24" max="24" width="5.63"/>
    <col customWidth="1" min="25" max="25" width="14.63"/>
    <col customWidth="1" min="26" max="26" width="35.63"/>
    <col customWidth="1" min="27" max="27" width="7.25"/>
    <col customWidth="1" min="28" max="29" width="9.5"/>
    <col customWidth="1" min="30" max="30" width="25.63"/>
    <col customWidth="1" min="31" max="31" width="15.75"/>
    <col customWidth="1" min="32" max="32" width="10.38"/>
    <col customWidth="1" min="33" max="34" width="17.5"/>
    <col customWidth="1" min="35" max="35" width="5.63"/>
    <col customWidth="1" min="36" max="36" width="14.63"/>
    <col customWidth="1" min="37" max="37" width="35.63"/>
    <col customWidth="1" min="38" max="38" width="7.25"/>
  </cols>
  <sheetData>
    <row r="1">
      <c r="Q1" s="200"/>
      <c r="AB1" s="200"/>
    </row>
    <row r="2">
      <c r="A2" s="272"/>
      <c r="B2" s="344" t="s">
        <v>1185</v>
      </c>
      <c r="C2" s="345">
        <v>2026.0</v>
      </c>
      <c r="D2" s="272"/>
      <c r="E2" s="272"/>
      <c r="F2" s="275" t="str">
        <f>IFERROR(__xludf.DUMMYFUNCTION("QUERY(
 'Input Data'!A:M,
 ""select A,B,C,D,G,H,I,J,K,L
  where F = 'Dela'
    and M &lt;= 6
    and month(B) = ""&amp;
     (MATCH(B2,
       {""Januari"";""Februari"";""Maret"";""April"";""Mei"";""Juni"";
        ""Juli"";""Agustus"";""September"";""Oktober"";"&amp;"""November"";""Desember""},
       0
     )-1)&amp;
   "" and year(B) = ""&amp;C2&amp;""
  order by M asc"",
 1
)
"),"KODE")</f>
        <v>KODE</v>
      </c>
      <c r="G2" s="275" t="str">
        <f>IFERROR(__xludf.DUMMYFUNCTION("""COMPUTED_VALUE"""),"TANGGAL")</f>
        <v>TANGGAL</v>
      </c>
      <c r="H2" s="275" t="str">
        <f>IFERROR(__xludf.DUMMYFUNCTION("""COMPUTED_VALUE"""),"NAMA")</f>
        <v>NAMA</v>
      </c>
      <c r="I2" s="275" t="str">
        <f>IFERROR(__xludf.DUMMYFUNCTION("""COMPUTED_VALUE"""),"WHATSAPP")</f>
        <v>WHATSAPP</v>
      </c>
      <c r="J2" s="275" t="str">
        <f>IFERROR(__xludf.DUMMYFUNCTION("""COMPUTED_VALUE"""),"STATUS")</f>
        <v>STATUS</v>
      </c>
      <c r="K2" s="275" t="str">
        <f>IFERROR(__xludf.DUMMYFUNCTION("""COMPUTED_VALUE"""),"PAKET / DESTINASI")</f>
        <v>PAKET / DESTINASI</v>
      </c>
      <c r="L2" s="275" t="str">
        <f>IFERROR(__xludf.DUMMYFUNCTION("""COMPUTED_VALUE"""),"TANGGAL TRIP")</f>
        <v>TANGGAL TRIP</v>
      </c>
      <c r="M2" s="275" t="str">
        <f>IFERROR(__xludf.DUMMYFUNCTION("""COMPUTED_VALUE"""),"PAX")</f>
        <v>PAX</v>
      </c>
      <c r="N2" s="275" t="str">
        <f>IFERROR(__xludf.DUMMYFUNCTION("""COMPUTED_VALUE"""),"ESTIMASI NILAI ORDER")</f>
        <v>ESTIMASI NILAI ORDER</v>
      </c>
      <c r="O2" s="275" t="str">
        <f>IFERROR(__xludf.DUMMYFUNCTION("""COMPUTED_VALUE"""),"KETERANGAN")</f>
        <v>KETERANGAN</v>
      </c>
      <c r="P2" s="272"/>
      <c r="Q2" s="280" t="str">
        <f>IFERROR(__xludf.DUMMYFUNCTION("QUERY(
 'Input Data'!A:M,
 ""select A,B,C,D,G,H,I,J,K,L
  where F = 'Dela'
    and M =7
    and month(B) = ""&amp;
     (MATCH(B2,
       {""Januari"";""Februari"";""Maret"";""April"";""Mei"";""Juni"";
        ""Juli"";""Agustus"";""September"";""Oktober"";"""&amp;"November"";""Desember""},
       0
     )-1)&amp;
   "" and year(B) = ""&amp;C2&amp;""
  order by M asc"",
 1
)
"),"KODE")</f>
        <v>KODE</v>
      </c>
      <c r="R2" s="280" t="str">
        <f>IFERROR(__xludf.DUMMYFUNCTION("""COMPUTED_VALUE"""),"TANGGAL")</f>
        <v>TANGGAL</v>
      </c>
      <c r="S2" s="280" t="str">
        <f>IFERROR(__xludf.DUMMYFUNCTION("""COMPUTED_VALUE"""),"NAMA")</f>
        <v>NAMA</v>
      </c>
      <c r="T2" s="280" t="str">
        <f>IFERROR(__xludf.DUMMYFUNCTION("""COMPUTED_VALUE"""),"WHATSAPP")</f>
        <v>WHATSAPP</v>
      </c>
      <c r="U2" s="280" t="str">
        <f>IFERROR(__xludf.DUMMYFUNCTION("""COMPUTED_VALUE"""),"STATUS")</f>
        <v>STATUS</v>
      </c>
      <c r="V2" s="280" t="str">
        <f>IFERROR(__xludf.DUMMYFUNCTION("""COMPUTED_VALUE"""),"PAKET / DESTINASI")</f>
        <v>PAKET / DESTINASI</v>
      </c>
      <c r="W2" s="280" t="str">
        <f>IFERROR(__xludf.DUMMYFUNCTION("""COMPUTED_VALUE"""),"TANGGAL TRIP")</f>
        <v>TANGGAL TRIP</v>
      </c>
      <c r="X2" s="280" t="str">
        <f>IFERROR(__xludf.DUMMYFUNCTION("""COMPUTED_VALUE"""),"PAX")</f>
        <v>PAX</v>
      </c>
      <c r="Y2" s="280" t="str">
        <f>IFERROR(__xludf.DUMMYFUNCTION("""COMPUTED_VALUE"""),"ESTIMASI NILAI ORDER")</f>
        <v>ESTIMASI NILAI ORDER</v>
      </c>
      <c r="Z2" s="280" t="str">
        <f>IFERROR(__xludf.DUMMYFUNCTION("""COMPUTED_VALUE"""),"KETERANGAN")</f>
        <v>KETERANGAN</v>
      </c>
      <c r="AA2" s="272"/>
      <c r="AB2" s="282" t="str">
        <f>IFERROR(__xludf.DUMMYFUNCTION("QUERY(
 'Input Data'!A:M,
 ""select A,B,C,D,G,H,I,J,K,L
  where F = 'Dela'
    and M =8
    and month(B) = ""&amp;
     (MATCH(B2,
       {""Januari"";""Februari"";""Maret"";""April"";""Mei"";""Juni"";
        ""Juli"";""Agustus"";""September"";""Oktober"";"""&amp;"November"";""Desember""},
       0
     )-1)&amp;
   "" and year(B) = ""&amp;C2&amp;""
  order by M asc"",
 1
)
"),"KODE")</f>
        <v>KODE</v>
      </c>
      <c r="AC2" s="282" t="str">
        <f>IFERROR(__xludf.DUMMYFUNCTION("""COMPUTED_VALUE"""),"TANGGAL")</f>
        <v>TANGGAL</v>
      </c>
      <c r="AD2" s="282" t="str">
        <f>IFERROR(__xludf.DUMMYFUNCTION("""COMPUTED_VALUE"""),"NAMA")</f>
        <v>NAMA</v>
      </c>
      <c r="AE2" s="282" t="str">
        <f>IFERROR(__xludf.DUMMYFUNCTION("""COMPUTED_VALUE"""),"WHATSAPP")</f>
        <v>WHATSAPP</v>
      </c>
      <c r="AF2" s="282" t="str">
        <f>IFERROR(__xludf.DUMMYFUNCTION("""COMPUTED_VALUE"""),"STATUS")</f>
        <v>STATUS</v>
      </c>
      <c r="AG2" s="282" t="str">
        <f>IFERROR(__xludf.DUMMYFUNCTION("""COMPUTED_VALUE"""),"PAKET / DESTINASI")</f>
        <v>PAKET / DESTINASI</v>
      </c>
      <c r="AH2" s="282" t="str">
        <f>IFERROR(__xludf.DUMMYFUNCTION("""COMPUTED_VALUE"""),"TANGGAL TRIP")</f>
        <v>TANGGAL TRIP</v>
      </c>
      <c r="AI2" s="282" t="str">
        <f>IFERROR(__xludf.DUMMYFUNCTION("""COMPUTED_VALUE"""),"PAX")</f>
        <v>PAX</v>
      </c>
      <c r="AJ2" s="282" t="str">
        <f>IFERROR(__xludf.DUMMYFUNCTION("""COMPUTED_VALUE"""),"ESTIMASI NILAI ORDER")</f>
        <v>ESTIMASI NILAI ORDER</v>
      </c>
      <c r="AK2" s="282" t="str">
        <f>IFERROR(__xludf.DUMMYFUNCTION("""COMPUTED_VALUE"""),"KETERANGAN")</f>
        <v>KETERANGAN</v>
      </c>
      <c r="AL2" s="272"/>
    </row>
    <row r="3">
      <c r="F3" s="285" t="str">
        <f>IFERROR(__xludf.DUMMYFUNCTION("""COMPUTED_VALUE"""),"2603D038")</f>
        <v>2603D038</v>
      </c>
      <c r="G3" s="286">
        <f>IFERROR(__xludf.DUMMYFUNCTION("""COMPUTED_VALUE"""),46089.0)</f>
        <v>46089</v>
      </c>
      <c r="H3" s="285" t="str">
        <f>IFERROR(__xludf.DUMMYFUNCTION("""COMPUTED_VALUE"""),"Ericka")</f>
        <v>Ericka</v>
      </c>
      <c r="I3" s="285" t="str">
        <f>IFERROR(__xludf.DUMMYFUNCTION("""COMPUTED_VALUE"""),"089608986331")</f>
        <v>089608986331</v>
      </c>
      <c r="J3" s="285" t="str">
        <f>IFERROR(__xludf.DUMMYFUNCTION("""COMPUTED_VALUE"""),"Leads Baru")</f>
        <v>Leads Baru</v>
      </c>
      <c r="K3" s="285"/>
      <c r="L3" s="287"/>
      <c r="M3" s="285"/>
      <c r="N3" s="289"/>
      <c r="O3" s="285" t="str">
        <f>IFERROR(__xludf.DUMMYFUNCTION("""COMPUTED_VALUE"""),"belum ada jawaban, fu kembali 20 Juli")</f>
        <v>belum ada jawaban, fu kembali 20 Juli</v>
      </c>
      <c r="Q3" s="285" t="str">
        <f>IFERROR(__xludf.DUMMYFUNCTION("""COMPUTED_VALUE"""),"2603D001")</f>
        <v>2603D001</v>
      </c>
      <c r="R3" s="286">
        <f>IFERROR(__xludf.DUMMYFUNCTION("""COMPUTED_VALUE"""),46082.0)</f>
        <v>46082</v>
      </c>
      <c r="S3" s="285" t="str">
        <f>IFERROR(__xludf.DUMMYFUNCTION("""COMPUTED_VALUE"""),"alimaa")</f>
        <v>alimaa</v>
      </c>
      <c r="T3" s="285" t="str">
        <f>IFERROR(__xludf.DUMMYFUNCTION("""COMPUTED_VALUE"""),"087775157228")</f>
        <v>087775157228</v>
      </c>
      <c r="U3" s="285" t="str">
        <f>IFERROR(__xludf.DUMMYFUNCTION("""COMPUTED_VALUE"""),"Closing")</f>
        <v>Closing</v>
      </c>
      <c r="V3" s="285" t="str">
        <f>IFERROR(__xludf.DUMMYFUNCTION("""COMPUTED_VALUE"""),"OT menjangan tabuhan")</f>
        <v>OT menjangan tabuhan</v>
      </c>
      <c r="W3" s="287"/>
      <c r="X3" s="285">
        <f>IFERROR(__xludf.DUMMYFUNCTION("""COMPUTED_VALUE"""),4.0)</f>
        <v>4</v>
      </c>
      <c r="Y3" s="289">
        <f>IFERROR(__xludf.DUMMYFUNCTION("""COMPUTED_VALUE"""),1180000.0)</f>
        <v>1180000</v>
      </c>
      <c r="Z3" s="285" t="str">
        <f>IFERROR(__xludf.DUMMYFUNCTION("""COMPUTED_VALUE"""),"orderr, temen sikna")</f>
        <v>orderr, temen sikna</v>
      </c>
      <c r="AB3" s="285" t="str">
        <f>IFERROR(__xludf.DUMMYFUNCTION("""COMPUTED_VALUE"""),"2603D002")</f>
        <v>2603D002</v>
      </c>
      <c r="AC3" s="286">
        <f>IFERROR(__xludf.DUMMYFUNCTION("""COMPUTED_VALUE"""),46082.0)</f>
        <v>46082</v>
      </c>
      <c r="AD3" s="285" t="str">
        <f>IFERROR(__xludf.DUMMYFUNCTION("""COMPUTED_VALUE"""),"Marita")</f>
        <v>Marita</v>
      </c>
      <c r="AE3" s="285" t="str">
        <f>IFERROR(__xludf.DUMMYFUNCTION("""COMPUTED_VALUE"""),"085945580825")</f>
        <v>085945580825</v>
      </c>
      <c r="AF3" s="285" t="str">
        <f>IFERROR(__xludf.DUMMYFUNCTION("""COMPUTED_VALUE"""),"Gagal")</f>
        <v>Gagal</v>
      </c>
      <c r="AG3" s="285"/>
      <c r="AH3" s="287"/>
      <c r="AI3" s="285"/>
      <c r="AJ3" s="289"/>
      <c r="AK3" s="285" t="str">
        <f>IFERROR(__xludf.DUMMYFUNCTION("""COMPUTED_VALUE"""),"hanya menyapa, tidak ada jawaban")</f>
        <v>hanya menyapa, tidak ada jawaban</v>
      </c>
    </row>
    <row r="4">
      <c r="B4" s="235" t="s">
        <v>6</v>
      </c>
      <c r="C4" s="346" t="s">
        <v>10220</v>
      </c>
      <c r="F4" s="285" t="str">
        <f>IFERROR(__xludf.DUMMYFUNCTION("""COMPUTED_VALUE"""),"2603D056")</f>
        <v>2603D056</v>
      </c>
      <c r="G4" s="286">
        <f>IFERROR(__xludf.DUMMYFUNCTION("""COMPUTED_VALUE"""),46093.0)</f>
        <v>46093</v>
      </c>
      <c r="H4" s="285" t="str">
        <f>IFERROR(__xludf.DUMMYFUNCTION("""COMPUTED_VALUE"""),"Krisna Buana")</f>
        <v>Krisna Buana</v>
      </c>
      <c r="I4" s="285" t="str">
        <f>IFERROR(__xludf.DUMMYFUNCTION("""COMPUTED_VALUE"""),"0895387055527")</f>
        <v>0895387055527</v>
      </c>
      <c r="J4" s="285" t="str">
        <f>IFERROR(__xludf.DUMMYFUNCTION("""COMPUTED_VALUE"""),"Leads Baru")</f>
        <v>Leads Baru</v>
      </c>
      <c r="K4" s="285" t="str">
        <f>IFERROR(__xludf.DUMMYFUNCTION("""COMPUTED_VALUE"""),"3H2M")</f>
        <v>3H2M</v>
      </c>
      <c r="L4" s="287"/>
      <c r="M4" s="285"/>
      <c r="N4" s="289"/>
      <c r="O4" s="285" t="str">
        <f>IFERROR(__xludf.DUMMYFUNCTION("""COMPUTED_VALUE"""),"FU 16 Juni")</f>
        <v>FU 16 Juni</v>
      </c>
      <c r="Q4" s="285" t="str">
        <f>IFERROR(__xludf.DUMMYFUNCTION("""COMPUTED_VALUE"""),"masih diskusi sm istrinya, FU 24 Mei ")</f>
        <v>masih diskusi sm istrinya, FU 24 Mei </v>
      </c>
      <c r="R4" s="286">
        <f>IFERROR(__xludf.DUMMYFUNCTION("""COMPUTED_VALUE"""),46083.0)</f>
        <v>46083</v>
      </c>
      <c r="S4" s="285" t="str">
        <f>IFERROR(__xludf.DUMMYFUNCTION("""COMPUTED_VALUE"""),"Dita")</f>
        <v>Dita</v>
      </c>
      <c r="T4" s="285" t="str">
        <f>IFERROR(__xludf.DUMMYFUNCTION("""COMPUTED_VALUE"""),"08119693747")</f>
        <v>08119693747</v>
      </c>
      <c r="U4" s="285" t="str">
        <f>IFERROR(__xludf.DUMMYFUNCTION("""COMPUTED_VALUE"""),"Closing")</f>
        <v>Closing</v>
      </c>
      <c r="V4" s="285" t="str">
        <f>IFERROR(__xludf.DUMMYFUNCTION("""COMPUTED_VALUE"""),"4H3M")</f>
        <v>4H3M</v>
      </c>
      <c r="W4" s="287"/>
      <c r="X4" s="285">
        <f>IFERROR(__xludf.DUMMYFUNCTION("""COMPUTED_VALUE"""),66.0)</f>
        <v>66</v>
      </c>
      <c r="Y4" s="289"/>
      <c r="Z4" s="285" t="str">
        <f>IFERROR(__xludf.DUMMYFUNCTION("""COMPUTED_VALUE"""),"orderrrrr")</f>
        <v>orderrrrr</v>
      </c>
      <c r="AB4" s="285" t="str">
        <f>IFERROR(__xludf.DUMMYFUNCTION("""COMPUTED_VALUE"""),"2603D003")</f>
        <v>2603D003</v>
      </c>
      <c r="AC4" s="286">
        <f>IFERROR(__xludf.DUMMYFUNCTION("""COMPUTED_VALUE"""),46082.0)</f>
        <v>46082</v>
      </c>
      <c r="AD4" s="285" t="str">
        <f>IFERROR(__xludf.DUMMYFUNCTION("""COMPUTED_VALUE"""),"Wilda Nurrohma")</f>
        <v>Wilda Nurrohma</v>
      </c>
      <c r="AE4" s="285" t="str">
        <f>IFERROR(__xludf.DUMMYFUNCTION("""COMPUTED_VALUE"""),"082221225119")</f>
        <v>082221225119</v>
      </c>
      <c r="AF4" s="285" t="str">
        <f>IFERROR(__xludf.DUMMYFUNCTION("""COMPUTED_VALUE"""),"Gagal")</f>
        <v>Gagal</v>
      </c>
      <c r="AG4" s="285" t="str">
        <f>IFERROR(__xludf.DUMMYFUNCTION("""COMPUTED_VALUE"""),"trip kawah wurung baluran")</f>
        <v>trip kawah wurung baluran</v>
      </c>
      <c r="AH4" s="287">
        <f>IFERROR(__xludf.DUMMYFUNCTION("""COMPUTED_VALUE"""),46105.0)</f>
        <v>46105</v>
      </c>
      <c r="AI4" s="285">
        <f>IFERROR(__xludf.DUMMYFUNCTION("""COMPUTED_VALUE"""),5.0)</f>
        <v>5</v>
      </c>
      <c r="AJ4" s="289">
        <f>IFERROR(__xludf.DUMMYFUNCTION("""COMPUTED_VALUE"""),3139500.0)</f>
        <v>3139500</v>
      </c>
      <c r="AK4" s="285" t="str">
        <f>IFERROR(__xludf.DUMMYFUNCTION("""COMPUTED_VALUE"""),"belum jadi ke Banyuwangi")</f>
        <v>belum jadi ke Banyuwangi</v>
      </c>
    </row>
    <row r="5">
      <c r="B5" s="283" t="s">
        <v>10201</v>
      </c>
      <c r="C5" s="284">
        <f>COUNTIF(J3:J497,"Leads Baru")
</f>
        <v>4</v>
      </c>
      <c r="F5" s="285" t="str">
        <f>IFERROR(__xludf.DUMMYFUNCTION("""COMPUTED_VALUE"""),"2603D119")</f>
        <v>2603D119</v>
      </c>
      <c r="G5" s="286">
        <f>IFERROR(__xludf.DUMMYFUNCTION("""COMPUTED_VALUE"""),46105.0)</f>
        <v>46105</v>
      </c>
      <c r="H5" s="285" t="str">
        <f>IFERROR(__xludf.DUMMYFUNCTION("""COMPUTED_VALUE"""),"Putri ")</f>
        <v>Putri </v>
      </c>
      <c r="I5" s="285" t="str">
        <f>IFERROR(__xludf.DUMMYFUNCTION("""COMPUTED_VALUE"""),"085883174655")</f>
        <v>085883174655</v>
      </c>
      <c r="J5" s="285" t="str">
        <f>IFERROR(__xludf.DUMMYFUNCTION("""COMPUTED_VALUE"""),"Leads Baru")</f>
        <v>Leads Baru</v>
      </c>
      <c r="K5" s="285" t="str">
        <f>IFERROR(__xludf.DUMMYFUNCTION("""COMPUTED_VALUE"""),"3H2M ")</f>
        <v>3H2M </v>
      </c>
      <c r="L5" s="287"/>
      <c r="M5" s="285">
        <f>IFERROR(__xludf.DUMMYFUNCTION("""COMPUTED_VALUE"""),2.0)</f>
        <v>2</v>
      </c>
      <c r="N5" s="289"/>
      <c r="O5" s="285" t="str">
        <f>IFERROR(__xludf.DUMMYFUNCTION("""COMPUTED_VALUE"""),"FU 3 Juni")</f>
        <v>FU 3 Juni</v>
      </c>
      <c r="Q5" s="285" t="str">
        <f>IFERROR(__xludf.DUMMYFUNCTION("""COMPUTED_VALUE"""),"2603D018")</f>
        <v>2603D018</v>
      </c>
      <c r="R5" s="286">
        <f>IFERROR(__xludf.DUMMYFUNCTION("""COMPUTED_VALUE"""),46085.0)</f>
        <v>46085</v>
      </c>
      <c r="S5" s="285" t="str">
        <f>IFERROR(__xludf.DUMMYFUNCTION("""COMPUTED_VALUE"""),"Astria")</f>
        <v>Astria</v>
      </c>
      <c r="T5" s="285" t="str">
        <f>IFERROR(__xludf.DUMMYFUNCTION("""COMPUTED_VALUE"""),"087877490080")</f>
        <v>087877490080</v>
      </c>
      <c r="U5" s="285" t="str">
        <f>IFERROR(__xludf.DUMMYFUNCTION("""COMPUTED_VALUE"""),"Closing")</f>
        <v>Closing</v>
      </c>
      <c r="V5" s="285" t="str">
        <f>IFERROR(__xludf.DUMMYFUNCTION("""COMPUTED_VALUE"""),"3H2M")</f>
        <v>3H2M</v>
      </c>
      <c r="W5" s="287"/>
      <c r="X5" s="285">
        <f>IFERROR(__xludf.DUMMYFUNCTION("""COMPUTED_VALUE"""),3.0)</f>
        <v>3</v>
      </c>
      <c r="Y5" s="289">
        <f>IFERROR(__xludf.DUMMYFUNCTION("""COMPUTED_VALUE"""),4800000.0)</f>
        <v>4800000</v>
      </c>
      <c r="Z5" s="285" t="str">
        <f>IFERROR(__xludf.DUMMYFUNCTION("""COMPUTED_VALUE"""),"Alhamdulillah order")</f>
        <v>Alhamdulillah order</v>
      </c>
      <c r="AB5" s="285" t="str">
        <f>IFERROR(__xludf.DUMMYFUNCTION("""COMPUTED_VALUE"""),"2603D005")</f>
        <v>2603D005</v>
      </c>
      <c r="AC5" s="286">
        <f>IFERROR(__xludf.DUMMYFUNCTION("""COMPUTED_VALUE"""),46082.0)</f>
        <v>46082</v>
      </c>
      <c r="AD5" s="285" t="str">
        <f>IFERROR(__xludf.DUMMYFUNCTION("""COMPUTED_VALUE"""),"Riskajul")</f>
        <v>Riskajul</v>
      </c>
      <c r="AE5" s="285" t="str">
        <f>IFERROR(__xludf.DUMMYFUNCTION("""COMPUTED_VALUE"""),"085229037726")</f>
        <v>085229037726</v>
      </c>
      <c r="AF5" s="285" t="str">
        <f>IFERROR(__xludf.DUMMYFUNCTION("""COMPUTED_VALUE"""),"Gagal")</f>
        <v>Gagal</v>
      </c>
      <c r="AG5" s="285"/>
      <c r="AH5" s="287"/>
      <c r="AI5" s="285"/>
      <c r="AJ5" s="289"/>
      <c r="AK5" s="285" t="str">
        <f>IFERROR(__xludf.DUMMYFUNCTION("""COMPUTED_VALUE"""),"tidak bisa jetski")</f>
        <v>tidak bisa jetski</v>
      </c>
    </row>
    <row r="6">
      <c r="B6" s="292" t="s">
        <v>34</v>
      </c>
      <c r="C6" s="293">
        <f>COUNTIF(J3:J497,"Qualified")
</f>
        <v>5</v>
      </c>
      <c r="F6" s="285" t="str">
        <f>IFERROR(__xludf.DUMMYFUNCTION("""COMPUTED_VALUE"""),"2603D137")</f>
        <v>2603D137</v>
      </c>
      <c r="G6" s="286">
        <f>IFERROR(__xludf.DUMMYFUNCTION("""COMPUTED_VALUE"""),46110.0)</f>
        <v>46110</v>
      </c>
      <c r="H6" s="285" t="str">
        <f>IFERROR(__xludf.DUMMYFUNCTION("""COMPUTED_VALUE"""),"Wina Bunda Lila")</f>
        <v>Wina Bunda Lila</v>
      </c>
      <c r="I6" s="285" t="str">
        <f>IFERROR(__xludf.DUMMYFUNCTION("""COMPUTED_VALUE"""),"0813106295776")</f>
        <v>0813106295776</v>
      </c>
      <c r="J6" s="285" t="str">
        <f>IFERROR(__xludf.DUMMYFUNCTION("""COMPUTED_VALUE"""),"Leads Baru")</f>
        <v>Leads Baru</v>
      </c>
      <c r="K6" s="285"/>
      <c r="L6" s="287"/>
      <c r="M6" s="285">
        <f>IFERROR(__xludf.DUMMYFUNCTION("""COMPUTED_VALUE"""),4.0)</f>
        <v>4</v>
      </c>
      <c r="N6" s="289"/>
      <c r="O6" s="285" t="str">
        <f>IFERROR(__xludf.DUMMYFUNCTION("""COMPUTED_VALUE"""),"FU lagi 17 Mei")</f>
        <v>FU lagi 17 Mei</v>
      </c>
      <c r="Q6" s="285" t="str">
        <f>IFERROR(__xludf.DUMMYFUNCTION("""COMPUTED_VALUE"""),"2603D026")</f>
        <v>2603D026</v>
      </c>
      <c r="R6" s="286">
        <f>IFERROR(__xludf.DUMMYFUNCTION("""COMPUTED_VALUE"""),46086.0)</f>
        <v>46086</v>
      </c>
      <c r="S6" s="285" t="str">
        <f>IFERROR(__xludf.DUMMYFUNCTION("""COMPUTED_VALUE"""),"Astrid Januarita")</f>
        <v>Astrid Januarita</v>
      </c>
      <c r="T6" s="285" t="str">
        <f>IFERROR(__xludf.DUMMYFUNCTION("""COMPUTED_VALUE"""),"081311029389")</f>
        <v>081311029389</v>
      </c>
      <c r="U6" s="285" t="str">
        <f>IFERROR(__xludf.DUMMYFUNCTION("""COMPUTED_VALUE"""),"Closing")</f>
        <v>Closing</v>
      </c>
      <c r="V6" s="285" t="str">
        <f>IFERROR(__xludf.DUMMYFUNCTION("""COMPUTED_VALUE"""),"OT 3H2M")</f>
        <v>OT 3H2M</v>
      </c>
      <c r="W6" s="287"/>
      <c r="X6" s="285">
        <f>IFERROR(__xludf.DUMMYFUNCTION("""COMPUTED_VALUE"""),2.0)</f>
        <v>2</v>
      </c>
      <c r="Y6" s="289">
        <f>IFERROR(__xludf.DUMMYFUNCTION("""COMPUTED_VALUE"""),3200000.0)</f>
        <v>3200000</v>
      </c>
      <c r="Z6" s="285" t="str">
        <f>IFERROR(__xludf.DUMMYFUNCTION("""COMPUTED_VALUE"""),"waktunya pendek")</f>
        <v>waktunya pendek</v>
      </c>
      <c r="AB6" s="285" t="str">
        <f>IFERROR(__xludf.DUMMYFUNCTION("""COMPUTED_VALUE"""),"2603D006")</f>
        <v>2603D006</v>
      </c>
      <c r="AC6" s="286">
        <f>IFERROR(__xludf.DUMMYFUNCTION("""COMPUTED_VALUE"""),46083.0)</f>
        <v>46083</v>
      </c>
      <c r="AD6" s="285" t="str">
        <f>IFERROR(__xludf.DUMMYFUNCTION("""COMPUTED_VALUE"""),"Arief Amrullah")</f>
        <v>Arief Amrullah</v>
      </c>
      <c r="AE6" s="285" t="str">
        <f>IFERROR(__xludf.DUMMYFUNCTION("""COMPUTED_VALUE"""),"08121881397")</f>
        <v>08121881397</v>
      </c>
      <c r="AF6" s="285" t="str">
        <f>IFERROR(__xludf.DUMMYFUNCTION("""COMPUTED_VALUE"""),"Gagal")</f>
        <v>Gagal</v>
      </c>
      <c r="AG6" s="285" t="str">
        <f>IFERROR(__xludf.DUMMYFUNCTION("""COMPUTED_VALUE"""),"2H1M / 3H2M")</f>
        <v>2H1M / 3H2M</v>
      </c>
      <c r="AH6" s="287">
        <f>IFERROR(__xludf.DUMMYFUNCTION("""COMPUTED_VALUE"""),46104.0)</f>
        <v>46104</v>
      </c>
      <c r="AI6" s="285">
        <f>IFERROR(__xludf.DUMMYFUNCTION("""COMPUTED_VALUE"""),4.0)</f>
        <v>4</v>
      </c>
      <c r="AJ6" s="289">
        <f>IFERROR(__xludf.DUMMYFUNCTION("""COMPUTED_VALUE"""),6708000.0)</f>
        <v>6708000</v>
      </c>
      <c r="AK6" s="285" t="str">
        <f>IFERROR(__xludf.DUMMYFUNCTION("""COMPUTED_VALUE"""),"sdh fu, tidak ada jawaban, gagal lewat tanggal")</f>
        <v>sdh fu, tidak ada jawaban, gagal lewat tanggal</v>
      </c>
    </row>
    <row r="7">
      <c r="B7" s="294" t="s">
        <v>43</v>
      </c>
      <c r="C7" s="295">
        <f>COUNTIF(J3:J497,"Prospek")
</f>
        <v>2</v>
      </c>
      <c r="F7" s="285" t="str">
        <f>IFERROR(__xludf.DUMMYFUNCTION("""COMPUTED_VALUE"""),"2603D019")</f>
        <v>2603D019</v>
      </c>
      <c r="G7" s="286">
        <f>IFERROR(__xludf.DUMMYFUNCTION("""COMPUTED_VALUE"""),46085.0)</f>
        <v>46085</v>
      </c>
      <c r="H7" s="285" t="str">
        <f>IFERROR(__xludf.DUMMYFUNCTION("""COMPUTED_VALUE"""),"Meii")</f>
        <v>Meii</v>
      </c>
      <c r="I7" s="285" t="str">
        <f>IFERROR(__xludf.DUMMYFUNCTION("""COMPUTED_VALUE"""),"085179707599")</f>
        <v>085179707599</v>
      </c>
      <c r="J7" s="285" t="str">
        <f>IFERROR(__xludf.DUMMYFUNCTION("""COMPUTED_VALUE"""),"Qualified")</f>
        <v>Qualified</v>
      </c>
      <c r="K7" s="285" t="str">
        <f>IFERROR(__xludf.DUMMYFUNCTION("""COMPUTED_VALUE"""),"Trip 4H3M")</f>
        <v>Trip 4H3M</v>
      </c>
      <c r="L7" s="287"/>
      <c r="M7" s="285">
        <f>IFERROR(__xludf.DUMMYFUNCTION("""COMPUTED_VALUE"""),4.0)</f>
        <v>4</v>
      </c>
      <c r="N7" s="289">
        <f>IFERROR(__xludf.DUMMYFUNCTION("""COMPUTED_VALUE"""),8460000.0)</f>
        <v>8460000</v>
      </c>
      <c r="O7" s="285" t="str">
        <f>IFERROR(__xludf.DUMMYFUNCTION("""COMPUTED_VALUE"""),"FU mendekati trip bulan Mei tanggal 28")</f>
        <v>FU mendekati trip bulan Mei tanggal 28</v>
      </c>
      <c r="Q7" s="285" t="str">
        <f>IFERROR(__xludf.DUMMYFUNCTION("""COMPUTED_VALUE"""),"2602D047")</f>
        <v>2602D047</v>
      </c>
      <c r="R7" s="286">
        <f>IFERROR(__xludf.DUMMYFUNCTION("""COMPUTED_VALUE"""),46092.0)</f>
        <v>46092</v>
      </c>
      <c r="S7" s="285" t="str">
        <f>IFERROR(__xludf.DUMMYFUNCTION("""COMPUTED_VALUE"""),"Christine")</f>
        <v>Christine</v>
      </c>
      <c r="T7" s="285" t="str">
        <f>IFERROR(__xludf.DUMMYFUNCTION("""COMPUTED_VALUE"""),"14692588393")</f>
        <v>14692588393</v>
      </c>
      <c r="U7" s="285" t="str">
        <f>IFERROR(__xludf.DUMMYFUNCTION("""COMPUTED_VALUE"""),"Closing")</f>
        <v>Closing</v>
      </c>
      <c r="V7" s="285" t="str">
        <f>IFERROR(__xludf.DUMMYFUNCTION("""COMPUTED_VALUE"""),"open trip ijen")</f>
        <v>open trip ijen</v>
      </c>
      <c r="W7" s="287"/>
      <c r="X7" s="285">
        <f>IFERROR(__xludf.DUMMYFUNCTION("""COMPUTED_VALUE"""),1.0)</f>
        <v>1</v>
      </c>
      <c r="Y7" s="289">
        <f>IFERROR(__xludf.DUMMYFUNCTION("""COMPUTED_VALUE"""),250000.0)</f>
        <v>250000</v>
      </c>
      <c r="Z7" s="285" t="str">
        <f>IFERROR(__xludf.DUMMYFUNCTION("""COMPUTED_VALUE"""),"ORDERRR")</f>
        <v>ORDERRR</v>
      </c>
      <c r="AB7" s="285" t="str">
        <f>IFERROR(__xludf.DUMMYFUNCTION("""COMPUTED_VALUE"""),"2603D007")</f>
        <v>2603D007</v>
      </c>
      <c r="AC7" s="286">
        <f>IFERROR(__xludf.DUMMYFUNCTION("""COMPUTED_VALUE"""),46083.0)</f>
        <v>46083</v>
      </c>
      <c r="AD7" s="285" t="str">
        <f>IFERROR(__xludf.DUMMYFUNCTION("""COMPUTED_VALUE"""),"karen")</f>
        <v>karen</v>
      </c>
      <c r="AE7" s="285" t="str">
        <f>IFERROR(__xludf.DUMMYFUNCTION("""COMPUTED_VALUE"""),"082297460743")</f>
        <v>082297460743</v>
      </c>
      <c r="AF7" s="285" t="str">
        <f>IFERROR(__xludf.DUMMYFUNCTION("""COMPUTED_VALUE"""),"Gagal")</f>
        <v>Gagal</v>
      </c>
      <c r="AG7" s="285" t="str">
        <f>IFERROR(__xludf.DUMMYFUNCTION("""COMPUTED_VALUE"""),"1 day trip djawatan baluran")</f>
        <v>1 day trip djawatan baluran</v>
      </c>
      <c r="AH7" s="287">
        <f>IFERROR(__xludf.DUMMYFUNCTION("""COMPUTED_VALUE"""),46106.0)</f>
        <v>46106</v>
      </c>
      <c r="AI7" s="285">
        <f>IFERROR(__xludf.DUMMYFUNCTION("""COMPUTED_VALUE"""),6.0)</f>
        <v>6</v>
      </c>
      <c r="AJ7" s="289">
        <f>IFERROR(__xludf.DUMMYFUNCTION("""COMPUTED_VALUE"""),4290000.0)</f>
        <v>4290000</v>
      </c>
      <c r="AK7" s="285" t="str">
        <f>IFERROR(__xludf.DUMMYFUNCTION("""COMPUTED_VALUE"""),"tidak ada jawaban, sdh fu 5 kali")</f>
        <v>tidak ada jawaban, sdh fu 5 kali</v>
      </c>
    </row>
    <row r="8">
      <c r="B8" s="296" t="s">
        <v>49</v>
      </c>
      <c r="C8" s="297">
        <f>COUNTIF(J3:J497,"Follow Up")
</f>
        <v>0</v>
      </c>
      <c r="F8" s="285" t="str">
        <f>IFERROR(__xludf.DUMMYFUNCTION("""COMPUTED_VALUE"""),"2603D040")</f>
        <v>2603D040</v>
      </c>
      <c r="G8" s="286">
        <f>IFERROR(__xludf.DUMMYFUNCTION("""COMPUTED_VALUE"""),46089.0)</f>
        <v>46089</v>
      </c>
      <c r="H8" s="285" t="str">
        <f>IFERROR(__xludf.DUMMYFUNCTION("""COMPUTED_VALUE"""),"Aulia ")</f>
        <v>Aulia </v>
      </c>
      <c r="I8" s="285" t="str">
        <f>IFERROR(__xludf.DUMMYFUNCTION("""COMPUTED_VALUE"""),"085176745278")</f>
        <v>085176745278</v>
      </c>
      <c r="J8" s="285" t="str">
        <f>IFERROR(__xludf.DUMMYFUNCTION("""COMPUTED_VALUE"""),"Qualified")</f>
        <v>Qualified</v>
      </c>
      <c r="K8" s="285" t="str">
        <f>IFERROR(__xludf.DUMMYFUNCTION("""COMPUTED_VALUE"""),"OT 3H2M")</f>
        <v>OT 3H2M</v>
      </c>
      <c r="L8" s="287">
        <f>IFERROR(__xludf.DUMMYFUNCTION("""COMPUTED_VALUE"""),46179.0)</f>
        <v>46179</v>
      </c>
      <c r="M8" s="285">
        <f>IFERROR(__xludf.DUMMYFUNCTION("""COMPUTED_VALUE"""),2.0)</f>
        <v>2</v>
      </c>
      <c r="N8" s="289">
        <f>IFERROR(__xludf.DUMMYFUNCTION("""COMPUTED_VALUE"""),3200000.0)</f>
        <v>3200000</v>
      </c>
      <c r="O8" s="285" t="str">
        <f>IFERROR(__xludf.DUMMYFUNCTION("""COMPUTED_VALUE"""),"belum dibalas, FU 25  Mei")</f>
        <v>belum dibalas, FU 25  Mei</v>
      </c>
      <c r="Q8" s="285" t="str">
        <f>IFERROR(__xludf.DUMMYFUNCTION("""COMPUTED_VALUE"""),"2603D052")</f>
        <v>2603D052</v>
      </c>
      <c r="R8" s="286">
        <f>IFERROR(__xludf.DUMMYFUNCTION("""COMPUTED_VALUE"""),46092.0)</f>
        <v>46092</v>
      </c>
      <c r="S8" s="285" t="str">
        <f>IFERROR(__xludf.DUMMYFUNCTION("""COMPUTED_VALUE"""),"Irine")</f>
        <v>Irine</v>
      </c>
      <c r="T8" s="285" t="str">
        <f>IFERROR(__xludf.DUMMYFUNCTION("""COMPUTED_VALUE"""),"081250667985")</f>
        <v>081250667985</v>
      </c>
      <c r="U8" s="285" t="str">
        <f>IFERROR(__xludf.DUMMYFUNCTION("""COMPUTED_VALUE"""),"Closing")</f>
        <v>Closing</v>
      </c>
      <c r="V8" s="285" t="str">
        <f>IFERROR(__xludf.DUMMYFUNCTION("""COMPUTED_VALUE"""),"open trip 3H2M ")</f>
        <v>open trip 3H2M </v>
      </c>
      <c r="W8" s="287"/>
      <c r="X8" s="285">
        <f>IFERROR(__xludf.DUMMYFUNCTION("""COMPUTED_VALUE"""),3.0)</f>
        <v>3</v>
      </c>
      <c r="Y8" s="289">
        <f>IFERROR(__xludf.DUMMYFUNCTION("""COMPUTED_VALUE"""),4800000.0)</f>
        <v>4800000</v>
      </c>
      <c r="Z8" s="285" t="str">
        <f>IFERROR(__xludf.DUMMYFUNCTION("""COMPUTED_VALUE"""),"teman syafira")</f>
        <v>teman syafira</v>
      </c>
      <c r="AB8" s="285" t="str">
        <f>IFERROR(__xludf.DUMMYFUNCTION("""COMPUTED_VALUE"""),"2603D008")</f>
        <v>2603D008</v>
      </c>
      <c r="AC8" s="286">
        <f>IFERROR(__xludf.DUMMYFUNCTION("""COMPUTED_VALUE"""),46083.0)</f>
        <v>46083</v>
      </c>
      <c r="AD8" s="285" t="str">
        <f>IFERROR(__xludf.DUMMYFUNCTION("""COMPUTED_VALUE"""),"irul")</f>
        <v>irul</v>
      </c>
      <c r="AE8" s="285" t="str">
        <f>IFERROR(__xludf.DUMMYFUNCTION("""COMPUTED_VALUE"""),"08979151870")</f>
        <v>08979151870</v>
      </c>
      <c r="AF8" s="285" t="str">
        <f>IFERROR(__xludf.DUMMYFUNCTION("""COMPUTED_VALUE"""),"Gagal")</f>
        <v>Gagal</v>
      </c>
      <c r="AG8" s="285"/>
      <c r="AH8" s="287"/>
      <c r="AI8" s="285">
        <f>IFERROR(__xludf.DUMMYFUNCTION("""COMPUTED_VALUE"""),2.0)</f>
        <v>2</v>
      </c>
      <c r="AJ8" s="289"/>
      <c r="AK8" s="285" t="str">
        <f>IFERROR(__xludf.DUMMYFUNCTION("""COMPUTED_VALUE"""),"FU 4 kali tidak balas")</f>
        <v>FU 4 kali tidak balas</v>
      </c>
    </row>
    <row r="9">
      <c r="B9" s="298" t="s">
        <v>57</v>
      </c>
      <c r="C9" s="299">
        <f>COUNTIF(J3:J497,"Warm Leads")
</f>
        <v>0</v>
      </c>
      <c r="F9" s="285" t="str">
        <f>IFERROR(__xludf.DUMMYFUNCTION("""COMPUTED_VALUE"""),"2603D116")</f>
        <v>2603D116</v>
      </c>
      <c r="G9" s="286">
        <f>IFERROR(__xludf.DUMMYFUNCTION("""COMPUTED_VALUE"""),46105.0)</f>
        <v>46105</v>
      </c>
      <c r="H9" s="285" t="str">
        <f>IFERROR(__xludf.DUMMYFUNCTION("""COMPUTED_VALUE"""),"CC U&amp;I PRODUCT &amp; CONTRACTING (RUTH)")</f>
        <v>CC U&amp;I PRODUCT &amp; CONTRACTING (RUTH)</v>
      </c>
      <c r="I9" s="285" t="str">
        <f>IFERROR(__xludf.DUMMYFUNCTION("""COMPUTED_VALUE"""),"081519307720")</f>
        <v>081519307720</v>
      </c>
      <c r="J9" s="285" t="str">
        <f>IFERROR(__xludf.DUMMYFUNCTION("""COMPUTED_VALUE"""),"Qualified")</f>
        <v>Qualified</v>
      </c>
      <c r="K9" s="285" t="str">
        <f>IFERROR(__xludf.DUMMYFUNCTION("""COMPUTED_VALUE"""),"ijen")</f>
        <v>ijen</v>
      </c>
      <c r="L9" s="287"/>
      <c r="M9" s="285">
        <f>IFERROR(__xludf.DUMMYFUNCTION("""COMPUTED_VALUE"""),46083.0)</f>
        <v>46083</v>
      </c>
      <c r="N9" s="289">
        <f>IFERROR(__xludf.DUMMYFUNCTION("""COMPUTED_VALUE"""),2850000.0)</f>
        <v>2850000</v>
      </c>
      <c r="O9" s="285" t="str">
        <f>IFERROR(__xludf.DUMMYFUNCTION("""COMPUTED_VALUE"""),"fu 20 mei ")</f>
        <v>fu 20 mei </v>
      </c>
      <c r="Q9" s="285" t="str">
        <f>IFERROR(__xludf.DUMMYFUNCTION("""COMPUTED_VALUE"""),"2603D054")</f>
        <v>2603D054</v>
      </c>
      <c r="R9" s="286">
        <f>IFERROR(__xludf.DUMMYFUNCTION("""COMPUTED_VALUE"""),46092.0)</f>
        <v>46092</v>
      </c>
      <c r="S9" s="285" t="str">
        <f>IFERROR(__xludf.DUMMYFUNCTION("""COMPUTED_VALUE"""),"Desi Simbolon")</f>
        <v>Desi Simbolon</v>
      </c>
      <c r="T9" s="285" t="str">
        <f>IFERROR(__xludf.DUMMYFUNCTION("""COMPUTED_VALUE"""),"081513924119")</f>
        <v>081513924119</v>
      </c>
      <c r="U9" s="285" t="str">
        <f>IFERROR(__xludf.DUMMYFUNCTION("""COMPUTED_VALUE"""),"Closing")</f>
        <v>Closing</v>
      </c>
      <c r="V9" s="285" t="str">
        <f>IFERROR(__xludf.DUMMYFUNCTION("""COMPUTED_VALUE"""),"trip pulau")</f>
        <v>trip pulau</v>
      </c>
      <c r="W9" s="287">
        <f>IFERROR(__xludf.DUMMYFUNCTION("""COMPUTED_VALUE"""),46104.0)</f>
        <v>46104</v>
      </c>
      <c r="X9" s="285">
        <f>IFERROR(__xludf.DUMMYFUNCTION("""COMPUTED_VALUE"""),1.0)</f>
        <v>1</v>
      </c>
      <c r="Y9" s="289"/>
      <c r="Z9" s="285" t="str">
        <f>IFERROR(__xludf.DUMMYFUNCTION("""COMPUTED_VALUE"""),"Teman astrid")</f>
        <v>Teman astrid</v>
      </c>
      <c r="AB9" s="285" t="str">
        <f>IFERROR(__xludf.DUMMYFUNCTION("""COMPUTED_VALUE"""),"2603D010")</f>
        <v>2603D010</v>
      </c>
      <c r="AC9" s="286">
        <f>IFERROR(__xludf.DUMMYFUNCTION("""COMPUTED_VALUE"""),46083.0)</f>
        <v>46083</v>
      </c>
      <c r="AD9" s="285" t="str">
        <f>IFERROR(__xludf.DUMMYFUNCTION("""COMPUTED_VALUE"""),"Bobi")</f>
        <v>Bobi</v>
      </c>
      <c r="AE9" s="285" t="str">
        <f>IFERROR(__xludf.DUMMYFUNCTION("""COMPUTED_VALUE"""),"081383336043")</f>
        <v>081383336043</v>
      </c>
      <c r="AF9" s="285" t="str">
        <f>IFERROR(__xludf.DUMMYFUNCTION("""COMPUTED_VALUE"""),"Gagal")</f>
        <v>Gagal</v>
      </c>
      <c r="AG9" s="285" t="str">
        <f>IFERROR(__xludf.DUMMYFUNCTION("""COMPUTED_VALUE"""),"custom 3D2N")</f>
        <v>custom 3D2N</v>
      </c>
      <c r="AH9" s="287"/>
      <c r="AI9" s="285">
        <f>IFERROR(__xludf.DUMMYFUNCTION("""COMPUTED_VALUE"""),7.0)</f>
        <v>7</v>
      </c>
      <c r="AJ9" s="289">
        <f>IFERROR(__xludf.DUMMYFUNCTION("""COMPUTED_VALUE"""),1.421E7)</f>
        <v>14210000</v>
      </c>
      <c r="AK9" s="285" t="str">
        <f>IFERROR(__xludf.DUMMYFUNCTION("""COMPUTED_VALUE"""),"GAGALL")</f>
        <v>GAGALL</v>
      </c>
    </row>
    <row r="10">
      <c r="B10" s="302" t="s">
        <v>64</v>
      </c>
      <c r="C10" s="303">
        <f>COUNTIF(J3:J497,"Hot Leads")
</f>
        <v>0</v>
      </c>
      <c r="F10" s="285" t="str">
        <f>IFERROR(__xludf.DUMMYFUNCTION("""COMPUTED_VALUE"""),"2603D140")</f>
        <v>2603D140</v>
      </c>
      <c r="G10" s="286">
        <f>IFERROR(__xludf.DUMMYFUNCTION("""COMPUTED_VALUE"""),46111.0)</f>
        <v>46111</v>
      </c>
      <c r="H10" s="285" t="str">
        <f>IFERROR(__xludf.DUMMYFUNCTION("""COMPUTED_VALUE"""),"Eka_NS")</f>
        <v>Eka_NS</v>
      </c>
      <c r="I10" s="285" t="str">
        <f>IFERROR(__xludf.DUMMYFUNCTION("""COMPUTED_VALUE"""),"08569012365")</f>
        <v>08569012365</v>
      </c>
      <c r="J10" s="285" t="str">
        <f>IFERROR(__xludf.DUMMYFUNCTION("""COMPUTED_VALUE"""),"Qualified")</f>
        <v>Qualified</v>
      </c>
      <c r="K10" s="285" t="str">
        <f>IFERROR(__xludf.DUMMYFUNCTION("""COMPUTED_VALUE"""),"4H3M")</f>
        <v>4H3M</v>
      </c>
      <c r="L10" s="287">
        <f>IFERROR(__xludf.DUMMYFUNCTION("""COMPUTED_VALUE"""),46187.0)</f>
        <v>46187</v>
      </c>
      <c r="M10" s="285">
        <f>IFERROR(__xludf.DUMMYFUNCTION("""COMPUTED_VALUE"""),25.0)</f>
        <v>25</v>
      </c>
      <c r="N10" s="289">
        <f>IFERROR(__xludf.DUMMYFUNCTION("""COMPUTED_VALUE"""),2.75E7)</f>
        <v>27500000</v>
      </c>
      <c r="O10" s="285" t="str">
        <f>IFERROR(__xludf.DUMMYFUNCTION("""COMPUTED_VALUE"""),"FU 1 juni")</f>
        <v>FU 1 juni</v>
      </c>
      <c r="Q10" s="285" t="str">
        <f>IFERROR(__xludf.DUMMYFUNCTION("""COMPUTED_VALUE"""),"2603D059")</f>
        <v>2603D059</v>
      </c>
      <c r="R10" s="286">
        <f>IFERROR(__xludf.DUMMYFUNCTION("""COMPUTED_VALUE"""),46094.0)</f>
        <v>46094</v>
      </c>
      <c r="S10" s="285" t="str">
        <f>IFERROR(__xludf.DUMMYFUNCTION("""COMPUTED_VALUE"""),"Gracia")</f>
        <v>Gracia</v>
      </c>
      <c r="T10" s="285" t="str">
        <f>IFERROR(__xludf.DUMMYFUNCTION("""COMPUTED_VALUE"""),"081257278990")</f>
        <v>081257278990</v>
      </c>
      <c r="U10" s="285" t="str">
        <f>IFERROR(__xludf.DUMMYFUNCTION("""COMPUTED_VALUE"""),"Closing")</f>
        <v>Closing</v>
      </c>
      <c r="V10" s="285" t="str">
        <f>IFERROR(__xludf.DUMMYFUNCTION("""COMPUTED_VALUE"""),"1D Djawatan Baluran ")</f>
        <v>1D Djawatan Baluran </v>
      </c>
      <c r="W10" s="287"/>
      <c r="X10" s="285">
        <f>IFERROR(__xludf.DUMMYFUNCTION("""COMPUTED_VALUE"""),4.0)</f>
        <v>4</v>
      </c>
      <c r="Y10" s="289">
        <f>IFERROR(__xludf.DUMMYFUNCTION("""COMPUTED_VALUE"""),2188000.0)</f>
        <v>2188000</v>
      </c>
      <c r="Z10" s="285" t="str">
        <f>IFERROR(__xludf.DUMMYFUNCTION("""COMPUTED_VALUE"""),"masih tanya2")</f>
        <v>masih tanya2</v>
      </c>
      <c r="AB10" s="285" t="str">
        <f>IFERROR(__xludf.DUMMYFUNCTION("""COMPUTED_VALUE"""),"2603D011")</f>
        <v>2603D011</v>
      </c>
      <c r="AC10" s="286">
        <f>IFERROR(__xludf.DUMMYFUNCTION("""COMPUTED_VALUE"""),46083.0)</f>
        <v>46083</v>
      </c>
      <c r="AD10" s="285" t="str">
        <f>IFERROR(__xludf.DUMMYFUNCTION("""COMPUTED_VALUE"""),"idairiani")</f>
        <v>idairiani</v>
      </c>
      <c r="AE10" s="285" t="str">
        <f>IFERROR(__xludf.DUMMYFUNCTION("""COMPUTED_VALUE"""),"081998288104")</f>
        <v>081998288104</v>
      </c>
      <c r="AF10" s="285" t="str">
        <f>IFERROR(__xludf.DUMMYFUNCTION("""COMPUTED_VALUE"""),"Gagal")</f>
        <v>Gagal</v>
      </c>
      <c r="AG10" s="285" t="str">
        <f>IFERROR(__xludf.DUMMYFUNCTION("""COMPUTED_VALUE"""),"OT")</f>
        <v>OT</v>
      </c>
      <c r="AH10" s="287">
        <f>IFERROR(__xludf.DUMMYFUNCTION("""COMPUTED_VALUE"""),46106.0)</f>
        <v>46106</v>
      </c>
      <c r="AI10" s="285">
        <f>IFERROR(__xludf.DUMMYFUNCTION("""COMPUTED_VALUE"""),2.0)</f>
        <v>2</v>
      </c>
      <c r="AJ10" s="289"/>
      <c r="AK10" s="285" t="str">
        <f>IFERROR(__xludf.DUMMYFUNCTION("""COMPUTED_VALUE"""),"jadinya ke kerinci")</f>
        <v>jadinya ke kerinci</v>
      </c>
    </row>
    <row r="11">
      <c r="B11" s="304" t="s">
        <v>19</v>
      </c>
      <c r="C11" s="305">
        <f>COUNTA(Q3:Q497)</f>
        <v>21</v>
      </c>
      <c r="F11" s="285" t="str">
        <f>IFERROR(__xludf.DUMMYFUNCTION("""COMPUTED_VALUE"""),"2603D148")</f>
        <v>2603D148</v>
      </c>
      <c r="G11" s="286">
        <f>IFERROR(__xludf.DUMMYFUNCTION("""COMPUTED_VALUE"""),46112.0)</f>
        <v>46112</v>
      </c>
      <c r="H11" s="285" t="str">
        <f>IFERROR(__xludf.DUMMYFUNCTION("""COMPUTED_VALUE"""),"Neta")</f>
        <v>Neta</v>
      </c>
      <c r="I11" s="285" t="str">
        <f>IFERROR(__xludf.DUMMYFUNCTION("""COMPUTED_VALUE"""),"082120112988")</f>
        <v>082120112988</v>
      </c>
      <c r="J11" s="285" t="str">
        <f>IFERROR(__xludf.DUMMYFUNCTION("""COMPUTED_VALUE"""),"Qualified")</f>
        <v>Qualified</v>
      </c>
      <c r="K11" s="285" t="str">
        <f>IFERROR(__xludf.DUMMYFUNCTION("""COMPUTED_VALUE"""),"3h2m opsi a")</f>
        <v>3h2m opsi a</v>
      </c>
      <c r="L11" s="287"/>
      <c r="M11" s="285">
        <f>IFERROR(__xludf.DUMMYFUNCTION("""COMPUTED_VALUE"""),4.0)</f>
        <v>4</v>
      </c>
      <c r="N11" s="289">
        <f>IFERROR(__xludf.DUMMYFUNCTION("""COMPUTED_VALUE"""),6808000.0)</f>
        <v>6808000</v>
      </c>
      <c r="O11" s="285" t="str">
        <f>IFERROR(__xludf.DUMMYFUNCTION("""COMPUTED_VALUE"""),"fu 1 juni")</f>
        <v>fu 1 juni</v>
      </c>
      <c r="Q11" s="285" t="str">
        <f>IFERROR(__xludf.DUMMYFUNCTION("""COMPUTED_VALUE"""),"2603D060")</f>
        <v>2603D060</v>
      </c>
      <c r="R11" s="286">
        <f>IFERROR(__xludf.DUMMYFUNCTION("""COMPUTED_VALUE"""),46095.0)</f>
        <v>46095</v>
      </c>
      <c r="S11" s="285" t="str">
        <f>IFERROR(__xludf.DUMMYFUNCTION("""COMPUTED_VALUE"""),"Sikna")</f>
        <v>Sikna</v>
      </c>
      <c r="T11" s="285" t="str">
        <f>IFERROR(__xludf.DUMMYFUNCTION("""COMPUTED_VALUE"""),"087741062741")</f>
        <v>087741062741</v>
      </c>
      <c r="U11" s="285" t="str">
        <f>IFERROR(__xludf.DUMMYFUNCTION("""COMPUTED_VALUE"""),"Closing")</f>
        <v>Closing</v>
      </c>
      <c r="V11" s="285" t="str">
        <f>IFERROR(__xludf.DUMMYFUNCTION("""COMPUTED_VALUE"""),"1D Menjangan Tabuhan")</f>
        <v>1D Menjangan Tabuhan</v>
      </c>
      <c r="W11" s="287">
        <f>IFERROR(__xludf.DUMMYFUNCTION("""COMPUTED_VALUE"""),46115.0)</f>
        <v>46115</v>
      </c>
      <c r="X11" s="285">
        <f>IFERROR(__xludf.DUMMYFUNCTION("""COMPUTED_VALUE"""),4.0)</f>
        <v>4</v>
      </c>
      <c r="Y11" s="289">
        <f>IFERROR(__xludf.DUMMYFUNCTION("""COMPUTED_VALUE"""),2000000.0)</f>
        <v>2000000</v>
      </c>
      <c r="Z11" s="285" t="str">
        <f>IFERROR(__xludf.DUMMYFUNCTION("""COMPUTED_VALUE"""),"ORDERRRRRRR")</f>
        <v>ORDERRRRRRR</v>
      </c>
      <c r="AB11" s="285" t="str">
        <f>IFERROR(__xludf.DUMMYFUNCTION("""COMPUTED_VALUE"""),"2603D012")</f>
        <v>2603D012</v>
      </c>
      <c r="AC11" s="286">
        <f>IFERROR(__xludf.DUMMYFUNCTION("""COMPUTED_VALUE"""),46083.0)</f>
        <v>46083</v>
      </c>
      <c r="AD11" s="285" t="str">
        <f>IFERROR(__xludf.DUMMYFUNCTION("""COMPUTED_VALUE"""),"Itta")</f>
        <v>Itta</v>
      </c>
      <c r="AE11" s="285" t="str">
        <f>IFERROR(__xludf.DUMMYFUNCTION("""COMPUTED_VALUE"""),"081342989977")</f>
        <v>081342989977</v>
      </c>
      <c r="AF11" s="285" t="str">
        <f>IFERROR(__xludf.DUMMYFUNCTION("""COMPUTED_VALUE"""),"Gagal")</f>
        <v>Gagal</v>
      </c>
      <c r="AG11" s="285" t="str">
        <f>IFERROR(__xludf.DUMMYFUNCTION("""COMPUTED_VALUE"""),"3D2M opsi B")</f>
        <v>3D2M opsi B</v>
      </c>
      <c r="AH11" s="287"/>
      <c r="AI11" s="285">
        <f>IFERROR(__xludf.DUMMYFUNCTION("""COMPUTED_VALUE"""),6.0)</f>
        <v>6</v>
      </c>
      <c r="AJ11" s="289">
        <f>IFERROR(__xludf.DUMMYFUNCTION("""COMPUTED_VALUE"""),9898200.0)</f>
        <v>9898200</v>
      </c>
      <c r="AK11" s="285" t="str">
        <f>IFERROR(__xludf.DUMMYFUNCTION("""COMPUTED_VALUE"""),"waktunya mepet, karna harus balik tgl 24 ke semarang")</f>
        <v>waktunya mepet, karna harus balik tgl 24 ke semarang</v>
      </c>
    </row>
    <row r="12">
      <c r="B12" s="307" t="s">
        <v>42</v>
      </c>
      <c r="C12" s="308">
        <f>COUNTA(AB3:AB497)</f>
        <v>110</v>
      </c>
      <c r="F12" s="285" t="str">
        <f>IFERROR(__xludf.DUMMYFUNCTION("""COMPUTED_VALUE"""),"2603D020")</f>
        <v>2603D020</v>
      </c>
      <c r="G12" s="286">
        <f>IFERROR(__xludf.DUMMYFUNCTION("""COMPUTED_VALUE"""),46085.0)</f>
        <v>46085</v>
      </c>
      <c r="H12" s="285" t="str">
        <f>IFERROR(__xludf.DUMMYFUNCTION("""COMPUTED_VALUE"""),"rafly")</f>
        <v>rafly</v>
      </c>
      <c r="I12" s="285" t="str">
        <f>IFERROR(__xludf.DUMMYFUNCTION("""COMPUTED_VALUE"""),"088210600087")</f>
        <v>088210600087</v>
      </c>
      <c r="J12" s="285" t="str">
        <f>IFERROR(__xludf.DUMMYFUNCTION("""COMPUTED_VALUE"""),"Prospek")</f>
        <v>Prospek</v>
      </c>
      <c r="K12" s="285" t="str">
        <f>IFERROR(__xludf.DUMMYFUNCTION("""COMPUTED_VALUE"""),"one day trip custom")</f>
        <v>one day trip custom</v>
      </c>
      <c r="L12" s="287"/>
      <c r="M12" s="285">
        <f>IFERROR(__xludf.DUMMYFUNCTION("""COMPUTED_VALUE"""),50.0)</f>
        <v>50</v>
      </c>
      <c r="N12" s="289">
        <f>IFERROR(__xludf.DUMMYFUNCTION("""COMPUTED_VALUE"""),4.0E7)</f>
        <v>40000000</v>
      </c>
      <c r="O12" s="285" t="str">
        <f>IFERROR(__xludf.DUMMYFUNCTION("""COMPUTED_VALUE"""),"survey ditunda dulu")</f>
        <v>survey ditunda dulu</v>
      </c>
      <c r="Q12" s="285" t="str">
        <f>IFERROR(__xludf.DUMMYFUNCTION("""COMPUTED_VALUE"""),"2603D062")</f>
        <v>2603D062</v>
      </c>
      <c r="R12" s="286">
        <f>IFERROR(__xludf.DUMMYFUNCTION("""COMPUTED_VALUE"""),46095.0)</f>
        <v>46095</v>
      </c>
      <c r="S12" s="285" t="str">
        <f>IFERROR(__xludf.DUMMYFUNCTION("""COMPUTED_VALUE"""),"Joseph Wibisono ")</f>
        <v>Joseph Wibisono </v>
      </c>
      <c r="T12" s="285" t="str">
        <f>IFERROR(__xludf.DUMMYFUNCTION("""COMPUTED_VALUE"""),"085227893637")</f>
        <v>085227893637</v>
      </c>
      <c r="U12" s="285" t="str">
        <f>IFERROR(__xludf.DUMMYFUNCTION("""COMPUTED_VALUE"""),"Closing")</f>
        <v>Closing</v>
      </c>
      <c r="V12" s="285" t="str">
        <f>IFERROR(__xludf.DUMMYFUNCTION("""COMPUTED_VALUE"""),"3H2M custome")</f>
        <v>3H2M custome</v>
      </c>
      <c r="W12" s="287"/>
      <c r="X12" s="285">
        <f>IFERROR(__xludf.DUMMYFUNCTION("""COMPUTED_VALUE"""),2.0)</f>
        <v>2</v>
      </c>
      <c r="Y12" s="289"/>
      <c r="Z12" s="285" t="str">
        <f>IFERROR(__xludf.DUMMYFUNCTION("""COMPUTED_VALUE"""),"ORDERRRRRRR")</f>
        <v>ORDERRRRRRR</v>
      </c>
      <c r="AB12" s="285" t="str">
        <f>IFERROR(__xludf.DUMMYFUNCTION("""COMPUTED_VALUE"""),"2603D013")</f>
        <v>2603D013</v>
      </c>
      <c r="AC12" s="286">
        <f>IFERROR(__xludf.DUMMYFUNCTION("""COMPUTED_VALUE"""),46084.0)</f>
        <v>46084</v>
      </c>
      <c r="AD12" s="285" t="str">
        <f>IFERROR(__xludf.DUMMYFUNCTION("""COMPUTED_VALUE"""),"Hilda")</f>
        <v>Hilda</v>
      </c>
      <c r="AE12" s="285" t="str">
        <f>IFERROR(__xludf.DUMMYFUNCTION("""COMPUTED_VALUE"""),"085692636940")</f>
        <v>085692636940</v>
      </c>
      <c r="AF12" s="285" t="str">
        <f>IFERROR(__xludf.DUMMYFUNCTION("""COMPUTED_VALUE"""),"Gagal")</f>
        <v>Gagal</v>
      </c>
      <c r="AG12" s="285" t="str">
        <f>IFERROR(__xludf.DUMMYFUNCTION("""COMPUTED_VALUE"""),"2H1M")</f>
        <v>2H1M</v>
      </c>
      <c r="AH12" s="287"/>
      <c r="AI12" s="285">
        <f>IFERROR(__xludf.DUMMYFUNCTION("""COMPUTED_VALUE"""),5.0)</f>
        <v>5</v>
      </c>
      <c r="AJ12" s="289">
        <f>IFERROR(__xludf.DUMMYFUNCTION("""COMPUTED_VALUE"""),8346000.0)</f>
        <v>8346000</v>
      </c>
      <c r="AK12" s="285" t="str">
        <f>IFERROR(__xludf.DUMMYFUNCTION("""COMPUTED_VALUE"""),"ga jadi ke Banyuwangi")</f>
        <v>ga jadi ke Banyuwangi</v>
      </c>
    </row>
    <row r="13">
      <c r="B13" s="347" t="s">
        <v>10222</v>
      </c>
      <c r="C13" s="310">
        <f>SUM(C5:C12)</f>
        <v>142</v>
      </c>
      <c r="F13" s="285" t="str">
        <f>IFERROR(__xludf.DUMMYFUNCTION("""COMPUTED_VALUE"""),"2603D039")</f>
        <v>2603D039</v>
      </c>
      <c r="G13" s="286">
        <f>IFERROR(__xludf.DUMMYFUNCTION("""COMPUTED_VALUE"""),46089.0)</f>
        <v>46089</v>
      </c>
      <c r="H13" s="285" t="str">
        <f>IFERROR(__xludf.DUMMYFUNCTION("""COMPUTED_VALUE"""),"Aditya Novantiasa")</f>
        <v>Aditya Novantiasa</v>
      </c>
      <c r="I13" s="285" t="str">
        <f>IFERROR(__xludf.DUMMYFUNCTION("""COMPUTED_VALUE"""),"085695861182")</f>
        <v>085695861182</v>
      </c>
      <c r="J13" s="285" t="str">
        <f>IFERROR(__xludf.DUMMYFUNCTION("""COMPUTED_VALUE"""),"Prospek")</f>
        <v>Prospek</v>
      </c>
      <c r="K13" s="285" t="str">
        <f>IFERROR(__xludf.DUMMYFUNCTION("""COMPUTED_VALUE"""),"3H2M")</f>
        <v>3H2M</v>
      </c>
      <c r="L13" s="287"/>
      <c r="M13" s="285">
        <f>IFERROR(__xludf.DUMMYFUNCTION("""COMPUTED_VALUE"""),60.0)</f>
        <v>60</v>
      </c>
      <c r="N13" s="289">
        <f>IFERROR(__xludf.DUMMYFUNCTION("""COMPUTED_VALUE"""),1.431E8)</f>
        <v>143100000</v>
      </c>
      <c r="O13" s="285" t="str">
        <f>IFERROR(__xludf.DUMMYFUNCTION("""COMPUTED_VALUE"""),"sedang meeting dg client, FU 3 Juli")</f>
        <v>sedang meeting dg client, FU 3 Juli</v>
      </c>
      <c r="Q13" s="285" t="str">
        <f>IFERROR(__xludf.DUMMYFUNCTION("""COMPUTED_VALUE"""),"2603D067")</f>
        <v>2603D067</v>
      </c>
      <c r="R13" s="286">
        <f>IFERROR(__xludf.DUMMYFUNCTION("""COMPUTED_VALUE"""),46097.0)</f>
        <v>46097</v>
      </c>
      <c r="S13" s="285" t="str">
        <f>IFERROR(__xludf.DUMMYFUNCTION("""COMPUTED_VALUE"""),"Veren")</f>
        <v>Veren</v>
      </c>
      <c r="T13" s="285" t="str">
        <f>IFERROR(__xludf.DUMMYFUNCTION("""COMPUTED_VALUE"""),"0895630000543")</f>
        <v>0895630000543</v>
      </c>
      <c r="U13" s="285" t="str">
        <f>IFERROR(__xludf.DUMMYFUNCTION("""COMPUTED_VALUE"""),"Closing")</f>
        <v>Closing</v>
      </c>
      <c r="V13" s="285" t="str">
        <f>IFERROR(__xludf.DUMMYFUNCTION("""COMPUTED_VALUE"""),"freedive ")</f>
        <v>freedive </v>
      </c>
      <c r="W13" s="287"/>
      <c r="X13" s="285"/>
      <c r="Y13" s="289"/>
      <c r="Z13" s="285" t="str">
        <f>IFERROR(__xludf.DUMMYFUNCTION("""COMPUTED_VALUE"""),"teman Astria")</f>
        <v>teman Astria</v>
      </c>
      <c r="AB13" s="285" t="str">
        <f>IFERROR(__xludf.DUMMYFUNCTION("""COMPUTED_VALUE"""),"2603D014")</f>
        <v>2603D014</v>
      </c>
      <c r="AC13" s="286">
        <f>IFERROR(__xludf.DUMMYFUNCTION("""COMPUTED_VALUE"""),46084.0)</f>
        <v>46084</v>
      </c>
      <c r="AD13" s="285" t="str">
        <f>IFERROR(__xludf.DUMMYFUNCTION("""COMPUTED_VALUE"""),"Tanti")</f>
        <v>Tanti</v>
      </c>
      <c r="AE13" s="285" t="str">
        <f>IFERROR(__xludf.DUMMYFUNCTION("""COMPUTED_VALUE"""),"081377024301")</f>
        <v>081377024301</v>
      </c>
      <c r="AF13" s="285" t="str">
        <f>IFERROR(__xludf.DUMMYFUNCTION("""COMPUTED_VALUE"""),"Gagal")</f>
        <v>Gagal</v>
      </c>
      <c r="AG13" s="285"/>
      <c r="AH13" s="287"/>
      <c r="AI13" s="285"/>
      <c r="AJ13" s="289"/>
      <c r="AK13" s="285" t="str">
        <f>IFERROR(__xludf.DUMMYFUNCTION("""COMPUTED_VALUE"""),"Menyapa saja, tidak ada jawaban")</f>
        <v>Menyapa saja, tidak ada jawaban</v>
      </c>
    </row>
    <row r="14">
      <c r="B14" s="209"/>
      <c r="C14" s="209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Q14" s="285" t="str">
        <f>IFERROR(__xludf.DUMMYFUNCTION("""COMPUTED_VALUE"""),"2603D088")</f>
        <v>2603D088</v>
      </c>
      <c r="R14" s="286">
        <f>IFERROR(__xludf.DUMMYFUNCTION("""COMPUTED_VALUE"""),46101.0)</f>
        <v>46101</v>
      </c>
      <c r="S14" s="285" t="str">
        <f>IFERROR(__xludf.DUMMYFUNCTION("""COMPUTED_VALUE"""),"Ajikk")</f>
        <v>Ajikk</v>
      </c>
      <c r="T14" s="285" t="str">
        <f>IFERROR(__xludf.DUMMYFUNCTION("""COMPUTED_VALUE"""),"085881851846")</f>
        <v>085881851846</v>
      </c>
      <c r="U14" s="285" t="str">
        <f>IFERROR(__xludf.DUMMYFUNCTION("""COMPUTED_VALUE"""),"Closing")</f>
        <v>Closing</v>
      </c>
      <c r="V14" s="285" t="str">
        <f>IFERROR(__xludf.DUMMYFUNCTION("""COMPUTED_VALUE"""),"2h1m custom")</f>
        <v>2h1m custom</v>
      </c>
      <c r="W14" s="287">
        <f>IFERROR(__xludf.DUMMYFUNCTION("""COMPUTED_VALUE"""),46105.0)</f>
        <v>46105</v>
      </c>
      <c r="X14" s="285">
        <f>IFERROR(__xludf.DUMMYFUNCTION("""COMPUTED_VALUE"""),5.0)</f>
        <v>5</v>
      </c>
      <c r="Y14" s="289">
        <f>IFERROR(__xludf.DUMMYFUNCTION("""COMPUTED_VALUE"""),5600000.0)</f>
        <v>5600000</v>
      </c>
      <c r="Z14" s="285" t="str">
        <f>IFERROR(__xludf.DUMMYFUNCTION("""COMPUTED_VALUE"""),"alhamdulillah order")</f>
        <v>alhamdulillah order</v>
      </c>
      <c r="AB14" s="285" t="str">
        <f>IFERROR(__xludf.DUMMYFUNCTION("""COMPUTED_VALUE"""),"2603D015")</f>
        <v>2603D015</v>
      </c>
      <c r="AC14" s="286">
        <f>IFERROR(__xludf.DUMMYFUNCTION("""COMPUTED_VALUE"""),46084.0)</f>
        <v>46084</v>
      </c>
      <c r="AD14" s="285" t="str">
        <f>IFERROR(__xludf.DUMMYFUNCTION("""COMPUTED_VALUE"""),"Sarita Ayas")</f>
        <v>Sarita Ayas</v>
      </c>
      <c r="AE14" s="285" t="str">
        <f>IFERROR(__xludf.DUMMYFUNCTION("""COMPUTED_VALUE"""),"085777822641")</f>
        <v>085777822641</v>
      </c>
      <c r="AF14" s="285" t="str">
        <f>IFERROR(__xludf.DUMMYFUNCTION("""COMPUTED_VALUE"""),"Gagal")</f>
        <v>Gagal</v>
      </c>
      <c r="AG14" s="285" t="str">
        <f>IFERROR(__xludf.DUMMYFUNCTION("""COMPUTED_VALUE"""),"MT, D, Alas Purwo, Pulau merah")</f>
        <v>MT, D, Alas Purwo, Pulau merah</v>
      </c>
      <c r="AH14" s="287"/>
      <c r="AI14" s="285">
        <f>IFERROR(__xludf.DUMMYFUNCTION("""COMPUTED_VALUE"""),2.0)</f>
        <v>2</v>
      </c>
      <c r="AJ14" s="289">
        <f>IFERROR(__xludf.DUMMYFUNCTION("""COMPUTED_VALUE"""),5500000.0)</f>
        <v>5500000</v>
      </c>
      <c r="AK14" s="285" t="str">
        <f>IFERROR(__xludf.DUMMYFUNCTION("""COMPUTED_VALUE"""),"akan dihubungi lagi kalo dah fiks")</f>
        <v>akan dihubungi lagi kalo dah fiks</v>
      </c>
    </row>
    <row r="15">
      <c r="B15" s="311" t="s">
        <v>10223</v>
      </c>
      <c r="C15" s="312">
        <f>sum(C5:C10)/C13</f>
        <v>0.07746478873</v>
      </c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Q15" s="285" t="str">
        <f>IFERROR(__xludf.DUMMYFUNCTION("""COMPUTED_VALUE"""),"2603D111")</f>
        <v>2603D111</v>
      </c>
      <c r="R15" s="286">
        <f>IFERROR(__xludf.DUMMYFUNCTION("""COMPUTED_VALUE"""),46105.0)</f>
        <v>46105</v>
      </c>
      <c r="S15" s="285" t="str">
        <f>IFERROR(__xludf.DUMMYFUNCTION("""COMPUTED_VALUE"""),"Yusmianto Use")</f>
        <v>Yusmianto Use</v>
      </c>
      <c r="T15" s="285" t="str">
        <f>IFERROR(__xludf.DUMMYFUNCTION("""COMPUTED_VALUE"""),"081460004147")</f>
        <v>081460004147</v>
      </c>
      <c r="U15" s="285" t="str">
        <f>IFERROR(__xludf.DUMMYFUNCTION("""COMPUTED_VALUE"""),"Closing")</f>
        <v>Closing</v>
      </c>
      <c r="V15" s="285" t="str">
        <f>IFERROR(__xludf.DUMMYFUNCTION("""COMPUTED_VALUE"""),"trip 1d teluk ijo ")</f>
        <v>trip 1d teluk ijo </v>
      </c>
      <c r="W15" s="287">
        <f>IFERROR(__xludf.DUMMYFUNCTION("""COMPUTED_VALUE"""),46107.0)</f>
        <v>46107</v>
      </c>
      <c r="X15" s="285">
        <f>IFERROR(__xludf.DUMMYFUNCTION("""COMPUTED_VALUE"""),5.0)</f>
        <v>5</v>
      </c>
      <c r="Y15" s="289">
        <f>IFERROR(__xludf.DUMMYFUNCTION("""COMPUTED_VALUE"""),3037500.0)</f>
        <v>3037500</v>
      </c>
      <c r="Z15" s="285" t="str">
        <f>IFERROR(__xludf.DUMMYFUNCTION("""COMPUTED_VALUE"""),"ALHAMDULILLAH ORDER LAGIII")</f>
        <v>ALHAMDULILLAH ORDER LAGIII</v>
      </c>
      <c r="AB15" s="285" t="str">
        <f>IFERROR(__xludf.DUMMYFUNCTION("""COMPUTED_VALUE"""),"2603D016")</f>
        <v>2603D016</v>
      </c>
      <c r="AC15" s="286">
        <f>IFERROR(__xludf.DUMMYFUNCTION("""COMPUTED_VALUE"""),46085.0)</f>
        <v>46085</v>
      </c>
      <c r="AD15" s="285" t="str">
        <f>IFERROR(__xludf.DUMMYFUNCTION("""COMPUTED_VALUE"""),"rajaperabot.srg")</f>
        <v>rajaperabot.srg</v>
      </c>
      <c r="AE15" s="285" t="str">
        <f>IFERROR(__xludf.DUMMYFUNCTION("""COMPUTED_VALUE"""),"081225369612")</f>
        <v>081225369612</v>
      </c>
      <c r="AF15" s="285" t="str">
        <f>IFERROR(__xludf.DUMMYFUNCTION("""COMPUTED_VALUE"""),"Gagal")</f>
        <v>Gagal</v>
      </c>
      <c r="AG15" s="285" t="str">
        <f>IFERROR(__xludf.DUMMYFUNCTION("""COMPUTED_VALUE"""),"OT")</f>
        <v>OT</v>
      </c>
      <c r="AH15" s="287"/>
      <c r="AI15" s="285">
        <f>IFERROR(__xludf.DUMMYFUNCTION("""COMPUTED_VALUE"""),4.0)</f>
        <v>4</v>
      </c>
      <c r="AJ15" s="289">
        <f>IFERROR(__xludf.DUMMYFUNCTION("""COMPUTED_VALUE"""),1180000.0)</f>
        <v>1180000</v>
      </c>
      <c r="AK15" s="285" t="str">
        <f>IFERROR(__xludf.DUMMYFUNCTION("""COMPUTED_VALUE"""),"deal ke alvin")</f>
        <v>deal ke alvin</v>
      </c>
    </row>
    <row r="16">
      <c r="B16" s="313" t="s">
        <v>10224</v>
      </c>
      <c r="C16" s="314">
        <f>C11/C13</f>
        <v>0.1478873239</v>
      </c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Q16" s="285" t="str">
        <f>IFERROR(__xludf.DUMMYFUNCTION("""COMPUTED_VALUE"""),"2603D114")</f>
        <v>2603D114</v>
      </c>
      <c r="R16" s="286">
        <f>IFERROR(__xludf.DUMMYFUNCTION("""COMPUTED_VALUE"""),46105.0)</f>
        <v>46105</v>
      </c>
      <c r="S16" s="285" t="str">
        <f>IFERROR(__xludf.DUMMYFUNCTION("""COMPUTED_VALUE"""),"Dina Rizkia Iskandar ")</f>
        <v>Dina Rizkia Iskandar </v>
      </c>
      <c r="T16" s="285" t="str">
        <f>IFERROR(__xludf.DUMMYFUNCTION("""COMPUTED_VALUE"""),"085885424452")</f>
        <v>085885424452</v>
      </c>
      <c r="U16" s="285" t="str">
        <f>IFERROR(__xludf.DUMMYFUNCTION("""COMPUTED_VALUE"""),"Closing")</f>
        <v>Closing</v>
      </c>
      <c r="V16" s="285" t="str">
        <f>IFERROR(__xludf.DUMMYFUNCTION("""COMPUTED_VALUE"""),"Menjangan Tabuhan ")</f>
        <v>Menjangan Tabuhan </v>
      </c>
      <c r="W16" s="287">
        <f>IFERROR(__xludf.DUMMYFUNCTION("""COMPUTED_VALUE"""),46157.0)</f>
        <v>46157</v>
      </c>
      <c r="X16" s="285">
        <f>IFERROR(__xludf.DUMMYFUNCTION("""COMPUTED_VALUE"""),2.0)</f>
        <v>2</v>
      </c>
      <c r="Y16" s="289">
        <f>IFERROR(__xludf.DUMMYFUNCTION("""COMPUTED_VALUE"""),1700000.0)</f>
        <v>1700000</v>
      </c>
      <c r="Z16" s="285" t="str">
        <f>IFERROR(__xludf.DUMMYFUNCTION("""COMPUTED_VALUE"""),"orderrr")</f>
        <v>orderrr</v>
      </c>
      <c r="AB16" s="285" t="str">
        <f>IFERROR(__xludf.DUMMYFUNCTION("""COMPUTED_VALUE"""),"2603D017")</f>
        <v>2603D017</v>
      </c>
      <c r="AC16" s="286">
        <f>IFERROR(__xludf.DUMMYFUNCTION("""COMPUTED_VALUE"""),46085.0)</f>
        <v>46085</v>
      </c>
      <c r="AD16" s="285" t="str">
        <f>IFERROR(__xludf.DUMMYFUNCTION("""COMPUTED_VALUE"""),"ais")</f>
        <v>ais</v>
      </c>
      <c r="AE16" s="285" t="str">
        <f>IFERROR(__xludf.DUMMYFUNCTION("""COMPUTED_VALUE"""),"081235460480")</f>
        <v>081235460480</v>
      </c>
      <c r="AF16" s="285" t="str">
        <f>IFERROR(__xludf.DUMMYFUNCTION("""COMPUTED_VALUE"""),"Gagal")</f>
        <v>Gagal</v>
      </c>
      <c r="AG16" s="285" t="str">
        <f>IFERROR(__xludf.DUMMYFUNCTION("""COMPUTED_VALUE"""),"MT")</f>
        <v>MT</v>
      </c>
      <c r="AH16" s="287">
        <f>IFERROR(__xludf.DUMMYFUNCTION("""COMPUTED_VALUE"""),46103.0)</f>
        <v>46103</v>
      </c>
      <c r="AI16" s="285">
        <f>IFERROR(__xludf.DUMMYFUNCTION("""COMPUTED_VALUE"""),2.0)</f>
        <v>2</v>
      </c>
      <c r="AJ16" s="289">
        <f>IFERROR(__xludf.DUMMYFUNCTION("""COMPUTED_VALUE"""),590000.0)</f>
        <v>590000</v>
      </c>
      <c r="AK16" s="285" t="str">
        <f>IFERROR(__xludf.DUMMYFUNCTION("""COMPUTED_VALUE"""),"tidak ada jawaban, sdh fu 5 kali ")</f>
        <v>tidak ada jawaban, sdh fu 5 kali </v>
      </c>
    </row>
    <row r="17">
      <c r="B17" s="315" t="s">
        <v>10225</v>
      </c>
      <c r="C17" s="316">
        <f>C12/C13</f>
        <v>0.7746478873</v>
      </c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Q17" s="285" t="str">
        <f>IFERROR(__xludf.DUMMYFUNCTION("""COMPUTED_VALUE"""),"2603D133")</f>
        <v>2603D133</v>
      </c>
      <c r="R17" s="286">
        <f>IFERROR(__xludf.DUMMYFUNCTION("""COMPUTED_VALUE"""),46109.0)</f>
        <v>46109</v>
      </c>
      <c r="S17" s="285" t="str">
        <f>IFERROR(__xludf.DUMMYFUNCTION("""COMPUTED_VALUE"""),"Reendiana")</f>
        <v>Reendiana</v>
      </c>
      <c r="T17" s="285" t="str">
        <f>IFERROR(__xludf.DUMMYFUNCTION("""COMPUTED_VALUE"""),"085730017788")</f>
        <v>085730017788</v>
      </c>
      <c r="U17" s="285" t="str">
        <f>IFERROR(__xludf.DUMMYFUNCTION("""COMPUTED_VALUE"""),"Closing")</f>
        <v>Closing</v>
      </c>
      <c r="V17" s="285" t="str">
        <f>IFERROR(__xludf.DUMMYFUNCTION("""COMPUTED_VALUE"""),"2H1M Custome")</f>
        <v>2H1M Custome</v>
      </c>
      <c r="W17" s="287"/>
      <c r="X17" s="285">
        <f>IFERROR(__xludf.DUMMYFUNCTION("""COMPUTED_VALUE"""),2.0)</f>
        <v>2</v>
      </c>
      <c r="Y17" s="289">
        <f>IFERROR(__xludf.DUMMYFUNCTION("""COMPUTED_VALUE"""),3850000.0)</f>
        <v>3850000</v>
      </c>
      <c r="Z17" s="285" t="str">
        <f>IFERROR(__xludf.DUMMYFUNCTION("""COMPUTED_VALUE"""),"orderrr")</f>
        <v>orderrr</v>
      </c>
      <c r="AB17" s="285" t="str">
        <f>IFERROR(__xludf.DUMMYFUNCTION("""COMPUTED_VALUE"""),"2603D021")</f>
        <v>2603D021</v>
      </c>
      <c r="AC17" s="286">
        <f>IFERROR(__xludf.DUMMYFUNCTION("""COMPUTED_VALUE"""),46085.0)</f>
        <v>46085</v>
      </c>
      <c r="AD17" s="285" t="str">
        <f>IFERROR(__xludf.DUMMYFUNCTION("""COMPUTED_VALUE"""),"Lisa")</f>
        <v>Lisa</v>
      </c>
      <c r="AE17" s="285" t="str">
        <f>IFERROR(__xludf.DUMMYFUNCTION("""COMPUTED_VALUE"""),"085934318627")</f>
        <v>085934318627</v>
      </c>
      <c r="AF17" s="285" t="str">
        <f>IFERROR(__xludf.DUMMYFUNCTION("""COMPUTED_VALUE"""),"Gagal")</f>
        <v>Gagal</v>
      </c>
      <c r="AG17" s="285" t="str">
        <f>IFERROR(__xludf.DUMMYFUNCTION("""COMPUTED_VALUE"""),"trip kawah wurung")</f>
        <v>trip kawah wurung</v>
      </c>
      <c r="AH17" s="287"/>
      <c r="AI17" s="285"/>
      <c r="AJ17" s="289"/>
      <c r="AK17" s="285" t="str">
        <f>IFERROR(__xludf.DUMMYFUNCTION("""COMPUTED_VALUE"""),"hanya menyapa. tidak ada jawaban")</f>
        <v>hanya menyapa. tidak ada jawaban</v>
      </c>
    </row>
    <row r="18"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Q18" s="285" t="str">
        <f>IFERROR(__xludf.DUMMYFUNCTION("""COMPUTED_VALUE"""),"2603D136")</f>
        <v>2603D136</v>
      </c>
      <c r="R18" s="286">
        <f>IFERROR(__xludf.DUMMYFUNCTION("""COMPUTED_VALUE"""),46109.0)</f>
        <v>46109</v>
      </c>
      <c r="S18" s="285" t="str">
        <f>IFERROR(__xludf.DUMMYFUNCTION("""COMPUTED_VALUE"""),"Ischaq Sumartonohadji")</f>
        <v>Ischaq Sumartonohadji</v>
      </c>
      <c r="T18" s="285" t="str">
        <f>IFERROR(__xludf.DUMMYFUNCTION("""COMPUTED_VALUE"""),"08121200813")</f>
        <v>08121200813</v>
      </c>
      <c r="U18" s="285" t="str">
        <f>IFERROR(__xludf.DUMMYFUNCTION("""COMPUTED_VALUE"""),"Closing")</f>
        <v>Closing</v>
      </c>
      <c r="V18" s="285" t="str">
        <f>IFERROR(__xludf.DUMMYFUNCTION("""COMPUTED_VALUE"""),"one day trip baluran")</f>
        <v>one day trip baluran</v>
      </c>
      <c r="W18" s="287">
        <f>IFERROR(__xludf.DUMMYFUNCTION("""COMPUTED_VALUE"""),46114.0)</f>
        <v>46114</v>
      </c>
      <c r="X18" s="285">
        <f>IFERROR(__xludf.DUMMYFUNCTION("""COMPUTED_VALUE"""),4.0)</f>
        <v>4</v>
      </c>
      <c r="Y18" s="289">
        <f>IFERROR(__xludf.DUMMYFUNCTION("""COMPUTED_VALUE"""),1996000.0)</f>
        <v>1996000</v>
      </c>
      <c r="Z18" s="285" t="str">
        <f>IFERROR(__xludf.DUMMYFUNCTION("""COMPUTED_VALUE"""),"ALHAMDULILLAH ORDER")</f>
        <v>ALHAMDULILLAH ORDER</v>
      </c>
      <c r="AB18" s="285" t="str">
        <f>IFERROR(__xludf.DUMMYFUNCTION("""COMPUTED_VALUE"""),"2603D022")</f>
        <v>2603D022</v>
      </c>
      <c r="AC18" s="286">
        <f>IFERROR(__xludf.DUMMYFUNCTION("""COMPUTED_VALUE"""),46085.0)</f>
        <v>46085</v>
      </c>
      <c r="AD18" s="285" t="str">
        <f>IFERROR(__xludf.DUMMYFUNCTION("""COMPUTED_VALUE"""),"Novi Nuraini")</f>
        <v>Novi Nuraini</v>
      </c>
      <c r="AE18" s="285" t="str">
        <f>IFERROR(__xludf.DUMMYFUNCTION("""COMPUTED_VALUE"""),"089649186785")</f>
        <v>089649186785</v>
      </c>
      <c r="AF18" s="285" t="str">
        <f>IFERROR(__xludf.DUMMYFUNCTION("""COMPUTED_VALUE"""),"Gagal")</f>
        <v>Gagal</v>
      </c>
      <c r="AG18" s="285" t="str">
        <f>IFERROR(__xludf.DUMMYFUNCTION("""COMPUTED_VALUE"""),"3H2M")</f>
        <v>3H2M</v>
      </c>
      <c r="AH18" s="287"/>
      <c r="AI18" s="285">
        <f>IFERROR(__xludf.DUMMYFUNCTION("""COMPUTED_VALUE"""),3.0)</f>
        <v>3</v>
      </c>
      <c r="AJ18" s="289">
        <f>IFERROR(__xludf.DUMMYFUNCTION("""COMPUTED_VALUE"""),4800000.0)</f>
        <v>4800000</v>
      </c>
      <c r="AK18" s="285" t="str">
        <f>IFERROR(__xludf.DUMMYFUNCTION("""COMPUTED_VALUE"""),"sudah lewat tanggal")</f>
        <v>sudah lewat tanggal</v>
      </c>
    </row>
    <row r="19">
      <c r="B19" s="317" t="s">
        <v>10226</v>
      </c>
      <c r="C19" s="19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Q19" s="285" t="str">
        <f>IFERROR(__xludf.DUMMYFUNCTION("""COMPUTED_VALUE"""),"2603D141")</f>
        <v>2603D141</v>
      </c>
      <c r="R19" s="286">
        <f>IFERROR(__xludf.DUMMYFUNCTION("""COMPUTED_VALUE"""),46111.0)</f>
        <v>46111</v>
      </c>
      <c r="S19" s="285" t="str">
        <f>IFERROR(__xludf.DUMMYFUNCTION("""COMPUTED_VALUE"""),"Rey")</f>
        <v>Rey</v>
      </c>
      <c r="T19" s="285" t="str">
        <f>IFERROR(__xludf.DUMMYFUNCTION("""COMPUTED_VALUE"""),"085265252689")</f>
        <v>085265252689</v>
      </c>
      <c r="U19" s="285" t="str">
        <f>IFERROR(__xludf.DUMMYFUNCTION("""COMPUTED_VALUE"""),"Closing")</f>
        <v>Closing</v>
      </c>
      <c r="V19" s="285" t="str">
        <f>IFERROR(__xludf.DUMMYFUNCTION("""COMPUTED_VALUE"""),"temannya fadjar")</f>
        <v>temannya fadjar</v>
      </c>
      <c r="W19" s="287"/>
      <c r="X19" s="285"/>
      <c r="Y19" s="289"/>
      <c r="Z19" s="285"/>
      <c r="AB19" s="285" t="str">
        <f>IFERROR(__xludf.DUMMYFUNCTION("""COMPUTED_VALUE"""),"2603D024")</f>
        <v>2603D024</v>
      </c>
      <c r="AC19" s="286">
        <f>IFERROR(__xludf.DUMMYFUNCTION("""COMPUTED_VALUE"""),46086.0)</f>
        <v>46086</v>
      </c>
      <c r="AD19" s="285" t="str">
        <f>IFERROR(__xludf.DUMMYFUNCTION("""COMPUTED_VALUE"""),"rafidfasya")</f>
        <v>rafidfasya</v>
      </c>
      <c r="AE19" s="285" t="str">
        <f>IFERROR(__xludf.DUMMYFUNCTION("""COMPUTED_VALUE"""),"089646312945")</f>
        <v>089646312945</v>
      </c>
      <c r="AF19" s="285" t="str">
        <f>IFERROR(__xludf.DUMMYFUNCTION("""COMPUTED_VALUE"""),"Gagal")</f>
        <v>Gagal</v>
      </c>
      <c r="AG19" s="285" t="str">
        <f>IFERROR(__xludf.DUMMYFUNCTION("""COMPUTED_VALUE"""),"3H2M opsi A atau B ")</f>
        <v>3H2M opsi A atau B </v>
      </c>
      <c r="AH19" s="287"/>
      <c r="AI19" s="285">
        <f>IFERROR(__xludf.DUMMYFUNCTION("""COMPUTED_VALUE"""),2.0)</f>
        <v>2</v>
      </c>
      <c r="AJ19" s="289"/>
      <c r="AK19" s="285" t="str">
        <f>IFERROR(__xludf.DUMMYFUNCTION("""COMPUTED_VALUE"""),"sdh fu lebih dr 5 kali. lewat tanggal")</f>
        <v>sdh fu lebih dr 5 kali. lewat tanggal</v>
      </c>
    </row>
    <row r="20">
      <c r="B20" s="318">
        <f>sum(Y3:Y497)</f>
        <v>50640500</v>
      </c>
      <c r="C20" s="197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Q20" s="285" t="str">
        <f>IFERROR(__xludf.DUMMYFUNCTION("""COMPUTED_VALUE"""),"2603D142")</f>
        <v>2603D142</v>
      </c>
      <c r="R20" s="286">
        <f>IFERROR(__xludf.DUMMYFUNCTION("""COMPUTED_VALUE"""),46111.0)</f>
        <v>46111</v>
      </c>
      <c r="S20" s="285" t="str">
        <f>IFERROR(__xludf.DUMMYFUNCTION("""COMPUTED_VALUE"""),"Fitri Yani")</f>
        <v>Fitri Yani</v>
      </c>
      <c r="T20" s="285" t="str">
        <f>IFERROR(__xludf.DUMMYFUNCTION("""COMPUTED_VALUE"""),"081413563474")</f>
        <v>081413563474</v>
      </c>
      <c r="U20" s="285" t="str">
        <f>IFERROR(__xludf.DUMMYFUNCTION("""COMPUTED_VALUE"""),"Closing")</f>
        <v>Closing</v>
      </c>
      <c r="V20" s="285" t="str">
        <f>IFERROR(__xludf.DUMMYFUNCTION("""COMPUTED_VALUE"""),"3h2m opsi A")</f>
        <v>3h2m opsi A</v>
      </c>
      <c r="W20" s="287">
        <f>IFERROR(__xludf.DUMMYFUNCTION("""COMPUTED_VALUE"""),46164.0)</f>
        <v>46164</v>
      </c>
      <c r="X20" s="285">
        <f>IFERROR(__xludf.DUMMYFUNCTION("""COMPUTED_VALUE"""),2.0)</f>
        <v>2</v>
      </c>
      <c r="Y20" s="289">
        <f>IFERROR(__xludf.DUMMYFUNCTION("""COMPUTED_VALUE"""),7194000.0)</f>
        <v>7194000</v>
      </c>
      <c r="Z20" s="285" t="str">
        <f>IFERROR(__xludf.DUMMYFUNCTION("""COMPUTED_VALUE"""),"Orderrrr")</f>
        <v>Orderrrr</v>
      </c>
      <c r="AB20" s="285" t="str">
        <f>IFERROR(__xludf.DUMMYFUNCTION("""COMPUTED_VALUE"""),"2603D025")</f>
        <v>2603D025</v>
      </c>
      <c r="AC20" s="286">
        <f>IFERROR(__xludf.DUMMYFUNCTION("""COMPUTED_VALUE"""),46086.0)</f>
        <v>46086</v>
      </c>
      <c r="AD20" s="285" t="str">
        <f>IFERROR(__xludf.DUMMYFUNCTION("""COMPUTED_VALUE"""),"Darmada eka")</f>
        <v>Darmada eka</v>
      </c>
      <c r="AE20" s="285" t="str">
        <f>IFERROR(__xludf.DUMMYFUNCTION("""COMPUTED_VALUE"""),"08563878376")</f>
        <v>08563878376</v>
      </c>
      <c r="AF20" s="285" t="str">
        <f>IFERROR(__xludf.DUMMYFUNCTION("""COMPUTED_VALUE"""),"Gagal")</f>
        <v>Gagal</v>
      </c>
      <c r="AG20" s="285" t="str">
        <f>IFERROR(__xludf.DUMMYFUNCTION("""COMPUTED_VALUE"""),"OT Menjangan Tabuhan")</f>
        <v>OT Menjangan Tabuhan</v>
      </c>
      <c r="AH20" s="287"/>
      <c r="AI20" s="285">
        <f>IFERROR(__xludf.DUMMYFUNCTION("""COMPUTED_VALUE"""),2.0)</f>
        <v>2</v>
      </c>
      <c r="AJ20" s="289"/>
      <c r="AK20" s="285" t="str">
        <f>IFERROR(__xludf.DUMMYFUNCTION("""COMPUTED_VALUE"""),"sudah lewat tanggal")</f>
        <v>sudah lewat tanggal</v>
      </c>
    </row>
    <row r="21">
      <c r="B21" s="201"/>
      <c r="C21" s="202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Q21" s="285" t="str">
        <f>IFERROR(__xludf.DUMMYFUNCTION("""COMPUTED_VALUE"""),"2603D143")</f>
        <v>2603D143</v>
      </c>
      <c r="R21" s="286">
        <f>IFERROR(__xludf.DUMMYFUNCTION("""COMPUTED_VALUE"""),46111.0)</f>
        <v>46111</v>
      </c>
      <c r="S21" s="285" t="str">
        <f>IFERROR(__xludf.DUMMYFUNCTION("""COMPUTED_VALUE"""),"Dhifa Prilia")</f>
        <v>Dhifa Prilia</v>
      </c>
      <c r="T21" s="285" t="str">
        <f>IFERROR(__xludf.DUMMYFUNCTION("""COMPUTED_VALUE"""),"082122646428")</f>
        <v>082122646428</v>
      </c>
      <c r="U21" s="285" t="str">
        <f>IFERROR(__xludf.DUMMYFUNCTION("""COMPUTED_VALUE"""),"Closing")</f>
        <v>Closing</v>
      </c>
      <c r="V21" s="285" t="str">
        <f>IFERROR(__xludf.DUMMYFUNCTION("""COMPUTED_VALUE"""),"OT3H2M")</f>
        <v>OT3H2M</v>
      </c>
      <c r="W21" s="287">
        <f>IFERROR(__xludf.DUMMYFUNCTION("""COMPUTED_VALUE"""),46143.0)</f>
        <v>46143</v>
      </c>
      <c r="X21" s="285">
        <f>IFERROR(__xludf.DUMMYFUNCTION("""COMPUTED_VALUE"""),46083.0)</f>
        <v>46083</v>
      </c>
      <c r="Y21" s="289">
        <f>IFERROR(__xludf.DUMMYFUNCTION("""COMPUTED_VALUE"""),4800000.0)</f>
        <v>4800000</v>
      </c>
      <c r="Z21" s="285" t="str">
        <f>IFERROR(__xludf.DUMMYFUNCTION("""COMPUTED_VALUE"""),"alhamdulillah DP")</f>
        <v>alhamdulillah DP</v>
      </c>
      <c r="AB21" s="285" t="str">
        <f>IFERROR(__xludf.DUMMYFUNCTION("""COMPUTED_VALUE"""),"2603D027")</f>
        <v>2603D027</v>
      </c>
      <c r="AC21" s="286">
        <f>IFERROR(__xludf.DUMMYFUNCTION("""COMPUTED_VALUE"""),46086.0)</f>
        <v>46086</v>
      </c>
      <c r="AD21" s="285" t="str">
        <f>IFERROR(__xludf.DUMMYFUNCTION("""COMPUTED_VALUE"""),"Rosa Sayentina Amin ")</f>
        <v>Rosa Sayentina Amin </v>
      </c>
      <c r="AE21" s="285" t="str">
        <f>IFERROR(__xludf.DUMMYFUNCTION("""COMPUTED_VALUE"""),"085601107828")</f>
        <v>085601107828</v>
      </c>
      <c r="AF21" s="285" t="str">
        <f>IFERROR(__xludf.DUMMYFUNCTION("""COMPUTED_VALUE"""),"Gagal")</f>
        <v>Gagal</v>
      </c>
      <c r="AG21" s="285" t="str">
        <f>IFERROR(__xludf.DUMMYFUNCTION("""COMPUTED_VALUE"""),"OT 3H2M")</f>
        <v>OT 3H2M</v>
      </c>
      <c r="AH21" s="287"/>
      <c r="AI21" s="285">
        <f>IFERROR(__xludf.DUMMYFUNCTION("""COMPUTED_VALUE"""),2.0)</f>
        <v>2</v>
      </c>
      <c r="AJ21" s="289">
        <f>IFERROR(__xludf.DUMMYFUNCTION("""COMPUTED_VALUE"""),3200000.0)</f>
        <v>3200000</v>
      </c>
      <c r="AK21" s="285" t="str">
        <f>IFERROR(__xludf.DUMMYFUNCTION("""COMPUTED_VALUE"""),"ganti lokasi destinasi")</f>
        <v>ganti lokasi destinasi</v>
      </c>
    </row>
    <row r="22"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Q22" s="285" t="str">
        <f>IFERROR(__xludf.DUMMYFUNCTION("""COMPUTED_VALUE"""),"2603D145")</f>
        <v>2603D145</v>
      </c>
      <c r="R22" s="286">
        <f>IFERROR(__xludf.DUMMYFUNCTION("""COMPUTED_VALUE"""),46112.0)</f>
        <v>46112</v>
      </c>
      <c r="S22" s="285" t="str">
        <f>IFERROR(__xludf.DUMMYFUNCTION("""COMPUTED_VALUE"""),"MiNa Dhanty")</f>
        <v>MiNa Dhanty</v>
      </c>
      <c r="T22" s="285" t="str">
        <f>IFERROR(__xludf.DUMMYFUNCTION("""COMPUTED_VALUE"""),"082125888932")</f>
        <v>082125888932</v>
      </c>
      <c r="U22" s="285" t="str">
        <f>IFERROR(__xludf.DUMMYFUNCTION("""COMPUTED_VALUE"""),"Closing")</f>
        <v>Closing</v>
      </c>
      <c r="V22" s="285" t="str">
        <f>IFERROR(__xludf.DUMMYFUNCTION("""COMPUTED_VALUE"""),"OT D,B &amp; M,T")</f>
        <v>OT D,B &amp; M,T</v>
      </c>
      <c r="W22" s="287">
        <f>IFERROR(__xludf.DUMMYFUNCTION("""COMPUTED_VALUE"""),46116.0)</f>
        <v>46116</v>
      </c>
      <c r="X22" s="285">
        <f>IFERROR(__xludf.DUMMYFUNCTION("""COMPUTED_VALUE"""),1.0)</f>
        <v>1</v>
      </c>
      <c r="Y22" s="289">
        <f>IFERROR(__xludf.DUMMYFUNCTION("""COMPUTED_VALUE"""),845000.0)</f>
        <v>845000</v>
      </c>
      <c r="Z22" s="285" t="str">
        <f>IFERROR(__xludf.DUMMYFUNCTION("""COMPUTED_VALUE"""),"orderrr alhamdulillah")</f>
        <v>orderrr alhamdulillah</v>
      </c>
      <c r="AB22" s="285" t="str">
        <f>IFERROR(__xludf.DUMMYFUNCTION("""COMPUTED_VALUE"""),"2603D028")</f>
        <v>2603D028</v>
      </c>
      <c r="AC22" s="286">
        <f>IFERROR(__xludf.DUMMYFUNCTION("""COMPUTED_VALUE"""),46086.0)</f>
        <v>46086</v>
      </c>
      <c r="AD22" s="285" t="str">
        <f>IFERROR(__xludf.DUMMYFUNCTION("""COMPUTED_VALUE"""),"Kaka")</f>
        <v>Kaka</v>
      </c>
      <c r="AE22" s="285" t="str">
        <f>IFERROR(__xludf.DUMMYFUNCTION("""COMPUTED_VALUE"""),"081542046305")</f>
        <v>081542046305</v>
      </c>
      <c r="AF22" s="285" t="str">
        <f>IFERROR(__xludf.DUMMYFUNCTION("""COMPUTED_VALUE"""),"Gagal")</f>
        <v>Gagal</v>
      </c>
      <c r="AG22" s="285" t="str">
        <f>IFERROR(__xludf.DUMMYFUNCTION("""COMPUTED_VALUE"""),"custom 2H1M")</f>
        <v>custom 2H1M</v>
      </c>
      <c r="AH22" s="287"/>
      <c r="AI22" s="285">
        <f>IFERROR(__xludf.DUMMYFUNCTION("""COMPUTED_VALUE"""),7.0)</f>
        <v>7</v>
      </c>
      <c r="AJ22" s="289">
        <f>IFERROR(__xludf.DUMMYFUNCTION("""COMPUTED_VALUE"""),1.403E7)</f>
        <v>14030000</v>
      </c>
      <c r="AK22" s="285" t="str">
        <f>IFERROR(__xludf.DUMMYFUNCTION("""COMPUTED_VALUE"""),"ga jadi, peserta masih pemulihan sakit")</f>
        <v>ga jadi, peserta masih pemulihan sakit</v>
      </c>
    </row>
    <row r="23">
      <c r="B23" s="317" t="s">
        <v>10227</v>
      </c>
      <c r="C23" s="19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Q23" s="285" t="str">
        <f>IFERROR(__xludf.DUMMYFUNCTION("""COMPUTED_VALUE"""),"2603D147")</f>
        <v>2603D147</v>
      </c>
      <c r="R23" s="286">
        <f>IFERROR(__xludf.DUMMYFUNCTION("""COMPUTED_VALUE"""),46112.0)</f>
        <v>46112</v>
      </c>
      <c r="S23" s="285" t="str">
        <f>IFERROR(__xludf.DUMMYFUNCTION("""COMPUTED_VALUE"""),"Dyah Ayu")</f>
        <v>Dyah Ayu</v>
      </c>
      <c r="T23" s="285" t="str">
        <f>IFERROR(__xludf.DUMMYFUNCTION("""COMPUTED_VALUE"""),"087737066893")</f>
        <v>087737066893</v>
      </c>
      <c r="U23" s="285" t="str">
        <f>IFERROR(__xludf.DUMMYFUNCTION("""COMPUTED_VALUE"""),"Closing")</f>
        <v>Closing</v>
      </c>
      <c r="V23" s="285" t="str">
        <f>IFERROR(__xludf.DUMMYFUNCTION("""COMPUTED_VALUE"""),"open trip 3h2m")</f>
        <v>open trip 3h2m</v>
      </c>
      <c r="W23" s="287"/>
      <c r="X23" s="285">
        <f>IFERROR(__xludf.DUMMYFUNCTION("""COMPUTED_VALUE"""),2.0)</f>
        <v>2</v>
      </c>
      <c r="Y23" s="289">
        <f>IFERROR(__xludf.DUMMYFUNCTION("""COMPUTED_VALUE"""),3200000.0)</f>
        <v>3200000</v>
      </c>
      <c r="Z23" s="285" t="str">
        <f>IFERROR(__xludf.DUMMYFUNCTION("""COMPUTED_VALUE"""),"orderrr")</f>
        <v>orderrr</v>
      </c>
      <c r="AB23" s="285" t="str">
        <f>IFERROR(__xludf.DUMMYFUNCTION("""COMPUTED_VALUE"""),"2603D029")</f>
        <v>2603D029</v>
      </c>
      <c r="AC23" s="286">
        <f>IFERROR(__xludf.DUMMYFUNCTION("""COMPUTED_VALUE"""),46087.0)</f>
        <v>46087</v>
      </c>
      <c r="AD23" s="285" t="str">
        <f>IFERROR(__xludf.DUMMYFUNCTION("""COMPUTED_VALUE"""),"Bagus Fajar")</f>
        <v>Bagus Fajar</v>
      </c>
      <c r="AE23" s="285" t="str">
        <f>IFERROR(__xludf.DUMMYFUNCTION("""COMPUTED_VALUE"""),"085604355420")</f>
        <v>085604355420</v>
      </c>
      <c r="AF23" s="285" t="str">
        <f>IFERROR(__xludf.DUMMYFUNCTION("""COMPUTED_VALUE"""),"Gagal")</f>
        <v>Gagal</v>
      </c>
      <c r="AG23" s="285" t="str">
        <f>IFERROR(__xludf.DUMMYFUNCTION("""COMPUTED_VALUE"""),"OT 3H2M")</f>
        <v>OT 3H2M</v>
      </c>
      <c r="AH23" s="287">
        <f>IFERROR(__xludf.DUMMYFUNCTION("""COMPUTED_VALUE"""),46115.0)</f>
        <v>46115</v>
      </c>
      <c r="AI23" s="285">
        <f>IFERROR(__xludf.DUMMYFUNCTION("""COMPUTED_VALUE"""),1.0)</f>
        <v>1</v>
      </c>
      <c r="AJ23" s="289">
        <f>IFERROR(__xludf.DUMMYFUNCTION("""COMPUTED_VALUE"""),1600000.0)</f>
        <v>1600000</v>
      </c>
      <c r="AK23" s="285" t="str">
        <f>IFERROR(__xludf.DUMMYFUNCTION("""COMPUTED_VALUE"""),"tanggal gabisa fleksibel")</f>
        <v>tanggal gabisa fleksibel</v>
      </c>
    </row>
    <row r="24">
      <c r="B24" s="318">
        <f>sum(N3:N497)</f>
        <v>231918000</v>
      </c>
      <c r="C24" s="197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B24" s="285" t="str">
        <f>IFERROR(__xludf.DUMMYFUNCTION("""COMPUTED_VALUE"""),"2603D030")</f>
        <v>2603D030</v>
      </c>
      <c r="AC24" s="286">
        <f>IFERROR(__xludf.DUMMYFUNCTION("""COMPUTED_VALUE"""),46087.0)</f>
        <v>46087</v>
      </c>
      <c r="AD24" s="285" t="str">
        <f>IFERROR(__xludf.DUMMYFUNCTION("""COMPUTED_VALUE"""),"Grace")</f>
        <v>Grace</v>
      </c>
      <c r="AE24" s="285" t="str">
        <f>IFERROR(__xludf.DUMMYFUNCTION("""COMPUTED_VALUE"""),"082230156632")</f>
        <v>082230156632</v>
      </c>
      <c r="AF24" s="285" t="str">
        <f>IFERROR(__xludf.DUMMYFUNCTION("""COMPUTED_VALUE"""),"Gagal")</f>
        <v>Gagal</v>
      </c>
      <c r="AG24" s="285"/>
      <c r="AH24" s="287"/>
      <c r="AI24" s="285">
        <f>IFERROR(__xludf.DUMMYFUNCTION("""COMPUTED_VALUE"""),5.0)</f>
        <v>5</v>
      </c>
      <c r="AJ24" s="289"/>
      <c r="AK24" s="285" t="str">
        <f>IFERROR(__xludf.DUMMYFUNCTION("""COMPUTED_VALUE"""),"gagal, tidak ada jawaban")</f>
        <v>gagal, tidak ada jawaban</v>
      </c>
    </row>
    <row r="25">
      <c r="B25" s="201"/>
      <c r="C25" s="202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B25" s="285" t="str">
        <f>IFERROR(__xludf.DUMMYFUNCTION("""COMPUTED_VALUE"""),"2603D031")</f>
        <v>2603D031</v>
      </c>
      <c r="AC25" s="286">
        <f>IFERROR(__xludf.DUMMYFUNCTION("""COMPUTED_VALUE"""),46087.0)</f>
        <v>46087</v>
      </c>
      <c r="AD25" s="285" t="str">
        <f>IFERROR(__xludf.DUMMYFUNCTION("""COMPUTED_VALUE"""),"Denavia")</f>
        <v>Denavia</v>
      </c>
      <c r="AE25" s="285" t="str">
        <f>IFERROR(__xludf.DUMMYFUNCTION("""COMPUTED_VALUE"""),"085645696429")</f>
        <v>085645696429</v>
      </c>
      <c r="AF25" s="285" t="str">
        <f>IFERROR(__xludf.DUMMYFUNCTION("""COMPUTED_VALUE"""),"Gagal")</f>
        <v>Gagal</v>
      </c>
      <c r="AG25" s="285" t="str">
        <f>IFERROR(__xludf.DUMMYFUNCTION("""COMPUTED_VALUE"""),"OT")</f>
        <v>OT</v>
      </c>
      <c r="AH25" s="287"/>
      <c r="AI25" s="285">
        <f>IFERROR(__xludf.DUMMYFUNCTION("""COMPUTED_VALUE"""),2.0)</f>
        <v>2</v>
      </c>
      <c r="AJ25" s="289"/>
      <c r="AK25" s="285" t="str">
        <f>IFERROR(__xludf.DUMMYFUNCTION("""COMPUTED_VALUE"""),"belum tau alasannya tidak jadi")</f>
        <v>belum tau alasannya tidak jadi</v>
      </c>
    </row>
    <row r="26"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B26" s="285" t="str">
        <f>IFERROR(__xludf.DUMMYFUNCTION("""COMPUTED_VALUE"""),"2603D032")</f>
        <v>2603D032</v>
      </c>
      <c r="AC26" s="286">
        <f>IFERROR(__xludf.DUMMYFUNCTION("""COMPUTED_VALUE"""),46087.0)</f>
        <v>46087</v>
      </c>
      <c r="AD26" s="285" t="str">
        <f>IFERROR(__xludf.DUMMYFUNCTION("""COMPUTED_VALUE"""),"Dhea Lubis")</f>
        <v>Dhea Lubis</v>
      </c>
      <c r="AE26" s="285" t="str">
        <f>IFERROR(__xludf.DUMMYFUNCTION("""COMPUTED_VALUE"""),"085359207689")</f>
        <v>085359207689</v>
      </c>
      <c r="AF26" s="285" t="str">
        <f>IFERROR(__xludf.DUMMYFUNCTION("""COMPUTED_VALUE"""),"Gagal")</f>
        <v>Gagal</v>
      </c>
      <c r="AG26" s="285" t="str">
        <f>IFERROR(__xludf.DUMMYFUNCTION("""COMPUTED_VALUE"""),"custom 2H1M")</f>
        <v>custom 2H1M</v>
      </c>
      <c r="AH26" s="287"/>
      <c r="AI26" s="285">
        <f>IFERROR(__xludf.DUMMYFUNCTION("""COMPUTED_VALUE"""),3.0)</f>
        <v>3</v>
      </c>
      <c r="AJ26" s="289"/>
      <c r="AK26" s="285" t="str">
        <f>IFERROR(__xludf.DUMMYFUNCTION("""COMPUTED_VALUE"""),"ga jadi, alasan belum tahu")</f>
        <v>ga jadi, alasan belum tahu</v>
      </c>
    </row>
    <row r="27">
      <c r="B27" s="317" t="s">
        <v>10228</v>
      </c>
      <c r="C27" s="19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B27" s="285" t="str">
        <f>IFERROR(__xludf.DUMMYFUNCTION("""COMPUTED_VALUE"""),"2602D033")</f>
        <v>2602D033</v>
      </c>
      <c r="AC27" s="286">
        <f>IFERROR(__xludf.DUMMYFUNCTION("""COMPUTED_VALUE"""),46088.0)</f>
        <v>46088</v>
      </c>
      <c r="AD27" s="285" t="str">
        <f>IFERROR(__xludf.DUMMYFUNCTION("""COMPUTED_VALUE"""),"Dzakiyah")</f>
        <v>Dzakiyah</v>
      </c>
      <c r="AE27" s="285" t="str">
        <f>IFERROR(__xludf.DUMMYFUNCTION("""COMPUTED_VALUE"""),"081230027737")</f>
        <v>081230027737</v>
      </c>
      <c r="AF27" s="285" t="str">
        <f>IFERROR(__xludf.DUMMYFUNCTION("""COMPUTED_VALUE"""),"Gagal")</f>
        <v>Gagal</v>
      </c>
      <c r="AG27" s="285" t="str">
        <f>IFERROR(__xludf.DUMMYFUNCTION("""COMPUTED_VALUE"""),"1day trip menjangan")</f>
        <v>1day trip menjangan</v>
      </c>
      <c r="AH27" s="287"/>
      <c r="AI27" s="285">
        <f>IFERROR(__xludf.DUMMYFUNCTION("""COMPUTED_VALUE"""),3.0)</f>
        <v>3</v>
      </c>
      <c r="AJ27" s="289">
        <f>IFERROR(__xludf.DUMMYFUNCTION("""COMPUTED_VALUE"""),1830000.0)</f>
        <v>1830000</v>
      </c>
      <c r="AK27" s="285" t="str">
        <f>IFERROR(__xludf.DUMMYFUNCTION("""COMPUTED_VALUE"""),"tidak membalas lagi, Fu beberapa lagi")</f>
        <v>tidak membalas lagi, Fu beberapa lagi</v>
      </c>
    </row>
    <row r="28">
      <c r="B28" s="318">
        <f>sum(AJ3:AJ497)</f>
        <v>266835861</v>
      </c>
      <c r="C28" s="197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B28" s="285" t="str">
        <f>IFERROR(__xludf.DUMMYFUNCTION("""COMPUTED_VALUE"""),"2603D034")</f>
        <v>2603D034</v>
      </c>
      <c r="AC28" s="286">
        <f>IFERROR(__xludf.DUMMYFUNCTION("""COMPUTED_VALUE"""),46088.0)</f>
        <v>46088</v>
      </c>
      <c r="AD28" s="285" t="str">
        <f>IFERROR(__xludf.DUMMYFUNCTION("""COMPUTED_VALUE"""),"Meilin")</f>
        <v>Meilin</v>
      </c>
      <c r="AE28" s="285" t="str">
        <f>IFERROR(__xludf.DUMMYFUNCTION("""COMPUTED_VALUE"""),"083119577736")</f>
        <v>083119577736</v>
      </c>
      <c r="AF28" s="285" t="str">
        <f>IFERROR(__xludf.DUMMYFUNCTION("""COMPUTED_VALUE"""),"Gagal")</f>
        <v>Gagal</v>
      </c>
      <c r="AG28" s="285" t="str">
        <f>IFERROR(__xludf.DUMMYFUNCTION("""COMPUTED_VALUE"""),"MT, D, B")</f>
        <v>MT, D, B</v>
      </c>
      <c r="AH28" s="287"/>
      <c r="AI28" s="285"/>
      <c r="AJ28" s="289"/>
      <c r="AK28" s="285" t="str">
        <f>IFERROR(__xludf.DUMMYFUNCTION("""COMPUTED_VALUE"""),"tidak ada jawaban. lewat tanggal")</f>
        <v>tidak ada jawaban. lewat tanggal</v>
      </c>
    </row>
    <row r="29">
      <c r="B29" s="201"/>
      <c r="C29" s="202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B29" s="285" t="str">
        <f>IFERROR(__xludf.DUMMYFUNCTION("""COMPUTED_VALUE"""),"2603D035")</f>
        <v>2603D035</v>
      </c>
      <c r="AC29" s="286">
        <f>IFERROR(__xludf.DUMMYFUNCTION("""COMPUTED_VALUE"""),46088.0)</f>
        <v>46088</v>
      </c>
      <c r="AD29" s="285" t="str">
        <f>IFERROR(__xludf.DUMMYFUNCTION("""COMPUTED_VALUE"""),"Kharis")</f>
        <v>Kharis</v>
      </c>
      <c r="AE29" s="285" t="str">
        <f>IFERROR(__xludf.DUMMYFUNCTION("""COMPUTED_VALUE"""),"081553818001")</f>
        <v>081553818001</v>
      </c>
      <c r="AF29" s="285" t="str">
        <f>IFERROR(__xludf.DUMMYFUNCTION("""COMPUTED_VALUE"""),"Gagal")</f>
        <v>Gagal</v>
      </c>
      <c r="AG29" s="285" t="str">
        <f>IFERROR(__xludf.DUMMYFUNCTION("""COMPUTED_VALUE"""),"3H2M")</f>
        <v>3H2M</v>
      </c>
      <c r="AH29" s="287">
        <f>IFERROR(__xludf.DUMMYFUNCTION("""COMPUTED_VALUE"""),46106.0)</f>
        <v>46106</v>
      </c>
      <c r="AI29" s="285">
        <f>IFERROR(__xludf.DUMMYFUNCTION("""COMPUTED_VALUE"""),3.0)</f>
        <v>3</v>
      </c>
      <c r="AJ29" s="289">
        <f>IFERROR(__xludf.DUMMYFUNCTION("""COMPUTED_VALUE"""),8550000.0)</f>
        <v>8550000</v>
      </c>
      <c r="AK29" s="285" t="str">
        <f>IFERROR(__xludf.DUMMYFUNCTION("""COMPUTED_VALUE"""),"lewat tanggal, gagal")</f>
        <v>lewat tanggal, gagal</v>
      </c>
    </row>
    <row r="30"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B30" s="285" t="str">
        <f>IFERROR(__xludf.DUMMYFUNCTION("""COMPUTED_VALUE"""),"2603D036")</f>
        <v>2603D036</v>
      </c>
      <c r="AC30" s="286">
        <f>IFERROR(__xludf.DUMMYFUNCTION("""COMPUTED_VALUE"""),46088.0)</f>
        <v>46088</v>
      </c>
      <c r="AD30" s="285" t="str">
        <f>IFERROR(__xludf.DUMMYFUNCTION("""COMPUTED_VALUE"""),"i")</f>
        <v>i</v>
      </c>
      <c r="AE30" s="285" t="str">
        <f>IFERROR(__xludf.DUMMYFUNCTION("""COMPUTED_VALUE"""),"082124871700")</f>
        <v>082124871700</v>
      </c>
      <c r="AF30" s="285" t="str">
        <f>IFERROR(__xludf.DUMMYFUNCTION("""COMPUTED_VALUE"""),"Gagal")</f>
        <v>Gagal</v>
      </c>
      <c r="AG30" s="285"/>
      <c r="AH30" s="287"/>
      <c r="AI30" s="285"/>
      <c r="AJ30" s="289"/>
      <c r="AK30" s="285" t="str">
        <f>IFERROR(__xludf.DUMMYFUNCTION("""COMPUTED_VALUE"""),"hanya menyapa, tidak ada jawaban ")</f>
        <v>hanya menyapa, tidak ada jawaban </v>
      </c>
    </row>
    <row r="31"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B31" s="285" t="str">
        <f>IFERROR(__xludf.DUMMYFUNCTION("""COMPUTED_VALUE"""),"2603D037")</f>
        <v>2603D037</v>
      </c>
      <c r="AC31" s="286">
        <f>IFERROR(__xludf.DUMMYFUNCTION("""COMPUTED_VALUE"""),46089.0)</f>
        <v>46089</v>
      </c>
      <c r="AD31" s="285" t="str">
        <f>IFERROR(__xludf.DUMMYFUNCTION("""COMPUTED_VALUE"""),"Mayrican A.T")</f>
        <v>Mayrican A.T</v>
      </c>
      <c r="AE31" s="285" t="str">
        <f>IFERROR(__xludf.DUMMYFUNCTION("""COMPUTED_VALUE"""),"0895411879995")</f>
        <v>0895411879995</v>
      </c>
      <c r="AF31" s="285" t="str">
        <f>IFERROR(__xludf.DUMMYFUNCTION("""COMPUTED_VALUE"""),"Gagal")</f>
        <v>Gagal</v>
      </c>
      <c r="AG31" s="285" t="str">
        <f>IFERROR(__xludf.DUMMYFUNCTION("""COMPUTED_VALUE"""),"paket 1 day trip pulau merah")</f>
        <v>paket 1 day trip pulau merah</v>
      </c>
      <c r="AH31" s="287"/>
      <c r="AI31" s="285">
        <f>IFERROR(__xludf.DUMMYFUNCTION("""COMPUTED_VALUE"""),3.0)</f>
        <v>3</v>
      </c>
      <c r="AJ31" s="289">
        <f>IFERROR(__xludf.DUMMYFUNCTION("""COMPUTED_VALUE"""),1548000.0)</f>
        <v>1548000</v>
      </c>
      <c r="AK31" s="285" t="str">
        <f>IFERROR(__xludf.DUMMYFUNCTION("""COMPUTED_VALUE"""),"ga jadi, alasan belum tahu")</f>
        <v>ga jadi, alasan belum tahu</v>
      </c>
    </row>
    <row r="32"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B32" s="285" t="str">
        <f>IFERROR(__xludf.DUMMYFUNCTION("""COMPUTED_VALUE"""),"2603D041")</f>
        <v>2603D041</v>
      </c>
      <c r="AC32" s="286">
        <f>IFERROR(__xludf.DUMMYFUNCTION("""COMPUTED_VALUE"""),46090.0)</f>
        <v>46090</v>
      </c>
      <c r="AD32" s="285" t="str">
        <f>IFERROR(__xludf.DUMMYFUNCTION("""COMPUTED_VALUE"""),"Ashta")</f>
        <v>Ashta</v>
      </c>
      <c r="AE32" s="285" t="str">
        <f>IFERROR(__xludf.DUMMYFUNCTION("""COMPUTED_VALUE"""),"085121330989")</f>
        <v>085121330989</v>
      </c>
      <c r="AF32" s="285" t="str">
        <f>IFERROR(__xludf.DUMMYFUNCTION("""COMPUTED_VALUE"""),"Gagal")</f>
        <v>Gagal</v>
      </c>
      <c r="AG32" s="285"/>
      <c r="AH32" s="287">
        <f>IFERROR(__xludf.DUMMYFUNCTION("""COMPUTED_VALUE"""),46107.0)</f>
        <v>46107</v>
      </c>
      <c r="AI32" s="285">
        <f>IFERROR(__xludf.DUMMYFUNCTION("""COMPUTED_VALUE"""),2.0)</f>
        <v>2</v>
      </c>
      <c r="AJ32" s="289"/>
      <c r="AK32" s="285" t="str">
        <f>IFERROR(__xludf.DUMMYFUNCTION("""COMPUTED_VALUE"""),"belum dulu")</f>
        <v>belum dulu</v>
      </c>
    </row>
    <row r="33"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B33" s="285" t="str">
        <f>IFERROR(__xludf.DUMMYFUNCTION("""COMPUTED_VALUE"""),"2603D042")</f>
        <v>2603D042</v>
      </c>
      <c r="AC33" s="286">
        <f>IFERROR(__xludf.DUMMYFUNCTION("""COMPUTED_VALUE"""),46090.0)</f>
        <v>46090</v>
      </c>
      <c r="AD33" s="285" t="str">
        <f>IFERROR(__xludf.DUMMYFUNCTION("""COMPUTED_VALUE"""),"Reni")</f>
        <v>Reni</v>
      </c>
      <c r="AE33" s="285" t="str">
        <f>IFERROR(__xludf.DUMMYFUNCTION("""COMPUTED_VALUE"""),"082233760255")</f>
        <v>082233760255</v>
      </c>
      <c r="AF33" s="285" t="str">
        <f>IFERROR(__xludf.DUMMYFUNCTION("""COMPUTED_VALUE"""),"Gagal")</f>
        <v>Gagal</v>
      </c>
      <c r="AG33" s="285" t="str">
        <f>IFERROR(__xludf.DUMMYFUNCTION("""COMPUTED_VALUE"""),"3H2M atau 2H1M")</f>
        <v>3H2M atau 2H1M</v>
      </c>
      <c r="AH33" s="287"/>
      <c r="AI33" s="285">
        <f>IFERROR(__xludf.DUMMYFUNCTION("""COMPUTED_VALUE"""),8.0)</f>
        <v>8</v>
      </c>
      <c r="AJ33" s="289"/>
      <c r="AK33" s="285" t="str">
        <f>IFERROR(__xludf.DUMMYFUNCTION("""COMPUTED_VALUE"""),"tidak ada jawaban, lewat tanggal")</f>
        <v>tidak ada jawaban, lewat tanggal</v>
      </c>
    </row>
    <row r="34"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B34" s="285" t="str">
        <f>IFERROR(__xludf.DUMMYFUNCTION("""COMPUTED_VALUE"""),"2603D043")</f>
        <v>2603D043</v>
      </c>
      <c r="AC34" s="286">
        <f>IFERROR(__xludf.DUMMYFUNCTION("""COMPUTED_VALUE"""),46091.0)</f>
        <v>46091</v>
      </c>
      <c r="AD34" s="285" t="str">
        <f>IFERROR(__xludf.DUMMYFUNCTION("""COMPUTED_VALUE"""),"Kunny")</f>
        <v>Kunny</v>
      </c>
      <c r="AE34" s="285" t="str">
        <f>IFERROR(__xludf.DUMMYFUNCTION("""COMPUTED_VALUE"""),"087776268365")</f>
        <v>087776268365</v>
      </c>
      <c r="AF34" s="285" t="str">
        <f>IFERROR(__xludf.DUMMYFUNCTION("""COMPUTED_VALUE"""),"Gagal")</f>
        <v>Gagal</v>
      </c>
      <c r="AG34" s="285"/>
      <c r="AH34" s="287"/>
      <c r="AI34" s="285"/>
      <c r="AJ34" s="289"/>
      <c r="AK34" s="285" t="str">
        <f>IFERROR(__xludf.DUMMYFUNCTION("""COMPUTED_VALUE"""),"gada jawaban. hanya menyapa")</f>
        <v>gada jawaban. hanya menyapa</v>
      </c>
    </row>
    <row r="35"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B35" s="285" t="str">
        <f>IFERROR(__xludf.DUMMYFUNCTION("""COMPUTED_VALUE"""),"2603D044")</f>
        <v>2603D044</v>
      </c>
      <c r="AC35" s="286">
        <f>IFERROR(__xludf.DUMMYFUNCTION("""COMPUTED_VALUE"""),46091.0)</f>
        <v>46091</v>
      </c>
      <c r="AD35" s="285" t="str">
        <f>IFERROR(__xludf.DUMMYFUNCTION("""COMPUTED_VALUE"""),"titik")</f>
        <v>titik</v>
      </c>
      <c r="AE35" s="285" t="str">
        <f>IFERROR(__xludf.DUMMYFUNCTION("""COMPUTED_VALUE"""),"081380952392")</f>
        <v>081380952392</v>
      </c>
      <c r="AF35" s="285" t="str">
        <f>IFERROR(__xludf.DUMMYFUNCTION("""COMPUTED_VALUE"""),"Gagal")</f>
        <v>Gagal</v>
      </c>
      <c r="AG35" s="285" t="str">
        <f>IFERROR(__xludf.DUMMYFUNCTION("""COMPUTED_VALUE"""),"green island ")</f>
        <v>green island </v>
      </c>
      <c r="AH35" s="287">
        <f>IFERROR(__xludf.DUMMYFUNCTION("""COMPUTED_VALUE"""),46123.0)</f>
        <v>46123</v>
      </c>
      <c r="AI35" s="285">
        <f>IFERROR(__xludf.DUMMYFUNCTION("""COMPUTED_VALUE"""),3.0)</f>
        <v>3</v>
      </c>
      <c r="AJ35" s="289">
        <f>IFERROR(__xludf.DUMMYFUNCTION("""COMPUTED_VALUE"""),2475000.0)</f>
        <v>2475000</v>
      </c>
      <c r="AK35" s="285" t="str">
        <f>IFERROR(__xludf.DUMMYFUNCTION("""COMPUTED_VALUE"""),"FU 6 April")</f>
        <v>FU 6 April</v>
      </c>
    </row>
    <row r="36"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B36" s="285" t="str">
        <f>IFERROR(__xludf.DUMMYFUNCTION("""COMPUTED_VALUE"""),"2603D045")</f>
        <v>2603D045</v>
      </c>
      <c r="AC36" s="286">
        <f>IFERROR(__xludf.DUMMYFUNCTION("""COMPUTED_VALUE"""),46091.0)</f>
        <v>46091</v>
      </c>
      <c r="AD36" s="285" t="str">
        <f>IFERROR(__xludf.DUMMYFUNCTION("""COMPUTED_VALUE"""),"Irvandiptr")</f>
        <v>Irvandiptr</v>
      </c>
      <c r="AE36" s="285" t="str">
        <f>IFERROR(__xludf.DUMMYFUNCTION("""COMPUTED_VALUE"""),"087830130288")</f>
        <v>087830130288</v>
      </c>
      <c r="AF36" s="285" t="str">
        <f>IFERROR(__xludf.DUMMYFUNCTION("""COMPUTED_VALUE"""),"Gagal")</f>
        <v>Gagal</v>
      </c>
      <c r="AG36" s="285" t="str">
        <f>IFERROR(__xludf.DUMMYFUNCTION("""COMPUTED_VALUE"""),"3H2M")</f>
        <v>3H2M</v>
      </c>
      <c r="AH36" s="287">
        <f>IFERROR(__xludf.DUMMYFUNCTION("""COMPUTED_VALUE"""),46104.0)</f>
        <v>46104</v>
      </c>
      <c r="AI36" s="285">
        <f>IFERROR(__xludf.DUMMYFUNCTION("""COMPUTED_VALUE"""),10.0)</f>
        <v>10</v>
      </c>
      <c r="AJ36" s="289">
        <f>IFERROR(__xludf.DUMMYFUNCTION("""COMPUTED_VALUE"""),1.1E7)</f>
        <v>11000000</v>
      </c>
      <c r="AK36" s="285" t="str">
        <f>IFERROR(__xludf.DUMMYFUNCTION("""COMPUTED_VALUE"""),"lewat tanggal, tidak ada jawaban ")</f>
        <v>lewat tanggal, tidak ada jawaban </v>
      </c>
    </row>
    <row r="37"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B37" s="285" t="str">
        <f>IFERROR(__xludf.DUMMYFUNCTION("""COMPUTED_VALUE"""),"2603D046")</f>
        <v>2603D046</v>
      </c>
      <c r="AC37" s="286">
        <f>IFERROR(__xludf.DUMMYFUNCTION("""COMPUTED_VALUE"""),46091.0)</f>
        <v>46091</v>
      </c>
      <c r="AD37" s="285" t="str">
        <f>IFERROR(__xludf.DUMMYFUNCTION("""COMPUTED_VALUE"""),"Chacha")</f>
        <v>Chacha</v>
      </c>
      <c r="AE37" s="285" t="str">
        <f>IFERROR(__xludf.DUMMYFUNCTION("""COMPUTED_VALUE"""),"085881293821")</f>
        <v>085881293821</v>
      </c>
      <c r="AF37" s="285" t="str">
        <f>IFERROR(__xludf.DUMMYFUNCTION("""COMPUTED_VALUE"""),"Gagal")</f>
        <v>Gagal</v>
      </c>
      <c r="AG37" s="285" t="str">
        <f>IFERROR(__xludf.DUMMYFUNCTION("""COMPUTED_VALUE"""),"4H3M")</f>
        <v>4H3M</v>
      </c>
      <c r="AH37" s="287"/>
      <c r="AI37" s="285">
        <f>IFERROR(__xludf.DUMMYFUNCTION("""COMPUTED_VALUE"""),6.0)</f>
        <v>6</v>
      </c>
      <c r="AJ37" s="289">
        <f>IFERROR(__xludf.DUMMYFUNCTION("""COMPUTED_VALUE"""),1.137E7)</f>
        <v>11370000</v>
      </c>
      <c r="AK37" s="285" t="str">
        <f>IFERROR(__xludf.DUMMYFUNCTION("""COMPUTED_VALUE"""),"lewat tanggal, tidak ada jawaban ")</f>
        <v>lewat tanggal, tidak ada jawaban </v>
      </c>
    </row>
    <row r="38"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B38" s="285" t="str">
        <f>IFERROR(__xludf.DUMMYFUNCTION("""COMPUTED_VALUE"""),"2603D048")</f>
        <v>2603D048</v>
      </c>
      <c r="AC38" s="286">
        <f>IFERROR(__xludf.DUMMYFUNCTION("""COMPUTED_VALUE"""),46092.0)</f>
        <v>46092</v>
      </c>
      <c r="AD38" s="285" t="str">
        <f>IFERROR(__xludf.DUMMYFUNCTION("""COMPUTED_VALUE"""),"Anggia Desti")</f>
        <v>Anggia Desti</v>
      </c>
      <c r="AE38" s="285" t="str">
        <f>IFERROR(__xludf.DUMMYFUNCTION("""COMPUTED_VALUE"""),"085740117527")</f>
        <v>085740117527</v>
      </c>
      <c r="AF38" s="285" t="str">
        <f>IFERROR(__xludf.DUMMYFUNCTION("""COMPUTED_VALUE"""),"Gagal")</f>
        <v>Gagal</v>
      </c>
      <c r="AG38" s="285" t="str">
        <f>IFERROR(__xludf.DUMMYFUNCTION("""COMPUTED_VALUE"""),"OPEN TRIP")</f>
        <v>OPEN TRIP</v>
      </c>
      <c r="AH38" s="287"/>
      <c r="AI38" s="285">
        <f>IFERROR(__xludf.DUMMYFUNCTION("""COMPUTED_VALUE"""),2.0)</f>
        <v>2</v>
      </c>
      <c r="AJ38" s="289">
        <f>IFERROR(__xludf.DUMMYFUNCTION("""COMPUTED_VALUE"""),1750000.0)</f>
        <v>1750000</v>
      </c>
      <c r="AK38" s="285" t="str">
        <f>IFERROR(__xludf.DUMMYFUNCTION("""COMPUTED_VALUE"""),"prepare belum matang")</f>
        <v>prepare belum matang</v>
      </c>
    </row>
    <row r="39"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B39" s="285" t="str">
        <f>IFERROR(__xludf.DUMMYFUNCTION("""COMPUTED_VALUE"""),"2603D049")</f>
        <v>2603D049</v>
      </c>
      <c r="AC39" s="286">
        <f>IFERROR(__xludf.DUMMYFUNCTION("""COMPUTED_VALUE"""),46092.0)</f>
        <v>46092</v>
      </c>
      <c r="AD39" s="285" t="str">
        <f>IFERROR(__xludf.DUMMYFUNCTION("""COMPUTED_VALUE"""),"Adee W")</f>
        <v>Adee W</v>
      </c>
      <c r="AE39" s="285" t="str">
        <f>IFERROR(__xludf.DUMMYFUNCTION("""COMPUTED_VALUE"""),"082399441109")</f>
        <v>082399441109</v>
      </c>
      <c r="AF39" s="285" t="str">
        <f>IFERROR(__xludf.DUMMYFUNCTION("""COMPUTED_VALUE"""),"Gagal")</f>
        <v>Gagal</v>
      </c>
      <c r="AG39" s="285" t="str">
        <f>IFERROR(__xludf.DUMMYFUNCTION("""COMPUTED_VALUE"""),"open trip kawah ijen")</f>
        <v>open trip kawah ijen</v>
      </c>
      <c r="AH39" s="287"/>
      <c r="AI39" s="285">
        <f>IFERROR(__xludf.DUMMYFUNCTION("""COMPUTED_VALUE"""),1.0)</f>
        <v>1</v>
      </c>
      <c r="AJ39" s="289">
        <f>IFERROR(__xludf.DUMMYFUNCTION("""COMPUTED_VALUE"""),250000.0)</f>
        <v>250000</v>
      </c>
      <c r="AK39" s="285" t="str">
        <f>IFERROR(__xludf.DUMMYFUNCTION("""COMPUTED_VALUE"""),"tiket pesawat papua mahal")</f>
        <v>tiket pesawat papua mahal</v>
      </c>
    </row>
    <row r="40"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B40" s="285" t="str">
        <f>IFERROR(__xludf.DUMMYFUNCTION("""COMPUTED_VALUE"""),"2603D050")</f>
        <v>2603D050</v>
      </c>
      <c r="AC40" s="286">
        <f>IFERROR(__xludf.DUMMYFUNCTION("""COMPUTED_VALUE"""),46092.0)</f>
        <v>46092</v>
      </c>
      <c r="AD40" s="285" t="str">
        <f>IFERROR(__xludf.DUMMYFUNCTION("""COMPUTED_VALUE"""),"Zakiaaaaa")</f>
        <v>Zakiaaaaa</v>
      </c>
      <c r="AE40" s="285" t="str">
        <f>IFERROR(__xludf.DUMMYFUNCTION("""COMPUTED_VALUE"""),"089657364735")</f>
        <v>089657364735</v>
      </c>
      <c r="AF40" s="285" t="str">
        <f>IFERROR(__xludf.DUMMYFUNCTION("""COMPUTED_VALUE"""),"Gagal")</f>
        <v>Gagal</v>
      </c>
      <c r="AG40" s="285" t="str">
        <f>IFERROR(__xludf.DUMMYFUNCTION("""COMPUTED_VALUE"""),"2H1M opsi A")</f>
        <v>2H1M opsi A</v>
      </c>
      <c r="AH40" s="287"/>
      <c r="AI40" s="285">
        <f>IFERROR(__xludf.DUMMYFUNCTION("""COMPUTED_VALUE"""),2.0)</f>
        <v>2</v>
      </c>
      <c r="AJ40" s="289">
        <f>IFERROR(__xludf.DUMMYFUNCTION("""COMPUTED_VALUE"""),4680000.0)</f>
        <v>4680000</v>
      </c>
      <c r="AK40" s="285" t="str">
        <f>IFERROR(__xludf.DUMMYFUNCTION("""COMPUTED_VALUE"""),"ga ada balasan, sudah fu 5x")</f>
        <v>ga ada balasan, sudah fu 5x</v>
      </c>
    </row>
    <row r="41"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B41" s="285" t="str">
        <f>IFERROR(__xludf.DUMMYFUNCTION("""COMPUTED_VALUE"""),"2603D051")</f>
        <v>2603D051</v>
      </c>
      <c r="AC41" s="286">
        <f>IFERROR(__xludf.DUMMYFUNCTION("""COMPUTED_VALUE"""),46092.0)</f>
        <v>46092</v>
      </c>
      <c r="AD41" s="285" t="str">
        <f>IFERROR(__xludf.DUMMYFUNCTION("""COMPUTED_VALUE"""),"Syemi")</f>
        <v>Syemi</v>
      </c>
      <c r="AE41" s="285" t="str">
        <f>IFERROR(__xludf.DUMMYFUNCTION("""COMPUTED_VALUE"""),"082187073907")</f>
        <v>082187073907</v>
      </c>
      <c r="AF41" s="285" t="str">
        <f>IFERROR(__xludf.DUMMYFUNCTION("""COMPUTED_VALUE"""),"Gagal")</f>
        <v>Gagal</v>
      </c>
      <c r="AG41" s="285" t="str">
        <f>IFERROR(__xludf.DUMMYFUNCTION("""COMPUTED_VALUE"""),"1D Djawatan Baluran ")</f>
        <v>1D Djawatan Baluran </v>
      </c>
      <c r="AH41" s="287">
        <f>IFERROR(__xludf.DUMMYFUNCTION("""COMPUTED_VALUE"""),46147.0)</f>
        <v>46147</v>
      </c>
      <c r="AI41" s="285">
        <f>IFERROR(__xludf.DUMMYFUNCTION("""COMPUTED_VALUE"""),3.0)</f>
        <v>3</v>
      </c>
      <c r="AJ41" s="289">
        <f>IFERROR(__xludf.DUMMYFUNCTION("""COMPUTED_VALUE"""),1875000.0)</f>
        <v>1875000</v>
      </c>
      <c r="AK41" s="285" t="str">
        <f>IFERROR(__xludf.DUMMYFUNCTION("""COMPUTED_VALUE"""),"tidak jadi ke banyuwangiii")</f>
        <v>tidak jadi ke banyuwangiii</v>
      </c>
    </row>
    <row r="42"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B42" s="285" t="str">
        <f>IFERROR(__xludf.DUMMYFUNCTION("""COMPUTED_VALUE"""),"2603D053")</f>
        <v>2603D053</v>
      </c>
      <c r="AC42" s="286">
        <f>IFERROR(__xludf.DUMMYFUNCTION("""COMPUTED_VALUE"""),46092.0)</f>
        <v>46092</v>
      </c>
      <c r="AD42" s="285" t="str">
        <f>IFERROR(__xludf.DUMMYFUNCTION("""COMPUTED_VALUE"""),"Rian Surya Kesuma")</f>
        <v>Rian Surya Kesuma</v>
      </c>
      <c r="AE42" s="285" t="str">
        <f>IFERROR(__xludf.DUMMYFUNCTION("""COMPUTED_VALUE"""),"0895616877302")</f>
        <v>0895616877302</v>
      </c>
      <c r="AF42" s="285" t="str">
        <f>IFERROR(__xludf.DUMMYFUNCTION("""COMPUTED_VALUE"""),"Gagal")</f>
        <v>Gagal</v>
      </c>
      <c r="AG42" s="285" t="str">
        <f>IFERROR(__xludf.DUMMYFUNCTION("""COMPUTED_VALUE"""),"Ijen")</f>
        <v>Ijen</v>
      </c>
      <c r="AH42" s="287">
        <f>IFERROR(__xludf.DUMMYFUNCTION("""COMPUTED_VALUE"""),46142.0)</f>
        <v>46142</v>
      </c>
      <c r="AI42" s="285">
        <f>IFERROR(__xludf.DUMMYFUNCTION("""COMPUTED_VALUE"""),30.0)</f>
        <v>30</v>
      </c>
      <c r="AJ42" s="289">
        <f>IFERROR(__xludf.DUMMYFUNCTION("""COMPUTED_VALUE"""),1.05E7)</f>
        <v>10500000</v>
      </c>
      <c r="AK42" s="285" t="str">
        <f>IFERROR(__xludf.DUMMYFUNCTION("""COMPUTED_VALUE"""),"batal karena pembatasan perjalanan dinas")</f>
        <v>batal karena pembatasan perjalanan dinas</v>
      </c>
    </row>
    <row r="43"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B43" s="285" t="str">
        <f>IFERROR(__xludf.DUMMYFUNCTION("""COMPUTED_VALUE"""),"2603D055")</f>
        <v>2603D055</v>
      </c>
      <c r="AC43" s="286">
        <f>IFERROR(__xludf.DUMMYFUNCTION("""COMPUTED_VALUE"""),46093.0)</f>
        <v>46093</v>
      </c>
      <c r="AD43" s="285" t="str">
        <f>IFERROR(__xludf.DUMMYFUNCTION("""COMPUTED_VALUE"""),"Melisa")</f>
        <v>Melisa</v>
      </c>
      <c r="AE43" s="285" t="str">
        <f>IFERROR(__xludf.DUMMYFUNCTION("""COMPUTED_VALUE"""),"081807251858")</f>
        <v>081807251858</v>
      </c>
      <c r="AF43" s="285" t="str">
        <f>IFERROR(__xludf.DUMMYFUNCTION("""COMPUTED_VALUE"""),"Gagal")</f>
        <v>Gagal</v>
      </c>
      <c r="AG43" s="285" t="str">
        <f>IFERROR(__xludf.DUMMYFUNCTION("""COMPUTED_VALUE"""),"3H2M atau 2H1M")</f>
        <v>3H2M atau 2H1M</v>
      </c>
      <c r="AH43" s="287">
        <f>IFERROR(__xludf.DUMMYFUNCTION("""COMPUTED_VALUE"""),46118.0)</f>
        <v>46118</v>
      </c>
      <c r="AI43" s="285">
        <f>IFERROR(__xludf.DUMMYFUNCTION("""COMPUTED_VALUE"""),2.0)</f>
        <v>2</v>
      </c>
      <c r="AJ43" s="289"/>
      <c r="AK43" s="285" t="str">
        <f>IFERROR(__xludf.DUMMYFUNCTION("""COMPUTED_VALUE"""),"gagal, rencana mau ke taman galuh")</f>
        <v>gagal, rencana mau ke taman galuh</v>
      </c>
    </row>
    <row r="44"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B44" s="285" t="str">
        <f>IFERROR(__xludf.DUMMYFUNCTION("""COMPUTED_VALUE"""),"2603D057")</f>
        <v>2603D057</v>
      </c>
      <c r="AC44" s="286">
        <f>IFERROR(__xludf.DUMMYFUNCTION("""COMPUTED_VALUE"""),46094.0)</f>
        <v>46094</v>
      </c>
      <c r="AD44" s="285" t="str">
        <f>IFERROR(__xludf.DUMMYFUNCTION("""COMPUTED_VALUE"""),"Leyla")</f>
        <v>Leyla</v>
      </c>
      <c r="AE44" s="285" t="str">
        <f>IFERROR(__xludf.DUMMYFUNCTION("""COMPUTED_VALUE"""),"085747432346")</f>
        <v>085747432346</v>
      </c>
      <c r="AF44" s="285" t="str">
        <f>IFERROR(__xludf.DUMMYFUNCTION("""COMPUTED_VALUE"""),"Gagal")</f>
        <v>Gagal</v>
      </c>
      <c r="AG44" s="285"/>
      <c r="AH44" s="287"/>
      <c r="AI44" s="285"/>
      <c r="AJ44" s="289"/>
      <c r="AK44" s="285" t="str">
        <f>IFERROR(__xludf.DUMMYFUNCTION("""COMPUTED_VALUE"""),"hanya menyapa, tidak ada jawaban, gagal")</f>
        <v>hanya menyapa, tidak ada jawaban, gagal</v>
      </c>
    </row>
    <row r="45"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B45" s="285" t="str">
        <f>IFERROR(__xludf.DUMMYFUNCTION("""COMPUTED_VALUE"""),"2603D058")</f>
        <v>2603D058</v>
      </c>
      <c r="AC45" s="286">
        <f>IFERROR(__xludf.DUMMYFUNCTION("""COMPUTED_VALUE"""),46094.0)</f>
        <v>46094</v>
      </c>
      <c r="AD45" s="285" t="str">
        <f>IFERROR(__xludf.DUMMYFUNCTION("""COMPUTED_VALUE"""),"Deni")</f>
        <v>Deni</v>
      </c>
      <c r="AE45" s="285" t="str">
        <f>IFERROR(__xludf.DUMMYFUNCTION("""COMPUTED_VALUE"""),"087824774118")</f>
        <v>087824774118</v>
      </c>
      <c r="AF45" s="285" t="str">
        <f>IFERROR(__xludf.DUMMYFUNCTION("""COMPUTED_VALUE"""),"Gagal")</f>
        <v>Gagal</v>
      </c>
      <c r="AG45" s="285" t="str">
        <f>IFERROR(__xludf.DUMMYFUNCTION("""COMPUTED_VALUE"""),"3H2M opsi A")</f>
        <v>3H2M opsi A</v>
      </c>
      <c r="AH45" s="287"/>
      <c r="AI45" s="285">
        <f>IFERROR(__xludf.DUMMYFUNCTION("""COMPUTED_VALUE"""),46364.0)</f>
        <v>46364</v>
      </c>
      <c r="AJ45" s="289">
        <f>IFERROR(__xludf.DUMMYFUNCTION("""COMPUTED_VALUE"""),1.0504E7)</f>
        <v>10504000</v>
      </c>
      <c r="AK45" s="285" t="str">
        <f>IFERROR(__xludf.DUMMYFUNCTION("""COMPUTED_VALUE"""),"sudah FU ga balasss")</f>
        <v>sudah FU ga balasss</v>
      </c>
    </row>
    <row r="46"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B46" s="285" t="str">
        <f>IFERROR(__xludf.DUMMYFUNCTION("""COMPUTED_VALUE"""),"2603D061")</f>
        <v>2603D061</v>
      </c>
      <c r="AC46" s="286">
        <f>IFERROR(__xludf.DUMMYFUNCTION("""COMPUTED_VALUE"""),46095.0)</f>
        <v>46095</v>
      </c>
      <c r="AD46" s="285" t="str">
        <f>IFERROR(__xludf.DUMMYFUNCTION("""COMPUTED_VALUE"""),"Sistha Widita")</f>
        <v>Sistha Widita</v>
      </c>
      <c r="AE46" s="285" t="str">
        <f>IFERROR(__xludf.DUMMYFUNCTION("""COMPUTED_VALUE"""),"08117338635")</f>
        <v>08117338635</v>
      </c>
      <c r="AF46" s="285" t="str">
        <f>IFERROR(__xludf.DUMMYFUNCTION("""COMPUTED_VALUE"""),"Gagal")</f>
        <v>Gagal</v>
      </c>
      <c r="AG46" s="285" t="str">
        <f>IFERROR(__xludf.DUMMYFUNCTION("""COMPUTED_VALUE"""),"open trip Menjangan Baluran ")</f>
        <v>open trip Menjangan Baluran </v>
      </c>
      <c r="AH46" s="287"/>
      <c r="AI46" s="285">
        <f>IFERROR(__xludf.DUMMYFUNCTION("""COMPUTED_VALUE"""),2.0)</f>
        <v>2</v>
      </c>
      <c r="AJ46" s="289"/>
      <c r="AK46" s="285" t="str">
        <f>IFERROR(__xludf.DUMMYFUNCTION("""COMPUTED_VALUE"""),"belum ada jawaban sudah FU")</f>
        <v>belum ada jawaban sudah FU</v>
      </c>
    </row>
    <row r="47"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B47" s="285" t="str">
        <f>IFERROR(__xludf.DUMMYFUNCTION("""COMPUTED_VALUE"""),"2603D063")</f>
        <v>2603D063</v>
      </c>
      <c r="AC47" s="286">
        <f>IFERROR(__xludf.DUMMYFUNCTION("""COMPUTED_VALUE"""),46095.0)</f>
        <v>46095</v>
      </c>
      <c r="AD47" s="285" t="str">
        <f>IFERROR(__xludf.DUMMYFUNCTION("""COMPUTED_VALUE"""),"Doffi")</f>
        <v>Doffi</v>
      </c>
      <c r="AE47" s="285" t="str">
        <f>IFERROR(__xludf.DUMMYFUNCTION("""COMPUTED_VALUE"""),"087776868837")</f>
        <v>087776868837</v>
      </c>
      <c r="AF47" s="285" t="str">
        <f>IFERROR(__xludf.DUMMYFUNCTION("""COMPUTED_VALUE"""),"Gagal")</f>
        <v>Gagal</v>
      </c>
      <c r="AG47" s="285" t="str">
        <f>IFERROR(__xludf.DUMMYFUNCTION("""COMPUTED_VALUE"""),"3h2m Custom")</f>
        <v>3h2m Custom</v>
      </c>
      <c r="AH47" s="287">
        <f>IFERROR(__xludf.DUMMYFUNCTION("""COMPUTED_VALUE"""),46169.0)</f>
        <v>46169</v>
      </c>
      <c r="AI47" s="285">
        <f>IFERROR(__xludf.DUMMYFUNCTION("""COMPUTED_VALUE"""),11.0)</f>
        <v>11</v>
      </c>
      <c r="AJ47" s="289">
        <f>IFERROR(__xludf.DUMMYFUNCTION("""COMPUTED_VALUE"""),1.87E7)</f>
        <v>18700000</v>
      </c>
      <c r="AK47" s="285" t="str">
        <f>IFERROR(__xludf.DUMMYFUNCTION("""COMPUTED_VALUE"""),"lewat tgl")</f>
        <v>lewat tgl</v>
      </c>
    </row>
    <row r="48"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B48" s="285" t="str">
        <f>IFERROR(__xludf.DUMMYFUNCTION("""COMPUTED_VALUE"""),"2603D064")</f>
        <v>2603D064</v>
      </c>
      <c r="AC48" s="286">
        <f>IFERROR(__xludf.DUMMYFUNCTION("""COMPUTED_VALUE"""),46095.0)</f>
        <v>46095</v>
      </c>
      <c r="AD48" s="285" t="str">
        <f>IFERROR(__xludf.DUMMYFUNCTION("""COMPUTED_VALUE"""),"Lazka Roosie")</f>
        <v>Lazka Roosie</v>
      </c>
      <c r="AE48" s="285" t="str">
        <f>IFERROR(__xludf.DUMMYFUNCTION("""COMPUTED_VALUE"""),"085172092079")</f>
        <v>085172092079</v>
      </c>
      <c r="AF48" s="285" t="str">
        <f>IFERROR(__xludf.DUMMYFUNCTION("""COMPUTED_VALUE"""),"Gagal")</f>
        <v>Gagal</v>
      </c>
      <c r="AG48" s="285"/>
      <c r="AH48" s="287"/>
      <c r="AI48" s="285"/>
      <c r="AJ48" s="289"/>
      <c r="AK48" s="285" t="str">
        <f>IFERROR(__xludf.DUMMYFUNCTION("""COMPUTED_VALUE"""),"tidak memberi tau alasan gagal")</f>
        <v>tidak memberi tau alasan gagal</v>
      </c>
    </row>
    <row r="49"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B49" s="285" t="str">
        <f>IFERROR(__xludf.DUMMYFUNCTION("""COMPUTED_VALUE"""),"2603D065")</f>
        <v>2603D065</v>
      </c>
      <c r="AC49" s="286">
        <f>IFERROR(__xludf.DUMMYFUNCTION("""COMPUTED_VALUE"""),46096.0)</f>
        <v>46096</v>
      </c>
      <c r="AD49" s="285" t="str">
        <f>IFERROR(__xludf.DUMMYFUNCTION("""COMPUTED_VALUE"""),"Neni")</f>
        <v>Neni</v>
      </c>
      <c r="AE49" s="285" t="str">
        <f>IFERROR(__xludf.DUMMYFUNCTION("""COMPUTED_VALUE"""),"081213494140")</f>
        <v>081213494140</v>
      </c>
      <c r="AF49" s="285" t="str">
        <f>IFERROR(__xludf.DUMMYFUNCTION("""COMPUTED_VALUE"""),"Gagal")</f>
        <v>Gagal</v>
      </c>
      <c r="AG49" s="285" t="str">
        <f>IFERROR(__xludf.DUMMYFUNCTION("""COMPUTED_VALUE"""),"Djawatan Baluran ")</f>
        <v>Djawatan Baluran </v>
      </c>
      <c r="AH49" s="287">
        <f>IFERROR(__xludf.DUMMYFUNCTION("""COMPUTED_VALUE"""),46105.0)</f>
        <v>46105</v>
      </c>
      <c r="AI49" s="285">
        <f>IFERROR(__xludf.DUMMYFUNCTION("""COMPUTED_VALUE"""),2.0)</f>
        <v>2</v>
      </c>
      <c r="AJ49" s="289">
        <f>IFERROR(__xludf.DUMMYFUNCTION("""COMPUTED_VALUE"""),2280200.0)</f>
        <v>2280200</v>
      </c>
      <c r="AK49" s="285" t="str">
        <f>IFERROR(__xludf.DUMMYFUNCTION("""COMPUTED_VALUE"""),"gagal, tidak jawab, lewat tanggal")</f>
        <v>gagal, tidak jawab, lewat tanggal</v>
      </c>
    </row>
    <row r="50"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B50" s="285" t="str">
        <f>IFERROR(__xludf.DUMMYFUNCTION("""COMPUTED_VALUE"""),"2603D066")</f>
        <v>2603D066</v>
      </c>
      <c r="AC50" s="286">
        <f>IFERROR(__xludf.DUMMYFUNCTION("""COMPUTED_VALUE"""),46096.0)</f>
        <v>46096</v>
      </c>
      <c r="AD50" s="285" t="str">
        <f>IFERROR(__xludf.DUMMYFUNCTION("""COMPUTED_VALUE"""),"Nur")</f>
        <v>Nur</v>
      </c>
      <c r="AE50" s="285" t="str">
        <f>IFERROR(__xludf.DUMMYFUNCTION("""COMPUTED_VALUE"""),"0895621093883")</f>
        <v>0895621093883</v>
      </c>
      <c r="AF50" s="285" t="str">
        <f>IFERROR(__xludf.DUMMYFUNCTION("""COMPUTED_VALUE"""),"Gagal")</f>
        <v>Gagal</v>
      </c>
      <c r="AG50" s="285" t="str">
        <f>IFERROR(__xludf.DUMMYFUNCTION("""COMPUTED_VALUE"""),"Baluran ")</f>
        <v>Baluran </v>
      </c>
      <c r="AH50" s="287"/>
      <c r="AI50" s="285">
        <f>IFERROR(__xludf.DUMMYFUNCTION("""COMPUTED_VALUE"""),7.0)</f>
        <v>7</v>
      </c>
      <c r="AJ50" s="289"/>
      <c r="AK50" s="285" t="str">
        <f>IFERROR(__xludf.DUMMYFUNCTION("""COMPUTED_VALUE"""),"belum jadi liburan")</f>
        <v>belum jadi liburan</v>
      </c>
    </row>
    <row r="51"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B51" s="285" t="str">
        <f>IFERROR(__xludf.DUMMYFUNCTION("""COMPUTED_VALUE"""),"2603D068")</f>
        <v>2603D068</v>
      </c>
      <c r="AC51" s="286">
        <f>IFERROR(__xludf.DUMMYFUNCTION("""COMPUTED_VALUE"""),46097.0)</f>
        <v>46097</v>
      </c>
      <c r="AD51" s="285" t="str">
        <f>IFERROR(__xludf.DUMMYFUNCTION("""COMPUTED_VALUE"""),"Bayu Setyo")</f>
        <v>Bayu Setyo</v>
      </c>
      <c r="AE51" s="285" t="str">
        <f>IFERROR(__xludf.DUMMYFUNCTION("""COMPUTED_VALUE"""),"085158111827")</f>
        <v>085158111827</v>
      </c>
      <c r="AF51" s="285" t="str">
        <f>IFERROR(__xludf.DUMMYFUNCTION("""COMPUTED_VALUE"""),"Gagal")</f>
        <v>Gagal</v>
      </c>
      <c r="AG51" s="285" t="str">
        <f>IFERROR(__xludf.DUMMYFUNCTION("""COMPUTED_VALUE"""),"2H1M pantai")</f>
        <v>2H1M pantai</v>
      </c>
      <c r="AH51" s="287"/>
      <c r="AI51" s="285">
        <f>IFERROR(__xludf.DUMMYFUNCTION("""COMPUTED_VALUE"""),2.0)</f>
        <v>2</v>
      </c>
      <c r="AJ51" s="289"/>
      <c r="AK51" s="285" t="str">
        <f>IFERROR(__xludf.DUMMYFUNCTION("""COMPUTED_VALUE"""),"tidak ada jawaban, lewat tanggal")</f>
        <v>tidak ada jawaban, lewat tanggal</v>
      </c>
    </row>
    <row r="52"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B52" s="285" t="str">
        <f>IFERROR(__xludf.DUMMYFUNCTION("""COMPUTED_VALUE"""),"2603D069")</f>
        <v>2603D069</v>
      </c>
      <c r="AC52" s="286">
        <f>IFERROR(__xludf.DUMMYFUNCTION("""COMPUTED_VALUE"""),46097.0)</f>
        <v>46097</v>
      </c>
      <c r="AD52" s="285" t="str">
        <f>IFERROR(__xludf.DUMMYFUNCTION("""COMPUTED_VALUE"""),"Farah Bahreisy")</f>
        <v>Farah Bahreisy</v>
      </c>
      <c r="AE52" s="285" t="str">
        <f>IFERROR(__xludf.DUMMYFUNCTION("""COMPUTED_VALUE"""),"085715571072")</f>
        <v>085715571072</v>
      </c>
      <c r="AF52" s="285" t="str">
        <f>IFERROR(__xludf.DUMMYFUNCTION("""COMPUTED_VALUE"""),"Gagal")</f>
        <v>Gagal</v>
      </c>
      <c r="AG52" s="285" t="str">
        <f>IFERROR(__xludf.DUMMYFUNCTION("""COMPUTED_VALUE"""),"3H2M")</f>
        <v>3H2M</v>
      </c>
      <c r="AH52" s="287"/>
      <c r="AI52" s="285">
        <f>IFERROR(__xludf.DUMMYFUNCTION("""COMPUTED_VALUE"""),2.0)</f>
        <v>2</v>
      </c>
      <c r="AJ52" s="289">
        <f>IFERROR(__xludf.DUMMYFUNCTION("""COMPUTED_VALUE"""),4100000.0)</f>
        <v>4100000</v>
      </c>
      <c r="AK52" s="285" t="str">
        <f>IFERROR(__xludf.DUMMYFUNCTION("""COMPUTED_VALUE"""),"FU 15 April")</f>
        <v>FU 15 April</v>
      </c>
    </row>
    <row r="53"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  <c r="AB53" s="285" t="str">
        <f>IFERROR(__xludf.DUMMYFUNCTION("""COMPUTED_VALUE"""),"2603D070")</f>
        <v>2603D070</v>
      </c>
      <c r="AC53" s="286">
        <f>IFERROR(__xludf.DUMMYFUNCTION("""COMPUTED_VALUE"""),46097.0)</f>
        <v>46097</v>
      </c>
      <c r="AD53" s="285" t="str">
        <f>IFERROR(__xludf.DUMMYFUNCTION("""COMPUTED_VALUE"""),"Hilyana")</f>
        <v>Hilyana</v>
      </c>
      <c r="AE53" s="285" t="str">
        <f>IFERROR(__xludf.DUMMYFUNCTION("""COMPUTED_VALUE"""),"089689734707")</f>
        <v>089689734707</v>
      </c>
      <c r="AF53" s="285" t="str">
        <f>IFERROR(__xludf.DUMMYFUNCTION("""COMPUTED_VALUE"""),"Gagal")</f>
        <v>Gagal</v>
      </c>
      <c r="AG53" s="285" t="str">
        <f>IFERROR(__xludf.DUMMYFUNCTION("""COMPUTED_VALUE"""),"Menjangan Tabuhan")</f>
        <v>Menjangan Tabuhan</v>
      </c>
      <c r="AH53" s="287"/>
      <c r="AI53" s="285">
        <f>IFERROR(__xludf.DUMMYFUNCTION("""COMPUTED_VALUE"""),5.0)</f>
        <v>5</v>
      </c>
      <c r="AJ53" s="289">
        <f>IFERROR(__xludf.DUMMYFUNCTION("""COMPUTED_VALUE"""),2300000.0)</f>
        <v>2300000</v>
      </c>
      <c r="AK53" s="285" t="str">
        <f>IFERROR(__xludf.DUMMYFUNCTION("""COMPUTED_VALUE"""),"tidakk balas ")</f>
        <v>tidakk balas </v>
      </c>
    </row>
    <row r="54"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  <c r="AB54" s="285" t="str">
        <f>IFERROR(__xludf.DUMMYFUNCTION("""COMPUTED_VALUE"""),"2603D071")</f>
        <v>2603D071</v>
      </c>
      <c r="AC54" s="286">
        <f>IFERROR(__xludf.DUMMYFUNCTION("""COMPUTED_VALUE"""),46098.0)</f>
        <v>46098</v>
      </c>
      <c r="AD54" s="285" t="str">
        <f>IFERROR(__xludf.DUMMYFUNCTION("""COMPUTED_VALUE"""),"Geri")</f>
        <v>Geri</v>
      </c>
      <c r="AE54" s="285" t="str">
        <f>IFERROR(__xludf.DUMMYFUNCTION("""COMPUTED_VALUE"""),"085711392393")</f>
        <v>085711392393</v>
      </c>
      <c r="AF54" s="285" t="str">
        <f>IFERROR(__xludf.DUMMYFUNCTION("""COMPUTED_VALUE"""),"Gagal")</f>
        <v>Gagal</v>
      </c>
      <c r="AG54" s="285" t="str">
        <f>IFERROR(__xludf.DUMMYFUNCTION("""COMPUTED_VALUE"""),"3h2m ")</f>
        <v>3h2m </v>
      </c>
      <c r="AH54" s="287"/>
      <c r="AI54" s="285">
        <f>IFERROR(__xludf.DUMMYFUNCTION("""COMPUTED_VALUE"""),2.0)</f>
        <v>2</v>
      </c>
      <c r="AJ54" s="289">
        <f>IFERROR(__xludf.DUMMYFUNCTION("""COMPUTED_VALUE"""),6128000.0)</f>
        <v>6128000</v>
      </c>
      <c r="AK54" s="285" t="str">
        <f>IFERROR(__xludf.DUMMYFUNCTION("""COMPUTED_VALUE"""),"cancelll")</f>
        <v>cancelll</v>
      </c>
    </row>
    <row r="55"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B55" s="285" t="str">
        <f>IFERROR(__xludf.DUMMYFUNCTION("""COMPUTED_VALUE"""),"2603D072")</f>
        <v>2603D072</v>
      </c>
      <c r="AC55" s="286">
        <f>IFERROR(__xludf.DUMMYFUNCTION("""COMPUTED_VALUE"""),46098.0)</f>
        <v>46098</v>
      </c>
      <c r="AD55" s="285" t="str">
        <f>IFERROR(__xludf.DUMMYFUNCTION("""COMPUTED_VALUE"""),"Livia")</f>
        <v>Livia</v>
      </c>
      <c r="AE55" s="285" t="str">
        <f>IFERROR(__xludf.DUMMYFUNCTION("""COMPUTED_VALUE"""),"085943691514")</f>
        <v>085943691514</v>
      </c>
      <c r="AF55" s="285" t="str">
        <f>IFERROR(__xludf.DUMMYFUNCTION("""COMPUTED_VALUE"""),"Gagal")</f>
        <v>Gagal</v>
      </c>
      <c r="AG55" s="285" t="str">
        <f>IFERROR(__xludf.DUMMYFUNCTION("""COMPUTED_VALUE"""),"3h2m")</f>
        <v>3h2m</v>
      </c>
      <c r="AH55" s="287">
        <f>IFERROR(__xludf.DUMMYFUNCTION("""COMPUTED_VALUE"""),46102.0)</f>
        <v>46102</v>
      </c>
      <c r="AI55" s="285">
        <f>IFERROR(__xludf.DUMMYFUNCTION("""COMPUTED_VALUE"""),2.0)</f>
        <v>2</v>
      </c>
      <c r="AJ55" s="289"/>
      <c r="AK55" s="285" t="str">
        <f>IFERROR(__xludf.DUMMYFUNCTION("""COMPUTED_VALUE"""),"tidak ada jawaban, sudah lewat tanggal")</f>
        <v>tidak ada jawaban, sudah lewat tanggal</v>
      </c>
    </row>
    <row r="56"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B56" s="285" t="str">
        <f>IFERROR(__xludf.DUMMYFUNCTION("""COMPUTED_VALUE"""),"2603D073")</f>
        <v>2603D073</v>
      </c>
      <c r="AC56" s="286">
        <f>IFERROR(__xludf.DUMMYFUNCTION("""COMPUTED_VALUE"""),46098.0)</f>
        <v>46098</v>
      </c>
      <c r="AD56" s="285" t="str">
        <f>IFERROR(__xludf.DUMMYFUNCTION("""COMPUTED_VALUE"""),"Mega")</f>
        <v>Mega</v>
      </c>
      <c r="AE56" s="285" t="str">
        <f>IFERROR(__xludf.DUMMYFUNCTION("""COMPUTED_VALUE"""),"085608866643")</f>
        <v>085608866643</v>
      </c>
      <c r="AF56" s="285" t="str">
        <f>IFERROR(__xludf.DUMMYFUNCTION("""COMPUTED_VALUE"""),"Gagal")</f>
        <v>Gagal</v>
      </c>
      <c r="AG56" s="285" t="str">
        <f>IFERROR(__xludf.DUMMYFUNCTION("""COMPUTED_VALUE"""),"2H1M")</f>
        <v>2H1M</v>
      </c>
      <c r="AH56" s="287"/>
      <c r="AI56" s="285">
        <f>IFERROR(__xludf.DUMMYFUNCTION("""COMPUTED_VALUE"""),2.0)</f>
        <v>2</v>
      </c>
      <c r="AJ56" s="289"/>
      <c r="AK56" s="285" t="str">
        <f>IFERROR(__xludf.DUMMYFUNCTION("""COMPUTED_VALUE"""),"sudah fu, tidk jawab, gagal lewat tanggal")</f>
        <v>sudah fu, tidk jawab, gagal lewat tanggal</v>
      </c>
    </row>
    <row r="57"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B57" s="285" t="str">
        <f>IFERROR(__xludf.DUMMYFUNCTION("""COMPUTED_VALUE"""),"2603D074")</f>
        <v>2603D074</v>
      </c>
      <c r="AC57" s="286">
        <f>IFERROR(__xludf.DUMMYFUNCTION("""COMPUTED_VALUE"""),46098.0)</f>
        <v>46098</v>
      </c>
      <c r="AD57" s="285" t="str">
        <f>IFERROR(__xludf.DUMMYFUNCTION("""COMPUTED_VALUE"""),"Gieska")</f>
        <v>Gieska</v>
      </c>
      <c r="AE57" s="285" t="str">
        <f>IFERROR(__xludf.DUMMYFUNCTION("""COMPUTED_VALUE"""),"081230996849")</f>
        <v>081230996849</v>
      </c>
      <c r="AF57" s="285" t="str">
        <f>IFERROR(__xludf.DUMMYFUNCTION("""COMPUTED_VALUE"""),"Gagal")</f>
        <v>Gagal</v>
      </c>
      <c r="AG57" s="285" t="str">
        <f>IFERROR(__xludf.DUMMYFUNCTION("""COMPUTED_VALUE"""),"Menjangan Tabuhan")</f>
        <v>Menjangan Tabuhan</v>
      </c>
      <c r="AH57" s="287">
        <f>IFERROR(__xludf.DUMMYFUNCTION("""COMPUTED_VALUE"""),46103.0)</f>
        <v>46103</v>
      </c>
      <c r="AI57" s="285">
        <f>IFERROR(__xludf.DUMMYFUNCTION("""COMPUTED_VALUE"""),4.0)</f>
        <v>4</v>
      </c>
      <c r="AJ57" s="289">
        <f>IFERROR(__xludf.DUMMYFUNCTION("""COMPUTED_VALUE"""),2700000.0)</f>
        <v>2700000</v>
      </c>
      <c r="AK57" s="285" t="str">
        <f>IFERROR(__xludf.DUMMYFUNCTION("""COMPUTED_VALUE"""),"tidak ada jawaban, gagal lewat tanggal")</f>
        <v>tidak ada jawaban, gagal lewat tanggal</v>
      </c>
    </row>
    <row r="58"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B58" s="285" t="str">
        <f>IFERROR(__xludf.DUMMYFUNCTION("""COMPUTED_VALUE"""),"2603D075")</f>
        <v>2603D075</v>
      </c>
      <c r="AC58" s="286">
        <f>IFERROR(__xludf.DUMMYFUNCTION("""COMPUTED_VALUE"""),46098.0)</f>
        <v>46098</v>
      </c>
      <c r="AD58" s="285" t="str">
        <f>IFERROR(__xludf.DUMMYFUNCTION("""COMPUTED_VALUE"""),"hnanidaaaa")</f>
        <v>hnanidaaaa</v>
      </c>
      <c r="AE58" s="285" t="str">
        <f>IFERROR(__xludf.DUMMYFUNCTION("""COMPUTED_VALUE"""),"082254426334")</f>
        <v>082254426334</v>
      </c>
      <c r="AF58" s="285" t="str">
        <f>IFERROR(__xludf.DUMMYFUNCTION("""COMPUTED_VALUE"""),"Gagal")</f>
        <v>Gagal</v>
      </c>
      <c r="AG58" s="285" t="str">
        <f>IFERROR(__xludf.DUMMYFUNCTION("""COMPUTED_VALUE"""),"2h1m")</f>
        <v>2h1m</v>
      </c>
      <c r="AH58" s="287"/>
      <c r="AI58" s="285">
        <f>IFERROR(__xludf.DUMMYFUNCTION("""COMPUTED_VALUE"""),2.0)</f>
        <v>2</v>
      </c>
      <c r="AJ58" s="289">
        <f>IFERROR(__xludf.DUMMYFUNCTION("""COMPUTED_VALUE"""),3640000.0)</f>
        <v>3640000</v>
      </c>
      <c r="AK58" s="285" t="str">
        <f>IFERROR(__xludf.DUMMYFUNCTION("""COMPUTED_VALUE"""),"tidak balassss")</f>
        <v>tidak balassss</v>
      </c>
    </row>
    <row r="59"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B59" s="285" t="str">
        <f>IFERROR(__xludf.DUMMYFUNCTION("""COMPUTED_VALUE"""),"2603D076")</f>
        <v>2603D076</v>
      </c>
      <c r="AC59" s="286">
        <f>IFERROR(__xludf.DUMMYFUNCTION("""COMPUTED_VALUE"""),46099.0)</f>
        <v>46099</v>
      </c>
      <c r="AD59" s="285" t="str">
        <f>IFERROR(__xludf.DUMMYFUNCTION("""COMPUTED_VALUE"""),"Nungky Ayu Paramita")</f>
        <v>Nungky Ayu Paramita</v>
      </c>
      <c r="AE59" s="285" t="str">
        <f>IFERROR(__xludf.DUMMYFUNCTION("""COMPUTED_VALUE"""),"08113040099")</f>
        <v>08113040099</v>
      </c>
      <c r="AF59" s="285" t="str">
        <f>IFERROR(__xludf.DUMMYFUNCTION("""COMPUTED_VALUE"""),"Gagal")</f>
        <v>Gagal</v>
      </c>
      <c r="AG59" s="285"/>
      <c r="AH59" s="287"/>
      <c r="AI59" s="285"/>
      <c r="AJ59" s="289"/>
      <c r="AK59" s="285" t="str">
        <f>IFERROR(__xludf.DUMMYFUNCTION("""COMPUTED_VALUE"""),"memastikan. dihandle mas Alvin")</f>
        <v>memastikan. dihandle mas Alvin</v>
      </c>
    </row>
    <row r="60"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B60" s="285" t="str">
        <f>IFERROR(__xludf.DUMMYFUNCTION("""COMPUTED_VALUE"""),"2603D077")</f>
        <v>2603D077</v>
      </c>
      <c r="AC60" s="286">
        <f>IFERROR(__xludf.DUMMYFUNCTION("""COMPUTED_VALUE"""),46099.0)</f>
        <v>46099</v>
      </c>
      <c r="AD60" s="285" t="str">
        <f>IFERROR(__xludf.DUMMYFUNCTION("""COMPUTED_VALUE"""),"Diana Livia")</f>
        <v>Diana Livia</v>
      </c>
      <c r="AE60" s="285" t="str">
        <f>IFERROR(__xludf.DUMMYFUNCTION("""COMPUTED_VALUE"""),"08156011859")</f>
        <v>08156011859</v>
      </c>
      <c r="AF60" s="285" t="str">
        <f>IFERROR(__xludf.DUMMYFUNCTION("""COMPUTED_VALUE"""),"Gagal")</f>
        <v>Gagal</v>
      </c>
      <c r="AG60" s="285" t="str">
        <f>IFERROR(__xludf.DUMMYFUNCTION("""COMPUTED_VALUE"""),"3h2m custom")</f>
        <v>3h2m custom</v>
      </c>
      <c r="AH60" s="287"/>
      <c r="AI60" s="285">
        <f>IFERROR(__xludf.DUMMYFUNCTION("""COMPUTED_VALUE"""),4.0)</f>
        <v>4</v>
      </c>
      <c r="AJ60" s="289">
        <f>IFERROR(__xludf.DUMMYFUNCTION("""COMPUTED_VALUE"""),8140000.0)</f>
        <v>8140000</v>
      </c>
      <c r="AK60" s="285" t="str">
        <f>IFERROR(__xludf.DUMMYFUNCTION("""COMPUTED_VALUE"""),"gagal, berganti trip jogja, keterbatasan waktu liburan")</f>
        <v>gagal, berganti trip jogja, keterbatasan waktu liburan</v>
      </c>
    </row>
    <row r="61"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B61" s="285" t="str">
        <f>IFERROR(__xludf.DUMMYFUNCTION("""COMPUTED_VALUE"""),"2603D078")</f>
        <v>2603D078</v>
      </c>
      <c r="AC61" s="286">
        <f>IFERROR(__xludf.DUMMYFUNCTION("""COMPUTED_VALUE"""),46099.0)</f>
        <v>46099</v>
      </c>
      <c r="AD61" s="285" t="str">
        <f>IFERROR(__xludf.DUMMYFUNCTION("""COMPUTED_VALUE"""),"Amalia Maharani Nuril")</f>
        <v>Amalia Maharani Nuril</v>
      </c>
      <c r="AE61" s="285" t="str">
        <f>IFERROR(__xludf.DUMMYFUNCTION("""COMPUTED_VALUE"""),"081331073902")</f>
        <v>081331073902</v>
      </c>
      <c r="AF61" s="285" t="str">
        <f>IFERROR(__xludf.DUMMYFUNCTION("""COMPUTED_VALUE"""),"Gagal")</f>
        <v>Gagal</v>
      </c>
      <c r="AG61" s="285"/>
      <c r="AH61" s="287"/>
      <c r="AI61" s="285"/>
      <c r="AJ61" s="289"/>
      <c r="AK61" s="285" t="str">
        <f>IFERROR(__xludf.DUMMYFUNCTION("""COMPUTED_VALUE"""),"hanya menyapa. tidak menjawab")</f>
        <v>hanya menyapa. tidak menjawab</v>
      </c>
    </row>
    <row r="62"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B62" s="285" t="str">
        <f>IFERROR(__xludf.DUMMYFUNCTION("""COMPUTED_VALUE"""),"2603D079")</f>
        <v>2603D079</v>
      </c>
      <c r="AC62" s="286">
        <f>IFERROR(__xludf.DUMMYFUNCTION("""COMPUTED_VALUE"""),46099.0)</f>
        <v>46099</v>
      </c>
      <c r="AD62" s="285" t="str">
        <f>IFERROR(__xludf.DUMMYFUNCTION("""COMPUTED_VALUE"""),"Slamet")</f>
        <v>Slamet</v>
      </c>
      <c r="AE62" s="285" t="str">
        <f>IFERROR(__xludf.DUMMYFUNCTION("""COMPUTED_VALUE"""),"08561122172")</f>
        <v>08561122172</v>
      </c>
      <c r="AF62" s="285" t="str">
        <f>IFERROR(__xludf.DUMMYFUNCTION("""COMPUTED_VALUE"""),"Gagal")</f>
        <v>Gagal</v>
      </c>
      <c r="AG62" s="285" t="str">
        <f>IFERROR(__xludf.DUMMYFUNCTION("""COMPUTED_VALUE"""),"menjangan tabuhan")</f>
        <v>menjangan tabuhan</v>
      </c>
      <c r="AH62" s="287">
        <f>IFERROR(__xludf.DUMMYFUNCTION("""COMPUTED_VALUE"""),46106.0)</f>
        <v>46106</v>
      </c>
      <c r="AI62" s="285"/>
      <c r="AJ62" s="289"/>
      <c r="AK62" s="285" t="str">
        <f>IFERROR(__xludf.DUMMYFUNCTION("""COMPUTED_VALUE"""),"lewat tanggal, tidak ada jawaban")</f>
        <v>lewat tanggal, tidak ada jawaban</v>
      </c>
    </row>
    <row r="63"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B63" s="285" t="str">
        <f>IFERROR(__xludf.DUMMYFUNCTION("""COMPUTED_VALUE"""),"2603D081")</f>
        <v>2603D081</v>
      </c>
      <c r="AC63" s="286">
        <f>IFERROR(__xludf.DUMMYFUNCTION("""COMPUTED_VALUE"""),46100.0)</f>
        <v>46100</v>
      </c>
      <c r="AD63" s="285" t="str">
        <f>IFERROR(__xludf.DUMMYFUNCTION("""COMPUTED_VALUE"""),"Rika Yulia")</f>
        <v>Rika Yulia</v>
      </c>
      <c r="AE63" s="285" t="str">
        <f>IFERROR(__xludf.DUMMYFUNCTION("""COMPUTED_VALUE"""),"085257411886")</f>
        <v>085257411886</v>
      </c>
      <c r="AF63" s="285" t="str">
        <f>IFERROR(__xludf.DUMMYFUNCTION("""COMPUTED_VALUE"""),"Gagal")</f>
        <v>Gagal</v>
      </c>
      <c r="AG63" s="285" t="str">
        <f>IFERROR(__xludf.DUMMYFUNCTION("""COMPUTED_VALUE"""),"one day trip bedil")</f>
        <v>one day trip bedil</v>
      </c>
      <c r="AH63" s="287">
        <f>IFERROR(__xludf.DUMMYFUNCTION("""COMPUTED_VALUE"""),46103.0)</f>
        <v>46103</v>
      </c>
      <c r="AI63" s="285">
        <f>IFERROR(__xludf.DUMMYFUNCTION("""COMPUTED_VALUE"""),6.0)</f>
        <v>6</v>
      </c>
      <c r="AJ63" s="289">
        <f>IFERROR(__xludf.DUMMYFUNCTION("""COMPUTED_VALUE"""),4819500.0)</f>
        <v>4819500</v>
      </c>
      <c r="AK63" s="285" t="str">
        <f>IFERROR(__xludf.DUMMYFUNCTION("""COMPUTED_VALUE"""),"ganti plan ke Jogja")</f>
        <v>ganti plan ke Jogja</v>
      </c>
    </row>
    <row r="64"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B64" s="285" t="str">
        <f>IFERROR(__xludf.DUMMYFUNCTION("""COMPUTED_VALUE"""),"2603D082")</f>
        <v>2603D082</v>
      </c>
      <c r="AC64" s="286">
        <f>IFERROR(__xludf.DUMMYFUNCTION("""COMPUTED_VALUE"""),46100.0)</f>
        <v>46100</v>
      </c>
      <c r="AD64" s="285" t="str">
        <f>IFERROR(__xludf.DUMMYFUNCTION("""COMPUTED_VALUE"""),"Veronica P")</f>
        <v>Veronica P</v>
      </c>
      <c r="AE64" s="285" t="str">
        <f>IFERROR(__xludf.DUMMYFUNCTION("""COMPUTED_VALUE"""),"089677622586")</f>
        <v>089677622586</v>
      </c>
      <c r="AF64" s="285" t="str">
        <f>IFERROR(__xludf.DUMMYFUNCTION("""COMPUTED_VALUE"""),"Gagal")</f>
        <v>Gagal</v>
      </c>
      <c r="AG64" s="285" t="str">
        <f>IFERROR(__xludf.DUMMYFUNCTION("""COMPUTED_VALUE"""),"Menjangan Baluran ")</f>
        <v>Menjangan Baluran </v>
      </c>
      <c r="AH64" s="287">
        <f>IFERROR(__xludf.DUMMYFUNCTION("""COMPUTED_VALUE"""),46107.0)</f>
        <v>46107</v>
      </c>
      <c r="AI64" s="285">
        <f>IFERROR(__xludf.DUMMYFUNCTION("""COMPUTED_VALUE"""),4.0)</f>
        <v>4</v>
      </c>
      <c r="AJ64" s="289">
        <f>IFERROR(__xludf.DUMMYFUNCTION("""COMPUTED_VALUE"""),261.0)</f>
        <v>261</v>
      </c>
      <c r="AK64" s="285" t="str">
        <f>IFERROR(__xludf.DUMMYFUNCTION("""COMPUTED_VALUE"""),"tidak ada kelanjutan, gagal lewat tanggal")</f>
        <v>tidak ada kelanjutan, gagal lewat tanggal</v>
      </c>
    </row>
    <row r="65"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B65" s="285" t="str">
        <f>IFERROR(__xludf.DUMMYFUNCTION("""COMPUTED_VALUE"""),"2603D083")</f>
        <v>2603D083</v>
      </c>
      <c r="AC65" s="286">
        <f>IFERROR(__xludf.DUMMYFUNCTION("""COMPUTED_VALUE"""),46100.0)</f>
        <v>46100</v>
      </c>
      <c r="AD65" s="285" t="str">
        <f>IFERROR(__xludf.DUMMYFUNCTION("""COMPUTED_VALUE"""),"carmaylinna")</f>
        <v>carmaylinna</v>
      </c>
      <c r="AE65" s="285" t="str">
        <f>IFERROR(__xludf.DUMMYFUNCTION("""COMPUTED_VALUE"""),"082233434696")</f>
        <v>082233434696</v>
      </c>
      <c r="AF65" s="285" t="str">
        <f>IFERROR(__xludf.DUMMYFUNCTION("""COMPUTED_VALUE"""),"Gagal")</f>
        <v>Gagal</v>
      </c>
      <c r="AG65" s="285" t="str">
        <f>IFERROR(__xludf.DUMMYFUNCTION("""COMPUTED_VALUE"""),"trip pulau bedil")</f>
        <v>trip pulau bedil</v>
      </c>
      <c r="AH65" s="287">
        <f>IFERROR(__xludf.DUMMYFUNCTION("""COMPUTED_VALUE"""),46101.0)</f>
        <v>46101</v>
      </c>
      <c r="AI65" s="285"/>
      <c r="AJ65" s="289"/>
      <c r="AK65" s="285" t="str">
        <f>IFERROR(__xludf.DUMMYFUNCTION("""COMPUTED_VALUE"""),"tidak ada jawaban, sdh diberikan tawaran tanggal lain")</f>
        <v>tidak ada jawaban, sdh diberikan tawaran tanggal lain</v>
      </c>
    </row>
    <row r="66"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B66" s="285" t="str">
        <f>IFERROR(__xludf.DUMMYFUNCTION("""COMPUTED_VALUE"""),"2603D084")</f>
        <v>2603D084</v>
      </c>
      <c r="AC66" s="286">
        <f>IFERROR(__xludf.DUMMYFUNCTION("""COMPUTED_VALUE"""),46100.0)</f>
        <v>46100</v>
      </c>
      <c r="AD66" s="285" t="str">
        <f>IFERROR(__xludf.DUMMYFUNCTION("""COMPUTED_VALUE"""),"Sahat M.Manik")</f>
        <v>Sahat M.Manik</v>
      </c>
      <c r="AE66" s="285" t="str">
        <f>IFERROR(__xludf.DUMMYFUNCTION("""COMPUTED_VALUE"""),"08111119540")</f>
        <v>08111119540</v>
      </c>
      <c r="AF66" s="285" t="str">
        <f>IFERROR(__xludf.DUMMYFUNCTION("""COMPUTED_VALUE"""),"Gagal")</f>
        <v>Gagal</v>
      </c>
      <c r="AG66" s="285" t="str">
        <f>IFERROR(__xludf.DUMMYFUNCTION("""COMPUTED_VALUE"""),"snorkling")</f>
        <v>snorkling</v>
      </c>
      <c r="AH66" s="287">
        <f>IFERROR(__xludf.DUMMYFUNCTION("""COMPUTED_VALUE"""),46101.0)</f>
        <v>46101</v>
      </c>
      <c r="AI66" s="285">
        <f>IFERROR(__xludf.DUMMYFUNCTION("""COMPUTED_VALUE"""),4.0)</f>
        <v>4</v>
      </c>
      <c r="AJ66" s="289">
        <f>IFERROR(__xludf.DUMMYFUNCTION("""COMPUTED_VALUE"""),2600000.0)</f>
        <v>2600000</v>
      </c>
      <c r="AK66" s="285" t="str">
        <f>IFERROR(__xludf.DUMMYFUNCTION("""COMPUTED_VALUE"""),"sudah dapat trip lain ")</f>
        <v>sudah dapat trip lain </v>
      </c>
    </row>
    <row r="67"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B67" s="285" t="str">
        <f>IFERROR(__xludf.DUMMYFUNCTION("""COMPUTED_VALUE"""),"2603D085")</f>
        <v>2603D085</v>
      </c>
      <c r="AC67" s="286">
        <f>IFERROR(__xludf.DUMMYFUNCTION("""COMPUTED_VALUE"""),46100.0)</f>
        <v>46100</v>
      </c>
      <c r="AD67" s="285" t="str">
        <f>IFERROR(__xludf.DUMMYFUNCTION("""COMPUTED_VALUE"""),"Farahdinta")</f>
        <v>Farahdinta</v>
      </c>
      <c r="AE67" s="285" t="str">
        <f>IFERROR(__xludf.DUMMYFUNCTION("""COMPUTED_VALUE"""),"081315681977")</f>
        <v>081315681977</v>
      </c>
      <c r="AF67" s="285" t="str">
        <f>IFERROR(__xludf.DUMMYFUNCTION("""COMPUTED_VALUE"""),"Gagal")</f>
        <v>Gagal</v>
      </c>
      <c r="AG67" s="285" t="str">
        <f>IFERROR(__xludf.DUMMYFUNCTION("""COMPUTED_VALUE"""),"Djabal ")</f>
        <v>Djabal </v>
      </c>
      <c r="AH67" s="287">
        <f>IFERROR(__xludf.DUMMYFUNCTION("""COMPUTED_VALUE"""),46105.0)</f>
        <v>46105</v>
      </c>
      <c r="AI67" s="285">
        <f>IFERROR(__xludf.DUMMYFUNCTION("""COMPUTED_VALUE"""),4.0)</f>
        <v>4</v>
      </c>
      <c r="AJ67" s="289">
        <f>IFERROR(__xludf.DUMMYFUNCTION("""COMPUTED_VALUE"""),1269000.0)</f>
        <v>1269000</v>
      </c>
      <c r="AK67" s="285" t="str">
        <f>IFERROR(__xludf.DUMMYFUNCTION("""COMPUTED_VALUE"""),"lewat tanggal tidak balas")</f>
        <v>lewat tanggal tidak balas</v>
      </c>
    </row>
    <row r="68"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B68" s="285" t="str">
        <f>IFERROR(__xludf.DUMMYFUNCTION("""COMPUTED_VALUE"""),"2603D086")</f>
        <v>2603D086</v>
      </c>
      <c r="AC68" s="286">
        <f>IFERROR(__xludf.DUMMYFUNCTION("""COMPUTED_VALUE"""),46100.0)</f>
        <v>46100</v>
      </c>
      <c r="AD68" s="285" t="str">
        <f>IFERROR(__xludf.DUMMYFUNCTION("""COMPUTED_VALUE"""),"Kyy")</f>
        <v>Kyy</v>
      </c>
      <c r="AE68" s="285" t="str">
        <f>IFERROR(__xludf.DUMMYFUNCTION("""COMPUTED_VALUE"""),"089676415755")</f>
        <v>089676415755</v>
      </c>
      <c r="AF68" s="285" t="str">
        <f>IFERROR(__xludf.DUMMYFUNCTION("""COMPUTED_VALUE"""),"Gagal")</f>
        <v>Gagal</v>
      </c>
      <c r="AG68" s="285" t="str">
        <f>IFERROR(__xludf.DUMMYFUNCTION("""COMPUTED_VALUE"""),"Menjangan Tabuhan")</f>
        <v>Menjangan Tabuhan</v>
      </c>
      <c r="AH68" s="287">
        <f>IFERROR(__xludf.DUMMYFUNCTION("""COMPUTED_VALUE"""),46105.0)</f>
        <v>46105</v>
      </c>
      <c r="AI68" s="285">
        <f>IFERROR(__xludf.DUMMYFUNCTION("""COMPUTED_VALUE"""),2.0)</f>
        <v>2</v>
      </c>
      <c r="AJ68" s="289">
        <f>IFERROR(__xludf.DUMMYFUNCTION("""COMPUTED_VALUE"""),2295000.0)</f>
        <v>2295000</v>
      </c>
      <c r="AK68" s="285" t="str">
        <f>IFERROR(__xludf.DUMMYFUNCTION("""COMPUTED_VALUE"""),"tannggal tidak bisa")</f>
        <v>tannggal tidak bisa</v>
      </c>
    </row>
    <row r="69"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B69" s="285" t="str">
        <f>IFERROR(__xludf.DUMMYFUNCTION("""COMPUTED_VALUE"""),"2603D089")</f>
        <v>2603D089</v>
      </c>
      <c r="AC69" s="286">
        <f>IFERROR(__xludf.DUMMYFUNCTION("""COMPUTED_VALUE"""),46101.0)</f>
        <v>46101</v>
      </c>
      <c r="AD69" s="285" t="str">
        <f>IFERROR(__xludf.DUMMYFUNCTION("""COMPUTED_VALUE"""),"Ridwan")</f>
        <v>Ridwan</v>
      </c>
      <c r="AE69" s="285" t="str">
        <f>IFERROR(__xludf.DUMMYFUNCTION("""COMPUTED_VALUE"""),"081973724104")</f>
        <v>081973724104</v>
      </c>
      <c r="AF69" s="285" t="str">
        <f>IFERROR(__xludf.DUMMYFUNCTION("""COMPUTED_VALUE"""),"Gagal")</f>
        <v>Gagal</v>
      </c>
      <c r="AG69" s="285" t="str">
        <f>IFERROR(__xludf.DUMMYFUNCTION("""COMPUTED_VALUE"""),"2h1m Baluran ")</f>
        <v>2h1m Baluran </v>
      </c>
      <c r="AH69" s="287"/>
      <c r="AI69" s="285">
        <f>IFERROR(__xludf.DUMMYFUNCTION("""COMPUTED_VALUE"""),6.0)</f>
        <v>6</v>
      </c>
      <c r="AJ69" s="289"/>
      <c r="AK69" s="285" t="str">
        <f>IFERROR(__xludf.DUMMYFUNCTION("""COMPUTED_VALUE"""),"tidak ada kelanjutan, lewat tanggal")</f>
        <v>tidak ada kelanjutan, lewat tanggal</v>
      </c>
    </row>
    <row r="70"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B70" s="285" t="str">
        <f>IFERROR(__xludf.DUMMYFUNCTION("""COMPUTED_VALUE"""),"2603D090")</f>
        <v>2603D090</v>
      </c>
      <c r="AC70" s="286">
        <f>IFERROR(__xludf.DUMMYFUNCTION("""COMPUTED_VALUE"""),46101.0)</f>
        <v>46101</v>
      </c>
      <c r="AD70" s="285" t="str">
        <f>IFERROR(__xludf.DUMMYFUNCTION("""COMPUTED_VALUE"""),"Kartika Eliyandari")</f>
        <v>Kartika Eliyandari</v>
      </c>
      <c r="AE70" s="285" t="str">
        <f>IFERROR(__xludf.DUMMYFUNCTION("""COMPUTED_VALUE"""),"085643613528")</f>
        <v>085643613528</v>
      </c>
      <c r="AF70" s="285" t="str">
        <f>IFERROR(__xludf.DUMMYFUNCTION("""COMPUTED_VALUE"""),"Gagal")</f>
        <v>Gagal</v>
      </c>
      <c r="AG70" s="285"/>
      <c r="AH70" s="287"/>
      <c r="AI70" s="285"/>
      <c r="AJ70" s="289"/>
      <c r="AK70" s="285" t="str">
        <f>IFERROR(__xludf.DUMMYFUNCTION("""COMPUTED_VALUE"""),"tidak balas")</f>
        <v>tidak balas</v>
      </c>
    </row>
    <row r="71"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B71" s="285" t="str">
        <f>IFERROR(__xludf.DUMMYFUNCTION("""COMPUTED_VALUE"""),"2603D091")</f>
        <v>2603D091</v>
      </c>
      <c r="AC71" s="286">
        <f>IFERROR(__xludf.DUMMYFUNCTION("""COMPUTED_VALUE"""),46101.0)</f>
        <v>46101</v>
      </c>
      <c r="AD71" s="285" t="str">
        <f>IFERROR(__xludf.DUMMYFUNCTION("""COMPUTED_VALUE"""),"Moru")</f>
        <v>Moru</v>
      </c>
      <c r="AE71" s="285" t="str">
        <f>IFERROR(__xludf.DUMMYFUNCTION("""COMPUTED_VALUE"""),"085780135199")</f>
        <v>085780135199</v>
      </c>
      <c r="AF71" s="285" t="str">
        <f>IFERROR(__xludf.DUMMYFUNCTION("""COMPUTED_VALUE"""),"Gagal")</f>
        <v>Gagal</v>
      </c>
      <c r="AG71" s="285"/>
      <c r="AH71" s="287"/>
      <c r="AI71" s="285"/>
      <c r="AJ71" s="289"/>
      <c r="AK71" s="285" t="str">
        <f>IFERROR(__xludf.DUMMYFUNCTION("""COMPUTED_VALUE"""),"hanya menyapa, tidak menjawab")</f>
        <v>hanya menyapa, tidak menjawab</v>
      </c>
    </row>
    <row r="72"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B72" s="285" t="str">
        <f>IFERROR(__xludf.DUMMYFUNCTION("""COMPUTED_VALUE"""),"2603D092")</f>
        <v>2603D092</v>
      </c>
      <c r="AC72" s="286">
        <f>IFERROR(__xludf.DUMMYFUNCTION("""COMPUTED_VALUE"""),46101.0)</f>
        <v>46101</v>
      </c>
      <c r="AD72" s="285" t="str">
        <f>IFERROR(__xludf.DUMMYFUNCTION("""COMPUTED_VALUE"""),"love ungu")</f>
        <v>love ungu</v>
      </c>
      <c r="AE72" s="285" t="str">
        <f>IFERROR(__xludf.DUMMYFUNCTION("""COMPUTED_VALUE"""),"085168936337")</f>
        <v>085168936337</v>
      </c>
      <c r="AF72" s="285" t="str">
        <f>IFERROR(__xludf.DUMMYFUNCTION("""COMPUTED_VALUE"""),"Gagal")</f>
        <v>Gagal</v>
      </c>
      <c r="AG72" s="285"/>
      <c r="AH72" s="287"/>
      <c r="AI72" s="285"/>
      <c r="AJ72" s="289"/>
      <c r="AK72" s="285" t="str">
        <f>IFERROR(__xludf.DUMMYFUNCTION("""COMPUTED_VALUE"""),"sdh pulang dr banyuwangi")</f>
        <v>sdh pulang dr banyuwangi</v>
      </c>
    </row>
    <row r="73"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B73" s="285" t="str">
        <f>IFERROR(__xludf.DUMMYFUNCTION("""COMPUTED_VALUE"""),"2603D093")</f>
        <v>2603D093</v>
      </c>
      <c r="AC73" s="286">
        <f>IFERROR(__xludf.DUMMYFUNCTION("""COMPUTED_VALUE"""),46101.0)</f>
        <v>46101</v>
      </c>
      <c r="AD73" s="285" t="str">
        <f>IFERROR(__xludf.DUMMYFUNCTION("""COMPUTED_VALUE"""),"Aisyah Aulia")</f>
        <v>Aisyah Aulia</v>
      </c>
      <c r="AE73" s="285" t="str">
        <f>IFERROR(__xludf.DUMMYFUNCTION("""COMPUTED_VALUE"""),"0895363638105")</f>
        <v>0895363638105</v>
      </c>
      <c r="AF73" s="285" t="str">
        <f>IFERROR(__xludf.DUMMYFUNCTION("""COMPUTED_VALUE"""),"Gagal")</f>
        <v>Gagal</v>
      </c>
      <c r="AG73" s="285" t="str">
        <f>IFERROR(__xludf.DUMMYFUNCTION("""COMPUTED_VALUE"""),"2H1M")</f>
        <v>2H1M</v>
      </c>
      <c r="AH73" s="287"/>
      <c r="AI73" s="285"/>
      <c r="AJ73" s="289"/>
      <c r="AK73" s="285" t="str">
        <f>IFERROR(__xludf.DUMMYFUNCTION("""COMPUTED_VALUE"""),"sudah FU, ga balesss")</f>
        <v>sudah FU, ga balesss</v>
      </c>
    </row>
    <row r="74"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B74" s="285" t="str">
        <f>IFERROR(__xludf.DUMMYFUNCTION("""COMPUTED_VALUE"""),"2603D094")</f>
        <v>2603D094</v>
      </c>
      <c r="AC74" s="286">
        <f>IFERROR(__xludf.DUMMYFUNCTION("""COMPUTED_VALUE"""),46101.0)</f>
        <v>46101</v>
      </c>
      <c r="AD74" s="285" t="str">
        <f>IFERROR(__xludf.DUMMYFUNCTION("""COMPUTED_VALUE"""),"Claudia Putri Siregar")</f>
        <v>Claudia Putri Siregar</v>
      </c>
      <c r="AE74" s="285" t="str">
        <f>IFERROR(__xludf.DUMMYFUNCTION("""COMPUTED_VALUE"""),"08999021457")</f>
        <v>08999021457</v>
      </c>
      <c r="AF74" s="285" t="str">
        <f>IFERROR(__xludf.DUMMYFUNCTION("""COMPUTED_VALUE"""),"Gagal")</f>
        <v>Gagal</v>
      </c>
      <c r="AG74" s="285" t="str">
        <f>IFERROR(__xludf.DUMMYFUNCTION("""COMPUTED_VALUE"""),"ijen")</f>
        <v>ijen</v>
      </c>
      <c r="AH74" s="287">
        <f>IFERROR(__xludf.DUMMYFUNCTION("""COMPUTED_VALUE"""),46110.0)</f>
        <v>46110</v>
      </c>
      <c r="AI74" s="285">
        <f>IFERROR(__xludf.DUMMYFUNCTION("""COMPUTED_VALUE"""),4.0)</f>
        <v>4</v>
      </c>
      <c r="AJ74" s="289">
        <f>IFERROR(__xludf.DUMMYFUNCTION("""COMPUTED_VALUE"""),1456000.0)</f>
        <v>1456000</v>
      </c>
      <c r="AK74" s="285" t="str">
        <f>IFERROR(__xludf.DUMMYFUNCTION("""COMPUTED_VALUE"""),"tidak balas, gagal lewat taggal")</f>
        <v>tidak balas, gagal lewat taggal</v>
      </c>
    </row>
    <row r="75"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B75" s="285" t="str">
        <f>IFERROR(__xludf.DUMMYFUNCTION("""COMPUTED_VALUE"""),"2603D095")</f>
        <v>2603D095</v>
      </c>
      <c r="AC75" s="286">
        <f>IFERROR(__xludf.DUMMYFUNCTION("""COMPUTED_VALUE"""),46101.0)</f>
        <v>46101</v>
      </c>
      <c r="AD75" s="285" t="str">
        <f>IFERROR(__xludf.DUMMYFUNCTION("""COMPUTED_VALUE"""),"Rifqi Athallah")</f>
        <v>Rifqi Athallah</v>
      </c>
      <c r="AE75" s="285" t="str">
        <f>IFERROR(__xludf.DUMMYFUNCTION("""COMPUTED_VALUE"""),"085645602833")</f>
        <v>085645602833</v>
      </c>
      <c r="AF75" s="285" t="str">
        <f>IFERROR(__xludf.DUMMYFUNCTION("""COMPUTED_VALUE"""),"Gagal")</f>
        <v>Gagal</v>
      </c>
      <c r="AG75" s="285" t="str">
        <f>IFERROR(__xludf.DUMMYFUNCTION("""COMPUTED_VALUE"""),"3H2M opsi B")</f>
        <v>3H2M opsi B</v>
      </c>
      <c r="AH75" s="287"/>
      <c r="AI75" s="285">
        <f>IFERROR(__xludf.DUMMYFUNCTION("""COMPUTED_VALUE"""),2.0)</f>
        <v>2</v>
      </c>
      <c r="AJ75" s="289">
        <f>IFERROR(__xludf.DUMMYFUNCTION("""COMPUTED_VALUE"""),5334000.0)</f>
        <v>5334000</v>
      </c>
      <c r="AK75" s="285" t="str">
        <f>IFERROR(__xludf.DUMMYFUNCTION("""COMPUTED_VALUE"""),"tidak jadi dalam waktu dekat")</f>
        <v>tidak jadi dalam waktu dekat</v>
      </c>
    </row>
    <row r="76"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B76" s="285" t="str">
        <f>IFERROR(__xludf.DUMMYFUNCTION("""COMPUTED_VALUE"""),"2603D096")</f>
        <v>2603D096</v>
      </c>
      <c r="AC76" s="286">
        <f>IFERROR(__xludf.DUMMYFUNCTION("""COMPUTED_VALUE"""),46102.0)</f>
        <v>46102</v>
      </c>
      <c r="AD76" s="285" t="str">
        <f>IFERROR(__xludf.DUMMYFUNCTION("""COMPUTED_VALUE"""),"Michelle")</f>
        <v>Michelle</v>
      </c>
      <c r="AE76" s="285" t="str">
        <f>IFERROR(__xludf.DUMMYFUNCTION("""COMPUTED_VALUE"""),"0895405358348")</f>
        <v>0895405358348</v>
      </c>
      <c r="AF76" s="285" t="str">
        <f>IFERROR(__xludf.DUMMYFUNCTION("""COMPUTED_VALUE"""),"Gagal")</f>
        <v>Gagal</v>
      </c>
      <c r="AG76" s="285"/>
      <c r="AH76" s="287"/>
      <c r="AI76" s="285"/>
      <c r="AJ76" s="289"/>
      <c r="AK76" s="285" t="str">
        <f>IFERROR(__xludf.DUMMYFUNCTION("""COMPUTED_VALUE"""),"hanya menyapa, tidak menjawab")</f>
        <v>hanya menyapa, tidak menjawab</v>
      </c>
    </row>
    <row r="77"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B77" s="285" t="str">
        <f>IFERROR(__xludf.DUMMYFUNCTION("""COMPUTED_VALUE"""),"2603D097")</f>
        <v>2603D097</v>
      </c>
      <c r="AC77" s="286">
        <f>IFERROR(__xludf.DUMMYFUNCTION("""COMPUTED_VALUE"""),46102.0)</f>
        <v>46102</v>
      </c>
      <c r="AD77" s="285" t="str">
        <f>IFERROR(__xludf.DUMMYFUNCTION("""COMPUTED_VALUE"""),"Hendro Wang")</f>
        <v>Hendro Wang</v>
      </c>
      <c r="AE77" s="285" t="str">
        <f>IFERROR(__xludf.DUMMYFUNCTION("""COMPUTED_VALUE"""),"082230515188")</f>
        <v>082230515188</v>
      </c>
      <c r="AF77" s="285" t="str">
        <f>IFERROR(__xludf.DUMMYFUNCTION("""COMPUTED_VALUE"""),"Gagal")</f>
        <v>Gagal</v>
      </c>
      <c r="AG77" s="285" t="str">
        <f>IFERROR(__xludf.DUMMYFUNCTION("""COMPUTED_VALUE"""),"one day trip pm ")</f>
        <v>one day trip pm </v>
      </c>
      <c r="AH77" s="287"/>
      <c r="AI77" s="285">
        <f>IFERROR(__xludf.DUMMYFUNCTION("""COMPUTED_VALUE"""),4.0)</f>
        <v>4</v>
      </c>
      <c r="AJ77" s="289">
        <f>IFERROR(__xludf.DUMMYFUNCTION("""COMPUTED_VALUE"""),1648000.0)</f>
        <v>1648000</v>
      </c>
      <c r="AK77" s="285" t="str">
        <f>IFERROR(__xludf.DUMMYFUNCTION("""COMPUTED_VALUE"""),"sudah full booked ")</f>
        <v>sudah full booked </v>
      </c>
    </row>
    <row r="78"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B78" s="285" t="str">
        <f>IFERROR(__xludf.DUMMYFUNCTION("""COMPUTED_VALUE"""),"2603D098")</f>
        <v>2603D098</v>
      </c>
      <c r="AC78" s="286">
        <f>IFERROR(__xludf.DUMMYFUNCTION("""COMPUTED_VALUE"""),46102.0)</f>
        <v>46102</v>
      </c>
      <c r="AD78" s="285" t="str">
        <f>IFERROR(__xludf.DUMMYFUNCTION("""COMPUTED_VALUE"""),"Lukas Andrew")</f>
        <v>Lukas Andrew</v>
      </c>
      <c r="AE78" s="285" t="str">
        <f>IFERROR(__xludf.DUMMYFUNCTION("""COMPUTED_VALUE"""),"082132322747")</f>
        <v>082132322747</v>
      </c>
      <c r="AF78" s="285" t="str">
        <f>IFERROR(__xludf.DUMMYFUNCTION("""COMPUTED_VALUE"""),"Gagal")</f>
        <v>Gagal</v>
      </c>
      <c r="AG78" s="285" t="str">
        <f>IFERROR(__xludf.DUMMYFUNCTION("""COMPUTED_VALUE"""),"ot menjangan tabuhan")</f>
        <v>ot menjangan tabuhan</v>
      </c>
      <c r="AH78" s="287"/>
      <c r="AI78" s="285">
        <f>IFERROR(__xludf.DUMMYFUNCTION("""COMPUTED_VALUE"""),2.0)</f>
        <v>2</v>
      </c>
      <c r="AJ78" s="289">
        <f>IFERROR(__xludf.DUMMYFUNCTION("""COMPUTED_VALUE"""),1050000.0)</f>
        <v>1050000</v>
      </c>
      <c r="AK78" s="285" t="str">
        <f>IFERROR(__xludf.DUMMYFUNCTION("""COMPUTED_VALUE"""),"gagal lewat tanggal")</f>
        <v>gagal lewat tanggal</v>
      </c>
    </row>
    <row r="79"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B79" s="285" t="str">
        <f>IFERROR(__xludf.DUMMYFUNCTION("""COMPUTED_VALUE"""),"2603D099")</f>
        <v>2603D099</v>
      </c>
      <c r="AC79" s="286">
        <f>IFERROR(__xludf.DUMMYFUNCTION("""COMPUTED_VALUE"""),46102.0)</f>
        <v>46102</v>
      </c>
      <c r="AD79" s="285" t="str">
        <f>IFERROR(__xludf.DUMMYFUNCTION("""COMPUTED_VALUE"""),"Susie Koo")</f>
        <v>Susie Koo</v>
      </c>
      <c r="AE79" s="285" t="str">
        <f>IFERROR(__xludf.DUMMYFUNCTION("""COMPUTED_VALUE"""),"0811258778")</f>
        <v>0811258778</v>
      </c>
      <c r="AF79" s="285" t="str">
        <f>IFERROR(__xludf.DUMMYFUNCTION("""COMPUTED_VALUE"""),"Gagal")</f>
        <v>Gagal</v>
      </c>
      <c r="AG79" s="285" t="str">
        <f>IFERROR(__xludf.DUMMYFUNCTION("""COMPUTED_VALUE"""),"3H2M ")</f>
        <v>3H2M </v>
      </c>
      <c r="AH79" s="287"/>
      <c r="AI79" s="285">
        <f>IFERROR(__xludf.DUMMYFUNCTION("""COMPUTED_VALUE"""),2.0)</f>
        <v>2</v>
      </c>
      <c r="AJ79" s="289"/>
      <c r="AK79" s="285" t="str">
        <f>IFERROR(__xludf.DUMMYFUNCTION("""COMPUTED_VALUE"""),"pasti ke BWI tp belum tau kapan, mau ke china dulu")</f>
        <v>pasti ke BWI tp belum tau kapan, mau ke china dulu</v>
      </c>
    </row>
    <row r="80"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B80" s="285" t="str">
        <f>IFERROR(__xludf.DUMMYFUNCTION("""COMPUTED_VALUE"""),"2603D100")</f>
        <v>2603D100</v>
      </c>
      <c r="AC80" s="286">
        <f>IFERROR(__xludf.DUMMYFUNCTION("""COMPUTED_VALUE"""),46102.0)</f>
        <v>46102</v>
      </c>
      <c r="AD80" s="285" t="str">
        <f>IFERROR(__xludf.DUMMYFUNCTION("""COMPUTED_VALUE"""),"Revinsa")</f>
        <v>Revinsa</v>
      </c>
      <c r="AE80" s="285" t="str">
        <f>IFERROR(__xludf.DUMMYFUNCTION("""COMPUTED_VALUE"""),"081317000071")</f>
        <v>081317000071</v>
      </c>
      <c r="AF80" s="285" t="str">
        <f>IFERROR(__xludf.DUMMYFUNCTION("""COMPUTED_VALUE"""),"Gagal")</f>
        <v>Gagal</v>
      </c>
      <c r="AG80" s="285"/>
      <c r="AH80" s="287"/>
      <c r="AI80" s="285"/>
      <c r="AJ80" s="289"/>
      <c r="AK80" s="285" t="str">
        <f>IFERROR(__xludf.DUMMYFUNCTION("""COMPUTED_VALUE"""),"hanya menyapa, tidak ada jawaban")</f>
        <v>hanya menyapa, tidak ada jawaban</v>
      </c>
    </row>
    <row r="81"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B81" s="285" t="str">
        <f>IFERROR(__xludf.DUMMYFUNCTION("""COMPUTED_VALUE"""),"2603D101")</f>
        <v>2603D101</v>
      </c>
      <c r="AC81" s="286">
        <f>IFERROR(__xludf.DUMMYFUNCTION("""COMPUTED_VALUE"""),46102.0)</f>
        <v>46102</v>
      </c>
      <c r="AD81" s="285" t="str">
        <f>IFERROR(__xludf.DUMMYFUNCTION("""COMPUTED_VALUE"""),"Risa")</f>
        <v>Risa</v>
      </c>
      <c r="AE81" s="285" t="str">
        <f>IFERROR(__xludf.DUMMYFUNCTION("""COMPUTED_VALUE"""),"082122906213")</f>
        <v>082122906213</v>
      </c>
      <c r="AF81" s="285" t="str">
        <f>IFERROR(__xludf.DUMMYFUNCTION("""COMPUTED_VALUE"""),"Gagal")</f>
        <v>Gagal</v>
      </c>
      <c r="AG81" s="285" t="str">
        <f>IFERROR(__xludf.DUMMYFUNCTION("""COMPUTED_VALUE"""),"3h2m opsi a")</f>
        <v>3h2m opsi a</v>
      </c>
      <c r="AH81" s="287"/>
      <c r="AI81" s="285">
        <f>IFERROR(__xludf.DUMMYFUNCTION("""COMPUTED_VALUE"""),3.0)</f>
        <v>3</v>
      </c>
      <c r="AJ81" s="289">
        <f>IFERROR(__xludf.DUMMYFUNCTION("""COMPUTED_VALUE"""),6402000.0)</f>
        <v>6402000</v>
      </c>
      <c r="AK81" s="285" t="str">
        <f>IFERROR(__xludf.DUMMYFUNCTION("""COMPUTED_VALUE"""),"sudah FU ga ada balasann")</f>
        <v>sudah FU ga ada balasann</v>
      </c>
    </row>
    <row r="82"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B82" s="285" t="str">
        <f>IFERROR(__xludf.DUMMYFUNCTION("""COMPUTED_VALUE"""),"2603D102")</f>
        <v>2603D102</v>
      </c>
      <c r="AC82" s="286">
        <f>IFERROR(__xludf.DUMMYFUNCTION("""COMPUTED_VALUE"""),46102.0)</f>
        <v>46102</v>
      </c>
      <c r="AD82" s="285" t="str">
        <f>IFERROR(__xludf.DUMMYFUNCTION("""COMPUTED_VALUE"""),"Anindya Luthfi S")</f>
        <v>Anindya Luthfi S</v>
      </c>
      <c r="AE82" s="285" t="str">
        <f>IFERROR(__xludf.DUMMYFUNCTION("""COMPUTED_VALUE"""),"081247738886")</f>
        <v>081247738886</v>
      </c>
      <c r="AF82" s="285" t="str">
        <f>IFERROR(__xludf.DUMMYFUNCTION("""COMPUTED_VALUE"""),"Gagal")</f>
        <v>Gagal</v>
      </c>
      <c r="AG82" s="285" t="str">
        <f>IFERROR(__xludf.DUMMYFUNCTION("""COMPUTED_VALUE"""),"3h2m opsi a ")</f>
        <v>3h2m opsi a </v>
      </c>
      <c r="AH82" s="287"/>
      <c r="AI82" s="285">
        <f>IFERROR(__xludf.DUMMYFUNCTION("""COMPUTED_VALUE"""),3.0)</f>
        <v>3</v>
      </c>
      <c r="AJ82" s="289">
        <f>IFERROR(__xludf.DUMMYFUNCTION("""COMPUTED_VALUE"""),8642700.0)</f>
        <v>8642700</v>
      </c>
      <c r="AK82" s="285" t="str">
        <f>IFERROR(__xludf.DUMMYFUNCTION("""COMPUTED_VALUE"""),"sdh fu, tidak ada jawaban, gagal lewat taggal")</f>
        <v>sdh fu, tidak ada jawaban, gagal lewat taggal</v>
      </c>
    </row>
    <row r="83"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B83" s="285" t="str">
        <f>IFERROR(__xludf.DUMMYFUNCTION("""COMPUTED_VALUE"""),"2603D103")</f>
        <v>2603D103</v>
      </c>
      <c r="AC83" s="286">
        <f>IFERROR(__xludf.DUMMYFUNCTION("""COMPUTED_VALUE"""),46103.0)</f>
        <v>46103</v>
      </c>
      <c r="AD83" s="285" t="str">
        <f>IFERROR(__xludf.DUMMYFUNCTION("""COMPUTED_VALUE"""),"sonny")</f>
        <v>sonny</v>
      </c>
      <c r="AE83" s="285" t="str">
        <f>IFERROR(__xludf.DUMMYFUNCTION("""COMPUTED_VALUE"""),"08122881781")</f>
        <v>08122881781</v>
      </c>
      <c r="AF83" s="285" t="str">
        <f>IFERROR(__xludf.DUMMYFUNCTION("""COMPUTED_VALUE"""),"Gagal")</f>
        <v>Gagal</v>
      </c>
      <c r="AG83" s="285" t="str">
        <f>IFERROR(__xludf.DUMMYFUNCTION("""COMPUTED_VALUE"""),"tabuhan menjangan")</f>
        <v>tabuhan menjangan</v>
      </c>
      <c r="AH83" s="287">
        <f>IFERROR(__xludf.DUMMYFUNCTION("""COMPUTED_VALUE"""),46104.0)</f>
        <v>46104</v>
      </c>
      <c r="AI83" s="285">
        <f>IFERROR(__xludf.DUMMYFUNCTION("""COMPUTED_VALUE"""),8.0)</f>
        <v>8</v>
      </c>
      <c r="AJ83" s="289">
        <f>IFERROR(__xludf.DUMMYFUNCTION("""COMPUTED_VALUE"""),3536000.0)</f>
        <v>3536000</v>
      </c>
      <c r="AK83" s="285" t="str">
        <f>IFERROR(__xludf.DUMMYFUNCTION("""COMPUTED_VALUE"""),"fullbooked ")</f>
        <v>fullbooked </v>
      </c>
    </row>
    <row r="84"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B84" s="285" t="str">
        <f>IFERROR(__xludf.DUMMYFUNCTION("""COMPUTED_VALUE"""),"2603D104")</f>
        <v>2603D104</v>
      </c>
      <c r="AC84" s="286">
        <f>IFERROR(__xludf.DUMMYFUNCTION("""COMPUTED_VALUE"""),46103.0)</f>
        <v>46103</v>
      </c>
      <c r="AD84" s="285" t="str">
        <f>IFERROR(__xludf.DUMMYFUNCTION("""COMPUTED_VALUE"""),"no name")</f>
        <v>no name</v>
      </c>
      <c r="AE84" s="285" t="str">
        <f>IFERROR(__xludf.DUMMYFUNCTION("""COMPUTED_VALUE"""),"081233967366")</f>
        <v>081233967366</v>
      </c>
      <c r="AF84" s="285" t="str">
        <f>IFERROR(__xludf.DUMMYFUNCTION("""COMPUTED_VALUE"""),"Gagal")</f>
        <v>Gagal</v>
      </c>
      <c r="AG84" s="285" t="str">
        <f>IFERROR(__xludf.DUMMYFUNCTION("""COMPUTED_VALUE"""),"one day trip")</f>
        <v>one day trip</v>
      </c>
      <c r="AH84" s="287">
        <f>IFERROR(__xludf.DUMMYFUNCTION("""COMPUTED_VALUE"""),46104.0)</f>
        <v>46104</v>
      </c>
      <c r="AI84" s="285"/>
      <c r="AJ84" s="289"/>
      <c r="AK84" s="285" t="str">
        <f>IFERROR(__xludf.DUMMYFUNCTION("""COMPUTED_VALUE"""),"fullbooked ")</f>
        <v>fullbooked </v>
      </c>
    </row>
    <row r="85"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B85" s="285" t="str">
        <f>IFERROR(__xludf.DUMMYFUNCTION("""COMPUTED_VALUE"""),"2603D105")</f>
        <v>2603D105</v>
      </c>
      <c r="AC85" s="286">
        <f>IFERROR(__xludf.DUMMYFUNCTION("""COMPUTED_VALUE"""),46103.0)</f>
        <v>46103</v>
      </c>
      <c r="AD85" s="285" t="str">
        <f>IFERROR(__xludf.DUMMYFUNCTION("""COMPUTED_VALUE"""),"alita")</f>
        <v>alita</v>
      </c>
      <c r="AE85" s="285" t="str">
        <f>IFERROR(__xludf.DUMMYFUNCTION("""COMPUTED_VALUE"""),"0818335909")</f>
        <v>0818335909</v>
      </c>
      <c r="AF85" s="285" t="str">
        <f>IFERROR(__xludf.DUMMYFUNCTION("""COMPUTED_VALUE"""),"Gagal")</f>
        <v>Gagal</v>
      </c>
      <c r="AG85" s="285"/>
      <c r="AH85" s="287"/>
      <c r="AI85" s="285"/>
      <c r="AJ85" s="289"/>
      <c r="AK85" s="285" t="str">
        <f>IFERROR(__xludf.DUMMYFUNCTION("""COMPUTED_VALUE"""),"hanya menyapa. ")</f>
        <v>hanya menyapa. </v>
      </c>
    </row>
    <row r="86"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B86" s="285" t="str">
        <f>IFERROR(__xludf.DUMMYFUNCTION("""COMPUTED_VALUE"""),"2603D106")</f>
        <v>2603D106</v>
      </c>
      <c r="AC86" s="286">
        <f>IFERROR(__xludf.DUMMYFUNCTION("""COMPUTED_VALUE"""),46104.0)</f>
        <v>46104</v>
      </c>
      <c r="AD86" s="285" t="str">
        <f>IFERROR(__xludf.DUMMYFUNCTION("""COMPUTED_VALUE"""),"no name")</f>
        <v>no name</v>
      </c>
      <c r="AE86" s="285" t="str">
        <f>IFERROR(__xludf.DUMMYFUNCTION("""COMPUTED_VALUE"""),"085641517949")</f>
        <v>085641517949</v>
      </c>
      <c r="AF86" s="285" t="str">
        <f>IFERROR(__xludf.DUMMYFUNCTION("""COMPUTED_VALUE"""),"Gagal")</f>
        <v>Gagal</v>
      </c>
      <c r="AG86" s="285" t="str">
        <f>IFERROR(__xludf.DUMMYFUNCTION("""COMPUTED_VALUE"""),"1D Djawatan Baluran ")</f>
        <v>1D Djawatan Baluran </v>
      </c>
      <c r="AH86" s="287">
        <f>IFERROR(__xludf.DUMMYFUNCTION("""COMPUTED_VALUE"""),46104.0)</f>
        <v>46104</v>
      </c>
      <c r="AI86" s="285"/>
      <c r="AJ86" s="289"/>
      <c r="AK86" s="285" t="str">
        <f>IFERROR(__xludf.DUMMYFUNCTION("""COMPUTED_VALUE"""),"fullbooked ")</f>
        <v>fullbooked </v>
      </c>
    </row>
    <row r="87"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B87" s="285" t="str">
        <f>IFERROR(__xludf.DUMMYFUNCTION("""COMPUTED_VALUE"""),"2603D107")</f>
        <v>2603D107</v>
      </c>
      <c r="AC87" s="286">
        <f>IFERROR(__xludf.DUMMYFUNCTION("""COMPUTED_VALUE"""),46104.0)</f>
        <v>46104</v>
      </c>
      <c r="AD87" s="285" t="str">
        <f>IFERROR(__xludf.DUMMYFUNCTION("""COMPUTED_VALUE"""),"Yusuf YF")</f>
        <v>Yusuf YF</v>
      </c>
      <c r="AE87" s="285" t="str">
        <f>IFERROR(__xludf.DUMMYFUNCTION("""COMPUTED_VALUE"""),"085853080073")</f>
        <v>085853080073</v>
      </c>
      <c r="AF87" s="285" t="str">
        <f>IFERROR(__xludf.DUMMYFUNCTION("""COMPUTED_VALUE"""),"Gagal")</f>
        <v>Gagal</v>
      </c>
      <c r="AG87" s="285" t="str">
        <f>IFERROR(__xludf.DUMMYFUNCTION("""COMPUTED_VALUE"""),"2h1m pelepasan tukik")</f>
        <v>2h1m pelepasan tukik</v>
      </c>
      <c r="AH87" s="287">
        <f>IFERROR(__xludf.DUMMYFUNCTION("""COMPUTED_VALUE"""),46110.0)</f>
        <v>46110</v>
      </c>
      <c r="AI87" s="285">
        <f>IFERROR(__xludf.DUMMYFUNCTION("""COMPUTED_VALUE"""),3.0)</f>
        <v>3</v>
      </c>
      <c r="AJ87" s="289"/>
      <c r="AK87" s="285" t="str">
        <f>IFERROR(__xludf.DUMMYFUNCTION("""COMPUTED_VALUE"""),"pelepasan penyu, belum tersedia. lain kali")</f>
        <v>pelepasan penyu, belum tersedia. lain kali</v>
      </c>
    </row>
    <row r="88"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B88" s="285" t="str">
        <f>IFERROR(__xludf.DUMMYFUNCTION("""COMPUTED_VALUE"""),"2603D108")</f>
        <v>2603D108</v>
      </c>
      <c r="AC88" s="286">
        <f>IFERROR(__xludf.DUMMYFUNCTION("""COMPUTED_VALUE"""),46104.0)</f>
        <v>46104</v>
      </c>
      <c r="AD88" s="285" t="str">
        <f>IFERROR(__xludf.DUMMYFUNCTION("""COMPUTED_VALUE"""),"dianar")</f>
        <v>dianar</v>
      </c>
      <c r="AE88" s="285" t="str">
        <f>IFERROR(__xludf.DUMMYFUNCTION("""COMPUTED_VALUE"""),"085693302022")</f>
        <v>085693302022</v>
      </c>
      <c r="AF88" s="285" t="str">
        <f>IFERROR(__xludf.DUMMYFUNCTION("""COMPUTED_VALUE"""),"Gagal")</f>
        <v>Gagal</v>
      </c>
      <c r="AG88" s="285" t="str">
        <f>IFERROR(__xludf.DUMMYFUNCTION("""COMPUTED_VALUE"""),"wurung - Djawatan ")</f>
        <v>wurung - Djawatan </v>
      </c>
      <c r="AH88" s="287">
        <f>IFERROR(__xludf.DUMMYFUNCTION("""COMPUTED_VALUE"""),46106.0)</f>
        <v>46106</v>
      </c>
      <c r="AI88" s="285">
        <f>IFERROR(__xludf.DUMMYFUNCTION("""COMPUTED_VALUE"""),7.0)</f>
        <v>7</v>
      </c>
      <c r="AJ88" s="289">
        <f>IFERROR(__xludf.DUMMYFUNCTION("""COMPUTED_VALUE"""),6405000.0)</f>
        <v>6405000</v>
      </c>
      <c r="AK88" s="285" t="str">
        <f>IFERROR(__xludf.DUMMYFUNCTION("""COMPUTED_VALUE"""),"lewat tanggal, gagal")</f>
        <v>lewat tanggal, gagal</v>
      </c>
    </row>
    <row r="89"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B89" s="285" t="str">
        <f>IFERROR(__xludf.DUMMYFUNCTION("""COMPUTED_VALUE"""),"2603D109")</f>
        <v>2603D109</v>
      </c>
      <c r="AC89" s="286">
        <f>IFERROR(__xludf.DUMMYFUNCTION("""COMPUTED_VALUE"""),46104.0)</f>
        <v>46104</v>
      </c>
      <c r="AD89" s="285" t="str">
        <f>IFERROR(__xludf.DUMMYFUNCTION("""COMPUTED_VALUE"""),"SHSUTANTO")</f>
        <v>SHSUTANTO</v>
      </c>
      <c r="AE89" s="285" t="str">
        <f>IFERROR(__xludf.DUMMYFUNCTION("""COMPUTED_VALUE"""),"0817340040")</f>
        <v>0817340040</v>
      </c>
      <c r="AF89" s="285" t="str">
        <f>IFERROR(__xludf.DUMMYFUNCTION("""COMPUTED_VALUE"""),"Gagal")</f>
        <v>Gagal</v>
      </c>
      <c r="AG89" s="285" t="str">
        <f>IFERROR(__xludf.DUMMYFUNCTION("""COMPUTED_VALUE"""),"2h1m custom")</f>
        <v>2h1m custom</v>
      </c>
      <c r="AH89" s="287"/>
      <c r="AI89" s="285">
        <f>IFERROR(__xludf.DUMMYFUNCTION("""COMPUTED_VALUE"""),2.0)</f>
        <v>2</v>
      </c>
      <c r="AJ89" s="289">
        <f>IFERROR(__xludf.DUMMYFUNCTION("""COMPUTED_VALUE"""),2800000.0)</f>
        <v>2800000</v>
      </c>
      <c r="AK89" s="285" t="str">
        <f>IFERROR(__xludf.DUMMYFUNCTION("""COMPUTED_VALUE"""),"sudah FU tidak ada balasan")</f>
        <v>sudah FU tidak ada balasan</v>
      </c>
    </row>
    <row r="90"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B90" s="285" t="str">
        <f>IFERROR(__xludf.DUMMYFUNCTION("""COMPUTED_VALUE"""),"2603D110")</f>
        <v>2603D110</v>
      </c>
      <c r="AC90" s="286">
        <f>IFERROR(__xludf.DUMMYFUNCTION("""COMPUTED_VALUE"""),46104.0)</f>
        <v>46104</v>
      </c>
      <c r="AD90" s="285" t="str">
        <f>IFERROR(__xludf.DUMMYFUNCTION("""COMPUTED_VALUE"""),"Fit Ummu Kenzie")</f>
        <v>Fit Ummu Kenzie</v>
      </c>
      <c r="AE90" s="285" t="str">
        <f>IFERROR(__xludf.DUMMYFUNCTION("""COMPUTED_VALUE"""),"081214842048")</f>
        <v>081214842048</v>
      </c>
      <c r="AF90" s="285" t="str">
        <f>IFERROR(__xludf.DUMMYFUNCTION("""COMPUTED_VALUE"""),"Gagal")</f>
        <v>Gagal</v>
      </c>
      <c r="AG90" s="285"/>
      <c r="AH90" s="287"/>
      <c r="AI90" s="285"/>
      <c r="AJ90" s="289"/>
      <c r="AK90" s="285" t="str">
        <f>IFERROR(__xludf.DUMMYFUNCTION("""COMPUTED_VALUE"""),"gaa bales lagi")</f>
        <v>gaa bales lagi</v>
      </c>
    </row>
    <row r="91"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B91" s="285" t="str">
        <f>IFERROR(__xludf.DUMMYFUNCTION("""COMPUTED_VALUE"""),"2603D112")</f>
        <v>2603D112</v>
      </c>
      <c r="AC91" s="286">
        <f>IFERROR(__xludf.DUMMYFUNCTION("""COMPUTED_VALUE"""),46105.0)</f>
        <v>46105</v>
      </c>
      <c r="AD91" s="285" t="str">
        <f>IFERROR(__xludf.DUMMYFUNCTION("""COMPUTED_VALUE"""),"Trulli")</f>
        <v>Trulli</v>
      </c>
      <c r="AE91" s="285" t="str">
        <f>IFERROR(__xludf.DUMMYFUNCTION("""COMPUTED_VALUE"""),"085731608891")</f>
        <v>085731608891</v>
      </c>
      <c r="AF91" s="285" t="str">
        <f>IFERROR(__xludf.DUMMYFUNCTION("""COMPUTED_VALUE"""),"Gagal")</f>
        <v>Gagal</v>
      </c>
      <c r="AG91" s="285"/>
      <c r="AH91" s="287"/>
      <c r="AI91" s="285"/>
      <c r="AJ91" s="289"/>
      <c r="AK91" s="285" t="str">
        <f>IFERROR(__xludf.DUMMYFUNCTION("""COMPUTED_VALUE"""),"hanya menyapa saja, tidak ada jawaban")</f>
        <v>hanya menyapa saja, tidak ada jawaban</v>
      </c>
    </row>
    <row r="92"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B92" s="285" t="str">
        <f>IFERROR(__xludf.DUMMYFUNCTION("""COMPUTED_VALUE"""),"2603D113")</f>
        <v>2603D113</v>
      </c>
      <c r="AC92" s="286">
        <f>IFERROR(__xludf.DUMMYFUNCTION("""COMPUTED_VALUE"""),46105.0)</f>
        <v>46105</v>
      </c>
      <c r="AD92" s="285" t="str">
        <f>IFERROR(__xludf.DUMMYFUNCTION("""COMPUTED_VALUE"""),"Fitri Kartikasari")</f>
        <v>Fitri Kartikasari</v>
      </c>
      <c r="AE92" s="285" t="str">
        <f>IFERROR(__xludf.DUMMYFUNCTION("""COMPUTED_VALUE"""),"085183106701")</f>
        <v>085183106701</v>
      </c>
      <c r="AF92" s="285" t="str">
        <f>IFERROR(__xludf.DUMMYFUNCTION("""COMPUTED_VALUE"""),"Gagal")</f>
        <v>Gagal</v>
      </c>
      <c r="AG92" s="285"/>
      <c r="AH92" s="287"/>
      <c r="AI92" s="285"/>
      <c r="AJ92" s="289"/>
      <c r="AK92" s="285" t="str">
        <f>IFERROR(__xludf.DUMMYFUNCTION("""COMPUTED_VALUE"""),"hanya menyapa saja")</f>
        <v>hanya menyapa saja</v>
      </c>
    </row>
    <row r="93"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B93" s="285" t="str">
        <f>IFERROR(__xludf.DUMMYFUNCTION("""COMPUTED_VALUE"""),"2603D115")</f>
        <v>2603D115</v>
      </c>
      <c r="AC93" s="286">
        <f>IFERROR(__xludf.DUMMYFUNCTION("""COMPUTED_VALUE"""),46105.0)</f>
        <v>46105</v>
      </c>
      <c r="AD93" s="285" t="str">
        <f>IFERROR(__xludf.DUMMYFUNCTION("""COMPUTED_VALUE"""),"Rina Marlina")</f>
        <v>Rina Marlina</v>
      </c>
      <c r="AE93" s="285" t="str">
        <f>IFERROR(__xludf.DUMMYFUNCTION("""COMPUTED_VALUE"""),"085779848323")</f>
        <v>085779848323</v>
      </c>
      <c r="AF93" s="285" t="str">
        <f>IFERROR(__xludf.DUMMYFUNCTION("""COMPUTED_VALUE"""),"Gagal")</f>
        <v>Gagal</v>
      </c>
      <c r="AG93" s="285" t="str">
        <f>IFERROR(__xludf.DUMMYFUNCTION("""COMPUTED_VALUE"""),"3H2M ")</f>
        <v>3H2M </v>
      </c>
      <c r="AH93" s="287"/>
      <c r="AI93" s="285">
        <f>IFERROR(__xludf.DUMMYFUNCTION("""COMPUTED_VALUE"""),1.0)</f>
        <v>1</v>
      </c>
      <c r="AJ93" s="289">
        <f>IFERROR(__xludf.DUMMYFUNCTION("""COMPUTED_VALUE"""),1600000.0)</f>
        <v>1600000</v>
      </c>
      <c r="AK93" s="285" t="str">
        <f>IFERROR(__xludf.DUMMYFUNCTION("""COMPUTED_VALUE"""),"sudah daftar di agent lain")</f>
        <v>sudah daftar di agent lain</v>
      </c>
    </row>
    <row r="94"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B94" s="285" t="str">
        <f>IFERROR(__xludf.DUMMYFUNCTION("""COMPUTED_VALUE"""),"2603D117")</f>
        <v>2603D117</v>
      </c>
      <c r="AC94" s="286">
        <f>IFERROR(__xludf.DUMMYFUNCTION("""COMPUTED_VALUE"""),46105.0)</f>
        <v>46105</v>
      </c>
      <c r="AD94" s="285" t="str">
        <f>IFERROR(__xludf.DUMMYFUNCTION("""COMPUTED_VALUE"""),"ERP Ninis")</f>
        <v>ERP Ninis</v>
      </c>
      <c r="AE94" s="285" t="str">
        <f>IFERROR(__xludf.DUMMYFUNCTION("""COMPUTED_VALUE"""),"081325285117")</f>
        <v>081325285117</v>
      </c>
      <c r="AF94" s="285" t="str">
        <f>IFERROR(__xludf.DUMMYFUNCTION("""COMPUTED_VALUE"""),"Gagal")</f>
        <v>Gagal</v>
      </c>
      <c r="AG94" s="285" t="str">
        <f>IFERROR(__xludf.DUMMYFUNCTION("""COMPUTED_VALUE"""),"3h2m ")</f>
        <v>3h2m </v>
      </c>
      <c r="AH94" s="287"/>
      <c r="AI94" s="285">
        <f>IFERROR(__xludf.DUMMYFUNCTION("""COMPUTED_VALUE"""),2.0)</f>
        <v>2</v>
      </c>
      <c r="AJ94" s="289">
        <f>IFERROR(__xludf.DUMMYFUNCTION("""COMPUTED_VALUE"""),6128000.0)</f>
        <v>6128000</v>
      </c>
      <c r="AK94" s="285" t="str">
        <f>IFERROR(__xludf.DUMMYFUNCTION("""COMPUTED_VALUE"""),"belum jadi untuk saat ini")</f>
        <v>belum jadi untuk saat ini</v>
      </c>
    </row>
    <row r="95"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B95" s="285" t="str">
        <f>IFERROR(__xludf.DUMMYFUNCTION("""COMPUTED_VALUE"""),"2603D120")</f>
        <v>2603D120</v>
      </c>
      <c r="AC95" s="286">
        <f>IFERROR(__xludf.DUMMYFUNCTION("""COMPUTED_VALUE"""),46105.0)</f>
        <v>46105</v>
      </c>
      <c r="AD95" s="285" t="str">
        <f>IFERROR(__xludf.DUMMYFUNCTION("""COMPUTED_VALUE"""),"Mizdaaa")</f>
        <v>Mizdaaa</v>
      </c>
      <c r="AE95" s="285" t="str">
        <f>IFERROR(__xludf.DUMMYFUNCTION("""COMPUTED_VALUE"""),"085752315174")</f>
        <v>085752315174</v>
      </c>
      <c r="AF95" s="285" t="str">
        <f>IFERROR(__xludf.DUMMYFUNCTION("""COMPUTED_VALUE"""),"Gagal")</f>
        <v>Gagal</v>
      </c>
      <c r="AG95" s="285"/>
      <c r="AH95" s="287"/>
      <c r="AI95" s="285"/>
      <c r="AJ95" s="289"/>
      <c r="AK95" s="285" t="str">
        <f>IFERROR(__xludf.DUMMYFUNCTION("""COMPUTED_VALUE"""),"menyapa saja")</f>
        <v>menyapa saja</v>
      </c>
    </row>
    <row r="96"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B96" s="285" t="str">
        <f>IFERROR(__xludf.DUMMYFUNCTION("""COMPUTED_VALUE"""),"2603D121")</f>
        <v>2603D121</v>
      </c>
      <c r="AC96" s="286">
        <f>IFERROR(__xludf.DUMMYFUNCTION("""COMPUTED_VALUE"""),46105.0)</f>
        <v>46105</v>
      </c>
      <c r="AD96" s="285" t="str">
        <f>IFERROR(__xludf.DUMMYFUNCTION("""COMPUTED_VALUE"""),"bungaa")</f>
        <v>bungaa</v>
      </c>
      <c r="AE96" s="285" t="str">
        <f>IFERROR(__xludf.DUMMYFUNCTION("""COMPUTED_VALUE"""),"089675814346")</f>
        <v>089675814346</v>
      </c>
      <c r="AF96" s="285" t="str">
        <f>IFERROR(__xludf.DUMMYFUNCTION("""COMPUTED_VALUE"""),"Gagal")</f>
        <v>Gagal</v>
      </c>
      <c r="AG96" s="285" t="str">
        <f>IFERROR(__xludf.DUMMYFUNCTION("""COMPUTED_VALUE"""),"3h2m opsi a")</f>
        <v>3h2m opsi a</v>
      </c>
      <c r="AH96" s="287"/>
      <c r="AI96" s="285"/>
      <c r="AJ96" s="289"/>
      <c r="AK96" s="285" t="str">
        <f>IFERROR(__xludf.DUMMYFUNCTION("""COMPUTED_VALUE"""),"sudah FU tidak balass")</f>
        <v>sudah FU tidak balass</v>
      </c>
    </row>
    <row r="97"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B97" s="285" t="str">
        <f>IFERROR(__xludf.DUMMYFUNCTION("""COMPUTED_VALUE"""),"2603D122")</f>
        <v>2603D122</v>
      </c>
      <c r="AC97" s="286">
        <f>IFERROR(__xludf.DUMMYFUNCTION("""COMPUTED_VALUE"""),46106.0)</f>
        <v>46106</v>
      </c>
      <c r="AD97" s="285" t="str">
        <f>IFERROR(__xludf.DUMMYFUNCTION("""COMPUTED_VALUE"""),"altino")</f>
        <v>altino</v>
      </c>
      <c r="AE97" s="285" t="str">
        <f>IFERROR(__xludf.DUMMYFUNCTION("""COMPUTED_VALUE"""),"081250683017")</f>
        <v>081250683017</v>
      </c>
      <c r="AF97" s="285" t="str">
        <f>IFERROR(__xludf.DUMMYFUNCTION("""COMPUTED_VALUE"""),"Gagal")</f>
        <v>Gagal</v>
      </c>
      <c r="AG97" s="285" t="str">
        <f>IFERROR(__xludf.DUMMYFUNCTION("""COMPUTED_VALUE"""),"ot ijen")</f>
        <v>ot ijen</v>
      </c>
      <c r="AH97" s="287">
        <f>IFERROR(__xludf.DUMMYFUNCTION("""COMPUTED_VALUE"""),46107.0)</f>
        <v>46107</v>
      </c>
      <c r="AI97" s="285">
        <f>IFERROR(__xludf.DUMMYFUNCTION("""COMPUTED_VALUE"""),1.0)</f>
        <v>1</v>
      </c>
      <c r="AJ97" s="289">
        <f>IFERROR(__xludf.DUMMYFUNCTION("""COMPUTED_VALUE"""),300000.0)</f>
        <v>300000</v>
      </c>
      <c r="AK97" s="285" t="str">
        <f>IFERROR(__xludf.DUMMYFUNCTION("""COMPUTED_VALUE"""),"lewat tanggal, gada balasan")</f>
        <v>lewat tanggal, gada balasan</v>
      </c>
    </row>
    <row r="98"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B98" s="285" t="str">
        <f>IFERROR(__xludf.DUMMYFUNCTION("""COMPUTED_VALUE"""),"2603D123")</f>
        <v>2603D123</v>
      </c>
      <c r="AC98" s="286">
        <f>IFERROR(__xludf.DUMMYFUNCTION("""COMPUTED_VALUE"""),46106.0)</f>
        <v>46106</v>
      </c>
      <c r="AD98" s="285" t="str">
        <f>IFERROR(__xludf.DUMMYFUNCTION("""COMPUTED_VALUE"""),"Al Hasan")</f>
        <v>Al Hasan</v>
      </c>
      <c r="AE98" s="285" t="str">
        <f>IFERROR(__xludf.DUMMYFUNCTION("""COMPUTED_VALUE"""),"085784092260")</f>
        <v>085784092260</v>
      </c>
      <c r="AF98" s="285" t="str">
        <f>IFERROR(__xludf.DUMMYFUNCTION("""COMPUTED_VALUE"""),"Gagal")</f>
        <v>Gagal</v>
      </c>
      <c r="AG98" s="285" t="str">
        <f>IFERROR(__xludf.DUMMYFUNCTION("""COMPUTED_VALUE"""),"OT 3H2M ")</f>
        <v>OT 3H2M </v>
      </c>
      <c r="AH98" s="287"/>
      <c r="AI98" s="285">
        <f>IFERROR(__xludf.DUMMYFUNCTION("""COMPUTED_VALUE"""),1.0)</f>
        <v>1</v>
      </c>
      <c r="AJ98" s="289"/>
      <c r="AK98" s="285" t="str">
        <f>IFERROR(__xludf.DUMMYFUNCTION("""COMPUTED_VALUE"""),"sdh dapat yg sesuai")</f>
        <v>sdh dapat yg sesuai</v>
      </c>
    </row>
    <row r="99"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B99" s="285" t="str">
        <f>IFERROR(__xludf.DUMMYFUNCTION("""COMPUTED_VALUE"""),"2603D124")</f>
        <v>2603D124</v>
      </c>
      <c r="AC99" s="286">
        <f>IFERROR(__xludf.DUMMYFUNCTION("""COMPUTED_VALUE"""),46106.0)</f>
        <v>46106</v>
      </c>
      <c r="AD99" s="285" t="str">
        <f>IFERROR(__xludf.DUMMYFUNCTION("""COMPUTED_VALUE"""),"Akbar Daulay")</f>
        <v>Akbar Daulay</v>
      </c>
      <c r="AE99" s="285" t="str">
        <f>IFERROR(__xludf.DUMMYFUNCTION("""COMPUTED_VALUE"""),"087886639535")</f>
        <v>087886639535</v>
      </c>
      <c r="AF99" s="285" t="str">
        <f>IFERROR(__xludf.DUMMYFUNCTION("""COMPUTED_VALUE"""),"Gagal")</f>
        <v>Gagal</v>
      </c>
      <c r="AG99" s="285"/>
      <c r="AH99" s="287"/>
      <c r="AI99" s="285"/>
      <c r="AJ99" s="289"/>
      <c r="AK99" s="285" t="str">
        <f>IFERROR(__xludf.DUMMYFUNCTION("""COMPUTED_VALUE"""),"hanya menyapa")</f>
        <v>hanya menyapa</v>
      </c>
    </row>
    <row r="100"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B100" s="285" t="str">
        <f>IFERROR(__xludf.DUMMYFUNCTION("""COMPUTED_VALUE"""),"2603D126")</f>
        <v>2603D126</v>
      </c>
      <c r="AC100" s="286">
        <f>IFERROR(__xludf.DUMMYFUNCTION("""COMPUTED_VALUE"""),46107.0)</f>
        <v>46107</v>
      </c>
      <c r="AD100" s="285" t="str">
        <f>IFERROR(__xludf.DUMMYFUNCTION("""COMPUTED_VALUE"""),"Sugianto")</f>
        <v>Sugianto</v>
      </c>
      <c r="AE100" s="285" t="str">
        <f>IFERROR(__xludf.DUMMYFUNCTION("""COMPUTED_VALUE"""),"081213084515")</f>
        <v>081213084515</v>
      </c>
      <c r="AF100" s="285" t="str">
        <f>IFERROR(__xludf.DUMMYFUNCTION("""COMPUTED_VALUE"""),"Gagal")</f>
        <v>Gagal</v>
      </c>
      <c r="AG100" s="285" t="str">
        <f>IFERROR(__xludf.DUMMYFUNCTION("""COMPUTED_VALUE"""),"one day trip ")</f>
        <v>one day trip </v>
      </c>
      <c r="AH100" s="287"/>
      <c r="AI100" s="285">
        <f>IFERROR(__xludf.DUMMYFUNCTION("""COMPUTED_VALUE"""),5.0)</f>
        <v>5</v>
      </c>
      <c r="AJ100" s="289"/>
      <c r="AK100" s="285" t="str">
        <f>IFERROR(__xludf.DUMMYFUNCTION("""COMPUTED_VALUE"""),"gagal, tidak membalas, lewat tanggal")</f>
        <v>gagal, tidak membalas, lewat tanggal</v>
      </c>
    </row>
    <row r="101"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B101" s="285" t="str">
        <f>IFERROR(__xludf.DUMMYFUNCTION("""COMPUTED_VALUE"""),"2603D127")</f>
        <v>2603D127</v>
      </c>
      <c r="AC101" s="286">
        <f>IFERROR(__xludf.DUMMYFUNCTION("""COMPUTED_VALUE"""),46107.0)</f>
        <v>46107</v>
      </c>
      <c r="AD101" s="285" t="str">
        <f>IFERROR(__xludf.DUMMYFUNCTION("""COMPUTED_VALUE"""),"Dftm")</f>
        <v>Dftm</v>
      </c>
      <c r="AE101" s="285" t="str">
        <f>IFERROR(__xludf.DUMMYFUNCTION("""COMPUTED_VALUE"""),"085727267198")</f>
        <v>085727267198</v>
      </c>
      <c r="AF101" s="285" t="str">
        <f>IFERROR(__xludf.DUMMYFUNCTION("""COMPUTED_VALUE"""),"Gagal")</f>
        <v>Gagal</v>
      </c>
      <c r="AG101" s="285"/>
      <c r="AH101" s="287"/>
      <c r="AI101" s="285"/>
      <c r="AJ101" s="289"/>
      <c r="AK101" s="285" t="str">
        <f>IFERROR(__xludf.DUMMYFUNCTION("""COMPUTED_VALUE"""),"ingin rental mobil saja")</f>
        <v>ingin rental mobil saja</v>
      </c>
    </row>
    <row r="102"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B102" s="285" t="str">
        <f>IFERROR(__xludf.DUMMYFUNCTION("""COMPUTED_VALUE"""),"2603D128")</f>
        <v>2603D128</v>
      </c>
      <c r="AC102" s="286">
        <f>IFERROR(__xludf.DUMMYFUNCTION("""COMPUTED_VALUE"""),46107.0)</f>
        <v>46107</v>
      </c>
      <c r="AD102" s="285" t="str">
        <f>IFERROR(__xludf.DUMMYFUNCTION("""COMPUTED_VALUE"""),"YayaMaria ")</f>
        <v>YayaMaria </v>
      </c>
      <c r="AE102" s="285" t="str">
        <f>IFERROR(__xludf.DUMMYFUNCTION("""COMPUTED_VALUE"""),"0877000897770")</f>
        <v>0877000897770</v>
      </c>
      <c r="AF102" s="285" t="str">
        <f>IFERROR(__xludf.DUMMYFUNCTION("""COMPUTED_VALUE"""),"Gagal")</f>
        <v>Gagal</v>
      </c>
      <c r="AG102" s="285" t="str">
        <f>IFERROR(__xludf.DUMMYFUNCTION("""COMPUTED_VALUE"""),"one day trip teluk ijo")</f>
        <v>one day trip teluk ijo</v>
      </c>
      <c r="AH102" s="287">
        <f>IFERROR(__xludf.DUMMYFUNCTION("""COMPUTED_VALUE"""),46108.0)</f>
        <v>46108</v>
      </c>
      <c r="AI102" s="285">
        <f>IFERROR(__xludf.DUMMYFUNCTION("""COMPUTED_VALUE"""),5.0)</f>
        <v>5</v>
      </c>
      <c r="AJ102" s="289">
        <f>IFERROR(__xludf.DUMMYFUNCTION("""COMPUTED_VALUE"""),3037500.0)</f>
        <v>3037500</v>
      </c>
      <c r="AK102" s="285" t="str">
        <f>IFERROR(__xludf.DUMMYFUNCTION("""COMPUTED_VALUE"""),"sdh ke teluk ijo")</f>
        <v>sdh ke teluk ijo</v>
      </c>
    </row>
    <row r="103"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  <c r="AB103" s="285" t="str">
        <f>IFERROR(__xludf.DUMMYFUNCTION("""COMPUTED_VALUE"""),"2603D129")</f>
        <v>2603D129</v>
      </c>
      <c r="AC103" s="286">
        <f>IFERROR(__xludf.DUMMYFUNCTION("""COMPUTED_VALUE"""),46107.0)</f>
        <v>46107</v>
      </c>
      <c r="AD103" s="285" t="str">
        <f>IFERROR(__xludf.DUMMYFUNCTION("""COMPUTED_VALUE"""),"Elzha")</f>
        <v>Elzha</v>
      </c>
      <c r="AE103" s="285" t="str">
        <f>IFERROR(__xludf.DUMMYFUNCTION("""COMPUTED_VALUE"""),"08881383969")</f>
        <v>08881383969</v>
      </c>
      <c r="AF103" s="285" t="str">
        <f>IFERROR(__xludf.DUMMYFUNCTION("""COMPUTED_VALUE"""),"Gagal")</f>
        <v>Gagal</v>
      </c>
      <c r="AG103" s="285" t="str">
        <f>IFERROR(__xludf.DUMMYFUNCTION("""COMPUTED_VALUE"""),"Private Trip Djabal")</f>
        <v>Private Trip Djabal</v>
      </c>
      <c r="AH103" s="287">
        <f>IFERROR(__xludf.DUMMYFUNCTION("""COMPUTED_VALUE"""),46131.0)</f>
        <v>46131</v>
      </c>
      <c r="AI103" s="285">
        <f>IFERROR(__xludf.DUMMYFUNCTION("""COMPUTED_VALUE"""),5.0)</f>
        <v>5</v>
      </c>
      <c r="AJ103" s="289">
        <f>IFERROR(__xludf.DUMMYFUNCTION("""COMPUTED_VALUE"""),2115000.0)</f>
        <v>2115000</v>
      </c>
      <c r="AK103" s="285" t="str">
        <f>IFERROR(__xludf.DUMMYFUNCTION("""COMPUTED_VALUE"""),"sdh fu 5 kali tidak bales")</f>
        <v>sdh fu 5 kali tidak bales</v>
      </c>
    </row>
    <row r="104"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  <c r="AB104" s="285" t="str">
        <f>IFERROR(__xludf.DUMMYFUNCTION("""COMPUTED_VALUE"""),"2603D130")</f>
        <v>2603D130</v>
      </c>
      <c r="AC104" s="286">
        <f>IFERROR(__xludf.DUMMYFUNCTION("""COMPUTED_VALUE"""),46108.0)</f>
        <v>46108</v>
      </c>
      <c r="AD104" s="285" t="str">
        <f>IFERROR(__xludf.DUMMYFUNCTION("""COMPUTED_VALUE"""),"Fanny Nur Hidayah")</f>
        <v>Fanny Nur Hidayah</v>
      </c>
      <c r="AE104" s="285" t="str">
        <f>IFERROR(__xludf.DUMMYFUNCTION("""COMPUTED_VALUE"""),"085870662706")</f>
        <v>085870662706</v>
      </c>
      <c r="AF104" s="285" t="str">
        <f>IFERROR(__xludf.DUMMYFUNCTION("""COMPUTED_VALUE"""),"Gagal")</f>
        <v>Gagal</v>
      </c>
      <c r="AG104" s="285" t="str">
        <f>IFERROR(__xludf.DUMMYFUNCTION("""COMPUTED_VALUE"""),"3H2M")</f>
        <v>3H2M</v>
      </c>
      <c r="AH104" s="287"/>
      <c r="AI104" s="285">
        <f>IFERROR(__xludf.DUMMYFUNCTION("""COMPUTED_VALUE"""),46115.0)</f>
        <v>46115</v>
      </c>
      <c r="AJ104" s="289"/>
      <c r="AK104" s="285" t="str">
        <f>IFERROR(__xludf.DUMMYFUNCTION("""COMPUTED_VALUE"""),"tidakk balass")</f>
        <v>tidakk balass</v>
      </c>
    </row>
    <row r="105"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B105" s="285" t="str">
        <f>IFERROR(__xludf.DUMMYFUNCTION("""COMPUTED_VALUE"""),"2603D131")</f>
        <v>2603D131</v>
      </c>
      <c r="AC105" s="286">
        <f>IFERROR(__xludf.DUMMYFUNCTION("""COMPUTED_VALUE"""),46108.0)</f>
        <v>46108</v>
      </c>
      <c r="AD105" s="285" t="str">
        <f>IFERROR(__xludf.DUMMYFUNCTION("""COMPUTED_VALUE"""),"Eliza")</f>
        <v>Eliza</v>
      </c>
      <c r="AE105" s="285" t="str">
        <f>IFERROR(__xludf.DUMMYFUNCTION("""COMPUTED_VALUE"""),"085775530781")</f>
        <v>085775530781</v>
      </c>
      <c r="AF105" s="285" t="str">
        <f>IFERROR(__xludf.DUMMYFUNCTION("""COMPUTED_VALUE"""),"Gagal")</f>
        <v>Gagal</v>
      </c>
      <c r="AG105" s="285" t="str">
        <f>IFERROR(__xludf.DUMMYFUNCTION("""COMPUTED_VALUE"""),"open trip")</f>
        <v>open trip</v>
      </c>
      <c r="AH105" s="287"/>
      <c r="AI105" s="285">
        <f>IFERROR(__xludf.DUMMYFUNCTION("""COMPUTED_VALUE"""),1.0)</f>
        <v>1</v>
      </c>
      <c r="AJ105" s="289">
        <f>IFERROR(__xludf.DUMMYFUNCTION("""COMPUTED_VALUE"""),1600000.0)</f>
        <v>1600000</v>
      </c>
      <c r="AK105" s="285" t="str">
        <f>IFERROR(__xludf.DUMMYFUNCTION("""COMPUTED_VALUE"""),"tidak balas lagiii")</f>
        <v>tidak balas lagiii</v>
      </c>
    </row>
    <row r="106"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B106" s="285" t="str">
        <f>IFERROR(__xludf.DUMMYFUNCTION("""COMPUTED_VALUE"""),"2603D132")</f>
        <v>2603D132</v>
      </c>
      <c r="AC106" s="286">
        <f>IFERROR(__xludf.DUMMYFUNCTION("""COMPUTED_VALUE"""),46108.0)</f>
        <v>46108</v>
      </c>
      <c r="AD106" s="285" t="str">
        <f>IFERROR(__xludf.DUMMYFUNCTION("""COMPUTED_VALUE"""),"Bahrul Ulum")</f>
        <v>Bahrul Ulum</v>
      </c>
      <c r="AE106" s="285" t="str">
        <f>IFERROR(__xludf.DUMMYFUNCTION("""COMPUTED_VALUE"""),"082226300034")</f>
        <v>082226300034</v>
      </c>
      <c r="AF106" s="285" t="str">
        <f>IFERROR(__xludf.DUMMYFUNCTION("""COMPUTED_VALUE"""),"Gagal")</f>
        <v>Gagal</v>
      </c>
      <c r="AG106" s="285" t="str">
        <f>IFERROR(__xludf.DUMMYFUNCTION("""COMPUTED_VALUE"""),"1d pulau merah")</f>
        <v>1d pulau merah</v>
      </c>
      <c r="AH106" s="287">
        <f>IFERROR(__xludf.DUMMYFUNCTION("""COMPUTED_VALUE"""),46109.0)</f>
        <v>46109</v>
      </c>
      <c r="AI106" s="285">
        <f>IFERROR(__xludf.DUMMYFUNCTION("""COMPUTED_VALUE"""),4.0)</f>
        <v>4</v>
      </c>
      <c r="AJ106" s="289">
        <f>IFERROR(__xludf.DUMMYFUNCTION("""COMPUTED_VALUE"""),1648000.0)</f>
        <v>1648000</v>
      </c>
      <c r="AK106" s="285" t="str">
        <f>IFERROR(__xludf.DUMMYFUNCTION("""COMPUTED_VALUE"""),"badan kecapekan")</f>
        <v>badan kecapekan</v>
      </c>
    </row>
    <row r="107"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B107" s="285" t="str">
        <f>IFERROR(__xludf.DUMMYFUNCTION("""COMPUTED_VALUE"""),"2603D134")</f>
        <v>2603D134</v>
      </c>
      <c r="AC107" s="286">
        <f>IFERROR(__xludf.DUMMYFUNCTION("""COMPUTED_VALUE"""),46109.0)</f>
        <v>46109</v>
      </c>
      <c r="AD107" s="285" t="str">
        <f>IFERROR(__xludf.DUMMYFUNCTION("""COMPUTED_VALUE"""),"Yeni")</f>
        <v>Yeni</v>
      </c>
      <c r="AE107" s="285" t="str">
        <f>IFERROR(__xludf.DUMMYFUNCTION("""COMPUTED_VALUE"""),"083122244376")</f>
        <v>083122244376</v>
      </c>
      <c r="AF107" s="285" t="str">
        <f>IFERROR(__xludf.DUMMYFUNCTION("""COMPUTED_VALUE"""),"Gagal")</f>
        <v>Gagal</v>
      </c>
      <c r="AG107" s="285" t="str">
        <f>IFERROR(__xludf.DUMMYFUNCTION("""COMPUTED_VALUE"""),"Green Island")</f>
        <v>Green Island</v>
      </c>
      <c r="AH107" s="287">
        <f>IFERROR(__xludf.DUMMYFUNCTION("""COMPUTED_VALUE"""),46116.0)</f>
        <v>46116</v>
      </c>
      <c r="AI107" s="285">
        <f>IFERROR(__xludf.DUMMYFUNCTION("""COMPUTED_VALUE"""),14.0)</f>
        <v>14</v>
      </c>
      <c r="AJ107" s="289">
        <f>IFERROR(__xludf.DUMMYFUNCTION("""COMPUTED_VALUE"""),5950000.0)</f>
        <v>5950000</v>
      </c>
      <c r="AK107" s="285" t="str">
        <f>IFERROR(__xludf.DUMMYFUNCTION("""COMPUTED_VALUE"""),"belum jadi liburan")</f>
        <v>belum jadi liburan</v>
      </c>
    </row>
    <row r="108"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B108" s="285" t="str">
        <f>IFERROR(__xludf.DUMMYFUNCTION("""COMPUTED_VALUE"""),"2603D135")</f>
        <v>2603D135</v>
      </c>
      <c r="AC108" s="286">
        <f>IFERROR(__xludf.DUMMYFUNCTION("""COMPUTED_VALUE"""),46109.0)</f>
        <v>46109</v>
      </c>
      <c r="AD108" s="285" t="str">
        <f>IFERROR(__xludf.DUMMYFUNCTION("""COMPUTED_VALUE"""),"Agus PT TIGA PUTRA MULTIKREASI")</f>
        <v>Agus PT TIGA PUTRA MULTIKREASI</v>
      </c>
      <c r="AE108" s="285" t="str">
        <f>IFERROR(__xludf.DUMMYFUNCTION("""COMPUTED_VALUE"""),"0818878398")</f>
        <v>0818878398</v>
      </c>
      <c r="AF108" s="285" t="str">
        <f>IFERROR(__xludf.DUMMYFUNCTION("""COMPUTED_VALUE"""),"Gagal")</f>
        <v>Gagal</v>
      </c>
      <c r="AG108" s="285" t="str">
        <f>IFERROR(__xludf.DUMMYFUNCTION("""COMPUTED_VALUE"""),"trip pantai hutan")</f>
        <v>trip pantai hutan</v>
      </c>
      <c r="AH108" s="287"/>
      <c r="AI108" s="285">
        <f>IFERROR(__xludf.DUMMYFUNCTION("""COMPUTED_VALUE"""),7.0)</f>
        <v>7</v>
      </c>
      <c r="AJ108" s="289"/>
      <c r="AK108" s="285" t="str">
        <f>IFERROR(__xludf.DUMMYFUNCTION("""COMPUTED_VALUE"""),"blm deal jadi ke bwi atau ke jogjal")</f>
        <v>blm deal jadi ke bwi atau ke jogjal</v>
      </c>
    </row>
    <row r="109"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B109" s="285" t="str">
        <f>IFERROR(__xludf.DUMMYFUNCTION("""COMPUTED_VALUE"""),"2603D138")</f>
        <v>2603D138</v>
      </c>
      <c r="AC109" s="286">
        <f>IFERROR(__xludf.DUMMYFUNCTION("""COMPUTED_VALUE"""),46110.0)</f>
        <v>46110</v>
      </c>
      <c r="AD109" s="285" t="str">
        <f>IFERROR(__xludf.DUMMYFUNCTION("""COMPUTED_VALUE"""),"Faiza")</f>
        <v>Faiza</v>
      </c>
      <c r="AE109" s="285" t="str">
        <f>IFERROR(__xludf.DUMMYFUNCTION("""COMPUTED_VALUE"""),"08116720999")</f>
        <v>08116720999</v>
      </c>
      <c r="AF109" s="285" t="str">
        <f>IFERROR(__xludf.DUMMYFUNCTION("""COMPUTED_VALUE"""),"Gagal")</f>
        <v>Gagal</v>
      </c>
      <c r="AG109" s="285" t="str">
        <f>IFERROR(__xludf.DUMMYFUNCTION("""COMPUTED_VALUE"""),"Menjangan Tabuhan")</f>
        <v>Menjangan Tabuhan</v>
      </c>
      <c r="AH109" s="287">
        <f>IFERROR(__xludf.DUMMYFUNCTION("""COMPUTED_VALUE"""),46111.0)</f>
        <v>46111</v>
      </c>
      <c r="AI109" s="285">
        <f>IFERROR(__xludf.DUMMYFUNCTION("""COMPUTED_VALUE"""),4.0)</f>
        <v>4</v>
      </c>
      <c r="AJ109" s="289">
        <f>IFERROR(__xludf.DUMMYFUNCTION("""COMPUTED_VALUE"""),2000000.0)</f>
        <v>2000000</v>
      </c>
      <c r="AK109" s="285" t="str">
        <f>IFERROR(__xludf.DUMMYFUNCTION("""COMPUTED_VALUE"""),"orang tua sdh booking di tempat lain")</f>
        <v>orang tua sdh booking di tempat lain</v>
      </c>
    </row>
    <row r="110"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B110" s="285" t="str">
        <f>IFERROR(__xludf.DUMMYFUNCTION("""COMPUTED_VALUE"""),"2603D139")</f>
        <v>2603D139</v>
      </c>
      <c r="AC110" s="286">
        <f>IFERROR(__xludf.DUMMYFUNCTION("""COMPUTED_VALUE"""),46110.0)</f>
        <v>46110</v>
      </c>
      <c r="AD110" s="285" t="str">
        <f>IFERROR(__xludf.DUMMYFUNCTION("""COMPUTED_VALUE"""),"tyak")</f>
        <v>tyak</v>
      </c>
      <c r="AE110" s="285" t="str">
        <f>IFERROR(__xludf.DUMMYFUNCTION("""COMPUTED_VALUE"""),"089681588980")</f>
        <v>089681588980</v>
      </c>
      <c r="AF110" s="285" t="str">
        <f>IFERROR(__xludf.DUMMYFUNCTION("""COMPUTED_VALUE"""),"Gagal")</f>
        <v>Gagal</v>
      </c>
      <c r="AG110" s="285"/>
      <c r="AH110" s="287"/>
      <c r="AI110" s="285"/>
      <c r="AJ110" s="289"/>
      <c r="AK110" s="285" t="str">
        <f>IFERROR(__xludf.DUMMYFUNCTION("""COMPUTED_VALUE"""),"tanya booking tiket kapal bwi-lombok")</f>
        <v>tanya booking tiket kapal bwi-lombok</v>
      </c>
    </row>
    <row r="111"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B111" s="285" t="str">
        <f>IFERROR(__xludf.DUMMYFUNCTION("""COMPUTED_VALUE"""),"2603D144")</f>
        <v>2603D144</v>
      </c>
      <c r="AC111" s="286">
        <f>IFERROR(__xludf.DUMMYFUNCTION("""COMPUTED_VALUE"""),46111.0)</f>
        <v>46111</v>
      </c>
      <c r="AD111" s="285" t="str">
        <f>IFERROR(__xludf.DUMMYFUNCTION("""COMPUTED_VALUE"""),"Novita oktaviani")</f>
        <v>Novita oktaviani</v>
      </c>
      <c r="AE111" s="285" t="str">
        <f>IFERROR(__xludf.DUMMYFUNCTION("""COMPUTED_VALUE"""),"08895740103")</f>
        <v>08895740103</v>
      </c>
      <c r="AF111" s="285" t="str">
        <f>IFERROR(__xludf.DUMMYFUNCTION("""COMPUTED_VALUE"""),"Gagal")</f>
        <v>Gagal</v>
      </c>
      <c r="AG111" s="285" t="str">
        <f>IFERROR(__xludf.DUMMYFUNCTION("""COMPUTED_VALUE"""),"trip M,T")</f>
        <v>trip M,T</v>
      </c>
      <c r="AH111" s="287">
        <f>IFERROR(__xludf.DUMMYFUNCTION("""COMPUTED_VALUE"""),46161.0)</f>
        <v>46161</v>
      </c>
      <c r="AI111" s="285">
        <f>IFERROR(__xludf.DUMMYFUNCTION("""COMPUTED_VALUE"""),2.0)</f>
        <v>2</v>
      </c>
      <c r="AJ111" s="289">
        <f>IFERROR(__xludf.DUMMYFUNCTION("""COMPUTED_VALUE"""),2388000.0)</f>
        <v>2388000</v>
      </c>
      <c r="AK111" s="285" t="str">
        <f>IFERROR(__xludf.DUMMYFUNCTION("""COMPUTED_VALUE"""),"sudah dpt yg lain")</f>
        <v>sudah dpt yg lain</v>
      </c>
    </row>
    <row r="112"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B112" s="285" t="str">
        <f>IFERROR(__xludf.DUMMYFUNCTION("""COMPUTED_VALUE"""),"2603D146")</f>
        <v>2603D146</v>
      </c>
      <c r="AC112" s="286">
        <f>IFERROR(__xludf.DUMMYFUNCTION("""COMPUTED_VALUE"""),46112.0)</f>
        <v>46112</v>
      </c>
      <c r="AD112" s="285" t="str">
        <f>IFERROR(__xludf.DUMMYFUNCTION("""COMPUTED_VALUE"""),"No name WNA")</f>
        <v>No name WNA</v>
      </c>
      <c r="AE112" s="285" t="str">
        <f>IFERROR(__xludf.DUMMYFUNCTION("""COMPUTED_VALUE"""),"33651287386")</f>
        <v>33651287386</v>
      </c>
      <c r="AF112" s="285" t="str">
        <f>IFERROR(__xludf.DUMMYFUNCTION("""COMPUTED_VALUE"""),"Gagal")</f>
        <v>Gagal</v>
      </c>
      <c r="AG112" s="285" t="str">
        <f>IFERROR(__xludf.DUMMYFUNCTION("""COMPUTED_VALUE"""),"1 day trip Ijen")</f>
        <v>1 day trip Ijen</v>
      </c>
      <c r="AH112" s="287">
        <f>IFERROR(__xludf.DUMMYFUNCTION("""COMPUTED_VALUE"""),46113.0)</f>
        <v>46113</v>
      </c>
      <c r="AI112" s="285">
        <f>IFERROR(__xludf.DUMMYFUNCTION("""COMPUTED_VALUE"""),2.0)</f>
        <v>2</v>
      </c>
      <c r="AJ112" s="289"/>
      <c r="AK112" s="285" t="str">
        <f>IFERROR(__xludf.DUMMYFUNCTION("""COMPUTED_VALUE"""),"tidak ada jawaban")</f>
        <v>tidak ada jawaban</v>
      </c>
    </row>
    <row r="113"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B113" s="285"/>
      <c r="AC113" s="285"/>
      <c r="AD113" s="285"/>
      <c r="AE113" s="285"/>
      <c r="AF113" s="285"/>
      <c r="AG113" s="285"/>
      <c r="AH113" s="285"/>
      <c r="AI113" s="285"/>
      <c r="AJ113" s="285"/>
      <c r="AK113" s="285"/>
    </row>
    <row r="114"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B114" s="285"/>
      <c r="AC114" s="285"/>
      <c r="AD114" s="285"/>
      <c r="AE114" s="285"/>
      <c r="AF114" s="285"/>
      <c r="AG114" s="285"/>
      <c r="AH114" s="285"/>
      <c r="AI114" s="285"/>
      <c r="AJ114" s="285"/>
      <c r="AK114" s="285"/>
    </row>
    <row r="115"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  <c r="AB115" s="285"/>
      <c r="AC115" s="285"/>
      <c r="AD115" s="285"/>
      <c r="AE115" s="285"/>
      <c r="AF115" s="285"/>
      <c r="AG115" s="285"/>
      <c r="AH115" s="285"/>
      <c r="AI115" s="285"/>
      <c r="AJ115" s="285"/>
      <c r="AK115" s="285"/>
    </row>
    <row r="116"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B116" s="285"/>
      <c r="AC116" s="285"/>
      <c r="AD116" s="285"/>
      <c r="AE116" s="285"/>
      <c r="AF116" s="285"/>
      <c r="AG116" s="285"/>
      <c r="AH116" s="285"/>
      <c r="AI116" s="285"/>
      <c r="AJ116" s="285"/>
      <c r="AK116" s="285"/>
    </row>
    <row r="117"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  <c r="AB117" s="285"/>
      <c r="AC117" s="285"/>
      <c r="AD117" s="285"/>
      <c r="AE117" s="285"/>
      <c r="AF117" s="285"/>
      <c r="AG117" s="285"/>
      <c r="AH117" s="285"/>
      <c r="AI117" s="285"/>
      <c r="AJ117" s="285"/>
      <c r="AK117" s="285"/>
    </row>
    <row r="118"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  <c r="AB118" s="285"/>
      <c r="AC118" s="285"/>
      <c r="AD118" s="285"/>
      <c r="AE118" s="285"/>
      <c r="AF118" s="285"/>
      <c r="AG118" s="285"/>
      <c r="AH118" s="285"/>
      <c r="AI118" s="285"/>
      <c r="AJ118" s="285"/>
      <c r="AK118" s="285"/>
    </row>
    <row r="119"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B119" s="285"/>
      <c r="AC119" s="285"/>
      <c r="AD119" s="285"/>
      <c r="AE119" s="285"/>
      <c r="AF119" s="285"/>
      <c r="AG119" s="285"/>
      <c r="AH119" s="285"/>
      <c r="AI119" s="285"/>
      <c r="AJ119" s="285"/>
      <c r="AK119" s="285"/>
    </row>
    <row r="120"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B120" s="285"/>
      <c r="AC120" s="285"/>
      <c r="AD120" s="285"/>
      <c r="AE120" s="285"/>
      <c r="AF120" s="285"/>
      <c r="AG120" s="285"/>
      <c r="AH120" s="285"/>
      <c r="AI120" s="285"/>
      <c r="AJ120" s="285"/>
      <c r="AK120" s="285"/>
    </row>
    <row r="121"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B121" s="285"/>
      <c r="AC121" s="285"/>
      <c r="AD121" s="285"/>
      <c r="AE121" s="285"/>
      <c r="AF121" s="285"/>
      <c r="AG121" s="285"/>
      <c r="AH121" s="285"/>
      <c r="AI121" s="285"/>
      <c r="AJ121" s="285"/>
      <c r="AK121" s="285"/>
    </row>
    <row r="122"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B122" s="285"/>
      <c r="AC122" s="285"/>
      <c r="AD122" s="285"/>
      <c r="AE122" s="285"/>
      <c r="AF122" s="285"/>
      <c r="AG122" s="285"/>
      <c r="AH122" s="285"/>
      <c r="AI122" s="285"/>
      <c r="AJ122" s="285"/>
      <c r="AK122" s="285"/>
    </row>
    <row r="123"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B123" s="285"/>
      <c r="AC123" s="285"/>
      <c r="AD123" s="285"/>
      <c r="AE123" s="285"/>
      <c r="AF123" s="285"/>
      <c r="AG123" s="285"/>
      <c r="AH123" s="285"/>
      <c r="AI123" s="285"/>
      <c r="AJ123" s="285"/>
      <c r="AK123" s="285"/>
    </row>
    <row r="124"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B124" s="285"/>
      <c r="AC124" s="285"/>
      <c r="AD124" s="285"/>
      <c r="AE124" s="285"/>
      <c r="AF124" s="285"/>
      <c r="AG124" s="285"/>
      <c r="AH124" s="285"/>
      <c r="AI124" s="285"/>
      <c r="AJ124" s="285"/>
      <c r="AK124" s="285"/>
    </row>
    <row r="125"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B125" s="285"/>
      <c r="AC125" s="285"/>
      <c r="AD125" s="285"/>
      <c r="AE125" s="285"/>
      <c r="AF125" s="285"/>
      <c r="AG125" s="285"/>
      <c r="AH125" s="285"/>
      <c r="AI125" s="285"/>
      <c r="AJ125" s="285"/>
      <c r="AK125" s="285"/>
    </row>
    <row r="126"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B126" s="285"/>
      <c r="AC126" s="285"/>
      <c r="AD126" s="285"/>
      <c r="AE126" s="285"/>
      <c r="AF126" s="285"/>
      <c r="AG126" s="285"/>
      <c r="AH126" s="285"/>
      <c r="AI126" s="285"/>
      <c r="AJ126" s="285"/>
      <c r="AK126" s="285"/>
    </row>
    <row r="127"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B127" s="285"/>
      <c r="AC127" s="285"/>
      <c r="AD127" s="285"/>
      <c r="AE127" s="285"/>
      <c r="AF127" s="285"/>
      <c r="AG127" s="285"/>
      <c r="AH127" s="285"/>
      <c r="AI127" s="285"/>
      <c r="AJ127" s="285"/>
      <c r="AK127" s="285"/>
    </row>
    <row r="128"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B128" s="285"/>
      <c r="AC128" s="285"/>
      <c r="AD128" s="285"/>
      <c r="AE128" s="285"/>
      <c r="AF128" s="285"/>
      <c r="AG128" s="285"/>
      <c r="AH128" s="285"/>
      <c r="AI128" s="285"/>
      <c r="AJ128" s="285"/>
      <c r="AK128" s="285"/>
    </row>
    <row r="129"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B129" s="285"/>
      <c r="AC129" s="285"/>
      <c r="AD129" s="285"/>
      <c r="AE129" s="285"/>
      <c r="AF129" s="285"/>
      <c r="AG129" s="285"/>
      <c r="AH129" s="285"/>
      <c r="AI129" s="285"/>
      <c r="AJ129" s="285"/>
      <c r="AK129" s="285"/>
    </row>
    <row r="130"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  <c r="AB130" s="285"/>
      <c r="AC130" s="285"/>
      <c r="AD130" s="285"/>
      <c r="AE130" s="285"/>
      <c r="AF130" s="285"/>
      <c r="AG130" s="285"/>
      <c r="AH130" s="285"/>
      <c r="AI130" s="285"/>
      <c r="AJ130" s="285"/>
      <c r="AK130" s="285"/>
    </row>
    <row r="131"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B131" s="285"/>
      <c r="AC131" s="285"/>
      <c r="AD131" s="285"/>
      <c r="AE131" s="285"/>
      <c r="AF131" s="285"/>
      <c r="AG131" s="285"/>
      <c r="AH131" s="285"/>
      <c r="AI131" s="285"/>
      <c r="AJ131" s="285"/>
      <c r="AK131" s="285"/>
    </row>
    <row r="132"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B132" s="285"/>
      <c r="AC132" s="285"/>
      <c r="AD132" s="285"/>
      <c r="AE132" s="285"/>
      <c r="AF132" s="285"/>
      <c r="AG132" s="285"/>
      <c r="AH132" s="285"/>
      <c r="AI132" s="285"/>
      <c r="AJ132" s="285"/>
      <c r="AK132" s="285"/>
    </row>
    <row r="133"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B133" s="285"/>
      <c r="AC133" s="285"/>
      <c r="AD133" s="285"/>
      <c r="AE133" s="285"/>
      <c r="AF133" s="285"/>
      <c r="AG133" s="285"/>
      <c r="AH133" s="285"/>
      <c r="AI133" s="285"/>
      <c r="AJ133" s="285"/>
      <c r="AK133" s="285"/>
    </row>
    <row r="134"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B134" s="285"/>
      <c r="AC134" s="285"/>
      <c r="AD134" s="285"/>
      <c r="AE134" s="285"/>
      <c r="AF134" s="285"/>
      <c r="AG134" s="285"/>
      <c r="AH134" s="285"/>
      <c r="AI134" s="285"/>
      <c r="AJ134" s="285"/>
      <c r="AK134" s="285"/>
    </row>
    <row r="135"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B135" s="285"/>
      <c r="AC135" s="285"/>
      <c r="AD135" s="285"/>
      <c r="AE135" s="285"/>
      <c r="AF135" s="285"/>
      <c r="AG135" s="285"/>
      <c r="AH135" s="285"/>
      <c r="AI135" s="285"/>
      <c r="AJ135" s="285"/>
      <c r="AK135" s="285"/>
    </row>
    <row r="136"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B136" s="285"/>
      <c r="AC136" s="285"/>
      <c r="AD136" s="285"/>
      <c r="AE136" s="285"/>
      <c r="AF136" s="285"/>
      <c r="AG136" s="285"/>
      <c r="AH136" s="285"/>
      <c r="AI136" s="285"/>
      <c r="AJ136" s="285"/>
      <c r="AK136" s="285"/>
    </row>
    <row r="137"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B137" s="285"/>
      <c r="AC137" s="285"/>
      <c r="AD137" s="285"/>
      <c r="AE137" s="285"/>
      <c r="AF137" s="285"/>
      <c r="AG137" s="285"/>
      <c r="AH137" s="285"/>
      <c r="AI137" s="285"/>
      <c r="AJ137" s="285"/>
      <c r="AK137" s="285"/>
    </row>
    <row r="138"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B138" s="285"/>
      <c r="AC138" s="285"/>
      <c r="AD138" s="285"/>
      <c r="AE138" s="285"/>
      <c r="AF138" s="285"/>
      <c r="AG138" s="285"/>
      <c r="AH138" s="285"/>
      <c r="AI138" s="285"/>
      <c r="AJ138" s="285"/>
      <c r="AK138" s="285"/>
    </row>
    <row r="139"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B139" s="285"/>
      <c r="AC139" s="285"/>
      <c r="AD139" s="285"/>
      <c r="AE139" s="285"/>
      <c r="AF139" s="285"/>
      <c r="AG139" s="285"/>
      <c r="AH139" s="285"/>
      <c r="AI139" s="285"/>
      <c r="AJ139" s="285"/>
      <c r="AK139" s="285"/>
    </row>
    <row r="140"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  <c r="AB140" s="285"/>
      <c r="AC140" s="285"/>
      <c r="AD140" s="285"/>
      <c r="AE140" s="285"/>
      <c r="AF140" s="285"/>
      <c r="AG140" s="285"/>
      <c r="AH140" s="285"/>
      <c r="AI140" s="285"/>
      <c r="AJ140" s="285"/>
      <c r="AK140" s="285"/>
    </row>
    <row r="141"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  <c r="AB141" s="285"/>
      <c r="AC141" s="285"/>
      <c r="AD141" s="285"/>
      <c r="AE141" s="285"/>
      <c r="AF141" s="285"/>
      <c r="AG141" s="285"/>
      <c r="AH141" s="285"/>
      <c r="AI141" s="285"/>
      <c r="AJ141" s="285"/>
      <c r="AK141" s="285"/>
    </row>
    <row r="142"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B142" s="285"/>
      <c r="AC142" s="285"/>
      <c r="AD142" s="285"/>
      <c r="AE142" s="285"/>
      <c r="AF142" s="285"/>
      <c r="AG142" s="285"/>
      <c r="AH142" s="285"/>
      <c r="AI142" s="285"/>
      <c r="AJ142" s="285"/>
      <c r="AK142" s="285"/>
    </row>
    <row r="143"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B143" s="285"/>
      <c r="AC143" s="285"/>
      <c r="AD143" s="285"/>
      <c r="AE143" s="285"/>
      <c r="AF143" s="285"/>
      <c r="AG143" s="285"/>
      <c r="AH143" s="285"/>
      <c r="AI143" s="285"/>
      <c r="AJ143" s="285"/>
      <c r="AK143" s="285"/>
    </row>
    <row r="144"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</row>
    <row r="145"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B145" s="285"/>
      <c r="AC145" s="285"/>
      <c r="AD145" s="285"/>
      <c r="AE145" s="285"/>
      <c r="AF145" s="285"/>
      <c r="AG145" s="285"/>
      <c r="AH145" s="285"/>
      <c r="AI145" s="285"/>
      <c r="AJ145" s="285"/>
      <c r="AK145" s="285"/>
    </row>
    <row r="146"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B146" s="285"/>
      <c r="AC146" s="285"/>
      <c r="AD146" s="285"/>
      <c r="AE146" s="285"/>
      <c r="AF146" s="285"/>
      <c r="AG146" s="285"/>
      <c r="AH146" s="285"/>
      <c r="AI146" s="285"/>
      <c r="AJ146" s="285"/>
      <c r="AK146" s="285"/>
    </row>
    <row r="147"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  <c r="AB147" s="285"/>
      <c r="AC147" s="285"/>
      <c r="AD147" s="285"/>
      <c r="AE147" s="285"/>
      <c r="AF147" s="285"/>
      <c r="AG147" s="285"/>
      <c r="AH147" s="285"/>
      <c r="AI147" s="285"/>
      <c r="AJ147" s="285"/>
      <c r="AK147" s="285"/>
    </row>
    <row r="148"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B148" s="285"/>
      <c r="AC148" s="285"/>
      <c r="AD148" s="285"/>
      <c r="AE148" s="285"/>
      <c r="AF148" s="285"/>
      <c r="AG148" s="285"/>
      <c r="AH148" s="285"/>
      <c r="AI148" s="285"/>
      <c r="AJ148" s="285"/>
      <c r="AK148" s="285"/>
    </row>
    <row r="149"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B149" s="285"/>
      <c r="AC149" s="285"/>
      <c r="AD149" s="285"/>
      <c r="AE149" s="285"/>
      <c r="AF149" s="285"/>
      <c r="AG149" s="285"/>
      <c r="AH149" s="285"/>
      <c r="AI149" s="285"/>
      <c r="AJ149" s="285"/>
      <c r="AK149" s="285"/>
    </row>
    <row r="150"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B150" s="285"/>
      <c r="AC150" s="285"/>
      <c r="AD150" s="285"/>
      <c r="AE150" s="285"/>
      <c r="AF150" s="285"/>
      <c r="AG150" s="285"/>
      <c r="AH150" s="285"/>
      <c r="AI150" s="285"/>
      <c r="AJ150" s="285"/>
      <c r="AK150" s="285"/>
    </row>
    <row r="151"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B151" s="285"/>
      <c r="AC151" s="285"/>
      <c r="AD151" s="285"/>
      <c r="AE151" s="285"/>
      <c r="AF151" s="285"/>
      <c r="AG151" s="285"/>
      <c r="AH151" s="285"/>
      <c r="AI151" s="285"/>
      <c r="AJ151" s="285"/>
      <c r="AK151" s="285"/>
    </row>
    <row r="152"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B152" s="285"/>
      <c r="AC152" s="285"/>
      <c r="AD152" s="285"/>
      <c r="AE152" s="285"/>
      <c r="AF152" s="285"/>
      <c r="AG152" s="285"/>
      <c r="AH152" s="285"/>
      <c r="AI152" s="285"/>
      <c r="AJ152" s="285"/>
      <c r="AK152" s="285"/>
    </row>
    <row r="153"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B153" s="285"/>
      <c r="AC153" s="285"/>
      <c r="AD153" s="285"/>
      <c r="AE153" s="285"/>
      <c r="AF153" s="285"/>
      <c r="AG153" s="285"/>
      <c r="AH153" s="285"/>
      <c r="AI153" s="285"/>
      <c r="AJ153" s="285"/>
      <c r="AK153" s="285"/>
    </row>
    <row r="154"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B154" s="285"/>
      <c r="AC154" s="285"/>
      <c r="AD154" s="285"/>
      <c r="AE154" s="285"/>
      <c r="AF154" s="285"/>
      <c r="AG154" s="285"/>
      <c r="AH154" s="285"/>
      <c r="AI154" s="285"/>
      <c r="AJ154" s="285"/>
      <c r="AK154" s="285"/>
    </row>
    <row r="155"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B155" s="285"/>
      <c r="AC155" s="285"/>
      <c r="AD155" s="285"/>
      <c r="AE155" s="285"/>
      <c r="AF155" s="285"/>
      <c r="AG155" s="285"/>
      <c r="AH155" s="285"/>
      <c r="AI155" s="285"/>
      <c r="AJ155" s="285"/>
      <c r="AK155" s="285"/>
    </row>
    <row r="156"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  <c r="AB156" s="285"/>
      <c r="AC156" s="285"/>
      <c r="AD156" s="285"/>
      <c r="AE156" s="285"/>
      <c r="AF156" s="285"/>
      <c r="AG156" s="285"/>
      <c r="AH156" s="285"/>
      <c r="AI156" s="285"/>
      <c r="AJ156" s="285"/>
      <c r="AK156" s="285"/>
    </row>
    <row r="157"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B157" s="285"/>
      <c r="AC157" s="285"/>
      <c r="AD157" s="285"/>
      <c r="AE157" s="285"/>
      <c r="AF157" s="285"/>
      <c r="AG157" s="285"/>
      <c r="AH157" s="285"/>
      <c r="AI157" s="285"/>
      <c r="AJ157" s="285"/>
      <c r="AK157" s="285"/>
    </row>
    <row r="158"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B158" s="285"/>
      <c r="AC158" s="285"/>
      <c r="AD158" s="285"/>
      <c r="AE158" s="285"/>
      <c r="AF158" s="285"/>
      <c r="AG158" s="285"/>
      <c r="AH158" s="285"/>
      <c r="AI158" s="285"/>
      <c r="AJ158" s="285"/>
      <c r="AK158" s="285"/>
    </row>
    <row r="159"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B159" s="285"/>
      <c r="AC159" s="285"/>
      <c r="AD159" s="285"/>
      <c r="AE159" s="285"/>
      <c r="AF159" s="285"/>
      <c r="AG159" s="285"/>
      <c r="AH159" s="285"/>
      <c r="AI159" s="285"/>
      <c r="AJ159" s="285"/>
      <c r="AK159" s="285"/>
    </row>
    <row r="160"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B160" s="285"/>
      <c r="AC160" s="285"/>
      <c r="AD160" s="285"/>
      <c r="AE160" s="285"/>
      <c r="AF160" s="285"/>
      <c r="AG160" s="285"/>
      <c r="AH160" s="285"/>
      <c r="AI160" s="285"/>
      <c r="AJ160" s="285"/>
      <c r="AK160" s="285"/>
    </row>
    <row r="161"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B161" s="285"/>
      <c r="AC161" s="285"/>
      <c r="AD161" s="285"/>
      <c r="AE161" s="285"/>
      <c r="AF161" s="285"/>
      <c r="AG161" s="285"/>
      <c r="AH161" s="285"/>
      <c r="AI161" s="285"/>
      <c r="AJ161" s="285"/>
      <c r="AK161" s="285"/>
    </row>
    <row r="162"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  <c r="AB162" s="285"/>
      <c r="AC162" s="285"/>
      <c r="AD162" s="285"/>
      <c r="AE162" s="285"/>
      <c r="AF162" s="285"/>
      <c r="AG162" s="285"/>
      <c r="AH162" s="285"/>
      <c r="AI162" s="285"/>
      <c r="AJ162" s="285"/>
      <c r="AK162" s="285"/>
    </row>
    <row r="163"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B163" s="285"/>
      <c r="AC163" s="285"/>
      <c r="AD163" s="285"/>
      <c r="AE163" s="285"/>
      <c r="AF163" s="285"/>
      <c r="AG163" s="285"/>
      <c r="AH163" s="285"/>
      <c r="AI163" s="285"/>
      <c r="AJ163" s="285"/>
      <c r="AK163" s="285"/>
    </row>
    <row r="164"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B164" s="285"/>
      <c r="AC164" s="285"/>
      <c r="AD164" s="285"/>
      <c r="AE164" s="285"/>
      <c r="AF164" s="285"/>
      <c r="AG164" s="285"/>
      <c r="AH164" s="285"/>
      <c r="AI164" s="285"/>
      <c r="AJ164" s="285"/>
      <c r="AK164" s="285"/>
    </row>
    <row r="165"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B165" s="285"/>
      <c r="AC165" s="285"/>
      <c r="AD165" s="285"/>
      <c r="AE165" s="285"/>
      <c r="AF165" s="285"/>
      <c r="AG165" s="285"/>
      <c r="AH165" s="285"/>
      <c r="AI165" s="285"/>
      <c r="AJ165" s="285"/>
      <c r="AK165" s="285"/>
    </row>
    <row r="166"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B166" s="285"/>
      <c r="AC166" s="285"/>
      <c r="AD166" s="285"/>
      <c r="AE166" s="285"/>
      <c r="AF166" s="285"/>
      <c r="AG166" s="285"/>
      <c r="AH166" s="285"/>
      <c r="AI166" s="285"/>
      <c r="AJ166" s="285"/>
      <c r="AK166" s="285"/>
    </row>
    <row r="167"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B167" s="285"/>
      <c r="AC167" s="285"/>
      <c r="AD167" s="285"/>
      <c r="AE167" s="285"/>
      <c r="AF167" s="285"/>
      <c r="AG167" s="285"/>
      <c r="AH167" s="285"/>
      <c r="AI167" s="285"/>
      <c r="AJ167" s="285"/>
      <c r="AK167" s="285"/>
    </row>
    <row r="168"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B168" s="285"/>
      <c r="AC168" s="285"/>
      <c r="AD168" s="285"/>
      <c r="AE168" s="285"/>
      <c r="AF168" s="285"/>
      <c r="AG168" s="285"/>
      <c r="AH168" s="285"/>
      <c r="AI168" s="285"/>
      <c r="AJ168" s="285"/>
      <c r="AK168" s="285"/>
    </row>
    <row r="169"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B169" s="285"/>
      <c r="AC169" s="285"/>
      <c r="AD169" s="285"/>
      <c r="AE169" s="285"/>
      <c r="AF169" s="285"/>
      <c r="AG169" s="285"/>
      <c r="AH169" s="285"/>
      <c r="AI169" s="285"/>
      <c r="AJ169" s="285"/>
      <c r="AK169" s="285"/>
    </row>
    <row r="170"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B170" s="285"/>
      <c r="AC170" s="285"/>
      <c r="AD170" s="285"/>
      <c r="AE170" s="285"/>
      <c r="AF170" s="285"/>
      <c r="AG170" s="285"/>
      <c r="AH170" s="285"/>
      <c r="AI170" s="285"/>
      <c r="AJ170" s="285"/>
      <c r="AK170" s="285"/>
    </row>
    <row r="171"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B171" s="285"/>
      <c r="AC171" s="285"/>
      <c r="AD171" s="285"/>
      <c r="AE171" s="285"/>
      <c r="AF171" s="285"/>
      <c r="AG171" s="285"/>
      <c r="AH171" s="285"/>
      <c r="AI171" s="285"/>
      <c r="AJ171" s="285"/>
      <c r="AK171" s="285"/>
    </row>
    <row r="172"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B172" s="285"/>
      <c r="AC172" s="285"/>
      <c r="AD172" s="285"/>
      <c r="AE172" s="285"/>
      <c r="AF172" s="285"/>
      <c r="AG172" s="285"/>
      <c r="AH172" s="285"/>
      <c r="AI172" s="285"/>
      <c r="AJ172" s="285"/>
      <c r="AK172" s="285"/>
    </row>
    <row r="173"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B173" s="285"/>
      <c r="AC173" s="285"/>
      <c r="AD173" s="285"/>
      <c r="AE173" s="285"/>
      <c r="AF173" s="285"/>
      <c r="AG173" s="285"/>
      <c r="AH173" s="285"/>
      <c r="AI173" s="285"/>
      <c r="AJ173" s="285"/>
      <c r="AK173" s="285"/>
    </row>
    <row r="174"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B174" s="285"/>
      <c r="AC174" s="285"/>
      <c r="AD174" s="285"/>
      <c r="AE174" s="285"/>
      <c r="AF174" s="285"/>
      <c r="AG174" s="285"/>
      <c r="AH174" s="285"/>
      <c r="AI174" s="285"/>
      <c r="AJ174" s="285"/>
      <c r="AK174" s="285"/>
    </row>
    <row r="175"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  <c r="AB175" s="285"/>
      <c r="AC175" s="285"/>
      <c r="AD175" s="285"/>
      <c r="AE175" s="285"/>
      <c r="AF175" s="285"/>
      <c r="AG175" s="285"/>
      <c r="AH175" s="285"/>
      <c r="AI175" s="285"/>
      <c r="AJ175" s="285"/>
      <c r="AK175" s="285"/>
    </row>
    <row r="176"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B176" s="285"/>
      <c r="AC176" s="285"/>
      <c r="AD176" s="285"/>
      <c r="AE176" s="285"/>
      <c r="AF176" s="285"/>
      <c r="AG176" s="285"/>
      <c r="AH176" s="285"/>
      <c r="AI176" s="285"/>
      <c r="AJ176" s="285"/>
      <c r="AK176" s="285"/>
    </row>
    <row r="177"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B177" s="285"/>
      <c r="AC177" s="285"/>
      <c r="AD177" s="285"/>
      <c r="AE177" s="285"/>
      <c r="AF177" s="285"/>
      <c r="AG177" s="285"/>
      <c r="AH177" s="285"/>
      <c r="AI177" s="285"/>
      <c r="AJ177" s="285"/>
      <c r="AK177" s="285"/>
    </row>
    <row r="178"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B178" s="285"/>
      <c r="AC178" s="285"/>
      <c r="AD178" s="285"/>
      <c r="AE178" s="285"/>
      <c r="AF178" s="285"/>
      <c r="AG178" s="285"/>
      <c r="AH178" s="285"/>
      <c r="AI178" s="285"/>
      <c r="AJ178" s="285"/>
      <c r="AK178" s="285"/>
    </row>
    <row r="179"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B179" s="285"/>
      <c r="AC179" s="285"/>
      <c r="AD179" s="285"/>
      <c r="AE179" s="285"/>
      <c r="AF179" s="285"/>
      <c r="AG179" s="285"/>
      <c r="AH179" s="285"/>
      <c r="AI179" s="285"/>
      <c r="AJ179" s="285"/>
      <c r="AK179" s="285"/>
    </row>
    <row r="180"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B180" s="285"/>
      <c r="AC180" s="285"/>
      <c r="AD180" s="285"/>
      <c r="AE180" s="285"/>
      <c r="AF180" s="285"/>
      <c r="AG180" s="285"/>
      <c r="AH180" s="285"/>
      <c r="AI180" s="285"/>
      <c r="AJ180" s="285"/>
      <c r="AK180" s="285"/>
    </row>
    <row r="181"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B181" s="285"/>
      <c r="AC181" s="285"/>
      <c r="AD181" s="285"/>
      <c r="AE181" s="285"/>
      <c r="AF181" s="285"/>
      <c r="AG181" s="285"/>
      <c r="AH181" s="285"/>
      <c r="AI181" s="285"/>
      <c r="AJ181" s="285"/>
      <c r="AK181" s="285"/>
    </row>
    <row r="182"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B182" s="285"/>
      <c r="AC182" s="285"/>
      <c r="AD182" s="285"/>
      <c r="AE182" s="285"/>
      <c r="AF182" s="285"/>
      <c r="AG182" s="285"/>
      <c r="AH182" s="285"/>
      <c r="AI182" s="285"/>
      <c r="AJ182" s="285"/>
      <c r="AK182" s="285"/>
    </row>
    <row r="183"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B183" s="285"/>
      <c r="AC183" s="285"/>
      <c r="AD183" s="285"/>
      <c r="AE183" s="285"/>
      <c r="AF183" s="285"/>
      <c r="AG183" s="285"/>
      <c r="AH183" s="285"/>
      <c r="AI183" s="285"/>
      <c r="AJ183" s="285"/>
      <c r="AK183" s="285"/>
    </row>
    <row r="184"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B184" s="285"/>
      <c r="AC184" s="285"/>
      <c r="AD184" s="285"/>
      <c r="AE184" s="285"/>
      <c r="AF184" s="285"/>
      <c r="AG184" s="285"/>
      <c r="AH184" s="285"/>
      <c r="AI184" s="285"/>
      <c r="AJ184" s="285"/>
      <c r="AK184" s="285"/>
    </row>
    <row r="185"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B185" s="285"/>
      <c r="AC185" s="285"/>
      <c r="AD185" s="285"/>
      <c r="AE185" s="285"/>
      <c r="AF185" s="285"/>
      <c r="AG185" s="285"/>
      <c r="AH185" s="285"/>
      <c r="AI185" s="285"/>
      <c r="AJ185" s="285"/>
      <c r="AK185" s="285"/>
    </row>
    <row r="186"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B186" s="285"/>
      <c r="AC186" s="285"/>
      <c r="AD186" s="285"/>
      <c r="AE186" s="285"/>
      <c r="AF186" s="285"/>
      <c r="AG186" s="285"/>
      <c r="AH186" s="285"/>
      <c r="AI186" s="285"/>
      <c r="AJ186" s="285"/>
      <c r="AK186" s="285"/>
    </row>
    <row r="187"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B187" s="285"/>
      <c r="AC187" s="285"/>
      <c r="AD187" s="285"/>
      <c r="AE187" s="285"/>
      <c r="AF187" s="285"/>
      <c r="AG187" s="285"/>
      <c r="AH187" s="285"/>
      <c r="AI187" s="285"/>
      <c r="AJ187" s="285"/>
      <c r="AK187" s="285"/>
    </row>
    <row r="188"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  <c r="AB188" s="285"/>
      <c r="AC188" s="285"/>
      <c r="AD188" s="285"/>
      <c r="AE188" s="285"/>
      <c r="AF188" s="285"/>
      <c r="AG188" s="285"/>
      <c r="AH188" s="285"/>
      <c r="AI188" s="285"/>
      <c r="AJ188" s="285"/>
      <c r="AK188" s="285"/>
    </row>
    <row r="189"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B189" s="285"/>
      <c r="AC189" s="285"/>
      <c r="AD189" s="285"/>
      <c r="AE189" s="285"/>
      <c r="AF189" s="285"/>
      <c r="AG189" s="285"/>
      <c r="AH189" s="285"/>
      <c r="AI189" s="285"/>
      <c r="AJ189" s="285"/>
      <c r="AK189" s="285"/>
    </row>
    <row r="190"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B190" s="285"/>
      <c r="AC190" s="285"/>
      <c r="AD190" s="285"/>
      <c r="AE190" s="285"/>
      <c r="AF190" s="285"/>
      <c r="AG190" s="285"/>
      <c r="AH190" s="285"/>
      <c r="AI190" s="285"/>
      <c r="AJ190" s="285"/>
      <c r="AK190" s="285"/>
    </row>
    <row r="191"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B191" s="285"/>
      <c r="AC191" s="285"/>
      <c r="AD191" s="285"/>
      <c r="AE191" s="285"/>
      <c r="AF191" s="285"/>
      <c r="AG191" s="285"/>
      <c r="AH191" s="285"/>
      <c r="AI191" s="285"/>
      <c r="AJ191" s="285"/>
      <c r="AK191" s="285"/>
    </row>
    <row r="192"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B192" s="285"/>
      <c r="AC192" s="285"/>
      <c r="AD192" s="285"/>
      <c r="AE192" s="285"/>
      <c r="AF192" s="285"/>
      <c r="AG192" s="285"/>
      <c r="AH192" s="285"/>
      <c r="AI192" s="285"/>
      <c r="AJ192" s="285"/>
      <c r="AK192" s="285"/>
    </row>
    <row r="193"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  <c r="AB193" s="285"/>
      <c r="AC193" s="285"/>
      <c r="AD193" s="285"/>
      <c r="AE193" s="285"/>
      <c r="AF193" s="285"/>
      <c r="AG193" s="285"/>
      <c r="AH193" s="285"/>
      <c r="AI193" s="285"/>
      <c r="AJ193" s="285"/>
      <c r="AK193" s="285"/>
    </row>
    <row r="194"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B194" s="285"/>
      <c r="AC194" s="285"/>
      <c r="AD194" s="285"/>
      <c r="AE194" s="285"/>
      <c r="AF194" s="285"/>
      <c r="AG194" s="285"/>
      <c r="AH194" s="285"/>
      <c r="AI194" s="285"/>
      <c r="AJ194" s="285"/>
      <c r="AK194" s="285"/>
    </row>
    <row r="195"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B195" s="285"/>
      <c r="AC195" s="285"/>
      <c r="AD195" s="285"/>
      <c r="AE195" s="285"/>
      <c r="AF195" s="285"/>
      <c r="AG195" s="285"/>
      <c r="AH195" s="285"/>
      <c r="AI195" s="285"/>
      <c r="AJ195" s="285"/>
      <c r="AK195" s="285"/>
    </row>
    <row r="196"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  <c r="AB196" s="285"/>
      <c r="AC196" s="285"/>
      <c r="AD196" s="285"/>
      <c r="AE196" s="285"/>
      <c r="AF196" s="285"/>
      <c r="AG196" s="285"/>
      <c r="AH196" s="285"/>
      <c r="AI196" s="285"/>
      <c r="AJ196" s="285"/>
      <c r="AK196" s="285"/>
    </row>
    <row r="197"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B197" s="285"/>
      <c r="AC197" s="285"/>
      <c r="AD197" s="285"/>
      <c r="AE197" s="285"/>
      <c r="AF197" s="285"/>
      <c r="AG197" s="285"/>
      <c r="AH197" s="285"/>
      <c r="AI197" s="285"/>
      <c r="AJ197" s="285"/>
      <c r="AK197" s="285"/>
    </row>
    <row r="198"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B198" s="285"/>
      <c r="AC198" s="285"/>
      <c r="AD198" s="285"/>
      <c r="AE198" s="285"/>
      <c r="AF198" s="285"/>
      <c r="AG198" s="285"/>
      <c r="AH198" s="285"/>
      <c r="AI198" s="285"/>
      <c r="AJ198" s="285"/>
      <c r="AK198" s="285"/>
    </row>
    <row r="199"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B199" s="285"/>
      <c r="AC199" s="285"/>
      <c r="AD199" s="285"/>
      <c r="AE199" s="285"/>
      <c r="AF199" s="285"/>
      <c r="AG199" s="285"/>
      <c r="AH199" s="285"/>
      <c r="AI199" s="285"/>
      <c r="AJ199" s="285"/>
      <c r="AK199" s="285"/>
    </row>
    <row r="200"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B200" s="285"/>
      <c r="AC200" s="285"/>
      <c r="AD200" s="285"/>
      <c r="AE200" s="285"/>
      <c r="AF200" s="285"/>
      <c r="AG200" s="285"/>
      <c r="AH200" s="285"/>
      <c r="AI200" s="285"/>
      <c r="AJ200" s="285"/>
      <c r="AK200" s="285"/>
    </row>
    <row r="201"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B201" s="285"/>
      <c r="AC201" s="285"/>
      <c r="AD201" s="285"/>
      <c r="AE201" s="285"/>
      <c r="AF201" s="285"/>
      <c r="AG201" s="285"/>
      <c r="AH201" s="285"/>
      <c r="AI201" s="285"/>
      <c r="AJ201" s="285"/>
      <c r="AK201" s="285"/>
    </row>
    <row r="202"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B202" s="285"/>
      <c r="AC202" s="285"/>
      <c r="AD202" s="285"/>
      <c r="AE202" s="285"/>
      <c r="AF202" s="285"/>
      <c r="AG202" s="285"/>
      <c r="AH202" s="285"/>
      <c r="AI202" s="285"/>
      <c r="AJ202" s="285"/>
      <c r="AK202" s="285"/>
    </row>
    <row r="203"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B203" s="285"/>
      <c r="AC203" s="285"/>
      <c r="AD203" s="285"/>
      <c r="AE203" s="285"/>
      <c r="AF203" s="285"/>
      <c r="AG203" s="285"/>
      <c r="AH203" s="285"/>
      <c r="AI203" s="285"/>
      <c r="AJ203" s="285"/>
      <c r="AK203" s="285"/>
    </row>
    <row r="204"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B204" s="285"/>
      <c r="AC204" s="285"/>
      <c r="AD204" s="285"/>
      <c r="AE204" s="285"/>
      <c r="AF204" s="285"/>
      <c r="AG204" s="285"/>
      <c r="AH204" s="285"/>
      <c r="AI204" s="285"/>
      <c r="AJ204" s="285"/>
      <c r="AK204" s="285"/>
    </row>
    <row r="205"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B205" s="285"/>
      <c r="AC205" s="285"/>
      <c r="AD205" s="285"/>
      <c r="AE205" s="285"/>
      <c r="AF205" s="285"/>
      <c r="AG205" s="285"/>
      <c r="AH205" s="285"/>
      <c r="AI205" s="285"/>
      <c r="AJ205" s="285"/>
      <c r="AK205" s="285"/>
    </row>
    <row r="206"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B206" s="285"/>
      <c r="AC206" s="285"/>
      <c r="AD206" s="285"/>
      <c r="AE206" s="285"/>
      <c r="AF206" s="285"/>
      <c r="AG206" s="285"/>
      <c r="AH206" s="285"/>
      <c r="AI206" s="285"/>
      <c r="AJ206" s="285"/>
      <c r="AK206" s="285"/>
    </row>
    <row r="207"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B207" s="285"/>
      <c r="AC207" s="285"/>
      <c r="AD207" s="285"/>
      <c r="AE207" s="285"/>
      <c r="AF207" s="285"/>
      <c r="AG207" s="285"/>
      <c r="AH207" s="285"/>
      <c r="AI207" s="285"/>
      <c r="AJ207" s="285"/>
      <c r="AK207" s="285"/>
    </row>
    <row r="208"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B208" s="285"/>
      <c r="AC208" s="285"/>
      <c r="AD208" s="285"/>
      <c r="AE208" s="285"/>
      <c r="AF208" s="285"/>
      <c r="AG208" s="285"/>
      <c r="AH208" s="285"/>
      <c r="AI208" s="285"/>
      <c r="AJ208" s="285"/>
      <c r="AK208" s="285"/>
    </row>
    <row r="209"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B209" s="285"/>
      <c r="AC209" s="285"/>
      <c r="AD209" s="285"/>
      <c r="AE209" s="285"/>
      <c r="AF209" s="285"/>
      <c r="AG209" s="285"/>
      <c r="AH209" s="285"/>
      <c r="AI209" s="285"/>
      <c r="AJ209" s="285"/>
      <c r="AK209" s="285"/>
    </row>
    <row r="210"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  <c r="AB210" s="285"/>
      <c r="AC210" s="285"/>
      <c r="AD210" s="285"/>
      <c r="AE210" s="285"/>
      <c r="AF210" s="285"/>
      <c r="AG210" s="285"/>
      <c r="AH210" s="285"/>
      <c r="AI210" s="285"/>
      <c r="AJ210" s="285"/>
      <c r="AK210" s="285"/>
    </row>
    <row r="211"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B211" s="285"/>
      <c r="AC211" s="285"/>
      <c r="AD211" s="285"/>
      <c r="AE211" s="285"/>
      <c r="AF211" s="285"/>
      <c r="AG211" s="285"/>
      <c r="AH211" s="285"/>
      <c r="AI211" s="285"/>
      <c r="AJ211" s="285"/>
      <c r="AK211" s="285"/>
    </row>
    <row r="212"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B212" s="285"/>
      <c r="AC212" s="285"/>
      <c r="AD212" s="285"/>
      <c r="AE212" s="285"/>
      <c r="AF212" s="285"/>
      <c r="AG212" s="285"/>
      <c r="AH212" s="285"/>
      <c r="AI212" s="285"/>
      <c r="AJ212" s="285"/>
      <c r="AK212" s="285"/>
    </row>
    <row r="213"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B213" s="285"/>
      <c r="AC213" s="285"/>
      <c r="AD213" s="285"/>
      <c r="AE213" s="285"/>
      <c r="AF213" s="285"/>
      <c r="AG213" s="285"/>
      <c r="AH213" s="285"/>
      <c r="AI213" s="285"/>
      <c r="AJ213" s="285"/>
      <c r="AK213" s="285"/>
    </row>
    <row r="214"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B214" s="285"/>
      <c r="AC214" s="285"/>
      <c r="AD214" s="285"/>
      <c r="AE214" s="285"/>
      <c r="AF214" s="285"/>
      <c r="AG214" s="285"/>
      <c r="AH214" s="285"/>
      <c r="AI214" s="285"/>
      <c r="AJ214" s="285"/>
      <c r="AK214" s="285"/>
    </row>
    <row r="215"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B215" s="285"/>
      <c r="AC215" s="285"/>
      <c r="AD215" s="285"/>
      <c r="AE215" s="285"/>
      <c r="AF215" s="285"/>
      <c r="AG215" s="285"/>
      <c r="AH215" s="285"/>
      <c r="AI215" s="285"/>
      <c r="AJ215" s="285"/>
      <c r="AK215" s="285"/>
    </row>
    <row r="216"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B216" s="285"/>
      <c r="AC216" s="285"/>
      <c r="AD216" s="285"/>
      <c r="AE216" s="285"/>
      <c r="AF216" s="285"/>
      <c r="AG216" s="285"/>
      <c r="AH216" s="285"/>
      <c r="AI216" s="285"/>
      <c r="AJ216" s="285"/>
      <c r="AK216" s="285"/>
    </row>
    <row r="217"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B217" s="285"/>
      <c r="AC217" s="285"/>
      <c r="AD217" s="285"/>
      <c r="AE217" s="285"/>
      <c r="AF217" s="285"/>
      <c r="AG217" s="285"/>
      <c r="AH217" s="285"/>
      <c r="AI217" s="285"/>
      <c r="AJ217" s="285"/>
      <c r="AK217" s="285"/>
    </row>
    <row r="218"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B218" s="285"/>
      <c r="AC218" s="285"/>
      <c r="AD218" s="285"/>
      <c r="AE218" s="285"/>
      <c r="AF218" s="285"/>
      <c r="AG218" s="285"/>
      <c r="AH218" s="285"/>
      <c r="AI218" s="285"/>
      <c r="AJ218" s="285"/>
      <c r="AK218" s="285"/>
    </row>
    <row r="219"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B219" s="285"/>
      <c r="AC219" s="285"/>
      <c r="AD219" s="285"/>
      <c r="AE219" s="285"/>
      <c r="AF219" s="285"/>
      <c r="AG219" s="285"/>
      <c r="AH219" s="285"/>
      <c r="AI219" s="285"/>
      <c r="AJ219" s="285"/>
      <c r="AK219" s="285"/>
    </row>
    <row r="220"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B220" s="285"/>
      <c r="AC220" s="285"/>
      <c r="AD220" s="285"/>
      <c r="AE220" s="285"/>
      <c r="AF220" s="285"/>
      <c r="AG220" s="285"/>
      <c r="AH220" s="285"/>
      <c r="AI220" s="285"/>
      <c r="AJ220" s="285"/>
      <c r="AK220" s="285"/>
    </row>
    <row r="221"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B221" s="285"/>
      <c r="AC221" s="285"/>
      <c r="AD221" s="285"/>
      <c r="AE221" s="285"/>
      <c r="AF221" s="285"/>
      <c r="AG221" s="285"/>
      <c r="AH221" s="285"/>
      <c r="AI221" s="285"/>
      <c r="AJ221" s="285"/>
      <c r="AK221" s="285"/>
    </row>
    <row r="222"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B222" s="285"/>
      <c r="AC222" s="285"/>
      <c r="AD222" s="285"/>
      <c r="AE222" s="285"/>
      <c r="AF222" s="285"/>
      <c r="AG222" s="285"/>
      <c r="AH222" s="285"/>
      <c r="AI222" s="285"/>
      <c r="AJ222" s="285"/>
      <c r="AK222" s="285"/>
    </row>
    <row r="223"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B223" s="285"/>
      <c r="AC223" s="285"/>
      <c r="AD223" s="285"/>
      <c r="AE223" s="285"/>
      <c r="AF223" s="285"/>
      <c r="AG223" s="285"/>
      <c r="AH223" s="285"/>
      <c r="AI223" s="285"/>
      <c r="AJ223" s="285"/>
      <c r="AK223" s="285"/>
    </row>
    <row r="224"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B224" s="285"/>
      <c r="AC224" s="285"/>
      <c r="AD224" s="285"/>
      <c r="AE224" s="285"/>
      <c r="AF224" s="285"/>
      <c r="AG224" s="285"/>
      <c r="AH224" s="285"/>
      <c r="AI224" s="285"/>
      <c r="AJ224" s="285"/>
      <c r="AK224" s="285"/>
    </row>
    <row r="225"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B225" s="285"/>
      <c r="AC225" s="285"/>
      <c r="AD225" s="285"/>
      <c r="AE225" s="285"/>
      <c r="AF225" s="285"/>
      <c r="AG225" s="285"/>
      <c r="AH225" s="285"/>
      <c r="AI225" s="285"/>
      <c r="AJ225" s="285"/>
      <c r="AK225" s="285"/>
    </row>
    <row r="226"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  <c r="AB226" s="285"/>
      <c r="AC226" s="285"/>
      <c r="AD226" s="285"/>
      <c r="AE226" s="285"/>
      <c r="AF226" s="285"/>
      <c r="AG226" s="285"/>
      <c r="AH226" s="285"/>
      <c r="AI226" s="285"/>
      <c r="AJ226" s="285"/>
      <c r="AK226" s="285"/>
    </row>
    <row r="227"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B227" s="285"/>
      <c r="AC227" s="285"/>
      <c r="AD227" s="285"/>
      <c r="AE227" s="285"/>
      <c r="AF227" s="285"/>
      <c r="AG227" s="285"/>
      <c r="AH227" s="285"/>
      <c r="AI227" s="285"/>
      <c r="AJ227" s="285"/>
      <c r="AK227" s="285"/>
    </row>
    <row r="228"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B228" s="285"/>
      <c r="AC228" s="285"/>
      <c r="AD228" s="285"/>
      <c r="AE228" s="285"/>
      <c r="AF228" s="285"/>
      <c r="AG228" s="285"/>
      <c r="AH228" s="285"/>
      <c r="AI228" s="285"/>
      <c r="AJ228" s="285"/>
      <c r="AK228" s="285"/>
    </row>
    <row r="229"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B229" s="285"/>
      <c r="AC229" s="285"/>
      <c r="AD229" s="285"/>
      <c r="AE229" s="285"/>
      <c r="AF229" s="285"/>
      <c r="AG229" s="285"/>
      <c r="AH229" s="285"/>
      <c r="AI229" s="285"/>
      <c r="AJ229" s="285"/>
      <c r="AK229" s="285"/>
    </row>
    <row r="230"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B230" s="285"/>
      <c r="AC230" s="285"/>
      <c r="AD230" s="285"/>
      <c r="AE230" s="285"/>
      <c r="AF230" s="285"/>
      <c r="AG230" s="285"/>
      <c r="AH230" s="285"/>
      <c r="AI230" s="285"/>
      <c r="AJ230" s="285"/>
      <c r="AK230" s="285"/>
    </row>
    <row r="231"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B231" s="285"/>
      <c r="AC231" s="285"/>
      <c r="AD231" s="285"/>
      <c r="AE231" s="285"/>
      <c r="AF231" s="285"/>
      <c r="AG231" s="285"/>
      <c r="AH231" s="285"/>
      <c r="AI231" s="285"/>
      <c r="AJ231" s="285"/>
      <c r="AK231" s="285"/>
    </row>
    <row r="232"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B232" s="285"/>
      <c r="AC232" s="285"/>
      <c r="AD232" s="285"/>
      <c r="AE232" s="285"/>
      <c r="AF232" s="285"/>
      <c r="AG232" s="285"/>
      <c r="AH232" s="285"/>
      <c r="AI232" s="285"/>
      <c r="AJ232" s="285"/>
      <c r="AK232" s="285"/>
    </row>
    <row r="233"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B233" s="285"/>
      <c r="AC233" s="285"/>
      <c r="AD233" s="285"/>
      <c r="AE233" s="285"/>
      <c r="AF233" s="285"/>
      <c r="AG233" s="285"/>
      <c r="AH233" s="285"/>
      <c r="AI233" s="285"/>
      <c r="AJ233" s="285"/>
      <c r="AK233" s="285"/>
    </row>
    <row r="234"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B234" s="285"/>
      <c r="AC234" s="285"/>
      <c r="AD234" s="285"/>
      <c r="AE234" s="285"/>
      <c r="AF234" s="285"/>
      <c r="AG234" s="285"/>
      <c r="AH234" s="285"/>
      <c r="AI234" s="285"/>
      <c r="AJ234" s="285"/>
      <c r="AK234" s="285"/>
    </row>
    <row r="235"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B235" s="285"/>
      <c r="AC235" s="285"/>
      <c r="AD235" s="285"/>
      <c r="AE235" s="285"/>
      <c r="AF235" s="285"/>
      <c r="AG235" s="285"/>
      <c r="AH235" s="285"/>
      <c r="AI235" s="285"/>
      <c r="AJ235" s="285"/>
      <c r="AK235" s="285"/>
    </row>
    <row r="236"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  <c r="AB236" s="285"/>
      <c r="AC236" s="285"/>
      <c r="AD236" s="285"/>
      <c r="AE236" s="285"/>
      <c r="AF236" s="285"/>
      <c r="AG236" s="285"/>
      <c r="AH236" s="285"/>
      <c r="AI236" s="285"/>
      <c r="AJ236" s="285"/>
      <c r="AK236" s="285"/>
    </row>
    <row r="237"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B237" s="285"/>
      <c r="AC237" s="285"/>
      <c r="AD237" s="285"/>
      <c r="AE237" s="285"/>
      <c r="AF237" s="285"/>
      <c r="AG237" s="285"/>
      <c r="AH237" s="285"/>
      <c r="AI237" s="285"/>
      <c r="AJ237" s="285"/>
      <c r="AK237" s="285"/>
    </row>
    <row r="238"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B238" s="285"/>
      <c r="AC238" s="285"/>
      <c r="AD238" s="285"/>
      <c r="AE238" s="285"/>
      <c r="AF238" s="285"/>
      <c r="AG238" s="285"/>
      <c r="AH238" s="285"/>
      <c r="AI238" s="285"/>
      <c r="AJ238" s="285"/>
      <c r="AK238" s="285"/>
    </row>
    <row r="239"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B239" s="285"/>
      <c r="AC239" s="285"/>
      <c r="AD239" s="285"/>
      <c r="AE239" s="285"/>
      <c r="AF239" s="285"/>
      <c r="AG239" s="285"/>
      <c r="AH239" s="285"/>
      <c r="AI239" s="285"/>
      <c r="AJ239" s="285"/>
      <c r="AK239" s="285"/>
    </row>
    <row r="240"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B240" s="285"/>
      <c r="AC240" s="285"/>
      <c r="AD240" s="285"/>
      <c r="AE240" s="285"/>
      <c r="AF240" s="285"/>
      <c r="AG240" s="285"/>
      <c r="AH240" s="285"/>
      <c r="AI240" s="285"/>
      <c r="AJ240" s="285"/>
      <c r="AK240" s="285"/>
    </row>
    <row r="241"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B241" s="285"/>
      <c r="AC241" s="285"/>
      <c r="AD241" s="285"/>
      <c r="AE241" s="285"/>
      <c r="AF241" s="285"/>
      <c r="AG241" s="285"/>
      <c r="AH241" s="285"/>
      <c r="AI241" s="285"/>
      <c r="AJ241" s="285"/>
      <c r="AK241" s="285"/>
    </row>
    <row r="242"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B242" s="285"/>
      <c r="AC242" s="285"/>
      <c r="AD242" s="285"/>
      <c r="AE242" s="285"/>
      <c r="AF242" s="285"/>
      <c r="AG242" s="285"/>
      <c r="AH242" s="285"/>
      <c r="AI242" s="285"/>
      <c r="AJ242" s="285"/>
      <c r="AK242" s="285"/>
    </row>
    <row r="243"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B243" s="285"/>
      <c r="AC243" s="285"/>
      <c r="AD243" s="285"/>
      <c r="AE243" s="285"/>
      <c r="AF243" s="285"/>
      <c r="AG243" s="285"/>
      <c r="AH243" s="285"/>
      <c r="AI243" s="285"/>
      <c r="AJ243" s="285"/>
      <c r="AK243" s="285"/>
    </row>
    <row r="244"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B244" s="285"/>
      <c r="AC244" s="285"/>
      <c r="AD244" s="285"/>
      <c r="AE244" s="285"/>
      <c r="AF244" s="285"/>
      <c r="AG244" s="285"/>
      <c r="AH244" s="285"/>
      <c r="AI244" s="285"/>
      <c r="AJ244" s="285"/>
      <c r="AK244" s="285"/>
    </row>
    <row r="245"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B245" s="285"/>
      <c r="AC245" s="285"/>
      <c r="AD245" s="285"/>
      <c r="AE245" s="285"/>
      <c r="AF245" s="285"/>
      <c r="AG245" s="285"/>
      <c r="AH245" s="285"/>
      <c r="AI245" s="285"/>
      <c r="AJ245" s="285"/>
      <c r="AK245" s="285"/>
    </row>
    <row r="246"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B246" s="285"/>
      <c r="AC246" s="285"/>
      <c r="AD246" s="285"/>
      <c r="AE246" s="285"/>
      <c r="AF246" s="285"/>
      <c r="AG246" s="285"/>
      <c r="AH246" s="285"/>
      <c r="AI246" s="285"/>
      <c r="AJ246" s="285"/>
      <c r="AK246" s="285"/>
    </row>
    <row r="247"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B247" s="285"/>
      <c r="AC247" s="285"/>
      <c r="AD247" s="285"/>
      <c r="AE247" s="285"/>
      <c r="AF247" s="285"/>
      <c r="AG247" s="285"/>
      <c r="AH247" s="285"/>
      <c r="AI247" s="285"/>
      <c r="AJ247" s="285"/>
      <c r="AK247" s="285"/>
    </row>
    <row r="248"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B248" s="285"/>
      <c r="AC248" s="285"/>
      <c r="AD248" s="285"/>
      <c r="AE248" s="285"/>
      <c r="AF248" s="285"/>
      <c r="AG248" s="285"/>
      <c r="AH248" s="285"/>
      <c r="AI248" s="285"/>
      <c r="AJ248" s="285"/>
      <c r="AK248" s="285"/>
    </row>
    <row r="249"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B249" s="285"/>
      <c r="AC249" s="285"/>
      <c r="AD249" s="285"/>
      <c r="AE249" s="285"/>
      <c r="AF249" s="285"/>
      <c r="AG249" s="285"/>
      <c r="AH249" s="285"/>
      <c r="AI249" s="285"/>
      <c r="AJ249" s="285"/>
      <c r="AK249" s="285"/>
    </row>
    <row r="250"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B250" s="285"/>
      <c r="AC250" s="285"/>
      <c r="AD250" s="285"/>
      <c r="AE250" s="285"/>
      <c r="AF250" s="285"/>
      <c r="AG250" s="285"/>
      <c r="AH250" s="285"/>
      <c r="AI250" s="285"/>
      <c r="AJ250" s="285"/>
      <c r="AK250" s="285"/>
    </row>
    <row r="251"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B251" s="285"/>
      <c r="AC251" s="285"/>
      <c r="AD251" s="285"/>
      <c r="AE251" s="285"/>
      <c r="AF251" s="285"/>
      <c r="AG251" s="285"/>
      <c r="AH251" s="285"/>
      <c r="AI251" s="285"/>
      <c r="AJ251" s="285"/>
      <c r="AK251" s="285"/>
    </row>
    <row r="252"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  <c r="AB252" s="285"/>
      <c r="AC252" s="285"/>
      <c r="AD252" s="285"/>
      <c r="AE252" s="285"/>
      <c r="AF252" s="285"/>
      <c r="AG252" s="285"/>
      <c r="AH252" s="285"/>
      <c r="AI252" s="285"/>
      <c r="AJ252" s="285"/>
      <c r="AK252" s="285"/>
    </row>
    <row r="253"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B253" s="285"/>
      <c r="AC253" s="285"/>
      <c r="AD253" s="285"/>
      <c r="AE253" s="285"/>
      <c r="AF253" s="285"/>
      <c r="AG253" s="285"/>
      <c r="AH253" s="285"/>
      <c r="AI253" s="285"/>
      <c r="AJ253" s="285"/>
      <c r="AK253" s="285"/>
    </row>
    <row r="254"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B254" s="285"/>
      <c r="AC254" s="285"/>
      <c r="AD254" s="285"/>
      <c r="AE254" s="285"/>
      <c r="AF254" s="285"/>
      <c r="AG254" s="285"/>
      <c r="AH254" s="285"/>
      <c r="AI254" s="285"/>
      <c r="AJ254" s="285"/>
      <c r="AK254" s="285"/>
    </row>
    <row r="255"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B255" s="285"/>
      <c r="AC255" s="285"/>
      <c r="AD255" s="285"/>
      <c r="AE255" s="285"/>
      <c r="AF255" s="285"/>
      <c r="AG255" s="285"/>
      <c r="AH255" s="285"/>
      <c r="AI255" s="285"/>
      <c r="AJ255" s="285"/>
      <c r="AK255" s="285"/>
    </row>
    <row r="256"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B256" s="285"/>
      <c r="AC256" s="285"/>
      <c r="AD256" s="285"/>
      <c r="AE256" s="285"/>
      <c r="AF256" s="285"/>
      <c r="AG256" s="285"/>
      <c r="AH256" s="285"/>
      <c r="AI256" s="285"/>
      <c r="AJ256" s="285"/>
      <c r="AK256" s="285"/>
    </row>
    <row r="257"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B257" s="285"/>
      <c r="AC257" s="285"/>
      <c r="AD257" s="285"/>
      <c r="AE257" s="285"/>
      <c r="AF257" s="285"/>
      <c r="AG257" s="285"/>
      <c r="AH257" s="285"/>
      <c r="AI257" s="285"/>
      <c r="AJ257" s="285"/>
      <c r="AK257" s="285"/>
    </row>
    <row r="258"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  <c r="AB258" s="285"/>
      <c r="AC258" s="285"/>
      <c r="AD258" s="285"/>
      <c r="AE258" s="285"/>
      <c r="AF258" s="285"/>
      <c r="AG258" s="285"/>
      <c r="AH258" s="285"/>
      <c r="AI258" s="285"/>
      <c r="AJ258" s="285"/>
      <c r="AK258" s="285"/>
    </row>
    <row r="259"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  <c r="AB259" s="285"/>
      <c r="AC259" s="285"/>
      <c r="AD259" s="285"/>
      <c r="AE259" s="285"/>
      <c r="AF259" s="285"/>
      <c r="AG259" s="285"/>
      <c r="AH259" s="285"/>
      <c r="AI259" s="285"/>
      <c r="AJ259" s="285"/>
      <c r="AK259" s="285"/>
    </row>
    <row r="260"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B260" s="285"/>
      <c r="AC260" s="285"/>
      <c r="AD260" s="285"/>
      <c r="AE260" s="285"/>
      <c r="AF260" s="285"/>
      <c r="AG260" s="285"/>
      <c r="AH260" s="285"/>
      <c r="AI260" s="285"/>
      <c r="AJ260" s="285"/>
      <c r="AK260" s="285"/>
    </row>
    <row r="261"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B261" s="285"/>
      <c r="AC261" s="285"/>
      <c r="AD261" s="285"/>
      <c r="AE261" s="285"/>
      <c r="AF261" s="285"/>
      <c r="AG261" s="285"/>
      <c r="AH261" s="285"/>
      <c r="AI261" s="285"/>
      <c r="AJ261" s="285"/>
      <c r="AK261" s="285"/>
    </row>
    <row r="262"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B262" s="285"/>
      <c r="AC262" s="285"/>
      <c r="AD262" s="285"/>
      <c r="AE262" s="285"/>
      <c r="AF262" s="285"/>
      <c r="AG262" s="285"/>
      <c r="AH262" s="285"/>
      <c r="AI262" s="285"/>
      <c r="AJ262" s="285"/>
      <c r="AK262" s="285"/>
    </row>
    <row r="263"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  <c r="AB263" s="285"/>
      <c r="AC263" s="285"/>
      <c r="AD263" s="285"/>
      <c r="AE263" s="285"/>
      <c r="AF263" s="285"/>
      <c r="AG263" s="285"/>
      <c r="AH263" s="285"/>
      <c r="AI263" s="285"/>
      <c r="AJ263" s="285"/>
      <c r="AK263" s="285"/>
    </row>
    <row r="264"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  <c r="AB264" s="285"/>
      <c r="AC264" s="285"/>
      <c r="AD264" s="285"/>
      <c r="AE264" s="285"/>
      <c r="AF264" s="285"/>
      <c r="AG264" s="285"/>
      <c r="AH264" s="285"/>
      <c r="AI264" s="285"/>
      <c r="AJ264" s="285"/>
      <c r="AK264" s="285"/>
    </row>
    <row r="265"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B265" s="285"/>
      <c r="AC265" s="285"/>
      <c r="AD265" s="285"/>
      <c r="AE265" s="285"/>
      <c r="AF265" s="285"/>
      <c r="AG265" s="285"/>
      <c r="AH265" s="285"/>
      <c r="AI265" s="285"/>
      <c r="AJ265" s="285"/>
      <c r="AK265" s="285"/>
    </row>
    <row r="266"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B266" s="285"/>
      <c r="AC266" s="285"/>
      <c r="AD266" s="285"/>
      <c r="AE266" s="285"/>
      <c r="AF266" s="285"/>
      <c r="AG266" s="285"/>
      <c r="AH266" s="285"/>
      <c r="AI266" s="285"/>
      <c r="AJ266" s="285"/>
      <c r="AK266" s="285"/>
    </row>
    <row r="267"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  <c r="AB267" s="285"/>
      <c r="AC267" s="285"/>
      <c r="AD267" s="285"/>
      <c r="AE267" s="285"/>
      <c r="AF267" s="285"/>
      <c r="AG267" s="285"/>
      <c r="AH267" s="285"/>
      <c r="AI267" s="285"/>
      <c r="AJ267" s="285"/>
      <c r="AK267" s="285"/>
    </row>
    <row r="268"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  <c r="AB268" s="285"/>
      <c r="AC268" s="285"/>
      <c r="AD268" s="285"/>
      <c r="AE268" s="285"/>
      <c r="AF268" s="285"/>
      <c r="AG268" s="285"/>
      <c r="AH268" s="285"/>
      <c r="AI268" s="285"/>
      <c r="AJ268" s="285"/>
      <c r="AK268" s="285"/>
    </row>
    <row r="269"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  <c r="AB269" s="285"/>
      <c r="AC269" s="285"/>
      <c r="AD269" s="285"/>
      <c r="AE269" s="285"/>
      <c r="AF269" s="285"/>
      <c r="AG269" s="285"/>
      <c r="AH269" s="285"/>
      <c r="AI269" s="285"/>
      <c r="AJ269" s="285"/>
      <c r="AK269" s="285"/>
    </row>
    <row r="270"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  <c r="AB270" s="285"/>
      <c r="AC270" s="285"/>
      <c r="AD270" s="285"/>
      <c r="AE270" s="285"/>
      <c r="AF270" s="285"/>
      <c r="AG270" s="285"/>
      <c r="AH270" s="285"/>
      <c r="AI270" s="285"/>
      <c r="AJ270" s="285"/>
      <c r="AK270" s="285"/>
    </row>
    <row r="271"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  <c r="AB271" s="285"/>
      <c r="AC271" s="285"/>
      <c r="AD271" s="285"/>
      <c r="AE271" s="285"/>
      <c r="AF271" s="285"/>
      <c r="AG271" s="285"/>
      <c r="AH271" s="285"/>
      <c r="AI271" s="285"/>
      <c r="AJ271" s="285"/>
      <c r="AK271" s="285"/>
    </row>
    <row r="272"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B272" s="285"/>
      <c r="AC272" s="285"/>
      <c r="AD272" s="285"/>
      <c r="AE272" s="285"/>
      <c r="AF272" s="285"/>
      <c r="AG272" s="285"/>
      <c r="AH272" s="285"/>
      <c r="AI272" s="285"/>
      <c r="AJ272" s="285"/>
      <c r="AK272" s="285"/>
    </row>
    <row r="273"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  <c r="AB273" s="285"/>
      <c r="AC273" s="285"/>
      <c r="AD273" s="285"/>
      <c r="AE273" s="285"/>
      <c r="AF273" s="285"/>
      <c r="AG273" s="285"/>
      <c r="AH273" s="285"/>
      <c r="AI273" s="285"/>
      <c r="AJ273" s="285"/>
      <c r="AK273" s="285"/>
    </row>
    <row r="274"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  <c r="AB274" s="285"/>
      <c r="AC274" s="285"/>
      <c r="AD274" s="285"/>
      <c r="AE274" s="285"/>
      <c r="AF274" s="285"/>
      <c r="AG274" s="285"/>
      <c r="AH274" s="285"/>
      <c r="AI274" s="285"/>
      <c r="AJ274" s="285"/>
      <c r="AK274" s="285"/>
    </row>
    <row r="275"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  <c r="AB275" s="285"/>
      <c r="AC275" s="285"/>
      <c r="AD275" s="285"/>
      <c r="AE275" s="285"/>
      <c r="AF275" s="285"/>
      <c r="AG275" s="285"/>
      <c r="AH275" s="285"/>
      <c r="AI275" s="285"/>
      <c r="AJ275" s="285"/>
      <c r="AK275" s="285"/>
    </row>
    <row r="276"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B276" s="285"/>
      <c r="AC276" s="285"/>
      <c r="AD276" s="285"/>
      <c r="AE276" s="285"/>
      <c r="AF276" s="285"/>
      <c r="AG276" s="285"/>
      <c r="AH276" s="285"/>
      <c r="AI276" s="285"/>
      <c r="AJ276" s="285"/>
      <c r="AK276" s="285"/>
    </row>
    <row r="277"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B277" s="285"/>
      <c r="AC277" s="285"/>
      <c r="AD277" s="285"/>
      <c r="AE277" s="285"/>
      <c r="AF277" s="285"/>
      <c r="AG277" s="285"/>
      <c r="AH277" s="285"/>
      <c r="AI277" s="285"/>
      <c r="AJ277" s="285"/>
      <c r="AK277" s="285"/>
    </row>
    <row r="278"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  <c r="AB278" s="285"/>
      <c r="AC278" s="285"/>
      <c r="AD278" s="285"/>
      <c r="AE278" s="285"/>
      <c r="AF278" s="285"/>
      <c r="AG278" s="285"/>
      <c r="AH278" s="285"/>
      <c r="AI278" s="285"/>
      <c r="AJ278" s="285"/>
      <c r="AK278" s="285"/>
    </row>
    <row r="279"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  <c r="AB279" s="285"/>
      <c r="AC279" s="285"/>
      <c r="AD279" s="285"/>
      <c r="AE279" s="285"/>
      <c r="AF279" s="285"/>
      <c r="AG279" s="285"/>
      <c r="AH279" s="285"/>
      <c r="AI279" s="285"/>
      <c r="AJ279" s="285"/>
      <c r="AK279" s="285"/>
    </row>
    <row r="280"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B280" s="285"/>
      <c r="AC280" s="285"/>
      <c r="AD280" s="285"/>
      <c r="AE280" s="285"/>
      <c r="AF280" s="285"/>
      <c r="AG280" s="285"/>
      <c r="AH280" s="285"/>
      <c r="AI280" s="285"/>
      <c r="AJ280" s="285"/>
      <c r="AK280" s="285"/>
    </row>
    <row r="281"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  <c r="AB281" s="285"/>
      <c r="AC281" s="285"/>
      <c r="AD281" s="285"/>
      <c r="AE281" s="285"/>
      <c r="AF281" s="285"/>
      <c r="AG281" s="285"/>
      <c r="AH281" s="285"/>
      <c r="AI281" s="285"/>
      <c r="AJ281" s="285"/>
      <c r="AK281" s="285"/>
    </row>
    <row r="282"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  <c r="AB282" s="285"/>
      <c r="AC282" s="285"/>
      <c r="AD282" s="285"/>
      <c r="AE282" s="285"/>
      <c r="AF282" s="285"/>
      <c r="AG282" s="285"/>
      <c r="AH282" s="285"/>
      <c r="AI282" s="285"/>
      <c r="AJ282" s="285"/>
      <c r="AK282" s="285"/>
    </row>
    <row r="283"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  <c r="AB283" s="285"/>
      <c r="AC283" s="285"/>
      <c r="AD283" s="285"/>
      <c r="AE283" s="285"/>
      <c r="AF283" s="285"/>
      <c r="AG283" s="285"/>
      <c r="AH283" s="285"/>
      <c r="AI283" s="285"/>
      <c r="AJ283" s="285"/>
      <c r="AK283" s="285"/>
    </row>
    <row r="284"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B284" s="285"/>
      <c r="AC284" s="285"/>
      <c r="AD284" s="285"/>
      <c r="AE284" s="285"/>
      <c r="AF284" s="285"/>
      <c r="AG284" s="285"/>
      <c r="AH284" s="285"/>
      <c r="AI284" s="285"/>
      <c r="AJ284" s="285"/>
      <c r="AK284" s="285"/>
    </row>
    <row r="285"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B285" s="285"/>
      <c r="AC285" s="285"/>
      <c r="AD285" s="285"/>
      <c r="AE285" s="285"/>
      <c r="AF285" s="285"/>
      <c r="AG285" s="285"/>
      <c r="AH285" s="285"/>
      <c r="AI285" s="285"/>
      <c r="AJ285" s="285"/>
      <c r="AK285" s="285"/>
    </row>
    <row r="286"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  <c r="AB286" s="285"/>
      <c r="AC286" s="285"/>
      <c r="AD286" s="285"/>
      <c r="AE286" s="285"/>
      <c r="AF286" s="285"/>
      <c r="AG286" s="285"/>
      <c r="AH286" s="285"/>
      <c r="AI286" s="285"/>
      <c r="AJ286" s="285"/>
      <c r="AK286" s="285"/>
    </row>
    <row r="287"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  <c r="AB287" s="285"/>
      <c r="AC287" s="285"/>
      <c r="AD287" s="285"/>
      <c r="AE287" s="285"/>
      <c r="AF287" s="285"/>
      <c r="AG287" s="285"/>
      <c r="AH287" s="285"/>
      <c r="AI287" s="285"/>
      <c r="AJ287" s="285"/>
      <c r="AK287" s="285"/>
    </row>
    <row r="288"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B288" s="285"/>
      <c r="AC288" s="285"/>
      <c r="AD288" s="285"/>
      <c r="AE288" s="285"/>
      <c r="AF288" s="285"/>
      <c r="AG288" s="285"/>
      <c r="AH288" s="285"/>
      <c r="AI288" s="285"/>
      <c r="AJ288" s="285"/>
      <c r="AK288" s="285"/>
    </row>
    <row r="289"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  <c r="AB289" s="285"/>
      <c r="AC289" s="285"/>
      <c r="AD289" s="285"/>
      <c r="AE289" s="285"/>
      <c r="AF289" s="285"/>
      <c r="AG289" s="285"/>
      <c r="AH289" s="285"/>
      <c r="AI289" s="285"/>
      <c r="AJ289" s="285"/>
      <c r="AK289" s="285"/>
    </row>
    <row r="290"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  <c r="AB290" s="285"/>
      <c r="AC290" s="285"/>
      <c r="AD290" s="285"/>
      <c r="AE290" s="285"/>
      <c r="AF290" s="285"/>
      <c r="AG290" s="285"/>
      <c r="AH290" s="285"/>
      <c r="AI290" s="285"/>
      <c r="AJ290" s="285"/>
      <c r="AK290" s="285"/>
    </row>
    <row r="291"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  <c r="AB291" s="285"/>
      <c r="AC291" s="285"/>
      <c r="AD291" s="285"/>
      <c r="AE291" s="285"/>
      <c r="AF291" s="285"/>
      <c r="AG291" s="285"/>
      <c r="AH291" s="285"/>
      <c r="AI291" s="285"/>
      <c r="AJ291" s="285"/>
      <c r="AK291" s="285"/>
    </row>
    <row r="292"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  <c r="AB292" s="285"/>
      <c r="AC292" s="285"/>
      <c r="AD292" s="285"/>
      <c r="AE292" s="285"/>
      <c r="AF292" s="285"/>
      <c r="AG292" s="285"/>
      <c r="AH292" s="285"/>
      <c r="AI292" s="285"/>
      <c r="AJ292" s="285"/>
      <c r="AK292" s="285"/>
    </row>
    <row r="293"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  <c r="AB293" s="285"/>
      <c r="AC293" s="285"/>
      <c r="AD293" s="285"/>
      <c r="AE293" s="285"/>
      <c r="AF293" s="285"/>
      <c r="AG293" s="285"/>
      <c r="AH293" s="285"/>
      <c r="AI293" s="285"/>
      <c r="AJ293" s="285"/>
      <c r="AK293" s="285"/>
    </row>
    <row r="294"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  <c r="AB294" s="285"/>
      <c r="AC294" s="285"/>
      <c r="AD294" s="285"/>
      <c r="AE294" s="285"/>
      <c r="AF294" s="285"/>
      <c r="AG294" s="285"/>
      <c r="AH294" s="285"/>
      <c r="AI294" s="285"/>
      <c r="AJ294" s="285"/>
      <c r="AK294" s="285"/>
    </row>
    <row r="295"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  <c r="AB295" s="285"/>
      <c r="AC295" s="285"/>
      <c r="AD295" s="285"/>
      <c r="AE295" s="285"/>
      <c r="AF295" s="285"/>
      <c r="AG295" s="285"/>
      <c r="AH295" s="285"/>
      <c r="AI295" s="285"/>
      <c r="AJ295" s="285"/>
      <c r="AK295" s="285"/>
    </row>
    <row r="296"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  <c r="AB296" s="285"/>
      <c r="AC296" s="285"/>
      <c r="AD296" s="285"/>
      <c r="AE296" s="285"/>
      <c r="AF296" s="285"/>
      <c r="AG296" s="285"/>
      <c r="AH296" s="285"/>
      <c r="AI296" s="285"/>
      <c r="AJ296" s="285"/>
      <c r="AK296" s="285"/>
    </row>
    <row r="297"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  <c r="AB297" s="285"/>
      <c r="AC297" s="285"/>
      <c r="AD297" s="285"/>
      <c r="AE297" s="285"/>
      <c r="AF297" s="285"/>
      <c r="AG297" s="285"/>
      <c r="AH297" s="285"/>
      <c r="AI297" s="285"/>
      <c r="AJ297" s="285"/>
      <c r="AK297" s="285"/>
    </row>
    <row r="298"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  <c r="AB298" s="285"/>
      <c r="AC298" s="285"/>
      <c r="AD298" s="285"/>
      <c r="AE298" s="285"/>
      <c r="AF298" s="285"/>
      <c r="AG298" s="285"/>
      <c r="AH298" s="285"/>
      <c r="AI298" s="285"/>
      <c r="AJ298" s="285"/>
      <c r="AK298" s="285"/>
    </row>
    <row r="299"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  <c r="AB299" s="285"/>
      <c r="AC299" s="285"/>
      <c r="AD299" s="285"/>
      <c r="AE299" s="285"/>
      <c r="AF299" s="285"/>
      <c r="AG299" s="285"/>
      <c r="AH299" s="285"/>
      <c r="AI299" s="285"/>
      <c r="AJ299" s="285"/>
      <c r="AK299" s="285"/>
    </row>
    <row r="300"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  <c r="AB300" s="285"/>
      <c r="AC300" s="285"/>
      <c r="AD300" s="285"/>
      <c r="AE300" s="285"/>
      <c r="AF300" s="285"/>
      <c r="AG300" s="285"/>
      <c r="AH300" s="285"/>
      <c r="AI300" s="285"/>
      <c r="AJ300" s="285"/>
      <c r="AK300" s="285"/>
    </row>
    <row r="301"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  <c r="AB301" s="285"/>
      <c r="AC301" s="285"/>
      <c r="AD301" s="285"/>
      <c r="AE301" s="285"/>
      <c r="AF301" s="285"/>
      <c r="AG301" s="285"/>
      <c r="AH301" s="285"/>
      <c r="AI301" s="285"/>
      <c r="AJ301" s="285"/>
      <c r="AK301" s="285"/>
    </row>
    <row r="302"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  <c r="AB302" s="285"/>
      <c r="AC302" s="285"/>
      <c r="AD302" s="285"/>
      <c r="AE302" s="285"/>
      <c r="AF302" s="285"/>
      <c r="AG302" s="285"/>
      <c r="AH302" s="285"/>
      <c r="AI302" s="285"/>
      <c r="AJ302" s="285"/>
      <c r="AK302" s="285"/>
    </row>
    <row r="303"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  <c r="AB303" s="285"/>
      <c r="AC303" s="285"/>
      <c r="AD303" s="285"/>
      <c r="AE303" s="285"/>
      <c r="AF303" s="285"/>
      <c r="AG303" s="285"/>
      <c r="AH303" s="285"/>
      <c r="AI303" s="285"/>
      <c r="AJ303" s="285"/>
      <c r="AK303" s="285"/>
    </row>
    <row r="304"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  <c r="AB304" s="285"/>
      <c r="AC304" s="285"/>
      <c r="AD304" s="285"/>
      <c r="AE304" s="285"/>
      <c r="AF304" s="285"/>
      <c r="AG304" s="285"/>
      <c r="AH304" s="285"/>
      <c r="AI304" s="285"/>
      <c r="AJ304" s="285"/>
      <c r="AK304" s="285"/>
    </row>
    <row r="305"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  <c r="AB305" s="285"/>
      <c r="AC305" s="285"/>
      <c r="AD305" s="285"/>
      <c r="AE305" s="285"/>
      <c r="AF305" s="285"/>
      <c r="AG305" s="285"/>
      <c r="AH305" s="285"/>
      <c r="AI305" s="285"/>
      <c r="AJ305" s="285"/>
      <c r="AK305" s="285"/>
    </row>
    <row r="306"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B306" s="285"/>
      <c r="AC306" s="285"/>
      <c r="AD306" s="285"/>
      <c r="AE306" s="285"/>
      <c r="AF306" s="285"/>
      <c r="AG306" s="285"/>
      <c r="AH306" s="285"/>
      <c r="AI306" s="285"/>
      <c r="AJ306" s="285"/>
      <c r="AK306" s="285"/>
    </row>
    <row r="307"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B307" s="285"/>
      <c r="AC307" s="285"/>
      <c r="AD307" s="285"/>
      <c r="AE307" s="285"/>
      <c r="AF307" s="285"/>
      <c r="AG307" s="285"/>
      <c r="AH307" s="285"/>
      <c r="AI307" s="285"/>
      <c r="AJ307" s="285"/>
      <c r="AK307" s="285"/>
    </row>
    <row r="308"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  <c r="AB308" s="285"/>
      <c r="AC308" s="285"/>
      <c r="AD308" s="285"/>
      <c r="AE308" s="285"/>
      <c r="AF308" s="285"/>
      <c r="AG308" s="285"/>
      <c r="AH308" s="285"/>
      <c r="AI308" s="285"/>
      <c r="AJ308" s="285"/>
      <c r="AK308" s="285"/>
    </row>
    <row r="309"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  <c r="AB309" s="285"/>
      <c r="AC309" s="285"/>
      <c r="AD309" s="285"/>
      <c r="AE309" s="285"/>
      <c r="AF309" s="285"/>
      <c r="AG309" s="285"/>
      <c r="AH309" s="285"/>
      <c r="AI309" s="285"/>
      <c r="AJ309" s="285"/>
      <c r="AK309" s="285"/>
    </row>
    <row r="310"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  <c r="AB310" s="285"/>
      <c r="AC310" s="285"/>
      <c r="AD310" s="285"/>
      <c r="AE310" s="285"/>
      <c r="AF310" s="285"/>
      <c r="AG310" s="285"/>
      <c r="AH310" s="285"/>
      <c r="AI310" s="285"/>
      <c r="AJ310" s="285"/>
      <c r="AK310" s="285"/>
    </row>
    <row r="311"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B311" s="285"/>
      <c r="AC311" s="285"/>
      <c r="AD311" s="285"/>
      <c r="AE311" s="285"/>
      <c r="AF311" s="285"/>
      <c r="AG311" s="285"/>
      <c r="AH311" s="285"/>
      <c r="AI311" s="285"/>
      <c r="AJ311" s="285"/>
      <c r="AK311" s="285"/>
    </row>
    <row r="312"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  <c r="AB312" s="285"/>
      <c r="AC312" s="285"/>
      <c r="AD312" s="285"/>
      <c r="AE312" s="285"/>
      <c r="AF312" s="285"/>
      <c r="AG312" s="285"/>
      <c r="AH312" s="285"/>
      <c r="AI312" s="285"/>
      <c r="AJ312" s="285"/>
      <c r="AK312" s="285"/>
    </row>
    <row r="313"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B313" s="285"/>
      <c r="AC313" s="285"/>
      <c r="AD313" s="285"/>
      <c r="AE313" s="285"/>
      <c r="AF313" s="285"/>
      <c r="AG313" s="285"/>
      <c r="AH313" s="285"/>
      <c r="AI313" s="285"/>
      <c r="AJ313" s="285"/>
      <c r="AK313" s="285"/>
    </row>
    <row r="314"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  <c r="AB314" s="285"/>
      <c r="AC314" s="285"/>
      <c r="AD314" s="285"/>
      <c r="AE314" s="285"/>
      <c r="AF314" s="285"/>
      <c r="AG314" s="285"/>
      <c r="AH314" s="285"/>
      <c r="AI314" s="285"/>
      <c r="AJ314" s="285"/>
      <c r="AK314" s="285"/>
    </row>
    <row r="315"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B315" s="285"/>
      <c r="AC315" s="285"/>
      <c r="AD315" s="285"/>
      <c r="AE315" s="285"/>
      <c r="AF315" s="285"/>
      <c r="AG315" s="285"/>
      <c r="AH315" s="285"/>
      <c r="AI315" s="285"/>
      <c r="AJ315" s="285"/>
      <c r="AK315" s="285"/>
    </row>
    <row r="316"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B316" s="285"/>
      <c r="AC316" s="285"/>
      <c r="AD316" s="285"/>
      <c r="AE316" s="285"/>
      <c r="AF316" s="285"/>
      <c r="AG316" s="285"/>
      <c r="AH316" s="285"/>
      <c r="AI316" s="285"/>
      <c r="AJ316" s="285"/>
      <c r="AK316" s="285"/>
    </row>
    <row r="317"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B317" s="285"/>
      <c r="AC317" s="285"/>
      <c r="AD317" s="285"/>
      <c r="AE317" s="285"/>
      <c r="AF317" s="285"/>
      <c r="AG317" s="285"/>
      <c r="AH317" s="285"/>
      <c r="AI317" s="285"/>
      <c r="AJ317" s="285"/>
      <c r="AK317" s="285"/>
    </row>
    <row r="318"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B318" s="285"/>
      <c r="AC318" s="285"/>
      <c r="AD318" s="285"/>
      <c r="AE318" s="285"/>
      <c r="AF318" s="285"/>
      <c r="AG318" s="285"/>
      <c r="AH318" s="285"/>
      <c r="AI318" s="285"/>
      <c r="AJ318" s="285"/>
      <c r="AK318" s="285"/>
    </row>
    <row r="319"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B319" s="285"/>
      <c r="AC319" s="285"/>
      <c r="AD319" s="285"/>
      <c r="AE319" s="285"/>
      <c r="AF319" s="285"/>
      <c r="AG319" s="285"/>
      <c r="AH319" s="285"/>
      <c r="AI319" s="285"/>
      <c r="AJ319" s="285"/>
      <c r="AK319" s="285"/>
    </row>
    <row r="320"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  <c r="AB320" s="285"/>
      <c r="AC320" s="285"/>
      <c r="AD320" s="285"/>
      <c r="AE320" s="285"/>
      <c r="AF320" s="285"/>
      <c r="AG320" s="285"/>
      <c r="AH320" s="285"/>
      <c r="AI320" s="285"/>
      <c r="AJ320" s="285"/>
      <c r="AK320" s="285"/>
    </row>
    <row r="321"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  <c r="AB321" s="285"/>
      <c r="AC321" s="285"/>
      <c r="AD321" s="285"/>
      <c r="AE321" s="285"/>
      <c r="AF321" s="285"/>
      <c r="AG321" s="285"/>
      <c r="AH321" s="285"/>
      <c r="AI321" s="285"/>
      <c r="AJ321" s="285"/>
      <c r="AK321" s="285"/>
    </row>
    <row r="322"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  <c r="AB322" s="285"/>
      <c r="AC322" s="285"/>
      <c r="AD322" s="285"/>
      <c r="AE322" s="285"/>
      <c r="AF322" s="285"/>
      <c r="AG322" s="285"/>
      <c r="AH322" s="285"/>
      <c r="AI322" s="285"/>
      <c r="AJ322" s="285"/>
      <c r="AK322" s="285"/>
    </row>
    <row r="323"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  <c r="AB323" s="285"/>
      <c r="AC323" s="285"/>
      <c r="AD323" s="285"/>
      <c r="AE323" s="285"/>
      <c r="AF323" s="285"/>
      <c r="AG323" s="285"/>
      <c r="AH323" s="285"/>
      <c r="AI323" s="285"/>
      <c r="AJ323" s="285"/>
      <c r="AK323" s="285"/>
    </row>
    <row r="324"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  <c r="AB324" s="285"/>
      <c r="AC324" s="285"/>
      <c r="AD324" s="285"/>
      <c r="AE324" s="285"/>
      <c r="AF324" s="285"/>
      <c r="AG324" s="285"/>
      <c r="AH324" s="285"/>
      <c r="AI324" s="285"/>
      <c r="AJ324" s="285"/>
      <c r="AK324" s="285"/>
    </row>
    <row r="325"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  <c r="AB325" s="285"/>
      <c r="AC325" s="285"/>
      <c r="AD325" s="285"/>
      <c r="AE325" s="285"/>
      <c r="AF325" s="285"/>
      <c r="AG325" s="285"/>
      <c r="AH325" s="285"/>
      <c r="AI325" s="285"/>
      <c r="AJ325" s="285"/>
      <c r="AK325" s="285"/>
    </row>
    <row r="326"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  <c r="AB326" s="285"/>
      <c r="AC326" s="285"/>
      <c r="AD326" s="285"/>
      <c r="AE326" s="285"/>
      <c r="AF326" s="285"/>
      <c r="AG326" s="285"/>
      <c r="AH326" s="285"/>
      <c r="AI326" s="285"/>
      <c r="AJ326" s="285"/>
      <c r="AK326" s="285"/>
    </row>
    <row r="327"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  <c r="AB327" s="285"/>
      <c r="AC327" s="285"/>
      <c r="AD327" s="285"/>
      <c r="AE327" s="285"/>
      <c r="AF327" s="285"/>
      <c r="AG327" s="285"/>
      <c r="AH327" s="285"/>
      <c r="AI327" s="285"/>
      <c r="AJ327" s="285"/>
      <c r="AK327" s="285"/>
    </row>
    <row r="328"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  <c r="AB328" s="285"/>
      <c r="AC328" s="285"/>
      <c r="AD328" s="285"/>
      <c r="AE328" s="285"/>
      <c r="AF328" s="285"/>
      <c r="AG328" s="285"/>
      <c r="AH328" s="285"/>
      <c r="AI328" s="285"/>
      <c r="AJ328" s="285"/>
      <c r="AK328" s="285"/>
    </row>
    <row r="329"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  <c r="AB329" s="285"/>
      <c r="AC329" s="285"/>
      <c r="AD329" s="285"/>
      <c r="AE329" s="285"/>
      <c r="AF329" s="285"/>
      <c r="AG329" s="285"/>
      <c r="AH329" s="285"/>
      <c r="AI329" s="285"/>
      <c r="AJ329" s="285"/>
      <c r="AK329" s="285"/>
    </row>
    <row r="330"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  <c r="AB330" s="285"/>
      <c r="AC330" s="285"/>
      <c r="AD330" s="285"/>
      <c r="AE330" s="285"/>
      <c r="AF330" s="285"/>
      <c r="AG330" s="285"/>
      <c r="AH330" s="285"/>
      <c r="AI330" s="285"/>
      <c r="AJ330" s="285"/>
      <c r="AK330" s="285"/>
    </row>
    <row r="331"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  <c r="AB331" s="285"/>
      <c r="AC331" s="285"/>
      <c r="AD331" s="285"/>
      <c r="AE331" s="285"/>
      <c r="AF331" s="285"/>
      <c r="AG331" s="285"/>
      <c r="AH331" s="285"/>
      <c r="AI331" s="285"/>
      <c r="AJ331" s="285"/>
      <c r="AK331" s="285"/>
    </row>
    <row r="332"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  <c r="AB332" s="285"/>
      <c r="AC332" s="285"/>
      <c r="AD332" s="285"/>
      <c r="AE332" s="285"/>
      <c r="AF332" s="285"/>
      <c r="AG332" s="285"/>
      <c r="AH332" s="285"/>
      <c r="AI332" s="285"/>
      <c r="AJ332" s="285"/>
      <c r="AK332" s="285"/>
    </row>
    <row r="333"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  <c r="AB333" s="285"/>
      <c r="AC333" s="285"/>
      <c r="AD333" s="285"/>
      <c r="AE333" s="285"/>
      <c r="AF333" s="285"/>
      <c r="AG333" s="285"/>
      <c r="AH333" s="285"/>
      <c r="AI333" s="285"/>
      <c r="AJ333" s="285"/>
      <c r="AK333" s="285"/>
    </row>
    <row r="334"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  <c r="AB334" s="285"/>
      <c r="AC334" s="285"/>
      <c r="AD334" s="285"/>
      <c r="AE334" s="285"/>
      <c r="AF334" s="285"/>
      <c r="AG334" s="285"/>
      <c r="AH334" s="285"/>
      <c r="AI334" s="285"/>
      <c r="AJ334" s="285"/>
      <c r="AK334" s="285"/>
    </row>
    <row r="335"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  <c r="AB335" s="285"/>
      <c r="AC335" s="285"/>
      <c r="AD335" s="285"/>
      <c r="AE335" s="285"/>
      <c r="AF335" s="285"/>
      <c r="AG335" s="285"/>
      <c r="AH335" s="285"/>
      <c r="AI335" s="285"/>
      <c r="AJ335" s="285"/>
      <c r="AK335" s="285"/>
    </row>
    <row r="336"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  <c r="AB336" s="285"/>
      <c r="AC336" s="285"/>
      <c r="AD336" s="285"/>
      <c r="AE336" s="285"/>
      <c r="AF336" s="285"/>
      <c r="AG336" s="285"/>
      <c r="AH336" s="285"/>
      <c r="AI336" s="285"/>
      <c r="AJ336" s="285"/>
      <c r="AK336" s="285"/>
    </row>
    <row r="337"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  <c r="AB337" s="285"/>
      <c r="AC337" s="285"/>
      <c r="AD337" s="285"/>
      <c r="AE337" s="285"/>
      <c r="AF337" s="285"/>
      <c r="AG337" s="285"/>
      <c r="AH337" s="285"/>
      <c r="AI337" s="285"/>
      <c r="AJ337" s="285"/>
      <c r="AK337" s="285"/>
    </row>
    <row r="338"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  <c r="AB338" s="285"/>
      <c r="AC338" s="285"/>
      <c r="AD338" s="285"/>
      <c r="AE338" s="285"/>
      <c r="AF338" s="285"/>
      <c r="AG338" s="285"/>
      <c r="AH338" s="285"/>
      <c r="AI338" s="285"/>
      <c r="AJ338" s="285"/>
      <c r="AK338" s="285"/>
    </row>
    <row r="339"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  <c r="AB339" s="285"/>
      <c r="AC339" s="285"/>
      <c r="AD339" s="285"/>
      <c r="AE339" s="285"/>
      <c r="AF339" s="285"/>
      <c r="AG339" s="285"/>
      <c r="AH339" s="285"/>
      <c r="AI339" s="285"/>
      <c r="AJ339" s="285"/>
      <c r="AK339" s="285"/>
    </row>
    <row r="340"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  <c r="AB340" s="285"/>
      <c r="AC340" s="285"/>
      <c r="AD340" s="285"/>
      <c r="AE340" s="285"/>
      <c r="AF340" s="285"/>
      <c r="AG340" s="285"/>
      <c r="AH340" s="285"/>
      <c r="AI340" s="285"/>
      <c r="AJ340" s="285"/>
      <c r="AK340" s="285"/>
    </row>
    <row r="341"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  <c r="AB341" s="285"/>
      <c r="AC341" s="285"/>
      <c r="AD341" s="285"/>
      <c r="AE341" s="285"/>
      <c r="AF341" s="285"/>
      <c r="AG341" s="285"/>
      <c r="AH341" s="285"/>
      <c r="AI341" s="285"/>
      <c r="AJ341" s="285"/>
      <c r="AK341" s="285"/>
    </row>
    <row r="342"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  <c r="AB342" s="285"/>
      <c r="AC342" s="285"/>
      <c r="AD342" s="285"/>
      <c r="AE342" s="285"/>
      <c r="AF342" s="285"/>
      <c r="AG342" s="285"/>
      <c r="AH342" s="285"/>
      <c r="AI342" s="285"/>
      <c r="AJ342" s="285"/>
      <c r="AK342" s="285"/>
    </row>
    <row r="343"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  <c r="AB343" s="285"/>
      <c r="AC343" s="285"/>
      <c r="AD343" s="285"/>
      <c r="AE343" s="285"/>
      <c r="AF343" s="285"/>
      <c r="AG343" s="285"/>
      <c r="AH343" s="285"/>
      <c r="AI343" s="285"/>
      <c r="AJ343" s="285"/>
      <c r="AK343" s="285"/>
    </row>
    <row r="344"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  <c r="AB344" s="285"/>
      <c r="AC344" s="285"/>
      <c r="AD344" s="285"/>
      <c r="AE344" s="285"/>
      <c r="AF344" s="285"/>
      <c r="AG344" s="285"/>
      <c r="AH344" s="285"/>
      <c r="AI344" s="285"/>
      <c r="AJ344" s="285"/>
      <c r="AK344" s="285"/>
    </row>
    <row r="345"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  <c r="AB345" s="285"/>
      <c r="AC345" s="285"/>
      <c r="AD345" s="285"/>
      <c r="AE345" s="285"/>
      <c r="AF345" s="285"/>
      <c r="AG345" s="285"/>
      <c r="AH345" s="285"/>
      <c r="AI345" s="285"/>
      <c r="AJ345" s="285"/>
      <c r="AK345" s="285"/>
    </row>
    <row r="346"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  <c r="AB346" s="285"/>
      <c r="AC346" s="285"/>
      <c r="AD346" s="285"/>
      <c r="AE346" s="285"/>
      <c r="AF346" s="285"/>
      <c r="AG346" s="285"/>
      <c r="AH346" s="285"/>
      <c r="AI346" s="285"/>
      <c r="AJ346" s="285"/>
      <c r="AK346" s="285"/>
    </row>
    <row r="347"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  <c r="AB347" s="285"/>
      <c r="AC347" s="285"/>
      <c r="AD347" s="285"/>
      <c r="AE347" s="285"/>
      <c r="AF347" s="285"/>
      <c r="AG347" s="285"/>
      <c r="AH347" s="285"/>
      <c r="AI347" s="285"/>
      <c r="AJ347" s="285"/>
      <c r="AK347" s="285"/>
    </row>
    <row r="348"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  <c r="AB348" s="285"/>
      <c r="AC348" s="285"/>
      <c r="AD348" s="285"/>
      <c r="AE348" s="285"/>
      <c r="AF348" s="285"/>
      <c r="AG348" s="285"/>
      <c r="AH348" s="285"/>
      <c r="AI348" s="285"/>
      <c r="AJ348" s="285"/>
      <c r="AK348" s="285"/>
    </row>
    <row r="349"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  <c r="AB349" s="285"/>
      <c r="AC349" s="285"/>
      <c r="AD349" s="285"/>
      <c r="AE349" s="285"/>
      <c r="AF349" s="285"/>
      <c r="AG349" s="285"/>
      <c r="AH349" s="285"/>
      <c r="AI349" s="285"/>
      <c r="AJ349" s="285"/>
      <c r="AK349" s="285"/>
    </row>
    <row r="350"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  <c r="AB350" s="285"/>
      <c r="AC350" s="285"/>
      <c r="AD350" s="285"/>
      <c r="AE350" s="285"/>
      <c r="AF350" s="285"/>
      <c r="AG350" s="285"/>
      <c r="AH350" s="285"/>
      <c r="AI350" s="285"/>
      <c r="AJ350" s="285"/>
      <c r="AK350" s="285"/>
    </row>
    <row r="351"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  <c r="AB351" s="285"/>
      <c r="AC351" s="285"/>
      <c r="AD351" s="285"/>
      <c r="AE351" s="285"/>
      <c r="AF351" s="285"/>
      <c r="AG351" s="285"/>
      <c r="AH351" s="285"/>
      <c r="AI351" s="285"/>
      <c r="AJ351" s="285"/>
      <c r="AK351" s="285"/>
    </row>
    <row r="352"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  <c r="AB352" s="285"/>
      <c r="AC352" s="285"/>
      <c r="AD352" s="285"/>
      <c r="AE352" s="285"/>
      <c r="AF352" s="285"/>
      <c r="AG352" s="285"/>
      <c r="AH352" s="285"/>
      <c r="AI352" s="285"/>
      <c r="AJ352" s="285"/>
      <c r="AK352" s="285"/>
    </row>
    <row r="353"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  <c r="AB353" s="285"/>
      <c r="AC353" s="285"/>
      <c r="AD353" s="285"/>
      <c r="AE353" s="285"/>
      <c r="AF353" s="285"/>
      <c r="AG353" s="285"/>
      <c r="AH353" s="285"/>
      <c r="AI353" s="285"/>
      <c r="AJ353" s="285"/>
      <c r="AK353" s="285"/>
    </row>
    <row r="354"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  <c r="AB354" s="285"/>
      <c r="AC354" s="285"/>
      <c r="AD354" s="285"/>
      <c r="AE354" s="285"/>
      <c r="AF354" s="285"/>
      <c r="AG354" s="285"/>
      <c r="AH354" s="285"/>
      <c r="AI354" s="285"/>
      <c r="AJ354" s="285"/>
      <c r="AK354" s="285"/>
    </row>
    <row r="355"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  <c r="AB355" s="285"/>
      <c r="AC355" s="285"/>
      <c r="AD355" s="285"/>
      <c r="AE355" s="285"/>
      <c r="AF355" s="285"/>
      <c r="AG355" s="285"/>
      <c r="AH355" s="285"/>
      <c r="AI355" s="285"/>
      <c r="AJ355" s="285"/>
      <c r="AK355" s="285"/>
    </row>
    <row r="356"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  <c r="AB356" s="285"/>
      <c r="AC356" s="285"/>
      <c r="AD356" s="285"/>
      <c r="AE356" s="285"/>
      <c r="AF356" s="285"/>
      <c r="AG356" s="285"/>
      <c r="AH356" s="285"/>
      <c r="AI356" s="285"/>
      <c r="AJ356" s="285"/>
      <c r="AK356" s="285"/>
    </row>
    <row r="357"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  <c r="AB357" s="285"/>
      <c r="AC357" s="285"/>
      <c r="AD357" s="285"/>
      <c r="AE357" s="285"/>
      <c r="AF357" s="285"/>
      <c r="AG357" s="285"/>
      <c r="AH357" s="285"/>
      <c r="AI357" s="285"/>
      <c r="AJ357" s="285"/>
      <c r="AK357" s="285"/>
    </row>
    <row r="358"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  <c r="AB358" s="285"/>
      <c r="AC358" s="285"/>
      <c r="AD358" s="285"/>
      <c r="AE358" s="285"/>
      <c r="AF358" s="285"/>
      <c r="AG358" s="285"/>
      <c r="AH358" s="285"/>
      <c r="AI358" s="285"/>
      <c r="AJ358" s="285"/>
      <c r="AK358" s="285"/>
    </row>
    <row r="359"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  <c r="AB359" s="285"/>
      <c r="AC359" s="285"/>
      <c r="AD359" s="285"/>
      <c r="AE359" s="285"/>
      <c r="AF359" s="285"/>
      <c r="AG359" s="285"/>
      <c r="AH359" s="285"/>
      <c r="AI359" s="285"/>
      <c r="AJ359" s="285"/>
      <c r="AK359" s="285"/>
    </row>
    <row r="360"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  <c r="AB360" s="285"/>
      <c r="AC360" s="285"/>
      <c r="AD360" s="285"/>
      <c r="AE360" s="285"/>
      <c r="AF360" s="285"/>
      <c r="AG360" s="285"/>
      <c r="AH360" s="285"/>
      <c r="AI360" s="285"/>
      <c r="AJ360" s="285"/>
      <c r="AK360" s="285"/>
    </row>
    <row r="361"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  <c r="AB361" s="285"/>
      <c r="AC361" s="285"/>
      <c r="AD361" s="285"/>
      <c r="AE361" s="285"/>
      <c r="AF361" s="285"/>
      <c r="AG361" s="285"/>
      <c r="AH361" s="285"/>
      <c r="AI361" s="285"/>
      <c r="AJ361" s="285"/>
      <c r="AK361" s="285"/>
    </row>
    <row r="362"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  <c r="AB362" s="285"/>
      <c r="AC362" s="285"/>
      <c r="AD362" s="285"/>
      <c r="AE362" s="285"/>
      <c r="AF362" s="285"/>
      <c r="AG362" s="285"/>
      <c r="AH362" s="285"/>
      <c r="AI362" s="285"/>
      <c r="AJ362" s="285"/>
      <c r="AK362" s="285"/>
    </row>
    <row r="363"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  <c r="AB363" s="285"/>
      <c r="AC363" s="285"/>
      <c r="AD363" s="285"/>
      <c r="AE363" s="285"/>
      <c r="AF363" s="285"/>
      <c r="AG363" s="285"/>
      <c r="AH363" s="285"/>
      <c r="AI363" s="285"/>
      <c r="AJ363" s="285"/>
      <c r="AK363" s="285"/>
    </row>
    <row r="364"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  <c r="AB364" s="285"/>
      <c r="AC364" s="285"/>
      <c r="AD364" s="285"/>
      <c r="AE364" s="285"/>
      <c r="AF364" s="285"/>
      <c r="AG364" s="285"/>
      <c r="AH364" s="285"/>
      <c r="AI364" s="285"/>
      <c r="AJ364" s="285"/>
      <c r="AK364" s="285"/>
    </row>
    <row r="365"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  <c r="AB365" s="285"/>
      <c r="AC365" s="285"/>
      <c r="AD365" s="285"/>
      <c r="AE365" s="285"/>
      <c r="AF365" s="285"/>
      <c r="AG365" s="285"/>
      <c r="AH365" s="285"/>
      <c r="AI365" s="285"/>
      <c r="AJ365" s="285"/>
      <c r="AK365" s="285"/>
    </row>
    <row r="366"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  <c r="AB366" s="285"/>
      <c r="AC366" s="285"/>
      <c r="AD366" s="285"/>
      <c r="AE366" s="285"/>
      <c r="AF366" s="285"/>
      <c r="AG366" s="285"/>
      <c r="AH366" s="285"/>
      <c r="AI366" s="285"/>
      <c r="AJ366" s="285"/>
      <c r="AK366" s="285"/>
    </row>
    <row r="367"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  <c r="AB367" s="285"/>
      <c r="AC367" s="285"/>
      <c r="AD367" s="285"/>
      <c r="AE367" s="285"/>
      <c r="AF367" s="285"/>
      <c r="AG367" s="285"/>
      <c r="AH367" s="285"/>
      <c r="AI367" s="285"/>
      <c r="AJ367" s="285"/>
      <c r="AK367" s="285"/>
    </row>
    <row r="368"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  <c r="AB368" s="285"/>
      <c r="AC368" s="285"/>
      <c r="AD368" s="285"/>
      <c r="AE368" s="285"/>
      <c r="AF368" s="285"/>
      <c r="AG368" s="285"/>
      <c r="AH368" s="285"/>
      <c r="AI368" s="285"/>
      <c r="AJ368" s="285"/>
      <c r="AK368" s="285"/>
    </row>
    <row r="369"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  <c r="AB369" s="285"/>
      <c r="AC369" s="285"/>
      <c r="AD369" s="285"/>
      <c r="AE369" s="285"/>
      <c r="AF369" s="285"/>
      <c r="AG369" s="285"/>
      <c r="AH369" s="285"/>
      <c r="AI369" s="285"/>
      <c r="AJ369" s="285"/>
      <c r="AK369" s="285"/>
    </row>
    <row r="370"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  <c r="AB370" s="285"/>
      <c r="AC370" s="285"/>
      <c r="AD370" s="285"/>
      <c r="AE370" s="285"/>
      <c r="AF370" s="285"/>
      <c r="AG370" s="285"/>
      <c r="AH370" s="285"/>
      <c r="AI370" s="285"/>
      <c r="AJ370" s="285"/>
      <c r="AK370" s="285"/>
    </row>
    <row r="371"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  <c r="AB371" s="285"/>
      <c r="AC371" s="285"/>
      <c r="AD371" s="285"/>
      <c r="AE371" s="285"/>
      <c r="AF371" s="285"/>
      <c r="AG371" s="285"/>
      <c r="AH371" s="285"/>
      <c r="AI371" s="285"/>
      <c r="AJ371" s="285"/>
      <c r="AK371" s="285"/>
    </row>
    <row r="372"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  <c r="AB372" s="285"/>
      <c r="AC372" s="285"/>
      <c r="AD372" s="285"/>
      <c r="AE372" s="285"/>
      <c r="AF372" s="285"/>
      <c r="AG372" s="285"/>
      <c r="AH372" s="285"/>
      <c r="AI372" s="285"/>
      <c r="AJ372" s="285"/>
      <c r="AK372" s="285"/>
    </row>
    <row r="373"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  <c r="AB373" s="285"/>
      <c r="AC373" s="285"/>
      <c r="AD373" s="285"/>
      <c r="AE373" s="285"/>
      <c r="AF373" s="285"/>
      <c r="AG373" s="285"/>
      <c r="AH373" s="285"/>
      <c r="AI373" s="285"/>
      <c r="AJ373" s="285"/>
      <c r="AK373" s="285"/>
    </row>
    <row r="374"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  <c r="AB374" s="285"/>
      <c r="AC374" s="285"/>
      <c r="AD374" s="285"/>
      <c r="AE374" s="285"/>
      <c r="AF374" s="285"/>
      <c r="AG374" s="285"/>
      <c r="AH374" s="285"/>
      <c r="AI374" s="285"/>
      <c r="AJ374" s="285"/>
      <c r="AK374" s="285"/>
    </row>
    <row r="375"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  <c r="AB375" s="285"/>
      <c r="AC375" s="285"/>
      <c r="AD375" s="285"/>
      <c r="AE375" s="285"/>
      <c r="AF375" s="285"/>
      <c r="AG375" s="285"/>
      <c r="AH375" s="285"/>
      <c r="AI375" s="285"/>
      <c r="AJ375" s="285"/>
      <c r="AK375" s="285"/>
    </row>
    <row r="376"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  <c r="AB376" s="285"/>
      <c r="AC376" s="285"/>
      <c r="AD376" s="285"/>
      <c r="AE376" s="285"/>
      <c r="AF376" s="285"/>
      <c r="AG376" s="285"/>
      <c r="AH376" s="285"/>
      <c r="AI376" s="285"/>
      <c r="AJ376" s="285"/>
      <c r="AK376" s="285"/>
    </row>
    <row r="377"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  <c r="AB377" s="285"/>
      <c r="AC377" s="285"/>
      <c r="AD377" s="285"/>
      <c r="AE377" s="285"/>
      <c r="AF377" s="285"/>
      <c r="AG377" s="285"/>
      <c r="AH377" s="285"/>
      <c r="AI377" s="285"/>
      <c r="AJ377" s="285"/>
      <c r="AK377" s="285"/>
    </row>
    <row r="378"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  <c r="AB378" s="285"/>
      <c r="AC378" s="285"/>
      <c r="AD378" s="285"/>
      <c r="AE378" s="285"/>
      <c r="AF378" s="285"/>
      <c r="AG378" s="285"/>
      <c r="AH378" s="285"/>
      <c r="AI378" s="285"/>
      <c r="AJ378" s="285"/>
      <c r="AK378" s="285"/>
    </row>
    <row r="379"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  <c r="AB379" s="285"/>
      <c r="AC379" s="285"/>
      <c r="AD379" s="285"/>
      <c r="AE379" s="285"/>
      <c r="AF379" s="285"/>
      <c r="AG379" s="285"/>
      <c r="AH379" s="285"/>
      <c r="AI379" s="285"/>
      <c r="AJ379" s="285"/>
      <c r="AK379" s="285"/>
    </row>
    <row r="380"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  <c r="AB380" s="285"/>
      <c r="AC380" s="285"/>
      <c r="AD380" s="285"/>
      <c r="AE380" s="285"/>
      <c r="AF380" s="285"/>
      <c r="AG380" s="285"/>
      <c r="AH380" s="285"/>
      <c r="AI380" s="285"/>
      <c r="AJ380" s="285"/>
      <c r="AK380" s="285"/>
    </row>
    <row r="381"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  <c r="AB381" s="285"/>
      <c r="AC381" s="285"/>
      <c r="AD381" s="285"/>
      <c r="AE381" s="285"/>
      <c r="AF381" s="285"/>
      <c r="AG381" s="285"/>
      <c r="AH381" s="285"/>
      <c r="AI381" s="285"/>
      <c r="AJ381" s="285"/>
      <c r="AK381" s="285"/>
    </row>
    <row r="382"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  <c r="AB382" s="285"/>
      <c r="AC382" s="285"/>
      <c r="AD382" s="285"/>
      <c r="AE382" s="285"/>
      <c r="AF382" s="285"/>
      <c r="AG382" s="285"/>
      <c r="AH382" s="285"/>
      <c r="AI382" s="285"/>
      <c r="AJ382" s="285"/>
      <c r="AK382" s="285"/>
    </row>
    <row r="383"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  <c r="AB383" s="285"/>
      <c r="AC383" s="285"/>
      <c r="AD383" s="285"/>
      <c r="AE383" s="285"/>
      <c r="AF383" s="285"/>
      <c r="AG383" s="285"/>
      <c r="AH383" s="285"/>
      <c r="AI383" s="285"/>
      <c r="AJ383" s="285"/>
      <c r="AK383" s="285"/>
    </row>
    <row r="384"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  <c r="AB384" s="285"/>
      <c r="AC384" s="285"/>
      <c r="AD384" s="285"/>
      <c r="AE384" s="285"/>
      <c r="AF384" s="285"/>
      <c r="AG384" s="285"/>
      <c r="AH384" s="285"/>
      <c r="AI384" s="285"/>
      <c r="AJ384" s="285"/>
      <c r="AK384" s="285"/>
    </row>
    <row r="385"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  <c r="AB385" s="285"/>
      <c r="AC385" s="285"/>
      <c r="AD385" s="285"/>
      <c r="AE385" s="285"/>
      <c r="AF385" s="285"/>
      <c r="AG385" s="285"/>
      <c r="AH385" s="285"/>
      <c r="AI385" s="285"/>
      <c r="AJ385" s="285"/>
      <c r="AK385" s="285"/>
    </row>
    <row r="386"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  <c r="AB386" s="285"/>
      <c r="AC386" s="285"/>
      <c r="AD386" s="285"/>
      <c r="AE386" s="285"/>
      <c r="AF386" s="285"/>
      <c r="AG386" s="285"/>
      <c r="AH386" s="285"/>
      <c r="AI386" s="285"/>
      <c r="AJ386" s="285"/>
      <c r="AK386" s="285"/>
    </row>
    <row r="387"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  <c r="AB387" s="285"/>
      <c r="AC387" s="285"/>
      <c r="AD387" s="285"/>
      <c r="AE387" s="285"/>
      <c r="AF387" s="285"/>
      <c r="AG387" s="285"/>
      <c r="AH387" s="285"/>
      <c r="AI387" s="285"/>
      <c r="AJ387" s="285"/>
      <c r="AK387" s="285"/>
    </row>
    <row r="388"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  <c r="AB388" s="285"/>
      <c r="AC388" s="285"/>
      <c r="AD388" s="285"/>
      <c r="AE388" s="285"/>
      <c r="AF388" s="285"/>
      <c r="AG388" s="285"/>
      <c r="AH388" s="285"/>
      <c r="AI388" s="285"/>
      <c r="AJ388" s="285"/>
      <c r="AK388" s="285"/>
    </row>
    <row r="389"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  <c r="AB389" s="285"/>
      <c r="AC389" s="285"/>
      <c r="AD389" s="285"/>
      <c r="AE389" s="285"/>
      <c r="AF389" s="285"/>
      <c r="AG389" s="285"/>
      <c r="AH389" s="285"/>
      <c r="AI389" s="285"/>
      <c r="AJ389" s="285"/>
      <c r="AK389" s="285"/>
    </row>
    <row r="390"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  <c r="AB390" s="285"/>
      <c r="AC390" s="285"/>
      <c r="AD390" s="285"/>
      <c r="AE390" s="285"/>
      <c r="AF390" s="285"/>
      <c r="AG390" s="285"/>
      <c r="AH390" s="285"/>
      <c r="AI390" s="285"/>
      <c r="AJ390" s="285"/>
      <c r="AK390" s="285"/>
    </row>
    <row r="391"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  <c r="AB391" s="285"/>
      <c r="AC391" s="285"/>
      <c r="AD391" s="285"/>
      <c r="AE391" s="285"/>
      <c r="AF391" s="285"/>
      <c r="AG391" s="285"/>
      <c r="AH391" s="285"/>
      <c r="AI391" s="285"/>
      <c r="AJ391" s="285"/>
      <c r="AK391" s="285"/>
    </row>
    <row r="392"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  <c r="AB392" s="285"/>
      <c r="AC392" s="285"/>
      <c r="AD392" s="285"/>
      <c r="AE392" s="285"/>
      <c r="AF392" s="285"/>
      <c r="AG392" s="285"/>
      <c r="AH392" s="285"/>
      <c r="AI392" s="285"/>
      <c r="AJ392" s="285"/>
      <c r="AK392" s="285"/>
    </row>
    <row r="393"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  <c r="AB393" s="285"/>
      <c r="AC393" s="285"/>
      <c r="AD393" s="285"/>
      <c r="AE393" s="285"/>
      <c r="AF393" s="285"/>
      <c r="AG393" s="285"/>
      <c r="AH393" s="285"/>
      <c r="AI393" s="285"/>
      <c r="AJ393" s="285"/>
      <c r="AK393" s="285"/>
    </row>
    <row r="394"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  <c r="AB394" s="285"/>
      <c r="AC394" s="285"/>
      <c r="AD394" s="285"/>
      <c r="AE394" s="285"/>
      <c r="AF394" s="285"/>
      <c r="AG394" s="285"/>
      <c r="AH394" s="285"/>
      <c r="AI394" s="285"/>
      <c r="AJ394" s="285"/>
      <c r="AK394" s="285"/>
    </row>
    <row r="395"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  <c r="AB395" s="285"/>
      <c r="AC395" s="285"/>
      <c r="AD395" s="285"/>
      <c r="AE395" s="285"/>
      <c r="AF395" s="285"/>
      <c r="AG395" s="285"/>
      <c r="AH395" s="285"/>
      <c r="AI395" s="285"/>
      <c r="AJ395" s="285"/>
      <c r="AK395" s="285"/>
    </row>
    <row r="396"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  <c r="AB396" s="285"/>
      <c r="AC396" s="285"/>
      <c r="AD396" s="285"/>
      <c r="AE396" s="285"/>
      <c r="AF396" s="285"/>
      <c r="AG396" s="285"/>
      <c r="AH396" s="285"/>
      <c r="AI396" s="285"/>
      <c r="AJ396" s="285"/>
      <c r="AK396" s="285"/>
    </row>
    <row r="397"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  <c r="AB397" s="285"/>
      <c r="AC397" s="285"/>
      <c r="AD397" s="285"/>
      <c r="AE397" s="285"/>
      <c r="AF397" s="285"/>
      <c r="AG397" s="285"/>
      <c r="AH397" s="285"/>
      <c r="AI397" s="285"/>
      <c r="AJ397" s="285"/>
      <c r="AK397" s="285"/>
    </row>
    <row r="398"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  <c r="AB398" s="285"/>
      <c r="AC398" s="285"/>
      <c r="AD398" s="285"/>
      <c r="AE398" s="285"/>
      <c r="AF398" s="285"/>
      <c r="AG398" s="285"/>
      <c r="AH398" s="285"/>
      <c r="AI398" s="285"/>
      <c r="AJ398" s="285"/>
      <c r="AK398" s="285"/>
    </row>
    <row r="399"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  <c r="AB399" s="285"/>
      <c r="AC399" s="285"/>
      <c r="AD399" s="285"/>
      <c r="AE399" s="285"/>
      <c r="AF399" s="285"/>
      <c r="AG399" s="285"/>
      <c r="AH399" s="285"/>
      <c r="AI399" s="285"/>
      <c r="AJ399" s="285"/>
      <c r="AK399" s="285"/>
    </row>
    <row r="400"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  <c r="AB400" s="285"/>
      <c r="AC400" s="285"/>
      <c r="AD400" s="285"/>
      <c r="AE400" s="285"/>
      <c r="AF400" s="285"/>
      <c r="AG400" s="285"/>
      <c r="AH400" s="285"/>
      <c r="AI400" s="285"/>
      <c r="AJ400" s="285"/>
      <c r="AK400" s="285"/>
    </row>
    <row r="401"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  <c r="AB401" s="285"/>
      <c r="AC401" s="285"/>
      <c r="AD401" s="285"/>
      <c r="AE401" s="285"/>
      <c r="AF401" s="285"/>
      <c r="AG401" s="285"/>
      <c r="AH401" s="285"/>
      <c r="AI401" s="285"/>
      <c r="AJ401" s="285"/>
      <c r="AK401" s="285"/>
    </row>
    <row r="402"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  <c r="AB402" s="285"/>
      <c r="AC402" s="285"/>
      <c r="AD402" s="285"/>
      <c r="AE402" s="285"/>
      <c r="AF402" s="285"/>
      <c r="AG402" s="285"/>
      <c r="AH402" s="285"/>
      <c r="AI402" s="285"/>
      <c r="AJ402" s="285"/>
      <c r="AK402" s="285"/>
    </row>
    <row r="403"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  <c r="AB403" s="285"/>
      <c r="AC403" s="285"/>
      <c r="AD403" s="285"/>
      <c r="AE403" s="285"/>
      <c r="AF403" s="285"/>
      <c r="AG403" s="285"/>
      <c r="AH403" s="285"/>
      <c r="AI403" s="285"/>
      <c r="AJ403" s="285"/>
      <c r="AK403" s="285"/>
    </row>
    <row r="404"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  <c r="AB404" s="285"/>
      <c r="AC404" s="285"/>
      <c r="AD404" s="285"/>
      <c r="AE404" s="285"/>
      <c r="AF404" s="285"/>
      <c r="AG404" s="285"/>
      <c r="AH404" s="285"/>
      <c r="AI404" s="285"/>
      <c r="AJ404" s="285"/>
      <c r="AK404" s="285"/>
    </row>
    <row r="405"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  <c r="AB405" s="285"/>
      <c r="AC405" s="285"/>
      <c r="AD405" s="285"/>
      <c r="AE405" s="285"/>
      <c r="AF405" s="285"/>
      <c r="AG405" s="285"/>
      <c r="AH405" s="285"/>
      <c r="AI405" s="285"/>
      <c r="AJ405" s="285"/>
      <c r="AK405" s="285"/>
    </row>
    <row r="406"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  <c r="AB406" s="285"/>
      <c r="AC406" s="285"/>
      <c r="AD406" s="285"/>
      <c r="AE406" s="285"/>
      <c r="AF406" s="285"/>
      <c r="AG406" s="285"/>
      <c r="AH406" s="285"/>
      <c r="AI406" s="285"/>
      <c r="AJ406" s="285"/>
      <c r="AK406" s="285"/>
    </row>
    <row r="407"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  <c r="AB407" s="285"/>
      <c r="AC407" s="285"/>
      <c r="AD407" s="285"/>
      <c r="AE407" s="285"/>
      <c r="AF407" s="285"/>
      <c r="AG407" s="285"/>
      <c r="AH407" s="285"/>
      <c r="AI407" s="285"/>
      <c r="AJ407" s="285"/>
      <c r="AK407" s="285"/>
    </row>
    <row r="408"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  <c r="AB408" s="285"/>
      <c r="AC408" s="285"/>
      <c r="AD408" s="285"/>
      <c r="AE408" s="285"/>
      <c r="AF408" s="285"/>
      <c r="AG408" s="285"/>
      <c r="AH408" s="285"/>
      <c r="AI408" s="285"/>
      <c r="AJ408" s="285"/>
      <c r="AK408" s="285"/>
    </row>
    <row r="409"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  <c r="AB409" s="285"/>
      <c r="AC409" s="285"/>
      <c r="AD409" s="285"/>
      <c r="AE409" s="285"/>
      <c r="AF409" s="285"/>
      <c r="AG409" s="285"/>
      <c r="AH409" s="285"/>
      <c r="AI409" s="285"/>
      <c r="AJ409" s="285"/>
      <c r="AK409" s="285"/>
    </row>
    <row r="410"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  <c r="AB410" s="285"/>
      <c r="AC410" s="285"/>
      <c r="AD410" s="285"/>
      <c r="AE410" s="285"/>
      <c r="AF410" s="285"/>
      <c r="AG410" s="285"/>
      <c r="AH410" s="285"/>
      <c r="AI410" s="285"/>
      <c r="AJ410" s="285"/>
      <c r="AK410" s="285"/>
    </row>
    <row r="411"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  <c r="AB411" s="285"/>
      <c r="AC411" s="285"/>
      <c r="AD411" s="285"/>
      <c r="AE411" s="285"/>
      <c r="AF411" s="285"/>
      <c r="AG411" s="285"/>
      <c r="AH411" s="285"/>
      <c r="AI411" s="285"/>
      <c r="AJ411" s="285"/>
      <c r="AK411" s="285"/>
    </row>
    <row r="412"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  <c r="AB412" s="285"/>
      <c r="AC412" s="285"/>
      <c r="AD412" s="285"/>
      <c r="AE412" s="285"/>
      <c r="AF412" s="285"/>
      <c r="AG412" s="285"/>
      <c r="AH412" s="285"/>
      <c r="AI412" s="285"/>
      <c r="AJ412" s="285"/>
      <c r="AK412" s="285"/>
    </row>
    <row r="413"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  <c r="AB413" s="285"/>
      <c r="AC413" s="285"/>
      <c r="AD413" s="285"/>
      <c r="AE413" s="285"/>
      <c r="AF413" s="285"/>
      <c r="AG413" s="285"/>
      <c r="AH413" s="285"/>
      <c r="AI413" s="285"/>
      <c r="AJ413" s="285"/>
      <c r="AK413" s="285"/>
    </row>
    <row r="414"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  <c r="AB414" s="285"/>
      <c r="AC414" s="285"/>
      <c r="AD414" s="285"/>
      <c r="AE414" s="285"/>
      <c r="AF414" s="285"/>
      <c r="AG414" s="285"/>
      <c r="AH414" s="285"/>
      <c r="AI414" s="285"/>
      <c r="AJ414" s="285"/>
      <c r="AK414" s="285"/>
    </row>
    <row r="415"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  <c r="AB415" s="285"/>
      <c r="AC415" s="285"/>
      <c r="AD415" s="285"/>
      <c r="AE415" s="285"/>
      <c r="AF415" s="285"/>
      <c r="AG415" s="285"/>
      <c r="AH415" s="285"/>
      <c r="AI415" s="285"/>
      <c r="AJ415" s="285"/>
      <c r="AK415" s="285"/>
    </row>
    <row r="416"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  <c r="AB416" s="285"/>
      <c r="AC416" s="285"/>
      <c r="AD416" s="285"/>
      <c r="AE416" s="285"/>
      <c r="AF416" s="285"/>
      <c r="AG416" s="285"/>
      <c r="AH416" s="285"/>
      <c r="AI416" s="285"/>
      <c r="AJ416" s="285"/>
      <c r="AK416" s="285"/>
    </row>
    <row r="417"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  <c r="AB417" s="285"/>
      <c r="AC417" s="285"/>
      <c r="AD417" s="285"/>
      <c r="AE417" s="285"/>
      <c r="AF417" s="285"/>
      <c r="AG417" s="285"/>
      <c r="AH417" s="285"/>
      <c r="AI417" s="285"/>
      <c r="AJ417" s="285"/>
      <c r="AK417" s="285"/>
    </row>
    <row r="418"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  <c r="AB418" s="285"/>
      <c r="AC418" s="285"/>
      <c r="AD418" s="285"/>
      <c r="AE418" s="285"/>
      <c r="AF418" s="285"/>
      <c r="AG418" s="285"/>
      <c r="AH418" s="285"/>
      <c r="AI418" s="285"/>
      <c r="AJ418" s="285"/>
      <c r="AK418" s="285"/>
    </row>
    <row r="419"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  <c r="AB419" s="285"/>
      <c r="AC419" s="285"/>
      <c r="AD419" s="285"/>
      <c r="AE419" s="285"/>
      <c r="AF419" s="285"/>
      <c r="AG419" s="285"/>
      <c r="AH419" s="285"/>
      <c r="AI419" s="285"/>
      <c r="AJ419" s="285"/>
      <c r="AK419" s="285"/>
    </row>
    <row r="420"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  <c r="AB420" s="285"/>
      <c r="AC420" s="285"/>
      <c r="AD420" s="285"/>
      <c r="AE420" s="285"/>
      <c r="AF420" s="285"/>
      <c r="AG420" s="285"/>
      <c r="AH420" s="285"/>
      <c r="AI420" s="285"/>
      <c r="AJ420" s="285"/>
      <c r="AK420" s="285"/>
    </row>
    <row r="421"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  <c r="AB421" s="285"/>
      <c r="AC421" s="285"/>
      <c r="AD421" s="285"/>
      <c r="AE421" s="285"/>
      <c r="AF421" s="285"/>
      <c r="AG421" s="285"/>
      <c r="AH421" s="285"/>
      <c r="AI421" s="285"/>
      <c r="AJ421" s="285"/>
      <c r="AK421" s="285"/>
    </row>
    <row r="422"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  <c r="AB422" s="285"/>
      <c r="AC422" s="285"/>
      <c r="AD422" s="285"/>
      <c r="AE422" s="285"/>
      <c r="AF422" s="285"/>
      <c r="AG422" s="285"/>
      <c r="AH422" s="285"/>
      <c r="AI422" s="285"/>
      <c r="AJ422" s="285"/>
      <c r="AK422" s="285"/>
    </row>
    <row r="423"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  <c r="AB423" s="285"/>
      <c r="AC423" s="285"/>
      <c r="AD423" s="285"/>
      <c r="AE423" s="285"/>
      <c r="AF423" s="285"/>
      <c r="AG423" s="285"/>
      <c r="AH423" s="285"/>
      <c r="AI423" s="285"/>
      <c r="AJ423" s="285"/>
      <c r="AK423" s="285"/>
    </row>
    <row r="424"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  <c r="AB424" s="285"/>
      <c r="AC424" s="285"/>
      <c r="AD424" s="285"/>
      <c r="AE424" s="285"/>
      <c r="AF424" s="285"/>
      <c r="AG424" s="285"/>
      <c r="AH424" s="285"/>
      <c r="AI424" s="285"/>
      <c r="AJ424" s="285"/>
      <c r="AK424" s="285"/>
    </row>
    <row r="425"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  <c r="AB425" s="285"/>
      <c r="AC425" s="285"/>
      <c r="AD425" s="285"/>
      <c r="AE425" s="285"/>
      <c r="AF425" s="285"/>
      <c r="AG425" s="285"/>
      <c r="AH425" s="285"/>
      <c r="AI425" s="285"/>
      <c r="AJ425" s="285"/>
      <c r="AK425" s="285"/>
    </row>
    <row r="426"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  <c r="AB426" s="285"/>
      <c r="AC426" s="285"/>
      <c r="AD426" s="285"/>
      <c r="AE426" s="285"/>
      <c r="AF426" s="285"/>
      <c r="AG426" s="285"/>
      <c r="AH426" s="285"/>
      <c r="AI426" s="285"/>
      <c r="AJ426" s="285"/>
      <c r="AK426" s="285"/>
    </row>
    <row r="427"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  <c r="AB427" s="285"/>
      <c r="AC427" s="285"/>
      <c r="AD427" s="285"/>
      <c r="AE427" s="285"/>
      <c r="AF427" s="285"/>
      <c r="AG427" s="285"/>
      <c r="AH427" s="285"/>
      <c r="AI427" s="285"/>
      <c r="AJ427" s="285"/>
      <c r="AK427" s="285"/>
    </row>
    <row r="428"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  <c r="AB428" s="285"/>
      <c r="AC428" s="285"/>
      <c r="AD428" s="285"/>
      <c r="AE428" s="285"/>
      <c r="AF428" s="285"/>
      <c r="AG428" s="285"/>
      <c r="AH428" s="285"/>
      <c r="AI428" s="285"/>
      <c r="AJ428" s="285"/>
      <c r="AK428" s="285"/>
    </row>
    <row r="429"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  <c r="AB429" s="285"/>
      <c r="AC429" s="285"/>
      <c r="AD429" s="285"/>
      <c r="AE429" s="285"/>
      <c r="AF429" s="285"/>
      <c r="AG429" s="285"/>
      <c r="AH429" s="285"/>
      <c r="AI429" s="285"/>
      <c r="AJ429" s="285"/>
      <c r="AK429" s="285"/>
    </row>
    <row r="430"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  <c r="AB430" s="285"/>
      <c r="AC430" s="285"/>
      <c r="AD430" s="285"/>
      <c r="AE430" s="285"/>
      <c r="AF430" s="285"/>
      <c r="AG430" s="285"/>
      <c r="AH430" s="285"/>
      <c r="AI430" s="285"/>
      <c r="AJ430" s="285"/>
      <c r="AK430" s="285"/>
    </row>
    <row r="431"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  <c r="AB431" s="285"/>
      <c r="AC431" s="285"/>
      <c r="AD431" s="285"/>
      <c r="AE431" s="285"/>
      <c r="AF431" s="285"/>
      <c r="AG431" s="285"/>
      <c r="AH431" s="285"/>
      <c r="AI431" s="285"/>
      <c r="AJ431" s="285"/>
      <c r="AK431" s="285"/>
    </row>
    <row r="432"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  <c r="AB432" s="285"/>
      <c r="AC432" s="285"/>
      <c r="AD432" s="285"/>
      <c r="AE432" s="285"/>
      <c r="AF432" s="285"/>
      <c r="AG432" s="285"/>
      <c r="AH432" s="285"/>
      <c r="AI432" s="285"/>
      <c r="AJ432" s="285"/>
      <c r="AK432" s="285"/>
    </row>
    <row r="433"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  <c r="AB433" s="285"/>
      <c r="AC433" s="285"/>
      <c r="AD433" s="285"/>
      <c r="AE433" s="285"/>
      <c r="AF433" s="285"/>
      <c r="AG433" s="285"/>
      <c r="AH433" s="285"/>
      <c r="AI433" s="285"/>
      <c r="AJ433" s="285"/>
      <c r="AK433" s="285"/>
    </row>
    <row r="434"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  <c r="AB434" s="285"/>
      <c r="AC434" s="285"/>
      <c r="AD434" s="285"/>
      <c r="AE434" s="285"/>
      <c r="AF434" s="285"/>
      <c r="AG434" s="285"/>
      <c r="AH434" s="285"/>
      <c r="AI434" s="285"/>
      <c r="AJ434" s="285"/>
      <c r="AK434" s="285"/>
    </row>
    <row r="435"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  <c r="AB435" s="285"/>
      <c r="AC435" s="285"/>
      <c r="AD435" s="285"/>
      <c r="AE435" s="285"/>
      <c r="AF435" s="285"/>
      <c r="AG435" s="285"/>
      <c r="AH435" s="285"/>
      <c r="AI435" s="285"/>
      <c r="AJ435" s="285"/>
      <c r="AK435" s="285"/>
    </row>
    <row r="436"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  <c r="AB436" s="285"/>
      <c r="AC436" s="285"/>
      <c r="AD436" s="285"/>
      <c r="AE436" s="285"/>
      <c r="AF436" s="285"/>
      <c r="AG436" s="285"/>
      <c r="AH436" s="285"/>
      <c r="AI436" s="285"/>
      <c r="AJ436" s="285"/>
      <c r="AK436" s="285"/>
    </row>
    <row r="437"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  <c r="AB437" s="285"/>
      <c r="AC437" s="285"/>
      <c r="AD437" s="285"/>
      <c r="AE437" s="285"/>
      <c r="AF437" s="285"/>
      <c r="AG437" s="285"/>
      <c r="AH437" s="285"/>
      <c r="AI437" s="285"/>
      <c r="AJ437" s="285"/>
      <c r="AK437" s="285"/>
    </row>
    <row r="438"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  <c r="AB438" s="285"/>
      <c r="AC438" s="285"/>
      <c r="AD438" s="285"/>
      <c r="AE438" s="285"/>
      <c r="AF438" s="285"/>
      <c r="AG438" s="285"/>
      <c r="AH438" s="285"/>
      <c r="AI438" s="285"/>
      <c r="AJ438" s="285"/>
      <c r="AK438" s="285"/>
    </row>
    <row r="439"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  <c r="AB439" s="285"/>
      <c r="AC439" s="285"/>
      <c r="AD439" s="285"/>
      <c r="AE439" s="285"/>
      <c r="AF439" s="285"/>
      <c r="AG439" s="285"/>
      <c r="AH439" s="285"/>
      <c r="AI439" s="285"/>
      <c r="AJ439" s="285"/>
      <c r="AK439" s="285"/>
    </row>
    <row r="440"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  <c r="AB440" s="285"/>
      <c r="AC440" s="285"/>
      <c r="AD440" s="285"/>
      <c r="AE440" s="285"/>
      <c r="AF440" s="285"/>
      <c r="AG440" s="285"/>
      <c r="AH440" s="285"/>
      <c r="AI440" s="285"/>
      <c r="AJ440" s="285"/>
      <c r="AK440" s="285"/>
    </row>
    <row r="441"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  <c r="AB441" s="285"/>
      <c r="AC441" s="285"/>
      <c r="AD441" s="285"/>
      <c r="AE441" s="285"/>
      <c r="AF441" s="285"/>
      <c r="AG441" s="285"/>
      <c r="AH441" s="285"/>
      <c r="AI441" s="285"/>
      <c r="AJ441" s="285"/>
      <c r="AK441" s="285"/>
    </row>
    <row r="442"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  <c r="AB442" s="285"/>
      <c r="AC442" s="285"/>
      <c r="AD442" s="285"/>
      <c r="AE442" s="285"/>
      <c r="AF442" s="285"/>
      <c r="AG442" s="285"/>
      <c r="AH442" s="285"/>
      <c r="AI442" s="285"/>
      <c r="AJ442" s="285"/>
      <c r="AK442" s="285"/>
    </row>
    <row r="443"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  <c r="AB443" s="285"/>
      <c r="AC443" s="285"/>
      <c r="AD443" s="285"/>
      <c r="AE443" s="285"/>
      <c r="AF443" s="285"/>
      <c r="AG443" s="285"/>
      <c r="AH443" s="285"/>
      <c r="AI443" s="285"/>
      <c r="AJ443" s="285"/>
      <c r="AK443" s="285"/>
    </row>
    <row r="444"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  <c r="AB444" s="285"/>
      <c r="AC444" s="285"/>
      <c r="AD444" s="285"/>
      <c r="AE444" s="285"/>
      <c r="AF444" s="285"/>
      <c r="AG444" s="285"/>
      <c r="AH444" s="285"/>
      <c r="AI444" s="285"/>
      <c r="AJ444" s="285"/>
      <c r="AK444" s="285"/>
    </row>
    <row r="445"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  <c r="AB445" s="285"/>
      <c r="AC445" s="285"/>
      <c r="AD445" s="285"/>
      <c r="AE445" s="285"/>
      <c r="AF445" s="285"/>
      <c r="AG445" s="285"/>
      <c r="AH445" s="285"/>
      <c r="AI445" s="285"/>
      <c r="AJ445" s="285"/>
      <c r="AK445" s="285"/>
    </row>
    <row r="446"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  <c r="AB446" s="285"/>
      <c r="AC446" s="285"/>
      <c r="AD446" s="285"/>
      <c r="AE446" s="285"/>
      <c r="AF446" s="285"/>
      <c r="AG446" s="285"/>
      <c r="AH446" s="285"/>
      <c r="AI446" s="285"/>
      <c r="AJ446" s="285"/>
      <c r="AK446" s="285"/>
    </row>
    <row r="447"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  <c r="AB447" s="285"/>
      <c r="AC447" s="285"/>
      <c r="AD447" s="285"/>
      <c r="AE447" s="285"/>
      <c r="AF447" s="285"/>
      <c r="AG447" s="285"/>
      <c r="AH447" s="285"/>
      <c r="AI447" s="285"/>
      <c r="AJ447" s="285"/>
      <c r="AK447" s="285"/>
    </row>
    <row r="448"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  <c r="AB448" s="285"/>
      <c r="AC448" s="285"/>
      <c r="AD448" s="285"/>
      <c r="AE448" s="285"/>
      <c r="AF448" s="285"/>
      <c r="AG448" s="285"/>
      <c r="AH448" s="285"/>
      <c r="AI448" s="285"/>
      <c r="AJ448" s="285"/>
      <c r="AK448" s="285"/>
    </row>
    <row r="449"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  <c r="AB449" s="285"/>
      <c r="AC449" s="285"/>
      <c r="AD449" s="285"/>
      <c r="AE449" s="285"/>
      <c r="AF449" s="285"/>
      <c r="AG449" s="285"/>
      <c r="AH449" s="285"/>
      <c r="AI449" s="285"/>
      <c r="AJ449" s="285"/>
      <c r="AK449" s="285"/>
    </row>
    <row r="450"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  <c r="AB450" s="285"/>
      <c r="AC450" s="285"/>
      <c r="AD450" s="285"/>
      <c r="AE450" s="285"/>
      <c r="AF450" s="285"/>
      <c r="AG450" s="285"/>
      <c r="AH450" s="285"/>
      <c r="AI450" s="285"/>
      <c r="AJ450" s="285"/>
      <c r="AK450" s="285"/>
    </row>
    <row r="451"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  <c r="AB451" s="285"/>
      <c r="AC451" s="285"/>
      <c r="AD451" s="285"/>
      <c r="AE451" s="285"/>
      <c r="AF451" s="285"/>
      <c r="AG451" s="285"/>
      <c r="AH451" s="285"/>
      <c r="AI451" s="285"/>
      <c r="AJ451" s="285"/>
      <c r="AK451" s="285"/>
    </row>
    <row r="452"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  <c r="AB452" s="285"/>
      <c r="AC452" s="285"/>
      <c r="AD452" s="285"/>
      <c r="AE452" s="285"/>
      <c r="AF452" s="285"/>
      <c r="AG452" s="285"/>
      <c r="AH452" s="285"/>
      <c r="AI452" s="285"/>
      <c r="AJ452" s="285"/>
      <c r="AK452" s="285"/>
    </row>
    <row r="453"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  <c r="AB453" s="285"/>
      <c r="AC453" s="285"/>
      <c r="AD453" s="285"/>
      <c r="AE453" s="285"/>
      <c r="AF453" s="285"/>
      <c r="AG453" s="285"/>
      <c r="AH453" s="285"/>
      <c r="AI453" s="285"/>
      <c r="AJ453" s="285"/>
      <c r="AK453" s="285"/>
    </row>
    <row r="454"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  <c r="AB454" s="285"/>
      <c r="AC454" s="285"/>
      <c r="AD454" s="285"/>
      <c r="AE454" s="285"/>
      <c r="AF454" s="285"/>
      <c r="AG454" s="285"/>
      <c r="AH454" s="285"/>
      <c r="AI454" s="285"/>
      <c r="AJ454" s="285"/>
      <c r="AK454" s="285"/>
    </row>
    <row r="455"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  <c r="AB455" s="285"/>
      <c r="AC455" s="285"/>
      <c r="AD455" s="285"/>
      <c r="AE455" s="285"/>
      <c r="AF455" s="285"/>
      <c r="AG455" s="285"/>
      <c r="AH455" s="285"/>
      <c r="AI455" s="285"/>
      <c r="AJ455" s="285"/>
      <c r="AK455" s="285"/>
    </row>
    <row r="456"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  <c r="AB456" s="285"/>
      <c r="AC456" s="285"/>
      <c r="AD456" s="285"/>
      <c r="AE456" s="285"/>
      <c r="AF456" s="285"/>
      <c r="AG456" s="285"/>
      <c r="AH456" s="285"/>
      <c r="AI456" s="285"/>
      <c r="AJ456" s="285"/>
      <c r="AK456" s="285"/>
    </row>
    <row r="457"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  <c r="AB457" s="285"/>
      <c r="AC457" s="285"/>
      <c r="AD457" s="285"/>
      <c r="AE457" s="285"/>
      <c r="AF457" s="285"/>
      <c r="AG457" s="285"/>
      <c r="AH457" s="285"/>
      <c r="AI457" s="285"/>
      <c r="AJ457" s="285"/>
      <c r="AK457" s="285"/>
    </row>
    <row r="458"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  <c r="AB458" s="285"/>
      <c r="AC458" s="285"/>
      <c r="AD458" s="285"/>
      <c r="AE458" s="285"/>
      <c r="AF458" s="285"/>
      <c r="AG458" s="285"/>
      <c r="AH458" s="285"/>
      <c r="AI458" s="285"/>
      <c r="AJ458" s="285"/>
      <c r="AK458" s="285"/>
    </row>
    <row r="459"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  <c r="AB459" s="285"/>
      <c r="AC459" s="285"/>
      <c r="AD459" s="285"/>
      <c r="AE459" s="285"/>
      <c r="AF459" s="285"/>
      <c r="AG459" s="285"/>
      <c r="AH459" s="285"/>
      <c r="AI459" s="285"/>
      <c r="AJ459" s="285"/>
      <c r="AK459" s="285"/>
    </row>
    <row r="460"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  <c r="AB460" s="285"/>
      <c r="AC460" s="285"/>
      <c r="AD460" s="285"/>
      <c r="AE460" s="285"/>
      <c r="AF460" s="285"/>
      <c r="AG460" s="285"/>
      <c r="AH460" s="285"/>
      <c r="AI460" s="285"/>
      <c r="AJ460" s="285"/>
      <c r="AK460" s="285"/>
    </row>
    <row r="461"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  <c r="AB461" s="285"/>
      <c r="AC461" s="285"/>
      <c r="AD461" s="285"/>
      <c r="AE461" s="285"/>
      <c r="AF461" s="285"/>
      <c r="AG461" s="285"/>
      <c r="AH461" s="285"/>
      <c r="AI461" s="285"/>
      <c r="AJ461" s="285"/>
      <c r="AK461" s="285"/>
    </row>
    <row r="462"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  <c r="AB462" s="285"/>
      <c r="AC462" s="285"/>
      <c r="AD462" s="285"/>
      <c r="AE462" s="285"/>
      <c r="AF462" s="285"/>
      <c r="AG462" s="285"/>
      <c r="AH462" s="285"/>
      <c r="AI462" s="285"/>
      <c r="AJ462" s="285"/>
      <c r="AK462" s="285"/>
    </row>
    <row r="463"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  <c r="AB463" s="285"/>
      <c r="AC463" s="285"/>
      <c r="AD463" s="285"/>
      <c r="AE463" s="285"/>
      <c r="AF463" s="285"/>
      <c r="AG463" s="285"/>
      <c r="AH463" s="285"/>
      <c r="AI463" s="285"/>
      <c r="AJ463" s="285"/>
      <c r="AK463" s="285"/>
    </row>
    <row r="464"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  <c r="AB464" s="285"/>
      <c r="AC464" s="285"/>
      <c r="AD464" s="285"/>
      <c r="AE464" s="285"/>
      <c r="AF464" s="285"/>
      <c r="AG464" s="285"/>
      <c r="AH464" s="285"/>
      <c r="AI464" s="285"/>
      <c r="AJ464" s="285"/>
      <c r="AK464" s="285"/>
    </row>
    <row r="465"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  <c r="AB465" s="285"/>
      <c r="AC465" s="285"/>
      <c r="AD465" s="285"/>
      <c r="AE465" s="285"/>
      <c r="AF465" s="285"/>
      <c r="AG465" s="285"/>
      <c r="AH465" s="285"/>
      <c r="AI465" s="285"/>
      <c r="AJ465" s="285"/>
      <c r="AK465" s="285"/>
    </row>
    <row r="466"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  <c r="AB466" s="285"/>
      <c r="AC466" s="285"/>
      <c r="AD466" s="285"/>
      <c r="AE466" s="285"/>
      <c r="AF466" s="285"/>
      <c r="AG466" s="285"/>
      <c r="AH466" s="285"/>
      <c r="AI466" s="285"/>
      <c r="AJ466" s="285"/>
      <c r="AK466" s="285"/>
    </row>
    <row r="467"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  <c r="AB467" s="285"/>
      <c r="AC467" s="285"/>
      <c r="AD467" s="285"/>
      <c r="AE467" s="285"/>
      <c r="AF467" s="285"/>
      <c r="AG467" s="285"/>
      <c r="AH467" s="285"/>
      <c r="AI467" s="285"/>
      <c r="AJ467" s="285"/>
      <c r="AK467" s="285"/>
    </row>
    <row r="468"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  <c r="AB468" s="285"/>
      <c r="AC468" s="285"/>
      <c r="AD468" s="285"/>
      <c r="AE468" s="285"/>
      <c r="AF468" s="285"/>
      <c r="AG468" s="285"/>
      <c r="AH468" s="285"/>
      <c r="AI468" s="285"/>
      <c r="AJ468" s="285"/>
      <c r="AK468" s="285"/>
    </row>
    <row r="469"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  <c r="AB469" s="285"/>
      <c r="AC469" s="285"/>
      <c r="AD469" s="285"/>
      <c r="AE469" s="285"/>
      <c r="AF469" s="285"/>
      <c r="AG469" s="285"/>
      <c r="AH469" s="285"/>
      <c r="AI469" s="285"/>
      <c r="AJ469" s="285"/>
      <c r="AK469" s="285"/>
    </row>
    <row r="470"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  <c r="AB470" s="285"/>
      <c r="AC470" s="285"/>
      <c r="AD470" s="285"/>
      <c r="AE470" s="285"/>
      <c r="AF470" s="285"/>
      <c r="AG470" s="285"/>
      <c r="AH470" s="285"/>
      <c r="AI470" s="285"/>
      <c r="AJ470" s="285"/>
      <c r="AK470" s="285"/>
    </row>
    <row r="471"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  <c r="AB471" s="285"/>
      <c r="AC471" s="285"/>
      <c r="AD471" s="285"/>
      <c r="AE471" s="285"/>
      <c r="AF471" s="285"/>
      <c r="AG471" s="285"/>
      <c r="AH471" s="285"/>
      <c r="AI471" s="285"/>
      <c r="AJ471" s="285"/>
      <c r="AK471" s="285"/>
    </row>
    <row r="472"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  <c r="AB472" s="285"/>
      <c r="AC472" s="285"/>
      <c r="AD472" s="285"/>
      <c r="AE472" s="285"/>
      <c r="AF472" s="285"/>
      <c r="AG472" s="285"/>
      <c r="AH472" s="285"/>
      <c r="AI472" s="285"/>
      <c r="AJ472" s="285"/>
      <c r="AK472" s="285"/>
    </row>
    <row r="473"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  <c r="AB473" s="285"/>
      <c r="AC473" s="285"/>
      <c r="AD473" s="285"/>
      <c r="AE473" s="285"/>
      <c r="AF473" s="285"/>
      <c r="AG473" s="285"/>
      <c r="AH473" s="285"/>
      <c r="AI473" s="285"/>
      <c r="AJ473" s="285"/>
      <c r="AK473" s="285"/>
    </row>
    <row r="474"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  <c r="AB474" s="285"/>
      <c r="AC474" s="285"/>
      <c r="AD474" s="285"/>
      <c r="AE474" s="285"/>
      <c r="AF474" s="285"/>
      <c r="AG474" s="285"/>
      <c r="AH474" s="285"/>
      <c r="AI474" s="285"/>
      <c r="AJ474" s="285"/>
      <c r="AK474" s="285"/>
    </row>
    <row r="475"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  <c r="AB475" s="285"/>
      <c r="AC475" s="285"/>
      <c r="AD475" s="285"/>
      <c r="AE475" s="285"/>
      <c r="AF475" s="285"/>
      <c r="AG475" s="285"/>
      <c r="AH475" s="285"/>
      <c r="AI475" s="285"/>
      <c r="AJ475" s="285"/>
      <c r="AK475" s="285"/>
    </row>
    <row r="476"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  <c r="AB476" s="285"/>
      <c r="AC476" s="285"/>
      <c r="AD476" s="285"/>
      <c r="AE476" s="285"/>
      <c r="AF476" s="285"/>
      <c r="AG476" s="285"/>
      <c r="AH476" s="285"/>
      <c r="AI476" s="285"/>
      <c r="AJ476" s="285"/>
      <c r="AK476" s="285"/>
    </row>
    <row r="477"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  <c r="AB477" s="285"/>
      <c r="AC477" s="285"/>
      <c r="AD477" s="285"/>
      <c r="AE477" s="285"/>
      <c r="AF477" s="285"/>
      <c r="AG477" s="285"/>
      <c r="AH477" s="285"/>
      <c r="AI477" s="285"/>
      <c r="AJ477" s="285"/>
      <c r="AK477" s="285"/>
    </row>
    <row r="478"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  <c r="AB478" s="285"/>
      <c r="AC478" s="285"/>
      <c r="AD478" s="285"/>
      <c r="AE478" s="285"/>
      <c r="AF478" s="285"/>
      <c r="AG478" s="285"/>
      <c r="AH478" s="285"/>
      <c r="AI478" s="285"/>
      <c r="AJ478" s="285"/>
      <c r="AK478" s="285"/>
    </row>
    <row r="479"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  <c r="AB479" s="285"/>
      <c r="AC479" s="285"/>
      <c r="AD479" s="285"/>
      <c r="AE479" s="285"/>
      <c r="AF479" s="285"/>
      <c r="AG479" s="285"/>
      <c r="AH479" s="285"/>
      <c r="AI479" s="285"/>
      <c r="AJ479" s="285"/>
      <c r="AK479" s="285"/>
    </row>
    <row r="480"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  <c r="AB480" s="285"/>
      <c r="AC480" s="285"/>
      <c r="AD480" s="285"/>
      <c r="AE480" s="285"/>
      <c r="AF480" s="285"/>
      <c r="AG480" s="285"/>
      <c r="AH480" s="285"/>
      <c r="AI480" s="285"/>
      <c r="AJ480" s="285"/>
      <c r="AK480" s="285"/>
    </row>
    <row r="481"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  <c r="AB481" s="285"/>
      <c r="AC481" s="285"/>
      <c r="AD481" s="285"/>
      <c r="AE481" s="285"/>
      <c r="AF481" s="285"/>
      <c r="AG481" s="285"/>
      <c r="AH481" s="285"/>
      <c r="AI481" s="285"/>
      <c r="AJ481" s="285"/>
      <c r="AK481" s="285"/>
    </row>
    <row r="482"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  <c r="AB482" s="285"/>
      <c r="AC482" s="285"/>
      <c r="AD482" s="285"/>
      <c r="AE482" s="285"/>
      <c r="AF482" s="285"/>
      <c r="AG482" s="285"/>
      <c r="AH482" s="285"/>
      <c r="AI482" s="285"/>
      <c r="AJ482" s="285"/>
      <c r="AK482" s="285"/>
    </row>
    <row r="483"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  <c r="AB483" s="285"/>
      <c r="AC483" s="285"/>
      <c r="AD483" s="285"/>
      <c r="AE483" s="285"/>
      <c r="AF483" s="285"/>
      <c r="AG483" s="285"/>
      <c r="AH483" s="285"/>
      <c r="AI483" s="285"/>
      <c r="AJ483" s="285"/>
      <c r="AK483" s="285"/>
    </row>
    <row r="484"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  <c r="AB484" s="285"/>
      <c r="AC484" s="285"/>
      <c r="AD484" s="285"/>
      <c r="AE484" s="285"/>
      <c r="AF484" s="285"/>
      <c r="AG484" s="285"/>
      <c r="AH484" s="285"/>
      <c r="AI484" s="285"/>
      <c r="AJ484" s="285"/>
      <c r="AK484" s="285"/>
    </row>
    <row r="485"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  <c r="AB485" s="285"/>
      <c r="AC485" s="285"/>
      <c r="AD485" s="285"/>
      <c r="AE485" s="285"/>
      <c r="AF485" s="285"/>
      <c r="AG485" s="285"/>
      <c r="AH485" s="285"/>
      <c r="AI485" s="285"/>
      <c r="AJ485" s="285"/>
      <c r="AK485" s="285"/>
    </row>
    <row r="486"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  <c r="AB486" s="285"/>
      <c r="AC486" s="285"/>
      <c r="AD486" s="285"/>
      <c r="AE486" s="285"/>
      <c r="AF486" s="285"/>
      <c r="AG486" s="285"/>
      <c r="AH486" s="285"/>
      <c r="AI486" s="285"/>
      <c r="AJ486" s="285"/>
      <c r="AK486" s="285"/>
    </row>
    <row r="487"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  <c r="AB487" s="285"/>
      <c r="AC487" s="285"/>
      <c r="AD487" s="285"/>
      <c r="AE487" s="285"/>
      <c r="AF487" s="285"/>
      <c r="AG487" s="285"/>
      <c r="AH487" s="285"/>
      <c r="AI487" s="285"/>
      <c r="AJ487" s="285"/>
      <c r="AK487" s="285"/>
    </row>
    <row r="488"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  <c r="AB488" s="285"/>
      <c r="AC488" s="285"/>
      <c r="AD488" s="285"/>
      <c r="AE488" s="285"/>
      <c r="AF488" s="285"/>
      <c r="AG488" s="285"/>
      <c r="AH488" s="285"/>
      <c r="AI488" s="285"/>
      <c r="AJ488" s="285"/>
      <c r="AK488" s="285"/>
    </row>
    <row r="489"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  <c r="AB489" s="285"/>
      <c r="AC489" s="285"/>
      <c r="AD489" s="285"/>
      <c r="AE489" s="285"/>
      <c r="AF489" s="285"/>
      <c r="AG489" s="285"/>
      <c r="AH489" s="285"/>
      <c r="AI489" s="285"/>
      <c r="AJ489" s="285"/>
      <c r="AK489" s="285"/>
    </row>
    <row r="490"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  <c r="AB490" s="285"/>
      <c r="AC490" s="285"/>
      <c r="AD490" s="285"/>
      <c r="AE490" s="285"/>
      <c r="AF490" s="285"/>
      <c r="AG490" s="285"/>
      <c r="AH490" s="285"/>
      <c r="AI490" s="285"/>
      <c r="AJ490" s="285"/>
      <c r="AK490" s="285"/>
    </row>
    <row r="491"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  <c r="AB491" s="285"/>
      <c r="AC491" s="285"/>
      <c r="AD491" s="285"/>
      <c r="AE491" s="285"/>
      <c r="AF491" s="285"/>
      <c r="AG491" s="285"/>
      <c r="AH491" s="285"/>
      <c r="AI491" s="285"/>
      <c r="AJ491" s="285"/>
      <c r="AK491" s="285"/>
    </row>
    <row r="492"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  <c r="AB492" s="285"/>
      <c r="AC492" s="285"/>
      <c r="AD492" s="285"/>
      <c r="AE492" s="285"/>
      <c r="AF492" s="285"/>
      <c r="AG492" s="285"/>
      <c r="AH492" s="285"/>
      <c r="AI492" s="285"/>
      <c r="AJ492" s="285"/>
      <c r="AK492" s="285"/>
    </row>
    <row r="493"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  <c r="AB493" s="285"/>
      <c r="AC493" s="285"/>
      <c r="AD493" s="285"/>
      <c r="AE493" s="285"/>
      <c r="AF493" s="285"/>
      <c r="AG493" s="285"/>
      <c r="AH493" s="285"/>
      <c r="AI493" s="285"/>
      <c r="AJ493" s="285"/>
      <c r="AK493" s="285"/>
    </row>
    <row r="494"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  <c r="AB494" s="285"/>
      <c r="AC494" s="285"/>
      <c r="AD494" s="285"/>
      <c r="AE494" s="285"/>
      <c r="AF494" s="285"/>
      <c r="AG494" s="285"/>
      <c r="AH494" s="285"/>
      <c r="AI494" s="285"/>
      <c r="AJ494" s="285"/>
      <c r="AK494" s="285"/>
    </row>
    <row r="495"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  <c r="AB495" s="285"/>
      <c r="AC495" s="285"/>
      <c r="AD495" s="285"/>
      <c r="AE495" s="285"/>
      <c r="AF495" s="285"/>
      <c r="AG495" s="285"/>
      <c r="AH495" s="285"/>
      <c r="AI495" s="285"/>
      <c r="AJ495" s="285"/>
      <c r="AK495" s="285"/>
    </row>
    <row r="496"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  <c r="AB496" s="285"/>
      <c r="AC496" s="285"/>
      <c r="AD496" s="285"/>
      <c r="AE496" s="285"/>
      <c r="AF496" s="285"/>
      <c r="AG496" s="285"/>
      <c r="AH496" s="285"/>
      <c r="AI496" s="285"/>
      <c r="AJ496" s="285"/>
      <c r="AK496" s="285"/>
    </row>
    <row r="497"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Q497" s="337"/>
      <c r="R497" s="337"/>
      <c r="S497" s="337"/>
      <c r="T497" s="337"/>
      <c r="U497" s="337"/>
      <c r="V497" s="337"/>
      <c r="W497" s="337"/>
      <c r="X497" s="337"/>
      <c r="Y497" s="337"/>
      <c r="Z497" s="337"/>
      <c r="AB497" s="337"/>
      <c r="AC497" s="337"/>
      <c r="AD497" s="337"/>
      <c r="AE497" s="337"/>
      <c r="AF497" s="337"/>
      <c r="AG497" s="337"/>
      <c r="AH497" s="337"/>
      <c r="AI497" s="337"/>
      <c r="AJ497" s="337"/>
      <c r="AK497" s="337"/>
    </row>
  </sheetData>
  <mergeCells count="6">
    <mergeCell ref="B19:C19"/>
    <mergeCell ref="B20:C21"/>
    <mergeCell ref="B23:C23"/>
    <mergeCell ref="B24:C25"/>
    <mergeCell ref="B27:C27"/>
    <mergeCell ref="B28:C29"/>
  </mergeCells>
  <conditionalFormatting sqref="F3:O497">
    <cfRule type="expression" dxfId="9" priority="1">
      <formula>$J3="Leads Baru"</formula>
    </cfRule>
  </conditionalFormatting>
  <conditionalFormatting sqref="F3:O497">
    <cfRule type="expression" dxfId="10" priority="2">
      <formula>$J3="Qualified"</formula>
    </cfRule>
  </conditionalFormatting>
  <conditionalFormatting sqref="F3:O497">
    <cfRule type="expression" dxfId="11" priority="3">
      <formula>$J3="Prospek"</formula>
    </cfRule>
  </conditionalFormatting>
  <conditionalFormatting sqref="F3:O497">
    <cfRule type="expression" dxfId="12" priority="4">
      <formula>$J3="Follow Up"</formula>
    </cfRule>
  </conditionalFormatting>
  <conditionalFormatting sqref="F3:O497">
    <cfRule type="expression" dxfId="13" priority="5">
      <formula>$J3="Warm Leads"</formula>
    </cfRule>
  </conditionalFormatting>
  <conditionalFormatting sqref="F3:O497">
    <cfRule type="expression" dxfId="14" priority="6">
      <formula>$J3="Hot Leads"</formula>
    </cfRule>
  </conditionalFormatting>
  <dataValidations>
    <dataValidation type="list" allowBlank="1" showErrorMessage="1" sqref="C2">
      <formula1>"2024,2025,2026,2027"</formula1>
    </dataValidation>
    <dataValidation type="list" allowBlank="1" showErrorMessage="1" sqref="B2">
      <formula1>"Januari,Februari,Maret,April,Mei,Juni,Juli,Agustus,September,Oktober,November,Desember"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88"/>
    <col customWidth="1" min="2" max="2" width="15.75"/>
    <col customWidth="1" min="3" max="3" width="10.75"/>
    <col customWidth="1" min="4" max="5" width="3.88"/>
    <col customWidth="1" min="6" max="7" width="9.5"/>
    <col customWidth="1" min="8" max="8" width="25.63"/>
    <col customWidth="1" min="9" max="9" width="15.75"/>
    <col customWidth="1" min="10" max="10" width="10.38"/>
    <col customWidth="1" min="11" max="12" width="17.5"/>
    <col customWidth="1" min="13" max="13" width="5.63"/>
    <col customWidth="1" min="14" max="14" width="14.63"/>
    <col customWidth="1" min="15" max="15" width="35.63"/>
    <col customWidth="1" min="16" max="16" width="7.25"/>
    <col customWidth="1" min="17" max="18" width="9.5"/>
    <col customWidth="1" min="19" max="19" width="25.63"/>
    <col customWidth="1" min="20" max="20" width="15.75"/>
    <col customWidth="1" min="21" max="21" width="10.38"/>
    <col customWidth="1" min="22" max="23" width="17.5"/>
    <col customWidth="1" min="24" max="24" width="5.63"/>
    <col customWidth="1" min="25" max="25" width="14.63"/>
    <col customWidth="1" min="26" max="26" width="35.63"/>
    <col customWidth="1" min="27" max="27" width="7.25"/>
    <col customWidth="1" min="28" max="29" width="9.5"/>
    <col customWidth="1" min="30" max="30" width="25.63"/>
    <col customWidth="1" min="31" max="31" width="15.75"/>
    <col customWidth="1" min="32" max="32" width="10.38"/>
    <col customWidth="1" min="33" max="34" width="17.5"/>
    <col customWidth="1" min="35" max="35" width="5.63"/>
    <col customWidth="1" min="36" max="36" width="14.63"/>
    <col customWidth="1" min="37" max="37" width="35.63"/>
    <col customWidth="1" min="38" max="38" width="7.25"/>
  </cols>
  <sheetData>
    <row r="1">
      <c r="Q1" s="200"/>
      <c r="AB1" s="200"/>
    </row>
    <row r="2">
      <c r="A2" s="272"/>
      <c r="B2" s="344" t="s">
        <v>1199</v>
      </c>
      <c r="C2" s="345">
        <v>2026.0</v>
      </c>
      <c r="D2" s="272"/>
      <c r="E2" s="272"/>
      <c r="F2" s="275" t="str">
        <f>IFERROR(__xludf.DUMMYFUNCTION("QUERY(
 'Input Data'!A:M,
 ""select A,B,C,D,G,H,I,J,K,L
  where F = 'Alvin'
    and M &lt;= 6
    and month(B) = ""&amp;
     (MATCH(B2,
       {""Januari"";""Februari"";""Maret"";""April"";""Mei"";""Juni"";
        ""Juli"";""Agustus"";""September"";""Oktober"""&amp;";""November"";""Desember""},
       0
     )-1)&amp;
   "" and year(B) = ""&amp;C2&amp;""
  order by M asc"",
 1
)
"),"KODE")</f>
        <v>KODE</v>
      </c>
      <c r="G2" s="275" t="str">
        <f>IFERROR(__xludf.DUMMYFUNCTION("""COMPUTED_VALUE"""),"TANGGAL")</f>
        <v>TANGGAL</v>
      </c>
      <c r="H2" s="275" t="str">
        <f>IFERROR(__xludf.DUMMYFUNCTION("""COMPUTED_VALUE"""),"NAMA")</f>
        <v>NAMA</v>
      </c>
      <c r="I2" s="275" t="str">
        <f>IFERROR(__xludf.DUMMYFUNCTION("""COMPUTED_VALUE"""),"WHATSAPP")</f>
        <v>WHATSAPP</v>
      </c>
      <c r="J2" s="275" t="str">
        <f>IFERROR(__xludf.DUMMYFUNCTION("""COMPUTED_VALUE"""),"STATUS")</f>
        <v>STATUS</v>
      </c>
      <c r="K2" s="275" t="str">
        <f>IFERROR(__xludf.DUMMYFUNCTION("""COMPUTED_VALUE"""),"PAKET / DESTINASI")</f>
        <v>PAKET / DESTINASI</v>
      </c>
      <c r="L2" s="275" t="str">
        <f>IFERROR(__xludf.DUMMYFUNCTION("""COMPUTED_VALUE"""),"TANGGAL TRIP")</f>
        <v>TANGGAL TRIP</v>
      </c>
      <c r="M2" s="275" t="str">
        <f>IFERROR(__xludf.DUMMYFUNCTION("""COMPUTED_VALUE"""),"PAX")</f>
        <v>PAX</v>
      </c>
      <c r="N2" s="275" t="str">
        <f>IFERROR(__xludf.DUMMYFUNCTION("""COMPUTED_VALUE"""),"ESTIMASI NILAI ORDER")</f>
        <v>ESTIMASI NILAI ORDER</v>
      </c>
      <c r="O2" s="275" t="str">
        <f>IFERROR(__xludf.DUMMYFUNCTION("""COMPUTED_VALUE"""),"KETERANGAN")</f>
        <v>KETERANGAN</v>
      </c>
      <c r="P2" s="272"/>
      <c r="Q2" s="280" t="str">
        <f>IFERROR(__xludf.DUMMYFUNCTION("QUERY(
 'Input Data'!A:M,
 ""select A,B,C,D,G,H,I,J,K,L
  where F = 'Alvin'
    and M =7
    and month(B) = ""&amp;
     (MATCH(B2,
       {""Januari"";""Februari"";""Maret"";""April"";""Mei"";""Juni"";
        ""Juli"";""Agustus"";""September"";""Oktober"";"&amp;"""November"";""Desember""},
       0
     )-1)&amp;
   "" and year(B) = ""&amp;C2&amp;""
  order by M asc"",
 1
)
"),"KODE")</f>
        <v>KODE</v>
      </c>
      <c r="R2" s="280" t="str">
        <f>IFERROR(__xludf.DUMMYFUNCTION("""COMPUTED_VALUE"""),"TANGGAL")</f>
        <v>TANGGAL</v>
      </c>
      <c r="S2" s="280" t="str">
        <f>IFERROR(__xludf.DUMMYFUNCTION("""COMPUTED_VALUE"""),"NAMA")</f>
        <v>NAMA</v>
      </c>
      <c r="T2" s="280" t="str">
        <f>IFERROR(__xludf.DUMMYFUNCTION("""COMPUTED_VALUE"""),"WHATSAPP")</f>
        <v>WHATSAPP</v>
      </c>
      <c r="U2" s="280" t="str">
        <f>IFERROR(__xludf.DUMMYFUNCTION("""COMPUTED_VALUE"""),"STATUS")</f>
        <v>STATUS</v>
      </c>
      <c r="V2" s="280" t="str">
        <f>IFERROR(__xludf.DUMMYFUNCTION("""COMPUTED_VALUE"""),"PAKET / DESTINASI")</f>
        <v>PAKET / DESTINASI</v>
      </c>
      <c r="W2" s="280" t="str">
        <f>IFERROR(__xludf.DUMMYFUNCTION("""COMPUTED_VALUE"""),"TANGGAL TRIP")</f>
        <v>TANGGAL TRIP</v>
      </c>
      <c r="X2" s="280" t="str">
        <f>IFERROR(__xludf.DUMMYFUNCTION("""COMPUTED_VALUE"""),"PAX")</f>
        <v>PAX</v>
      </c>
      <c r="Y2" s="280" t="str">
        <f>IFERROR(__xludf.DUMMYFUNCTION("""COMPUTED_VALUE"""),"ESTIMASI NILAI ORDER")</f>
        <v>ESTIMASI NILAI ORDER</v>
      </c>
      <c r="Z2" s="280" t="str">
        <f>IFERROR(__xludf.DUMMYFUNCTION("""COMPUTED_VALUE"""),"KETERANGAN")</f>
        <v>KETERANGAN</v>
      </c>
      <c r="AA2" s="272"/>
      <c r="AB2" s="282" t="str">
        <f>IFERROR(__xludf.DUMMYFUNCTION("QUERY(
 'Input Data'!A:M,
 ""select A,B,C,D,G,H,I,J,K,L
  where F = 'Alvin'
    and M =8
    and month(B) = ""&amp;
     (MATCH(B2,
       {""Januari"";""Februari"";""Maret"";""April"";""Mei"";""Juni"";
        ""Juli"";""Agustus"";""September"";""Oktober"";"&amp;"""November"";""Desember""},
       0
     )-1)&amp;
   "" and year(B) = ""&amp;C2&amp;""
  order by M asc"",
 1
)
"),"KODE")</f>
        <v>KODE</v>
      </c>
      <c r="AC2" s="282" t="str">
        <f>IFERROR(__xludf.DUMMYFUNCTION("""COMPUTED_VALUE"""),"TANGGAL")</f>
        <v>TANGGAL</v>
      </c>
      <c r="AD2" s="282" t="str">
        <f>IFERROR(__xludf.DUMMYFUNCTION("""COMPUTED_VALUE"""),"NAMA")</f>
        <v>NAMA</v>
      </c>
      <c r="AE2" s="282" t="str">
        <f>IFERROR(__xludf.DUMMYFUNCTION("""COMPUTED_VALUE"""),"WHATSAPP")</f>
        <v>WHATSAPP</v>
      </c>
      <c r="AF2" s="282" t="str">
        <f>IFERROR(__xludf.DUMMYFUNCTION("""COMPUTED_VALUE"""),"STATUS")</f>
        <v>STATUS</v>
      </c>
      <c r="AG2" s="282" t="str">
        <f>IFERROR(__xludf.DUMMYFUNCTION("""COMPUTED_VALUE"""),"PAKET / DESTINASI")</f>
        <v>PAKET / DESTINASI</v>
      </c>
      <c r="AH2" s="282" t="str">
        <f>IFERROR(__xludf.DUMMYFUNCTION("""COMPUTED_VALUE"""),"TANGGAL TRIP")</f>
        <v>TANGGAL TRIP</v>
      </c>
      <c r="AI2" s="282" t="str">
        <f>IFERROR(__xludf.DUMMYFUNCTION("""COMPUTED_VALUE"""),"PAX")</f>
        <v>PAX</v>
      </c>
      <c r="AJ2" s="282" t="str">
        <f>IFERROR(__xludf.DUMMYFUNCTION("""COMPUTED_VALUE"""),"ESTIMASI NILAI ORDER")</f>
        <v>ESTIMASI NILAI ORDER</v>
      </c>
      <c r="AK2" s="282" t="str">
        <f>IFERROR(__xludf.DUMMYFUNCTION("""COMPUTED_VALUE"""),"KETERANGAN")</f>
        <v>KETERANGAN</v>
      </c>
      <c r="AL2" s="272"/>
    </row>
    <row r="3">
      <c r="F3" s="285" t="str">
        <f>IFERROR(__xludf.DUMMYFUNCTION("""COMPUTED_VALUE"""),"2604A010")</f>
        <v>2604A010</v>
      </c>
      <c r="G3" s="286">
        <f>IFERROR(__xludf.DUMMYFUNCTION("""COMPUTED_VALUE"""),46116.0)</f>
        <v>46116</v>
      </c>
      <c r="H3" s="285" t="str">
        <f>IFERROR(__xludf.DUMMYFUNCTION("""COMPUTED_VALUE"""),"Fany")</f>
        <v>Fany</v>
      </c>
      <c r="I3" s="285" t="str">
        <f>IFERROR(__xludf.DUMMYFUNCTION("""COMPUTED_VALUE"""),"081283753936")</f>
        <v>081283753936</v>
      </c>
      <c r="J3" s="285" t="str">
        <f>IFERROR(__xludf.DUMMYFUNCTION("""COMPUTED_VALUE"""),"Qualified")</f>
        <v>Qualified</v>
      </c>
      <c r="K3" s="285" t="str">
        <f>IFERROR(__xludf.DUMMYFUNCTION("""COMPUTED_VALUE"""),"3h2m opsi B")</f>
        <v>3h2m opsi B</v>
      </c>
      <c r="L3" s="287"/>
      <c r="M3" s="285">
        <f>IFERROR(__xludf.DUMMYFUNCTION("""COMPUTED_VALUE"""),5.0)</f>
        <v>5</v>
      </c>
      <c r="N3" s="289">
        <f>IFERROR(__xludf.DUMMYFUNCTION("""COMPUTED_VALUE"""),5225000.0)</f>
        <v>5225000</v>
      </c>
      <c r="O3" s="285" t="str">
        <f>IFERROR(__xludf.DUMMYFUNCTION("""COMPUTED_VALUE"""),"fu mei")</f>
        <v>fu mei</v>
      </c>
      <c r="Q3" s="285" t="str">
        <f>IFERROR(__xludf.DUMMYFUNCTION("""COMPUTED_VALUE"""),"2604A016")</f>
        <v>2604A016</v>
      </c>
      <c r="R3" s="286">
        <f>IFERROR(__xludf.DUMMYFUNCTION("""COMPUTED_VALUE"""),46118.0)</f>
        <v>46118</v>
      </c>
      <c r="S3" s="285" t="str">
        <f>IFERROR(__xludf.DUMMYFUNCTION("""COMPUTED_VALUE"""),"Mutia")</f>
        <v>Mutia</v>
      </c>
      <c r="T3" s="285" t="str">
        <f>IFERROR(__xludf.DUMMYFUNCTION("""COMPUTED_VALUE"""),"085647052939")</f>
        <v>085647052939</v>
      </c>
      <c r="U3" s="285" t="str">
        <f>IFERROR(__xludf.DUMMYFUNCTION("""COMPUTED_VALUE"""),"Closing")</f>
        <v>Closing</v>
      </c>
      <c r="V3" s="285" t="str">
        <f>IFERROR(__xludf.DUMMYFUNCTION("""COMPUTED_VALUE"""),"2H1M Custom")</f>
        <v>2H1M Custom</v>
      </c>
      <c r="W3" s="287"/>
      <c r="X3" s="285">
        <f>IFERROR(__xludf.DUMMYFUNCTION("""COMPUTED_VALUE"""),6.0)</f>
        <v>6</v>
      </c>
      <c r="Y3" s="289">
        <f>IFERROR(__xludf.DUMMYFUNCTION("""COMPUTED_VALUE"""),6360000.0)</f>
        <v>6360000</v>
      </c>
      <c r="Z3" s="285" t="str">
        <f>IFERROR(__xludf.DUMMYFUNCTION("""COMPUTED_VALUE"""),"Alhamdulillah")</f>
        <v>Alhamdulillah</v>
      </c>
      <c r="AB3" s="285" t="str">
        <f>IFERROR(__xludf.DUMMYFUNCTION("""COMPUTED_VALUE"""),"2604A001")</f>
        <v>2604A001</v>
      </c>
      <c r="AC3" s="286">
        <f>IFERROR(__xludf.DUMMYFUNCTION("""COMPUTED_VALUE"""),46113.0)</f>
        <v>46113</v>
      </c>
      <c r="AD3" s="285" t="str">
        <f>IFERROR(__xludf.DUMMYFUNCTION("""COMPUTED_VALUE"""),"Silvi")</f>
        <v>Silvi</v>
      </c>
      <c r="AE3" s="285" t="str">
        <f>IFERROR(__xludf.DUMMYFUNCTION("""COMPUTED_VALUE"""),"085263434303")</f>
        <v>085263434303</v>
      </c>
      <c r="AF3" s="285" t="str">
        <f>IFERROR(__xludf.DUMMYFUNCTION("""COMPUTED_VALUE"""),"Gagal")</f>
        <v>Gagal</v>
      </c>
      <c r="AG3" s="285" t="str">
        <f>IFERROR(__xludf.DUMMYFUNCTION("""COMPUTED_VALUE"""),"trip custom")</f>
        <v>trip custom</v>
      </c>
      <c r="AH3" s="287"/>
      <c r="AI3" s="285">
        <f>IFERROR(__xludf.DUMMYFUNCTION("""COMPUTED_VALUE"""),2.0)</f>
        <v>2</v>
      </c>
      <c r="AJ3" s="289"/>
      <c r="AK3" s="285" t="str">
        <f>IFERROR(__xludf.DUMMYFUNCTION("""COMPUTED_VALUE"""),"lewat tanggal. sdh fu tdk ada jawaban")</f>
        <v>lewat tanggal. sdh fu tdk ada jawaban</v>
      </c>
    </row>
    <row r="4">
      <c r="B4" s="235" t="s">
        <v>6</v>
      </c>
      <c r="C4" s="346" t="s">
        <v>10220</v>
      </c>
      <c r="F4" s="285" t="str">
        <f>IFERROR(__xludf.DUMMYFUNCTION("""COMPUTED_VALUE"""),"2604A018")</f>
        <v>2604A018</v>
      </c>
      <c r="G4" s="286">
        <f>IFERROR(__xludf.DUMMYFUNCTION("""COMPUTED_VALUE"""),46119.0)</f>
        <v>46119</v>
      </c>
      <c r="H4" s="285" t="str">
        <f>IFERROR(__xludf.DUMMYFUNCTION("""COMPUTED_VALUE"""),"Guntur Dwi Prakoso")</f>
        <v>Guntur Dwi Prakoso</v>
      </c>
      <c r="I4" s="285" t="str">
        <f>IFERROR(__xludf.DUMMYFUNCTION("""COMPUTED_VALUE"""),"082121655422‬")</f>
        <v>082121655422‬</v>
      </c>
      <c r="J4" s="285" t="str">
        <f>IFERROR(__xludf.DUMMYFUNCTION("""COMPUTED_VALUE"""),"Qualified")</f>
        <v>Qualified</v>
      </c>
      <c r="K4" s="285" t="str">
        <f>IFERROR(__xludf.DUMMYFUNCTION("""COMPUTED_VALUE"""),"2h1m Custom")</f>
        <v>2h1m Custom</v>
      </c>
      <c r="L4" s="287"/>
      <c r="M4" s="285">
        <f>IFERROR(__xludf.DUMMYFUNCTION("""COMPUTED_VALUE"""),3.0)</f>
        <v>3</v>
      </c>
      <c r="N4" s="289"/>
      <c r="O4" s="285" t="str">
        <f>IFERROR(__xludf.DUMMYFUNCTION("""COMPUTED_VALUE"""),"di reschedule. fu 18 juni")</f>
        <v>di reschedule. fu 18 juni</v>
      </c>
      <c r="Q4" s="285" t="str">
        <f>IFERROR(__xludf.DUMMYFUNCTION("""COMPUTED_VALUE"""),"2604A017")</f>
        <v>2604A017</v>
      </c>
      <c r="R4" s="286">
        <f>IFERROR(__xludf.DUMMYFUNCTION("""COMPUTED_VALUE"""),46119.0)</f>
        <v>46119</v>
      </c>
      <c r="S4" s="285" t="str">
        <f>IFERROR(__xludf.DUMMYFUNCTION("""COMPUTED_VALUE"""),"Fuad")</f>
        <v>Fuad</v>
      </c>
      <c r="T4" s="285" t="str">
        <f>IFERROR(__xludf.DUMMYFUNCTION("""COMPUTED_VALUE"""),"089508004646‬")</f>
        <v>089508004646‬</v>
      </c>
      <c r="U4" s="285" t="str">
        <f>IFERROR(__xludf.DUMMYFUNCTION("""COMPUTED_VALUE"""),"Closing")</f>
        <v>Closing</v>
      </c>
      <c r="V4" s="285" t="str">
        <f>IFERROR(__xludf.DUMMYFUNCTION("""COMPUTED_VALUE"""),"2H1M custom")</f>
        <v>2H1M custom</v>
      </c>
      <c r="W4" s="287">
        <f>IFERROR(__xludf.DUMMYFUNCTION("""COMPUTED_VALUE"""),46120.0)</f>
        <v>46120</v>
      </c>
      <c r="X4" s="285">
        <f>IFERROR(__xludf.DUMMYFUNCTION("""COMPUTED_VALUE"""),2.0)</f>
        <v>2</v>
      </c>
      <c r="Y4" s="289">
        <f>IFERROR(__xludf.DUMMYFUNCTION("""COMPUTED_VALUE"""),4670000.0)</f>
        <v>4670000</v>
      </c>
      <c r="Z4" s="285" t="str">
        <f>IFERROR(__xludf.DUMMYFUNCTION("""COMPUTED_VALUE"""),"ALHAMDULILLAH")</f>
        <v>ALHAMDULILLAH</v>
      </c>
      <c r="AB4" s="285" t="str">
        <f>IFERROR(__xludf.DUMMYFUNCTION("""COMPUTED_VALUE"""),"2604A002")</f>
        <v>2604A002</v>
      </c>
      <c r="AC4" s="286">
        <f>IFERROR(__xludf.DUMMYFUNCTION("""COMPUTED_VALUE"""),46113.0)</f>
        <v>46113</v>
      </c>
      <c r="AD4" s="285" t="str">
        <f>IFERROR(__xludf.DUMMYFUNCTION("""COMPUTED_VALUE"""),"Hilda")</f>
        <v>Hilda</v>
      </c>
      <c r="AE4" s="285" t="str">
        <f>IFERROR(__xludf.DUMMYFUNCTION("""COMPUTED_VALUE"""),"085892683767")</f>
        <v>085892683767</v>
      </c>
      <c r="AF4" s="285" t="str">
        <f>IFERROR(__xludf.DUMMYFUNCTION("""COMPUTED_VALUE"""),"Gagal")</f>
        <v>Gagal</v>
      </c>
      <c r="AG4" s="285" t="str">
        <f>IFERROR(__xludf.DUMMYFUNCTION("""COMPUTED_VALUE"""),"2h1m opsi B")</f>
        <v>2h1m opsi B</v>
      </c>
      <c r="AH4" s="287"/>
      <c r="AI4" s="285">
        <f>IFERROR(__xludf.DUMMYFUNCTION("""COMPUTED_VALUE"""),3.0)</f>
        <v>3</v>
      </c>
      <c r="AJ4" s="289"/>
      <c r="AK4" s="285" t="str">
        <f>IFERROR(__xludf.DUMMYFUNCTION("""COMPUTED_VALUE"""),"gada balasan")</f>
        <v>gada balasan</v>
      </c>
    </row>
    <row r="5">
      <c r="B5" s="283" t="s">
        <v>10201</v>
      </c>
      <c r="C5" s="284">
        <f>COUNTIF(J3:J497,"Leads Baru")
</f>
        <v>0</v>
      </c>
      <c r="F5" s="285" t="str">
        <f>IFERROR(__xludf.DUMMYFUNCTION("""COMPUTED_VALUE"""),"2604A019")</f>
        <v>2604A019</v>
      </c>
      <c r="G5" s="286">
        <f>IFERROR(__xludf.DUMMYFUNCTION("""COMPUTED_VALUE"""),46119.0)</f>
        <v>46119</v>
      </c>
      <c r="H5" s="285" t="str">
        <f>IFERROR(__xludf.DUMMYFUNCTION("""COMPUTED_VALUE"""),"Laili Maghfiroh")</f>
        <v>Laili Maghfiroh</v>
      </c>
      <c r="I5" s="285" t="str">
        <f>IFERROR(__xludf.DUMMYFUNCTION("""COMPUTED_VALUE"""),"085730946704")</f>
        <v>085730946704</v>
      </c>
      <c r="J5" s="285" t="str">
        <f>IFERROR(__xludf.DUMMYFUNCTION("""COMPUTED_VALUE"""),"Qualified")</f>
        <v>Qualified</v>
      </c>
      <c r="K5" s="285" t="str">
        <f>IFERROR(__xludf.DUMMYFUNCTION("""COMPUTED_VALUE"""),"Trip M, B")</f>
        <v>Trip M, B</v>
      </c>
      <c r="L5" s="287"/>
      <c r="M5" s="285">
        <f>IFERROR(__xludf.DUMMYFUNCTION("""COMPUTED_VALUE"""),3.0)</f>
        <v>3</v>
      </c>
      <c r="N5" s="289">
        <f>IFERROR(__xludf.DUMMYFUNCTION("""COMPUTED_VALUE"""),3516000.0)</f>
        <v>3516000</v>
      </c>
      <c r="O5" s="285" t="str">
        <f>IFERROR(__xludf.DUMMYFUNCTION("""COMPUTED_VALUE"""),"FU Awal mei")</f>
        <v>FU Awal mei</v>
      </c>
      <c r="Q5" s="285" t="str">
        <f>IFERROR(__xludf.DUMMYFUNCTION("""COMPUTED_VALUE"""),"2604A023")</f>
        <v>2604A023</v>
      </c>
      <c r="R5" s="286">
        <f>IFERROR(__xludf.DUMMYFUNCTION("""COMPUTED_VALUE"""),46120.0)</f>
        <v>46120</v>
      </c>
      <c r="S5" s="285" t="str">
        <f>IFERROR(__xludf.DUMMYFUNCTION("""COMPUTED_VALUE"""),"Lea")</f>
        <v>Lea</v>
      </c>
      <c r="T5" s="285" t="str">
        <f>IFERROR(__xludf.DUMMYFUNCTION("""COMPUTED_VALUE"""),"08996778680")</f>
        <v>08996778680</v>
      </c>
      <c r="U5" s="285" t="str">
        <f>IFERROR(__xludf.DUMMYFUNCTION("""COMPUTED_VALUE"""),"Closing")</f>
        <v>Closing</v>
      </c>
      <c r="V5" s="285" t="str">
        <f>IFERROR(__xludf.DUMMYFUNCTION("""COMPUTED_VALUE"""),"2H2M opsi A")</f>
        <v>2H2M opsi A</v>
      </c>
      <c r="W5" s="287">
        <f>IFERROR(__xludf.DUMMYFUNCTION("""COMPUTED_VALUE"""),46121.0)</f>
        <v>46121</v>
      </c>
      <c r="X5" s="285">
        <f>IFERROR(__xludf.DUMMYFUNCTION("""COMPUTED_VALUE"""),2.0)</f>
        <v>2</v>
      </c>
      <c r="Y5" s="289">
        <f>IFERROR(__xludf.DUMMYFUNCTION("""COMPUTED_VALUE"""),5714000.0)</f>
        <v>5714000</v>
      </c>
      <c r="Z5" s="285" t="str">
        <f>IFERROR(__xludf.DUMMYFUNCTION("""COMPUTED_VALUE"""),"ALHAMDULILLAH")</f>
        <v>ALHAMDULILLAH</v>
      </c>
      <c r="AB5" s="285" t="str">
        <f>IFERROR(__xludf.DUMMYFUNCTION("""COMPUTED_VALUE"""),"2604A003")</f>
        <v>2604A003</v>
      </c>
      <c r="AC5" s="286">
        <f>IFERROR(__xludf.DUMMYFUNCTION("""COMPUTED_VALUE"""),46113.0)</f>
        <v>46113</v>
      </c>
      <c r="AD5" s="285" t="str">
        <f>IFERROR(__xludf.DUMMYFUNCTION("""COMPUTED_VALUE"""),"Ridha Yunita")</f>
        <v>Ridha Yunita</v>
      </c>
      <c r="AE5" s="285" t="str">
        <f>IFERROR(__xludf.DUMMYFUNCTION("""COMPUTED_VALUE"""),"085648223685")</f>
        <v>085648223685</v>
      </c>
      <c r="AF5" s="285" t="str">
        <f>IFERROR(__xludf.DUMMYFUNCTION("""COMPUTED_VALUE"""),"Gagal")</f>
        <v>Gagal</v>
      </c>
      <c r="AG5" s="285" t="str">
        <f>IFERROR(__xludf.DUMMYFUNCTION("""COMPUTED_VALUE"""),"OT 1D D, PM, teluk ijo")</f>
        <v>OT 1D D, PM, teluk ijo</v>
      </c>
      <c r="AH5" s="287"/>
      <c r="AI5" s="285">
        <f>IFERROR(__xludf.DUMMYFUNCTION("""COMPUTED_VALUE"""),3.0)</f>
        <v>3</v>
      </c>
      <c r="AJ5" s="289"/>
      <c r="AK5" s="285" t="str">
        <f>IFERROR(__xludf.DUMMYFUNCTION("""COMPUTED_VALUE"""),"cancel karna ada suatu hal")</f>
        <v>cancel karna ada suatu hal</v>
      </c>
    </row>
    <row r="6">
      <c r="B6" s="292" t="s">
        <v>34</v>
      </c>
      <c r="C6" s="293">
        <f>COUNTIF(J3:J497,"Qualified")
</f>
        <v>28</v>
      </c>
      <c r="F6" s="285" t="str">
        <f>IFERROR(__xludf.DUMMYFUNCTION("""COMPUTED_VALUE"""),"2604A022")</f>
        <v>2604A022</v>
      </c>
      <c r="G6" s="286">
        <f>IFERROR(__xludf.DUMMYFUNCTION("""COMPUTED_VALUE"""),46120.0)</f>
        <v>46120</v>
      </c>
      <c r="H6" s="285" t="str">
        <f>IFERROR(__xludf.DUMMYFUNCTION("""COMPUTED_VALUE"""),"Suvi")</f>
        <v>Suvi</v>
      </c>
      <c r="I6" s="285" t="str">
        <f>IFERROR(__xludf.DUMMYFUNCTION("""COMPUTED_VALUE"""),"08127519858")</f>
        <v>08127519858</v>
      </c>
      <c r="J6" s="285" t="str">
        <f>IFERROR(__xludf.DUMMYFUNCTION("""COMPUTED_VALUE"""),"Qualified")</f>
        <v>Qualified</v>
      </c>
      <c r="K6" s="285" t="str">
        <f>IFERROR(__xludf.DUMMYFUNCTION("""COMPUTED_VALUE"""),"3H2M / 4H3M")</f>
        <v>3H2M / 4H3M</v>
      </c>
      <c r="L6" s="287"/>
      <c r="M6" s="285">
        <f>IFERROR(__xludf.DUMMYFUNCTION("""COMPUTED_VALUE"""),6.0)</f>
        <v>6</v>
      </c>
      <c r="N6" s="289"/>
      <c r="O6" s="285" t="str">
        <f>IFERROR(__xludf.DUMMYFUNCTION("""COMPUTED_VALUE"""),"FU 10 mei")</f>
        <v>FU 10 mei</v>
      </c>
      <c r="Q6" s="285" t="str">
        <f>IFERROR(__xludf.DUMMYFUNCTION("""COMPUTED_VALUE"""),"2604A025")</f>
        <v>2604A025</v>
      </c>
      <c r="R6" s="286">
        <f>IFERROR(__xludf.DUMMYFUNCTION("""COMPUTED_VALUE"""),46120.0)</f>
        <v>46120</v>
      </c>
      <c r="S6" s="285" t="str">
        <f>IFERROR(__xludf.DUMMYFUNCTION("""COMPUTED_VALUE"""),"Audi firstania")</f>
        <v>Audi firstania</v>
      </c>
      <c r="T6" s="285" t="str">
        <f>IFERROR(__xludf.DUMMYFUNCTION("""COMPUTED_VALUE"""),"081334332305")</f>
        <v>081334332305</v>
      </c>
      <c r="U6" s="285" t="str">
        <f>IFERROR(__xludf.DUMMYFUNCTION("""COMPUTED_VALUE"""),"Closing")</f>
        <v>Closing</v>
      </c>
      <c r="V6" s="285" t="str">
        <f>IFERROR(__xludf.DUMMYFUNCTION("""COMPUTED_VALUE"""),"OT I")</f>
        <v>OT I</v>
      </c>
      <c r="W6" s="287">
        <f>IFERROR(__xludf.DUMMYFUNCTION("""COMPUTED_VALUE"""),46123.0)</f>
        <v>46123</v>
      </c>
      <c r="X6" s="285">
        <f>IFERROR(__xludf.DUMMYFUNCTION("""COMPUTED_VALUE"""),2.0)</f>
        <v>2</v>
      </c>
      <c r="Y6" s="289">
        <f>IFERROR(__xludf.DUMMYFUNCTION("""COMPUTED_VALUE"""),500000.0)</f>
        <v>500000</v>
      </c>
      <c r="Z6" s="285" t="str">
        <f>IFERROR(__xludf.DUMMYFUNCTION("""COMPUTED_VALUE"""),"ALHAMDULILLAH")</f>
        <v>ALHAMDULILLAH</v>
      </c>
      <c r="AB6" s="285" t="str">
        <f>IFERROR(__xludf.DUMMYFUNCTION("""COMPUTED_VALUE"""),"2604A004")</f>
        <v>2604A004</v>
      </c>
      <c r="AC6" s="286">
        <f>IFERROR(__xludf.DUMMYFUNCTION("""COMPUTED_VALUE"""),46113.0)</f>
        <v>46113</v>
      </c>
      <c r="AD6" s="285" t="str">
        <f>IFERROR(__xludf.DUMMYFUNCTION("""COMPUTED_VALUE"""),"Natasya Lavebellita")</f>
        <v>Natasya Lavebellita</v>
      </c>
      <c r="AE6" s="285" t="str">
        <f>IFERROR(__xludf.DUMMYFUNCTION("""COMPUTED_VALUE"""),"085649074001")</f>
        <v>085649074001</v>
      </c>
      <c r="AF6" s="285" t="str">
        <f>IFERROR(__xludf.DUMMYFUNCTION("""COMPUTED_VALUE"""),"Gagal")</f>
        <v>Gagal</v>
      </c>
      <c r="AG6" s="285" t="str">
        <f>IFERROR(__xludf.DUMMYFUNCTION("""COMPUTED_VALUE"""),"1D B, D")</f>
        <v>1D B, D</v>
      </c>
      <c r="AH6" s="287">
        <f>IFERROR(__xludf.DUMMYFUNCTION("""COMPUTED_VALUE"""),46123.0)</f>
        <v>46123</v>
      </c>
      <c r="AI6" s="285"/>
      <c r="AJ6" s="289"/>
      <c r="AK6" s="285" t="str">
        <f>IFERROR(__xludf.DUMMYFUNCTION("""COMPUTED_VALUE"""),"tidak ada balasan")</f>
        <v>tidak ada balasan</v>
      </c>
    </row>
    <row r="7">
      <c r="B7" s="294" t="s">
        <v>43</v>
      </c>
      <c r="C7" s="295">
        <f>COUNTIF(J3:J497,"Prospek")
</f>
        <v>0</v>
      </c>
      <c r="F7" s="285" t="str">
        <f>IFERROR(__xludf.DUMMYFUNCTION("""COMPUTED_VALUE"""),"2604A037")</f>
        <v>2604A037</v>
      </c>
      <c r="G7" s="286">
        <f>IFERROR(__xludf.DUMMYFUNCTION("""COMPUTED_VALUE"""),46123.0)</f>
        <v>46123</v>
      </c>
      <c r="H7" s="285" t="str">
        <f>IFERROR(__xludf.DUMMYFUNCTION("""COMPUTED_VALUE"""),"tanti")</f>
        <v>tanti</v>
      </c>
      <c r="I7" s="285" t="str">
        <f>IFERROR(__xludf.DUMMYFUNCTION("""COMPUTED_VALUE"""),"08121429009")</f>
        <v>08121429009</v>
      </c>
      <c r="J7" s="285" t="str">
        <f>IFERROR(__xludf.DUMMYFUNCTION("""COMPUTED_VALUE"""),"Qualified")</f>
        <v>Qualified</v>
      </c>
      <c r="K7" s="285" t="str">
        <f>IFERROR(__xludf.DUMMYFUNCTION("""COMPUTED_VALUE"""),"OT 3H2M")</f>
        <v>OT 3H2M</v>
      </c>
      <c r="L7" s="287"/>
      <c r="M7" s="285">
        <f>IFERROR(__xludf.DUMMYFUNCTION("""COMPUTED_VALUE"""),2.0)</f>
        <v>2</v>
      </c>
      <c r="N7" s="289">
        <f>IFERROR(__xludf.DUMMYFUNCTION("""COMPUTED_VALUE"""),3200000.0)</f>
        <v>3200000</v>
      </c>
      <c r="O7" s="285" t="str">
        <f>IFERROR(__xludf.DUMMYFUNCTION("""COMPUTED_VALUE"""),"fu 10  mei")</f>
        <v>fu 10  mei</v>
      </c>
      <c r="Q7" s="285" t="str">
        <f>IFERROR(__xludf.DUMMYFUNCTION("""COMPUTED_VALUE"""),"2604A026")</f>
        <v>2604A026</v>
      </c>
      <c r="R7" s="286">
        <f>IFERROR(__xludf.DUMMYFUNCTION("""COMPUTED_VALUE"""),46120.0)</f>
        <v>46120</v>
      </c>
      <c r="S7" s="285" t="str">
        <f>IFERROR(__xludf.DUMMYFUNCTION("""COMPUTED_VALUE"""),"Daninta")</f>
        <v>Daninta</v>
      </c>
      <c r="T7" s="285" t="str">
        <f>IFERROR(__xludf.DUMMYFUNCTION("""COMPUTED_VALUE"""),"081384847408")</f>
        <v>081384847408</v>
      </c>
      <c r="U7" s="285" t="str">
        <f>IFERROR(__xludf.DUMMYFUNCTION("""COMPUTED_VALUE"""),"Closing")</f>
        <v>Closing</v>
      </c>
      <c r="V7" s="285" t="str">
        <f>IFERROR(__xludf.DUMMYFUNCTION("""COMPUTED_VALUE"""),"OT M T")</f>
        <v>OT M T</v>
      </c>
      <c r="W7" s="287">
        <f>IFERROR(__xludf.DUMMYFUNCTION("""COMPUTED_VALUE"""),46128.0)</f>
        <v>46128</v>
      </c>
      <c r="X7" s="285">
        <f>IFERROR(__xludf.DUMMYFUNCTION("""COMPUTED_VALUE"""),1.0)</f>
        <v>1</v>
      </c>
      <c r="Y7" s="289">
        <f>IFERROR(__xludf.DUMMYFUNCTION("""COMPUTED_VALUE"""),525000.0)</f>
        <v>525000</v>
      </c>
      <c r="Z7" s="285" t="str">
        <f>IFERROR(__xludf.DUMMYFUNCTION("""COMPUTED_VALUE"""),"Orderrrr")</f>
        <v>Orderrrr</v>
      </c>
      <c r="AB7" s="285" t="str">
        <f>IFERROR(__xludf.DUMMYFUNCTION("""COMPUTED_VALUE"""),"2604A005")</f>
        <v>2604A005</v>
      </c>
      <c r="AC7" s="286">
        <f>IFERROR(__xludf.DUMMYFUNCTION("""COMPUTED_VALUE"""),46113.0)</f>
        <v>46113</v>
      </c>
      <c r="AD7" s="285" t="str">
        <f>IFERROR(__xludf.DUMMYFUNCTION("""COMPUTED_VALUE"""),"Maulina Sefi")</f>
        <v>Maulina Sefi</v>
      </c>
      <c r="AE7" s="285" t="str">
        <f>IFERROR(__xludf.DUMMYFUNCTION("""COMPUTED_VALUE"""),"085730578147")</f>
        <v>085730578147</v>
      </c>
      <c r="AF7" s="285" t="str">
        <f>IFERROR(__xludf.DUMMYFUNCTION("""COMPUTED_VALUE"""),"Gagal")</f>
        <v>Gagal</v>
      </c>
      <c r="AG7" s="285" t="str">
        <f>IFERROR(__xludf.DUMMYFUNCTION("""COMPUTED_VALUE"""),"OT M, T")</f>
        <v>OT M, T</v>
      </c>
      <c r="AH7" s="287">
        <f>IFERROR(__xludf.DUMMYFUNCTION("""COMPUTED_VALUE"""),46117.0)</f>
        <v>46117</v>
      </c>
      <c r="AI7" s="285">
        <f>IFERROR(__xludf.DUMMYFUNCTION("""COMPUTED_VALUE"""),2.0)</f>
        <v>2</v>
      </c>
      <c r="AJ7" s="289">
        <f>IFERROR(__xludf.DUMMYFUNCTION("""COMPUTED_VALUE"""),295000.0)</f>
        <v>295000</v>
      </c>
      <c r="AK7" s="285" t="str">
        <f>IFERROR(__xludf.DUMMYFUNCTION("""COMPUTED_VALUE"""),"tidak jadi")</f>
        <v>tidak jadi</v>
      </c>
    </row>
    <row r="8">
      <c r="B8" s="296" t="s">
        <v>49</v>
      </c>
      <c r="C8" s="297">
        <f>COUNTIF(J3:J497,"Follow Up")
</f>
        <v>0</v>
      </c>
      <c r="F8" s="285" t="str">
        <f>IFERROR(__xludf.DUMMYFUNCTION("""COMPUTED_VALUE"""),"2604A045")</f>
        <v>2604A045</v>
      </c>
      <c r="G8" s="286">
        <f>IFERROR(__xludf.DUMMYFUNCTION("""COMPUTED_VALUE"""),46124.0)</f>
        <v>46124</v>
      </c>
      <c r="H8" s="285" t="str">
        <f>IFERROR(__xludf.DUMMYFUNCTION("""COMPUTED_VALUE"""),"Celine")</f>
        <v>Celine</v>
      </c>
      <c r="I8" s="285" t="str">
        <f>IFERROR(__xludf.DUMMYFUNCTION("""COMPUTED_VALUE"""),"087813520145")</f>
        <v>087813520145</v>
      </c>
      <c r="J8" s="285" t="str">
        <f>IFERROR(__xludf.DUMMYFUNCTION("""COMPUTED_VALUE"""),"Qualified")</f>
        <v>Qualified</v>
      </c>
      <c r="K8" s="285" t="str">
        <f>IFERROR(__xludf.DUMMYFUNCTION("""COMPUTED_VALUE"""),"Trip D, B, PM, Kawah wurung")</f>
        <v>Trip D, B, PM, Kawah wurung</v>
      </c>
      <c r="L8" s="287"/>
      <c r="M8" s="285">
        <f>IFERROR(__xludf.DUMMYFUNCTION("""COMPUTED_VALUE"""),3.0)</f>
        <v>3</v>
      </c>
      <c r="N8" s="289">
        <f>IFERROR(__xludf.DUMMYFUNCTION("""COMPUTED_VALUE"""),3540000.0)</f>
        <v>3540000</v>
      </c>
      <c r="O8" s="285" t="str">
        <f>IFERROR(__xludf.DUMMYFUNCTION("""COMPUTED_VALUE"""),"FU 5 mei")</f>
        <v>FU 5 mei</v>
      </c>
      <c r="Q8" s="285" t="str">
        <f>IFERROR(__xludf.DUMMYFUNCTION("""COMPUTED_VALUE"""),"2604A028")</f>
        <v>2604A028</v>
      </c>
      <c r="R8" s="286">
        <f>IFERROR(__xludf.DUMMYFUNCTION("""COMPUTED_VALUE"""),46121.0)</f>
        <v>46121</v>
      </c>
      <c r="S8" s="285" t="str">
        <f>IFERROR(__xludf.DUMMYFUNCTION("""COMPUTED_VALUE"""),"Dila Kurnia")</f>
        <v>Dila Kurnia</v>
      </c>
      <c r="T8" s="285" t="str">
        <f>IFERROR(__xludf.DUMMYFUNCTION("""COMPUTED_VALUE"""),"081333336180")</f>
        <v>081333336180</v>
      </c>
      <c r="U8" s="285" t="str">
        <f>IFERROR(__xludf.DUMMYFUNCTION("""COMPUTED_VALUE"""),"Closing")</f>
        <v>Closing</v>
      </c>
      <c r="V8" s="285" t="str">
        <f>IFERROR(__xludf.DUMMYFUNCTION("""COMPUTED_VALUE"""),"1D WD, BD, GI, PM")</f>
        <v>1D WD, BD, GI, PM</v>
      </c>
      <c r="W8" s="287">
        <f>IFERROR(__xludf.DUMMYFUNCTION("""COMPUTED_VALUE"""),46143.0)</f>
        <v>46143</v>
      </c>
      <c r="X8" s="285">
        <f>IFERROR(__xludf.DUMMYFUNCTION("""COMPUTED_VALUE"""),10.0)</f>
        <v>10</v>
      </c>
      <c r="Y8" s="289">
        <f>IFERROR(__xludf.DUMMYFUNCTION("""COMPUTED_VALUE"""),6100000.0)</f>
        <v>6100000</v>
      </c>
      <c r="Z8" s="285" t="str">
        <f>IFERROR(__xludf.DUMMYFUNCTION("""COMPUTED_VALUE"""),"Orderrrr")</f>
        <v>Orderrrr</v>
      </c>
      <c r="AB8" s="285" t="str">
        <f>IFERROR(__xludf.DUMMYFUNCTION("""COMPUTED_VALUE"""),"2604A006")</f>
        <v>2604A006</v>
      </c>
      <c r="AC8" s="286">
        <f>IFERROR(__xludf.DUMMYFUNCTION("""COMPUTED_VALUE"""),46114.0)</f>
        <v>46114</v>
      </c>
      <c r="AD8" s="285" t="str">
        <f>IFERROR(__xludf.DUMMYFUNCTION("""COMPUTED_VALUE"""),"Bila")</f>
        <v>Bila</v>
      </c>
      <c r="AE8" s="285" t="str">
        <f>IFERROR(__xludf.DUMMYFUNCTION("""COMPUTED_VALUE"""),"081223853354")</f>
        <v>081223853354</v>
      </c>
      <c r="AF8" s="285" t="str">
        <f>IFERROR(__xludf.DUMMYFUNCTION("""COMPUTED_VALUE"""),"Gagal")</f>
        <v>Gagal</v>
      </c>
      <c r="AG8" s="285" t="str">
        <f>IFERROR(__xludf.DUMMYFUNCTION("""COMPUTED_VALUE"""),"1D green island")</f>
        <v>1D green island</v>
      </c>
      <c r="AH8" s="287"/>
      <c r="AI8" s="285">
        <f>IFERROR(__xludf.DUMMYFUNCTION("""COMPUTED_VALUE"""),7.0)</f>
        <v>7</v>
      </c>
      <c r="AJ8" s="289">
        <f>IFERROR(__xludf.DUMMYFUNCTION("""COMPUTED_VALUE"""),3822000.0)</f>
        <v>3822000</v>
      </c>
      <c r="AK8" s="285" t="str">
        <f>IFERROR(__xludf.DUMMYFUNCTION("""COMPUTED_VALUE"""),"buat penawaran, tidak ada balasan")</f>
        <v>buat penawaran, tidak ada balasan</v>
      </c>
    </row>
    <row r="9">
      <c r="B9" s="298" t="s">
        <v>57</v>
      </c>
      <c r="C9" s="299">
        <f>COUNTIF(J3:J497,"Warm Leads")
</f>
        <v>0</v>
      </c>
      <c r="F9" s="285" t="str">
        <f>IFERROR(__xludf.DUMMYFUNCTION("""COMPUTED_VALUE"""),"2604A047")</f>
        <v>2604A047</v>
      </c>
      <c r="G9" s="286">
        <f>IFERROR(__xludf.DUMMYFUNCTION("""COMPUTED_VALUE"""),46126.0)</f>
        <v>46126</v>
      </c>
      <c r="H9" s="285" t="str">
        <f>IFERROR(__xludf.DUMMYFUNCTION("""COMPUTED_VALUE"""),"Fina")</f>
        <v>Fina</v>
      </c>
      <c r="I9" s="285" t="str">
        <f>IFERROR(__xludf.DUMMYFUNCTION("""COMPUTED_VALUE"""),"089514536194")</f>
        <v>089514536194</v>
      </c>
      <c r="J9" s="285" t="str">
        <f>IFERROR(__xludf.DUMMYFUNCTION("""COMPUTED_VALUE"""),"Qualified")</f>
        <v>Qualified</v>
      </c>
      <c r="K9" s="285" t="str">
        <f>IFERROR(__xludf.DUMMYFUNCTION("""COMPUTED_VALUE"""),"3h2m opsi A")</f>
        <v>3h2m opsi A</v>
      </c>
      <c r="L9" s="287"/>
      <c r="M9" s="285">
        <f>IFERROR(__xludf.DUMMYFUNCTION("""COMPUTED_VALUE"""),8.0)</f>
        <v>8</v>
      </c>
      <c r="N9" s="289">
        <f>IFERROR(__xludf.DUMMYFUNCTION("""COMPUTED_VALUE"""),1.5E7)</f>
        <v>15000000</v>
      </c>
      <c r="O9" s="285" t="str">
        <f>IFERROR(__xludf.DUMMYFUNCTION("""COMPUTED_VALUE"""),"masih dishare ke grup, Fu 2 mei")</f>
        <v>masih dishare ke grup, Fu 2 mei</v>
      </c>
      <c r="Q9" s="285" t="str">
        <f>IFERROR(__xludf.DUMMYFUNCTION("""COMPUTED_VALUE"""),"2604A040")</f>
        <v>2604A040</v>
      </c>
      <c r="R9" s="286">
        <f>IFERROR(__xludf.DUMMYFUNCTION("""COMPUTED_VALUE"""),46124.0)</f>
        <v>46124</v>
      </c>
      <c r="S9" s="285" t="str">
        <f>IFERROR(__xludf.DUMMYFUNCTION("""COMPUTED_VALUE"""),"Daniel")</f>
        <v>Daniel</v>
      </c>
      <c r="T9" s="285" t="str">
        <f>IFERROR(__xludf.DUMMYFUNCTION("""COMPUTED_VALUE"""),"491718386314")</f>
        <v>491718386314</v>
      </c>
      <c r="U9" s="285" t="str">
        <f>IFERROR(__xludf.DUMMYFUNCTION("""COMPUTED_VALUE"""),"Closing")</f>
        <v>Closing</v>
      </c>
      <c r="V9" s="285" t="str">
        <f>IFERROR(__xludf.DUMMYFUNCTION("""COMPUTED_VALUE"""),"Trip ijen")</f>
        <v>Trip ijen</v>
      </c>
      <c r="W9" s="287"/>
      <c r="X9" s="285">
        <f>IFERROR(__xludf.DUMMYFUNCTION("""COMPUTED_VALUE"""),4.0)</f>
        <v>4</v>
      </c>
      <c r="Y9" s="289">
        <f>IFERROR(__xludf.DUMMYFUNCTION("""COMPUTED_VALUE"""),2256000.0)</f>
        <v>2256000</v>
      </c>
      <c r="Z9" s="285" t="str">
        <f>IFERROR(__xludf.DUMMYFUNCTION("""COMPUTED_VALUE"""),"orderr")</f>
        <v>orderr</v>
      </c>
      <c r="AB9" s="285" t="str">
        <f>IFERROR(__xludf.DUMMYFUNCTION("""COMPUTED_VALUE"""),"2604A007")</f>
        <v>2604A007</v>
      </c>
      <c r="AC9" s="286">
        <f>IFERROR(__xludf.DUMMYFUNCTION("""COMPUTED_VALUE"""),46114.0)</f>
        <v>46114</v>
      </c>
      <c r="AD9" s="285" t="str">
        <f>IFERROR(__xludf.DUMMYFUNCTION("""COMPUTED_VALUE"""),"Novi")</f>
        <v>Novi</v>
      </c>
      <c r="AE9" s="285" t="str">
        <f>IFERROR(__xludf.DUMMYFUNCTION("""COMPUTED_VALUE"""),"08129524407")</f>
        <v>08129524407</v>
      </c>
      <c r="AF9" s="285" t="str">
        <f>IFERROR(__xludf.DUMMYFUNCTION("""COMPUTED_VALUE"""),"Gagal")</f>
        <v>Gagal</v>
      </c>
      <c r="AG9" s="285" t="str">
        <f>IFERROR(__xludf.DUMMYFUNCTION("""COMPUTED_VALUE"""),"2H1M Opsi B")</f>
        <v>2H1M Opsi B</v>
      </c>
      <c r="AH9" s="287"/>
      <c r="AI9" s="285">
        <f>IFERROR(__xludf.DUMMYFUNCTION("""COMPUTED_VALUE"""),6.0)</f>
        <v>6</v>
      </c>
      <c r="AJ9" s="289">
        <f>IFERROR(__xludf.DUMMYFUNCTION("""COMPUTED_VALUE"""),8040000.0)</f>
        <v>8040000</v>
      </c>
      <c r="AK9" s="285" t="str">
        <f>IFERROR(__xludf.DUMMYFUNCTION("""COMPUTED_VALUE"""),"nanti dihubungi jika sudah fiks paxnya, fu juni")</f>
        <v>nanti dihubungi jika sudah fiks paxnya, fu juni</v>
      </c>
    </row>
    <row r="10">
      <c r="B10" s="302" t="s">
        <v>64</v>
      </c>
      <c r="C10" s="303">
        <f>COUNTIF(J3:J497,"Hot Leads")
</f>
        <v>0</v>
      </c>
      <c r="F10" s="285" t="str">
        <f>IFERROR(__xludf.DUMMYFUNCTION("""COMPUTED_VALUE"""),"2604A051")</f>
        <v>2604A051</v>
      </c>
      <c r="G10" s="286">
        <f>IFERROR(__xludf.DUMMYFUNCTION("""COMPUTED_VALUE"""),46126.0)</f>
        <v>46126</v>
      </c>
      <c r="H10" s="285" t="str">
        <f>IFERROR(__xludf.DUMMYFUNCTION("""COMPUTED_VALUE"""),"Indriya")</f>
        <v>Indriya</v>
      </c>
      <c r="I10" s="285" t="str">
        <f>IFERROR(__xludf.DUMMYFUNCTION("""COMPUTED_VALUE"""),"082271637123")</f>
        <v>082271637123</v>
      </c>
      <c r="J10" s="285" t="str">
        <f>IFERROR(__xludf.DUMMYFUNCTION("""COMPUTED_VALUE"""),"Qualified")</f>
        <v>Qualified</v>
      </c>
      <c r="K10" s="285" t="str">
        <f>IFERROR(__xludf.DUMMYFUNCTION("""COMPUTED_VALUE"""),"4H3M")</f>
        <v>4H3M</v>
      </c>
      <c r="L10" s="287">
        <f>IFERROR(__xludf.DUMMYFUNCTION("""COMPUTED_VALUE"""),46223.0)</f>
        <v>46223</v>
      </c>
      <c r="M10" s="285">
        <f>IFERROR(__xludf.DUMMYFUNCTION("""COMPUTED_VALUE"""),4.0)</f>
        <v>4</v>
      </c>
      <c r="N10" s="289">
        <f>IFERROR(__xludf.DUMMYFUNCTION("""COMPUTED_VALUE"""),8460000.0)</f>
        <v>8460000</v>
      </c>
      <c r="O10" s="285"/>
      <c r="Q10" s="285" t="str">
        <f>IFERROR(__xludf.DUMMYFUNCTION("""COMPUTED_VALUE"""),"2604A056")</f>
        <v>2604A056</v>
      </c>
      <c r="R10" s="286">
        <f>IFERROR(__xludf.DUMMYFUNCTION("""COMPUTED_VALUE"""),46129.0)</f>
        <v>46129</v>
      </c>
      <c r="S10" s="285" t="str">
        <f>IFERROR(__xludf.DUMMYFUNCTION("""COMPUTED_VALUE"""),"Nesya")</f>
        <v>Nesya</v>
      </c>
      <c r="T10" s="285" t="str">
        <f>IFERROR(__xludf.DUMMYFUNCTION("""COMPUTED_VALUE"""),"0895397165196")</f>
        <v>0895397165196</v>
      </c>
      <c r="U10" s="285" t="str">
        <f>IFERROR(__xludf.DUMMYFUNCTION("""COMPUTED_VALUE"""),"Closing")</f>
        <v>Closing</v>
      </c>
      <c r="V10" s="285" t="str">
        <f>IFERROR(__xludf.DUMMYFUNCTION("""COMPUTED_VALUE"""),"3H2M opsi A")</f>
        <v>3H2M opsi A</v>
      </c>
      <c r="W10" s="287"/>
      <c r="X10" s="285">
        <f>IFERROR(__xludf.DUMMYFUNCTION("""COMPUTED_VALUE"""),7.0)</f>
        <v>7</v>
      </c>
      <c r="Y10" s="289">
        <f>IFERROR(__xludf.DUMMYFUNCTION("""COMPUTED_VALUE"""),1.0094E7)</f>
        <v>10094000</v>
      </c>
      <c r="Z10" s="285" t="str">
        <f>IFERROR(__xludf.DUMMYFUNCTION("""COMPUTED_VALUE"""),"Gabung dengan Diah")</f>
        <v>Gabung dengan Diah</v>
      </c>
      <c r="AB10" s="285" t="str">
        <f>IFERROR(__xludf.DUMMYFUNCTION("""COMPUTED_VALUE"""),"2604A008")</f>
        <v>2604A008</v>
      </c>
      <c r="AC10" s="286">
        <f>IFERROR(__xludf.DUMMYFUNCTION("""COMPUTED_VALUE"""),46114.0)</f>
        <v>46114</v>
      </c>
      <c r="AD10" s="285" t="str">
        <f>IFERROR(__xludf.DUMMYFUNCTION("""COMPUTED_VALUE"""),"Siswati Utami")</f>
        <v>Siswati Utami</v>
      </c>
      <c r="AE10" s="285" t="str">
        <f>IFERROR(__xludf.DUMMYFUNCTION("""COMPUTED_VALUE"""),"082236322033")</f>
        <v>082236322033</v>
      </c>
      <c r="AF10" s="285" t="str">
        <f>IFERROR(__xludf.DUMMYFUNCTION("""COMPUTED_VALUE"""),"Gagal")</f>
        <v>Gagal</v>
      </c>
      <c r="AG10" s="285" t="str">
        <f>IFERROR(__xludf.DUMMYFUNCTION("""COMPUTED_VALUE"""),"1D D, B")</f>
        <v>1D D, B</v>
      </c>
      <c r="AH10" s="287"/>
      <c r="AI10" s="285">
        <f>IFERROR(__xludf.DUMMYFUNCTION("""COMPUTED_VALUE"""),3.0)</f>
        <v>3</v>
      </c>
      <c r="AJ10" s="289">
        <f>IFERROR(__xludf.DUMMYFUNCTION("""COMPUTED_VALUE"""),1875000.0)</f>
        <v>1875000</v>
      </c>
      <c r="AK10" s="285" t="str">
        <f>IFERROR(__xludf.DUMMYFUNCTION("""COMPUTED_VALUE"""),"ga ada kelanjutan")</f>
        <v>ga ada kelanjutan</v>
      </c>
    </row>
    <row r="11">
      <c r="B11" s="304" t="s">
        <v>19</v>
      </c>
      <c r="C11" s="305">
        <f>COUNTA(Q3:Q497)</f>
        <v>17</v>
      </c>
      <c r="F11" s="285" t="str">
        <f>IFERROR(__xludf.DUMMYFUNCTION("""COMPUTED_VALUE"""),"2604A053")</f>
        <v>2604A053</v>
      </c>
      <c r="G11" s="286">
        <f>IFERROR(__xludf.DUMMYFUNCTION("""COMPUTED_VALUE"""),46127.0)</f>
        <v>46127</v>
      </c>
      <c r="H11" s="285" t="str">
        <f>IFERROR(__xludf.DUMMYFUNCTION("""COMPUTED_VALUE"""),"No Name")</f>
        <v>No Name</v>
      </c>
      <c r="I11" s="285" t="str">
        <f>IFERROR(__xludf.DUMMYFUNCTION("""COMPUTED_VALUE"""),"089654451424")</f>
        <v>089654451424</v>
      </c>
      <c r="J11" s="285" t="str">
        <f>IFERROR(__xludf.DUMMYFUNCTION("""COMPUTED_VALUE"""),"Qualified")</f>
        <v>Qualified</v>
      </c>
      <c r="K11" s="285" t="str">
        <f>IFERROR(__xludf.DUMMYFUNCTION("""COMPUTED_VALUE"""),"3H2M Opsi A")</f>
        <v>3H2M Opsi A</v>
      </c>
      <c r="L11" s="287"/>
      <c r="M11" s="285">
        <f>IFERROR(__xludf.DUMMYFUNCTION("""COMPUTED_VALUE"""),3.0)</f>
        <v>3</v>
      </c>
      <c r="N11" s="289">
        <f>IFERROR(__xludf.DUMMYFUNCTION("""COMPUTED_VALUE"""),6402000.0)</f>
        <v>6402000</v>
      </c>
      <c r="O11" s="285"/>
      <c r="Q11" s="285" t="str">
        <f>IFERROR(__xludf.DUMMYFUNCTION("""COMPUTED_VALUE"""),"2604A064")</f>
        <v>2604A064</v>
      </c>
      <c r="R11" s="286">
        <f>IFERROR(__xludf.DUMMYFUNCTION("""COMPUTED_VALUE"""),46131.0)</f>
        <v>46131</v>
      </c>
      <c r="S11" s="285" t="str">
        <f>IFERROR(__xludf.DUMMYFUNCTION("""COMPUTED_VALUE"""),"Erlin")</f>
        <v>Erlin</v>
      </c>
      <c r="T11" s="285" t="str">
        <f>IFERROR(__xludf.DUMMYFUNCTION("""COMPUTED_VALUE"""),"085718104191")</f>
        <v>085718104191</v>
      </c>
      <c r="U11" s="285" t="str">
        <f>IFERROR(__xludf.DUMMYFUNCTION("""COMPUTED_VALUE"""),"Closing")</f>
        <v>Closing</v>
      </c>
      <c r="V11" s="285" t="str">
        <f>IFERROR(__xludf.DUMMYFUNCTION("""COMPUTED_VALUE"""),"3H2M/2H1M")</f>
        <v>3H2M/2H1M</v>
      </c>
      <c r="W11" s="287"/>
      <c r="X11" s="285">
        <f>IFERROR(__xludf.DUMMYFUNCTION("""COMPUTED_VALUE"""),11.0)</f>
        <v>11</v>
      </c>
      <c r="Y11" s="289">
        <f>IFERROR(__xludf.DUMMYFUNCTION("""COMPUTED_VALUE"""),1.28E7)</f>
        <v>12800000</v>
      </c>
      <c r="Z11" s="285" t="str">
        <f>IFERROR(__xludf.DUMMYFUNCTION("""COMPUTED_VALUE"""),"alhamdulillah order")</f>
        <v>alhamdulillah order</v>
      </c>
      <c r="AB11" s="285" t="str">
        <f>IFERROR(__xludf.DUMMYFUNCTION("""COMPUTED_VALUE"""),"2604A009")</f>
        <v>2604A009</v>
      </c>
      <c r="AC11" s="286">
        <f>IFERROR(__xludf.DUMMYFUNCTION("""COMPUTED_VALUE"""),46115.0)</f>
        <v>46115</v>
      </c>
      <c r="AD11" s="285" t="str">
        <f>IFERROR(__xludf.DUMMYFUNCTION("""COMPUTED_VALUE"""),"Dewi")</f>
        <v>Dewi</v>
      </c>
      <c r="AE11" s="285" t="str">
        <f>IFERROR(__xludf.DUMMYFUNCTION("""COMPUTED_VALUE"""),"085880530215")</f>
        <v>085880530215</v>
      </c>
      <c r="AF11" s="285" t="str">
        <f>IFERROR(__xludf.DUMMYFUNCTION("""COMPUTED_VALUE"""),"Gagal")</f>
        <v>Gagal</v>
      </c>
      <c r="AG11" s="285" t="str">
        <f>IFERROR(__xludf.DUMMYFUNCTION("""COMPUTED_VALUE"""),"3H2M opsi A")</f>
        <v>3H2M opsi A</v>
      </c>
      <c r="AH11" s="287"/>
      <c r="AI11" s="285">
        <f>IFERROR(__xludf.DUMMYFUNCTION("""COMPUTED_VALUE"""),2.0)</f>
        <v>2</v>
      </c>
      <c r="AJ11" s="289"/>
      <c r="AK11" s="285" t="str">
        <f>IFERROR(__xludf.DUMMYFUNCTION("""COMPUTED_VALUE"""),"gada balasan")</f>
        <v>gada balasan</v>
      </c>
    </row>
    <row r="12">
      <c r="B12" s="307" t="s">
        <v>42</v>
      </c>
      <c r="C12" s="308">
        <f>COUNTA(AB3:AB497)</f>
        <v>73</v>
      </c>
      <c r="F12" s="285" t="str">
        <f>IFERROR(__xludf.DUMMYFUNCTION("""COMPUTED_VALUE"""),"2604A058")</f>
        <v>2604A058</v>
      </c>
      <c r="G12" s="286">
        <f>IFERROR(__xludf.DUMMYFUNCTION("""COMPUTED_VALUE"""),46130.0)</f>
        <v>46130</v>
      </c>
      <c r="H12" s="285" t="str">
        <f>IFERROR(__xludf.DUMMYFUNCTION("""COMPUTED_VALUE"""),"Ambar")</f>
        <v>Ambar</v>
      </c>
      <c r="I12" s="285" t="str">
        <f>IFERROR(__xludf.DUMMYFUNCTION("""COMPUTED_VALUE"""),"082141083242")</f>
        <v>082141083242</v>
      </c>
      <c r="J12" s="285" t="str">
        <f>IFERROR(__xludf.DUMMYFUNCTION("""COMPUTED_VALUE"""),"Qualified")</f>
        <v>Qualified</v>
      </c>
      <c r="K12" s="285" t="str">
        <f>IFERROR(__xludf.DUMMYFUNCTION("""COMPUTED_VALUE"""),"OT D, B, M , T")</f>
        <v>OT D, B, M , T</v>
      </c>
      <c r="L12" s="287"/>
      <c r="M12" s="285">
        <f>IFERROR(__xludf.DUMMYFUNCTION("""COMPUTED_VALUE"""),2.0)</f>
        <v>2</v>
      </c>
      <c r="N12" s="289">
        <f>IFERROR(__xludf.DUMMYFUNCTION("""COMPUTED_VALUE"""),1100000.0)</f>
        <v>1100000</v>
      </c>
      <c r="O12" s="285"/>
      <c r="Q12" s="285" t="str">
        <f>IFERROR(__xludf.DUMMYFUNCTION("""COMPUTED_VALUE"""),"2604A065")</f>
        <v>2604A065</v>
      </c>
      <c r="R12" s="286">
        <f>IFERROR(__xludf.DUMMYFUNCTION("""COMPUTED_VALUE"""),46131.0)</f>
        <v>46131</v>
      </c>
      <c r="S12" s="285" t="str">
        <f>IFERROR(__xludf.DUMMYFUNCTION("""COMPUTED_VALUE"""),"Diah")</f>
        <v>Diah</v>
      </c>
      <c r="T12" s="285" t="str">
        <f>IFERROR(__xludf.DUMMYFUNCTION("""COMPUTED_VALUE"""),"081937996742")</f>
        <v>081937996742</v>
      </c>
      <c r="U12" s="285" t="str">
        <f>IFERROR(__xludf.DUMMYFUNCTION("""COMPUTED_VALUE"""),"Closing")</f>
        <v>Closing</v>
      </c>
      <c r="V12" s="285" t="str">
        <f>IFERROR(__xludf.DUMMYFUNCTION("""COMPUTED_VALUE"""),"3H2M opsi A")</f>
        <v>3H2M opsi A</v>
      </c>
      <c r="W12" s="287"/>
      <c r="X12" s="285">
        <f>IFERROR(__xludf.DUMMYFUNCTION("""COMPUTED_VALUE"""),7.0)</f>
        <v>7</v>
      </c>
      <c r="Y12" s="289">
        <f>IFERROR(__xludf.DUMMYFUNCTION("""COMPUTED_VALUE"""),1.5632E7)</f>
        <v>15632000</v>
      </c>
      <c r="Z12" s="285" t="str">
        <f>IFERROR(__xludf.DUMMYFUNCTION("""COMPUTED_VALUE"""),"ALHAMDULILLAHHH")</f>
        <v>ALHAMDULILLAHHH</v>
      </c>
      <c r="AB12" s="285" t="str">
        <f>IFERROR(__xludf.DUMMYFUNCTION("""COMPUTED_VALUE"""),"2604A011")</f>
        <v>2604A011</v>
      </c>
      <c r="AC12" s="286">
        <f>IFERROR(__xludf.DUMMYFUNCTION("""COMPUTED_VALUE"""),46116.0)</f>
        <v>46116</v>
      </c>
      <c r="AD12" s="285" t="str">
        <f>IFERROR(__xludf.DUMMYFUNCTION("""COMPUTED_VALUE"""),"Anto")</f>
        <v>Anto</v>
      </c>
      <c r="AE12" s="285" t="str">
        <f>IFERROR(__xludf.DUMMYFUNCTION("""COMPUTED_VALUE"""),"085727801119")</f>
        <v>085727801119</v>
      </c>
      <c r="AF12" s="285" t="str">
        <f>IFERROR(__xludf.DUMMYFUNCTION("""COMPUTED_VALUE"""),"Gagal")</f>
        <v>Gagal</v>
      </c>
      <c r="AG12" s="285" t="str">
        <f>IFERROR(__xludf.DUMMYFUNCTION("""COMPUTED_VALUE"""),"OT  D, B")</f>
        <v>OT  D, B</v>
      </c>
      <c r="AH12" s="287">
        <f>IFERROR(__xludf.DUMMYFUNCTION("""COMPUTED_VALUE"""),46119.0)</f>
        <v>46119</v>
      </c>
      <c r="AI12" s="285">
        <f>IFERROR(__xludf.DUMMYFUNCTION("""COMPUTED_VALUE"""),2.0)</f>
        <v>2</v>
      </c>
      <c r="AJ12" s="289">
        <f>IFERROR(__xludf.DUMMYFUNCTION("""COMPUTED_VALUE"""),1100000.0)</f>
        <v>1100000</v>
      </c>
      <c r="AK12" s="285" t="str">
        <f>IFERROR(__xludf.DUMMYFUNCTION("""COMPUTED_VALUE"""),"tidak ada respon")</f>
        <v>tidak ada respon</v>
      </c>
    </row>
    <row r="13">
      <c r="B13" s="347" t="s">
        <v>10222</v>
      </c>
      <c r="C13" s="310">
        <f>SUM(C5:C12)</f>
        <v>118</v>
      </c>
      <c r="F13" s="285" t="str">
        <f>IFERROR(__xludf.DUMMYFUNCTION("""COMPUTED_VALUE"""),"2604A061")</f>
        <v>2604A061</v>
      </c>
      <c r="G13" s="286">
        <f>IFERROR(__xludf.DUMMYFUNCTION("""COMPUTED_VALUE"""),46131.0)</f>
        <v>46131</v>
      </c>
      <c r="H13" s="285" t="str">
        <f>IFERROR(__xludf.DUMMYFUNCTION("""COMPUTED_VALUE"""),"Juniffia")</f>
        <v>Juniffia</v>
      </c>
      <c r="I13" s="285" t="str">
        <f>IFERROR(__xludf.DUMMYFUNCTION("""COMPUTED_VALUE"""),"085524734259")</f>
        <v>085524734259</v>
      </c>
      <c r="J13" s="285" t="str">
        <f>IFERROR(__xludf.DUMMYFUNCTION("""COMPUTED_VALUE"""),"Qualified")</f>
        <v>Qualified</v>
      </c>
      <c r="K13" s="285" t="str">
        <f>IFERROR(__xludf.DUMMYFUNCTION("""COMPUTED_VALUE"""),"2h1m")</f>
        <v>2h1m</v>
      </c>
      <c r="L13" s="287">
        <f>IFERROR(__xludf.DUMMYFUNCTION("""COMPUTED_VALUE"""),46185.0)</f>
        <v>46185</v>
      </c>
      <c r="M13" s="285">
        <f>IFERROR(__xludf.DUMMYFUNCTION("""COMPUTED_VALUE"""),2.0)</f>
        <v>2</v>
      </c>
      <c r="N13" s="289">
        <f>IFERROR(__xludf.DUMMYFUNCTION("""COMPUTED_VALUE"""),3780000.0)</f>
        <v>3780000</v>
      </c>
      <c r="O13" s="285" t="str">
        <f>IFERROR(__xludf.DUMMYFUNCTION("""COMPUTED_VALUE"""),"kirim penawaran, Akhir mei")</f>
        <v>kirim penawaran, Akhir mei</v>
      </c>
      <c r="Q13" s="285" t="str">
        <f>IFERROR(__xludf.DUMMYFUNCTION("""COMPUTED_VALUE"""),"2604A079")</f>
        <v>2604A079</v>
      </c>
      <c r="R13" s="286">
        <f>IFERROR(__xludf.DUMMYFUNCTION("""COMPUTED_VALUE"""),46134.0)</f>
        <v>46134</v>
      </c>
      <c r="S13" s="285" t="str">
        <f>IFERROR(__xludf.DUMMYFUNCTION("""COMPUTED_VALUE"""),"Yulia")</f>
        <v>Yulia</v>
      </c>
      <c r="T13" s="285" t="str">
        <f>IFERROR(__xludf.DUMMYFUNCTION("""COMPUTED_VALUE"""),"085223012345")</f>
        <v>085223012345</v>
      </c>
      <c r="U13" s="285" t="str">
        <f>IFERROR(__xludf.DUMMYFUNCTION("""COMPUTED_VALUE"""),"Closing")</f>
        <v>Closing</v>
      </c>
      <c r="V13" s="285" t="str">
        <f>IFERROR(__xludf.DUMMYFUNCTION("""COMPUTED_VALUE"""),"3H2M A")</f>
        <v>3H2M A</v>
      </c>
      <c r="W13" s="287"/>
      <c r="X13" s="285">
        <f>IFERROR(__xludf.DUMMYFUNCTION("""COMPUTED_VALUE"""),13.0)</f>
        <v>13</v>
      </c>
      <c r="Y13" s="289">
        <f>IFERROR(__xludf.DUMMYFUNCTION("""COMPUTED_VALUE"""),1.495E7)</f>
        <v>14950000</v>
      </c>
      <c r="Z13" s="285" t="str">
        <f>IFERROR(__xludf.DUMMYFUNCTION("""COMPUTED_VALUE"""),"masih dipelajari")</f>
        <v>masih dipelajari</v>
      </c>
      <c r="AB13" s="285" t="str">
        <f>IFERROR(__xludf.DUMMYFUNCTION("""COMPUTED_VALUE"""),"2604A012")</f>
        <v>2604A012</v>
      </c>
      <c r="AC13" s="286">
        <f>IFERROR(__xludf.DUMMYFUNCTION("""COMPUTED_VALUE"""),46118.0)</f>
        <v>46118</v>
      </c>
      <c r="AD13" s="285" t="str">
        <f>IFERROR(__xludf.DUMMYFUNCTION("""COMPUTED_VALUE"""),"Arina Safira")</f>
        <v>Arina Safira</v>
      </c>
      <c r="AE13" s="285" t="str">
        <f>IFERROR(__xludf.DUMMYFUNCTION("""COMPUTED_VALUE"""),"08111990367")</f>
        <v>08111990367</v>
      </c>
      <c r="AF13" s="285" t="str">
        <f>IFERROR(__xludf.DUMMYFUNCTION("""COMPUTED_VALUE"""),"Gagal")</f>
        <v>Gagal</v>
      </c>
      <c r="AG13" s="285" t="str">
        <f>IFERROR(__xludf.DUMMYFUNCTION("""COMPUTED_VALUE"""),"trip wurung, D, B")</f>
        <v>trip wurung, D, B</v>
      </c>
      <c r="AH13" s="287"/>
      <c r="AI13" s="285"/>
      <c r="AJ13" s="289"/>
      <c r="AK13" s="285" t="str">
        <f>IFERROR(__xludf.DUMMYFUNCTION("""COMPUTED_VALUE"""),"gajadi")</f>
        <v>gajadi</v>
      </c>
    </row>
    <row r="14">
      <c r="B14" s="209"/>
      <c r="C14" s="209"/>
      <c r="F14" s="285" t="str">
        <f>IFERROR(__xludf.DUMMYFUNCTION("""COMPUTED_VALUE"""),"2604A063")</f>
        <v>2604A063</v>
      </c>
      <c r="G14" s="286">
        <f>IFERROR(__xludf.DUMMYFUNCTION("""COMPUTED_VALUE"""),46131.0)</f>
        <v>46131</v>
      </c>
      <c r="H14" s="285" t="str">
        <f>IFERROR(__xludf.DUMMYFUNCTION("""COMPUTED_VALUE"""),"Sky")</f>
        <v>Sky</v>
      </c>
      <c r="I14" s="285" t="str">
        <f>IFERROR(__xludf.DUMMYFUNCTION("""COMPUTED_VALUE"""),"08156960491")</f>
        <v>08156960491</v>
      </c>
      <c r="J14" s="285" t="str">
        <f>IFERROR(__xludf.DUMMYFUNCTION("""COMPUTED_VALUE"""),"Qualified")</f>
        <v>Qualified</v>
      </c>
      <c r="K14" s="285" t="str">
        <f>IFERROR(__xludf.DUMMYFUNCTION("""COMPUTED_VALUE"""),"3H2M opsi A")</f>
        <v>3H2M opsi A</v>
      </c>
      <c r="L14" s="287"/>
      <c r="M14" s="285">
        <f>IFERROR(__xludf.DUMMYFUNCTION("""COMPUTED_VALUE"""),2.0)</f>
        <v>2</v>
      </c>
      <c r="N14" s="289">
        <f>IFERROR(__xludf.DUMMYFUNCTION("""COMPUTED_VALUE"""),6828000.0)</f>
        <v>6828000</v>
      </c>
      <c r="O14" s="285" t="str">
        <f>IFERROR(__xludf.DUMMYFUNCTION("""COMPUTED_VALUE"""),"kirim penawaran, FU Akhir mei")</f>
        <v>kirim penawaran, FU Akhir mei</v>
      </c>
      <c r="Q14" s="285" t="str">
        <f>IFERROR(__xludf.DUMMYFUNCTION("""COMPUTED_VALUE"""),"2604A083")</f>
        <v>2604A083</v>
      </c>
      <c r="R14" s="286">
        <f>IFERROR(__xludf.DUMMYFUNCTION("""COMPUTED_VALUE"""),46135.0)</f>
        <v>46135</v>
      </c>
      <c r="S14" s="285" t="str">
        <f>IFERROR(__xludf.DUMMYFUNCTION("""COMPUTED_VALUE"""),"Gita")</f>
        <v>Gita</v>
      </c>
      <c r="T14" s="285" t="str">
        <f>IFERROR(__xludf.DUMMYFUNCTION("""COMPUTED_VALUE"""),"085156367823")</f>
        <v>085156367823</v>
      </c>
      <c r="U14" s="285" t="str">
        <f>IFERROR(__xludf.DUMMYFUNCTION("""COMPUTED_VALUE"""),"Closing")</f>
        <v>Closing</v>
      </c>
      <c r="V14" s="285" t="str">
        <f>IFERROR(__xludf.DUMMYFUNCTION("""COMPUTED_VALUE"""),"3H2M Custom")</f>
        <v>3H2M Custom</v>
      </c>
      <c r="W14" s="287"/>
      <c r="X14" s="285">
        <f>IFERROR(__xludf.DUMMYFUNCTION("""COMPUTED_VALUE"""),2.0)</f>
        <v>2</v>
      </c>
      <c r="Y14" s="289">
        <f>IFERROR(__xludf.DUMMYFUNCTION("""COMPUTED_VALUE"""),7240000.0)</f>
        <v>7240000</v>
      </c>
      <c r="Z14" s="285" t="str">
        <f>IFERROR(__xludf.DUMMYFUNCTION("""COMPUTED_VALUE"""),"ALHAMDULILLAH")</f>
        <v>ALHAMDULILLAH</v>
      </c>
      <c r="AB14" s="285" t="str">
        <f>IFERROR(__xludf.DUMMYFUNCTION("""COMPUTED_VALUE"""),"2604A013")</f>
        <v>2604A013</v>
      </c>
      <c r="AC14" s="286">
        <f>IFERROR(__xludf.DUMMYFUNCTION("""COMPUTED_VALUE"""),46118.0)</f>
        <v>46118</v>
      </c>
      <c r="AD14" s="285" t="str">
        <f>IFERROR(__xludf.DUMMYFUNCTION("""COMPUTED_VALUE"""),"Mira")</f>
        <v>Mira</v>
      </c>
      <c r="AE14" s="285" t="str">
        <f>IFERROR(__xludf.DUMMYFUNCTION("""COMPUTED_VALUE"""),"60195025953")</f>
        <v>60195025953</v>
      </c>
      <c r="AF14" s="285" t="str">
        <f>IFERROR(__xludf.DUMMYFUNCTION("""COMPUTED_VALUE"""),"Gagal")</f>
        <v>Gagal</v>
      </c>
      <c r="AG14" s="285" t="str">
        <f>IFERROR(__xludf.DUMMYFUNCTION("""COMPUTED_VALUE"""),"Trip Tabuhan")</f>
        <v>Trip Tabuhan</v>
      </c>
      <c r="AH14" s="287"/>
      <c r="AI14" s="285">
        <f>IFERROR(__xludf.DUMMYFUNCTION("""COMPUTED_VALUE"""),2.0)</f>
        <v>2</v>
      </c>
      <c r="AJ14" s="289"/>
      <c r="AK14" s="285" t="str">
        <f>IFERROR(__xludf.DUMMYFUNCTION("""COMPUTED_VALUE"""),"tidak ada balasan")</f>
        <v>tidak ada balasan</v>
      </c>
    </row>
    <row r="15">
      <c r="B15" s="311" t="s">
        <v>10223</v>
      </c>
      <c r="C15" s="312">
        <f>sum(C5:C10)/C13</f>
        <v>0.2372881356</v>
      </c>
      <c r="F15" s="285" t="str">
        <f>IFERROR(__xludf.DUMMYFUNCTION("""COMPUTED_VALUE"""),"2604A074")</f>
        <v>2604A074</v>
      </c>
      <c r="G15" s="286">
        <f>IFERROR(__xludf.DUMMYFUNCTION("""COMPUTED_VALUE"""),46133.0)</f>
        <v>46133</v>
      </c>
      <c r="H15" s="285" t="str">
        <f>IFERROR(__xludf.DUMMYFUNCTION("""COMPUTED_VALUE"""),"Ivan")</f>
        <v>Ivan</v>
      </c>
      <c r="I15" s="285" t="str">
        <f>IFERROR(__xludf.DUMMYFUNCTION("""COMPUTED_VALUE"""),"085213014214")</f>
        <v>085213014214</v>
      </c>
      <c r="J15" s="285" t="str">
        <f>IFERROR(__xludf.DUMMYFUNCTION("""COMPUTED_VALUE"""),"Qualified")</f>
        <v>Qualified</v>
      </c>
      <c r="K15" s="285" t="str">
        <f>IFERROR(__xludf.DUMMYFUNCTION("""COMPUTED_VALUE"""),"OT 3H2M")</f>
        <v>OT 3H2M</v>
      </c>
      <c r="L15" s="287"/>
      <c r="M15" s="285">
        <f>IFERROR(__xludf.DUMMYFUNCTION("""COMPUTED_VALUE"""),6.0)</f>
        <v>6</v>
      </c>
      <c r="N15" s="289">
        <f>IFERROR(__xludf.DUMMYFUNCTION("""COMPUTED_VALUE"""),9600000.0)</f>
        <v>9600000</v>
      </c>
      <c r="O15" s="285" t="str">
        <f>IFERROR(__xludf.DUMMYFUNCTION("""COMPUTED_VALUE"""),"nanti diinfokan kembali, FU 10 mei")</f>
        <v>nanti diinfokan kembali, FU 10 mei</v>
      </c>
      <c r="Q15" s="285" t="str">
        <f>IFERROR(__xludf.DUMMYFUNCTION("""COMPUTED_VALUE"""),"2604A090")</f>
        <v>2604A090</v>
      </c>
      <c r="R15" s="286">
        <f>IFERROR(__xludf.DUMMYFUNCTION("""COMPUTED_VALUE"""),46136.0)</f>
        <v>46136</v>
      </c>
      <c r="S15" s="285" t="str">
        <f>IFERROR(__xludf.DUMMYFUNCTION("""COMPUTED_VALUE"""),"vira")</f>
        <v>vira</v>
      </c>
      <c r="T15" s="285" t="str">
        <f>IFERROR(__xludf.DUMMYFUNCTION("""COMPUTED_VALUE"""),"087781523339")</f>
        <v>087781523339</v>
      </c>
      <c r="U15" s="285" t="str">
        <f>IFERROR(__xludf.DUMMYFUNCTION("""COMPUTED_VALUE"""),"Closing")</f>
        <v>Closing</v>
      </c>
      <c r="V15" s="285" t="str">
        <f>IFERROR(__xludf.DUMMYFUNCTION("""COMPUTED_VALUE"""),"1D M T")</f>
        <v>1D M T</v>
      </c>
      <c r="W15" s="287">
        <f>IFERROR(__xludf.DUMMYFUNCTION("""COMPUTED_VALUE"""),46147.0)</f>
        <v>46147</v>
      </c>
      <c r="X15" s="285">
        <f>IFERROR(__xludf.DUMMYFUNCTION("""COMPUTED_VALUE"""),2.0)</f>
        <v>2</v>
      </c>
      <c r="Y15" s="289">
        <f>IFERROR(__xludf.DUMMYFUNCTION("""COMPUTED_VALUE"""),1700000.0)</f>
        <v>1700000</v>
      </c>
      <c r="Z15" s="285" t="str">
        <f>IFERROR(__xludf.DUMMYFUNCTION("""COMPUTED_VALUE"""),"ALHAMDULILLAH")</f>
        <v>ALHAMDULILLAH</v>
      </c>
      <c r="AB15" s="285" t="str">
        <f>IFERROR(__xludf.DUMMYFUNCTION("""COMPUTED_VALUE"""),"2604A014")</f>
        <v>2604A014</v>
      </c>
      <c r="AC15" s="286">
        <f>IFERROR(__xludf.DUMMYFUNCTION("""COMPUTED_VALUE"""),46118.0)</f>
        <v>46118</v>
      </c>
      <c r="AD15" s="285" t="str">
        <f>IFERROR(__xludf.DUMMYFUNCTION("""COMPUTED_VALUE"""),"Nabila Ratna")</f>
        <v>Nabila Ratna</v>
      </c>
      <c r="AE15" s="285" t="str">
        <f>IFERROR(__xludf.DUMMYFUNCTION("""COMPUTED_VALUE"""),"081322226980")</f>
        <v>081322226980</v>
      </c>
      <c r="AF15" s="285" t="str">
        <f>IFERROR(__xludf.DUMMYFUNCTION("""COMPUTED_VALUE"""),"Gagal")</f>
        <v>Gagal</v>
      </c>
      <c r="AG15" s="285"/>
      <c r="AH15" s="287"/>
      <c r="AI15" s="285"/>
      <c r="AJ15" s="289"/>
      <c r="AK15" s="285" t="str">
        <f>IFERROR(__xludf.DUMMYFUNCTION("""COMPUTED_VALUE"""),"Hanya menyapa")</f>
        <v>Hanya menyapa</v>
      </c>
    </row>
    <row r="16">
      <c r="B16" s="313" t="s">
        <v>10224</v>
      </c>
      <c r="C16" s="314">
        <f>C11/C13</f>
        <v>0.1440677966</v>
      </c>
      <c r="F16" s="285" t="str">
        <f>IFERROR(__xludf.DUMMYFUNCTION("""COMPUTED_VALUE"""),"2604A080")</f>
        <v>2604A080</v>
      </c>
      <c r="G16" s="286">
        <f>IFERROR(__xludf.DUMMYFUNCTION("""COMPUTED_VALUE"""),46134.0)</f>
        <v>46134</v>
      </c>
      <c r="H16" s="285" t="str">
        <f>IFERROR(__xludf.DUMMYFUNCTION("""COMPUTED_VALUE"""),"Shinta")</f>
        <v>Shinta</v>
      </c>
      <c r="I16" s="285" t="str">
        <f>IFERROR(__xludf.DUMMYFUNCTION("""COMPUTED_VALUE"""),"0811218443")</f>
        <v>0811218443</v>
      </c>
      <c r="J16" s="285" t="str">
        <f>IFERROR(__xludf.DUMMYFUNCTION("""COMPUTED_VALUE"""),"Qualified")</f>
        <v>Qualified</v>
      </c>
      <c r="K16" s="285" t="str">
        <f>IFERROR(__xludf.DUMMYFUNCTION("""COMPUTED_VALUE"""),"Trip D, MU, PM")</f>
        <v>Trip D, MU, PM</v>
      </c>
      <c r="L16" s="287"/>
      <c r="M16" s="285">
        <f>IFERROR(__xludf.DUMMYFUNCTION("""COMPUTED_VALUE"""),10.0)</f>
        <v>10</v>
      </c>
      <c r="N16" s="289">
        <f>IFERROR(__xludf.DUMMYFUNCTION("""COMPUTED_VALUE"""),2980000.0)</f>
        <v>2980000</v>
      </c>
      <c r="O16" s="285" t="str">
        <f>IFERROR(__xludf.DUMMYFUNCTION("""COMPUTED_VALUE"""),"dipelajari dlu")</f>
        <v>dipelajari dlu</v>
      </c>
      <c r="Q16" s="285" t="str">
        <f>IFERROR(__xludf.DUMMYFUNCTION("""COMPUTED_VALUE"""),"2604A089")</f>
        <v>2604A089</v>
      </c>
      <c r="R16" s="286">
        <f>IFERROR(__xludf.DUMMYFUNCTION("""COMPUTED_VALUE"""),46136.0)</f>
        <v>46136</v>
      </c>
      <c r="S16" s="285" t="str">
        <f>IFERROR(__xludf.DUMMYFUNCTION("""COMPUTED_VALUE"""),"Herfani")</f>
        <v>Herfani</v>
      </c>
      <c r="T16" s="285" t="str">
        <f>IFERROR(__xludf.DUMMYFUNCTION("""COMPUTED_VALUE"""),"081218648700")</f>
        <v>081218648700</v>
      </c>
      <c r="U16" s="285" t="str">
        <f>IFERROR(__xludf.DUMMYFUNCTION("""COMPUTED_VALUE"""),"Closing")</f>
        <v>Closing</v>
      </c>
      <c r="V16" s="285" t="str">
        <f>IFERROR(__xludf.DUMMYFUNCTION("""COMPUTED_VALUE"""),"3H2M A")</f>
        <v>3H2M A</v>
      </c>
      <c r="W16" s="287"/>
      <c r="X16" s="285">
        <f>IFERROR(__xludf.DUMMYFUNCTION("""COMPUTED_VALUE"""),2.0)</f>
        <v>2</v>
      </c>
      <c r="Y16" s="289">
        <f>IFERROR(__xludf.DUMMYFUNCTION("""COMPUTED_VALUE"""),6000000.0)</f>
        <v>6000000</v>
      </c>
      <c r="Z16" s="285" t="str">
        <f>IFERROR(__xludf.DUMMYFUNCTION("""COMPUTED_VALUE"""),"ALHAMDULILLAH")</f>
        <v>ALHAMDULILLAH</v>
      </c>
      <c r="AB16" s="285" t="str">
        <f>IFERROR(__xludf.DUMMYFUNCTION("""COMPUTED_VALUE"""),"2604A015")</f>
        <v>2604A015</v>
      </c>
      <c r="AC16" s="286">
        <f>IFERROR(__xludf.DUMMYFUNCTION("""COMPUTED_VALUE"""),46118.0)</f>
        <v>46118</v>
      </c>
      <c r="AD16" s="285" t="str">
        <f>IFERROR(__xludf.DUMMYFUNCTION("""COMPUTED_VALUE"""),"Fadjrin")</f>
        <v>Fadjrin</v>
      </c>
      <c r="AE16" s="285" t="str">
        <f>IFERROR(__xludf.DUMMYFUNCTION("""COMPUTED_VALUE"""),"082285208277")</f>
        <v>082285208277</v>
      </c>
      <c r="AF16" s="285" t="str">
        <f>IFERROR(__xludf.DUMMYFUNCTION("""COMPUTED_VALUE"""),"Gagal")</f>
        <v>Gagal</v>
      </c>
      <c r="AG16" s="285" t="str">
        <f>IFERROR(__xludf.DUMMYFUNCTION("""COMPUTED_VALUE"""),"3h2m / 2h1m custom")</f>
        <v>3h2m / 2h1m custom</v>
      </c>
      <c r="AH16" s="287"/>
      <c r="AI16" s="285">
        <f>IFERROR(__xludf.DUMMYFUNCTION("""COMPUTED_VALUE"""),22.0)</f>
        <v>22</v>
      </c>
      <c r="AJ16" s="289">
        <f>IFERROR(__xludf.DUMMYFUNCTION("""COMPUTED_VALUE"""),3.696E7)</f>
        <v>36960000</v>
      </c>
      <c r="AK16" s="285" t="str">
        <f>IFERROR(__xludf.DUMMYFUNCTION("""COMPUTED_VALUE"""),"tidak ada balasan")</f>
        <v>tidak ada balasan</v>
      </c>
    </row>
    <row r="17">
      <c r="B17" s="315" t="s">
        <v>10225</v>
      </c>
      <c r="C17" s="316">
        <f>C12/C13</f>
        <v>0.6186440678</v>
      </c>
      <c r="F17" s="285" t="str">
        <f>IFERROR(__xludf.DUMMYFUNCTION("""COMPUTED_VALUE"""),"2604A082")</f>
        <v>2604A082</v>
      </c>
      <c r="G17" s="286">
        <f>IFERROR(__xludf.DUMMYFUNCTION("""COMPUTED_VALUE"""),46134.0)</f>
        <v>46134</v>
      </c>
      <c r="H17" s="285" t="str">
        <f>IFERROR(__xludf.DUMMYFUNCTION("""COMPUTED_VALUE"""),"Adela")</f>
        <v>Adela</v>
      </c>
      <c r="I17" s="285" t="str">
        <f>IFERROR(__xludf.DUMMYFUNCTION("""COMPUTED_VALUE"""),"088233811775")</f>
        <v>088233811775</v>
      </c>
      <c r="J17" s="285" t="str">
        <f>IFERROR(__xludf.DUMMYFUNCTION("""COMPUTED_VALUE"""),"Qualified")</f>
        <v>Qualified</v>
      </c>
      <c r="K17" s="285"/>
      <c r="L17" s="287"/>
      <c r="M17" s="285">
        <f>IFERROR(__xludf.DUMMYFUNCTION("""COMPUTED_VALUE"""),46272.0)</f>
        <v>46272</v>
      </c>
      <c r="N17" s="289">
        <f>IFERROR(__xludf.DUMMYFUNCTION("""COMPUTED_VALUE"""),1.215E7)</f>
        <v>12150000</v>
      </c>
      <c r="O17" s="285" t="str">
        <f>IFERROR(__xludf.DUMMYFUNCTION("""COMPUTED_VALUE"""),"fu 5 mei")</f>
        <v>fu 5 mei</v>
      </c>
      <c r="Q17" s="285" t="str">
        <f>IFERROR(__xludf.DUMMYFUNCTION("""COMPUTED_VALUE"""),"2604A102")</f>
        <v>2604A102</v>
      </c>
      <c r="R17" s="286">
        <f>IFERROR(__xludf.DUMMYFUNCTION("""COMPUTED_VALUE"""),46138.0)</f>
        <v>46138</v>
      </c>
      <c r="S17" s="285" t="str">
        <f>IFERROR(__xludf.DUMMYFUNCTION("""COMPUTED_VALUE"""),"Nugi")</f>
        <v>Nugi</v>
      </c>
      <c r="T17" s="285" t="str">
        <f>IFERROR(__xludf.DUMMYFUNCTION("""COMPUTED_VALUE"""),"081381534020")</f>
        <v>081381534020</v>
      </c>
      <c r="U17" s="285" t="str">
        <f>IFERROR(__xludf.DUMMYFUNCTION("""COMPUTED_VALUE"""),"Closing")</f>
        <v>Closing</v>
      </c>
      <c r="V17" s="285" t="str">
        <f>IFERROR(__xludf.DUMMYFUNCTION("""COMPUTED_VALUE"""),"Trip 1D D, B")</f>
        <v>Trip 1D D, B</v>
      </c>
      <c r="W17" s="287">
        <f>IFERROR(__xludf.DUMMYFUNCTION("""COMPUTED_VALUE"""),46156.0)</f>
        <v>46156</v>
      </c>
      <c r="X17" s="285">
        <f>IFERROR(__xludf.DUMMYFUNCTION("""COMPUTED_VALUE"""),2.0)</f>
        <v>2</v>
      </c>
      <c r="Y17" s="289">
        <f>IFERROR(__xludf.DUMMYFUNCTION("""COMPUTED_VALUE"""),1754000.0)</f>
        <v>1754000</v>
      </c>
      <c r="Z17" s="285" t="str">
        <f>IFERROR(__xludf.DUMMYFUNCTION("""COMPUTED_VALUE"""),"ALHAMDULILLAH")</f>
        <v>ALHAMDULILLAH</v>
      </c>
      <c r="AB17" s="285" t="str">
        <f>IFERROR(__xludf.DUMMYFUNCTION("""COMPUTED_VALUE"""),"2604A020")</f>
        <v>2604A020</v>
      </c>
      <c r="AC17" s="286">
        <f>IFERROR(__xludf.DUMMYFUNCTION("""COMPUTED_VALUE"""),46119.0)</f>
        <v>46119</v>
      </c>
      <c r="AD17" s="285" t="str">
        <f>IFERROR(__xludf.DUMMYFUNCTION("""COMPUTED_VALUE"""),"Joshi")</f>
        <v>Joshi</v>
      </c>
      <c r="AE17" s="285" t="str">
        <f>IFERROR(__xludf.DUMMYFUNCTION("""COMPUTED_VALUE"""),"087839921505")</f>
        <v>087839921505</v>
      </c>
      <c r="AF17" s="285" t="str">
        <f>IFERROR(__xludf.DUMMYFUNCTION("""COMPUTED_VALUE"""),"Gagal")</f>
        <v>Gagal</v>
      </c>
      <c r="AG17" s="285"/>
      <c r="AH17" s="287"/>
      <c r="AI17" s="285"/>
      <c r="AJ17" s="289"/>
      <c r="AK17" s="285" t="str">
        <f>IFERROR(__xludf.DUMMYFUNCTION("""COMPUTED_VALUE"""),"hanya menyapa")</f>
        <v>hanya menyapa</v>
      </c>
    </row>
    <row r="18">
      <c r="F18" s="285" t="str">
        <f>IFERROR(__xludf.DUMMYFUNCTION("""COMPUTED_VALUE"""),"2604A085")</f>
        <v>2604A085</v>
      </c>
      <c r="G18" s="286">
        <f>IFERROR(__xludf.DUMMYFUNCTION("""COMPUTED_VALUE"""),46135.0)</f>
        <v>46135</v>
      </c>
      <c r="H18" s="285" t="str">
        <f>IFERROR(__xludf.DUMMYFUNCTION("""COMPUTED_VALUE"""),"ohandjohari")</f>
        <v>ohandjohari</v>
      </c>
      <c r="I18" s="285" t="str">
        <f>IFERROR(__xludf.DUMMYFUNCTION("""COMPUTED_VALUE"""),"087898652288")</f>
        <v>087898652288</v>
      </c>
      <c r="J18" s="285" t="str">
        <f>IFERROR(__xludf.DUMMYFUNCTION("""COMPUTED_VALUE"""),"Qualified")</f>
        <v>Qualified</v>
      </c>
      <c r="K18" s="285" t="str">
        <f>IFERROR(__xludf.DUMMYFUNCTION("""COMPUTED_VALUE"""),"2H1M")</f>
        <v>2H1M</v>
      </c>
      <c r="L18" s="287"/>
      <c r="M18" s="285">
        <f>IFERROR(__xludf.DUMMYFUNCTION("""COMPUTED_VALUE"""),15.0)</f>
        <v>15</v>
      </c>
      <c r="N18" s="289">
        <f>IFERROR(__xludf.DUMMYFUNCTION("""COMPUTED_VALUE"""),1.275E7)</f>
        <v>12750000</v>
      </c>
      <c r="O18" s="285" t="str">
        <f>IFERROR(__xludf.DUMMYFUNCTION("""COMPUTED_VALUE"""),"fu 25 april")</f>
        <v>fu 25 april</v>
      </c>
      <c r="Q18" s="285" t="str">
        <f>IFERROR(__xludf.DUMMYFUNCTION("""COMPUTED_VALUE"""),"2604A108")</f>
        <v>2604A108</v>
      </c>
      <c r="R18" s="286">
        <f>IFERROR(__xludf.DUMMYFUNCTION("""COMPUTED_VALUE"""),46139.0)</f>
        <v>46139</v>
      </c>
      <c r="S18" s="285" t="str">
        <f>IFERROR(__xludf.DUMMYFUNCTION("""COMPUTED_VALUE"""),"Angela")</f>
        <v>Angela</v>
      </c>
      <c r="T18" s="285" t="str">
        <f>IFERROR(__xludf.DUMMYFUNCTION("""COMPUTED_VALUE"""),"081232652016")</f>
        <v>081232652016</v>
      </c>
      <c r="U18" s="285" t="str">
        <f>IFERROR(__xludf.DUMMYFUNCTION("""COMPUTED_VALUE"""),"Closing")</f>
        <v>Closing</v>
      </c>
      <c r="V18" s="285" t="str">
        <f>IFERROR(__xludf.DUMMYFUNCTION("""COMPUTED_VALUE"""),"2H1M Custom")</f>
        <v>2H1M Custom</v>
      </c>
      <c r="W18" s="287"/>
      <c r="X18" s="285">
        <f>IFERROR(__xludf.DUMMYFUNCTION("""COMPUTED_VALUE"""),2.0)</f>
        <v>2</v>
      </c>
      <c r="Y18" s="289">
        <f>IFERROR(__xludf.DUMMYFUNCTION("""COMPUTED_VALUE"""),4100000.0)</f>
        <v>4100000</v>
      </c>
      <c r="Z18" s="285" t="str">
        <f>IFERROR(__xludf.DUMMYFUNCTION("""COMPUTED_VALUE"""),"ALHAMDULILLAH")</f>
        <v>ALHAMDULILLAH</v>
      </c>
      <c r="AB18" s="285" t="str">
        <f>IFERROR(__xludf.DUMMYFUNCTION("""COMPUTED_VALUE"""),"2604A021")</f>
        <v>2604A021</v>
      </c>
      <c r="AC18" s="286">
        <f>IFERROR(__xludf.DUMMYFUNCTION("""COMPUTED_VALUE"""),46120.0)</f>
        <v>46120</v>
      </c>
      <c r="AD18" s="285" t="str">
        <f>IFERROR(__xludf.DUMMYFUNCTION("""COMPUTED_VALUE"""),"Ana")</f>
        <v>Ana</v>
      </c>
      <c r="AE18" s="285" t="str">
        <f>IFERROR(__xludf.DUMMYFUNCTION("""COMPUTED_VALUE"""),"085811281799")</f>
        <v>085811281799</v>
      </c>
      <c r="AF18" s="285" t="str">
        <f>IFERROR(__xludf.DUMMYFUNCTION("""COMPUTED_VALUE"""),"Gagal")</f>
        <v>Gagal</v>
      </c>
      <c r="AG18" s="285" t="str">
        <f>IFERROR(__xludf.DUMMYFUNCTION("""COMPUTED_VALUE"""),"1D ijen")</f>
        <v>1D ijen</v>
      </c>
      <c r="AH18" s="287">
        <f>IFERROR(__xludf.DUMMYFUNCTION("""COMPUTED_VALUE"""),46142.0)</f>
        <v>46142</v>
      </c>
      <c r="AI18" s="285">
        <f>IFERROR(__xludf.DUMMYFUNCTION("""COMPUTED_VALUE"""),5.0)</f>
        <v>5</v>
      </c>
      <c r="AJ18" s="289">
        <f>IFERROR(__xludf.DUMMYFUNCTION("""COMPUTED_VALUE"""),2135000.0)</f>
        <v>2135000</v>
      </c>
      <c r="AK18" s="285" t="str">
        <f>IFERROR(__xludf.DUMMYFUNCTION("""COMPUTED_VALUE"""),"belum jadi pergi")</f>
        <v>belum jadi pergi</v>
      </c>
    </row>
    <row r="19">
      <c r="B19" s="317" t="s">
        <v>10226</v>
      </c>
      <c r="C19" s="195"/>
      <c r="F19" s="285" t="str">
        <f>IFERROR(__xludf.DUMMYFUNCTION("""COMPUTED_VALUE"""),"2604A086")</f>
        <v>2604A086</v>
      </c>
      <c r="G19" s="286">
        <f>IFERROR(__xludf.DUMMYFUNCTION("""COMPUTED_VALUE"""),46136.0)</f>
        <v>46136</v>
      </c>
      <c r="H19" s="285" t="str">
        <f>IFERROR(__xludf.DUMMYFUNCTION("""COMPUTED_VALUE"""),"dee")</f>
        <v>dee</v>
      </c>
      <c r="I19" s="285" t="str">
        <f>IFERROR(__xludf.DUMMYFUNCTION("""COMPUTED_VALUE"""),"082124668365")</f>
        <v>082124668365</v>
      </c>
      <c r="J19" s="285" t="str">
        <f>IFERROR(__xludf.DUMMYFUNCTION("""COMPUTED_VALUE"""),"Qualified")</f>
        <v>Qualified</v>
      </c>
      <c r="K19" s="285" t="str">
        <f>IFERROR(__xludf.DUMMYFUNCTION("""COMPUTED_VALUE"""),"OT M T")</f>
        <v>OT M T</v>
      </c>
      <c r="L19" s="287">
        <f>IFERROR(__xludf.DUMMYFUNCTION("""COMPUTED_VALUE"""),46144.0)</f>
        <v>46144</v>
      </c>
      <c r="M19" s="285">
        <f>IFERROR(__xludf.DUMMYFUNCTION("""COMPUTED_VALUE"""),10.0)</f>
        <v>10</v>
      </c>
      <c r="N19" s="289">
        <f>IFERROR(__xludf.DUMMYFUNCTION("""COMPUTED_VALUE"""),2950000.0)</f>
        <v>2950000</v>
      </c>
      <c r="O19" s="285" t="str">
        <f>IFERROR(__xludf.DUMMYFUNCTION("""COMPUTED_VALUE"""),"FU 25 April")</f>
        <v>FU 25 April</v>
      </c>
      <c r="Q19" s="285" t="str">
        <f>IFERROR(__xludf.DUMMYFUNCTION("""COMPUTED_VALUE"""),"2604A117")</f>
        <v>2604A117</v>
      </c>
      <c r="R19" s="286">
        <f>IFERROR(__xludf.DUMMYFUNCTION("""COMPUTED_VALUE"""),46142.0)</f>
        <v>46142</v>
      </c>
      <c r="S19" s="285" t="str">
        <f>IFERROR(__xludf.DUMMYFUNCTION("""COMPUTED_VALUE"""),"Zira")</f>
        <v>Zira</v>
      </c>
      <c r="T19" s="285" t="str">
        <f>IFERROR(__xludf.DUMMYFUNCTION("""COMPUTED_VALUE"""),"085718414898")</f>
        <v>085718414898</v>
      </c>
      <c r="U19" s="285" t="str">
        <f>IFERROR(__xludf.DUMMYFUNCTION("""COMPUTED_VALUE"""),"Closing")</f>
        <v>Closing</v>
      </c>
      <c r="V19" s="285" t="str">
        <f>IFERROR(__xludf.DUMMYFUNCTION("""COMPUTED_VALUE"""),"3H2M A")</f>
        <v>3H2M A</v>
      </c>
      <c r="W19" s="287"/>
      <c r="X19" s="285">
        <f>IFERROR(__xludf.DUMMYFUNCTION("""COMPUTED_VALUE"""),4.0)</f>
        <v>4</v>
      </c>
      <c r="Y19" s="289">
        <f>IFERROR(__xludf.DUMMYFUNCTION("""COMPUTED_VALUE"""),6808000.0)</f>
        <v>6808000</v>
      </c>
      <c r="Z19" s="285" t="str">
        <f>IFERROR(__xludf.DUMMYFUNCTION("""COMPUTED_VALUE"""),"masih diskusi dgn keluarga")</f>
        <v>masih diskusi dgn keluarga</v>
      </c>
      <c r="AB19" s="285" t="str">
        <f>IFERROR(__xludf.DUMMYFUNCTION("""COMPUTED_VALUE"""),"2604A024")</f>
        <v>2604A024</v>
      </c>
      <c r="AC19" s="286">
        <f>IFERROR(__xludf.DUMMYFUNCTION("""COMPUTED_VALUE"""),46120.0)</f>
        <v>46120</v>
      </c>
      <c r="AD19" s="285" t="str">
        <f>IFERROR(__xludf.DUMMYFUNCTION("""COMPUTED_VALUE"""),"Hawari")</f>
        <v>Hawari</v>
      </c>
      <c r="AE19" s="285" t="str">
        <f>IFERROR(__xludf.DUMMYFUNCTION("""COMPUTED_VALUE"""),"081316099832")</f>
        <v>081316099832</v>
      </c>
      <c r="AF19" s="285" t="str">
        <f>IFERROR(__xludf.DUMMYFUNCTION("""COMPUTED_VALUE"""),"Gagal")</f>
        <v>Gagal</v>
      </c>
      <c r="AG19" s="285" t="str">
        <f>IFERROR(__xludf.DUMMYFUNCTION("""COMPUTED_VALUE"""),"3H2M")</f>
        <v>3H2M</v>
      </c>
      <c r="AH19" s="287"/>
      <c r="AI19" s="285">
        <f>IFERROR(__xludf.DUMMYFUNCTION("""COMPUTED_VALUE"""),46083.0)</f>
        <v>46083</v>
      </c>
      <c r="AJ19" s="289"/>
      <c r="AK19" s="285" t="str">
        <f>IFERROR(__xludf.DUMMYFUNCTION("""COMPUTED_VALUE"""),"tidak ada balasan")</f>
        <v>tidak ada balasan</v>
      </c>
    </row>
    <row r="20">
      <c r="B20" s="318">
        <f>sum(Y3:Y497)</f>
        <v>107203000</v>
      </c>
      <c r="C20" s="197"/>
      <c r="F20" s="285" t="str">
        <f>IFERROR(__xludf.DUMMYFUNCTION("""COMPUTED_VALUE"""),"2604A087")</f>
        <v>2604A087</v>
      </c>
      <c r="G20" s="286">
        <f>IFERROR(__xludf.DUMMYFUNCTION("""COMPUTED_VALUE"""),46136.0)</f>
        <v>46136</v>
      </c>
      <c r="H20" s="285" t="str">
        <f>IFERROR(__xludf.DUMMYFUNCTION("""COMPUTED_VALUE"""),"fitri")</f>
        <v>fitri</v>
      </c>
      <c r="I20" s="285" t="str">
        <f>IFERROR(__xludf.DUMMYFUNCTION("""COMPUTED_VALUE"""),"0811213038")</f>
        <v>0811213038</v>
      </c>
      <c r="J20" s="285" t="str">
        <f>IFERROR(__xludf.DUMMYFUNCTION("""COMPUTED_VALUE"""),"Qualified")</f>
        <v>Qualified</v>
      </c>
      <c r="K20" s="285" t="str">
        <f>IFERROR(__xludf.DUMMYFUNCTION("""COMPUTED_VALUE"""),"Trip GI BD")</f>
        <v>Trip GI BD</v>
      </c>
      <c r="L20" s="287">
        <f>IFERROR(__xludf.DUMMYFUNCTION("""COMPUTED_VALUE"""),46157.0)</f>
        <v>46157</v>
      </c>
      <c r="M20" s="285">
        <f>IFERROR(__xludf.DUMMYFUNCTION("""COMPUTED_VALUE"""),4.0)</f>
        <v>4</v>
      </c>
      <c r="N20" s="289">
        <f>IFERROR(__xludf.DUMMYFUNCTION("""COMPUTED_VALUE"""),1540000.0)</f>
        <v>1540000</v>
      </c>
      <c r="O20" s="285" t="str">
        <f>IFERROR(__xludf.DUMMYFUNCTION("""COMPUTED_VALUE"""),"Kirim penawaran")</f>
        <v>Kirim penawaran</v>
      </c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B20" s="285" t="str">
        <f>IFERROR(__xludf.DUMMYFUNCTION("""COMPUTED_VALUE"""),"2604A027")</f>
        <v>2604A027</v>
      </c>
      <c r="AC20" s="286">
        <f>IFERROR(__xludf.DUMMYFUNCTION("""COMPUTED_VALUE"""),46120.0)</f>
        <v>46120</v>
      </c>
      <c r="AD20" s="285" t="str">
        <f>IFERROR(__xludf.DUMMYFUNCTION("""COMPUTED_VALUE"""),"Ara")</f>
        <v>Ara</v>
      </c>
      <c r="AE20" s="285" t="str">
        <f>IFERROR(__xludf.DUMMYFUNCTION("""COMPUTED_VALUE"""),"0895635984294")</f>
        <v>0895635984294</v>
      </c>
      <c r="AF20" s="285" t="str">
        <f>IFERROR(__xludf.DUMMYFUNCTION("""COMPUTED_VALUE"""),"Gagal")</f>
        <v>Gagal</v>
      </c>
      <c r="AG20" s="285"/>
      <c r="AH20" s="287"/>
      <c r="AI20" s="285"/>
      <c r="AJ20" s="289"/>
      <c r="AK20" s="285" t="str">
        <f>IFERROR(__xludf.DUMMYFUNCTION("""COMPUTED_VALUE"""),"gada balasan")</f>
        <v>gada balasan</v>
      </c>
    </row>
    <row r="21">
      <c r="B21" s="201"/>
      <c r="C21" s="202"/>
      <c r="F21" s="285" t="str">
        <f>IFERROR(__xludf.DUMMYFUNCTION("""COMPUTED_VALUE"""),"2604A091")</f>
        <v>2604A091</v>
      </c>
      <c r="G21" s="286">
        <f>IFERROR(__xludf.DUMMYFUNCTION("""COMPUTED_VALUE"""),46137.0)</f>
        <v>46137</v>
      </c>
      <c r="H21" s="285" t="str">
        <f>IFERROR(__xludf.DUMMYFUNCTION("""COMPUTED_VALUE"""),"Dhisty")</f>
        <v>Dhisty</v>
      </c>
      <c r="I21" s="285" t="str">
        <f>IFERROR(__xludf.DUMMYFUNCTION("""COMPUTED_VALUE"""),"081283753989")</f>
        <v>081283753989</v>
      </c>
      <c r="J21" s="285" t="str">
        <f>IFERROR(__xludf.DUMMYFUNCTION("""COMPUTED_VALUE"""),"Qualified")</f>
        <v>Qualified</v>
      </c>
      <c r="K21" s="285" t="str">
        <f>IFERROR(__xludf.DUMMYFUNCTION("""COMPUTED_VALUE"""),"OT M T")</f>
        <v>OT M T</v>
      </c>
      <c r="L21" s="287">
        <f>IFERROR(__xludf.DUMMYFUNCTION("""COMPUTED_VALUE"""),46158.0)</f>
        <v>46158</v>
      </c>
      <c r="M21" s="285">
        <f>IFERROR(__xludf.DUMMYFUNCTION("""COMPUTED_VALUE"""),5.0)</f>
        <v>5</v>
      </c>
      <c r="N21" s="289">
        <f>IFERROR(__xludf.DUMMYFUNCTION("""COMPUTED_VALUE"""),1475000.0)</f>
        <v>1475000</v>
      </c>
      <c r="O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B21" s="285" t="str">
        <f>IFERROR(__xludf.DUMMYFUNCTION("""COMPUTED_VALUE"""),"2604A029")</f>
        <v>2604A029</v>
      </c>
      <c r="AC21" s="286">
        <f>IFERROR(__xludf.DUMMYFUNCTION("""COMPUTED_VALUE"""),46122.0)</f>
        <v>46122</v>
      </c>
      <c r="AD21" s="285" t="str">
        <f>IFERROR(__xludf.DUMMYFUNCTION("""COMPUTED_VALUE"""),"Triaz")</f>
        <v>Triaz</v>
      </c>
      <c r="AE21" s="285" t="str">
        <f>IFERROR(__xludf.DUMMYFUNCTION("""COMPUTED_VALUE"""),"08971173658")</f>
        <v>08971173658</v>
      </c>
      <c r="AF21" s="285" t="str">
        <f>IFERROR(__xludf.DUMMYFUNCTION("""COMPUTED_VALUE"""),"Gagal")</f>
        <v>Gagal</v>
      </c>
      <c r="AG21" s="285" t="str">
        <f>IFERROR(__xludf.DUMMYFUNCTION("""COMPUTED_VALUE"""),"1D trip")</f>
        <v>1D trip</v>
      </c>
      <c r="AH21" s="287"/>
      <c r="AI21" s="285">
        <f>IFERROR(__xludf.DUMMYFUNCTION("""COMPUTED_VALUE"""),3.0)</f>
        <v>3</v>
      </c>
      <c r="AJ21" s="289">
        <f>IFERROR(__xludf.DUMMYFUNCTION("""COMPUTED_VALUE"""),1500000.0)</f>
        <v>1500000</v>
      </c>
      <c r="AK21" s="285" t="str">
        <f>IFERROR(__xludf.DUMMYFUNCTION("""COMPUTED_VALUE"""),"tidak ada balasan")</f>
        <v>tidak ada balasan</v>
      </c>
    </row>
    <row r="22">
      <c r="F22" s="285" t="str">
        <f>IFERROR(__xludf.DUMMYFUNCTION("""COMPUTED_VALUE"""),"2604A092")</f>
        <v>2604A092</v>
      </c>
      <c r="G22" s="286">
        <f>IFERROR(__xludf.DUMMYFUNCTION("""COMPUTED_VALUE"""),46137.0)</f>
        <v>46137</v>
      </c>
      <c r="H22" s="285" t="str">
        <f>IFERROR(__xludf.DUMMYFUNCTION("""COMPUTED_VALUE"""),"Abednego")</f>
        <v>Abednego</v>
      </c>
      <c r="I22" s="285" t="str">
        <f>IFERROR(__xludf.DUMMYFUNCTION("""COMPUTED_VALUE"""),"081284386772")</f>
        <v>081284386772</v>
      </c>
      <c r="J22" s="285" t="str">
        <f>IFERROR(__xludf.DUMMYFUNCTION("""COMPUTED_VALUE"""),"Qualified")</f>
        <v>Qualified</v>
      </c>
      <c r="K22" s="285" t="str">
        <f>IFERROR(__xludf.DUMMYFUNCTION("""COMPUTED_VALUE"""),"2H1M custom")</f>
        <v>2H1M custom</v>
      </c>
      <c r="L22" s="287">
        <f>IFERROR(__xludf.DUMMYFUNCTION("""COMPUTED_VALUE"""),46170.0)</f>
        <v>46170</v>
      </c>
      <c r="M22" s="285">
        <f>IFERROR(__xludf.DUMMYFUNCTION("""COMPUTED_VALUE"""),3.0)</f>
        <v>3</v>
      </c>
      <c r="N22" s="289">
        <f>IFERROR(__xludf.DUMMYFUNCTION("""COMPUTED_VALUE"""),5985000.0)</f>
        <v>5985000</v>
      </c>
      <c r="O22" s="285" t="str">
        <f>IFERROR(__xludf.DUMMYFUNCTION("""COMPUTED_VALUE"""),"masih sounding ke klg")</f>
        <v>masih sounding ke klg</v>
      </c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B22" s="285" t="str">
        <f>IFERROR(__xludf.DUMMYFUNCTION("""COMPUTED_VALUE"""),"2604A030")</f>
        <v>2604A030</v>
      </c>
      <c r="AC22" s="286">
        <f>IFERROR(__xludf.DUMMYFUNCTION("""COMPUTED_VALUE"""),46122.0)</f>
        <v>46122</v>
      </c>
      <c r="AD22" s="285" t="str">
        <f>IFERROR(__xludf.DUMMYFUNCTION("""COMPUTED_VALUE"""),"Febian Basyara")</f>
        <v>Febian Basyara</v>
      </c>
      <c r="AE22" s="285" t="str">
        <f>IFERROR(__xludf.DUMMYFUNCTION("""COMPUTED_VALUE"""),"082179631328")</f>
        <v>082179631328</v>
      </c>
      <c r="AF22" s="285" t="str">
        <f>IFERROR(__xludf.DUMMYFUNCTION("""COMPUTED_VALUE"""),"Gagal")</f>
        <v>Gagal</v>
      </c>
      <c r="AG22" s="285"/>
      <c r="AH22" s="287"/>
      <c r="AI22" s="285"/>
      <c r="AJ22" s="289"/>
      <c r="AK22" s="285" t="str">
        <f>IFERROR(__xludf.DUMMYFUNCTION("""COMPUTED_VALUE"""),"hanya menyapa")</f>
        <v>hanya menyapa</v>
      </c>
    </row>
    <row r="23">
      <c r="B23" s="317" t="s">
        <v>10227</v>
      </c>
      <c r="C23" s="195"/>
      <c r="F23" s="285" t="str">
        <f>IFERROR(__xludf.DUMMYFUNCTION("""COMPUTED_VALUE"""),"2604A093")</f>
        <v>2604A093</v>
      </c>
      <c r="G23" s="286">
        <f>IFERROR(__xludf.DUMMYFUNCTION("""COMPUTED_VALUE"""),46137.0)</f>
        <v>46137</v>
      </c>
      <c r="H23" s="285" t="str">
        <f>IFERROR(__xludf.DUMMYFUNCTION("""COMPUTED_VALUE"""),"Daryanto")</f>
        <v>Daryanto</v>
      </c>
      <c r="I23" s="285" t="str">
        <f>IFERROR(__xludf.DUMMYFUNCTION("""COMPUTED_VALUE"""),"081910237755")</f>
        <v>081910237755</v>
      </c>
      <c r="J23" s="285" t="str">
        <f>IFERROR(__xludf.DUMMYFUNCTION("""COMPUTED_VALUE"""),"Qualified")</f>
        <v>Qualified</v>
      </c>
      <c r="K23" s="285" t="str">
        <f>IFERROR(__xludf.DUMMYFUNCTION("""COMPUTED_VALUE"""),"3H2M ")</f>
        <v>3H2M </v>
      </c>
      <c r="L23" s="287"/>
      <c r="M23" s="285">
        <f>IFERROR(__xludf.DUMMYFUNCTION("""COMPUTED_VALUE"""),2.0)</f>
        <v>2</v>
      </c>
      <c r="N23" s="289">
        <f>IFERROR(__xludf.DUMMYFUNCTION("""COMPUTED_VALUE"""),4500000.0)</f>
        <v>4500000</v>
      </c>
      <c r="O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B23" s="285" t="str">
        <f>IFERROR(__xludf.DUMMYFUNCTION("""COMPUTED_VALUE"""),"2604A031")</f>
        <v>2604A031</v>
      </c>
      <c r="AC23" s="286">
        <f>IFERROR(__xludf.DUMMYFUNCTION("""COMPUTED_VALUE"""),46123.0)</f>
        <v>46123</v>
      </c>
      <c r="AD23" s="285" t="str">
        <f>IFERROR(__xludf.DUMMYFUNCTION("""COMPUTED_VALUE"""),"Rinda")</f>
        <v>Rinda</v>
      </c>
      <c r="AE23" s="285" t="str">
        <f>IFERROR(__xludf.DUMMYFUNCTION("""COMPUTED_VALUE"""),"087780084085")</f>
        <v>087780084085</v>
      </c>
      <c r="AF23" s="285" t="str">
        <f>IFERROR(__xludf.DUMMYFUNCTION("""COMPUTED_VALUE"""),"Gagal")</f>
        <v>Gagal</v>
      </c>
      <c r="AG23" s="285" t="str">
        <f>IFERROR(__xludf.DUMMYFUNCTION("""COMPUTED_VALUE"""),"Ijen baluran")</f>
        <v>Ijen baluran</v>
      </c>
      <c r="AH23" s="287">
        <f>IFERROR(__xludf.DUMMYFUNCTION("""COMPUTED_VALUE"""),46130.0)</f>
        <v>46130</v>
      </c>
      <c r="AI23" s="285">
        <f>IFERROR(__xludf.DUMMYFUNCTION("""COMPUTED_VALUE"""),3.0)</f>
        <v>3</v>
      </c>
      <c r="AJ23" s="289">
        <f>IFERROR(__xludf.DUMMYFUNCTION("""COMPUTED_VALUE"""),2076000.0)</f>
        <v>2076000</v>
      </c>
      <c r="AK23" s="285" t="str">
        <f>IFERROR(__xludf.DUMMYFUNCTION("""COMPUTED_VALUE"""),"Tidak ada balasan")</f>
        <v>Tidak ada balasan</v>
      </c>
    </row>
    <row r="24">
      <c r="B24" s="318">
        <f>sum(N3:N497)</f>
        <v>194787000</v>
      </c>
      <c r="C24" s="197"/>
      <c r="F24" s="285" t="str">
        <f>IFERROR(__xludf.DUMMYFUNCTION("""COMPUTED_VALUE"""),"2604A099")</f>
        <v>2604A099</v>
      </c>
      <c r="G24" s="286">
        <f>IFERROR(__xludf.DUMMYFUNCTION("""COMPUTED_VALUE"""),46138.0)</f>
        <v>46138</v>
      </c>
      <c r="H24" s="285" t="str">
        <f>IFERROR(__xludf.DUMMYFUNCTION("""COMPUTED_VALUE"""),"Tazkia")</f>
        <v>Tazkia</v>
      </c>
      <c r="I24" s="285" t="str">
        <f>IFERROR(__xludf.DUMMYFUNCTION("""COMPUTED_VALUE"""),"081585349602")</f>
        <v>081585349602</v>
      </c>
      <c r="J24" s="285" t="str">
        <f>IFERROR(__xludf.DUMMYFUNCTION("""COMPUTED_VALUE"""),"Qualified")</f>
        <v>Qualified</v>
      </c>
      <c r="K24" s="285" t="str">
        <f>IFERROR(__xludf.DUMMYFUNCTION("""COMPUTED_VALUE"""),"2H1M B")</f>
        <v>2H1M B</v>
      </c>
      <c r="L24" s="287"/>
      <c r="M24" s="285">
        <f>IFERROR(__xludf.DUMMYFUNCTION("""COMPUTED_VALUE"""),5.0)</f>
        <v>5</v>
      </c>
      <c r="N24" s="289">
        <f>IFERROR(__xludf.DUMMYFUNCTION("""COMPUTED_VALUE"""),4430000.0)</f>
        <v>4430000</v>
      </c>
      <c r="O24" s="285" t="str">
        <f>IFERROR(__xludf.DUMMYFUNCTION("""COMPUTED_VALUE"""),"masih diskusi")</f>
        <v>masih diskusi</v>
      </c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B24" s="285" t="str">
        <f>IFERROR(__xludf.DUMMYFUNCTION("""COMPUTED_VALUE"""),"2604A032")</f>
        <v>2604A032</v>
      </c>
      <c r="AC24" s="286">
        <f>IFERROR(__xludf.DUMMYFUNCTION("""COMPUTED_VALUE"""),46123.0)</f>
        <v>46123</v>
      </c>
      <c r="AD24" s="285" t="str">
        <f>IFERROR(__xludf.DUMMYFUNCTION("""COMPUTED_VALUE"""),"RCM Tour")</f>
        <v>RCM Tour</v>
      </c>
      <c r="AE24" s="285" t="str">
        <f>IFERROR(__xludf.DUMMYFUNCTION("""COMPUTED_VALUE"""),"082258993434")</f>
        <v>082258993434</v>
      </c>
      <c r="AF24" s="285" t="str">
        <f>IFERROR(__xludf.DUMMYFUNCTION("""COMPUTED_VALUE"""),"Gagal")</f>
        <v>Gagal</v>
      </c>
      <c r="AG24" s="285" t="str">
        <f>IFERROR(__xludf.DUMMYFUNCTION("""COMPUTED_VALUE"""),"3h2m")</f>
        <v>3h2m</v>
      </c>
      <c r="AH24" s="287"/>
      <c r="AI24" s="285">
        <f>IFERROR(__xludf.DUMMYFUNCTION("""COMPUTED_VALUE"""),20.0)</f>
        <v>20</v>
      </c>
      <c r="AJ24" s="289">
        <f>IFERROR(__xludf.DUMMYFUNCTION("""COMPUTED_VALUE"""),3.2E7)</f>
        <v>32000000</v>
      </c>
      <c r="AK24" s="285" t="str">
        <f>IFERROR(__xludf.DUMMYFUNCTION("""COMPUTED_VALUE"""),"jadinya ke Bangkok")</f>
        <v>jadinya ke Bangkok</v>
      </c>
    </row>
    <row r="25">
      <c r="B25" s="201"/>
      <c r="C25" s="202"/>
      <c r="F25" s="285" t="str">
        <f>IFERROR(__xludf.DUMMYFUNCTION("""COMPUTED_VALUE"""),"2604A103")</f>
        <v>2604A103</v>
      </c>
      <c r="G25" s="286">
        <f>IFERROR(__xludf.DUMMYFUNCTION("""COMPUTED_VALUE"""),46138.0)</f>
        <v>46138</v>
      </c>
      <c r="H25" s="285" t="str">
        <f>IFERROR(__xludf.DUMMYFUNCTION("""COMPUTED_VALUE"""),"Adela")</f>
        <v>Adela</v>
      </c>
      <c r="I25" s="285" t="str">
        <f>IFERROR(__xludf.DUMMYFUNCTION("""COMPUTED_VALUE"""),"082134085922")</f>
        <v>082134085922</v>
      </c>
      <c r="J25" s="285" t="str">
        <f>IFERROR(__xludf.DUMMYFUNCTION("""COMPUTED_VALUE"""),"Qualified")</f>
        <v>Qualified</v>
      </c>
      <c r="K25" s="285" t="str">
        <f>IFERROR(__xludf.DUMMYFUNCTION("""COMPUTED_VALUE"""),"3H2M A")</f>
        <v>3H2M A</v>
      </c>
      <c r="L25" s="287"/>
      <c r="M25" s="285">
        <f>IFERROR(__xludf.DUMMYFUNCTION("""COMPUTED_VALUE"""),2.0)</f>
        <v>2</v>
      </c>
      <c r="N25" s="289">
        <f>IFERROR(__xludf.DUMMYFUNCTION("""COMPUTED_VALUE"""),6128000.0)</f>
        <v>6128000</v>
      </c>
      <c r="O25" s="285" t="str">
        <f>IFERROR(__xludf.DUMMYFUNCTION("""COMPUTED_VALUE"""),"buat penawaran")</f>
        <v>buat penawaran</v>
      </c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B25" s="285" t="str">
        <f>IFERROR(__xludf.DUMMYFUNCTION("""COMPUTED_VALUE"""),"2604A033")</f>
        <v>2604A033</v>
      </c>
      <c r="AC25" s="286">
        <f>IFERROR(__xludf.DUMMYFUNCTION("""COMPUTED_VALUE"""),46121.0)</f>
        <v>46121</v>
      </c>
      <c r="AD25" s="285" t="str">
        <f>IFERROR(__xludf.DUMMYFUNCTION("""COMPUTED_VALUE"""),"Della")</f>
        <v>Della</v>
      </c>
      <c r="AE25" s="285" t="str">
        <f>IFERROR(__xludf.DUMMYFUNCTION("""COMPUTED_VALUE"""),"082334491671")</f>
        <v>082334491671</v>
      </c>
      <c r="AF25" s="285" t="str">
        <f>IFERROR(__xludf.DUMMYFUNCTION("""COMPUTED_VALUE"""),"Gagal")</f>
        <v>Gagal</v>
      </c>
      <c r="AG25" s="285" t="str">
        <f>IFERROR(__xludf.DUMMYFUNCTION("""COMPUTED_VALUE"""),"OT M T")</f>
        <v>OT M T</v>
      </c>
      <c r="AH25" s="287">
        <f>IFERROR(__xludf.DUMMYFUNCTION("""COMPUTED_VALUE"""),46132.0)</f>
        <v>46132</v>
      </c>
      <c r="AI25" s="285">
        <f>IFERROR(__xludf.DUMMYFUNCTION("""COMPUTED_VALUE"""),1.0)</f>
        <v>1</v>
      </c>
      <c r="AJ25" s="289">
        <f>IFERROR(__xludf.DUMMYFUNCTION("""COMPUTED_VALUE"""),525000.0)</f>
        <v>525000</v>
      </c>
      <c r="AK25" s="285" t="str">
        <f>IFERROR(__xludf.DUMMYFUNCTION("""COMPUTED_VALUE"""),"Tidak ada peserta")</f>
        <v>Tidak ada peserta</v>
      </c>
    </row>
    <row r="26">
      <c r="F26" s="285" t="str">
        <f>IFERROR(__xludf.DUMMYFUNCTION("""COMPUTED_VALUE"""),"2604A104")</f>
        <v>2604A104</v>
      </c>
      <c r="G26" s="286">
        <f>IFERROR(__xludf.DUMMYFUNCTION("""COMPUTED_VALUE"""),46139.0)</f>
        <v>46139</v>
      </c>
      <c r="H26" s="285" t="str">
        <f>IFERROR(__xludf.DUMMYFUNCTION("""COMPUTED_VALUE"""),"Wati")</f>
        <v>Wati</v>
      </c>
      <c r="I26" s="285" t="str">
        <f>IFERROR(__xludf.DUMMYFUNCTION("""COMPUTED_VALUE"""),"081291435110")</f>
        <v>081291435110</v>
      </c>
      <c r="J26" s="285" t="str">
        <f>IFERROR(__xludf.DUMMYFUNCTION("""COMPUTED_VALUE"""),"Qualified")</f>
        <v>Qualified</v>
      </c>
      <c r="K26" s="285" t="str">
        <f>IFERROR(__xludf.DUMMYFUNCTION("""COMPUTED_VALUE"""),"2h1m")</f>
        <v>2h1m</v>
      </c>
      <c r="L26" s="287">
        <f>IFERROR(__xludf.DUMMYFUNCTION("""COMPUTED_VALUE"""),46324.0)</f>
        <v>46324</v>
      </c>
      <c r="M26" s="285">
        <f>IFERROR(__xludf.DUMMYFUNCTION("""COMPUTED_VALUE"""),12.0)</f>
        <v>12</v>
      </c>
      <c r="N26" s="289">
        <f>IFERROR(__xludf.DUMMYFUNCTION("""COMPUTED_VALUE"""),1.17E7)</f>
        <v>11700000</v>
      </c>
      <c r="O26" s="285" t="str">
        <f>IFERROR(__xludf.DUMMYFUNCTION("""COMPUTED_VALUE"""),"buat penawaran")</f>
        <v>buat penawaran</v>
      </c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B26" s="285" t="str">
        <f>IFERROR(__xludf.DUMMYFUNCTION("""COMPUTED_VALUE"""),"2604A034")</f>
        <v>2604A034</v>
      </c>
      <c r="AC26" s="286">
        <f>IFERROR(__xludf.DUMMYFUNCTION("""COMPUTED_VALUE"""),46121.0)</f>
        <v>46121</v>
      </c>
      <c r="AD26" s="285" t="str">
        <f>IFERROR(__xludf.DUMMYFUNCTION("""COMPUTED_VALUE"""),"Ika")</f>
        <v>Ika</v>
      </c>
      <c r="AE26" s="285" t="str">
        <f>IFERROR(__xludf.DUMMYFUNCTION("""COMPUTED_VALUE"""),"089699872548")</f>
        <v>089699872548</v>
      </c>
      <c r="AF26" s="285" t="str">
        <f>IFERROR(__xludf.DUMMYFUNCTION("""COMPUTED_VALUE"""),"Gagal")</f>
        <v>Gagal</v>
      </c>
      <c r="AG26" s="285" t="str">
        <f>IFERROR(__xludf.DUMMYFUNCTION("""COMPUTED_VALUE"""),"OT I")</f>
        <v>OT I</v>
      </c>
      <c r="AH26" s="287"/>
      <c r="AI26" s="285"/>
      <c r="AJ26" s="289"/>
      <c r="AK26" s="285" t="str">
        <f>IFERROR(__xludf.DUMMYFUNCTION("""COMPUTED_VALUE"""),"tidak ada balasan")</f>
        <v>tidak ada balasan</v>
      </c>
    </row>
    <row r="27">
      <c r="B27" s="317" t="s">
        <v>10228</v>
      </c>
      <c r="C27" s="195"/>
      <c r="F27" s="285" t="str">
        <f>IFERROR(__xludf.DUMMYFUNCTION("""COMPUTED_VALUE"""),"2604A106")</f>
        <v>2604A106</v>
      </c>
      <c r="G27" s="286">
        <f>IFERROR(__xludf.DUMMYFUNCTION("""COMPUTED_VALUE"""),46139.0)</f>
        <v>46139</v>
      </c>
      <c r="H27" s="285" t="str">
        <f>IFERROR(__xludf.DUMMYFUNCTION("""COMPUTED_VALUE"""),"Velin")</f>
        <v>Velin</v>
      </c>
      <c r="I27" s="285" t="str">
        <f>IFERROR(__xludf.DUMMYFUNCTION("""COMPUTED_VALUE"""),"081215488294")</f>
        <v>081215488294</v>
      </c>
      <c r="J27" s="285" t="str">
        <f>IFERROR(__xludf.DUMMYFUNCTION("""COMPUTED_VALUE"""),"Qualified")</f>
        <v>Qualified</v>
      </c>
      <c r="K27" s="285" t="str">
        <f>IFERROR(__xludf.DUMMYFUNCTION("""COMPUTED_VALUE"""),"3H2M")</f>
        <v>3H2M</v>
      </c>
      <c r="L27" s="287"/>
      <c r="M27" s="285">
        <f>IFERROR(__xludf.DUMMYFUNCTION("""COMPUTED_VALUE"""),2.0)</f>
        <v>2</v>
      </c>
      <c r="N27" s="289">
        <f>IFERROR(__xludf.DUMMYFUNCTION("""COMPUTED_VALUE"""),6920000.0)</f>
        <v>6920000</v>
      </c>
      <c r="O27" s="285" t="str">
        <f>IFERROR(__xludf.DUMMYFUNCTION("""COMPUTED_VALUE"""),"buat penawaran")</f>
        <v>buat penawaran</v>
      </c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B27" s="285" t="str">
        <f>IFERROR(__xludf.DUMMYFUNCTION("""COMPUTED_VALUE"""),"2604A035")</f>
        <v>2604A035</v>
      </c>
      <c r="AC27" s="286">
        <f>IFERROR(__xludf.DUMMYFUNCTION("""COMPUTED_VALUE"""),46121.0)</f>
        <v>46121</v>
      </c>
      <c r="AD27" s="285" t="str">
        <f>IFERROR(__xludf.DUMMYFUNCTION("""COMPUTED_VALUE"""),"Sinta Nurmawati")</f>
        <v>Sinta Nurmawati</v>
      </c>
      <c r="AE27" s="285" t="str">
        <f>IFERROR(__xludf.DUMMYFUNCTION("""COMPUTED_VALUE"""),"08977537928")</f>
        <v>08977537928</v>
      </c>
      <c r="AF27" s="285" t="str">
        <f>IFERROR(__xludf.DUMMYFUNCTION("""COMPUTED_VALUE"""),"Gagal")</f>
        <v>Gagal</v>
      </c>
      <c r="AG27" s="285" t="str">
        <f>IFERROR(__xludf.DUMMYFUNCTION("""COMPUTED_VALUE"""),"ot 3h2m ")</f>
        <v>ot 3h2m </v>
      </c>
      <c r="AH27" s="287"/>
      <c r="AI27" s="285">
        <f>IFERROR(__xludf.DUMMYFUNCTION("""COMPUTED_VALUE"""),2.0)</f>
        <v>2</v>
      </c>
      <c r="AJ27" s="289">
        <f>IFERROR(__xludf.DUMMYFUNCTION("""COMPUTED_VALUE"""),3200000.0)</f>
        <v>3200000</v>
      </c>
      <c r="AK27" s="285" t="str">
        <f>IFERROR(__xludf.DUMMYFUNCTION("""COMPUTED_VALUE"""),"Tidak ada balasan")</f>
        <v>Tidak ada balasan</v>
      </c>
    </row>
    <row r="28">
      <c r="B28" s="318">
        <f>sum(AJ3:AJ497)</f>
        <v>155733000</v>
      </c>
      <c r="C28" s="197"/>
      <c r="F28" s="285" t="str">
        <f>IFERROR(__xludf.DUMMYFUNCTION("""COMPUTED_VALUE"""),"2604A110")</f>
        <v>2604A110</v>
      </c>
      <c r="G28" s="286">
        <f>IFERROR(__xludf.DUMMYFUNCTION("""COMPUTED_VALUE"""),46140.0)</f>
        <v>46140</v>
      </c>
      <c r="H28" s="285" t="str">
        <f>IFERROR(__xludf.DUMMYFUNCTION("""COMPUTED_VALUE"""),"Sylvi")</f>
        <v>Sylvi</v>
      </c>
      <c r="I28" s="285" t="str">
        <f>IFERROR(__xludf.DUMMYFUNCTION("""COMPUTED_VALUE"""),"0811324349")</f>
        <v>0811324349</v>
      </c>
      <c r="J28" s="285" t="str">
        <f>IFERROR(__xludf.DUMMYFUNCTION("""COMPUTED_VALUE"""),"Qualified")</f>
        <v>Qualified</v>
      </c>
      <c r="K28" s="285" t="str">
        <f>IFERROR(__xludf.DUMMYFUNCTION("""COMPUTED_VALUE"""),"trip 1D AP, D, PM")</f>
        <v>trip 1D AP, D, PM</v>
      </c>
      <c r="L28" s="287">
        <f>IFERROR(__xludf.DUMMYFUNCTION("""COMPUTED_VALUE"""),46157.0)</f>
        <v>46157</v>
      </c>
      <c r="M28" s="285">
        <f>IFERROR(__xludf.DUMMYFUNCTION("""COMPUTED_VALUE"""),2.0)</f>
        <v>2</v>
      </c>
      <c r="N28" s="289">
        <f>IFERROR(__xludf.DUMMYFUNCTION("""COMPUTED_VALUE"""),1768000.0)</f>
        <v>1768000</v>
      </c>
      <c r="O28" s="285" t="str">
        <f>IFERROR(__xludf.DUMMYFUNCTION("""COMPUTED_VALUE"""),"reschadule, masih opname")</f>
        <v>reschadule, masih opname</v>
      </c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B28" s="285" t="str">
        <f>IFERROR(__xludf.DUMMYFUNCTION("""COMPUTED_VALUE"""),"2604A036")</f>
        <v>2604A036</v>
      </c>
      <c r="AC28" s="286">
        <f>IFERROR(__xludf.DUMMYFUNCTION("""COMPUTED_VALUE"""),46123.0)</f>
        <v>46123</v>
      </c>
      <c r="AD28" s="285" t="str">
        <f>IFERROR(__xludf.DUMMYFUNCTION("""COMPUTED_VALUE"""),"sinta")</f>
        <v>sinta</v>
      </c>
      <c r="AE28" s="285" t="str">
        <f>IFERROR(__xludf.DUMMYFUNCTION("""COMPUTED_VALUE"""),"085903711129")</f>
        <v>085903711129</v>
      </c>
      <c r="AF28" s="285" t="str">
        <f>IFERROR(__xludf.DUMMYFUNCTION("""COMPUTED_VALUE"""),"Gagal")</f>
        <v>Gagal</v>
      </c>
      <c r="AG28" s="285" t="str">
        <f>IFERROR(__xludf.DUMMYFUNCTION("""COMPUTED_VALUE"""),"3H2M Opsi B")</f>
        <v>3H2M Opsi B</v>
      </c>
      <c r="AH28" s="287"/>
      <c r="AI28" s="285">
        <f>IFERROR(__xludf.DUMMYFUNCTION("""COMPUTED_VALUE"""),5.0)</f>
        <v>5</v>
      </c>
      <c r="AJ28" s="289">
        <f>IFERROR(__xludf.DUMMYFUNCTION("""COMPUTED_VALUE"""),5225000.0)</f>
        <v>5225000</v>
      </c>
      <c r="AK28" s="285" t="str">
        <f>IFERROR(__xludf.DUMMYFUNCTION("""COMPUTED_VALUE"""),"sudah  join di penawaran lain")</f>
        <v>sudah  join di penawaran lain</v>
      </c>
    </row>
    <row r="29">
      <c r="B29" s="201"/>
      <c r="C29" s="202"/>
      <c r="F29" s="285" t="str">
        <f>IFERROR(__xludf.DUMMYFUNCTION("""COMPUTED_VALUE"""),"2604A112")</f>
        <v>2604A112</v>
      </c>
      <c r="G29" s="286">
        <f>IFERROR(__xludf.DUMMYFUNCTION("""COMPUTED_VALUE"""),46140.0)</f>
        <v>46140</v>
      </c>
      <c r="H29" s="285" t="str">
        <f>IFERROR(__xludf.DUMMYFUNCTION("""COMPUTED_VALUE"""),"Bu Minar")</f>
        <v>Bu Minar</v>
      </c>
      <c r="I29" s="285" t="str">
        <f>IFERROR(__xludf.DUMMYFUNCTION("""COMPUTED_VALUE"""),"081310320316")</f>
        <v>081310320316</v>
      </c>
      <c r="J29" s="285" t="str">
        <f>IFERROR(__xludf.DUMMYFUNCTION("""COMPUTED_VALUE"""),"Qualified")</f>
        <v>Qualified</v>
      </c>
      <c r="K29" s="285" t="str">
        <f>IFERROR(__xludf.DUMMYFUNCTION("""COMPUTED_VALUE"""),"4H3M")</f>
        <v>4H3M</v>
      </c>
      <c r="L29" s="287"/>
      <c r="M29" s="285">
        <f>IFERROR(__xludf.DUMMYFUNCTION("""COMPUTED_VALUE"""),4.0)</f>
        <v>4</v>
      </c>
      <c r="N29" s="289">
        <f>IFERROR(__xludf.DUMMYFUNCTION("""COMPUTED_VALUE"""),8460000.0)</f>
        <v>8460000</v>
      </c>
      <c r="O29" s="285" t="str">
        <f>IFERROR(__xludf.DUMMYFUNCTION("""COMPUTED_VALUE"""),"Reschadule juli. FU pertengahan juni")</f>
        <v>Reschadule juli. FU pertengahan juni</v>
      </c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B29" s="285" t="str">
        <f>IFERROR(__xludf.DUMMYFUNCTION("""COMPUTED_VALUE"""),"2604A038")</f>
        <v>2604A038</v>
      </c>
      <c r="AC29" s="286">
        <f>IFERROR(__xludf.DUMMYFUNCTION("""COMPUTED_VALUE"""),46123.0)</f>
        <v>46123</v>
      </c>
      <c r="AD29" s="285" t="str">
        <f>IFERROR(__xludf.DUMMYFUNCTION("""COMPUTED_VALUE"""),"No Name")</f>
        <v>No Name</v>
      </c>
      <c r="AE29" s="285" t="str">
        <f>IFERROR(__xludf.DUMMYFUNCTION("""COMPUTED_VALUE"""),"08112424428")</f>
        <v>08112424428</v>
      </c>
      <c r="AF29" s="285" t="str">
        <f>IFERROR(__xludf.DUMMYFUNCTION("""COMPUTED_VALUE"""),"Gagal")</f>
        <v>Gagal</v>
      </c>
      <c r="AG29" s="285" t="str">
        <f>IFERROR(__xludf.DUMMYFUNCTION("""COMPUTED_VALUE"""),"OT 3H2M")</f>
        <v>OT 3H2M</v>
      </c>
      <c r="AH29" s="287">
        <f>IFERROR(__xludf.DUMMYFUNCTION("""COMPUTED_VALUE"""),46156.0)</f>
        <v>46156</v>
      </c>
      <c r="AI29" s="285">
        <f>IFERROR(__xludf.DUMMYFUNCTION("""COMPUTED_VALUE"""),2.0)</f>
        <v>2</v>
      </c>
      <c r="AJ29" s="289">
        <f>IFERROR(__xludf.DUMMYFUNCTION("""COMPUTED_VALUE"""),3200000.0)</f>
        <v>3200000</v>
      </c>
      <c r="AK29" s="285" t="str">
        <f>IFERROR(__xludf.DUMMYFUNCTION("""COMPUTED_VALUE"""),"trip mandiri")</f>
        <v>trip mandiri</v>
      </c>
    </row>
    <row r="30">
      <c r="F30" s="285" t="str">
        <f>IFERROR(__xludf.DUMMYFUNCTION("""COMPUTED_VALUE"""),"2604A119")</f>
        <v>2604A119</v>
      </c>
      <c r="G30" s="286">
        <f>IFERROR(__xludf.DUMMYFUNCTION("""COMPUTED_VALUE"""),46142.0)</f>
        <v>46142</v>
      </c>
      <c r="H30" s="285" t="str">
        <f>IFERROR(__xludf.DUMMYFUNCTION("""COMPUTED_VALUE"""),"Bambang")</f>
        <v>Bambang</v>
      </c>
      <c r="I30" s="285" t="str">
        <f>IFERROR(__xludf.DUMMYFUNCTION("""COMPUTED_VALUE"""),"08112484200")</f>
        <v>08112484200</v>
      </c>
      <c r="J30" s="285" t="str">
        <f>IFERROR(__xludf.DUMMYFUNCTION("""COMPUTED_VALUE"""),"Qualified")</f>
        <v>Qualified</v>
      </c>
      <c r="K30" s="285" t="str">
        <f>IFERROR(__xludf.DUMMYFUNCTION("""COMPUTED_VALUE"""),"3H2M A/B")</f>
        <v>3H2M A/B</v>
      </c>
      <c r="L30" s="287"/>
      <c r="M30" s="285">
        <f>IFERROR(__xludf.DUMMYFUNCTION("""COMPUTED_VALUE"""),30.0)</f>
        <v>30</v>
      </c>
      <c r="N30" s="289">
        <f>IFERROR(__xludf.DUMMYFUNCTION("""COMPUTED_VALUE"""),4.44E7)</f>
        <v>44400000</v>
      </c>
      <c r="O30" s="285" t="str">
        <f>IFERROR(__xludf.DUMMYFUNCTION("""COMPUTED_VALUE"""),"FU1 juni")</f>
        <v>FU1 juni</v>
      </c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B30" s="285" t="str">
        <f>IFERROR(__xludf.DUMMYFUNCTION("""COMPUTED_VALUE"""),"2604A039")</f>
        <v>2604A039</v>
      </c>
      <c r="AC30" s="286">
        <f>IFERROR(__xludf.DUMMYFUNCTION("""COMPUTED_VALUE"""),46123.0)</f>
        <v>46123</v>
      </c>
      <c r="AD30" s="285" t="str">
        <f>IFERROR(__xludf.DUMMYFUNCTION("""COMPUTED_VALUE"""),"Septin")</f>
        <v>Septin</v>
      </c>
      <c r="AE30" s="285" t="str">
        <f>IFERROR(__xludf.DUMMYFUNCTION("""COMPUTED_VALUE"""),"081515771848")</f>
        <v>081515771848</v>
      </c>
      <c r="AF30" s="285" t="str">
        <f>IFERROR(__xludf.DUMMYFUNCTION("""COMPUTED_VALUE"""),"Gagal")</f>
        <v>Gagal</v>
      </c>
      <c r="AG30" s="285" t="str">
        <f>IFERROR(__xludf.DUMMYFUNCTION("""COMPUTED_VALUE"""),"Trip GI")</f>
        <v>Trip GI</v>
      </c>
      <c r="AH30" s="287">
        <f>IFERROR(__xludf.DUMMYFUNCTION("""COMPUTED_VALUE"""),46157.0)</f>
        <v>46157</v>
      </c>
      <c r="AI30" s="285">
        <f>IFERROR(__xludf.DUMMYFUNCTION("""COMPUTED_VALUE"""),6.0)</f>
        <v>6</v>
      </c>
      <c r="AJ30" s="289">
        <f>IFERROR(__xludf.DUMMYFUNCTION("""COMPUTED_VALUE"""),3570000.0)</f>
        <v>3570000</v>
      </c>
      <c r="AK30" s="285" t="str">
        <f>IFERROR(__xludf.DUMMYFUNCTION("""COMPUTED_VALUE"""),"tidak ada jawaban")</f>
        <v>tidak ada jawaban</v>
      </c>
    </row>
    <row r="31"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B31" s="285" t="str">
        <f>IFERROR(__xludf.DUMMYFUNCTION("""COMPUTED_VALUE"""),"2604A041")</f>
        <v>2604A041</v>
      </c>
      <c r="AC31" s="286">
        <f>IFERROR(__xludf.DUMMYFUNCTION("""COMPUTED_VALUE"""),46124.0)</f>
        <v>46124</v>
      </c>
      <c r="AD31" s="285" t="str">
        <f>IFERROR(__xludf.DUMMYFUNCTION("""COMPUTED_VALUE"""),"Hilman")</f>
        <v>Hilman</v>
      </c>
      <c r="AE31" s="285" t="str">
        <f>IFERROR(__xludf.DUMMYFUNCTION("""COMPUTED_VALUE"""),"087851935254")</f>
        <v>087851935254</v>
      </c>
      <c r="AF31" s="285" t="str">
        <f>IFERROR(__xludf.DUMMYFUNCTION("""COMPUTED_VALUE"""),"Gagal")</f>
        <v>Gagal</v>
      </c>
      <c r="AG31" s="285" t="str">
        <f>IFERROR(__xludf.DUMMYFUNCTION("""COMPUTED_VALUE"""),"1D D, B ")</f>
        <v>1D D, B </v>
      </c>
      <c r="AH31" s="287">
        <f>IFERROR(__xludf.DUMMYFUNCTION("""COMPUTED_VALUE"""),46144.0)</f>
        <v>46144</v>
      </c>
      <c r="AI31" s="285">
        <f>IFERROR(__xludf.DUMMYFUNCTION("""COMPUTED_VALUE"""),5.0)</f>
        <v>5</v>
      </c>
      <c r="AJ31" s="289">
        <f>IFERROR(__xludf.DUMMYFUNCTION("""COMPUTED_VALUE"""),2115000.0)</f>
        <v>2115000</v>
      </c>
      <c r="AK31" s="285" t="str">
        <f>IFERROR(__xludf.DUMMYFUNCTION("""COMPUTED_VALUE"""),"tidak ada jawaban")</f>
        <v>tidak ada jawaban</v>
      </c>
    </row>
    <row r="32"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B32" s="285" t="str">
        <f>IFERROR(__xludf.DUMMYFUNCTION("""COMPUTED_VALUE"""),"2604A042")</f>
        <v>2604A042</v>
      </c>
      <c r="AC32" s="286">
        <f>IFERROR(__xludf.DUMMYFUNCTION("""COMPUTED_VALUE"""),46124.0)</f>
        <v>46124</v>
      </c>
      <c r="AD32" s="285" t="str">
        <f>IFERROR(__xludf.DUMMYFUNCTION("""COMPUTED_VALUE"""),"Finni yuliani")</f>
        <v>Finni yuliani</v>
      </c>
      <c r="AE32" s="285" t="str">
        <f>IFERROR(__xludf.DUMMYFUNCTION("""COMPUTED_VALUE"""),"0895320822521")</f>
        <v>0895320822521</v>
      </c>
      <c r="AF32" s="285" t="str">
        <f>IFERROR(__xludf.DUMMYFUNCTION("""COMPUTED_VALUE"""),"Gagal")</f>
        <v>Gagal</v>
      </c>
      <c r="AG32" s="285"/>
      <c r="AH32" s="287"/>
      <c r="AI32" s="285"/>
      <c r="AJ32" s="289"/>
      <c r="AK32" s="285" t="str">
        <f>IFERROR(__xludf.DUMMYFUNCTION("""COMPUTED_VALUE"""),"Hanya menyapa")</f>
        <v>Hanya menyapa</v>
      </c>
    </row>
    <row r="33"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B33" s="285" t="str">
        <f>IFERROR(__xludf.DUMMYFUNCTION("""COMPUTED_VALUE"""),"2604A043")</f>
        <v>2604A043</v>
      </c>
      <c r="AC33" s="286">
        <f>IFERROR(__xludf.DUMMYFUNCTION("""COMPUTED_VALUE"""),46124.0)</f>
        <v>46124</v>
      </c>
      <c r="AD33" s="285" t="str">
        <f>IFERROR(__xludf.DUMMYFUNCTION("""COMPUTED_VALUE"""),"Haryanda bagus")</f>
        <v>Haryanda bagus</v>
      </c>
      <c r="AE33" s="285" t="str">
        <f>IFERROR(__xludf.DUMMYFUNCTION("""COMPUTED_VALUE"""),"085258584658")</f>
        <v>085258584658</v>
      </c>
      <c r="AF33" s="285" t="str">
        <f>IFERROR(__xludf.DUMMYFUNCTION("""COMPUTED_VALUE"""),"Gagal")</f>
        <v>Gagal</v>
      </c>
      <c r="AG33" s="285"/>
      <c r="AH33" s="287"/>
      <c r="AI33" s="285"/>
      <c r="AJ33" s="289"/>
      <c r="AK33" s="285" t="str">
        <f>IFERROR(__xludf.DUMMYFUNCTION("""COMPUTED_VALUE"""),"Hanya menyapa")</f>
        <v>Hanya menyapa</v>
      </c>
    </row>
    <row r="34"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B34" s="285" t="str">
        <f>IFERROR(__xludf.DUMMYFUNCTION("""COMPUTED_VALUE"""),"2604A044")</f>
        <v>2604A044</v>
      </c>
      <c r="AC34" s="286">
        <f>IFERROR(__xludf.DUMMYFUNCTION("""COMPUTED_VALUE"""),46124.0)</f>
        <v>46124</v>
      </c>
      <c r="AD34" s="285" t="str">
        <f>IFERROR(__xludf.DUMMYFUNCTION("""COMPUTED_VALUE"""),"No Name")</f>
        <v>No Name</v>
      </c>
      <c r="AE34" s="285" t="str">
        <f>IFERROR(__xludf.DUMMYFUNCTION("""COMPUTED_VALUE"""),"085117752548")</f>
        <v>085117752548</v>
      </c>
      <c r="AF34" s="285" t="str">
        <f>IFERROR(__xludf.DUMMYFUNCTION("""COMPUTED_VALUE"""),"Gagal")</f>
        <v>Gagal</v>
      </c>
      <c r="AG34" s="285" t="str">
        <f>IFERROR(__xludf.DUMMYFUNCTION("""COMPUTED_VALUE""")," OT 2D1N")</f>
        <v> OT 2D1N</v>
      </c>
      <c r="AH34" s="287"/>
      <c r="AI34" s="285">
        <f>IFERROR(__xludf.DUMMYFUNCTION("""COMPUTED_VALUE"""),1.0)</f>
        <v>1</v>
      </c>
      <c r="AJ34" s="289"/>
      <c r="AK34" s="285" t="str">
        <f>IFERROR(__xludf.DUMMYFUNCTION("""COMPUTED_VALUE"""),"gada balasan")</f>
        <v>gada balasan</v>
      </c>
    </row>
    <row r="35"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B35" s="285" t="str">
        <f>IFERROR(__xludf.DUMMYFUNCTION("""COMPUTED_VALUE"""),"2604A046")</f>
        <v>2604A046</v>
      </c>
      <c r="AC35" s="286">
        <f>IFERROR(__xludf.DUMMYFUNCTION("""COMPUTED_VALUE"""),46125.0)</f>
        <v>46125</v>
      </c>
      <c r="AD35" s="285" t="str">
        <f>IFERROR(__xludf.DUMMYFUNCTION("""COMPUTED_VALUE"""),"Taju")</f>
        <v>Taju</v>
      </c>
      <c r="AE35" s="285" t="str">
        <f>IFERROR(__xludf.DUMMYFUNCTION("""COMPUTED_VALUE"""),"082134237377")</f>
        <v>082134237377</v>
      </c>
      <c r="AF35" s="285" t="str">
        <f>IFERROR(__xludf.DUMMYFUNCTION("""COMPUTED_VALUE"""),"Gagal")</f>
        <v>Gagal</v>
      </c>
      <c r="AG35" s="285" t="str">
        <f>IFERROR(__xludf.DUMMYFUNCTION("""COMPUTED_VALUE"""),"2h1m  custom")</f>
        <v>2h1m  custom</v>
      </c>
      <c r="AH35" s="287"/>
      <c r="AI35" s="285">
        <f>IFERROR(__xludf.DUMMYFUNCTION("""COMPUTED_VALUE"""),6.0)</f>
        <v>6</v>
      </c>
      <c r="AJ35" s="289">
        <f>IFERROR(__xludf.DUMMYFUNCTION("""COMPUTED_VALUE"""),7800000.0)</f>
        <v>7800000</v>
      </c>
      <c r="AK35" s="285" t="str">
        <f>IFERROR(__xludf.DUMMYFUNCTION("""COMPUTED_VALUE"""),"gada jawaban, sdh fu")</f>
        <v>gada jawaban, sdh fu</v>
      </c>
    </row>
    <row r="36"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B36" s="285" t="str">
        <f>IFERROR(__xludf.DUMMYFUNCTION("""COMPUTED_VALUE"""),"2604A048")</f>
        <v>2604A048</v>
      </c>
      <c r="AC36" s="286">
        <f>IFERROR(__xludf.DUMMYFUNCTION("""COMPUTED_VALUE"""),46126.0)</f>
        <v>46126</v>
      </c>
      <c r="AD36" s="285" t="str">
        <f>IFERROR(__xludf.DUMMYFUNCTION("""COMPUTED_VALUE"""),"billy")</f>
        <v>billy</v>
      </c>
      <c r="AE36" s="285" t="str">
        <f>IFERROR(__xludf.DUMMYFUNCTION("""COMPUTED_VALUE"""),"081215050763")</f>
        <v>081215050763</v>
      </c>
      <c r="AF36" s="285" t="str">
        <f>IFERROR(__xludf.DUMMYFUNCTION("""COMPUTED_VALUE"""),"Gagal")</f>
        <v>Gagal</v>
      </c>
      <c r="AG36" s="285"/>
      <c r="AH36" s="287"/>
      <c r="AI36" s="285"/>
      <c r="AJ36" s="289"/>
      <c r="AK36" s="285" t="str">
        <f>IFERROR(__xludf.DUMMYFUNCTION("""COMPUTED_VALUE"""),"hanya menyapa")</f>
        <v>hanya menyapa</v>
      </c>
    </row>
    <row r="37"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B37" s="285" t="str">
        <f>IFERROR(__xludf.DUMMYFUNCTION("""COMPUTED_VALUE"""),"2604A049")</f>
        <v>2604A049</v>
      </c>
      <c r="AC37" s="286">
        <f>IFERROR(__xludf.DUMMYFUNCTION("""COMPUTED_VALUE"""),46126.0)</f>
        <v>46126</v>
      </c>
      <c r="AD37" s="285" t="str">
        <f>IFERROR(__xludf.DUMMYFUNCTION("""COMPUTED_VALUE"""),"Eva Januari")</f>
        <v>Eva Januari</v>
      </c>
      <c r="AE37" s="285" t="str">
        <f>IFERROR(__xludf.DUMMYFUNCTION("""COMPUTED_VALUE"""),"081348062223")</f>
        <v>081348062223</v>
      </c>
      <c r="AF37" s="285" t="str">
        <f>IFERROR(__xludf.DUMMYFUNCTION("""COMPUTED_VALUE"""),"Gagal")</f>
        <v>Gagal</v>
      </c>
      <c r="AG37" s="285" t="str">
        <f>IFERROR(__xludf.DUMMYFUNCTION("""COMPUTED_VALUE"""),"2h1m")</f>
        <v>2h1m</v>
      </c>
      <c r="AH37" s="287"/>
      <c r="AI37" s="285"/>
      <c r="AJ37" s="289"/>
      <c r="AK37" s="285" t="str">
        <f>IFERROR(__xludf.DUMMYFUNCTION("""COMPUTED_VALUE"""),"gada balasan")</f>
        <v>gada balasan</v>
      </c>
    </row>
    <row r="38"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B38" s="285" t="str">
        <f>IFERROR(__xludf.DUMMYFUNCTION("""COMPUTED_VALUE"""),"2604A050")</f>
        <v>2604A050</v>
      </c>
      <c r="AC38" s="286">
        <f>IFERROR(__xludf.DUMMYFUNCTION("""COMPUTED_VALUE"""),46126.0)</f>
        <v>46126</v>
      </c>
      <c r="AD38" s="285" t="str">
        <f>IFERROR(__xludf.DUMMYFUNCTION("""COMPUTED_VALUE"""),"Tasya Widya")</f>
        <v>Tasya Widya</v>
      </c>
      <c r="AE38" s="285" t="str">
        <f>IFERROR(__xludf.DUMMYFUNCTION("""COMPUTED_VALUE"""),"08112991307")</f>
        <v>08112991307</v>
      </c>
      <c r="AF38" s="285" t="str">
        <f>IFERROR(__xludf.DUMMYFUNCTION("""COMPUTED_VALUE"""),"Gagal")</f>
        <v>Gagal</v>
      </c>
      <c r="AG38" s="285" t="str">
        <f>IFERROR(__xludf.DUMMYFUNCTION("""COMPUTED_VALUE"""),"2H1M ")</f>
        <v>2H1M </v>
      </c>
      <c r="AH38" s="287"/>
      <c r="AI38" s="285">
        <f>IFERROR(__xludf.DUMMYFUNCTION("""COMPUTED_VALUE"""),3.0)</f>
        <v>3</v>
      </c>
      <c r="AJ38" s="289">
        <f>IFERROR(__xludf.DUMMYFUNCTION("""COMPUTED_VALUE"""),5850000.0)</f>
        <v>5850000</v>
      </c>
      <c r="AK38" s="285" t="str">
        <f>IFERROR(__xludf.DUMMYFUNCTION("""COMPUTED_VALUE"""),"tak ada jawaban")</f>
        <v>tak ada jawaban</v>
      </c>
    </row>
    <row r="39"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B39" s="285" t="str">
        <f>IFERROR(__xludf.DUMMYFUNCTION("""COMPUTED_VALUE"""),"2604A052")</f>
        <v>2604A052</v>
      </c>
      <c r="AC39" s="286">
        <f>IFERROR(__xludf.DUMMYFUNCTION("""COMPUTED_VALUE"""),46126.0)</f>
        <v>46126</v>
      </c>
      <c r="AD39" s="285" t="str">
        <f>IFERROR(__xludf.DUMMYFUNCTION("""COMPUTED_VALUE"""),"kikii")</f>
        <v>kikii</v>
      </c>
      <c r="AE39" s="285" t="str">
        <f>IFERROR(__xludf.DUMMYFUNCTION("""COMPUTED_VALUE"""),"085656704404")</f>
        <v>085656704404</v>
      </c>
      <c r="AF39" s="285" t="str">
        <f>IFERROR(__xludf.DUMMYFUNCTION("""COMPUTED_VALUE"""),"Gagal")</f>
        <v>Gagal</v>
      </c>
      <c r="AG39" s="285" t="str">
        <f>IFERROR(__xludf.DUMMYFUNCTION("""COMPUTED_VALUE"""),"2H1M Opsi A")</f>
        <v>2H1M Opsi A</v>
      </c>
      <c r="AH39" s="287"/>
      <c r="AI39" s="285">
        <f>IFERROR(__xludf.DUMMYFUNCTION("""COMPUTED_VALUE"""),2.0)</f>
        <v>2</v>
      </c>
      <c r="AJ39" s="289"/>
      <c r="AK39" s="285" t="str">
        <f>IFERROR(__xludf.DUMMYFUNCTION("""COMPUTED_VALUE"""),"gada balasan")</f>
        <v>gada balasan</v>
      </c>
    </row>
    <row r="40"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B40" s="285" t="str">
        <f>IFERROR(__xludf.DUMMYFUNCTION("""COMPUTED_VALUE"""),"2604A054")</f>
        <v>2604A054</v>
      </c>
      <c r="AC40" s="286">
        <f>IFERROR(__xludf.DUMMYFUNCTION("""COMPUTED_VALUE"""),46128.0)</f>
        <v>46128</v>
      </c>
      <c r="AD40" s="285" t="str">
        <f>IFERROR(__xludf.DUMMYFUNCTION("""COMPUTED_VALUE"""),"Pinastika")</f>
        <v>Pinastika</v>
      </c>
      <c r="AE40" s="285" t="str">
        <f>IFERROR(__xludf.DUMMYFUNCTION("""COMPUTED_VALUE"""),"081990039512")</f>
        <v>081990039512</v>
      </c>
      <c r="AF40" s="285" t="str">
        <f>IFERROR(__xludf.DUMMYFUNCTION("""COMPUTED_VALUE"""),"Gagal")</f>
        <v>Gagal</v>
      </c>
      <c r="AG40" s="285" t="str">
        <f>IFERROR(__xludf.DUMMYFUNCTION("""COMPUTED_VALUE"""),"3h2m")</f>
        <v>3h2m</v>
      </c>
      <c r="AH40" s="287"/>
      <c r="AI40" s="285">
        <f>IFERROR(__xludf.DUMMYFUNCTION("""COMPUTED_VALUE"""),3.0)</f>
        <v>3</v>
      </c>
      <c r="AJ40" s="289"/>
      <c r="AK40" s="285" t="str">
        <f>IFERROR(__xludf.DUMMYFUNCTION("""COMPUTED_VALUE"""),"gada balasan")</f>
        <v>gada balasan</v>
      </c>
    </row>
    <row r="41"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B41" s="285" t="str">
        <f>IFERROR(__xludf.DUMMYFUNCTION("""COMPUTED_VALUE"""),"2604A055")</f>
        <v>2604A055</v>
      </c>
      <c r="AC41" s="286">
        <f>IFERROR(__xludf.DUMMYFUNCTION("""COMPUTED_VALUE"""),46128.0)</f>
        <v>46128</v>
      </c>
      <c r="AD41" s="285" t="str">
        <f>IFERROR(__xludf.DUMMYFUNCTION("""COMPUTED_VALUE"""),"Elita")</f>
        <v>Elita</v>
      </c>
      <c r="AE41" s="285" t="str">
        <f>IFERROR(__xludf.DUMMYFUNCTION("""COMPUTED_VALUE"""),"08133636406")</f>
        <v>08133636406</v>
      </c>
      <c r="AF41" s="285" t="str">
        <f>IFERROR(__xludf.DUMMYFUNCTION("""COMPUTED_VALUE"""),"Gagal")</f>
        <v>Gagal</v>
      </c>
      <c r="AG41" s="285" t="str">
        <f>IFERROR(__xludf.DUMMYFUNCTION("""COMPUTED_VALUE"""),"OT B")</f>
        <v>OT B</v>
      </c>
      <c r="AH41" s="287">
        <f>IFERROR(__xludf.DUMMYFUNCTION("""COMPUTED_VALUE"""),46131.0)</f>
        <v>46131</v>
      </c>
      <c r="AI41" s="285">
        <f>IFERROR(__xludf.DUMMYFUNCTION("""COMPUTED_VALUE"""),2.0)</f>
        <v>2</v>
      </c>
      <c r="AJ41" s="289">
        <f>IFERROR(__xludf.DUMMYFUNCTION("""COMPUTED_VALUE"""),700000.0)</f>
        <v>700000</v>
      </c>
      <c r="AK41" s="285" t="str">
        <f>IFERROR(__xludf.DUMMYFUNCTION("""COMPUTED_VALUE"""),"tidak ada balasan")</f>
        <v>tidak ada balasan</v>
      </c>
    </row>
    <row r="42"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B42" s="285" t="str">
        <f>IFERROR(__xludf.DUMMYFUNCTION("""COMPUTED_VALUE"""),"2604A057")</f>
        <v>2604A057</v>
      </c>
      <c r="AC42" s="286">
        <f>IFERROR(__xludf.DUMMYFUNCTION("""COMPUTED_VALUE"""),46129.0)</f>
        <v>46129</v>
      </c>
      <c r="AD42" s="285" t="str">
        <f>IFERROR(__xludf.DUMMYFUNCTION("""COMPUTED_VALUE"""),"Salsabila")</f>
        <v>Salsabila</v>
      </c>
      <c r="AE42" s="285" t="str">
        <f>IFERROR(__xludf.DUMMYFUNCTION("""COMPUTED_VALUE"""),"085264954614")</f>
        <v>085264954614</v>
      </c>
      <c r="AF42" s="285" t="str">
        <f>IFERROR(__xludf.DUMMYFUNCTION("""COMPUTED_VALUE"""),"Gagal")</f>
        <v>Gagal</v>
      </c>
      <c r="AG42" s="285" t="str">
        <f>IFERROR(__xludf.DUMMYFUNCTION("""COMPUTED_VALUE"""),"trip T, I")</f>
        <v>trip T, I</v>
      </c>
      <c r="AH42" s="287">
        <f>IFERROR(__xludf.DUMMYFUNCTION("""COMPUTED_VALUE"""),46139.0)</f>
        <v>46139</v>
      </c>
      <c r="AI42" s="285">
        <f>IFERROR(__xludf.DUMMYFUNCTION("""COMPUTED_VALUE"""),1.0)</f>
        <v>1</v>
      </c>
      <c r="AJ42" s="289">
        <f>IFERROR(__xludf.DUMMYFUNCTION("""COMPUTED_VALUE"""),525000.0)</f>
        <v>525000</v>
      </c>
      <c r="AK42" s="285" t="str">
        <f>IFERROR(__xludf.DUMMYFUNCTION("""COMPUTED_VALUE"""),"tak ada jawaban")</f>
        <v>tak ada jawaban</v>
      </c>
    </row>
    <row r="43"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B43" s="285" t="str">
        <f>IFERROR(__xludf.DUMMYFUNCTION("""COMPUTED_VALUE"""),"2604A059")</f>
        <v>2604A059</v>
      </c>
      <c r="AC43" s="286">
        <f>IFERROR(__xludf.DUMMYFUNCTION("""COMPUTED_VALUE"""),46130.0)</f>
        <v>46130</v>
      </c>
      <c r="AD43" s="285" t="str">
        <f>IFERROR(__xludf.DUMMYFUNCTION("""COMPUTED_VALUE"""),"Nana")</f>
        <v>Nana</v>
      </c>
      <c r="AE43" s="285" t="str">
        <f>IFERROR(__xludf.DUMMYFUNCTION("""COMPUTED_VALUE"""),"081325151578")</f>
        <v>081325151578</v>
      </c>
      <c r="AF43" s="285" t="str">
        <f>IFERROR(__xludf.DUMMYFUNCTION("""COMPUTED_VALUE"""),"Gagal")</f>
        <v>Gagal</v>
      </c>
      <c r="AG43" s="285" t="str">
        <f>IFERROR(__xludf.DUMMYFUNCTION("""COMPUTED_VALUE"""),"Trip 3H2M")</f>
        <v>Trip 3H2M</v>
      </c>
      <c r="AH43" s="287"/>
      <c r="AI43" s="285">
        <f>IFERROR(__xludf.DUMMYFUNCTION("""COMPUTED_VALUE"""),10.0)</f>
        <v>10</v>
      </c>
      <c r="AJ43" s="289"/>
      <c r="AK43" s="285" t="str">
        <f>IFERROR(__xludf.DUMMYFUNCTION("""COMPUTED_VALUE"""),"ada bbrp hal yg kuranf memungkinkan")</f>
        <v>ada bbrp hal yg kuranf memungkinkan</v>
      </c>
    </row>
    <row r="44"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B44" s="285" t="str">
        <f>IFERROR(__xludf.DUMMYFUNCTION("""COMPUTED_VALUE"""),"2604A060")</f>
        <v>2604A060</v>
      </c>
      <c r="AC44" s="286">
        <f>IFERROR(__xludf.DUMMYFUNCTION("""COMPUTED_VALUE"""),46130.0)</f>
        <v>46130</v>
      </c>
      <c r="AD44" s="285" t="str">
        <f>IFERROR(__xludf.DUMMYFUNCTION("""COMPUTED_VALUE"""),"Naya")</f>
        <v>Naya</v>
      </c>
      <c r="AE44" s="285" t="str">
        <f>IFERROR(__xludf.DUMMYFUNCTION("""COMPUTED_VALUE"""),"081320793223")</f>
        <v>081320793223</v>
      </c>
      <c r="AF44" s="285" t="str">
        <f>IFERROR(__xludf.DUMMYFUNCTION("""COMPUTED_VALUE"""),"Gagal")</f>
        <v>Gagal</v>
      </c>
      <c r="AG44" s="285" t="str">
        <f>IFERROR(__xludf.DUMMYFUNCTION("""COMPUTED_VALUE"""),"2h3m")</f>
        <v>2h3m</v>
      </c>
      <c r="AH44" s="287"/>
      <c r="AI44" s="285">
        <f>IFERROR(__xludf.DUMMYFUNCTION("""COMPUTED_VALUE"""),4.0)</f>
        <v>4</v>
      </c>
      <c r="AJ44" s="289">
        <f>IFERROR(__xludf.DUMMYFUNCTION("""COMPUTED_VALUE"""),4480000.0)</f>
        <v>4480000</v>
      </c>
      <c r="AK44" s="285" t="str">
        <f>IFERROR(__xludf.DUMMYFUNCTION("""COMPUTED_VALUE"""),"masih cari cuti")</f>
        <v>masih cari cuti</v>
      </c>
    </row>
    <row r="45"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B45" s="285" t="str">
        <f>IFERROR(__xludf.DUMMYFUNCTION("""COMPUTED_VALUE"""),"2604A062")</f>
        <v>2604A062</v>
      </c>
      <c r="AC45" s="286">
        <f>IFERROR(__xludf.DUMMYFUNCTION("""COMPUTED_VALUE"""),46131.0)</f>
        <v>46131</v>
      </c>
      <c r="AD45" s="285" t="str">
        <f>IFERROR(__xludf.DUMMYFUNCTION("""COMPUTED_VALUE"""),"May SK")</f>
        <v>May SK</v>
      </c>
      <c r="AE45" s="285" t="str">
        <f>IFERROR(__xludf.DUMMYFUNCTION("""COMPUTED_VALUE"""),"08161133838")</f>
        <v>08161133838</v>
      </c>
      <c r="AF45" s="285" t="str">
        <f>IFERROR(__xludf.DUMMYFUNCTION("""COMPUTED_VALUE"""),"Gagal")</f>
        <v>Gagal</v>
      </c>
      <c r="AG45" s="285" t="str">
        <f>IFERROR(__xludf.DUMMYFUNCTION("""COMPUTED_VALUE"""),"3h2m")</f>
        <v>3h2m</v>
      </c>
      <c r="AH45" s="287"/>
      <c r="AI45" s="285">
        <f>IFERROR(__xludf.DUMMYFUNCTION("""COMPUTED_VALUE"""),2.0)</f>
        <v>2</v>
      </c>
      <c r="AJ45" s="289"/>
      <c r="AK45" s="285" t="str">
        <f>IFERROR(__xludf.DUMMYFUNCTION("""COMPUTED_VALUE"""),"fu lagi 16 mei")</f>
        <v>fu lagi 16 mei</v>
      </c>
    </row>
    <row r="46"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B46" s="285" t="str">
        <f>IFERROR(__xludf.DUMMYFUNCTION("""COMPUTED_VALUE"""),"2604A066")</f>
        <v>2604A066</v>
      </c>
      <c r="AC46" s="286">
        <f>IFERROR(__xludf.DUMMYFUNCTION("""COMPUTED_VALUE"""),46131.0)</f>
        <v>46131</v>
      </c>
      <c r="AD46" s="285" t="str">
        <f>IFERROR(__xludf.DUMMYFUNCTION("""COMPUTED_VALUE"""),"Ponny")</f>
        <v>Ponny</v>
      </c>
      <c r="AE46" s="285" t="str">
        <f>IFERROR(__xludf.DUMMYFUNCTION("""COMPUTED_VALUE"""),"087878896548")</f>
        <v>087878896548</v>
      </c>
      <c r="AF46" s="285" t="str">
        <f>IFERROR(__xludf.DUMMYFUNCTION("""COMPUTED_VALUE"""),"Gagal")</f>
        <v>Gagal</v>
      </c>
      <c r="AG46" s="285" t="str">
        <f>IFERROR(__xludf.DUMMYFUNCTION("""COMPUTED_VALUE"""),"Trip D, B, GI")</f>
        <v>Trip D, B, GI</v>
      </c>
      <c r="AH46" s="287"/>
      <c r="AI46" s="285">
        <f>IFERROR(__xludf.DUMMYFUNCTION("""COMPUTED_VALUE"""),2.0)</f>
        <v>2</v>
      </c>
      <c r="AJ46" s="289">
        <f>IFERROR(__xludf.DUMMYFUNCTION("""COMPUTED_VALUE"""),2740000.0)</f>
        <v>2740000</v>
      </c>
      <c r="AK46" s="285" t="str">
        <f>IFERROR(__xludf.DUMMYFUNCTION("""COMPUTED_VALUE"""),"sudah booking ditempat lain")</f>
        <v>sudah booking ditempat lain</v>
      </c>
    </row>
    <row r="47"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B47" s="285" t="str">
        <f>IFERROR(__xludf.DUMMYFUNCTION("""COMPUTED_VALUE"""),"2604A067")</f>
        <v>2604A067</v>
      </c>
      <c r="AC47" s="286">
        <f>IFERROR(__xludf.DUMMYFUNCTION("""COMPUTED_VALUE"""),46131.0)</f>
        <v>46131</v>
      </c>
      <c r="AD47" s="285" t="str">
        <f>IFERROR(__xludf.DUMMYFUNCTION("""COMPUTED_VALUE"""),"No name")</f>
        <v>No name</v>
      </c>
      <c r="AE47" s="285" t="str">
        <f>IFERROR(__xludf.DUMMYFUNCTION("""COMPUTED_VALUE"""),"088286131858")</f>
        <v>088286131858</v>
      </c>
      <c r="AF47" s="285" t="str">
        <f>IFERROR(__xludf.DUMMYFUNCTION("""COMPUTED_VALUE"""),"Gagal")</f>
        <v>Gagal</v>
      </c>
      <c r="AG47" s="285"/>
      <c r="AH47" s="287"/>
      <c r="AI47" s="285"/>
      <c r="AJ47" s="289"/>
      <c r="AK47" s="285"/>
    </row>
    <row r="48"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B48" s="285" t="str">
        <f>IFERROR(__xludf.DUMMYFUNCTION("""COMPUTED_VALUE"""),"2604A068")</f>
        <v>2604A068</v>
      </c>
      <c r="AC48" s="286">
        <f>IFERROR(__xludf.DUMMYFUNCTION("""COMPUTED_VALUE"""),46131.0)</f>
        <v>46131</v>
      </c>
      <c r="AD48" s="285" t="str">
        <f>IFERROR(__xludf.DUMMYFUNCTION("""COMPUTED_VALUE"""),"Dhini")</f>
        <v>Dhini</v>
      </c>
      <c r="AE48" s="285" t="str">
        <f>IFERROR(__xludf.DUMMYFUNCTION("""COMPUTED_VALUE"""),"082123207691")</f>
        <v>082123207691</v>
      </c>
      <c r="AF48" s="285" t="str">
        <f>IFERROR(__xludf.DUMMYFUNCTION("""COMPUTED_VALUE"""),"Gagal")</f>
        <v>Gagal</v>
      </c>
      <c r="AG48" s="285" t="str">
        <f>IFERROR(__xludf.DUMMYFUNCTION("""COMPUTED_VALUE"""),"OT 3H2M")</f>
        <v>OT 3H2M</v>
      </c>
      <c r="AH48" s="287"/>
      <c r="AI48" s="285">
        <f>IFERROR(__xludf.DUMMYFUNCTION("""COMPUTED_VALUE"""),2.0)</f>
        <v>2</v>
      </c>
      <c r="AJ48" s="289">
        <f>IFERROR(__xludf.DUMMYFUNCTION("""COMPUTED_VALUE"""),3200000.0)</f>
        <v>3200000</v>
      </c>
      <c r="AK48" s="285" t="str">
        <f>IFERROR(__xludf.DUMMYFUNCTION("""COMPUTED_VALUE"""),"gada jawaban")</f>
        <v>gada jawaban</v>
      </c>
    </row>
    <row r="49"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B49" s="285" t="str">
        <f>IFERROR(__xludf.DUMMYFUNCTION("""COMPUTED_VALUE"""),"2604A069")</f>
        <v>2604A069</v>
      </c>
      <c r="AC49" s="286">
        <f>IFERROR(__xludf.DUMMYFUNCTION("""COMPUTED_VALUE"""),46131.0)</f>
        <v>46131</v>
      </c>
      <c r="AD49" s="285" t="str">
        <f>IFERROR(__xludf.DUMMYFUNCTION("""COMPUTED_VALUE"""),"Javier")</f>
        <v>Javier</v>
      </c>
      <c r="AE49" s="285" t="str">
        <f>IFERROR(__xludf.DUMMYFUNCTION("""COMPUTED_VALUE"""),"085183107452")</f>
        <v>085183107452</v>
      </c>
      <c r="AF49" s="285" t="str">
        <f>IFERROR(__xludf.DUMMYFUNCTION("""COMPUTED_VALUE"""),"Gagal")</f>
        <v>Gagal</v>
      </c>
      <c r="AG49" s="285" t="str">
        <f>IFERROR(__xludf.DUMMYFUNCTION("""COMPUTED_VALUE"""),"Trip M T")</f>
        <v>Trip M T</v>
      </c>
      <c r="AH49" s="287"/>
      <c r="AI49" s="285">
        <f>IFERROR(__xludf.DUMMYFUNCTION("""COMPUTED_VALUE"""),2.0)</f>
        <v>2</v>
      </c>
      <c r="AJ49" s="289">
        <f>IFERROR(__xludf.DUMMYFUNCTION("""COMPUTED_VALUE"""),1050000.0)</f>
        <v>1050000</v>
      </c>
      <c r="AK49" s="285" t="str">
        <f>IFERROR(__xludf.DUMMYFUNCTION("""COMPUTED_VALUE"""),"mencari yg dr sby")</f>
        <v>mencari yg dr sby</v>
      </c>
    </row>
    <row r="50"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B50" s="285" t="str">
        <f>IFERROR(__xludf.DUMMYFUNCTION("""COMPUTED_VALUE"""),"2604A070")</f>
        <v>2604A070</v>
      </c>
      <c r="AC50" s="286">
        <f>IFERROR(__xludf.DUMMYFUNCTION("""COMPUTED_VALUE"""),46131.0)</f>
        <v>46131</v>
      </c>
      <c r="AD50" s="285" t="str">
        <f>IFERROR(__xludf.DUMMYFUNCTION("""COMPUTED_VALUE"""),"Jerik")</f>
        <v>Jerik</v>
      </c>
      <c r="AE50" s="285" t="str">
        <f>IFERROR(__xludf.DUMMYFUNCTION("""COMPUTED_VALUE"""),"08139190325")</f>
        <v>08139190325</v>
      </c>
      <c r="AF50" s="285" t="str">
        <f>IFERROR(__xludf.DUMMYFUNCTION("""COMPUTED_VALUE"""),"Gagal")</f>
        <v>Gagal</v>
      </c>
      <c r="AG50" s="285" t="str">
        <f>IFERROR(__xludf.DUMMYFUNCTION("""COMPUTED_VALUE"""),"Trip I, AP, D,")</f>
        <v>Trip I, AP, D,</v>
      </c>
      <c r="AH50" s="287"/>
      <c r="AI50" s="285"/>
      <c r="AJ50" s="289"/>
      <c r="AK50" s="285" t="str">
        <f>IFERROR(__xludf.DUMMYFUNCTION("""COMPUTED_VALUE"""),"belum balas lagi.")</f>
        <v>belum balas lagi.</v>
      </c>
    </row>
    <row r="51"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B51" s="285" t="str">
        <f>IFERROR(__xludf.DUMMYFUNCTION("""COMPUTED_VALUE"""),"2604A071")</f>
        <v>2604A071</v>
      </c>
      <c r="AC51" s="286">
        <f>IFERROR(__xludf.DUMMYFUNCTION("""COMPUTED_VALUE"""),46132.0)</f>
        <v>46132</v>
      </c>
      <c r="AD51" s="285" t="str">
        <f>IFERROR(__xludf.DUMMYFUNCTION("""COMPUTED_VALUE"""),"Marsheilla A")</f>
        <v>Marsheilla A</v>
      </c>
      <c r="AE51" s="285" t="str">
        <f>IFERROR(__xludf.DUMMYFUNCTION("""COMPUTED_VALUE"""),"081284460967")</f>
        <v>081284460967</v>
      </c>
      <c r="AF51" s="285" t="str">
        <f>IFERROR(__xludf.DUMMYFUNCTION("""COMPUTED_VALUE"""),"Gagal")</f>
        <v>Gagal</v>
      </c>
      <c r="AG51" s="285" t="str">
        <f>IFERROR(__xludf.DUMMYFUNCTION("""COMPUTED_VALUE"""),"4H3M")</f>
        <v>4H3M</v>
      </c>
      <c r="AH51" s="287"/>
      <c r="AI51" s="285">
        <f>IFERROR(__xludf.DUMMYFUNCTION("""COMPUTED_VALUE"""),2.0)</f>
        <v>2</v>
      </c>
      <c r="AJ51" s="289">
        <f>IFERROR(__xludf.DUMMYFUNCTION("""COMPUTED_VALUE"""),7820000.0)</f>
        <v>7820000</v>
      </c>
      <c r="AK51" s="285" t="str">
        <f>IFERROR(__xludf.DUMMYFUNCTION("""COMPUTED_VALUE"""),"gada jawaban")</f>
        <v>gada jawaban</v>
      </c>
    </row>
    <row r="52"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B52" s="285" t="str">
        <f>IFERROR(__xludf.DUMMYFUNCTION("""COMPUTED_VALUE"""),"2604A072")</f>
        <v>2604A072</v>
      </c>
      <c r="AC52" s="286">
        <f>IFERROR(__xludf.DUMMYFUNCTION("""COMPUTED_VALUE"""),46132.0)</f>
        <v>46132</v>
      </c>
      <c r="AD52" s="285" t="str">
        <f>IFERROR(__xludf.DUMMYFUNCTION("""COMPUTED_VALUE"""),"Ria Febri")</f>
        <v>Ria Febri</v>
      </c>
      <c r="AE52" s="285" t="str">
        <f>IFERROR(__xludf.DUMMYFUNCTION("""COMPUTED_VALUE"""),"081252405710")</f>
        <v>081252405710</v>
      </c>
      <c r="AF52" s="285" t="str">
        <f>IFERROR(__xludf.DUMMYFUNCTION("""COMPUTED_VALUE"""),"Gagal")</f>
        <v>Gagal</v>
      </c>
      <c r="AG52" s="285" t="str">
        <f>IFERROR(__xludf.DUMMYFUNCTION("""COMPUTED_VALUE"""),"OT M T")</f>
        <v>OT M T</v>
      </c>
      <c r="AH52" s="287"/>
      <c r="AI52" s="285"/>
      <c r="AJ52" s="289"/>
      <c r="AK52" s="285" t="str">
        <f>IFERROR(__xludf.DUMMYFUNCTION("""COMPUTED_VALUE"""),"tidak ada balasan")</f>
        <v>tidak ada balasan</v>
      </c>
    </row>
    <row r="53"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  <c r="AB53" s="285" t="str">
        <f>IFERROR(__xludf.DUMMYFUNCTION("""COMPUTED_VALUE"""),"2604A073")</f>
        <v>2604A073</v>
      </c>
      <c r="AC53" s="286">
        <f>IFERROR(__xludf.DUMMYFUNCTION("""COMPUTED_VALUE"""),46133.0)</f>
        <v>46133</v>
      </c>
      <c r="AD53" s="285" t="str">
        <f>IFERROR(__xludf.DUMMYFUNCTION("""COMPUTED_VALUE"""),"No Name")</f>
        <v>No Name</v>
      </c>
      <c r="AE53" s="285" t="str">
        <f>IFERROR(__xludf.DUMMYFUNCTION("""COMPUTED_VALUE"""),"085156638641")</f>
        <v>085156638641</v>
      </c>
      <c r="AF53" s="285" t="str">
        <f>IFERROR(__xludf.DUMMYFUNCTION("""COMPUTED_VALUE"""),"Gagal")</f>
        <v>Gagal</v>
      </c>
      <c r="AG53" s="285" t="str">
        <f>IFERROR(__xludf.DUMMYFUNCTION("""COMPUTED_VALUE"""),"OT 3H2M")</f>
        <v>OT 3H2M</v>
      </c>
      <c r="AH53" s="287"/>
      <c r="AI53" s="285">
        <f>IFERROR(__xludf.DUMMYFUNCTION("""COMPUTED_VALUE"""),2.0)</f>
        <v>2</v>
      </c>
      <c r="AJ53" s="289"/>
      <c r="AK53" s="285" t="str">
        <f>IFERROR(__xludf.DUMMYFUNCTION("""COMPUTED_VALUE"""),"FULLBOOKED")</f>
        <v>FULLBOOKED</v>
      </c>
    </row>
    <row r="54"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  <c r="AB54" s="285" t="str">
        <f>IFERROR(__xludf.DUMMYFUNCTION("""COMPUTED_VALUE"""),"2604A075")</f>
        <v>2604A075</v>
      </c>
      <c r="AC54" s="286">
        <f>IFERROR(__xludf.DUMMYFUNCTION("""COMPUTED_VALUE"""),46133.0)</f>
        <v>46133</v>
      </c>
      <c r="AD54" s="285" t="str">
        <f>IFERROR(__xludf.DUMMYFUNCTION("""COMPUTED_VALUE"""),"Auliahelen")</f>
        <v>Auliahelen</v>
      </c>
      <c r="AE54" s="285" t="str">
        <f>IFERROR(__xludf.DUMMYFUNCTION("""COMPUTED_VALUE"""),"085655941390")</f>
        <v>085655941390</v>
      </c>
      <c r="AF54" s="285" t="str">
        <f>IFERROR(__xludf.DUMMYFUNCTION("""COMPUTED_VALUE"""),"Gagal")</f>
        <v>Gagal</v>
      </c>
      <c r="AG54" s="285" t="str">
        <f>IFERROR(__xludf.DUMMYFUNCTION("""COMPUTED_VALUE"""),"2H1M opsi C")</f>
        <v>2H1M opsi C</v>
      </c>
      <c r="AH54" s="287"/>
      <c r="AI54" s="285">
        <f>IFERROR(__xludf.DUMMYFUNCTION("""COMPUTED_VALUE"""),4.0)</f>
        <v>4</v>
      </c>
      <c r="AJ54" s="289"/>
      <c r="AK54" s="285" t="str">
        <f>IFERROR(__xludf.DUMMYFUNCTION("""COMPUTED_VALUE"""),"gada balasan")</f>
        <v>gada balasan</v>
      </c>
    </row>
    <row r="55"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B55" s="285" t="str">
        <f>IFERROR(__xludf.DUMMYFUNCTION("""COMPUTED_VALUE"""),"2604A076")</f>
        <v>2604A076</v>
      </c>
      <c r="AC55" s="286">
        <f>IFERROR(__xludf.DUMMYFUNCTION("""COMPUTED_VALUE"""),46133.0)</f>
        <v>46133</v>
      </c>
      <c r="AD55" s="285" t="str">
        <f>IFERROR(__xludf.DUMMYFUNCTION("""COMPUTED_VALUE"""),"Nia ")</f>
        <v>Nia </v>
      </c>
      <c r="AE55" s="285" t="str">
        <f>IFERROR(__xludf.DUMMYFUNCTION("""COMPUTED_VALUE"""),"082326666677")</f>
        <v>082326666677</v>
      </c>
      <c r="AF55" s="285" t="str">
        <f>IFERROR(__xludf.DUMMYFUNCTION("""COMPUTED_VALUE"""),"Gagal")</f>
        <v>Gagal</v>
      </c>
      <c r="AG55" s="285" t="str">
        <f>IFERROR(__xludf.DUMMYFUNCTION("""COMPUTED_VALUE"""),"Trip MT")</f>
        <v>Trip MT</v>
      </c>
      <c r="AH55" s="287"/>
      <c r="AI55" s="285">
        <f>IFERROR(__xludf.DUMMYFUNCTION("""COMPUTED_VALUE"""),5.0)</f>
        <v>5</v>
      </c>
      <c r="AJ55" s="289"/>
      <c r="AK55" s="285" t="str">
        <f>IFERROR(__xludf.DUMMYFUNCTION("""COMPUTED_VALUE"""),"gada balasan")</f>
        <v>gada balasan</v>
      </c>
    </row>
    <row r="56"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B56" s="285" t="str">
        <f>IFERROR(__xludf.DUMMYFUNCTION("""COMPUTED_VALUE"""),"2604A078")</f>
        <v>2604A078</v>
      </c>
      <c r="AC56" s="286">
        <f>IFERROR(__xludf.DUMMYFUNCTION("""COMPUTED_VALUE"""),46133.0)</f>
        <v>46133</v>
      </c>
      <c r="AD56" s="285" t="str">
        <f>IFERROR(__xludf.DUMMYFUNCTION("""COMPUTED_VALUE"""),"Bel")</f>
        <v>Bel</v>
      </c>
      <c r="AE56" s="285" t="str">
        <f>IFERROR(__xludf.DUMMYFUNCTION("""COMPUTED_VALUE"""),"085716233752")</f>
        <v>085716233752</v>
      </c>
      <c r="AF56" s="285" t="str">
        <f>IFERROR(__xludf.DUMMYFUNCTION("""COMPUTED_VALUE"""),"Gagal")</f>
        <v>Gagal</v>
      </c>
      <c r="AG56" s="285" t="str">
        <f>IFERROR(__xludf.DUMMYFUNCTION("""COMPUTED_VALUE"""),"OT GI")</f>
        <v>OT GI</v>
      </c>
      <c r="AH56" s="287"/>
      <c r="AI56" s="285">
        <f>IFERROR(__xludf.DUMMYFUNCTION("""COMPUTED_VALUE"""),1.0)</f>
        <v>1</v>
      </c>
      <c r="AJ56" s="289"/>
      <c r="AK56" s="285" t="str">
        <f>IFERROR(__xludf.DUMMYFUNCTION("""COMPUTED_VALUE"""),"Lempar Holiday")</f>
        <v>Lempar Holiday</v>
      </c>
    </row>
    <row r="57"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B57" s="285" t="str">
        <f>IFERROR(__xludf.DUMMYFUNCTION("""COMPUTED_VALUE"""),"2604A081")</f>
        <v>2604A081</v>
      </c>
      <c r="AC57" s="286">
        <f>IFERROR(__xludf.DUMMYFUNCTION("""COMPUTED_VALUE"""),46134.0)</f>
        <v>46134</v>
      </c>
      <c r="AD57" s="285" t="str">
        <f>IFERROR(__xludf.DUMMYFUNCTION("""COMPUTED_VALUE"""),"Lintang Ramadhanti")</f>
        <v>Lintang Ramadhanti</v>
      </c>
      <c r="AE57" s="285" t="str">
        <f>IFERROR(__xludf.DUMMYFUNCTION("""COMPUTED_VALUE"""),"085711471680")</f>
        <v>085711471680</v>
      </c>
      <c r="AF57" s="285" t="str">
        <f>IFERROR(__xludf.DUMMYFUNCTION("""COMPUTED_VALUE"""),"Gagal")</f>
        <v>Gagal</v>
      </c>
      <c r="AG57" s="285" t="str">
        <f>IFERROR(__xludf.DUMMYFUNCTION("""COMPUTED_VALUE"""),"OT M T")</f>
        <v>OT M T</v>
      </c>
      <c r="AH57" s="287">
        <f>IFERROR(__xludf.DUMMYFUNCTION("""COMPUTED_VALUE"""),46144.0)</f>
        <v>46144</v>
      </c>
      <c r="AI57" s="285">
        <f>IFERROR(__xludf.DUMMYFUNCTION("""COMPUTED_VALUE"""),2.0)</f>
        <v>2</v>
      </c>
      <c r="AJ57" s="289">
        <f>IFERROR(__xludf.DUMMYFUNCTION("""COMPUTED_VALUE"""),590000.0)</f>
        <v>590000</v>
      </c>
      <c r="AK57" s="285" t="str">
        <f>IFERROR(__xludf.DUMMYFUNCTION("""COMPUTED_VALUE"""),"tidak ada balasan")</f>
        <v>tidak ada balasan</v>
      </c>
    </row>
    <row r="58"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B58" s="285" t="str">
        <f>IFERROR(__xludf.DUMMYFUNCTION("""COMPUTED_VALUE"""),"2604A088")</f>
        <v>2604A088</v>
      </c>
      <c r="AC58" s="286">
        <f>IFERROR(__xludf.DUMMYFUNCTION("""COMPUTED_VALUE"""),46136.0)</f>
        <v>46136</v>
      </c>
      <c r="AD58" s="285" t="str">
        <f>IFERROR(__xludf.DUMMYFUNCTION("""COMPUTED_VALUE"""),"Ninis")</f>
        <v>Ninis</v>
      </c>
      <c r="AE58" s="285" t="str">
        <f>IFERROR(__xludf.DUMMYFUNCTION("""COMPUTED_VALUE"""),"085855855990")</f>
        <v>085855855990</v>
      </c>
      <c r="AF58" s="285" t="str">
        <f>IFERROR(__xludf.DUMMYFUNCTION("""COMPUTED_VALUE"""),"Gagal")</f>
        <v>Gagal</v>
      </c>
      <c r="AG58" s="285"/>
      <c r="AH58" s="287"/>
      <c r="AI58" s="285"/>
      <c r="AJ58" s="289"/>
      <c r="AK58" s="285" t="str">
        <f>IFERROR(__xludf.DUMMYFUNCTION("""COMPUTED_VALUE"""),"tidak jadi")</f>
        <v>tidak jadi</v>
      </c>
    </row>
    <row r="59"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B59" s="285" t="str">
        <f>IFERROR(__xludf.DUMMYFUNCTION("""COMPUTED_VALUE"""),"2604A094")</f>
        <v>2604A094</v>
      </c>
      <c r="AC59" s="286">
        <f>IFERROR(__xludf.DUMMYFUNCTION("""COMPUTED_VALUE"""),46137.0)</f>
        <v>46137</v>
      </c>
      <c r="AD59" s="285" t="str">
        <f>IFERROR(__xludf.DUMMYFUNCTION("""COMPUTED_VALUE"""),"Ahmad")</f>
        <v>Ahmad</v>
      </c>
      <c r="AE59" s="285" t="str">
        <f>IFERROR(__xludf.DUMMYFUNCTION("""COMPUTED_VALUE"""),"082329480260")</f>
        <v>082329480260</v>
      </c>
      <c r="AF59" s="285" t="str">
        <f>IFERROR(__xludf.DUMMYFUNCTION("""COMPUTED_VALUE"""),"Gagal")</f>
        <v>Gagal</v>
      </c>
      <c r="AG59" s="285" t="str">
        <f>IFERROR(__xludf.DUMMYFUNCTION("""COMPUTED_VALUE"""),"OT M T")</f>
        <v>OT M T</v>
      </c>
      <c r="AH59" s="287">
        <f>IFERROR(__xludf.DUMMYFUNCTION("""COMPUTED_VALUE"""),46144.0)</f>
        <v>46144</v>
      </c>
      <c r="AI59" s="285">
        <f>IFERROR(__xludf.DUMMYFUNCTION("""COMPUTED_VALUE"""),6.0)</f>
        <v>6</v>
      </c>
      <c r="AJ59" s="289">
        <f>IFERROR(__xludf.DUMMYFUNCTION("""COMPUTED_VALUE"""),1770000.0)</f>
        <v>1770000</v>
      </c>
      <c r="AK59" s="285" t="str">
        <f>IFERROR(__xludf.DUMMYFUNCTION("""COMPUTED_VALUE"""),"tidak jadi")</f>
        <v>tidak jadi</v>
      </c>
    </row>
    <row r="60"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B60" s="285" t="str">
        <f>IFERROR(__xludf.DUMMYFUNCTION("""COMPUTED_VALUE"""),"2604A095")</f>
        <v>2604A095</v>
      </c>
      <c r="AC60" s="286">
        <f>IFERROR(__xludf.DUMMYFUNCTION("""COMPUTED_VALUE"""),46137.0)</f>
        <v>46137</v>
      </c>
      <c r="AD60" s="285" t="str">
        <f>IFERROR(__xludf.DUMMYFUNCTION("""COMPUTED_VALUE"""),"Febriana ")</f>
        <v>Febriana </v>
      </c>
      <c r="AE60" s="285" t="str">
        <f>IFERROR(__xludf.DUMMYFUNCTION("""COMPUTED_VALUE"""),"082128547423")</f>
        <v>082128547423</v>
      </c>
      <c r="AF60" s="285" t="str">
        <f>IFERROR(__xludf.DUMMYFUNCTION("""COMPUTED_VALUE"""),"Gagal")</f>
        <v>Gagal</v>
      </c>
      <c r="AG60" s="285" t="str">
        <f>IFERROR(__xludf.DUMMYFUNCTION("""COMPUTED_VALUE"""),"OT M T")</f>
        <v>OT M T</v>
      </c>
      <c r="AH60" s="287">
        <f>IFERROR(__xludf.DUMMYFUNCTION("""COMPUTED_VALUE"""),46143.0)</f>
        <v>46143</v>
      </c>
      <c r="AI60" s="285">
        <f>IFERROR(__xludf.DUMMYFUNCTION("""COMPUTED_VALUE"""),2.0)</f>
        <v>2</v>
      </c>
      <c r="AJ60" s="289">
        <f>IFERROR(__xludf.DUMMYFUNCTION("""COMPUTED_VALUE"""),590000.0)</f>
        <v>590000</v>
      </c>
      <c r="AK60" s="285" t="str">
        <f>IFERROR(__xludf.DUMMYFUNCTION("""COMPUTED_VALUE"""),"Tidak ada respon")</f>
        <v>Tidak ada respon</v>
      </c>
    </row>
    <row r="61"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B61" s="285" t="str">
        <f>IFERROR(__xludf.DUMMYFUNCTION("""COMPUTED_VALUE"""),"2604A096")</f>
        <v>2604A096</v>
      </c>
      <c r="AC61" s="286">
        <f>IFERROR(__xludf.DUMMYFUNCTION("""COMPUTED_VALUE"""),46137.0)</f>
        <v>46137</v>
      </c>
      <c r="AD61" s="285" t="str">
        <f>IFERROR(__xludf.DUMMYFUNCTION("""COMPUTED_VALUE"""),"Kamila")</f>
        <v>Kamila</v>
      </c>
      <c r="AE61" s="285" t="str">
        <f>IFERROR(__xludf.DUMMYFUNCTION("""COMPUTED_VALUE"""),"085220860983")</f>
        <v>085220860983</v>
      </c>
      <c r="AF61" s="285" t="str">
        <f>IFERROR(__xludf.DUMMYFUNCTION("""COMPUTED_VALUE"""),"Gagal")</f>
        <v>Gagal</v>
      </c>
      <c r="AG61" s="285" t="str">
        <f>IFERROR(__xludf.DUMMYFUNCTION("""COMPUTED_VALUE"""),"3H2M opsi A")</f>
        <v>3H2M opsi A</v>
      </c>
      <c r="AH61" s="287"/>
      <c r="AI61" s="285"/>
      <c r="AJ61" s="289"/>
      <c r="AK61" s="285" t="str">
        <f>IFERROR(__xludf.DUMMYFUNCTION("""COMPUTED_VALUE"""),"tidak ada jawaban")</f>
        <v>tidak ada jawaban</v>
      </c>
    </row>
    <row r="62"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B62" s="285" t="str">
        <f>IFERROR(__xludf.DUMMYFUNCTION("""COMPUTED_VALUE"""),"2604A097")</f>
        <v>2604A097</v>
      </c>
      <c r="AC62" s="286">
        <f>IFERROR(__xludf.DUMMYFUNCTION("""COMPUTED_VALUE"""),46137.0)</f>
        <v>46137</v>
      </c>
      <c r="AD62" s="285" t="str">
        <f>IFERROR(__xludf.DUMMYFUNCTION("""COMPUTED_VALUE"""),"No Name")</f>
        <v>No Name</v>
      </c>
      <c r="AE62" s="285" t="str">
        <f>IFERROR(__xludf.DUMMYFUNCTION("""COMPUTED_VALUE"""),"081249491409")</f>
        <v>081249491409</v>
      </c>
      <c r="AF62" s="285" t="str">
        <f>IFERROR(__xludf.DUMMYFUNCTION("""COMPUTED_VALUE"""),"Gagal")</f>
        <v>Gagal</v>
      </c>
      <c r="AG62" s="285"/>
      <c r="AH62" s="287"/>
      <c r="AI62" s="285"/>
      <c r="AJ62" s="289"/>
      <c r="AK62" s="285" t="str">
        <f>IFERROR(__xludf.DUMMYFUNCTION("""COMPUTED_VALUE"""),"hanya menyapa saja. tidak ada lanjutan")</f>
        <v>hanya menyapa saja. tidak ada lanjutan</v>
      </c>
    </row>
    <row r="63"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B63" s="285" t="str">
        <f>IFERROR(__xludf.DUMMYFUNCTION("""COMPUTED_VALUE"""),"2604A098")</f>
        <v>2604A098</v>
      </c>
      <c r="AC63" s="286">
        <f>IFERROR(__xludf.DUMMYFUNCTION("""COMPUTED_VALUE"""),46138.0)</f>
        <v>46138</v>
      </c>
      <c r="AD63" s="285" t="str">
        <f>IFERROR(__xludf.DUMMYFUNCTION("""COMPUTED_VALUE"""),"Rio")</f>
        <v>Rio</v>
      </c>
      <c r="AE63" s="285" t="str">
        <f>IFERROR(__xludf.DUMMYFUNCTION("""COMPUTED_VALUE"""),"61415927600")</f>
        <v>61415927600</v>
      </c>
      <c r="AF63" s="285" t="str">
        <f>IFERROR(__xludf.DUMMYFUNCTION("""COMPUTED_VALUE"""),"Gagal")</f>
        <v>Gagal</v>
      </c>
      <c r="AG63" s="285" t="str">
        <f>IFERROR(__xludf.DUMMYFUNCTION("""COMPUTED_VALUE"""),"OT I")</f>
        <v>OT I</v>
      </c>
      <c r="AH63" s="287"/>
      <c r="AI63" s="285">
        <f>IFERROR(__xludf.DUMMYFUNCTION("""COMPUTED_VALUE"""),1.0)</f>
        <v>1</v>
      </c>
      <c r="AJ63" s="289">
        <f>IFERROR(__xludf.DUMMYFUNCTION("""COMPUTED_VALUE"""),450000.0)</f>
        <v>450000</v>
      </c>
      <c r="AK63" s="285" t="str">
        <f>IFERROR(__xludf.DUMMYFUNCTION("""COMPUTED_VALUE"""),"tdkjawab")</f>
        <v>tdkjawab</v>
      </c>
    </row>
    <row r="64"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B64" s="285" t="str">
        <f>IFERROR(__xludf.DUMMYFUNCTION("""COMPUTED_VALUE"""),"2604A100")</f>
        <v>2604A100</v>
      </c>
      <c r="AC64" s="286">
        <f>IFERROR(__xludf.DUMMYFUNCTION("""COMPUTED_VALUE"""),46138.0)</f>
        <v>46138</v>
      </c>
      <c r="AD64" s="285" t="str">
        <f>IFERROR(__xludf.DUMMYFUNCTION("""COMPUTED_VALUE"""),"Raihan")</f>
        <v>Raihan</v>
      </c>
      <c r="AE64" s="285" t="str">
        <f>IFERROR(__xludf.DUMMYFUNCTION("""COMPUTED_VALUE"""),"081280746600")</f>
        <v>081280746600</v>
      </c>
      <c r="AF64" s="285" t="str">
        <f>IFERROR(__xludf.DUMMYFUNCTION("""COMPUTED_VALUE"""),"Gagal")</f>
        <v>Gagal</v>
      </c>
      <c r="AG64" s="285" t="str">
        <f>IFERROR(__xludf.DUMMYFUNCTION("""COMPUTED_VALUE"""),"OT 3H2M")</f>
        <v>OT 3H2M</v>
      </c>
      <c r="AH64" s="287"/>
      <c r="AI64" s="285">
        <f>IFERROR(__xludf.DUMMYFUNCTION("""COMPUTED_VALUE"""),1.0)</f>
        <v>1</v>
      </c>
      <c r="AJ64" s="289"/>
      <c r="AK64" s="285" t="str">
        <f>IFERROR(__xludf.DUMMYFUNCTION("""COMPUTED_VALUE"""),"Full booked")</f>
        <v>Full booked</v>
      </c>
    </row>
    <row r="65"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B65" s="285" t="str">
        <f>IFERROR(__xludf.DUMMYFUNCTION("""COMPUTED_VALUE"""),"2604A101")</f>
        <v>2604A101</v>
      </c>
      <c r="AC65" s="286">
        <f>IFERROR(__xludf.DUMMYFUNCTION("""COMPUTED_VALUE"""),46138.0)</f>
        <v>46138</v>
      </c>
      <c r="AD65" s="285" t="str">
        <f>IFERROR(__xludf.DUMMYFUNCTION("""COMPUTED_VALUE"""),"Regy")</f>
        <v>Regy</v>
      </c>
      <c r="AE65" s="285" t="str">
        <f>IFERROR(__xludf.DUMMYFUNCTION("""COMPUTED_VALUE"""),"082114630240")</f>
        <v>082114630240</v>
      </c>
      <c r="AF65" s="285" t="str">
        <f>IFERROR(__xludf.DUMMYFUNCTION("""COMPUTED_VALUE"""),"Gagal")</f>
        <v>Gagal</v>
      </c>
      <c r="AG65" s="285" t="str">
        <f>IFERROR(__xludf.DUMMYFUNCTION("""COMPUTED_VALUE"""),"OT 3H2M")</f>
        <v>OT 3H2M</v>
      </c>
      <c r="AH65" s="287"/>
      <c r="AI65" s="285"/>
      <c r="AJ65" s="289"/>
      <c r="AK65" s="285" t="str">
        <f>IFERROR(__xludf.DUMMYFUNCTION("""COMPUTED_VALUE"""),"tidak dapat kereta")</f>
        <v>tidak dapat kereta</v>
      </c>
    </row>
    <row r="66"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B66" s="285" t="str">
        <f>IFERROR(__xludf.DUMMYFUNCTION("""COMPUTED_VALUE"""),"2604A105")</f>
        <v>2604A105</v>
      </c>
      <c r="AC66" s="286">
        <f>IFERROR(__xludf.DUMMYFUNCTION("""COMPUTED_VALUE"""),46139.0)</f>
        <v>46139</v>
      </c>
      <c r="AD66" s="285" t="str">
        <f>IFERROR(__xludf.DUMMYFUNCTION("""COMPUTED_VALUE"""),"Rifqa")</f>
        <v>Rifqa</v>
      </c>
      <c r="AE66" s="285" t="str">
        <f>IFERROR(__xludf.DUMMYFUNCTION("""COMPUTED_VALUE"""),"081511299298")</f>
        <v>081511299298</v>
      </c>
      <c r="AF66" s="285" t="str">
        <f>IFERROR(__xludf.DUMMYFUNCTION("""COMPUTED_VALUE"""),"Gagal")</f>
        <v>Gagal</v>
      </c>
      <c r="AG66" s="285"/>
      <c r="AH66" s="287"/>
      <c r="AI66" s="285"/>
      <c r="AJ66" s="289"/>
      <c r="AK66" s="285" t="str">
        <f>IFERROR(__xludf.DUMMYFUNCTION("""COMPUTED_VALUE"""),"last fu ")</f>
        <v>last fu </v>
      </c>
    </row>
    <row r="67"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B67" s="285" t="str">
        <f>IFERROR(__xludf.DUMMYFUNCTION("""COMPUTED_VALUE"""),"2604A107")</f>
        <v>2604A107</v>
      </c>
      <c r="AC67" s="286">
        <f>IFERROR(__xludf.DUMMYFUNCTION("""COMPUTED_VALUE"""),46139.0)</f>
        <v>46139</v>
      </c>
      <c r="AD67" s="285" t="str">
        <f>IFERROR(__xludf.DUMMYFUNCTION("""COMPUTED_VALUE"""),"Firda")</f>
        <v>Firda</v>
      </c>
      <c r="AE67" s="285" t="str">
        <f>IFERROR(__xludf.DUMMYFUNCTION("""COMPUTED_VALUE"""),"089508614381")</f>
        <v>089508614381</v>
      </c>
      <c r="AF67" s="285" t="str">
        <f>IFERROR(__xludf.DUMMYFUNCTION("""COMPUTED_VALUE"""),"Gagal")</f>
        <v>Gagal</v>
      </c>
      <c r="AG67" s="285" t="str">
        <f>IFERROR(__xludf.DUMMYFUNCTION("""COMPUTED_VALUE"""),"Trip I")</f>
        <v>Trip I</v>
      </c>
      <c r="AH67" s="287">
        <f>IFERROR(__xludf.DUMMYFUNCTION("""COMPUTED_VALUE"""),46144.0)</f>
        <v>46144</v>
      </c>
      <c r="AI67" s="285">
        <f>IFERROR(__xludf.DUMMYFUNCTION("""COMPUTED_VALUE"""),1.0)</f>
        <v>1</v>
      </c>
      <c r="AJ67" s="289">
        <f>IFERROR(__xludf.DUMMYFUNCTION("""COMPUTED_VALUE"""),250000.0)</f>
        <v>250000</v>
      </c>
      <c r="AK67" s="285" t="str">
        <f>IFERROR(__xludf.DUMMYFUNCTION("""COMPUTED_VALUE"""),"gajadi")</f>
        <v>gajadi</v>
      </c>
    </row>
    <row r="68"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B68" s="285" t="str">
        <f>IFERROR(__xludf.DUMMYFUNCTION("""COMPUTED_VALUE"""),"2604A109")</f>
        <v>2604A109</v>
      </c>
      <c r="AC68" s="286">
        <f>IFERROR(__xludf.DUMMYFUNCTION("""COMPUTED_VALUE"""),46139.0)</f>
        <v>46139</v>
      </c>
      <c r="AD68" s="285" t="str">
        <f>IFERROR(__xludf.DUMMYFUNCTION("""COMPUTED_VALUE"""),"Firda Audia")</f>
        <v>Firda Audia</v>
      </c>
      <c r="AE68" s="285" t="str">
        <f>IFERROR(__xludf.DUMMYFUNCTION("""COMPUTED_VALUE"""),"081294433651")</f>
        <v>081294433651</v>
      </c>
      <c r="AF68" s="285" t="str">
        <f>IFERROR(__xludf.DUMMYFUNCTION("""COMPUTED_VALUE"""),"Gagal")</f>
        <v>Gagal</v>
      </c>
      <c r="AG68" s="285" t="str">
        <f>IFERROR(__xludf.DUMMYFUNCTION("""COMPUTED_VALUE"""),"2H1M")</f>
        <v>2H1M</v>
      </c>
      <c r="AH68" s="287"/>
      <c r="AI68" s="285">
        <f>IFERROR(__xludf.DUMMYFUNCTION("""COMPUTED_VALUE"""),12.0)</f>
        <v>12</v>
      </c>
      <c r="AJ68" s="289"/>
      <c r="AK68" s="285" t="str">
        <f>IFERROR(__xludf.DUMMYFUNCTION("""COMPUTED_VALUE"""),"gada balasan. sdh fu")</f>
        <v>gada balasan. sdh fu</v>
      </c>
    </row>
    <row r="69"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B69" s="285" t="str">
        <f>IFERROR(__xludf.DUMMYFUNCTION("""COMPUTED_VALUE"""),"2604A111")</f>
        <v>2604A111</v>
      </c>
      <c r="AC69" s="286">
        <f>IFERROR(__xludf.DUMMYFUNCTION("""COMPUTED_VALUE"""),46140.0)</f>
        <v>46140</v>
      </c>
      <c r="AD69" s="285" t="str">
        <f>IFERROR(__xludf.DUMMYFUNCTION("""COMPUTED_VALUE"""),"Mifta")</f>
        <v>Mifta</v>
      </c>
      <c r="AE69" s="285" t="str">
        <f>IFERROR(__xludf.DUMMYFUNCTION("""COMPUTED_VALUE"""),"081380177255")</f>
        <v>081380177255</v>
      </c>
      <c r="AF69" s="285" t="str">
        <f>IFERROR(__xludf.DUMMYFUNCTION("""COMPUTED_VALUE"""),"Gagal")</f>
        <v>Gagal</v>
      </c>
      <c r="AG69" s="285" t="str">
        <f>IFERROR(__xludf.DUMMYFUNCTION("""COMPUTED_VALUE"""),"OT 3H2M")</f>
        <v>OT 3H2M</v>
      </c>
      <c r="AH69" s="287"/>
      <c r="AI69" s="285">
        <f>IFERROR(__xludf.DUMMYFUNCTION("""COMPUTED_VALUE"""),2.0)</f>
        <v>2</v>
      </c>
      <c r="AJ69" s="289">
        <f>IFERROR(__xludf.DUMMYFUNCTION("""COMPUTED_VALUE"""),3200000.0)</f>
        <v>3200000</v>
      </c>
      <c r="AK69" s="285" t="str">
        <f>IFERROR(__xludf.DUMMYFUNCTION("""COMPUTED_VALUE"""),"Gagal, Vendor Full Booked")</f>
        <v>Gagal, Vendor Full Booked</v>
      </c>
    </row>
    <row r="70"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B70" s="285" t="str">
        <f>IFERROR(__xludf.DUMMYFUNCTION("""COMPUTED_VALUE"""),"2604A113")</f>
        <v>2604A113</v>
      </c>
      <c r="AC70" s="286">
        <f>IFERROR(__xludf.DUMMYFUNCTION("""COMPUTED_VALUE"""),46140.0)</f>
        <v>46140</v>
      </c>
      <c r="AD70" s="285" t="str">
        <f>IFERROR(__xludf.DUMMYFUNCTION("""COMPUTED_VALUE"""),"Winda")</f>
        <v>Winda</v>
      </c>
      <c r="AE70" s="285" t="str">
        <f>IFERROR(__xludf.DUMMYFUNCTION("""COMPUTED_VALUE"""),"085194589069")</f>
        <v>085194589069</v>
      </c>
      <c r="AF70" s="285" t="str">
        <f>IFERROR(__xludf.DUMMYFUNCTION("""COMPUTED_VALUE"""),"Gagal")</f>
        <v>Gagal</v>
      </c>
      <c r="AG70" s="285" t="str">
        <f>IFERROR(__xludf.DUMMYFUNCTION("""COMPUTED_VALUE"""),"OT M T")</f>
        <v>OT M T</v>
      </c>
      <c r="AH70" s="287">
        <f>IFERROR(__xludf.DUMMYFUNCTION("""COMPUTED_VALUE"""),46143.0)</f>
        <v>46143</v>
      </c>
      <c r="AI70" s="285">
        <f>IFERROR(__xludf.DUMMYFUNCTION("""COMPUTED_VALUE"""),2.0)</f>
        <v>2</v>
      </c>
      <c r="AJ70" s="289">
        <f>IFERROR(__xludf.DUMMYFUNCTION("""COMPUTED_VALUE"""),1050000.0)</f>
        <v>1050000</v>
      </c>
      <c r="AK70" s="285" t="str">
        <f>IFERROR(__xludf.DUMMYFUNCTION("""COMPUTED_VALUE"""),"Full Booked")</f>
        <v>Full Booked</v>
      </c>
    </row>
    <row r="71"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B71" s="285" t="str">
        <f>IFERROR(__xludf.DUMMYFUNCTION("""COMPUTED_VALUE"""),"2604A114")</f>
        <v>2604A114</v>
      </c>
      <c r="AC71" s="286">
        <f>IFERROR(__xludf.DUMMYFUNCTION("""COMPUTED_VALUE"""),46141.0)</f>
        <v>46141</v>
      </c>
      <c r="AD71" s="285" t="str">
        <f>IFERROR(__xludf.DUMMYFUNCTION("""COMPUTED_VALUE"""),"Renzy")</f>
        <v>Renzy</v>
      </c>
      <c r="AE71" s="285" t="str">
        <f>IFERROR(__xludf.DUMMYFUNCTION("""COMPUTED_VALUE"""),"082167892924")</f>
        <v>082167892924</v>
      </c>
      <c r="AF71" s="285" t="str">
        <f>IFERROR(__xludf.DUMMYFUNCTION("""COMPUTED_VALUE"""),"Gagal")</f>
        <v>Gagal</v>
      </c>
      <c r="AG71" s="285" t="str">
        <f>IFERROR(__xludf.DUMMYFUNCTION("""COMPUTED_VALUE"""),"OT 3H2M")</f>
        <v>OT 3H2M</v>
      </c>
      <c r="AH71" s="287">
        <f>IFERROR(__xludf.DUMMYFUNCTION("""COMPUTED_VALUE"""),46143.0)</f>
        <v>46143</v>
      </c>
      <c r="AI71" s="285">
        <f>IFERROR(__xludf.DUMMYFUNCTION("""COMPUTED_VALUE"""),1.0)</f>
        <v>1</v>
      </c>
      <c r="AJ71" s="289">
        <f>IFERROR(__xludf.DUMMYFUNCTION("""COMPUTED_VALUE"""),1600000.0)</f>
        <v>1600000</v>
      </c>
      <c r="AK71" s="285" t="str">
        <f>IFERROR(__xludf.DUMMYFUNCTION("""COMPUTED_VALUE"""),"Full Booked")</f>
        <v>Full Booked</v>
      </c>
    </row>
    <row r="72"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B72" s="285" t="str">
        <f>IFERROR(__xludf.DUMMYFUNCTION("""COMPUTED_VALUE"""),"2604A115")</f>
        <v>2604A115</v>
      </c>
      <c r="AC72" s="286">
        <f>IFERROR(__xludf.DUMMYFUNCTION("""COMPUTED_VALUE"""),46141.0)</f>
        <v>46141</v>
      </c>
      <c r="AD72" s="285" t="str">
        <f>IFERROR(__xludf.DUMMYFUNCTION("""COMPUTED_VALUE"""),"Izul")</f>
        <v>Izul</v>
      </c>
      <c r="AE72" s="285" t="str">
        <f>IFERROR(__xludf.DUMMYFUNCTION("""COMPUTED_VALUE"""),"085866663713")</f>
        <v>085866663713</v>
      </c>
      <c r="AF72" s="285" t="str">
        <f>IFERROR(__xludf.DUMMYFUNCTION("""COMPUTED_VALUE"""),"Gagal")</f>
        <v>Gagal</v>
      </c>
      <c r="AG72" s="285"/>
      <c r="AH72" s="287">
        <f>IFERROR(__xludf.DUMMYFUNCTION("""COMPUTED_VALUE"""),46157.0)</f>
        <v>46157</v>
      </c>
      <c r="AI72" s="285"/>
      <c r="AJ72" s="289"/>
      <c r="AK72" s="285" t="str">
        <f>IFERROR(__xludf.DUMMYFUNCTION("""COMPUTED_VALUE"""),"tidak ada balasan")</f>
        <v>tidak ada balasan</v>
      </c>
    </row>
    <row r="73"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B73" s="285" t="str">
        <f>IFERROR(__xludf.DUMMYFUNCTION("""COMPUTED_VALUE"""),"2604A116")</f>
        <v>2604A116</v>
      </c>
      <c r="AC73" s="286">
        <f>IFERROR(__xludf.DUMMYFUNCTION("""COMPUTED_VALUE"""),46141.0)</f>
        <v>46141</v>
      </c>
      <c r="AD73" s="285" t="str">
        <f>IFERROR(__xludf.DUMMYFUNCTION("""COMPUTED_VALUE"""),"Lia")</f>
        <v>Lia</v>
      </c>
      <c r="AE73" s="285" t="str">
        <f>IFERROR(__xludf.DUMMYFUNCTION("""COMPUTED_VALUE"""),"089637597579")</f>
        <v>089637597579</v>
      </c>
      <c r="AF73" s="285" t="str">
        <f>IFERROR(__xludf.DUMMYFUNCTION("""COMPUTED_VALUE"""),"Gagal")</f>
        <v>Gagal</v>
      </c>
      <c r="AG73" s="285" t="str">
        <f>IFERROR(__xludf.DUMMYFUNCTION("""COMPUTED_VALUE"""),"2H1M")</f>
        <v>2H1M</v>
      </c>
      <c r="AH73" s="287"/>
      <c r="AI73" s="285">
        <f>IFERROR(__xludf.DUMMYFUNCTION("""COMPUTED_VALUE"""),5.0)</f>
        <v>5</v>
      </c>
      <c r="AJ73" s="289">
        <f>IFERROR(__xludf.DUMMYFUNCTION("""COMPUTED_VALUE"""),4430000.0)</f>
        <v>4430000</v>
      </c>
      <c r="AK73" s="285" t="str">
        <f>IFERROR(__xludf.DUMMYFUNCTION("""COMPUTED_VALUE"""),"Kehabisan Tiket Transport")</f>
        <v>Kehabisan Tiket Transport</v>
      </c>
    </row>
    <row r="74"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B74" s="285" t="str">
        <f>IFERROR(__xludf.DUMMYFUNCTION("""COMPUTED_VALUE"""),"2604A118")</f>
        <v>2604A118</v>
      </c>
      <c r="AC74" s="286">
        <f>IFERROR(__xludf.DUMMYFUNCTION("""COMPUTED_VALUE"""),46142.0)</f>
        <v>46142</v>
      </c>
      <c r="AD74" s="285" t="str">
        <f>IFERROR(__xludf.DUMMYFUNCTION("""COMPUTED_VALUE"""),"Dwipa")</f>
        <v>Dwipa</v>
      </c>
      <c r="AE74" s="285" t="str">
        <f>IFERROR(__xludf.DUMMYFUNCTION("""COMPUTED_VALUE"""),"081294550707")</f>
        <v>081294550707</v>
      </c>
      <c r="AF74" s="285" t="str">
        <f>IFERROR(__xludf.DUMMYFUNCTION("""COMPUTED_VALUE"""),"Gagal")</f>
        <v>Gagal</v>
      </c>
      <c r="AG74" s="285" t="str">
        <f>IFERROR(__xludf.DUMMYFUNCTION("""COMPUTED_VALUE"""),"OT M T")</f>
        <v>OT M T</v>
      </c>
      <c r="AH74" s="287"/>
      <c r="AI74" s="285"/>
      <c r="AJ74" s="289"/>
      <c r="AK74" s="285" t="str">
        <f>IFERROR(__xludf.DUMMYFUNCTION("""COMPUTED_VALUE"""),"fullbookedd")</f>
        <v>fullbookedd</v>
      </c>
    </row>
    <row r="75"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B75" s="285" t="str">
        <f>IFERROR(__xludf.DUMMYFUNCTION("""COMPUTED_VALUE"""),"2605A019")</f>
        <v>2605A019</v>
      </c>
      <c r="AC75" s="286">
        <f>IFERROR(__xludf.DUMMYFUNCTION("""COMPUTED_VALUE"""),46115.0)</f>
        <v>46115</v>
      </c>
      <c r="AD75" s="285" t="str">
        <f>IFERROR(__xludf.DUMMYFUNCTION("""COMPUTED_VALUE"""),"Nadine")</f>
        <v>Nadine</v>
      </c>
      <c r="AE75" s="285" t="str">
        <f>IFERROR(__xludf.DUMMYFUNCTION("""COMPUTED_VALUE"""),"08886682380‬")</f>
        <v>08886682380‬</v>
      </c>
      <c r="AF75" s="285" t="str">
        <f>IFERROR(__xludf.DUMMYFUNCTION("""COMPUTED_VALUE"""),"Gagal")</f>
        <v>Gagal</v>
      </c>
      <c r="AG75" s="285" t="str">
        <f>IFERROR(__xludf.DUMMYFUNCTION("""COMPUTED_VALUE"""),"Trip M T")</f>
        <v>Trip M T</v>
      </c>
      <c r="AH75" s="287">
        <f>IFERROR(__xludf.DUMMYFUNCTION("""COMPUTED_VALUE"""),46158.0)</f>
        <v>46158</v>
      </c>
      <c r="AI75" s="285"/>
      <c r="AJ75" s="289"/>
      <c r="AK75" s="285" t="str">
        <f>IFERROR(__xludf.DUMMYFUNCTION("""COMPUTED_VALUE"""),"gada balasan")</f>
        <v>gada balasan</v>
      </c>
    </row>
    <row r="76"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B76" s="285"/>
      <c r="AC76" s="285"/>
      <c r="AD76" s="285"/>
      <c r="AE76" s="285"/>
      <c r="AF76" s="285"/>
      <c r="AG76" s="285"/>
      <c r="AH76" s="285"/>
      <c r="AI76" s="285"/>
      <c r="AJ76" s="285"/>
      <c r="AK76" s="285"/>
    </row>
    <row r="77"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</row>
    <row r="78"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</row>
    <row r="79"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B79" s="285"/>
      <c r="AC79" s="285"/>
      <c r="AD79" s="285"/>
      <c r="AE79" s="285"/>
      <c r="AF79" s="285"/>
      <c r="AG79" s="285"/>
      <c r="AH79" s="285"/>
      <c r="AI79" s="285"/>
      <c r="AJ79" s="285"/>
      <c r="AK79" s="285"/>
    </row>
    <row r="80"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</row>
    <row r="81"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B81" s="285"/>
      <c r="AC81" s="285"/>
      <c r="AD81" s="285"/>
      <c r="AE81" s="285"/>
      <c r="AF81" s="285"/>
      <c r="AG81" s="285"/>
      <c r="AH81" s="285"/>
      <c r="AI81" s="285"/>
      <c r="AJ81" s="285"/>
      <c r="AK81" s="285"/>
    </row>
    <row r="82"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B82" s="285"/>
      <c r="AC82" s="285"/>
      <c r="AD82" s="285"/>
      <c r="AE82" s="285"/>
      <c r="AF82" s="285"/>
      <c r="AG82" s="285"/>
      <c r="AH82" s="285"/>
      <c r="AI82" s="285"/>
      <c r="AJ82" s="285"/>
      <c r="AK82" s="285"/>
    </row>
    <row r="83"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</row>
    <row r="84"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B84" s="285"/>
      <c r="AC84" s="285"/>
      <c r="AD84" s="285"/>
      <c r="AE84" s="285"/>
      <c r="AF84" s="285"/>
      <c r="AG84" s="285"/>
      <c r="AH84" s="285"/>
      <c r="AI84" s="285"/>
      <c r="AJ84" s="285"/>
      <c r="AK84" s="285"/>
    </row>
    <row r="85"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B85" s="285"/>
      <c r="AC85" s="285"/>
      <c r="AD85" s="285"/>
      <c r="AE85" s="285"/>
      <c r="AF85" s="285"/>
      <c r="AG85" s="285"/>
      <c r="AH85" s="285"/>
      <c r="AI85" s="285"/>
      <c r="AJ85" s="285"/>
      <c r="AK85" s="285"/>
    </row>
    <row r="86"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B86" s="285"/>
      <c r="AC86" s="285"/>
      <c r="AD86" s="285"/>
      <c r="AE86" s="285"/>
      <c r="AF86" s="285"/>
      <c r="AG86" s="285"/>
      <c r="AH86" s="285"/>
      <c r="AI86" s="285"/>
      <c r="AJ86" s="285"/>
      <c r="AK86" s="285"/>
    </row>
    <row r="87"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B87" s="285"/>
      <c r="AC87" s="285"/>
      <c r="AD87" s="285"/>
      <c r="AE87" s="285"/>
      <c r="AF87" s="285"/>
      <c r="AG87" s="285"/>
      <c r="AH87" s="285"/>
      <c r="AI87" s="285"/>
      <c r="AJ87" s="285"/>
      <c r="AK87" s="285"/>
    </row>
    <row r="88"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B88" s="285"/>
      <c r="AC88" s="285"/>
      <c r="AD88" s="285"/>
      <c r="AE88" s="285"/>
      <c r="AF88" s="285"/>
      <c r="AG88" s="285"/>
      <c r="AH88" s="285"/>
      <c r="AI88" s="285"/>
      <c r="AJ88" s="285"/>
      <c r="AK88" s="285"/>
    </row>
    <row r="89"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B89" s="285"/>
      <c r="AC89" s="285"/>
      <c r="AD89" s="285"/>
      <c r="AE89" s="285"/>
      <c r="AF89" s="285"/>
      <c r="AG89" s="285"/>
      <c r="AH89" s="285"/>
      <c r="AI89" s="285"/>
      <c r="AJ89" s="285"/>
      <c r="AK89" s="285"/>
    </row>
    <row r="90"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B90" s="285"/>
      <c r="AC90" s="285"/>
      <c r="AD90" s="285"/>
      <c r="AE90" s="285"/>
      <c r="AF90" s="285"/>
      <c r="AG90" s="285"/>
      <c r="AH90" s="285"/>
      <c r="AI90" s="285"/>
      <c r="AJ90" s="285"/>
      <c r="AK90" s="285"/>
    </row>
    <row r="91"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B91" s="285"/>
      <c r="AC91" s="285"/>
      <c r="AD91" s="285"/>
      <c r="AE91" s="285"/>
      <c r="AF91" s="285"/>
      <c r="AG91" s="285"/>
      <c r="AH91" s="285"/>
      <c r="AI91" s="285"/>
      <c r="AJ91" s="285"/>
      <c r="AK91" s="285"/>
    </row>
    <row r="92"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B92" s="285"/>
      <c r="AC92" s="285"/>
      <c r="AD92" s="285"/>
      <c r="AE92" s="285"/>
      <c r="AF92" s="285"/>
      <c r="AG92" s="285"/>
      <c r="AH92" s="285"/>
      <c r="AI92" s="285"/>
      <c r="AJ92" s="285"/>
      <c r="AK92" s="285"/>
    </row>
    <row r="93"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B93" s="285"/>
      <c r="AC93" s="285"/>
      <c r="AD93" s="285"/>
      <c r="AE93" s="285"/>
      <c r="AF93" s="285"/>
      <c r="AG93" s="285"/>
      <c r="AH93" s="285"/>
      <c r="AI93" s="285"/>
      <c r="AJ93" s="285"/>
      <c r="AK93" s="285"/>
    </row>
    <row r="94"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B94" s="285"/>
      <c r="AC94" s="285"/>
      <c r="AD94" s="285"/>
      <c r="AE94" s="285"/>
      <c r="AF94" s="285"/>
      <c r="AG94" s="285"/>
      <c r="AH94" s="285"/>
      <c r="AI94" s="285"/>
      <c r="AJ94" s="285"/>
      <c r="AK94" s="285"/>
    </row>
    <row r="95"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B95" s="285"/>
      <c r="AC95" s="285"/>
      <c r="AD95" s="285"/>
      <c r="AE95" s="285"/>
      <c r="AF95" s="285"/>
      <c r="AG95" s="285"/>
      <c r="AH95" s="285"/>
      <c r="AI95" s="285"/>
      <c r="AJ95" s="285"/>
      <c r="AK95" s="285"/>
    </row>
    <row r="96"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B96" s="285"/>
      <c r="AC96" s="285"/>
      <c r="AD96" s="285"/>
      <c r="AE96" s="285"/>
      <c r="AF96" s="285"/>
      <c r="AG96" s="285"/>
      <c r="AH96" s="285"/>
      <c r="AI96" s="285"/>
      <c r="AJ96" s="285"/>
      <c r="AK96" s="285"/>
    </row>
    <row r="97"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B97" s="285"/>
      <c r="AC97" s="285"/>
      <c r="AD97" s="285"/>
      <c r="AE97" s="285"/>
      <c r="AF97" s="285"/>
      <c r="AG97" s="285"/>
      <c r="AH97" s="285"/>
      <c r="AI97" s="285"/>
      <c r="AJ97" s="285"/>
      <c r="AK97" s="285"/>
    </row>
    <row r="98"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B98" s="285"/>
      <c r="AC98" s="285"/>
      <c r="AD98" s="285"/>
      <c r="AE98" s="285"/>
      <c r="AF98" s="285"/>
      <c r="AG98" s="285"/>
      <c r="AH98" s="285"/>
      <c r="AI98" s="285"/>
      <c r="AJ98" s="285"/>
      <c r="AK98" s="285"/>
    </row>
    <row r="99"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B99" s="285"/>
      <c r="AC99" s="285"/>
      <c r="AD99" s="285"/>
      <c r="AE99" s="285"/>
      <c r="AF99" s="285"/>
      <c r="AG99" s="285"/>
      <c r="AH99" s="285"/>
      <c r="AI99" s="285"/>
      <c r="AJ99" s="285"/>
      <c r="AK99" s="285"/>
    </row>
    <row r="100"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B100" s="285"/>
      <c r="AC100" s="285"/>
      <c r="AD100" s="285"/>
      <c r="AE100" s="285"/>
      <c r="AF100" s="285"/>
      <c r="AG100" s="285"/>
      <c r="AH100" s="285"/>
      <c r="AI100" s="285"/>
      <c r="AJ100" s="285"/>
      <c r="AK100" s="285"/>
    </row>
    <row r="101"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B101" s="285"/>
      <c r="AC101" s="285"/>
      <c r="AD101" s="285"/>
      <c r="AE101" s="285"/>
      <c r="AF101" s="285"/>
      <c r="AG101" s="285"/>
      <c r="AH101" s="285"/>
      <c r="AI101" s="285"/>
      <c r="AJ101" s="285"/>
      <c r="AK101" s="285"/>
    </row>
    <row r="102"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B102" s="285"/>
      <c r="AC102" s="285"/>
      <c r="AD102" s="285"/>
      <c r="AE102" s="285"/>
      <c r="AF102" s="285"/>
      <c r="AG102" s="285"/>
      <c r="AH102" s="285"/>
      <c r="AI102" s="285"/>
      <c r="AJ102" s="285"/>
      <c r="AK102" s="285"/>
    </row>
    <row r="103"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  <c r="AB103" s="285"/>
      <c r="AC103" s="285"/>
      <c r="AD103" s="285"/>
      <c r="AE103" s="285"/>
      <c r="AF103" s="285"/>
      <c r="AG103" s="285"/>
      <c r="AH103" s="285"/>
      <c r="AI103" s="285"/>
      <c r="AJ103" s="285"/>
      <c r="AK103" s="285"/>
    </row>
    <row r="104"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  <c r="AB104" s="285"/>
      <c r="AC104" s="285"/>
      <c r="AD104" s="285"/>
      <c r="AE104" s="285"/>
      <c r="AF104" s="285"/>
      <c r="AG104" s="285"/>
      <c r="AH104" s="285"/>
      <c r="AI104" s="285"/>
      <c r="AJ104" s="285"/>
      <c r="AK104" s="285"/>
    </row>
    <row r="105"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B105" s="285"/>
      <c r="AC105" s="285"/>
      <c r="AD105" s="285"/>
      <c r="AE105" s="285"/>
      <c r="AF105" s="285"/>
      <c r="AG105" s="285"/>
      <c r="AH105" s="285"/>
      <c r="AI105" s="285"/>
      <c r="AJ105" s="285"/>
      <c r="AK105" s="285"/>
    </row>
    <row r="106"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B106" s="285"/>
      <c r="AC106" s="285"/>
      <c r="AD106" s="285"/>
      <c r="AE106" s="285"/>
      <c r="AF106" s="285"/>
      <c r="AG106" s="285"/>
      <c r="AH106" s="285"/>
      <c r="AI106" s="285"/>
      <c r="AJ106" s="285"/>
      <c r="AK106" s="285"/>
    </row>
    <row r="107"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B107" s="285"/>
      <c r="AC107" s="285"/>
      <c r="AD107" s="285"/>
      <c r="AE107" s="285"/>
      <c r="AF107" s="285"/>
      <c r="AG107" s="285"/>
      <c r="AH107" s="285"/>
      <c r="AI107" s="285"/>
      <c r="AJ107" s="285"/>
      <c r="AK107" s="285"/>
    </row>
    <row r="108"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B108" s="285"/>
      <c r="AC108" s="285"/>
      <c r="AD108" s="285"/>
      <c r="AE108" s="285"/>
      <c r="AF108" s="285"/>
      <c r="AG108" s="285"/>
      <c r="AH108" s="285"/>
      <c r="AI108" s="285"/>
      <c r="AJ108" s="285"/>
      <c r="AK108" s="285"/>
    </row>
    <row r="109"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B109" s="285"/>
      <c r="AC109" s="285"/>
      <c r="AD109" s="285"/>
      <c r="AE109" s="285"/>
      <c r="AF109" s="285"/>
      <c r="AG109" s="285"/>
      <c r="AH109" s="285"/>
      <c r="AI109" s="285"/>
      <c r="AJ109" s="285"/>
      <c r="AK109" s="285"/>
    </row>
    <row r="110"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B110" s="285"/>
      <c r="AC110" s="285"/>
      <c r="AD110" s="285"/>
      <c r="AE110" s="285"/>
      <c r="AF110" s="285"/>
      <c r="AG110" s="285"/>
      <c r="AH110" s="285"/>
      <c r="AI110" s="285"/>
      <c r="AJ110" s="285"/>
      <c r="AK110" s="285"/>
    </row>
    <row r="111"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B111" s="285"/>
      <c r="AC111" s="285"/>
      <c r="AD111" s="285"/>
      <c r="AE111" s="285"/>
      <c r="AF111" s="285"/>
      <c r="AG111" s="285"/>
      <c r="AH111" s="285"/>
      <c r="AI111" s="285"/>
      <c r="AJ111" s="285"/>
      <c r="AK111" s="285"/>
    </row>
    <row r="112"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B112" s="285"/>
      <c r="AC112" s="285"/>
      <c r="AD112" s="285"/>
      <c r="AE112" s="285"/>
      <c r="AF112" s="285"/>
      <c r="AG112" s="285"/>
      <c r="AH112" s="285"/>
      <c r="AI112" s="285"/>
      <c r="AJ112" s="285"/>
      <c r="AK112" s="285"/>
    </row>
    <row r="113"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B113" s="285"/>
      <c r="AC113" s="285"/>
      <c r="AD113" s="285"/>
      <c r="AE113" s="285"/>
      <c r="AF113" s="285"/>
      <c r="AG113" s="285"/>
      <c r="AH113" s="285"/>
      <c r="AI113" s="285"/>
      <c r="AJ113" s="285"/>
      <c r="AK113" s="285"/>
    </row>
    <row r="114"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B114" s="285"/>
      <c r="AC114" s="285"/>
      <c r="AD114" s="285"/>
      <c r="AE114" s="285"/>
      <c r="AF114" s="285"/>
      <c r="AG114" s="285"/>
      <c r="AH114" s="285"/>
      <c r="AI114" s="285"/>
      <c r="AJ114" s="285"/>
      <c r="AK114" s="285"/>
    </row>
    <row r="115"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  <c r="AB115" s="285"/>
      <c r="AC115" s="285"/>
      <c r="AD115" s="285"/>
      <c r="AE115" s="285"/>
      <c r="AF115" s="285"/>
      <c r="AG115" s="285"/>
      <c r="AH115" s="285"/>
      <c r="AI115" s="285"/>
      <c r="AJ115" s="285"/>
      <c r="AK115" s="285"/>
    </row>
    <row r="116"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B116" s="285"/>
      <c r="AC116" s="285"/>
      <c r="AD116" s="285"/>
      <c r="AE116" s="285"/>
      <c r="AF116" s="285"/>
      <c r="AG116" s="285"/>
      <c r="AH116" s="285"/>
      <c r="AI116" s="285"/>
      <c r="AJ116" s="285"/>
      <c r="AK116" s="285"/>
    </row>
    <row r="117"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  <c r="AB117" s="285"/>
      <c r="AC117" s="285"/>
      <c r="AD117" s="285"/>
      <c r="AE117" s="285"/>
      <c r="AF117" s="285"/>
      <c r="AG117" s="285"/>
      <c r="AH117" s="285"/>
      <c r="AI117" s="285"/>
      <c r="AJ117" s="285"/>
      <c r="AK117" s="285"/>
    </row>
    <row r="118"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  <c r="AB118" s="285"/>
      <c r="AC118" s="285"/>
      <c r="AD118" s="285"/>
      <c r="AE118" s="285"/>
      <c r="AF118" s="285"/>
      <c r="AG118" s="285"/>
      <c r="AH118" s="285"/>
      <c r="AI118" s="285"/>
      <c r="AJ118" s="285"/>
      <c r="AK118" s="285"/>
    </row>
    <row r="119"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B119" s="285"/>
      <c r="AC119" s="285"/>
      <c r="AD119" s="285"/>
      <c r="AE119" s="285"/>
      <c r="AF119" s="285"/>
      <c r="AG119" s="285"/>
      <c r="AH119" s="285"/>
      <c r="AI119" s="285"/>
      <c r="AJ119" s="285"/>
      <c r="AK119" s="285"/>
    </row>
    <row r="120"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B120" s="285"/>
      <c r="AC120" s="285"/>
      <c r="AD120" s="285"/>
      <c r="AE120" s="285"/>
      <c r="AF120" s="285"/>
      <c r="AG120" s="285"/>
      <c r="AH120" s="285"/>
      <c r="AI120" s="285"/>
      <c r="AJ120" s="285"/>
      <c r="AK120" s="285"/>
    </row>
    <row r="121"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B121" s="285"/>
      <c r="AC121" s="285"/>
      <c r="AD121" s="285"/>
      <c r="AE121" s="285"/>
      <c r="AF121" s="285"/>
      <c r="AG121" s="285"/>
      <c r="AH121" s="285"/>
      <c r="AI121" s="285"/>
      <c r="AJ121" s="285"/>
      <c r="AK121" s="285"/>
    </row>
    <row r="122"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B122" s="285"/>
      <c r="AC122" s="285"/>
      <c r="AD122" s="285"/>
      <c r="AE122" s="285"/>
      <c r="AF122" s="285"/>
      <c r="AG122" s="285"/>
      <c r="AH122" s="285"/>
      <c r="AI122" s="285"/>
      <c r="AJ122" s="285"/>
      <c r="AK122" s="285"/>
    </row>
    <row r="123"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B123" s="285"/>
      <c r="AC123" s="285"/>
      <c r="AD123" s="285"/>
      <c r="AE123" s="285"/>
      <c r="AF123" s="285"/>
      <c r="AG123" s="285"/>
      <c r="AH123" s="285"/>
      <c r="AI123" s="285"/>
      <c r="AJ123" s="285"/>
      <c r="AK123" s="285"/>
    </row>
    <row r="124"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B124" s="285"/>
      <c r="AC124" s="285"/>
      <c r="AD124" s="285"/>
      <c r="AE124" s="285"/>
      <c r="AF124" s="285"/>
      <c r="AG124" s="285"/>
      <c r="AH124" s="285"/>
      <c r="AI124" s="285"/>
      <c r="AJ124" s="285"/>
      <c r="AK124" s="285"/>
    </row>
    <row r="125"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B125" s="285"/>
      <c r="AC125" s="285"/>
      <c r="AD125" s="285"/>
      <c r="AE125" s="285"/>
      <c r="AF125" s="285"/>
      <c r="AG125" s="285"/>
      <c r="AH125" s="285"/>
      <c r="AI125" s="285"/>
      <c r="AJ125" s="285"/>
      <c r="AK125" s="285"/>
    </row>
    <row r="126"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B126" s="285"/>
      <c r="AC126" s="285"/>
      <c r="AD126" s="285"/>
      <c r="AE126" s="285"/>
      <c r="AF126" s="285"/>
      <c r="AG126" s="285"/>
      <c r="AH126" s="285"/>
      <c r="AI126" s="285"/>
      <c r="AJ126" s="285"/>
      <c r="AK126" s="285"/>
    </row>
    <row r="127"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B127" s="285"/>
      <c r="AC127" s="285"/>
      <c r="AD127" s="285"/>
      <c r="AE127" s="285"/>
      <c r="AF127" s="285"/>
      <c r="AG127" s="285"/>
      <c r="AH127" s="285"/>
      <c r="AI127" s="285"/>
      <c r="AJ127" s="285"/>
      <c r="AK127" s="285"/>
    </row>
    <row r="128"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B128" s="285"/>
      <c r="AC128" s="285"/>
      <c r="AD128" s="285"/>
      <c r="AE128" s="285"/>
      <c r="AF128" s="285"/>
      <c r="AG128" s="285"/>
      <c r="AH128" s="285"/>
      <c r="AI128" s="285"/>
      <c r="AJ128" s="285"/>
      <c r="AK128" s="285"/>
    </row>
    <row r="129"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B129" s="285"/>
      <c r="AC129" s="285"/>
      <c r="AD129" s="285"/>
      <c r="AE129" s="285"/>
      <c r="AF129" s="285"/>
      <c r="AG129" s="285"/>
      <c r="AH129" s="285"/>
      <c r="AI129" s="285"/>
      <c r="AJ129" s="285"/>
      <c r="AK129" s="285"/>
    </row>
    <row r="130"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  <c r="AB130" s="285"/>
      <c r="AC130" s="285"/>
      <c r="AD130" s="285"/>
      <c r="AE130" s="285"/>
      <c r="AF130" s="285"/>
      <c r="AG130" s="285"/>
      <c r="AH130" s="285"/>
      <c r="AI130" s="285"/>
      <c r="AJ130" s="285"/>
      <c r="AK130" s="285"/>
    </row>
    <row r="131"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B131" s="285"/>
      <c r="AC131" s="285"/>
      <c r="AD131" s="285"/>
      <c r="AE131" s="285"/>
      <c r="AF131" s="285"/>
      <c r="AG131" s="285"/>
      <c r="AH131" s="285"/>
      <c r="AI131" s="285"/>
      <c r="AJ131" s="285"/>
      <c r="AK131" s="285"/>
    </row>
    <row r="132"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B132" s="285"/>
      <c r="AC132" s="285"/>
      <c r="AD132" s="285"/>
      <c r="AE132" s="285"/>
      <c r="AF132" s="285"/>
      <c r="AG132" s="285"/>
      <c r="AH132" s="285"/>
      <c r="AI132" s="285"/>
      <c r="AJ132" s="285"/>
      <c r="AK132" s="285"/>
    </row>
    <row r="133"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B133" s="285"/>
      <c r="AC133" s="285"/>
      <c r="AD133" s="285"/>
      <c r="AE133" s="285"/>
      <c r="AF133" s="285"/>
      <c r="AG133" s="285"/>
      <c r="AH133" s="285"/>
      <c r="AI133" s="285"/>
      <c r="AJ133" s="285"/>
      <c r="AK133" s="285"/>
    </row>
    <row r="134"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B134" s="285"/>
      <c r="AC134" s="285"/>
      <c r="AD134" s="285"/>
      <c r="AE134" s="285"/>
      <c r="AF134" s="285"/>
      <c r="AG134" s="285"/>
      <c r="AH134" s="285"/>
      <c r="AI134" s="285"/>
      <c r="AJ134" s="285"/>
      <c r="AK134" s="285"/>
    </row>
    <row r="135"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B135" s="285"/>
      <c r="AC135" s="285"/>
      <c r="AD135" s="285"/>
      <c r="AE135" s="285"/>
      <c r="AF135" s="285"/>
      <c r="AG135" s="285"/>
      <c r="AH135" s="285"/>
      <c r="AI135" s="285"/>
      <c r="AJ135" s="285"/>
      <c r="AK135" s="285"/>
    </row>
    <row r="136"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B136" s="285"/>
      <c r="AC136" s="285"/>
      <c r="AD136" s="285"/>
      <c r="AE136" s="285"/>
      <c r="AF136" s="285"/>
      <c r="AG136" s="285"/>
      <c r="AH136" s="285"/>
      <c r="AI136" s="285"/>
      <c r="AJ136" s="285"/>
      <c r="AK136" s="285"/>
    </row>
    <row r="137"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B137" s="285"/>
      <c r="AC137" s="285"/>
      <c r="AD137" s="285"/>
      <c r="AE137" s="285"/>
      <c r="AF137" s="285"/>
      <c r="AG137" s="285"/>
      <c r="AH137" s="285"/>
      <c r="AI137" s="285"/>
      <c r="AJ137" s="285"/>
      <c r="AK137" s="285"/>
    </row>
    <row r="138"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B138" s="285"/>
      <c r="AC138" s="285"/>
      <c r="AD138" s="285"/>
      <c r="AE138" s="285"/>
      <c r="AF138" s="285"/>
      <c r="AG138" s="285"/>
      <c r="AH138" s="285"/>
      <c r="AI138" s="285"/>
      <c r="AJ138" s="285"/>
      <c r="AK138" s="285"/>
    </row>
    <row r="139"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B139" s="285"/>
      <c r="AC139" s="285"/>
      <c r="AD139" s="285"/>
      <c r="AE139" s="285"/>
      <c r="AF139" s="285"/>
      <c r="AG139" s="285"/>
      <c r="AH139" s="285"/>
      <c r="AI139" s="285"/>
      <c r="AJ139" s="285"/>
      <c r="AK139" s="285"/>
    </row>
    <row r="140"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  <c r="AB140" s="285"/>
      <c r="AC140" s="285"/>
      <c r="AD140" s="285"/>
      <c r="AE140" s="285"/>
      <c r="AF140" s="285"/>
      <c r="AG140" s="285"/>
      <c r="AH140" s="285"/>
      <c r="AI140" s="285"/>
      <c r="AJ140" s="285"/>
      <c r="AK140" s="285"/>
    </row>
    <row r="141"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  <c r="AB141" s="285"/>
      <c r="AC141" s="285"/>
      <c r="AD141" s="285"/>
      <c r="AE141" s="285"/>
      <c r="AF141" s="285"/>
      <c r="AG141" s="285"/>
      <c r="AH141" s="285"/>
      <c r="AI141" s="285"/>
      <c r="AJ141" s="285"/>
      <c r="AK141" s="285"/>
    </row>
    <row r="142"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B142" s="285"/>
      <c r="AC142" s="285"/>
      <c r="AD142" s="285"/>
      <c r="AE142" s="285"/>
      <c r="AF142" s="285"/>
      <c r="AG142" s="285"/>
      <c r="AH142" s="285"/>
      <c r="AI142" s="285"/>
      <c r="AJ142" s="285"/>
      <c r="AK142" s="285"/>
    </row>
    <row r="143"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B143" s="285"/>
      <c r="AC143" s="285"/>
      <c r="AD143" s="285"/>
      <c r="AE143" s="285"/>
      <c r="AF143" s="285"/>
      <c r="AG143" s="285"/>
      <c r="AH143" s="285"/>
      <c r="AI143" s="285"/>
      <c r="AJ143" s="285"/>
      <c r="AK143" s="285"/>
    </row>
    <row r="144"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</row>
    <row r="145"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B145" s="285"/>
      <c r="AC145" s="285"/>
      <c r="AD145" s="285"/>
      <c r="AE145" s="285"/>
      <c r="AF145" s="285"/>
      <c r="AG145" s="285"/>
      <c r="AH145" s="285"/>
      <c r="AI145" s="285"/>
      <c r="AJ145" s="285"/>
      <c r="AK145" s="285"/>
    </row>
    <row r="146"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B146" s="285"/>
      <c r="AC146" s="285"/>
      <c r="AD146" s="285"/>
      <c r="AE146" s="285"/>
      <c r="AF146" s="285"/>
      <c r="AG146" s="285"/>
      <c r="AH146" s="285"/>
      <c r="AI146" s="285"/>
      <c r="AJ146" s="285"/>
      <c r="AK146" s="285"/>
    </row>
    <row r="147"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  <c r="AB147" s="285"/>
      <c r="AC147" s="285"/>
      <c r="AD147" s="285"/>
      <c r="AE147" s="285"/>
      <c r="AF147" s="285"/>
      <c r="AG147" s="285"/>
      <c r="AH147" s="285"/>
      <c r="AI147" s="285"/>
      <c r="AJ147" s="285"/>
      <c r="AK147" s="285"/>
    </row>
    <row r="148"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B148" s="285"/>
      <c r="AC148" s="285"/>
      <c r="AD148" s="285"/>
      <c r="AE148" s="285"/>
      <c r="AF148" s="285"/>
      <c r="AG148" s="285"/>
      <c r="AH148" s="285"/>
      <c r="AI148" s="285"/>
      <c r="AJ148" s="285"/>
      <c r="AK148" s="285"/>
    </row>
    <row r="149"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B149" s="285"/>
      <c r="AC149" s="285"/>
      <c r="AD149" s="285"/>
      <c r="AE149" s="285"/>
      <c r="AF149" s="285"/>
      <c r="AG149" s="285"/>
      <c r="AH149" s="285"/>
      <c r="AI149" s="285"/>
      <c r="AJ149" s="285"/>
      <c r="AK149" s="285"/>
    </row>
    <row r="150"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B150" s="285"/>
      <c r="AC150" s="285"/>
      <c r="AD150" s="285"/>
      <c r="AE150" s="285"/>
      <c r="AF150" s="285"/>
      <c r="AG150" s="285"/>
      <c r="AH150" s="285"/>
      <c r="AI150" s="285"/>
      <c r="AJ150" s="285"/>
      <c r="AK150" s="285"/>
    </row>
    <row r="151"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B151" s="285"/>
      <c r="AC151" s="285"/>
      <c r="AD151" s="285"/>
      <c r="AE151" s="285"/>
      <c r="AF151" s="285"/>
      <c r="AG151" s="285"/>
      <c r="AH151" s="285"/>
      <c r="AI151" s="285"/>
      <c r="AJ151" s="285"/>
      <c r="AK151" s="285"/>
    </row>
    <row r="152"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B152" s="285"/>
      <c r="AC152" s="285"/>
      <c r="AD152" s="285"/>
      <c r="AE152" s="285"/>
      <c r="AF152" s="285"/>
      <c r="AG152" s="285"/>
      <c r="AH152" s="285"/>
      <c r="AI152" s="285"/>
      <c r="AJ152" s="285"/>
      <c r="AK152" s="285"/>
    </row>
    <row r="153"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B153" s="285"/>
      <c r="AC153" s="285"/>
      <c r="AD153" s="285"/>
      <c r="AE153" s="285"/>
      <c r="AF153" s="285"/>
      <c r="AG153" s="285"/>
      <c r="AH153" s="285"/>
      <c r="AI153" s="285"/>
      <c r="AJ153" s="285"/>
      <c r="AK153" s="285"/>
    </row>
    <row r="154"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B154" s="285"/>
      <c r="AC154" s="285"/>
      <c r="AD154" s="285"/>
      <c r="AE154" s="285"/>
      <c r="AF154" s="285"/>
      <c r="AG154" s="285"/>
      <c r="AH154" s="285"/>
      <c r="AI154" s="285"/>
      <c r="AJ154" s="285"/>
      <c r="AK154" s="285"/>
    </row>
    <row r="155"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B155" s="285"/>
      <c r="AC155" s="285"/>
      <c r="AD155" s="285"/>
      <c r="AE155" s="285"/>
      <c r="AF155" s="285"/>
      <c r="AG155" s="285"/>
      <c r="AH155" s="285"/>
      <c r="AI155" s="285"/>
      <c r="AJ155" s="285"/>
      <c r="AK155" s="285"/>
    </row>
    <row r="156"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  <c r="AB156" s="285"/>
      <c r="AC156" s="285"/>
      <c r="AD156" s="285"/>
      <c r="AE156" s="285"/>
      <c r="AF156" s="285"/>
      <c r="AG156" s="285"/>
      <c r="AH156" s="285"/>
      <c r="AI156" s="285"/>
      <c r="AJ156" s="285"/>
      <c r="AK156" s="285"/>
    </row>
    <row r="157"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B157" s="285"/>
      <c r="AC157" s="285"/>
      <c r="AD157" s="285"/>
      <c r="AE157" s="285"/>
      <c r="AF157" s="285"/>
      <c r="AG157" s="285"/>
      <c r="AH157" s="285"/>
      <c r="AI157" s="285"/>
      <c r="AJ157" s="285"/>
      <c r="AK157" s="285"/>
    </row>
    <row r="158"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B158" s="285"/>
      <c r="AC158" s="285"/>
      <c r="AD158" s="285"/>
      <c r="AE158" s="285"/>
      <c r="AF158" s="285"/>
      <c r="AG158" s="285"/>
      <c r="AH158" s="285"/>
      <c r="AI158" s="285"/>
      <c r="AJ158" s="285"/>
      <c r="AK158" s="285"/>
    </row>
    <row r="159"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B159" s="285"/>
      <c r="AC159" s="285"/>
      <c r="AD159" s="285"/>
      <c r="AE159" s="285"/>
      <c r="AF159" s="285"/>
      <c r="AG159" s="285"/>
      <c r="AH159" s="285"/>
      <c r="AI159" s="285"/>
      <c r="AJ159" s="285"/>
      <c r="AK159" s="285"/>
    </row>
    <row r="160"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B160" s="285"/>
      <c r="AC160" s="285"/>
      <c r="AD160" s="285"/>
      <c r="AE160" s="285"/>
      <c r="AF160" s="285"/>
      <c r="AG160" s="285"/>
      <c r="AH160" s="285"/>
      <c r="AI160" s="285"/>
      <c r="AJ160" s="285"/>
      <c r="AK160" s="285"/>
    </row>
    <row r="161"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B161" s="285"/>
      <c r="AC161" s="285"/>
      <c r="AD161" s="285"/>
      <c r="AE161" s="285"/>
      <c r="AF161" s="285"/>
      <c r="AG161" s="285"/>
      <c r="AH161" s="285"/>
      <c r="AI161" s="285"/>
      <c r="AJ161" s="285"/>
      <c r="AK161" s="285"/>
    </row>
    <row r="162"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  <c r="AB162" s="285"/>
      <c r="AC162" s="285"/>
      <c r="AD162" s="285"/>
      <c r="AE162" s="285"/>
      <c r="AF162" s="285"/>
      <c r="AG162" s="285"/>
      <c r="AH162" s="285"/>
      <c r="AI162" s="285"/>
      <c r="AJ162" s="285"/>
      <c r="AK162" s="285"/>
    </row>
    <row r="163"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B163" s="285"/>
      <c r="AC163" s="285"/>
      <c r="AD163" s="285"/>
      <c r="AE163" s="285"/>
      <c r="AF163" s="285"/>
      <c r="AG163" s="285"/>
      <c r="AH163" s="285"/>
      <c r="AI163" s="285"/>
      <c r="AJ163" s="285"/>
      <c r="AK163" s="285"/>
    </row>
    <row r="164"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B164" s="285"/>
      <c r="AC164" s="285"/>
      <c r="AD164" s="285"/>
      <c r="AE164" s="285"/>
      <c r="AF164" s="285"/>
      <c r="AG164" s="285"/>
      <c r="AH164" s="285"/>
      <c r="AI164" s="285"/>
      <c r="AJ164" s="285"/>
      <c r="AK164" s="285"/>
    </row>
    <row r="165"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B165" s="285"/>
      <c r="AC165" s="285"/>
      <c r="AD165" s="285"/>
      <c r="AE165" s="285"/>
      <c r="AF165" s="285"/>
      <c r="AG165" s="285"/>
      <c r="AH165" s="285"/>
      <c r="AI165" s="285"/>
      <c r="AJ165" s="285"/>
      <c r="AK165" s="285"/>
    </row>
    <row r="166"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B166" s="285"/>
      <c r="AC166" s="285"/>
      <c r="AD166" s="285"/>
      <c r="AE166" s="285"/>
      <c r="AF166" s="285"/>
      <c r="AG166" s="285"/>
      <c r="AH166" s="285"/>
      <c r="AI166" s="285"/>
      <c r="AJ166" s="285"/>
      <c r="AK166" s="285"/>
    </row>
    <row r="167"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B167" s="285"/>
      <c r="AC167" s="285"/>
      <c r="AD167" s="285"/>
      <c r="AE167" s="285"/>
      <c r="AF167" s="285"/>
      <c r="AG167" s="285"/>
      <c r="AH167" s="285"/>
      <c r="AI167" s="285"/>
      <c r="AJ167" s="285"/>
      <c r="AK167" s="285"/>
    </row>
    <row r="168"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B168" s="285"/>
      <c r="AC168" s="285"/>
      <c r="AD168" s="285"/>
      <c r="AE168" s="285"/>
      <c r="AF168" s="285"/>
      <c r="AG168" s="285"/>
      <c r="AH168" s="285"/>
      <c r="AI168" s="285"/>
      <c r="AJ168" s="285"/>
      <c r="AK168" s="285"/>
    </row>
    <row r="169"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B169" s="285"/>
      <c r="AC169" s="285"/>
      <c r="AD169" s="285"/>
      <c r="AE169" s="285"/>
      <c r="AF169" s="285"/>
      <c r="AG169" s="285"/>
      <c r="AH169" s="285"/>
      <c r="AI169" s="285"/>
      <c r="AJ169" s="285"/>
      <c r="AK169" s="285"/>
    </row>
    <row r="170"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B170" s="285"/>
      <c r="AC170" s="285"/>
      <c r="AD170" s="285"/>
      <c r="AE170" s="285"/>
      <c r="AF170" s="285"/>
      <c r="AG170" s="285"/>
      <c r="AH170" s="285"/>
      <c r="AI170" s="285"/>
      <c r="AJ170" s="285"/>
      <c r="AK170" s="285"/>
    </row>
    <row r="171"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B171" s="285"/>
      <c r="AC171" s="285"/>
      <c r="AD171" s="285"/>
      <c r="AE171" s="285"/>
      <c r="AF171" s="285"/>
      <c r="AG171" s="285"/>
      <c r="AH171" s="285"/>
      <c r="AI171" s="285"/>
      <c r="AJ171" s="285"/>
      <c r="AK171" s="285"/>
    </row>
    <row r="172"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B172" s="285"/>
      <c r="AC172" s="285"/>
      <c r="AD172" s="285"/>
      <c r="AE172" s="285"/>
      <c r="AF172" s="285"/>
      <c r="AG172" s="285"/>
      <c r="AH172" s="285"/>
      <c r="AI172" s="285"/>
      <c r="AJ172" s="285"/>
      <c r="AK172" s="285"/>
    </row>
    <row r="173"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B173" s="285"/>
      <c r="AC173" s="285"/>
      <c r="AD173" s="285"/>
      <c r="AE173" s="285"/>
      <c r="AF173" s="285"/>
      <c r="AG173" s="285"/>
      <c r="AH173" s="285"/>
      <c r="AI173" s="285"/>
      <c r="AJ173" s="285"/>
      <c r="AK173" s="285"/>
    </row>
    <row r="174"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B174" s="285"/>
      <c r="AC174" s="285"/>
      <c r="AD174" s="285"/>
      <c r="AE174" s="285"/>
      <c r="AF174" s="285"/>
      <c r="AG174" s="285"/>
      <c r="AH174" s="285"/>
      <c r="AI174" s="285"/>
      <c r="AJ174" s="285"/>
      <c r="AK174" s="285"/>
    </row>
    <row r="175"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  <c r="AB175" s="285"/>
      <c r="AC175" s="285"/>
      <c r="AD175" s="285"/>
      <c r="AE175" s="285"/>
      <c r="AF175" s="285"/>
      <c r="AG175" s="285"/>
      <c r="AH175" s="285"/>
      <c r="AI175" s="285"/>
      <c r="AJ175" s="285"/>
      <c r="AK175" s="285"/>
    </row>
    <row r="176"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B176" s="285"/>
      <c r="AC176" s="285"/>
      <c r="AD176" s="285"/>
      <c r="AE176" s="285"/>
      <c r="AF176" s="285"/>
      <c r="AG176" s="285"/>
      <c r="AH176" s="285"/>
      <c r="AI176" s="285"/>
      <c r="AJ176" s="285"/>
      <c r="AK176" s="285"/>
    </row>
    <row r="177"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B177" s="285"/>
      <c r="AC177" s="285"/>
      <c r="AD177" s="285"/>
      <c r="AE177" s="285"/>
      <c r="AF177" s="285"/>
      <c r="AG177" s="285"/>
      <c r="AH177" s="285"/>
      <c r="AI177" s="285"/>
      <c r="AJ177" s="285"/>
      <c r="AK177" s="285"/>
    </row>
    <row r="178"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B178" s="285"/>
      <c r="AC178" s="285"/>
      <c r="AD178" s="285"/>
      <c r="AE178" s="285"/>
      <c r="AF178" s="285"/>
      <c r="AG178" s="285"/>
      <c r="AH178" s="285"/>
      <c r="AI178" s="285"/>
      <c r="AJ178" s="285"/>
      <c r="AK178" s="285"/>
    </row>
    <row r="179"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B179" s="285"/>
      <c r="AC179" s="285"/>
      <c r="AD179" s="285"/>
      <c r="AE179" s="285"/>
      <c r="AF179" s="285"/>
      <c r="AG179" s="285"/>
      <c r="AH179" s="285"/>
      <c r="AI179" s="285"/>
      <c r="AJ179" s="285"/>
      <c r="AK179" s="285"/>
    </row>
    <row r="180"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B180" s="285"/>
      <c r="AC180" s="285"/>
      <c r="AD180" s="285"/>
      <c r="AE180" s="285"/>
      <c r="AF180" s="285"/>
      <c r="AG180" s="285"/>
      <c r="AH180" s="285"/>
      <c r="AI180" s="285"/>
      <c r="AJ180" s="285"/>
      <c r="AK180" s="285"/>
    </row>
    <row r="181"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B181" s="285"/>
      <c r="AC181" s="285"/>
      <c r="AD181" s="285"/>
      <c r="AE181" s="285"/>
      <c r="AF181" s="285"/>
      <c r="AG181" s="285"/>
      <c r="AH181" s="285"/>
      <c r="AI181" s="285"/>
      <c r="AJ181" s="285"/>
      <c r="AK181" s="285"/>
    </row>
    <row r="182"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B182" s="285"/>
      <c r="AC182" s="285"/>
      <c r="AD182" s="285"/>
      <c r="AE182" s="285"/>
      <c r="AF182" s="285"/>
      <c r="AG182" s="285"/>
      <c r="AH182" s="285"/>
      <c r="AI182" s="285"/>
      <c r="AJ182" s="285"/>
      <c r="AK182" s="285"/>
    </row>
    <row r="183"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B183" s="285"/>
      <c r="AC183" s="285"/>
      <c r="AD183" s="285"/>
      <c r="AE183" s="285"/>
      <c r="AF183" s="285"/>
      <c r="AG183" s="285"/>
      <c r="AH183" s="285"/>
      <c r="AI183" s="285"/>
      <c r="AJ183" s="285"/>
      <c r="AK183" s="285"/>
    </row>
    <row r="184"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B184" s="285"/>
      <c r="AC184" s="285"/>
      <c r="AD184" s="285"/>
      <c r="AE184" s="285"/>
      <c r="AF184" s="285"/>
      <c r="AG184" s="285"/>
      <c r="AH184" s="285"/>
      <c r="AI184" s="285"/>
      <c r="AJ184" s="285"/>
      <c r="AK184" s="285"/>
    </row>
    <row r="185"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B185" s="285"/>
      <c r="AC185" s="285"/>
      <c r="AD185" s="285"/>
      <c r="AE185" s="285"/>
      <c r="AF185" s="285"/>
      <c r="AG185" s="285"/>
      <c r="AH185" s="285"/>
      <c r="AI185" s="285"/>
      <c r="AJ185" s="285"/>
      <c r="AK185" s="285"/>
    </row>
    <row r="186"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B186" s="285"/>
      <c r="AC186" s="285"/>
      <c r="AD186" s="285"/>
      <c r="AE186" s="285"/>
      <c r="AF186" s="285"/>
      <c r="AG186" s="285"/>
      <c r="AH186" s="285"/>
      <c r="AI186" s="285"/>
      <c r="AJ186" s="285"/>
      <c r="AK186" s="285"/>
    </row>
    <row r="187"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B187" s="285"/>
      <c r="AC187" s="285"/>
      <c r="AD187" s="285"/>
      <c r="AE187" s="285"/>
      <c r="AF187" s="285"/>
      <c r="AG187" s="285"/>
      <c r="AH187" s="285"/>
      <c r="AI187" s="285"/>
      <c r="AJ187" s="285"/>
      <c r="AK187" s="285"/>
    </row>
    <row r="188"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  <c r="AB188" s="285"/>
      <c r="AC188" s="285"/>
      <c r="AD188" s="285"/>
      <c r="AE188" s="285"/>
      <c r="AF188" s="285"/>
      <c r="AG188" s="285"/>
      <c r="AH188" s="285"/>
      <c r="AI188" s="285"/>
      <c r="AJ188" s="285"/>
      <c r="AK188" s="285"/>
    </row>
    <row r="189"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B189" s="285"/>
      <c r="AC189" s="285"/>
      <c r="AD189" s="285"/>
      <c r="AE189" s="285"/>
      <c r="AF189" s="285"/>
      <c r="AG189" s="285"/>
      <c r="AH189" s="285"/>
      <c r="AI189" s="285"/>
      <c r="AJ189" s="285"/>
      <c r="AK189" s="285"/>
    </row>
    <row r="190"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B190" s="285"/>
      <c r="AC190" s="285"/>
      <c r="AD190" s="285"/>
      <c r="AE190" s="285"/>
      <c r="AF190" s="285"/>
      <c r="AG190" s="285"/>
      <c r="AH190" s="285"/>
      <c r="AI190" s="285"/>
      <c r="AJ190" s="285"/>
      <c r="AK190" s="285"/>
    </row>
    <row r="191"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B191" s="285"/>
      <c r="AC191" s="285"/>
      <c r="AD191" s="285"/>
      <c r="AE191" s="285"/>
      <c r="AF191" s="285"/>
      <c r="AG191" s="285"/>
      <c r="AH191" s="285"/>
      <c r="AI191" s="285"/>
      <c r="AJ191" s="285"/>
      <c r="AK191" s="285"/>
    </row>
    <row r="192"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B192" s="285"/>
      <c r="AC192" s="285"/>
      <c r="AD192" s="285"/>
      <c r="AE192" s="285"/>
      <c r="AF192" s="285"/>
      <c r="AG192" s="285"/>
      <c r="AH192" s="285"/>
      <c r="AI192" s="285"/>
      <c r="AJ192" s="285"/>
      <c r="AK192" s="285"/>
    </row>
    <row r="193"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  <c r="AB193" s="285"/>
      <c r="AC193" s="285"/>
      <c r="AD193" s="285"/>
      <c r="AE193" s="285"/>
      <c r="AF193" s="285"/>
      <c r="AG193" s="285"/>
      <c r="AH193" s="285"/>
      <c r="AI193" s="285"/>
      <c r="AJ193" s="285"/>
      <c r="AK193" s="285"/>
    </row>
    <row r="194"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B194" s="285"/>
      <c r="AC194" s="285"/>
      <c r="AD194" s="285"/>
      <c r="AE194" s="285"/>
      <c r="AF194" s="285"/>
      <c r="AG194" s="285"/>
      <c r="AH194" s="285"/>
      <c r="AI194" s="285"/>
      <c r="AJ194" s="285"/>
      <c r="AK194" s="285"/>
    </row>
    <row r="195"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B195" s="285"/>
      <c r="AC195" s="285"/>
      <c r="AD195" s="285"/>
      <c r="AE195" s="285"/>
      <c r="AF195" s="285"/>
      <c r="AG195" s="285"/>
      <c r="AH195" s="285"/>
      <c r="AI195" s="285"/>
      <c r="AJ195" s="285"/>
      <c r="AK195" s="285"/>
    </row>
    <row r="196"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  <c r="AB196" s="285"/>
      <c r="AC196" s="285"/>
      <c r="AD196" s="285"/>
      <c r="AE196" s="285"/>
      <c r="AF196" s="285"/>
      <c r="AG196" s="285"/>
      <c r="AH196" s="285"/>
      <c r="AI196" s="285"/>
      <c r="AJ196" s="285"/>
      <c r="AK196" s="285"/>
    </row>
    <row r="197"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B197" s="285"/>
      <c r="AC197" s="285"/>
      <c r="AD197" s="285"/>
      <c r="AE197" s="285"/>
      <c r="AF197" s="285"/>
      <c r="AG197" s="285"/>
      <c r="AH197" s="285"/>
      <c r="AI197" s="285"/>
      <c r="AJ197" s="285"/>
      <c r="AK197" s="285"/>
    </row>
    <row r="198"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B198" s="285"/>
      <c r="AC198" s="285"/>
      <c r="AD198" s="285"/>
      <c r="AE198" s="285"/>
      <c r="AF198" s="285"/>
      <c r="AG198" s="285"/>
      <c r="AH198" s="285"/>
      <c r="AI198" s="285"/>
      <c r="AJ198" s="285"/>
      <c r="AK198" s="285"/>
    </row>
    <row r="199"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B199" s="285"/>
      <c r="AC199" s="285"/>
      <c r="AD199" s="285"/>
      <c r="AE199" s="285"/>
      <c r="AF199" s="285"/>
      <c r="AG199" s="285"/>
      <c r="AH199" s="285"/>
      <c r="AI199" s="285"/>
      <c r="AJ199" s="285"/>
      <c r="AK199" s="285"/>
    </row>
    <row r="200"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B200" s="285"/>
      <c r="AC200" s="285"/>
      <c r="AD200" s="285"/>
      <c r="AE200" s="285"/>
      <c r="AF200" s="285"/>
      <c r="AG200" s="285"/>
      <c r="AH200" s="285"/>
      <c r="AI200" s="285"/>
      <c r="AJ200" s="285"/>
      <c r="AK200" s="285"/>
    </row>
    <row r="201"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B201" s="285"/>
      <c r="AC201" s="285"/>
      <c r="AD201" s="285"/>
      <c r="AE201" s="285"/>
      <c r="AF201" s="285"/>
      <c r="AG201" s="285"/>
      <c r="AH201" s="285"/>
      <c r="AI201" s="285"/>
      <c r="AJ201" s="285"/>
      <c r="AK201" s="285"/>
    </row>
    <row r="202"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B202" s="285"/>
      <c r="AC202" s="285"/>
      <c r="AD202" s="285"/>
      <c r="AE202" s="285"/>
      <c r="AF202" s="285"/>
      <c r="AG202" s="285"/>
      <c r="AH202" s="285"/>
      <c r="AI202" s="285"/>
      <c r="AJ202" s="285"/>
      <c r="AK202" s="285"/>
    </row>
    <row r="203"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B203" s="285"/>
      <c r="AC203" s="285"/>
      <c r="AD203" s="285"/>
      <c r="AE203" s="285"/>
      <c r="AF203" s="285"/>
      <c r="AG203" s="285"/>
      <c r="AH203" s="285"/>
      <c r="AI203" s="285"/>
      <c r="AJ203" s="285"/>
      <c r="AK203" s="285"/>
    </row>
    <row r="204"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B204" s="285"/>
      <c r="AC204" s="285"/>
      <c r="AD204" s="285"/>
      <c r="AE204" s="285"/>
      <c r="AF204" s="285"/>
      <c r="AG204" s="285"/>
      <c r="AH204" s="285"/>
      <c r="AI204" s="285"/>
      <c r="AJ204" s="285"/>
      <c r="AK204" s="285"/>
    </row>
    <row r="205"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B205" s="285"/>
      <c r="AC205" s="285"/>
      <c r="AD205" s="285"/>
      <c r="AE205" s="285"/>
      <c r="AF205" s="285"/>
      <c r="AG205" s="285"/>
      <c r="AH205" s="285"/>
      <c r="AI205" s="285"/>
      <c r="AJ205" s="285"/>
      <c r="AK205" s="285"/>
    </row>
    <row r="206"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B206" s="285"/>
      <c r="AC206" s="285"/>
      <c r="AD206" s="285"/>
      <c r="AE206" s="285"/>
      <c r="AF206" s="285"/>
      <c r="AG206" s="285"/>
      <c r="AH206" s="285"/>
      <c r="AI206" s="285"/>
      <c r="AJ206" s="285"/>
      <c r="AK206" s="285"/>
    </row>
    <row r="207"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B207" s="285"/>
      <c r="AC207" s="285"/>
      <c r="AD207" s="285"/>
      <c r="AE207" s="285"/>
      <c r="AF207" s="285"/>
      <c r="AG207" s="285"/>
      <c r="AH207" s="285"/>
      <c r="AI207" s="285"/>
      <c r="AJ207" s="285"/>
      <c r="AK207" s="285"/>
    </row>
    <row r="208"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B208" s="285"/>
      <c r="AC208" s="285"/>
      <c r="AD208" s="285"/>
      <c r="AE208" s="285"/>
      <c r="AF208" s="285"/>
      <c r="AG208" s="285"/>
      <c r="AH208" s="285"/>
      <c r="AI208" s="285"/>
      <c r="AJ208" s="285"/>
      <c r="AK208" s="285"/>
    </row>
    <row r="209"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B209" s="285"/>
      <c r="AC209" s="285"/>
      <c r="AD209" s="285"/>
      <c r="AE209" s="285"/>
      <c r="AF209" s="285"/>
      <c r="AG209" s="285"/>
      <c r="AH209" s="285"/>
      <c r="AI209" s="285"/>
      <c r="AJ209" s="285"/>
      <c r="AK209" s="285"/>
    </row>
    <row r="210"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  <c r="AB210" s="285"/>
      <c r="AC210" s="285"/>
      <c r="AD210" s="285"/>
      <c r="AE210" s="285"/>
      <c r="AF210" s="285"/>
      <c r="AG210" s="285"/>
      <c r="AH210" s="285"/>
      <c r="AI210" s="285"/>
      <c r="AJ210" s="285"/>
      <c r="AK210" s="285"/>
    </row>
    <row r="211"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B211" s="285"/>
      <c r="AC211" s="285"/>
      <c r="AD211" s="285"/>
      <c r="AE211" s="285"/>
      <c r="AF211" s="285"/>
      <c r="AG211" s="285"/>
      <c r="AH211" s="285"/>
      <c r="AI211" s="285"/>
      <c r="AJ211" s="285"/>
      <c r="AK211" s="285"/>
    </row>
    <row r="212"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B212" s="285"/>
      <c r="AC212" s="285"/>
      <c r="AD212" s="285"/>
      <c r="AE212" s="285"/>
      <c r="AF212" s="285"/>
      <c r="AG212" s="285"/>
      <c r="AH212" s="285"/>
      <c r="AI212" s="285"/>
      <c r="AJ212" s="285"/>
      <c r="AK212" s="285"/>
    </row>
    <row r="213"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B213" s="285"/>
      <c r="AC213" s="285"/>
      <c r="AD213" s="285"/>
      <c r="AE213" s="285"/>
      <c r="AF213" s="285"/>
      <c r="AG213" s="285"/>
      <c r="AH213" s="285"/>
      <c r="AI213" s="285"/>
      <c r="AJ213" s="285"/>
      <c r="AK213" s="285"/>
    </row>
    <row r="214"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B214" s="285"/>
      <c r="AC214" s="285"/>
      <c r="AD214" s="285"/>
      <c r="AE214" s="285"/>
      <c r="AF214" s="285"/>
      <c r="AG214" s="285"/>
      <c r="AH214" s="285"/>
      <c r="AI214" s="285"/>
      <c r="AJ214" s="285"/>
      <c r="AK214" s="285"/>
    </row>
    <row r="215"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B215" s="285"/>
      <c r="AC215" s="285"/>
      <c r="AD215" s="285"/>
      <c r="AE215" s="285"/>
      <c r="AF215" s="285"/>
      <c r="AG215" s="285"/>
      <c r="AH215" s="285"/>
      <c r="AI215" s="285"/>
      <c r="AJ215" s="285"/>
      <c r="AK215" s="285"/>
    </row>
    <row r="216"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B216" s="285"/>
      <c r="AC216" s="285"/>
      <c r="AD216" s="285"/>
      <c r="AE216" s="285"/>
      <c r="AF216" s="285"/>
      <c r="AG216" s="285"/>
      <c r="AH216" s="285"/>
      <c r="AI216" s="285"/>
      <c r="AJ216" s="285"/>
      <c r="AK216" s="285"/>
    </row>
    <row r="217"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B217" s="285"/>
      <c r="AC217" s="285"/>
      <c r="AD217" s="285"/>
      <c r="AE217" s="285"/>
      <c r="AF217" s="285"/>
      <c r="AG217" s="285"/>
      <c r="AH217" s="285"/>
      <c r="AI217" s="285"/>
      <c r="AJ217" s="285"/>
      <c r="AK217" s="285"/>
    </row>
    <row r="218"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B218" s="285"/>
      <c r="AC218" s="285"/>
      <c r="AD218" s="285"/>
      <c r="AE218" s="285"/>
      <c r="AF218" s="285"/>
      <c r="AG218" s="285"/>
      <c r="AH218" s="285"/>
      <c r="AI218" s="285"/>
      <c r="AJ218" s="285"/>
      <c r="AK218" s="285"/>
    </row>
    <row r="219"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B219" s="285"/>
      <c r="AC219" s="285"/>
      <c r="AD219" s="285"/>
      <c r="AE219" s="285"/>
      <c r="AF219" s="285"/>
      <c r="AG219" s="285"/>
      <c r="AH219" s="285"/>
      <c r="AI219" s="285"/>
      <c r="AJ219" s="285"/>
      <c r="AK219" s="285"/>
    </row>
    <row r="220"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B220" s="285"/>
      <c r="AC220" s="285"/>
      <c r="AD220" s="285"/>
      <c r="AE220" s="285"/>
      <c r="AF220" s="285"/>
      <c r="AG220" s="285"/>
      <c r="AH220" s="285"/>
      <c r="AI220" s="285"/>
      <c r="AJ220" s="285"/>
      <c r="AK220" s="285"/>
    </row>
    <row r="221"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B221" s="285"/>
      <c r="AC221" s="285"/>
      <c r="AD221" s="285"/>
      <c r="AE221" s="285"/>
      <c r="AF221" s="285"/>
      <c r="AG221" s="285"/>
      <c r="AH221" s="285"/>
      <c r="AI221" s="285"/>
      <c r="AJ221" s="285"/>
      <c r="AK221" s="285"/>
    </row>
    <row r="222"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B222" s="285"/>
      <c r="AC222" s="285"/>
      <c r="AD222" s="285"/>
      <c r="AE222" s="285"/>
      <c r="AF222" s="285"/>
      <c r="AG222" s="285"/>
      <c r="AH222" s="285"/>
      <c r="AI222" s="285"/>
      <c r="AJ222" s="285"/>
      <c r="AK222" s="285"/>
    </row>
    <row r="223"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B223" s="285"/>
      <c r="AC223" s="285"/>
      <c r="AD223" s="285"/>
      <c r="AE223" s="285"/>
      <c r="AF223" s="285"/>
      <c r="AG223" s="285"/>
      <c r="AH223" s="285"/>
      <c r="AI223" s="285"/>
      <c r="AJ223" s="285"/>
      <c r="AK223" s="285"/>
    </row>
    <row r="224"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B224" s="285"/>
      <c r="AC224" s="285"/>
      <c r="AD224" s="285"/>
      <c r="AE224" s="285"/>
      <c r="AF224" s="285"/>
      <c r="AG224" s="285"/>
      <c r="AH224" s="285"/>
      <c r="AI224" s="285"/>
      <c r="AJ224" s="285"/>
      <c r="AK224" s="285"/>
    </row>
    <row r="225"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B225" s="285"/>
      <c r="AC225" s="285"/>
      <c r="AD225" s="285"/>
      <c r="AE225" s="285"/>
      <c r="AF225" s="285"/>
      <c r="AG225" s="285"/>
      <c r="AH225" s="285"/>
      <c r="AI225" s="285"/>
      <c r="AJ225" s="285"/>
      <c r="AK225" s="285"/>
    </row>
    <row r="226"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  <c r="AB226" s="285"/>
      <c r="AC226" s="285"/>
      <c r="AD226" s="285"/>
      <c r="AE226" s="285"/>
      <c r="AF226" s="285"/>
      <c r="AG226" s="285"/>
      <c r="AH226" s="285"/>
      <c r="AI226" s="285"/>
      <c r="AJ226" s="285"/>
      <c r="AK226" s="285"/>
    </row>
    <row r="227"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B227" s="285"/>
      <c r="AC227" s="285"/>
      <c r="AD227" s="285"/>
      <c r="AE227" s="285"/>
      <c r="AF227" s="285"/>
      <c r="AG227" s="285"/>
      <c r="AH227" s="285"/>
      <c r="AI227" s="285"/>
      <c r="AJ227" s="285"/>
      <c r="AK227" s="285"/>
    </row>
    <row r="228"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B228" s="285"/>
      <c r="AC228" s="285"/>
      <c r="AD228" s="285"/>
      <c r="AE228" s="285"/>
      <c r="AF228" s="285"/>
      <c r="AG228" s="285"/>
      <c r="AH228" s="285"/>
      <c r="AI228" s="285"/>
      <c r="AJ228" s="285"/>
      <c r="AK228" s="285"/>
    </row>
    <row r="229"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B229" s="285"/>
      <c r="AC229" s="285"/>
      <c r="AD229" s="285"/>
      <c r="AE229" s="285"/>
      <c r="AF229" s="285"/>
      <c r="AG229" s="285"/>
      <c r="AH229" s="285"/>
      <c r="AI229" s="285"/>
      <c r="AJ229" s="285"/>
      <c r="AK229" s="285"/>
    </row>
    <row r="230"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B230" s="285"/>
      <c r="AC230" s="285"/>
      <c r="AD230" s="285"/>
      <c r="AE230" s="285"/>
      <c r="AF230" s="285"/>
      <c r="AG230" s="285"/>
      <c r="AH230" s="285"/>
      <c r="AI230" s="285"/>
      <c r="AJ230" s="285"/>
      <c r="AK230" s="285"/>
    </row>
    <row r="231"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B231" s="285"/>
      <c r="AC231" s="285"/>
      <c r="AD231" s="285"/>
      <c r="AE231" s="285"/>
      <c r="AF231" s="285"/>
      <c r="AG231" s="285"/>
      <c r="AH231" s="285"/>
      <c r="AI231" s="285"/>
      <c r="AJ231" s="285"/>
      <c r="AK231" s="285"/>
    </row>
    <row r="232"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B232" s="285"/>
      <c r="AC232" s="285"/>
      <c r="AD232" s="285"/>
      <c r="AE232" s="285"/>
      <c r="AF232" s="285"/>
      <c r="AG232" s="285"/>
      <c r="AH232" s="285"/>
      <c r="AI232" s="285"/>
      <c r="AJ232" s="285"/>
      <c r="AK232" s="285"/>
    </row>
    <row r="233"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B233" s="285"/>
      <c r="AC233" s="285"/>
      <c r="AD233" s="285"/>
      <c r="AE233" s="285"/>
      <c r="AF233" s="285"/>
      <c r="AG233" s="285"/>
      <c r="AH233" s="285"/>
      <c r="AI233" s="285"/>
      <c r="AJ233" s="285"/>
      <c r="AK233" s="285"/>
    </row>
    <row r="234"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B234" s="285"/>
      <c r="AC234" s="285"/>
      <c r="AD234" s="285"/>
      <c r="AE234" s="285"/>
      <c r="AF234" s="285"/>
      <c r="AG234" s="285"/>
      <c r="AH234" s="285"/>
      <c r="AI234" s="285"/>
      <c r="AJ234" s="285"/>
      <c r="AK234" s="285"/>
    </row>
    <row r="235"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B235" s="285"/>
      <c r="AC235" s="285"/>
      <c r="AD235" s="285"/>
      <c r="AE235" s="285"/>
      <c r="AF235" s="285"/>
      <c r="AG235" s="285"/>
      <c r="AH235" s="285"/>
      <c r="AI235" s="285"/>
      <c r="AJ235" s="285"/>
      <c r="AK235" s="285"/>
    </row>
    <row r="236"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  <c r="AB236" s="285"/>
      <c r="AC236" s="285"/>
      <c r="AD236" s="285"/>
      <c r="AE236" s="285"/>
      <c r="AF236" s="285"/>
      <c r="AG236" s="285"/>
      <c r="AH236" s="285"/>
      <c r="AI236" s="285"/>
      <c r="AJ236" s="285"/>
      <c r="AK236" s="285"/>
    </row>
    <row r="237"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B237" s="285"/>
      <c r="AC237" s="285"/>
      <c r="AD237" s="285"/>
      <c r="AE237" s="285"/>
      <c r="AF237" s="285"/>
      <c r="AG237" s="285"/>
      <c r="AH237" s="285"/>
      <c r="AI237" s="285"/>
      <c r="AJ237" s="285"/>
      <c r="AK237" s="285"/>
    </row>
    <row r="238"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B238" s="285"/>
      <c r="AC238" s="285"/>
      <c r="AD238" s="285"/>
      <c r="AE238" s="285"/>
      <c r="AF238" s="285"/>
      <c r="AG238" s="285"/>
      <c r="AH238" s="285"/>
      <c r="AI238" s="285"/>
      <c r="AJ238" s="285"/>
      <c r="AK238" s="285"/>
    </row>
    <row r="239"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B239" s="285"/>
      <c r="AC239" s="285"/>
      <c r="AD239" s="285"/>
      <c r="AE239" s="285"/>
      <c r="AF239" s="285"/>
      <c r="AG239" s="285"/>
      <c r="AH239" s="285"/>
      <c r="AI239" s="285"/>
      <c r="AJ239" s="285"/>
      <c r="AK239" s="285"/>
    </row>
    <row r="240"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B240" s="285"/>
      <c r="AC240" s="285"/>
      <c r="AD240" s="285"/>
      <c r="AE240" s="285"/>
      <c r="AF240" s="285"/>
      <c r="AG240" s="285"/>
      <c r="AH240" s="285"/>
      <c r="AI240" s="285"/>
      <c r="AJ240" s="285"/>
      <c r="AK240" s="285"/>
    </row>
    <row r="241"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B241" s="285"/>
      <c r="AC241" s="285"/>
      <c r="AD241" s="285"/>
      <c r="AE241" s="285"/>
      <c r="AF241" s="285"/>
      <c r="AG241" s="285"/>
      <c r="AH241" s="285"/>
      <c r="AI241" s="285"/>
      <c r="AJ241" s="285"/>
      <c r="AK241" s="285"/>
    </row>
    <row r="242"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B242" s="285"/>
      <c r="AC242" s="285"/>
      <c r="AD242" s="285"/>
      <c r="AE242" s="285"/>
      <c r="AF242" s="285"/>
      <c r="AG242" s="285"/>
      <c r="AH242" s="285"/>
      <c r="AI242" s="285"/>
      <c r="AJ242" s="285"/>
      <c r="AK242" s="285"/>
    </row>
    <row r="243"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B243" s="285"/>
      <c r="AC243" s="285"/>
      <c r="AD243" s="285"/>
      <c r="AE243" s="285"/>
      <c r="AF243" s="285"/>
      <c r="AG243" s="285"/>
      <c r="AH243" s="285"/>
      <c r="AI243" s="285"/>
      <c r="AJ243" s="285"/>
      <c r="AK243" s="285"/>
    </row>
    <row r="244"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B244" s="285"/>
      <c r="AC244" s="285"/>
      <c r="AD244" s="285"/>
      <c r="AE244" s="285"/>
      <c r="AF244" s="285"/>
      <c r="AG244" s="285"/>
      <c r="AH244" s="285"/>
      <c r="AI244" s="285"/>
      <c r="AJ244" s="285"/>
      <c r="AK244" s="285"/>
    </row>
    <row r="245"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B245" s="285"/>
      <c r="AC245" s="285"/>
      <c r="AD245" s="285"/>
      <c r="AE245" s="285"/>
      <c r="AF245" s="285"/>
      <c r="AG245" s="285"/>
      <c r="AH245" s="285"/>
      <c r="AI245" s="285"/>
      <c r="AJ245" s="285"/>
      <c r="AK245" s="285"/>
    </row>
    <row r="246"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B246" s="285"/>
      <c r="AC246" s="285"/>
      <c r="AD246" s="285"/>
      <c r="AE246" s="285"/>
      <c r="AF246" s="285"/>
      <c r="AG246" s="285"/>
      <c r="AH246" s="285"/>
      <c r="AI246" s="285"/>
      <c r="AJ246" s="285"/>
      <c r="AK246" s="285"/>
    </row>
    <row r="247"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B247" s="285"/>
      <c r="AC247" s="285"/>
      <c r="AD247" s="285"/>
      <c r="AE247" s="285"/>
      <c r="AF247" s="285"/>
      <c r="AG247" s="285"/>
      <c r="AH247" s="285"/>
      <c r="AI247" s="285"/>
      <c r="AJ247" s="285"/>
      <c r="AK247" s="285"/>
    </row>
    <row r="248"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B248" s="285"/>
      <c r="AC248" s="285"/>
      <c r="AD248" s="285"/>
      <c r="AE248" s="285"/>
      <c r="AF248" s="285"/>
      <c r="AG248" s="285"/>
      <c r="AH248" s="285"/>
      <c r="AI248" s="285"/>
      <c r="AJ248" s="285"/>
      <c r="AK248" s="285"/>
    </row>
    <row r="249"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B249" s="285"/>
      <c r="AC249" s="285"/>
      <c r="AD249" s="285"/>
      <c r="AE249" s="285"/>
      <c r="AF249" s="285"/>
      <c r="AG249" s="285"/>
      <c r="AH249" s="285"/>
      <c r="AI249" s="285"/>
      <c r="AJ249" s="285"/>
      <c r="AK249" s="285"/>
    </row>
    <row r="250"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B250" s="285"/>
      <c r="AC250" s="285"/>
      <c r="AD250" s="285"/>
      <c r="AE250" s="285"/>
      <c r="AF250" s="285"/>
      <c r="AG250" s="285"/>
      <c r="AH250" s="285"/>
      <c r="AI250" s="285"/>
      <c r="AJ250" s="285"/>
      <c r="AK250" s="285"/>
    </row>
    <row r="251"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B251" s="285"/>
      <c r="AC251" s="285"/>
      <c r="AD251" s="285"/>
      <c r="AE251" s="285"/>
      <c r="AF251" s="285"/>
      <c r="AG251" s="285"/>
      <c r="AH251" s="285"/>
      <c r="AI251" s="285"/>
      <c r="AJ251" s="285"/>
      <c r="AK251" s="285"/>
    </row>
    <row r="252"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  <c r="AB252" s="285"/>
      <c r="AC252" s="285"/>
      <c r="AD252" s="285"/>
      <c r="AE252" s="285"/>
      <c r="AF252" s="285"/>
      <c r="AG252" s="285"/>
      <c r="AH252" s="285"/>
      <c r="AI252" s="285"/>
      <c r="AJ252" s="285"/>
      <c r="AK252" s="285"/>
    </row>
    <row r="253"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B253" s="285"/>
      <c r="AC253" s="285"/>
      <c r="AD253" s="285"/>
      <c r="AE253" s="285"/>
      <c r="AF253" s="285"/>
      <c r="AG253" s="285"/>
      <c r="AH253" s="285"/>
      <c r="AI253" s="285"/>
      <c r="AJ253" s="285"/>
      <c r="AK253" s="285"/>
    </row>
    <row r="254"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B254" s="285"/>
      <c r="AC254" s="285"/>
      <c r="AD254" s="285"/>
      <c r="AE254" s="285"/>
      <c r="AF254" s="285"/>
      <c r="AG254" s="285"/>
      <c r="AH254" s="285"/>
      <c r="AI254" s="285"/>
      <c r="AJ254" s="285"/>
      <c r="AK254" s="285"/>
    </row>
    <row r="255"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B255" s="285"/>
      <c r="AC255" s="285"/>
      <c r="AD255" s="285"/>
      <c r="AE255" s="285"/>
      <c r="AF255" s="285"/>
      <c r="AG255" s="285"/>
      <c r="AH255" s="285"/>
      <c r="AI255" s="285"/>
      <c r="AJ255" s="285"/>
      <c r="AK255" s="285"/>
    </row>
    <row r="256"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B256" s="285"/>
      <c r="AC256" s="285"/>
      <c r="AD256" s="285"/>
      <c r="AE256" s="285"/>
      <c r="AF256" s="285"/>
      <c r="AG256" s="285"/>
      <c r="AH256" s="285"/>
      <c r="AI256" s="285"/>
      <c r="AJ256" s="285"/>
      <c r="AK256" s="285"/>
    </row>
    <row r="257"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B257" s="285"/>
      <c r="AC257" s="285"/>
      <c r="AD257" s="285"/>
      <c r="AE257" s="285"/>
      <c r="AF257" s="285"/>
      <c r="AG257" s="285"/>
      <c r="AH257" s="285"/>
      <c r="AI257" s="285"/>
      <c r="AJ257" s="285"/>
      <c r="AK257" s="285"/>
    </row>
    <row r="258"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  <c r="AB258" s="285"/>
      <c r="AC258" s="285"/>
      <c r="AD258" s="285"/>
      <c r="AE258" s="285"/>
      <c r="AF258" s="285"/>
      <c r="AG258" s="285"/>
      <c r="AH258" s="285"/>
      <c r="AI258" s="285"/>
      <c r="AJ258" s="285"/>
      <c r="AK258" s="285"/>
    </row>
    <row r="259"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  <c r="AB259" s="285"/>
      <c r="AC259" s="285"/>
      <c r="AD259" s="285"/>
      <c r="AE259" s="285"/>
      <c r="AF259" s="285"/>
      <c r="AG259" s="285"/>
      <c r="AH259" s="285"/>
      <c r="AI259" s="285"/>
      <c r="AJ259" s="285"/>
      <c r="AK259" s="285"/>
    </row>
    <row r="260"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B260" s="285"/>
      <c r="AC260" s="285"/>
      <c r="AD260" s="285"/>
      <c r="AE260" s="285"/>
      <c r="AF260" s="285"/>
      <c r="AG260" s="285"/>
      <c r="AH260" s="285"/>
      <c r="AI260" s="285"/>
      <c r="AJ260" s="285"/>
      <c r="AK260" s="285"/>
    </row>
    <row r="261"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B261" s="285"/>
      <c r="AC261" s="285"/>
      <c r="AD261" s="285"/>
      <c r="AE261" s="285"/>
      <c r="AF261" s="285"/>
      <c r="AG261" s="285"/>
      <c r="AH261" s="285"/>
      <c r="AI261" s="285"/>
      <c r="AJ261" s="285"/>
      <c r="AK261" s="285"/>
    </row>
    <row r="262"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B262" s="285"/>
      <c r="AC262" s="285"/>
      <c r="AD262" s="285"/>
      <c r="AE262" s="285"/>
      <c r="AF262" s="285"/>
      <c r="AG262" s="285"/>
      <c r="AH262" s="285"/>
      <c r="AI262" s="285"/>
      <c r="AJ262" s="285"/>
      <c r="AK262" s="285"/>
    </row>
    <row r="263"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  <c r="AB263" s="285"/>
      <c r="AC263" s="285"/>
      <c r="AD263" s="285"/>
      <c r="AE263" s="285"/>
      <c r="AF263" s="285"/>
      <c r="AG263" s="285"/>
      <c r="AH263" s="285"/>
      <c r="AI263" s="285"/>
      <c r="AJ263" s="285"/>
      <c r="AK263" s="285"/>
    </row>
    <row r="264"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  <c r="AB264" s="285"/>
      <c r="AC264" s="285"/>
      <c r="AD264" s="285"/>
      <c r="AE264" s="285"/>
      <c r="AF264" s="285"/>
      <c r="AG264" s="285"/>
      <c r="AH264" s="285"/>
      <c r="AI264" s="285"/>
      <c r="AJ264" s="285"/>
      <c r="AK264" s="285"/>
    </row>
    <row r="265"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B265" s="285"/>
      <c r="AC265" s="285"/>
      <c r="AD265" s="285"/>
      <c r="AE265" s="285"/>
      <c r="AF265" s="285"/>
      <c r="AG265" s="285"/>
      <c r="AH265" s="285"/>
      <c r="AI265" s="285"/>
      <c r="AJ265" s="285"/>
      <c r="AK265" s="285"/>
    </row>
    <row r="266"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B266" s="285"/>
      <c r="AC266" s="285"/>
      <c r="AD266" s="285"/>
      <c r="AE266" s="285"/>
      <c r="AF266" s="285"/>
      <c r="AG266" s="285"/>
      <c r="AH266" s="285"/>
      <c r="AI266" s="285"/>
      <c r="AJ266" s="285"/>
      <c r="AK266" s="285"/>
    </row>
    <row r="267"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  <c r="AB267" s="285"/>
      <c r="AC267" s="285"/>
      <c r="AD267" s="285"/>
      <c r="AE267" s="285"/>
      <c r="AF267" s="285"/>
      <c r="AG267" s="285"/>
      <c r="AH267" s="285"/>
      <c r="AI267" s="285"/>
      <c r="AJ267" s="285"/>
      <c r="AK267" s="285"/>
    </row>
    <row r="268"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  <c r="AB268" s="285"/>
      <c r="AC268" s="285"/>
      <c r="AD268" s="285"/>
      <c r="AE268" s="285"/>
      <c r="AF268" s="285"/>
      <c r="AG268" s="285"/>
      <c r="AH268" s="285"/>
      <c r="AI268" s="285"/>
      <c r="AJ268" s="285"/>
      <c r="AK268" s="285"/>
    </row>
    <row r="269"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  <c r="AB269" s="285"/>
      <c r="AC269" s="285"/>
      <c r="AD269" s="285"/>
      <c r="AE269" s="285"/>
      <c r="AF269" s="285"/>
      <c r="AG269" s="285"/>
      <c r="AH269" s="285"/>
      <c r="AI269" s="285"/>
      <c r="AJ269" s="285"/>
      <c r="AK269" s="285"/>
    </row>
    <row r="270"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  <c r="AB270" s="285"/>
      <c r="AC270" s="285"/>
      <c r="AD270" s="285"/>
      <c r="AE270" s="285"/>
      <c r="AF270" s="285"/>
      <c r="AG270" s="285"/>
      <c r="AH270" s="285"/>
      <c r="AI270" s="285"/>
      <c r="AJ270" s="285"/>
      <c r="AK270" s="285"/>
    </row>
    <row r="271"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  <c r="AB271" s="285"/>
      <c r="AC271" s="285"/>
      <c r="AD271" s="285"/>
      <c r="AE271" s="285"/>
      <c r="AF271" s="285"/>
      <c r="AG271" s="285"/>
      <c r="AH271" s="285"/>
      <c r="AI271" s="285"/>
      <c r="AJ271" s="285"/>
      <c r="AK271" s="285"/>
    </row>
    <row r="272"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B272" s="285"/>
      <c r="AC272" s="285"/>
      <c r="AD272" s="285"/>
      <c r="AE272" s="285"/>
      <c r="AF272" s="285"/>
      <c r="AG272" s="285"/>
      <c r="AH272" s="285"/>
      <c r="AI272" s="285"/>
      <c r="AJ272" s="285"/>
      <c r="AK272" s="285"/>
    </row>
    <row r="273"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  <c r="AB273" s="285"/>
      <c r="AC273" s="285"/>
      <c r="AD273" s="285"/>
      <c r="AE273" s="285"/>
      <c r="AF273" s="285"/>
      <c r="AG273" s="285"/>
      <c r="AH273" s="285"/>
      <c r="AI273" s="285"/>
      <c r="AJ273" s="285"/>
      <c r="AK273" s="285"/>
    </row>
    <row r="274"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  <c r="AB274" s="285"/>
      <c r="AC274" s="285"/>
      <c r="AD274" s="285"/>
      <c r="AE274" s="285"/>
      <c r="AF274" s="285"/>
      <c r="AG274" s="285"/>
      <c r="AH274" s="285"/>
      <c r="AI274" s="285"/>
      <c r="AJ274" s="285"/>
      <c r="AK274" s="285"/>
    </row>
    <row r="275"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  <c r="AB275" s="285"/>
      <c r="AC275" s="285"/>
      <c r="AD275" s="285"/>
      <c r="AE275" s="285"/>
      <c r="AF275" s="285"/>
      <c r="AG275" s="285"/>
      <c r="AH275" s="285"/>
      <c r="AI275" s="285"/>
      <c r="AJ275" s="285"/>
      <c r="AK275" s="285"/>
    </row>
    <row r="276"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B276" s="285"/>
      <c r="AC276" s="285"/>
      <c r="AD276" s="285"/>
      <c r="AE276" s="285"/>
      <c r="AF276" s="285"/>
      <c r="AG276" s="285"/>
      <c r="AH276" s="285"/>
      <c r="AI276" s="285"/>
      <c r="AJ276" s="285"/>
      <c r="AK276" s="285"/>
    </row>
    <row r="277"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B277" s="285"/>
      <c r="AC277" s="285"/>
      <c r="AD277" s="285"/>
      <c r="AE277" s="285"/>
      <c r="AF277" s="285"/>
      <c r="AG277" s="285"/>
      <c r="AH277" s="285"/>
      <c r="AI277" s="285"/>
      <c r="AJ277" s="285"/>
      <c r="AK277" s="285"/>
    </row>
    <row r="278"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  <c r="AB278" s="285"/>
      <c r="AC278" s="285"/>
      <c r="AD278" s="285"/>
      <c r="AE278" s="285"/>
      <c r="AF278" s="285"/>
      <c r="AG278" s="285"/>
      <c r="AH278" s="285"/>
      <c r="AI278" s="285"/>
      <c r="AJ278" s="285"/>
      <c r="AK278" s="285"/>
    </row>
    <row r="279"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  <c r="AB279" s="285"/>
      <c r="AC279" s="285"/>
      <c r="AD279" s="285"/>
      <c r="AE279" s="285"/>
      <c r="AF279" s="285"/>
      <c r="AG279" s="285"/>
      <c r="AH279" s="285"/>
      <c r="AI279" s="285"/>
      <c r="AJ279" s="285"/>
      <c r="AK279" s="285"/>
    </row>
    <row r="280"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B280" s="285"/>
      <c r="AC280" s="285"/>
      <c r="AD280" s="285"/>
      <c r="AE280" s="285"/>
      <c r="AF280" s="285"/>
      <c r="AG280" s="285"/>
      <c r="AH280" s="285"/>
      <c r="AI280" s="285"/>
      <c r="AJ280" s="285"/>
      <c r="AK280" s="285"/>
    </row>
    <row r="281"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  <c r="AB281" s="285"/>
      <c r="AC281" s="285"/>
      <c r="AD281" s="285"/>
      <c r="AE281" s="285"/>
      <c r="AF281" s="285"/>
      <c r="AG281" s="285"/>
      <c r="AH281" s="285"/>
      <c r="AI281" s="285"/>
      <c r="AJ281" s="285"/>
      <c r="AK281" s="285"/>
    </row>
    <row r="282"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  <c r="AB282" s="285"/>
      <c r="AC282" s="285"/>
      <c r="AD282" s="285"/>
      <c r="AE282" s="285"/>
      <c r="AF282" s="285"/>
      <c r="AG282" s="285"/>
      <c r="AH282" s="285"/>
      <c r="AI282" s="285"/>
      <c r="AJ282" s="285"/>
      <c r="AK282" s="285"/>
    </row>
    <row r="283"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  <c r="AB283" s="285"/>
      <c r="AC283" s="285"/>
      <c r="AD283" s="285"/>
      <c r="AE283" s="285"/>
      <c r="AF283" s="285"/>
      <c r="AG283" s="285"/>
      <c r="AH283" s="285"/>
      <c r="AI283" s="285"/>
      <c r="AJ283" s="285"/>
      <c r="AK283" s="285"/>
    </row>
    <row r="284"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B284" s="285"/>
      <c r="AC284" s="285"/>
      <c r="AD284" s="285"/>
      <c r="AE284" s="285"/>
      <c r="AF284" s="285"/>
      <c r="AG284" s="285"/>
      <c r="AH284" s="285"/>
      <c r="AI284" s="285"/>
      <c r="AJ284" s="285"/>
      <c r="AK284" s="285"/>
    </row>
    <row r="285"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B285" s="285"/>
      <c r="AC285" s="285"/>
      <c r="AD285" s="285"/>
      <c r="AE285" s="285"/>
      <c r="AF285" s="285"/>
      <c r="AG285" s="285"/>
      <c r="AH285" s="285"/>
      <c r="AI285" s="285"/>
      <c r="AJ285" s="285"/>
      <c r="AK285" s="285"/>
    </row>
    <row r="286"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  <c r="AB286" s="285"/>
      <c r="AC286" s="285"/>
      <c r="AD286" s="285"/>
      <c r="AE286" s="285"/>
      <c r="AF286" s="285"/>
      <c r="AG286" s="285"/>
      <c r="AH286" s="285"/>
      <c r="AI286" s="285"/>
      <c r="AJ286" s="285"/>
      <c r="AK286" s="285"/>
    </row>
    <row r="287"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  <c r="AB287" s="285"/>
      <c r="AC287" s="285"/>
      <c r="AD287" s="285"/>
      <c r="AE287" s="285"/>
      <c r="AF287" s="285"/>
      <c r="AG287" s="285"/>
      <c r="AH287" s="285"/>
      <c r="AI287" s="285"/>
      <c r="AJ287" s="285"/>
      <c r="AK287" s="285"/>
    </row>
    <row r="288"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B288" s="285"/>
      <c r="AC288" s="285"/>
      <c r="AD288" s="285"/>
      <c r="AE288" s="285"/>
      <c r="AF288" s="285"/>
      <c r="AG288" s="285"/>
      <c r="AH288" s="285"/>
      <c r="AI288" s="285"/>
      <c r="AJ288" s="285"/>
      <c r="AK288" s="285"/>
    </row>
    <row r="289"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  <c r="AB289" s="285"/>
      <c r="AC289" s="285"/>
      <c r="AD289" s="285"/>
      <c r="AE289" s="285"/>
      <c r="AF289" s="285"/>
      <c r="AG289" s="285"/>
      <c r="AH289" s="285"/>
      <c r="AI289" s="285"/>
      <c r="AJ289" s="285"/>
      <c r="AK289" s="285"/>
    </row>
    <row r="290"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  <c r="AB290" s="285"/>
      <c r="AC290" s="285"/>
      <c r="AD290" s="285"/>
      <c r="AE290" s="285"/>
      <c r="AF290" s="285"/>
      <c r="AG290" s="285"/>
      <c r="AH290" s="285"/>
      <c r="AI290" s="285"/>
      <c r="AJ290" s="285"/>
      <c r="AK290" s="285"/>
    </row>
    <row r="291"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  <c r="AB291" s="285"/>
      <c r="AC291" s="285"/>
      <c r="AD291" s="285"/>
      <c r="AE291" s="285"/>
      <c r="AF291" s="285"/>
      <c r="AG291" s="285"/>
      <c r="AH291" s="285"/>
      <c r="AI291" s="285"/>
      <c r="AJ291" s="285"/>
      <c r="AK291" s="285"/>
    </row>
    <row r="292"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  <c r="AB292" s="285"/>
      <c r="AC292" s="285"/>
      <c r="AD292" s="285"/>
      <c r="AE292" s="285"/>
      <c r="AF292" s="285"/>
      <c r="AG292" s="285"/>
      <c r="AH292" s="285"/>
      <c r="AI292" s="285"/>
      <c r="AJ292" s="285"/>
      <c r="AK292" s="285"/>
    </row>
    <row r="293"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  <c r="AB293" s="285"/>
      <c r="AC293" s="285"/>
      <c r="AD293" s="285"/>
      <c r="AE293" s="285"/>
      <c r="AF293" s="285"/>
      <c r="AG293" s="285"/>
      <c r="AH293" s="285"/>
      <c r="AI293" s="285"/>
      <c r="AJ293" s="285"/>
      <c r="AK293" s="285"/>
    </row>
    <row r="294"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  <c r="AB294" s="285"/>
      <c r="AC294" s="285"/>
      <c r="AD294" s="285"/>
      <c r="AE294" s="285"/>
      <c r="AF294" s="285"/>
      <c r="AG294" s="285"/>
      <c r="AH294" s="285"/>
      <c r="AI294" s="285"/>
      <c r="AJ294" s="285"/>
      <c r="AK294" s="285"/>
    </row>
    <row r="295"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  <c r="AB295" s="285"/>
      <c r="AC295" s="285"/>
      <c r="AD295" s="285"/>
      <c r="AE295" s="285"/>
      <c r="AF295" s="285"/>
      <c r="AG295" s="285"/>
      <c r="AH295" s="285"/>
      <c r="AI295" s="285"/>
      <c r="AJ295" s="285"/>
      <c r="AK295" s="285"/>
    </row>
    <row r="296"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  <c r="AB296" s="285"/>
      <c r="AC296" s="285"/>
      <c r="AD296" s="285"/>
      <c r="AE296" s="285"/>
      <c r="AF296" s="285"/>
      <c r="AG296" s="285"/>
      <c r="AH296" s="285"/>
      <c r="AI296" s="285"/>
      <c r="AJ296" s="285"/>
      <c r="AK296" s="285"/>
    </row>
    <row r="297"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  <c r="AB297" s="285"/>
      <c r="AC297" s="285"/>
      <c r="AD297" s="285"/>
      <c r="AE297" s="285"/>
      <c r="AF297" s="285"/>
      <c r="AG297" s="285"/>
      <c r="AH297" s="285"/>
      <c r="AI297" s="285"/>
      <c r="AJ297" s="285"/>
      <c r="AK297" s="285"/>
    </row>
    <row r="298"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  <c r="AB298" s="285"/>
      <c r="AC298" s="285"/>
      <c r="AD298" s="285"/>
      <c r="AE298" s="285"/>
      <c r="AF298" s="285"/>
      <c r="AG298" s="285"/>
      <c r="AH298" s="285"/>
      <c r="AI298" s="285"/>
      <c r="AJ298" s="285"/>
      <c r="AK298" s="285"/>
    </row>
    <row r="299"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  <c r="AB299" s="285"/>
      <c r="AC299" s="285"/>
      <c r="AD299" s="285"/>
      <c r="AE299" s="285"/>
      <c r="AF299" s="285"/>
      <c r="AG299" s="285"/>
      <c r="AH299" s="285"/>
      <c r="AI299" s="285"/>
      <c r="AJ299" s="285"/>
      <c r="AK299" s="285"/>
    </row>
    <row r="300"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  <c r="AB300" s="285"/>
      <c r="AC300" s="285"/>
      <c r="AD300" s="285"/>
      <c r="AE300" s="285"/>
      <c r="AF300" s="285"/>
      <c r="AG300" s="285"/>
      <c r="AH300" s="285"/>
      <c r="AI300" s="285"/>
      <c r="AJ300" s="285"/>
      <c r="AK300" s="285"/>
    </row>
    <row r="301"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  <c r="AB301" s="285"/>
      <c r="AC301" s="285"/>
      <c r="AD301" s="285"/>
      <c r="AE301" s="285"/>
      <c r="AF301" s="285"/>
      <c r="AG301" s="285"/>
      <c r="AH301" s="285"/>
      <c r="AI301" s="285"/>
      <c r="AJ301" s="285"/>
      <c r="AK301" s="285"/>
    </row>
    <row r="302"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  <c r="AB302" s="285"/>
      <c r="AC302" s="285"/>
      <c r="AD302" s="285"/>
      <c r="AE302" s="285"/>
      <c r="AF302" s="285"/>
      <c r="AG302" s="285"/>
      <c r="AH302" s="285"/>
      <c r="AI302" s="285"/>
      <c r="AJ302" s="285"/>
      <c r="AK302" s="285"/>
    </row>
    <row r="303"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  <c r="AB303" s="285"/>
      <c r="AC303" s="285"/>
      <c r="AD303" s="285"/>
      <c r="AE303" s="285"/>
      <c r="AF303" s="285"/>
      <c r="AG303" s="285"/>
      <c r="AH303" s="285"/>
      <c r="AI303" s="285"/>
      <c r="AJ303" s="285"/>
      <c r="AK303" s="285"/>
    </row>
    <row r="304"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  <c r="AB304" s="285"/>
      <c r="AC304" s="285"/>
      <c r="AD304" s="285"/>
      <c r="AE304" s="285"/>
      <c r="AF304" s="285"/>
      <c r="AG304" s="285"/>
      <c r="AH304" s="285"/>
      <c r="AI304" s="285"/>
      <c r="AJ304" s="285"/>
      <c r="AK304" s="285"/>
    </row>
    <row r="305"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  <c r="AB305" s="285"/>
      <c r="AC305" s="285"/>
      <c r="AD305" s="285"/>
      <c r="AE305" s="285"/>
      <c r="AF305" s="285"/>
      <c r="AG305" s="285"/>
      <c r="AH305" s="285"/>
      <c r="AI305" s="285"/>
      <c r="AJ305" s="285"/>
      <c r="AK305" s="285"/>
    </row>
    <row r="306"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B306" s="285"/>
      <c r="AC306" s="285"/>
      <c r="AD306" s="285"/>
      <c r="AE306" s="285"/>
      <c r="AF306" s="285"/>
      <c r="AG306" s="285"/>
      <c r="AH306" s="285"/>
      <c r="AI306" s="285"/>
      <c r="AJ306" s="285"/>
      <c r="AK306" s="285"/>
    </row>
    <row r="307"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B307" s="285"/>
      <c r="AC307" s="285"/>
      <c r="AD307" s="285"/>
      <c r="AE307" s="285"/>
      <c r="AF307" s="285"/>
      <c r="AG307" s="285"/>
      <c r="AH307" s="285"/>
      <c r="AI307" s="285"/>
      <c r="AJ307" s="285"/>
      <c r="AK307" s="285"/>
    </row>
    <row r="308"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  <c r="AB308" s="285"/>
      <c r="AC308" s="285"/>
      <c r="AD308" s="285"/>
      <c r="AE308" s="285"/>
      <c r="AF308" s="285"/>
      <c r="AG308" s="285"/>
      <c r="AH308" s="285"/>
      <c r="AI308" s="285"/>
      <c r="AJ308" s="285"/>
      <c r="AK308" s="285"/>
    </row>
    <row r="309"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  <c r="AB309" s="285"/>
      <c r="AC309" s="285"/>
      <c r="AD309" s="285"/>
      <c r="AE309" s="285"/>
      <c r="AF309" s="285"/>
      <c r="AG309" s="285"/>
      <c r="AH309" s="285"/>
      <c r="AI309" s="285"/>
      <c r="AJ309" s="285"/>
      <c r="AK309" s="285"/>
    </row>
    <row r="310"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  <c r="AB310" s="285"/>
      <c r="AC310" s="285"/>
      <c r="AD310" s="285"/>
      <c r="AE310" s="285"/>
      <c r="AF310" s="285"/>
      <c r="AG310" s="285"/>
      <c r="AH310" s="285"/>
      <c r="AI310" s="285"/>
      <c r="AJ310" s="285"/>
      <c r="AK310" s="285"/>
    </row>
    <row r="311"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B311" s="285"/>
      <c r="AC311" s="285"/>
      <c r="AD311" s="285"/>
      <c r="AE311" s="285"/>
      <c r="AF311" s="285"/>
      <c r="AG311" s="285"/>
      <c r="AH311" s="285"/>
      <c r="AI311" s="285"/>
      <c r="AJ311" s="285"/>
      <c r="AK311" s="285"/>
    </row>
    <row r="312"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  <c r="AB312" s="285"/>
      <c r="AC312" s="285"/>
      <c r="AD312" s="285"/>
      <c r="AE312" s="285"/>
      <c r="AF312" s="285"/>
      <c r="AG312" s="285"/>
      <c r="AH312" s="285"/>
      <c r="AI312" s="285"/>
      <c r="AJ312" s="285"/>
      <c r="AK312" s="285"/>
    </row>
    <row r="313"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B313" s="285"/>
      <c r="AC313" s="285"/>
      <c r="AD313" s="285"/>
      <c r="AE313" s="285"/>
      <c r="AF313" s="285"/>
      <c r="AG313" s="285"/>
      <c r="AH313" s="285"/>
      <c r="AI313" s="285"/>
      <c r="AJ313" s="285"/>
      <c r="AK313" s="285"/>
    </row>
    <row r="314"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  <c r="AB314" s="285"/>
      <c r="AC314" s="285"/>
      <c r="AD314" s="285"/>
      <c r="AE314" s="285"/>
      <c r="AF314" s="285"/>
      <c r="AG314" s="285"/>
      <c r="AH314" s="285"/>
      <c r="AI314" s="285"/>
      <c r="AJ314" s="285"/>
      <c r="AK314" s="285"/>
    </row>
    <row r="315"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B315" s="285"/>
      <c r="AC315" s="285"/>
      <c r="AD315" s="285"/>
      <c r="AE315" s="285"/>
      <c r="AF315" s="285"/>
      <c r="AG315" s="285"/>
      <c r="AH315" s="285"/>
      <c r="AI315" s="285"/>
      <c r="AJ315" s="285"/>
      <c r="AK315" s="285"/>
    </row>
    <row r="316"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B316" s="285"/>
      <c r="AC316" s="285"/>
      <c r="AD316" s="285"/>
      <c r="AE316" s="285"/>
      <c r="AF316" s="285"/>
      <c r="AG316" s="285"/>
      <c r="AH316" s="285"/>
      <c r="AI316" s="285"/>
      <c r="AJ316" s="285"/>
      <c r="AK316" s="285"/>
    </row>
    <row r="317"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B317" s="285"/>
      <c r="AC317" s="285"/>
      <c r="AD317" s="285"/>
      <c r="AE317" s="285"/>
      <c r="AF317" s="285"/>
      <c r="AG317" s="285"/>
      <c r="AH317" s="285"/>
      <c r="AI317" s="285"/>
      <c r="AJ317" s="285"/>
      <c r="AK317" s="285"/>
    </row>
    <row r="318"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B318" s="285"/>
      <c r="AC318" s="285"/>
      <c r="AD318" s="285"/>
      <c r="AE318" s="285"/>
      <c r="AF318" s="285"/>
      <c r="AG318" s="285"/>
      <c r="AH318" s="285"/>
      <c r="AI318" s="285"/>
      <c r="AJ318" s="285"/>
      <c r="AK318" s="285"/>
    </row>
    <row r="319"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B319" s="285"/>
      <c r="AC319" s="285"/>
      <c r="AD319" s="285"/>
      <c r="AE319" s="285"/>
      <c r="AF319" s="285"/>
      <c r="AG319" s="285"/>
      <c r="AH319" s="285"/>
      <c r="AI319" s="285"/>
      <c r="AJ319" s="285"/>
      <c r="AK319" s="285"/>
    </row>
    <row r="320"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  <c r="AB320" s="285"/>
      <c r="AC320" s="285"/>
      <c r="AD320" s="285"/>
      <c r="AE320" s="285"/>
      <c r="AF320" s="285"/>
      <c r="AG320" s="285"/>
      <c r="AH320" s="285"/>
      <c r="AI320" s="285"/>
      <c r="AJ320" s="285"/>
      <c r="AK320" s="285"/>
    </row>
    <row r="321"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  <c r="AB321" s="285"/>
      <c r="AC321" s="285"/>
      <c r="AD321" s="285"/>
      <c r="AE321" s="285"/>
      <c r="AF321" s="285"/>
      <c r="AG321" s="285"/>
      <c r="AH321" s="285"/>
      <c r="AI321" s="285"/>
      <c r="AJ321" s="285"/>
      <c r="AK321" s="285"/>
    </row>
    <row r="322"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  <c r="AB322" s="285"/>
      <c r="AC322" s="285"/>
      <c r="AD322" s="285"/>
      <c r="AE322" s="285"/>
      <c r="AF322" s="285"/>
      <c r="AG322" s="285"/>
      <c r="AH322" s="285"/>
      <c r="AI322" s="285"/>
      <c r="AJ322" s="285"/>
      <c r="AK322" s="285"/>
    </row>
    <row r="323"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  <c r="AB323" s="285"/>
      <c r="AC323" s="285"/>
      <c r="AD323" s="285"/>
      <c r="AE323" s="285"/>
      <c r="AF323" s="285"/>
      <c r="AG323" s="285"/>
      <c r="AH323" s="285"/>
      <c r="AI323" s="285"/>
      <c r="AJ323" s="285"/>
      <c r="AK323" s="285"/>
    </row>
    <row r="324"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  <c r="AB324" s="285"/>
      <c r="AC324" s="285"/>
      <c r="AD324" s="285"/>
      <c r="AE324" s="285"/>
      <c r="AF324" s="285"/>
      <c r="AG324" s="285"/>
      <c r="AH324" s="285"/>
      <c r="AI324" s="285"/>
      <c r="AJ324" s="285"/>
      <c r="AK324" s="285"/>
    </row>
    <row r="325"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  <c r="AB325" s="285"/>
      <c r="AC325" s="285"/>
      <c r="AD325" s="285"/>
      <c r="AE325" s="285"/>
      <c r="AF325" s="285"/>
      <c r="AG325" s="285"/>
      <c r="AH325" s="285"/>
      <c r="AI325" s="285"/>
      <c r="AJ325" s="285"/>
      <c r="AK325" s="285"/>
    </row>
    <row r="326"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  <c r="AB326" s="285"/>
      <c r="AC326" s="285"/>
      <c r="AD326" s="285"/>
      <c r="AE326" s="285"/>
      <c r="AF326" s="285"/>
      <c r="AG326" s="285"/>
      <c r="AH326" s="285"/>
      <c r="AI326" s="285"/>
      <c r="AJ326" s="285"/>
      <c r="AK326" s="285"/>
    </row>
    <row r="327"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  <c r="AB327" s="285"/>
      <c r="AC327" s="285"/>
      <c r="AD327" s="285"/>
      <c r="AE327" s="285"/>
      <c r="AF327" s="285"/>
      <c r="AG327" s="285"/>
      <c r="AH327" s="285"/>
      <c r="AI327" s="285"/>
      <c r="AJ327" s="285"/>
      <c r="AK327" s="285"/>
    </row>
    <row r="328"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  <c r="AB328" s="285"/>
      <c r="AC328" s="285"/>
      <c r="AD328" s="285"/>
      <c r="AE328" s="285"/>
      <c r="AF328" s="285"/>
      <c r="AG328" s="285"/>
      <c r="AH328" s="285"/>
      <c r="AI328" s="285"/>
      <c r="AJ328" s="285"/>
      <c r="AK328" s="285"/>
    </row>
    <row r="329"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  <c r="AB329" s="285"/>
      <c r="AC329" s="285"/>
      <c r="AD329" s="285"/>
      <c r="AE329" s="285"/>
      <c r="AF329" s="285"/>
      <c r="AG329" s="285"/>
      <c r="AH329" s="285"/>
      <c r="AI329" s="285"/>
      <c r="AJ329" s="285"/>
      <c r="AK329" s="285"/>
    </row>
    <row r="330"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  <c r="AB330" s="285"/>
      <c r="AC330" s="285"/>
      <c r="AD330" s="285"/>
      <c r="AE330" s="285"/>
      <c r="AF330" s="285"/>
      <c r="AG330" s="285"/>
      <c r="AH330" s="285"/>
      <c r="AI330" s="285"/>
      <c r="AJ330" s="285"/>
      <c r="AK330" s="285"/>
    </row>
    <row r="331"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  <c r="AB331" s="285"/>
      <c r="AC331" s="285"/>
      <c r="AD331" s="285"/>
      <c r="AE331" s="285"/>
      <c r="AF331" s="285"/>
      <c r="AG331" s="285"/>
      <c r="AH331" s="285"/>
      <c r="AI331" s="285"/>
      <c r="AJ331" s="285"/>
      <c r="AK331" s="285"/>
    </row>
    <row r="332"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  <c r="AB332" s="285"/>
      <c r="AC332" s="285"/>
      <c r="AD332" s="285"/>
      <c r="AE332" s="285"/>
      <c r="AF332" s="285"/>
      <c r="AG332" s="285"/>
      <c r="AH332" s="285"/>
      <c r="AI332" s="285"/>
      <c r="AJ332" s="285"/>
      <c r="AK332" s="285"/>
    </row>
    <row r="333"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  <c r="AB333" s="285"/>
      <c r="AC333" s="285"/>
      <c r="AD333" s="285"/>
      <c r="AE333" s="285"/>
      <c r="AF333" s="285"/>
      <c r="AG333" s="285"/>
      <c r="AH333" s="285"/>
      <c r="AI333" s="285"/>
      <c r="AJ333" s="285"/>
      <c r="AK333" s="285"/>
    </row>
    <row r="334"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  <c r="AB334" s="285"/>
      <c r="AC334" s="285"/>
      <c r="AD334" s="285"/>
      <c r="AE334" s="285"/>
      <c r="AF334" s="285"/>
      <c r="AG334" s="285"/>
      <c r="AH334" s="285"/>
      <c r="AI334" s="285"/>
      <c r="AJ334" s="285"/>
      <c r="AK334" s="285"/>
    </row>
    <row r="335"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  <c r="AB335" s="285"/>
      <c r="AC335" s="285"/>
      <c r="AD335" s="285"/>
      <c r="AE335" s="285"/>
      <c r="AF335" s="285"/>
      <c r="AG335" s="285"/>
      <c r="AH335" s="285"/>
      <c r="AI335" s="285"/>
      <c r="AJ335" s="285"/>
      <c r="AK335" s="285"/>
    </row>
    <row r="336"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  <c r="AB336" s="285"/>
      <c r="AC336" s="285"/>
      <c r="AD336" s="285"/>
      <c r="AE336" s="285"/>
      <c r="AF336" s="285"/>
      <c r="AG336" s="285"/>
      <c r="AH336" s="285"/>
      <c r="AI336" s="285"/>
      <c r="AJ336" s="285"/>
      <c r="AK336" s="285"/>
    </row>
    <row r="337"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  <c r="AB337" s="285"/>
      <c r="AC337" s="285"/>
      <c r="AD337" s="285"/>
      <c r="AE337" s="285"/>
      <c r="AF337" s="285"/>
      <c r="AG337" s="285"/>
      <c r="AH337" s="285"/>
      <c r="AI337" s="285"/>
      <c r="AJ337" s="285"/>
      <c r="AK337" s="285"/>
    </row>
    <row r="338"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  <c r="AB338" s="285"/>
      <c r="AC338" s="285"/>
      <c r="AD338" s="285"/>
      <c r="AE338" s="285"/>
      <c r="AF338" s="285"/>
      <c r="AG338" s="285"/>
      <c r="AH338" s="285"/>
      <c r="AI338" s="285"/>
      <c r="AJ338" s="285"/>
      <c r="AK338" s="285"/>
    </row>
    <row r="339"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  <c r="AB339" s="285"/>
      <c r="AC339" s="285"/>
      <c r="AD339" s="285"/>
      <c r="AE339" s="285"/>
      <c r="AF339" s="285"/>
      <c r="AG339" s="285"/>
      <c r="AH339" s="285"/>
      <c r="AI339" s="285"/>
      <c r="AJ339" s="285"/>
      <c r="AK339" s="285"/>
    </row>
    <row r="340"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  <c r="AB340" s="285"/>
      <c r="AC340" s="285"/>
      <c r="AD340" s="285"/>
      <c r="AE340" s="285"/>
      <c r="AF340" s="285"/>
      <c r="AG340" s="285"/>
      <c r="AH340" s="285"/>
      <c r="AI340" s="285"/>
      <c r="AJ340" s="285"/>
      <c r="AK340" s="285"/>
    </row>
    <row r="341"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  <c r="AB341" s="285"/>
      <c r="AC341" s="285"/>
      <c r="AD341" s="285"/>
      <c r="AE341" s="285"/>
      <c r="AF341" s="285"/>
      <c r="AG341" s="285"/>
      <c r="AH341" s="285"/>
      <c r="AI341" s="285"/>
      <c r="AJ341" s="285"/>
      <c r="AK341" s="285"/>
    </row>
    <row r="342"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  <c r="AB342" s="285"/>
      <c r="AC342" s="285"/>
      <c r="AD342" s="285"/>
      <c r="AE342" s="285"/>
      <c r="AF342" s="285"/>
      <c r="AG342" s="285"/>
      <c r="AH342" s="285"/>
      <c r="AI342" s="285"/>
      <c r="AJ342" s="285"/>
      <c r="AK342" s="285"/>
    </row>
    <row r="343"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  <c r="AB343" s="285"/>
      <c r="AC343" s="285"/>
      <c r="AD343" s="285"/>
      <c r="AE343" s="285"/>
      <c r="AF343" s="285"/>
      <c r="AG343" s="285"/>
      <c r="AH343" s="285"/>
      <c r="AI343" s="285"/>
      <c r="AJ343" s="285"/>
      <c r="AK343" s="285"/>
    </row>
    <row r="344"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  <c r="AB344" s="285"/>
      <c r="AC344" s="285"/>
      <c r="AD344" s="285"/>
      <c r="AE344" s="285"/>
      <c r="AF344" s="285"/>
      <c r="AG344" s="285"/>
      <c r="AH344" s="285"/>
      <c r="AI344" s="285"/>
      <c r="AJ344" s="285"/>
      <c r="AK344" s="285"/>
    </row>
    <row r="345"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  <c r="AB345" s="285"/>
      <c r="AC345" s="285"/>
      <c r="AD345" s="285"/>
      <c r="AE345" s="285"/>
      <c r="AF345" s="285"/>
      <c r="AG345" s="285"/>
      <c r="AH345" s="285"/>
      <c r="AI345" s="285"/>
      <c r="AJ345" s="285"/>
      <c r="AK345" s="285"/>
    </row>
    <row r="346"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  <c r="AB346" s="285"/>
      <c r="AC346" s="285"/>
      <c r="AD346" s="285"/>
      <c r="AE346" s="285"/>
      <c r="AF346" s="285"/>
      <c r="AG346" s="285"/>
      <c r="AH346" s="285"/>
      <c r="AI346" s="285"/>
      <c r="AJ346" s="285"/>
      <c r="AK346" s="285"/>
    </row>
    <row r="347"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  <c r="AB347" s="285"/>
      <c r="AC347" s="285"/>
      <c r="AD347" s="285"/>
      <c r="AE347" s="285"/>
      <c r="AF347" s="285"/>
      <c r="AG347" s="285"/>
      <c r="AH347" s="285"/>
      <c r="AI347" s="285"/>
      <c r="AJ347" s="285"/>
      <c r="AK347" s="285"/>
    </row>
    <row r="348"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  <c r="AB348" s="285"/>
      <c r="AC348" s="285"/>
      <c r="AD348" s="285"/>
      <c r="AE348" s="285"/>
      <c r="AF348" s="285"/>
      <c r="AG348" s="285"/>
      <c r="AH348" s="285"/>
      <c r="AI348" s="285"/>
      <c r="AJ348" s="285"/>
      <c r="AK348" s="285"/>
    </row>
    <row r="349"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  <c r="AB349" s="285"/>
      <c r="AC349" s="285"/>
      <c r="AD349" s="285"/>
      <c r="AE349" s="285"/>
      <c r="AF349" s="285"/>
      <c r="AG349" s="285"/>
      <c r="AH349" s="285"/>
      <c r="AI349" s="285"/>
      <c r="AJ349" s="285"/>
      <c r="AK349" s="285"/>
    </row>
    <row r="350"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  <c r="AB350" s="285"/>
      <c r="AC350" s="285"/>
      <c r="AD350" s="285"/>
      <c r="AE350" s="285"/>
      <c r="AF350" s="285"/>
      <c r="AG350" s="285"/>
      <c r="AH350" s="285"/>
      <c r="AI350" s="285"/>
      <c r="AJ350" s="285"/>
      <c r="AK350" s="285"/>
    </row>
    <row r="351"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  <c r="AB351" s="285"/>
      <c r="AC351" s="285"/>
      <c r="AD351" s="285"/>
      <c r="AE351" s="285"/>
      <c r="AF351" s="285"/>
      <c r="AG351" s="285"/>
      <c r="AH351" s="285"/>
      <c r="AI351" s="285"/>
      <c r="AJ351" s="285"/>
      <c r="AK351" s="285"/>
    </row>
    <row r="352"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  <c r="AB352" s="285"/>
      <c r="AC352" s="285"/>
      <c r="AD352" s="285"/>
      <c r="AE352" s="285"/>
      <c r="AF352" s="285"/>
      <c r="AG352" s="285"/>
      <c r="AH352" s="285"/>
      <c r="AI352" s="285"/>
      <c r="AJ352" s="285"/>
      <c r="AK352" s="285"/>
    </row>
    <row r="353"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  <c r="AB353" s="285"/>
      <c r="AC353" s="285"/>
      <c r="AD353" s="285"/>
      <c r="AE353" s="285"/>
      <c r="AF353" s="285"/>
      <c r="AG353" s="285"/>
      <c r="AH353" s="285"/>
      <c r="AI353" s="285"/>
      <c r="AJ353" s="285"/>
      <c r="AK353" s="285"/>
    </row>
    <row r="354"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  <c r="AB354" s="285"/>
      <c r="AC354" s="285"/>
      <c r="AD354" s="285"/>
      <c r="AE354" s="285"/>
      <c r="AF354" s="285"/>
      <c r="AG354" s="285"/>
      <c r="AH354" s="285"/>
      <c r="AI354" s="285"/>
      <c r="AJ354" s="285"/>
      <c r="AK354" s="285"/>
    </row>
    <row r="355"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  <c r="AB355" s="285"/>
      <c r="AC355" s="285"/>
      <c r="AD355" s="285"/>
      <c r="AE355" s="285"/>
      <c r="AF355" s="285"/>
      <c r="AG355" s="285"/>
      <c r="AH355" s="285"/>
      <c r="AI355" s="285"/>
      <c r="AJ355" s="285"/>
      <c r="AK355" s="285"/>
    </row>
    <row r="356"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  <c r="AB356" s="285"/>
      <c r="AC356" s="285"/>
      <c r="AD356" s="285"/>
      <c r="AE356" s="285"/>
      <c r="AF356" s="285"/>
      <c r="AG356" s="285"/>
      <c r="AH356" s="285"/>
      <c r="AI356" s="285"/>
      <c r="AJ356" s="285"/>
      <c r="AK356" s="285"/>
    </row>
    <row r="357"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  <c r="AB357" s="285"/>
      <c r="AC357" s="285"/>
      <c r="AD357" s="285"/>
      <c r="AE357" s="285"/>
      <c r="AF357" s="285"/>
      <c r="AG357" s="285"/>
      <c r="AH357" s="285"/>
      <c r="AI357" s="285"/>
      <c r="AJ357" s="285"/>
      <c r="AK357" s="285"/>
    </row>
    <row r="358"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  <c r="AB358" s="285"/>
      <c r="AC358" s="285"/>
      <c r="AD358" s="285"/>
      <c r="AE358" s="285"/>
      <c r="AF358" s="285"/>
      <c r="AG358" s="285"/>
      <c r="AH358" s="285"/>
      <c r="AI358" s="285"/>
      <c r="AJ358" s="285"/>
      <c r="AK358" s="285"/>
    </row>
    <row r="359"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  <c r="AB359" s="285"/>
      <c r="AC359" s="285"/>
      <c r="AD359" s="285"/>
      <c r="AE359" s="285"/>
      <c r="AF359" s="285"/>
      <c r="AG359" s="285"/>
      <c r="AH359" s="285"/>
      <c r="AI359" s="285"/>
      <c r="AJ359" s="285"/>
      <c r="AK359" s="285"/>
    </row>
    <row r="360"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  <c r="AB360" s="285"/>
      <c r="AC360" s="285"/>
      <c r="AD360" s="285"/>
      <c r="AE360" s="285"/>
      <c r="AF360" s="285"/>
      <c r="AG360" s="285"/>
      <c r="AH360" s="285"/>
      <c r="AI360" s="285"/>
      <c r="AJ360" s="285"/>
      <c r="AK360" s="285"/>
    </row>
    <row r="361"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  <c r="AB361" s="285"/>
      <c r="AC361" s="285"/>
      <c r="AD361" s="285"/>
      <c r="AE361" s="285"/>
      <c r="AF361" s="285"/>
      <c r="AG361" s="285"/>
      <c r="AH361" s="285"/>
      <c r="AI361" s="285"/>
      <c r="AJ361" s="285"/>
      <c r="AK361" s="285"/>
    </row>
    <row r="362"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  <c r="AB362" s="285"/>
      <c r="AC362" s="285"/>
      <c r="AD362" s="285"/>
      <c r="AE362" s="285"/>
      <c r="AF362" s="285"/>
      <c r="AG362" s="285"/>
      <c r="AH362" s="285"/>
      <c r="AI362" s="285"/>
      <c r="AJ362" s="285"/>
      <c r="AK362" s="285"/>
    </row>
    <row r="363"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  <c r="AB363" s="285"/>
      <c r="AC363" s="285"/>
      <c r="AD363" s="285"/>
      <c r="AE363" s="285"/>
      <c r="AF363" s="285"/>
      <c r="AG363" s="285"/>
      <c r="AH363" s="285"/>
      <c r="AI363" s="285"/>
      <c r="AJ363" s="285"/>
      <c r="AK363" s="285"/>
    </row>
    <row r="364"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  <c r="AB364" s="285"/>
      <c r="AC364" s="285"/>
      <c r="AD364" s="285"/>
      <c r="AE364" s="285"/>
      <c r="AF364" s="285"/>
      <c r="AG364" s="285"/>
      <c r="AH364" s="285"/>
      <c r="AI364" s="285"/>
      <c r="AJ364" s="285"/>
      <c r="AK364" s="285"/>
    </row>
    <row r="365"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  <c r="AB365" s="285"/>
      <c r="AC365" s="285"/>
      <c r="AD365" s="285"/>
      <c r="AE365" s="285"/>
      <c r="AF365" s="285"/>
      <c r="AG365" s="285"/>
      <c r="AH365" s="285"/>
      <c r="AI365" s="285"/>
      <c r="AJ365" s="285"/>
      <c r="AK365" s="285"/>
    </row>
    <row r="366"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  <c r="AB366" s="285"/>
      <c r="AC366" s="285"/>
      <c r="AD366" s="285"/>
      <c r="AE366" s="285"/>
      <c r="AF366" s="285"/>
      <c r="AG366" s="285"/>
      <c r="AH366" s="285"/>
      <c r="AI366" s="285"/>
      <c r="AJ366" s="285"/>
      <c r="AK366" s="285"/>
    </row>
    <row r="367"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  <c r="AB367" s="285"/>
      <c r="AC367" s="285"/>
      <c r="AD367" s="285"/>
      <c r="AE367" s="285"/>
      <c r="AF367" s="285"/>
      <c r="AG367" s="285"/>
      <c r="AH367" s="285"/>
      <c r="AI367" s="285"/>
      <c r="AJ367" s="285"/>
      <c r="AK367" s="285"/>
    </row>
    <row r="368"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  <c r="AB368" s="285"/>
      <c r="AC368" s="285"/>
      <c r="AD368" s="285"/>
      <c r="AE368" s="285"/>
      <c r="AF368" s="285"/>
      <c r="AG368" s="285"/>
      <c r="AH368" s="285"/>
      <c r="AI368" s="285"/>
      <c r="AJ368" s="285"/>
      <c r="AK368" s="285"/>
    </row>
    <row r="369"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  <c r="AB369" s="285"/>
      <c r="AC369" s="285"/>
      <c r="AD369" s="285"/>
      <c r="AE369" s="285"/>
      <c r="AF369" s="285"/>
      <c r="AG369" s="285"/>
      <c r="AH369" s="285"/>
      <c r="AI369" s="285"/>
      <c r="AJ369" s="285"/>
      <c r="AK369" s="285"/>
    </row>
    <row r="370"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  <c r="AB370" s="285"/>
      <c r="AC370" s="285"/>
      <c r="AD370" s="285"/>
      <c r="AE370" s="285"/>
      <c r="AF370" s="285"/>
      <c r="AG370" s="285"/>
      <c r="AH370" s="285"/>
      <c r="AI370" s="285"/>
      <c r="AJ370" s="285"/>
      <c r="AK370" s="285"/>
    </row>
    <row r="371"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  <c r="AB371" s="285"/>
      <c r="AC371" s="285"/>
      <c r="AD371" s="285"/>
      <c r="AE371" s="285"/>
      <c r="AF371" s="285"/>
      <c r="AG371" s="285"/>
      <c r="AH371" s="285"/>
      <c r="AI371" s="285"/>
      <c r="AJ371" s="285"/>
      <c r="AK371" s="285"/>
    </row>
    <row r="372"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  <c r="AB372" s="285"/>
      <c r="AC372" s="285"/>
      <c r="AD372" s="285"/>
      <c r="AE372" s="285"/>
      <c r="AF372" s="285"/>
      <c r="AG372" s="285"/>
      <c r="AH372" s="285"/>
      <c r="AI372" s="285"/>
      <c r="AJ372" s="285"/>
      <c r="AK372" s="285"/>
    </row>
    <row r="373"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  <c r="AB373" s="285"/>
      <c r="AC373" s="285"/>
      <c r="AD373" s="285"/>
      <c r="AE373" s="285"/>
      <c r="AF373" s="285"/>
      <c r="AG373" s="285"/>
      <c r="AH373" s="285"/>
      <c r="AI373" s="285"/>
      <c r="AJ373" s="285"/>
      <c r="AK373" s="285"/>
    </row>
    <row r="374"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  <c r="AB374" s="285"/>
      <c r="AC374" s="285"/>
      <c r="AD374" s="285"/>
      <c r="AE374" s="285"/>
      <c r="AF374" s="285"/>
      <c r="AG374" s="285"/>
      <c r="AH374" s="285"/>
      <c r="AI374" s="285"/>
      <c r="AJ374" s="285"/>
      <c r="AK374" s="285"/>
    </row>
    <row r="375"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  <c r="AB375" s="285"/>
      <c r="AC375" s="285"/>
      <c r="AD375" s="285"/>
      <c r="AE375" s="285"/>
      <c r="AF375" s="285"/>
      <c r="AG375" s="285"/>
      <c r="AH375" s="285"/>
      <c r="AI375" s="285"/>
      <c r="AJ375" s="285"/>
      <c r="AK375" s="285"/>
    </row>
    <row r="376"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  <c r="AB376" s="285"/>
      <c r="AC376" s="285"/>
      <c r="AD376" s="285"/>
      <c r="AE376" s="285"/>
      <c r="AF376" s="285"/>
      <c r="AG376" s="285"/>
      <c r="AH376" s="285"/>
      <c r="AI376" s="285"/>
      <c r="AJ376" s="285"/>
      <c r="AK376" s="285"/>
    </row>
    <row r="377"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  <c r="AB377" s="285"/>
      <c r="AC377" s="285"/>
      <c r="AD377" s="285"/>
      <c r="AE377" s="285"/>
      <c r="AF377" s="285"/>
      <c r="AG377" s="285"/>
      <c r="AH377" s="285"/>
      <c r="AI377" s="285"/>
      <c r="AJ377" s="285"/>
      <c r="AK377" s="285"/>
    </row>
    <row r="378"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  <c r="AB378" s="285"/>
      <c r="AC378" s="285"/>
      <c r="AD378" s="285"/>
      <c r="AE378" s="285"/>
      <c r="AF378" s="285"/>
      <c r="AG378" s="285"/>
      <c r="AH378" s="285"/>
      <c r="AI378" s="285"/>
      <c r="AJ378" s="285"/>
      <c r="AK378" s="285"/>
    </row>
    <row r="379"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  <c r="AB379" s="285"/>
      <c r="AC379" s="285"/>
      <c r="AD379" s="285"/>
      <c r="AE379" s="285"/>
      <c r="AF379" s="285"/>
      <c r="AG379" s="285"/>
      <c r="AH379" s="285"/>
      <c r="AI379" s="285"/>
      <c r="AJ379" s="285"/>
      <c r="AK379" s="285"/>
    </row>
    <row r="380"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  <c r="AB380" s="285"/>
      <c r="AC380" s="285"/>
      <c r="AD380" s="285"/>
      <c r="AE380" s="285"/>
      <c r="AF380" s="285"/>
      <c r="AG380" s="285"/>
      <c r="AH380" s="285"/>
      <c r="AI380" s="285"/>
      <c r="AJ380" s="285"/>
      <c r="AK380" s="285"/>
    </row>
    <row r="381"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  <c r="AB381" s="285"/>
      <c r="AC381" s="285"/>
      <c r="AD381" s="285"/>
      <c r="AE381" s="285"/>
      <c r="AF381" s="285"/>
      <c r="AG381" s="285"/>
      <c r="AH381" s="285"/>
      <c r="AI381" s="285"/>
      <c r="AJ381" s="285"/>
      <c r="AK381" s="285"/>
    </row>
    <row r="382"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  <c r="AB382" s="285"/>
      <c r="AC382" s="285"/>
      <c r="AD382" s="285"/>
      <c r="AE382" s="285"/>
      <c r="AF382" s="285"/>
      <c r="AG382" s="285"/>
      <c r="AH382" s="285"/>
      <c r="AI382" s="285"/>
      <c r="AJ382" s="285"/>
      <c r="AK382" s="285"/>
    </row>
    <row r="383"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  <c r="AB383" s="285"/>
      <c r="AC383" s="285"/>
      <c r="AD383" s="285"/>
      <c r="AE383" s="285"/>
      <c r="AF383" s="285"/>
      <c r="AG383" s="285"/>
      <c r="AH383" s="285"/>
      <c r="AI383" s="285"/>
      <c r="AJ383" s="285"/>
      <c r="AK383" s="285"/>
    </row>
    <row r="384"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  <c r="AB384" s="285"/>
      <c r="AC384" s="285"/>
      <c r="AD384" s="285"/>
      <c r="AE384" s="285"/>
      <c r="AF384" s="285"/>
      <c r="AG384" s="285"/>
      <c r="AH384" s="285"/>
      <c r="AI384" s="285"/>
      <c r="AJ384" s="285"/>
      <c r="AK384" s="285"/>
    </row>
    <row r="385"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  <c r="AB385" s="285"/>
      <c r="AC385" s="285"/>
      <c r="AD385" s="285"/>
      <c r="AE385" s="285"/>
      <c r="AF385" s="285"/>
      <c r="AG385" s="285"/>
      <c r="AH385" s="285"/>
      <c r="AI385" s="285"/>
      <c r="AJ385" s="285"/>
      <c r="AK385" s="285"/>
    </row>
    <row r="386"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  <c r="AB386" s="285"/>
      <c r="AC386" s="285"/>
      <c r="AD386" s="285"/>
      <c r="AE386" s="285"/>
      <c r="AF386" s="285"/>
      <c r="AG386" s="285"/>
      <c r="AH386" s="285"/>
      <c r="AI386" s="285"/>
      <c r="AJ386" s="285"/>
      <c r="AK386" s="285"/>
    </row>
    <row r="387"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  <c r="AB387" s="285"/>
      <c r="AC387" s="285"/>
      <c r="AD387" s="285"/>
      <c r="AE387" s="285"/>
      <c r="AF387" s="285"/>
      <c r="AG387" s="285"/>
      <c r="AH387" s="285"/>
      <c r="AI387" s="285"/>
      <c r="AJ387" s="285"/>
      <c r="AK387" s="285"/>
    </row>
    <row r="388"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  <c r="AB388" s="285"/>
      <c r="AC388" s="285"/>
      <c r="AD388" s="285"/>
      <c r="AE388" s="285"/>
      <c r="AF388" s="285"/>
      <c r="AG388" s="285"/>
      <c r="AH388" s="285"/>
      <c r="AI388" s="285"/>
      <c r="AJ388" s="285"/>
      <c r="AK388" s="285"/>
    </row>
    <row r="389"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  <c r="AB389" s="285"/>
      <c r="AC389" s="285"/>
      <c r="AD389" s="285"/>
      <c r="AE389" s="285"/>
      <c r="AF389" s="285"/>
      <c r="AG389" s="285"/>
      <c r="AH389" s="285"/>
      <c r="AI389" s="285"/>
      <c r="AJ389" s="285"/>
      <c r="AK389" s="285"/>
    </row>
    <row r="390"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  <c r="AB390" s="285"/>
      <c r="AC390" s="285"/>
      <c r="AD390" s="285"/>
      <c r="AE390" s="285"/>
      <c r="AF390" s="285"/>
      <c r="AG390" s="285"/>
      <c r="AH390" s="285"/>
      <c r="AI390" s="285"/>
      <c r="AJ390" s="285"/>
      <c r="AK390" s="285"/>
    </row>
    <row r="391"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  <c r="AB391" s="285"/>
      <c r="AC391" s="285"/>
      <c r="AD391" s="285"/>
      <c r="AE391" s="285"/>
      <c r="AF391" s="285"/>
      <c r="AG391" s="285"/>
      <c r="AH391" s="285"/>
      <c r="AI391" s="285"/>
      <c r="AJ391" s="285"/>
      <c r="AK391" s="285"/>
    </row>
    <row r="392"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  <c r="AB392" s="285"/>
      <c r="AC392" s="285"/>
      <c r="AD392" s="285"/>
      <c r="AE392" s="285"/>
      <c r="AF392" s="285"/>
      <c r="AG392" s="285"/>
      <c r="AH392" s="285"/>
      <c r="AI392" s="285"/>
      <c r="AJ392" s="285"/>
      <c r="AK392" s="285"/>
    </row>
    <row r="393"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  <c r="AB393" s="285"/>
      <c r="AC393" s="285"/>
      <c r="AD393" s="285"/>
      <c r="AE393" s="285"/>
      <c r="AF393" s="285"/>
      <c r="AG393" s="285"/>
      <c r="AH393" s="285"/>
      <c r="AI393" s="285"/>
      <c r="AJ393" s="285"/>
      <c r="AK393" s="285"/>
    </row>
    <row r="394"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  <c r="AB394" s="285"/>
      <c r="AC394" s="285"/>
      <c r="AD394" s="285"/>
      <c r="AE394" s="285"/>
      <c r="AF394" s="285"/>
      <c r="AG394" s="285"/>
      <c r="AH394" s="285"/>
      <c r="AI394" s="285"/>
      <c r="AJ394" s="285"/>
      <c r="AK394" s="285"/>
    </row>
    <row r="395"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  <c r="AB395" s="285"/>
      <c r="AC395" s="285"/>
      <c r="AD395" s="285"/>
      <c r="AE395" s="285"/>
      <c r="AF395" s="285"/>
      <c r="AG395" s="285"/>
      <c r="AH395" s="285"/>
      <c r="AI395" s="285"/>
      <c r="AJ395" s="285"/>
      <c r="AK395" s="285"/>
    </row>
    <row r="396"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  <c r="AB396" s="285"/>
      <c r="AC396" s="285"/>
      <c r="AD396" s="285"/>
      <c r="AE396" s="285"/>
      <c r="AF396" s="285"/>
      <c r="AG396" s="285"/>
      <c r="AH396" s="285"/>
      <c r="AI396" s="285"/>
      <c r="AJ396" s="285"/>
      <c r="AK396" s="285"/>
    </row>
    <row r="397"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  <c r="AB397" s="285"/>
      <c r="AC397" s="285"/>
      <c r="AD397" s="285"/>
      <c r="AE397" s="285"/>
      <c r="AF397" s="285"/>
      <c r="AG397" s="285"/>
      <c r="AH397" s="285"/>
      <c r="AI397" s="285"/>
      <c r="AJ397" s="285"/>
      <c r="AK397" s="285"/>
    </row>
    <row r="398"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  <c r="AB398" s="285"/>
      <c r="AC398" s="285"/>
      <c r="AD398" s="285"/>
      <c r="AE398" s="285"/>
      <c r="AF398" s="285"/>
      <c r="AG398" s="285"/>
      <c r="AH398" s="285"/>
      <c r="AI398" s="285"/>
      <c r="AJ398" s="285"/>
      <c r="AK398" s="285"/>
    </row>
    <row r="399"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  <c r="AB399" s="285"/>
      <c r="AC399" s="285"/>
      <c r="AD399" s="285"/>
      <c r="AE399" s="285"/>
      <c r="AF399" s="285"/>
      <c r="AG399" s="285"/>
      <c r="AH399" s="285"/>
      <c r="AI399" s="285"/>
      <c r="AJ399" s="285"/>
      <c r="AK399" s="285"/>
    </row>
    <row r="400"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  <c r="AB400" s="285"/>
      <c r="AC400" s="285"/>
      <c r="AD400" s="285"/>
      <c r="AE400" s="285"/>
      <c r="AF400" s="285"/>
      <c r="AG400" s="285"/>
      <c r="AH400" s="285"/>
      <c r="AI400" s="285"/>
      <c r="AJ400" s="285"/>
      <c r="AK400" s="285"/>
    </row>
    <row r="401"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  <c r="AB401" s="285"/>
      <c r="AC401" s="285"/>
      <c r="AD401" s="285"/>
      <c r="AE401" s="285"/>
      <c r="AF401" s="285"/>
      <c r="AG401" s="285"/>
      <c r="AH401" s="285"/>
      <c r="AI401" s="285"/>
      <c r="AJ401" s="285"/>
      <c r="AK401" s="285"/>
    </row>
    <row r="402"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  <c r="AB402" s="285"/>
      <c r="AC402" s="285"/>
      <c r="AD402" s="285"/>
      <c r="AE402" s="285"/>
      <c r="AF402" s="285"/>
      <c r="AG402" s="285"/>
      <c r="AH402" s="285"/>
      <c r="AI402" s="285"/>
      <c r="AJ402" s="285"/>
      <c r="AK402" s="285"/>
    </row>
    <row r="403"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  <c r="AB403" s="285"/>
      <c r="AC403" s="285"/>
      <c r="AD403" s="285"/>
      <c r="AE403" s="285"/>
      <c r="AF403" s="285"/>
      <c r="AG403" s="285"/>
      <c r="AH403" s="285"/>
      <c r="AI403" s="285"/>
      <c r="AJ403" s="285"/>
      <c r="AK403" s="285"/>
    </row>
    <row r="404"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  <c r="AB404" s="285"/>
      <c r="AC404" s="285"/>
      <c r="AD404" s="285"/>
      <c r="AE404" s="285"/>
      <c r="AF404" s="285"/>
      <c r="AG404" s="285"/>
      <c r="AH404" s="285"/>
      <c r="AI404" s="285"/>
      <c r="AJ404" s="285"/>
      <c r="AK404" s="285"/>
    </row>
    <row r="405"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  <c r="AB405" s="285"/>
      <c r="AC405" s="285"/>
      <c r="AD405" s="285"/>
      <c r="AE405" s="285"/>
      <c r="AF405" s="285"/>
      <c r="AG405" s="285"/>
      <c r="AH405" s="285"/>
      <c r="AI405" s="285"/>
      <c r="AJ405" s="285"/>
      <c r="AK405" s="285"/>
    </row>
    <row r="406"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  <c r="AB406" s="285"/>
      <c r="AC406" s="285"/>
      <c r="AD406" s="285"/>
      <c r="AE406" s="285"/>
      <c r="AF406" s="285"/>
      <c r="AG406" s="285"/>
      <c r="AH406" s="285"/>
      <c r="AI406" s="285"/>
      <c r="AJ406" s="285"/>
      <c r="AK406" s="285"/>
    </row>
    <row r="407"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  <c r="AB407" s="285"/>
      <c r="AC407" s="285"/>
      <c r="AD407" s="285"/>
      <c r="AE407" s="285"/>
      <c r="AF407" s="285"/>
      <c r="AG407" s="285"/>
      <c r="AH407" s="285"/>
      <c r="AI407" s="285"/>
      <c r="AJ407" s="285"/>
      <c r="AK407" s="285"/>
    </row>
    <row r="408"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  <c r="AB408" s="285"/>
      <c r="AC408" s="285"/>
      <c r="AD408" s="285"/>
      <c r="AE408" s="285"/>
      <c r="AF408" s="285"/>
      <c r="AG408" s="285"/>
      <c r="AH408" s="285"/>
      <c r="AI408" s="285"/>
      <c r="AJ408" s="285"/>
      <c r="AK408" s="285"/>
    </row>
    <row r="409"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  <c r="AB409" s="285"/>
      <c r="AC409" s="285"/>
      <c r="AD409" s="285"/>
      <c r="AE409" s="285"/>
      <c r="AF409" s="285"/>
      <c r="AG409" s="285"/>
      <c r="AH409" s="285"/>
      <c r="AI409" s="285"/>
      <c r="AJ409" s="285"/>
      <c r="AK409" s="285"/>
    </row>
    <row r="410"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  <c r="AB410" s="285"/>
      <c r="AC410" s="285"/>
      <c r="AD410" s="285"/>
      <c r="AE410" s="285"/>
      <c r="AF410" s="285"/>
      <c r="AG410" s="285"/>
      <c r="AH410" s="285"/>
      <c r="AI410" s="285"/>
      <c r="AJ410" s="285"/>
      <c r="AK410" s="285"/>
    </row>
    <row r="411"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  <c r="AB411" s="285"/>
      <c r="AC411" s="285"/>
      <c r="AD411" s="285"/>
      <c r="AE411" s="285"/>
      <c r="AF411" s="285"/>
      <c r="AG411" s="285"/>
      <c r="AH411" s="285"/>
      <c r="AI411" s="285"/>
      <c r="AJ411" s="285"/>
      <c r="AK411" s="285"/>
    </row>
    <row r="412"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  <c r="AB412" s="285"/>
      <c r="AC412" s="285"/>
      <c r="AD412" s="285"/>
      <c r="AE412" s="285"/>
      <c r="AF412" s="285"/>
      <c r="AG412" s="285"/>
      <c r="AH412" s="285"/>
      <c r="AI412" s="285"/>
      <c r="AJ412" s="285"/>
      <c r="AK412" s="285"/>
    </row>
    <row r="413"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  <c r="AB413" s="285"/>
      <c r="AC413" s="285"/>
      <c r="AD413" s="285"/>
      <c r="AE413" s="285"/>
      <c r="AF413" s="285"/>
      <c r="AG413" s="285"/>
      <c r="AH413" s="285"/>
      <c r="AI413" s="285"/>
      <c r="AJ413" s="285"/>
      <c r="AK413" s="285"/>
    </row>
    <row r="414"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  <c r="AB414" s="285"/>
      <c r="AC414" s="285"/>
      <c r="AD414" s="285"/>
      <c r="AE414" s="285"/>
      <c r="AF414" s="285"/>
      <c r="AG414" s="285"/>
      <c r="AH414" s="285"/>
      <c r="AI414" s="285"/>
      <c r="AJ414" s="285"/>
      <c r="AK414" s="285"/>
    </row>
    <row r="415"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  <c r="AB415" s="285"/>
      <c r="AC415" s="285"/>
      <c r="AD415" s="285"/>
      <c r="AE415" s="285"/>
      <c r="AF415" s="285"/>
      <c r="AG415" s="285"/>
      <c r="AH415" s="285"/>
      <c r="AI415" s="285"/>
      <c r="AJ415" s="285"/>
      <c r="AK415" s="285"/>
    </row>
    <row r="416"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  <c r="AB416" s="285"/>
      <c r="AC416" s="285"/>
      <c r="AD416" s="285"/>
      <c r="AE416" s="285"/>
      <c r="AF416" s="285"/>
      <c r="AG416" s="285"/>
      <c r="AH416" s="285"/>
      <c r="AI416" s="285"/>
      <c r="AJ416" s="285"/>
      <c r="AK416" s="285"/>
    </row>
    <row r="417"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  <c r="AB417" s="285"/>
      <c r="AC417" s="285"/>
      <c r="AD417" s="285"/>
      <c r="AE417" s="285"/>
      <c r="AF417" s="285"/>
      <c r="AG417" s="285"/>
      <c r="AH417" s="285"/>
      <c r="AI417" s="285"/>
      <c r="AJ417" s="285"/>
      <c r="AK417" s="285"/>
    </row>
    <row r="418"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  <c r="AB418" s="285"/>
      <c r="AC418" s="285"/>
      <c r="AD418" s="285"/>
      <c r="AE418" s="285"/>
      <c r="AF418" s="285"/>
      <c r="AG418" s="285"/>
      <c r="AH418" s="285"/>
      <c r="AI418" s="285"/>
      <c r="AJ418" s="285"/>
      <c r="AK418" s="285"/>
    </row>
    <row r="419"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  <c r="AB419" s="285"/>
      <c r="AC419" s="285"/>
      <c r="AD419" s="285"/>
      <c r="AE419" s="285"/>
      <c r="AF419" s="285"/>
      <c r="AG419" s="285"/>
      <c r="AH419" s="285"/>
      <c r="AI419" s="285"/>
      <c r="AJ419" s="285"/>
      <c r="AK419" s="285"/>
    </row>
    <row r="420"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  <c r="AB420" s="285"/>
      <c r="AC420" s="285"/>
      <c r="AD420" s="285"/>
      <c r="AE420" s="285"/>
      <c r="AF420" s="285"/>
      <c r="AG420" s="285"/>
      <c r="AH420" s="285"/>
      <c r="AI420" s="285"/>
      <c r="AJ420" s="285"/>
      <c r="AK420" s="285"/>
    </row>
    <row r="421"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  <c r="AB421" s="285"/>
      <c r="AC421" s="285"/>
      <c r="AD421" s="285"/>
      <c r="AE421" s="285"/>
      <c r="AF421" s="285"/>
      <c r="AG421" s="285"/>
      <c r="AH421" s="285"/>
      <c r="AI421" s="285"/>
      <c r="AJ421" s="285"/>
      <c r="AK421" s="285"/>
    </row>
    <row r="422"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  <c r="AB422" s="285"/>
      <c r="AC422" s="285"/>
      <c r="AD422" s="285"/>
      <c r="AE422" s="285"/>
      <c r="AF422" s="285"/>
      <c r="AG422" s="285"/>
      <c r="AH422" s="285"/>
      <c r="AI422" s="285"/>
      <c r="AJ422" s="285"/>
      <c r="AK422" s="285"/>
    </row>
    <row r="423"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  <c r="AB423" s="285"/>
      <c r="AC423" s="285"/>
      <c r="AD423" s="285"/>
      <c r="AE423" s="285"/>
      <c r="AF423" s="285"/>
      <c r="AG423" s="285"/>
      <c r="AH423" s="285"/>
      <c r="AI423" s="285"/>
      <c r="AJ423" s="285"/>
      <c r="AK423" s="285"/>
    </row>
    <row r="424"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  <c r="AB424" s="285"/>
      <c r="AC424" s="285"/>
      <c r="AD424" s="285"/>
      <c r="AE424" s="285"/>
      <c r="AF424" s="285"/>
      <c r="AG424" s="285"/>
      <c r="AH424" s="285"/>
      <c r="AI424" s="285"/>
      <c r="AJ424" s="285"/>
      <c r="AK424" s="285"/>
    </row>
    <row r="425"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  <c r="AB425" s="285"/>
      <c r="AC425" s="285"/>
      <c r="AD425" s="285"/>
      <c r="AE425" s="285"/>
      <c r="AF425" s="285"/>
      <c r="AG425" s="285"/>
      <c r="AH425" s="285"/>
      <c r="AI425" s="285"/>
      <c r="AJ425" s="285"/>
      <c r="AK425" s="285"/>
    </row>
    <row r="426"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  <c r="AB426" s="285"/>
      <c r="AC426" s="285"/>
      <c r="AD426" s="285"/>
      <c r="AE426" s="285"/>
      <c r="AF426" s="285"/>
      <c r="AG426" s="285"/>
      <c r="AH426" s="285"/>
      <c r="AI426" s="285"/>
      <c r="AJ426" s="285"/>
      <c r="AK426" s="285"/>
    </row>
    <row r="427"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  <c r="AB427" s="285"/>
      <c r="AC427" s="285"/>
      <c r="AD427" s="285"/>
      <c r="AE427" s="285"/>
      <c r="AF427" s="285"/>
      <c r="AG427" s="285"/>
      <c r="AH427" s="285"/>
      <c r="AI427" s="285"/>
      <c r="AJ427" s="285"/>
      <c r="AK427" s="285"/>
    </row>
    <row r="428"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  <c r="AB428" s="285"/>
      <c r="AC428" s="285"/>
      <c r="AD428" s="285"/>
      <c r="AE428" s="285"/>
      <c r="AF428" s="285"/>
      <c r="AG428" s="285"/>
      <c r="AH428" s="285"/>
      <c r="AI428" s="285"/>
      <c r="AJ428" s="285"/>
      <c r="AK428" s="285"/>
    </row>
    <row r="429"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  <c r="AB429" s="285"/>
      <c r="AC429" s="285"/>
      <c r="AD429" s="285"/>
      <c r="AE429" s="285"/>
      <c r="AF429" s="285"/>
      <c r="AG429" s="285"/>
      <c r="AH429" s="285"/>
      <c r="AI429" s="285"/>
      <c r="AJ429" s="285"/>
      <c r="AK429" s="285"/>
    </row>
    <row r="430"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  <c r="AB430" s="285"/>
      <c r="AC430" s="285"/>
      <c r="AD430" s="285"/>
      <c r="AE430" s="285"/>
      <c r="AF430" s="285"/>
      <c r="AG430" s="285"/>
      <c r="AH430" s="285"/>
      <c r="AI430" s="285"/>
      <c r="AJ430" s="285"/>
      <c r="AK430" s="285"/>
    </row>
    <row r="431"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  <c r="AB431" s="285"/>
      <c r="AC431" s="285"/>
      <c r="AD431" s="285"/>
      <c r="AE431" s="285"/>
      <c r="AF431" s="285"/>
      <c r="AG431" s="285"/>
      <c r="AH431" s="285"/>
      <c r="AI431" s="285"/>
      <c r="AJ431" s="285"/>
      <c r="AK431" s="285"/>
    </row>
    <row r="432"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  <c r="AB432" s="285"/>
      <c r="AC432" s="285"/>
      <c r="AD432" s="285"/>
      <c r="AE432" s="285"/>
      <c r="AF432" s="285"/>
      <c r="AG432" s="285"/>
      <c r="AH432" s="285"/>
      <c r="AI432" s="285"/>
      <c r="AJ432" s="285"/>
      <c r="AK432" s="285"/>
    </row>
    <row r="433"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  <c r="AB433" s="285"/>
      <c r="AC433" s="285"/>
      <c r="AD433" s="285"/>
      <c r="AE433" s="285"/>
      <c r="AF433" s="285"/>
      <c r="AG433" s="285"/>
      <c r="AH433" s="285"/>
      <c r="AI433" s="285"/>
      <c r="AJ433" s="285"/>
      <c r="AK433" s="285"/>
    </row>
    <row r="434"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  <c r="AB434" s="285"/>
      <c r="AC434" s="285"/>
      <c r="AD434" s="285"/>
      <c r="AE434" s="285"/>
      <c r="AF434" s="285"/>
      <c r="AG434" s="285"/>
      <c r="AH434" s="285"/>
      <c r="AI434" s="285"/>
      <c r="AJ434" s="285"/>
      <c r="AK434" s="285"/>
    </row>
    <row r="435"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  <c r="AB435" s="285"/>
      <c r="AC435" s="285"/>
      <c r="AD435" s="285"/>
      <c r="AE435" s="285"/>
      <c r="AF435" s="285"/>
      <c r="AG435" s="285"/>
      <c r="AH435" s="285"/>
      <c r="AI435" s="285"/>
      <c r="AJ435" s="285"/>
      <c r="AK435" s="285"/>
    </row>
    <row r="436"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  <c r="AB436" s="285"/>
      <c r="AC436" s="285"/>
      <c r="AD436" s="285"/>
      <c r="AE436" s="285"/>
      <c r="AF436" s="285"/>
      <c r="AG436" s="285"/>
      <c r="AH436" s="285"/>
      <c r="AI436" s="285"/>
      <c r="AJ436" s="285"/>
      <c r="AK436" s="285"/>
    </row>
    <row r="437"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  <c r="AB437" s="285"/>
      <c r="AC437" s="285"/>
      <c r="AD437" s="285"/>
      <c r="AE437" s="285"/>
      <c r="AF437" s="285"/>
      <c r="AG437" s="285"/>
      <c r="AH437" s="285"/>
      <c r="AI437" s="285"/>
      <c r="AJ437" s="285"/>
      <c r="AK437" s="285"/>
    </row>
    <row r="438"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  <c r="AB438" s="285"/>
      <c r="AC438" s="285"/>
      <c r="AD438" s="285"/>
      <c r="AE438" s="285"/>
      <c r="AF438" s="285"/>
      <c r="AG438" s="285"/>
      <c r="AH438" s="285"/>
      <c r="AI438" s="285"/>
      <c r="AJ438" s="285"/>
      <c r="AK438" s="285"/>
    </row>
    <row r="439"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  <c r="AB439" s="285"/>
      <c r="AC439" s="285"/>
      <c r="AD439" s="285"/>
      <c r="AE439" s="285"/>
      <c r="AF439" s="285"/>
      <c r="AG439" s="285"/>
      <c r="AH439" s="285"/>
      <c r="AI439" s="285"/>
      <c r="AJ439" s="285"/>
      <c r="AK439" s="285"/>
    </row>
    <row r="440"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  <c r="AB440" s="285"/>
      <c r="AC440" s="285"/>
      <c r="AD440" s="285"/>
      <c r="AE440" s="285"/>
      <c r="AF440" s="285"/>
      <c r="AG440" s="285"/>
      <c r="AH440" s="285"/>
      <c r="AI440" s="285"/>
      <c r="AJ440" s="285"/>
      <c r="AK440" s="285"/>
    </row>
    <row r="441"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  <c r="AB441" s="285"/>
      <c r="AC441" s="285"/>
      <c r="AD441" s="285"/>
      <c r="AE441" s="285"/>
      <c r="AF441" s="285"/>
      <c r="AG441" s="285"/>
      <c r="AH441" s="285"/>
      <c r="AI441" s="285"/>
      <c r="AJ441" s="285"/>
      <c r="AK441" s="285"/>
    </row>
    <row r="442"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  <c r="AB442" s="285"/>
      <c r="AC442" s="285"/>
      <c r="AD442" s="285"/>
      <c r="AE442" s="285"/>
      <c r="AF442" s="285"/>
      <c r="AG442" s="285"/>
      <c r="AH442" s="285"/>
      <c r="AI442" s="285"/>
      <c r="AJ442" s="285"/>
      <c r="AK442" s="285"/>
    </row>
    <row r="443"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  <c r="AB443" s="285"/>
      <c r="AC443" s="285"/>
      <c r="AD443" s="285"/>
      <c r="AE443" s="285"/>
      <c r="AF443" s="285"/>
      <c r="AG443" s="285"/>
      <c r="AH443" s="285"/>
      <c r="AI443" s="285"/>
      <c r="AJ443" s="285"/>
      <c r="AK443" s="285"/>
    </row>
    <row r="444"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  <c r="AB444" s="285"/>
      <c r="AC444" s="285"/>
      <c r="AD444" s="285"/>
      <c r="AE444" s="285"/>
      <c r="AF444" s="285"/>
      <c r="AG444" s="285"/>
      <c r="AH444" s="285"/>
      <c r="AI444" s="285"/>
      <c r="AJ444" s="285"/>
      <c r="AK444" s="285"/>
    </row>
    <row r="445"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  <c r="AB445" s="285"/>
      <c r="AC445" s="285"/>
      <c r="AD445" s="285"/>
      <c r="AE445" s="285"/>
      <c r="AF445" s="285"/>
      <c r="AG445" s="285"/>
      <c r="AH445" s="285"/>
      <c r="AI445" s="285"/>
      <c r="AJ445" s="285"/>
      <c r="AK445" s="285"/>
    </row>
    <row r="446"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  <c r="AB446" s="285"/>
      <c r="AC446" s="285"/>
      <c r="AD446" s="285"/>
      <c r="AE446" s="285"/>
      <c r="AF446" s="285"/>
      <c r="AG446" s="285"/>
      <c r="AH446" s="285"/>
      <c r="AI446" s="285"/>
      <c r="AJ446" s="285"/>
      <c r="AK446" s="285"/>
    </row>
    <row r="447"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  <c r="AB447" s="285"/>
      <c r="AC447" s="285"/>
      <c r="AD447" s="285"/>
      <c r="AE447" s="285"/>
      <c r="AF447" s="285"/>
      <c r="AG447" s="285"/>
      <c r="AH447" s="285"/>
      <c r="AI447" s="285"/>
      <c r="AJ447" s="285"/>
      <c r="AK447" s="285"/>
    </row>
    <row r="448"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  <c r="AB448" s="285"/>
      <c r="AC448" s="285"/>
      <c r="AD448" s="285"/>
      <c r="AE448" s="285"/>
      <c r="AF448" s="285"/>
      <c r="AG448" s="285"/>
      <c r="AH448" s="285"/>
      <c r="AI448" s="285"/>
      <c r="AJ448" s="285"/>
      <c r="AK448" s="285"/>
    </row>
    <row r="449"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  <c r="AB449" s="285"/>
      <c r="AC449" s="285"/>
      <c r="AD449" s="285"/>
      <c r="AE449" s="285"/>
      <c r="AF449" s="285"/>
      <c r="AG449" s="285"/>
      <c r="AH449" s="285"/>
      <c r="AI449" s="285"/>
      <c r="AJ449" s="285"/>
      <c r="AK449" s="285"/>
    </row>
    <row r="450"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  <c r="AB450" s="285"/>
      <c r="AC450" s="285"/>
      <c r="AD450" s="285"/>
      <c r="AE450" s="285"/>
      <c r="AF450" s="285"/>
      <c r="AG450" s="285"/>
      <c r="AH450" s="285"/>
      <c r="AI450" s="285"/>
      <c r="AJ450" s="285"/>
      <c r="AK450" s="285"/>
    </row>
    <row r="451"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  <c r="AB451" s="285"/>
      <c r="AC451" s="285"/>
      <c r="AD451" s="285"/>
      <c r="AE451" s="285"/>
      <c r="AF451" s="285"/>
      <c r="AG451" s="285"/>
      <c r="AH451" s="285"/>
      <c r="AI451" s="285"/>
      <c r="AJ451" s="285"/>
      <c r="AK451" s="285"/>
    </row>
    <row r="452"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  <c r="AB452" s="285"/>
      <c r="AC452" s="285"/>
      <c r="AD452" s="285"/>
      <c r="AE452" s="285"/>
      <c r="AF452" s="285"/>
      <c r="AG452" s="285"/>
      <c r="AH452" s="285"/>
      <c r="AI452" s="285"/>
      <c r="AJ452" s="285"/>
      <c r="AK452" s="285"/>
    </row>
    <row r="453"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  <c r="AB453" s="285"/>
      <c r="AC453" s="285"/>
      <c r="AD453" s="285"/>
      <c r="AE453" s="285"/>
      <c r="AF453" s="285"/>
      <c r="AG453" s="285"/>
      <c r="AH453" s="285"/>
      <c r="AI453" s="285"/>
      <c r="AJ453" s="285"/>
      <c r="AK453" s="285"/>
    </row>
    <row r="454"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  <c r="AB454" s="285"/>
      <c r="AC454" s="285"/>
      <c r="AD454" s="285"/>
      <c r="AE454" s="285"/>
      <c r="AF454" s="285"/>
      <c r="AG454" s="285"/>
      <c r="AH454" s="285"/>
      <c r="AI454" s="285"/>
      <c r="AJ454" s="285"/>
      <c r="AK454" s="285"/>
    </row>
    <row r="455"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  <c r="AB455" s="285"/>
      <c r="AC455" s="285"/>
      <c r="AD455" s="285"/>
      <c r="AE455" s="285"/>
      <c r="AF455" s="285"/>
      <c r="AG455" s="285"/>
      <c r="AH455" s="285"/>
      <c r="AI455" s="285"/>
      <c r="AJ455" s="285"/>
      <c r="AK455" s="285"/>
    </row>
    <row r="456"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  <c r="AB456" s="285"/>
      <c r="AC456" s="285"/>
      <c r="AD456" s="285"/>
      <c r="AE456" s="285"/>
      <c r="AF456" s="285"/>
      <c r="AG456" s="285"/>
      <c r="AH456" s="285"/>
      <c r="AI456" s="285"/>
      <c r="AJ456" s="285"/>
      <c r="AK456" s="285"/>
    </row>
    <row r="457"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  <c r="AB457" s="285"/>
      <c r="AC457" s="285"/>
      <c r="AD457" s="285"/>
      <c r="AE457" s="285"/>
      <c r="AF457" s="285"/>
      <c r="AG457" s="285"/>
      <c r="AH457" s="285"/>
      <c r="AI457" s="285"/>
      <c r="AJ457" s="285"/>
      <c r="AK457" s="285"/>
    </row>
    <row r="458"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  <c r="AB458" s="285"/>
      <c r="AC458" s="285"/>
      <c r="AD458" s="285"/>
      <c r="AE458" s="285"/>
      <c r="AF458" s="285"/>
      <c r="AG458" s="285"/>
      <c r="AH458" s="285"/>
      <c r="AI458" s="285"/>
      <c r="AJ458" s="285"/>
      <c r="AK458" s="285"/>
    </row>
    <row r="459"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  <c r="AB459" s="285"/>
      <c r="AC459" s="285"/>
      <c r="AD459" s="285"/>
      <c r="AE459" s="285"/>
      <c r="AF459" s="285"/>
      <c r="AG459" s="285"/>
      <c r="AH459" s="285"/>
      <c r="AI459" s="285"/>
      <c r="AJ459" s="285"/>
      <c r="AK459" s="285"/>
    </row>
    <row r="460"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  <c r="AB460" s="285"/>
      <c r="AC460" s="285"/>
      <c r="AD460" s="285"/>
      <c r="AE460" s="285"/>
      <c r="AF460" s="285"/>
      <c r="AG460" s="285"/>
      <c r="AH460" s="285"/>
      <c r="AI460" s="285"/>
      <c r="AJ460" s="285"/>
      <c r="AK460" s="285"/>
    </row>
    <row r="461"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  <c r="AB461" s="285"/>
      <c r="AC461" s="285"/>
      <c r="AD461" s="285"/>
      <c r="AE461" s="285"/>
      <c r="AF461" s="285"/>
      <c r="AG461" s="285"/>
      <c r="AH461" s="285"/>
      <c r="AI461" s="285"/>
      <c r="AJ461" s="285"/>
      <c r="AK461" s="285"/>
    </row>
    <row r="462"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  <c r="AB462" s="285"/>
      <c r="AC462" s="285"/>
      <c r="AD462" s="285"/>
      <c r="AE462" s="285"/>
      <c r="AF462" s="285"/>
      <c r="AG462" s="285"/>
      <c r="AH462" s="285"/>
      <c r="AI462" s="285"/>
      <c r="AJ462" s="285"/>
      <c r="AK462" s="285"/>
    </row>
    <row r="463"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  <c r="AB463" s="285"/>
      <c r="AC463" s="285"/>
      <c r="AD463" s="285"/>
      <c r="AE463" s="285"/>
      <c r="AF463" s="285"/>
      <c r="AG463" s="285"/>
      <c r="AH463" s="285"/>
      <c r="AI463" s="285"/>
      <c r="AJ463" s="285"/>
      <c r="AK463" s="285"/>
    </row>
    <row r="464"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  <c r="AB464" s="285"/>
      <c r="AC464" s="285"/>
      <c r="AD464" s="285"/>
      <c r="AE464" s="285"/>
      <c r="AF464" s="285"/>
      <c r="AG464" s="285"/>
      <c r="AH464" s="285"/>
      <c r="AI464" s="285"/>
      <c r="AJ464" s="285"/>
      <c r="AK464" s="285"/>
    </row>
    <row r="465"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  <c r="AB465" s="285"/>
      <c r="AC465" s="285"/>
      <c r="AD465" s="285"/>
      <c r="AE465" s="285"/>
      <c r="AF465" s="285"/>
      <c r="AG465" s="285"/>
      <c r="AH465" s="285"/>
      <c r="AI465" s="285"/>
      <c r="AJ465" s="285"/>
      <c r="AK465" s="285"/>
    </row>
    <row r="466"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  <c r="AB466" s="285"/>
      <c r="AC466" s="285"/>
      <c r="AD466" s="285"/>
      <c r="AE466" s="285"/>
      <c r="AF466" s="285"/>
      <c r="AG466" s="285"/>
      <c r="AH466" s="285"/>
      <c r="AI466" s="285"/>
      <c r="AJ466" s="285"/>
      <c r="AK466" s="285"/>
    </row>
    <row r="467"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  <c r="AB467" s="285"/>
      <c r="AC467" s="285"/>
      <c r="AD467" s="285"/>
      <c r="AE467" s="285"/>
      <c r="AF467" s="285"/>
      <c r="AG467" s="285"/>
      <c r="AH467" s="285"/>
      <c r="AI467" s="285"/>
      <c r="AJ467" s="285"/>
      <c r="AK467" s="285"/>
    </row>
    <row r="468"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  <c r="AB468" s="285"/>
      <c r="AC468" s="285"/>
      <c r="AD468" s="285"/>
      <c r="AE468" s="285"/>
      <c r="AF468" s="285"/>
      <c r="AG468" s="285"/>
      <c r="AH468" s="285"/>
      <c r="AI468" s="285"/>
      <c r="AJ468" s="285"/>
      <c r="AK468" s="285"/>
    </row>
    <row r="469"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  <c r="AB469" s="285"/>
      <c r="AC469" s="285"/>
      <c r="AD469" s="285"/>
      <c r="AE469" s="285"/>
      <c r="AF469" s="285"/>
      <c r="AG469" s="285"/>
      <c r="AH469" s="285"/>
      <c r="AI469" s="285"/>
      <c r="AJ469" s="285"/>
      <c r="AK469" s="285"/>
    </row>
    <row r="470"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  <c r="AB470" s="285"/>
      <c r="AC470" s="285"/>
      <c r="AD470" s="285"/>
      <c r="AE470" s="285"/>
      <c r="AF470" s="285"/>
      <c r="AG470" s="285"/>
      <c r="AH470" s="285"/>
      <c r="AI470" s="285"/>
      <c r="AJ470" s="285"/>
      <c r="AK470" s="285"/>
    </row>
    <row r="471"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  <c r="AB471" s="285"/>
      <c r="AC471" s="285"/>
      <c r="AD471" s="285"/>
      <c r="AE471" s="285"/>
      <c r="AF471" s="285"/>
      <c r="AG471" s="285"/>
      <c r="AH471" s="285"/>
      <c r="AI471" s="285"/>
      <c r="AJ471" s="285"/>
      <c r="AK471" s="285"/>
    </row>
    <row r="472"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  <c r="AB472" s="285"/>
      <c r="AC472" s="285"/>
      <c r="AD472" s="285"/>
      <c r="AE472" s="285"/>
      <c r="AF472" s="285"/>
      <c r="AG472" s="285"/>
      <c r="AH472" s="285"/>
      <c r="AI472" s="285"/>
      <c r="AJ472" s="285"/>
      <c r="AK472" s="285"/>
    </row>
    <row r="473"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  <c r="AB473" s="285"/>
      <c r="AC473" s="285"/>
      <c r="AD473" s="285"/>
      <c r="AE473" s="285"/>
      <c r="AF473" s="285"/>
      <c r="AG473" s="285"/>
      <c r="AH473" s="285"/>
      <c r="AI473" s="285"/>
      <c r="AJ473" s="285"/>
      <c r="AK473" s="285"/>
    </row>
    <row r="474"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  <c r="AB474" s="285"/>
      <c r="AC474" s="285"/>
      <c r="AD474" s="285"/>
      <c r="AE474" s="285"/>
      <c r="AF474" s="285"/>
      <c r="AG474" s="285"/>
      <c r="AH474" s="285"/>
      <c r="AI474" s="285"/>
      <c r="AJ474" s="285"/>
      <c r="AK474" s="285"/>
    </row>
    <row r="475"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  <c r="AB475" s="285"/>
      <c r="AC475" s="285"/>
      <c r="AD475" s="285"/>
      <c r="AE475" s="285"/>
      <c r="AF475" s="285"/>
      <c r="AG475" s="285"/>
      <c r="AH475" s="285"/>
      <c r="AI475" s="285"/>
      <c r="AJ475" s="285"/>
      <c r="AK475" s="285"/>
    </row>
    <row r="476"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  <c r="AB476" s="285"/>
      <c r="AC476" s="285"/>
      <c r="AD476" s="285"/>
      <c r="AE476" s="285"/>
      <c r="AF476" s="285"/>
      <c r="AG476" s="285"/>
      <c r="AH476" s="285"/>
      <c r="AI476" s="285"/>
      <c r="AJ476" s="285"/>
      <c r="AK476" s="285"/>
    </row>
    <row r="477"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  <c r="AB477" s="285"/>
      <c r="AC477" s="285"/>
      <c r="AD477" s="285"/>
      <c r="AE477" s="285"/>
      <c r="AF477" s="285"/>
      <c r="AG477" s="285"/>
      <c r="AH477" s="285"/>
      <c r="AI477" s="285"/>
      <c r="AJ477" s="285"/>
      <c r="AK477" s="285"/>
    </row>
    <row r="478"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  <c r="AB478" s="285"/>
      <c r="AC478" s="285"/>
      <c r="AD478" s="285"/>
      <c r="AE478" s="285"/>
      <c r="AF478" s="285"/>
      <c r="AG478" s="285"/>
      <c r="AH478" s="285"/>
      <c r="AI478" s="285"/>
      <c r="AJ478" s="285"/>
      <c r="AK478" s="285"/>
    </row>
    <row r="479"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  <c r="AB479" s="285"/>
      <c r="AC479" s="285"/>
      <c r="AD479" s="285"/>
      <c r="AE479" s="285"/>
      <c r="AF479" s="285"/>
      <c r="AG479" s="285"/>
      <c r="AH479" s="285"/>
      <c r="AI479" s="285"/>
      <c r="AJ479" s="285"/>
      <c r="AK479" s="285"/>
    </row>
    <row r="480"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  <c r="AB480" s="285"/>
      <c r="AC480" s="285"/>
      <c r="AD480" s="285"/>
      <c r="AE480" s="285"/>
      <c r="AF480" s="285"/>
      <c r="AG480" s="285"/>
      <c r="AH480" s="285"/>
      <c r="AI480" s="285"/>
      <c r="AJ480" s="285"/>
      <c r="AK480" s="285"/>
    </row>
    <row r="481"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  <c r="AB481" s="285"/>
      <c r="AC481" s="285"/>
      <c r="AD481" s="285"/>
      <c r="AE481" s="285"/>
      <c r="AF481" s="285"/>
      <c r="AG481" s="285"/>
      <c r="AH481" s="285"/>
      <c r="AI481" s="285"/>
      <c r="AJ481" s="285"/>
      <c r="AK481" s="285"/>
    </row>
    <row r="482"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  <c r="AB482" s="285"/>
      <c r="AC482" s="285"/>
      <c r="AD482" s="285"/>
      <c r="AE482" s="285"/>
      <c r="AF482" s="285"/>
      <c r="AG482" s="285"/>
      <c r="AH482" s="285"/>
      <c r="AI482" s="285"/>
      <c r="AJ482" s="285"/>
      <c r="AK482" s="285"/>
    </row>
    <row r="483"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  <c r="AB483" s="285"/>
      <c r="AC483" s="285"/>
      <c r="AD483" s="285"/>
      <c r="AE483" s="285"/>
      <c r="AF483" s="285"/>
      <c r="AG483" s="285"/>
      <c r="AH483" s="285"/>
      <c r="AI483" s="285"/>
      <c r="AJ483" s="285"/>
      <c r="AK483" s="285"/>
    </row>
    <row r="484"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  <c r="AB484" s="285"/>
      <c r="AC484" s="285"/>
      <c r="AD484" s="285"/>
      <c r="AE484" s="285"/>
      <c r="AF484" s="285"/>
      <c r="AG484" s="285"/>
      <c r="AH484" s="285"/>
      <c r="AI484" s="285"/>
      <c r="AJ484" s="285"/>
      <c r="AK484" s="285"/>
    </row>
    <row r="485"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  <c r="AB485" s="285"/>
      <c r="AC485" s="285"/>
      <c r="AD485" s="285"/>
      <c r="AE485" s="285"/>
      <c r="AF485" s="285"/>
      <c r="AG485" s="285"/>
      <c r="AH485" s="285"/>
      <c r="AI485" s="285"/>
      <c r="AJ485" s="285"/>
      <c r="AK485" s="285"/>
    </row>
    <row r="486"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  <c r="AB486" s="285"/>
      <c r="AC486" s="285"/>
      <c r="AD486" s="285"/>
      <c r="AE486" s="285"/>
      <c r="AF486" s="285"/>
      <c r="AG486" s="285"/>
      <c r="AH486" s="285"/>
      <c r="AI486" s="285"/>
      <c r="AJ486" s="285"/>
      <c r="AK486" s="285"/>
    </row>
    <row r="487"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  <c r="AB487" s="285"/>
      <c r="AC487" s="285"/>
      <c r="AD487" s="285"/>
      <c r="AE487" s="285"/>
      <c r="AF487" s="285"/>
      <c r="AG487" s="285"/>
      <c r="AH487" s="285"/>
      <c r="AI487" s="285"/>
      <c r="AJ487" s="285"/>
      <c r="AK487" s="285"/>
    </row>
    <row r="488"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  <c r="AB488" s="285"/>
      <c r="AC488" s="285"/>
      <c r="AD488" s="285"/>
      <c r="AE488" s="285"/>
      <c r="AF488" s="285"/>
      <c r="AG488" s="285"/>
      <c r="AH488" s="285"/>
      <c r="AI488" s="285"/>
      <c r="AJ488" s="285"/>
      <c r="AK488" s="285"/>
    </row>
    <row r="489"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  <c r="AB489" s="285"/>
      <c r="AC489" s="285"/>
      <c r="AD489" s="285"/>
      <c r="AE489" s="285"/>
      <c r="AF489" s="285"/>
      <c r="AG489" s="285"/>
      <c r="AH489" s="285"/>
      <c r="AI489" s="285"/>
      <c r="AJ489" s="285"/>
      <c r="AK489" s="285"/>
    </row>
    <row r="490"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  <c r="AB490" s="285"/>
      <c r="AC490" s="285"/>
      <c r="AD490" s="285"/>
      <c r="AE490" s="285"/>
      <c r="AF490" s="285"/>
      <c r="AG490" s="285"/>
      <c r="AH490" s="285"/>
      <c r="AI490" s="285"/>
      <c r="AJ490" s="285"/>
      <c r="AK490" s="285"/>
    </row>
    <row r="491"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  <c r="AB491" s="285"/>
      <c r="AC491" s="285"/>
      <c r="AD491" s="285"/>
      <c r="AE491" s="285"/>
      <c r="AF491" s="285"/>
      <c r="AG491" s="285"/>
      <c r="AH491" s="285"/>
      <c r="AI491" s="285"/>
      <c r="AJ491" s="285"/>
      <c r="AK491" s="285"/>
    </row>
    <row r="492"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  <c r="AB492" s="285"/>
      <c r="AC492" s="285"/>
      <c r="AD492" s="285"/>
      <c r="AE492" s="285"/>
      <c r="AF492" s="285"/>
      <c r="AG492" s="285"/>
      <c r="AH492" s="285"/>
      <c r="AI492" s="285"/>
      <c r="AJ492" s="285"/>
      <c r="AK492" s="285"/>
    </row>
    <row r="493"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  <c r="AB493" s="285"/>
      <c r="AC493" s="285"/>
      <c r="AD493" s="285"/>
      <c r="AE493" s="285"/>
      <c r="AF493" s="285"/>
      <c r="AG493" s="285"/>
      <c r="AH493" s="285"/>
      <c r="AI493" s="285"/>
      <c r="AJ493" s="285"/>
      <c r="AK493" s="285"/>
    </row>
    <row r="494"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  <c r="AB494" s="285"/>
      <c r="AC494" s="285"/>
      <c r="AD494" s="285"/>
      <c r="AE494" s="285"/>
      <c r="AF494" s="285"/>
      <c r="AG494" s="285"/>
      <c r="AH494" s="285"/>
      <c r="AI494" s="285"/>
      <c r="AJ494" s="285"/>
      <c r="AK494" s="285"/>
    </row>
    <row r="495"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  <c r="AB495" s="285"/>
      <c r="AC495" s="285"/>
      <c r="AD495" s="285"/>
      <c r="AE495" s="285"/>
      <c r="AF495" s="285"/>
      <c r="AG495" s="285"/>
      <c r="AH495" s="285"/>
      <c r="AI495" s="285"/>
      <c r="AJ495" s="285"/>
      <c r="AK495" s="285"/>
    </row>
    <row r="496"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  <c r="AB496" s="285"/>
      <c r="AC496" s="285"/>
      <c r="AD496" s="285"/>
      <c r="AE496" s="285"/>
      <c r="AF496" s="285"/>
      <c r="AG496" s="285"/>
      <c r="AH496" s="285"/>
      <c r="AI496" s="285"/>
      <c r="AJ496" s="285"/>
      <c r="AK496" s="285"/>
    </row>
    <row r="497"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Q497" s="337"/>
      <c r="R497" s="337"/>
      <c r="S497" s="337"/>
      <c r="T497" s="337"/>
      <c r="U497" s="337"/>
      <c r="V497" s="337"/>
      <c r="W497" s="337"/>
      <c r="X497" s="337"/>
      <c r="Y497" s="337"/>
      <c r="Z497" s="337"/>
      <c r="AB497" s="337"/>
      <c r="AC497" s="337"/>
      <c r="AD497" s="337"/>
      <c r="AE497" s="337"/>
      <c r="AF497" s="337"/>
      <c r="AG497" s="337"/>
      <c r="AH497" s="337"/>
      <c r="AI497" s="337"/>
      <c r="AJ497" s="337"/>
      <c r="AK497" s="337"/>
    </row>
  </sheetData>
  <mergeCells count="6">
    <mergeCell ref="B19:C19"/>
    <mergeCell ref="B20:C21"/>
    <mergeCell ref="B23:C23"/>
    <mergeCell ref="B24:C25"/>
    <mergeCell ref="B27:C27"/>
    <mergeCell ref="B28:C29"/>
  </mergeCells>
  <conditionalFormatting sqref="F3:O497">
    <cfRule type="expression" dxfId="9" priority="1">
      <formula>$J3="Leads Baru"</formula>
    </cfRule>
  </conditionalFormatting>
  <conditionalFormatting sqref="F3:O497">
    <cfRule type="expression" dxfId="10" priority="2">
      <formula>$J3="Qualified"</formula>
    </cfRule>
  </conditionalFormatting>
  <conditionalFormatting sqref="F3:O497">
    <cfRule type="expression" dxfId="11" priority="3">
      <formula>$J3="Prospek"</formula>
    </cfRule>
  </conditionalFormatting>
  <conditionalFormatting sqref="F3:O497">
    <cfRule type="expression" dxfId="12" priority="4">
      <formula>$J3="Follow Up"</formula>
    </cfRule>
  </conditionalFormatting>
  <conditionalFormatting sqref="F3:O497">
    <cfRule type="expression" dxfId="13" priority="5">
      <formula>$J3="Warm Leads"</formula>
    </cfRule>
  </conditionalFormatting>
  <conditionalFormatting sqref="F3:O497">
    <cfRule type="expression" dxfId="14" priority="6">
      <formula>$J3="Hot Leads"</formula>
    </cfRule>
  </conditionalFormatting>
  <dataValidations>
    <dataValidation type="list" allowBlank="1" showErrorMessage="1" sqref="C2">
      <formula1>"2024,2025,2026,2027"</formula1>
    </dataValidation>
    <dataValidation type="list" allowBlank="1" showErrorMessage="1" sqref="B2">
      <formula1>"Januari,Februari,Maret,April,Mei,Juni,Juli,Agustus,September,Oktober,November,Desember"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88"/>
    <col customWidth="1" min="2" max="2" width="15.75"/>
    <col customWidth="1" min="3" max="3" width="10.75"/>
    <col customWidth="1" min="4" max="5" width="3.88"/>
    <col customWidth="1" min="6" max="7" width="9.5"/>
    <col customWidth="1" min="8" max="8" width="25.63"/>
    <col customWidth="1" min="9" max="9" width="15.75"/>
    <col customWidth="1" min="10" max="10" width="10.38"/>
    <col customWidth="1" min="11" max="12" width="17.5"/>
    <col customWidth="1" min="13" max="13" width="5.63"/>
    <col customWidth="1" min="14" max="14" width="14.63"/>
    <col customWidth="1" min="15" max="15" width="35.63"/>
    <col customWidth="1" min="16" max="16" width="7.25"/>
    <col customWidth="1" min="17" max="18" width="9.5"/>
    <col customWidth="1" min="19" max="19" width="25.63"/>
    <col customWidth="1" min="20" max="20" width="15.75"/>
    <col customWidth="1" min="21" max="21" width="10.38"/>
    <col customWidth="1" min="22" max="23" width="17.5"/>
    <col customWidth="1" min="24" max="24" width="5.63"/>
    <col customWidth="1" min="25" max="25" width="14.63"/>
    <col customWidth="1" min="26" max="26" width="35.63"/>
    <col customWidth="1" min="27" max="27" width="7.25"/>
    <col customWidth="1" min="28" max="29" width="9.5"/>
    <col customWidth="1" min="30" max="30" width="25.63"/>
    <col customWidth="1" min="31" max="31" width="15.75"/>
    <col customWidth="1" min="32" max="32" width="10.38"/>
    <col customWidth="1" min="33" max="34" width="17.5"/>
    <col customWidth="1" min="35" max="35" width="5.63"/>
    <col customWidth="1" min="36" max="36" width="14.63"/>
    <col customWidth="1" min="37" max="37" width="35.63"/>
    <col customWidth="1" min="38" max="38" width="7.25"/>
  </cols>
  <sheetData>
    <row r="1">
      <c r="Q1" s="200"/>
      <c r="AB1" s="200"/>
    </row>
    <row r="2">
      <c r="A2" s="272"/>
      <c r="B2" s="344" t="s">
        <v>1185</v>
      </c>
      <c r="C2" s="345">
        <v>2026.0</v>
      </c>
      <c r="D2" s="272"/>
      <c r="E2" s="272"/>
      <c r="F2" s="275" t="str">
        <f>IFERROR(__xludf.DUMMYFUNCTION("QUERY(
 'Input Data'!A:M,
 ""select A,B,C,D,G,H,I,J,K,L
  where F = 'Holiday'
    and M &lt;= 6
    and month(B) = ""&amp;
     (MATCH(B2,
       {""Januari"";""Februari"";""Maret"";""April"";""Mei"";""Juni"";
        ""Juli"";""Agustus"";""September"";""Oktober"&amp;""";""November"";""Desember""},
       0
     )-1)&amp;
   "" and year(B) = ""&amp;C2&amp;""
  order by M asc"",
 1
)
"),"KODE")</f>
        <v>KODE</v>
      </c>
      <c r="G2" s="275" t="str">
        <f>IFERROR(__xludf.DUMMYFUNCTION("""COMPUTED_VALUE"""),"TANGGAL")</f>
        <v>TANGGAL</v>
      </c>
      <c r="H2" s="275" t="str">
        <f>IFERROR(__xludf.DUMMYFUNCTION("""COMPUTED_VALUE"""),"NAMA")</f>
        <v>NAMA</v>
      </c>
      <c r="I2" s="275" t="str">
        <f>IFERROR(__xludf.DUMMYFUNCTION("""COMPUTED_VALUE"""),"WHATSAPP")</f>
        <v>WHATSAPP</v>
      </c>
      <c r="J2" s="275" t="str">
        <f>IFERROR(__xludf.DUMMYFUNCTION("""COMPUTED_VALUE"""),"STATUS")</f>
        <v>STATUS</v>
      </c>
      <c r="K2" s="275" t="str">
        <f>IFERROR(__xludf.DUMMYFUNCTION("""COMPUTED_VALUE"""),"PAKET / DESTINASI")</f>
        <v>PAKET / DESTINASI</v>
      </c>
      <c r="L2" s="275" t="str">
        <f>IFERROR(__xludf.DUMMYFUNCTION("""COMPUTED_VALUE"""),"TANGGAL TRIP")</f>
        <v>TANGGAL TRIP</v>
      </c>
      <c r="M2" s="275" t="str">
        <f>IFERROR(__xludf.DUMMYFUNCTION("""COMPUTED_VALUE"""),"PAX")</f>
        <v>PAX</v>
      </c>
      <c r="N2" s="275" t="str">
        <f>IFERROR(__xludf.DUMMYFUNCTION("""COMPUTED_VALUE"""),"ESTIMASI NILAI ORDER")</f>
        <v>ESTIMASI NILAI ORDER</v>
      </c>
      <c r="O2" s="275" t="str">
        <f>IFERROR(__xludf.DUMMYFUNCTION("""COMPUTED_VALUE"""),"KETERANGAN")</f>
        <v>KETERANGAN</v>
      </c>
      <c r="P2" s="272"/>
      <c r="Q2" s="280" t="str">
        <f>IFERROR(__xludf.DUMMYFUNCTION("QUERY(
 'Input Data'!A:M,
 ""select A,B,C,D,G,H,I,J,K,L
  where F = 'Holiday'
    and M =7
    and month(B) = ""&amp;
     (MATCH(B2,
       {""Januari"";""Februari"";""Maret"";""April"";""Mei"";""Juni"";
        ""Juli"";""Agustus"";""September"";""Oktober"""&amp;";""November"";""Desember""},
       0
     )-1)&amp;
   "" and year(B) = ""&amp;C2&amp;""
  order by M asc"",
 1
)
"),"KODE")</f>
        <v>KODE</v>
      </c>
      <c r="R2" s="280" t="str">
        <f>IFERROR(__xludf.DUMMYFUNCTION("""COMPUTED_VALUE"""),"TANGGAL")</f>
        <v>TANGGAL</v>
      </c>
      <c r="S2" s="280" t="str">
        <f>IFERROR(__xludf.DUMMYFUNCTION("""COMPUTED_VALUE"""),"NAMA")</f>
        <v>NAMA</v>
      </c>
      <c r="T2" s="280" t="str">
        <f>IFERROR(__xludf.DUMMYFUNCTION("""COMPUTED_VALUE"""),"WHATSAPP")</f>
        <v>WHATSAPP</v>
      </c>
      <c r="U2" s="280" t="str">
        <f>IFERROR(__xludf.DUMMYFUNCTION("""COMPUTED_VALUE"""),"STATUS")</f>
        <v>STATUS</v>
      </c>
      <c r="V2" s="280" t="str">
        <f>IFERROR(__xludf.DUMMYFUNCTION("""COMPUTED_VALUE"""),"PAKET / DESTINASI")</f>
        <v>PAKET / DESTINASI</v>
      </c>
      <c r="W2" s="280" t="str">
        <f>IFERROR(__xludf.DUMMYFUNCTION("""COMPUTED_VALUE"""),"TANGGAL TRIP")</f>
        <v>TANGGAL TRIP</v>
      </c>
      <c r="X2" s="280" t="str">
        <f>IFERROR(__xludf.DUMMYFUNCTION("""COMPUTED_VALUE"""),"PAX")</f>
        <v>PAX</v>
      </c>
      <c r="Y2" s="280" t="str">
        <f>IFERROR(__xludf.DUMMYFUNCTION("""COMPUTED_VALUE"""),"ESTIMASI NILAI ORDER")</f>
        <v>ESTIMASI NILAI ORDER</v>
      </c>
      <c r="Z2" s="280" t="str">
        <f>IFERROR(__xludf.DUMMYFUNCTION("""COMPUTED_VALUE"""),"KETERANGAN")</f>
        <v>KETERANGAN</v>
      </c>
      <c r="AA2" s="272"/>
      <c r="AB2" s="282" t="str">
        <f>IFERROR(__xludf.DUMMYFUNCTION("QUERY(
 'Input Data'!A:M,
 ""select A,B,C,D,G,H,I,J,K,L
  where F = 'Holiday'
    and M =8
    and month(B) = ""&amp;
     (MATCH(B2,
       {""Januari"";""Februari"";""Maret"";""April"";""Mei"";""Juni"";
        ""Juli"";""Agustus"";""September"";""Oktober"""&amp;";""November"";""Desember""},
       0
     )-1)&amp;
   "" and year(B) = ""&amp;C2&amp;""
  order by M asc"",
 1
)
"),"KODE")</f>
        <v>KODE</v>
      </c>
      <c r="AC2" s="282" t="str">
        <f>IFERROR(__xludf.DUMMYFUNCTION("""COMPUTED_VALUE"""),"TANGGAL")</f>
        <v>TANGGAL</v>
      </c>
      <c r="AD2" s="282" t="str">
        <f>IFERROR(__xludf.DUMMYFUNCTION("""COMPUTED_VALUE"""),"NAMA")</f>
        <v>NAMA</v>
      </c>
      <c r="AE2" s="282" t="str">
        <f>IFERROR(__xludf.DUMMYFUNCTION("""COMPUTED_VALUE"""),"WHATSAPP")</f>
        <v>WHATSAPP</v>
      </c>
      <c r="AF2" s="282" t="str">
        <f>IFERROR(__xludf.DUMMYFUNCTION("""COMPUTED_VALUE"""),"STATUS")</f>
        <v>STATUS</v>
      </c>
      <c r="AG2" s="282" t="str">
        <f>IFERROR(__xludf.DUMMYFUNCTION("""COMPUTED_VALUE"""),"PAKET / DESTINASI")</f>
        <v>PAKET / DESTINASI</v>
      </c>
      <c r="AH2" s="282" t="str">
        <f>IFERROR(__xludf.DUMMYFUNCTION("""COMPUTED_VALUE"""),"TANGGAL TRIP")</f>
        <v>TANGGAL TRIP</v>
      </c>
      <c r="AI2" s="282" t="str">
        <f>IFERROR(__xludf.DUMMYFUNCTION("""COMPUTED_VALUE"""),"PAX")</f>
        <v>PAX</v>
      </c>
      <c r="AJ2" s="282" t="str">
        <f>IFERROR(__xludf.DUMMYFUNCTION("""COMPUTED_VALUE"""),"ESTIMASI NILAI ORDER")</f>
        <v>ESTIMASI NILAI ORDER</v>
      </c>
      <c r="AK2" s="282" t="str">
        <f>IFERROR(__xludf.DUMMYFUNCTION("""COMPUTED_VALUE"""),"KETERANGAN")</f>
        <v>KETERANGAN</v>
      </c>
      <c r="AL2" s="272"/>
    </row>
    <row r="3">
      <c r="F3" s="285" t="str">
        <f>IFERROR(__xludf.DUMMYFUNCTION("""COMPUTED_VALUE"""),"2603H013 ")</f>
        <v>2603H013 </v>
      </c>
      <c r="G3" s="286">
        <f>IFERROR(__xludf.DUMMYFUNCTION("""COMPUTED_VALUE"""),46095.0)</f>
        <v>46095</v>
      </c>
      <c r="H3" s="285" t="str">
        <f>IFERROR(__xludf.DUMMYFUNCTION("""COMPUTED_VALUE"""),"Fadli")</f>
        <v>Fadli</v>
      </c>
      <c r="I3" s="285" t="str">
        <f>IFERROR(__xludf.DUMMYFUNCTION("""COMPUTED_VALUE"""),"087877926169")</f>
        <v>087877926169</v>
      </c>
      <c r="J3" s="285" t="str">
        <f>IFERROR(__xludf.DUMMYFUNCTION("""COMPUTED_VALUE"""),"Prospek")</f>
        <v>Prospek</v>
      </c>
      <c r="K3" s="285" t="str">
        <f>IFERROR(__xludf.DUMMYFUNCTION("""COMPUTED_VALUE"""),"3H2M")</f>
        <v>3H2M</v>
      </c>
      <c r="L3" s="287"/>
      <c r="M3" s="285">
        <f>IFERROR(__xludf.DUMMYFUNCTION("""COMPUTED_VALUE"""),140.0)</f>
        <v>140</v>
      </c>
      <c r="N3" s="289">
        <f>IFERROR(__xludf.DUMMYFUNCTION("""COMPUTED_VALUE"""),6.3E8)</f>
        <v>630000000</v>
      </c>
      <c r="O3" s="285" t="str">
        <f>IFERROR(__xludf.DUMMYFUNCTION("""COMPUTED_VALUE"""),"FU 7 juni")</f>
        <v>FU 7 juni</v>
      </c>
      <c r="Q3" s="285" t="str">
        <f>IFERROR(__xludf.DUMMYFUNCTION("""COMPUTED_VALUE"""),"2603D006")</f>
        <v>2603D006</v>
      </c>
      <c r="R3" s="286">
        <f>IFERROR(__xludf.DUMMYFUNCTION("""COMPUTED_VALUE"""),46092.0)</f>
        <v>46092</v>
      </c>
      <c r="S3" s="285" t="str">
        <f>IFERROR(__xludf.DUMMYFUNCTION("""COMPUTED_VALUE"""),"Shella")</f>
        <v>Shella</v>
      </c>
      <c r="T3" s="285" t="str">
        <f>IFERROR(__xludf.DUMMYFUNCTION("""COMPUTED_VALUE"""),"082123875017")</f>
        <v>082123875017</v>
      </c>
      <c r="U3" s="285" t="str">
        <f>IFERROR(__xludf.DUMMYFUNCTION("""COMPUTED_VALUE"""),"Closing")</f>
        <v>Closing</v>
      </c>
      <c r="V3" s="285" t="str">
        <f>IFERROR(__xludf.DUMMYFUNCTION("""COMPUTED_VALUE"""),"Full day trip B,D,PM")</f>
        <v>Full day trip B,D,PM</v>
      </c>
      <c r="W3" s="287">
        <f>IFERROR(__xludf.DUMMYFUNCTION("""COMPUTED_VALUE"""),46100.0)</f>
        <v>46100</v>
      </c>
      <c r="X3" s="285">
        <f>IFERROR(__xludf.DUMMYFUNCTION("""COMPUTED_VALUE"""),6.0)</f>
        <v>6</v>
      </c>
      <c r="Y3" s="289">
        <f>IFERROR(__xludf.DUMMYFUNCTION("""COMPUTED_VALUE"""),2850000.0)</f>
        <v>2850000</v>
      </c>
      <c r="Z3" s="285" t="str">
        <f>IFERROR(__xludf.DUMMYFUNCTION("""COMPUTED_VALUE"""),"orderrr")</f>
        <v>orderrr</v>
      </c>
      <c r="AB3" s="285" t="str">
        <f>IFERROR(__xludf.DUMMYFUNCTION("""COMPUTED_VALUE"""),"2603H001")</f>
        <v>2603H001</v>
      </c>
      <c r="AC3" s="286">
        <f>IFERROR(__xludf.DUMMYFUNCTION("""COMPUTED_VALUE"""),46082.0)</f>
        <v>46082</v>
      </c>
      <c r="AD3" s="285" t="str">
        <f>IFERROR(__xludf.DUMMYFUNCTION("""COMPUTED_VALUE"""),"Rafael")</f>
        <v>Rafael</v>
      </c>
      <c r="AE3" s="285" t="str">
        <f>IFERROR(__xludf.DUMMYFUNCTION("""COMPUTED_VALUE"""),"082176804310")</f>
        <v>082176804310</v>
      </c>
      <c r="AF3" s="285" t="str">
        <f>IFERROR(__xludf.DUMMYFUNCTION("""COMPUTED_VALUE"""),"Gagal")</f>
        <v>Gagal</v>
      </c>
      <c r="AG3" s="285" t="str">
        <f>IFERROR(__xludf.DUMMYFUNCTION("""COMPUTED_VALUE"""),"custom 2H1M")</f>
        <v>custom 2H1M</v>
      </c>
      <c r="AH3" s="287">
        <f>IFERROR(__xludf.DUMMYFUNCTION("""COMPUTED_VALUE"""),46103.0)</f>
        <v>46103</v>
      </c>
      <c r="AI3" s="285">
        <f>IFERROR(__xludf.DUMMYFUNCTION("""COMPUTED_VALUE"""),5.0)</f>
        <v>5</v>
      </c>
      <c r="AJ3" s="289">
        <f>IFERROR(__xludf.DUMMYFUNCTION("""COMPUTED_VALUE"""),5750000.0)</f>
        <v>5750000</v>
      </c>
      <c r="AK3" s="285" t="str">
        <f>IFERROR(__xludf.DUMMYFUNCTION("""COMPUTED_VALUE"""),"gajadi ke Banyuwangi ")</f>
        <v>gajadi ke Banyuwangi </v>
      </c>
    </row>
    <row r="4">
      <c r="B4" s="235" t="s">
        <v>6</v>
      </c>
      <c r="C4" s="346" t="s">
        <v>10220</v>
      </c>
      <c r="F4" s="285"/>
      <c r="G4" s="285"/>
      <c r="H4" s="285"/>
      <c r="I4" s="285"/>
      <c r="J4" s="285"/>
      <c r="K4" s="285"/>
      <c r="L4" s="285"/>
      <c r="M4" s="285"/>
      <c r="N4" s="285"/>
      <c r="O4" s="285"/>
      <c r="Q4" s="285" t="str">
        <f>IFERROR(__xludf.DUMMYFUNCTION("""COMPUTED_VALUE"""),"2603H018")</f>
        <v>2603H018</v>
      </c>
      <c r="R4" s="286">
        <f>IFERROR(__xludf.DUMMYFUNCTION("""COMPUTED_VALUE"""),46097.0)</f>
        <v>46097</v>
      </c>
      <c r="S4" s="285" t="str">
        <f>IFERROR(__xludf.DUMMYFUNCTION("""COMPUTED_VALUE"""),"Wardah")</f>
        <v>Wardah</v>
      </c>
      <c r="T4" s="285" t="str">
        <f>IFERROR(__xludf.DUMMYFUNCTION("""COMPUTED_VALUE"""),"08159644745")</f>
        <v>08159644745</v>
      </c>
      <c r="U4" s="285" t="str">
        <f>IFERROR(__xludf.DUMMYFUNCTION("""COMPUTED_VALUE"""),"Closing")</f>
        <v>Closing</v>
      </c>
      <c r="V4" s="285" t="str">
        <f>IFERROR(__xludf.DUMMYFUNCTION("""COMPUTED_VALUE"""),"3H2M")</f>
        <v>3H2M</v>
      </c>
      <c r="W4" s="287"/>
      <c r="X4" s="285">
        <f>IFERROR(__xludf.DUMMYFUNCTION("""COMPUTED_VALUE"""),8.0)</f>
        <v>8</v>
      </c>
      <c r="Y4" s="289">
        <f>IFERROR(__xludf.DUMMYFUNCTION("""COMPUTED_VALUE"""),1.42E7)</f>
        <v>14200000</v>
      </c>
      <c r="Z4" s="285" t="str">
        <f>IFERROR(__xludf.DUMMYFUNCTION("""COMPUTED_VALUE"""),"alhamdulillah order ")</f>
        <v>alhamdulillah order </v>
      </c>
      <c r="AB4" s="285" t="str">
        <f>IFERROR(__xludf.DUMMYFUNCTION("""COMPUTED_VALUE"""),"2603H003")</f>
        <v>2603H003</v>
      </c>
      <c r="AC4" s="286">
        <f>IFERROR(__xludf.DUMMYFUNCTION("""COMPUTED_VALUE"""),46089.0)</f>
        <v>46089</v>
      </c>
      <c r="AD4" s="285" t="str">
        <f>IFERROR(__xludf.DUMMYFUNCTION("""COMPUTED_VALUE"""),"Mika anggi")</f>
        <v>Mika anggi</v>
      </c>
      <c r="AE4" s="285" t="str">
        <f>IFERROR(__xludf.DUMMYFUNCTION("""COMPUTED_VALUE"""),"082267757603")</f>
        <v>082267757603</v>
      </c>
      <c r="AF4" s="285" t="str">
        <f>IFERROR(__xludf.DUMMYFUNCTION("""COMPUTED_VALUE"""),"Gagal")</f>
        <v>Gagal</v>
      </c>
      <c r="AG4" s="285"/>
      <c r="AH4" s="287"/>
      <c r="AI4" s="285"/>
      <c r="AJ4" s="289"/>
      <c r="AK4" s="285" t="str">
        <f>IFERROR(__xludf.DUMMYFUNCTION("""COMPUTED_VALUE"""),"masih menyapa, sudah fu ")</f>
        <v>masih menyapa, sudah fu </v>
      </c>
    </row>
    <row r="5">
      <c r="B5" s="283" t="s">
        <v>10201</v>
      </c>
      <c r="C5" s="284">
        <f>COUNTIF(J3:J497,"Leads Baru")
</f>
        <v>0</v>
      </c>
      <c r="F5" s="285"/>
      <c r="G5" s="285"/>
      <c r="H5" s="285"/>
      <c r="I5" s="285"/>
      <c r="J5" s="285"/>
      <c r="K5" s="285"/>
      <c r="L5" s="285"/>
      <c r="M5" s="285"/>
      <c r="N5" s="285"/>
      <c r="O5" s="285"/>
      <c r="Q5" s="285" t="str">
        <f>IFERROR(__xludf.DUMMYFUNCTION("""COMPUTED_VALUE"""),"2603H034")</f>
        <v>2603H034</v>
      </c>
      <c r="R5" s="286">
        <f>IFERROR(__xludf.DUMMYFUNCTION("""COMPUTED_VALUE"""),46104.0)</f>
        <v>46104</v>
      </c>
      <c r="S5" s="285" t="str">
        <f>IFERROR(__xludf.DUMMYFUNCTION("""COMPUTED_VALUE"""),"Whiesa")</f>
        <v>Whiesa</v>
      </c>
      <c r="T5" s="285" t="str">
        <f>IFERROR(__xludf.DUMMYFUNCTION("""COMPUTED_VALUE"""),"0895351124523")</f>
        <v>0895351124523</v>
      </c>
      <c r="U5" s="285" t="str">
        <f>IFERROR(__xludf.DUMMYFUNCTION("""COMPUTED_VALUE"""),"Closing")</f>
        <v>Closing</v>
      </c>
      <c r="V5" s="285" t="str">
        <f>IFERROR(__xludf.DUMMYFUNCTION("""COMPUTED_VALUE"""),"Private trip Baluran")</f>
        <v>Private trip Baluran</v>
      </c>
      <c r="W5" s="287">
        <f>IFERROR(__xludf.DUMMYFUNCTION("""COMPUTED_VALUE"""),46105.0)</f>
        <v>46105</v>
      </c>
      <c r="X5" s="285">
        <f>IFERROR(__xludf.DUMMYFUNCTION("""COMPUTED_VALUE"""),4.0)</f>
        <v>4</v>
      </c>
      <c r="Y5" s="289">
        <f>IFERROR(__xludf.DUMMYFUNCTION("""COMPUTED_VALUE"""),1800000.0)</f>
        <v>1800000</v>
      </c>
      <c r="Z5" s="285" t="str">
        <f>IFERROR(__xludf.DUMMYFUNCTION("""COMPUTED_VALUE"""),"orderrr")</f>
        <v>orderrr</v>
      </c>
      <c r="AB5" s="285" t="str">
        <f>IFERROR(__xludf.DUMMYFUNCTION("""COMPUTED_VALUE"""),"2603H004")</f>
        <v>2603H004</v>
      </c>
      <c r="AC5" s="286">
        <f>IFERROR(__xludf.DUMMYFUNCTION("""COMPUTED_VALUE"""),46090.0)</f>
        <v>46090</v>
      </c>
      <c r="AD5" s="285" t="str">
        <f>IFERROR(__xludf.DUMMYFUNCTION("""COMPUTED_VALUE"""),"Ika")</f>
        <v>Ika</v>
      </c>
      <c r="AE5" s="285" t="str">
        <f>IFERROR(__xludf.DUMMYFUNCTION("""COMPUTED_VALUE"""),"08161816290")</f>
        <v>08161816290</v>
      </c>
      <c r="AF5" s="285" t="str">
        <f>IFERROR(__xludf.DUMMYFUNCTION("""COMPUTED_VALUE"""),"Gagal")</f>
        <v>Gagal</v>
      </c>
      <c r="AG5" s="285"/>
      <c r="AH5" s="287"/>
      <c r="AI5" s="285"/>
      <c r="AJ5" s="289"/>
      <c r="AK5" s="285" t="str">
        <f>IFERROR(__xludf.DUMMYFUNCTION("""COMPUTED_VALUE"""),"sdh fu, tidak ada jawaban")</f>
        <v>sdh fu, tidak ada jawaban</v>
      </c>
    </row>
    <row r="6">
      <c r="B6" s="292" t="s">
        <v>34</v>
      </c>
      <c r="C6" s="293">
        <f>COUNTIF(J3:J497,"Qualified")
</f>
        <v>0</v>
      </c>
      <c r="F6" s="285"/>
      <c r="G6" s="285"/>
      <c r="H6" s="285"/>
      <c r="I6" s="285"/>
      <c r="J6" s="285"/>
      <c r="K6" s="285"/>
      <c r="L6" s="285"/>
      <c r="M6" s="285"/>
      <c r="N6" s="285"/>
      <c r="O6" s="285"/>
      <c r="Q6" s="285" t="str">
        <f>IFERROR(__xludf.DUMMYFUNCTION("""COMPUTED_VALUE"""),"2603H035")</f>
        <v>2603H035</v>
      </c>
      <c r="R6" s="286">
        <f>IFERROR(__xludf.DUMMYFUNCTION("""COMPUTED_VALUE"""),46109.0)</f>
        <v>46109</v>
      </c>
      <c r="S6" s="285" t="str">
        <f>IFERROR(__xludf.DUMMYFUNCTION("""COMPUTED_VALUE"""),"Wardah (Fathia)")</f>
        <v>Wardah (Fathia)</v>
      </c>
      <c r="T6" s="285" t="str">
        <f>IFERROR(__xludf.DUMMYFUNCTION("""COMPUTED_VALUE"""),"0895365134371")</f>
        <v>0895365134371</v>
      </c>
      <c r="U6" s="285" t="str">
        <f>IFERROR(__xludf.DUMMYFUNCTION("""COMPUTED_VALUE"""),"Closing")</f>
        <v>Closing</v>
      </c>
      <c r="V6" s="285" t="str">
        <f>IFERROR(__xludf.DUMMYFUNCTION("""COMPUTED_VALUE"""),"OT Ijen")</f>
        <v>OT Ijen</v>
      </c>
      <c r="W6" s="287">
        <f>IFERROR(__xludf.DUMMYFUNCTION("""COMPUTED_VALUE"""),46109.0)</f>
        <v>46109</v>
      </c>
      <c r="X6" s="285">
        <f>IFERROR(__xludf.DUMMYFUNCTION("""COMPUTED_VALUE"""),1.0)</f>
        <v>1</v>
      </c>
      <c r="Y6" s="289"/>
      <c r="Z6" s="285" t="str">
        <f>IFERROR(__xludf.DUMMYFUNCTION("""COMPUTED_VALUE"""),"orderr")</f>
        <v>orderr</v>
      </c>
      <c r="AB6" s="285" t="str">
        <f>IFERROR(__xludf.DUMMYFUNCTION("""COMPUTED_VALUE"""),"2603H005")</f>
        <v>2603H005</v>
      </c>
      <c r="AC6" s="286">
        <f>IFERROR(__xludf.DUMMYFUNCTION("""COMPUTED_VALUE"""),46092.0)</f>
        <v>46092</v>
      </c>
      <c r="AD6" s="285" t="str">
        <f>IFERROR(__xludf.DUMMYFUNCTION("""COMPUTED_VALUE"""),"Yani")</f>
        <v>Yani</v>
      </c>
      <c r="AE6" s="285" t="str">
        <f>IFERROR(__xludf.DUMMYFUNCTION("""COMPUTED_VALUE"""),"087780925178")</f>
        <v>087780925178</v>
      </c>
      <c r="AF6" s="285" t="str">
        <f>IFERROR(__xludf.DUMMYFUNCTION("""COMPUTED_VALUE"""),"Gagal")</f>
        <v>Gagal</v>
      </c>
      <c r="AG6" s="285" t="str">
        <f>IFERROR(__xludf.DUMMYFUNCTION("""COMPUTED_VALUE"""),"3H2M opsi A")</f>
        <v>3H2M opsi A</v>
      </c>
      <c r="AH6" s="287"/>
      <c r="AI6" s="285">
        <f>IFERROR(__xludf.DUMMYFUNCTION("""COMPUTED_VALUE"""),5.0)</f>
        <v>5</v>
      </c>
      <c r="AJ6" s="289">
        <f>IFERROR(__xludf.DUMMYFUNCTION("""COMPUTED_VALUE"""),9100000.0)</f>
        <v>9100000</v>
      </c>
      <c r="AK6" s="285" t="str">
        <f>IFERROR(__xludf.DUMMYFUNCTION("""COMPUTED_VALUE"""),"masih tanya ")</f>
        <v>masih tanya </v>
      </c>
    </row>
    <row r="7">
      <c r="B7" s="294" t="s">
        <v>43</v>
      </c>
      <c r="C7" s="295">
        <f>COUNTIF(J3:J497,"Prospek")
</f>
        <v>1</v>
      </c>
      <c r="F7" s="285"/>
      <c r="G7" s="285"/>
      <c r="H7" s="285"/>
      <c r="I7" s="285"/>
      <c r="J7" s="285"/>
      <c r="K7" s="285"/>
      <c r="L7" s="285"/>
      <c r="M7" s="285"/>
      <c r="N7" s="285"/>
      <c r="O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B7" s="285" t="str">
        <f>IFERROR(__xludf.DUMMYFUNCTION("""COMPUTED_VALUE"""),"2603H007")</f>
        <v>2603H007</v>
      </c>
      <c r="AC7" s="286">
        <f>IFERROR(__xludf.DUMMYFUNCTION("""COMPUTED_VALUE"""),46092.0)</f>
        <v>46092</v>
      </c>
      <c r="AD7" s="285" t="str">
        <f>IFERROR(__xludf.DUMMYFUNCTION("""COMPUTED_VALUE"""),"Hendrik")</f>
        <v>Hendrik</v>
      </c>
      <c r="AE7" s="285" t="str">
        <f>IFERROR(__xludf.DUMMYFUNCTION("""COMPUTED_VALUE"""),"08127880606")</f>
        <v>08127880606</v>
      </c>
      <c r="AF7" s="285" t="str">
        <f>IFERROR(__xludf.DUMMYFUNCTION("""COMPUTED_VALUE"""),"Gagal")</f>
        <v>Gagal</v>
      </c>
      <c r="AG7" s="285" t="str">
        <f>IFERROR(__xludf.DUMMYFUNCTION("""COMPUTED_VALUE"""),"OT kawah ijen")</f>
        <v>OT kawah ijen</v>
      </c>
      <c r="AH7" s="287">
        <f>IFERROR(__xludf.DUMMYFUNCTION("""COMPUTED_VALUE"""),46102.0)</f>
        <v>46102</v>
      </c>
      <c r="AI7" s="285">
        <f>IFERROR(__xludf.DUMMYFUNCTION("""COMPUTED_VALUE"""),4.0)</f>
        <v>4</v>
      </c>
      <c r="AJ7" s="289">
        <f>IFERROR(__xludf.DUMMYFUNCTION("""COMPUTED_VALUE"""),1400000.0)</f>
        <v>1400000</v>
      </c>
      <c r="AK7" s="285" t="str">
        <f>IFERROR(__xludf.DUMMYFUNCTION("""COMPUTED_VALUE"""),"tanya tanya ")</f>
        <v>tanya tanya </v>
      </c>
    </row>
    <row r="8">
      <c r="B8" s="296" t="s">
        <v>49</v>
      </c>
      <c r="C8" s="297">
        <f>COUNTIF(J3:J497,"Follow Up")
</f>
        <v>0</v>
      </c>
      <c r="F8" s="285"/>
      <c r="G8" s="285"/>
      <c r="H8" s="285"/>
      <c r="I8" s="285"/>
      <c r="J8" s="285"/>
      <c r="K8" s="285"/>
      <c r="L8" s="285"/>
      <c r="M8" s="285"/>
      <c r="N8" s="285"/>
      <c r="O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B8" s="285" t="str">
        <f>IFERROR(__xludf.DUMMYFUNCTION("""COMPUTED_VALUE"""),"2603H008")</f>
        <v>2603H008</v>
      </c>
      <c r="AC8" s="286">
        <f>IFERROR(__xludf.DUMMYFUNCTION("""COMPUTED_VALUE"""),46092.0)</f>
        <v>46092</v>
      </c>
      <c r="AD8" s="285" t="str">
        <f>IFERROR(__xludf.DUMMYFUNCTION("""COMPUTED_VALUE"""),"Amin")</f>
        <v>Amin</v>
      </c>
      <c r="AE8" s="285" t="str">
        <f>IFERROR(__xludf.DUMMYFUNCTION("""COMPUTED_VALUE"""),"085100362378")</f>
        <v>085100362378</v>
      </c>
      <c r="AF8" s="285" t="str">
        <f>IFERROR(__xludf.DUMMYFUNCTION("""COMPUTED_VALUE"""),"Gagal")</f>
        <v>Gagal</v>
      </c>
      <c r="AG8" s="285" t="str">
        <f>IFERROR(__xludf.DUMMYFUNCTION("""COMPUTED_VALUE"""),"trip kawah ijen ")</f>
        <v>trip kawah ijen </v>
      </c>
      <c r="AH8" s="287"/>
      <c r="AI8" s="285">
        <f>IFERROR(__xludf.DUMMYFUNCTION("""COMPUTED_VALUE"""),38.0)</f>
        <v>38</v>
      </c>
      <c r="AJ8" s="289">
        <f>IFERROR(__xludf.DUMMYFUNCTION("""COMPUTED_VALUE"""),1.425E7)</f>
        <v>14250000</v>
      </c>
      <c r="AK8" s="285" t="str">
        <f>IFERROR(__xludf.DUMMYFUNCTION("""COMPUTED_VALUE"""),"tanyaa harga")</f>
        <v>tanyaa harga</v>
      </c>
    </row>
    <row r="9">
      <c r="B9" s="298" t="s">
        <v>57</v>
      </c>
      <c r="C9" s="299">
        <f>COUNTIF(J3:J497,"Warm Leads")
</f>
        <v>0</v>
      </c>
      <c r="F9" s="285"/>
      <c r="G9" s="285"/>
      <c r="H9" s="285"/>
      <c r="I9" s="285"/>
      <c r="J9" s="285"/>
      <c r="K9" s="285"/>
      <c r="L9" s="285"/>
      <c r="M9" s="285"/>
      <c r="N9" s="285"/>
      <c r="O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B9" s="285" t="str">
        <f>IFERROR(__xludf.DUMMYFUNCTION("""COMPUTED_VALUE"""),"2603H009")</f>
        <v>2603H009</v>
      </c>
      <c r="AC9" s="286">
        <f>IFERROR(__xludf.DUMMYFUNCTION("""COMPUTED_VALUE"""),46093.0)</f>
        <v>46093</v>
      </c>
      <c r="AD9" s="285" t="str">
        <f>IFERROR(__xludf.DUMMYFUNCTION("""COMPUTED_VALUE"""),"Nayla")</f>
        <v>Nayla</v>
      </c>
      <c r="AE9" s="285" t="str">
        <f>IFERROR(__xludf.DUMMYFUNCTION("""COMPUTED_VALUE"""),"083899549083")</f>
        <v>083899549083</v>
      </c>
      <c r="AF9" s="285" t="str">
        <f>IFERROR(__xludf.DUMMYFUNCTION("""COMPUTED_VALUE"""),"Gagal")</f>
        <v>Gagal</v>
      </c>
      <c r="AG9" s="285" t="str">
        <f>IFERROR(__xludf.DUMMYFUNCTION("""COMPUTED_VALUE"""),"custom 3H2M")</f>
        <v>custom 3H2M</v>
      </c>
      <c r="AH9" s="287"/>
      <c r="AI9" s="285">
        <f>IFERROR(__xludf.DUMMYFUNCTION("""COMPUTED_VALUE"""),2.0)</f>
        <v>2</v>
      </c>
      <c r="AJ9" s="289">
        <f>IFERROR(__xludf.DUMMYFUNCTION("""COMPUTED_VALUE"""),8190000.0)</f>
        <v>8190000</v>
      </c>
      <c r="AK9" s="285" t="str">
        <f>IFERROR(__xludf.DUMMYFUNCTION("""COMPUTED_VALUE"""),"ssudah di follow up, tidak ada jawaban, gagal")</f>
        <v>ssudah di follow up, tidak ada jawaban, gagal</v>
      </c>
    </row>
    <row r="10">
      <c r="B10" s="302" t="s">
        <v>64</v>
      </c>
      <c r="C10" s="303">
        <f>COUNTIF(J3:J497,"Hot Leads")
</f>
        <v>0</v>
      </c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B10" s="285" t="str">
        <f>IFERROR(__xludf.DUMMYFUNCTION("""COMPUTED_VALUE"""),"2603H010")</f>
        <v>2603H010</v>
      </c>
      <c r="AC10" s="286">
        <f>IFERROR(__xludf.DUMMYFUNCTION("""COMPUTED_VALUE"""),46094.0)</f>
        <v>46094</v>
      </c>
      <c r="AD10" s="285" t="str">
        <f>IFERROR(__xludf.DUMMYFUNCTION("""COMPUTED_VALUE"""),"iing")</f>
        <v>iing</v>
      </c>
      <c r="AE10" s="285" t="str">
        <f>IFERROR(__xludf.DUMMYFUNCTION("""COMPUTED_VALUE"""),"081388999950")</f>
        <v>081388999950</v>
      </c>
      <c r="AF10" s="285" t="str">
        <f>IFERROR(__xludf.DUMMYFUNCTION("""COMPUTED_VALUE"""),"Gagal")</f>
        <v>Gagal</v>
      </c>
      <c r="AG10" s="285" t="str">
        <f>IFERROR(__xludf.DUMMYFUNCTION("""COMPUTED_VALUE"""),"3H2M")</f>
        <v>3H2M</v>
      </c>
      <c r="AH10" s="287">
        <f>IFERROR(__xludf.DUMMYFUNCTION("""COMPUTED_VALUE"""),46100.0)</f>
        <v>46100</v>
      </c>
      <c r="AI10" s="285">
        <f>IFERROR(__xludf.DUMMYFUNCTION("""COMPUTED_VALUE"""),4.0)</f>
        <v>4</v>
      </c>
      <c r="AJ10" s="289">
        <f>IFERROR(__xludf.DUMMYFUNCTION("""COMPUTED_VALUE"""),1.27E7)</f>
        <v>12700000</v>
      </c>
      <c r="AK10" s="285" t="str">
        <f>IFERROR(__xludf.DUMMYFUNCTION("""COMPUTED_VALUE"""),"full booked")</f>
        <v>full booked</v>
      </c>
    </row>
    <row r="11">
      <c r="B11" s="304" t="s">
        <v>19</v>
      </c>
      <c r="C11" s="305">
        <f>COUNTA(Q3:Q497)</f>
        <v>4</v>
      </c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B11" s="285" t="str">
        <f>IFERROR(__xludf.DUMMYFUNCTION("""COMPUTED_VALUE"""),"2603H011")</f>
        <v>2603H011</v>
      </c>
      <c r="AC11" s="286">
        <f>IFERROR(__xludf.DUMMYFUNCTION("""COMPUTED_VALUE"""),46094.0)</f>
        <v>46094</v>
      </c>
      <c r="AD11" s="285" t="str">
        <f>IFERROR(__xludf.DUMMYFUNCTION("""COMPUTED_VALUE"""),"Mvxlv")</f>
        <v>Mvxlv</v>
      </c>
      <c r="AE11" s="285" t="str">
        <f>IFERROR(__xludf.DUMMYFUNCTION("""COMPUTED_VALUE"""),"082315466518")</f>
        <v>082315466518</v>
      </c>
      <c r="AF11" s="285" t="str">
        <f>IFERROR(__xludf.DUMMYFUNCTION("""COMPUTED_VALUE"""),"Gagal")</f>
        <v>Gagal</v>
      </c>
      <c r="AG11" s="285"/>
      <c r="AH11" s="287"/>
      <c r="AI11" s="285"/>
      <c r="AJ11" s="289"/>
      <c r="AK11" s="285" t="str">
        <f>IFERROR(__xludf.DUMMYFUNCTION("""COMPUTED_VALUE"""),"tidak jadi, travel dari bogor")</f>
        <v>tidak jadi, travel dari bogor</v>
      </c>
    </row>
    <row r="12">
      <c r="B12" s="307" t="s">
        <v>42</v>
      </c>
      <c r="C12" s="308">
        <f>COUNTA(AB3:AB497)</f>
        <v>33</v>
      </c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B12" s="285" t="str">
        <f>IFERROR(__xludf.DUMMYFUNCTION("""COMPUTED_VALUE"""),"2603H012")</f>
        <v>2603H012</v>
      </c>
      <c r="AC12" s="286">
        <f>IFERROR(__xludf.DUMMYFUNCTION("""COMPUTED_VALUE"""),46094.0)</f>
        <v>46094</v>
      </c>
      <c r="AD12" s="285" t="str">
        <f>IFERROR(__xludf.DUMMYFUNCTION("""COMPUTED_VALUE"""),"Agnes Putri")</f>
        <v>Agnes Putri</v>
      </c>
      <c r="AE12" s="285" t="str">
        <f>IFERROR(__xludf.DUMMYFUNCTION("""COMPUTED_VALUE"""),"085697084349")</f>
        <v>085697084349</v>
      </c>
      <c r="AF12" s="285" t="str">
        <f>IFERROR(__xludf.DUMMYFUNCTION("""COMPUTED_VALUE"""),"Gagal")</f>
        <v>Gagal</v>
      </c>
      <c r="AG12" s="285" t="str">
        <f>IFERROR(__xludf.DUMMYFUNCTION("""COMPUTED_VALUE"""),"trip Ijen, Baluran")</f>
        <v>trip Ijen, Baluran</v>
      </c>
      <c r="AH12" s="287">
        <f>IFERROR(__xludf.DUMMYFUNCTION("""COMPUTED_VALUE"""),46098.0)</f>
        <v>46098</v>
      </c>
      <c r="AI12" s="285"/>
      <c r="AJ12" s="289"/>
      <c r="AK12" s="285" t="str">
        <f>IFERROR(__xludf.DUMMYFUNCTION("""COMPUTED_VALUE"""),"trip nya diganti ke Trenggalek ")</f>
        <v>trip nya diganti ke Trenggalek </v>
      </c>
    </row>
    <row r="13">
      <c r="B13" s="347" t="s">
        <v>10222</v>
      </c>
      <c r="C13" s="310">
        <f>SUM(C5:C12)</f>
        <v>38</v>
      </c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  <c r="AB13" s="285" t="str">
        <f>IFERROR(__xludf.DUMMYFUNCTION("""COMPUTED_VALUE"""),"2603H014")</f>
        <v>2603H014</v>
      </c>
      <c r="AC13" s="286">
        <f>IFERROR(__xludf.DUMMYFUNCTION("""COMPUTED_VALUE"""),46095.0)</f>
        <v>46095</v>
      </c>
      <c r="AD13" s="285" t="str">
        <f>IFERROR(__xludf.DUMMYFUNCTION("""COMPUTED_VALUE"""),"Azhar")</f>
        <v>Azhar</v>
      </c>
      <c r="AE13" s="285" t="str">
        <f>IFERROR(__xludf.DUMMYFUNCTION("""COMPUTED_VALUE"""),"08161612238")</f>
        <v>08161612238</v>
      </c>
      <c r="AF13" s="285" t="str">
        <f>IFERROR(__xludf.DUMMYFUNCTION("""COMPUTED_VALUE"""),"Gagal")</f>
        <v>Gagal</v>
      </c>
      <c r="AG13" s="285" t="str">
        <f>IFERROR(__xludf.DUMMYFUNCTION("""COMPUTED_VALUE"""),"custom 2H1M ")</f>
        <v>custom 2H1M </v>
      </c>
      <c r="AH13" s="287"/>
      <c r="AI13" s="285">
        <f>IFERROR(__xludf.DUMMYFUNCTION("""COMPUTED_VALUE"""),3.0)</f>
        <v>3</v>
      </c>
      <c r="AJ13" s="289">
        <f>IFERROR(__xludf.DUMMYFUNCTION("""COMPUTED_VALUE"""),8315000.0)</f>
        <v>8315000</v>
      </c>
      <c r="AK13" s="285" t="str">
        <f>IFERROR(__xludf.DUMMYFUNCTION("""COMPUTED_VALUE"""),"tidak ada jawaban, sdh fu")</f>
        <v>tidak ada jawaban, sdh fu</v>
      </c>
    </row>
    <row r="14">
      <c r="B14" s="209"/>
      <c r="C14" s="209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B14" s="285" t="str">
        <f>IFERROR(__xludf.DUMMYFUNCTION("""COMPUTED_VALUE"""),"2603H015")</f>
        <v>2603H015</v>
      </c>
      <c r="AC14" s="286">
        <f>IFERROR(__xludf.DUMMYFUNCTION("""COMPUTED_VALUE"""),46095.0)</f>
        <v>46095</v>
      </c>
      <c r="AD14" s="285" t="str">
        <f>IFERROR(__xludf.DUMMYFUNCTION("""COMPUTED_VALUE"""),"Isti")</f>
        <v>Isti</v>
      </c>
      <c r="AE14" s="285" t="str">
        <f>IFERROR(__xludf.DUMMYFUNCTION("""COMPUTED_VALUE"""),"085817202531")</f>
        <v>085817202531</v>
      </c>
      <c r="AF14" s="285" t="str">
        <f>IFERROR(__xludf.DUMMYFUNCTION("""COMPUTED_VALUE"""),"Gagal")</f>
        <v>Gagal</v>
      </c>
      <c r="AG14" s="285" t="str">
        <f>IFERROR(__xludf.DUMMYFUNCTION("""COMPUTED_VALUE"""),"paket custom")</f>
        <v>paket custom</v>
      </c>
      <c r="AH14" s="287">
        <f>IFERROR(__xludf.DUMMYFUNCTION("""COMPUTED_VALUE"""),46104.0)</f>
        <v>46104</v>
      </c>
      <c r="AI14" s="285">
        <f>IFERROR(__xludf.DUMMYFUNCTION("""COMPUTED_VALUE"""),4.0)</f>
        <v>4</v>
      </c>
      <c r="AJ14" s="289">
        <f>IFERROR(__xludf.DUMMYFUNCTION("""COMPUTED_VALUE"""),7148000.0)</f>
        <v>7148000</v>
      </c>
      <c r="AK14" s="285" t="str">
        <f>IFERROR(__xludf.DUMMYFUNCTION("""COMPUTED_VALUE"""),"sudah kirim penawaran, masih diskusi ")</f>
        <v>sudah kirim penawaran, masih diskusi </v>
      </c>
    </row>
    <row r="15">
      <c r="B15" s="311" t="s">
        <v>10223</v>
      </c>
      <c r="C15" s="312">
        <f>sum(C5:C10)/C13</f>
        <v>0.02631578947</v>
      </c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B15" s="285" t="str">
        <f>IFERROR(__xludf.DUMMYFUNCTION("""COMPUTED_VALUE"""),"2603H016")</f>
        <v>2603H016</v>
      </c>
      <c r="AC15" s="286">
        <f>IFERROR(__xludf.DUMMYFUNCTION("""COMPUTED_VALUE"""),46096.0)</f>
        <v>46096</v>
      </c>
      <c r="AD15" s="285" t="str">
        <f>IFERROR(__xludf.DUMMYFUNCTION("""COMPUTED_VALUE"""),"Rindra")</f>
        <v>Rindra</v>
      </c>
      <c r="AE15" s="285" t="str">
        <f>IFERROR(__xludf.DUMMYFUNCTION("""COMPUTED_VALUE"""),"085722362657")</f>
        <v>085722362657</v>
      </c>
      <c r="AF15" s="285" t="str">
        <f>IFERROR(__xludf.DUMMYFUNCTION("""COMPUTED_VALUE"""),"Gagal")</f>
        <v>Gagal</v>
      </c>
      <c r="AG15" s="285" t="str">
        <f>IFERROR(__xludf.DUMMYFUNCTION("""COMPUTED_VALUE"""),"custom 4H3M")</f>
        <v>custom 4H3M</v>
      </c>
      <c r="AH15" s="287"/>
      <c r="AI15" s="285">
        <f>IFERROR(__xludf.DUMMYFUNCTION("""COMPUTED_VALUE"""),2.0)</f>
        <v>2</v>
      </c>
      <c r="AJ15" s="289"/>
      <c r="AK15" s="285" t="str">
        <f>IFERROR(__xludf.DUMMYFUNCTION("""COMPUTED_VALUE"""),"tanya tanya dulu")</f>
        <v>tanya tanya dulu</v>
      </c>
    </row>
    <row r="16">
      <c r="B16" s="313" t="s">
        <v>10224</v>
      </c>
      <c r="C16" s="314">
        <f>C11/C13</f>
        <v>0.1052631579</v>
      </c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B16" s="285" t="str">
        <f>IFERROR(__xludf.DUMMYFUNCTION("""COMPUTED_VALUE"""),"2603H017")</f>
        <v>2603H017</v>
      </c>
      <c r="AC16" s="286">
        <f>IFERROR(__xludf.DUMMYFUNCTION("""COMPUTED_VALUE"""),46096.0)</f>
        <v>46096</v>
      </c>
      <c r="AD16" s="285" t="str">
        <f>IFERROR(__xludf.DUMMYFUNCTION("""COMPUTED_VALUE"""),"Saskia")</f>
        <v>Saskia</v>
      </c>
      <c r="AE16" s="285" t="str">
        <f>IFERROR(__xludf.DUMMYFUNCTION("""COMPUTED_VALUE"""),"089636427447")</f>
        <v>089636427447</v>
      </c>
      <c r="AF16" s="285" t="str">
        <f>IFERROR(__xludf.DUMMYFUNCTION("""COMPUTED_VALUE"""),"Gagal")</f>
        <v>Gagal</v>
      </c>
      <c r="AG16" s="285" t="str">
        <f>IFERROR(__xludf.DUMMYFUNCTION("""COMPUTED_VALUE"""),"4H3M")</f>
        <v>4H3M</v>
      </c>
      <c r="AH16" s="287"/>
      <c r="AI16" s="285">
        <f>IFERROR(__xludf.DUMMYFUNCTION("""COMPUTED_VALUE"""),3.0)</f>
        <v>3</v>
      </c>
      <c r="AJ16" s="289">
        <f>IFERROR(__xludf.DUMMYFUNCTION("""COMPUTED_VALUE"""),7002000.0)</f>
        <v>7002000</v>
      </c>
      <c r="AK16" s="285" t="str">
        <f>IFERROR(__xludf.DUMMYFUNCTION("""COMPUTED_VALUE"""),"trip ditunda karena suatu alasan")</f>
        <v>trip ditunda karena suatu alasan</v>
      </c>
    </row>
    <row r="17">
      <c r="B17" s="315" t="s">
        <v>10225</v>
      </c>
      <c r="C17" s="316">
        <f>C12/C13</f>
        <v>0.8684210526</v>
      </c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B17" s="285" t="str">
        <f>IFERROR(__xludf.DUMMYFUNCTION("""COMPUTED_VALUE"""),"2603H019")</f>
        <v>2603H019</v>
      </c>
      <c r="AC17" s="286">
        <f>IFERROR(__xludf.DUMMYFUNCTION("""COMPUTED_VALUE"""),46097.0)</f>
        <v>46097</v>
      </c>
      <c r="AD17" s="285" t="str">
        <f>IFERROR(__xludf.DUMMYFUNCTION("""COMPUTED_VALUE"""),"Nanin")</f>
        <v>Nanin</v>
      </c>
      <c r="AE17" s="285" t="str">
        <f>IFERROR(__xludf.DUMMYFUNCTION("""COMPUTED_VALUE"""),"085269166524")</f>
        <v>085269166524</v>
      </c>
      <c r="AF17" s="285" t="str">
        <f>IFERROR(__xludf.DUMMYFUNCTION("""COMPUTED_VALUE"""),"Gagal")</f>
        <v>Gagal</v>
      </c>
      <c r="AG17" s="285" t="str">
        <f>IFERROR(__xludf.DUMMYFUNCTION("""COMPUTED_VALUE"""),"custom 3H2M")</f>
        <v>custom 3H2M</v>
      </c>
      <c r="AH17" s="287">
        <f>IFERROR(__xludf.DUMMYFUNCTION("""COMPUTED_VALUE"""),46102.0)</f>
        <v>46102</v>
      </c>
      <c r="AI17" s="285">
        <f>IFERROR(__xludf.DUMMYFUNCTION("""COMPUTED_VALUE"""),4.0)</f>
        <v>4</v>
      </c>
      <c r="AJ17" s="289">
        <f>IFERROR(__xludf.DUMMYFUNCTION("""COMPUTED_VALUE"""),1.356E7)</f>
        <v>13560000</v>
      </c>
      <c r="AK17" s="285" t="str">
        <f>IFERROR(__xludf.DUMMYFUNCTION("""COMPUTED_VALUE"""),"lewat tanggal tidak balas")</f>
        <v>lewat tanggal tidak balas</v>
      </c>
    </row>
    <row r="18"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B18" s="285" t="str">
        <f>IFERROR(__xludf.DUMMYFUNCTION("""COMPUTED_VALUE"""),"2603H020")</f>
        <v>2603H020</v>
      </c>
      <c r="AC18" s="286">
        <f>IFERROR(__xludf.DUMMYFUNCTION("""COMPUTED_VALUE"""),46099.0)</f>
        <v>46099</v>
      </c>
      <c r="AD18" s="285" t="str">
        <f>IFERROR(__xludf.DUMMYFUNCTION("""COMPUTED_VALUE"""),"Robby")</f>
        <v>Robby</v>
      </c>
      <c r="AE18" s="285" t="str">
        <f>IFERROR(__xludf.DUMMYFUNCTION("""COMPUTED_VALUE""")," 087785169652")</f>
        <v> 087785169652</v>
      </c>
      <c r="AF18" s="285" t="str">
        <f>IFERROR(__xludf.DUMMYFUNCTION("""COMPUTED_VALUE"""),"Gagal")</f>
        <v>Gagal</v>
      </c>
      <c r="AG18" s="285" t="str">
        <f>IFERROR(__xludf.DUMMYFUNCTION("""COMPUTED_VALUE"""),"custom 4H3M ")</f>
        <v>custom 4H3M </v>
      </c>
      <c r="AH18" s="287"/>
      <c r="AI18" s="285">
        <f>IFERROR(__xludf.DUMMYFUNCTION("""COMPUTED_VALUE"""),3.0)</f>
        <v>3</v>
      </c>
      <c r="AJ18" s="289">
        <f>IFERROR(__xludf.DUMMYFUNCTION("""COMPUTED_VALUE"""),1.0719E7)</f>
        <v>10719000</v>
      </c>
      <c r="AK18" s="285" t="str">
        <f>IFERROR(__xludf.DUMMYFUNCTION("""COMPUTED_VALUE"""),"ga jadi katanya")</f>
        <v>ga jadi katanya</v>
      </c>
    </row>
    <row r="19">
      <c r="B19" s="317" t="s">
        <v>10226</v>
      </c>
      <c r="C19" s="19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B19" s="285" t="str">
        <f>IFERROR(__xludf.DUMMYFUNCTION("""COMPUTED_VALUE"""),"2603H021")</f>
        <v>2603H021</v>
      </c>
      <c r="AC19" s="286">
        <f>IFERROR(__xludf.DUMMYFUNCTION("""COMPUTED_VALUE"""),46099.0)</f>
        <v>46099</v>
      </c>
      <c r="AD19" s="285" t="str">
        <f>IFERROR(__xludf.DUMMYFUNCTION("""COMPUTED_VALUE"""),"Cece Ayu")</f>
        <v>Cece Ayu</v>
      </c>
      <c r="AE19" s="285" t="str">
        <f>IFERROR(__xludf.DUMMYFUNCTION("""COMPUTED_VALUE"""),"088991164964")</f>
        <v>088991164964</v>
      </c>
      <c r="AF19" s="285" t="str">
        <f>IFERROR(__xludf.DUMMYFUNCTION("""COMPUTED_VALUE"""),"Gagal")</f>
        <v>Gagal</v>
      </c>
      <c r="AG19" s="285" t="str">
        <f>IFERROR(__xludf.DUMMYFUNCTION("""COMPUTED_VALUE"""),"1 day trip ")</f>
        <v>1 day trip </v>
      </c>
      <c r="AH19" s="287"/>
      <c r="AI19" s="285">
        <f>IFERROR(__xludf.DUMMYFUNCTION("""COMPUTED_VALUE"""),3.0)</f>
        <v>3</v>
      </c>
      <c r="AJ19" s="289">
        <f>IFERROR(__xludf.DUMMYFUNCTION("""COMPUTED_VALUE"""),3300000.0)</f>
        <v>3300000</v>
      </c>
      <c r="AK19" s="285" t="str">
        <f>IFERROR(__xludf.DUMMYFUNCTION("""COMPUTED_VALUE"""),"sakit, tidak jadi trip")</f>
        <v>sakit, tidak jadi trip</v>
      </c>
    </row>
    <row r="20">
      <c r="B20" s="348">
        <f>sum(Y3:Y497)</f>
        <v>18850000</v>
      </c>
      <c r="C20" s="197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B20" s="285" t="str">
        <f>IFERROR(__xludf.DUMMYFUNCTION("""COMPUTED_VALUE"""),"2603H022")</f>
        <v>2603H022</v>
      </c>
      <c r="AC20" s="286">
        <f>IFERROR(__xludf.DUMMYFUNCTION("""COMPUTED_VALUE"""),46100.0)</f>
        <v>46100</v>
      </c>
      <c r="AD20" s="285" t="str">
        <f>IFERROR(__xludf.DUMMYFUNCTION("""COMPUTED_VALUE"""),"Keiza")</f>
        <v>Keiza</v>
      </c>
      <c r="AE20" s="285" t="str">
        <f>IFERROR(__xludf.DUMMYFUNCTION("""COMPUTED_VALUE"""),"081617779529")</f>
        <v>081617779529</v>
      </c>
      <c r="AF20" s="285" t="str">
        <f>IFERROR(__xludf.DUMMYFUNCTION("""COMPUTED_VALUE"""),"Gagal")</f>
        <v>Gagal</v>
      </c>
      <c r="AG20" s="285" t="str">
        <f>IFERROR(__xludf.DUMMYFUNCTION("""COMPUTED_VALUE"""),"paket custom I, M, T")</f>
        <v>paket custom I, M, T</v>
      </c>
      <c r="AH20" s="287">
        <f>IFERROR(__xludf.DUMMYFUNCTION("""COMPUTED_VALUE"""),46106.0)</f>
        <v>46106</v>
      </c>
      <c r="AI20" s="285">
        <f>IFERROR(__xludf.DUMMYFUNCTION("""COMPUTED_VALUE"""),6.0)</f>
        <v>6</v>
      </c>
      <c r="AJ20" s="289"/>
      <c r="AK20" s="285" t="str">
        <f>IFERROR(__xludf.DUMMYFUNCTION("""COMPUTED_VALUE"""),"masih diskus sm keluarga ")</f>
        <v>masih diskus sm keluarga </v>
      </c>
    </row>
    <row r="21">
      <c r="B21" s="201"/>
      <c r="C21" s="202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B21" s="285" t="str">
        <f>IFERROR(__xludf.DUMMYFUNCTION("""COMPUTED_VALUE"""),"2603H023")</f>
        <v>2603H023</v>
      </c>
      <c r="AC21" s="286">
        <f>IFERROR(__xludf.DUMMYFUNCTION("""COMPUTED_VALUE"""),46100.0)</f>
        <v>46100</v>
      </c>
      <c r="AD21" s="285" t="str">
        <f>IFERROR(__xludf.DUMMYFUNCTION("""COMPUTED_VALUE"""),"Yose")</f>
        <v>Yose</v>
      </c>
      <c r="AE21" s="285" t="str">
        <f>IFERROR(__xludf.DUMMYFUNCTION("""COMPUTED_VALUE"""),"0816100262")</f>
        <v>0816100262</v>
      </c>
      <c r="AF21" s="285" t="str">
        <f>IFERROR(__xludf.DUMMYFUNCTION("""COMPUTED_VALUE"""),"Gagal")</f>
        <v>Gagal</v>
      </c>
      <c r="AG21" s="285"/>
      <c r="AH21" s="287"/>
      <c r="AI21" s="285"/>
      <c r="AJ21" s="289"/>
      <c r="AK21" s="285" t="str">
        <f>IFERROR(__xludf.DUMMYFUNCTION("""COMPUTED_VALUE"""),"menyapa ")</f>
        <v>menyapa </v>
      </c>
    </row>
    <row r="22"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B22" s="285" t="str">
        <f>IFERROR(__xludf.DUMMYFUNCTION("""COMPUTED_VALUE"""),"2603H024")</f>
        <v>2603H024</v>
      </c>
      <c r="AC22" s="286">
        <f>IFERROR(__xludf.DUMMYFUNCTION("""COMPUTED_VALUE"""),46099.0)</f>
        <v>46099</v>
      </c>
      <c r="AD22" s="285" t="str">
        <f>IFERROR(__xludf.DUMMYFUNCTION("""COMPUTED_VALUE"""),"ZJT")</f>
        <v>ZJT</v>
      </c>
      <c r="AE22" s="285" t="str">
        <f>IFERROR(__xludf.DUMMYFUNCTION("""COMPUTED_VALUE"""),"087870159618")</f>
        <v>087870159618</v>
      </c>
      <c r="AF22" s="285" t="str">
        <f>IFERROR(__xludf.DUMMYFUNCTION("""COMPUTED_VALUE"""),"Gagal")</f>
        <v>Gagal</v>
      </c>
      <c r="AG22" s="285"/>
      <c r="AH22" s="287"/>
      <c r="AI22" s="285"/>
      <c r="AJ22" s="289"/>
      <c r="AK22" s="285" t="str">
        <f>IFERROR(__xludf.DUMMYFUNCTION("""COMPUTED_VALUE"""),"Hanya menyapa saja, tidak ada jawaban")</f>
        <v>Hanya menyapa saja, tidak ada jawaban</v>
      </c>
    </row>
    <row r="23">
      <c r="B23" s="317" t="s">
        <v>10227</v>
      </c>
      <c r="C23" s="19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B23" s="285" t="str">
        <f>IFERROR(__xludf.DUMMYFUNCTION("""COMPUTED_VALUE"""),"2603H025")</f>
        <v>2603H025</v>
      </c>
      <c r="AC23" s="286">
        <f>IFERROR(__xludf.DUMMYFUNCTION("""COMPUTED_VALUE"""),46100.0)</f>
        <v>46100</v>
      </c>
      <c r="AD23" s="285" t="str">
        <f>IFERROR(__xludf.DUMMYFUNCTION("""COMPUTED_VALUE"""),"Ary")</f>
        <v>Ary</v>
      </c>
      <c r="AE23" s="285" t="str">
        <f>IFERROR(__xludf.DUMMYFUNCTION("""COMPUTED_VALUE"""),"081292929829")</f>
        <v>081292929829</v>
      </c>
      <c r="AF23" s="285" t="str">
        <f>IFERROR(__xludf.DUMMYFUNCTION("""COMPUTED_VALUE"""),"Gagal")</f>
        <v>Gagal</v>
      </c>
      <c r="AG23" s="285"/>
      <c r="AH23" s="287"/>
      <c r="AI23" s="285"/>
      <c r="AJ23" s="289"/>
      <c r="AK23" s="285" t="str">
        <f>IFERROR(__xludf.DUMMYFUNCTION("""COMPUTED_VALUE"""),"tidak bales lagi")</f>
        <v>tidak bales lagi</v>
      </c>
    </row>
    <row r="24">
      <c r="B24" s="318">
        <f>sum(N3:N497)</f>
        <v>630000000</v>
      </c>
      <c r="C24" s="197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B24" s="285" t="str">
        <f>IFERROR(__xludf.DUMMYFUNCTION("""COMPUTED_VALUE"""),"2603H026")</f>
        <v>2603H026</v>
      </c>
      <c r="AC24" s="286">
        <f>IFERROR(__xludf.DUMMYFUNCTION("""COMPUTED_VALUE"""),46101.0)</f>
        <v>46101</v>
      </c>
      <c r="AD24" s="285" t="str">
        <f>IFERROR(__xludf.DUMMYFUNCTION("""COMPUTED_VALUE"""),"Diana")</f>
        <v>Diana</v>
      </c>
      <c r="AE24" s="285" t="str">
        <f>IFERROR(__xludf.DUMMYFUNCTION("""COMPUTED_VALUE"""),"088242778250")</f>
        <v>088242778250</v>
      </c>
      <c r="AF24" s="285" t="str">
        <f>IFERROR(__xludf.DUMMYFUNCTION("""COMPUTED_VALUE"""),"Gagal")</f>
        <v>Gagal</v>
      </c>
      <c r="AG24" s="285"/>
      <c r="AH24" s="287"/>
      <c r="AI24" s="285"/>
      <c r="AJ24" s="289"/>
      <c r="AK24" s="285" t="str">
        <f>IFERROR(__xludf.DUMMYFUNCTION("""COMPUTED_VALUE"""),"tanya travel penjemputan tangerang")</f>
        <v>tanya travel penjemputan tangerang</v>
      </c>
    </row>
    <row r="25">
      <c r="B25" s="201"/>
      <c r="C25" s="202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B25" s="285" t="str">
        <f>IFERROR(__xludf.DUMMYFUNCTION("""COMPUTED_VALUE"""),"2603H027")</f>
        <v>2603H027</v>
      </c>
      <c r="AC25" s="286">
        <f>IFERROR(__xludf.DUMMYFUNCTION("""COMPUTED_VALUE"""),46101.0)</f>
        <v>46101</v>
      </c>
      <c r="AD25" s="285" t="str">
        <f>IFERROR(__xludf.DUMMYFUNCTION("""COMPUTED_VALUE"""),"Rosa")</f>
        <v>Rosa</v>
      </c>
      <c r="AE25" s="285" t="str">
        <f>IFERROR(__xludf.DUMMYFUNCTION("""COMPUTED_VALUE"""),"08111209639")</f>
        <v>08111209639</v>
      </c>
      <c r="AF25" s="285" t="str">
        <f>IFERROR(__xludf.DUMMYFUNCTION("""COMPUTED_VALUE"""),"Gagal")</f>
        <v>Gagal</v>
      </c>
      <c r="AG25" s="285" t="str">
        <f>IFERROR(__xludf.DUMMYFUNCTION("""COMPUTED_VALUE"""),"OT kawah ijen")</f>
        <v>OT kawah ijen</v>
      </c>
      <c r="AH25" s="287"/>
      <c r="AI25" s="285">
        <f>IFERROR(__xludf.DUMMYFUNCTION("""COMPUTED_VALUE"""),3.0)</f>
        <v>3</v>
      </c>
      <c r="AJ25" s="289"/>
      <c r="AK25" s="285" t="str">
        <f>IFERROR(__xludf.DUMMYFUNCTION("""COMPUTED_VALUE"""),"gajadi ")</f>
        <v>gajadi </v>
      </c>
    </row>
    <row r="26"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B26" s="285" t="str">
        <f>IFERROR(__xludf.DUMMYFUNCTION("""COMPUTED_VALUE"""),"2603H028")</f>
        <v>2603H028</v>
      </c>
      <c r="AC26" s="286">
        <f>IFERROR(__xludf.DUMMYFUNCTION("""COMPUTED_VALUE"""),46102.0)</f>
        <v>46102</v>
      </c>
      <c r="AD26" s="285" t="str">
        <f>IFERROR(__xludf.DUMMYFUNCTION("""COMPUTED_VALUE"""),"Aurelia")</f>
        <v>Aurelia</v>
      </c>
      <c r="AE26" s="285" t="str">
        <f>IFERROR(__xludf.DUMMYFUNCTION("""COMPUTED_VALUE"""),"089654354284")</f>
        <v>089654354284</v>
      </c>
      <c r="AF26" s="285" t="str">
        <f>IFERROR(__xludf.DUMMYFUNCTION("""COMPUTED_VALUE"""),"Gagal")</f>
        <v>Gagal</v>
      </c>
      <c r="AG26" s="285" t="str">
        <f>IFERROR(__xludf.DUMMYFUNCTION("""COMPUTED_VALUE"""),"Trip alas purwo")</f>
        <v>Trip alas purwo</v>
      </c>
      <c r="AH26" s="287"/>
      <c r="AI26" s="285">
        <f>IFERROR(__xludf.DUMMYFUNCTION("""COMPUTED_VALUE"""),4.0)</f>
        <v>4</v>
      </c>
      <c r="AJ26" s="289"/>
      <c r="AK26" s="285" t="str">
        <f>IFERROR(__xludf.DUMMYFUNCTION("""COMPUTED_VALUE"""),"full booked ")</f>
        <v>full booked </v>
      </c>
    </row>
    <row r="27">
      <c r="B27" s="317" t="s">
        <v>10228</v>
      </c>
      <c r="C27" s="19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B27" s="285" t="str">
        <f>IFERROR(__xludf.DUMMYFUNCTION("""COMPUTED_VALUE"""),"2603H029")</f>
        <v>2603H029</v>
      </c>
      <c r="AC27" s="286">
        <f>IFERROR(__xludf.DUMMYFUNCTION("""COMPUTED_VALUE"""),46103.0)</f>
        <v>46103</v>
      </c>
      <c r="AD27" s="285" t="str">
        <f>IFERROR(__xludf.DUMMYFUNCTION("""COMPUTED_VALUE"""),"Siti Aisah")</f>
        <v>Siti Aisah</v>
      </c>
      <c r="AE27" s="285" t="str">
        <f>IFERROR(__xludf.DUMMYFUNCTION("""COMPUTED_VALUE"""),"085229861829")</f>
        <v>085229861829</v>
      </c>
      <c r="AF27" s="285" t="str">
        <f>IFERROR(__xludf.DUMMYFUNCTION("""COMPUTED_VALUE"""),"Gagal")</f>
        <v>Gagal</v>
      </c>
      <c r="AG27" s="285"/>
      <c r="AH27" s="287"/>
      <c r="AI27" s="285"/>
      <c r="AJ27" s="289"/>
      <c r="AK27" s="285" t="str">
        <f>IFERROR(__xludf.DUMMYFUNCTION("""COMPUTED_VALUE"""),"tanya travel ")</f>
        <v>tanya travel </v>
      </c>
    </row>
    <row r="28">
      <c r="B28" s="318">
        <f>sum(AJ3:AJ497)</f>
        <v>177669000</v>
      </c>
      <c r="C28" s="197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B28" s="285" t="str">
        <f>IFERROR(__xludf.DUMMYFUNCTION("""COMPUTED_VALUE"""),"2603H030")</f>
        <v>2603H030</v>
      </c>
      <c r="AC28" s="286">
        <f>IFERROR(__xludf.DUMMYFUNCTION("""COMPUTED_VALUE"""),46103.0)</f>
        <v>46103</v>
      </c>
      <c r="AD28" s="285" t="str">
        <f>IFERROR(__xludf.DUMMYFUNCTION("""COMPUTED_VALUE"""),"Arnold")</f>
        <v>Arnold</v>
      </c>
      <c r="AE28" s="285" t="str">
        <f>IFERROR(__xludf.DUMMYFUNCTION("""COMPUTED_VALUE"""),"08989068488")</f>
        <v>08989068488</v>
      </c>
      <c r="AF28" s="285" t="str">
        <f>IFERROR(__xludf.DUMMYFUNCTION("""COMPUTED_VALUE"""),"Gagal")</f>
        <v>Gagal</v>
      </c>
      <c r="AG28" s="285" t="str">
        <f>IFERROR(__xludf.DUMMYFUNCTION("""COMPUTED_VALUE"""),"trip menjangan ")</f>
        <v>trip menjangan </v>
      </c>
      <c r="AH28" s="287">
        <f>IFERROR(__xludf.DUMMYFUNCTION("""COMPUTED_VALUE"""),46104.0)</f>
        <v>46104</v>
      </c>
      <c r="AI28" s="285">
        <f>IFERROR(__xludf.DUMMYFUNCTION("""COMPUTED_VALUE"""),1.0)</f>
        <v>1</v>
      </c>
      <c r="AJ28" s="289"/>
      <c r="AK28" s="285" t="str">
        <f>IFERROR(__xludf.DUMMYFUNCTION("""COMPUTED_VALUE"""),"full booked ")</f>
        <v>full booked </v>
      </c>
    </row>
    <row r="29">
      <c r="B29" s="201"/>
      <c r="C29" s="202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B29" s="285" t="str">
        <f>IFERROR(__xludf.DUMMYFUNCTION("""COMPUTED_VALUE"""),"2603H032")</f>
        <v>2603H032</v>
      </c>
      <c r="AC29" s="286">
        <f>IFERROR(__xludf.DUMMYFUNCTION("""COMPUTED_VALUE"""),46107.0)</f>
        <v>46107</v>
      </c>
      <c r="AD29" s="285" t="str">
        <f>IFERROR(__xludf.DUMMYFUNCTION("""COMPUTED_VALUE"""),"Nia")</f>
        <v>Nia</v>
      </c>
      <c r="AE29" s="285" t="str">
        <f>IFERROR(__xludf.DUMMYFUNCTION("""COMPUTED_VALUE"""),"08977155877")</f>
        <v>08977155877</v>
      </c>
      <c r="AF29" s="285" t="str">
        <f>IFERROR(__xludf.DUMMYFUNCTION("""COMPUTED_VALUE"""),"Gagal")</f>
        <v>Gagal</v>
      </c>
      <c r="AG29" s="285" t="str">
        <f>IFERROR(__xludf.DUMMYFUNCTION("""COMPUTED_VALUE"""),"full day trip")</f>
        <v>full day trip</v>
      </c>
      <c r="AH29" s="287">
        <f>IFERROR(__xludf.DUMMYFUNCTION("""COMPUTED_VALUE"""),46123.0)</f>
        <v>46123</v>
      </c>
      <c r="AI29" s="285">
        <f>IFERROR(__xludf.DUMMYFUNCTION("""COMPUTED_VALUE"""),3.0)</f>
        <v>3</v>
      </c>
      <c r="AJ29" s="289"/>
      <c r="AK29" s="285" t="str">
        <f>IFERROR(__xludf.DUMMYFUNCTION("""COMPUTED_VALUE"""),"ditunda dulu abis melahirkan")</f>
        <v>ditunda dulu abis melahirkan</v>
      </c>
    </row>
    <row r="30"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B30" s="285" t="str">
        <f>IFERROR(__xludf.DUMMYFUNCTION("""COMPUTED_VALUE"""),"2603H033")</f>
        <v>2603H033</v>
      </c>
      <c r="AC30" s="286">
        <f>IFERROR(__xludf.DUMMYFUNCTION("""COMPUTED_VALUE"""),46108.0)</f>
        <v>46108</v>
      </c>
      <c r="AD30" s="285" t="str">
        <f>IFERROR(__xludf.DUMMYFUNCTION("""COMPUTED_VALUE"""),"Wiwit")</f>
        <v>Wiwit</v>
      </c>
      <c r="AE30" s="285" t="str">
        <f>IFERROR(__xludf.DUMMYFUNCTION("""COMPUTED_VALUE"""),"081776091975")</f>
        <v>081776091975</v>
      </c>
      <c r="AF30" s="285" t="str">
        <f>IFERROR(__xludf.DUMMYFUNCTION("""COMPUTED_VALUE"""),"Gagal")</f>
        <v>Gagal</v>
      </c>
      <c r="AG30" s="285" t="str">
        <f>IFERROR(__xludf.DUMMYFUNCTION("""COMPUTED_VALUE"""),"2H1M custom")</f>
        <v>2H1M custom</v>
      </c>
      <c r="AH30" s="287"/>
      <c r="AI30" s="285">
        <f>IFERROR(__xludf.DUMMYFUNCTION("""COMPUTED_VALUE"""),46302.0)</f>
        <v>46302</v>
      </c>
      <c r="AJ30" s="289"/>
      <c r="AK30" s="285" t="str">
        <f>IFERROR(__xludf.DUMMYFUNCTION("""COMPUTED_VALUE"""),"budget belum cukup untuk transportasi dll")</f>
        <v>budget belum cukup untuk transportasi dll</v>
      </c>
    </row>
    <row r="31"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B31" s="285" t="str">
        <f>IFERROR(__xludf.DUMMYFUNCTION("""COMPUTED_VALUE"""),"2603H036")</f>
        <v>2603H036</v>
      </c>
      <c r="AC31" s="286">
        <f>IFERROR(__xludf.DUMMYFUNCTION("""COMPUTED_VALUE"""),46109.0)</f>
        <v>46109</v>
      </c>
      <c r="AD31" s="285" t="str">
        <f>IFERROR(__xludf.DUMMYFUNCTION("""COMPUTED_VALUE"""),"Mely")</f>
        <v>Mely</v>
      </c>
      <c r="AE31" s="285" t="str">
        <f>IFERROR(__xludf.DUMMYFUNCTION("""COMPUTED_VALUE"""),"087775555912")</f>
        <v>087775555912</v>
      </c>
      <c r="AF31" s="285" t="str">
        <f>IFERROR(__xludf.DUMMYFUNCTION("""COMPUTED_VALUE"""),"Gagal")</f>
        <v>Gagal</v>
      </c>
      <c r="AG31" s="285" t="str">
        <f>IFERROR(__xludf.DUMMYFUNCTION("""COMPUTED_VALUE"""),"private trip Ijen")</f>
        <v>private trip Ijen</v>
      </c>
      <c r="AH31" s="287">
        <f>IFERROR(__xludf.DUMMYFUNCTION("""COMPUTED_VALUE"""),46148.0)</f>
        <v>46148</v>
      </c>
      <c r="AI31" s="285">
        <f>IFERROR(__xludf.DUMMYFUNCTION("""COMPUTED_VALUE"""),4.0)</f>
        <v>4</v>
      </c>
      <c r="AJ31" s="289">
        <f>IFERROR(__xludf.DUMMYFUNCTION("""COMPUTED_VALUE"""),1160000.0)</f>
        <v>1160000</v>
      </c>
      <c r="AK31" s="285" t="str">
        <f>IFERROR(__xludf.DUMMYFUNCTION("""COMPUTED_VALUE"""),"sdh fu, gada jawaban")</f>
        <v>sdh fu, gada jawaban</v>
      </c>
    </row>
    <row r="32"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B32" s="285" t="str">
        <f>IFERROR(__xludf.DUMMYFUNCTION("""COMPUTED_VALUE"""),"2603H037")</f>
        <v>2603H037</v>
      </c>
      <c r="AC32" s="286">
        <f>IFERROR(__xludf.DUMMYFUNCTION("""COMPUTED_VALUE"""),46109.0)</f>
        <v>46109</v>
      </c>
      <c r="AD32" s="285" t="str">
        <f>IFERROR(__xludf.DUMMYFUNCTION("""COMPUTED_VALUE"""),"Toni")</f>
        <v>Toni</v>
      </c>
      <c r="AE32" s="285" t="str">
        <f>IFERROR(__xludf.DUMMYFUNCTION("""COMPUTED_VALUE"""),"081314571743")</f>
        <v>081314571743</v>
      </c>
      <c r="AF32" s="285" t="str">
        <f>IFERROR(__xludf.DUMMYFUNCTION("""COMPUTED_VALUE"""),"Gagal")</f>
        <v>Gagal</v>
      </c>
      <c r="AG32" s="285"/>
      <c r="AH32" s="287">
        <f>IFERROR(__xludf.DUMMYFUNCTION("""COMPUTED_VALUE"""),46109.0)</f>
        <v>46109</v>
      </c>
      <c r="AI32" s="285"/>
      <c r="AJ32" s="289"/>
      <c r="AK32" s="285" t="str">
        <f>IFERROR(__xludf.DUMMYFUNCTION("""COMPUTED_VALUE"""),"sdh selesai trip")</f>
        <v>sdh selesai trip</v>
      </c>
    </row>
    <row r="33"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B33" s="285" t="str">
        <f>IFERROR(__xludf.DUMMYFUNCTION("""COMPUTED_VALUE"""),"2603H038")</f>
        <v>2603H038</v>
      </c>
      <c r="AC33" s="286">
        <f>IFERROR(__xludf.DUMMYFUNCTION("""COMPUTED_VALUE"""),46110.0)</f>
        <v>46110</v>
      </c>
      <c r="AD33" s="285" t="str">
        <f>IFERROR(__xludf.DUMMYFUNCTION("""COMPUTED_VALUE"""),"Lan Nio")</f>
        <v>Lan Nio</v>
      </c>
      <c r="AE33" s="285" t="str">
        <f>IFERROR(__xludf.DUMMYFUNCTION("""COMPUTED_VALUE"""),"085946474149")</f>
        <v>085946474149</v>
      </c>
      <c r="AF33" s="285" t="str">
        <f>IFERROR(__xludf.DUMMYFUNCTION("""COMPUTED_VALUE"""),"Gagal")</f>
        <v>Gagal</v>
      </c>
      <c r="AG33" s="285" t="str">
        <f>IFERROR(__xludf.DUMMYFUNCTION("""COMPUTED_VALUE"""),"1 day I,KW,D ")</f>
        <v>1 day I,KW,D </v>
      </c>
      <c r="AH33" s="287"/>
      <c r="AI33" s="285">
        <f>IFERROR(__xludf.DUMMYFUNCTION("""COMPUTED_VALUE"""),24.0)</f>
        <v>24</v>
      </c>
      <c r="AJ33" s="289">
        <f>IFERROR(__xludf.DUMMYFUNCTION("""COMPUTED_VALUE"""),1.6125E7)</f>
        <v>16125000</v>
      </c>
      <c r="AK33" s="285" t="str">
        <f>IFERROR(__xludf.DUMMYFUNCTION("""COMPUTED_VALUE"""),"gajadi ke bwi, alasan tdk diketahui")</f>
        <v>gajadi ke bwi, alasan tdk diketahui</v>
      </c>
    </row>
    <row r="34"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B34" s="285" t="str">
        <f>IFERROR(__xludf.DUMMYFUNCTION("""COMPUTED_VALUE"""),"2603H039")</f>
        <v>2603H039</v>
      </c>
      <c r="AC34" s="286">
        <f>IFERROR(__xludf.DUMMYFUNCTION("""COMPUTED_VALUE"""),46110.0)</f>
        <v>46110</v>
      </c>
      <c r="AD34" s="285" t="str">
        <f>IFERROR(__xludf.DUMMYFUNCTION("""COMPUTED_VALUE"""),"Arifah")</f>
        <v>Arifah</v>
      </c>
      <c r="AE34" s="285" t="str">
        <f>IFERROR(__xludf.DUMMYFUNCTION("""COMPUTED_VALUE"""),"082257033370")</f>
        <v>082257033370</v>
      </c>
      <c r="AF34" s="285" t="str">
        <f>IFERROR(__xludf.DUMMYFUNCTION("""COMPUTED_VALUE"""),"Gagal")</f>
        <v>Gagal</v>
      </c>
      <c r="AG34" s="285" t="str">
        <f>IFERROR(__xludf.DUMMYFUNCTION("""COMPUTED_VALUE"""),"custom 2H1M")</f>
        <v>custom 2H1M</v>
      </c>
      <c r="AH34" s="287">
        <f>IFERROR(__xludf.DUMMYFUNCTION("""COMPUTED_VALUE"""),46116.0)</f>
        <v>46116</v>
      </c>
      <c r="AI34" s="285">
        <f>IFERROR(__xludf.DUMMYFUNCTION("""COMPUTED_VALUE"""),2.0)</f>
        <v>2</v>
      </c>
      <c r="AJ34" s="289"/>
      <c r="AK34" s="285" t="str">
        <f>IFERROR(__xludf.DUMMYFUNCTION("""COMPUTED_VALUE"""),"belum jadi liburan")</f>
        <v>belum jadi liburan</v>
      </c>
    </row>
    <row r="35"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B35" s="285" t="str">
        <f>IFERROR(__xludf.DUMMYFUNCTION("""COMPUTED_VALUE"""),"2603H040")</f>
        <v>2603H040</v>
      </c>
      <c r="AC35" s="286">
        <f>IFERROR(__xludf.DUMMYFUNCTION("""COMPUTED_VALUE"""),46111.0)</f>
        <v>46111</v>
      </c>
      <c r="AD35" s="285" t="str">
        <f>IFERROR(__xludf.DUMMYFUNCTION("""COMPUTED_VALUE"""),"Herman Purnawan")</f>
        <v>Herman Purnawan</v>
      </c>
      <c r="AE35" s="285" t="str">
        <f>IFERROR(__xludf.DUMMYFUNCTION("""COMPUTED_VALUE"""),"081514652888")</f>
        <v>081514652888</v>
      </c>
      <c r="AF35" s="285" t="str">
        <f>IFERROR(__xludf.DUMMYFUNCTION("""COMPUTED_VALUE"""),"Gagal")</f>
        <v>Gagal</v>
      </c>
      <c r="AG35" s="285" t="str">
        <f>IFERROR(__xludf.DUMMYFUNCTION("""COMPUTED_VALUE"""),"3H2M opsi B")</f>
        <v>3H2M opsi B</v>
      </c>
      <c r="AH35" s="287">
        <f>IFERROR(__xludf.DUMMYFUNCTION("""COMPUTED_VALUE"""),46168.0)</f>
        <v>46168</v>
      </c>
      <c r="AI35" s="285">
        <f>IFERROR(__xludf.DUMMYFUNCTION("""COMPUTED_VALUE"""),30.0)</f>
        <v>30</v>
      </c>
      <c r="AJ35" s="289">
        <f>IFERROR(__xludf.DUMMYFUNCTION("""COMPUTED_VALUE"""),5.895E7)</f>
        <v>58950000</v>
      </c>
      <c r="AK35" s="285" t="str">
        <f>IFERROR(__xludf.DUMMYFUNCTION("""COMPUTED_VALUE"""),"ganti destinasi jakarta-tasik-garut-cimidey")</f>
        <v>ganti destinasi jakarta-tasik-garut-cimidey</v>
      </c>
    </row>
    <row r="36"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B36" s="285"/>
      <c r="AC36" s="285"/>
      <c r="AD36" s="285"/>
      <c r="AE36" s="285"/>
      <c r="AF36" s="285"/>
      <c r="AG36" s="285"/>
      <c r="AH36" s="285"/>
      <c r="AI36" s="285"/>
      <c r="AJ36" s="285"/>
      <c r="AK36" s="285"/>
    </row>
    <row r="37"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</row>
    <row r="38"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</row>
    <row r="39"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</row>
    <row r="40"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B40" s="285"/>
      <c r="AC40" s="285"/>
      <c r="AD40" s="285"/>
      <c r="AE40" s="285"/>
      <c r="AF40" s="285"/>
      <c r="AG40" s="285"/>
      <c r="AH40" s="285"/>
      <c r="AI40" s="285"/>
      <c r="AJ40" s="285"/>
      <c r="AK40" s="285"/>
    </row>
    <row r="41"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</row>
    <row r="42"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</row>
    <row r="43"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</row>
    <row r="44"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</row>
    <row r="45"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B45" s="285"/>
      <c r="AC45" s="285"/>
      <c r="AD45" s="285"/>
      <c r="AE45" s="285"/>
      <c r="AF45" s="285"/>
      <c r="AG45" s="285"/>
      <c r="AH45" s="285"/>
      <c r="AI45" s="285"/>
      <c r="AJ45" s="285"/>
      <c r="AK45" s="285"/>
    </row>
    <row r="46"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</row>
    <row r="47"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B47" s="285"/>
      <c r="AC47" s="285"/>
      <c r="AD47" s="285"/>
      <c r="AE47" s="285"/>
      <c r="AF47" s="285"/>
      <c r="AG47" s="285"/>
      <c r="AH47" s="285"/>
      <c r="AI47" s="285"/>
      <c r="AJ47" s="285"/>
      <c r="AK47" s="285"/>
    </row>
    <row r="48"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</row>
    <row r="49"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</row>
    <row r="50"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</row>
    <row r="51"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</row>
    <row r="52"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B52" s="285"/>
      <c r="AC52" s="285"/>
      <c r="AD52" s="285"/>
      <c r="AE52" s="285"/>
      <c r="AF52" s="285"/>
      <c r="AG52" s="285"/>
      <c r="AH52" s="285"/>
      <c r="AI52" s="285"/>
      <c r="AJ52" s="285"/>
      <c r="AK52" s="285"/>
    </row>
    <row r="53"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  <c r="AB53" s="285"/>
      <c r="AC53" s="285"/>
      <c r="AD53" s="285"/>
      <c r="AE53" s="285"/>
      <c r="AF53" s="285"/>
      <c r="AG53" s="285"/>
      <c r="AH53" s="285"/>
      <c r="AI53" s="285"/>
      <c r="AJ53" s="285"/>
      <c r="AK53" s="285"/>
    </row>
    <row r="54"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  <c r="AB54" s="285"/>
      <c r="AC54" s="285"/>
      <c r="AD54" s="285"/>
      <c r="AE54" s="285"/>
      <c r="AF54" s="285"/>
      <c r="AG54" s="285"/>
      <c r="AH54" s="285"/>
      <c r="AI54" s="285"/>
      <c r="AJ54" s="285"/>
      <c r="AK54" s="285"/>
    </row>
    <row r="55"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B55" s="285"/>
      <c r="AC55" s="285"/>
      <c r="AD55" s="285"/>
      <c r="AE55" s="285"/>
      <c r="AF55" s="285"/>
      <c r="AG55" s="285"/>
      <c r="AH55" s="285"/>
      <c r="AI55" s="285"/>
      <c r="AJ55" s="285"/>
      <c r="AK55" s="285"/>
    </row>
    <row r="56"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B56" s="285"/>
      <c r="AC56" s="285"/>
      <c r="AD56" s="285"/>
      <c r="AE56" s="285"/>
      <c r="AF56" s="285"/>
      <c r="AG56" s="285"/>
      <c r="AH56" s="285"/>
      <c r="AI56" s="285"/>
      <c r="AJ56" s="285"/>
      <c r="AK56" s="285"/>
    </row>
    <row r="57"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</row>
    <row r="58"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B58" s="285"/>
      <c r="AC58" s="285"/>
      <c r="AD58" s="285"/>
      <c r="AE58" s="285"/>
      <c r="AF58" s="285"/>
      <c r="AG58" s="285"/>
      <c r="AH58" s="285"/>
      <c r="AI58" s="285"/>
      <c r="AJ58" s="285"/>
      <c r="AK58" s="285"/>
    </row>
    <row r="59"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B59" s="285"/>
      <c r="AC59" s="285"/>
      <c r="AD59" s="285"/>
      <c r="AE59" s="285"/>
      <c r="AF59" s="285"/>
      <c r="AG59" s="285"/>
      <c r="AH59" s="285"/>
      <c r="AI59" s="285"/>
      <c r="AJ59" s="285"/>
      <c r="AK59" s="285"/>
    </row>
    <row r="60"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B60" s="285"/>
      <c r="AC60" s="285"/>
      <c r="AD60" s="285"/>
      <c r="AE60" s="285"/>
      <c r="AF60" s="285"/>
      <c r="AG60" s="285"/>
      <c r="AH60" s="285"/>
      <c r="AI60" s="285"/>
      <c r="AJ60" s="285"/>
      <c r="AK60" s="285"/>
    </row>
    <row r="61"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B61" s="285"/>
      <c r="AC61" s="285"/>
      <c r="AD61" s="285"/>
      <c r="AE61" s="285"/>
      <c r="AF61" s="285"/>
      <c r="AG61" s="285"/>
      <c r="AH61" s="285"/>
      <c r="AI61" s="285"/>
      <c r="AJ61" s="285"/>
      <c r="AK61" s="285"/>
    </row>
    <row r="62"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B62" s="285"/>
      <c r="AC62" s="285"/>
      <c r="AD62" s="285"/>
      <c r="AE62" s="285"/>
      <c r="AF62" s="285"/>
      <c r="AG62" s="285"/>
      <c r="AH62" s="285"/>
      <c r="AI62" s="285"/>
      <c r="AJ62" s="285"/>
      <c r="AK62" s="285"/>
    </row>
    <row r="63"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B63" s="285"/>
      <c r="AC63" s="285"/>
      <c r="AD63" s="285"/>
      <c r="AE63" s="285"/>
      <c r="AF63" s="285"/>
      <c r="AG63" s="285"/>
      <c r="AH63" s="285"/>
      <c r="AI63" s="285"/>
      <c r="AJ63" s="285"/>
      <c r="AK63" s="285"/>
    </row>
    <row r="64"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B64" s="285"/>
      <c r="AC64" s="285"/>
      <c r="AD64" s="285"/>
      <c r="AE64" s="285"/>
      <c r="AF64" s="285"/>
      <c r="AG64" s="285"/>
      <c r="AH64" s="285"/>
      <c r="AI64" s="285"/>
      <c r="AJ64" s="285"/>
      <c r="AK64" s="285"/>
    </row>
    <row r="65"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B65" s="285"/>
      <c r="AC65" s="285"/>
      <c r="AD65" s="285"/>
      <c r="AE65" s="285"/>
      <c r="AF65" s="285"/>
      <c r="AG65" s="285"/>
      <c r="AH65" s="285"/>
      <c r="AI65" s="285"/>
      <c r="AJ65" s="285"/>
      <c r="AK65" s="285"/>
    </row>
    <row r="66"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B66" s="285"/>
      <c r="AC66" s="285"/>
      <c r="AD66" s="285"/>
      <c r="AE66" s="285"/>
      <c r="AF66" s="285"/>
      <c r="AG66" s="285"/>
      <c r="AH66" s="285"/>
      <c r="AI66" s="285"/>
      <c r="AJ66" s="285"/>
      <c r="AK66" s="285"/>
    </row>
    <row r="67"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B67" s="285"/>
      <c r="AC67" s="285"/>
      <c r="AD67" s="285"/>
      <c r="AE67" s="285"/>
      <c r="AF67" s="285"/>
      <c r="AG67" s="285"/>
      <c r="AH67" s="285"/>
      <c r="AI67" s="285"/>
      <c r="AJ67" s="285"/>
      <c r="AK67" s="285"/>
    </row>
    <row r="68"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B68" s="285"/>
      <c r="AC68" s="285"/>
      <c r="AD68" s="285"/>
      <c r="AE68" s="285"/>
      <c r="AF68" s="285"/>
      <c r="AG68" s="285"/>
      <c r="AH68" s="285"/>
      <c r="AI68" s="285"/>
      <c r="AJ68" s="285"/>
      <c r="AK68" s="285"/>
    </row>
    <row r="69"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B69" s="285"/>
      <c r="AC69" s="285"/>
      <c r="AD69" s="285"/>
      <c r="AE69" s="285"/>
      <c r="AF69" s="285"/>
      <c r="AG69" s="285"/>
      <c r="AH69" s="285"/>
      <c r="AI69" s="285"/>
      <c r="AJ69" s="285"/>
      <c r="AK69" s="285"/>
    </row>
    <row r="70"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B70" s="285"/>
      <c r="AC70" s="285"/>
      <c r="AD70" s="285"/>
      <c r="AE70" s="285"/>
      <c r="AF70" s="285"/>
      <c r="AG70" s="285"/>
      <c r="AH70" s="285"/>
      <c r="AI70" s="285"/>
      <c r="AJ70" s="285"/>
      <c r="AK70" s="285"/>
    </row>
    <row r="71"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B71" s="285"/>
      <c r="AC71" s="285"/>
      <c r="AD71" s="285"/>
      <c r="AE71" s="285"/>
      <c r="AF71" s="285"/>
      <c r="AG71" s="285"/>
      <c r="AH71" s="285"/>
      <c r="AI71" s="285"/>
      <c r="AJ71" s="285"/>
      <c r="AK71" s="285"/>
    </row>
    <row r="72"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B72" s="285"/>
      <c r="AC72" s="285"/>
      <c r="AD72" s="285"/>
      <c r="AE72" s="285"/>
      <c r="AF72" s="285"/>
      <c r="AG72" s="285"/>
      <c r="AH72" s="285"/>
      <c r="AI72" s="285"/>
      <c r="AJ72" s="285"/>
      <c r="AK72" s="285"/>
    </row>
    <row r="73"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B73" s="285"/>
      <c r="AC73" s="285"/>
      <c r="AD73" s="285"/>
      <c r="AE73" s="285"/>
      <c r="AF73" s="285"/>
      <c r="AG73" s="285"/>
      <c r="AH73" s="285"/>
      <c r="AI73" s="285"/>
      <c r="AJ73" s="285"/>
      <c r="AK73" s="285"/>
    </row>
    <row r="74"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B74" s="285"/>
      <c r="AC74" s="285"/>
      <c r="AD74" s="285"/>
      <c r="AE74" s="285"/>
      <c r="AF74" s="285"/>
      <c r="AG74" s="285"/>
      <c r="AH74" s="285"/>
      <c r="AI74" s="285"/>
      <c r="AJ74" s="285"/>
      <c r="AK74" s="285"/>
    </row>
    <row r="75"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B75" s="285"/>
      <c r="AC75" s="285"/>
      <c r="AD75" s="285"/>
      <c r="AE75" s="285"/>
      <c r="AF75" s="285"/>
      <c r="AG75" s="285"/>
      <c r="AH75" s="285"/>
      <c r="AI75" s="285"/>
      <c r="AJ75" s="285"/>
      <c r="AK75" s="285"/>
    </row>
    <row r="76"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B76" s="285"/>
      <c r="AC76" s="285"/>
      <c r="AD76" s="285"/>
      <c r="AE76" s="285"/>
      <c r="AF76" s="285"/>
      <c r="AG76" s="285"/>
      <c r="AH76" s="285"/>
      <c r="AI76" s="285"/>
      <c r="AJ76" s="285"/>
      <c r="AK76" s="285"/>
    </row>
    <row r="77"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B77" s="285"/>
      <c r="AC77" s="285"/>
      <c r="AD77" s="285"/>
      <c r="AE77" s="285"/>
      <c r="AF77" s="285"/>
      <c r="AG77" s="285"/>
      <c r="AH77" s="285"/>
      <c r="AI77" s="285"/>
      <c r="AJ77" s="285"/>
      <c r="AK77" s="285"/>
    </row>
    <row r="78"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B78" s="285"/>
      <c r="AC78" s="285"/>
      <c r="AD78" s="285"/>
      <c r="AE78" s="285"/>
      <c r="AF78" s="285"/>
      <c r="AG78" s="285"/>
      <c r="AH78" s="285"/>
      <c r="AI78" s="285"/>
      <c r="AJ78" s="285"/>
      <c r="AK78" s="285"/>
    </row>
    <row r="79"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B79" s="285"/>
      <c r="AC79" s="285"/>
      <c r="AD79" s="285"/>
      <c r="AE79" s="285"/>
      <c r="AF79" s="285"/>
      <c r="AG79" s="285"/>
      <c r="AH79" s="285"/>
      <c r="AI79" s="285"/>
      <c r="AJ79" s="285"/>
      <c r="AK79" s="285"/>
    </row>
    <row r="80"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</row>
    <row r="81"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B81" s="285"/>
      <c r="AC81" s="285"/>
      <c r="AD81" s="285"/>
      <c r="AE81" s="285"/>
      <c r="AF81" s="285"/>
      <c r="AG81" s="285"/>
      <c r="AH81" s="285"/>
      <c r="AI81" s="285"/>
      <c r="AJ81" s="285"/>
      <c r="AK81" s="285"/>
    </row>
    <row r="82"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B82" s="285"/>
      <c r="AC82" s="285"/>
      <c r="AD82" s="285"/>
      <c r="AE82" s="285"/>
      <c r="AF82" s="285"/>
      <c r="AG82" s="285"/>
      <c r="AH82" s="285"/>
      <c r="AI82" s="285"/>
      <c r="AJ82" s="285"/>
      <c r="AK82" s="285"/>
    </row>
    <row r="83"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</row>
    <row r="84"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B84" s="285"/>
      <c r="AC84" s="285"/>
      <c r="AD84" s="285"/>
      <c r="AE84" s="285"/>
      <c r="AF84" s="285"/>
      <c r="AG84" s="285"/>
      <c r="AH84" s="285"/>
      <c r="AI84" s="285"/>
      <c r="AJ84" s="285"/>
      <c r="AK84" s="285"/>
    </row>
    <row r="85"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B85" s="285"/>
      <c r="AC85" s="285"/>
      <c r="AD85" s="285"/>
      <c r="AE85" s="285"/>
      <c r="AF85" s="285"/>
      <c r="AG85" s="285"/>
      <c r="AH85" s="285"/>
      <c r="AI85" s="285"/>
      <c r="AJ85" s="285"/>
      <c r="AK85" s="285"/>
    </row>
    <row r="86"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B86" s="285"/>
      <c r="AC86" s="285"/>
      <c r="AD86" s="285"/>
      <c r="AE86" s="285"/>
      <c r="AF86" s="285"/>
      <c r="AG86" s="285"/>
      <c r="AH86" s="285"/>
      <c r="AI86" s="285"/>
      <c r="AJ86" s="285"/>
      <c r="AK86" s="285"/>
    </row>
    <row r="87"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B87" s="285"/>
      <c r="AC87" s="285"/>
      <c r="AD87" s="285"/>
      <c r="AE87" s="285"/>
      <c r="AF87" s="285"/>
      <c r="AG87" s="285"/>
      <c r="AH87" s="285"/>
      <c r="AI87" s="285"/>
      <c r="AJ87" s="285"/>
      <c r="AK87" s="285"/>
    </row>
    <row r="88"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B88" s="285"/>
      <c r="AC88" s="285"/>
      <c r="AD88" s="285"/>
      <c r="AE88" s="285"/>
      <c r="AF88" s="285"/>
      <c r="AG88" s="285"/>
      <c r="AH88" s="285"/>
      <c r="AI88" s="285"/>
      <c r="AJ88" s="285"/>
      <c r="AK88" s="285"/>
    </row>
    <row r="89"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B89" s="285"/>
      <c r="AC89" s="285"/>
      <c r="AD89" s="285"/>
      <c r="AE89" s="285"/>
      <c r="AF89" s="285"/>
      <c r="AG89" s="285"/>
      <c r="AH89" s="285"/>
      <c r="AI89" s="285"/>
      <c r="AJ89" s="285"/>
      <c r="AK89" s="285"/>
    </row>
    <row r="90"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B90" s="285"/>
      <c r="AC90" s="285"/>
      <c r="AD90" s="285"/>
      <c r="AE90" s="285"/>
      <c r="AF90" s="285"/>
      <c r="AG90" s="285"/>
      <c r="AH90" s="285"/>
      <c r="AI90" s="285"/>
      <c r="AJ90" s="285"/>
      <c r="AK90" s="285"/>
    </row>
    <row r="91"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B91" s="285"/>
      <c r="AC91" s="285"/>
      <c r="AD91" s="285"/>
      <c r="AE91" s="285"/>
      <c r="AF91" s="285"/>
      <c r="AG91" s="285"/>
      <c r="AH91" s="285"/>
      <c r="AI91" s="285"/>
      <c r="AJ91" s="285"/>
      <c r="AK91" s="285"/>
    </row>
    <row r="92"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B92" s="285"/>
      <c r="AC92" s="285"/>
      <c r="AD92" s="285"/>
      <c r="AE92" s="285"/>
      <c r="AF92" s="285"/>
      <c r="AG92" s="285"/>
      <c r="AH92" s="285"/>
      <c r="AI92" s="285"/>
      <c r="AJ92" s="285"/>
      <c r="AK92" s="285"/>
    </row>
    <row r="93"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B93" s="285"/>
      <c r="AC93" s="285"/>
      <c r="AD93" s="285"/>
      <c r="AE93" s="285"/>
      <c r="AF93" s="285"/>
      <c r="AG93" s="285"/>
      <c r="AH93" s="285"/>
      <c r="AI93" s="285"/>
      <c r="AJ93" s="285"/>
      <c r="AK93" s="285"/>
    </row>
    <row r="94"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B94" s="285"/>
      <c r="AC94" s="285"/>
      <c r="AD94" s="285"/>
      <c r="AE94" s="285"/>
      <c r="AF94" s="285"/>
      <c r="AG94" s="285"/>
      <c r="AH94" s="285"/>
      <c r="AI94" s="285"/>
      <c r="AJ94" s="285"/>
      <c r="AK94" s="285"/>
    </row>
    <row r="95"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B95" s="285"/>
      <c r="AC95" s="285"/>
      <c r="AD95" s="285"/>
      <c r="AE95" s="285"/>
      <c r="AF95" s="285"/>
      <c r="AG95" s="285"/>
      <c r="AH95" s="285"/>
      <c r="AI95" s="285"/>
      <c r="AJ95" s="285"/>
      <c r="AK95" s="285"/>
    </row>
    <row r="96"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B96" s="285"/>
      <c r="AC96" s="285"/>
      <c r="AD96" s="285"/>
      <c r="AE96" s="285"/>
      <c r="AF96" s="285"/>
      <c r="AG96" s="285"/>
      <c r="AH96" s="285"/>
      <c r="AI96" s="285"/>
      <c r="AJ96" s="285"/>
      <c r="AK96" s="285"/>
    </row>
    <row r="97"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B97" s="285"/>
      <c r="AC97" s="285"/>
      <c r="AD97" s="285"/>
      <c r="AE97" s="285"/>
      <c r="AF97" s="285"/>
      <c r="AG97" s="285"/>
      <c r="AH97" s="285"/>
      <c r="AI97" s="285"/>
      <c r="AJ97" s="285"/>
      <c r="AK97" s="285"/>
    </row>
    <row r="98"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B98" s="285"/>
      <c r="AC98" s="285"/>
      <c r="AD98" s="285"/>
      <c r="AE98" s="285"/>
      <c r="AF98" s="285"/>
      <c r="AG98" s="285"/>
      <c r="AH98" s="285"/>
      <c r="AI98" s="285"/>
      <c r="AJ98" s="285"/>
      <c r="AK98" s="285"/>
    </row>
    <row r="99"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B99" s="285"/>
      <c r="AC99" s="285"/>
      <c r="AD99" s="285"/>
      <c r="AE99" s="285"/>
      <c r="AF99" s="285"/>
      <c r="AG99" s="285"/>
      <c r="AH99" s="285"/>
      <c r="AI99" s="285"/>
      <c r="AJ99" s="285"/>
      <c r="AK99" s="285"/>
    </row>
    <row r="100"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B100" s="285"/>
      <c r="AC100" s="285"/>
      <c r="AD100" s="285"/>
      <c r="AE100" s="285"/>
      <c r="AF100" s="285"/>
      <c r="AG100" s="285"/>
      <c r="AH100" s="285"/>
      <c r="AI100" s="285"/>
      <c r="AJ100" s="285"/>
      <c r="AK100" s="285"/>
    </row>
    <row r="101"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B101" s="285"/>
      <c r="AC101" s="285"/>
      <c r="AD101" s="285"/>
      <c r="AE101" s="285"/>
      <c r="AF101" s="285"/>
      <c r="AG101" s="285"/>
      <c r="AH101" s="285"/>
      <c r="AI101" s="285"/>
      <c r="AJ101" s="285"/>
      <c r="AK101" s="285"/>
    </row>
    <row r="102"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B102" s="285"/>
      <c r="AC102" s="285"/>
      <c r="AD102" s="285"/>
      <c r="AE102" s="285"/>
      <c r="AF102" s="285"/>
      <c r="AG102" s="285"/>
      <c r="AH102" s="285"/>
      <c r="AI102" s="285"/>
      <c r="AJ102" s="285"/>
      <c r="AK102" s="285"/>
    </row>
    <row r="103"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  <c r="AB103" s="285"/>
      <c r="AC103" s="285"/>
      <c r="AD103" s="285"/>
      <c r="AE103" s="285"/>
      <c r="AF103" s="285"/>
      <c r="AG103" s="285"/>
      <c r="AH103" s="285"/>
      <c r="AI103" s="285"/>
      <c r="AJ103" s="285"/>
      <c r="AK103" s="285"/>
    </row>
    <row r="104"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  <c r="AB104" s="285"/>
      <c r="AC104" s="285"/>
      <c r="AD104" s="285"/>
      <c r="AE104" s="285"/>
      <c r="AF104" s="285"/>
      <c r="AG104" s="285"/>
      <c r="AH104" s="285"/>
      <c r="AI104" s="285"/>
      <c r="AJ104" s="285"/>
      <c r="AK104" s="285"/>
    </row>
    <row r="105"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B105" s="285"/>
      <c r="AC105" s="285"/>
      <c r="AD105" s="285"/>
      <c r="AE105" s="285"/>
      <c r="AF105" s="285"/>
      <c r="AG105" s="285"/>
      <c r="AH105" s="285"/>
      <c r="AI105" s="285"/>
      <c r="AJ105" s="285"/>
      <c r="AK105" s="285"/>
    </row>
    <row r="106"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B106" s="285"/>
      <c r="AC106" s="285"/>
      <c r="AD106" s="285"/>
      <c r="AE106" s="285"/>
      <c r="AF106" s="285"/>
      <c r="AG106" s="285"/>
      <c r="AH106" s="285"/>
      <c r="AI106" s="285"/>
      <c r="AJ106" s="285"/>
      <c r="AK106" s="285"/>
    </row>
    <row r="107"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B107" s="285"/>
      <c r="AC107" s="285"/>
      <c r="AD107" s="285"/>
      <c r="AE107" s="285"/>
      <c r="AF107" s="285"/>
      <c r="AG107" s="285"/>
      <c r="AH107" s="285"/>
      <c r="AI107" s="285"/>
      <c r="AJ107" s="285"/>
      <c r="AK107" s="285"/>
    </row>
    <row r="108"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B108" s="285"/>
      <c r="AC108" s="285"/>
      <c r="AD108" s="285"/>
      <c r="AE108" s="285"/>
      <c r="AF108" s="285"/>
      <c r="AG108" s="285"/>
      <c r="AH108" s="285"/>
      <c r="AI108" s="285"/>
      <c r="AJ108" s="285"/>
      <c r="AK108" s="285"/>
    </row>
    <row r="109"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B109" s="285"/>
      <c r="AC109" s="285"/>
      <c r="AD109" s="285"/>
      <c r="AE109" s="285"/>
      <c r="AF109" s="285"/>
      <c r="AG109" s="285"/>
      <c r="AH109" s="285"/>
      <c r="AI109" s="285"/>
      <c r="AJ109" s="285"/>
      <c r="AK109" s="285"/>
    </row>
    <row r="110"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B110" s="285"/>
      <c r="AC110" s="285"/>
      <c r="AD110" s="285"/>
      <c r="AE110" s="285"/>
      <c r="AF110" s="285"/>
      <c r="AG110" s="285"/>
      <c r="AH110" s="285"/>
      <c r="AI110" s="285"/>
      <c r="AJ110" s="285"/>
      <c r="AK110" s="285"/>
    </row>
    <row r="111"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B111" s="285"/>
      <c r="AC111" s="285"/>
      <c r="AD111" s="285"/>
      <c r="AE111" s="285"/>
      <c r="AF111" s="285"/>
      <c r="AG111" s="285"/>
      <c r="AH111" s="285"/>
      <c r="AI111" s="285"/>
      <c r="AJ111" s="285"/>
      <c r="AK111" s="285"/>
    </row>
    <row r="112"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B112" s="285"/>
      <c r="AC112" s="285"/>
      <c r="AD112" s="285"/>
      <c r="AE112" s="285"/>
      <c r="AF112" s="285"/>
      <c r="AG112" s="285"/>
      <c r="AH112" s="285"/>
      <c r="AI112" s="285"/>
      <c r="AJ112" s="285"/>
      <c r="AK112" s="285"/>
    </row>
    <row r="113"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B113" s="285"/>
      <c r="AC113" s="285"/>
      <c r="AD113" s="285"/>
      <c r="AE113" s="285"/>
      <c r="AF113" s="285"/>
      <c r="AG113" s="285"/>
      <c r="AH113" s="285"/>
      <c r="AI113" s="285"/>
      <c r="AJ113" s="285"/>
      <c r="AK113" s="285"/>
    </row>
    <row r="114"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B114" s="285"/>
      <c r="AC114" s="285"/>
      <c r="AD114" s="285"/>
      <c r="AE114" s="285"/>
      <c r="AF114" s="285"/>
      <c r="AG114" s="285"/>
      <c r="AH114" s="285"/>
      <c r="AI114" s="285"/>
      <c r="AJ114" s="285"/>
      <c r="AK114" s="285"/>
    </row>
    <row r="115"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  <c r="AB115" s="285"/>
      <c r="AC115" s="285"/>
      <c r="AD115" s="285"/>
      <c r="AE115" s="285"/>
      <c r="AF115" s="285"/>
      <c r="AG115" s="285"/>
      <c r="AH115" s="285"/>
      <c r="AI115" s="285"/>
      <c r="AJ115" s="285"/>
      <c r="AK115" s="285"/>
    </row>
    <row r="116"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B116" s="285"/>
      <c r="AC116" s="285"/>
      <c r="AD116" s="285"/>
      <c r="AE116" s="285"/>
      <c r="AF116" s="285"/>
      <c r="AG116" s="285"/>
      <c r="AH116" s="285"/>
      <c r="AI116" s="285"/>
      <c r="AJ116" s="285"/>
      <c r="AK116" s="285"/>
    </row>
    <row r="117"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  <c r="AB117" s="285"/>
      <c r="AC117" s="285"/>
      <c r="AD117" s="285"/>
      <c r="AE117" s="285"/>
      <c r="AF117" s="285"/>
      <c r="AG117" s="285"/>
      <c r="AH117" s="285"/>
      <c r="AI117" s="285"/>
      <c r="AJ117" s="285"/>
      <c r="AK117" s="285"/>
    </row>
    <row r="118"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  <c r="AB118" s="285"/>
      <c r="AC118" s="285"/>
      <c r="AD118" s="285"/>
      <c r="AE118" s="285"/>
      <c r="AF118" s="285"/>
      <c r="AG118" s="285"/>
      <c r="AH118" s="285"/>
      <c r="AI118" s="285"/>
      <c r="AJ118" s="285"/>
      <c r="AK118" s="285"/>
    </row>
    <row r="119"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B119" s="285"/>
      <c r="AC119" s="285"/>
      <c r="AD119" s="285"/>
      <c r="AE119" s="285"/>
      <c r="AF119" s="285"/>
      <c r="AG119" s="285"/>
      <c r="AH119" s="285"/>
      <c r="AI119" s="285"/>
      <c r="AJ119" s="285"/>
      <c r="AK119" s="285"/>
    </row>
    <row r="120"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B120" s="285"/>
      <c r="AC120" s="285"/>
      <c r="AD120" s="285"/>
      <c r="AE120" s="285"/>
      <c r="AF120" s="285"/>
      <c r="AG120" s="285"/>
      <c r="AH120" s="285"/>
      <c r="AI120" s="285"/>
      <c r="AJ120" s="285"/>
      <c r="AK120" s="285"/>
    </row>
    <row r="121"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B121" s="285"/>
      <c r="AC121" s="285"/>
      <c r="AD121" s="285"/>
      <c r="AE121" s="285"/>
      <c r="AF121" s="285"/>
      <c r="AG121" s="285"/>
      <c r="AH121" s="285"/>
      <c r="AI121" s="285"/>
      <c r="AJ121" s="285"/>
      <c r="AK121" s="285"/>
    </row>
    <row r="122"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B122" s="285"/>
      <c r="AC122" s="285"/>
      <c r="AD122" s="285"/>
      <c r="AE122" s="285"/>
      <c r="AF122" s="285"/>
      <c r="AG122" s="285"/>
      <c r="AH122" s="285"/>
      <c r="AI122" s="285"/>
      <c r="AJ122" s="285"/>
      <c r="AK122" s="285"/>
    </row>
    <row r="123"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B123" s="285"/>
      <c r="AC123" s="285"/>
      <c r="AD123" s="285"/>
      <c r="AE123" s="285"/>
      <c r="AF123" s="285"/>
      <c r="AG123" s="285"/>
      <c r="AH123" s="285"/>
      <c r="AI123" s="285"/>
      <c r="AJ123" s="285"/>
      <c r="AK123" s="285"/>
    </row>
    <row r="124"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B124" s="285"/>
      <c r="AC124" s="285"/>
      <c r="AD124" s="285"/>
      <c r="AE124" s="285"/>
      <c r="AF124" s="285"/>
      <c r="AG124" s="285"/>
      <c r="AH124" s="285"/>
      <c r="AI124" s="285"/>
      <c r="AJ124" s="285"/>
      <c r="AK124" s="285"/>
    </row>
    <row r="125"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B125" s="285"/>
      <c r="AC125" s="285"/>
      <c r="AD125" s="285"/>
      <c r="AE125" s="285"/>
      <c r="AF125" s="285"/>
      <c r="AG125" s="285"/>
      <c r="AH125" s="285"/>
      <c r="AI125" s="285"/>
      <c r="AJ125" s="285"/>
      <c r="AK125" s="285"/>
    </row>
    <row r="126"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B126" s="285"/>
      <c r="AC126" s="285"/>
      <c r="AD126" s="285"/>
      <c r="AE126" s="285"/>
      <c r="AF126" s="285"/>
      <c r="AG126" s="285"/>
      <c r="AH126" s="285"/>
      <c r="AI126" s="285"/>
      <c r="AJ126" s="285"/>
      <c r="AK126" s="285"/>
    </row>
    <row r="127"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B127" s="285"/>
      <c r="AC127" s="285"/>
      <c r="AD127" s="285"/>
      <c r="AE127" s="285"/>
      <c r="AF127" s="285"/>
      <c r="AG127" s="285"/>
      <c r="AH127" s="285"/>
      <c r="AI127" s="285"/>
      <c r="AJ127" s="285"/>
      <c r="AK127" s="285"/>
    </row>
    <row r="128"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B128" s="285"/>
      <c r="AC128" s="285"/>
      <c r="AD128" s="285"/>
      <c r="AE128" s="285"/>
      <c r="AF128" s="285"/>
      <c r="AG128" s="285"/>
      <c r="AH128" s="285"/>
      <c r="AI128" s="285"/>
      <c r="AJ128" s="285"/>
      <c r="AK128" s="285"/>
    </row>
    <row r="129"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B129" s="285"/>
      <c r="AC129" s="285"/>
      <c r="AD129" s="285"/>
      <c r="AE129" s="285"/>
      <c r="AF129" s="285"/>
      <c r="AG129" s="285"/>
      <c r="AH129" s="285"/>
      <c r="AI129" s="285"/>
      <c r="AJ129" s="285"/>
      <c r="AK129" s="285"/>
    </row>
    <row r="130"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  <c r="AB130" s="285"/>
      <c r="AC130" s="285"/>
      <c r="AD130" s="285"/>
      <c r="AE130" s="285"/>
      <c r="AF130" s="285"/>
      <c r="AG130" s="285"/>
      <c r="AH130" s="285"/>
      <c r="AI130" s="285"/>
      <c r="AJ130" s="285"/>
      <c r="AK130" s="285"/>
    </row>
    <row r="131"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B131" s="285"/>
      <c r="AC131" s="285"/>
      <c r="AD131" s="285"/>
      <c r="AE131" s="285"/>
      <c r="AF131" s="285"/>
      <c r="AG131" s="285"/>
      <c r="AH131" s="285"/>
      <c r="AI131" s="285"/>
      <c r="AJ131" s="285"/>
      <c r="AK131" s="285"/>
    </row>
    <row r="132"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B132" s="285"/>
      <c r="AC132" s="285"/>
      <c r="AD132" s="285"/>
      <c r="AE132" s="285"/>
      <c r="AF132" s="285"/>
      <c r="AG132" s="285"/>
      <c r="AH132" s="285"/>
      <c r="AI132" s="285"/>
      <c r="AJ132" s="285"/>
      <c r="AK132" s="285"/>
    </row>
    <row r="133"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B133" s="285"/>
      <c r="AC133" s="285"/>
      <c r="AD133" s="285"/>
      <c r="AE133" s="285"/>
      <c r="AF133" s="285"/>
      <c r="AG133" s="285"/>
      <c r="AH133" s="285"/>
      <c r="AI133" s="285"/>
      <c r="AJ133" s="285"/>
      <c r="AK133" s="285"/>
    </row>
    <row r="134"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B134" s="285"/>
      <c r="AC134" s="285"/>
      <c r="AD134" s="285"/>
      <c r="AE134" s="285"/>
      <c r="AF134" s="285"/>
      <c r="AG134" s="285"/>
      <c r="AH134" s="285"/>
      <c r="AI134" s="285"/>
      <c r="AJ134" s="285"/>
      <c r="AK134" s="285"/>
    </row>
    <row r="135"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B135" s="285"/>
      <c r="AC135" s="285"/>
      <c r="AD135" s="285"/>
      <c r="AE135" s="285"/>
      <c r="AF135" s="285"/>
      <c r="AG135" s="285"/>
      <c r="AH135" s="285"/>
      <c r="AI135" s="285"/>
      <c r="AJ135" s="285"/>
      <c r="AK135" s="285"/>
    </row>
    <row r="136"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B136" s="285"/>
      <c r="AC136" s="285"/>
      <c r="AD136" s="285"/>
      <c r="AE136" s="285"/>
      <c r="AF136" s="285"/>
      <c r="AG136" s="285"/>
      <c r="AH136" s="285"/>
      <c r="AI136" s="285"/>
      <c r="AJ136" s="285"/>
      <c r="AK136" s="285"/>
    </row>
    <row r="137"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B137" s="285"/>
      <c r="AC137" s="285"/>
      <c r="AD137" s="285"/>
      <c r="AE137" s="285"/>
      <c r="AF137" s="285"/>
      <c r="AG137" s="285"/>
      <c r="AH137" s="285"/>
      <c r="AI137" s="285"/>
      <c r="AJ137" s="285"/>
      <c r="AK137" s="285"/>
    </row>
    <row r="138"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B138" s="285"/>
      <c r="AC138" s="285"/>
      <c r="AD138" s="285"/>
      <c r="AE138" s="285"/>
      <c r="AF138" s="285"/>
      <c r="AG138" s="285"/>
      <c r="AH138" s="285"/>
      <c r="AI138" s="285"/>
      <c r="AJ138" s="285"/>
      <c r="AK138" s="285"/>
    </row>
    <row r="139"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B139" s="285"/>
      <c r="AC139" s="285"/>
      <c r="AD139" s="285"/>
      <c r="AE139" s="285"/>
      <c r="AF139" s="285"/>
      <c r="AG139" s="285"/>
      <c r="AH139" s="285"/>
      <c r="AI139" s="285"/>
      <c r="AJ139" s="285"/>
      <c r="AK139" s="285"/>
    </row>
    <row r="140"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  <c r="AB140" s="285"/>
      <c r="AC140" s="285"/>
      <c r="AD140" s="285"/>
      <c r="AE140" s="285"/>
      <c r="AF140" s="285"/>
      <c r="AG140" s="285"/>
      <c r="AH140" s="285"/>
      <c r="AI140" s="285"/>
      <c r="AJ140" s="285"/>
      <c r="AK140" s="285"/>
    </row>
    <row r="141"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  <c r="AB141" s="285"/>
      <c r="AC141" s="285"/>
      <c r="AD141" s="285"/>
      <c r="AE141" s="285"/>
      <c r="AF141" s="285"/>
      <c r="AG141" s="285"/>
      <c r="AH141" s="285"/>
      <c r="AI141" s="285"/>
      <c r="AJ141" s="285"/>
      <c r="AK141" s="285"/>
    </row>
    <row r="142"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B142" s="285"/>
      <c r="AC142" s="285"/>
      <c r="AD142" s="285"/>
      <c r="AE142" s="285"/>
      <c r="AF142" s="285"/>
      <c r="AG142" s="285"/>
      <c r="AH142" s="285"/>
      <c r="AI142" s="285"/>
      <c r="AJ142" s="285"/>
      <c r="AK142" s="285"/>
    </row>
    <row r="143"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B143" s="285"/>
      <c r="AC143" s="285"/>
      <c r="AD143" s="285"/>
      <c r="AE143" s="285"/>
      <c r="AF143" s="285"/>
      <c r="AG143" s="285"/>
      <c r="AH143" s="285"/>
      <c r="AI143" s="285"/>
      <c r="AJ143" s="285"/>
      <c r="AK143" s="285"/>
    </row>
    <row r="144"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</row>
    <row r="145"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B145" s="285"/>
      <c r="AC145" s="285"/>
      <c r="AD145" s="285"/>
      <c r="AE145" s="285"/>
      <c r="AF145" s="285"/>
      <c r="AG145" s="285"/>
      <c r="AH145" s="285"/>
      <c r="AI145" s="285"/>
      <c r="AJ145" s="285"/>
      <c r="AK145" s="285"/>
    </row>
    <row r="146"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B146" s="285"/>
      <c r="AC146" s="285"/>
      <c r="AD146" s="285"/>
      <c r="AE146" s="285"/>
      <c r="AF146" s="285"/>
      <c r="AG146" s="285"/>
      <c r="AH146" s="285"/>
      <c r="AI146" s="285"/>
      <c r="AJ146" s="285"/>
      <c r="AK146" s="285"/>
    </row>
    <row r="147"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  <c r="AB147" s="285"/>
      <c r="AC147" s="285"/>
      <c r="AD147" s="285"/>
      <c r="AE147" s="285"/>
      <c r="AF147" s="285"/>
      <c r="AG147" s="285"/>
      <c r="AH147" s="285"/>
      <c r="AI147" s="285"/>
      <c r="AJ147" s="285"/>
      <c r="AK147" s="285"/>
    </row>
    <row r="148"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B148" s="285"/>
      <c r="AC148" s="285"/>
      <c r="AD148" s="285"/>
      <c r="AE148" s="285"/>
      <c r="AF148" s="285"/>
      <c r="AG148" s="285"/>
      <c r="AH148" s="285"/>
      <c r="AI148" s="285"/>
      <c r="AJ148" s="285"/>
      <c r="AK148" s="285"/>
    </row>
    <row r="149"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B149" s="285"/>
      <c r="AC149" s="285"/>
      <c r="AD149" s="285"/>
      <c r="AE149" s="285"/>
      <c r="AF149" s="285"/>
      <c r="AG149" s="285"/>
      <c r="AH149" s="285"/>
      <c r="AI149" s="285"/>
      <c r="AJ149" s="285"/>
      <c r="AK149" s="285"/>
    </row>
    <row r="150"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B150" s="285"/>
      <c r="AC150" s="285"/>
      <c r="AD150" s="285"/>
      <c r="AE150" s="285"/>
      <c r="AF150" s="285"/>
      <c r="AG150" s="285"/>
      <c r="AH150" s="285"/>
      <c r="AI150" s="285"/>
      <c r="AJ150" s="285"/>
      <c r="AK150" s="285"/>
    </row>
    <row r="151"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B151" s="285"/>
      <c r="AC151" s="285"/>
      <c r="AD151" s="285"/>
      <c r="AE151" s="285"/>
      <c r="AF151" s="285"/>
      <c r="AG151" s="285"/>
      <c r="AH151" s="285"/>
      <c r="AI151" s="285"/>
      <c r="AJ151" s="285"/>
      <c r="AK151" s="285"/>
    </row>
    <row r="152"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B152" s="285"/>
      <c r="AC152" s="285"/>
      <c r="AD152" s="285"/>
      <c r="AE152" s="285"/>
      <c r="AF152" s="285"/>
      <c r="AG152" s="285"/>
      <c r="AH152" s="285"/>
      <c r="AI152" s="285"/>
      <c r="AJ152" s="285"/>
      <c r="AK152" s="285"/>
    </row>
    <row r="153"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B153" s="285"/>
      <c r="AC153" s="285"/>
      <c r="AD153" s="285"/>
      <c r="AE153" s="285"/>
      <c r="AF153" s="285"/>
      <c r="AG153" s="285"/>
      <c r="AH153" s="285"/>
      <c r="AI153" s="285"/>
      <c r="AJ153" s="285"/>
      <c r="AK153" s="285"/>
    </row>
    <row r="154"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B154" s="285"/>
      <c r="AC154" s="285"/>
      <c r="AD154" s="285"/>
      <c r="AE154" s="285"/>
      <c r="AF154" s="285"/>
      <c r="AG154" s="285"/>
      <c r="AH154" s="285"/>
      <c r="AI154" s="285"/>
      <c r="AJ154" s="285"/>
      <c r="AK154" s="285"/>
    </row>
    <row r="155"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B155" s="285"/>
      <c r="AC155" s="285"/>
      <c r="AD155" s="285"/>
      <c r="AE155" s="285"/>
      <c r="AF155" s="285"/>
      <c r="AG155" s="285"/>
      <c r="AH155" s="285"/>
      <c r="AI155" s="285"/>
      <c r="AJ155" s="285"/>
      <c r="AK155" s="285"/>
    </row>
    <row r="156"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  <c r="AB156" s="285"/>
      <c r="AC156" s="285"/>
      <c r="AD156" s="285"/>
      <c r="AE156" s="285"/>
      <c r="AF156" s="285"/>
      <c r="AG156" s="285"/>
      <c r="AH156" s="285"/>
      <c r="AI156" s="285"/>
      <c r="AJ156" s="285"/>
      <c r="AK156" s="285"/>
    </row>
    <row r="157"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B157" s="285"/>
      <c r="AC157" s="285"/>
      <c r="AD157" s="285"/>
      <c r="AE157" s="285"/>
      <c r="AF157" s="285"/>
      <c r="AG157" s="285"/>
      <c r="AH157" s="285"/>
      <c r="AI157" s="285"/>
      <c r="AJ157" s="285"/>
      <c r="AK157" s="285"/>
    </row>
    <row r="158"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B158" s="285"/>
      <c r="AC158" s="285"/>
      <c r="AD158" s="285"/>
      <c r="AE158" s="285"/>
      <c r="AF158" s="285"/>
      <c r="AG158" s="285"/>
      <c r="AH158" s="285"/>
      <c r="AI158" s="285"/>
      <c r="AJ158" s="285"/>
      <c r="AK158" s="285"/>
    </row>
    <row r="159"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B159" s="285"/>
      <c r="AC159" s="285"/>
      <c r="AD159" s="285"/>
      <c r="AE159" s="285"/>
      <c r="AF159" s="285"/>
      <c r="AG159" s="285"/>
      <c r="AH159" s="285"/>
      <c r="AI159" s="285"/>
      <c r="AJ159" s="285"/>
      <c r="AK159" s="285"/>
    </row>
    <row r="160"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B160" s="285"/>
      <c r="AC160" s="285"/>
      <c r="AD160" s="285"/>
      <c r="AE160" s="285"/>
      <c r="AF160" s="285"/>
      <c r="AG160" s="285"/>
      <c r="AH160" s="285"/>
      <c r="AI160" s="285"/>
      <c r="AJ160" s="285"/>
      <c r="AK160" s="285"/>
    </row>
    <row r="161"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B161" s="285"/>
      <c r="AC161" s="285"/>
      <c r="AD161" s="285"/>
      <c r="AE161" s="285"/>
      <c r="AF161" s="285"/>
      <c r="AG161" s="285"/>
      <c r="AH161" s="285"/>
      <c r="AI161" s="285"/>
      <c r="AJ161" s="285"/>
      <c r="AK161" s="285"/>
    </row>
    <row r="162"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  <c r="AB162" s="285"/>
      <c r="AC162" s="285"/>
      <c r="AD162" s="285"/>
      <c r="AE162" s="285"/>
      <c r="AF162" s="285"/>
      <c r="AG162" s="285"/>
      <c r="AH162" s="285"/>
      <c r="AI162" s="285"/>
      <c r="AJ162" s="285"/>
      <c r="AK162" s="285"/>
    </row>
    <row r="163"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B163" s="285"/>
      <c r="AC163" s="285"/>
      <c r="AD163" s="285"/>
      <c r="AE163" s="285"/>
      <c r="AF163" s="285"/>
      <c r="AG163" s="285"/>
      <c r="AH163" s="285"/>
      <c r="AI163" s="285"/>
      <c r="AJ163" s="285"/>
      <c r="AK163" s="285"/>
    </row>
    <row r="164"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B164" s="285"/>
      <c r="AC164" s="285"/>
      <c r="AD164" s="285"/>
      <c r="AE164" s="285"/>
      <c r="AF164" s="285"/>
      <c r="AG164" s="285"/>
      <c r="AH164" s="285"/>
      <c r="AI164" s="285"/>
      <c r="AJ164" s="285"/>
      <c r="AK164" s="285"/>
    </row>
    <row r="165"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B165" s="285"/>
      <c r="AC165" s="285"/>
      <c r="AD165" s="285"/>
      <c r="AE165" s="285"/>
      <c r="AF165" s="285"/>
      <c r="AG165" s="285"/>
      <c r="AH165" s="285"/>
      <c r="AI165" s="285"/>
      <c r="AJ165" s="285"/>
      <c r="AK165" s="285"/>
    </row>
    <row r="166"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B166" s="285"/>
      <c r="AC166" s="285"/>
      <c r="AD166" s="285"/>
      <c r="AE166" s="285"/>
      <c r="AF166" s="285"/>
      <c r="AG166" s="285"/>
      <c r="AH166" s="285"/>
      <c r="AI166" s="285"/>
      <c r="AJ166" s="285"/>
      <c r="AK166" s="285"/>
    </row>
    <row r="167"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B167" s="285"/>
      <c r="AC167" s="285"/>
      <c r="AD167" s="285"/>
      <c r="AE167" s="285"/>
      <c r="AF167" s="285"/>
      <c r="AG167" s="285"/>
      <c r="AH167" s="285"/>
      <c r="AI167" s="285"/>
      <c r="AJ167" s="285"/>
      <c r="AK167" s="285"/>
    </row>
    <row r="168"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B168" s="285"/>
      <c r="AC168" s="285"/>
      <c r="AD168" s="285"/>
      <c r="AE168" s="285"/>
      <c r="AF168" s="285"/>
      <c r="AG168" s="285"/>
      <c r="AH168" s="285"/>
      <c r="AI168" s="285"/>
      <c r="AJ168" s="285"/>
      <c r="AK168" s="285"/>
    </row>
    <row r="169"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B169" s="285"/>
      <c r="AC169" s="285"/>
      <c r="AD169" s="285"/>
      <c r="AE169" s="285"/>
      <c r="AF169" s="285"/>
      <c r="AG169" s="285"/>
      <c r="AH169" s="285"/>
      <c r="AI169" s="285"/>
      <c r="AJ169" s="285"/>
      <c r="AK169" s="285"/>
    </row>
    <row r="170"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B170" s="285"/>
      <c r="AC170" s="285"/>
      <c r="AD170" s="285"/>
      <c r="AE170" s="285"/>
      <c r="AF170" s="285"/>
      <c r="AG170" s="285"/>
      <c r="AH170" s="285"/>
      <c r="AI170" s="285"/>
      <c r="AJ170" s="285"/>
      <c r="AK170" s="285"/>
    </row>
    <row r="171"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B171" s="285"/>
      <c r="AC171" s="285"/>
      <c r="AD171" s="285"/>
      <c r="AE171" s="285"/>
      <c r="AF171" s="285"/>
      <c r="AG171" s="285"/>
      <c r="AH171" s="285"/>
      <c r="AI171" s="285"/>
      <c r="AJ171" s="285"/>
      <c r="AK171" s="285"/>
    </row>
    <row r="172"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B172" s="285"/>
      <c r="AC172" s="285"/>
      <c r="AD172" s="285"/>
      <c r="AE172" s="285"/>
      <c r="AF172" s="285"/>
      <c r="AG172" s="285"/>
      <c r="AH172" s="285"/>
      <c r="AI172" s="285"/>
      <c r="AJ172" s="285"/>
      <c r="AK172" s="285"/>
    </row>
    <row r="173"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B173" s="285"/>
      <c r="AC173" s="285"/>
      <c r="AD173" s="285"/>
      <c r="AE173" s="285"/>
      <c r="AF173" s="285"/>
      <c r="AG173" s="285"/>
      <c r="AH173" s="285"/>
      <c r="AI173" s="285"/>
      <c r="AJ173" s="285"/>
      <c r="AK173" s="285"/>
    </row>
    <row r="174"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B174" s="285"/>
      <c r="AC174" s="285"/>
      <c r="AD174" s="285"/>
      <c r="AE174" s="285"/>
      <c r="AF174" s="285"/>
      <c r="AG174" s="285"/>
      <c r="AH174" s="285"/>
      <c r="AI174" s="285"/>
      <c r="AJ174" s="285"/>
      <c r="AK174" s="285"/>
    </row>
    <row r="175"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  <c r="AB175" s="285"/>
      <c r="AC175" s="285"/>
      <c r="AD175" s="285"/>
      <c r="AE175" s="285"/>
      <c r="AF175" s="285"/>
      <c r="AG175" s="285"/>
      <c r="AH175" s="285"/>
      <c r="AI175" s="285"/>
      <c r="AJ175" s="285"/>
      <c r="AK175" s="285"/>
    </row>
    <row r="176"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B176" s="285"/>
      <c r="AC176" s="285"/>
      <c r="AD176" s="285"/>
      <c r="AE176" s="285"/>
      <c r="AF176" s="285"/>
      <c r="AG176" s="285"/>
      <c r="AH176" s="285"/>
      <c r="AI176" s="285"/>
      <c r="AJ176" s="285"/>
      <c r="AK176" s="285"/>
    </row>
    <row r="177"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B177" s="285"/>
      <c r="AC177" s="285"/>
      <c r="AD177" s="285"/>
      <c r="AE177" s="285"/>
      <c r="AF177" s="285"/>
      <c r="AG177" s="285"/>
      <c r="AH177" s="285"/>
      <c r="AI177" s="285"/>
      <c r="AJ177" s="285"/>
      <c r="AK177" s="285"/>
    </row>
    <row r="178"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B178" s="285"/>
      <c r="AC178" s="285"/>
      <c r="AD178" s="285"/>
      <c r="AE178" s="285"/>
      <c r="AF178" s="285"/>
      <c r="AG178" s="285"/>
      <c r="AH178" s="285"/>
      <c r="AI178" s="285"/>
      <c r="AJ178" s="285"/>
      <c r="AK178" s="285"/>
    </row>
    <row r="179"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B179" s="285"/>
      <c r="AC179" s="285"/>
      <c r="AD179" s="285"/>
      <c r="AE179" s="285"/>
      <c r="AF179" s="285"/>
      <c r="AG179" s="285"/>
      <c r="AH179" s="285"/>
      <c r="AI179" s="285"/>
      <c r="AJ179" s="285"/>
      <c r="AK179" s="285"/>
    </row>
    <row r="180"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B180" s="285"/>
      <c r="AC180" s="285"/>
      <c r="AD180" s="285"/>
      <c r="AE180" s="285"/>
      <c r="AF180" s="285"/>
      <c r="AG180" s="285"/>
      <c r="AH180" s="285"/>
      <c r="AI180" s="285"/>
      <c r="AJ180" s="285"/>
      <c r="AK180" s="285"/>
    </row>
    <row r="181"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B181" s="285"/>
      <c r="AC181" s="285"/>
      <c r="AD181" s="285"/>
      <c r="AE181" s="285"/>
      <c r="AF181" s="285"/>
      <c r="AG181" s="285"/>
      <c r="AH181" s="285"/>
      <c r="AI181" s="285"/>
      <c r="AJ181" s="285"/>
      <c r="AK181" s="285"/>
    </row>
    <row r="182"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B182" s="285"/>
      <c r="AC182" s="285"/>
      <c r="AD182" s="285"/>
      <c r="AE182" s="285"/>
      <c r="AF182" s="285"/>
      <c r="AG182" s="285"/>
      <c r="AH182" s="285"/>
      <c r="AI182" s="285"/>
      <c r="AJ182" s="285"/>
      <c r="AK182" s="285"/>
    </row>
    <row r="183"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B183" s="285"/>
      <c r="AC183" s="285"/>
      <c r="AD183" s="285"/>
      <c r="AE183" s="285"/>
      <c r="AF183" s="285"/>
      <c r="AG183" s="285"/>
      <c r="AH183" s="285"/>
      <c r="AI183" s="285"/>
      <c r="AJ183" s="285"/>
      <c r="AK183" s="285"/>
    </row>
    <row r="184"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B184" s="285"/>
      <c r="AC184" s="285"/>
      <c r="AD184" s="285"/>
      <c r="AE184" s="285"/>
      <c r="AF184" s="285"/>
      <c r="AG184" s="285"/>
      <c r="AH184" s="285"/>
      <c r="AI184" s="285"/>
      <c r="AJ184" s="285"/>
      <c r="AK184" s="285"/>
    </row>
    <row r="185"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B185" s="285"/>
      <c r="AC185" s="285"/>
      <c r="AD185" s="285"/>
      <c r="AE185" s="285"/>
      <c r="AF185" s="285"/>
      <c r="AG185" s="285"/>
      <c r="AH185" s="285"/>
      <c r="AI185" s="285"/>
      <c r="AJ185" s="285"/>
      <c r="AK185" s="285"/>
    </row>
    <row r="186"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B186" s="285"/>
      <c r="AC186" s="285"/>
      <c r="AD186" s="285"/>
      <c r="AE186" s="285"/>
      <c r="AF186" s="285"/>
      <c r="AG186" s="285"/>
      <c r="AH186" s="285"/>
      <c r="AI186" s="285"/>
      <c r="AJ186" s="285"/>
      <c r="AK186" s="285"/>
    </row>
    <row r="187"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B187" s="285"/>
      <c r="AC187" s="285"/>
      <c r="AD187" s="285"/>
      <c r="AE187" s="285"/>
      <c r="AF187" s="285"/>
      <c r="AG187" s="285"/>
      <c r="AH187" s="285"/>
      <c r="AI187" s="285"/>
      <c r="AJ187" s="285"/>
      <c r="AK187" s="285"/>
    </row>
    <row r="188"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  <c r="AB188" s="285"/>
      <c r="AC188" s="285"/>
      <c r="AD188" s="285"/>
      <c r="AE188" s="285"/>
      <c r="AF188" s="285"/>
      <c r="AG188" s="285"/>
      <c r="AH188" s="285"/>
      <c r="AI188" s="285"/>
      <c r="AJ188" s="285"/>
      <c r="AK188" s="285"/>
    </row>
    <row r="189"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B189" s="285"/>
      <c r="AC189" s="285"/>
      <c r="AD189" s="285"/>
      <c r="AE189" s="285"/>
      <c r="AF189" s="285"/>
      <c r="AG189" s="285"/>
      <c r="AH189" s="285"/>
      <c r="AI189" s="285"/>
      <c r="AJ189" s="285"/>
      <c r="AK189" s="285"/>
    </row>
    <row r="190"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B190" s="285"/>
      <c r="AC190" s="285"/>
      <c r="AD190" s="285"/>
      <c r="AE190" s="285"/>
      <c r="AF190" s="285"/>
      <c r="AG190" s="285"/>
      <c r="AH190" s="285"/>
      <c r="AI190" s="285"/>
      <c r="AJ190" s="285"/>
      <c r="AK190" s="285"/>
    </row>
    <row r="191"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B191" s="285"/>
      <c r="AC191" s="285"/>
      <c r="AD191" s="285"/>
      <c r="AE191" s="285"/>
      <c r="AF191" s="285"/>
      <c r="AG191" s="285"/>
      <c r="AH191" s="285"/>
      <c r="AI191" s="285"/>
      <c r="AJ191" s="285"/>
      <c r="AK191" s="285"/>
    </row>
    <row r="192"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B192" s="285"/>
      <c r="AC192" s="285"/>
      <c r="AD192" s="285"/>
      <c r="AE192" s="285"/>
      <c r="AF192" s="285"/>
      <c r="AG192" s="285"/>
      <c r="AH192" s="285"/>
      <c r="AI192" s="285"/>
      <c r="AJ192" s="285"/>
      <c r="AK192" s="285"/>
    </row>
    <row r="193"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  <c r="AB193" s="285"/>
      <c r="AC193" s="285"/>
      <c r="AD193" s="285"/>
      <c r="AE193" s="285"/>
      <c r="AF193" s="285"/>
      <c r="AG193" s="285"/>
      <c r="AH193" s="285"/>
      <c r="AI193" s="285"/>
      <c r="AJ193" s="285"/>
      <c r="AK193" s="285"/>
    </row>
    <row r="194"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B194" s="285"/>
      <c r="AC194" s="285"/>
      <c r="AD194" s="285"/>
      <c r="AE194" s="285"/>
      <c r="AF194" s="285"/>
      <c r="AG194" s="285"/>
      <c r="AH194" s="285"/>
      <c r="AI194" s="285"/>
      <c r="AJ194" s="285"/>
      <c r="AK194" s="285"/>
    </row>
    <row r="195"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B195" s="285"/>
      <c r="AC195" s="285"/>
      <c r="AD195" s="285"/>
      <c r="AE195" s="285"/>
      <c r="AF195" s="285"/>
      <c r="AG195" s="285"/>
      <c r="AH195" s="285"/>
      <c r="AI195" s="285"/>
      <c r="AJ195" s="285"/>
      <c r="AK195" s="285"/>
    </row>
    <row r="196"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  <c r="AB196" s="285"/>
      <c r="AC196" s="285"/>
      <c r="AD196" s="285"/>
      <c r="AE196" s="285"/>
      <c r="AF196" s="285"/>
      <c r="AG196" s="285"/>
      <c r="AH196" s="285"/>
      <c r="AI196" s="285"/>
      <c r="AJ196" s="285"/>
      <c r="AK196" s="285"/>
    </row>
    <row r="197"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B197" s="285"/>
      <c r="AC197" s="285"/>
      <c r="AD197" s="285"/>
      <c r="AE197" s="285"/>
      <c r="AF197" s="285"/>
      <c r="AG197" s="285"/>
      <c r="AH197" s="285"/>
      <c r="AI197" s="285"/>
      <c r="AJ197" s="285"/>
      <c r="AK197" s="285"/>
    </row>
    <row r="198"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B198" s="285"/>
      <c r="AC198" s="285"/>
      <c r="AD198" s="285"/>
      <c r="AE198" s="285"/>
      <c r="AF198" s="285"/>
      <c r="AG198" s="285"/>
      <c r="AH198" s="285"/>
      <c r="AI198" s="285"/>
      <c r="AJ198" s="285"/>
      <c r="AK198" s="285"/>
    </row>
    <row r="199"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B199" s="285"/>
      <c r="AC199" s="285"/>
      <c r="AD199" s="285"/>
      <c r="AE199" s="285"/>
      <c r="AF199" s="285"/>
      <c r="AG199" s="285"/>
      <c r="AH199" s="285"/>
      <c r="AI199" s="285"/>
      <c r="AJ199" s="285"/>
      <c r="AK199" s="285"/>
    </row>
    <row r="200"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B200" s="285"/>
      <c r="AC200" s="285"/>
      <c r="AD200" s="285"/>
      <c r="AE200" s="285"/>
      <c r="AF200" s="285"/>
      <c r="AG200" s="285"/>
      <c r="AH200" s="285"/>
      <c r="AI200" s="285"/>
      <c r="AJ200" s="285"/>
      <c r="AK200" s="285"/>
    </row>
    <row r="201"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B201" s="285"/>
      <c r="AC201" s="285"/>
      <c r="AD201" s="285"/>
      <c r="AE201" s="285"/>
      <c r="AF201" s="285"/>
      <c r="AG201" s="285"/>
      <c r="AH201" s="285"/>
      <c r="AI201" s="285"/>
      <c r="AJ201" s="285"/>
      <c r="AK201" s="285"/>
    </row>
    <row r="202"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B202" s="285"/>
      <c r="AC202" s="285"/>
      <c r="AD202" s="285"/>
      <c r="AE202" s="285"/>
      <c r="AF202" s="285"/>
      <c r="AG202" s="285"/>
      <c r="AH202" s="285"/>
      <c r="AI202" s="285"/>
      <c r="AJ202" s="285"/>
      <c r="AK202" s="285"/>
    </row>
    <row r="203"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B203" s="285"/>
      <c r="AC203" s="285"/>
      <c r="AD203" s="285"/>
      <c r="AE203" s="285"/>
      <c r="AF203" s="285"/>
      <c r="AG203" s="285"/>
      <c r="AH203" s="285"/>
      <c r="AI203" s="285"/>
      <c r="AJ203" s="285"/>
      <c r="AK203" s="285"/>
    </row>
    <row r="204"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B204" s="285"/>
      <c r="AC204" s="285"/>
      <c r="AD204" s="285"/>
      <c r="AE204" s="285"/>
      <c r="AF204" s="285"/>
      <c r="AG204" s="285"/>
      <c r="AH204" s="285"/>
      <c r="AI204" s="285"/>
      <c r="AJ204" s="285"/>
      <c r="AK204" s="285"/>
    </row>
    <row r="205"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B205" s="285"/>
      <c r="AC205" s="285"/>
      <c r="AD205" s="285"/>
      <c r="AE205" s="285"/>
      <c r="AF205" s="285"/>
      <c r="AG205" s="285"/>
      <c r="AH205" s="285"/>
      <c r="AI205" s="285"/>
      <c r="AJ205" s="285"/>
      <c r="AK205" s="285"/>
    </row>
    <row r="206"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B206" s="285"/>
      <c r="AC206" s="285"/>
      <c r="AD206" s="285"/>
      <c r="AE206" s="285"/>
      <c r="AF206" s="285"/>
      <c r="AG206" s="285"/>
      <c r="AH206" s="285"/>
      <c r="AI206" s="285"/>
      <c r="AJ206" s="285"/>
      <c r="AK206" s="285"/>
    </row>
    <row r="207"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B207" s="285"/>
      <c r="AC207" s="285"/>
      <c r="AD207" s="285"/>
      <c r="AE207" s="285"/>
      <c r="AF207" s="285"/>
      <c r="AG207" s="285"/>
      <c r="AH207" s="285"/>
      <c r="AI207" s="285"/>
      <c r="AJ207" s="285"/>
      <c r="AK207" s="285"/>
    </row>
    <row r="208"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B208" s="285"/>
      <c r="AC208" s="285"/>
      <c r="AD208" s="285"/>
      <c r="AE208" s="285"/>
      <c r="AF208" s="285"/>
      <c r="AG208" s="285"/>
      <c r="AH208" s="285"/>
      <c r="AI208" s="285"/>
      <c r="AJ208" s="285"/>
      <c r="AK208" s="285"/>
    </row>
    <row r="209"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B209" s="285"/>
      <c r="AC209" s="285"/>
      <c r="AD209" s="285"/>
      <c r="AE209" s="285"/>
      <c r="AF209" s="285"/>
      <c r="AG209" s="285"/>
      <c r="AH209" s="285"/>
      <c r="AI209" s="285"/>
      <c r="AJ209" s="285"/>
      <c r="AK209" s="285"/>
    </row>
    <row r="210"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  <c r="AB210" s="285"/>
      <c r="AC210" s="285"/>
      <c r="AD210" s="285"/>
      <c r="AE210" s="285"/>
      <c r="AF210" s="285"/>
      <c r="AG210" s="285"/>
      <c r="AH210" s="285"/>
      <c r="AI210" s="285"/>
      <c r="AJ210" s="285"/>
      <c r="AK210" s="285"/>
    </row>
    <row r="211"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B211" s="285"/>
      <c r="AC211" s="285"/>
      <c r="AD211" s="285"/>
      <c r="AE211" s="285"/>
      <c r="AF211" s="285"/>
      <c r="AG211" s="285"/>
      <c r="AH211" s="285"/>
      <c r="AI211" s="285"/>
      <c r="AJ211" s="285"/>
      <c r="AK211" s="285"/>
    </row>
    <row r="212"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B212" s="285"/>
      <c r="AC212" s="285"/>
      <c r="AD212" s="285"/>
      <c r="AE212" s="285"/>
      <c r="AF212" s="285"/>
      <c r="AG212" s="285"/>
      <c r="AH212" s="285"/>
      <c r="AI212" s="285"/>
      <c r="AJ212" s="285"/>
      <c r="AK212" s="285"/>
    </row>
    <row r="213"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B213" s="285"/>
      <c r="AC213" s="285"/>
      <c r="AD213" s="285"/>
      <c r="AE213" s="285"/>
      <c r="AF213" s="285"/>
      <c r="AG213" s="285"/>
      <c r="AH213" s="285"/>
      <c r="AI213" s="285"/>
      <c r="AJ213" s="285"/>
      <c r="AK213" s="285"/>
    </row>
    <row r="214"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B214" s="285"/>
      <c r="AC214" s="285"/>
      <c r="AD214" s="285"/>
      <c r="AE214" s="285"/>
      <c r="AF214" s="285"/>
      <c r="AG214" s="285"/>
      <c r="AH214" s="285"/>
      <c r="AI214" s="285"/>
      <c r="AJ214" s="285"/>
      <c r="AK214" s="285"/>
    </row>
    <row r="215"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B215" s="285"/>
      <c r="AC215" s="285"/>
      <c r="AD215" s="285"/>
      <c r="AE215" s="285"/>
      <c r="AF215" s="285"/>
      <c r="AG215" s="285"/>
      <c r="AH215" s="285"/>
      <c r="AI215" s="285"/>
      <c r="AJ215" s="285"/>
      <c r="AK215" s="285"/>
    </row>
    <row r="216"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B216" s="285"/>
      <c r="AC216" s="285"/>
      <c r="AD216" s="285"/>
      <c r="AE216" s="285"/>
      <c r="AF216" s="285"/>
      <c r="AG216" s="285"/>
      <c r="AH216" s="285"/>
      <c r="AI216" s="285"/>
      <c r="AJ216" s="285"/>
      <c r="AK216" s="285"/>
    </row>
    <row r="217"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B217" s="285"/>
      <c r="AC217" s="285"/>
      <c r="AD217" s="285"/>
      <c r="AE217" s="285"/>
      <c r="AF217" s="285"/>
      <c r="AG217" s="285"/>
      <c r="AH217" s="285"/>
      <c r="AI217" s="285"/>
      <c r="AJ217" s="285"/>
      <c r="AK217" s="285"/>
    </row>
    <row r="218"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B218" s="285"/>
      <c r="AC218" s="285"/>
      <c r="AD218" s="285"/>
      <c r="AE218" s="285"/>
      <c r="AF218" s="285"/>
      <c r="AG218" s="285"/>
      <c r="AH218" s="285"/>
      <c r="AI218" s="285"/>
      <c r="AJ218" s="285"/>
      <c r="AK218" s="285"/>
    </row>
    <row r="219"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B219" s="285"/>
      <c r="AC219" s="285"/>
      <c r="AD219" s="285"/>
      <c r="AE219" s="285"/>
      <c r="AF219" s="285"/>
      <c r="AG219" s="285"/>
      <c r="AH219" s="285"/>
      <c r="AI219" s="285"/>
      <c r="AJ219" s="285"/>
      <c r="AK219" s="285"/>
    </row>
    <row r="220"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B220" s="285"/>
      <c r="AC220" s="285"/>
      <c r="AD220" s="285"/>
      <c r="AE220" s="285"/>
      <c r="AF220" s="285"/>
      <c r="AG220" s="285"/>
      <c r="AH220" s="285"/>
      <c r="AI220" s="285"/>
      <c r="AJ220" s="285"/>
      <c r="AK220" s="285"/>
    </row>
    <row r="221"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B221" s="285"/>
      <c r="AC221" s="285"/>
      <c r="AD221" s="285"/>
      <c r="AE221" s="285"/>
      <c r="AF221" s="285"/>
      <c r="AG221" s="285"/>
      <c r="AH221" s="285"/>
      <c r="AI221" s="285"/>
      <c r="AJ221" s="285"/>
      <c r="AK221" s="285"/>
    </row>
    <row r="222"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B222" s="285"/>
      <c r="AC222" s="285"/>
      <c r="AD222" s="285"/>
      <c r="AE222" s="285"/>
      <c r="AF222" s="285"/>
      <c r="AG222" s="285"/>
      <c r="AH222" s="285"/>
      <c r="AI222" s="285"/>
      <c r="AJ222" s="285"/>
      <c r="AK222" s="285"/>
    </row>
    <row r="223"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B223" s="285"/>
      <c r="AC223" s="285"/>
      <c r="AD223" s="285"/>
      <c r="AE223" s="285"/>
      <c r="AF223" s="285"/>
      <c r="AG223" s="285"/>
      <c r="AH223" s="285"/>
      <c r="AI223" s="285"/>
      <c r="AJ223" s="285"/>
      <c r="AK223" s="285"/>
    </row>
    <row r="224"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B224" s="285"/>
      <c r="AC224" s="285"/>
      <c r="AD224" s="285"/>
      <c r="AE224" s="285"/>
      <c r="AF224" s="285"/>
      <c r="AG224" s="285"/>
      <c r="AH224" s="285"/>
      <c r="AI224" s="285"/>
      <c r="AJ224" s="285"/>
      <c r="AK224" s="285"/>
    </row>
    <row r="225"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B225" s="285"/>
      <c r="AC225" s="285"/>
      <c r="AD225" s="285"/>
      <c r="AE225" s="285"/>
      <c r="AF225" s="285"/>
      <c r="AG225" s="285"/>
      <c r="AH225" s="285"/>
      <c r="AI225" s="285"/>
      <c r="AJ225" s="285"/>
      <c r="AK225" s="285"/>
    </row>
    <row r="226"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  <c r="AB226" s="285"/>
      <c r="AC226" s="285"/>
      <c r="AD226" s="285"/>
      <c r="AE226" s="285"/>
      <c r="AF226" s="285"/>
      <c r="AG226" s="285"/>
      <c r="AH226" s="285"/>
      <c r="AI226" s="285"/>
      <c r="AJ226" s="285"/>
      <c r="AK226" s="285"/>
    </row>
    <row r="227"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B227" s="285"/>
      <c r="AC227" s="285"/>
      <c r="AD227" s="285"/>
      <c r="AE227" s="285"/>
      <c r="AF227" s="285"/>
      <c r="AG227" s="285"/>
      <c r="AH227" s="285"/>
      <c r="AI227" s="285"/>
      <c r="AJ227" s="285"/>
      <c r="AK227" s="285"/>
    </row>
    <row r="228"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B228" s="285"/>
      <c r="AC228" s="285"/>
      <c r="AD228" s="285"/>
      <c r="AE228" s="285"/>
      <c r="AF228" s="285"/>
      <c r="AG228" s="285"/>
      <c r="AH228" s="285"/>
      <c r="AI228" s="285"/>
      <c r="AJ228" s="285"/>
      <c r="AK228" s="285"/>
    </row>
    <row r="229"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B229" s="285"/>
      <c r="AC229" s="285"/>
      <c r="AD229" s="285"/>
      <c r="AE229" s="285"/>
      <c r="AF229" s="285"/>
      <c r="AG229" s="285"/>
      <c r="AH229" s="285"/>
      <c r="AI229" s="285"/>
      <c r="AJ229" s="285"/>
      <c r="AK229" s="285"/>
    </row>
    <row r="230"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B230" s="285"/>
      <c r="AC230" s="285"/>
      <c r="AD230" s="285"/>
      <c r="AE230" s="285"/>
      <c r="AF230" s="285"/>
      <c r="AG230" s="285"/>
      <c r="AH230" s="285"/>
      <c r="AI230" s="285"/>
      <c r="AJ230" s="285"/>
      <c r="AK230" s="285"/>
    </row>
    <row r="231"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B231" s="285"/>
      <c r="AC231" s="285"/>
      <c r="AD231" s="285"/>
      <c r="AE231" s="285"/>
      <c r="AF231" s="285"/>
      <c r="AG231" s="285"/>
      <c r="AH231" s="285"/>
      <c r="AI231" s="285"/>
      <c r="AJ231" s="285"/>
      <c r="AK231" s="285"/>
    </row>
    <row r="232"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B232" s="285"/>
      <c r="AC232" s="285"/>
      <c r="AD232" s="285"/>
      <c r="AE232" s="285"/>
      <c r="AF232" s="285"/>
      <c r="AG232" s="285"/>
      <c r="AH232" s="285"/>
      <c r="AI232" s="285"/>
      <c r="AJ232" s="285"/>
      <c r="AK232" s="285"/>
    </row>
    <row r="233"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B233" s="285"/>
      <c r="AC233" s="285"/>
      <c r="AD233" s="285"/>
      <c r="AE233" s="285"/>
      <c r="AF233" s="285"/>
      <c r="AG233" s="285"/>
      <c r="AH233" s="285"/>
      <c r="AI233" s="285"/>
      <c r="AJ233" s="285"/>
      <c r="AK233" s="285"/>
    </row>
    <row r="234"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B234" s="285"/>
      <c r="AC234" s="285"/>
      <c r="AD234" s="285"/>
      <c r="AE234" s="285"/>
      <c r="AF234" s="285"/>
      <c r="AG234" s="285"/>
      <c r="AH234" s="285"/>
      <c r="AI234" s="285"/>
      <c r="AJ234" s="285"/>
      <c r="AK234" s="285"/>
    </row>
    <row r="235"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B235" s="285"/>
      <c r="AC235" s="285"/>
      <c r="AD235" s="285"/>
      <c r="AE235" s="285"/>
      <c r="AF235" s="285"/>
      <c r="AG235" s="285"/>
      <c r="AH235" s="285"/>
      <c r="AI235" s="285"/>
      <c r="AJ235" s="285"/>
      <c r="AK235" s="285"/>
    </row>
    <row r="236"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  <c r="AB236" s="285"/>
      <c r="AC236" s="285"/>
      <c r="AD236" s="285"/>
      <c r="AE236" s="285"/>
      <c r="AF236" s="285"/>
      <c r="AG236" s="285"/>
      <c r="AH236" s="285"/>
      <c r="AI236" s="285"/>
      <c r="AJ236" s="285"/>
      <c r="AK236" s="285"/>
    </row>
    <row r="237"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B237" s="285"/>
      <c r="AC237" s="285"/>
      <c r="AD237" s="285"/>
      <c r="AE237" s="285"/>
      <c r="AF237" s="285"/>
      <c r="AG237" s="285"/>
      <c r="AH237" s="285"/>
      <c r="AI237" s="285"/>
      <c r="AJ237" s="285"/>
      <c r="AK237" s="285"/>
    </row>
    <row r="238"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B238" s="285"/>
      <c r="AC238" s="285"/>
      <c r="AD238" s="285"/>
      <c r="AE238" s="285"/>
      <c r="AF238" s="285"/>
      <c r="AG238" s="285"/>
      <c r="AH238" s="285"/>
      <c r="AI238" s="285"/>
      <c r="AJ238" s="285"/>
      <c r="AK238" s="285"/>
    </row>
    <row r="239"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B239" s="285"/>
      <c r="AC239" s="285"/>
      <c r="AD239" s="285"/>
      <c r="AE239" s="285"/>
      <c r="AF239" s="285"/>
      <c r="AG239" s="285"/>
      <c r="AH239" s="285"/>
      <c r="AI239" s="285"/>
      <c r="AJ239" s="285"/>
      <c r="AK239" s="285"/>
    </row>
    <row r="240"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B240" s="285"/>
      <c r="AC240" s="285"/>
      <c r="AD240" s="285"/>
      <c r="AE240" s="285"/>
      <c r="AF240" s="285"/>
      <c r="AG240" s="285"/>
      <c r="AH240" s="285"/>
      <c r="AI240" s="285"/>
      <c r="AJ240" s="285"/>
      <c r="AK240" s="285"/>
    </row>
    <row r="241"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B241" s="285"/>
      <c r="AC241" s="285"/>
      <c r="AD241" s="285"/>
      <c r="AE241" s="285"/>
      <c r="AF241" s="285"/>
      <c r="AG241" s="285"/>
      <c r="AH241" s="285"/>
      <c r="AI241" s="285"/>
      <c r="AJ241" s="285"/>
      <c r="AK241" s="285"/>
    </row>
    <row r="242"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B242" s="285"/>
      <c r="AC242" s="285"/>
      <c r="AD242" s="285"/>
      <c r="AE242" s="285"/>
      <c r="AF242" s="285"/>
      <c r="AG242" s="285"/>
      <c r="AH242" s="285"/>
      <c r="AI242" s="285"/>
      <c r="AJ242" s="285"/>
      <c r="AK242" s="285"/>
    </row>
    <row r="243"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B243" s="285"/>
      <c r="AC243" s="285"/>
      <c r="AD243" s="285"/>
      <c r="AE243" s="285"/>
      <c r="AF243" s="285"/>
      <c r="AG243" s="285"/>
      <c r="AH243" s="285"/>
      <c r="AI243" s="285"/>
      <c r="AJ243" s="285"/>
      <c r="AK243" s="285"/>
    </row>
    <row r="244"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B244" s="285"/>
      <c r="AC244" s="285"/>
      <c r="AD244" s="285"/>
      <c r="AE244" s="285"/>
      <c r="AF244" s="285"/>
      <c r="AG244" s="285"/>
      <c r="AH244" s="285"/>
      <c r="AI244" s="285"/>
      <c r="AJ244" s="285"/>
      <c r="AK244" s="285"/>
    </row>
    <row r="245"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B245" s="285"/>
      <c r="AC245" s="285"/>
      <c r="AD245" s="285"/>
      <c r="AE245" s="285"/>
      <c r="AF245" s="285"/>
      <c r="AG245" s="285"/>
      <c r="AH245" s="285"/>
      <c r="AI245" s="285"/>
      <c r="AJ245" s="285"/>
      <c r="AK245" s="285"/>
    </row>
    <row r="246"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B246" s="285"/>
      <c r="AC246" s="285"/>
      <c r="AD246" s="285"/>
      <c r="AE246" s="285"/>
      <c r="AF246" s="285"/>
      <c r="AG246" s="285"/>
      <c r="AH246" s="285"/>
      <c r="AI246" s="285"/>
      <c r="AJ246" s="285"/>
      <c r="AK246" s="285"/>
    </row>
    <row r="247"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B247" s="285"/>
      <c r="AC247" s="285"/>
      <c r="AD247" s="285"/>
      <c r="AE247" s="285"/>
      <c r="AF247" s="285"/>
      <c r="AG247" s="285"/>
      <c r="AH247" s="285"/>
      <c r="AI247" s="285"/>
      <c r="AJ247" s="285"/>
      <c r="AK247" s="285"/>
    </row>
    <row r="248"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B248" s="285"/>
      <c r="AC248" s="285"/>
      <c r="AD248" s="285"/>
      <c r="AE248" s="285"/>
      <c r="AF248" s="285"/>
      <c r="AG248" s="285"/>
      <c r="AH248" s="285"/>
      <c r="AI248" s="285"/>
      <c r="AJ248" s="285"/>
      <c r="AK248" s="285"/>
    </row>
    <row r="249"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B249" s="285"/>
      <c r="AC249" s="285"/>
      <c r="AD249" s="285"/>
      <c r="AE249" s="285"/>
      <c r="AF249" s="285"/>
      <c r="AG249" s="285"/>
      <c r="AH249" s="285"/>
      <c r="AI249" s="285"/>
      <c r="AJ249" s="285"/>
      <c r="AK249" s="285"/>
    </row>
    <row r="250"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B250" s="285"/>
      <c r="AC250" s="285"/>
      <c r="AD250" s="285"/>
      <c r="AE250" s="285"/>
      <c r="AF250" s="285"/>
      <c r="AG250" s="285"/>
      <c r="AH250" s="285"/>
      <c r="AI250" s="285"/>
      <c r="AJ250" s="285"/>
      <c r="AK250" s="285"/>
    </row>
    <row r="251"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B251" s="285"/>
      <c r="AC251" s="285"/>
      <c r="AD251" s="285"/>
      <c r="AE251" s="285"/>
      <c r="AF251" s="285"/>
      <c r="AG251" s="285"/>
      <c r="AH251" s="285"/>
      <c r="AI251" s="285"/>
      <c r="AJ251" s="285"/>
      <c r="AK251" s="285"/>
    </row>
    <row r="252"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  <c r="AB252" s="285"/>
      <c r="AC252" s="285"/>
      <c r="AD252" s="285"/>
      <c r="AE252" s="285"/>
      <c r="AF252" s="285"/>
      <c r="AG252" s="285"/>
      <c r="AH252" s="285"/>
      <c r="AI252" s="285"/>
      <c r="AJ252" s="285"/>
      <c r="AK252" s="285"/>
    </row>
    <row r="253"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B253" s="285"/>
      <c r="AC253" s="285"/>
      <c r="AD253" s="285"/>
      <c r="AE253" s="285"/>
      <c r="AF253" s="285"/>
      <c r="AG253" s="285"/>
      <c r="AH253" s="285"/>
      <c r="AI253" s="285"/>
      <c r="AJ253" s="285"/>
      <c r="AK253" s="285"/>
    </row>
    <row r="254"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B254" s="285"/>
      <c r="AC254" s="285"/>
      <c r="AD254" s="285"/>
      <c r="AE254" s="285"/>
      <c r="AF254" s="285"/>
      <c r="AG254" s="285"/>
      <c r="AH254" s="285"/>
      <c r="AI254" s="285"/>
      <c r="AJ254" s="285"/>
      <c r="AK254" s="285"/>
    </row>
    <row r="255"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B255" s="285"/>
      <c r="AC255" s="285"/>
      <c r="AD255" s="285"/>
      <c r="AE255" s="285"/>
      <c r="AF255" s="285"/>
      <c r="AG255" s="285"/>
      <c r="AH255" s="285"/>
      <c r="AI255" s="285"/>
      <c r="AJ255" s="285"/>
      <c r="AK255" s="285"/>
    </row>
    <row r="256"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B256" s="285"/>
      <c r="AC256" s="285"/>
      <c r="AD256" s="285"/>
      <c r="AE256" s="285"/>
      <c r="AF256" s="285"/>
      <c r="AG256" s="285"/>
      <c r="AH256" s="285"/>
      <c r="AI256" s="285"/>
      <c r="AJ256" s="285"/>
      <c r="AK256" s="285"/>
    </row>
    <row r="257"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B257" s="285"/>
      <c r="AC257" s="285"/>
      <c r="AD257" s="285"/>
      <c r="AE257" s="285"/>
      <c r="AF257" s="285"/>
      <c r="AG257" s="285"/>
      <c r="AH257" s="285"/>
      <c r="AI257" s="285"/>
      <c r="AJ257" s="285"/>
      <c r="AK257" s="285"/>
    </row>
    <row r="258"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  <c r="AB258" s="285"/>
      <c r="AC258" s="285"/>
      <c r="AD258" s="285"/>
      <c r="AE258" s="285"/>
      <c r="AF258" s="285"/>
      <c r="AG258" s="285"/>
      <c r="AH258" s="285"/>
      <c r="AI258" s="285"/>
      <c r="AJ258" s="285"/>
      <c r="AK258" s="285"/>
    </row>
    <row r="259"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  <c r="AB259" s="285"/>
      <c r="AC259" s="285"/>
      <c r="AD259" s="285"/>
      <c r="AE259" s="285"/>
      <c r="AF259" s="285"/>
      <c r="AG259" s="285"/>
      <c r="AH259" s="285"/>
      <c r="AI259" s="285"/>
      <c r="AJ259" s="285"/>
      <c r="AK259" s="285"/>
    </row>
    <row r="260"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B260" s="285"/>
      <c r="AC260" s="285"/>
      <c r="AD260" s="285"/>
      <c r="AE260" s="285"/>
      <c r="AF260" s="285"/>
      <c r="AG260" s="285"/>
      <c r="AH260" s="285"/>
      <c r="AI260" s="285"/>
      <c r="AJ260" s="285"/>
      <c r="AK260" s="285"/>
    </row>
    <row r="261"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B261" s="285"/>
      <c r="AC261" s="285"/>
      <c r="AD261" s="285"/>
      <c r="AE261" s="285"/>
      <c r="AF261" s="285"/>
      <c r="AG261" s="285"/>
      <c r="AH261" s="285"/>
      <c r="AI261" s="285"/>
      <c r="AJ261" s="285"/>
      <c r="AK261" s="285"/>
    </row>
    <row r="262"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B262" s="285"/>
      <c r="AC262" s="285"/>
      <c r="AD262" s="285"/>
      <c r="AE262" s="285"/>
      <c r="AF262" s="285"/>
      <c r="AG262" s="285"/>
      <c r="AH262" s="285"/>
      <c r="AI262" s="285"/>
      <c r="AJ262" s="285"/>
      <c r="AK262" s="285"/>
    </row>
    <row r="263"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  <c r="AB263" s="285"/>
      <c r="AC263" s="285"/>
      <c r="AD263" s="285"/>
      <c r="AE263" s="285"/>
      <c r="AF263" s="285"/>
      <c r="AG263" s="285"/>
      <c r="AH263" s="285"/>
      <c r="AI263" s="285"/>
      <c r="AJ263" s="285"/>
      <c r="AK263" s="285"/>
    </row>
    <row r="264"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  <c r="AB264" s="285"/>
      <c r="AC264" s="285"/>
      <c r="AD264" s="285"/>
      <c r="AE264" s="285"/>
      <c r="AF264" s="285"/>
      <c r="AG264" s="285"/>
      <c r="AH264" s="285"/>
      <c r="AI264" s="285"/>
      <c r="AJ264" s="285"/>
      <c r="AK264" s="285"/>
    </row>
    <row r="265"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B265" s="285"/>
      <c r="AC265" s="285"/>
      <c r="AD265" s="285"/>
      <c r="AE265" s="285"/>
      <c r="AF265" s="285"/>
      <c r="AG265" s="285"/>
      <c r="AH265" s="285"/>
      <c r="AI265" s="285"/>
      <c r="AJ265" s="285"/>
      <c r="AK265" s="285"/>
    </row>
    <row r="266"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B266" s="285"/>
      <c r="AC266" s="285"/>
      <c r="AD266" s="285"/>
      <c r="AE266" s="285"/>
      <c r="AF266" s="285"/>
      <c r="AG266" s="285"/>
      <c r="AH266" s="285"/>
      <c r="AI266" s="285"/>
      <c r="AJ266" s="285"/>
      <c r="AK266" s="285"/>
    </row>
    <row r="267"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  <c r="AB267" s="285"/>
      <c r="AC267" s="285"/>
      <c r="AD267" s="285"/>
      <c r="AE267" s="285"/>
      <c r="AF267" s="285"/>
      <c r="AG267" s="285"/>
      <c r="AH267" s="285"/>
      <c r="AI267" s="285"/>
      <c r="AJ267" s="285"/>
      <c r="AK267" s="285"/>
    </row>
    <row r="268"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  <c r="AB268" s="285"/>
      <c r="AC268" s="285"/>
      <c r="AD268" s="285"/>
      <c r="AE268" s="285"/>
      <c r="AF268" s="285"/>
      <c r="AG268" s="285"/>
      <c r="AH268" s="285"/>
      <c r="AI268" s="285"/>
      <c r="AJ268" s="285"/>
      <c r="AK268" s="285"/>
    </row>
    <row r="269"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  <c r="AB269" s="285"/>
      <c r="AC269" s="285"/>
      <c r="AD269" s="285"/>
      <c r="AE269" s="285"/>
      <c r="AF269" s="285"/>
      <c r="AG269" s="285"/>
      <c r="AH269" s="285"/>
      <c r="AI269" s="285"/>
      <c r="AJ269" s="285"/>
      <c r="AK269" s="285"/>
    </row>
    <row r="270"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  <c r="AB270" s="285"/>
      <c r="AC270" s="285"/>
      <c r="AD270" s="285"/>
      <c r="AE270" s="285"/>
      <c r="AF270" s="285"/>
      <c r="AG270" s="285"/>
      <c r="AH270" s="285"/>
      <c r="AI270" s="285"/>
      <c r="AJ270" s="285"/>
      <c r="AK270" s="285"/>
    </row>
    <row r="271"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  <c r="AB271" s="285"/>
      <c r="AC271" s="285"/>
      <c r="AD271" s="285"/>
      <c r="AE271" s="285"/>
      <c r="AF271" s="285"/>
      <c r="AG271" s="285"/>
      <c r="AH271" s="285"/>
      <c r="AI271" s="285"/>
      <c r="AJ271" s="285"/>
      <c r="AK271" s="285"/>
    </row>
    <row r="272"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B272" s="285"/>
      <c r="AC272" s="285"/>
      <c r="AD272" s="285"/>
      <c r="AE272" s="285"/>
      <c r="AF272" s="285"/>
      <c r="AG272" s="285"/>
      <c r="AH272" s="285"/>
      <c r="AI272" s="285"/>
      <c r="AJ272" s="285"/>
      <c r="AK272" s="285"/>
    </row>
    <row r="273"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  <c r="AB273" s="285"/>
      <c r="AC273" s="285"/>
      <c r="AD273" s="285"/>
      <c r="AE273" s="285"/>
      <c r="AF273" s="285"/>
      <c r="AG273" s="285"/>
      <c r="AH273" s="285"/>
      <c r="AI273" s="285"/>
      <c r="AJ273" s="285"/>
      <c r="AK273" s="285"/>
    </row>
    <row r="274"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  <c r="AB274" s="285"/>
      <c r="AC274" s="285"/>
      <c r="AD274" s="285"/>
      <c r="AE274" s="285"/>
      <c r="AF274" s="285"/>
      <c r="AG274" s="285"/>
      <c r="AH274" s="285"/>
      <c r="AI274" s="285"/>
      <c r="AJ274" s="285"/>
      <c r="AK274" s="285"/>
    </row>
    <row r="275"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  <c r="AB275" s="285"/>
      <c r="AC275" s="285"/>
      <c r="AD275" s="285"/>
      <c r="AE275" s="285"/>
      <c r="AF275" s="285"/>
      <c r="AG275" s="285"/>
      <c r="AH275" s="285"/>
      <c r="AI275" s="285"/>
      <c r="AJ275" s="285"/>
      <c r="AK275" s="285"/>
    </row>
    <row r="276"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B276" s="285"/>
      <c r="AC276" s="285"/>
      <c r="AD276" s="285"/>
      <c r="AE276" s="285"/>
      <c r="AF276" s="285"/>
      <c r="AG276" s="285"/>
      <c r="AH276" s="285"/>
      <c r="AI276" s="285"/>
      <c r="AJ276" s="285"/>
      <c r="AK276" s="285"/>
    </row>
    <row r="277"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B277" s="285"/>
      <c r="AC277" s="285"/>
      <c r="AD277" s="285"/>
      <c r="AE277" s="285"/>
      <c r="AF277" s="285"/>
      <c r="AG277" s="285"/>
      <c r="AH277" s="285"/>
      <c r="AI277" s="285"/>
      <c r="AJ277" s="285"/>
      <c r="AK277" s="285"/>
    </row>
    <row r="278"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  <c r="AB278" s="285"/>
      <c r="AC278" s="285"/>
      <c r="AD278" s="285"/>
      <c r="AE278" s="285"/>
      <c r="AF278" s="285"/>
      <c r="AG278" s="285"/>
      <c r="AH278" s="285"/>
      <c r="AI278" s="285"/>
      <c r="AJ278" s="285"/>
      <c r="AK278" s="285"/>
    </row>
    <row r="279"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  <c r="AB279" s="285"/>
      <c r="AC279" s="285"/>
      <c r="AD279" s="285"/>
      <c r="AE279" s="285"/>
      <c r="AF279" s="285"/>
      <c r="AG279" s="285"/>
      <c r="AH279" s="285"/>
      <c r="AI279" s="285"/>
      <c r="AJ279" s="285"/>
      <c r="AK279" s="285"/>
    </row>
    <row r="280"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B280" s="285"/>
      <c r="AC280" s="285"/>
      <c r="AD280" s="285"/>
      <c r="AE280" s="285"/>
      <c r="AF280" s="285"/>
      <c r="AG280" s="285"/>
      <c r="AH280" s="285"/>
      <c r="AI280" s="285"/>
      <c r="AJ280" s="285"/>
      <c r="AK280" s="285"/>
    </row>
    <row r="281"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  <c r="AB281" s="285"/>
      <c r="AC281" s="285"/>
      <c r="AD281" s="285"/>
      <c r="AE281" s="285"/>
      <c r="AF281" s="285"/>
      <c r="AG281" s="285"/>
      <c r="AH281" s="285"/>
      <c r="AI281" s="285"/>
      <c r="AJ281" s="285"/>
      <c r="AK281" s="285"/>
    </row>
    <row r="282"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  <c r="AB282" s="285"/>
      <c r="AC282" s="285"/>
      <c r="AD282" s="285"/>
      <c r="AE282" s="285"/>
      <c r="AF282" s="285"/>
      <c r="AG282" s="285"/>
      <c r="AH282" s="285"/>
      <c r="AI282" s="285"/>
      <c r="AJ282" s="285"/>
      <c r="AK282" s="285"/>
    </row>
    <row r="283"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  <c r="AB283" s="285"/>
      <c r="AC283" s="285"/>
      <c r="AD283" s="285"/>
      <c r="AE283" s="285"/>
      <c r="AF283" s="285"/>
      <c r="AG283" s="285"/>
      <c r="AH283" s="285"/>
      <c r="AI283" s="285"/>
      <c r="AJ283" s="285"/>
      <c r="AK283" s="285"/>
    </row>
    <row r="284"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B284" s="285"/>
      <c r="AC284" s="285"/>
      <c r="AD284" s="285"/>
      <c r="AE284" s="285"/>
      <c r="AF284" s="285"/>
      <c r="AG284" s="285"/>
      <c r="AH284" s="285"/>
      <c r="AI284" s="285"/>
      <c r="AJ284" s="285"/>
      <c r="AK284" s="285"/>
    </row>
    <row r="285"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B285" s="285"/>
      <c r="AC285" s="285"/>
      <c r="AD285" s="285"/>
      <c r="AE285" s="285"/>
      <c r="AF285" s="285"/>
      <c r="AG285" s="285"/>
      <c r="AH285" s="285"/>
      <c r="AI285" s="285"/>
      <c r="AJ285" s="285"/>
      <c r="AK285" s="285"/>
    </row>
    <row r="286"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  <c r="AB286" s="285"/>
      <c r="AC286" s="285"/>
      <c r="AD286" s="285"/>
      <c r="AE286" s="285"/>
      <c r="AF286" s="285"/>
      <c r="AG286" s="285"/>
      <c r="AH286" s="285"/>
      <c r="AI286" s="285"/>
      <c r="AJ286" s="285"/>
      <c r="AK286" s="285"/>
    </row>
    <row r="287"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  <c r="AB287" s="285"/>
      <c r="AC287" s="285"/>
      <c r="AD287" s="285"/>
      <c r="AE287" s="285"/>
      <c r="AF287" s="285"/>
      <c r="AG287" s="285"/>
      <c r="AH287" s="285"/>
      <c r="AI287" s="285"/>
      <c r="AJ287" s="285"/>
      <c r="AK287" s="285"/>
    </row>
    <row r="288"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B288" s="285"/>
      <c r="AC288" s="285"/>
      <c r="AD288" s="285"/>
      <c r="AE288" s="285"/>
      <c r="AF288" s="285"/>
      <c r="AG288" s="285"/>
      <c r="AH288" s="285"/>
      <c r="AI288" s="285"/>
      <c r="AJ288" s="285"/>
      <c r="AK288" s="285"/>
    </row>
    <row r="289"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  <c r="AB289" s="285"/>
      <c r="AC289" s="285"/>
      <c r="AD289" s="285"/>
      <c r="AE289" s="285"/>
      <c r="AF289" s="285"/>
      <c r="AG289" s="285"/>
      <c r="AH289" s="285"/>
      <c r="AI289" s="285"/>
      <c r="AJ289" s="285"/>
      <c r="AK289" s="285"/>
    </row>
    <row r="290"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  <c r="AB290" s="285"/>
      <c r="AC290" s="285"/>
      <c r="AD290" s="285"/>
      <c r="AE290" s="285"/>
      <c r="AF290" s="285"/>
      <c r="AG290" s="285"/>
      <c r="AH290" s="285"/>
      <c r="AI290" s="285"/>
      <c r="AJ290" s="285"/>
      <c r="AK290" s="285"/>
    </row>
    <row r="291"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  <c r="AB291" s="285"/>
      <c r="AC291" s="285"/>
      <c r="AD291" s="285"/>
      <c r="AE291" s="285"/>
      <c r="AF291" s="285"/>
      <c r="AG291" s="285"/>
      <c r="AH291" s="285"/>
      <c r="AI291" s="285"/>
      <c r="AJ291" s="285"/>
      <c r="AK291" s="285"/>
    </row>
    <row r="292"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  <c r="AB292" s="285"/>
      <c r="AC292" s="285"/>
      <c r="AD292" s="285"/>
      <c r="AE292" s="285"/>
      <c r="AF292" s="285"/>
      <c r="AG292" s="285"/>
      <c r="AH292" s="285"/>
      <c r="AI292" s="285"/>
      <c r="AJ292" s="285"/>
      <c r="AK292" s="285"/>
    </row>
    <row r="293"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  <c r="AB293" s="285"/>
      <c r="AC293" s="285"/>
      <c r="AD293" s="285"/>
      <c r="AE293" s="285"/>
      <c r="AF293" s="285"/>
      <c r="AG293" s="285"/>
      <c r="AH293" s="285"/>
      <c r="AI293" s="285"/>
      <c r="AJ293" s="285"/>
      <c r="AK293" s="285"/>
    </row>
    <row r="294"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  <c r="AB294" s="285"/>
      <c r="AC294" s="285"/>
      <c r="AD294" s="285"/>
      <c r="AE294" s="285"/>
      <c r="AF294" s="285"/>
      <c r="AG294" s="285"/>
      <c r="AH294" s="285"/>
      <c r="AI294" s="285"/>
      <c r="AJ294" s="285"/>
      <c r="AK294" s="285"/>
    </row>
    <row r="295"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  <c r="AB295" s="285"/>
      <c r="AC295" s="285"/>
      <c r="AD295" s="285"/>
      <c r="AE295" s="285"/>
      <c r="AF295" s="285"/>
      <c r="AG295" s="285"/>
      <c r="AH295" s="285"/>
      <c r="AI295" s="285"/>
      <c r="AJ295" s="285"/>
      <c r="AK295" s="285"/>
    </row>
    <row r="296"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  <c r="AB296" s="285"/>
      <c r="AC296" s="285"/>
      <c r="AD296" s="285"/>
      <c r="AE296" s="285"/>
      <c r="AF296" s="285"/>
      <c r="AG296" s="285"/>
      <c r="AH296" s="285"/>
      <c r="AI296" s="285"/>
      <c r="AJ296" s="285"/>
      <c r="AK296" s="285"/>
    </row>
    <row r="297"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  <c r="AB297" s="285"/>
      <c r="AC297" s="285"/>
      <c r="AD297" s="285"/>
      <c r="AE297" s="285"/>
      <c r="AF297" s="285"/>
      <c r="AG297" s="285"/>
      <c r="AH297" s="285"/>
      <c r="AI297" s="285"/>
      <c r="AJ297" s="285"/>
      <c r="AK297" s="285"/>
    </row>
    <row r="298"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  <c r="AB298" s="285"/>
      <c r="AC298" s="285"/>
      <c r="AD298" s="285"/>
      <c r="AE298" s="285"/>
      <c r="AF298" s="285"/>
      <c r="AG298" s="285"/>
      <c r="AH298" s="285"/>
      <c r="AI298" s="285"/>
      <c r="AJ298" s="285"/>
      <c r="AK298" s="285"/>
    </row>
    <row r="299"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  <c r="AB299" s="285"/>
      <c r="AC299" s="285"/>
      <c r="AD299" s="285"/>
      <c r="AE299" s="285"/>
      <c r="AF299" s="285"/>
      <c r="AG299" s="285"/>
      <c r="AH299" s="285"/>
      <c r="AI299" s="285"/>
      <c r="AJ299" s="285"/>
      <c r="AK299" s="285"/>
    </row>
    <row r="300"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  <c r="AB300" s="285"/>
      <c r="AC300" s="285"/>
      <c r="AD300" s="285"/>
      <c r="AE300" s="285"/>
      <c r="AF300" s="285"/>
      <c r="AG300" s="285"/>
      <c r="AH300" s="285"/>
      <c r="AI300" s="285"/>
      <c r="AJ300" s="285"/>
      <c r="AK300" s="285"/>
    </row>
    <row r="301"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  <c r="AB301" s="285"/>
      <c r="AC301" s="285"/>
      <c r="AD301" s="285"/>
      <c r="AE301" s="285"/>
      <c r="AF301" s="285"/>
      <c r="AG301" s="285"/>
      <c r="AH301" s="285"/>
      <c r="AI301" s="285"/>
      <c r="AJ301" s="285"/>
      <c r="AK301" s="285"/>
    </row>
    <row r="302"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  <c r="AB302" s="285"/>
      <c r="AC302" s="285"/>
      <c r="AD302" s="285"/>
      <c r="AE302" s="285"/>
      <c r="AF302" s="285"/>
      <c r="AG302" s="285"/>
      <c r="AH302" s="285"/>
      <c r="AI302" s="285"/>
      <c r="AJ302" s="285"/>
      <c r="AK302" s="285"/>
    </row>
    <row r="303"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  <c r="AB303" s="285"/>
      <c r="AC303" s="285"/>
      <c r="AD303" s="285"/>
      <c r="AE303" s="285"/>
      <c r="AF303" s="285"/>
      <c r="AG303" s="285"/>
      <c r="AH303" s="285"/>
      <c r="AI303" s="285"/>
      <c r="AJ303" s="285"/>
      <c r="AK303" s="285"/>
    </row>
    <row r="304"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  <c r="AB304" s="285"/>
      <c r="AC304" s="285"/>
      <c r="AD304" s="285"/>
      <c r="AE304" s="285"/>
      <c r="AF304" s="285"/>
      <c r="AG304" s="285"/>
      <c r="AH304" s="285"/>
      <c r="AI304" s="285"/>
      <c r="AJ304" s="285"/>
      <c r="AK304" s="285"/>
    </row>
    <row r="305"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  <c r="AB305" s="285"/>
      <c r="AC305" s="285"/>
      <c r="AD305" s="285"/>
      <c r="AE305" s="285"/>
      <c r="AF305" s="285"/>
      <c r="AG305" s="285"/>
      <c r="AH305" s="285"/>
      <c r="AI305" s="285"/>
      <c r="AJ305" s="285"/>
      <c r="AK305" s="285"/>
    </row>
    <row r="306"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B306" s="285"/>
      <c r="AC306" s="285"/>
      <c r="AD306" s="285"/>
      <c r="AE306" s="285"/>
      <c r="AF306" s="285"/>
      <c r="AG306" s="285"/>
      <c r="AH306" s="285"/>
      <c r="AI306" s="285"/>
      <c r="AJ306" s="285"/>
      <c r="AK306" s="285"/>
    </row>
    <row r="307"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B307" s="285"/>
      <c r="AC307" s="285"/>
      <c r="AD307" s="285"/>
      <c r="AE307" s="285"/>
      <c r="AF307" s="285"/>
      <c r="AG307" s="285"/>
      <c r="AH307" s="285"/>
      <c r="AI307" s="285"/>
      <c r="AJ307" s="285"/>
      <c r="AK307" s="285"/>
    </row>
    <row r="308"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  <c r="AB308" s="285"/>
      <c r="AC308" s="285"/>
      <c r="AD308" s="285"/>
      <c r="AE308" s="285"/>
      <c r="AF308" s="285"/>
      <c r="AG308" s="285"/>
      <c r="AH308" s="285"/>
      <c r="AI308" s="285"/>
      <c r="AJ308" s="285"/>
      <c r="AK308" s="285"/>
    </row>
    <row r="309"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  <c r="AB309" s="285"/>
      <c r="AC309" s="285"/>
      <c r="AD309" s="285"/>
      <c r="AE309" s="285"/>
      <c r="AF309" s="285"/>
      <c r="AG309" s="285"/>
      <c r="AH309" s="285"/>
      <c r="AI309" s="285"/>
      <c r="AJ309" s="285"/>
      <c r="AK309" s="285"/>
    </row>
    <row r="310"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  <c r="AB310" s="285"/>
      <c r="AC310" s="285"/>
      <c r="AD310" s="285"/>
      <c r="AE310" s="285"/>
      <c r="AF310" s="285"/>
      <c r="AG310" s="285"/>
      <c r="AH310" s="285"/>
      <c r="AI310" s="285"/>
      <c r="AJ310" s="285"/>
      <c r="AK310" s="285"/>
    </row>
    <row r="311"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B311" s="285"/>
      <c r="AC311" s="285"/>
      <c r="AD311" s="285"/>
      <c r="AE311" s="285"/>
      <c r="AF311" s="285"/>
      <c r="AG311" s="285"/>
      <c r="AH311" s="285"/>
      <c r="AI311" s="285"/>
      <c r="AJ311" s="285"/>
      <c r="AK311" s="285"/>
    </row>
    <row r="312"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  <c r="AB312" s="285"/>
      <c r="AC312" s="285"/>
      <c r="AD312" s="285"/>
      <c r="AE312" s="285"/>
      <c r="AF312" s="285"/>
      <c r="AG312" s="285"/>
      <c r="AH312" s="285"/>
      <c r="AI312" s="285"/>
      <c r="AJ312" s="285"/>
      <c r="AK312" s="285"/>
    </row>
    <row r="313"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B313" s="285"/>
      <c r="AC313" s="285"/>
      <c r="AD313" s="285"/>
      <c r="AE313" s="285"/>
      <c r="AF313" s="285"/>
      <c r="AG313" s="285"/>
      <c r="AH313" s="285"/>
      <c r="AI313" s="285"/>
      <c r="AJ313" s="285"/>
      <c r="AK313" s="285"/>
    </row>
    <row r="314"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  <c r="AB314" s="285"/>
      <c r="AC314" s="285"/>
      <c r="AD314" s="285"/>
      <c r="AE314" s="285"/>
      <c r="AF314" s="285"/>
      <c r="AG314" s="285"/>
      <c r="AH314" s="285"/>
      <c r="AI314" s="285"/>
      <c r="AJ314" s="285"/>
      <c r="AK314" s="285"/>
    </row>
    <row r="315"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B315" s="285"/>
      <c r="AC315" s="285"/>
      <c r="AD315" s="285"/>
      <c r="AE315" s="285"/>
      <c r="AF315" s="285"/>
      <c r="AG315" s="285"/>
      <c r="AH315" s="285"/>
      <c r="AI315" s="285"/>
      <c r="AJ315" s="285"/>
      <c r="AK315" s="285"/>
    </row>
    <row r="316"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B316" s="285"/>
      <c r="AC316" s="285"/>
      <c r="AD316" s="285"/>
      <c r="AE316" s="285"/>
      <c r="AF316" s="285"/>
      <c r="AG316" s="285"/>
      <c r="AH316" s="285"/>
      <c r="AI316" s="285"/>
      <c r="AJ316" s="285"/>
      <c r="AK316" s="285"/>
    </row>
    <row r="317"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B317" s="285"/>
      <c r="AC317" s="285"/>
      <c r="AD317" s="285"/>
      <c r="AE317" s="285"/>
      <c r="AF317" s="285"/>
      <c r="AG317" s="285"/>
      <c r="AH317" s="285"/>
      <c r="AI317" s="285"/>
      <c r="AJ317" s="285"/>
      <c r="AK317" s="285"/>
    </row>
    <row r="318"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B318" s="285"/>
      <c r="AC318" s="285"/>
      <c r="AD318" s="285"/>
      <c r="AE318" s="285"/>
      <c r="AF318" s="285"/>
      <c r="AG318" s="285"/>
      <c r="AH318" s="285"/>
      <c r="AI318" s="285"/>
      <c r="AJ318" s="285"/>
      <c r="AK318" s="285"/>
    </row>
    <row r="319"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B319" s="285"/>
      <c r="AC319" s="285"/>
      <c r="AD319" s="285"/>
      <c r="AE319" s="285"/>
      <c r="AF319" s="285"/>
      <c r="AG319" s="285"/>
      <c r="AH319" s="285"/>
      <c r="AI319" s="285"/>
      <c r="AJ319" s="285"/>
      <c r="AK319" s="285"/>
    </row>
    <row r="320"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  <c r="AB320" s="285"/>
      <c r="AC320" s="285"/>
      <c r="AD320" s="285"/>
      <c r="AE320" s="285"/>
      <c r="AF320" s="285"/>
      <c r="AG320" s="285"/>
      <c r="AH320" s="285"/>
      <c r="AI320" s="285"/>
      <c r="AJ320" s="285"/>
      <c r="AK320" s="285"/>
    </row>
    <row r="321"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  <c r="AB321" s="285"/>
      <c r="AC321" s="285"/>
      <c r="AD321" s="285"/>
      <c r="AE321" s="285"/>
      <c r="AF321" s="285"/>
      <c r="AG321" s="285"/>
      <c r="AH321" s="285"/>
      <c r="AI321" s="285"/>
      <c r="AJ321" s="285"/>
      <c r="AK321" s="285"/>
    </row>
    <row r="322"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  <c r="AB322" s="285"/>
      <c r="AC322" s="285"/>
      <c r="AD322" s="285"/>
      <c r="AE322" s="285"/>
      <c r="AF322" s="285"/>
      <c r="AG322" s="285"/>
      <c r="AH322" s="285"/>
      <c r="AI322" s="285"/>
      <c r="AJ322" s="285"/>
      <c r="AK322" s="285"/>
    </row>
    <row r="323"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  <c r="AB323" s="285"/>
      <c r="AC323" s="285"/>
      <c r="AD323" s="285"/>
      <c r="AE323" s="285"/>
      <c r="AF323" s="285"/>
      <c r="AG323" s="285"/>
      <c r="AH323" s="285"/>
      <c r="AI323" s="285"/>
      <c r="AJ323" s="285"/>
      <c r="AK323" s="285"/>
    </row>
    <row r="324"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  <c r="AB324" s="285"/>
      <c r="AC324" s="285"/>
      <c r="AD324" s="285"/>
      <c r="AE324" s="285"/>
      <c r="AF324" s="285"/>
      <c r="AG324" s="285"/>
      <c r="AH324" s="285"/>
      <c r="AI324" s="285"/>
      <c r="AJ324" s="285"/>
      <c r="AK324" s="285"/>
    </row>
    <row r="325"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  <c r="AB325" s="285"/>
      <c r="AC325" s="285"/>
      <c r="AD325" s="285"/>
      <c r="AE325" s="285"/>
      <c r="AF325" s="285"/>
      <c r="AG325" s="285"/>
      <c r="AH325" s="285"/>
      <c r="AI325" s="285"/>
      <c r="AJ325" s="285"/>
      <c r="AK325" s="285"/>
    </row>
    <row r="326"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  <c r="AB326" s="285"/>
      <c r="AC326" s="285"/>
      <c r="AD326" s="285"/>
      <c r="AE326" s="285"/>
      <c r="AF326" s="285"/>
      <c r="AG326" s="285"/>
      <c r="AH326" s="285"/>
      <c r="AI326" s="285"/>
      <c r="AJ326" s="285"/>
      <c r="AK326" s="285"/>
    </row>
    <row r="327"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  <c r="AB327" s="285"/>
      <c r="AC327" s="285"/>
      <c r="AD327" s="285"/>
      <c r="AE327" s="285"/>
      <c r="AF327" s="285"/>
      <c r="AG327" s="285"/>
      <c r="AH327" s="285"/>
      <c r="AI327" s="285"/>
      <c r="AJ327" s="285"/>
      <c r="AK327" s="285"/>
    </row>
    <row r="328"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  <c r="AB328" s="285"/>
      <c r="AC328" s="285"/>
      <c r="AD328" s="285"/>
      <c r="AE328" s="285"/>
      <c r="AF328" s="285"/>
      <c r="AG328" s="285"/>
      <c r="AH328" s="285"/>
      <c r="AI328" s="285"/>
      <c r="AJ328" s="285"/>
      <c r="AK328" s="285"/>
    </row>
    <row r="329"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  <c r="AB329" s="285"/>
      <c r="AC329" s="285"/>
      <c r="AD329" s="285"/>
      <c r="AE329" s="285"/>
      <c r="AF329" s="285"/>
      <c r="AG329" s="285"/>
      <c r="AH329" s="285"/>
      <c r="AI329" s="285"/>
      <c r="AJ329" s="285"/>
      <c r="AK329" s="285"/>
    </row>
    <row r="330"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  <c r="AB330" s="285"/>
      <c r="AC330" s="285"/>
      <c r="AD330" s="285"/>
      <c r="AE330" s="285"/>
      <c r="AF330" s="285"/>
      <c r="AG330" s="285"/>
      <c r="AH330" s="285"/>
      <c r="AI330" s="285"/>
      <c r="AJ330" s="285"/>
      <c r="AK330" s="285"/>
    </row>
    <row r="331"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  <c r="AB331" s="285"/>
      <c r="AC331" s="285"/>
      <c r="AD331" s="285"/>
      <c r="AE331" s="285"/>
      <c r="AF331" s="285"/>
      <c r="AG331" s="285"/>
      <c r="AH331" s="285"/>
      <c r="AI331" s="285"/>
      <c r="AJ331" s="285"/>
      <c r="AK331" s="285"/>
    </row>
    <row r="332"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  <c r="AB332" s="285"/>
      <c r="AC332" s="285"/>
      <c r="AD332" s="285"/>
      <c r="AE332" s="285"/>
      <c r="AF332" s="285"/>
      <c r="AG332" s="285"/>
      <c r="AH332" s="285"/>
      <c r="AI332" s="285"/>
      <c r="AJ332" s="285"/>
      <c r="AK332" s="285"/>
    </row>
    <row r="333"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  <c r="AB333" s="285"/>
      <c r="AC333" s="285"/>
      <c r="AD333" s="285"/>
      <c r="AE333" s="285"/>
      <c r="AF333" s="285"/>
      <c r="AG333" s="285"/>
      <c r="AH333" s="285"/>
      <c r="AI333" s="285"/>
      <c r="AJ333" s="285"/>
      <c r="AK333" s="285"/>
    </row>
    <row r="334"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  <c r="AB334" s="285"/>
      <c r="AC334" s="285"/>
      <c r="AD334" s="285"/>
      <c r="AE334" s="285"/>
      <c r="AF334" s="285"/>
      <c r="AG334" s="285"/>
      <c r="AH334" s="285"/>
      <c r="AI334" s="285"/>
      <c r="AJ334" s="285"/>
      <c r="AK334" s="285"/>
    </row>
    <row r="335"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  <c r="AB335" s="285"/>
      <c r="AC335" s="285"/>
      <c r="AD335" s="285"/>
      <c r="AE335" s="285"/>
      <c r="AF335" s="285"/>
      <c r="AG335" s="285"/>
      <c r="AH335" s="285"/>
      <c r="AI335" s="285"/>
      <c r="AJ335" s="285"/>
      <c r="AK335" s="285"/>
    </row>
    <row r="336"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  <c r="AB336" s="285"/>
      <c r="AC336" s="285"/>
      <c r="AD336" s="285"/>
      <c r="AE336" s="285"/>
      <c r="AF336" s="285"/>
      <c r="AG336" s="285"/>
      <c r="AH336" s="285"/>
      <c r="AI336" s="285"/>
      <c r="AJ336" s="285"/>
      <c r="AK336" s="285"/>
    </row>
    <row r="337"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  <c r="AB337" s="285"/>
      <c r="AC337" s="285"/>
      <c r="AD337" s="285"/>
      <c r="AE337" s="285"/>
      <c r="AF337" s="285"/>
      <c r="AG337" s="285"/>
      <c r="AH337" s="285"/>
      <c r="AI337" s="285"/>
      <c r="AJ337" s="285"/>
      <c r="AK337" s="285"/>
    </row>
    <row r="338"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  <c r="AB338" s="285"/>
      <c r="AC338" s="285"/>
      <c r="AD338" s="285"/>
      <c r="AE338" s="285"/>
      <c r="AF338" s="285"/>
      <c r="AG338" s="285"/>
      <c r="AH338" s="285"/>
      <c r="AI338" s="285"/>
      <c r="AJ338" s="285"/>
      <c r="AK338" s="285"/>
    </row>
    <row r="339"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  <c r="AB339" s="285"/>
      <c r="AC339" s="285"/>
      <c r="AD339" s="285"/>
      <c r="AE339" s="285"/>
      <c r="AF339" s="285"/>
      <c r="AG339" s="285"/>
      <c r="AH339" s="285"/>
      <c r="AI339" s="285"/>
      <c r="AJ339" s="285"/>
      <c r="AK339" s="285"/>
    </row>
    <row r="340"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  <c r="AB340" s="285"/>
      <c r="AC340" s="285"/>
      <c r="AD340" s="285"/>
      <c r="AE340" s="285"/>
      <c r="AF340" s="285"/>
      <c r="AG340" s="285"/>
      <c r="AH340" s="285"/>
      <c r="AI340" s="285"/>
      <c r="AJ340" s="285"/>
      <c r="AK340" s="285"/>
    </row>
    <row r="341"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  <c r="AB341" s="285"/>
      <c r="AC341" s="285"/>
      <c r="AD341" s="285"/>
      <c r="AE341" s="285"/>
      <c r="AF341" s="285"/>
      <c r="AG341" s="285"/>
      <c r="AH341" s="285"/>
      <c r="AI341" s="285"/>
      <c r="AJ341" s="285"/>
      <c r="AK341" s="285"/>
    </row>
    <row r="342"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  <c r="AB342" s="285"/>
      <c r="AC342" s="285"/>
      <c r="AD342" s="285"/>
      <c r="AE342" s="285"/>
      <c r="AF342" s="285"/>
      <c r="AG342" s="285"/>
      <c r="AH342" s="285"/>
      <c r="AI342" s="285"/>
      <c r="AJ342" s="285"/>
      <c r="AK342" s="285"/>
    </row>
    <row r="343"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  <c r="AB343" s="285"/>
      <c r="AC343" s="285"/>
      <c r="AD343" s="285"/>
      <c r="AE343" s="285"/>
      <c r="AF343" s="285"/>
      <c r="AG343" s="285"/>
      <c r="AH343" s="285"/>
      <c r="AI343" s="285"/>
      <c r="AJ343" s="285"/>
      <c r="AK343" s="285"/>
    </row>
    <row r="344"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  <c r="AB344" s="285"/>
      <c r="AC344" s="285"/>
      <c r="AD344" s="285"/>
      <c r="AE344" s="285"/>
      <c r="AF344" s="285"/>
      <c r="AG344" s="285"/>
      <c r="AH344" s="285"/>
      <c r="AI344" s="285"/>
      <c r="AJ344" s="285"/>
      <c r="AK344" s="285"/>
    </row>
    <row r="345"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  <c r="AB345" s="285"/>
      <c r="AC345" s="285"/>
      <c r="AD345" s="285"/>
      <c r="AE345" s="285"/>
      <c r="AF345" s="285"/>
      <c r="AG345" s="285"/>
      <c r="AH345" s="285"/>
      <c r="AI345" s="285"/>
      <c r="AJ345" s="285"/>
      <c r="AK345" s="285"/>
    </row>
    <row r="346"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  <c r="AB346" s="285"/>
      <c r="AC346" s="285"/>
      <c r="AD346" s="285"/>
      <c r="AE346" s="285"/>
      <c r="AF346" s="285"/>
      <c r="AG346" s="285"/>
      <c r="AH346" s="285"/>
      <c r="AI346" s="285"/>
      <c r="AJ346" s="285"/>
      <c r="AK346" s="285"/>
    </row>
    <row r="347"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  <c r="AB347" s="285"/>
      <c r="AC347" s="285"/>
      <c r="AD347" s="285"/>
      <c r="AE347" s="285"/>
      <c r="AF347" s="285"/>
      <c r="AG347" s="285"/>
      <c r="AH347" s="285"/>
      <c r="AI347" s="285"/>
      <c r="AJ347" s="285"/>
      <c r="AK347" s="285"/>
    </row>
    <row r="348"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  <c r="AB348" s="285"/>
      <c r="AC348" s="285"/>
      <c r="AD348" s="285"/>
      <c r="AE348" s="285"/>
      <c r="AF348" s="285"/>
      <c r="AG348" s="285"/>
      <c r="AH348" s="285"/>
      <c r="AI348" s="285"/>
      <c r="AJ348" s="285"/>
      <c r="AK348" s="285"/>
    </row>
    <row r="349"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  <c r="AB349" s="285"/>
      <c r="AC349" s="285"/>
      <c r="AD349" s="285"/>
      <c r="AE349" s="285"/>
      <c r="AF349" s="285"/>
      <c r="AG349" s="285"/>
      <c r="AH349" s="285"/>
      <c r="AI349" s="285"/>
      <c r="AJ349" s="285"/>
      <c r="AK349" s="285"/>
    </row>
    <row r="350"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  <c r="AB350" s="285"/>
      <c r="AC350" s="285"/>
      <c r="AD350" s="285"/>
      <c r="AE350" s="285"/>
      <c r="AF350" s="285"/>
      <c r="AG350" s="285"/>
      <c r="AH350" s="285"/>
      <c r="AI350" s="285"/>
      <c r="AJ350" s="285"/>
      <c r="AK350" s="285"/>
    </row>
    <row r="351"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  <c r="AB351" s="285"/>
      <c r="AC351" s="285"/>
      <c r="AD351" s="285"/>
      <c r="AE351" s="285"/>
      <c r="AF351" s="285"/>
      <c r="AG351" s="285"/>
      <c r="AH351" s="285"/>
      <c r="AI351" s="285"/>
      <c r="AJ351" s="285"/>
      <c r="AK351" s="285"/>
    </row>
    <row r="352"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  <c r="AB352" s="285"/>
      <c r="AC352" s="285"/>
      <c r="AD352" s="285"/>
      <c r="AE352" s="285"/>
      <c r="AF352" s="285"/>
      <c r="AG352" s="285"/>
      <c r="AH352" s="285"/>
      <c r="AI352" s="285"/>
      <c r="AJ352" s="285"/>
      <c r="AK352" s="285"/>
    </row>
    <row r="353"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  <c r="AB353" s="285"/>
      <c r="AC353" s="285"/>
      <c r="AD353" s="285"/>
      <c r="AE353" s="285"/>
      <c r="AF353" s="285"/>
      <c r="AG353" s="285"/>
      <c r="AH353" s="285"/>
      <c r="AI353" s="285"/>
      <c r="AJ353" s="285"/>
      <c r="AK353" s="285"/>
    </row>
    <row r="354"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  <c r="AB354" s="285"/>
      <c r="AC354" s="285"/>
      <c r="AD354" s="285"/>
      <c r="AE354" s="285"/>
      <c r="AF354" s="285"/>
      <c r="AG354" s="285"/>
      <c r="AH354" s="285"/>
      <c r="AI354" s="285"/>
      <c r="AJ354" s="285"/>
      <c r="AK354" s="285"/>
    </row>
    <row r="355"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  <c r="AB355" s="285"/>
      <c r="AC355" s="285"/>
      <c r="AD355" s="285"/>
      <c r="AE355" s="285"/>
      <c r="AF355" s="285"/>
      <c r="AG355" s="285"/>
      <c r="AH355" s="285"/>
      <c r="AI355" s="285"/>
      <c r="AJ355" s="285"/>
      <c r="AK355" s="285"/>
    </row>
    <row r="356"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  <c r="AB356" s="285"/>
      <c r="AC356" s="285"/>
      <c r="AD356" s="285"/>
      <c r="AE356" s="285"/>
      <c r="AF356" s="285"/>
      <c r="AG356" s="285"/>
      <c r="AH356" s="285"/>
      <c r="AI356" s="285"/>
      <c r="AJ356" s="285"/>
      <c r="AK356" s="285"/>
    </row>
    <row r="357"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  <c r="AB357" s="285"/>
      <c r="AC357" s="285"/>
      <c r="AD357" s="285"/>
      <c r="AE357" s="285"/>
      <c r="AF357" s="285"/>
      <c r="AG357" s="285"/>
      <c r="AH357" s="285"/>
      <c r="AI357" s="285"/>
      <c r="AJ357" s="285"/>
      <c r="AK357" s="285"/>
    </row>
    <row r="358"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  <c r="AB358" s="285"/>
      <c r="AC358" s="285"/>
      <c r="AD358" s="285"/>
      <c r="AE358" s="285"/>
      <c r="AF358" s="285"/>
      <c r="AG358" s="285"/>
      <c r="AH358" s="285"/>
      <c r="AI358" s="285"/>
      <c r="AJ358" s="285"/>
      <c r="AK358" s="285"/>
    </row>
    <row r="359"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  <c r="AB359" s="285"/>
      <c r="AC359" s="285"/>
      <c r="AD359" s="285"/>
      <c r="AE359" s="285"/>
      <c r="AF359" s="285"/>
      <c r="AG359" s="285"/>
      <c r="AH359" s="285"/>
      <c r="AI359" s="285"/>
      <c r="AJ359" s="285"/>
      <c r="AK359" s="285"/>
    </row>
    <row r="360"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  <c r="AB360" s="285"/>
      <c r="AC360" s="285"/>
      <c r="AD360" s="285"/>
      <c r="AE360" s="285"/>
      <c r="AF360" s="285"/>
      <c r="AG360" s="285"/>
      <c r="AH360" s="285"/>
      <c r="AI360" s="285"/>
      <c r="AJ360" s="285"/>
      <c r="AK360" s="285"/>
    </row>
    <row r="361"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  <c r="AB361" s="285"/>
      <c r="AC361" s="285"/>
      <c r="AD361" s="285"/>
      <c r="AE361" s="285"/>
      <c r="AF361" s="285"/>
      <c r="AG361" s="285"/>
      <c r="AH361" s="285"/>
      <c r="AI361" s="285"/>
      <c r="AJ361" s="285"/>
      <c r="AK361" s="285"/>
    </row>
    <row r="362"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  <c r="AB362" s="285"/>
      <c r="AC362" s="285"/>
      <c r="AD362" s="285"/>
      <c r="AE362" s="285"/>
      <c r="AF362" s="285"/>
      <c r="AG362" s="285"/>
      <c r="AH362" s="285"/>
      <c r="AI362" s="285"/>
      <c r="AJ362" s="285"/>
      <c r="AK362" s="285"/>
    </row>
    <row r="363"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  <c r="AB363" s="285"/>
      <c r="AC363" s="285"/>
      <c r="AD363" s="285"/>
      <c r="AE363" s="285"/>
      <c r="AF363" s="285"/>
      <c r="AG363" s="285"/>
      <c r="AH363" s="285"/>
      <c r="AI363" s="285"/>
      <c r="AJ363" s="285"/>
      <c r="AK363" s="285"/>
    </row>
    <row r="364"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  <c r="AB364" s="285"/>
      <c r="AC364" s="285"/>
      <c r="AD364" s="285"/>
      <c r="AE364" s="285"/>
      <c r="AF364" s="285"/>
      <c r="AG364" s="285"/>
      <c r="AH364" s="285"/>
      <c r="AI364" s="285"/>
      <c r="AJ364" s="285"/>
      <c r="AK364" s="285"/>
    </row>
    <row r="365"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  <c r="AB365" s="285"/>
      <c r="AC365" s="285"/>
      <c r="AD365" s="285"/>
      <c r="AE365" s="285"/>
      <c r="AF365" s="285"/>
      <c r="AG365" s="285"/>
      <c r="AH365" s="285"/>
      <c r="AI365" s="285"/>
      <c r="AJ365" s="285"/>
      <c r="AK365" s="285"/>
    </row>
    <row r="366"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  <c r="AB366" s="285"/>
      <c r="AC366" s="285"/>
      <c r="AD366" s="285"/>
      <c r="AE366" s="285"/>
      <c r="AF366" s="285"/>
      <c r="AG366" s="285"/>
      <c r="AH366" s="285"/>
      <c r="AI366" s="285"/>
      <c r="AJ366" s="285"/>
      <c r="AK366" s="285"/>
    </row>
    <row r="367"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  <c r="AB367" s="285"/>
      <c r="AC367" s="285"/>
      <c r="AD367" s="285"/>
      <c r="AE367" s="285"/>
      <c r="AF367" s="285"/>
      <c r="AG367" s="285"/>
      <c r="AH367" s="285"/>
      <c r="AI367" s="285"/>
      <c r="AJ367" s="285"/>
      <c r="AK367" s="285"/>
    </row>
    <row r="368"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  <c r="AB368" s="285"/>
      <c r="AC368" s="285"/>
      <c r="AD368" s="285"/>
      <c r="AE368" s="285"/>
      <c r="AF368" s="285"/>
      <c r="AG368" s="285"/>
      <c r="AH368" s="285"/>
      <c r="AI368" s="285"/>
      <c r="AJ368" s="285"/>
      <c r="AK368" s="285"/>
    </row>
    <row r="369"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  <c r="AB369" s="285"/>
      <c r="AC369" s="285"/>
      <c r="AD369" s="285"/>
      <c r="AE369" s="285"/>
      <c r="AF369" s="285"/>
      <c r="AG369" s="285"/>
      <c r="AH369" s="285"/>
      <c r="AI369" s="285"/>
      <c r="AJ369" s="285"/>
      <c r="AK369" s="285"/>
    </row>
    <row r="370"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  <c r="AB370" s="285"/>
      <c r="AC370" s="285"/>
      <c r="AD370" s="285"/>
      <c r="AE370" s="285"/>
      <c r="AF370" s="285"/>
      <c r="AG370" s="285"/>
      <c r="AH370" s="285"/>
      <c r="AI370" s="285"/>
      <c r="AJ370" s="285"/>
      <c r="AK370" s="285"/>
    </row>
    <row r="371"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  <c r="AB371" s="285"/>
      <c r="AC371" s="285"/>
      <c r="AD371" s="285"/>
      <c r="AE371" s="285"/>
      <c r="AF371" s="285"/>
      <c r="AG371" s="285"/>
      <c r="AH371" s="285"/>
      <c r="AI371" s="285"/>
      <c r="AJ371" s="285"/>
      <c r="AK371" s="285"/>
    </row>
    <row r="372"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  <c r="AB372" s="285"/>
      <c r="AC372" s="285"/>
      <c r="AD372" s="285"/>
      <c r="AE372" s="285"/>
      <c r="AF372" s="285"/>
      <c r="AG372" s="285"/>
      <c r="AH372" s="285"/>
      <c r="AI372" s="285"/>
      <c r="AJ372" s="285"/>
      <c r="AK372" s="285"/>
    </row>
    <row r="373"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  <c r="AB373" s="285"/>
      <c r="AC373" s="285"/>
      <c r="AD373" s="285"/>
      <c r="AE373" s="285"/>
      <c r="AF373" s="285"/>
      <c r="AG373" s="285"/>
      <c r="AH373" s="285"/>
      <c r="AI373" s="285"/>
      <c r="AJ373" s="285"/>
      <c r="AK373" s="285"/>
    </row>
    <row r="374"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  <c r="AB374" s="285"/>
      <c r="AC374" s="285"/>
      <c r="AD374" s="285"/>
      <c r="AE374" s="285"/>
      <c r="AF374" s="285"/>
      <c r="AG374" s="285"/>
      <c r="AH374" s="285"/>
      <c r="AI374" s="285"/>
      <c r="AJ374" s="285"/>
      <c r="AK374" s="285"/>
    </row>
    <row r="375"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  <c r="AB375" s="285"/>
      <c r="AC375" s="285"/>
      <c r="AD375" s="285"/>
      <c r="AE375" s="285"/>
      <c r="AF375" s="285"/>
      <c r="AG375" s="285"/>
      <c r="AH375" s="285"/>
      <c r="AI375" s="285"/>
      <c r="AJ375" s="285"/>
      <c r="AK375" s="285"/>
    </row>
    <row r="376"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  <c r="AB376" s="285"/>
      <c r="AC376" s="285"/>
      <c r="AD376" s="285"/>
      <c r="AE376" s="285"/>
      <c r="AF376" s="285"/>
      <c r="AG376" s="285"/>
      <c r="AH376" s="285"/>
      <c r="AI376" s="285"/>
      <c r="AJ376" s="285"/>
      <c r="AK376" s="285"/>
    </row>
    <row r="377"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  <c r="AB377" s="285"/>
      <c r="AC377" s="285"/>
      <c r="AD377" s="285"/>
      <c r="AE377" s="285"/>
      <c r="AF377" s="285"/>
      <c r="AG377" s="285"/>
      <c r="AH377" s="285"/>
      <c r="AI377" s="285"/>
      <c r="AJ377" s="285"/>
      <c r="AK377" s="285"/>
    </row>
    <row r="378"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  <c r="AB378" s="285"/>
      <c r="AC378" s="285"/>
      <c r="AD378" s="285"/>
      <c r="AE378" s="285"/>
      <c r="AF378" s="285"/>
      <c r="AG378" s="285"/>
      <c r="AH378" s="285"/>
      <c r="AI378" s="285"/>
      <c r="AJ378" s="285"/>
      <c r="AK378" s="285"/>
    </row>
    <row r="379"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  <c r="AB379" s="285"/>
      <c r="AC379" s="285"/>
      <c r="AD379" s="285"/>
      <c r="AE379" s="285"/>
      <c r="AF379" s="285"/>
      <c r="AG379" s="285"/>
      <c r="AH379" s="285"/>
      <c r="AI379" s="285"/>
      <c r="AJ379" s="285"/>
      <c r="AK379" s="285"/>
    </row>
    <row r="380"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  <c r="AB380" s="285"/>
      <c r="AC380" s="285"/>
      <c r="AD380" s="285"/>
      <c r="AE380" s="285"/>
      <c r="AF380" s="285"/>
      <c r="AG380" s="285"/>
      <c r="AH380" s="285"/>
      <c r="AI380" s="285"/>
      <c r="AJ380" s="285"/>
      <c r="AK380" s="285"/>
    </row>
    <row r="381"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  <c r="AB381" s="285"/>
      <c r="AC381" s="285"/>
      <c r="AD381" s="285"/>
      <c r="AE381" s="285"/>
      <c r="AF381" s="285"/>
      <c r="AG381" s="285"/>
      <c r="AH381" s="285"/>
      <c r="AI381" s="285"/>
      <c r="AJ381" s="285"/>
      <c r="AK381" s="285"/>
    </row>
    <row r="382"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  <c r="AB382" s="285"/>
      <c r="AC382" s="285"/>
      <c r="AD382" s="285"/>
      <c r="AE382" s="285"/>
      <c r="AF382" s="285"/>
      <c r="AG382" s="285"/>
      <c r="AH382" s="285"/>
      <c r="AI382" s="285"/>
      <c r="AJ382" s="285"/>
      <c r="AK382" s="285"/>
    </row>
    <row r="383"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  <c r="AB383" s="285"/>
      <c r="AC383" s="285"/>
      <c r="AD383" s="285"/>
      <c r="AE383" s="285"/>
      <c r="AF383" s="285"/>
      <c r="AG383" s="285"/>
      <c r="AH383" s="285"/>
      <c r="AI383" s="285"/>
      <c r="AJ383" s="285"/>
      <c r="AK383" s="285"/>
    </row>
    <row r="384"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  <c r="AB384" s="285"/>
      <c r="AC384" s="285"/>
      <c r="AD384" s="285"/>
      <c r="AE384" s="285"/>
      <c r="AF384" s="285"/>
      <c r="AG384" s="285"/>
      <c r="AH384" s="285"/>
      <c r="AI384" s="285"/>
      <c r="AJ384" s="285"/>
      <c r="AK384" s="285"/>
    </row>
    <row r="385"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  <c r="AB385" s="285"/>
      <c r="AC385" s="285"/>
      <c r="AD385" s="285"/>
      <c r="AE385" s="285"/>
      <c r="AF385" s="285"/>
      <c r="AG385" s="285"/>
      <c r="AH385" s="285"/>
      <c r="AI385" s="285"/>
      <c r="AJ385" s="285"/>
      <c r="AK385" s="285"/>
    </row>
    <row r="386"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  <c r="AB386" s="285"/>
      <c r="AC386" s="285"/>
      <c r="AD386" s="285"/>
      <c r="AE386" s="285"/>
      <c r="AF386" s="285"/>
      <c r="AG386" s="285"/>
      <c r="AH386" s="285"/>
      <c r="AI386" s="285"/>
      <c r="AJ386" s="285"/>
      <c r="AK386" s="285"/>
    </row>
    <row r="387"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  <c r="AB387" s="285"/>
      <c r="AC387" s="285"/>
      <c r="AD387" s="285"/>
      <c r="AE387" s="285"/>
      <c r="AF387" s="285"/>
      <c r="AG387" s="285"/>
      <c r="AH387" s="285"/>
      <c r="AI387" s="285"/>
      <c r="AJ387" s="285"/>
      <c r="AK387" s="285"/>
    </row>
    <row r="388"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  <c r="AB388" s="285"/>
      <c r="AC388" s="285"/>
      <c r="AD388" s="285"/>
      <c r="AE388" s="285"/>
      <c r="AF388" s="285"/>
      <c r="AG388" s="285"/>
      <c r="AH388" s="285"/>
      <c r="AI388" s="285"/>
      <c r="AJ388" s="285"/>
      <c r="AK388" s="285"/>
    </row>
    <row r="389"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  <c r="AB389" s="285"/>
      <c r="AC389" s="285"/>
      <c r="AD389" s="285"/>
      <c r="AE389" s="285"/>
      <c r="AF389" s="285"/>
      <c r="AG389" s="285"/>
      <c r="AH389" s="285"/>
      <c r="AI389" s="285"/>
      <c r="AJ389" s="285"/>
      <c r="AK389" s="285"/>
    </row>
    <row r="390"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  <c r="AB390" s="285"/>
      <c r="AC390" s="285"/>
      <c r="AD390" s="285"/>
      <c r="AE390" s="285"/>
      <c r="AF390" s="285"/>
      <c r="AG390" s="285"/>
      <c r="AH390" s="285"/>
      <c r="AI390" s="285"/>
      <c r="AJ390" s="285"/>
      <c r="AK390" s="285"/>
    </row>
    <row r="391"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  <c r="AB391" s="285"/>
      <c r="AC391" s="285"/>
      <c r="AD391" s="285"/>
      <c r="AE391" s="285"/>
      <c r="AF391" s="285"/>
      <c r="AG391" s="285"/>
      <c r="AH391" s="285"/>
      <c r="AI391" s="285"/>
      <c r="AJ391" s="285"/>
      <c r="AK391" s="285"/>
    </row>
    <row r="392"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  <c r="AB392" s="285"/>
      <c r="AC392" s="285"/>
      <c r="AD392" s="285"/>
      <c r="AE392" s="285"/>
      <c r="AF392" s="285"/>
      <c r="AG392" s="285"/>
      <c r="AH392" s="285"/>
      <c r="AI392" s="285"/>
      <c r="AJ392" s="285"/>
      <c r="AK392" s="285"/>
    </row>
    <row r="393"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  <c r="AB393" s="285"/>
      <c r="AC393" s="285"/>
      <c r="AD393" s="285"/>
      <c r="AE393" s="285"/>
      <c r="AF393" s="285"/>
      <c r="AG393" s="285"/>
      <c r="AH393" s="285"/>
      <c r="AI393" s="285"/>
      <c r="AJ393" s="285"/>
      <c r="AK393" s="285"/>
    </row>
    <row r="394"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  <c r="AB394" s="285"/>
      <c r="AC394" s="285"/>
      <c r="AD394" s="285"/>
      <c r="AE394" s="285"/>
      <c r="AF394" s="285"/>
      <c r="AG394" s="285"/>
      <c r="AH394" s="285"/>
      <c r="AI394" s="285"/>
      <c r="AJ394" s="285"/>
      <c r="AK394" s="285"/>
    </row>
    <row r="395"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  <c r="AB395" s="285"/>
      <c r="AC395" s="285"/>
      <c r="AD395" s="285"/>
      <c r="AE395" s="285"/>
      <c r="AF395" s="285"/>
      <c r="AG395" s="285"/>
      <c r="AH395" s="285"/>
      <c r="AI395" s="285"/>
      <c r="AJ395" s="285"/>
      <c r="AK395" s="285"/>
    </row>
    <row r="396"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  <c r="AB396" s="285"/>
      <c r="AC396" s="285"/>
      <c r="AD396" s="285"/>
      <c r="AE396" s="285"/>
      <c r="AF396" s="285"/>
      <c r="AG396" s="285"/>
      <c r="AH396" s="285"/>
      <c r="AI396" s="285"/>
      <c r="AJ396" s="285"/>
      <c r="AK396" s="285"/>
    </row>
    <row r="397"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  <c r="AB397" s="285"/>
      <c r="AC397" s="285"/>
      <c r="AD397" s="285"/>
      <c r="AE397" s="285"/>
      <c r="AF397" s="285"/>
      <c r="AG397" s="285"/>
      <c r="AH397" s="285"/>
      <c r="AI397" s="285"/>
      <c r="AJ397" s="285"/>
      <c r="AK397" s="285"/>
    </row>
    <row r="398"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  <c r="AB398" s="285"/>
      <c r="AC398" s="285"/>
      <c r="AD398" s="285"/>
      <c r="AE398" s="285"/>
      <c r="AF398" s="285"/>
      <c r="AG398" s="285"/>
      <c r="AH398" s="285"/>
      <c r="AI398" s="285"/>
      <c r="AJ398" s="285"/>
      <c r="AK398" s="285"/>
    </row>
    <row r="399"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  <c r="AB399" s="285"/>
      <c r="AC399" s="285"/>
      <c r="AD399" s="285"/>
      <c r="AE399" s="285"/>
      <c r="AF399" s="285"/>
      <c r="AG399" s="285"/>
      <c r="AH399" s="285"/>
      <c r="AI399" s="285"/>
      <c r="AJ399" s="285"/>
      <c r="AK399" s="285"/>
    </row>
    <row r="400"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  <c r="AB400" s="285"/>
      <c r="AC400" s="285"/>
      <c r="AD400" s="285"/>
      <c r="AE400" s="285"/>
      <c r="AF400" s="285"/>
      <c r="AG400" s="285"/>
      <c r="AH400" s="285"/>
      <c r="AI400" s="285"/>
      <c r="AJ400" s="285"/>
      <c r="AK400" s="285"/>
    </row>
    <row r="401"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  <c r="AB401" s="285"/>
      <c r="AC401" s="285"/>
      <c r="AD401" s="285"/>
      <c r="AE401" s="285"/>
      <c r="AF401" s="285"/>
      <c r="AG401" s="285"/>
      <c r="AH401" s="285"/>
      <c r="AI401" s="285"/>
      <c r="AJ401" s="285"/>
      <c r="AK401" s="285"/>
    </row>
    <row r="402"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  <c r="AB402" s="285"/>
      <c r="AC402" s="285"/>
      <c r="AD402" s="285"/>
      <c r="AE402" s="285"/>
      <c r="AF402" s="285"/>
      <c r="AG402" s="285"/>
      <c r="AH402" s="285"/>
      <c r="AI402" s="285"/>
      <c r="AJ402" s="285"/>
      <c r="AK402" s="285"/>
    </row>
    <row r="403"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  <c r="AB403" s="285"/>
      <c r="AC403" s="285"/>
      <c r="AD403" s="285"/>
      <c r="AE403" s="285"/>
      <c r="AF403" s="285"/>
      <c r="AG403" s="285"/>
      <c r="AH403" s="285"/>
      <c r="AI403" s="285"/>
      <c r="AJ403" s="285"/>
      <c r="AK403" s="285"/>
    </row>
    <row r="404"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  <c r="AB404" s="285"/>
      <c r="AC404" s="285"/>
      <c r="AD404" s="285"/>
      <c r="AE404" s="285"/>
      <c r="AF404" s="285"/>
      <c r="AG404" s="285"/>
      <c r="AH404" s="285"/>
      <c r="AI404" s="285"/>
      <c r="AJ404" s="285"/>
      <c r="AK404" s="285"/>
    </row>
    <row r="405"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  <c r="AB405" s="285"/>
      <c r="AC405" s="285"/>
      <c r="AD405" s="285"/>
      <c r="AE405" s="285"/>
      <c r="AF405" s="285"/>
      <c r="AG405" s="285"/>
      <c r="AH405" s="285"/>
      <c r="AI405" s="285"/>
      <c r="AJ405" s="285"/>
      <c r="AK405" s="285"/>
    </row>
    <row r="406"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  <c r="AB406" s="285"/>
      <c r="AC406" s="285"/>
      <c r="AD406" s="285"/>
      <c r="AE406" s="285"/>
      <c r="AF406" s="285"/>
      <c r="AG406" s="285"/>
      <c r="AH406" s="285"/>
      <c r="AI406" s="285"/>
      <c r="AJ406" s="285"/>
      <c r="AK406" s="285"/>
    </row>
    <row r="407"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  <c r="AB407" s="285"/>
      <c r="AC407" s="285"/>
      <c r="AD407" s="285"/>
      <c r="AE407" s="285"/>
      <c r="AF407" s="285"/>
      <c r="AG407" s="285"/>
      <c r="AH407" s="285"/>
      <c r="AI407" s="285"/>
      <c r="AJ407" s="285"/>
      <c r="AK407" s="285"/>
    </row>
    <row r="408"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  <c r="AB408" s="285"/>
      <c r="AC408" s="285"/>
      <c r="AD408" s="285"/>
      <c r="AE408" s="285"/>
      <c r="AF408" s="285"/>
      <c r="AG408" s="285"/>
      <c r="AH408" s="285"/>
      <c r="AI408" s="285"/>
      <c r="AJ408" s="285"/>
      <c r="AK408" s="285"/>
    </row>
    <row r="409"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  <c r="AB409" s="285"/>
      <c r="AC409" s="285"/>
      <c r="AD409" s="285"/>
      <c r="AE409" s="285"/>
      <c r="AF409" s="285"/>
      <c r="AG409" s="285"/>
      <c r="AH409" s="285"/>
      <c r="AI409" s="285"/>
      <c r="AJ409" s="285"/>
      <c r="AK409" s="285"/>
    </row>
    <row r="410"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  <c r="AB410" s="285"/>
      <c r="AC410" s="285"/>
      <c r="AD410" s="285"/>
      <c r="AE410" s="285"/>
      <c r="AF410" s="285"/>
      <c r="AG410" s="285"/>
      <c r="AH410" s="285"/>
      <c r="AI410" s="285"/>
      <c r="AJ410" s="285"/>
      <c r="AK410" s="285"/>
    </row>
    <row r="411"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  <c r="AB411" s="285"/>
      <c r="AC411" s="285"/>
      <c r="AD411" s="285"/>
      <c r="AE411" s="285"/>
      <c r="AF411" s="285"/>
      <c r="AG411" s="285"/>
      <c r="AH411" s="285"/>
      <c r="AI411" s="285"/>
      <c r="AJ411" s="285"/>
      <c r="AK411" s="285"/>
    </row>
    <row r="412"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  <c r="AB412" s="285"/>
      <c r="AC412" s="285"/>
      <c r="AD412" s="285"/>
      <c r="AE412" s="285"/>
      <c r="AF412" s="285"/>
      <c r="AG412" s="285"/>
      <c r="AH412" s="285"/>
      <c r="AI412" s="285"/>
      <c r="AJ412" s="285"/>
      <c r="AK412" s="285"/>
    </row>
    <row r="413"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  <c r="AB413" s="285"/>
      <c r="AC413" s="285"/>
      <c r="AD413" s="285"/>
      <c r="AE413" s="285"/>
      <c r="AF413" s="285"/>
      <c r="AG413" s="285"/>
      <c r="AH413" s="285"/>
      <c r="AI413" s="285"/>
      <c r="AJ413" s="285"/>
      <c r="AK413" s="285"/>
    </row>
    <row r="414"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  <c r="AB414" s="285"/>
      <c r="AC414" s="285"/>
      <c r="AD414" s="285"/>
      <c r="AE414" s="285"/>
      <c r="AF414" s="285"/>
      <c r="AG414" s="285"/>
      <c r="AH414" s="285"/>
      <c r="AI414" s="285"/>
      <c r="AJ414" s="285"/>
      <c r="AK414" s="285"/>
    </row>
    <row r="415"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  <c r="AB415" s="285"/>
      <c r="AC415" s="285"/>
      <c r="AD415" s="285"/>
      <c r="AE415" s="285"/>
      <c r="AF415" s="285"/>
      <c r="AG415" s="285"/>
      <c r="AH415" s="285"/>
      <c r="AI415" s="285"/>
      <c r="AJ415" s="285"/>
      <c r="AK415" s="285"/>
    </row>
    <row r="416"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  <c r="AB416" s="285"/>
      <c r="AC416" s="285"/>
      <c r="AD416" s="285"/>
      <c r="AE416" s="285"/>
      <c r="AF416" s="285"/>
      <c r="AG416" s="285"/>
      <c r="AH416" s="285"/>
      <c r="AI416" s="285"/>
      <c r="AJ416" s="285"/>
      <c r="AK416" s="285"/>
    </row>
    <row r="417"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  <c r="AB417" s="285"/>
      <c r="AC417" s="285"/>
      <c r="AD417" s="285"/>
      <c r="AE417" s="285"/>
      <c r="AF417" s="285"/>
      <c r="AG417" s="285"/>
      <c r="AH417" s="285"/>
      <c r="AI417" s="285"/>
      <c r="AJ417" s="285"/>
      <c r="AK417" s="285"/>
    </row>
    <row r="418"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  <c r="AB418" s="285"/>
      <c r="AC418" s="285"/>
      <c r="AD418" s="285"/>
      <c r="AE418" s="285"/>
      <c r="AF418" s="285"/>
      <c r="AG418" s="285"/>
      <c r="AH418" s="285"/>
      <c r="AI418" s="285"/>
      <c r="AJ418" s="285"/>
      <c r="AK418" s="285"/>
    </row>
    <row r="419"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  <c r="AB419" s="285"/>
      <c r="AC419" s="285"/>
      <c r="AD419" s="285"/>
      <c r="AE419" s="285"/>
      <c r="AF419" s="285"/>
      <c r="AG419" s="285"/>
      <c r="AH419" s="285"/>
      <c r="AI419" s="285"/>
      <c r="AJ419" s="285"/>
      <c r="AK419" s="285"/>
    </row>
    <row r="420"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  <c r="AB420" s="285"/>
      <c r="AC420" s="285"/>
      <c r="AD420" s="285"/>
      <c r="AE420" s="285"/>
      <c r="AF420" s="285"/>
      <c r="AG420" s="285"/>
      <c r="AH420" s="285"/>
      <c r="AI420" s="285"/>
      <c r="AJ420" s="285"/>
      <c r="AK420" s="285"/>
    </row>
    <row r="421"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  <c r="AB421" s="285"/>
      <c r="AC421" s="285"/>
      <c r="AD421" s="285"/>
      <c r="AE421" s="285"/>
      <c r="AF421" s="285"/>
      <c r="AG421" s="285"/>
      <c r="AH421" s="285"/>
      <c r="AI421" s="285"/>
      <c r="AJ421" s="285"/>
      <c r="AK421" s="285"/>
    </row>
    <row r="422"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  <c r="AB422" s="285"/>
      <c r="AC422" s="285"/>
      <c r="AD422" s="285"/>
      <c r="AE422" s="285"/>
      <c r="AF422" s="285"/>
      <c r="AG422" s="285"/>
      <c r="AH422" s="285"/>
      <c r="AI422" s="285"/>
      <c r="AJ422" s="285"/>
      <c r="AK422" s="285"/>
    </row>
    <row r="423"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  <c r="AB423" s="285"/>
      <c r="AC423" s="285"/>
      <c r="AD423" s="285"/>
      <c r="AE423" s="285"/>
      <c r="AF423" s="285"/>
      <c r="AG423" s="285"/>
      <c r="AH423" s="285"/>
      <c r="AI423" s="285"/>
      <c r="AJ423" s="285"/>
      <c r="AK423" s="285"/>
    </row>
    <row r="424"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  <c r="AB424" s="285"/>
      <c r="AC424" s="285"/>
      <c r="AD424" s="285"/>
      <c r="AE424" s="285"/>
      <c r="AF424" s="285"/>
      <c r="AG424" s="285"/>
      <c r="AH424" s="285"/>
      <c r="AI424" s="285"/>
      <c r="AJ424" s="285"/>
      <c r="AK424" s="285"/>
    </row>
    <row r="425"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  <c r="AB425" s="285"/>
      <c r="AC425" s="285"/>
      <c r="AD425" s="285"/>
      <c r="AE425" s="285"/>
      <c r="AF425" s="285"/>
      <c r="AG425" s="285"/>
      <c r="AH425" s="285"/>
      <c r="AI425" s="285"/>
      <c r="AJ425" s="285"/>
      <c r="AK425" s="285"/>
    </row>
    <row r="426"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  <c r="AB426" s="285"/>
      <c r="AC426" s="285"/>
      <c r="AD426" s="285"/>
      <c r="AE426" s="285"/>
      <c r="AF426" s="285"/>
      <c r="AG426" s="285"/>
      <c r="AH426" s="285"/>
      <c r="AI426" s="285"/>
      <c r="AJ426" s="285"/>
      <c r="AK426" s="285"/>
    </row>
    <row r="427"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  <c r="AB427" s="285"/>
      <c r="AC427" s="285"/>
      <c r="AD427" s="285"/>
      <c r="AE427" s="285"/>
      <c r="AF427" s="285"/>
      <c r="AG427" s="285"/>
      <c r="AH427" s="285"/>
      <c r="AI427" s="285"/>
      <c r="AJ427" s="285"/>
      <c r="AK427" s="285"/>
    </row>
    <row r="428"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  <c r="AB428" s="285"/>
      <c r="AC428" s="285"/>
      <c r="AD428" s="285"/>
      <c r="AE428" s="285"/>
      <c r="AF428" s="285"/>
      <c r="AG428" s="285"/>
      <c r="AH428" s="285"/>
      <c r="AI428" s="285"/>
      <c r="AJ428" s="285"/>
      <c r="AK428" s="285"/>
    </row>
    <row r="429"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  <c r="AB429" s="285"/>
      <c r="AC429" s="285"/>
      <c r="AD429" s="285"/>
      <c r="AE429" s="285"/>
      <c r="AF429" s="285"/>
      <c r="AG429" s="285"/>
      <c r="AH429" s="285"/>
      <c r="AI429" s="285"/>
      <c r="AJ429" s="285"/>
      <c r="AK429" s="285"/>
    </row>
    <row r="430"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  <c r="AB430" s="285"/>
      <c r="AC430" s="285"/>
      <c r="AD430" s="285"/>
      <c r="AE430" s="285"/>
      <c r="AF430" s="285"/>
      <c r="AG430" s="285"/>
      <c r="AH430" s="285"/>
      <c r="AI430" s="285"/>
      <c r="AJ430" s="285"/>
      <c r="AK430" s="285"/>
    </row>
    <row r="431"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  <c r="AB431" s="285"/>
      <c r="AC431" s="285"/>
      <c r="AD431" s="285"/>
      <c r="AE431" s="285"/>
      <c r="AF431" s="285"/>
      <c r="AG431" s="285"/>
      <c r="AH431" s="285"/>
      <c r="AI431" s="285"/>
      <c r="AJ431" s="285"/>
      <c r="AK431" s="285"/>
    </row>
    <row r="432"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  <c r="AB432" s="285"/>
      <c r="AC432" s="285"/>
      <c r="AD432" s="285"/>
      <c r="AE432" s="285"/>
      <c r="AF432" s="285"/>
      <c r="AG432" s="285"/>
      <c r="AH432" s="285"/>
      <c r="AI432" s="285"/>
      <c r="AJ432" s="285"/>
      <c r="AK432" s="285"/>
    </row>
    <row r="433"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  <c r="AB433" s="285"/>
      <c r="AC433" s="285"/>
      <c r="AD433" s="285"/>
      <c r="AE433" s="285"/>
      <c r="AF433" s="285"/>
      <c r="AG433" s="285"/>
      <c r="AH433" s="285"/>
      <c r="AI433" s="285"/>
      <c r="AJ433" s="285"/>
      <c r="AK433" s="285"/>
    </row>
    <row r="434"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  <c r="AB434" s="285"/>
      <c r="AC434" s="285"/>
      <c r="AD434" s="285"/>
      <c r="AE434" s="285"/>
      <c r="AF434" s="285"/>
      <c r="AG434" s="285"/>
      <c r="AH434" s="285"/>
      <c r="AI434" s="285"/>
      <c r="AJ434" s="285"/>
      <c r="AK434" s="285"/>
    </row>
    <row r="435"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  <c r="AB435" s="285"/>
      <c r="AC435" s="285"/>
      <c r="AD435" s="285"/>
      <c r="AE435" s="285"/>
      <c r="AF435" s="285"/>
      <c r="AG435" s="285"/>
      <c r="AH435" s="285"/>
      <c r="AI435" s="285"/>
      <c r="AJ435" s="285"/>
      <c r="AK435" s="285"/>
    </row>
    <row r="436"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  <c r="AB436" s="285"/>
      <c r="AC436" s="285"/>
      <c r="AD436" s="285"/>
      <c r="AE436" s="285"/>
      <c r="AF436" s="285"/>
      <c r="AG436" s="285"/>
      <c r="AH436" s="285"/>
      <c r="AI436" s="285"/>
      <c r="AJ436" s="285"/>
      <c r="AK436" s="285"/>
    </row>
    <row r="437"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  <c r="AB437" s="285"/>
      <c r="AC437" s="285"/>
      <c r="AD437" s="285"/>
      <c r="AE437" s="285"/>
      <c r="AF437" s="285"/>
      <c r="AG437" s="285"/>
      <c r="AH437" s="285"/>
      <c r="AI437" s="285"/>
      <c r="AJ437" s="285"/>
      <c r="AK437" s="285"/>
    </row>
    <row r="438"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  <c r="AB438" s="285"/>
      <c r="AC438" s="285"/>
      <c r="AD438" s="285"/>
      <c r="AE438" s="285"/>
      <c r="AF438" s="285"/>
      <c r="AG438" s="285"/>
      <c r="AH438" s="285"/>
      <c r="AI438" s="285"/>
      <c r="AJ438" s="285"/>
      <c r="AK438" s="285"/>
    </row>
    <row r="439"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  <c r="AB439" s="285"/>
      <c r="AC439" s="285"/>
      <c r="AD439" s="285"/>
      <c r="AE439" s="285"/>
      <c r="AF439" s="285"/>
      <c r="AG439" s="285"/>
      <c r="AH439" s="285"/>
      <c r="AI439" s="285"/>
      <c r="AJ439" s="285"/>
      <c r="AK439" s="285"/>
    </row>
    <row r="440"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  <c r="AB440" s="285"/>
      <c r="AC440" s="285"/>
      <c r="AD440" s="285"/>
      <c r="AE440" s="285"/>
      <c r="AF440" s="285"/>
      <c r="AG440" s="285"/>
      <c r="AH440" s="285"/>
      <c r="AI440" s="285"/>
      <c r="AJ440" s="285"/>
      <c r="AK440" s="285"/>
    </row>
    <row r="441"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  <c r="AB441" s="285"/>
      <c r="AC441" s="285"/>
      <c r="AD441" s="285"/>
      <c r="AE441" s="285"/>
      <c r="AF441" s="285"/>
      <c r="AG441" s="285"/>
      <c r="AH441" s="285"/>
      <c r="AI441" s="285"/>
      <c r="AJ441" s="285"/>
      <c r="AK441" s="285"/>
    </row>
    <row r="442"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  <c r="AB442" s="285"/>
      <c r="AC442" s="285"/>
      <c r="AD442" s="285"/>
      <c r="AE442" s="285"/>
      <c r="AF442" s="285"/>
      <c r="AG442" s="285"/>
      <c r="AH442" s="285"/>
      <c r="AI442" s="285"/>
      <c r="AJ442" s="285"/>
      <c r="AK442" s="285"/>
    </row>
    <row r="443"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  <c r="AB443" s="285"/>
      <c r="AC443" s="285"/>
      <c r="AD443" s="285"/>
      <c r="AE443" s="285"/>
      <c r="AF443" s="285"/>
      <c r="AG443" s="285"/>
      <c r="AH443" s="285"/>
      <c r="AI443" s="285"/>
      <c r="AJ443" s="285"/>
      <c r="AK443" s="285"/>
    </row>
    <row r="444"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  <c r="AB444" s="285"/>
      <c r="AC444" s="285"/>
      <c r="AD444" s="285"/>
      <c r="AE444" s="285"/>
      <c r="AF444" s="285"/>
      <c r="AG444" s="285"/>
      <c r="AH444" s="285"/>
      <c r="AI444" s="285"/>
      <c r="AJ444" s="285"/>
      <c r="AK444" s="285"/>
    </row>
    <row r="445"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  <c r="AB445" s="285"/>
      <c r="AC445" s="285"/>
      <c r="AD445" s="285"/>
      <c r="AE445" s="285"/>
      <c r="AF445" s="285"/>
      <c r="AG445" s="285"/>
      <c r="AH445" s="285"/>
      <c r="AI445" s="285"/>
      <c r="AJ445" s="285"/>
      <c r="AK445" s="285"/>
    </row>
    <row r="446"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  <c r="AB446" s="285"/>
      <c r="AC446" s="285"/>
      <c r="AD446" s="285"/>
      <c r="AE446" s="285"/>
      <c r="AF446" s="285"/>
      <c r="AG446" s="285"/>
      <c r="AH446" s="285"/>
      <c r="AI446" s="285"/>
      <c r="AJ446" s="285"/>
      <c r="AK446" s="285"/>
    </row>
    <row r="447"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  <c r="AB447" s="285"/>
      <c r="AC447" s="285"/>
      <c r="AD447" s="285"/>
      <c r="AE447" s="285"/>
      <c r="AF447" s="285"/>
      <c r="AG447" s="285"/>
      <c r="AH447" s="285"/>
      <c r="AI447" s="285"/>
      <c r="AJ447" s="285"/>
      <c r="AK447" s="285"/>
    </row>
    <row r="448"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  <c r="AB448" s="285"/>
      <c r="AC448" s="285"/>
      <c r="AD448" s="285"/>
      <c r="AE448" s="285"/>
      <c r="AF448" s="285"/>
      <c r="AG448" s="285"/>
      <c r="AH448" s="285"/>
      <c r="AI448" s="285"/>
      <c r="AJ448" s="285"/>
      <c r="AK448" s="285"/>
    </row>
    <row r="449"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  <c r="AB449" s="285"/>
      <c r="AC449" s="285"/>
      <c r="AD449" s="285"/>
      <c r="AE449" s="285"/>
      <c r="AF449" s="285"/>
      <c r="AG449" s="285"/>
      <c r="AH449" s="285"/>
      <c r="AI449" s="285"/>
      <c r="AJ449" s="285"/>
      <c r="AK449" s="285"/>
    </row>
    <row r="450"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  <c r="AB450" s="285"/>
      <c r="AC450" s="285"/>
      <c r="AD450" s="285"/>
      <c r="AE450" s="285"/>
      <c r="AF450" s="285"/>
      <c r="AG450" s="285"/>
      <c r="AH450" s="285"/>
      <c r="AI450" s="285"/>
      <c r="AJ450" s="285"/>
      <c r="AK450" s="285"/>
    </row>
    <row r="451"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  <c r="AB451" s="285"/>
      <c r="AC451" s="285"/>
      <c r="AD451" s="285"/>
      <c r="AE451" s="285"/>
      <c r="AF451" s="285"/>
      <c r="AG451" s="285"/>
      <c r="AH451" s="285"/>
      <c r="AI451" s="285"/>
      <c r="AJ451" s="285"/>
      <c r="AK451" s="285"/>
    </row>
    <row r="452"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  <c r="AB452" s="285"/>
      <c r="AC452" s="285"/>
      <c r="AD452" s="285"/>
      <c r="AE452" s="285"/>
      <c r="AF452" s="285"/>
      <c r="AG452" s="285"/>
      <c r="AH452" s="285"/>
      <c r="AI452" s="285"/>
      <c r="AJ452" s="285"/>
      <c r="AK452" s="285"/>
    </row>
    <row r="453"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  <c r="AB453" s="285"/>
      <c r="AC453" s="285"/>
      <c r="AD453" s="285"/>
      <c r="AE453" s="285"/>
      <c r="AF453" s="285"/>
      <c r="AG453" s="285"/>
      <c r="AH453" s="285"/>
      <c r="AI453" s="285"/>
      <c r="AJ453" s="285"/>
      <c r="AK453" s="285"/>
    </row>
    <row r="454"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  <c r="AB454" s="285"/>
      <c r="AC454" s="285"/>
      <c r="AD454" s="285"/>
      <c r="AE454" s="285"/>
      <c r="AF454" s="285"/>
      <c r="AG454" s="285"/>
      <c r="AH454" s="285"/>
      <c r="AI454" s="285"/>
      <c r="AJ454" s="285"/>
      <c r="AK454" s="285"/>
    </row>
    <row r="455"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  <c r="AB455" s="285"/>
      <c r="AC455" s="285"/>
      <c r="AD455" s="285"/>
      <c r="AE455" s="285"/>
      <c r="AF455" s="285"/>
      <c r="AG455" s="285"/>
      <c r="AH455" s="285"/>
      <c r="AI455" s="285"/>
      <c r="AJ455" s="285"/>
      <c r="AK455" s="285"/>
    </row>
    <row r="456"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  <c r="AB456" s="285"/>
      <c r="AC456" s="285"/>
      <c r="AD456" s="285"/>
      <c r="AE456" s="285"/>
      <c r="AF456" s="285"/>
      <c r="AG456" s="285"/>
      <c r="AH456" s="285"/>
      <c r="AI456" s="285"/>
      <c r="AJ456" s="285"/>
      <c r="AK456" s="285"/>
    </row>
    <row r="457"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  <c r="AB457" s="285"/>
      <c r="AC457" s="285"/>
      <c r="AD457" s="285"/>
      <c r="AE457" s="285"/>
      <c r="AF457" s="285"/>
      <c r="AG457" s="285"/>
      <c r="AH457" s="285"/>
      <c r="AI457" s="285"/>
      <c r="AJ457" s="285"/>
      <c r="AK457" s="285"/>
    </row>
    <row r="458"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  <c r="AB458" s="285"/>
      <c r="AC458" s="285"/>
      <c r="AD458" s="285"/>
      <c r="AE458" s="285"/>
      <c r="AF458" s="285"/>
      <c r="AG458" s="285"/>
      <c r="AH458" s="285"/>
      <c r="AI458" s="285"/>
      <c r="AJ458" s="285"/>
      <c r="AK458" s="285"/>
    </row>
    <row r="459"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  <c r="AB459" s="285"/>
      <c r="AC459" s="285"/>
      <c r="AD459" s="285"/>
      <c r="AE459" s="285"/>
      <c r="AF459" s="285"/>
      <c r="AG459" s="285"/>
      <c r="AH459" s="285"/>
      <c r="AI459" s="285"/>
      <c r="AJ459" s="285"/>
      <c r="AK459" s="285"/>
    </row>
    <row r="460"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  <c r="AB460" s="285"/>
      <c r="AC460" s="285"/>
      <c r="AD460" s="285"/>
      <c r="AE460" s="285"/>
      <c r="AF460" s="285"/>
      <c r="AG460" s="285"/>
      <c r="AH460" s="285"/>
      <c r="AI460" s="285"/>
      <c r="AJ460" s="285"/>
      <c r="AK460" s="285"/>
    </row>
    <row r="461"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  <c r="AB461" s="285"/>
      <c r="AC461" s="285"/>
      <c r="AD461" s="285"/>
      <c r="AE461" s="285"/>
      <c r="AF461" s="285"/>
      <c r="AG461" s="285"/>
      <c r="AH461" s="285"/>
      <c r="AI461" s="285"/>
      <c r="AJ461" s="285"/>
      <c r="AK461" s="285"/>
    </row>
    <row r="462"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  <c r="AB462" s="285"/>
      <c r="AC462" s="285"/>
      <c r="AD462" s="285"/>
      <c r="AE462" s="285"/>
      <c r="AF462" s="285"/>
      <c r="AG462" s="285"/>
      <c r="AH462" s="285"/>
      <c r="AI462" s="285"/>
      <c r="AJ462" s="285"/>
      <c r="AK462" s="285"/>
    </row>
    <row r="463"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  <c r="AB463" s="285"/>
      <c r="AC463" s="285"/>
      <c r="AD463" s="285"/>
      <c r="AE463" s="285"/>
      <c r="AF463" s="285"/>
      <c r="AG463" s="285"/>
      <c r="AH463" s="285"/>
      <c r="AI463" s="285"/>
      <c r="AJ463" s="285"/>
      <c r="AK463" s="285"/>
    </row>
    <row r="464"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  <c r="AB464" s="285"/>
      <c r="AC464" s="285"/>
      <c r="AD464" s="285"/>
      <c r="AE464" s="285"/>
      <c r="AF464" s="285"/>
      <c r="AG464" s="285"/>
      <c r="AH464" s="285"/>
      <c r="AI464" s="285"/>
      <c r="AJ464" s="285"/>
      <c r="AK464" s="285"/>
    </row>
    <row r="465"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  <c r="AB465" s="285"/>
      <c r="AC465" s="285"/>
      <c r="AD465" s="285"/>
      <c r="AE465" s="285"/>
      <c r="AF465" s="285"/>
      <c r="AG465" s="285"/>
      <c r="AH465" s="285"/>
      <c r="AI465" s="285"/>
      <c r="AJ465" s="285"/>
      <c r="AK465" s="285"/>
    </row>
    <row r="466"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  <c r="AB466" s="285"/>
      <c r="AC466" s="285"/>
      <c r="AD466" s="285"/>
      <c r="AE466" s="285"/>
      <c r="AF466" s="285"/>
      <c r="AG466" s="285"/>
      <c r="AH466" s="285"/>
      <c r="AI466" s="285"/>
      <c r="AJ466" s="285"/>
      <c r="AK466" s="285"/>
    </row>
    <row r="467"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  <c r="AB467" s="285"/>
      <c r="AC467" s="285"/>
      <c r="AD467" s="285"/>
      <c r="AE467" s="285"/>
      <c r="AF467" s="285"/>
      <c r="AG467" s="285"/>
      <c r="AH467" s="285"/>
      <c r="AI467" s="285"/>
      <c r="AJ467" s="285"/>
      <c r="AK467" s="285"/>
    </row>
    <row r="468"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  <c r="AB468" s="285"/>
      <c r="AC468" s="285"/>
      <c r="AD468" s="285"/>
      <c r="AE468" s="285"/>
      <c r="AF468" s="285"/>
      <c r="AG468" s="285"/>
      <c r="AH468" s="285"/>
      <c r="AI468" s="285"/>
      <c r="AJ468" s="285"/>
      <c r="AK468" s="285"/>
    </row>
    <row r="469"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  <c r="AB469" s="285"/>
      <c r="AC469" s="285"/>
      <c r="AD469" s="285"/>
      <c r="AE469" s="285"/>
      <c r="AF469" s="285"/>
      <c r="AG469" s="285"/>
      <c r="AH469" s="285"/>
      <c r="AI469" s="285"/>
      <c r="AJ469" s="285"/>
      <c r="AK469" s="285"/>
    </row>
    <row r="470"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  <c r="AB470" s="285"/>
      <c r="AC470" s="285"/>
      <c r="AD470" s="285"/>
      <c r="AE470" s="285"/>
      <c r="AF470" s="285"/>
      <c r="AG470" s="285"/>
      <c r="AH470" s="285"/>
      <c r="AI470" s="285"/>
      <c r="AJ470" s="285"/>
      <c r="AK470" s="285"/>
    </row>
    <row r="471"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  <c r="AB471" s="285"/>
      <c r="AC471" s="285"/>
      <c r="AD471" s="285"/>
      <c r="AE471" s="285"/>
      <c r="AF471" s="285"/>
      <c r="AG471" s="285"/>
      <c r="AH471" s="285"/>
      <c r="AI471" s="285"/>
      <c r="AJ471" s="285"/>
      <c r="AK471" s="285"/>
    </row>
    <row r="472"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  <c r="AB472" s="285"/>
      <c r="AC472" s="285"/>
      <c r="AD472" s="285"/>
      <c r="AE472" s="285"/>
      <c r="AF472" s="285"/>
      <c r="AG472" s="285"/>
      <c r="AH472" s="285"/>
      <c r="AI472" s="285"/>
      <c r="AJ472" s="285"/>
      <c r="AK472" s="285"/>
    </row>
    <row r="473"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  <c r="AB473" s="285"/>
      <c r="AC473" s="285"/>
      <c r="AD473" s="285"/>
      <c r="AE473" s="285"/>
      <c r="AF473" s="285"/>
      <c r="AG473" s="285"/>
      <c r="AH473" s="285"/>
      <c r="AI473" s="285"/>
      <c r="AJ473" s="285"/>
      <c r="AK473" s="285"/>
    </row>
    <row r="474"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  <c r="AB474" s="285"/>
      <c r="AC474" s="285"/>
      <c r="AD474" s="285"/>
      <c r="AE474" s="285"/>
      <c r="AF474" s="285"/>
      <c r="AG474" s="285"/>
      <c r="AH474" s="285"/>
      <c r="AI474" s="285"/>
      <c r="AJ474" s="285"/>
      <c r="AK474" s="285"/>
    </row>
    <row r="475"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  <c r="AB475" s="285"/>
      <c r="AC475" s="285"/>
      <c r="AD475" s="285"/>
      <c r="AE475" s="285"/>
      <c r="AF475" s="285"/>
      <c r="AG475" s="285"/>
      <c r="AH475" s="285"/>
      <c r="AI475" s="285"/>
      <c r="AJ475" s="285"/>
      <c r="AK475" s="285"/>
    </row>
    <row r="476"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  <c r="AB476" s="285"/>
      <c r="AC476" s="285"/>
      <c r="AD476" s="285"/>
      <c r="AE476" s="285"/>
      <c r="AF476" s="285"/>
      <c r="AG476" s="285"/>
      <c r="AH476" s="285"/>
      <c r="AI476" s="285"/>
      <c r="AJ476" s="285"/>
      <c r="AK476" s="285"/>
    </row>
    <row r="477"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  <c r="AB477" s="285"/>
      <c r="AC477" s="285"/>
      <c r="AD477" s="285"/>
      <c r="AE477" s="285"/>
      <c r="AF477" s="285"/>
      <c r="AG477" s="285"/>
      <c r="AH477" s="285"/>
      <c r="AI477" s="285"/>
      <c r="AJ477" s="285"/>
      <c r="AK477" s="285"/>
    </row>
    <row r="478"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  <c r="AB478" s="285"/>
      <c r="AC478" s="285"/>
      <c r="AD478" s="285"/>
      <c r="AE478" s="285"/>
      <c r="AF478" s="285"/>
      <c r="AG478" s="285"/>
      <c r="AH478" s="285"/>
      <c r="AI478" s="285"/>
      <c r="AJ478" s="285"/>
      <c r="AK478" s="285"/>
    </row>
    <row r="479"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  <c r="AB479" s="285"/>
      <c r="AC479" s="285"/>
      <c r="AD479" s="285"/>
      <c r="AE479" s="285"/>
      <c r="AF479" s="285"/>
      <c r="AG479" s="285"/>
      <c r="AH479" s="285"/>
      <c r="AI479" s="285"/>
      <c r="AJ479" s="285"/>
      <c r="AK479" s="285"/>
    </row>
    <row r="480"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  <c r="AB480" s="285"/>
      <c r="AC480" s="285"/>
      <c r="AD480" s="285"/>
      <c r="AE480" s="285"/>
      <c r="AF480" s="285"/>
      <c r="AG480" s="285"/>
      <c r="AH480" s="285"/>
      <c r="AI480" s="285"/>
      <c r="AJ480" s="285"/>
      <c r="AK480" s="285"/>
    </row>
    <row r="481"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  <c r="AB481" s="285"/>
      <c r="AC481" s="285"/>
      <c r="AD481" s="285"/>
      <c r="AE481" s="285"/>
      <c r="AF481" s="285"/>
      <c r="AG481" s="285"/>
      <c r="AH481" s="285"/>
      <c r="AI481" s="285"/>
      <c r="AJ481" s="285"/>
      <c r="AK481" s="285"/>
    </row>
    <row r="482"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  <c r="AB482" s="285"/>
      <c r="AC482" s="285"/>
      <c r="AD482" s="285"/>
      <c r="AE482" s="285"/>
      <c r="AF482" s="285"/>
      <c r="AG482" s="285"/>
      <c r="AH482" s="285"/>
      <c r="AI482" s="285"/>
      <c r="AJ482" s="285"/>
      <c r="AK482" s="285"/>
    </row>
    <row r="483"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  <c r="AB483" s="285"/>
      <c r="AC483" s="285"/>
      <c r="AD483" s="285"/>
      <c r="AE483" s="285"/>
      <c r="AF483" s="285"/>
      <c r="AG483" s="285"/>
      <c r="AH483" s="285"/>
      <c r="AI483" s="285"/>
      <c r="AJ483" s="285"/>
      <c r="AK483" s="285"/>
    </row>
    <row r="484"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  <c r="AB484" s="285"/>
      <c r="AC484" s="285"/>
      <c r="AD484" s="285"/>
      <c r="AE484" s="285"/>
      <c r="AF484" s="285"/>
      <c r="AG484" s="285"/>
      <c r="AH484" s="285"/>
      <c r="AI484" s="285"/>
      <c r="AJ484" s="285"/>
      <c r="AK484" s="285"/>
    </row>
    <row r="485"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  <c r="AB485" s="285"/>
      <c r="AC485" s="285"/>
      <c r="AD485" s="285"/>
      <c r="AE485" s="285"/>
      <c r="AF485" s="285"/>
      <c r="AG485" s="285"/>
      <c r="AH485" s="285"/>
      <c r="AI485" s="285"/>
      <c r="AJ485" s="285"/>
      <c r="AK485" s="285"/>
    </row>
    <row r="486"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  <c r="AB486" s="285"/>
      <c r="AC486" s="285"/>
      <c r="AD486" s="285"/>
      <c r="AE486" s="285"/>
      <c r="AF486" s="285"/>
      <c r="AG486" s="285"/>
      <c r="AH486" s="285"/>
      <c r="AI486" s="285"/>
      <c r="AJ486" s="285"/>
      <c r="AK486" s="285"/>
    </row>
    <row r="487"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  <c r="AB487" s="285"/>
      <c r="AC487" s="285"/>
      <c r="AD487" s="285"/>
      <c r="AE487" s="285"/>
      <c r="AF487" s="285"/>
      <c r="AG487" s="285"/>
      <c r="AH487" s="285"/>
      <c r="AI487" s="285"/>
      <c r="AJ487" s="285"/>
      <c r="AK487" s="285"/>
    </row>
    <row r="488"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  <c r="AB488" s="285"/>
      <c r="AC488" s="285"/>
      <c r="AD488" s="285"/>
      <c r="AE488" s="285"/>
      <c r="AF488" s="285"/>
      <c r="AG488" s="285"/>
      <c r="AH488" s="285"/>
      <c r="AI488" s="285"/>
      <c r="AJ488" s="285"/>
      <c r="AK488" s="285"/>
    </row>
    <row r="489"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  <c r="AB489" s="285"/>
      <c r="AC489" s="285"/>
      <c r="AD489" s="285"/>
      <c r="AE489" s="285"/>
      <c r="AF489" s="285"/>
      <c r="AG489" s="285"/>
      <c r="AH489" s="285"/>
      <c r="AI489" s="285"/>
      <c r="AJ489" s="285"/>
      <c r="AK489" s="285"/>
    </row>
    <row r="490"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  <c r="AB490" s="285"/>
      <c r="AC490" s="285"/>
      <c r="AD490" s="285"/>
      <c r="AE490" s="285"/>
      <c r="AF490" s="285"/>
      <c r="AG490" s="285"/>
      <c r="AH490" s="285"/>
      <c r="AI490" s="285"/>
      <c r="AJ490" s="285"/>
      <c r="AK490" s="285"/>
    </row>
    <row r="491"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  <c r="AB491" s="285"/>
      <c r="AC491" s="285"/>
      <c r="AD491" s="285"/>
      <c r="AE491" s="285"/>
      <c r="AF491" s="285"/>
      <c r="AG491" s="285"/>
      <c r="AH491" s="285"/>
      <c r="AI491" s="285"/>
      <c r="AJ491" s="285"/>
      <c r="AK491" s="285"/>
    </row>
    <row r="492"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  <c r="AB492" s="285"/>
      <c r="AC492" s="285"/>
      <c r="AD492" s="285"/>
      <c r="AE492" s="285"/>
      <c r="AF492" s="285"/>
      <c r="AG492" s="285"/>
      <c r="AH492" s="285"/>
      <c r="AI492" s="285"/>
      <c r="AJ492" s="285"/>
      <c r="AK492" s="285"/>
    </row>
    <row r="493"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  <c r="AB493" s="285"/>
      <c r="AC493" s="285"/>
      <c r="AD493" s="285"/>
      <c r="AE493" s="285"/>
      <c r="AF493" s="285"/>
      <c r="AG493" s="285"/>
      <c r="AH493" s="285"/>
      <c r="AI493" s="285"/>
      <c r="AJ493" s="285"/>
      <c r="AK493" s="285"/>
    </row>
    <row r="494"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  <c r="AB494" s="285"/>
      <c r="AC494" s="285"/>
      <c r="AD494" s="285"/>
      <c r="AE494" s="285"/>
      <c r="AF494" s="285"/>
      <c r="AG494" s="285"/>
      <c r="AH494" s="285"/>
      <c r="AI494" s="285"/>
      <c r="AJ494" s="285"/>
      <c r="AK494" s="285"/>
    </row>
    <row r="495"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  <c r="AB495" s="285"/>
      <c r="AC495" s="285"/>
      <c r="AD495" s="285"/>
      <c r="AE495" s="285"/>
      <c r="AF495" s="285"/>
      <c r="AG495" s="285"/>
      <c r="AH495" s="285"/>
      <c r="AI495" s="285"/>
      <c r="AJ495" s="285"/>
      <c r="AK495" s="285"/>
    </row>
    <row r="496"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  <c r="AB496" s="285"/>
      <c r="AC496" s="285"/>
      <c r="AD496" s="285"/>
      <c r="AE496" s="285"/>
      <c r="AF496" s="285"/>
      <c r="AG496" s="285"/>
      <c r="AH496" s="285"/>
      <c r="AI496" s="285"/>
      <c r="AJ496" s="285"/>
      <c r="AK496" s="285"/>
    </row>
    <row r="497"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Q497" s="337"/>
      <c r="R497" s="337"/>
      <c r="S497" s="337"/>
      <c r="T497" s="337"/>
      <c r="U497" s="337"/>
      <c r="V497" s="337"/>
      <c r="W497" s="337"/>
      <c r="X497" s="337"/>
      <c r="Y497" s="337"/>
      <c r="Z497" s="337"/>
      <c r="AB497" s="337"/>
      <c r="AC497" s="337"/>
      <c r="AD497" s="337"/>
      <c r="AE497" s="337"/>
      <c r="AF497" s="337"/>
      <c r="AG497" s="337"/>
      <c r="AH497" s="337"/>
      <c r="AI497" s="337"/>
      <c r="AJ497" s="337"/>
      <c r="AK497" s="337"/>
    </row>
  </sheetData>
  <mergeCells count="6">
    <mergeCell ref="B19:C19"/>
    <mergeCell ref="B20:C21"/>
    <mergeCell ref="B23:C23"/>
    <mergeCell ref="B24:C25"/>
    <mergeCell ref="B27:C27"/>
    <mergeCell ref="B28:C29"/>
  </mergeCells>
  <conditionalFormatting sqref="F3:O497">
    <cfRule type="expression" dxfId="9" priority="1">
      <formula>$J3="Leads Baru"</formula>
    </cfRule>
  </conditionalFormatting>
  <conditionalFormatting sqref="F3:O497">
    <cfRule type="expression" dxfId="10" priority="2">
      <formula>$J3="Qualified"</formula>
    </cfRule>
  </conditionalFormatting>
  <conditionalFormatting sqref="F3:O497">
    <cfRule type="expression" dxfId="11" priority="3">
      <formula>$J3="Prospek"</formula>
    </cfRule>
  </conditionalFormatting>
  <conditionalFormatting sqref="F3:O497">
    <cfRule type="expression" dxfId="12" priority="4">
      <formula>$J3="Follow Up"</formula>
    </cfRule>
  </conditionalFormatting>
  <conditionalFormatting sqref="F3:O497">
    <cfRule type="expression" dxfId="13" priority="5">
      <formula>$J3="Warm Leads"</formula>
    </cfRule>
  </conditionalFormatting>
  <conditionalFormatting sqref="F3:O497">
    <cfRule type="expression" dxfId="14" priority="6">
      <formula>$J3="Hot Leads"</formula>
    </cfRule>
  </conditionalFormatting>
  <dataValidations>
    <dataValidation type="list" allowBlank="1" showErrorMessage="1" sqref="C2">
      <formula1>"2024,2025,2026,2027"</formula1>
    </dataValidation>
    <dataValidation type="list" allowBlank="1" showErrorMessage="1" sqref="B2">
      <formula1>"Januari,Februari,Maret,April,Mei,Juni,Juli,Agustus,September,Oktober,November,Desember"</formula1>
    </dataValidation>
  </dataValidations>
  <drawing r:id="rId1"/>
</worksheet>
</file>